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1.xml" ContentType="application/vnd.openxmlformats-officedocument.drawingml.chart+xml"/>
  <Override PartName="/xl/theme/themeOverride1.xml" ContentType="application/vnd.openxmlformats-officedocument.themeOverride+xml"/>
  <Override PartName="/xl/charts/chart12.xml" ContentType="application/vnd.openxmlformats-officedocument.drawingml.chart+xml"/>
  <Override PartName="/xl/theme/themeOverride2.xml" ContentType="application/vnd.openxmlformats-officedocument.themeOverride+xml"/>
  <Override PartName="/xl/charts/chart13.xml" ContentType="application/vnd.openxmlformats-officedocument.drawingml.chart+xml"/>
  <Override PartName="/xl/theme/themeOverride3.xml" ContentType="application/vnd.openxmlformats-officedocument.themeOverride+xml"/>
  <Override PartName="/xl/charts/chart14.xml" ContentType="application/vnd.openxmlformats-officedocument.drawingml.chart+xml"/>
  <Override PartName="/xl/charts/chart15.xml" ContentType="application/vnd.openxmlformats-officedocument.drawingml.chart+xml"/>
  <Override PartName="/xl/theme/themeOverride4.xml" ContentType="application/vnd.openxmlformats-officedocument.themeOverride+xml"/>
  <Override PartName="/xl/charts/chart16.xml" ContentType="application/vnd.openxmlformats-officedocument.drawingml.chart+xml"/>
  <Override PartName="/xl/theme/themeOverride5.xml" ContentType="application/vnd.openxmlformats-officedocument.themeOverride+xml"/>
  <Override PartName="/xl/charts/chart17.xml" ContentType="application/vnd.openxmlformats-officedocument.drawingml.chart+xml"/>
  <Override PartName="/xl/theme/themeOverride6.xml" ContentType="application/vnd.openxmlformats-officedocument.themeOverride+xml"/>
  <Override PartName="/xl/charts/chart18.xml" ContentType="application/vnd.openxmlformats-officedocument.drawingml.chart+xml"/>
  <Override PartName="/xl/theme/themeOverride7.xml" ContentType="application/vnd.openxmlformats-officedocument.themeOverride+xml"/>
  <Override PartName="/xl/charts/chart19.xml" ContentType="application/vnd.openxmlformats-officedocument.drawingml.chart+xml"/>
  <Override PartName="/xl/theme/themeOverride8.xml" ContentType="application/vnd.openxmlformats-officedocument.themeOverride+xml"/>
  <Override PartName="/xl/charts/chart20.xml" ContentType="application/vnd.openxmlformats-officedocument.drawingml.chart+xml"/>
  <Override PartName="/xl/charts/chart21.xml" ContentType="application/vnd.openxmlformats-officedocument.drawingml.chart+xml"/>
  <Override PartName="/xl/theme/themeOverride9.xml" ContentType="application/vnd.openxmlformats-officedocument.themeOverride+xml"/>
  <Override PartName="/xl/charts/chart22.xml" ContentType="application/vnd.openxmlformats-officedocument.drawingml.chart+xml"/>
  <Override PartName="/xl/theme/themeOverride10.xml" ContentType="application/vnd.openxmlformats-officedocument.themeOverride+xml"/>
  <Override PartName="/xl/charts/chart23.xml" ContentType="application/vnd.openxmlformats-officedocument.drawingml.chart+xml"/>
  <Override PartName="/xl/theme/themeOverride11.xml" ContentType="application/vnd.openxmlformats-officedocument.themeOverride+xml"/>
  <Override PartName="/xl/charts/chart24.xml" ContentType="application/vnd.openxmlformats-officedocument.drawingml.chart+xml"/>
  <Override PartName="/xl/theme/themeOverride12.xml" ContentType="application/vnd.openxmlformats-officedocument.themeOverride+xml"/>
  <Override PartName="/xl/charts/chart25.xml" ContentType="application/vnd.openxmlformats-officedocument.drawingml.chart+xml"/>
  <Override PartName="/xl/theme/themeOverride13.xml" ContentType="application/vnd.openxmlformats-officedocument.themeOverride+xml"/>
  <Override PartName="/xl/charts/chart26.xml" ContentType="application/vnd.openxmlformats-officedocument.drawingml.chart+xml"/>
  <Override PartName="/xl/theme/themeOverride14.xml" ContentType="application/vnd.openxmlformats-officedocument.themeOverride+xml"/>
  <Override PartName="/xl/charts/chart27.xml" ContentType="application/vnd.openxmlformats-officedocument.drawingml.chart+xml"/>
  <Override PartName="/xl/theme/themeOverride15.xml" ContentType="application/vnd.openxmlformats-officedocument.themeOverride+xml"/>
  <Override PartName="/xl/charts/chart28.xml" ContentType="application/vnd.openxmlformats-officedocument.drawingml.chart+xml"/>
  <Override PartName="/xl/theme/themeOverride16.xml" ContentType="application/vnd.openxmlformats-officedocument.themeOverrid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theme/themeOverride17.xml" ContentType="application/vnd.openxmlformats-officedocument.themeOverride+xml"/>
  <Override PartName="/xl/charts/chart34.xml" ContentType="application/vnd.openxmlformats-officedocument.drawingml.chart+xml"/>
  <Override PartName="/xl/theme/themeOverride18.xml" ContentType="application/vnd.openxmlformats-officedocument.themeOverride+xml"/>
  <Override PartName="/xl/charts/chart35.xml" ContentType="application/vnd.openxmlformats-officedocument.drawingml.chart+xml"/>
  <Override PartName="/xl/theme/themeOverride19.xml" ContentType="application/vnd.openxmlformats-officedocument.themeOverride+xml"/>
  <Override PartName="/xl/drawings/drawing14.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36.xml" ContentType="application/vnd.openxmlformats-officedocument.drawingml.chart+xml"/>
  <Override PartName="/xl/drawings/drawing15.xml" ContentType="application/vnd.openxmlformats-officedocument.drawingml.chartshapes+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16.xml" ContentType="application/vnd.openxmlformats-officedocument.drawingml.chartshapes+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theme/themeOverride20.xml" ContentType="application/vnd.openxmlformats-officedocument.themeOverride+xml"/>
  <Override PartName="/xl/charts/chart53.xml" ContentType="application/vnd.openxmlformats-officedocument.drawingml.chart+xml"/>
  <Override PartName="/xl/theme/themeOverride21.xml" ContentType="application/vnd.openxmlformats-officedocument.themeOverride+xml"/>
  <Override PartName="/xl/charts/chart54.xml" ContentType="application/vnd.openxmlformats-officedocument.drawingml.chart+xml"/>
  <Override PartName="/xl/theme/themeOverride22.xml" ContentType="application/vnd.openxmlformats-officedocument.themeOverride+xml"/>
  <Override PartName="/xl/charts/chart55.xml" ContentType="application/vnd.openxmlformats-officedocument.drawingml.chart+xml"/>
  <Override PartName="/xl/theme/themeOverride23.xml" ContentType="application/vnd.openxmlformats-officedocument.themeOverride+xml"/>
  <Override PartName="/xl/drawings/drawing17.xml" ContentType="application/vnd.openxmlformats-officedocument.drawingml.chartshapes+xml"/>
  <Override PartName="/xl/charts/chart56.xml" ContentType="application/vnd.openxmlformats-officedocument.drawingml.chart+xml"/>
  <Override PartName="/xl/charts/chart57.xml" ContentType="application/vnd.openxmlformats-officedocument.drawingml.chart+xml"/>
  <Override PartName="/xl/drawings/drawing18.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19.xml" ContentType="application/vnd.openxmlformats-officedocument.drawingml.chartshapes+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20.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drawings/drawing21.xml" ContentType="application/vnd.openxmlformats-officedocument.drawingml.chartshapes+xml"/>
  <Override PartName="/xl/charts/chart68.xml" ContentType="application/vnd.openxmlformats-officedocument.drawingml.chart+xml"/>
  <Override PartName="/xl/charts/chart69.xml" ContentType="application/vnd.openxmlformats-officedocument.drawingml.chart+xml"/>
  <Override PartName="/xl/drawings/drawing22.xml" ContentType="application/vnd.openxmlformats-officedocument.drawing+xml"/>
  <Override PartName="/xl/charts/chart70.xml" ContentType="application/vnd.openxmlformats-officedocument.drawingml.chart+xml"/>
  <Override PartName="/xl/drawings/drawing23.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drawings/drawing24.xml" ContentType="application/vnd.openxmlformats-officedocument.drawing+xml"/>
  <Override PartName="/xl/ctrlProps/ctrlProp13.xml" ContentType="application/vnd.ms-excel.controlproperties+xml"/>
  <Override PartName="/xl/charts/chart74.xml" ContentType="application/vnd.openxmlformats-officedocument.drawingml.chart+xml"/>
  <Override PartName="/xl/theme/themeOverride24.xml" ContentType="application/vnd.openxmlformats-officedocument.themeOverride+xml"/>
  <Override PartName="/xl/charts/chart75.xml" ContentType="application/vnd.openxmlformats-officedocument.drawingml.chart+xml"/>
  <Override PartName="/xl/theme/themeOverride25.xml" ContentType="application/vnd.openxmlformats-officedocument.themeOverride+xml"/>
  <Override PartName="/xl/charts/chart76.xml" ContentType="application/vnd.openxmlformats-officedocument.drawingml.chart+xml"/>
  <Override PartName="/xl/theme/themeOverride26.xml" ContentType="application/vnd.openxmlformats-officedocument.themeOverride+xml"/>
  <Override PartName="/xl/charts/chart77.xml" ContentType="application/vnd.openxmlformats-officedocument.drawingml.chart+xml"/>
  <Override PartName="/xl/theme/themeOverride27.xml" ContentType="application/vnd.openxmlformats-officedocument.themeOverride+xml"/>
  <Override PartName="/xl/charts/chart78.xml" ContentType="application/vnd.openxmlformats-officedocument.drawingml.chart+xml"/>
  <Override PartName="/xl/theme/themeOverride28.xml" ContentType="application/vnd.openxmlformats-officedocument.themeOverride+xml"/>
  <Override PartName="/xl/charts/chart79.xml" ContentType="application/vnd.openxmlformats-officedocument.drawingml.chart+xml"/>
  <Override PartName="/xl/theme/themeOverride29.xml" ContentType="application/vnd.openxmlformats-officedocument.themeOverride+xml"/>
  <Override PartName="/xl/charts/chart80.xml" ContentType="application/vnd.openxmlformats-officedocument.drawingml.chart+xml"/>
  <Override PartName="/xl/theme/themeOverride30.xml" ContentType="application/vnd.openxmlformats-officedocument.themeOverride+xml"/>
  <Override PartName="/xl/charts/chart81.xml" ContentType="application/vnd.openxmlformats-officedocument.drawingml.chart+xml"/>
  <Override PartName="/xl/theme/themeOverride31.xml" ContentType="application/vnd.openxmlformats-officedocument.themeOverride+xml"/>
  <Override PartName="/xl/charts/chart82.xml" ContentType="application/vnd.openxmlformats-officedocument.drawingml.chart+xml"/>
  <Override PartName="/xl/theme/themeOverride32.xml" ContentType="application/vnd.openxmlformats-officedocument.themeOverride+xml"/>
  <Override PartName="/xl/charts/chart83.xml" ContentType="application/vnd.openxmlformats-officedocument.drawingml.chart+xml"/>
  <Override PartName="/xl/theme/themeOverride33.xml" ContentType="application/vnd.openxmlformats-officedocument.themeOverride+xml"/>
  <Override PartName="/xl/charts/chart84.xml" ContentType="application/vnd.openxmlformats-officedocument.drawingml.chart+xml"/>
  <Override PartName="/xl/theme/themeOverride34.xml" ContentType="application/vnd.openxmlformats-officedocument.themeOverride+xml"/>
  <Override PartName="/xl/charts/chart85.xml" ContentType="application/vnd.openxmlformats-officedocument.drawingml.chart+xml"/>
  <Override PartName="/xl/theme/themeOverride35.xml" ContentType="application/vnd.openxmlformats-officedocument.themeOverride+xml"/>
  <Override PartName="/xl/charts/chart86.xml" ContentType="application/vnd.openxmlformats-officedocument.drawingml.chart+xml"/>
  <Override PartName="/xl/theme/themeOverride36.xml" ContentType="application/vnd.openxmlformats-officedocument.themeOverride+xml"/>
  <Override PartName="/xl/charts/chart87.xml" ContentType="application/vnd.openxmlformats-officedocument.drawingml.chart+xml"/>
  <Override PartName="/xl/theme/themeOverride37.xml" ContentType="application/vnd.openxmlformats-officedocument.themeOverride+xml"/>
  <Override PartName="/xl/charts/chart88.xml" ContentType="application/vnd.openxmlformats-officedocument.drawingml.chart+xml"/>
  <Override PartName="/xl/theme/themeOverride38.xml" ContentType="application/vnd.openxmlformats-officedocument.themeOverride+xml"/>
  <Override PartName="/xl/charts/chart89.xml" ContentType="application/vnd.openxmlformats-officedocument.drawingml.chart+xml"/>
  <Override PartName="/xl/theme/themeOverride39.xml" ContentType="application/vnd.openxmlformats-officedocument.themeOverride+xml"/>
  <Override PartName="/xl/charts/chart90.xml" ContentType="application/vnd.openxmlformats-officedocument.drawingml.chart+xml"/>
  <Override PartName="/xl/theme/themeOverride40.xml" ContentType="application/vnd.openxmlformats-officedocument.themeOverride+xml"/>
  <Override PartName="/xl/charts/chart91.xml" ContentType="application/vnd.openxmlformats-officedocument.drawingml.chart+xml"/>
  <Override PartName="/xl/theme/themeOverride41.xml" ContentType="application/vnd.openxmlformats-officedocument.themeOverride+xml"/>
  <Override PartName="/xl/charts/chart92.xml" ContentType="application/vnd.openxmlformats-officedocument.drawingml.chart+xml"/>
  <Override PartName="/xl/theme/themeOverride42.xml" ContentType="application/vnd.openxmlformats-officedocument.themeOverride+xml"/>
  <Override PartName="/xl/charts/chart93.xml" ContentType="application/vnd.openxmlformats-officedocument.drawingml.chart+xml"/>
  <Override PartName="/xl/theme/themeOverride43.xml" ContentType="application/vnd.openxmlformats-officedocument.themeOverride+xml"/>
  <Override PartName="/xl/charts/chart94.xml" ContentType="application/vnd.openxmlformats-officedocument.drawingml.chart+xml"/>
  <Override PartName="/xl/theme/themeOverride44.xml" ContentType="application/vnd.openxmlformats-officedocument.themeOverride+xml"/>
  <Override PartName="/xl/charts/chart95.xml" ContentType="application/vnd.openxmlformats-officedocument.drawingml.chart+xml"/>
  <Override PartName="/xl/theme/themeOverride45.xml" ContentType="application/vnd.openxmlformats-officedocument.themeOverride+xml"/>
  <Override PartName="/xl/charts/chart96.xml" ContentType="application/vnd.openxmlformats-officedocument.drawingml.chart+xml"/>
  <Override PartName="/xl/theme/themeOverride46.xml" ContentType="application/vnd.openxmlformats-officedocument.themeOverride+xml"/>
  <Override PartName="/xl/charts/chart97.xml" ContentType="application/vnd.openxmlformats-officedocument.drawingml.chart+xml"/>
  <Override PartName="/xl/theme/themeOverride47.xml" ContentType="application/vnd.openxmlformats-officedocument.themeOverride+xml"/>
  <Override PartName="/xl/charts/chart98.xml" ContentType="application/vnd.openxmlformats-officedocument.drawingml.chart+xml"/>
  <Override PartName="/xl/theme/themeOverride48.xml" ContentType="application/vnd.openxmlformats-officedocument.themeOverride+xml"/>
  <Override PartName="/xl/charts/chart99.xml" ContentType="application/vnd.openxmlformats-officedocument.drawingml.chart+xml"/>
  <Override PartName="/xl/theme/themeOverride49.xml" ContentType="application/vnd.openxmlformats-officedocument.themeOverride+xml"/>
  <Override PartName="/xl/charts/chart100.xml" ContentType="application/vnd.openxmlformats-officedocument.drawingml.chart+xml"/>
  <Override PartName="/xl/theme/themeOverride50.xml" ContentType="application/vnd.openxmlformats-officedocument.themeOverride+xml"/>
  <Override PartName="/xl/charts/chart101.xml" ContentType="application/vnd.openxmlformats-officedocument.drawingml.chart+xml"/>
  <Override PartName="/xl/theme/themeOverride51.xml" ContentType="application/vnd.openxmlformats-officedocument.themeOverride+xml"/>
  <Override PartName="/xl/charts/chart102.xml" ContentType="application/vnd.openxmlformats-officedocument.drawingml.chart+xml"/>
  <Override PartName="/xl/theme/themeOverride52.xml" ContentType="application/vnd.openxmlformats-officedocument.themeOverride+xml"/>
  <Override PartName="/xl/charts/chart103.xml" ContentType="application/vnd.openxmlformats-officedocument.drawingml.chart+xml"/>
  <Override PartName="/xl/theme/themeOverride53.xml" ContentType="application/vnd.openxmlformats-officedocument.themeOverride+xml"/>
  <Override PartName="/xl/drawings/drawing25.xml" ContentType="application/vnd.openxmlformats-officedocument.drawing+xml"/>
  <Override PartName="/xl/ctrlProps/ctrlProp14.xml" ContentType="application/vnd.ms-excel.controlproperties+xml"/>
  <Override PartName="/xl/charts/chart104.xml" ContentType="application/vnd.openxmlformats-officedocument.drawingml.chart+xml"/>
  <Override PartName="/xl/theme/themeOverride54.xml" ContentType="application/vnd.openxmlformats-officedocument.themeOverride+xml"/>
  <Override PartName="/xl/charts/chart105.xml" ContentType="application/vnd.openxmlformats-officedocument.drawingml.chart+xml"/>
  <Override PartName="/xl/theme/themeOverride55.xml" ContentType="application/vnd.openxmlformats-officedocument.themeOverride+xml"/>
  <Override PartName="/xl/charts/chart106.xml" ContentType="application/vnd.openxmlformats-officedocument.drawingml.chart+xml"/>
  <Override PartName="/xl/theme/themeOverride56.xml" ContentType="application/vnd.openxmlformats-officedocument.themeOverride+xml"/>
  <Override PartName="/xl/charts/chart107.xml" ContentType="application/vnd.openxmlformats-officedocument.drawingml.chart+xml"/>
  <Override PartName="/xl/theme/themeOverride57.xml" ContentType="application/vnd.openxmlformats-officedocument.themeOverride+xml"/>
  <Override PartName="/xl/charts/chart108.xml" ContentType="application/vnd.openxmlformats-officedocument.drawingml.chart+xml"/>
  <Override PartName="/xl/theme/themeOverride58.xml" ContentType="application/vnd.openxmlformats-officedocument.themeOverride+xml"/>
  <Override PartName="/xl/charts/chart109.xml" ContentType="application/vnd.openxmlformats-officedocument.drawingml.chart+xml"/>
  <Override PartName="/xl/theme/themeOverride59.xml" ContentType="application/vnd.openxmlformats-officedocument.themeOverride+xml"/>
  <Override PartName="/xl/charts/chart110.xml" ContentType="application/vnd.openxmlformats-officedocument.drawingml.chart+xml"/>
  <Override PartName="/xl/theme/themeOverride60.xml" ContentType="application/vnd.openxmlformats-officedocument.themeOverride+xml"/>
  <Override PartName="/xl/charts/chart111.xml" ContentType="application/vnd.openxmlformats-officedocument.drawingml.chart+xml"/>
  <Override PartName="/xl/theme/themeOverride61.xml" ContentType="application/vnd.openxmlformats-officedocument.themeOverride+xml"/>
  <Override PartName="/xl/charts/chart112.xml" ContentType="application/vnd.openxmlformats-officedocument.drawingml.chart+xml"/>
  <Override PartName="/xl/theme/themeOverride62.xml" ContentType="application/vnd.openxmlformats-officedocument.themeOverride+xml"/>
  <Override PartName="/xl/charts/chart113.xml" ContentType="application/vnd.openxmlformats-officedocument.drawingml.chart+xml"/>
  <Override PartName="/xl/theme/themeOverride63.xml" ContentType="application/vnd.openxmlformats-officedocument.themeOverride+xml"/>
  <Override PartName="/xl/charts/chart114.xml" ContentType="application/vnd.openxmlformats-officedocument.drawingml.chart+xml"/>
  <Override PartName="/xl/theme/themeOverride64.xml" ContentType="application/vnd.openxmlformats-officedocument.themeOverride+xml"/>
  <Override PartName="/xl/charts/chart115.xml" ContentType="application/vnd.openxmlformats-officedocument.drawingml.chart+xml"/>
  <Override PartName="/xl/theme/themeOverride65.xml" ContentType="application/vnd.openxmlformats-officedocument.themeOverride+xml"/>
  <Override PartName="/xl/charts/chart116.xml" ContentType="application/vnd.openxmlformats-officedocument.drawingml.chart+xml"/>
  <Override PartName="/xl/theme/themeOverride66.xml" ContentType="application/vnd.openxmlformats-officedocument.themeOverride+xml"/>
  <Override PartName="/xl/charts/chart117.xml" ContentType="application/vnd.openxmlformats-officedocument.drawingml.chart+xml"/>
  <Override PartName="/xl/theme/themeOverride67.xml" ContentType="application/vnd.openxmlformats-officedocument.themeOverride+xml"/>
  <Override PartName="/xl/charts/chart118.xml" ContentType="application/vnd.openxmlformats-officedocument.drawingml.chart+xml"/>
  <Override PartName="/xl/theme/themeOverride68.xml" ContentType="application/vnd.openxmlformats-officedocument.themeOverride+xml"/>
  <Override PartName="/xl/charts/chart119.xml" ContentType="application/vnd.openxmlformats-officedocument.drawingml.chart+xml"/>
  <Override PartName="/xl/theme/themeOverride69.xml" ContentType="application/vnd.openxmlformats-officedocument.themeOverride+xml"/>
  <Override PartName="/xl/comments1.xml" ContentType="application/vnd.openxmlformats-officedocument.spreadsheetml.comments+xml"/>
  <Override PartName="/xl/drawings/drawing26.xml" ContentType="application/vnd.openxmlformats-officedocument.drawing+xml"/>
  <Override PartName="/xl/ctrlProps/ctrlProp15.xml" ContentType="application/vnd.ms-excel.controlproperties+xml"/>
  <Override PartName="/xl/drawings/drawing27.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mc:AlternateContent xmlns:mc="http://schemas.openxmlformats.org/markup-compatibility/2006">
    <mc:Choice Requires="x15">
      <x15ac:absPath xmlns:x15ac="http://schemas.microsoft.com/office/spreadsheetml/2010/11/ac" url="C:\Working-Files\Automated Company Profile\AutomatedCompanyProfile\Acp\"/>
    </mc:Choice>
  </mc:AlternateContent>
  <xr:revisionPtr revIDLastSave="0" documentId="13_ncr:1_{08C2B54C-76B7-473C-94B2-A208F2F624C1}" xr6:coauthVersionLast="47" xr6:coauthVersionMax="47" xr10:uidLastSave="{00000000-0000-0000-0000-000000000000}"/>
  <bookViews>
    <workbookView xWindow="41805" yWindow="2385" windowWidth="33585" windowHeight="15555" tabRatio="896" activeTab="4" xr2:uid="{00000000-000D-0000-FFFF-FFFF00000000}"/>
  </bookViews>
  <sheets>
    <sheet name="ImpData" sheetId="26" r:id="rId1"/>
    <sheet name="Export (F)" sheetId="980" r:id="rId2"/>
    <sheet name="Export (N)" sheetId="979" r:id="rId3"/>
    <sheet name="_CIQHiddenCacheSheet" sheetId="1828" state="veryHidden" r:id="rId4"/>
    <sheet name="Input" sheetId="38" r:id="rId5"/>
    <sheet name="Overview" sheetId="1160" r:id="rId6"/>
    <sheet name="Overview (Hidden)" sheetId="1233" r:id="rId7"/>
    <sheet name="Professionals" sheetId="1166" r:id="rId8"/>
    <sheet name="Key Financials_H" sheetId="1736" state="veryHidden" r:id="rId9"/>
    <sheet name="Key Financials" sheetId="1433" r:id="rId10"/>
    <sheet name="Financial Analysis_H" sheetId="716" state="veryHidden" r:id="rId11"/>
    <sheet name="Financial Analysis" sheetId="122" r:id="rId12"/>
    <sheet name="Capital Structure" sheetId="1163" r:id="rId13"/>
    <sheet name="Capital Structure_H" sheetId="1339" state="veryHidden" r:id="rId14"/>
    <sheet name="Bond Prices" sheetId="1167" r:id="rId15"/>
    <sheet name="Market Data" sheetId="802" r:id="rId16"/>
    <sheet name="Peer Analysis" sheetId="82" r:id="rId17"/>
    <sheet name="Peer Analysis_H" sheetId="718" state="veryHidden" r:id="rId18"/>
    <sheet name="Private Ownership" sheetId="1165" r:id="rId19"/>
    <sheet name="Advisors" sheetId="1164" r:id="rId20"/>
    <sheet name="M&amp;A Transactions" sheetId="1714" r:id="rId21"/>
    <sheet name="Key Developments" sheetId="1168" r:id="rId22"/>
    <sheet name="Financial Data_H" sheetId="694" state="veryHidden" r:id="rId23"/>
    <sheet name="Financial Data" sheetId="2" r:id="rId24"/>
    <sheet name="Peer Data_H" sheetId="695" state="veryHidden" r:id="rId25"/>
    <sheet name="Peer Data" sheetId="83" r:id="rId26"/>
    <sheet name="Price Data" sheetId="27" r:id="rId27"/>
    <sheet name="Glossary" sheetId="184" r:id="rId28"/>
    <sheet name="CIQ Segments" sheetId="1170" r:id="rId29"/>
    <sheet name="CIQ Advisors" sheetId="1172" r:id="rId30"/>
    <sheet name="CIQ Professionals" sheetId="1768" r:id="rId31"/>
    <sheet name="CIQ Ownership" sheetId="1173" r:id="rId32"/>
    <sheet name="CIQ Revision" sheetId="1646" r:id="rId33"/>
    <sheet name="CIQ M&amp;A Transactions" sheetId="1440" r:id="rId34"/>
    <sheet name="CIQ Key Developments" sheetId="1175" r:id="rId35"/>
  </sheets>
  <functionGroups builtInGroupCount="19"/>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xlnm._FilterDatabase" localSheetId="19" hidden="1">ImpData!$M$34:$X$34</definedName>
    <definedName name="_xlnm._FilterDatabase" localSheetId="14" hidden="1">ImpData!$M$34:$X$34</definedName>
    <definedName name="_xlnm._FilterDatabase" localSheetId="29" hidden="1">'CIQ Advisors'!$B$8:$F$28</definedName>
    <definedName name="_xlnm._FilterDatabase" localSheetId="33" hidden="1">'CIQ M&amp;A Transactions'!#REF!</definedName>
    <definedName name="aaaaa" localSheetId="13" hidden="1">'[1]Score Analysis'!#REF!</definedName>
    <definedName name="aaaaa" localSheetId="32" hidden="1">'[1]Score Analysis'!#REF!</definedName>
    <definedName name="aaaaa" localSheetId="1" hidden="1">'[1]Score Analysis'!#REF!</definedName>
    <definedName name="aaaaa" localSheetId="2" hidden="1">'[1]Score Analysis'!#REF!</definedName>
    <definedName name="aaaaa" hidden="1">'[1]Score Analysis'!#REF!</definedName>
    <definedName name="AcquisitionsDealCount">'CIQ M&amp;A Transactions'!$U$1</definedName>
    <definedName name="Board_Members">Professionals!$B$83</definedName>
    <definedName name="Board_Members_Index">Professionals!$J$83</definedName>
    <definedName name="Bond_Info">'Bond Prices'!$B$5</definedName>
    <definedName name="Bond_Prices">'Bond Prices'!$L$3</definedName>
    <definedName name="C_W" localSheetId="13">#N/A</definedName>
    <definedName name="chartType">'Financial Analysis'!$AJ$5</definedName>
    <definedName name="chartType_Fin">'Financial Analysis_H'!$AB$10</definedName>
    <definedName name="Choices_Wrapper" localSheetId="13">#N/A</definedName>
    <definedName name="CIQ_Board_Members">'CIQ Professionals'!$A$16</definedName>
    <definedName name="CIQ_Key_Professional">'CIQ Professionals'!$A$3</definedName>
    <definedName name="CIQPeers">ImpData!$L$3</definedName>
    <definedName name="CIQWBGuid" localSheetId="29" hidden="1">"125d3557-021d-4001-98ed-6c8b5cb72ae0"</definedName>
    <definedName name="CIQWBGuid" localSheetId="31" hidden="1">"38b403cd-8857-4a06-a44a-5d34cfb0b910"</definedName>
    <definedName name="CIQWBGuid" localSheetId="9" hidden="1">"3984ca28-1c31-4658-88ce-61ba241d58d4"</definedName>
    <definedName name="CIQWBGuid" hidden="1">"a399500b-5eae-4451-8efb-c8164b65048e"</definedName>
    <definedName name="CIQWBInfo" hidden="1">"{ ""CIQVersion"":""9.48.1616.5174"" }"</definedName>
    <definedName name="CompanyEndPeriod">Input!$I$9</definedName>
    <definedName name="CompanyName">Input!$C$18</definedName>
    <definedName name="CompanyNumberOfPeriods">Input!$I$8</definedName>
    <definedName name="CompanyStartPeriod">Input!$H$9</definedName>
    <definedName name="CompData_Fin">'Financial Data_H'!$D$10</definedName>
    <definedName name="CompData_NonFin">'Financial Data'!$D$10</definedName>
    <definedName name="CumulativeIncomeStatement">'Financial Data'!$A$153</definedName>
    <definedName name="DecompEndPeriod">Input!$I$12</definedName>
    <definedName name="DecompStartPeriod">Input!$H$12</definedName>
    <definedName name="DivestmentDealCount">'CIQ M&amp;A Transactions'!$U$2</definedName>
    <definedName name="EndingCompanyQuarter">ImpData!$F$4</definedName>
    <definedName name="EndingCompanyYear">ImpData!$F$3</definedName>
    <definedName name="EndingQuarter">ImpData!$F$4</definedName>
    <definedName name="EndingYear">ImpData!$F$3</definedName>
    <definedName name="EndPeriod">Input!$I$16</definedName>
    <definedName name="eStart" localSheetId="13">#REF!</definedName>
    <definedName name="eStart" localSheetId="1">'Export (F)'!$B$4</definedName>
    <definedName name="eStart" localSheetId="2">'Export (N)'!$B$4</definedName>
    <definedName name="eStart">#REF!</definedName>
    <definedName name="EV__LASTREFTIME__" hidden="1">40931.5347222222</definedName>
    <definedName name="Financial_Advisor">Advisors!$B$5</definedName>
    <definedName name="Investor">'Private Ownership'!$B$5</definedName>
    <definedName name="IQ_ADDIN" hidden="1">"AUTO"</definedName>
    <definedName name="IQ_ANNUAL_DIVIDEND" hidden="1">"c229"</definedName>
    <definedName name="IQ_AVG_PRICE_TARGET" hidden="1">"c82"</definedName>
    <definedName name="IQ_BOARD_MEMBER_FAX" hidden="1">"c2100"</definedName>
    <definedName name="IQ_BOARD_MEMBER_OFFICE" hidden="1">"c2098"</definedName>
    <definedName name="IQ_BOARD_MEMBER_PHONE" hidden="1">"c2099"</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STDDEV_EST_REUT" hidden="1">"c5408"</definedName>
    <definedName name="IQ_BV_STDDEV_EST_THOM" hidden="1">"c5152"</definedName>
    <definedName name="IQ_CH">110000</definedName>
    <definedName name="IQ_CLASSB_OUTSTANDING_BS_DATE" hidden="1">"c1972"</definedName>
    <definedName name="IQ_CLASSB_OUTSTANDING_FILING_DATE" hidden="1">"c1974"</definedName>
    <definedName name="IQ_CONTRACTS_OTHER_COMMODITIES_EQUITIES._FDIC" hidden="1">"c6522"</definedName>
    <definedName name="IQ_CONV_RATE" hidden="1">"c2192"</definedName>
    <definedName name="IQ_CQ">5000</definedName>
    <definedName name="IQ_CY">10000</definedName>
    <definedName name="IQ_DAILY">500000</definedName>
    <definedName name="IQ_DNTM" hidden="1">700000</definedName>
    <definedName name="IQ_DPAC" hidden="1">"c2801"</definedName>
    <definedName name="IQ_EBIT_10K" hidden="1">"IQ_EBIT_10K"</definedName>
    <definedName name="IQ_EBIT_10Q" hidden="1">"IQ_EBIT_10Q"</definedName>
    <definedName name="IQ_EBIT_10Q1" hidden="1">"IQ_EBIT_10Q1"</definedName>
    <definedName name="IQ_EBIT_GROWTH_1" hidden="1">"c157"</definedName>
    <definedName name="IQ_EBIT_GROWTH_2" hidden="1">"c161"</definedName>
    <definedName name="IQ_EBITDA_10K" hidden="1">"IQ_EBITDA_10K"</definedName>
    <definedName name="IQ_EBITDA_10Q" hidden="1">"IQ_EBITDA_10Q"</definedName>
    <definedName name="IQ_EBITDA_10Q1" hidden="1">"IQ_EBITDA_10Q1"</definedName>
    <definedName name="IQ_EBITDA_GROWTH_1" hidden="1">"c156"</definedName>
    <definedName name="IQ_EBITDA_GROWTH_2" hidden="1">"c160"</definedName>
    <definedName name="IQ_ECO_METRIC_6810" hidden="1">"c6810"</definedName>
    <definedName name="IQ_ECO_METRIC_6811" hidden="1">"c6811"</definedName>
    <definedName name="IQ_ECO_METRIC_6812" hidden="1">"c6812"</definedName>
    <definedName name="IQ_ECO_METRIC_6813" hidden="1">"c6813"</definedName>
    <definedName name="IQ_ECO_METRIC_6814" hidden="1">"c6814"</definedName>
    <definedName name="IQ_ECO_METRIC_6815" hidden="1">"c6815"</definedName>
    <definedName name="IQ_ECO_METRIC_6816" hidden="1">"c6816"</definedName>
    <definedName name="IQ_ECO_METRIC_6817" hidden="1">"c6817"</definedName>
    <definedName name="IQ_ECO_METRIC_6818" hidden="1">"c6818"</definedName>
    <definedName name="IQ_ECO_METRIC_6819" hidden="1">"c6819"</definedName>
    <definedName name="IQ_ECO_METRIC_6820" hidden="1">"c6820"</definedName>
    <definedName name="IQ_ECO_METRIC_6821" hidden="1">"c6821"</definedName>
    <definedName name="IQ_ECO_METRIC_6822" hidden="1">"c6822"</definedName>
    <definedName name="IQ_ECO_METRIC_6823" hidden="1">"c6823"</definedName>
    <definedName name="IQ_ECO_METRIC_6824" hidden="1">"c6824"</definedName>
    <definedName name="IQ_ECO_METRIC_6825" hidden="1">"c6825"</definedName>
    <definedName name="IQ_ECO_METRIC_6826" hidden="1">"c6826"</definedName>
    <definedName name="IQ_ECO_METRIC_6827" hidden="1">"c6827"</definedName>
    <definedName name="IQ_ECO_METRIC_6828" hidden="1">"c6828"</definedName>
    <definedName name="IQ_ECO_METRIC_6829" hidden="1">"c6829"</definedName>
    <definedName name="IQ_ECO_METRIC_6830" hidden="1">"c6830"</definedName>
    <definedName name="IQ_ECO_METRIC_6831" hidden="1">"c6831"</definedName>
    <definedName name="IQ_ECO_METRIC_6832" hidden="1">"c6832"</definedName>
    <definedName name="IQ_ECO_METRIC_6833" hidden="1">"c6833"</definedName>
    <definedName name="IQ_ECO_METRIC_6834" hidden="1">"c6834"</definedName>
    <definedName name="IQ_ECO_METRIC_6835" hidden="1">"c6835"</definedName>
    <definedName name="IQ_ECO_METRIC_6836" hidden="1">"c6836"</definedName>
    <definedName name="IQ_ECO_METRIC_6837" hidden="1">"c6837"</definedName>
    <definedName name="IQ_ECO_METRIC_6838" hidden="1">"c6838"</definedName>
    <definedName name="IQ_ECO_METRIC_6839" hidden="1">"c6839"</definedName>
    <definedName name="IQ_ECO_METRIC_6840" hidden="1">"c6840"</definedName>
    <definedName name="IQ_ECO_METRIC_6841" hidden="1">"c6841"</definedName>
    <definedName name="IQ_ECO_METRIC_6842" hidden="1">"c6842"</definedName>
    <definedName name="IQ_ECO_METRIC_6843" hidden="1">"c6843"</definedName>
    <definedName name="IQ_ECO_METRIC_6844" hidden="1">"c6844"</definedName>
    <definedName name="IQ_ECO_METRIC_6845" hidden="1">"c6845"</definedName>
    <definedName name="IQ_ECO_METRIC_6846" hidden="1">"c6846"</definedName>
    <definedName name="IQ_ECO_METRIC_6847" hidden="1">"c6847"</definedName>
    <definedName name="IQ_ECO_METRIC_6848" hidden="1">"c6848"</definedName>
    <definedName name="IQ_ECO_METRIC_6849" hidden="1">"c6849"</definedName>
    <definedName name="IQ_ECO_METRIC_6850" hidden="1">"c6850"</definedName>
    <definedName name="IQ_ECO_METRIC_6851" hidden="1">"c6851"</definedName>
    <definedName name="IQ_ECO_METRIC_6852" hidden="1">"c6852"</definedName>
    <definedName name="IQ_ECO_METRIC_6853" hidden="1">"c6853"</definedName>
    <definedName name="IQ_ECO_METRIC_6854" hidden="1">"c6854"</definedName>
    <definedName name="IQ_ECO_METRIC_6855" hidden="1">"c6855"</definedName>
    <definedName name="IQ_ECO_METRIC_6856" hidden="1">"c6856"</definedName>
    <definedName name="IQ_ECO_METRIC_6857" hidden="1">"c6857"</definedName>
    <definedName name="IQ_ECO_METRIC_6858" hidden="1">"c6858"</definedName>
    <definedName name="IQ_ECO_METRIC_6859" hidden="1">"c6859"</definedName>
    <definedName name="IQ_ECO_METRIC_6860" hidden="1">"c6860"</definedName>
    <definedName name="IQ_ECO_METRIC_6861" hidden="1">"c6861"</definedName>
    <definedName name="IQ_ECO_METRIC_6862" hidden="1">"c6862"</definedName>
    <definedName name="IQ_ECO_METRIC_6863" hidden="1">"c6863"</definedName>
    <definedName name="IQ_ECO_METRIC_6864" hidden="1">"c6864"</definedName>
    <definedName name="IQ_ECO_METRIC_6865" hidden="1">"c6865"</definedName>
    <definedName name="IQ_ECO_METRIC_6866" hidden="1">"c6866"</definedName>
    <definedName name="IQ_ECO_METRIC_6867" hidden="1">"c6867"</definedName>
    <definedName name="IQ_ECO_METRIC_6868" hidden="1">"c6868"</definedName>
    <definedName name="IQ_ECO_METRIC_6869" hidden="1">"c6869"</definedName>
    <definedName name="IQ_ECO_METRIC_6870" hidden="1">"c6870"</definedName>
    <definedName name="IQ_ECO_METRIC_6871" hidden="1">"c6871"</definedName>
    <definedName name="IQ_ECO_METRIC_6872" hidden="1">"c6872"</definedName>
    <definedName name="IQ_ECO_METRIC_6873" hidden="1">"c6873"</definedName>
    <definedName name="IQ_ECO_METRIC_6874" hidden="1">"c6874"</definedName>
    <definedName name="IQ_ECO_METRIC_6875" hidden="1">"c6875"</definedName>
    <definedName name="IQ_ECO_METRIC_6876" hidden="1">"c6876"</definedName>
    <definedName name="IQ_ECO_METRIC_6877" hidden="1">"c6877"</definedName>
    <definedName name="IQ_ECO_METRIC_6878" hidden="1">"c6878"</definedName>
    <definedName name="IQ_ECO_METRIC_6879" hidden="1">"c6879"</definedName>
    <definedName name="IQ_ECO_METRIC_6880" hidden="1">"c6880"</definedName>
    <definedName name="IQ_ECO_METRIC_6881" hidden="1">"c6881"</definedName>
    <definedName name="IQ_ECO_METRIC_6882" hidden="1">"c6882"</definedName>
    <definedName name="IQ_ECO_METRIC_6883" hidden="1">"c6883"</definedName>
    <definedName name="IQ_ECO_METRIC_6884" hidden="1">"c6884"</definedName>
    <definedName name="IQ_ECO_METRIC_6885" hidden="1">"c6885"</definedName>
    <definedName name="IQ_ECO_METRIC_6886" hidden="1">"c6886"</definedName>
    <definedName name="IQ_ECO_METRIC_6887" hidden="1">"c6887"</definedName>
    <definedName name="IQ_ECO_METRIC_6888" hidden="1">"c6888"</definedName>
    <definedName name="IQ_ECO_METRIC_6889" hidden="1">"c6889"</definedName>
    <definedName name="IQ_ECO_METRIC_6890" hidden="1">"c6890"</definedName>
    <definedName name="IQ_ECO_METRIC_6891" hidden="1">"c6891"</definedName>
    <definedName name="IQ_ECO_METRIC_6892" hidden="1">"c6892"</definedName>
    <definedName name="IQ_ECO_METRIC_6893" hidden="1">"c6893"</definedName>
    <definedName name="IQ_ECO_METRIC_6894" hidden="1">"c6894"</definedName>
    <definedName name="IQ_ECO_METRIC_6895" hidden="1">"c6895"</definedName>
    <definedName name="IQ_ECO_METRIC_6896" hidden="1">"c6896"</definedName>
    <definedName name="IQ_ECO_METRIC_6897" hidden="1">"c6897"</definedName>
    <definedName name="IQ_ECO_METRIC_6899" hidden="1">"c6899"</definedName>
    <definedName name="IQ_ECO_METRIC_6900" hidden="1">"c6900"</definedName>
    <definedName name="IQ_ECO_METRIC_6901" hidden="1">"c6901"</definedName>
    <definedName name="IQ_ECO_METRIC_6902" hidden="1">"c6902"</definedName>
    <definedName name="IQ_ECO_METRIC_6903" hidden="1">"c6903"</definedName>
    <definedName name="IQ_ECO_METRIC_6904" hidden="1">"c6904"</definedName>
    <definedName name="IQ_ECO_METRIC_6905" hidden="1">"c6905"</definedName>
    <definedName name="IQ_ECO_METRIC_6906" hidden="1">"c6906"</definedName>
    <definedName name="IQ_ECO_METRIC_6907" hidden="1">"c6907"</definedName>
    <definedName name="IQ_ECO_METRIC_6908" hidden="1">"c6908"</definedName>
    <definedName name="IQ_ECO_METRIC_6909" hidden="1">"c6909"</definedName>
    <definedName name="IQ_ECO_METRIC_6910" hidden="1">"c6910"</definedName>
    <definedName name="IQ_ECO_METRIC_6911" hidden="1">"c6911"</definedName>
    <definedName name="IQ_ECO_METRIC_6912" hidden="1">"c6912"</definedName>
    <definedName name="IQ_ECO_METRIC_6913" hidden="1">"c6913"</definedName>
    <definedName name="IQ_ECO_METRIC_6914" hidden="1">"c6914"</definedName>
    <definedName name="IQ_ECO_METRIC_6915" hidden="1">"c6915"</definedName>
    <definedName name="IQ_ECO_METRIC_6916" hidden="1">"c6916"</definedName>
    <definedName name="IQ_ECO_METRIC_6917" hidden="1">"c6917"</definedName>
    <definedName name="IQ_ECO_METRIC_6918" hidden="1">"c6918"</definedName>
    <definedName name="IQ_ECO_METRIC_6919" hidden="1">"c6919"</definedName>
    <definedName name="IQ_ECO_METRIC_6920" hidden="1">"c6920"</definedName>
    <definedName name="IQ_ECO_METRIC_6921" hidden="1">"c6921"</definedName>
    <definedName name="IQ_ECO_METRIC_6922" hidden="1">"c6922"</definedName>
    <definedName name="IQ_ECO_METRIC_6923" hidden="1">"c6923"</definedName>
    <definedName name="IQ_ECO_METRIC_6924" hidden="1">"c6924"</definedName>
    <definedName name="IQ_ECO_METRIC_6925" hidden="1">"c6925"</definedName>
    <definedName name="IQ_ECO_METRIC_6926" hidden="1">"c6926"</definedName>
    <definedName name="IQ_ECO_METRIC_6928" hidden="1">"c6928"</definedName>
    <definedName name="IQ_ECO_METRIC_6929" hidden="1">"c6929"</definedName>
    <definedName name="IQ_ECO_METRIC_6930" hidden="1">"c6930"</definedName>
    <definedName name="IQ_ECO_METRIC_6931" hidden="1">"c6931"</definedName>
    <definedName name="IQ_ECO_METRIC_6932" hidden="1">"c6932"</definedName>
    <definedName name="IQ_ECO_METRIC_6933" hidden="1">"c6933"</definedName>
    <definedName name="IQ_ECO_METRIC_6934" hidden="1">"c6934"</definedName>
    <definedName name="IQ_ECO_METRIC_6935" hidden="1">"c6935"</definedName>
    <definedName name="IQ_ECO_METRIC_6936" hidden="1">"c6936"</definedName>
    <definedName name="IQ_ECO_METRIC_6937" hidden="1">"c6937"</definedName>
    <definedName name="IQ_ECO_METRIC_6938" hidden="1">"c6938"</definedName>
    <definedName name="IQ_ECO_METRIC_6939" hidden="1">"c6939"</definedName>
    <definedName name="IQ_ECO_METRIC_6940" hidden="1">"c6940"</definedName>
    <definedName name="IQ_ECO_METRIC_6941" hidden="1">"c6941"</definedName>
    <definedName name="IQ_ECO_METRIC_6942" hidden="1">"c6942"</definedName>
    <definedName name="IQ_ECO_METRIC_6943" hidden="1">"c6943"</definedName>
    <definedName name="IQ_ECO_METRIC_6944" hidden="1">"c6944"</definedName>
    <definedName name="IQ_ECO_METRIC_6945" hidden="1">"c6945"</definedName>
    <definedName name="IQ_ECO_METRIC_6946" hidden="1">"c6946"</definedName>
    <definedName name="IQ_ECO_METRIC_6947" hidden="1">"c6947"</definedName>
    <definedName name="IQ_ECO_METRIC_6948" hidden="1">"c6948"</definedName>
    <definedName name="IQ_ECO_METRIC_6949" hidden="1">"c6949"</definedName>
    <definedName name="IQ_ECO_METRIC_6950" hidden="1">"c6950"</definedName>
    <definedName name="IQ_ECO_METRIC_6951" hidden="1">"c6951"</definedName>
    <definedName name="IQ_ECO_METRIC_6952" hidden="1">"c6952"</definedName>
    <definedName name="IQ_ECO_METRIC_6953" hidden="1">"c6953"</definedName>
    <definedName name="IQ_ECO_METRIC_6954" hidden="1">"c6954"</definedName>
    <definedName name="IQ_ECO_METRIC_6955" hidden="1">"c6955"</definedName>
    <definedName name="IQ_ECO_METRIC_6956" hidden="1">"c6956"</definedName>
    <definedName name="IQ_ECO_METRIC_6957" hidden="1">"c6957"</definedName>
    <definedName name="IQ_ECO_METRIC_6958" hidden="1">"c6958"</definedName>
    <definedName name="IQ_ECO_METRIC_6959" hidden="1">"c6959"</definedName>
    <definedName name="IQ_ECO_METRIC_6960" hidden="1">"c6960"</definedName>
    <definedName name="IQ_ECO_METRIC_6962" hidden="1">"c6962"</definedName>
    <definedName name="IQ_ECO_METRIC_6963" hidden="1">"c6963"</definedName>
    <definedName name="IQ_ECO_METRIC_6964" hidden="1">"c6964"</definedName>
    <definedName name="IQ_ECO_METRIC_6965" hidden="1">"c6965"</definedName>
    <definedName name="IQ_ECO_METRIC_6966" hidden="1">"c6966"</definedName>
    <definedName name="IQ_ECO_METRIC_6967" hidden="1">"c6967"</definedName>
    <definedName name="IQ_ECO_METRIC_6968" hidden="1">"c6968"</definedName>
    <definedName name="IQ_ECO_METRIC_6969" hidden="1">"c6969"</definedName>
    <definedName name="IQ_ECO_METRIC_6970" hidden="1">"c6970"</definedName>
    <definedName name="IQ_ECO_METRIC_6971" hidden="1">"c6971"</definedName>
    <definedName name="IQ_ECO_METRIC_6972" hidden="1">"c6972"</definedName>
    <definedName name="IQ_ECO_METRIC_6973" hidden="1">"c6973"</definedName>
    <definedName name="IQ_ECO_METRIC_6974" hidden="1">"c6974"</definedName>
    <definedName name="IQ_ECO_METRIC_6975" hidden="1">"c6975"</definedName>
    <definedName name="IQ_ECO_METRIC_6976" hidden="1">"c6976"</definedName>
    <definedName name="IQ_ECO_METRIC_6977" hidden="1">"c6977"</definedName>
    <definedName name="IQ_ECO_METRIC_6978" hidden="1">"c6978"</definedName>
    <definedName name="IQ_ECO_METRIC_6979" hidden="1">"c6979"</definedName>
    <definedName name="IQ_ECO_METRIC_6980" hidden="1">"c6980"</definedName>
    <definedName name="IQ_ECO_METRIC_6981" hidden="1">"c6981"</definedName>
    <definedName name="IQ_ECO_METRIC_6982" hidden="1">"c6982"</definedName>
    <definedName name="IQ_ECO_METRIC_6983" hidden="1">"c6983"</definedName>
    <definedName name="IQ_ECO_METRIC_6984" hidden="1">"c6984"</definedName>
    <definedName name="IQ_ECO_METRIC_6985" hidden="1">"c6985"</definedName>
    <definedName name="IQ_ECO_METRIC_6986" hidden="1">"c6986"</definedName>
    <definedName name="IQ_ECO_METRIC_6987" hidden="1">"c6987"</definedName>
    <definedName name="IQ_ECO_METRIC_6988" hidden="1">"c6988"</definedName>
    <definedName name="IQ_ECO_METRIC_6989" hidden="1">"c6989"</definedName>
    <definedName name="IQ_ECO_METRIC_6990" hidden="1">"c6990"</definedName>
    <definedName name="IQ_ECO_METRIC_6991" hidden="1">"c6991"</definedName>
    <definedName name="IQ_ECO_METRIC_6992" hidden="1">"c6992"</definedName>
    <definedName name="IQ_ECO_METRIC_6993" hidden="1">"c6993"</definedName>
    <definedName name="IQ_ECO_METRIC_6994" hidden="1">"c6994"</definedName>
    <definedName name="IQ_ECO_METRIC_6995" hidden="1">"c6995"</definedName>
    <definedName name="IQ_ECO_METRIC_6996" hidden="1">"c6996"</definedName>
    <definedName name="IQ_ECO_METRIC_6997" hidden="1">"c6997"</definedName>
    <definedName name="IQ_ECO_METRIC_6998" hidden="1">"c6998"</definedName>
    <definedName name="IQ_ECO_METRIC_7000" hidden="1">"c7000"</definedName>
    <definedName name="IQ_ECO_METRIC_7001" hidden="1">"c7001"</definedName>
    <definedName name="IQ_ECO_METRIC_7002" hidden="1">"c7002"</definedName>
    <definedName name="IQ_ECO_METRIC_7003" hidden="1">"c7003"</definedName>
    <definedName name="IQ_ECO_METRIC_7004" hidden="1">"c7004"</definedName>
    <definedName name="IQ_ECO_METRIC_7005" hidden="1">"c7005"</definedName>
    <definedName name="IQ_ECO_METRIC_7006" hidden="1">"c7006"</definedName>
    <definedName name="IQ_ECO_METRIC_7007" hidden="1">"c7007"</definedName>
    <definedName name="IQ_ECO_METRIC_7008" hidden="1">"c7008"</definedName>
    <definedName name="IQ_ECO_METRIC_7009" hidden="1">"c7009"</definedName>
    <definedName name="IQ_ECO_METRIC_7010" hidden="1">"c7010"</definedName>
    <definedName name="IQ_ECO_METRIC_7011" hidden="1">"c7011"</definedName>
    <definedName name="IQ_ECO_METRIC_7012" hidden="1">"c7012"</definedName>
    <definedName name="IQ_ECO_METRIC_7013" hidden="1">"c7013"</definedName>
    <definedName name="IQ_ECO_METRIC_7015" hidden="1">"c7015"</definedName>
    <definedName name="IQ_ECO_METRIC_7016" hidden="1">"c7016"</definedName>
    <definedName name="IQ_ECO_METRIC_7017" hidden="1">"c7017"</definedName>
    <definedName name="IQ_ECO_METRIC_7018" hidden="1">"c7018"</definedName>
    <definedName name="IQ_ECO_METRIC_7019" hidden="1">"c7019"</definedName>
    <definedName name="IQ_ECO_METRIC_7020" hidden="1">"c7020"</definedName>
    <definedName name="IQ_ECO_METRIC_7021" hidden="1">"c7021"</definedName>
    <definedName name="IQ_ECO_METRIC_7023" hidden="1">"c7023"</definedName>
    <definedName name="IQ_ECO_METRIC_7024" hidden="1">"c7024"</definedName>
    <definedName name="IQ_ECO_METRIC_7025" hidden="1">"c7025"</definedName>
    <definedName name="IQ_ECO_METRIC_7026" hidden="1">"c7026"</definedName>
    <definedName name="IQ_ECO_METRIC_7027" hidden="1">"c7027"</definedName>
    <definedName name="IQ_ECO_METRIC_7028" hidden="1">"c7028"</definedName>
    <definedName name="IQ_ECO_METRIC_7029" hidden="1">"c7029"</definedName>
    <definedName name="IQ_ECO_METRIC_7030" hidden="1">"c7030"</definedName>
    <definedName name="IQ_ECO_METRIC_7031" hidden="1">"c7031"</definedName>
    <definedName name="IQ_ECO_METRIC_7032" hidden="1">"c7032"</definedName>
    <definedName name="IQ_ECO_METRIC_7033" hidden="1">"c7033"</definedName>
    <definedName name="IQ_ECO_METRIC_7034" hidden="1">"c7034"</definedName>
    <definedName name="IQ_ECO_METRIC_7035" hidden="1">"c7035"</definedName>
    <definedName name="IQ_ECO_METRIC_7036" hidden="1">"c7036"</definedName>
    <definedName name="IQ_ECO_METRIC_7037" hidden="1">"c7037"</definedName>
    <definedName name="IQ_ECO_METRIC_7038" hidden="1">"c7038"</definedName>
    <definedName name="IQ_ECO_METRIC_7039" hidden="1">"c7039"</definedName>
    <definedName name="IQ_ECO_METRIC_7040" hidden="1">"c7040"</definedName>
    <definedName name="IQ_ECO_METRIC_7041" hidden="1">"c7041"</definedName>
    <definedName name="IQ_ECO_METRIC_7042" hidden="1">"c7042"</definedName>
    <definedName name="IQ_ECO_METRIC_7043" hidden="1">"c7043"</definedName>
    <definedName name="IQ_ECO_METRIC_7044" hidden="1">"c7044"</definedName>
    <definedName name="IQ_ECO_METRIC_7045" hidden="1">"c7045"</definedName>
    <definedName name="IQ_ECO_METRIC_7046" hidden="1">"c7046"</definedName>
    <definedName name="IQ_ECO_METRIC_7047" hidden="1">"c7047"</definedName>
    <definedName name="IQ_ECO_METRIC_7048" hidden="1">"c7048"</definedName>
    <definedName name="IQ_ECO_METRIC_7049" hidden="1">"c7049"</definedName>
    <definedName name="IQ_ECO_METRIC_7050" hidden="1">"c7050"</definedName>
    <definedName name="IQ_ECO_METRIC_7051" hidden="1">"c7051"</definedName>
    <definedName name="IQ_ECO_METRIC_7052" hidden="1">"c7052"</definedName>
    <definedName name="IQ_ECO_METRIC_7053" hidden="1">"c7053"</definedName>
    <definedName name="IQ_ECO_METRIC_7054" hidden="1">"c7054"</definedName>
    <definedName name="IQ_ECO_METRIC_7055" hidden="1">"c7055"</definedName>
    <definedName name="IQ_ECO_METRIC_7056" hidden="1">"c7056"</definedName>
    <definedName name="IQ_ECO_METRIC_7057" hidden="1">"c7057"</definedName>
    <definedName name="IQ_ECO_METRIC_7058" hidden="1">"c7058"</definedName>
    <definedName name="IQ_ECO_METRIC_7059" hidden="1">"c7059"</definedName>
    <definedName name="IQ_ECO_METRIC_7060" hidden="1">"c7060"</definedName>
    <definedName name="IQ_ECO_METRIC_7061" hidden="1">"c7061"</definedName>
    <definedName name="IQ_ECO_METRIC_7062" hidden="1">"c7062"</definedName>
    <definedName name="IQ_ECO_METRIC_7063" hidden="1">"c7063"</definedName>
    <definedName name="IQ_ECO_METRIC_7064" hidden="1">"c7064"</definedName>
    <definedName name="IQ_ECO_METRIC_7065" hidden="1">"c7065"</definedName>
    <definedName name="IQ_ECO_METRIC_7066" hidden="1">"c7066"</definedName>
    <definedName name="IQ_ECO_METRIC_7067" hidden="1">"c7067"</definedName>
    <definedName name="IQ_ECO_METRIC_7068" hidden="1">"c7068"</definedName>
    <definedName name="IQ_ECO_METRIC_7069" hidden="1">"c7069"</definedName>
    <definedName name="IQ_ECO_METRIC_7070" hidden="1">"c7070"</definedName>
    <definedName name="IQ_ECO_METRIC_7071" hidden="1">"c7071"</definedName>
    <definedName name="IQ_ECO_METRIC_7072" hidden="1">"c7072"</definedName>
    <definedName name="IQ_ECO_METRIC_7073" hidden="1">"c7073"</definedName>
    <definedName name="IQ_ECO_METRIC_7074" hidden="1">"c7074"</definedName>
    <definedName name="IQ_ECO_METRIC_7075" hidden="1">"c7075"</definedName>
    <definedName name="IQ_ECO_METRIC_7076" hidden="1">"c7076"</definedName>
    <definedName name="IQ_ECO_METRIC_7077" hidden="1">"c7077"</definedName>
    <definedName name="IQ_ECO_METRIC_7078" hidden="1">"c7078"</definedName>
    <definedName name="IQ_ECO_METRIC_7079" hidden="1">"c7079"</definedName>
    <definedName name="IQ_ECO_METRIC_7080" hidden="1">"c7080"</definedName>
    <definedName name="IQ_ECO_METRIC_7081" hidden="1">"c7081"</definedName>
    <definedName name="IQ_ECO_METRIC_7082" hidden="1">"c7082"</definedName>
    <definedName name="IQ_ECO_METRIC_7083" hidden="1">"c7083"</definedName>
    <definedName name="IQ_ECO_METRIC_7084" hidden="1">"c7084"</definedName>
    <definedName name="IQ_ECO_METRIC_7085" hidden="1">"c7085"</definedName>
    <definedName name="IQ_ECO_METRIC_7086" hidden="1">"c7086"</definedName>
    <definedName name="IQ_ECO_METRIC_7087" hidden="1">"c7087"</definedName>
    <definedName name="IQ_ECO_METRIC_7088" hidden="1">"c7088"</definedName>
    <definedName name="IQ_ECO_METRIC_7089" hidden="1">"c7089"</definedName>
    <definedName name="IQ_ECO_METRIC_7090" hidden="1">"c7090"</definedName>
    <definedName name="IQ_ECO_METRIC_7091" hidden="1">"c7091"</definedName>
    <definedName name="IQ_ECO_METRIC_7092" hidden="1">"c7092"</definedName>
    <definedName name="IQ_ECO_METRIC_7093" hidden="1">"c7093"</definedName>
    <definedName name="IQ_ECO_METRIC_7094" hidden="1">"c7094"</definedName>
    <definedName name="IQ_ECO_METRIC_7095" hidden="1">"c7095"</definedName>
    <definedName name="IQ_ECO_METRIC_7096" hidden="1">"c7096"</definedName>
    <definedName name="IQ_ECO_METRIC_7097" hidden="1">"c7097"</definedName>
    <definedName name="IQ_ECO_METRIC_7098" hidden="1">"c7098"</definedName>
    <definedName name="IQ_ECO_METRIC_7099" hidden="1">"c7099"</definedName>
    <definedName name="IQ_ECO_METRIC_7100" hidden="1">"c7100"</definedName>
    <definedName name="IQ_ECO_METRIC_7101" hidden="1">"c7101"</definedName>
    <definedName name="IQ_ECO_METRIC_7102" hidden="1">"c7102"</definedName>
    <definedName name="IQ_ECO_METRIC_7103" hidden="1">"c7103"</definedName>
    <definedName name="IQ_ECO_METRIC_7104" hidden="1">"c7104"</definedName>
    <definedName name="IQ_ECO_METRIC_7105" hidden="1">"c7105"</definedName>
    <definedName name="IQ_ECO_METRIC_7106" hidden="1">"c7106"</definedName>
    <definedName name="IQ_ECO_METRIC_7107" hidden="1">"c7107"</definedName>
    <definedName name="IQ_ECO_METRIC_7108" hidden="1">"c7108"</definedName>
    <definedName name="IQ_ECO_METRIC_7109" hidden="1">"c7109"</definedName>
    <definedName name="IQ_ECO_METRIC_7110" hidden="1">"c7110"</definedName>
    <definedName name="IQ_ECO_METRIC_7111" hidden="1">"c7111"</definedName>
    <definedName name="IQ_ECO_METRIC_7112" hidden="1">"c7112"</definedName>
    <definedName name="IQ_ECO_METRIC_7113" hidden="1">"c7113"</definedName>
    <definedName name="IQ_ECO_METRIC_7114" hidden="1">"c7114"</definedName>
    <definedName name="IQ_ECO_METRIC_7115" hidden="1">"c7115"</definedName>
    <definedName name="IQ_ECO_METRIC_7116" hidden="1">"c7116"</definedName>
    <definedName name="IQ_ECO_METRIC_7117" hidden="1">"c7117"</definedName>
    <definedName name="IQ_ECO_METRIC_7119" hidden="1">"c7119"</definedName>
    <definedName name="IQ_ECO_METRIC_7120" hidden="1">"c7120"</definedName>
    <definedName name="IQ_ECO_METRIC_7121" hidden="1">"c7121"</definedName>
    <definedName name="IQ_ECO_METRIC_7122" hidden="1">"c7122"</definedName>
    <definedName name="IQ_ECO_METRIC_7123" hidden="1">"c7123"</definedName>
    <definedName name="IQ_ECO_METRIC_7124" hidden="1">"c7124"</definedName>
    <definedName name="IQ_ECO_METRIC_7125" hidden="1">"c7125"</definedName>
    <definedName name="IQ_ECO_METRIC_7126" hidden="1">"c7126"</definedName>
    <definedName name="IQ_ECO_METRIC_7127" hidden="1">"c7127"</definedName>
    <definedName name="IQ_ECO_METRIC_7128" hidden="1">"c7128"</definedName>
    <definedName name="IQ_ECO_METRIC_7129" hidden="1">"c7129"</definedName>
    <definedName name="IQ_ECO_METRIC_7130" hidden="1">"c7130"</definedName>
    <definedName name="IQ_ECO_METRIC_7131" hidden="1">"c7131"</definedName>
    <definedName name="IQ_ECO_METRIC_7132" hidden="1">"c7132"</definedName>
    <definedName name="IQ_ECO_METRIC_7133" hidden="1">"c7133"</definedName>
    <definedName name="IQ_ECO_METRIC_7134" hidden="1">"c7134"</definedName>
    <definedName name="IQ_ECO_METRIC_7135" hidden="1">"c7135"</definedName>
    <definedName name="IQ_ECO_METRIC_7136" hidden="1">"c7136"</definedName>
    <definedName name="IQ_ECO_METRIC_7137" hidden="1">"c7137"</definedName>
    <definedName name="IQ_ECO_METRIC_7138" hidden="1">"c7138"</definedName>
    <definedName name="IQ_ECO_METRIC_7139" hidden="1">"c7139"</definedName>
    <definedName name="IQ_ECO_METRIC_7140" hidden="1">"c7140"</definedName>
    <definedName name="IQ_ECO_METRIC_7141" hidden="1">"c7141"</definedName>
    <definedName name="IQ_ECO_METRIC_7142" hidden="1">"c7142"</definedName>
    <definedName name="IQ_ECO_METRIC_7143" hidden="1">"c7143"</definedName>
    <definedName name="IQ_ECO_METRIC_7144" hidden="1">"c7144"</definedName>
    <definedName name="IQ_ECO_METRIC_7145" hidden="1">"c7145"</definedName>
    <definedName name="IQ_ECO_METRIC_7146" hidden="1">"c7146"</definedName>
    <definedName name="IQ_ECO_METRIC_7148" hidden="1">"c7148"</definedName>
    <definedName name="IQ_ECO_METRIC_7149" hidden="1">"c7149"</definedName>
    <definedName name="IQ_ECO_METRIC_7150" hidden="1">"c7150"</definedName>
    <definedName name="IQ_ECO_METRIC_7151" hidden="1">"c7151"</definedName>
    <definedName name="IQ_ECO_METRIC_7152" hidden="1">"c7152"</definedName>
    <definedName name="IQ_ECO_METRIC_7153" hidden="1">"c7153"</definedName>
    <definedName name="IQ_ECO_METRIC_7154" hidden="1">"c7154"</definedName>
    <definedName name="IQ_ECO_METRIC_7155" hidden="1">"c7155"</definedName>
    <definedName name="IQ_ECO_METRIC_7156" hidden="1">"c7156"</definedName>
    <definedName name="IQ_ECO_METRIC_7157" hidden="1">"c7157"</definedName>
    <definedName name="IQ_ECO_METRIC_7158" hidden="1">"c7158"</definedName>
    <definedName name="IQ_ECO_METRIC_7159" hidden="1">"c7159"</definedName>
    <definedName name="IQ_ECO_METRIC_7160" hidden="1">"c7160"</definedName>
    <definedName name="IQ_ECO_METRIC_7161" hidden="1">"c7161"</definedName>
    <definedName name="IQ_ECO_METRIC_7162" hidden="1">"c7162"</definedName>
    <definedName name="IQ_ECO_METRIC_7163" hidden="1">"c7163"</definedName>
    <definedName name="IQ_ECO_METRIC_7164" hidden="1">"c7164"</definedName>
    <definedName name="IQ_ECO_METRIC_7165" hidden="1">"c7165"</definedName>
    <definedName name="IQ_ECO_METRIC_7166" hidden="1">"c7166"</definedName>
    <definedName name="IQ_ECO_METRIC_7167" hidden="1">"c7167"</definedName>
    <definedName name="IQ_ECO_METRIC_7168" hidden="1">"c7168"</definedName>
    <definedName name="IQ_ECO_METRIC_7169" hidden="1">"c7169"</definedName>
    <definedName name="IQ_ECO_METRIC_7170" hidden="1">"c7170"</definedName>
    <definedName name="IQ_ECO_METRIC_7171" hidden="1">"c7171"</definedName>
    <definedName name="IQ_ECO_METRIC_7172" hidden="1">"c7172"</definedName>
    <definedName name="IQ_ECO_METRIC_7173" hidden="1">"c7173"</definedName>
    <definedName name="IQ_ECO_METRIC_7174" hidden="1">"c7174"</definedName>
    <definedName name="IQ_ECO_METRIC_7175" hidden="1">"c7175"</definedName>
    <definedName name="IQ_ECO_METRIC_7176" hidden="1">"c7176"</definedName>
    <definedName name="IQ_ECO_METRIC_7177" hidden="1">"c7177"</definedName>
    <definedName name="IQ_ECO_METRIC_7178" hidden="1">"c7178"</definedName>
    <definedName name="IQ_ECO_METRIC_7179" hidden="1">"c7179"</definedName>
    <definedName name="IQ_ECO_METRIC_7180" hidden="1">"c7180"</definedName>
    <definedName name="IQ_ECO_METRIC_7182" hidden="1">"c7182"</definedName>
    <definedName name="IQ_ECO_METRIC_7183" hidden="1">"c7183"</definedName>
    <definedName name="IQ_ECO_METRIC_7184" hidden="1">"c7184"</definedName>
    <definedName name="IQ_ECO_METRIC_7185" hidden="1">"c7185"</definedName>
    <definedName name="IQ_ECO_METRIC_7186" hidden="1">"c7186"</definedName>
    <definedName name="IQ_ECO_METRIC_7187" hidden="1">"c7187"</definedName>
    <definedName name="IQ_ECO_METRIC_7188" hidden="1">"c7188"</definedName>
    <definedName name="IQ_ECO_METRIC_7189" hidden="1">"c7189"</definedName>
    <definedName name="IQ_ECO_METRIC_7190" hidden="1">"c7190"</definedName>
    <definedName name="IQ_ECO_METRIC_7191" hidden="1">"c7191"</definedName>
    <definedName name="IQ_ECO_METRIC_7192" hidden="1">"c7192"</definedName>
    <definedName name="IQ_ECO_METRIC_7193" hidden="1">"c7193"</definedName>
    <definedName name="IQ_ECO_METRIC_7194" hidden="1">"c7194"</definedName>
    <definedName name="IQ_ECO_METRIC_7195" hidden="1">"c7195"</definedName>
    <definedName name="IQ_ECO_METRIC_7196" hidden="1">"c7196"</definedName>
    <definedName name="IQ_ECO_METRIC_7197" hidden="1">"c7197"</definedName>
    <definedName name="IQ_ECO_METRIC_7198" hidden="1">"c7198"</definedName>
    <definedName name="IQ_ECO_METRIC_7199" hidden="1">"c7199"</definedName>
    <definedName name="IQ_ECO_METRIC_7200" hidden="1">"c7200"</definedName>
    <definedName name="IQ_ECO_METRIC_7201" hidden="1">"c7201"</definedName>
    <definedName name="IQ_ECO_METRIC_7202" hidden="1">"c7202"</definedName>
    <definedName name="IQ_ECO_METRIC_7203" hidden="1">"c7203"</definedName>
    <definedName name="IQ_ECO_METRIC_7204" hidden="1">"c7204"</definedName>
    <definedName name="IQ_ECO_METRIC_7205" hidden="1">"c7205"</definedName>
    <definedName name="IQ_ECO_METRIC_7206" hidden="1">"c7206"</definedName>
    <definedName name="IQ_ECO_METRIC_7207" hidden="1">"c7207"</definedName>
    <definedName name="IQ_ECO_METRIC_7208" hidden="1">"c7208"</definedName>
    <definedName name="IQ_ECO_METRIC_7209" hidden="1">"c7209"</definedName>
    <definedName name="IQ_ECO_METRIC_7210" hidden="1">"c7210"</definedName>
    <definedName name="IQ_ECO_METRIC_7211" hidden="1">"c7211"</definedName>
    <definedName name="IQ_ECO_METRIC_7212" hidden="1">"c7212"</definedName>
    <definedName name="IQ_ECO_METRIC_7213" hidden="1">"c7213"</definedName>
    <definedName name="IQ_ECO_METRIC_7214" hidden="1">"c7214"</definedName>
    <definedName name="IQ_ECO_METRIC_7215" hidden="1">"c7215"</definedName>
    <definedName name="IQ_ECO_METRIC_7216" hidden="1">"c7216"</definedName>
    <definedName name="IQ_ECO_METRIC_7217" hidden="1">"c7217"</definedName>
    <definedName name="IQ_ECO_METRIC_7218" hidden="1">"c7218"</definedName>
    <definedName name="IQ_ECO_METRIC_7220" hidden="1">"c7220"</definedName>
    <definedName name="IQ_ECO_METRIC_7221" hidden="1">"c7221"</definedName>
    <definedName name="IQ_ECO_METRIC_7222" hidden="1">"c7222"</definedName>
    <definedName name="IQ_ECO_METRIC_7223" hidden="1">"c7223"</definedName>
    <definedName name="IQ_ECO_METRIC_7224" hidden="1">"c7224"</definedName>
    <definedName name="IQ_ECO_METRIC_7225" hidden="1">"c7225"</definedName>
    <definedName name="IQ_ECO_METRIC_7226" hidden="1">"c7226"</definedName>
    <definedName name="IQ_ECO_METRIC_7227" hidden="1">"c7227"</definedName>
    <definedName name="IQ_ECO_METRIC_7228" hidden="1">"c7228"</definedName>
    <definedName name="IQ_ECO_METRIC_7229" hidden="1">"c7229"</definedName>
    <definedName name="IQ_ECO_METRIC_7230" hidden="1">"c7230"</definedName>
    <definedName name="IQ_ECO_METRIC_7231" hidden="1">"c7231"</definedName>
    <definedName name="IQ_ECO_METRIC_7232" hidden="1">"c7232"</definedName>
    <definedName name="IQ_ECO_METRIC_7233" hidden="1">"c7233"</definedName>
    <definedName name="IQ_ECO_METRIC_7235" hidden="1">"c7235"</definedName>
    <definedName name="IQ_ECO_METRIC_7236" hidden="1">"c7236"</definedName>
    <definedName name="IQ_ECO_METRIC_7237" hidden="1">"c7237"</definedName>
    <definedName name="IQ_ECO_METRIC_7238" hidden="1">"c7238"</definedName>
    <definedName name="IQ_ECO_METRIC_7239" hidden="1">"c7239"</definedName>
    <definedName name="IQ_ECO_METRIC_7240" hidden="1">"c7240"</definedName>
    <definedName name="IQ_ECO_METRIC_7241" hidden="1">"c7241"</definedName>
    <definedName name="IQ_ECO_METRIC_7243" hidden="1">"c7243"</definedName>
    <definedName name="IQ_ECO_METRIC_7244" hidden="1">"c7244"</definedName>
    <definedName name="IQ_ECO_METRIC_7245" hidden="1">"c7245"</definedName>
    <definedName name="IQ_ECO_METRIC_7246" hidden="1">"c7246"</definedName>
    <definedName name="IQ_ECO_METRIC_7247" hidden="1">"c7247"</definedName>
    <definedName name="IQ_ECO_METRIC_7248" hidden="1">"c7248"</definedName>
    <definedName name="IQ_ECO_METRIC_7249" hidden="1">"c7249"</definedName>
    <definedName name="IQ_ECO_METRIC_7250" hidden="1">"c7250"</definedName>
    <definedName name="IQ_ECO_METRIC_7251" hidden="1">"c7251"</definedName>
    <definedName name="IQ_ECO_METRIC_7252" hidden="1">"c7252"</definedName>
    <definedName name="IQ_ECO_METRIC_7253" hidden="1">"c7253"</definedName>
    <definedName name="IQ_ECO_METRIC_7254" hidden="1">"c7254"</definedName>
    <definedName name="IQ_ECO_METRIC_7255" hidden="1">"c7255"</definedName>
    <definedName name="IQ_ECO_METRIC_7256" hidden="1">"c7256"</definedName>
    <definedName name="IQ_ECO_METRIC_7257" hidden="1">"c7257"</definedName>
    <definedName name="IQ_ECO_METRIC_7258" hidden="1">"c7258"</definedName>
    <definedName name="IQ_ECO_METRIC_7259" hidden="1">"c7259"</definedName>
    <definedName name="IQ_ECO_METRIC_7260" hidden="1">"c7260"</definedName>
    <definedName name="IQ_ECO_METRIC_7261" hidden="1">"c7261"</definedName>
    <definedName name="IQ_ECO_METRIC_7262" hidden="1">"c7262"</definedName>
    <definedName name="IQ_ECO_METRIC_7263" hidden="1">"c7263"</definedName>
    <definedName name="IQ_ECO_METRIC_7264" hidden="1">"c7264"</definedName>
    <definedName name="IQ_ECO_METRIC_7265" hidden="1">"c7265"</definedName>
    <definedName name="IQ_ECO_METRIC_7266" hidden="1">"c7266"</definedName>
    <definedName name="IQ_ECO_METRIC_7267" hidden="1">"c7267"</definedName>
    <definedName name="IQ_ECO_METRIC_7268" hidden="1">"c7268"</definedName>
    <definedName name="IQ_ECO_METRIC_7269" hidden="1">"c7269"</definedName>
    <definedName name="IQ_ECO_METRIC_7270" hidden="1">"c7270"</definedName>
    <definedName name="IQ_ECO_METRIC_7272" hidden="1">"c7272"</definedName>
    <definedName name="IQ_ECO_METRIC_7273" hidden="1">"c7273"</definedName>
    <definedName name="IQ_ECO_METRIC_7274" hidden="1">"c7274"</definedName>
    <definedName name="IQ_ECO_METRIC_7275" hidden="1">"c7275"</definedName>
    <definedName name="IQ_ECO_METRIC_7276" hidden="1">"c7276"</definedName>
    <definedName name="IQ_ECO_METRIC_7277" hidden="1">"c7277"</definedName>
    <definedName name="IQ_ECO_METRIC_7278" hidden="1">"c7278"</definedName>
    <definedName name="IQ_ECO_METRIC_7279" hidden="1">"c7279"</definedName>
    <definedName name="IQ_ECO_METRIC_7280" hidden="1">"c7280"</definedName>
    <definedName name="IQ_ECO_METRIC_7281" hidden="1">"c7281"</definedName>
    <definedName name="IQ_ECO_METRIC_7282" hidden="1">"c7282"</definedName>
    <definedName name="IQ_ECO_METRIC_7283" hidden="1">"c7283"</definedName>
    <definedName name="IQ_ECO_METRIC_7284" hidden="1">"c7284"</definedName>
    <definedName name="IQ_ECO_METRIC_7285" hidden="1">"c7285"</definedName>
    <definedName name="IQ_ECO_METRIC_7286" hidden="1">"c7286"</definedName>
    <definedName name="IQ_ECO_METRIC_7287" hidden="1">"c7287"</definedName>
    <definedName name="IQ_ECO_METRIC_7288" hidden="1">"c7288"</definedName>
    <definedName name="IQ_ECO_METRIC_7289" hidden="1">"c7289"</definedName>
    <definedName name="IQ_ECO_METRIC_7290" hidden="1">"c7290"</definedName>
    <definedName name="IQ_ECO_METRIC_7291" hidden="1">"c7291"</definedName>
    <definedName name="IQ_ECO_METRIC_7292" hidden="1">"c7292"</definedName>
    <definedName name="IQ_ECO_METRIC_7293" hidden="1">"c7293"</definedName>
    <definedName name="IQ_ECO_METRIC_7294" hidden="1">"c7294"</definedName>
    <definedName name="IQ_ECO_METRIC_7295" hidden="1">"c7295"</definedName>
    <definedName name="IQ_ECO_METRIC_7296" hidden="1">"c7296"</definedName>
    <definedName name="IQ_ECO_METRIC_7297" hidden="1">"c7297"</definedName>
    <definedName name="IQ_ECO_METRIC_7298" hidden="1">"c7298"</definedName>
    <definedName name="IQ_ECO_METRIC_7299" hidden="1">"c7299"</definedName>
    <definedName name="IQ_ECO_METRIC_7300" hidden="1">"c7300"</definedName>
    <definedName name="IQ_ECO_METRIC_7301" hidden="1">"c7301"</definedName>
    <definedName name="IQ_ECO_METRIC_7302" hidden="1">"c7302"</definedName>
    <definedName name="IQ_ECO_METRIC_7303" hidden="1">"c7303"</definedName>
    <definedName name="IQ_ECO_METRIC_7304" hidden="1">"c7304"</definedName>
    <definedName name="IQ_ECO_METRIC_7305" hidden="1">"c7305"</definedName>
    <definedName name="IQ_ECO_METRIC_7306" hidden="1">"c7306"</definedName>
    <definedName name="IQ_ECO_METRIC_7307" hidden="1">"c7307"</definedName>
    <definedName name="IQ_ECO_METRIC_7308" hidden="1">"c7308"</definedName>
    <definedName name="IQ_ECO_METRIC_7309" hidden="1">"c7309"</definedName>
    <definedName name="IQ_ECO_METRIC_7310" hidden="1">"c7310"</definedName>
    <definedName name="IQ_ECO_METRIC_7311" hidden="1">"c7311"</definedName>
    <definedName name="IQ_ECO_METRIC_7312" hidden="1">"c7312"</definedName>
    <definedName name="IQ_ECO_METRIC_7313" hidden="1">"c7313"</definedName>
    <definedName name="IQ_ECO_METRIC_7314" hidden="1">"c7314"</definedName>
    <definedName name="IQ_ECO_METRIC_7315" hidden="1">"c7315"</definedName>
    <definedName name="IQ_ECO_METRIC_7316" hidden="1">"c7316"</definedName>
    <definedName name="IQ_ECO_METRIC_7317" hidden="1">"c7317"</definedName>
    <definedName name="IQ_ECO_METRIC_7318" hidden="1">"c7318"</definedName>
    <definedName name="IQ_ECO_METRIC_7319" hidden="1">"c7319"</definedName>
    <definedName name="IQ_ECO_METRIC_7320" hidden="1">"c7320"</definedName>
    <definedName name="IQ_ECO_METRIC_7321" hidden="1">"c7321"</definedName>
    <definedName name="IQ_ECO_METRIC_7322" hidden="1">"c7322"</definedName>
    <definedName name="IQ_ECO_METRIC_7323" hidden="1">"c7323"</definedName>
    <definedName name="IQ_ECO_METRIC_7324" hidden="1">"c7324"</definedName>
    <definedName name="IQ_ECO_METRIC_7325" hidden="1">"c7325"</definedName>
    <definedName name="IQ_ECO_METRIC_7326" hidden="1">"c7326"</definedName>
    <definedName name="IQ_ECO_METRIC_7327" hidden="1">"c7327"</definedName>
    <definedName name="IQ_ECO_METRIC_7328" hidden="1">"c7328"</definedName>
    <definedName name="IQ_ECO_METRIC_7329" hidden="1">"c7329"</definedName>
    <definedName name="IQ_ECO_METRIC_7330" hidden="1">"c7330"</definedName>
    <definedName name="IQ_ECO_METRIC_7331" hidden="1">"c7331"</definedName>
    <definedName name="IQ_ECO_METRIC_7332" hidden="1">"c7332"</definedName>
    <definedName name="IQ_ECO_METRIC_7333" hidden="1">"c7333"</definedName>
    <definedName name="IQ_ECO_METRIC_7334" hidden="1">"c7334"</definedName>
    <definedName name="IQ_ECO_METRIC_7335" hidden="1">"c7335"</definedName>
    <definedName name="IQ_ECO_METRIC_7336" hidden="1">"c7336"</definedName>
    <definedName name="IQ_ECO_METRIC_7337" hidden="1">"c7337"</definedName>
    <definedName name="IQ_ECO_METRIC_7339" hidden="1">"c7339"</definedName>
    <definedName name="IQ_ECO_METRIC_7341" hidden="1">"c7341"</definedName>
    <definedName name="IQ_ECO_METRIC_7342" hidden="1">"c7342"</definedName>
    <definedName name="IQ_ECO_METRIC_7343" hidden="1">"c7343"</definedName>
    <definedName name="IQ_ECO_METRIC_7344" hidden="1">"c7344"</definedName>
    <definedName name="IQ_ECO_METRIC_7345" hidden="1">"c7345"</definedName>
    <definedName name="IQ_ECO_METRIC_7346" hidden="1">"c7346"</definedName>
    <definedName name="IQ_ECO_METRIC_7347" hidden="1">"c7347"</definedName>
    <definedName name="IQ_ECO_METRIC_7348" hidden="1">"c7348"</definedName>
    <definedName name="IQ_ECO_METRIC_7349" hidden="1">"c7349"</definedName>
    <definedName name="IQ_ECO_METRIC_7350" hidden="1">"c7350"</definedName>
    <definedName name="IQ_ECO_METRIC_7351" hidden="1">"c7351"</definedName>
    <definedName name="IQ_ECO_METRIC_7352" hidden="1">"c7352"</definedName>
    <definedName name="IQ_ECO_METRIC_7353" hidden="1">"c7353"</definedName>
    <definedName name="IQ_ECO_METRIC_7354" hidden="1">"c7354"</definedName>
    <definedName name="IQ_ECO_METRIC_7355" hidden="1">"c7355"</definedName>
    <definedName name="IQ_ECO_METRIC_7356" hidden="1">"c7356"</definedName>
    <definedName name="IQ_ECO_METRIC_7357" hidden="1">"c7357"</definedName>
    <definedName name="IQ_ECO_METRIC_7358" hidden="1">"c7358"</definedName>
    <definedName name="IQ_ECO_METRIC_7359" hidden="1">"c7359"</definedName>
    <definedName name="IQ_ECO_METRIC_7360" hidden="1">"c7360"</definedName>
    <definedName name="IQ_ECO_METRIC_7361" hidden="1">"c7361"</definedName>
    <definedName name="IQ_ECO_METRIC_7362" hidden="1">"c7362"</definedName>
    <definedName name="IQ_ECO_METRIC_7363" hidden="1">"c7363"</definedName>
    <definedName name="IQ_ECO_METRIC_7364" hidden="1">"c7364"</definedName>
    <definedName name="IQ_ECO_METRIC_7365" hidden="1">"c7365"</definedName>
    <definedName name="IQ_ECO_METRIC_7366" hidden="1">"c7366"</definedName>
    <definedName name="IQ_ECO_METRIC_7368" hidden="1">"c7368"</definedName>
    <definedName name="IQ_ECO_METRIC_7369" hidden="1">"c7369"</definedName>
    <definedName name="IQ_ECO_METRIC_7370" hidden="1">"c7370"</definedName>
    <definedName name="IQ_ECO_METRIC_7371" hidden="1">"c7371"</definedName>
    <definedName name="IQ_ECO_METRIC_7372" hidden="1">"c7372"</definedName>
    <definedName name="IQ_ECO_METRIC_7373" hidden="1">"c7373"</definedName>
    <definedName name="IQ_ECO_METRIC_7374" hidden="1">"c7374"</definedName>
    <definedName name="IQ_ECO_METRIC_7375" hidden="1">"c7375"</definedName>
    <definedName name="IQ_ECO_METRIC_7376" hidden="1">"c7376"</definedName>
    <definedName name="IQ_ECO_METRIC_7377" hidden="1">"c7377"</definedName>
    <definedName name="IQ_ECO_METRIC_7378" hidden="1">"c7378"</definedName>
    <definedName name="IQ_ECO_METRIC_7379" hidden="1">"c7379"</definedName>
    <definedName name="IQ_ECO_METRIC_7380" hidden="1">"c7380"</definedName>
    <definedName name="IQ_ECO_METRIC_7381" hidden="1">"c7381"</definedName>
    <definedName name="IQ_ECO_METRIC_7382" hidden="1">"c7382"</definedName>
    <definedName name="IQ_ECO_METRIC_7383" hidden="1">"c7383"</definedName>
    <definedName name="IQ_ECO_METRIC_7384" hidden="1">"c7384"</definedName>
    <definedName name="IQ_ECO_METRIC_7385" hidden="1">"c7385"</definedName>
    <definedName name="IQ_ECO_METRIC_7386" hidden="1">"c7386"</definedName>
    <definedName name="IQ_ECO_METRIC_7387" hidden="1">"c7387"</definedName>
    <definedName name="IQ_ECO_METRIC_7388" hidden="1">"c7388"</definedName>
    <definedName name="IQ_ECO_METRIC_7389" hidden="1">"c7389"</definedName>
    <definedName name="IQ_ECO_METRIC_7390" hidden="1">"c7390"</definedName>
    <definedName name="IQ_ECO_METRIC_7391" hidden="1">"c7391"</definedName>
    <definedName name="IQ_ECO_METRIC_7392" hidden="1">"c7392"</definedName>
    <definedName name="IQ_ECO_METRIC_7393" hidden="1">"c7393"</definedName>
    <definedName name="IQ_ECO_METRIC_7394" hidden="1">"c7394"</definedName>
    <definedName name="IQ_ECO_METRIC_7395" hidden="1">"c7395"</definedName>
    <definedName name="IQ_ECO_METRIC_7396" hidden="1">"c7396"</definedName>
    <definedName name="IQ_ECO_METRIC_7397" hidden="1">"c7397"</definedName>
    <definedName name="IQ_ECO_METRIC_7398" hidden="1">"c7398"</definedName>
    <definedName name="IQ_ECO_METRIC_7399" hidden="1">"c7399"</definedName>
    <definedName name="IQ_ECO_METRIC_7400" hidden="1">"c7400"</definedName>
    <definedName name="IQ_ECO_METRIC_7402" hidden="1">"c7402"</definedName>
    <definedName name="IQ_ECO_METRIC_7403" hidden="1">"c7403"</definedName>
    <definedName name="IQ_ECO_METRIC_7404" hidden="1">"c7404"</definedName>
    <definedName name="IQ_ECO_METRIC_7405" hidden="1">"c7405"</definedName>
    <definedName name="IQ_ECO_METRIC_7406" hidden="1">"c7406"</definedName>
    <definedName name="IQ_ECO_METRIC_7407" hidden="1">"c7407"</definedName>
    <definedName name="IQ_ECO_METRIC_7408" hidden="1">"c7408"</definedName>
    <definedName name="IQ_ECO_METRIC_7409" hidden="1">"c7409"</definedName>
    <definedName name="IQ_ECO_METRIC_7410" hidden="1">"c7410"</definedName>
    <definedName name="IQ_ECO_METRIC_7411" hidden="1">"c7411"</definedName>
    <definedName name="IQ_ECO_METRIC_7412" hidden="1">"c7412"</definedName>
    <definedName name="IQ_ECO_METRIC_7413" hidden="1">"c7413"</definedName>
    <definedName name="IQ_ECO_METRIC_7414" hidden="1">"c7414"</definedName>
    <definedName name="IQ_ECO_METRIC_7415" hidden="1">"c7415"</definedName>
    <definedName name="IQ_ECO_METRIC_7416" hidden="1">"c7416"</definedName>
    <definedName name="IQ_ECO_METRIC_7417" hidden="1">"c7417"</definedName>
    <definedName name="IQ_ECO_METRIC_7418" hidden="1">"c7418"</definedName>
    <definedName name="IQ_ECO_METRIC_7419" hidden="1">"c7419"</definedName>
    <definedName name="IQ_ECO_METRIC_7420" hidden="1">"c7420"</definedName>
    <definedName name="IQ_ECO_METRIC_7421" hidden="1">"c7421"</definedName>
    <definedName name="IQ_ECO_METRIC_7422" hidden="1">"c7422"</definedName>
    <definedName name="IQ_ECO_METRIC_7423" hidden="1">"c7423"</definedName>
    <definedName name="IQ_ECO_METRIC_7424" hidden="1">"c7424"</definedName>
    <definedName name="IQ_ECO_METRIC_7425" hidden="1">"c7425"</definedName>
    <definedName name="IQ_ECO_METRIC_7426" hidden="1">"c7426"</definedName>
    <definedName name="IQ_ECO_METRIC_7427" hidden="1">"c7427"</definedName>
    <definedName name="IQ_ECO_METRIC_7428" hidden="1">"c7428"</definedName>
    <definedName name="IQ_ECO_METRIC_7429" hidden="1">"c7429"</definedName>
    <definedName name="IQ_ECO_METRIC_7430" hidden="1">"c7430"</definedName>
    <definedName name="IQ_ECO_METRIC_7431" hidden="1">"c7431"</definedName>
    <definedName name="IQ_ECO_METRIC_7432" hidden="1">"c7432"</definedName>
    <definedName name="IQ_ECO_METRIC_7433" hidden="1">"c7433"</definedName>
    <definedName name="IQ_ECO_METRIC_7434" hidden="1">"c7434"</definedName>
    <definedName name="IQ_ECO_METRIC_7435" hidden="1">"c7435"</definedName>
    <definedName name="IQ_ECO_METRIC_7436" hidden="1">"c7436"</definedName>
    <definedName name="IQ_ECO_METRIC_7437" hidden="1">"c7437"</definedName>
    <definedName name="IQ_ECO_METRIC_7438" hidden="1">"c7438"</definedName>
    <definedName name="IQ_ECO_METRIC_7440" hidden="1">"c7440"</definedName>
    <definedName name="IQ_ECO_METRIC_7441" hidden="1">"c7441"</definedName>
    <definedName name="IQ_ECO_METRIC_7442" hidden="1">"c7442"</definedName>
    <definedName name="IQ_ECO_METRIC_7443" hidden="1">"c7443"</definedName>
    <definedName name="IQ_ECO_METRIC_7444" hidden="1">"c7444"</definedName>
    <definedName name="IQ_ECO_METRIC_7445" hidden="1">"c7445"</definedName>
    <definedName name="IQ_ECO_METRIC_7446" hidden="1">"c7446"</definedName>
    <definedName name="IQ_ECO_METRIC_7447" hidden="1">"c7447"</definedName>
    <definedName name="IQ_ECO_METRIC_7448" hidden="1">"c7448"</definedName>
    <definedName name="IQ_ECO_METRIC_7449" hidden="1">"c7449"</definedName>
    <definedName name="IQ_ECO_METRIC_7450" hidden="1">"c7450"</definedName>
    <definedName name="IQ_ECO_METRIC_7451" hidden="1">"c7451"</definedName>
    <definedName name="IQ_ECO_METRIC_7452" hidden="1">"c7452"</definedName>
    <definedName name="IQ_ECO_METRIC_7453" hidden="1">"c7453"</definedName>
    <definedName name="IQ_ECO_METRIC_7455" hidden="1">"c7455"</definedName>
    <definedName name="IQ_ECO_METRIC_7456" hidden="1">"c7456"</definedName>
    <definedName name="IQ_ECO_METRIC_7457" hidden="1">"c7457"</definedName>
    <definedName name="IQ_ECO_METRIC_7458" hidden="1">"c7458"</definedName>
    <definedName name="IQ_ECO_METRIC_7459" hidden="1">"c7459"</definedName>
    <definedName name="IQ_ECO_METRIC_7460" hidden="1">"c7460"</definedName>
    <definedName name="IQ_ECO_METRIC_7461" hidden="1">"c7461"</definedName>
    <definedName name="IQ_ECO_METRIC_7463" hidden="1">"c7463"</definedName>
    <definedName name="IQ_ECO_METRIC_7464" hidden="1">"c7464"</definedName>
    <definedName name="IQ_ECO_METRIC_7465" hidden="1">"c7465"</definedName>
    <definedName name="IQ_ECO_METRIC_7466" hidden="1">"c7466"</definedName>
    <definedName name="IQ_ECO_METRIC_7467" hidden="1">"c7467"</definedName>
    <definedName name="IQ_ECO_METRIC_7468" hidden="1">"c7468"</definedName>
    <definedName name="IQ_ECO_METRIC_7469" hidden="1">"c7469"</definedName>
    <definedName name="IQ_ECO_METRIC_7470" hidden="1">"c7470"</definedName>
    <definedName name="IQ_ECO_METRIC_7472" hidden="1">"c7472"</definedName>
    <definedName name="IQ_ECO_METRIC_7473" hidden="1">"c7473"</definedName>
    <definedName name="IQ_ECO_METRIC_7474" hidden="1">"c7474"</definedName>
    <definedName name="IQ_ECO_METRIC_7475" hidden="1">"c7475"</definedName>
    <definedName name="IQ_ECO_METRIC_7476" hidden="1">"c7476"</definedName>
    <definedName name="IQ_ECO_METRIC_7477" hidden="1">"c7477"</definedName>
    <definedName name="IQ_ECO_METRIC_7478" hidden="1">"c7478"</definedName>
    <definedName name="IQ_ECO_METRIC_7479" hidden="1">"c7479"</definedName>
    <definedName name="IQ_ECO_METRIC_7480" hidden="1">"c7480"</definedName>
    <definedName name="IQ_ECO_METRIC_7481" hidden="1">"c7481"</definedName>
    <definedName name="IQ_ECO_METRIC_7482" hidden="1">"c7482"</definedName>
    <definedName name="IQ_ECO_METRIC_7483" hidden="1">"c7483"</definedName>
    <definedName name="IQ_ECO_METRIC_7486" hidden="1">"c7486"</definedName>
    <definedName name="IQ_ECO_METRIC_7487" hidden="1">"c7487"</definedName>
    <definedName name="IQ_ECO_METRIC_7488" hidden="1">"c7488"</definedName>
    <definedName name="IQ_ECO_METRIC_7489" hidden="1">"c7489"</definedName>
    <definedName name="IQ_ECO_METRIC_7490" hidden="1">"c7490"</definedName>
    <definedName name="IQ_ECO_METRIC_7491" hidden="1">"c7491"</definedName>
    <definedName name="IQ_ECO_METRIC_7492" hidden="1">"c7492"</definedName>
    <definedName name="IQ_ECO_METRIC_7493" hidden="1">"c7493"</definedName>
    <definedName name="IQ_ECO_METRIC_7494" hidden="1">"c7494"</definedName>
    <definedName name="IQ_ECO_METRIC_7495" hidden="1">"c7495"</definedName>
    <definedName name="IQ_ECO_METRIC_7496" hidden="1">"c7496"</definedName>
    <definedName name="IQ_ECO_METRIC_7497" hidden="1">"c7497"</definedName>
    <definedName name="IQ_ECO_METRIC_7498" hidden="1">"c7498"</definedName>
    <definedName name="IQ_ECO_METRIC_7500" hidden="1">"c7500"</definedName>
    <definedName name="IQ_ECO_METRIC_7501" hidden="1">"c7501"</definedName>
    <definedName name="IQ_ECO_METRIC_7502" hidden="1">"c7502"</definedName>
    <definedName name="IQ_ECO_METRIC_7503" hidden="1">"c7503"</definedName>
    <definedName name="IQ_ECO_METRIC_7504" hidden="1">"c7504"</definedName>
    <definedName name="IQ_ECO_METRIC_7505" hidden="1">"c7505"</definedName>
    <definedName name="IQ_ECO_METRIC_7507" hidden="1">"c7507"</definedName>
    <definedName name="IQ_ECO_METRIC_7508" hidden="1">"c7508"</definedName>
    <definedName name="IQ_ECO_METRIC_7509" hidden="1">"c7509"</definedName>
    <definedName name="IQ_ECO_METRIC_7510" hidden="1">"c7510"</definedName>
    <definedName name="IQ_ECO_METRIC_7511" hidden="1">"c7511"</definedName>
    <definedName name="IQ_ECO_METRIC_7512" hidden="1">"c7512"</definedName>
    <definedName name="IQ_ECO_METRIC_7513" hidden="1">"c7513"</definedName>
    <definedName name="IQ_ECO_METRIC_7514" hidden="1">"c7514"</definedName>
    <definedName name="IQ_ECO_METRIC_7515" hidden="1">"c7515"</definedName>
    <definedName name="IQ_ECO_METRIC_7516" hidden="1">"c7516"</definedName>
    <definedName name="IQ_ECO_METRIC_7517" hidden="1">"c7517"</definedName>
    <definedName name="IQ_ECO_METRIC_7518" hidden="1">"c7518"</definedName>
    <definedName name="IQ_ECO_METRIC_7519" hidden="1">"c7519"</definedName>
    <definedName name="IQ_ECO_METRIC_7520" hidden="1">"c7520"</definedName>
    <definedName name="IQ_ECO_METRIC_7521" hidden="1">"c7521"</definedName>
    <definedName name="IQ_ECO_METRIC_7522" hidden="1">"c7522"</definedName>
    <definedName name="IQ_ECO_METRIC_7523" hidden="1">"c7523"</definedName>
    <definedName name="IQ_ECO_METRIC_7524" hidden="1">"c7524"</definedName>
    <definedName name="IQ_ECO_METRIC_7525" hidden="1">"c7525"</definedName>
    <definedName name="IQ_ECO_METRIC_7526" hidden="1">"c7526"</definedName>
    <definedName name="IQ_ECO_METRIC_7527" hidden="1">"c7527"</definedName>
    <definedName name="IQ_ECO_METRIC_7528" hidden="1">"c7528"</definedName>
    <definedName name="IQ_ECO_METRIC_7529" hidden="1">"c7529"</definedName>
    <definedName name="IQ_ECO_METRIC_7530" hidden="1">"c7530"</definedName>
    <definedName name="IQ_ECO_METRIC_7531" hidden="1">"c7531"</definedName>
    <definedName name="IQ_ECO_METRIC_7532" hidden="1">"c7532"</definedName>
    <definedName name="IQ_ECO_METRIC_7533" hidden="1">"c7533"</definedName>
    <definedName name="IQ_ECO_METRIC_7534" hidden="1">"c7534"</definedName>
    <definedName name="IQ_ECO_METRIC_7535" hidden="1">"c7535"</definedName>
    <definedName name="IQ_ECO_METRIC_7536" hidden="1">"c7536"</definedName>
    <definedName name="IQ_ECO_METRIC_7537" hidden="1">"c7537"</definedName>
    <definedName name="IQ_ECO_METRIC_7538" hidden="1">"c7538"</definedName>
    <definedName name="IQ_ECO_METRIC_7539" hidden="1">"c7539"</definedName>
    <definedName name="IQ_ECO_METRIC_7540" hidden="1">"c7540"</definedName>
    <definedName name="IQ_ECO_METRIC_7541" hidden="1">"c7541"</definedName>
    <definedName name="IQ_ECO_METRIC_7542" hidden="1">"c7542"</definedName>
    <definedName name="IQ_ECO_METRIC_7543" hidden="1">"c7543"</definedName>
    <definedName name="IQ_ECO_METRIC_7544" hidden="1">"c7544"</definedName>
    <definedName name="IQ_ECO_METRIC_7545" hidden="1">"c7545"</definedName>
    <definedName name="IQ_ECO_METRIC_7546" hidden="1">"c7546"</definedName>
    <definedName name="IQ_ECO_METRIC_7547" hidden="1">"c7547"</definedName>
    <definedName name="IQ_ECO_METRIC_7548" hidden="1">"c7548"</definedName>
    <definedName name="IQ_ECO_METRIC_7549" hidden="1">"c7549"</definedName>
    <definedName name="IQ_ECO_METRIC_7550" hidden="1">"c7550"</definedName>
    <definedName name="IQ_ECO_METRIC_7551" hidden="1">"c7551"</definedName>
    <definedName name="IQ_ECO_METRIC_7552" hidden="1">"c7552"</definedName>
    <definedName name="IQ_ECO_METRIC_7553" hidden="1">"c7553"</definedName>
    <definedName name="IQ_ECO_METRIC_7554" hidden="1">"c7554"</definedName>
    <definedName name="IQ_ECO_METRIC_7555" hidden="1">"c7555"</definedName>
    <definedName name="IQ_ECO_METRIC_7556" hidden="1">"c7556"</definedName>
    <definedName name="IQ_ECO_METRIC_7557" hidden="1">"c7557"</definedName>
    <definedName name="IQ_ECO_METRIC_7560" hidden="1">"c7560"</definedName>
    <definedName name="IQ_ECO_METRIC_7561" hidden="1">"c7561"</definedName>
    <definedName name="IQ_ECO_METRIC_7562" hidden="1">"c7562"</definedName>
    <definedName name="IQ_ECO_METRIC_7563" hidden="1">"c7563"</definedName>
    <definedName name="IQ_ECO_METRIC_7564" hidden="1">"c7564"</definedName>
    <definedName name="IQ_ECO_METRIC_7565" hidden="1">"c7565"</definedName>
    <definedName name="IQ_ECO_METRIC_7566" hidden="1">"c7566"</definedName>
    <definedName name="IQ_ECO_METRIC_7567" hidden="1">"c7567"</definedName>
    <definedName name="IQ_ECO_METRIC_7568" hidden="1">"c7568"</definedName>
    <definedName name="IQ_ECO_METRIC_7570" hidden="1">"c7570"</definedName>
    <definedName name="IQ_ECO_METRIC_7571" hidden="1">"c7571"</definedName>
    <definedName name="IQ_ECO_METRIC_7572" hidden="1">"c7572"</definedName>
    <definedName name="IQ_ECO_METRIC_7573" hidden="1">"c7573"</definedName>
    <definedName name="IQ_ECO_METRIC_7574" hidden="1">"c7574"</definedName>
    <definedName name="IQ_ECO_METRIC_7575" hidden="1">"c7575"</definedName>
    <definedName name="IQ_ECO_METRIC_7576" hidden="1">"c7576"</definedName>
    <definedName name="IQ_ECO_METRIC_7577" hidden="1">"c7577"</definedName>
    <definedName name="IQ_ECO_METRIC_7578" hidden="1">"c7578"</definedName>
    <definedName name="IQ_ECO_METRIC_7579" hidden="1">"c7579"</definedName>
    <definedName name="IQ_ECO_METRIC_7580" hidden="1">"c7580"</definedName>
    <definedName name="IQ_ECO_METRIC_7581" hidden="1">"c7581"</definedName>
    <definedName name="IQ_ECO_METRIC_7582" hidden="1">"c7582"</definedName>
    <definedName name="IQ_ECO_METRIC_7583" hidden="1">"c7583"</definedName>
    <definedName name="IQ_ECO_METRIC_7584" hidden="1">"c7584"</definedName>
    <definedName name="IQ_ECO_METRIC_7585" hidden="1">"c7585"</definedName>
    <definedName name="IQ_ECO_METRIC_7586" hidden="1">"c7586"</definedName>
    <definedName name="IQ_ECO_METRIC_7588" hidden="1">"c7588"</definedName>
    <definedName name="IQ_ECO_METRIC_7589" hidden="1">"c7589"</definedName>
    <definedName name="IQ_ECO_METRIC_7590" hidden="1">"c7590"</definedName>
    <definedName name="IQ_ECO_METRIC_7591" hidden="1">"c7591"</definedName>
    <definedName name="IQ_ECO_METRIC_7592" hidden="1">"c7592"</definedName>
    <definedName name="IQ_ECO_METRIC_7593" hidden="1">"c7593"</definedName>
    <definedName name="IQ_ECO_METRIC_7594" hidden="1">"c7594"</definedName>
    <definedName name="IQ_ECO_METRIC_7596" hidden="1">"c7596"</definedName>
    <definedName name="IQ_ECO_METRIC_7597" hidden="1">"c7597"</definedName>
    <definedName name="IQ_ECO_METRIC_7598" hidden="1">"c7598"</definedName>
    <definedName name="IQ_ECO_METRIC_7599" hidden="1">"c7599"</definedName>
    <definedName name="IQ_ECO_METRIC_7600" hidden="1">"c7600"</definedName>
    <definedName name="IQ_ECO_METRIC_7601" hidden="1">"c7601"</definedName>
    <definedName name="IQ_ECO_METRIC_7602" hidden="1">"c7602"</definedName>
    <definedName name="IQ_ECO_METRIC_7603" hidden="1">"c7603"</definedName>
    <definedName name="IQ_ECO_METRIC_7604" hidden="1">"c7604"</definedName>
    <definedName name="IQ_ECO_METRIC_7605" hidden="1">"c7605"</definedName>
    <definedName name="IQ_ECO_METRIC_7606" hidden="1">"c7606"</definedName>
    <definedName name="IQ_ECO_METRIC_7607" hidden="1">"c7607"</definedName>
    <definedName name="IQ_ECO_METRIC_7608" hidden="1">"c7608"</definedName>
    <definedName name="IQ_ECO_METRIC_7609" hidden="1">"c7609"</definedName>
    <definedName name="IQ_ECO_METRIC_7610" hidden="1">"c7610"</definedName>
    <definedName name="IQ_ECO_METRIC_7611" hidden="1">"c7611"</definedName>
    <definedName name="IQ_ECO_METRIC_7612" hidden="1">"c7612"</definedName>
    <definedName name="IQ_ECO_METRIC_7613" hidden="1">"c7613"</definedName>
    <definedName name="IQ_ECO_METRIC_7614" hidden="1">"c7614"</definedName>
    <definedName name="IQ_ECO_METRIC_7615" hidden="1">"c7615"</definedName>
    <definedName name="IQ_ECO_METRIC_7616" hidden="1">"c7616"</definedName>
    <definedName name="IQ_ECO_METRIC_7617" hidden="1">"c7617"</definedName>
    <definedName name="IQ_ECO_METRIC_7618" hidden="1">"c7618"</definedName>
    <definedName name="IQ_ECO_METRIC_7619" hidden="1">"c7619"</definedName>
    <definedName name="IQ_ECO_METRIC_7620" hidden="1">"c7620"</definedName>
    <definedName name="IQ_ECO_METRIC_7622" hidden="1">"c7622"</definedName>
    <definedName name="IQ_ECO_METRIC_7623" hidden="1">"c7623"</definedName>
    <definedName name="IQ_ECO_METRIC_7624" hidden="1">"c7624"</definedName>
    <definedName name="IQ_ECO_METRIC_7625" hidden="1">"c7625"</definedName>
    <definedName name="IQ_ECO_METRIC_7626" hidden="1">"c7626"</definedName>
    <definedName name="IQ_ECO_METRIC_7627" hidden="1">"c7627"</definedName>
    <definedName name="IQ_ECO_METRIC_7628" hidden="1">"c7628"</definedName>
    <definedName name="IQ_ECO_METRIC_7629" hidden="1">"c7629"</definedName>
    <definedName name="IQ_ECO_METRIC_7630" hidden="1">"c7630"</definedName>
    <definedName name="IQ_ECO_METRIC_7631" hidden="1">"c7631"</definedName>
    <definedName name="IQ_ECO_METRIC_7632" hidden="1">"c7632"</definedName>
    <definedName name="IQ_ECO_METRIC_7633" hidden="1">"c7633"</definedName>
    <definedName name="IQ_ECO_METRIC_7634" hidden="1">"c7634"</definedName>
    <definedName name="IQ_ECO_METRIC_7635" hidden="1">"c7635"</definedName>
    <definedName name="IQ_ECO_METRIC_7636" hidden="1">"c7636"</definedName>
    <definedName name="IQ_ECO_METRIC_7637" hidden="1">"c7637"</definedName>
    <definedName name="IQ_ECO_METRIC_7638" hidden="1">"c7638"</definedName>
    <definedName name="IQ_ECO_METRIC_7639" hidden="1">"c7639"</definedName>
    <definedName name="IQ_ECO_METRIC_7640" hidden="1">"c7640"</definedName>
    <definedName name="IQ_ECO_METRIC_7641" hidden="1">"c7641"</definedName>
    <definedName name="IQ_ECO_METRIC_7642" hidden="1">"c7642"</definedName>
    <definedName name="IQ_ECO_METRIC_7643" hidden="1">"c7643"</definedName>
    <definedName name="IQ_ECO_METRIC_7644" hidden="1">"c7644"</definedName>
    <definedName name="IQ_ECO_METRIC_7645" hidden="1">"c7645"</definedName>
    <definedName name="IQ_ECO_METRIC_7646" hidden="1">"c7646"</definedName>
    <definedName name="IQ_ECO_METRIC_7647" hidden="1">"c7647"</definedName>
    <definedName name="IQ_ECO_METRIC_7648" hidden="1">"c7648"</definedName>
    <definedName name="IQ_ECO_METRIC_7649" hidden="1">"c7649"</definedName>
    <definedName name="IQ_ECO_METRIC_7650" hidden="1">"c7650"</definedName>
    <definedName name="IQ_ECO_METRIC_7651" hidden="1">"c7651"</definedName>
    <definedName name="IQ_ECO_METRIC_7652" hidden="1">"c7652"</definedName>
    <definedName name="IQ_ECO_METRIC_7653" hidden="1">"c7653"</definedName>
    <definedName name="IQ_ECO_METRIC_7654" hidden="1">"c7654"</definedName>
    <definedName name="IQ_ECO_METRIC_7655" hidden="1">"c7655"</definedName>
    <definedName name="IQ_ECO_METRIC_7656" hidden="1">"c7656"</definedName>
    <definedName name="IQ_ECO_METRIC_7657" hidden="1">"c7657"</definedName>
    <definedName name="IQ_ECO_METRIC_7658" hidden="1">"c7658"</definedName>
    <definedName name="IQ_ECO_METRIC_7660" hidden="1">"c7660"</definedName>
    <definedName name="IQ_ECO_METRIC_7661" hidden="1">"c7661"</definedName>
    <definedName name="IQ_ECO_METRIC_7663" hidden="1">"c7663"</definedName>
    <definedName name="IQ_ECO_METRIC_7664" hidden="1">"c7664"</definedName>
    <definedName name="IQ_ECO_METRIC_7665" hidden="1">"c7665"</definedName>
    <definedName name="IQ_ECO_METRIC_7666" hidden="1">"c7666"</definedName>
    <definedName name="IQ_ECO_METRIC_7667" hidden="1">"c7667"</definedName>
    <definedName name="IQ_ECO_METRIC_7668" hidden="1">"c7668"</definedName>
    <definedName name="IQ_ECO_METRIC_7669" hidden="1">"c7669"</definedName>
    <definedName name="IQ_ECO_METRIC_7670" hidden="1">"c7670"</definedName>
    <definedName name="IQ_ECO_METRIC_7675" hidden="1">"c7675"</definedName>
    <definedName name="IQ_ECO_METRIC_7676" hidden="1">"c7676"</definedName>
    <definedName name="IQ_ECO_METRIC_7677" hidden="1">"c7677"</definedName>
    <definedName name="IQ_ECO_METRIC_7678" hidden="1">"c7678"</definedName>
    <definedName name="IQ_ECO_METRIC_7679" hidden="1">"c7679"</definedName>
    <definedName name="IQ_ECO_METRIC_7680" hidden="1">"c7680"</definedName>
    <definedName name="IQ_ECO_METRIC_7681" hidden="1">"c7681"</definedName>
    <definedName name="IQ_ECO_METRIC_7685" hidden="1">"c7685"</definedName>
    <definedName name="IQ_ECO_METRIC_7687" hidden="1">"c7687"</definedName>
    <definedName name="IQ_ECO_METRIC_7688" hidden="1">"c7688"</definedName>
    <definedName name="IQ_ECO_METRIC_7689" hidden="1">"c7689"</definedName>
    <definedName name="IQ_ECO_METRIC_7690" hidden="1">"c7690"</definedName>
    <definedName name="IQ_ECO_METRIC_7691" hidden="1">"c7691"</definedName>
    <definedName name="IQ_ECO_METRIC_7692" hidden="1">"c7692"</definedName>
    <definedName name="IQ_ECO_METRIC_7693" hidden="1">"c7693"</definedName>
    <definedName name="IQ_ECO_METRIC_7694" hidden="1">"c7694"</definedName>
    <definedName name="IQ_ECO_METRIC_7695" hidden="1">"c7695"</definedName>
    <definedName name="IQ_ECO_METRIC_7696" hidden="1">"c7696"</definedName>
    <definedName name="IQ_ECO_METRIC_7697" hidden="1">"c7697"</definedName>
    <definedName name="IQ_ECO_METRIC_7698" hidden="1">"c7698"</definedName>
    <definedName name="IQ_ECO_METRIC_7699" hidden="1">"c7699"</definedName>
    <definedName name="IQ_ECO_METRIC_7700" hidden="1">"c7700"</definedName>
    <definedName name="IQ_ECO_METRIC_7701" hidden="1">"c7701"</definedName>
    <definedName name="IQ_ECO_METRIC_7702" hidden="1">"c7702"</definedName>
    <definedName name="IQ_ECO_METRIC_7703" hidden="1">"c7703"</definedName>
    <definedName name="IQ_ECO_METRIC_7705" hidden="1">"c7705"</definedName>
    <definedName name="IQ_ECO_METRIC_7707" hidden="1">"c7707"</definedName>
    <definedName name="IQ_ECO_METRIC_7708" hidden="1">"c7708"</definedName>
    <definedName name="IQ_ECO_METRIC_7709" hidden="1">"c7709"</definedName>
    <definedName name="IQ_ECO_METRIC_7710" hidden="1">"c7710"</definedName>
    <definedName name="IQ_ECO_METRIC_7711" hidden="1">"c7711"</definedName>
    <definedName name="IQ_ECO_METRIC_7712" hidden="1">"c7712"</definedName>
    <definedName name="IQ_ECO_METRIC_7713" hidden="1">"c7713"</definedName>
    <definedName name="IQ_ECO_METRIC_7714" hidden="1">"c7714"</definedName>
    <definedName name="IQ_ECO_METRIC_7715" hidden="1">"c7715"</definedName>
    <definedName name="IQ_ECO_METRIC_7716" hidden="1">"c7716"</definedName>
    <definedName name="IQ_ECO_METRIC_7717" hidden="1">"c7717"</definedName>
    <definedName name="IQ_ECO_METRIC_7719" hidden="1">"c7719"</definedName>
    <definedName name="IQ_ECO_METRIC_7720" hidden="1">"c7720"</definedName>
    <definedName name="IQ_ECO_METRIC_7721" hidden="1">"c7721"</definedName>
    <definedName name="IQ_ECO_METRIC_7722" hidden="1">"c7722"</definedName>
    <definedName name="IQ_ECO_METRIC_7723" hidden="1">"c7723"</definedName>
    <definedName name="IQ_ECO_METRIC_7724" hidden="1">"c7724"</definedName>
    <definedName name="IQ_ECO_METRIC_7725" hidden="1">"c7725"</definedName>
    <definedName name="IQ_ECO_METRIC_7726" hidden="1">"c7726"</definedName>
    <definedName name="IQ_ECO_METRIC_7727" hidden="1">"c7727"</definedName>
    <definedName name="IQ_ECO_METRIC_7728" hidden="1">"c7728"</definedName>
    <definedName name="IQ_ECO_METRIC_7729" hidden="1">"c7729"</definedName>
    <definedName name="IQ_ECO_METRIC_7730" hidden="1">"c7730"</definedName>
    <definedName name="IQ_ECO_METRIC_7731" hidden="1">"c7731"</definedName>
    <definedName name="IQ_ECO_METRIC_7732" hidden="1">"c7732"</definedName>
    <definedName name="IQ_ECO_METRIC_7733" hidden="1">"c7733"</definedName>
    <definedName name="IQ_ECO_METRIC_7734" hidden="1">"c7734"</definedName>
    <definedName name="IQ_ECO_METRIC_7735" hidden="1">"c7735"</definedName>
    <definedName name="IQ_ECO_METRIC_7736" hidden="1">"c7736"</definedName>
    <definedName name="IQ_ECO_METRIC_7737" hidden="1">"c7737"</definedName>
    <definedName name="IQ_ECO_METRIC_7738" hidden="1">"c7738"</definedName>
    <definedName name="IQ_ECO_METRIC_7739" hidden="1">"c7739"</definedName>
    <definedName name="IQ_ECO_METRIC_7740" hidden="1">"c7740"</definedName>
    <definedName name="IQ_ECO_METRIC_7741" hidden="1">"c7741"</definedName>
    <definedName name="IQ_ECO_METRIC_7742" hidden="1">"c7742"</definedName>
    <definedName name="IQ_ECO_METRIC_7743" hidden="1">"c7743"</definedName>
    <definedName name="IQ_ECO_METRIC_7744" hidden="1">"c7744"</definedName>
    <definedName name="IQ_ECO_METRIC_7745" hidden="1">"c7745"</definedName>
    <definedName name="IQ_ECO_METRIC_7746" hidden="1">"c7746"</definedName>
    <definedName name="IQ_ECO_METRIC_7747" hidden="1">"c7747"</definedName>
    <definedName name="IQ_ECO_METRIC_7748" hidden="1">"c7748"</definedName>
    <definedName name="IQ_ECO_METRIC_7749" hidden="1">"c7749"</definedName>
    <definedName name="IQ_ECO_METRIC_7750" hidden="1">"c7750"</definedName>
    <definedName name="IQ_ECO_METRIC_7751" hidden="1">"c7751"</definedName>
    <definedName name="IQ_ECO_METRIC_7752" hidden="1">"c7752"</definedName>
    <definedName name="IQ_ECO_METRIC_7753" hidden="1">"c7753"</definedName>
    <definedName name="IQ_ECO_METRIC_7754" hidden="1">"c7754"</definedName>
    <definedName name="IQ_ECO_METRIC_7755" hidden="1">"c7755"</definedName>
    <definedName name="IQ_ECO_METRIC_7756" hidden="1">"c7756"</definedName>
    <definedName name="IQ_ECO_METRIC_7757" hidden="1">"c7757"</definedName>
    <definedName name="IQ_ECO_METRIC_7758" hidden="1">"c7758"</definedName>
    <definedName name="IQ_ECO_METRIC_7759" hidden="1">"c7759"</definedName>
    <definedName name="IQ_ECO_METRIC_7760" hidden="1">"c7760"</definedName>
    <definedName name="IQ_ECO_METRIC_7761" hidden="1">"c7761"</definedName>
    <definedName name="IQ_ECO_METRIC_7762" hidden="1">"c7762"</definedName>
    <definedName name="IQ_ECO_METRIC_7763" hidden="1">"c7763"</definedName>
    <definedName name="IQ_ECO_METRIC_7764" hidden="1">"c7764"</definedName>
    <definedName name="IQ_ECO_METRIC_7765" hidden="1">"c7765"</definedName>
    <definedName name="IQ_ECO_METRIC_7766" hidden="1">"c7766"</definedName>
    <definedName name="IQ_ECO_METRIC_7767" hidden="1">"c7767"</definedName>
    <definedName name="IQ_ECO_METRIC_7768" hidden="1">"c7768"</definedName>
    <definedName name="IQ_ECO_METRIC_7769" hidden="1">"c7769"</definedName>
    <definedName name="IQ_ECO_METRIC_7770" hidden="1">"c7770"</definedName>
    <definedName name="IQ_ECO_METRIC_7771" hidden="1">"c7771"</definedName>
    <definedName name="IQ_ECO_METRIC_7772" hidden="1">"c7772"</definedName>
    <definedName name="IQ_ECO_METRIC_7773" hidden="1">"c7773"</definedName>
    <definedName name="IQ_ECO_METRIC_7774" hidden="1">"c7774"</definedName>
    <definedName name="IQ_ECO_METRIC_7775" hidden="1">"c7775"</definedName>
    <definedName name="IQ_ECO_METRIC_7776" hidden="1">"c7776"</definedName>
    <definedName name="IQ_ECO_METRIC_7777" hidden="1">"c7777"</definedName>
    <definedName name="IQ_ECO_METRIC_7779" hidden="1">"c7779"</definedName>
    <definedName name="IQ_ECO_METRIC_7780" hidden="1">"c7780"</definedName>
    <definedName name="IQ_ECO_METRIC_7781" hidden="1">"c7781"</definedName>
    <definedName name="IQ_ECO_METRIC_7782" hidden="1">"c7782"</definedName>
    <definedName name="IQ_ECO_METRIC_7783" hidden="1">"c7783"</definedName>
    <definedName name="IQ_ECO_METRIC_7784" hidden="1">"c7784"</definedName>
    <definedName name="IQ_ECO_METRIC_7785" hidden="1">"c7785"</definedName>
    <definedName name="IQ_ECO_METRIC_7786" hidden="1">"c7786"</definedName>
    <definedName name="IQ_ECO_METRIC_7787" hidden="1">"c7787"</definedName>
    <definedName name="IQ_ECO_METRIC_7788" hidden="1">"c7788"</definedName>
    <definedName name="IQ_ECO_METRIC_7789" hidden="1">"c7789"</definedName>
    <definedName name="IQ_ECO_METRIC_7790" hidden="1">"c7790"</definedName>
    <definedName name="IQ_ECO_METRIC_7791" hidden="1">"c7791"</definedName>
    <definedName name="IQ_ECO_METRIC_7792" hidden="1">"c7792"</definedName>
    <definedName name="IQ_ECO_METRIC_7793" hidden="1">"c7793"</definedName>
    <definedName name="IQ_ECO_METRIC_7794" hidden="1">"c7794"</definedName>
    <definedName name="IQ_ECO_METRIC_7795" hidden="1">"c7795"</definedName>
    <definedName name="IQ_ECO_METRIC_7796" hidden="1">"c7796"</definedName>
    <definedName name="IQ_ECO_METRIC_7797" hidden="1">"c7797"</definedName>
    <definedName name="IQ_ECO_METRIC_7798" hidden="1">"c7798"</definedName>
    <definedName name="IQ_ECO_METRIC_7799" hidden="1">"c7799"</definedName>
    <definedName name="IQ_ECO_METRIC_7800" hidden="1">"c7800"</definedName>
    <definedName name="IQ_ECO_METRIC_7801" hidden="1">"c7801"</definedName>
    <definedName name="IQ_ECO_METRIC_7802" hidden="1">"c7802"</definedName>
    <definedName name="IQ_ECO_METRIC_7803" hidden="1">"c7803"</definedName>
    <definedName name="IQ_ECO_METRIC_7804" hidden="1">"c7804"</definedName>
    <definedName name="IQ_ECO_METRIC_7805" hidden="1">"c7805"</definedName>
    <definedName name="IQ_ECO_METRIC_7806" hidden="1">"c7806"</definedName>
    <definedName name="IQ_ECO_METRIC_7808" hidden="1">"c7808"</definedName>
    <definedName name="IQ_ECO_METRIC_7809" hidden="1">"c7809"</definedName>
    <definedName name="IQ_ECO_METRIC_7810" hidden="1">"c7810"</definedName>
    <definedName name="IQ_ECO_METRIC_7812" hidden="1">"c7812"</definedName>
    <definedName name="IQ_ECO_METRIC_7813" hidden="1">"c7813"</definedName>
    <definedName name="IQ_ECO_METRIC_7814" hidden="1">"c7814"</definedName>
    <definedName name="IQ_ECO_METRIC_7815" hidden="1">"c7815"</definedName>
    <definedName name="IQ_ECO_METRIC_7816" hidden="1">"c7816"</definedName>
    <definedName name="IQ_ECO_METRIC_7817" hidden="1">"c7817"</definedName>
    <definedName name="IQ_ECO_METRIC_7818" hidden="1">"c7818"</definedName>
    <definedName name="IQ_ECO_METRIC_7819" hidden="1">"c7819"</definedName>
    <definedName name="IQ_ECO_METRIC_7820" hidden="1">"c7820"</definedName>
    <definedName name="IQ_ECO_METRIC_7821" hidden="1">"c7821"</definedName>
    <definedName name="IQ_ECO_METRIC_7822" hidden="1">"c7822"</definedName>
    <definedName name="IQ_ECO_METRIC_7823" hidden="1">"c7823"</definedName>
    <definedName name="IQ_ECO_METRIC_7824" hidden="1">"c7824"</definedName>
    <definedName name="IQ_ECO_METRIC_7825" hidden="1">"c7825"</definedName>
    <definedName name="IQ_ECO_METRIC_7826" hidden="1">"c7826"</definedName>
    <definedName name="IQ_ECO_METRIC_7827" hidden="1">"c7827"</definedName>
    <definedName name="IQ_ECO_METRIC_7828" hidden="1">"c7828"</definedName>
    <definedName name="IQ_ECO_METRIC_7829" hidden="1">"c7829"</definedName>
    <definedName name="IQ_ECO_METRIC_7830" hidden="1">"c7830"</definedName>
    <definedName name="IQ_ECO_METRIC_7831" hidden="1">"c7831"</definedName>
    <definedName name="IQ_ECO_METRIC_7832" hidden="1">"c7832"</definedName>
    <definedName name="IQ_ECO_METRIC_7833" hidden="1">"c7833"</definedName>
    <definedName name="IQ_ECO_METRIC_7834" hidden="1">"c7834"</definedName>
    <definedName name="IQ_ECO_METRIC_7835" hidden="1">"c7835"</definedName>
    <definedName name="IQ_ECO_METRIC_7836" hidden="1">"c7836"</definedName>
    <definedName name="IQ_ECO_METRIC_7837" hidden="1">"c7837"</definedName>
    <definedName name="IQ_ECO_METRIC_7838" hidden="1">"c7838"</definedName>
    <definedName name="IQ_ECO_METRIC_7839" hidden="1">"c7839"</definedName>
    <definedName name="IQ_ECO_METRIC_7840" hidden="1">"c7840"</definedName>
    <definedName name="IQ_ECO_METRIC_7842" hidden="1">"c7842"</definedName>
    <definedName name="IQ_ECO_METRIC_7843" hidden="1">"c7843"</definedName>
    <definedName name="IQ_ECO_METRIC_7844" hidden="1">"c7844"</definedName>
    <definedName name="IQ_ECO_METRIC_7845" hidden="1">"c7845"</definedName>
    <definedName name="IQ_ECO_METRIC_7846" hidden="1">"c7846"</definedName>
    <definedName name="IQ_ECO_METRIC_7847" hidden="1">"c7847"</definedName>
    <definedName name="IQ_ECO_METRIC_7848" hidden="1">"c7848"</definedName>
    <definedName name="IQ_ECO_METRIC_7849" hidden="1">"c7849"</definedName>
    <definedName name="IQ_ECO_METRIC_7850" hidden="1">"c7850"</definedName>
    <definedName name="IQ_ECO_METRIC_7851" hidden="1">"c7851"</definedName>
    <definedName name="IQ_ECO_METRIC_7852" hidden="1">"c7852"</definedName>
    <definedName name="IQ_ECO_METRIC_7853" hidden="1">"c7853"</definedName>
    <definedName name="IQ_ECO_METRIC_7854" hidden="1">"c7854"</definedName>
    <definedName name="IQ_ECO_METRIC_7855" hidden="1">"c7855"</definedName>
    <definedName name="IQ_ECO_METRIC_7856" hidden="1">"c7856"</definedName>
    <definedName name="IQ_ECO_METRIC_7857" hidden="1">"c7857"</definedName>
    <definedName name="IQ_ECO_METRIC_7858" hidden="1">"c7858"</definedName>
    <definedName name="IQ_ECO_METRIC_7859" hidden="1">"c7859"</definedName>
    <definedName name="IQ_ECO_METRIC_7860" hidden="1">"c7860"</definedName>
    <definedName name="IQ_ECO_METRIC_7861" hidden="1">"c7861"</definedName>
    <definedName name="IQ_ECO_METRIC_7862" hidden="1">"c7862"</definedName>
    <definedName name="IQ_ECO_METRIC_7863" hidden="1">"c7863"</definedName>
    <definedName name="IQ_ECO_METRIC_7864" hidden="1">"c7864"</definedName>
    <definedName name="IQ_ECO_METRIC_7865" hidden="1">"c7865"</definedName>
    <definedName name="IQ_ECO_METRIC_7866" hidden="1">"c7866"</definedName>
    <definedName name="IQ_ECO_METRIC_7867" hidden="1">"c7867"</definedName>
    <definedName name="IQ_ECO_METRIC_7868" hidden="1">"c7868"</definedName>
    <definedName name="IQ_ECO_METRIC_7869" hidden="1">"c7869"</definedName>
    <definedName name="IQ_ECO_METRIC_7870" hidden="1">"c7870"</definedName>
    <definedName name="IQ_ECO_METRIC_7871" hidden="1">"c7871"</definedName>
    <definedName name="IQ_ECO_METRIC_7872" hidden="1">"c7872"</definedName>
    <definedName name="IQ_ECO_METRIC_7874" hidden="1">"c7874"</definedName>
    <definedName name="IQ_ECO_METRIC_7875" hidden="1">"c7875"</definedName>
    <definedName name="IQ_ECO_METRIC_7876" hidden="1">"c7876"</definedName>
    <definedName name="IQ_ECO_METRIC_7877" hidden="1">"c7877"</definedName>
    <definedName name="IQ_ECO_METRIC_7878" hidden="1">"c7878"</definedName>
    <definedName name="IQ_ECO_METRIC_7880" hidden="1">"c7880"</definedName>
    <definedName name="IQ_ECO_METRIC_7881" hidden="1">"c7881"</definedName>
    <definedName name="IQ_ECO_METRIC_7882" hidden="1">"c7882"</definedName>
    <definedName name="IQ_ECO_METRIC_7883" hidden="1">"c7883"</definedName>
    <definedName name="IQ_ECO_METRIC_7884" hidden="1">"c7884"</definedName>
    <definedName name="IQ_ECO_METRIC_7885" hidden="1">"c7885"</definedName>
    <definedName name="IQ_ECO_METRIC_7886" hidden="1">"c7886"</definedName>
    <definedName name="IQ_ECO_METRIC_7887" hidden="1">"c7887"</definedName>
    <definedName name="IQ_ECO_METRIC_7888" hidden="1">"c7888"</definedName>
    <definedName name="IQ_ECO_METRIC_7889" hidden="1">"c7889"</definedName>
    <definedName name="IQ_ECO_METRIC_7890" hidden="1">"c7890"</definedName>
    <definedName name="IQ_ECO_METRIC_7891" hidden="1">"c7891"</definedName>
    <definedName name="IQ_ECO_METRIC_7892" hidden="1">"c7892"</definedName>
    <definedName name="IQ_ECO_METRIC_7893" hidden="1">"c7893"</definedName>
    <definedName name="IQ_ECO_METRIC_7895" hidden="1">"c7895"</definedName>
    <definedName name="IQ_ECO_METRIC_7896" hidden="1">"c7896"</definedName>
    <definedName name="IQ_ECO_METRIC_7897" hidden="1">"c7897"</definedName>
    <definedName name="IQ_ECO_METRIC_7898" hidden="1">"c7898"</definedName>
    <definedName name="IQ_ECO_METRIC_7899" hidden="1">"c7899"</definedName>
    <definedName name="IQ_ECO_METRIC_7900" hidden="1">"c7900"</definedName>
    <definedName name="IQ_ECO_METRIC_7901" hidden="1">"c7901"</definedName>
    <definedName name="IQ_ECO_METRIC_7903" hidden="1">"c7903"</definedName>
    <definedName name="IQ_ECO_METRIC_7904" hidden="1">"c7904"</definedName>
    <definedName name="IQ_ECO_METRIC_7905" hidden="1">"c7905"</definedName>
    <definedName name="IQ_ECO_METRIC_7906" hidden="1">"c7906"</definedName>
    <definedName name="IQ_ECO_METRIC_7907" hidden="1">"c7907"</definedName>
    <definedName name="IQ_ECO_METRIC_7908" hidden="1">"c7908"</definedName>
    <definedName name="IQ_ECO_METRIC_7909" hidden="1">"c7909"</definedName>
    <definedName name="IQ_ECO_METRIC_7910" hidden="1">"c7910"</definedName>
    <definedName name="IQ_ECO_METRIC_7911" hidden="1">"c7911"</definedName>
    <definedName name="IQ_ECO_METRIC_7912" hidden="1">"c7912"</definedName>
    <definedName name="IQ_ECO_METRIC_7913" hidden="1">"c7913"</definedName>
    <definedName name="IQ_ECO_METRIC_7914" hidden="1">"c7914"</definedName>
    <definedName name="IQ_ECO_METRIC_7915" hidden="1">"c7915"</definedName>
    <definedName name="IQ_ECO_METRIC_7916" hidden="1">"c7916"</definedName>
    <definedName name="IQ_ECO_METRIC_7917" hidden="1">"c7917"</definedName>
    <definedName name="IQ_ECO_METRIC_7918" hidden="1">"c7918"</definedName>
    <definedName name="IQ_ECO_METRIC_7919" hidden="1">"c7919"</definedName>
    <definedName name="IQ_ECO_METRIC_7920" hidden="1">"c7920"</definedName>
    <definedName name="IQ_ECO_METRIC_7921" hidden="1">"c7921"</definedName>
    <definedName name="IQ_ECO_METRIC_7922" hidden="1">"c7922"</definedName>
    <definedName name="IQ_ECO_METRIC_7923" hidden="1">"c7923"</definedName>
    <definedName name="IQ_ECO_METRIC_7925" hidden="1">"c7925"</definedName>
    <definedName name="IQ_ECO_METRIC_7927" hidden="1">"c7927"</definedName>
    <definedName name="IQ_ECO_METRIC_7928" hidden="1">"c7928"</definedName>
    <definedName name="IQ_ECO_METRIC_7929" hidden="1">"c7929"</definedName>
    <definedName name="IQ_ECO_METRIC_7930" hidden="1">"c7930"</definedName>
    <definedName name="IQ_ECO_METRIC_7931" hidden="1">"c7931"</definedName>
    <definedName name="IQ_ECO_METRIC_7932" hidden="1">"c7932"</definedName>
    <definedName name="IQ_ECO_METRIC_7933" hidden="1">"c7933"</definedName>
    <definedName name="IQ_ECO_METRIC_7934" hidden="1">"c7934"</definedName>
    <definedName name="IQ_ECO_METRIC_7935" hidden="1">"c7935"</definedName>
    <definedName name="IQ_ECO_METRIC_7936" hidden="1">"c7936"</definedName>
    <definedName name="IQ_ECO_METRIC_7937" hidden="1">"c7937"</definedName>
    <definedName name="IQ_ECO_METRIC_7939" hidden="1">"c7939"</definedName>
    <definedName name="IQ_ECO_METRIC_7940" hidden="1">"c7940"</definedName>
    <definedName name="IQ_ECO_METRIC_7941" hidden="1">"c7941"</definedName>
    <definedName name="IQ_ECO_METRIC_7942" hidden="1">"c7942"</definedName>
    <definedName name="IQ_ECO_METRIC_7943" hidden="1">"c7943"</definedName>
    <definedName name="IQ_ECO_METRIC_7944" hidden="1">"c7944"</definedName>
    <definedName name="IQ_ECO_METRIC_7945" hidden="1">"c7945"</definedName>
    <definedName name="IQ_ECO_METRIC_7946" hidden="1">"c7946"</definedName>
    <definedName name="IQ_ECO_METRIC_7947" hidden="1">"c7947"</definedName>
    <definedName name="IQ_ECO_METRIC_7948" hidden="1">"c7948"</definedName>
    <definedName name="IQ_ECO_METRIC_7949" hidden="1">"c7949"</definedName>
    <definedName name="IQ_ECO_METRIC_7950" hidden="1">"c7950"</definedName>
    <definedName name="IQ_ECO_METRIC_7951" hidden="1">"c7951"</definedName>
    <definedName name="IQ_ECO_METRIC_7952" hidden="1">"c7952"</definedName>
    <definedName name="IQ_ECO_METRIC_7953" hidden="1">"c7953"</definedName>
    <definedName name="IQ_ECO_METRIC_7954" hidden="1">"c7954"</definedName>
    <definedName name="IQ_ECO_METRIC_7955" hidden="1">"c7955"</definedName>
    <definedName name="IQ_ECO_METRIC_7956" hidden="1">"c7956"</definedName>
    <definedName name="IQ_ECO_METRIC_7957" hidden="1">"c7957"</definedName>
    <definedName name="IQ_ECO_METRIC_7958" hidden="1">"c7958"</definedName>
    <definedName name="IQ_ECO_METRIC_7959" hidden="1">"c7959"</definedName>
    <definedName name="IQ_ECO_METRIC_7960" hidden="1">"c7960"</definedName>
    <definedName name="IQ_ECO_METRIC_7961" hidden="1">"c7961"</definedName>
    <definedName name="IQ_ECO_METRIC_7962" hidden="1">"c7962"</definedName>
    <definedName name="IQ_ECO_METRIC_7963" hidden="1">"c7963"</definedName>
    <definedName name="IQ_ECO_METRIC_7964" hidden="1">"c7964"</definedName>
    <definedName name="IQ_ECO_METRIC_7965" hidden="1">"c7965"</definedName>
    <definedName name="IQ_ECO_METRIC_7966" hidden="1">"c7966"</definedName>
    <definedName name="IQ_ECO_METRIC_7967" hidden="1">"c7967"</definedName>
    <definedName name="IQ_ECO_METRIC_7968" hidden="1">"c7968"</definedName>
    <definedName name="IQ_ECO_METRIC_7969" hidden="1">"c7969"</definedName>
    <definedName name="IQ_ECO_METRIC_7970" hidden="1">"c7970"</definedName>
    <definedName name="IQ_ECO_METRIC_7971" hidden="1">"c7971"</definedName>
    <definedName name="IQ_ECO_METRIC_7972" hidden="1">"c7972"</definedName>
    <definedName name="IQ_ECO_METRIC_7973" hidden="1">"c7973"</definedName>
    <definedName name="IQ_ECO_METRIC_7974" hidden="1">"c7974"</definedName>
    <definedName name="IQ_ECO_METRIC_7975" hidden="1">"c7975"</definedName>
    <definedName name="IQ_ECO_METRIC_7976" hidden="1">"c7976"</definedName>
    <definedName name="IQ_ECO_METRIC_7977" hidden="1">"c7977"</definedName>
    <definedName name="IQ_ECO_METRIC_7978" hidden="1">"c7978"</definedName>
    <definedName name="IQ_ECO_METRIC_7979" hidden="1">"c7979"</definedName>
    <definedName name="IQ_ECO_METRIC_7980" hidden="1">"c7980"</definedName>
    <definedName name="IQ_ECO_METRIC_7981" hidden="1">"c7981"</definedName>
    <definedName name="IQ_ECO_METRIC_7982" hidden="1">"c7982"</definedName>
    <definedName name="IQ_ECO_METRIC_7983" hidden="1">"c7983"</definedName>
    <definedName name="IQ_ECO_METRIC_7984" hidden="1">"c7984"</definedName>
    <definedName name="IQ_ECO_METRIC_7985" hidden="1">"c7985"</definedName>
    <definedName name="IQ_ECO_METRIC_7986" hidden="1">"c7986"</definedName>
    <definedName name="IQ_ECO_METRIC_7987" hidden="1">"c7987"</definedName>
    <definedName name="IQ_ECO_METRIC_7988" hidden="1">"c7988"</definedName>
    <definedName name="IQ_ECO_METRIC_7989" hidden="1">"c7989"</definedName>
    <definedName name="IQ_ECO_METRIC_7990" hidden="1">"c7990"</definedName>
    <definedName name="IQ_ECO_METRIC_7991" hidden="1">"c7991"</definedName>
    <definedName name="IQ_ECO_METRIC_7992" hidden="1">"c7992"</definedName>
    <definedName name="IQ_ECO_METRIC_7993" hidden="1">"c7993"</definedName>
    <definedName name="IQ_ECO_METRIC_7994" hidden="1">"c7994"</definedName>
    <definedName name="IQ_ECO_METRIC_7995" hidden="1">"c7995"</definedName>
    <definedName name="IQ_ECO_METRIC_7996" hidden="1">"c7996"</definedName>
    <definedName name="IQ_ECO_METRIC_7997" hidden="1">"c7997"</definedName>
    <definedName name="IQ_ECO_METRIC_7999" hidden="1">"c7999"</definedName>
    <definedName name="IQ_ECO_METRIC_8000" hidden="1">"c8000"</definedName>
    <definedName name="IQ_ECO_METRIC_8001" hidden="1">"c8001"</definedName>
    <definedName name="IQ_ECO_METRIC_8002" hidden="1">"c8002"</definedName>
    <definedName name="IQ_ECO_METRIC_8003" hidden="1">"c8003"</definedName>
    <definedName name="IQ_ECO_METRIC_8004" hidden="1">"c8004"</definedName>
    <definedName name="IQ_ECO_METRIC_8005" hidden="1">"c8005"</definedName>
    <definedName name="IQ_ECO_METRIC_8006" hidden="1">"c8006"</definedName>
    <definedName name="IQ_ECO_METRIC_8007" hidden="1">"c8007"</definedName>
    <definedName name="IQ_ECO_METRIC_8008" hidden="1">"c8008"</definedName>
    <definedName name="IQ_ECO_METRIC_8009" hidden="1">"c8009"</definedName>
    <definedName name="IQ_ECO_METRIC_8010" hidden="1">"c8010"</definedName>
    <definedName name="IQ_ECO_METRIC_8011" hidden="1">"c8011"</definedName>
    <definedName name="IQ_ECO_METRIC_8012" hidden="1">"c8012"</definedName>
    <definedName name="IQ_ECO_METRIC_8013" hidden="1">"c8013"</definedName>
    <definedName name="IQ_ECO_METRIC_8014" hidden="1">"c8014"</definedName>
    <definedName name="IQ_ECO_METRIC_8015" hidden="1">"c8015"</definedName>
    <definedName name="IQ_ECO_METRIC_8016" hidden="1">"c8016"</definedName>
    <definedName name="IQ_ECO_METRIC_8017" hidden="1">"c8017"</definedName>
    <definedName name="IQ_ECO_METRIC_8018" hidden="1">"c8018"</definedName>
    <definedName name="IQ_ECO_METRIC_8019" hidden="1">"c8019"</definedName>
    <definedName name="IQ_ECO_METRIC_8020" hidden="1">"c8020"</definedName>
    <definedName name="IQ_ECO_METRIC_8021" hidden="1">"c8021"</definedName>
    <definedName name="IQ_ECO_METRIC_8022" hidden="1">"c8022"</definedName>
    <definedName name="IQ_ECO_METRIC_8023" hidden="1">"c8023"</definedName>
    <definedName name="IQ_ECO_METRIC_8024" hidden="1">"c8024"</definedName>
    <definedName name="IQ_ECO_METRIC_8025" hidden="1">"c8025"</definedName>
    <definedName name="IQ_ECO_METRIC_8026" hidden="1">"c8026"</definedName>
    <definedName name="IQ_ECO_METRIC_8028" hidden="1">"c8028"</definedName>
    <definedName name="IQ_ECO_METRIC_8029" hidden="1">"c8029"</definedName>
    <definedName name="IQ_ECO_METRIC_8030" hidden="1">"c8030"</definedName>
    <definedName name="IQ_ECO_METRIC_8032" hidden="1">"c8032"</definedName>
    <definedName name="IQ_ECO_METRIC_8033" hidden="1">"c8033"</definedName>
    <definedName name="IQ_ECO_METRIC_8034" hidden="1">"c8034"</definedName>
    <definedName name="IQ_ECO_METRIC_8035" hidden="1">"c8035"</definedName>
    <definedName name="IQ_ECO_METRIC_8036" hidden="1">"c8036"</definedName>
    <definedName name="IQ_ECO_METRIC_8037" hidden="1">"c8037"</definedName>
    <definedName name="IQ_ECO_METRIC_8038" hidden="1">"c8038"</definedName>
    <definedName name="IQ_ECO_METRIC_8039" hidden="1">"c8039"</definedName>
    <definedName name="IQ_ECO_METRIC_8040" hidden="1">"c8040"</definedName>
    <definedName name="IQ_ECO_METRIC_8041" hidden="1">"c8041"</definedName>
    <definedName name="IQ_ECO_METRIC_8042" hidden="1">"c8042"</definedName>
    <definedName name="IQ_ECO_METRIC_8043" hidden="1">"c8043"</definedName>
    <definedName name="IQ_ECO_METRIC_8044" hidden="1">"c8044"</definedName>
    <definedName name="IQ_ECO_METRIC_8045" hidden="1">"c8045"</definedName>
    <definedName name="IQ_ECO_METRIC_8046" hidden="1">"c8046"</definedName>
    <definedName name="IQ_ECO_METRIC_8047" hidden="1">"c8047"</definedName>
    <definedName name="IQ_ECO_METRIC_8048" hidden="1">"c8048"</definedName>
    <definedName name="IQ_ECO_METRIC_8049" hidden="1">"c8049"</definedName>
    <definedName name="IQ_ECO_METRIC_8050" hidden="1">"c8050"</definedName>
    <definedName name="IQ_ECO_METRIC_8051" hidden="1">"c8051"</definedName>
    <definedName name="IQ_ECO_METRIC_8052" hidden="1">"c8052"</definedName>
    <definedName name="IQ_ECO_METRIC_8053" hidden="1">"c8053"</definedName>
    <definedName name="IQ_ECO_METRIC_8054" hidden="1">"c8054"</definedName>
    <definedName name="IQ_ECO_METRIC_8055" hidden="1">"c8055"</definedName>
    <definedName name="IQ_ECO_METRIC_8056" hidden="1">"c8056"</definedName>
    <definedName name="IQ_ECO_METRIC_8057" hidden="1">"c8057"</definedName>
    <definedName name="IQ_ECO_METRIC_8058" hidden="1">"c8058"</definedName>
    <definedName name="IQ_ECO_METRIC_8059" hidden="1">"c8059"</definedName>
    <definedName name="IQ_ECO_METRIC_8060" hidden="1">"c8060"</definedName>
    <definedName name="IQ_ECO_METRIC_8062" hidden="1">"c8062"</definedName>
    <definedName name="IQ_ECO_METRIC_8063" hidden="1">"c8063"</definedName>
    <definedName name="IQ_ECO_METRIC_8064" hidden="1">"c8064"</definedName>
    <definedName name="IQ_ECO_METRIC_8065" hidden="1">"c8065"</definedName>
    <definedName name="IQ_ECO_METRIC_8066" hidden="1">"c8066"</definedName>
    <definedName name="IQ_ECO_METRIC_8067" hidden="1">"c8067"</definedName>
    <definedName name="IQ_ECO_METRIC_8068" hidden="1">"c8068"</definedName>
    <definedName name="IQ_ECO_METRIC_8069" hidden="1">"c8069"</definedName>
    <definedName name="IQ_ECO_METRIC_8070" hidden="1">"c8070"</definedName>
    <definedName name="IQ_ECO_METRIC_8071" hidden="1">"c8071"</definedName>
    <definedName name="IQ_ECO_METRIC_8072" hidden="1">"c8072"</definedName>
    <definedName name="IQ_ECO_METRIC_8073" hidden="1">"c8073"</definedName>
    <definedName name="IQ_ECO_METRIC_8074" hidden="1">"c8074"</definedName>
    <definedName name="IQ_ECO_METRIC_8075" hidden="1">"c8075"</definedName>
    <definedName name="IQ_ECO_METRIC_8076" hidden="1">"c8076"</definedName>
    <definedName name="IQ_ECO_METRIC_8077" hidden="1">"c8077"</definedName>
    <definedName name="IQ_ECO_METRIC_8078" hidden="1">"c8078"</definedName>
    <definedName name="IQ_ECO_METRIC_8079" hidden="1">"c8079"</definedName>
    <definedName name="IQ_ECO_METRIC_8080" hidden="1">"c8080"</definedName>
    <definedName name="IQ_ECO_METRIC_8081" hidden="1">"c8081"</definedName>
    <definedName name="IQ_ECO_METRIC_8082" hidden="1">"c8082"</definedName>
    <definedName name="IQ_ECO_METRIC_8083" hidden="1">"c8083"</definedName>
    <definedName name="IQ_ECO_METRIC_8084" hidden="1">"c8084"</definedName>
    <definedName name="IQ_ECO_METRIC_8085" hidden="1">"c8085"</definedName>
    <definedName name="IQ_ECO_METRIC_8086" hidden="1">"c8086"</definedName>
    <definedName name="IQ_ECO_METRIC_8087" hidden="1">"c8087"</definedName>
    <definedName name="IQ_ECO_METRIC_8088" hidden="1">"c8088"</definedName>
    <definedName name="IQ_ECO_METRIC_8089" hidden="1">"c8089"</definedName>
    <definedName name="IQ_ECO_METRIC_8090" hidden="1">"c8090"</definedName>
    <definedName name="IQ_ECO_METRIC_8091" hidden="1">"c8091"</definedName>
    <definedName name="IQ_ECO_METRIC_8092" hidden="1">"c8092"</definedName>
    <definedName name="IQ_ECO_METRIC_8094" hidden="1">"c8094"</definedName>
    <definedName name="IQ_ECO_METRIC_8095" hidden="1">"c8095"</definedName>
    <definedName name="IQ_ECO_METRIC_8096" hidden="1">"c8096"</definedName>
    <definedName name="IQ_ECO_METRIC_8097" hidden="1">"c8097"</definedName>
    <definedName name="IQ_ECO_METRIC_8098" hidden="1">"c8098"</definedName>
    <definedName name="IQ_ECO_METRIC_8100" hidden="1">"c8100"</definedName>
    <definedName name="IQ_ECO_METRIC_8101" hidden="1">"c8101"</definedName>
    <definedName name="IQ_ECO_METRIC_8102" hidden="1">"c8102"</definedName>
    <definedName name="IQ_ECO_METRIC_8103" hidden="1">"c8103"</definedName>
    <definedName name="IQ_ECO_METRIC_8104" hidden="1">"c8104"</definedName>
    <definedName name="IQ_ECO_METRIC_8105" hidden="1">"c8105"</definedName>
    <definedName name="IQ_ECO_METRIC_8106" hidden="1">"c8106"</definedName>
    <definedName name="IQ_ECO_METRIC_8107" hidden="1">"c8107"</definedName>
    <definedName name="IQ_ECO_METRIC_8108" hidden="1">"c8108"</definedName>
    <definedName name="IQ_ECO_METRIC_8109" hidden="1">"c8109"</definedName>
    <definedName name="IQ_ECO_METRIC_8110" hidden="1">"c8110"</definedName>
    <definedName name="IQ_ECO_METRIC_8111" hidden="1">"c8111"</definedName>
    <definedName name="IQ_ECO_METRIC_8112" hidden="1">"c8112"</definedName>
    <definedName name="IQ_ECO_METRIC_8113" hidden="1">"c8113"</definedName>
    <definedName name="IQ_ECO_METRIC_8115" hidden="1">"c8115"</definedName>
    <definedName name="IQ_ECO_METRIC_8116" hidden="1">"c8116"</definedName>
    <definedName name="IQ_ECO_METRIC_8117" hidden="1">"c8117"</definedName>
    <definedName name="IQ_ECO_METRIC_8118" hidden="1">"c8118"</definedName>
    <definedName name="IQ_ECO_METRIC_8119" hidden="1">"c8119"</definedName>
    <definedName name="IQ_ECO_METRIC_8120" hidden="1">"c8120"</definedName>
    <definedName name="IQ_ECO_METRIC_8121" hidden="1">"c8121"</definedName>
    <definedName name="IQ_ECO_METRIC_8123" hidden="1">"c8123"</definedName>
    <definedName name="IQ_ECO_METRIC_8124" hidden="1">"c8124"</definedName>
    <definedName name="IQ_ECO_METRIC_8125" hidden="1">"c8125"</definedName>
    <definedName name="IQ_ECO_METRIC_8126" hidden="1">"c8126"</definedName>
    <definedName name="IQ_ECO_METRIC_8127" hidden="1">"c8127"</definedName>
    <definedName name="IQ_ECO_METRIC_8128" hidden="1">"c8128"</definedName>
    <definedName name="IQ_ECO_METRIC_8129" hidden="1">"c8129"</definedName>
    <definedName name="IQ_ECO_METRIC_8130" hidden="1">"c8130"</definedName>
    <definedName name="IQ_ECO_METRIC_8131" hidden="1">"c8131"</definedName>
    <definedName name="IQ_ECO_METRIC_8132" hidden="1">"c8132"</definedName>
    <definedName name="IQ_ECO_METRIC_8133" hidden="1">"c8133"</definedName>
    <definedName name="IQ_ECO_METRIC_8134" hidden="1">"c8134"</definedName>
    <definedName name="IQ_ECO_METRIC_8135" hidden="1">"c8135"</definedName>
    <definedName name="IQ_ECO_METRIC_8136" hidden="1">"c8136"</definedName>
    <definedName name="IQ_ECO_METRIC_8137" hidden="1">"c8137"</definedName>
    <definedName name="IQ_ECO_METRIC_8138" hidden="1">"c8138"</definedName>
    <definedName name="IQ_ECO_METRIC_8139" hidden="1">"c8139"</definedName>
    <definedName name="IQ_ECO_METRIC_8140" hidden="1">"c8140"</definedName>
    <definedName name="IQ_ECO_METRIC_8141" hidden="1">"c8141"</definedName>
    <definedName name="IQ_ECO_METRIC_8142" hidden="1">"c8142"</definedName>
    <definedName name="IQ_ECO_METRIC_8143" hidden="1">"c8143"</definedName>
    <definedName name="IQ_ECO_METRIC_8145" hidden="1">"c8145"</definedName>
    <definedName name="IQ_ECO_METRIC_8147" hidden="1">"c8147"</definedName>
    <definedName name="IQ_ECO_METRIC_8148" hidden="1">"c8148"</definedName>
    <definedName name="IQ_ECO_METRIC_8149" hidden="1">"c8149"</definedName>
    <definedName name="IQ_ECO_METRIC_8150" hidden="1">"c8150"</definedName>
    <definedName name="IQ_ECO_METRIC_8152" hidden="1">"c8152"</definedName>
    <definedName name="IQ_ECO_METRIC_8153" hidden="1">"c8153"</definedName>
    <definedName name="IQ_ECO_METRIC_8154" hidden="1">"c8154"</definedName>
    <definedName name="IQ_ECO_METRIC_8155" hidden="1">"c8155"</definedName>
    <definedName name="IQ_ECO_METRIC_8156" hidden="1">"c8156"</definedName>
    <definedName name="IQ_ECO_METRIC_8157" hidden="1">"c8157"</definedName>
    <definedName name="IQ_ECO_METRIC_8159" hidden="1">"c8159"</definedName>
    <definedName name="IQ_ECO_METRIC_8160" hidden="1">"c8160"</definedName>
    <definedName name="IQ_ECO_METRIC_8161" hidden="1">"c8161"</definedName>
    <definedName name="IQ_ECO_METRIC_8162" hidden="1">"c8162"</definedName>
    <definedName name="IQ_ECO_METRIC_8163" hidden="1">"c8163"</definedName>
    <definedName name="IQ_ECO_METRIC_8164" hidden="1">"c8164"</definedName>
    <definedName name="IQ_ECO_METRIC_8165" hidden="1">"c8165"</definedName>
    <definedName name="IQ_ECO_METRIC_8166" hidden="1">"c8166"</definedName>
    <definedName name="IQ_ECO_METRIC_8167" hidden="1">"c8167"</definedName>
    <definedName name="IQ_ECO_METRIC_8168" hidden="1">"c8168"</definedName>
    <definedName name="IQ_ECO_METRIC_8169" hidden="1">"c8169"</definedName>
    <definedName name="IQ_ECO_METRIC_8170" hidden="1">"c8170"</definedName>
    <definedName name="IQ_ECO_METRIC_8171" hidden="1">"c8171"</definedName>
    <definedName name="IQ_ECO_METRIC_8172" hidden="1">"c8172"</definedName>
    <definedName name="IQ_ECO_METRIC_8173" hidden="1">"c8173"</definedName>
    <definedName name="IQ_ECO_METRIC_8174" hidden="1">"c8174"</definedName>
    <definedName name="IQ_ECO_METRIC_8175" hidden="1">"c8175"</definedName>
    <definedName name="IQ_ECO_METRIC_8176" hidden="1">"c8176"</definedName>
    <definedName name="IQ_ECO_METRIC_8177" hidden="1">"c8177"</definedName>
    <definedName name="IQ_ECO_METRIC_8178" hidden="1">"c8178"</definedName>
    <definedName name="IQ_ECO_METRIC_8179" hidden="1">"c8179"</definedName>
    <definedName name="IQ_ECO_METRIC_8180" hidden="1">"c8180"</definedName>
    <definedName name="IQ_ECO_METRIC_8181" hidden="1">"c8181"</definedName>
    <definedName name="IQ_ECO_METRIC_8182" hidden="1">"c8182"</definedName>
    <definedName name="IQ_ECO_METRIC_8183" hidden="1">"c8183"</definedName>
    <definedName name="IQ_ECO_METRIC_8184" hidden="1">"c8184"</definedName>
    <definedName name="IQ_ECO_METRIC_8185" hidden="1">"c8185"</definedName>
    <definedName name="IQ_ECO_METRIC_8186" hidden="1">"c8186"</definedName>
    <definedName name="IQ_ECO_METRIC_8187" hidden="1">"c8187"</definedName>
    <definedName name="IQ_ECO_METRIC_8188" hidden="1">"c8188"</definedName>
    <definedName name="IQ_ECO_METRIC_8189" hidden="1">"c8189"</definedName>
    <definedName name="IQ_ECO_METRIC_8190" hidden="1">"c8190"</definedName>
    <definedName name="IQ_ECO_METRIC_8191" hidden="1">"c8191"</definedName>
    <definedName name="IQ_ECO_METRIC_8192" hidden="1">"c8192"</definedName>
    <definedName name="IQ_ECO_METRIC_8193" hidden="1">"c8193"</definedName>
    <definedName name="IQ_ECO_METRIC_8194" hidden="1">"c8194"</definedName>
    <definedName name="IQ_ECO_METRIC_8195" hidden="1">"c8195"</definedName>
    <definedName name="IQ_ECO_METRIC_8196" hidden="1">"c8196"</definedName>
    <definedName name="IQ_ECO_METRIC_8197" hidden="1">"c8197"</definedName>
    <definedName name="IQ_ECO_METRIC_8198" hidden="1">"c8198"</definedName>
    <definedName name="IQ_ECO_METRIC_8199" hidden="1">"c8199"</definedName>
    <definedName name="IQ_ECO_METRIC_8200" hidden="1">"c8200"</definedName>
    <definedName name="IQ_ECO_METRIC_8201" hidden="1">"c8201"</definedName>
    <definedName name="IQ_ECO_METRIC_8202" hidden="1">"c8202"</definedName>
    <definedName name="IQ_ECO_METRIC_8203" hidden="1">"c8203"</definedName>
    <definedName name="IQ_ECO_METRIC_8204" hidden="1">"c8204"</definedName>
    <definedName name="IQ_ECO_METRIC_8205" hidden="1">"c8205"</definedName>
    <definedName name="IQ_ECO_METRIC_8206" hidden="1">"c8206"</definedName>
    <definedName name="IQ_ECO_METRIC_8207" hidden="1">"c8207"</definedName>
    <definedName name="IQ_ECO_METRIC_8208" hidden="1">"c8208"</definedName>
    <definedName name="IQ_ECO_METRIC_8209" hidden="1">"c8209"</definedName>
    <definedName name="IQ_ECO_METRIC_8210" hidden="1">"c8210"</definedName>
    <definedName name="IQ_ECO_METRIC_8211" hidden="1">"c8211"</definedName>
    <definedName name="IQ_ECO_METRIC_8212" hidden="1">"c8212"</definedName>
    <definedName name="IQ_ECO_METRIC_8213" hidden="1">"c8213"</definedName>
    <definedName name="IQ_ECO_METRIC_8214" hidden="1">"c8214"</definedName>
    <definedName name="IQ_ECO_METRIC_8215" hidden="1">"c8215"</definedName>
    <definedName name="IQ_ECO_METRIC_8216" hidden="1">"c8216"</definedName>
    <definedName name="IQ_ECO_METRIC_8217" hidden="1">"c8217"</definedName>
    <definedName name="IQ_ECO_METRIC_8219" hidden="1">"c8219"</definedName>
    <definedName name="IQ_ECO_METRIC_8221" hidden="1">"c8221"</definedName>
    <definedName name="IQ_ECO_METRIC_8222" hidden="1">"c8222"</definedName>
    <definedName name="IQ_ECO_METRIC_8223" hidden="1">"c8223"</definedName>
    <definedName name="IQ_ECO_METRIC_8224" hidden="1">"c8224"</definedName>
    <definedName name="IQ_ECO_METRIC_8225" hidden="1">"c8225"</definedName>
    <definedName name="IQ_ECO_METRIC_8226" hidden="1">"c8226"</definedName>
    <definedName name="IQ_ECO_METRIC_8227" hidden="1">"c8227"</definedName>
    <definedName name="IQ_ECO_METRIC_8228" hidden="1">"c8228"</definedName>
    <definedName name="IQ_ECO_METRIC_8229" hidden="1">"c8229"</definedName>
    <definedName name="IQ_ECO_METRIC_8230" hidden="1">"c8230"</definedName>
    <definedName name="IQ_ECO_METRIC_8231" hidden="1">"c8231"</definedName>
    <definedName name="IQ_ECO_METRIC_8232" hidden="1">"c8232"</definedName>
    <definedName name="IQ_ECO_METRIC_8233" hidden="1">"c8233"</definedName>
    <definedName name="IQ_ECO_METRIC_8234" hidden="1">"c8234"</definedName>
    <definedName name="IQ_ECO_METRIC_8235" hidden="1">"c8235"</definedName>
    <definedName name="IQ_ECO_METRIC_8236" hidden="1">"c8236"</definedName>
    <definedName name="IQ_ECO_METRIC_8237" hidden="1">"c8237"</definedName>
    <definedName name="IQ_ECO_METRIC_8238" hidden="1">"c8238"</definedName>
    <definedName name="IQ_ECO_METRIC_8239" hidden="1">"c8239"</definedName>
    <definedName name="IQ_ECO_METRIC_8240" hidden="1">"c8240"</definedName>
    <definedName name="IQ_ECO_METRIC_8241" hidden="1">"c8241"</definedName>
    <definedName name="IQ_ECO_METRIC_8242" hidden="1">"c8242"</definedName>
    <definedName name="IQ_ECO_METRIC_8243" hidden="1">"c8243"</definedName>
    <definedName name="IQ_ECO_METRIC_8244" hidden="1">"c8244"</definedName>
    <definedName name="IQ_ECO_METRIC_8245" hidden="1">"c8245"</definedName>
    <definedName name="IQ_ECO_METRIC_8246" hidden="1">"c8246"</definedName>
    <definedName name="IQ_ECO_METRIC_8248" hidden="1">"c8248"</definedName>
    <definedName name="IQ_ECO_METRIC_8249" hidden="1">"c8249"</definedName>
    <definedName name="IQ_ECO_METRIC_8250" hidden="1">"c8250"</definedName>
    <definedName name="IQ_ECO_METRIC_8252" hidden="1">"c8252"</definedName>
    <definedName name="IQ_ECO_METRIC_8253" hidden="1">"c8253"</definedName>
    <definedName name="IQ_ECO_METRIC_8254" hidden="1">"c8254"</definedName>
    <definedName name="IQ_ECO_METRIC_8255" hidden="1">"c8255"</definedName>
    <definedName name="IQ_ECO_METRIC_8256" hidden="1">"c8256"</definedName>
    <definedName name="IQ_ECO_METRIC_8257" hidden="1">"c8257"</definedName>
    <definedName name="IQ_ECO_METRIC_8258" hidden="1">"c8258"</definedName>
    <definedName name="IQ_ECO_METRIC_8259" hidden="1">"c8259"</definedName>
    <definedName name="IQ_ECO_METRIC_8260" hidden="1">"c8260"</definedName>
    <definedName name="IQ_ECO_METRIC_8261" hidden="1">"c8261"</definedName>
    <definedName name="IQ_ECO_METRIC_8262" hidden="1">"c8262"</definedName>
    <definedName name="IQ_ECO_METRIC_8263" hidden="1">"c8263"</definedName>
    <definedName name="IQ_ECO_METRIC_8264" hidden="1">"c8264"</definedName>
    <definedName name="IQ_ECO_METRIC_8265" hidden="1">"c8265"</definedName>
    <definedName name="IQ_ECO_METRIC_8266" hidden="1">"c8266"</definedName>
    <definedName name="IQ_ECO_METRIC_8267" hidden="1">"c8267"</definedName>
    <definedName name="IQ_ECO_METRIC_8268" hidden="1">"c8268"</definedName>
    <definedName name="IQ_ECO_METRIC_8269" hidden="1">"c8269"</definedName>
    <definedName name="IQ_ECO_METRIC_8270" hidden="1">"c8270"</definedName>
    <definedName name="IQ_ECO_METRIC_8271" hidden="1">"c8271"</definedName>
    <definedName name="IQ_ECO_METRIC_8272" hidden="1">"c8272"</definedName>
    <definedName name="IQ_ECO_METRIC_8273" hidden="1">"c8273"</definedName>
    <definedName name="IQ_ECO_METRIC_8274" hidden="1">"c8274"</definedName>
    <definedName name="IQ_ECO_METRIC_8275" hidden="1">"c8275"</definedName>
    <definedName name="IQ_ECO_METRIC_8276" hidden="1">"c8276"</definedName>
    <definedName name="IQ_ECO_METRIC_8277" hidden="1">"c8277"</definedName>
    <definedName name="IQ_ECO_METRIC_8278" hidden="1">"c8278"</definedName>
    <definedName name="IQ_ECO_METRIC_8279" hidden="1">"c8279"</definedName>
    <definedName name="IQ_ECO_METRIC_8280" hidden="1">"c8280"</definedName>
    <definedName name="IQ_ECO_METRIC_8282" hidden="1">"c8282"</definedName>
    <definedName name="IQ_ECO_METRIC_8283" hidden="1">"c8283"</definedName>
    <definedName name="IQ_ECO_METRIC_8284" hidden="1">"c8284"</definedName>
    <definedName name="IQ_ECO_METRIC_8285" hidden="1">"c8285"</definedName>
    <definedName name="IQ_ECO_METRIC_8286" hidden="1">"c8286"</definedName>
    <definedName name="IQ_ECO_METRIC_8287" hidden="1">"c8287"</definedName>
    <definedName name="IQ_ECO_METRIC_8288" hidden="1">"c8288"</definedName>
    <definedName name="IQ_ECO_METRIC_8289" hidden="1">"c8289"</definedName>
    <definedName name="IQ_ECO_METRIC_8290" hidden="1">"c8290"</definedName>
    <definedName name="IQ_ECO_METRIC_8291" hidden="1">"c8291"</definedName>
    <definedName name="IQ_ECO_METRIC_8292" hidden="1">"c8292"</definedName>
    <definedName name="IQ_ECO_METRIC_8293" hidden="1">"c8293"</definedName>
    <definedName name="IQ_ECO_METRIC_8294" hidden="1">"c8294"</definedName>
    <definedName name="IQ_ECO_METRIC_8295" hidden="1">"c8295"</definedName>
    <definedName name="IQ_ECO_METRIC_8296" hidden="1">"c8296"</definedName>
    <definedName name="IQ_ECO_METRIC_8297" hidden="1">"c8297"</definedName>
    <definedName name="IQ_ECO_METRIC_8298" hidden="1">"c8298"</definedName>
    <definedName name="IQ_ECO_METRIC_8299" hidden="1">"c8299"</definedName>
    <definedName name="IQ_ECO_METRIC_8300" hidden="1">"c8300"</definedName>
    <definedName name="IQ_ECO_METRIC_8301" hidden="1">"c8301"</definedName>
    <definedName name="IQ_ECO_METRIC_8302" hidden="1">"c8302"</definedName>
    <definedName name="IQ_ECO_METRIC_8303" hidden="1">"c8303"</definedName>
    <definedName name="IQ_ECO_METRIC_8304" hidden="1">"c8304"</definedName>
    <definedName name="IQ_ECO_METRIC_8305" hidden="1">"c8305"</definedName>
    <definedName name="IQ_ECO_METRIC_8306" hidden="1">"c8306"</definedName>
    <definedName name="IQ_ECO_METRIC_8307" hidden="1">"c8307"</definedName>
    <definedName name="IQ_ECO_METRIC_8308" hidden="1">"c8308"</definedName>
    <definedName name="IQ_ECO_METRIC_8309" hidden="1">"c8309"</definedName>
    <definedName name="IQ_ECO_METRIC_8310" hidden="1">"c8310"</definedName>
    <definedName name="IQ_ECO_METRIC_8311" hidden="1">"c8311"</definedName>
    <definedName name="IQ_ECO_METRIC_8312" hidden="1">"c8312"</definedName>
    <definedName name="IQ_ECO_METRIC_8314" hidden="1">"c8314"</definedName>
    <definedName name="IQ_ECO_METRIC_8315" hidden="1">"c8315"</definedName>
    <definedName name="IQ_ECO_METRIC_8316" hidden="1">"c8316"</definedName>
    <definedName name="IQ_ECO_METRIC_8317" hidden="1">"c8317"</definedName>
    <definedName name="IQ_ECO_METRIC_8318" hidden="1">"c8318"</definedName>
    <definedName name="IQ_ECO_METRIC_8320" hidden="1">"c8320"</definedName>
    <definedName name="IQ_ECO_METRIC_8321" hidden="1">"c8321"</definedName>
    <definedName name="IQ_ECO_METRIC_8322" hidden="1">"c8322"</definedName>
    <definedName name="IQ_ECO_METRIC_8323" hidden="1">"c8323"</definedName>
    <definedName name="IQ_ECO_METRIC_8324" hidden="1">"c8324"</definedName>
    <definedName name="IQ_ECO_METRIC_8325" hidden="1">"c8325"</definedName>
    <definedName name="IQ_ECO_METRIC_8326" hidden="1">"c8326"</definedName>
    <definedName name="IQ_ECO_METRIC_8327" hidden="1">"c8327"</definedName>
    <definedName name="IQ_ECO_METRIC_8328" hidden="1">"c8328"</definedName>
    <definedName name="IQ_ECO_METRIC_8329" hidden="1">"c8329"</definedName>
    <definedName name="IQ_ECO_METRIC_8330" hidden="1">"c8330"</definedName>
    <definedName name="IQ_ECO_METRIC_8331" hidden="1">"c8331"</definedName>
    <definedName name="IQ_ECO_METRIC_8332" hidden="1">"c8332"</definedName>
    <definedName name="IQ_ECO_METRIC_8333" hidden="1">"c8333"</definedName>
    <definedName name="IQ_ECO_METRIC_8335" hidden="1">"c8335"</definedName>
    <definedName name="IQ_ECO_METRIC_8336" hidden="1">"c8336"</definedName>
    <definedName name="IQ_ECO_METRIC_8337" hidden="1">"c8337"</definedName>
    <definedName name="IQ_ECO_METRIC_8338" hidden="1">"c8338"</definedName>
    <definedName name="IQ_ECO_METRIC_8339" hidden="1">"c8339"</definedName>
    <definedName name="IQ_ECO_METRIC_8340" hidden="1">"c8340"</definedName>
    <definedName name="IQ_ECO_METRIC_8341" hidden="1">"c8341"</definedName>
    <definedName name="IQ_ECO_METRIC_8343" hidden="1">"c8343"</definedName>
    <definedName name="IQ_ECO_METRIC_8344" hidden="1">"c8344"</definedName>
    <definedName name="IQ_ECO_METRIC_8345" hidden="1">"c8345"</definedName>
    <definedName name="IQ_ECO_METRIC_8346" hidden="1">"c8346"</definedName>
    <definedName name="IQ_ECO_METRIC_8347" hidden="1">"c8347"</definedName>
    <definedName name="IQ_ECO_METRIC_8348" hidden="1">"c8348"</definedName>
    <definedName name="IQ_ECO_METRIC_8349" hidden="1">"c8349"</definedName>
    <definedName name="IQ_ECO_METRIC_8350" hidden="1">"c8350"</definedName>
    <definedName name="IQ_ECO_METRIC_8352" hidden="1">"c8352"</definedName>
    <definedName name="IQ_ECO_METRIC_8353" hidden="1">"c8353"</definedName>
    <definedName name="IQ_ECO_METRIC_8354" hidden="1">"c8354"</definedName>
    <definedName name="IQ_ECO_METRIC_8355" hidden="1">"c8355"</definedName>
    <definedName name="IQ_ECO_METRIC_8356" hidden="1">"c8356"</definedName>
    <definedName name="IQ_ECO_METRIC_8357" hidden="1">"c8357"</definedName>
    <definedName name="IQ_ECO_METRIC_8358" hidden="1">"c8358"</definedName>
    <definedName name="IQ_ECO_METRIC_8359" hidden="1">"c8359"</definedName>
    <definedName name="IQ_ECO_METRIC_8360" hidden="1">"c8360"</definedName>
    <definedName name="IQ_ECO_METRIC_8361" hidden="1">"c8361"</definedName>
    <definedName name="IQ_ECO_METRIC_8362" hidden="1">"c8362"</definedName>
    <definedName name="IQ_ECO_METRIC_8363" hidden="1">"c8363"</definedName>
    <definedName name="IQ_ECO_METRIC_8367" hidden="1">"c8367"</definedName>
    <definedName name="IQ_ECO_METRIC_8368" hidden="1">"c8368"</definedName>
    <definedName name="IQ_ECO_METRIC_8369" hidden="1">"c8369"</definedName>
    <definedName name="IQ_ECO_METRIC_8370" hidden="1">"c8370"</definedName>
    <definedName name="IQ_ECO_METRIC_8371" hidden="1">"c8371"</definedName>
    <definedName name="IQ_ECO_METRIC_8372" hidden="1">"c8372"</definedName>
    <definedName name="IQ_ECO_METRIC_8373" hidden="1">"c8373"</definedName>
    <definedName name="IQ_ECO_METRIC_8374" hidden="1">"c8374"</definedName>
    <definedName name="IQ_ECO_METRIC_8375" hidden="1">"c8375"</definedName>
    <definedName name="IQ_ECO_METRIC_8376" hidden="1">"c8376"</definedName>
    <definedName name="IQ_ECO_METRIC_8377" hidden="1">"c8377"</definedName>
    <definedName name="IQ_ECO_METRIC_8380" hidden="1">"c8380"</definedName>
    <definedName name="IQ_ECO_METRIC_8381" hidden="1">"c8381"</definedName>
    <definedName name="IQ_ECO_METRIC_8382" hidden="1">"c8382"</definedName>
    <definedName name="IQ_ECO_METRIC_8383" hidden="1">"c8383"</definedName>
    <definedName name="IQ_ECO_METRIC_8384" hidden="1">"c8384"</definedName>
    <definedName name="IQ_ECO_METRIC_8385" hidden="1">"c8385"</definedName>
    <definedName name="IQ_ECO_METRIC_8387" hidden="1">"c8387"</definedName>
    <definedName name="IQ_ECO_METRIC_8388" hidden="1">"c8388"</definedName>
    <definedName name="IQ_ECO_METRIC_8389" hidden="1">"c8389"</definedName>
    <definedName name="IQ_ECO_METRIC_8390" hidden="1">"c8390"</definedName>
    <definedName name="IQ_ECO_METRIC_8391" hidden="1">"c8391"</definedName>
    <definedName name="IQ_ECO_METRIC_8392" hidden="1">"c8392"</definedName>
    <definedName name="IQ_ECO_METRIC_8393" hidden="1">"c8393"</definedName>
    <definedName name="IQ_ECO_METRIC_8394" hidden="1">"c8394"</definedName>
    <definedName name="IQ_ECO_METRIC_8395" hidden="1">"c8395"</definedName>
    <definedName name="IQ_ECO_METRIC_8396" hidden="1">"c8396"</definedName>
    <definedName name="IQ_ECO_METRIC_8397" hidden="1">"c8397"</definedName>
    <definedName name="IQ_ECO_METRIC_8398" hidden="1">"c8398"</definedName>
    <definedName name="IQ_ECO_METRIC_8399" hidden="1">"c8399"</definedName>
    <definedName name="IQ_ECO_METRIC_8400" hidden="1">"c8400"</definedName>
    <definedName name="IQ_ECO_METRIC_8401" hidden="1">"c8401"</definedName>
    <definedName name="IQ_ECO_METRIC_8402" hidden="1">"c8402"</definedName>
    <definedName name="IQ_ECO_METRIC_8403" hidden="1">"c8403"</definedName>
    <definedName name="IQ_ECO_METRIC_8404" hidden="1">"c8404"</definedName>
    <definedName name="IQ_ECO_METRIC_8405" hidden="1">"c8405"</definedName>
    <definedName name="IQ_ECO_METRIC_8406" hidden="1">"c8406"</definedName>
    <definedName name="IQ_ECO_METRIC_8407" hidden="1">"c8407"</definedName>
    <definedName name="IQ_ECO_METRIC_8408" hidden="1">"c8408"</definedName>
    <definedName name="IQ_ECO_METRIC_8409" hidden="1">"c8409"</definedName>
    <definedName name="IQ_ECO_METRIC_8410" hidden="1">"c8410"</definedName>
    <definedName name="IQ_ECO_METRIC_8411" hidden="1">"c8411"</definedName>
    <definedName name="IQ_ECO_METRIC_8412" hidden="1">"c8412"</definedName>
    <definedName name="IQ_ECO_METRIC_8413" hidden="1">"c8413"</definedName>
    <definedName name="IQ_ECO_METRIC_8414" hidden="1">"c8414"</definedName>
    <definedName name="IQ_ECO_METRIC_8415" hidden="1">"c8415"</definedName>
    <definedName name="IQ_ECO_METRIC_8416" hidden="1">"c8416"</definedName>
    <definedName name="IQ_ECO_METRIC_8417" hidden="1">"c8417"</definedName>
    <definedName name="IQ_ECO_METRIC_8418" hidden="1">"c8418"</definedName>
    <definedName name="IQ_ECO_METRIC_8419" hidden="1">"c8419"</definedName>
    <definedName name="IQ_ECO_METRIC_8420" hidden="1">"c8420"</definedName>
    <definedName name="IQ_ECO_METRIC_8421" hidden="1">"c8421"</definedName>
    <definedName name="IQ_ECO_METRIC_8422" hidden="1">"c8422"</definedName>
    <definedName name="IQ_ECO_METRIC_8423" hidden="1">"c8423"</definedName>
    <definedName name="IQ_ECO_METRIC_8424" hidden="1">"c8424"</definedName>
    <definedName name="IQ_ECO_METRIC_8425" hidden="1">"c8425"</definedName>
    <definedName name="IQ_ECO_METRIC_8426" hidden="1">"c8426"</definedName>
    <definedName name="IQ_ECO_METRIC_8427" hidden="1">"c8427"</definedName>
    <definedName name="IQ_ECO_METRIC_8428" hidden="1">"c8428"</definedName>
    <definedName name="IQ_ECO_METRIC_8429" hidden="1">"c8429"</definedName>
    <definedName name="IQ_ECO_METRIC_8430" hidden="1">"c8430"</definedName>
    <definedName name="IQ_ECO_METRIC_8431" hidden="1">"c8431"</definedName>
    <definedName name="IQ_ECO_METRIC_8432" hidden="1">"c8432"</definedName>
    <definedName name="IQ_ECO_METRIC_8433" hidden="1">"c8433"</definedName>
    <definedName name="IQ_ECO_METRIC_8434" hidden="1">"c8434"</definedName>
    <definedName name="IQ_ECO_METRIC_8435" hidden="1">"c8435"</definedName>
    <definedName name="IQ_ECO_METRIC_8436" hidden="1">"c8436"</definedName>
    <definedName name="IQ_ECO_METRIC_8437" hidden="1">"c8437"</definedName>
    <definedName name="IQ_ECO_METRIC_8440" hidden="1">"c8440"</definedName>
    <definedName name="IQ_ECO_METRIC_8441" hidden="1">"c8441"</definedName>
    <definedName name="IQ_ECO_METRIC_8442" hidden="1">"c8442"</definedName>
    <definedName name="IQ_ECO_METRIC_8443" hidden="1">"c8443"</definedName>
    <definedName name="IQ_ECO_METRIC_8444" hidden="1">"c8444"</definedName>
    <definedName name="IQ_ECO_METRIC_8445" hidden="1">"c8445"</definedName>
    <definedName name="IQ_ECO_METRIC_8446" hidden="1">"c8446"</definedName>
    <definedName name="IQ_ECO_METRIC_8447" hidden="1">"c8447"</definedName>
    <definedName name="IQ_ECO_METRIC_8448" hidden="1">"c8448"</definedName>
    <definedName name="IQ_ECO_METRIC_8450" hidden="1">"c8450"</definedName>
    <definedName name="IQ_ECO_METRIC_8451" hidden="1">"c8451"</definedName>
    <definedName name="IQ_ECO_METRIC_8452" hidden="1">"c8452"</definedName>
    <definedName name="IQ_ECO_METRIC_8453" hidden="1">"c8453"</definedName>
    <definedName name="IQ_ECO_METRIC_8454" hidden="1">"c8454"</definedName>
    <definedName name="IQ_ECO_METRIC_8455" hidden="1">"c8455"</definedName>
    <definedName name="IQ_ECO_METRIC_8456" hidden="1">"c8456"</definedName>
    <definedName name="IQ_ECO_METRIC_8457" hidden="1">"c8457"</definedName>
    <definedName name="IQ_ECO_METRIC_8458" hidden="1">"c8458"</definedName>
    <definedName name="IQ_ECO_METRIC_8459" hidden="1">"c8459"</definedName>
    <definedName name="IQ_ECO_METRIC_8460" hidden="1">"c8460"</definedName>
    <definedName name="IQ_ECO_METRIC_8461" hidden="1">"c8461"</definedName>
    <definedName name="IQ_ECO_METRIC_8462" hidden="1">"c8462"</definedName>
    <definedName name="IQ_ECO_METRIC_8463" hidden="1">"c8463"</definedName>
    <definedName name="IQ_ECO_METRIC_8464" hidden="1">"c8464"</definedName>
    <definedName name="IQ_ECO_METRIC_8465" hidden="1">"c8465"</definedName>
    <definedName name="IQ_ECO_METRIC_8466" hidden="1">"c8466"</definedName>
    <definedName name="IQ_ECO_METRIC_8468" hidden="1">"c8468"</definedName>
    <definedName name="IQ_ECO_METRIC_8469" hidden="1">"c8469"</definedName>
    <definedName name="IQ_ECO_METRIC_8470" hidden="1">"c8470"</definedName>
    <definedName name="IQ_ECO_METRIC_8472" hidden="1">"c8472"</definedName>
    <definedName name="IQ_ECO_METRIC_8473" hidden="1">"c8473"</definedName>
    <definedName name="IQ_ECO_METRIC_8474" hidden="1">"c8474"</definedName>
    <definedName name="IQ_ECO_METRIC_8476" hidden="1">"c8476"</definedName>
    <definedName name="IQ_ECO_METRIC_8477" hidden="1">"c8477"</definedName>
    <definedName name="IQ_ECO_METRIC_8478" hidden="1">"c8478"</definedName>
    <definedName name="IQ_ECO_METRIC_8479" hidden="1">"c8479"</definedName>
    <definedName name="IQ_ECO_METRIC_8480" hidden="1">"c8480"</definedName>
    <definedName name="IQ_ECO_METRIC_8481" hidden="1">"c8481"</definedName>
    <definedName name="IQ_ECO_METRIC_8482" hidden="1">"c8482"</definedName>
    <definedName name="IQ_ECO_METRIC_8483" hidden="1">"c8483"</definedName>
    <definedName name="IQ_ECO_METRIC_8484" hidden="1">"c8484"</definedName>
    <definedName name="IQ_ECO_METRIC_8485" hidden="1">"c8485"</definedName>
    <definedName name="IQ_ECO_METRIC_8486" hidden="1">"c8486"</definedName>
    <definedName name="IQ_ECO_METRIC_8487" hidden="1">"c8487"</definedName>
    <definedName name="IQ_ECO_METRIC_8488" hidden="1">"c8488"</definedName>
    <definedName name="IQ_ECO_METRIC_8489" hidden="1">"c8489"</definedName>
    <definedName name="IQ_ECO_METRIC_8490" hidden="1">"c8490"</definedName>
    <definedName name="IQ_ECO_METRIC_8491" hidden="1">"c8491"</definedName>
    <definedName name="IQ_ECO_METRIC_8492" hidden="1">"c8492"</definedName>
    <definedName name="IQ_ECO_METRIC_8493" hidden="1">"c8493"</definedName>
    <definedName name="IQ_ECO_METRIC_8494" hidden="1">"c8494"</definedName>
    <definedName name="IQ_ECO_METRIC_8495" hidden="1">"c8495"</definedName>
    <definedName name="IQ_ECO_METRIC_8496" hidden="1">"c8496"</definedName>
    <definedName name="IQ_ECO_METRIC_8497" hidden="1">"c8497"</definedName>
    <definedName name="IQ_ECO_METRIC_8498" hidden="1">"c8498"</definedName>
    <definedName name="IQ_ECO_METRIC_8499" hidden="1">"c8499"</definedName>
    <definedName name="IQ_ECO_METRIC_8500" hidden="1">"c8500"</definedName>
    <definedName name="IQ_ECO_METRIC_8502" hidden="1">"c8502"</definedName>
    <definedName name="IQ_ECO_METRIC_8503" hidden="1">"c8503"</definedName>
    <definedName name="IQ_ECO_METRIC_8504" hidden="1">"c8504"</definedName>
    <definedName name="IQ_ECO_METRIC_8505" hidden="1">"c8505"</definedName>
    <definedName name="IQ_ECO_METRIC_8506" hidden="1">"c8506"</definedName>
    <definedName name="IQ_ECO_METRIC_8507" hidden="1">"c8507"</definedName>
    <definedName name="IQ_ECO_METRIC_8508" hidden="1">"c8508"</definedName>
    <definedName name="IQ_ECO_METRIC_8509" hidden="1">"c8509"</definedName>
    <definedName name="IQ_ECO_METRIC_8510" hidden="1">"c8510"</definedName>
    <definedName name="IQ_ECO_METRIC_8511" hidden="1">"c8511"</definedName>
    <definedName name="IQ_ECO_METRIC_8512" hidden="1">"c8512"</definedName>
    <definedName name="IQ_ECO_METRIC_8513" hidden="1">"c8513"</definedName>
    <definedName name="IQ_ECO_METRIC_8514" hidden="1">"c8514"</definedName>
    <definedName name="IQ_ECO_METRIC_8515" hidden="1">"c8515"</definedName>
    <definedName name="IQ_ECO_METRIC_8516" hidden="1">"c8516"</definedName>
    <definedName name="IQ_ECO_METRIC_8517" hidden="1">"c8517"</definedName>
    <definedName name="IQ_ECO_METRIC_8518" hidden="1">"c8518"</definedName>
    <definedName name="IQ_ECO_METRIC_8519" hidden="1">"c8519"</definedName>
    <definedName name="IQ_ECO_METRIC_8520" hidden="1">"c8520"</definedName>
    <definedName name="IQ_ECO_METRIC_8521" hidden="1">"c8521"</definedName>
    <definedName name="IQ_ECO_METRIC_8522" hidden="1">"c8522"</definedName>
    <definedName name="IQ_ECO_METRIC_8523" hidden="1">"c8523"</definedName>
    <definedName name="IQ_ECO_METRIC_8524" hidden="1">"c8524"</definedName>
    <definedName name="IQ_ECO_METRIC_8525" hidden="1">"c8525"</definedName>
    <definedName name="IQ_ECO_METRIC_8526" hidden="1">"c8526"</definedName>
    <definedName name="IQ_ECO_METRIC_8527" hidden="1">"c8527"</definedName>
    <definedName name="IQ_ECO_METRIC_8528" hidden="1">"c8528"</definedName>
    <definedName name="IQ_ECO_METRIC_8529" hidden="1">"c8529"</definedName>
    <definedName name="IQ_ECO_METRIC_8530" hidden="1">"c8530"</definedName>
    <definedName name="IQ_ECO_METRIC_8531" hidden="1">"c8531"</definedName>
    <definedName name="IQ_ECO_METRIC_8532" hidden="1">"c8532"</definedName>
    <definedName name="IQ_ECO_METRIC_8534" hidden="1">"c8534"</definedName>
    <definedName name="IQ_ECO_METRIC_8535" hidden="1">"c8535"</definedName>
    <definedName name="IQ_ECO_METRIC_8536" hidden="1">"c8536"</definedName>
    <definedName name="IQ_ECO_METRIC_8537" hidden="1">"c8537"</definedName>
    <definedName name="IQ_ECO_METRIC_8538" hidden="1">"c8538"</definedName>
    <definedName name="IQ_ECO_METRIC_8540" hidden="1">"c8540"</definedName>
    <definedName name="IQ_ECO_METRIC_8541" hidden="1">"c8541"</definedName>
    <definedName name="IQ_ECO_METRIC_8543" hidden="1">"c8543"</definedName>
    <definedName name="IQ_ECO_METRIC_8544" hidden="1">"c8544"</definedName>
    <definedName name="IQ_ECO_METRIC_8545" hidden="1">"c8545"</definedName>
    <definedName name="IQ_ECO_METRIC_8546" hidden="1">"c8546"</definedName>
    <definedName name="IQ_ECO_METRIC_8547" hidden="1">"c8547"</definedName>
    <definedName name="IQ_ECO_METRIC_8548" hidden="1">"c8548"</definedName>
    <definedName name="IQ_ECO_METRIC_8549" hidden="1">"c8549"</definedName>
    <definedName name="IQ_ECO_METRIC_8550" hidden="1">"c8550"</definedName>
    <definedName name="IQ_ECO_METRIC_8555" hidden="1">"c8555"</definedName>
    <definedName name="IQ_ECO_METRIC_8556" hidden="1">"c8556"</definedName>
    <definedName name="IQ_ECO_METRIC_8557" hidden="1">"c8557"</definedName>
    <definedName name="IQ_ECO_METRIC_8558" hidden="1">"c8558"</definedName>
    <definedName name="IQ_ECO_METRIC_8559" hidden="1">"c8559"</definedName>
    <definedName name="IQ_ECO_METRIC_8560" hidden="1">"c8560"</definedName>
    <definedName name="IQ_ECO_METRIC_8561" hidden="1">"c8561"</definedName>
    <definedName name="IQ_ECO_METRIC_8565" hidden="1">"c8565"</definedName>
    <definedName name="IQ_ECO_METRIC_8567" hidden="1">"c8567"</definedName>
    <definedName name="IQ_ECO_METRIC_8568" hidden="1">"c8568"</definedName>
    <definedName name="IQ_ECO_METRIC_8569" hidden="1">"c8569"</definedName>
    <definedName name="IQ_EPS" hidden="1">"IQ_EPS"</definedName>
    <definedName name="IQ_EPS_10K" hidden="1">"IQ_EPS_10K"</definedName>
    <definedName name="IQ_EPS_10Q" hidden="1">"IQ_EPS_10Q"</definedName>
    <definedName name="IQ_EPS_10Q1" hidden="1">"IQ_EPS_10Q1"</definedName>
    <definedName name="IQ_EPS_EST_1" hidden="1">"c189"</definedName>
    <definedName name="IQ_EST_ACT_BV_REUT" hidden="1">"c5409"</definedName>
    <definedName name="IQ_EST_ACT_BV_THOM" hidden="1">"c5153"</definedName>
    <definedName name="IQ_EST_ACT_NI_GW_THOM" hidden="1">"c5139"</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EPS_SURPRISE" hidden="1">"c1635"</definedName>
    <definedName name="IQ_EST_NI_GW_DIFF_THOM" hidden="1">"c5200"</definedName>
    <definedName name="IQ_EST_NI_GW_SURPRISE_PERCENT_THOM" hidden="1">"c5201"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UT_ACT_CAPEX" hidden="1">"c3975"</definedName>
    <definedName name="IQ_EV_OVER_REVENUE_EST" hidden="1">"c165"</definedName>
    <definedName name="IQ_EV_OVER_REVENUE_EST_1" hidden="1">"c166"</definedName>
    <definedName name="IQ_EXPENSE_CODE_" localSheetId="29">"c226"</definedName>
    <definedName name="IQ_FH">100000</definedName>
    <definedName name="IQ_FHLB_DUE_AFTER_FIVE" hidden="1">"c2086"</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PERCENT_AMOUNT" hidden="1">"c240"</definedName>
    <definedName name="IQ_FIVEPERCENT_OWNER" hidden="1">"c239"</definedName>
    <definedName name="IQ_FLOAT">"c225"</definedName>
    <definedName name="IQ_FOREIGN_BRANCHES_U.S._BANKS_LOANS_FDIC" hidden="1">"c6438"</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Y">1000</definedName>
    <definedName name="IQ_FY_DATE" hidden="1">"IQ_FY_DATE"</definedName>
    <definedName name="IQ_HG_REV_OTHER_CASINO" hidden="1">"c8721"</definedName>
    <definedName name="IQ_HG_REV_OTHER_HOTEL_MOTEL" hidden="1">"c8731"</definedName>
    <definedName name="IQ_HG_REV_TOTAL_CASINO_GAMING" hidden="1">"c8723"</definedName>
    <definedName name="IQ_HG_REV_TOTAL_HOTEL_MOTEL" hidden="1">"c8732"</definedName>
    <definedName name="IQ_INSIDER_3MTH_BOUGHT" hidden="1">"c1534"</definedName>
    <definedName name="IQ_INSIDER_3MTH_NET" hidden="1">"c1535"</definedName>
    <definedName name="IQ_INSIDER_3MTH_SOLD" hidden="1">"c1533"</definedName>
    <definedName name="IQ_INSIDER_6MTH_BOUGHT" hidden="1">"c1537"</definedName>
    <definedName name="IQ_INSIDER_6MTH_NET" hidden="1">"c1538"</definedName>
    <definedName name="IQ_INSIDER_6MTH_SOLD" hidden="1">"c1536"</definedName>
    <definedName name="IQ_INSIDER_AMOUNT" hidden="1">"c238"</definedName>
    <definedName name="IQ_INSTITUTIONAL_AMOUNT" hidden="1">"c236"</definedName>
    <definedName name="IQ_INTEREST_INC_10K" hidden="1">"IQ_INTEREST_INC_10K"</definedName>
    <definedName name="IQ_INTEREST_INC_10Q" hidden="1">"IQ_INTEREST_INC_10Q"</definedName>
    <definedName name="IQ_INTEREST_INC_10Q1" hidden="1">"IQ_INTEREST_INC_10Q1"</definedName>
    <definedName name="IQ_INTEREST_LT_DEBT" hidden="1">"c2086"</definedName>
    <definedName name="IQ_LAST_EBIT_MARGIN" hidden="1">"c151"</definedName>
    <definedName name="IQ_LAST_EBITDA_MARGIN" hidden="1">"c150"</definedName>
    <definedName name="IQ_LAST_GROSS_MARGIN" hidden="1">"c149"</definedName>
    <definedName name="IQ_LAST_NET_INC_MARGIN" hidden="1">"c152"</definedName>
    <definedName name="IQ_LATEST" hidden="1">"1"</definedName>
    <definedName name="IQ_LATESTK" hidden="1">1000</definedName>
    <definedName name="IQ_LATESTKFR" hidden="1">"100"</definedName>
    <definedName name="IQ_LATESTQ" hidden="1">500</definedName>
    <definedName name="IQ_LATESTQFR" hidden="1">"50"</definedName>
    <definedName name="IQ_LISTING_CURRENCY" hidden="1">"c2127"</definedName>
    <definedName name="IQ_LTM">2000</definedName>
    <definedName name="IQ_LTM_DATE" hidden="1">"IQ_LTM_DATE"</definedName>
    <definedName name="IQ_LTMMONTH" hidden="1">120000</definedName>
    <definedName name="IQ_MC_GA_MARGIN" hidden="1">"c9930"</definedName>
    <definedName name="IQ_MC_GA_OPERATING_REV" hidden="1">"c9929"</definedName>
    <definedName name="IQ_MC_MEDICAL_EXPENSE_RATIO" hidden="1">"c9927"</definedName>
    <definedName name="IQ_MC_SGA_MARGIN" hidden="1">"c9932"</definedName>
    <definedName name="IQ_MC_SGA_OPERATING_REV" hidden="1">"c9931"</definedName>
    <definedName name="IQ_MONTH">15000</definedName>
    <definedName name="IQ_MTD" hidden="1">800000</definedName>
    <definedName name="IQ_NAMES_REVISION_DATE_" localSheetId="31" hidden="1">42185.2196296296</definedName>
    <definedName name="IQ_NAMES_REVISION_DATE_" hidden="1">44645.619537037</definedName>
    <definedName name="IQ_NAV_ACT_OR_EST" hidden="1">"c2225"</definedName>
    <definedName name="IQ_NET_INC_10K" hidden="1">"IQ_NET_INC_10K"</definedName>
    <definedName name="IQ_NET_INC_10Q" hidden="1">"IQ_NET_INC_10Q"</definedName>
    <definedName name="IQ_NET_INC_10Q1" hidden="1">"IQ_NET_INC_10Q1"</definedName>
    <definedName name="IQ_NET_INC_GROWTH_1" hidden="1">"c158"</definedName>
    <definedName name="IQ_NET_INC_GROWTH_2" hidden="1">"c162"</definedName>
    <definedName name="IQ_NI_GW_EST_THOM" hidden="1">"c5133"</definedName>
    <definedName name="IQ_NI_GW_HIGH_EST_THOM" hidden="1">"c5135"</definedName>
    <definedName name="IQ_NI_GW_LOW_EST_THOM" hidden="1">"c5136"</definedName>
    <definedName name="IQ_NI_GW_MEDIAN_EST_THOM" hidden="1">"c5134"</definedName>
    <definedName name="IQ_NI_GW_NUM_EST_THOM" hidden="1">"c5137"</definedName>
    <definedName name="IQ_NI_GW_STDDEV_EST_THOM" hidden="1">"c5138"</definedName>
    <definedName name="IQ_NTM">6000</definedName>
    <definedName name="IQ_NUM_OFFICES" hidden="1">"c2088"</definedName>
    <definedName name="IQ_NUMBER_SHAREHOLDERS_CLASSB" hidden="1">"c1969"</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OTHER_ADJ" hidden="1">"c1999"</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TOTAL_OIL_PRODUCTON" hidden="1">"c2059"</definedName>
    <definedName name="IQ_OPENED55" hidden="1">1</definedName>
    <definedName name="IQ_OPTIONS_EXCERCISED" hidden="1">"c2116"</definedName>
    <definedName name="IQ_OUTSTANDING_FILING_DATE_TOTAL" hidden="1">"c2107"</definedName>
    <definedName name="IQ_PERCENT_FLOAT" hidden="1">"c227"</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ICE_OVER_EPS_EST" hidden="1">"c174"</definedName>
    <definedName name="IQ_PRICE_OVER_EPS_EST_1" hidden="1">"c175"</definedName>
    <definedName name="IQ_PRICEDATETIME" hidden="1">"IQ_PRICEDATETIME"</definedName>
    <definedName name="IQ_PRIMARY_EPS_TYPE_THOM" hidden="1">"c5297"</definedName>
    <definedName name="IQ_QTD" hidden="1">750000</definedName>
    <definedName name="IQ_REVENUE_10K" hidden="1">"IQ_REVENUE_10K"</definedName>
    <definedName name="IQ_REVENUE_10Q" hidden="1">"IQ_REVENUE_10Q"</definedName>
    <definedName name="IQ_REVENUE_10Q1" hidden="1">"IQ_REVENUE_10Q1"</definedName>
    <definedName name="IQ_REVENUE_EST_1" hidden="1">"c190"</definedName>
    <definedName name="IQ_REVENUE_GROWTH_1" hidden="1">"c155"</definedName>
    <definedName name="IQ_REVENUE_GROWTH_2" hidden="1">"c159"</definedName>
    <definedName name="IQ_SEMI_BACKLOG_UNITS" hidden="1">"c10005"</definedName>
    <definedName name="IQ_SEMI_BOOKINGS_AVG_PRICE" hidden="1">"c10002"</definedName>
    <definedName name="IQ_SEMI_BOOKINGS_UNITS" hidden="1">"c10001"</definedName>
    <definedName name="IQ_SEMI_BOOKINGS_VALUE" hidden="1">"c10003"</definedName>
    <definedName name="IQ_SEMI_BOOKINGS_VALUE_CHANGE" hidden="1">"c10004"</definedName>
    <definedName name="IQ_SHAREOUTSTANDING" hidden="1">"c1347"</definedName>
    <definedName name="IQ_SHORT_INTEREST_VOLUME" hidden="1">"c228"</definedName>
    <definedName name="IQ_SP_ISSUE_LC_ACTION" hidden="1">"c2644"</definedName>
    <definedName name="IQ_SP_ISSUE_LC_DATE" hidden="1">"c2643"</definedName>
    <definedName name="IQ_SP_ISSUE_LC_LT" hidden="1">"c2645"</definedName>
    <definedName name="IQ_STOCK_BASED_COGS_FIN" hidden="1">"c2998"</definedName>
    <definedName name="IQ_STOCK_BASED_COGS_UTIL" hidden="1">"c2997"</definedName>
    <definedName name="IQ_TARGET_PRICE_LASTCLOSE" hidden="1">"c1855"</definedName>
    <definedName name="IQ_TODAY" hidden="1">0</definedName>
    <definedName name="IQ_TOTAL_DEBT_DUE" hidden="1">"c2509"</definedName>
    <definedName name="IQ_TOTAL_PENSION_OBLIGATION" hidden="1">"c1292"</definedName>
    <definedName name="IQ_TR_BUY_ADVISORS" hidden="1">"c2387"</definedName>
    <definedName name="IQ_TR_SELL_ADVISORS" hidden="1">"c2388"</definedName>
    <definedName name="IQ_TR_SUBDEBT" hidden="1">"c2370"</definedName>
    <definedName name="IQ_TR_TARGET_ADVISORS" hidden="1">"c2386"</definedName>
    <definedName name="IQ_US_GAAP_CA" hidden="1">"c2930"</definedName>
    <definedName name="IQ_US_GAAP_CL" hidden="1">"c2932"</definedName>
    <definedName name="IQ_US_GAAP_COST_REV" hidden="1">"c2965"</definedName>
    <definedName name="IQ_US_GAAP_DO" hidden="1">"c2973"</definedName>
    <definedName name="IQ_US_GAAP_EXTRA_ACC_ITEMS" hidden="1">"c2972"</definedName>
    <definedName name="IQ_US_GAAP_INC_TAX" hidden="1">"c2975"</definedName>
    <definedName name="IQ_US_GAAP_INTEREST_EXP" hidden="1">"c2971"</definedName>
    <definedName name="IQ_US_GAAP_LIAB_LT" hidden="1">"c2933"</definedName>
    <definedName name="IQ_US_GAAP_MINORITY_INTEREST_IS" hidden="1">"c2974"</definedName>
    <definedName name="IQ_US_GAAP_NCA" hidden="1">"c2931"</definedName>
    <definedName name="IQ_US_GAAP_NI_AVAIL_EXCL" hidden="1">"c2977"</definedName>
    <definedName name="IQ_US_GAAP_OTHER_NON_OPER" hidden="1">"c2969"</definedName>
    <definedName name="IQ_US_GAAP_OTHER_OPER" hidden="1">"c2968"</definedName>
    <definedName name="IQ_US_GAAP_RD" hidden="1">"c2967"</definedName>
    <definedName name="IQ_US_GAAP_SGA" hidden="1">"c2966"</definedName>
    <definedName name="IQ_US_GAAP_TOTAL_REV" hidden="1">"c2964"</definedName>
    <definedName name="IQ_US_GAAP_TOTAL_UNUSUAL" hidden="1">"c2970"</definedName>
    <definedName name="IQ_WEEK">50000</definedName>
    <definedName name="IQ_YTD">3000</definedName>
    <definedName name="IQ_YTDMONTH" hidden="1">130000</definedName>
    <definedName name="IQB_BOOKMARK_COUNT" hidden="1">4</definedName>
    <definedName name="IQB_BOOKMARK_LOCATION_0" localSheetId="13" hidden="1">#REF!</definedName>
    <definedName name="IQB_BOOKMARK_LOCATION_0" localSheetId="32" hidden="1">#REF!</definedName>
    <definedName name="IQB_BOOKMARK_LOCATION_0" localSheetId="8" hidden="1">#REF!</definedName>
    <definedName name="IQB_BOOKMARK_LOCATION_0" hidden="1">#REF!</definedName>
    <definedName name="IQB_BOOKMARK_LOCATION_1" localSheetId="13" hidden="1">#REF!</definedName>
    <definedName name="IQB_BOOKMARK_LOCATION_1" localSheetId="32" hidden="1">#REF!</definedName>
    <definedName name="IQB_BOOKMARK_LOCATION_1" localSheetId="8" hidden="1">#REF!</definedName>
    <definedName name="IQB_BOOKMARK_LOCATION_1" hidden="1">#REF!</definedName>
    <definedName name="IQB_BOOKMARK_LOCATION_2" localSheetId="13" hidden="1">#REF!</definedName>
    <definedName name="IQB_BOOKMARK_LOCATION_2" localSheetId="32" hidden="1">#REF!</definedName>
    <definedName name="IQB_BOOKMARK_LOCATION_2" localSheetId="9" hidden="1">'[2]CIQ Financials'!#REF!</definedName>
    <definedName name="IQB_BOOKMARK_LOCATION_2" localSheetId="8" hidden="1">'[2]CIQ Financials'!#REF!</definedName>
    <definedName name="IQB_BOOKMARK_LOCATION_2" hidden="1">#REF!</definedName>
    <definedName name="IQB_BOOKMARK_LOCATION_3" localSheetId="13" hidden="1">#REF!</definedName>
    <definedName name="IQB_BOOKMARK_LOCATION_3" localSheetId="32" hidden="1">#REF!</definedName>
    <definedName name="IQB_BOOKMARK_LOCATION_3" hidden="1">#REF!</definedName>
    <definedName name="IQB_CURRENT_BOOKMARK" hidden="1">0</definedName>
    <definedName name="IQRA10" hidden="1">"$A$11:$A$264"</definedName>
    <definedName name="IQRA13" hidden="1">"$A$14:$A$113"</definedName>
    <definedName name="IQRA14" hidden="1">"$A$15:$A$114"</definedName>
    <definedName name="IQRA50" hidden="1">"$A$51:$A$1309"</definedName>
    <definedName name="IQRA7" hidden="1">"$A$8:$A$37"</definedName>
    <definedName name="IQRA8" hidden="1">"$A$9:$A$261"</definedName>
    <definedName name="IQRAA14" hidden="1">"$AA$15:$AA$114"</definedName>
    <definedName name="IQRAA7" hidden="1">"$AA$8:$AA$51"</definedName>
    <definedName name="IQRAC7" hidden="1">"$AC$8:$AC$95"</definedName>
    <definedName name="IQRAD11" hidden="1">"$AD$12"</definedName>
    <definedName name="IQRAD7" hidden="1">"$AD$8:$AD$54"</definedName>
    <definedName name="IQRAE7" hidden="1">"$AE$8:$AE$69"</definedName>
    <definedName name="IQRAF17" hidden="1">"$AF$18:$AF$270"</definedName>
    <definedName name="IQRAF7" hidden="1">"$AF$8:$AF$51"</definedName>
    <definedName name="IQRAG7" hidden="1">"$AG$8:$AG$56"</definedName>
    <definedName name="IQRAH7" hidden="1">"$AH$8:$AH$43"</definedName>
    <definedName name="IQRAI15" hidden="1">"$AI$16:$AI$39"</definedName>
    <definedName name="IQRAI7" hidden="1">"$AI$8:$AI$34"</definedName>
    <definedName name="IQRAJ7" hidden="1">"$AJ$8:$AJ$35"</definedName>
    <definedName name="IQRAK7" hidden="1">"$AK$8:$AK$18"</definedName>
    <definedName name="IQRAL7" hidden="1">"$AL$8:$AL$20"</definedName>
    <definedName name="IQRAN15" hidden="1">"$AN$16:$AN$519"</definedName>
    <definedName name="IQRAP89" hidden="1">"$AP$90:$AP$97"</definedName>
    <definedName name="IQRAR89" hidden="1">"$AR$90:$AR$97"</definedName>
    <definedName name="IQRASXRIOBT12" localSheetId="13" hidden="1">#REF!</definedName>
    <definedName name="IQRASXRIOBT12" localSheetId="29" hidden="1">#REF!</definedName>
    <definedName name="IQRASXRIOBT12" localSheetId="32" hidden="1">#REF!</definedName>
    <definedName name="IQRASXRIOBT12" localSheetId="8" hidden="1">#REF!</definedName>
    <definedName name="IQRASXRIOBT12" hidden="1">#REF!</definedName>
    <definedName name="IQRAT89" hidden="1">"$AT$90:$AT$97"</definedName>
    <definedName name="IQRAV89" hidden="1">"$AV$90:$AV$97"</definedName>
    <definedName name="IQRAX89" hidden="1">"$AX$90:$AX$97"</definedName>
    <definedName name="IQRB13" hidden="1">"$B$14:$B$113"</definedName>
    <definedName name="IQRB14" hidden="1">"$B$15:$B$114"</definedName>
    <definedName name="IQRB20" hidden="1">"$B$21:$B$25"</definedName>
    <definedName name="IQRB32" hidden="1">"$B$33:$B$37"</definedName>
    <definedName name="IQRB7TickerBT12" localSheetId="13" hidden="1">#REF!</definedName>
    <definedName name="IQRB7TickerBT12" localSheetId="29" hidden="1">#REF!</definedName>
    <definedName name="IQRB7TickerBT12" localSheetId="32" hidden="1">#REF!</definedName>
    <definedName name="IQRB7TickerBT12" localSheetId="8" hidden="1">#REF!</definedName>
    <definedName name="IQRB7TickerBT12" hidden="1">#REF!</definedName>
    <definedName name="IQRB8" hidden="1">"$B$9:$B$261"</definedName>
    <definedName name="IQRBC13" localSheetId="5" hidden="1">"$BC$14:$BC$19"</definedName>
    <definedName name="IQRBC13" hidden="1">"$BC$14:$BC$17"</definedName>
    <definedName name="IQRBC14" hidden="1">"$BC$15:$BC$18"</definedName>
    <definedName name="IQRBondholdersE11" localSheetId="13" hidden="1">'Bond Prices'!#REF!</definedName>
    <definedName name="IQRBondholdersE11" localSheetId="32" hidden="1">'[3]Bond Prices'!#REF!</definedName>
    <definedName name="IQRBondholdersE11" localSheetId="9" hidden="1">'[2]Bond Prices'!#REF!</definedName>
    <definedName name="IQRBondholdersE11" localSheetId="8" hidden="1">'[2]Bond Prices'!#REF!</definedName>
    <definedName name="IQRBondholdersE11" hidden="1">'Bond Prices'!#REF!</definedName>
    <definedName name="IQRBondholdersG3" hidden="1">'Bond Prices'!$M$3:$P$3</definedName>
    <definedName name="IQRBondholdersG4" hidden="1">'Bond Prices'!$L$5:$L$259</definedName>
    <definedName name="IQRBondholdersL3" hidden="1">'Bond Prices'!$M$3:$P$3</definedName>
    <definedName name="IQRBondholdersL4" hidden="1">'Bond Prices'!$M$3:$P$3</definedName>
    <definedName name="IQRBondholdersL5" hidden="1">'Bond Prices'!$M$3:$P$3</definedName>
    <definedName name="IQRBondholdersL6" hidden="1">'Bond Prices'!$L$5:$L$257</definedName>
    <definedName name="IQRBondholdersN3" hidden="1">'Bond Prices'!$M$3:$P$3</definedName>
    <definedName name="IQRBondholdersN4" hidden="1">'Bond Prices'!$L$5:$L$259</definedName>
    <definedName name="IQRBondholdersR3" hidden="1">'Bond Prices'!$M$3:$P$3</definedName>
    <definedName name="IQRBondholdersR4" hidden="1">'Bond Prices'!$L$5:$L$259</definedName>
    <definedName name="IQRBondholdersS3" hidden="1">'Bond Prices'!$M$3:$P$3</definedName>
    <definedName name="IQRBondholdersS4" hidden="1">'Bond Prices'!$L$5:$L$259</definedName>
    <definedName name="IQRBondholdersT4" hidden="1">'Bond Prices'!$L$5:$L$259</definedName>
    <definedName name="IQRBondPricesCZ6" hidden="1">'Bond Prices'!$CZ$5:$CZ$259</definedName>
    <definedName name="IQRBondPricesL3" hidden="1">'Bond Prices'!$M$3:$BC$3</definedName>
    <definedName name="IQRBondPricesL5" hidden="1">'Bond Prices'!$M$3:$O$3</definedName>
    <definedName name="IQRBondPricesL6" hidden="1">'Bond Prices'!$L$5:$L$259</definedName>
    <definedName name="IQRBOVESPAABEV3BQ12" localSheetId="13" hidden="1">#REF!</definedName>
    <definedName name="IQRBOVESPAABEV3BQ12" localSheetId="29" hidden="1">#REF!</definedName>
    <definedName name="IQRBOVESPAABEV3BQ12" localSheetId="32" hidden="1">#REF!</definedName>
    <definedName name="IQRBOVESPAABEV3BQ12" localSheetId="8" hidden="1">#REF!</definedName>
    <definedName name="IQRBOVESPAABEV3BQ12" hidden="1">#REF!</definedName>
    <definedName name="IQRBOVESPAVALE5BQ12" localSheetId="13" hidden="1">#REF!</definedName>
    <definedName name="IQRBOVESPAVALE5BQ12" localSheetId="29" hidden="1">#REF!</definedName>
    <definedName name="IQRBOVESPAVALE5BQ12" localSheetId="32" hidden="1">#REF!</definedName>
    <definedName name="IQRBOVESPAVALE5BQ12" localSheetId="8" hidden="1">#REF!</definedName>
    <definedName name="IQRBOVESPAVALE5BQ12" hidden="1">#REF!</definedName>
    <definedName name="IQRBU8" hidden="1">"$BU$9:$BU$269"</definedName>
    <definedName name="IQRC20" hidden="1">"$C$21:$C$25"</definedName>
    <definedName name="IQRC48" hidden="1">"$C$49"</definedName>
    <definedName name="IQRC8" hidden="1">"$C$9:$C$261"</definedName>
    <definedName name="IQRCIQAdvisorsBU7" hidden="1">'CIQ Advisors'!$BK$8:$BK$207</definedName>
    <definedName name="IQRCIQCompsC9" hidden="1">#REF!</definedName>
    <definedName name="IQRCIQCompsH28" hidden="1">#REF!</definedName>
    <definedName name="IQRCIQCompsH6" hidden="1">#REF!</definedName>
    <definedName name="IQRCIQCompsH7" hidden="1">#REF!</definedName>
    <definedName name="IQRCIQCurrentInvestmentsB3" hidden="1">#REF!</definedName>
    <definedName name="IQRCIQCurrentInvestmentsB5" hidden="1">#REF!</definedName>
    <definedName name="IQRCIQCurrentInvestmentsB60" hidden="1">#REF!</definedName>
    <definedName name="IQRCIQCurrentInvestmentsC3" hidden="1">#REF!</definedName>
    <definedName name="IQRCIQCurrentInvestmentsC5" hidden="1">#REF!</definedName>
    <definedName name="IQRCIQCurrentInvestmentsK3" hidden="1">#REF!</definedName>
    <definedName name="IQRCIQCurrentInvestmentsL3" hidden="1">#REF!</definedName>
    <definedName name="IQRCIQCurrentInvestmentsM2" hidden="1">#REF!</definedName>
    <definedName name="IQRCIQCurrentInvestmentsM3" hidden="1">#REF!</definedName>
    <definedName name="IQRCIQCurrentInvestmentsN3" hidden="1">#REF!</definedName>
    <definedName name="IQRCIQCurrentInvestmentsO3" hidden="1">#REF!</definedName>
    <definedName name="IQRCIQCurrentInvestmentsP3" hidden="1">#REF!</definedName>
    <definedName name="IQRCIQCurrentInvestmentsQ3" hidden="1">#REF!</definedName>
    <definedName name="IQRCIQCurrentInvestmentsR3" hidden="1">#REF!</definedName>
    <definedName name="IQRCIQCurrentInvestmentsS3" hidden="1">#REF!</definedName>
    <definedName name="IQRCIQCurrentInvestmentsT3" hidden="1">#REF!</definedName>
    <definedName name="IQRCIQFinancialsS10" localSheetId="13" hidden="1">#REF!</definedName>
    <definedName name="IQRCIQFinancialsS10" localSheetId="32" hidden="1">#REF!</definedName>
    <definedName name="IQRCIQFinancialsS10" localSheetId="9" hidden="1">'[2]CIQ Financials'!#REF!</definedName>
    <definedName name="IQRCIQFinancialsS10" localSheetId="8" hidden="1">'[2]CIQ Financials'!#REF!</definedName>
    <definedName name="IQRCIQFinancialsS10" hidden="1">#REF!</definedName>
    <definedName name="IQRCIQFinancialsS25" localSheetId="13" hidden="1">#REF!</definedName>
    <definedName name="IQRCIQFinancialsS25" localSheetId="32" hidden="1">#REF!</definedName>
    <definedName name="IQRCIQFinancialsS25" localSheetId="9" hidden="1">'[2]CIQ Financials'!#REF!</definedName>
    <definedName name="IQRCIQFinancialsS25" localSheetId="8" hidden="1">'[2]CIQ Financials'!#REF!</definedName>
    <definedName name="IQRCIQFinancialsS25" hidden="1">#REF!</definedName>
    <definedName name="IQRCIQFinancialsS9" localSheetId="13" hidden="1">#REF!</definedName>
    <definedName name="IQRCIQFinancialsS9" localSheetId="32" hidden="1">#REF!</definedName>
    <definedName name="IQRCIQFinancialsS9" localSheetId="9" hidden="1">'[2]CIQ Financials'!#REF!</definedName>
    <definedName name="IQRCIQFinancialsS9" localSheetId="8" hidden="1">'[2]CIQ Financials'!#REF!</definedName>
    <definedName name="IQRCIQFinancialsS9" hidden="1">#REF!</definedName>
    <definedName name="IQRCIQFinancialsT10" localSheetId="13" hidden="1">#REF!</definedName>
    <definedName name="IQRCIQFinancialsT10" localSheetId="32" hidden="1">#REF!</definedName>
    <definedName name="IQRCIQFinancialsT10" localSheetId="9" hidden="1">'[2]CIQ Financials'!#REF!</definedName>
    <definedName name="IQRCIQFinancialsT10" localSheetId="8" hidden="1">'[2]CIQ Financials'!#REF!</definedName>
    <definedName name="IQRCIQFinancialsT10" hidden="1">#REF!</definedName>
    <definedName name="IQRCIQFinancialsT25" localSheetId="13" hidden="1">#REF!</definedName>
    <definedName name="IQRCIQFinancialsT25" localSheetId="32" hidden="1">#REF!</definedName>
    <definedName name="IQRCIQFinancialsT25" localSheetId="9" hidden="1">'[2]CIQ Financials'!#REF!</definedName>
    <definedName name="IQRCIQFinancialsT25" localSheetId="8" hidden="1">'[2]CIQ Financials'!#REF!</definedName>
    <definedName name="IQRCIQFinancialsT25" hidden="1">#REF!</definedName>
    <definedName name="IQRCIQFinancialsU10" localSheetId="13" hidden="1">#REF!</definedName>
    <definedName name="IQRCIQFinancialsU10" localSheetId="32" hidden="1">#REF!</definedName>
    <definedName name="IQRCIQFinancialsU10" localSheetId="9" hidden="1">'[2]CIQ Financials'!#REF!</definedName>
    <definedName name="IQRCIQFinancialsU10" localSheetId="8" hidden="1">'[2]CIQ Financials'!#REF!</definedName>
    <definedName name="IQRCIQFinancialsU10" hidden="1">#REF!</definedName>
    <definedName name="IQRCIQFinancialsU25" localSheetId="13" hidden="1">#REF!</definedName>
    <definedName name="IQRCIQFinancialsU25" localSheetId="32" hidden="1">#REF!</definedName>
    <definedName name="IQRCIQFinancialsU25" localSheetId="9" hidden="1">'[2]CIQ Financials'!#REF!</definedName>
    <definedName name="IQRCIQFinancialsU25" localSheetId="8" hidden="1">'[2]CIQ Financials'!#REF!</definedName>
    <definedName name="IQRCIQFinancialsU25" hidden="1">#REF!</definedName>
    <definedName name="IQRCIQFinancialsV10" localSheetId="13" hidden="1">#REF!</definedName>
    <definedName name="IQRCIQFinancialsV10" localSheetId="32" hidden="1">#REF!</definedName>
    <definedName name="IQRCIQFinancialsV10" localSheetId="9" hidden="1">'[2]CIQ Financials'!#REF!</definedName>
    <definedName name="IQRCIQFinancialsV10" localSheetId="8" hidden="1">'[2]CIQ Financials'!#REF!</definedName>
    <definedName name="IQRCIQFinancialsV10" hidden="1">#REF!</definedName>
    <definedName name="IQRCIQFinancialsV25" localSheetId="13" hidden="1">#REF!</definedName>
    <definedName name="IQRCIQFinancialsV25" localSheetId="32" hidden="1">#REF!</definedName>
    <definedName name="IQRCIQFinancialsV25" localSheetId="9" hidden="1">'[2]CIQ Financials'!#REF!</definedName>
    <definedName name="IQRCIQFinancialsV25" localSheetId="8" hidden="1">'[2]CIQ Financials'!#REF!</definedName>
    <definedName name="IQRCIQFinancialsV25" hidden="1">#REF!</definedName>
    <definedName name="IQRCIQFinancialsW10" localSheetId="13" hidden="1">#REF!</definedName>
    <definedName name="IQRCIQFinancialsW10" localSheetId="32" hidden="1">#REF!</definedName>
    <definedName name="IQRCIQFinancialsW10" localSheetId="9" hidden="1">'[2]CIQ Financials'!#REF!</definedName>
    <definedName name="IQRCIQFinancialsW10" localSheetId="8" hidden="1">'[2]CIQ Financials'!#REF!</definedName>
    <definedName name="IQRCIQFinancialsW10" hidden="1">#REF!</definedName>
    <definedName name="IQRCIQFinancialsW25" localSheetId="13" hidden="1">#REF!</definedName>
    <definedName name="IQRCIQFinancialsW25" localSheetId="32" hidden="1">#REF!</definedName>
    <definedName name="IQRCIQFinancialsW25" localSheetId="9" hidden="1">'[2]CIQ Financials'!#REF!</definedName>
    <definedName name="IQRCIQFinancialsW25" localSheetId="8" hidden="1">'[2]CIQ Financials'!#REF!</definedName>
    <definedName name="IQRCIQFinancialsW25" hidden="1">#REF!</definedName>
    <definedName name="IQRCIQFinancialsX10" localSheetId="13" hidden="1">#REF!</definedName>
    <definedName name="IQRCIQFinancialsX10" localSheetId="32" hidden="1">#REF!</definedName>
    <definedName name="IQRCIQFinancialsX10" localSheetId="9" hidden="1">'[2]CIQ Financials'!#REF!</definedName>
    <definedName name="IQRCIQFinancialsX10" localSheetId="8" hidden="1">'[2]CIQ Financials'!#REF!</definedName>
    <definedName name="IQRCIQFinancialsX10" hidden="1">#REF!</definedName>
    <definedName name="IQRCIQFinancialsX25" localSheetId="13" hidden="1">#REF!</definedName>
    <definedName name="IQRCIQFinancialsX25" localSheetId="32" hidden="1">#REF!</definedName>
    <definedName name="IQRCIQFinancialsX25" localSheetId="9" hidden="1">'[2]CIQ Financials'!#REF!</definedName>
    <definedName name="IQRCIQFinancialsX25" localSheetId="8" hidden="1">'[2]CIQ Financials'!#REF!</definedName>
    <definedName name="IQRCIQFinancialsX25" hidden="1">#REF!</definedName>
    <definedName name="IQRCIQFinancialsY10" localSheetId="13" hidden="1">#REF!</definedName>
    <definedName name="IQRCIQFinancialsY10" localSheetId="32" hidden="1">#REF!</definedName>
    <definedName name="IQRCIQFinancialsY10" localSheetId="9" hidden="1">'[2]CIQ Financials'!#REF!</definedName>
    <definedName name="IQRCIQFinancialsY10" localSheetId="8" hidden="1">'[2]CIQ Financials'!#REF!</definedName>
    <definedName name="IQRCIQFinancialsY10" hidden="1">#REF!</definedName>
    <definedName name="IQRCIQFinancialsY25" localSheetId="13" hidden="1">#REF!</definedName>
    <definedName name="IQRCIQFinancialsY25" localSheetId="32" hidden="1">#REF!</definedName>
    <definedName name="IQRCIQFinancialsY25" localSheetId="9" hidden="1">'[2]CIQ Financials'!#REF!</definedName>
    <definedName name="IQRCIQFinancialsY25" localSheetId="8" hidden="1">'[2]CIQ Financials'!#REF!</definedName>
    <definedName name="IQRCIQFinancialsY25" hidden="1">#REF!</definedName>
    <definedName name="IQRCIQFinancialsZ10" localSheetId="13" hidden="1">#REF!</definedName>
    <definedName name="IQRCIQFinancialsZ10" localSheetId="32" hidden="1">#REF!</definedName>
    <definedName name="IQRCIQFinancialsZ10" localSheetId="9" hidden="1">'[2]CIQ Financials'!#REF!</definedName>
    <definedName name="IQRCIQFinancialsZ10" localSheetId="8" hidden="1">'[2]CIQ Financials'!#REF!</definedName>
    <definedName name="IQRCIQFinancialsZ10" hidden="1">#REF!</definedName>
    <definedName name="IQRCIQFinancialsZ25" localSheetId="13" hidden="1">#REF!</definedName>
    <definedName name="IQRCIQFinancialsZ25" localSheetId="32" hidden="1">#REF!</definedName>
    <definedName name="IQRCIQFinancialsZ25" localSheetId="9" hidden="1">'[2]CIQ Financials'!#REF!</definedName>
    <definedName name="IQRCIQFinancialsZ25" localSheetId="8" hidden="1">'[2]CIQ Financials'!#REF!</definedName>
    <definedName name="IQRCIQFinancialsZ25" hidden="1">#REF!</definedName>
    <definedName name="IQRCIQKeyDevelopmentsC7" hidden="1">'CIQ Key Developments'!$C$8:$C$78</definedName>
    <definedName name="IQRCIQLitigationsC7" hidden="1">#REF!</definedName>
    <definedName name="IQRCIQMATransactionsA5" hidden="1">'CIQ M&amp;A Transactions'!$B$7:$B$16</definedName>
    <definedName name="IQRCIQMATransactionsA6" hidden="1">'CIQ M&amp;A Transactions'!$B$7:$B$56</definedName>
    <definedName name="IQRCIQMATransactionsB6" hidden="1">'CIQ M&amp;A Transactions'!$B$7:$B$56</definedName>
    <definedName name="IQRCIQOwnershipA5" hidden="1">'CIQ Ownership'!$A$6:$A$23</definedName>
    <definedName name="IQRCIQOwnershipE6" localSheetId="13" hidden="1">#REF!</definedName>
    <definedName name="IQRCIQOwnershipE6" localSheetId="32" hidden="1">#REF!</definedName>
    <definedName name="IQRCIQOwnershipE6" localSheetId="8" hidden="1">#REF!</definedName>
    <definedName name="IQRCIQOwnershipE6" hidden="1">#REF!</definedName>
    <definedName name="IQRCIQOwnershipF6" localSheetId="13" hidden="1">#REF!</definedName>
    <definedName name="IQRCIQOwnershipF6" localSheetId="32" hidden="1">#REF!</definedName>
    <definedName name="IQRCIQOwnershipF6" localSheetId="8" hidden="1">#REF!</definedName>
    <definedName name="IQRCIQOwnershipF6" hidden="1">#REF!</definedName>
    <definedName name="IQRCIQOwnershipG6" localSheetId="13" hidden="1">#REF!</definedName>
    <definedName name="IQRCIQOwnershipG6" localSheetId="32" hidden="1">#REF!</definedName>
    <definedName name="IQRCIQOwnershipG6" localSheetId="8" hidden="1">#REF!</definedName>
    <definedName name="IQRCIQOwnershipG6" hidden="1">#REF!</definedName>
    <definedName name="IQRCIQOwnershipH6" localSheetId="13" hidden="1">#REF!</definedName>
    <definedName name="IQRCIQOwnershipH6" localSheetId="32" hidden="1">#REF!</definedName>
    <definedName name="IQRCIQOwnershipH6" localSheetId="8" hidden="1">#REF!</definedName>
    <definedName name="IQRCIQOwnershipH6" hidden="1">#REF!</definedName>
    <definedName name="IQRCIQOwnershipM5" hidden="1">'CIQ Ownership'!$M$6:$M$18</definedName>
    <definedName name="IQRCIQOwnershipM6" hidden="1">'CIQ Ownership'!$M$7:$M$11</definedName>
    <definedName name="IQRCIQOwnershipN5" hidden="1">'CIQ Ownership'!$N$6:$N$18</definedName>
    <definedName name="IQRCIQOwnershipN6" hidden="1">'CIQ Ownership'!$N$7:$N$11</definedName>
    <definedName name="IQRCIQOwnershipO5" hidden="1">'CIQ Ownership'!$O$6:$O$18</definedName>
    <definedName name="IQRCIQOwnershipP5" hidden="1">'CIQ Ownership'!$P$6:$P$18</definedName>
    <definedName name="IQRCIQProfessionalsB16" hidden="1">'CIQ Professionals'!$B$17:$B$26</definedName>
    <definedName name="IQRCIQProfessionalsB3" hidden="1">'CIQ Professionals'!$B$4:$B$13</definedName>
    <definedName name="IQRCIQProfessionalsC16" hidden="1">'CIQ Professionals'!$C$17:$C$26</definedName>
    <definedName name="IQRCIQProfessionalsC3" hidden="1">'CIQ Professionals'!$C$4:$C$13</definedName>
    <definedName name="IQRCIQProfessionalsD16" hidden="1">'CIQ Professionals'!$D$17:$D$26</definedName>
    <definedName name="IQRCIQProfessionalsD3" hidden="1">'CIQ Professionals'!$D$4:$D$13</definedName>
    <definedName name="IQRCIQProfessionalsE16" hidden="1">'CIQ Professionals'!$E$17:$E$26</definedName>
    <definedName name="IQRCIQProfessionalsE3" hidden="1">'CIQ Professionals'!$E$4:$E$13</definedName>
    <definedName name="IQRCIQRevisionB7" localSheetId="32" hidden="1">'CIQ Revision'!$B$8:$B$59</definedName>
    <definedName name="IQRCIQRevisionB7" hidden="1">#REF!</definedName>
    <definedName name="IQRCIQRevisionI7" localSheetId="32" hidden="1">'CIQ Revision'!$F$8:$F$59</definedName>
    <definedName name="IQRCIQRevisionI7" hidden="1">#REF!</definedName>
    <definedName name="IQRCIQRevisionS7" localSheetId="32" hidden="1">'CIQ Revision'!$P$8:$P$59</definedName>
    <definedName name="IQRCIQRevisionS7" hidden="1">#REF!</definedName>
    <definedName name="IQRCIQSegmentsB10" hidden="1">'CIQ Segments'!$B$11:$B$17</definedName>
    <definedName name="IQRCIQSegmentsB24" hidden="1">'CIQ Segments'!$B$26:$B$36</definedName>
    <definedName name="IQRCIQSegmentsB25" hidden="1">'CIQ Segments'!$B$26:$B$28</definedName>
    <definedName name="IQRCIQSegmentsB9" hidden="1">'CIQ Segments'!$B$11:$B$16</definedName>
    <definedName name="IQRCIQSegmentsC10" hidden="1">'CIQ Segments'!$C$11:$C$17</definedName>
    <definedName name="IQRCIQSegmentsC24" hidden="1">'CIQ Segments'!$C$26:$C$36</definedName>
    <definedName name="IQRCIQSegmentsC25" hidden="1">'CIQ Segments'!$C$26:$C$28</definedName>
    <definedName name="IQRCIQSegmentsC9" hidden="1">'CIQ Segments'!$C$11:$C$16</definedName>
    <definedName name="IQRCIQSegmentsD10" hidden="1">'CIQ Segments'!$D$11:$D$17</definedName>
    <definedName name="IQRCIQSegmentsD24" hidden="1">'CIQ Segments'!$D$26:$D$36</definedName>
    <definedName name="IQRCIQSegmentsD25" hidden="1">'CIQ Segments'!$D$26:$D$28</definedName>
    <definedName name="IQRCIQSegmentsD9" hidden="1">'CIQ Segments'!$D$11:$D$16</definedName>
    <definedName name="IQRCIQSegmentsE10" hidden="1">'CIQ Segments'!$E$11:$E$17</definedName>
    <definedName name="IQRCIQSegmentsE24" hidden="1">'CIQ Segments'!$E$26:$E$36</definedName>
    <definedName name="IQRCIQSegmentsE25" hidden="1">'CIQ Segments'!$E$26:$E$28</definedName>
    <definedName name="IQRCIQSegmentsE9" hidden="1">'CIQ Segments'!$E$11:$E$16</definedName>
    <definedName name="IQRCIQSegmentsF10" hidden="1">'CIQ Segments'!$F$11:$F$17</definedName>
    <definedName name="IQRCIQSegmentsF24" hidden="1">'CIQ Segments'!$F$26:$F$36</definedName>
    <definedName name="IQRCIQSegmentsF25" hidden="1">'CIQ Segments'!$F$26:$F$28</definedName>
    <definedName name="IQRCIQSegmentsF9" hidden="1">'CIQ Segments'!$F$11:$F$16</definedName>
    <definedName name="IQRCIQSegmentsG10" hidden="1">'CIQ Segments'!$G$11:$G$17</definedName>
    <definedName name="IQRCIQSegmentsG24" hidden="1">'CIQ Segments'!$G$26:$G$36</definedName>
    <definedName name="IQRCIQSegmentsG25" hidden="1">'CIQ Segments'!$G$26:$G$28</definedName>
    <definedName name="IQRCIQSegmentsG9" hidden="1">'CIQ Segments'!$G$11:$G$16</definedName>
    <definedName name="IQRCIQSegmentsH10" hidden="1">'CIQ Segments'!$H$11:$H$17</definedName>
    <definedName name="IQRCIQSegmentsH24" hidden="1">'CIQ Segments'!$H$26:$H$36</definedName>
    <definedName name="IQRCIQSegmentsH25" hidden="1">'CIQ Segments'!$H$26:$H$28</definedName>
    <definedName name="IQRCIQSegmentsH9" hidden="1">'CIQ Segments'!$H$11:$H$16</definedName>
    <definedName name="IQRCIQSegmentsI10" hidden="1">'CIQ Segments'!$I$11:$I$17</definedName>
    <definedName name="IQRCIQSegmentsI24" hidden="1">'CIQ Segments'!$I$26:$I$36</definedName>
    <definedName name="IQRCIQSegmentsI25" hidden="1">'CIQ Segments'!$I$26:$I$28</definedName>
    <definedName name="IQRCIQSegmentsI9" hidden="1">'CIQ Segments'!$I$11:$I$16</definedName>
    <definedName name="IQRCIQSegmentsP53" hidden="1">'CIQ Segments'!$P$54:$P$63</definedName>
    <definedName name="IQRCIQSubsidiariesB3" hidden="1">#REF!</definedName>
    <definedName name="IQRCIQSubsidiariesC3" hidden="1">#REF!</definedName>
    <definedName name="IQRCitrixIndustryPeersCU3" localSheetId="13" hidden="1">'[1]WC Analysis'!#REF!</definedName>
    <definedName name="IQRCitrixIndustryPeersCU3" localSheetId="32" hidden="1">'[1]WC Analysis'!#REF!</definedName>
    <definedName name="IQRCitrixIndustryPeersCU3" localSheetId="1" hidden="1">'[1]WC Analysis'!#REF!</definedName>
    <definedName name="IQRCitrixIndustryPeersCU3" localSheetId="2" hidden="1">'[1]WC Analysis'!#REF!</definedName>
    <definedName name="IQRCitrixIndustryPeersCU3" hidden="1">'[1]WC Analysis'!#REF!</definedName>
    <definedName name="IQRCJ8" hidden="1">"$CJ$9:$CJ$60"</definedName>
    <definedName name="IQRCompaniesH100" hidden="1">[4]Companies!$I$100:$M$100</definedName>
    <definedName name="IQRCompaniesH1000" localSheetId="32" hidden="1">[5]Companies!$I$1000</definedName>
    <definedName name="IQRCompaniesH1000" hidden="1">[5]Companies!$I$1000</definedName>
    <definedName name="IQRCompaniesH1001" localSheetId="32" hidden="1">[5]Companies!$I$1001:$M$1001</definedName>
    <definedName name="IQRCompaniesH1001" hidden="1">[5]Companies!$I$1001:$M$1001</definedName>
    <definedName name="IQRCompaniesH1002" localSheetId="32" hidden="1">[5]Companies!$I$1002:$L$1002</definedName>
    <definedName name="IQRCompaniesH1002" hidden="1">[5]Companies!$I$1002:$L$1002</definedName>
    <definedName name="IQRCompaniesH1003" localSheetId="32" hidden="1">[5]Companies!$I$1003</definedName>
    <definedName name="IQRCompaniesH1003" hidden="1">[5]Companies!$I$1003</definedName>
    <definedName name="IQRCompaniesH1004" localSheetId="32" hidden="1">[5]Companies!$I$1004:$K$1004</definedName>
    <definedName name="IQRCompaniesH1004" hidden="1">[5]Companies!$I$1004:$K$1004</definedName>
    <definedName name="IQRCompaniesH1005" localSheetId="32" hidden="1">[5]Companies!$I$1005:$M$1005</definedName>
    <definedName name="IQRCompaniesH1005" hidden="1">[5]Companies!$I$1005:$M$1005</definedName>
    <definedName name="IQRCompaniesH1006" localSheetId="32" hidden="1">[5]Companies!$I$1006:$M$1006</definedName>
    <definedName name="IQRCompaniesH1006" hidden="1">[5]Companies!$I$1006:$M$1006</definedName>
    <definedName name="IQRCompaniesH1007" localSheetId="32" hidden="1">[5]Companies!$I$1007</definedName>
    <definedName name="IQRCompaniesH1007" hidden="1">[5]Companies!$I$1007</definedName>
    <definedName name="IQRCompaniesH1008" localSheetId="32" hidden="1">[5]Companies!$I$1008:$M$1008</definedName>
    <definedName name="IQRCompaniesH1008" hidden="1">[5]Companies!$I$1008:$M$1008</definedName>
    <definedName name="IQRCompaniesH1009" localSheetId="32" hidden="1">[5]Companies!$I$1009:$M$1009</definedName>
    <definedName name="IQRCompaniesH1009" hidden="1">[5]Companies!$I$1009:$M$1009</definedName>
    <definedName name="IQRCompaniesH101" hidden="1">[4]Companies!$I$101:$J$101</definedName>
    <definedName name="IQRCompaniesH1010" localSheetId="32" hidden="1">[5]Companies!$I$1010</definedName>
    <definedName name="IQRCompaniesH1010" hidden="1">[5]Companies!$I$1010</definedName>
    <definedName name="IQRCompaniesH1011" localSheetId="32" hidden="1">[5]Companies!$I$1011</definedName>
    <definedName name="IQRCompaniesH1011" hidden="1">[5]Companies!$I$1011</definedName>
    <definedName name="IQRCompaniesH1012" localSheetId="32" hidden="1">[5]Companies!$I$1012:$L$1012</definedName>
    <definedName name="IQRCompaniesH1012" hidden="1">[5]Companies!$I$1012:$L$1012</definedName>
    <definedName name="IQRCompaniesH1013" localSheetId="32" hidden="1">[5]Companies!$I$1013</definedName>
    <definedName name="IQRCompaniesH1013" hidden="1">[5]Companies!$I$1013</definedName>
    <definedName name="IQRCompaniesH1014" localSheetId="32" hidden="1">[5]Companies!$I$1014:$M$1014</definedName>
    <definedName name="IQRCompaniesH1014" hidden="1">[5]Companies!$I$1014:$M$1014</definedName>
    <definedName name="IQRCompaniesH1015" localSheetId="32" hidden="1">[5]Companies!$I$1015</definedName>
    <definedName name="IQRCompaniesH1015" hidden="1">[5]Companies!$I$1015</definedName>
    <definedName name="IQRCompaniesH1016" localSheetId="32" hidden="1">[5]Companies!$I$1016:$J$1016</definedName>
    <definedName name="IQRCompaniesH1016" hidden="1">[5]Companies!$I$1016:$J$1016</definedName>
    <definedName name="IQRCompaniesH1017" localSheetId="32" hidden="1">[5]Companies!$I$1017:$J$1017</definedName>
    <definedName name="IQRCompaniesH1017" hidden="1">[5]Companies!$I$1017:$J$1017</definedName>
    <definedName name="IQRCompaniesH1018" localSheetId="32" hidden="1">[5]Companies!$I$1018</definedName>
    <definedName name="IQRCompaniesH1018" hidden="1">[5]Companies!$I$1018</definedName>
    <definedName name="IQRCompaniesH1019" localSheetId="32" hidden="1">[5]Companies!$I$1019:$J$1019</definedName>
    <definedName name="IQRCompaniesH1019" hidden="1">[5]Companies!$I$1019:$J$1019</definedName>
    <definedName name="IQRCompaniesH102" hidden="1">[4]Companies!$I$102:$M$102</definedName>
    <definedName name="IQRCompaniesH1020" localSheetId="32" hidden="1">[5]Companies!$I$1020:$M$1020</definedName>
    <definedName name="IQRCompaniesH1020" hidden="1">[5]Companies!$I$1020:$M$1020</definedName>
    <definedName name="IQRCompaniesH1021" localSheetId="32" hidden="1">[5]Companies!$I$1021:$L$1021</definedName>
    <definedName name="IQRCompaniesH1021" hidden="1">[5]Companies!$I$1021:$L$1021</definedName>
    <definedName name="IQRCompaniesH1022" localSheetId="32" hidden="1">[5]Companies!$I$1022:$M$1022</definedName>
    <definedName name="IQRCompaniesH1022" hidden="1">[5]Companies!$I$1022:$M$1022</definedName>
    <definedName name="IQRCompaniesH1023" localSheetId="32" hidden="1">[5]Companies!$I$1023</definedName>
    <definedName name="IQRCompaniesH1023" hidden="1">[5]Companies!$I$1023</definedName>
    <definedName name="IQRCompaniesH1024" localSheetId="32" hidden="1">[5]Companies!$I$1024:$M$1024</definedName>
    <definedName name="IQRCompaniesH1024" hidden="1">[5]Companies!$I$1024:$M$1024</definedName>
    <definedName name="IQRCompaniesH1025" localSheetId="32" hidden="1">[5]Companies!$I$1025:$J$1025</definedName>
    <definedName name="IQRCompaniesH1025" hidden="1">[5]Companies!$I$1025:$J$1025</definedName>
    <definedName name="IQRCompaniesH1026" localSheetId="32" hidden="1">[5]Companies!$I$1026:$M$1026</definedName>
    <definedName name="IQRCompaniesH1026" hidden="1">[5]Companies!$I$1026:$M$1026</definedName>
    <definedName name="IQRCompaniesH1027" localSheetId="32" hidden="1">[5]Companies!$I$1027:$M$1027</definedName>
    <definedName name="IQRCompaniesH1027" hidden="1">[5]Companies!$I$1027:$M$1027</definedName>
    <definedName name="IQRCompaniesH1028" localSheetId="32" hidden="1">[5]Companies!$I$1028:$J$1028</definedName>
    <definedName name="IQRCompaniesH1028" hidden="1">[5]Companies!$I$1028:$J$1028</definedName>
    <definedName name="IQRCompaniesH1029" localSheetId="32" hidden="1">[5]Companies!$I$1029:$L$1029</definedName>
    <definedName name="IQRCompaniesH1029" hidden="1">[5]Companies!$I$1029:$L$1029</definedName>
    <definedName name="IQRCompaniesH103" hidden="1">[4]Companies!$I$103:$M$103</definedName>
    <definedName name="IQRCompaniesH1030" localSheetId="32" hidden="1">[5]Companies!$I$1030:$J$1030</definedName>
    <definedName name="IQRCompaniesH1030" hidden="1">[5]Companies!$I$1030:$J$1030</definedName>
    <definedName name="IQRCompaniesH1031" localSheetId="32" hidden="1">[5]Companies!$I$1031:$M$1031</definedName>
    <definedName name="IQRCompaniesH1031" hidden="1">[5]Companies!$I$1031:$M$1031</definedName>
    <definedName name="IQRCompaniesH1032" localSheetId="32" hidden="1">[5]Companies!$I$1032</definedName>
    <definedName name="IQRCompaniesH1032" hidden="1">[5]Companies!$I$1032</definedName>
    <definedName name="IQRCompaniesH1033" localSheetId="32" hidden="1">[5]Companies!$I$1033:$K$1033</definedName>
    <definedName name="IQRCompaniesH1033" hidden="1">[5]Companies!$I$1033:$K$1033</definedName>
    <definedName name="IQRCompaniesH1034" localSheetId="32" hidden="1">[5]Companies!$I$1034</definedName>
    <definedName name="IQRCompaniesH1034" hidden="1">[5]Companies!$I$1034</definedName>
    <definedName name="IQRCompaniesH1035" localSheetId="32" hidden="1">[5]Companies!$I$1035</definedName>
    <definedName name="IQRCompaniesH1035" hidden="1">[5]Companies!$I$1035</definedName>
    <definedName name="IQRCompaniesH1036" localSheetId="32" hidden="1">[5]Companies!$I$1036:$M$1036</definedName>
    <definedName name="IQRCompaniesH1036" hidden="1">[5]Companies!$I$1036:$M$1036</definedName>
    <definedName name="IQRCompaniesH1037" localSheetId="32" hidden="1">[5]Companies!$I$1037:$L$1037</definedName>
    <definedName name="IQRCompaniesH1037" hidden="1">[5]Companies!$I$1037:$L$1037</definedName>
    <definedName name="IQRCompaniesH1038" localSheetId="32" hidden="1">[5]Companies!$I$1038</definedName>
    <definedName name="IQRCompaniesH1038" hidden="1">[5]Companies!$I$1038</definedName>
    <definedName name="IQRCompaniesH1039" localSheetId="32" hidden="1">[5]Companies!$I$1039:$M$1039</definedName>
    <definedName name="IQRCompaniesH1039" hidden="1">[5]Companies!$I$1039:$M$1039</definedName>
    <definedName name="IQRCompaniesH104" hidden="1">[4]Companies!$I$104:$M$104</definedName>
    <definedName name="IQRCompaniesH1040" localSheetId="32" hidden="1">[5]Companies!$I$1040</definedName>
    <definedName name="IQRCompaniesH1040" hidden="1">[5]Companies!$I$1040</definedName>
    <definedName name="IQRCompaniesH1041" localSheetId="32" hidden="1">[5]Companies!$I$1041</definedName>
    <definedName name="IQRCompaniesH1041" hidden="1">[5]Companies!$I$1041</definedName>
    <definedName name="IQRCompaniesH1042" localSheetId="32" hidden="1">[5]Companies!$I$1042:$J$1042</definedName>
    <definedName name="IQRCompaniesH1042" hidden="1">[5]Companies!$I$1042:$J$1042</definedName>
    <definedName name="IQRCompaniesH1043" localSheetId="32" hidden="1">[5]Companies!$I$1043</definedName>
    <definedName name="IQRCompaniesH1043" hidden="1">[5]Companies!$I$1043</definedName>
    <definedName name="IQRCompaniesH1044" localSheetId="32" hidden="1">[5]Companies!$I$1044</definedName>
    <definedName name="IQRCompaniesH1044" hidden="1">[5]Companies!$I$1044</definedName>
    <definedName name="IQRCompaniesH1045" localSheetId="32" hidden="1">[5]Companies!$I$1045:$M$1045</definedName>
    <definedName name="IQRCompaniesH1045" hidden="1">[5]Companies!$I$1045:$M$1045</definedName>
    <definedName name="IQRCompaniesH1046" localSheetId="32" hidden="1">[5]Companies!$I$1046:$M$1046</definedName>
    <definedName name="IQRCompaniesH1046" hidden="1">[5]Companies!$I$1046:$M$1046</definedName>
    <definedName name="IQRCompaniesH1047" localSheetId="32" hidden="1">[5]Companies!$I$1047:$K$1047</definedName>
    <definedName name="IQRCompaniesH1047" hidden="1">[5]Companies!$I$1047:$K$1047</definedName>
    <definedName name="IQRCompaniesH1048" localSheetId="32" hidden="1">[5]Companies!$I$1048:$M$1048</definedName>
    <definedName name="IQRCompaniesH1048" hidden="1">[5]Companies!$I$1048:$M$1048</definedName>
    <definedName name="IQRCompaniesH1049" localSheetId="32" hidden="1">[5]Companies!$I$1049:$M$1049</definedName>
    <definedName name="IQRCompaniesH1049" hidden="1">[5]Companies!$I$1049:$M$1049</definedName>
    <definedName name="IQRCompaniesH105" hidden="1">[4]Companies!$I$105:$M$105</definedName>
    <definedName name="IQRCompaniesH1050" localSheetId="32" hidden="1">[5]Companies!$I$1050:$J$1050</definedName>
    <definedName name="IQRCompaniesH1050" hidden="1">[5]Companies!$I$1050:$J$1050</definedName>
    <definedName name="IQRCompaniesH1051" localSheetId="32" hidden="1">[5]Companies!$I$1051:$M$1051</definedName>
    <definedName name="IQRCompaniesH1051" hidden="1">[5]Companies!$I$1051:$M$1051</definedName>
    <definedName name="IQRCompaniesH1052" localSheetId="32" hidden="1">[5]Companies!$I$1052:$J$1052</definedName>
    <definedName name="IQRCompaniesH1052" hidden="1">[5]Companies!$I$1052:$J$1052</definedName>
    <definedName name="IQRCompaniesH1053" localSheetId="32" hidden="1">[5]Companies!$I$1053:$M$1053</definedName>
    <definedName name="IQRCompaniesH1053" hidden="1">[5]Companies!$I$1053:$M$1053</definedName>
    <definedName name="IQRCompaniesH1054" localSheetId="32" hidden="1">[5]Companies!$I$1054:$J$1054</definedName>
    <definedName name="IQRCompaniesH1054" hidden="1">[5]Companies!$I$1054:$J$1054</definedName>
    <definedName name="IQRCompaniesH1055" localSheetId="32" hidden="1">[5]Companies!$I$1055</definedName>
    <definedName name="IQRCompaniesH1055" hidden="1">[5]Companies!$I$1055</definedName>
    <definedName name="IQRCompaniesH1056" localSheetId="32" hidden="1">[5]Companies!$I$1056:$M$1056</definedName>
    <definedName name="IQRCompaniesH1056" hidden="1">[5]Companies!$I$1056:$M$1056</definedName>
    <definedName name="IQRCompaniesH1057" localSheetId="32" hidden="1">[5]Companies!$I$1057</definedName>
    <definedName name="IQRCompaniesH1057" hidden="1">[5]Companies!$I$1057</definedName>
    <definedName name="IQRCompaniesH1058" localSheetId="32" hidden="1">[5]Companies!$I$1058:$M$1058</definedName>
    <definedName name="IQRCompaniesH1058" hidden="1">[5]Companies!$I$1058:$M$1058</definedName>
    <definedName name="IQRCompaniesH1059" localSheetId="32" hidden="1">[5]Companies!$I$1059:$M$1059</definedName>
    <definedName name="IQRCompaniesH1059" hidden="1">[5]Companies!$I$1059:$M$1059</definedName>
    <definedName name="IQRCompaniesH106" hidden="1">[4]Companies!$I$106</definedName>
    <definedName name="IQRCompaniesH1060" localSheetId="32" hidden="1">[5]Companies!$I$1060</definedName>
    <definedName name="IQRCompaniesH1060" hidden="1">[5]Companies!$I$1060</definedName>
    <definedName name="IQRCompaniesH1061" localSheetId="32" hidden="1">[5]Companies!$I$1061:$L$1061</definedName>
    <definedName name="IQRCompaniesH1061" hidden="1">[5]Companies!$I$1061:$L$1061</definedName>
    <definedName name="IQRCompaniesH1062" localSheetId="32" hidden="1">[5]Companies!$I$1062</definedName>
    <definedName name="IQRCompaniesH1062" hidden="1">[5]Companies!$I$1062</definedName>
    <definedName name="IQRCompaniesH1063" localSheetId="32" hidden="1">[5]Companies!$I$1063:$K$1063</definedName>
    <definedName name="IQRCompaniesH1063" hidden="1">[5]Companies!$I$1063:$K$1063</definedName>
    <definedName name="IQRCompaniesH1064" localSheetId="32" hidden="1">[5]Companies!$I$1064:$M$1064</definedName>
    <definedName name="IQRCompaniesH1064" hidden="1">[5]Companies!$I$1064:$M$1064</definedName>
    <definedName name="IQRCompaniesH1065" localSheetId="32" hidden="1">[5]Companies!$I$1065:$M$1065</definedName>
    <definedName name="IQRCompaniesH1065" hidden="1">[5]Companies!$I$1065:$M$1065</definedName>
    <definedName name="IQRCompaniesH1066" localSheetId="32" hidden="1">[5]Companies!$I$1066</definedName>
    <definedName name="IQRCompaniesH1066" hidden="1">[5]Companies!$I$1066</definedName>
    <definedName name="IQRCompaniesH1067" localSheetId="32" hidden="1">[5]Companies!$I$1067:$M$1067</definedName>
    <definedName name="IQRCompaniesH1067" hidden="1">[5]Companies!$I$1067:$M$1067</definedName>
    <definedName name="IQRCompaniesH1068" localSheetId="32" hidden="1">[5]Companies!$I$1068</definedName>
    <definedName name="IQRCompaniesH1068" hidden="1">[5]Companies!$I$1068</definedName>
    <definedName name="IQRCompaniesH1069" localSheetId="32" hidden="1">[5]Companies!$I$1069:$J$1069</definedName>
    <definedName name="IQRCompaniesH1069" hidden="1">[5]Companies!$I$1069:$J$1069</definedName>
    <definedName name="IQRCompaniesH107" hidden="1">[4]Companies!$I$107:$J$107</definedName>
    <definedName name="IQRCompaniesH1070" localSheetId="32" hidden="1">[5]Companies!$I$1070:$K$1070</definedName>
    <definedName name="IQRCompaniesH1070" hidden="1">[5]Companies!$I$1070:$K$1070</definedName>
    <definedName name="IQRCompaniesH1071" localSheetId="32" hidden="1">[5]Companies!$I$1071:$J$1071</definedName>
    <definedName name="IQRCompaniesH1071" hidden="1">[5]Companies!$I$1071:$J$1071</definedName>
    <definedName name="IQRCompaniesH1072" localSheetId="32" hidden="1">[5]Companies!$I$1072:$M$1072</definedName>
    <definedName name="IQRCompaniesH1072" hidden="1">[5]Companies!$I$1072:$M$1072</definedName>
    <definedName name="IQRCompaniesH1073" localSheetId="32" hidden="1">[5]Companies!$I$1073</definedName>
    <definedName name="IQRCompaniesH1073" hidden="1">[5]Companies!$I$1073</definedName>
    <definedName name="IQRCompaniesH1074" localSheetId="32" hidden="1">[5]Companies!$I$1074:$M$1074</definedName>
    <definedName name="IQRCompaniesH1074" hidden="1">[5]Companies!$I$1074:$M$1074</definedName>
    <definedName name="IQRCompaniesH1075" localSheetId="32" hidden="1">[5]Companies!$I$1075:$J$1075</definedName>
    <definedName name="IQRCompaniesH1075" hidden="1">[5]Companies!$I$1075:$J$1075</definedName>
    <definedName name="IQRCompaniesH1076" localSheetId="32" hidden="1">[5]Companies!$I$1076:$M$1076</definedName>
    <definedName name="IQRCompaniesH1076" hidden="1">[5]Companies!$I$1076:$M$1076</definedName>
    <definedName name="IQRCompaniesH1077" localSheetId="32" hidden="1">[5]Companies!$I$1077:$M$1077</definedName>
    <definedName name="IQRCompaniesH1077" hidden="1">[5]Companies!$I$1077:$M$1077</definedName>
    <definedName name="IQRCompaniesH1078" localSheetId="32" hidden="1">[5]Companies!$I$1078:$K$1078</definedName>
    <definedName name="IQRCompaniesH1078" hidden="1">[5]Companies!$I$1078:$K$1078</definedName>
    <definedName name="IQRCompaniesH1079" localSheetId="32" hidden="1">[5]Companies!$I$1079</definedName>
    <definedName name="IQRCompaniesH1079" hidden="1">[5]Companies!$I$1079</definedName>
    <definedName name="IQRCompaniesH108" hidden="1">[4]Companies!$I$108:$M$108</definedName>
    <definedName name="IQRCompaniesH1080" localSheetId="32" hidden="1">[5]Companies!$I$1080:$M$1080</definedName>
    <definedName name="IQRCompaniesH1080" hidden="1">[5]Companies!$I$1080:$M$1080</definedName>
    <definedName name="IQRCompaniesH1081" localSheetId="32" hidden="1">[5]Companies!$I$1081:$M$1081</definedName>
    <definedName name="IQRCompaniesH1081" hidden="1">[5]Companies!$I$1081:$M$1081</definedName>
    <definedName name="IQRCompaniesH1082" localSheetId="32" hidden="1">[5]Companies!$I$1082:$J$1082</definedName>
    <definedName name="IQRCompaniesH1082" hidden="1">[5]Companies!$I$1082:$J$1082</definedName>
    <definedName name="IQRCompaniesH1083" localSheetId="32" hidden="1">[5]Companies!$I$1083:$M$1083</definedName>
    <definedName name="IQRCompaniesH1083" hidden="1">[5]Companies!$I$1083:$M$1083</definedName>
    <definedName name="IQRCompaniesH1084" localSheetId="32" hidden="1">[5]Companies!$I$1084</definedName>
    <definedName name="IQRCompaniesH1084" hidden="1">[5]Companies!$I$1084</definedName>
    <definedName name="IQRCompaniesH1085" localSheetId="32" hidden="1">[5]Companies!$I$1085:$J$1085</definedName>
    <definedName name="IQRCompaniesH1085" hidden="1">[5]Companies!$I$1085:$J$1085</definedName>
    <definedName name="IQRCompaniesH1086" localSheetId="32" hidden="1">[5]Companies!$I$1086</definedName>
    <definedName name="IQRCompaniesH1086" hidden="1">[5]Companies!$I$1086</definedName>
    <definedName name="IQRCompaniesH1087" localSheetId="32" hidden="1">[5]Companies!$I$1087:$K$1087</definedName>
    <definedName name="IQRCompaniesH1087" hidden="1">[5]Companies!$I$1087:$K$1087</definedName>
    <definedName name="IQRCompaniesH1088" localSheetId="32" hidden="1">[5]Companies!$I$1088:$M$1088</definedName>
    <definedName name="IQRCompaniesH1088" hidden="1">[5]Companies!$I$1088:$M$1088</definedName>
    <definedName name="IQRCompaniesH1089" localSheetId="32" hidden="1">[5]Companies!$I$1089:$M$1089</definedName>
    <definedName name="IQRCompaniesH1089" hidden="1">[5]Companies!$I$1089:$M$1089</definedName>
    <definedName name="IQRCompaniesH109" hidden="1">[4]Companies!$I$109:$J$109</definedName>
    <definedName name="IQRCompaniesH1090" localSheetId="32" hidden="1">[5]Companies!$I$1090</definedName>
    <definedName name="IQRCompaniesH1090" hidden="1">[5]Companies!$I$1090</definedName>
    <definedName name="IQRCompaniesH1091" localSheetId="32" hidden="1">[5]Companies!$I$1091:$M$1091</definedName>
    <definedName name="IQRCompaniesH1091" hidden="1">[5]Companies!$I$1091:$M$1091</definedName>
    <definedName name="IQRCompaniesH1092" localSheetId="32" hidden="1">[5]Companies!$I$1092</definedName>
    <definedName name="IQRCompaniesH1092" hidden="1">[5]Companies!$I$1092</definedName>
    <definedName name="IQRCompaniesH1093" localSheetId="32" hidden="1">[5]Companies!$I$1093:$J$1093</definedName>
    <definedName name="IQRCompaniesH1093" hidden="1">[5]Companies!$I$1093:$J$1093</definedName>
    <definedName name="IQRCompaniesH1094" localSheetId="32" hidden="1">[5]Companies!$I$1094</definedName>
    <definedName name="IQRCompaniesH1094" hidden="1">[5]Companies!$I$1094</definedName>
    <definedName name="IQRCompaniesH1095" localSheetId="32" hidden="1">[5]Companies!$I$1095</definedName>
    <definedName name="IQRCompaniesH1095" hidden="1">[5]Companies!$I$1095</definedName>
    <definedName name="IQRCompaniesH1096" localSheetId="32" hidden="1">[5]Companies!$I$1096:$M$1096</definedName>
    <definedName name="IQRCompaniesH1096" hidden="1">[5]Companies!$I$1096:$M$1096</definedName>
    <definedName name="IQRCompaniesH1097" localSheetId="32" hidden="1">[5]Companies!$I$1097</definedName>
    <definedName name="IQRCompaniesH1097" hidden="1">[5]Companies!$I$1097</definedName>
    <definedName name="IQRCompaniesH1098" localSheetId="32" hidden="1">[5]Companies!$I$1098:$L$1098</definedName>
    <definedName name="IQRCompaniesH1098" hidden="1">[5]Companies!$I$1098:$L$1098</definedName>
    <definedName name="IQRCompaniesH1099" localSheetId="32" hidden="1">[5]Companies!$I$1099</definedName>
    <definedName name="IQRCompaniesH1099" hidden="1">[5]Companies!$I$1099</definedName>
    <definedName name="IQRCompaniesH110" hidden="1">[4]Companies!$I$110:$K$110</definedName>
    <definedName name="IQRCompaniesH1100" localSheetId="32" hidden="1">[5]Companies!$I$1100:$M$1100</definedName>
    <definedName name="IQRCompaniesH1100" hidden="1">[5]Companies!$I$1100:$M$1100</definedName>
    <definedName name="IQRCompaniesH1101" localSheetId="32" hidden="1">[5]Companies!$I$1101</definedName>
    <definedName name="IQRCompaniesH1101" hidden="1">[5]Companies!$I$1101</definedName>
    <definedName name="IQRCompaniesH1102" localSheetId="32" hidden="1">[5]Companies!$I$1102</definedName>
    <definedName name="IQRCompaniesH1102" hidden="1">[5]Companies!$I$1102</definedName>
    <definedName name="IQRCompaniesH1103" localSheetId="32" hidden="1">[5]Companies!$I$1103</definedName>
    <definedName name="IQRCompaniesH1103" hidden="1">[5]Companies!$I$1103</definedName>
    <definedName name="IQRCompaniesH1104" localSheetId="32" hidden="1">[5]Companies!$I$1104</definedName>
    <definedName name="IQRCompaniesH1104" hidden="1">[5]Companies!$I$1104</definedName>
    <definedName name="IQRCompaniesH1105" localSheetId="32" hidden="1">[5]Companies!$I$1105</definedName>
    <definedName name="IQRCompaniesH1105" hidden="1">[5]Companies!$I$1105</definedName>
    <definedName name="IQRCompaniesH1106" localSheetId="32" hidden="1">[5]Companies!$I$1106:$M$1106</definedName>
    <definedName name="IQRCompaniesH1106" hidden="1">[5]Companies!$I$1106:$M$1106</definedName>
    <definedName name="IQRCompaniesH1107" localSheetId="32" hidden="1">[5]Companies!$I$1107:$M$1107</definedName>
    <definedName name="IQRCompaniesH1107" hidden="1">[5]Companies!$I$1107:$M$1107</definedName>
    <definedName name="IQRCompaniesH1108" localSheetId="32" hidden="1">[5]Companies!$I$1108:$J$1108</definedName>
    <definedName name="IQRCompaniesH1108" hidden="1">[5]Companies!$I$1108:$J$1108</definedName>
    <definedName name="IQRCompaniesH1109" localSheetId="32" hidden="1">[5]Companies!$I$1109:$K$1109</definedName>
    <definedName name="IQRCompaniesH1109" hidden="1">[5]Companies!$I$1109:$K$1109</definedName>
    <definedName name="IQRCompaniesH111" hidden="1">[4]Companies!$I$111:$M$111</definedName>
    <definedName name="IQRCompaniesH1110" localSheetId="32" hidden="1">[5]Companies!$I$1110:$M$1110</definedName>
    <definedName name="IQRCompaniesH1110" hidden="1">[5]Companies!$I$1110:$M$1110</definedName>
    <definedName name="IQRCompaniesH1111" localSheetId="32" hidden="1">[5]Companies!$I$1111:$J$1111</definedName>
    <definedName name="IQRCompaniesH1111" hidden="1">[5]Companies!$I$1111:$J$1111</definedName>
    <definedName name="IQRCompaniesH1112" localSheetId="32" hidden="1">[5]Companies!$I$1112</definedName>
    <definedName name="IQRCompaniesH1112" hidden="1">[5]Companies!$I$1112</definedName>
    <definedName name="IQRCompaniesH1113" localSheetId="32" hidden="1">[5]Companies!$I$1113</definedName>
    <definedName name="IQRCompaniesH1113" hidden="1">[5]Companies!$I$1113</definedName>
    <definedName name="IQRCompaniesH1114" localSheetId="32" hidden="1">[5]Companies!$I$1114:$J$1114</definedName>
    <definedName name="IQRCompaniesH1114" hidden="1">[5]Companies!$I$1114:$J$1114</definedName>
    <definedName name="IQRCompaniesH1115" localSheetId="32" hidden="1">[5]Companies!$I$1115:$M$1115</definedName>
    <definedName name="IQRCompaniesH1115" hidden="1">[5]Companies!$I$1115:$M$1115</definedName>
    <definedName name="IQRCompaniesH1116" localSheetId="32" hidden="1">[5]Companies!$I$1116:$J$1116</definedName>
    <definedName name="IQRCompaniesH1116" hidden="1">[5]Companies!$I$1116:$J$1116</definedName>
    <definedName name="IQRCompaniesH1117" localSheetId="32" hidden="1">[5]Companies!$I$1117:$J$1117</definedName>
    <definedName name="IQRCompaniesH1117" hidden="1">[5]Companies!$I$1117:$J$1117</definedName>
    <definedName name="IQRCompaniesH1118" localSheetId="32" hidden="1">[5]Companies!$I$1118</definedName>
    <definedName name="IQRCompaniesH1118" hidden="1">[5]Companies!$I$1118</definedName>
    <definedName name="IQRCompaniesH1119" localSheetId="32" hidden="1">[5]Companies!$I$1119:$L$1119</definedName>
    <definedName name="IQRCompaniesH1119" hidden="1">[5]Companies!$I$1119:$L$1119</definedName>
    <definedName name="IQRCompaniesH112" hidden="1">[4]Companies!$I$112</definedName>
    <definedName name="IQRCompaniesH1120" localSheetId="32" hidden="1">[5]Companies!$I$1120</definedName>
    <definedName name="IQRCompaniesH1120" hidden="1">[5]Companies!$I$1120</definedName>
    <definedName name="IQRCompaniesH1121" localSheetId="32" hidden="1">[5]Companies!$I$1121</definedName>
    <definedName name="IQRCompaniesH1121" hidden="1">[5]Companies!$I$1121</definedName>
    <definedName name="IQRCompaniesH1122" localSheetId="32" hidden="1">[5]Companies!$I$1122:$K$1122</definedName>
    <definedName name="IQRCompaniesH1122" hidden="1">[5]Companies!$I$1122:$K$1122</definedName>
    <definedName name="IQRCompaniesH1123" localSheetId="32" hidden="1">[5]Companies!$I$1123:$J$1123</definedName>
    <definedName name="IQRCompaniesH1123" hidden="1">[5]Companies!$I$1123:$J$1123</definedName>
    <definedName name="IQRCompaniesH1124" localSheetId="32" hidden="1">[5]Companies!$I$1124</definedName>
    <definedName name="IQRCompaniesH1124" hidden="1">[5]Companies!$I$1124</definedName>
    <definedName name="IQRCompaniesH1125" localSheetId="32" hidden="1">[5]Companies!$I$1125</definedName>
    <definedName name="IQRCompaniesH1125" hidden="1">[5]Companies!$I$1125</definedName>
    <definedName name="IQRCompaniesH1126" localSheetId="32" hidden="1">[5]Companies!$I$1126</definedName>
    <definedName name="IQRCompaniesH1126" hidden="1">[5]Companies!$I$1126</definedName>
    <definedName name="IQRCompaniesH1127" localSheetId="32" hidden="1">[5]Companies!$I$1127</definedName>
    <definedName name="IQRCompaniesH1127" hidden="1">[5]Companies!$I$1127</definedName>
    <definedName name="IQRCompaniesH1128" localSheetId="32" hidden="1">[5]Companies!$I$1128:$M$1128</definedName>
    <definedName name="IQRCompaniesH1128" hidden="1">[5]Companies!$I$1128:$M$1128</definedName>
    <definedName name="IQRCompaniesH1129" localSheetId="32" hidden="1">[5]Companies!$I$1129</definedName>
    <definedName name="IQRCompaniesH1129" hidden="1">[5]Companies!$I$1129</definedName>
    <definedName name="IQRCompaniesH113" localSheetId="32" hidden="1">[5]Companies!$I$113:$M$113</definedName>
    <definedName name="IQRCompaniesH113" hidden="1">[5]Companies!$I$113:$M$113</definedName>
    <definedName name="IQRCompaniesH1130" localSheetId="32" hidden="1">[5]Companies!$I$1130</definedName>
    <definedName name="IQRCompaniesH1130" hidden="1">[5]Companies!$I$1130</definedName>
    <definedName name="IQRCompaniesH1131" localSheetId="32" hidden="1">[5]Companies!$I$1131:$K$1131</definedName>
    <definedName name="IQRCompaniesH1131" hidden="1">[5]Companies!$I$1131:$K$1131</definedName>
    <definedName name="IQRCompaniesH1132" localSheetId="32" hidden="1">[5]Companies!$I$1132</definedName>
    <definedName name="IQRCompaniesH1132" hidden="1">[5]Companies!$I$1132</definedName>
    <definedName name="IQRCompaniesH1133" localSheetId="32" hidden="1">[5]Companies!$I$1133</definedName>
    <definedName name="IQRCompaniesH1133" hidden="1">[5]Companies!$I$1133</definedName>
    <definedName name="IQRCompaniesH1134" localSheetId="32" hidden="1">[5]Companies!$I$1134:$L$1134</definedName>
    <definedName name="IQRCompaniesH1134" hidden="1">[5]Companies!$I$1134:$L$1134</definedName>
    <definedName name="IQRCompaniesH1135" localSheetId="32" hidden="1">[5]Companies!$I$1135</definedName>
    <definedName name="IQRCompaniesH1135" hidden="1">[5]Companies!$I$1135</definedName>
    <definedName name="IQRCompaniesH1136" localSheetId="32" hidden="1">[5]Companies!$I$1136</definedName>
    <definedName name="IQRCompaniesH1136" hidden="1">[5]Companies!$I$1136</definedName>
    <definedName name="IQRCompaniesH1137" localSheetId="32" hidden="1">[5]Companies!$I$1137:$J$1137</definedName>
    <definedName name="IQRCompaniesH1137" hidden="1">[5]Companies!$I$1137:$J$1137</definedName>
    <definedName name="IQRCompaniesH1138" localSheetId="32" hidden="1">[5]Companies!$I$1138:$J$1138</definedName>
    <definedName name="IQRCompaniesH1138" hidden="1">[5]Companies!$I$1138:$J$1138</definedName>
    <definedName name="IQRCompaniesH1139" localSheetId="32" hidden="1">[5]Companies!$I$1139:$L$1139</definedName>
    <definedName name="IQRCompaniesH1139" hidden="1">[5]Companies!$I$1139:$L$1139</definedName>
    <definedName name="IQRCompaniesH114" localSheetId="32" hidden="1">[5]Companies!$I$114</definedName>
    <definedName name="IQRCompaniesH114" hidden="1">[5]Companies!$I$114</definedName>
    <definedName name="IQRCompaniesH1140" localSheetId="32" hidden="1">[5]Companies!$I$1140</definedName>
    <definedName name="IQRCompaniesH1140" hidden="1">[5]Companies!$I$1140</definedName>
    <definedName name="IQRCompaniesH1141" localSheetId="32" hidden="1">[5]Companies!$I$1141:$M$1141</definedName>
    <definedName name="IQRCompaniesH1141" hidden="1">[5]Companies!$I$1141:$M$1141</definedName>
    <definedName name="IQRCompaniesH1142" localSheetId="32" hidden="1">[5]Companies!$I$1142:$K$1142</definedName>
    <definedName name="IQRCompaniesH1142" hidden="1">[5]Companies!$I$1142:$K$1142</definedName>
    <definedName name="IQRCompaniesH1143" localSheetId="32" hidden="1">[5]Companies!$I$1143</definedName>
    <definedName name="IQRCompaniesH1143" hidden="1">[5]Companies!$I$1143</definedName>
    <definedName name="IQRCompaniesH1144" localSheetId="32" hidden="1">[5]Companies!$I$1144</definedName>
    <definedName name="IQRCompaniesH1144" hidden="1">[5]Companies!$I$1144</definedName>
    <definedName name="IQRCompaniesH1145" localSheetId="32" hidden="1">[5]Companies!$I$1145</definedName>
    <definedName name="IQRCompaniesH1145" hidden="1">[5]Companies!$I$1145</definedName>
    <definedName name="IQRCompaniesH1146" localSheetId="32" hidden="1">[5]Companies!$I$1146:$L$1146</definedName>
    <definedName name="IQRCompaniesH1146" hidden="1">[5]Companies!$I$1146:$L$1146</definedName>
    <definedName name="IQRCompaniesH1147" localSheetId="32" hidden="1">[5]Companies!$I$1147:$M$1147</definedName>
    <definedName name="IQRCompaniesH1147" hidden="1">[5]Companies!$I$1147:$M$1147</definedName>
    <definedName name="IQRCompaniesH1148" localSheetId="32" hidden="1">[5]Companies!$I$1148</definedName>
    <definedName name="IQRCompaniesH1148" hidden="1">[5]Companies!$I$1148</definedName>
    <definedName name="IQRCompaniesH1149" localSheetId="32" hidden="1">[5]Companies!$I$1149:$J$1149</definedName>
    <definedName name="IQRCompaniesH1149" hidden="1">[5]Companies!$I$1149:$J$1149</definedName>
    <definedName name="IQRCompaniesH115" localSheetId="32" hidden="1">[5]Companies!$I$115:$M$115</definedName>
    <definedName name="IQRCompaniesH115" hidden="1">[5]Companies!$I$115:$M$115</definedName>
    <definedName name="IQRCompaniesH1150" localSheetId="32" hidden="1">[5]Companies!$I$1150:$M$1150</definedName>
    <definedName name="IQRCompaniesH1150" hidden="1">[5]Companies!$I$1150:$M$1150</definedName>
    <definedName name="IQRCompaniesH1151" localSheetId="32" hidden="1">[5]Companies!$I$1151</definedName>
    <definedName name="IQRCompaniesH1151" hidden="1">[5]Companies!$I$1151</definedName>
    <definedName name="IQRCompaniesH1152" localSheetId="32" hidden="1">[5]Companies!$I$1152:$M$1152</definedName>
    <definedName name="IQRCompaniesH1152" hidden="1">[5]Companies!$I$1152:$M$1152</definedName>
    <definedName name="IQRCompaniesH1153" localSheetId="32" hidden="1">[5]Companies!$I$1153</definedName>
    <definedName name="IQRCompaniesH1153" hidden="1">[5]Companies!$I$1153</definedName>
    <definedName name="IQRCompaniesH1154" localSheetId="32" hidden="1">[5]Companies!$I$1154:$M$1154</definedName>
    <definedName name="IQRCompaniesH1154" hidden="1">[5]Companies!$I$1154:$M$1154</definedName>
    <definedName name="IQRCompaniesH1155" localSheetId="32" hidden="1">[5]Companies!$I$1155:$J$1155</definedName>
    <definedName name="IQRCompaniesH1155" hidden="1">[5]Companies!$I$1155:$J$1155</definedName>
    <definedName name="IQRCompaniesH1156" localSheetId="32" hidden="1">[5]Companies!$I$1156:$M$1156</definedName>
    <definedName name="IQRCompaniesH1156" hidden="1">[5]Companies!$I$1156:$M$1156</definedName>
    <definedName name="IQRCompaniesH1157" localSheetId="32" hidden="1">[5]Companies!$I$1157</definedName>
    <definedName name="IQRCompaniesH1157" hidden="1">[5]Companies!$I$1157</definedName>
    <definedName name="IQRCompaniesH1158" localSheetId="32" hidden="1">[5]Companies!$I$1158:$J$1158</definedName>
    <definedName name="IQRCompaniesH1158" hidden="1">[5]Companies!$I$1158:$J$1158</definedName>
    <definedName name="IQRCompaniesH1159" localSheetId="32" hidden="1">[5]Companies!$I$1159:$M$1159</definedName>
    <definedName name="IQRCompaniesH1159" hidden="1">[5]Companies!$I$1159:$M$1159</definedName>
    <definedName name="IQRCompaniesH116" localSheetId="32" hidden="1">[5]Companies!$I$116:$M$116</definedName>
    <definedName name="IQRCompaniesH116" hidden="1">[5]Companies!$I$116:$M$116</definedName>
    <definedName name="IQRCompaniesH1160" localSheetId="32" hidden="1">[5]Companies!$I$1160:$M$1160</definedName>
    <definedName name="IQRCompaniesH1160" hidden="1">[5]Companies!$I$1160:$M$1160</definedName>
    <definedName name="IQRCompaniesH1161" localSheetId="32" hidden="1">[5]Companies!$I$1161</definedName>
    <definedName name="IQRCompaniesH1161" hidden="1">[5]Companies!$I$1161</definedName>
    <definedName name="IQRCompaniesH1162" localSheetId="32" hidden="1">[5]Companies!$I$1162:$J$1162</definedName>
    <definedName name="IQRCompaniesH1162" hidden="1">[5]Companies!$I$1162:$J$1162</definedName>
    <definedName name="IQRCompaniesH1163" localSheetId="32" hidden="1">[5]Companies!$I$1163:$J$1163</definedName>
    <definedName name="IQRCompaniesH1163" hidden="1">[5]Companies!$I$1163:$J$1163</definedName>
    <definedName name="IQRCompaniesH1164" localSheetId="32" hidden="1">[5]Companies!$I$1164</definedName>
    <definedName name="IQRCompaniesH1164" hidden="1">[5]Companies!$I$1164</definedName>
    <definedName name="IQRCompaniesH1165" localSheetId="32" hidden="1">[5]Companies!$I$1165:$K$1165</definedName>
    <definedName name="IQRCompaniesH1165" hidden="1">[5]Companies!$I$1165:$K$1165</definedName>
    <definedName name="IQRCompaniesH1166" localSheetId="32" hidden="1">[5]Companies!$I$1166:$J$1166</definedName>
    <definedName name="IQRCompaniesH1166" hidden="1">[5]Companies!$I$1166:$J$1166</definedName>
    <definedName name="IQRCompaniesH1167" localSheetId="32" hidden="1">[5]Companies!$I$1167</definedName>
    <definedName name="IQRCompaniesH1167" hidden="1">[5]Companies!$I$1167</definedName>
    <definedName name="IQRCompaniesH1168" localSheetId="32" hidden="1">[5]Companies!$I$1168</definedName>
    <definedName name="IQRCompaniesH1168" hidden="1">[5]Companies!$I$1168</definedName>
    <definedName name="IQRCompaniesH1169" localSheetId="32" hidden="1">[5]Companies!$I$1169:$M$1169</definedName>
    <definedName name="IQRCompaniesH1169" hidden="1">[5]Companies!$I$1169:$M$1169</definedName>
    <definedName name="IQRCompaniesH117" localSheetId="32" hidden="1">[5]Companies!$I$117</definedName>
    <definedName name="IQRCompaniesH117" hidden="1">[5]Companies!$I$117</definedName>
    <definedName name="IQRCompaniesH1170" localSheetId="32" hidden="1">[5]Companies!$I$1170</definedName>
    <definedName name="IQRCompaniesH1170" hidden="1">[5]Companies!$I$1170</definedName>
    <definedName name="IQRCompaniesH1171" localSheetId="32" hidden="1">[5]Companies!$I$1171</definedName>
    <definedName name="IQRCompaniesH1171" hidden="1">[5]Companies!$I$1171</definedName>
    <definedName name="IQRCompaniesH1172" localSheetId="32" hidden="1">[5]Companies!$I$1172:$K$1172</definedName>
    <definedName name="IQRCompaniesH1172" hidden="1">[5]Companies!$I$1172:$K$1172</definedName>
    <definedName name="IQRCompaniesH1173" localSheetId="32" hidden="1">[5]Companies!$I$1173:$M$1173</definedName>
    <definedName name="IQRCompaniesH1173" hidden="1">[5]Companies!$I$1173:$M$1173</definedName>
    <definedName name="IQRCompaniesH1174" localSheetId="32" hidden="1">[5]Companies!$I$1174:$M$1174</definedName>
    <definedName name="IQRCompaniesH1174" hidden="1">[5]Companies!$I$1174:$M$1174</definedName>
    <definedName name="IQRCompaniesH1175" localSheetId="32" hidden="1">[5]Companies!$I$1175:$M$1175</definedName>
    <definedName name="IQRCompaniesH1175" hidden="1">[5]Companies!$I$1175:$M$1175</definedName>
    <definedName name="IQRCompaniesH1176" localSheetId="32" hidden="1">[5]Companies!$I$1176:$M$1176</definedName>
    <definedName name="IQRCompaniesH1176" hidden="1">[5]Companies!$I$1176:$M$1176</definedName>
    <definedName name="IQRCompaniesH1177" localSheetId="32" hidden="1">[5]Companies!$I$1177:$M$1177</definedName>
    <definedName name="IQRCompaniesH1177" hidden="1">[5]Companies!$I$1177:$M$1177</definedName>
    <definedName name="IQRCompaniesH1178" localSheetId="32" hidden="1">[5]Companies!$I$1178:$M$1178</definedName>
    <definedName name="IQRCompaniesH1178" hidden="1">[5]Companies!$I$1178:$M$1178</definedName>
    <definedName name="IQRCompaniesH1179" localSheetId="32" hidden="1">[5]Companies!$I$1179</definedName>
    <definedName name="IQRCompaniesH1179" hidden="1">[5]Companies!$I$1179</definedName>
    <definedName name="IQRCompaniesH118" localSheetId="32" hidden="1">[5]Companies!$I$118:$M$118</definedName>
    <definedName name="IQRCompaniesH118" hidden="1">[5]Companies!$I$118:$M$118</definedName>
    <definedName name="IQRCompaniesH1180" localSheetId="32" hidden="1">[5]Companies!$I$1180</definedName>
    <definedName name="IQRCompaniesH1180" hidden="1">[5]Companies!$I$1180</definedName>
    <definedName name="IQRCompaniesH1181" localSheetId="32" hidden="1">[5]Companies!$I$1181:$L$1181</definedName>
    <definedName name="IQRCompaniesH1181" hidden="1">[5]Companies!$I$1181:$L$1181</definedName>
    <definedName name="IQRCompaniesH1182" localSheetId="32" hidden="1">[5]Companies!$I$1182</definedName>
    <definedName name="IQRCompaniesH1182" hidden="1">[5]Companies!$I$1182</definedName>
    <definedName name="IQRCompaniesH1183" localSheetId="32" hidden="1">[5]Companies!$I$1183:$K$1183</definedName>
    <definedName name="IQRCompaniesH1183" hidden="1">[5]Companies!$I$1183:$K$1183</definedName>
    <definedName name="IQRCompaniesH1184" localSheetId="32" hidden="1">[5]Companies!$I$1184</definedName>
    <definedName name="IQRCompaniesH1184" hidden="1">[5]Companies!$I$1184</definedName>
    <definedName name="IQRCompaniesH1185" localSheetId="32" hidden="1">[5]Companies!$I$1185:$M$1185</definedName>
    <definedName name="IQRCompaniesH1185" hidden="1">[5]Companies!$I$1185:$M$1185</definedName>
    <definedName name="IQRCompaniesH1186" localSheetId="32" hidden="1">[5]Companies!$I$1186:$M$1186</definedName>
    <definedName name="IQRCompaniesH1186" hidden="1">[5]Companies!$I$1186:$M$1186</definedName>
    <definedName name="IQRCompaniesH1187" localSheetId="32" hidden="1">[5]Companies!$I$1187:$K$1187</definedName>
    <definedName name="IQRCompaniesH1187" hidden="1">[5]Companies!$I$1187:$K$1187</definedName>
    <definedName name="IQRCompaniesH1188" localSheetId="32" hidden="1">[5]Companies!$I$1188</definedName>
    <definedName name="IQRCompaniesH1188" hidden="1">[5]Companies!$I$1188</definedName>
    <definedName name="IQRCompaniesH1189" localSheetId="32" hidden="1">[5]Companies!$I$1189:$M$1189</definedName>
    <definedName name="IQRCompaniesH1189" hidden="1">[5]Companies!$I$1189:$M$1189</definedName>
    <definedName name="IQRCompaniesH119" localSheetId="32" hidden="1">[5]Companies!$I$119:$M$119</definedName>
    <definedName name="IQRCompaniesH119" hidden="1">[5]Companies!$I$119:$M$119</definedName>
    <definedName name="IQRCompaniesH1190" localSheetId="32" hidden="1">[5]Companies!$I$1190:$M$1190</definedName>
    <definedName name="IQRCompaniesH1190" hidden="1">[5]Companies!$I$1190:$M$1190</definedName>
    <definedName name="IQRCompaniesH1191" localSheetId="32" hidden="1">[5]Companies!$I$1191:$M$1191</definedName>
    <definedName name="IQRCompaniesH1191" hidden="1">[5]Companies!$I$1191:$M$1191</definedName>
    <definedName name="IQRCompaniesH1192" localSheetId="32" hidden="1">[5]Companies!$I$1192:$M$1192</definedName>
    <definedName name="IQRCompaniesH1192" hidden="1">[5]Companies!$I$1192:$M$1192</definedName>
    <definedName name="IQRCompaniesH1193" localSheetId="32" hidden="1">[5]Companies!$I$1193:$K$1193</definedName>
    <definedName name="IQRCompaniesH1193" hidden="1">[5]Companies!$I$1193:$K$1193</definedName>
    <definedName name="IQRCompaniesH1194" localSheetId="32" hidden="1">[5]Companies!$I$1194:$J$1194</definedName>
    <definedName name="IQRCompaniesH1194" hidden="1">[5]Companies!$I$1194:$J$1194</definedName>
    <definedName name="IQRCompaniesH1195" localSheetId="32" hidden="1">[5]Companies!$I$1195:$J$1195</definedName>
    <definedName name="IQRCompaniesH1195" hidden="1">[5]Companies!$I$1195:$J$1195</definedName>
    <definedName name="IQRCompaniesH1196" localSheetId="32" hidden="1">[5]Companies!$I$1196:$M$1196</definedName>
    <definedName name="IQRCompaniesH1196" hidden="1">[5]Companies!$I$1196:$M$1196</definedName>
    <definedName name="IQRCompaniesH1197" localSheetId="32" hidden="1">[5]Companies!$I$1197:$M$1197</definedName>
    <definedName name="IQRCompaniesH1197" hidden="1">[5]Companies!$I$1197:$M$1197</definedName>
    <definedName name="IQRCompaniesH1198" localSheetId="32" hidden="1">[5]Companies!$I$1198:$M$1198</definedName>
    <definedName name="IQRCompaniesH1198" hidden="1">[5]Companies!$I$1198:$M$1198</definedName>
    <definedName name="IQRCompaniesH1199" localSheetId="32" hidden="1">[5]Companies!$I$1199:$M$1199</definedName>
    <definedName name="IQRCompaniesH1199" hidden="1">[5]Companies!$I$1199:$M$1199</definedName>
    <definedName name="IQRCompaniesH12" hidden="1">[4]Companies!$I$12:$M$12</definedName>
    <definedName name="IQRCompaniesH120" localSheetId="32" hidden="1">[5]Companies!$I$120:$K$120</definedName>
    <definedName name="IQRCompaniesH120" hidden="1">[5]Companies!$I$120:$K$120</definedName>
    <definedName name="IQRCompaniesH1200" localSheetId="32" hidden="1">[5]Companies!$I$1200:$L$1200</definedName>
    <definedName name="IQRCompaniesH1200" hidden="1">[5]Companies!$I$1200:$L$1200</definedName>
    <definedName name="IQRCompaniesH1201" localSheetId="32" hidden="1">[5]Companies!$I$1201:$J$1201</definedName>
    <definedName name="IQRCompaniesH1201" hidden="1">[5]Companies!$I$1201:$J$1201</definedName>
    <definedName name="IQRCompaniesH1202" localSheetId="32" hidden="1">[5]Companies!$I$1202:$M$1202</definedName>
    <definedName name="IQRCompaniesH1202" hidden="1">[5]Companies!$I$1202:$M$1202</definedName>
    <definedName name="IQRCompaniesH1203" localSheetId="32" hidden="1">[5]Companies!$I$1203</definedName>
    <definedName name="IQRCompaniesH1203" hidden="1">[5]Companies!$I$1203</definedName>
    <definedName name="IQRCompaniesH1204" localSheetId="32" hidden="1">[5]Companies!$I$1204:$K$1204</definedName>
    <definedName name="IQRCompaniesH1204" hidden="1">[5]Companies!$I$1204:$K$1204</definedName>
    <definedName name="IQRCompaniesH1205" localSheetId="32" hidden="1">[5]Companies!$I$1205</definedName>
    <definedName name="IQRCompaniesH1205" hidden="1">[5]Companies!$I$1205</definedName>
    <definedName name="IQRCompaniesH1206" localSheetId="32" hidden="1">[5]Companies!$I$1206:$L$1206</definedName>
    <definedName name="IQRCompaniesH1206" hidden="1">[5]Companies!$I$1206:$L$1206</definedName>
    <definedName name="IQRCompaniesH1207" localSheetId="32" hidden="1">[5]Companies!$I$1207:$M$1207</definedName>
    <definedName name="IQRCompaniesH1207" hidden="1">[5]Companies!$I$1207:$M$1207</definedName>
    <definedName name="IQRCompaniesH1208" localSheetId="32" hidden="1">[5]Companies!$I$1208:$M$1208</definedName>
    <definedName name="IQRCompaniesH1208" hidden="1">[5]Companies!$I$1208:$M$1208</definedName>
    <definedName name="IQRCompaniesH1209" localSheetId="32" hidden="1">[5]Companies!$I$1209:$M$1209</definedName>
    <definedName name="IQRCompaniesH1209" hidden="1">[5]Companies!$I$1209:$M$1209</definedName>
    <definedName name="IQRCompaniesH121" localSheetId="32" hidden="1">[5]Companies!$I$121:$J$121</definedName>
    <definedName name="IQRCompaniesH121" hidden="1">[5]Companies!$I$121:$J$121</definedName>
    <definedName name="IQRCompaniesH1210" localSheetId="32" hidden="1">[5]Companies!$I$1210:$L$1210</definedName>
    <definedName name="IQRCompaniesH1210" hidden="1">[5]Companies!$I$1210:$L$1210</definedName>
    <definedName name="IQRCompaniesH1211" localSheetId="32" hidden="1">[5]Companies!$I$1211:$M$1211</definedName>
    <definedName name="IQRCompaniesH1211" hidden="1">[5]Companies!$I$1211:$M$1211</definedName>
    <definedName name="IQRCompaniesH1212" localSheetId="32" hidden="1">[5]Companies!$I$1212</definedName>
    <definedName name="IQRCompaniesH1212" hidden="1">[5]Companies!$I$1212</definedName>
    <definedName name="IQRCompaniesH1213" localSheetId="32" hidden="1">[5]Companies!$I$1213:$J$1213</definedName>
    <definedName name="IQRCompaniesH1213" hidden="1">[5]Companies!$I$1213:$J$1213</definedName>
    <definedName name="IQRCompaniesH1214" localSheetId="32" hidden="1">[5]Companies!$I$1214:$M$1214</definedName>
    <definedName name="IQRCompaniesH1214" hidden="1">[5]Companies!$I$1214:$M$1214</definedName>
    <definedName name="IQRCompaniesH1215" localSheetId="32" hidden="1">[5]Companies!$I$1215:$M$1215</definedName>
    <definedName name="IQRCompaniesH1215" hidden="1">[5]Companies!$I$1215:$M$1215</definedName>
    <definedName name="IQRCompaniesH1216" localSheetId="32" hidden="1">[5]Companies!$I$1216:$M$1216</definedName>
    <definedName name="IQRCompaniesH1216" hidden="1">[5]Companies!$I$1216:$M$1216</definedName>
    <definedName name="IQRCompaniesH1217" localSheetId="32" hidden="1">[5]Companies!$I$1217:$J$1217</definedName>
    <definedName name="IQRCompaniesH1217" hidden="1">[5]Companies!$I$1217:$J$1217</definedName>
    <definedName name="IQRCompaniesH1218" localSheetId="32" hidden="1">[5]Companies!$I$1218</definedName>
    <definedName name="IQRCompaniesH1218" hidden="1">[5]Companies!$I$1218</definedName>
    <definedName name="IQRCompaniesH1219" localSheetId="32" hidden="1">[5]Companies!$I$1219:$K$1219</definedName>
    <definedName name="IQRCompaniesH1219" hidden="1">[5]Companies!$I$1219:$K$1219</definedName>
    <definedName name="IQRCompaniesH122" localSheetId="32" hidden="1">[5]Companies!$I$122:$K$122</definedName>
    <definedName name="IQRCompaniesH122" hidden="1">[5]Companies!$I$122:$K$122</definedName>
    <definedName name="IQRCompaniesH1220" localSheetId="32" hidden="1">[5]Companies!$I$1220</definedName>
    <definedName name="IQRCompaniesH1220" hidden="1">[5]Companies!$I$1220</definedName>
    <definedName name="IQRCompaniesH1221" localSheetId="32" hidden="1">[5]Companies!$I$1221</definedName>
    <definedName name="IQRCompaniesH1221" hidden="1">[5]Companies!$I$1221</definedName>
    <definedName name="IQRCompaniesH1222" localSheetId="32" hidden="1">[5]Companies!$I$1222:$J$1222</definedName>
    <definedName name="IQRCompaniesH1222" hidden="1">[5]Companies!$I$1222:$J$1222</definedName>
    <definedName name="IQRCompaniesH1223" localSheetId="32" hidden="1">[5]Companies!$I$1223:$K$1223</definedName>
    <definedName name="IQRCompaniesH1223" hidden="1">[5]Companies!$I$1223:$K$1223</definedName>
    <definedName name="IQRCompaniesH1224" localSheetId="32" hidden="1">[5]Companies!$I$1224:$M$1224</definedName>
    <definedName name="IQRCompaniesH1224" hidden="1">[5]Companies!$I$1224:$M$1224</definedName>
    <definedName name="IQRCompaniesH1225" localSheetId="32" hidden="1">[5]Companies!$I$1225:$J$1225</definedName>
    <definedName name="IQRCompaniesH1225" hidden="1">[5]Companies!$I$1225:$J$1225</definedName>
    <definedName name="IQRCompaniesH1226" localSheetId="32" hidden="1">[5]Companies!$I$1226</definedName>
    <definedName name="IQRCompaniesH1226" hidden="1">[5]Companies!$I$1226</definedName>
    <definedName name="IQRCompaniesH1227" localSheetId="32" hidden="1">[5]Companies!$I$1227:$M$1227</definedName>
    <definedName name="IQRCompaniesH1227" hidden="1">[5]Companies!$I$1227:$M$1227</definedName>
    <definedName name="IQRCompaniesH1228" localSheetId="32" hidden="1">[5]Companies!$I$1228:$J$1228</definedName>
    <definedName name="IQRCompaniesH1228" hidden="1">[5]Companies!$I$1228:$J$1228</definedName>
    <definedName name="IQRCompaniesH1229" localSheetId="32" hidden="1">[5]Companies!$I$1229:$J$1229</definedName>
    <definedName name="IQRCompaniesH1229" hidden="1">[5]Companies!$I$1229:$J$1229</definedName>
    <definedName name="IQRCompaniesH123" localSheetId="32" hidden="1">[5]Companies!$I$123:$J$123</definedName>
    <definedName name="IQRCompaniesH123" hidden="1">[5]Companies!$I$123:$J$123</definedName>
    <definedName name="IQRCompaniesH1230" localSheetId="32" hidden="1">[5]Companies!$I$1230:$M$1230</definedName>
    <definedName name="IQRCompaniesH1230" hidden="1">[5]Companies!$I$1230:$M$1230</definedName>
    <definedName name="IQRCompaniesH1231" localSheetId="32" hidden="1">[5]Companies!$I$1231:$M$1231</definedName>
    <definedName name="IQRCompaniesH1231" hidden="1">[5]Companies!$I$1231:$M$1231</definedName>
    <definedName name="IQRCompaniesH1232" localSheetId="32" hidden="1">[5]Companies!$I$1232</definedName>
    <definedName name="IQRCompaniesH1232" hidden="1">[5]Companies!$I$1232</definedName>
    <definedName name="IQRCompaniesH1233" localSheetId="32" hidden="1">[5]Companies!$I$1233:$K$1233</definedName>
    <definedName name="IQRCompaniesH1233" hidden="1">[5]Companies!$I$1233:$K$1233</definedName>
    <definedName name="IQRCompaniesH1234" localSheetId="32" hidden="1">[5]Companies!$I$1234:$M$1234</definedName>
    <definedName name="IQRCompaniesH1234" hidden="1">[5]Companies!$I$1234:$M$1234</definedName>
    <definedName name="IQRCompaniesH1235" localSheetId="32" hidden="1">[5]Companies!$I$1235</definedName>
    <definedName name="IQRCompaniesH1235" hidden="1">[5]Companies!$I$1235</definedName>
    <definedName name="IQRCompaniesH1236" localSheetId="32" hidden="1">[5]Companies!$I$1236:$J$1236</definedName>
    <definedName name="IQRCompaniesH1236" hidden="1">[5]Companies!$I$1236:$J$1236</definedName>
    <definedName name="IQRCompaniesH1237" localSheetId="32" hidden="1">[5]Companies!$I$1237:$K$1237</definedName>
    <definedName name="IQRCompaniesH1237" hidden="1">[5]Companies!$I$1237:$K$1237</definedName>
    <definedName name="IQRCompaniesH1238" localSheetId="32" hidden="1">[5]Companies!$I$1238</definedName>
    <definedName name="IQRCompaniesH1238" hidden="1">[5]Companies!$I$1238</definedName>
    <definedName name="IQRCompaniesH1239" localSheetId="32" hidden="1">[5]Companies!$I$1239:$J$1239</definedName>
    <definedName name="IQRCompaniesH1239" hidden="1">[5]Companies!$I$1239:$J$1239</definedName>
    <definedName name="IQRCompaniesH124" localSheetId="32" hidden="1">[5]Companies!$I$124:$M$124</definedName>
    <definedName name="IQRCompaniesH124" hidden="1">[5]Companies!$I$124:$M$124</definedName>
    <definedName name="IQRCompaniesH1240" localSheetId="32" hidden="1">[5]Companies!$I$1240</definedName>
    <definedName name="IQRCompaniesH1240" hidden="1">[5]Companies!$I$1240</definedName>
    <definedName name="IQRCompaniesH1241" localSheetId="32" hidden="1">[5]Companies!$I$1241</definedName>
    <definedName name="IQRCompaniesH1241" hidden="1">[5]Companies!$I$1241</definedName>
    <definedName name="IQRCompaniesH1242" localSheetId="32" hidden="1">[5]Companies!$I$1242</definedName>
    <definedName name="IQRCompaniesH1242" hidden="1">[5]Companies!$I$1242</definedName>
    <definedName name="IQRCompaniesH1243" localSheetId="32" hidden="1">[5]Companies!$I$1243:$M$1243</definedName>
    <definedName name="IQRCompaniesH1243" hidden="1">[5]Companies!$I$1243:$M$1243</definedName>
    <definedName name="IQRCompaniesH1244" localSheetId="32" hidden="1">[5]Companies!$I$1244:$K$1244</definedName>
    <definedName name="IQRCompaniesH1244" hidden="1">[5]Companies!$I$1244:$K$1244</definedName>
    <definedName name="IQRCompaniesH1245" localSheetId="32" hidden="1">[5]Companies!$I$1245:$J$1245</definedName>
    <definedName name="IQRCompaniesH1245" hidden="1">[5]Companies!$I$1245:$J$1245</definedName>
    <definedName name="IQRCompaniesH1246" localSheetId="32" hidden="1">[5]Companies!$I$1246</definedName>
    <definedName name="IQRCompaniesH1246" hidden="1">[5]Companies!$I$1246</definedName>
    <definedName name="IQRCompaniesH1247" localSheetId="32" hidden="1">[5]Companies!$I$1247</definedName>
    <definedName name="IQRCompaniesH1247" hidden="1">[5]Companies!$I$1247</definedName>
    <definedName name="IQRCompaniesH1248" localSheetId="32" hidden="1">[5]Companies!$I$1248:$M$1248</definedName>
    <definedName name="IQRCompaniesH1248" hidden="1">[5]Companies!$I$1248:$M$1248</definedName>
    <definedName name="IQRCompaniesH1249" localSheetId="32" hidden="1">[5]Companies!$I$1249:$M$1249</definedName>
    <definedName name="IQRCompaniesH1249" hidden="1">[5]Companies!$I$1249:$M$1249</definedName>
    <definedName name="IQRCompaniesH125" localSheetId="32" hidden="1">[5]Companies!$I$125</definedName>
    <definedName name="IQRCompaniesH125" hidden="1">[5]Companies!$I$125</definedName>
    <definedName name="IQRCompaniesH1250" localSheetId="32" hidden="1">[5]Companies!$I$1250</definedName>
    <definedName name="IQRCompaniesH1250" hidden="1">[5]Companies!$I$1250</definedName>
    <definedName name="IQRCompaniesH1251" localSheetId="32" hidden="1">[5]Companies!$I$1251:$M$1251</definedName>
    <definedName name="IQRCompaniesH1251" hidden="1">[5]Companies!$I$1251:$M$1251</definedName>
    <definedName name="IQRCompaniesH1252" localSheetId="32" hidden="1">[5]Companies!$I$1252:$K$1252</definedName>
    <definedName name="IQRCompaniesH1252" hidden="1">[5]Companies!$I$1252:$K$1252</definedName>
    <definedName name="IQRCompaniesH1253" localSheetId="32" hidden="1">[5]Companies!$I$1253:$L$1253</definedName>
    <definedName name="IQRCompaniesH1253" hidden="1">[5]Companies!$I$1253:$L$1253</definedName>
    <definedName name="IQRCompaniesH1254" localSheetId="32" hidden="1">[5]Companies!$I$1254:$J$1254</definedName>
    <definedName name="IQRCompaniesH1254" hidden="1">[5]Companies!$I$1254:$J$1254</definedName>
    <definedName name="IQRCompaniesH1255" localSheetId="32" hidden="1">[5]Companies!$I$1255:$M$1255</definedName>
    <definedName name="IQRCompaniesH1255" hidden="1">[5]Companies!$I$1255:$M$1255</definedName>
    <definedName name="IQRCompaniesH1256" localSheetId="32" hidden="1">[5]Companies!$I$1256:$M$1256</definedName>
    <definedName name="IQRCompaniesH1256" hidden="1">[5]Companies!$I$1256:$M$1256</definedName>
    <definedName name="IQRCompaniesH1257" localSheetId="32" hidden="1">[5]Companies!$I$1257:$K$1257</definedName>
    <definedName name="IQRCompaniesH1257" hidden="1">[5]Companies!$I$1257:$K$1257</definedName>
    <definedName name="IQRCompaniesH1258" localSheetId="32" hidden="1">[5]Companies!$I$1258:$K$1258</definedName>
    <definedName name="IQRCompaniesH1258" hidden="1">[5]Companies!$I$1258:$K$1258</definedName>
    <definedName name="IQRCompaniesH1259" localSheetId="32" hidden="1">[5]Companies!$I$1259:$J$1259</definedName>
    <definedName name="IQRCompaniesH1259" hidden="1">[5]Companies!$I$1259:$J$1259</definedName>
    <definedName name="IQRCompaniesH126" localSheetId="32" hidden="1">[5]Companies!$I$126:$J$126</definedName>
    <definedName name="IQRCompaniesH126" hidden="1">[5]Companies!$I$126:$J$126</definedName>
    <definedName name="IQRCompaniesH1260" localSheetId="32" hidden="1">[5]Companies!$I$1260</definedName>
    <definedName name="IQRCompaniesH1260" hidden="1">[5]Companies!$I$1260</definedName>
    <definedName name="IQRCompaniesH1261" localSheetId="32" hidden="1">[5]Companies!$I$1261</definedName>
    <definedName name="IQRCompaniesH1261" hidden="1">[5]Companies!$I$1261</definedName>
    <definedName name="IQRCompaniesH1262" localSheetId="32" hidden="1">[5]Companies!$I$1262</definedName>
    <definedName name="IQRCompaniesH1262" hidden="1">[5]Companies!$I$1262</definedName>
    <definedName name="IQRCompaniesH1263" localSheetId="32" hidden="1">[5]Companies!$I$1263</definedName>
    <definedName name="IQRCompaniesH1263" hidden="1">[5]Companies!$I$1263</definedName>
    <definedName name="IQRCompaniesH1264" localSheetId="32" hidden="1">[5]Companies!$I$1264:$M$1264</definedName>
    <definedName name="IQRCompaniesH1264" hidden="1">[5]Companies!$I$1264:$M$1264</definedName>
    <definedName name="IQRCompaniesH1265" localSheetId="32" hidden="1">[5]Companies!$I$1265:$M$1265</definedName>
    <definedName name="IQRCompaniesH1265" hidden="1">[5]Companies!$I$1265:$M$1265</definedName>
    <definedName name="IQRCompaniesH1266" localSheetId="32" hidden="1">[5]Companies!$I$1266:$L$1266</definedName>
    <definedName name="IQRCompaniesH1266" hidden="1">[5]Companies!$I$1266:$L$1266</definedName>
    <definedName name="IQRCompaniesH1267" localSheetId="32" hidden="1">[5]Companies!$I$1267:$K$1267</definedName>
    <definedName name="IQRCompaniesH1267" hidden="1">[5]Companies!$I$1267:$K$1267</definedName>
    <definedName name="IQRCompaniesH1268" localSheetId="32" hidden="1">[5]Companies!$I$1268</definedName>
    <definedName name="IQRCompaniesH1268" hidden="1">[5]Companies!$I$1268</definedName>
    <definedName name="IQRCompaniesH1269" localSheetId="32" hidden="1">[5]Companies!$I$1269</definedName>
    <definedName name="IQRCompaniesH1269" hidden="1">[5]Companies!$I$1269</definedName>
    <definedName name="IQRCompaniesH127" localSheetId="32" hidden="1">[5]Companies!$I$127:$L$127</definedName>
    <definedName name="IQRCompaniesH127" hidden="1">[5]Companies!$I$127:$L$127</definedName>
    <definedName name="IQRCompaniesH1270" localSheetId="32" hidden="1">[5]Companies!$I$1270</definedName>
    <definedName name="IQRCompaniesH1270" hidden="1">[5]Companies!$I$1270</definedName>
    <definedName name="IQRCompaniesH1271" localSheetId="32" hidden="1">[5]Companies!$I$1271:$J$1271</definedName>
    <definedName name="IQRCompaniesH1271" hidden="1">[5]Companies!$I$1271:$J$1271</definedName>
    <definedName name="IQRCompaniesH1272" localSheetId="32" hidden="1">[5]Companies!$I$1272</definedName>
    <definedName name="IQRCompaniesH1272" hidden="1">[5]Companies!$I$1272</definedName>
    <definedName name="IQRCompaniesH1273" localSheetId="32" hidden="1">[5]Companies!$I$1273</definedName>
    <definedName name="IQRCompaniesH1273" hidden="1">[5]Companies!$I$1273</definedName>
    <definedName name="IQRCompaniesH1274" localSheetId="32" hidden="1">[5]Companies!$I$1274:$M$1274</definedName>
    <definedName name="IQRCompaniesH1274" hidden="1">[5]Companies!$I$1274:$M$1274</definedName>
    <definedName name="IQRCompaniesH1275" localSheetId="32" hidden="1">[5]Companies!$I$1275</definedName>
    <definedName name="IQRCompaniesH1275" hidden="1">[5]Companies!$I$1275</definedName>
    <definedName name="IQRCompaniesH1276" localSheetId="32" hidden="1">[5]Companies!$I$1276:$M$1276</definedName>
    <definedName name="IQRCompaniesH1276" hidden="1">[5]Companies!$I$1276:$M$1276</definedName>
    <definedName name="IQRCompaniesH1277" localSheetId="32" hidden="1">[5]Companies!$I$1277:$M$1277</definedName>
    <definedName name="IQRCompaniesH1277" hidden="1">[5]Companies!$I$1277:$M$1277</definedName>
    <definedName name="IQRCompaniesH1278" localSheetId="32" hidden="1">[5]Companies!$I$1278:$L$1278</definedName>
    <definedName name="IQRCompaniesH1278" hidden="1">[5]Companies!$I$1278:$L$1278</definedName>
    <definedName name="IQRCompaniesH1279" localSheetId="32" hidden="1">[5]Companies!$I$1279:$J$1279</definedName>
    <definedName name="IQRCompaniesH1279" hidden="1">[5]Companies!$I$1279:$J$1279</definedName>
    <definedName name="IQRCompaniesH128" localSheetId="32" hidden="1">[5]Companies!$I$128:$K$128</definedName>
    <definedName name="IQRCompaniesH128" hidden="1">[5]Companies!$I$128:$K$128</definedName>
    <definedName name="IQRCompaniesH1280" localSheetId="32" hidden="1">[5]Companies!$I$1280:$J$1280</definedName>
    <definedName name="IQRCompaniesH1280" hidden="1">[5]Companies!$I$1280:$J$1280</definedName>
    <definedName name="IQRCompaniesH1281" localSheetId="32" hidden="1">[5]Companies!$I$1281</definedName>
    <definedName name="IQRCompaniesH1281" hidden="1">[5]Companies!$I$1281</definedName>
    <definedName name="IQRCompaniesH1282" localSheetId="32" hidden="1">[5]Companies!$I$1282:$M$1282</definedName>
    <definedName name="IQRCompaniesH1282" hidden="1">[5]Companies!$I$1282:$M$1282</definedName>
    <definedName name="IQRCompaniesH1283" localSheetId="32" hidden="1">[5]Companies!$I$1283</definedName>
    <definedName name="IQRCompaniesH1283" hidden="1">[5]Companies!$I$1283</definedName>
    <definedName name="IQRCompaniesH1284" localSheetId="32" hidden="1">[5]Companies!$I$1284</definedName>
    <definedName name="IQRCompaniesH1284" hidden="1">[5]Companies!$I$1284</definedName>
    <definedName name="IQRCompaniesH1285" localSheetId="32" hidden="1">[5]Companies!$I$1285:$M$1285</definedName>
    <definedName name="IQRCompaniesH1285" hidden="1">[5]Companies!$I$1285:$M$1285</definedName>
    <definedName name="IQRCompaniesH1286" localSheetId="32" hidden="1">[5]Companies!$I$1286:$L$1286</definedName>
    <definedName name="IQRCompaniesH1286" hidden="1">[5]Companies!$I$1286:$L$1286</definedName>
    <definedName name="IQRCompaniesH1287" localSheetId="32" hidden="1">[5]Companies!$I$1287:$M$1287</definedName>
    <definedName name="IQRCompaniesH1287" hidden="1">[5]Companies!$I$1287:$M$1287</definedName>
    <definedName name="IQRCompaniesH1288" localSheetId="32" hidden="1">[5]Companies!$I$1288:$J$1288</definedName>
    <definedName name="IQRCompaniesH1288" hidden="1">[5]Companies!$I$1288:$J$1288</definedName>
    <definedName name="IQRCompaniesH1289" localSheetId="32" hidden="1">[5]Companies!$I$1289</definedName>
    <definedName name="IQRCompaniesH1289" hidden="1">[5]Companies!$I$1289</definedName>
    <definedName name="IQRCompaniesH129" localSheetId="32" hidden="1">[5]Companies!$I$129:$J$129</definedName>
    <definedName name="IQRCompaniesH129" hidden="1">[5]Companies!$I$129:$J$129</definedName>
    <definedName name="IQRCompaniesH1290" localSheetId="32" hidden="1">[5]Companies!$I$1290</definedName>
    <definedName name="IQRCompaniesH1290" hidden="1">[5]Companies!$I$1290</definedName>
    <definedName name="IQRCompaniesH1291" localSheetId="32" hidden="1">[5]Companies!$I$1291:$K$1291</definedName>
    <definedName name="IQRCompaniesH1291" hidden="1">[5]Companies!$I$1291:$K$1291</definedName>
    <definedName name="IQRCompaniesH1292" localSheetId="32" hidden="1">[5]Companies!$I$1292</definedName>
    <definedName name="IQRCompaniesH1292" hidden="1">[5]Companies!$I$1292</definedName>
    <definedName name="IQRCompaniesH1293" localSheetId="32" hidden="1">[5]Companies!$I$1293:$M$1293</definedName>
    <definedName name="IQRCompaniesH1293" hidden="1">[5]Companies!$I$1293:$M$1293</definedName>
    <definedName name="IQRCompaniesH1294" localSheetId="32" hidden="1">[5]Companies!$I$1294</definedName>
    <definedName name="IQRCompaniesH1294" hidden="1">[5]Companies!$I$1294</definedName>
    <definedName name="IQRCompaniesH1295" localSheetId="32" hidden="1">[5]Companies!$I$1295</definedName>
    <definedName name="IQRCompaniesH1295" hidden="1">[5]Companies!$I$1295</definedName>
    <definedName name="IQRCompaniesH1296" localSheetId="32" hidden="1">[5]Companies!$I$1296:$J$1296</definedName>
    <definedName name="IQRCompaniesH1296" hidden="1">[5]Companies!$I$1296:$J$1296</definedName>
    <definedName name="IQRCompaniesH1297" localSheetId="32" hidden="1">[5]Companies!$I$1297:$L$1297</definedName>
    <definedName name="IQRCompaniesH1297" hidden="1">[5]Companies!$I$1297:$L$1297</definedName>
    <definedName name="IQRCompaniesH1298" localSheetId="32" hidden="1">[5]Companies!$I$1298</definedName>
    <definedName name="IQRCompaniesH1298" hidden="1">[5]Companies!$I$1298</definedName>
    <definedName name="IQRCompaniesH1299" localSheetId="32" hidden="1">[5]Companies!$I$1299:$K$1299</definedName>
    <definedName name="IQRCompaniesH1299" hidden="1">[5]Companies!$I$1299:$K$1299</definedName>
    <definedName name="IQRCompaniesH13" hidden="1">[4]Companies!$I$13:$M$13</definedName>
    <definedName name="IQRCompaniesH130" localSheetId="32" hidden="1">[5]Companies!$I$130</definedName>
    <definedName name="IQRCompaniesH130" hidden="1">[5]Companies!$I$130</definedName>
    <definedName name="IQRCompaniesH1300" localSheetId="32" hidden="1">[5]Companies!$I$1300</definedName>
    <definedName name="IQRCompaniesH1300" hidden="1">[5]Companies!$I$1300</definedName>
    <definedName name="IQRCompaniesH1301" localSheetId="32" hidden="1">[5]Companies!$I$1301:$J$1301</definedName>
    <definedName name="IQRCompaniesH1301" hidden="1">[5]Companies!$I$1301:$J$1301</definedName>
    <definedName name="IQRCompaniesH1302" localSheetId="32" hidden="1">[5]Companies!$I$1302:$K$1302</definedName>
    <definedName name="IQRCompaniesH1302" hidden="1">[5]Companies!$I$1302:$K$1302</definedName>
    <definedName name="IQRCompaniesH131" localSheetId="32" hidden="1">[5]Companies!$I$131:$M$131</definedName>
    <definedName name="IQRCompaniesH131" hidden="1">[5]Companies!$I$131:$M$131</definedName>
    <definedName name="IQRCompaniesH132" localSheetId="32" hidden="1">[5]Companies!$I$132</definedName>
    <definedName name="IQRCompaniesH132" hidden="1">[5]Companies!$I$132</definedName>
    <definedName name="IQRCompaniesH133" localSheetId="32" hidden="1">[5]Companies!$I$133:$M$133</definedName>
    <definedName name="IQRCompaniesH133" hidden="1">[5]Companies!$I$133:$M$133</definedName>
    <definedName name="IQRCompaniesH134" localSheetId="32" hidden="1">[5]Companies!$I$134</definedName>
    <definedName name="IQRCompaniesH134" hidden="1">[5]Companies!$I$134</definedName>
    <definedName name="IQRCompaniesH135" localSheetId="32" hidden="1">[5]Companies!$I$135:$J$135</definedName>
    <definedName name="IQRCompaniesH135" hidden="1">[5]Companies!$I$135:$J$135</definedName>
    <definedName name="IQRCompaniesH136" localSheetId="32" hidden="1">[5]Companies!$I$136:$K$136</definedName>
    <definedName name="IQRCompaniesH136" hidden="1">[5]Companies!$I$136:$K$136</definedName>
    <definedName name="IQRCompaniesH137" localSheetId="32" hidden="1">[5]Companies!$I$137:$J$137</definedName>
    <definedName name="IQRCompaniesH137" hidden="1">[5]Companies!$I$137:$J$137</definedName>
    <definedName name="IQRCompaniesH138" localSheetId="32" hidden="1">[5]Companies!$I$138:$L$138</definedName>
    <definedName name="IQRCompaniesH138" hidden="1">[5]Companies!$I$138:$L$138</definedName>
    <definedName name="IQRCompaniesH139" localSheetId="32" hidden="1">[5]Companies!$I$139:$J$139</definedName>
    <definedName name="IQRCompaniesH139" hidden="1">[5]Companies!$I$139:$J$139</definedName>
    <definedName name="IQRCompaniesH14" hidden="1">[4]Companies!$I$14:$M$14</definedName>
    <definedName name="IQRCompaniesH140" localSheetId="32" hidden="1">[5]Companies!$I$140:$L$140</definedName>
    <definedName name="IQRCompaniesH140" hidden="1">[5]Companies!$I$140:$L$140</definedName>
    <definedName name="IQRCompaniesH141" localSheetId="32" hidden="1">[5]Companies!$I$141:$M$141</definedName>
    <definedName name="IQRCompaniesH141" hidden="1">[5]Companies!$I$141:$M$141</definedName>
    <definedName name="IQRCompaniesH142" localSheetId="32" hidden="1">[5]Companies!$I$142:$L$142</definedName>
    <definedName name="IQRCompaniesH142" hidden="1">[5]Companies!$I$142:$L$142</definedName>
    <definedName name="IQRCompaniesH143" localSheetId="32" hidden="1">[5]Companies!$I$143:$J$143</definedName>
    <definedName name="IQRCompaniesH143" hidden="1">[5]Companies!$I$143:$J$143</definedName>
    <definedName name="IQRCompaniesH144" localSheetId="32" hidden="1">[5]Companies!$I$144</definedName>
    <definedName name="IQRCompaniesH144" hidden="1">[5]Companies!$I$144</definedName>
    <definedName name="IQRCompaniesH145" localSheetId="32" hidden="1">[5]Companies!$I$145:$J$145</definedName>
    <definedName name="IQRCompaniesH145" hidden="1">[5]Companies!$I$145:$J$145</definedName>
    <definedName name="IQRCompaniesH146" localSheetId="32" hidden="1">[5]Companies!$I$146:$J$146</definedName>
    <definedName name="IQRCompaniesH146" hidden="1">[5]Companies!$I$146:$J$146</definedName>
    <definedName name="IQRCompaniesH147" localSheetId="32" hidden="1">[5]Companies!$I$147:$M$147</definedName>
    <definedName name="IQRCompaniesH147" hidden="1">[5]Companies!$I$147:$M$147</definedName>
    <definedName name="IQRCompaniesH148" localSheetId="32" hidden="1">[5]Companies!$I$148:$J$148</definedName>
    <definedName name="IQRCompaniesH148" hidden="1">[5]Companies!$I$148:$J$148</definedName>
    <definedName name="IQRCompaniesH149" localSheetId="32" hidden="1">[5]Companies!$I$149</definedName>
    <definedName name="IQRCompaniesH149" hidden="1">[5]Companies!$I$149</definedName>
    <definedName name="IQRCompaniesH15" hidden="1">[4]Companies!$I$15:$M$15</definedName>
    <definedName name="IQRCompaniesH150" localSheetId="32" hidden="1">[5]Companies!$I$150:$K$150</definedName>
    <definedName name="IQRCompaniesH150" hidden="1">[5]Companies!$I$150:$K$150</definedName>
    <definedName name="IQRCompaniesH151" localSheetId="32" hidden="1">[5]Companies!$I$151</definedName>
    <definedName name="IQRCompaniesH151" hidden="1">[5]Companies!$I$151</definedName>
    <definedName name="IQRCompaniesH152" localSheetId="32" hidden="1">[5]Companies!$I$152:$L$152</definedName>
    <definedName name="IQRCompaniesH152" hidden="1">[5]Companies!$I$152:$L$152</definedName>
    <definedName name="IQRCompaniesH153" localSheetId="32" hidden="1">[5]Companies!$I$153</definedName>
    <definedName name="IQRCompaniesH153" hidden="1">[5]Companies!$I$153</definedName>
    <definedName name="IQRCompaniesH154" localSheetId="32" hidden="1">[5]Companies!$I$154:$M$154</definedName>
    <definedName name="IQRCompaniesH154" hidden="1">[5]Companies!$I$154:$M$154</definedName>
    <definedName name="IQRCompaniesH155" localSheetId="32" hidden="1">[5]Companies!$I$155:$M$155</definedName>
    <definedName name="IQRCompaniesH155" hidden="1">[5]Companies!$I$155:$M$155</definedName>
    <definedName name="IQRCompaniesH156" localSheetId="32" hidden="1">[5]Companies!$I$156</definedName>
    <definedName name="IQRCompaniesH156" hidden="1">[5]Companies!$I$156</definedName>
    <definedName name="IQRCompaniesH157" localSheetId="32" hidden="1">[5]Companies!$I$157:$M$157</definedName>
    <definedName name="IQRCompaniesH157" hidden="1">[5]Companies!$I$157:$M$157</definedName>
    <definedName name="IQRCompaniesH158" localSheetId="32" hidden="1">[5]Companies!$I$158:$M$158</definedName>
    <definedName name="IQRCompaniesH158" hidden="1">[5]Companies!$I$158:$M$158</definedName>
    <definedName name="IQRCompaniesH159" localSheetId="32" hidden="1">[5]Companies!$I$159</definedName>
    <definedName name="IQRCompaniesH159" hidden="1">[5]Companies!$I$159</definedName>
    <definedName name="IQRCompaniesH16" hidden="1">[4]Companies!$I$16:$M$16</definedName>
    <definedName name="IQRCompaniesH160" localSheetId="32" hidden="1">[5]Companies!$I$160:$K$160</definedName>
    <definedName name="IQRCompaniesH160" hidden="1">[5]Companies!$I$160:$K$160</definedName>
    <definedName name="IQRCompaniesH161" localSheetId="32" hidden="1">[5]Companies!$I$161:$J$161</definedName>
    <definedName name="IQRCompaniesH161" hidden="1">[5]Companies!$I$161:$J$161</definedName>
    <definedName name="IQRCompaniesH162" localSheetId="32" hidden="1">[5]Companies!$I$162:$J$162</definedName>
    <definedName name="IQRCompaniesH162" hidden="1">[5]Companies!$I$162:$J$162</definedName>
    <definedName name="IQRCompaniesH163" localSheetId="32" hidden="1">[5]Companies!$I$163</definedName>
    <definedName name="IQRCompaniesH163" hidden="1">[5]Companies!$I$163</definedName>
    <definedName name="IQRCompaniesH164" localSheetId="32" hidden="1">[5]Companies!$I$164:$J$164</definedName>
    <definedName name="IQRCompaniesH164" hidden="1">[5]Companies!$I$164:$J$164</definedName>
    <definedName name="IQRCompaniesH165" localSheetId="32" hidden="1">[5]Companies!$I$165:$M$165</definedName>
    <definedName name="IQRCompaniesH165" hidden="1">[5]Companies!$I$165:$M$165</definedName>
    <definedName name="IQRCompaniesH166" localSheetId="32" hidden="1">[5]Companies!$I$166</definedName>
    <definedName name="IQRCompaniesH166" hidden="1">[5]Companies!$I$166</definedName>
    <definedName name="IQRCompaniesH167" localSheetId="32" hidden="1">[5]Companies!$I$167:$J$167</definedName>
    <definedName name="IQRCompaniesH167" hidden="1">[5]Companies!$I$167:$J$167</definedName>
    <definedName name="IQRCompaniesH168" localSheetId="32" hidden="1">[5]Companies!$I$168:$K$168</definedName>
    <definedName name="IQRCompaniesH168" hidden="1">[5]Companies!$I$168:$K$168</definedName>
    <definedName name="IQRCompaniesH169" localSheetId="32" hidden="1">[5]Companies!$I$169:$M$169</definedName>
    <definedName name="IQRCompaniesH169" hidden="1">[5]Companies!$I$169:$M$169</definedName>
    <definedName name="IQRCompaniesH17" hidden="1">[4]Companies!$I$17:$M$17</definedName>
    <definedName name="IQRCompaniesH170" localSheetId="32" hidden="1">[5]Companies!$I$170</definedName>
    <definedName name="IQRCompaniesH170" hidden="1">[5]Companies!$I$170</definedName>
    <definedName name="IQRCompaniesH171" localSheetId="32" hidden="1">[5]Companies!$I$171</definedName>
    <definedName name="IQRCompaniesH171" hidden="1">[5]Companies!$I$171</definedName>
    <definedName name="IQRCompaniesH172" localSheetId="32" hidden="1">[5]Companies!$I$172:$J$172</definedName>
    <definedName name="IQRCompaniesH172" hidden="1">[5]Companies!$I$172:$J$172</definedName>
    <definedName name="IQRCompaniesH173" localSheetId="32" hidden="1">[5]Companies!$I$173</definedName>
    <definedName name="IQRCompaniesH173" hidden="1">[5]Companies!$I$173</definedName>
    <definedName name="IQRCompaniesH174" localSheetId="32" hidden="1">[5]Companies!$I$174</definedName>
    <definedName name="IQRCompaniesH174" hidden="1">[5]Companies!$I$174</definedName>
    <definedName name="IQRCompaniesH175" localSheetId="32" hidden="1">[5]Companies!$I$175:$M$175</definedName>
    <definedName name="IQRCompaniesH175" hidden="1">[5]Companies!$I$175:$M$175</definedName>
    <definedName name="IQRCompaniesH176" localSheetId="32" hidden="1">[5]Companies!$I$176</definedName>
    <definedName name="IQRCompaniesH176" hidden="1">[5]Companies!$I$176</definedName>
    <definedName name="IQRCompaniesH177" localSheetId="32" hidden="1">[5]Companies!$I$177</definedName>
    <definedName name="IQRCompaniesH177" hidden="1">[5]Companies!$I$177</definedName>
    <definedName name="IQRCompaniesH178" localSheetId="32" hidden="1">[5]Companies!$I$178:$M$178</definedName>
    <definedName name="IQRCompaniesH178" hidden="1">[5]Companies!$I$178:$M$178</definedName>
    <definedName name="IQRCompaniesH179" localSheetId="32" hidden="1">[5]Companies!$I$179:$J$179</definedName>
    <definedName name="IQRCompaniesH179" hidden="1">[5]Companies!$I$179:$J$179</definedName>
    <definedName name="IQRCompaniesH18" hidden="1">[4]Companies!$I$18:$M$18</definedName>
    <definedName name="IQRCompaniesH180" localSheetId="32" hidden="1">[5]Companies!$I$180</definedName>
    <definedName name="IQRCompaniesH180" hidden="1">[5]Companies!$I$180</definedName>
    <definedName name="IQRCompaniesH181" localSheetId="32" hidden="1">[5]Companies!$I$181:$M$181</definedName>
    <definedName name="IQRCompaniesH181" hidden="1">[5]Companies!$I$181:$M$181</definedName>
    <definedName name="IQRCompaniesH182" localSheetId="32" hidden="1">[5]Companies!$I$182</definedName>
    <definedName name="IQRCompaniesH182" hidden="1">[5]Companies!$I$182</definedName>
    <definedName name="IQRCompaniesH183" localSheetId="32" hidden="1">[5]Companies!$I$183:$J$183</definedName>
    <definedName name="IQRCompaniesH183" hidden="1">[5]Companies!$I$183:$J$183</definedName>
    <definedName name="IQRCompaniesH184" localSheetId="32" hidden="1">[5]Companies!$I$184</definedName>
    <definedName name="IQRCompaniesH184" hidden="1">[5]Companies!$I$184</definedName>
    <definedName name="IQRCompaniesH185" localSheetId="32" hidden="1">[5]Companies!$I$185:$J$185</definedName>
    <definedName name="IQRCompaniesH185" hidden="1">[5]Companies!$I$185:$J$185</definedName>
    <definedName name="IQRCompaniesH186" localSheetId="32" hidden="1">[5]Companies!$I$186</definedName>
    <definedName name="IQRCompaniesH186" hidden="1">[5]Companies!$I$186</definedName>
    <definedName name="IQRCompaniesH187" localSheetId="32" hidden="1">[5]Companies!$I$187:$M$187</definedName>
    <definedName name="IQRCompaniesH187" hidden="1">[5]Companies!$I$187:$M$187</definedName>
    <definedName name="IQRCompaniesH188" localSheetId="32" hidden="1">[5]Companies!$I$188:$M$188</definedName>
    <definedName name="IQRCompaniesH188" hidden="1">[5]Companies!$I$188:$M$188</definedName>
    <definedName name="IQRCompaniesH189" localSheetId="32" hidden="1">[5]Companies!$I$189:$M$189</definedName>
    <definedName name="IQRCompaniesH189" hidden="1">[5]Companies!$I$189:$M$189</definedName>
    <definedName name="IQRCompaniesH19" hidden="1">[4]Companies!$I$19:$M$19</definedName>
    <definedName name="IQRCompaniesH190" localSheetId="32" hidden="1">[5]Companies!$I$190:$M$190</definedName>
    <definedName name="IQRCompaniesH190" hidden="1">[5]Companies!$I$190:$M$190</definedName>
    <definedName name="IQRCompaniesH191" localSheetId="32" hidden="1">[5]Companies!$I$191:$M$191</definedName>
    <definedName name="IQRCompaniesH191" hidden="1">[5]Companies!$I$191:$M$191</definedName>
    <definedName name="IQRCompaniesH192" localSheetId="32" hidden="1">[5]Companies!$I$192</definedName>
    <definedName name="IQRCompaniesH192" hidden="1">[5]Companies!$I$192</definedName>
    <definedName name="IQRCompaniesH193" localSheetId="32" hidden="1">[5]Companies!$I$193</definedName>
    <definedName name="IQRCompaniesH193" hidden="1">[5]Companies!$I$193</definedName>
    <definedName name="IQRCompaniesH194" localSheetId="32" hidden="1">[5]Companies!$I$194:$J$194</definedName>
    <definedName name="IQRCompaniesH194" hidden="1">[5]Companies!$I$194:$J$194</definedName>
    <definedName name="IQRCompaniesH195" localSheetId="32" hidden="1">[5]Companies!$I$195</definedName>
    <definedName name="IQRCompaniesH195" hidden="1">[5]Companies!$I$195</definedName>
    <definedName name="IQRCompaniesH196" localSheetId="32" hidden="1">[5]Companies!$I$196:$K$196</definedName>
    <definedName name="IQRCompaniesH196" hidden="1">[5]Companies!$I$196:$K$196</definedName>
    <definedName name="IQRCompaniesH197" localSheetId="32" hidden="1">[5]Companies!$I$197:$M$197</definedName>
    <definedName name="IQRCompaniesH197" hidden="1">[5]Companies!$I$197:$M$197</definedName>
    <definedName name="IQRCompaniesH198" localSheetId="32" hidden="1">[5]Companies!$I$198:$J$198</definedName>
    <definedName name="IQRCompaniesH198" hidden="1">[5]Companies!$I$198:$J$198</definedName>
    <definedName name="IQRCompaniesH199" localSheetId="32" hidden="1">[5]Companies!$I$199:$L$199</definedName>
    <definedName name="IQRCompaniesH199" hidden="1">[5]Companies!$I$199:$L$199</definedName>
    <definedName name="IQRCompaniesH20" hidden="1">[4]Companies!$I$20:$M$20</definedName>
    <definedName name="IQRCompaniesH200" localSheetId="32" hidden="1">[5]Companies!$I$200</definedName>
    <definedName name="IQRCompaniesH200" hidden="1">[5]Companies!$I$200</definedName>
    <definedName name="IQRCompaniesH201" localSheetId="32" hidden="1">[5]Companies!$I$201:$M$201</definedName>
    <definedName name="IQRCompaniesH201" hidden="1">[5]Companies!$I$201:$M$201</definedName>
    <definedName name="IQRCompaniesH2015" hidden="1">[6]Companies!$I$2015:$M$2015</definedName>
    <definedName name="IQRCompaniesH2017" localSheetId="32" hidden="1">[5]Companies!$I$2017:$J$2017</definedName>
    <definedName name="IQRCompaniesH2017" hidden="1">[5]Companies!$I$2017:$J$2017</definedName>
    <definedName name="IQRCompaniesH202" localSheetId="32" hidden="1">[5]Companies!$I$202:$J$202</definedName>
    <definedName name="IQRCompaniesH202" hidden="1">[5]Companies!$I$202:$J$202</definedName>
    <definedName name="IQRCompaniesH2025" localSheetId="32" hidden="1">[5]Companies!$I$2025</definedName>
    <definedName name="IQRCompaniesH2025" hidden="1">[5]Companies!$I$2025</definedName>
    <definedName name="IQRCompaniesH203" localSheetId="32" hidden="1">[5]Companies!$I$203:$J$203</definedName>
    <definedName name="IQRCompaniesH203" hidden="1">[5]Companies!$I$203:$J$203</definedName>
    <definedName name="IQRCompaniesH204" localSheetId="32" hidden="1">[5]Companies!$I$204</definedName>
    <definedName name="IQRCompaniesH204" hidden="1">[5]Companies!$I$204</definedName>
    <definedName name="IQRCompaniesH205" localSheetId="32" hidden="1">[5]Companies!$I$205:$J$205</definedName>
    <definedName name="IQRCompaniesH205" hidden="1">[5]Companies!$I$205:$J$205</definedName>
    <definedName name="IQRCompaniesH206" localSheetId="32" hidden="1">[5]Companies!$I$206:$K$206</definedName>
    <definedName name="IQRCompaniesH206" hidden="1">[5]Companies!$I$206:$K$206</definedName>
    <definedName name="IQRCompaniesH207" localSheetId="32" hidden="1">[5]Companies!$I$207:$M$207</definedName>
    <definedName name="IQRCompaniesH207" hidden="1">[5]Companies!$I$207:$M$207</definedName>
    <definedName name="IQRCompaniesH208" localSheetId="32" hidden="1">[5]Companies!$I$208:$M$208</definedName>
    <definedName name="IQRCompaniesH208" hidden="1">[5]Companies!$I$208:$M$208</definedName>
    <definedName name="IQRCompaniesH209" localSheetId="32" hidden="1">[5]Companies!$I$209:$K$209</definedName>
    <definedName name="IQRCompaniesH209" hidden="1">[5]Companies!$I$209:$K$209</definedName>
    <definedName name="IQRCompaniesH21" hidden="1">[4]Companies!$I$21:$M$21</definedName>
    <definedName name="IQRCompaniesH210" localSheetId="32" hidden="1">[5]Companies!$I$210:$K$210</definedName>
    <definedName name="IQRCompaniesH210" hidden="1">[5]Companies!$I$210:$K$210</definedName>
    <definedName name="IQRCompaniesH211" localSheetId="32" hidden="1">[5]Companies!$I$211:$M$211</definedName>
    <definedName name="IQRCompaniesH211" hidden="1">[5]Companies!$I$211:$M$211</definedName>
    <definedName name="IQRCompaniesH212" localSheetId="32" hidden="1">[5]Companies!$I$212:$M$212</definedName>
    <definedName name="IQRCompaniesH212" hidden="1">[5]Companies!$I$212:$M$212</definedName>
    <definedName name="IQRCompaniesH213" localSheetId="32" hidden="1">[5]Companies!$I$213:$M$213</definedName>
    <definedName name="IQRCompaniesH213" hidden="1">[5]Companies!$I$213:$M$213</definedName>
    <definedName name="IQRCompaniesH214" localSheetId="32" hidden="1">[5]Companies!$I$214:$M$214</definedName>
    <definedName name="IQRCompaniesH214" hidden="1">[5]Companies!$I$214:$M$214</definedName>
    <definedName name="IQRCompaniesH215" localSheetId="32" hidden="1">[5]Companies!$I$215:$K$215</definedName>
    <definedName name="IQRCompaniesH215" hidden="1">[5]Companies!$I$215:$K$215</definedName>
    <definedName name="IQRCompaniesH216" localSheetId="32" hidden="1">[5]Companies!$I$216:$M$216</definedName>
    <definedName name="IQRCompaniesH216" hidden="1">[5]Companies!$I$216:$M$216</definedName>
    <definedName name="IQRCompaniesH217" localSheetId="32" hidden="1">[5]Companies!$I$217:$M$217</definedName>
    <definedName name="IQRCompaniesH217" hidden="1">[5]Companies!$I$217:$M$217</definedName>
    <definedName name="IQRCompaniesH218" localSheetId="32" hidden="1">[5]Companies!$I$218</definedName>
    <definedName name="IQRCompaniesH218" hidden="1">[5]Companies!$I$218</definedName>
    <definedName name="IQRCompaniesH219" localSheetId="32" hidden="1">[5]Companies!$I$219:$M$219</definedName>
    <definedName name="IQRCompaniesH219" hidden="1">[5]Companies!$I$219:$M$219</definedName>
    <definedName name="IQRCompaniesH22" hidden="1">[4]Companies!$I$22:$M$22</definedName>
    <definedName name="IQRCompaniesH220" localSheetId="32" hidden="1">[5]Companies!$I$220</definedName>
    <definedName name="IQRCompaniesH220" hidden="1">[5]Companies!$I$220</definedName>
    <definedName name="IQRCompaniesH221" localSheetId="32" hidden="1">[5]Companies!$I$221:$M$221</definedName>
    <definedName name="IQRCompaniesH221" hidden="1">[5]Companies!$I$221:$M$221</definedName>
    <definedName name="IQRCompaniesH222" localSheetId="32" hidden="1">[5]Companies!$I$222</definedName>
    <definedName name="IQRCompaniesH222" hidden="1">[5]Companies!$I$222</definedName>
    <definedName name="IQRCompaniesH223" localSheetId="32" hidden="1">[5]Companies!$I$223:$M$223</definedName>
    <definedName name="IQRCompaniesH223" hidden="1">[5]Companies!$I$223:$M$223</definedName>
    <definedName name="IQRCompaniesH224" localSheetId="32" hidden="1">[5]Companies!$I$224:$K$224</definedName>
    <definedName name="IQRCompaniesH224" hidden="1">[5]Companies!$I$224:$K$224</definedName>
    <definedName name="IQRCompaniesH225" localSheetId="32" hidden="1">[5]Companies!$I$225:$M$225</definedName>
    <definedName name="IQRCompaniesH225" hidden="1">[5]Companies!$I$225:$M$225</definedName>
    <definedName name="IQRCompaniesH226" localSheetId="32" hidden="1">[5]Companies!$I$226</definedName>
    <definedName name="IQRCompaniesH226" hidden="1">[5]Companies!$I$226</definedName>
    <definedName name="IQRCompaniesH227" localSheetId="32" hidden="1">[5]Companies!$I$227:$J$227</definedName>
    <definedName name="IQRCompaniesH227" hidden="1">[5]Companies!$I$227:$J$227</definedName>
    <definedName name="IQRCompaniesH228" localSheetId="32" hidden="1">[5]Companies!$I$228:$J$228</definedName>
    <definedName name="IQRCompaniesH228" hidden="1">[5]Companies!$I$228:$J$228</definedName>
    <definedName name="IQRCompaniesH229" localSheetId="32" hidden="1">[5]Companies!$I$229</definedName>
    <definedName name="IQRCompaniesH229" hidden="1">[5]Companies!$I$229</definedName>
    <definedName name="IQRCompaniesH23" hidden="1">[4]Companies!$I$23</definedName>
    <definedName name="IQRCompaniesH230" localSheetId="32" hidden="1">[5]Companies!$I$230</definedName>
    <definedName name="IQRCompaniesH230" hidden="1">[5]Companies!$I$230</definedName>
    <definedName name="IQRCompaniesH231" localSheetId="32" hidden="1">[5]Companies!$I$231:$L$231</definedName>
    <definedName name="IQRCompaniesH231" hidden="1">[5]Companies!$I$231:$L$231</definedName>
    <definedName name="IQRCompaniesH232" localSheetId="32" hidden="1">[5]Companies!$I$232:$K$232</definedName>
    <definedName name="IQRCompaniesH232" hidden="1">[5]Companies!$I$232:$K$232</definedName>
    <definedName name="IQRCompaniesH233" localSheetId="32" hidden="1">[5]Companies!$I$233:$K$233</definedName>
    <definedName name="IQRCompaniesH233" hidden="1">[5]Companies!$I$233:$K$233</definedName>
    <definedName name="IQRCompaniesH234" localSheetId="32" hidden="1">[5]Companies!$I$234:$M$234</definedName>
    <definedName name="IQRCompaniesH234" hidden="1">[5]Companies!$I$234:$M$234</definedName>
    <definedName name="IQRCompaniesH235" localSheetId="32" hidden="1">[5]Companies!$I$235:$M$235</definedName>
    <definedName name="IQRCompaniesH235" hidden="1">[5]Companies!$I$235:$M$235</definedName>
    <definedName name="IQRCompaniesH236" localSheetId="32" hidden="1">[5]Companies!$I$236:$K$236</definedName>
    <definedName name="IQRCompaniesH236" hidden="1">[5]Companies!$I$236:$K$236</definedName>
    <definedName name="IQRCompaniesH237" localSheetId="32" hidden="1">[5]Companies!$I$237:$J$237</definedName>
    <definedName name="IQRCompaniesH237" hidden="1">[5]Companies!$I$237:$J$237</definedName>
    <definedName name="IQRCompaniesH238" localSheetId="32" hidden="1">[5]Companies!$I$238</definedName>
    <definedName name="IQRCompaniesH238" hidden="1">[5]Companies!$I$238</definedName>
    <definedName name="IQRCompaniesH239" localSheetId="32" hidden="1">[5]Companies!$I$239:$L$239</definedName>
    <definedName name="IQRCompaniesH239" hidden="1">[5]Companies!$I$239:$L$239</definedName>
    <definedName name="IQRCompaniesH24" hidden="1">[4]Companies!$I$24:$M$24</definedName>
    <definedName name="IQRCompaniesH240" localSheetId="32" hidden="1">[5]Companies!$I$240:$M$240</definedName>
    <definedName name="IQRCompaniesH240" hidden="1">[5]Companies!$I$240:$M$240</definedName>
    <definedName name="IQRCompaniesH241" localSheetId="32" hidden="1">[5]Companies!$I$241:$M$241</definedName>
    <definedName name="IQRCompaniesH241" hidden="1">[5]Companies!$I$241:$M$241</definedName>
    <definedName name="IQRCompaniesH242" localSheetId="32" hidden="1">[5]Companies!$I$242:$L$242</definedName>
    <definedName name="IQRCompaniesH242" hidden="1">[5]Companies!$I$242:$L$242</definedName>
    <definedName name="IQRCompaniesH243" localSheetId="32" hidden="1">[5]Companies!$I$243:$M$243</definedName>
    <definedName name="IQRCompaniesH243" hidden="1">[5]Companies!$I$243:$M$243</definedName>
    <definedName name="IQRCompaniesH244" localSheetId="32" hidden="1">[5]Companies!$I$244</definedName>
    <definedName name="IQRCompaniesH244" hidden="1">[5]Companies!$I$244</definedName>
    <definedName name="IQRCompaniesH245" localSheetId="32" hidden="1">[5]Companies!$I$245:$J$245</definedName>
    <definedName name="IQRCompaniesH245" hidden="1">[5]Companies!$I$245:$J$245</definedName>
    <definedName name="IQRCompaniesH246" localSheetId="32" hidden="1">[5]Companies!$I$246:$K$246</definedName>
    <definedName name="IQRCompaniesH246" hidden="1">[5]Companies!$I$246:$K$246</definedName>
    <definedName name="IQRCompaniesH247" localSheetId="32" hidden="1">[5]Companies!$I$247:$J$247</definedName>
    <definedName name="IQRCompaniesH247" hidden="1">[5]Companies!$I$247:$J$247</definedName>
    <definedName name="IQRCompaniesH248" localSheetId="32" hidden="1">[5]Companies!$I$248:$M$248</definedName>
    <definedName name="IQRCompaniesH248" hidden="1">[5]Companies!$I$248:$M$248</definedName>
    <definedName name="IQRCompaniesH249" localSheetId="32" hidden="1">[5]Companies!$I$249</definedName>
    <definedName name="IQRCompaniesH249" hidden="1">[5]Companies!$I$249</definedName>
    <definedName name="IQRCompaniesH25" hidden="1">[4]Companies!$I$25</definedName>
    <definedName name="IQRCompaniesH250" localSheetId="32" hidden="1">[5]Companies!$I$250:$M$250</definedName>
    <definedName name="IQRCompaniesH250" hidden="1">[5]Companies!$I$250:$M$250</definedName>
    <definedName name="IQRCompaniesH251" localSheetId="32" hidden="1">[5]Companies!$I$251:$J$251</definedName>
    <definedName name="IQRCompaniesH251" hidden="1">[5]Companies!$I$251:$J$251</definedName>
    <definedName name="IQRCompaniesH252" localSheetId="32" hidden="1">[5]Companies!$I$252:$M$252</definedName>
    <definedName name="IQRCompaniesH252" hidden="1">[5]Companies!$I$252:$M$252</definedName>
    <definedName name="IQRCompaniesH253" localSheetId="32" hidden="1">[5]Companies!$I$253</definedName>
    <definedName name="IQRCompaniesH253" hidden="1">[5]Companies!$I$253</definedName>
    <definedName name="IQRCompaniesH254" localSheetId="32" hidden="1">[5]Companies!$I$254:$J$254</definedName>
    <definedName name="IQRCompaniesH254" hidden="1">[5]Companies!$I$254:$J$254</definedName>
    <definedName name="IQRCompaniesH255" localSheetId="32" hidden="1">[5]Companies!$I$255</definedName>
    <definedName name="IQRCompaniesH255" hidden="1">[5]Companies!$I$255</definedName>
    <definedName name="IQRCompaniesH256" localSheetId="32" hidden="1">[5]Companies!$I$256:$L$256</definedName>
    <definedName name="IQRCompaniesH256" hidden="1">[5]Companies!$I$256:$L$256</definedName>
    <definedName name="IQRCompaniesH257" localSheetId="32" hidden="1">[5]Companies!$I$257:$K$257</definedName>
    <definedName name="IQRCompaniesH257" hidden="1">[5]Companies!$I$257:$K$257</definedName>
    <definedName name="IQRCompaniesH258" localSheetId="32" hidden="1">[5]Companies!$I$258:$K$258</definedName>
    <definedName name="IQRCompaniesH258" hidden="1">[5]Companies!$I$258:$K$258</definedName>
    <definedName name="IQRCompaniesH259" localSheetId="32" hidden="1">[5]Companies!$I$259</definedName>
    <definedName name="IQRCompaniesH259" hidden="1">[5]Companies!$I$259</definedName>
    <definedName name="IQRCompaniesH26" hidden="1">[4]Companies!$I$26:$M$26</definedName>
    <definedName name="IQRCompaniesH260" localSheetId="32" hidden="1">[5]Companies!$I$260:$J$260</definedName>
    <definedName name="IQRCompaniesH260" hidden="1">[5]Companies!$I$260:$J$260</definedName>
    <definedName name="IQRCompaniesH261" localSheetId="32" hidden="1">[5]Companies!$I$261</definedName>
    <definedName name="IQRCompaniesH261" hidden="1">[5]Companies!$I$261</definedName>
    <definedName name="IQRCompaniesH262" localSheetId="32" hidden="1">[5]Companies!$I$262</definedName>
    <definedName name="IQRCompaniesH262" hidden="1">[5]Companies!$I$262</definedName>
    <definedName name="IQRCompaniesH263" localSheetId="32" hidden="1">[5]Companies!$I$263</definedName>
    <definedName name="IQRCompaniesH263" hidden="1">[5]Companies!$I$263</definedName>
    <definedName name="IQRCompaniesH264" localSheetId="32" hidden="1">[5]Companies!$I$264</definedName>
    <definedName name="IQRCompaniesH264" hidden="1">[5]Companies!$I$264</definedName>
    <definedName name="IQRCompaniesH265" localSheetId="32" hidden="1">[5]Companies!$I$265:$J$265</definedName>
    <definedName name="IQRCompaniesH265" hidden="1">[5]Companies!$I$265:$J$265</definedName>
    <definedName name="IQRCompaniesH266" localSheetId="32" hidden="1">[5]Companies!$I$266:$M$266</definedName>
    <definedName name="IQRCompaniesH266" hidden="1">[5]Companies!$I$266:$M$266</definedName>
    <definedName name="IQRCompaniesH267" localSheetId="32" hidden="1">[5]Companies!$I$267:$M$267</definedName>
    <definedName name="IQRCompaniesH267" hidden="1">[5]Companies!$I$267:$M$267</definedName>
    <definedName name="IQRCompaniesH268" localSheetId="32" hidden="1">[5]Companies!$I$268:$L$268</definedName>
    <definedName name="IQRCompaniesH268" hidden="1">[5]Companies!$I$268:$L$268</definedName>
    <definedName name="IQRCompaniesH269" localSheetId="32" hidden="1">[5]Companies!$I$269</definedName>
    <definedName name="IQRCompaniesH269" hidden="1">[5]Companies!$I$269</definedName>
    <definedName name="IQRCompaniesH27" hidden="1">[4]Companies!$I$27:$M$27</definedName>
    <definedName name="IQRCompaniesH270" localSheetId="32" hidden="1">[5]Companies!$I$270:$K$270</definedName>
    <definedName name="IQRCompaniesH270" hidden="1">[5]Companies!$I$270:$K$270</definedName>
    <definedName name="IQRCompaniesH271" localSheetId="32" hidden="1">[5]Companies!$I$271:$M$271</definedName>
    <definedName name="IQRCompaniesH271" hidden="1">[5]Companies!$I$271:$M$271</definedName>
    <definedName name="IQRCompaniesH272" localSheetId="32" hidden="1">[5]Companies!$I$272:$K$272</definedName>
    <definedName name="IQRCompaniesH272" hidden="1">[5]Companies!$I$272:$K$272</definedName>
    <definedName name="IQRCompaniesH273" localSheetId="32" hidden="1">[5]Companies!$I$273:$M$273</definedName>
    <definedName name="IQRCompaniesH273" hidden="1">[5]Companies!$I$273:$M$273</definedName>
    <definedName name="IQRCompaniesH274" localSheetId="32" hidden="1">[5]Companies!$I$274:$J$274</definedName>
    <definedName name="IQRCompaniesH274" hidden="1">[5]Companies!$I$274:$J$274</definedName>
    <definedName name="IQRCompaniesH275" localSheetId="32" hidden="1">[5]Companies!$I$275:$M$275</definedName>
    <definedName name="IQRCompaniesH275" hidden="1">[5]Companies!$I$275:$M$275</definedName>
    <definedName name="IQRCompaniesH276" localSheetId="32" hidden="1">[5]Companies!$I$276:$M$276</definedName>
    <definedName name="IQRCompaniesH276" hidden="1">[5]Companies!$I$276:$M$276</definedName>
    <definedName name="IQRCompaniesH277" localSheetId="32" hidden="1">[5]Companies!$I$277:$M$277</definedName>
    <definedName name="IQRCompaniesH277" hidden="1">[5]Companies!$I$277:$M$277</definedName>
    <definedName name="IQRCompaniesH278" localSheetId="32" hidden="1">[5]Companies!$I$278:$M$278</definedName>
    <definedName name="IQRCompaniesH278" hidden="1">[5]Companies!$I$278:$M$278</definedName>
    <definedName name="IQRCompaniesH279" localSheetId="32" hidden="1">[5]Companies!$I$279:$M$279</definedName>
    <definedName name="IQRCompaniesH279" hidden="1">[5]Companies!$I$279:$M$279</definedName>
    <definedName name="IQRCompaniesH28" hidden="1">[4]Companies!$I$28:$M$28</definedName>
    <definedName name="IQRCompaniesH280" localSheetId="32" hidden="1">[5]Companies!$I$280</definedName>
    <definedName name="IQRCompaniesH280" hidden="1">[5]Companies!$I$280</definedName>
    <definedName name="IQRCompaniesH281" localSheetId="32" hidden="1">[5]Companies!$I$281</definedName>
    <definedName name="IQRCompaniesH281" hidden="1">[5]Companies!$I$281</definedName>
    <definedName name="IQRCompaniesH282" localSheetId="32" hidden="1">[5]Companies!$I$282:$J$282</definedName>
    <definedName name="IQRCompaniesH282" hidden="1">[5]Companies!$I$282:$J$282</definedName>
    <definedName name="IQRCompaniesH283" localSheetId="32" hidden="1">[5]Companies!$I$283</definedName>
    <definedName name="IQRCompaniesH283" hidden="1">[5]Companies!$I$283</definedName>
    <definedName name="IQRCompaniesH284" localSheetId="32" hidden="1">[5]Companies!$I$284</definedName>
    <definedName name="IQRCompaniesH284" hidden="1">[5]Companies!$I$284</definedName>
    <definedName name="IQRCompaniesH285" localSheetId="32" hidden="1">[5]Companies!$I$285</definedName>
    <definedName name="IQRCompaniesH285" hidden="1">[5]Companies!$I$285</definedName>
    <definedName name="IQRCompaniesH286" localSheetId="32" hidden="1">[5]Companies!$I$286</definedName>
    <definedName name="IQRCompaniesH286" hidden="1">[5]Companies!$I$286</definedName>
    <definedName name="IQRCompaniesH287" localSheetId="32" hidden="1">[5]Companies!$I$287</definedName>
    <definedName name="IQRCompaniesH287" hidden="1">[5]Companies!$I$287</definedName>
    <definedName name="IQRCompaniesH288" localSheetId="32" hidden="1">[5]Companies!$I$288</definedName>
    <definedName name="IQRCompaniesH288" hidden="1">[5]Companies!$I$288</definedName>
    <definedName name="IQRCompaniesH289" localSheetId="32" hidden="1">[5]Companies!$I$289:$J$289</definedName>
    <definedName name="IQRCompaniesH289" hidden="1">[5]Companies!$I$289:$J$289</definedName>
    <definedName name="IQRCompaniesH29" localSheetId="32" hidden="1">[5]Companies!$I$29:$L$29</definedName>
    <definedName name="IQRCompaniesH29" hidden="1">[5]Companies!$I$29:$L$29</definedName>
    <definedName name="IQRCompaniesH290" localSheetId="32" hidden="1">[5]Companies!$I$290</definedName>
    <definedName name="IQRCompaniesH290" hidden="1">[5]Companies!$I$290</definedName>
    <definedName name="IQRCompaniesH291" localSheetId="32" hidden="1">[5]Companies!$I$291</definedName>
    <definedName name="IQRCompaniesH291" hidden="1">[5]Companies!$I$291</definedName>
    <definedName name="IQRCompaniesH292" localSheetId="32" hidden="1">[5]Companies!$I$292:$J$292</definedName>
    <definedName name="IQRCompaniesH292" hidden="1">[5]Companies!$I$292:$J$292</definedName>
    <definedName name="IQRCompaniesH293" localSheetId="32" hidden="1">[5]Companies!$I$293:$M$293</definedName>
    <definedName name="IQRCompaniesH293" hidden="1">[5]Companies!$I$293:$M$293</definedName>
    <definedName name="IQRCompaniesH294" localSheetId="32" hidden="1">[5]Companies!$I$294:$L$294</definedName>
    <definedName name="IQRCompaniesH294" hidden="1">[5]Companies!$I$294:$L$294</definedName>
    <definedName name="IQRCompaniesH295" localSheetId="32" hidden="1">[5]Companies!$I$295</definedName>
    <definedName name="IQRCompaniesH295" hidden="1">[5]Companies!$I$295</definedName>
    <definedName name="IQRCompaniesH296" localSheetId="32" hidden="1">[5]Companies!$I$296</definedName>
    <definedName name="IQRCompaniesH296" hidden="1">[5]Companies!$I$296</definedName>
    <definedName name="IQRCompaniesH297" localSheetId="32" hidden="1">[5]Companies!$I$297</definedName>
    <definedName name="IQRCompaniesH297" hidden="1">[5]Companies!$I$297</definedName>
    <definedName name="IQRCompaniesH298" localSheetId="32" hidden="1">[5]Companies!$I$298</definedName>
    <definedName name="IQRCompaniesH298" hidden="1">[5]Companies!$I$298</definedName>
    <definedName name="IQRCompaniesH299" localSheetId="32" hidden="1">[5]Companies!$I$299</definedName>
    <definedName name="IQRCompaniesH299" hidden="1">[5]Companies!$I$299</definedName>
    <definedName name="IQRCompaniesH30" hidden="1">[4]Companies!$I$30:$M$30</definedName>
    <definedName name="IQRCompaniesH300" localSheetId="32" hidden="1">[5]Companies!$I$300</definedName>
    <definedName name="IQRCompaniesH300" hidden="1">[5]Companies!$I$300</definedName>
    <definedName name="IQRCompaniesH301" localSheetId="32" hidden="1">[5]Companies!$I$301:$J$301</definedName>
    <definedName name="IQRCompaniesH301" hidden="1">[5]Companies!$I$301:$J$301</definedName>
    <definedName name="IQRCompaniesH302" localSheetId="32" hidden="1">[5]Companies!$I$302:$L$302</definedName>
    <definedName name="IQRCompaniesH302" hidden="1">[5]Companies!$I$302:$L$302</definedName>
    <definedName name="IQRCompaniesH303" localSheetId="32" hidden="1">[5]Companies!$I$303</definedName>
    <definedName name="IQRCompaniesH303" hidden="1">[5]Companies!$I$303</definedName>
    <definedName name="IQRCompaniesH304" localSheetId="32" hidden="1">[5]Companies!$I$304</definedName>
    <definedName name="IQRCompaniesH304" hidden="1">[5]Companies!$I$304</definedName>
    <definedName name="IQRCompaniesH305" localSheetId="32" hidden="1">[5]Companies!$I$305</definedName>
    <definedName name="IQRCompaniesH305" hidden="1">[5]Companies!$I$305</definedName>
    <definedName name="IQRCompaniesH306" localSheetId="32" hidden="1">[5]Companies!$I$306</definedName>
    <definedName name="IQRCompaniesH306" hidden="1">[5]Companies!$I$306</definedName>
    <definedName name="IQRCompaniesH307" localSheetId="32" hidden="1">[5]Companies!$I$307</definedName>
    <definedName name="IQRCompaniesH307" hidden="1">[5]Companies!$I$307</definedName>
    <definedName name="IQRCompaniesH308" localSheetId="32" hidden="1">[5]Companies!$I$308</definedName>
    <definedName name="IQRCompaniesH308" hidden="1">[5]Companies!$I$308</definedName>
    <definedName name="IQRCompaniesH309" localSheetId="32" hidden="1">[5]Companies!$I$309:$M$309</definedName>
    <definedName name="IQRCompaniesH309" hidden="1">[5]Companies!$I$309:$M$309</definedName>
    <definedName name="IQRCompaniesH31" localSheetId="32" hidden="1">[7]Companies!$I$31</definedName>
    <definedName name="IQRCompaniesH31" hidden="1">[7]Companies!$I$31</definedName>
    <definedName name="IQRCompaniesH310" localSheetId="32" hidden="1">[5]Companies!$I$310:$M$310</definedName>
    <definedName name="IQRCompaniesH310" hidden="1">[5]Companies!$I$310:$M$310</definedName>
    <definedName name="IQRCompaniesH311" localSheetId="32" hidden="1">[5]Companies!$I$311:$M$311</definedName>
    <definedName name="IQRCompaniesH311" hidden="1">[5]Companies!$I$311:$M$311</definedName>
    <definedName name="IQRCompaniesH312" localSheetId="32" hidden="1">[5]Companies!$I$312:$M$312</definedName>
    <definedName name="IQRCompaniesH312" hidden="1">[5]Companies!$I$312:$M$312</definedName>
    <definedName name="IQRCompaniesH313" localSheetId="32" hidden="1">[5]Companies!$I$313:$M$313</definedName>
    <definedName name="IQRCompaniesH313" hidden="1">[5]Companies!$I$313:$M$313</definedName>
    <definedName name="IQRCompaniesH314" localSheetId="32" hidden="1">[5]Companies!$I$314:$J$314</definedName>
    <definedName name="IQRCompaniesH314" hidden="1">[5]Companies!$I$314:$J$314</definedName>
    <definedName name="IQRCompaniesH315" localSheetId="32" hidden="1">[5]Companies!$I$315:$J$315</definedName>
    <definedName name="IQRCompaniesH315" hidden="1">[5]Companies!$I$315:$J$315</definedName>
    <definedName name="IQRCompaniesH316" localSheetId="32" hidden="1">[5]Companies!$I$316:$M$316</definedName>
    <definedName name="IQRCompaniesH316" hidden="1">[5]Companies!$I$316:$M$316</definedName>
    <definedName name="IQRCompaniesH317" localSheetId="32" hidden="1">[5]Companies!$I$317:$M$317</definedName>
    <definedName name="IQRCompaniesH317" hidden="1">[5]Companies!$I$317:$M$317</definedName>
    <definedName name="IQRCompaniesH318" localSheetId="32" hidden="1">[5]Companies!$I$318:$K$318</definedName>
    <definedName name="IQRCompaniesH318" hidden="1">[5]Companies!$I$318:$K$318</definedName>
    <definedName name="IQRCompaniesH319" localSheetId="32" hidden="1">[5]Companies!$I$319:$M$319</definedName>
    <definedName name="IQRCompaniesH319" hidden="1">[5]Companies!$I$319:$M$319</definedName>
    <definedName name="IQRCompaniesH32" hidden="1">[4]Companies!$I$32:$M$32</definedName>
    <definedName name="IQRCompaniesH320" localSheetId="32" hidden="1">[5]Companies!$I$320:$M$320</definedName>
    <definedName name="IQRCompaniesH320" hidden="1">[5]Companies!$I$320:$M$320</definedName>
    <definedName name="IQRCompaniesH321" localSheetId="32" hidden="1">[5]Companies!$I$321:$M$321</definedName>
    <definedName name="IQRCompaniesH321" hidden="1">[5]Companies!$I$321:$M$321</definedName>
    <definedName name="IQRCompaniesH322" localSheetId="32" hidden="1">[5]Companies!$I$322:$M$322</definedName>
    <definedName name="IQRCompaniesH322" hidden="1">[5]Companies!$I$322:$M$322</definedName>
    <definedName name="IQRCompaniesH323" localSheetId="32" hidden="1">[5]Companies!$I$323</definedName>
    <definedName name="IQRCompaniesH323" hidden="1">[5]Companies!$I$323</definedName>
    <definedName name="IQRCompaniesH324" localSheetId="32" hidden="1">[5]Companies!$I$324</definedName>
    <definedName name="IQRCompaniesH324" hidden="1">[5]Companies!$I$324</definedName>
    <definedName name="IQRCompaniesH325" localSheetId="32" hidden="1">[5]Companies!$I$325:$M$325</definedName>
    <definedName name="IQRCompaniesH325" hidden="1">[5]Companies!$I$325:$M$325</definedName>
    <definedName name="IQRCompaniesH326" localSheetId="32" hidden="1">[5]Companies!$I$326:$M$326</definedName>
    <definedName name="IQRCompaniesH326" hidden="1">[5]Companies!$I$326:$M$326</definedName>
    <definedName name="IQRCompaniesH327" localSheetId="32" hidden="1">[5]Companies!$I$327:$J$327</definedName>
    <definedName name="IQRCompaniesH327" hidden="1">[5]Companies!$I$327:$J$327</definedName>
    <definedName name="IQRCompaniesH328" localSheetId="32" hidden="1">[5]Companies!$I$328:$M$328</definedName>
    <definedName name="IQRCompaniesH328" hidden="1">[5]Companies!$I$328:$M$328</definedName>
    <definedName name="IQRCompaniesH329" localSheetId="32" hidden="1">[5]Companies!$I$329</definedName>
    <definedName name="IQRCompaniesH329" hidden="1">[5]Companies!$I$329</definedName>
    <definedName name="IQRCompaniesH33" hidden="1">[4]Companies!$I$33:$M$33</definedName>
    <definedName name="IQRCompaniesH330" localSheetId="32" hidden="1">[5]Companies!$I$330</definedName>
    <definedName name="IQRCompaniesH330" hidden="1">[5]Companies!$I$330</definedName>
    <definedName name="IQRCompaniesH331" localSheetId="32" hidden="1">[5]Companies!$I$331:$J$331</definedName>
    <definedName name="IQRCompaniesH331" hidden="1">[5]Companies!$I$331:$J$331</definedName>
    <definedName name="IQRCompaniesH332" localSheetId="32" hidden="1">[5]Companies!$I$332:$J$332</definedName>
    <definedName name="IQRCompaniesH332" hidden="1">[5]Companies!$I$332:$J$332</definedName>
    <definedName name="IQRCompaniesH333" localSheetId="32" hidden="1">[5]Companies!$I$333</definedName>
    <definedName name="IQRCompaniesH333" hidden="1">[5]Companies!$I$333</definedName>
    <definedName name="IQRCompaniesH334" localSheetId="32" hidden="1">[5]Companies!$I$334:$J$334</definedName>
    <definedName name="IQRCompaniesH334" hidden="1">[5]Companies!$I$334:$J$334</definedName>
    <definedName name="IQRCompaniesH335" localSheetId="32" hidden="1">[5]Companies!$I$335:$M$335</definedName>
    <definedName name="IQRCompaniesH335" hidden="1">[5]Companies!$I$335:$M$335</definedName>
    <definedName name="IQRCompaniesH336" localSheetId="32" hidden="1">[5]Companies!$I$336:$M$336</definedName>
    <definedName name="IQRCompaniesH336" hidden="1">[5]Companies!$I$336:$M$336</definedName>
    <definedName name="IQRCompaniesH337" localSheetId="32" hidden="1">[5]Companies!$I$337</definedName>
    <definedName name="IQRCompaniesH337" hidden="1">[5]Companies!$I$337</definedName>
    <definedName name="IQRCompaniesH338" localSheetId="32" hidden="1">[5]Companies!$I$338:$M$338</definedName>
    <definedName name="IQRCompaniesH338" hidden="1">[5]Companies!$I$338:$M$338</definedName>
    <definedName name="IQRCompaniesH339" localSheetId="32" hidden="1">[5]Companies!$I$339:$M$339</definedName>
    <definedName name="IQRCompaniesH339" hidden="1">[5]Companies!$I$339:$M$339</definedName>
    <definedName name="IQRCompaniesH34" hidden="1">[4]Companies!$I$34:$M$34</definedName>
    <definedName name="IQRCompaniesH340" localSheetId="32" hidden="1">[5]Companies!$I$340:$M$340</definedName>
    <definedName name="IQRCompaniesH340" hidden="1">[5]Companies!$I$340:$M$340</definedName>
    <definedName name="IQRCompaniesH341" localSheetId="32" hidden="1">[5]Companies!$I$341:$M$341</definedName>
    <definedName name="IQRCompaniesH341" hidden="1">[5]Companies!$I$341:$M$341</definedName>
    <definedName name="IQRCompaniesH342" localSheetId="32" hidden="1">[5]Companies!$I$342:$K$342</definedName>
    <definedName name="IQRCompaniesH342" hidden="1">[5]Companies!$I$342:$K$342</definedName>
    <definedName name="IQRCompaniesH343" localSheetId="32" hidden="1">[5]Companies!$I$343</definedName>
    <definedName name="IQRCompaniesH343" hidden="1">[5]Companies!$I$343</definedName>
    <definedName name="IQRCompaniesH344" localSheetId="32" hidden="1">[5]Companies!$I$344:$J$344</definedName>
    <definedName name="IQRCompaniesH344" hidden="1">[5]Companies!$I$344:$J$344</definedName>
    <definedName name="IQRCompaniesH345" localSheetId="32" hidden="1">[5]Companies!$I$345</definedName>
    <definedName name="IQRCompaniesH345" hidden="1">[5]Companies!$I$345</definedName>
    <definedName name="IQRCompaniesH346" localSheetId="32" hidden="1">[5]Companies!$I$346:$K$346</definedName>
    <definedName name="IQRCompaniesH346" hidden="1">[5]Companies!$I$346:$K$346</definedName>
    <definedName name="IQRCompaniesH347" localSheetId="32" hidden="1">[5]Companies!$I$347</definedName>
    <definedName name="IQRCompaniesH347" hidden="1">[5]Companies!$I$347</definedName>
    <definedName name="IQRCompaniesH348" localSheetId="32" hidden="1">[5]Companies!$I$348:$M$348</definedName>
    <definedName name="IQRCompaniesH348" hidden="1">[5]Companies!$I$348:$M$348</definedName>
    <definedName name="IQRCompaniesH349" localSheetId="32" hidden="1">[5]Companies!$I$349:$M$349</definedName>
    <definedName name="IQRCompaniesH349" hidden="1">[5]Companies!$I$349:$M$349</definedName>
    <definedName name="IQRCompaniesH35" hidden="1">[4]Companies!$I$35:$K$35</definedName>
    <definedName name="IQRCompaniesH350" localSheetId="32" hidden="1">[5]Companies!$I$350</definedName>
    <definedName name="IQRCompaniesH350" hidden="1">[5]Companies!$I$350</definedName>
    <definedName name="IQRCompaniesH351" localSheetId="32" hidden="1">[5]Companies!$I$351</definedName>
    <definedName name="IQRCompaniesH351" hidden="1">[5]Companies!$I$351</definedName>
    <definedName name="IQRCompaniesH352" localSheetId="32" hidden="1">[5]Companies!$I$352</definedName>
    <definedName name="IQRCompaniesH352" hidden="1">[5]Companies!$I$352</definedName>
    <definedName name="IQRCompaniesH353" localSheetId="32" hidden="1">[5]Companies!$I$353:$M$353</definedName>
    <definedName name="IQRCompaniesH353" hidden="1">[5]Companies!$I$353:$M$353</definedName>
    <definedName name="IQRCompaniesH354" localSheetId="32" hidden="1">[5]Companies!$I$354:$M$354</definedName>
    <definedName name="IQRCompaniesH354" hidden="1">[5]Companies!$I$354:$M$354</definedName>
    <definedName name="IQRCompaniesH355" localSheetId="32" hidden="1">[5]Companies!$I$355:$M$355</definedName>
    <definedName name="IQRCompaniesH355" hidden="1">[5]Companies!$I$355:$M$355</definedName>
    <definedName name="IQRCompaniesH356" localSheetId="32" hidden="1">[5]Companies!$I$356</definedName>
    <definedName name="IQRCompaniesH356" hidden="1">[5]Companies!$I$356</definedName>
    <definedName name="IQRCompaniesH357" localSheetId="32" hidden="1">[5]Companies!$I$357:$J$357</definedName>
    <definedName name="IQRCompaniesH357" hidden="1">[5]Companies!$I$357:$J$357</definedName>
    <definedName name="IQRCompaniesH358" localSheetId="32" hidden="1">[5]Companies!$I$358:$M$358</definedName>
    <definedName name="IQRCompaniesH358" hidden="1">[5]Companies!$I$358:$M$358</definedName>
    <definedName name="IQRCompaniesH359" localSheetId="32" hidden="1">[5]Companies!$I$359:$K$359</definedName>
    <definedName name="IQRCompaniesH359" hidden="1">[5]Companies!$I$359:$K$359</definedName>
    <definedName name="IQRCompaniesH36" hidden="1">[4]Companies!$I$36</definedName>
    <definedName name="IQRCompaniesH360" localSheetId="32" hidden="1">[5]Companies!$I$360</definedName>
    <definedName name="IQRCompaniesH360" hidden="1">[5]Companies!$I$360</definedName>
    <definedName name="IQRCompaniesH361" localSheetId="32" hidden="1">[5]Companies!$I$361:$K$361</definedName>
    <definedName name="IQRCompaniesH361" hidden="1">[5]Companies!$I$361:$K$361</definedName>
    <definedName name="IQRCompaniesH362" localSheetId="32" hidden="1">[5]Companies!$I$362:$J$362</definedName>
    <definedName name="IQRCompaniesH362" hidden="1">[5]Companies!$I$362:$J$362</definedName>
    <definedName name="IQRCompaniesH363" localSheetId="32" hidden="1">[5]Companies!$I$363:$M$363</definedName>
    <definedName name="IQRCompaniesH363" hidden="1">[5]Companies!$I$363:$M$363</definedName>
    <definedName name="IQRCompaniesH364" localSheetId="32" hidden="1">[5]Companies!$I$364</definedName>
    <definedName name="IQRCompaniesH364" hidden="1">[5]Companies!$I$364</definedName>
    <definedName name="IQRCompaniesH365" localSheetId="32" hidden="1">[5]Companies!$I$365:$J$365</definedName>
    <definedName name="IQRCompaniesH365" hidden="1">[5]Companies!$I$365:$J$365</definedName>
    <definedName name="IQRCompaniesH366" localSheetId="32" hidden="1">[5]Companies!$I$366:$M$366</definedName>
    <definedName name="IQRCompaniesH366" hidden="1">[5]Companies!$I$366:$M$366</definedName>
    <definedName name="IQRCompaniesH367" localSheetId="32" hidden="1">[5]Companies!$I$367:$M$367</definedName>
    <definedName name="IQRCompaniesH367" hidden="1">[5]Companies!$I$367:$M$367</definedName>
    <definedName name="IQRCompaniesH368" localSheetId="32" hidden="1">[5]Companies!$I$368:$L$368</definedName>
    <definedName name="IQRCompaniesH368" hidden="1">[5]Companies!$I$368:$L$368</definedName>
    <definedName name="IQRCompaniesH369" localSheetId="32" hidden="1">[5]Companies!$I$369:$J$369</definedName>
    <definedName name="IQRCompaniesH369" hidden="1">[5]Companies!$I$369:$J$369</definedName>
    <definedName name="IQRCompaniesH37" hidden="1">[4]Companies!$I$37:$M$37</definedName>
    <definedName name="IQRCompaniesH370" localSheetId="32" hidden="1">[5]Companies!$I$370:$L$370</definedName>
    <definedName name="IQRCompaniesH370" hidden="1">[5]Companies!$I$370:$L$370</definedName>
    <definedName name="IQRCompaniesH371" localSheetId="32" hidden="1">[5]Companies!$I$371:$M$371</definedName>
    <definedName name="IQRCompaniesH371" hidden="1">[5]Companies!$I$371:$M$371</definedName>
    <definedName name="IQRCompaniesH372" localSheetId="32" hidden="1">[5]Companies!$I$372:$J$372</definedName>
    <definedName name="IQRCompaniesH372" hidden="1">[5]Companies!$I$372:$J$372</definedName>
    <definedName name="IQRCompaniesH373" localSheetId="32" hidden="1">[5]Companies!$I$373</definedName>
    <definedName name="IQRCompaniesH373" hidden="1">[5]Companies!$I$373</definedName>
    <definedName name="IQRCompaniesH374" localSheetId="32" hidden="1">[5]Companies!$I$374</definedName>
    <definedName name="IQRCompaniesH374" hidden="1">[5]Companies!$I$374</definedName>
    <definedName name="IQRCompaniesH375" localSheetId="32" hidden="1">[5]Companies!$I$375</definedName>
    <definedName name="IQRCompaniesH375" hidden="1">[5]Companies!$I$375</definedName>
    <definedName name="IQRCompaniesH376" localSheetId="32" hidden="1">[5]Companies!$I$376:$L$376</definedName>
    <definedName name="IQRCompaniesH376" hidden="1">[5]Companies!$I$376:$L$376</definedName>
    <definedName name="IQRCompaniesH377" localSheetId="32" hidden="1">[5]Companies!$I$377:$J$377</definedName>
    <definedName name="IQRCompaniesH377" hidden="1">[5]Companies!$I$377:$J$377</definedName>
    <definedName name="IQRCompaniesH378" localSheetId="32" hidden="1">[5]Companies!$I$378:$J$378</definedName>
    <definedName name="IQRCompaniesH378" hidden="1">[5]Companies!$I$378:$J$378</definedName>
    <definedName name="IQRCompaniesH379" localSheetId="32" hidden="1">[5]Companies!$I$379</definedName>
    <definedName name="IQRCompaniesH379" hidden="1">[5]Companies!$I$379</definedName>
    <definedName name="IQRCompaniesH38" hidden="1">[4]Companies!$I$38:$M$38</definedName>
    <definedName name="IQRCompaniesH380" localSheetId="32" hidden="1">[5]Companies!$I$380:$J$380</definedName>
    <definedName name="IQRCompaniesH380" hidden="1">[5]Companies!$I$380:$J$380</definedName>
    <definedName name="IQRCompaniesH381" localSheetId="32" hidden="1">[5]Companies!$I$381:$M$381</definedName>
    <definedName name="IQRCompaniesH381" hidden="1">[5]Companies!$I$381:$M$381</definedName>
    <definedName name="IQRCompaniesH382" localSheetId="32" hidden="1">[5]Companies!$I$382:$M$382</definedName>
    <definedName name="IQRCompaniesH382" hidden="1">[5]Companies!$I$382:$M$382</definedName>
    <definedName name="IQRCompaniesH383" localSheetId="32" hidden="1">[5]Companies!$I$383:$M$383</definedName>
    <definedName name="IQRCompaniesH383" hidden="1">[5]Companies!$I$383:$M$383</definedName>
    <definedName name="IQRCompaniesH384" localSheetId="32" hidden="1">[5]Companies!$I$384:$J$384</definedName>
    <definedName name="IQRCompaniesH384" hidden="1">[5]Companies!$I$384:$J$384</definedName>
    <definedName name="IQRCompaniesH385" localSheetId="32" hidden="1">[5]Companies!$I$385</definedName>
    <definedName name="IQRCompaniesH385" hidden="1">[5]Companies!$I$385</definedName>
    <definedName name="IQRCompaniesH386" localSheetId="32" hidden="1">[5]Companies!$I$386:$K$386</definedName>
    <definedName name="IQRCompaniesH386" hidden="1">[5]Companies!$I$386:$K$386</definedName>
    <definedName name="IQRCompaniesH387" localSheetId="32" hidden="1">[5]Companies!$I$387</definedName>
    <definedName name="IQRCompaniesH387" hidden="1">[5]Companies!$I$387</definedName>
    <definedName name="IQRCompaniesH388" localSheetId="32" hidden="1">[5]Companies!$I$388:$M$388</definedName>
    <definedName name="IQRCompaniesH388" hidden="1">[5]Companies!$I$388:$M$388</definedName>
    <definedName name="IQRCompaniesH389" localSheetId="32" hidden="1">[5]Companies!$I$389:$M$389</definedName>
    <definedName name="IQRCompaniesH389" hidden="1">[5]Companies!$I$389:$M$389</definedName>
    <definedName name="IQRCompaniesH39" hidden="1">[4]Companies!$I$39:$M$39</definedName>
    <definedName name="IQRCompaniesH390" localSheetId="32" hidden="1">[5]Companies!$I$390</definedName>
    <definedName name="IQRCompaniesH390" hidden="1">[5]Companies!$I$390</definedName>
    <definedName name="IQRCompaniesH391" localSheetId="32" hidden="1">[5]Companies!$I$391:$J$391</definedName>
    <definedName name="IQRCompaniesH391" hidden="1">[5]Companies!$I$391:$J$391</definedName>
    <definedName name="IQRCompaniesH392" localSheetId="32" hidden="1">[5]Companies!$I$392</definedName>
    <definedName name="IQRCompaniesH392" hidden="1">[5]Companies!$I$392</definedName>
    <definedName name="IQRCompaniesH393" localSheetId="32" hidden="1">[5]Companies!$I$393:$M$393</definedName>
    <definedName name="IQRCompaniesH393" hidden="1">[5]Companies!$I$393:$M$393</definedName>
    <definedName name="IQRCompaniesH394" localSheetId="32" hidden="1">[5]Companies!$I$394</definedName>
    <definedName name="IQRCompaniesH394" hidden="1">[5]Companies!$I$394</definedName>
    <definedName name="IQRCompaniesH395" localSheetId="32" hidden="1">[5]Companies!$I$395</definedName>
    <definedName name="IQRCompaniesH395" hidden="1">[5]Companies!$I$395</definedName>
    <definedName name="IQRCompaniesH396" localSheetId="32" hidden="1">[5]Companies!$I$396</definedName>
    <definedName name="IQRCompaniesH396" hidden="1">[5]Companies!$I$396</definedName>
    <definedName name="IQRCompaniesH397" localSheetId="32" hidden="1">[5]Companies!$I$397:$M$397</definedName>
    <definedName name="IQRCompaniesH397" hidden="1">[5]Companies!$I$397:$M$397</definedName>
    <definedName name="IQRCompaniesH398" localSheetId="32" hidden="1">[5]Companies!$I$398:$M$398</definedName>
    <definedName name="IQRCompaniesH398" hidden="1">[5]Companies!$I$398:$M$398</definedName>
    <definedName name="IQRCompaniesH399" localSheetId="32" hidden="1">[5]Companies!$I$399:$M$399</definedName>
    <definedName name="IQRCompaniesH399" hidden="1">[5]Companies!$I$399:$M$399</definedName>
    <definedName name="IQRCompaniesH40" hidden="1">[4]Companies!$I$40:$M$40</definedName>
    <definedName name="IQRCompaniesH400" localSheetId="32" hidden="1">[5]Companies!$I$400</definedName>
    <definedName name="IQRCompaniesH400" hidden="1">[5]Companies!$I$400</definedName>
    <definedName name="IQRCompaniesH401" localSheetId="32" hidden="1">[5]Companies!$I$401:$M$401</definedName>
    <definedName name="IQRCompaniesH401" hidden="1">[5]Companies!$I$401:$M$401</definedName>
    <definedName name="IQRCompaniesH402" localSheetId="32" hidden="1">[5]Companies!$I$402:$M$402</definedName>
    <definedName name="IQRCompaniesH402" hidden="1">[5]Companies!$I$402:$M$402</definedName>
    <definedName name="IQRCompaniesH403" localSheetId="32" hidden="1">[5]Companies!$I$403:$L$403</definedName>
    <definedName name="IQRCompaniesH403" hidden="1">[5]Companies!$I$403:$L$403</definedName>
    <definedName name="IQRCompaniesH404" localSheetId="32" hidden="1">[5]Companies!$I$404</definedName>
    <definedName name="IQRCompaniesH404" hidden="1">[5]Companies!$I$404</definedName>
    <definedName name="IQRCompaniesH405" localSheetId="32" hidden="1">[5]Companies!$I$405:$K$405</definedName>
    <definedName name="IQRCompaniesH405" hidden="1">[5]Companies!$I$405:$K$405</definedName>
    <definedName name="IQRCompaniesH406" localSheetId="32" hidden="1">[5]Companies!$I$406:$M$406</definedName>
    <definedName name="IQRCompaniesH406" hidden="1">[5]Companies!$I$406:$M$406</definedName>
    <definedName name="IQRCompaniesH407" localSheetId="32" hidden="1">[5]Companies!$I$407</definedName>
    <definedName name="IQRCompaniesH407" hidden="1">[5]Companies!$I$407</definedName>
    <definedName name="IQRCompaniesH408" localSheetId="32" hidden="1">[5]Companies!$I$408:$M$408</definedName>
    <definedName name="IQRCompaniesH408" hidden="1">[5]Companies!$I$408:$M$408</definedName>
    <definedName name="IQRCompaniesH409" localSheetId="32" hidden="1">[5]Companies!$I$409:$J$409</definedName>
    <definedName name="IQRCompaniesH409" hidden="1">[5]Companies!$I$409:$J$409</definedName>
    <definedName name="IQRCompaniesH41" localSheetId="32" hidden="1">[5]Companies!$I$41:$J$41</definedName>
    <definedName name="IQRCompaniesH41" hidden="1">[5]Companies!$I$41:$J$41</definedName>
    <definedName name="IQRCompaniesH410" localSheetId="32" hidden="1">[5]Companies!$I$410:$K$410</definedName>
    <definedName name="IQRCompaniesH410" hidden="1">[5]Companies!$I$410:$K$410</definedName>
    <definedName name="IQRCompaniesH411" localSheetId="32" hidden="1">[5]Companies!$I$411:$M$411</definedName>
    <definedName name="IQRCompaniesH411" hidden="1">[5]Companies!$I$411:$M$411</definedName>
    <definedName name="IQRCompaniesH412" localSheetId="32" hidden="1">[5]Companies!$I$412:$J$412</definedName>
    <definedName name="IQRCompaniesH412" hidden="1">[5]Companies!$I$412:$J$412</definedName>
    <definedName name="IQRCompaniesH413" localSheetId="32" hidden="1">[5]Companies!$I$413</definedName>
    <definedName name="IQRCompaniesH413" hidden="1">[5]Companies!$I$413</definedName>
    <definedName name="IQRCompaniesH414" localSheetId="32" hidden="1">[5]Companies!$I$414:$J$414</definedName>
    <definedName name="IQRCompaniesH414" hidden="1">[5]Companies!$I$414:$J$414</definedName>
    <definedName name="IQRCompaniesH415" localSheetId="32" hidden="1">[5]Companies!$I$415:$K$415</definedName>
    <definedName name="IQRCompaniesH415" hidden="1">[5]Companies!$I$415:$K$415</definedName>
    <definedName name="IQRCompaniesH416" localSheetId="32" hidden="1">[5]Companies!$I$416</definedName>
    <definedName name="IQRCompaniesH416" hidden="1">[5]Companies!$I$416</definedName>
    <definedName name="IQRCompaniesH417" localSheetId="32" hidden="1">[5]Companies!$I$417:$M$417</definedName>
    <definedName name="IQRCompaniesH417" hidden="1">[5]Companies!$I$417:$M$417</definedName>
    <definedName name="IQRCompaniesH418" localSheetId="32" hidden="1">[5]Companies!$I$418:$J$418</definedName>
    <definedName name="IQRCompaniesH418" hidden="1">[5]Companies!$I$418:$J$418</definedName>
    <definedName name="IQRCompaniesH419" localSheetId="32" hidden="1">[5]Companies!$I$419:$M$419</definedName>
    <definedName name="IQRCompaniesH419" hidden="1">[5]Companies!$I$419:$M$419</definedName>
    <definedName name="IQRCompaniesH42" localSheetId="32" hidden="1">[5]Companies!$I$42:$M$42</definedName>
    <definedName name="IQRCompaniesH42" hidden="1">[5]Companies!$I$42:$M$42</definedName>
    <definedName name="IQRCompaniesH420" localSheetId="32" hidden="1">[5]Companies!$I$420:$M$420</definedName>
    <definedName name="IQRCompaniesH420" hidden="1">[5]Companies!$I$420:$M$420</definedName>
    <definedName name="IQRCompaniesH421" localSheetId="32" hidden="1">[5]Companies!$I$421</definedName>
    <definedName name="IQRCompaniesH421" hidden="1">[5]Companies!$I$421</definedName>
    <definedName name="IQRCompaniesH422" localSheetId="32" hidden="1">[5]Companies!$I$422:$J$422</definedName>
    <definedName name="IQRCompaniesH422" hidden="1">[5]Companies!$I$422:$J$422</definedName>
    <definedName name="IQRCompaniesH423" localSheetId="32" hidden="1">[5]Companies!$I$423:$M$423</definedName>
    <definedName name="IQRCompaniesH423" hidden="1">[5]Companies!$I$423:$M$423</definedName>
    <definedName name="IQRCompaniesH424" localSheetId="32" hidden="1">[5]Companies!$I$424</definedName>
    <definedName name="IQRCompaniesH424" hidden="1">[5]Companies!$I$424</definedName>
    <definedName name="IQRCompaniesH425" localSheetId="32" hidden="1">[5]Companies!$I$425:$M$425</definedName>
    <definedName name="IQRCompaniesH425" hidden="1">[5]Companies!$I$425:$M$425</definedName>
    <definedName name="IQRCompaniesH426" localSheetId="32" hidden="1">[5]Companies!$I$426:$M$426</definedName>
    <definedName name="IQRCompaniesH426" hidden="1">[5]Companies!$I$426:$M$426</definedName>
    <definedName name="IQRCompaniesH427" localSheetId="32" hidden="1">[5]Companies!$I$427</definedName>
    <definedName name="IQRCompaniesH427" hidden="1">[5]Companies!$I$427</definedName>
    <definedName name="IQRCompaniesH428" localSheetId="32" hidden="1">[5]Companies!$I$428</definedName>
    <definedName name="IQRCompaniesH428" hidden="1">[5]Companies!$I$428</definedName>
    <definedName name="IQRCompaniesH429" localSheetId="32" hidden="1">[5]Companies!$I$429:$J$429</definedName>
    <definedName name="IQRCompaniesH429" hidden="1">[5]Companies!$I$429:$J$429</definedName>
    <definedName name="IQRCompaniesH43" localSheetId="32" hidden="1">[5]Companies!$I$43:$M$43</definedName>
    <definedName name="IQRCompaniesH43" hidden="1">[5]Companies!$I$43:$M$43</definedName>
    <definedName name="IQRCompaniesH430" localSheetId="32" hidden="1">[5]Companies!$I$430:$J$430</definedName>
    <definedName name="IQRCompaniesH430" hidden="1">[5]Companies!$I$430:$J$430</definedName>
    <definedName name="IQRCompaniesH431" localSheetId="32" hidden="1">[5]Companies!$I$431:$J$431</definedName>
    <definedName name="IQRCompaniesH431" hidden="1">[5]Companies!$I$431:$J$431</definedName>
    <definedName name="IQRCompaniesH432" localSheetId="32" hidden="1">[5]Companies!$I$432</definedName>
    <definedName name="IQRCompaniesH432" hidden="1">[5]Companies!$I$432</definedName>
    <definedName name="IQRCompaniesH433" localSheetId="32" hidden="1">[5]Companies!$I$433</definedName>
    <definedName name="IQRCompaniesH433" hidden="1">[5]Companies!$I$433</definedName>
    <definedName name="IQRCompaniesH434" localSheetId="32" hidden="1">[5]Companies!$I$434:$J$434</definedName>
    <definedName name="IQRCompaniesH434" hidden="1">[5]Companies!$I$434:$J$434</definedName>
    <definedName name="IQRCompaniesH435" localSheetId="32" hidden="1">[5]Companies!$I$435:$J$435</definedName>
    <definedName name="IQRCompaniesH435" hidden="1">[5]Companies!$I$435:$J$435</definedName>
    <definedName name="IQRCompaniesH436" localSheetId="32" hidden="1">[5]Companies!$I$436:$L$436</definedName>
    <definedName name="IQRCompaniesH436" hidden="1">[5]Companies!$I$436:$L$436</definedName>
    <definedName name="IQRCompaniesH437" localSheetId="32" hidden="1">[5]Companies!$I$437:$M$437</definedName>
    <definedName name="IQRCompaniesH437" hidden="1">[5]Companies!$I$437:$M$437</definedName>
    <definedName name="IQRCompaniesH438" localSheetId="32" hidden="1">[5]Companies!$I$438:$M$438</definedName>
    <definedName name="IQRCompaniesH438" hidden="1">[5]Companies!$I$438:$M$438</definedName>
    <definedName name="IQRCompaniesH439" localSheetId="32" hidden="1">[5]Companies!$I$439</definedName>
    <definedName name="IQRCompaniesH439" hidden="1">[5]Companies!$I$439</definedName>
    <definedName name="IQRCompaniesH44" hidden="1">[4]Companies!$I$44:$M$44</definedName>
    <definedName name="IQRCompaniesH440" localSheetId="32" hidden="1">[5]Companies!$I$440</definedName>
    <definedName name="IQRCompaniesH440" hidden="1">[5]Companies!$I$440</definedName>
    <definedName name="IQRCompaniesH441" localSheetId="32" hidden="1">[5]Companies!$I$441:$J$441</definedName>
    <definedName name="IQRCompaniesH441" hidden="1">[5]Companies!$I$441:$J$441</definedName>
    <definedName name="IQRCompaniesH442" localSheetId="32" hidden="1">[5]Companies!$I$442</definedName>
    <definedName name="IQRCompaniesH442" hidden="1">[5]Companies!$I$442</definedName>
    <definedName name="IQRCompaniesH443" localSheetId="32" hidden="1">[5]Companies!$I$443:$M$443</definedName>
    <definedName name="IQRCompaniesH443" hidden="1">[5]Companies!$I$443:$M$443</definedName>
    <definedName name="IQRCompaniesH444" localSheetId="32" hidden="1">[5]Companies!$I$444</definedName>
    <definedName name="IQRCompaniesH444" hidden="1">[5]Companies!$I$444</definedName>
    <definedName name="IQRCompaniesH445" localSheetId="32" hidden="1">[5]Companies!$I$445</definedName>
    <definedName name="IQRCompaniesH445" hidden="1">[5]Companies!$I$445</definedName>
    <definedName name="IQRCompaniesH446" localSheetId="32" hidden="1">[5]Companies!$I$446:$M$446</definedName>
    <definedName name="IQRCompaniesH446" hidden="1">[5]Companies!$I$446:$M$446</definedName>
    <definedName name="IQRCompaniesH447" localSheetId="32" hidden="1">[5]Companies!$I$447:$K$447</definedName>
    <definedName name="IQRCompaniesH447" hidden="1">[5]Companies!$I$447:$K$447</definedName>
    <definedName name="IQRCompaniesH448" localSheetId="32" hidden="1">[5]Companies!$I$448:$J$448</definedName>
    <definedName name="IQRCompaniesH448" hidden="1">[5]Companies!$I$448:$J$448</definedName>
    <definedName name="IQRCompaniesH449" localSheetId="32" hidden="1">[5]Companies!$I$449:$M$449</definedName>
    <definedName name="IQRCompaniesH449" hidden="1">[5]Companies!$I$449:$M$449</definedName>
    <definedName name="IQRCompaniesH45" hidden="1">[4]Companies!$I$45:$M$45</definedName>
    <definedName name="IQRCompaniesH450" localSheetId="32" hidden="1">[5]Companies!$I$450:$M$450</definedName>
    <definedName name="IQRCompaniesH450" hidden="1">[5]Companies!$I$450:$M$450</definedName>
    <definedName name="IQRCompaniesH451" localSheetId="32" hidden="1">[5]Companies!$I$451:$M$451</definedName>
    <definedName name="IQRCompaniesH451" hidden="1">[5]Companies!$I$451:$M$451</definedName>
    <definedName name="IQRCompaniesH452" localSheetId="32" hidden="1">[5]Companies!$I$452:$M$452</definedName>
    <definedName name="IQRCompaniesH452" hidden="1">[5]Companies!$I$452:$M$452</definedName>
    <definedName name="IQRCompaniesH453" localSheetId="32" hidden="1">[5]Companies!$I$453</definedName>
    <definedName name="IQRCompaniesH453" hidden="1">[5]Companies!$I$453</definedName>
    <definedName name="IQRCompaniesH454" localSheetId="32" hidden="1">[5]Companies!$I$454:$J$454</definedName>
    <definedName name="IQRCompaniesH454" hidden="1">[5]Companies!$I$454:$J$454</definedName>
    <definedName name="IQRCompaniesH455" localSheetId="32" hidden="1">[5]Companies!$I$455:$J$455</definedName>
    <definedName name="IQRCompaniesH455" hidden="1">[5]Companies!$I$455:$J$455</definedName>
    <definedName name="IQRCompaniesH456" localSheetId="32" hidden="1">[5]Companies!$I$456</definedName>
    <definedName name="IQRCompaniesH456" hidden="1">[5]Companies!$I$456</definedName>
    <definedName name="IQRCompaniesH457" localSheetId="32" hidden="1">[5]Companies!$I$457:$M$457</definedName>
    <definedName name="IQRCompaniesH457" hidden="1">[5]Companies!$I$457:$M$457</definedName>
    <definedName name="IQRCompaniesH458" localSheetId="32" hidden="1">[5]Companies!$I$458:$J$458</definedName>
    <definedName name="IQRCompaniesH458" hidden="1">[5]Companies!$I$458:$J$458</definedName>
    <definedName name="IQRCompaniesH459" localSheetId="32" hidden="1">[5]Companies!$I$459:$J$459</definedName>
    <definedName name="IQRCompaniesH459" hidden="1">[5]Companies!$I$459:$J$459</definedName>
    <definedName name="IQRCompaniesH46" hidden="1">[4]Companies!$I$46:$M$46</definedName>
    <definedName name="IQRCompaniesH460" localSheetId="32" hidden="1">[5]Companies!$I$460</definedName>
    <definedName name="IQRCompaniesH460" hidden="1">[5]Companies!$I$460</definedName>
    <definedName name="IQRCompaniesH461" localSheetId="32" hidden="1">[5]Companies!$I$461</definedName>
    <definedName name="IQRCompaniesH461" hidden="1">[5]Companies!$I$461</definedName>
    <definedName name="IQRCompaniesH462" localSheetId="32" hidden="1">[5]Companies!$I$462</definedName>
    <definedName name="IQRCompaniesH462" hidden="1">[5]Companies!$I$462</definedName>
    <definedName name="IQRCompaniesH463" localSheetId="32" hidden="1">[5]Companies!$I$463:$J$463</definedName>
    <definedName name="IQRCompaniesH463" hidden="1">[5]Companies!$I$463:$J$463</definedName>
    <definedName name="IQRCompaniesH464" localSheetId="32" hidden="1">[5]Companies!$I$464:$L$464</definedName>
    <definedName name="IQRCompaniesH464" hidden="1">[5]Companies!$I$464:$L$464</definedName>
    <definedName name="IQRCompaniesH465" localSheetId="32" hidden="1">[5]Companies!$I$465:$J$465</definedName>
    <definedName name="IQRCompaniesH465" hidden="1">[5]Companies!$I$465:$J$465</definedName>
    <definedName name="IQRCompaniesH466" localSheetId="32" hidden="1">[5]Companies!$I$466:$K$466</definedName>
    <definedName name="IQRCompaniesH466" hidden="1">[5]Companies!$I$466:$K$466</definedName>
    <definedName name="IQRCompaniesH467" localSheetId="32" hidden="1">[5]Companies!$I$467</definedName>
    <definedName name="IQRCompaniesH467" hidden="1">[5]Companies!$I$467</definedName>
    <definedName name="IQRCompaniesH468" localSheetId="32" hidden="1">[5]Companies!$I$468:$K$468</definedName>
    <definedName name="IQRCompaniesH468" hidden="1">[5]Companies!$I$468:$K$468</definedName>
    <definedName name="IQRCompaniesH469" localSheetId="32" hidden="1">[5]Companies!$I$469</definedName>
    <definedName name="IQRCompaniesH469" hidden="1">[5]Companies!$I$469</definedName>
    <definedName name="IQRCompaniesH47" hidden="1">[4]Companies!$I$47:$J$47</definedName>
    <definedName name="IQRCompaniesH470" localSheetId="32" hidden="1">[5]Companies!$I$470:$J$470</definedName>
    <definedName name="IQRCompaniesH470" hidden="1">[5]Companies!$I$470:$J$470</definedName>
    <definedName name="IQRCompaniesH471" localSheetId="32" hidden="1">[5]Companies!$I$471</definedName>
    <definedName name="IQRCompaniesH471" hidden="1">[5]Companies!$I$471</definedName>
    <definedName name="IQRCompaniesH472" localSheetId="32" hidden="1">[5]Companies!$I$472</definedName>
    <definedName name="IQRCompaniesH472" hidden="1">[5]Companies!$I$472</definedName>
    <definedName name="IQRCompaniesH473" localSheetId="32" hidden="1">[5]Companies!$I$473</definedName>
    <definedName name="IQRCompaniesH473" hidden="1">[5]Companies!$I$473</definedName>
    <definedName name="IQRCompaniesH474" localSheetId="32" hidden="1">[5]Companies!$I$474:$M$474</definedName>
    <definedName name="IQRCompaniesH474" hidden="1">[5]Companies!$I$474:$M$474</definedName>
    <definedName name="IQRCompaniesH475" localSheetId="32" hidden="1">[5]Companies!$I$475:$J$475</definedName>
    <definedName name="IQRCompaniesH475" hidden="1">[5]Companies!$I$475:$J$475</definedName>
    <definedName name="IQRCompaniesH476" localSheetId="32" hidden="1">[5]Companies!$I$476:$M$476</definedName>
    <definedName name="IQRCompaniesH476" hidden="1">[5]Companies!$I$476:$M$476</definedName>
    <definedName name="IQRCompaniesH477" localSheetId="32" hidden="1">[5]Companies!$I$477:$K$477</definedName>
    <definedName name="IQRCompaniesH477" hidden="1">[5]Companies!$I$477:$K$477</definedName>
    <definedName name="IQRCompaniesH478" localSheetId="32" hidden="1">[5]Companies!$I$478</definedName>
    <definedName name="IQRCompaniesH478" hidden="1">[5]Companies!$I$478</definedName>
    <definedName name="IQRCompaniesH479" localSheetId="32" hidden="1">[5]Companies!$I$479:$K$479</definedName>
    <definedName name="IQRCompaniesH479" hidden="1">[5]Companies!$I$479:$K$479</definedName>
    <definedName name="IQRCompaniesH48" hidden="1">[4]Companies!$I$48:$M$48</definedName>
    <definedName name="IQRCompaniesH480" localSheetId="32" hidden="1">[5]Companies!$I$480</definedName>
    <definedName name="IQRCompaniesH480" hidden="1">[5]Companies!$I$480</definedName>
    <definedName name="IQRCompaniesH481" localSheetId="32" hidden="1">[5]Companies!$I$481</definedName>
    <definedName name="IQRCompaniesH481" hidden="1">[5]Companies!$I$481</definedName>
    <definedName name="IQRCompaniesH482" localSheetId="32" hidden="1">[5]Companies!$I$482</definedName>
    <definedName name="IQRCompaniesH482" hidden="1">[5]Companies!$I$482</definedName>
    <definedName name="IQRCompaniesH483" localSheetId="32" hidden="1">[5]Companies!$I$483</definedName>
    <definedName name="IQRCompaniesH483" hidden="1">[5]Companies!$I$483</definedName>
    <definedName name="IQRCompaniesH484" localSheetId="32" hidden="1">[5]Companies!$I$484:$L$484</definedName>
    <definedName name="IQRCompaniesH484" hidden="1">[5]Companies!$I$484:$L$484</definedName>
    <definedName name="IQRCompaniesH485" localSheetId="32" hidden="1">[5]Companies!$I$485:$L$485</definedName>
    <definedName name="IQRCompaniesH485" hidden="1">[5]Companies!$I$485:$L$485</definedName>
    <definedName name="IQRCompaniesH486" localSheetId="32" hidden="1">[5]Companies!$I$486:$K$486</definedName>
    <definedName name="IQRCompaniesH486" hidden="1">[5]Companies!$I$486:$K$486</definedName>
    <definedName name="IQRCompaniesH487" localSheetId="32" hidden="1">[5]Companies!$I$487</definedName>
    <definedName name="IQRCompaniesH487" hidden="1">[5]Companies!$I$487</definedName>
    <definedName name="IQRCompaniesH488" localSheetId="32" hidden="1">[5]Companies!$I$488</definedName>
    <definedName name="IQRCompaniesH488" hidden="1">[5]Companies!$I$488</definedName>
    <definedName name="IQRCompaniesH489" localSheetId="32" hidden="1">[5]Companies!$I$489:$J$489</definedName>
    <definedName name="IQRCompaniesH489" hidden="1">[5]Companies!$I$489:$J$489</definedName>
    <definedName name="IQRCompaniesH49" hidden="1">[4]Companies!$I$49:$M$49</definedName>
    <definedName name="IQRCompaniesH490" localSheetId="32" hidden="1">[5]Companies!$I$490:$J$490</definedName>
    <definedName name="IQRCompaniesH490" hidden="1">[5]Companies!$I$490:$J$490</definedName>
    <definedName name="IQRCompaniesH491" localSheetId="32" hidden="1">[5]Companies!$I$491</definedName>
    <definedName name="IQRCompaniesH491" hidden="1">[5]Companies!$I$491</definedName>
    <definedName name="IQRCompaniesH492" localSheetId="32" hidden="1">[5]Companies!$I$492</definedName>
    <definedName name="IQRCompaniesH492" hidden="1">[5]Companies!$I$492</definedName>
    <definedName name="IQRCompaniesH493" localSheetId="32" hidden="1">[5]Companies!$I$493:$J$493</definedName>
    <definedName name="IQRCompaniesH493" hidden="1">[5]Companies!$I$493:$J$493</definedName>
    <definedName name="IQRCompaniesH494" localSheetId="32" hidden="1">[5]Companies!$I$494</definedName>
    <definedName name="IQRCompaniesH494" hidden="1">[5]Companies!$I$494</definedName>
    <definedName name="IQRCompaniesH495" localSheetId="32" hidden="1">[5]Companies!$I$495</definedName>
    <definedName name="IQRCompaniesH495" hidden="1">[5]Companies!$I$495</definedName>
    <definedName name="IQRCompaniesH496" localSheetId="32" hidden="1">[5]Companies!$I$496</definedName>
    <definedName name="IQRCompaniesH496" hidden="1">[5]Companies!$I$496</definedName>
    <definedName name="IQRCompaniesH497" localSheetId="32" hidden="1">[5]Companies!$I$497:$M$497</definedName>
    <definedName name="IQRCompaniesH497" hidden="1">[5]Companies!$I$497:$M$497</definedName>
    <definedName name="IQRCompaniesH498" localSheetId="32" hidden="1">[5]Companies!$I$498</definedName>
    <definedName name="IQRCompaniesH498" hidden="1">[5]Companies!$I$498</definedName>
    <definedName name="IQRCompaniesH499" localSheetId="32" hidden="1">[5]Companies!$I$499:$M$499</definedName>
    <definedName name="IQRCompaniesH499" hidden="1">[5]Companies!$I$499:$M$499</definedName>
    <definedName name="IQRCompaniesH50" localSheetId="32" hidden="1">[5]Companies!$I$50</definedName>
    <definedName name="IQRCompaniesH50" hidden="1">[5]Companies!$I$50</definedName>
    <definedName name="IQRCompaniesH500" localSheetId="32" hidden="1">[5]Companies!$I$500:$M$500</definedName>
    <definedName name="IQRCompaniesH500" hidden="1">[5]Companies!$I$500:$M$500</definedName>
    <definedName name="IQRCompaniesH501" localSheetId="32" hidden="1">[5]Companies!$I$501</definedName>
    <definedName name="IQRCompaniesH501" hidden="1">[5]Companies!$I$501</definedName>
    <definedName name="IQRCompaniesH502" localSheetId="32" hidden="1">[5]Companies!$I$502</definedName>
    <definedName name="IQRCompaniesH502" hidden="1">[5]Companies!$I$502</definedName>
    <definedName name="IQRCompaniesH503" localSheetId="32" hidden="1">[5]Companies!$I$503:$J$503</definedName>
    <definedName name="IQRCompaniesH503" hidden="1">[5]Companies!$I$503:$J$503</definedName>
    <definedName name="IQRCompaniesH504" localSheetId="32" hidden="1">[5]Companies!$I$504</definedName>
    <definedName name="IQRCompaniesH504" hidden="1">[5]Companies!$I$504</definedName>
    <definedName name="IQRCompaniesH505" localSheetId="32" hidden="1">[5]Companies!$I$505</definedName>
    <definedName name="IQRCompaniesH505" hidden="1">[5]Companies!$I$505</definedName>
    <definedName name="IQRCompaniesH506" localSheetId="32" hidden="1">[5]Companies!$I$506:$M$506</definedName>
    <definedName name="IQRCompaniesH506" hidden="1">[5]Companies!$I$506:$M$506</definedName>
    <definedName name="IQRCompaniesH507" localSheetId="32" hidden="1">[5]Companies!$I$507:$M$507</definedName>
    <definedName name="IQRCompaniesH507" hidden="1">[5]Companies!$I$507:$M$507</definedName>
    <definedName name="IQRCompaniesH508" localSheetId="32" hidden="1">[5]Companies!$I$508:$J$508</definedName>
    <definedName name="IQRCompaniesH508" hidden="1">[5]Companies!$I$508:$J$508</definedName>
    <definedName name="IQRCompaniesH509" localSheetId="32" hidden="1">[5]Companies!$I$509</definedName>
    <definedName name="IQRCompaniesH509" hidden="1">[5]Companies!$I$509</definedName>
    <definedName name="IQRCompaniesH51" hidden="1">[4]Companies!$I$51:$M$51</definedName>
    <definedName name="IQRCompaniesH510" localSheetId="32" hidden="1">[5]Companies!$I$510:$J$510</definedName>
    <definedName name="IQRCompaniesH510" hidden="1">[5]Companies!$I$510:$J$510</definedName>
    <definedName name="IQRCompaniesH511" localSheetId="32" hidden="1">[5]Companies!$I$511:$M$511</definedName>
    <definedName name="IQRCompaniesH511" hidden="1">[5]Companies!$I$511:$M$511</definedName>
    <definedName name="IQRCompaniesH512" localSheetId="32" hidden="1">[5]Companies!$I$512</definedName>
    <definedName name="IQRCompaniesH512" hidden="1">[5]Companies!$I$512</definedName>
    <definedName name="IQRCompaniesH513" localSheetId="32" hidden="1">[5]Companies!$I$513</definedName>
    <definedName name="IQRCompaniesH513" hidden="1">[5]Companies!$I$513</definedName>
    <definedName name="IQRCompaniesH514" localSheetId="32" hidden="1">[5]Companies!$I$514</definedName>
    <definedName name="IQRCompaniesH514" hidden="1">[5]Companies!$I$514</definedName>
    <definedName name="IQRCompaniesH515" localSheetId="32" hidden="1">[5]Companies!$I$515:$J$515</definedName>
    <definedName name="IQRCompaniesH515" hidden="1">[5]Companies!$I$515:$J$515</definedName>
    <definedName name="IQRCompaniesH516" localSheetId="32" hidden="1">[5]Companies!$I$516</definedName>
    <definedName name="IQRCompaniesH516" hidden="1">[5]Companies!$I$516</definedName>
    <definedName name="IQRCompaniesH517" localSheetId="32" hidden="1">[5]Companies!$I$517:$K$517</definedName>
    <definedName name="IQRCompaniesH517" hidden="1">[5]Companies!$I$517:$K$517</definedName>
    <definedName name="IQRCompaniesH518" localSheetId="32" hidden="1">[5]Companies!$I$518:$M$518</definedName>
    <definedName name="IQRCompaniesH518" hidden="1">[5]Companies!$I$518:$M$518</definedName>
    <definedName name="IQRCompaniesH519" localSheetId="32" hidden="1">[5]Companies!$I$519</definedName>
    <definedName name="IQRCompaniesH519" hidden="1">[5]Companies!$I$519</definedName>
    <definedName name="IQRCompaniesH52" hidden="1">[4]Companies!$I$52:$L$52</definedName>
    <definedName name="IQRCompaniesH520" localSheetId="32" hidden="1">[5]Companies!$I$520</definedName>
    <definedName name="IQRCompaniesH520" hidden="1">[5]Companies!$I$520</definedName>
    <definedName name="IQRCompaniesH521" localSheetId="32" hidden="1">[5]Companies!$I$521</definedName>
    <definedName name="IQRCompaniesH521" hidden="1">[5]Companies!$I$521</definedName>
    <definedName name="IQRCompaniesH522" localSheetId="32" hidden="1">[5]Companies!$I$522</definedName>
    <definedName name="IQRCompaniesH522" hidden="1">[5]Companies!$I$522</definedName>
    <definedName name="IQRCompaniesH523" localSheetId="32" hidden="1">[5]Companies!$I$523</definedName>
    <definedName name="IQRCompaniesH523" hidden="1">[5]Companies!$I$523</definedName>
    <definedName name="IQRCompaniesH524" localSheetId="32" hidden="1">[5]Companies!$I$524:$J$524</definedName>
    <definedName name="IQRCompaniesH524" hidden="1">[5]Companies!$I$524:$J$524</definedName>
    <definedName name="IQRCompaniesH525" localSheetId="32" hidden="1">[5]Companies!$I$525:$M$525</definedName>
    <definedName name="IQRCompaniesH525" hidden="1">[5]Companies!$I$525:$M$525</definedName>
    <definedName name="IQRCompaniesH526" localSheetId="32" hidden="1">[5]Companies!$I$526</definedName>
    <definedName name="IQRCompaniesH526" hidden="1">[5]Companies!$I$526</definedName>
    <definedName name="IQRCompaniesH527" localSheetId="32" hidden="1">[5]Companies!$I$527</definedName>
    <definedName name="IQRCompaniesH527" hidden="1">[5]Companies!$I$527</definedName>
    <definedName name="IQRCompaniesH528" localSheetId="32" hidden="1">[5]Companies!$I$528</definedName>
    <definedName name="IQRCompaniesH528" hidden="1">[5]Companies!$I$528</definedName>
    <definedName name="IQRCompaniesH529" localSheetId="32" hidden="1">[5]Companies!$I$529</definedName>
    <definedName name="IQRCompaniesH529" hidden="1">[5]Companies!$I$529</definedName>
    <definedName name="IQRCompaniesH53" hidden="1">[4]Companies!$I$53:$M$53</definedName>
    <definedName name="IQRCompaniesH530" localSheetId="32" hidden="1">[5]Companies!$I$530</definedName>
    <definedName name="IQRCompaniesH530" hidden="1">[5]Companies!$I$530</definedName>
    <definedName name="IQRCompaniesH531" localSheetId="32" hidden="1">[5]Companies!$I$531</definedName>
    <definedName name="IQRCompaniesH531" hidden="1">[5]Companies!$I$531</definedName>
    <definedName name="IQRCompaniesH532" localSheetId="32" hidden="1">[5]Companies!$I$532:$J$532</definedName>
    <definedName name="IQRCompaniesH532" hidden="1">[5]Companies!$I$532:$J$532</definedName>
    <definedName name="IQRCompaniesH533" localSheetId="32" hidden="1">[5]Companies!$I$533</definedName>
    <definedName name="IQRCompaniesH533" hidden="1">[5]Companies!$I$533</definedName>
    <definedName name="IQRCompaniesH534" localSheetId="32" hidden="1">[5]Companies!$I$534:$K$534</definedName>
    <definedName name="IQRCompaniesH534" hidden="1">[5]Companies!$I$534:$K$534</definedName>
    <definedName name="IQRCompaniesH535" localSheetId="32" hidden="1">[5]Companies!$I$535</definedName>
    <definedName name="IQRCompaniesH535" hidden="1">[5]Companies!$I$535</definedName>
    <definedName name="IQRCompaniesH536" localSheetId="32" hidden="1">[5]Companies!$I$536:$L$536</definedName>
    <definedName name="IQRCompaniesH536" hidden="1">[5]Companies!$I$536:$L$536</definedName>
    <definedName name="IQRCompaniesH537" localSheetId="32" hidden="1">[5]Companies!$I$537:$M$537</definedName>
    <definedName name="IQRCompaniesH537" hidden="1">[5]Companies!$I$537:$M$537</definedName>
    <definedName name="IQRCompaniesH538" localSheetId="32" hidden="1">[5]Companies!$I$538</definedName>
    <definedName name="IQRCompaniesH538" hidden="1">[5]Companies!$I$538</definedName>
    <definedName name="IQRCompaniesH539" localSheetId="32" hidden="1">[5]Companies!$I$539:$M$539</definedName>
    <definedName name="IQRCompaniesH539" hidden="1">[5]Companies!$I$539:$M$539</definedName>
    <definedName name="IQRCompaniesH54" localSheetId="32" hidden="1">[5]Companies!$I$54:$J$54</definedName>
    <definedName name="IQRCompaniesH54" hidden="1">[5]Companies!$I$54:$J$54</definedName>
    <definedName name="IQRCompaniesH540" localSheetId="32" hidden="1">[5]Companies!$I$540:$M$540</definedName>
    <definedName name="IQRCompaniesH540" hidden="1">[5]Companies!$I$540:$M$540</definedName>
    <definedName name="IQRCompaniesH541" localSheetId="32" hidden="1">[5]Companies!$I$541:$J$541</definedName>
    <definedName name="IQRCompaniesH541" hidden="1">[5]Companies!$I$541:$J$541</definedName>
    <definedName name="IQRCompaniesH542" localSheetId="32" hidden="1">[5]Companies!$I$542:$J$542</definedName>
    <definedName name="IQRCompaniesH542" hidden="1">[5]Companies!$I$542:$J$542</definedName>
    <definedName name="IQRCompaniesH543" localSheetId="32" hidden="1">[5]Companies!$I$543:$K$543</definedName>
    <definedName name="IQRCompaniesH543" hidden="1">[5]Companies!$I$543:$K$543</definedName>
    <definedName name="IQRCompaniesH544" localSheetId="32" hidden="1">[5]Companies!$I$544</definedName>
    <definedName name="IQRCompaniesH544" hidden="1">[5]Companies!$I$544</definedName>
    <definedName name="IQRCompaniesH545" localSheetId="32" hidden="1">[5]Companies!$I$545:$K$545</definedName>
    <definedName name="IQRCompaniesH545" hidden="1">[5]Companies!$I$545:$K$545</definedName>
    <definedName name="IQRCompaniesH546" localSheetId="32" hidden="1">[5]Companies!$I$546</definedName>
    <definedName name="IQRCompaniesH546" hidden="1">[5]Companies!$I$546</definedName>
    <definedName name="IQRCompaniesH547" localSheetId="32" hidden="1">[5]Companies!$I$547:$J$547</definedName>
    <definedName name="IQRCompaniesH547" hidden="1">[5]Companies!$I$547:$J$547</definedName>
    <definedName name="IQRCompaniesH548" localSheetId="32" hidden="1">[5]Companies!$I$548:$M$548</definedName>
    <definedName name="IQRCompaniesH548" hidden="1">[5]Companies!$I$548:$M$548</definedName>
    <definedName name="IQRCompaniesH549" localSheetId="32" hidden="1">[5]Companies!$I$549</definedName>
    <definedName name="IQRCompaniesH549" hidden="1">[5]Companies!$I$549</definedName>
    <definedName name="IQRCompaniesH55" hidden="1">[4]Companies!$I$55:$M$55</definedName>
    <definedName name="IQRCompaniesH550" localSheetId="32" hidden="1">[5]Companies!$I$550:$K$550</definedName>
    <definedName name="IQRCompaniesH550" hidden="1">[5]Companies!$I$550:$K$550</definedName>
    <definedName name="IQRCompaniesH551" localSheetId="32" hidden="1">[5]Companies!$I$551</definedName>
    <definedName name="IQRCompaniesH551" hidden="1">[5]Companies!$I$551</definedName>
    <definedName name="IQRCompaniesH552" localSheetId="32" hidden="1">[5]Companies!$I$552:$M$552</definedName>
    <definedName name="IQRCompaniesH552" hidden="1">[5]Companies!$I$552:$M$552</definedName>
    <definedName name="IQRCompaniesH553" localSheetId="32" hidden="1">[5]Companies!$I$553</definedName>
    <definedName name="IQRCompaniesH553" hidden="1">[5]Companies!$I$553</definedName>
    <definedName name="IQRCompaniesH554" localSheetId="32" hidden="1">[5]Companies!$I$554</definedName>
    <definedName name="IQRCompaniesH554" hidden="1">[5]Companies!$I$554</definedName>
    <definedName name="IQRCompaniesH555" localSheetId="32" hidden="1">[5]Companies!$I$555:$J$555</definedName>
    <definedName name="IQRCompaniesH555" hidden="1">[5]Companies!$I$555:$J$555</definedName>
    <definedName name="IQRCompaniesH556" localSheetId="32" hidden="1">[5]Companies!$I$556</definedName>
    <definedName name="IQRCompaniesH556" hidden="1">[5]Companies!$I$556</definedName>
    <definedName name="IQRCompaniesH557" localSheetId="32" hidden="1">[5]Companies!$I$557:$J$557</definedName>
    <definedName name="IQRCompaniesH557" hidden="1">[5]Companies!$I$557:$J$557</definedName>
    <definedName name="IQRCompaniesH558" localSheetId="32" hidden="1">[5]Companies!$I$558</definedName>
    <definedName name="IQRCompaniesH558" hidden="1">[5]Companies!$I$558</definedName>
    <definedName name="IQRCompaniesH559" localSheetId="32" hidden="1">[5]Companies!$I$559:$J$559</definedName>
    <definedName name="IQRCompaniesH559" hidden="1">[5]Companies!$I$559:$J$559</definedName>
    <definedName name="IQRCompaniesH56" hidden="1">[4]Companies!$I$56:$M$56</definedName>
    <definedName name="IQRCompaniesH560" localSheetId="32" hidden="1">[5]Companies!$I$560:$M$560</definedName>
    <definedName name="IQRCompaniesH560" hidden="1">[5]Companies!$I$560:$M$560</definedName>
    <definedName name="IQRCompaniesH561" localSheetId="32" hidden="1">[5]Companies!$I$561</definedName>
    <definedName name="IQRCompaniesH561" hidden="1">[5]Companies!$I$561</definedName>
    <definedName name="IQRCompaniesH562" localSheetId="32" hidden="1">[5]Companies!$I$562:$M$562</definedName>
    <definedName name="IQRCompaniesH562" hidden="1">[5]Companies!$I$562:$M$562</definedName>
    <definedName name="IQRCompaniesH563" localSheetId="32" hidden="1">[5]Companies!$I$563:$L$563</definedName>
    <definedName name="IQRCompaniesH563" hidden="1">[5]Companies!$I$563:$L$563</definedName>
    <definedName name="IQRCompaniesH564" localSheetId="32" hidden="1">[5]Companies!$I$564:$K$564</definedName>
    <definedName name="IQRCompaniesH564" hidden="1">[5]Companies!$I$564:$K$564</definedName>
    <definedName name="IQRCompaniesH565" localSheetId="32" hidden="1">[5]Companies!$I$565:$J$565</definedName>
    <definedName name="IQRCompaniesH565" hidden="1">[5]Companies!$I$565:$J$565</definedName>
    <definedName name="IQRCompaniesH566" localSheetId="32" hidden="1">[5]Companies!$I$566:$M$566</definedName>
    <definedName name="IQRCompaniesH566" hidden="1">[5]Companies!$I$566:$M$566</definedName>
    <definedName name="IQRCompaniesH567" localSheetId="32" hidden="1">[5]Companies!$I$567</definedName>
    <definedName name="IQRCompaniesH567" hidden="1">[5]Companies!$I$567</definedName>
    <definedName name="IQRCompaniesH568" localSheetId="32" hidden="1">[5]Companies!$I$568</definedName>
    <definedName name="IQRCompaniesH568" hidden="1">[5]Companies!$I$568</definedName>
    <definedName name="IQRCompaniesH569" localSheetId="32" hidden="1">[5]Companies!$I$569:$L$569</definedName>
    <definedName name="IQRCompaniesH569" hidden="1">[5]Companies!$I$569:$L$569</definedName>
    <definedName name="IQRCompaniesH57" hidden="1">[4]Companies!$I$57:$M$57</definedName>
    <definedName name="IQRCompaniesH570" localSheetId="32" hidden="1">[5]Companies!$I$570:$J$570</definedName>
    <definedName name="IQRCompaniesH570" hidden="1">[5]Companies!$I$570:$J$570</definedName>
    <definedName name="IQRCompaniesH571" localSheetId="32" hidden="1">[5]Companies!$I$571</definedName>
    <definedName name="IQRCompaniesH571" hidden="1">[5]Companies!$I$571</definedName>
    <definedName name="IQRCompaniesH572" localSheetId="32" hidden="1">[5]Companies!$I$572:$M$572</definedName>
    <definedName name="IQRCompaniesH572" hidden="1">[5]Companies!$I$572:$M$572</definedName>
    <definedName name="IQRCompaniesH573" localSheetId="32" hidden="1">[5]Companies!$I$573:$L$573</definedName>
    <definedName name="IQRCompaniesH573" hidden="1">[5]Companies!$I$573:$L$573</definedName>
    <definedName name="IQRCompaniesH574" localSheetId="32" hidden="1">[5]Companies!$I$574:$M$574</definedName>
    <definedName name="IQRCompaniesH574" hidden="1">[5]Companies!$I$574:$M$574</definedName>
    <definedName name="IQRCompaniesH575" localSheetId="32" hidden="1">[5]Companies!$I$575</definedName>
    <definedName name="IQRCompaniesH575" hidden="1">[5]Companies!$I$575</definedName>
    <definedName name="IQRCompaniesH576" localSheetId="32" hidden="1">[5]Companies!$I$576</definedName>
    <definedName name="IQRCompaniesH576" hidden="1">[5]Companies!$I$576</definedName>
    <definedName name="IQRCompaniesH577" localSheetId="32" hidden="1">[5]Companies!$I$577</definedName>
    <definedName name="IQRCompaniesH577" hidden="1">[5]Companies!$I$577</definedName>
    <definedName name="IQRCompaniesH578" localSheetId="32" hidden="1">[5]Companies!$I$578</definedName>
    <definedName name="IQRCompaniesH578" hidden="1">[5]Companies!$I$578</definedName>
    <definedName name="IQRCompaniesH579" localSheetId="32" hidden="1">[5]Companies!$I$579:$J$579</definedName>
    <definedName name="IQRCompaniesH579" hidden="1">[5]Companies!$I$579:$J$579</definedName>
    <definedName name="IQRCompaniesH58" hidden="1">[4]Companies!$I$58</definedName>
    <definedName name="IQRCompaniesH580" localSheetId="32" hidden="1">[5]Companies!$I$580:$K$580</definedName>
    <definedName name="IQRCompaniesH580" hidden="1">[5]Companies!$I$580:$K$580</definedName>
    <definedName name="IQRCompaniesH581" localSheetId="32" hidden="1">[5]Companies!$I$581</definedName>
    <definedName name="IQRCompaniesH581" hidden="1">[5]Companies!$I$581</definedName>
    <definedName name="IQRCompaniesH582" localSheetId="32" hidden="1">[5]Companies!$I$582:$J$582</definedName>
    <definedName name="IQRCompaniesH582" hidden="1">[5]Companies!$I$582:$J$582</definedName>
    <definedName name="IQRCompaniesH583" localSheetId="32" hidden="1">[5]Companies!$I$583:$M$583</definedName>
    <definedName name="IQRCompaniesH583" hidden="1">[5]Companies!$I$583:$M$583</definedName>
    <definedName name="IQRCompaniesH584" localSheetId="32" hidden="1">[5]Companies!$I$584:$M$584</definedName>
    <definedName name="IQRCompaniesH584" hidden="1">[5]Companies!$I$584:$M$584</definedName>
    <definedName name="IQRCompaniesH585" localSheetId="32" hidden="1">[5]Companies!$I$585:$M$585</definedName>
    <definedName name="IQRCompaniesH585" hidden="1">[5]Companies!$I$585:$M$585</definedName>
    <definedName name="IQRCompaniesH586" localSheetId="32" hidden="1">[5]Companies!$I$586:$M$586</definedName>
    <definedName name="IQRCompaniesH586" hidden="1">[5]Companies!$I$586:$M$586</definedName>
    <definedName name="IQRCompaniesH587" localSheetId="32" hidden="1">[5]Companies!$I$587</definedName>
    <definedName name="IQRCompaniesH587" hidden="1">[5]Companies!$I$587</definedName>
    <definedName name="IQRCompaniesH588" localSheetId="32" hidden="1">[5]Companies!$I$588</definedName>
    <definedName name="IQRCompaniesH588" hidden="1">[5]Companies!$I$588</definedName>
    <definedName name="IQRCompaniesH589" localSheetId="32" hidden="1">[5]Companies!$I$589</definedName>
    <definedName name="IQRCompaniesH589" hidden="1">[5]Companies!$I$589</definedName>
    <definedName name="IQRCompaniesH59" hidden="1">[4]Companies!$I$59:$K$59</definedName>
    <definedName name="IQRCompaniesH590" localSheetId="32" hidden="1">[5]Companies!$I$590:$M$590</definedName>
    <definedName name="IQRCompaniesH590" hidden="1">[5]Companies!$I$590:$M$590</definedName>
    <definedName name="IQRCompaniesH591" localSheetId="32" hidden="1">[5]Companies!$I$591:$J$591</definedName>
    <definedName name="IQRCompaniesH591" hidden="1">[5]Companies!$I$591:$J$591</definedName>
    <definedName name="IQRCompaniesH592" localSheetId="32" hidden="1">[5]Companies!$I$592</definedName>
    <definedName name="IQRCompaniesH592" hidden="1">[5]Companies!$I$592</definedName>
    <definedName name="IQRCompaniesH593" localSheetId="32" hidden="1">[5]Companies!$I$593</definedName>
    <definedName name="IQRCompaniesH593" hidden="1">[5]Companies!$I$593</definedName>
    <definedName name="IQRCompaniesH594" localSheetId="32" hidden="1">[5]Companies!$I$594</definedName>
    <definedName name="IQRCompaniesH594" hidden="1">[5]Companies!$I$594</definedName>
    <definedName name="IQRCompaniesH595" localSheetId="32" hidden="1">[5]Companies!$I$595:$L$595</definedName>
    <definedName name="IQRCompaniesH595" hidden="1">[5]Companies!$I$595:$L$595</definedName>
    <definedName name="IQRCompaniesH596" localSheetId="32" hidden="1">[5]Companies!$I$596</definedName>
    <definedName name="IQRCompaniesH596" hidden="1">[5]Companies!$I$596</definedName>
    <definedName name="IQRCompaniesH597" localSheetId="32" hidden="1">[5]Companies!$I$597:$J$597</definedName>
    <definedName name="IQRCompaniesH597" hidden="1">[5]Companies!$I$597:$J$597</definedName>
    <definedName name="IQRCompaniesH598" localSheetId="32" hidden="1">[5]Companies!$I$598:$J$598</definedName>
    <definedName name="IQRCompaniesH598" hidden="1">[5]Companies!$I$598:$J$598</definedName>
    <definedName name="IQRCompaniesH599" localSheetId="32" hidden="1">[5]Companies!$I$599:$M$599</definedName>
    <definedName name="IQRCompaniesH599" hidden="1">[5]Companies!$I$599:$M$599</definedName>
    <definedName name="IQRCompaniesH60" hidden="1">[4]Companies!$I$60:$M$60</definedName>
    <definedName name="IQRCompaniesH600" localSheetId="32" hidden="1">[5]Companies!$I$600</definedName>
    <definedName name="IQRCompaniesH600" hidden="1">[5]Companies!$I$600</definedName>
    <definedName name="IQRCompaniesH601" localSheetId="32" hidden="1">[5]Companies!$I$601</definedName>
    <definedName name="IQRCompaniesH601" hidden="1">[5]Companies!$I$601</definedName>
    <definedName name="IQRCompaniesH602" localSheetId="32" hidden="1">[5]Companies!$I$602:$M$602</definedName>
    <definedName name="IQRCompaniesH602" hidden="1">[5]Companies!$I$602:$M$602</definedName>
    <definedName name="IQRCompaniesH603" localSheetId="32" hidden="1">[5]Companies!$I$603:$M$603</definedName>
    <definedName name="IQRCompaniesH603" hidden="1">[5]Companies!$I$603:$M$603</definedName>
    <definedName name="IQRCompaniesH604" localSheetId="32" hidden="1">[5]Companies!$I$604:$M$604</definedName>
    <definedName name="IQRCompaniesH604" hidden="1">[5]Companies!$I$604:$M$604</definedName>
    <definedName name="IQRCompaniesH605" localSheetId="32" hidden="1">[5]Companies!$I$605:$K$605</definedName>
    <definedName name="IQRCompaniesH605" hidden="1">[5]Companies!$I$605:$K$605</definedName>
    <definedName name="IQRCompaniesH606" localSheetId="32" hidden="1">[5]Companies!$I$606:$K$606</definedName>
    <definedName name="IQRCompaniesH606" hidden="1">[5]Companies!$I$606:$K$606</definedName>
    <definedName name="IQRCompaniesH607" localSheetId="32" hidden="1">[5]Companies!$I$607:$L$607</definedName>
    <definedName name="IQRCompaniesH607" hidden="1">[5]Companies!$I$607:$L$607</definedName>
    <definedName name="IQRCompaniesH608" localSheetId="32" hidden="1">[5]Companies!$I$608</definedName>
    <definedName name="IQRCompaniesH608" hidden="1">[5]Companies!$I$608</definedName>
    <definedName name="IQRCompaniesH609" localSheetId="32" hidden="1">[5]Companies!$I$609:$M$609</definedName>
    <definedName name="IQRCompaniesH609" hidden="1">[5]Companies!$I$609:$M$609</definedName>
    <definedName name="IQRCompaniesH61" hidden="1">[4]Companies!$I$61:$M$61</definedName>
    <definedName name="IQRCompaniesH610" localSheetId="32" hidden="1">[5]Companies!$I$610:$M$610</definedName>
    <definedName name="IQRCompaniesH610" hidden="1">[5]Companies!$I$610:$M$610</definedName>
    <definedName name="IQRCompaniesH611" localSheetId="32" hidden="1">[5]Companies!$I$611:$M$611</definedName>
    <definedName name="IQRCompaniesH611" hidden="1">[5]Companies!$I$611:$M$611</definedName>
    <definedName name="IQRCompaniesH612" localSheetId="32" hidden="1">[5]Companies!$I$612</definedName>
    <definedName name="IQRCompaniesH612" hidden="1">[5]Companies!$I$612</definedName>
    <definedName name="IQRCompaniesH613" localSheetId="32" hidden="1">[5]Companies!$I$613:$J$613</definedName>
    <definedName name="IQRCompaniesH613" hidden="1">[5]Companies!$I$613:$J$613</definedName>
    <definedName name="IQRCompaniesH614" localSheetId="32" hidden="1">[5]Companies!$I$614:$L$614</definedName>
    <definedName name="IQRCompaniesH614" hidden="1">[5]Companies!$I$614:$L$614</definedName>
    <definedName name="IQRCompaniesH615" localSheetId="32" hidden="1">[5]Companies!$I$615:$J$615</definedName>
    <definedName name="IQRCompaniesH615" hidden="1">[5]Companies!$I$615:$J$615</definedName>
    <definedName name="IQRCompaniesH616" localSheetId="32" hidden="1">[5]Companies!$I$616</definedName>
    <definedName name="IQRCompaniesH616" hidden="1">[5]Companies!$I$616</definedName>
    <definedName name="IQRCompaniesH617" localSheetId="32" hidden="1">[5]Companies!$I$617</definedName>
    <definedName name="IQRCompaniesH617" hidden="1">[5]Companies!$I$617</definedName>
    <definedName name="IQRCompaniesH618" localSheetId="32" hidden="1">[5]Companies!$I$618:$M$618</definedName>
    <definedName name="IQRCompaniesH618" hidden="1">[5]Companies!$I$618:$M$618</definedName>
    <definedName name="IQRCompaniesH619" localSheetId="32" hidden="1">[5]Companies!$I$619:$L$619</definedName>
    <definedName name="IQRCompaniesH619" hidden="1">[5]Companies!$I$619:$L$619</definedName>
    <definedName name="IQRCompaniesH62" hidden="1">[4]Companies!$I$62:$M$62</definedName>
    <definedName name="IQRCompaniesH620" localSheetId="32" hidden="1">[5]Companies!$I$620:$J$620</definedName>
    <definedName name="IQRCompaniesH620" hidden="1">[5]Companies!$I$620:$J$620</definedName>
    <definedName name="IQRCompaniesH621" localSheetId="32" hidden="1">[5]Companies!$I$621:$J$621</definedName>
    <definedName name="IQRCompaniesH621" hidden="1">[5]Companies!$I$621:$J$621</definedName>
    <definedName name="IQRCompaniesH622" localSheetId="32" hidden="1">[5]Companies!$I$622:$J$622</definedName>
    <definedName name="IQRCompaniesH622" hidden="1">[5]Companies!$I$622:$J$622</definedName>
    <definedName name="IQRCompaniesH623" localSheetId="32" hidden="1">[5]Companies!$I$623:$L$623</definedName>
    <definedName name="IQRCompaniesH623" hidden="1">[5]Companies!$I$623:$L$623</definedName>
    <definedName name="IQRCompaniesH624" localSheetId="32" hidden="1">[5]Companies!$I$624</definedName>
    <definedName name="IQRCompaniesH624" hidden="1">[5]Companies!$I$624</definedName>
    <definedName name="IQRCompaniesH625" localSheetId="32" hidden="1">[5]Companies!$I$625</definedName>
    <definedName name="IQRCompaniesH625" hidden="1">[5]Companies!$I$625</definedName>
    <definedName name="IQRCompaniesH626" localSheetId="32" hidden="1">[5]Companies!$I$626:$M$626</definedName>
    <definedName name="IQRCompaniesH626" hidden="1">[5]Companies!$I$626:$M$626</definedName>
    <definedName name="IQRCompaniesH627" localSheetId="32" hidden="1">[5]Companies!$I$627:$M$627</definedName>
    <definedName name="IQRCompaniesH627" hidden="1">[5]Companies!$I$627:$M$627</definedName>
    <definedName name="IQRCompaniesH628" localSheetId="32" hidden="1">[5]Companies!$I$628:$M$628</definedName>
    <definedName name="IQRCompaniesH628" hidden="1">[5]Companies!$I$628:$M$628</definedName>
    <definedName name="IQRCompaniesH629" localSheetId="32" hidden="1">[5]Companies!$I$629:$K$629</definedName>
    <definedName name="IQRCompaniesH629" hidden="1">[5]Companies!$I$629:$K$629</definedName>
    <definedName name="IQRCompaniesH63" hidden="1">[4]Companies!$I$63</definedName>
    <definedName name="IQRCompaniesH630" localSheetId="32" hidden="1">[5]Companies!$I$630:$M$630</definedName>
    <definedName name="IQRCompaniesH630" hidden="1">[5]Companies!$I$630:$M$630</definedName>
    <definedName name="IQRCompaniesH631" localSheetId="32" hidden="1">[5]Companies!$I$631:$M$631</definedName>
    <definedName name="IQRCompaniesH631" hidden="1">[5]Companies!$I$631:$M$631</definedName>
    <definedName name="IQRCompaniesH632" localSheetId="32" hidden="1">[5]Companies!$I$632:$M$632</definedName>
    <definedName name="IQRCompaniesH632" hidden="1">[5]Companies!$I$632:$M$632</definedName>
    <definedName name="IQRCompaniesH633" localSheetId="32" hidden="1">[5]Companies!$I$633:$M$633</definedName>
    <definedName name="IQRCompaniesH633" hidden="1">[5]Companies!$I$633:$M$633</definedName>
    <definedName name="IQRCompaniesH634" localSheetId="32" hidden="1">[5]Companies!$I$634</definedName>
    <definedName name="IQRCompaniesH634" hidden="1">[5]Companies!$I$634</definedName>
    <definedName name="IQRCompaniesH635" localSheetId="32" hidden="1">[5]Companies!$I$635:$M$635</definedName>
    <definedName name="IQRCompaniesH635" hidden="1">[5]Companies!$I$635:$M$635</definedName>
    <definedName name="IQRCompaniesH636" localSheetId="32" hidden="1">[5]Companies!$I$636</definedName>
    <definedName name="IQRCompaniesH636" hidden="1">[5]Companies!$I$636</definedName>
    <definedName name="IQRCompaniesH637" localSheetId="32" hidden="1">[5]Companies!$I$637:$K$637</definedName>
    <definedName name="IQRCompaniesH637" hidden="1">[5]Companies!$I$637:$K$637</definedName>
    <definedName name="IQRCompaniesH638" localSheetId="32" hidden="1">[5]Companies!$I$638:$K$638</definedName>
    <definedName name="IQRCompaniesH638" hidden="1">[5]Companies!$I$638:$K$638</definedName>
    <definedName name="IQRCompaniesH639" localSheetId="32" hidden="1">[5]Companies!$I$639:$J$639</definedName>
    <definedName name="IQRCompaniesH639" hidden="1">[5]Companies!$I$639:$J$639</definedName>
    <definedName name="IQRCompaniesH64" hidden="1">[4]Companies!$I$64:$K$64</definedName>
    <definedName name="IQRCompaniesH640" localSheetId="32" hidden="1">[5]Companies!$I$640:$M$640</definedName>
    <definedName name="IQRCompaniesH640" hidden="1">[5]Companies!$I$640:$M$640</definedName>
    <definedName name="IQRCompaniesH641" localSheetId="32" hidden="1">[5]Companies!$I$641</definedName>
    <definedName name="IQRCompaniesH641" hidden="1">[5]Companies!$I$641</definedName>
    <definedName name="IQRCompaniesH642" localSheetId="32" hidden="1">[5]Companies!$I$642:$J$642</definedName>
    <definedName name="IQRCompaniesH642" hidden="1">[5]Companies!$I$642:$J$642</definedName>
    <definedName name="IQRCompaniesH643" localSheetId="32" hidden="1">[5]Companies!$I$643</definedName>
    <definedName name="IQRCompaniesH643" hidden="1">[5]Companies!$I$643</definedName>
    <definedName name="IQRCompaniesH644" localSheetId="32" hidden="1">[5]Companies!$I$644:$M$644</definedName>
    <definedName name="IQRCompaniesH644" hidden="1">[5]Companies!$I$644:$M$644</definedName>
    <definedName name="IQRCompaniesH645" localSheetId="32" hidden="1">[5]Companies!$I$645:$J$645</definedName>
    <definedName name="IQRCompaniesH645" hidden="1">[5]Companies!$I$645:$J$645</definedName>
    <definedName name="IQRCompaniesH646" localSheetId="32" hidden="1">[5]Companies!$I$646:$M$646</definedName>
    <definedName name="IQRCompaniesH646" hidden="1">[5]Companies!$I$646:$M$646</definedName>
    <definedName name="IQRCompaniesH647" localSheetId="32" hidden="1">[5]Companies!$I$647:$M$647</definedName>
    <definedName name="IQRCompaniesH647" hidden="1">[5]Companies!$I$647:$M$647</definedName>
    <definedName name="IQRCompaniesH648" localSheetId="32" hidden="1">[5]Companies!$I$648:$J$648</definedName>
    <definedName name="IQRCompaniesH648" hidden="1">[5]Companies!$I$648:$J$648</definedName>
    <definedName name="IQRCompaniesH649" localSheetId="32" hidden="1">[5]Companies!$I$649:$M$649</definedName>
    <definedName name="IQRCompaniesH649" hidden="1">[5]Companies!$I$649:$M$649</definedName>
    <definedName name="IQRCompaniesH65" hidden="1">[4]Companies!$I$65:$M$65</definedName>
    <definedName name="IQRCompaniesH650" localSheetId="32" hidden="1">[5]Companies!$I$650</definedName>
    <definedName name="IQRCompaniesH650" hidden="1">[5]Companies!$I$650</definedName>
    <definedName name="IQRCompaniesH651" localSheetId="32" hidden="1">[5]Companies!$I$651:$M$651</definedName>
    <definedName name="IQRCompaniesH651" hidden="1">[5]Companies!$I$651:$M$651</definedName>
    <definedName name="IQRCompaniesH652" localSheetId="32" hidden="1">[5]Companies!$I$652:$J$652</definedName>
    <definedName name="IQRCompaniesH652" hidden="1">[5]Companies!$I$652:$J$652</definedName>
    <definedName name="IQRCompaniesH653" localSheetId="32" hidden="1">[5]Companies!$I$653</definedName>
    <definedName name="IQRCompaniesH653" hidden="1">[5]Companies!$I$653</definedName>
    <definedName name="IQRCompaniesH654" localSheetId="32" hidden="1">[5]Companies!$I$654:$K$654</definedName>
    <definedName name="IQRCompaniesH654" hidden="1">[5]Companies!$I$654:$K$654</definedName>
    <definedName name="IQRCompaniesH655" localSheetId="32" hidden="1">[5]Companies!$I$655:$M$655</definedName>
    <definedName name="IQRCompaniesH655" hidden="1">[5]Companies!$I$655:$M$655</definedName>
    <definedName name="IQRCompaniesH656" localSheetId="32" hidden="1">[5]Companies!$I$656:$L$656</definedName>
    <definedName name="IQRCompaniesH656" hidden="1">[5]Companies!$I$656:$L$656</definedName>
    <definedName name="IQRCompaniesH657" localSheetId="32" hidden="1">[5]Companies!$I$657</definedName>
    <definedName name="IQRCompaniesH657" hidden="1">[5]Companies!$I$657</definedName>
    <definedName name="IQRCompaniesH658" localSheetId="32" hidden="1">[5]Companies!$I$658:$J$658</definedName>
    <definedName name="IQRCompaniesH658" hidden="1">[5]Companies!$I$658:$J$658</definedName>
    <definedName name="IQRCompaniesH659" localSheetId="32" hidden="1">[5]Companies!$I$659</definedName>
    <definedName name="IQRCompaniesH659" hidden="1">[5]Companies!$I$659</definedName>
    <definedName name="IQRCompaniesH66" hidden="1">[4]Companies!$I$66:$M$66</definedName>
    <definedName name="IQRCompaniesH660" localSheetId="32" hidden="1">[5]Companies!$I$660:$M$660</definedName>
    <definedName name="IQRCompaniesH660" hidden="1">[5]Companies!$I$660:$M$660</definedName>
    <definedName name="IQRCompaniesH661" localSheetId="32" hidden="1">[5]Companies!$I$661</definedName>
    <definedName name="IQRCompaniesH661" hidden="1">[5]Companies!$I$661</definedName>
    <definedName name="IQRCompaniesH662" localSheetId="32" hidden="1">[5]Companies!$I$662</definedName>
    <definedName name="IQRCompaniesH662" hidden="1">[5]Companies!$I$662</definedName>
    <definedName name="IQRCompaniesH663" localSheetId="32" hidden="1">[5]Companies!$I$663:$J$663</definedName>
    <definedName name="IQRCompaniesH663" hidden="1">[5]Companies!$I$663:$J$663</definedName>
    <definedName name="IQRCompaniesH664" localSheetId="32" hidden="1">[5]Companies!$I$664:$J$664</definedName>
    <definedName name="IQRCompaniesH664" hidden="1">[5]Companies!$I$664:$J$664</definedName>
    <definedName name="IQRCompaniesH665" localSheetId="32" hidden="1">[5]Companies!$I$665:$M$665</definedName>
    <definedName name="IQRCompaniesH665" hidden="1">[5]Companies!$I$665:$M$665</definedName>
    <definedName name="IQRCompaniesH666" localSheetId="32" hidden="1">[5]Companies!$I$666:$L$666</definedName>
    <definedName name="IQRCompaniesH666" hidden="1">[5]Companies!$I$666:$L$666</definedName>
    <definedName name="IQRCompaniesH667" localSheetId="32" hidden="1">[5]Companies!$I$667:$J$667</definedName>
    <definedName name="IQRCompaniesH667" hidden="1">[5]Companies!$I$667:$J$667</definedName>
    <definedName name="IQRCompaniesH668" localSheetId="32" hidden="1">[5]Companies!$I$668:$K$668</definedName>
    <definedName name="IQRCompaniesH668" hidden="1">[5]Companies!$I$668:$K$668</definedName>
    <definedName name="IQRCompaniesH669" localSheetId="32" hidden="1">[5]Companies!$I$669</definedName>
    <definedName name="IQRCompaniesH669" hidden="1">[5]Companies!$I$669</definedName>
    <definedName name="IQRCompaniesH67" hidden="1">[4]Companies!$I$67</definedName>
    <definedName name="IQRCompaniesH670" localSheetId="32" hidden="1">[5]Companies!$I$670</definedName>
    <definedName name="IQRCompaniesH670" hidden="1">[5]Companies!$I$670</definedName>
    <definedName name="IQRCompaniesH671" localSheetId="32" hidden="1">[5]Companies!$I$671</definedName>
    <definedName name="IQRCompaniesH671" hidden="1">[5]Companies!$I$671</definedName>
    <definedName name="IQRCompaniesH672" localSheetId="32" hidden="1">[5]Companies!$I$672</definedName>
    <definedName name="IQRCompaniesH672" hidden="1">[5]Companies!$I$672</definedName>
    <definedName name="IQRCompaniesH673" localSheetId="32" hidden="1">[5]Companies!$I$673:$J$673</definedName>
    <definedName name="IQRCompaniesH673" hidden="1">[5]Companies!$I$673:$J$673</definedName>
    <definedName name="IQRCompaniesH674" localSheetId="32" hidden="1">[5]Companies!$I$674:$M$674</definedName>
    <definedName name="IQRCompaniesH674" hidden="1">[5]Companies!$I$674:$M$674</definedName>
    <definedName name="IQRCompaniesH675" localSheetId="32" hidden="1">[5]Companies!$I$675</definedName>
    <definedName name="IQRCompaniesH675" hidden="1">[5]Companies!$I$675</definedName>
    <definedName name="IQRCompaniesH676" localSheetId="32" hidden="1">[5]Companies!$I$676:$J$676</definedName>
    <definedName name="IQRCompaniesH676" hidden="1">[5]Companies!$I$676:$J$676</definedName>
    <definedName name="IQRCompaniesH677" localSheetId="32" hidden="1">[5]Companies!$I$677</definedName>
    <definedName name="IQRCompaniesH677" hidden="1">[5]Companies!$I$677</definedName>
    <definedName name="IQRCompaniesH678" localSheetId="32" hidden="1">[5]Companies!$I$678:$M$678</definedName>
    <definedName name="IQRCompaniesH678" hidden="1">[5]Companies!$I$678:$M$678</definedName>
    <definedName name="IQRCompaniesH679" localSheetId="32" hidden="1">[5]Companies!$I$679</definedName>
    <definedName name="IQRCompaniesH679" hidden="1">[5]Companies!$I$679</definedName>
    <definedName name="IQRCompaniesH68" hidden="1">[4]Companies!$I$68:$K$68</definedName>
    <definedName name="IQRCompaniesH680" localSheetId="32" hidden="1">[5]Companies!$I$680:$K$680</definedName>
    <definedName name="IQRCompaniesH680" hidden="1">[5]Companies!$I$680:$K$680</definedName>
    <definedName name="IQRCompaniesH681" localSheetId="32" hidden="1">[5]Companies!$I$681</definedName>
    <definedName name="IQRCompaniesH681" hidden="1">[5]Companies!$I$681</definedName>
    <definedName name="IQRCompaniesH682" localSheetId="32" hidden="1">[5]Companies!$I$682:$J$682</definedName>
    <definedName name="IQRCompaniesH682" hidden="1">[5]Companies!$I$682:$J$682</definedName>
    <definedName name="IQRCompaniesH683" localSheetId="32" hidden="1">[5]Companies!$I$683</definedName>
    <definedName name="IQRCompaniesH683" hidden="1">[5]Companies!$I$683</definedName>
    <definedName name="IQRCompaniesH684" localSheetId="32" hidden="1">[5]Companies!$I$684:$M$684</definedName>
    <definedName name="IQRCompaniesH684" hidden="1">[5]Companies!$I$684:$M$684</definedName>
    <definedName name="IQRCompaniesH685" localSheetId="32" hidden="1">[5]Companies!$I$685</definedName>
    <definedName name="IQRCompaniesH685" hidden="1">[5]Companies!$I$685</definedName>
    <definedName name="IQRCompaniesH686" localSheetId="32" hidden="1">[5]Companies!$I$686:$M$686</definedName>
    <definedName name="IQRCompaniesH686" hidden="1">[5]Companies!$I$686:$M$686</definedName>
    <definedName name="IQRCompaniesH687" localSheetId="32" hidden="1">[5]Companies!$I$687:$M$687</definedName>
    <definedName name="IQRCompaniesH687" hidden="1">[5]Companies!$I$687:$M$687</definedName>
    <definedName name="IQRCompaniesH688" localSheetId="32" hidden="1">[5]Companies!$I$688:$J$688</definedName>
    <definedName name="IQRCompaniesH688" hidden="1">[5]Companies!$I$688:$J$688</definedName>
    <definedName name="IQRCompaniesH689" localSheetId="32" hidden="1">[5]Companies!$I$689:$J$689</definedName>
    <definedName name="IQRCompaniesH689" hidden="1">[5]Companies!$I$689:$J$689</definedName>
    <definedName name="IQRCompaniesH69" hidden="1">[4]Companies!$I$69:$M$69</definedName>
    <definedName name="IQRCompaniesH690" localSheetId="32" hidden="1">[5]Companies!$I$690</definedName>
    <definedName name="IQRCompaniesH690" hidden="1">[5]Companies!$I$690</definedName>
    <definedName name="IQRCompaniesH691" localSheetId="32" hidden="1">[5]Companies!$I$691:$L$691</definedName>
    <definedName name="IQRCompaniesH691" hidden="1">[5]Companies!$I$691:$L$691</definedName>
    <definedName name="IQRCompaniesH692" localSheetId="32" hidden="1">[5]Companies!$I$692:$J$692</definedName>
    <definedName name="IQRCompaniesH692" hidden="1">[5]Companies!$I$692:$J$692</definedName>
    <definedName name="IQRCompaniesH693" localSheetId="32" hidden="1">[5]Companies!$I$693</definedName>
    <definedName name="IQRCompaniesH693" hidden="1">[5]Companies!$I$693</definedName>
    <definedName name="IQRCompaniesH694" localSheetId="32" hidden="1">[5]Companies!$I$694:$J$694</definedName>
    <definedName name="IQRCompaniesH694" hidden="1">[5]Companies!$I$694:$J$694</definedName>
    <definedName name="IQRCompaniesH695" localSheetId="32" hidden="1">[5]Companies!$I$695:$K$695</definedName>
    <definedName name="IQRCompaniesH695" hidden="1">[5]Companies!$I$695:$K$695</definedName>
    <definedName name="IQRCompaniesH696" localSheetId="32" hidden="1">[5]Companies!$I$696</definedName>
    <definedName name="IQRCompaniesH696" hidden="1">[5]Companies!$I$696</definedName>
    <definedName name="IQRCompaniesH697" localSheetId="32" hidden="1">[5]Companies!$I$697:$M$697</definedName>
    <definedName name="IQRCompaniesH697" hidden="1">[5]Companies!$I$697:$M$697</definedName>
    <definedName name="IQRCompaniesH698" localSheetId="32" hidden="1">[5]Companies!$I$698:$J$698</definedName>
    <definedName name="IQRCompaniesH698" hidden="1">[5]Companies!$I$698:$J$698</definedName>
    <definedName name="IQRCompaniesH699" localSheetId="32" hidden="1">[5]Companies!$I$699:$M$699</definedName>
    <definedName name="IQRCompaniesH699" hidden="1">[5]Companies!$I$699:$M$699</definedName>
    <definedName name="IQRCompaniesH70" hidden="1">[4]Companies!$I$70:$M$70</definedName>
    <definedName name="IQRCompaniesH700" localSheetId="32" hidden="1">[5]Companies!$I$700</definedName>
    <definedName name="IQRCompaniesH700" hidden="1">[5]Companies!$I$700</definedName>
    <definedName name="IQRCompaniesH701" localSheetId="32" hidden="1">[5]Companies!$I$701:$K$701</definedName>
    <definedName name="IQRCompaniesH701" hidden="1">[5]Companies!$I$701:$K$701</definedName>
    <definedName name="IQRCompaniesH702" localSheetId="32" hidden="1">[5]Companies!$I$702</definedName>
    <definedName name="IQRCompaniesH702" hidden="1">[5]Companies!$I$702</definedName>
    <definedName name="IQRCompaniesH703" localSheetId="32" hidden="1">[5]Companies!$I$703:$L$703</definedName>
    <definedName name="IQRCompaniesH703" hidden="1">[5]Companies!$I$703:$L$703</definedName>
    <definedName name="IQRCompaniesH704" localSheetId="32" hidden="1">[5]Companies!$I$704:$J$704</definedName>
    <definedName name="IQRCompaniesH704" hidden="1">[5]Companies!$I$704:$J$704</definedName>
    <definedName name="IQRCompaniesH705" localSheetId="32" hidden="1">[5]Companies!$I$705</definedName>
    <definedName name="IQRCompaniesH705" hidden="1">[5]Companies!$I$705</definedName>
    <definedName name="IQRCompaniesH706" localSheetId="32" hidden="1">[5]Companies!$I$706:$M$706</definedName>
    <definedName name="IQRCompaniesH706" hidden="1">[5]Companies!$I$706:$M$706</definedName>
    <definedName name="IQRCompaniesH707" localSheetId="32" hidden="1">[5]Companies!$I$707</definedName>
    <definedName name="IQRCompaniesH707" hidden="1">[5]Companies!$I$707</definedName>
    <definedName name="IQRCompaniesH708" localSheetId="32" hidden="1">[5]Companies!$I$708:$M$708</definedName>
    <definedName name="IQRCompaniesH708" hidden="1">[5]Companies!$I$708:$M$708</definedName>
    <definedName name="IQRCompaniesH709" localSheetId="32" hidden="1">[5]Companies!$I$709:$M$709</definedName>
    <definedName name="IQRCompaniesH709" hidden="1">[5]Companies!$I$709:$M$709</definedName>
    <definedName name="IQRCompaniesH71" hidden="1">[4]Companies!$I$71:$M$71</definedName>
    <definedName name="IQRCompaniesH710" localSheetId="32" hidden="1">[5]Companies!$I$710:$K$710</definedName>
    <definedName name="IQRCompaniesH710" hidden="1">[5]Companies!$I$710:$K$710</definedName>
    <definedName name="IQRCompaniesH711" localSheetId="32" hidden="1">[5]Companies!$I$711</definedName>
    <definedName name="IQRCompaniesH711" hidden="1">[5]Companies!$I$711</definedName>
    <definedName name="IQRCompaniesH712" localSheetId="32" hidden="1">[5]Companies!$I$712:$J$712</definedName>
    <definedName name="IQRCompaniesH712" hidden="1">[5]Companies!$I$712:$J$712</definedName>
    <definedName name="IQRCompaniesH713" localSheetId="32" hidden="1">[5]Companies!$I$713:$L$713</definedName>
    <definedName name="IQRCompaniesH713" hidden="1">[5]Companies!$I$713:$L$713</definedName>
    <definedName name="IQRCompaniesH714" localSheetId="32" hidden="1">[5]Companies!$I$714:$M$714</definedName>
    <definedName name="IQRCompaniesH714" hidden="1">[5]Companies!$I$714:$M$714</definedName>
    <definedName name="IQRCompaniesH715" localSheetId="32" hidden="1">[5]Companies!$I$715:$M$715</definedName>
    <definedName name="IQRCompaniesH715" hidden="1">[5]Companies!$I$715:$M$715</definedName>
    <definedName name="IQRCompaniesH716" localSheetId="32" hidden="1">[5]Companies!$I$716:$M$716</definedName>
    <definedName name="IQRCompaniesH716" hidden="1">[5]Companies!$I$716:$M$716</definedName>
    <definedName name="IQRCompaniesH717" localSheetId="32" hidden="1">[5]Companies!$I$717</definedName>
    <definedName name="IQRCompaniesH717" hidden="1">[5]Companies!$I$717</definedName>
    <definedName name="IQRCompaniesH718" localSheetId="32" hidden="1">[5]Companies!$I$718</definedName>
    <definedName name="IQRCompaniesH718" hidden="1">[5]Companies!$I$718</definedName>
    <definedName name="IQRCompaniesH719" localSheetId="32" hidden="1">[5]Companies!$I$719:$M$719</definedName>
    <definedName name="IQRCompaniesH719" hidden="1">[5]Companies!$I$719:$M$719</definedName>
    <definedName name="IQRCompaniesH72" hidden="1">[4]Companies!$I$72:$M$72</definedName>
    <definedName name="IQRCompaniesH720" localSheetId="32" hidden="1">[5]Companies!$I$720:$J$720</definedName>
    <definedName name="IQRCompaniesH720" hidden="1">[5]Companies!$I$720:$J$720</definedName>
    <definedName name="IQRCompaniesH721" localSheetId="32" hidden="1">[5]Companies!$I$721:$J$721</definedName>
    <definedName name="IQRCompaniesH721" hidden="1">[5]Companies!$I$721:$J$721</definedName>
    <definedName name="IQRCompaniesH722" localSheetId="32" hidden="1">[5]Companies!$I$722</definedName>
    <definedName name="IQRCompaniesH722" hidden="1">[5]Companies!$I$722</definedName>
    <definedName name="IQRCompaniesH723" localSheetId="32" hidden="1">[5]Companies!$I$723:$J$723</definedName>
    <definedName name="IQRCompaniesH723" hidden="1">[5]Companies!$I$723:$J$723</definedName>
    <definedName name="IQRCompaniesH724" localSheetId="32" hidden="1">[5]Companies!$I$724</definedName>
    <definedName name="IQRCompaniesH724" hidden="1">[5]Companies!$I$724</definedName>
    <definedName name="IQRCompaniesH725" localSheetId="32" hidden="1">[5]Companies!$I$725:$M$725</definedName>
    <definedName name="IQRCompaniesH725" hidden="1">[5]Companies!$I$725:$M$725</definedName>
    <definedName name="IQRCompaniesH726" localSheetId="32" hidden="1">[5]Companies!$I$726:$M$726</definedName>
    <definedName name="IQRCompaniesH726" hidden="1">[5]Companies!$I$726:$M$726</definedName>
    <definedName name="IQRCompaniesH728" localSheetId="32" hidden="1">[5]Companies!$I$728:$M$728</definedName>
    <definedName name="IQRCompaniesH728" hidden="1">[5]Companies!$I$728:$M$728</definedName>
    <definedName name="IQRCompaniesH729" localSheetId="32" hidden="1">[5]Companies!$I$729:$K$729</definedName>
    <definedName name="IQRCompaniesH729" hidden="1">[5]Companies!$I$729:$K$729</definedName>
    <definedName name="IQRCompaniesH73" hidden="1">[4]Companies!$I$73:$M$73</definedName>
    <definedName name="IQRCompaniesH730" localSheetId="32" hidden="1">[5]Companies!$I$730:$M$730</definedName>
    <definedName name="IQRCompaniesH730" hidden="1">[5]Companies!$I$730:$M$730</definedName>
    <definedName name="IQRCompaniesH731" localSheetId="32" hidden="1">[5]Companies!$I$731:$M$731</definedName>
    <definedName name="IQRCompaniesH731" hidden="1">[5]Companies!$I$731:$M$731</definedName>
    <definedName name="IQRCompaniesH732" localSheetId="32" hidden="1">[5]Companies!$I$732:$M$732</definedName>
    <definedName name="IQRCompaniesH732" hidden="1">[5]Companies!$I$732:$M$732</definedName>
    <definedName name="IQRCompaniesH733" localSheetId="32" hidden="1">[5]Companies!$I$733:$M$733</definedName>
    <definedName name="IQRCompaniesH733" hidden="1">[5]Companies!$I$733:$M$733</definedName>
    <definedName name="IQRCompaniesH734" localSheetId="32" hidden="1">[5]Companies!$I$734:$M$734</definedName>
    <definedName name="IQRCompaniesH734" hidden="1">[5]Companies!$I$734:$M$734</definedName>
    <definedName name="IQRCompaniesH735" localSheetId="32" hidden="1">[5]Companies!$I$735</definedName>
    <definedName name="IQRCompaniesH735" hidden="1">[5]Companies!$I$735</definedName>
    <definedName name="IQRCompaniesH736" localSheetId="32" hidden="1">[5]Companies!$I$736</definedName>
    <definedName name="IQRCompaniesH736" hidden="1">[5]Companies!$I$736</definedName>
    <definedName name="IQRCompaniesH737" localSheetId="32" hidden="1">[5]Companies!$I$737:$K$737</definedName>
    <definedName name="IQRCompaniesH737" hidden="1">[5]Companies!$I$737:$K$737</definedName>
    <definedName name="IQRCompaniesH738" localSheetId="32" hidden="1">[5]Companies!$I$738:$K$738</definedName>
    <definedName name="IQRCompaniesH738" hidden="1">[5]Companies!$I$738:$K$738</definedName>
    <definedName name="IQRCompaniesH739" localSheetId="32" hidden="1">[5]Companies!$I$739:$J$739</definedName>
    <definedName name="IQRCompaniesH739" hidden="1">[5]Companies!$I$739:$J$739</definedName>
    <definedName name="IQRCompaniesH74" hidden="1">[4]Companies!$I$74</definedName>
    <definedName name="IQRCompaniesH740" localSheetId="32" hidden="1">[5]Companies!$I$740:$M$740</definedName>
    <definedName name="IQRCompaniesH740" hidden="1">[5]Companies!$I$740:$M$740</definedName>
    <definedName name="IQRCompaniesH741" localSheetId="32" hidden="1">[5]Companies!$I$741</definedName>
    <definedName name="IQRCompaniesH741" hidden="1">[5]Companies!$I$741</definedName>
    <definedName name="IQRCompaniesH743" localSheetId="32" hidden="1">[5]Companies!$I$743</definedName>
    <definedName name="IQRCompaniesH743" hidden="1">[5]Companies!$I$743</definedName>
    <definedName name="IQRCompaniesH746" localSheetId="32" hidden="1">[5]Companies!$I$746:$M$746</definedName>
    <definedName name="IQRCompaniesH746" hidden="1">[5]Companies!$I$746:$M$746</definedName>
    <definedName name="IQRCompaniesH747" localSheetId="32" hidden="1">[5]Companies!$I$747:$J$747</definedName>
    <definedName name="IQRCompaniesH747" hidden="1">[5]Companies!$I$747:$J$747</definedName>
    <definedName name="IQRCompaniesH748" localSheetId="32" hidden="1">[5]Companies!$I$748:$M$748</definedName>
    <definedName name="IQRCompaniesH748" hidden="1">[5]Companies!$I$748:$M$748</definedName>
    <definedName name="IQRCompaniesH749" localSheetId="32" hidden="1">[5]Companies!$I$749:$M$749</definedName>
    <definedName name="IQRCompaniesH749" hidden="1">[5]Companies!$I$749:$M$749</definedName>
    <definedName name="IQRCompaniesH75" hidden="1">[4]Companies!$I$75:$M$75</definedName>
    <definedName name="IQRCompaniesH750" localSheetId="32" hidden="1">[5]Companies!$I$750:$J$750</definedName>
    <definedName name="IQRCompaniesH750" hidden="1">[5]Companies!$I$750:$J$750</definedName>
    <definedName name="IQRCompaniesH751" localSheetId="32" hidden="1">[5]Companies!$I$751:$M$751</definedName>
    <definedName name="IQRCompaniesH751" hidden="1">[5]Companies!$I$751:$M$751</definedName>
    <definedName name="IQRCompaniesH754" localSheetId="32" hidden="1">[5]Companies!$I$754</definedName>
    <definedName name="IQRCompaniesH754" hidden="1">[5]Companies!$I$754</definedName>
    <definedName name="IQRCompaniesH755" localSheetId="32" hidden="1">[5]Companies!$I$755:$J$755</definedName>
    <definedName name="IQRCompaniesH755" hidden="1">[5]Companies!$I$755:$J$755</definedName>
    <definedName name="IQRCompaniesH756" localSheetId="32" hidden="1">[5]Companies!$I$756:$M$756</definedName>
    <definedName name="IQRCompaniesH756" hidden="1">[5]Companies!$I$756:$M$756</definedName>
    <definedName name="IQRCompaniesH757" localSheetId="32" hidden="1">[5]Companies!$I$757:$J$757</definedName>
    <definedName name="IQRCompaniesH757" hidden="1">[5]Companies!$I$757:$J$757</definedName>
    <definedName name="IQRCompaniesH758" localSheetId="32" hidden="1">[5]Companies!$I$758</definedName>
    <definedName name="IQRCompaniesH758" hidden="1">[5]Companies!$I$758</definedName>
    <definedName name="IQRCompaniesH759" localSheetId="32" hidden="1">[5]Companies!$I$759:$M$759</definedName>
    <definedName name="IQRCompaniesH759" hidden="1">[5]Companies!$I$759:$M$759</definedName>
    <definedName name="IQRCompaniesH76" hidden="1">[4]Companies!$I$76:$M$76</definedName>
    <definedName name="IQRCompaniesH760" localSheetId="32" hidden="1">[5]Companies!$I$760:$L$760</definedName>
    <definedName name="IQRCompaniesH760" hidden="1">[5]Companies!$I$760:$L$760</definedName>
    <definedName name="IQRCompaniesH762" localSheetId="32" hidden="1">[5]Companies!$I$762</definedName>
    <definedName name="IQRCompaniesH762" hidden="1">[5]Companies!$I$762</definedName>
    <definedName name="IQRCompaniesH763" localSheetId="32" hidden="1">[5]Companies!$I$763</definedName>
    <definedName name="IQRCompaniesH763" hidden="1">[5]Companies!$I$763</definedName>
    <definedName name="IQRCompaniesH764" localSheetId="32" hidden="1">[5]Companies!$I$764:$J$764</definedName>
    <definedName name="IQRCompaniesH764" hidden="1">[5]Companies!$I$764:$J$764</definedName>
    <definedName name="IQRCompaniesH766" localSheetId="32" hidden="1">[5]Companies!$I$766</definedName>
    <definedName name="IQRCompaniesH766" hidden="1">[5]Companies!$I$766</definedName>
    <definedName name="IQRCompaniesH767" localSheetId="32" hidden="1">[5]Companies!$I$767</definedName>
    <definedName name="IQRCompaniesH767" hidden="1">[5]Companies!$I$767</definedName>
    <definedName name="IQRCompaniesH768" localSheetId="32" hidden="1">[5]Companies!$I$768</definedName>
    <definedName name="IQRCompaniesH768" hidden="1">[5]Companies!$I$768</definedName>
    <definedName name="IQRCompaniesH769" localSheetId="32" hidden="1">[5]Companies!$I$769:$J$769</definedName>
    <definedName name="IQRCompaniesH769" hidden="1">[5]Companies!$I$769:$J$769</definedName>
    <definedName name="IQRCompaniesH77" hidden="1">[4]Companies!$I$77:$M$77</definedName>
    <definedName name="IQRCompaniesH770" localSheetId="32" hidden="1">[5]Companies!$I$770:$J$770</definedName>
    <definedName name="IQRCompaniesH770" hidden="1">[5]Companies!$I$770:$J$770</definedName>
    <definedName name="IQRCompaniesH773" localSheetId="32" hidden="1">[5]Companies!$I$773:$M$773</definedName>
    <definedName name="IQRCompaniesH773" hidden="1">[5]Companies!$I$773:$M$773</definedName>
    <definedName name="IQRCompaniesH774" localSheetId="32" hidden="1">[5]Companies!$I$774:$L$774</definedName>
    <definedName name="IQRCompaniesH774" hidden="1">[5]Companies!$I$774:$L$774</definedName>
    <definedName name="IQRCompaniesH775" localSheetId="32" hidden="1">[5]Companies!$I$775:$J$775</definedName>
    <definedName name="IQRCompaniesH775" hidden="1">[5]Companies!$I$775:$J$775</definedName>
    <definedName name="IQRCompaniesH776" localSheetId="32" hidden="1">[5]Companies!$I$776:$K$776</definedName>
    <definedName name="IQRCompaniesH776" hidden="1">[5]Companies!$I$776:$K$776</definedName>
    <definedName name="IQRCompaniesH777" localSheetId="32" hidden="1">[5]Companies!$I$777</definedName>
    <definedName name="IQRCompaniesH777" hidden="1">[5]Companies!$I$777</definedName>
    <definedName name="IQRCompaniesH778" localSheetId="32" hidden="1">[5]Companies!$I$778</definedName>
    <definedName name="IQRCompaniesH778" hidden="1">[5]Companies!$I$778</definedName>
    <definedName name="IQRCompaniesH78" hidden="1">[4]Companies!$I$78:$K$78</definedName>
    <definedName name="IQRCompaniesH780" localSheetId="32" hidden="1">[5]Companies!$I$780</definedName>
    <definedName name="IQRCompaniesH780" hidden="1">[5]Companies!$I$780</definedName>
    <definedName name="IQRCompaniesH782" localSheetId="32" hidden="1">[5]Companies!$I$782</definedName>
    <definedName name="IQRCompaniesH782" hidden="1">[5]Companies!$I$782</definedName>
    <definedName name="IQRCompaniesH783" localSheetId="32" hidden="1">[5]Companies!$I$783:$J$783</definedName>
    <definedName name="IQRCompaniesH783" hidden="1">[5]Companies!$I$783:$J$783</definedName>
    <definedName name="IQRCompaniesH784" localSheetId="32" hidden="1">[5]Companies!$I$784:$M$784</definedName>
    <definedName name="IQRCompaniesH784" hidden="1">[5]Companies!$I$784:$M$784</definedName>
    <definedName name="IQRCompaniesH785" localSheetId="32" hidden="1">[5]Companies!$I$785</definedName>
    <definedName name="IQRCompaniesH785" hidden="1">[5]Companies!$I$785</definedName>
    <definedName name="IQRCompaniesH787" localSheetId="32" hidden="1">[5]Companies!$I$787:$M$787</definedName>
    <definedName name="IQRCompaniesH787" hidden="1">[5]Companies!$I$787:$M$787</definedName>
    <definedName name="IQRCompaniesH788" localSheetId="32" hidden="1">[5]Companies!$I$788:$J$788</definedName>
    <definedName name="IQRCompaniesH788" hidden="1">[5]Companies!$I$788:$J$788</definedName>
    <definedName name="IQRCompaniesH789" localSheetId="32" hidden="1">[5]Companies!$I$789</definedName>
    <definedName name="IQRCompaniesH789" hidden="1">[5]Companies!$I$789</definedName>
    <definedName name="IQRCompaniesH79" hidden="1">[4]Companies!$I$79:$K$79</definedName>
    <definedName name="IQRCompaniesH790" localSheetId="32" hidden="1">[5]Companies!$I$790:$M$790</definedName>
    <definedName name="IQRCompaniesH790" hidden="1">[5]Companies!$I$790:$M$790</definedName>
    <definedName name="IQRCompaniesH791" localSheetId="32" hidden="1">[5]Companies!$I$791</definedName>
    <definedName name="IQRCompaniesH791" hidden="1">[5]Companies!$I$791</definedName>
    <definedName name="IQRCompaniesH792" localSheetId="32" hidden="1">[5]Companies!$I$792:$K$792</definedName>
    <definedName name="IQRCompaniesH792" hidden="1">[5]Companies!$I$792:$K$792</definedName>
    <definedName name="IQRCompaniesH793" localSheetId="32" hidden="1">[5]Companies!$I$793</definedName>
    <definedName name="IQRCompaniesH793" hidden="1">[5]Companies!$I$793</definedName>
    <definedName name="IQRCompaniesH794" localSheetId="32" hidden="1">[5]Companies!$I$794:$J$794</definedName>
    <definedName name="IQRCompaniesH794" hidden="1">[5]Companies!$I$794:$J$794</definedName>
    <definedName name="IQRCompaniesH795" localSheetId="32" hidden="1">[5]Companies!$I$795</definedName>
    <definedName name="IQRCompaniesH795" hidden="1">[5]Companies!$I$795</definedName>
    <definedName name="IQRCompaniesH796" localSheetId="32" hidden="1">[5]Companies!$I$796:$M$796</definedName>
    <definedName name="IQRCompaniesH796" hidden="1">[5]Companies!$I$796:$M$796</definedName>
    <definedName name="IQRCompaniesH797" localSheetId="32" hidden="1">[5]Companies!$I$797</definedName>
    <definedName name="IQRCompaniesH797" hidden="1">[5]Companies!$I$797</definedName>
    <definedName name="IQRCompaniesH80" hidden="1">[4]Companies!$I$80:$M$80</definedName>
    <definedName name="IQRCompaniesH800" localSheetId="32" hidden="1">[5]Companies!$I$800:$M$800</definedName>
    <definedName name="IQRCompaniesH800" hidden="1">[5]Companies!$I$800:$M$800</definedName>
    <definedName name="IQRCompaniesH801" localSheetId="32" hidden="1">[5]Companies!$I$801:$M$801</definedName>
    <definedName name="IQRCompaniesH801" hidden="1">[5]Companies!$I$801:$M$801</definedName>
    <definedName name="IQRCompaniesH802" localSheetId="32" hidden="1">[5]Companies!$I$802:$J$802</definedName>
    <definedName name="IQRCompaniesH802" hidden="1">[5]Companies!$I$802:$J$802</definedName>
    <definedName name="IQRCompaniesH803" localSheetId="32" hidden="1">[5]Companies!$I$803:$J$803</definedName>
    <definedName name="IQRCompaniesH803" hidden="1">[5]Companies!$I$803:$J$803</definedName>
    <definedName name="IQRCompaniesH804" localSheetId="32" hidden="1">[5]Companies!$I$804</definedName>
    <definedName name="IQRCompaniesH804" hidden="1">[5]Companies!$I$804</definedName>
    <definedName name="IQRCompaniesH805" localSheetId="32" hidden="1">[5]Companies!$I$805:$L$805</definedName>
    <definedName name="IQRCompaniesH805" hidden="1">[5]Companies!$I$805:$L$805</definedName>
    <definedName name="IQRCompaniesH807" localSheetId="32" hidden="1">[5]Companies!$I$807</definedName>
    <definedName name="IQRCompaniesH807" hidden="1">[5]Companies!$I$807</definedName>
    <definedName name="IQRCompaniesH808" localSheetId="32" hidden="1">[5]Companies!$I$808:$J$808</definedName>
    <definedName name="IQRCompaniesH808" hidden="1">[5]Companies!$I$808:$J$808</definedName>
    <definedName name="IQRCompaniesH81" hidden="1">[4]Companies!$I$81:$M$81</definedName>
    <definedName name="IQRCompaniesH810" localSheetId="32" hidden="1">[5]Companies!$I$810</definedName>
    <definedName name="IQRCompaniesH810" hidden="1">[5]Companies!$I$810</definedName>
    <definedName name="IQRCompaniesH811" localSheetId="32" hidden="1">[5]Companies!$I$811:$M$811</definedName>
    <definedName name="IQRCompaniesH811" hidden="1">[5]Companies!$I$811:$M$811</definedName>
    <definedName name="IQRCompaniesH812" localSheetId="32" hidden="1">[5]Companies!$I$812:$J$812</definedName>
    <definedName name="IQRCompaniesH812" hidden="1">[5]Companies!$I$812:$J$812</definedName>
    <definedName name="IQRCompaniesH814" localSheetId="32" hidden="1">[5]Companies!$I$814:$M$814</definedName>
    <definedName name="IQRCompaniesH814" hidden="1">[5]Companies!$I$814:$M$814</definedName>
    <definedName name="IQRCompaniesH815" localSheetId="32" hidden="1">[5]Companies!$I$815</definedName>
    <definedName name="IQRCompaniesH815" hidden="1">[5]Companies!$I$815</definedName>
    <definedName name="IQRCompaniesH816" localSheetId="32" hidden="1">[5]Companies!$I$816:$K$816</definedName>
    <definedName name="IQRCompaniesH816" hidden="1">[5]Companies!$I$816:$K$816</definedName>
    <definedName name="IQRCompaniesH817" localSheetId="32" hidden="1">[5]Companies!$I$817</definedName>
    <definedName name="IQRCompaniesH817" hidden="1">[5]Companies!$I$817</definedName>
    <definedName name="IQRCompaniesH818" localSheetId="32" hidden="1">[5]Companies!$I$818:$L$818</definedName>
    <definedName name="IQRCompaniesH818" hidden="1">[5]Companies!$I$818:$L$818</definedName>
    <definedName name="IQRCompaniesH819" localSheetId="32" hidden="1">[5]Companies!$I$819:$J$819</definedName>
    <definedName name="IQRCompaniesH819" hidden="1">[5]Companies!$I$819:$J$819</definedName>
    <definedName name="IQRCompaniesH82" hidden="1">[4]Companies!$I$82:$M$82</definedName>
    <definedName name="IQRCompaniesH820" localSheetId="32" hidden="1">[5]Companies!$I$820</definedName>
    <definedName name="IQRCompaniesH820" hidden="1">[5]Companies!$I$820</definedName>
    <definedName name="IQRCompaniesH822" localSheetId="32" hidden="1">[5]Companies!$I$822:$M$822</definedName>
    <definedName name="IQRCompaniesH822" hidden="1">[5]Companies!$I$822:$M$822</definedName>
    <definedName name="IQRCompaniesH823" localSheetId="32" hidden="1">[5]Companies!$I$823</definedName>
    <definedName name="IQRCompaniesH823" hidden="1">[5]Companies!$I$823</definedName>
    <definedName name="IQRCompaniesH824" localSheetId="32" hidden="1">[5]Companies!$I$824:$M$824</definedName>
    <definedName name="IQRCompaniesH824" hidden="1">[5]Companies!$I$824:$M$824</definedName>
    <definedName name="IQRCompaniesH825" localSheetId="32" hidden="1">[5]Companies!$I$825:$M$825</definedName>
    <definedName name="IQRCompaniesH825" hidden="1">[5]Companies!$I$825:$M$825</definedName>
    <definedName name="IQRCompaniesH826" localSheetId="32" hidden="1">[5]Companies!$I$826:$K$826</definedName>
    <definedName name="IQRCompaniesH826" hidden="1">[5]Companies!$I$826:$K$826</definedName>
    <definedName name="IQRCompaniesH827" localSheetId="32" hidden="1">[5]Companies!$I$827</definedName>
    <definedName name="IQRCompaniesH827" hidden="1">[5]Companies!$I$827</definedName>
    <definedName name="IQRCompaniesH828" localSheetId="32" hidden="1">[5]Companies!$I$828:$J$828</definedName>
    <definedName name="IQRCompaniesH828" hidden="1">[5]Companies!$I$828:$J$828</definedName>
    <definedName name="IQRCompaniesH829" localSheetId="32" hidden="1">[5]Companies!$I$829:$L$829</definedName>
    <definedName name="IQRCompaniesH829" hidden="1">[5]Companies!$I$829:$L$829</definedName>
    <definedName name="IQRCompaniesH83" hidden="1">[4]Companies!$I$83:$M$83</definedName>
    <definedName name="IQRCompaniesH830" localSheetId="32" hidden="1">[5]Companies!$I$830:$M$830</definedName>
    <definedName name="IQRCompaniesH830" hidden="1">[5]Companies!$I$830:$M$830</definedName>
    <definedName name="IQRCompaniesH832" localSheetId="32" hidden="1">[5]Companies!$I$832:$M$832</definedName>
    <definedName name="IQRCompaniesH832" hidden="1">[5]Companies!$I$832:$M$832</definedName>
    <definedName name="IQRCompaniesH833" localSheetId="32" hidden="1">[5]Companies!$I$833:$M$833</definedName>
    <definedName name="IQRCompaniesH833" hidden="1">[5]Companies!$I$833:$M$833</definedName>
    <definedName name="IQRCompaniesH834" localSheetId="32" hidden="1">[5]Companies!$I$834</definedName>
    <definedName name="IQRCompaniesH834" hidden="1">[5]Companies!$I$834</definedName>
    <definedName name="IQRCompaniesH835" localSheetId="32" hidden="1">[5]Companies!$I$835:$M$835</definedName>
    <definedName name="IQRCompaniesH835" hidden="1">[5]Companies!$I$835:$M$835</definedName>
    <definedName name="IQRCompaniesH836" localSheetId="32" hidden="1">[5]Companies!$I$836</definedName>
    <definedName name="IQRCompaniesH836" hidden="1">[5]Companies!$I$836</definedName>
    <definedName name="IQRCompaniesH837" localSheetId="32" hidden="1">[5]Companies!$I$837:$J$837</definedName>
    <definedName name="IQRCompaniesH837" hidden="1">[5]Companies!$I$837:$J$837</definedName>
    <definedName name="IQRCompaniesH838" localSheetId="32" hidden="1">[5]Companies!$I$838:$J$838</definedName>
    <definedName name="IQRCompaniesH838" hidden="1">[5]Companies!$I$838:$J$838</definedName>
    <definedName name="IQRCompaniesH84" hidden="1">[4]Companies!$I$84:$J$84</definedName>
    <definedName name="IQRCompaniesH840" localSheetId="32" hidden="1">[5]Companies!$I$840:$M$840</definedName>
    <definedName name="IQRCompaniesH840" hidden="1">[5]Companies!$I$840:$M$840</definedName>
    <definedName name="IQRCompaniesH842" localSheetId="32" hidden="1">[5]Companies!$I$842:$M$842</definedName>
    <definedName name="IQRCompaniesH842" hidden="1">[5]Companies!$I$842:$M$842</definedName>
    <definedName name="IQRCompaniesH843" localSheetId="32" hidden="1">[5]Companies!$I$843:$J$843</definedName>
    <definedName name="IQRCompaniesH843" hidden="1">[5]Companies!$I$843:$J$843</definedName>
    <definedName name="IQRCompaniesH844" localSheetId="32" hidden="1">[5]Companies!$I$844</definedName>
    <definedName name="IQRCompaniesH844" hidden="1">[5]Companies!$I$844</definedName>
    <definedName name="IQRCompaniesH845" localSheetId="32" hidden="1">[5]Companies!$I$845</definedName>
    <definedName name="IQRCompaniesH845" hidden="1">[5]Companies!$I$845</definedName>
    <definedName name="IQRCompaniesH846" localSheetId="32" hidden="1">[5]Companies!$I$846:$J$846</definedName>
    <definedName name="IQRCompaniesH846" hidden="1">[5]Companies!$I$846:$J$846</definedName>
    <definedName name="IQRCompaniesH847" localSheetId="32" hidden="1">[5]Companies!$I$847</definedName>
    <definedName name="IQRCompaniesH847" hidden="1">[5]Companies!$I$847</definedName>
    <definedName name="IQRCompaniesH848" localSheetId="32" hidden="1">[5]Companies!$I$848:$M$848</definedName>
    <definedName name="IQRCompaniesH848" hidden="1">[5]Companies!$I$848:$M$848</definedName>
    <definedName name="IQRCompaniesH849" localSheetId="32" hidden="1">[5]Companies!$I$849</definedName>
    <definedName name="IQRCompaniesH849" hidden="1">[5]Companies!$I$849</definedName>
    <definedName name="IQRCompaniesH85" hidden="1">[4]Companies!$I$85:$M$85</definedName>
    <definedName name="IQRCompaniesH851" localSheetId="32" hidden="1">[5]Companies!$I$851:$M$851</definedName>
    <definedName name="IQRCompaniesH851" hidden="1">[5]Companies!$I$851:$M$851</definedName>
    <definedName name="IQRCompaniesH852" localSheetId="32" hidden="1">[5]Companies!$I$852:$M$852</definedName>
    <definedName name="IQRCompaniesH852" hidden="1">[5]Companies!$I$852:$M$852</definedName>
    <definedName name="IQRCompaniesH855" localSheetId="32" hidden="1">[5]Companies!$I$855:$K$855</definedName>
    <definedName name="IQRCompaniesH855" hidden="1">[5]Companies!$I$855:$K$855</definedName>
    <definedName name="IQRCompaniesH856" localSheetId="32" hidden="1">[5]Companies!$I$856:$J$856</definedName>
    <definedName name="IQRCompaniesH856" hidden="1">[5]Companies!$I$856:$J$856</definedName>
    <definedName name="IQRCompaniesH857" localSheetId="32" hidden="1">[5]Companies!$I$857:$M$857</definedName>
    <definedName name="IQRCompaniesH857" hidden="1">[5]Companies!$I$857:$M$857</definedName>
    <definedName name="IQRCompaniesH858" localSheetId="32" hidden="1">[5]Companies!$I$858</definedName>
    <definedName name="IQRCompaniesH858" hidden="1">[5]Companies!$I$858</definedName>
    <definedName name="IQRCompaniesH859" localSheetId="32" hidden="1">[5]Companies!$I$859:$J$859</definedName>
    <definedName name="IQRCompaniesH859" hidden="1">[5]Companies!$I$859:$J$859</definedName>
    <definedName name="IQRCompaniesH86" hidden="1">[4]Companies!$I$86:$M$86</definedName>
    <definedName name="IQRCompaniesH860" localSheetId="32" hidden="1">[5]Companies!$I$860</definedName>
    <definedName name="IQRCompaniesH860" hidden="1">[5]Companies!$I$860</definedName>
    <definedName name="IQRCompaniesH861" localSheetId="32" hidden="1">[5]Companies!$I$861</definedName>
    <definedName name="IQRCompaniesH861" hidden="1">[5]Companies!$I$861</definedName>
    <definedName name="IQRCompaniesH862" localSheetId="32" hidden="1">[5]Companies!$I$862</definedName>
    <definedName name="IQRCompaniesH862" hidden="1">[5]Companies!$I$862</definedName>
    <definedName name="IQRCompaniesH863" localSheetId="32" hidden="1">[5]Companies!$I$863:$M$863</definedName>
    <definedName name="IQRCompaniesH863" hidden="1">[5]Companies!$I$863:$M$863</definedName>
    <definedName name="IQRCompaniesH864" localSheetId="32" hidden="1">[5]Companies!$I$864</definedName>
    <definedName name="IQRCompaniesH864" hidden="1">[5]Companies!$I$864</definedName>
    <definedName name="IQRCompaniesH865" localSheetId="32" hidden="1">[5]Companies!$I$865</definedName>
    <definedName name="IQRCompaniesH865" hidden="1">[5]Companies!$I$865</definedName>
    <definedName name="IQRCompaniesH866" localSheetId="32" hidden="1">[5]Companies!$I$866:$M$866</definedName>
    <definedName name="IQRCompaniesH866" hidden="1">[5]Companies!$I$866:$M$866</definedName>
    <definedName name="IQRCompaniesH867" localSheetId="32" hidden="1">[5]Companies!$I$867:$J$867</definedName>
    <definedName name="IQRCompaniesH867" hidden="1">[5]Companies!$I$867:$J$867</definedName>
    <definedName name="IQRCompaniesH868" localSheetId="32" hidden="1">[5]Companies!$I$868:$J$868</definedName>
    <definedName name="IQRCompaniesH868" hidden="1">[5]Companies!$I$868:$J$868</definedName>
    <definedName name="IQRCompaniesH869" localSheetId="32" hidden="1">[5]Companies!$I$869:$M$869</definedName>
    <definedName name="IQRCompaniesH869" hidden="1">[5]Companies!$I$869:$M$869</definedName>
    <definedName name="IQRCompaniesH87" hidden="1">[4]Companies!$I$87:$M$87</definedName>
    <definedName name="IQRCompaniesH871" localSheetId="32" hidden="1">[5]Companies!$I$871:$K$871</definedName>
    <definedName name="IQRCompaniesH871" hidden="1">[5]Companies!$I$871:$K$871</definedName>
    <definedName name="IQRCompaniesH873" localSheetId="32" hidden="1">[5]Companies!$I$873</definedName>
    <definedName name="IQRCompaniesH873" hidden="1">[5]Companies!$I$873</definedName>
    <definedName name="IQRCompaniesH874" localSheetId="32" hidden="1">[5]Companies!$I$874</definedName>
    <definedName name="IQRCompaniesH874" hidden="1">[5]Companies!$I$874</definedName>
    <definedName name="IQRCompaniesH875" localSheetId="32" hidden="1">[5]Companies!$I$875</definedName>
    <definedName name="IQRCompaniesH875" hidden="1">[5]Companies!$I$875</definedName>
    <definedName name="IQRCompaniesH876" localSheetId="32" hidden="1">[5]Companies!$I$876:$M$876</definedName>
    <definedName name="IQRCompaniesH876" hidden="1">[5]Companies!$I$876:$M$876</definedName>
    <definedName name="IQRCompaniesH877" localSheetId="32" hidden="1">[5]Companies!$I$877</definedName>
    <definedName name="IQRCompaniesH877" hidden="1">[5]Companies!$I$877</definedName>
    <definedName name="IQRCompaniesH878" localSheetId="32" hidden="1">[5]Companies!$I$878</definedName>
    <definedName name="IQRCompaniesH878" hidden="1">[5]Companies!$I$878</definedName>
    <definedName name="IQRCompaniesH879" localSheetId="32" hidden="1">[5]Companies!$I$879:$J$879</definedName>
    <definedName name="IQRCompaniesH879" hidden="1">[5]Companies!$I$879:$J$879</definedName>
    <definedName name="IQRCompaniesH88" hidden="1">[4]Companies!$I$88:$J$88</definedName>
    <definedName name="IQRCompaniesH880" localSheetId="32" hidden="1">[5]Companies!$I$880:$M$880</definedName>
    <definedName name="IQRCompaniesH880" hidden="1">[5]Companies!$I$880:$M$880</definedName>
    <definedName name="IQRCompaniesH882" localSheetId="32" hidden="1">[5]Companies!$I$882:$M$882</definedName>
    <definedName name="IQRCompaniesH882" hidden="1">[5]Companies!$I$882:$M$882</definedName>
    <definedName name="IQRCompaniesH883" localSheetId="32" hidden="1">[5]Companies!$I$883</definedName>
    <definedName name="IQRCompaniesH883" hidden="1">[5]Companies!$I$883</definedName>
    <definedName name="IQRCompaniesH884" localSheetId="32" hidden="1">[5]Companies!$I$884:$J$884</definedName>
    <definedName name="IQRCompaniesH884" hidden="1">[5]Companies!$I$884:$J$884</definedName>
    <definedName name="IQRCompaniesH885" localSheetId="32" hidden="1">[5]Companies!$I$885:$K$885</definedName>
    <definedName name="IQRCompaniesH885" hidden="1">[5]Companies!$I$885:$K$885</definedName>
    <definedName name="IQRCompaniesH886" localSheetId="32" hidden="1">[5]Companies!$I$886</definedName>
    <definedName name="IQRCompaniesH886" hidden="1">[5]Companies!$I$886</definedName>
    <definedName name="IQRCompaniesH887" localSheetId="32" hidden="1">[5]Companies!$I$887</definedName>
    <definedName name="IQRCompaniesH887" hidden="1">[5]Companies!$I$887</definedName>
    <definedName name="IQRCompaniesH888" localSheetId="32" hidden="1">[5]Companies!$I$888:$M$888</definedName>
    <definedName name="IQRCompaniesH888" hidden="1">[5]Companies!$I$888:$M$888</definedName>
    <definedName name="IQRCompaniesH89" hidden="1">[4]Companies!$I$89</definedName>
    <definedName name="IQRCompaniesH890" localSheetId="32" hidden="1">[5]Companies!$I$890:$M$890</definedName>
    <definedName name="IQRCompaniesH890" hidden="1">[5]Companies!$I$890:$M$890</definedName>
    <definedName name="IQRCompaniesH892" localSheetId="32" hidden="1">[5]Companies!$I$892:$J$892</definedName>
    <definedName name="IQRCompaniesH892" hidden="1">[5]Companies!$I$892:$J$892</definedName>
    <definedName name="IQRCompaniesH893" localSheetId="32" hidden="1">[5]Companies!$I$893</definedName>
    <definedName name="IQRCompaniesH893" hidden="1">[5]Companies!$I$893</definedName>
    <definedName name="IQRCompaniesH894" localSheetId="32" hidden="1">[5]Companies!$I$894:$L$894</definedName>
    <definedName name="IQRCompaniesH894" hidden="1">[5]Companies!$I$894:$L$894</definedName>
    <definedName name="IQRCompaniesH895" localSheetId="32" hidden="1">[5]Companies!$I$895</definedName>
    <definedName name="IQRCompaniesH895" hidden="1">[5]Companies!$I$895</definedName>
    <definedName name="IQRCompaniesH898" localSheetId="32" hidden="1">[5]Companies!$I$898:$K$898</definedName>
    <definedName name="IQRCompaniesH898" hidden="1">[5]Companies!$I$898:$K$898</definedName>
    <definedName name="IQRCompaniesH899" localSheetId="32" hidden="1">[5]Companies!$I$899</definedName>
    <definedName name="IQRCompaniesH899" hidden="1">[5]Companies!$I$899</definedName>
    <definedName name="IQRCompaniesH90" hidden="1">[4]Companies!$I$90:$M$90</definedName>
    <definedName name="IQRCompaniesH900" localSheetId="32" hidden="1">[5]Companies!$I$900:$M$900</definedName>
    <definedName name="IQRCompaniesH900" hidden="1">[5]Companies!$I$900:$M$900</definedName>
    <definedName name="IQRCompaniesH901" localSheetId="32" hidden="1">[5]Companies!$I$901:$J$901</definedName>
    <definedName name="IQRCompaniesH901" hidden="1">[5]Companies!$I$901:$J$901</definedName>
    <definedName name="IQRCompaniesH902" localSheetId="32" hidden="1">[5]Companies!$I$902:$M$902</definedName>
    <definedName name="IQRCompaniesH902" hidden="1">[5]Companies!$I$902:$M$902</definedName>
    <definedName name="IQRCompaniesH906" localSheetId="32" hidden="1">[5]Companies!$I$906:$K$906</definedName>
    <definedName name="IQRCompaniesH906" hidden="1">[5]Companies!$I$906:$K$906</definedName>
    <definedName name="IQRCompaniesH907" localSheetId="32" hidden="1">[5]Companies!$I$907</definedName>
    <definedName name="IQRCompaniesH907" hidden="1">[5]Companies!$I$907</definedName>
    <definedName name="IQRCompaniesH908" localSheetId="32" hidden="1">[5]Companies!$I$908:$K$908</definedName>
    <definedName name="IQRCompaniesH908" hidden="1">[5]Companies!$I$908:$K$908</definedName>
    <definedName name="IQRCompaniesH909" localSheetId="32" hidden="1">[5]Companies!$I$909:$M$909</definedName>
    <definedName name="IQRCompaniesH909" hidden="1">[5]Companies!$I$909:$M$909</definedName>
    <definedName name="IQRCompaniesH91" hidden="1">[4]Companies!$I$91:$M$91</definedName>
    <definedName name="IQRCompaniesH910" localSheetId="32" hidden="1">[5]Companies!$I$910:$M$910</definedName>
    <definedName name="IQRCompaniesH910" hidden="1">[5]Companies!$I$910:$M$910</definedName>
    <definedName name="IQRCompaniesH911" localSheetId="32" hidden="1">[5]Companies!$I$911:$J$911</definedName>
    <definedName name="IQRCompaniesH911" hidden="1">[5]Companies!$I$911:$J$911</definedName>
    <definedName name="IQRCompaniesH912" localSheetId="32" hidden="1">[5]Companies!$I$912</definedName>
    <definedName name="IQRCompaniesH912" hidden="1">[5]Companies!$I$912</definedName>
    <definedName name="IQRCompaniesH913" localSheetId="32" hidden="1">[5]Companies!$I$913</definedName>
    <definedName name="IQRCompaniesH913" hidden="1">[5]Companies!$I$913</definedName>
    <definedName name="IQRCompaniesH914" localSheetId="32" hidden="1">[5]Companies!$I$914:$J$914</definedName>
    <definedName name="IQRCompaniesH914" hidden="1">[5]Companies!$I$914:$J$914</definedName>
    <definedName name="IQRCompaniesH915" localSheetId="32" hidden="1">[5]Companies!$I$915</definedName>
    <definedName name="IQRCompaniesH915" hidden="1">[5]Companies!$I$915</definedName>
    <definedName name="IQRCompaniesH916" localSheetId="32" hidden="1">[5]Companies!$I$916:$M$916</definedName>
    <definedName name="IQRCompaniesH916" hidden="1">[5]Companies!$I$916:$M$916</definedName>
    <definedName name="IQRCompaniesH917" localSheetId="32" hidden="1">[5]Companies!$I$917</definedName>
    <definedName name="IQRCompaniesH917" hidden="1">[5]Companies!$I$917</definedName>
    <definedName name="IQRCompaniesH918" localSheetId="32" hidden="1">[5]Companies!$I$918:$K$918</definedName>
    <definedName name="IQRCompaniesH918" hidden="1">[5]Companies!$I$918:$K$918</definedName>
    <definedName name="IQRCompaniesH919" localSheetId="32" hidden="1">[5]Companies!$I$919:$M$919</definedName>
    <definedName name="IQRCompaniesH919" hidden="1">[5]Companies!$I$919:$M$919</definedName>
    <definedName name="IQRCompaniesH92" hidden="1">[4]Companies!$I$92:$M$92</definedName>
    <definedName name="IQRCompaniesH920" localSheetId="32" hidden="1">[5]Companies!$I$920</definedName>
    <definedName name="IQRCompaniesH920" hidden="1">[5]Companies!$I$920</definedName>
    <definedName name="IQRCompaniesH921" localSheetId="32" hidden="1">[5]Companies!$I$921</definedName>
    <definedName name="IQRCompaniesH921" hidden="1">[5]Companies!$I$921</definedName>
    <definedName name="IQRCompaniesH922" localSheetId="32" hidden="1">[5]Companies!$I$922:$K$922</definedName>
    <definedName name="IQRCompaniesH922" hidden="1">[5]Companies!$I$922:$K$922</definedName>
    <definedName name="IQRCompaniesH923" localSheetId="32" hidden="1">[5]Companies!$I$923:$J$923</definedName>
    <definedName name="IQRCompaniesH923" hidden="1">[5]Companies!$I$923:$J$923</definedName>
    <definedName name="IQRCompaniesH924" localSheetId="32" hidden="1">[5]Companies!$I$924:$M$924</definedName>
    <definedName name="IQRCompaniesH924" hidden="1">[5]Companies!$I$924:$M$924</definedName>
    <definedName name="IQRCompaniesH925" localSheetId="32" hidden="1">[5]Companies!$I$925</definedName>
    <definedName name="IQRCompaniesH925" hidden="1">[5]Companies!$I$925</definedName>
    <definedName name="IQRCompaniesH926" localSheetId="32" hidden="1">[5]Companies!$I$926:$J$926</definedName>
    <definedName name="IQRCompaniesH926" hidden="1">[5]Companies!$I$926:$J$926</definedName>
    <definedName name="IQRCompaniesH927" localSheetId="32" hidden="1">[5]Companies!$I$927</definedName>
    <definedName name="IQRCompaniesH927" hidden="1">[5]Companies!$I$927</definedName>
    <definedName name="IQRCompaniesH928" localSheetId="32" hidden="1">[5]Companies!$I$928</definedName>
    <definedName name="IQRCompaniesH928" hidden="1">[5]Companies!$I$928</definedName>
    <definedName name="IQRCompaniesH929" localSheetId="32" hidden="1">[5]Companies!$I$929</definedName>
    <definedName name="IQRCompaniesH929" hidden="1">[5]Companies!$I$929</definedName>
    <definedName name="IQRCompaniesH93" hidden="1">[4]Companies!$I$93</definedName>
    <definedName name="IQRCompaniesH930" localSheetId="32" hidden="1">[5]Companies!$I$930:$M$930</definedName>
    <definedName name="IQRCompaniesH930" hidden="1">[5]Companies!$I$930:$M$930</definedName>
    <definedName name="IQRCompaniesH931" localSheetId="32" hidden="1">[5]Companies!$I$931</definedName>
    <definedName name="IQRCompaniesH931" hidden="1">[5]Companies!$I$931</definedName>
    <definedName name="IQRCompaniesH932" localSheetId="32" hidden="1">[5]Companies!$I$932</definedName>
    <definedName name="IQRCompaniesH932" hidden="1">[5]Companies!$I$932</definedName>
    <definedName name="IQRCompaniesH933" localSheetId="32" hidden="1">[5]Companies!$I$933:$M$933</definedName>
    <definedName name="IQRCompaniesH933" hidden="1">[5]Companies!$I$933:$M$933</definedName>
    <definedName name="IQRCompaniesH934" localSheetId="32" hidden="1">[5]Companies!$I$934:$J$934</definedName>
    <definedName name="IQRCompaniesH934" hidden="1">[5]Companies!$I$934:$J$934</definedName>
    <definedName name="IQRCompaniesH935" localSheetId="32" hidden="1">[5]Companies!$I$935:$K$935</definedName>
    <definedName name="IQRCompaniesH935" hidden="1">[5]Companies!$I$935:$K$935</definedName>
    <definedName name="IQRCompaniesH936" localSheetId="32" hidden="1">[5]Companies!$I$936</definedName>
    <definedName name="IQRCompaniesH936" hidden="1">[5]Companies!$I$936</definedName>
    <definedName name="IQRCompaniesH937" localSheetId="32" hidden="1">[5]Companies!$I$937</definedName>
    <definedName name="IQRCompaniesH937" hidden="1">[5]Companies!$I$937</definedName>
    <definedName name="IQRCompaniesH938" localSheetId="32" hidden="1">[5]Companies!$I$938:$J$938</definedName>
    <definedName name="IQRCompaniesH938" hidden="1">[5]Companies!$I$938:$J$938</definedName>
    <definedName name="IQRCompaniesH939" localSheetId="32" hidden="1">[5]Companies!$I$939</definedName>
    <definedName name="IQRCompaniesH939" hidden="1">[5]Companies!$I$939</definedName>
    <definedName name="IQRCompaniesH94" hidden="1">[4]Companies!$I$94:$M$94</definedName>
    <definedName name="IQRCompaniesH940" localSheetId="32" hidden="1">[5]Companies!$I$940:$M$940</definedName>
    <definedName name="IQRCompaniesH940" hidden="1">[5]Companies!$I$940:$M$940</definedName>
    <definedName name="IQRCompaniesH941" localSheetId="32" hidden="1">[5]Companies!$I$941:$M$941</definedName>
    <definedName name="IQRCompaniesH941" hidden="1">[5]Companies!$I$941:$M$941</definedName>
    <definedName name="IQRCompaniesH942" localSheetId="32" hidden="1">[5]Companies!$I$942</definedName>
    <definedName name="IQRCompaniesH942" hidden="1">[5]Companies!$I$942</definedName>
    <definedName name="IQRCompaniesH943" localSheetId="32" hidden="1">[5]Companies!$I$943</definedName>
    <definedName name="IQRCompaniesH943" hidden="1">[5]Companies!$I$943</definedName>
    <definedName name="IQRCompaniesH944" localSheetId="32" hidden="1">[5]Companies!$I$944:$J$944</definedName>
    <definedName name="IQRCompaniesH944" hidden="1">[5]Companies!$I$944:$J$944</definedName>
    <definedName name="IQRCompaniesH945" localSheetId="32" hidden="1">[5]Companies!$I$945:$M$945</definedName>
    <definedName name="IQRCompaniesH945" hidden="1">[5]Companies!$I$945:$M$945</definedName>
    <definedName name="IQRCompaniesH946" localSheetId="32" hidden="1">[5]Companies!$I$946</definedName>
    <definedName name="IQRCompaniesH946" hidden="1">[5]Companies!$I$946</definedName>
    <definedName name="IQRCompaniesH947" localSheetId="32" hidden="1">[5]Companies!$I$947:$J$947</definedName>
    <definedName name="IQRCompaniesH947" hidden="1">[5]Companies!$I$947:$J$947</definedName>
    <definedName name="IQRCompaniesH948" localSheetId="32" hidden="1">[5]Companies!$I$948:$K$948</definedName>
    <definedName name="IQRCompaniesH948" hidden="1">[5]Companies!$I$948:$K$948</definedName>
    <definedName name="IQRCompaniesH949" localSheetId="32" hidden="1">[5]Companies!$I$949</definedName>
    <definedName name="IQRCompaniesH949" hidden="1">[5]Companies!$I$949</definedName>
    <definedName name="IQRCompaniesH95" hidden="1">[4]Companies!$I$95:$L$95</definedName>
    <definedName name="IQRCompaniesH950" localSheetId="32" hidden="1">[5]Companies!$I$950</definedName>
    <definedName name="IQRCompaniesH950" hidden="1">[5]Companies!$I$950</definedName>
    <definedName name="IQRCompaniesH951" localSheetId="32" hidden="1">[5]Companies!$I$951:$M$951</definedName>
    <definedName name="IQRCompaniesH951" hidden="1">[5]Companies!$I$951:$M$951</definedName>
    <definedName name="IQRCompaniesH952" localSheetId="32" hidden="1">[5]Companies!$I$952:$M$952</definedName>
    <definedName name="IQRCompaniesH952" hidden="1">[5]Companies!$I$952:$M$952</definedName>
    <definedName name="IQRCompaniesH953" localSheetId="32" hidden="1">[5]Companies!$I$953</definedName>
    <definedName name="IQRCompaniesH953" hidden="1">[5]Companies!$I$953</definedName>
    <definedName name="IQRCompaniesH954" localSheetId="32" hidden="1">[5]Companies!$I$954:$J$954</definedName>
    <definedName name="IQRCompaniesH954" hidden="1">[5]Companies!$I$954:$J$954</definedName>
    <definedName name="IQRCompaniesH955" localSheetId="32" hidden="1">[5]Companies!$I$955</definedName>
    <definedName name="IQRCompaniesH955" hidden="1">[5]Companies!$I$955</definedName>
    <definedName name="IQRCompaniesH956" localSheetId="32" hidden="1">[5]Companies!$I$956:$L$956</definedName>
    <definedName name="IQRCompaniesH956" hidden="1">[5]Companies!$I$956:$L$956</definedName>
    <definedName name="IQRCompaniesH957" localSheetId="32" hidden="1">[5]Companies!$I$957</definedName>
    <definedName name="IQRCompaniesH957" hidden="1">[5]Companies!$I$957</definedName>
    <definedName name="IQRCompaniesH958" localSheetId="32" hidden="1">[5]Companies!$I$958:$K$958</definedName>
    <definedName name="IQRCompaniesH958" hidden="1">[5]Companies!$I$958:$K$958</definedName>
    <definedName name="IQRCompaniesH959" localSheetId="32" hidden="1">[5]Companies!$I$959</definedName>
    <definedName name="IQRCompaniesH959" hidden="1">[5]Companies!$I$959</definedName>
    <definedName name="IQRCompaniesH96" hidden="1">[4]Companies!$I$96:$J$96</definedName>
    <definedName name="IQRCompaniesH960" localSheetId="32" hidden="1">[5]Companies!$I$960:$J$960</definedName>
    <definedName name="IQRCompaniesH960" hidden="1">[5]Companies!$I$960:$J$960</definedName>
    <definedName name="IQRCompaniesH961" localSheetId="32" hidden="1">[5]Companies!$I$961:$M$961</definedName>
    <definedName name="IQRCompaniesH961" hidden="1">[5]Companies!$I$961:$M$961</definedName>
    <definedName name="IQRCompaniesH962" localSheetId="32" hidden="1">[5]Companies!$I$962:$K$962</definedName>
    <definedName name="IQRCompaniesH962" hidden="1">[5]Companies!$I$962:$K$962</definedName>
    <definedName name="IQRCompaniesH963" localSheetId="32" hidden="1">[5]Companies!$I$963</definedName>
    <definedName name="IQRCompaniesH963" hidden="1">[5]Companies!$I$963</definedName>
    <definedName name="IQRCompaniesH964" localSheetId="32" hidden="1">[5]Companies!$I$964:$K$964</definedName>
    <definedName name="IQRCompaniesH964" hidden="1">[5]Companies!$I$964:$K$964</definedName>
    <definedName name="IQRCompaniesH965" localSheetId="32" hidden="1">[5]Companies!$I$965</definedName>
    <definedName name="IQRCompaniesH965" hidden="1">[5]Companies!$I$965</definedName>
    <definedName name="IQRCompaniesH966" localSheetId="32" hidden="1">[5]Companies!$I$966</definedName>
    <definedName name="IQRCompaniesH966" hidden="1">[5]Companies!$I$966</definedName>
    <definedName name="IQRCompaniesH967" localSheetId="32" hidden="1">[5]Companies!$I$967</definedName>
    <definedName name="IQRCompaniesH967" hidden="1">[5]Companies!$I$967</definedName>
    <definedName name="IQRCompaniesH968" localSheetId="32" hidden="1">[5]Companies!$I$968:$L$968</definedName>
    <definedName name="IQRCompaniesH968" hidden="1">[5]Companies!$I$968:$L$968</definedName>
    <definedName name="IQRCompaniesH969" localSheetId="32" hidden="1">[5]Companies!$I$969:$M$969</definedName>
    <definedName name="IQRCompaniesH969" hidden="1">[5]Companies!$I$969:$M$969</definedName>
    <definedName name="IQRCompaniesH97" hidden="1">[4]Companies!$I$97:$M$97</definedName>
    <definedName name="IQRCompaniesH970" localSheetId="32" hidden="1">[5]Companies!$I$970:$M$970</definedName>
    <definedName name="IQRCompaniesH970" hidden="1">[5]Companies!$I$970:$M$970</definedName>
    <definedName name="IQRCompaniesH971" localSheetId="32" hidden="1">[5]Companies!$I$971:$J$971</definedName>
    <definedName name="IQRCompaniesH971" hidden="1">[5]Companies!$I$971:$J$971</definedName>
    <definedName name="IQRCompaniesH972" localSheetId="32" hidden="1">[5]Companies!$I$972:$L$972</definedName>
    <definedName name="IQRCompaniesH972" hidden="1">[5]Companies!$I$972:$L$972</definedName>
    <definedName name="IQRCompaniesH973" localSheetId="32" hidden="1">[5]Companies!$I$973:$J$973</definedName>
    <definedName name="IQRCompaniesH973" hidden="1">[5]Companies!$I$973:$J$973</definedName>
    <definedName name="IQRCompaniesH974" localSheetId="32" hidden="1">[5]Companies!$I$974</definedName>
    <definedName name="IQRCompaniesH974" hidden="1">[5]Companies!$I$974</definedName>
    <definedName name="IQRCompaniesH975" localSheetId="32" hidden="1">[5]Companies!$I$975</definedName>
    <definedName name="IQRCompaniesH975" hidden="1">[5]Companies!$I$975</definedName>
    <definedName name="IQRCompaniesH976" localSheetId="32" hidden="1">[5]Companies!$I$976:$J$976</definedName>
    <definedName name="IQRCompaniesH976" hidden="1">[5]Companies!$I$976:$J$976</definedName>
    <definedName name="IQRCompaniesH977" localSheetId="32" hidden="1">[5]Companies!$I$977:$L$977</definedName>
    <definedName name="IQRCompaniesH977" hidden="1">[5]Companies!$I$977:$L$977</definedName>
    <definedName name="IQRCompaniesH978" localSheetId="32" hidden="1">[5]Companies!$I$978:$J$978</definedName>
    <definedName name="IQRCompaniesH978" hidden="1">[5]Companies!$I$978:$J$978</definedName>
    <definedName name="IQRCompaniesH979" localSheetId="32" hidden="1">[5]Companies!$I$979:$J$979</definedName>
    <definedName name="IQRCompaniesH979" hidden="1">[5]Companies!$I$979:$J$979</definedName>
    <definedName name="IQRCompaniesH98" hidden="1">[4]Companies!$I$98:$M$98</definedName>
    <definedName name="IQRCompaniesH980" localSheetId="32" hidden="1">[5]Companies!$I$980:$L$980</definedName>
    <definedName name="IQRCompaniesH980" hidden="1">[5]Companies!$I$980:$L$980</definedName>
    <definedName name="IQRCompaniesH981" localSheetId="32" hidden="1">[5]Companies!$I$981:$M$981</definedName>
    <definedName name="IQRCompaniesH981" hidden="1">[5]Companies!$I$981:$M$981</definedName>
    <definedName name="IQRCompaniesH982" localSheetId="32" hidden="1">[5]Companies!$I$982</definedName>
    <definedName name="IQRCompaniesH982" hidden="1">[5]Companies!$I$982</definedName>
    <definedName name="IQRCompaniesH983" localSheetId="32" hidden="1">[5]Companies!$I$983:$M$983</definedName>
    <definedName name="IQRCompaniesH983" hidden="1">[5]Companies!$I$983:$M$983</definedName>
    <definedName name="IQRCompaniesH984" localSheetId="32" hidden="1">[5]Companies!$I$984:$J$984</definedName>
    <definedName name="IQRCompaniesH984" hidden="1">[5]Companies!$I$984:$J$984</definedName>
    <definedName name="IQRCompaniesH985" localSheetId="32" hidden="1">[5]Companies!$I$985:$M$985</definedName>
    <definedName name="IQRCompaniesH985" hidden="1">[5]Companies!$I$985:$M$985</definedName>
    <definedName name="IQRCompaniesH986" localSheetId="32" hidden="1">[5]Companies!$I$986:$M$986</definedName>
    <definedName name="IQRCompaniesH986" hidden="1">[5]Companies!$I$986:$M$986</definedName>
    <definedName name="IQRCompaniesH987" localSheetId="32" hidden="1">[5]Companies!$I$987</definedName>
    <definedName name="IQRCompaniesH987" hidden="1">[5]Companies!$I$987</definedName>
    <definedName name="IQRCompaniesH988" localSheetId="32" hidden="1">[5]Companies!$I$988</definedName>
    <definedName name="IQRCompaniesH988" hidden="1">[5]Companies!$I$988</definedName>
    <definedName name="IQRCompaniesH989" localSheetId="32" hidden="1">[5]Companies!$I$989:$J$989</definedName>
    <definedName name="IQRCompaniesH989" hidden="1">[5]Companies!$I$989:$J$989</definedName>
    <definedName name="IQRCompaniesH99" hidden="1">[4]Companies!$I$99</definedName>
    <definedName name="IQRCompaniesH990" localSheetId="32" hidden="1">[5]Companies!$I$990:$J$990</definedName>
    <definedName name="IQRCompaniesH990" hidden="1">[5]Companies!$I$990:$J$990</definedName>
    <definedName name="IQRCompaniesH991" localSheetId="32" hidden="1">[5]Companies!$I$991:$M$991</definedName>
    <definedName name="IQRCompaniesH991" hidden="1">[5]Companies!$I$991:$M$991</definedName>
    <definedName name="IQRCompaniesH992" localSheetId="32" hidden="1">[5]Companies!$I$992</definedName>
    <definedName name="IQRCompaniesH992" hidden="1">[5]Companies!$I$992</definedName>
    <definedName name="IQRCompaniesH993" localSheetId="32" hidden="1">[5]Companies!$I$993:$J$993</definedName>
    <definedName name="IQRCompaniesH993" hidden="1">[5]Companies!$I$993:$J$993</definedName>
    <definedName name="IQRCompaniesH994" localSheetId="32" hidden="1">[5]Companies!$I$994</definedName>
    <definedName name="IQRCompaniesH994" hidden="1">[5]Companies!$I$994</definedName>
    <definedName name="IQRCompaniesH995" localSheetId="32" hidden="1">[5]Companies!$I$995:$J$995</definedName>
    <definedName name="IQRCompaniesH995" hidden="1">[5]Companies!$I$995:$J$995</definedName>
    <definedName name="IQRCompaniesH996" localSheetId="32" hidden="1">[5]Companies!$I$996:$M$996</definedName>
    <definedName name="IQRCompaniesH996" hidden="1">[5]Companies!$I$996:$M$996</definedName>
    <definedName name="IQRCompaniesH997" localSheetId="32" hidden="1">[5]Companies!$I$997:$M$997</definedName>
    <definedName name="IQRCompaniesH997" hidden="1">[5]Companies!$I$997:$M$997</definedName>
    <definedName name="IQRCompaniesH998" localSheetId="32" hidden="1">[5]Companies!$I$998</definedName>
    <definedName name="IQRCompaniesH998" hidden="1">[5]Companies!$I$998</definedName>
    <definedName name="IQRCompaniesH999" localSheetId="32" hidden="1">[5]Companies!$I$999:$L$999</definedName>
    <definedName name="IQRCompaniesH999" hidden="1">[5]Companies!$I$999:$L$999</definedName>
    <definedName name="IQRCompaniesN100" hidden="1">[4]Companies!$O$100:$S$100</definedName>
    <definedName name="IQRCompaniesN1000" localSheetId="32" hidden="1">[5]Companies!$O$1000</definedName>
    <definedName name="IQRCompaniesN1000" hidden="1">[5]Companies!$O$1000</definedName>
    <definedName name="IQRCompaniesN1001" localSheetId="32" hidden="1">[5]Companies!$O$1001:$S$1001</definedName>
    <definedName name="IQRCompaniesN1001" hidden="1">[5]Companies!$O$1001:$S$1001</definedName>
    <definedName name="IQRCompaniesN1002" localSheetId="32" hidden="1">[5]Companies!$O$1002:$R$1002</definedName>
    <definedName name="IQRCompaniesN1002" hidden="1">[5]Companies!$O$1002:$R$1002</definedName>
    <definedName name="IQRCompaniesN1003" localSheetId="32" hidden="1">[5]Companies!$O$1003</definedName>
    <definedName name="IQRCompaniesN1003" hidden="1">[5]Companies!$O$1003</definedName>
    <definedName name="IQRCompaniesN1004" localSheetId="32" hidden="1">[5]Companies!$O$1004:$Q$1004</definedName>
    <definedName name="IQRCompaniesN1004" hidden="1">[5]Companies!$O$1004:$Q$1004</definedName>
    <definedName name="IQRCompaniesN1005" localSheetId="32" hidden="1">[5]Companies!$O$1005:$S$1005</definedName>
    <definedName name="IQRCompaniesN1005" hidden="1">[5]Companies!$O$1005:$S$1005</definedName>
    <definedName name="IQRCompaniesN1006" localSheetId="32" hidden="1">[5]Companies!$O$1006:$S$1006</definedName>
    <definedName name="IQRCompaniesN1006" hidden="1">[5]Companies!$O$1006:$S$1006</definedName>
    <definedName name="IQRCompaniesN1007" localSheetId="32" hidden="1">[5]Companies!$O$1007</definedName>
    <definedName name="IQRCompaniesN1007" hidden="1">[5]Companies!$O$1007</definedName>
    <definedName name="IQRCompaniesN1008" localSheetId="32" hidden="1">[5]Companies!$O$1008:$S$1008</definedName>
    <definedName name="IQRCompaniesN1008" hidden="1">[5]Companies!$O$1008:$S$1008</definedName>
    <definedName name="IQRCompaniesN1009" localSheetId="32" hidden="1">[5]Companies!$O$1009:$S$1009</definedName>
    <definedName name="IQRCompaniesN1009" hidden="1">[5]Companies!$O$1009:$S$1009</definedName>
    <definedName name="IQRCompaniesN101" hidden="1">[4]Companies!$O$101:$P$101</definedName>
    <definedName name="IQRCompaniesN1010" localSheetId="32" hidden="1">[5]Companies!$O$1010</definedName>
    <definedName name="IQRCompaniesN1010" hidden="1">[5]Companies!$O$1010</definedName>
    <definedName name="IQRCompaniesN1011" localSheetId="32" hidden="1">[5]Companies!$O$1011</definedName>
    <definedName name="IQRCompaniesN1011" hidden="1">[5]Companies!$O$1011</definedName>
    <definedName name="IQRCompaniesN1012" localSheetId="32" hidden="1">[5]Companies!$O$1012:$R$1012</definedName>
    <definedName name="IQRCompaniesN1012" hidden="1">[5]Companies!$O$1012:$R$1012</definedName>
    <definedName name="IQRCompaniesN1013" localSheetId="32" hidden="1">[5]Companies!$O$1013</definedName>
    <definedName name="IQRCompaniesN1013" hidden="1">[5]Companies!$O$1013</definedName>
    <definedName name="IQRCompaniesN1014" localSheetId="32" hidden="1">[5]Companies!$O$1014:$S$1014</definedName>
    <definedName name="IQRCompaniesN1014" hidden="1">[5]Companies!$O$1014:$S$1014</definedName>
    <definedName name="IQRCompaniesN1015" localSheetId="32" hidden="1">[5]Companies!$O$1015</definedName>
    <definedName name="IQRCompaniesN1015" hidden="1">[5]Companies!$O$1015</definedName>
    <definedName name="IQRCompaniesN1016" localSheetId="32" hidden="1">[5]Companies!$O$1016:$P$1016</definedName>
    <definedName name="IQRCompaniesN1016" hidden="1">[5]Companies!$O$1016:$P$1016</definedName>
    <definedName name="IQRCompaniesN1017" localSheetId="32" hidden="1">[5]Companies!$O$1017:$P$1017</definedName>
    <definedName name="IQRCompaniesN1017" hidden="1">[5]Companies!$O$1017:$P$1017</definedName>
    <definedName name="IQRCompaniesN1018" localSheetId="32" hidden="1">[5]Companies!$O$1018</definedName>
    <definedName name="IQRCompaniesN1018" hidden="1">[5]Companies!$O$1018</definedName>
    <definedName name="IQRCompaniesN1019" localSheetId="32" hidden="1">[5]Companies!$O$1019:$P$1019</definedName>
    <definedName name="IQRCompaniesN1019" hidden="1">[5]Companies!$O$1019:$P$1019</definedName>
    <definedName name="IQRCompaniesN102" hidden="1">[4]Companies!$O$102:$S$102</definedName>
    <definedName name="IQRCompaniesN1020" localSheetId="32" hidden="1">[5]Companies!$O$1020:$S$1020</definedName>
    <definedName name="IQRCompaniesN1020" hidden="1">[5]Companies!$O$1020:$S$1020</definedName>
    <definedName name="IQRCompaniesN1021" localSheetId="32" hidden="1">[5]Companies!$O$1021:$R$1021</definedName>
    <definedName name="IQRCompaniesN1021" hidden="1">[5]Companies!$O$1021:$R$1021</definedName>
    <definedName name="IQRCompaniesN1022" localSheetId="32" hidden="1">[5]Companies!$O$1022:$S$1022</definedName>
    <definedName name="IQRCompaniesN1022" hidden="1">[5]Companies!$O$1022:$S$1022</definedName>
    <definedName name="IQRCompaniesN1023" localSheetId="32" hidden="1">[5]Companies!$O$1023</definedName>
    <definedName name="IQRCompaniesN1023" hidden="1">[5]Companies!$O$1023</definedName>
    <definedName name="IQRCompaniesN1024" localSheetId="32" hidden="1">[5]Companies!$O$1024:$S$1024</definedName>
    <definedName name="IQRCompaniesN1024" hidden="1">[5]Companies!$O$1024:$S$1024</definedName>
    <definedName name="IQRCompaniesN1025" localSheetId="32" hidden="1">[5]Companies!$O$1025:$P$1025</definedName>
    <definedName name="IQRCompaniesN1025" hidden="1">[5]Companies!$O$1025:$P$1025</definedName>
    <definedName name="IQRCompaniesN1026" localSheetId="32" hidden="1">[5]Companies!$O$1026:$S$1026</definedName>
    <definedName name="IQRCompaniesN1026" hidden="1">[5]Companies!$O$1026:$S$1026</definedName>
    <definedName name="IQRCompaniesN1027" localSheetId="32" hidden="1">[5]Companies!$O$1027:$S$1027</definedName>
    <definedName name="IQRCompaniesN1027" hidden="1">[5]Companies!$O$1027:$S$1027</definedName>
    <definedName name="IQRCompaniesN1028" localSheetId="32" hidden="1">[5]Companies!$O$1028:$P$1028</definedName>
    <definedName name="IQRCompaniesN1028" hidden="1">[5]Companies!$O$1028:$P$1028</definedName>
    <definedName name="IQRCompaniesN1029" localSheetId="32" hidden="1">[5]Companies!$O$1029:$R$1029</definedName>
    <definedName name="IQRCompaniesN1029" hidden="1">[5]Companies!$O$1029:$R$1029</definedName>
    <definedName name="IQRCompaniesN103" hidden="1">[4]Companies!$O$103:$S$103</definedName>
    <definedName name="IQRCompaniesN1030" localSheetId="32" hidden="1">[5]Companies!$O$1030:$P$1030</definedName>
    <definedName name="IQRCompaniesN1030" hidden="1">[5]Companies!$O$1030:$P$1030</definedName>
    <definedName name="IQRCompaniesN1031" localSheetId="32" hidden="1">[5]Companies!$O$1031:$S$1031</definedName>
    <definedName name="IQRCompaniesN1031" hidden="1">[5]Companies!$O$1031:$S$1031</definedName>
    <definedName name="IQRCompaniesN1032" localSheetId="32" hidden="1">[5]Companies!$O$1032</definedName>
    <definedName name="IQRCompaniesN1032" hidden="1">[5]Companies!$O$1032</definedName>
    <definedName name="IQRCompaniesN1033" localSheetId="32" hidden="1">[5]Companies!$O$1033:$Q$1033</definedName>
    <definedName name="IQRCompaniesN1033" hidden="1">[5]Companies!$O$1033:$Q$1033</definedName>
    <definedName name="IQRCompaniesN1034" localSheetId="32" hidden="1">[5]Companies!$O$1034</definedName>
    <definedName name="IQRCompaniesN1034" hidden="1">[5]Companies!$O$1034</definedName>
    <definedName name="IQRCompaniesN1035" localSheetId="32" hidden="1">[5]Companies!$O$1035</definedName>
    <definedName name="IQRCompaniesN1035" hidden="1">[5]Companies!$O$1035</definedName>
    <definedName name="IQRCompaniesN1036" localSheetId="32" hidden="1">[5]Companies!$O$1036:$S$1036</definedName>
    <definedName name="IQRCompaniesN1036" hidden="1">[5]Companies!$O$1036:$S$1036</definedName>
    <definedName name="IQRCompaniesN1037" localSheetId="32" hidden="1">[5]Companies!$O$1037:$R$1037</definedName>
    <definedName name="IQRCompaniesN1037" hidden="1">[5]Companies!$O$1037:$R$1037</definedName>
    <definedName name="IQRCompaniesN1038" localSheetId="32" hidden="1">[5]Companies!$O$1038</definedName>
    <definedName name="IQRCompaniesN1038" hidden="1">[5]Companies!$O$1038</definedName>
    <definedName name="IQRCompaniesN1039" localSheetId="32" hidden="1">[5]Companies!$O$1039:$S$1039</definedName>
    <definedName name="IQRCompaniesN1039" hidden="1">[5]Companies!$O$1039:$S$1039</definedName>
    <definedName name="IQRCompaniesN104" hidden="1">[4]Companies!$O$104:$S$104</definedName>
    <definedName name="IQRCompaniesN1040" localSheetId="32" hidden="1">[5]Companies!$O$1040</definedName>
    <definedName name="IQRCompaniesN1040" hidden="1">[5]Companies!$O$1040</definedName>
    <definedName name="IQRCompaniesN1041" localSheetId="32" hidden="1">[5]Companies!$O$1041</definedName>
    <definedName name="IQRCompaniesN1041" hidden="1">[5]Companies!$O$1041</definedName>
    <definedName name="IQRCompaniesN1042" localSheetId="32" hidden="1">[5]Companies!$O$1042:$P$1042</definedName>
    <definedName name="IQRCompaniesN1042" hidden="1">[5]Companies!$O$1042:$P$1042</definedName>
    <definedName name="IQRCompaniesN1043" localSheetId="32" hidden="1">[5]Companies!$O$1043</definedName>
    <definedName name="IQRCompaniesN1043" hidden="1">[5]Companies!$O$1043</definedName>
    <definedName name="IQRCompaniesN1044" localSheetId="32" hidden="1">[5]Companies!$O$1044</definedName>
    <definedName name="IQRCompaniesN1044" hidden="1">[5]Companies!$O$1044</definedName>
    <definedName name="IQRCompaniesN1045" localSheetId="32" hidden="1">[5]Companies!$O$1045:$S$1045</definedName>
    <definedName name="IQRCompaniesN1045" hidden="1">[5]Companies!$O$1045:$S$1045</definedName>
    <definedName name="IQRCompaniesN1046" localSheetId="32" hidden="1">[5]Companies!$O$1046:$S$1046</definedName>
    <definedName name="IQRCompaniesN1046" hidden="1">[5]Companies!$O$1046:$S$1046</definedName>
    <definedName name="IQRCompaniesN1047" localSheetId="32" hidden="1">[5]Companies!$O$1047:$Q$1047</definedName>
    <definedName name="IQRCompaniesN1047" hidden="1">[5]Companies!$O$1047:$Q$1047</definedName>
    <definedName name="IQRCompaniesN1048" localSheetId="32" hidden="1">[5]Companies!$O$1048:$S$1048</definedName>
    <definedName name="IQRCompaniesN1048" hidden="1">[5]Companies!$O$1048:$S$1048</definedName>
    <definedName name="IQRCompaniesN1049" localSheetId="32" hidden="1">[5]Companies!$O$1049:$S$1049</definedName>
    <definedName name="IQRCompaniesN1049" hidden="1">[5]Companies!$O$1049:$S$1049</definedName>
    <definedName name="IQRCompaniesN105" hidden="1">[4]Companies!$O$105:$S$105</definedName>
    <definedName name="IQRCompaniesN1050" localSheetId="32" hidden="1">[5]Companies!$O$1050:$P$1050</definedName>
    <definedName name="IQRCompaniesN1050" hidden="1">[5]Companies!$O$1050:$P$1050</definedName>
    <definedName name="IQRCompaniesN1051" localSheetId="32" hidden="1">[5]Companies!$O$1051:$S$1051</definedName>
    <definedName name="IQRCompaniesN1051" hidden="1">[5]Companies!$O$1051:$S$1051</definedName>
    <definedName name="IQRCompaniesN1052" localSheetId="32" hidden="1">[5]Companies!$O$1052:$P$1052</definedName>
    <definedName name="IQRCompaniesN1052" hidden="1">[5]Companies!$O$1052:$P$1052</definedName>
    <definedName name="IQRCompaniesN1053" localSheetId="32" hidden="1">[5]Companies!$O$1053:$S$1053</definedName>
    <definedName name="IQRCompaniesN1053" hidden="1">[5]Companies!$O$1053:$S$1053</definedName>
    <definedName name="IQRCompaniesN1054" localSheetId="32" hidden="1">[5]Companies!$O$1054:$P$1054</definedName>
    <definedName name="IQRCompaniesN1054" hidden="1">[5]Companies!$O$1054:$P$1054</definedName>
    <definedName name="IQRCompaniesN1055" localSheetId="32" hidden="1">[5]Companies!$O$1055</definedName>
    <definedName name="IQRCompaniesN1055" hidden="1">[5]Companies!$O$1055</definedName>
    <definedName name="IQRCompaniesN1056" localSheetId="32" hidden="1">[5]Companies!$O$1056:$S$1056</definedName>
    <definedName name="IQRCompaniesN1056" hidden="1">[5]Companies!$O$1056:$S$1056</definedName>
    <definedName name="IQRCompaniesN1057" localSheetId="32" hidden="1">[5]Companies!$O$1057</definedName>
    <definedName name="IQRCompaniesN1057" hidden="1">[5]Companies!$O$1057</definedName>
    <definedName name="IQRCompaniesN1058" localSheetId="32" hidden="1">[5]Companies!$O$1058:$S$1058</definedName>
    <definedName name="IQRCompaniesN1058" hidden="1">[5]Companies!$O$1058:$S$1058</definedName>
    <definedName name="IQRCompaniesN1059" localSheetId="32" hidden="1">[5]Companies!$O$1059:$S$1059</definedName>
    <definedName name="IQRCompaniesN1059" hidden="1">[5]Companies!$O$1059:$S$1059</definedName>
    <definedName name="IQRCompaniesN106" hidden="1">[4]Companies!$O$106</definedName>
    <definedName name="IQRCompaniesN1060" localSheetId="32" hidden="1">[5]Companies!$O$1060</definedName>
    <definedName name="IQRCompaniesN1060" hidden="1">[5]Companies!$O$1060</definedName>
    <definedName name="IQRCompaniesN1061" localSheetId="32" hidden="1">[5]Companies!$O$1061:$R$1061</definedName>
    <definedName name="IQRCompaniesN1061" hidden="1">[5]Companies!$O$1061:$R$1061</definedName>
    <definedName name="IQRCompaniesN1062" localSheetId="32" hidden="1">[5]Companies!$O$1062</definedName>
    <definedName name="IQRCompaniesN1062" hidden="1">[5]Companies!$O$1062</definedName>
    <definedName name="IQRCompaniesN1063" localSheetId="32" hidden="1">[5]Companies!$O$1063:$Q$1063</definedName>
    <definedName name="IQRCompaniesN1063" hidden="1">[5]Companies!$O$1063:$Q$1063</definedName>
    <definedName name="IQRCompaniesN1064" localSheetId="32" hidden="1">[5]Companies!$O$1064:$S$1064</definedName>
    <definedName name="IQRCompaniesN1064" hidden="1">[5]Companies!$O$1064:$S$1064</definedName>
    <definedName name="IQRCompaniesN1065" localSheetId="32" hidden="1">[5]Companies!$O$1065:$S$1065</definedName>
    <definedName name="IQRCompaniesN1065" hidden="1">[5]Companies!$O$1065:$S$1065</definedName>
    <definedName name="IQRCompaniesN1066" localSheetId="32" hidden="1">[5]Companies!$O$1066</definedName>
    <definedName name="IQRCompaniesN1066" hidden="1">[5]Companies!$O$1066</definedName>
    <definedName name="IQRCompaniesN1067" localSheetId="32" hidden="1">[5]Companies!$O$1067:$S$1067</definedName>
    <definedName name="IQRCompaniesN1067" hidden="1">[5]Companies!$O$1067:$S$1067</definedName>
    <definedName name="IQRCompaniesN1068" localSheetId="32" hidden="1">[5]Companies!$O$1068</definedName>
    <definedName name="IQRCompaniesN1068" hidden="1">[5]Companies!$O$1068</definedName>
    <definedName name="IQRCompaniesN1069" localSheetId="32" hidden="1">[5]Companies!$O$1069:$P$1069</definedName>
    <definedName name="IQRCompaniesN1069" hidden="1">[5]Companies!$O$1069:$P$1069</definedName>
    <definedName name="IQRCompaniesN107" hidden="1">[4]Companies!$O$107:$P$107</definedName>
    <definedName name="IQRCompaniesN1070" localSheetId="32" hidden="1">[5]Companies!$O$1070:$Q$1070</definedName>
    <definedName name="IQRCompaniesN1070" hidden="1">[5]Companies!$O$1070:$Q$1070</definedName>
    <definedName name="IQRCompaniesN1071" localSheetId="32" hidden="1">[5]Companies!$O$1071:$P$1071</definedName>
    <definedName name="IQRCompaniesN1071" hidden="1">[5]Companies!$O$1071:$P$1071</definedName>
    <definedName name="IQRCompaniesN1072" localSheetId="32" hidden="1">[5]Companies!$O$1072:$S$1072</definedName>
    <definedName name="IQRCompaniesN1072" hidden="1">[5]Companies!$O$1072:$S$1072</definedName>
    <definedName name="IQRCompaniesN1073" localSheetId="32" hidden="1">[5]Companies!$O$1073</definedName>
    <definedName name="IQRCompaniesN1073" hidden="1">[5]Companies!$O$1073</definedName>
    <definedName name="IQRCompaniesN1074" localSheetId="32" hidden="1">[5]Companies!$O$1074:$S$1074</definedName>
    <definedName name="IQRCompaniesN1074" hidden="1">[5]Companies!$O$1074:$S$1074</definedName>
    <definedName name="IQRCompaniesN1075" localSheetId="32" hidden="1">[5]Companies!$O$1075:$P$1075</definedName>
    <definedName name="IQRCompaniesN1075" hidden="1">[5]Companies!$O$1075:$P$1075</definedName>
    <definedName name="IQRCompaniesN1076" localSheetId="32" hidden="1">[5]Companies!$O$1076:$S$1076</definedName>
    <definedName name="IQRCompaniesN1076" hidden="1">[5]Companies!$O$1076:$S$1076</definedName>
    <definedName name="IQRCompaniesN1077" localSheetId="32" hidden="1">[5]Companies!$O$1077:$S$1077</definedName>
    <definedName name="IQRCompaniesN1077" hidden="1">[5]Companies!$O$1077:$S$1077</definedName>
    <definedName name="IQRCompaniesN1078" localSheetId="32" hidden="1">[5]Companies!$O$1078:$Q$1078</definedName>
    <definedName name="IQRCompaniesN1078" hidden="1">[5]Companies!$O$1078:$Q$1078</definedName>
    <definedName name="IQRCompaniesN1079" localSheetId="32" hidden="1">[5]Companies!$O$1079</definedName>
    <definedName name="IQRCompaniesN1079" hidden="1">[5]Companies!$O$1079</definedName>
    <definedName name="IQRCompaniesN108" hidden="1">[4]Companies!$O$108:$S$108</definedName>
    <definedName name="IQRCompaniesN1080" localSheetId="32" hidden="1">[5]Companies!$O$1080:$S$1080</definedName>
    <definedName name="IQRCompaniesN1080" hidden="1">[5]Companies!$O$1080:$S$1080</definedName>
    <definedName name="IQRCompaniesN1081" localSheetId="32" hidden="1">[5]Companies!$O$1081:$S$1081</definedName>
    <definedName name="IQRCompaniesN1081" hidden="1">[5]Companies!$O$1081:$S$1081</definedName>
    <definedName name="IQRCompaniesN1082" localSheetId="32" hidden="1">[5]Companies!$O$1082:$P$1082</definedName>
    <definedName name="IQRCompaniesN1082" hidden="1">[5]Companies!$O$1082:$P$1082</definedName>
    <definedName name="IQRCompaniesN1083" localSheetId="32" hidden="1">[5]Companies!$O$1083:$S$1083</definedName>
    <definedName name="IQRCompaniesN1083" hidden="1">[5]Companies!$O$1083:$S$1083</definedName>
    <definedName name="IQRCompaniesN1084" localSheetId="32" hidden="1">[5]Companies!$O$1084</definedName>
    <definedName name="IQRCompaniesN1084" hidden="1">[5]Companies!$O$1084</definedName>
    <definedName name="IQRCompaniesN1085" localSheetId="32" hidden="1">[5]Companies!$O$1085:$P$1085</definedName>
    <definedName name="IQRCompaniesN1085" hidden="1">[5]Companies!$O$1085:$P$1085</definedName>
    <definedName name="IQRCompaniesN1086" localSheetId="32" hidden="1">[5]Companies!$O$1086</definedName>
    <definedName name="IQRCompaniesN1086" hidden="1">[5]Companies!$O$1086</definedName>
    <definedName name="IQRCompaniesN1087" localSheetId="32" hidden="1">[5]Companies!$O$1087:$Q$1087</definedName>
    <definedName name="IQRCompaniesN1087" hidden="1">[5]Companies!$O$1087:$Q$1087</definedName>
    <definedName name="IQRCompaniesN1088" localSheetId="32" hidden="1">[5]Companies!$O$1088:$S$1088</definedName>
    <definedName name="IQRCompaniesN1088" hidden="1">[5]Companies!$O$1088:$S$1088</definedName>
    <definedName name="IQRCompaniesN1089" localSheetId="32" hidden="1">[5]Companies!$O$1089:$S$1089</definedName>
    <definedName name="IQRCompaniesN1089" hidden="1">[5]Companies!$O$1089:$S$1089</definedName>
    <definedName name="IQRCompaniesN109" hidden="1">[4]Companies!$O$109:$P$109</definedName>
    <definedName name="IQRCompaniesN1090" localSheetId="32" hidden="1">[5]Companies!$O$1090</definedName>
    <definedName name="IQRCompaniesN1090" hidden="1">[5]Companies!$O$1090</definedName>
    <definedName name="IQRCompaniesN1091" localSheetId="32" hidden="1">[5]Companies!$O$1091:$S$1091</definedName>
    <definedName name="IQRCompaniesN1091" hidden="1">[5]Companies!$O$1091:$S$1091</definedName>
    <definedName name="IQRCompaniesN1092" localSheetId="32" hidden="1">[5]Companies!$O$1092</definedName>
    <definedName name="IQRCompaniesN1092" hidden="1">[5]Companies!$O$1092</definedName>
    <definedName name="IQRCompaniesN1093" localSheetId="32" hidden="1">[5]Companies!$O$1093:$P$1093</definedName>
    <definedName name="IQRCompaniesN1093" hidden="1">[5]Companies!$O$1093:$P$1093</definedName>
    <definedName name="IQRCompaniesN1094" localSheetId="32" hidden="1">[5]Companies!$O$1094</definedName>
    <definedName name="IQRCompaniesN1094" hidden="1">[5]Companies!$O$1094</definedName>
    <definedName name="IQRCompaniesN1095" localSheetId="32" hidden="1">[5]Companies!$O$1095</definedName>
    <definedName name="IQRCompaniesN1095" hidden="1">[5]Companies!$O$1095</definedName>
    <definedName name="IQRCompaniesN1096" localSheetId="32" hidden="1">[5]Companies!$O$1096:$S$1096</definedName>
    <definedName name="IQRCompaniesN1096" hidden="1">[5]Companies!$O$1096:$S$1096</definedName>
    <definedName name="IQRCompaniesN1097" localSheetId="32" hidden="1">[5]Companies!$O$1097</definedName>
    <definedName name="IQRCompaniesN1097" hidden="1">[5]Companies!$O$1097</definedName>
    <definedName name="IQRCompaniesN1098" localSheetId="32" hidden="1">[5]Companies!$O$1098:$R$1098</definedName>
    <definedName name="IQRCompaniesN1098" hidden="1">[5]Companies!$O$1098:$R$1098</definedName>
    <definedName name="IQRCompaniesN1099" localSheetId="32" hidden="1">[5]Companies!$O$1099</definedName>
    <definedName name="IQRCompaniesN1099" hidden="1">[5]Companies!$O$1099</definedName>
    <definedName name="IQRCompaniesN110" hidden="1">[4]Companies!$O$110:$Q$110</definedName>
    <definedName name="IQRCompaniesN1100" localSheetId="32" hidden="1">[5]Companies!$O$1100:$S$1100</definedName>
    <definedName name="IQRCompaniesN1100" hidden="1">[5]Companies!$O$1100:$S$1100</definedName>
    <definedName name="IQRCompaniesN1101" localSheetId="32" hidden="1">[5]Companies!$O$1101</definedName>
    <definedName name="IQRCompaniesN1101" hidden="1">[5]Companies!$O$1101</definedName>
    <definedName name="IQRCompaniesN1102" localSheetId="32" hidden="1">[5]Companies!$O$1102</definedName>
    <definedName name="IQRCompaniesN1102" hidden="1">[5]Companies!$O$1102</definedName>
    <definedName name="IQRCompaniesN1103" localSheetId="32" hidden="1">[5]Companies!$O$1103</definedName>
    <definedName name="IQRCompaniesN1103" hidden="1">[5]Companies!$O$1103</definedName>
    <definedName name="IQRCompaniesN1104" localSheetId="32" hidden="1">[5]Companies!$O$1104</definedName>
    <definedName name="IQRCompaniesN1104" hidden="1">[5]Companies!$O$1104</definedName>
    <definedName name="IQRCompaniesN1105" localSheetId="32" hidden="1">[5]Companies!$O$1105</definedName>
    <definedName name="IQRCompaniesN1105" hidden="1">[5]Companies!$O$1105</definedName>
    <definedName name="IQRCompaniesN1106" localSheetId="32" hidden="1">[5]Companies!$O$1106:$S$1106</definedName>
    <definedName name="IQRCompaniesN1106" hidden="1">[5]Companies!$O$1106:$S$1106</definedName>
    <definedName name="IQRCompaniesN1107" localSheetId="32" hidden="1">[5]Companies!$O$1107:$S$1107</definedName>
    <definedName name="IQRCompaniesN1107" hidden="1">[5]Companies!$O$1107:$S$1107</definedName>
    <definedName name="IQRCompaniesN1108" localSheetId="32" hidden="1">[5]Companies!$O$1108:$P$1108</definedName>
    <definedName name="IQRCompaniesN1108" hidden="1">[5]Companies!$O$1108:$P$1108</definedName>
    <definedName name="IQRCompaniesN1109" localSheetId="32" hidden="1">[5]Companies!$O$1109:$Q$1109</definedName>
    <definedName name="IQRCompaniesN1109" hidden="1">[5]Companies!$O$1109:$Q$1109</definedName>
    <definedName name="IQRCompaniesN111" hidden="1">[4]Companies!$O$111:$S$111</definedName>
    <definedName name="IQRCompaniesN1110" localSheetId="32" hidden="1">[5]Companies!$O$1110:$S$1110</definedName>
    <definedName name="IQRCompaniesN1110" hidden="1">[5]Companies!$O$1110:$S$1110</definedName>
    <definedName name="IQRCompaniesN1111" localSheetId="32" hidden="1">[5]Companies!$O$1111:$P$1111</definedName>
    <definedName name="IQRCompaniesN1111" hidden="1">[5]Companies!$O$1111:$P$1111</definedName>
    <definedName name="IQRCompaniesN1112" localSheetId="32" hidden="1">[5]Companies!$O$1112</definedName>
    <definedName name="IQRCompaniesN1112" hidden="1">[5]Companies!$O$1112</definedName>
    <definedName name="IQRCompaniesN1113" localSheetId="32" hidden="1">[5]Companies!$O$1113</definedName>
    <definedName name="IQRCompaniesN1113" hidden="1">[5]Companies!$O$1113</definedName>
    <definedName name="IQRCompaniesN1114" localSheetId="32" hidden="1">[5]Companies!$O$1114:$P$1114</definedName>
    <definedName name="IQRCompaniesN1114" hidden="1">[5]Companies!$O$1114:$P$1114</definedName>
    <definedName name="IQRCompaniesN1115" localSheetId="32" hidden="1">[5]Companies!$O$1115:$S$1115</definedName>
    <definedName name="IQRCompaniesN1115" hidden="1">[5]Companies!$O$1115:$S$1115</definedName>
    <definedName name="IQRCompaniesN1116" localSheetId="32" hidden="1">[5]Companies!$O$1116:$P$1116</definedName>
    <definedName name="IQRCompaniesN1116" hidden="1">[5]Companies!$O$1116:$P$1116</definedName>
    <definedName name="IQRCompaniesN1117" localSheetId="32" hidden="1">[5]Companies!$O$1117:$P$1117</definedName>
    <definedName name="IQRCompaniesN1117" hidden="1">[5]Companies!$O$1117:$P$1117</definedName>
    <definedName name="IQRCompaniesN1118" localSheetId="32" hidden="1">[5]Companies!$O$1118</definedName>
    <definedName name="IQRCompaniesN1118" hidden="1">[5]Companies!$O$1118</definedName>
    <definedName name="IQRCompaniesN1119" localSheetId="32" hidden="1">[5]Companies!$O$1119:$R$1119</definedName>
    <definedName name="IQRCompaniesN1119" hidden="1">[5]Companies!$O$1119:$R$1119</definedName>
    <definedName name="IQRCompaniesN112" hidden="1">[4]Companies!$O$112</definedName>
    <definedName name="IQRCompaniesN1120" localSheetId="32" hidden="1">[5]Companies!$O$1120</definedName>
    <definedName name="IQRCompaniesN1120" hidden="1">[5]Companies!$O$1120</definedName>
    <definedName name="IQRCompaniesN1121" localSheetId="32" hidden="1">[5]Companies!$O$1121</definedName>
    <definedName name="IQRCompaniesN1121" hidden="1">[5]Companies!$O$1121</definedName>
    <definedName name="IQRCompaniesN1122" localSheetId="32" hidden="1">[5]Companies!$O$1122:$Q$1122</definedName>
    <definedName name="IQRCompaniesN1122" hidden="1">[5]Companies!$O$1122:$Q$1122</definedName>
    <definedName name="IQRCompaniesN1123" localSheetId="32" hidden="1">[5]Companies!$O$1123:$P$1123</definedName>
    <definedName name="IQRCompaniesN1123" hidden="1">[5]Companies!$O$1123:$P$1123</definedName>
    <definedName name="IQRCompaniesN1124" localSheetId="32" hidden="1">[5]Companies!$O$1124</definedName>
    <definedName name="IQRCompaniesN1124" hidden="1">[5]Companies!$O$1124</definedName>
    <definedName name="IQRCompaniesN1125" localSheetId="32" hidden="1">[5]Companies!$O$1125</definedName>
    <definedName name="IQRCompaniesN1125" hidden="1">[5]Companies!$O$1125</definedName>
    <definedName name="IQRCompaniesN1126" localSheetId="32" hidden="1">[5]Companies!$O$1126</definedName>
    <definedName name="IQRCompaniesN1126" hidden="1">[5]Companies!$O$1126</definedName>
    <definedName name="IQRCompaniesN1127" localSheetId="32" hidden="1">[5]Companies!$O$1127</definedName>
    <definedName name="IQRCompaniesN1127" hidden="1">[5]Companies!$O$1127</definedName>
    <definedName name="IQRCompaniesN1128" localSheetId="32" hidden="1">[5]Companies!$O$1128:$S$1128</definedName>
    <definedName name="IQRCompaniesN1128" hidden="1">[5]Companies!$O$1128:$S$1128</definedName>
    <definedName name="IQRCompaniesN1129" localSheetId="32" hidden="1">[5]Companies!$O$1129</definedName>
    <definedName name="IQRCompaniesN1129" hidden="1">[5]Companies!$O$1129</definedName>
    <definedName name="IQRCompaniesN113" localSheetId="32" hidden="1">[5]Companies!$O$113:$S$113</definedName>
    <definedName name="IQRCompaniesN113" hidden="1">[5]Companies!$O$113:$S$113</definedName>
    <definedName name="IQRCompaniesN1130" localSheetId="32" hidden="1">[5]Companies!$O$1130</definedName>
    <definedName name="IQRCompaniesN1130" hidden="1">[5]Companies!$O$1130</definedName>
    <definedName name="IQRCompaniesN1131" localSheetId="32" hidden="1">[5]Companies!$O$1131:$Q$1131</definedName>
    <definedName name="IQRCompaniesN1131" hidden="1">[5]Companies!$O$1131:$Q$1131</definedName>
    <definedName name="IQRCompaniesN1132" localSheetId="32" hidden="1">[5]Companies!$O$1132</definedName>
    <definedName name="IQRCompaniesN1132" hidden="1">[5]Companies!$O$1132</definedName>
    <definedName name="IQRCompaniesN1133" localSheetId="32" hidden="1">[5]Companies!$O$1133</definedName>
    <definedName name="IQRCompaniesN1133" hidden="1">[5]Companies!$O$1133</definedName>
    <definedName name="IQRCompaniesN1134" localSheetId="32" hidden="1">[5]Companies!$O$1134:$R$1134</definedName>
    <definedName name="IQRCompaniesN1134" hidden="1">[5]Companies!$O$1134:$R$1134</definedName>
    <definedName name="IQRCompaniesN1135" localSheetId="32" hidden="1">[5]Companies!$O$1135</definedName>
    <definedName name="IQRCompaniesN1135" hidden="1">[5]Companies!$O$1135</definedName>
    <definedName name="IQRCompaniesN1136" localSheetId="32" hidden="1">[5]Companies!$O$1136</definedName>
    <definedName name="IQRCompaniesN1136" hidden="1">[5]Companies!$O$1136</definedName>
    <definedName name="IQRCompaniesN1137" localSheetId="32" hidden="1">[5]Companies!$O$1137:$P$1137</definedName>
    <definedName name="IQRCompaniesN1137" hidden="1">[5]Companies!$O$1137:$P$1137</definedName>
    <definedName name="IQRCompaniesN1138" localSheetId="32" hidden="1">[5]Companies!$O$1138:$P$1138</definedName>
    <definedName name="IQRCompaniesN1138" hidden="1">[5]Companies!$O$1138:$P$1138</definedName>
    <definedName name="IQRCompaniesN1139" localSheetId="32" hidden="1">[5]Companies!$O$1139:$R$1139</definedName>
    <definedName name="IQRCompaniesN1139" hidden="1">[5]Companies!$O$1139:$R$1139</definedName>
    <definedName name="IQRCompaniesN114" localSheetId="32" hidden="1">[5]Companies!$O$114</definedName>
    <definedName name="IQRCompaniesN114" hidden="1">[5]Companies!$O$114</definedName>
    <definedName name="IQRCompaniesN1140" localSheetId="32" hidden="1">[5]Companies!$O$1140</definedName>
    <definedName name="IQRCompaniesN1140" hidden="1">[5]Companies!$O$1140</definedName>
    <definedName name="IQRCompaniesN1141" localSheetId="32" hidden="1">[5]Companies!$O$1141:$S$1141</definedName>
    <definedName name="IQRCompaniesN1141" hidden="1">[5]Companies!$O$1141:$S$1141</definedName>
    <definedName name="IQRCompaniesN1142" localSheetId="32" hidden="1">[5]Companies!$O$1142:$Q$1142</definedName>
    <definedName name="IQRCompaniesN1142" hidden="1">[5]Companies!$O$1142:$Q$1142</definedName>
    <definedName name="IQRCompaniesN1143" localSheetId="32" hidden="1">[5]Companies!$O$1143</definedName>
    <definedName name="IQRCompaniesN1143" hidden="1">[5]Companies!$O$1143</definedName>
    <definedName name="IQRCompaniesN1144" localSheetId="32" hidden="1">[5]Companies!$O$1144</definedName>
    <definedName name="IQRCompaniesN1144" hidden="1">[5]Companies!$O$1144</definedName>
    <definedName name="IQRCompaniesN1145" localSheetId="32" hidden="1">[5]Companies!$O$1145</definedName>
    <definedName name="IQRCompaniesN1145" hidden="1">[5]Companies!$O$1145</definedName>
    <definedName name="IQRCompaniesN1146" localSheetId="32" hidden="1">[5]Companies!$O$1146:$R$1146</definedName>
    <definedName name="IQRCompaniesN1146" hidden="1">[5]Companies!$O$1146:$R$1146</definedName>
    <definedName name="IQRCompaniesN1147" localSheetId="32" hidden="1">[5]Companies!$O$1147:$S$1147</definedName>
    <definedName name="IQRCompaniesN1147" hidden="1">[5]Companies!$O$1147:$S$1147</definedName>
    <definedName name="IQRCompaniesN1148" localSheetId="32" hidden="1">[5]Companies!$O$1148</definedName>
    <definedName name="IQRCompaniesN1148" hidden="1">[5]Companies!$O$1148</definedName>
    <definedName name="IQRCompaniesN1149" localSheetId="32" hidden="1">[5]Companies!$O$1149:$P$1149</definedName>
    <definedName name="IQRCompaniesN1149" hidden="1">[5]Companies!$O$1149:$P$1149</definedName>
    <definedName name="IQRCompaniesN115" localSheetId="32" hidden="1">[5]Companies!$O$115:$S$115</definedName>
    <definedName name="IQRCompaniesN115" hidden="1">[5]Companies!$O$115:$S$115</definedName>
    <definedName name="IQRCompaniesN1150" localSheetId="32" hidden="1">[5]Companies!$O$1150:$S$1150</definedName>
    <definedName name="IQRCompaniesN1150" hidden="1">[5]Companies!$O$1150:$S$1150</definedName>
    <definedName name="IQRCompaniesN1151" localSheetId="32" hidden="1">[5]Companies!$O$1151</definedName>
    <definedName name="IQRCompaniesN1151" hidden="1">[5]Companies!$O$1151</definedName>
    <definedName name="IQRCompaniesN1152" localSheetId="32" hidden="1">[5]Companies!$O$1152:$S$1152</definedName>
    <definedName name="IQRCompaniesN1152" hidden="1">[5]Companies!$O$1152:$S$1152</definedName>
    <definedName name="IQRCompaniesN1153" localSheetId="32" hidden="1">[5]Companies!$O$1153</definedName>
    <definedName name="IQRCompaniesN1153" hidden="1">[5]Companies!$O$1153</definedName>
    <definedName name="IQRCompaniesN1154" localSheetId="32" hidden="1">[5]Companies!$O$1154:$S$1154</definedName>
    <definedName name="IQRCompaniesN1154" hidden="1">[5]Companies!$O$1154:$S$1154</definedName>
    <definedName name="IQRCompaniesN1155" localSheetId="32" hidden="1">[5]Companies!$O$1155:$P$1155</definedName>
    <definedName name="IQRCompaniesN1155" hidden="1">[5]Companies!$O$1155:$P$1155</definedName>
    <definedName name="IQRCompaniesN1156" localSheetId="32" hidden="1">[5]Companies!$O$1156:$S$1156</definedName>
    <definedName name="IQRCompaniesN1156" hidden="1">[5]Companies!$O$1156:$S$1156</definedName>
    <definedName name="IQRCompaniesN1157" localSheetId="32" hidden="1">[5]Companies!$O$1157</definedName>
    <definedName name="IQRCompaniesN1157" hidden="1">[5]Companies!$O$1157</definedName>
    <definedName name="IQRCompaniesN1158" localSheetId="32" hidden="1">[5]Companies!$O$1158:$P$1158</definedName>
    <definedName name="IQRCompaniesN1158" hidden="1">[5]Companies!$O$1158:$P$1158</definedName>
    <definedName name="IQRCompaniesN1159" localSheetId="32" hidden="1">[5]Companies!$O$1159:$S$1159</definedName>
    <definedName name="IQRCompaniesN1159" hidden="1">[5]Companies!$O$1159:$S$1159</definedName>
    <definedName name="IQRCompaniesN116" localSheetId="32" hidden="1">[5]Companies!$O$116:$S$116</definedName>
    <definedName name="IQRCompaniesN116" hidden="1">[5]Companies!$O$116:$S$116</definedName>
    <definedName name="IQRCompaniesN1160" localSheetId="32" hidden="1">[5]Companies!$O$1160:$S$1160</definedName>
    <definedName name="IQRCompaniesN1160" hidden="1">[5]Companies!$O$1160:$S$1160</definedName>
    <definedName name="IQRCompaniesN1161" localSheetId="32" hidden="1">[5]Companies!$O$1161</definedName>
    <definedName name="IQRCompaniesN1161" hidden="1">[5]Companies!$O$1161</definedName>
    <definedName name="IQRCompaniesN1162" localSheetId="32" hidden="1">[5]Companies!$O$1162:$P$1162</definedName>
    <definedName name="IQRCompaniesN1162" hidden="1">[5]Companies!$O$1162:$P$1162</definedName>
    <definedName name="IQRCompaniesN1163" localSheetId="32" hidden="1">[5]Companies!$O$1163:$P$1163</definedName>
    <definedName name="IQRCompaniesN1163" hidden="1">[5]Companies!$O$1163:$P$1163</definedName>
    <definedName name="IQRCompaniesN1164" localSheetId="32" hidden="1">[5]Companies!$O$1164</definedName>
    <definedName name="IQRCompaniesN1164" hidden="1">[5]Companies!$O$1164</definedName>
    <definedName name="IQRCompaniesN1165" localSheetId="32" hidden="1">[5]Companies!$O$1165:$Q$1165</definedName>
    <definedName name="IQRCompaniesN1165" hidden="1">[5]Companies!$O$1165:$Q$1165</definedName>
    <definedName name="IQRCompaniesN1166" localSheetId="32" hidden="1">[5]Companies!$O$1166:$P$1166</definedName>
    <definedName name="IQRCompaniesN1166" hidden="1">[5]Companies!$O$1166:$P$1166</definedName>
    <definedName name="IQRCompaniesN1167" localSheetId="32" hidden="1">[5]Companies!$O$1167</definedName>
    <definedName name="IQRCompaniesN1167" hidden="1">[5]Companies!$O$1167</definedName>
    <definedName name="IQRCompaniesN1168" localSheetId="32" hidden="1">[5]Companies!$O$1168</definedName>
    <definedName name="IQRCompaniesN1168" hidden="1">[5]Companies!$O$1168</definedName>
    <definedName name="IQRCompaniesN1169" localSheetId="32" hidden="1">[5]Companies!$O$1169:$S$1169</definedName>
    <definedName name="IQRCompaniesN1169" hidden="1">[5]Companies!$O$1169:$S$1169</definedName>
    <definedName name="IQRCompaniesN117" localSheetId="32" hidden="1">[5]Companies!$O$117</definedName>
    <definedName name="IQRCompaniesN117" hidden="1">[5]Companies!$O$117</definedName>
    <definedName name="IQRCompaniesN1170" localSheetId="32" hidden="1">[5]Companies!$O$1170</definedName>
    <definedName name="IQRCompaniesN1170" hidden="1">[5]Companies!$O$1170</definedName>
    <definedName name="IQRCompaniesN1171" localSheetId="32" hidden="1">[5]Companies!$O$1171</definedName>
    <definedName name="IQRCompaniesN1171" hidden="1">[5]Companies!$O$1171</definedName>
    <definedName name="IQRCompaniesN1172" localSheetId="32" hidden="1">[5]Companies!$O$1172:$Q$1172</definedName>
    <definedName name="IQRCompaniesN1172" hidden="1">[5]Companies!$O$1172:$Q$1172</definedName>
    <definedName name="IQRCompaniesN1173" localSheetId="32" hidden="1">[5]Companies!$O$1173:$S$1173</definedName>
    <definedName name="IQRCompaniesN1173" hidden="1">[5]Companies!$O$1173:$S$1173</definedName>
    <definedName name="IQRCompaniesN1174" localSheetId="32" hidden="1">[5]Companies!$O$1174:$S$1174</definedName>
    <definedName name="IQRCompaniesN1174" hidden="1">[5]Companies!$O$1174:$S$1174</definedName>
    <definedName name="IQRCompaniesN1175" localSheetId="32" hidden="1">[5]Companies!$O$1175:$S$1175</definedName>
    <definedName name="IQRCompaniesN1175" hidden="1">[5]Companies!$O$1175:$S$1175</definedName>
    <definedName name="IQRCompaniesN1176" localSheetId="32" hidden="1">[5]Companies!$O$1176:$S$1176</definedName>
    <definedName name="IQRCompaniesN1176" hidden="1">[5]Companies!$O$1176:$S$1176</definedName>
    <definedName name="IQRCompaniesN1177" localSheetId="32" hidden="1">[5]Companies!$O$1177:$S$1177</definedName>
    <definedName name="IQRCompaniesN1177" hidden="1">[5]Companies!$O$1177:$S$1177</definedName>
    <definedName name="IQRCompaniesN1178" localSheetId="32" hidden="1">[5]Companies!$O$1178:$S$1178</definedName>
    <definedName name="IQRCompaniesN1178" hidden="1">[5]Companies!$O$1178:$S$1178</definedName>
    <definedName name="IQRCompaniesN1179" localSheetId="32" hidden="1">[5]Companies!$O$1179</definedName>
    <definedName name="IQRCompaniesN1179" hidden="1">[5]Companies!$O$1179</definedName>
    <definedName name="IQRCompaniesN118" localSheetId="32" hidden="1">[5]Companies!$O$118:$S$118</definedName>
    <definedName name="IQRCompaniesN118" hidden="1">[5]Companies!$O$118:$S$118</definedName>
    <definedName name="IQRCompaniesN1180" localSheetId="32" hidden="1">[5]Companies!$O$1180</definedName>
    <definedName name="IQRCompaniesN1180" hidden="1">[5]Companies!$O$1180</definedName>
    <definedName name="IQRCompaniesN1181" localSheetId="32" hidden="1">[5]Companies!$O$1181:$R$1181</definedName>
    <definedName name="IQRCompaniesN1181" hidden="1">[5]Companies!$O$1181:$R$1181</definedName>
    <definedName name="IQRCompaniesN1182" localSheetId="32" hidden="1">[5]Companies!$O$1182</definedName>
    <definedName name="IQRCompaniesN1182" hidden="1">[5]Companies!$O$1182</definedName>
    <definedName name="IQRCompaniesN1183" localSheetId="32" hidden="1">[5]Companies!$O$1183:$Q$1183</definedName>
    <definedName name="IQRCompaniesN1183" hidden="1">[5]Companies!$O$1183:$Q$1183</definedName>
    <definedName name="IQRCompaniesN1184" localSheetId="32" hidden="1">[5]Companies!$O$1184</definedName>
    <definedName name="IQRCompaniesN1184" hidden="1">[5]Companies!$O$1184</definedName>
    <definedName name="IQRCompaniesN1185" localSheetId="32" hidden="1">[5]Companies!$O$1185:$S$1185</definedName>
    <definedName name="IQRCompaniesN1185" hidden="1">[5]Companies!$O$1185:$S$1185</definedName>
    <definedName name="IQRCompaniesN1186" localSheetId="32" hidden="1">[5]Companies!$O$1186:$S$1186</definedName>
    <definedName name="IQRCompaniesN1186" hidden="1">[5]Companies!$O$1186:$S$1186</definedName>
    <definedName name="IQRCompaniesN1187" localSheetId="32" hidden="1">[5]Companies!$O$1187:$Q$1187</definedName>
    <definedName name="IQRCompaniesN1187" hidden="1">[5]Companies!$O$1187:$Q$1187</definedName>
    <definedName name="IQRCompaniesN1188" localSheetId="32" hidden="1">[5]Companies!$O$1188</definedName>
    <definedName name="IQRCompaniesN1188" hidden="1">[5]Companies!$O$1188</definedName>
    <definedName name="IQRCompaniesN1189" localSheetId="32" hidden="1">[5]Companies!$O$1189:$S$1189</definedName>
    <definedName name="IQRCompaniesN1189" hidden="1">[5]Companies!$O$1189:$S$1189</definedName>
    <definedName name="IQRCompaniesN119" localSheetId="32" hidden="1">[5]Companies!$O$119:$S$119</definedName>
    <definedName name="IQRCompaniesN119" hidden="1">[5]Companies!$O$119:$S$119</definedName>
    <definedName name="IQRCompaniesN1190" localSheetId="32" hidden="1">[5]Companies!$O$1190:$S$1190</definedName>
    <definedName name="IQRCompaniesN1190" hidden="1">[5]Companies!$O$1190:$S$1190</definedName>
    <definedName name="IQRCompaniesN1191" localSheetId="32" hidden="1">[5]Companies!$O$1191:$S$1191</definedName>
    <definedName name="IQRCompaniesN1191" hidden="1">[5]Companies!$O$1191:$S$1191</definedName>
    <definedName name="IQRCompaniesN1192" localSheetId="32" hidden="1">[5]Companies!$O$1192:$S$1192</definedName>
    <definedName name="IQRCompaniesN1192" hidden="1">[5]Companies!$O$1192:$S$1192</definedName>
    <definedName name="IQRCompaniesN1193" localSheetId="32" hidden="1">[5]Companies!$O$1193:$Q$1193</definedName>
    <definedName name="IQRCompaniesN1193" hidden="1">[5]Companies!$O$1193:$Q$1193</definedName>
    <definedName name="IQRCompaniesN1194" localSheetId="32" hidden="1">[5]Companies!$O$1194:$P$1194</definedName>
    <definedName name="IQRCompaniesN1194" hidden="1">[5]Companies!$O$1194:$P$1194</definedName>
    <definedName name="IQRCompaniesN1195" localSheetId="32" hidden="1">[5]Companies!$O$1195:$P$1195</definedName>
    <definedName name="IQRCompaniesN1195" hidden="1">[5]Companies!$O$1195:$P$1195</definedName>
    <definedName name="IQRCompaniesN1196" localSheetId="32" hidden="1">[5]Companies!$O$1196:$S$1196</definedName>
    <definedName name="IQRCompaniesN1196" hidden="1">[5]Companies!$O$1196:$S$1196</definedName>
    <definedName name="IQRCompaniesN1197" localSheetId="32" hidden="1">[5]Companies!$O$1197:$S$1197</definedName>
    <definedName name="IQRCompaniesN1197" hidden="1">[5]Companies!$O$1197:$S$1197</definedName>
    <definedName name="IQRCompaniesN1198" localSheetId="32" hidden="1">[5]Companies!$O$1198:$S$1198</definedName>
    <definedName name="IQRCompaniesN1198" hidden="1">[5]Companies!$O$1198:$S$1198</definedName>
    <definedName name="IQRCompaniesN1199" localSheetId="32" hidden="1">[5]Companies!$O$1199:$S$1199</definedName>
    <definedName name="IQRCompaniesN1199" hidden="1">[5]Companies!$O$1199:$S$1199</definedName>
    <definedName name="IQRCompaniesN12" hidden="1">[4]Companies!$O$12:$S$12</definedName>
    <definedName name="IQRCompaniesN120" localSheetId="32" hidden="1">[5]Companies!$O$120:$Q$120</definedName>
    <definedName name="IQRCompaniesN120" hidden="1">[5]Companies!$O$120:$Q$120</definedName>
    <definedName name="IQRCompaniesN1200" localSheetId="32" hidden="1">[5]Companies!$O$1200:$R$1200</definedName>
    <definedName name="IQRCompaniesN1200" hidden="1">[5]Companies!$O$1200:$R$1200</definedName>
    <definedName name="IQRCompaniesN1201" localSheetId="32" hidden="1">[5]Companies!$O$1201:$P$1201</definedName>
    <definedName name="IQRCompaniesN1201" hidden="1">[5]Companies!$O$1201:$P$1201</definedName>
    <definedName name="IQRCompaniesN1202" localSheetId="32" hidden="1">[5]Companies!$O$1202:$S$1202</definedName>
    <definedName name="IQRCompaniesN1202" hidden="1">[5]Companies!$O$1202:$S$1202</definedName>
    <definedName name="IQRCompaniesN1203" localSheetId="32" hidden="1">[5]Companies!$O$1203</definedName>
    <definedName name="IQRCompaniesN1203" hidden="1">[5]Companies!$O$1203</definedName>
    <definedName name="IQRCompaniesN1204" localSheetId="32" hidden="1">[5]Companies!$O$1204:$Q$1204</definedName>
    <definedName name="IQRCompaniesN1204" hidden="1">[5]Companies!$O$1204:$Q$1204</definedName>
    <definedName name="IQRCompaniesN1205" localSheetId="32" hidden="1">[5]Companies!$O$1205</definedName>
    <definedName name="IQRCompaniesN1205" hidden="1">[5]Companies!$O$1205</definedName>
    <definedName name="IQRCompaniesN1206" localSheetId="32" hidden="1">[5]Companies!$O$1206:$R$1206</definedName>
    <definedName name="IQRCompaniesN1206" hidden="1">[5]Companies!$O$1206:$R$1206</definedName>
    <definedName name="IQRCompaniesN1207" localSheetId="32" hidden="1">[5]Companies!$O$1207:$S$1207</definedName>
    <definedName name="IQRCompaniesN1207" hidden="1">[5]Companies!$O$1207:$S$1207</definedName>
    <definedName name="IQRCompaniesN1208" localSheetId="32" hidden="1">[5]Companies!$O$1208:$S$1208</definedName>
    <definedName name="IQRCompaniesN1208" hidden="1">[5]Companies!$O$1208:$S$1208</definedName>
    <definedName name="IQRCompaniesN1209" localSheetId="32" hidden="1">[5]Companies!$O$1209:$S$1209</definedName>
    <definedName name="IQRCompaniesN1209" hidden="1">[5]Companies!$O$1209:$S$1209</definedName>
    <definedName name="IQRCompaniesN121" localSheetId="32" hidden="1">[5]Companies!$O$121:$P$121</definedName>
    <definedName name="IQRCompaniesN121" hidden="1">[5]Companies!$O$121:$P$121</definedName>
    <definedName name="IQRCompaniesN1210" localSheetId="32" hidden="1">[5]Companies!$O$1210:$R$1210</definedName>
    <definedName name="IQRCompaniesN1210" hidden="1">[5]Companies!$O$1210:$R$1210</definedName>
    <definedName name="IQRCompaniesN1211" localSheetId="32" hidden="1">[5]Companies!$O$1211:$S$1211</definedName>
    <definedName name="IQRCompaniesN1211" hidden="1">[5]Companies!$O$1211:$S$1211</definedName>
    <definedName name="IQRCompaniesN1212" localSheetId="32" hidden="1">[5]Companies!$O$1212</definedName>
    <definedName name="IQRCompaniesN1212" hidden="1">[5]Companies!$O$1212</definedName>
    <definedName name="IQRCompaniesN1213" localSheetId="32" hidden="1">[5]Companies!$O$1213:$P$1213</definedName>
    <definedName name="IQRCompaniesN1213" hidden="1">[5]Companies!$O$1213:$P$1213</definedName>
    <definedName name="IQRCompaniesN1214" localSheetId="32" hidden="1">[5]Companies!$O$1214:$S$1214</definedName>
    <definedName name="IQRCompaniesN1214" hidden="1">[5]Companies!$O$1214:$S$1214</definedName>
    <definedName name="IQRCompaniesN1215" localSheetId="32" hidden="1">[5]Companies!$O$1215:$S$1215</definedName>
    <definedName name="IQRCompaniesN1215" hidden="1">[5]Companies!$O$1215:$S$1215</definedName>
    <definedName name="IQRCompaniesN1216" localSheetId="32" hidden="1">[5]Companies!$O$1216:$S$1216</definedName>
    <definedName name="IQRCompaniesN1216" hidden="1">[5]Companies!$O$1216:$S$1216</definedName>
    <definedName name="IQRCompaniesN1217" localSheetId="32" hidden="1">[5]Companies!$O$1217:$P$1217</definedName>
    <definedName name="IQRCompaniesN1217" hidden="1">[5]Companies!$O$1217:$P$1217</definedName>
    <definedName name="IQRCompaniesN1218" localSheetId="32" hidden="1">[5]Companies!$O$1218</definedName>
    <definedName name="IQRCompaniesN1218" hidden="1">[5]Companies!$O$1218</definedName>
    <definedName name="IQRCompaniesN1219" localSheetId="32" hidden="1">[5]Companies!$O$1219:$Q$1219</definedName>
    <definedName name="IQRCompaniesN1219" hidden="1">[5]Companies!$O$1219:$Q$1219</definedName>
    <definedName name="IQRCompaniesN122" localSheetId="32" hidden="1">[5]Companies!$O$122:$Q$122</definedName>
    <definedName name="IQRCompaniesN122" hidden="1">[5]Companies!$O$122:$Q$122</definedName>
    <definedName name="IQRCompaniesN1220" localSheetId="32" hidden="1">[5]Companies!$O$1220</definedName>
    <definedName name="IQRCompaniesN1220" hidden="1">[5]Companies!$O$1220</definedName>
    <definedName name="IQRCompaniesN1221" localSheetId="32" hidden="1">[5]Companies!$O$1221</definedName>
    <definedName name="IQRCompaniesN1221" hidden="1">[5]Companies!$O$1221</definedName>
    <definedName name="IQRCompaniesN1222" localSheetId="32" hidden="1">[5]Companies!$O$1222:$P$1222</definedName>
    <definedName name="IQRCompaniesN1222" hidden="1">[5]Companies!$O$1222:$P$1222</definedName>
    <definedName name="IQRCompaniesN1223" localSheetId="32" hidden="1">[5]Companies!$O$1223:$Q$1223</definedName>
    <definedName name="IQRCompaniesN1223" hidden="1">[5]Companies!$O$1223:$Q$1223</definedName>
    <definedName name="IQRCompaniesN1224" localSheetId="32" hidden="1">[5]Companies!$O$1224:$S$1224</definedName>
    <definedName name="IQRCompaniesN1224" hidden="1">[5]Companies!$O$1224:$S$1224</definedName>
    <definedName name="IQRCompaniesN1225" localSheetId="32" hidden="1">[5]Companies!$O$1225:$P$1225</definedName>
    <definedName name="IQRCompaniesN1225" hidden="1">[5]Companies!$O$1225:$P$1225</definedName>
    <definedName name="IQRCompaniesN1226" localSheetId="32" hidden="1">[5]Companies!$O$1226</definedName>
    <definedName name="IQRCompaniesN1226" hidden="1">[5]Companies!$O$1226</definedName>
    <definedName name="IQRCompaniesN1227" localSheetId="32" hidden="1">[5]Companies!$O$1227:$S$1227</definedName>
    <definedName name="IQRCompaniesN1227" hidden="1">[5]Companies!$O$1227:$S$1227</definedName>
    <definedName name="IQRCompaniesN1228" localSheetId="32" hidden="1">[5]Companies!$O$1228:$P$1228</definedName>
    <definedName name="IQRCompaniesN1228" hidden="1">[5]Companies!$O$1228:$P$1228</definedName>
    <definedName name="IQRCompaniesN1229" localSheetId="32" hidden="1">[5]Companies!$O$1229:$P$1229</definedName>
    <definedName name="IQRCompaniesN1229" hidden="1">[5]Companies!$O$1229:$P$1229</definedName>
    <definedName name="IQRCompaniesN123" localSheetId="32" hidden="1">[5]Companies!$O$123:$P$123</definedName>
    <definedName name="IQRCompaniesN123" hidden="1">[5]Companies!$O$123:$P$123</definedName>
    <definedName name="IQRCompaniesN1230" localSheetId="32" hidden="1">[5]Companies!$O$1230:$S$1230</definedName>
    <definedName name="IQRCompaniesN1230" hidden="1">[5]Companies!$O$1230:$S$1230</definedName>
    <definedName name="IQRCompaniesN1231" localSheetId="32" hidden="1">[5]Companies!$O$1231:$S$1231</definedName>
    <definedName name="IQRCompaniesN1231" hidden="1">[5]Companies!$O$1231:$S$1231</definedName>
    <definedName name="IQRCompaniesN1232" localSheetId="32" hidden="1">[5]Companies!$O$1232</definedName>
    <definedName name="IQRCompaniesN1232" hidden="1">[5]Companies!$O$1232</definedName>
    <definedName name="IQRCompaniesN1233" localSheetId="32" hidden="1">[5]Companies!$O$1233:$Q$1233</definedName>
    <definedName name="IQRCompaniesN1233" hidden="1">[5]Companies!$O$1233:$Q$1233</definedName>
    <definedName name="IQRCompaniesN1234" localSheetId="32" hidden="1">[5]Companies!$O$1234:$S$1234</definedName>
    <definedName name="IQRCompaniesN1234" hidden="1">[5]Companies!$O$1234:$S$1234</definedName>
    <definedName name="IQRCompaniesN1235" localSheetId="32" hidden="1">[5]Companies!$O$1235</definedName>
    <definedName name="IQRCompaniesN1235" hidden="1">[5]Companies!$O$1235</definedName>
    <definedName name="IQRCompaniesN1236" localSheetId="32" hidden="1">[5]Companies!$O$1236:$P$1236</definedName>
    <definedName name="IQRCompaniesN1236" hidden="1">[5]Companies!$O$1236:$P$1236</definedName>
    <definedName name="IQRCompaniesN1237" localSheetId="32" hidden="1">[5]Companies!$O$1237:$Q$1237</definedName>
    <definedName name="IQRCompaniesN1237" hidden="1">[5]Companies!$O$1237:$Q$1237</definedName>
    <definedName name="IQRCompaniesN1238" localSheetId="32" hidden="1">[5]Companies!$O$1238</definedName>
    <definedName name="IQRCompaniesN1238" hidden="1">[5]Companies!$O$1238</definedName>
    <definedName name="IQRCompaniesN1239" localSheetId="32" hidden="1">[5]Companies!$O$1239:$P$1239</definedName>
    <definedName name="IQRCompaniesN1239" hidden="1">[5]Companies!$O$1239:$P$1239</definedName>
    <definedName name="IQRCompaniesN124" localSheetId="32" hidden="1">[5]Companies!$O$124:$S$124</definedName>
    <definedName name="IQRCompaniesN124" hidden="1">[5]Companies!$O$124:$S$124</definedName>
    <definedName name="IQRCompaniesN1240" localSheetId="32" hidden="1">[5]Companies!$O$1240</definedName>
    <definedName name="IQRCompaniesN1240" hidden="1">[5]Companies!$O$1240</definedName>
    <definedName name="IQRCompaniesN1241" localSheetId="32" hidden="1">[5]Companies!$O$1241</definedName>
    <definedName name="IQRCompaniesN1241" hidden="1">[5]Companies!$O$1241</definedName>
    <definedName name="IQRCompaniesN1242" localSheetId="32" hidden="1">[5]Companies!$O$1242</definedName>
    <definedName name="IQRCompaniesN1242" hidden="1">[5]Companies!$O$1242</definedName>
    <definedName name="IQRCompaniesN1243" localSheetId="32" hidden="1">[5]Companies!$O$1243:$S$1243</definedName>
    <definedName name="IQRCompaniesN1243" hidden="1">[5]Companies!$O$1243:$S$1243</definedName>
    <definedName name="IQRCompaniesN1244" localSheetId="32" hidden="1">[5]Companies!$O$1244:$Q$1244</definedName>
    <definedName name="IQRCompaniesN1244" hidden="1">[5]Companies!$O$1244:$Q$1244</definedName>
    <definedName name="IQRCompaniesN1245" localSheetId="32" hidden="1">[5]Companies!$O$1245:$P$1245</definedName>
    <definedName name="IQRCompaniesN1245" hidden="1">[5]Companies!$O$1245:$P$1245</definedName>
    <definedName name="IQRCompaniesN1246" localSheetId="32" hidden="1">[5]Companies!$O$1246</definedName>
    <definedName name="IQRCompaniesN1246" hidden="1">[5]Companies!$O$1246</definedName>
    <definedName name="IQRCompaniesN1247" localSheetId="32" hidden="1">[5]Companies!$O$1247</definedName>
    <definedName name="IQRCompaniesN1247" hidden="1">[5]Companies!$O$1247</definedName>
    <definedName name="IQRCompaniesN1248" localSheetId="32" hidden="1">[5]Companies!$O$1248:$S$1248</definedName>
    <definedName name="IQRCompaniesN1248" hidden="1">[5]Companies!$O$1248:$S$1248</definedName>
    <definedName name="IQRCompaniesN1249" localSheetId="32" hidden="1">[5]Companies!$O$1249:$S$1249</definedName>
    <definedName name="IQRCompaniesN1249" hidden="1">[5]Companies!$O$1249:$S$1249</definedName>
    <definedName name="IQRCompaniesN125" localSheetId="32" hidden="1">[5]Companies!$O$125</definedName>
    <definedName name="IQRCompaniesN125" hidden="1">[5]Companies!$O$125</definedName>
    <definedName name="IQRCompaniesN1250" localSheetId="32" hidden="1">[5]Companies!$O$1250</definedName>
    <definedName name="IQRCompaniesN1250" hidden="1">[5]Companies!$O$1250</definedName>
    <definedName name="IQRCompaniesN1251" localSheetId="32" hidden="1">[5]Companies!$O$1251:$S$1251</definedName>
    <definedName name="IQRCompaniesN1251" hidden="1">[5]Companies!$O$1251:$S$1251</definedName>
    <definedName name="IQRCompaniesN1252" localSheetId="32" hidden="1">[5]Companies!$O$1252:$Q$1252</definedName>
    <definedName name="IQRCompaniesN1252" hidden="1">[5]Companies!$O$1252:$Q$1252</definedName>
    <definedName name="IQRCompaniesN1253" localSheetId="32" hidden="1">[5]Companies!$O$1253:$R$1253</definedName>
    <definedName name="IQRCompaniesN1253" hidden="1">[5]Companies!$O$1253:$R$1253</definedName>
    <definedName name="IQRCompaniesN1254" localSheetId="32" hidden="1">[5]Companies!$O$1254:$P$1254</definedName>
    <definedName name="IQRCompaniesN1254" hidden="1">[5]Companies!$O$1254:$P$1254</definedName>
    <definedName name="IQRCompaniesN1255" localSheetId="32" hidden="1">[5]Companies!$O$1255:$S$1255</definedName>
    <definedName name="IQRCompaniesN1255" hidden="1">[5]Companies!$O$1255:$S$1255</definedName>
    <definedName name="IQRCompaniesN1256" localSheetId="32" hidden="1">[5]Companies!$O$1256:$S$1256</definedName>
    <definedName name="IQRCompaniesN1256" hidden="1">[5]Companies!$O$1256:$S$1256</definedName>
    <definedName name="IQRCompaniesN1257" localSheetId="32" hidden="1">[5]Companies!$O$1257:$Q$1257</definedName>
    <definedName name="IQRCompaniesN1257" hidden="1">[5]Companies!$O$1257:$Q$1257</definedName>
    <definedName name="IQRCompaniesN1258" localSheetId="32" hidden="1">[5]Companies!$O$1258:$Q$1258</definedName>
    <definedName name="IQRCompaniesN1258" hidden="1">[5]Companies!$O$1258:$Q$1258</definedName>
    <definedName name="IQRCompaniesN1259" localSheetId="32" hidden="1">[5]Companies!$O$1259:$P$1259</definedName>
    <definedName name="IQRCompaniesN1259" hidden="1">[5]Companies!$O$1259:$P$1259</definedName>
    <definedName name="IQRCompaniesN126" localSheetId="32" hidden="1">[5]Companies!$O$126:$P$126</definedName>
    <definedName name="IQRCompaniesN126" hidden="1">[5]Companies!$O$126:$P$126</definedName>
    <definedName name="IQRCompaniesN1260" localSheetId="32" hidden="1">[5]Companies!$O$1260</definedName>
    <definedName name="IQRCompaniesN1260" hidden="1">[5]Companies!$O$1260</definedName>
    <definedName name="IQRCompaniesN1261" localSheetId="32" hidden="1">[5]Companies!$O$1261</definedName>
    <definedName name="IQRCompaniesN1261" hidden="1">[5]Companies!$O$1261</definedName>
    <definedName name="IQRCompaniesN1262" localSheetId="32" hidden="1">[5]Companies!$O$1262</definedName>
    <definedName name="IQRCompaniesN1262" hidden="1">[5]Companies!$O$1262</definedName>
    <definedName name="IQRCompaniesN1263" localSheetId="32" hidden="1">[5]Companies!$O$1263</definedName>
    <definedName name="IQRCompaniesN1263" hidden="1">[5]Companies!$O$1263</definedName>
    <definedName name="IQRCompaniesN1264" localSheetId="32" hidden="1">[5]Companies!$O$1264:$S$1264</definedName>
    <definedName name="IQRCompaniesN1264" hidden="1">[5]Companies!$O$1264:$S$1264</definedName>
    <definedName name="IQRCompaniesN1265" localSheetId="32" hidden="1">[5]Companies!$O$1265:$S$1265</definedName>
    <definedName name="IQRCompaniesN1265" hidden="1">[5]Companies!$O$1265:$S$1265</definedName>
    <definedName name="IQRCompaniesN1266" localSheetId="32" hidden="1">[5]Companies!$O$1266:$R$1266</definedName>
    <definedName name="IQRCompaniesN1266" hidden="1">[5]Companies!$O$1266:$R$1266</definedName>
    <definedName name="IQRCompaniesN1267" localSheetId="32" hidden="1">[5]Companies!$O$1267:$Q$1267</definedName>
    <definedName name="IQRCompaniesN1267" hidden="1">[5]Companies!$O$1267:$Q$1267</definedName>
    <definedName name="IQRCompaniesN1268" localSheetId="32" hidden="1">[5]Companies!$O$1268</definedName>
    <definedName name="IQRCompaniesN1268" hidden="1">[5]Companies!$O$1268</definedName>
    <definedName name="IQRCompaniesN1269" localSheetId="32" hidden="1">[5]Companies!$O$1269</definedName>
    <definedName name="IQRCompaniesN1269" hidden="1">[5]Companies!$O$1269</definedName>
    <definedName name="IQRCompaniesN127" localSheetId="32" hidden="1">[5]Companies!$O$127:$R$127</definedName>
    <definedName name="IQRCompaniesN127" hidden="1">[5]Companies!$O$127:$R$127</definedName>
    <definedName name="IQRCompaniesN1270" localSheetId="32" hidden="1">[5]Companies!$O$1270</definedName>
    <definedName name="IQRCompaniesN1270" hidden="1">[5]Companies!$O$1270</definedName>
    <definedName name="IQRCompaniesN1271" localSheetId="32" hidden="1">[5]Companies!$O$1271:$P$1271</definedName>
    <definedName name="IQRCompaniesN1271" hidden="1">[5]Companies!$O$1271:$P$1271</definedName>
    <definedName name="IQRCompaniesN1272" localSheetId="32" hidden="1">[5]Companies!$O$1272</definedName>
    <definedName name="IQRCompaniesN1272" hidden="1">[5]Companies!$O$1272</definedName>
    <definedName name="IQRCompaniesN1273" localSheetId="32" hidden="1">[5]Companies!$O$1273</definedName>
    <definedName name="IQRCompaniesN1273" hidden="1">[5]Companies!$O$1273</definedName>
    <definedName name="IQRCompaniesN1274" localSheetId="32" hidden="1">[5]Companies!$O$1274:$S$1274</definedName>
    <definedName name="IQRCompaniesN1274" hidden="1">[5]Companies!$O$1274:$S$1274</definedName>
    <definedName name="IQRCompaniesN1275" localSheetId="32" hidden="1">[5]Companies!$O$1275</definedName>
    <definedName name="IQRCompaniesN1275" hidden="1">[5]Companies!$O$1275</definedName>
    <definedName name="IQRCompaniesN1276" localSheetId="32" hidden="1">[5]Companies!$O$1276:$S$1276</definedName>
    <definedName name="IQRCompaniesN1276" hidden="1">[5]Companies!$O$1276:$S$1276</definedName>
    <definedName name="IQRCompaniesN1277" localSheetId="32" hidden="1">[5]Companies!$O$1277:$S$1277</definedName>
    <definedName name="IQRCompaniesN1277" hidden="1">[5]Companies!$O$1277:$S$1277</definedName>
    <definedName name="IQRCompaniesN1278" localSheetId="32" hidden="1">[5]Companies!$O$1278:$R$1278</definedName>
    <definedName name="IQRCompaniesN1278" hidden="1">[5]Companies!$O$1278:$R$1278</definedName>
    <definedName name="IQRCompaniesN1279" localSheetId="32" hidden="1">[5]Companies!$O$1279:$P$1279</definedName>
    <definedName name="IQRCompaniesN1279" hidden="1">[5]Companies!$O$1279:$P$1279</definedName>
    <definedName name="IQRCompaniesN128" localSheetId="32" hidden="1">[5]Companies!$O$128:$Q$128</definedName>
    <definedName name="IQRCompaniesN128" hidden="1">[5]Companies!$O$128:$Q$128</definedName>
    <definedName name="IQRCompaniesN1280" localSheetId="32" hidden="1">[5]Companies!$O$1280:$P$1280</definedName>
    <definedName name="IQRCompaniesN1280" hidden="1">[5]Companies!$O$1280:$P$1280</definedName>
    <definedName name="IQRCompaniesN1281" localSheetId="32" hidden="1">[5]Companies!$O$1281</definedName>
    <definedName name="IQRCompaniesN1281" hidden="1">[5]Companies!$O$1281</definedName>
    <definedName name="IQRCompaniesN1282" localSheetId="32" hidden="1">[5]Companies!$O$1282:$S$1282</definedName>
    <definedName name="IQRCompaniesN1282" hidden="1">[5]Companies!$O$1282:$S$1282</definedName>
    <definedName name="IQRCompaniesN1283" localSheetId="32" hidden="1">[5]Companies!$O$1283</definedName>
    <definedName name="IQRCompaniesN1283" hidden="1">[5]Companies!$O$1283</definedName>
    <definedName name="IQRCompaniesN1284" localSheetId="32" hidden="1">[5]Companies!$O$1284</definedName>
    <definedName name="IQRCompaniesN1284" hidden="1">[5]Companies!$O$1284</definedName>
    <definedName name="IQRCompaniesN1285" localSheetId="32" hidden="1">[5]Companies!$O$1285:$S$1285</definedName>
    <definedName name="IQRCompaniesN1285" hidden="1">[5]Companies!$O$1285:$S$1285</definedName>
    <definedName name="IQRCompaniesN1286" localSheetId="32" hidden="1">[5]Companies!$O$1286:$R$1286</definedName>
    <definedName name="IQRCompaniesN1286" hidden="1">[5]Companies!$O$1286:$R$1286</definedName>
    <definedName name="IQRCompaniesN1287" localSheetId="32" hidden="1">[5]Companies!$O$1287:$S$1287</definedName>
    <definedName name="IQRCompaniesN1287" hidden="1">[5]Companies!$O$1287:$S$1287</definedName>
    <definedName name="IQRCompaniesN1288" localSheetId="32" hidden="1">[5]Companies!$O$1288:$P$1288</definedName>
    <definedName name="IQRCompaniesN1288" hidden="1">[5]Companies!$O$1288:$P$1288</definedName>
    <definedName name="IQRCompaniesN1289" localSheetId="32" hidden="1">[5]Companies!$O$1289</definedName>
    <definedName name="IQRCompaniesN1289" hidden="1">[5]Companies!$O$1289</definedName>
    <definedName name="IQRCompaniesN129" localSheetId="32" hidden="1">[5]Companies!$O$129:$P$129</definedName>
    <definedName name="IQRCompaniesN129" hidden="1">[5]Companies!$O$129:$P$129</definedName>
    <definedName name="IQRCompaniesN1290" localSheetId="32" hidden="1">[5]Companies!$O$1290</definedName>
    <definedName name="IQRCompaniesN1290" hidden="1">[5]Companies!$O$1290</definedName>
    <definedName name="IQRCompaniesN1291" localSheetId="32" hidden="1">[5]Companies!$O$1291:$Q$1291</definedName>
    <definedName name="IQRCompaniesN1291" hidden="1">[5]Companies!$O$1291:$Q$1291</definedName>
    <definedName name="IQRCompaniesN1292" localSheetId="32" hidden="1">[5]Companies!$O$1292</definedName>
    <definedName name="IQRCompaniesN1292" hidden="1">[5]Companies!$O$1292</definedName>
    <definedName name="IQRCompaniesN1293" localSheetId="32" hidden="1">[5]Companies!$O$1293:$S$1293</definedName>
    <definedName name="IQRCompaniesN1293" hidden="1">[5]Companies!$O$1293:$S$1293</definedName>
    <definedName name="IQRCompaniesN1294" localSheetId="32" hidden="1">[5]Companies!$O$1294</definedName>
    <definedName name="IQRCompaniesN1294" hidden="1">[5]Companies!$O$1294</definedName>
    <definedName name="IQRCompaniesN1295" localSheetId="32" hidden="1">[5]Companies!$O$1295</definedName>
    <definedName name="IQRCompaniesN1295" hidden="1">[5]Companies!$O$1295</definedName>
    <definedName name="IQRCompaniesN1296" localSheetId="32" hidden="1">[5]Companies!$O$1296:$P$1296</definedName>
    <definedName name="IQRCompaniesN1296" hidden="1">[5]Companies!$O$1296:$P$1296</definedName>
    <definedName name="IQRCompaniesN1297" localSheetId="32" hidden="1">[5]Companies!$O$1297:$R$1297</definedName>
    <definedName name="IQRCompaniesN1297" hidden="1">[5]Companies!$O$1297:$R$1297</definedName>
    <definedName name="IQRCompaniesN1298" localSheetId="32" hidden="1">[5]Companies!$O$1298</definedName>
    <definedName name="IQRCompaniesN1298" hidden="1">[5]Companies!$O$1298</definedName>
    <definedName name="IQRCompaniesN1299" localSheetId="32" hidden="1">[5]Companies!$O$1299:$Q$1299</definedName>
    <definedName name="IQRCompaniesN1299" hidden="1">[5]Companies!$O$1299:$Q$1299</definedName>
    <definedName name="IQRCompaniesN13" hidden="1">[4]Companies!$O$13:$S$13</definedName>
    <definedName name="IQRCompaniesN130" localSheetId="32" hidden="1">[5]Companies!$O$130</definedName>
    <definedName name="IQRCompaniesN130" hidden="1">[5]Companies!$O$130</definedName>
    <definedName name="IQRCompaniesN1300" localSheetId="32" hidden="1">[5]Companies!$O$1300</definedName>
    <definedName name="IQRCompaniesN1300" hidden="1">[5]Companies!$O$1300</definedName>
    <definedName name="IQRCompaniesN1301" localSheetId="32" hidden="1">[5]Companies!$O$1301:$P$1301</definedName>
    <definedName name="IQRCompaniesN1301" hidden="1">[5]Companies!$O$1301:$P$1301</definedName>
    <definedName name="IQRCompaniesN1302" localSheetId="32" hidden="1">[5]Companies!$O$1302:$Q$1302</definedName>
    <definedName name="IQRCompaniesN1302" hidden="1">[5]Companies!$O$1302:$Q$1302</definedName>
    <definedName name="IQRCompaniesN131" localSheetId="32" hidden="1">[5]Companies!$O$131:$S$131</definedName>
    <definedName name="IQRCompaniesN131" hidden="1">[5]Companies!$O$131:$S$131</definedName>
    <definedName name="IQRCompaniesN132" localSheetId="32" hidden="1">[5]Companies!$O$132</definedName>
    <definedName name="IQRCompaniesN132" hidden="1">[5]Companies!$O$132</definedName>
    <definedName name="IQRCompaniesN133" localSheetId="32" hidden="1">[5]Companies!$O$133:$S$133</definedName>
    <definedName name="IQRCompaniesN133" hidden="1">[5]Companies!$O$133:$S$133</definedName>
    <definedName name="IQRCompaniesN134" localSheetId="32" hidden="1">[5]Companies!$O$134</definedName>
    <definedName name="IQRCompaniesN134" hidden="1">[5]Companies!$O$134</definedName>
    <definedName name="IQRCompaniesN135" localSheetId="32" hidden="1">[5]Companies!$O$135:$P$135</definedName>
    <definedName name="IQRCompaniesN135" hidden="1">[5]Companies!$O$135:$P$135</definedName>
    <definedName name="IQRCompaniesN136" localSheetId="32" hidden="1">[5]Companies!$O$136:$Q$136</definedName>
    <definedName name="IQRCompaniesN136" hidden="1">[5]Companies!$O$136:$Q$136</definedName>
    <definedName name="IQRCompaniesN137" localSheetId="32" hidden="1">[5]Companies!$O$137:$P$137</definedName>
    <definedName name="IQRCompaniesN137" hidden="1">[5]Companies!$O$137:$P$137</definedName>
    <definedName name="IQRCompaniesN138" localSheetId="32" hidden="1">[5]Companies!$O$138:$R$138</definedName>
    <definedName name="IQRCompaniesN138" hidden="1">[5]Companies!$O$138:$R$138</definedName>
    <definedName name="IQRCompaniesN139" localSheetId="32" hidden="1">[5]Companies!$O$139:$P$139</definedName>
    <definedName name="IQRCompaniesN139" hidden="1">[5]Companies!$O$139:$P$139</definedName>
    <definedName name="IQRCompaniesN14" hidden="1">[4]Companies!$O$14:$S$14</definedName>
    <definedName name="IQRCompaniesN140" localSheetId="32" hidden="1">[5]Companies!$O$140:$R$140</definedName>
    <definedName name="IQRCompaniesN140" hidden="1">[5]Companies!$O$140:$R$140</definedName>
    <definedName name="IQRCompaniesN141" localSheetId="32" hidden="1">[5]Companies!$O$141:$S$141</definedName>
    <definedName name="IQRCompaniesN141" hidden="1">[5]Companies!$O$141:$S$141</definedName>
    <definedName name="IQRCompaniesN142" localSheetId="32" hidden="1">[5]Companies!$O$142:$R$142</definedName>
    <definedName name="IQRCompaniesN142" hidden="1">[5]Companies!$O$142:$R$142</definedName>
    <definedName name="IQRCompaniesN143" localSheetId="32" hidden="1">[5]Companies!$O$143:$P$143</definedName>
    <definedName name="IQRCompaniesN143" hidden="1">[5]Companies!$O$143:$P$143</definedName>
    <definedName name="IQRCompaniesN144" localSheetId="32" hidden="1">[5]Companies!$O$144</definedName>
    <definedName name="IQRCompaniesN144" hidden="1">[5]Companies!$O$144</definedName>
    <definedName name="IQRCompaniesN145" localSheetId="32" hidden="1">[5]Companies!$O$145:$P$145</definedName>
    <definedName name="IQRCompaniesN145" hidden="1">[5]Companies!$O$145:$P$145</definedName>
    <definedName name="IQRCompaniesN146" localSheetId="32" hidden="1">[5]Companies!$O$146:$P$146</definedName>
    <definedName name="IQRCompaniesN146" hidden="1">[5]Companies!$O$146:$P$146</definedName>
    <definedName name="IQRCompaniesN147" localSheetId="32" hidden="1">[5]Companies!$O$147:$S$147</definedName>
    <definedName name="IQRCompaniesN147" hidden="1">[5]Companies!$O$147:$S$147</definedName>
    <definedName name="IQRCompaniesN148" localSheetId="32" hidden="1">[5]Companies!$O$148:$P$148</definedName>
    <definedName name="IQRCompaniesN148" hidden="1">[5]Companies!$O$148:$P$148</definedName>
    <definedName name="IQRCompaniesN149" localSheetId="32" hidden="1">[5]Companies!$O$149</definedName>
    <definedName name="IQRCompaniesN149" hidden="1">[5]Companies!$O$149</definedName>
    <definedName name="IQRCompaniesN15" hidden="1">[4]Companies!$O$15:$S$15</definedName>
    <definedName name="IQRCompaniesN150" localSheetId="32" hidden="1">[5]Companies!$O$150:$Q$150</definedName>
    <definedName name="IQRCompaniesN150" hidden="1">[5]Companies!$O$150:$Q$150</definedName>
    <definedName name="IQRCompaniesN151" localSheetId="32" hidden="1">[5]Companies!$O$151</definedName>
    <definedName name="IQRCompaniesN151" hidden="1">[5]Companies!$O$151</definedName>
    <definedName name="IQRCompaniesN152" localSheetId="32" hidden="1">[5]Companies!$O$152:$R$152</definedName>
    <definedName name="IQRCompaniesN152" hidden="1">[5]Companies!$O$152:$R$152</definedName>
    <definedName name="IQRCompaniesN153" localSheetId="32" hidden="1">[5]Companies!$O$153</definedName>
    <definedName name="IQRCompaniesN153" hidden="1">[5]Companies!$O$153</definedName>
    <definedName name="IQRCompaniesN154" localSheetId="32" hidden="1">[5]Companies!$O$154:$S$154</definedName>
    <definedName name="IQRCompaniesN154" hidden="1">[5]Companies!$O$154:$S$154</definedName>
    <definedName name="IQRCompaniesN155" localSheetId="32" hidden="1">[5]Companies!$O$155:$S$155</definedName>
    <definedName name="IQRCompaniesN155" hidden="1">[5]Companies!$O$155:$S$155</definedName>
    <definedName name="IQRCompaniesN156" localSheetId="32" hidden="1">[5]Companies!$O$156</definedName>
    <definedName name="IQRCompaniesN156" hidden="1">[5]Companies!$O$156</definedName>
    <definedName name="IQRCompaniesN157" localSheetId="32" hidden="1">[5]Companies!$O$157:$S$157</definedName>
    <definedName name="IQRCompaniesN157" hidden="1">[5]Companies!$O$157:$S$157</definedName>
    <definedName name="IQRCompaniesN158" localSheetId="32" hidden="1">[5]Companies!$O$158:$S$158</definedName>
    <definedName name="IQRCompaniesN158" hidden="1">[5]Companies!$O$158:$S$158</definedName>
    <definedName name="IQRCompaniesN159" localSheetId="32" hidden="1">[5]Companies!$O$159</definedName>
    <definedName name="IQRCompaniesN159" hidden="1">[5]Companies!$O$159</definedName>
    <definedName name="IQRCompaniesN16" hidden="1">[4]Companies!$O$16:$S$16</definedName>
    <definedName name="IQRCompaniesN160" localSheetId="32" hidden="1">[5]Companies!$O$160:$Q$160</definedName>
    <definedName name="IQRCompaniesN160" hidden="1">[5]Companies!$O$160:$Q$160</definedName>
    <definedName name="IQRCompaniesN161" localSheetId="32" hidden="1">[5]Companies!$O$161:$P$161</definedName>
    <definedName name="IQRCompaniesN161" hidden="1">[5]Companies!$O$161:$P$161</definedName>
    <definedName name="IQRCompaniesN162" localSheetId="32" hidden="1">[5]Companies!$O$162:$P$162</definedName>
    <definedName name="IQRCompaniesN162" hidden="1">[5]Companies!$O$162:$P$162</definedName>
    <definedName name="IQRCompaniesN163" localSheetId="32" hidden="1">[5]Companies!$O$163</definedName>
    <definedName name="IQRCompaniesN163" hidden="1">[5]Companies!$O$163</definedName>
    <definedName name="IQRCompaniesN164" localSheetId="32" hidden="1">[5]Companies!$O$164:$P$164</definedName>
    <definedName name="IQRCompaniesN164" hidden="1">[5]Companies!$O$164:$P$164</definedName>
    <definedName name="IQRCompaniesN165" localSheetId="32" hidden="1">[5]Companies!$O$165:$S$165</definedName>
    <definedName name="IQRCompaniesN165" hidden="1">[5]Companies!$O$165:$S$165</definedName>
    <definedName name="IQRCompaniesN166" localSheetId="32" hidden="1">[5]Companies!$O$166</definedName>
    <definedName name="IQRCompaniesN166" hidden="1">[5]Companies!$O$166</definedName>
    <definedName name="IQRCompaniesN167" localSheetId="32" hidden="1">[5]Companies!$O$167:$P$167</definedName>
    <definedName name="IQRCompaniesN167" hidden="1">[5]Companies!$O$167:$P$167</definedName>
    <definedName name="IQRCompaniesN168" localSheetId="32" hidden="1">[5]Companies!$O$168:$Q$168</definedName>
    <definedName name="IQRCompaniesN168" hidden="1">[5]Companies!$O$168:$Q$168</definedName>
    <definedName name="IQRCompaniesN169" localSheetId="32" hidden="1">[5]Companies!$O$169:$S$169</definedName>
    <definedName name="IQRCompaniesN169" hidden="1">[5]Companies!$O$169:$S$169</definedName>
    <definedName name="IQRCompaniesN17" hidden="1">[4]Companies!$O$17:$S$17</definedName>
    <definedName name="IQRCompaniesN170" localSheetId="32" hidden="1">[5]Companies!$O$170</definedName>
    <definedName name="IQRCompaniesN170" hidden="1">[5]Companies!$O$170</definedName>
    <definedName name="IQRCompaniesN171" localSheetId="32" hidden="1">[5]Companies!$O$171</definedName>
    <definedName name="IQRCompaniesN171" hidden="1">[5]Companies!$O$171</definedName>
    <definedName name="IQRCompaniesN172" localSheetId="32" hidden="1">[5]Companies!$O$172:$P$172</definedName>
    <definedName name="IQRCompaniesN172" hidden="1">[5]Companies!$O$172:$P$172</definedName>
    <definedName name="IQRCompaniesN173" localSheetId="32" hidden="1">[5]Companies!$O$173</definedName>
    <definedName name="IQRCompaniesN173" hidden="1">[5]Companies!$O$173</definedName>
    <definedName name="IQRCompaniesN174" localSheetId="32" hidden="1">[5]Companies!$O$174</definedName>
    <definedName name="IQRCompaniesN174" hidden="1">[5]Companies!$O$174</definedName>
    <definedName name="IQRCompaniesN175" localSheetId="32" hidden="1">[5]Companies!$O$175:$S$175</definedName>
    <definedName name="IQRCompaniesN175" hidden="1">[5]Companies!$O$175:$S$175</definedName>
    <definedName name="IQRCompaniesN176" localSheetId="32" hidden="1">[5]Companies!$O$176</definedName>
    <definedName name="IQRCompaniesN176" hidden="1">[5]Companies!$O$176</definedName>
    <definedName name="IQRCompaniesN177" localSheetId="32" hidden="1">[5]Companies!$O$177</definedName>
    <definedName name="IQRCompaniesN177" hidden="1">[5]Companies!$O$177</definedName>
    <definedName name="IQRCompaniesN178" localSheetId="32" hidden="1">[5]Companies!$O$178:$S$178</definedName>
    <definedName name="IQRCompaniesN178" hidden="1">[5]Companies!$O$178:$S$178</definedName>
    <definedName name="IQRCompaniesN179" localSheetId="32" hidden="1">[5]Companies!$O$179:$P$179</definedName>
    <definedName name="IQRCompaniesN179" hidden="1">[5]Companies!$O$179:$P$179</definedName>
    <definedName name="IQRCompaniesN18" hidden="1">[4]Companies!$O$18:$S$18</definedName>
    <definedName name="IQRCompaniesN180" localSheetId="32" hidden="1">[5]Companies!$O$180</definedName>
    <definedName name="IQRCompaniesN180" hidden="1">[5]Companies!$O$180</definedName>
    <definedName name="IQRCompaniesN181" localSheetId="32" hidden="1">[5]Companies!$O$181:$S$181</definedName>
    <definedName name="IQRCompaniesN181" hidden="1">[5]Companies!$O$181:$S$181</definedName>
    <definedName name="IQRCompaniesN182" localSheetId="32" hidden="1">[5]Companies!$O$182</definedName>
    <definedName name="IQRCompaniesN182" hidden="1">[5]Companies!$O$182</definedName>
    <definedName name="IQRCompaniesN183" localSheetId="32" hidden="1">[5]Companies!$O$183:$P$183</definedName>
    <definedName name="IQRCompaniesN183" hidden="1">[5]Companies!$O$183:$P$183</definedName>
    <definedName name="IQRCompaniesN184" localSheetId="32" hidden="1">[5]Companies!$O$184</definedName>
    <definedName name="IQRCompaniesN184" hidden="1">[5]Companies!$O$184</definedName>
    <definedName name="IQRCompaniesN185" localSheetId="32" hidden="1">[5]Companies!$O$185:$P$185</definedName>
    <definedName name="IQRCompaniesN185" hidden="1">[5]Companies!$O$185:$P$185</definedName>
    <definedName name="IQRCompaniesN186" localSheetId="32" hidden="1">[5]Companies!$O$186</definedName>
    <definedName name="IQRCompaniesN186" hidden="1">[5]Companies!$O$186</definedName>
    <definedName name="IQRCompaniesN187" localSheetId="32" hidden="1">[5]Companies!$O$187:$S$187</definedName>
    <definedName name="IQRCompaniesN187" hidden="1">[5]Companies!$O$187:$S$187</definedName>
    <definedName name="IQRCompaniesN188" localSheetId="32" hidden="1">[5]Companies!$O$188:$S$188</definedName>
    <definedName name="IQRCompaniesN188" hidden="1">[5]Companies!$O$188:$S$188</definedName>
    <definedName name="IQRCompaniesN189" localSheetId="32" hidden="1">[5]Companies!$O$189:$S$189</definedName>
    <definedName name="IQRCompaniesN189" hidden="1">[5]Companies!$O$189:$S$189</definedName>
    <definedName name="IQRCompaniesN19" hidden="1">[4]Companies!$O$19:$S$19</definedName>
    <definedName name="IQRCompaniesN190" localSheetId="32" hidden="1">[5]Companies!$O$190:$S$190</definedName>
    <definedName name="IQRCompaniesN190" hidden="1">[5]Companies!$O$190:$S$190</definedName>
    <definedName name="IQRCompaniesN191" localSheetId="32" hidden="1">[5]Companies!$O$191:$S$191</definedName>
    <definedName name="IQRCompaniesN191" hidden="1">[5]Companies!$O$191:$S$191</definedName>
    <definedName name="IQRCompaniesN192" localSheetId="32" hidden="1">[5]Companies!$O$192</definedName>
    <definedName name="IQRCompaniesN192" hidden="1">[5]Companies!$O$192</definedName>
    <definedName name="IQRCompaniesN193" localSheetId="32" hidden="1">[5]Companies!$O$193</definedName>
    <definedName name="IQRCompaniesN193" hidden="1">[5]Companies!$O$193</definedName>
    <definedName name="IQRCompaniesN194" localSheetId="32" hidden="1">[5]Companies!$O$194:$P$194</definedName>
    <definedName name="IQRCompaniesN194" hidden="1">[5]Companies!$O$194:$P$194</definedName>
    <definedName name="IQRCompaniesN195" localSheetId="32" hidden="1">[5]Companies!$O$195</definedName>
    <definedName name="IQRCompaniesN195" hidden="1">[5]Companies!$O$195</definedName>
    <definedName name="IQRCompaniesN196" localSheetId="32" hidden="1">[5]Companies!$O$196:$Q$196</definedName>
    <definedName name="IQRCompaniesN196" hidden="1">[5]Companies!$O$196:$Q$196</definedName>
    <definedName name="IQRCompaniesN197" localSheetId="32" hidden="1">[5]Companies!$O$197:$S$197</definedName>
    <definedName name="IQRCompaniesN197" hidden="1">[5]Companies!$O$197:$S$197</definedName>
    <definedName name="IQRCompaniesN198" localSheetId="32" hidden="1">[5]Companies!$O$198:$P$198</definedName>
    <definedName name="IQRCompaniesN198" hidden="1">[5]Companies!$O$198:$P$198</definedName>
    <definedName name="IQRCompaniesN199" localSheetId="32" hidden="1">[5]Companies!$O$199:$R$199</definedName>
    <definedName name="IQRCompaniesN199" hidden="1">[5]Companies!$O$199:$R$199</definedName>
    <definedName name="IQRCompaniesN20" hidden="1">[4]Companies!$O$20:$S$20</definedName>
    <definedName name="IQRCompaniesN200" localSheetId="32" hidden="1">[5]Companies!$O$200</definedName>
    <definedName name="IQRCompaniesN200" hidden="1">[5]Companies!$O$200</definedName>
    <definedName name="IQRCompaniesN201" localSheetId="32" hidden="1">[5]Companies!$O$201:$S$201</definedName>
    <definedName name="IQRCompaniesN201" hidden="1">[5]Companies!$O$201:$S$201</definedName>
    <definedName name="IQRCompaniesN2015" hidden="1">[6]Companies!$O$2015:$S$2015</definedName>
    <definedName name="IQRCompaniesN2017" localSheetId="32" hidden="1">[5]Companies!$O$2017:$P$2017</definedName>
    <definedName name="IQRCompaniesN2017" hidden="1">[5]Companies!$O$2017:$P$2017</definedName>
    <definedName name="IQRCompaniesN202" localSheetId="32" hidden="1">[5]Companies!$O$202:$P$202</definedName>
    <definedName name="IQRCompaniesN202" hidden="1">[5]Companies!$O$202:$P$202</definedName>
    <definedName name="IQRCompaniesN2025" localSheetId="32" hidden="1">[5]Companies!$O$2025</definedName>
    <definedName name="IQRCompaniesN2025" hidden="1">[5]Companies!$O$2025</definedName>
    <definedName name="IQRCompaniesN203" localSheetId="32" hidden="1">[5]Companies!$O$203:$P$203</definedName>
    <definedName name="IQRCompaniesN203" hidden="1">[5]Companies!$O$203:$P$203</definedName>
    <definedName name="IQRCompaniesN204" localSheetId="32" hidden="1">[5]Companies!$O$204</definedName>
    <definedName name="IQRCompaniesN204" hidden="1">[5]Companies!$O$204</definedName>
    <definedName name="IQRCompaniesN205" localSheetId="32" hidden="1">[5]Companies!$O$205:$P$205</definedName>
    <definedName name="IQRCompaniesN205" hidden="1">[5]Companies!$O$205:$P$205</definedName>
    <definedName name="IQRCompaniesN206" localSheetId="32" hidden="1">[5]Companies!$O$206:$Q$206</definedName>
    <definedName name="IQRCompaniesN206" hidden="1">[5]Companies!$O$206:$Q$206</definedName>
    <definedName name="IQRCompaniesN207" localSheetId="32" hidden="1">[5]Companies!$O$207:$S$207</definedName>
    <definedName name="IQRCompaniesN207" hidden="1">[5]Companies!$O$207:$S$207</definedName>
    <definedName name="IQRCompaniesN208" localSheetId="32" hidden="1">[5]Companies!$O$208:$S$208</definedName>
    <definedName name="IQRCompaniesN208" hidden="1">[5]Companies!$O$208:$S$208</definedName>
    <definedName name="IQRCompaniesN209" localSheetId="32" hidden="1">[5]Companies!$O$209:$Q$209</definedName>
    <definedName name="IQRCompaniesN209" hidden="1">[5]Companies!$O$209:$Q$209</definedName>
    <definedName name="IQRCompaniesN21" hidden="1">[4]Companies!$O$21:$S$21</definedName>
    <definedName name="IQRCompaniesN210" localSheetId="32" hidden="1">[5]Companies!$O$210:$Q$210</definedName>
    <definedName name="IQRCompaniesN210" hidden="1">[5]Companies!$O$210:$Q$210</definedName>
    <definedName name="IQRCompaniesN211" localSheetId="32" hidden="1">[5]Companies!$O$211:$S$211</definedName>
    <definedName name="IQRCompaniesN211" hidden="1">[5]Companies!$O$211:$S$211</definedName>
    <definedName name="IQRCompaniesN212" localSheetId="32" hidden="1">[5]Companies!$O$212:$S$212</definedName>
    <definedName name="IQRCompaniesN212" hidden="1">[5]Companies!$O$212:$S$212</definedName>
    <definedName name="IQRCompaniesN213" localSheetId="32" hidden="1">[5]Companies!$O$213:$S$213</definedName>
    <definedName name="IQRCompaniesN213" hidden="1">[5]Companies!$O$213:$S$213</definedName>
    <definedName name="IQRCompaniesN214" localSheetId="32" hidden="1">[5]Companies!$O$214:$S$214</definedName>
    <definedName name="IQRCompaniesN214" hidden="1">[5]Companies!$O$214:$S$214</definedName>
    <definedName name="IQRCompaniesN215" localSheetId="32" hidden="1">[5]Companies!$O$215:$Q$215</definedName>
    <definedName name="IQRCompaniesN215" hidden="1">[5]Companies!$O$215:$Q$215</definedName>
    <definedName name="IQRCompaniesN216" localSheetId="32" hidden="1">[5]Companies!$O$216:$S$216</definedName>
    <definedName name="IQRCompaniesN216" hidden="1">[5]Companies!$O$216:$S$216</definedName>
    <definedName name="IQRCompaniesN217" localSheetId="32" hidden="1">[5]Companies!$O$217:$S$217</definedName>
    <definedName name="IQRCompaniesN217" hidden="1">[5]Companies!$O$217:$S$217</definedName>
    <definedName name="IQRCompaniesN218" localSheetId="32" hidden="1">[5]Companies!$O$218</definedName>
    <definedName name="IQRCompaniesN218" hidden="1">[5]Companies!$O$218</definedName>
    <definedName name="IQRCompaniesN219" localSheetId="32" hidden="1">[5]Companies!$O$219:$S$219</definedName>
    <definedName name="IQRCompaniesN219" hidden="1">[5]Companies!$O$219:$S$219</definedName>
    <definedName name="IQRCompaniesN22" hidden="1">[4]Companies!$O$22:$S$22</definedName>
    <definedName name="IQRCompaniesN220" localSheetId="32" hidden="1">[5]Companies!$O$220</definedName>
    <definedName name="IQRCompaniesN220" hidden="1">[5]Companies!$O$220</definedName>
    <definedName name="IQRCompaniesN221" localSheetId="32" hidden="1">[5]Companies!$O$221:$S$221</definedName>
    <definedName name="IQRCompaniesN221" hidden="1">[5]Companies!$O$221:$S$221</definedName>
    <definedName name="IQRCompaniesN222" localSheetId="32" hidden="1">[5]Companies!$O$222</definedName>
    <definedName name="IQRCompaniesN222" hidden="1">[5]Companies!$O$222</definedName>
    <definedName name="IQRCompaniesN223" localSheetId="32" hidden="1">[5]Companies!$O$223:$S$223</definedName>
    <definedName name="IQRCompaniesN223" hidden="1">[5]Companies!$O$223:$S$223</definedName>
    <definedName name="IQRCompaniesN224" localSheetId="32" hidden="1">[5]Companies!$O$224:$Q$224</definedName>
    <definedName name="IQRCompaniesN224" hidden="1">[5]Companies!$O$224:$Q$224</definedName>
    <definedName name="IQRCompaniesN225" localSheetId="32" hidden="1">[5]Companies!$O$225:$S$225</definedName>
    <definedName name="IQRCompaniesN225" hidden="1">[5]Companies!$O$225:$S$225</definedName>
    <definedName name="IQRCompaniesN226" localSheetId="32" hidden="1">[5]Companies!$O$226</definedName>
    <definedName name="IQRCompaniesN226" hidden="1">[5]Companies!$O$226</definedName>
    <definedName name="IQRCompaniesN227" localSheetId="32" hidden="1">[5]Companies!$O$227:$P$227</definedName>
    <definedName name="IQRCompaniesN227" hidden="1">[5]Companies!$O$227:$P$227</definedName>
    <definedName name="IQRCompaniesN228" localSheetId="32" hidden="1">[5]Companies!$O$228:$P$228</definedName>
    <definedName name="IQRCompaniesN228" hidden="1">[5]Companies!$O$228:$P$228</definedName>
    <definedName name="IQRCompaniesN229" localSheetId="32" hidden="1">[5]Companies!$O$229</definedName>
    <definedName name="IQRCompaniesN229" hidden="1">[5]Companies!$O$229</definedName>
    <definedName name="IQRCompaniesN23" hidden="1">[4]Companies!$O$23</definedName>
    <definedName name="IQRCompaniesN230" localSheetId="32" hidden="1">[5]Companies!$O$230</definedName>
    <definedName name="IQRCompaniesN230" hidden="1">[5]Companies!$O$230</definedName>
    <definedName name="IQRCompaniesN231" localSheetId="32" hidden="1">[5]Companies!$O$231:$R$231</definedName>
    <definedName name="IQRCompaniesN231" hidden="1">[5]Companies!$O$231:$R$231</definedName>
    <definedName name="IQRCompaniesN232" localSheetId="32" hidden="1">[5]Companies!$O$232:$Q$232</definedName>
    <definedName name="IQRCompaniesN232" hidden="1">[5]Companies!$O$232:$Q$232</definedName>
    <definedName name="IQRCompaniesN233" localSheetId="32" hidden="1">[5]Companies!$O$233:$Q$233</definedName>
    <definedName name="IQRCompaniesN233" hidden="1">[5]Companies!$O$233:$Q$233</definedName>
    <definedName name="IQRCompaniesN234" localSheetId="32" hidden="1">[5]Companies!$O$234:$S$234</definedName>
    <definedName name="IQRCompaniesN234" hidden="1">[5]Companies!$O$234:$S$234</definedName>
    <definedName name="IQRCompaniesN235" localSheetId="32" hidden="1">[5]Companies!$O$235:$S$235</definedName>
    <definedName name="IQRCompaniesN235" hidden="1">[5]Companies!$O$235:$S$235</definedName>
    <definedName name="IQRCompaniesN236" localSheetId="32" hidden="1">[5]Companies!$O$236:$Q$236</definedName>
    <definedName name="IQRCompaniesN236" hidden="1">[5]Companies!$O$236:$Q$236</definedName>
    <definedName name="IQRCompaniesN237" localSheetId="32" hidden="1">[5]Companies!$O$237:$P$237</definedName>
    <definedName name="IQRCompaniesN237" hidden="1">[5]Companies!$O$237:$P$237</definedName>
    <definedName name="IQRCompaniesN238" localSheetId="32" hidden="1">[5]Companies!$O$238</definedName>
    <definedName name="IQRCompaniesN238" hidden="1">[5]Companies!$O$238</definedName>
    <definedName name="IQRCompaniesN239" localSheetId="32" hidden="1">[5]Companies!$O$239:$R$239</definedName>
    <definedName name="IQRCompaniesN239" hidden="1">[5]Companies!$O$239:$R$239</definedName>
    <definedName name="IQRCompaniesN24" hidden="1">[4]Companies!$O$24:$S$24</definedName>
    <definedName name="IQRCompaniesN240" localSheetId="32" hidden="1">[5]Companies!$O$240:$S$240</definedName>
    <definedName name="IQRCompaniesN240" hidden="1">[5]Companies!$O$240:$S$240</definedName>
    <definedName name="IQRCompaniesN241" localSheetId="32" hidden="1">[5]Companies!$O$241:$S$241</definedName>
    <definedName name="IQRCompaniesN241" hidden="1">[5]Companies!$O$241:$S$241</definedName>
    <definedName name="IQRCompaniesN242" localSheetId="32" hidden="1">[5]Companies!$O$242:$R$242</definedName>
    <definedName name="IQRCompaniesN242" hidden="1">[5]Companies!$O$242:$R$242</definedName>
    <definedName name="IQRCompaniesN243" localSheetId="32" hidden="1">[5]Companies!$O$243:$S$243</definedName>
    <definedName name="IQRCompaniesN243" hidden="1">[5]Companies!$O$243:$S$243</definedName>
    <definedName name="IQRCompaniesN244" localSheetId="32" hidden="1">[5]Companies!$O$244</definedName>
    <definedName name="IQRCompaniesN244" hidden="1">[5]Companies!$O$244</definedName>
    <definedName name="IQRCompaniesN245" localSheetId="32" hidden="1">[5]Companies!$O$245:$P$245</definedName>
    <definedName name="IQRCompaniesN245" hidden="1">[5]Companies!$O$245:$P$245</definedName>
    <definedName name="IQRCompaniesN246" localSheetId="32" hidden="1">[5]Companies!$O$246:$Q$246</definedName>
    <definedName name="IQRCompaniesN246" hidden="1">[5]Companies!$O$246:$Q$246</definedName>
    <definedName name="IQRCompaniesN247" localSheetId="32" hidden="1">[5]Companies!$O$247:$P$247</definedName>
    <definedName name="IQRCompaniesN247" hidden="1">[5]Companies!$O$247:$P$247</definedName>
    <definedName name="IQRCompaniesN248" localSheetId="32" hidden="1">[5]Companies!$O$248:$S$248</definedName>
    <definedName name="IQRCompaniesN248" hidden="1">[5]Companies!$O$248:$S$248</definedName>
    <definedName name="IQRCompaniesN249" localSheetId="32" hidden="1">[5]Companies!$O$249</definedName>
    <definedName name="IQRCompaniesN249" hidden="1">[5]Companies!$O$249</definedName>
    <definedName name="IQRCompaniesN25" hidden="1">[4]Companies!$O$25</definedName>
    <definedName name="IQRCompaniesN250" localSheetId="32" hidden="1">[5]Companies!$O$250:$S$250</definedName>
    <definedName name="IQRCompaniesN250" hidden="1">[5]Companies!$O$250:$S$250</definedName>
    <definedName name="IQRCompaniesN251" localSheetId="32" hidden="1">[5]Companies!$O$251:$P$251</definedName>
    <definedName name="IQRCompaniesN251" hidden="1">[5]Companies!$O$251:$P$251</definedName>
    <definedName name="IQRCompaniesN252" localSheetId="32" hidden="1">[5]Companies!$O$252:$S$252</definedName>
    <definedName name="IQRCompaniesN252" hidden="1">[5]Companies!$O$252:$S$252</definedName>
    <definedName name="IQRCompaniesN253" localSheetId="32" hidden="1">[5]Companies!$O$253</definedName>
    <definedName name="IQRCompaniesN253" hidden="1">[5]Companies!$O$253</definedName>
    <definedName name="IQRCompaniesN254" localSheetId="32" hidden="1">[5]Companies!$O$254:$P$254</definedName>
    <definedName name="IQRCompaniesN254" hidden="1">[5]Companies!$O$254:$P$254</definedName>
    <definedName name="IQRCompaniesN255" localSheetId="32" hidden="1">[5]Companies!$O$255</definedName>
    <definedName name="IQRCompaniesN255" hidden="1">[5]Companies!$O$255</definedName>
    <definedName name="IQRCompaniesN256" localSheetId="32" hidden="1">[5]Companies!$O$256:$R$256</definedName>
    <definedName name="IQRCompaniesN256" hidden="1">[5]Companies!$O$256:$R$256</definedName>
    <definedName name="IQRCompaniesN257" localSheetId="32" hidden="1">[5]Companies!$O$257:$Q$257</definedName>
    <definedName name="IQRCompaniesN257" hidden="1">[5]Companies!$O$257:$Q$257</definedName>
    <definedName name="IQRCompaniesN258" localSheetId="32" hidden="1">[5]Companies!$O$258:$Q$258</definedName>
    <definedName name="IQRCompaniesN258" hidden="1">[5]Companies!$O$258:$Q$258</definedName>
    <definedName name="IQRCompaniesN259" localSheetId="32" hidden="1">[5]Companies!$O$259</definedName>
    <definedName name="IQRCompaniesN259" hidden="1">[5]Companies!$O$259</definedName>
    <definedName name="IQRCompaniesN26" hidden="1">[4]Companies!$O$26:$S$26</definedName>
    <definedName name="IQRCompaniesN260" localSheetId="32" hidden="1">[5]Companies!$O$260:$P$260</definedName>
    <definedName name="IQRCompaniesN260" hidden="1">[5]Companies!$O$260:$P$260</definedName>
    <definedName name="IQRCompaniesN261" localSheetId="32" hidden="1">[5]Companies!$O$261</definedName>
    <definedName name="IQRCompaniesN261" hidden="1">[5]Companies!$O$261</definedName>
    <definedName name="IQRCompaniesN262" localSheetId="32" hidden="1">[5]Companies!$O$262</definedName>
    <definedName name="IQRCompaniesN262" hidden="1">[5]Companies!$O$262</definedName>
    <definedName name="IQRCompaniesN263" localSheetId="32" hidden="1">[5]Companies!$O$263</definedName>
    <definedName name="IQRCompaniesN263" hidden="1">[5]Companies!$O$263</definedName>
    <definedName name="IQRCompaniesN264" localSheetId="32" hidden="1">[5]Companies!$O$264</definedName>
    <definedName name="IQRCompaniesN264" hidden="1">[5]Companies!$O$264</definedName>
    <definedName name="IQRCompaniesN265" localSheetId="32" hidden="1">[5]Companies!$O$265:$P$265</definedName>
    <definedName name="IQRCompaniesN265" hidden="1">[5]Companies!$O$265:$P$265</definedName>
    <definedName name="IQRCompaniesN266" localSheetId="32" hidden="1">[5]Companies!$O$266:$S$266</definedName>
    <definedName name="IQRCompaniesN266" hidden="1">[5]Companies!$O$266:$S$266</definedName>
    <definedName name="IQRCompaniesN267" localSheetId="32" hidden="1">[5]Companies!$O$267:$S$267</definedName>
    <definedName name="IQRCompaniesN267" hidden="1">[5]Companies!$O$267:$S$267</definedName>
    <definedName name="IQRCompaniesN268" localSheetId="32" hidden="1">[5]Companies!$O$268:$R$268</definedName>
    <definedName name="IQRCompaniesN268" hidden="1">[5]Companies!$O$268:$R$268</definedName>
    <definedName name="IQRCompaniesN269" localSheetId="32" hidden="1">[5]Companies!$O$269</definedName>
    <definedName name="IQRCompaniesN269" hidden="1">[5]Companies!$O$269</definedName>
    <definedName name="IQRCompaniesN27" hidden="1">[4]Companies!$O$27:$S$27</definedName>
    <definedName name="IQRCompaniesN270" localSheetId="32" hidden="1">[5]Companies!$O$270:$Q$270</definedName>
    <definedName name="IQRCompaniesN270" hidden="1">[5]Companies!$O$270:$Q$270</definedName>
    <definedName name="IQRCompaniesN271" localSheetId="32" hidden="1">[5]Companies!$O$271:$S$271</definedName>
    <definedName name="IQRCompaniesN271" hidden="1">[5]Companies!$O$271:$S$271</definedName>
    <definedName name="IQRCompaniesN272" localSheetId="32" hidden="1">[5]Companies!$O$272:$Q$272</definedName>
    <definedName name="IQRCompaniesN272" hidden="1">[5]Companies!$O$272:$Q$272</definedName>
    <definedName name="IQRCompaniesN273" localSheetId="32" hidden="1">[5]Companies!$O$273:$S$273</definedName>
    <definedName name="IQRCompaniesN273" hidden="1">[5]Companies!$O$273:$S$273</definedName>
    <definedName name="IQRCompaniesN274" localSheetId="32" hidden="1">[5]Companies!$O$274:$P$274</definedName>
    <definedName name="IQRCompaniesN274" hidden="1">[5]Companies!$O$274:$P$274</definedName>
    <definedName name="IQRCompaniesN275" localSheetId="32" hidden="1">[5]Companies!$O$275:$S$275</definedName>
    <definedName name="IQRCompaniesN275" hidden="1">[5]Companies!$O$275:$S$275</definedName>
    <definedName name="IQRCompaniesN276" localSheetId="32" hidden="1">[5]Companies!$O$276:$S$276</definedName>
    <definedName name="IQRCompaniesN276" hidden="1">[5]Companies!$O$276:$S$276</definedName>
    <definedName name="IQRCompaniesN277" localSheetId="32" hidden="1">[5]Companies!$O$277:$S$277</definedName>
    <definedName name="IQRCompaniesN277" hidden="1">[5]Companies!$O$277:$S$277</definedName>
    <definedName name="IQRCompaniesN278" localSheetId="32" hidden="1">[5]Companies!$O$278:$S$278</definedName>
    <definedName name="IQRCompaniesN278" hidden="1">[5]Companies!$O$278:$S$278</definedName>
    <definedName name="IQRCompaniesN279" localSheetId="32" hidden="1">[5]Companies!$O$279:$S$279</definedName>
    <definedName name="IQRCompaniesN279" hidden="1">[5]Companies!$O$279:$S$279</definedName>
    <definedName name="IQRCompaniesN28" hidden="1">[4]Companies!$O$28:$S$28</definedName>
    <definedName name="IQRCompaniesN280" localSheetId="32" hidden="1">[5]Companies!$O$280</definedName>
    <definedName name="IQRCompaniesN280" hidden="1">[5]Companies!$O$280</definedName>
    <definedName name="IQRCompaniesN281" localSheetId="32" hidden="1">[5]Companies!$O$281</definedName>
    <definedName name="IQRCompaniesN281" hidden="1">[5]Companies!$O$281</definedName>
    <definedName name="IQRCompaniesN282" localSheetId="32" hidden="1">[5]Companies!$O$282:$P$282</definedName>
    <definedName name="IQRCompaniesN282" hidden="1">[5]Companies!$O$282:$P$282</definedName>
    <definedName name="IQRCompaniesN283" localSheetId="32" hidden="1">[5]Companies!$O$283</definedName>
    <definedName name="IQRCompaniesN283" hidden="1">[5]Companies!$O$283</definedName>
    <definedName name="IQRCompaniesN284" localSheetId="32" hidden="1">[5]Companies!$O$284</definedName>
    <definedName name="IQRCompaniesN284" hidden="1">[5]Companies!$O$284</definedName>
    <definedName name="IQRCompaniesN285" localSheetId="32" hidden="1">[5]Companies!$O$285</definedName>
    <definedName name="IQRCompaniesN285" hidden="1">[5]Companies!$O$285</definedName>
    <definedName name="IQRCompaniesN286" localSheetId="32" hidden="1">[5]Companies!$O$286</definedName>
    <definedName name="IQRCompaniesN286" hidden="1">[5]Companies!$O$286</definedName>
    <definedName name="IQRCompaniesN287" localSheetId="32" hidden="1">[5]Companies!$O$287</definedName>
    <definedName name="IQRCompaniesN287" hidden="1">[5]Companies!$O$287</definedName>
    <definedName name="IQRCompaniesN288" localSheetId="32" hidden="1">[5]Companies!$O$288</definedName>
    <definedName name="IQRCompaniesN288" hidden="1">[5]Companies!$O$288</definedName>
    <definedName name="IQRCompaniesN289" localSheetId="32" hidden="1">[5]Companies!$O$289:$P$289</definedName>
    <definedName name="IQRCompaniesN289" hidden="1">[5]Companies!$O$289:$P$289</definedName>
    <definedName name="IQRCompaniesN29" localSheetId="32" hidden="1">[5]Companies!$O$29:$R$29</definedName>
    <definedName name="IQRCompaniesN29" hidden="1">[5]Companies!$O$29:$R$29</definedName>
    <definedName name="IQRCompaniesN290" localSheetId="32" hidden="1">[5]Companies!$O$290</definedName>
    <definedName name="IQRCompaniesN290" hidden="1">[5]Companies!$O$290</definedName>
    <definedName name="IQRCompaniesN291" localSheetId="32" hidden="1">[5]Companies!$O$291</definedName>
    <definedName name="IQRCompaniesN291" hidden="1">[5]Companies!$O$291</definedName>
    <definedName name="IQRCompaniesN292" localSheetId="32" hidden="1">[5]Companies!$O$292:$P$292</definedName>
    <definedName name="IQRCompaniesN292" hidden="1">[5]Companies!$O$292:$P$292</definedName>
    <definedName name="IQRCompaniesN293" localSheetId="32" hidden="1">[5]Companies!$O$293:$S$293</definedName>
    <definedName name="IQRCompaniesN293" hidden="1">[5]Companies!$O$293:$S$293</definedName>
    <definedName name="IQRCompaniesN294" localSheetId="32" hidden="1">[5]Companies!$O$294:$R$294</definedName>
    <definedName name="IQRCompaniesN294" hidden="1">[5]Companies!$O$294:$R$294</definedName>
    <definedName name="IQRCompaniesN295" localSheetId="32" hidden="1">[5]Companies!$O$295</definedName>
    <definedName name="IQRCompaniesN295" hidden="1">[5]Companies!$O$295</definedName>
    <definedName name="IQRCompaniesN296" localSheetId="32" hidden="1">[5]Companies!$O$296</definedName>
    <definedName name="IQRCompaniesN296" hidden="1">[5]Companies!$O$296</definedName>
    <definedName name="IQRCompaniesN297" localSheetId="32" hidden="1">[5]Companies!$O$297</definedName>
    <definedName name="IQRCompaniesN297" hidden="1">[5]Companies!$O$297</definedName>
    <definedName name="IQRCompaniesN298" localSheetId="32" hidden="1">[5]Companies!$O$298</definedName>
    <definedName name="IQRCompaniesN298" hidden="1">[5]Companies!$O$298</definedName>
    <definedName name="IQRCompaniesN299" localSheetId="32" hidden="1">[5]Companies!$O$299</definedName>
    <definedName name="IQRCompaniesN299" hidden="1">[5]Companies!$O$299</definedName>
    <definedName name="IQRCompaniesN30" hidden="1">[4]Companies!$O$30:$S$30</definedName>
    <definedName name="IQRCompaniesN300" localSheetId="32" hidden="1">[5]Companies!$O$300</definedName>
    <definedName name="IQRCompaniesN300" hidden="1">[5]Companies!$O$300</definedName>
    <definedName name="IQRCompaniesN301" localSheetId="32" hidden="1">[5]Companies!$O$301:$P$301</definedName>
    <definedName name="IQRCompaniesN301" hidden="1">[5]Companies!$O$301:$P$301</definedName>
    <definedName name="IQRCompaniesN302" localSheetId="32" hidden="1">[5]Companies!$O$302:$R$302</definedName>
    <definedName name="IQRCompaniesN302" hidden="1">[5]Companies!$O$302:$R$302</definedName>
    <definedName name="IQRCompaniesN303" localSheetId="32" hidden="1">[5]Companies!$O$303</definedName>
    <definedName name="IQRCompaniesN303" hidden="1">[5]Companies!$O$303</definedName>
    <definedName name="IQRCompaniesN304" localSheetId="32" hidden="1">[5]Companies!$O$304</definedName>
    <definedName name="IQRCompaniesN304" hidden="1">[5]Companies!$O$304</definedName>
    <definedName name="IQRCompaniesN305" localSheetId="32" hidden="1">[5]Companies!$O$305</definedName>
    <definedName name="IQRCompaniesN305" hidden="1">[5]Companies!$O$305</definedName>
    <definedName name="IQRCompaniesN306" localSheetId="32" hidden="1">[5]Companies!$O$306</definedName>
    <definedName name="IQRCompaniesN306" hidden="1">[5]Companies!$O$306</definedName>
    <definedName name="IQRCompaniesN307" localSheetId="32" hidden="1">[5]Companies!$O$307</definedName>
    <definedName name="IQRCompaniesN307" hidden="1">[5]Companies!$O$307</definedName>
    <definedName name="IQRCompaniesN308" localSheetId="32" hidden="1">[5]Companies!$O$308</definedName>
    <definedName name="IQRCompaniesN308" hidden="1">[5]Companies!$O$308</definedName>
    <definedName name="IQRCompaniesN309" localSheetId="32" hidden="1">[5]Companies!$O$309:$S$309</definedName>
    <definedName name="IQRCompaniesN309" hidden="1">[5]Companies!$O$309:$S$309</definedName>
    <definedName name="IQRCompaniesN31" localSheetId="32" hidden="1">[7]Companies!$O$31</definedName>
    <definedName name="IQRCompaniesN31" hidden="1">[7]Companies!$O$31</definedName>
    <definedName name="IQRCompaniesN310" localSheetId="32" hidden="1">[5]Companies!$O$310:$S$310</definedName>
    <definedName name="IQRCompaniesN310" hidden="1">[5]Companies!$O$310:$S$310</definedName>
    <definedName name="IQRCompaniesN311" localSheetId="32" hidden="1">[5]Companies!$O$311:$S$311</definedName>
    <definedName name="IQRCompaniesN311" hidden="1">[5]Companies!$O$311:$S$311</definedName>
    <definedName name="IQRCompaniesN312" localSheetId="32" hidden="1">[5]Companies!$O$312:$S$312</definedName>
    <definedName name="IQRCompaniesN312" hidden="1">[5]Companies!$O$312:$S$312</definedName>
    <definedName name="IQRCompaniesN313" localSheetId="32" hidden="1">[5]Companies!$O$313:$S$313</definedName>
    <definedName name="IQRCompaniesN313" hidden="1">[5]Companies!$O$313:$S$313</definedName>
    <definedName name="IQRCompaniesN314" localSheetId="32" hidden="1">[5]Companies!$O$314:$P$314</definedName>
    <definedName name="IQRCompaniesN314" hidden="1">[5]Companies!$O$314:$P$314</definedName>
    <definedName name="IQRCompaniesN315" localSheetId="32" hidden="1">[5]Companies!$O$315:$P$315</definedName>
    <definedName name="IQRCompaniesN315" hidden="1">[5]Companies!$O$315:$P$315</definedName>
    <definedName name="IQRCompaniesN316" localSheetId="32" hidden="1">[5]Companies!$O$316:$S$316</definedName>
    <definedName name="IQRCompaniesN316" hidden="1">[5]Companies!$O$316:$S$316</definedName>
    <definedName name="IQRCompaniesN317" localSheetId="32" hidden="1">[5]Companies!$O$317:$S$317</definedName>
    <definedName name="IQRCompaniesN317" hidden="1">[5]Companies!$O$317:$S$317</definedName>
    <definedName name="IQRCompaniesN318" localSheetId="32" hidden="1">[5]Companies!$O$318:$Q$318</definedName>
    <definedName name="IQRCompaniesN318" hidden="1">[5]Companies!$O$318:$Q$318</definedName>
    <definedName name="IQRCompaniesN319" localSheetId="32" hidden="1">[5]Companies!$O$319:$S$319</definedName>
    <definedName name="IQRCompaniesN319" hidden="1">[5]Companies!$O$319:$S$319</definedName>
    <definedName name="IQRCompaniesN32" hidden="1">[4]Companies!$O$32:$S$32</definedName>
    <definedName name="IQRCompaniesN320" localSheetId="32" hidden="1">[5]Companies!$O$320:$S$320</definedName>
    <definedName name="IQRCompaniesN320" hidden="1">[5]Companies!$O$320:$S$320</definedName>
    <definedName name="IQRCompaniesN321" localSheetId="32" hidden="1">[5]Companies!$O$321:$S$321</definedName>
    <definedName name="IQRCompaniesN321" hidden="1">[5]Companies!$O$321:$S$321</definedName>
    <definedName name="IQRCompaniesN322" localSheetId="32" hidden="1">[5]Companies!$O$322:$S$322</definedName>
    <definedName name="IQRCompaniesN322" hidden="1">[5]Companies!$O$322:$S$322</definedName>
    <definedName name="IQRCompaniesN323" localSheetId="32" hidden="1">[5]Companies!$O$323</definedName>
    <definedName name="IQRCompaniesN323" hidden="1">[5]Companies!$O$323</definedName>
    <definedName name="IQRCompaniesN324" localSheetId="32" hidden="1">[5]Companies!$O$324</definedName>
    <definedName name="IQRCompaniesN324" hidden="1">[5]Companies!$O$324</definedName>
    <definedName name="IQRCompaniesN325" localSheetId="32" hidden="1">[5]Companies!$O$325:$S$325</definedName>
    <definedName name="IQRCompaniesN325" hidden="1">[5]Companies!$O$325:$S$325</definedName>
    <definedName name="IQRCompaniesN326" localSheetId="32" hidden="1">[5]Companies!$O$326:$S$326</definedName>
    <definedName name="IQRCompaniesN326" hidden="1">[5]Companies!$O$326:$S$326</definedName>
    <definedName name="IQRCompaniesN327" localSheetId="32" hidden="1">[5]Companies!$O$327:$P$327</definedName>
    <definedName name="IQRCompaniesN327" hidden="1">[5]Companies!$O$327:$P$327</definedName>
    <definedName name="IQRCompaniesN328" localSheetId="32" hidden="1">[5]Companies!$O$328:$S$328</definedName>
    <definedName name="IQRCompaniesN328" hidden="1">[5]Companies!$O$328:$S$328</definedName>
    <definedName name="IQRCompaniesN329" localSheetId="32" hidden="1">[5]Companies!$O$329</definedName>
    <definedName name="IQRCompaniesN329" hidden="1">[5]Companies!$O$329</definedName>
    <definedName name="IQRCompaniesN33" hidden="1">[4]Companies!$O$33:$S$33</definedName>
    <definedName name="IQRCompaniesN330" localSheetId="32" hidden="1">[5]Companies!$O$330</definedName>
    <definedName name="IQRCompaniesN330" hidden="1">[5]Companies!$O$330</definedName>
    <definedName name="IQRCompaniesN331" localSheetId="32" hidden="1">[5]Companies!$O$331:$P$331</definedName>
    <definedName name="IQRCompaniesN331" hidden="1">[5]Companies!$O$331:$P$331</definedName>
    <definedName name="IQRCompaniesN332" localSheetId="32" hidden="1">[5]Companies!$O$332:$P$332</definedName>
    <definedName name="IQRCompaniesN332" hidden="1">[5]Companies!$O$332:$P$332</definedName>
    <definedName name="IQRCompaniesN333" localSheetId="32" hidden="1">[5]Companies!$O$333</definedName>
    <definedName name="IQRCompaniesN333" hidden="1">[5]Companies!$O$333</definedName>
    <definedName name="IQRCompaniesN334" localSheetId="32" hidden="1">[5]Companies!$O$334:$P$334</definedName>
    <definedName name="IQRCompaniesN334" hidden="1">[5]Companies!$O$334:$P$334</definedName>
    <definedName name="IQRCompaniesN335" localSheetId="32" hidden="1">[5]Companies!$O$335:$S$335</definedName>
    <definedName name="IQRCompaniesN335" hidden="1">[5]Companies!$O$335:$S$335</definedName>
    <definedName name="IQRCompaniesN336" localSheetId="32" hidden="1">[5]Companies!$O$336:$S$336</definedName>
    <definedName name="IQRCompaniesN336" hidden="1">[5]Companies!$O$336:$S$336</definedName>
    <definedName name="IQRCompaniesN337" localSheetId="32" hidden="1">[5]Companies!$O$337</definedName>
    <definedName name="IQRCompaniesN337" hidden="1">[5]Companies!$O$337</definedName>
    <definedName name="IQRCompaniesN338" localSheetId="32" hidden="1">[5]Companies!$O$338:$S$338</definedName>
    <definedName name="IQRCompaniesN338" hidden="1">[5]Companies!$O$338:$S$338</definedName>
    <definedName name="IQRCompaniesN339" localSheetId="32" hidden="1">[5]Companies!$O$339:$S$339</definedName>
    <definedName name="IQRCompaniesN339" hidden="1">[5]Companies!$O$339:$S$339</definedName>
    <definedName name="IQRCompaniesN34" hidden="1">[4]Companies!$O$34:$S$34</definedName>
    <definedName name="IQRCompaniesN340" localSheetId="32" hidden="1">[5]Companies!$O$340:$S$340</definedName>
    <definedName name="IQRCompaniesN340" hidden="1">[5]Companies!$O$340:$S$340</definedName>
    <definedName name="IQRCompaniesN341" localSheetId="32" hidden="1">[5]Companies!$O$341:$S$341</definedName>
    <definedName name="IQRCompaniesN341" hidden="1">[5]Companies!$O$341:$S$341</definedName>
    <definedName name="IQRCompaniesN342" localSheetId="32" hidden="1">[5]Companies!$O$342:$Q$342</definedName>
    <definedName name="IQRCompaniesN342" hidden="1">[5]Companies!$O$342:$Q$342</definedName>
    <definedName name="IQRCompaniesN343" localSheetId="32" hidden="1">[5]Companies!$O$343</definedName>
    <definedName name="IQRCompaniesN343" hidden="1">[5]Companies!$O$343</definedName>
    <definedName name="IQRCompaniesN344" localSheetId="32" hidden="1">[5]Companies!$O$344:$P$344</definedName>
    <definedName name="IQRCompaniesN344" hidden="1">[5]Companies!$O$344:$P$344</definedName>
    <definedName name="IQRCompaniesN345" localSheetId="32" hidden="1">[5]Companies!$O$345</definedName>
    <definedName name="IQRCompaniesN345" hidden="1">[5]Companies!$O$345</definedName>
    <definedName name="IQRCompaniesN346" localSheetId="32" hidden="1">[5]Companies!$O$346:$Q$346</definedName>
    <definedName name="IQRCompaniesN346" hidden="1">[5]Companies!$O$346:$Q$346</definedName>
    <definedName name="IQRCompaniesN347" localSheetId="32" hidden="1">[5]Companies!$O$347</definedName>
    <definedName name="IQRCompaniesN347" hidden="1">[5]Companies!$O$347</definedName>
    <definedName name="IQRCompaniesN348" localSheetId="32" hidden="1">[5]Companies!$O$348:$S$348</definedName>
    <definedName name="IQRCompaniesN348" hidden="1">[5]Companies!$O$348:$S$348</definedName>
    <definedName name="IQRCompaniesN349" localSheetId="32" hidden="1">[5]Companies!$O$349:$S$349</definedName>
    <definedName name="IQRCompaniesN349" hidden="1">[5]Companies!$O$349:$S$349</definedName>
    <definedName name="IQRCompaniesN35" hidden="1">[4]Companies!$O$35:$Q$35</definedName>
    <definedName name="IQRCompaniesN350" localSheetId="32" hidden="1">[5]Companies!$O$350</definedName>
    <definedName name="IQRCompaniesN350" hidden="1">[5]Companies!$O$350</definedName>
    <definedName name="IQRCompaniesN351" localSheetId="32" hidden="1">[5]Companies!$O$351</definedName>
    <definedName name="IQRCompaniesN351" hidden="1">[5]Companies!$O$351</definedName>
    <definedName name="IQRCompaniesN352" localSheetId="32" hidden="1">[5]Companies!$O$352</definedName>
    <definedName name="IQRCompaniesN352" hidden="1">[5]Companies!$O$352</definedName>
    <definedName name="IQRCompaniesN353" localSheetId="32" hidden="1">[5]Companies!$O$353:$S$353</definedName>
    <definedName name="IQRCompaniesN353" hidden="1">[5]Companies!$O$353:$S$353</definedName>
    <definedName name="IQRCompaniesN354" localSheetId="32" hidden="1">[5]Companies!$O$354:$S$354</definedName>
    <definedName name="IQRCompaniesN354" hidden="1">[5]Companies!$O$354:$S$354</definedName>
    <definedName name="IQRCompaniesN355" localSheetId="32" hidden="1">[5]Companies!$O$355:$S$355</definedName>
    <definedName name="IQRCompaniesN355" hidden="1">[5]Companies!$O$355:$S$355</definedName>
    <definedName name="IQRCompaniesN356" localSheetId="32" hidden="1">[5]Companies!$O$356</definedName>
    <definedName name="IQRCompaniesN356" hidden="1">[5]Companies!$O$356</definedName>
    <definedName name="IQRCompaniesN357" localSheetId="32" hidden="1">[5]Companies!$O$357:$P$357</definedName>
    <definedName name="IQRCompaniesN357" hidden="1">[5]Companies!$O$357:$P$357</definedName>
    <definedName name="IQRCompaniesN358" localSheetId="32" hidden="1">[5]Companies!$O$358:$S$358</definedName>
    <definedName name="IQRCompaniesN358" hidden="1">[5]Companies!$O$358:$S$358</definedName>
    <definedName name="IQRCompaniesN359" localSheetId="32" hidden="1">[5]Companies!$O$359:$Q$359</definedName>
    <definedName name="IQRCompaniesN359" hidden="1">[5]Companies!$O$359:$Q$359</definedName>
    <definedName name="IQRCompaniesN36" hidden="1">[4]Companies!$O$36</definedName>
    <definedName name="IQRCompaniesN360" localSheetId="32" hidden="1">[5]Companies!$O$360</definedName>
    <definedName name="IQRCompaniesN360" hidden="1">[5]Companies!$O$360</definedName>
    <definedName name="IQRCompaniesN361" localSheetId="32" hidden="1">[5]Companies!$O$361:$Q$361</definedName>
    <definedName name="IQRCompaniesN361" hidden="1">[5]Companies!$O$361:$Q$361</definedName>
    <definedName name="IQRCompaniesN362" localSheetId="32" hidden="1">[5]Companies!$O$362:$P$362</definedName>
    <definedName name="IQRCompaniesN362" hidden="1">[5]Companies!$O$362:$P$362</definedName>
    <definedName name="IQRCompaniesN363" localSheetId="32" hidden="1">[5]Companies!$O$363:$S$363</definedName>
    <definedName name="IQRCompaniesN363" hidden="1">[5]Companies!$O$363:$S$363</definedName>
    <definedName name="IQRCompaniesN364" localSheetId="32" hidden="1">[5]Companies!$O$364</definedName>
    <definedName name="IQRCompaniesN364" hidden="1">[5]Companies!$O$364</definedName>
    <definedName name="IQRCompaniesN365" localSheetId="32" hidden="1">[5]Companies!$O$365:$P$365</definedName>
    <definedName name="IQRCompaniesN365" hidden="1">[5]Companies!$O$365:$P$365</definedName>
    <definedName name="IQRCompaniesN366" localSheetId="32" hidden="1">[5]Companies!$O$366:$S$366</definedName>
    <definedName name="IQRCompaniesN366" hidden="1">[5]Companies!$O$366:$S$366</definedName>
    <definedName name="IQRCompaniesN367" localSheetId="32" hidden="1">[5]Companies!$O$367:$S$367</definedName>
    <definedName name="IQRCompaniesN367" hidden="1">[5]Companies!$O$367:$S$367</definedName>
    <definedName name="IQRCompaniesN368" localSheetId="32" hidden="1">[5]Companies!$O$368:$R$368</definedName>
    <definedName name="IQRCompaniesN368" hidden="1">[5]Companies!$O$368:$R$368</definedName>
    <definedName name="IQRCompaniesN369" localSheetId="32" hidden="1">[5]Companies!$O$369:$P$369</definedName>
    <definedName name="IQRCompaniesN369" hidden="1">[5]Companies!$O$369:$P$369</definedName>
    <definedName name="IQRCompaniesN37" hidden="1">[4]Companies!$O$37:$S$37</definedName>
    <definedName name="IQRCompaniesN370" localSheetId="32" hidden="1">[5]Companies!$O$370:$R$370</definedName>
    <definedName name="IQRCompaniesN370" hidden="1">[5]Companies!$O$370:$R$370</definedName>
    <definedName name="IQRCompaniesN371" localSheetId="32" hidden="1">[5]Companies!$O$371:$S$371</definedName>
    <definedName name="IQRCompaniesN371" hidden="1">[5]Companies!$O$371:$S$371</definedName>
    <definedName name="IQRCompaniesN372" localSheetId="32" hidden="1">[5]Companies!$O$372:$P$372</definedName>
    <definedName name="IQRCompaniesN372" hidden="1">[5]Companies!$O$372:$P$372</definedName>
    <definedName name="IQRCompaniesN373" localSheetId="32" hidden="1">[5]Companies!$O$373</definedName>
    <definedName name="IQRCompaniesN373" hidden="1">[5]Companies!$O$373</definedName>
    <definedName name="IQRCompaniesN374" localSheetId="32" hidden="1">[5]Companies!$O$374</definedName>
    <definedName name="IQRCompaniesN374" hidden="1">[5]Companies!$O$374</definedName>
    <definedName name="IQRCompaniesN375" localSheetId="32" hidden="1">[5]Companies!$O$375</definedName>
    <definedName name="IQRCompaniesN375" hidden="1">[5]Companies!$O$375</definedName>
    <definedName name="IQRCompaniesN376" localSheetId="32" hidden="1">[5]Companies!$O$376:$R$376</definedName>
    <definedName name="IQRCompaniesN376" hidden="1">[5]Companies!$O$376:$R$376</definedName>
    <definedName name="IQRCompaniesN377" localSheetId="32" hidden="1">[5]Companies!$O$377:$P$377</definedName>
    <definedName name="IQRCompaniesN377" hidden="1">[5]Companies!$O$377:$P$377</definedName>
    <definedName name="IQRCompaniesN378" localSheetId="32" hidden="1">[5]Companies!$O$378:$P$378</definedName>
    <definedName name="IQRCompaniesN378" hidden="1">[5]Companies!$O$378:$P$378</definedName>
    <definedName name="IQRCompaniesN379" localSheetId="32" hidden="1">[5]Companies!$O$379</definedName>
    <definedName name="IQRCompaniesN379" hidden="1">[5]Companies!$O$379</definedName>
    <definedName name="IQRCompaniesN38" hidden="1">[4]Companies!$O$38:$S$38</definedName>
    <definedName name="IQRCompaniesN380" localSheetId="32" hidden="1">[5]Companies!$O$380:$P$380</definedName>
    <definedName name="IQRCompaniesN380" hidden="1">[5]Companies!$O$380:$P$380</definedName>
    <definedName name="IQRCompaniesN381" localSheetId="32" hidden="1">[5]Companies!$O$381:$S$381</definedName>
    <definedName name="IQRCompaniesN381" hidden="1">[5]Companies!$O$381:$S$381</definedName>
    <definedName name="IQRCompaniesN382" localSheetId="32" hidden="1">[5]Companies!$O$382:$S$382</definedName>
    <definedName name="IQRCompaniesN382" hidden="1">[5]Companies!$O$382:$S$382</definedName>
    <definedName name="IQRCompaniesN383" localSheetId="32" hidden="1">[5]Companies!$O$383:$S$383</definedName>
    <definedName name="IQRCompaniesN383" hidden="1">[5]Companies!$O$383:$S$383</definedName>
    <definedName name="IQRCompaniesN384" localSheetId="32" hidden="1">[5]Companies!$O$384:$P$384</definedName>
    <definedName name="IQRCompaniesN384" hidden="1">[5]Companies!$O$384:$P$384</definedName>
    <definedName name="IQRCompaniesN385" localSheetId="32" hidden="1">[5]Companies!$O$385</definedName>
    <definedName name="IQRCompaniesN385" hidden="1">[5]Companies!$O$385</definedName>
    <definedName name="IQRCompaniesN386" localSheetId="32" hidden="1">[5]Companies!$O$386:$Q$386</definedName>
    <definedName name="IQRCompaniesN386" hidden="1">[5]Companies!$O$386:$Q$386</definedName>
    <definedName name="IQRCompaniesN387" localSheetId="32" hidden="1">[5]Companies!$O$387</definedName>
    <definedName name="IQRCompaniesN387" hidden="1">[5]Companies!$O$387</definedName>
    <definedName name="IQRCompaniesN388" localSheetId="32" hidden="1">[5]Companies!$O$388:$S$388</definedName>
    <definedName name="IQRCompaniesN388" hidden="1">[5]Companies!$O$388:$S$388</definedName>
    <definedName name="IQRCompaniesN389" localSheetId="32" hidden="1">[5]Companies!$O$389:$S$389</definedName>
    <definedName name="IQRCompaniesN389" hidden="1">[5]Companies!$O$389:$S$389</definedName>
    <definedName name="IQRCompaniesN39" hidden="1">[4]Companies!$O$39:$S$39</definedName>
    <definedName name="IQRCompaniesN390" localSheetId="32" hidden="1">[5]Companies!$O$390</definedName>
    <definedName name="IQRCompaniesN390" hidden="1">[5]Companies!$O$390</definedName>
    <definedName name="IQRCompaniesN391" localSheetId="32" hidden="1">[5]Companies!$O$391:$P$391</definedName>
    <definedName name="IQRCompaniesN391" hidden="1">[5]Companies!$O$391:$P$391</definedName>
    <definedName name="IQRCompaniesN392" localSheetId="32" hidden="1">[5]Companies!$O$392</definedName>
    <definedName name="IQRCompaniesN392" hidden="1">[5]Companies!$O$392</definedName>
    <definedName name="IQRCompaniesN393" localSheetId="32" hidden="1">[5]Companies!$O$393:$S$393</definedName>
    <definedName name="IQRCompaniesN393" hidden="1">[5]Companies!$O$393:$S$393</definedName>
    <definedName name="IQRCompaniesN394" localSheetId="32" hidden="1">[5]Companies!$O$394</definedName>
    <definedName name="IQRCompaniesN394" hidden="1">[5]Companies!$O$394</definedName>
    <definedName name="IQRCompaniesN395" localSheetId="32" hidden="1">[5]Companies!$O$395</definedName>
    <definedName name="IQRCompaniesN395" hidden="1">[5]Companies!$O$395</definedName>
    <definedName name="IQRCompaniesN396" localSheetId="32" hidden="1">[5]Companies!$O$396</definedName>
    <definedName name="IQRCompaniesN396" hidden="1">[5]Companies!$O$396</definedName>
    <definedName name="IQRCompaniesN397" localSheetId="32" hidden="1">[5]Companies!$O$397:$S$397</definedName>
    <definedName name="IQRCompaniesN397" hidden="1">[5]Companies!$O$397:$S$397</definedName>
    <definedName name="IQRCompaniesN398" localSheetId="32" hidden="1">[5]Companies!$O$398:$S$398</definedName>
    <definedName name="IQRCompaniesN398" hidden="1">[5]Companies!$O$398:$S$398</definedName>
    <definedName name="IQRCompaniesN399" localSheetId="32" hidden="1">[5]Companies!$O$399:$S$399</definedName>
    <definedName name="IQRCompaniesN399" hidden="1">[5]Companies!$O$399:$S$399</definedName>
    <definedName name="IQRCompaniesN40" hidden="1">[4]Companies!$O$40:$S$40</definedName>
    <definedName name="IQRCompaniesN400" localSheetId="32" hidden="1">[5]Companies!$O$400</definedName>
    <definedName name="IQRCompaniesN400" hidden="1">[5]Companies!$O$400</definedName>
    <definedName name="IQRCompaniesN401" localSheetId="32" hidden="1">[5]Companies!$O$401:$S$401</definedName>
    <definedName name="IQRCompaniesN401" hidden="1">[5]Companies!$O$401:$S$401</definedName>
    <definedName name="IQRCompaniesN402" localSheetId="32" hidden="1">[5]Companies!$O$402:$S$402</definedName>
    <definedName name="IQRCompaniesN402" hidden="1">[5]Companies!$O$402:$S$402</definedName>
    <definedName name="IQRCompaniesN403" localSheetId="32" hidden="1">[5]Companies!$O$403:$R$403</definedName>
    <definedName name="IQRCompaniesN403" hidden="1">[5]Companies!$O$403:$R$403</definedName>
    <definedName name="IQRCompaniesN404" localSheetId="32" hidden="1">[5]Companies!$O$404</definedName>
    <definedName name="IQRCompaniesN404" hidden="1">[5]Companies!$O$404</definedName>
    <definedName name="IQRCompaniesN405" localSheetId="32" hidden="1">[5]Companies!$O$405:$Q$405</definedName>
    <definedName name="IQRCompaniesN405" hidden="1">[5]Companies!$O$405:$Q$405</definedName>
    <definedName name="IQRCompaniesN406" localSheetId="32" hidden="1">[5]Companies!$O$406:$S$406</definedName>
    <definedName name="IQRCompaniesN406" hidden="1">[5]Companies!$O$406:$S$406</definedName>
    <definedName name="IQRCompaniesN407" localSheetId="32" hidden="1">[5]Companies!$O$407</definedName>
    <definedName name="IQRCompaniesN407" hidden="1">[5]Companies!$O$407</definedName>
    <definedName name="IQRCompaniesN408" localSheetId="32" hidden="1">[5]Companies!$O$408:$S$408</definedName>
    <definedName name="IQRCompaniesN408" hidden="1">[5]Companies!$O$408:$S$408</definedName>
    <definedName name="IQRCompaniesN409" localSheetId="32" hidden="1">[5]Companies!$O$409:$P$409</definedName>
    <definedName name="IQRCompaniesN409" hidden="1">[5]Companies!$O$409:$P$409</definedName>
    <definedName name="IQRCompaniesN41" localSheetId="32" hidden="1">[5]Companies!$O$41:$P$41</definedName>
    <definedName name="IQRCompaniesN41" hidden="1">[5]Companies!$O$41:$P$41</definedName>
    <definedName name="IQRCompaniesN410" localSheetId="32" hidden="1">[5]Companies!$O$410:$Q$410</definedName>
    <definedName name="IQRCompaniesN410" hidden="1">[5]Companies!$O$410:$Q$410</definedName>
    <definedName name="IQRCompaniesN411" localSheetId="32" hidden="1">[5]Companies!$O$411:$S$411</definedName>
    <definedName name="IQRCompaniesN411" hidden="1">[5]Companies!$O$411:$S$411</definedName>
    <definedName name="IQRCompaniesN412" localSheetId="32" hidden="1">[5]Companies!$O$412:$P$412</definedName>
    <definedName name="IQRCompaniesN412" hidden="1">[5]Companies!$O$412:$P$412</definedName>
    <definedName name="IQRCompaniesN413" localSheetId="32" hidden="1">[5]Companies!$O$413</definedName>
    <definedName name="IQRCompaniesN413" hidden="1">[5]Companies!$O$413</definedName>
    <definedName name="IQRCompaniesN414" localSheetId="32" hidden="1">[5]Companies!$O$414:$P$414</definedName>
    <definedName name="IQRCompaniesN414" hidden="1">[5]Companies!$O$414:$P$414</definedName>
    <definedName name="IQRCompaniesN415" localSheetId="32" hidden="1">[5]Companies!$O$415:$Q$415</definedName>
    <definedName name="IQRCompaniesN415" hidden="1">[5]Companies!$O$415:$Q$415</definedName>
    <definedName name="IQRCompaniesN416" localSheetId="32" hidden="1">[5]Companies!$O$416</definedName>
    <definedName name="IQRCompaniesN416" hidden="1">[5]Companies!$O$416</definedName>
    <definedName name="IQRCompaniesN417" localSheetId="32" hidden="1">[5]Companies!$O$417:$S$417</definedName>
    <definedName name="IQRCompaniesN417" hidden="1">[5]Companies!$O$417:$S$417</definedName>
    <definedName name="IQRCompaniesN418" localSheetId="32" hidden="1">[5]Companies!$O$418:$P$418</definedName>
    <definedName name="IQRCompaniesN418" hidden="1">[5]Companies!$O$418:$P$418</definedName>
    <definedName name="IQRCompaniesN419" localSheetId="32" hidden="1">[5]Companies!$O$419:$S$419</definedName>
    <definedName name="IQRCompaniesN419" hidden="1">[5]Companies!$O$419:$S$419</definedName>
    <definedName name="IQRCompaniesN42" localSheetId="32" hidden="1">[5]Companies!$O$42:$S$42</definedName>
    <definedName name="IQRCompaniesN42" hidden="1">[5]Companies!$O$42:$S$42</definedName>
    <definedName name="IQRCompaniesN420" localSheetId="32" hidden="1">[5]Companies!$O$420:$S$420</definedName>
    <definedName name="IQRCompaniesN420" hidden="1">[5]Companies!$O$420:$S$420</definedName>
    <definedName name="IQRCompaniesN421" localSheetId="32" hidden="1">[5]Companies!$O$421</definedName>
    <definedName name="IQRCompaniesN421" hidden="1">[5]Companies!$O$421</definedName>
    <definedName name="IQRCompaniesN422" localSheetId="32" hidden="1">[5]Companies!$O$422:$P$422</definedName>
    <definedName name="IQRCompaniesN422" hidden="1">[5]Companies!$O$422:$P$422</definedName>
    <definedName name="IQRCompaniesN423" localSheetId="32" hidden="1">[5]Companies!$O$423:$S$423</definedName>
    <definedName name="IQRCompaniesN423" hidden="1">[5]Companies!$O$423:$S$423</definedName>
    <definedName name="IQRCompaniesN424" localSheetId="32" hidden="1">[5]Companies!$O$424</definedName>
    <definedName name="IQRCompaniesN424" hidden="1">[5]Companies!$O$424</definedName>
    <definedName name="IQRCompaniesN425" localSheetId="32" hidden="1">[5]Companies!$O$425:$S$425</definedName>
    <definedName name="IQRCompaniesN425" hidden="1">[5]Companies!$O$425:$S$425</definedName>
    <definedName name="IQRCompaniesN426" localSheetId="32" hidden="1">[5]Companies!$O$426:$S$426</definedName>
    <definedName name="IQRCompaniesN426" hidden="1">[5]Companies!$O$426:$S$426</definedName>
    <definedName name="IQRCompaniesN427" localSheetId="32" hidden="1">[5]Companies!$O$427</definedName>
    <definedName name="IQRCompaniesN427" hidden="1">[5]Companies!$O$427</definedName>
    <definedName name="IQRCompaniesN428" localSheetId="32" hidden="1">[5]Companies!$O$428</definedName>
    <definedName name="IQRCompaniesN428" hidden="1">[5]Companies!$O$428</definedName>
    <definedName name="IQRCompaniesN429" localSheetId="32" hidden="1">[5]Companies!$O$429:$P$429</definedName>
    <definedName name="IQRCompaniesN429" hidden="1">[5]Companies!$O$429:$P$429</definedName>
    <definedName name="IQRCompaniesN43" localSheetId="32" hidden="1">[5]Companies!$O$43:$S$43</definedName>
    <definedName name="IQRCompaniesN43" hidden="1">[5]Companies!$O$43:$S$43</definedName>
    <definedName name="IQRCompaniesN430" localSheetId="32" hidden="1">[5]Companies!$O$430:$P$430</definedName>
    <definedName name="IQRCompaniesN430" hidden="1">[5]Companies!$O$430:$P$430</definedName>
    <definedName name="IQRCompaniesN431" localSheetId="32" hidden="1">[5]Companies!$O$431:$P$431</definedName>
    <definedName name="IQRCompaniesN431" hidden="1">[5]Companies!$O$431:$P$431</definedName>
    <definedName name="IQRCompaniesN432" localSheetId="32" hidden="1">[5]Companies!$O$432</definedName>
    <definedName name="IQRCompaniesN432" hidden="1">[5]Companies!$O$432</definedName>
    <definedName name="IQRCompaniesN433" localSheetId="32" hidden="1">[5]Companies!$O$433</definedName>
    <definedName name="IQRCompaniesN433" hidden="1">[5]Companies!$O$433</definedName>
    <definedName name="IQRCompaniesN434" localSheetId="32" hidden="1">[5]Companies!$O$434:$P$434</definedName>
    <definedName name="IQRCompaniesN434" hidden="1">[5]Companies!$O$434:$P$434</definedName>
    <definedName name="IQRCompaniesN435" localSheetId="32" hidden="1">[5]Companies!$O$435:$P$435</definedName>
    <definedName name="IQRCompaniesN435" hidden="1">[5]Companies!$O$435:$P$435</definedName>
    <definedName name="IQRCompaniesN436" localSheetId="32" hidden="1">[5]Companies!$O$436:$R$436</definedName>
    <definedName name="IQRCompaniesN436" hidden="1">[5]Companies!$O$436:$R$436</definedName>
    <definedName name="IQRCompaniesN437" localSheetId="32" hidden="1">[5]Companies!$O$437:$S$437</definedName>
    <definedName name="IQRCompaniesN437" hidden="1">[5]Companies!$O$437:$S$437</definedName>
    <definedName name="IQRCompaniesN438" localSheetId="32" hidden="1">[5]Companies!$O$438:$S$438</definedName>
    <definedName name="IQRCompaniesN438" hidden="1">[5]Companies!$O$438:$S$438</definedName>
    <definedName name="IQRCompaniesN439" localSheetId="32" hidden="1">[5]Companies!$O$439</definedName>
    <definedName name="IQRCompaniesN439" hidden="1">[5]Companies!$O$439</definedName>
    <definedName name="IQRCompaniesN44" hidden="1">[4]Companies!$O$44:$S$44</definedName>
    <definedName name="IQRCompaniesN440" localSheetId="32" hidden="1">[5]Companies!$O$440</definedName>
    <definedName name="IQRCompaniesN440" hidden="1">[5]Companies!$O$440</definedName>
    <definedName name="IQRCompaniesN441" localSheetId="32" hidden="1">[5]Companies!$O$441:$P$441</definedName>
    <definedName name="IQRCompaniesN441" hidden="1">[5]Companies!$O$441:$P$441</definedName>
    <definedName name="IQRCompaniesN442" localSheetId="32" hidden="1">[5]Companies!$O$442</definedName>
    <definedName name="IQRCompaniesN442" hidden="1">[5]Companies!$O$442</definedName>
    <definedName name="IQRCompaniesN443" localSheetId="32" hidden="1">[5]Companies!$O$443:$S$443</definedName>
    <definedName name="IQRCompaniesN443" hidden="1">[5]Companies!$O$443:$S$443</definedName>
    <definedName name="IQRCompaniesN444" localSheetId="32" hidden="1">[5]Companies!$O$444</definedName>
    <definedName name="IQRCompaniesN444" hidden="1">[5]Companies!$O$444</definedName>
    <definedName name="IQRCompaniesN445" localSheetId="32" hidden="1">[5]Companies!$O$445</definedName>
    <definedName name="IQRCompaniesN445" hidden="1">[5]Companies!$O$445</definedName>
    <definedName name="IQRCompaniesN446" localSheetId="32" hidden="1">[5]Companies!$O$446:$S$446</definedName>
    <definedName name="IQRCompaniesN446" hidden="1">[5]Companies!$O$446:$S$446</definedName>
    <definedName name="IQRCompaniesN447" localSheetId="32" hidden="1">[5]Companies!$O$447:$Q$447</definedName>
    <definedName name="IQRCompaniesN447" hidden="1">[5]Companies!$O$447:$Q$447</definedName>
    <definedName name="IQRCompaniesN448" localSheetId="32" hidden="1">[5]Companies!$O$448:$P$448</definedName>
    <definedName name="IQRCompaniesN448" hidden="1">[5]Companies!$O$448:$P$448</definedName>
    <definedName name="IQRCompaniesN449" localSheetId="32" hidden="1">[5]Companies!$O$449:$S$449</definedName>
    <definedName name="IQRCompaniesN449" hidden="1">[5]Companies!$O$449:$S$449</definedName>
    <definedName name="IQRCompaniesN45" hidden="1">[4]Companies!$O$45:$S$45</definedName>
    <definedName name="IQRCompaniesN450" localSheetId="32" hidden="1">[5]Companies!$O$450:$S$450</definedName>
    <definedName name="IQRCompaniesN450" hidden="1">[5]Companies!$O$450:$S$450</definedName>
    <definedName name="IQRCompaniesN451" localSheetId="32" hidden="1">[5]Companies!$O$451:$S$451</definedName>
    <definedName name="IQRCompaniesN451" hidden="1">[5]Companies!$O$451:$S$451</definedName>
    <definedName name="IQRCompaniesN452" localSheetId="32" hidden="1">[5]Companies!$O$452:$S$452</definedName>
    <definedName name="IQRCompaniesN452" hidden="1">[5]Companies!$O$452:$S$452</definedName>
    <definedName name="IQRCompaniesN453" localSheetId="32" hidden="1">[5]Companies!$O$453</definedName>
    <definedName name="IQRCompaniesN453" hidden="1">[5]Companies!$O$453</definedName>
    <definedName name="IQRCompaniesN454" localSheetId="32" hidden="1">[5]Companies!$O$454:$P$454</definedName>
    <definedName name="IQRCompaniesN454" hidden="1">[5]Companies!$O$454:$P$454</definedName>
    <definedName name="IQRCompaniesN455" localSheetId="32" hidden="1">[5]Companies!$O$455:$P$455</definedName>
    <definedName name="IQRCompaniesN455" hidden="1">[5]Companies!$O$455:$P$455</definedName>
    <definedName name="IQRCompaniesN456" localSheetId="32" hidden="1">[5]Companies!$O$456</definedName>
    <definedName name="IQRCompaniesN456" hidden="1">[5]Companies!$O$456</definedName>
    <definedName name="IQRCompaniesN457" localSheetId="32" hidden="1">[5]Companies!$O$457:$S$457</definedName>
    <definedName name="IQRCompaniesN457" hidden="1">[5]Companies!$O$457:$S$457</definedName>
    <definedName name="IQRCompaniesN458" localSheetId="32" hidden="1">[5]Companies!$O$458:$P$458</definedName>
    <definedName name="IQRCompaniesN458" hidden="1">[5]Companies!$O$458:$P$458</definedName>
    <definedName name="IQRCompaniesN459" localSheetId="32" hidden="1">[5]Companies!$O$459:$P$459</definedName>
    <definedName name="IQRCompaniesN459" hidden="1">[5]Companies!$O$459:$P$459</definedName>
    <definedName name="IQRCompaniesN46" hidden="1">[4]Companies!$O$46:$S$46</definedName>
    <definedName name="IQRCompaniesN460" localSheetId="32" hidden="1">[5]Companies!$O$460</definedName>
    <definedName name="IQRCompaniesN460" hidden="1">[5]Companies!$O$460</definedName>
    <definedName name="IQRCompaniesN461" localSheetId="32" hidden="1">[5]Companies!$O$461</definedName>
    <definedName name="IQRCompaniesN461" hidden="1">[5]Companies!$O$461</definedName>
    <definedName name="IQRCompaniesN462" localSheetId="32" hidden="1">[5]Companies!$O$462</definedName>
    <definedName name="IQRCompaniesN462" hidden="1">[5]Companies!$O$462</definedName>
    <definedName name="IQRCompaniesN463" localSheetId="32" hidden="1">[5]Companies!$O$463:$P$463</definedName>
    <definedName name="IQRCompaniesN463" hidden="1">[5]Companies!$O$463:$P$463</definedName>
    <definedName name="IQRCompaniesN464" localSheetId="32" hidden="1">[5]Companies!$O$464:$R$464</definedName>
    <definedName name="IQRCompaniesN464" hidden="1">[5]Companies!$O$464:$R$464</definedName>
    <definedName name="IQRCompaniesN465" localSheetId="32" hidden="1">[5]Companies!$O$465:$P$465</definedName>
    <definedName name="IQRCompaniesN465" hidden="1">[5]Companies!$O$465:$P$465</definedName>
    <definedName name="IQRCompaniesN466" localSheetId="32" hidden="1">[5]Companies!$O$466:$Q$466</definedName>
    <definedName name="IQRCompaniesN466" hidden="1">[5]Companies!$O$466:$Q$466</definedName>
    <definedName name="IQRCompaniesN467" localSheetId="32" hidden="1">[5]Companies!$O$467</definedName>
    <definedName name="IQRCompaniesN467" hidden="1">[5]Companies!$O$467</definedName>
    <definedName name="IQRCompaniesN468" localSheetId="32" hidden="1">[5]Companies!$O$468:$Q$468</definedName>
    <definedName name="IQRCompaniesN468" hidden="1">[5]Companies!$O$468:$Q$468</definedName>
    <definedName name="IQRCompaniesN469" localSheetId="32" hidden="1">[5]Companies!$O$469</definedName>
    <definedName name="IQRCompaniesN469" hidden="1">[5]Companies!$O$469</definedName>
    <definedName name="IQRCompaniesN47" hidden="1">[4]Companies!$O$47:$P$47</definedName>
    <definedName name="IQRCompaniesN470" localSheetId="32" hidden="1">[5]Companies!$O$470:$P$470</definedName>
    <definedName name="IQRCompaniesN470" hidden="1">[5]Companies!$O$470:$P$470</definedName>
    <definedName name="IQRCompaniesN471" localSheetId="32" hidden="1">[5]Companies!$O$471</definedName>
    <definedName name="IQRCompaniesN471" hidden="1">[5]Companies!$O$471</definedName>
    <definedName name="IQRCompaniesN472" localSheetId="32" hidden="1">[5]Companies!$O$472</definedName>
    <definedName name="IQRCompaniesN472" hidden="1">[5]Companies!$O$472</definedName>
    <definedName name="IQRCompaniesN473" localSheetId="32" hidden="1">[5]Companies!$O$473</definedName>
    <definedName name="IQRCompaniesN473" hidden="1">[5]Companies!$O$473</definedName>
    <definedName name="IQRCompaniesN474" localSheetId="32" hidden="1">[5]Companies!$O$474:$S$474</definedName>
    <definedName name="IQRCompaniesN474" hidden="1">[5]Companies!$O$474:$S$474</definedName>
    <definedName name="IQRCompaniesN475" localSheetId="32" hidden="1">[5]Companies!$O$475:$P$475</definedName>
    <definedName name="IQRCompaniesN475" hidden="1">[5]Companies!$O$475:$P$475</definedName>
    <definedName name="IQRCompaniesN476" localSheetId="32" hidden="1">[5]Companies!$O$476:$S$476</definedName>
    <definedName name="IQRCompaniesN476" hidden="1">[5]Companies!$O$476:$S$476</definedName>
    <definedName name="IQRCompaniesN477" localSheetId="32" hidden="1">[5]Companies!$O$477:$Q$477</definedName>
    <definedName name="IQRCompaniesN477" hidden="1">[5]Companies!$O$477:$Q$477</definedName>
    <definedName name="IQRCompaniesN478" localSheetId="32" hidden="1">[5]Companies!$O$478</definedName>
    <definedName name="IQRCompaniesN478" hidden="1">[5]Companies!$O$478</definedName>
    <definedName name="IQRCompaniesN479" localSheetId="32" hidden="1">[5]Companies!$O$479:$Q$479</definedName>
    <definedName name="IQRCompaniesN479" hidden="1">[5]Companies!$O$479:$Q$479</definedName>
    <definedName name="IQRCompaniesN48" hidden="1">[4]Companies!$O$48:$S$48</definedName>
    <definedName name="IQRCompaniesN480" localSheetId="32" hidden="1">[5]Companies!$O$480</definedName>
    <definedName name="IQRCompaniesN480" hidden="1">[5]Companies!$O$480</definedName>
    <definedName name="IQRCompaniesN481" localSheetId="32" hidden="1">[5]Companies!$O$481</definedName>
    <definedName name="IQRCompaniesN481" hidden="1">[5]Companies!$O$481</definedName>
    <definedName name="IQRCompaniesN482" localSheetId="32" hidden="1">[5]Companies!$O$482</definedName>
    <definedName name="IQRCompaniesN482" hidden="1">[5]Companies!$O$482</definedName>
    <definedName name="IQRCompaniesN483" localSheetId="32" hidden="1">[5]Companies!$O$483</definedName>
    <definedName name="IQRCompaniesN483" hidden="1">[5]Companies!$O$483</definedName>
    <definedName name="IQRCompaniesN484" localSheetId="32" hidden="1">[5]Companies!$O$484:$R$484</definedName>
    <definedName name="IQRCompaniesN484" hidden="1">[5]Companies!$O$484:$R$484</definedName>
    <definedName name="IQRCompaniesN485" localSheetId="32" hidden="1">[5]Companies!$O$485:$R$485</definedName>
    <definedName name="IQRCompaniesN485" hidden="1">[5]Companies!$O$485:$R$485</definedName>
    <definedName name="IQRCompaniesN486" localSheetId="32" hidden="1">[5]Companies!$O$486:$Q$486</definedName>
    <definedName name="IQRCompaniesN486" hidden="1">[5]Companies!$O$486:$Q$486</definedName>
    <definedName name="IQRCompaniesN487" localSheetId="32" hidden="1">[5]Companies!$O$487</definedName>
    <definedName name="IQRCompaniesN487" hidden="1">[5]Companies!$O$487</definedName>
    <definedName name="IQRCompaniesN488" localSheetId="32" hidden="1">[5]Companies!$O$488</definedName>
    <definedName name="IQRCompaniesN488" hidden="1">[5]Companies!$O$488</definedName>
    <definedName name="IQRCompaniesN489" localSheetId="32" hidden="1">[5]Companies!$O$489:$P$489</definedName>
    <definedName name="IQRCompaniesN489" hidden="1">[5]Companies!$O$489:$P$489</definedName>
    <definedName name="IQRCompaniesN49" hidden="1">[4]Companies!$O$49:$S$49</definedName>
    <definedName name="IQRCompaniesN490" localSheetId="32" hidden="1">[5]Companies!$O$490:$P$490</definedName>
    <definedName name="IQRCompaniesN490" hidden="1">[5]Companies!$O$490:$P$490</definedName>
    <definedName name="IQRCompaniesN491" localSheetId="32" hidden="1">[5]Companies!$O$491</definedName>
    <definedName name="IQRCompaniesN491" hidden="1">[5]Companies!$O$491</definedName>
    <definedName name="IQRCompaniesN492" localSheetId="32" hidden="1">[5]Companies!$O$492</definedName>
    <definedName name="IQRCompaniesN492" hidden="1">[5]Companies!$O$492</definedName>
    <definedName name="IQRCompaniesN493" localSheetId="32" hidden="1">[5]Companies!$O$493:$P$493</definedName>
    <definedName name="IQRCompaniesN493" hidden="1">[5]Companies!$O$493:$P$493</definedName>
    <definedName name="IQRCompaniesN494" localSheetId="32" hidden="1">[5]Companies!$O$494</definedName>
    <definedName name="IQRCompaniesN494" hidden="1">[5]Companies!$O$494</definedName>
    <definedName name="IQRCompaniesN495" localSheetId="32" hidden="1">[5]Companies!$O$495</definedName>
    <definedName name="IQRCompaniesN495" hidden="1">[5]Companies!$O$495</definedName>
    <definedName name="IQRCompaniesN496" localSheetId="32" hidden="1">[5]Companies!$O$496</definedName>
    <definedName name="IQRCompaniesN496" hidden="1">[5]Companies!$O$496</definedName>
    <definedName name="IQRCompaniesN497" localSheetId="32" hidden="1">[5]Companies!$O$497:$S$497</definedName>
    <definedName name="IQRCompaniesN497" hidden="1">[5]Companies!$O$497:$S$497</definedName>
    <definedName name="IQRCompaniesN498" localSheetId="32" hidden="1">[5]Companies!$O$498</definedName>
    <definedName name="IQRCompaniesN498" hidden="1">[5]Companies!$O$498</definedName>
    <definedName name="IQRCompaniesN499" localSheetId="32" hidden="1">[5]Companies!$O$499:$S$499</definedName>
    <definedName name="IQRCompaniesN499" hidden="1">[5]Companies!$O$499:$S$499</definedName>
    <definedName name="IQRCompaniesN50" localSheetId="32" hidden="1">[5]Companies!$O$50</definedName>
    <definedName name="IQRCompaniesN50" hidden="1">[5]Companies!$O$50</definedName>
    <definedName name="IQRCompaniesN500" localSheetId="32" hidden="1">[5]Companies!$O$500:$S$500</definedName>
    <definedName name="IQRCompaniesN500" hidden="1">[5]Companies!$O$500:$S$500</definedName>
    <definedName name="IQRCompaniesN501" localSheetId="32" hidden="1">[5]Companies!$O$501</definedName>
    <definedName name="IQRCompaniesN501" hidden="1">[5]Companies!$O$501</definedName>
    <definedName name="IQRCompaniesN502" localSheetId="32" hidden="1">[5]Companies!$O$502</definedName>
    <definedName name="IQRCompaniesN502" hidden="1">[5]Companies!$O$502</definedName>
    <definedName name="IQRCompaniesN503" localSheetId="32" hidden="1">[5]Companies!$O$503:$P$503</definedName>
    <definedName name="IQRCompaniesN503" hidden="1">[5]Companies!$O$503:$P$503</definedName>
    <definedName name="IQRCompaniesN504" localSheetId="32" hidden="1">[5]Companies!$O$504</definedName>
    <definedName name="IQRCompaniesN504" hidden="1">[5]Companies!$O$504</definedName>
    <definedName name="IQRCompaniesN505" localSheetId="32" hidden="1">[5]Companies!$O$505</definedName>
    <definedName name="IQRCompaniesN505" hidden="1">[5]Companies!$O$505</definedName>
    <definedName name="IQRCompaniesN506" localSheetId="32" hidden="1">[5]Companies!$O$506:$S$506</definedName>
    <definedName name="IQRCompaniesN506" hidden="1">[5]Companies!$O$506:$S$506</definedName>
    <definedName name="IQRCompaniesN507" localSheetId="32" hidden="1">[5]Companies!$O$507:$S$507</definedName>
    <definedName name="IQRCompaniesN507" hidden="1">[5]Companies!$O$507:$S$507</definedName>
    <definedName name="IQRCompaniesN508" localSheetId="32" hidden="1">[5]Companies!$O$508:$P$508</definedName>
    <definedName name="IQRCompaniesN508" hidden="1">[5]Companies!$O$508:$P$508</definedName>
    <definedName name="IQRCompaniesN509" localSheetId="32" hidden="1">[5]Companies!$O$509</definedName>
    <definedName name="IQRCompaniesN509" hidden="1">[5]Companies!$O$509</definedName>
    <definedName name="IQRCompaniesN51" hidden="1">[4]Companies!$O$51:$S$51</definedName>
    <definedName name="IQRCompaniesN510" localSheetId="32" hidden="1">[5]Companies!$O$510:$P$510</definedName>
    <definedName name="IQRCompaniesN510" hidden="1">[5]Companies!$O$510:$P$510</definedName>
    <definedName name="IQRCompaniesN511" localSheetId="32" hidden="1">[5]Companies!$O$511:$S$511</definedName>
    <definedName name="IQRCompaniesN511" hidden="1">[5]Companies!$O$511:$S$511</definedName>
    <definedName name="IQRCompaniesN512" localSheetId="32" hidden="1">[5]Companies!$O$512</definedName>
    <definedName name="IQRCompaniesN512" hidden="1">[5]Companies!$O$512</definedName>
    <definedName name="IQRCompaniesN513" localSheetId="32" hidden="1">[5]Companies!$O$513</definedName>
    <definedName name="IQRCompaniesN513" hidden="1">[5]Companies!$O$513</definedName>
    <definedName name="IQRCompaniesN514" localSheetId="32" hidden="1">[5]Companies!$O$514</definedName>
    <definedName name="IQRCompaniesN514" hidden="1">[5]Companies!$O$514</definedName>
    <definedName name="IQRCompaniesN515" localSheetId="32" hidden="1">[5]Companies!$O$515:$P$515</definedName>
    <definedName name="IQRCompaniesN515" hidden="1">[5]Companies!$O$515:$P$515</definedName>
    <definedName name="IQRCompaniesN516" localSheetId="32" hidden="1">[5]Companies!$O$516</definedName>
    <definedName name="IQRCompaniesN516" hidden="1">[5]Companies!$O$516</definedName>
    <definedName name="IQRCompaniesN517" localSheetId="32" hidden="1">[5]Companies!$O$517:$Q$517</definedName>
    <definedName name="IQRCompaniesN517" hidden="1">[5]Companies!$O$517:$Q$517</definedName>
    <definedName name="IQRCompaniesN518" localSheetId="32" hidden="1">[5]Companies!$O$518:$S$518</definedName>
    <definedName name="IQRCompaniesN518" hidden="1">[5]Companies!$O$518:$S$518</definedName>
    <definedName name="IQRCompaniesN519" localSheetId="32" hidden="1">[5]Companies!$O$519</definedName>
    <definedName name="IQRCompaniesN519" hidden="1">[5]Companies!$O$519</definedName>
    <definedName name="IQRCompaniesN52" hidden="1">[4]Companies!$O$52:$R$52</definedName>
    <definedName name="IQRCompaniesN520" localSheetId="32" hidden="1">[5]Companies!$O$520</definedName>
    <definedName name="IQRCompaniesN520" hidden="1">[5]Companies!$O$520</definedName>
    <definedName name="IQRCompaniesN521" localSheetId="32" hidden="1">[5]Companies!$O$521</definedName>
    <definedName name="IQRCompaniesN521" hidden="1">[5]Companies!$O$521</definedName>
    <definedName name="IQRCompaniesN522" localSheetId="32" hidden="1">[5]Companies!$O$522</definedName>
    <definedName name="IQRCompaniesN522" hidden="1">[5]Companies!$O$522</definedName>
    <definedName name="IQRCompaniesN523" localSheetId="32" hidden="1">[5]Companies!$O$523</definedName>
    <definedName name="IQRCompaniesN523" hidden="1">[5]Companies!$O$523</definedName>
    <definedName name="IQRCompaniesN524" localSheetId="32" hidden="1">[5]Companies!$O$524:$P$524</definedName>
    <definedName name="IQRCompaniesN524" hidden="1">[5]Companies!$O$524:$P$524</definedName>
    <definedName name="IQRCompaniesN525" localSheetId="32" hidden="1">[5]Companies!$O$525:$S$525</definedName>
    <definedName name="IQRCompaniesN525" hidden="1">[5]Companies!$O$525:$S$525</definedName>
    <definedName name="IQRCompaniesN526" localSheetId="32" hidden="1">[5]Companies!$O$526</definedName>
    <definedName name="IQRCompaniesN526" hidden="1">[5]Companies!$O$526</definedName>
    <definedName name="IQRCompaniesN527" localSheetId="32" hidden="1">[5]Companies!$O$527</definedName>
    <definedName name="IQRCompaniesN527" hidden="1">[5]Companies!$O$527</definedName>
    <definedName name="IQRCompaniesN528" localSheetId="32" hidden="1">[5]Companies!$O$528</definedName>
    <definedName name="IQRCompaniesN528" hidden="1">[5]Companies!$O$528</definedName>
    <definedName name="IQRCompaniesN529" localSheetId="32" hidden="1">[5]Companies!$O$529</definedName>
    <definedName name="IQRCompaniesN529" hidden="1">[5]Companies!$O$529</definedName>
    <definedName name="IQRCompaniesN53" hidden="1">[4]Companies!$O$53:$S$53</definedName>
    <definedName name="IQRCompaniesN530" localSheetId="32" hidden="1">[5]Companies!$O$530</definedName>
    <definedName name="IQRCompaniesN530" hidden="1">[5]Companies!$O$530</definedName>
    <definedName name="IQRCompaniesN531" localSheetId="32" hidden="1">[5]Companies!$O$531</definedName>
    <definedName name="IQRCompaniesN531" hidden="1">[5]Companies!$O$531</definedName>
    <definedName name="IQRCompaniesN532" localSheetId="32" hidden="1">[5]Companies!$O$532:$P$532</definedName>
    <definedName name="IQRCompaniesN532" hidden="1">[5]Companies!$O$532:$P$532</definedName>
    <definedName name="IQRCompaniesN533" localSheetId="32" hidden="1">[5]Companies!$O$533</definedName>
    <definedName name="IQRCompaniesN533" hidden="1">[5]Companies!$O$533</definedName>
    <definedName name="IQRCompaniesN534" localSheetId="32" hidden="1">[5]Companies!$O$534:$Q$534</definedName>
    <definedName name="IQRCompaniesN534" hidden="1">[5]Companies!$O$534:$Q$534</definedName>
    <definedName name="IQRCompaniesN535" localSheetId="32" hidden="1">[5]Companies!$O$535</definedName>
    <definedName name="IQRCompaniesN535" hidden="1">[5]Companies!$O$535</definedName>
    <definedName name="IQRCompaniesN536" localSheetId="32" hidden="1">[5]Companies!$O$536:$R$536</definedName>
    <definedName name="IQRCompaniesN536" hidden="1">[5]Companies!$O$536:$R$536</definedName>
    <definedName name="IQRCompaniesN537" localSheetId="32" hidden="1">[5]Companies!$O$537:$S$537</definedName>
    <definedName name="IQRCompaniesN537" hidden="1">[5]Companies!$O$537:$S$537</definedName>
    <definedName name="IQRCompaniesN538" localSheetId="32" hidden="1">[5]Companies!$O$538</definedName>
    <definedName name="IQRCompaniesN538" hidden="1">[5]Companies!$O$538</definedName>
    <definedName name="IQRCompaniesN539" localSheetId="32" hidden="1">[5]Companies!$O$539:$S$539</definedName>
    <definedName name="IQRCompaniesN539" hidden="1">[5]Companies!$O$539:$S$539</definedName>
    <definedName name="IQRCompaniesN54" localSheetId="32" hidden="1">[5]Companies!$O$54:$P$54</definedName>
    <definedName name="IQRCompaniesN54" hidden="1">[5]Companies!$O$54:$P$54</definedName>
    <definedName name="IQRCompaniesN540" localSheetId="32" hidden="1">[5]Companies!$O$540:$S$540</definedName>
    <definedName name="IQRCompaniesN540" hidden="1">[5]Companies!$O$540:$S$540</definedName>
    <definedName name="IQRCompaniesN541" localSheetId="32" hidden="1">[5]Companies!$O$541:$P$541</definedName>
    <definedName name="IQRCompaniesN541" hidden="1">[5]Companies!$O$541:$P$541</definedName>
    <definedName name="IQRCompaniesN542" localSheetId="32" hidden="1">[5]Companies!$O$542:$P$542</definedName>
    <definedName name="IQRCompaniesN542" hidden="1">[5]Companies!$O$542:$P$542</definedName>
    <definedName name="IQRCompaniesN543" localSheetId="32" hidden="1">[5]Companies!$O$543:$Q$543</definedName>
    <definedName name="IQRCompaniesN543" hidden="1">[5]Companies!$O$543:$Q$543</definedName>
    <definedName name="IQRCompaniesN544" localSheetId="32" hidden="1">[5]Companies!$O$544</definedName>
    <definedName name="IQRCompaniesN544" hidden="1">[5]Companies!$O$544</definedName>
    <definedName name="IQRCompaniesN545" localSheetId="32" hidden="1">[5]Companies!$O$545:$Q$545</definedName>
    <definedName name="IQRCompaniesN545" hidden="1">[5]Companies!$O$545:$Q$545</definedName>
    <definedName name="IQRCompaniesN546" localSheetId="32" hidden="1">[5]Companies!$O$546</definedName>
    <definedName name="IQRCompaniesN546" hidden="1">[5]Companies!$O$546</definedName>
    <definedName name="IQRCompaniesN547" localSheetId="32" hidden="1">[5]Companies!$O$547:$P$547</definedName>
    <definedName name="IQRCompaniesN547" hidden="1">[5]Companies!$O$547:$P$547</definedName>
    <definedName name="IQRCompaniesN548" localSheetId="32" hidden="1">[5]Companies!$O$548:$S$548</definedName>
    <definedName name="IQRCompaniesN548" hidden="1">[5]Companies!$O$548:$S$548</definedName>
    <definedName name="IQRCompaniesN549" localSheetId="32" hidden="1">[5]Companies!$O$549</definedName>
    <definedName name="IQRCompaniesN549" hidden="1">[5]Companies!$O$549</definedName>
    <definedName name="IQRCompaniesN55" hidden="1">[4]Companies!$O$55:$S$55</definedName>
    <definedName name="IQRCompaniesN550" localSheetId="32" hidden="1">[5]Companies!$O$550:$Q$550</definedName>
    <definedName name="IQRCompaniesN550" hidden="1">[5]Companies!$O$550:$Q$550</definedName>
    <definedName name="IQRCompaniesN551" localSheetId="32" hidden="1">[5]Companies!$O$551</definedName>
    <definedName name="IQRCompaniesN551" hidden="1">[5]Companies!$O$551</definedName>
    <definedName name="IQRCompaniesN552" localSheetId="32" hidden="1">[5]Companies!$O$552:$S$552</definedName>
    <definedName name="IQRCompaniesN552" hidden="1">[5]Companies!$O$552:$S$552</definedName>
    <definedName name="IQRCompaniesN553" localSheetId="32" hidden="1">[5]Companies!$O$553</definedName>
    <definedName name="IQRCompaniesN553" hidden="1">[5]Companies!$O$553</definedName>
    <definedName name="IQRCompaniesN554" localSheetId="32" hidden="1">[5]Companies!$O$554</definedName>
    <definedName name="IQRCompaniesN554" hidden="1">[5]Companies!$O$554</definedName>
    <definedName name="IQRCompaniesN555" localSheetId="32" hidden="1">[5]Companies!$O$555:$P$555</definedName>
    <definedName name="IQRCompaniesN555" hidden="1">[5]Companies!$O$555:$P$555</definedName>
    <definedName name="IQRCompaniesN556" localSheetId="32" hidden="1">[5]Companies!$O$556</definedName>
    <definedName name="IQRCompaniesN556" hidden="1">[5]Companies!$O$556</definedName>
    <definedName name="IQRCompaniesN557" localSheetId="32" hidden="1">[5]Companies!$O$557:$P$557</definedName>
    <definedName name="IQRCompaniesN557" hidden="1">[5]Companies!$O$557:$P$557</definedName>
    <definedName name="IQRCompaniesN558" localSheetId="32" hidden="1">[5]Companies!$O$558</definedName>
    <definedName name="IQRCompaniesN558" hidden="1">[5]Companies!$O$558</definedName>
    <definedName name="IQRCompaniesN559" localSheetId="32" hidden="1">[5]Companies!$O$559:$P$559</definedName>
    <definedName name="IQRCompaniesN559" hidden="1">[5]Companies!$O$559:$P$559</definedName>
    <definedName name="IQRCompaniesN56" hidden="1">[4]Companies!$O$56:$S$56</definedName>
    <definedName name="IQRCompaniesN560" localSheetId="32" hidden="1">[5]Companies!$O$560:$S$560</definedName>
    <definedName name="IQRCompaniesN560" hidden="1">[5]Companies!$O$560:$S$560</definedName>
    <definedName name="IQRCompaniesN561" localSheetId="32" hidden="1">[5]Companies!$O$561</definedName>
    <definedName name="IQRCompaniesN561" hidden="1">[5]Companies!$O$561</definedName>
    <definedName name="IQRCompaniesN562" localSheetId="32" hidden="1">[5]Companies!$O$562:$S$562</definedName>
    <definedName name="IQRCompaniesN562" hidden="1">[5]Companies!$O$562:$S$562</definedName>
    <definedName name="IQRCompaniesN563" localSheetId="32" hidden="1">[5]Companies!$O$563:$R$563</definedName>
    <definedName name="IQRCompaniesN563" hidden="1">[5]Companies!$O$563:$R$563</definedName>
    <definedName name="IQRCompaniesN564" localSheetId="32" hidden="1">[5]Companies!$O$564:$Q$564</definedName>
    <definedName name="IQRCompaniesN564" hidden="1">[5]Companies!$O$564:$Q$564</definedName>
    <definedName name="IQRCompaniesN565" localSheetId="32" hidden="1">[5]Companies!$O$565:$P$565</definedName>
    <definedName name="IQRCompaniesN565" hidden="1">[5]Companies!$O$565:$P$565</definedName>
    <definedName name="IQRCompaniesN566" localSheetId="32" hidden="1">[5]Companies!$O$566:$S$566</definedName>
    <definedName name="IQRCompaniesN566" hidden="1">[5]Companies!$O$566:$S$566</definedName>
    <definedName name="IQRCompaniesN567" localSheetId="32" hidden="1">[5]Companies!$O$567</definedName>
    <definedName name="IQRCompaniesN567" hidden="1">[5]Companies!$O$567</definedName>
    <definedName name="IQRCompaniesN568" localSheetId="32" hidden="1">[5]Companies!$O$568</definedName>
    <definedName name="IQRCompaniesN568" hidden="1">[5]Companies!$O$568</definedName>
    <definedName name="IQRCompaniesN569" localSheetId="32" hidden="1">[5]Companies!$O$569:$R$569</definedName>
    <definedName name="IQRCompaniesN569" hidden="1">[5]Companies!$O$569:$R$569</definedName>
    <definedName name="IQRCompaniesN57" hidden="1">[4]Companies!$O$57:$S$57</definedName>
    <definedName name="IQRCompaniesN570" localSheetId="32" hidden="1">[5]Companies!$O$570:$P$570</definedName>
    <definedName name="IQRCompaniesN570" hidden="1">[5]Companies!$O$570:$P$570</definedName>
    <definedName name="IQRCompaniesN571" localSheetId="32" hidden="1">[5]Companies!$O$571</definedName>
    <definedName name="IQRCompaniesN571" hidden="1">[5]Companies!$O$571</definedName>
    <definedName name="IQRCompaniesN572" localSheetId="32" hidden="1">[5]Companies!$O$572:$S$572</definedName>
    <definedName name="IQRCompaniesN572" hidden="1">[5]Companies!$O$572:$S$572</definedName>
    <definedName name="IQRCompaniesN573" localSheetId="32" hidden="1">[5]Companies!$O$573:$R$573</definedName>
    <definedName name="IQRCompaniesN573" hidden="1">[5]Companies!$O$573:$R$573</definedName>
    <definedName name="IQRCompaniesN574" localSheetId="32" hidden="1">[5]Companies!$O$574:$S$574</definedName>
    <definedName name="IQRCompaniesN574" hidden="1">[5]Companies!$O$574:$S$574</definedName>
    <definedName name="IQRCompaniesN575" localSheetId="32" hidden="1">[5]Companies!$O$575</definedName>
    <definedName name="IQRCompaniesN575" hidden="1">[5]Companies!$O$575</definedName>
    <definedName name="IQRCompaniesN576" localSheetId="32" hidden="1">[5]Companies!$O$576</definedName>
    <definedName name="IQRCompaniesN576" hidden="1">[5]Companies!$O$576</definedName>
    <definedName name="IQRCompaniesN577" localSheetId="32" hidden="1">[5]Companies!$O$577</definedName>
    <definedName name="IQRCompaniesN577" hidden="1">[5]Companies!$O$577</definedName>
    <definedName name="IQRCompaniesN578" localSheetId="32" hidden="1">[5]Companies!$O$578</definedName>
    <definedName name="IQRCompaniesN578" hidden="1">[5]Companies!$O$578</definedName>
    <definedName name="IQRCompaniesN579" localSheetId="32" hidden="1">[5]Companies!$O$579:$P$579</definedName>
    <definedName name="IQRCompaniesN579" hidden="1">[5]Companies!$O$579:$P$579</definedName>
    <definedName name="IQRCompaniesN58" hidden="1">[4]Companies!$O$58</definedName>
    <definedName name="IQRCompaniesN580" localSheetId="32" hidden="1">[5]Companies!$O$580:$Q$580</definedName>
    <definedName name="IQRCompaniesN580" hidden="1">[5]Companies!$O$580:$Q$580</definedName>
    <definedName name="IQRCompaniesN581" localSheetId="32" hidden="1">[5]Companies!$O$581</definedName>
    <definedName name="IQRCompaniesN581" hidden="1">[5]Companies!$O$581</definedName>
    <definedName name="IQRCompaniesN582" localSheetId="32" hidden="1">[5]Companies!$O$582:$P$582</definedName>
    <definedName name="IQRCompaniesN582" hidden="1">[5]Companies!$O$582:$P$582</definedName>
    <definedName name="IQRCompaniesN583" localSheetId="32" hidden="1">[5]Companies!$O$583:$S$583</definedName>
    <definedName name="IQRCompaniesN583" hidden="1">[5]Companies!$O$583:$S$583</definedName>
    <definedName name="IQRCompaniesN584" localSheetId="32" hidden="1">[5]Companies!$O$584:$S$584</definedName>
    <definedName name="IQRCompaniesN584" hidden="1">[5]Companies!$O$584:$S$584</definedName>
    <definedName name="IQRCompaniesN585" localSheetId="32" hidden="1">[5]Companies!$O$585:$S$585</definedName>
    <definedName name="IQRCompaniesN585" hidden="1">[5]Companies!$O$585:$S$585</definedName>
    <definedName name="IQRCompaniesN586" localSheetId="32" hidden="1">[5]Companies!$O$586:$S$586</definedName>
    <definedName name="IQRCompaniesN586" hidden="1">[5]Companies!$O$586:$S$586</definedName>
    <definedName name="IQRCompaniesN587" localSheetId="32" hidden="1">[5]Companies!$O$587</definedName>
    <definedName name="IQRCompaniesN587" hidden="1">[5]Companies!$O$587</definedName>
    <definedName name="IQRCompaniesN588" localSheetId="32" hidden="1">[5]Companies!$O$588</definedName>
    <definedName name="IQRCompaniesN588" hidden="1">[5]Companies!$O$588</definedName>
    <definedName name="IQRCompaniesN589" localSheetId="32" hidden="1">[5]Companies!$O$589</definedName>
    <definedName name="IQRCompaniesN589" hidden="1">[5]Companies!$O$589</definedName>
    <definedName name="IQRCompaniesN59" hidden="1">[4]Companies!$O$59:$Q$59</definedName>
    <definedName name="IQRCompaniesN590" localSheetId="32" hidden="1">[5]Companies!$O$590:$S$590</definedName>
    <definedName name="IQRCompaniesN590" hidden="1">[5]Companies!$O$590:$S$590</definedName>
    <definedName name="IQRCompaniesN591" localSheetId="32" hidden="1">[5]Companies!$O$591:$P$591</definedName>
    <definedName name="IQRCompaniesN591" hidden="1">[5]Companies!$O$591:$P$591</definedName>
    <definedName name="IQRCompaniesN592" localSheetId="32" hidden="1">[5]Companies!$O$592</definedName>
    <definedName name="IQRCompaniesN592" hidden="1">[5]Companies!$O$592</definedName>
    <definedName name="IQRCompaniesN593" localSheetId="32" hidden="1">[5]Companies!$O$593</definedName>
    <definedName name="IQRCompaniesN593" hidden="1">[5]Companies!$O$593</definedName>
    <definedName name="IQRCompaniesN594" localSheetId="32" hidden="1">[5]Companies!$O$594</definedName>
    <definedName name="IQRCompaniesN594" hidden="1">[5]Companies!$O$594</definedName>
    <definedName name="IQRCompaniesN595" localSheetId="32" hidden="1">[5]Companies!$O$595:$R$595</definedName>
    <definedName name="IQRCompaniesN595" hidden="1">[5]Companies!$O$595:$R$595</definedName>
    <definedName name="IQRCompaniesN596" localSheetId="32" hidden="1">[5]Companies!$O$596</definedName>
    <definedName name="IQRCompaniesN596" hidden="1">[5]Companies!$O$596</definedName>
    <definedName name="IQRCompaniesN597" localSheetId="32" hidden="1">[5]Companies!$O$597:$P$597</definedName>
    <definedName name="IQRCompaniesN597" hidden="1">[5]Companies!$O$597:$P$597</definedName>
    <definedName name="IQRCompaniesN598" localSheetId="32" hidden="1">[5]Companies!$O$598:$P$598</definedName>
    <definedName name="IQRCompaniesN598" hidden="1">[5]Companies!$O$598:$P$598</definedName>
    <definedName name="IQRCompaniesN599" localSheetId="32" hidden="1">[5]Companies!$O$599:$S$599</definedName>
    <definedName name="IQRCompaniesN599" hidden="1">[5]Companies!$O$599:$S$599</definedName>
    <definedName name="IQRCompaniesN60" hidden="1">[4]Companies!$O$60:$S$60</definedName>
    <definedName name="IQRCompaniesN600" localSheetId="32" hidden="1">[5]Companies!$O$600</definedName>
    <definedName name="IQRCompaniesN600" hidden="1">[5]Companies!$O$600</definedName>
    <definedName name="IQRCompaniesN601" localSheetId="32" hidden="1">[5]Companies!$O$601</definedName>
    <definedName name="IQRCompaniesN601" hidden="1">[5]Companies!$O$601</definedName>
    <definedName name="IQRCompaniesN602" localSheetId="32" hidden="1">[5]Companies!$O$602:$S$602</definedName>
    <definedName name="IQRCompaniesN602" hidden="1">[5]Companies!$O$602:$S$602</definedName>
    <definedName name="IQRCompaniesN603" localSheetId="32" hidden="1">[5]Companies!$O$603:$S$603</definedName>
    <definedName name="IQRCompaniesN603" hidden="1">[5]Companies!$O$603:$S$603</definedName>
    <definedName name="IQRCompaniesN604" localSheetId="32" hidden="1">[5]Companies!$O$604:$S$604</definedName>
    <definedName name="IQRCompaniesN604" hidden="1">[5]Companies!$O$604:$S$604</definedName>
    <definedName name="IQRCompaniesN605" localSheetId="32" hidden="1">[5]Companies!$O$605:$Q$605</definedName>
    <definedName name="IQRCompaniesN605" hidden="1">[5]Companies!$O$605:$Q$605</definedName>
    <definedName name="IQRCompaniesN606" localSheetId="32" hidden="1">[5]Companies!$O$606:$Q$606</definedName>
    <definedName name="IQRCompaniesN606" hidden="1">[5]Companies!$O$606:$Q$606</definedName>
    <definedName name="IQRCompaniesN607" localSheetId="32" hidden="1">[5]Companies!$O$607:$R$607</definedName>
    <definedName name="IQRCompaniesN607" hidden="1">[5]Companies!$O$607:$R$607</definedName>
    <definedName name="IQRCompaniesN608" localSheetId="32" hidden="1">[5]Companies!$O$608</definedName>
    <definedName name="IQRCompaniesN608" hidden="1">[5]Companies!$O$608</definedName>
    <definedName name="IQRCompaniesN609" localSheetId="32" hidden="1">[5]Companies!$O$609:$S$609</definedName>
    <definedName name="IQRCompaniesN609" hidden="1">[5]Companies!$O$609:$S$609</definedName>
    <definedName name="IQRCompaniesN61" hidden="1">[4]Companies!$O$61:$S$61</definedName>
    <definedName name="IQRCompaniesN610" localSheetId="32" hidden="1">[5]Companies!$O$610:$S$610</definedName>
    <definedName name="IQRCompaniesN610" hidden="1">[5]Companies!$O$610:$S$610</definedName>
    <definedName name="IQRCompaniesN611" localSheetId="32" hidden="1">[5]Companies!$O$611:$S$611</definedName>
    <definedName name="IQRCompaniesN611" hidden="1">[5]Companies!$O$611:$S$611</definedName>
    <definedName name="IQRCompaniesN612" localSheetId="32" hidden="1">[5]Companies!$O$612</definedName>
    <definedName name="IQRCompaniesN612" hidden="1">[5]Companies!$O$612</definedName>
    <definedName name="IQRCompaniesN613" localSheetId="32" hidden="1">[5]Companies!$O$613:$P$613</definedName>
    <definedName name="IQRCompaniesN613" hidden="1">[5]Companies!$O$613:$P$613</definedName>
    <definedName name="IQRCompaniesN614" localSheetId="32" hidden="1">[5]Companies!$O$614:$R$614</definedName>
    <definedName name="IQRCompaniesN614" hidden="1">[5]Companies!$O$614:$R$614</definedName>
    <definedName name="IQRCompaniesN615" localSheetId="32" hidden="1">[5]Companies!$O$615:$P$615</definedName>
    <definedName name="IQRCompaniesN615" hidden="1">[5]Companies!$O$615:$P$615</definedName>
    <definedName name="IQRCompaniesN616" localSheetId="32" hidden="1">[5]Companies!$O$616</definedName>
    <definedName name="IQRCompaniesN616" hidden="1">[5]Companies!$O$616</definedName>
    <definedName name="IQRCompaniesN617" localSheetId="32" hidden="1">[5]Companies!$O$617</definedName>
    <definedName name="IQRCompaniesN617" hidden="1">[5]Companies!$O$617</definedName>
    <definedName name="IQRCompaniesN618" localSheetId="32" hidden="1">[5]Companies!$O$618:$S$618</definedName>
    <definedName name="IQRCompaniesN618" hidden="1">[5]Companies!$O$618:$S$618</definedName>
    <definedName name="IQRCompaniesN619" localSheetId="32" hidden="1">[5]Companies!$O$619:$R$619</definedName>
    <definedName name="IQRCompaniesN619" hidden="1">[5]Companies!$O$619:$R$619</definedName>
    <definedName name="IQRCompaniesN62" hidden="1">[4]Companies!$O$62:$S$62</definedName>
    <definedName name="IQRCompaniesN620" localSheetId="32" hidden="1">[5]Companies!$O$620:$P$620</definedName>
    <definedName name="IQRCompaniesN620" hidden="1">[5]Companies!$O$620:$P$620</definedName>
    <definedName name="IQRCompaniesN621" localSheetId="32" hidden="1">[5]Companies!$O$621:$P$621</definedName>
    <definedName name="IQRCompaniesN621" hidden="1">[5]Companies!$O$621:$P$621</definedName>
    <definedName name="IQRCompaniesN622" localSheetId="32" hidden="1">[5]Companies!$O$622:$P$622</definedName>
    <definedName name="IQRCompaniesN622" hidden="1">[5]Companies!$O$622:$P$622</definedName>
    <definedName name="IQRCompaniesN623" localSheetId="32" hidden="1">[5]Companies!$O$623:$R$623</definedName>
    <definedName name="IQRCompaniesN623" hidden="1">[5]Companies!$O$623:$R$623</definedName>
    <definedName name="IQRCompaniesN624" localSheetId="32" hidden="1">[5]Companies!$O$624</definedName>
    <definedName name="IQRCompaniesN624" hidden="1">[5]Companies!$O$624</definedName>
    <definedName name="IQRCompaniesN625" localSheetId="32" hidden="1">[5]Companies!$O$625</definedName>
    <definedName name="IQRCompaniesN625" hidden="1">[5]Companies!$O$625</definedName>
    <definedName name="IQRCompaniesN626" localSheetId="32" hidden="1">[5]Companies!$O$626:$S$626</definedName>
    <definedName name="IQRCompaniesN626" hidden="1">[5]Companies!$O$626:$S$626</definedName>
    <definedName name="IQRCompaniesN627" localSheetId="32" hidden="1">[5]Companies!$O$627:$S$627</definedName>
    <definedName name="IQRCompaniesN627" hidden="1">[5]Companies!$O$627:$S$627</definedName>
    <definedName name="IQRCompaniesN628" localSheetId="32" hidden="1">[5]Companies!$O$628:$S$628</definedName>
    <definedName name="IQRCompaniesN628" hidden="1">[5]Companies!$O$628:$S$628</definedName>
    <definedName name="IQRCompaniesN629" localSheetId="32" hidden="1">[5]Companies!$O$629:$Q$629</definedName>
    <definedName name="IQRCompaniesN629" hidden="1">[5]Companies!$O$629:$Q$629</definedName>
    <definedName name="IQRCompaniesN63" hidden="1">[4]Companies!$O$63</definedName>
    <definedName name="IQRCompaniesN630" localSheetId="32" hidden="1">[5]Companies!$O$630:$S$630</definedName>
    <definedName name="IQRCompaniesN630" hidden="1">[5]Companies!$O$630:$S$630</definedName>
    <definedName name="IQRCompaniesN631" localSheetId="32" hidden="1">[5]Companies!$O$631:$S$631</definedName>
    <definedName name="IQRCompaniesN631" hidden="1">[5]Companies!$O$631:$S$631</definedName>
    <definedName name="IQRCompaniesN632" localSheetId="32" hidden="1">[5]Companies!$O$632:$S$632</definedName>
    <definedName name="IQRCompaniesN632" hidden="1">[5]Companies!$O$632:$S$632</definedName>
    <definedName name="IQRCompaniesN633" localSheetId="32" hidden="1">[5]Companies!$O$633:$S$633</definedName>
    <definedName name="IQRCompaniesN633" hidden="1">[5]Companies!$O$633:$S$633</definedName>
    <definedName name="IQRCompaniesN634" localSheetId="32" hidden="1">[5]Companies!$O$634</definedName>
    <definedName name="IQRCompaniesN634" hidden="1">[5]Companies!$O$634</definedName>
    <definedName name="IQRCompaniesN635" localSheetId="32" hidden="1">[5]Companies!$O$635:$S$635</definedName>
    <definedName name="IQRCompaniesN635" hidden="1">[5]Companies!$O$635:$S$635</definedName>
    <definedName name="IQRCompaniesN636" localSheetId="32" hidden="1">[5]Companies!$O$636</definedName>
    <definedName name="IQRCompaniesN636" hidden="1">[5]Companies!$O$636</definedName>
    <definedName name="IQRCompaniesN637" localSheetId="32" hidden="1">[5]Companies!$O$637:$Q$637</definedName>
    <definedName name="IQRCompaniesN637" hidden="1">[5]Companies!$O$637:$Q$637</definedName>
    <definedName name="IQRCompaniesN638" localSheetId="32" hidden="1">[5]Companies!$O$638:$Q$638</definedName>
    <definedName name="IQRCompaniesN638" hidden="1">[5]Companies!$O$638:$Q$638</definedName>
    <definedName name="IQRCompaniesN639" localSheetId="32" hidden="1">[5]Companies!$O$639:$P$639</definedName>
    <definedName name="IQRCompaniesN639" hidden="1">[5]Companies!$O$639:$P$639</definedName>
    <definedName name="IQRCompaniesN64" hidden="1">[4]Companies!$O$64:$Q$64</definedName>
    <definedName name="IQRCompaniesN640" localSheetId="32" hidden="1">[5]Companies!$O$640:$S$640</definedName>
    <definedName name="IQRCompaniesN640" hidden="1">[5]Companies!$O$640:$S$640</definedName>
    <definedName name="IQRCompaniesN641" localSheetId="32" hidden="1">[5]Companies!$O$641</definedName>
    <definedName name="IQRCompaniesN641" hidden="1">[5]Companies!$O$641</definedName>
    <definedName name="IQRCompaniesN642" localSheetId="32" hidden="1">[5]Companies!$O$642:$P$642</definedName>
    <definedName name="IQRCompaniesN642" hidden="1">[5]Companies!$O$642:$P$642</definedName>
    <definedName name="IQRCompaniesN643" localSheetId="32" hidden="1">[5]Companies!$O$643</definedName>
    <definedName name="IQRCompaniesN643" hidden="1">[5]Companies!$O$643</definedName>
    <definedName name="IQRCompaniesN644" localSheetId="32" hidden="1">[5]Companies!$O$644:$S$644</definedName>
    <definedName name="IQRCompaniesN644" hidden="1">[5]Companies!$O$644:$S$644</definedName>
    <definedName name="IQRCompaniesN645" localSheetId="32" hidden="1">[5]Companies!$O$645:$P$645</definedName>
    <definedName name="IQRCompaniesN645" hidden="1">[5]Companies!$O$645:$P$645</definedName>
    <definedName name="IQRCompaniesN646" localSheetId="32" hidden="1">[5]Companies!$O$646:$S$646</definedName>
    <definedName name="IQRCompaniesN646" hidden="1">[5]Companies!$O$646:$S$646</definedName>
    <definedName name="IQRCompaniesN647" localSheetId="32" hidden="1">[5]Companies!$O$647:$S$647</definedName>
    <definedName name="IQRCompaniesN647" hidden="1">[5]Companies!$O$647:$S$647</definedName>
    <definedName name="IQRCompaniesN648" localSheetId="32" hidden="1">[5]Companies!$O$648:$P$648</definedName>
    <definedName name="IQRCompaniesN648" hidden="1">[5]Companies!$O$648:$P$648</definedName>
    <definedName name="IQRCompaniesN649" localSheetId="32" hidden="1">[5]Companies!$O$649:$S$649</definedName>
    <definedName name="IQRCompaniesN649" hidden="1">[5]Companies!$O$649:$S$649</definedName>
    <definedName name="IQRCompaniesN65" hidden="1">[4]Companies!$O$65:$S$65</definedName>
    <definedName name="IQRCompaniesN650" localSheetId="32" hidden="1">[5]Companies!$O$650</definedName>
    <definedName name="IQRCompaniesN650" hidden="1">[5]Companies!$O$650</definedName>
    <definedName name="IQRCompaniesN651" localSheetId="32" hidden="1">[5]Companies!$O$651:$S$651</definedName>
    <definedName name="IQRCompaniesN651" hidden="1">[5]Companies!$O$651:$S$651</definedName>
    <definedName name="IQRCompaniesN652" localSheetId="32" hidden="1">[5]Companies!$O$652:$P$652</definedName>
    <definedName name="IQRCompaniesN652" hidden="1">[5]Companies!$O$652:$P$652</definedName>
    <definedName name="IQRCompaniesN653" localSheetId="32" hidden="1">[5]Companies!$O$653</definedName>
    <definedName name="IQRCompaniesN653" hidden="1">[5]Companies!$O$653</definedName>
    <definedName name="IQRCompaniesN654" localSheetId="32" hidden="1">[5]Companies!$O$654:$Q$654</definedName>
    <definedName name="IQRCompaniesN654" hidden="1">[5]Companies!$O$654:$Q$654</definedName>
    <definedName name="IQRCompaniesN655" localSheetId="32" hidden="1">[5]Companies!$O$655:$S$655</definedName>
    <definedName name="IQRCompaniesN655" hidden="1">[5]Companies!$O$655:$S$655</definedName>
    <definedName name="IQRCompaniesN656" localSheetId="32" hidden="1">[5]Companies!$O$656:$R$656</definedName>
    <definedName name="IQRCompaniesN656" hidden="1">[5]Companies!$O$656:$R$656</definedName>
    <definedName name="IQRCompaniesN657" localSheetId="32" hidden="1">[5]Companies!$O$657</definedName>
    <definedName name="IQRCompaniesN657" hidden="1">[5]Companies!$O$657</definedName>
    <definedName name="IQRCompaniesN658" localSheetId="32" hidden="1">[5]Companies!$O$658:$P$658</definedName>
    <definedName name="IQRCompaniesN658" hidden="1">[5]Companies!$O$658:$P$658</definedName>
    <definedName name="IQRCompaniesN659" localSheetId="32" hidden="1">[5]Companies!$O$659</definedName>
    <definedName name="IQRCompaniesN659" hidden="1">[5]Companies!$O$659</definedName>
    <definedName name="IQRCompaniesN66" hidden="1">[4]Companies!$O$66:$S$66</definedName>
    <definedName name="IQRCompaniesN660" localSheetId="32" hidden="1">[5]Companies!$O$660:$S$660</definedName>
    <definedName name="IQRCompaniesN660" hidden="1">[5]Companies!$O$660:$S$660</definedName>
    <definedName name="IQRCompaniesN661" localSheetId="32" hidden="1">[5]Companies!$O$661</definedName>
    <definedName name="IQRCompaniesN661" hidden="1">[5]Companies!$O$661</definedName>
    <definedName name="IQRCompaniesN662" localSheetId="32" hidden="1">[5]Companies!$O$662</definedName>
    <definedName name="IQRCompaniesN662" hidden="1">[5]Companies!$O$662</definedName>
    <definedName name="IQRCompaniesN663" localSheetId="32" hidden="1">[5]Companies!$O$663:$P$663</definedName>
    <definedName name="IQRCompaniesN663" hidden="1">[5]Companies!$O$663:$P$663</definedName>
    <definedName name="IQRCompaniesN664" localSheetId="32" hidden="1">[5]Companies!$O$664:$P$664</definedName>
    <definedName name="IQRCompaniesN664" hidden="1">[5]Companies!$O$664:$P$664</definedName>
    <definedName name="IQRCompaniesN665" localSheetId="32" hidden="1">[5]Companies!$O$665:$S$665</definedName>
    <definedName name="IQRCompaniesN665" hidden="1">[5]Companies!$O$665:$S$665</definedName>
    <definedName name="IQRCompaniesN666" localSheetId="32" hidden="1">[5]Companies!$O$666:$R$666</definedName>
    <definedName name="IQRCompaniesN666" hidden="1">[5]Companies!$O$666:$R$666</definedName>
    <definedName name="IQRCompaniesN667" localSheetId="32" hidden="1">[5]Companies!$O$667:$P$667</definedName>
    <definedName name="IQRCompaniesN667" hidden="1">[5]Companies!$O$667:$P$667</definedName>
    <definedName name="IQRCompaniesN668" localSheetId="32" hidden="1">[5]Companies!$O$668:$Q$668</definedName>
    <definedName name="IQRCompaniesN668" hidden="1">[5]Companies!$O$668:$Q$668</definedName>
    <definedName name="IQRCompaniesN669" localSheetId="32" hidden="1">[5]Companies!$O$669</definedName>
    <definedName name="IQRCompaniesN669" hidden="1">[5]Companies!$O$669</definedName>
    <definedName name="IQRCompaniesN67" hidden="1">[4]Companies!$O$67</definedName>
    <definedName name="IQRCompaniesN670" localSheetId="32" hidden="1">[5]Companies!$O$670</definedName>
    <definedName name="IQRCompaniesN670" hidden="1">[5]Companies!$O$670</definedName>
    <definedName name="IQRCompaniesN671" localSheetId="32" hidden="1">[5]Companies!$O$671</definedName>
    <definedName name="IQRCompaniesN671" hidden="1">[5]Companies!$O$671</definedName>
    <definedName name="IQRCompaniesN672" localSheetId="32" hidden="1">[5]Companies!$O$672</definedName>
    <definedName name="IQRCompaniesN672" hidden="1">[5]Companies!$O$672</definedName>
    <definedName name="IQRCompaniesN673" localSheetId="32" hidden="1">[5]Companies!$O$673:$P$673</definedName>
    <definedName name="IQRCompaniesN673" hidden="1">[5]Companies!$O$673:$P$673</definedName>
    <definedName name="IQRCompaniesN674" localSheetId="32" hidden="1">[5]Companies!$O$674:$S$674</definedName>
    <definedName name="IQRCompaniesN674" hidden="1">[5]Companies!$O$674:$S$674</definedName>
    <definedName name="IQRCompaniesN675" localSheetId="32" hidden="1">[5]Companies!$O$675</definedName>
    <definedName name="IQRCompaniesN675" hidden="1">[5]Companies!$O$675</definedName>
    <definedName name="IQRCompaniesN676" localSheetId="32" hidden="1">[5]Companies!$O$676:$P$676</definedName>
    <definedName name="IQRCompaniesN676" hidden="1">[5]Companies!$O$676:$P$676</definedName>
    <definedName name="IQRCompaniesN677" localSheetId="32" hidden="1">[5]Companies!$O$677</definedName>
    <definedName name="IQRCompaniesN677" hidden="1">[5]Companies!$O$677</definedName>
    <definedName name="IQRCompaniesN678" localSheetId="32" hidden="1">[5]Companies!$O$678:$S$678</definedName>
    <definedName name="IQRCompaniesN678" hidden="1">[5]Companies!$O$678:$S$678</definedName>
    <definedName name="IQRCompaniesN679" localSheetId="32" hidden="1">[5]Companies!$O$679</definedName>
    <definedName name="IQRCompaniesN679" hidden="1">[5]Companies!$O$679</definedName>
    <definedName name="IQRCompaniesN68" hidden="1">[4]Companies!$O$68:$Q$68</definedName>
    <definedName name="IQRCompaniesN680" localSheetId="32" hidden="1">[5]Companies!$O$680:$Q$680</definedName>
    <definedName name="IQRCompaniesN680" hidden="1">[5]Companies!$O$680:$Q$680</definedName>
    <definedName name="IQRCompaniesN681" localSheetId="32" hidden="1">[5]Companies!$O$681</definedName>
    <definedName name="IQRCompaniesN681" hidden="1">[5]Companies!$O$681</definedName>
    <definedName name="IQRCompaniesN682" localSheetId="32" hidden="1">[5]Companies!$O$682:$P$682</definedName>
    <definedName name="IQRCompaniesN682" hidden="1">[5]Companies!$O$682:$P$682</definedName>
    <definedName name="IQRCompaniesN683" localSheetId="32" hidden="1">[5]Companies!$O$683</definedName>
    <definedName name="IQRCompaniesN683" hidden="1">[5]Companies!$O$683</definedName>
    <definedName name="IQRCompaniesN684" localSheetId="32" hidden="1">[5]Companies!$O$684:$S$684</definedName>
    <definedName name="IQRCompaniesN684" hidden="1">[5]Companies!$O$684:$S$684</definedName>
    <definedName name="IQRCompaniesN685" localSheetId="32" hidden="1">[5]Companies!$O$685</definedName>
    <definedName name="IQRCompaniesN685" hidden="1">[5]Companies!$O$685</definedName>
    <definedName name="IQRCompaniesN686" localSheetId="32" hidden="1">[5]Companies!$O$686:$S$686</definedName>
    <definedName name="IQRCompaniesN686" hidden="1">[5]Companies!$O$686:$S$686</definedName>
    <definedName name="IQRCompaniesN687" localSheetId="32" hidden="1">[5]Companies!$O$687:$S$687</definedName>
    <definedName name="IQRCompaniesN687" hidden="1">[5]Companies!$O$687:$S$687</definedName>
    <definedName name="IQRCompaniesN688" localSheetId="32" hidden="1">[5]Companies!$O$688:$P$688</definedName>
    <definedName name="IQRCompaniesN688" hidden="1">[5]Companies!$O$688:$P$688</definedName>
    <definedName name="IQRCompaniesN689" localSheetId="32" hidden="1">[5]Companies!$O$689:$P$689</definedName>
    <definedName name="IQRCompaniesN689" hidden="1">[5]Companies!$O$689:$P$689</definedName>
    <definedName name="IQRCompaniesN69" hidden="1">[4]Companies!$O$69:$S$69</definedName>
    <definedName name="IQRCompaniesN690" localSheetId="32" hidden="1">[5]Companies!$O$690</definedName>
    <definedName name="IQRCompaniesN690" hidden="1">[5]Companies!$O$690</definedName>
    <definedName name="IQRCompaniesN691" localSheetId="32" hidden="1">[5]Companies!$O$691:$R$691</definedName>
    <definedName name="IQRCompaniesN691" hidden="1">[5]Companies!$O$691:$R$691</definedName>
    <definedName name="IQRCompaniesN692" localSheetId="32" hidden="1">[5]Companies!$O$692:$P$692</definedName>
    <definedName name="IQRCompaniesN692" hidden="1">[5]Companies!$O$692:$P$692</definedName>
    <definedName name="IQRCompaniesN693" localSheetId="32" hidden="1">[5]Companies!$O$693</definedName>
    <definedName name="IQRCompaniesN693" hidden="1">[5]Companies!$O$693</definedName>
    <definedName name="IQRCompaniesN694" localSheetId="32" hidden="1">[5]Companies!$O$694:$P$694</definedName>
    <definedName name="IQRCompaniesN694" hidden="1">[5]Companies!$O$694:$P$694</definedName>
    <definedName name="IQRCompaniesN695" localSheetId="32" hidden="1">[5]Companies!$O$695:$Q$695</definedName>
    <definedName name="IQRCompaniesN695" hidden="1">[5]Companies!$O$695:$Q$695</definedName>
    <definedName name="IQRCompaniesN696" localSheetId="32" hidden="1">[5]Companies!$O$696</definedName>
    <definedName name="IQRCompaniesN696" hidden="1">[5]Companies!$O$696</definedName>
    <definedName name="IQRCompaniesN697" localSheetId="32" hidden="1">[5]Companies!$O$697:$S$697</definedName>
    <definedName name="IQRCompaniesN697" hidden="1">[5]Companies!$O$697:$S$697</definedName>
    <definedName name="IQRCompaniesN698" localSheetId="32" hidden="1">[5]Companies!$O$698:$P$698</definedName>
    <definedName name="IQRCompaniesN698" hidden="1">[5]Companies!$O$698:$P$698</definedName>
    <definedName name="IQRCompaniesN699" localSheetId="32" hidden="1">[5]Companies!$O$699:$S$699</definedName>
    <definedName name="IQRCompaniesN699" hidden="1">[5]Companies!$O$699:$S$699</definedName>
    <definedName name="IQRCompaniesN70" hidden="1">[4]Companies!$O$70:$S$70</definedName>
    <definedName name="IQRCompaniesN700" localSheetId="32" hidden="1">[5]Companies!$O$700</definedName>
    <definedName name="IQRCompaniesN700" hidden="1">[5]Companies!$O$700</definedName>
    <definedName name="IQRCompaniesN701" localSheetId="32" hidden="1">[5]Companies!$O$701:$Q$701</definedName>
    <definedName name="IQRCompaniesN701" hidden="1">[5]Companies!$O$701:$Q$701</definedName>
    <definedName name="IQRCompaniesN702" localSheetId="32" hidden="1">[5]Companies!$O$702</definedName>
    <definedName name="IQRCompaniesN702" hidden="1">[5]Companies!$O$702</definedName>
    <definedName name="IQRCompaniesN703" localSheetId="32" hidden="1">[5]Companies!$O$703:$R$703</definedName>
    <definedName name="IQRCompaniesN703" hidden="1">[5]Companies!$O$703:$R$703</definedName>
    <definedName name="IQRCompaniesN704" localSheetId="32" hidden="1">[5]Companies!$O$704:$P$704</definedName>
    <definedName name="IQRCompaniesN704" hidden="1">[5]Companies!$O$704:$P$704</definedName>
    <definedName name="IQRCompaniesN705" localSheetId="32" hidden="1">[5]Companies!$O$705</definedName>
    <definedName name="IQRCompaniesN705" hidden="1">[5]Companies!$O$705</definedName>
    <definedName name="IQRCompaniesN706" localSheetId="32" hidden="1">[5]Companies!$O$706:$S$706</definedName>
    <definedName name="IQRCompaniesN706" hidden="1">[5]Companies!$O$706:$S$706</definedName>
    <definedName name="IQRCompaniesN707" localSheetId="32" hidden="1">[5]Companies!$O$707</definedName>
    <definedName name="IQRCompaniesN707" hidden="1">[5]Companies!$O$707</definedName>
    <definedName name="IQRCompaniesN708" localSheetId="32" hidden="1">[5]Companies!$O$708:$S$708</definedName>
    <definedName name="IQRCompaniesN708" hidden="1">[5]Companies!$O$708:$S$708</definedName>
    <definedName name="IQRCompaniesN709" localSheetId="32" hidden="1">[5]Companies!$O$709:$S$709</definedName>
    <definedName name="IQRCompaniesN709" hidden="1">[5]Companies!$O$709:$S$709</definedName>
    <definedName name="IQRCompaniesN71" hidden="1">[4]Companies!$O$71:$S$71</definedName>
    <definedName name="IQRCompaniesN710" localSheetId="32" hidden="1">[5]Companies!$O$710:$Q$710</definedName>
    <definedName name="IQRCompaniesN710" hidden="1">[5]Companies!$O$710:$Q$710</definedName>
    <definedName name="IQRCompaniesN711" localSheetId="32" hidden="1">[5]Companies!$O$711</definedName>
    <definedName name="IQRCompaniesN711" hidden="1">[5]Companies!$O$711</definedName>
    <definedName name="IQRCompaniesN712" localSheetId="32" hidden="1">[5]Companies!$O$712:$P$712</definedName>
    <definedName name="IQRCompaniesN712" hidden="1">[5]Companies!$O$712:$P$712</definedName>
    <definedName name="IQRCompaniesN713" localSheetId="32" hidden="1">[5]Companies!$O$713:$R$713</definedName>
    <definedName name="IQRCompaniesN713" hidden="1">[5]Companies!$O$713:$R$713</definedName>
    <definedName name="IQRCompaniesN714" localSheetId="32" hidden="1">[5]Companies!$O$714:$S$714</definedName>
    <definedName name="IQRCompaniesN714" hidden="1">[5]Companies!$O$714:$S$714</definedName>
    <definedName name="IQRCompaniesN715" localSheetId="32" hidden="1">[5]Companies!$O$715:$S$715</definedName>
    <definedName name="IQRCompaniesN715" hidden="1">[5]Companies!$O$715:$S$715</definedName>
    <definedName name="IQRCompaniesN716" localSheetId="32" hidden="1">[5]Companies!$O$716:$S$716</definedName>
    <definedName name="IQRCompaniesN716" hidden="1">[5]Companies!$O$716:$S$716</definedName>
    <definedName name="IQRCompaniesN717" localSheetId="32" hidden="1">[5]Companies!$O$717</definedName>
    <definedName name="IQRCompaniesN717" hidden="1">[5]Companies!$O$717</definedName>
    <definedName name="IQRCompaniesN718" localSheetId="32" hidden="1">[5]Companies!$O$718</definedName>
    <definedName name="IQRCompaniesN718" hidden="1">[5]Companies!$O$718</definedName>
    <definedName name="IQRCompaniesN719" localSheetId="32" hidden="1">[5]Companies!$O$719:$S$719</definedName>
    <definedName name="IQRCompaniesN719" hidden="1">[5]Companies!$O$719:$S$719</definedName>
    <definedName name="IQRCompaniesN72" hidden="1">[4]Companies!$O$72:$S$72</definedName>
    <definedName name="IQRCompaniesN720" localSheetId="32" hidden="1">[5]Companies!$O$720:$P$720</definedName>
    <definedName name="IQRCompaniesN720" hidden="1">[5]Companies!$O$720:$P$720</definedName>
    <definedName name="IQRCompaniesN721" localSheetId="32" hidden="1">[5]Companies!$O$721:$P$721</definedName>
    <definedName name="IQRCompaniesN721" hidden="1">[5]Companies!$O$721:$P$721</definedName>
    <definedName name="IQRCompaniesN722" localSheetId="32" hidden="1">[5]Companies!$O$722</definedName>
    <definedName name="IQRCompaniesN722" hidden="1">[5]Companies!$O$722</definedName>
    <definedName name="IQRCompaniesN723" localSheetId="32" hidden="1">[5]Companies!$O$723:$P$723</definedName>
    <definedName name="IQRCompaniesN723" hidden="1">[5]Companies!$O$723:$P$723</definedName>
    <definedName name="IQRCompaniesN724" localSheetId="32" hidden="1">[5]Companies!$O$724</definedName>
    <definedName name="IQRCompaniesN724" hidden="1">[5]Companies!$O$724</definedName>
    <definedName name="IQRCompaniesN725" localSheetId="32" hidden="1">[5]Companies!$O$725:$S$725</definedName>
    <definedName name="IQRCompaniesN725" hidden="1">[5]Companies!$O$725:$S$725</definedName>
    <definedName name="IQRCompaniesN726" localSheetId="32" hidden="1">[5]Companies!$O$726:$S$726</definedName>
    <definedName name="IQRCompaniesN726" hidden="1">[5]Companies!$O$726:$S$726</definedName>
    <definedName name="IQRCompaniesN728" localSheetId="32" hidden="1">[5]Companies!$O$728:$S$728</definedName>
    <definedName name="IQRCompaniesN728" hidden="1">[5]Companies!$O$728:$S$728</definedName>
    <definedName name="IQRCompaniesN729" localSheetId="32" hidden="1">[5]Companies!$O$729:$Q$729</definedName>
    <definedName name="IQRCompaniesN729" hidden="1">[5]Companies!$O$729:$Q$729</definedName>
    <definedName name="IQRCompaniesN73" hidden="1">[4]Companies!$O$73:$S$73</definedName>
    <definedName name="IQRCompaniesN730" localSheetId="32" hidden="1">[5]Companies!$O$730:$S$730</definedName>
    <definedName name="IQRCompaniesN730" hidden="1">[5]Companies!$O$730:$S$730</definedName>
    <definedName name="IQRCompaniesN731" localSheetId="32" hidden="1">[5]Companies!$O$731:$S$731</definedName>
    <definedName name="IQRCompaniesN731" hidden="1">[5]Companies!$O$731:$S$731</definedName>
    <definedName name="IQRCompaniesN732" localSheetId="32" hidden="1">[5]Companies!$O$732:$S$732</definedName>
    <definedName name="IQRCompaniesN732" hidden="1">[5]Companies!$O$732:$S$732</definedName>
    <definedName name="IQRCompaniesN733" localSheetId="32" hidden="1">[5]Companies!$O$733:$S$733</definedName>
    <definedName name="IQRCompaniesN733" hidden="1">[5]Companies!$O$733:$S$733</definedName>
    <definedName name="IQRCompaniesN734" localSheetId="32" hidden="1">[5]Companies!$O$734:$S$734</definedName>
    <definedName name="IQRCompaniesN734" hidden="1">[5]Companies!$O$734:$S$734</definedName>
    <definedName name="IQRCompaniesN735" localSheetId="32" hidden="1">[5]Companies!$O$735</definedName>
    <definedName name="IQRCompaniesN735" hidden="1">[5]Companies!$O$735</definedName>
    <definedName name="IQRCompaniesN736" localSheetId="32" hidden="1">[5]Companies!$O$736</definedName>
    <definedName name="IQRCompaniesN736" hidden="1">[5]Companies!$O$736</definedName>
    <definedName name="IQRCompaniesN737" localSheetId="32" hidden="1">[5]Companies!$O$737:$Q$737</definedName>
    <definedName name="IQRCompaniesN737" hidden="1">[5]Companies!$O$737:$Q$737</definedName>
    <definedName name="IQRCompaniesN738" localSheetId="32" hidden="1">[5]Companies!$O$738:$Q$738</definedName>
    <definedName name="IQRCompaniesN738" hidden="1">[5]Companies!$O$738:$Q$738</definedName>
    <definedName name="IQRCompaniesN739" localSheetId="32" hidden="1">[5]Companies!$O$739:$P$739</definedName>
    <definedName name="IQRCompaniesN739" hidden="1">[5]Companies!$O$739:$P$739</definedName>
    <definedName name="IQRCompaniesN74" hidden="1">[4]Companies!$O$74</definedName>
    <definedName name="IQRCompaniesN740" localSheetId="32" hidden="1">[5]Companies!$O$740:$S$740</definedName>
    <definedName name="IQRCompaniesN740" hidden="1">[5]Companies!$O$740:$S$740</definedName>
    <definedName name="IQRCompaniesN741" localSheetId="32" hidden="1">[5]Companies!$O$741</definedName>
    <definedName name="IQRCompaniesN741" hidden="1">[5]Companies!$O$741</definedName>
    <definedName name="IQRCompaniesN743" localSheetId="32" hidden="1">[5]Companies!$O$743</definedName>
    <definedName name="IQRCompaniesN743" hidden="1">[5]Companies!$O$743</definedName>
    <definedName name="IQRCompaniesN746" localSheetId="32" hidden="1">[5]Companies!$O$746:$S$746</definedName>
    <definedName name="IQRCompaniesN746" hidden="1">[5]Companies!$O$746:$S$746</definedName>
    <definedName name="IQRCompaniesN747" localSheetId="32" hidden="1">[5]Companies!$O$747:$P$747</definedName>
    <definedName name="IQRCompaniesN747" hidden="1">[5]Companies!$O$747:$P$747</definedName>
    <definedName name="IQRCompaniesN748" localSheetId="32" hidden="1">[5]Companies!$O$748:$S$748</definedName>
    <definedName name="IQRCompaniesN748" hidden="1">[5]Companies!$O$748:$S$748</definedName>
    <definedName name="IQRCompaniesN749" localSheetId="32" hidden="1">[5]Companies!$O$749:$S$749</definedName>
    <definedName name="IQRCompaniesN749" hidden="1">[5]Companies!$O$749:$S$749</definedName>
    <definedName name="IQRCompaniesN75" hidden="1">[4]Companies!$O$75:$S$75</definedName>
    <definedName name="IQRCompaniesN750" localSheetId="32" hidden="1">[5]Companies!$O$750:$P$750</definedName>
    <definedName name="IQRCompaniesN750" hidden="1">[5]Companies!$O$750:$P$750</definedName>
    <definedName name="IQRCompaniesN751" localSheetId="32" hidden="1">[5]Companies!$O$751:$S$751</definedName>
    <definedName name="IQRCompaniesN751" hidden="1">[5]Companies!$O$751:$S$751</definedName>
    <definedName name="IQRCompaniesN754" localSheetId="32" hidden="1">[5]Companies!$O$754</definedName>
    <definedName name="IQRCompaniesN754" hidden="1">[5]Companies!$O$754</definedName>
    <definedName name="IQRCompaniesN755" localSheetId="32" hidden="1">[5]Companies!$O$755:$P$755</definedName>
    <definedName name="IQRCompaniesN755" hidden="1">[5]Companies!$O$755:$P$755</definedName>
    <definedName name="IQRCompaniesN756" localSheetId="32" hidden="1">[5]Companies!$O$756:$S$756</definedName>
    <definedName name="IQRCompaniesN756" hidden="1">[5]Companies!$O$756:$S$756</definedName>
    <definedName name="IQRCompaniesN757" localSheetId="32" hidden="1">[5]Companies!$O$757:$P$757</definedName>
    <definedName name="IQRCompaniesN757" hidden="1">[5]Companies!$O$757:$P$757</definedName>
    <definedName name="IQRCompaniesN758" localSheetId="32" hidden="1">[5]Companies!$O$758</definedName>
    <definedName name="IQRCompaniesN758" hidden="1">[5]Companies!$O$758</definedName>
    <definedName name="IQRCompaniesN759" localSheetId="32" hidden="1">[5]Companies!$O$759:$S$759</definedName>
    <definedName name="IQRCompaniesN759" hidden="1">[5]Companies!$O$759:$S$759</definedName>
    <definedName name="IQRCompaniesN76" hidden="1">[4]Companies!$O$76:$S$76</definedName>
    <definedName name="IQRCompaniesN760" localSheetId="32" hidden="1">[5]Companies!$O$760:$R$760</definedName>
    <definedName name="IQRCompaniesN760" hidden="1">[5]Companies!$O$760:$R$760</definedName>
    <definedName name="IQRCompaniesN762" localSheetId="32" hidden="1">[5]Companies!$O$762</definedName>
    <definedName name="IQRCompaniesN762" hidden="1">[5]Companies!$O$762</definedName>
    <definedName name="IQRCompaniesN763" localSheetId="32" hidden="1">[5]Companies!$O$763</definedName>
    <definedName name="IQRCompaniesN763" hidden="1">[5]Companies!$O$763</definedName>
    <definedName name="IQRCompaniesN764" localSheetId="32" hidden="1">[5]Companies!$O$764:$P$764</definedName>
    <definedName name="IQRCompaniesN764" hidden="1">[5]Companies!$O$764:$P$764</definedName>
    <definedName name="IQRCompaniesN766" localSheetId="32" hidden="1">[5]Companies!$O$766</definedName>
    <definedName name="IQRCompaniesN766" hidden="1">[5]Companies!$O$766</definedName>
    <definedName name="IQRCompaniesN767" localSheetId="32" hidden="1">[5]Companies!$O$767</definedName>
    <definedName name="IQRCompaniesN767" hidden="1">[5]Companies!$O$767</definedName>
    <definedName name="IQRCompaniesN768" localSheetId="32" hidden="1">[5]Companies!$O$768</definedName>
    <definedName name="IQRCompaniesN768" hidden="1">[5]Companies!$O$768</definedName>
    <definedName name="IQRCompaniesN769" localSheetId="32" hidden="1">[5]Companies!$O$769:$P$769</definedName>
    <definedName name="IQRCompaniesN769" hidden="1">[5]Companies!$O$769:$P$769</definedName>
    <definedName name="IQRCompaniesN77" hidden="1">[4]Companies!$O$77:$S$77</definedName>
    <definedName name="IQRCompaniesN770" localSheetId="32" hidden="1">[5]Companies!$O$770:$P$770</definedName>
    <definedName name="IQRCompaniesN770" hidden="1">[5]Companies!$O$770:$P$770</definedName>
    <definedName name="IQRCompaniesN773" localSheetId="32" hidden="1">[5]Companies!$O$773:$S$773</definedName>
    <definedName name="IQRCompaniesN773" hidden="1">[5]Companies!$O$773:$S$773</definedName>
    <definedName name="IQRCompaniesN774" localSheetId="32" hidden="1">[5]Companies!$O$774:$R$774</definedName>
    <definedName name="IQRCompaniesN774" hidden="1">[5]Companies!$O$774:$R$774</definedName>
    <definedName name="IQRCompaniesN775" localSheetId="32" hidden="1">[5]Companies!$O$775:$P$775</definedName>
    <definedName name="IQRCompaniesN775" hidden="1">[5]Companies!$O$775:$P$775</definedName>
    <definedName name="IQRCompaniesN776" localSheetId="32" hidden="1">[5]Companies!$O$776:$Q$776</definedName>
    <definedName name="IQRCompaniesN776" hidden="1">[5]Companies!$O$776:$Q$776</definedName>
    <definedName name="IQRCompaniesN777" localSheetId="32" hidden="1">[5]Companies!$O$777</definedName>
    <definedName name="IQRCompaniesN777" hidden="1">[5]Companies!$O$777</definedName>
    <definedName name="IQRCompaniesN778" localSheetId="32" hidden="1">[5]Companies!$O$778</definedName>
    <definedName name="IQRCompaniesN778" hidden="1">[5]Companies!$O$778</definedName>
    <definedName name="IQRCompaniesN78" hidden="1">[4]Companies!$O$78:$Q$78</definedName>
    <definedName name="IQRCompaniesN780" localSheetId="32" hidden="1">[5]Companies!$O$780</definedName>
    <definedName name="IQRCompaniesN780" hidden="1">[5]Companies!$O$780</definedName>
    <definedName name="IQRCompaniesN782" localSheetId="32" hidden="1">[5]Companies!$O$782</definedName>
    <definedName name="IQRCompaniesN782" hidden="1">[5]Companies!$O$782</definedName>
    <definedName name="IQRCompaniesN783" localSheetId="32" hidden="1">[5]Companies!$O$783:$P$783</definedName>
    <definedName name="IQRCompaniesN783" hidden="1">[5]Companies!$O$783:$P$783</definedName>
    <definedName name="IQRCompaniesN784" localSheetId="32" hidden="1">[5]Companies!$O$784:$S$784</definedName>
    <definedName name="IQRCompaniesN784" hidden="1">[5]Companies!$O$784:$S$784</definedName>
    <definedName name="IQRCompaniesN785" localSheetId="32" hidden="1">[5]Companies!$O$785</definedName>
    <definedName name="IQRCompaniesN785" hidden="1">[5]Companies!$O$785</definedName>
    <definedName name="IQRCompaniesN787" localSheetId="32" hidden="1">[5]Companies!$O$787:$S$787</definedName>
    <definedName name="IQRCompaniesN787" hidden="1">[5]Companies!$O$787:$S$787</definedName>
    <definedName name="IQRCompaniesN788" localSheetId="32" hidden="1">[5]Companies!$O$788:$P$788</definedName>
    <definedName name="IQRCompaniesN788" hidden="1">[5]Companies!$O$788:$P$788</definedName>
    <definedName name="IQRCompaniesN789" localSheetId="32" hidden="1">[5]Companies!$O$789</definedName>
    <definedName name="IQRCompaniesN789" hidden="1">[5]Companies!$O$789</definedName>
    <definedName name="IQRCompaniesN79" hidden="1">[4]Companies!$O$79:$Q$79</definedName>
    <definedName name="IQRCompaniesN790" localSheetId="32" hidden="1">[5]Companies!$O$790:$S$790</definedName>
    <definedName name="IQRCompaniesN790" hidden="1">[5]Companies!$O$790:$S$790</definedName>
    <definedName name="IQRCompaniesN791" localSheetId="32" hidden="1">[5]Companies!$O$791</definedName>
    <definedName name="IQRCompaniesN791" hidden="1">[5]Companies!$O$791</definedName>
    <definedName name="IQRCompaniesN792" localSheetId="32" hidden="1">[5]Companies!$O$792:$Q$792</definedName>
    <definedName name="IQRCompaniesN792" hidden="1">[5]Companies!$O$792:$Q$792</definedName>
    <definedName name="IQRCompaniesN793" localSheetId="32" hidden="1">[5]Companies!$O$793</definedName>
    <definedName name="IQRCompaniesN793" hidden="1">[5]Companies!$O$793</definedName>
    <definedName name="IQRCompaniesN794" localSheetId="32" hidden="1">[5]Companies!$O$794:$P$794</definedName>
    <definedName name="IQRCompaniesN794" hidden="1">[5]Companies!$O$794:$P$794</definedName>
    <definedName name="IQRCompaniesN795" localSheetId="32" hidden="1">[5]Companies!$O$795</definedName>
    <definedName name="IQRCompaniesN795" hidden="1">[5]Companies!$O$795</definedName>
    <definedName name="IQRCompaniesN796" localSheetId="32" hidden="1">[5]Companies!$O$796:$S$796</definedName>
    <definedName name="IQRCompaniesN796" hidden="1">[5]Companies!$O$796:$S$796</definedName>
    <definedName name="IQRCompaniesN797" localSheetId="32" hidden="1">[5]Companies!$O$797</definedName>
    <definedName name="IQRCompaniesN797" hidden="1">[5]Companies!$O$797</definedName>
    <definedName name="IQRCompaniesN80" hidden="1">[4]Companies!$O$80:$S$80</definedName>
    <definedName name="IQRCompaniesN800" localSheetId="32" hidden="1">[5]Companies!$O$800:$S$800</definedName>
    <definedName name="IQRCompaniesN800" hidden="1">[5]Companies!$O$800:$S$800</definedName>
    <definedName name="IQRCompaniesN801" localSheetId="32" hidden="1">[5]Companies!$O$801:$S$801</definedName>
    <definedName name="IQRCompaniesN801" hidden="1">[5]Companies!$O$801:$S$801</definedName>
    <definedName name="IQRCompaniesN802" localSheetId="32" hidden="1">[5]Companies!$O$802:$P$802</definedName>
    <definedName name="IQRCompaniesN802" hidden="1">[5]Companies!$O$802:$P$802</definedName>
    <definedName name="IQRCompaniesN803" localSheetId="32" hidden="1">[5]Companies!$O$803:$P$803</definedName>
    <definedName name="IQRCompaniesN803" hidden="1">[5]Companies!$O$803:$P$803</definedName>
    <definedName name="IQRCompaniesN804" localSheetId="32" hidden="1">[5]Companies!$O$804</definedName>
    <definedName name="IQRCompaniesN804" hidden="1">[5]Companies!$O$804</definedName>
    <definedName name="IQRCompaniesN805" localSheetId="32" hidden="1">[5]Companies!$O$805:$R$805</definedName>
    <definedName name="IQRCompaniesN805" hidden="1">[5]Companies!$O$805:$R$805</definedName>
    <definedName name="IQRCompaniesN807" localSheetId="32" hidden="1">[5]Companies!$O$807</definedName>
    <definedName name="IQRCompaniesN807" hidden="1">[5]Companies!$O$807</definedName>
    <definedName name="IQRCompaniesN808" localSheetId="32" hidden="1">[5]Companies!$O$808:$P$808</definedName>
    <definedName name="IQRCompaniesN808" hidden="1">[5]Companies!$O$808:$P$808</definedName>
    <definedName name="IQRCompaniesN81" hidden="1">[4]Companies!$O$81:$S$81</definedName>
    <definedName name="IQRCompaniesN810" localSheetId="32" hidden="1">[5]Companies!$O$810</definedName>
    <definedName name="IQRCompaniesN810" hidden="1">[5]Companies!$O$810</definedName>
    <definedName name="IQRCompaniesN811" localSheetId="32" hidden="1">[5]Companies!$O$811:$S$811</definedName>
    <definedName name="IQRCompaniesN811" hidden="1">[5]Companies!$O$811:$S$811</definedName>
    <definedName name="IQRCompaniesN812" localSheetId="32" hidden="1">[5]Companies!$O$812:$P$812</definedName>
    <definedName name="IQRCompaniesN812" hidden="1">[5]Companies!$O$812:$P$812</definedName>
    <definedName name="IQRCompaniesN814" localSheetId="32" hidden="1">[5]Companies!$O$814:$S$814</definedName>
    <definedName name="IQRCompaniesN814" hidden="1">[5]Companies!$O$814:$S$814</definedName>
    <definedName name="IQRCompaniesN815" localSheetId="32" hidden="1">[5]Companies!$O$815</definedName>
    <definedName name="IQRCompaniesN815" hidden="1">[5]Companies!$O$815</definedName>
    <definedName name="IQRCompaniesN816" localSheetId="32" hidden="1">[5]Companies!$O$816:$Q$816</definedName>
    <definedName name="IQRCompaniesN816" hidden="1">[5]Companies!$O$816:$Q$816</definedName>
    <definedName name="IQRCompaniesN817" localSheetId="32" hidden="1">[5]Companies!$O$817</definedName>
    <definedName name="IQRCompaniesN817" hidden="1">[5]Companies!$O$817</definedName>
    <definedName name="IQRCompaniesN818" localSheetId="32" hidden="1">[5]Companies!$O$818:$R$818</definedName>
    <definedName name="IQRCompaniesN818" hidden="1">[5]Companies!$O$818:$R$818</definedName>
    <definedName name="IQRCompaniesN819" localSheetId="32" hidden="1">[5]Companies!$O$819:$P$819</definedName>
    <definedName name="IQRCompaniesN819" hidden="1">[5]Companies!$O$819:$P$819</definedName>
    <definedName name="IQRCompaniesN82" hidden="1">[4]Companies!$O$82:$S$82</definedName>
    <definedName name="IQRCompaniesN820" localSheetId="32" hidden="1">[5]Companies!$O$820</definedName>
    <definedName name="IQRCompaniesN820" hidden="1">[5]Companies!$O$820</definedName>
    <definedName name="IQRCompaniesN822" localSheetId="32" hidden="1">[5]Companies!$O$822:$S$822</definedName>
    <definedName name="IQRCompaniesN822" hidden="1">[5]Companies!$O$822:$S$822</definedName>
    <definedName name="IQRCompaniesN823" localSheetId="32" hidden="1">[5]Companies!$O$823</definedName>
    <definedName name="IQRCompaniesN823" hidden="1">[5]Companies!$O$823</definedName>
    <definedName name="IQRCompaniesN824" localSheetId="32" hidden="1">[5]Companies!$O$824:$S$824</definedName>
    <definedName name="IQRCompaniesN824" hidden="1">[5]Companies!$O$824:$S$824</definedName>
    <definedName name="IQRCompaniesN825" localSheetId="32" hidden="1">[5]Companies!$O$825:$S$825</definedName>
    <definedName name="IQRCompaniesN825" hidden="1">[5]Companies!$O$825:$S$825</definedName>
    <definedName name="IQRCompaniesN826" localSheetId="32" hidden="1">[5]Companies!$O$826:$Q$826</definedName>
    <definedName name="IQRCompaniesN826" hidden="1">[5]Companies!$O$826:$Q$826</definedName>
    <definedName name="IQRCompaniesN827" localSheetId="32" hidden="1">[5]Companies!$O$827</definedName>
    <definedName name="IQRCompaniesN827" hidden="1">[5]Companies!$O$827</definedName>
    <definedName name="IQRCompaniesN828" localSheetId="32" hidden="1">[5]Companies!$O$828:$P$828</definedName>
    <definedName name="IQRCompaniesN828" hidden="1">[5]Companies!$O$828:$P$828</definedName>
    <definedName name="IQRCompaniesN829" localSheetId="32" hidden="1">[5]Companies!$O$829:$R$829</definedName>
    <definedName name="IQRCompaniesN829" hidden="1">[5]Companies!$O$829:$R$829</definedName>
    <definedName name="IQRCompaniesN83" hidden="1">[4]Companies!$O$83:$S$83</definedName>
    <definedName name="IQRCompaniesN830" localSheetId="32" hidden="1">[5]Companies!$O$830:$S$830</definedName>
    <definedName name="IQRCompaniesN830" hidden="1">[5]Companies!$O$830:$S$830</definedName>
    <definedName name="IQRCompaniesN832" localSheetId="32" hidden="1">[5]Companies!$O$832:$S$832</definedName>
    <definedName name="IQRCompaniesN832" hidden="1">[5]Companies!$O$832:$S$832</definedName>
    <definedName name="IQRCompaniesN833" localSheetId="32" hidden="1">[5]Companies!$O$833:$S$833</definedName>
    <definedName name="IQRCompaniesN833" hidden="1">[5]Companies!$O$833:$S$833</definedName>
    <definedName name="IQRCompaniesN834" localSheetId="32" hidden="1">[5]Companies!$O$834</definedName>
    <definedName name="IQRCompaniesN834" hidden="1">[5]Companies!$O$834</definedName>
    <definedName name="IQRCompaniesN835" localSheetId="32" hidden="1">[5]Companies!$O$835:$S$835</definedName>
    <definedName name="IQRCompaniesN835" hidden="1">[5]Companies!$O$835:$S$835</definedName>
    <definedName name="IQRCompaniesN836" localSheetId="32" hidden="1">[5]Companies!$O$836</definedName>
    <definedName name="IQRCompaniesN836" hidden="1">[5]Companies!$O$836</definedName>
    <definedName name="IQRCompaniesN837" localSheetId="32" hidden="1">[5]Companies!$O$837:$P$837</definedName>
    <definedName name="IQRCompaniesN837" hidden="1">[5]Companies!$O$837:$P$837</definedName>
    <definedName name="IQRCompaniesN838" localSheetId="32" hidden="1">[5]Companies!$O$838:$P$838</definedName>
    <definedName name="IQRCompaniesN838" hidden="1">[5]Companies!$O$838:$P$838</definedName>
    <definedName name="IQRCompaniesN84" hidden="1">[4]Companies!$O$84:$P$84</definedName>
    <definedName name="IQRCompaniesN840" localSheetId="32" hidden="1">[5]Companies!$O$840:$S$840</definedName>
    <definedName name="IQRCompaniesN840" hidden="1">[5]Companies!$O$840:$S$840</definedName>
    <definedName name="IQRCompaniesN842" localSheetId="32" hidden="1">[5]Companies!$O$842:$S$842</definedName>
    <definedName name="IQRCompaniesN842" hidden="1">[5]Companies!$O$842:$S$842</definedName>
    <definedName name="IQRCompaniesN843" localSheetId="32" hidden="1">[5]Companies!$O$843:$P$843</definedName>
    <definedName name="IQRCompaniesN843" hidden="1">[5]Companies!$O$843:$P$843</definedName>
    <definedName name="IQRCompaniesN844" localSheetId="32" hidden="1">[5]Companies!$O$844</definedName>
    <definedName name="IQRCompaniesN844" hidden="1">[5]Companies!$O$844</definedName>
    <definedName name="IQRCompaniesN845" localSheetId="32" hidden="1">[5]Companies!$O$845</definedName>
    <definedName name="IQRCompaniesN845" hidden="1">[5]Companies!$O$845</definedName>
    <definedName name="IQRCompaniesN846" localSheetId="32" hidden="1">[5]Companies!$O$846:$P$846</definedName>
    <definedName name="IQRCompaniesN846" hidden="1">[5]Companies!$O$846:$P$846</definedName>
    <definedName name="IQRCompaniesN847" localSheetId="32" hidden="1">[5]Companies!$O$847</definedName>
    <definedName name="IQRCompaniesN847" hidden="1">[5]Companies!$O$847</definedName>
    <definedName name="IQRCompaniesN848" localSheetId="32" hidden="1">[5]Companies!$O$848:$S$848</definedName>
    <definedName name="IQRCompaniesN848" hidden="1">[5]Companies!$O$848:$S$848</definedName>
    <definedName name="IQRCompaniesN849" localSheetId="32" hidden="1">[5]Companies!$O$849</definedName>
    <definedName name="IQRCompaniesN849" hidden="1">[5]Companies!$O$849</definedName>
    <definedName name="IQRCompaniesN85" hidden="1">[4]Companies!$O$85:$S$85</definedName>
    <definedName name="IQRCompaniesN851" localSheetId="32" hidden="1">[5]Companies!$O$851:$S$851</definedName>
    <definedName name="IQRCompaniesN851" hidden="1">[5]Companies!$O$851:$S$851</definedName>
    <definedName name="IQRCompaniesN852" localSheetId="32" hidden="1">[5]Companies!$O$852:$S$852</definedName>
    <definedName name="IQRCompaniesN852" hidden="1">[5]Companies!$O$852:$S$852</definedName>
    <definedName name="IQRCompaniesN855" localSheetId="32" hidden="1">[5]Companies!$O$855:$Q$855</definedName>
    <definedName name="IQRCompaniesN855" hidden="1">[5]Companies!$O$855:$Q$855</definedName>
    <definedName name="IQRCompaniesN856" localSheetId="32" hidden="1">[5]Companies!$O$856:$P$856</definedName>
    <definedName name="IQRCompaniesN856" hidden="1">[5]Companies!$O$856:$P$856</definedName>
    <definedName name="IQRCompaniesN857" localSheetId="32" hidden="1">[5]Companies!$O$857:$S$857</definedName>
    <definedName name="IQRCompaniesN857" hidden="1">[5]Companies!$O$857:$S$857</definedName>
    <definedName name="IQRCompaniesN858" localSheetId="32" hidden="1">[5]Companies!$O$858</definedName>
    <definedName name="IQRCompaniesN858" hidden="1">[5]Companies!$O$858</definedName>
    <definedName name="IQRCompaniesN859" localSheetId="32" hidden="1">[5]Companies!$O$859:$P$859</definedName>
    <definedName name="IQRCompaniesN859" hidden="1">[5]Companies!$O$859:$P$859</definedName>
    <definedName name="IQRCompaniesN86" hidden="1">[4]Companies!$O$86:$S$86</definedName>
    <definedName name="IQRCompaniesN860" localSheetId="32" hidden="1">[5]Companies!$O$860</definedName>
    <definedName name="IQRCompaniesN860" hidden="1">[5]Companies!$O$860</definedName>
    <definedName name="IQRCompaniesN861" localSheetId="32" hidden="1">[5]Companies!$O$861</definedName>
    <definedName name="IQRCompaniesN861" hidden="1">[5]Companies!$O$861</definedName>
    <definedName name="IQRCompaniesN862" localSheetId="32" hidden="1">[5]Companies!$O$862</definedName>
    <definedName name="IQRCompaniesN862" hidden="1">[5]Companies!$O$862</definedName>
    <definedName name="IQRCompaniesN863" localSheetId="32" hidden="1">[5]Companies!$O$863:$S$863</definedName>
    <definedName name="IQRCompaniesN863" hidden="1">[5]Companies!$O$863:$S$863</definedName>
    <definedName name="IQRCompaniesN864" localSheetId="32" hidden="1">[5]Companies!$O$864</definedName>
    <definedName name="IQRCompaniesN864" hidden="1">[5]Companies!$O$864</definedName>
    <definedName name="IQRCompaniesN865" localSheetId="32" hidden="1">[5]Companies!$O$865</definedName>
    <definedName name="IQRCompaniesN865" hidden="1">[5]Companies!$O$865</definedName>
    <definedName name="IQRCompaniesN866" localSheetId="32" hidden="1">[5]Companies!$O$866:$S$866</definedName>
    <definedName name="IQRCompaniesN866" hidden="1">[5]Companies!$O$866:$S$866</definedName>
    <definedName name="IQRCompaniesN867" localSheetId="32" hidden="1">[5]Companies!$O$867:$P$867</definedName>
    <definedName name="IQRCompaniesN867" hidden="1">[5]Companies!$O$867:$P$867</definedName>
    <definedName name="IQRCompaniesN868" localSheetId="32" hidden="1">[5]Companies!$O$868:$P$868</definedName>
    <definedName name="IQRCompaniesN868" hidden="1">[5]Companies!$O$868:$P$868</definedName>
    <definedName name="IQRCompaniesN869" localSheetId="32" hidden="1">[5]Companies!$O$869:$S$869</definedName>
    <definedName name="IQRCompaniesN869" hidden="1">[5]Companies!$O$869:$S$869</definedName>
    <definedName name="IQRCompaniesN87" hidden="1">[4]Companies!$O$87:$S$87</definedName>
    <definedName name="IQRCompaniesN871" localSheetId="32" hidden="1">[5]Companies!$O$871:$Q$871</definedName>
    <definedName name="IQRCompaniesN871" hidden="1">[5]Companies!$O$871:$Q$871</definedName>
    <definedName name="IQRCompaniesN873" localSheetId="32" hidden="1">[5]Companies!$O$873</definedName>
    <definedName name="IQRCompaniesN873" hidden="1">[5]Companies!$O$873</definedName>
    <definedName name="IQRCompaniesN874" localSheetId="32" hidden="1">[5]Companies!$O$874</definedName>
    <definedName name="IQRCompaniesN874" hidden="1">[5]Companies!$O$874</definedName>
    <definedName name="IQRCompaniesN875" localSheetId="32" hidden="1">[5]Companies!$O$875</definedName>
    <definedName name="IQRCompaniesN875" hidden="1">[5]Companies!$O$875</definedName>
    <definedName name="IQRCompaniesN876" localSheetId="32" hidden="1">[5]Companies!$O$876:$S$876</definedName>
    <definedName name="IQRCompaniesN876" hidden="1">[5]Companies!$O$876:$S$876</definedName>
    <definedName name="IQRCompaniesN877" localSheetId="32" hidden="1">[5]Companies!$O$877</definedName>
    <definedName name="IQRCompaniesN877" hidden="1">[5]Companies!$O$877</definedName>
    <definedName name="IQRCompaniesN878" localSheetId="32" hidden="1">[5]Companies!$O$878</definedName>
    <definedName name="IQRCompaniesN878" hidden="1">[5]Companies!$O$878</definedName>
    <definedName name="IQRCompaniesN879" localSheetId="32" hidden="1">[5]Companies!$O$879:$P$879</definedName>
    <definedName name="IQRCompaniesN879" hidden="1">[5]Companies!$O$879:$P$879</definedName>
    <definedName name="IQRCompaniesN88" hidden="1">[4]Companies!$O$88:$P$88</definedName>
    <definedName name="IQRCompaniesN880" localSheetId="32" hidden="1">[5]Companies!$O$880:$S$880</definedName>
    <definedName name="IQRCompaniesN880" hidden="1">[5]Companies!$O$880:$S$880</definedName>
    <definedName name="IQRCompaniesN882" localSheetId="32" hidden="1">[5]Companies!$O$882:$S$882</definedName>
    <definedName name="IQRCompaniesN882" hidden="1">[5]Companies!$O$882:$S$882</definedName>
    <definedName name="IQRCompaniesN883" localSheetId="32" hidden="1">[5]Companies!$O$883</definedName>
    <definedName name="IQRCompaniesN883" hidden="1">[5]Companies!$O$883</definedName>
    <definedName name="IQRCompaniesN884" localSheetId="32" hidden="1">[5]Companies!$O$884:$P$884</definedName>
    <definedName name="IQRCompaniesN884" hidden="1">[5]Companies!$O$884:$P$884</definedName>
    <definedName name="IQRCompaniesN885" localSheetId="32" hidden="1">[5]Companies!$O$885:$Q$885</definedName>
    <definedName name="IQRCompaniesN885" hidden="1">[5]Companies!$O$885:$Q$885</definedName>
    <definedName name="IQRCompaniesN886" localSheetId="32" hidden="1">[5]Companies!$O$886</definedName>
    <definedName name="IQRCompaniesN886" hidden="1">[5]Companies!$O$886</definedName>
    <definedName name="IQRCompaniesN887" localSheetId="32" hidden="1">[5]Companies!$O$887</definedName>
    <definedName name="IQRCompaniesN887" hidden="1">[5]Companies!$O$887</definedName>
    <definedName name="IQRCompaniesN888" localSheetId="32" hidden="1">[5]Companies!$O$888:$S$888</definedName>
    <definedName name="IQRCompaniesN888" hidden="1">[5]Companies!$O$888:$S$888</definedName>
    <definedName name="IQRCompaniesN89" hidden="1">[4]Companies!$O$89</definedName>
    <definedName name="IQRCompaniesN890" localSheetId="32" hidden="1">[5]Companies!$O$890:$S$890</definedName>
    <definedName name="IQRCompaniesN890" hidden="1">[5]Companies!$O$890:$S$890</definedName>
    <definedName name="IQRCompaniesN892" localSheetId="32" hidden="1">[5]Companies!$O$892:$P$892</definedName>
    <definedName name="IQRCompaniesN892" hidden="1">[5]Companies!$O$892:$P$892</definedName>
    <definedName name="IQRCompaniesN893" localSheetId="32" hidden="1">[5]Companies!$O$893</definedName>
    <definedName name="IQRCompaniesN893" hidden="1">[5]Companies!$O$893</definedName>
    <definedName name="IQRCompaniesN894" localSheetId="32" hidden="1">[5]Companies!$O$894:$R$894</definedName>
    <definedName name="IQRCompaniesN894" hidden="1">[5]Companies!$O$894:$R$894</definedName>
    <definedName name="IQRCompaniesN895" localSheetId="32" hidden="1">[5]Companies!$O$895</definedName>
    <definedName name="IQRCompaniesN895" hidden="1">[5]Companies!$O$895</definedName>
    <definedName name="IQRCompaniesN898" localSheetId="32" hidden="1">[5]Companies!$O$898:$Q$898</definedName>
    <definedName name="IQRCompaniesN898" hidden="1">[5]Companies!$O$898:$Q$898</definedName>
    <definedName name="IQRCompaniesN899" localSheetId="32" hidden="1">[5]Companies!$O$899</definedName>
    <definedName name="IQRCompaniesN899" hidden="1">[5]Companies!$O$899</definedName>
    <definedName name="IQRCompaniesN90" hidden="1">[4]Companies!$O$90:$S$90</definedName>
    <definedName name="IQRCompaniesN900" localSheetId="32" hidden="1">[5]Companies!$O$900:$S$900</definedName>
    <definedName name="IQRCompaniesN900" hidden="1">[5]Companies!$O$900:$S$900</definedName>
    <definedName name="IQRCompaniesN901" localSheetId="32" hidden="1">[5]Companies!$O$901:$P$901</definedName>
    <definedName name="IQRCompaniesN901" hidden="1">[5]Companies!$O$901:$P$901</definedName>
    <definedName name="IQRCompaniesN902" localSheetId="32" hidden="1">[5]Companies!$O$902:$S$902</definedName>
    <definedName name="IQRCompaniesN902" hidden="1">[5]Companies!$O$902:$S$902</definedName>
    <definedName name="IQRCompaniesN906" localSheetId="32" hidden="1">[5]Companies!$O$906:$Q$906</definedName>
    <definedName name="IQRCompaniesN906" hidden="1">[5]Companies!$O$906:$Q$906</definedName>
    <definedName name="IQRCompaniesN907" localSheetId="32" hidden="1">[5]Companies!$O$907</definedName>
    <definedName name="IQRCompaniesN907" hidden="1">[5]Companies!$O$907</definedName>
    <definedName name="IQRCompaniesN908" localSheetId="32" hidden="1">[5]Companies!$O$908:$Q$908</definedName>
    <definedName name="IQRCompaniesN908" hidden="1">[5]Companies!$O$908:$Q$908</definedName>
    <definedName name="IQRCompaniesN909" localSheetId="32" hidden="1">[5]Companies!$O$909:$S$909</definedName>
    <definedName name="IQRCompaniesN909" hidden="1">[5]Companies!$O$909:$S$909</definedName>
    <definedName name="IQRCompaniesN91" hidden="1">[4]Companies!$O$91:$S$91</definedName>
    <definedName name="IQRCompaniesN910" localSheetId="32" hidden="1">[5]Companies!$O$910:$S$910</definedName>
    <definedName name="IQRCompaniesN910" hidden="1">[5]Companies!$O$910:$S$910</definedName>
    <definedName name="IQRCompaniesN911" localSheetId="32" hidden="1">[5]Companies!$O$911:$P$911</definedName>
    <definedName name="IQRCompaniesN911" hidden="1">[5]Companies!$O$911:$P$911</definedName>
    <definedName name="IQRCompaniesN912" localSheetId="32" hidden="1">[5]Companies!$O$912</definedName>
    <definedName name="IQRCompaniesN912" hidden="1">[5]Companies!$O$912</definedName>
    <definedName name="IQRCompaniesN913" localSheetId="32" hidden="1">[5]Companies!$O$913</definedName>
    <definedName name="IQRCompaniesN913" hidden="1">[5]Companies!$O$913</definedName>
    <definedName name="IQRCompaniesN914" localSheetId="32" hidden="1">[5]Companies!$O$914:$P$914</definedName>
    <definedName name="IQRCompaniesN914" hidden="1">[5]Companies!$O$914:$P$914</definedName>
    <definedName name="IQRCompaniesN915" localSheetId="32" hidden="1">[5]Companies!$O$915</definedName>
    <definedName name="IQRCompaniesN915" hidden="1">[5]Companies!$O$915</definedName>
    <definedName name="IQRCompaniesN916" localSheetId="32" hidden="1">[5]Companies!$O$916:$S$916</definedName>
    <definedName name="IQRCompaniesN916" hidden="1">[5]Companies!$O$916:$S$916</definedName>
    <definedName name="IQRCompaniesN917" localSheetId="32" hidden="1">[5]Companies!$O$917</definedName>
    <definedName name="IQRCompaniesN917" hidden="1">[5]Companies!$O$917</definedName>
    <definedName name="IQRCompaniesN918" localSheetId="32" hidden="1">[5]Companies!$O$918:$Q$918</definedName>
    <definedName name="IQRCompaniesN918" hidden="1">[5]Companies!$O$918:$Q$918</definedName>
    <definedName name="IQRCompaniesN919" localSheetId="32" hidden="1">[5]Companies!$O$919:$S$919</definedName>
    <definedName name="IQRCompaniesN919" hidden="1">[5]Companies!$O$919:$S$919</definedName>
    <definedName name="IQRCompaniesN92" hidden="1">[4]Companies!$O$92:$S$92</definedName>
    <definedName name="IQRCompaniesN920" localSheetId="32" hidden="1">[5]Companies!$O$920</definedName>
    <definedName name="IQRCompaniesN920" hidden="1">[5]Companies!$O$920</definedName>
    <definedName name="IQRCompaniesN921" localSheetId="32" hidden="1">[5]Companies!$O$921</definedName>
    <definedName name="IQRCompaniesN921" hidden="1">[5]Companies!$O$921</definedName>
    <definedName name="IQRCompaniesN922" localSheetId="32" hidden="1">[5]Companies!$O$922:$Q$922</definedName>
    <definedName name="IQRCompaniesN922" hidden="1">[5]Companies!$O$922:$Q$922</definedName>
    <definedName name="IQRCompaniesN923" localSheetId="32" hidden="1">[5]Companies!$O$923:$P$923</definedName>
    <definedName name="IQRCompaniesN923" hidden="1">[5]Companies!$O$923:$P$923</definedName>
    <definedName name="IQRCompaniesN924" localSheetId="32" hidden="1">[5]Companies!$O$924:$S$924</definedName>
    <definedName name="IQRCompaniesN924" hidden="1">[5]Companies!$O$924:$S$924</definedName>
    <definedName name="IQRCompaniesN925" localSheetId="32" hidden="1">[5]Companies!$O$925</definedName>
    <definedName name="IQRCompaniesN925" hidden="1">[5]Companies!$O$925</definedName>
    <definedName name="IQRCompaniesN926" localSheetId="32" hidden="1">[5]Companies!$O$926:$P$926</definedName>
    <definedName name="IQRCompaniesN926" hidden="1">[5]Companies!$O$926:$P$926</definedName>
    <definedName name="IQRCompaniesN927" localSheetId="32" hidden="1">[5]Companies!$O$927</definedName>
    <definedName name="IQRCompaniesN927" hidden="1">[5]Companies!$O$927</definedName>
    <definedName name="IQRCompaniesN928" localSheetId="32" hidden="1">[5]Companies!$O$928</definedName>
    <definedName name="IQRCompaniesN928" hidden="1">[5]Companies!$O$928</definedName>
    <definedName name="IQRCompaniesN929" localSheetId="32" hidden="1">[5]Companies!$O$929</definedName>
    <definedName name="IQRCompaniesN929" hidden="1">[5]Companies!$O$929</definedName>
    <definedName name="IQRCompaniesN93" hidden="1">[4]Companies!$O$93</definedName>
    <definedName name="IQRCompaniesN930" localSheetId="32" hidden="1">[5]Companies!$O$930:$S$930</definedName>
    <definedName name="IQRCompaniesN930" hidden="1">[5]Companies!$O$930:$S$930</definedName>
    <definedName name="IQRCompaniesN931" localSheetId="32" hidden="1">[5]Companies!$O$931</definedName>
    <definedName name="IQRCompaniesN931" hidden="1">[5]Companies!$O$931</definedName>
    <definedName name="IQRCompaniesN932" localSheetId="32" hidden="1">[5]Companies!$O$932</definedName>
    <definedName name="IQRCompaniesN932" hidden="1">[5]Companies!$O$932</definedName>
    <definedName name="IQRCompaniesN933" localSheetId="32" hidden="1">[5]Companies!$O$933:$S$933</definedName>
    <definedName name="IQRCompaniesN933" hidden="1">[5]Companies!$O$933:$S$933</definedName>
    <definedName name="IQRCompaniesN934" localSheetId="32" hidden="1">[5]Companies!$O$934:$P$934</definedName>
    <definedName name="IQRCompaniesN934" hidden="1">[5]Companies!$O$934:$P$934</definedName>
    <definedName name="IQRCompaniesN935" localSheetId="32" hidden="1">[5]Companies!$O$935:$Q$935</definedName>
    <definedName name="IQRCompaniesN935" hidden="1">[5]Companies!$O$935:$Q$935</definedName>
    <definedName name="IQRCompaniesN936" localSheetId="32" hidden="1">[5]Companies!$O$936</definedName>
    <definedName name="IQRCompaniesN936" hidden="1">[5]Companies!$O$936</definedName>
    <definedName name="IQRCompaniesN937" localSheetId="32" hidden="1">[5]Companies!$O$937</definedName>
    <definedName name="IQRCompaniesN937" hidden="1">[5]Companies!$O$937</definedName>
    <definedName name="IQRCompaniesN938" localSheetId="32" hidden="1">[5]Companies!$O$938:$P$938</definedName>
    <definedName name="IQRCompaniesN938" hidden="1">[5]Companies!$O$938:$P$938</definedName>
    <definedName name="IQRCompaniesN939" localSheetId="32" hidden="1">[5]Companies!$O$939</definedName>
    <definedName name="IQRCompaniesN939" hidden="1">[5]Companies!$O$939</definedName>
    <definedName name="IQRCompaniesN94" hidden="1">[4]Companies!$O$94:$S$94</definedName>
    <definedName name="IQRCompaniesN940" localSheetId="32" hidden="1">[5]Companies!$O$940:$S$940</definedName>
    <definedName name="IQRCompaniesN940" hidden="1">[5]Companies!$O$940:$S$940</definedName>
    <definedName name="IQRCompaniesN941" localSheetId="32" hidden="1">[5]Companies!$O$941:$S$941</definedName>
    <definedName name="IQRCompaniesN941" hidden="1">[5]Companies!$O$941:$S$941</definedName>
    <definedName name="IQRCompaniesN942" localSheetId="32" hidden="1">[5]Companies!$O$942</definedName>
    <definedName name="IQRCompaniesN942" hidden="1">[5]Companies!$O$942</definedName>
    <definedName name="IQRCompaniesN943" localSheetId="32" hidden="1">[5]Companies!$O$943</definedName>
    <definedName name="IQRCompaniesN943" hidden="1">[5]Companies!$O$943</definedName>
    <definedName name="IQRCompaniesN944" localSheetId="32" hidden="1">[5]Companies!$O$944:$P$944</definedName>
    <definedName name="IQRCompaniesN944" hidden="1">[5]Companies!$O$944:$P$944</definedName>
    <definedName name="IQRCompaniesN945" localSheetId="32" hidden="1">[5]Companies!$O$945:$S$945</definedName>
    <definedName name="IQRCompaniesN945" hidden="1">[5]Companies!$O$945:$S$945</definedName>
    <definedName name="IQRCompaniesN946" localSheetId="32" hidden="1">[5]Companies!$O$946</definedName>
    <definedName name="IQRCompaniesN946" hidden="1">[5]Companies!$O$946</definedName>
    <definedName name="IQRCompaniesN947" localSheetId="32" hidden="1">[5]Companies!$O$947:$P$947</definedName>
    <definedName name="IQRCompaniesN947" hidden="1">[5]Companies!$O$947:$P$947</definedName>
    <definedName name="IQRCompaniesN948" localSheetId="32" hidden="1">[5]Companies!$O$948:$Q$948</definedName>
    <definedName name="IQRCompaniesN948" hidden="1">[5]Companies!$O$948:$Q$948</definedName>
    <definedName name="IQRCompaniesN949" localSheetId="32" hidden="1">[5]Companies!$O$949</definedName>
    <definedName name="IQRCompaniesN949" hidden="1">[5]Companies!$O$949</definedName>
    <definedName name="IQRCompaniesN95" hidden="1">[4]Companies!$O$95:$R$95</definedName>
    <definedName name="IQRCompaniesN950" localSheetId="32" hidden="1">[5]Companies!$O$950</definedName>
    <definedName name="IQRCompaniesN950" hidden="1">[5]Companies!$O$950</definedName>
    <definedName name="IQRCompaniesN951" localSheetId="32" hidden="1">[5]Companies!$O$951:$S$951</definedName>
    <definedName name="IQRCompaniesN951" hidden="1">[5]Companies!$O$951:$S$951</definedName>
    <definedName name="IQRCompaniesN952" localSheetId="32" hidden="1">[5]Companies!$O$952:$S$952</definedName>
    <definedName name="IQRCompaniesN952" hidden="1">[5]Companies!$O$952:$S$952</definedName>
    <definedName name="IQRCompaniesN953" localSheetId="32" hidden="1">[5]Companies!$O$953</definedName>
    <definedName name="IQRCompaniesN953" hidden="1">[5]Companies!$O$953</definedName>
    <definedName name="IQRCompaniesN954" localSheetId="32" hidden="1">[5]Companies!$O$954:$P$954</definedName>
    <definedName name="IQRCompaniesN954" hidden="1">[5]Companies!$O$954:$P$954</definedName>
    <definedName name="IQRCompaniesN955" localSheetId="32" hidden="1">[5]Companies!$O$955</definedName>
    <definedName name="IQRCompaniesN955" hidden="1">[5]Companies!$O$955</definedName>
    <definedName name="IQRCompaniesN956" localSheetId="32" hidden="1">[5]Companies!$O$956:$R$956</definedName>
    <definedName name="IQRCompaniesN956" hidden="1">[5]Companies!$O$956:$R$956</definedName>
    <definedName name="IQRCompaniesN957" localSheetId="32" hidden="1">[5]Companies!$O$957</definedName>
    <definedName name="IQRCompaniesN957" hidden="1">[5]Companies!$O$957</definedName>
    <definedName name="IQRCompaniesN958" localSheetId="32" hidden="1">[5]Companies!$O$958:$Q$958</definedName>
    <definedName name="IQRCompaniesN958" hidden="1">[5]Companies!$O$958:$Q$958</definedName>
    <definedName name="IQRCompaniesN959" localSheetId="32" hidden="1">[5]Companies!$O$959</definedName>
    <definedName name="IQRCompaniesN959" hidden="1">[5]Companies!$O$959</definedName>
    <definedName name="IQRCompaniesN96" hidden="1">[4]Companies!$O$96:$P$96</definedName>
    <definedName name="IQRCompaniesN960" localSheetId="32" hidden="1">[5]Companies!$O$960:$P$960</definedName>
    <definedName name="IQRCompaniesN960" hidden="1">[5]Companies!$O$960:$P$960</definedName>
    <definedName name="IQRCompaniesN961" localSheetId="32" hidden="1">[5]Companies!$O$961:$S$961</definedName>
    <definedName name="IQRCompaniesN961" hidden="1">[5]Companies!$O$961:$S$961</definedName>
    <definedName name="IQRCompaniesN962" localSheetId="32" hidden="1">[5]Companies!$O$962:$Q$962</definedName>
    <definedName name="IQRCompaniesN962" hidden="1">[5]Companies!$O$962:$Q$962</definedName>
    <definedName name="IQRCompaniesN963" localSheetId="32" hidden="1">[5]Companies!$O$963</definedName>
    <definedName name="IQRCompaniesN963" hidden="1">[5]Companies!$O$963</definedName>
    <definedName name="IQRCompaniesN964" localSheetId="32" hidden="1">[5]Companies!$O$964:$Q$964</definedName>
    <definedName name="IQRCompaniesN964" hidden="1">[5]Companies!$O$964:$Q$964</definedName>
    <definedName name="IQRCompaniesN965" localSheetId="32" hidden="1">[5]Companies!$O$965</definedName>
    <definedName name="IQRCompaniesN965" hidden="1">[5]Companies!$O$965</definedName>
    <definedName name="IQRCompaniesN966" localSheetId="32" hidden="1">[5]Companies!$O$966</definedName>
    <definedName name="IQRCompaniesN966" hidden="1">[5]Companies!$O$966</definedName>
    <definedName name="IQRCompaniesN967" localSheetId="32" hidden="1">[5]Companies!$O$967</definedName>
    <definedName name="IQRCompaniesN967" hidden="1">[5]Companies!$O$967</definedName>
    <definedName name="IQRCompaniesN968" localSheetId="32" hidden="1">[5]Companies!$O$968:$R$968</definedName>
    <definedName name="IQRCompaniesN968" hidden="1">[5]Companies!$O$968:$R$968</definedName>
    <definedName name="IQRCompaniesN969" localSheetId="32" hidden="1">[5]Companies!$O$969:$S$969</definedName>
    <definedName name="IQRCompaniesN969" hidden="1">[5]Companies!$O$969:$S$969</definedName>
    <definedName name="IQRCompaniesN97" hidden="1">[4]Companies!$O$97:$S$97</definedName>
    <definedName name="IQRCompaniesN970" localSheetId="32" hidden="1">[5]Companies!$O$970:$S$970</definedName>
    <definedName name="IQRCompaniesN970" hidden="1">[5]Companies!$O$970:$S$970</definedName>
    <definedName name="IQRCompaniesN971" localSheetId="32" hidden="1">[5]Companies!$O$971:$P$971</definedName>
    <definedName name="IQRCompaniesN971" hidden="1">[5]Companies!$O$971:$P$971</definedName>
    <definedName name="IQRCompaniesN972" localSheetId="32" hidden="1">[5]Companies!$O$972:$R$972</definedName>
    <definedName name="IQRCompaniesN972" hidden="1">[5]Companies!$O$972:$R$972</definedName>
    <definedName name="IQRCompaniesN973" localSheetId="32" hidden="1">[5]Companies!$O$973:$P$973</definedName>
    <definedName name="IQRCompaniesN973" hidden="1">[5]Companies!$O$973:$P$973</definedName>
    <definedName name="IQRCompaniesN974" localSheetId="32" hidden="1">[5]Companies!$O$974</definedName>
    <definedName name="IQRCompaniesN974" hidden="1">[5]Companies!$O$974</definedName>
    <definedName name="IQRCompaniesN975" localSheetId="32" hidden="1">[5]Companies!$O$975</definedName>
    <definedName name="IQRCompaniesN975" hidden="1">[5]Companies!$O$975</definedName>
    <definedName name="IQRCompaniesN976" localSheetId="32" hidden="1">[5]Companies!$O$976:$P$976</definedName>
    <definedName name="IQRCompaniesN976" hidden="1">[5]Companies!$O$976:$P$976</definedName>
    <definedName name="IQRCompaniesN977" localSheetId="32" hidden="1">[5]Companies!$O$977:$R$977</definedName>
    <definedName name="IQRCompaniesN977" hidden="1">[5]Companies!$O$977:$R$977</definedName>
    <definedName name="IQRCompaniesN978" localSheetId="32" hidden="1">[5]Companies!$O$978:$P$978</definedName>
    <definedName name="IQRCompaniesN978" hidden="1">[5]Companies!$O$978:$P$978</definedName>
    <definedName name="IQRCompaniesN979" localSheetId="32" hidden="1">[5]Companies!$O$979:$P$979</definedName>
    <definedName name="IQRCompaniesN979" hidden="1">[5]Companies!$O$979:$P$979</definedName>
    <definedName name="IQRCompaniesN98" hidden="1">[4]Companies!$O$98:$S$98</definedName>
    <definedName name="IQRCompaniesN980" localSheetId="32" hidden="1">[5]Companies!$O$980:$R$980</definedName>
    <definedName name="IQRCompaniesN980" hidden="1">[5]Companies!$O$980:$R$980</definedName>
    <definedName name="IQRCompaniesN981" localSheetId="32" hidden="1">[5]Companies!$O$981:$S$981</definedName>
    <definedName name="IQRCompaniesN981" hidden="1">[5]Companies!$O$981:$S$981</definedName>
    <definedName name="IQRCompaniesN982" localSheetId="32" hidden="1">[5]Companies!$O$982</definedName>
    <definedName name="IQRCompaniesN982" hidden="1">[5]Companies!$O$982</definedName>
    <definedName name="IQRCompaniesN983" localSheetId="32" hidden="1">[5]Companies!$O$983:$S$983</definedName>
    <definedName name="IQRCompaniesN983" hidden="1">[5]Companies!$O$983:$S$983</definedName>
    <definedName name="IQRCompaniesN984" localSheetId="32" hidden="1">[5]Companies!$O$984:$P$984</definedName>
    <definedName name="IQRCompaniesN984" hidden="1">[5]Companies!$O$984:$P$984</definedName>
    <definedName name="IQRCompaniesN985" localSheetId="32" hidden="1">[5]Companies!$O$985:$S$985</definedName>
    <definedName name="IQRCompaniesN985" hidden="1">[5]Companies!$O$985:$S$985</definedName>
    <definedName name="IQRCompaniesN986" localSheetId="32" hidden="1">[5]Companies!$O$986:$S$986</definedName>
    <definedName name="IQRCompaniesN986" hidden="1">[5]Companies!$O$986:$S$986</definedName>
    <definedName name="IQRCompaniesN987" localSheetId="32" hidden="1">[5]Companies!$O$987</definedName>
    <definedName name="IQRCompaniesN987" hidden="1">[5]Companies!$O$987</definedName>
    <definedName name="IQRCompaniesN988" localSheetId="32" hidden="1">[5]Companies!$O$988</definedName>
    <definedName name="IQRCompaniesN988" hidden="1">[5]Companies!$O$988</definedName>
    <definedName name="IQRCompaniesN989" localSheetId="32" hidden="1">[5]Companies!$O$989:$P$989</definedName>
    <definedName name="IQRCompaniesN989" hidden="1">[5]Companies!$O$989:$P$989</definedName>
    <definedName name="IQRCompaniesN99" hidden="1">[4]Companies!$O$99</definedName>
    <definedName name="IQRCompaniesN990" localSheetId="32" hidden="1">[5]Companies!$O$990:$P$990</definedName>
    <definedName name="IQRCompaniesN990" hidden="1">[5]Companies!$O$990:$P$990</definedName>
    <definedName name="IQRCompaniesN991" localSheetId="32" hidden="1">[5]Companies!$O$991:$S$991</definedName>
    <definedName name="IQRCompaniesN991" hidden="1">[5]Companies!$O$991:$S$991</definedName>
    <definedName name="IQRCompaniesN992" localSheetId="32" hidden="1">[5]Companies!$O$992</definedName>
    <definedName name="IQRCompaniesN992" hidden="1">[5]Companies!$O$992</definedName>
    <definedName name="IQRCompaniesN993" localSheetId="32" hidden="1">[5]Companies!$O$993:$P$993</definedName>
    <definedName name="IQRCompaniesN993" hidden="1">[5]Companies!$O$993:$P$993</definedName>
    <definedName name="IQRCompaniesN994" localSheetId="32" hidden="1">[5]Companies!$O$994</definedName>
    <definedName name="IQRCompaniesN994" hidden="1">[5]Companies!$O$994</definedName>
    <definedName name="IQRCompaniesN995" localSheetId="32" hidden="1">[5]Companies!$O$995:$P$995</definedName>
    <definedName name="IQRCompaniesN995" hidden="1">[5]Companies!$O$995:$P$995</definedName>
    <definedName name="IQRCompaniesN996" localSheetId="32" hidden="1">[5]Companies!$O$996:$S$996</definedName>
    <definedName name="IQRCompaniesN996" hidden="1">[5]Companies!$O$996:$S$996</definedName>
    <definedName name="IQRCompaniesN997" localSheetId="32" hidden="1">[5]Companies!$O$997:$S$997</definedName>
    <definedName name="IQRCompaniesN997" hidden="1">[5]Companies!$O$997:$S$997</definedName>
    <definedName name="IQRCompaniesN998" localSheetId="32" hidden="1">[5]Companies!$O$998</definedName>
    <definedName name="IQRCompaniesN998" hidden="1">[5]Companies!$O$998</definedName>
    <definedName name="IQRCompaniesN999" localSheetId="32" hidden="1">[5]Companies!$O$999:$R$999</definedName>
    <definedName name="IQRCompaniesN999" hidden="1">[5]Companies!$O$999:$R$999</definedName>
    <definedName name="IQRComparablesH6" hidden="1">#REF!</definedName>
    <definedName name="IQRCompsH4" hidden="1">#REF!</definedName>
    <definedName name="IQRCompsH5" hidden="1">#REF!</definedName>
    <definedName name="IQRCompsH6" hidden="1">#REF!</definedName>
    <definedName name="IQRConsensusAA17" localSheetId="13" hidden="1">#REF!</definedName>
    <definedName name="IQRConsensusAA17" localSheetId="32" hidden="1">#REF!</definedName>
    <definedName name="IQRConsensusAA17" localSheetId="8" hidden="1">#REF!</definedName>
    <definedName name="IQRConsensusAA17" hidden="1">#REF!</definedName>
    <definedName name="IQRConsensusAA18" localSheetId="13" hidden="1">#REF!</definedName>
    <definedName name="IQRConsensusAA18" localSheetId="32" hidden="1">#REF!</definedName>
    <definedName name="IQRConsensusAA18" localSheetId="8" hidden="1">#REF!</definedName>
    <definedName name="IQRConsensusAA18" hidden="1">#REF!</definedName>
    <definedName name="IQRConsensusAA19" localSheetId="13" hidden="1">#REF!</definedName>
    <definedName name="IQRConsensusAA19" localSheetId="32" hidden="1">#REF!</definedName>
    <definedName name="IQRConsensusAA19" localSheetId="8" hidden="1">#REF!</definedName>
    <definedName name="IQRConsensusAA19" hidden="1">#REF!</definedName>
    <definedName name="IQRConsensusAA21" localSheetId="32" hidden="1">[8]Consensus!$AA$22:$AA$109</definedName>
    <definedName name="IQRConsensusAA21" localSheetId="8" hidden="1">[8]Consensus!$AA$22:$AA$109</definedName>
    <definedName name="IQRConsensusAA21" hidden="1">[8]Consensus!$AA$22:$AA$109</definedName>
    <definedName name="IQRConsensusAB17" localSheetId="13" hidden="1">#REF!</definedName>
    <definedName name="IQRConsensusAB17" localSheetId="32" hidden="1">#REF!</definedName>
    <definedName name="IQRConsensusAB17" localSheetId="8" hidden="1">#REF!</definedName>
    <definedName name="IQRConsensusAB17" hidden="1">#REF!</definedName>
    <definedName name="IQRConsensusAB18" localSheetId="13" hidden="1">#REF!</definedName>
    <definedName name="IQRConsensusAB18" localSheetId="32" hidden="1">#REF!</definedName>
    <definedName name="IQRConsensusAB18" localSheetId="8" hidden="1">#REF!</definedName>
    <definedName name="IQRConsensusAB18" hidden="1">#REF!</definedName>
    <definedName name="IQRConsensusAB19" localSheetId="13" hidden="1">#REF!</definedName>
    <definedName name="IQRConsensusAB19" localSheetId="32" hidden="1">#REF!</definedName>
    <definedName name="IQRConsensusAB19" localSheetId="8" hidden="1">#REF!</definedName>
    <definedName name="IQRConsensusAB19" hidden="1">#REF!</definedName>
    <definedName name="IQRConsensusAB21" localSheetId="32" hidden="1">[8]Consensus!$AB$22:$AB$109</definedName>
    <definedName name="IQRConsensusAB21" localSheetId="8" hidden="1">[8]Consensus!$AB$22:$AB$109</definedName>
    <definedName name="IQRConsensusAB21" hidden="1">[8]Consensus!$AB$22:$AB$109</definedName>
    <definedName name="IQRConsensusAC17" localSheetId="13" hidden="1">#REF!</definedName>
    <definedName name="IQRConsensusAC17" localSheetId="32" hidden="1">#REF!</definedName>
    <definedName name="IQRConsensusAC17" localSheetId="8" hidden="1">#REF!</definedName>
    <definedName name="IQRConsensusAC17" hidden="1">#REF!</definedName>
    <definedName name="IQRConsensusAC18" localSheetId="13" hidden="1">#REF!</definedName>
    <definedName name="IQRConsensusAC18" localSheetId="32" hidden="1">#REF!</definedName>
    <definedName name="IQRConsensusAC18" localSheetId="8" hidden="1">#REF!</definedName>
    <definedName name="IQRConsensusAC18" hidden="1">#REF!</definedName>
    <definedName name="IQRConsensusAC19" localSheetId="13" hidden="1">#REF!</definedName>
    <definedName name="IQRConsensusAC19" localSheetId="32" hidden="1">#REF!</definedName>
    <definedName name="IQRConsensusAC19" localSheetId="8" hidden="1">#REF!</definedName>
    <definedName name="IQRConsensusAC19" hidden="1">#REF!</definedName>
    <definedName name="IQRConsensusAC21" localSheetId="32" hidden="1">[8]Consensus!$AC$22:$AC$109</definedName>
    <definedName name="IQRConsensusAC21" localSheetId="8" hidden="1">[8]Consensus!$AC$22:$AC$109</definedName>
    <definedName name="IQRConsensusAC21" hidden="1">[8]Consensus!$AC$22:$AC$109</definedName>
    <definedName name="IQRConsensusAD17" localSheetId="13" hidden="1">#REF!</definedName>
    <definedName name="IQRConsensusAD17" localSheetId="32" hidden="1">#REF!</definedName>
    <definedName name="IQRConsensusAD17" localSheetId="8" hidden="1">#REF!</definedName>
    <definedName name="IQRConsensusAD17" hidden="1">#REF!</definedName>
    <definedName name="IQRConsensusAD18" localSheetId="13" hidden="1">#REF!</definedName>
    <definedName name="IQRConsensusAD18" localSheetId="32" hidden="1">#REF!</definedName>
    <definedName name="IQRConsensusAD18" localSheetId="8" hidden="1">#REF!</definedName>
    <definedName name="IQRConsensusAD18" hidden="1">#REF!</definedName>
    <definedName name="IQRConsensusAD19" localSheetId="13" hidden="1">#REF!</definedName>
    <definedName name="IQRConsensusAD19" localSheetId="32" hidden="1">#REF!</definedName>
    <definedName name="IQRConsensusAD19" localSheetId="8" hidden="1">#REF!</definedName>
    <definedName name="IQRConsensusAD19" hidden="1">#REF!</definedName>
    <definedName name="IQRConsensusAD21" localSheetId="32" hidden="1">[8]Consensus!$AD$22:$AD$109</definedName>
    <definedName name="IQRConsensusAD21" localSheetId="8" hidden="1">[8]Consensus!$AD$22:$AD$109</definedName>
    <definedName name="IQRConsensusAD21" hidden="1">[8]Consensus!$AD$22:$AD$109</definedName>
    <definedName name="IQRConsensusAE17" localSheetId="13" hidden="1">#REF!</definedName>
    <definedName name="IQRConsensusAE17" localSheetId="32" hidden="1">#REF!</definedName>
    <definedName name="IQRConsensusAE17" localSheetId="8" hidden="1">#REF!</definedName>
    <definedName name="IQRConsensusAE17" hidden="1">#REF!</definedName>
    <definedName name="IQRConsensusAE18" localSheetId="13" hidden="1">#REF!</definedName>
    <definedName name="IQRConsensusAE18" localSheetId="32" hidden="1">#REF!</definedName>
    <definedName name="IQRConsensusAE18" localSheetId="8" hidden="1">#REF!</definedName>
    <definedName name="IQRConsensusAE18" hidden="1">#REF!</definedName>
    <definedName name="IQRConsensusAE19" localSheetId="13" hidden="1">#REF!</definedName>
    <definedName name="IQRConsensusAE19" localSheetId="32" hidden="1">#REF!</definedName>
    <definedName name="IQRConsensusAE19" localSheetId="8" hidden="1">#REF!</definedName>
    <definedName name="IQRConsensusAE19" hidden="1">#REF!</definedName>
    <definedName name="IQRConsensusAE21" localSheetId="32" hidden="1">[8]Consensus!$AE$22:$AE$109</definedName>
    <definedName name="IQRConsensusAE21" localSheetId="8" hidden="1">[8]Consensus!$AE$22:$AE$109</definedName>
    <definedName name="IQRConsensusAE21" hidden="1">[8]Consensus!$AE$22:$AE$109</definedName>
    <definedName name="IQRConsensusAF17" localSheetId="13" hidden="1">#REF!</definedName>
    <definedName name="IQRConsensusAF17" localSheetId="32" hidden="1">#REF!</definedName>
    <definedName name="IQRConsensusAF17" localSheetId="8" hidden="1">#REF!</definedName>
    <definedName name="IQRConsensusAF17" hidden="1">#REF!</definedName>
    <definedName name="IQRConsensusAG17" localSheetId="13" hidden="1">#REF!</definedName>
    <definedName name="IQRConsensusAG17" localSheetId="32" hidden="1">#REF!</definedName>
    <definedName name="IQRConsensusAG17" localSheetId="8" hidden="1">#REF!</definedName>
    <definedName name="IQRConsensusAG17" hidden="1">#REF!</definedName>
    <definedName name="IQRConsensusAH17" localSheetId="13" hidden="1">#REF!</definedName>
    <definedName name="IQRConsensusAH17" localSheetId="32" hidden="1">#REF!</definedName>
    <definedName name="IQRConsensusAH17" localSheetId="8" hidden="1">#REF!</definedName>
    <definedName name="IQRConsensusAH17" hidden="1">#REF!</definedName>
    <definedName name="IQRConsensusAI17" localSheetId="13" hidden="1">#REF!</definedName>
    <definedName name="IQRConsensusAI17" localSheetId="32" hidden="1">#REF!</definedName>
    <definedName name="IQRConsensusAI17" localSheetId="8" hidden="1">#REF!</definedName>
    <definedName name="IQRConsensusAI17" hidden="1">#REF!</definedName>
    <definedName name="IQRConsensusAJ17" localSheetId="13" hidden="1">#REF!</definedName>
    <definedName name="IQRConsensusAJ17" localSheetId="32" hidden="1">#REF!</definedName>
    <definedName name="IQRConsensusAJ17" localSheetId="8" hidden="1">#REF!</definedName>
    <definedName name="IQRConsensusAJ17" hidden="1">#REF!</definedName>
    <definedName name="IQRConsensusAK17" localSheetId="13" hidden="1">#REF!</definedName>
    <definedName name="IQRConsensusAK17" localSheetId="32" hidden="1">#REF!</definedName>
    <definedName name="IQRConsensusAK17" localSheetId="8" hidden="1">#REF!</definedName>
    <definedName name="IQRConsensusAK17" hidden="1">#REF!</definedName>
    <definedName name="IQRConsensusAL17" localSheetId="13" hidden="1">#REF!</definedName>
    <definedName name="IQRConsensusAL17" localSheetId="32" hidden="1">#REF!</definedName>
    <definedName name="IQRConsensusAL17" localSheetId="8" hidden="1">#REF!</definedName>
    <definedName name="IQRConsensusAL17" hidden="1">#REF!</definedName>
    <definedName name="IQRConsensusAM17" localSheetId="13" hidden="1">#REF!</definedName>
    <definedName name="IQRConsensusAM17" localSheetId="32" hidden="1">#REF!</definedName>
    <definedName name="IQRConsensusAM17" localSheetId="8" hidden="1">#REF!</definedName>
    <definedName name="IQRConsensusAM17" hidden="1">#REF!</definedName>
    <definedName name="IQRConsensusAN17" localSheetId="13" hidden="1">#REF!</definedName>
    <definedName name="IQRConsensusAN17" localSheetId="32" hidden="1">#REF!</definedName>
    <definedName name="IQRConsensusAN17" localSheetId="8" hidden="1">#REF!</definedName>
    <definedName name="IQRConsensusAN17" hidden="1">#REF!</definedName>
    <definedName name="IQRConsensusAO17" localSheetId="13" hidden="1">#REF!</definedName>
    <definedName name="IQRConsensusAO17" localSheetId="32" hidden="1">#REF!</definedName>
    <definedName name="IQRConsensusAO17" localSheetId="8" hidden="1">#REF!</definedName>
    <definedName name="IQRConsensusAO17" hidden="1">#REF!</definedName>
    <definedName name="IQRConsensusAP17" localSheetId="13" hidden="1">#REF!</definedName>
    <definedName name="IQRConsensusAP17" localSheetId="32" hidden="1">#REF!</definedName>
    <definedName name="IQRConsensusAP17" localSheetId="8" hidden="1">#REF!</definedName>
    <definedName name="IQRConsensusAP17" hidden="1">#REF!</definedName>
    <definedName name="IQRConsensusAQ17" localSheetId="13" hidden="1">#REF!</definedName>
    <definedName name="IQRConsensusAQ17" localSheetId="32" hidden="1">#REF!</definedName>
    <definedName name="IQRConsensusAQ17" localSheetId="8" hidden="1">#REF!</definedName>
    <definedName name="IQRConsensusAQ17" hidden="1">#REF!</definedName>
    <definedName name="IQRConsensusAU17" localSheetId="13" hidden="1">#REF!</definedName>
    <definedName name="IQRConsensusAU17" localSheetId="32" hidden="1">#REF!</definedName>
    <definedName name="IQRConsensusAU17" localSheetId="8" hidden="1">#REF!</definedName>
    <definedName name="IQRConsensusAU17" hidden="1">#REF!</definedName>
    <definedName name="IQRConsensusAV17" localSheetId="13" hidden="1">#REF!</definedName>
    <definedName name="IQRConsensusAV17" localSheetId="32" hidden="1">#REF!</definedName>
    <definedName name="IQRConsensusAV17" localSheetId="8" hidden="1">#REF!</definedName>
    <definedName name="IQRConsensusAV17" hidden="1">#REF!</definedName>
    <definedName name="IQRConsensusAW17" localSheetId="13" hidden="1">#REF!</definedName>
    <definedName name="IQRConsensusAW17" localSheetId="32" hidden="1">#REF!</definedName>
    <definedName name="IQRConsensusAW17" localSheetId="8" hidden="1">#REF!</definedName>
    <definedName name="IQRConsensusAW17" hidden="1">#REF!</definedName>
    <definedName name="IQRConsensusAX17" localSheetId="13" hidden="1">#REF!</definedName>
    <definedName name="IQRConsensusAX17" localSheetId="32" hidden="1">#REF!</definedName>
    <definedName name="IQRConsensusAX17" localSheetId="8" hidden="1">#REF!</definedName>
    <definedName name="IQRConsensusAX17" hidden="1">#REF!</definedName>
    <definedName name="IQRConsensusAY17" localSheetId="13" hidden="1">#REF!</definedName>
    <definedName name="IQRConsensusAY17" localSheetId="32" hidden="1">#REF!</definedName>
    <definedName name="IQRConsensusAY17" localSheetId="8" hidden="1">#REF!</definedName>
    <definedName name="IQRConsensusAY17" hidden="1">#REF!</definedName>
    <definedName name="IQRConsensusAZ17" localSheetId="13" hidden="1">#REF!</definedName>
    <definedName name="IQRConsensusAZ17" localSheetId="32" hidden="1">#REF!</definedName>
    <definedName name="IQRConsensusAZ17" localSheetId="8" hidden="1">#REF!</definedName>
    <definedName name="IQRConsensusAZ17" hidden="1">#REF!</definedName>
    <definedName name="IQRConsensusB35" localSheetId="13" hidden="1">#REF!</definedName>
    <definedName name="IQRConsensusB35" localSheetId="32" hidden="1">#REF!</definedName>
    <definedName name="IQRConsensusB35" localSheetId="8" hidden="1">#REF!</definedName>
    <definedName name="IQRConsensusB35" hidden="1">#REF!</definedName>
    <definedName name="IQRConsensusB36" localSheetId="13" hidden="1">#REF!</definedName>
    <definedName name="IQRConsensusB36" localSheetId="32" hidden="1">#REF!</definedName>
    <definedName name="IQRConsensusB36" localSheetId="8" hidden="1">#REF!</definedName>
    <definedName name="IQRConsensusB36" hidden="1">#REF!</definedName>
    <definedName name="IQRConsensusB38" localSheetId="13" hidden="1">#REF!</definedName>
    <definedName name="IQRConsensusB38" localSheetId="32" hidden="1">#REF!</definedName>
    <definedName name="IQRConsensusB38" localSheetId="8" hidden="1">#REF!</definedName>
    <definedName name="IQRConsensusB38" hidden="1">#REF!</definedName>
    <definedName name="IQRConsensusB40" localSheetId="13" hidden="1">#REF!</definedName>
    <definedName name="IQRConsensusB40" localSheetId="32" hidden="1">#REF!</definedName>
    <definedName name="IQRConsensusB40" localSheetId="8" hidden="1">#REF!</definedName>
    <definedName name="IQRConsensusB40" hidden="1">#REF!</definedName>
    <definedName name="IQRConsensusB41" localSheetId="13" hidden="1">#REF!</definedName>
    <definedName name="IQRConsensusB41" localSheetId="32" hidden="1">#REF!</definedName>
    <definedName name="IQRConsensusB41" localSheetId="8" hidden="1">#REF!</definedName>
    <definedName name="IQRConsensusB41" hidden="1">#REF!</definedName>
    <definedName name="IQRConsensusB43" localSheetId="13" hidden="1">#REF!</definedName>
    <definedName name="IQRConsensusB43" localSheetId="32" hidden="1">#REF!</definedName>
    <definedName name="IQRConsensusB43" localSheetId="8" hidden="1">#REF!</definedName>
    <definedName name="IQRConsensusB43" hidden="1">#REF!</definedName>
    <definedName name="IQRConsensusB44" localSheetId="13" hidden="1">#REF!</definedName>
    <definedName name="IQRConsensusB44" localSheetId="32" hidden="1">#REF!</definedName>
    <definedName name="IQRConsensusB44" localSheetId="8" hidden="1">#REF!</definedName>
    <definedName name="IQRConsensusB44" hidden="1">#REF!</definedName>
    <definedName name="IQRConsensusBA17" localSheetId="13" hidden="1">#REF!</definedName>
    <definedName name="IQRConsensusBA17" localSheetId="32" hidden="1">#REF!</definedName>
    <definedName name="IQRConsensusBA17" localSheetId="8" hidden="1">#REF!</definedName>
    <definedName name="IQRConsensusBA17" hidden="1">#REF!</definedName>
    <definedName name="IQRConsensusBB17" localSheetId="13" hidden="1">#REF!</definedName>
    <definedName name="IQRConsensusBB17" localSheetId="32" hidden="1">#REF!</definedName>
    <definedName name="IQRConsensusBB17" localSheetId="8" hidden="1">#REF!</definedName>
    <definedName name="IQRConsensusBB17" hidden="1">#REF!</definedName>
    <definedName name="IQRConsensusBC17" localSheetId="13" hidden="1">#REF!</definedName>
    <definedName name="IQRConsensusBC17" localSheetId="32" hidden="1">#REF!</definedName>
    <definedName name="IQRConsensusBC17" localSheetId="8" hidden="1">#REF!</definedName>
    <definedName name="IQRConsensusBC17" hidden="1">#REF!</definedName>
    <definedName name="IQRConsensusBD17" localSheetId="13" hidden="1">#REF!</definedName>
    <definedName name="IQRConsensusBD17" localSheetId="32" hidden="1">#REF!</definedName>
    <definedName name="IQRConsensusBD17" localSheetId="8" hidden="1">#REF!</definedName>
    <definedName name="IQRConsensusBD17" hidden="1">#REF!</definedName>
    <definedName name="IQRConsensusBE17" localSheetId="13" hidden="1">#REF!</definedName>
    <definedName name="IQRConsensusBE17" localSheetId="32" hidden="1">#REF!</definedName>
    <definedName name="IQRConsensusBE17" localSheetId="8" hidden="1">#REF!</definedName>
    <definedName name="IQRConsensusBE17" hidden="1">#REF!</definedName>
    <definedName name="IQRConsensusBF17" localSheetId="13" hidden="1">#REF!</definedName>
    <definedName name="IQRConsensusBF17" localSheetId="32" hidden="1">#REF!</definedName>
    <definedName name="IQRConsensusBF17" localSheetId="8" hidden="1">#REF!</definedName>
    <definedName name="IQRConsensusBF17" hidden="1">#REF!</definedName>
    <definedName name="IQRConsensusBG17" localSheetId="13" hidden="1">#REF!</definedName>
    <definedName name="IQRConsensusBG17" localSheetId="32" hidden="1">#REF!</definedName>
    <definedName name="IQRConsensusBG17" localSheetId="8" hidden="1">#REF!</definedName>
    <definedName name="IQRConsensusBG17" hidden="1">#REF!</definedName>
    <definedName name="IQRConsensusBH17" localSheetId="13" hidden="1">#REF!</definedName>
    <definedName name="IQRConsensusBH17" localSheetId="32" hidden="1">#REF!</definedName>
    <definedName name="IQRConsensusBH17" localSheetId="8" hidden="1">#REF!</definedName>
    <definedName name="IQRConsensusBH17" hidden="1">#REF!</definedName>
    <definedName name="IQRConsensusBI17" localSheetId="13" hidden="1">#REF!</definedName>
    <definedName name="IQRConsensusBI17" localSheetId="32" hidden="1">#REF!</definedName>
    <definedName name="IQRConsensusBI17" localSheetId="8" hidden="1">#REF!</definedName>
    <definedName name="IQRConsensusBI17" hidden="1">#REF!</definedName>
    <definedName name="IQRConsensusBJ17" localSheetId="13" hidden="1">#REF!</definedName>
    <definedName name="IQRConsensusBJ17" localSheetId="32" hidden="1">#REF!</definedName>
    <definedName name="IQRConsensusBJ17" localSheetId="8" hidden="1">#REF!</definedName>
    <definedName name="IQRConsensusBJ17" hidden="1">#REF!</definedName>
    <definedName name="IQRConsensusBK17" localSheetId="13" hidden="1">#REF!</definedName>
    <definedName name="IQRConsensusBK17" localSheetId="32" hidden="1">#REF!</definedName>
    <definedName name="IQRConsensusBK17" localSheetId="8" hidden="1">#REF!</definedName>
    <definedName name="IQRConsensusBK17" hidden="1">#REF!</definedName>
    <definedName name="IQRConsensusC35" localSheetId="13" hidden="1">#REF!</definedName>
    <definedName name="IQRConsensusC35" localSheetId="32" hidden="1">#REF!</definedName>
    <definedName name="IQRConsensusC35" localSheetId="8" hidden="1">#REF!</definedName>
    <definedName name="IQRConsensusC35" hidden="1">#REF!</definedName>
    <definedName name="IQRConsensusC38" localSheetId="13" hidden="1">#REF!</definedName>
    <definedName name="IQRConsensusC38" localSheetId="32" hidden="1">#REF!</definedName>
    <definedName name="IQRConsensusC38" localSheetId="8" hidden="1">#REF!</definedName>
    <definedName name="IQRConsensusC38" hidden="1">#REF!</definedName>
    <definedName name="IQRConsensusH32" localSheetId="13" hidden="1">#REF!</definedName>
    <definedName name="IQRConsensusH32" localSheetId="32" hidden="1">#REF!</definedName>
    <definedName name="IQRConsensusH32" localSheetId="8" hidden="1">#REF!</definedName>
    <definedName name="IQRConsensusH32" hidden="1">#REF!</definedName>
    <definedName name="IQRConsensusH35" localSheetId="13" hidden="1">#REF!</definedName>
    <definedName name="IQRConsensusH35" localSheetId="32" hidden="1">#REF!</definedName>
    <definedName name="IQRConsensusH35" localSheetId="8" hidden="1">#REF!</definedName>
    <definedName name="IQRConsensusH35" hidden="1">#REF!</definedName>
    <definedName name="IQRConsensusI32" localSheetId="13" hidden="1">#REF!</definedName>
    <definedName name="IQRConsensusI32" localSheetId="32" hidden="1">#REF!</definedName>
    <definedName name="IQRConsensusI32" localSheetId="8" hidden="1">#REF!</definedName>
    <definedName name="IQRConsensusI32" hidden="1">#REF!</definedName>
    <definedName name="IQRConsensusI35" localSheetId="13" hidden="1">#REF!</definedName>
    <definedName name="IQRConsensusI35" localSheetId="32" hidden="1">#REF!</definedName>
    <definedName name="IQRConsensusI35" localSheetId="8" hidden="1">#REF!</definedName>
    <definedName name="IQRConsensusI35" hidden="1">#REF!</definedName>
    <definedName name="IQRConsensusM33" localSheetId="13" hidden="1">#REF!</definedName>
    <definedName name="IQRConsensusM33" localSheetId="32" hidden="1">#REF!</definedName>
    <definedName name="IQRConsensusM33" localSheetId="8" hidden="1">#REF!</definedName>
    <definedName name="IQRConsensusM33" hidden="1">#REF!</definedName>
    <definedName name="IQRConsensusQ17" localSheetId="13" hidden="1">#REF!</definedName>
    <definedName name="IQRConsensusQ17" localSheetId="32" hidden="1">#REF!</definedName>
    <definedName name="IQRConsensusQ17" localSheetId="8" hidden="1">#REF!</definedName>
    <definedName name="IQRConsensusQ17" hidden="1">#REF!</definedName>
    <definedName name="IQRConsensusQ18" localSheetId="13" hidden="1">#REF!</definedName>
    <definedName name="IQRConsensusQ18" localSheetId="32" hidden="1">#REF!</definedName>
    <definedName name="IQRConsensusQ18" localSheetId="8" hidden="1">#REF!</definedName>
    <definedName name="IQRConsensusQ18" hidden="1">#REF!</definedName>
    <definedName name="IQRConsensusS17" localSheetId="13" hidden="1">#REF!</definedName>
    <definedName name="IQRConsensusS17" localSheetId="32" hidden="1">#REF!</definedName>
    <definedName name="IQRConsensusS17" localSheetId="8" hidden="1">#REF!</definedName>
    <definedName name="IQRConsensusS17" hidden="1">#REF!</definedName>
    <definedName name="IQRConsensusS18" localSheetId="13" hidden="1">#REF!</definedName>
    <definedName name="IQRConsensusS18" localSheetId="32" hidden="1">#REF!</definedName>
    <definedName name="IQRConsensusS18" localSheetId="8" hidden="1">#REF!</definedName>
    <definedName name="IQRConsensusS18" hidden="1">#REF!</definedName>
    <definedName name="IQRConsensusS19" localSheetId="13" hidden="1">#REF!</definedName>
    <definedName name="IQRConsensusS19" localSheetId="32" hidden="1">#REF!</definedName>
    <definedName name="IQRConsensusS19" localSheetId="8" hidden="1">#REF!</definedName>
    <definedName name="IQRConsensusS19" hidden="1">#REF!</definedName>
    <definedName name="IQRConsensusS21" localSheetId="32" hidden="1">[8]Consensus!$S$22:$S$109</definedName>
    <definedName name="IQRConsensusS21" localSheetId="8" hidden="1">[8]Consensus!$S$22:$S$109</definedName>
    <definedName name="IQRConsensusS21" hidden="1">[8]Consensus!$S$22:$S$109</definedName>
    <definedName name="IQRConsensusT17" localSheetId="13" hidden="1">#REF!</definedName>
    <definedName name="IQRConsensusT17" localSheetId="32" hidden="1">#REF!</definedName>
    <definedName name="IQRConsensusT17" localSheetId="8" hidden="1">#REF!</definedName>
    <definedName name="IQRConsensusT17" hidden="1">#REF!</definedName>
    <definedName name="IQRConsensusT18" localSheetId="13" hidden="1">#REF!</definedName>
    <definedName name="IQRConsensusT18" localSheetId="32" hidden="1">#REF!</definedName>
    <definedName name="IQRConsensusT18" localSheetId="8" hidden="1">#REF!</definedName>
    <definedName name="IQRConsensusT18" hidden="1">#REF!</definedName>
    <definedName name="IQRConsensusT19" localSheetId="13" hidden="1">#REF!</definedName>
    <definedName name="IQRConsensusT19" localSheetId="32" hidden="1">#REF!</definedName>
    <definedName name="IQRConsensusT19" localSheetId="8" hidden="1">#REF!</definedName>
    <definedName name="IQRConsensusT19" hidden="1">#REF!</definedName>
    <definedName name="IQRConsensusT21" localSheetId="32" hidden="1">[8]Consensus!$T$22:$T$109</definedName>
    <definedName name="IQRConsensusT21" localSheetId="8" hidden="1">[8]Consensus!$T$22:$T$109</definedName>
    <definedName name="IQRConsensusT21" hidden="1">[8]Consensus!$T$22:$T$109</definedName>
    <definedName name="IQRConsensusU17" localSheetId="13" hidden="1">#REF!</definedName>
    <definedName name="IQRConsensusU17" localSheetId="32" hidden="1">#REF!</definedName>
    <definedName name="IQRConsensusU17" localSheetId="8" hidden="1">#REF!</definedName>
    <definedName name="IQRConsensusU17" hidden="1">#REF!</definedName>
    <definedName name="IQRConsensusU18" localSheetId="13" hidden="1">#REF!</definedName>
    <definedName name="IQRConsensusU18" localSheetId="32" hidden="1">#REF!</definedName>
    <definedName name="IQRConsensusU18" localSheetId="8" hidden="1">#REF!</definedName>
    <definedName name="IQRConsensusU18" hidden="1">#REF!</definedName>
    <definedName name="IQRConsensusU19" localSheetId="13" hidden="1">#REF!</definedName>
    <definedName name="IQRConsensusU19" localSheetId="32" hidden="1">#REF!</definedName>
    <definedName name="IQRConsensusU19" localSheetId="8" hidden="1">#REF!</definedName>
    <definedName name="IQRConsensusU19" hidden="1">#REF!</definedName>
    <definedName name="IQRConsensusU21" localSheetId="32" hidden="1">[8]Consensus!$U$22:$U$109</definedName>
    <definedName name="IQRConsensusU21" localSheetId="8" hidden="1">[8]Consensus!$U$22:$U$109</definedName>
    <definedName name="IQRConsensusU21" hidden="1">[8]Consensus!$U$22:$U$109</definedName>
    <definedName name="IQRConsensusV17" localSheetId="13" hidden="1">#REF!</definedName>
    <definedName name="IQRConsensusV17" localSheetId="32" hidden="1">#REF!</definedName>
    <definedName name="IQRConsensusV17" localSheetId="8" hidden="1">#REF!</definedName>
    <definedName name="IQRConsensusV17" hidden="1">#REF!</definedName>
    <definedName name="IQRConsensusV18" localSheetId="13" hidden="1">#REF!</definedName>
    <definedName name="IQRConsensusV18" localSheetId="32" hidden="1">#REF!</definedName>
    <definedName name="IQRConsensusV18" localSheetId="8" hidden="1">#REF!</definedName>
    <definedName name="IQRConsensusV18" hidden="1">#REF!</definedName>
    <definedName name="IQRConsensusV19" localSheetId="13" hidden="1">#REF!</definedName>
    <definedName name="IQRConsensusV19" localSheetId="32" hidden="1">#REF!</definedName>
    <definedName name="IQRConsensusV19" localSheetId="8" hidden="1">#REF!</definedName>
    <definedName name="IQRConsensusV19" hidden="1">#REF!</definedName>
    <definedName name="IQRConsensusV21" localSheetId="32" hidden="1">[8]Consensus!$V$22:$V$109</definedName>
    <definedName name="IQRConsensusV21" localSheetId="8" hidden="1">[8]Consensus!$V$22:$V$109</definedName>
    <definedName name="IQRConsensusV21" hidden="1">[8]Consensus!$V$22:$V$109</definedName>
    <definedName name="IQRConsensusW17" localSheetId="13" hidden="1">#REF!</definedName>
    <definedName name="IQRConsensusW17" localSheetId="32" hidden="1">#REF!</definedName>
    <definedName name="IQRConsensusW17" localSheetId="8" hidden="1">#REF!</definedName>
    <definedName name="IQRConsensusW17" hidden="1">#REF!</definedName>
    <definedName name="IQRConsensusW18" localSheetId="13" hidden="1">#REF!</definedName>
    <definedName name="IQRConsensusW18" localSheetId="32" hidden="1">#REF!</definedName>
    <definedName name="IQRConsensusW18" localSheetId="8" hidden="1">#REF!</definedName>
    <definedName name="IQRConsensusW18" hidden="1">#REF!</definedName>
    <definedName name="IQRConsensusW19" localSheetId="13" hidden="1">#REF!</definedName>
    <definedName name="IQRConsensusW19" localSheetId="32" hidden="1">#REF!</definedName>
    <definedName name="IQRConsensusW19" localSheetId="8" hidden="1">#REF!</definedName>
    <definedName name="IQRConsensusW19" hidden="1">#REF!</definedName>
    <definedName name="IQRConsensusW21" localSheetId="32" hidden="1">[8]Consensus!$W$22:$W$109</definedName>
    <definedName name="IQRConsensusW21" localSheetId="8" hidden="1">[8]Consensus!$W$22:$W$109</definedName>
    <definedName name="IQRConsensusW21" hidden="1">[8]Consensus!$W$22:$W$109</definedName>
    <definedName name="IQRConsensusX17" localSheetId="13" hidden="1">#REF!</definedName>
    <definedName name="IQRConsensusX17" localSheetId="32" hidden="1">#REF!</definedName>
    <definedName name="IQRConsensusX17" localSheetId="8" hidden="1">#REF!</definedName>
    <definedName name="IQRConsensusX17" hidden="1">#REF!</definedName>
    <definedName name="IQRConsensusX18" localSheetId="13" hidden="1">#REF!</definedName>
    <definedName name="IQRConsensusX18" localSheetId="32" hidden="1">#REF!</definedName>
    <definedName name="IQRConsensusX18" localSheetId="8" hidden="1">#REF!</definedName>
    <definedName name="IQRConsensusX18" hidden="1">#REF!</definedName>
    <definedName name="IQRConsensusX19" localSheetId="13" hidden="1">#REF!</definedName>
    <definedName name="IQRConsensusX19" localSheetId="32" hidden="1">#REF!</definedName>
    <definedName name="IQRConsensusX19" localSheetId="8" hidden="1">#REF!</definedName>
    <definedName name="IQRConsensusX19" hidden="1">#REF!</definedName>
    <definedName name="IQRConsensusX21" localSheetId="32" hidden="1">[8]Consensus!$X$22:$X$110</definedName>
    <definedName name="IQRConsensusX21" localSheetId="8" hidden="1">[8]Consensus!$X$22:$X$110</definedName>
    <definedName name="IQRConsensusX21" hidden="1">[8]Consensus!$X$22:$X$110</definedName>
    <definedName name="IQRConsensusY17" localSheetId="13" hidden="1">#REF!</definedName>
    <definedName name="IQRConsensusY17" localSheetId="32" hidden="1">#REF!</definedName>
    <definedName name="IQRConsensusY17" localSheetId="8" hidden="1">#REF!</definedName>
    <definedName name="IQRConsensusY17" hidden="1">#REF!</definedName>
    <definedName name="IQRConsensusY18" localSheetId="13" hidden="1">#REF!</definedName>
    <definedName name="IQRConsensusY18" localSheetId="32" hidden="1">#REF!</definedName>
    <definedName name="IQRConsensusY18" localSheetId="8" hidden="1">#REF!</definedName>
    <definedName name="IQRConsensusY18" hidden="1">#REF!</definedName>
    <definedName name="IQRConsensusY19" localSheetId="13" hidden="1">#REF!</definedName>
    <definedName name="IQRConsensusY19" localSheetId="32" hidden="1">#REF!</definedName>
    <definedName name="IQRConsensusY19" localSheetId="8" hidden="1">#REF!</definedName>
    <definedName name="IQRConsensusY19" hidden="1">#REF!</definedName>
    <definedName name="IQRConsensusY21" localSheetId="32" hidden="1">[8]Consensus!$Y$22:$Y$109</definedName>
    <definedName name="IQRConsensusY21" localSheetId="8" hidden="1">[8]Consensus!$Y$22:$Y$109</definedName>
    <definedName name="IQRConsensusY21" hidden="1">[8]Consensus!$Y$22:$Y$109</definedName>
    <definedName name="IQRConsensusZ17" localSheetId="13" hidden="1">#REF!</definedName>
    <definedName name="IQRConsensusZ17" localSheetId="32" hidden="1">#REF!</definedName>
    <definedName name="IQRConsensusZ17" localSheetId="8" hidden="1">#REF!</definedName>
    <definedName name="IQRConsensusZ17" hidden="1">#REF!</definedName>
    <definedName name="IQRConsensusZ18" localSheetId="13" hidden="1">#REF!</definedName>
    <definedName name="IQRConsensusZ18" localSheetId="32" hidden="1">#REF!</definedName>
    <definedName name="IQRConsensusZ18" localSheetId="8" hidden="1">#REF!</definedName>
    <definedName name="IQRConsensusZ18" hidden="1">#REF!</definedName>
    <definedName name="IQRConsensusZ19" localSheetId="13" hidden="1">#REF!</definedName>
    <definedName name="IQRConsensusZ19" localSheetId="32" hidden="1">#REF!</definedName>
    <definedName name="IQRConsensusZ19" localSheetId="8" hidden="1">#REF!</definedName>
    <definedName name="IQRConsensusZ19" hidden="1">#REF!</definedName>
    <definedName name="IQRConsensusZ21" localSheetId="32" hidden="1">[8]Consensus!$Z$22:$Z$109</definedName>
    <definedName name="IQRConsensusZ21" localSheetId="8" hidden="1">[8]Consensus!$Z$22:$Z$109</definedName>
    <definedName name="IQRConsensusZ21" hidden="1">[8]Consensus!$Z$22:$Z$109</definedName>
    <definedName name="IQRCV14" hidden="1">"$CV$15:$CV$1044"</definedName>
    <definedName name="IQRCV16" hidden="1">"$CV$17"</definedName>
    <definedName name="IQRDataAP8" localSheetId="13" hidden="1">#REF!</definedName>
    <definedName name="IQRDataAP8" localSheetId="32" hidden="1">#REF!</definedName>
    <definedName name="IQRDataAP8" localSheetId="8" hidden="1">#REF!</definedName>
    <definedName name="IQRDataAP8" hidden="1">#REF!</definedName>
    <definedName name="IQRDataBG8" localSheetId="13" hidden="1">#REF!</definedName>
    <definedName name="IQRDataBG8" localSheetId="32" hidden="1">#REF!</definedName>
    <definedName name="IQRDataBG8" localSheetId="8" hidden="1">#REF!</definedName>
    <definedName name="IQRDataBG8" hidden="1">#REF!</definedName>
    <definedName name="IQRDataBL8" localSheetId="13" hidden="1">#REF!</definedName>
    <definedName name="IQRDataBL8" localSheetId="32" hidden="1">'CIQ Revision'!$S$6:$S$62</definedName>
    <definedName name="IQRDataBL8" localSheetId="8" hidden="1">#REF!</definedName>
    <definedName name="IQRDataBL8" hidden="1">#REF!</definedName>
    <definedName name="IQRDataforFOAP8" localSheetId="13" hidden="1">#REF!</definedName>
    <definedName name="IQRDataforFOAP8" localSheetId="32" hidden="1">#REF!</definedName>
    <definedName name="IQRDataforFOAP8" localSheetId="8" hidden="1">#REF!</definedName>
    <definedName name="IQRDataforFOAP8" hidden="1">#REF!</definedName>
    <definedName name="IQRDataforFOAP9" localSheetId="13" hidden="1">#REF!</definedName>
    <definedName name="IQRDataforFOAP9" localSheetId="32" hidden="1">#REF!</definedName>
    <definedName name="IQRDataforFOAP9" localSheetId="8" hidden="1">#REF!</definedName>
    <definedName name="IQRDataforFOAP9" hidden="1">#REF!</definedName>
    <definedName name="IQRDataforFOAR12" localSheetId="13" hidden="1">#REF!</definedName>
    <definedName name="IQRDataforFOAR12" localSheetId="32" hidden="1">#REF!</definedName>
    <definedName name="IQRDataforFOAR12" localSheetId="8" hidden="1">#REF!</definedName>
    <definedName name="IQRDataforFOAR12" hidden="1">#REF!</definedName>
    <definedName name="IQRDataforFOAS21" localSheetId="13" hidden="1">#REF!</definedName>
    <definedName name="IQRDataforFOAS21" localSheetId="32" hidden="1">#REF!</definedName>
    <definedName name="IQRDataforFOAS21" localSheetId="8" hidden="1">#REF!</definedName>
    <definedName name="IQRDataforFOAS21" hidden="1">#REF!</definedName>
    <definedName name="IQRDataforFOAW11" localSheetId="13" hidden="1">#REF!</definedName>
    <definedName name="IQRDataforFOAW11" localSheetId="32" hidden="1">#REF!</definedName>
    <definedName name="IQRDataforFOAW11" localSheetId="8" hidden="1">#REF!</definedName>
    <definedName name="IQRDataforFOAW11" hidden="1">#REF!</definedName>
    <definedName name="IQRDataforFOBG9" localSheetId="13" hidden="1">#REF!</definedName>
    <definedName name="IQRDataforFOBG9" localSheetId="32" hidden="1">#REF!</definedName>
    <definedName name="IQRDataforFOBG9" localSheetId="8" hidden="1">#REF!</definedName>
    <definedName name="IQRDataforFOBG9" hidden="1">#REF!</definedName>
    <definedName name="IQRDataforFOBL9" localSheetId="13" hidden="1">#REF!</definedName>
    <definedName name="IQRDataforFOBL9" localSheetId="32" hidden="1">'CIQ Revision'!$S$6:$S$58</definedName>
    <definedName name="IQRDataforFOBL9" localSheetId="8" hidden="1">#REF!</definedName>
    <definedName name="IQRDataforFOBL9" hidden="1">#REF!</definedName>
    <definedName name="IQRDBBMWBQ12" localSheetId="13" hidden="1">#REF!</definedName>
    <definedName name="IQRDBBMWBQ12" localSheetId="29" hidden="1">#REF!</definedName>
    <definedName name="IQRDBBMWBQ12" localSheetId="32" hidden="1">#REF!</definedName>
    <definedName name="IQRDBBMWBQ12" localSheetId="8" hidden="1">#REF!</definedName>
    <definedName name="IQRDBBMWBQ12" hidden="1">#REF!</definedName>
    <definedName name="IQRDBSIEBQ12" localSheetId="13" hidden="1">#REF!</definedName>
    <definedName name="IQRDBSIEBQ12" localSheetId="29" hidden="1">#REF!</definedName>
    <definedName name="IQRDBSIEBQ12" localSheetId="32" hidden="1">#REF!</definedName>
    <definedName name="IQRDBSIEBQ12" localSheetId="8" hidden="1">#REF!</definedName>
    <definedName name="IQRDBSIEBQ12" hidden="1">#REF!</definedName>
    <definedName name="IQRDBSIEBT12" localSheetId="13" hidden="1">#REF!</definedName>
    <definedName name="IQRDBSIEBT12" localSheetId="29" hidden="1">#REF!</definedName>
    <definedName name="IQRDBSIEBT12" localSheetId="32" hidden="1">#REF!</definedName>
    <definedName name="IQRDBSIEBT12" localSheetId="8" hidden="1">#REF!</definedName>
    <definedName name="IQRDBSIEBT12" hidden="1">#REF!</definedName>
    <definedName name="IQRE14" hidden="1">"$E$15:$E$114"</definedName>
    <definedName name="IQREarningsSurpriseF9" localSheetId="13" hidden="1">#REF!</definedName>
    <definedName name="IQREarningsSurpriseF9" localSheetId="32" hidden="1">#REF!</definedName>
    <definedName name="IQREarningsSurpriseF9" localSheetId="8" hidden="1">#REF!</definedName>
    <definedName name="IQREarningsSurpriseF9" hidden="1">#REF!</definedName>
    <definedName name="IQREarningsSurpriseGuidanceAH4" localSheetId="13" hidden="1">#REF!</definedName>
    <definedName name="IQREarningsSurpriseGuidanceAH4" localSheetId="32" hidden="1">'[9]Earnings Surprise'!#REF!</definedName>
    <definedName name="IQREarningsSurpriseGuidanceAH4" localSheetId="8" hidden="1">#REF!</definedName>
    <definedName name="IQREarningsSurpriseGuidanceAH4" hidden="1">#REF!</definedName>
    <definedName name="IQREarningsSurpriseGuidanceAT140" localSheetId="13" hidden="1">#REF!</definedName>
    <definedName name="IQREarningsSurpriseGuidanceAT140" localSheetId="32" hidden="1">'[9]Earnings Surprise'!#REF!</definedName>
    <definedName name="IQREarningsSurpriseGuidanceAT140" localSheetId="8" hidden="1">#REF!</definedName>
    <definedName name="IQREarningsSurpriseGuidanceAT140" hidden="1">#REF!</definedName>
    <definedName name="IQREarningsSurpriseGuidanceAT9" localSheetId="13" hidden="1">#REF!</definedName>
    <definedName name="IQREarningsSurpriseGuidanceAT9" localSheetId="32" hidden="1">'[9]Earnings Surprise'!#REF!</definedName>
    <definedName name="IQREarningsSurpriseGuidanceAT9" localSheetId="8" hidden="1">#REF!</definedName>
    <definedName name="IQREarningsSurpriseGuidanceAT9" hidden="1">#REF!</definedName>
    <definedName name="IQREarningsSurpriseGuidanceAU9" localSheetId="13" hidden="1">#REF!</definedName>
    <definedName name="IQREarningsSurpriseGuidanceAU9" localSheetId="32" hidden="1">'[9]Earnings Surprise'!#REF!</definedName>
    <definedName name="IQREarningsSurpriseGuidanceAU9" localSheetId="8" hidden="1">#REF!</definedName>
    <definedName name="IQREarningsSurpriseGuidanceAU9" hidden="1">#REF!</definedName>
    <definedName name="IQREarningsSurpriseGuidanceO9" localSheetId="13" hidden="1">#REF!</definedName>
    <definedName name="IQREarningsSurpriseGuidanceO9" localSheetId="32" hidden="1">'[9]Earnings Surprise'!#REF!</definedName>
    <definedName name="IQREarningsSurpriseGuidanceO9" localSheetId="8" hidden="1">#REF!</definedName>
    <definedName name="IQREarningsSurpriseGuidanceO9" hidden="1">#REF!</definedName>
    <definedName name="IQREarningsSurpriseGuidanceU4" localSheetId="13" hidden="1">#REF!</definedName>
    <definedName name="IQREarningsSurpriseGuidanceU4" localSheetId="32" hidden="1">'[9]Earnings Surprise'!#REF!</definedName>
    <definedName name="IQREarningsSurpriseGuidanceU4" localSheetId="8" hidden="1">#REF!</definedName>
    <definedName name="IQREarningsSurpriseGuidanceU4" hidden="1">#REF!</definedName>
    <definedName name="IQREarningsSurpriseGuidanceV4" localSheetId="13" hidden="1">#REF!</definedName>
    <definedName name="IQREarningsSurpriseGuidanceV4" localSheetId="32" hidden="1">'[9]Earnings Surprise'!#REF!</definedName>
    <definedName name="IQREarningsSurpriseGuidanceV4" localSheetId="8" hidden="1">#REF!</definedName>
    <definedName name="IQREarningsSurpriseGuidanceV4" hidden="1">#REF!</definedName>
    <definedName name="IQREarningsSurpriseGuidanceV7" localSheetId="13" hidden="1">#REF!</definedName>
    <definedName name="IQREarningsSurpriseGuidanceV7" localSheetId="32" hidden="1">'[9]Earnings Surprise'!#REF!</definedName>
    <definedName name="IQREarningsSurpriseGuidanceV7" localSheetId="8" hidden="1">#REF!</definedName>
    <definedName name="IQREarningsSurpriseGuidanceV7" hidden="1">#REF!</definedName>
    <definedName name="IQREarningsSurpriseGuidanceW4" localSheetId="13" hidden="1">#REF!</definedName>
    <definedName name="IQREarningsSurpriseGuidanceW4" localSheetId="32" hidden="1">'[9]Earnings Surprise'!#REF!</definedName>
    <definedName name="IQREarningsSurpriseGuidanceW4" localSheetId="8" hidden="1">#REF!</definedName>
    <definedName name="IQREarningsSurpriseGuidanceW4" hidden="1">#REF!</definedName>
    <definedName name="IQREarningsSurpriseGuidanceX117" localSheetId="13" hidden="1">#REF!</definedName>
    <definedName name="IQREarningsSurpriseGuidanceX117" localSheetId="32" hidden="1">#REF!</definedName>
    <definedName name="IQREarningsSurpriseGuidanceX117" localSheetId="8" hidden="1">#REF!</definedName>
    <definedName name="IQREarningsSurpriseGuidanceX117" hidden="1">#REF!</definedName>
    <definedName name="IQREarningsSurpriseGuidanceY105" localSheetId="13" hidden="1">#REF!</definedName>
    <definedName name="IQREarningsSurpriseGuidanceY105" localSheetId="32" hidden="1">#REF!</definedName>
    <definedName name="IQREarningsSurpriseGuidanceY105" localSheetId="8" hidden="1">#REF!</definedName>
    <definedName name="IQREarningsSurpriseGuidanceY105" hidden="1">#REF!</definedName>
    <definedName name="IQREarningsSurpriseGuidanceY118" localSheetId="13" hidden="1">#REF!</definedName>
    <definedName name="IQREarningsSurpriseGuidanceY118" localSheetId="32" hidden="1">'[9]Earnings Surprise'!#REF!</definedName>
    <definedName name="IQREarningsSurpriseGuidanceY118" localSheetId="8" hidden="1">#REF!</definedName>
    <definedName name="IQREarningsSurpriseGuidanceY118" hidden="1">#REF!</definedName>
    <definedName name="IQREarningsSurpriseGuidanceY77" localSheetId="13" hidden="1">#REF!</definedName>
    <definedName name="IQREarningsSurpriseGuidanceY77" localSheetId="32" hidden="1">#REF!</definedName>
    <definedName name="IQREarningsSurpriseGuidanceY77" localSheetId="8" hidden="1">#REF!</definedName>
    <definedName name="IQREarningsSurpriseGuidanceY77" hidden="1">#REF!</definedName>
    <definedName name="IQREarningsSurpriseGuidanceZ110" localSheetId="13" hidden="1">#REF!</definedName>
    <definedName name="IQREarningsSurpriseGuidanceZ110" localSheetId="32" hidden="1">'[9]Earnings Surprise'!#REF!</definedName>
    <definedName name="IQREarningsSurpriseGuidanceZ110" localSheetId="8" hidden="1">#REF!</definedName>
    <definedName name="IQREarningsSurpriseGuidanceZ110" hidden="1">#REF!</definedName>
    <definedName name="IQREarningsSurpriseGuidanceZ129" localSheetId="13" hidden="1">#REF!</definedName>
    <definedName name="IQREarningsSurpriseGuidanceZ129" localSheetId="32" hidden="1">#REF!</definedName>
    <definedName name="IQREarningsSurpriseGuidanceZ129" localSheetId="8" hidden="1">#REF!</definedName>
    <definedName name="IQREarningsSurpriseGuidanceZ129" hidden="1">#REF!</definedName>
    <definedName name="IQREarningsSurpriseGuidanceZ141" localSheetId="13" hidden="1">#REF!</definedName>
    <definedName name="IQREarningsSurpriseGuidanceZ141" localSheetId="32" hidden="1">'[9]Earnings Surprise'!#REF!</definedName>
    <definedName name="IQREarningsSurpriseGuidanceZ141" localSheetId="8" hidden="1">#REF!</definedName>
    <definedName name="IQREarningsSurpriseGuidanceZ141" hidden="1">#REF!</definedName>
    <definedName name="IQREarningsSurpriseGuidanceZ92" localSheetId="13" hidden="1">#REF!</definedName>
    <definedName name="IQREarningsSurpriseGuidanceZ92" localSheetId="32" hidden="1">#REF!</definedName>
    <definedName name="IQREarningsSurpriseGuidanceZ92" localSheetId="8" hidden="1">#REF!</definedName>
    <definedName name="IQREarningsSurpriseGuidanceZ92" hidden="1">#REF!</definedName>
    <definedName name="IQREarningsSurpriseGuidanceZ98" localSheetId="13" hidden="1">#REF!</definedName>
    <definedName name="IQREarningsSurpriseGuidanceZ98" localSheetId="32" hidden="1">#REF!</definedName>
    <definedName name="IQREarningsSurpriseGuidanceZ98" localSheetId="8" hidden="1">#REF!</definedName>
    <definedName name="IQREarningsSurpriseGuidanceZ98" hidden="1">#REF!</definedName>
    <definedName name="IQREarningsSurpriseW15" localSheetId="13" hidden="1">#REF!</definedName>
    <definedName name="IQREarningsSurpriseW15" localSheetId="32" hidden="1">#REF!</definedName>
    <definedName name="IQREarningsSurpriseW15" localSheetId="8" hidden="1">#REF!</definedName>
    <definedName name="IQREarningsSurpriseW15" hidden="1">#REF!</definedName>
    <definedName name="IQREL8" hidden="1">"$EL$9:$EL$269"</definedName>
    <definedName name="IQREN11" hidden="1">"$EN$12:$EN$14"</definedName>
    <definedName name="IQRENXTPALRBQ12" localSheetId="13" hidden="1">#REF!</definedName>
    <definedName name="IQRENXTPALRBQ12" localSheetId="29" hidden="1">#REF!</definedName>
    <definedName name="IQRENXTPALRBQ12" localSheetId="32" hidden="1">#REF!</definedName>
    <definedName name="IQRENXTPALRBQ12" localSheetId="8" hidden="1">#REF!</definedName>
    <definedName name="IQRENXTPALRBQ12" hidden="1">#REF!</definedName>
    <definedName name="IQRENXTPALRBT12" localSheetId="13" hidden="1">#REF!</definedName>
    <definedName name="IQRENXTPALRBT12" localSheetId="29" hidden="1">#REF!</definedName>
    <definedName name="IQRENXTPALRBT12" localSheetId="32" hidden="1">#REF!</definedName>
    <definedName name="IQRENXTPALRBT12" localSheetId="8" hidden="1">#REF!</definedName>
    <definedName name="IQRENXTPALRBT12" hidden="1">#REF!</definedName>
    <definedName name="IQRENXTPASUBQ12" localSheetId="13" hidden="1">#REF!</definedName>
    <definedName name="IQRENXTPASUBQ12" localSheetId="29" hidden="1">#REF!</definedName>
    <definedName name="IQRENXTPASUBQ12" localSheetId="32" hidden="1">#REF!</definedName>
    <definedName name="IQRENXTPASUBQ12" localSheetId="8" hidden="1">#REF!</definedName>
    <definedName name="IQRENXTPASUBQ12" hidden="1">#REF!</definedName>
    <definedName name="IQRENXTPASUBT12" localSheetId="13" hidden="1">#REF!</definedName>
    <definedName name="IQRENXTPASUBT12" localSheetId="29" hidden="1">#REF!</definedName>
    <definedName name="IQRENXTPASUBT12" localSheetId="32" hidden="1">#REF!</definedName>
    <definedName name="IQRENXTPASUBT12" localSheetId="8" hidden="1">#REF!</definedName>
    <definedName name="IQRENXTPASUBT12" hidden="1">#REF!</definedName>
    <definedName name="IQREQ11" hidden="1">"$EQ$12:$EQ$14"</definedName>
    <definedName name="IQREQ8" hidden="1">"$EQ$9:$EQ$60"</definedName>
    <definedName name="IQRFA11" localSheetId="5" hidden="1">"$FA$12:$FA$511"</definedName>
    <definedName name="IQRFA11" hidden="1">"$FA$12:$FA$510"</definedName>
    <definedName name="IQRFD11" localSheetId="5" hidden="1">"$FD$12:$FD$511"</definedName>
    <definedName name="IQRFD11" hidden="1">"$FD$12:$FD$510"</definedName>
    <definedName name="IQRFE11" hidden="1">"$FE$12"</definedName>
    <definedName name="IQRFH11" hidden="1">"$FH$12"</definedName>
    <definedName name="IQRFinancialDataAG22" hidden="1">'Financial Data'!$AG$23:$AG$25</definedName>
    <definedName name="IQRFinancialDataAG28" hidden="1">'Financial Data'!$AH$28:$AJ$28</definedName>
    <definedName name="IQRFinancialDataAH22" hidden="1">'Financial Data'!$AH$23:$AH$25</definedName>
    <definedName name="IQRFinancialOverviewAA753" localSheetId="13" hidden="1">#REF!</definedName>
    <definedName name="IQRFinancialOverviewAA753" localSheetId="32" hidden="1">#REF!</definedName>
    <definedName name="IQRFinancialOverviewAA753" localSheetId="8" hidden="1">#REF!</definedName>
    <definedName name="IQRFinancialOverviewAA753" hidden="1">#REF!</definedName>
    <definedName name="IQRFinancialOverviewAO752" localSheetId="13" hidden="1">#REF!</definedName>
    <definedName name="IQRFinancialOverviewAO752" localSheetId="32" hidden="1">#REF!</definedName>
    <definedName name="IQRFinancialOverviewAO752" localSheetId="8" hidden="1">#REF!</definedName>
    <definedName name="IQRFinancialOverviewAO752" hidden="1">#REF!</definedName>
    <definedName name="IQRFinancialOverviewAP752" localSheetId="13" hidden="1">#REF!</definedName>
    <definedName name="IQRFinancialOverviewAP752" localSheetId="32" hidden="1">#REF!</definedName>
    <definedName name="IQRFinancialOverviewAP752" localSheetId="8" hidden="1">#REF!</definedName>
    <definedName name="IQRFinancialOverviewAP752" hidden="1">#REF!</definedName>
    <definedName name="IQRFinancialOverviewBA9" localSheetId="13" hidden="1">#REF!</definedName>
    <definedName name="IQRFinancialOverviewBA9" localSheetId="32" hidden="1">'CIQ Revision'!$S$6:$S$58</definedName>
    <definedName name="IQRFinancialOverviewBA9" localSheetId="8" hidden="1">#REF!</definedName>
    <definedName name="IQRFinancialOverviewBA9" hidden="1">#REF!</definedName>
    <definedName name="IQRFR11" hidden="1">"$FR$12:$FR$511"</definedName>
    <definedName name="IQRFU11" hidden="1">"$FU$12:$FU$511"</definedName>
    <definedName name="IQRG14" hidden="1">"$G$15:$G$114"</definedName>
    <definedName name="IQRGraphEPSDataP8" localSheetId="13" hidden="1">#REF!</definedName>
    <definedName name="IQRGraphEPSDataP8" localSheetId="32" hidden="1">#REF!</definedName>
    <definedName name="IQRGraphEPSDataP8" localSheetId="9" hidden="1">#REF!</definedName>
    <definedName name="IQRGraphEPSDataP8" localSheetId="8" hidden="1">#REF!</definedName>
    <definedName name="IQRGraphEPSDataP8" localSheetId="5" hidden="1">'[10]Graph &amp; EPS Data'!$P$9:$P$23</definedName>
    <definedName name="IQRGraphEPSDataP8" hidden="1">#REF!</definedName>
    <definedName name="IQRGraphEPSDataU8" localSheetId="13" hidden="1">#REF!</definedName>
    <definedName name="IQRGraphEPSDataU8" localSheetId="32" hidden="1">'CIQ Revision'!$B$8:$B$59</definedName>
    <definedName name="IQRGraphEPSDataU8" localSheetId="8" hidden="1">#REF!</definedName>
    <definedName name="IQRGraphEPSDataU8" localSheetId="5" hidden="1">'[10]Graph &amp; EPS Data'!$U$9:$U$23</definedName>
    <definedName name="IQRGraphEPSDataU8" hidden="1">#REF!</definedName>
    <definedName name="IQRGuidanceBC13" localSheetId="13" hidden="1">#REF!</definedName>
    <definedName name="IQRGuidanceBC13" localSheetId="32" hidden="1">#REF!</definedName>
    <definedName name="IQRGuidanceBC13" localSheetId="9" hidden="1">#REF!</definedName>
    <definedName name="IQRGuidanceBC13" localSheetId="8" hidden="1">#REF!</definedName>
    <definedName name="IQRGuidanceBC13" hidden="1">#REF!</definedName>
    <definedName name="IQRGuidanceM1" localSheetId="13" hidden="1">#REF!</definedName>
    <definedName name="IQRGuidanceM1" localSheetId="32" hidden="1">#REF!</definedName>
    <definedName name="IQRGuidanceM1" localSheetId="9" hidden="1">#REF!</definedName>
    <definedName name="IQRGuidanceM1" localSheetId="8" hidden="1">#REF!</definedName>
    <definedName name="IQRGuidanceM1" localSheetId="5" hidden="1">#REF!</definedName>
    <definedName name="IQRGuidanceM1" hidden="1">#REF!</definedName>
    <definedName name="IQRHLSEKNEBVBQ12" localSheetId="13" hidden="1">#REF!</definedName>
    <definedName name="IQRHLSEKNEBVBQ12" localSheetId="29" hidden="1">#REF!</definedName>
    <definedName name="IQRHLSEKNEBVBQ12" localSheetId="32" hidden="1">#REF!</definedName>
    <definedName name="IQRHLSEKNEBVBQ12" localSheetId="8" hidden="1">#REF!</definedName>
    <definedName name="IQRHLSEKNEBVBQ12" hidden="1">#REF!</definedName>
    <definedName name="IQRHLSEKNEBVBT12" localSheetId="13" hidden="1">#REF!</definedName>
    <definedName name="IQRHLSEKNEBVBT12" localSheetId="29" hidden="1">#REF!</definedName>
    <definedName name="IQRHLSEKNEBVBT12" localSheetId="32" hidden="1">#REF!</definedName>
    <definedName name="IQRHLSEKNEBVBT12" localSheetId="8" hidden="1">#REF!</definedName>
    <definedName name="IQRHLSEKNEBVBT12" hidden="1">#REF!</definedName>
    <definedName name="IQRI14" hidden="1">"$I$15:$I$114"</definedName>
    <definedName name="IQRI21" hidden="1">"$I$22:$I$26"</definedName>
    <definedName name="IQRI32" hidden="1">"$I$33:$I$37"</definedName>
    <definedName name="IQRI33" hidden="1">"$I$34"</definedName>
    <definedName name="IQRI7" hidden="1">"$I$8:$I$19"</definedName>
    <definedName name="IQRInputSummaryH4" localSheetId="15" hidden="1">'Market Data'!$I$3:$I$17</definedName>
    <definedName name="IQRInputSummaryH4" hidden="1">Input!$H$2:$H$12</definedName>
    <definedName name="IQRInputSummaryM4" localSheetId="13" hidden="1">Input!#REF!</definedName>
    <definedName name="IQRInputSummaryM4" localSheetId="32" hidden="1">[3]Input!#REF!</definedName>
    <definedName name="IQRInputSummaryM4" localSheetId="1" hidden="1">Input!#REF!</definedName>
    <definedName name="IQRInputSummaryM4" localSheetId="2" hidden="1">Input!#REF!</definedName>
    <definedName name="IQRInputSummaryM4" localSheetId="15" hidden="1">'Market Data'!#REF!</definedName>
    <definedName name="IQRInputSummaryM4" hidden="1">Input!#REF!</definedName>
    <definedName name="IQRInputSummaryS23" localSheetId="13" hidden="1">Input!#REF!</definedName>
    <definedName name="IQRInputSummaryS23" localSheetId="32" hidden="1">[3]Input!#REF!</definedName>
    <definedName name="IQRInputSummaryS23" localSheetId="1" hidden="1">Input!#REF!</definedName>
    <definedName name="IQRInputSummaryS23" localSheetId="2" hidden="1">Input!#REF!</definedName>
    <definedName name="IQRInputSummaryS23" localSheetId="15" hidden="1">'Market Data'!#REF!</definedName>
    <definedName name="IQRInputSummaryS23" hidden="1">Input!#REF!</definedName>
    <definedName name="IQRIQ1038328BQ12" localSheetId="13" hidden="1">#REF!</definedName>
    <definedName name="IQRIQ1038328BQ12" localSheetId="29" hidden="1">#REF!</definedName>
    <definedName name="IQRIQ1038328BQ12" localSheetId="32" hidden="1">#REF!</definedName>
    <definedName name="IQRIQ1038328BQ12" localSheetId="8" hidden="1">#REF!</definedName>
    <definedName name="IQRIQ1038328BQ12" hidden="1">#REF!</definedName>
    <definedName name="IQRIQ122655BT12" localSheetId="13" hidden="1">#REF!</definedName>
    <definedName name="IQRIQ122655BT12" localSheetId="29" hidden="1">#REF!</definedName>
    <definedName name="IQRIQ122655BT12" localSheetId="32" hidden="1">#REF!</definedName>
    <definedName name="IQRIQ122655BT12" localSheetId="8" hidden="1">#REF!</definedName>
    <definedName name="IQRIQ122655BT12" hidden="1">#REF!</definedName>
    <definedName name="IQRIQ1459187BQ12" localSheetId="13" hidden="1">#REF!</definedName>
    <definedName name="IQRIQ1459187BQ12" localSheetId="29" hidden="1">#REF!</definedName>
    <definedName name="IQRIQ1459187BQ12" localSheetId="32" hidden="1">#REF!</definedName>
    <definedName name="IQRIQ1459187BQ12" localSheetId="8" hidden="1">#REF!</definedName>
    <definedName name="IQRIQ1459187BQ12" hidden="1">#REF!</definedName>
    <definedName name="IQRIQ1459187BT12" localSheetId="13" hidden="1">#REF!</definedName>
    <definedName name="IQRIQ1459187BT12" localSheetId="29" hidden="1">#REF!</definedName>
    <definedName name="IQRIQ1459187BT12" localSheetId="32" hidden="1">#REF!</definedName>
    <definedName name="IQRIQ1459187BT12" localSheetId="8" hidden="1">#REF!</definedName>
    <definedName name="IQRIQ1459187BT12" hidden="1">#REF!</definedName>
    <definedName name="IQRIQ1530086BQ12" localSheetId="13" hidden="1">#REF!</definedName>
    <definedName name="IQRIQ1530086BQ12" localSheetId="29" hidden="1">#REF!</definedName>
    <definedName name="IQRIQ1530086BQ12" localSheetId="32" hidden="1">#REF!</definedName>
    <definedName name="IQRIQ1530086BQ12" localSheetId="8" hidden="1">#REF!</definedName>
    <definedName name="IQRIQ1530086BQ12" hidden="1">#REF!</definedName>
    <definedName name="IQRIQ1530086BT12" localSheetId="13" hidden="1">#REF!</definedName>
    <definedName name="IQRIQ1530086BT12" localSheetId="29" hidden="1">#REF!</definedName>
    <definedName name="IQRIQ1530086BT12" localSheetId="32" hidden="1">#REF!</definedName>
    <definedName name="IQRIQ1530086BT12" localSheetId="8" hidden="1">#REF!</definedName>
    <definedName name="IQRIQ1530086BT12" hidden="1">#REF!</definedName>
    <definedName name="IQRIQ160210BT12" localSheetId="13" hidden="1">#REF!</definedName>
    <definedName name="IQRIQ160210BT12" localSheetId="29" hidden="1">#REF!</definedName>
    <definedName name="IQRIQ160210BT12" localSheetId="32" hidden="1">#REF!</definedName>
    <definedName name="IQRIQ160210BT12" localSheetId="8" hidden="1">#REF!</definedName>
    <definedName name="IQRIQ160210BT12" hidden="1">#REF!</definedName>
    <definedName name="IQRIQ19049BT12" localSheetId="13" hidden="1">#REF!</definedName>
    <definedName name="IQRIQ19049BT12" localSheetId="29" hidden="1">#REF!</definedName>
    <definedName name="IQRIQ19049BT12" localSheetId="32" hidden="1">#REF!</definedName>
    <definedName name="IQRIQ19049BT12" localSheetId="8" hidden="1">#REF!</definedName>
    <definedName name="IQRIQ19049BT12" hidden="1">#REF!</definedName>
    <definedName name="IQRIQ22385966BQ12" localSheetId="13" hidden="1">#REF!</definedName>
    <definedName name="IQRIQ22385966BQ12" localSheetId="29" hidden="1">#REF!</definedName>
    <definedName name="IQRIQ22385966BQ12" localSheetId="32" hidden="1">#REF!</definedName>
    <definedName name="IQRIQ22385966BQ12" localSheetId="8" hidden="1">#REF!</definedName>
    <definedName name="IQRIQ22385966BQ12" hidden="1">#REF!</definedName>
    <definedName name="IQRIQ22385966BT12" localSheetId="13" hidden="1">#REF!</definedName>
    <definedName name="IQRIQ22385966BT12" localSheetId="29" hidden="1">#REF!</definedName>
    <definedName name="IQRIQ22385966BT12" localSheetId="32" hidden="1">#REF!</definedName>
    <definedName name="IQRIQ22385966BT12" localSheetId="8" hidden="1">#REF!</definedName>
    <definedName name="IQRIQ22385966BT12" hidden="1">#REF!</definedName>
    <definedName name="IQRIQ24937BT12" localSheetId="13" hidden="1">#REF!</definedName>
    <definedName name="IQRIQ24937BT12" localSheetId="29" hidden="1">#REF!</definedName>
    <definedName name="IQRIQ24937BT12" localSheetId="32" hidden="1">#REF!</definedName>
    <definedName name="IQRIQ24937BT12" localSheetId="8" hidden="1">#REF!</definedName>
    <definedName name="IQRIQ24937BT12" hidden="1">#REF!</definedName>
    <definedName name="IQRIQ29096BQ12" localSheetId="13" hidden="1">#REF!</definedName>
    <definedName name="IQRIQ29096BQ12" localSheetId="29" hidden="1">#REF!</definedName>
    <definedName name="IQRIQ29096BQ12" localSheetId="32" hidden="1">#REF!</definedName>
    <definedName name="IQRIQ29096BQ12" localSheetId="8" hidden="1">#REF!</definedName>
    <definedName name="IQRIQ29096BQ12" hidden="1">#REF!</definedName>
    <definedName name="IQRIQ31973BT12" localSheetId="13" hidden="1">#REF!</definedName>
    <definedName name="IQRIQ31973BT12" localSheetId="29" hidden="1">#REF!</definedName>
    <definedName name="IQRIQ31973BT12" localSheetId="32" hidden="1">#REF!</definedName>
    <definedName name="IQRIQ31973BT12" localSheetId="8" hidden="1">#REF!</definedName>
    <definedName name="IQRIQ31973BT12" hidden="1">#REF!</definedName>
    <definedName name="IQRIQ377732BT12" localSheetId="13" hidden="1">#REF!</definedName>
    <definedName name="IQRIQ377732BT12" localSheetId="29" hidden="1">#REF!</definedName>
    <definedName name="IQRIQ377732BT12" localSheetId="32" hidden="1">#REF!</definedName>
    <definedName name="IQRIQ377732BT12" localSheetId="8" hidden="1">#REF!</definedName>
    <definedName name="IQRIQ377732BT12" hidden="1">#REF!</definedName>
    <definedName name="IQRIQ6411769BQ12" localSheetId="13" hidden="1">#REF!</definedName>
    <definedName name="IQRIQ6411769BQ12" localSheetId="29" hidden="1">'CIQ Advisors'!#REF!</definedName>
    <definedName name="IQRIQ6411769BQ12" localSheetId="32" hidden="1">#REF!</definedName>
    <definedName name="IQRIQ6411769BQ12" localSheetId="8" hidden="1">#REF!</definedName>
    <definedName name="IQRIQ6411769BQ12" hidden="1">#REF!</definedName>
    <definedName name="IQRIQ6411769BR12" localSheetId="13" hidden="1">#REF!</definedName>
    <definedName name="IQRIQ6411769BR12" localSheetId="29" hidden="1">'CIQ Advisors'!#REF!</definedName>
    <definedName name="IQRIQ6411769BR12" localSheetId="32" hidden="1">#REF!</definedName>
    <definedName name="IQRIQ6411769BR12" localSheetId="8" hidden="1">#REF!</definedName>
    <definedName name="IQRIQ6411769BR12" hidden="1">#REF!</definedName>
    <definedName name="IQRIQ6411769BS12" localSheetId="13" hidden="1">#REF!</definedName>
    <definedName name="IQRIQ6411769BS12" localSheetId="29" hidden="1">'CIQ Advisors'!#REF!</definedName>
    <definedName name="IQRIQ6411769BS12" localSheetId="32" hidden="1">#REF!</definedName>
    <definedName name="IQRIQ6411769BS12" localSheetId="8" hidden="1">#REF!</definedName>
    <definedName name="IQRIQ6411769BS12" hidden="1">#REF!</definedName>
    <definedName name="IQRIQ6411769BT12" localSheetId="13" hidden="1">#REF!</definedName>
    <definedName name="IQRIQ6411769BT12" localSheetId="29" hidden="1">#REF!</definedName>
    <definedName name="IQRIQ6411769BT12" localSheetId="32" hidden="1">#REF!</definedName>
    <definedName name="IQRIQ6411769BT12" localSheetId="8" hidden="1">#REF!</definedName>
    <definedName name="IQRIQ6411769BT12" hidden="1">#REF!</definedName>
    <definedName name="IQRIQ671980BT12" localSheetId="13" hidden="1">#REF!</definedName>
    <definedName name="IQRIQ671980BT12" localSheetId="29" hidden="1">#REF!</definedName>
    <definedName name="IQRIQ671980BT12" localSheetId="32" hidden="1">#REF!</definedName>
    <definedName name="IQRIQ671980BT12" localSheetId="8" hidden="1">#REF!</definedName>
    <definedName name="IQRIQ671980BT12" hidden="1">#REF!</definedName>
    <definedName name="IQRIQ687140BT12" localSheetId="13" hidden="1">#REF!</definedName>
    <definedName name="IQRIQ687140BT12" localSheetId="29" hidden="1">#REF!</definedName>
    <definedName name="IQRIQ687140BT12" localSheetId="32" hidden="1">#REF!</definedName>
    <definedName name="IQRIQ687140BT12" localSheetId="8" hidden="1">#REF!</definedName>
    <definedName name="IQRIQ687140BT12" hidden="1">#REF!</definedName>
    <definedName name="IQRIQ862503BQ12" localSheetId="13" hidden="1">#REF!</definedName>
    <definedName name="IQRIQ862503BQ12" localSheetId="29" hidden="1">#REF!</definedName>
    <definedName name="IQRIQ862503BQ12" localSheetId="32" hidden="1">#REF!</definedName>
    <definedName name="IQRIQ862503BQ12" localSheetId="8" hidden="1">#REF!</definedName>
    <definedName name="IQRIQ862503BQ12" hidden="1">#REF!</definedName>
    <definedName name="IQRIQ862503BT12" localSheetId="13" hidden="1">#REF!</definedName>
    <definedName name="IQRIQ862503BT12" localSheetId="29" hidden="1">#REF!</definedName>
    <definedName name="IQRIQ862503BT12" localSheetId="32" hidden="1">#REF!</definedName>
    <definedName name="IQRIQ862503BT12" localSheetId="8" hidden="1">#REF!</definedName>
    <definedName name="IQRIQ862503BT12" hidden="1">#REF!</definedName>
    <definedName name="IQRIQ874650BT12" localSheetId="13" hidden="1">#REF!</definedName>
    <definedName name="IQRIQ874650BT12" localSheetId="29" hidden="1">#REF!</definedName>
    <definedName name="IQRIQ874650BT12" localSheetId="32" hidden="1">#REF!</definedName>
    <definedName name="IQRIQ874650BT12" localSheetId="8" hidden="1">#REF!</definedName>
    <definedName name="IQRIQ874650BT12" hidden="1">#REF!</definedName>
    <definedName name="IQRIQ878373BT12" localSheetId="13" hidden="1">#REF!</definedName>
    <definedName name="IQRIQ878373BT12" localSheetId="29" hidden="1">#REF!</definedName>
    <definedName name="IQRIQ878373BT12" localSheetId="32" hidden="1">#REF!</definedName>
    <definedName name="IQRIQ878373BT12" localSheetId="8" hidden="1">#REF!</definedName>
    <definedName name="IQRIQ878373BT12" hidden="1">#REF!</definedName>
    <definedName name="IQRIQ882701BQ12" localSheetId="13" hidden="1">#REF!</definedName>
    <definedName name="IQRIQ882701BQ12" localSheetId="29" hidden="1">#REF!</definedName>
    <definedName name="IQRIQ882701BQ12" localSheetId="32" hidden="1">#REF!</definedName>
    <definedName name="IQRIQ882701BQ12" localSheetId="8" hidden="1">#REF!</definedName>
    <definedName name="IQRIQ882701BQ12" hidden="1">#REF!</definedName>
    <definedName name="IQRIQ97518BQ12" localSheetId="13" hidden="1">#REF!</definedName>
    <definedName name="IQRIQ97518BQ12" localSheetId="29" hidden="1">#REF!</definedName>
    <definedName name="IQRIQ97518BQ12" localSheetId="32" hidden="1">#REF!</definedName>
    <definedName name="IQRIQ97518BQ12" localSheetId="8" hidden="1">#REF!</definedName>
    <definedName name="IQRIQ97518BQ12" hidden="1">#REF!</definedName>
    <definedName name="IQRIQ9849062BT12" localSheetId="13" hidden="1">#REF!</definedName>
    <definedName name="IQRIQ9849062BT12" localSheetId="29" hidden="1">#REF!</definedName>
    <definedName name="IQRIQ9849062BT12" localSheetId="32" hidden="1">#REF!</definedName>
    <definedName name="IQRIQ9849062BT12" localSheetId="8" hidden="1">#REF!</definedName>
    <definedName name="IQRIQ9849062BT12" hidden="1">#REF!</definedName>
    <definedName name="IQRIQ99674BQ12" localSheetId="13" hidden="1">#REF!</definedName>
    <definedName name="IQRIQ99674BQ12" localSheetId="29" hidden="1">#REF!</definedName>
    <definedName name="IQRIQ99674BQ12" localSheetId="32" hidden="1">#REF!</definedName>
    <definedName name="IQRIQ99674BQ12" localSheetId="8" hidden="1">#REF!</definedName>
    <definedName name="IQRIQ99674BQ12" hidden="1">#REF!</definedName>
    <definedName name="IQRJ32" hidden="1">"$J$33:$J$37"</definedName>
    <definedName name="IQRJ7" hidden="1">"$J$8:$J$23"</definedName>
    <definedName name="IQRJ8" hidden="1">"$J$9:$J$269"</definedName>
    <definedName name="IQRJSEMTNBT12" localSheetId="13" hidden="1">#REF!</definedName>
    <definedName name="IQRJSEMTNBT12" localSheetId="29" hidden="1">#REF!</definedName>
    <definedName name="IQRJSEMTNBT12" localSheetId="32" hidden="1">#REF!</definedName>
    <definedName name="IQRJSEMTNBT12" localSheetId="8" hidden="1">#REF!</definedName>
    <definedName name="IQRJSEMTNBT12" hidden="1">#REF!</definedName>
    <definedName name="IQRK14" hidden="1">"$K$15:$K$114"</definedName>
    <definedName name="IQRK32" hidden="1">"$K$33:$K$37"</definedName>
    <definedName name="IQRK7" hidden="1">"$K$8:$K$34"</definedName>
    <definedName name="IQRKeyDevelopmentsB6" hidden="1">'CIQ Key Developments'!$C$8:$C$20</definedName>
    <definedName name="IQRKeyDevelopmentsL5" hidden="1">'CIQ Key Developments'!$C$8:$C$20</definedName>
    <definedName name="IQRKeyDevelopmentsL6" hidden="1">'CIQ Key Developments'!$C$8:$C$20</definedName>
    <definedName name="IQRKeyDevelopmentsL7" hidden="1">'CIQ Key Developments'!$C$8:$C$24</definedName>
    <definedName name="IQRKeyDevelopmentsV6" hidden="1">'CIQ Key Developments'!$C$8:$C$20</definedName>
    <definedName name="IQRKeyProfessionalsB19" hidden="1">Professionals!$B$26:$B$32</definedName>
    <definedName name="IQRKeyProfessionalsB20" hidden="1">Professionals!$B$26:$B$30</definedName>
    <definedName name="IQRKeyProfessionalsB21" hidden="1">Professionals!$B$26:$B$30</definedName>
    <definedName name="IQRKeyProfessionalsB22" hidden="1">Professionals!$B$26:$B$30</definedName>
    <definedName name="IQRKeyProfessionalsB6" hidden="1">Professionals!$B$19:$B$25</definedName>
    <definedName name="IQRKeyProfessionalsB7" hidden="1">Professionals!$B$19:$B$24</definedName>
    <definedName name="IQRKeyProfessionalsB8" hidden="1">Professionals!$B$19:$B$20</definedName>
    <definedName name="IQRKeyProfessionalsC19" hidden="1">Professionals!$C$26:$C$32</definedName>
    <definedName name="IQRKeyProfessionalsC20" hidden="1">Professionals!$C$26:$C$30</definedName>
    <definedName name="IQRKeyProfessionalsC21" hidden="1">Professionals!$C$26:$C$30</definedName>
    <definedName name="IQRKeyProfessionalsC22" hidden="1">Professionals!$C$26:$C$30</definedName>
    <definedName name="IQRKeyProfessionalsC6" hidden="1">Professionals!$C$19:$C$25</definedName>
    <definedName name="IQRKeyProfessionalsC7" hidden="1">Professionals!$C$19:$C$24</definedName>
    <definedName name="IQRKeyProfessionalsC8" hidden="1">Professionals!$C$19:$C$20</definedName>
    <definedName name="IQRKeyProfessionalsD21" hidden="1">Professionals!$B$26:$B$30</definedName>
    <definedName name="IQRKeyProfessionalsD7" hidden="1">Professionals!$B$19:$B$24</definedName>
    <definedName name="IQRKeyProfessionalsE21" hidden="1">Professionals!$C$26:$C$30</definedName>
    <definedName name="IQRKeyProfessionalsE6" hidden="1">Professionals!$B$26:$B$30</definedName>
    <definedName name="IQRKeyProfessionalsE7" hidden="1">Professionals!$B$26:$B$30</definedName>
    <definedName name="IQRKeyProfessionalsF6" hidden="1">Professionals!$C$26:$C$30</definedName>
    <definedName name="IQRKeyProfessionalsF7" hidden="1">Professionals!$C$26:$C$30</definedName>
    <definedName name="IQRL7" hidden="1">"$L$8:$L$135"</definedName>
    <definedName name="IQRL8" hidden="1">"$L$9:$L$269"</definedName>
    <definedName name="IQRLN4" hidden="1">"$LN$5:$LN$132"</definedName>
    <definedName name="IQRLSEAFRBQ12" localSheetId="13" hidden="1">#REF!</definedName>
    <definedName name="IQRLSEAFRBQ12" localSheetId="29" hidden="1">#REF!</definedName>
    <definedName name="IQRLSEAFRBQ12" localSheetId="32" hidden="1">#REF!</definedName>
    <definedName name="IQRLSEAFRBQ12" localSheetId="8" hidden="1">#REF!</definedName>
    <definedName name="IQRLSEAFRBQ12" hidden="1">#REF!</definedName>
    <definedName name="IQRLSEAZNBQ12" localSheetId="13" hidden="1">#REF!</definedName>
    <definedName name="IQRLSEAZNBQ12" localSheetId="29" hidden="1">#REF!</definedName>
    <definedName name="IQRLSEAZNBQ12" localSheetId="32" hidden="1">#REF!</definedName>
    <definedName name="IQRLSEAZNBQ12" localSheetId="8" hidden="1">#REF!</definedName>
    <definedName name="IQRLSEAZNBQ12" hidden="1">#REF!</definedName>
    <definedName name="IQRLSEAZNBT12" localSheetId="13" hidden="1">#REF!</definedName>
    <definedName name="IQRLSEAZNBT12" localSheetId="29" hidden="1">#REF!</definedName>
    <definedName name="IQRLSEAZNBT12" localSheetId="32" hidden="1">#REF!</definedName>
    <definedName name="IQRLSEAZNBT12" localSheetId="8" hidden="1">#REF!</definedName>
    <definedName name="IQRLSEAZNBT12" hidden="1">#REF!</definedName>
    <definedName name="IQRLSEBARCBT12" localSheetId="13" hidden="1">#REF!</definedName>
    <definedName name="IQRLSEBARCBT12" localSheetId="29" hidden="1">#REF!</definedName>
    <definedName name="IQRLSEBARCBT12" localSheetId="32" hidden="1">#REF!</definedName>
    <definedName name="IQRLSEBARCBT12" localSheetId="8" hidden="1">#REF!</definedName>
    <definedName name="IQRLSEBARCBT12" hidden="1">#REF!</definedName>
    <definedName name="IQRLSEBPBT12" localSheetId="13" hidden="1">#REF!</definedName>
    <definedName name="IQRLSEBPBT12" localSheetId="29" hidden="1">#REF!</definedName>
    <definedName name="IQRLSEBPBT12" localSheetId="32" hidden="1">#REF!</definedName>
    <definedName name="IQRLSEBPBT12" localSheetId="8" hidden="1">#REF!</definedName>
    <definedName name="IQRLSEBPBT12" hidden="1">#REF!</definedName>
    <definedName name="IQRLSEDGEBQ12" localSheetId="13" hidden="1">#REF!</definedName>
    <definedName name="IQRLSEDGEBQ12" localSheetId="29" hidden="1">#REF!</definedName>
    <definedName name="IQRLSEDGEBQ12" localSheetId="32" hidden="1">#REF!</definedName>
    <definedName name="IQRLSEDGEBQ12" localSheetId="8" hidden="1">#REF!</definedName>
    <definedName name="IQRLSEDGEBQ12" hidden="1">#REF!</definedName>
    <definedName name="IQRLSEDGEBT12" localSheetId="13" hidden="1">#REF!</definedName>
    <definedName name="IQRLSEDGEBT12" localSheetId="29" hidden="1">#REF!</definedName>
    <definedName name="IQRLSEDGEBT12" localSheetId="32" hidden="1">#REF!</definedName>
    <definedName name="IQRLSEDGEBT12" localSheetId="8" hidden="1">#REF!</definedName>
    <definedName name="IQRLSEDGEBT12" hidden="1">#REF!</definedName>
    <definedName name="IQRLSETSCOBQ12" localSheetId="13" hidden="1">#REF!</definedName>
    <definedName name="IQRLSETSCOBQ12" localSheetId="29" hidden="1">#REF!</definedName>
    <definedName name="IQRLSETSCOBQ12" localSheetId="32" hidden="1">#REF!</definedName>
    <definedName name="IQRLSETSCOBQ12" localSheetId="8" hidden="1">#REF!</definedName>
    <definedName name="IQRLSETSCOBQ12" hidden="1">#REF!</definedName>
    <definedName name="IQRLSETSCOBT12" localSheetId="13" hidden="1">#REF!</definedName>
    <definedName name="IQRLSETSCOBT12" localSheetId="29" hidden="1">#REF!</definedName>
    <definedName name="IQRLSETSCOBT12" localSheetId="32" hidden="1">#REF!</definedName>
    <definedName name="IQRLSETSCOBT12" localSheetId="8" hidden="1">#REF!</definedName>
    <definedName name="IQRLSETSCOBT12" hidden="1">#REF!</definedName>
    <definedName name="IQRLSEVODBT12" localSheetId="13" hidden="1">#REF!</definedName>
    <definedName name="IQRLSEVODBT12" localSheetId="29" hidden="1">#REF!</definedName>
    <definedName name="IQRLSEVODBT12" localSheetId="32" hidden="1">#REF!</definedName>
    <definedName name="IQRLSEVODBT12" localSheetId="8" hidden="1">#REF!</definedName>
    <definedName name="IQRLSEVODBT12" hidden="1">#REF!</definedName>
    <definedName name="IQRM1" hidden="1">"$M$2:$M$5"</definedName>
    <definedName name="IQRM14" hidden="1">"$M$15:$M$114"</definedName>
    <definedName name="IQRM26" hidden="1">"$M$27:$M$279"</definedName>
    <definedName name="IQRM7" hidden="1">"$M$8:$M$131"</definedName>
    <definedName name="IQRMATransactionsA4" hidden="1">'CIQ M&amp;A Transactions'!$B$7:$B$16</definedName>
    <definedName name="IQRMATransactionsA5" hidden="1">'CIQ M&amp;A Transactions'!$B$7:$B$16</definedName>
    <definedName name="IQRMultiplesL8" localSheetId="13" hidden="1">#REF!</definedName>
    <definedName name="IQRMultiplesL8" localSheetId="32" hidden="1">#REF!</definedName>
    <definedName name="IQRMultiplesL8" localSheetId="8" hidden="1">#REF!</definedName>
    <definedName name="IQRMultiplesL8" hidden="1">#REF!</definedName>
    <definedName name="IQRMultiplesS8" localSheetId="13" hidden="1">#REF!</definedName>
    <definedName name="IQRMultiplesS8" localSheetId="32" hidden="1">#REF!</definedName>
    <definedName name="IQRMultiplesS8" localSheetId="8" hidden="1">#REF!</definedName>
    <definedName name="IQRMultiplesS8" hidden="1">#REF!</definedName>
    <definedName name="IQRN38" hidden="1">"$N$39:$N$82"</definedName>
    <definedName name="IQRN7" hidden="1">"$N$8:$N$38"</definedName>
    <definedName name="IQRN82" hidden="1">"$N$83:$N$126"</definedName>
    <definedName name="IQRNasdaqGSREXXBQ12" localSheetId="13" hidden="1">#REF!</definedName>
    <definedName name="IQRNasdaqGSREXXBQ12" localSheetId="29" hidden="1">#REF!</definedName>
    <definedName name="IQRNasdaqGSREXXBQ12" localSheetId="32" hidden="1">#REF!</definedName>
    <definedName name="IQRNasdaqGSREXXBQ12" localSheetId="8" hidden="1">#REF!</definedName>
    <definedName name="IQRNasdaqGSREXXBQ12" hidden="1">#REF!</definedName>
    <definedName name="IQRNYSEBLKBT12" localSheetId="13" hidden="1">#REF!</definedName>
    <definedName name="IQRNYSEBLKBT12" localSheetId="29" hidden="1">#REF!</definedName>
    <definedName name="IQRNYSEBLKBT12" localSheetId="32" hidden="1">#REF!</definedName>
    <definedName name="IQRNYSEBLKBT12" localSheetId="8" hidden="1">#REF!</definedName>
    <definedName name="IQRNYSEBLKBT12" hidden="1">#REF!</definedName>
    <definedName name="IQRNYSEIBMBQ12" localSheetId="13" hidden="1">#REF!</definedName>
    <definedName name="IQRNYSEIBMBQ12" localSheetId="29" hidden="1">#REF!</definedName>
    <definedName name="IQRNYSEIBMBQ12" localSheetId="32" hidden="1">#REF!</definedName>
    <definedName name="IQRNYSEIBMBQ12" localSheetId="8" hidden="1">#REF!</definedName>
    <definedName name="IQRNYSEIBMBQ12" hidden="1">#REF!</definedName>
    <definedName name="IQRnyseibmBT12" localSheetId="13" hidden="1">#REF!</definedName>
    <definedName name="IQRnyseibmBT12" localSheetId="29" hidden="1">'CIQ Advisors'!#REF!</definedName>
    <definedName name="IQRnyseibmBT12" localSheetId="32" hidden="1">#REF!</definedName>
    <definedName name="IQRnyseibmBT12" localSheetId="8" hidden="1">#REF!</definedName>
    <definedName name="IQRnyseibmBT12" hidden="1">#REF!</definedName>
    <definedName name="IQRO14" hidden="1">"$O$15:$O$114"</definedName>
    <definedName name="IQRO7" hidden="1">"$O$8:$O$189"</definedName>
    <definedName name="IQRO8" hidden="1">"$O$9:$O$60"</definedName>
    <definedName name="IQROMASSABBQ12" localSheetId="13" hidden="1">#REF!</definedName>
    <definedName name="IQROMASSABBQ12" localSheetId="29" hidden="1">#REF!</definedName>
    <definedName name="IQROMASSABBQ12" localSheetId="32" hidden="1">#REF!</definedName>
    <definedName name="IQROMASSABBQ12" localSheetId="8" hidden="1">#REF!</definedName>
    <definedName name="IQROMASSABBQ12" hidden="1">#REF!</definedName>
    <definedName name="IQROMASSABBT12" localSheetId="13" hidden="1">#REF!</definedName>
    <definedName name="IQROMASSABBT12" localSheetId="29" hidden="1">#REF!</definedName>
    <definedName name="IQROMASSABBT12" localSheetId="32" hidden="1">#REF!</definedName>
    <definedName name="IQROMASSABBT12" localSheetId="8" hidden="1">#REF!</definedName>
    <definedName name="IQROMASSABBT12" hidden="1">#REF!</definedName>
    <definedName name="IQROMATCOABQ12" localSheetId="13" hidden="1">#REF!</definedName>
    <definedName name="IQROMATCOABQ12" localSheetId="29" hidden="1">#REF!</definedName>
    <definedName name="IQROMATCOABQ12" localSheetId="32" hidden="1">#REF!</definedName>
    <definedName name="IQROMATCOABQ12" localSheetId="8" hidden="1">#REF!</definedName>
    <definedName name="IQROMATCOABQ12" hidden="1">#REF!</definedName>
    <definedName name="IQROMATCOABT12" localSheetId="13" hidden="1">#REF!</definedName>
    <definedName name="IQROMATCOABT12" localSheetId="29" hidden="1">#REF!</definedName>
    <definedName name="IQROMATCOABT12" localSheetId="32" hidden="1">#REF!</definedName>
    <definedName name="IQROMATCOABT12" localSheetId="8" hidden="1">#REF!</definedName>
    <definedName name="IQROMATCOABT12" hidden="1">#REF!</definedName>
    <definedName name="IQROMSANDBQ12" localSheetId="13" hidden="1">#REF!</definedName>
    <definedName name="IQROMSANDBQ12" localSheetId="29" hidden="1">#REF!</definedName>
    <definedName name="IQROMSANDBQ12" localSheetId="32" hidden="1">#REF!</definedName>
    <definedName name="IQROMSANDBQ12" localSheetId="8" hidden="1">#REF!</definedName>
    <definedName name="IQROMSANDBQ12" hidden="1">#REF!</definedName>
    <definedName name="IQROMSANDBT12" localSheetId="13" hidden="1">#REF!</definedName>
    <definedName name="IQROMSANDBT12" localSheetId="29" hidden="1">#REF!</definedName>
    <definedName name="IQROMSANDBT12" localSheetId="32" hidden="1">#REF!</definedName>
    <definedName name="IQROMSANDBT12" localSheetId="8" hidden="1">#REF!</definedName>
    <definedName name="IQROMSANDBT12" hidden="1">#REF!</definedName>
    <definedName name="IQROMSKFBBQ12" localSheetId="13" hidden="1">#REF!</definedName>
    <definedName name="IQROMSKFBBQ12" localSheetId="29" hidden="1">#REF!</definedName>
    <definedName name="IQROMSKFBBQ12" localSheetId="32" hidden="1">#REF!</definedName>
    <definedName name="IQROMSKFBBQ12" localSheetId="8" hidden="1">#REF!</definedName>
    <definedName name="IQROMSKFBBQ12" hidden="1">#REF!</definedName>
    <definedName name="IQROMSKFBBT12" localSheetId="13" hidden="1">#REF!</definedName>
    <definedName name="IQROMSKFBBT12" localSheetId="29" hidden="1">#REF!</definedName>
    <definedName name="IQROMSKFBBT12" localSheetId="32" hidden="1">#REF!</definedName>
    <definedName name="IQROMSKFBBT12" localSheetId="8" hidden="1">#REF!</definedName>
    <definedName name="IQROMSKFBBT12" hidden="1">#REF!</definedName>
    <definedName name="IQROverview2CV14" localSheetId="13" hidden="1">#REF!</definedName>
    <definedName name="IQROverview2CV14" localSheetId="32" hidden="1">#REF!</definedName>
    <definedName name="IQROverview2CV14" localSheetId="8" hidden="1">#REF!</definedName>
    <definedName name="IQROverview2CV14" hidden="1">#REF!</definedName>
    <definedName name="IQROverview2EN11" localSheetId="13" hidden="1">#REF!</definedName>
    <definedName name="IQROverview2EN11" localSheetId="32" hidden="1">'[9]Share Details'!#REF!</definedName>
    <definedName name="IQROverview2EN11" localSheetId="8" hidden="1">#REF!</definedName>
    <definedName name="IQROverview2EN11" hidden="1">#REF!</definedName>
    <definedName name="IQROverview2EQ11" localSheetId="13" hidden="1">#REF!</definedName>
    <definedName name="IQROverview2EQ11" localSheetId="32" hidden="1">'[9]Share Details'!#REF!</definedName>
    <definedName name="IQROverview2EQ11" localSheetId="8" hidden="1">#REF!</definedName>
    <definedName name="IQROverview2EQ11" hidden="1">#REF!</definedName>
    <definedName name="IQROverview2FA11" localSheetId="13" hidden="1">#REF!</definedName>
    <definedName name="IQROverview2FA11" localSheetId="32" hidden="1">'[9]Share Details'!#REF!</definedName>
    <definedName name="IQROverview2FA11" localSheetId="8" hidden="1">#REF!</definedName>
    <definedName name="IQROverview2FA11" hidden="1">#REF!</definedName>
    <definedName name="IQROverview2FD11" localSheetId="13" hidden="1">#REF!</definedName>
    <definedName name="IQROverview2FD11" localSheetId="32" hidden="1">'[9]Share Details'!#REF!</definedName>
    <definedName name="IQROverview2FD11" localSheetId="8" hidden="1">#REF!</definedName>
    <definedName name="IQROverview2FD11" hidden="1">#REF!</definedName>
    <definedName name="IQRP7" hidden="1">"$P$8:$P$151"</definedName>
    <definedName name="IQRP8" hidden="1">"$P$9:$P$269"</definedName>
    <definedName name="IQRPeopleH12" hidden="1">[4]People!$I$12:$L$12</definedName>
    <definedName name="IQRPeopleH13" hidden="1">[4]People!$I$13:$M$13</definedName>
    <definedName name="IQRPeopleH14" hidden="1">[4]People!$I$14:$L$14</definedName>
    <definedName name="IQRPeopleH15" hidden="1">[4]People!$I$15:$K$15</definedName>
    <definedName name="IQRPeopleN12" hidden="1">[4]People!$O$12:$R$12</definedName>
    <definedName name="IQRPeopleN13" hidden="1">[4]People!$O$13:$S$13</definedName>
    <definedName name="IQRPeopleN14" hidden="1">[4]People!$O$14:$R$14</definedName>
    <definedName name="IQRPeopleN15" hidden="1">[4]People!$O$15:$Q$15</definedName>
    <definedName name="IQRPriceDataJ2" hidden="1">'Price Data'!$K$2:$M$2</definedName>
    <definedName name="IQRPrivateOwnershipA3" localSheetId="13" hidden="1">#REF!</definedName>
    <definedName name="IQRPrivateOwnershipA3" localSheetId="32" hidden="1">#REF!</definedName>
    <definedName name="IQRPrivateOwnershipA3" localSheetId="8" hidden="1">#REF!</definedName>
    <definedName name="IQRPrivateOwnershipA3" hidden="1">#REF!</definedName>
    <definedName name="IQRPrivateOwnershipB10" localSheetId="13" hidden="1">#REF!</definedName>
    <definedName name="IQRPrivateOwnershipB10" localSheetId="32" hidden="1">#REF!</definedName>
    <definedName name="IQRPrivateOwnershipB10" localSheetId="8" hidden="1">#REF!</definedName>
    <definedName name="IQRPrivateOwnershipB10" hidden="1">#REF!</definedName>
    <definedName name="IQRPrivateOwnershipB18" localSheetId="13" hidden="1">#REF!</definedName>
    <definedName name="IQRPrivateOwnershipB18" localSheetId="32" hidden="1">#REF!</definedName>
    <definedName name="IQRPrivateOwnershipB18" localSheetId="8" hidden="1">#REF!</definedName>
    <definedName name="IQRPrivateOwnershipB18" hidden="1">#REF!</definedName>
    <definedName name="IQRPrivateOwnershipB29" localSheetId="13" hidden="1">#REF!</definedName>
    <definedName name="IQRPrivateOwnershipB29" localSheetId="32" hidden="1">#REF!</definedName>
    <definedName name="IQRPrivateOwnershipB29" localSheetId="8" hidden="1">#REF!</definedName>
    <definedName name="IQRPrivateOwnershipB29" hidden="1">#REF!</definedName>
    <definedName name="IQRPrivateOwnershipB3" localSheetId="13" hidden="1">#REF!</definedName>
    <definedName name="IQRPrivateOwnershipB3" localSheetId="32" hidden="1">#REF!</definedName>
    <definedName name="IQRPrivateOwnershipB3" localSheetId="8" hidden="1">#REF!</definedName>
    <definedName name="IQRPrivateOwnershipB3" hidden="1">#REF!</definedName>
    <definedName name="IQRPrivateOwnershipB5" localSheetId="13" hidden="1">'Private Ownership'!#REF!</definedName>
    <definedName name="IQRPrivateOwnershipB5" localSheetId="32" hidden="1">'[3]Private Ownership'!#REF!</definedName>
    <definedName name="IQRPrivateOwnershipB5" localSheetId="9" hidden="1">'[2]Private Ownership'!#REF!</definedName>
    <definedName name="IQRPrivateOwnershipB5" localSheetId="8" hidden="1">'[2]Private Ownership'!#REF!</definedName>
    <definedName name="IQRPrivateOwnershipB5" hidden="1">'Private Ownership'!#REF!</definedName>
    <definedName name="IQRPrivateOwnershipB6" localSheetId="13" hidden="1">'Private Ownership'!#REF!</definedName>
    <definedName name="IQRPrivateOwnershipB6" localSheetId="32" hidden="1">'[3]Private Ownership'!#REF!</definedName>
    <definedName name="IQRPrivateOwnershipB6" localSheetId="9" hidden="1">'[2]Private Ownership'!#REF!</definedName>
    <definedName name="IQRPrivateOwnershipB6" localSheetId="8" hidden="1">'[2]Private Ownership'!#REF!</definedName>
    <definedName name="IQRPrivateOwnershipB6" hidden="1">'Private Ownership'!#REF!</definedName>
    <definedName name="IQRPrivateOwnershipB7" localSheetId="13" hidden="1">'Private Ownership'!#REF!</definedName>
    <definedName name="IQRPrivateOwnershipB7" localSheetId="32" hidden="1">'[3]Private Ownership'!#REF!</definedName>
    <definedName name="IQRPrivateOwnershipB7" localSheetId="9" hidden="1">'[2]Private Ownership'!#REF!</definedName>
    <definedName name="IQRPrivateOwnershipB7" localSheetId="8" hidden="1">'[2]Private Ownership'!#REF!</definedName>
    <definedName name="IQRPrivateOwnershipB7" hidden="1">'Private Ownership'!#REF!</definedName>
    <definedName name="IQRPrivateOwnershipC10" localSheetId="13" hidden="1">#REF!</definedName>
    <definedName name="IQRPrivateOwnershipC10" localSheetId="32" hidden="1">#REF!</definedName>
    <definedName name="IQRPrivateOwnershipC10" localSheetId="8" hidden="1">#REF!</definedName>
    <definedName name="IQRPrivateOwnershipC10" hidden="1">#REF!</definedName>
    <definedName name="IQRPrivateOwnershipC18" localSheetId="13" hidden="1">#REF!</definedName>
    <definedName name="IQRPrivateOwnershipC18" localSheetId="32" hidden="1">#REF!</definedName>
    <definedName name="IQRPrivateOwnershipC18" localSheetId="8" hidden="1">#REF!</definedName>
    <definedName name="IQRPrivateOwnershipC18" hidden="1">#REF!</definedName>
    <definedName name="IQRPrivateOwnershipC29" localSheetId="13" hidden="1">#REF!</definedName>
    <definedName name="IQRPrivateOwnershipC29" localSheetId="32" hidden="1">#REF!</definedName>
    <definedName name="IQRPrivateOwnershipC29" localSheetId="8" hidden="1">#REF!</definedName>
    <definedName name="IQRPrivateOwnershipC29" hidden="1">#REF!</definedName>
    <definedName name="IQRPrivateOwnershipC3" localSheetId="13" hidden="1">#REF!</definedName>
    <definedName name="IQRPrivateOwnershipC3" localSheetId="32" hidden="1">#REF!</definedName>
    <definedName name="IQRPrivateOwnershipC3" localSheetId="8" hidden="1">#REF!</definedName>
    <definedName name="IQRPrivateOwnershipC3" hidden="1">#REF!</definedName>
    <definedName name="IQRPrivateOwnershipC5" localSheetId="13" hidden="1">#REF!</definedName>
    <definedName name="IQRPrivateOwnershipC5" localSheetId="32" hidden="1">#REF!</definedName>
    <definedName name="IQRPrivateOwnershipC5" localSheetId="8" hidden="1">#REF!</definedName>
    <definedName name="IQRPrivateOwnershipC5" hidden="1">#REF!</definedName>
    <definedName name="IQRPrivateOwnershipC7" localSheetId="13" hidden="1">'Private Ownership'!#REF!</definedName>
    <definedName name="IQRPrivateOwnershipC7" localSheetId="32" hidden="1">'[3]Private Ownership'!#REF!</definedName>
    <definedName name="IQRPrivateOwnershipC7" localSheetId="9" hidden="1">'[2]Private Ownership'!#REF!</definedName>
    <definedName name="IQRPrivateOwnershipC7" localSheetId="8" hidden="1">'[2]Private Ownership'!#REF!</definedName>
    <definedName name="IQRPrivateOwnershipC7" hidden="1">'Private Ownership'!#REF!</definedName>
    <definedName name="IQRPrivateOwnershipD16" localSheetId="13" hidden="1">#REF!</definedName>
    <definedName name="IQRPrivateOwnershipD16" localSheetId="32" hidden="1">#REF!</definedName>
    <definedName name="IQRPrivateOwnershipD16" localSheetId="8" hidden="1">#REF!</definedName>
    <definedName name="IQRPrivateOwnershipD16" hidden="1">#REF!</definedName>
    <definedName name="IQRPrivateOwnershipD29" localSheetId="13" hidden="1">#REF!</definedName>
    <definedName name="IQRPrivateOwnershipD29" localSheetId="32" hidden="1">#REF!</definedName>
    <definedName name="IQRPrivateOwnershipD29" localSheetId="8" hidden="1">#REF!</definedName>
    <definedName name="IQRPrivateOwnershipD29" hidden="1">#REF!</definedName>
    <definedName name="IQRPrivateOwnershipD3" localSheetId="13" hidden="1">#REF!</definedName>
    <definedName name="IQRPrivateOwnershipD3" localSheetId="32" hidden="1">#REF!</definedName>
    <definedName name="IQRPrivateOwnershipD3" localSheetId="8" hidden="1">#REF!</definedName>
    <definedName name="IQRPrivateOwnershipD3" hidden="1">#REF!</definedName>
    <definedName name="IQRPrivateOwnershipD5" localSheetId="13" hidden="1">#REF!</definedName>
    <definedName name="IQRPrivateOwnershipD5" localSheetId="32" hidden="1">#REF!</definedName>
    <definedName name="IQRPrivateOwnershipD5" localSheetId="8" hidden="1">#REF!</definedName>
    <definedName name="IQRPrivateOwnershipD5" hidden="1">#REF!</definedName>
    <definedName name="IQRPrivateOwnershipE3" localSheetId="13" hidden="1">#REF!</definedName>
    <definedName name="IQRPrivateOwnershipE3" localSheetId="32" hidden="1">#REF!</definedName>
    <definedName name="IQRPrivateOwnershipE3" localSheetId="8" hidden="1">#REF!</definedName>
    <definedName name="IQRPrivateOwnershipE3" hidden="1">#REF!</definedName>
    <definedName name="IQRPrivateOwnershipE5" localSheetId="13" hidden="1">#REF!</definedName>
    <definedName name="IQRPrivateOwnershipE5" localSheetId="32" hidden="1">#REF!</definedName>
    <definedName name="IQRPrivateOwnershipE5" localSheetId="8" hidden="1">#REF!</definedName>
    <definedName name="IQRPrivateOwnershipE5" hidden="1">#REF!</definedName>
    <definedName name="IQRPrivateOwnershipF3" localSheetId="13" hidden="1">#REF!</definedName>
    <definedName name="IQRPrivateOwnershipF3" localSheetId="32" hidden="1">#REF!</definedName>
    <definedName name="IQRPrivateOwnershipF3" localSheetId="8" hidden="1">#REF!</definedName>
    <definedName name="IQRPrivateOwnershipF3" hidden="1">#REF!</definedName>
    <definedName name="IQRPrivateOwnershipG3" localSheetId="13" hidden="1">#REF!</definedName>
    <definedName name="IQRPrivateOwnershipG3" localSheetId="32" hidden="1">#REF!</definedName>
    <definedName name="IQRPrivateOwnershipG3" localSheetId="8" hidden="1">#REF!</definedName>
    <definedName name="IQRPrivateOwnershipG3" hidden="1">#REF!</definedName>
    <definedName name="IQRPrivateOwnershipG5" localSheetId="13" hidden="1">#REF!</definedName>
    <definedName name="IQRPrivateOwnershipG5" localSheetId="32" hidden="1">#REF!</definedName>
    <definedName name="IQRPrivateOwnershipG5" localSheetId="8" hidden="1">#REF!</definedName>
    <definedName name="IQRPrivateOwnershipG5" hidden="1">#REF!</definedName>
    <definedName name="IQRPrivateOwnershipH3" localSheetId="13" hidden="1">#REF!</definedName>
    <definedName name="IQRPrivateOwnershipH3" localSheetId="32" hidden="1">#REF!</definedName>
    <definedName name="IQRPrivateOwnershipH3" localSheetId="8" hidden="1">#REF!</definedName>
    <definedName name="IQRPrivateOwnershipH3" hidden="1">#REF!</definedName>
    <definedName name="IQRPrivateOwnershipH5" localSheetId="13" hidden="1">#REF!</definedName>
    <definedName name="IQRPrivateOwnershipH5" localSheetId="32" hidden="1">#REF!</definedName>
    <definedName name="IQRPrivateOwnershipH5" localSheetId="8" hidden="1">#REF!</definedName>
    <definedName name="IQRPrivateOwnershipH5" hidden="1">#REF!</definedName>
    <definedName name="IQRPrivateOwnershipI3" localSheetId="13" hidden="1">#REF!</definedName>
    <definedName name="IQRPrivateOwnershipI3" localSheetId="32" hidden="1">#REF!</definedName>
    <definedName name="IQRPrivateOwnershipI3" localSheetId="8" hidden="1">#REF!</definedName>
    <definedName name="IQRPrivateOwnershipI3" hidden="1">#REF!</definedName>
    <definedName name="IQRPrivateOwnershipI5" localSheetId="13" hidden="1">#REF!</definedName>
    <definedName name="IQRPrivateOwnershipI5" localSheetId="32" hidden="1">#REF!</definedName>
    <definedName name="IQRPrivateOwnershipI5" localSheetId="8" hidden="1">#REF!</definedName>
    <definedName name="IQRPrivateOwnershipI5" hidden="1">#REF!</definedName>
    <definedName name="IQRPrivateOwnershipJ5" localSheetId="13" hidden="1">#REF!</definedName>
    <definedName name="IQRPrivateOwnershipJ5" localSheetId="32" hidden="1">#REF!</definedName>
    <definedName name="IQRPrivateOwnershipJ5" localSheetId="8" hidden="1">#REF!</definedName>
    <definedName name="IQRPrivateOwnershipJ5" hidden="1">#REF!</definedName>
    <definedName name="IQRPrivateOwnershipN5" localSheetId="13" hidden="1">#REF!</definedName>
    <definedName name="IQRPrivateOwnershipN5" localSheetId="32" hidden="1">#REF!</definedName>
    <definedName name="IQRPrivateOwnershipN5" localSheetId="8" hidden="1">#REF!</definedName>
    <definedName name="IQRPrivateOwnershipN5" hidden="1">#REF!</definedName>
    <definedName name="IQRPrivateOwnershipO5" localSheetId="13" hidden="1">#REF!</definedName>
    <definedName name="IQRPrivateOwnershipO5" localSheetId="32" hidden="1">#REF!</definedName>
    <definedName name="IQRPrivateOwnershipO5" localSheetId="8" hidden="1">#REF!</definedName>
    <definedName name="IQRPrivateOwnershipO5" hidden="1">#REF!</definedName>
    <definedName name="IQRPrivateOwnershipP5" localSheetId="13" hidden="1">#REF!</definedName>
    <definedName name="IQRPrivateOwnershipP5" localSheetId="32" hidden="1">#REF!</definedName>
    <definedName name="IQRPrivateOwnershipP5" localSheetId="8" hidden="1">#REF!</definedName>
    <definedName name="IQRPrivateOwnershipP5" hidden="1">#REF!</definedName>
    <definedName name="IQRPrivateOwnershipQ5" localSheetId="13" hidden="1">#REF!</definedName>
    <definedName name="IQRPrivateOwnershipQ5" localSheetId="32" hidden="1">#REF!</definedName>
    <definedName name="IQRPrivateOwnershipQ5" localSheetId="8" hidden="1">#REF!</definedName>
    <definedName name="IQRPrivateOwnershipQ5" hidden="1">#REF!</definedName>
    <definedName name="IQRProfessionalsB19" hidden="1">Professionals!$B$26:$B$32</definedName>
    <definedName name="IQRProfessionalsB6" hidden="1">Professionals!$B$19:$B$25</definedName>
    <definedName name="IQRProfessionalsC19" hidden="1">Professionals!$C$26:$C$32</definedName>
    <definedName name="IQRProfessionalsC6" hidden="1">Professionals!$C$19:$C$25</definedName>
    <definedName name="IQRQ14" hidden="1">"$Q$15:$Q$114"</definedName>
    <definedName name="IQRQ7" hidden="1">"$Q$8:$Q$168"</definedName>
    <definedName name="IQRQ8" hidden="1">"$Q$9:$Q$321"</definedName>
    <definedName name="IQRR5" hidden="1">"$R$6:$R$934"</definedName>
    <definedName name="IQRR7" hidden="1">"$R$8:$R$94"</definedName>
    <definedName name="IQRR8" hidden="1">"$R$9:$R$321"</definedName>
    <definedName name="IQRRevenuebySegmentB17" hidden="1">'CIQ Segments'!$B$26:$B$36</definedName>
    <definedName name="IQRRevenuebySegmentB18" hidden="1">'CIQ Segments'!$B$26:$B$36</definedName>
    <definedName name="IQRRevenuebySegmentB3" hidden="1">'CIQ Segments'!$B$12:$B$17</definedName>
    <definedName name="IQRRevenuebySegmentB31" hidden="1">'CIQ Segments'!$B$40:$B$50</definedName>
    <definedName name="IQRRevenuebySegmentB4" hidden="1">'CIQ Segments'!$B$12:$B$17</definedName>
    <definedName name="IQRRevenuebySegmentC17" hidden="1">'CIQ Segments'!$D$26:$D$36</definedName>
    <definedName name="IQRRevenuebySegmentC18" hidden="1">'CIQ Segments'!$D$26:$D$36</definedName>
    <definedName name="IQRRevenuebySegmentC3" hidden="1">'CIQ Segments'!$D$12:$D$17</definedName>
    <definedName name="IQRRevenuebySegmentC4" hidden="1">'CIQ Segments'!$D$12:$D$17</definedName>
    <definedName name="IQRRevenuebySegmentD17" hidden="1">'CIQ Segments'!$E$26:$E$36</definedName>
    <definedName name="IQRRevenuebySegmentD18" hidden="1">'CIQ Segments'!$E$26:$E$36</definedName>
    <definedName name="IQRRevenuebySegmentD3" hidden="1">'CIQ Segments'!$E$12:$E$17</definedName>
    <definedName name="IQRRevenuebySegmentD32" hidden="1">'CIQ Segments'!$E$41:$E$46</definedName>
    <definedName name="IQRRevenuebySegmentD4" hidden="1">'CIQ Segments'!$E$12:$E$17</definedName>
    <definedName name="IQRRevenuebySegmentE17" hidden="1">'CIQ Segments'!$F$26:$F$36</definedName>
    <definedName name="IQRRevenuebySegmentE18" hidden="1">'CIQ Segments'!$F$26:$F$36</definedName>
    <definedName name="IQRRevenuebySegmentE3" hidden="1">'CIQ Segments'!$F$12:$F$17</definedName>
    <definedName name="IQRRevenuebySegmentE4" hidden="1">'CIQ Segments'!$F$12:$F$17</definedName>
    <definedName name="IQRRevenuebySegmentF17" hidden="1">'CIQ Segments'!$G$26:$G$36</definedName>
    <definedName name="IQRRevenuebySegmentF18" hidden="1">'CIQ Segments'!$G$26:$G$36</definedName>
    <definedName name="IQRRevenuebySegmentF3" hidden="1">'CIQ Segments'!$G$12:$G$17</definedName>
    <definedName name="IQRRevenuebySegmentF4" hidden="1">'CIQ Segments'!$G$12:$G$17</definedName>
    <definedName name="IQRRevenuebySegmentG17" hidden="1">'CIQ Segments'!$H$26:$H$36</definedName>
    <definedName name="IQRRevenuebySegmentG18" hidden="1">'CIQ Segments'!$H$26:$H$36</definedName>
    <definedName name="IQRRevenuebySegmentG3" hidden="1">'CIQ Segments'!$H$12:$H$17</definedName>
    <definedName name="IQRRevenuebySegmentG32" hidden="1">'CIQ Segments'!$H$41:$H$46</definedName>
    <definedName name="IQRRevenuebySegmentG4" hidden="1">'CIQ Segments'!$H$12:$H$17</definedName>
    <definedName name="IQRRevenuebySegmentG6" hidden="1">'CIQ Segments'!$D$12:$D$16</definedName>
    <definedName name="IQRRevenuebySegmentH17" hidden="1">'CIQ Segments'!$I$26:$I$36</definedName>
    <definedName name="IQRRevenuebySegmentH18" hidden="1">'CIQ Segments'!$I$26:$I$36</definedName>
    <definedName name="IQRRevenuebySegmentH3" hidden="1">'CIQ Segments'!$I$12:$I$17</definedName>
    <definedName name="IQRRevenuebySegmentH4" hidden="1">'CIQ Segments'!$I$12:$I$17</definedName>
    <definedName name="IQRRevenuebySegmentsB18" hidden="1">'CIQ Segments'!$B$26:$B$36</definedName>
    <definedName name="IQRRevenuebySegmentsB19" hidden="1">'CIQ Segments'!$B$25:$B$35</definedName>
    <definedName name="IQRRevenuebySegmentsB21" hidden="1">'CIQ Segments'!$B$26:$B$36</definedName>
    <definedName name="IQRRevenuebySegmentsB23" hidden="1">'CIQ Segments'!$B$26:$B$36</definedName>
    <definedName name="IQRRevenuebySegmentsB32" hidden="1">'CIQ Segments'!$B$40:$B$50</definedName>
    <definedName name="IQRRevenuebySegmentsB33" hidden="1">'CIQ Segments'!$B$39:$B$49</definedName>
    <definedName name="IQRRevenuebySegmentsB4" hidden="1">'CIQ Segments'!$B$11:$B$16</definedName>
    <definedName name="IQRRevenuebySegmentsB5" hidden="1">'CIQ Segments'!$B$10:$B$15</definedName>
    <definedName name="IQRRevenuebySegmentsB6" hidden="1">'CIQ Segments'!$B$11:$B$16</definedName>
    <definedName name="IQRRevenuebySegmentsB8" hidden="1">'CIQ Segments'!$B$11:$B$16</definedName>
    <definedName name="IQRRevenuebySegmentsC18" hidden="1">'CIQ Segments'!$D$26:$D$36</definedName>
    <definedName name="IQRRevenuebySegmentsC19" hidden="1">'CIQ Segments'!$D$25:$D$35</definedName>
    <definedName name="IQRRevenuebySegmentsC21" hidden="1">'CIQ Segments'!$D$26:$D$36</definedName>
    <definedName name="IQRRevenuebySegmentsC23" hidden="1">'CIQ Segments'!$D$26:$D$36</definedName>
    <definedName name="IQRRevenuebySegmentsC4" hidden="1">'CIQ Segments'!$D$11:$D$16</definedName>
    <definedName name="IQRRevenuebySegmentsC5" hidden="1">'CIQ Segments'!$D$10:$D$15</definedName>
    <definedName name="IQRRevenuebySegmentsC6" hidden="1">'CIQ Segments'!$D$11:$D$16</definedName>
    <definedName name="IQRRevenuebySegmentsC8" hidden="1">'CIQ Segments'!$D$11:$D$16</definedName>
    <definedName name="IQRRevenuebySegmentsD18" hidden="1">'CIQ Segments'!$E$26:$E$36</definedName>
    <definedName name="IQRRevenuebySegmentsD19" hidden="1">'CIQ Segments'!$E$25:$E$35</definedName>
    <definedName name="IQRRevenuebySegmentsD21" hidden="1">'CIQ Segments'!$E$26:$E$36</definedName>
    <definedName name="IQRRevenuebySegmentsD23" hidden="1">'CIQ Segments'!$E$26:$E$36</definedName>
    <definedName name="IQRRevenuebySegmentsD4" hidden="1">'CIQ Segments'!$E$11:$E$16</definedName>
    <definedName name="IQRRevenuebySegmentsD5" hidden="1">'CIQ Segments'!$E$10:$E$15</definedName>
    <definedName name="IQRRevenuebySegmentsD6" hidden="1">'CIQ Segments'!$E$11:$E$16</definedName>
    <definedName name="IQRRevenuebySegmentsD8" hidden="1">'CIQ Segments'!$E$11:$E$16</definedName>
    <definedName name="IQRRevenuebySegmentsE18" hidden="1">'CIQ Segments'!$F$26:$F$36</definedName>
    <definedName name="IQRRevenuebySegmentsE19" hidden="1">'CIQ Segments'!$F$25:$F$35</definedName>
    <definedName name="IQRRevenuebySegmentsE21" hidden="1">'CIQ Segments'!$F$26:$F$36</definedName>
    <definedName name="IQRRevenuebySegmentsE23" hidden="1">'CIQ Segments'!$F$26:$F$36</definedName>
    <definedName name="IQRRevenuebySegmentsE4" hidden="1">'CIQ Segments'!$F$11:$F$16</definedName>
    <definedName name="IQRRevenuebySegmentsE5" hidden="1">'CIQ Segments'!$F$10:$F$15</definedName>
    <definedName name="IQRRevenuebySegmentsE6" hidden="1">'CIQ Segments'!$F$11:$F$16</definedName>
    <definedName name="IQRRevenuebySegmentsE8" hidden="1">'CIQ Segments'!$F$11:$F$16</definedName>
    <definedName name="IQRRevenuebySegmentsF18" hidden="1">'CIQ Segments'!$G$26:$G$36</definedName>
    <definedName name="IQRRevenuebySegmentsF19" hidden="1">'CIQ Segments'!$G$25:$G$35</definedName>
    <definedName name="IQRRevenuebySegmentsF21" hidden="1">'CIQ Segments'!$G$26:$G$36</definedName>
    <definedName name="IQRRevenuebySegmentsF23" hidden="1">'CIQ Segments'!$G$26:$G$36</definedName>
    <definedName name="IQRRevenuebySegmentsF4" hidden="1">'CIQ Segments'!$G$11:$G$16</definedName>
    <definedName name="IQRRevenuebySegmentsF5" hidden="1">'CIQ Segments'!$G$10:$G$15</definedName>
    <definedName name="IQRRevenuebySegmentsF6" hidden="1">'CIQ Segments'!$G$11:$G$16</definedName>
    <definedName name="IQRRevenuebySegmentsF8" hidden="1">'CIQ Segments'!$G$11:$G$16</definedName>
    <definedName name="IQRRevenuebySegmentsG18" hidden="1">'CIQ Segments'!$H$26:$H$36</definedName>
    <definedName name="IQRRevenuebySegmentsG19" hidden="1">'CIQ Segments'!$H$25:$H$35</definedName>
    <definedName name="IQRRevenuebySegmentsG21" hidden="1">'CIQ Segments'!$H$26:$H$36</definedName>
    <definedName name="IQRRevenuebySegmentsG23" hidden="1">'CIQ Segments'!$H$26:$H$36</definedName>
    <definedName name="IQRRevenuebySegmentsG4" hidden="1">'CIQ Segments'!$H$11:$H$16</definedName>
    <definedName name="IQRRevenuebySegmentsG5" hidden="1">'CIQ Segments'!$H$10:$H$15</definedName>
    <definedName name="IQRRevenuebySegmentsG6" hidden="1">'CIQ Segments'!$H$11:$H$16</definedName>
    <definedName name="IQRRevenuebySegmentsG8" hidden="1">'CIQ Segments'!$H$11:$H$16</definedName>
    <definedName name="IQRRevenuebySegmentsH18" hidden="1">'CIQ Segments'!$I$26:$I$36</definedName>
    <definedName name="IQRRevenuebySegmentsH19" hidden="1">'CIQ Segments'!$I$25:$I$35</definedName>
    <definedName name="IQRRevenuebySegmentsH21" hidden="1">'CIQ Segments'!$I$26:$I$36</definedName>
    <definedName name="IQRRevenuebySegmentsH23" hidden="1">'CIQ Segments'!$I$26:$I$36</definedName>
    <definedName name="IQRRevenuebySegmentsH4" hidden="1">'CIQ Segments'!$I$11:$I$16</definedName>
    <definedName name="IQRRevenuebySegmentsH5" hidden="1">'CIQ Segments'!$I$10:$I$15</definedName>
    <definedName name="IQRRevenuebySegmentsH6" hidden="1">'CIQ Segments'!$I$11:$I$16</definedName>
    <definedName name="IQRRevenuebySegmentsH8" hidden="1">'CIQ Segments'!$I$11:$I$16</definedName>
    <definedName name="IQRRevision2S7" localSheetId="32" hidden="1">'CIQ Revision'!$S$6:$S$58</definedName>
    <definedName name="IQRRevision2S7" hidden="1">#REF!</definedName>
    <definedName name="IQRRevisionS4" localSheetId="32" hidden="1">'CIQ Revision'!$B$8:$B$58</definedName>
    <definedName name="IQRRevisionS4" hidden="1">#REF!</definedName>
    <definedName name="IQRRevisionS5" localSheetId="32" hidden="1">'CIQ Revision'!$B$8:$B$59</definedName>
    <definedName name="IQRRevisionS5" hidden="1">#REF!</definedName>
    <definedName name="IQRRevisionS6" localSheetId="32" hidden="1">'CIQ Revision'!$B$8:$B$59</definedName>
    <definedName name="IQRRevisionS6" hidden="1">#REF!</definedName>
    <definedName name="IQRRevisionS7" localSheetId="32" hidden="1">'CIQ Revision'!$B$8:$B$59</definedName>
    <definedName name="IQRRevisionS7" localSheetId="8" hidden="1">[11]Revision!$S$8:$S$59</definedName>
    <definedName name="IQRRevisionS7" hidden="1">[11]Revision!$S$8:$S$59</definedName>
    <definedName name="IQRRevisionS8" localSheetId="32" hidden="1">'CIQ Revision'!$B$8:$B$59</definedName>
    <definedName name="IQRRevisionS8" hidden="1">#REF!</definedName>
    <definedName name="IQRRevisionS9" localSheetId="32" hidden="1">[8]Revision!$S$10:$S$61</definedName>
    <definedName name="IQRRevisionS9" localSheetId="8" hidden="1">[8]Revision!$S$10:$S$61</definedName>
    <definedName name="IQRRevisionS9" hidden="1">[8]Revision!$S$10:$S$61</definedName>
    <definedName name="IQRRevisionT7" localSheetId="13" hidden="1">#REF!</definedName>
    <definedName name="IQRRevisionT7" localSheetId="32" hidden="1">'CIQ Revision'!$S$6:$S$58</definedName>
    <definedName name="IQRRevisionT7" localSheetId="8" hidden="1">#REF!</definedName>
    <definedName name="IQRRevisionT7" hidden="1">#REF!</definedName>
    <definedName name="IQRRevisionZ7" localSheetId="13" hidden="1">#REF!</definedName>
    <definedName name="IQRRevisionZ7" localSheetId="32" hidden="1">'CIQ Revision'!$S$6:$S$58</definedName>
    <definedName name="IQRRevisionZ7" localSheetId="8" hidden="1">#REF!</definedName>
    <definedName name="IQRRevisionZ7" hidden="1">#REF!</definedName>
    <definedName name="IQRRevisionZ9" localSheetId="13" hidden="1">#REF!</definedName>
    <definedName name="IQRRevisionZ9" localSheetId="32" hidden="1">'CIQ Revision'!$S$6:$S$58</definedName>
    <definedName name="IQRRevisionZ9" localSheetId="8" hidden="1">#REF!</definedName>
    <definedName name="IQRRevisionZ9" hidden="1">#REF!</definedName>
    <definedName name="IQRS12" hidden="1">"$S$13:$S$264"</definedName>
    <definedName name="IQRS14" hidden="1">"$S$15:$S$114"</definedName>
    <definedName name="IQRS7" hidden="1">"$S$8:$S$62"</definedName>
    <definedName name="IQRS8" localSheetId="5" hidden="1">"$S$9"</definedName>
    <definedName name="IQRS8" hidden="1">"$S$9:$S$60"</definedName>
    <definedName name="IQRSegmentsB24" hidden="1">'CIQ Segments'!$B$26:$B$36</definedName>
    <definedName name="IQRSegmentsB9" hidden="1">'CIQ Segments'!$B$11:$B$16</definedName>
    <definedName name="IQRSegmentsC24" hidden="1">'CIQ Segments'!$C$26:$C$36</definedName>
    <definedName name="IQRSegmentsC9" hidden="1">'CIQ Segments'!$C$11:$C$16</definedName>
    <definedName name="IQRSegmentsD24" hidden="1">'CIQ Segments'!$D$26:$D$36</definedName>
    <definedName name="IQRSegmentsD9" hidden="1">'CIQ Segments'!$D$11:$D$16</definedName>
    <definedName name="IQRSegmentsE24" hidden="1">'CIQ Segments'!$E$26:$E$36</definedName>
    <definedName name="IQRSegmentsE9" hidden="1">'CIQ Segments'!$E$11:$E$16</definedName>
    <definedName name="IQRSegmentsF24" hidden="1">'CIQ Segments'!$F$26:$F$36</definedName>
    <definedName name="IQRSegmentsF9" hidden="1">'CIQ Segments'!$F$11:$F$16</definedName>
    <definedName name="IQRSegmentsG24" hidden="1">'CIQ Segments'!$G$26:$G$36</definedName>
    <definedName name="IQRSegmentsG9" hidden="1">'CIQ Segments'!$G$11:$G$16</definedName>
    <definedName name="IQRSegmentsH24" hidden="1">'CIQ Segments'!$H$26:$H$36</definedName>
    <definedName name="IQRSegmentsH9" hidden="1">'CIQ Segments'!$H$11:$H$16</definedName>
    <definedName name="IQRSegmentsI24" hidden="1">'CIQ Segments'!$I$26:$I$36</definedName>
    <definedName name="IQRSegmentsI9" hidden="1">'CIQ Segments'!$I$11:$I$16</definedName>
    <definedName name="IQRShareDetailsAA7" localSheetId="13" hidden="1">#REF!</definedName>
    <definedName name="IQRShareDetailsAA7" localSheetId="32" hidden="1">#REF!</definedName>
    <definedName name="IQRShareDetailsAA7" localSheetId="8" hidden="1">#REF!</definedName>
    <definedName name="IQRShareDetailsAA7" hidden="1">#REF!</definedName>
    <definedName name="IQRShareDetailsAG11" localSheetId="13" hidden="1">#REF!</definedName>
    <definedName name="IQRShareDetailsAG11" localSheetId="32" hidden="1">'[9]Share Details'!#REF!</definedName>
    <definedName name="IQRShareDetailsAG11" localSheetId="8" hidden="1">#REF!</definedName>
    <definedName name="IQRShareDetailsAG11" hidden="1">#REF!</definedName>
    <definedName name="IQRShareDetailsAG9" localSheetId="13" hidden="1">#REF!</definedName>
    <definedName name="IQRShareDetailsAG9" localSheetId="32" hidden="1">#REF!</definedName>
    <definedName name="IQRShareDetailsAG9" localSheetId="8" hidden="1">#REF!</definedName>
    <definedName name="IQRShareDetailsAG9" hidden="1">#REF!</definedName>
    <definedName name="IQRShareDetailsAH9" localSheetId="13" hidden="1">#REF!</definedName>
    <definedName name="IQRShareDetailsAH9" localSheetId="32" hidden="1">#REF!</definedName>
    <definedName name="IQRShareDetailsAH9" localSheetId="8" hidden="1">#REF!</definedName>
    <definedName name="IQRShareDetailsAH9" hidden="1">#REF!</definedName>
    <definedName name="IQRShareDetailsAP10" localSheetId="13" hidden="1">#REF!</definedName>
    <definedName name="IQRShareDetailsAP10" localSheetId="32" hidden="1">#REF!</definedName>
    <definedName name="IQRShareDetailsAP10" localSheetId="8" hidden="1">#REF!</definedName>
    <definedName name="IQRShareDetailsAP10" hidden="1">#REF!</definedName>
    <definedName name="IQRShareDetailsC14" localSheetId="13" hidden="1">#REF!</definedName>
    <definedName name="IQRShareDetailsC14" localSheetId="32" hidden="1">#REF!</definedName>
    <definedName name="IQRShareDetailsC14" localSheetId="8" hidden="1">#REF!</definedName>
    <definedName name="IQRShareDetailsC14" hidden="1">#REF!</definedName>
    <definedName name="IQRShareDetailsC16" localSheetId="13" hidden="1">#REF!</definedName>
    <definedName name="IQRShareDetailsC16" localSheetId="32" hidden="1">#REF!</definedName>
    <definedName name="IQRShareDetailsC16" localSheetId="8" hidden="1">#REF!</definedName>
    <definedName name="IQRShareDetailsC16" hidden="1">#REF!</definedName>
    <definedName name="IQRShareDetailsCV10" localSheetId="13" hidden="1">#REF!</definedName>
    <definedName name="IQRShareDetailsCV10" localSheetId="32" hidden="1">#REF!</definedName>
    <definedName name="IQRShareDetailsCV10" localSheetId="8" hidden="1">#REF!</definedName>
    <definedName name="IQRShareDetailsCV10" hidden="1">#REF!</definedName>
    <definedName name="IQRShareDetailsCV14" localSheetId="13" hidden="1">#REF!</definedName>
    <definedName name="IQRShareDetailsCV14" localSheetId="32" hidden="1">#REF!</definedName>
    <definedName name="IQRShareDetailsCV14" localSheetId="8" hidden="1">#REF!</definedName>
    <definedName name="IQRShareDetailsCV14" hidden="1">#REF!</definedName>
    <definedName name="IQRShareDetailsCZ9" localSheetId="13" hidden="1">#REF!</definedName>
    <definedName name="IQRShareDetailsCZ9" localSheetId="32" hidden="1">#REF!</definedName>
    <definedName name="IQRShareDetailsCZ9" localSheetId="8" hidden="1">#REF!</definedName>
    <definedName name="IQRShareDetailsCZ9" hidden="1">#REF!</definedName>
    <definedName name="IQRShareDetailsD14" localSheetId="13" hidden="1">#REF!</definedName>
    <definedName name="IQRShareDetailsD14" localSheetId="32" hidden="1">#REF!</definedName>
    <definedName name="IQRShareDetailsD14" localSheetId="8" hidden="1">#REF!</definedName>
    <definedName name="IQRShareDetailsD14" hidden="1">#REF!</definedName>
    <definedName name="IQRShareDetailsD17" localSheetId="13" hidden="1">#REF!</definedName>
    <definedName name="IQRShareDetailsD17" localSheetId="32" hidden="1">#REF!</definedName>
    <definedName name="IQRShareDetailsD17" localSheetId="8" hidden="1">#REF!</definedName>
    <definedName name="IQRShareDetailsD17" hidden="1">#REF!</definedName>
    <definedName name="IQRShareDetailsD22" localSheetId="13" hidden="1">#REF!</definedName>
    <definedName name="IQRShareDetailsD22" localSheetId="32" hidden="1">#REF!</definedName>
    <definedName name="IQRShareDetailsD22" localSheetId="8" hidden="1">#REF!</definedName>
    <definedName name="IQRShareDetailsD22" hidden="1">#REF!</definedName>
    <definedName name="IQRShareDetailsDL9" localSheetId="13" hidden="1">#REF!</definedName>
    <definedName name="IQRShareDetailsDL9" localSheetId="32" hidden="1">#REF!</definedName>
    <definedName name="IQRShareDetailsDL9" localSheetId="8" hidden="1">#REF!</definedName>
    <definedName name="IQRShareDetailsDL9" hidden="1">#REF!</definedName>
    <definedName name="IQRShareDetailsEB9" localSheetId="13" hidden="1">#REF!</definedName>
    <definedName name="IQRShareDetailsEB9" localSheetId="32" hidden="1">#REF!</definedName>
    <definedName name="IQRShareDetailsEB9" localSheetId="8" hidden="1">#REF!</definedName>
    <definedName name="IQRShareDetailsEB9" hidden="1">#REF!</definedName>
    <definedName name="IQRShareDetailsFE11" localSheetId="13" hidden="1">#REF!</definedName>
    <definedName name="IQRShareDetailsFE11" localSheetId="32" hidden="1">'[9]Share Details'!#REF!</definedName>
    <definedName name="IQRShareDetailsFE11" localSheetId="8" hidden="1">#REF!</definedName>
    <definedName name="IQRShareDetailsFE11" hidden="1">#REF!</definedName>
    <definedName name="IQRShareDetailsFH11" localSheetId="13" hidden="1">#REF!</definedName>
    <definedName name="IQRShareDetailsFH11" localSheetId="32" hidden="1">'[9]Share Details'!#REF!</definedName>
    <definedName name="IQRShareDetailsFH11" localSheetId="8" hidden="1">#REF!</definedName>
    <definedName name="IQRShareDetailsFH11" hidden="1">#REF!</definedName>
    <definedName name="IQRShareDetailsFO11" localSheetId="32" hidden="1">'[9]Share Details'!#REF!</definedName>
    <definedName name="IQRShareDetailsFO11" localSheetId="8" hidden="1">'[12]Share Details'!$FO$12</definedName>
    <definedName name="IQRShareDetailsFO11" hidden="1">'[12]Share Details'!$FO$12</definedName>
    <definedName name="IQRShareDetailsFO7" localSheetId="13" hidden="1">#REF!</definedName>
    <definedName name="IQRShareDetailsFO7" localSheetId="32" hidden="1">'[9]Share Details'!#REF!</definedName>
    <definedName name="IQRShareDetailsFO7" localSheetId="8" hidden="1">#REF!</definedName>
    <definedName name="IQRShareDetailsFO7" hidden="1">#REF!</definedName>
    <definedName name="IQRShareDetailsFR11" localSheetId="32" hidden="1">'[9]Share Details'!#REF!</definedName>
    <definedName name="IQRShareDetailsFR11" localSheetId="8" hidden="1">'[12]Share Details'!$FR$12</definedName>
    <definedName name="IQRShareDetailsFR11" hidden="1">'[12]Share Details'!$FR$12</definedName>
    <definedName name="IQRShareDetailsFR7" localSheetId="13" hidden="1">#REF!</definedName>
    <definedName name="IQRShareDetailsFR7" localSheetId="32" hidden="1">'[9]Share Details'!#REF!</definedName>
    <definedName name="IQRShareDetailsFR7" localSheetId="8" hidden="1">#REF!</definedName>
    <definedName name="IQRShareDetailsFR7" hidden="1">#REF!</definedName>
    <definedName name="IQRShareDetailsFU11" localSheetId="13" hidden="1">#REF!</definedName>
    <definedName name="IQRShareDetailsFU11" localSheetId="32" hidden="1">'[9]Share Details'!#REF!</definedName>
    <definedName name="IQRShareDetailsFU11" localSheetId="8" hidden="1">#REF!</definedName>
    <definedName name="IQRShareDetailsFU11" hidden="1">#REF!</definedName>
    <definedName name="IQRShareDetailsG23" localSheetId="13" hidden="1">#REF!</definedName>
    <definedName name="IQRShareDetailsG23" localSheetId="32" hidden="1">#REF!</definedName>
    <definedName name="IQRShareDetailsG23" localSheetId="8" hidden="1">#REF!</definedName>
    <definedName name="IQRShareDetailsG23" hidden="1">#REF!</definedName>
    <definedName name="IQRShareDetailsG24" localSheetId="13" hidden="1">#REF!</definedName>
    <definedName name="IQRShareDetailsG24" localSheetId="32" hidden="1">#REF!</definedName>
    <definedName name="IQRShareDetailsG24" localSheetId="8" hidden="1">#REF!</definedName>
    <definedName name="IQRShareDetailsG24" hidden="1">#REF!</definedName>
    <definedName name="IQRShareDetailsG25" localSheetId="13" hidden="1">#REF!</definedName>
    <definedName name="IQRShareDetailsG25" localSheetId="32" hidden="1">#REF!</definedName>
    <definedName name="IQRShareDetailsG25" localSheetId="8" hidden="1">#REF!</definedName>
    <definedName name="IQRShareDetailsG25" hidden="1">#REF!</definedName>
    <definedName name="IQRShareDetailsG26" localSheetId="13" hidden="1">#REF!</definedName>
    <definedName name="IQRShareDetailsG26" localSheetId="32" hidden="1">#REF!</definedName>
    <definedName name="IQRShareDetailsG26" localSheetId="8" hidden="1">#REF!</definedName>
    <definedName name="IQRShareDetailsG26" hidden="1">#REF!</definedName>
    <definedName name="IQRShareDetailsG40" localSheetId="13" hidden="1">#REF!</definedName>
    <definedName name="IQRShareDetailsG40" localSheetId="32" hidden="1">#REF!</definedName>
    <definedName name="IQRShareDetailsG40" localSheetId="8" hidden="1">#REF!</definedName>
    <definedName name="IQRShareDetailsG40" hidden="1">#REF!</definedName>
    <definedName name="IQRShareDetailsGB11" localSheetId="32" hidden="1">'[9]Share Details'!#REF!</definedName>
    <definedName name="IQRShareDetailsGB11" localSheetId="8" hidden="1">'[12]Share Details'!$GB$12</definedName>
    <definedName name="IQRShareDetailsGB11" hidden="1">'[12]Share Details'!$GB$12</definedName>
    <definedName name="IQRShareDetailsGB7" localSheetId="13" hidden="1">#REF!</definedName>
    <definedName name="IQRShareDetailsGB7" localSheetId="32" hidden="1">'[9]Share Details'!#REF!</definedName>
    <definedName name="IQRShareDetailsGB7" localSheetId="8" hidden="1">#REF!</definedName>
    <definedName name="IQRShareDetailsGB7" hidden="1">#REF!</definedName>
    <definedName name="IQRShareDetailsGE11" localSheetId="32" hidden="1">'[9]Share Details'!#REF!</definedName>
    <definedName name="IQRShareDetailsGE11" localSheetId="8" hidden="1">'[12]Share Details'!$GE$12</definedName>
    <definedName name="IQRShareDetailsGE11" hidden="1">'[12]Share Details'!$GE$12</definedName>
    <definedName name="IQRShareDetailsGE7" localSheetId="13" hidden="1">#REF!</definedName>
    <definedName name="IQRShareDetailsGE7" localSheetId="32" hidden="1">'[9]Share Details'!#REF!</definedName>
    <definedName name="IQRShareDetailsGE7" localSheetId="8" hidden="1">#REF!</definedName>
    <definedName name="IQRShareDetailsGE7" hidden="1">#REF!</definedName>
    <definedName name="IQRShareDetailsH23" localSheetId="13" hidden="1">#REF!</definedName>
    <definedName name="IQRShareDetailsH23" localSheetId="32" hidden="1">#REF!</definedName>
    <definedName name="IQRShareDetailsH23" localSheetId="8" hidden="1">#REF!</definedName>
    <definedName name="IQRShareDetailsH23" hidden="1">#REF!</definedName>
    <definedName name="IQRShareDetailsH24" localSheetId="13" hidden="1">#REF!</definedName>
    <definedName name="IQRShareDetailsH24" localSheetId="32" hidden="1">#REF!</definedName>
    <definedName name="IQRShareDetailsH24" localSheetId="8" hidden="1">#REF!</definedName>
    <definedName name="IQRShareDetailsH24" hidden="1">#REF!</definedName>
    <definedName name="IQRShareDetailsH25" localSheetId="13" hidden="1">#REF!</definedName>
    <definedName name="IQRShareDetailsH25" localSheetId="32" hidden="1">#REF!</definedName>
    <definedName name="IQRShareDetailsH25" localSheetId="8" hidden="1">#REF!</definedName>
    <definedName name="IQRShareDetailsH25" hidden="1">#REF!</definedName>
    <definedName name="IQRShareDetailsH26" localSheetId="13" hidden="1">#REF!</definedName>
    <definedName name="IQRShareDetailsH26" localSheetId="32" hidden="1">#REF!</definedName>
    <definedName name="IQRShareDetailsH26" localSheetId="8" hidden="1">#REF!</definedName>
    <definedName name="IQRShareDetailsH26" hidden="1">#REF!</definedName>
    <definedName name="IQRShareDetailsIR9" localSheetId="13" hidden="1">#REF!</definedName>
    <definedName name="IQRShareDetailsIR9" localSheetId="32" hidden="1">#REF!</definedName>
    <definedName name="IQRShareDetailsIR9" localSheetId="8" hidden="1">#REF!</definedName>
    <definedName name="IQRShareDetailsIR9" hidden="1">#REF!</definedName>
    <definedName name="IQRShareDetailsJ23" localSheetId="13" hidden="1">#REF!</definedName>
    <definedName name="IQRShareDetailsJ23" localSheetId="32" hidden="1">#REF!</definedName>
    <definedName name="IQRShareDetailsJ23" localSheetId="8" hidden="1">#REF!</definedName>
    <definedName name="IQRShareDetailsJ23" hidden="1">#REF!</definedName>
    <definedName name="IQRShareDetailsJ24" localSheetId="13" hidden="1">#REF!</definedName>
    <definedName name="IQRShareDetailsJ24" localSheetId="32" hidden="1">#REF!</definedName>
    <definedName name="IQRShareDetailsJ24" localSheetId="8" hidden="1">#REF!</definedName>
    <definedName name="IQRShareDetailsJ24" hidden="1">#REF!</definedName>
    <definedName name="IQRShareDetailsJ40" localSheetId="13" hidden="1">#REF!</definedName>
    <definedName name="IQRShareDetailsJ40" localSheetId="32" hidden="1">#REF!</definedName>
    <definedName name="IQRShareDetailsJ40" localSheetId="8" hidden="1">#REF!</definedName>
    <definedName name="IQRShareDetailsJ40" hidden="1">#REF!</definedName>
    <definedName name="IQRShareDetailsK23" localSheetId="13" hidden="1">#REF!</definedName>
    <definedName name="IQRShareDetailsK23" localSheetId="32" hidden="1">#REF!</definedName>
    <definedName name="IQRShareDetailsK23" localSheetId="8" hidden="1">#REF!</definedName>
    <definedName name="IQRShareDetailsK23" hidden="1">#REF!</definedName>
    <definedName name="IQRShareDetailsK24" localSheetId="13" hidden="1">#REF!</definedName>
    <definedName name="IQRShareDetailsK24" localSheetId="32" hidden="1">#REF!</definedName>
    <definedName name="IQRShareDetailsK24" localSheetId="8" hidden="1">#REF!</definedName>
    <definedName name="IQRShareDetailsK24" hidden="1">#REF!</definedName>
    <definedName name="IQRShareDetailsK25" localSheetId="13" hidden="1">#REF!</definedName>
    <definedName name="IQRShareDetailsK25" localSheetId="32" hidden="1">#REF!</definedName>
    <definedName name="IQRShareDetailsK25" localSheetId="8" hidden="1">#REF!</definedName>
    <definedName name="IQRShareDetailsK25" hidden="1">#REF!</definedName>
    <definedName name="IQRShareDetailsK26" localSheetId="13" hidden="1">#REF!</definedName>
    <definedName name="IQRShareDetailsK26" localSheetId="32" hidden="1">#REF!</definedName>
    <definedName name="IQRShareDetailsK26" localSheetId="8" hidden="1">#REF!</definedName>
    <definedName name="IQRShareDetailsK26" hidden="1">#REF!</definedName>
    <definedName name="IQRShareDetailsK27" localSheetId="32" hidden="1">'[8]Share Details'!$K$28:$K$37</definedName>
    <definedName name="IQRShareDetailsK27" localSheetId="8" hidden="1">'[8]Share Details'!$K$28:$K$37</definedName>
    <definedName name="IQRShareDetailsK27" hidden="1">'[8]Share Details'!$K$28:$K$37</definedName>
    <definedName name="IQRShareDetailsL23" localSheetId="13" hidden="1">#REF!</definedName>
    <definedName name="IQRShareDetailsL23" localSheetId="32" hidden="1">#REF!</definedName>
    <definedName name="IQRShareDetailsL23" localSheetId="8" hidden="1">#REF!</definedName>
    <definedName name="IQRShareDetailsL23" hidden="1">#REF!</definedName>
    <definedName name="IQRShareDetailsL24" localSheetId="13" hidden="1">#REF!</definedName>
    <definedName name="IQRShareDetailsL24" localSheetId="32" hidden="1">#REF!</definedName>
    <definedName name="IQRShareDetailsL24" localSheetId="8" hidden="1">#REF!</definedName>
    <definedName name="IQRShareDetailsL24" hidden="1">#REF!</definedName>
    <definedName name="IQRShareDetailsL25" localSheetId="13" hidden="1">#REF!</definedName>
    <definedName name="IQRShareDetailsL25" localSheetId="32" hidden="1">#REF!</definedName>
    <definedName name="IQRShareDetailsL25" localSheetId="8" hidden="1">#REF!</definedName>
    <definedName name="IQRShareDetailsL25" hidden="1">#REF!</definedName>
    <definedName name="IQRShareDetailsL26" localSheetId="13" hidden="1">#REF!</definedName>
    <definedName name="IQRShareDetailsL26" localSheetId="32" hidden="1">#REF!</definedName>
    <definedName name="IQRShareDetailsL26" localSheetId="8" hidden="1">#REF!</definedName>
    <definedName name="IQRShareDetailsL26" hidden="1">#REF!</definedName>
    <definedName name="IQRShareDetailsL27" localSheetId="32" hidden="1">'[8]Share Details'!$L$28:$L$37</definedName>
    <definedName name="IQRShareDetailsL27" localSheetId="8" hidden="1">'[8]Share Details'!$L$28:$L$37</definedName>
    <definedName name="IQRShareDetailsL27" hidden="1">'[8]Share Details'!$L$28:$L$37</definedName>
    <definedName name="IQRShareDetailsLN4" localSheetId="13" hidden="1">#REF!</definedName>
    <definedName name="IQRShareDetailsLN4" localSheetId="32" hidden="1">#REF!</definedName>
    <definedName name="IQRShareDetailsLN4" localSheetId="8" hidden="1">#REF!</definedName>
    <definedName name="IQRShareDetailsLN4" hidden="1">#REF!</definedName>
    <definedName name="IQRShareDetailsLX4" localSheetId="13" hidden="1">#REF!</definedName>
    <definedName name="IQRShareDetailsLX4" localSheetId="32" hidden="1">#REF!</definedName>
    <definedName name="IQRShareDetailsLX4" localSheetId="8" hidden="1">#REF!</definedName>
    <definedName name="IQRShareDetailsLX4" hidden="1">#REF!</definedName>
    <definedName name="IQRShareDetailsLX9" localSheetId="13" hidden="1">#REF!</definedName>
    <definedName name="IQRShareDetailsLX9" localSheetId="32" hidden="1">#REF!</definedName>
    <definedName name="IQRShareDetailsLX9" localSheetId="8" hidden="1">#REF!</definedName>
    <definedName name="IQRShareDetailsLX9" hidden="1">#REF!</definedName>
    <definedName name="IQRShareDetailsM23" localSheetId="13" hidden="1">#REF!</definedName>
    <definedName name="IQRShareDetailsM23" localSheetId="32" hidden="1">#REF!</definedName>
    <definedName name="IQRShareDetailsM23" localSheetId="8" hidden="1">#REF!</definedName>
    <definedName name="IQRShareDetailsM23" hidden="1">#REF!</definedName>
    <definedName name="IQRShareDetailsM24" localSheetId="13" hidden="1">#REF!</definedName>
    <definedName name="IQRShareDetailsM24" localSheetId="32" hidden="1">#REF!</definedName>
    <definedName name="IQRShareDetailsM24" localSheetId="8" hidden="1">#REF!</definedName>
    <definedName name="IQRShareDetailsM24" hidden="1">#REF!</definedName>
    <definedName name="IQRShareDetailsM40" localSheetId="13" hidden="1">#REF!</definedName>
    <definedName name="IQRShareDetailsM40" localSheetId="32" hidden="1">#REF!</definedName>
    <definedName name="IQRShareDetailsM40" localSheetId="8" hidden="1">#REF!</definedName>
    <definedName name="IQRShareDetailsM40" hidden="1">#REF!</definedName>
    <definedName name="IQRShareDetailsN10" localSheetId="13" hidden="1">#REF!</definedName>
    <definedName name="IQRShareDetailsN10" localSheetId="32" hidden="1">#REF!</definedName>
    <definedName name="IQRShareDetailsN10" localSheetId="8" hidden="1">#REF!</definedName>
    <definedName name="IQRShareDetailsN10" hidden="1">#REF!</definedName>
    <definedName name="IQRShareDetailsN12" localSheetId="13" hidden="1">#REF!</definedName>
    <definedName name="IQRShareDetailsN12" localSheetId="32" hidden="1">#REF!</definedName>
    <definedName name="IQRShareDetailsN12" localSheetId="8" hidden="1">#REF!</definedName>
    <definedName name="IQRShareDetailsN12" hidden="1">#REF!</definedName>
    <definedName name="IQRShareDetailsN14" localSheetId="13" hidden="1">#REF!</definedName>
    <definedName name="IQRShareDetailsN14" localSheetId="32" hidden="1">#REF!</definedName>
    <definedName name="IQRShareDetailsN14" localSheetId="8" hidden="1">#REF!</definedName>
    <definedName name="IQRShareDetailsN14" hidden="1">#REF!</definedName>
    <definedName name="IQRShareDetailsN16" localSheetId="13" hidden="1">#REF!</definedName>
    <definedName name="IQRShareDetailsN16" localSheetId="32" hidden="1">#REF!</definedName>
    <definedName name="IQRShareDetailsN16" localSheetId="8" hidden="1">#REF!</definedName>
    <definedName name="IQRShareDetailsN16" hidden="1">#REF!</definedName>
    <definedName name="IQRShareDetailsN17" localSheetId="13" hidden="1">#REF!</definedName>
    <definedName name="IQRShareDetailsN17" localSheetId="32" hidden="1">#REF!</definedName>
    <definedName name="IQRShareDetailsN17" localSheetId="8" hidden="1">#REF!</definedName>
    <definedName name="IQRShareDetailsN17" hidden="1">#REF!</definedName>
    <definedName name="IQRShareDetailsN18" localSheetId="13" hidden="1">#REF!</definedName>
    <definedName name="IQRShareDetailsN18" localSheetId="32" hidden="1">#REF!</definedName>
    <definedName name="IQRShareDetailsN18" localSheetId="8" hidden="1">#REF!</definedName>
    <definedName name="IQRShareDetailsN18" hidden="1">#REF!</definedName>
    <definedName name="IQRShareDetailsN23" localSheetId="13" hidden="1">#REF!</definedName>
    <definedName name="IQRShareDetailsN23" localSheetId="32" hidden="1">#REF!</definedName>
    <definedName name="IQRShareDetailsN23" localSheetId="8" hidden="1">#REF!</definedName>
    <definedName name="IQRShareDetailsN23" hidden="1">#REF!</definedName>
    <definedName name="IQRShareDetailsN24" localSheetId="13" hidden="1">#REF!</definedName>
    <definedName name="IQRShareDetailsN24" localSheetId="32" hidden="1">#REF!</definedName>
    <definedName name="IQRShareDetailsN24" localSheetId="8" hidden="1">#REF!</definedName>
    <definedName name="IQRShareDetailsN24" hidden="1">#REF!</definedName>
    <definedName name="IQRShareDetailsN40" localSheetId="13" hidden="1">#REF!</definedName>
    <definedName name="IQRShareDetailsN40" localSheetId="32" hidden="1">#REF!</definedName>
    <definedName name="IQRShareDetailsN40" localSheetId="8" hidden="1">#REF!</definedName>
    <definedName name="IQRShareDetailsN40" hidden="1">#REF!</definedName>
    <definedName name="IQRShareDetailsN7" localSheetId="13" hidden="1">#REF!</definedName>
    <definedName name="IQRShareDetailsN7" localSheetId="32" hidden="1">#REF!</definedName>
    <definedName name="IQRShareDetailsN7" localSheetId="8" hidden="1">#REF!</definedName>
    <definedName name="IQRShareDetailsN7" hidden="1">#REF!</definedName>
    <definedName name="IQRShareDetailsN8" localSheetId="13" hidden="1">#REF!</definedName>
    <definedName name="IQRShareDetailsN8" localSheetId="32" hidden="1">#REF!</definedName>
    <definedName name="IQRShareDetailsN8" localSheetId="8" hidden="1">#REF!</definedName>
    <definedName name="IQRShareDetailsN8" hidden="1">#REF!</definedName>
    <definedName name="IQRShareDetailsN9" localSheetId="13" hidden="1">#REF!</definedName>
    <definedName name="IQRShareDetailsN9" localSheetId="32" hidden="1">#REF!</definedName>
    <definedName name="IQRShareDetailsN9" localSheetId="8" hidden="1">#REF!</definedName>
    <definedName name="IQRShareDetailsN9" hidden="1">#REF!</definedName>
    <definedName name="IQRShareDetailsP1" localSheetId="13" hidden="1">#REF!</definedName>
    <definedName name="IQRShareDetailsP1" localSheetId="32" hidden="1">#REF!</definedName>
    <definedName name="IQRShareDetailsP1" localSheetId="8" hidden="1">#REF!</definedName>
    <definedName name="IQRShareDetailsP1" hidden="1">#REF!</definedName>
    <definedName name="IQRShareDetailsP7" localSheetId="13" hidden="1">#REF!</definedName>
    <definedName name="IQRShareDetailsP7" localSheetId="32" hidden="1">#REF!</definedName>
    <definedName name="IQRShareDetailsP7" localSheetId="8" hidden="1">#REF!</definedName>
    <definedName name="IQRShareDetailsP7" hidden="1">#REF!</definedName>
    <definedName name="IQRShareDetailsS7" localSheetId="13" hidden="1">#REF!</definedName>
    <definedName name="IQRShareDetailsS7" localSheetId="32" hidden="1">#REF!</definedName>
    <definedName name="IQRShareDetailsS7" localSheetId="8" hidden="1">#REF!</definedName>
    <definedName name="IQRShareDetailsS7" hidden="1">#REF!</definedName>
    <definedName name="IQRShareDetailsT10" localSheetId="13" hidden="1">#REF!</definedName>
    <definedName name="IQRShareDetailsT10" localSheetId="32" hidden="1">#REF!</definedName>
    <definedName name="IQRShareDetailsT10" localSheetId="8" hidden="1">#REF!</definedName>
    <definedName name="IQRShareDetailsT10" hidden="1">#REF!</definedName>
    <definedName name="IQRShareDetailsU10" localSheetId="13" hidden="1">#REF!</definedName>
    <definedName name="IQRShareDetailsU10" localSheetId="32" hidden="1">#REF!</definedName>
    <definedName name="IQRShareDetailsU10" localSheetId="8" hidden="1">#REF!</definedName>
    <definedName name="IQRShareDetailsU10" hidden="1">#REF!</definedName>
    <definedName name="IQRShareDetailsV7" localSheetId="13" hidden="1">#REF!</definedName>
    <definedName name="IQRShareDetailsV7" localSheetId="32" hidden="1">#REF!</definedName>
    <definedName name="IQRShareDetailsV7" localSheetId="8" hidden="1">#REF!</definedName>
    <definedName name="IQRShareDetailsV7" hidden="1">#REF!</definedName>
    <definedName name="IQRShareDetailsV8" localSheetId="13" hidden="1">#REF!</definedName>
    <definedName name="IQRShareDetailsV8" localSheetId="32" hidden="1">#REF!</definedName>
    <definedName name="IQRShareDetailsV8" localSheetId="8" hidden="1">#REF!</definedName>
    <definedName name="IQRShareDetailsV8" hidden="1">#REF!</definedName>
    <definedName name="IQRShareDetailsV9" localSheetId="13" hidden="1">#REF!</definedName>
    <definedName name="IQRShareDetailsV9" localSheetId="32" hidden="1">#REF!</definedName>
    <definedName name="IQRShareDetailsV9" localSheetId="8" hidden="1">#REF!</definedName>
    <definedName name="IQRShareDetailsV9" hidden="1">#REF!</definedName>
    <definedName name="IQRShareDetailsX7" localSheetId="13" hidden="1">#REF!</definedName>
    <definedName name="IQRShareDetailsX7" localSheetId="32" hidden="1">#REF!</definedName>
    <definedName name="IQRShareDetailsX7" localSheetId="8" hidden="1">#REF!</definedName>
    <definedName name="IQRShareDetailsX7" hidden="1">#REF!</definedName>
    <definedName name="IQRSharePriceSnapshotCV14" localSheetId="13" hidden="1">#REF!</definedName>
    <definedName name="IQRSharePriceSnapshotCV14" localSheetId="32" hidden="1">#REF!</definedName>
    <definedName name="IQRSharePriceSnapshotCV14" localSheetId="8" hidden="1">#REF!</definedName>
    <definedName name="IQRSharePriceSnapshotCV14" hidden="1">#REF!</definedName>
    <definedName name="IQRSharePriceSnapshotFA11" localSheetId="13" hidden="1">#REF!</definedName>
    <definedName name="IQRSharePriceSnapshotFA11" localSheetId="32" hidden="1">'[9]Share Details'!#REF!</definedName>
    <definedName name="IQRSharePriceSnapshotFA11" localSheetId="8" hidden="1">#REF!</definedName>
    <definedName name="IQRSharePriceSnapshotFA11" hidden="1">#REF!</definedName>
    <definedName name="IQRSharePriceSnapshotFD11" localSheetId="13" hidden="1">#REF!</definedName>
    <definedName name="IQRSharePriceSnapshotFD11" localSheetId="32" hidden="1">'[9]Share Details'!#REF!</definedName>
    <definedName name="IQRSharePriceSnapshotFD11" localSheetId="8" hidden="1">#REF!</definedName>
    <definedName name="IQRSharePriceSnapshotFD11" hidden="1">#REF!</definedName>
    <definedName name="IQRSharePriceSnapshotFR11" localSheetId="13" hidden="1">#REF!</definedName>
    <definedName name="IQRSharePriceSnapshotFR11" localSheetId="32" hidden="1">'[9]Share Details'!#REF!</definedName>
    <definedName name="IQRSharePriceSnapshotFR11" localSheetId="8" hidden="1">#REF!</definedName>
    <definedName name="IQRSharePriceSnapshotFR11" hidden="1">#REF!</definedName>
    <definedName name="IQRSharePriceSnapshotFU11" localSheetId="13" hidden="1">#REF!</definedName>
    <definedName name="IQRSharePriceSnapshotFU11" localSheetId="32" hidden="1">'[9]Share Details'!#REF!</definedName>
    <definedName name="IQRSharePriceSnapshotFU11" localSheetId="8" hidden="1">#REF!</definedName>
    <definedName name="IQRSharePriceSnapshotFU11" hidden="1">#REF!</definedName>
    <definedName name="IQRSharePriceSnapshotI46" localSheetId="13" hidden="1">#REF!</definedName>
    <definedName name="IQRSharePriceSnapshotI46" localSheetId="32" hidden="1">#REF!</definedName>
    <definedName name="IQRSharePriceSnapshotI46" localSheetId="8" hidden="1">#REF!</definedName>
    <definedName name="IQRSharePriceSnapshotI46" hidden="1">#REF!</definedName>
    <definedName name="IQRSharePriceSnapshotJ36" localSheetId="13" hidden="1">#REF!</definedName>
    <definedName name="IQRSharePriceSnapshotJ36" localSheetId="32" hidden="1">#REF!</definedName>
    <definedName name="IQRSharePriceSnapshotJ36" localSheetId="8" hidden="1">#REF!</definedName>
    <definedName name="IQRSharePriceSnapshotJ36" hidden="1">#REF!</definedName>
    <definedName name="IQRSharePriceSnapshotJ46" localSheetId="13" hidden="1">#REF!</definedName>
    <definedName name="IQRSharePriceSnapshotJ46" localSheetId="32" hidden="1">#REF!</definedName>
    <definedName name="IQRSharePriceSnapshotJ46" localSheetId="8" hidden="1">#REF!</definedName>
    <definedName name="IQRSharePriceSnapshotJ46" hidden="1">#REF!</definedName>
    <definedName name="IQRSharePriceSnapshotK36" localSheetId="13" hidden="1">#REF!</definedName>
    <definedName name="IQRSharePriceSnapshotK36" localSheetId="32" hidden="1">#REF!</definedName>
    <definedName name="IQRSharePriceSnapshotK36" localSheetId="8" hidden="1">#REF!</definedName>
    <definedName name="IQRSharePriceSnapshotK36" hidden="1">#REF!</definedName>
    <definedName name="IQRSharePriceSnapshotL46" localSheetId="13" hidden="1">#REF!</definedName>
    <definedName name="IQRSharePriceSnapshotL46" localSheetId="32" hidden="1">#REF!</definedName>
    <definedName name="IQRSharePriceSnapshotL46" localSheetId="8" hidden="1">#REF!</definedName>
    <definedName name="IQRSharePriceSnapshotL46" hidden="1">#REF!</definedName>
    <definedName name="IQRSharePriceSnapshotL47" localSheetId="13" hidden="1">#REF!</definedName>
    <definedName name="IQRSharePriceSnapshotL47" localSheetId="32" hidden="1">#REF!</definedName>
    <definedName name="IQRSharePriceSnapshotL47" localSheetId="8" hidden="1">#REF!</definedName>
    <definedName name="IQRSharePriceSnapshotL47" hidden="1">#REF!</definedName>
    <definedName name="IQRSharePriceSnapshotLN4" localSheetId="13" hidden="1">#REF!</definedName>
    <definedName name="IQRSharePriceSnapshotLN4" localSheetId="32" hidden="1">#REF!</definedName>
    <definedName name="IQRSharePriceSnapshotLN4" localSheetId="8" hidden="1">#REF!</definedName>
    <definedName name="IQRSharePriceSnapshotLN4" hidden="1">#REF!</definedName>
    <definedName name="IQRSheet12A5" localSheetId="13" hidden="1">'Private Ownership'!#REF!</definedName>
    <definedName name="IQRSheet12A5" localSheetId="32" hidden="1">'[3]Private Ownership'!#REF!</definedName>
    <definedName name="IQRSheet12A5" localSheetId="9" hidden="1">'[2]Private Ownership'!#REF!</definedName>
    <definedName name="IQRSheet12A5" localSheetId="8" hidden="1">'[2]Private Ownership'!#REF!</definedName>
    <definedName name="IQRSheet12A5" hidden="1">'Private Ownership'!#REF!</definedName>
    <definedName name="IQRSheet12B5" localSheetId="13" hidden="1">'Private Ownership'!#REF!</definedName>
    <definedName name="IQRSheet12B5" localSheetId="32" hidden="1">'[3]Private Ownership'!#REF!</definedName>
    <definedName name="IQRSheet12B5" localSheetId="9" hidden="1">'[2]Private Ownership'!#REF!</definedName>
    <definedName name="IQRSheet12B5" localSheetId="8" hidden="1">'[2]Private Ownership'!#REF!</definedName>
    <definedName name="IQRSheet12B5" hidden="1">'Private Ownership'!#REF!</definedName>
    <definedName name="IQRSheet12M5" localSheetId="13" hidden="1">#REF!</definedName>
    <definedName name="IQRSheet12M5" localSheetId="32" hidden="1">#REF!</definedName>
    <definedName name="IQRSheet12M5" localSheetId="8" hidden="1">#REF!</definedName>
    <definedName name="IQRSheet12M5" hidden="1">#REF!</definedName>
    <definedName name="IQRSheet12N5" localSheetId="13" hidden="1">#REF!</definedName>
    <definedName name="IQRSheet12N5" localSheetId="32" hidden="1">#REF!</definedName>
    <definedName name="IQRSheet12N5" localSheetId="8" hidden="1">#REF!</definedName>
    <definedName name="IQRSheet12N5" hidden="1">#REF!</definedName>
    <definedName name="IQRSheet12O5" localSheetId="13" hidden="1">#REF!</definedName>
    <definedName name="IQRSheet12O5" localSheetId="32" hidden="1">#REF!</definedName>
    <definedName name="IQRSheet12O5" localSheetId="8" hidden="1">#REF!</definedName>
    <definedName name="IQRSheet12O5" hidden="1">#REF!</definedName>
    <definedName name="IQRSheet12P5" localSheetId="13" hidden="1">#REF!</definedName>
    <definedName name="IQRSheet12P5" localSheetId="32" hidden="1">#REF!</definedName>
    <definedName name="IQRSheet12P5" localSheetId="8" hidden="1">#REF!</definedName>
    <definedName name="IQRSheet12P5" hidden="1">#REF!</definedName>
    <definedName name="IQRSheet12Q5" localSheetId="13" hidden="1">#REF!</definedName>
    <definedName name="IQRSheet12Q5" localSheetId="32" hidden="1">#REF!</definedName>
    <definedName name="IQRSheet12Q5" localSheetId="8" hidden="1">#REF!</definedName>
    <definedName name="IQRSheet12Q5" hidden="1">#REF!</definedName>
    <definedName name="IQRSheet19B10" localSheetId="13" hidden="1">#REF!</definedName>
    <definedName name="IQRSheet19B10" localSheetId="32" hidden="1">#REF!</definedName>
    <definedName name="IQRSheet19B10" localSheetId="8" hidden="1">#REF!</definedName>
    <definedName name="IQRSheet19B10" hidden="1">#REF!</definedName>
    <definedName name="IQRSheet19B11" localSheetId="13" hidden="1">#REF!</definedName>
    <definedName name="IQRSheet19B11" localSheetId="32" hidden="1">#REF!</definedName>
    <definedName name="IQRSheet19B11" localSheetId="8" hidden="1">#REF!</definedName>
    <definedName name="IQRSheet19B11" hidden="1">#REF!</definedName>
    <definedName name="IQRSheet19B12" localSheetId="13" hidden="1">#REF!</definedName>
    <definedName name="IQRSheet19B12" localSheetId="32" hidden="1">#REF!</definedName>
    <definedName name="IQRSheet19B12" localSheetId="8" hidden="1">#REF!</definedName>
    <definedName name="IQRSheet19B12" hidden="1">#REF!</definedName>
    <definedName name="IQRSheet19B13" localSheetId="13" hidden="1">#REF!</definedName>
    <definedName name="IQRSheet19B13" localSheetId="32" hidden="1">#REF!</definedName>
    <definedName name="IQRSheet19B13" localSheetId="8" hidden="1">#REF!</definedName>
    <definedName name="IQRSheet19B13" hidden="1">#REF!</definedName>
    <definedName name="IQRSheet19B14" localSheetId="13" hidden="1">#REF!</definedName>
    <definedName name="IQRSheet19B14" localSheetId="32" hidden="1">#REF!</definedName>
    <definedName name="IQRSheet19B14" localSheetId="8" hidden="1">#REF!</definedName>
    <definedName name="IQRSheet19B14" hidden="1">#REF!</definedName>
    <definedName name="IQRSheet19B15" localSheetId="13" hidden="1">#REF!</definedName>
    <definedName name="IQRSheet19B15" localSheetId="32" hidden="1">#REF!</definedName>
    <definedName name="IQRSheet19B15" localSheetId="8" hidden="1">#REF!</definedName>
    <definedName name="IQRSheet19B15" hidden="1">#REF!</definedName>
    <definedName name="IQRSheet19B34" localSheetId="13" hidden="1">#REF!</definedName>
    <definedName name="IQRSheet19B34" localSheetId="32" hidden="1">#REF!</definedName>
    <definedName name="IQRSheet19B34" localSheetId="8" hidden="1">#REF!</definedName>
    <definedName name="IQRSheet19B34" hidden="1">#REF!</definedName>
    <definedName name="IQRSheet19B4" localSheetId="13" hidden="1">#REF!</definedName>
    <definedName name="IQRSheet19B4" localSheetId="32" hidden="1">#REF!</definedName>
    <definedName name="IQRSheet19B4" localSheetId="8" hidden="1">#REF!</definedName>
    <definedName name="IQRSheet19B4" hidden="1">#REF!</definedName>
    <definedName name="IQRSheet19B47" localSheetId="13" hidden="1">#REF!</definedName>
    <definedName name="IQRSheet19B47" localSheetId="32" hidden="1">#REF!</definedName>
    <definedName name="IQRSheet19B47" localSheetId="8" hidden="1">#REF!</definedName>
    <definedName name="IQRSheet19B47" hidden="1">#REF!</definedName>
    <definedName name="IQRSheet19B48" localSheetId="13" hidden="1">#REF!</definedName>
    <definedName name="IQRSheet19B48" localSheetId="32" hidden="1">#REF!</definedName>
    <definedName name="IQRSheet19B48" localSheetId="8" hidden="1">#REF!</definedName>
    <definedName name="IQRSheet19B48" hidden="1">#REF!</definedName>
    <definedName name="IQRSheet19B5" localSheetId="13" hidden="1">#REF!</definedName>
    <definedName name="IQRSheet19B5" localSheetId="32" hidden="1">#REF!</definedName>
    <definedName name="IQRSheet19B5" localSheetId="8" hidden="1">#REF!</definedName>
    <definedName name="IQRSheet19B5" hidden="1">#REF!</definedName>
    <definedName name="IQRSheet19B51" localSheetId="13" hidden="1">#REF!</definedName>
    <definedName name="IQRSheet19B51" localSheetId="32" hidden="1">#REF!</definedName>
    <definedName name="IQRSheet19B51" localSheetId="8" hidden="1">#REF!</definedName>
    <definedName name="IQRSheet19B51" hidden="1">#REF!</definedName>
    <definedName name="IQRSheet19B58" localSheetId="13" hidden="1">#REF!</definedName>
    <definedName name="IQRSheet19B58" localSheetId="32" hidden="1">#REF!</definedName>
    <definedName name="IQRSheet19B58" localSheetId="8" hidden="1">#REF!</definedName>
    <definedName name="IQRSheet19B58" hidden="1">#REF!</definedName>
    <definedName name="IQRSheet19B6" localSheetId="13" hidden="1">#REF!</definedName>
    <definedName name="IQRSheet19B6" localSheetId="32" hidden="1">#REF!</definedName>
    <definedName name="IQRSheet19B6" localSheetId="8" hidden="1">#REF!</definedName>
    <definedName name="IQRSheet19B6" hidden="1">#REF!</definedName>
    <definedName name="IQRSheet19B60" localSheetId="13" hidden="1">#REF!</definedName>
    <definedName name="IQRSheet19B60" localSheetId="32" hidden="1">#REF!</definedName>
    <definedName name="IQRSheet19B60" localSheetId="8" hidden="1">#REF!</definedName>
    <definedName name="IQRSheet19B60" hidden="1">#REF!</definedName>
    <definedName name="IQRSheet19B62" localSheetId="13" hidden="1">#REF!</definedName>
    <definedName name="IQRSheet19B62" localSheetId="32" hidden="1">#REF!</definedName>
    <definedName name="IQRSheet19B62" localSheetId="8" hidden="1">#REF!</definedName>
    <definedName name="IQRSheet19B62" hidden="1">#REF!</definedName>
    <definedName name="IQRSheet19B7" localSheetId="13" hidden="1">#REF!</definedName>
    <definedName name="IQRSheet19B7" localSheetId="32" hidden="1">#REF!</definedName>
    <definedName name="IQRSheet19B7" localSheetId="8" hidden="1">#REF!</definedName>
    <definedName name="IQRSheet19B7" hidden="1">#REF!</definedName>
    <definedName name="IQRSheet19B8" localSheetId="13" hidden="1">#REF!</definedName>
    <definedName name="IQRSheet19B8" localSheetId="32" hidden="1">#REF!</definedName>
    <definedName name="IQRSheet19B8" localSheetId="8" hidden="1">#REF!</definedName>
    <definedName name="IQRSheet19B8" hidden="1">#REF!</definedName>
    <definedName name="IQRSheet19B9" localSheetId="13" hidden="1">#REF!</definedName>
    <definedName name="IQRSheet19B9" localSheetId="32" hidden="1">#REF!</definedName>
    <definedName name="IQRSheet19B9" localSheetId="8" hidden="1">#REF!</definedName>
    <definedName name="IQRSheet19B9" hidden="1">#REF!</definedName>
    <definedName name="IQRSheet19C33" localSheetId="13" hidden="1">#REF!</definedName>
    <definedName name="IQRSheet19C33" localSheetId="32" hidden="1">#REF!</definedName>
    <definedName name="IQRSheet19C33" localSheetId="8" hidden="1">#REF!</definedName>
    <definedName name="IQRSheet19C33" hidden="1">#REF!</definedName>
    <definedName name="IQRSheet19C47" localSheetId="13" hidden="1">#REF!</definedName>
    <definedName name="IQRSheet19C47" localSheetId="32" hidden="1">#REF!</definedName>
    <definedName name="IQRSheet19C47" localSheetId="8" hidden="1">#REF!</definedName>
    <definedName name="IQRSheet19C47" hidden="1">#REF!</definedName>
    <definedName name="IQRSheet19D33" localSheetId="13" hidden="1">#REF!</definedName>
    <definedName name="IQRSheet19D33" localSheetId="32" hidden="1">#REF!</definedName>
    <definedName name="IQRSheet19D33" localSheetId="8" hidden="1">#REF!</definedName>
    <definedName name="IQRSheet19D33" hidden="1">#REF!</definedName>
    <definedName name="IQRSheet19D47" localSheetId="13" hidden="1">#REF!</definedName>
    <definedName name="IQRSheet19D47" localSheetId="32" hidden="1">#REF!</definedName>
    <definedName name="IQRSheet19D47" localSheetId="8" hidden="1">#REF!</definedName>
    <definedName name="IQRSheet19D47" hidden="1">#REF!</definedName>
    <definedName name="IQRSheet19E22" localSheetId="13" hidden="1">#REF!</definedName>
    <definedName name="IQRSheet19E22" localSheetId="32" hidden="1">#REF!</definedName>
    <definedName name="IQRSheet19E22" localSheetId="8" hidden="1">#REF!</definedName>
    <definedName name="IQRSheet19E22" hidden="1">#REF!</definedName>
    <definedName name="IQRSheet19E34" localSheetId="13" hidden="1">#REF!</definedName>
    <definedName name="IQRSheet19E34" localSheetId="32" hidden="1">#REF!</definedName>
    <definedName name="IQRSheet19E34" localSheetId="8" hidden="1">#REF!</definedName>
    <definedName name="IQRSheet19E34" hidden="1">#REF!</definedName>
    <definedName name="IQRSheet19E35" localSheetId="13" hidden="1">#REF!</definedName>
    <definedName name="IQRSheet19E35" localSheetId="32" hidden="1">#REF!</definedName>
    <definedName name="IQRSheet19E35" localSheetId="8" hidden="1">#REF!</definedName>
    <definedName name="IQRSheet19E35" hidden="1">#REF!</definedName>
    <definedName name="IQRSheet19E36" localSheetId="13" hidden="1">#REF!</definedName>
    <definedName name="IQRSheet19E36" localSheetId="32" hidden="1">#REF!</definedName>
    <definedName name="IQRSheet19E36" localSheetId="8" hidden="1">#REF!</definedName>
    <definedName name="IQRSheet19E36" hidden="1">#REF!</definedName>
    <definedName name="IQRSheet19E47" localSheetId="13" hidden="1">#REF!</definedName>
    <definedName name="IQRSheet19E47" localSheetId="32" hidden="1">#REF!</definedName>
    <definedName name="IQRSheet19E47" localSheetId="8" hidden="1">#REF!</definedName>
    <definedName name="IQRSheet19E47" hidden="1">#REF!</definedName>
    <definedName name="IQRSheet19E8" localSheetId="13" hidden="1">#REF!</definedName>
    <definedName name="IQRSheet19E8" localSheetId="32" hidden="1">#REF!</definedName>
    <definedName name="IQRSheet19E8" localSheetId="8" hidden="1">#REF!</definedName>
    <definedName name="IQRSheet19E8" hidden="1">#REF!</definedName>
    <definedName name="IQRSheet19F11" localSheetId="13" hidden="1">#REF!</definedName>
    <definedName name="IQRSheet19F11" localSheetId="32" hidden="1">#REF!</definedName>
    <definedName name="IQRSheet19F11" localSheetId="8" hidden="1">#REF!</definedName>
    <definedName name="IQRSheet19F11" hidden="1">#REF!</definedName>
    <definedName name="IQRSheet19F22" localSheetId="13" hidden="1">#REF!</definedName>
    <definedName name="IQRSheet19F22" localSheetId="32" hidden="1">#REF!</definedName>
    <definedName name="IQRSheet19F22" localSheetId="8" hidden="1">#REF!</definedName>
    <definedName name="IQRSheet19F22" hidden="1">#REF!</definedName>
    <definedName name="IQRSheet19F35" localSheetId="13" hidden="1">#REF!</definedName>
    <definedName name="IQRSheet19F35" localSheetId="32" hidden="1">#REF!</definedName>
    <definedName name="IQRSheet19F35" localSheetId="8" hidden="1">#REF!</definedName>
    <definedName name="IQRSheet19F35" hidden="1">#REF!</definedName>
    <definedName name="IQRSheet19F36" localSheetId="13" hidden="1">#REF!</definedName>
    <definedName name="IQRSheet19F36" localSheetId="32" hidden="1">#REF!</definedName>
    <definedName name="IQRSheet19F36" localSheetId="8" hidden="1">#REF!</definedName>
    <definedName name="IQRSheet19F36" hidden="1">#REF!</definedName>
    <definedName name="IQRSheet19F48" localSheetId="13" hidden="1">#REF!</definedName>
    <definedName name="IQRSheet19F48" localSheetId="32" hidden="1">#REF!</definedName>
    <definedName name="IQRSheet19F48" localSheetId="8" hidden="1">#REF!</definedName>
    <definedName name="IQRSheet19F48" hidden="1">#REF!</definedName>
    <definedName name="IQRSheet19F5" localSheetId="13" hidden="1">#REF!</definedName>
    <definedName name="IQRSheet19F5" localSheetId="32" hidden="1">#REF!</definedName>
    <definedName name="IQRSheet19F5" localSheetId="8" hidden="1">#REF!</definedName>
    <definedName name="IQRSheet19F5" hidden="1">#REF!</definedName>
    <definedName name="IQRSheet19F59" localSheetId="13" hidden="1">#REF!</definedName>
    <definedName name="IQRSheet19F59" localSheetId="32" hidden="1">#REF!</definedName>
    <definedName name="IQRSheet19F59" localSheetId="8" hidden="1">#REF!</definedName>
    <definedName name="IQRSheet19F59" hidden="1">#REF!</definedName>
    <definedName name="IQRSheet19F8" localSheetId="13" hidden="1">#REF!</definedName>
    <definedName name="IQRSheet19F8" localSheetId="32" hidden="1">#REF!</definedName>
    <definedName name="IQRSheet19F8" localSheetId="8" hidden="1">#REF!</definedName>
    <definedName name="IQRSheet19F8" hidden="1">#REF!</definedName>
    <definedName name="IQRSheet19L60" localSheetId="13" hidden="1">#REF!</definedName>
    <definedName name="IQRSheet19L60" localSheetId="32" hidden="1">#REF!</definedName>
    <definedName name="IQRSheet19L60" localSheetId="8" hidden="1">#REF!</definedName>
    <definedName name="IQRSheet19L60" hidden="1">#REF!</definedName>
    <definedName name="IQRSheet1A5" localSheetId="13" hidden="1">'Private Ownership'!#REF!</definedName>
    <definedName name="IQRSheet1A5" localSheetId="31" hidden="1">'CIQ Ownership'!$A$6:$A$17</definedName>
    <definedName name="IQRSheet1A5" localSheetId="32" hidden="1">'[3]Private Ownership'!#REF!</definedName>
    <definedName name="IQRSheet1A5" localSheetId="9" hidden="1">'[2]Private Ownership'!#REF!</definedName>
    <definedName name="IQRSheet1A5" localSheetId="8" hidden="1">'[2]Private Ownership'!#REF!</definedName>
    <definedName name="IQRSheet1A5" hidden="1">'Private Ownership'!#REF!</definedName>
    <definedName name="IQRSheet1AP8" localSheetId="13" hidden="1">#REF!</definedName>
    <definedName name="IQRSheet1AP8" localSheetId="32" hidden="1">#REF!</definedName>
    <definedName name="IQRSheet1AP8" localSheetId="8" hidden="1">#REF!</definedName>
    <definedName name="IQRSheet1AP8" hidden="1">#REF!</definedName>
    <definedName name="IQRSheet1B5" localSheetId="31" hidden="1">'CIQ Ownership'!$B$6:$B$15</definedName>
    <definedName name="IQRSheet1B5" hidden="1">'Private Ownership'!$B$6:$B$6</definedName>
    <definedName name="IQRSheet1BD13" localSheetId="13" hidden="1">#REF!</definedName>
    <definedName name="IQRSheet1BD13" localSheetId="32" hidden="1">#REF!</definedName>
    <definedName name="IQRSheet1BD13" localSheetId="8" hidden="1">#REF!</definedName>
    <definedName name="IQRSheet1BD13" hidden="1">#REF!</definedName>
    <definedName name="IQRSheet1BG13" localSheetId="13" hidden="1">#REF!</definedName>
    <definedName name="IQRSheet1BG13" localSheetId="32" hidden="1">#REF!</definedName>
    <definedName name="IQRSheet1BG13" localSheetId="8" hidden="1">#REF!</definedName>
    <definedName name="IQRSheet1BG13" hidden="1">#REF!</definedName>
    <definedName name="IQRSheet1BR8" localSheetId="13" hidden="1">#REF!</definedName>
    <definedName name="IQRSheet1BR8" localSheetId="32" hidden="1">#REF!</definedName>
    <definedName name="IQRSheet1BR8" localSheetId="8" hidden="1">#REF!</definedName>
    <definedName name="IQRSheet1BR8" hidden="1">#REF!</definedName>
    <definedName name="IQRSheet1BW8" localSheetId="13" hidden="1">#REF!</definedName>
    <definedName name="IQRSheet1BW8" localSheetId="32" hidden="1">'CIQ Revision'!$S$6:$S$58</definedName>
    <definedName name="IQRSheet1BW8" localSheetId="8" hidden="1">#REF!</definedName>
    <definedName name="IQRSheet1BW8" hidden="1">#REF!</definedName>
    <definedName name="IQRSheet1C1" localSheetId="13" hidden="1">[13]Estimates!#REF!</definedName>
    <definedName name="IQRSheet1C1" localSheetId="32" hidden="1">[13]Estimates!#REF!</definedName>
    <definedName name="IQRSheet1C1" localSheetId="8" hidden="1">[13]Estimates!#REF!</definedName>
    <definedName name="IQRSheet1C1" hidden="1">[13]Estimates!#REF!</definedName>
    <definedName name="IQRSheet1C5" localSheetId="31" hidden="1">'CIQ Ownership'!$C$6:$C$15</definedName>
    <definedName name="IQRSheet1C5" hidden="1">'Private Ownership'!$C$6:$C$6</definedName>
    <definedName name="IQRSheet1D3" localSheetId="13" hidden="1">#REF!</definedName>
    <definedName name="IQRSheet1D3" localSheetId="29" hidden="1">#REF!</definedName>
    <definedName name="IQRSheet1D3" localSheetId="32" hidden="1">#REF!</definedName>
    <definedName name="IQRSheet1D3" localSheetId="9" hidden="1">#REF!</definedName>
    <definedName name="IQRSheet1D3" localSheetId="8" hidden="1">#REF!</definedName>
    <definedName name="IQRSheet1D3" hidden="1">#REF!</definedName>
    <definedName name="IQRSheet1D5" localSheetId="31" hidden="1">'CIQ Ownership'!$F$6:$F$15</definedName>
    <definedName name="IQRSheet1D5" hidden="1">'Private Ownership'!$F$6:$F$6</definedName>
    <definedName name="IQRSheet1DF13" localSheetId="13" hidden="1">#REF!</definedName>
    <definedName name="IQRSheet1DF13" localSheetId="32" hidden="1">#REF!</definedName>
    <definedName name="IQRSheet1DF13" localSheetId="8" hidden="1">#REF!</definedName>
    <definedName name="IQRSheet1DF13" hidden="1">#REF!</definedName>
    <definedName name="IQRSheet1DI13" localSheetId="13" hidden="1">#REF!</definedName>
    <definedName name="IQRSheet1DI13" localSheetId="32" hidden="1">#REF!</definedName>
    <definedName name="IQRSheet1DI13" localSheetId="8" hidden="1">#REF!</definedName>
    <definedName name="IQRSheet1DI13" hidden="1">#REF!</definedName>
    <definedName name="IQRSheet1DK13" localSheetId="13" hidden="1">#REF!</definedName>
    <definedName name="IQRSheet1DK13" localSheetId="32" hidden="1">'CIQ Revision'!$S$6:$S$58</definedName>
    <definedName name="IQRSheet1DK13" localSheetId="8" hidden="1">#REF!</definedName>
    <definedName name="IQRSheet1DK13" hidden="1">#REF!</definedName>
    <definedName name="IQRSheet1DN13" localSheetId="13" hidden="1">#REF!</definedName>
    <definedName name="IQRSheet1DN13" localSheetId="32" hidden="1">'CIQ Revision'!$S$6:$S$58</definedName>
    <definedName name="IQRSheet1DN13" localSheetId="8" hidden="1">#REF!</definedName>
    <definedName name="IQRSheet1DN13" hidden="1">#REF!</definedName>
    <definedName name="IQRSheet1E5" localSheetId="13" hidden="1">#REF!</definedName>
    <definedName name="IQRSheet1E5" localSheetId="31" hidden="1">'CIQ Ownership'!$J$6:$J$15</definedName>
    <definedName name="IQRSheet1E5" localSheetId="32" hidden="1">#REF!</definedName>
    <definedName name="IQRSheet1E5" localSheetId="8" hidden="1">#REF!</definedName>
    <definedName name="IQRSheet1E5" hidden="1">#REF!</definedName>
    <definedName name="IQRSheet1F1" localSheetId="13" hidden="1">[13]Estimates!#REF!</definedName>
    <definedName name="IQRSheet1F1" localSheetId="32" hidden="1">[13]Estimates!#REF!</definedName>
    <definedName name="IQRSheet1F1" localSheetId="8" hidden="1">[13]Estimates!#REF!</definedName>
    <definedName name="IQRSheet1F1" hidden="1">[13]Estimates!#REF!</definedName>
    <definedName name="IQRSheet1M5" localSheetId="13" hidden="1">#REF!</definedName>
    <definedName name="IQRSheet1M5" localSheetId="31" hidden="1">'CIQ Ownership'!$M$6:$M$10</definedName>
    <definedName name="IQRSheet1M5" localSheetId="32" hidden="1">#REF!</definedName>
    <definedName name="IQRSheet1M5" localSheetId="8" hidden="1">#REF!</definedName>
    <definedName name="IQRSheet1M5" hidden="1">#REF!</definedName>
    <definedName name="IQRSheet1N5" localSheetId="13" hidden="1">#REF!</definedName>
    <definedName name="IQRSheet1N5" localSheetId="31" hidden="1">'CIQ Ownership'!$N$6:$N$10</definedName>
    <definedName name="IQRSheet1N5" localSheetId="32" hidden="1">#REF!</definedName>
    <definedName name="IQRSheet1N5" localSheetId="8" hidden="1">#REF!</definedName>
    <definedName name="IQRSheet1N5" hidden="1">#REF!</definedName>
    <definedName name="IQRSheet1O5" localSheetId="13" hidden="1">#REF!</definedName>
    <definedName name="IQRSheet1O5" localSheetId="31" hidden="1">'CIQ Ownership'!$O$6:$O$10</definedName>
    <definedName name="IQRSheet1O5" localSheetId="32" hidden="1">#REF!</definedName>
    <definedName name="IQRSheet1O5" localSheetId="8" hidden="1">#REF!</definedName>
    <definedName name="IQRSheet1O5" hidden="1">#REF!</definedName>
    <definedName name="IQRSheet1P5" localSheetId="13" hidden="1">#REF!</definedName>
    <definedName name="IQRSheet1P5" localSheetId="31" hidden="1">'CIQ Ownership'!$P$6:$P$10</definedName>
    <definedName name="IQRSheet1P5" localSheetId="32" hidden="1">#REF!</definedName>
    <definedName name="IQRSheet1P5" localSheetId="8" hidden="1">#REF!</definedName>
    <definedName name="IQRSheet1P5" hidden="1">#REF!</definedName>
    <definedName name="IQRSheet24L3" hidden="1">'Bond Prices'!$M$3:$BC$3</definedName>
    <definedName name="IQRSheet27B10" hidden="1">'CIQ Segments'!$B$11:$B$17</definedName>
    <definedName name="IQRSheet27B25" hidden="1">'CIQ Segments'!$B$26:$B$28</definedName>
    <definedName name="IQRSheet27C10" hidden="1">'CIQ Segments'!$C$11:$C$17</definedName>
    <definedName name="IQRSheet27C25" hidden="1">'CIQ Segments'!$C$26:$C$28</definedName>
    <definedName name="IQRSheet27D10" hidden="1">'CIQ Segments'!$D$11:$D$17</definedName>
    <definedName name="IQRSheet27D25" hidden="1">'CIQ Segments'!$D$26:$D$28</definedName>
    <definedName name="IQRSheet27E10" hidden="1">'CIQ Segments'!$E$11:$E$17</definedName>
    <definedName name="IQRSheet27E25" hidden="1">'CIQ Segments'!$E$26:$E$28</definedName>
    <definedName name="IQRSheet27F10" hidden="1">'CIQ Segments'!$F$11:$F$17</definedName>
    <definedName name="IQRSheet27F25" hidden="1">'CIQ Segments'!$F$26:$F$28</definedName>
    <definedName name="IQRSheet27G10" hidden="1">'CIQ Segments'!$G$11:$G$17</definedName>
    <definedName name="IQRSheet27G25" hidden="1">'CIQ Segments'!$G$26:$G$28</definedName>
    <definedName name="IQRSheet27H10" hidden="1">'CIQ Segments'!$H$11:$H$17</definedName>
    <definedName name="IQRSheet27H25" hidden="1">'CIQ Segments'!$H$26:$H$28</definedName>
    <definedName name="IQRSheet27I10" hidden="1">'CIQ Segments'!$I$11:$I$17</definedName>
    <definedName name="IQRSheet27I25" hidden="1">'CIQ Segments'!$I$26:$I$28</definedName>
    <definedName name="IQRSheet2A5" localSheetId="13" hidden="1">#REF!</definedName>
    <definedName name="IQRSheet2A5" localSheetId="32" hidden="1">#REF!</definedName>
    <definedName name="IQRSheet2A5" localSheetId="8" hidden="1">#REF!</definedName>
    <definedName name="IQRSheet2A5" hidden="1">#REF!</definedName>
    <definedName name="IQRSheet2B5" localSheetId="13" hidden="1">#REF!</definedName>
    <definedName name="IQRSheet2B5" localSheetId="32" hidden="1">#REF!</definedName>
    <definedName name="IQRSheet2B5" localSheetId="8" hidden="1">#REF!</definedName>
    <definedName name="IQRSheet2B5" hidden="1">#REF!</definedName>
    <definedName name="IQRSheet2BQ12" localSheetId="13" hidden="1">#REF!</definedName>
    <definedName name="IQRSheet2BQ12" localSheetId="29" hidden="1">'CIQ Advisors'!#REF!</definedName>
    <definedName name="IQRSheet2BQ12" localSheetId="32" hidden="1">#REF!</definedName>
    <definedName name="IQRSheet2BQ12" localSheetId="8" hidden="1">#REF!</definedName>
    <definedName name="IQRSheet2BQ12" hidden="1">#REF!</definedName>
    <definedName name="IQRSheet2C5" localSheetId="13" hidden="1">#REF!</definedName>
    <definedName name="IQRSheet2C5" localSheetId="32" hidden="1">#REF!</definedName>
    <definedName name="IQRSheet2C5" localSheetId="8" hidden="1">#REF!</definedName>
    <definedName name="IQRSheet2C5" hidden="1">#REF!</definedName>
    <definedName name="IQRSheet2D5" localSheetId="13" hidden="1">#REF!</definedName>
    <definedName name="IQRSheet2D5" localSheetId="32" hidden="1">#REF!</definedName>
    <definedName name="IQRSheet2D5" localSheetId="8" hidden="1">#REF!</definedName>
    <definedName name="IQRSheet2D5" hidden="1">#REF!</definedName>
    <definedName name="IQRSheet30A5" hidden="1">'CIQ Ownership'!$A$6:$A$23</definedName>
    <definedName name="IQRSheet30M5" hidden="1">'CIQ Ownership'!$M$6:$M$18</definedName>
    <definedName name="IQRSheet30N5" hidden="1">'CIQ Ownership'!$N$6:$N$18</definedName>
    <definedName name="IQRSheet30O5" hidden="1">'CIQ Ownership'!$O$6:$O$18</definedName>
    <definedName name="IQRSheet30P5" hidden="1">'CIQ Ownership'!$P$6:$P$18</definedName>
    <definedName name="IQRSheet32C7" hidden="1">'CIQ Key Developments'!$C$8:$C$79</definedName>
    <definedName name="IQRSheet38B16" hidden="1">'CIQ Professionals'!$B$17:$B$26</definedName>
    <definedName name="IQRSheet38B3" hidden="1">'CIQ Professionals'!$B$4:$B$13</definedName>
    <definedName name="IQRSheet38C16" hidden="1">'CIQ Professionals'!$C$17:$C$26</definedName>
    <definedName name="IQRSheet38C3" hidden="1">'CIQ Professionals'!$C$4:$C$13</definedName>
    <definedName name="IQRSheet38D16" hidden="1">'CIQ Professionals'!$D$17:$D$26</definedName>
    <definedName name="IQRSheet38D3" hidden="1">'CIQ Professionals'!$D$4:$D$13</definedName>
    <definedName name="IQRSheet38E16" hidden="1">'CIQ Professionals'!$E$17:$E$26</definedName>
    <definedName name="IQRSheet38E3" hidden="1">'CIQ Professionals'!$E$4:$E$13</definedName>
    <definedName name="IQRSheet3A1" localSheetId="13" hidden="1">#REF!</definedName>
    <definedName name="IQRSheet3A1" localSheetId="32" hidden="1">#REF!</definedName>
    <definedName name="IQRSheet3A1" localSheetId="8" hidden="1">#REF!</definedName>
    <definedName name="IQRSheet3A1" hidden="1">#REF!</definedName>
    <definedName name="IQRSheet3A14" localSheetId="13" hidden="1">#REF!</definedName>
    <definedName name="IQRSheet3A14" localSheetId="32" hidden="1">#REF!</definedName>
    <definedName name="IQRSheet3A14" localSheetId="8" hidden="1">#REF!</definedName>
    <definedName name="IQRSheet3A14" hidden="1">#REF!</definedName>
    <definedName name="IQRSheet3A15" localSheetId="13" hidden="1">#REF!</definedName>
    <definedName name="IQRSheet3A15" localSheetId="32" hidden="1">#REF!</definedName>
    <definedName name="IQRSheet3A15" localSheetId="8" hidden="1">#REF!</definedName>
    <definedName name="IQRSheet3A15" hidden="1">#REF!</definedName>
    <definedName name="IQRSheet3A3" localSheetId="13" hidden="1">#REF!</definedName>
    <definedName name="IQRSheet3A3" localSheetId="32" hidden="1">#REF!</definedName>
    <definedName name="IQRSheet3A3" localSheetId="8" hidden="1">#REF!</definedName>
    <definedName name="IQRSheet3A3" hidden="1">#REF!</definedName>
    <definedName name="IQRSheet3A9" localSheetId="13" hidden="1">#REF!</definedName>
    <definedName name="IQRSheet3A9" localSheetId="32" hidden="1">#REF!</definedName>
    <definedName name="IQRSheet3A9" localSheetId="8" hidden="1">#REF!</definedName>
    <definedName name="IQRSheet3A9" hidden="1">#REF!</definedName>
    <definedName name="IQRSheet3AC7" localSheetId="13" hidden="1">#REF!</definedName>
    <definedName name="IQRSheet3AC7" localSheetId="32" hidden="1">#REF!</definedName>
    <definedName name="IQRSheet3AC7" localSheetId="9" hidden="1">#REF!</definedName>
    <definedName name="IQRSheet3AC7" localSheetId="8" hidden="1">#REF!</definedName>
    <definedName name="IQRSheet3AC7" hidden="1">#REF!</definedName>
    <definedName name="IQRSheet3AD7" localSheetId="13" hidden="1">#REF!</definedName>
    <definedName name="IQRSheet3AD7" localSheetId="32" hidden="1">#REF!</definedName>
    <definedName name="IQRSheet3AD7" localSheetId="9" hidden="1">#REF!</definedName>
    <definedName name="IQRSheet3AD7" localSheetId="8" hidden="1">#REF!</definedName>
    <definedName name="IQRSheet3AD7" hidden="1">#REF!</definedName>
    <definedName name="IQRSheet3AE7" localSheetId="13" hidden="1">#REF!</definedName>
    <definedName name="IQRSheet3AE7" localSheetId="32" hidden="1">#REF!</definedName>
    <definedName name="IQRSheet3AE7" localSheetId="9" hidden="1">#REF!</definedName>
    <definedName name="IQRSheet3AE7" localSheetId="8" hidden="1">#REF!</definedName>
    <definedName name="IQRSheet3AE7" hidden="1">#REF!</definedName>
    <definedName name="IQRSheet3AF7" localSheetId="13" hidden="1">#REF!</definedName>
    <definedName name="IQRSheet3AF7" localSheetId="32" hidden="1">#REF!</definedName>
    <definedName name="IQRSheet3AF7" localSheetId="9" hidden="1">#REF!</definedName>
    <definedName name="IQRSheet3AF7" localSheetId="8" hidden="1">#REF!</definedName>
    <definedName name="IQRSheet3AF7" hidden="1">#REF!</definedName>
    <definedName name="IQRSheet3AG7" localSheetId="13" hidden="1">#REF!</definedName>
    <definedName name="IQRSheet3AG7" localSheetId="32" hidden="1">#REF!</definedName>
    <definedName name="IQRSheet3AG7" localSheetId="9" hidden="1">#REF!</definedName>
    <definedName name="IQRSheet3AG7" localSheetId="8" hidden="1">#REF!</definedName>
    <definedName name="IQRSheet3AG7" hidden="1">#REF!</definedName>
    <definedName name="IQRSheet3AH7" localSheetId="13" hidden="1">#REF!</definedName>
    <definedName name="IQRSheet3AH7" localSheetId="32" hidden="1">#REF!</definedName>
    <definedName name="IQRSheet3AH7" localSheetId="9" hidden="1">#REF!</definedName>
    <definedName name="IQRSheet3AH7" localSheetId="8" hidden="1">#REF!</definedName>
    <definedName name="IQRSheet3AH7" hidden="1">#REF!</definedName>
    <definedName name="IQRSheet3AI7" localSheetId="13" hidden="1">#REF!</definedName>
    <definedName name="IQRSheet3AI7" localSheetId="32" hidden="1">#REF!</definedName>
    <definedName name="IQRSheet3AI7" localSheetId="9" hidden="1">#REF!</definedName>
    <definedName name="IQRSheet3AI7" localSheetId="8" hidden="1">#REF!</definedName>
    <definedName name="IQRSheet3AI7" hidden="1">#REF!</definedName>
    <definedName name="IQRSheet3AJ7" localSheetId="13" hidden="1">#REF!</definedName>
    <definedName name="IQRSheet3AJ7" localSheetId="32" hidden="1">#REF!</definedName>
    <definedName name="IQRSheet3AJ7" localSheetId="9" hidden="1">#REF!</definedName>
    <definedName name="IQRSheet3AJ7" localSheetId="8" hidden="1">#REF!</definedName>
    <definedName name="IQRSheet3AJ7" hidden="1">#REF!</definedName>
    <definedName name="IQRSheet3AK7" localSheetId="13" hidden="1">#REF!</definedName>
    <definedName name="IQRSheet3AK7" localSheetId="32" hidden="1">#REF!</definedName>
    <definedName name="IQRSheet3AK7" localSheetId="9" hidden="1">#REF!</definedName>
    <definedName name="IQRSheet3AK7" localSheetId="8" hidden="1">#REF!</definedName>
    <definedName name="IQRSheet3AK7" hidden="1">#REF!</definedName>
    <definedName name="IQRSheet3AL7" localSheetId="13" hidden="1">#REF!</definedName>
    <definedName name="IQRSheet3AL7" localSheetId="32" hidden="1">#REF!</definedName>
    <definedName name="IQRSheet3AL7" localSheetId="9" hidden="1">#REF!</definedName>
    <definedName name="IQRSheet3AL7" localSheetId="8" hidden="1">#REF!</definedName>
    <definedName name="IQRSheet3AL7" hidden="1">#REF!</definedName>
    <definedName name="IQRSheet3B1" localSheetId="13" hidden="1">#REF!</definedName>
    <definedName name="IQRSheet3B1" localSheetId="32" hidden="1">#REF!</definedName>
    <definedName name="IQRSheet3B1" localSheetId="8" hidden="1">#REF!</definedName>
    <definedName name="IQRSheet3B1" hidden="1">#REF!</definedName>
    <definedName name="IQRSheet3B2" localSheetId="13" hidden="1">#REF!</definedName>
    <definedName name="IQRSheet3B2" localSheetId="32" hidden="1">#REF!</definedName>
    <definedName name="IQRSheet3B2" localSheetId="8" hidden="1">#REF!</definedName>
    <definedName name="IQRSheet3B2" hidden="1">#REF!</definedName>
    <definedName name="IQRSheet3B3" localSheetId="13" hidden="1">#REF!</definedName>
    <definedName name="IQRSheet3B3" localSheetId="32" hidden="1">#REF!</definedName>
    <definedName name="IQRSheet3B3" localSheetId="8" hidden="1">#REF!</definedName>
    <definedName name="IQRSheet3B3" hidden="1">#REF!</definedName>
    <definedName name="IQRSheet3B9" localSheetId="13" hidden="1">#REF!</definedName>
    <definedName name="IQRSheet3B9" localSheetId="32" hidden="1">#REF!</definedName>
    <definedName name="IQRSheet3B9" localSheetId="8" hidden="1">#REF!</definedName>
    <definedName name="IQRSheet3B9" hidden="1">#REF!</definedName>
    <definedName name="IQRSheet3C1" localSheetId="13" hidden="1">#REF!</definedName>
    <definedName name="IQRSheet3C1" localSheetId="32" hidden="1">#REF!</definedName>
    <definedName name="IQRSheet3C1" localSheetId="8" hidden="1">#REF!</definedName>
    <definedName name="IQRSheet3C1" hidden="1">#REF!</definedName>
    <definedName name="IQRSheet3C15" localSheetId="13" hidden="1">#REF!</definedName>
    <definedName name="IQRSheet3C15" localSheetId="32" hidden="1">#REF!</definedName>
    <definedName name="IQRSheet3C15" localSheetId="8" hidden="1">#REF!</definedName>
    <definedName name="IQRSheet3C15" hidden="1">#REF!</definedName>
    <definedName name="IQRSheet3C2" localSheetId="13" hidden="1">#REF!</definedName>
    <definedName name="IQRSheet3C2" localSheetId="32" hidden="1">#REF!</definedName>
    <definedName name="IQRSheet3C2" localSheetId="8" hidden="1">#REF!</definedName>
    <definedName name="IQRSheet3C2" hidden="1">#REF!</definedName>
    <definedName name="IQRSheet3D1" localSheetId="13" hidden="1">#REF!</definedName>
    <definedName name="IQRSheet3D1" localSheetId="32" hidden="1">#REF!</definedName>
    <definedName name="IQRSheet3D1" localSheetId="8" hidden="1">#REF!</definedName>
    <definedName name="IQRSheet3D1" hidden="1">#REF!</definedName>
    <definedName name="IQRSheet3D11" localSheetId="13" hidden="1">#REF!</definedName>
    <definedName name="IQRSheet3D11" localSheetId="32" hidden="1">#REF!</definedName>
    <definedName name="IQRSheet3D11" localSheetId="8" hidden="1">#REF!</definedName>
    <definedName name="IQRSheet3D11" hidden="1">#REF!</definedName>
    <definedName name="IQRSheet3D2" localSheetId="13" hidden="1">#REF!</definedName>
    <definedName name="IQRSheet3D2" localSheetId="32" hidden="1">#REF!</definedName>
    <definedName name="IQRSheet3D2" localSheetId="8" hidden="1">#REF!</definedName>
    <definedName name="IQRSheet3D2" hidden="1">#REF!</definedName>
    <definedName name="IQRSheet3E1" localSheetId="13" hidden="1">#REF!</definedName>
    <definedName name="IQRSheet3E1" localSheetId="32" hidden="1">#REF!</definedName>
    <definedName name="IQRSheet3E1" localSheetId="8" hidden="1">#REF!</definedName>
    <definedName name="IQRSheet3E1" hidden="1">#REF!</definedName>
    <definedName name="IQRSheet3F1" localSheetId="13" hidden="1">#REF!</definedName>
    <definedName name="IQRSheet3F1" localSheetId="32" hidden="1">#REF!</definedName>
    <definedName name="IQRSheet3F1" localSheetId="8" hidden="1">#REF!</definedName>
    <definedName name="IQRSheet3F1" hidden="1">#REF!</definedName>
    <definedName name="IQRSheet3F14" localSheetId="13" hidden="1">#REF!</definedName>
    <definedName name="IQRSheet3F14" localSheetId="32" hidden="1">#REF!</definedName>
    <definedName name="IQRSheet3F14" localSheetId="8" hidden="1">#REF!</definedName>
    <definedName name="IQRSheet3F14" hidden="1">#REF!</definedName>
    <definedName name="IQRSheet3G1" localSheetId="13" hidden="1">#REF!</definedName>
    <definedName name="IQRSheet3G1" localSheetId="32" hidden="1">#REF!</definedName>
    <definedName name="IQRSheet3G1" localSheetId="8" hidden="1">#REF!</definedName>
    <definedName name="IQRSheet3G1" hidden="1">#REF!</definedName>
    <definedName name="IQRSheet3H1" localSheetId="13" hidden="1">#REF!</definedName>
    <definedName name="IQRSheet3H1" localSheetId="32" hidden="1">#REF!</definedName>
    <definedName name="IQRSheet3H1" localSheetId="8" hidden="1">#REF!</definedName>
    <definedName name="IQRSheet3H1" hidden="1">#REF!</definedName>
    <definedName name="IQRSheet3I1" localSheetId="13" hidden="1">#REF!</definedName>
    <definedName name="IQRSheet3I1" localSheetId="32" hidden="1">#REF!</definedName>
    <definedName name="IQRSheet3I1" localSheetId="8" hidden="1">#REF!</definedName>
    <definedName name="IQRSheet3I1" hidden="1">#REF!</definedName>
    <definedName name="IQRSheet3J1" localSheetId="13" hidden="1">#REF!</definedName>
    <definedName name="IQRSheet3J1" localSheetId="32" hidden="1">#REF!</definedName>
    <definedName name="IQRSheet3J1" localSheetId="8" hidden="1">#REF!</definedName>
    <definedName name="IQRSheet3J1" hidden="1">#REF!</definedName>
    <definedName name="IQRSheet3K14" localSheetId="13" hidden="1">#REF!</definedName>
    <definedName name="IQRSheet3K14" localSheetId="32" hidden="1">#REF!</definedName>
    <definedName name="IQRSheet3K14" localSheetId="8" hidden="1">#REF!</definedName>
    <definedName name="IQRSheet3K14" hidden="1">#REF!</definedName>
    <definedName name="IQRSheet3K21" localSheetId="13" hidden="1">#REF!</definedName>
    <definedName name="IQRSheet3K21" localSheetId="32" hidden="1">#REF!</definedName>
    <definedName name="IQRSheet3K21" localSheetId="8" hidden="1">#REF!</definedName>
    <definedName name="IQRSheet3K21" hidden="1">#REF!</definedName>
    <definedName name="IQRSheet3N14" localSheetId="13" hidden="1">#REF!</definedName>
    <definedName name="IQRSheet3N14" localSheetId="32" hidden="1">#REF!</definedName>
    <definedName name="IQRSheet3N14" localSheetId="8" hidden="1">#REF!</definedName>
    <definedName name="IQRSheet3N14" hidden="1">#REF!</definedName>
    <definedName name="IQRSheet3S12" localSheetId="13" hidden="1">#REF!</definedName>
    <definedName name="IQRSheet3S12" localSheetId="32" hidden="1">#REF!</definedName>
    <definedName name="IQRSheet3S12" localSheetId="9" hidden="1">#REF!</definedName>
    <definedName name="IQRSheet3S12" localSheetId="8" hidden="1">#REF!</definedName>
    <definedName name="IQRSheet3S12" hidden="1">#REF!</definedName>
    <definedName name="IQRSheet4B3" localSheetId="13" hidden="1">#REF!</definedName>
    <definedName name="IQRSheet4B3" localSheetId="32" hidden="1">#REF!</definedName>
    <definedName name="IQRSheet4B3" localSheetId="8" hidden="1">#REF!</definedName>
    <definedName name="IQRSheet4B3" hidden="1">#REF!</definedName>
    <definedName name="IQRSheet4D8" localSheetId="13" hidden="1">#REF!</definedName>
    <definedName name="IQRSheet4D8" localSheetId="32" hidden="1">#REF!</definedName>
    <definedName name="IQRSheet4D8" localSheetId="8" hidden="1">#REF!</definedName>
    <definedName name="IQRSheet4D8" hidden="1">#REF!</definedName>
    <definedName name="IQRSheet77B3" hidden="1">'CIQ Segments'!$B$12:$B$17</definedName>
    <definedName name="IQRSheet77C3" hidden="1">'CIQ Segments'!$B$26:$B$36</definedName>
    <definedName name="IQRSheet77C4" hidden="1">'CIQ Segments'!$B$27:$B$32</definedName>
    <definedName name="IQRSheet77D3" localSheetId="13" hidden="1">'CIQ Segments'!#REF!</definedName>
    <definedName name="IQRSheet77D3" localSheetId="32" hidden="1">'[3]CIQ Segments'!#REF!</definedName>
    <definedName name="IQRSheet77D3" localSheetId="9" hidden="1">'[2]CIQ Segments'!#REF!</definedName>
    <definedName name="IQRSheet77D3" localSheetId="8" hidden="1">'[2]CIQ Segments'!#REF!</definedName>
    <definedName name="IQRSheet77D3" hidden="1">'CIQ Segments'!#REF!</definedName>
    <definedName name="IQRSheet9J2" hidden="1">'Price Data'!$K$2:$M$2</definedName>
    <definedName name="IQRSNSECHILECTRABQ12" localSheetId="13" hidden="1">#REF!</definedName>
    <definedName name="IQRSNSECHILECTRABQ12" localSheetId="29" hidden="1">#REF!</definedName>
    <definedName name="IQRSNSECHILECTRABQ12" localSheetId="32" hidden="1">#REF!</definedName>
    <definedName name="IQRSNSECHILECTRABQ12" localSheetId="8" hidden="1">#REF!</definedName>
    <definedName name="IQRSNSECHILECTRABQ12" hidden="1">#REF!</definedName>
    <definedName name="IQRSourceTabBO12" localSheetId="29" hidden="1">'CIQ Advisors'!#REF!</definedName>
    <definedName name="IQRSourceTabBQ12" localSheetId="13" hidden="1">#REF!</definedName>
    <definedName name="IQRSourceTabBQ12" localSheetId="29" hidden="1">'CIQ Advisors'!#REF!</definedName>
    <definedName name="IQRSourceTabBQ12" localSheetId="32" hidden="1">#REF!</definedName>
    <definedName name="IQRSourceTabBQ12" localSheetId="8" hidden="1">#REF!</definedName>
    <definedName name="IQRSourceTabBQ12" hidden="1">#REF!</definedName>
    <definedName name="IQRSourceTabBT12" localSheetId="29" hidden="1">'CIQ Advisors'!#REF!</definedName>
    <definedName name="IQRSourceTabO12" localSheetId="29" hidden="1">'CIQ Advisors'!#REF!</definedName>
    <definedName name="IQRSourceTabP12" localSheetId="29" hidden="1">'CIQ Advisors'!#REF!</definedName>
    <definedName name="IQRSourceTabS12" localSheetId="29" hidden="1">'CIQ Advisors'!#REF!</definedName>
    <definedName name="IQRSourceTabU12" localSheetId="29" hidden="1">'CIQ Advisors'!#REF!</definedName>
    <definedName name="IQRStockGraphAC7" localSheetId="13" hidden="1">#REF!</definedName>
    <definedName name="IQRStockGraphAC7" localSheetId="32" hidden="1">#REF!</definedName>
    <definedName name="IQRStockGraphAC7" localSheetId="9" hidden="1">#REF!</definedName>
    <definedName name="IQRStockGraphAC7" localSheetId="8" hidden="1">#REF!</definedName>
    <definedName name="IQRStockGraphAC7" hidden="1">#REF!</definedName>
    <definedName name="IQRStockGraphAD7" localSheetId="13" hidden="1">#REF!</definedName>
    <definedName name="IQRStockGraphAD7" localSheetId="32" hidden="1">#REF!</definedName>
    <definedName name="IQRStockGraphAD7" localSheetId="9" hidden="1">#REF!</definedName>
    <definedName name="IQRStockGraphAD7" localSheetId="8" hidden="1">#REF!</definedName>
    <definedName name="IQRStockGraphAD7" hidden="1">#REF!</definedName>
    <definedName name="IQRStockGraphAE7" localSheetId="13" hidden="1">#REF!</definedName>
    <definedName name="IQRStockGraphAE7" localSheetId="32" hidden="1">#REF!</definedName>
    <definedName name="IQRStockGraphAE7" localSheetId="9" hidden="1">#REF!</definedName>
    <definedName name="IQRStockGraphAE7" localSheetId="8" hidden="1">#REF!</definedName>
    <definedName name="IQRStockGraphAE7" hidden="1">#REF!</definedName>
    <definedName name="IQRStockGraphAF7" localSheetId="13" hidden="1">#REF!</definedName>
    <definedName name="IQRStockGraphAF7" localSheetId="32" hidden="1">#REF!</definedName>
    <definedName name="IQRStockGraphAF7" localSheetId="9" hidden="1">#REF!</definedName>
    <definedName name="IQRStockGraphAF7" localSheetId="8" hidden="1">#REF!</definedName>
    <definedName name="IQRStockGraphAF7" hidden="1">#REF!</definedName>
    <definedName name="IQRStockGraphAG7" localSheetId="13" hidden="1">#REF!</definedName>
    <definedName name="IQRStockGraphAG7" localSheetId="32" hidden="1">#REF!</definedName>
    <definedName name="IQRStockGraphAG7" localSheetId="9" hidden="1">#REF!</definedName>
    <definedName name="IQRStockGraphAG7" localSheetId="8" hidden="1">#REF!</definedName>
    <definedName name="IQRStockGraphAG7" hidden="1">#REF!</definedName>
    <definedName name="IQRStockGraphAH7" localSheetId="13" hidden="1">#REF!</definedName>
    <definedName name="IQRStockGraphAH7" localSheetId="32" hidden="1">#REF!</definedName>
    <definedName name="IQRStockGraphAH7" localSheetId="9" hidden="1">#REF!</definedName>
    <definedName name="IQRStockGraphAH7" localSheetId="8" hidden="1">#REF!</definedName>
    <definedName name="IQRStockGraphAH7" hidden="1">#REF!</definedName>
    <definedName name="IQRStockGraphAI7" localSheetId="13" hidden="1">#REF!</definedName>
    <definedName name="IQRStockGraphAI7" localSheetId="32" hidden="1">#REF!</definedName>
    <definedName name="IQRStockGraphAI7" localSheetId="9" hidden="1">#REF!</definedName>
    <definedName name="IQRStockGraphAI7" localSheetId="8" hidden="1">#REF!</definedName>
    <definedName name="IQRStockGraphAI7" hidden="1">#REF!</definedName>
    <definedName name="IQRStockGraphAJ7" localSheetId="13" hidden="1">#REF!</definedName>
    <definedName name="IQRStockGraphAJ7" localSheetId="32" hidden="1">#REF!</definedName>
    <definedName name="IQRStockGraphAJ7" localSheetId="9" hidden="1">#REF!</definedName>
    <definedName name="IQRStockGraphAJ7" localSheetId="8" hidden="1">#REF!</definedName>
    <definedName name="IQRStockGraphAJ7" hidden="1">#REF!</definedName>
    <definedName name="IQRStockGraphAK7" localSheetId="13" hidden="1">#REF!</definedName>
    <definedName name="IQRStockGraphAK7" localSheetId="32" hidden="1">#REF!</definedName>
    <definedName name="IQRStockGraphAK7" localSheetId="9" hidden="1">#REF!</definedName>
    <definedName name="IQRStockGraphAK7" localSheetId="8" hidden="1">#REF!</definedName>
    <definedName name="IQRStockGraphAK7" hidden="1">#REF!</definedName>
    <definedName name="IQRStockGraphAL7" localSheetId="13" hidden="1">#REF!</definedName>
    <definedName name="IQRStockGraphAL7" localSheetId="32" hidden="1">#REF!</definedName>
    <definedName name="IQRStockGraphAL7" localSheetId="9" hidden="1">#REF!</definedName>
    <definedName name="IQRStockGraphAL7" localSheetId="8" hidden="1">#REF!</definedName>
    <definedName name="IQRStockGraphAL7" hidden="1">#REF!</definedName>
    <definedName name="IQRStockGraphAV13" localSheetId="13" hidden="1">#REF!</definedName>
    <definedName name="IQRStockGraphAV13" localSheetId="32" hidden="1">#REF!</definedName>
    <definedName name="IQRStockGraphAV13" localSheetId="9" hidden="1">#REF!</definedName>
    <definedName name="IQRStockGraphAV13" localSheetId="8" hidden="1">#REF!</definedName>
    <definedName name="IQRStockGraphAV13" hidden="1">#REF!</definedName>
    <definedName name="IQRStockGraphS12" localSheetId="13" hidden="1">#REF!</definedName>
    <definedName name="IQRStockGraphS12" localSheetId="32" hidden="1">#REF!</definedName>
    <definedName name="IQRStockGraphS12" localSheetId="9" hidden="1">#REF!</definedName>
    <definedName name="IQRStockGraphS12" localSheetId="8" hidden="1">#REF!</definedName>
    <definedName name="IQRStockGraphS12" hidden="1">#REF!</definedName>
    <definedName name="IQRSWXABBNBQ12" localSheetId="13" hidden="1">#REF!</definedName>
    <definedName name="IQRSWXABBNBQ12" localSheetId="29" hidden="1">#REF!</definedName>
    <definedName name="IQRSWXABBNBQ12" localSheetId="32" hidden="1">#REF!</definedName>
    <definedName name="IQRSWXABBNBQ12" localSheetId="8" hidden="1">#REF!</definedName>
    <definedName name="IQRSWXABBNBQ12" hidden="1">#REF!</definedName>
    <definedName name="IQRSWXABBNBT12" localSheetId="13" hidden="1">#REF!</definedName>
    <definedName name="IQRSWXABBNBT12" localSheetId="29" hidden="1">#REF!</definedName>
    <definedName name="IQRSWXABBNBT12" localSheetId="32" hidden="1">#REF!</definedName>
    <definedName name="IQRSWXABBNBT12" localSheetId="8" hidden="1">#REF!</definedName>
    <definedName name="IQRSWXABBNBT12" hidden="1">#REF!</definedName>
    <definedName name="IQRSWXSCHNBQ12" localSheetId="13" hidden="1">#REF!</definedName>
    <definedName name="IQRSWXSCHNBQ12" localSheetId="29" hidden="1">#REF!</definedName>
    <definedName name="IQRSWXSCHNBQ12" localSheetId="32" hidden="1">#REF!</definedName>
    <definedName name="IQRSWXSCHNBQ12" localSheetId="8" hidden="1">#REF!</definedName>
    <definedName name="IQRSWXSCHNBQ12" hidden="1">#REF!</definedName>
    <definedName name="IQRSWXSCHNBT12" localSheetId="13" hidden="1">#REF!</definedName>
    <definedName name="IQRSWXSCHNBT12" localSheetId="29" hidden="1">#REF!</definedName>
    <definedName name="IQRSWXSCHNBT12" localSheetId="32" hidden="1">#REF!</definedName>
    <definedName name="IQRSWXSCHNBT12" localSheetId="8" hidden="1">#REF!</definedName>
    <definedName name="IQRSWXSCHNBT12" hidden="1">#REF!</definedName>
    <definedName name="IQRT7" hidden="1">"$T$8:$T$36"</definedName>
    <definedName name="IQRT8" hidden="1">"$T$9:$T$269"</definedName>
    <definedName name="IQRTSE2914BQ12" localSheetId="13" hidden="1">#REF!</definedName>
    <definedName name="IQRTSE2914BQ12" localSheetId="29" hidden="1">#REF!</definedName>
    <definedName name="IQRTSE2914BQ12" localSheetId="32" hidden="1">#REF!</definedName>
    <definedName name="IQRTSE2914BQ12" localSheetId="8" hidden="1">#REF!</definedName>
    <definedName name="IQRTSE2914BQ12" hidden="1">#REF!</definedName>
    <definedName name="IQRTSXAOIBQ12" localSheetId="13" hidden="1">#REF!</definedName>
    <definedName name="IQRTSXAOIBQ12" localSheetId="29" hidden="1">#REF!</definedName>
    <definedName name="IQRTSXAOIBQ12" localSheetId="32" hidden="1">#REF!</definedName>
    <definedName name="IQRTSXAOIBQ12" localSheetId="8" hidden="1">#REF!</definedName>
    <definedName name="IQRTSXAOIBQ12" hidden="1">#REF!</definedName>
    <definedName name="IQRU14" hidden="1">"$U$15:$U$114"</definedName>
    <definedName name="IQRU8" hidden="1">"$U$9:$U$60"</definedName>
    <definedName name="IQRUniqueBankrupticiesI1020" localSheetId="13" hidden="1">'[1]Score Analysis'!#REF!</definedName>
    <definedName name="IQRUniqueBankrupticiesI1020" localSheetId="32" hidden="1">'[1]Score Analysis'!#REF!</definedName>
    <definedName name="IQRUniqueBankrupticiesI1020" localSheetId="1" hidden="1">'[1]Score Analysis'!#REF!</definedName>
    <definedName name="IQRUniqueBankrupticiesI1020" localSheetId="2" hidden="1">'[1]Score Analysis'!#REF!</definedName>
    <definedName name="IQRUniqueBankrupticiesI1020" hidden="1">'[1]Score Analysis'!#REF!</definedName>
    <definedName name="IQRUniqueBankrupticiesI1021" localSheetId="13" hidden="1">'[1]Score Analysis'!#REF!</definedName>
    <definedName name="IQRUniqueBankrupticiesI1021" localSheetId="32" hidden="1">'[1]Score Analysis'!#REF!</definedName>
    <definedName name="IQRUniqueBankrupticiesI1021" localSheetId="1" hidden="1">'[1]Score Analysis'!#REF!</definedName>
    <definedName name="IQRUniqueBankrupticiesI1021" localSheetId="2" hidden="1">'[1]Score Analysis'!#REF!</definedName>
    <definedName name="IQRUniqueBankrupticiesI1021" hidden="1">'[1]Score Analysis'!#REF!</definedName>
    <definedName name="IQRValuationBU8" localSheetId="13" hidden="1">#REF!</definedName>
    <definedName name="IQRValuationBU8" localSheetId="32" hidden="1">#REF!</definedName>
    <definedName name="IQRValuationBU8" localSheetId="8" hidden="1">#REF!</definedName>
    <definedName name="IQRValuationBU8" hidden="1">#REF!</definedName>
    <definedName name="IQRValuationCB8" localSheetId="13" hidden="1">#REF!</definedName>
    <definedName name="IQRValuationCB8" localSheetId="32" hidden="1">#REF!</definedName>
    <definedName name="IQRValuationCB8" localSheetId="8" hidden="1">#REF!</definedName>
    <definedName name="IQRValuationCB8" hidden="1">#REF!</definedName>
    <definedName name="IQRValuationMultiplesBP8" localSheetId="13" hidden="1">#REF!</definedName>
    <definedName name="IQRValuationMultiplesBP8" localSheetId="32" hidden="1">#REF!</definedName>
    <definedName name="IQRValuationMultiplesBP8" localSheetId="8" hidden="1">#REF!</definedName>
    <definedName name="IQRValuationMultiplesBP8" hidden="1">#REF!</definedName>
    <definedName name="IQRValuationMultiplesBT8" localSheetId="13" hidden="1">#REF!</definedName>
    <definedName name="IQRValuationMultiplesBT8" localSheetId="32" hidden="1">#REF!</definedName>
    <definedName name="IQRValuationMultiplesBT8" localSheetId="8" hidden="1">#REF!</definedName>
    <definedName name="IQRValuationMultiplesBT8" hidden="1">#REF!</definedName>
    <definedName name="IQRValuationMultiplesBU8" localSheetId="32" hidden="1">'[14]Valuation &amp; Multiples'!$BU$9:$BU$269</definedName>
    <definedName name="IQRValuationMultiplesBU8" localSheetId="8" hidden="1">'[14]Valuation &amp; Multiples'!$BU$9:$BU$269</definedName>
    <definedName name="IQRValuationMultiplesBU8" hidden="1">'[14]Valuation &amp; Multiples'!$BU$9:$BU$269</definedName>
    <definedName name="IQRValuationMultiplesCB8" localSheetId="13" hidden="1">#REF!</definedName>
    <definedName name="IQRValuationMultiplesCB8" localSheetId="32" hidden="1">#REF!</definedName>
    <definedName name="IQRValuationMultiplesCB8" localSheetId="8" hidden="1">#REF!</definedName>
    <definedName name="IQRValuationMultiplesCB8" hidden="1">#REF!</definedName>
    <definedName name="IQRValuationMultiplesCC8" localSheetId="13" hidden="1">#REF!</definedName>
    <definedName name="IQRValuationMultiplesCC8" localSheetId="32" hidden="1">#REF!</definedName>
    <definedName name="IQRValuationMultiplesCC8" localSheetId="8" hidden="1">#REF!</definedName>
    <definedName name="IQRValuationMultiplesCC8" hidden="1">#REF!</definedName>
    <definedName name="IQRValuationMultiplesCD8" localSheetId="13" hidden="1">#REF!</definedName>
    <definedName name="IQRValuationMultiplesCD8" localSheetId="32" hidden="1">#REF!</definedName>
    <definedName name="IQRValuationMultiplesCD8" localSheetId="8" hidden="1">#REF!</definedName>
    <definedName name="IQRValuationMultiplesCD8" hidden="1">#REF!</definedName>
    <definedName name="IQRValuationMultiplesCE8" localSheetId="13" hidden="1">#REF!</definedName>
    <definedName name="IQRValuationMultiplesCE8" localSheetId="32" hidden="1">#REF!</definedName>
    <definedName name="IQRValuationMultiplesCE8" localSheetId="8" hidden="1">#REF!</definedName>
    <definedName name="IQRValuationMultiplesCE8" hidden="1">#REF!</definedName>
    <definedName name="IQRValuationMultiplesCF8" localSheetId="13" hidden="1">#REF!</definedName>
    <definedName name="IQRValuationMultiplesCF8" localSheetId="32" hidden="1">#REF!</definedName>
    <definedName name="IQRValuationMultiplesCF8" localSheetId="8" hidden="1">#REF!</definedName>
    <definedName name="IQRValuationMultiplesCF8" hidden="1">#REF!</definedName>
    <definedName name="IQRValuationMultiplesCG8" localSheetId="13" hidden="1">#REF!</definedName>
    <definedName name="IQRValuationMultiplesCG8" localSheetId="32" hidden="1">#REF!</definedName>
    <definedName name="IQRValuationMultiplesCG8" localSheetId="8" hidden="1">#REF!</definedName>
    <definedName name="IQRValuationMultiplesCG8" hidden="1">#REF!</definedName>
    <definedName name="IQRValuationMultiplesCH8" localSheetId="13" hidden="1">#REF!</definedName>
    <definedName name="IQRValuationMultiplesCH8" localSheetId="32" hidden="1">#REF!</definedName>
    <definedName name="IQRValuationMultiplesCH8" localSheetId="8" hidden="1">#REF!</definedName>
    <definedName name="IQRValuationMultiplesCH8" hidden="1">#REF!</definedName>
    <definedName name="IQRValuationMultiplesCI8" localSheetId="13" hidden="1">#REF!</definedName>
    <definedName name="IQRValuationMultiplesCI8" localSheetId="32" hidden="1">#REF!</definedName>
    <definedName name="IQRValuationMultiplesCI8" localSheetId="8" hidden="1">#REF!</definedName>
    <definedName name="IQRValuationMultiplesCI8" hidden="1">#REF!</definedName>
    <definedName name="IQRValuationMultiplesCJ8" localSheetId="32" hidden="1">'[14]Valuation &amp; Multiples'!$CJ$9:$CJ$60</definedName>
    <definedName name="IQRValuationMultiplesCJ8" localSheetId="8" hidden="1">'[14]Valuation &amp; Multiples'!$CJ$9:$CJ$60</definedName>
    <definedName name="IQRValuationMultiplesCJ8" hidden="1">'[14]Valuation &amp; Multiples'!$CJ$9:$CJ$60</definedName>
    <definedName name="IQRValuationMultiplesEG8" localSheetId="13" hidden="1">#REF!</definedName>
    <definedName name="IQRValuationMultiplesEG8" localSheetId="32" hidden="1">#REF!</definedName>
    <definedName name="IQRValuationMultiplesEG8" localSheetId="8" hidden="1">#REF!</definedName>
    <definedName name="IQRValuationMultiplesEG8" hidden="1">#REF!</definedName>
    <definedName name="IQRValuationMultiplesEK8" localSheetId="13" hidden="1">#REF!</definedName>
    <definedName name="IQRValuationMultiplesEK8" localSheetId="32" hidden="1">#REF!</definedName>
    <definedName name="IQRValuationMultiplesEK8" localSheetId="8" hidden="1">#REF!</definedName>
    <definedName name="IQRValuationMultiplesEK8" hidden="1">#REF!</definedName>
    <definedName name="IQRValuationMultiplesEL8" localSheetId="32" hidden="1">'[14]Valuation &amp; Multiples'!$EL$9:$EL$269</definedName>
    <definedName name="IQRValuationMultiplesEL8" localSheetId="8" hidden="1">'[14]Valuation &amp; Multiples'!$EL$9:$EL$269</definedName>
    <definedName name="IQRValuationMultiplesEL8" hidden="1">'[14]Valuation &amp; Multiples'!$EL$9:$EL$269</definedName>
    <definedName name="IQRValuationMultiplesEP8" localSheetId="13" hidden="1">#REF!</definedName>
    <definedName name="IQRValuationMultiplesEP8" localSheetId="32" hidden="1">'CIQ Revision'!$S$6:$S$58</definedName>
    <definedName name="IQRValuationMultiplesEP8" localSheetId="8" hidden="1">#REF!</definedName>
    <definedName name="IQRValuationMultiplesEP8" hidden="1">#REF!</definedName>
    <definedName name="IQRValuationMultiplesEQ8" localSheetId="32" hidden="1">'CIQ Revision'!$S$6:$S$58</definedName>
    <definedName name="IQRValuationMultiplesEQ8" localSheetId="8" hidden="1">'[14]Valuation &amp; Multiples'!$EQ$9:$EQ$60</definedName>
    <definedName name="IQRValuationMultiplesEQ8" hidden="1">'[14]Valuation &amp; Multiples'!$EQ$9:$EQ$60</definedName>
    <definedName name="IQRVAVPAB6" localSheetId="13" hidden="1">#REF!</definedName>
    <definedName name="IQRVAVPAB6" localSheetId="32" hidden="1">#REF!</definedName>
    <definedName name="IQRVAVPAB6" localSheetId="8" hidden="1">#REF!</definedName>
    <definedName name="IQRVAVPAB6" hidden="1">#REF!</definedName>
    <definedName name="IQRVAVPAC6" localSheetId="13" hidden="1">#REF!</definedName>
    <definedName name="IQRVAVPAC6" localSheetId="32" hidden="1">#REF!</definedName>
    <definedName name="IQRVAVPAC6" localSheetId="8" hidden="1">#REF!</definedName>
    <definedName name="IQRVAVPAC6" hidden="1">#REF!</definedName>
    <definedName name="IQRVAVPAC8" localSheetId="13" hidden="1">#REF!</definedName>
    <definedName name="IQRVAVPAC8" localSheetId="32" hidden="1">#REF!</definedName>
    <definedName name="IQRVAVPAC8" localSheetId="8" hidden="1">#REF!</definedName>
    <definedName name="IQRVAVPAC8" hidden="1">#REF!</definedName>
    <definedName name="IQRVAVPAD6" localSheetId="13" hidden="1">#REF!</definedName>
    <definedName name="IQRVAVPAD6" localSheetId="32" hidden="1">#REF!</definedName>
    <definedName name="IQRVAVPAD6" localSheetId="8" hidden="1">#REF!</definedName>
    <definedName name="IQRVAVPAD6" hidden="1">#REF!</definedName>
    <definedName name="IQRVAVPAF6" localSheetId="13" hidden="1">#REF!</definedName>
    <definedName name="IQRVAVPAF6" localSheetId="32" hidden="1">#REF!</definedName>
    <definedName name="IQRVAVPAF6" localSheetId="8" hidden="1">#REF!</definedName>
    <definedName name="IQRVAVPAF6" hidden="1">#REF!</definedName>
    <definedName name="IQRVAVPAG8" localSheetId="13" hidden="1">#REF!</definedName>
    <definedName name="IQRVAVPAG8" localSheetId="32" hidden="1">#REF!</definedName>
    <definedName name="IQRVAVPAG8" localSheetId="8" hidden="1">#REF!</definedName>
    <definedName name="IQRVAVPAG8" hidden="1">#REF!</definedName>
    <definedName name="IQRVAVPAK6" localSheetId="13" hidden="1">#REF!</definedName>
    <definedName name="IQRVAVPAK6" localSheetId="32" hidden="1">#REF!</definedName>
    <definedName name="IQRVAVPAK6" localSheetId="8" hidden="1">#REF!</definedName>
    <definedName name="IQRVAVPAK6" hidden="1">#REF!</definedName>
    <definedName name="IQRVAVPAL6" localSheetId="13" hidden="1">#REF!</definedName>
    <definedName name="IQRVAVPAL6" localSheetId="32" hidden="1">#REF!</definedName>
    <definedName name="IQRVAVPAL6" localSheetId="8" hidden="1">#REF!</definedName>
    <definedName name="IQRVAVPAL6" hidden="1">#REF!</definedName>
    <definedName name="IQRVAVPAN6" localSheetId="13" hidden="1">#REF!</definedName>
    <definedName name="IQRVAVPAN6" localSheetId="32" hidden="1">#REF!</definedName>
    <definedName name="IQRVAVPAN6" localSheetId="8" hidden="1">#REF!</definedName>
    <definedName name="IQRVAVPAN6" hidden="1">#REF!</definedName>
    <definedName name="IQRVAVPAO6" localSheetId="13" hidden="1">#REF!</definedName>
    <definedName name="IQRVAVPAO6" localSheetId="32" hidden="1">#REF!</definedName>
    <definedName name="IQRVAVPAO6" localSheetId="8" hidden="1">#REF!</definedName>
    <definedName name="IQRVAVPAO6" hidden="1">#REF!</definedName>
    <definedName name="IQRVAVPAO8" localSheetId="13" hidden="1">#REF!</definedName>
    <definedName name="IQRVAVPAO8" localSheetId="32" hidden="1">#REF!</definedName>
    <definedName name="IQRVAVPAO8" localSheetId="8" hidden="1">#REF!</definedName>
    <definedName name="IQRVAVPAO8" hidden="1">#REF!</definedName>
    <definedName name="IQRVAVPAQ6" localSheetId="13" hidden="1">#REF!</definedName>
    <definedName name="IQRVAVPAQ6" localSheetId="32" hidden="1">#REF!</definedName>
    <definedName name="IQRVAVPAQ6" localSheetId="8" hidden="1">#REF!</definedName>
    <definedName name="IQRVAVPAQ6" hidden="1">#REF!</definedName>
    <definedName name="IQRVAVPAQ7" localSheetId="13" hidden="1">#REF!</definedName>
    <definedName name="IQRVAVPAQ7" localSheetId="32" hidden="1">#REF!</definedName>
    <definedName name="IQRVAVPAQ7" localSheetId="8" hidden="1">#REF!</definedName>
    <definedName name="IQRVAVPAQ7" hidden="1">#REF!</definedName>
    <definedName name="IQRVAVPAQ8" localSheetId="13" hidden="1">#REF!</definedName>
    <definedName name="IQRVAVPAQ8" localSheetId="32" hidden="1">#REF!</definedName>
    <definedName name="IQRVAVPAQ8" localSheetId="8" hidden="1">#REF!</definedName>
    <definedName name="IQRVAVPAQ8" hidden="1">#REF!</definedName>
    <definedName name="IQRVAVPAR6" localSheetId="13" hidden="1">#REF!</definedName>
    <definedName name="IQRVAVPAR6" localSheetId="32" hidden="1">#REF!</definedName>
    <definedName name="IQRVAVPAR6" localSheetId="8" hidden="1">#REF!</definedName>
    <definedName name="IQRVAVPAR6" hidden="1">#REF!</definedName>
    <definedName name="IQRVAVPAS6" localSheetId="13" hidden="1">#REF!</definedName>
    <definedName name="IQRVAVPAS6" localSheetId="32" hidden="1">#REF!</definedName>
    <definedName name="IQRVAVPAS6" localSheetId="8" hidden="1">#REF!</definedName>
    <definedName name="IQRVAVPAS6" hidden="1">#REF!</definedName>
    <definedName name="IQRVAVPAT6" localSheetId="13" hidden="1">#REF!</definedName>
    <definedName name="IQRVAVPAT6" localSheetId="32" hidden="1">#REF!</definedName>
    <definedName name="IQRVAVPAT6" localSheetId="8" hidden="1">#REF!</definedName>
    <definedName name="IQRVAVPAT6" hidden="1">#REF!</definedName>
    <definedName name="IQRVAVPAU6" localSheetId="13" hidden="1">#REF!</definedName>
    <definedName name="IQRVAVPAU6" localSheetId="32" hidden="1">#REF!</definedName>
    <definedName name="IQRVAVPAU6" localSheetId="8" hidden="1">#REF!</definedName>
    <definedName name="IQRVAVPAU6" hidden="1">#REF!</definedName>
    <definedName name="IQRVAVPAU7" localSheetId="13" hidden="1">#REF!</definedName>
    <definedName name="IQRVAVPAU7" localSheetId="32" hidden="1">#REF!</definedName>
    <definedName name="IQRVAVPAU7" localSheetId="8" hidden="1">#REF!</definedName>
    <definedName name="IQRVAVPAU7" hidden="1">#REF!</definedName>
    <definedName name="IQRVAVPAU8" localSheetId="13" hidden="1">#REF!</definedName>
    <definedName name="IQRVAVPAU8" localSheetId="32" hidden="1">#REF!</definedName>
    <definedName name="IQRVAVPAU8" localSheetId="8" hidden="1">#REF!</definedName>
    <definedName name="IQRVAVPAU8" hidden="1">#REF!</definedName>
    <definedName name="IQRVAVPAV6" localSheetId="13" hidden="1">#REF!</definedName>
    <definedName name="IQRVAVPAV6" localSheetId="32" hidden="1">#REF!</definedName>
    <definedName name="IQRVAVPAV6" localSheetId="8" hidden="1">#REF!</definedName>
    <definedName name="IQRVAVPAV6" hidden="1">#REF!</definedName>
    <definedName name="IQRVAVPAW6" localSheetId="13" hidden="1">#REF!</definedName>
    <definedName name="IQRVAVPAW6" localSheetId="32" hidden="1">#REF!</definedName>
    <definedName name="IQRVAVPAW6" localSheetId="8" hidden="1">#REF!</definedName>
    <definedName name="IQRVAVPAW6" hidden="1">#REF!</definedName>
    <definedName name="IQRVAVPAW8" localSheetId="13" hidden="1">#REF!</definedName>
    <definedName name="IQRVAVPAW8" localSheetId="32" hidden="1">#REF!</definedName>
    <definedName name="IQRVAVPAW8" localSheetId="8" hidden="1">#REF!</definedName>
    <definedName name="IQRVAVPAW8" hidden="1">#REF!</definedName>
    <definedName name="IQRVAVPAZ6" localSheetId="13" hidden="1">#REF!</definedName>
    <definedName name="IQRVAVPAZ6" localSheetId="32" hidden="1">#REF!</definedName>
    <definedName name="IQRVAVPAZ6" localSheetId="8" hidden="1">#REF!</definedName>
    <definedName name="IQRVAVPAZ6" hidden="1">#REF!</definedName>
    <definedName name="IQRVAVPBC6" localSheetId="13" hidden="1">#REF!</definedName>
    <definedName name="IQRVAVPBC6" localSheetId="32" hidden="1">#REF!</definedName>
    <definedName name="IQRVAVPBC6" localSheetId="8" hidden="1">#REF!</definedName>
    <definedName name="IQRVAVPBC6" hidden="1">#REF!</definedName>
    <definedName name="IQRVAVPBC7" localSheetId="13" hidden="1">#REF!</definedName>
    <definedName name="IQRVAVPBC7" localSheetId="32" hidden="1">#REF!</definedName>
    <definedName name="IQRVAVPBC7" localSheetId="8" hidden="1">#REF!</definedName>
    <definedName name="IQRVAVPBC7" hidden="1">#REF!</definedName>
    <definedName name="IQRVAVPBC8" localSheetId="13" hidden="1">#REF!</definedName>
    <definedName name="IQRVAVPBC8" localSheetId="32" hidden="1">#REF!</definedName>
    <definedName name="IQRVAVPBC8" localSheetId="8" hidden="1">#REF!</definedName>
    <definedName name="IQRVAVPBC8" hidden="1">#REF!</definedName>
    <definedName name="IQRVAVPBE102" localSheetId="13" hidden="1">#REF!</definedName>
    <definedName name="IQRVAVPBE102" localSheetId="32" hidden="1">#REF!</definedName>
    <definedName name="IQRVAVPBE102" localSheetId="8" hidden="1">#REF!</definedName>
    <definedName name="IQRVAVPBE102" hidden="1">#REF!</definedName>
    <definedName name="IQRVAVPBE141" localSheetId="13" hidden="1">#REF!</definedName>
    <definedName name="IQRVAVPBE141" localSheetId="32" hidden="1">#REF!</definedName>
    <definedName name="IQRVAVPBE141" localSheetId="8" hidden="1">#REF!</definedName>
    <definedName name="IQRVAVPBE141" hidden="1">#REF!</definedName>
    <definedName name="IQRVAVPBE6" localSheetId="13" hidden="1">#REF!</definedName>
    <definedName name="IQRVAVPBE6" localSheetId="32" hidden="1">#REF!</definedName>
    <definedName name="IQRVAVPBE6" localSheetId="8" hidden="1">#REF!</definedName>
    <definedName name="IQRVAVPBE6" hidden="1">#REF!</definedName>
    <definedName name="IQRVAVPBG8" localSheetId="32" hidden="1">[8]VAVP!$BG$9:$BG$165</definedName>
    <definedName name="IQRVAVPBG8" localSheetId="8" hidden="1">[8]VAVP!$BG$9:$BG$165</definedName>
    <definedName name="IQRVAVPBG8" hidden="1">[8]VAVP!$BG$9:$BG$165</definedName>
    <definedName name="IQRVAVPBH6" localSheetId="13" hidden="1">#REF!</definedName>
    <definedName name="IQRVAVPBH6" localSheetId="32" hidden="1">#REF!</definedName>
    <definedName name="IQRVAVPBH6" localSheetId="8" hidden="1">#REF!</definedName>
    <definedName name="IQRVAVPBH6" hidden="1">#REF!</definedName>
    <definedName name="IQRVAVPBK6" localSheetId="13" hidden="1">#REF!</definedName>
    <definedName name="IQRVAVPBK6" localSheetId="32" hidden="1">#REF!</definedName>
    <definedName name="IQRVAVPBK6" localSheetId="8" hidden="1">#REF!</definedName>
    <definedName name="IQRVAVPBK6" hidden="1">#REF!</definedName>
    <definedName name="IQRVAVPBK7" localSheetId="13" hidden="1">#REF!</definedName>
    <definedName name="IQRVAVPBK7" localSheetId="32" hidden="1">#REF!</definedName>
    <definedName name="IQRVAVPBK7" localSheetId="8" hidden="1">#REF!</definedName>
    <definedName name="IQRVAVPBK7" hidden="1">#REF!</definedName>
    <definedName name="IQRVAVPBK8" localSheetId="13" hidden="1">#REF!</definedName>
    <definedName name="IQRVAVPBK8" localSheetId="32" hidden="1">#REF!</definedName>
    <definedName name="IQRVAVPBK8" localSheetId="8" hidden="1">#REF!</definedName>
    <definedName name="IQRVAVPBK8" hidden="1">#REF!</definedName>
    <definedName name="IQRVAVPBM60" localSheetId="32" hidden="1">[15]VAVP!$BM$61:$BM$112</definedName>
    <definedName name="IQRVAVPBM60" localSheetId="8" hidden="1">[15]VAVP!$BM$61:$BM$112</definedName>
    <definedName name="IQRVAVPBM60" hidden="1">[15]VAVP!$BM$61:$BM$112</definedName>
    <definedName name="IQRVAVPBQ8" localSheetId="32" hidden="1">[8]VAVP!$BQ$9:$BQ$60</definedName>
    <definedName name="IQRVAVPBQ8" localSheetId="8" hidden="1">[8]VAVP!$BQ$9:$BQ$60</definedName>
    <definedName name="IQRVAVPBQ8" hidden="1">[8]VAVP!$BQ$9:$BQ$60</definedName>
    <definedName name="IQRVAVPC8" localSheetId="13" hidden="1">#REF!</definedName>
    <definedName name="IQRVAVPC8" localSheetId="32" hidden="1">#REF!</definedName>
    <definedName name="IQRVAVPC8" localSheetId="8" hidden="1">#REF!</definedName>
    <definedName name="IQRVAVPC8" hidden="1">#REF!</definedName>
    <definedName name="IQRVAVPCI13" localSheetId="13" hidden="1">#REF!</definedName>
    <definedName name="IQRVAVPCI13" localSheetId="32" hidden="1">#REF!</definedName>
    <definedName name="IQRVAVPCI13" localSheetId="8" hidden="1">#REF!</definedName>
    <definedName name="IQRVAVPCI13" hidden="1">#REF!</definedName>
    <definedName name="IQRVAVPEK13" localSheetId="13" hidden="1">#REF!</definedName>
    <definedName name="IQRVAVPEK13" localSheetId="32" hidden="1">#REF!</definedName>
    <definedName name="IQRVAVPEK13" localSheetId="8" hidden="1">#REF!</definedName>
    <definedName name="IQRVAVPEK13" hidden="1">#REF!</definedName>
    <definedName name="IQRVAVPEP13" localSheetId="13" hidden="1">#REF!</definedName>
    <definedName name="IQRVAVPEP13" localSheetId="32" hidden="1">'CIQ Revision'!$S$6:$S$58</definedName>
    <definedName name="IQRVAVPEP13" localSheetId="8" hidden="1">#REF!</definedName>
    <definedName name="IQRVAVPEP13" hidden="1">#REF!</definedName>
    <definedName name="IQRVAVPQ4" localSheetId="13" hidden="1">#REF!</definedName>
    <definedName name="IQRVAVPQ4" localSheetId="32" hidden="1">#REF!</definedName>
    <definedName name="IQRVAVPQ4" localSheetId="8" hidden="1">#REF!</definedName>
    <definedName name="IQRVAVPQ4" hidden="1">#REF!</definedName>
    <definedName name="IQRVAVPQ6" localSheetId="13" hidden="1">#REF!</definedName>
    <definedName name="IQRVAVPQ6" localSheetId="32" hidden="1">#REF!</definedName>
    <definedName name="IQRVAVPQ6" localSheetId="8" hidden="1">#REF!</definedName>
    <definedName name="IQRVAVPQ6" hidden="1">#REF!</definedName>
    <definedName name="IQRVAVPQ7" localSheetId="13" hidden="1">#REF!</definedName>
    <definedName name="IQRVAVPQ7" localSheetId="32" hidden="1">#REF!</definedName>
    <definedName name="IQRVAVPQ7" localSheetId="8" hidden="1">#REF!</definedName>
    <definedName name="IQRVAVPQ7" hidden="1">#REF!</definedName>
    <definedName name="IQRVAVPQ8" localSheetId="13" hidden="1">#REF!</definedName>
    <definedName name="IQRVAVPQ8" localSheetId="32" hidden="1">#REF!</definedName>
    <definedName name="IQRVAVPQ8" localSheetId="8" hidden="1">#REF!</definedName>
    <definedName name="IQRVAVPQ8" hidden="1">#REF!</definedName>
    <definedName name="IQRVAVPR4" localSheetId="13" hidden="1">#REF!</definedName>
    <definedName name="IQRVAVPR4" localSheetId="32" hidden="1">#REF!</definedName>
    <definedName name="IQRVAVPR4" localSheetId="8" hidden="1">#REF!</definedName>
    <definedName name="IQRVAVPR4" hidden="1">#REF!</definedName>
    <definedName name="IQRVAVPT11" localSheetId="13" hidden="1">#REF!</definedName>
    <definedName name="IQRVAVPT11" localSheetId="32" hidden="1">#REF!</definedName>
    <definedName name="IQRVAVPT11" localSheetId="8" hidden="1">#REF!</definedName>
    <definedName name="IQRVAVPT11" hidden="1">#REF!</definedName>
    <definedName name="IQRVAVPT13" localSheetId="13" hidden="1">#REF!</definedName>
    <definedName name="IQRVAVPT13" localSheetId="32" hidden="1">#REF!</definedName>
    <definedName name="IQRVAVPT13" localSheetId="8" hidden="1">#REF!</definedName>
    <definedName name="IQRVAVPT13" hidden="1">#REF!</definedName>
    <definedName name="IQRVAVPT4" localSheetId="13" hidden="1">#REF!</definedName>
    <definedName name="IQRVAVPT4" localSheetId="32" hidden="1">#REF!</definedName>
    <definedName name="IQRVAVPT4" localSheetId="8" hidden="1">#REF!</definedName>
    <definedName name="IQRVAVPT4" hidden="1">#REF!</definedName>
    <definedName name="IQRVAVPU13" localSheetId="13" hidden="1">#REF!</definedName>
    <definedName name="IQRVAVPU13" localSheetId="32" hidden="1">#REF!</definedName>
    <definedName name="IQRVAVPU13" localSheetId="8" hidden="1">#REF!</definedName>
    <definedName name="IQRVAVPU13" hidden="1">#REF!</definedName>
    <definedName name="IQRVAVPY6" localSheetId="13" hidden="1">#REF!</definedName>
    <definedName name="IQRVAVPY6" localSheetId="32" hidden="1">#REF!</definedName>
    <definedName name="IQRVAVPY6" localSheetId="8" hidden="1">#REF!</definedName>
    <definedName name="IQRVAVPY6" hidden="1">#REF!</definedName>
    <definedName name="IQRVAVPZ6" localSheetId="13" hidden="1">#REF!</definedName>
    <definedName name="IQRVAVPZ6" localSheetId="32" hidden="1">#REF!</definedName>
    <definedName name="IQRVAVPZ6" localSheetId="8" hidden="1">#REF!</definedName>
    <definedName name="IQRVAVPZ6" hidden="1">#REF!</definedName>
    <definedName name="IQRVitalFewPeersG20" localSheetId="13" hidden="1">#REF!</definedName>
    <definedName name="IQRVitalFewPeersG20" localSheetId="32" hidden="1">#REF!</definedName>
    <definedName name="IQRVitalFewPeersG20" localSheetId="1" hidden="1">#REF!</definedName>
    <definedName name="IQRVitalFewPeersG20" localSheetId="2" hidden="1">#REF!</definedName>
    <definedName name="IQRVitalFewPeersG20" hidden="1">#REF!</definedName>
    <definedName name="IQRW14" hidden="1">"$W$15:$W$114"</definedName>
    <definedName name="IQRX8" hidden="1">"$X$9:$X$61"</definedName>
    <definedName name="IQRY11" hidden="1">"$Y$12"</definedName>
    <definedName name="IQRY14" hidden="1">"$Y$15:$Y$114"</definedName>
    <definedName name="IQRY8" hidden="1">"$Y$9:$Y$61"</definedName>
    <definedName name="Key_Dev">'Key Developments'!$A$7</definedName>
    <definedName name="Key_Professional">Professionals!$B$18</definedName>
    <definedName name="Key_Professional_Index">Professionals!$J$18</definedName>
    <definedName name="KeyFinEnd_Fin">'Key Financials_H'!$P$6</definedName>
    <definedName name="KeyFinEnd_NonFin">'Key Financials'!$P$6</definedName>
    <definedName name="KeyFinStart_Fin">'Key Financials_H'!$B$6</definedName>
    <definedName name="KeyFinStart_NonFin">'Key Financials'!$B$6</definedName>
    <definedName name="Legal_Advisor">Advisors!$B$15</definedName>
    <definedName name="metric">'Peer Analysis'!$B$5</definedName>
    <definedName name="News_Category">'CIQ Key Developments'!$P$5</definedName>
    <definedName name="nQuartile">'Peer Analysis'!$U$5</definedName>
    <definedName name="NumberOfPeers">Input!$C$16</definedName>
    <definedName name="NumberOfPeriods">Input!$E$16</definedName>
    <definedName name="PeerAnalysisChartType_Fin">'Peer Analysis_H'!$O$31</definedName>
    <definedName name="PeerAnalysisChartType_NonFin">'Peer Analysis'!$O$32</definedName>
    <definedName name="PeerAnalysisCompanyChartData_Fin">'Peer Data_H'!$A$30</definedName>
    <definedName name="PeerAnalysisCompanyChartData_NonFin">'Peer Data'!$A$31</definedName>
    <definedName name="PeerData_Fin">'Peer Data_H'!$AE$6</definedName>
    <definedName name="PeerData_NonFin">'Peer Data'!$AG$6</definedName>
    <definedName name="Peers_Input">Input!$B$18</definedName>
    <definedName name="pMaxHeight">'Export (F)'!$M$2</definedName>
    <definedName name="pMaxWidth">'Export (F)'!$M$1</definedName>
    <definedName name="PriceData">'Price Data'!$A$6</definedName>
    <definedName name="PriceStartDate">'Price Data'!$D$2</definedName>
    <definedName name="_xlnm.Print_Area" localSheetId="5">Overview!$B$5:$R$49</definedName>
    <definedName name="_xlnm.Print_Titles" localSheetId="5">Overview!#REF!</definedName>
    <definedName name="ProfileType">'Export (N)'!$F$1</definedName>
    <definedName name="ShortName">Input!$E$18</definedName>
    <definedName name="solver_eng" localSheetId="2" hidden="1">1</definedName>
    <definedName name="solver_neg" localSheetId="2" hidden="1">1</definedName>
    <definedName name="solver_num" localSheetId="2" hidden="1">0</definedName>
    <definedName name="solver_opt" localSheetId="2" hidden="1">'Export (N)'!$O$17</definedName>
    <definedName name="solver_typ" localSheetId="2" hidden="1">1</definedName>
    <definedName name="solver_val" localSheetId="2" hidden="1">0</definedName>
    <definedName name="solver_ver" localSheetId="2" hidden="1">3</definedName>
    <definedName name="StartingCompanyQuarter">ImpData!$E$4</definedName>
    <definedName name="StartingCompanyYear">ImpData!$E$3</definedName>
    <definedName name="StartingQuarter">ImpData!$E$4</definedName>
    <definedName name="StartingYear">ImpData!$E$3</definedName>
    <definedName name="StartPeriod">Input!$H$16</definedName>
    <definedName name="SummaryPeers">'Market Data'!$B$5</definedName>
    <definedName name="Target">Input!$C$5</definedName>
    <definedName name="TargetIndustry">ImpData!$B$32</definedName>
    <definedName name="TimePeriodType">Input!$I$5</definedName>
    <definedName name="Transaction_closed">'M&amp;A Transactions'!$A$18</definedName>
    <definedName name="Transaction_start">'M&amp;A Transactions'!$A$6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1173" l="1"/>
  <c r="G7" i="1173"/>
  <c r="Q26" i="1440"/>
  <c r="P26" i="1440"/>
  <c r="Q25" i="1440"/>
  <c r="Q24" i="1440"/>
  <c r="P25" i="1440"/>
  <c r="Q23" i="1440"/>
  <c r="P23" i="1440"/>
  <c r="P24" i="1440"/>
  <c r="P22" i="1440"/>
  <c r="Q22" i="1440"/>
  <c r="Q20" i="1440"/>
  <c r="Q21" i="1440"/>
  <c r="P21" i="1440"/>
  <c r="Q19" i="1440"/>
  <c r="P20" i="1440"/>
  <c r="Q18" i="1440"/>
  <c r="Q17" i="1440"/>
  <c r="P19" i="1440"/>
  <c r="P18" i="1440"/>
  <c r="P17" i="1440"/>
  <c r="Q15" i="1440"/>
  <c r="Q16" i="1440"/>
  <c r="P16" i="1440"/>
  <c r="Q14" i="1440"/>
  <c r="P15" i="1440"/>
  <c r="P13" i="1440"/>
  <c r="Q13" i="1440"/>
  <c r="P14" i="1440"/>
  <c r="P12" i="1440"/>
  <c r="Q12" i="1440"/>
  <c r="Q9" i="1440"/>
  <c r="P11" i="1440"/>
  <c r="Q10" i="1440"/>
  <c r="P10" i="1440"/>
  <c r="Q11" i="1440"/>
  <c r="P7" i="1440"/>
  <c r="P9" i="1440"/>
  <c r="Q7" i="1440"/>
  <c r="P8" i="1440"/>
  <c r="Q8" i="1440"/>
  <c r="L11" i="1233"/>
  <c r="H12" i="1233"/>
  <c r="H9" i="1233"/>
  <c r="I9" i="1233"/>
  <c r="H29" i="1233"/>
  <c r="I12" i="1233"/>
  <c r="H19" i="1233"/>
  <c r="O20" i="1233"/>
  <c r="H11" i="1233"/>
  <c r="I11" i="1233"/>
  <c r="I29" i="1233"/>
  <c r="H30" i="1233"/>
  <c r="H31" i="1233"/>
  <c r="O36" i="1233"/>
  <c r="H26" i="1233"/>
  <c r="H27" i="1233"/>
  <c r="L6" i="802"/>
  <c r="D22" i="1160"/>
  <c r="D23" i="1160"/>
  <c r="D24" i="1160"/>
  <c r="P29" i="1233"/>
  <c r="Q29" i="1233"/>
  <c r="Q20" i="1233"/>
  <c r="P28" i="1233"/>
  <c r="Q28" i="1233"/>
  <c r="P12" i="1233"/>
  <c r="Q12" i="1233"/>
  <c r="P20" i="1233"/>
  <c r="P11" i="1233"/>
  <c r="Q11" i="1233"/>
  <c r="P9" i="1233"/>
  <c r="Q9" i="1233"/>
  <c r="P10" i="1233"/>
  <c r="Q10" i="1233"/>
  <c r="O2" i="1233"/>
  <c r="H2" i="1233"/>
  <c r="I2" i="1233"/>
  <c r="N2" i="1233"/>
  <c r="M2" i="1233"/>
  <c r="G2" i="1233"/>
  <c r="J2" i="1233"/>
  <c r="L2" i="1233"/>
  <c r="K2" i="1233"/>
  <c r="K62" i="1736"/>
  <c r="M62" i="1736"/>
  <c r="N62" i="1736"/>
  <c r="E62" i="1736"/>
  <c r="F62" i="1736"/>
  <c r="G62" i="1736"/>
  <c r="H62" i="1736"/>
  <c r="I62" i="1736"/>
  <c r="J62" i="1736"/>
  <c r="H56" i="1736"/>
  <c r="I56" i="1736"/>
  <c r="J56" i="1736"/>
  <c r="K56" i="1736"/>
  <c r="M56" i="1736"/>
  <c r="N56" i="1736"/>
  <c r="M52" i="1736"/>
  <c r="N52" i="1736"/>
  <c r="F55" i="1736"/>
  <c r="E56" i="1736"/>
  <c r="F56" i="1736"/>
  <c r="G56" i="1736"/>
  <c r="F52" i="1736"/>
  <c r="G52" i="1736"/>
  <c r="H52" i="1736"/>
  <c r="I52" i="1736"/>
  <c r="J52" i="1736"/>
  <c r="K52" i="1736"/>
  <c r="I51" i="1736"/>
  <c r="J51" i="1736"/>
  <c r="K51" i="1736"/>
  <c r="M51" i="1736"/>
  <c r="N51" i="1736"/>
  <c r="E52" i="1736"/>
  <c r="M50" i="1736"/>
  <c r="N50" i="1736"/>
  <c r="E51" i="1736"/>
  <c r="F51" i="1736"/>
  <c r="G51" i="1736"/>
  <c r="H51" i="1736"/>
  <c r="F50" i="1736"/>
  <c r="G50" i="1736"/>
  <c r="H50" i="1736"/>
  <c r="I50" i="1736"/>
  <c r="J50" i="1736"/>
  <c r="K50" i="1736"/>
  <c r="I46" i="1736"/>
  <c r="J46" i="1736"/>
  <c r="K46" i="1736"/>
  <c r="M46" i="1736"/>
  <c r="N46" i="1736"/>
  <c r="E50" i="1736"/>
  <c r="N44" i="1736"/>
  <c r="F45" i="1736"/>
  <c r="E46" i="1736"/>
  <c r="F46" i="1736"/>
  <c r="G46" i="1736"/>
  <c r="H46" i="1736"/>
  <c r="G44" i="1736"/>
  <c r="H44" i="1736"/>
  <c r="I44" i="1736"/>
  <c r="J44" i="1736"/>
  <c r="K44" i="1736"/>
  <c r="M44" i="1736"/>
  <c r="J41" i="1736"/>
  <c r="K41" i="1736"/>
  <c r="M41" i="1736"/>
  <c r="N41" i="1736"/>
  <c r="E44" i="1736"/>
  <c r="F44" i="1736"/>
  <c r="N40" i="1736"/>
  <c r="E41" i="1736"/>
  <c r="F41" i="1736"/>
  <c r="G41" i="1736"/>
  <c r="H41" i="1736"/>
  <c r="I41" i="1736"/>
  <c r="G40" i="1736"/>
  <c r="H40" i="1736"/>
  <c r="I40" i="1736"/>
  <c r="J40" i="1736"/>
  <c r="K40" i="1736"/>
  <c r="M40" i="1736"/>
  <c r="J39" i="1736"/>
  <c r="K39" i="1736"/>
  <c r="M39" i="1736"/>
  <c r="N39" i="1736"/>
  <c r="E40" i="1736"/>
  <c r="F40" i="1736"/>
  <c r="N36" i="1736"/>
  <c r="E39" i="1736"/>
  <c r="F39" i="1736"/>
  <c r="G39" i="1736"/>
  <c r="H39" i="1736"/>
  <c r="I39" i="1736"/>
  <c r="G36" i="1736"/>
  <c r="H36" i="1736"/>
  <c r="I36" i="1736"/>
  <c r="J36" i="1736"/>
  <c r="K36" i="1736"/>
  <c r="M36" i="1736"/>
  <c r="J35" i="1736"/>
  <c r="K35" i="1736"/>
  <c r="M35" i="1736"/>
  <c r="N35" i="1736"/>
  <c r="E36" i="1736"/>
  <c r="F36" i="1736"/>
  <c r="P26" i="1736"/>
  <c r="E35" i="1736"/>
  <c r="F35" i="1736"/>
  <c r="G35" i="1736"/>
  <c r="H35" i="1736"/>
  <c r="I35" i="1736"/>
  <c r="I26" i="1736"/>
  <c r="J26" i="1736"/>
  <c r="K26" i="1736"/>
  <c r="M26" i="1736"/>
  <c r="N26" i="1736"/>
  <c r="O26" i="1736"/>
  <c r="O25" i="1736"/>
  <c r="P25" i="1736"/>
  <c r="E26" i="1736"/>
  <c r="F26" i="1736"/>
  <c r="G26" i="1736"/>
  <c r="H26" i="1736"/>
  <c r="H25" i="1736"/>
  <c r="I25" i="1736"/>
  <c r="J25" i="1736"/>
  <c r="K25" i="1736"/>
  <c r="M25" i="1736"/>
  <c r="N25" i="1736"/>
  <c r="K22" i="1736"/>
  <c r="M22" i="1736"/>
  <c r="N22" i="1736"/>
  <c r="E25" i="1736"/>
  <c r="F25" i="1736"/>
  <c r="G25" i="1736"/>
  <c r="E22" i="1736"/>
  <c r="F22" i="1736"/>
  <c r="G22" i="1736"/>
  <c r="H22" i="1736"/>
  <c r="I22" i="1736"/>
  <c r="J22" i="1736"/>
  <c r="J18" i="1736"/>
  <c r="K18" i="1736"/>
  <c r="M18" i="1736"/>
  <c r="N18" i="1736"/>
  <c r="O18" i="1736"/>
  <c r="P18" i="1736"/>
  <c r="P14" i="1736"/>
  <c r="E18" i="1736"/>
  <c r="F18" i="1736"/>
  <c r="G18" i="1736"/>
  <c r="H18" i="1736"/>
  <c r="I18" i="1736"/>
  <c r="I14" i="1736"/>
  <c r="J14" i="1736"/>
  <c r="K14" i="1736"/>
  <c r="M14" i="1736"/>
  <c r="N14" i="1736"/>
  <c r="O14" i="1736"/>
  <c r="O11" i="1736"/>
  <c r="P11" i="1736"/>
  <c r="E14" i="1736"/>
  <c r="F14" i="1736"/>
  <c r="G14" i="1736"/>
  <c r="H14" i="1736"/>
  <c r="H11" i="1736"/>
  <c r="I11" i="1736"/>
  <c r="J11" i="1736"/>
  <c r="K11" i="1736"/>
  <c r="M11" i="1736"/>
  <c r="N11" i="1736"/>
  <c r="K7" i="1736"/>
  <c r="M7" i="1736"/>
  <c r="N7" i="1736"/>
  <c r="E11" i="1736"/>
  <c r="F11" i="1736"/>
  <c r="G11" i="1736"/>
  <c r="E7" i="1736"/>
  <c r="F7" i="1736"/>
  <c r="G7" i="1736"/>
  <c r="H7" i="1736"/>
  <c r="I7" i="1736"/>
  <c r="J7" i="1736"/>
  <c r="K72" i="1433"/>
  <c r="M72" i="1433"/>
  <c r="N72" i="1433"/>
  <c r="E72" i="1433"/>
  <c r="F72" i="1433"/>
  <c r="G72" i="1433"/>
  <c r="H72" i="1433"/>
  <c r="I72" i="1433"/>
  <c r="J72" i="1433"/>
  <c r="H67" i="1433"/>
  <c r="I67" i="1433"/>
  <c r="J67" i="1433"/>
  <c r="K67" i="1433"/>
  <c r="M67" i="1433"/>
  <c r="N67" i="1433"/>
  <c r="K66" i="1433"/>
  <c r="M66" i="1433"/>
  <c r="N66" i="1433"/>
  <c r="E67" i="1433"/>
  <c r="F67" i="1433"/>
  <c r="G67" i="1433"/>
  <c r="E66" i="1433"/>
  <c r="F66" i="1433"/>
  <c r="G66" i="1433"/>
  <c r="H66" i="1433"/>
  <c r="I66" i="1433"/>
  <c r="J66" i="1433"/>
  <c r="H65" i="1433"/>
  <c r="I65" i="1433"/>
  <c r="J65" i="1433"/>
  <c r="K65" i="1433"/>
  <c r="M65" i="1433"/>
  <c r="N65" i="1433"/>
  <c r="K60" i="1433"/>
  <c r="M60" i="1433"/>
  <c r="N60" i="1433"/>
  <c r="E65" i="1433"/>
  <c r="F65" i="1433"/>
  <c r="G65" i="1433"/>
  <c r="E60" i="1433"/>
  <c r="F60" i="1433"/>
  <c r="G60" i="1433"/>
  <c r="H60" i="1433"/>
  <c r="I60" i="1433"/>
  <c r="J60" i="1433"/>
  <c r="H59" i="1433"/>
  <c r="I59" i="1433"/>
  <c r="J59" i="1433"/>
  <c r="K59" i="1433"/>
  <c r="M59" i="1433"/>
  <c r="N59" i="1433"/>
  <c r="K58" i="1433"/>
  <c r="M58" i="1433"/>
  <c r="N58" i="1433"/>
  <c r="E59" i="1433"/>
  <c r="F59" i="1433"/>
  <c r="G59" i="1433"/>
  <c r="E58" i="1433"/>
  <c r="F58" i="1433"/>
  <c r="G58" i="1433"/>
  <c r="H58" i="1433"/>
  <c r="I58" i="1433"/>
  <c r="J58" i="1433"/>
  <c r="H57" i="1433"/>
  <c r="I57" i="1433"/>
  <c r="J57" i="1433"/>
  <c r="K57" i="1433"/>
  <c r="M57" i="1433"/>
  <c r="N57" i="1433"/>
  <c r="K54" i="1433"/>
  <c r="M54" i="1433"/>
  <c r="N54" i="1433"/>
  <c r="E57" i="1433"/>
  <c r="F57" i="1433"/>
  <c r="G57" i="1433"/>
  <c r="E54" i="1433"/>
  <c r="F54" i="1433"/>
  <c r="G54" i="1433"/>
  <c r="H54" i="1433"/>
  <c r="I54" i="1433"/>
  <c r="J54" i="1433"/>
  <c r="H53" i="1433"/>
  <c r="I53" i="1433"/>
  <c r="J53" i="1433"/>
  <c r="K53" i="1433"/>
  <c r="M53" i="1433"/>
  <c r="N53" i="1433"/>
  <c r="K50" i="1433"/>
  <c r="M50" i="1433"/>
  <c r="N50" i="1433"/>
  <c r="E53" i="1433"/>
  <c r="F53" i="1433"/>
  <c r="G53" i="1433"/>
  <c r="E50" i="1433"/>
  <c r="F50" i="1433"/>
  <c r="G50" i="1433"/>
  <c r="H50" i="1433"/>
  <c r="I50" i="1433"/>
  <c r="J50" i="1433"/>
  <c r="H49" i="1433"/>
  <c r="I49" i="1433"/>
  <c r="J49" i="1433"/>
  <c r="K49" i="1433"/>
  <c r="M49" i="1433"/>
  <c r="N49" i="1433"/>
  <c r="K48" i="1433"/>
  <c r="M48" i="1433"/>
  <c r="N48" i="1433"/>
  <c r="E49" i="1433"/>
  <c r="F49" i="1433"/>
  <c r="G49" i="1433"/>
  <c r="E48" i="1433"/>
  <c r="F48" i="1433"/>
  <c r="G48" i="1433"/>
  <c r="H48" i="1433"/>
  <c r="I48" i="1433"/>
  <c r="J48" i="1433"/>
  <c r="H47" i="1433"/>
  <c r="I47" i="1433"/>
  <c r="J47" i="1433"/>
  <c r="K47" i="1433"/>
  <c r="M47" i="1433"/>
  <c r="N47" i="1433"/>
  <c r="K44" i="1433"/>
  <c r="M44" i="1433"/>
  <c r="N44" i="1433"/>
  <c r="E47" i="1433"/>
  <c r="F47" i="1433"/>
  <c r="G47" i="1433"/>
  <c r="E44" i="1433"/>
  <c r="F44" i="1433"/>
  <c r="G44" i="1433"/>
  <c r="H44" i="1433"/>
  <c r="I44" i="1433"/>
  <c r="J44" i="1433"/>
  <c r="H43" i="1433"/>
  <c r="I43" i="1433"/>
  <c r="J43" i="1433"/>
  <c r="K43" i="1433"/>
  <c r="M43" i="1433"/>
  <c r="N43" i="1433"/>
  <c r="K42" i="1433"/>
  <c r="M42" i="1433"/>
  <c r="N42" i="1433"/>
  <c r="E43" i="1433"/>
  <c r="F43" i="1433"/>
  <c r="G43" i="1433"/>
  <c r="E42" i="1433"/>
  <c r="F42" i="1433"/>
  <c r="G42" i="1433"/>
  <c r="H42" i="1433"/>
  <c r="I42" i="1433"/>
  <c r="J42" i="1433"/>
  <c r="N35" i="1433"/>
  <c r="F36" i="1433"/>
  <c r="N37" i="1433"/>
  <c r="G35" i="1433"/>
  <c r="H35" i="1433"/>
  <c r="I35" i="1433"/>
  <c r="J35" i="1433"/>
  <c r="K35" i="1433"/>
  <c r="M35" i="1433"/>
  <c r="F27" i="1433"/>
  <c r="G27" i="1433"/>
  <c r="O27" i="1433"/>
  <c r="P27" i="1433"/>
  <c r="E35" i="1433"/>
  <c r="F35" i="1433"/>
  <c r="J26" i="1433"/>
  <c r="K26" i="1433"/>
  <c r="M26" i="1433"/>
  <c r="N26" i="1433"/>
  <c r="O26" i="1433"/>
  <c r="P26" i="1433"/>
  <c r="P22" i="1433"/>
  <c r="E26" i="1433"/>
  <c r="F26" i="1433"/>
  <c r="G26" i="1433"/>
  <c r="H26" i="1433"/>
  <c r="I26" i="1433"/>
  <c r="I22" i="1433"/>
  <c r="J22" i="1433"/>
  <c r="K22" i="1433"/>
  <c r="M22" i="1433"/>
  <c r="N22" i="1433"/>
  <c r="O22" i="1433"/>
  <c r="O18" i="1433"/>
  <c r="P18" i="1433"/>
  <c r="E22" i="1433"/>
  <c r="F22" i="1433"/>
  <c r="G22" i="1433"/>
  <c r="H22" i="1433"/>
  <c r="H18" i="1433"/>
  <c r="I18" i="1433"/>
  <c r="J18" i="1433"/>
  <c r="K18" i="1433"/>
  <c r="M18" i="1433"/>
  <c r="N18" i="1433"/>
  <c r="N14" i="1433"/>
  <c r="O14" i="1433"/>
  <c r="P14" i="1433"/>
  <c r="E18" i="1433"/>
  <c r="F18" i="1433"/>
  <c r="G18" i="1433"/>
  <c r="G14" i="1433"/>
  <c r="H14" i="1433"/>
  <c r="I14" i="1433"/>
  <c r="J14" i="1433"/>
  <c r="K14" i="1433"/>
  <c r="M14" i="1433"/>
  <c r="M10" i="1433"/>
  <c r="N10" i="1433"/>
  <c r="O12" i="1433"/>
  <c r="P12" i="1433"/>
  <c r="E14" i="1433"/>
  <c r="F14" i="1433"/>
  <c r="F10" i="1433"/>
  <c r="G10" i="1433"/>
  <c r="H10" i="1433"/>
  <c r="I10" i="1433"/>
  <c r="J10" i="1433"/>
  <c r="K10" i="1433"/>
  <c r="K7" i="1433"/>
  <c r="K41" i="1433" s="1"/>
  <c r="M7" i="1433"/>
  <c r="M41" i="1433" s="1"/>
  <c r="N7" i="1433"/>
  <c r="N41" i="1433" s="1"/>
  <c r="O7" i="1433"/>
  <c r="P7" i="1433"/>
  <c r="E10" i="1433"/>
  <c r="E7" i="1433"/>
  <c r="E41" i="1433" s="1"/>
  <c r="F7" i="1433"/>
  <c r="F41" i="1433" s="1"/>
  <c r="G7" i="1433"/>
  <c r="G41" i="1433" s="1"/>
  <c r="H7" i="1433"/>
  <c r="H41" i="1433" s="1"/>
  <c r="I7" i="1433"/>
  <c r="I41" i="1433" s="1"/>
  <c r="J7" i="1433"/>
  <c r="J41" i="1433" s="1"/>
  <c r="F36" i="1163"/>
  <c r="G36" i="1163"/>
  <c r="H36" i="1163"/>
  <c r="I36" i="1163"/>
  <c r="J36" i="1163"/>
  <c r="G35" i="1163"/>
  <c r="H35" i="1163"/>
  <c r="I35" i="1163"/>
  <c r="J35" i="1163"/>
  <c r="D36" i="1163"/>
  <c r="E36" i="1163"/>
  <c r="H34" i="1163"/>
  <c r="I34" i="1163"/>
  <c r="J34" i="1163"/>
  <c r="D35" i="1163"/>
  <c r="E35" i="1163"/>
  <c r="F35" i="1163"/>
  <c r="H33" i="1163"/>
  <c r="I33" i="1163"/>
  <c r="D34" i="1163"/>
  <c r="E34" i="1163"/>
  <c r="F34" i="1163"/>
  <c r="G34" i="1163"/>
  <c r="I31" i="1163"/>
  <c r="J31" i="1163"/>
  <c r="I32" i="1163"/>
  <c r="J32" i="1163"/>
  <c r="F33" i="1163"/>
  <c r="G33" i="1163"/>
  <c r="J30" i="1163"/>
  <c r="D31" i="1163"/>
  <c r="E31" i="1163"/>
  <c r="F31" i="1163"/>
  <c r="G31" i="1163"/>
  <c r="H31" i="1163"/>
  <c r="D30" i="1163"/>
  <c r="E30" i="1163"/>
  <c r="F30" i="1163"/>
  <c r="G30" i="1163"/>
  <c r="H30" i="1163"/>
  <c r="I30" i="1163"/>
  <c r="W16" i="1163"/>
  <c r="X16" i="1163"/>
  <c r="Y16" i="1163"/>
  <c r="Z16" i="1163"/>
  <c r="AA16" i="1163"/>
  <c r="AB16" i="1163"/>
  <c r="H36" i="1339"/>
  <c r="I36" i="1339"/>
  <c r="J36" i="1339"/>
  <c r="J35" i="1339"/>
  <c r="D36" i="1339"/>
  <c r="E36" i="1339"/>
  <c r="F36" i="1339"/>
  <c r="G36" i="1339"/>
  <c r="E35" i="1339"/>
  <c r="F35" i="1339"/>
  <c r="G35" i="1339"/>
  <c r="H35" i="1339"/>
  <c r="I35" i="1339"/>
  <c r="G34" i="1339"/>
  <c r="H34" i="1339"/>
  <c r="I34" i="1339"/>
  <c r="J34" i="1339"/>
  <c r="D35" i="1339"/>
  <c r="AA16" i="1339"/>
  <c r="AB16" i="1339"/>
  <c r="D34" i="1339"/>
  <c r="E34" i="1339"/>
  <c r="F34" i="1339"/>
  <c r="D9" i="1339"/>
  <c r="W16" i="1339"/>
  <c r="X16" i="1339"/>
  <c r="Y16" i="1339"/>
  <c r="Z16" i="1339"/>
  <c r="N4" i="1167"/>
  <c r="O4" i="1167"/>
  <c r="R4" i="1167"/>
  <c r="M4" i="1167"/>
  <c r="W4" i="1167"/>
  <c r="V4" i="1167"/>
  <c r="Y4" i="1167"/>
  <c r="Z4" i="1167"/>
  <c r="S4" i="1167"/>
  <c r="T4" i="1167"/>
  <c r="U4" i="1167"/>
  <c r="P4" i="1167"/>
  <c r="X4" i="1167"/>
  <c r="Q4" i="1167"/>
  <c r="H7" i="695"/>
  <c r="G8" i="1173"/>
  <c r="G9" i="1173"/>
  <c r="G6" i="1173"/>
  <c r="D8" i="1173"/>
  <c r="D9" i="1173"/>
  <c r="G7" i="1768"/>
  <c r="G18" i="1768"/>
  <c r="G26" i="1768"/>
  <c r="D6" i="1173"/>
  <c r="F26" i="1768"/>
  <c r="H5" i="1768"/>
  <c r="F7" i="1768"/>
  <c r="I8" i="1768"/>
  <c r="J11" i="1768"/>
  <c r="F18" i="1768"/>
  <c r="G21" i="1768"/>
  <c r="E7" i="1173"/>
  <c r="H8" i="1173"/>
  <c r="G10" i="1768"/>
  <c r="I19" i="1768"/>
  <c r="J19" i="1768"/>
  <c r="J17" i="1768"/>
  <c r="H19" i="1768"/>
  <c r="F21" i="1768"/>
  <c r="I22" i="1768"/>
  <c r="G24" i="1768"/>
  <c r="J25" i="1768"/>
  <c r="G5" i="1768"/>
  <c r="J6" i="1768"/>
  <c r="H8" i="1768"/>
  <c r="F10" i="1768"/>
  <c r="I11" i="1768"/>
  <c r="G13" i="1768"/>
  <c r="I9" i="1173"/>
  <c r="F23" i="1768"/>
  <c r="I17" i="1768"/>
  <c r="J20" i="1768"/>
  <c r="H22" i="1768"/>
  <c r="F24" i="1768"/>
  <c r="H24" i="1768"/>
  <c r="F12" i="1768"/>
  <c r="F5" i="1768"/>
  <c r="I6" i="1768"/>
  <c r="G8" i="1768"/>
  <c r="J9" i="1768"/>
  <c r="H11" i="1768"/>
  <c r="F13" i="1768"/>
  <c r="J7" i="1173"/>
  <c r="E8" i="1173"/>
  <c r="H9" i="1173"/>
  <c r="J8" i="1768"/>
  <c r="I13" i="1768"/>
  <c r="I24" i="1768"/>
  <c r="G19" i="1768"/>
  <c r="I25" i="1768"/>
  <c r="H13" i="1768"/>
  <c r="J22" i="1768"/>
  <c r="F4" i="1768"/>
  <c r="I5" i="1768"/>
  <c r="H17" i="1768"/>
  <c r="F19" i="1768"/>
  <c r="I20" i="1768"/>
  <c r="G22" i="1768"/>
  <c r="J23" i="1768"/>
  <c r="H25" i="1768"/>
  <c r="J4" i="1768"/>
  <c r="H6" i="1768"/>
  <c r="F8" i="1768"/>
  <c r="I9" i="1768"/>
  <c r="G11" i="1768"/>
  <c r="J12" i="1768"/>
  <c r="I6" i="1173"/>
  <c r="J26" i="1768"/>
  <c r="G17" i="1768"/>
  <c r="J18" i="1768"/>
  <c r="H20" i="1768"/>
  <c r="F22" i="1768"/>
  <c r="I23" i="1768"/>
  <c r="G25" i="1768"/>
  <c r="I4" i="1768"/>
  <c r="G6" i="1768"/>
  <c r="J7" i="1768"/>
  <c r="H9" i="1768"/>
  <c r="F11" i="1768"/>
  <c r="I12" i="1768"/>
  <c r="H6" i="1173"/>
  <c r="E9" i="1173"/>
  <c r="I26" i="1768"/>
  <c r="F17" i="1768"/>
  <c r="I18" i="1768"/>
  <c r="G20" i="1768"/>
  <c r="J21" i="1768"/>
  <c r="H23" i="1768"/>
  <c r="F25" i="1768"/>
  <c r="H4" i="1768"/>
  <c r="F6" i="1768"/>
  <c r="I7" i="1768"/>
  <c r="G9" i="1768"/>
  <c r="J10" i="1768"/>
  <c r="H12" i="1768"/>
  <c r="I7" i="1173"/>
  <c r="H10" i="1768"/>
  <c r="H21" i="1768"/>
  <c r="I8" i="1173"/>
  <c r="H26" i="1768"/>
  <c r="J13" i="1768"/>
  <c r="H18" i="1768"/>
  <c r="F20" i="1768"/>
  <c r="I21" i="1768"/>
  <c r="G23" i="1768"/>
  <c r="J24" i="1768"/>
  <c r="G4" i="1768"/>
  <c r="J5" i="1768"/>
  <c r="H7" i="1768"/>
  <c r="F9" i="1768"/>
  <c r="I10" i="1768"/>
  <c r="G12" i="1768"/>
  <c r="E6" i="1173"/>
  <c r="H7" i="1173"/>
  <c r="J2" i="27"/>
  <c r="C7" i="1175"/>
  <c r="B16" i="1768"/>
  <c r="D16" i="1768"/>
  <c r="B3" i="1768"/>
  <c r="C3" i="1768"/>
  <c r="D3" i="1768"/>
  <c r="E3" i="1768"/>
  <c r="C16" i="1768"/>
  <c r="E16" i="1768"/>
  <c r="B10" i="1170"/>
  <c r="B25" i="1170"/>
  <c r="L3" i="1167"/>
  <c r="N5" i="1173"/>
  <c r="L6" i="26"/>
  <c r="A5" i="1173"/>
  <c r="L5" i="26"/>
  <c r="P5" i="1173"/>
  <c r="M5" i="1173"/>
  <c r="O5" i="1173"/>
  <c r="L11" i="26"/>
  <c r="L12" i="26"/>
  <c r="L13" i="26"/>
  <c r="L7" i="26"/>
  <c r="L8" i="26"/>
  <c r="L9" i="26"/>
  <c r="L10" i="26"/>
  <c r="L4" i="26"/>
  <c r="B102" i="1160"/>
  <c r="B105" i="1160"/>
  <c r="O2" i="1160"/>
  <c r="F8" i="1160" a="1"/>
  <c r="F8" i="1160"/>
  <c r="B100" i="1160"/>
  <c r="F5" i="1160"/>
  <c r="I5" i="1160"/>
  <c r="B103" i="1160" a="1"/>
  <c r="B103" i="1160"/>
  <c r="O1" i="1160"/>
  <c r="B104" i="1160" a="1"/>
  <c r="B104" i="1160"/>
  <c r="C35" i="1160"/>
  <c r="D35" i="1160"/>
  <c r="C36" i="1160"/>
  <c r="D36" i="1160"/>
  <c r="P5" i="1160"/>
  <c r="B4" i="1160"/>
  <c r="B101" i="1160"/>
  <c r="C37" i="1160"/>
  <c r="D37" i="1160"/>
  <c r="C38" i="1160"/>
  <c r="D38" i="1160"/>
  <c r="D21" i="1160"/>
  <c r="C34" i="1160"/>
  <c r="D34" i="1160"/>
  <c r="G8" i="1233"/>
  <c r="H8" i="1233"/>
  <c r="I8" i="1233"/>
  <c r="J8" i="1233"/>
  <c r="K8" i="1233"/>
  <c r="L8" i="1233"/>
  <c r="M8" i="1233"/>
  <c r="N8" i="1233"/>
  <c r="O8" i="1233"/>
  <c r="G25" i="1233"/>
  <c r="H25" i="1233"/>
  <c r="I25" i="1233"/>
  <c r="J25" i="1233"/>
  <c r="K25" i="1233"/>
  <c r="L25" i="1233"/>
  <c r="M25" i="1233"/>
  <c r="N25" i="1233"/>
  <c r="O25" i="1233"/>
  <c r="I6" i="1736"/>
  <c r="I32" i="1736"/>
  <c r="F32" i="1736"/>
  <c r="K32" i="1736"/>
  <c r="F6" i="1736"/>
  <c r="G6" i="1736"/>
  <c r="H6" i="1736"/>
  <c r="J32" i="1736"/>
  <c r="J6" i="1736"/>
  <c r="K6" i="1736"/>
  <c r="N6" i="1736"/>
  <c r="G32" i="1736"/>
  <c r="H32" i="1736"/>
  <c r="G6" i="1433"/>
  <c r="H6" i="1433"/>
  <c r="I6" i="1433"/>
  <c r="J6" i="1433"/>
  <c r="F61" i="1433"/>
  <c r="G61" i="1433"/>
  <c r="H61" i="1433"/>
  <c r="I61" i="1433"/>
  <c r="F6" i="1433"/>
  <c r="K6" i="1433"/>
  <c r="J61" i="1433"/>
  <c r="K61" i="1433"/>
  <c r="M61" i="1433"/>
  <c r="N61" i="1433"/>
  <c r="N6" i="1433"/>
  <c r="E61" i="1433"/>
  <c r="I2" i="1163"/>
  <c r="D6" i="1163"/>
  <c r="E6" i="1163"/>
  <c r="F6" i="1163"/>
  <c r="G6" i="1163"/>
  <c r="H6" i="1163"/>
  <c r="I6" i="1163"/>
  <c r="J6" i="1163"/>
  <c r="D12" i="1163"/>
  <c r="E12" i="1163"/>
  <c r="F12" i="1163"/>
  <c r="G12" i="1163"/>
  <c r="H12" i="1163"/>
  <c r="I12" i="1163"/>
  <c r="J12" i="1163"/>
  <c r="W15" i="1163"/>
  <c r="X15" i="1163"/>
  <c r="Y15" i="1163"/>
  <c r="Z15" i="1163"/>
  <c r="AA15" i="1163"/>
  <c r="AB15" i="1163"/>
  <c r="D22" i="1163"/>
  <c r="E22" i="1163"/>
  <c r="F22" i="1163"/>
  <c r="G22" i="1163"/>
  <c r="H22" i="1163"/>
  <c r="I22" i="1163"/>
  <c r="J22" i="1163"/>
  <c r="V27" i="1163"/>
  <c r="V28" i="1163"/>
  <c r="D29" i="1163"/>
  <c r="E29" i="1163"/>
  <c r="F29" i="1163"/>
  <c r="G29" i="1163"/>
  <c r="H29" i="1163"/>
  <c r="I29" i="1163"/>
  <c r="J29" i="1163"/>
  <c r="V29" i="1163"/>
  <c r="V30" i="1163"/>
  <c r="V31" i="1163"/>
  <c r="V32" i="1163"/>
  <c r="V33" i="1163"/>
  <c r="F6" i="1339"/>
  <c r="G6" i="1339"/>
  <c r="D12" i="1339"/>
  <c r="E12" i="1339"/>
  <c r="I2" i="1339"/>
  <c r="D6" i="1339"/>
  <c r="E6" i="1339"/>
  <c r="I12" i="1339"/>
  <c r="J12" i="1339"/>
  <c r="H6" i="1339"/>
  <c r="I6" i="1339"/>
  <c r="J6" i="1339"/>
  <c r="Z15" i="1339"/>
  <c r="AA15" i="1339"/>
  <c r="F12" i="1339"/>
  <c r="G12" i="1339"/>
  <c r="H12" i="1339"/>
  <c r="F22" i="1339"/>
  <c r="G22" i="1339"/>
  <c r="W15" i="1339"/>
  <c r="X15" i="1339"/>
  <c r="Y15" i="1339"/>
  <c r="V27" i="1339"/>
  <c r="V28" i="1339"/>
  <c r="AB15" i="1339"/>
  <c r="D22" i="1339"/>
  <c r="E22" i="1339"/>
  <c r="G29" i="1339"/>
  <c r="H29" i="1339"/>
  <c r="H22" i="1339"/>
  <c r="I22" i="1339"/>
  <c r="J22" i="1339"/>
  <c r="V30" i="1339"/>
  <c r="V31" i="1339"/>
  <c r="D29" i="1339"/>
  <c r="E29" i="1339"/>
  <c r="F29" i="1339"/>
  <c r="V33" i="1339"/>
  <c r="V32" i="1339"/>
  <c r="I29" i="1339"/>
  <c r="J29" i="1339"/>
  <c r="V29" i="1339"/>
  <c r="L8" i="802"/>
  <c r="L9" i="802"/>
  <c r="L14" i="802"/>
  <c r="L15" i="802"/>
  <c r="L16" i="802"/>
  <c r="L10" i="802"/>
  <c r="L11" i="802"/>
  <c r="L12" i="802"/>
  <c r="L13" i="802"/>
  <c r="C9" i="1170"/>
  <c r="D9" i="1170"/>
  <c r="E9" i="1170"/>
  <c r="F9" i="1170"/>
  <c r="G9" i="1170"/>
  <c r="H9" i="1170"/>
  <c r="I9" i="1170"/>
  <c r="B9" i="1173"/>
  <c r="F7" i="1173"/>
  <c r="C8" i="1173"/>
  <c r="C9" i="1173"/>
  <c r="B8" i="1173"/>
  <c r="C7" i="1173"/>
  <c r="B6" i="1173"/>
  <c r="B7" i="1173"/>
  <c r="C6" i="1173"/>
  <c r="F9" i="1173"/>
  <c r="F8" i="1173"/>
  <c r="F6" i="1173"/>
  <c r="BK8" i="1172"/>
  <c r="BL8" i="1172" s="1"/>
  <c r="M2" i="1646"/>
  <c r="N2" i="1646"/>
  <c r="O2" i="1646"/>
  <c r="P2" i="1646"/>
  <c r="C7" i="1646"/>
  <c r="B19" i="1440"/>
  <c r="B7" i="1440"/>
  <c r="B23" i="1440"/>
  <c r="B12" i="1440"/>
  <c r="B21" i="1440"/>
  <c r="B22" i="1440"/>
  <c r="B8" i="1440"/>
  <c r="B13" i="1440"/>
  <c r="B25" i="1440"/>
  <c r="B18" i="1440"/>
  <c r="C1" i="1440"/>
  <c r="B20" i="1440"/>
  <c r="B24" i="1440"/>
  <c r="B17" i="1440"/>
  <c r="B10" i="1440"/>
  <c r="B14" i="1440"/>
  <c r="B26" i="1440"/>
  <c r="B16" i="1440"/>
  <c r="B9" i="1440"/>
  <c r="B15" i="1440"/>
  <c r="B11" i="1440"/>
  <c r="I25" i="1170"/>
  <c r="N19" i="1440"/>
  <c r="G19" i="1440"/>
  <c r="E19" i="1440"/>
  <c r="H19" i="1440"/>
  <c r="F19" i="1440"/>
  <c r="J19" i="1440"/>
  <c r="I19" i="1440"/>
  <c r="O19" i="1440"/>
  <c r="C19" i="1440"/>
  <c r="K19" i="1440"/>
  <c r="H7" i="1440"/>
  <c r="E7" i="1440"/>
  <c r="K7" i="1440"/>
  <c r="F7" i="1440"/>
  <c r="J7" i="1440"/>
  <c r="N7" i="1440"/>
  <c r="O7" i="1440"/>
  <c r="G7" i="1440"/>
  <c r="I7" i="1440"/>
  <c r="C7" i="1440"/>
  <c r="J23" i="1440"/>
  <c r="F23" i="1440"/>
  <c r="N23" i="1440"/>
  <c r="G23" i="1440"/>
  <c r="C23" i="1440"/>
  <c r="I23" i="1440"/>
  <c r="E23" i="1440"/>
  <c r="O23" i="1440"/>
  <c r="H23" i="1440"/>
  <c r="K23" i="1440"/>
  <c r="I12" i="1440"/>
  <c r="N12" i="1440"/>
  <c r="C12" i="1440"/>
  <c r="K12" i="1440"/>
  <c r="E12" i="1440"/>
  <c r="G12" i="1440"/>
  <c r="F12" i="1440"/>
  <c r="H12" i="1440"/>
  <c r="O12" i="1440"/>
  <c r="J12" i="1440"/>
  <c r="K21" i="1440"/>
  <c r="F21" i="1440"/>
  <c r="J21" i="1440"/>
  <c r="N21" i="1440"/>
  <c r="C21" i="1440"/>
  <c r="O21" i="1440"/>
  <c r="H21" i="1440"/>
  <c r="G21" i="1440"/>
  <c r="E21" i="1440"/>
  <c r="I21" i="1440"/>
  <c r="N22" i="1440"/>
  <c r="G22" i="1440"/>
  <c r="F22" i="1440"/>
  <c r="E22" i="1440"/>
  <c r="I22" i="1440"/>
  <c r="O22" i="1440"/>
  <c r="J22" i="1440"/>
  <c r="K22" i="1440"/>
  <c r="H22" i="1440"/>
  <c r="C22" i="1440"/>
  <c r="F8" i="1440"/>
  <c r="I8" i="1440"/>
  <c r="H8" i="1440"/>
  <c r="C8" i="1440"/>
  <c r="G8" i="1440"/>
  <c r="O8" i="1440"/>
  <c r="K8" i="1440"/>
  <c r="J8" i="1440"/>
  <c r="E8" i="1440"/>
  <c r="N8" i="1440"/>
  <c r="K13" i="1440"/>
  <c r="H13" i="1440"/>
  <c r="G13" i="1440"/>
  <c r="J13" i="1440"/>
  <c r="O13" i="1440"/>
  <c r="E13" i="1440"/>
  <c r="C13" i="1440"/>
  <c r="I13" i="1440"/>
  <c r="N13" i="1440"/>
  <c r="F13" i="1440"/>
  <c r="O25" i="1440"/>
  <c r="I25" i="1440"/>
  <c r="J25" i="1440"/>
  <c r="H25" i="1440"/>
  <c r="G25" i="1440"/>
  <c r="F25" i="1440"/>
  <c r="K25" i="1440"/>
  <c r="E25" i="1440"/>
  <c r="C25" i="1440"/>
  <c r="N25" i="1440"/>
  <c r="J18" i="1440"/>
  <c r="N18" i="1440"/>
  <c r="F18" i="1440"/>
  <c r="K18" i="1440"/>
  <c r="I18" i="1440"/>
  <c r="G18" i="1440"/>
  <c r="O18" i="1440"/>
  <c r="C18" i="1440"/>
  <c r="H18" i="1440"/>
  <c r="E18" i="1440"/>
  <c r="K20" i="1440"/>
  <c r="E20" i="1440"/>
  <c r="O20" i="1440"/>
  <c r="N20" i="1440"/>
  <c r="F20" i="1440"/>
  <c r="H20" i="1440"/>
  <c r="J20" i="1440"/>
  <c r="I20" i="1440"/>
  <c r="G20" i="1440"/>
  <c r="C20" i="1440"/>
  <c r="E24" i="1440"/>
  <c r="K24" i="1440"/>
  <c r="C24" i="1440"/>
  <c r="G24" i="1440"/>
  <c r="I24" i="1440"/>
  <c r="F24" i="1440"/>
  <c r="O24" i="1440"/>
  <c r="H24" i="1440"/>
  <c r="N24" i="1440"/>
  <c r="J24" i="1440"/>
  <c r="O17" i="1440"/>
  <c r="H17" i="1440"/>
  <c r="E17" i="1440"/>
  <c r="C17" i="1440"/>
  <c r="I17" i="1440"/>
  <c r="F17" i="1440"/>
  <c r="G17" i="1440"/>
  <c r="K17" i="1440"/>
  <c r="J17" i="1440"/>
  <c r="N17" i="1440"/>
  <c r="J10" i="1440"/>
  <c r="G10" i="1440"/>
  <c r="C10" i="1440"/>
  <c r="O10" i="1440"/>
  <c r="H10" i="1440"/>
  <c r="I10" i="1440"/>
  <c r="E10" i="1440"/>
  <c r="K10" i="1440"/>
  <c r="N10" i="1440"/>
  <c r="F10" i="1440"/>
  <c r="I14" i="1440"/>
  <c r="N14" i="1440"/>
  <c r="E14" i="1440"/>
  <c r="F14" i="1440"/>
  <c r="H14" i="1440"/>
  <c r="O14" i="1440"/>
  <c r="K14" i="1440"/>
  <c r="G14" i="1440"/>
  <c r="J14" i="1440"/>
  <c r="C14" i="1440"/>
  <c r="I26" i="1440"/>
  <c r="H26" i="1440"/>
  <c r="N26" i="1440"/>
  <c r="G26" i="1440"/>
  <c r="J26" i="1440"/>
  <c r="F26" i="1440"/>
  <c r="K26" i="1440"/>
  <c r="C26" i="1440"/>
  <c r="O26" i="1440"/>
  <c r="E26" i="1440"/>
  <c r="K16" i="1440"/>
  <c r="H16" i="1440"/>
  <c r="O16" i="1440"/>
  <c r="J16" i="1440"/>
  <c r="C16" i="1440"/>
  <c r="N16" i="1440"/>
  <c r="G16" i="1440"/>
  <c r="E16" i="1440"/>
  <c r="I16" i="1440"/>
  <c r="F16" i="1440"/>
  <c r="O9" i="1440"/>
  <c r="F9" i="1440"/>
  <c r="I9" i="1440"/>
  <c r="H9" i="1440"/>
  <c r="E9" i="1440"/>
  <c r="K9" i="1440"/>
  <c r="C9" i="1440"/>
  <c r="J9" i="1440"/>
  <c r="N9" i="1440"/>
  <c r="G9" i="1440"/>
  <c r="I15" i="1440"/>
  <c r="K15" i="1440"/>
  <c r="O15" i="1440"/>
  <c r="E15" i="1440"/>
  <c r="J15" i="1440"/>
  <c r="H15" i="1440"/>
  <c r="G15" i="1440"/>
  <c r="N15" i="1440"/>
  <c r="C15" i="1440"/>
  <c r="F15" i="1440"/>
  <c r="E11" i="1440"/>
  <c r="N11" i="1440"/>
  <c r="G11" i="1440"/>
  <c r="I11" i="1440"/>
  <c r="F11" i="1440"/>
  <c r="H11" i="1440"/>
  <c r="O11" i="1440"/>
  <c r="J11" i="1440"/>
  <c r="K11" i="1440"/>
  <c r="C11" i="1440"/>
  <c r="I26" i="1170"/>
  <c r="I27" i="1170"/>
  <c r="I28" i="1170"/>
  <c r="H25" i="1170"/>
  <c r="H26" i="1170"/>
  <c r="H27" i="1170"/>
  <c r="H28" i="1170"/>
  <c r="G25" i="1170"/>
  <c r="G26" i="1170"/>
  <c r="G27" i="1170"/>
  <c r="G28" i="1170"/>
  <c r="F25" i="1170"/>
  <c r="F26" i="1170"/>
  <c r="F28" i="1170"/>
  <c r="F27" i="1170"/>
  <c r="E25" i="1170"/>
  <c r="E26" i="1170"/>
  <c r="E28" i="1170"/>
  <c r="E27" i="1170"/>
  <c r="D25" i="1170"/>
  <c r="D26" i="1170"/>
  <c r="D28" i="1170"/>
  <c r="D27" i="1170"/>
  <c r="C25" i="1170"/>
  <c r="C26" i="1170"/>
  <c r="C28" i="1170"/>
  <c r="C27" i="1170"/>
  <c r="I10" i="1170"/>
  <c r="I11" i="1170"/>
  <c r="I12" i="1170"/>
  <c r="I13" i="1170"/>
  <c r="I14" i="1170"/>
  <c r="I15" i="1170"/>
  <c r="I17" i="1170"/>
  <c r="I16" i="1170"/>
  <c r="H10" i="1170"/>
  <c r="H11" i="1170"/>
  <c r="H13" i="1170"/>
  <c r="H14" i="1170"/>
  <c r="H17" i="1170"/>
  <c r="H12" i="1170"/>
  <c r="H16" i="1170"/>
  <c r="H15" i="1170"/>
  <c r="G10" i="1170"/>
  <c r="G11" i="1170"/>
  <c r="G12" i="1170"/>
  <c r="G14" i="1170"/>
  <c r="G15" i="1170"/>
  <c r="G17" i="1170"/>
  <c r="G13" i="1170"/>
  <c r="G16" i="1170"/>
  <c r="F10" i="1170"/>
  <c r="F11" i="1170"/>
  <c r="F13" i="1170"/>
  <c r="F14" i="1170"/>
  <c r="F16" i="1170"/>
  <c r="F17" i="1170"/>
  <c r="F12" i="1170"/>
  <c r="F15" i="1170"/>
  <c r="E10" i="1170"/>
  <c r="E11" i="1170"/>
  <c r="E13" i="1170"/>
  <c r="E15" i="1170"/>
  <c r="E17" i="1170"/>
  <c r="E12" i="1170"/>
  <c r="E16" i="1170"/>
  <c r="E14" i="1170"/>
  <c r="D10" i="1170"/>
  <c r="D11" i="1170"/>
  <c r="D12" i="1170"/>
  <c r="D13" i="1170"/>
  <c r="D14" i="1170"/>
  <c r="D15" i="1170"/>
  <c r="D16" i="1170"/>
  <c r="D17" i="1170"/>
  <c r="C10" i="1170"/>
  <c r="C12" i="1170"/>
  <c r="C13" i="1170"/>
  <c r="C15" i="1170"/>
  <c r="C16" i="1170"/>
  <c r="C17" i="1170"/>
  <c r="C11" i="1170"/>
  <c r="C14" i="1170"/>
  <c r="H78" i="1175"/>
  <c r="I78" i="1175"/>
  <c r="D78" i="1175"/>
  <c r="E78" i="1175"/>
  <c r="F78" i="1175"/>
  <c r="G78" i="1175"/>
  <c r="F77" i="1175"/>
  <c r="G77" i="1175"/>
  <c r="H77" i="1175"/>
  <c r="I77" i="1175"/>
  <c r="H76" i="1175"/>
  <c r="I76" i="1175"/>
  <c r="D77" i="1175"/>
  <c r="E77" i="1175"/>
  <c r="I75" i="1175"/>
  <c r="D76" i="1175"/>
  <c r="E76" i="1175"/>
  <c r="F76" i="1175"/>
  <c r="G76" i="1175"/>
  <c r="E75" i="1175"/>
  <c r="F75" i="1175"/>
  <c r="G75" i="1175"/>
  <c r="H75" i="1175"/>
  <c r="G74" i="1175"/>
  <c r="H74" i="1175"/>
  <c r="I74" i="1175"/>
  <c r="D75" i="1175"/>
  <c r="H73" i="1175"/>
  <c r="I73" i="1175"/>
  <c r="D74" i="1175"/>
  <c r="E74" i="1175"/>
  <c r="F74" i="1175"/>
  <c r="D73" i="1175"/>
  <c r="E73" i="1175"/>
  <c r="F73" i="1175"/>
  <c r="G73" i="1175"/>
  <c r="F72" i="1175"/>
  <c r="G72" i="1175"/>
  <c r="H72" i="1175"/>
  <c r="I72" i="1175"/>
  <c r="H71" i="1175"/>
  <c r="I71" i="1175"/>
  <c r="D72" i="1175"/>
  <c r="E72" i="1175"/>
  <c r="I70" i="1175"/>
  <c r="D71" i="1175"/>
  <c r="E71" i="1175"/>
  <c r="F71" i="1175"/>
  <c r="G71" i="1175"/>
  <c r="E70" i="1175"/>
  <c r="F70" i="1175"/>
  <c r="G70" i="1175"/>
  <c r="H70" i="1175"/>
  <c r="G69" i="1175"/>
  <c r="H69" i="1175"/>
  <c r="I69" i="1175"/>
  <c r="D70" i="1175"/>
  <c r="H68" i="1175"/>
  <c r="I68" i="1175"/>
  <c r="D69" i="1175"/>
  <c r="E69" i="1175"/>
  <c r="F69" i="1175"/>
  <c r="D68" i="1175"/>
  <c r="E68" i="1175"/>
  <c r="F68" i="1175"/>
  <c r="G68" i="1175"/>
  <c r="F67" i="1175"/>
  <c r="G67" i="1175"/>
  <c r="H67" i="1175"/>
  <c r="I67" i="1175"/>
  <c r="H66" i="1175"/>
  <c r="I66" i="1175"/>
  <c r="D67" i="1175"/>
  <c r="E67" i="1175"/>
  <c r="I65" i="1175"/>
  <c r="D66" i="1175"/>
  <c r="E66" i="1175"/>
  <c r="F66" i="1175"/>
  <c r="G66" i="1175"/>
  <c r="E65" i="1175"/>
  <c r="F65" i="1175"/>
  <c r="G65" i="1175"/>
  <c r="H65" i="1175"/>
  <c r="G64" i="1175"/>
  <c r="H64" i="1175"/>
  <c r="I64" i="1175"/>
  <c r="D65" i="1175"/>
  <c r="H63" i="1175"/>
  <c r="I63" i="1175"/>
  <c r="D64" i="1175"/>
  <c r="E64" i="1175"/>
  <c r="F64" i="1175"/>
  <c r="D63" i="1175"/>
  <c r="E63" i="1175"/>
  <c r="F63" i="1175"/>
  <c r="G63" i="1175"/>
  <c r="F62" i="1175"/>
  <c r="G62" i="1175"/>
  <c r="H62" i="1175"/>
  <c r="I62" i="1175"/>
  <c r="H61" i="1175"/>
  <c r="I61" i="1175"/>
  <c r="D62" i="1175"/>
  <c r="E62" i="1175"/>
  <c r="I60" i="1175"/>
  <c r="D61" i="1175"/>
  <c r="E61" i="1175"/>
  <c r="F61" i="1175"/>
  <c r="G61" i="1175"/>
  <c r="E60" i="1175"/>
  <c r="F60" i="1175"/>
  <c r="G60" i="1175"/>
  <c r="H60" i="1175"/>
  <c r="G59" i="1175"/>
  <c r="H59" i="1175"/>
  <c r="I59" i="1175"/>
  <c r="D60" i="1175"/>
  <c r="H58" i="1175"/>
  <c r="I58" i="1175"/>
  <c r="D59" i="1175"/>
  <c r="E59" i="1175"/>
  <c r="F59" i="1175"/>
  <c r="D58" i="1175"/>
  <c r="E58" i="1175"/>
  <c r="F58" i="1175"/>
  <c r="G58" i="1175"/>
  <c r="F57" i="1175"/>
  <c r="G57" i="1175"/>
  <c r="H57" i="1175"/>
  <c r="I57" i="1175"/>
  <c r="H56" i="1175"/>
  <c r="I56" i="1175"/>
  <c r="D57" i="1175"/>
  <c r="E57" i="1175"/>
  <c r="I55" i="1175"/>
  <c r="D56" i="1175"/>
  <c r="E56" i="1175"/>
  <c r="F56" i="1175"/>
  <c r="G56" i="1175"/>
  <c r="E55" i="1175"/>
  <c r="F55" i="1175"/>
  <c r="G55" i="1175"/>
  <c r="H55" i="1175"/>
  <c r="G54" i="1175"/>
  <c r="H54" i="1175"/>
  <c r="I54" i="1175"/>
  <c r="D55" i="1175"/>
  <c r="H53" i="1175"/>
  <c r="I53" i="1175"/>
  <c r="D54" i="1175"/>
  <c r="E54" i="1175"/>
  <c r="F54" i="1175"/>
  <c r="D53" i="1175"/>
  <c r="E53" i="1175"/>
  <c r="F53" i="1175"/>
  <c r="G53" i="1175"/>
  <c r="F52" i="1175"/>
  <c r="G52" i="1175"/>
  <c r="H52" i="1175"/>
  <c r="I52" i="1175"/>
  <c r="H51" i="1175"/>
  <c r="I51" i="1175"/>
  <c r="D52" i="1175"/>
  <c r="E52" i="1175"/>
  <c r="I50" i="1175"/>
  <c r="D51" i="1175"/>
  <c r="E51" i="1175"/>
  <c r="F51" i="1175"/>
  <c r="G51" i="1175"/>
  <c r="E50" i="1175"/>
  <c r="F50" i="1175"/>
  <c r="G50" i="1175"/>
  <c r="H50" i="1175"/>
  <c r="G49" i="1175"/>
  <c r="H49" i="1175"/>
  <c r="I49" i="1175"/>
  <c r="D50" i="1175"/>
  <c r="H48" i="1175"/>
  <c r="I48" i="1175"/>
  <c r="D49" i="1175"/>
  <c r="E49" i="1175"/>
  <c r="F49" i="1175"/>
  <c r="D48" i="1175"/>
  <c r="E48" i="1175"/>
  <c r="F48" i="1175"/>
  <c r="G48" i="1175"/>
  <c r="F47" i="1175"/>
  <c r="G47" i="1175"/>
  <c r="H47" i="1175"/>
  <c r="I47" i="1175"/>
  <c r="H46" i="1175"/>
  <c r="I46" i="1175"/>
  <c r="D47" i="1175"/>
  <c r="E47" i="1175"/>
  <c r="I45" i="1175"/>
  <c r="D46" i="1175"/>
  <c r="E46" i="1175"/>
  <c r="F46" i="1175"/>
  <c r="G46" i="1175"/>
  <c r="E45" i="1175"/>
  <c r="F45" i="1175"/>
  <c r="G45" i="1175"/>
  <c r="H45" i="1175"/>
  <c r="G44" i="1175"/>
  <c r="H44" i="1175"/>
  <c r="I44" i="1175"/>
  <c r="D45" i="1175"/>
  <c r="H43" i="1175"/>
  <c r="I43" i="1175"/>
  <c r="D44" i="1175"/>
  <c r="E44" i="1175"/>
  <c r="F44" i="1175"/>
  <c r="D43" i="1175"/>
  <c r="E43" i="1175"/>
  <c r="F43" i="1175"/>
  <c r="G43" i="1175"/>
  <c r="F42" i="1175"/>
  <c r="G42" i="1175"/>
  <c r="H42" i="1175"/>
  <c r="I42" i="1175"/>
  <c r="H41" i="1175"/>
  <c r="I41" i="1175"/>
  <c r="D42" i="1175"/>
  <c r="E42" i="1175"/>
  <c r="I40" i="1175"/>
  <c r="D41" i="1175"/>
  <c r="E41" i="1175"/>
  <c r="F41" i="1175"/>
  <c r="G41" i="1175"/>
  <c r="E40" i="1175"/>
  <c r="F40" i="1175"/>
  <c r="G40" i="1175"/>
  <c r="H40" i="1175"/>
  <c r="G39" i="1175"/>
  <c r="H39" i="1175"/>
  <c r="I39" i="1175"/>
  <c r="D40" i="1175"/>
  <c r="H38" i="1175"/>
  <c r="I38" i="1175"/>
  <c r="D39" i="1175"/>
  <c r="E39" i="1175"/>
  <c r="F39" i="1175"/>
  <c r="D38" i="1175"/>
  <c r="E38" i="1175"/>
  <c r="F38" i="1175"/>
  <c r="G38" i="1175"/>
  <c r="F37" i="1175"/>
  <c r="G37" i="1175"/>
  <c r="H37" i="1175"/>
  <c r="I37" i="1175"/>
  <c r="H36" i="1175"/>
  <c r="I36" i="1175"/>
  <c r="D37" i="1175"/>
  <c r="E37" i="1175"/>
  <c r="I35" i="1175"/>
  <c r="D36" i="1175"/>
  <c r="E36" i="1175"/>
  <c r="F36" i="1175"/>
  <c r="G36" i="1175"/>
  <c r="E35" i="1175"/>
  <c r="F35" i="1175"/>
  <c r="G35" i="1175"/>
  <c r="H35" i="1175"/>
  <c r="G34" i="1175"/>
  <c r="H34" i="1175"/>
  <c r="I34" i="1175"/>
  <c r="D35" i="1175"/>
  <c r="H33" i="1175"/>
  <c r="I33" i="1175"/>
  <c r="D34" i="1175"/>
  <c r="E34" i="1175"/>
  <c r="F34" i="1175"/>
  <c r="D33" i="1175"/>
  <c r="E33" i="1175"/>
  <c r="F33" i="1175"/>
  <c r="G33" i="1175"/>
  <c r="F32" i="1175"/>
  <c r="G32" i="1175"/>
  <c r="H32" i="1175"/>
  <c r="I32" i="1175"/>
  <c r="H31" i="1175"/>
  <c r="I31" i="1175"/>
  <c r="D32" i="1175"/>
  <c r="E32" i="1175"/>
  <c r="I30" i="1175"/>
  <c r="D31" i="1175"/>
  <c r="E31" i="1175"/>
  <c r="F31" i="1175"/>
  <c r="G31" i="1175"/>
  <c r="E30" i="1175"/>
  <c r="F30" i="1175"/>
  <c r="G30" i="1175"/>
  <c r="H30" i="1175"/>
  <c r="G29" i="1175"/>
  <c r="H29" i="1175"/>
  <c r="I29" i="1175"/>
  <c r="D30" i="1175"/>
  <c r="H28" i="1175"/>
  <c r="I28" i="1175"/>
  <c r="D29" i="1175"/>
  <c r="E29" i="1175"/>
  <c r="F29" i="1175"/>
  <c r="D28" i="1175"/>
  <c r="E28" i="1175"/>
  <c r="F28" i="1175"/>
  <c r="G28" i="1175"/>
  <c r="F27" i="1175"/>
  <c r="G27" i="1175"/>
  <c r="H27" i="1175"/>
  <c r="I27" i="1175"/>
  <c r="H26" i="1175"/>
  <c r="I26" i="1175"/>
  <c r="D27" i="1175"/>
  <c r="E27" i="1175"/>
  <c r="I25" i="1175"/>
  <c r="D26" i="1175"/>
  <c r="E26" i="1175"/>
  <c r="F26" i="1175"/>
  <c r="G26" i="1175"/>
  <c r="E25" i="1175"/>
  <c r="F25" i="1175"/>
  <c r="G25" i="1175"/>
  <c r="H25" i="1175"/>
  <c r="G24" i="1175"/>
  <c r="H24" i="1175"/>
  <c r="I24" i="1175"/>
  <c r="D25" i="1175"/>
  <c r="H23" i="1175"/>
  <c r="I23" i="1175"/>
  <c r="D24" i="1175"/>
  <c r="E24" i="1175"/>
  <c r="F24" i="1175"/>
  <c r="D23" i="1175"/>
  <c r="E23" i="1175"/>
  <c r="F23" i="1175"/>
  <c r="G23" i="1175"/>
  <c r="F22" i="1175"/>
  <c r="G22" i="1175"/>
  <c r="H22" i="1175"/>
  <c r="I22" i="1175"/>
  <c r="H21" i="1175"/>
  <c r="I21" i="1175"/>
  <c r="D22" i="1175"/>
  <c r="E22" i="1175"/>
  <c r="I20" i="1175"/>
  <c r="D21" i="1175"/>
  <c r="E21" i="1175"/>
  <c r="F21" i="1175"/>
  <c r="G21" i="1175"/>
  <c r="E20" i="1175"/>
  <c r="F20" i="1175"/>
  <c r="G20" i="1175"/>
  <c r="H20" i="1175"/>
  <c r="G19" i="1175"/>
  <c r="H19" i="1175"/>
  <c r="I19" i="1175"/>
  <c r="D20" i="1175"/>
  <c r="H18" i="1175"/>
  <c r="I18" i="1175"/>
  <c r="D19" i="1175"/>
  <c r="E19" i="1175"/>
  <c r="F19" i="1175"/>
  <c r="D18" i="1175"/>
  <c r="E18" i="1175"/>
  <c r="F18" i="1175"/>
  <c r="G18" i="1175"/>
  <c r="F17" i="1175"/>
  <c r="G17" i="1175"/>
  <c r="H17" i="1175"/>
  <c r="I17" i="1175"/>
  <c r="H16" i="1175"/>
  <c r="I16" i="1175"/>
  <c r="D17" i="1175"/>
  <c r="E17" i="1175"/>
  <c r="I15" i="1175"/>
  <c r="D16" i="1175"/>
  <c r="E16" i="1175"/>
  <c r="F16" i="1175"/>
  <c r="G16" i="1175"/>
  <c r="E15" i="1175"/>
  <c r="F15" i="1175"/>
  <c r="G15" i="1175"/>
  <c r="H15" i="1175"/>
  <c r="G14" i="1175"/>
  <c r="H14" i="1175"/>
  <c r="I14" i="1175"/>
  <c r="D15" i="1175"/>
  <c r="H13" i="1175"/>
  <c r="I13" i="1175"/>
  <c r="D14" i="1175"/>
  <c r="E14" i="1175"/>
  <c r="F14" i="1175"/>
  <c r="D13" i="1175"/>
  <c r="E13" i="1175"/>
  <c r="F13" i="1175"/>
  <c r="G13" i="1175"/>
  <c r="F12" i="1175"/>
  <c r="G12" i="1175"/>
  <c r="H12" i="1175"/>
  <c r="I12" i="1175"/>
  <c r="H11" i="1175"/>
  <c r="I11" i="1175"/>
  <c r="D12" i="1175"/>
  <c r="E12" i="1175"/>
  <c r="I10" i="1175"/>
  <c r="D11" i="1175"/>
  <c r="E11" i="1175"/>
  <c r="F11" i="1175"/>
  <c r="G11" i="1175"/>
  <c r="E10" i="1175"/>
  <c r="F10" i="1175"/>
  <c r="G10" i="1175"/>
  <c r="H10" i="1175"/>
  <c r="G9" i="1175"/>
  <c r="H9" i="1175"/>
  <c r="I9" i="1175"/>
  <c r="D10" i="1175"/>
  <c r="H8" i="1175"/>
  <c r="I8" i="1175"/>
  <c r="D9" i="1175"/>
  <c r="E9" i="1175"/>
  <c r="F9" i="1175"/>
  <c r="D8" i="1175"/>
  <c r="E8" i="1175"/>
  <c r="F8" i="1175"/>
  <c r="G8" i="1175"/>
  <c r="A22" i="1173"/>
  <c r="M17" i="1173"/>
  <c r="N16" i="1173"/>
  <c r="O15" i="1173"/>
  <c r="N12" i="1173"/>
  <c r="O11" i="1173"/>
  <c r="P10" i="1173"/>
  <c r="N8" i="1173"/>
  <c r="P6" i="1173"/>
  <c r="B26" i="1768"/>
  <c r="B22" i="1768"/>
  <c r="B21" i="1768"/>
  <c r="B20" i="1768"/>
  <c r="B13" i="1768"/>
  <c r="B12" i="1768"/>
  <c r="B11" i="1768"/>
  <c r="B7" i="1768"/>
  <c r="B6" i="1768"/>
  <c r="B5" i="1768"/>
  <c r="B19" i="1768"/>
  <c r="B8" i="1768"/>
  <c r="D5" i="1768"/>
  <c r="A23" i="1173"/>
  <c r="N17" i="1173"/>
  <c r="O16" i="1173"/>
  <c r="P15" i="1173"/>
  <c r="O12" i="1173"/>
  <c r="P11" i="1173"/>
  <c r="A11" i="1173"/>
  <c r="O8" i="1173"/>
  <c r="A9" i="1173"/>
  <c r="A7" i="1173"/>
  <c r="C26" i="1768"/>
  <c r="C22" i="1768"/>
  <c r="C21" i="1768"/>
  <c r="C20" i="1768"/>
  <c r="C13" i="1768"/>
  <c r="C12" i="1768"/>
  <c r="C11" i="1768"/>
  <c r="C7" i="1768"/>
  <c r="C6" i="1768"/>
  <c r="C5" i="1768"/>
  <c r="B18" i="1768"/>
  <c r="B10" i="1768"/>
  <c r="B28" i="1170"/>
  <c r="N18" i="1173"/>
  <c r="O17" i="1173"/>
  <c r="P16" i="1173"/>
  <c r="O13" i="1173"/>
  <c r="P12" i="1173"/>
  <c r="A12" i="1173"/>
  <c r="P8" i="1173"/>
  <c r="M7" i="1173"/>
  <c r="D26" i="1768"/>
  <c r="D23" i="1768"/>
  <c r="D22" i="1768"/>
  <c r="D21" i="1768"/>
  <c r="D17" i="1768"/>
  <c r="D13" i="1768"/>
  <c r="D12" i="1768"/>
  <c r="D8" i="1768"/>
  <c r="D7" i="1768"/>
  <c r="D6" i="1768"/>
  <c r="B4" i="1768"/>
  <c r="D4" i="1768"/>
  <c r="O18" i="1173"/>
  <c r="P17" i="1173"/>
  <c r="A17" i="1173"/>
  <c r="P13" i="1173"/>
  <c r="A13" i="1173"/>
  <c r="M12" i="1173"/>
  <c r="M9" i="1173"/>
  <c r="N7" i="1173"/>
  <c r="E26" i="1768"/>
  <c r="E23" i="1768"/>
  <c r="E22" i="1768"/>
  <c r="E21" i="1768"/>
  <c r="E17" i="1768"/>
  <c r="E13" i="1768"/>
  <c r="E12" i="1768"/>
  <c r="E8" i="1768"/>
  <c r="E7" i="1768"/>
  <c r="E6" i="1768"/>
  <c r="B27" i="1170"/>
  <c r="E9" i="1768"/>
  <c r="P18" i="1173"/>
  <c r="A18" i="1173"/>
  <c r="P14" i="1173"/>
  <c r="A14" i="1173"/>
  <c r="M13" i="1173"/>
  <c r="A10" i="1173"/>
  <c r="N9" i="1173"/>
  <c r="O7" i="1173"/>
  <c r="M6" i="1173"/>
  <c r="B25" i="1768"/>
  <c r="B24" i="1768"/>
  <c r="B23" i="1768"/>
  <c r="B17" i="1768"/>
  <c r="B9" i="1768"/>
  <c r="A19" i="1173"/>
  <c r="M18" i="1173"/>
  <c r="A15" i="1173"/>
  <c r="M14" i="1173"/>
  <c r="N13" i="1173"/>
  <c r="M10" i="1173"/>
  <c r="O9" i="1173"/>
  <c r="P7" i="1173"/>
  <c r="N6" i="1173"/>
  <c r="A8" i="1173"/>
  <c r="C25" i="1768"/>
  <c r="C24" i="1768"/>
  <c r="C23" i="1768"/>
  <c r="C19" i="1768"/>
  <c r="C18" i="1768"/>
  <c r="C17" i="1768"/>
  <c r="C10" i="1768"/>
  <c r="C9" i="1768"/>
  <c r="C8" i="1768"/>
  <c r="C4" i="1768"/>
  <c r="E4" i="1768"/>
  <c r="A20" i="1173"/>
  <c r="A16" i="1173"/>
  <c r="M15" i="1173"/>
  <c r="N14" i="1173"/>
  <c r="M11" i="1173"/>
  <c r="N10" i="1173"/>
  <c r="P9" i="1173"/>
  <c r="D25" i="1768"/>
  <c r="D24" i="1768"/>
  <c r="D20" i="1768"/>
  <c r="D19" i="1768"/>
  <c r="D18" i="1768"/>
  <c r="D11" i="1768"/>
  <c r="D10" i="1768"/>
  <c r="D9" i="1768"/>
  <c r="E5" i="1768"/>
  <c r="A21" i="1173"/>
  <c r="M16" i="1173"/>
  <c r="N15" i="1173"/>
  <c r="O14" i="1173"/>
  <c r="N11" i="1173"/>
  <c r="O10" i="1173"/>
  <c r="M8" i="1173"/>
  <c r="O6" i="1173"/>
  <c r="A6" i="1173"/>
  <c r="E25" i="1768"/>
  <c r="E24" i="1768"/>
  <c r="E20" i="1768"/>
  <c r="E19" i="1768"/>
  <c r="E18" i="1768"/>
  <c r="E11" i="1768"/>
  <c r="E10" i="1768"/>
  <c r="B26" i="1170"/>
  <c r="B17" i="1170"/>
  <c r="B16" i="1170"/>
  <c r="B15" i="1170"/>
  <c r="B14" i="1170"/>
  <c r="B13" i="1170"/>
  <c r="B12" i="1170"/>
  <c r="B11" i="1170"/>
  <c r="BC3" i="1167"/>
  <c r="AO3" i="1167"/>
  <c r="AI3" i="1167"/>
  <c r="AC3" i="1167"/>
  <c r="W3" i="1167"/>
  <c r="Q3" i="1167"/>
  <c r="Z3" i="1167"/>
  <c r="AG3" i="1167"/>
  <c r="AA3" i="1167"/>
  <c r="AB3" i="1167"/>
  <c r="AV3" i="1167"/>
  <c r="AP3" i="1167"/>
  <c r="AJ3" i="1167"/>
  <c r="AD3" i="1167"/>
  <c r="X3" i="1167"/>
  <c r="R3" i="1167"/>
  <c r="AE3" i="1167"/>
  <c r="S3" i="1167"/>
  <c r="AS3" i="1167"/>
  <c r="M3" i="1167"/>
  <c r="AT3" i="1167"/>
  <c r="BA3" i="1167"/>
  <c r="BB3" i="1167"/>
  <c r="AW3" i="1167"/>
  <c r="AQ3" i="1167"/>
  <c r="AK3" i="1167"/>
  <c r="Y3" i="1167"/>
  <c r="AF3" i="1167"/>
  <c r="AM3" i="1167"/>
  <c r="AZ3" i="1167"/>
  <c r="N3" i="1167"/>
  <c r="O3" i="1167"/>
  <c r="V3" i="1167"/>
  <c r="AX3" i="1167"/>
  <c r="AR3" i="1167"/>
  <c r="AL3" i="1167"/>
  <c r="AN3" i="1167"/>
  <c r="AU3" i="1167"/>
  <c r="AH3" i="1167"/>
  <c r="AY3" i="1167"/>
  <c r="P3" i="1167"/>
  <c r="T3" i="1167"/>
  <c r="U3" i="1167"/>
  <c r="D17" i="1160"/>
  <c r="C12" i="38"/>
  <c r="C6" i="38"/>
  <c r="C7" i="38"/>
  <c r="C10" i="38"/>
  <c r="D18" i="1160"/>
  <c r="C9" i="38"/>
  <c r="D16" i="1160"/>
  <c r="C11" i="38"/>
  <c r="B1" i="1175"/>
  <c r="D1" i="1175" a="1"/>
  <c r="D1" i="1175"/>
  <c r="C1" i="1175"/>
  <c r="B5" i="1175"/>
  <c r="B9" i="1175"/>
  <c r="B20" i="1175"/>
  <c r="B21" i="1175"/>
  <c r="B22" i="1175"/>
  <c r="B23" i="1175"/>
  <c r="B24" i="1175" s="1"/>
  <c r="B25" i="1175" s="1"/>
  <c r="B26" i="1175" s="1"/>
  <c r="B27" i="1175" s="1"/>
  <c r="B28" i="1175" s="1"/>
  <c r="B29" i="1175" s="1"/>
  <c r="B30" i="1175" s="1"/>
  <c r="B31" i="1175" s="1"/>
  <c r="B32" i="1175" s="1"/>
  <c r="B33" i="1175" s="1"/>
  <c r="B34" i="1175" s="1"/>
  <c r="B35" i="1175" s="1"/>
  <c r="B36" i="1175" s="1"/>
  <c r="B37" i="1175" s="1"/>
  <c r="B38" i="1175" s="1"/>
  <c r="B39" i="1175" s="1"/>
  <c r="B40" i="1175" s="1"/>
  <c r="B41" i="1175" s="1"/>
  <c r="B42" i="1175" s="1"/>
  <c r="B43" i="1175" s="1"/>
  <c r="B44" i="1175" s="1"/>
  <c r="B45" i="1175" s="1"/>
  <c r="B46" i="1175" s="1"/>
  <c r="B47" i="1175" s="1"/>
  <c r="B48" i="1175" s="1"/>
  <c r="B49" i="1175" s="1"/>
  <c r="B50" i="1175" s="1"/>
  <c r="B51" i="1175" s="1"/>
  <c r="B52" i="1175" s="1"/>
  <c r="B53" i="1175" s="1"/>
  <c r="B54" i="1175" s="1"/>
  <c r="B55" i="1175" s="1"/>
  <c r="B56" i="1175" s="1"/>
  <c r="B57" i="1175" s="1"/>
  <c r="B58" i="1175" s="1"/>
  <c r="B59" i="1175" s="1"/>
  <c r="B60" i="1175" s="1"/>
  <c r="B61" i="1175" s="1"/>
  <c r="B62" i="1175" s="1"/>
  <c r="B63" i="1175" s="1"/>
  <c r="B64" i="1175" s="1"/>
  <c r="B65" i="1175" s="1"/>
  <c r="B66" i="1175" s="1"/>
  <c r="B67" i="1175" s="1"/>
  <c r="B68" i="1175" s="1"/>
  <c r="B69" i="1175" s="1"/>
  <c r="B70" i="1175" s="1"/>
  <c r="B71" i="1175" s="1"/>
  <c r="B72" i="1175" s="1"/>
  <c r="B73" i="1175" s="1"/>
  <c r="B74" i="1175" s="1"/>
  <c r="B75" i="1175" s="1"/>
  <c r="B76" i="1175" s="1"/>
  <c r="B77" i="1175" s="1"/>
  <c r="B78" i="1175" s="1"/>
  <c r="B79" i="1175" s="1"/>
  <c r="B80" i="1175" s="1"/>
  <c r="B81" i="1175" s="1"/>
  <c r="B82" i="1175" s="1"/>
  <c r="B83" i="1175" s="1"/>
  <c r="B84" i="1175" s="1"/>
  <c r="B85" i="1175" s="1"/>
  <c r="B86" i="1175" s="1"/>
  <c r="B87" i="1175" s="1"/>
  <c r="B88" i="1175" s="1"/>
  <c r="B89" i="1175" s="1"/>
  <c r="B90" i="1175" s="1"/>
  <c r="B91" i="1175" s="1"/>
  <c r="B92" i="1175" s="1"/>
  <c r="B93" i="1175" s="1"/>
  <c r="B94" i="1175" s="1"/>
  <c r="B95" i="1175" s="1"/>
  <c r="B96" i="1175" s="1"/>
  <c r="B97" i="1175" s="1"/>
  <c r="B98" i="1175" s="1"/>
  <c r="B99" i="1175" s="1"/>
  <c r="B100" i="1175" s="1"/>
  <c r="B101" i="1175" s="1"/>
  <c r="B102" i="1175" s="1"/>
  <c r="B103" i="1175" s="1"/>
  <c r="B104" i="1175" s="1"/>
  <c r="B105" i="1175" s="1"/>
  <c r="B106" i="1175" s="1"/>
  <c r="B107" i="1175" s="1"/>
  <c r="B108" i="1175" s="1"/>
  <c r="B109" i="1175" s="1"/>
  <c r="B110" i="1175" s="1"/>
  <c r="B111" i="1175" s="1"/>
  <c r="B112" i="1175" s="1"/>
  <c r="B113" i="1175" s="1"/>
  <c r="B114" i="1175" s="1"/>
  <c r="B115" i="1175" s="1"/>
  <c r="B116" i="1175" s="1"/>
  <c r="B117" i="1175" s="1"/>
  <c r="B118" i="1175" s="1"/>
  <c r="B119" i="1175" s="1"/>
  <c r="B120" i="1175" s="1"/>
  <c r="B121" i="1175" s="1"/>
  <c r="B122" i="1175" s="1"/>
  <c r="B123" i="1175" s="1"/>
  <c r="B124" i="1175" s="1"/>
  <c r="B125" i="1175" s="1"/>
  <c r="B126" i="1175" s="1"/>
  <c r="B127" i="1175" s="1"/>
  <c r="B128" i="1175" s="1"/>
  <c r="B129" i="1175" s="1"/>
  <c r="B130" i="1175" s="1"/>
  <c r="B131" i="1175" s="1"/>
  <c r="B132" i="1175" s="1"/>
  <c r="B133" i="1175" s="1"/>
  <c r="B134" i="1175" s="1"/>
  <c r="B135" i="1175" s="1"/>
  <c r="B136" i="1175" s="1"/>
  <c r="B137" i="1175" s="1"/>
  <c r="B138" i="1175" s="1"/>
  <c r="B139" i="1175" s="1"/>
  <c r="B140" i="1175" s="1"/>
  <c r="B141" i="1175" s="1"/>
  <c r="B142" i="1175" s="1"/>
  <c r="B143" i="1175" s="1"/>
  <c r="B144" i="1175" s="1"/>
  <c r="B145" i="1175" s="1"/>
  <c r="B146" i="1175" s="1"/>
  <c r="B147" i="1175" s="1"/>
  <c r="B148" i="1175" s="1"/>
  <c r="B149" i="1175" s="1"/>
  <c r="B150" i="1175" s="1"/>
  <c r="B151" i="1175" s="1"/>
  <c r="B152" i="1175" s="1"/>
  <c r="B153" i="1175" s="1"/>
  <c r="B154" i="1175" s="1"/>
  <c r="B155" i="1175" s="1"/>
  <c r="B156" i="1175" s="1"/>
  <c r="B157" i="1175" s="1"/>
  <c r="B158" i="1175" s="1"/>
  <c r="B159" i="1175" s="1"/>
  <c r="B160" i="1175" s="1"/>
  <c r="B161" i="1175" s="1"/>
  <c r="B162" i="1175" s="1"/>
  <c r="B163" i="1175" s="1"/>
  <c r="B164" i="1175" s="1"/>
  <c r="B165" i="1175" s="1"/>
  <c r="B166" i="1175" s="1"/>
  <c r="B167" i="1175" s="1"/>
  <c r="B168" i="1175" s="1"/>
  <c r="B169" i="1175" s="1"/>
  <c r="B170" i="1175" s="1"/>
  <c r="B171" i="1175" s="1"/>
  <c r="B172" i="1175" s="1"/>
  <c r="B173" i="1175" s="1"/>
  <c r="B174" i="1175" s="1"/>
  <c r="B175" i="1175" s="1"/>
  <c r="B176" i="1175" s="1"/>
  <c r="B177" i="1175" s="1"/>
  <c r="B178" i="1175" s="1"/>
  <c r="B179" i="1175" s="1"/>
  <c r="B180" i="1175" s="1"/>
  <c r="B181" i="1175" s="1"/>
  <c r="B182" i="1175" s="1"/>
  <c r="B183" i="1175" s="1"/>
  <c r="B184" i="1175" s="1"/>
  <c r="B185" i="1175" s="1"/>
  <c r="B186" i="1175" s="1"/>
  <c r="B187" i="1175" s="1"/>
  <c r="B188" i="1175" s="1"/>
  <c r="B189" i="1175" s="1"/>
  <c r="B190" i="1175" s="1"/>
  <c r="B191" i="1175" s="1"/>
  <c r="B192" i="1175" s="1"/>
  <c r="B193" i="1175" s="1"/>
  <c r="B194" i="1175" s="1"/>
  <c r="B195" i="1175" s="1"/>
  <c r="B196" i="1175" s="1"/>
  <c r="B197" i="1175" s="1"/>
  <c r="B198" i="1175" s="1"/>
  <c r="B199" i="1175" s="1"/>
  <c r="B200" i="1175" s="1"/>
  <c r="B201" i="1175" s="1"/>
  <c r="B202" i="1175" s="1"/>
  <c r="B203" i="1175" s="1"/>
  <c r="B204" i="1175" s="1"/>
  <c r="B205" i="1175" s="1"/>
  <c r="B206" i="1175" s="1"/>
  <c r="B207" i="1175" s="1"/>
  <c r="B208" i="1175" s="1"/>
  <c r="B209" i="1175" s="1"/>
  <c r="B210" i="1175" s="1"/>
  <c r="B211" i="1175" s="1"/>
  <c r="B212" i="1175" s="1"/>
  <c r="B213" i="1175" s="1"/>
  <c r="B214" i="1175" s="1"/>
  <c r="B215" i="1175" s="1"/>
  <c r="B216" i="1175" s="1"/>
  <c r="B217" i="1175" s="1"/>
  <c r="B218" i="1175" s="1"/>
  <c r="B219" i="1175" s="1"/>
  <c r="B220" i="1175" s="1"/>
  <c r="B221" i="1175" s="1"/>
  <c r="B222" i="1175" s="1"/>
  <c r="B223" i="1175" s="1"/>
  <c r="B224" i="1175" s="1"/>
  <c r="B225" i="1175" s="1"/>
  <c r="B226" i="1175" s="1"/>
  <c r="B227" i="1175" s="1"/>
  <c r="B228" i="1175" s="1"/>
  <c r="B229" i="1175" s="1"/>
  <c r="B230" i="1175" s="1"/>
  <c r="B231" i="1175" s="1"/>
  <c r="B232" i="1175" s="1"/>
  <c r="B233" i="1175" s="1"/>
  <c r="B234" i="1175" s="1"/>
  <c r="B235" i="1175" s="1"/>
  <c r="B236" i="1175" s="1"/>
  <c r="B237" i="1175" s="1"/>
  <c r="B238" i="1175" s="1"/>
  <c r="B239" i="1175" s="1"/>
  <c r="B240" i="1175" s="1"/>
  <c r="B241" i="1175" s="1"/>
  <c r="B242" i="1175" s="1"/>
  <c r="B243" i="1175" s="1"/>
  <c r="B244" i="1175" s="1"/>
  <c r="B245" i="1175" s="1"/>
  <c r="B246" i="1175" s="1"/>
  <c r="B247" i="1175" s="1"/>
  <c r="B248" i="1175" s="1"/>
  <c r="B249" i="1175" s="1"/>
  <c r="B250" i="1175" s="1"/>
  <c r="B251" i="1175" s="1"/>
  <c r="B252" i="1175" s="1"/>
  <c r="B253" i="1175" s="1"/>
  <c r="B254" i="1175" s="1"/>
  <c r="B255" i="1175" s="1"/>
  <c r="B256" i="1175" s="1"/>
  <c r="B257" i="1175" s="1"/>
  <c r="B258" i="1175" s="1"/>
  <c r="B259" i="1175" s="1"/>
  <c r="B260" i="1175" s="1"/>
  <c r="B261" i="1175" s="1"/>
  <c r="B262" i="1175" s="1"/>
  <c r="B263" i="1175" s="1"/>
  <c r="B264" i="1175" s="1"/>
  <c r="B265" i="1175" s="1"/>
  <c r="B266" i="1175" s="1"/>
  <c r="B267" i="1175" s="1"/>
  <c r="B268" i="1175" s="1"/>
  <c r="B269" i="1175" s="1"/>
  <c r="B270" i="1175" s="1"/>
  <c r="B271" i="1175" s="1"/>
  <c r="B272" i="1175" s="1"/>
  <c r="B273" i="1175" s="1"/>
  <c r="B274" i="1175" s="1"/>
  <c r="B275" i="1175" s="1"/>
  <c r="B276" i="1175" s="1"/>
  <c r="B277" i="1175" s="1"/>
  <c r="B278" i="1175" s="1"/>
  <c r="B279" i="1175" s="1"/>
  <c r="B280" i="1175" s="1"/>
  <c r="B281" i="1175" s="1"/>
  <c r="B282" i="1175" s="1"/>
  <c r="B283" i="1175" s="1"/>
  <c r="B284" i="1175" s="1"/>
  <c r="B285" i="1175" s="1"/>
  <c r="B286" i="1175" s="1"/>
  <c r="B287" i="1175" s="1"/>
  <c r="B288" i="1175" s="1"/>
  <c r="B289" i="1175" s="1"/>
  <c r="B290" i="1175" s="1"/>
  <c r="B291" i="1175" s="1"/>
  <c r="B292" i="1175" s="1"/>
  <c r="B293" i="1175" s="1"/>
  <c r="B294" i="1175" s="1"/>
  <c r="B295" i="1175" s="1"/>
  <c r="B296" i="1175" s="1"/>
  <c r="B297" i="1175" s="1"/>
  <c r="B298" i="1175" s="1"/>
  <c r="B299" i="1175" s="1"/>
  <c r="B300" i="1175" s="1"/>
  <c r="B301" i="1175" s="1"/>
  <c r="B302" i="1175" s="1"/>
  <c r="B303" i="1175" s="1"/>
  <c r="B304" i="1175" s="1"/>
  <c r="B305" i="1175" s="1"/>
  <c r="B306" i="1175" s="1"/>
  <c r="B307" i="1175" s="1"/>
  <c r="B308" i="1175" s="1"/>
  <c r="B309" i="1175" s="1"/>
  <c r="B310" i="1175" s="1"/>
  <c r="B311" i="1175" s="1"/>
  <c r="B312" i="1175" s="1"/>
  <c r="B313" i="1175" s="1"/>
  <c r="B314" i="1175" s="1"/>
  <c r="B315" i="1175" s="1"/>
  <c r="B316" i="1175" s="1"/>
  <c r="B317" i="1175" s="1"/>
  <c r="B318" i="1175" s="1"/>
  <c r="B319" i="1175" s="1"/>
  <c r="B320" i="1175" s="1"/>
  <c r="B321" i="1175" s="1"/>
  <c r="B322" i="1175" s="1"/>
  <c r="B323" i="1175" s="1"/>
  <c r="B324" i="1175" s="1"/>
  <c r="B325" i="1175" s="1"/>
  <c r="B326" i="1175" s="1"/>
  <c r="B327" i="1175" s="1"/>
  <c r="B328" i="1175" s="1"/>
  <c r="B329" i="1175" s="1"/>
  <c r="B330" i="1175" s="1"/>
  <c r="B331" i="1175" s="1"/>
  <c r="B332" i="1175" s="1"/>
  <c r="B333" i="1175" s="1"/>
  <c r="B334" i="1175" s="1"/>
  <c r="B335" i="1175" s="1"/>
  <c r="B336" i="1175" s="1"/>
  <c r="B337" i="1175" s="1"/>
  <c r="B338" i="1175" s="1"/>
  <c r="B339" i="1175" s="1"/>
  <c r="B340" i="1175" s="1"/>
  <c r="B341" i="1175" s="1"/>
  <c r="B342" i="1175" s="1"/>
  <c r="B343" i="1175" s="1"/>
  <c r="B344" i="1175" s="1"/>
  <c r="B345" i="1175" s="1"/>
  <c r="B346" i="1175" s="1"/>
  <c r="B347" i="1175" s="1"/>
  <c r="B348" i="1175" s="1"/>
  <c r="B349" i="1175" s="1"/>
  <c r="B350" i="1175" s="1"/>
  <c r="B351" i="1175" s="1"/>
  <c r="B352" i="1175" s="1"/>
  <c r="B353" i="1175" s="1"/>
  <c r="B354" i="1175" s="1"/>
  <c r="B355" i="1175" s="1"/>
  <c r="B356" i="1175" s="1"/>
  <c r="B357" i="1175" s="1"/>
  <c r="B358" i="1175" s="1"/>
  <c r="B359" i="1175" s="1"/>
  <c r="B360" i="1175" s="1"/>
  <c r="B361" i="1175" s="1"/>
  <c r="B362" i="1175" s="1"/>
  <c r="B363" i="1175" s="1"/>
  <c r="B364" i="1175" s="1"/>
  <c r="B365" i="1175" s="1"/>
  <c r="B366" i="1175" s="1"/>
  <c r="B367" i="1175" s="1"/>
  <c r="B368" i="1175" s="1"/>
  <c r="B369" i="1175" s="1"/>
  <c r="B370" i="1175" s="1"/>
  <c r="B371" i="1175" s="1"/>
  <c r="B372" i="1175" s="1"/>
  <c r="B373" i="1175" s="1"/>
  <c r="B374" i="1175" s="1"/>
  <c r="B375" i="1175" s="1"/>
  <c r="B376" i="1175" s="1"/>
  <c r="B377" i="1175" s="1"/>
  <c r="B378" i="1175" s="1"/>
  <c r="B379" i="1175" s="1"/>
  <c r="B380" i="1175" s="1"/>
  <c r="B381" i="1175" s="1"/>
  <c r="B382" i="1175" s="1"/>
  <c r="B383" i="1175" s="1"/>
  <c r="B384" i="1175" s="1"/>
  <c r="B385" i="1175" s="1"/>
  <c r="B386" i="1175" s="1"/>
  <c r="B387" i="1175" s="1"/>
  <c r="B388" i="1175" s="1"/>
  <c r="B389" i="1175" s="1"/>
  <c r="B390" i="1175" s="1"/>
  <c r="B391" i="1175" s="1"/>
  <c r="B392" i="1175" s="1"/>
  <c r="B393" i="1175" s="1"/>
  <c r="B394" i="1175" s="1"/>
  <c r="B395" i="1175" s="1"/>
  <c r="B396" i="1175" s="1"/>
  <c r="B397" i="1175" s="1"/>
  <c r="B398" i="1175" s="1"/>
  <c r="B399" i="1175" s="1"/>
  <c r="B400" i="1175" s="1"/>
  <c r="B401" i="1175" s="1"/>
  <c r="B402" i="1175" s="1"/>
  <c r="B403" i="1175" s="1"/>
  <c r="B404" i="1175" s="1"/>
  <c r="B405" i="1175" s="1"/>
  <c r="B406" i="1175" s="1"/>
  <c r="B407" i="1175" s="1"/>
  <c r="B408" i="1175" s="1"/>
  <c r="B409" i="1175" s="1"/>
  <c r="B410" i="1175" s="1"/>
  <c r="B411" i="1175" s="1"/>
  <c r="B412" i="1175" s="1"/>
  <c r="B413" i="1175" s="1"/>
  <c r="B414" i="1175" s="1"/>
  <c r="B415" i="1175" s="1"/>
  <c r="B416" i="1175" s="1"/>
  <c r="B417" i="1175" s="1"/>
  <c r="B418" i="1175" s="1"/>
  <c r="B419" i="1175" s="1"/>
  <c r="B420" i="1175" s="1"/>
  <c r="B421" i="1175" s="1"/>
  <c r="B422" i="1175" s="1"/>
  <c r="B423" i="1175" s="1"/>
  <c r="B424" i="1175" s="1"/>
  <c r="B425" i="1175" s="1"/>
  <c r="B426" i="1175" s="1"/>
  <c r="B427" i="1175" s="1"/>
  <c r="B428" i="1175" s="1"/>
  <c r="B429" i="1175" s="1"/>
  <c r="B430" i="1175" s="1"/>
  <c r="B431" i="1175" s="1"/>
  <c r="B432" i="1175" s="1"/>
  <c r="B433" i="1175" s="1"/>
  <c r="B434" i="1175" s="1"/>
  <c r="B435" i="1175" s="1"/>
  <c r="B436" i="1175" s="1"/>
  <c r="B437" i="1175" s="1"/>
  <c r="B438" i="1175" s="1"/>
  <c r="B439" i="1175" s="1"/>
  <c r="B440" i="1175" s="1"/>
  <c r="B441" i="1175" s="1"/>
  <c r="B442" i="1175" s="1"/>
  <c r="B443" i="1175" s="1"/>
  <c r="B444" i="1175" s="1"/>
  <c r="B445" i="1175" s="1"/>
  <c r="B446" i="1175" s="1"/>
  <c r="B447" i="1175" s="1"/>
  <c r="B448" i="1175" s="1"/>
  <c r="B449" i="1175" s="1"/>
  <c r="B450" i="1175" s="1"/>
  <c r="B451" i="1175" s="1"/>
  <c r="B452" i="1175" s="1"/>
  <c r="B453" i="1175" s="1"/>
  <c r="B454" i="1175" s="1"/>
  <c r="B455" i="1175" s="1"/>
  <c r="B456" i="1175" s="1"/>
  <c r="B457" i="1175" s="1"/>
  <c r="B458" i="1175" s="1"/>
  <c r="B459" i="1175" s="1"/>
  <c r="B460" i="1175" s="1"/>
  <c r="B461" i="1175" s="1"/>
  <c r="B462" i="1175" s="1"/>
  <c r="B463" i="1175" s="1"/>
  <c r="B464" i="1175" s="1"/>
  <c r="B465" i="1175" s="1"/>
  <c r="B466" i="1175" s="1"/>
  <c r="B467" i="1175" s="1"/>
  <c r="B468" i="1175" s="1"/>
  <c r="B469" i="1175" s="1"/>
  <c r="B470" i="1175" s="1"/>
  <c r="B471" i="1175" s="1"/>
  <c r="B472" i="1175" s="1"/>
  <c r="B473" i="1175" s="1"/>
  <c r="B474" i="1175" s="1"/>
  <c r="B475" i="1175" s="1"/>
  <c r="B476" i="1175" s="1"/>
  <c r="B477" i="1175" s="1"/>
  <c r="B478" i="1175" s="1"/>
  <c r="B479" i="1175" s="1"/>
  <c r="B480" i="1175" s="1"/>
  <c r="B481" i="1175" s="1"/>
  <c r="B482" i="1175" s="1"/>
  <c r="B483" i="1175" s="1"/>
  <c r="B484" i="1175" s="1"/>
  <c r="B485" i="1175" s="1"/>
  <c r="B486" i="1175" s="1"/>
  <c r="B487" i="1175" s="1"/>
  <c r="B488" i="1175" s="1"/>
  <c r="B489" i="1175" s="1"/>
  <c r="B490" i="1175" s="1"/>
  <c r="B491" i="1175" s="1"/>
  <c r="B492" i="1175" s="1"/>
  <c r="B493" i="1175" s="1"/>
  <c r="B494" i="1175" s="1"/>
  <c r="B495" i="1175" s="1"/>
  <c r="B496" i="1175" s="1"/>
  <c r="B497" i="1175" s="1"/>
  <c r="B498" i="1175" s="1"/>
  <c r="B499" i="1175" s="1"/>
  <c r="B500" i="1175" s="1"/>
  <c r="B501" i="1175" s="1"/>
  <c r="B502" i="1175" s="1"/>
  <c r="B503" i="1175" s="1"/>
  <c r="B504" i="1175" s="1"/>
  <c r="B505" i="1175" s="1"/>
  <c r="B506" i="1175" s="1"/>
  <c r="B507" i="1175" s="1"/>
  <c r="D79" i="1175"/>
  <c r="E79" i="1175"/>
  <c r="F79" i="1175"/>
  <c r="G79" i="1175"/>
  <c r="H79" i="1175"/>
  <c r="I79" i="1175"/>
  <c r="D80" i="1175"/>
  <c r="E80" i="1175"/>
  <c r="F80" i="1175"/>
  <c r="G80" i="1175"/>
  <c r="H80" i="1175"/>
  <c r="I80" i="1175"/>
  <c r="D81" i="1175"/>
  <c r="E81" i="1175"/>
  <c r="F81" i="1175"/>
  <c r="G81" i="1175"/>
  <c r="H81" i="1175"/>
  <c r="I81" i="1175"/>
  <c r="D82" i="1175"/>
  <c r="E82" i="1175"/>
  <c r="F82" i="1175"/>
  <c r="G82" i="1175"/>
  <c r="H82" i="1175"/>
  <c r="I82" i="1175"/>
  <c r="D83" i="1175"/>
  <c r="E83" i="1175"/>
  <c r="F83" i="1175"/>
  <c r="G83" i="1175"/>
  <c r="H83" i="1175"/>
  <c r="I83" i="1175"/>
  <c r="D84" i="1175"/>
  <c r="E84" i="1175"/>
  <c r="F84" i="1175"/>
  <c r="G84" i="1175"/>
  <c r="H84" i="1175"/>
  <c r="I84" i="1175"/>
  <c r="D85" i="1175"/>
  <c r="E85" i="1175"/>
  <c r="F85" i="1175"/>
  <c r="G85" i="1175"/>
  <c r="H85" i="1175"/>
  <c r="I85" i="1175"/>
  <c r="D86" i="1175"/>
  <c r="E86" i="1175"/>
  <c r="F86" i="1175"/>
  <c r="G86" i="1175"/>
  <c r="H86" i="1175"/>
  <c r="I86" i="1175"/>
  <c r="D87" i="1175"/>
  <c r="E87" i="1175"/>
  <c r="F87" i="1175"/>
  <c r="G87" i="1175"/>
  <c r="H87" i="1175"/>
  <c r="I87" i="1175"/>
  <c r="D88" i="1175"/>
  <c r="E88" i="1175"/>
  <c r="F88" i="1175"/>
  <c r="G88" i="1175"/>
  <c r="H88" i="1175"/>
  <c r="I88" i="1175"/>
  <c r="D89" i="1175"/>
  <c r="E89" i="1175"/>
  <c r="F89" i="1175"/>
  <c r="G89" i="1175"/>
  <c r="H89" i="1175"/>
  <c r="I89" i="1175"/>
  <c r="D90" i="1175"/>
  <c r="E90" i="1175"/>
  <c r="F90" i="1175"/>
  <c r="G90" i="1175"/>
  <c r="H90" i="1175"/>
  <c r="I90" i="1175"/>
  <c r="D91" i="1175"/>
  <c r="E91" i="1175"/>
  <c r="F91" i="1175"/>
  <c r="G91" i="1175"/>
  <c r="H91" i="1175"/>
  <c r="I91" i="1175"/>
  <c r="D92" i="1175"/>
  <c r="E92" i="1175"/>
  <c r="F92" i="1175"/>
  <c r="G92" i="1175"/>
  <c r="H92" i="1175"/>
  <c r="I92" i="1175"/>
  <c r="D93" i="1175"/>
  <c r="E93" i="1175"/>
  <c r="F93" i="1175"/>
  <c r="G93" i="1175"/>
  <c r="H93" i="1175"/>
  <c r="I93" i="1175"/>
  <c r="D94" i="1175"/>
  <c r="E94" i="1175"/>
  <c r="F94" i="1175"/>
  <c r="G94" i="1175"/>
  <c r="H94" i="1175"/>
  <c r="I94" i="1175"/>
  <c r="D95" i="1175"/>
  <c r="E95" i="1175"/>
  <c r="F95" i="1175"/>
  <c r="G95" i="1175"/>
  <c r="H95" i="1175"/>
  <c r="I95" i="1175"/>
  <c r="D96" i="1175"/>
  <c r="E96" i="1175"/>
  <c r="F96" i="1175"/>
  <c r="G96" i="1175"/>
  <c r="H96" i="1175"/>
  <c r="I96" i="1175"/>
  <c r="D97" i="1175"/>
  <c r="E97" i="1175"/>
  <c r="F97" i="1175"/>
  <c r="G97" i="1175"/>
  <c r="H97" i="1175"/>
  <c r="I97" i="1175"/>
  <c r="D98" i="1175"/>
  <c r="E98" i="1175"/>
  <c r="F98" i="1175"/>
  <c r="G98" i="1175"/>
  <c r="H98" i="1175"/>
  <c r="I98" i="1175"/>
  <c r="D99" i="1175"/>
  <c r="E99" i="1175"/>
  <c r="F99" i="1175"/>
  <c r="G99" i="1175"/>
  <c r="H99" i="1175"/>
  <c r="I99" i="1175"/>
  <c r="D100" i="1175"/>
  <c r="E100" i="1175"/>
  <c r="F100" i="1175"/>
  <c r="G100" i="1175"/>
  <c r="H100" i="1175"/>
  <c r="I100" i="1175"/>
  <c r="D101" i="1175"/>
  <c r="E101" i="1175"/>
  <c r="F101" i="1175"/>
  <c r="G101" i="1175"/>
  <c r="H101" i="1175"/>
  <c r="I101" i="1175"/>
  <c r="D102" i="1175"/>
  <c r="E102" i="1175"/>
  <c r="F102" i="1175"/>
  <c r="G102" i="1175"/>
  <c r="H102" i="1175"/>
  <c r="I102" i="1175"/>
  <c r="D103" i="1175"/>
  <c r="E103" i="1175"/>
  <c r="F103" i="1175"/>
  <c r="G103" i="1175"/>
  <c r="H103" i="1175"/>
  <c r="I103" i="1175"/>
  <c r="D104" i="1175"/>
  <c r="E104" i="1175"/>
  <c r="F104" i="1175"/>
  <c r="G104" i="1175"/>
  <c r="H104" i="1175"/>
  <c r="I104" i="1175"/>
  <c r="D105" i="1175"/>
  <c r="E105" i="1175"/>
  <c r="F105" i="1175"/>
  <c r="G105" i="1175"/>
  <c r="H105" i="1175"/>
  <c r="I105" i="1175"/>
  <c r="D106" i="1175"/>
  <c r="E106" i="1175"/>
  <c r="F106" i="1175"/>
  <c r="G106" i="1175"/>
  <c r="H106" i="1175"/>
  <c r="I106" i="1175"/>
  <c r="D107" i="1175"/>
  <c r="E107" i="1175"/>
  <c r="F107" i="1175"/>
  <c r="G107" i="1175"/>
  <c r="H107" i="1175"/>
  <c r="I107" i="1175"/>
  <c r="D108" i="1175"/>
  <c r="E108" i="1175"/>
  <c r="F108" i="1175"/>
  <c r="G108" i="1175"/>
  <c r="H108" i="1175"/>
  <c r="I108" i="1175"/>
  <c r="D109" i="1175"/>
  <c r="E109" i="1175"/>
  <c r="F109" i="1175"/>
  <c r="G109" i="1175"/>
  <c r="H109" i="1175"/>
  <c r="I109" i="1175"/>
  <c r="D110" i="1175"/>
  <c r="E110" i="1175"/>
  <c r="F110" i="1175"/>
  <c r="G110" i="1175"/>
  <c r="H110" i="1175"/>
  <c r="I110" i="1175"/>
  <c r="D111" i="1175"/>
  <c r="E111" i="1175"/>
  <c r="F111" i="1175"/>
  <c r="G111" i="1175"/>
  <c r="H111" i="1175"/>
  <c r="I111" i="1175"/>
  <c r="D112" i="1175"/>
  <c r="E112" i="1175"/>
  <c r="F112" i="1175"/>
  <c r="G112" i="1175"/>
  <c r="H112" i="1175"/>
  <c r="I112" i="1175"/>
  <c r="D113" i="1175"/>
  <c r="E113" i="1175"/>
  <c r="F113" i="1175"/>
  <c r="G113" i="1175"/>
  <c r="H113" i="1175"/>
  <c r="I113" i="1175"/>
  <c r="D114" i="1175"/>
  <c r="E114" i="1175"/>
  <c r="F114" i="1175"/>
  <c r="G114" i="1175"/>
  <c r="H114" i="1175"/>
  <c r="I114" i="1175"/>
  <c r="D115" i="1175"/>
  <c r="E115" i="1175"/>
  <c r="F115" i="1175"/>
  <c r="G115" i="1175"/>
  <c r="H115" i="1175"/>
  <c r="I115" i="1175"/>
  <c r="D116" i="1175"/>
  <c r="E116" i="1175"/>
  <c r="F116" i="1175"/>
  <c r="G116" i="1175"/>
  <c r="H116" i="1175"/>
  <c r="I116" i="1175"/>
  <c r="D117" i="1175"/>
  <c r="E117" i="1175"/>
  <c r="F117" i="1175"/>
  <c r="G117" i="1175"/>
  <c r="H117" i="1175"/>
  <c r="I117" i="1175"/>
  <c r="D118" i="1175"/>
  <c r="E118" i="1175"/>
  <c r="F118" i="1175"/>
  <c r="G118" i="1175"/>
  <c r="H118" i="1175"/>
  <c r="I118" i="1175"/>
  <c r="D119" i="1175"/>
  <c r="E119" i="1175"/>
  <c r="F119" i="1175"/>
  <c r="G119" i="1175"/>
  <c r="H119" i="1175"/>
  <c r="I119" i="1175"/>
  <c r="D120" i="1175"/>
  <c r="E120" i="1175"/>
  <c r="F120" i="1175"/>
  <c r="G120" i="1175"/>
  <c r="H120" i="1175"/>
  <c r="I120" i="1175"/>
  <c r="D121" i="1175"/>
  <c r="E121" i="1175"/>
  <c r="F121" i="1175"/>
  <c r="G121" i="1175"/>
  <c r="H121" i="1175"/>
  <c r="I121" i="1175"/>
  <c r="D122" i="1175"/>
  <c r="E122" i="1175"/>
  <c r="F122" i="1175"/>
  <c r="G122" i="1175"/>
  <c r="H122" i="1175"/>
  <c r="I122" i="1175"/>
  <c r="D123" i="1175"/>
  <c r="E123" i="1175"/>
  <c r="F123" i="1175"/>
  <c r="G123" i="1175"/>
  <c r="H123" i="1175"/>
  <c r="I123" i="1175"/>
  <c r="D124" i="1175"/>
  <c r="E124" i="1175"/>
  <c r="F124" i="1175"/>
  <c r="G124" i="1175"/>
  <c r="H124" i="1175"/>
  <c r="I124" i="1175"/>
  <c r="D125" i="1175"/>
  <c r="E125" i="1175"/>
  <c r="F125" i="1175"/>
  <c r="G125" i="1175"/>
  <c r="H125" i="1175"/>
  <c r="I125" i="1175"/>
  <c r="D126" i="1175"/>
  <c r="E126" i="1175"/>
  <c r="F126" i="1175"/>
  <c r="G126" i="1175"/>
  <c r="H126" i="1175"/>
  <c r="I126" i="1175"/>
  <c r="D127" i="1175"/>
  <c r="E127" i="1175"/>
  <c r="F127" i="1175"/>
  <c r="G127" i="1175"/>
  <c r="H127" i="1175"/>
  <c r="I127" i="1175"/>
  <c r="D128" i="1175"/>
  <c r="E128" i="1175"/>
  <c r="F128" i="1175"/>
  <c r="G128" i="1175"/>
  <c r="H128" i="1175"/>
  <c r="I128" i="1175"/>
  <c r="D129" i="1175"/>
  <c r="E129" i="1175"/>
  <c r="F129" i="1175"/>
  <c r="G129" i="1175"/>
  <c r="H129" i="1175"/>
  <c r="I129" i="1175"/>
  <c r="D130" i="1175"/>
  <c r="E130" i="1175"/>
  <c r="F130" i="1175"/>
  <c r="G130" i="1175"/>
  <c r="H130" i="1175"/>
  <c r="I130" i="1175"/>
  <c r="D131" i="1175"/>
  <c r="E131" i="1175"/>
  <c r="F131" i="1175"/>
  <c r="G131" i="1175"/>
  <c r="H131" i="1175"/>
  <c r="I131" i="1175"/>
  <c r="D132" i="1175"/>
  <c r="E132" i="1175"/>
  <c r="F132" i="1175"/>
  <c r="G132" i="1175"/>
  <c r="H132" i="1175"/>
  <c r="I132" i="1175"/>
  <c r="D133" i="1175"/>
  <c r="E133" i="1175"/>
  <c r="F133" i="1175"/>
  <c r="G133" i="1175"/>
  <c r="H133" i="1175"/>
  <c r="I133" i="1175"/>
  <c r="D134" i="1175"/>
  <c r="E134" i="1175"/>
  <c r="F134" i="1175"/>
  <c r="G134" i="1175"/>
  <c r="H134" i="1175"/>
  <c r="I134" i="1175"/>
  <c r="D135" i="1175"/>
  <c r="E135" i="1175"/>
  <c r="F135" i="1175"/>
  <c r="G135" i="1175"/>
  <c r="H135" i="1175"/>
  <c r="I135" i="1175"/>
  <c r="D136" i="1175"/>
  <c r="E136" i="1175"/>
  <c r="F136" i="1175"/>
  <c r="G136" i="1175"/>
  <c r="H136" i="1175"/>
  <c r="I136" i="1175"/>
  <c r="D137" i="1175"/>
  <c r="E137" i="1175"/>
  <c r="F137" i="1175"/>
  <c r="G137" i="1175"/>
  <c r="H137" i="1175"/>
  <c r="I137" i="1175"/>
  <c r="D138" i="1175"/>
  <c r="E138" i="1175"/>
  <c r="F138" i="1175"/>
  <c r="G138" i="1175"/>
  <c r="H138" i="1175"/>
  <c r="I138" i="1175"/>
  <c r="D139" i="1175"/>
  <c r="E139" i="1175"/>
  <c r="F139" i="1175"/>
  <c r="G139" i="1175"/>
  <c r="H139" i="1175"/>
  <c r="I139" i="1175"/>
  <c r="D140" i="1175"/>
  <c r="E140" i="1175"/>
  <c r="F140" i="1175"/>
  <c r="G140" i="1175"/>
  <c r="H140" i="1175"/>
  <c r="I140" i="1175"/>
  <c r="D141" i="1175"/>
  <c r="E141" i="1175"/>
  <c r="F141" i="1175"/>
  <c r="G141" i="1175"/>
  <c r="H141" i="1175"/>
  <c r="I141" i="1175"/>
  <c r="D142" i="1175"/>
  <c r="E142" i="1175"/>
  <c r="F142" i="1175"/>
  <c r="G142" i="1175"/>
  <c r="H142" i="1175"/>
  <c r="I142" i="1175"/>
  <c r="D143" i="1175"/>
  <c r="E143" i="1175"/>
  <c r="F143" i="1175"/>
  <c r="G143" i="1175"/>
  <c r="H143" i="1175"/>
  <c r="I143" i="1175"/>
  <c r="D144" i="1175"/>
  <c r="E144" i="1175"/>
  <c r="F144" i="1175"/>
  <c r="G144" i="1175"/>
  <c r="H144" i="1175"/>
  <c r="I144" i="1175"/>
  <c r="D145" i="1175"/>
  <c r="E145" i="1175"/>
  <c r="F145" i="1175"/>
  <c r="G145" i="1175"/>
  <c r="H145" i="1175"/>
  <c r="I145" i="1175"/>
  <c r="D146" i="1175"/>
  <c r="E146" i="1175"/>
  <c r="F146" i="1175"/>
  <c r="G146" i="1175"/>
  <c r="H146" i="1175"/>
  <c r="I146" i="1175"/>
  <c r="D147" i="1175"/>
  <c r="E147" i="1175"/>
  <c r="F147" i="1175"/>
  <c r="G147" i="1175"/>
  <c r="H147" i="1175"/>
  <c r="I147" i="1175"/>
  <c r="D148" i="1175"/>
  <c r="E148" i="1175"/>
  <c r="F148" i="1175"/>
  <c r="G148" i="1175"/>
  <c r="H148" i="1175"/>
  <c r="I148" i="1175"/>
  <c r="D149" i="1175"/>
  <c r="E149" i="1175"/>
  <c r="F149" i="1175"/>
  <c r="G149" i="1175"/>
  <c r="H149" i="1175"/>
  <c r="I149" i="1175"/>
  <c r="D150" i="1175"/>
  <c r="E150" i="1175"/>
  <c r="F150" i="1175"/>
  <c r="G150" i="1175"/>
  <c r="H150" i="1175"/>
  <c r="I150" i="1175"/>
  <c r="D151" i="1175"/>
  <c r="E151" i="1175"/>
  <c r="F151" i="1175"/>
  <c r="G151" i="1175"/>
  <c r="H151" i="1175"/>
  <c r="I151" i="1175"/>
  <c r="D152" i="1175"/>
  <c r="E152" i="1175"/>
  <c r="F152" i="1175"/>
  <c r="G152" i="1175"/>
  <c r="H152" i="1175"/>
  <c r="I152" i="1175"/>
  <c r="D153" i="1175"/>
  <c r="E153" i="1175"/>
  <c r="F153" i="1175"/>
  <c r="G153" i="1175"/>
  <c r="H153" i="1175"/>
  <c r="I153" i="1175"/>
  <c r="D154" i="1175"/>
  <c r="E154" i="1175"/>
  <c r="F154" i="1175"/>
  <c r="G154" i="1175"/>
  <c r="H154" i="1175"/>
  <c r="I154" i="1175"/>
  <c r="D155" i="1175"/>
  <c r="E155" i="1175"/>
  <c r="F155" i="1175"/>
  <c r="G155" i="1175"/>
  <c r="H155" i="1175"/>
  <c r="I155" i="1175"/>
  <c r="D156" i="1175"/>
  <c r="E156" i="1175"/>
  <c r="F156" i="1175"/>
  <c r="G156" i="1175"/>
  <c r="H156" i="1175"/>
  <c r="I156" i="1175"/>
  <c r="D157" i="1175"/>
  <c r="E157" i="1175"/>
  <c r="F157" i="1175"/>
  <c r="G157" i="1175"/>
  <c r="H157" i="1175"/>
  <c r="I157" i="1175"/>
  <c r="D158" i="1175"/>
  <c r="E158" i="1175"/>
  <c r="F158" i="1175"/>
  <c r="G158" i="1175"/>
  <c r="H158" i="1175"/>
  <c r="I158" i="1175"/>
  <c r="D159" i="1175"/>
  <c r="E159" i="1175"/>
  <c r="F159" i="1175"/>
  <c r="G159" i="1175"/>
  <c r="H159" i="1175"/>
  <c r="I159" i="1175"/>
  <c r="D160" i="1175"/>
  <c r="E160" i="1175"/>
  <c r="F160" i="1175"/>
  <c r="G160" i="1175"/>
  <c r="H160" i="1175"/>
  <c r="I160" i="1175"/>
  <c r="D161" i="1175"/>
  <c r="E161" i="1175"/>
  <c r="F161" i="1175"/>
  <c r="G161" i="1175"/>
  <c r="H161" i="1175"/>
  <c r="I161" i="1175"/>
  <c r="D162" i="1175"/>
  <c r="E162" i="1175"/>
  <c r="F162" i="1175"/>
  <c r="G162" i="1175"/>
  <c r="H162" i="1175"/>
  <c r="I162" i="1175"/>
  <c r="D163" i="1175"/>
  <c r="E163" i="1175"/>
  <c r="F163" i="1175"/>
  <c r="G163" i="1175"/>
  <c r="H163" i="1175"/>
  <c r="I163" i="1175"/>
  <c r="D164" i="1175"/>
  <c r="E164" i="1175"/>
  <c r="F164" i="1175"/>
  <c r="G164" i="1175"/>
  <c r="H164" i="1175"/>
  <c r="I164" i="1175"/>
  <c r="D165" i="1175"/>
  <c r="E165" i="1175"/>
  <c r="F165" i="1175"/>
  <c r="G165" i="1175"/>
  <c r="H165" i="1175"/>
  <c r="I165" i="1175"/>
  <c r="D166" i="1175"/>
  <c r="E166" i="1175"/>
  <c r="F166" i="1175"/>
  <c r="G166" i="1175"/>
  <c r="H166" i="1175"/>
  <c r="I166" i="1175"/>
  <c r="D167" i="1175"/>
  <c r="E167" i="1175"/>
  <c r="F167" i="1175"/>
  <c r="G167" i="1175"/>
  <c r="H167" i="1175"/>
  <c r="I167" i="1175"/>
  <c r="D168" i="1175"/>
  <c r="E168" i="1175"/>
  <c r="F168" i="1175"/>
  <c r="G168" i="1175"/>
  <c r="H168" i="1175"/>
  <c r="I168" i="1175"/>
  <c r="D169" i="1175"/>
  <c r="E169" i="1175"/>
  <c r="F169" i="1175"/>
  <c r="G169" i="1175"/>
  <c r="H169" i="1175"/>
  <c r="I169" i="1175"/>
  <c r="D170" i="1175"/>
  <c r="E170" i="1175"/>
  <c r="F170" i="1175"/>
  <c r="G170" i="1175"/>
  <c r="H170" i="1175"/>
  <c r="I170" i="1175"/>
  <c r="D171" i="1175"/>
  <c r="E171" i="1175"/>
  <c r="F171" i="1175"/>
  <c r="G171" i="1175"/>
  <c r="H171" i="1175"/>
  <c r="I171" i="1175"/>
  <c r="D172" i="1175"/>
  <c r="E172" i="1175"/>
  <c r="F172" i="1175"/>
  <c r="G172" i="1175"/>
  <c r="H172" i="1175"/>
  <c r="I172" i="1175"/>
  <c r="D173" i="1175"/>
  <c r="E173" i="1175"/>
  <c r="F173" i="1175"/>
  <c r="G173" i="1175"/>
  <c r="H173" i="1175"/>
  <c r="I173" i="1175"/>
  <c r="D174" i="1175"/>
  <c r="E174" i="1175"/>
  <c r="F174" i="1175"/>
  <c r="G174" i="1175"/>
  <c r="H174" i="1175"/>
  <c r="I174" i="1175"/>
  <c r="D175" i="1175"/>
  <c r="E175" i="1175"/>
  <c r="F175" i="1175"/>
  <c r="G175" i="1175"/>
  <c r="H175" i="1175"/>
  <c r="I175" i="1175"/>
  <c r="D176" i="1175"/>
  <c r="E176" i="1175"/>
  <c r="F176" i="1175"/>
  <c r="G176" i="1175"/>
  <c r="H176" i="1175"/>
  <c r="I176" i="1175"/>
  <c r="D177" i="1175"/>
  <c r="E177" i="1175"/>
  <c r="F177" i="1175"/>
  <c r="G177" i="1175"/>
  <c r="H177" i="1175"/>
  <c r="I177" i="1175"/>
  <c r="D178" i="1175"/>
  <c r="E178" i="1175"/>
  <c r="F178" i="1175"/>
  <c r="G178" i="1175"/>
  <c r="H178" i="1175"/>
  <c r="I178" i="1175"/>
  <c r="D179" i="1175"/>
  <c r="E179" i="1175"/>
  <c r="F179" i="1175"/>
  <c r="G179" i="1175"/>
  <c r="H179" i="1175"/>
  <c r="I179" i="1175"/>
  <c r="D180" i="1175"/>
  <c r="E180" i="1175"/>
  <c r="F180" i="1175"/>
  <c r="G180" i="1175"/>
  <c r="H180" i="1175"/>
  <c r="I180" i="1175"/>
  <c r="D181" i="1175"/>
  <c r="E181" i="1175"/>
  <c r="F181" i="1175"/>
  <c r="G181" i="1175"/>
  <c r="H181" i="1175"/>
  <c r="I181" i="1175"/>
  <c r="D182" i="1175"/>
  <c r="E182" i="1175"/>
  <c r="F182" i="1175"/>
  <c r="G182" i="1175"/>
  <c r="H182" i="1175"/>
  <c r="I182" i="1175"/>
  <c r="D183" i="1175"/>
  <c r="E183" i="1175"/>
  <c r="F183" i="1175"/>
  <c r="G183" i="1175"/>
  <c r="H183" i="1175"/>
  <c r="I183" i="1175"/>
  <c r="D184" i="1175"/>
  <c r="E184" i="1175"/>
  <c r="F184" i="1175"/>
  <c r="G184" i="1175"/>
  <c r="H184" i="1175"/>
  <c r="I184" i="1175"/>
  <c r="D185" i="1175"/>
  <c r="E185" i="1175"/>
  <c r="F185" i="1175"/>
  <c r="G185" i="1175"/>
  <c r="H185" i="1175"/>
  <c r="I185" i="1175"/>
  <c r="D186" i="1175"/>
  <c r="E186" i="1175"/>
  <c r="F186" i="1175"/>
  <c r="G186" i="1175"/>
  <c r="H186" i="1175"/>
  <c r="I186" i="1175"/>
  <c r="D187" i="1175"/>
  <c r="E187" i="1175"/>
  <c r="F187" i="1175"/>
  <c r="G187" i="1175"/>
  <c r="H187" i="1175"/>
  <c r="I187" i="1175"/>
  <c r="D188" i="1175"/>
  <c r="E188" i="1175"/>
  <c r="F188" i="1175"/>
  <c r="G188" i="1175"/>
  <c r="H188" i="1175"/>
  <c r="I188" i="1175"/>
  <c r="D189" i="1175"/>
  <c r="E189" i="1175"/>
  <c r="F189" i="1175"/>
  <c r="G189" i="1175"/>
  <c r="H189" i="1175"/>
  <c r="I189" i="1175"/>
  <c r="D190" i="1175"/>
  <c r="E190" i="1175"/>
  <c r="F190" i="1175"/>
  <c r="G190" i="1175"/>
  <c r="H190" i="1175"/>
  <c r="I190" i="1175"/>
  <c r="D191" i="1175"/>
  <c r="E191" i="1175"/>
  <c r="F191" i="1175"/>
  <c r="G191" i="1175"/>
  <c r="H191" i="1175"/>
  <c r="I191" i="1175"/>
  <c r="D192" i="1175"/>
  <c r="E192" i="1175"/>
  <c r="F192" i="1175"/>
  <c r="G192" i="1175"/>
  <c r="H192" i="1175"/>
  <c r="I192" i="1175"/>
  <c r="D193" i="1175"/>
  <c r="E193" i="1175"/>
  <c r="F193" i="1175"/>
  <c r="G193" i="1175"/>
  <c r="H193" i="1175"/>
  <c r="I193" i="1175"/>
  <c r="D194" i="1175"/>
  <c r="E194" i="1175"/>
  <c r="F194" i="1175"/>
  <c r="G194" i="1175"/>
  <c r="H194" i="1175"/>
  <c r="I194" i="1175"/>
  <c r="D195" i="1175"/>
  <c r="E195" i="1175"/>
  <c r="F195" i="1175"/>
  <c r="G195" i="1175"/>
  <c r="H195" i="1175"/>
  <c r="I195" i="1175"/>
  <c r="D196" i="1175"/>
  <c r="E196" i="1175"/>
  <c r="F196" i="1175"/>
  <c r="G196" i="1175"/>
  <c r="H196" i="1175"/>
  <c r="I196" i="1175"/>
  <c r="D197" i="1175"/>
  <c r="E197" i="1175"/>
  <c r="F197" i="1175"/>
  <c r="G197" i="1175"/>
  <c r="H197" i="1175"/>
  <c r="I197" i="1175"/>
  <c r="D198" i="1175"/>
  <c r="E198" i="1175"/>
  <c r="F198" i="1175"/>
  <c r="G198" i="1175"/>
  <c r="H198" i="1175"/>
  <c r="I198" i="1175"/>
  <c r="D199" i="1175"/>
  <c r="E199" i="1175"/>
  <c r="F199" i="1175"/>
  <c r="G199" i="1175"/>
  <c r="H199" i="1175"/>
  <c r="I199" i="1175"/>
  <c r="D200" i="1175"/>
  <c r="E200" i="1175"/>
  <c r="F200" i="1175"/>
  <c r="G200" i="1175"/>
  <c r="H200" i="1175"/>
  <c r="I200" i="1175"/>
  <c r="D201" i="1175"/>
  <c r="E201" i="1175"/>
  <c r="F201" i="1175"/>
  <c r="G201" i="1175"/>
  <c r="H201" i="1175"/>
  <c r="I201" i="1175"/>
  <c r="D202" i="1175"/>
  <c r="E202" i="1175"/>
  <c r="F202" i="1175"/>
  <c r="G202" i="1175"/>
  <c r="H202" i="1175"/>
  <c r="I202" i="1175"/>
  <c r="D203" i="1175"/>
  <c r="E203" i="1175"/>
  <c r="F203" i="1175"/>
  <c r="G203" i="1175"/>
  <c r="H203" i="1175"/>
  <c r="I203" i="1175"/>
  <c r="D204" i="1175"/>
  <c r="E204" i="1175"/>
  <c r="F204" i="1175"/>
  <c r="G204" i="1175"/>
  <c r="H204" i="1175"/>
  <c r="I204" i="1175"/>
  <c r="D205" i="1175"/>
  <c r="E205" i="1175"/>
  <c r="F205" i="1175"/>
  <c r="G205" i="1175"/>
  <c r="H205" i="1175"/>
  <c r="I205" i="1175"/>
  <c r="D206" i="1175"/>
  <c r="E206" i="1175"/>
  <c r="F206" i="1175"/>
  <c r="G206" i="1175"/>
  <c r="H206" i="1175"/>
  <c r="I206" i="1175"/>
  <c r="D207" i="1175"/>
  <c r="E207" i="1175"/>
  <c r="F207" i="1175"/>
  <c r="G207" i="1175"/>
  <c r="H207" i="1175"/>
  <c r="I207" i="1175"/>
  <c r="D208" i="1175"/>
  <c r="E208" i="1175"/>
  <c r="F208" i="1175"/>
  <c r="G208" i="1175"/>
  <c r="H208" i="1175"/>
  <c r="I208" i="1175"/>
  <c r="D209" i="1175"/>
  <c r="E209" i="1175"/>
  <c r="F209" i="1175"/>
  <c r="G209" i="1175"/>
  <c r="H209" i="1175"/>
  <c r="I209" i="1175"/>
  <c r="D210" i="1175"/>
  <c r="E210" i="1175"/>
  <c r="F210" i="1175"/>
  <c r="G210" i="1175"/>
  <c r="H210" i="1175"/>
  <c r="I210" i="1175"/>
  <c r="D211" i="1175"/>
  <c r="E211" i="1175"/>
  <c r="F211" i="1175"/>
  <c r="G211" i="1175"/>
  <c r="H211" i="1175"/>
  <c r="I211" i="1175"/>
  <c r="D212" i="1175"/>
  <c r="E212" i="1175"/>
  <c r="F212" i="1175"/>
  <c r="G212" i="1175"/>
  <c r="H212" i="1175"/>
  <c r="I212" i="1175"/>
  <c r="D213" i="1175"/>
  <c r="E213" i="1175"/>
  <c r="F213" i="1175"/>
  <c r="G213" i="1175"/>
  <c r="H213" i="1175"/>
  <c r="I213" i="1175"/>
  <c r="D214" i="1175"/>
  <c r="E214" i="1175"/>
  <c r="F214" i="1175"/>
  <c r="G214" i="1175"/>
  <c r="H214" i="1175"/>
  <c r="I214" i="1175"/>
  <c r="D215" i="1175"/>
  <c r="E215" i="1175"/>
  <c r="F215" i="1175"/>
  <c r="G215" i="1175"/>
  <c r="H215" i="1175"/>
  <c r="I215" i="1175"/>
  <c r="D216" i="1175"/>
  <c r="E216" i="1175"/>
  <c r="F216" i="1175"/>
  <c r="G216" i="1175"/>
  <c r="H216" i="1175"/>
  <c r="I216" i="1175"/>
  <c r="D217" i="1175"/>
  <c r="E217" i="1175"/>
  <c r="F217" i="1175"/>
  <c r="G217" i="1175"/>
  <c r="H217" i="1175"/>
  <c r="I217" i="1175"/>
  <c r="D218" i="1175"/>
  <c r="E218" i="1175"/>
  <c r="F218" i="1175"/>
  <c r="G218" i="1175"/>
  <c r="H218" i="1175"/>
  <c r="I218" i="1175"/>
  <c r="D219" i="1175"/>
  <c r="E219" i="1175"/>
  <c r="F219" i="1175"/>
  <c r="G219" i="1175"/>
  <c r="H219" i="1175"/>
  <c r="I219" i="1175"/>
  <c r="D220" i="1175"/>
  <c r="E220" i="1175"/>
  <c r="F220" i="1175"/>
  <c r="G220" i="1175"/>
  <c r="H220" i="1175"/>
  <c r="I220" i="1175"/>
  <c r="D221" i="1175"/>
  <c r="E221" i="1175"/>
  <c r="F221" i="1175"/>
  <c r="G221" i="1175"/>
  <c r="H221" i="1175"/>
  <c r="I221" i="1175"/>
  <c r="D222" i="1175"/>
  <c r="E222" i="1175"/>
  <c r="F222" i="1175"/>
  <c r="G222" i="1175"/>
  <c r="H222" i="1175"/>
  <c r="I222" i="1175"/>
  <c r="D223" i="1175"/>
  <c r="E223" i="1175"/>
  <c r="F223" i="1175"/>
  <c r="G223" i="1175"/>
  <c r="H223" i="1175"/>
  <c r="I223" i="1175"/>
  <c r="D224" i="1175"/>
  <c r="E224" i="1175"/>
  <c r="F224" i="1175"/>
  <c r="G224" i="1175"/>
  <c r="H224" i="1175"/>
  <c r="I224" i="1175"/>
  <c r="D225" i="1175"/>
  <c r="E225" i="1175"/>
  <c r="F225" i="1175"/>
  <c r="G225" i="1175"/>
  <c r="H225" i="1175"/>
  <c r="I225" i="1175"/>
  <c r="D226" i="1175"/>
  <c r="E226" i="1175"/>
  <c r="F226" i="1175"/>
  <c r="G226" i="1175"/>
  <c r="H226" i="1175"/>
  <c r="I226" i="1175"/>
  <c r="D227" i="1175"/>
  <c r="E227" i="1175"/>
  <c r="F227" i="1175"/>
  <c r="G227" i="1175"/>
  <c r="H227" i="1175"/>
  <c r="I227" i="1175"/>
  <c r="D228" i="1175"/>
  <c r="E228" i="1175"/>
  <c r="F228" i="1175"/>
  <c r="G228" i="1175"/>
  <c r="H228" i="1175"/>
  <c r="I228" i="1175"/>
  <c r="D229" i="1175"/>
  <c r="E229" i="1175"/>
  <c r="F229" i="1175"/>
  <c r="G229" i="1175"/>
  <c r="H229" i="1175"/>
  <c r="I229" i="1175"/>
  <c r="D230" i="1175"/>
  <c r="E230" i="1175"/>
  <c r="F230" i="1175"/>
  <c r="G230" i="1175"/>
  <c r="H230" i="1175"/>
  <c r="I230" i="1175"/>
  <c r="D231" i="1175"/>
  <c r="E231" i="1175"/>
  <c r="F231" i="1175"/>
  <c r="G231" i="1175"/>
  <c r="H231" i="1175"/>
  <c r="I231" i="1175"/>
  <c r="D232" i="1175"/>
  <c r="E232" i="1175"/>
  <c r="F232" i="1175"/>
  <c r="G232" i="1175"/>
  <c r="H232" i="1175"/>
  <c r="I232" i="1175"/>
  <c r="D233" i="1175"/>
  <c r="E233" i="1175"/>
  <c r="F233" i="1175"/>
  <c r="G233" i="1175"/>
  <c r="H233" i="1175"/>
  <c r="I233" i="1175"/>
  <c r="D234" i="1175"/>
  <c r="E234" i="1175"/>
  <c r="F234" i="1175"/>
  <c r="G234" i="1175"/>
  <c r="H234" i="1175"/>
  <c r="I234" i="1175"/>
  <c r="D235" i="1175"/>
  <c r="E235" i="1175"/>
  <c r="F235" i="1175"/>
  <c r="G235" i="1175"/>
  <c r="H235" i="1175"/>
  <c r="I235" i="1175"/>
  <c r="D236" i="1175"/>
  <c r="E236" i="1175"/>
  <c r="F236" i="1175"/>
  <c r="G236" i="1175"/>
  <c r="H236" i="1175"/>
  <c r="I236" i="1175"/>
  <c r="D237" i="1175"/>
  <c r="E237" i="1175"/>
  <c r="F237" i="1175"/>
  <c r="G237" i="1175"/>
  <c r="H237" i="1175"/>
  <c r="I237" i="1175"/>
  <c r="D238" i="1175"/>
  <c r="E238" i="1175"/>
  <c r="F238" i="1175"/>
  <c r="G238" i="1175"/>
  <c r="H238" i="1175"/>
  <c r="I238" i="1175"/>
  <c r="D239" i="1175"/>
  <c r="E239" i="1175"/>
  <c r="F239" i="1175"/>
  <c r="G239" i="1175"/>
  <c r="H239" i="1175"/>
  <c r="I239" i="1175"/>
  <c r="D240" i="1175"/>
  <c r="E240" i="1175"/>
  <c r="F240" i="1175"/>
  <c r="G240" i="1175"/>
  <c r="H240" i="1175"/>
  <c r="I240" i="1175"/>
  <c r="D241" i="1175"/>
  <c r="E241" i="1175"/>
  <c r="F241" i="1175"/>
  <c r="G241" i="1175"/>
  <c r="H241" i="1175"/>
  <c r="I241" i="1175"/>
  <c r="D242" i="1175"/>
  <c r="E242" i="1175"/>
  <c r="F242" i="1175"/>
  <c r="G242" i="1175"/>
  <c r="H242" i="1175"/>
  <c r="I242" i="1175"/>
  <c r="D243" i="1175"/>
  <c r="E243" i="1175"/>
  <c r="F243" i="1175"/>
  <c r="G243" i="1175"/>
  <c r="H243" i="1175"/>
  <c r="I243" i="1175"/>
  <c r="D244" i="1175"/>
  <c r="E244" i="1175"/>
  <c r="F244" i="1175"/>
  <c r="G244" i="1175"/>
  <c r="H244" i="1175"/>
  <c r="I244" i="1175"/>
  <c r="D245" i="1175"/>
  <c r="E245" i="1175"/>
  <c r="F245" i="1175"/>
  <c r="G245" i="1175"/>
  <c r="H245" i="1175"/>
  <c r="I245" i="1175"/>
  <c r="D246" i="1175"/>
  <c r="E246" i="1175"/>
  <c r="F246" i="1175"/>
  <c r="G246" i="1175"/>
  <c r="H246" i="1175"/>
  <c r="I246" i="1175"/>
  <c r="D247" i="1175"/>
  <c r="E247" i="1175"/>
  <c r="F247" i="1175"/>
  <c r="G247" i="1175"/>
  <c r="H247" i="1175"/>
  <c r="I247" i="1175"/>
  <c r="D248" i="1175"/>
  <c r="E248" i="1175"/>
  <c r="F248" i="1175"/>
  <c r="G248" i="1175"/>
  <c r="H248" i="1175"/>
  <c r="I248" i="1175"/>
  <c r="D249" i="1175"/>
  <c r="E249" i="1175"/>
  <c r="F249" i="1175"/>
  <c r="G249" i="1175"/>
  <c r="H249" i="1175"/>
  <c r="I249" i="1175"/>
  <c r="D250" i="1175"/>
  <c r="E250" i="1175"/>
  <c r="F250" i="1175"/>
  <c r="G250" i="1175"/>
  <c r="H250" i="1175"/>
  <c r="I250" i="1175"/>
  <c r="D251" i="1175"/>
  <c r="E251" i="1175"/>
  <c r="F251" i="1175"/>
  <c r="G251" i="1175"/>
  <c r="H251" i="1175"/>
  <c r="I251" i="1175"/>
  <c r="D252" i="1175"/>
  <c r="E252" i="1175"/>
  <c r="F252" i="1175"/>
  <c r="G252" i="1175"/>
  <c r="H252" i="1175"/>
  <c r="I252" i="1175"/>
  <c r="D253" i="1175"/>
  <c r="E253" i="1175"/>
  <c r="F253" i="1175"/>
  <c r="G253" i="1175"/>
  <c r="H253" i="1175"/>
  <c r="I253" i="1175"/>
  <c r="D254" i="1175"/>
  <c r="E254" i="1175"/>
  <c r="F254" i="1175"/>
  <c r="G254" i="1175"/>
  <c r="H254" i="1175"/>
  <c r="I254" i="1175"/>
  <c r="D255" i="1175"/>
  <c r="E255" i="1175"/>
  <c r="F255" i="1175"/>
  <c r="G255" i="1175"/>
  <c r="H255" i="1175"/>
  <c r="I255" i="1175"/>
  <c r="D256" i="1175"/>
  <c r="E256" i="1175"/>
  <c r="F256" i="1175"/>
  <c r="G256" i="1175"/>
  <c r="H256" i="1175"/>
  <c r="I256" i="1175"/>
  <c r="D257" i="1175"/>
  <c r="E257" i="1175"/>
  <c r="F257" i="1175"/>
  <c r="G257" i="1175"/>
  <c r="H257" i="1175"/>
  <c r="I257" i="1175"/>
  <c r="D258" i="1175"/>
  <c r="E258" i="1175"/>
  <c r="F258" i="1175"/>
  <c r="G258" i="1175"/>
  <c r="H258" i="1175"/>
  <c r="I258" i="1175"/>
  <c r="D259" i="1175"/>
  <c r="E259" i="1175"/>
  <c r="F259" i="1175"/>
  <c r="G259" i="1175"/>
  <c r="H259" i="1175"/>
  <c r="I259" i="1175"/>
  <c r="D260" i="1175"/>
  <c r="E260" i="1175"/>
  <c r="F260" i="1175"/>
  <c r="G260" i="1175"/>
  <c r="H260" i="1175"/>
  <c r="I260" i="1175"/>
  <c r="D261" i="1175"/>
  <c r="E261" i="1175"/>
  <c r="F261" i="1175"/>
  <c r="G261" i="1175"/>
  <c r="H261" i="1175"/>
  <c r="I261" i="1175"/>
  <c r="D262" i="1175"/>
  <c r="E262" i="1175"/>
  <c r="F262" i="1175"/>
  <c r="G262" i="1175"/>
  <c r="H262" i="1175"/>
  <c r="I262" i="1175"/>
  <c r="D263" i="1175"/>
  <c r="E263" i="1175"/>
  <c r="F263" i="1175"/>
  <c r="G263" i="1175"/>
  <c r="H263" i="1175"/>
  <c r="I263" i="1175"/>
  <c r="D264" i="1175"/>
  <c r="E264" i="1175"/>
  <c r="F264" i="1175"/>
  <c r="G264" i="1175"/>
  <c r="H264" i="1175"/>
  <c r="I264" i="1175"/>
  <c r="D265" i="1175"/>
  <c r="E265" i="1175"/>
  <c r="F265" i="1175"/>
  <c r="G265" i="1175"/>
  <c r="H265" i="1175"/>
  <c r="I265" i="1175"/>
  <c r="D266" i="1175"/>
  <c r="E266" i="1175"/>
  <c r="F266" i="1175"/>
  <c r="G266" i="1175"/>
  <c r="H266" i="1175"/>
  <c r="I266" i="1175"/>
  <c r="D267" i="1175"/>
  <c r="E267" i="1175"/>
  <c r="F267" i="1175"/>
  <c r="G267" i="1175"/>
  <c r="H267" i="1175"/>
  <c r="I267" i="1175"/>
  <c r="D268" i="1175"/>
  <c r="E268" i="1175"/>
  <c r="F268" i="1175"/>
  <c r="G268" i="1175"/>
  <c r="H268" i="1175"/>
  <c r="I268" i="1175"/>
  <c r="D269" i="1175"/>
  <c r="E269" i="1175"/>
  <c r="F269" i="1175"/>
  <c r="G269" i="1175"/>
  <c r="H269" i="1175"/>
  <c r="I269" i="1175"/>
  <c r="D270" i="1175"/>
  <c r="E270" i="1175"/>
  <c r="F270" i="1175"/>
  <c r="G270" i="1175"/>
  <c r="H270" i="1175"/>
  <c r="I270" i="1175"/>
  <c r="D271" i="1175"/>
  <c r="E271" i="1175"/>
  <c r="F271" i="1175"/>
  <c r="G271" i="1175"/>
  <c r="H271" i="1175"/>
  <c r="I271" i="1175"/>
  <c r="D272" i="1175"/>
  <c r="E272" i="1175"/>
  <c r="F272" i="1175"/>
  <c r="G272" i="1175"/>
  <c r="H272" i="1175"/>
  <c r="I272" i="1175"/>
  <c r="D273" i="1175"/>
  <c r="E273" i="1175"/>
  <c r="F273" i="1175"/>
  <c r="G273" i="1175"/>
  <c r="H273" i="1175"/>
  <c r="I273" i="1175"/>
  <c r="D274" i="1175"/>
  <c r="E274" i="1175"/>
  <c r="F274" i="1175"/>
  <c r="G274" i="1175"/>
  <c r="H274" i="1175"/>
  <c r="I274" i="1175"/>
  <c r="D275" i="1175"/>
  <c r="E275" i="1175"/>
  <c r="F275" i="1175"/>
  <c r="G275" i="1175"/>
  <c r="H275" i="1175"/>
  <c r="I275" i="1175"/>
  <c r="D276" i="1175"/>
  <c r="E276" i="1175"/>
  <c r="F276" i="1175"/>
  <c r="G276" i="1175"/>
  <c r="H276" i="1175"/>
  <c r="I276" i="1175"/>
  <c r="D277" i="1175"/>
  <c r="E277" i="1175"/>
  <c r="F277" i="1175"/>
  <c r="G277" i="1175"/>
  <c r="H277" i="1175"/>
  <c r="I277" i="1175"/>
  <c r="D278" i="1175"/>
  <c r="E278" i="1175"/>
  <c r="F278" i="1175"/>
  <c r="G278" i="1175"/>
  <c r="H278" i="1175"/>
  <c r="I278" i="1175"/>
  <c r="D279" i="1175"/>
  <c r="E279" i="1175"/>
  <c r="F279" i="1175"/>
  <c r="G279" i="1175"/>
  <c r="H279" i="1175"/>
  <c r="I279" i="1175"/>
  <c r="D280" i="1175"/>
  <c r="E280" i="1175"/>
  <c r="F280" i="1175"/>
  <c r="G280" i="1175"/>
  <c r="H280" i="1175"/>
  <c r="I280" i="1175"/>
  <c r="D281" i="1175"/>
  <c r="E281" i="1175"/>
  <c r="F281" i="1175"/>
  <c r="G281" i="1175"/>
  <c r="H281" i="1175"/>
  <c r="I281" i="1175"/>
  <c r="D282" i="1175"/>
  <c r="E282" i="1175"/>
  <c r="F282" i="1175"/>
  <c r="G282" i="1175"/>
  <c r="H282" i="1175"/>
  <c r="I282" i="1175"/>
  <c r="D283" i="1175"/>
  <c r="E283" i="1175"/>
  <c r="F283" i="1175"/>
  <c r="G283" i="1175"/>
  <c r="H283" i="1175"/>
  <c r="I283" i="1175"/>
  <c r="D284" i="1175"/>
  <c r="E284" i="1175"/>
  <c r="F284" i="1175"/>
  <c r="G284" i="1175"/>
  <c r="H284" i="1175"/>
  <c r="I284" i="1175"/>
  <c r="D285" i="1175"/>
  <c r="E285" i="1175"/>
  <c r="F285" i="1175"/>
  <c r="G285" i="1175"/>
  <c r="H285" i="1175"/>
  <c r="I285" i="1175"/>
  <c r="D286" i="1175"/>
  <c r="E286" i="1175"/>
  <c r="F286" i="1175"/>
  <c r="G286" i="1175"/>
  <c r="H286" i="1175"/>
  <c r="I286" i="1175"/>
  <c r="D287" i="1175"/>
  <c r="E287" i="1175"/>
  <c r="F287" i="1175"/>
  <c r="G287" i="1175"/>
  <c r="H287" i="1175"/>
  <c r="I287" i="1175"/>
  <c r="D288" i="1175"/>
  <c r="E288" i="1175"/>
  <c r="F288" i="1175"/>
  <c r="G288" i="1175"/>
  <c r="H288" i="1175"/>
  <c r="I288" i="1175"/>
  <c r="D289" i="1175"/>
  <c r="E289" i="1175"/>
  <c r="F289" i="1175"/>
  <c r="G289" i="1175"/>
  <c r="H289" i="1175"/>
  <c r="I289" i="1175"/>
  <c r="D290" i="1175"/>
  <c r="E290" i="1175"/>
  <c r="F290" i="1175"/>
  <c r="G290" i="1175"/>
  <c r="H290" i="1175"/>
  <c r="I290" i="1175"/>
  <c r="D291" i="1175"/>
  <c r="E291" i="1175"/>
  <c r="F291" i="1175"/>
  <c r="G291" i="1175"/>
  <c r="H291" i="1175"/>
  <c r="I291" i="1175"/>
  <c r="D292" i="1175"/>
  <c r="E292" i="1175"/>
  <c r="F292" i="1175"/>
  <c r="G292" i="1175"/>
  <c r="H292" i="1175"/>
  <c r="I292" i="1175"/>
  <c r="D293" i="1175"/>
  <c r="E293" i="1175"/>
  <c r="F293" i="1175"/>
  <c r="G293" i="1175"/>
  <c r="H293" i="1175"/>
  <c r="I293" i="1175"/>
  <c r="D294" i="1175"/>
  <c r="E294" i="1175"/>
  <c r="F294" i="1175"/>
  <c r="G294" i="1175"/>
  <c r="H294" i="1175"/>
  <c r="I294" i="1175"/>
  <c r="D295" i="1175"/>
  <c r="E295" i="1175"/>
  <c r="F295" i="1175"/>
  <c r="G295" i="1175"/>
  <c r="H295" i="1175"/>
  <c r="I295" i="1175"/>
  <c r="D296" i="1175"/>
  <c r="E296" i="1175"/>
  <c r="F296" i="1175"/>
  <c r="G296" i="1175"/>
  <c r="H296" i="1175"/>
  <c r="I296" i="1175"/>
  <c r="D297" i="1175"/>
  <c r="E297" i="1175"/>
  <c r="F297" i="1175"/>
  <c r="G297" i="1175"/>
  <c r="H297" i="1175"/>
  <c r="I297" i="1175"/>
  <c r="D298" i="1175"/>
  <c r="E298" i="1175"/>
  <c r="F298" i="1175"/>
  <c r="G298" i="1175"/>
  <c r="H298" i="1175"/>
  <c r="I298" i="1175"/>
  <c r="D299" i="1175"/>
  <c r="E299" i="1175"/>
  <c r="F299" i="1175"/>
  <c r="G299" i="1175"/>
  <c r="H299" i="1175"/>
  <c r="I299" i="1175"/>
  <c r="D300" i="1175"/>
  <c r="E300" i="1175"/>
  <c r="F300" i="1175"/>
  <c r="G300" i="1175"/>
  <c r="H300" i="1175"/>
  <c r="I300" i="1175"/>
  <c r="D301" i="1175"/>
  <c r="E301" i="1175"/>
  <c r="F301" i="1175"/>
  <c r="G301" i="1175"/>
  <c r="H301" i="1175"/>
  <c r="I301" i="1175"/>
  <c r="D302" i="1175"/>
  <c r="E302" i="1175"/>
  <c r="F302" i="1175"/>
  <c r="G302" i="1175"/>
  <c r="H302" i="1175"/>
  <c r="I302" i="1175"/>
  <c r="D303" i="1175"/>
  <c r="E303" i="1175"/>
  <c r="F303" i="1175"/>
  <c r="G303" i="1175"/>
  <c r="H303" i="1175"/>
  <c r="I303" i="1175"/>
  <c r="D304" i="1175"/>
  <c r="E304" i="1175"/>
  <c r="F304" i="1175"/>
  <c r="G304" i="1175"/>
  <c r="H304" i="1175"/>
  <c r="I304" i="1175"/>
  <c r="D305" i="1175"/>
  <c r="E305" i="1175"/>
  <c r="F305" i="1175"/>
  <c r="G305" i="1175"/>
  <c r="H305" i="1175"/>
  <c r="I305" i="1175"/>
  <c r="D306" i="1175"/>
  <c r="E306" i="1175"/>
  <c r="F306" i="1175"/>
  <c r="G306" i="1175"/>
  <c r="H306" i="1175"/>
  <c r="I306" i="1175"/>
  <c r="D307" i="1175"/>
  <c r="E307" i="1175"/>
  <c r="F307" i="1175"/>
  <c r="G307" i="1175"/>
  <c r="H307" i="1175"/>
  <c r="I307" i="1175"/>
  <c r="D308" i="1175"/>
  <c r="E308" i="1175"/>
  <c r="F308" i="1175"/>
  <c r="G308" i="1175"/>
  <c r="H308" i="1175"/>
  <c r="I308" i="1175"/>
  <c r="D309" i="1175"/>
  <c r="E309" i="1175"/>
  <c r="F309" i="1175"/>
  <c r="G309" i="1175"/>
  <c r="H309" i="1175"/>
  <c r="I309" i="1175"/>
  <c r="D310" i="1175"/>
  <c r="E310" i="1175"/>
  <c r="F310" i="1175"/>
  <c r="G310" i="1175"/>
  <c r="H310" i="1175"/>
  <c r="I310" i="1175"/>
  <c r="D311" i="1175"/>
  <c r="E311" i="1175"/>
  <c r="F311" i="1175"/>
  <c r="G311" i="1175"/>
  <c r="H311" i="1175"/>
  <c r="I311" i="1175"/>
  <c r="D312" i="1175"/>
  <c r="E312" i="1175"/>
  <c r="F312" i="1175"/>
  <c r="G312" i="1175"/>
  <c r="H312" i="1175"/>
  <c r="I312" i="1175"/>
  <c r="D313" i="1175"/>
  <c r="E313" i="1175"/>
  <c r="F313" i="1175"/>
  <c r="G313" i="1175"/>
  <c r="H313" i="1175"/>
  <c r="I313" i="1175"/>
  <c r="D314" i="1175"/>
  <c r="E314" i="1175"/>
  <c r="F314" i="1175"/>
  <c r="G314" i="1175"/>
  <c r="H314" i="1175"/>
  <c r="I314" i="1175"/>
  <c r="D315" i="1175"/>
  <c r="E315" i="1175"/>
  <c r="F315" i="1175"/>
  <c r="G315" i="1175"/>
  <c r="H315" i="1175"/>
  <c r="I315" i="1175"/>
  <c r="D316" i="1175"/>
  <c r="E316" i="1175"/>
  <c r="F316" i="1175"/>
  <c r="G316" i="1175"/>
  <c r="H316" i="1175"/>
  <c r="I316" i="1175"/>
  <c r="D317" i="1175"/>
  <c r="E317" i="1175"/>
  <c r="F317" i="1175"/>
  <c r="G317" i="1175"/>
  <c r="H317" i="1175"/>
  <c r="I317" i="1175"/>
  <c r="D318" i="1175"/>
  <c r="E318" i="1175"/>
  <c r="F318" i="1175"/>
  <c r="G318" i="1175"/>
  <c r="H318" i="1175"/>
  <c r="I318" i="1175"/>
  <c r="D319" i="1175"/>
  <c r="E319" i="1175"/>
  <c r="F319" i="1175"/>
  <c r="G319" i="1175"/>
  <c r="H319" i="1175"/>
  <c r="I319" i="1175"/>
  <c r="D320" i="1175"/>
  <c r="E320" i="1175"/>
  <c r="F320" i="1175"/>
  <c r="G320" i="1175"/>
  <c r="H320" i="1175"/>
  <c r="I320" i="1175"/>
  <c r="D321" i="1175"/>
  <c r="E321" i="1175"/>
  <c r="F321" i="1175"/>
  <c r="G321" i="1175"/>
  <c r="H321" i="1175"/>
  <c r="I321" i="1175"/>
  <c r="D322" i="1175"/>
  <c r="E322" i="1175"/>
  <c r="F322" i="1175"/>
  <c r="G322" i="1175"/>
  <c r="H322" i="1175"/>
  <c r="I322" i="1175"/>
  <c r="D323" i="1175"/>
  <c r="E323" i="1175"/>
  <c r="F323" i="1175"/>
  <c r="G323" i="1175"/>
  <c r="H323" i="1175"/>
  <c r="I323" i="1175"/>
  <c r="D324" i="1175"/>
  <c r="E324" i="1175"/>
  <c r="F324" i="1175"/>
  <c r="G324" i="1175"/>
  <c r="H324" i="1175"/>
  <c r="I324" i="1175"/>
  <c r="D325" i="1175"/>
  <c r="E325" i="1175"/>
  <c r="F325" i="1175"/>
  <c r="G325" i="1175"/>
  <c r="H325" i="1175"/>
  <c r="I325" i="1175"/>
  <c r="D326" i="1175"/>
  <c r="E326" i="1175"/>
  <c r="F326" i="1175"/>
  <c r="G326" i="1175"/>
  <c r="H326" i="1175"/>
  <c r="I326" i="1175"/>
  <c r="D327" i="1175"/>
  <c r="E327" i="1175"/>
  <c r="F327" i="1175"/>
  <c r="G327" i="1175"/>
  <c r="H327" i="1175"/>
  <c r="I327" i="1175"/>
  <c r="D328" i="1175"/>
  <c r="E328" i="1175"/>
  <c r="F328" i="1175"/>
  <c r="G328" i="1175"/>
  <c r="H328" i="1175"/>
  <c r="I328" i="1175"/>
  <c r="D329" i="1175"/>
  <c r="E329" i="1175"/>
  <c r="F329" i="1175"/>
  <c r="G329" i="1175"/>
  <c r="H329" i="1175"/>
  <c r="I329" i="1175"/>
  <c r="D330" i="1175"/>
  <c r="E330" i="1175"/>
  <c r="F330" i="1175"/>
  <c r="G330" i="1175"/>
  <c r="H330" i="1175"/>
  <c r="I330" i="1175"/>
  <c r="D331" i="1175"/>
  <c r="E331" i="1175"/>
  <c r="F331" i="1175"/>
  <c r="G331" i="1175"/>
  <c r="H331" i="1175"/>
  <c r="I331" i="1175"/>
  <c r="D332" i="1175"/>
  <c r="E332" i="1175"/>
  <c r="F332" i="1175"/>
  <c r="G332" i="1175"/>
  <c r="H332" i="1175"/>
  <c r="I332" i="1175"/>
  <c r="D333" i="1175"/>
  <c r="E333" i="1175"/>
  <c r="F333" i="1175"/>
  <c r="G333" i="1175"/>
  <c r="H333" i="1175"/>
  <c r="I333" i="1175"/>
  <c r="D334" i="1175"/>
  <c r="E334" i="1175"/>
  <c r="F334" i="1175"/>
  <c r="G334" i="1175"/>
  <c r="H334" i="1175"/>
  <c r="I334" i="1175"/>
  <c r="D335" i="1175"/>
  <c r="E335" i="1175"/>
  <c r="F335" i="1175"/>
  <c r="G335" i="1175"/>
  <c r="H335" i="1175"/>
  <c r="I335" i="1175"/>
  <c r="D336" i="1175"/>
  <c r="E336" i="1175"/>
  <c r="F336" i="1175"/>
  <c r="G336" i="1175"/>
  <c r="H336" i="1175"/>
  <c r="I336" i="1175"/>
  <c r="D337" i="1175"/>
  <c r="E337" i="1175"/>
  <c r="F337" i="1175"/>
  <c r="G337" i="1175"/>
  <c r="H337" i="1175"/>
  <c r="I337" i="1175"/>
  <c r="D338" i="1175"/>
  <c r="E338" i="1175"/>
  <c r="F338" i="1175"/>
  <c r="G338" i="1175"/>
  <c r="H338" i="1175"/>
  <c r="I338" i="1175"/>
  <c r="D339" i="1175"/>
  <c r="E339" i="1175"/>
  <c r="F339" i="1175"/>
  <c r="G339" i="1175"/>
  <c r="H339" i="1175"/>
  <c r="I339" i="1175"/>
  <c r="D340" i="1175"/>
  <c r="E340" i="1175"/>
  <c r="F340" i="1175"/>
  <c r="G340" i="1175"/>
  <c r="H340" i="1175"/>
  <c r="I340" i="1175"/>
  <c r="D341" i="1175"/>
  <c r="E341" i="1175"/>
  <c r="F341" i="1175"/>
  <c r="G341" i="1175"/>
  <c r="H341" i="1175"/>
  <c r="I341" i="1175"/>
  <c r="D342" i="1175"/>
  <c r="E342" i="1175"/>
  <c r="F342" i="1175"/>
  <c r="G342" i="1175"/>
  <c r="H342" i="1175"/>
  <c r="I342" i="1175"/>
  <c r="D343" i="1175"/>
  <c r="E343" i="1175"/>
  <c r="F343" i="1175"/>
  <c r="G343" i="1175"/>
  <c r="H343" i="1175"/>
  <c r="I343" i="1175"/>
  <c r="D344" i="1175"/>
  <c r="E344" i="1175"/>
  <c r="F344" i="1175"/>
  <c r="G344" i="1175"/>
  <c r="H344" i="1175"/>
  <c r="I344" i="1175"/>
  <c r="D345" i="1175"/>
  <c r="E345" i="1175"/>
  <c r="F345" i="1175"/>
  <c r="G345" i="1175"/>
  <c r="H345" i="1175"/>
  <c r="I345" i="1175"/>
  <c r="D346" i="1175"/>
  <c r="E346" i="1175"/>
  <c r="F346" i="1175"/>
  <c r="G346" i="1175"/>
  <c r="H346" i="1175"/>
  <c r="I346" i="1175"/>
  <c r="D347" i="1175"/>
  <c r="E347" i="1175"/>
  <c r="F347" i="1175"/>
  <c r="G347" i="1175"/>
  <c r="H347" i="1175"/>
  <c r="I347" i="1175"/>
  <c r="D348" i="1175"/>
  <c r="E348" i="1175"/>
  <c r="F348" i="1175"/>
  <c r="G348" i="1175"/>
  <c r="H348" i="1175"/>
  <c r="I348" i="1175"/>
  <c r="D349" i="1175"/>
  <c r="E349" i="1175"/>
  <c r="F349" i="1175"/>
  <c r="G349" i="1175"/>
  <c r="H349" i="1175"/>
  <c r="I349" i="1175"/>
  <c r="D350" i="1175"/>
  <c r="E350" i="1175"/>
  <c r="F350" i="1175"/>
  <c r="G350" i="1175"/>
  <c r="H350" i="1175"/>
  <c r="I350" i="1175"/>
  <c r="D351" i="1175"/>
  <c r="E351" i="1175"/>
  <c r="F351" i="1175"/>
  <c r="G351" i="1175"/>
  <c r="H351" i="1175"/>
  <c r="I351" i="1175"/>
  <c r="D352" i="1175"/>
  <c r="E352" i="1175"/>
  <c r="F352" i="1175"/>
  <c r="G352" i="1175"/>
  <c r="H352" i="1175"/>
  <c r="I352" i="1175"/>
  <c r="D353" i="1175"/>
  <c r="E353" i="1175"/>
  <c r="F353" i="1175"/>
  <c r="G353" i="1175"/>
  <c r="H353" i="1175"/>
  <c r="I353" i="1175"/>
  <c r="D354" i="1175"/>
  <c r="E354" i="1175"/>
  <c r="F354" i="1175"/>
  <c r="G354" i="1175"/>
  <c r="H354" i="1175"/>
  <c r="I354" i="1175"/>
  <c r="D355" i="1175"/>
  <c r="E355" i="1175"/>
  <c r="F355" i="1175"/>
  <c r="G355" i="1175"/>
  <c r="H355" i="1175"/>
  <c r="I355" i="1175"/>
  <c r="D356" i="1175"/>
  <c r="E356" i="1175"/>
  <c r="F356" i="1175"/>
  <c r="G356" i="1175"/>
  <c r="H356" i="1175"/>
  <c r="I356" i="1175"/>
  <c r="D357" i="1175"/>
  <c r="E357" i="1175"/>
  <c r="F357" i="1175"/>
  <c r="G357" i="1175"/>
  <c r="H357" i="1175"/>
  <c r="I357" i="1175"/>
  <c r="D358" i="1175"/>
  <c r="E358" i="1175"/>
  <c r="F358" i="1175"/>
  <c r="G358" i="1175"/>
  <c r="H358" i="1175"/>
  <c r="I358" i="1175"/>
  <c r="D359" i="1175"/>
  <c r="E359" i="1175"/>
  <c r="F359" i="1175"/>
  <c r="G359" i="1175"/>
  <c r="H359" i="1175"/>
  <c r="I359" i="1175"/>
  <c r="D360" i="1175"/>
  <c r="E360" i="1175"/>
  <c r="F360" i="1175"/>
  <c r="G360" i="1175"/>
  <c r="H360" i="1175"/>
  <c r="I360" i="1175"/>
  <c r="D361" i="1175"/>
  <c r="E361" i="1175"/>
  <c r="F361" i="1175"/>
  <c r="G361" i="1175"/>
  <c r="H361" i="1175"/>
  <c r="I361" i="1175"/>
  <c r="D362" i="1175"/>
  <c r="E362" i="1175"/>
  <c r="F362" i="1175"/>
  <c r="G362" i="1175"/>
  <c r="H362" i="1175"/>
  <c r="I362" i="1175"/>
  <c r="D363" i="1175"/>
  <c r="E363" i="1175"/>
  <c r="F363" i="1175"/>
  <c r="G363" i="1175"/>
  <c r="H363" i="1175"/>
  <c r="I363" i="1175"/>
  <c r="D364" i="1175"/>
  <c r="E364" i="1175"/>
  <c r="F364" i="1175"/>
  <c r="G364" i="1175"/>
  <c r="H364" i="1175"/>
  <c r="I364" i="1175"/>
  <c r="D365" i="1175"/>
  <c r="E365" i="1175"/>
  <c r="F365" i="1175"/>
  <c r="G365" i="1175"/>
  <c r="H365" i="1175"/>
  <c r="I365" i="1175"/>
  <c r="D366" i="1175"/>
  <c r="E366" i="1175"/>
  <c r="F366" i="1175"/>
  <c r="G366" i="1175"/>
  <c r="H366" i="1175"/>
  <c r="I366" i="1175"/>
  <c r="D367" i="1175"/>
  <c r="E367" i="1175"/>
  <c r="F367" i="1175"/>
  <c r="G367" i="1175"/>
  <c r="H367" i="1175"/>
  <c r="I367" i="1175"/>
  <c r="D368" i="1175"/>
  <c r="E368" i="1175"/>
  <c r="F368" i="1175"/>
  <c r="G368" i="1175"/>
  <c r="H368" i="1175"/>
  <c r="I368" i="1175"/>
  <c r="D369" i="1175"/>
  <c r="E369" i="1175"/>
  <c r="F369" i="1175"/>
  <c r="G369" i="1175"/>
  <c r="H369" i="1175"/>
  <c r="I369" i="1175"/>
  <c r="D370" i="1175"/>
  <c r="E370" i="1175"/>
  <c r="F370" i="1175"/>
  <c r="G370" i="1175"/>
  <c r="H370" i="1175"/>
  <c r="I370" i="1175"/>
  <c r="D371" i="1175"/>
  <c r="E371" i="1175"/>
  <c r="F371" i="1175"/>
  <c r="G371" i="1175"/>
  <c r="H371" i="1175"/>
  <c r="I371" i="1175"/>
  <c r="D372" i="1175"/>
  <c r="E372" i="1175"/>
  <c r="F372" i="1175"/>
  <c r="G372" i="1175"/>
  <c r="H372" i="1175"/>
  <c r="I372" i="1175"/>
  <c r="D373" i="1175"/>
  <c r="E373" i="1175"/>
  <c r="F373" i="1175"/>
  <c r="G373" i="1175"/>
  <c r="H373" i="1175"/>
  <c r="I373" i="1175"/>
  <c r="D374" i="1175"/>
  <c r="E374" i="1175"/>
  <c r="F374" i="1175"/>
  <c r="G374" i="1175"/>
  <c r="H374" i="1175"/>
  <c r="I374" i="1175"/>
  <c r="D375" i="1175"/>
  <c r="E375" i="1175"/>
  <c r="F375" i="1175"/>
  <c r="G375" i="1175"/>
  <c r="H375" i="1175"/>
  <c r="I375" i="1175"/>
  <c r="D376" i="1175"/>
  <c r="E376" i="1175"/>
  <c r="F376" i="1175"/>
  <c r="G376" i="1175"/>
  <c r="H376" i="1175"/>
  <c r="I376" i="1175"/>
  <c r="D377" i="1175"/>
  <c r="E377" i="1175"/>
  <c r="F377" i="1175"/>
  <c r="G377" i="1175"/>
  <c r="H377" i="1175"/>
  <c r="I377" i="1175"/>
  <c r="D378" i="1175"/>
  <c r="E378" i="1175"/>
  <c r="F378" i="1175"/>
  <c r="G378" i="1175"/>
  <c r="H378" i="1175"/>
  <c r="I378" i="1175"/>
  <c r="D379" i="1175"/>
  <c r="E379" i="1175"/>
  <c r="F379" i="1175"/>
  <c r="G379" i="1175"/>
  <c r="H379" i="1175"/>
  <c r="I379" i="1175"/>
  <c r="D380" i="1175"/>
  <c r="E380" i="1175"/>
  <c r="F380" i="1175"/>
  <c r="G380" i="1175"/>
  <c r="H380" i="1175"/>
  <c r="I380" i="1175"/>
  <c r="D381" i="1175"/>
  <c r="E381" i="1175"/>
  <c r="F381" i="1175"/>
  <c r="G381" i="1175"/>
  <c r="H381" i="1175"/>
  <c r="I381" i="1175"/>
  <c r="D382" i="1175"/>
  <c r="E382" i="1175"/>
  <c r="F382" i="1175"/>
  <c r="G382" i="1175"/>
  <c r="H382" i="1175"/>
  <c r="I382" i="1175"/>
  <c r="D383" i="1175"/>
  <c r="E383" i="1175"/>
  <c r="F383" i="1175"/>
  <c r="G383" i="1175"/>
  <c r="H383" i="1175"/>
  <c r="I383" i="1175"/>
  <c r="D384" i="1175"/>
  <c r="E384" i="1175"/>
  <c r="F384" i="1175"/>
  <c r="G384" i="1175"/>
  <c r="H384" i="1175"/>
  <c r="I384" i="1175"/>
  <c r="D385" i="1175"/>
  <c r="E385" i="1175"/>
  <c r="F385" i="1175"/>
  <c r="G385" i="1175"/>
  <c r="H385" i="1175"/>
  <c r="I385" i="1175"/>
  <c r="D386" i="1175"/>
  <c r="E386" i="1175"/>
  <c r="F386" i="1175"/>
  <c r="G386" i="1175"/>
  <c r="H386" i="1175"/>
  <c r="I386" i="1175"/>
  <c r="D387" i="1175"/>
  <c r="E387" i="1175"/>
  <c r="F387" i="1175"/>
  <c r="G387" i="1175"/>
  <c r="H387" i="1175"/>
  <c r="I387" i="1175"/>
  <c r="D388" i="1175"/>
  <c r="E388" i="1175"/>
  <c r="F388" i="1175"/>
  <c r="G388" i="1175"/>
  <c r="H388" i="1175"/>
  <c r="I388" i="1175"/>
  <c r="D389" i="1175"/>
  <c r="E389" i="1175"/>
  <c r="F389" i="1175"/>
  <c r="G389" i="1175"/>
  <c r="H389" i="1175"/>
  <c r="I389" i="1175"/>
  <c r="D390" i="1175"/>
  <c r="E390" i="1175"/>
  <c r="F390" i="1175"/>
  <c r="G390" i="1175"/>
  <c r="H390" i="1175"/>
  <c r="I390" i="1175"/>
  <c r="D391" i="1175"/>
  <c r="E391" i="1175"/>
  <c r="F391" i="1175"/>
  <c r="G391" i="1175"/>
  <c r="H391" i="1175"/>
  <c r="I391" i="1175"/>
  <c r="D392" i="1175"/>
  <c r="E392" i="1175"/>
  <c r="F392" i="1175"/>
  <c r="G392" i="1175"/>
  <c r="H392" i="1175"/>
  <c r="I392" i="1175"/>
  <c r="D393" i="1175"/>
  <c r="E393" i="1175"/>
  <c r="F393" i="1175"/>
  <c r="G393" i="1175"/>
  <c r="H393" i="1175"/>
  <c r="I393" i="1175"/>
  <c r="D394" i="1175"/>
  <c r="E394" i="1175"/>
  <c r="F394" i="1175"/>
  <c r="G394" i="1175"/>
  <c r="H394" i="1175"/>
  <c r="I394" i="1175"/>
  <c r="D395" i="1175"/>
  <c r="E395" i="1175"/>
  <c r="F395" i="1175"/>
  <c r="G395" i="1175"/>
  <c r="H395" i="1175"/>
  <c r="I395" i="1175"/>
  <c r="D396" i="1175"/>
  <c r="E396" i="1175"/>
  <c r="F396" i="1175"/>
  <c r="G396" i="1175"/>
  <c r="H396" i="1175"/>
  <c r="I396" i="1175"/>
  <c r="D397" i="1175"/>
  <c r="E397" i="1175"/>
  <c r="F397" i="1175"/>
  <c r="G397" i="1175"/>
  <c r="H397" i="1175"/>
  <c r="I397" i="1175"/>
  <c r="D398" i="1175"/>
  <c r="E398" i="1175"/>
  <c r="F398" i="1175"/>
  <c r="G398" i="1175"/>
  <c r="H398" i="1175"/>
  <c r="I398" i="1175"/>
  <c r="D399" i="1175"/>
  <c r="E399" i="1175"/>
  <c r="F399" i="1175"/>
  <c r="G399" i="1175"/>
  <c r="H399" i="1175"/>
  <c r="I399" i="1175"/>
  <c r="D400" i="1175"/>
  <c r="E400" i="1175"/>
  <c r="F400" i="1175"/>
  <c r="G400" i="1175"/>
  <c r="H400" i="1175"/>
  <c r="I400" i="1175"/>
  <c r="D401" i="1175"/>
  <c r="E401" i="1175"/>
  <c r="F401" i="1175"/>
  <c r="G401" i="1175"/>
  <c r="H401" i="1175"/>
  <c r="I401" i="1175"/>
  <c r="D402" i="1175"/>
  <c r="E402" i="1175"/>
  <c r="F402" i="1175"/>
  <c r="G402" i="1175"/>
  <c r="H402" i="1175"/>
  <c r="I402" i="1175"/>
  <c r="D403" i="1175"/>
  <c r="E403" i="1175"/>
  <c r="F403" i="1175"/>
  <c r="G403" i="1175"/>
  <c r="H403" i="1175"/>
  <c r="I403" i="1175"/>
  <c r="D404" i="1175"/>
  <c r="E404" i="1175"/>
  <c r="F404" i="1175"/>
  <c r="G404" i="1175"/>
  <c r="H404" i="1175"/>
  <c r="I404" i="1175"/>
  <c r="D405" i="1175"/>
  <c r="E405" i="1175"/>
  <c r="F405" i="1175"/>
  <c r="G405" i="1175"/>
  <c r="H405" i="1175"/>
  <c r="I405" i="1175"/>
  <c r="D406" i="1175"/>
  <c r="E406" i="1175"/>
  <c r="F406" i="1175"/>
  <c r="G406" i="1175"/>
  <c r="H406" i="1175"/>
  <c r="I406" i="1175"/>
  <c r="D407" i="1175"/>
  <c r="E407" i="1175"/>
  <c r="F407" i="1175"/>
  <c r="G407" i="1175"/>
  <c r="H407" i="1175"/>
  <c r="I407" i="1175"/>
  <c r="D408" i="1175"/>
  <c r="E408" i="1175"/>
  <c r="F408" i="1175"/>
  <c r="G408" i="1175"/>
  <c r="H408" i="1175"/>
  <c r="I408" i="1175"/>
  <c r="D409" i="1175"/>
  <c r="E409" i="1175"/>
  <c r="F409" i="1175"/>
  <c r="G409" i="1175"/>
  <c r="H409" i="1175"/>
  <c r="I409" i="1175"/>
  <c r="D410" i="1175"/>
  <c r="E410" i="1175"/>
  <c r="F410" i="1175"/>
  <c r="G410" i="1175"/>
  <c r="H410" i="1175"/>
  <c r="I410" i="1175"/>
  <c r="D411" i="1175"/>
  <c r="E411" i="1175"/>
  <c r="F411" i="1175"/>
  <c r="G411" i="1175"/>
  <c r="H411" i="1175"/>
  <c r="I411" i="1175"/>
  <c r="D412" i="1175"/>
  <c r="E412" i="1175"/>
  <c r="F412" i="1175"/>
  <c r="G412" i="1175"/>
  <c r="H412" i="1175"/>
  <c r="I412" i="1175"/>
  <c r="D413" i="1175"/>
  <c r="E413" i="1175"/>
  <c r="F413" i="1175"/>
  <c r="G413" i="1175"/>
  <c r="H413" i="1175"/>
  <c r="I413" i="1175"/>
  <c r="D414" i="1175"/>
  <c r="E414" i="1175"/>
  <c r="F414" i="1175"/>
  <c r="G414" i="1175"/>
  <c r="H414" i="1175"/>
  <c r="I414" i="1175"/>
  <c r="D415" i="1175"/>
  <c r="E415" i="1175"/>
  <c r="F415" i="1175"/>
  <c r="G415" i="1175"/>
  <c r="H415" i="1175"/>
  <c r="I415" i="1175"/>
  <c r="D416" i="1175"/>
  <c r="E416" i="1175"/>
  <c r="F416" i="1175"/>
  <c r="G416" i="1175"/>
  <c r="H416" i="1175"/>
  <c r="I416" i="1175"/>
  <c r="D417" i="1175"/>
  <c r="E417" i="1175"/>
  <c r="F417" i="1175"/>
  <c r="G417" i="1175"/>
  <c r="H417" i="1175"/>
  <c r="I417" i="1175"/>
  <c r="D418" i="1175"/>
  <c r="E418" i="1175"/>
  <c r="F418" i="1175"/>
  <c r="G418" i="1175"/>
  <c r="H418" i="1175"/>
  <c r="I418" i="1175"/>
  <c r="D419" i="1175"/>
  <c r="E419" i="1175"/>
  <c r="F419" i="1175"/>
  <c r="G419" i="1175"/>
  <c r="H419" i="1175"/>
  <c r="I419" i="1175"/>
  <c r="D420" i="1175"/>
  <c r="E420" i="1175"/>
  <c r="F420" i="1175"/>
  <c r="G420" i="1175"/>
  <c r="H420" i="1175"/>
  <c r="I420" i="1175"/>
  <c r="D421" i="1175"/>
  <c r="E421" i="1175"/>
  <c r="F421" i="1175"/>
  <c r="G421" i="1175"/>
  <c r="H421" i="1175"/>
  <c r="I421" i="1175"/>
  <c r="D422" i="1175"/>
  <c r="E422" i="1175"/>
  <c r="F422" i="1175"/>
  <c r="G422" i="1175"/>
  <c r="H422" i="1175"/>
  <c r="I422" i="1175"/>
  <c r="D423" i="1175"/>
  <c r="E423" i="1175"/>
  <c r="F423" i="1175"/>
  <c r="G423" i="1175"/>
  <c r="H423" i="1175"/>
  <c r="I423" i="1175"/>
  <c r="D424" i="1175"/>
  <c r="E424" i="1175"/>
  <c r="F424" i="1175"/>
  <c r="G424" i="1175"/>
  <c r="H424" i="1175"/>
  <c r="I424" i="1175"/>
  <c r="D425" i="1175"/>
  <c r="E425" i="1175"/>
  <c r="F425" i="1175"/>
  <c r="G425" i="1175"/>
  <c r="H425" i="1175"/>
  <c r="I425" i="1175"/>
  <c r="D426" i="1175"/>
  <c r="E426" i="1175"/>
  <c r="F426" i="1175"/>
  <c r="G426" i="1175"/>
  <c r="H426" i="1175"/>
  <c r="I426" i="1175"/>
  <c r="D427" i="1175"/>
  <c r="E427" i="1175"/>
  <c r="F427" i="1175"/>
  <c r="G427" i="1175"/>
  <c r="H427" i="1175"/>
  <c r="I427" i="1175"/>
  <c r="D428" i="1175"/>
  <c r="E428" i="1175"/>
  <c r="F428" i="1175"/>
  <c r="G428" i="1175"/>
  <c r="H428" i="1175"/>
  <c r="I428" i="1175"/>
  <c r="D429" i="1175"/>
  <c r="E429" i="1175"/>
  <c r="F429" i="1175"/>
  <c r="G429" i="1175"/>
  <c r="H429" i="1175"/>
  <c r="I429" i="1175"/>
  <c r="D430" i="1175"/>
  <c r="E430" i="1175"/>
  <c r="F430" i="1175"/>
  <c r="G430" i="1175"/>
  <c r="H430" i="1175"/>
  <c r="I430" i="1175"/>
  <c r="D431" i="1175"/>
  <c r="E431" i="1175"/>
  <c r="F431" i="1175"/>
  <c r="G431" i="1175"/>
  <c r="H431" i="1175"/>
  <c r="I431" i="1175"/>
  <c r="D432" i="1175"/>
  <c r="E432" i="1175"/>
  <c r="F432" i="1175"/>
  <c r="G432" i="1175"/>
  <c r="H432" i="1175"/>
  <c r="I432" i="1175"/>
  <c r="D433" i="1175"/>
  <c r="E433" i="1175"/>
  <c r="F433" i="1175"/>
  <c r="G433" i="1175"/>
  <c r="H433" i="1175"/>
  <c r="I433" i="1175"/>
  <c r="D434" i="1175"/>
  <c r="E434" i="1175"/>
  <c r="F434" i="1175"/>
  <c r="G434" i="1175"/>
  <c r="H434" i="1175"/>
  <c r="I434" i="1175"/>
  <c r="D435" i="1175"/>
  <c r="E435" i="1175"/>
  <c r="F435" i="1175"/>
  <c r="G435" i="1175"/>
  <c r="H435" i="1175"/>
  <c r="I435" i="1175"/>
  <c r="D436" i="1175"/>
  <c r="E436" i="1175"/>
  <c r="F436" i="1175"/>
  <c r="G436" i="1175"/>
  <c r="H436" i="1175"/>
  <c r="I436" i="1175"/>
  <c r="D437" i="1175"/>
  <c r="E437" i="1175"/>
  <c r="F437" i="1175"/>
  <c r="G437" i="1175"/>
  <c r="H437" i="1175"/>
  <c r="I437" i="1175"/>
  <c r="D438" i="1175"/>
  <c r="E438" i="1175"/>
  <c r="F438" i="1175"/>
  <c r="G438" i="1175"/>
  <c r="H438" i="1175"/>
  <c r="I438" i="1175"/>
  <c r="D439" i="1175"/>
  <c r="E439" i="1175"/>
  <c r="F439" i="1175"/>
  <c r="G439" i="1175"/>
  <c r="H439" i="1175"/>
  <c r="I439" i="1175"/>
  <c r="D440" i="1175"/>
  <c r="E440" i="1175"/>
  <c r="F440" i="1175"/>
  <c r="G440" i="1175"/>
  <c r="H440" i="1175"/>
  <c r="I440" i="1175"/>
  <c r="D441" i="1175"/>
  <c r="E441" i="1175"/>
  <c r="F441" i="1175"/>
  <c r="G441" i="1175"/>
  <c r="H441" i="1175"/>
  <c r="I441" i="1175"/>
  <c r="D442" i="1175"/>
  <c r="E442" i="1175"/>
  <c r="F442" i="1175"/>
  <c r="G442" i="1175"/>
  <c r="H442" i="1175"/>
  <c r="I442" i="1175"/>
  <c r="D443" i="1175"/>
  <c r="E443" i="1175"/>
  <c r="F443" i="1175"/>
  <c r="G443" i="1175"/>
  <c r="H443" i="1175"/>
  <c r="I443" i="1175"/>
  <c r="D444" i="1175"/>
  <c r="E444" i="1175"/>
  <c r="F444" i="1175"/>
  <c r="G444" i="1175"/>
  <c r="H444" i="1175"/>
  <c r="I444" i="1175"/>
  <c r="D445" i="1175"/>
  <c r="E445" i="1175"/>
  <c r="F445" i="1175"/>
  <c r="G445" i="1175"/>
  <c r="H445" i="1175"/>
  <c r="I445" i="1175"/>
  <c r="D446" i="1175"/>
  <c r="E446" i="1175"/>
  <c r="F446" i="1175"/>
  <c r="G446" i="1175"/>
  <c r="H446" i="1175"/>
  <c r="I446" i="1175"/>
  <c r="D447" i="1175"/>
  <c r="E447" i="1175"/>
  <c r="F447" i="1175"/>
  <c r="G447" i="1175"/>
  <c r="H447" i="1175"/>
  <c r="I447" i="1175"/>
  <c r="D448" i="1175"/>
  <c r="E448" i="1175"/>
  <c r="F448" i="1175"/>
  <c r="G448" i="1175"/>
  <c r="H448" i="1175"/>
  <c r="I448" i="1175"/>
  <c r="D449" i="1175"/>
  <c r="E449" i="1175"/>
  <c r="F449" i="1175"/>
  <c r="G449" i="1175"/>
  <c r="H449" i="1175"/>
  <c r="I449" i="1175"/>
  <c r="D450" i="1175"/>
  <c r="E450" i="1175"/>
  <c r="F450" i="1175"/>
  <c r="G450" i="1175"/>
  <c r="H450" i="1175"/>
  <c r="I450" i="1175"/>
  <c r="D451" i="1175"/>
  <c r="E451" i="1175"/>
  <c r="F451" i="1175"/>
  <c r="G451" i="1175"/>
  <c r="H451" i="1175"/>
  <c r="I451" i="1175"/>
  <c r="D452" i="1175"/>
  <c r="E452" i="1175"/>
  <c r="F452" i="1175"/>
  <c r="G452" i="1175"/>
  <c r="H452" i="1175"/>
  <c r="I452" i="1175"/>
  <c r="D453" i="1175"/>
  <c r="E453" i="1175"/>
  <c r="F453" i="1175"/>
  <c r="G453" i="1175"/>
  <c r="H453" i="1175"/>
  <c r="I453" i="1175"/>
  <c r="D454" i="1175"/>
  <c r="E454" i="1175"/>
  <c r="F454" i="1175"/>
  <c r="G454" i="1175"/>
  <c r="H454" i="1175"/>
  <c r="I454" i="1175"/>
  <c r="D455" i="1175"/>
  <c r="E455" i="1175"/>
  <c r="F455" i="1175"/>
  <c r="G455" i="1175"/>
  <c r="H455" i="1175"/>
  <c r="I455" i="1175"/>
  <c r="D456" i="1175"/>
  <c r="E456" i="1175"/>
  <c r="F456" i="1175"/>
  <c r="G456" i="1175"/>
  <c r="H456" i="1175"/>
  <c r="I456" i="1175"/>
  <c r="D457" i="1175"/>
  <c r="E457" i="1175"/>
  <c r="F457" i="1175"/>
  <c r="G457" i="1175"/>
  <c r="H457" i="1175"/>
  <c r="I457" i="1175"/>
  <c r="D458" i="1175"/>
  <c r="E458" i="1175"/>
  <c r="F458" i="1175"/>
  <c r="G458" i="1175"/>
  <c r="H458" i="1175"/>
  <c r="I458" i="1175"/>
  <c r="D459" i="1175"/>
  <c r="E459" i="1175"/>
  <c r="F459" i="1175"/>
  <c r="G459" i="1175"/>
  <c r="H459" i="1175"/>
  <c r="I459" i="1175"/>
  <c r="D460" i="1175"/>
  <c r="E460" i="1175"/>
  <c r="F460" i="1175"/>
  <c r="G460" i="1175"/>
  <c r="H460" i="1175"/>
  <c r="I460" i="1175"/>
  <c r="D461" i="1175"/>
  <c r="E461" i="1175"/>
  <c r="F461" i="1175"/>
  <c r="G461" i="1175"/>
  <c r="H461" i="1175"/>
  <c r="I461" i="1175"/>
  <c r="D462" i="1175"/>
  <c r="E462" i="1175"/>
  <c r="F462" i="1175"/>
  <c r="G462" i="1175"/>
  <c r="H462" i="1175"/>
  <c r="I462" i="1175"/>
  <c r="D463" i="1175"/>
  <c r="E463" i="1175"/>
  <c r="F463" i="1175"/>
  <c r="G463" i="1175"/>
  <c r="H463" i="1175"/>
  <c r="I463" i="1175"/>
  <c r="D464" i="1175"/>
  <c r="E464" i="1175"/>
  <c r="F464" i="1175"/>
  <c r="G464" i="1175"/>
  <c r="H464" i="1175"/>
  <c r="I464" i="1175"/>
  <c r="D465" i="1175"/>
  <c r="E465" i="1175"/>
  <c r="F465" i="1175"/>
  <c r="G465" i="1175"/>
  <c r="H465" i="1175"/>
  <c r="I465" i="1175"/>
  <c r="D466" i="1175"/>
  <c r="E466" i="1175"/>
  <c r="F466" i="1175"/>
  <c r="G466" i="1175"/>
  <c r="H466" i="1175"/>
  <c r="I466" i="1175"/>
  <c r="D467" i="1175"/>
  <c r="E467" i="1175"/>
  <c r="F467" i="1175"/>
  <c r="G467" i="1175"/>
  <c r="H467" i="1175"/>
  <c r="I467" i="1175"/>
  <c r="D468" i="1175"/>
  <c r="E468" i="1175"/>
  <c r="F468" i="1175"/>
  <c r="G468" i="1175"/>
  <c r="H468" i="1175"/>
  <c r="I468" i="1175"/>
  <c r="D469" i="1175"/>
  <c r="E469" i="1175"/>
  <c r="F469" i="1175"/>
  <c r="G469" i="1175"/>
  <c r="H469" i="1175"/>
  <c r="I469" i="1175"/>
  <c r="D470" i="1175"/>
  <c r="E470" i="1175"/>
  <c r="F470" i="1175"/>
  <c r="G470" i="1175"/>
  <c r="H470" i="1175"/>
  <c r="I470" i="1175"/>
  <c r="D471" i="1175"/>
  <c r="E471" i="1175"/>
  <c r="F471" i="1175"/>
  <c r="G471" i="1175"/>
  <c r="H471" i="1175"/>
  <c r="I471" i="1175"/>
  <c r="D472" i="1175"/>
  <c r="E472" i="1175"/>
  <c r="F472" i="1175"/>
  <c r="G472" i="1175"/>
  <c r="H472" i="1175"/>
  <c r="I472" i="1175"/>
  <c r="D473" i="1175"/>
  <c r="E473" i="1175"/>
  <c r="F473" i="1175"/>
  <c r="G473" i="1175"/>
  <c r="H473" i="1175"/>
  <c r="I473" i="1175"/>
  <c r="D474" i="1175"/>
  <c r="E474" i="1175"/>
  <c r="F474" i="1175"/>
  <c r="G474" i="1175"/>
  <c r="H474" i="1175"/>
  <c r="I474" i="1175"/>
  <c r="D475" i="1175"/>
  <c r="E475" i="1175"/>
  <c r="F475" i="1175"/>
  <c r="G475" i="1175"/>
  <c r="H475" i="1175"/>
  <c r="I475" i="1175"/>
  <c r="D476" i="1175"/>
  <c r="E476" i="1175"/>
  <c r="F476" i="1175"/>
  <c r="G476" i="1175"/>
  <c r="H476" i="1175"/>
  <c r="I476" i="1175"/>
  <c r="D477" i="1175"/>
  <c r="E477" i="1175"/>
  <c r="F477" i="1175"/>
  <c r="G477" i="1175"/>
  <c r="H477" i="1175"/>
  <c r="I477" i="1175"/>
  <c r="D478" i="1175"/>
  <c r="E478" i="1175"/>
  <c r="F478" i="1175"/>
  <c r="G478" i="1175"/>
  <c r="H478" i="1175"/>
  <c r="I478" i="1175"/>
  <c r="D479" i="1175"/>
  <c r="E479" i="1175"/>
  <c r="F479" i="1175"/>
  <c r="G479" i="1175"/>
  <c r="H479" i="1175"/>
  <c r="I479" i="1175"/>
  <c r="D480" i="1175"/>
  <c r="E480" i="1175"/>
  <c r="F480" i="1175"/>
  <c r="G480" i="1175"/>
  <c r="H480" i="1175"/>
  <c r="I480" i="1175"/>
  <c r="D481" i="1175"/>
  <c r="E481" i="1175"/>
  <c r="F481" i="1175"/>
  <c r="G481" i="1175"/>
  <c r="H481" i="1175"/>
  <c r="I481" i="1175"/>
  <c r="D482" i="1175"/>
  <c r="E482" i="1175"/>
  <c r="F482" i="1175"/>
  <c r="G482" i="1175"/>
  <c r="H482" i="1175"/>
  <c r="I482" i="1175"/>
  <c r="D483" i="1175"/>
  <c r="E483" i="1175"/>
  <c r="F483" i="1175"/>
  <c r="G483" i="1175"/>
  <c r="H483" i="1175"/>
  <c r="I483" i="1175"/>
  <c r="D484" i="1175"/>
  <c r="E484" i="1175"/>
  <c r="F484" i="1175"/>
  <c r="G484" i="1175"/>
  <c r="H484" i="1175"/>
  <c r="I484" i="1175"/>
  <c r="D485" i="1175"/>
  <c r="E485" i="1175"/>
  <c r="F485" i="1175"/>
  <c r="G485" i="1175"/>
  <c r="H485" i="1175"/>
  <c r="I485" i="1175"/>
  <c r="D486" i="1175"/>
  <c r="E486" i="1175"/>
  <c r="F486" i="1175"/>
  <c r="G486" i="1175"/>
  <c r="H486" i="1175"/>
  <c r="I486" i="1175"/>
  <c r="D487" i="1175"/>
  <c r="E487" i="1175"/>
  <c r="F487" i="1175"/>
  <c r="G487" i="1175"/>
  <c r="H487" i="1175"/>
  <c r="I487" i="1175"/>
  <c r="D488" i="1175"/>
  <c r="E488" i="1175"/>
  <c r="F488" i="1175"/>
  <c r="G488" i="1175"/>
  <c r="H488" i="1175"/>
  <c r="I488" i="1175"/>
  <c r="D489" i="1175"/>
  <c r="E489" i="1175"/>
  <c r="F489" i="1175"/>
  <c r="G489" i="1175"/>
  <c r="H489" i="1175"/>
  <c r="I489" i="1175"/>
  <c r="D490" i="1175"/>
  <c r="E490" i="1175"/>
  <c r="F490" i="1175"/>
  <c r="G490" i="1175"/>
  <c r="H490" i="1175"/>
  <c r="I490" i="1175"/>
  <c r="D491" i="1175"/>
  <c r="E491" i="1175"/>
  <c r="F491" i="1175"/>
  <c r="G491" i="1175"/>
  <c r="H491" i="1175"/>
  <c r="I491" i="1175"/>
  <c r="E492" i="1175"/>
  <c r="F492" i="1175"/>
  <c r="G492" i="1175"/>
  <c r="I492" i="1175"/>
  <c r="E493" i="1175"/>
  <c r="F493" i="1175"/>
  <c r="G493" i="1175"/>
  <c r="I493" i="1175"/>
  <c r="E494" i="1175"/>
  <c r="F494" i="1175"/>
  <c r="G494" i="1175"/>
  <c r="I494" i="1175"/>
  <c r="E495" i="1175"/>
  <c r="F495" i="1175"/>
  <c r="G495" i="1175"/>
  <c r="I495" i="1175"/>
  <c r="E496" i="1175"/>
  <c r="F496" i="1175"/>
  <c r="G496" i="1175"/>
  <c r="I496" i="1175"/>
  <c r="E497" i="1175"/>
  <c r="F497" i="1175"/>
  <c r="G497" i="1175"/>
  <c r="I497" i="1175"/>
  <c r="E498" i="1175"/>
  <c r="F498" i="1175"/>
  <c r="G498" i="1175"/>
  <c r="I498" i="1175"/>
  <c r="E499" i="1175"/>
  <c r="F499" i="1175"/>
  <c r="G499" i="1175"/>
  <c r="I499" i="1175"/>
  <c r="E500" i="1175"/>
  <c r="F500" i="1175"/>
  <c r="G500" i="1175"/>
  <c r="I500" i="1175"/>
  <c r="E501" i="1175"/>
  <c r="F501" i="1175"/>
  <c r="G501" i="1175"/>
  <c r="I501" i="1175"/>
  <c r="E502" i="1175"/>
  <c r="F502" i="1175"/>
  <c r="G502" i="1175"/>
  <c r="I502" i="1175"/>
  <c r="E503" i="1175"/>
  <c r="F503" i="1175"/>
  <c r="G503" i="1175"/>
  <c r="I503" i="1175"/>
  <c r="E504" i="1175"/>
  <c r="F504" i="1175"/>
  <c r="G504" i="1175"/>
  <c r="I504" i="1175"/>
  <c r="E505" i="1175"/>
  <c r="F505" i="1175"/>
  <c r="G505" i="1175"/>
  <c r="I505" i="1175"/>
  <c r="E506" i="1175"/>
  <c r="F506" i="1175"/>
  <c r="G506" i="1175"/>
  <c r="I506" i="1175"/>
  <c r="E507" i="1175"/>
  <c r="F507" i="1175"/>
  <c r="G507" i="1175"/>
  <c r="I507" i="1175"/>
  <c r="B1" i="1440"/>
  <c r="D1" i="1440"/>
  <c r="A7" i="1440"/>
  <c r="G5" i="1440"/>
  <c r="O5" i="1440"/>
  <c r="K5" i="1440"/>
  <c r="A8" i="1440"/>
  <c r="A9" i="1440"/>
  <c r="A10" i="1440"/>
  <c r="N6" i="1440"/>
  <c r="C1" i="1646"/>
  <c r="H2" i="1646"/>
  <c r="K2" i="1646"/>
  <c r="A11" i="1440" l="1"/>
  <c r="D7" i="1440" l="1"/>
  <c r="U8" i="1440"/>
  <c r="T8" i="1440" s="1"/>
  <c r="D9" i="1440"/>
  <c r="L10" i="1440"/>
  <c r="R8" i="1440"/>
  <c r="D8" i="1440"/>
  <c r="R7" i="1440"/>
  <c r="L8" i="1440"/>
  <c r="D10" i="1440"/>
  <c r="U10" i="1440"/>
  <c r="S10" i="1440" s="1"/>
  <c r="U7" i="1440"/>
  <c r="S7" i="1440" s="1"/>
  <c r="W7" i="1440" s="1"/>
  <c r="S8" i="1440"/>
  <c r="L9" i="1440"/>
  <c r="T7" i="1440"/>
  <c r="L7" i="1440"/>
  <c r="U9" i="1440"/>
  <c r="R9" i="1440" s="1"/>
  <c r="A12" i="1440"/>
  <c r="D11" i="1440" l="1"/>
  <c r="L11" i="1440"/>
  <c r="U11" i="1440"/>
  <c r="T11" i="1440" s="1"/>
  <c r="S11" i="1440"/>
  <c r="R11" i="1440"/>
  <c r="M9" i="1440"/>
  <c r="V9" i="1440"/>
  <c r="W10" i="1440"/>
  <c r="T9" i="1440"/>
  <c r="T10" i="1440"/>
  <c r="S9" i="1440"/>
  <c r="A13" i="1440"/>
  <c r="M7" i="1440"/>
  <c r="V7" i="1440"/>
  <c r="R10" i="1440"/>
  <c r="V8" i="1440"/>
  <c r="M8" i="1440"/>
  <c r="W8" i="1440"/>
  <c r="L12" i="1440" l="1"/>
  <c r="U12" i="1440"/>
  <c r="R12" i="1440"/>
  <c r="T12" i="1440"/>
  <c r="D12" i="1440"/>
  <c r="S12" i="1440"/>
  <c r="W12" i="1440" s="1"/>
  <c r="W11" i="1440"/>
  <c r="V10" i="1440"/>
  <c r="M10" i="1440"/>
  <c r="A14" i="1440"/>
  <c r="W9" i="1440"/>
  <c r="M11" i="1440"/>
  <c r="V11" i="1440"/>
  <c r="D13" i="1440" l="1"/>
  <c r="U13" i="1440"/>
  <c r="S13" i="1440" s="1"/>
  <c r="R13" i="1440"/>
  <c r="L13" i="1440"/>
  <c r="T13" i="1440"/>
  <c r="M12" i="1440"/>
  <c r="V12" i="1440"/>
  <c r="A15" i="1440"/>
  <c r="W13" i="1440" l="1"/>
  <c r="D14" i="1440"/>
  <c r="U14" i="1440"/>
  <c r="R14" i="1440" s="1"/>
  <c r="L14" i="1440"/>
  <c r="S14" i="1440"/>
  <c r="A16" i="1440"/>
  <c r="V13" i="1440"/>
  <c r="M13" i="1440"/>
  <c r="D15" i="1440" l="1"/>
  <c r="L15" i="1440"/>
  <c r="T15" i="1440"/>
  <c r="U15" i="1440"/>
  <c r="R15" i="1440" s="1"/>
  <c r="S15" i="1440"/>
  <c r="W15" i="1440" s="1"/>
  <c r="M14" i="1440"/>
  <c r="V14" i="1440"/>
  <c r="T14" i="1440"/>
  <c r="A17" i="1440"/>
  <c r="D16" i="1440" l="1"/>
  <c r="U16" i="1440"/>
  <c r="S16" i="1440" s="1"/>
  <c r="T16" i="1440"/>
  <c r="L16" i="1440"/>
  <c r="M15" i="1440"/>
  <c r="V15" i="1440"/>
  <c r="A18" i="1440"/>
  <c r="W14" i="1440"/>
  <c r="W16" i="1440" l="1"/>
  <c r="D17" i="1440"/>
  <c r="L17" i="1440"/>
  <c r="U17" i="1440"/>
  <c r="T17" i="1440" s="1"/>
  <c r="A19" i="1440"/>
  <c r="R16" i="1440"/>
  <c r="L18" i="1440" l="1"/>
  <c r="D18" i="1440"/>
  <c r="U18" i="1440"/>
  <c r="S18" i="1440"/>
  <c r="R18" i="1440"/>
  <c r="T18" i="1440"/>
  <c r="S17" i="1440"/>
  <c r="W17" i="1440" s="1"/>
  <c r="V16" i="1440"/>
  <c r="M16" i="1440"/>
  <c r="R17" i="1440"/>
  <c r="A20" i="1440"/>
  <c r="D19" i="1440" l="1"/>
  <c r="U19" i="1440"/>
  <c r="T19" i="1440" s="1"/>
  <c r="L19" i="1440"/>
  <c r="R19" i="1440"/>
  <c r="A21" i="1440"/>
  <c r="V18" i="1440"/>
  <c r="M18" i="1440"/>
  <c r="W18" i="1440"/>
  <c r="M17" i="1440"/>
  <c r="V17" i="1440"/>
  <c r="D20" i="1440" l="1"/>
  <c r="L20" i="1440"/>
  <c r="U20" i="1440"/>
  <c r="S20" i="1440" s="1"/>
  <c r="T20" i="1440"/>
  <c r="M19" i="1440"/>
  <c r="V19" i="1440"/>
  <c r="S19" i="1440"/>
  <c r="W19" i="1440" s="1"/>
  <c r="A22" i="1440"/>
  <c r="W20" i="1440" l="1"/>
  <c r="U21" i="1440"/>
  <c r="S21" i="1440" s="1"/>
  <c r="L21" i="1440"/>
  <c r="D21" i="1440"/>
  <c r="T21" i="1440"/>
  <c r="R20" i="1440"/>
  <c r="A23" i="1440"/>
  <c r="W21" i="1440" l="1"/>
  <c r="D22" i="1440"/>
  <c r="L22" i="1440"/>
  <c r="U22" i="1440"/>
  <c r="T22" i="1440" s="1"/>
  <c r="R21" i="1440"/>
  <c r="A24" i="1440"/>
  <c r="M20" i="1440"/>
  <c r="V20" i="1440"/>
  <c r="L23" i="1440" l="1"/>
  <c r="U23" i="1440"/>
  <c r="T23" i="1440" s="1"/>
  <c r="D23" i="1440"/>
  <c r="R23" i="1440"/>
  <c r="V21" i="1440"/>
  <c r="M21" i="1440"/>
  <c r="R22" i="1440"/>
  <c r="S22" i="1440"/>
  <c r="W22" i="1440" s="1"/>
  <c r="A25" i="1440"/>
  <c r="U24" i="1440" l="1"/>
  <c r="L24" i="1440"/>
  <c r="S24" i="1440"/>
  <c r="R24" i="1440"/>
  <c r="T24" i="1440"/>
  <c r="D24" i="1440"/>
  <c r="A26" i="1440"/>
  <c r="M23" i="1440"/>
  <c r="V23" i="1440"/>
  <c r="S23" i="1440"/>
  <c r="W23" i="1440" s="1"/>
  <c r="M22" i="1440"/>
  <c r="V22" i="1440"/>
  <c r="D25" i="1440" l="1"/>
  <c r="L25" i="1440"/>
  <c r="B2" i="1440"/>
  <c r="U25" i="1440"/>
  <c r="T25" i="1440" s="1"/>
  <c r="W24" i="1440"/>
  <c r="V24" i="1440"/>
  <c r="M24" i="1440"/>
  <c r="U26" i="1440" l="1"/>
  <c r="D26" i="1440"/>
  <c r="T26" i="1440"/>
  <c r="R26" i="1440"/>
  <c r="S26" i="1440"/>
  <c r="W26" i="1440" s="1"/>
  <c r="L26" i="1440"/>
  <c r="S25" i="1440"/>
  <c r="W25" i="1440" s="1"/>
  <c r="U2" i="1440" s="1"/>
  <c r="R25" i="1440"/>
  <c r="M25" i="1440" l="1"/>
  <c r="V25" i="1440"/>
  <c r="U1" i="1440" s="1"/>
  <c r="V26" i="1440"/>
  <c r="M26" i="1440"/>
  <c r="B1" i="1173"/>
  <c r="C1" i="1173"/>
  <c r="K6" i="1173"/>
  <c r="B2" i="1173"/>
  <c r="K7" i="1173" l="1"/>
  <c r="B3" i="1173"/>
  <c r="G5" i="1173" s="1"/>
  <c r="J4" i="1173"/>
  <c r="I5" i="1173"/>
  <c r="J6" i="1173"/>
  <c r="J8" i="1173"/>
  <c r="J9" i="1173"/>
  <c r="A1" i="1768"/>
  <c r="H1" i="1172"/>
  <c r="H2" i="1172"/>
  <c r="C3" i="1172"/>
  <c r="H3" i="1172"/>
  <c r="C4" i="1172"/>
  <c r="E8" i="1172" s="1"/>
  <c r="H4" i="1172"/>
  <c r="H5" i="1172"/>
  <c r="BJ8" i="1172"/>
  <c r="K8" i="1173" l="1"/>
  <c r="G9" i="1172"/>
  <c r="BJ9" i="1172"/>
  <c r="G10" i="1172"/>
  <c r="BJ10" i="1172"/>
  <c r="G11" i="1172"/>
  <c r="BJ11" i="1172"/>
  <c r="BJ12" i="1172" s="1"/>
  <c r="BJ13" i="1172" s="1"/>
  <c r="BJ14" i="1172" s="1"/>
  <c r="BJ15" i="1172" s="1"/>
  <c r="BJ16" i="1172" s="1"/>
  <c r="BJ17" i="1172" s="1"/>
  <c r="BJ18" i="1172" s="1"/>
  <c r="BJ19" i="1172" s="1"/>
  <c r="BJ20" i="1172" s="1"/>
  <c r="BJ21" i="1172" s="1"/>
  <c r="BJ22" i="1172" s="1"/>
  <c r="BJ23" i="1172" s="1"/>
  <c r="BJ24" i="1172" s="1"/>
  <c r="BJ25" i="1172" s="1"/>
  <c r="BJ26" i="1172" s="1"/>
  <c r="BJ27" i="1172" s="1"/>
  <c r="BJ28" i="1172" s="1"/>
  <c r="BJ29" i="1172" s="1"/>
  <c r="BJ30" i="1172" s="1"/>
  <c r="BJ31" i="1172" s="1"/>
  <c r="BJ32" i="1172" s="1"/>
  <c r="BJ33" i="1172" s="1"/>
  <c r="BJ34" i="1172" s="1"/>
  <c r="BJ35" i="1172" s="1"/>
  <c r="BJ36" i="1172" s="1"/>
  <c r="BJ37" i="1172" s="1"/>
  <c r="BJ38" i="1172" s="1"/>
  <c r="BJ39" i="1172" s="1"/>
  <c r="BJ40" i="1172" s="1"/>
  <c r="BJ41" i="1172" s="1"/>
  <c r="BJ42" i="1172" s="1"/>
  <c r="BJ43" i="1172" s="1"/>
  <c r="BJ44" i="1172" s="1"/>
  <c r="BJ45" i="1172" s="1"/>
  <c r="BJ46" i="1172" s="1"/>
  <c r="BJ47" i="1172" s="1"/>
  <c r="BJ48" i="1172" s="1"/>
  <c r="BJ49" i="1172" s="1"/>
  <c r="BJ50" i="1172" s="1"/>
  <c r="BJ51" i="1172" s="1"/>
  <c r="BJ52" i="1172" s="1"/>
  <c r="BJ53" i="1172" s="1"/>
  <c r="BJ54" i="1172" s="1"/>
  <c r="BJ55" i="1172" s="1"/>
  <c r="BJ56" i="1172" s="1"/>
  <c r="BJ57" i="1172" s="1"/>
  <c r="BJ58" i="1172" s="1"/>
  <c r="BJ59" i="1172" s="1"/>
  <c r="BJ60" i="1172" s="1"/>
  <c r="BJ61" i="1172" s="1"/>
  <c r="BJ62" i="1172" s="1"/>
  <c r="BJ63" i="1172" s="1"/>
  <c r="BJ64" i="1172" s="1"/>
  <c r="BJ65" i="1172" s="1"/>
  <c r="BJ66" i="1172" s="1"/>
  <c r="BJ67" i="1172" s="1"/>
  <c r="BJ68" i="1172" s="1"/>
  <c r="BJ69" i="1172" s="1"/>
  <c r="BJ70" i="1172" s="1"/>
  <c r="BJ71" i="1172" s="1"/>
  <c r="BJ72" i="1172" s="1"/>
  <c r="BJ73" i="1172" s="1"/>
  <c r="BJ74" i="1172" s="1"/>
  <c r="BJ75" i="1172" s="1"/>
  <c r="BJ76" i="1172" s="1"/>
  <c r="BJ77" i="1172" s="1"/>
  <c r="BJ78" i="1172" s="1"/>
  <c r="BJ79" i="1172" s="1"/>
  <c r="BJ80" i="1172" s="1"/>
  <c r="BJ81" i="1172" s="1"/>
  <c r="BJ82" i="1172" s="1"/>
  <c r="BJ83" i="1172" s="1"/>
  <c r="BJ84" i="1172" s="1"/>
  <c r="BJ85" i="1172" s="1"/>
  <c r="BJ86" i="1172" s="1"/>
  <c r="BJ87" i="1172" s="1"/>
  <c r="BJ88" i="1172" s="1"/>
  <c r="BJ89" i="1172" s="1"/>
  <c r="BJ90" i="1172" s="1"/>
  <c r="BJ91" i="1172" s="1"/>
  <c r="BJ92" i="1172" s="1"/>
  <c r="BJ93" i="1172" s="1"/>
  <c r="BJ94" i="1172" s="1"/>
  <c r="BJ95" i="1172" s="1"/>
  <c r="BJ96" i="1172" s="1"/>
  <c r="BJ97" i="1172" s="1"/>
  <c r="BJ98" i="1172" s="1"/>
  <c r="BJ99" i="1172" s="1"/>
  <c r="BJ100" i="1172" s="1"/>
  <c r="BJ101" i="1172" s="1"/>
  <c r="BJ102" i="1172" s="1"/>
  <c r="BJ103" i="1172" s="1"/>
  <c r="BJ104" i="1172" s="1"/>
  <c r="BJ105" i="1172" s="1"/>
  <c r="BJ106" i="1172" s="1"/>
  <c r="BJ107" i="1172" s="1"/>
  <c r="BJ108" i="1172" s="1"/>
  <c r="BJ109" i="1172" s="1"/>
  <c r="BJ110" i="1172" s="1"/>
  <c r="BJ111" i="1172" s="1"/>
  <c r="BJ112" i="1172" s="1"/>
  <c r="BJ113" i="1172" s="1"/>
  <c r="BJ114" i="1172" s="1"/>
  <c r="BJ115" i="1172" s="1"/>
  <c r="BJ116" i="1172" s="1"/>
  <c r="BJ117" i="1172" s="1"/>
  <c r="BJ118" i="1172" s="1"/>
  <c r="BJ119" i="1172" s="1"/>
  <c r="BJ120" i="1172" s="1"/>
  <c r="BJ121" i="1172" s="1"/>
  <c r="BJ122" i="1172" s="1"/>
  <c r="BJ123" i="1172" s="1"/>
  <c r="BJ124" i="1172" s="1"/>
  <c r="BJ125" i="1172" s="1"/>
  <c r="BJ126" i="1172" s="1"/>
  <c r="BJ127" i="1172" s="1"/>
  <c r="BJ128" i="1172" s="1"/>
  <c r="BJ129" i="1172" s="1"/>
  <c r="BJ130" i="1172" s="1"/>
  <c r="BJ131" i="1172" s="1"/>
  <c r="BJ132" i="1172" s="1"/>
  <c r="BJ133" i="1172" s="1"/>
  <c r="BJ134" i="1172" s="1"/>
  <c r="BJ135" i="1172" s="1"/>
  <c r="BJ136" i="1172" s="1"/>
  <c r="BJ137" i="1172" s="1"/>
  <c r="BJ138" i="1172" s="1"/>
  <c r="BJ139" i="1172" s="1"/>
  <c r="BJ140" i="1172" s="1"/>
  <c r="BJ141" i="1172" s="1"/>
  <c r="BJ142" i="1172" s="1"/>
  <c r="BJ143" i="1172" s="1"/>
  <c r="BJ144" i="1172" s="1"/>
  <c r="BJ145" i="1172" s="1"/>
  <c r="BJ146" i="1172" s="1"/>
  <c r="BJ147" i="1172" s="1"/>
  <c r="BJ148" i="1172" s="1"/>
  <c r="BJ149" i="1172" s="1"/>
  <c r="BJ150" i="1172" s="1"/>
  <c r="BJ151" i="1172" s="1"/>
  <c r="BJ152" i="1172" s="1"/>
  <c r="BJ153" i="1172" s="1"/>
  <c r="BJ154" i="1172" s="1"/>
  <c r="BJ155" i="1172" s="1"/>
  <c r="BJ156" i="1172" s="1"/>
  <c r="BJ157" i="1172" s="1"/>
  <c r="BJ158" i="1172" s="1"/>
  <c r="BJ159" i="1172" s="1"/>
  <c r="BJ160" i="1172" s="1"/>
  <c r="BJ161" i="1172" s="1"/>
  <c r="BJ162" i="1172" s="1"/>
  <c r="BJ163" i="1172" s="1"/>
  <c r="BJ164" i="1172" s="1"/>
  <c r="BJ165" i="1172" s="1"/>
  <c r="BJ166" i="1172" s="1"/>
  <c r="BJ167" i="1172" s="1"/>
  <c r="BJ168" i="1172" s="1"/>
  <c r="BJ169" i="1172" s="1"/>
  <c r="BJ170" i="1172" s="1"/>
  <c r="BJ171" i="1172" s="1"/>
  <c r="BJ172" i="1172" s="1"/>
  <c r="BJ173" i="1172" s="1"/>
  <c r="BJ174" i="1172" s="1"/>
  <c r="BJ175" i="1172" s="1"/>
  <c r="BJ176" i="1172" s="1"/>
  <c r="BJ177" i="1172" s="1"/>
  <c r="BJ178" i="1172" s="1"/>
  <c r="BJ179" i="1172" s="1"/>
  <c r="BJ180" i="1172" s="1"/>
  <c r="BJ181" i="1172" s="1"/>
  <c r="BJ182" i="1172" s="1"/>
  <c r="BJ183" i="1172" s="1"/>
  <c r="BJ184" i="1172" s="1"/>
  <c r="BJ185" i="1172" s="1"/>
  <c r="BJ186" i="1172" s="1"/>
  <c r="BJ187" i="1172" s="1"/>
  <c r="BJ188" i="1172" s="1"/>
  <c r="BJ189" i="1172" s="1"/>
  <c r="BJ190" i="1172" s="1"/>
  <c r="BJ191" i="1172" s="1"/>
  <c r="BJ192" i="1172" s="1"/>
  <c r="BJ193" i="1172" s="1"/>
  <c r="BJ194" i="1172" s="1"/>
  <c r="BJ195" i="1172" s="1"/>
  <c r="BJ196" i="1172" s="1"/>
  <c r="BJ197" i="1172" s="1"/>
  <c r="BJ198" i="1172" s="1"/>
  <c r="BJ199" i="1172" s="1"/>
  <c r="BJ200" i="1172" s="1"/>
  <c r="BJ201" i="1172" s="1"/>
  <c r="BJ202" i="1172" s="1"/>
  <c r="BJ203" i="1172" s="1"/>
  <c r="BJ204" i="1172" s="1"/>
  <c r="BJ205" i="1172" s="1"/>
  <c r="BJ206" i="1172" s="1"/>
  <c r="BJ207" i="1172" s="1"/>
  <c r="BJ208" i="1172" s="1"/>
  <c r="BJ209" i="1172" s="1"/>
  <c r="BJ210" i="1172" s="1"/>
  <c r="BJ211" i="1172" s="1"/>
  <c r="BJ212" i="1172" s="1"/>
  <c r="BJ213" i="1172" s="1"/>
  <c r="BJ214" i="1172" s="1"/>
  <c r="BJ215" i="1172" s="1"/>
  <c r="BJ216" i="1172" s="1"/>
  <c r="BJ217" i="1172" s="1"/>
  <c r="BJ218" i="1172" s="1"/>
  <c r="BJ219" i="1172" s="1"/>
  <c r="BJ220" i="1172" s="1"/>
  <c r="BJ221" i="1172" s="1"/>
  <c r="BJ222" i="1172" s="1"/>
  <c r="BJ223" i="1172" s="1"/>
  <c r="BJ224" i="1172" s="1"/>
  <c r="BJ225" i="1172" s="1"/>
  <c r="BJ226" i="1172" s="1"/>
  <c r="BJ227" i="1172" s="1"/>
  <c r="BJ228" i="1172" s="1"/>
  <c r="BJ229" i="1172" s="1"/>
  <c r="BJ230" i="1172" s="1"/>
  <c r="BJ231" i="1172" s="1"/>
  <c r="BJ232" i="1172" s="1"/>
  <c r="BJ233" i="1172" s="1"/>
  <c r="BJ234" i="1172" s="1"/>
  <c r="BJ235" i="1172" s="1"/>
  <c r="BJ236" i="1172" s="1"/>
  <c r="BJ237" i="1172" s="1"/>
  <c r="BJ238" i="1172" s="1"/>
  <c r="BJ239" i="1172" s="1"/>
  <c r="BJ240" i="1172" s="1"/>
  <c r="BJ241" i="1172" s="1"/>
  <c r="BJ242" i="1172" s="1"/>
  <c r="BJ243" i="1172" s="1"/>
  <c r="BJ244" i="1172" s="1"/>
  <c r="BJ245" i="1172" s="1"/>
  <c r="BJ246" i="1172" s="1"/>
  <c r="BJ247" i="1172" s="1"/>
  <c r="BJ248" i="1172" s="1"/>
  <c r="BJ249" i="1172" s="1"/>
  <c r="BJ250" i="1172" s="1"/>
  <c r="BJ251" i="1172" s="1"/>
  <c r="BJ252" i="1172" s="1"/>
  <c r="BJ253" i="1172" s="1"/>
  <c r="BJ254" i="1172" s="1"/>
  <c r="BJ255" i="1172" s="1"/>
  <c r="BJ256" i="1172" s="1"/>
  <c r="BJ257" i="1172" s="1"/>
  <c r="BJ258" i="1172" s="1"/>
  <c r="BJ259" i="1172" s="1"/>
  <c r="BJ260" i="1172" s="1"/>
  <c r="BJ261" i="1172" s="1"/>
  <c r="BJ262" i="1172" s="1"/>
  <c r="BJ263" i="1172" s="1"/>
  <c r="BJ264" i="1172" s="1"/>
  <c r="BJ265" i="1172" s="1"/>
  <c r="BJ266" i="1172" s="1"/>
  <c r="BJ267" i="1172" s="1"/>
  <c r="BJ268" i="1172" s="1"/>
  <c r="BJ269" i="1172" s="1"/>
  <c r="BJ270" i="1172" s="1"/>
  <c r="BJ271" i="1172" s="1"/>
  <c r="BJ272" i="1172" s="1"/>
  <c r="BJ273" i="1172" s="1"/>
  <c r="BJ274" i="1172" s="1"/>
  <c r="BJ275" i="1172" s="1"/>
  <c r="BJ276" i="1172" s="1"/>
  <c r="BJ277" i="1172" s="1"/>
  <c r="BJ278" i="1172" s="1"/>
  <c r="BJ279" i="1172" s="1"/>
  <c r="BJ280" i="1172" s="1"/>
  <c r="BJ281" i="1172" s="1"/>
  <c r="BJ282" i="1172" s="1"/>
  <c r="BJ283" i="1172" s="1"/>
  <c r="BJ284" i="1172" s="1"/>
  <c r="BJ285" i="1172" s="1"/>
  <c r="BJ286" i="1172" s="1"/>
  <c r="BJ287" i="1172" s="1"/>
  <c r="BJ288" i="1172" s="1"/>
  <c r="BJ289" i="1172" s="1"/>
  <c r="BJ290" i="1172" s="1"/>
  <c r="BJ291" i="1172" s="1"/>
  <c r="BJ292" i="1172" s="1"/>
  <c r="BJ293" i="1172" s="1"/>
  <c r="BJ294" i="1172" s="1"/>
  <c r="BJ295" i="1172" s="1"/>
  <c r="BJ296" i="1172" s="1"/>
  <c r="BJ297" i="1172" s="1"/>
  <c r="BJ298" i="1172" s="1"/>
  <c r="BJ299" i="1172" s="1"/>
  <c r="BJ300" i="1172" s="1"/>
  <c r="BJ301" i="1172" s="1"/>
  <c r="BJ302" i="1172" s="1"/>
  <c r="BJ303" i="1172" s="1"/>
  <c r="BJ304" i="1172" s="1"/>
  <c r="BJ305" i="1172" s="1"/>
  <c r="BJ306" i="1172" s="1"/>
  <c r="BJ307" i="1172" s="1"/>
  <c r="BJ308" i="1172" s="1"/>
  <c r="BJ309" i="1172" s="1"/>
  <c r="BJ310" i="1172" s="1"/>
  <c r="BJ311" i="1172" s="1"/>
  <c r="BJ312" i="1172" s="1"/>
  <c r="BJ313" i="1172" s="1"/>
  <c r="BJ314" i="1172" s="1"/>
  <c r="BJ315" i="1172" s="1"/>
  <c r="BJ316" i="1172" s="1"/>
  <c r="BJ317" i="1172" s="1"/>
  <c r="BJ318" i="1172" s="1"/>
  <c r="BJ319" i="1172" s="1"/>
  <c r="BJ320" i="1172" s="1"/>
  <c r="BJ321" i="1172" s="1"/>
  <c r="BJ322" i="1172" s="1"/>
  <c r="BJ323" i="1172" s="1"/>
  <c r="BJ324" i="1172" s="1"/>
  <c r="BJ325" i="1172" s="1"/>
  <c r="BJ326" i="1172" s="1"/>
  <c r="BJ327" i="1172" s="1"/>
  <c r="BJ328" i="1172" s="1"/>
  <c r="BJ329" i="1172" s="1"/>
  <c r="BJ330" i="1172" s="1"/>
  <c r="BJ331" i="1172" s="1"/>
  <c r="BJ332" i="1172" s="1"/>
  <c r="BJ333" i="1172" s="1"/>
  <c r="BJ334" i="1172" s="1"/>
  <c r="BJ335" i="1172" s="1"/>
  <c r="BJ336" i="1172" s="1"/>
  <c r="BJ337" i="1172" s="1"/>
  <c r="BJ338" i="1172" s="1"/>
  <c r="BJ339" i="1172" s="1"/>
  <c r="BJ340" i="1172" s="1"/>
  <c r="BJ341" i="1172" s="1"/>
  <c r="BJ342" i="1172" s="1"/>
  <c r="BJ343" i="1172" s="1"/>
  <c r="BJ344" i="1172" s="1"/>
  <c r="BJ345" i="1172" s="1"/>
  <c r="BJ346" i="1172" s="1"/>
  <c r="BJ347" i="1172" s="1"/>
  <c r="BJ348" i="1172" s="1"/>
  <c r="BJ349" i="1172" s="1"/>
  <c r="BJ350" i="1172" s="1"/>
  <c r="BJ351" i="1172" s="1"/>
  <c r="BJ352" i="1172" s="1"/>
  <c r="BJ353" i="1172" s="1"/>
  <c r="BJ354" i="1172" s="1"/>
  <c r="BJ355" i="1172" s="1"/>
  <c r="BJ356" i="1172" s="1"/>
  <c r="BJ357" i="1172" s="1"/>
  <c r="BJ358" i="1172" s="1"/>
  <c r="BJ359" i="1172" s="1"/>
  <c r="BJ360" i="1172" s="1"/>
  <c r="BJ361" i="1172" s="1"/>
  <c r="BJ362" i="1172" s="1"/>
  <c r="BJ363" i="1172" s="1"/>
  <c r="BJ364" i="1172" s="1"/>
  <c r="BJ365" i="1172" s="1"/>
  <c r="BJ366" i="1172" s="1"/>
  <c r="BJ367" i="1172" s="1"/>
  <c r="BJ368" i="1172" s="1"/>
  <c r="BJ369" i="1172" s="1"/>
  <c r="BJ370" i="1172" s="1"/>
  <c r="BJ371" i="1172" s="1"/>
  <c r="BJ372" i="1172" s="1"/>
  <c r="BJ373" i="1172" s="1"/>
  <c r="BJ374" i="1172" s="1"/>
  <c r="BJ375" i="1172" s="1"/>
  <c r="BJ376" i="1172" s="1"/>
  <c r="BJ377" i="1172" s="1"/>
  <c r="BJ378" i="1172" s="1"/>
  <c r="BJ379" i="1172" s="1"/>
  <c r="BJ380" i="1172" s="1"/>
  <c r="BJ381" i="1172" s="1"/>
  <c r="BJ382" i="1172" s="1"/>
  <c r="BJ383" i="1172" s="1"/>
  <c r="BJ384" i="1172" s="1"/>
  <c r="BJ385" i="1172" s="1"/>
  <c r="BJ386" i="1172" s="1"/>
  <c r="BJ387" i="1172" s="1"/>
  <c r="BJ388" i="1172" s="1"/>
  <c r="BJ389" i="1172" s="1"/>
  <c r="BJ390" i="1172" s="1"/>
  <c r="BJ391" i="1172" s="1"/>
  <c r="BJ392" i="1172" s="1"/>
  <c r="BJ393" i="1172" s="1"/>
  <c r="BJ394" i="1172" s="1"/>
  <c r="BJ395" i="1172" s="1"/>
  <c r="BJ396" i="1172" s="1"/>
  <c r="BJ397" i="1172" s="1"/>
  <c r="BJ398" i="1172" s="1"/>
  <c r="BJ399" i="1172" s="1"/>
  <c r="BJ400" i="1172" s="1"/>
  <c r="BJ401" i="1172" s="1"/>
  <c r="BJ402" i="1172" s="1"/>
  <c r="BJ403" i="1172" s="1"/>
  <c r="BJ404" i="1172" s="1"/>
  <c r="BJ405" i="1172" s="1"/>
  <c r="BJ406" i="1172" s="1"/>
  <c r="BJ407" i="1172" s="1"/>
  <c r="BJ408" i="1172" s="1"/>
  <c r="BJ409" i="1172" s="1"/>
  <c r="BJ410" i="1172" s="1"/>
  <c r="BJ411" i="1172" s="1"/>
  <c r="BJ412" i="1172" s="1"/>
  <c r="BJ413" i="1172" s="1"/>
  <c r="BJ414" i="1172" s="1"/>
  <c r="BJ415" i="1172" s="1"/>
  <c r="BJ416" i="1172" s="1"/>
  <c r="BJ417" i="1172" s="1"/>
  <c r="BJ418" i="1172" s="1"/>
  <c r="BJ419" i="1172" s="1"/>
  <c r="BJ420" i="1172" s="1"/>
  <c r="BJ421" i="1172" s="1"/>
  <c r="BJ422" i="1172" s="1"/>
  <c r="BJ423" i="1172" s="1"/>
  <c r="BJ424" i="1172" s="1"/>
  <c r="BJ425" i="1172" s="1"/>
  <c r="BJ426" i="1172" s="1"/>
  <c r="BJ427" i="1172" s="1"/>
  <c r="BJ428" i="1172" s="1"/>
  <c r="BJ429" i="1172" s="1"/>
  <c r="BJ430" i="1172" s="1"/>
  <c r="BJ431" i="1172" s="1"/>
  <c r="BJ432" i="1172" s="1"/>
  <c r="BJ433" i="1172" s="1"/>
  <c r="BJ434" i="1172" s="1"/>
  <c r="BJ435" i="1172" s="1"/>
  <c r="BJ436" i="1172" s="1"/>
  <c r="BJ437" i="1172" s="1"/>
  <c r="BJ438" i="1172" s="1"/>
  <c r="BJ439" i="1172" s="1"/>
  <c r="BJ440" i="1172" s="1"/>
  <c r="BJ441" i="1172" s="1"/>
  <c r="BJ442" i="1172" s="1"/>
  <c r="BJ443" i="1172" s="1"/>
  <c r="BJ444" i="1172" s="1"/>
  <c r="BJ445" i="1172" s="1"/>
  <c r="BJ446" i="1172" s="1"/>
  <c r="BJ447" i="1172" s="1"/>
  <c r="BJ448" i="1172" s="1"/>
  <c r="BJ449" i="1172" s="1"/>
  <c r="BJ450" i="1172" s="1"/>
  <c r="BJ451" i="1172" s="1"/>
  <c r="BJ452" i="1172" s="1"/>
  <c r="BJ453" i="1172" s="1"/>
  <c r="BJ454" i="1172" s="1"/>
  <c r="BJ455" i="1172" s="1"/>
  <c r="BJ456" i="1172" s="1"/>
  <c r="BJ457" i="1172" s="1"/>
  <c r="BJ458" i="1172" s="1"/>
  <c r="BJ459" i="1172" s="1"/>
  <c r="BJ460" i="1172" s="1"/>
  <c r="BJ461" i="1172" s="1"/>
  <c r="BJ462" i="1172" s="1"/>
  <c r="BJ463" i="1172" s="1"/>
  <c r="BJ464" i="1172" s="1"/>
  <c r="BJ465" i="1172" s="1"/>
  <c r="BJ466" i="1172" s="1"/>
  <c r="BJ467" i="1172" s="1"/>
  <c r="BJ468" i="1172" s="1"/>
  <c r="BJ469" i="1172" s="1"/>
  <c r="BJ470" i="1172" s="1"/>
  <c r="BJ471" i="1172" s="1"/>
  <c r="BJ472" i="1172" s="1"/>
  <c r="BJ473" i="1172" s="1"/>
  <c r="BJ474" i="1172" s="1"/>
  <c r="BJ475" i="1172" s="1"/>
  <c r="BJ476" i="1172" s="1"/>
  <c r="BJ477" i="1172" s="1"/>
  <c r="BJ478" i="1172" s="1"/>
  <c r="BJ479" i="1172" s="1"/>
  <c r="BJ480" i="1172" s="1"/>
  <c r="BJ481" i="1172" s="1"/>
  <c r="BJ482" i="1172" s="1"/>
  <c r="BJ483" i="1172" s="1"/>
  <c r="BJ484" i="1172" s="1"/>
  <c r="BJ485" i="1172" s="1"/>
  <c r="BJ486" i="1172" s="1"/>
  <c r="BJ487" i="1172" s="1"/>
  <c r="BJ488" i="1172" s="1"/>
  <c r="BJ489" i="1172" s="1"/>
  <c r="BJ490" i="1172" s="1"/>
  <c r="BJ491" i="1172" s="1"/>
  <c r="BJ492" i="1172" s="1"/>
  <c r="BJ493" i="1172" s="1"/>
  <c r="BJ494" i="1172" s="1"/>
  <c r="BJ495" i="1172" s="1"/>
  <c r="BJ496" i="1172" s="1"/>
  <c r="BJ497" i="1172" s="1"/>
  <c r="BJ498" i="1172" s="1"/>
  <c r="BJ499" i="1172" s="1"/>
  <c r="BJ500" i="1172" s="1"/>
  <c r="BJ501" i="1172" s="1"/>
  <c r="BJ502" i="1172" s="1"/>
  <c r="BJ503" i="1172" s="1"/>
  <c r="BJ504" i="1172" s="1"/>
  <c r="BJ505" i="1172" s="1"/>
  <c r="BJ506" i="1172" s="1"/>
  <c r="BJ507" i="1172" s="1"/>
  <c r="BJ508" i="1172" s="1"/>
  <c r="BJ509" i="1172" s="1"/>
  <c r="BJ510" i="1172" s="1"/>
  <c r="BJ511" i="1172" s="1"/>
  <c r="BJ512" i="1172" s="1"/>
  <c r="BJ513" i="1172" s="1"/>
  <c r="BJ514" i="1172" s="1"/>
  <c r="BJ515" i="1172" s="1"/>
  <c r="BJ516" i="1172" s="1"/>
  <c r="BJ517" i="1172" s="1"/>
  <c r="BJ518" i="1172" s="1"/>
  <c r="BJ519" i="1172" s="1"/>
  <c r="BJ520" i="1172" s="1"/>
  <c r="BJ521" i="1172" s="1"/>
  <c r="BJ522" i="1172" s="1"/>
  <c r="BJ523" i="1172" s="1"/>
  <c r="BJ524" i="1172" s="1"/>
  <c r="BJ525" i="1172" s="1"/>
  <c r="BJ526" i="1172" s="1"/>
  <c r="BJ527" i="1172" s="1"/>
  <c r="BJ528" i="1172" s="1"/>
  <c r="BJ529" i="1172" s="1"/>
  <c r="BJ530" i="1172" s="1"/>
  <c r="BJ531" i="1172" s="1"/>
  <c r="BJ532" i="1172" s="1"/>
  <c r="BJ533" i="1172" s="1"/>
  <c r="BJ534" i="1172" s="1"/>
  <c r="BJ535" i="1172" s="1"/>
  <c r="BJ536" i="1172" s="1"/>
  <c r="BJ537" i="1172" s="1"/>
  <c r="BJ538" i="1172" s="1"/>
  <c r="BJ539" i="1172" s="1"/>
  <c r="BJ540" i="1172" s="1"/>
  <c r="BJ541" i="1172" s="1"/>
  <c r="BJ542" i="1172" s="1"/>
  <c r="BJ543" i="1172" s="1"/>
  <c r="BJ544" i="1172" s="1"/>
  <c r="BJ545" i="1172" s="1"/>
  <c r="BJ546" i="1172" s="1"/>
  <c r="BJ547" i="1172" s="1"/>
  <c r="BJ548" i="1172" s="1"/>
  <c r="BJ549" i="1172" s="1"/>
  <c r="BJ550" i="1172" s="1"/>
  <c r="BJ551" i="1172" s="1"/>
  <c r="BJ552" i="1172" s="1"/>
  <c r="BJ553" i="1172" s="1"/>
  <c r="BJ554" i="1172" s="1"/>
  <c r="BJ555" i="1172" s="1"/>
  <c r="BJ556" i="1172" s="1"/>
  <c r="BJ557" i="1172" s="1"/>
  <c r="BJ558" i="1172" s="1"/>
  <c r="BJ559" i="1172" s="1"/>
  <c r="BJ560" i="1172" s="1"/>
  <c r="BJ561" i="1172" s="1"/>
  <c r="BJ562" i="1172" s="1"/>
  <c r="BJ563" i="1172" s="1"/>
  <c r="BJ564" i="1172" s="1"/>
  <c r="BJ565" i="1172" s="1"/>
  <c r="BJ566" i="1172" s="1"/>
  <c r="BJ567" i="1172" s="1"/>
  <c r="BJ568" i="1172" s="1"/>
  <c r="BJ569" i="1172" s="1"/>
  <c r="BJ570" i="1172" s="1"/>
  <c r="BJ571" i="1172" s="1"/>
  <c r="BJ572" i="1172" s="1"/>
  <c r="BJ573" i="1172" s="1"/>
  <c r="BJ574" i="1172" s="1"/>
  <c r="BJ575" i="1172" s="1"/>
  <c r="BJ576" i="1172" s="1"/>
  <c r="BJ577" i="1172" s="1"/>
  <c r="BJ578" i="1172" s="1"/>
  <c r="BJ579" i="1172" s="1"/>
  <c r="BJ580" i="1172" s="1"/>
  <c r="BJ581" i="1172" s="1"/>
  <c r="BJ582" i="1172" s="1"/>
  <c r="BJ583" i="1172" s="1"/>
  <c r="BJ584" i="1172" s="1"/>
  <c r="BJ585" i="1172" s="1"/>
  <c r="BJ586" i="1172" s="1"/>
  <c r="BJ587" i="1172" s="1"/>
  <c r="BJ588" i="1172" s="1"/>
  <c r="BJ589" i="1172" s="1"/>
  <c r="BJ590" i="1172" s="1"/>
  <c r="BJ591" i="1172" s="1"/>
  <c r="BJ592" i="1172" s="1"/>
  <c r="BJ593" i="1172" s="1"/>
  <c r="BJ594" i="1172" s="1"/>
  <c r="BJ595" i="1172" s="1"/>
  <c r="BJ596" i="1172" s="1"/>
  <c r="BJ597" i="1172" s="1"/>
  <c r="BJ598" i="1172" s="1"/>
  <c r="BJ599" i="1172" s="1"/>
  <c r="BJ600" i="1172" s="1"/>
  <c r="BJ601" i="1172" s="1"/>
  <c r="BJ602" i="1172" s="1"/>
  <c r="BJ603" i="1172" s="1"/>
  <c r="BJ604" i="1172" s="1"/>
  <c r="BJ605" i="1172" s="1"/>
  <c r="BJ606" i="1172" s="1"/>
  <c r="BJ607" i="1172" s="1"/>
  <c r="BJ608" i="1172" s="1"/>
  <c r="BJ609" i="1172" s="1"/>
  <c r="BJ610" i="1172" s="1"/>
  <c r="BJ611" i="1172" s="1"/>
  <c r="BJ612" i="1172" s="1"/>
  <c r="BJ613" i="1172" s="1"/>
  <c r="BJ614" i="1172" s="1"/>
  <c r="BJ615" i="1172" s="1"/>
  <c r="BJ616" i="1172" s="1"/>
  <c r="BJ617" i="1172" s="1"/>
  <c r="BJ618" i="1172" s="1"/>
  <c r="BJ619" i="1172" s="1"/>
  <c r="BJ620" i="1172" s="1"/>
  <c r="BJ621" i="1172" s="1"/>
  <c r="BJ622" i="1172" s="1"/>
  <c r="BJ623" i="1172" s="1"/>
  <c r="BJ624" i="1172" s="1"/>
  <c r="BJ625" i="1172" s="1"/>
  <c r="BJ626" i="1172" s="1"/>
  <c r="BJ627" i="1172" s="1"/>
  <c r="BJ628" i="1172" s="1"/>
  <c r="BJ629" i="1172" s="1"/>
  <c r="BJ630" i="1172" s="1"/>
  <c r="BJ631" i="1172" s="1"/>
  <c r="BJ632" i="1172" s="1"/>
  <c r="BJ633" i="1172" s="1"/>
  <c r="BJ634" i="1172" s="1"/>
  <c r="BJ635" i="1172" s="1"/>
  <c r="BJ636" i="1172" s="1"/>
  <c r="BJ637" i="1172" s="1"/>
  <c r="BJ638" i="1172" s="1"/>
  <c r="BJ639" i="1172" s="1"/>
  <c r="BJ640" i="1172" s="1"/>
  <c r="BJ641" i="1172" s="1"/>
  <c r="BJ642" i="1172" s="1"/>
  <c r="BJ643" i="1172" s="1"/>
  <c r="BJ644" i="1172" s="1"/>
  <c r="BJ645" i="1172" s="1"/>
  <c r="BJ646" i="1172" s="1"/>
  <c r="BJ647" i="1172" s="1"/>
  <c r="BJ648" i="1172" s="1"/>
  <c r="BJ649" i="1172" s="1"/>
  <c r="BJ650" i="1172" s="1"/>
  <c r="BJ651" i="1172" s="1"/>
  <c r="BJ652" i="1172" s="1"/>
  <c r="BJ653" i="1172" s="1"/>
  <c r="BJ654" i="1172" s="1"/>
  <c r="BJ655" i="1172" s="1"/>
  <c r="BJ656" i="1172" s="1"/>
  <c r="BJ657" i="1172" s="1"/>
  <c r="BJ658" i="1172" s="1"/>
  <c r="BJ659" i="1172" s="1"/>
  <c r="BJ660" i="1172" s="1"/>
  <c r="BJ661" i="1172" s="1"/>
  <c r="BJ662" i="1172" s="1"/>
  <c r="BJ663" i="1172" s="1"/>
  <c r="BJ664" i="1172" s="1"/>
  <c r="BJ665" i="1172" s="1"/>
  <c r="BJ666" i="1172" s="1"/>
  <c r="BJ667" i="1172" s="1"/>
  <c r="BJ668" i="1172" s="1"/>
  <c r="BJ669" i="1172" s="1"/>
  <c r="BJ670" i="1172" s="1"/>
  <c r="BJ671" i="1172" s="1"/>
  <c r="BJ672" i="1172" s="1"/>
  <c r="BJ673" i="1172" s="1"/>
  <c r="BJ674" i="1172" s="1"/>
  <c r="BJ675" i="1172" s="1"/>
  <c r="BJ676" i="1172" s="1"/>
  <c r="BJ677" i="1172" s="1"/>
  <c r="BJ678" i="1172" s="1"/>
  <c r="BJ679" i="1172" s="1"/>
  <c r="BJ680" i="1172" s="1"/>
  <c r="BJ681" i="1172" s="1"/>
  <c r="BJ682" i="1172" s="1"/>
  <c r="BJ683" i="1172" s="1"/>
  <c r="BJ684" i="1172" s="1"/>
  <c r="BJ685" i="1172" s="1"/>
  <c r="BJ686" i="1172" s="1"/>
  <c r="BJ687" i="1172" s="1"/>
  <c r="BJ688" i="1172" s="1"/>
  <c r="BJ689" i="1172" s="1"/>
  <c r="BJ690" i="1172" s="1"/>
  <c r="BJ691" i="1172" s="1"/>
  <c r="BJ692" i="1172" s="1"/>
  <c r="BJ693" i="1172" s="1"/>
  <c r="BJ694" i="1172" s="1"/>
  <c r="BJ695" i="1172" s="1"/>
  <c r="BJ696" i="1172" s="1"/>
  <c r="BJ697" i="1172" s="1"/>
  <c r="BJ698" i="1172" s="1"/>
  <c r="BJ699" i="1172" s="1"/>
  <c r="BJ700" i="1172" s="1"/>
  <c r="BJ701" i="1172" s="1"/>
  <c r="BJ702" i="1172" s="1"/>
  <c r="BJ703" i="1172" s="1"/>
  <c r="BJ704" i="1172" s="1"/>
  <c r="BJ705" i="1172" s="1"/>
  <c r="BJ706" i="1172" s="1"/>
  <c r="BJ707" i="1172" s="1"/>
  <c r="BJ708" i="1172" s="1"/>
  <c r="BJ709" i="1172" s="1"/>
  <c r="BJ710" i="1172" s="1"/>
  <c r="BJ711" i="1172" s="1"/>
  <c r="BJ712" i="1172" s="1"/>
  <c r="BJ713" i="1172" s="1"/>
  <c r="BJ714" i="1172" s="1"/>
  <c r="BJ715" i="1172" s="1"/>
  <c r="BJ716" i="1172" s="1"/>
  <c r="BJ717" i="1172" s="1"/>
  <c r="BJ718" i="1172" s="1"/>
  <c r="BJ719" i="1172" s="1"/>
  <c r="BJ720" i="1172" s="1"/>
  <c r="BJ721" i="1172" s="1"/>
  <c r="BJ722" i="1172" s="1"/>
  <c r="BJ723" i="1172" s="1"/>
  <c r="BJ724" i="1172" s="1"/>
  <c r="BJ725" i="1172" s="1"/>
  <c r="BJ726" i="1172" s="1"/>
  <c r="BJ727" i="1172" s="1"/>
  <c r="BJ728" i="1172" s="1"/>
  <c r="BJ729" i="1172" s="1"/>
  <c r="BJ730" i="1172" s="1"/>
  <c r="BJ731" i="1172" s="1"/>
  <c r="BJ732" i="1172" s="1"/>
  <c r="BJ733" i="1172" s="1"/>
  <c r="BJ734" i="1172" s="1"/>
  <c r="BJ735" i="1172" s="1"/>
  <c r="BJ736" i="1172" s="1"/>
  <c r="BJ737" i="1172" s="1"/>
  <c r="BJ738" i="1172" s="1"/>
  <c r="BJ739" i="1172" s="1"/>
  <c r="BJ740" i="1172" s="1"/>
  <c r="BJ741" i="1172" s="1"/>
  <c r="BJ742" i="1172" s="1"/>
  <c r="BJ743" i="1172" s="1"/>
  <c r="BJ744" i="1172" s="1"/>
  <c r="BJ745" i="1172" s="1"/>
  <c r="BJ746" i="1172" s="1"/>
  <c r="BJ747" i="1172" s="1"/>
  <c r="BJ748" i="1172" s="1"/>
  <c r="BJ749" i="1172" s="1"/>
  <c r="BJ750" i="1172" s="1"/>
  <c r="BJ751" i="1172" s="1"/>
  <c r="BJ752" i="1172" s="1"/>
  <c r="BJ753" i="1172" s="1"/>
  <c r="BJ754" i="1172" s="1"/>
  <c r="BJ755" i="1172" s="1"/>
  <c r="BJ756" i="1172" s="1"/>
  <c r="BJ757" i="1172" s="1"/>
  <c r="BJ758" i="1172" s="1"/>
  <c r="BJ759" i="1172" s="1"/>
  <c r="BJ760" i="1172" s="1"/>
  <c r="BJ761" i="1172" s="1"/>
  <c r="BJ762" i="1172" s="1"/>
  <c r="BJ763" i="1172" s="1"/>
  <c r="BJ764" i="1172" s="1"/>
  <c r="BJ765" i="1172" s="1"/>
  <c r="BJ766" i="1172" s="1"/>
  <c r="BJ767" i="1172" s="1"/>
  <c r="BJ768" i="1172" s="1"/>
  <c r="BJ769" i="1172" s="1"/>
  <c r="BJ770" i="1172" s="1"/>
  <c r="BJ771" i="1172" s="1"/>
  <c r="BJ772" i="1172" s="1"/>
  <c r="BJ773" i="1172" s="1"/>
  <c r="BJ774" i="1172" s="1"/>
  <c r="BJ775" i="1172" s="1"/>
  <c r="BJ776" i="1172" s="1"/>
  <c r="BJ777" i="1172" s="1"/>
  <c r="BJ778" i="1172" s="1"/>
  <c r="BJ779" i="1172" s="1"/>
  <c r="BJ780" i="1172" s="1"/>
  <c r="BJ781" i="1172" s="1"/>
  <c r="BJ782" i="1172" s="1"/>
  <c r="BJ783" i="1172" s="1"/>
  <c r="BJ784" i="1172" s="1"/>
  <c r="BJ785" i="1172" s="1"/>
  <c r="BJ786" i="1172" s="1"/>
  <c r="BJ787" i="1172" s="1"/>
  <c r="BJ788" i="1172" s="1"/>
  <c r="BJ789" i="1172" s="1"/>
  <c r="BJ790" i="1172" s="1"/>
  <c r="BJ791" i="1172" s="1"/>
  <c r="BJ792" i="1172" s="1"/>
  <c r="BJ793" i="1172" s="1"/>
  <c r="BJ794" i="1172" s="1"/>
  <c r="BJ795" i="1172" s="1"/>
  <c r="BJ796" i="1172" s="1"/>
  <c r="BJ797" i="1172" s="1"/>
  <c r="BJ798" i="1172" s="1"/>
  <c r="BJ799" i="1172" s="1"/>
  <c r="BJ800" i="1172" s="1"/>
  <c r="BJ801" i="1172" s="1"/>
  <c r="BJ802" i="1172" s="1"/>
  <c r="BJ803" i="1172" s="1"/>
  <c r="BJ804" i="1172" s="1"/>
  <c r="BJ805" i="1172" s="1"/>
  <c r="BJ806" i="1172" s="1"/>
  <c r="BJ807" i="1172" s="1"/>
  <c r="BJ808" i="1172" s="1"/>
  <c r="BJ809" i="1172" s="1"/>
  <c r="BJ810" i="1172" s="1"/>
  <c r="BJ811" i="1172" s="1"/>
  <c r="BJ812" i="1172" s="1"/>
  <c r="BJ813" i="1172" s="1"/>
  <c r="BJ814" i="1172" s="1"/>
  <c r="BJ815" i="1172" s="1"/>
  <c r="BJ816" i="1172" s="1"/>
  <c r="BJ817" i="1172" s="1"/>
  <c r="BJ818" i="1172" s="1"/>
  <c r="BJ819" i="1172" s="1"/>
  <c r="BJ820" i="1172" s="1"/>
  <c r="BJ821" i="1172" s="1"/>
  <c r="BJ822" i="1172" s="1"/>
  <c r="BJ823" i="1172" s="1"/>
  <c r="BJ824" i="1172" s="1"/>
  <c r="BJ825" i="1172" s="1"/>
  <c r="BJ826" i="1172" s="1"/>
  <c r="BJ827" i="1172" s="1"/>
  <c r="BJ828" i="1172" s="1"/>
  <c r="BJ829" i="1172" s="1"/>
  <c r="BJ830" i="1172" s="1"/>
  <c r="BJ831" i="1172" s="1"/>
  <c r="BJ832" i="1172" s="1"/>
  <c r="BJ833" i="1172" s="1"/>
  <c r="BJ834" i="1172" s="1"/>
  <c r="BJ835" i="1172" s="1"/>
  <c r="BJ836" i="1172" s="1"/>
  <c r="BJ837" i="1172" s="1"/>
  <c r="BJ838" i="1172" s="1"/>
  <c r="BJ839" i="1172" s="1"/>
  <c r="BJ840" i="1172" s="1"/>
  <c r="BJ841" i="1172" s="1"/>
  <c r="BJ842" i="1172" s="1"/>
  <c r="BJ843" i="1172" s="1"/>
  <c r="BJ844" i="1172" s="1"/>
  <c r="BJ845" i="1172" s="1"/>
  <c r="BJ846" i="1172" s="1"/>
  <c r="BJ847" i="1172" s="1"/>
  <c r="BJ848" i="1172" s="1"/>
  <c r="BJ849" i="1172" s="1"/>
  <c r="BJ850" i="1172" s="1"/>
  <c r="BJ851" i="1172" s="1"/>
  <c r="BJ852" i="1172" s="1"/>
  <c r="BJ853" i="1172" s="1"/>
  <c r="BJ854" i="1172" s="1"/>
  <c r="BJ855" i="1172" s="1"/>
  <c r="BJ856" i="1172" s="1"/>
  <c r="BJ857" i="1172" s="1"/>
  <c r="BJ858" i="1172" s="1"/>
  <c r="BJ859" i="1172" s="1"/>
  <c r="BJ860" i="1172" s="1"/>
  <c r="BJ861" i="1172" s="1"/>
  <c r="BJ862" i="1172" s="1"/>
  <c r="BJ863" i="1172" s="1"/>
  <c r="BJ864" i="1172" s="1"/>
  <c r="BJ865" i="1172" s="1"/>
  <c r="BJ866" i="1172" s="1"/>
  <c r="BJ867" i="1172" s="1"/>
  <c r="BJ868" i="1172" s="1"/>
  <c r="BJ869" i="1172" s="1"/>
  <c r="BJ870" i="1172" s="1"/>
  <c r="BJ871" i="1172" s="1"/>
  <c r="BJ872" i="1172" s="1"/>
  <c r="BJ873" i="1172" s="1"/>
  <c r="BJ874" i="1172" s="1"/>
  <c r="BJ875" i="1172" s="1"/>
  <c r="BJ876" i="1172" s="1"/>
  <c r="BJ877" i="1172" s="1"/>
  <c r="BJ878" i="1172" s="1"/>
  <c r="BJ879" i="1172" s="1"/>
  <c r="BJ880" i="1172" s="1"/>
  <c r="BJ881" i="1172" s="1"/>
  <c r="BJ882" i="1172" s="1"/>
  <c r="BJ883" i="1172" s="1"/>
  <c r="BJ884" i="1172" s="1"/>
  <c r="BJ885" i="1172" s="1"/>
  <c r="BJ886" i="1172" s="1"/>
  <c r="BJ887" i="1172" s="1"/>
  <c r="BJ888" i="1172" s="1"/>
  <c r="BJ889" i="1172" s="1"/>
  <c r="BJ890" i="1172" s="1"/>
  <c r="BJ891" i="1172" s="1"/>
  <c r="BJ892" i="1172" s="1"/>
  <c r="BJ893" i="1172" s="1"/>
  <c r="BJ894" i="1172" s="1"/>
  <c r="BJ895" i="1172" s="1"/>
  <c r="BJ896" i="1172" s="1"/>
  <c r="BJ897" i="1172" s="1"/>
  <c r="BJ898" i="1172" s="1"/>
  <c r="BJ899" i="1172" s="1"/>
  <c r="BJ900" i="1172" s="1"/>
  <c r="BJ901" i="1172" s="1"/>
  <c r="BJ902" i="1172" s="1"/>
  <c r="BJ903" i="1172" s="1"/>
  <c r="BJ904" i="1172" s="1"/>
  <c r="BJ905" i="1172" s="1"/>
  <c r="BJ906" i="1172" s="1"/>
  <c r="BJ907" i="1172" s="1"/>
  <c r="BJ908" i="1172" s="1"/>
  <c r="BJ909" i="1172" s="1"/>
  <c r="BJ910" i="1172" s="1"/>
  <c r="BJ911" i="1172" s="1"/>
  <c r="BJ912" i="1172" s="1"/>
  <c r="BJ913" i="1172" s="1"/>
  <c r="BJ914" i="1172" s="1"/>
  <c r="BJ915" i="1172" s="1"/>
  <c r="BJ916" i="1172" s="1"/>
  <c r="BJ917" i="1172" s="1"/>
  <c r="BJ918" i="1172" s="1"/>
  <c r="BJ919" i="1172" s="1"/>
  <c r="BJ920" i="1172" s="1"/>
  <c r="BJ921" i="1172" s="1"/>
  <c r="BJ922" i="1172" s="1"/>
  <c r="BJ923" i="1172" s="1"/>
  <c r="BJ924" i="1172" s="1"/>
  <c r="BJ925" i="1172" s="1"/>
  <c r="BJ926" i="1172" s="1"/>
  <c r="BJ927" i="1172" s="1"/>
  <c r="BJ928" i="1172" s="1"/>
  <c r="BJ929" i="1172" s="1"/>
  <c r="BJ930" i="1172" s="1"/>
  <c r="BJ931" i="1172" s="1"/>
  <c r="BJ932" i="1172" s="1"/>
  <c r="BJ933" i="1172" s="1"/>
  <c r="BJ934" i="1172" s="1"/>
  <c r="BJ935" i="1172" s="1"/>
  <c r="BJ936" i="1172" s="1"/>
  <c r="BJ937" i="1172" s="1"/>
  <c r="BJ938" i="1172" s="1"/>
  <c r="BJ939" i="1172" s="1"/>
  <c r="BJ940" i="1172" s="1"/>
  <c r="BJ941" i="1172" s="1"/>
  <c r="BJ942" i="1172" s="1"/>
  <c r="BJ943" i="1172" s="1"/>
  <c r="BJ944" i="1172" s="1"/>
  <c r="BJ945" i="1172" s="1"/>
  <c r="BJ946" i="1172" s="1"/>
  <c r="BJ947" i="1172" s="1"/>
  <c r="BJ948" i="1172" s="1"/>
  <c r="BJ949" i="1172" s="1"/>
  <c r="BJ950" i="1172" s="1"/>
  <c r="BJ951" i="1172" s="1"/>
  <c r="BJ952" i="1172" s="1"/>
  <c r="BJ953" i="1172" s="1"/>
  <c r="BJ954" i="1172" s="1"/>
  <c r="BJ955" i="1172" s="1"/>
  <c r="BJ956" i="1172" s="1"/>
  <c r="BJ957" i="1172" s="1"/>
  <c r="BJ958" i="1172" s="1"/>
  <c r="BJ959" i="1172" s="1"/>
  <c r="BJ960" i="1172" s="1"/>
  <c r="BJ961" i="1172" s="1"/>
  <c r="BJ962" i="1172" s="1"/>
  <c r="BJ963" i="1172" s="1"/>
  <c r="BJ964" i="1172" s="1"/>
  <c r="BJ965" i="1172" s="1"/>
  <c r="BJ966" i="1172" s="1"/>
  <c r="BJ967" i="1172" s="1"/>
  <c r="BJ968" i="1172" s="1"/>
  <c r="BJ969" i="1172" s="1"/>
  <c r="BJ970" i="1172" s="1"/>
  <c r="BJ971" i="1172" s="1"/>
  <c r="BJ972" i="1172" s="1"/>
  <c r="BJ973" i="1172" s="1"/>
  <c r="BJ974" i="1172" s="1"/>
  <c r="BJ975" i="1172" s="1"/>
  <c r="BJ976" i="1172" s="1"/>
  <c r="BJ977" i="1172" s="1"/>
  <c r="BJ978" i="1172" s="1"/>
  <c r="BJ979" i="1172" s="1"/>
  <c r="BJ980" i="1172" s="1"/>
  <c r="BJ981" i="1172" s="1"/>
  <c r="BJ982" i="1172" s="1"/>
  <c r="BJ983" i="1172" s="1"/>
  <c r="BJ984" i="1172" s="1"/>
  <c r="BJ985" i="1172" s="1"/>
  <c r="BJ986" i="1172" s="1"/>
  <c r="BJ987" i="1172" s="1"/>
  <c r="BJ988" i="1172" s="1"/>
  <c r="BJ989" i="1172" s="1"/>
  <c r="BJ990" i="1172" s="1"/>
  <c r="BJ991" i="1172" s="1"/>
  <c r="BJ992" i="1172" s="1"/>
  <c r="BJ993" i="1172" s="1"/>
  <c r="BJ994" i="1172" s="1"/>
  <c r="BJ995" i="1172" s="1"/>
  <c r="BJ996" i="1172" s="1"/>
  <c r="BJ997" i="1172" s="1"/>
  <c r="BJ998" i="1172" s="1"/>
  <c r="BJ999" i="1172" s="1"/>
  <c r="BJ1000" i="1172" s="1"/>
  <c r="G12" i="1172"/>
  <c r="G13" i="1172"/>
  <c r="G14" i="1172"/>
  <c r="G15" i="1172"/>
  <c r="G16" i="1172"/>
  <c r="G17" i="1172"/>
  <c r="G18" i="1172"/>
  <c r="G19" i="1172"/>
  <c r="G20" i="1172"/>
  <c r="G21" i="1172"/>
  <c r="G22" i="1172"/>
  <c r="G23" i="1172"/>
  <c r="G24" i="1172"/>
  <c r="G25" i="1172"/>
  <c r="B1" i="1170"/>
  <c r="B2" i="1170"/>
  <c r="B5" i="1170"/>
  <c r="B9" i="1170"/>
  <c r="K9" i="1173" l="1"/>
  <c r="C46" i="1170"/>
  <c r="C21" i="1170"/>
  <c r="D46" i="1170"/>
  <c r="D21" i="1170" s="1"/>
  <c r="E46" i="1170"/>
  <c r="E21" i="1170" s="1"/>
  <c r="F46" i="1170"/>
  <c r="F21" i="1170" s="1"/>
  <c r="G46" i="1170"/>
  <c r="G21" i="1170"/>
  <c r="H46" i="1170"/>
  <c r="H21" i="1170" s="1"/>
  <c r="I46" i="1170"/>
  <c r="I21" i="1170"/>
  <c r="B24" i="1170"/>
  <c r="I1" i="1173" l="1"/>
  <c r="C6" i="27"/>
  <c r="I2" i="27"/>
  <c r="D3" i="27" a="1"/>
  <c r="D3" i="27" l="1"/>
  <c r="A267" i="27"/>
  <c r="A266" i="27" s="1"/>
  <c r="A265" i="27" s="1"/>
  <c r="A264" i="27" s="1"/>
  <c r="A263" i="27" s="1"/>
  <c r="A262" i="27" s="1"/>
  <c r="A261" i="27" s="1"/>
  <c r="A260" i="27" s="1"/>
  <c r="A259" i="27" s="1"/>
  <c r="A258" i="27" s="1"/>
  <c r="A257" i="27" s="1"/>
  <c r="A256" i="27" s="1"/>
  <c r="A255" i="27" s="1"/>
  <c r="A254" i="27" s="1"/>
  <c r="A253" i="27" s="1"/>
  <c r="A252" i="27" s="1"/>
  <c r="A251" i="27" s="1"/>
  <c r="A250" i="27" s="1"/>
  <c r="A249" i="27" s="1"/>
  <c r="A248" i="27" s="1"/>
  <c r="A247" i="27" s="1"/>
  <c r="A246" i="27" s="1"/>
  <c r="A245" i="27" s="1"/>
  <c r="A244" i="27" s="1"/>
  <c r="A243" i="27" s="1"/>
  <c r="A242" i="27" s="1"/>
  <c r="A241" i="27" s="1"/>
  <c r="A240" i="27" s="1"/>
  <c r="A239" i="27" s="1"/>
  <c r="A238" i="27" s="1"/>
  <c r="A237" i="27" s="1"/>
  <c r="A236" i="27" s="1"/>
  <c r="A235" i="27" s="1"/>
  <c r="A234" i="27" s="1"/>
  <c r="A233" i="27" s="1"/>
  <c r="A232" i="27" s="1"/>
  <c r="A231" i="27" s="1"/>
  <c r="A230" i="27" s="1"/>
  <c r="A229" i="27" s="1"/>
  <c r="A228" i="27" s="1"/>
  <c r="A227" i="27" s="1"/>
  <c r="A226" i="27" s="1"/>
  <c r="A225" i="27" s="1"/>
  <c r="A224" i="27" s="1"/>
  <c r="A223" i="27" s="1"/>
  <c r="A222" i="27" s="1"/>
  <c r="A221" i="27" s="1"/>
  <c r="A220" i="27" s="1"/>
  <c r="A219" i="27" s="1"/>
  <c r="A218" i="27" s="1"/>
  <c r="A217" i="27" s="1"/>
  <c r="A216" i="27" s="1"/>
  <c r="A215" i="27" s="1"/>
  <c r="A214" i="27" s="1"/>
  <c r="A213" i="27" s="1"/>
  <c r="A212" i="27" s="1"/>
  <c r="A211" i="27" s="1"/>
  <c r="A210" i="27" s="1"/>
  <c r="A209" i="27" s="1"/>
  <c r="A208" i="27" s="1"/>
  <c r="A207" i="27" s="1"/>
  <c r="A206" i="27" s="1"/>
  <c r="A205" i="27" s="1"/>
  <c r="A204" i="27" s="1"/>
  <c r="A203" i="27" s="1"/>
  <c r="A202" i="27" s="1"/>
  <c r="A201" i="27" s="1"/>
  <c r="A200" i="27" s="1"/>
  <c r="A199" i="27" s="1"/>
  <c r="A198" i="27" s="1"/>
  <c r="A197" i="27" s="1"/>
  <c r="A196" i="27" s="1"/>
  <c r="A195" i="27" s="1"/>
  <c r="A194" i="27" s="1"/>
  <c r="A193" i="27" s="1"/>
  <c r="A192" i="27" s="1"/>
  <c r="A191" i="27" s="1"/>
  <c r="A190" i="27" s="1"/>
  <c r="A189" i="27" s="1"/>
  <c r="A188" i="27" s="1"/>
  <c r="A187" i="27" s="1"/>
  <c r="A186" i="27" s="1"/>
  <c r="A185" i="27" s="1"/>
  <c r="A184" i="27" s="1"/>
  <c r="A183" i="27" s="1"/>
  <c r="A182" i="27" s="1"/>
  <c r="A181" i="27" s="1"/>
  <c r="A180" i="27" s="1"/>
  <c r="A179" i="27" s="1"/>
  <c r="A178" i="27" s="1"/>
  <c r="A177" i="27" s="1"/>
  <c r="A176" i="27" s="1"/>
  <c r="A175" i="27" s="1"/>
  <c r="A174" i="27" s="1"/>
  <c r="A173" i="27" s="1"/>
  <c r="A172" i="27" s="1"/>
  <c r="A171" i="27" s="1"/>
  <c r="A170" i="27" s="1"/>
  <c r="A169" i="27" s="1"/>
  <c r="A168" i="27" s="1"/>
  <c r="A167" i="27" s="1"/>
  <c r="A166" i="27" s="1"/>
  <c r="A165" i="27" s="1"/>
  <c r="A164" i="27" s="1"/>
  <c r="A163" i="27" s="1"/>
  <c r="A162" i="27" s="1"/>
  <c r="A161" i="27" s="1"/>
  <c r="A160" i="27" s="1"/>
  <c r="A159" i="27" s="1"/>
  <c r="A158" i="27" s="1"/>
  <c r="A157" i="27" s="1"/>
  <c r="A156" i="27" s="1"/>
  <c r="A155" i="27" s="1"/>
  <c r="A154" i="27" s="1"/>
  <c r="A153" i="27" s="1"/>
  <c r="A152" i="27" s="1"/>
  <c r="A151" i="27" s="1"/>
  <c r="A150" i="27" s="1"/>
  <c r="A149" i="27" s="1"/>
  <c r="A148" i="27" s="1"/>
  <c r="A147" i="27" s="1"/>
  <c r="A146" i="27" s="1"/>
  <c r="A145" i="27" s="1"/>
  <c r="A144" i="27" s="1"/>
  <c r="A143" i="27" s="1"/>
  <c r="A142" i="27" s="1"/>
  <c r="A141" i="27" s="1"/>
  <c r="A140" i="27" s="1"/>
  <c r="A139" i="27" s="1"/>
  <c r="A138" i="27" s="1"/>
  <c r="A137" i="27" s="1"/>
  <c r="A136" i="27" s="1"/>
  <c r="A135" i="27" s="1"/>
  <c r="A134" i="27" s="1"/>
  <c r="A133" i="27" s="1"/>
  <c r="A132" i="27" s="1"/>
  <c r="A131" i="27" s="1"/>
  <c r="A130" i="27" s="1"/>
  <c r="A129" i="27" s="1"/>
  <c r="A128" i="27" s="1"/>
  <c r="A127" i="27" s="1"/>
  <c r="A126" i="27" s="1"/>
  <c r="A125" i="27" s="1"/>
  <c r="A124" i="27" s="1"/>
  <c r="A123" i="27" s="1"/>
  <c r="A122" i="27" s="1"/>
  <c r="A121" i="27" s="1"/>
  <c r="A120" i="27" s="1"/>
  <c r="A119" i="27" s="1"/>
  <c r="A118" i="27" s="1"/>
  <c r="A117" i="27" s="1"/>
  <c r="A116" i="27" s="1"/>
  <c r="A115" i="27" s="1"/>
  <c r="A114" i="27" s="1"/>
  <c r="A113" i="27" s="1"/>
  <c r="A112" i="27" s="1"/>
  <c r="A111" i="27" s="1"/>
  <c r="A110" i="27" s="1"/>
  <c r="A109" i="27" s="1"/>
  <c r="A108" i="27" s="1"/>
  <c r="A107" i="27" s="1"/>
  <c r="A106" i="27" s="1"/>
  <c r="A105" i="27" s="1"/>
  <c r="A104" i="27" s="1"/>
  <c r="A103" i="27" s="1"/>
  <c r="A102" i="27" s="1"/>
  <c r="A101" i="27" s="1"/>
  <c r="A100" i="27" s="1"/>
  <c r="A99" i="27" s="1"/>
  <c r="A98" i="27" s="1"/>
  <c r="A97" i="27" s="1"/>
  <c r="A96" i="27" s="1"/>
  <c r="A95" i="27" s="1"/>
  <c r="A94" i="27" s="1"/>
  <c r="A93" i="27" s="1"/>
  <c r="A92" i="27" s="1"/>
  <c r="A91" i="27" s="1"/>
  <c r="A90" i="27" s="1"/>
  <c r="A89" i="27" s="1"/>
  <c r="A88" i="27" s="1"/>
  <c r="A87" i="27" s="1"/>
  <c r="A86" i="27" s="1"/>
  <c r="A85" i="27" s="1"/>
  <c r="A84" i="27" s="1"/>
  <c r="A83" i="27" s="1"/>
  <c r="A82" i="27" s="1"/>
  <c r="A81" i="27" s="1"/>
  <c r="A80" i="27" s="1"/>
  <c r="A79" i="27" s="1"/>
  <c r="A78" i="27" s="1"/>
  <c r="A77" i="27" s="1"/>
  <c r="A76" i="27" s="1"/>
  <c r="A75" i="27" s="1"/>
  <c r="A74" i="27" s="1"/>
  <c r="A73" i="27" s="1"/>
  <c r="A72" i="27" s="1"/>
  <c r="A71" i="27" s="1"/>
  <c r="A70" i="27" s="1"/>
  <c r="A69" i="27" s="1"/>
  <c r="A68" i="27" s="1"/>
  <c r="A67" i="27" s="1"/>
  <c r="A66" i="27" s="1"/>
  <c r="A65" i="27" s="1"/>
  <c r="A64" i="27" s="1"/>
  <c r="A63" i="27" s="1"/>
  <c r="A62" i="27" s="1"/>
  <c r="A61" i="27" s="1"/>
  <c r="A60" i="27" s="1"/>
  <c r="A59" i="27" s="1"/>
  <c r="A58" i="27" s="1"/>
  <c r="A57" i="27" s="1"/>
  <c r="A56" i="27" s="1"/>
  <c r="A55" i="27" s="1"/>
  <c r="A54" i="27" s="1"/>
  <c r="A53" i="27" s="1"/>
  <c r="A52" i="27" s="1"/>
  <c r="A51" i="27" s="1"/>
  <c r="A50" i="27" s="1"/>
  <c r="A49" i="27" s="1"/>
  <c r="A48" i="27" s="1"/>
  <c r="A47" i="27" s="1"/>
  <c r="A46" i="27" s="1"/>
  <c r="A45" i="27" s="1"/>
  <c r="A44" i="27" s="1"/>
  <c r="A43" i="27" s="1"/>
  <c r="A42" i="27" s="1"/>
  <c r="A41" i="27" s="1"/>
  <c r="A40" i="27" s="1"/>
  <c r="A39" i="27" s="1"/>
  <c r="A38" i="27" s="1"/>
  <c r="A37" i="27" s="1"/>
  <c r="A36" i="27" s="1"/>
  <c r="A35" i="27" s="1"/>
  <c r="A34" i="27" s="1"/>
  <c r="A33" i="27" s="1"/>
  <c r="A32" i="27" s="1"/>
  <c r="A31" i="27" s="1"/>
  <c r="A30" i="27" s="1"/>
  <c r="A29" i="27" s="1"/>
  <c r="A28" i="27" s="1"/>
  <c r="A27" i="27" s="1"/>
  <c r="A26" i="27" s="1"/>
  <c r="A25" i="27" s="1"/>
  <c r="A24" i="27" s="1"/>
  <c r="A23" i="27" s="1"/>
  <c r="A22" i="27" s="1"/>
  <c r="A21" i="27" s="1"/>
  <c r="A20" i="27" s="1"/>
  <c r="A19" i="27" s="1"/>
  <c r="A18" i="27" s="1"/>
  <c r="A17" i="27" s="1"/>
  <c r="A16" i="27" s="1"/>
  <c r="A15" i="27" s="1"/>
  <c r="A14" i="27" s="1"/>
  <c r="A13" i="27" s="1"/>
  <c r="A12" i="27" s="1"/>
  <c r="A11" i="27" s="1"/>
  <c r="A10" i="27" s="1"/>
  <c r="A9" i="27" s="1"/>
  <c r="A8" i="27" s="1"/>
  <c r="A7" i="27" s="1"/>
  <c r="D6" i="27"/>
  <c r="C5" i="27"/>
  <c r="D5" i="27"/>
  <c r="C7" i="27"/>
  <c r="D7" i="27"/>
  <c r="E6" i="27"/>
  <c r="E5" i="27"/>
  <c r="E7" i="27"/>
  <c r="F6" i="27"/>
  <c r="F5" i="27"/>
  <c r="F7" i="27"/>
  <c r="B7" i="27"/>
  <c r="C8" i="27"/>
  <c r="D8" i="27"/>
  <c r="E8" i="27"/>
  <c r="F8" i="27"/>
  <c r="B8" i="27"/>
  <c r="C9" i="27"/>
  <c r="D9" i="27"/>
  <c r="E9" i="27"/>
  <c r="F9" i="27"/>
  <c r="B9" i="27"/>
  <c r="C10" i="27"/>
  <c r="D10" i="27"/>
  <c r="E10" i="27"/>
  <c r="F10" i="27"/>
  <c r="B10" i="27"/>
  <c r="C11" i="27"/>
  <c r="D11" i="27"/>
  <c r="E11" i="27"/>
  <c r="F11" i="27"/>
  <c r="B11" i="27"/>
  <c r="C12" i="27"/>
  <c r="D12" i="27"/>
  <c r="E12" i="27"/>
  <c r="F12" i="27"/>
  <c r="B12" i="27"/>
  <c r="C13" i="27"/>
  <c r="D13" i="27"/>
  <c r="E13" i="27"/>
  <c r="F13" i="27"/>
  <c r="B13" i="27"/>
  <c r="C14" i="27"/>
  <c r="D14" i="27"/>
  <c r="E14" i="27"/>
  <c r="F14" i="27"/>
  <c r="B14" i="27"/>
  <c r="C15" i="27"/>
  <c r="D15" i="27"/>
  <c r="E15" i="27"/>
  <c r="F15" i="27"/>
  <c r="B15" i="27"/>
  <c r="C16" i="27"/>
  <c r="D16" i="27"/>
  <c r="E16" i="27"/>
  <c r="F16" i="27"/>
  <c r="B16" i="27"/>
  <c r="C17" i="27"/>
  <c r="D17" i="27"/>
  <c r="E17" i="27"/>
  <c r="F17" i="27"/>
  <c r="B17" i="27"/>
  <c r="C18" i="27"/>
  <c r="D18" i="27"/>
  <c r="E18" i="27"/>
  <c r="F18" i="27"/>
  <c r="B18" i="27"/>
  <c r="C19" i="27"/>
  <c r="D19" i="27"/>
  <c r="E19" i="27"/>
  <c r="F19" i="27"/>
  <c r="B19" i="27"/>
  <c r="C20" i="27"/>
  <c r="D20" i="27"/>
  <c r="E20" i="27"/>
  <c r="F20" i="27"/>
  <c r="B20" i="27"/>
  <c r="C21" i="27"/>
  <c r="D21" i="27"/>
  <c r="E21" i="27"/>
  <c r="F21" i="27"/>
  <c r="B21" i="27"/>
  <c r="C22" i="27"/>
  <c r="D22" i="27"/>
  <c r="E22" i="27"/>
  <c r="F22" i="27"/>
  <c r="B22" i="27"/>
  <c r="C23" i="27"/>
  <c r="D23" i="27"/>
  <c r="E23" i="27"/>
  <c r="F23" i="27"/>
  <c r="B23" i="27"/>
  <c r="C24" i="27"/>
  <c r="D24" i="27"/>
  <c r="E24" i="27"/>
  <c r="F24" i="27"/>
  <c r="B24" i="27"/>
  <c r="C25" i="27"/>
  <c r="D25" i="27"/>
  <c r="E25" i="27"/>
  <c r="F25" i="27"/>
  <c r="B25" i="27"/>
  <c r="C26" i="27"/>
  <c r="D26" i="27"/>
  <c r="E26" i="27"/>
  <c r="F26" i="27"/>
  <c r="B26" i="27"/>
  <c r="C27" i="27"/>
  <c r="D27" i="27"/>
  <c r="E27" i="27"/>
  <c r="F27" i="27"/>
  <c r="B27" i="27"/>
  <c r="C28" i="27"/>
  <c r="D28" i="27"/>
  <c r="E28" i="27"/>
  <c r="F28" i="27"/>
  <c r="B28" i="27"/>
  <c r="C29" i="27"/>
  <c r="D29" i="27"/>
  <c r="E29" i="27"/>
  <c r="F29" i="27"/>
  <c r="B29" i="27"/>
  <c r="C30" i="27"/>
  <c r="D30" i="27"/>
  <c r="E30" i="27"/>
  <c r="F30" i="27"/>
  <c r="B30" i="27"/>
  <c r="C31" i="27"/>
  <c r="D31" i="27"/>
  <c r="E31" i="27"/>
  <c r="F31" i="27"/>
  <c r="B31" i="27"/>
  <c r="C32" i="27"/>
  <c r="D32" i="27"/>
  <c r="E32" i="27"/>
  <c r="F32" i="27"/>
  <c r="B32" i="27"/>
  <c r="C33" i="27"/>
  <c r="D33" i="27"/>
  <c r="E33" i="27"/>
  <c r="F33" i="27"/>
  <c r="B33" i="27"/>
  <c r="C34" i="27"/>
  <c r="D34" i="27"/>
  <c r="E34" i="27"/>
  <c r="F34" i="27"/>
  <c r="B34" i="27"/>
  <c r="C35" i="27"/>
  <c r="D35" i="27"/>
  <c r="E35" i="27"/>
  <c r="F35" i="27"/>
  <c r="B35" i="27"/>
  <c r="C36" i="27"/>
  <c r="D36" i="27"/>
  <c r="E36" i="27"/>
  <c r="F36" i="27"/>
  <c r="B36" i="27"/>
  <c r="C37" i="27"/>
  <c r="D37" i="27"/>
  <c r="E37" i="27"/>
  <c r="F37" i="27"/>
  <c r="B37" i="27"/>
  <c r="C38" i="27"/>
  <c r="D38" i="27"/>
  <c r="E38" i="27"/>
  <c r="F38" i="27"/>
  <c r="B38" i="27"/>
  <c r="C39" i="27"/>
  <c r="D39" i="27"/>
  <c r="E39" i="27"/>
  <c r="F39" i="27"/>
  <c r="B39" i="27"/>
  <c r="C40" i="27"/>
  <c r="D40" i="27"/>
  <c r="E40" i="27"/>
  <c r="F40" i="27"/>
  <c r="B40" i="27"/>
  <c r="C41" i="27"/>
  <c r="D41" i="27"/>
  <c r="E41" i="27"/>
  <c r="F41" i="27"/>
  <c r="B41" i="27"/>
  <c r="C42" i="27"/>
  <c r="D42" i="27"/>
  <c r="E42" i="27"/>
  <c r="F42" i="27"/>
  <c r="B42" i="27"/>
  <c r="C43" i="27"/>
  <c r="D43" i="27"/>
  <c r="E43" i="27"/>
  <c r="F43" i="27"/>
  <c r="B43" i="27"/>
  <c r="C44" i="27"/>
  <c r="D44" i="27"/>
  <c r="E44" i="27"/>
  <c r="F44" i="27"/>
  <c r="B44" i="27"/>
  <c r="C45" i="27"/>
  <c r="D45" i="27"/>
  <c r="E45" i="27"/>
  <c r="F45" i="27"/>
  <c r="B45" i="27"/>
  <c r="C46" i="27"/>
  <c r="D46" i="27"/>
  <c r="E46" i="27"/>
  <c r="F46" i="27"/>
  <c r="B46" i="27"/>
  <c r="C47" i="27"/>
  <c r="D47" i="27"/>
  <c r="E47" i="27"/>
  <c r="F47" i="27"/>
  <c r="B47" i="27"/>
  <c r="C48" i="27"/>
  <c r="D48" i="27"/>
  <c r="E48" i="27"/>
  <c r="F48" i="27"/>
  <c r="B48" i="27"/>
  <c r="C49" i="27"/>
  <c r="D49" i="27"/>
  <c r="E49" i="27"/>
  <c r="F49" i="27"/>
  <c r="B49" i="27"/>
  <c r="C50" i="27"/>
  <c r="D50" i="27"/>
  <c r="E50" i="27"/>
  <c r="F50" i="27"/>
  <c r="B50" i="27"/>
  <c r="C51" i="27"/>
  <c r="D51" i="27"/>
  <c r="E51" i="27"/>
  <c r="F51" i="27"/>
  <c r="B51" i="27"/>
  <c r="C52" i="27"/>
  <c r="D52" i="27"/>
  <c r="E52" i="27"/>
  <c r="F52" i="27"/>
  <c r="B52" i="27"/>
  <c r="C53" i="27"/>
  <c r="D53" i="27"/>
  <c r="E53" i="27"/>
  <c r="F53" i="27"/>
  <c r="B53" i="27"/>
  <c r="C54" i="27"/>
  <c r="D54" i="27"/>
  <c r="E54" i="27"/>
  <c r="F54" i="27"/>
  <c r="B54" i="27"/>
  <c r="C55" i="27"/>
  <c r="D55" i="27"/>
  <c r="E55" i="27"/>
  <c r="F55" i="27"/>
  <c r="B55" i="27"/>
  <c r="C56" i="27"/>
  <c r="D56" i="27"/>
  <c r="E56" i="27"/>
  <c r="F56" i="27"/>
  <c r="B56" i="27"/>
  <c r="C57" i="27"/>
  <c r="D57" i="27"/>
  <c r="E57" i="27"/>
  <c r="F57" i="27"/>
  <c r="B57" i="27"/>
  <c r="C58" i="27"/>
  <c r="D58" i="27"/>
  <c r="E58" i="27"/>
  <c r="F58" i="27"/>
  <c r="B58" i="27"/>
  <c r="C59" i="27"/>
  <c r="D59" i="27"/>
  <c r="E59" i="27"/>
  <c r="F59" i="27"/>
  <c r="B59" i="27"/>
  <c r="C60" i="27"/>
  <c r="D60" i="27"/>
  <c r="E60" i="27"/>
  <c r="F60" i="27"/>
  <c r="B60" i="27"/>
  <c r="C61" i="27"/>
  <c r="D61" i="27"/>
  <c r="E61" i="27"/>
  <c r="F61" i="27"/>
  <c r="B61" i="27"/>
  <c r="C62" i="27"/>
  <c r="D62" i="27"/>
  <c r="E62" i="27"/>
  <c r="F62" i="27"/>
  <c r="B62" i="27"/>
  <c r="C63" i="27"/>
  <c r="D63" i="27"/>
  <c r="E63" i="27"/>
  <c r="F63" i="27"/>
  <c r="B63" i="27"/>
  <c r="C64" i="27"/>
  <c r="D64" i="27"/>
  <c r="E64" i="27"/>
  <c r="F64" i="27"/>
  <c r="B64" i="27"/>
  <c r="C65" i="27"/>
  <c r="D65" i="27"/>
  <c r="E65" i="27"/>
  <c r="F65" i="27"/>
  <c r="B65" i="27"/>
  <c r="C66" i="27"/>
  <c r="D66" i="27"/>
  <c r="E66" i="27"/>
  <c r="F66" i="27"/>
  <c r="B66" i="27"/>
  <c r="C67" i="27"/>
  <c r="D67" i="27"/>
  <c r="E67" i="27"/>
  <c r="F67" i="27"/>
  <c r="B67" i="27"/>
  <c r="C68" i="27"/>
  <c r="D68" i="27"/>
  <c r="E68" i="27"/>
  <c r="F68" i="27"/>
  <c r="B68" i="27"/>
  <c r="C69" i="27"/>
  <c r="D69" i="27"/>
  <c r="E69" i="27"/>
  <c r="F69" i="27"/>
  <c r="B69" i="27"/>
  <c r="C70" i="27"/>
  <c r="D70" i="27"/>
  <c r="E70" i="27"/>
  <c r="F70" i="27"/>
  <c r="B70" i="27"/>
  <c r="C71" i="27"/>
  <c r="D71" i="27"/>
  <c r="E71" i="27"/>
  <c r="F71" i="27"/>
  <c r="B71" i="27"/>
  <c r="C72" i="27"/>
  <c r="D72" i="27"/>
  <c r="E72" i="27"/>
  <c r="F72" i="27"/>
  <c r="B72" i="27"/>
  <c r="C73" i="27"/>
  <c r="D73" i="27"/>
  <c r="E73" i="27"/>
  <c r="F73" i="27"/>
  <c r="B73" i="27"/>
  <c r="C74" i="27"/>
  <c r="D74" i="27"/>
  <c r="E74" i="27"/>
  <c r="F74" i="27"/>
  <c r="B74" i="27"/>
  <c r="C75" i="27"/>
  <c r="D75" i="27"/>
  <c r="E75" i="27"/>
  <c r="F75" i="27"/>
  <c r="B75" i="27"/>
  <c r="C76" i="27"/>
  <c r="D76" i="27"/>
  <c r="E76" i="27"/>
  <c r="F76" i="27"/>
  <c r="B76" i="27"/>
  <c r="C77" i="27"/>
  <c r="D77" i="27"/>
  <c r="E77" i="27"/>
  <c r="F77" i="27"/>
  <c r="B77" i="27"/>
  <c r="C78" i="27"/>
  <c r="D78" i="27"/>
  <c r="E78" i="27"/>
  <c r="F78" i="27"/>
  <c r="B78" i="27"/>
  <c r="C79" i="27"/>
  <c r="D79" i="27"/>
  <c r="E79" i="27"/>
  <c r="F79" i="27"/>
  <c r="B79" i="27"/>
  <c r="C80" i="27"/>
  <c r="D80" i="27"/>
  <c r="E80" i="27"/>
  <c r="F80" i="27"/>
  <c r="B80" i="27"/>
  <c r="C81" i="27"/>
  <c r="D81" i="27"/>
  <c r="E81" i="27"/>
  <c r="F81" i="27"/>
  <c r="B81" i="27"/>
  <c r="C82" i="27"/>
  <c r="D82" i="27"/>
  <c r="E82" i="27"/>
  <c r="F82" i="27"/>
  <c r="B82" i="27"/>
  <c r="C83" i="27"/>
  <c r="D83" i="27"/>
  <c r="E83" i="27"/>
  <c r="F83" i="27"/>
  <c r="B83" i="27"/>
  <c r="C84" i="27"/>
  <c r="D84" i="27"/>
  <c r="E84" i="27"/>
  <c r="F84" i="27"/>
  <c r="B84" i="27"/>
  <c r="C85" i="27"/>
  <c r="D85" i="27"/>
  <c r="E85" i="27"/>
  <c r="F85" i="27"/>
  <c r="B85" i="27"/>
  <c r="C86" i="27"/>
  <c r="D86" i="27"/>
  <c r="E86" i="27"/>
  <c r="F86" i="27"/>
  <c r="B86" i="27"/>
  <c r="C87" i="27"/>
  <c r="D87" i="27"/>
  <c r="E87" i="27"/>
  <c r="F87" i="27"/>
  <c r="B87" i="27"/>
  <c r="C88" i="27"/>
  <c r="D88" i="27"/>
  <c r="E88" i="27"/>
  <c r="F88" i="27"/>
  <c r="B88" i="27"/>
  <c r="C89" i="27"/>
  <c r="D89" i="27"/>
  <c r="E89" i="27"/>
  <c r="F89" i="27"/>
  <c r="B89" i="27"/>
  <c r="C90" i="27"/>
  <c r="D90" i="27"/>
  <c r="E90" i="27"/>
  <c r="F90" i="27"/>
  <c r="B90" i="27"/>
  <c r="C91" i="27"/>
  <c r="D91" i="27"/>
  <c r="E91" i="27"/>
  <c r="F91" i="27"/>
  <c r="B91" i="27"/>
  <c r="C92" i="27"/>
  <c r="D92" i="27"/>
  <c r="E92" i="27"/>
  <c r="F92" i="27"/>
  <c r="B92" i="27"/>
  <c r="C93" i="27"/>
  <c r="D93" i="27"/>
  <c r="E93" i="27"/>
  <c r="F93" i="27"/>
  <c r="B93" i="27"/>
  <c r="C94" i="27"/>
  <c r="D94" i="27"/>
  <c r="E94" i="27"/>
  <c r="F94" i="27"/>
  <c r="B94" i="27"/>
  <c r="C95" i="27"/>
  <c r="D95" i="27"/>
  <c r="E95" i="27"/>
  <c r="F95" i="27"/>
  <c r="B95" i="27"/>
  <c r="C96" i="27"/>
  <c r="D96" i="27"/>
  <c r="E96" i="27"/>
  <c r="F96" i="27"/>
  <c r="B96" i="27"/>
  <c r="C97" i="27"/>
  <c r="D97" i="27"/>
  <c r="E97" i="27"/>
  <c r="F97" i="27"/>
  <c r="B97" i="27"/>
  <c r="C98" i="27"/>
  <c r="D98" i="27"/>
  <c r="E98" i="27"/>
  <c r="F98" i="27"/>
  <c r="B98" i="27"/>
  <c r="C99" i="27"/>
  <c r="D99" i="27"/>
  <c r="E99" i="27"/>
  <c r="F99" i="27"/>
  <c r="B99" i="27"/>
  <c r="C100" i="27"/>
  <c r="D100" i="27"/>
  <c r="E100" i="27"/>
  <c r="F100" i="27"/>
  <c r="B100" i="27"/>
  <c r="C101" i="27"/>
  <c r="D101" i="27"/>
  <c r="E101" i="27"/>
  <c r="F101" i="27"/>
  <c r="B101" i="27"/>
  <c r="C102" i="27"/>
  <c r="D102" i="27"/>
  <c r="E102" i="27"/>
  <c r="F102" i="27"/>
  <c r="B102" i="27"/>
  <c r="C103" i="27"/>
  <c r="D103" i="27"/>
  <c r="E103" i="27"/>
  <c r="F103" i="27"/>
  <c r="B103" i="27"/>
  <c r="C104" i="27"/>
  <c r="D104" i="27"/>
  <c r="E104" i="27"/>
  <c r="F104" i="27"/>
  <c r="B104" i="27"/>
  <c r="C105" i="27"/>
  <c r="D105" i="27"/>
  <c r="E105" i="27"/>
  <c r="F105" i="27"/>
  <c r="B105" i="27"/>
  <c r="C106" i="27"/>
  <c r="D106" i="27"/>
  <c r="E106" i="27"/>
  <c r="F106" i="27"/>
  <c r="B106" i="27"/>
  <c r="C107" i="27"/>
  <c r="D107" i="27"/>
  <c r="E107" i="27"/>
  <c r="F107" i="27"/>
  <c r="B107" i="27"/>
  <c r="C108" i="27"/>
  <c r="D108" i="27"/>
  <c r="E108" i="27"/>
  <c r="F108" i="27"/>
  <c r="B108" i="27"/>
  <c r="C109" i="27"/>
  <c r="D109" i="27"/>
  <c r="E109" i="27"/>
  <c r="F109" i="27"/>
  <c r="B109" i="27"/>
  <c r="C110" i="27"/>
  <c r="D110" i="27"/>
  <c r="E110" i="27"/>
  <c r="F110" i="27"/>
  <c r="B110" i="27"/>
  <c r="C111" i="27"/>
  <c r="D111" i="27"/>
  <c r="E111" i="27"/>
  <c r="F111" i="27"/>
  <c r="B111" i="27"/>
  <c r="C112" i="27"/>
  <c r="D112" i="27"/>
  <c r="E112" i="27"/>
  <c r="F112" i="27"/>
  <c r="B112" i="27"/>
  <c r="C113" i="27"/>
  <c r="D113" i="27"/>
  <c r="E113" i="27"/>
  <c r="F113" i="27"/>
  <c r="B113" i="27"/>
  <c r="C114" i="27"/>
  <c r="D114" i="27"/>
  <c r="E114" i="27"/>
  <c r="F114" i="27"/>
  <c r="B114" i="27"/>
  <c r="C115" i="27"/>
  <c r="D115" i="27"/>
  <c r="E115" i="27"/>
  <c r="F115" i="27"/>
  <c r="B115" i="27"/>
  <c r="C116" i="27"/>
  <c r="D116" i="27"/>
  <c r="E116" i="27"/>
  <c r="F116" i="27"/>
  <c r="B116" i="27"/>
  <c r="C117" i="27"/>
  <c r="D117" i="27"/>
  <c r="E117" i="27"/>
  <c r="F117" i="27"/>
  <c r="B117" i="27"/>
  <c r="C118" i="27"/>
  <c r="D118" i="27"/>
  <c r="E118" i="27"/>
  <c r="F118" i="27"/>
  <c r="B118" i="27"/>
  <c r="C119" i="27"/>
  <c r="D119" i="27"/>
  <c r="E119" i="27"/>
  <c r="F119" i="27"/>
  <c r="B119" i="27"/>
  <c r="C120" i="27"/>
  <c r="D120" i="27"/>
  <c r="E120" i="27"/>
  <c r="F120" i="27"/>
  <c r="B120" i="27"/>
  <c r="C121" i="27"/>
  <c r="D121" i="27"/>
  <c r="E121" i="27"/>
  <c r="F121" i="27"/>
  <c r="B121" i="27"/>
  <c r="C122" i="27"/>
  <c r="D122" i="27"/>
  <c r="E122" i="27"/>
  <c r="F122" i="27"/>
  <c r="B122" i="27"/>
  <c r="C123" i="27"/>
  <c r="D123" i="27"/>
  <c r="E123" i="27"/>
  <c r="F123" i="27"/>
  <c r="B123" i="27"/>
  <c r="C124" i="27"/>
  <c r="D124" i="27"/>
  <c r="E124" i="27"/>
  <c r="F124" i="27"/>
  <c r="B124" i="27"/>
  <c r="C125" i="27"/>
  <c r="D125" i="27"/>
  <c r="E125" i="27"/>
  <c r="F125" i="27"/>
  <c r="B125" i="27"/>
  <c r="C126" i="27"/>
  <c r="D126" i="27"/>
  <c r="E126" i="27"/>
  <c r="F126" i="27"/>
  <c r="B126" i="27"/>
  <c r="C127" i="27"/>
  <c r="D127" i="27"/>
  <c r="E127" i="27"/>
  <c r="F127" i="27"/>
  <c r="B127" i="27"/>
  <c r="C128" i="27"/>
  <c r="D128" i="27"/>
  <c r="E128" i="27"/>
  <c r="F128" i="27"/>
  <c r="B128" i="27"/>
  <c r="C129" i="27"/>
  <c r="D129" i="27"/>
  <c r="E129" i="27"/>
  <c r="F129" i="27"/>
  <c r="B129" i="27"/>
  <c r="C130" i="27"/>
  <c r="D130" i="27"/>
  <c r="E130" i="27"/>
  <c r="F130" i="27"/>
  <c r="B130" i="27"/>
  <c r="C131" i="27"/>
  <c r="D131" i="27"/>
  <c r="E131" i="27"/>
  <c r="F131" i="27"/>
  <c r="B131" i="27"/>
  <c r="C132" i="27"/>
  <c r="D132" i="27"/>
  <c r="E132" i="27"/>
  <c r="F132" i="27"/>
  <c r="B132" i="27"/>
  <c r="C133" i="27"/>
  <c r="D133" i="27"/>
  <c r="E133" i="27"/>
  <c r="F133" i="27"/>
  <c r="B133" i="27"/>
  <c r="C134" i="27"/>
  <c r="D134" i="27"/>
  <c r="E134" i="27"/>
  <c r="F134" i="27"/>
  <c r="B134" i="27"/>
  <c r="C135" i="27"/>
  <c r="D135" i="27"/>
  <c r="E135" i="27"/>
  <c r="F135" i="27"/>
  <c r="B135" i="27"/>
  <c r="C136" i="27"/>
  <c r="D136" i="27"/>
  <c r="E136" i="27"/>
  <c r="F136" i="27"/>
  <c r="B136" i="27"/>
  <c r="C137" i="27"/>
  <c r="D137" i="27"/>
  <c r="E137" i="27"/>
  <c r="F137" i="27"/>
  <c r="B137" i="27"/>
  <c r="C138" i="27"/>
  <c r="D138" i="27"/>
  <c r="E138" i="27"/>
  <c r="F138" i="27"/>
  <c r="B138" i="27"/>
  <c r="C139" i="27"/>
  <c r="D139" i="27"/>
  <c r="E139" i="27"/>
  <c r="F139" i="27"/>
  <c r="B139" i="27"/>
  <c r="C140" i="27"/>
  <c r="D140" i="27"/>
  <c r="E140" i="27"/>
  <c r="F140" i="27"/>
  <c r="B140" i="27"/>
  <c r="C141" i="27"/>
  <c r="D141" i="27"/>
  <c r="E141" i="27"/>
  <c r="F141" i="27"/>
  <c r="B141" i="27"/>
  <c r="C142" i="27"/>
  <c r="D142" i="27"/>
  <c r="E142" i="27"/>
  <c r="F142" i="27"/>
  <c r="B142" i="27"/>
  <c r="C143" i="27"/>
  <c r="D143" i="27"/>
  <c r="E143" i="27"/>
  <c r="F143" i="27"/>
  <c r="B143" i="27"/>
  <c r="C144" i="27"/>
  <c r="D144" i="27"/>
  <c r="E144" i="27"/>
  <c r="F144" i="27"/>
  <c r="B144" i="27"/>
  <c r="C145" i="27"/>
  <c r="D145" i="27"/>
  <c r="E145" i="27"/>
  <c r="F145" i="27"/>
  <c r="B145" i="27"/>
  <c r="C146" i="27"/>
  <c r="D146" i="27"/>
  <c r="E146" i="27"/>
  <c r="F146" i="27"/>
  <c r="B146" i="27"/>
  <c r="C147" i="27"/>
  <c r="D147" i="27"/>
  <c r="E147" i="27"/>
  <c r="F147" i="27"/>
  <c r="B147" i="27"/>
  <c r="C148" i="27"/>
  <c r="D148" i="27"/>
  <c r="E148" i="27"/>
  <c r="F148" i="27"/>
  <c r="B148" i="27"/>
  <c r="C149" i="27"/>
  <c r="D149" i="27"/>
  <c r="E149" i="27"/>
  <c r="F149" i="27"/>
  <c r="B149" i="27"/>
  <c r="C150" i="27"/>
  <c r="D150" i="27"/>
  <c r="E150" i="27"/>
  <c r="F150" i="27"/>
  <c r="B150" i="27"/>
  <c r="C151" i="27"/>
  <c r="D151" i="27"/>
  <c r="E151" i="27"/>
  <c r="F151" i="27"/>
  <c r="B151" i="27"/>
  <c r="C152" i="27"/>
  <c r="D152" i="27"/>
  <c r="E152" i="27"/>
  <c r="F152" i="27"/>
  <c r="B152" i="27"/>
  <c r="C153" i="27"/>
  <c r="D153" i="27"/>
  <c r="E153" i="27"/>
  <c r="F153" i="27"/>
  <c r="B153" i="27"/>
  <c r="C154" i="27"/>
  <c r="D154" i="27"/>
  <c r="E154" i="27"/>
  <c r="F154" i="27"/>
  <c r="B154" i="27"/>
  <c r="C155" i="27"/>
  <c r="D155" i="27"/>
  <c r="E155" i="27"/>
  <c r="F155" i="27"/>
  <c r="B155" i="27"/>
  <c r="C156" i="27"/>
  <c r="D156" i="27"/>
  <c r="E156" i="27"/>
  <c r="F156" i="27"/>
  <c r="B156" i="27"/>
  <c r="C157" i="27"/>
  <c r="D157" i="27"/>
  <c r="E157" i="27"/>
  <c r="F157" i="27"/>
  <c r="B157" i="27"/>
  <c r="C158" i="27"/>
  <c r="D158" i="27"/>
  <c r="E158" i="27"/>
  <c r="F158" i="27"/>
  <c r="B158" i="27"/>
  <c r="C159" i="27"/>
  <c r="D159" i="27"/>
  <c r="E159" i="27"/>
  <c r="F159" i="27"/>
  <c r="B159" i="27"/>
  <c r="C160" i="27"/>
  <c r="D160" i="27"/>
  <c r="E160" i="27"/>
  <c r="F160" i="27"/>
  <c r="B160" i="27"/>
  <c r="C161" i="27"/>
  <c r="D161" i="27"/>
  <c r="E161" i="27"/>
  <c r="F161" i="27"/>
  <c r="B161" i="27"/>
  <c r="C162" i="27"/>
  <c r="D162" i="27"/>
  <c r="E162" i="27"/>
  <c r="F162" i="27"/>
  <c r="B162" i="27"/>
  <c r="C163" i="27"/>
  <c r="D163" i="27"/>
  <c r="E163" i="27"/>
  <c r="F163" i="27"/>
  <c r="B163" i="27"/>
  <c r="C164" i="27"/>
  <c r="D164" i="27"/>
  <c r="E164" i="27"/>
  <c r="F164" i="27"/>
  <c r="B164" i="27"/>
  <c r="C165" i="27"/>
  <c r="D165" i="27"/>
  <c r="E165" i="27"/>
  <c r="F165" i="27"/>
  <c r="B165" i="27"/>
  <c r="C166" i="27"/>
  <c r="D166" i="27"/>
  <c r="E166" i="27"/>
  <c r="F166" i="27"/>
  <c r="B166" i="27"/>
  <c r="C167" i="27"/>
  <c r="D167" i="27"/>
  <c r="E167" i="27"/>
  <c r="F167" i="27"/>
  <c r="B167" i="27"/>
  <c r="C168" i="27"/>
  <c r="D168" i="27"/>
  <c r="E168" i="27"/>
  <c r="F168" i="27"/>
  <c r="B168" i="27"/>
  <c r="C169" i="27"/>
  <c r="D169" i="27"/>
  <c r="E169" i="27"/>
  <c r="F169" i="27"/>
  <c r="B169" i="27"/>
  <c r="C170" i="27"/>
  <c r="D170" i="27"/>
  <c r="E170" i="27"/>
  <c r="F170" i="27"/>
  <c r="B170" i="27"/>
  <c r="C171" i="27"/>
  <c r="D171" i="27"/>
  <c r="E171" i="27"/>
  <c r="F171" i="27"/>
  <c r="B171" i="27"/>
  <c r="C172" i="27"/>
  <c r="D172" i="27"/>
  <c r="E172" i="27"/>
  <c r="F172" i="27"/>
  <c r="B172" i="27"/>
  <c r="C173" i="27"/>
  <c r="D173" i="27"/>
  <c r="E173" i="27"/>
  <c r="F173" i="27"/>
  <c r="B173" i="27"/>
  <c r="C174" i="27"/>
  <c r="D174" i="27"/>
  <c r="E174" i="27"/>
  <c r="F174" i="27"/>
  <c r="B174" i="27"/>
  <c r="C175" i="27"/>
  <c r="D175" i="27"/>
  <c r="E175" i="27"/>
  <c r="F175" i="27"/>
  <c r="B175" i="27"/>
  <c r="C176" i="27"/>
  <c r="D176" i="27"/>
  <c r="E176" i="27"/>
  <c r="F176" i="27"/>
  <c r="B176" i="27"/>
  <c r="C177" i="27"/>
  <c r="D177" i="27"/>
  <c r="E177" i="27"/>
  <c r="F177" i="27"/>
  <c r="B177" i="27"/>
  <c r="C178" i="27"/>
  <c r="D178" i="27"/>
  <c r="E178" i="27"/>
  <c r="F178" i="27"/>
  <c r="B178" i="27"/>
  <c r="C179" i="27"/>
  <c r="D179" i="27"/>
  <c r="E179" i="27"/>
  <c r="F179" i="27"/>
  <c r="B179" i="27"/>
  <c r="C180" i="27"/>
  <c r="D180" i="27"/>
  <c r="E180" i="27"/>
  <c r="F180" i="27"/>
  <c r="B180" i="27"/>
  <c r="C181" i="27"/>
  <c r="D181" i="27"/>
  <c r="E181" i="27"/>
  <c r="F181" i="27"/>
  <c r="B181" i="27"/>
  <c r="C182" i="27"/>
  <c r="D182" i="27"/>
  <c r="E182" i="27"/>
  <c r="F182" i="27"/>
  <c r="B182" i="27"/>
  <c r="C183" i="27"/>
  <c r="D183" i="27"/>
  <c r="E183" i="27"/>
  <c r="F183" i="27"/>
  <c r="B183" i="27"/>
  <c r="C184" i="27"/>
  <c r="D184" i="27"/>
  <c r="E184" i="27"/>
  <c r="F184" i="27"/>
  <c r="B184" i="27"/>
  <c r="C185" i="27"/>
  <c r="D185" i="27"/>
  <c r="E185" i="27"/>
  <c r="F185" i="27"/>
  <c r="B185" i="27"/>
  <c r="C186" i="27"/>
  <c r="D186" i="27"/>
  <c r="E186" i="27"/>
  <c r="F186" i="27"/>
  <c r="B186" i="27"/>
  <c r="C187" i="27"/>
  <c r="D187" i="27"/>
  <c r="E187" i="27"/>
  <c r="F187" i="27"/>
  <c r="B187" i="27"/>
  <c r="C188" i="27"/>
  <c r="D188" i="27"/>
  <c r="E188" i="27"/>
  <c r="F188" i="27"/>
  <c r="B188" i="27"/>
  <c r="C189" i="27"/>
  <c r="D189" i="27"/>
  <c r="E189" i="27"/>
  <c r="F189" i="27"/>
  <c r="B189" i="27"/>
  <c r="C190" i="27"/>
  <c r="D190" i="27"/>
  <c r="E190" i="27"/>
  <c r="F190" i="27"/>
  <c r="B190" i="27"/>
  <c r="C191" i="27"/>
  <c r="D191" i="27"/>
  <c r="E191" i="27"/>
  <c r="F191" i="27"/>
  <c r="B191" i="27"/>
  <c r="C192" i="27"/>
  <c r="D192" i="27"/>
  <c r="E192" i="27"/>
  <c r="F192" i="27"/>
  <c r="B192" i="27"/>
  <c r="C193" i="27"/>
  <c r="D193" i="27"/>
  <c r="E193" i="27"/>
  <c r="F193" i="27"/>
  <c r="B193" i="27"/>
  <c r="C194" i="27"/>
  <c r="D194" i="27"/>
  <c r="E194" i="27"/>
  <c r="F194" i="27"/>
  <c r="B194" i="27"/>
  <c r="C195" i="27"/>
  <c r="D195" i="27"/>
  <c r="E195" i="27"/>
  <c r="F195" i="27"/>
  <c r="B195" i="27"/>
  <c r="C196" i="27"/>
  <c r="D196" i="27"/>
  <c r="E196" i="27"/>
  <c r="F196" i="27"/>
  <c r="B196" i="27"/>
  <c r="C197" i="27"/>
  <c r="D197" i="27"/>
  <c r="E197" i="27"/>
  <c r="F197" i="27"/>
  <c r="B197" i="27"/>
  <c r="C198" i="27"/>
  <c r="D198" i="27"/>
  <c r="E198" i="27"/>
  <c r="F198" i="27"/>
  <c r="B198" i="27"/>
  <c r="C199" i="27"/>
  <c r="D199" i="27"/>
  <c r="E199" i="27"/>
  <c r="F199" i="27"/>
  <c r="B199" i="27"/>
  <c r="C200" i="27"/>
  <c r="D200" i="27"/>
  <c r="E200" i="27"/>
  <c r="F200" i="27"/>
  <c r="B200" i="27"/>
  <c r="C201" i="27"/>
  <c r="D201" i="27"/>
  <c r="E201" i="27"/>
  <c r="F201" i="27"/>
  <c r="B201" i="27"/>
  <c r="C202" i="27"/>
  <c r="D202" i="27"/>
  <c r="E202" i="27"/>
  <c r="F202" i="27"/>
  <c r="B202" i="27"/>
  <c r="C203" i="27"/>
  <c r="D203" i="27"/>
  <c r="E203" i="27"/>
  <c r="F203" i="27"/>
  <c r="B203" i="27"/>
  <c r="C204" i="27"/>
  <c r="D204" i="27"/>
  <c r="E204" i="27"/>
  <c r="F204" i="27"/>
  <c r="B204" i="27"/>
  <c r="C205" i="27"/>
  <c r="D205" i="27"/>
  <c r="E205" i="27"/>
  <c r="F205" i="27"/>
  <c r="B205" i="27"/>
  <c r="C206" i="27"/>
  <c r="D206" i="27"/>
  <c r="E206" i="27"/>
  <c r="F206" i="27"/>
  <c r="B206" i="27"/>
  <c r="C207" i="27"/>
  <c r="D207" i="27"/>
  <c r="E207" i="27"/>
  <c r="F207" i="27"/>
  <c r="B207" i="27"/>
  <c r="C208" i="27"/>
  <c r="D208" i="27"/>
  <c r="E208" i="27"/>
  <c r="F208" i="27"/>
  <c r="B208" i="27"/>
  <c r="C209" i="27"/>
  <c r="D209" i="27"/>
  <c r="E209" i="27"/>
  <c r="F209" i="27"/>
  <c r="B209" i="27"/>
  <c r="C210" i="27"/>
  <c r="D210" i="27"/>
  <c r="E210" i="27"/>
  <c r="F210" i="27"/>
  <c r="B210" i="27"/>
  <c r="C211" i="27"/>
  <c r="D211" i="27"/>
  <c r="E211" i="27"/>
  <c r="F211" i="27"/>
  <c r="B211" i="27"/>
  <c r="C212" i="27"/>
  <c r="D212" i="27"/>
  <c r="E212" i="27"/>
  <c r="F212" i="27"/>
  <c r="B212" i="27"/>
  <c r="C213" i="27"/>
  <c r="D213" i="27"/>
  <c r="E213" i="27"/>
  <c r="F213" i="27"/>
  <c r="B213" i="27"/>
  <c r="C214" i="27"/>
  <c r="D214" i="27"/>
  <c r="E214" i="27"/>
  <c r="F214" i="27"/>
  <c r="B214" i="27"/>
  <c r="C215" i="27"/>
  <c r="D215" i="27"/>
  <c r="E215" i="27"/>
  <c r="F215" i="27"/>
  <c r="B215" i="27"/>
  <c r="C216" i="27"/>
  <c r="D216" i="27"/>
  <c r="E216" i="27"/>
  <c r="F216" i="27"/>
  <c r="B216" i="27"/>
  <c r="C217" i="27"/>
  <c r="D217" i="27"/>
  <c r="E217" i="27"/>
  <c r="F217" i="27"/>
  <c r="B217" i="27"/>
  <c r="C218" i="27"/>
  <c r="D218" i="27"/>
  <c r="E218" i="27"/>
  <c r="F218" i="27"/>
  <c r="B218" i="27"/>
  <c r="C219" i="27"/>
  <c r="D219" i="27"/>
  <c r="E219" i="27"/>
  <c r="F219" i="27"/>
  <c r="B219" i="27"/>
  <c r="C220" i="27"/>
  <c r="D220" i="27"/>
  <c r="E220" i="27"/>
  <c r="F220" i="27"/>
  <c r="B220" i="27"/>
  <c r="C221" i="27"/>
  <c r="D221" i="27"/>
  <c r="E221" i="27"/>
  <c r="F221" i="27"/>
  <c r="B221" i="27"/>
  <c r="C222" i="27"/>
  <c r="D222" i="27"/>
  <c r="E222" i="27"/>
  <c r="F222" i="27"/>
  <c r="B222" i="27"/>
  <c r="C223" i="27"/>
  <c r="D223" i="27"/>
  <c r="E223" i="27"/>
  <c r="F223" i="27"/>
  <c r="B223" i="27"/>
  <c r="C224" i="27"/>
  <c r="D224" i="27"/>
  <c r="E224" i="27"/>
  <c r="F224" i="27"/>
  <c r="B224" i="27"/>
  <c r="C225" i="27"/>
  <c r="D225" i="27"/>
  <c r="E225" i="27"/>
  <c r="F225" i="27"/>
  <c r="B225" i="27"/>
  <c r="C226" i="27"/>
  <c r="D226" i="27"/>
  <c r="E226" i="27"/>
  <c r="F226" i="27"/>
  <c r="B226" i="27"/>
  <c r="C227" i="27"/>
  <c r="D227" i="27"/>
  <c r="E227" i="27"/>
  <c r="F227" i="27"/>
  <c r="B227" i="27"/>
  <c r="C228" i="27"/>
  <c r="D228" i="27"/>
  <c r="E228" i="27"/>
  <c r="F228" i="27"/>
  <c r="B228" i="27"/>
  <c r="C229" i="27"/>
  <c r="D229" i="27"/>
  <c r="E229" i="27"/>
  <c r="F229" i="27"/>
  <c r="B229" i="27"/>
  <c r="C230" i="27"/>
  <c r="D230" i="27"/>
  <c r="E230" i="27"/>
  <c r="F230" i="27"/>
  <c r="B230" i="27"/>
  <c r="C231" i="27"/>
  <c r="D231" i="27"/>
  <c r="E231" i="27"/>
  <c r="F231" i="27"/>
  <c r="B231" i="27"/>
  <c r="C232" i="27"/>
  <c r="D232" i="27"/>
  <c r="E232" i="27"/>
  <c r="F232" i="27"/>
  <c r="B232" i="27"/>
  <c r="C233" i="27"/>
  <c r="D233" i="27"/>
  <c r="E233" i="27"/>
  <c r="F233" i="27"/>
  <c r="B233" i="27"/>
  <c r="C234" i="27"/>
  <c r="D234" i="27"/>
  <c r="E234" i="27"/>
  <c r="F234" i="27"/>
  <c r="B234" i="27"/>
  <c r="C235" i="27"/>
  <c r="D235" i="27"/>
  <c r="E235" i="27"/>
  <c r="F235" i="27"/>
  <c r="B235" i="27"/>
  <c r="C236" i="27"/>
  <c r="D236" i="27"/>
  <c r="E236" i="27"/>
  <c r="F236" i="27"/>
  <c r="B236" i="27"/>
  <c r="C237" i="27"/>
  <c r="D237" i="27"/>
  <c r="E237" i="27"/>
  <c r="F237" i="27"/>
  <c r="B237" i="27"/>
  <c r="C238" i="27"/>
  <c r="D238" i="27"/>
  <c r="E238" i="27"/>
  <c r="F238" i="27"/>
  <c r="B238" i="27"/>
  <c r="C239" i="27"/>
  <c r="D239" i="27"/>
  <c r="E239" i="27"/>
  <c r="F239" i="27"/>
  <c r="B239" i="27"/>
  <c r="C240" i="27"/>
  <c r="D240" i="27"/>
  <c r="E240" i="27"/>
  <c r="F240" i="27"/>
  <c r="B240" i="27"/>
  <c r="C241" i="27"/>
  <c r="D241" i="27"/>
  <c r="E241" i="27"/>
  <c r="F241" i="27"/>
  <c r="B241" i="27"/>
  <c r="C242" i="27"/>
  <c r="D242" i="27"/>
  <c r="E242" i="27"/>
  <c r="F242" i="27"/>
  <c r="B242" i="27"/>
  <c r="C243" i="27"/>
  <c r="D243" i="27"/>
  <c r="E243" i="27"/>
  <c r="F243" i="27"/>
  <c r="B243" i="27"/>
  <c r="C244" i="27"/>
  <c r="D244" i="27"/>
  <c r="E244" i="27"/>
  <c r="F244" i="27"/>
  <c r="B244" i="27"/>
  <c r="C245" i="27"/>
  <c r="D245" i="27"/>
  <c r="E245" i="27"/>
  <c r="F245" i="27"/>
  <c r="B245" i="27"/>
  <c r="C246" i="27"/>
  <c r="D246" i="27"/>
  <c r="E246" i="27"/>
  <c r="F246" i="27"/>
  <c r="B246" i="27"/>
  <c r="C247" i="27"/>
  <c r="D247" i="27"/>
  <c r="E247" i="27"/>
  <c r="F247" i="27"/>
  <c r="B247" i="27"/>
  <c r="C248" i="27"/>
  <c r="D248" i="27"/>
  <c r="E248" i="27"/>
  <c r="F248" i="27"/>
  <c r="B248" i="27"/>
  <c r="C249" i="27"/>
  <c r="D249" i="27"/>
  <c r="E249" i="27"/>
  <c r="F249" i="27"/>
  <c r="B249" i="27"/>
  <c r="C250" i="27"/>
  <c r="D250" i="27"/>
  <c r="E250" i="27"/>
  <c r="F250" i="27"/>
  <c r="B250" i="27"/>
  <c r="C251" i="27"/>
  <c r="D251" i="27"/>
  <c r="E251" i="27"/>
  <c r="F251" i="27"/>
  <c r="B251" i="27"/>
  <c r="C252" i="27"/>
  <c r="D252" i="27"/>
  <c r="E252" i="27"/>
  <c r="F252" i="27"/>
  <c r="B252" i="27"/>
  <c r="C253" i="27"/>
  <c r="D253" i="27"/>
  <c r="E253" i="27"/>
  <c r="F253" i="27"/>
  <c r="B253" i="27"/>
  <c r="C254" i="27"/>
  <c r="D254" i="27"/>
  <c r="E254" i="27"/>
  <c r="F254" i="27"/>
  <c r="B254" i="27"/>
  <c r="C255" i="27"/>
  <c r="D255" i="27"/>
  <c r="E255" i="27"/>
  <c r="F255" i="27"/>
  <c r="B255" i="27"/>
  <c r="C256" i="27"/>
  <c r="D256" i="27"/>
  <c r="E256" i="27"/>
  <c r="F256" i="27"/>
  <c r="B256" i="27"/>
  <c r="C257" i="27"/>
  <c r="D257" i="27"/>
  <c r="E257" i="27"/>
  <c r="F257" i="27"/>
  <c r="B257" i="27"/>
  <c r="C258" i="27"/>
  <c r="D258" i="27"/>
  <c r="E258" i="27"/>
  <c r="F258" i="27"/>
  <c r="B258" i="27"/>
  <c r="C259" i="27"/>
  <c r="D259" i="27"/>
  <c r="E259" i="27"/>
  <c r="F259" i="27"/>
  <c r="B259" i="27"/>
  <c r="C260" i="27"/>
  <c r="D260" i="27"/>
  <c r="E260" i="27"/>
  <c r="F260" i="27"/>
  <c r="B260" i="27"/>
  <c r="C261" i="27"/>
  <c r="D261" i="27"/>
  <c r="E261" i="27"/>
  <c r="F261" i="27"/>
  <c r="B261" i="27"/>
  <c r="C262" i="27"/>
  <c r="D262" i="27"/>
  <c r="E262" i="27"/>
  <c r="F262" i="27"/>
  <c r="B262" i="27"/>
  <c r="C263" i="27"/>
  <c r="D263" i="27"/>
  <c r="E263" i="27"/>
  <c r="F263" i="27"/>
  <c r="B263" i="27"/>
  <c r="C264" i="27"/>
  <c r="D264" i="27"/>
  <c r="E264" i="27"/>
  <c r="F264" i="27"/>
  <c r="B264" i="27"/>
  <c r="C265" i="27"/>
  <c r="D265" i="27"/>
  <c r="E265" i="27"/>
  <c r="F265" i="27"/>
  <c r="B265" i="27"/>
  <c r="C266" i="27"/>
  <c r="D266" i="27"/>
  <c r="E266" i="27"/>
  <c r="F266" i="27"/>
  <c r="B266" i="27"/>
  <c r="C267" i="27"/>
  <c r="D267" i="27"/>
  <c r="E267" i="27"/>
  <c r="F267" i="27"/>
  <c r="B267" i="27"/>
  <c r="D2" i="27"/>
  <c r="S6" i="27"/>
  <c r="T2" i="27"/>
  <c r="U2" i="27"/>
  <c r="V2" i="27"/>
  <c r="X2" i="27" s="1"/>
  <c r="Y2" i="27" s="1"/>
  <c r="Z2" i="27" s="1"/>
  <c r="AA2" i="27" s="1"/>
  <c r="AB2" i="27" s="1"/>
  <c r="AC2" i="27" s="1"/>
  <c r="AD2" i="27" s="1"/>
  <c r="C4" i="27" a="1"/>
  <c r="C4" i="27" s="1"/>
  <c r="S3" i="27" s="1"/>
  <c r="D4" i="27" a="1"/>
  <c r="D4" i="27" s="1"/>
  <c r="T3" i="27" s="1"/>
  <c r="E4" i="27" a="1"/>
  <c r="E4" i="27" s="1"/>
  <c r="U3" i="27" s="1"/>
  <c r="F4" i="27" a="1"/>
  <c r="F4" i="27" s="1"/>
  <c r="V3" i="27" s="1"/>
  <c r="H6" i="27"/>
  <c r="Y6" i="27" s="1"/>
  <c r="H5" i="27"/>
  <c r="I6" i="27"/>
  <c r="I5" i="27"/>
  <c r="J6" i="27"/>
  <c r="J5" i="27"/>
  <c r="K6" i="27"/>
  <c r="AB6" i="27" s="1"/>
  <c r="L6" i="27"/>
  <c r="AC6" i="27" s="1"/>
  <c r="L5" i="27"/>
  <c r="M6" i="27"/>
  <c r="M5" i="27"/>
  <c r="N6" i="27"/>
  <c r="N5" i="27"/>
  <c r="O6" i="27"/>
  <c r="O5" i="27" s="1"/>
  <c r="P6" i="27"/>
  <c r="AG6" i="27" s="1"/>
  <c r="P5" i="27"/>
  <c r="S5" i="27"/>
  <c r="T5" i="27"/>
  <c r="U5" i="27"/>
  <c r="V5" i="27"/>
  <c r="X5" i="27"/>
  <c r="Y5" i="27"/>
  <c r="AL5" i="27" s="1"/>
  <c r="AY5" i="27" s="1"/>
  <c r="Z5" i="27"/>
  <c r="AM5" i="27" s="1"/>
  <c r="AZ5" i="27" s="1"/>
  <c r="AA5" i="27"/>
  <c r="AN5" i="27" s="1"/>
  <c r="BA5" i="27" s="1"/>
  <c r="AB5" i="27"/>
  <c r="AC5" i="27"/>
  <c r="AD5" i="27"/>
  <c r="AE5" i="27"/>
  <c r="AF5" i="27"/>
  <c r="AG5" i="27"/>
  <c r="AT5" i="27" s="1"/>
  <c r="BG5" i="27" s="1"/>
  <c r="AJ5" i="27"/>
  <c r="AW5" i="27" s="1"/>
  <c r="AK5" i="27"/>
  <c r="AX5" i="27" s="1"/>
  <c r="AO5" i="27"/>
  <c r="AP5" i="27"/>
  <c r="AQ5" i="27"/>
  <c r="BD5" i="27" s="1"/>
  <c r="AR5" i="27"/>
  <c r="BE5" i="27" s="1"/>
  <c r="AS5" i="27"/>
  <c r="BF5" i="27" s="1"/>
  <c r="BB5" i="27"/>
  <c r="BC5" i="27"/>
  <c r="T6" i="27"/>
  <c r="U6" i="27"/>
  <c r="V6" i="27"/>
  <c r="Z6" i="27"/>
  <c r="AA6" i="27"/>
  <c r="AD6" i="27"/>
  <c r="AE6" i="27"/>
  <c r="AF6" i="27"/>
  <c r="AJ6" i="27"/>
  <c r="AL6" i="27"/>
  <c r="AM6" i="27"/>
  <c r="AN6" i="27"/>
  <c r="AO6" i="27"/>
  <c r="AP6" i="27"/>
  <c r="AQ6" i="27"/>
  <c r="AR6" i="27"/>
  <c r="AS6" i="27"/>
  <c r="AT6" i="27"/>
  <c r="AW6" i="27"/>
  <c r="AY6" i="27"/>
  <c r="AZ6" i="27"/>
  <c r="BA6" i="27"/>
  <c r="BB6" i="27"/>
  <c r="BC6" i="27"/>
  <c r="BD6" i="27"/>
  <c r="BE6" i="27"/>
  <c r="BF6" i="27"/>
  <c r="BG6" i="27"/>
  <c r="Q2" i="27"/>
  <c r="AE2" i="27" l="1"/>
  <c r="K5" i="27"/>
  <c r="AC3" i="27"/>
  <c r="H7" i="27"/>
  <c r="Y7" i="27" s="1"/>
  <c r="I7" i="27"/>
  <c r="Z7" i="27" s="1"/>
  <c r="J7" i="27"/>
  <c r="K7" i="27"/>
  <c r="AB7" i="27" s="1"/>
  <c r="L7" i="27"/>
  <c r="AC7" i="27" s="1"/>
  <c r="M7" i="27"/>
  <c r="AD3" i="27" s="1"/>
  <c r="N7" i="27"/>
  <c r="AE7" i="27" s="1"/>
  <c r="O7" i="27"/>
  <c r="AF7" i="27" s="1"/>
  <c r="P7" i="27"/>
  <c r="AG7" i="27" s="1"/>
  <c r="R7" i="27"/>
  <c r="AI7" i="27" s="1"/>
  <c r="S7" i="27"/>
  <c r="T7" i="27"/>
  <c r="U7" i="27"/>
  <c r="V7" i="27"/>
  <c r="AA7" i="27"/>
  <c r="AJ7" i="27"/>
  <c r="AD7" i="27" l="1"/>
  <c r="AE3" i="27"/>
  <c r="AF2" i="27"/>
  <c r="AL7" i="27"/>
  <c r="AM7" i="27"/>
  <c r="AN7" i="27"/>
  <c r="AO7" i="27"/>
  <c r="AP7" i="27"/>
  <c r="BC7" i="27" s="1"/>
  <c r="AQ7" i="27"/>
  <c r="BD7" i="27" s="1"/>
  <c r="AR7" i="27"/>
  <c r="BE3" i="27" s="1"/>
  <c r="AS7" i="27"/>
  <c r="BF7" i="27" s="1"/>
  <c r="AT7" i="27"/>
  <c r="BG3" i="27" s="1"/>
  <c r="AV7" i="27"/>
  <c r="AW7" i="27"/>
  <c r="AY7" i="27"/>
  <c r="AZ7" i="27"/>
  <c r="BA7" i="27"/>
  <c r="BB7" i="27"/>
  <c r="BG7" i="27"/>
  <c r="AG2" i="27" l="1"/>
  <c r="AG3" i="27" s="1"/>
  <c r="AF3" i="27"/>
  <c r="BD3" i="27"/>
  <c r="BF3" i="27"/>
  <c r="BE7" i="27"/>
  <c r="BC3" i="27"/>
  <c r="H8" i="27"/>
  <c r="Y8" i="27" s="1"/>
  <c r="I8" i="27"/>
  <c r="Z8" i="27" s="1"/>
  <c r="J8" i="27"/>
  <c r="K8" i="27"/>
  <c r="L8" i="27"/>
  <c r="AC8" i="27" s="1"/>
  <c r="M8" i="27"/>
  <c r="AD8" i="27" s="1"/>
  <c r="N8" i="27"/>
  <c r="AE8" i="27" s="1"/>
  <c r="O8" i="27"/>
  <c r="AF8" i="27" s="1"/>
  <c r="P8" i="27"/>
  <c r="AG8" i="27" s="1"/>
  <c r="R8" i="27"/>
  <c r="AI8" i="27" s="1"/>
  <c r="S8" i="27"/>
  <c r="T8" i="27"/>
  <c r="U8" i="27"/>
  <c r="V8" i="27"/>
  <c r="AA8" i="27"/>
  <c r="AB8" i="27"/>
  <c r="AJ8" i="27"/>
  <c r="AL8" i="27"/>
  <c r="AM8" i="27"/>
  <c r="AN8" i="27"/>
  <c r="AO8" i="27"/>
  <c r="AP8" i="27"/>
  <c r="BC8" i="27" s="1"/>
  <c r="AQ8" i="27"/>
  <c r="BD8" i="27" s="1"/>
  <c r="AR8" i="27"/>
  <c r="BE8" i="27" s="1"/>
  <c r="AS8" i="27"/>
  <c r="BF8" i="27" s="1"/>
  <c r="AT8" i="27"/>
  <c r="AV8" i="27"/>
  <c r="AY8" i="27"/>
  <c r="AZ8" i="27"/>
  <c r="BA8" i="27"/>
  <c r="BB8" i="27"/>
  <c r="BG8" i="27"/>
  <c r="H9" i="27"/>
  <c r="I9" i="27"/>
  <c r="Z9" i="27" s="1"/>
  <c r="J9" i="27"/>
  <c r="AA9" i="27" s="1"/>
  <c r="K9" i="27"/>
  <c r="AB9" i="27" s="1"/>
  <c r="L9" i="27"/>
  <c r="AC9" i="27" s="1"/>
  <c r="M9" i="27"/>
  <c r="AD9" i="27" s="1"/>
  <c r="N9" i="27"/>
  <c r="AE9" i="27" s="1"/>
  <c r="O9" i="27"/>
  <c r="AF9" i="27" s="1"/>
  <c r="P9" i="27"/>
  <c r="R9" i="27"/>
  <c r="AI9" i="27" s="1"/>
  <c r="S9" i="27"/>
  <c r="T9" i="27"/>
  <c r="U9" i="27"/>
  <c r="V9" i="27"/>
  <c r="Y9" i="27"/>
  <c r="AG9" i="27"/>
  <c r="AJ9" i="27"/>
  <c r="AL9" i="27"/>
  <c r="AM9" i="27"/>
  <c r="AN9" i="27"/>
  <c r="AO9" i="27"/>
  <c r="AP9" i="27"/>
  <c r="BC9" i="27" s="1"/>
  <c r="AQ9" i="27"/>
  <c r="BD9" i="27" s="1"/>
  <c r="AR9" i="27"/>
  <c r="BE9" i="27" s="1"/>
  <c r="AS9" i="27"/>
  <c r="BF9" i="27" s="1"/>
  <c r="AT9" i="27"/>
  <c r="AV9" i="27"/>
  <c r="AY9" i="27"/>
  <c r="AZ9" i="27"/>
  <c r="BA9" i="27"/>
  <c r="BB9" i="27"/>
  <c r="BG9" i="27"/>
  <c r="H10" i="27"/>
  <c r="I10" i="27"/>
  <c r="Z10" i="27" s="1"/>
  <c r="J10" i="27"/>
  <c r="AA10" i="27" s="1"/>
  <c r="K10" i="27"/>
  <c r="AB10" i="27" s="1"/>
  <c r="L10" i="27"/>
  <c r="AC10" i="27" s="1"/>
  <c r="M10" i="27"/>
  <c r="AD10" i="27" s="1"/>
  <c r="N10" i="27"/>
  <c r="AE10" i="27" s="1"/>
  <c r="O10" i="27"/>
  <c r="AF10" i="27" s="1"/>
  <c r="P10" i="27"/>
  <c r="R10" i="27"/>
  <c r="AI10" i="27" s="1"/>
  <c r="S10" i="27"/>
  <c r="T10" i="27"/>
  <c r="U10" i="27"/>
  <c r="V10" i="27"/>
  <c r="Y10" i="27"/>
  <c r="AG10" i="27"/>
  <c r="AJ10" i="27"/>
  <c r="AL10" i="27"/>
  <c r="AM10" i="27"/>
  <c r="AN10" i="27"/>
  <c r="AO10" i="27"/>
  <c r="AP10" i="27"/>
  <c r="BC10" i="27" s="1"/>
  <c r="AQ10" i="27"/>
  <c r="BD10" i="27" s="1"/>
  <c r="AR10" i="27"/>
  <c r="BE10" i="27" s="1"/>
  <c r="AS10" i="27"/>
  <c r="BF10" i="27" s="1"/>
  <c r="AT10" i="27"/>
  <c r="AV10" i="27"/>
  <c r="AY10" i="27"/>
  <c r="AZ10" i="27"/>
  <c r="BA10" i="27"/>
  <c r="BB10" i="27"/>
  <c r="BG10" i="27"/>
  <c r="H11" i="27"/>
  <c r="I11" i="27"/>
  <c r="Z11" i="27" s="1"/>
  <c r="J11" i="27"/>
  <c r="AA11" i="27" s="1"/>
  <c r="K11" i="27"/>
  <c r="AB11" i="27" s="1"/>
  <c r="L11" i="27"/>
  <c r="AC11" i="27" s="1"/>
  <c r="M11" i="27"/>
  <c r="AD11" i="27" s="1"/>
  <c r="N11" i="27"/>
  <c r="AE11" i="27" s="1"/>
  <c r="O11" i="27"/>
  <c r="AF11" i="27" s="1"/>
  <c r="P11" i="27"/>
  <c r="R11" i="27"/>
  <c r="AI11" i="27" s="1"/>
  <c r="S11" i="27"/>
  <c r="T11" i="27"/>
  <c r="U11" i="27"/>
  <c r="V11" i="27"/>
  <c r="Y11" i="27"/>
  <c r="AG11" i="27"/>
  <c r="AJ11" i="27"/>
  <c r="AL11" i="27"/>
  <c r="AM11" i="27"/>
  <c r="AN11" i="27"/>
  <c r="AO11" i="27"/>
  <c r="AP11" i="27"/>
  <c r="BC11" i="27" s="1"/>
  <c r="AQ11" i="27"/>
  <c r="BD11" i="27" s="1"/>
  <c r="AR11" i="27"/>
  <c r="BE11" i="27" s="1"/>
  <c r="AS11" i="27"/>
  <c r="BF11" i="27" s="1"/>
  <c r="AT11" i="27"/>
  <c r="AV11" i="27"/>
  <c r="AY11" i="27"/>
  <c r="AZ11" i="27"/>
  <c r="BA11" i="27"/>
  <c r="BB11" i="27"/>
  <c r="BG11" i="27"/>
  <c r="H12" i="27"/>
  <c r="I12" i="27"/>
  <c r="Z12" i="27" s="1"/>
  <c r="J12" i="27"/>
  <c r="AA12" i="27" s="1"/>
  <c r="K12" i="27"/>
  <c r="AB12" i="27" s="1"/>
  <c r="L12" i="27"/>
  <c r="AC12" i="27" s="1"/>
  <c r="M12" i="27"/>
  <c r="AD12" i="27" s="1"/>
  <c r="N12" i="27"/>
  <c r="AE12" i="27" s="1"/>
  <c r="O12" i="27"/>
  <c r="AF12" i="27" s="1"/>
  <c r="P12" i="27"/>
  <c r="R12" i="27"/>
  <c r="AI12" i="27" s="1"/>
  <c r="S12" i="27"/>
  <c r="T12" i="27"/>
  <c r="U12" i="27"/>
  <c r="V12" i="27"/>
  <c r="Y12" i="27"/>
  <c r="AG12" i="27"/>
  <c r="AJ12" i="27"/>
  <c r="AL12" i="27"/>
  <c r="AM12" i="27"/>
  <c r="AN12" i="27"/>
  <c r="AO12" i="27"/>
  <c r="AP12" i="27"/>
  <c r="BC12" i="27" s="1"/>
  <c r="AQ12" i="27"/>
  <c r="BD12" i="27" s="1"/>
  <c r="AR12" i="27"/>
  <c r="BE12" i="27" s="1"/>
  <c r="AS12" i="27"/>
  <c r="BF12" i="27" s="1"/>
  <c r="AT12" i="27"/>
  <c r="AV12" i="27"/>
  <c r="AY12" i="27"/>
  <c r="AZ12" i="27"/>
  <c r="BA12" i="27"/>
  <c r="BB12" i="27"/>
  <c r="BG12" i="27"/>
  <c r="H13" i="27"/>
  <c r="I13" i="27"/>
  <c r="Z13" i="27" s="1"/>
  <c r="J13" i="27"/>
  <c r="AA13" i="27" s="1"/>
  <c r="K13" i="27"/>
  <c r="AB13" i="27" s="1"/>
  <c r="L13" i="27"/>
  <c r="AC13" i="27" s="1"/>
  <c r="M13" i="27"/>
  <c r="AD13" i="27" s="1"/>
  <c r="N13" i="27"/>
  <c r="AE13" i="27" s="1"/>
  <c r="O13" i="27"/>
  <c r="AF13" i="27" s="1"/>
  <c r="P13" i="27"/>
  <c r="R13" i="27"/>
  <c r="AI13" i="27" s="1"/>
  <c r="S13" i="27"/>
  <c r="T13" i="27"/>
  <c r="U13" i="27"/>
  <c r="V13" i="27"/>
  <c r="Y13" i="27"/>
  <c r="AG13" i="27"/>
  <c r="AJ13" i="27"/>
  <c r="AL13" i="27"/>
  <c r="AM13" i="27"/>
  <c r="AN13" i="27"/>
  <c r="AO13" i="27"/>
  <c r="AP13" i="27"/>
  <c r="BC13" i="27" s="1"/>
  <c r="AQ13" i="27"/>
  <c r="BD13" i="27" s="1"/>
  <c r="AR13" i="27"/>
  <c r="BE13" i="27" s="1"/>
  <c r="AS13" i="27"/>
  <c r="BF13" i="27" s="1"/>
  <c r="AT13" i="27"/>
  <c r="AV13" i="27"/>
  <c r="AY13" i="27"/>
  <c r="AZ13" i="27"/>
  <c r="BA13" i="27"/>
  <c r="BB13" i="27"/>
  <c r="BG13" i="27"/>
  <c r="H14" i="27"/>
  <c r="I14" i="27"/>
  <c r="Z14" i="27" s="1"/>
  <c r="J14" i="27"/>
  <c r="AA14" i="27" s="1"/>
  <c r="K14" i="27"/>
  <c r="AB14" i="27" s="1"/>
  <c r="L14" i="27"/>
  <c r="AC14" i="27" s="1"/>
  <c r="M14" i="27"/>
  <c r="AD14" i="27" s="1"/>
  <c r="N14" i="27"/>
  <c r="AE14" i="27" s="1"/>
  <c r="O14" i="27"/>
  <c r="AF14" i="27" s="1"/>
  <c r="P14" i="27"/>
  <c r="R14" i="27"/>
  <c r="AI14" i="27" s="1"/>
  <c r="S14" i="27"/>
  <c r="T14" i="27"/>
  <c r="U14" i="27"/>
  <c r="V14" i="27"/>
  <c r="Y14" i="27"/>
  <c r="AG14" i="27"/>
  <c r="AJ14" i="27"/>
  <c r="AL14" i="27"/>
  <c r="AM14" i="27"/>
  <c r="AN14" i="27"/>
  <c r="AO14" i="27"/>
  <c r="AP14" i="27"/>
  <c r="BC14" i="27" s="1"/>
  <c r="AQ14" i="27"/>
  <c r="BD14" i="27" s="1"/>
  <c r="AR14" i="27"/>
  <c r="BE14" i="27" s="1"/>
  <c r="AS14" i="27"/>
  <c r="BF14" i="27" s="1"/>
  <c r="AT14" i="27"/>
  <c r="AV14" i="27"/>
  <c r="AY14" i="27"/>
  <c r="AZ14" i="27"/>
  <c r="BA14" i="27"/>
  <c r="BB14" i="27"/>
  <c r="BG14" i="27"/>
  <c r="H15" i="27"/>
  <c r="I15" i="27"/>
  <c r="Z15" i="27" s="1"/>
  <c r="J15" i="27"/>
  <c r="AA15" i="27" s="1"/>
  <c r="K15" i="27"/>
  <c r="AB15" i="27" s="1"/>
  <c r="L15" i="27"/>
  <c r="AC15" i="27" s="1"/>
  <c r="M15" i="27"/>
  <c r="AD15" i="27" s="1"/>
  <c r="N15" i="27"/>
  <c r="AE15" i="27" s="1"/>
  <c r="O15" i="27"/>
  <c r="AF15" i="27" s="1"/>
  <c r="P15" i="27"/>
  <c r="R15" i="27"/>
  <c r="AI15" i="27" s="1"/>
  <c r="S15" i="27"/>
  <c r="T15" i="27"/>
  <c r="U15" i="27"/>
  <c r="V15" i="27"/>
  <c r="Y15" i="27"/>
  <c r="AG15" i="27"/>
  <c r="AJ15" i="27"/>
  <c r="AL15" i="27"/>
  <c r="AM15" i="27"/>
  <c r="AN15" i="27"/>
  <c r="AO15" i="27"/>
  <c r="AP15" i="27"/>
  <c r="BC15" i="27" s="1"/>
  <c r="AQ15" i="27"/>
  <c r="BD15" i="27" s="1"/>
  <c r="AR15" i="27"/>
  <c r="BE15" i="27" s="1"/>
  <c r="AS15" i="27"/>
  <c r="BF15" i="27" s="1"/>
  <c r="AT15" i="27"/>
  <c r="AV15" i="27"/>
  <c r="AY15" i="27"/>
  <c r="AZ15" i="27"/>
  <c r="BA15" i="27"/>
  <c r="BB15" i="27"/>
  <c r="BG15" i="27"/>
  <c r="H16" i="27"/>
  <c r="I16" i="27"/>
  <c r="J16" i="27"/>
  <c r="AA16" i="27" s="1"/>
  <c r="K16" i="27"/>
  <c r="AB16" i="27" s="1"/>
  <c r="L16" i="27"/>
  <c r="AC16" i="27" s="1"/>
  <c r="M16" i="27"/>
  <c r="AD16" i="27" s="1"/>
  <c r="N16" i="27"/>
  <c r="AE16" i="27" s="1"/>
  <c r="O16" i="27"/>
  <c r="AF16" i="27" s="1"/>
  <c r="P16" i="27"/>
  <c r="R16" i="27"/>
  <c r="S16" i="27"/>
  <c r="T16" i="27"/>
  <c r="U16" i="27"/>
  <c r="V16" i="27"/>
  <c r="Y16" i="27"/>
  <c r="Z16" i="27"/>
  <c r="AG16" i="27"/>
  <c r="AI16" i="27"/>
  <c r="AJ16" i="27"/>
  <c r="AL16" i="27"/>
  <c r="AM16" i="27"/>
  <c r="AN16" i="27"/>
  <c r="AO16" i="27"/>
  <c r="AP16" i="27"/>
  <c r="BC16" i="27" s="1"/>
  <c r="AQ16" i="27"/>
  <c r="BD16" i="27" s="1"/>
  <c r="AR16" i="27"/>
  <c r="BE16" i="27" s="1"/>
  <c r="AS16" i="27"/>
  <c r="BF16" i="27" s="1"/>
  <c r="AT16" i="27"/>
  <c r="AV16" i="27"/>
  <c r="AY16" i="27"/>
  <c r="AZ16" i="27"/>
  <c r="BA16" i="27"/>
  <c r="BB16" i="27"/>
  <c r="BG16" i="27"/>
  <c r="H17" i="27"/>
  <c r="I17" i="27"/>
  <c r="J17" i="27"/>
  <c r="AA17" i="27" s="1"/>
  <c r="K17" i="27"/>
  <c r="AB17" i="27" s="1"/>
  <c r="L17" i="27"/>
  <c r="AC17" i="27" s="1"/>
  <c r="M17" i="27"/>
  <c r="AD17" i="27" s="1"/>
  <c r="N17" i="27"/>
  <c r="AE17" i="27" s="1"/>
  <c r="O17" i="27"/>
  <c r="AF17" i="27" s="1"/>
  <c r="P17" i="27"/>
  <c r="R17" i="27"/>
  <c r="S17" i="27"/>
  <c r="T17" i="27"/>
  <c r="U17" i="27"/>
  <c r="V17" i="27"/>
  <c r="Y17" i="27"/>
  <c r="Z17" i="27"/>
  <c r="AG17" i="27"/>
  <c r="AI17" i="27"/>
  <c r="AJ17" i="27"/>
  <c r="AL17" i="27"/>
  <c r="AM17" i="27"/>
  <c r="AN17" i="27"/>
  <c r="AO17" i="27"/>
  <c r="AP17" i="27"/>
  <c r="BC17" i="27" s="1"/>
  <c r="AQ17" i="27"/>
  <c r="BD17" i="27" s="1"/>
  <c r="AR17" i="27"/>
  <c r="BE17" i="27" s="1"/>
  <c r="AS17" i="27"/>
  <c r="BF17" i="27" s="1"/>
  <c r="AT17" i="27"/>
  <c r="AV17" i="27"/>
  <c r="AY17" i="27"/>
  <c r="AZ17" i="27"/>
  <c r="BA17" i="27"/>
  <c r="BB17" i="27"/>
  <c r="BG17" i="27"/>
  <c r="H18" i="27"/>
  <c r="I18" i="27"/>
  <c r="Z18" i="27" s="1"/>
  <c r="J18" i="27"/>
  <c r="AA18" i="27" s="1"/>
  <c r="K18" i="27"/>
  <c r="AB18" i="27" s="1"/>
  <c r="L18" i="27"/>
  <c r="AC18" i="27" s="1"/>
  <c r="M18" i="27"/>
  <c r="AD18" i="27" s="1"/>
  <c r="N18" i="27"/>
  <c r="AE18" i="27" s="1"/>
  <c r="O18" i="27"/>
  <c r="AF18" i="27" s="1"/>
  <c r="P18" i="27"/>
  <c r="R18" i="27"/>
  <c r="AI18" i="27" s="1"/>
  <c r="S18" i="27"/>
  <c r="T18" i="27"/>
  <c r="U18" i="27"/>
  <c r="V18" i="27"/>
  <c r="Y18" i="27"/>
  <c r="AG18" i="27"/>
  <c r="AJ18" i="27"/>
  <c r="AL18" i="27"/>
  <c r="AM18" i="27"/>
  <c r="AN18" i="27"/>
  <c r="AO18" i="27"/>
  <c r="AP18" i="27"/>
  <c r="BC18" i="27" s="1"/>
  <c r="AQ18" i="27"/>
  <c r="BD18" i="27" s="1"/>
  <c r="AR18" i="27"/>
  <c r="BE18" i="27" s="1"/>
  <c r="AS18" i="27"/>
  <c r="BF18" i="27" s="1"/>
  <c r="AT18" i="27"/>
  <c r="AV18" i="27"/>
  <c r="AY18" i="27"/>
  <c r="AZ18" i="27"/>
  <c r="BA18" i="27"/>
  <c r="BB18" i="27"/>
  <c r="BG18" i="27"/>
  <c r="H19" i="27"/>
  <c r="I19" i="27"/>
  <c r="Z19" i="27" s="1"/>
  <c r="J19" i="27"/>
  <c r="K19" i="27"/>
  <c r="AB19" i="27" s="1"/>
  <c r="L19" i="27"/>
  <c r="AC19" i="27" s="1"/>
  <c r="M19" i="27"/>
  <c r="AD19" i="27" s="1"/>
  <c r="N19" i="27"/>
  <c r="AE19" i="27" s="1"/>
  <c r="O19" i="27"/>
  <c r="AF19" i="27" s="1"/>
  <c r="P19" i="27"/>
  <c r="R19" i="27"/>
  <c r="AI19" i="27" s="1"/>
  <c r="S19" i="27"/>
  <c r="T19" i="27"/>
  <c r="U19" i="27"/>
  <c r="V19" i="27"/>
  <c r="Y19" i="27"/>
  <c r="AA19" i="27"/>
  <c r="AG19" i="27"/>
  <c r="AJ19" i="27"/>
  <c r="AL19" i="27"/>
  <c r="AM19" i="27"/>
  <c r="AN19" i="27"/>
  <c r="AO19" i="27"/>
  <c r="AP19" i="27"/>
  <c r="BC19" i="27" s="1"/>
  <c r="AQ19" i="27"/>
  <c r="BD19" i="27" s="1"/>
  <c r="AR19" i="27"/>
  <c r="BE19" i="27" s="1"/>
  <c r="AS19" i="27"/>
  <c r="BF19" i="27" s="1"/>
  <c r="AT19" i="27"/>
  <c r="AV19" i="27"/>
  <c r="AY19" i="27"/>
  <c r="AZ19" i="27"/>
  <c r="BA19" i="27"/>
  <c r="BB19" i="27"/>
  <c r="BG19" i="27"/>
  <c r="H20" i="27"/>
  <c r="I20" i="27"/>
  <c r="Z20" i="27" s="1"/>
  <c r="J20" i="27"/>
  <c r="AA20" i="27" s="1"/>
  <c r="K20" i="27"/>
  <c r="AB20" i="27" s="1"/>
  <c r="L20" i="27"/>
  <c r="AC20" i="27" s="1"/>
  <c r="M20" i="27"/>
  <c r="AD20" i="27" s="1"/>
  <c r="N20" i="27"/>
  <c r="AE20" i="27" s="1"/>
  <c r="O20" i="27"/>
  <c r="AF20" i="27" s="1"/>
  <c r="P20" i="27"/>
  <c r="R20" i="27"/>
  <c r="AI20" i="27" s="1"/>
  <c r="S20" i="27"/>
  <c r="T20" i="27"/>
  <c r="U20" i="27"/>
  <c r="V20" i="27"/>
  <c r="Y20" i="27"/>
  <c r="AG20" i="27"/>
  <c r="AJ20" i="27"/>
  <c r="AL20" i="27"/>
  <c r="AM20" i="27"/>
  <c r="AN20" i="27"/>
  <c r="AO20" i="27"/>
  <c r="AP20" i="27"/>
  <c r="BC20" i="27" s="1"/>
  <c r="AQ20" i="27"/>
  <c r="BD20" i="27" s="1"/>
  <c r="AR20" i="27"/>
  <c r="BE20" i="27" s="1"/>
  <c r="AS20" i="27"/>
  <c r="BF20" i="27" s="1"/>
  <c r="AT20" i="27"/>
  <c r="AV20" i="27"/>
  <c r="AY20" i="27"/>
  <c r="AZ20" i="27"/>
  <c r="BA20" i="27"/>
  <c r="BB20" i="27"/>
  <c r="BG20" i="27"/>
  <c r="H21" i="27"/>
  <c r="I21" i="27"/>
  <c r="J21" i="27"/>
  <c r="AA21" i="27" s="1"/>
  <c r="K21" i="27"/>
  <c r="AB21" i="27" s="1"/>
  <c r="L21" i="27"/>
  <c r="AC21" i="27" s="1"/>
  <c r="M21" i="27"/>
  <c r="AD21" i="27" s="1"/>
  <c r="N21" i="27"/>
  <c r="AE21" i="27" s="1"/>
  <c r="O21" i="27"/>
  <c r="AF21" i="27" s="1"/>
  <c r="P21" i="27"/>
  <c r="R21" i="27"/>
  <c r="S21" i="27"/>
  <c r="T21" i="27"/>
  <c r="U21" i="27"/>
  <c r="V21" i="27"/>
  <c r="Y21" i="27"/>
  <c r="Z21" i="27"/>
  <c r="AG21" i="27"/>
  <c r="AI21" i="27"/>
  <c r="AJ21" i="27"/>
  <c r="AL21" i="27"/>
  <c r="AM21" i="27"/>
  <c r="AN21" i="27"/>
  <c r="AO21" i="27"/>
  <c r="AP21" i="27"/>
  <c r="BC21" i="27" s="1"/>
  <c r="AQ21" i="27"/>
  <c r="BD21" i="27" s="1"/>
  <c r="AR21" i="27"/>
  <c r="BE21" i="27" s="1"/>
  <c r="AS21" i="27"/>
  <c r="BF21" i="27" s="1"/>
  <c r="AT21" i="27"/>
  <c r="AV21" i="27"/>
  <c r="AY21" i="27"/>
  <c r="AZ21" i="27"/>
  <c r="BA21" i="27"/>
  <c r="BB21" i="27"/>
  <c r="BG21" i="27"/>
  <c r="H22" i="27"/>
  <c r="I22" i="27"/>
  <c r="J22" i="27"/>
  <c r="AA22" i="27" s="1"/>
  <c r="K22" i="27"/>
  <c r="AB22" i="27" s="1"/>
  <c r="L22" i="27"/>
  <c r="AC22" i="27" s="1"/>
  <c r="M22" i="27"/>
  <c r="AD22" i="27" s="1"/>
  <c r="N22" i="27"/>
  <c r="AE22" i="27" s="1"/>
  <c r="O22" i="27"/>
  <c r="AF22" i="27" s="1"/>
  <c r="P22" i="27"/>
  <c r="R22" i="27"/>
  <c r="S22" i="27"/>
  <c r="T22" i="27"/>
  <c r="U22" i="27"/>
  <c r="V22" i="27"/>
  <c r="Y22" i="27"/>
  <c r="Z22" i="27"/>
  <c r="AG22" i="27"/>
  <c r="AI22" i="27"/>
  <c r="AJ22" i="27"/>
  <c r="AL22" i="27"/>
  <c r="AM22" i="27"/>
  <c r="AN22" i="27"/>
  <c r="AO22" i="27"/>
  <c r="AP22" i="27"/>
  <c r="BC22" i="27" s="1"/>
  <c r="AQ22" i="27"/>
  <c r="BD22" i="27" s="1"/>
  <c r="AR22" i="27"/>
  <c r="BE22" i="27" s="1"/>
  <c r="AS22" i="27"/>
  <c r="BF22" i="27" s="1"/>
  <c r="AT22" i="27"/>
  <c r="AV22" i="27"/>
  <c r="AY22" i="27"/>
  <c r="AZ22" i="27"/>
  <c r="BA22" i="27"/>
  <c r="BB22" i="27"/>
  <c r="BG22" i="27"/>
  <c r="H23" i="27"/>
  <c r="I23" i="27"/>
  <c r="Z23" i="27" s="1"/>
  <c r="J23" i="27"/>
  <c r="AA23" i="27" s="1"/>
  <c r="K23" i="27"/>
  <c r="AB23" i="27" s="1"/>
  <c r="L23" i="27"/>
  <c r="AC23" i="27" s="1"/>
  <c r="M23" i="27"/>
  <c r="AD23" i="27" s="1"/>
  <c r="N23" i="27"/>
  <c r="AE23" i="27" s="1"/>
  <c r="O23" i="27"/>
  <c r="AF23" i="27" s="1"/>
  <c r="P23" i="27"/>
  <c r="R23" i="27"/>
  <c r="AI23" i="27" s="1"/>
  <c r="S23" i="27"/>
  <c r="T23" i="27"/>
  <c r="U23" i="27"/>
  <c r="V23" i="27"/>
  <c r="Y23" i="27"/>
  <c r="AG23" i="27"/>
  <c r="AJ23" i="27"/>
  <c r="AL23" i="27"/>
  <c r="AM23" i="27"/>
  <c r="AN23" i="27"/>
  <c r="AO23" i="27"/>
  <c r="AP23" i="27"/>
  <c r="BC23" i="27" s="1"/>
  <c r="AQ23" i="27"/>
  <c r="BD23" i="27" s="1"/>
  <c r="AR23" i="27"/>
  <c r="BE23" i="27" s="1"/>
  <c r="AS23" i="27"/>
  <c r="BF23" i="27" s="1"/>
  <c r="AT23" i="27"/>
  <c r="AV23" i="27"/>
  <c r="AY23" i="27"/>
  <c r="AZ23" i="27"/>
  <c r="BA23" i="27"/>
  <c r="BB23" i="27"/>
  <c r="BG23" i="27"/>
  <c r="H24" i="27"/>
  <c r="I24" i="27"/>
  <c r="Z24" i="27" s="1"/>
  <c r="J24" i="27"/>
  <c r="AA24" i="27" s="1"/>
  <c r="K24" i="27"/>
  <c r="AB24" i="27" s="1"/>
  <c r="L24" i="27"/>
  <c r="AC24" i="27" s="1"/>
  <c r="M24" i="27"/>
  <c r="AD24" i="27" s="1"/>
  <c r="N24" i="27"/>
  <c r="AE24" i="27" s="1"/>
  <c r="O24" i="27"/>
  <c r="AF24" i="27" s="1"/>
  <c r="P24" i="27"/>
  <c r="R24" i="27"/>
  <c r="AI24" i="27" s="1"/>
  <c r="S24" i="27"/>
  <c r="T24" i="27"/>
  <c r="U24" i="27"/>
  <c r="V24" i="27"/>
  <c r="Y24" i="27"/>
  <c r="AG24" i="27"/>
  <c r="AJ24" i="27"/>
  <c r="AL24" i="27"/>
  <c r="AM24" i="27"/>
  <c r="AN24" i="27"/>
  <c r="AO24" i="27"/>
  <c r="AP24" i="27"/>
  <c r="BC24" i="27" s="1"/>
  <c r="AQ24" i="27"/>
  <c r="BD24" i="27" s="1"/>
  <c r="AR24" i="27"/>
  <c r="BE24" i="27" s="1"/>
  <c r="AS24" i="27"/>
  <c r="BF24" i="27" s="1"/>
  <c r="AT24" i="27"/>
  <c r="AV24" i="27"/>
  <c r="AY24" i="27"/>
  <c r="AZ24" i="27"/>
  <c r="BA24" i="27"/>
  <c r="BB24" i="27"/>
  <c r="BG24" i="27"/>
  <c r="H25" i="27"/>
  <c r="I25" i="27"/>
  <c r="J25" i="27"/>
  <c r="AA25" i="27" s="1"/>
  <c r="K25" i="27"/>
  <c r="AB25" i="27" s="1"/>
  <c r="L25" i="27"/>
  <c r="AC25" i="27" s="1"/>
  <c r="M25" i="27"/>
  <c r="AD25" i="27" s="1"/>
  <c r="N25" i="27"/>
  <c r="AE25" i="27" s="1"/>
  <c r="O25" i="27"/>
  <c r="AF25" i="27" s="1"/>
  <c r="P25" i="27"/>
  <c r="R25" i="27"/>
  <c r="S25" i="27"/>
  <c r="T25" i="27"/>
  <c r="U25" i="27"/>
  <c r="V25" i="27"/>
  <c r="Y25" i="27"/>
  <c r="Z25" i="27"/>
  <c r="AG25" i="27"/>
  <c r="AI25" i="27"/>
  <c r="AJ25" i="27"/>
  <c r="AL25" i="27"/>
  <c r="AM25" i="27"/>
  <c r="AN25" i="27"/>
  <c r="AO25" i="27"/>
  <c r="AP25" i="27"/>
  <c r="BC25" i="27" s="1"/>
  <c r="AQ25" i="27"/>
  <c r="BD25" i="27" s="1"/>
  <c r="AR25" i="27"/>
  <c r="BE25" i="27" s="1"/>
  <c r="AS25" i="27"/>
  <c r="BF25" i="27" s="1"/>
  <c r="AT25" i="27"/>
  <c r="AV25" i="27"/>
  <c r="AY25" i="27"/>
  <c r="AZ25" i="27"/>
  <c r="BA25" i="27"/>
  <c r="BB25" i="27"/>
  <c r="BG25" i="27"/>
  <c r="H26" i="27"/>
  <c r="I26" i="27"/>
  <c r="Z26" i="27" s="1"/>
  <c r="J26" i="27"/>
  <c r="AA26" i="27" s="1"/>
  <c r="K26" i="27"/>
  <c r="AB26" i="27" s="1"/>
  <c r="L26" i="27"/>
  <c r="AC26" i="27" s="1"/>
  <c r="M26" i="27"/>
  <c r="AD26" i="27" s="1"/>
  <c r="N26" i="27"/>
  <c r="AE26" i="27" s="1"/>
  <c r="O26" i="27"/>
  <c r="AF26" i="27" s="1"/>
  <c r="P26" i="27"/>
  <c r="R26" i="27"/>
  <c r="AI26" i="27" s="1"/>
  <c r="S26" i="27"/>
  <c r="T26" i="27"/>
  <c r="U26" i="27"/>
  <c r="V26" i="27"/>
  <c r="Y26" i="27"/>
  <c r="AG26" i="27"/>
  <c r="AJ26" i="27"/>
  <c r="AL26" i="27"/>
  <c r="AM26" i="27"/>
  <c r="AN26" i="27"/>
  <c r="AO26" i="27"/>
  <c r="AP26" i="27"/>
  <c r="BC26" i="27" s="1"/>
  <c r="AQ26" i="27"/>
  <c r="BD26" i="27" s="1"/>
  <c r="AR26" i="27"/>
  <c r="BE26" i="27" s="1"/>
  <c r="AS26" i="27"/>
  <c r="BF26" i="27" s="1"/>
  <c r="AT26" i="27"/>
  <c r="AV26" i="27"/>
  <c r="AY26" i="27"/>
  <c r="AZ26" i="27"/>
  <c r="BA26" i="27"/>
  <c r="BB26" i="27"/>
  <c r="BG26" i="27"/>
  <c r="H27" i="27"/>
  <c r="I27" i="27"/>
  <c r="J27" i="27"/>
  <c r="AA27" i="27" s="1"/>
  <c r="K27" i="27"/>
  <c r="AB27" i="27" s="1"/>
  <c r="L27" i="27"/>
  <c r="AC27" i="27" s="1"/>
  <c r="M27" i="27"/>
  <c r="AD27" i="27" s="1"/>
  <c r="N27" i="27"/>
  <c r="AE27" i="27" s="1"/>
  <c r="O27" i="27"/>
  <c r="AF27" i="27" s="1"/>
  <c r="P27" i="27"/>
  <c r="R27" i="27"/>
  <c r="S27" i="27"/>
  <c r="T27" i="27"/>
  <c r="U27" i="27"/>
  <c r="V27" i="27"/>
  <c r="Y27" i="27"/>
  <c r="Z27" i="27"/>
  <c r="AG27" i="27"/>
  <c r="AI27" i="27"/>
  <c r="AJ27" i="27"/>
  <c r="AL27" i="27"/>
  <c r="AM27" i="27"/>
  <c r="AN27" i="27"/>
  <c r="AO27" i="27"/>
  <c r="AP27" i="27"/>
  <c r="BC27" i="27" s="1"/>
  <c r="AQ27" i="27"/>
  <c r="BD27" i="27" s="1"/>
  <c r="AR27" i="27"/>
  <c r="BE27" i="27" s="1"/>
  <c r="AS27" i="27"/>
  <c r="BF27" i="27" s="1"/>
  <c r="AT27" i="27"/>
  <c r="AV27" i="27"/>
  <c r="AY27" i="27"/>
  <c r="AZ27" i="27"/>
  <c r="BA27" i="27"/>
  <c r="BB27" i="27"/>
  <c r="BG27" i="27"/>
  <c r="H28" i="27"/>
  <c r="I28" i="27"/>
  <c r="Z28" i="27" s="1"/>
  <c r="J28" i="27"/>
  <c r="AA28" i="27" s="1"/>
  <c r="K28" i="27"/>
  <c r="AB28" i="27" s="1"/>
  <c r="L28" i="27"/>
  <c r="AC28" i="27" s="1"/>
  <c r="M28" i="27"/>
  <c r="AD28" i="27" s="1"/>
  <c r="N28" i="27"/>
  <c r="AE28" i="27" s="1"/>
  <c r="O28" i="27"/>
  <c r="AF28" i="27" s="1"/>
  <c r="P28" i="27"/>
  <c r="R28" i="27"/>
  <c r="AI28" i="27" s="1"/>
  <c r="S28" i="27"/>
  <c r="T28" i="27"/>
  <c r="U28" i="27"/>
  <c r="V28" i="27"/>
  <c r="Y28" i="27"/>
  <c r="AG28" i="27"/>
  <c r="AJ28" i="27"/>
  <c r="AL28" i="27"/>
  <c r="AM28" i="27"/>
  <c r="AN28" i="27"/>
  <c r="AO28" i="27"/>
  <c r="AP28" i="27"/>
  <c r="BC28" i="27" s="1"/>
  <c r="AQ28" i="27"/>
  <c r="BD28" i="27" s="1"/>
  <c r="AR28" i="27"/>
  <c r="BE28" i="27" s="1"/>
  <c r="AS28" i="27"/>
  <c r="BF28" i="27" s="1"/>
  <c r="AT28" i="27"/>
  <c r="AV28" i="27"/>
  <c r="AY28" i="27"/>
  <c r="AZ28" i="27"/>
  <c r="BA28" i="27"/>
  <c r="BB28" i="27"/>
  <c r="BG28" i="27"/>
  <c r="H29" i="27"/>
  <c r="I29" i="27"/>
  <c r="Z29" i="27" s="1"/>
  <c r="J29" i="27"/>
  <c r="AA29" i="27" s="1"/>
  <c r="K29" i="27"/>
  <c r="AB29" i="27" s="1"/>
  <c r="L29" i="27"/>
  <c r="AC29" i="27" s="1"/>
  <c r="M29" i="27"/>
  <c r="AD29" i="27" s="1"/>
  <c r="N29" i="27"/>
  <c r="AE29" i="27" s="1"/>
  <c r="O29" i="27"/>
  <c r="AF29" i="27" s="1"/>
  <c r="P29" i="27"/>
  <c r="R29" i="27"/>
  <c r="AI29" i="27" s="1"/>
  <c r="S29" i="27"/>
  <c r="T29" i="27"/>
  <c r="U29" i="27"/>
  <c r="V29" i="27"/>
  <c r="Y29" i="27"/>
  <c r="AG29" i="27"/>
  <c r="AJ29" i="27"/>
  <c r="AL29" i="27"/>
  <c r="AM29" i="27"/>
  <c r="AN29" i="27"/>
  <c r="AO29" i="27"/>
  <c r="AP29" i="27"/>
  <c r="BC29" i="27" s="1"/>
  <c r="AQ29" i="27"/>
  <c r="BD29" i="27" s="1"/>
  <c r="AR29" i="27"/>
  <c r="BE29" i="27" s="1"/>
  <c r="AS29" i="27"/>
  <c r="BF29" i="27" s="1"/>
  <c r="AT29" i="27"/>
  <c r="AV29" i="27"/>
  <c r="AY29" i="27"/>
  <c r="AZ29" i="27"/>
  <c r="BA29" i="27"/>
  <c r="BB29" i="27"/>
  <c r="BG29" i="27"/>
  <c r="H30" i="27"/>
  <c r="I30" i="27"/>
  <c r="Z30" i="27" s="1"/>
  <c r="J30" i="27"/>
  <c r="AA30" i="27" s="1"/>
  <c r="K30" i="27"/>
  <c r="AB30" i="27" s="1"/>
  <c r="L30" i="27"/>
  <c r="AC30" i="27" s="1"/>
  <c r="M30" i="27"/>
  <c r="AD30" i="27" s="1"/>
  <c r="N30" i="27"/>
  <c r="AE30" i="27" s="1"/>
  <c r="O30" i="27"/>
  <c r="AF30" i="27" s="1"/>
  <c r="P30" i="27"/>
  <c r="R30" i="27"/>
  <c r="AI30" i="27" s="1"/>
  <c r="S30" i="27"/>
  <c r="T30" i="27"/>
  <c r="U30" i="27"/>
  <c r="V30" i="27"/>
  <c r="Y30" i="27"/>
  <c r="AG30" i="27"/>
  <c r="AJ30" i="27"/>
  <c r="AL30" i="27"/>
  <c r="AM30" i="27"/>
  <c r="AN30" i="27"/>
  <c r="AO30" i="27"/>
  <c r="AP30" i="27"/>
  <c r="BC30" i="27" s="1"/>
  <c r="AQ30" i="27"/>
  <c r="BD30" i="27" s="1"/>
  <c r="AR30" i="27"/>
  <c r="BE30" i="27" s="1"/>
  <c r="AS30" i="27"/>
  <c r="BF30" i="27" s="1"/>
  <c r="AT30" i="27"/>
  <c r="AV30" i="27"/>
  <c r="AY30" i="27"/>
  <c r="AZ30" i="27"/>
  <c r="BA30" i="27"/>
  <c r="BB30" i="27"/>
  <c r="BG30" i="27"/>
  <c r="H31" i="27"/>
  <c r="I31" i="27"/>
  <c r="Z31" i="27" s="1"/>
  <c r="J31" i="27"/>
  <c r="AA31" i="27" s="1"/>
  <c r="K31" i="27"/>
  <c r="AB31" i="27" s="1"/>
  <c r="L31" i="27"/>
  <c r="AC31" i="27" s="1"/>
  <c r="M31" i="27"/>
  <c r="AD31" i="27" s="1"/>
  <c r="N31" i="27"/>
  <c r="AE31" i="27" s="1"/>
  <c r="O31" i="27"/>
  <c r="AF31" i="27" s="1"/>
  <c r="P31" i="27"/>
  <c r="R31" i="27"/>
  <c r="AI31" i="27" s="1"/>
  <c r="S31" i="27"/>
  <c r="T31" i="27"/>
  <c r="U31" i="27"/>
  <c r="V31" i="27"/>
  <c r="Y31" i="27"/>
  <c r="AG31" i="27"/>
  <c r="AJ31" i="27"/>
  <c r="AL31" i="27"/>
  <c r="AM31" i="27"/>
  <c r="AN31" i="27"/>
  <c r="AO31" i="27"/>
  <c r="AP31" i="27"/>
  <c r="BC31" i="27" s="1"/>
  <c r="AQ31" i="27"/>
  <c r="BD31" i="27" s="1"/>
  <c r="AR31" i="27"/>
  <c r="BE31" i="27" s="1"/>
  <c r="AS31" i="27"/>
  <c r="BF31" i="27" s="1"/>
  <c r="AT31" i="27"/>
  <c r="AV31" i="27"/>
  <c r="AY31" i="27"/>
  <c r="AZ31" i="27"/>
  <c r="BA31" i="27"/>
  <c r="BB31" i="27"/>
  <c r="BG31" i="27"/>
  <c r="H32" i="27"/>
  <c r="I32" i="27"/>
  <c r="Z32" i="27" s="1"/>
  <c r="J32" i="27"/>
  <c r="AA32" i="27" s="1"/>
  <c r="K32" i="27"/>
  <c r="AB32" i="27" s="1"/>
  <c r="L32" i="27"/>
  <c r="AC32" i="27" s="1"/>
  <c r="M32" i="27"/>
  <c r="AD32" i="27" s="1"/>
  <c r="N32" i="27"/>
  <c r="AE32" i="27" s="1"/>
  <c r="O32" i="27"/>
  <c r="AF32" i="27" s="1"/>
  <c r="P32" i="27"/>
  <c r="R32" i="27"/>
  <c r="AI32" i="27" s="1"/>
  <c r="S32" i="27"/>
  <c r="T32" i="27"/>
  <c r="U32" i="27"/>
  <c r="V32" i="27"/>
  <c r="Y32" i="27"/>
  <c r="AG32" i="27"/>
  <c r="AJ32" i="27"/>
  <c r="AL32" i="27"/>
  <c r="AM32" i="27"/>
  <c r="AN32" i="27"/>
  <c r="AO32" i="27"/>
  <c r="AP32" i="27"/>
  <c r="BC32" i="27" s="1"/>
  <c r="AQ32" i="27"/>
  <c r="BD32" i="27" s="1"/>
  <c r="AR32" i="27"/>
  <c r="BE32" i="27" s="1"/>
  <c r="AS32" i="27"/>
  <c r="BF32" i="27" s="1"/>
  <c r="AT32" i="27"/>
  <c r="AV32" i="27"/>
  <c r="AY32" i="27"/>
  <c r="AZ32" i="27"/>
  <c r="BA32" i="27"/>
  <c r="BB32" i="27"/>
  <c r="BG32" i="27"/>
  <c r="H33" i="27"/>
  <c r="I33" i="27"/>
  <c r="Z33" i="27" s="1"/>
  <c r="J33" i="27"/>
  <c r="AA33" i="27" s="1"/>
  <c r="K33" i="27"/>
  <c r="AB33" i="27" s="1"/>
  <c r="L33" i="27"/>
  <c r="AC33" i="27" s="1"/>
  <c r="M33" i="27"/>
  <c r="AD33" i="27" s="1"/>
  <c r="N33" i="27"/>
  <c r="AE33" i="27" s="1"/>
  <c r="O33" i="27"/>
  <c r="AF33" i="27" s="1"/>
  <c r="P33" i="27"/>
  <c r="R33" i="27"/>
  <c r="AI33" i="27" s="1"/>
  <c r="S33" i="27"/>
  <c r="T33" i="27"/>
  <c r="U33" i="27"/>
  <c r="V33" i="27"/>
  <c r="Y33" i="27"/>
  <c r="AG33" i="27"/>
  <c r="AJ33" i="27"/>
  <c r="AL33" i="27"/>
  <c r="AM33" i="27"/>
  <c r="AN33" i="27"/>
  <c r="AO33" i="27"/>
  <c r="AP33" i="27"/>
  <c r="BC33" i="27" s="1"/>
  <c r="AQ33" i="27"/>
  <c r="BD33" i="27" s="1"/>
  <c r="AR33" i="27"/>
  <c r="BE33" i="27" s="1"/>
  <c r="AS33" i="27"/>
  <c r="BF33" i="27" s="1"/>
  <c r="AT33" i="27"/>
  <c r="AV33" i="27"/>
  <c r="AY33" i="27"/>
  <c r="AZ33" i="27"/>
  <c r="BA33" i="27"/>
  <c r="BB33" i="27"/>
  <c r="BG33" i="27"/>
  <c r="H34" i="27"/>
  <c r="I34" i="27"/>
  <c r="Z34" i="27" s="1"/>
  <c r="J34" i="27"/>
  <c r="AA34" i="27" s="1"/>
  <c r="K34" i="27"/>
  <c r="AB34" i="27" s="1"/>
  <c r="L34" i="27"/>
  <c r="AC34" i="27" s="1"/>
  <c r="M34" i="27"/>
  <c r="AD34" i="27" s="1"/>
  <c r="N34" i="27"/>
  <c r="AE34" i="27" s="1"/>
  <c r="O34" i="27"/>
  <c r="AF34" i="27" s="1"/>
  <c r="P34" i="27"/>
  <c r="R34" i="27"/>
  <c r="AI34" i="27" s="1"/>
  <c r="S34" i="27"/>
  <c r="T34" i="27"/>
  <c r="U34" i="27"/>
  <c r="V34" i="27"/>
  <c r="Y34" i="27"/>
  <c r="AG34" i="27"/>
  <c r="AJ34" i="27"/>
  <c r="AL34" i="27"/>
  <c r="AM34" i="27"/>
  <c r="AN34" i="27"/>
  <c r="AO34" i="27"/>
  <c r="AP34" i="27"/>
  <c r="BC34" i="27" s="1"/>
  <c r="AQ34" i="27"/>
  <c r="BD34" i="27" s="1"/>
  <c r="AR34" i="27"/>
  <c r="BE34" i="27" s="1"/>
  <c r="AS34" i="27"/>
  <c r="BF34" i="27" s="1"/>
  <c r="AT34" i="27"/>
  <c r="AV34" i="27"/>
  <c r="AY34" i="27"/>
  <c r="AZ34" i="27"/>
  <c r="BA34" i="27"/>
  <c r="BB34" i="27"/>
  <c r="BG34" i="27"/>
  <c r="H35" i="27"/>
  <c r="I35" i="27"/>
  <c r="Z35" i="27" s="1"/>
  <c r="J35" i="27"/>
  <c r="AA35" i="27" s="1"/>
  <c r="K35" i="27"/>
  <c r="AB35" i="27" s="1"/>
  <c r="L35" i="27"/>
  <c r="AC35" i="27" s="1"/>
  <c r="M35" i="27"/>
  <c r="AD35" i="27" s="1"/>
  <c r="N35" i="27"/>
  <c r="AE35" i="27" s="1"/>
  <c r="O35" i="27"/>
  <c r="AF35" i="27" s="1"/>
  <c r="P35" i="27"/>
  <c r="R35" i="27"/>
  <c r="AI35" i="27" s="1"/>
  <c r="S35" i="27"/>
  <c r="T35" i="27"/>
  <c r="U35" i="27"/>
  <c r="V35" i="27"/>
  <c r="Y35" i="27"/>
  <c r="AG35" i="27"/>
  <c r="AJ35" i="27"/>
  <c r="AL35" i="27"/>
  <c r="AM35" i="27"/>
  <c r="AN35" i="27"/>
  <c r="BA35" i="27" s="1"/>
  <c r="AO35" i="27"/>
  <c r="AP35" i="27"/>
  <c r="BC35" i="27" s="1"/>
  <c r="AQ35" i="27"/>
  <c r="BD35" i="27" s="1"/>
  <c r="AR35" i="27"/>
  <c r="BE35" i="27" s="1"/>
  <c r="AS35" i="27"/>
  <c r="BF35" i="27" s="1"/>
  <c r="AT35" i="27"/>
  <c r="AV35" i="27"/>
  <c r="AY35" i="27"/>
  <c r="AZ35" i="27"/>
  <c r="BB35" i="27"/>
  <c r="BG35" i="27"/>
  <c r="H36" i="27"/>
  <c r="I36" i="27"/>
  <c r="Z36" i="27" s="1"/>
  <c r="J36" i="27"/>
  <c r="AA36" i="27" s="1"/>
  <c r="K36" i="27"/>
  <c r="AB36" i="27" s="1"/>
  <c r="L36" i="27"/>
  <c r="AC36" i="27" s="1"/>
  <c r="M36" i="27"/>
  <c r="AD36" i="27" s="1"/>
  <c r="N36" i="27"/>
  <c r="AE36" i="27" s="1"/>
  <c r="O36" i="27"/>
  <c r="AF36" i="27" s="1"/>
  <c r="P36" i="27"/>
  <c r="R36" i="27"/>
  <c r="AI36" i="27" s="1"/>
  <c r="S36" i="27"/>
  <c r="T36" i="27"/>
  <c r="U36" i="27"/>
  <c r="V36" i="27"/>
  <c r="Y36" i="27"/>
  <c r="AG36" i="27"/>
  <c r="AJ36" i="27"/>
  <c r="AL36" i="27"/>
  <c r="AM36" i="27"/>
  <c r="AN36" i="27"/>
  <c r="AO36" i="27"/>
  <c r="AP36" i="27"/>
  <c r="BC36" i="27" s="1"/>
  <c r="AQ36" i="27"/>
  <c r="BD36" i="27" s="1"/>
  <c r="AR36" i="27"/>
  <c r="BE36" i="27" s="1"/>
  <c r="AS36" i="27"/>
  <c r="BF36" i="27" s="1"/>
  <c r="AT36" i="27"/>
  <c r="AV36" i="27"/>
  <c r="AY36" i="27"/>
  <c r="AZ36" i="27"/>
  <c r="BA36" i="27"/>
  <c r="BB36" i="27"/>
  <c r="BG36" i="27"/>
  <c r="H37" i="27"/>
  <c r="I37" i="27"/>
  <c r="Z37" i="27" s="1"/>
  <c r="J37" i="27"/>
  <c r="K37" i="27"/>
  <c r="AB37" i="27" s="1"/>
  <c r="L37" i="27"/>
  <c r="AC37" i="27" s="1"/>
  <c r="M37" i="27"/>
  <c r="AD37" i="27" s="1"/>
  <c r="N37" i="27"/>
  <c r="AE37" i="27" s="1"/>
  <c r="O37" i="27"/>
  <c r="AF37" i="27" s="1"/>
  <c r="P37" i="27"/>
  <c r="R37" i="27"/>
  <c r="AI37" i="27" s="1"/>
  <c r="S37" i="27"/>
  <c r="T37" i="27"/>
  <c r="U37" i="27"/>
  <c r="V37" i="27"/>
  <c r="Y37" i="27"/>
  <c r="AA37" i="27"/>
  <c r="AG37" i="27"/>
  <c r="AJ37" i="27"/>
  <c r="AL37" i="27"/>
  <c r="AM37" i="27"/>
  <c r="AN37" i="27"/>
  <c r="AO37" i="27"/>
  <c r="AP37" i="27"/>
  <c r="BC37" i="27" s="1"/>
  <c r="AQ37" i="27"/>
  <c r="BD37" i="27" s="1"/>
  <c r="AR37" i="27"/>
  <c r="BE37" i="27" s="1"/>
  <c r="AS37" i="27"/>
  <c r="BF37" i="27" s="1"/>
  <c r="AT37" i="27"/>
  <c r="AV37" i="27"/>
  <c r="AY37" i="27"/>
  <c r="AZ37" i="27"/>
  <c r="BA37" i="27"/>
  <c r="BB37" i="27"/>
  <c r="BG37" i="27"/>
  <c r="H38" i="27"/>
  <c r="I38" i="27"/>
  <c r="J38" i="27"/>
  <c r="AA38" i="27" s="1"/>
  <c r="K38" i="27"/>
  <c r="AB38" i="27" s="1"/>
  <c r="L38" i="27"/>
  <c r="AC38" i="27" s="1"/>
  <c r="M38" i="27"/>
  <c r="AD38" i="27" s="1"/>
  <c r="N38" i="27"/>
  <c r="AE38" i="27" s="1"/>
  <c r="O38" i="27"/>
  <c r="AF38" i="27" s="1"/>
  <c r="P38" i="27"/>
  <c r="R38" i="27"/>
  <c r="S38" i="27"/>
  <c r="T38" i="27"/>
  <c r="U38" i="27"/>
  <c r="V38" i="27"/>
  <c r="Y38" i="27"/>
  <c r="Z38" i="27"/>
  <c r="AG38" i="27"/>
  <c r="AI38" i="27"/>
  <c r="AJ38" i="27"/>
  <c r="AL38" i="27"/>
  <c r="AM38" i="27"/>
  <c r="AN38" i="27"/>
  <c r="AO38" i="27"/>
  <c r="AP38" i="27"/>
  <c r="BC38" i="27" s="1"/>
  <c r="AQ38" i="27"/>
  <c r="BD38" i="27" s="1"/>
  <c r="AR38" i="27"/>
  <c r="BE38" i="27" s="1"/>
  <c r="AS38" i="27"/>
  <c r="BF38" i="27" s="1"/>
  <c r="AT38" i="27"/>
  <c r="AV38" i="27"/>
  <c r="AY38" i="27"/>
  <c r="AZ38" i="27"/>
  <c r="BA38" i="27"/>
  <c r="BB38" i="27"/>
  <c r="BG38" i="27"/>
  <c r="H39" i="27"/>
  <c r="I39" i="27"/>
  <c r="Z39" i="27" s="1"/>
  <c r="J39" i="27"/>
  <c r="AA39" i="27" s="1"/>
  <c r="K39" i="27"/>
  <c r="AB39" i="27" s="1"/>
  <c r="L39" i="27"/>
  <c r="AC39" i="27" s="1"/>
  <c r="M39" i="27"/>
  <c r="AD39" i="27" s="1"/>
  <c r="N39" i="27"/>
  <c r="AE39" i="27" s="1"/>
  <c r="O39" i="27"/>
  <c r="AF39" i="27" s="1"/>
  <c r="P39" i="27"/>
  <c r="R39" i="27"/>
  <c r="AI39" i="27" s="1"/>
  <c r="S39" i="27"/>
  <c r="T39" i="27"/>
  <c r="U39" i="27"/>
  <c r="V39" i="27"/>
  <c r="Y39" i="27"/>
  <c r="AG39" i="27"/>
  <c r="AJ39" i="27"/>
  <c r="AL39" i="27"/>
  <c r="AM39" i="27"/>
  <c r="AN39" i="27"/>
  <c r="AO39" i="27"/>
  <c r="AP39" i="27"/>
  <c r="BC39" i="27" s="1"/>
  <c r="AQ39" i="27"/>
  <c r="BD39" i="27" s="1"/>
  <c r="AR39" i="27"/>
  <c r="BE39" i="27" s="1"/>
  <c r="AS39" i="27"/>
  <c r="BF39" i="27" s="1"/>
  <c r="AT39" i="27"/>
  <c r="AV39" i="27"/>
  <c r="AY39" i="27"/>
  <c r="AZ39" i="27"/>
  <c r="BA39" i="27"/>
  <c r="BB39" i="27"/>
  <c r="BG39" i="27"/>
  <c r="H40" i="27"/>
  <c r="I40" i="27"/>
  <c r="Z40" i="27" s="1"/>
  <c r="J40" i="27"/>
  <c r="AA40" i="27" s="1"/>
  <c r="K40" i="27"/>
  <c r="AB40" i="27" s="1"/>
  <c r="L40" i="27"/>
  <c r="AC40" i="27" s="1"/>
  <c r="M40" i="27"/>
  <c r="AD40" i="27" s="1"/>
  <c r="N40" i="27"/>
  <c r="AE40" i="27" s="1"/>
  <c r="O40" i="27"/>
  <c r="AF40" i="27" s="1"/>
  <c r="P40" i="27"/>
  <c r="R40" i="27"/>
  <c r="AI40" i="27" s="1"/>
  <c r="S40" i="27"/>
  <c r="T40" i="27"/>
  <c r="U40" i="27"/>
  <c r="V40" i="27"/>
  <c r="Y40" i="27"/>
  <c r="AG40" i="27"/>
  <c r="AJ40" i="27"/>
  <c r="AL40" i="27"/>
  <c r="AM40" i="27"/>
  <c r="AN40" i="27"/>
  <c r="AO40" i="27"/>
  <c r="AP40" i="27"/>
  <c r="BC40" i="27" s="1"/>
  <c r="AQ40" i="27"/>
  <c r="BD40" i="27" s="1"/>
  <c r="AR40" i="27"/>
  <c r="BE40" i="27" s="1"/>
  <c r="AS40" i="27"/>
  <c r="BF40" i="27" s="1"/>
  <c r="AT40" i="27"/>
  <c r="AV40" i="27"/>
  <c r="AY40" i="27"/>
  <c r="AZ40" i="27"/>
  <c r="BA40" i="27"/>
  <c r="BB40" i="27"/>
  <c r="BG40" i="27"/>
  <c r="H41" i="27"/>
  <c r="I41" i="27"/>
  <c r="J41" i="27"/>
  <c r="AA41" i="27" s="1"/>
  <c r="K41" i="27"/>
  <c r="AB41" i="27" s="1"/>
  <c r="L41" i="27"/>
  <c r="AC41" i="27" s="1"/>
  <c r="M41" i="27"/>
  <c r="AD41" i="27" s="1"/>
  <c r="N41" i="27"/>
  <c r="AE41" i="27" s="1"/>
  <c r="O41" i="27"/>
  <c r="AF41" i="27" s="1"/>
  <c r="P41" i="27"/>
  <c r="R41" i="27"/>
  <c r="S41" i="27"/>
  <c r="T41" i="27"/>
  <c r="U41" i="27"/>
  <c r="V41" i="27"/>
  <c r="Y41" i="27"/>
  <c r="Z41" i="27"/>
  <c r="AG41" i="27"/>
  <c r="AI41" i="27"/>
  <c r="AJ41" i="27"/>
  <c r="AL41" i="27"/>
  <c r="AM41" i="27"/>
  <c r="AN41" i="27"/>
  <c r="AO41" i="27"/>
  <c r="AP41" i="27"/>
  <c r="BC41" i="27" s="1"/>
  <c r="AQ41" i="27"/>
  <c r="BD41" i="27" s="1"/>
  <c r="AR41" i="27"/>
  <c r="BE41" i="27" s="1"/>
  <c r="AS41" i="27"/>
  <c r="BF41" i="27" s="1"/>
  <c r="AT41" i="27"/>
  <c r="AV41" i="27"/>
  <c r="AY41" i="27"/>
  <c r="AZ41" i="27"/>
  <c r="BA41" i="27"/>
  <c r="BB41" i="27"/>
  <c r="BG41" i="27"/>
  <c r="H42" i="27"/>
  <c r="I42" i="27"/>
  <c r="Z42" i="27" s="1"/>
  <c r="J42" i="27"/>
  <c r="AA42" i="27" s="1"/>
  <c r="K42" i="27"/>
  <c r="AB42" i="27" s="1"/>
  <c r="L42" i="27"/>
  <c r="AC42" i="27" s="1"/>
  <c r="M42" i="27"/>
  <c r="AD42" i="27" s="1"/>
  <c r="N42" i="27"/>
  <c r="AE42" i="27" s="1"/>
  <c r="O42" i="27"/>
  <c r="AF42" i="27" s="1"/>
  <c r="P42" i="27"/>
  <c r="R42" i="27"/>
  <c r="AI42" i="27" s="1"/>
  <c r="S42" i="27"/>
  <c r="T42" i="27"/>
  <c r="U42" i="27"/>
  <c r="V42" i="27"/>
  <c r="Y42" i="27"/>
  <c r="AG42" i="27"/>
  <c r="AJ42" i="27"/>
  <c r="AL42" i="27"/>
  <c r="AM42" i="27"/>
  <c r="AN42" i="27"/>
  <c r="AO42" i="27"/>
  <c r="AP42" i="27"/>
  <c r="BC42" i="27" s="1"/>
  <c r="AQ42" i="27"/>
  <c r="BD42" i="27" s="1"/>
  <c r="AR42" i="27"/>
  <c r="BE42" i="27" s="1"/>
  <c r="AS42" i="27"/>
  <c r="BF42" i="27" s="1"/>
  <c r="AT42" i="27"/>
  <c r="AV42" i="27"/>
  <c r="AY42" i="27"/>
  <c r="AZ42" i="27"/>
  <c r="BA42" i="27"/>
  <c r="BB42" i="27"/>
  <c r="BG42" i="27"/>
  <c r="H43" i="27"/>
  <c r="I43" i="27"/>
  <c r="J43" i="27"/>
  <c r="AA43" i="27" s="1"/>
  <c r="K43" i="27"/>
  <c r="AB43" i="27" s="1"/>
  <c r="L43" i="27"/>
  <c r="AC43" i="27" s="1"/>
  <c r="M43" i="27"/>
  <c r="AD43" i="27" s="1"/>
  <c r="N43" i="27"/>
  <c r="AE43" i="27" s="1"/>
  <c r="O43" i="27"/>
  <c r="AF43" i="27" s="1"/>
  <c r="P43" i="27"/>
  <c r="R43" i="27"/>
  <c r="S43" i="27"/>
  <c r="T43" i="27"/>
  <c r="U43" i="27"/>
  <c r="V43" i="27"/>
  <c r="Y43" i="27"/>
  <c r="Z43" i="27"/>
  <c r="AG43" i="27"/>
  <c r="AI43" i="27"/>
  <c r="AJ43" i="27"/>
  <c r="AL43" i="27"/>
  <c r="AM43" i="27"/>
  <c r="AN43" i="27"/>
  <c r="AO43" i="27"/>
  <c r="AP43" i="27"/>
  <c r="BC43" i="27" s="1"/>
  <c r="AQ43" i="27"/>
  <c r="BD43" i="27" s="1"/>
  <c r="AR43" i="27"/>
  <c r="BE43" i="27" s="1"/>
  <c r="AS43" i="27"/>
  <c r="BF43" i="27" s="1"/>
  <c r="AT43" i="27"/>
  <c r="AV43" i="27"/>
  <c r="AY43" i="27"/>
  <c r="AZ43" i="27"/>
  <c r="BA43" i="27"/>
  <c r="BB43" i="27"/>
  <c r="BG43" i="27"/>
  <c r="H44" i="27"/>
  <c r="I44" i="27"/>
  <c r="Z44" i="27" s="1"/>
  <c r="J44" i="27"/>
  <c r="AA44" i="27" s="1"/>
  <c r="K44" i="27"/>
  <c r="AB44" i="27" s="1"/>
  <c r="L44" i="27"/>
  <c r="AC44" i="27" s="1"/>
  <c r="M44" i="27"/>
  <c r="AD44" i="27" s="1"/>
  <c r="N44" i="27"/>
  <c r="AE44" i="27" s="1"/>
  <c r="O44" i="27"/>
  <c r="AF44" i="27" s="1"/>
  <c r="P44" i="27"/>
  <c r="R44" i="27"/>
  <c r="AI44" i="27" s="1"/>
  <c r="S44" i="27"/>
  <c r="T44" i="27"/>
  <c r="U44" i="27"/>
  <c r="V44" i="27"/>
  <c r="Y44" i="27"/>
  <c r="AG44" i="27"/>
  <c r="AJ44" i="27"/>
  <c r="AL44" i="27"/>
  <c r="AM44" i="27"/>
  <c r="AN44" i="27"/>
  <c r="AO44" i="27"/>
  <c r="AP44" i="27"/>
  <c r="BC44" i="27" s="1"/>
  <c r="AQ44" i="27"/>
  <c r="BD44" i="27" s="1"/>
  <c r="AR44" i="27"/>
  <c r="BE44" i="27" s="1"/>
  <c r="AS44" i="27"/>
  <c r="BF44" i="27" s="1"/>
  <c r="AT44" i="27"/>
  <c r="AV44" i="27"/>
  <c r="AY44" i="27"/>
  <c r="AZ44" i="27"/>
  <c r="BA44" i="27"/>
  <c r="BB44" i="27"/>
  <c r="BG44" i="27"/>
  <c r="H45" i="27"/>
  <c r="I45" i="27"/>
  <c r="Z45" i="27" s="1"/>
  <c r="J45" i="27"/>
  <c r="AA45" i="27" s="1"/>
  <c r="K45" i="27"/>
  <c r="AB45" i="27" s="1"/>
  <c r="L45" i="27"/>
  <c r="AC45" i="27" s="1"/>
  <c r="M45" i="27"/>
  <c r="AD45" i="27" s="1"/>
  <c r="N45" i="27"/>
  <c r="AE45" i="27" s="1"/>
  <c r="O45" i="27"/>
  <c r="AF45" i="27" s="1"/>
  <c r="P45" i="27"/>
  <c r="R45" i="27"/>
  <c r="AI45" i="27" s="1"/>
  <c r="S45" i="27"/>
  <c r="T45" i="27"/>
  <c r="U45" i="27"/>
  <c r="V45" i="27"/>
  <c r="Y45" i="27"/>
  <c r="AG45" i="27"/>
  <c r="AJ45" i="27"/>
  <c r="AL45" i="27"/>
  <c r="AM45" i="27"/>
  <c r="AN45" i="27"/>
  <c r="AO45" i="27"/>
  <c r="AP45" i="27"/>
  <c r="BC45" i="27" s="1"/>
  <c r="AQ45" i="27"/>
  <c r="BD45" i="27" s="1"/>
  <c r="AR45" i="27"/>
  <c r="BE45" i="27" s="1"/>
  <c r="AS45" i="27"/>
  <c r="BF45" i="27" s="1"/>
  <c r="AT45" i="27"/>
  <c r="AV45" i="27"/>
  <c r="AY45" i="27"/>
  <c r="AZ45" i="27"/>
  <c r="BA45" i="27"/>
  <c r="BB45" i="27"/>
  <c r="BG45" i="27"/>
  <c r="H46" i="27"/>
  <c r="I46" i="27"/>
  <c r="Z46" i="27" s="1"/>
  <c r="J46" i="27"/>
  <c r="AA46" i="27" s="1"/>
  <c r="K46" i="27"/>
  <c r="AB46" i="27" s="1"/>
  <c r="L46" i="27"/>
  <c r="AC46" i="27" s="1"/>
  <c r="M46" i="27"/>
  <c r="AD46" i="27" s="1"/>
  <c r="N46" i="27"/>
  <c r="AE46" i="27" s="1"/>
  <c r="O46" i="27"/>
  <c r="AF46" i="27" s="1"/>
  <c r="P46" i="27"/>
  <c r="R46" i="27"/>
  <c r="AI46" i="27" s="1"/>
  <c r="S46" i="27"/>
  <c r="T46" i="27"/>
  <c r="U46" i="27"/>
  <c r="V46" i="27"/>
  <c r="Y46" i="27"/>
  <c r="AG46" i="27"/>
  <c r="AJ46" i="27"/>
  <c r="AL46" i="27"/>
  <c r="AM46" i="27"/>
  <c r="AN46" i="27"/>
  <c r="AO46" i="27"/>
  <c r="AP46" i="27"/>
  <c r="BC46" i="27" s="1"/>
  <c r="AQ46" i="27"/>
  <c r="BD46" i="27" s="1"/>
  <c r="AR46" i="27"/>
  <c r="BE46" i="27" s="1"/>
  <c r="AS46" i="27"/>
  <c r="BF46" i="27" s="1"/>
  <c r="AT46" i="27"/>
  <c r="AV46" i="27"/>
  <c r="AY46" i="27"/>
  <c r="AZ46" i="27"/>
  <c r="BA46" i="27"/>
  <c r="BB46" i="27"/>
  <c r="BG46" i="27"/>
  <c r="H47" i="27"/>
  <c r="I47" i="27"/>
  <c r="J47" i="27"/>
  <c r="AA47" i="27" s="1"/>
  <c r="K47" i="27"/>
  <c r="AB47" i="27" s="1"/>
  <c r="L47" i="27"/>
  <c r="AC47" i="27" s="1"/>
  <c r="M47" i="27"/>
  <c r="AD47" i="27" s="1"/>
  <c r="N47" i="27"/>
  <c r="AE47" i="27" s="1"/>
  <c r="O47" i="27"/>
  <c r="AF47" i="27" s="1"/>
  <c r="P47" i="27"/>
  <c r="R47" i="27"/>
  <c r="S47" i="27"/>
  <c r="T47" i="27"/>
  <c r="U47" i="27"/>
  <c r="V47" i="27"/>
  <c r="Y47" i="27"/>
  <c r="Z47" i="27"/>
  <c r="AG47" i="27"/>
  <c r="AI47" i="27"/>
  <c r="AJ47" i="27"/>
  <c r="AL47" i="27"/>
  <c r="AM47" i="27"/>
  <c r="AN47" i="27"/>
  <c r="AO47" i="27"/>
  <c r="AP47" i="27"/>
  <c r="BC47" i="27" s="1"/>
  <c r="AQ47" i="27"/>
  <c r="BD47" i="27" s="1"/>
  <c r="AR47" i="27"/>
  <c r="BE47" i="27" s="1"/>
  <c r="AS47" i="27"/>
  <c r="BF47" i="27" s="1"/>
  <c r="AT47" i="27"/>
  <c r="AV47" i="27"/>
  <c r="AY47" i="27"/>
  <c r="AZ47" i="27"/>
  <c r="BA47" i="27"/>
  <c r="BB47" i="27"/>
  <c r="BG47" i="27"/>
  <c r="H48" i="27"/>
  <c r="I48" i="27"/>
  <c r="J48" i="27"/>
  <c r="AA48" i="27" s="1"/>
  <c r="K48" i="27"/>
  <c r="AB48" i="27" s="1"/>
  <c r="L48" i="27"/>
  <c r="AC48" i="27" s="1"/>
  <c r="M48" i="27"/>
  <c r="AD48" i="27" s="1"/>
  <c r="N48" i="27"/>
  <c r="AE48" i="27" s="1"/>
  <c r="O48" i="27"/>
  <c r="AF48" i="27" s="1"/>
  <c r="P48" i="27"/>
  <c r="R48" i="27"/>
  <c r="S48" i="27"/>
  <c r="T48" i="27"/>
  <c r="U48" i="27"/>
  <c r="V48" i="27"/>
  <c r="Y48" i="27"/>
  <c r="Z48" i="27"/>
  <c r="AG48" i="27"/>
  <c r="AI48" i="27"/>
  <c r="AJ48" i="27"/>
  <c r="AL48" i="27"/>
  <c r="AM48" i="27"/>
  <c r="AN48" i="27"/>
  <c r="AO48" i="27"/>
  <c r="AP48" i="27"/>
  <c r="BC48" i="27" s="1"/>
  <c r="AQ48" i="27"/>
  <c r="BD48" i="27" s="1"/>
  <c r="AR48" i="27"/>
  <c r="BE48" i="27" s="1"/>
  <c r="AS48" i="27"/>
  <c r="BF48" i="27" s="1"/>
  <c r="AT48" i="27"/>
  <c r="AV48" i="27"/>
  <c r="AY48" i="27"/>
  <c r="AZ48" i="27"/>
  <c r="BA48" i="27"/>
  <c r="BB48" i="27"/>
  <c r="BG48" i="27"/>
  <c r="H49" i="27"/>
  <c r="I49" i="27"/>
  <c r="Z49" i="27" s="1"/>
  <c r="J49" i="27"/>
  <c r="AA49" i="27" s="1"/>
  <c r="K49" i="27"/>
  <c r="AB49" i="27" s="1"/>
  <c r="L49" i="27"/>
  <c r="AC49" i="27" s="1"/>
  <c r="M49" i="27"/>
  <c r="AD49" i="27" s="1"/>
  <c r="N49" i="27"/>
  <c r="AE49" i="27" s="1"/>
  <c r="O49" i="27"/>
  <c r="AF49" i="27" s="1"/>
  <c r="P49" i="27"/>
  <c r="R49" i="27"/>
  <c r="AI49" i="27" s="1"/>
  <c r="S49" i="27"/>
  <c r="T49" i="27"/>
  <c r="U49" i="27"/>
  <c r="V49" i="27"/>
  <c r="Y49" i="27"/>
  <c r="AG49" i="27"/>
  <c r="AJ49" i="27"/>
  <c r="AL49" i="27"/>
  <c r="AM49" i="27"/>
  <c r="AN49" i="27"/>
  <c r="AO49" i="27"/>
  <c r="AP49" i="27"/>
  <c r="BC49" i="27" s="1"/>
  <c r="AQ49" i="27"/>
  <c r="BD49" i="27" s="1"/>
  <c r="AR49" i="27"/>
  <c r="BE49" i="27" s="1"/>
  <c r="AS49" i="27"/>
  <c r="BF49" i="27" s="1"/>
  <c r="AT49" i="27"/>
  <c r="AV49" i="27"/>
  <c r="AY49" i="27"/>
  <c r="AZ49" i="27"/>
  <c r="BA49" i="27"/>
  <c r="BB49" i="27"/>
  <c r="BG49" i="27"/>
  <c r="H50" i="27"/>
  <c r="I50" i="27"/>
  <c r="Z50" i="27" s="1"/>
  <c r="J50" i="27"/>
  <c r="AA50" i="27" s="1"/>
  <c r="K50" i="27"/>
  <c r="AB50" i="27" s="1"/>
  <c r="L50" i="27"/>
  <c r="AC50" i="27" s="1"/>
  <c r="M50" i="27"/>
  <c r="AD50" i="27" s="1"/>
  <c r="N50" i="27"/>
  <c r="AE50" i="27" s="1"/>
  <c r="O50" i="27"/>
  <c r="AF50" i="27" s="1"/>
  <c r="P50" i="27"/>
  <c r="R50" i="27"/>
  <c r="AI50" i="27" s="1"/>
  <c r="S50" i="27"/>
  <c r="T50" i="27"/>
  <c r="U50" i="27"/>
  <c r="V50" i="27"/>
  <c r="Y50" i="27"/>
  <c r="AG50" i="27"/>
  <c r="AJ50" i="27"/>
  <c r="AL50" i="27"/>
  <c r="AM50" i="27"/>
  <c r="AN50" i="27"/>
  <c r="AO50" i="27"/>
  <c r="AP50" i="27"/>
  <c r="BC50" i="27" s="1"/>
  <c r="AQ50" i="27"/>
  <c r="BD50" i="27" s="1"/>
  <c r="AR50" i="27"/>
  <c r="BE50" i="27" s="1"/>
  <c r="AS50" i="27"/>
  <c r="BF50" i="27" s="1"/>
  <c r="AT50" i="27"/>
  <c r="AV50" i="27"/>
  <c r="AY50" i="27"/>
  <c r="AZ50" i="27"/>
  <c r="BA50" i="27"/>
  <c r="BB50" i="27"/>
  <c r="BG50" i="27"/>
  <c r="H51" i="27"/>
  <c r="I51" i="27"/>
  <c r="Z51" i="27" s="1"/>
  <c r="J51" i="27"/>
  <c r="AA51" i="27" s="1"/>
  <c r="K51" i="27"/>
  <c r="AB51" i="27" s="1"/>
  <c r="L51" i="27"/>
  <c r="AC51" i="27" s="1"/>
  <c r="M51" i="27"/>
  <c r="AD51" i="27" s="1"/>
  <c r="N51" i="27"/>
  <c r="AE51" i="27" s="1"/>
  <c r="O51" i="27"/>
  <c r="AF51" i="27" s="1"/>
  <c r="P51" i="27"/>
  <c r="R51" i="27"/>
  <c r="AI51" i="27" s="1"/>
  <c r="S51" i="27"/>
  <c r="T51" i="27"/>
  <c r="U51" i="27"/>
  <c r="V51" i="27"/>
  <c r="Y51" i="27"/>
  <c r="AG51" i="27"/>
  <c r="AJ51" i="27"/>
  <c r="AL51" i="27"/>
  <c r="AM51" i="27"/>
  <c r="AN51" i="27"/>
  <c r="AO51" i="27"/>
  <c r="AP51" i="27"/>
  <c r="BC51" i="27" s="1"/>
  <c r="AQ51" i="27"/>
  <c r="BD51" i="27" s="1"/>
  <c r="AR51" i="27"/>
  <c r="BE51" i="27" s="1"/>
  <c r="AS51" i="27"/>
  <c r="BF51" i="27" s="1"/>
  <c r="AT51" i="27"/>
  <c r="AV51" i="27"/>
  <c r="AY51" i="27"/>
  <c r="AZ51" i="27"/>
  <c r="BA51" i="27"/>
  <c r="BB51" i="27"/>
  <c r="BG51" i="27"/>
  <c r="H52" i="27"/>
  <c r="I52" i="27"/>
  <c r="Z52" i="27" s="1"/>
  <c r="J52" i="27"/>
  <c r="AA52" i="27" s="1"/>
  <c r="K52" i="27"/>
  <c r="AB52" i="27" s="1"/>
  <c r="L52" i="27"/>
  <c r="AC52" i="27" s="1"/>
  <c r="M52" i="27"/>
  <c r="AD52" i="27" s="1"/>
  <c r="N52" i="27"/>
  <c r="AE52" i="27" s="1"/>
  <c r="O52" i="27"/>
  <c r="AF52" i="27" s="1"/>
  <c r="P52" i="27"/>
  <c r="R52" i="27"/>
  <c r="AI52" i="27" s="1"/>
  <c r="S52" i="27"/>
  <c r="T52" i="27"/>
  <c r="U52" i="27"/>
  <c r="V52" i="27"/>
  <c r="Y52" i="27"/>
  <c r="AG52" i="27"/>
  <c r="AJ52" i="27"/>
  <c r="AL52" i="27"/>
  <c r="AM52" i="27"/>
  <c r="AN52" i="27"/>
  <c r="AO52" i="27"/>
  <c r="AP52" i="27"/>
  <c r="BC52" i="27" s="1"/>
  <c r="AQ52" i="27"/>
  <c r="BD52" i="27" s="1"/>
  <c r="AR52" i="27"/>
  <c r="BE52" i="27" s="1"/>
  <c r="AS52" i="27"/>
  <c r="BF52" i="27" s="1"/>
  <c r="AT52" i="27"/>
  <c r="AV52" i="27"/>
  <c r="AY52" i="27"/>
  <c r="AZ52" i="27"/>
  <c r="BA52" i="27"/>
  <c r="BB52" i="27"/>
  <c r="BG52" i="27"/>
  <c r="H53" i="27"/>
  <c r="I53" i="27"/>
  <c r="Z53" i="27" s="1"/>
  <c r="J53" i="27"/>
  <c r="AA53" i="27" s="1"/>
  <c r="K53" i="27"/>
  <c r="AB53" i="27" s="1"/>
  <c r="L53" i="27"/>
  <c r="AC53" i="27" s="1"/>
  <c r="M53" i="27"/>
  <c r="AD53" i="27" s="1"/>
  <c r="N53" i="27"/>
  <c r="AE53" i="27" s="1"/>
  <c r="O53" i="27"/>
  <c r="AF53" i="27" s="1"/>
  <c r="P53" i="27"/>
  <c r="R53" i="27"/>
  <c r="AI53" i="27" s="1"/>
  <c r="S53" i="27"/>
  <c r="T53" i="27"/>
  <c r="U53" i="27"/>
  <c r="V53" i="27"/>
  <c r="Y53" i="27"/>
  <c r="AG53" i="27"/>
  <c r="AJ53" i="27"/>
  <c r="AL53" i="27"/>
  <c r="AM53" i="27"/>
  <c r="AN53" i="27"/>
  <c r="AO53" i="27"/>
  <c r="AP53" i="27"/>
  <c r="BC53" i="27" s="1"/>
  <c r="AQ53" i="27"/>
  <c r="BD53" i="27" s="1"/>
  <c r="AR53" i="27"/>
  <c r="BE53" i="27" s="1"/>
  <c r="AS53" i="27"/>
  <c r="BF53" i="27" s="1"/>
  <c r="AT53" i="27"/>
  <c r="AV53" i="27"/>
  <c r="AY53" i="27"/>
  <c r="AZ53" i="27"/>
  <c r="BA53" i="27"/>
  <c r="BB53" i="27"/>
  <c r="BG53" i="27"/>
  <c r="H54" i="27"/>
  <c r="I54" i="27"/>
  <c r="Z54" i="27" s="1"/>
  <c r="J54" i="27"/>
  <c r="AA54" i="27" s="1"/>
  <c r="K54" i="27"/>
  <c r="AB54" i="27" s="1"/>
  <c r="L54" i="27"/>
  <c r="AC54" i="27" s="1"/>
  <c r="M54" i="27"/>
  <c r="AD54" i="27" s="1"/>
  <c r="N54" i="27"/>
  <c r="AE54" i="27" s="1"/>
  <c r="O54" i="27"/>
  <c r="AF54" i="27" s="1"/>
  <c r="P54" i="27"/>
  <c r="R54" i="27"/>
  <c r="AI54" i="27" s="1"/>
  <c r="S54" i="27"/>
  <c r="T54" i="27"/>
  <c r="U54" i="27"/>
  <c r="V54" i="27"/>
  <c r="Y54" i="27"/>
  <c r="AG54" i="27"/>
  <c r="AJ54" i="27"/>
  <c r="AL54" i="27"/>
  <c r="AM54" i="27"/>
  <c r="AN54" i="27"/>
  <c r="AO54" i="27"/>
  <c r="AP54" i="27"/>
  <c r="BC54" i="27" s="1"/>
  <c r="AQ54" i="27"/>
  <c r="BD54" i="27" s="1"/>
  <c r="AR54" i="27"/>
  <c r="BE54" i="27" s="1"/>
  <c r="AS54" i="27"/>
  <c r="BF54" i="27" s="1"/>
  <c r="AT54" i="27"/>
  <c r="AV54" i="27"/>
  <c r="AY54" i="27"/>
  <c r="AZ54" i="27"/>
  <c r="BA54" i="27"/>
  <c r="BB54" i="27"/>
  <c r="BG54" i="27"/>
  <c r="H55" i="27"/>
  <c r="I55" i="27"/>
  <c r="Z55" i="27" s="1"/>
  <c r="J55" i="27"/>
  <c r="AA55" i="27" s="1"/>
  <c r="K55" i="27"/>
  <c r="AB55" i="27" s="1"/>
  <c r="L55" i="27"/>
  <c r="AC55" i="27" s="1"/>
  <c r="M55" i="27"/>
  <c r="AD55" i="27" s="1"/>
  <c r="N55" i="27"/>
  <c r="AE55" i="27" s="1"/>
  <c r="O55" i="27"/>
  <c r="AF55" i="27" s="1"/>
  <c r="P55" i="27"/>
  <c r="R55" i="27"/>
  <c r="AI55" i="27" s="1"/>
  <c r="S55" i="27"/>
  <c r="T55" i="27"/>
  <c r="U55" i="27"/>
  <c r="V55" i="27"/>
  <c r="Y55" i="27"/>
  <c r="AG55" i="27"/>
  <c r="AJ55" i="27"/>
  <c r="AL55" i="27"/>
  <c r="AM55" i="27"/>
  <c r="AN55" i="27"/>
  <c r="AO55" i="27"/>
  <c r="AP55" i="27"/>
  <c r="BC55" i="27" s="1"/>
  <c r="AQ55" i="27"/>
  <c r="BD55" i="27" s="1"/>
  <c r="AR55" i="27"/>
  <c r="BE55" i="27" s="1"/>
  <c r="AS55" i="27"/>
  <c r="BF55" i="27" s="1"/>
  <c r="AT55" i="27"/>
  <c r="AV55" i="27"/>
  <c r="AY55" i="27"/>
  <c r="AZ55" i="27"/>
  <c r="BA55" i="27"/>
  <c r="BB55" i="27"/>
  <c r="BG55" i="27"/>
  <c r="H56" i="27"/>
  <c r="I56" i="27"/>
  <c r="J56" i="27"/>
  <c r="AA56" i="27" s="1"/>
  <c r="K56" i="27"/>
  <c r="AB56" i="27" s="1"/>
  <c r="L56" i="27"/>
  <c r="AC56" i="27" s="1"/>
  <c r="M56" i="27"/>
  <c r="AD56" i="27" s="1"/>
  <c r="N56" i="27"/>
  <c r="AE56" i="27" s="1"/>
  <c r="O56" i="27"/>
  <c r="AF56" i="27" s="1"/>
  <c r="P56" i="27"/>
  <c r="R56" i="27"/>
  <c r="S56" i="27"/>
  <c r="T56" i="27"/>
  <c r="U56" i="27"/>
  <c r="V56" i="27"/>
  <c r="Y56" i="27"/>
  <c r="Z56" i="27"/>
  <c r="AG56" i="27"/>
  <c r="AI56" i="27"/>
  <c r="AJ56" i="27"/>
  <c r="AL56" i="27"/>
  <c r="AM56" i="27"/>
  <c r="AN56" i="27"/>
  <c r="AO56" i="27"/>
  <c r="AP56" i="27"/>
  <c r="BC56" i="27" s="1"/>
  <c r="AQ56" i="27"/>
  <c r="BD56" i="27" s="1"/>
  <c r="AR56" i="27"/>
  <c r="BE56" i="27" s="1"/>
  <c r="AS56" i="27"/>
  <c r="BF56" i="27" s="1"/>
  <c r="AT56" i="27"/>
  <c r="AV56" i="27"/>
  <c r="AY56" i="27"/>
  <c r="AZ56" i="27"/>
  <c r="BA56" i="27"/>
  <c r="BB56" i="27"/>
  <c r="BG56" i="27"/>
  <c r="H57" i="27"/>
  <c r="I57" i="27"/>
  <c r="Z57" i="27" s="1"/>
  <c r="J57" i="27"/>
  <c r="AA57" i="27" s="1"/>
  <c r="K57" i="27"/>
  <c r="AB57" i="27" s="1"/>
  <c r="L57" i="27"/>
  <c r="AC57" i="27" s="1"/>
  <c r="M57" i="27"/>
  <c r="AD57" i="27" s="1"/>
  <c r="N57" i="27"/>
  <c r="AE57" i="27" s="1"/>
  <c r="O57" i="27"/>
  <c r="P57" i="27"/>
  <c r="R57" i="27"/>
  <c r="AI57" i="27" s="1"/>
  <c r="S57" i="27"/>
  <c r="T57" i="27"/>
  <c r="U57" i="27"/>
  <c r="V57" i="27"/>
  <c r="Y57" i="27"/>
  <c r="AF57" i="27"/>
  <c r="AG57" i="27"/>
  <c r="AJ57" i="27"/>
  <c r="AL57" i="27"/>
  <c r="AY57" i="27" s="1"/>
  <c r="AM57" i="27"/>
  <c r="AN57" i="27"/>
  <c r="AO57" i="27"/>
  <c r="AP57" i="27"/>
  <c r="AQ57" i="27"/>
  <c r="BD57" i="27" s="1"/>
  <c r="AR57" i="27"/>
  <c r="BE57" i="27" s="1"/>
  <c r="AS57" i="27"/>
  <c r="BF57" i="27" s="1"/>
  <c r="AT57" i="27"/>
  <c r="BG57" i="27" s="1"/>
  <c r="AV57" i="27"/>
  <c r="AZ57" i="27"/>
  <c r="BA57" i="27"/>
  <c r="BB57" i="27"/>
  <c r="BC57" i="27"/>
  <c r="H58" i="27"/>
  <c r="I58" i="27"/>
  <c r="Z58" i="27" s="1"/>
  <c r="J58" i="27"/>
  <c r="AA58" i="27" s="1"/>
  <c r="K58" i="27"/>
  <c r="AB58" i="27" s="1"/>
  <c r="L58" i="27"/>
  <c r="AC58" i="27" s="1"/>
  <c r="M58" i="27"/>
  <c r="AD58" i="27" s="1"/>
  <c r="N58" i="27"/>
  <c r="AE58" i="27" s="1"/>
  <c r="O58" i="27"/>
  <c r="AF58" i="27" s="1"/>
  <c r="P58" i="27"/>
  <c r="R58" i="27"/>
  <c r="AI58" i="27" s="1"/>
  <c r="S58" i="27"/>
  <c r="T58" i="27"/>
  <c r="U58" i="27"/>
  <c r="V58" i="27"/>
  <c r="Y58" i="27"/>
  <c r="AG58" i="27"/>
  <c r="AJ58" i="27"/>
  <c r="AL58" i="27"/>
  <c r="AM58" i="27"/>
  <c r="AN58" i="27"/>
  <c r="BA58" i="27" s="1"/>
  <c r="AO58" i="27"/>
  <c r="AP58" i="27"/>
  <c r="BC58" i="27" s="1"/>
  <c r="AQ58" i="27"/>
  <c r="BD58" i="27" s="1"/>
  <c r="AR58" i="27"/>
  <c r="BE58" i="27" s="1"/>
  <c r="AS58" i="27"/>
  <c r="BF58" i="27" s="1"/>
  <c r="AT58" i="27"/>
  <c r="AV58" i="27"/>
  <c r="AY58" i="27"/>
  <c r="AZ58" i="27"/>
  <c r="BB58" i="27"/>
  <c r="BG58" i="27"/>
  <c r="H59" i="27"/>
  <c r="I59" i="27"/>
  <c r="Z59" i="27" s="1"/>
  <c r="J59" i="27"/>
  <c r="AA59" i="27" s="1"/>
  <c r="K59" i="27"/>
  <c r="AB59" i="27" s="1"/>
  <c r="L59" i="27"/>
  <c r="AC59" i="27" s="1"/>
  <c r="M59" i="27"/>
  <c r="AD59" i="27" s="1"/>
  <c r="N59" i="27"/>
  <c r="AE59" i="27" s="1"/>
  <c r="O59" i="27"/>
  <c r="AF59" i="27" s="1"/>
  <c r="P59" i="27"/>
  <c r="R59" i="27"/>
  <c r="AI59" i="27" s="1"/>
  <c r="S59" i="27"/>
  <c r="T59" i="27"/>
  <c r="U59" i="27"/>
  <c r="V59" i="27"/>
  <c r="Y59" i="27"/>
  <c r="AG59" i="27"/>
  <c r="AJ59" i="27"/>
  <c r="AL59" i="27"/>
  <c r="AM59" i="27"/>
  <c r="AN59" i="27"/>
  <c r="AO59" i="27"/>
  <c r="AP59" i="27"/>
  <c r="BC59" i="27" s="1"/>
  <c r="AQ59" i="27"/>
  <c r="BD59" i="27" s="1"/>
  <c r="AR59" i="27"/>
  <c r="BE59" i="27" s="1"/>
  <c r="AS59" i="27"/>
  <c r="BF59" i="27" s="1"/>
  <c r="AT59" i="27"/>
  <c r="AV59" i="27"/>
  <c r="AY59" i="27"/>
  <c r="AZ59" i="27"/>
  <c r="BA59" i="27"/>
  <c r="BB59" i="27"/>
  <c r="BG59" i="27"/>
  <c r="H60" i="27"/>
  <c r="I60" i="27"/>
  <c r="Z60" i="27" s="1"/>
  <c r="J60" i="27"/>
  <c r="AA60" i="27" s="1"/>
  <c r="K60" i="27"/>
  <c r="AB60" i="27" s="1"/>
  <c r="L60" i="27"/>
  <c r="AC60" i="27" s="1"/>
  <c r="M60" i="27"/>
  <c r="AD60" i="27" s="1"/>
  <c r="N60" i="27"/>
  <c r="AE60" i="27" s="1"/>
  <c r="O60" i="27"/>
  <c r="AF60" i="27" s="1"/>
  <c r="P60" i="27"/>
  <c r="R60" i="27"/>
  <c r="AI60" i="27" s="1"/>
  <c r="S60" i="27"/>
  <c r="T60" i="27"/>
  <c r="U60" i="27"/>
  <c r="V60" i="27"/>
  <c r="Y60" i="27"/>
  <c r="AG60" i="27"/>
  <c r="AJ60" i="27"/>
  <c r="AL60" i="27"/>
  <c r="AM60" i="27"/>
  <c r="AN60" i="27"/>
  <c r="AO60" i="27"/>
  <c r="AP60" i="27"/>
  <c r="BC60" i="27" s="1"/>
  <c r="AQ60" i="27"/>
  <c r="BD60" i="27" s="1"/>
  <c r="AR60" i="27"/>
  <c r="BE60" i="27" s="1"/>
  <c r="AS60" i="27"/>
  <c r="BF60" i="27" s="1"/>
  <c r="AT60" i="27"/>
  <c r="AV60" i="27"/>
  <c r="AY60" i="27"/>
  <c r="AZ60" i="27"/>
  <c r="BA60" i="27"/>
  <c r="BB60" i="27"/>
  <c r="BG60" i="27"/>
  <c r="H61" i="27"/>
  <c r="I61" i="27"/>
  <c r="J61" i="27"/>
  <c r="AA61" i="27" s="1"/>
  <c r="K61" i="27"/>
  <c r="AB61" i="27" s="1"/>
  <c r="L61" i="27"/>
  <c r="AC61" i="27" s="1"/>
  <c r="M61" i="27"/>
  <c r="AD61" i="27" s="1"/>
  <c r="N61" i="27"/>
  <c r="AE61" i="27" s="1"/>
  <c r="O61" i="27"/>
  <c r="AF61" i="27" s="1"/>
  <c r="P61" i="27"/>
  <c r="R61" i="27"/>
  <c r="S61" i="27"/>
  <c r="T61" i="27"/>
  <c r="U61" i="27"/>
  <c r="V61" i="27"/>
  <c r="Y61" i="27"/>
  <c r="Z61" i="27"/>
  <c r="AG61" i="27"/>
  <c r="AI61" i="27"/>
  <c r="AJ61" i="27"/>
  <c r="AL61" i="27"/>
  <c r="AM61" i="27"/>
  <c r="AN61" i="27"/>
  <c r="AO61" i="27"/>
  <c r="AP61" i="27"/>
  <c r="BC61" i="27" s="1"/>
  <c r="AQ61" i="27"/>
  <c r="BD61" i="27" s="1"/>
  <c r="AR61" i="27"/>
  <c r="BE61" i="27" s="1"/>
  <c r="AS61" i="27"/>
  <c r="BF61" i="27" s="1"/>
  <c r="AT61" i="27"/>
  <c r="AV61" i="27"/>
  <c r="AY61" i="27"/>
  <c r="AZ61" i="27"/>
  <c r="BA61" i="27"/>
  <c r="BB61" i="27"/>
  <c r="BG61" i="27"/>
  <c r="H62" i="27"/>
  <c r="I62" i="27"/>
  <c r="J62" i="27"/>
  <c r="AA62" i="27" s="1"/>
  <c r="K62" i="27"/>
  <c r="AB62" i="27" s="1"/>
  <c r="L62" i="27"/>
  <c r="AC62" i="27" s="1"/>
  <c r="M62" i="27"/>
  <c r="AD62" i="27" s="1"/>
  <c r="N62" i="27"/>
  <c r="AE62" i="27" s="1"/>
  <c r="O62" i="27"/>
  <c r="AF62" i="27" s="1"/>
  <c r="P62" i="27"/>
  <c r="R62" i="27"/>
  <c r="S62" i="27"/>
  <c r="T62" i="27"/>
  <c r="U62" i="27"/>
  <c r="V62" i="27"/>
  <c r="Y62" i="27"/>
  <c r="Z62" i="27"/>
  <c r="AG62" i="27"/>
  <c r="AI62" i="27"/>
  <c r="AJ62" i="27"/>
  <c r="AL62" i="27"/>
  <c r="AM62" i="27"/>
  <c r="AN62" i="27"/>
  <c r="AO62" i="27"/>
  <c r="AP62" i="27"/>
  <c r="BC62" i="27" s="1"/>
  <c r="AQ62" i="27"/>
  <c r="BD62" i="27" s="1"/>
  <c r="AR62" i="27"/>
  <c r="BE62" i="27" s="1"/>
  <c r="AS62" i="27"/>
  <c r="BF62" i="27" s="1"/>
  <c r="AT62" i="27"/>
  <c r="AV62" i="27"/>
  <c r="AY62" i="27"/>
  <c r="AZ62" i="27"/>
  <c r="BA62" i="27"/>
  <c r="BB62" i="27"/>
  <c r="BG62" i="27"/>
  <c r="H63" i="27"/>
  <c r="I63" i="27"/>
  <c r="Z63" i="27" s="1"/>
  <c r="J63" i="27"/>
  <c r="AA63" i="27" s="1"/>
  <c r="K63" i="27"/>
  <c r="AB63" i="27" s="1"/>
  <c r="L63" i="27"/>
  <c r="AC63" i="27" s="1"/>
  <c r="M63" i="27"/>
  <c r="AD63" i="27" s="1"/>
  <c r="N63" i="27"/>
  <c r="AE63" i="27" s="1"/>
  <c r="O63" i="27"/>
  <c r="AF63" i="27" s="1"/>
  <c r="P63" i="27"/>
  <c r="R63" i="27"/>
  <c r="AI63" i="27" s="1"/>
  <c r="S63" i="27"/>
  <c r="T63" i="27"/>
  <c r="U63" i="27"/>
  <c r="V63" i="27"/>
  <c r="Y63" i="27"/>
  <c r="AG63" i="27"/>
  <c r="AJ63" i="27"/>
  <c r="AL63" i="27"/>
  <c r="AM63" i="27"/>
  <c r="AN63" i="27"/>
  <c r="AO63" i="27"/>
  <c r="AP63" i="27"/>
  <c r="BC63" i="27" s="1"/>
  <c r="AQ63" i="27"/>
  <c r="BD63" i="27" s="1"/>
  <c r="AR63" i="27"/>
  <c r="BE63" i="27" s="1"/>
  <c r="AS63" i="27"/>
  <c r="BF63" i="27" s="1"/>
  <c r="AT63" i="27"/>
  <c r="AV63" i="27"/>
  <c r="AY63" i="27"/>
  <c r="AZ63" i="27"/>
  <c r="BA63" i="27"/>
  <c r="BB63" i="27"/>
  <c r="BG63" i="27"/>
  <c r="H64" i="27"/>
  <c r="I64" i="27"/>
  <c r="Z64" i="27" s="1"/>
  <c r="J64" i="27"/>
  <c r="AA64" i="27" s="1"/>
  <c r="K64" i="27"/>
  <c r="AB64" i="27" s="1"/>
  <c r="L64" i="27"/>
  <c r="AC64" i="27" s="1"/>
  <c r="M64" i="27"/>
  <c r="AD64" i="27" s="1"/>
  <c r="N64" i="27"/>
  <c r="AE64" i="27" s="1"/>
  <c r="O64" i="27"/>
  <c r="AF64" i="27" s="1"/>
  <c r="P64" i="27"/>
  <c r="R64" i="27"/>
  <c r="S64" i="27"/>
  <c r="T64" i="27"/>
  <c r="U64" i="27"/>
  <c r="V64" i="27"/>
  <c r="Y64" i="27"/>
  <c r="AG64" i="27"/>
  <c r="AI64" i="27"/>
  <c r="AJ64" i="27"/>
  <c r="AL64" i="27"/>
  <c r="AM64" i="27"/>
  <c r="AN64" i="27"/>
  <c r="AO64" i="27"/>
  <c r="AP64" i="27"/>
  <c r="BC64" i="27" s="1"/>
  <c r="AQ64" i="27"/>
  <c r="BD64" i="27" s="1"/>
  <c r="AR64" i="27"/>
  <c r="BE64" i="27" s="1"/>
  <c r="AS64" i="27"/>
  <c r="BF64" i="27" s="1"/>
  <c r="AT64" i="27"/>
  <c r="AV64" i="27"/>
  <c r="AY64" i="27"/>
  <c r="AZ64" i="27"/>
  <c r="BA64" i="27"/>
  <c r="BB64" i="27"/>
  <c r="BG64" i="27"/>
  <c r="H65" i="27"/>
  <c r="I65" i="27"/>
  <c r="J65" i="27"/>
  <c r="AA65" i="27" s="1"/>
  <c r="K65" i="27"/>
  <c r="AB65" i="27" s="1"/>
  <c r="L65" i="27"/>
  <c r="AC65" i="27" s="1"/>
  <c r="M65" i="27"/>
  <c r="AD65" i="27" s="1"/>
  <c r="N65" i="27"/>
  <c r="AE65" i="27" s="1"/>
  <c r="O65" i="27"/>
  <c r="AF65" i="27" s="1"/>
  <c r="P65" i="27"/>
  <c r="R65" i="27"/>
  <c r="S65" i="27"/>
  <c r="T65" i="27"/>
  <c r="U65" i="27"/>
  <c r="V65" i="27"/>
  <c r="Y65" i="27"/>
  <c r="Z65" i="27"/>
  <c r="AG65" i="27"/>
  <c r="AI65" i="27"/>
  <c r="AJ65" i="27"/>
  <c r="AL65" i="27"/>
  <c r="AM65" i="27"/>
  <c r="AN65" i="27"/>
  <c r="AO65" i="27"/>
  <c r="AP65" i="27"/>
  <c r="BC65" i="27" s="1"/>
  <c r="AQ65" i="27"/>
  <c r="BD65" i="27" s="1"/>
  <c r="AR65" i="27"/>
  <c r="BE65" i="27" s="1"/>
  <c r="AS65" i="27"/>
  <c r="BF65" i="27" s="1"/>
  <c r="AT65" i="27"/>
  <c r="AV65" i="27"/>
  <c r="AY65" i="27"/>
  <c r="AZ65" i="27"/>
  <c r="BA65" i="27"/>
  <c r="BB65" i="27"/>
  <c r="BG65" i="27"/>
  <c r="H66" i="27"/>
  <c r="I66" i="27"/>
  <c r="J66" i="27"/>
  <c r="AA66" i="27" s="1"/>
  <c r="K66" i="27"/>
  <c r="AB66" i="27" s="1"/>
  <c r="L66" i="27"/>
  <c r="AC66" i="27" s="1"/>
  <c r="M66" i="27"/>
  <c r="AD66" i="27" s="1"/>
  <c r="N66" i="27"/>
  <c r="AE66" i="27" s="1"/>
  <c r="O66" i="27"/>
  <c r="AF66" i="27" s="1"/>
  <c r="P66" i="27"/>
  <c r="R66" i="27"/>
  <c r="S66" i="27"/>
  <c r="T66" i="27"/>
  <c r="U66" i="27"/>
  <c r="V66" i="27"/>
  <c r="Y66" i="27"/>
  <c r="Z66" i="27"/>
  <c r="AG66" i="27"/>
  <c r="AI66" i="27"/>
  <c r="AJ66" i="27"/>
  <c r="AL66" i="27"/>
  <c r="AM66" i="27"/>
  <c r="AN66" i="27"/>
  <c r="AO66" i="27"/>
  <c r="BB66" i="27" s="1"/>
  <c r="AP66" i="27"/>
  <c r="BC66" i="27" s="1"/>
  <c r="AQ66" i="27"/>
  <c r="BD66" i="27" s="1"/>
  <c r="AR66" i="27"/>
  <c r="BE66" i="27" s="1"/>
  <c r="AS66" i="27"/>
  <c r="BF66" i="27" s="1"/>
  <c r="AT66" i="27"/>
  <c r="AV66" i="27"/>
  <c r="AY66" i="27"/>
  <c r="AZ66" i="27"/>
  <c r="BA66" i="27"/>
  <c r="BG66" i="27"/>
  <c r="H67" i="27"/>
  <c r="I67" i="27"/>
  <c r="Z67" i="27" s="1"/>
  <c r="J67" i="27"/>
  <c r="AA67" i="27" s="1"/>
  <c r="K67" i="27"/>
  <c r="AB67" i="27" s="1"/>
  <c r="L67" i="27"/>
  <c r="AC67" i="27" s="1"/>
  <c r="M67" i="27"/>
  <c r="AD67" i="27" s="1"/>
  <c r="N67" i="27"/>
  <c r="AE67" i="27" s="1"/>
  <c r="O67" i="27"/>
  <c r="AF67" i="27" s="1"/>
  <c r="P67" i="27"/>
  <c r="R67" i="27"/>
  <c r="AI67" i="27" s="1"/>
  <c r="S67" i="27"/>
  <c r="T67" i="27"/>
  <c r="U67" i="27"/>
  <c r="V67" i="27"/>
  <c r="Y67" i="27"/>
  <c r="AG67" i="27"/>
  <c r="AJ67" i="27"/>
  <c r="AL67" i="27"/>
  <c r="AM67" i="27"/>
  <c r="AN67" i="27"/>
  <c r="AO67" i="27"/>
  <c r="AP67" i="27"/>
  <c r="BC67" i="27" s="1"/>
  <c r="AQ67" i="27"/>
  <c r="BD67" i="27" s="1"/>
  <c r="AR67" i="27"/>
  <c r="BE67" i="27" s="1"/>
  <c r="AS67" i="27"/>
  <c r="BF67" i="27" s="1"/>
  <c r="AT67" i="27"/>
  <c r="AV67" i="27"/>
  <c r="AY67" i="27"/>
  <c r="AZ67" i="27"/>
  <c r="BA67" i="27"/>
  <c r="BB67" i="27"/>
  <c r="BG67" i="27"/>
  <c r="H68" i="27"/>
  <c r="I68" i="27"/>
  <c r="J68" i="27"/>
  <c r="AA68" i="27" s="1"/>
  <c r="K68" i="27"/>
  <c r="AB68" i="27" s="1"/>
  <c r="L68" i="27"/>
  <c r="AC68" i="27" s="1"/>
  <c r="M68" i="27"/>
  <c r="AD68" i="27" s="1"/>
  <c r="N68" i="27"/>
  <c r="AE68" i="27" s="1"/>
  <c r="O68" i="27"/>
  <c r="AF68" i="27" s="1"/>
  <c r="P68" i="27"/>
  <c r="R68" i="27"/>
  <c r="S68" i="27"/>
  <c r="T68" i="27"/>
  <c r="U68" i="27"/>
  <c r="V68" i="27"/>
  <c r="Y68" i="27"/>
  <c r="Z68" i="27"/>
  <c r="AG68" i="27"/>
  <c r="AI68" i="27"/>
  <c r="AJ68" i="27"/>
  <c r="AL68" i="27"/>
  <c r="AM68" i="27"/>
  <c r="AN68" i="27"/>
  <c r="AO68" i="27"/>
  <c r="AP68" i="27"/>
  <c r="BC68" i="27" s="1"/>
  <c r="AQ68" i="27"/>
  <c r="BD68" i="27" s="1"/>
  <c r="AR68" i="27"/>
  <c r="BE68" i="27" s="1"/>
  <c r="AS68" i="27"/>
  <c r="BF68" i="27" s="1"/>
  <c r="AT68" i="27"/>
  <c r="AV68" i="27"/>
  <c r="AY68" i="27"/>
  <c r="AZ68" i="27"/>
  <c r="BA68" i="27"/>
  <c r="BB68" i="27"/>
  <c r="BG68" i="27"/>
  <c r="H69" i="27"/>
  <c r="I69" i="27"/>
  <c r="Z69" i="27" s="1"/>
  <c r="J69" i="27"/>
  <c r="AA69" i="27" s="1"/>
  <c r="K69" i="27"/>
  <c r="AB69" i="27" s="1"/>
  <c r="L69" i="27"/>
  <c r="AC69" i="27" s="1"/>
  <c r="M69" i="27"/>
  <c r="AD69" i="27" s="1"/>
  <c r="N69" i="27"/>
  <c r="AE69" i="27" s="1"/>
  <c r="O69" i="27"/>
  <c r="AF69" i="27" s="1"/>
  <c r="P69" i="27"/>
  <c r="R69" i="27"/>
  <c r="S69" i="27"/>
  <c r="T69" i="27"/>
  <c r="U69" i="27"/>
  <c r="V69" i="27"/>
  <c r="Y69" i="27"/>
  <c r="AG69" i="27"/>
  <c r="AI69" i="27"/>
  <c r="AJ69" i="27"/>
  <c r="AL69" i="27"/>
  <c r="AM69" i="27"/>
  <c r="AN69" i="27"/>
  <c r="AO69" i="27"/>
  <c r="AP69" i="27"/>
  <c r="BC69" i="27" s="1"/>
  <c r="AQ69" i="27"/>
  <c r="BD69" i="27" s="1"/>
  <c r="AR69" i="27"/>
  <c r="BE69" i="27" s="1"/>
  <c r="AS69" i="27"/>
  <c r="BF69" i="27" s="1"/>
  <c r="AT69" i="27"/>
  <c r="AV69" i="27"/>
  <c r="AY69" i="27"/>
  <c r="AZ69" i="27"/>
  <c r="BA69" i="27"/>
  <c r="BB69" i="27"/>
  <c r="BG69" i="27"/>
  <c r="H70" i="27"/>
  <c r="I70" i="27"/>
  <c r="Z70" i="27" s="1"/>
  <c r="J70" i="27"/>
  <c r="AA70" i="27" s="1"/>
  <c r="K70" i="27"/>
  <c r="AB70" i="27" s="1"/>
  <c r="L70" i="27"/>
  <c r="AC70" i="27" s="1"/>
  <c r="M70" i="27"/>
  <c r="AD70" i="27" s="1"/>
  <c r="N70" i="27"/>
  <c r="AE70" i="27" s="1"/>
  <c r="O70" i="27"/>
  <c r="AF70" i="27" s="1"/>
  <c r="P70" i="27"/>
  <c r="R70" i="27"/>
  <c r="AI70" i="27" s="1"/>
  <c r="S70" i="27"/>
  <c r="T70" i="27"/>
  <c r="U70" i="27"/>
  <c r="V70" i="27"/>
  <c r="Y70" i="27"/>
  <c r="AG70" i="27"/>
  <c r="AJ70" i="27"/>
  <c r="AL70" i="27"/>
  <c r="AM70" i="27"/>
  <c r="AN70" i="27"/>
  <c r="AO70" i="27"/>
  <c r="AP70" i="27"/>
  <c r="BC70" i="27" s="1"/>
  <c r="AQ70" i="27"/>
  <c r="BD70" i="27" s="1"/>
  <c r="AR70" i="27"/>
  <c r="BE70" i="27" s="1"/>
  <c r="AS70" i="27"/>
  <c r="BF70" i="27" s="1"/>
  <c r="AT70" i="27"/>
  <c r="AV70" i="27"/>
  <c r="AY70" i="27"/>
  <c r="AZ70" i="27"/>
  <c r="BA70" i="27"/>
  <c r="BB70" i="27"/>
  <c r="BG70" i="27"/>
  <c r="H71" i="27"/>
  <c r="I71" i="27"/>
  <c r="Z71" i="27" s="1"/>
  <c r="J71" i="27"/>
  <c r="AA71" i="27" s="1"/>
  <c r="K71" i="27"/>
  <c r="AB71" i="27" s="1"/>
  <c r="L71" i="27"/>
  <c r="AC71" i="27" s="1"/>
  <c r="M71" i="27"/>
  <c r="AD71" i="27" s="1"/>
  <c r="N71" i="27"/>
  <c r="AE71" i="27" s="1"/>
  <c r="O71" i="27"/>
  <c r="AF71" i="27" s="1"/>
  <c r="P71" i="27"/>
  <c r="R71" i="27"/>
  <c r="AI71" i="27" s="1"/>
  <c r="S71" i="27"/>
  <c r="T71" i="27"/>
  <c r="U71" i="27"/>
  <c r="V71" i="27"/>
  <c r="Y71" i="27"/>
  <c r="AG71" i="27"/>
  <c r="AJ71" i="27"/>
  <c r="AL71" i="27"/>
  <c r="AM71" i="27"/>
  <c r="AN71" i="27"/>
  <c r="AO71" i="27"/>
  <c r="AP71" i="27"/>
  <c r="BC71" i="27" s="1"/>
  <c r="AQ71" i="27"/>
  <c r="BD71" i="27" s="1"/>
  <c r="AR71" i="27"/>
  <c r="BE71" i="27" s="1"/>
  <c r="AS71" i="27"/>
  <c r="BF71" i="27" s="1"/>
  <c r="AT71" i="27"/>
  <c r="AV71" i="27"/>
  <c r="AY71" i="27"/>
  <c r="AZ71" i="27"/>
  <c r="BA71" i="27"/>
  <c r="BB71" i="27"/>
  <c r="BG71" i="27"/>
  <c r="H72" i="27"/>
  <c r="I72" i="27"/>
  <c r="Z72" i="27" s="1"/>
  <c r="J72" i="27"/>
  <c r="AA72" i="27" s="1"/>
  <c r="K72" i="27"/>
  <c r="AB72" i="27" s="1"/>
  <c r="L72" i="27"/>
  <c r="AC72" i="27" s="1"/>
  <c r="M72" i="27"/>
  <c r="AD72" i="27" s="1"/>
  <c r="N72" i="27"/>
  <c r="AE72" i="27" s="1"/>
  <c r="O72" i="27"/>
  <c r="AF72" i="27" s="1"/>
  <c r="P72" i="27"/>
  <c r="R72" i="27"/>
  <c r="AI72" i="27" s="1"/>
  <c r="S72" i="27"/>
  <c r="T72" i="27"/>
  <c r="U72" i="27"/>
  <c r="V72" i="27"/>
  <c r="Y72" i="27"/>
  <c r="AG72" i="27"/>
  <c r="AJ72" i="27"/>
  <c r="AL72" i="27"/>
  <c r="AM72" i="27"/>
  <c r="AN72" i="27"/>
  <c r="AO72" i="27"/>
  <c r="AP72" i="27"/>
  <c r="BC72" i="27" s="1"/>
  <c r="AQ72" i="27"/>
  <c r="BD72" i="27" s="1"/>
  <c r="AR72" i="27"/>
  <c r="BE72" i="27" s="1"/>
  <c r="AS72" i="27"/>
  <c r="BF72" i="27" s="1"/>
  <c r="AT72" i="27"/>
  <c r="AV72" i="27"/>
  <c r="AY72" i="27"/>
  <c r="AZ72" i="27"/>
  <c r="BA72" i="27"/>
  <c r="BB72" i="27"/>
  <c r="BG72" i="27"/>
  <c r="H73" i="27"/>
  <c r="I73" i="27"/>
  <c r="Z73" i="27" s="1"/>
  <c r="J73" i="27"/>
  <c r="AA73" i="27" s="1"/>
  <c r="K73" i="27"/>
  <c r="AB73" i="27" s="1"/>
  <c r="L73" i="27"/>
  <c r="AC73" i="27" s="1"/>
  <c r="M73" i="27"/>
  <c r="AD73" i="27" s="1"/>
  <c r="N73" i="27"/>
  <c r="AE73" i="27" s="1"/>
  <c r="O73" i="27"/>
  <c r="AF73" i="27" s="1"/>
  <c r="P73" i="27"/>
  <c r="R73" i="27"/>
  <c r="S73" i="27"/>
  <c r="T73" i="27"/>
  <c r="U73" i="27"/>
  <c r="V73" i="27"/>
  <c r="Y73" i="27"/>
  <c r="AG73" i="27"/>
  <c r="AI73" i="27"/>
  <c r="AJ73" i="27"/>
  <c r="AL73" i="27"/>
  <c r="AM73" i="27"/>
  <c r="AN73" i="27"/>
  <c r="AO73" i="27"/>
  <c r="AP73" i="27"/>
  <c r="BC73" i="27" s="1"/>
  <c r="AQ73" i="27"/>
  <c r="BD73" i="27" s="1"/>
  <c r="AR73" i="27"/>
  <c r="BE73" i="27" s="1"/>
  <c r="AS73" i="27"/>
  <c r="BF73" i="27" s="1"/>
  <c r="AT73" i="27"/>
  <c r="AV73" i="27"/>
  <c r="AY73" i="27"/>
  <c r="AZ73" i="27"/>
  <c r="BA73" i="27"/>
  <c r="BB73" i="27"/>
  <c r="BG73" i="27"/>
  <c r="H74" i="27"/>
  <c r="I74" i="27"/>
  <c r="Z74" i="27" s="1"/>
  <c r="J74" i="27"/>
  <c r="K74" i="27"/>
  <c r="AB74" i="27" s="1"/>
  <c r="L74" i="27"/>
  <c r="AC74" i="27" s="1"/>
  <c r="M74" i="27"/>
  <c r="AD74" i="27" s="1"/>
  <c r="N74" i="27"/>
  <c r="AE74" i="27" s="1"/>
  <c r="O74" i="27"/>
  <c r="AF74" i="27" s="1"/>
  <c r="P74" i="27"/>
  <c r="R74" i="27"/>
  <c r="AI74" i="27" s="1"/>
  <c r="S74" i="27"/>
  <c r="T74" i="27"/>
  <c r="U74" i="27"/>
  <c r="V74" i="27"/>
  <c r="Y74" i="27"/>
  <c r="AA74" i="27"/>
  <c r="AG74" i="27"/>
  <c r="AJ74" i="27"/>
  <c r="AL74" i="27"/>
  <c r="AM74" i="27"/>
  <c r="AN74" i="27"/>
  <c r="AO74" i="27"/>
  <c r="AP74" i="27"/>
  <c r="BC74" i="27" s="1"/>
  <c r="AQ74" i="27"/>
  <c r="BD74" i="27" s="1"/>
  <c r="AR74" i="27"/>
  <c r="BE74" i="27" s="1"/>
  <c r="AS74" i="27"/>
  <c r="BF74" i="27" s="1"/>
  <c r="AT74" i="27"/>
  <c r="AV74" i="27"/>
  <c r="AY74" i="27"/>
  <c r="AZ74" i="27"/>
  <c r="BA74" i="27"/>
  <c r="BB74" i="27"/>
  <c r="BG74" i="27"/>
  <c r="H75" i="27"/>
  <c r="I75" i="27"/>
  <c r="Z75" i="27" s="1"/>
  <c r="J75" i="27"/>
  <c r="AA75" i="27" s="1"/>
  <c r="K75" i="27"/>
  <c r="AB75" i="27" s="1"/>
  <c r="L75" i="27"/>
  <c r="AC75" i="27" s="1"/>
  <c r="M75" i="27"/>
  <c r="AD75" i="27" s="1"/>
  <c r="N75" i="27"/>
  <c r="AE75" i="27" s="1"/>
  <c r="O75" i="27"/>
  <c r="AF75" i="27" s="1"/>
  <c r="P75" i="27"/>
  <c r="R75" i="27"/>
  <c r="AI75" i="27" s="1"/>
  <c r="S75" i="27"/>
  <c r="T75" i="27"/>
  <c r="U75" i="27"/>
  <c r="V75" i="27"/>
  <c r="Y75" i="27"/>
  <c r="AG75" i="27"/>
  <c r="AJ75" i="27"/>
  <c r="AL75" i="27"/>
  <c r="AM75" i="27"/>
  <c r="AN75" i="27"/>
  <c r="AO75" i="27"/>
  <c r="AP75" i="27"/>
  <c r="BC75" i="27" s="1"/>
  <c r="AQ75" i="27"/>
  <c r="BD75" i="27" s="1"/>
  <c r="AR75" i="27"/>
  <c r="BE75" i="27" s="1"/>
  <c r="AS75" i="27"/>
  <c r="BF75" i="27" s="1"/>
  <c r="AT75" i="27"/>
  <c r="AV75" i="27"/>
  <c r="AY75" i="27"/>
  <c r="AZ75" i="27"/>
  <c r="BA75" i="27"/>
  <c r="BB75" i="27"/>
  <c r="BG75" i="27"/>
  <c r="H76" i="27"/>
  <c r="I76" i="27"/>
  <c r="Z76" i="27" s="1"/>
  <c r="J76" i="27"/>
  <c r="AA76" i="27" s="1"/>
  <c r="K76" i="27"/>
  <c r="AB76" i="27" s="1"/>
  <c r="L76" i="27"/>
  <c r="AC76" i="27" s="1"/>
  <c r="M76" i="27"/>
  <c r="AD76" i="27" s="1"/>
  <c r="N76" i="27"/>
  <c r="AE76" i="27" s="1"/>
  <c r="O76" i="27"/>
  <c r="AF76" i="27" s="1"/>
  <c r="P76" i="27"/>
  <c r="R76" i="27"/>
  <c r="AI76" i="27" s="1"/>
  <c r="S76" i="27"/>
  <c r="T76" i="27"/>
  <c r="U76" i="27"/>
  <c r="V76" i="27"/>
  <c r="Y76" i="27"/>
  <c r="AG76" i="27"/>
  <c r="AJ76" i="27"/>
  <c r="AL76" i="27"/>
  <c r="AM76" i="27"/>
  <c r="AN76" i="27"/>
  <c r="AO76" i="27"/>
  <c r="AP76" i="27"/>
  <c r="BC76" i="27" s="1"/>
  <c r="AQ76" i="27"/>
  <c r="BD76" i="27" s="1"/>
  <c r="AR76" i="27"/>
  <c r="BE76" i="27" s="1"/>
  <c r="AS76" i="27"/>
  <c r="BF76" i="27" s="1"/>
  <c r="AT76" i="27"/>
  <c r="AV76" i="27"/>
  <c r="AY76" i="27"/>
  <c r="AZ76" i="27"/>
  <c r="BA76" i="27"/>
  <c r="BB76" i="27"/>
  <c r="BG76" i="27"/>
  <c r="H77" i="27"/>
  <c r="I77" i="27"/>
  <c r="Z77" i="27" s="1"/>
  <c r="J77" i="27"/>
  <c r="AA77" i="27" s="1"/>
  <c r="K77" i="27"/>
  <c r="AB77" i="27" s="1"/>
  <c r="L77" i="27"/>
  <c r="AC77" i="27" s="1"/>
  <c r="M77" i="27"/>
  <c r="AD77" i="27" s="1"/>
  <c r="N77" i="27"/>
  <c r="AE77" i="27" s="1"/>
  <c r="O77" i="27"/>
  <c r="AF77" i="27" s="1"/>
  <c r="P77" i="27"/>
  <c r="R77" i="27"/>
  <c r="AI77" i="27" s="1"/>
  <c r="S77" i="27"/>
  <c r="T77" i="27"/>
  <c r="U77" i="27"/>
  <c r="V77" i="27"/>
  <c r="Y77" i="27"/>
  <c r="AG77" i="27"/>
  <c r="AJ77" i="27"/>
  <c r="AL77" i="27"/>
  <c r="AM77" i="27"/>
  <c r="AN77" i="27"/>
  <c r="AO77" i="27"/>
  <c r="AP77" i="27"/>
  <c r="BC77" i="27" s="1"/>
  <c r="AQ77" i="27"/>
  <c r="BD77" i="27" s="1"/>
  <c r="AR77" i="27"/>
  <c r="BE77" i="27" s="1"/>
  <c r="AS77" i="27"/>
  <c r="BF77" i="27" s="1"/>
  <c r="AT77" i="27"/>
  <c r="AV77" i="27"/>
  <c r="AY77" i="27"/>
  <c r="AZ77" i="27"/>
  <c r="BA77" i="27"/>
  <c r="BB77" i="27"/>
  <c r="BG77" i="27"/>
  <c r="H78" i="27"/>
  <c r="I78" i="27"/>
  <c r="J78" i="27"/>
  <c r="AA78" i="27" s="1"/>
  <c r="K78" i="27"/>
  <c r="AB78" i="27" s="1"/>
  <c r="L78" i="27"/>
  <c r="AC78" i="27" s="1"/>
  <c r="M78" i="27"/>
  <c r="AD78" i="27" s="1"/>
  <c r="N78" i="27"/>
  <c r="AE78" i="27" s="1"/>
  <c r="O78" i="27"/>
  <c r="AF78" i="27" s="1"/>
  <c r="P78" i="27"/>
  <c r="R78" i="27"/>
  <c r="S78" i="27"/>
  <c r="T78" i="27"/>
  <c r="U78" i="27"/>
  <c r="V78" i="27"/>
  <c r="Y78" i="27"/>
  <c r="Z78" i="27"/>
  <c r="AG78" i="27"/>
  <c r="AI78" i="27"/>
  <c r="AJ78" i="27"/>
  <c r="AL78" i="27"/>
  <c r="AM78" i="27"/>
  <c r="AN78" i="27"/>
  <c r="BA78" i="27" s="1"/>
  <c r="AO78" i="27"/>
  <c r="AP78" i="27"/>
  <c r="BC78" i="27" s="1"/>
  <c r="AQ78" i="27"/>
  <c r="BD78" i="27" s="1"/>
  <c r="AR78" i="27"/>
  <c r="BE78" i="27" s="1"/>
  <c r="AS78" i="27"/>
  <c r="BF78" i="27" s="1"/>
  <c r="AT78" i="27"/>
  <c r="AV78" i="27"/>
  <c r="AY78" i="27"/>
  <c r="AZ78" i="27"/>
  <c r="BB78" i="27"/>
  <c r="BG78" i="27"/>
  <c r="H79" i="27"/>
  <c r="I79" i="27"/>
  <c r="Z79" i="27" s="1"/>
  <c r="J79" i="27"/>
  <c r="AA79" i="27" s="1"/>
  <c r="K79" i="27"/>
  <c r="AB79" i="27" s="1"/>
  <c r="L79" i="27"/>
  <c r="AC79" i="27" s="1"/>
  <c r="M79" i="27"/>
  <c r="AD79" i="27" s="1"/>
  <c r="N79" i="27"/>
  <c r="AE79" i="27" s="1"/>
  <c r="O79" i="27"/>
  <c r="AF79" i="27" s="1"/>
  <c r="P79" i="27"/>
  <c r="R79" i="27"/>
  <c r="AI79" i="27" s="1"/>
  <c r="S79" i="27"/>
  <c r="T79" i="27"/>
  <c r="U79" i="27"/>
  <c r="V79" i="27"/>
  <c r="Y79" i="27"/>
  <c r="AG79" i="27"/>
  <c r="AJ79" i="27"/>
  <c r="AL79" i="27"/>
  <c r="AM79" i="27"/>
  <c r="AN79" i="27"/>
  <c r="AO79" i="27"/>
  <c r="AP79" i="27"/>
  <c r="BC79" i="27" s="1"/>
  <c r="AQ79" i="27"/>
  <c r="BD79" i="27" s="1"/>
  <c r="AR79" i="27"/>
  <c r="BE79" i="27" s="1"/>
  <c r="AS79" i="27"/>
  <c r="BF79" i="27" s="1"/>
  <c r="AT79" i="27"/>
  <c r="AV79" i="27"/>
  <c r="AY79" i="27"/>
  <c r="AZ79" i="27"/>
  <c r="BA79" i="27"/>
  <c r="BB79" i="27"/>
  <c r="BG79" i="27"/>
  <c r="H80" i="27"/>
  <c r="I80" i="27"/>
  <c r="Z80" i="27" s="1"/>
  <c r="J80" i="27"/>
  <c r="AA80" i="27" s="1"/>
  <c r="K80" i="27"/>
  <c r="AB80" i="27" s="1"/>
  <c r="L80" i="27"/>
  <c r="AC80" i="27" s="1"/>
  <c r="M80" i="27"/>
  <c r="AD80" i="27" s="1"/>
  <c r="N80" i="27"/>
  <c r="AE80" i="27" s="1"/>
  <c r="O80" i="27"/>
  <c r="AF80" i="27" s="1"/>
  <c r="P80" i="27"/>
  <c r="R80" i="27"/>
  <c r="AI80" i="27" s="1"/>
  <c r="S80" i="27"/>
  <c r="T80" i="27"/>
  <c r="U80" i="27"/>
  <c r="V80" i="27"/>
  <c r="Y80" i="27"/>
  <c r="AG80" i="27"/>
  <c r="AJ80" i="27"/>
  <c r="AL80" i="27"/>
  <c r="AM80" i="27"/>
  <c r="AN80" i="27"/>
  <c r="AO80" i="27"/>
  <c r="AP80" i="27"/>
  <c r="BC80" i="27" s="1"/>
  <c r="AQ80" i="27"/>
  <c r="BD80" i="27" s="1"/>
  <c r="AR80" i="27"/>
  <c r="BE80" i="27" s="1"/>
  <c r="AS80" i="27"/>
  <c r="BF80" i="27" s="1"/>
  <c r="AT80" i="27"/>
  <c r="AV80" i="27"/>
  <c r="AY80" i="27"/>
  <c r="AZ80" i="27"/>
  <c r="BA80" i="27"/>
  <c r="BB80" i="27"/>
  <c r="BG80" i="27"/>
  <c r="H81" i="27"/>
  <c r="I81" i="27"/>
  <c r="J81" i="27"/>
  <c r="AA81" i="27" s="1"/>
  <c r="K81" i="27"/>
  <c r="AB81" i="27" s="1"/>
  <c r="L81" i="27"/>
  <c r="AC81" i="27" s="1"/>
  <c r="M81" i="27"/>
  <c r="AD81" i="27" s="1"/>
  <c r="N81" i="27"/>
  <c r="AE81" i="27" s="1"/>
  <c r="O81" i="27"/>
  <c r="AF81" i="27" s="1"/>
  <c r="P81" i="27"/>
  <c r="R81" i="27"/>
  <c r="S81" i="27"/>
  <c r="T81" i="27"/>
  <c r="U81" i="27"/>
  <c r="V81" i="27"/>
  <c r="Y81" i="27"/>
  <c r="Z81" i="27"/>
  <c r="AG81" i="27"/>
  <c r="AI81" i="27"/>
  <c r="AJ81" i="27"/>
  <c r="AL81" i="27"/>
  <c r="AM81" i="27"/>
  <c r="AN81" i="27"/>
  <c r="AO81" i="27"/>
  <c r="AP81" i="27"/>
  <c r="BC81" i="27" s="1"/>
  <c r="AQ81" i="27"/>
  <c r="BD81" i="27" s="1"/>
  <c r="AR81" i="27"/>
  <c r="BE81" i="27" s="1"/>
  <c r="AS81" i="27"/>
  <c r="BF81" i="27" s="1"/>
  <c r="AT81" i="27"/>
  <c r="AV81" i="27"/>
  <c r="AY81" i="27"/>
  <c r="AZ81" i="27"/>
  <c r="BA81" i="27"/>
  <c r="BB81" i="27"/>
  <c r="BG81" i="27"/>
  <c r="H82" i="27"/>
  <c r="I82" i="27"/>
  <c r="J82" i="27"/>
  <c r="AA82" i="27" s="1"/>
  <c r="K82" i="27"/>
  <c r="AB82" i="27" s="1"/>
  <c r="L82" i="27"/>
  <c r="AC82" i="27" s="1"/>
  <c r="M82" i="27"/>
  <c r="AD82" i="27" s="1"/>
  <c r="N82" i="27"/>
  <c r="AE82" i="27" s="1"/>
  <c r="O82" i="27"/>
  <c r="AF82" i="27" s="1"/>
  <c r="P82" i="27"/>
  <c r="R82" i="27"/>
  <c r="S82" i="27"/>
  <c r="T82" i="27"/>
  <c r="U82" i="27"/>
  <c r="V82" i="27"/>
  <c r="Y82" i="27"/>
  <c r="Z82" i="27"/>
  <c r="AG82" i="27"/>
  <c r="AI82" i="27"/>
  <c r="AJ82" i="27"/>
  <c r="AL82" i="27"/>
  <c r="AM82" i="27"/>
  <c r="AN82" i="27"/>
  <c r="AO82" i="27"/>
  <c r="AP82" i="27"/>
  <c r="BC82" i="27" s="1"/>
  <c r="AQ82" i="27"/>
  <c r="BD82" i="27" s="1"/>
  <c r="AR82" i="27"/>
  <c r="BE82" i="27" s="1"/>
  <c r="AS82" i="27"/>
  <c r="BF82" i="27" s="1"/>
  <c r="AT82" i="27"/>
  <c r="AV82" i="27"/>
  <c r="AY82" i="27"/>
  <c r="AZ82" i="27"/>
  <c r="BA82" i="27"/>
  <c r="BB82" i="27"/>
  <c r="BG82" i="27"/>
  <c r="H83" i="27"/>
  <c r="I83" i="27"/>
  <c r="J83" i="27"/>
  <c r="AA83" i="27" s="1"/>
  <c r="K83" i="27"/>
  <c r="AB83" i="27" s="1"/>
  <c r="L83" i="27"/>
  <c r="AC83" i="27" s="1"/>
  <c r="M83" i="27"/>
  <c r="AD83" i="27" s="1"/>
  <c r="N83" i="27"/>
  <c r="AE83" i="27" s="1"/>
  <c r="O83" i="27"/>
  <c r="AF83" i="27" s="1"/>
  <c r="P83" i="27"/>
  <c r="R83" i="27"/>
  <c r="S83" i="27"/>
  <c r="T83" i="27"/>
  <c r="U83" i="27"/>
  <c r="V83" i="27"/>
  <c r="Y83" i="27"/>
  <c r="Z83" i="27"/>
  <c r="AG83" i="27"/>
  <c r="AI83" i="27"/>
  <c r="AJ83" i="27"/>
  <c r="AL83" i="27"/>
  <c r="AM83" i="27"/>
  <c r="AN83" i="27"/>
  <c r="AO83" i="27"/>
  <c r="AP83" i="27"/>
  <c r="BC83" i="27" s="1"/>
  <c r="AQ83" i="27"/>
  <c r="BD83" i="27" s="1"/>
  <c r="AR83" i="27"/>
  <c r="BE83" i="27" s="1"/>
  <c r="AS83" i="27"/>
  <c r="BF83" i="27" s="1"/>
  <c r="AT83" i="27"/>
  <c r="AV83" i="27"/>
  <c r="AY83" i="27"/>
  <c r="AZ83" i="27"/>
  <c r="BA83" i="27"/>
  <c r="BB83" i="27"/>
  <c r="BG83" i="27"/>
  <c r="H84" i="27"/>
  <c r="I84" i="27"/>
  <c r="Z84" i="27" s="1"/>
  <c r="J84" i="27"/>
  <c r="AA84" i="27" s="1"/>
  <c r="K84" i="27"/>
  <c r="AB84" i="27" s="1"/>
  <c r="L84" i="27"/>
  <c r="AC84" i="27" s="1"/>
  <c r="M84" i="27"/>
  <c r="AD84" i="27" s="1"/>
  <c r="N84" i="27"/>
  <c r="AE84" i="27" s="1"/>
  <c r="O84" i="27"/>
  <c r="AF84" i="27" s="1"/>
  <c r="P84" i="27"/>
  <c r="R84" i="27"/>
  <c r="AI84" i="27" s="1"/>
  <c r="S84" i="27"/>
  <c r="T84" i="27"/>
  <c r="U84" i="27"/>
  <c r="V84" i="27"/>
  <c r="Y84" i="27"/>
  <c r="AG84" i="27"/>
  <c r="AJ84" i="27"/>
  <c r="AL84" i="27"/>
  <c r="AM84" i="27"/>
  <c r="AN84" i="27"/>
  <c r="BA84" i="27" s="1"/>
  <c r="AO84" i="27"/>
  <c r="AP84" i="27"/>
  <c r="BC84" i="27" s="1"/>
  <c r="AQ84" i="27"/>
  <c r="BD84" i="27" s="1"/>
  <c r="AR84" i="27"/>
  <c r="BE84" i="27" s="1"/>
  <c r="AS84" i="27"/>
  <c r="BF84" i="27" s="1"/>
  <c r="AT84" i="27"/>
  <c r="AV84" i="27"/>
  <c r="AY84" i="27"/>
  <c r="AZ84" i="27"/>
  <c r="BB84" i="27"/>
  <c r="BG84" i="27"/>
  <c r="H85" i="27"/>
  <c r="I85" i="27"/>
  <c r="Z85" i="27" s="1"/>
  <c r="J85" i="27"/>
  <c r="AA85" i="27" s="1"/>
  <c r="K85" i="27"/>
  <c r="AB85" i="27" s="1"/>
  <c r="L85" i="27"/>
  <c r="AC85" i="27" s="1"/>
  <c r="M85" i="27"/>
  <c r="AD85" i="27" s="1"/>
  <c r="N85" i="27"/>
  <c r="AE85" i="27" s="1"/>
  <c r="O85" i="27"/>
  <c r="AF85" i="27" s="1"/>
  <c r="P85" i="27"/>
  <c r="R85" i="27"/>
  <c r="S85" i="27"/>
  <c r="T85" i="27"/>
  <c r="U85" i="27"/>
  <c r="V85" i="27"/>
  <c r="Y85" i="27"/>
  <c r="AG85" i="27"/>
  <c r="AI85" i="27"/>
  <c r="AJ85" i="27"/>
  <c r="AL85" i="27"/>
  <c r="AM85" i="27"/>
  <c r="AN85" i="27"/>
  <c r="AO85" i="27"/>
  <c r="AP85" i="27"/>
  <c r="BC85" i="27" s="1"/>
  <c r="AQ85" i="27"/>
  <c r="BD85" i="27" s="1"/>
  <c r="AR85" i="27"/>
  <c r="BE85" i="27" s="1"/>
  <c r="AS85" i="27"/>
  <c r="BF85" i="27" s="1"/>
  <c r="AT85" i="27"/>
  <c r="AV85" i="27"/>
  <c r="AY85" i="27"/>
  <c r="AZ85" i="27"/>
  <c r="BA85" i="27"/>
  <c r="BB85" i="27"/>
  <c r="BG85" i="27"/>
  <c r="H86" i="27"/>
  <c r="I86" i="27"/>
  <c r="Z86" i="27" s="1"/>
  <c r="J86" i="27"/>
  <c r="AA86" i="27" s="1"/>
  <c r="K86" i="27"/>
  <c r="AB86" i="27" s="1"/>
  <c r="L86" i="27"/>
  <c r="AC86" i="27" s="1"/>
  <c r="M86" i="27"/>
  <c r="AD86" i="27" s="1"/>
  <c r="N86" i="27"/>
  <c r="AE86" i="27" s="1"/>
  <c r="O86" i="27"/>
  <c r="AF86" i="27" s="1"/>
  <c r="P86" i="27"/>
  <c r="R86" i="27"/>
  <c r="AI86" i="27" s="1"/>
  <c r="S86" i="27"/>
  <c r="T86" i="27"/>
  <c r="U86" i="27"/>
  <c r="V86" i="27"/>
  <c r="Y86" i="27"/>
  <c r="AG86" i="27"/>
  <c r="AJ86" i="27"/>
  <c r="AL86" i="27"/>
  <c r="AM86" i="27"/>
  <c r="AN86" i="27"/>
  <c r="AO86" i="27"/>
  <c r="AP86" i="27"/>
  <c r="BC86" i="27" s="1"/>
  <c r="AQ86" i="27"/>
  <c r="BD86" i="27" s="1"/>
  <c r="AR86" i="27"/>
  <c r="BE86" i="27" s="1"/>
  <c r="AS86" i="27"/>
  <c r="BF86" i="27" s="1"/>
  <c r="AT86" i="27"/>
  <c r="AV86" i="27"/>
  <c r="AY86" i="27"/>
  <c r="AZ86" i="27"/>
  <c r="BA86" i="27"/>
  <c r="BB86" i="27"/>
  <c r="BG86" i="27"/>
  <c r="H87" i="27"/>
  <c r="I87" i="27"/>
  <c r="Z87" i="27" s="1"/>
  <c r="J87" i="27"/>
  <c r="AA87" i="27" s="1"/>
  <c r="K87" i="27"/>
  <c r="AB87" i="27" s="1"/>
  <c r="L87" i="27"/>
  <c r="AC87" i="27" s="1"/>
  <c r="M87" i="27"/>
  <c r="AD87" i="27" s="1"/>
  <c r="N87" i="27"/>
  <c r="AE87" i="27" s="1"/>
  <c r="O87" i="27"/>
  <c r="AF87" i="27" s="1"/>
  <c r="P87" i="27"/>
  <c r="R87" i="27"/>
  <c r="AI87" i="27" s="1"/>
  <c r="S87" i="27"/>
  <c r="T87" i="27"/>
  <c r="U87" i="27"/>
  <c r="V87" i="27"/>
  <c r="Y87" i="27"/>
  <c r="AG87" i="27"/>
  <c r="AJ87" i="27"/>
  <c r="AL87" i="27"/>
  <c r="AM87" i="27"/>
  <c r="AN87" i="27"/>
  <c r="AO87" i="27"/>
  <c r="AP87" i="27"/>
  <c r="BC87" i="27" s="1"/>
  <c r="AQ87" i="27"/>
  <c r="BD87" i="27" s="1"/>
  <c r="AR87" i="27"/>
  <c r="BE87" i="27" s="1"/>
  <c r="AS87" i="27"/>
  <c r="BF87" i="27" s="1"/>
  <c r="AT87" i="27"/>
  <c r="AV87" i="27"/>
  <c r="AY87" i="27"/>
  <c r="AZ87" i="27"/>
  <c r="BA87" i="27"/>
  <c r="BB87" i="27"/>
  <c r="BG87" i="27"/>
  <c r="H88" i="27"/>
  <c r="I88" i="27"/>
  <c r="J88" i="27"/>
  <c r="AA88" i="27" s="1"/>
  <c r="K88" i="27"/>
  <c r="AB88" i="27" s="1"/>
  <c r="L88" i="27"/>
  <c r="AC88" i="27" s="1"/>
  <c r="M88" i="27"/>
  <c r="AD88" i="27" s="1"/>
  <c r="N88" i="27"/>
  <c r="AE88" i="27" s="1"/>
  <c r="O88" i="27"/>
  <c r="AF88" i="27" s="1"/>
  <c r="P88" i="27"/>
  <c r="R88" i="27"/>
  <c r="S88" i="27"/>
  <c r="T88" i="27"/>
  <c r="U88" i="27"/>
  <c r="V88" i="27"/>
  <c r="Y88" i="27"/>
  <c r="Z88" i="27"/>
  <c r="AG88" i="27"/>
  <c r="AI88" i="27"/>
  <c r="AJ88" i="27"/>
  <c r="AL88" i="27"/>
  <c r="AM88" i="27"/>
  <c r="AN88" i="27"/>
  <c r="AO88" i="27"/>
  <c r="AP88" i="27"/>
  <c r="BC88" i="27" s="1"/>
  <c r="AQ88" i="27"/>
  <c r="BD88" i="27" s="1"/>
  <c r="AR88" i="27"/>
  <c r="BE88" i="27" s="1"/>
  <c r="AS88" i="27"/>
  <c r="BF88" i="27" s="1"/>
  <c r="AT88" i="27"/>
  <c r="AV88" i="27"/>
  <c r="AY88" i="27"/>
  <c r="AZ88" i="27"/>
  <c r="BA88" i="27"/>
  <c r="BB88" i="27"/>
  <c r="BG88" i="27"/>
  <c r="H89" i="27"/>
  <c r="I89" i="27"/>
  <c r="Z89" i="27" s="1"/>
  <c r="J89" i="27"/>
  <c r="AA89" i="27" s="1"/>
  <c r="K89" i="27"/>
  <c r="AB89" i="27" s="1"/>
  <c r="L89" i="27"/>
  <c r="AC89" i="27" s="1"/>
  <c r="M89" i="27"/>
  <c r="AD89" i="27" s="1"/>
  <c r="N89" i="27"/>
  <c r="AE89" i="27" s="1"/>
  <c r="O89" i="27"/>
  <c r="AF89" i="27" s="1"/>
  <c r="P89" i="27"/>
  <c r="R89" i="27"/>
  <c r="AI89" i="27" s="1"/>
  <c r="S89" i="27"/>
  <c r="T89" i="27"/>
  <c r="U89" i="27"/>
  <c r="V89" i="27"/>
  <c r="Y89" i="27"/>
  <c r="AG89" i="27"/>
  <c r="AJ89" i="27"/>
  <c r="AL89" i="27"/>
  <c r="AM89" i="27"/>
  <c r="AN89" i="27"/>
  <c r="AO89" i="27"/>
  <c r="AP89" i="27"/>
  <c r="BC89" i="27" s="1"/>
  <c r="AQ89" i="27"/>
  <c r="BD89" i="27" s="1"/>
  <c r="AR89" i="27"/>
  <c r="BE89" i="27" s="1"/>
  <c r="AS89" i="27"/>
  <c r="BF89" i="27" s="1"/>
  <c r="AT89" i="27"/>
  <c r="AV89" i="27"/>
  <c r="AY89" i="27"/>
  <c r="AZ89" i="27"/>
  <c r="BA89" i="27"/>
  <c r="BB89" i="27"/>
  <c r="BG89" i="27"/>
  <c r="H90" i="27"/>
  <c r="I90" i="27"/>
  <c r="Z90" i="27" s="1"/>
  <c r="J90" i="27"/>
  <c r="AA90" i="27" s="1"/>
  <c r="K90" i="27"/>
  <c r="AB90" i="27" s="1"/>
  <c r="L90" i="27"/>
  <c r="AC90" i="27" s="1"/>
  <c r="M90" i="27"/>
  <c r="AD90" i="27" s="1"/>
  <c r="N90" i="27"/>
  <c r="AE90" i="27" s="1"/>
  <c r="O90" i="27"/>
  <c r="AF90" i="27" s="1"/>
  <c r="P90" i="27"/>
  <c r="R90" i="27"/>
  <c r="AI90" i="27" s="1"/>
  <c r="S90" i="27"/>
  <c r="T90" i="27"/>
  <c r="U90" i="27"/>
  <c r="V90" i="27"/>
  <c r="Y90" i="27"/>
  <c r="AG90" i="27"/>
  <c r="AJ90" i="27"/>
  <c r="AL90" i="27"/>
  <c r="AM90" i="27"/>
  <c r="AN90" i="27"/>
  <c r="AO90" i="27"/>
  <c r="AP90" i="27"/>
  <c r="BC90" i="27" s="1"/>
  <c r="AQ90" i="27"/>
  <c r="BD90" i="27" s="1"/>
  <c r="AR90" i="27"/>
  <c r="BE90" i="27" s="1"/>
  <c r="AS90" i="27"/>
  <c r="BF90" i="27" s="1"/>
  <c r="AT90" i="27"/>
  <c r="AV90" i="27"/>
  <c r="AY90" i="27"/>
  <c r="AZ90" i="27"/>
  <c r="BA90" i="27"/>
  <c r="BB90" i="27"/>
  <c r="BG90" i="27"/>
  <c r="H91" i="27"/>
  <c r="I91" i="27"/>
  <c r="Z91" i="27" s="1"/>
  <c r="J91" i="27"/>
  <c r="AA91" i="27" s="1"/>
  <c r="K91" i="27"/>
  <c r="AB91" i="27" s="1"/>
  <c r="L91" i="27"/>
  <c r="AC91" i="27" s="1"/>
  <c r="M91" i="27"/>
  <c r="AD91" i="27" s="1"/>
  <c r="N91" i="27"/>
  <c r="AE91" i="27" s="1"/>
  <c r="O91" i="27"/>
  <c r="AF91" i="27" s="1"/>
  <c r="P91" i="27"/>
  <c r="R91" i="27"/>
  <c r="AI91" i="27" s="1"/>
  <c r="S91" i="27"/>
  <c r="T91" i="27"/>
  <c r="U91" i="27"/>
  <c r="V91" i="27"/>
  <c r="Y91" i="27"/>
  <c r="AG91" i="27"/>
  <c r="AJ91" i="27"/>
  <c r="AL91" i="27"/>
  <c r="AM91" i="27"/>
  <c r="AN91" i="27"/>
  <c r="AO91" i="27"/>
  <c r="AP91" i="27"/>
  <c r="BC91" i="27" s="1"/>
  <c r="AQ91" i="27"/>
  <c r="BD91" i="27" s="1"/>
  <c r="AR91" i="27"/>
  <c r="BE91" i="27" s="1"/>
  <c r="AS91" i="27"/>
  <c r="BF91" i="27" s="1"/>
  <c r="AT91" i="27"/>
  <c r="AV91" i="27"/>
  <c r="AY91" i="27"/>
  <c r="AZ91" i="27"/>
  <c r="BA91" i="27"/>
  <c r="BB91" i="27"/>
  <c r="BG91" i="27"/>
  <c r="H92" i="27"/>
  <c r="I92" i="27"/>
  <c r="Z92" i="27" s="1"/>
  <c r="J92" i="27"/>
  <c r="AA92" i="27" s="1"/>
  <c r="K92" i="27"/>
  <c r="AB92" i="27" s="1"/>
  <c r="L92" i="27"/>
  <c r="AC92" i="27" s="1"/>
  <c r="M92" i="27"/>
  <c r="AD92" i="27" s="1"/>
  <c r="N92" i="27"/>
  <c r="AE92" i="27" s="1"/>
  <c r="O92" i="27"/>
  <c r="AF92" i="27" s="1"/>
  <c r="P92" i="27"/>
  <c r="R92" i="27"/>
  <c r="AI92" i="27" s="1"/>
  <c r="S92" i="27"/>
  <c r="T92" i="27"/>
  <c r="U92" i="27"/>
  <c r="V92" i="27"/>
  <c r="Y92" i="27"/>
  <c r="AG92" i="27"/>
  <c r="AJ92" i="27"/>
  <c r="AL92" i="27"/>
  <c r="AM92" i="27"/>
  <c r="AN92" i="27"/>
  <c r="AO92" i="27"/>
  <c r="AP92" i="27"/>
  <c r="BC92" i="27" s="1"/>
  <c r="AQ92" i="27"/>
  <c r="BD92" i="27" s="1"/>
  <c r="AR92" i="27"/>
  <c r="BE92" i="27" s="1"/>
  <c r="AS92" i="27"/>
  <c r="BF92" i="27" s="1"/>
  <c r="AT92" i="27"/>
  <c r="AV92" i="27"/>
  <c r="AY92" i="27"/>
  <c r="AZ92" i="27"/>
  <c r="BA92" i="27"/>
  <c r="BB92" i="27"/>
  <c r="BG92" i="27"/>
  <c r="H93" i="27"/>
  <c r="I93" i="27"/>
  <c r="Z93" i="27" s="1"/>
  <c r="J93" i="27"/>
  <c r="AA93" i="27" s="1"/>
  <c r="K93" i="27"/>
  <c r="AB93" i="27" s="1"/>
  <c r="L93" i="27"/>
  <c r="AC93" i="27" s="1"/>
  <c r="M93" i="27"/>
  <c r="AD93" i="27" s="1"/>
  <c r="N93" i="27"/>
  <c r="AE93" i="27" s="1"/>
  <c r="O93" i="27"/>
  <c r="AF93" i="27" s="1"/>
  <c r="P93" i="27"/>
  <c r="R93" i="27"/>
  <c r="AI93" i="27" s="1"/>
  <c r="S93" i="27"/>
  <c r="T93" i="27"/>
  <c r="U93" i="27"/>
  <c r="V93" i="27"/>
  <c r="Y93" i="27"/>
  <c r="AG93" i="27"/>
  <c r="AJ93" i="27"/>
  <c r="AL93" i="27"/>
  <c r="AM93" i="27"/>
  <c r="AN93" i="27"/>
  <c r="AO93" i="27"/>
  <c r="AP93" i="27"/>
  <c r="BC93" i="27" s="1"/>
  <c r="AQ93" i="27"/>
  <c r="BD93" i="27" s="1"/>
  <c r="AR93" i="27"/>
  <c r="BE93" i="27" s="1"/>
  <c r="AS93" i="27"/>
  <c r="BF93" i="27" s="1"/>
  <c r="AT93" i="27"/>
  <c r="AV93" i="27"/>
  <c r="AY93" i="27"/>
  <c r="AZ93" i="27"/>
  <c r="BA93" i="27"/>
  <c r="BB93" i="27"/>
  <c r="BG93" i="27"/>
  <c r="H94" i="27"/>
  <c r="I94" i="27"/>
  <c r="J94" i="27"/>
  <c r="AA94" i="27" s="1"/>
  <c r="K94" i="27"/>
  <c r="AB94" i="27" s="1"/>
  <c r="L94" i="27"/>
  <c r="AC94" i="27" s="1"/>
  <c r="M94" i="27"/>
  <c r="AD94" i="27" s="1"/>
  <c r="N94" i="27"/>
  <c r="AE94" i="27" s="1"/>
  <c r="O94" i="27"/>
  <c r="AF94" i="27" s="1"/>
  <c r="P94" i="27"/>
  <c r="R94" i="27"/>
  <c r="S94" i="27"/>
  <c r="T94" i="27"/>
  <c r="U94" i="27"/>
  <c r="V94" i="27"/>
  <c r="Y94" i="27"/>
  <c r="Z94" i="27"/>
  <c r="AG94" i="27"/>
  <c r="AI94" i="27"/>
  <c r="AJ94" i="27"/>
  <c r="AL94" i="27"/>
  <c r="AM94" i="27"/>
  <c r="AN94" i="27"/>
  <c r="AO94" i="27"/>
  <c r="AP94" i="27"/>
  <c r="BC94" i="27" s="1"/>
  <c r="AQ94" i="27"/>
  <c r="BD94" i="27" s="1"/>
  <c r="AR94" i="27"/>
  <c r="BE94" i="27" s="1"/>
  <c r="AS94" i="27"/>
  <c r="BF94" i="27" s="1"/>
  <c r="AT94" i="27"/>
  <c r="AV94" i="27"/>
  <c r="AY94" i="27"/>
  <c r="AZ94" i="27"/>
  <c r="BA94" i="27"/>
  <c r="BB94" i="27"/>
  <c r="BG94" i="27"/>
  <c r="H95" i="27"/>
  <c r="I95" i="27"/>
  <c r="Z95" i="27" s="1"/>
  <c r="J95" i="27"/>
  <c r="AA95" i="27" s="1"/>
  <c r="K95" i="27"/>
  <c r="AB95" i="27" s="1"/>
  <c r="L95" i="27"/>
  <c r="AC95" i="27" s="1"/>
  <c r="M95" i="27"/>
  <c r="AD95" i="27" s="1"/>
  <c r="N95" i="27"/>
  <c r="AE95" i="27" s="1"/>
  <c r="O95" i="27"/>
  <c r="AF95" i="27" s="1"/>
  <c r="P95" i="27"/>
  <c r="R95" i="27"/>
  <c r="AI95" i="27" s="1"/>
  <c r="S95" i="27"/>
  <c r="T95" i="27"/>
  <c r="U95" i="27"/>
  <c r="V95" i="27"/>
  <c r="Y95" i="27"/>
  <c r="AG95" i="27"/>
  <c r="AJ95" i="27"/>
  <c r="AL95" i="27"/>
  <c r="AM95" i="27"/>
  <c r="AN95" i="27"/>
  <c r="AO95" i="27"/>
  <c r="AP95" i="27"/>
  <c r="BC95" i="27" s="1"/>
  <c r="AQ95" i="27"/>
  <c r="BD95" i="27" s="1"/>
  <c r="AR95" i="27"/>
  <c r="BE95" i="27" s="1"/>
  <c r="AS95" i="27"/>
  <c r="BF95" i="27" s="1"/>
  <c r="AT95" i="27"/>
  <c r="AV95" i="27"/>
  <c r="AY95" i="27"/>
  <c r="AZ95" i="27"/>
  <c r="BA95" i="27"/>
  <c r="BB95" i="27"/>
  <c r="BG95" i="27"/>
  <c r="H96" i="27"/>
  <c r="I96" i="27"/>
  <c r="Z96" i="27" s="1"/>
  <c r="J96" i="27"/>
  <c r="AA96" i="27" s="1"/>
  <c r="K96" i="27"/>
  <c r="AB96" i="27" s="1"/>
  <c r="L96" i="27"/>
  <c r="AC96" i="27" s="1"/>
  <c r="M96" i="27"/>
  <c r="AD96" i="27" s="1"/>
  <c r="N96" i="27"/>
  <c r="AE96" i="27" s="1"/>
  <c r="O96" i="27"/>
  <c r="AF96" i="27" s="1"/>
  <c r="P96" i="27"/>
  <c r="R96" i="27"/>
  <c r="AI96" i="27" s="1"/>
  <c r="S96" i="27"/>
  <c r="T96" i="27"/>
  <c r="U96" i="27"/>
  <c r="V96" i="27"/>
  <c r="Y96" i="27"/>
  <c r="AG96" i="27"/>
  <c r="AJ96" i="27"/>
  <c r="AL96" i="27"/>
  <c r="AM96" i="27"/>
  <c r="AN96" i="27"/>
  <c r="AO96" i="27"/>
  <c r="AP96" i="27"/>
  <c r="BC96" i="27" s="1"/>
  <c r="AQ96" i="27"/>
  <c r="BD96" i="27" s="1"/>
  <c r="AR96" i="27"/>
  <c r="BE96" i="27" s="1"/>
  <c r="AS96" i="27"/>
  <c r="BF96" i="27" s="1"/>
  <c r="AT96" i="27"/>
  <c r="AV96" i="27"/>
  <c r="AY96" i="27"/>
  <c r="AZ96" i="27"/>
  <c r="BA96" i="27"/>
  <c r="BB96" i="27"/>
  <c r="BG96" i="27"/>
  <c r="H97" i="27"/>
  <c r="I97" i="27"/>
  <c r="Z97" i="27" s="1"/>
  <c r="J97" i="27"/>
  <c r="AA97" i="27" s="1"/>
  <c r="K97" i="27"/>
  <c r="AB97" i="27" s="1"/>
  <c r="L97" i="27"/>
  <c r="AC97" i="27" s="1"/>
  <c r="M97" i="27"/>
  <c r="AD97" i="27" s="1"/>
  <c r="N97" i="27"/>
  <c r="AE97" i="27" s="1"/>
  <c r="O97" i="27"/>
  <c r="AF97" i="27" s="1"/>
  <c r="P97" i="27"/>
  <c r="R97" i="27"/>
  <c r="AI97" i="27" s="1"/>
  <c r="S97" i="27"/>
  <c r="T97" i="27"/>
  <c r="U97" i="27"/>
  <c r="V97" i="27"/>
  <c r="Y97" i="27"/>
  <c r="AG97" i="27"/>
  <c r="AJ97" i="27"/>
  <c r="AL97" i="27"/>
  <c r="AM97" i="27"/>
  <c r="AN97" i="27"/>
  <c r="AO97" i="27"/>
  <c r="AP97" i="27"/>
  <c r="BC97" i="27" s="1"/>
  <c r="AQ97" i="27"/>
  <c r="BD97" i="27" s="1"/>
  <c r="AR97" i="27"/>
  <c r="BE97" i="27" s="1"/>
  <c r="AS97" i="27"/>
  <c r="BF97" i="27" s="1"/>
  <c r="AT97" i="27"/>
  <c r="AV97" i="27"/>
  <c r="AY97" i="27"/>
  <c r="AZ97" i="27"/>
  <c r="BA97" i="27"/>
  <c r="BB97" i="27"/>
  <c r="BG97" i="27"/>
  <c r="H98" i="27"/>
  <c r="I98" i="27"/>
  <c r="Z98" i="27" s="1"/>
  <c r="J98" i="27"/>
  <c r="AA98" i="27" s="1"/>
  <c r="K98" i="27"/>
  <c r="AB98" i="27" s="1"/>
  <c r="L98" i="27"/>
  <c r="AC98" i="27" s="1"/>
  <c r="M98" i="27"/>
  <c r="AD98" i="27" s="1"/>
  <c r="N98" i="27"/>
  <c r="AE98" i="27" s="1"/>
  <c r="O98" i="27"/>
  <c r="AF98" i="27" s="1"/>
  <c r="P98" i="27"/>
  <c r="R98" i="27"/>
  <c r="AI98" i="27" s="1"/>
  <c r="S98" i="27"/>
  <c r="T98" i="27"/>
  <c r="U98" i="27"/>
  <c r="V98" i="27"/>
  <c r="Y98" i="27"/>
  <c r="AG98" i="27"/>
  <c r="AJ98" i="27"/>
  <c r="AL98" i="27"/>
  <c r="AM98" i="27"/>
  <c r="AN98" i="27"/>
  <c r="AO98" i="27"/>
  <c r="AP98" i="27"/>
  <c r="BC98" i="27" s="1"/>
  <c r="AQ98" i="27"/>
  <c r="BD98" i="27" s="1"/>
  <c r="AR98" i="27"/>
  <c r="BE98" i="27" s="1"/>
  <c r="AS98" i="27"/>
  <c r="BF98" i="27" s="1"/>
  <c r="AT98" i="27"/>
  <c r="AV98" i="27"/>
  <c r="AY98" i="27"/>
  <c r="AZ98" i="27"/>
  <c r="BA98" i="27"/>
  <c r="BB98" i="27"/>
  <c r="BG98" i="27"/>
  <c r="H99" i="27"/>
  <c r="I99" i="27"/>
  <c r="Z99" i="27" s="1"/>
  <c r="J99" i="27"/>
  <c r="AA99" i="27" s="1"/>
  <c r="K99" i="27"/>
  <c r="AB99" i="27" s="1"/>
  <c r="L99" i="27"/>
  <c r="AC99" i="27" s="1"/>
  <c r="M99" i="27"/>
  <c r="AD99" i="27" s="1"/>
  <c r="N99" i="27"/>
  <c r="AE99" i="27" s="1"/>
  <c r="O99" i="27"/>
  <c r="AF99" i="27" s="1"/>
  <c r="P99" i="27"/>
  <c r="R99" i="27"/>
  <c r="AI99" i="27" s="1"/>
  <c r="S99" i="27"/>
  <c r="T99" i="27"/>
  <c r="U99" i="27"/>
  <c r="V99" i="27"/>
  <c r="Y99" i="27"/>
  <c r="AG99" i="27"/>
  <c r="AJ99" i="27"/>
  <c r="AL99" i="27"/>
  <c r="AM99" i="27"/>
  <c r="AN99" i="27"/>
  <c r="AO99" i="27"/>
  <c r="AP99" i="27"/>
  <c r="BC99" i="27" s="1"/>
  <c r="AQ99" i="27"/>
  <c r="BD99" i="27" s="1"/>
  <c r="AR99" i="27"/>
  <c r="BE99" i="27" s="1"/>
  <c r="AS99" i="27"/>
  <c r="BF99" i="27" s="1"/>
  <c r="AT99" i="27"/>
  <c r="AV99" i="27"/>
  <c r="AY99" i="27"/>
  <c r="AZ99" i="27"/>
  <c r="BA99" i="27"/>
  <c r="BB99" i="27"/>
  <c r="BG99" i="27"/>
  <c r="H100" i="27"/>
  <c r="I100" i="27"/>
  <c r="Z100" i="27" s="1"/>
  <c r="J100" i="27"/>
  <c r="AA100" i="27" s="1"/>
  <c r="K100" i="27"/>
  <c r="AB100" i="27" s="1"/>
  <c r="L100" i="27"/>
  <c r="AC100" i="27" s="1"/>
  <c r="M100" i="27"/>
  <c r="AD100" i="27" s="1"/>
  <c r="N100" i="27"/>
  <c r="AE100" i="27" s="1"/>
  <c r="O100" i="27"/>
  <c r="AF100" i="27" s="1"/>
  <c r="P100" i="27"/>
  <c r="R100" i="27"/>
  <c r="AI100" i="27" s="1"/>
  <c r="S100" i="27"/>
  <c r="T100" i="27"/>
  <c r="U100" i="27"/>
  <c r="V100" i="27"/>
  <c r="Y100" i="27"/>
  <c r="AG100" i="27"/>
  <c r="AJ100" i="27"/>
  <c r="AL100" i="27"/>
  <c r="AM100" i="27"/>
  <c r="AN100" i="27"/>
  <c r="AO100" i="27"/>
  <c r="AP100" i="27"/>
  <c r="BC100" i="27" s="1"/>
  <c r="AQ100" i="27"/>
  <c r="BD100" i="27" s="1"/>
  <c r="AR100" i="27"/>
  <c r="BE100" i="27" s="1"/>
  <c r="AS100" i="27"/>
  <c r="BF100" i="27" s="1"/>
  <c r="AT100" i="27"/>
  <c r="AV100" i="27"/>
  <c r="AY100" i="27"/>
  <c r="AZ100" i="27"/>
  <c r="BA100" i="27"/>
  <c r="BB100" i="27"/>
  <c r="BG100" i="27"/>
  <c r="H101" i="27"/>
  <c r="I101" i="27"/>
  <c r="J101" i="27"/>
  <c r="AA101" i="27" s="1"/>
  <c r="K101" i="27"/>
  <c r="AB101" i="27" s="1"/>
  <c r="L101" i="27"/>
  <c r="AC101" i="27" s="1"/>
  <c r="M101" i="27"/>
  <c r="AD101" i="27" s="1"/>
  <c r="N101" i="27"/>
  <c r="AE101" i="27" s="1"/>
  <c r="O101" i="27"/>
  <c r="AF101" i="27" s="1"/>
  <c r="P101" i="27"/>
  <c r="R101" i="27"/>
  <c r="S101" i="27"/>
  <c r="T101" i="27"/>
  <c r="U101" i="27"/>
  <c r="V101" i="27"/>
  <c r="Y101" i="27"/>
  <c r="Z101" i="27"/>
  <c r="AG101" i="27"/>
  <c r="AI101" i="27"/>
  <c r="AJ101" i="27"/>
  <c r="AL101" i="27"/>
  <c r="AM101" i="27"/>
  <c r="AN101" i="27"/>
  <c r="AO101" i="27"/>
  <c r="AP101" i="27"/>
  <c r="BC101" i="27" s="1"/>
  <c r="AQ101" i="27"/>
  <c r="BD101" i="27" s="1"/>
  <c r="AR101" i="27"/>
  <c r="BE101" i="27" s="1"/>
  <c r="AS101" i="27"/>
  <c r="BF101" i="27" s="1"/>
  <c r="AT101" i="27"/>
  <c r="AV101" i="27"/>
  <c r="AY101" i="27"/>
  <c r="AZ101" i="27"/>
  <c r="BA101" i="27"/>
  <c r="BB101" i="27"/>
  <c r="BG101" i="27"/>
  <c r="H102" i="27"/>
  <c r="I102" i="27"/>
  <c r="Z102" i="27" s="1"/>
  <c r="J102" i="27"/>
  <c r="AA102" i="27" s="1"/>
  <c r="K102" i="27"/>
  <c r="AB102" i="27" s="1"/>
  <c r="L102" i="27"/>
  <c r="AC102" i="27" s="1"/>
  <c r="M102" i="27"/>
  <c r="AD102" i="27" s="1"/>
  <c r="N102" i="27"/>
  <c r="AE102" i="27" s="1"/>
  <c r="O102" i="27"/>
  <c r="AF102" i="27" s="1"/>
  <c r="P102" i="27"/>
  <c r="R102" i="27"/>
  <c r="AI102" i="27" s="1"/>
  <c r="S102" i="27"/>
  <c r="T102" i="27"/>
  <c r="U102" i="27"/>
  <c r="V102" i="27"/>
  <c r="Y102" i="27"/>
  <c r="AG102" i="27"/>
  <c r="AJ102" i="27"/>
  <c r="AL102" i="27"/>
  <c r="AM102" i="27"/>
  <c r="AN102" i="27"/>
  <c r="AO102" i="27"/>
  <c r="AP102" i="27"/>
  <c r="BC102" i="27" s="1"/>
  <c r="AQ102" i="27"/>
  <c r="BD102" i="27" s="1"/>
  <c r="AR102" i="27"/>
  <c r="BE102" i="27" s="1"/>
  <c r="AS102" i="27"/>
  <c r="BF102" i="27" s="1"/>
  <c r="AT102" i="27"/>
  <c r="AV102" i="27"/>
  <c r="AY102" i="27"/>
  <c r="AZ102" i="27"/>
  <c r="BA102" i="27"/>
  <c r="BB102" i="27"/>
  <c r="BG102" i="27"/>
  <c r="H103" i="27"/>
  <c r="I103" i="27"/>
  <c r="Z103" i="27" s="1"/>
  <c r="J103" i="27"/>
  <c r="AA103" i="27" s="1"/>
  <c r="K103" i="27"/>
  <c r="AB103" i="27" s="1"/>
  <c r="L103" i="27"/>
  <c r="AC103" i="27" s="1"/>
  <c r="M103" i="27"/>
  <c r="AD103" i="27" s="1"/>
  <c r="N103" i="27"/>
  <c r="AE103" i="27" s="1"/>
  <c r="O103" i="27"/>
  <c r="AF103" i="27" s="1"/>
  <c r="P103" i="27"/>
  <c r="R103" i="27"/>
  <c r="AI103" i="27" s="1"/>
  <c r="S103" i="27"/>
  <c r="T103" i="27"/>
  <c r="U103" i="27"/>
  <c r="V103" i="27"/>
  <c r="Y103" i="27"/>
  <c r="AG103" i="27"/>
  <c r="AJ103" i="27"/>
  <c r="AL103" i="27"/>
  <c r="AM103" i="27"/>
  <c r="AN103" i="27"/>
  <c r="AO103" i="27"/>
  <c r="AP103" i="27"/>
  <c r="BC103" i="27" s="1"/>
  <c r="AQ103" i="27"/>
  <c r="BD103" i="27" s="1"/>
  <c r="AR103" i="27"/>
  <c r="BE103" i="27" s="1"/>
  <c r="AS103" i="27"/>
  <c r="BF103" i="27" s="1"/>
  <c r="AT103" i="27"/>
  <c r="AV103" i="27"/>
  <c r="AY103" i="27"/>
  <c r="AZ103" i="27"/>
  <c r="BA103" i="27"/>
  <c r="BB103" i="27"/>
  <c r="BG103" i="27"/>
  <c r="H104" i="27"/>
  <c r="I104" i="27"/>
  <c r="Z104" i="27" s="1"/>
  <c r="J104" i="27"/>
  <c r="AA104" i="27" s="1"/>
  <c r="K104" i="27"/>
  <c r="AB104" i="27" s="1"/>
  <c r="L104" i="27"/>
  <c r="AC104" i="27" s="1"/>
  <c r="M104" i="27"/>
  <c r="AD104" i="27" s="1"/>
  <c r="N104" i="27"/>
  <c r="AE104" i="27" s="1"/>
  <c r="O104" i="27"/>
  <c r="AF104" i="27" s="1"/>
  <c r="P104" i="27"/>
  <c r="R104" i="27"/>
  <c r="AI104" i="27" s="1"/>
  <c r="S104" i="27"/>
  <c r="T104" i="27"/>
  <c r="U104" i="27"/>
  <c r="V104" i="27"/>
  <c r="Y104" i="27"/>
  <c r="AG104" i="27"/>
  <c r="AJ104" i="27"/>
  <c r="AL104" i="27"/>
  <c r="AM104" i="27"/>
  <c r="AN104" i="27"/>
  <c r="AO104" i="27"/>
  <c r="AP104" i="27"/>
  <c r="BC104" i="27" s="1"/>
  <c r="AQ104" i="27"/>
  <c r="BD104" i="27" s="1"/>
  <c r="AR104" i="27"/>
  <c r="BE104" i="27" s="1"/>
  <c r="AS104" i="27"/>
  <c r="BF104" i="27" s="1"/>
  <c r="AT104" i="27"/>
  <c r="AV104" i="27"/>
  <c r="AY104" i="27"/>
  <c r="AZ104" i="27"/>
  <c r="BA104" i="27"/>
  <c r="BB104" i="27"/>
  <c r="BG104" i="27"/>
  <c r="H105" i="27"/>
  <c r="I105" i="27"/>
  <c r="J105" i="27"/>
  <c r="AA105" i="27" s="1"/>
  <c r="K105" i="27"/>
  <c r="AB105" i="27" s="1"/>
  <c r="L105" i="27"/>
  <c r="AC105" i="27" s="1"/>
  <c r="M105" i="27"/>
  <c r="AD105" i="27" s="1"/>
  <c r="N105" i="27"/>
  <c r="AE105" i="27" s="1"/>
  <c r="O105" i="27"/>
  <c r="AF105" i="27" s="1"/>
  <c r="P105" i="27"/>
  <c r="R105" i="27"/>
  <c r="S105" i="27"/>
  <c r="T105" i="27"/>
  <c r="U105" i="27"/>
  <c r="V105" i="27"/>
  <c r="Y105" i="27"/>
  <c r="Z105" i="27"/>
  <c r="AG105" i="27"/>
  <c r="AI105" i="27"/>
  <c r="AJ105" i="27"/>
  <c r="AL105" i="27"/>
  <c r="AM105" i="27"/>
  <c r="AN105" i="27"/>
  <c r="AO105" i="27"/>
  <c r="AP105" i="27"/>
  <c r="BC105" i="27" s="1"/>
  <c r="AQ105" i="27"/>
  <c r="BD105" i="27" s="1"/>
  <c r="AR105" i="27"/>
  <c r="BE105" i="27" s="1"/>
  <c r="AS105" i="27"/>
  <c r="BF105" i="27" s="1"/>
  <c r="AT105" i="27"/>
  <c r="AV105" i="27"/>
  <c r="AY105" i="27"/>
  <c r="AZ105" i="27"/>
  <c r="BA105" i="27"/>
  <c r="BB105" i="27"/>
  <c r="BG105" i="27"/>
  <c r="H106" i="27"/>
  <c r="I106" i="27"/>
  <c r="Z106" i="27" s="1"/>
  <c r="J106" i="27"/>
  <c r="AA106" i="27" s="1"/>
  <c r="K106" i="27"/>
  <c r="AB106" i="27" s="1"/>
  <c r="L106" i="27"/>
  <c r="AC106" i="27" s="1"/>
  <c r="M106" i="27"/>
  <c r="AD106" i="27" s="1"/>
  <c r="N106" i="27"/>
  <c r="AE106" i="27" s="1"/>
  <c r="O106" i="27"/>
  <c r="AF106" i="27" s="1"/>
  <c r="P106" i="27"/>
  <c r="R106" i="27"/>
  <c r="AI106" i="27" s="1"/>
  <c r="S106" i="27"/>
  <c r="T106" i="27"/>
  <c r="U106" i="27"/>
  <c r="V106" i="27"/>
  <c r="Y106" i="27"/>
  <c r="AG106" i="27"/>
  <c r="AJ106" i="27"/>
  <c r="AL106" i="27"/>
  <c r="AM106" i="27"/>
  <c r="AN106" i="27"/>
  <c r="AO106" i="27"/>
  <c r="AP106" i="27"/>
  <c r="BC106" i="27" s="1"/>
  <c r="AQ106" i="27"/>
  <c r="BD106" i="27" s="1"/>
  <c r="AR106" i="27"/>
  <c r="BE106" i="27" s="1"/>
  <c r="AS106" i="27"/>
  <c r="BF106" i="27" s="1"/>
  <c r="AT106" i="27"/>
  <c r="AV106" i="27"/>
  <c r="AY106" i="27"/>
  <c r="AZ106" i="27"/>
  <c r="BA106" i="27"/>
  <c r="BB106" i="27"/>
  <c r="BG106" i="27"/>
  <c r="H107" i="27"/>
  <c r="I107" i="27"/>
  <c r="J107" i="27"/>
  <c r="AA107" i="27" s="1"/>
  <c r="K107" i="27"/>
  <c r="AB107" i="27" s="1"/>
  <c r="L107" i="27"/>
  <c r="AC107" i="27" s="1"/>
  <c r="M107" i="27"/>
  <c r="AD107" i="27" s="1"/>
  <c r="N107" i="27"/>
  <c r="AE107" i="27" s="1"/>
  <c r="O107" i="27"/>
  <c r="AF107" i="27" s="1"/>
  <c r="P107" i="27"/>
  <c r="R107" i="27"/>
  <c r="S107" i="27"/>
  <c r="T107" i="27"/>
  <c r="U107" i="27"/>
  <c r="V107" i="27"/>
  <c r="Y107" i="27"/>
  <c r="Z107" i="27"/>
  <c r="AG107" i="27"/>
  <c r="AI107" i="27"/>
  <c r="AJ107" i="27"/>
  <c r="AL107" i="27"/>
  <c r="AM107" i="27"/>
  <c r="AN107" i="27"/>
  <c r="BA107" i="27" s="1"/>
  <c r="AO107" i="27"/>
  <c r="AP107" i="27"/>
  <c r="BC107" i="27" s="1"/>
  <c r="AQ107" i="27"/>
  <c r="BD107" i="27" s="1"/>
  <c r="AR107" i="27"/>
  <c r="BE107" i="27" s="1"/>
  <c r="AS107" i="27"/>
  <c r="BF107" i="27" s="1"/>
  <c r="AT107" i="27"/>
  <c r="AV107" i="27"/>
  <c r="AY107" i="27"/>
  <c r="AZ107" i="27"/>
  <c r="BB107" i="27"/>
  <c r="BG107" i="27"/>
  <c r="H108" i="27"/>
  <c r="I108" i="27"/>
  <c r="J108" i="27"/>
  <c r="AA108" i="27" s="1"/>
  <c r="K108" i="27"/>
  <c r="AB108" i="27" s="1"/>
  <c r="L108" i="27"/>
  <c r="AC108" i="27" s="1"/>
  <c r="M108" i="27"/>
  <c r="AD108" i="27" s="1"/>
  <c r="N108" i="27"/>
  <c r="AE108" i="27" s="1"/>
  <c r="O108" i="27"/>
  <c r="AF108" i="27" s="1"/>
  <c r="P108" i="27"/>
  <c r="R108" i="27"/>
  <c r="S108" i="27"/>
  <c r="T108" i="27"/>
  <c r="U108" i="27"/>
  <c r="V108" i="27"/>
  <c r="Y108" i="27"/>
  <c r="Z108" i="27"/>
  <c r="AG108" i="27"/>
  <c r="AI108" i="27"/>
  <c r="AJ108" i="27"/>
  <c r="AL108" i="27"/>
  <c r="AM108" i="27"/>
  <c r="AN108" i="27"/>
  <c r="AO108" i="27"/>
  <c r="AP108" i="27"/>
  <c r="BC108" i="27" s="1"/>
  <c r="AQ108" i="27"/>
  <c r="BD108" i="27" s="1"/>
  <c r="AR108" i="27"/>
  <c r="BE108" i="27" s="1"/>
  <c r="AS108" i="27"/>
  <c r="BF108" i="27" s="1"/>
  <c r="AT108" i="27"/>
  <c r="AV108" i="27"/>
  <c r="AY108" i="27"/>
  <c r="AZ108" i="27"/>
  <c r="BA108" i="27"/>
  <c r="BB108" i="27"/>
  <c r="BG108" i="27"/>
  <c r="H109" i="27"/>
  <c r="I109" i="27"/>
  <c r="Z109" i="27" s="1"/>
  <c r="J109" i="27"/>
  <c r="AA109" i="27" s="1"/>
  <c r="K109" i="27"/>
  <c r="AB109" i="27" s="1"/>
  <c r="L109" i="27"/>
  <c r="AC109" i="27" s="1"/>
  <c r="M109" i="27"/>
  <c r="AD109" i="27" s="1"/>
  <c r="N109" i="27"/>
  <c r="AE109" i="27" s="1"/>
  <c r="O109" i="27"/>
  <c r="AF109" i="27" s="1"/>
  <c r="P109" i="27"/>
  <c r="R109" i="27"/>
  <c r="AI109" i="27" s="1"/>
  <c r="S109" i="27"/>
  <c r="T109" i="27"/>
  <c r="U109" i="27"/>
  <c r="V109" i="27"/>
  <c r="Y109" i="27"/>
  <c r="AG109" i="27"/>
  <c r="AJ109" i="27"/>
  <c r="AL109" i="27"/>
  <c r="AM109" i="27"/>
  <c r="AN109" i="27"/>
  <c r="AO109" i="27"/>
  <c r="AP109" i="27"/>
  <c r="BC109" i="27" s="1"/>
  <c r="AQ109" i="27"/>
  <c r="BD109" i="27" s="1"/>
  <c r="AR109" i="27"/>
  <c r="BE109" i="27" s="1"/>
  <c r="AS109" i="27"/>
  <c r="BF109" i="27" s="1"/>
  <c r="AT109" i="27"/>
  <c r="AV109" i="27"/>
  <c r="AY109" i="27"/>
  <c r="AZ109" i="27"/>
  <c r="BA109" i="27"/>
  <c r="BB109" i="27"/>
  <c r="BG109" i="27"/>
  <c r="H110" i="27"/>
  <c r="I110" i="27"/>
  <c r="Z110" i="27" s="1"/>
  <c r="J110" i="27"/>
  <c r="AA110" i="27" s="1"/>
  <c r="K110" i="27"/>
  <c r="AB110" i="27" s="1"/>
  <c r="L110" i="27"/>
  <c r="AC110" i="27" s="1"/>
  <c r="M110" i="27"/>
  <c r="AD110" i="27" s="1"/>
  <c r="N110" i="27"/>
  <c r="AE110" i="27" s="1"/>
  <c r="O110" i="27"/>
  <c r="AF110" i="27" s="1"/>
  <c r="P110" i="27"/>
  <c r="R110" i="27"/>
  <c r="AI110" i="27" s="1"/>
  <c r="S110" i="27"/>
  <c r="T110" i="27"/>
  <c r="U110" i="27"/>
  <c r="V110" i="27"/>
  <c r="Y110" i="27"/>
  <c r="AG110" i="27"/>
  <c r="AJ110" i="27"/>
  <c r="AL110" i="27"/>
  <c r="AM110" i="27"/>
  <c r="AN110" i="27"/>
  <c r="AO110" i="27"/>
  <c r="AP110" i="27"/>
  <c r="BC110" i="27" s="1"/>
  <c r="AQ110" i="27"/>
  <c r="BD110" i="27" s="1"/>
  <c r="AR110" i="27"/>
  <c r="BE110" i="27" s="1"/>
  <c r="AS110" i="27"/>
  <c r="BF110" i="27" s="1"/>
  <c r="AT110" i="27"/>
  <c r="AV110" i="27"/>
  <c r="AY110" i="27"/>
  <c r="AZ110" i="27"/>
  <c r="BA110" i="27"/>
  <c r="BB110" i="27"/>
  <c r="BG110" i="27"/>
  <c r="H111" i="27"/>
  <c r="I111" i="27"/>
  <c r="Z111" i="27" s="1"/>
  <c r="J111" i="27"/>
  <c r="AA111" i="27" s="1"/>
  <c r="K111" i="27"/>
  <c r="AB111" i="27" s="1"/>
  <c r="L111" i="27"/>
  <c r="AC111" i="27" s="1"/>
  <c r="M111" i="27"/>
  <c r="AD111" i="27" s="1"/>
  <c r="N111" i="27"/>
  <c r="AE111" i="27" s="1"/>
  <c r="O111" i="27"/>
  <c r="AF111" i="27" s="1"/>
  <c r="P111" i="27"/>
  <c r="R111" i="27"/>
  <c r="AI111" i="27" s="1"/>
  <c r="S111" i="27"/>
  <c r="T111" i="27"/>
  <c r="U111" i="27"/>
  <c r="V111" i="27"/>
  <c r="Y111" i="27"/>
  <c r="AG111" i="27"/>
  <c r="AJ111" i="27"/>
  <c r="AL111" i="27"/>
  <c r="AM111" i="27"/>
  <c r="AN111" i="27"/>
  <c r="AO111" i="27"/>
  <c r="AP111" i="27"/>
  <c r="BC111" i="27" s="1"/>
  <c r="AQ111" i="27"/>
  <c r="BD111" i="27" s="1"/>
  <c r="AR111" i="27"/>
  <c r="BE111" i="27" s="1"/>
  <c r="AS111" i="27"/>
  <c r="BF111" i="27" s="1"/>
  <c r="AT111" i="27"/>
  <c r="AV111" i="27"/>
  <c r="AY111" i="27"/>
  <c r="AZ111" i="27"/>
  <c r="BA111" i="27"/>
  <c r="BB111" i="27"/>
  <c r="BG111" i="27"/>
  <c r="H112" i="27"/>
  <c r="I112" i="27"/>
  <c r="Z112" i="27" s="1"/>
  <c r="J112" i="27"/>
  <c r="AA112" i="27" s="1"/>
  <c r="K112" i="27"/>
  <c r="AB112" i="27" s="1"/>
  <c r="L112" i="27"/>
  <c r="AC112" i="27" s="1"/>
  <c r="M112" i="27"/>
  <c r="AD112" i="27" s="1"/>
  <c r="N112" i="27"/>
  <c r="AE112" i="27" s="1"/>
  <c r="O112" i="27"/>
  <c r="AF112" i="27" s="1"/>
  <c r="P112" i="27"/>
  <c r="R112" i="27"/>
  <c r="AI112" i="27" s="1"/>
  <c r="S112" i="27"/>
  <c r="T112" i="27"/>
  <c r="U112" i="27"/>
  <c r="V112" i="27"/>
  <c r="Y112" i="27"/>
  <c r="AG112" i="27"/>
  <c r="AJ112" i="27"/>
  <c r="AL112" i="27"/>
  <c r="AM112" i="27"/>
  <c r="AN112" i="27"/>
  <c r="AO112" i="27"/>
  <c r="AP112" i="27"/>
  <c r="BC112" i="27" s="1"/>
  <c r="AQ112" i="27"/>
  <c r="BD112" i="27" s="1"/>
  <c r="AR112" i="27"/>
  <c r="BE112" i="27" s="1"/>
  <c r="AS112" i="27"/>
  <c r="BF112" i="27" s="1"/>
  <c r="AT112" i="27"/>
  <c r="AV112" i="27"/>
  <c r="AY112" i="27"/>
  <c r="AZ112" i="27"/>
  <c r="BA112" i="27"/>
  <c r="BB112" i="27"/>
  <c r="BG112" i="27"/>
  <c r="H113" i="27"/>
  <c r="I113" i="27"/>
  <c r="Z113" i="27" s="1"/>
  <c r="J113" i="27"/>
  <c r="AA113" i="27" s="1"/>
  <c r="K113" i="27"/>
  <c r="AB113" i="27" s="1"/>
  <c r="L113" i="27"/>
  <c r="AC113" i="27" s="1"/>
  <c r="M113" i="27"/>
  <c r="AD113" i="27" s="1"/>
  <c r="N113" i="27"/>
  <c r="AE113" i="27" s="1"/>
  <c r="O113" i="27"/>
  <c r="AF113" i="27" s="1"/>
  <c r="P113" i="27"/>
  <c r="R113" i="27"/>
  <c r="AI113" i="27" s="1"/>
  <c r="S113" i="27"/>
  <c r="T113" i="27"/>
  <c r="U113" i="27"/>
  <c r="V113" i="27"/>
  <c r="Y113" i="27"/>
  <c r="AG113" i="27"/>
  <c r="AJ113" i="27"/>
  <c r="AL113" i="27"/>
  <c r="AM113" i="27"/>
  <c r="AN113" i="27"/>
  <c r="AO113" i="27"/>
  <c r="AP113" i="27"/>
  <c r="BC113" i="27" s="1"/>
  <c r="AQ113" i="27"/>
  <c r="BD113" i="27" s="1"/>
  <c r="AR113" i="27"/>
  <c r="BE113" i="27" s="1"/>
  <c r="AS113" i="27"/>
  <c r="BF113" i="27" s="1"/>
  <c r="AT113" i="27"/>
  <c r="AV113" i="27"/>
  <c r="AY113" i="27"/>
  <c r="AZ113" i="27"/>
  <c r="BA113" i="27"/>
  <c r="BB113" i="27"/>
  <c r="BG113" i="27"/>
  <c r="H114" i="27"/>
  <c r="I114" i="27"/>
  <c r="Z114" i="27" s="1"/>
  <c r="J114" i="27"/>
  <c r="AA114" i="27" s="1"/>
  <c r="K114" i="27"/>
  <c r="AB114" i="27" s="1"/>
  <c r="L114" i="27"/>
  <c r="AC114" i="27" s="1"/>
  <c r="M114" i="27"/>
  <c r="AD114" i="27" s="1"/>
  <c r="N114" i="27"/>
  <c r="AE114" i="27" s="1"/>
  <c r="O114" i="27"/>
  <c r="AF114" i="27" s="1"/>
  <c r="P114" i="27"/>
  <c r="R114" i="27"/>
  <c r="AI114" i="27" s="1"/>
  <c r="S114" i="27"/>
  <c r="T114" i="27"/>
  <c r="U114" i="27"/>
  <c r="V114" i="27"/>
  <c r="Y114" i="27"/>
  <c r="AG114" i="27"/>
  <c r="AJ114" i="27"/>
  <c r="AL114" i="27"/>
  <c r="AM114" i="27"/>
  <c r="AN114" i="27"/>
  <c r="AO114" i="27"/>
  <c r="AP114" i="27"/>
  <c r="BC114" i="27" s="1"/>
  <c r="AQ114" i="27"/>
  <c r="BD114" i="27" s="1"/>
  <c r="AR114" i="27"/>
  <c r="BE114" i="27" s="1"/>
  <c r="AS114" i="27"/>
  <c r="BF114" i="27" s="1"/>
  <c r="AT114" i="27"/>
  <c r="AV114" i="27"/>
  <c r="AY114" i="27"/>
  <c r="AZ114" i="27"/>
  <c r="BA114" i="27"/>
  <c r="BB114" i="27"/>
  <c r="BG114" i="27"/>
  <c r="H115" i="27"/>
  <c r="I115" i="27"/>
  <c r="J115" i="27"/>
  <c r="AA115" i="27" s="1"/>
  <c r="K115" i="27"/>
  <c r="AB115" i="27" s="1"/>
  <c r="L115" i="27"/>
  <c r="AC115" i="27" s="1"/>
  <c r="M115" i="27"/>
  <c r="AD115" i="27" s="1"/>
  <c r="N115" i="27"/>
  <c r="AE115" i="27" s="1"/>
  <c r="O115" i="27"/>
  <c r="AF115" i="27" s="1"/>
  <c r="P115" i="27"/>
  <c r="R115" i="27"/>
  <c r="S115" i="27"/>
  <c r="T115" i="27"/>
  <c r="U115" i="27"/>
  <c r="V115" i="27"/>
  <c r="Y115" i="27"/>
  <c r="Z115" i="27"/>
  <c r="AG115" i="27"/>
  <c r="AI115" i="27"/>
  <c r="AJ115" i="27"/>
  <c r="AL115" i="27"/>
  <c r="AM115" i="27"/>
  <c r="AN115" i="27"/>
  <c r="AO115" i="27"/>
  <c r="AP115" i="27"/>
  <c r="BC115" i="27" s="1"/>
  <c r="AQ115" i="27"/>
  <c r="BD115" i="27" s="1"/>
  <c r="AR115" i="27"/>
  <c r="BE115" i="27" s="1"/>
  <c r="AS115" i="27"/>
  <c r="BF115" i="27" s="1"/>
  <c r="AT115" i="27"/>
  <c r="AV115" i="27"/>
  <c r="AY115" i="27"/>
  <c r="AZ115" i="27"/>
  <c r="BA115" i="27"/>
  <c r="BB115" i="27"/>
  <c r="BG115" i="27"/>
  <c r="H116" i="27"/>
  <c r="I116" i="27"/>
  <c r="Z116" i="27" s="1"/>
  <c r="J116" i="27"/>
  <c r="AA116" i="27" s="1"/>
  <c r="K116" i="27"/>
  <c r="AB116" i="27" s="1"/>
  <c r="L116" i="27"/>
  <c r="AC116" i="27" s="1"/>
  <c r="M116" i="27"/>
  <c r="AD116" i="27" s="1"/>
  <c r="N116" i="27"/>
  <c r="AE116" i="27" s="1"/>
  <c r="O116" i="27"/>
  <c r="AF116" i="27" s="1"/>
  <c r="P116" i="27"/>
  <c r="R116" i="27"/>
  <c r="AI116" i="27" s="1"/>
  <c r="S116" i="27"/>
  <c r="T116" i="27"/>
  <c r="U116" i="27"/>
  <c r="V116" i="27"/>
  <c r="Y116" i="27"/>
  <c r="AG116" i="27"/>
  <c r="AJ116" i="27"/>
  <c r="AL116" i="27"/>
  <c r="AM116" i="27"/>
  <c r="AN116" i="27"/>
  <c r="AO116" i="27"/>
  <c r="AP116" i="27"/>
  <c r="BC116" i="27" s="1"/>
  <c r="AQ116" i="27"/>
  <c r="BD116" i="27" s="1"/>
  <c r="AR116" i="27"/>
  <c r="BE116" i="27" s="1"/>
  <c r="AS116" i="27"/>
  <c r="BF116" i="27" s="1"/>
  <c r="AT116" i="27"/>
  <c r="AV116" i="27"/>
  <c r="AY116" i="27"/>
  <c r="AZ116" i="27"/>
  <c r="BA116" i="27"/>
  <c r="BB116" i="27"/>
  <c r="BG116" i="27"/>
  <c r="H117" i="27"/>
  <c r="I117" i="27"/>
  <c r="Z117" i="27" s="1"/>
  <c r="J117" i="27"/>
  <c r="AA117" i="27" s="1"/>
  <c r="K117" i="27"/>
  <c r="AB117" i="27" s="1"/>
  <c r="L117" i="27"/>
  <c r="AC117" i="27" s="1"/>
  <c r="M117" i="27"/>
  <c r="AD117" i="27" s="1"/>
  <c r="N117" i="27"/>
  <c r="AE117" i="27" s="1"/>
  <c r="O117" i="27"/>
  <c r="AF117" i="27" s="1"/>
  <c r="P117" i="27"/>
  <c r="R117" i="27"/>
  <c r="AI117" i="27" s="1"/>
  <c r="S117" i="27"/>
  <c r="T117" i="27"/>
  <c r="U117" i="27"/>
  <c r="V117" i="27"/>
  <c r="Y117" i="27"/>
  <c r="AG117" i="27"/>
  <c r="AJ117" i="27"/>
  <c r="AL117" i="27"/>
  <c r="AM117" i="27"/>
  <c r="AN117" i="27"/>
  <c r="AO117" i="27"/>
  <c r="AP117" i="27"/>
  <c r="BC117" i="27" s="1"/>
  <c r="AQ117" i="27"/>
  <c r="BD117" i="27" s="1"/>
  <c r="AR117" i="27"/>
  <c r="BE117" i="27" s="1"/>
  <c r="AS117" i="27"/>
  <c r="BF117" i="27" s="1"/>
  <c r="AT117" i="27"/>
  <c r="AV117" i="27"/>
  <c r="AY117" i="27"/>
  <c r="AZ117" i="27"/>
  <c r="BA117" i="27"/>
  <c r="BB117" i="27"/>
  <c r="BG117" i="27"/>
  <c r="H118" i="27"/>
  <c r="I118" i="27"/>
  <c r="Z118" i="27" s="1"/>
  <c r="J118" i="27"/>
  <c r="AA118" i="27" s="1"/>
  <c r="K118" i="27"/>
  <c r="AB118" i="27" s="1"/>
  <c r="L118" i="27"/>
  <c r="AC118" i="27" s="1"/>
  <c r="M118" i="27"/>
  <c r="AD118" i="27" s="1"/>
  <c r="N118" i="27"/>
  <c r="AE118" i="27" s="1"/>
  <c r="O118" i="27"/>
  <c r="AF118" i="27" s="1"/>
  <c r="P118" i="27"/>
  <c r="R118" i="27"/>
  <c r="AI118" i="27" s="1"/>
  <c r="S118" i="27"/>
  <c r="T118" i="27"/>
  <c r="U118" i="27"/>
  <c r="V118" i="27"/>
  <c r="Y118" i="27"/>
  <c r="AG118" i="27"/>
  <c r="AJ118" i="27"/>
  <c r="AL118" i="27"/>
  <c r="AM118" i="27"/>
  <c r="AN118" i="27"/>
  <c r="AO118" i="27"/>
  <c r="AP118" i="27"/>
  <c r="BC118" i="27" s="1"/>
  <c r="AQ118" i="27"/>
  <c r="BD118" i="27" s="1"/>
  <c r="AR118" i="27"/>
  <c r="BE118" i="27" s="1"/>
  <c r="AS118" i="27"/>
  <c r="BF118" i="27" s="1"/>
  <c r="AT118" i="27"/>
  <c r="AV118" i="27"/>
  <c r="AY118" i="27"/>
  <c r="AZ118" i="27"/>
  <c r="BA118" i="27"/>
  <c r="BB118" i="27"/>
  <c r="BG118" i="27"/>
  <c r="H119" i="27"/>
  <c r="I119" i="27"/>
  <c r="Z119" i="27" s="1"/>
  <c r="J119" i="27"/>
  <c r="AA119" i="27" s="1"/>
  <c r="K119" i="27"/>
  <c r="AB119" i="27" s="1"/>
  <c r="L119" i="27"/>
  <c r="AC119" i="27" s="1"/>
  <c r="M119" i="27"/>
  <c r="AD119" i="27" s="1"/>
  <c r="N119" i="27"/>
  <c r="AE119" i="27" s="1"/>
  <c r="O119" i="27"/>
  <c r="AF119" i="27" s="1"/>
  <c r="P119" i="27"/>
  <c r="R119" i="27"/>
  <c r="AI119" i="27" s="1"/>
  <c r="S119" i="27"/>
  <c r="T119" i="27"/>
  <c r="U119" i="27"/>
  <c r="V119" i="27"/>
  <c r="Y119" i="27"/>
  <c r="AG119" i="27"/>
  <c r="AJ119" i="27"/>
  <c r="AL119" i="27"/>
  <c r="AM119" i="27"/>
  <c r="AN119" i="27"/>
  <c r="AO119" i="27"/>
  <c r="AP119" i="27"/>
  <c r="BC119" i="27" s="1"/>
  <c r="AQ119" i="27"/>
  <c r="BD119" i="27" s="1"/>
  <c r="AR119" i="27"/>
  <c r="BE119" i="27" s="1"/>
  <c r="AS119" i="27"/>
  <c r="BF119" i="27" s="1"/>
  <c r="AT119" i="27"/>
  <c r="AV119" i="27"/>
  <c r="AY119" i="27"/>
  <c r="AZ119" i="27"/>
  <c r="BA119" i="27"/>
  <c r="BB119" i="27"/>
  <c r="BG119" i="27"/>
  <c r="H120" i="27"/>
  <c r="I120" i="27"/>
  <c r="J120" i="27"/>
  <c r="AA120" i="27" s="1"/>
  <c r="K120" i="27"/>
  <c r="AB120" i="27" s="1"/>
  <c r="L120" i="27"/>
  <c r="AC120" i="27" s="1"/>
  <c r="M120" i="27"/>
  <c r="AD120" i="27" s="1"/>
  <c r="N120" i="27"/>
  <c r="AE120" i="27" s="1"/>
  <c r="O120" i="27"/>
  <c r="AF120" i="27" s="1"/>
  <c r="P120" i="27"/>
  <c r="R120" i="27"/>
  <c r="S120" i="27"/>
  <c r="T120" i="27"/>
  <c r="U120" i="27"/>
  <c r="V120" i="27"/>
  <c r="Y120" i="27"/>
  <c r="Z120" i="27"/>
  <c r="AG120" i="27"/>
  <c r="AI120" i="27"/>
  <c r="AJ120" i="27"/>
  <c r="AL120" i="27"/>
  <c r="AY120" i="27" s="1"/>
  <c r="AM120" i="27"/>
  <c r="AN120" i="27"/>
  <c r="AO120" i="27"/>
  <c r="AP120" i="27"/>
  <c r="AQ120" i="27"/>
  <c r="BD120" i="27" s="1"/>
  <c r="AR120" i="27"/>
  <c r="BE120" i="27" s="1"/>
  <c r="AS120" i="27"/>
  <c r="BF120" i="27" s="1"/>
  <c r="AT120" i="27"/>
  <c r="BG120" i="27" s="1"/>
  <c r="AV120" i="27"/>
  <c r="AZ120" i="27"/>
  <c r="BA120" i="27"/>
  <c r="BB120" i="27"/>
  <c r="BC120" i="27"/>
  <c r="H121" i="27"/>
  <c r="I121" i="27"/>
  <c r="Z121" i="27" s="1"/>
  <c r="J121" i="27"/>
  <c r="AA121" i="27" s="1"/>
  <c r="K121" i="27"/>
  <c r="AB121" i="27" s="1"/>
  <c r="L121" i="27"/>
  <c r="AC121" i="27" s="1"/>
  <c r="M121" i="27"/>
  <c r="AD121" i="27" s="1"/>
  <c r="N121" i="27"/>
  <c r="AE121" i="27" s="1"/>
  <c r="O121" i="27"/>
  <c r="AF121" i="27" s="1"/>
  <c r="P121" i="27"/>
  <c r="R121" i="27"/>
  <c r="AI121" i="27" s="1"/>
  <c r="S121" i="27"/>
  <c r="T121" i="27"/>
  <c r="U121" i="27"/>
  <c r="V121" i="27"/>
  <c r="Y121" i="27"/>
  <c r="AG121" i="27"/>
  <c r="AJ121" i="27"/>
  <c r="AL121" i="27"/>
  <c r="AM121" i="27"/>
  <c r="AN121" i="27"/>
  <c r="AO121" i="27"/>
  <c r="AP121" i="27"/>
  <c r="BC121" i="27" s="1"/>
  <c r="AQ121" i="27"/>
  <c r="BD121" i="27" s="1"/>
  <c r="AR121" i="27"/>
  <c r="BE121" i="27" s="1"/>
  <c r="AS121" i="27"/>
  <c r="BF121" i="27" s="1"/>
  <c r="AT121" i="27"/>
  <c r="AV121" i="27"/>
  <c r="AY121" i="27"/>
  <c r="AZ121" i="27"/>
  <c r="BA121" i="27"/>
  <c r="BB121" i="27"/>
  <c r="BG121" i="27"/>
  <c r="H122" i="27"/>
  <c r="I122" i="27"/>
  <c r="Z122" i="27" s="1"/>
  <c r="J122" i="27"/>
  <c r="AA122" i="27" s="1"/>
  <c r="K122" i="27"/>
  <c r="AB122" i="27" s="1"/>
  <c r="L122" i="27"/>
  <c r="AC122" i="27" s="1"/>
  <c r="M122" i="27"/>
  <c r="AD122" i="27" s="1"/>
  <c r="N122" i="27"/>
  <c r="AE122" i="27" s="1"/>
  <c r="O122" i="27"/>
  <c r="AF122" i="27" s="1"/>
  <c r="P122" i="27"/>
  <c r="R122" i="27"/>
  <c r="AI122" i="27" s="1"/>
  <c r="S122" i="27"/>
  <c r="T122" i="27"/>
  <c r="U122" i="27"/>
  <c r="V122" i="27"/>
  <c r="Y122" i="27"/>
  <c r="AG122" i="27"/>
  <c r="AJ122" i="27"/>
  <c r="AL122" i="27"/>
  <c r="AM122" i="27"/>
  <c r="AN122" i="27"/>
  <c r="AO122" i="27"/>
  <c r="AP122" i="27"/>
  <c r="BC122" i="27" s="1"/>
  <c r="AQ122" i="27"/>
  <c r="BD122" i="27" s="1"/>
  <c r="AR122" i="27"/>
  <c r="BE122" i="27" s="1"/>
  <c r="AS122" i="27"/>
  <c r="BF122" i="27" s="1"/>
  <c r="AT122" i="27"/>
  <c r="AV122" i="27"/>
  <c r="AY122" i="27"/>
  <c r="AZ122" i="27"/>
  <c r="BA122" i="27"/>
  <c r="BB122" i="27"/>
  <c r="BG122" i="27"/>
  <c r="H123" i="27"/>
  <c r="I123" i="27"/>
  <c r="J123" i="27"/>
  <c r="AA123" i="27" s="1"/>
  <c r="K123" i="27"/>
  <c r="AB123" i="27" s="1"/>
  <c r="L123" i="27"/>
  <c r="AC123" i="27" s="1"/>
  <c r="M123" i="27"/>
  <c r="AD123" i="27" s="1"/>
  <c r="N123" i="27"/>
  <c r="AE123" i="27" s="1"/>
  <c r="O123" i="27"/>
  <c r="AF123" i="27" s="1"/>
  <c r="P123" i="27"/>
  <c r="R123" i="27"/>
  <c r="S123" i="27"/>
  <c r="T123" i="27"/>
  <c r="U123" i="27"/>
  <c r="V123" i="27"/>
  <c r="Y123" i="27"/>
  <c r="Z123" i="27"/>
  <c r="AG123" i="27"/>
  <c r="AI123" i="27"/>
  <c r="AJ123" i="27"/>
  <c r="AL123" i="27"/>
  <c r="AM123" i="27"/>
  <c r="AN123" i="27"/>
  <c r="AO123" i="27"/>
  <c r="AP123" i="27"/>
  <c r="BC123" i="27" s="1"/>
  <c r="AQ123" i="27"/>
  <c r="BD123" i="27" s="1"/>
  <c r="AR123" i="27"/>
  <c r="BE123" i="27" s="1"/>
  <c r="AS123" i="27"/>
  <c r="BF123" i="27" s="1"/>
  <c r="AT123" i="27"/>
  <c r="AV123" i="27"/>
  <c r="AY123" i="27"/>
  <c r="AZ123" i="27"/>
  <c r="BA123" i="27"/>
  <c r="BB123" i="27"/>
  <c r="BG123" i="27"/>
  <c r="H124" i="27"/>
  <c r="I124" i="27"/>
  <c r="J124" i="27"/>
  <c r="AA124" i="27" s="1"/>
  <c r="K124" i="27"/>
  <c r="AB124" i="27" s="1"/>
  <c r="L124" i="27"/>
  <c r="AC124" i="27" s="1"/>
  <c r="M124" i="27"/>
  <c r="AD124" i="27" s="1"/>
  <c r="N124" i="27"/>
  <c r="AE124" i="27" s="1"/>
  <c r="O124" i="27"/>
  <c r="AF124" i="27" s="1"/>
  <c r="P124" i="27"/>
  <c r="R124" i="27"/>
  <c r="S124" i="27"/>
  <c r="T124" i="27"/>
  <c r="U124" i="27"/>
  <c r="V124" i="27"/>
  <c r="Y124" i="27"/>
  <c r="Z124" i="27"/>
  <c r="AG124" i="27"/>
  <c r="AI124" i="27"/>
  <c r="AJ124" i="27"/>
  <c r="AL124" i="27"/>
  <c r="AM124" i="27"/>
  <c r="AN124" i="27"/>
  <c r="AO124" i="27"/>
  <c r="AP124" i="27"/>
  <c r="BC124" i="27" s="1"/>
  <c r="AQ124" i="27"/>
  <c r="BD124" i="27" s="1"/>
  <c r="AR124" i="27"/>
  <c r="BE124" i="27" s="1"/>
  <c r="AS124" i="27"/>
  <c r="BF124" i="27" s="1"/>
  <c r="AT124" i="27"/>
  <c r="BG124" i="27" s="1"/>
  <c r="AV124" i="27"/>
  <c r="AY124" i="27"/>
  <c r="AZ124" i="27"/>
  <c r="BA124" i="27"/>
  <c r="BB124" i="27"/>
  <c r="H125" i="27"/>
  <c r="I125" i="27"/>
  <c r="J125" i="27"/>
  <c r="AA125" i="27" s="1"/>
  <c r="K125" i="27"/>
  <c r="AB125" i="27" s="1"/>
  <c r="L125" i="27"/>
  <c r="AC125" i="27" s="1"/>
  <c r="M125" i="27"/>
  <c r="AD125" i="27" s="1"/>
  <c r="N125" i="27"/>
  <c r="AE125" i="27" s="1"/>
  <c r="O125" i="27"/>
  <c r="AF125" i="27" s="1"/>
  <c r="P125" i="27"/>
  <c r="R125" i="27"/>
  <c r="S125" i="27"/>
  <c r="T125" i="27"/>
  <c r="U125" i="27"/>
  <c r="V125" i="27"/>
  <c r="Y125" i="27"/>
  <c r="Z125" i="27"/>
  <c r="AG125" i="27"/>
  <c r="AI125" i="27"/>
  <c r="AJ125" i="27"/>
  <c r="AL125" i="27"/>
  <c r="AM125" i="27"/>
  <c r="AN125" i="27"/>
  <c r="AO125" i="27"/>
  <c r="AP125" i="27"/>
  <c r="BC125" i="27" s="1"/>
  <c r="AQ125" i="27"/>
  <c r="BD125" i="27" s="1"/>
  <c r="AR125" i="27"/>
  <c r="BE125" i="27" s="1"/>
  <c r="AS125" i="27"/>
  <c r="BF125" i="27" s="1"/>
  <c r="AT125" i="27"/>
  <c r="AV125" i="27"/>
  <c r="AY125" i="27"/>
  <c r="AZ125" i="27"/>
  <c r="BA125" i="27"/>
  <c r="BB125" i="27"/>
  <c r="BG125" i="27"/>
  <c r="H126" i="27"/>
  <c r="I126" i="27"/>
  <c r="Z126" i="27" s="1"/>
  <c r="J126" i="27"/>
  <c r="AA126" i="27" s="1"/>
  <c r="K126" i="27"/>
  <c r="AB126" i="27" s="1"/>
  <c r="L126" i="27"/>
  <c r="AC126" i="27" s="1"/>
  <c r="M126" i="27"/>
  <c r="AD126" i="27" s="1"/>
  <c r="N126" i="27"/>
  <c r="AE126" i="27" s="1"/>
  <c r="O126" i="27"/>
  <c r="AF126" i="27" s="1"/>
  <c r="P126" i="27"/>
  <c r="R126" i="27"/>
  <c r="AI126" i="27" s="1"/>
  <c r="S126" i="27"/>
  <c r="T126" i="27"/>
  <c r="U126" i="27"/>
  <c r="V126" i="27"/>
  <c r="Y126" i="27"/>
  <c r="AG126" i="27"/>
  <c r="AJ126" i="27"/>
  <c r="AL126" i="27"/>
  <c r="AM126" i="27"/>
  <c r="AN126" i="27"/>
  <c r="AO126" i="27"/>
  <c r="AP126" i="27"/>
  <c r="BC126" i="27" s="1"/>
  <c r="AQ126" i="27"/>
  <c r="BD126" i="27" s="1"/>
  <c r="AR126" i="27"/>
  <c r="BE126" i="27" s="1"/>
  <c r="AS126" i="27"/>
  <c r="BF126" i="27" s="1"/>
  <c r="AT126" i="27"/>
  <c r="AV126" i="27"/>
  <c r="AY126" i="27"/>
  <c r="AZ126" i="27"/>
  <c r="BA126" i="27"/>
  <c r="BB126" i="27"/>
  <c r="BG126" i="27"/>
  <c r="H127" i="27"/>
  <c r="I127" i="27"/>
  <c r="J127" i="27"/>
  <c r="AA127" i="27" s="1"/>
  <c r="K127" i="27"/>
  <c r="AB127" i="27" s="1"/>
  <c r="L127" i="27"/>
  <c r="AC127" i="27" s="1"/>
  <c r="M127" i="27"/>
  <c r="AD127" i="27" s="1"/>
  <c r="N127" i="27"/>
  <c r="AE127" i="27" s="1"/>
  <c r="O127" i="27"/>
  <c r="AF127" i="27" s="1"/>
  <c r="P127" i="27"/>
  <c r="R127" i="27"/>
  <c r="S127" i="27"/>
  <c r="T127" i="27"/>
  <c r="U127" i="27"/>
  <c r="V127" i="27"/>
  <c r="Y127" i="27"/>
  <c r="Z127" i="27"/>
  <c r="AG127" i="27"/>
  <c r="AI127" i="27"/>
  <c r="AJ127" i="27"/>
  <c r="AL127" i="27"/>
  <c r="AM127" i="27"/>
  <c r="AN127" i="27"/>
  <c r="AO127" i="27"/>
  <c r="AP127" i="27"/>
  <c r="BC127" i="27" s="1"/>
  <c r="AQ127" i="27"/>
  <c r="BD127" i="27" s="1"/>
  <c r="AR127" i="27"/>
  <c r="BE127" i="27" s="1"/>
  <c r="AS127" i="27"/>
  <c r="BF127" i="27" s="1"/>
  <c r="AT127" i="27"/>
  <c r="AV127" i="27"/>
  <c r="AY127" i="27"/>
  <c r="AZ127" i="27"/>
  <c r="BA127" i="27"/>
  <c r="BB127" i="27"/>
  <c r="BG127" i="27"/>
  <c r="H128" i="27"/>
  <c r="I128" i="27"/>
  <c r="Z128" i="27" s="1"/>
  <c r="J128" i="27"/>
  <c r="AA128" i="27" s="1"/>
  <c r="K128" i="27"/>
  <c r="AB128" i="27" s="1"/>
  <c r="L128" i="27"/>
  <c r="AC128" i="27" s="1"/>
  <c r="M128" i="27"/>
  <c r="AD128" i="27" s="1"/>
  <c r="N128" i="27"/>
  <c r="AE128" i="27" s="1"/>
  <c r="O128" i="27"/>
  <c r="AF128" i="27" s="1"/>
  <c r="P128" i="27"/>
  <c r="R128" i="27"/>
  <c r="AI128" i="27" s="1"/>
  <c r="S128" i="27"/>
  <c r="T128" i="27"/>
  <c r="U128" i="27"/>
  <c r="V128" i="27"/>
  <c r="Y128" i="27"/>
  <c r="AG128" i="27"/>
  <c r="AJ128" i="27"/>
  <c r="AL128" i="27"/>
  <c r="AM128" i="27"/>
  <c r="AN128" i="27"/>
  <c r="AO128" i="27"/>
  <c r="AP128" i="27"/>
  <c r="BC128" i="27" s="1"/>
  <c r="AQ128" i="27"/>
  <c r="BD128" i="27" s="1"/>
  <c r="AR128" i="27"/>
  <c r="BE128" i="27" s="1"/>
  <c r="AS128" i="27"/>
  <c r="BF128" i="27" s="1"/>
  <c r="AT128" i="27"/>
  <c r="AV128" i="27"/>
  <c r="AY128" i="27"/>
  <c r="AZ128" i="27"/>
  <c r="BA128" i="27"/>
  <c r="BB128" i="27"/>
  <c r="BG128" i="27"/>
  <c r="H129" i="27"/>
  <c r="I129" i="27"/>
  <c r="Z129" i="27" s="1"/>
  <c r="J129" i="27"/>
  <c r="AA129" i="27" s="1"/>
  <c r="K129" i="27"/>
  <c r="AB129" i="27" s="1"/>
  <c r="L129" i="27"/>
  <c r="AC129" i="27" s="1"/>
  <c r="M129" i="27"/>
  <c r="AD129" i="27" s="1"/>
  <c r="N129" i="27"/>
  <c r="AE129" i="27" s="1"/>
  <c r="O129" i="27"/>
  <c r="AF129" i="27" s="1"/>
  <c r="P129" i="27"/>
  <c r="R129" i="27"/>
  <c r="AI129" i="27" s="1"/>
  <c r="S129" i="27"/>
  <c r="T129" i="27"/>
  <c r="U129" i="27"/>
  <c r="V129" i="27"/>
  <c r="Y129" i="27"/>
  <c r="AG129" i="27"/>
  <c r="AJ129" i="27"/>
  <c r="AL129" i="27"/>
  <c r="AM129" i="27"/>
  <c r="AN129" i="27"/>
  <c r="AO129" i="27"/>
  <c r="AP129" i="27"/>
  <c r="BC129" i="27" s="1"/>
  <c r="AQ129" i="27"/>
  <c r="BD129" i="27" s="1"/>
  <c r="AR129" i="27"/>
  <c r="BE129" i="27" s="1"/>
  <c r="AS129" i="27"/>
  <c r="BF129" i="27" s="1"/>
  <c r="AT129" i="27"/>
  <c r="AV129" i="27"/>
  <c r="AY129" i="27"/>
  <c r="AZ129" i="27"/>
  <c r="BA129" i="27"/>
  <c r="BB129" i="27"/>
  <c r="BG129" i="27"/>
  <c r="H130" i="27"/>
  <c r="I130" i="27"/>
  <c r="Z130" i="27" s="1"/>
  <c r="J130" i="27"/>
  <c r="AA130" i="27" s="1"/>
  <c r="K130" i="27"/>
  <c r="AB130" i="27" s="1"/>
  <c r="L130" i="27"/>
  <c r="AC130" i="27" s="1"/>
  <c r="M130" i="27"/>
  <c r="AD130" i="27" s="1"/>
  <c r="N130" i="27"/>
  <c r="AE130" i="27" s="1"/>
  <c r="O130" i="27"/>
  <c r="AF130" i="27" s="1"/>
  <c r="P130" i="27"/>
  <c r="R130" i="27"/>
  <c r="AI130" i="27" s="1"/>
  <c r="S130" i="27"/>
  <c r="T130" i="27"/>
  <c r="U130" i="27"/>
  <c r="V130" i="27"/>
  <c r="Y130" i="27"/>
  <c r="AG130" i="27"/>
  <c r="AJ130" i="27"/>
  <c r="AL130" i="27"/>
  <c r="AM130" i="27"/>
  <c r="AN130" i="27"/>
  <c r="AO130" i="27"/>
  <c r="AP130" i="27"/>
  <c r="BC130" i="27" s="1"/>
  <c r="AQ130" i="27"/>
  <c r="BD130" i="27" s="1"/>
  <c r="AR130" i="27"/>
  <c r="BE130" i="27" s="1"/>
  <c r="AS130" i="27"/>
  <c r="BF130" i="27" s="1"/>
  <c r="AT130" i="27"/>
  <c r="AV130" i="27"/>
  <c r="AY130" i="27"/>
  <c r="AZ130" i="27"/>
  <c r="BA130" i="27"/>
  <c r="BB130" i="27"/>
  <c r="BG130" i="27"/>
  <c r="H131" i="27"/>
  <c r="I131" i="27"/>
  <c r="Z131" i="27" s="1"/>
  <c r="J131" i="27"/>
  <c r="AA131" i="27" s="1"/>
  <c r="K131" i="27"/>
  <c r="AB131" i="27" s="1"/>
  <c r="L131" i="27"/>
  <c r="AC131" i="27" s="1"/>
  <c r="M131" i="27"/>
  <c r="AD131" i="27" s="1"/>
  <c r="N131" i="27"/>
  <c r="AE131" i="27" s="1"/>
  <c r="O131" i="27"/>
  <c r="AF131" i="27" s="1"/>
  <c r="P131" i="27"/>
  <c r="R131" i="27"/>
  <c r="AI131" i="27" s="1"/>
  <c r="S131" i="27"/>
  <c r="T131" i="27"/>
  <c r="U131" i="27"/>
  <c r="V131" i="27"/>
  <c r="Y131" i="27"/>
  <c r="AG131" i="27"/>
  <c r="AJ131" i="27"/>
  <c r="AL131" i="27"/>
  <c r="AM131" i="27"/>
  <c r="AN131" i="27"/>
  <c r="AO131" i="27"/>
  <c r="AP131" i="27"/>
  <c r="BC131" i="27" s="1"/>
  <c r="AQ131" i="27"/>
  <c r="BD131" i="27" s="1"/>
  <c r="AR131" i="27"/>
  <c r="BE131" i="27" s="1"/>
  <c r="AS131" i="27"/>
  <c r="BF131" i="27" s="1"/>
  <c r="AT131" i="27"/>
  <c r="AV131" i="27"/>
  <c r="AY131" i="27"/>
  <c r="AZ131" i="27"/>
  <c r="BA131" i="27"/>
  <c r="BB131" i="27"/>
  <c r="BG131" i="27"/>
  <c r="H132" i="27"/>
  <c r="I132" i="27"/>
  <c r="Z132" i="27" s="1"/>
  <c r="J132" i="27"/>
  <c r="AA132" i="27" s="1"/>
  <c r="K132" i="27"/>
  <c r="AB132" i="27" s="1"/>
  <c r="L132" i="27"/>
  <c r="AC132" i="27" s="1"/>
  <c r="M132" i="27"/>
  <c r="AD132" i="27" s="1"/>
  <c r="N132" i="27"/>
  <c r="AE132" i="27" s="1"/>
  <c r="O132" i="27"/>
  <c r="AF132" i="27" s="1"/>
  <c r="P132" i="27"/>
  <c r="R132" i="27"/>
  <c r="AI132" i="27" s="1"/>
  <c r="S132" i="27"/>
  <c r="T132" i="27"/>
  <c r="U132" i="27"/>
  <c r="V132" i="27"/>
  <c r="Y132" i="27"/>
  <c r="AG132" i="27"/>
  <c r="AJ132" i="27"/>
  <c r="AL132" i="27"/>
  <c r="AM132" i="27"/>
  <c r="AN132" i="27"/>
  <c r="AO132" i="27"/>
  <c r="AP132" i="27"/>
  <c r="BC132" i="27" s="1"/>
  <c r="AQ132" i="27"/>
  <c r="BD132" i="27" s="1"/>
  <c r="AR132" i="27"/>
  <c r="BE132" i="27" s="1"/>
  <c r="AS132" i="27"/>
  <c r="BF132" i="27" s="1"/>
  <c r="AT132" i="27"/>
  <c r="AV132" i="27"/>
  <c r="AY132" i="27"/>
  <c r="AZ132" i="27"/>
  <c r="BA132" i="27"/>
  <c r="BB132" i="27"/>
  <c r="BG132" i="27"/>
  <c r="H133" i="27"/>
  <c r="I133" i="27"/>
  <c r="Z133" i="27" s="1"/>
  <c r="J133" i="27"/>
  <c r="AA133" i="27" s="1"/>
  <c r="K133" i="27"/>
  <c r="AB133" i="27" s="1"/>
  <c r="L133" i="27"/>
  <c r="AC133" i="27" s="1"/>
  <c r="M133" i="27"/>
  <c r="AD133" i="27" s="1"/>
  <c r="N133" i="27"/>
  <c r="AE133" i="27" s="1"/>
  <c r="O133" i="27"/>
  <c r="AF133" i="27" s="1"/>
  <c r="P133" i="27"/>
  <c r="R133" i="27"/>
  <c r="AI133" i="27" s="1"/>
  <c r="S133" i="27"/>
  <c r="T133" i="27"/>
  <c r="U133" i="27"/>
  <c r="V133" i="27"/>
  <c r="Y133" i="27"/>
  <c r="AG133" i="27"/>
  <c r="AJ133" i="27"/>
  <c r="AL133" i="27"/>
  <c r="AM133" i="27"/>
  <c r="AN133" i="27"/>
  <c r="AO133" i="27"/>
  <c r="AP133" i="27"/>
  <c r="BC133" i="27" s="1"/>
  <c r="AQ133" i="27"/>
  <c r="BD133" i="27" s="1"/>
  <c r="AR133" i="27"/>
  <c r="BE133" i="27" s="1"/>
  <c r="AS133" i="27"/>
  <c r="BF133" i="27" s="1"/>
  <c r="AT133" i="27"/>
  <c r="AV133" i="27"/>
  <c r="AY133" i="27"/>
  <c r="AZ133" i="27"/>
  <c r="BA133" i="27"/>
  <c r="BB133" i="27"/>
  <c r="BG133" i="27"/>
  <c r="H134" i="27"/>
  <c r="I134" i="27"/>
  <c r="Z134" i="27" s="1"/>
  <c r="J134" i="27"/>
  <c r="AA134" i="27" s="1"/>
  <c r="K134" i="27"/>
  <c r="AB134" i="27" s="1"/>
  <c r="L134" i="27"/>
  <c r="AC134" i="27" s="1"/>
  <c r="M134" i="27"/>
  <c r="AD134" i="27" s="1"/>
  <c r="N134" i="27"/>
  <c r="AE134" i="27" s="1"/>
  <c r="O134" i="27"/>
  <c r="AF134" i="27" s="1"/>
  <c r="P134" i="27"/>
  <c r="R134" i="27"/>
  <c r="AI134" i="27" s="1"/>
  <c r="S134" i="27"/>
  <c r="T134" i="27"/>
  <c r="U134" i="27"/>
  <c r="V134" i="27"/>
  <c r="Y134" i="27"/>
  <c r="AG134" i="27"/>
  <c r="AJ134" i="27"/>
  <c r="AL134" i="27"/>
  <c r="AM134" i="27"/>
  <c r="AN134" i="27"/>
  <c r="AO134" i="27"/>
  <c r="AP134" i="27"/>
  <c r="BC134" i="27" s="1"/>
  <c r="AQ134" i="27"/>
  <c r="BD134" i="27" s="1"/>
  <c r="AR134" i="27"/>
  <c r="BE134" i="27" s="1"/>
  <c r="AS134" i="27"/>
  <c r="BF134" i="27" s="1"/>
  <c r="AT134" i="27"/>
  <c r="AV134" i="27"/>
  <c r="AY134" i="27"/>
  <c r="AZ134" i="27"/>
  <c r="BA134" i="27"/>
  <c r="BB134" i="27"/>
  <c r="BG134" i="27"/>
  <c r="H135" i="27"/>
  <c r="I135" i="27"/>
  <c r="Z135" i="27" s="1"/>
  <c r="J135" i="27"/>
  <c r="AA135" i="27" s="1"/>
  <c r="K135" i="27"/>
  <c r="AB135" i="27" s="1"/>
  <c r="L135" i="27"/>
  <c r="AC135" i="27" s="1"/>
  <c r="M135" i="27"/>
  <c r="AD135" i="27" s="1"/>
  <c r="N135" i="27"/>
  <c r="AE135" i="27" s="1"/>
  <c r="O135" i="27"/>
  <c r="AF135" i="27" s="1"/>
  <c r="P135" i="27"/>
  <c r="R135" i="27"/>
  <c r="AI135" i="27" s="1"/>
  <c r="S135" i="27"/>
  <c r="T135" i="27"/>
  <c r="U135" i="27"/>
  <c r="V135" i="27"/>
  <c r="Y135" i="27"/>
  <c r="AG135" i="27"/>
  <c r="AJ135" i="27"/>
  <c r="AL135" i="27"/>
  <c r="AM135" i="27"/>
  <c r="AN135" i="27"/>
  <c r="AO135" i="27"/>
  <c r="AP135" i="27"/>
  <c r="BC135" i="27" s="1"/>
  <c r="AQ135" i="27"/>
  <c r="BD135" i="27" s="1"/>
  <c r="AR135" i="27"/>
  <c r="BE135" i="27" s="1"/>
  <c r="AS135" i="27"/>
  <c r="BF135" i="27" s="1"/>
  <c r="AT135" i="27"/>
  <c r="AV135" i="27"/>
  <c r="AY135" i="27"/>
  <c r="AZ135" i="27"/>
  <c r="BA135" i="27"/>
  <c r="BB135" i="27"/>
  <c r="BG135" i="27"/>
  <c r="H136" i="27"/>
  <c r="I136" i="27"/>
  <c r="J136" i="27"/>
  <c r="K136" i="27"/>
  <c r="AB136" i="27" s="1"/>
  <c r="L136" i="27"/>
  <c r="AC136" i="27" s="1"/>
  <c r="M136" i="27"/>
  <c r="AD136" i="27" s="1"/>
  <c r="N136" i="27"/>
  <c r="AE136" i="27" s="1"/>
  <c r="O136" i="27"/>
  <c r="AF136" i="27" s="1"/>
  <c r="P136" i="27"/>
  <c r="R136" i="27"/>
  <c r="S136" i="27"/>
  <c r="T136" i="27"/>
  <c r="U136" i="27"/>
  <c r="V136" i="27"/>
  <c r="Y136" i="27"/>
  <c r="Z136" i="27"/>
  <c r="AA136" i="27"/>
  <c r="AG136" i="27"/>
  <c r="AI136" i="27"/>
  <c r="AJ136" i="27"/>
  <c r="AL136" i="27"/>
  <c r="AM136" i="27"/>
  <c r="AN136" i="27"/>
  <c r="AO136" i="27"/>
  <c r="AP136" i="27"/>
  <c r="BC136" i="27" s="1"/>
  <c r="AQ136" i="27"/>
  <c r="BD136" i="27" s="1"/>
  <c r="AR136" i="27"/>
  <c r="BE136" i="27" s="1"/>
  <c r="AS136" i="27"/>
  <c r="BF136" i="27" s="1"/>
  <c r="AT136" i="27"/>
  <c r="AV136" i="27"/>
  <c r="AY136" i="27"/>
  <c r="AZ136" i="27"/>
  <c r="BA136" i="27"/>
  <c r="BB136" i="27"/>
  <c r="BG136" i="27"/>
  <c r="H137" i="27"/>
  <c r="I137" i="27"/>
  <c r="J137" i="27"/>
  <c r="AA137" i="27" s="1"/>
  <c r="K137" i="27"/>
  <c r="AB137" i="27" s="1"/>
  <c r="L137" i="27"/>
  <c r="AC137" i="27" s="1"/>
  <c r="M137" i="27"/>
  <c r="AD137" i="27" s="1"/>
  <c r="N137" i="27"/>
  <c r="AE137" i="27" s="1"/>
  <c r="O137" i="27"/>
  <c r="AF137" i="27" s="1"/>
  <c r="P137" i="27"/>
  <c r="R137" i="27"/>
  <c r="S137" i="27"/>
  <c r="T137" i="27"/>
  <c r="U137" i="27"/>
  <c r="V137" i="27"/>
  <c r="Y137" i="27"/>
  <c r="Z137" i="27"/>
  <c r="AG137" i="27"/>
  <c r="AI137" i="27"/>
  <c r="AJ137" i="27"/>
  <c r="AL137" i="27"/>
  <c r="AM137" i="27"/>
  <c r="AN137" i="27"/>
  <c r="AO137" i="27"/>
  <c r="AP137" i="27"/>
  <c r="BC137" i="27" s="1"/>
  <c r="AQ137" i="27"/>
  <c r="BD137" i="27" s="1"/>
  <c r="AR137" i="27"/>
  <c r="BE137" i="27" s="1"/>
  <c r="AS137" i="27"/>
  <c r="BF137" i="27" s="1"/>
  <c r="AT137" i="27"/>
  <c r="AV137" i="27"/>
  <c r="AY137" i="27"/>
  <c r="AZ137" i="27"/>
  <c r="BA137" i="27"/>
  <c r="BB137" i="27"/>
  <c r="BG137" i="27"/>
  <c r="H138" i="27"/>
  <c r="I138" i="27"/>
  <c r="Z138" i="27" s="1"/>
  <c r="J138" i="27"/>
  <c r="AA138" i="27" s="1"/>
  <c r="K138" i="27"/>
  <c r="AB138" i="27" s="1"/>
  <c r="L138" i="27"/>
  <c r="AC138" i="27" s="1"/>
  <c r="M138" i="27"/>
  <c r="AD138" i="27" s="1"/>
  <c r="N138" i="27"/>
  <c r="AE138" i="27" s="1"/>
  <c r="O138" i="27"/>
  <c r="AF138" i="27" s="1"/>
  <c r="P138" i="27"/>
  <c r="R138" i="27"/>
  <c r="AI138" i="27" s="1"/>
  <c r="S138" i="27"/>
  <c r="T138" i="27"/>
  <c r="U138" i="27"/>
  <c r="V138" i="27"/>
  <c r="Y138" i="27"/>
  <c r="AG138" i="27"/>
  <c r="AJ138" i="27"/>
  <c r="AL138" i="27"/>
  <c r="AM138" i="27"/>
  <c r="AN138" i="27"/>
  <c r="AO138" i="27"/>
  <c r="AP138" i="27"/>
  <c r="BC138" i="27" s="1"/>
  <c r="AQ138" i="27"/>
  <c r="BD138" i="27" s="1"/>
  <c r="AR138" i="27"/>
  <c r="BE138" i="27" s="1"/>
  <c r="AS138" i="27"/>
  <c r="BF138" i="27" s="1"/>
  <c r="AT138" i="27"/>
  <c r="AV138" i="27"/>
  <c r="AY138" i="27"/>
  <c r="AZ138" i="27"/>
  <c r="BA138" i="27"/>
  <c r="BB138" i="27"/>
  <c r="BG138" i="27"/>
  <c r="H139" i="27"/>
  <c r="I139" i="27"/>
  <c r="Z139" i="27" s="1"/>
  <c r="J139" i="27"/>
  <c r="AA139" i="27" s="1"/>
  <c r="K139" i="27"/>
  <c r="AB139" i="27" s="1"/>
  <c r="L139" i="27"/>
  <c r="AC139" i="27" s="1"/>
  <c r="M139" i="27"/>
  <c r="AD139" i="27" s="1"/>
  <c r="N139" i="27"/>
  <c r="AE139" i="27" s="1"/>
  <c r="O139" i="27"/>
  <c r="AF139" i="27" s="1"/>
  <c r="P139" i="27"/>
  <c r="R139" i="27"/>
  <c r="AI139" i="27" s="1"/>
  <c r="S139" i="27"/>
  <c r="T139" i="27"/>
  <c r="U139" i="27"/>
  <c r="V139" i="27"/>
  <c r="Y139" i="27"/>
  <c r="AG139" i="27"/>
  <c r="AJ139" i="27"/>
  <c r="AL139" i="27"/>
  <c r="AM139" i="27"/>
  <c r="AN139" i="27"/>
  <c r="AO139" i="27"/>
  <c r="AP139" i="27"/>
  <c r="BC139" i="27" s="1"/>
  <c r="AQ139" i="27"/>
  <c r="BD139" i="27" s="1"/>
  <c r="AR139" i="27"/>
  <c r="BE139" i="27" s="1"/>
  <c r="AS139" i="27"/>
  <c r="BF139" i="27" s="1"/>
  <c r="AT139" i="27"/>
  <c r="AV139" i="27"/>
  <c r="AY139" i="27"/>
  <c r="AZ139" i="27"/>
  <c r="BA139" i="27"/>
  <c r="BB139" i="27"/>
  <c r="BG139" i="27"/>
  <c r="H140" i="27"/>
  <c r="I140" i="27"/>
  <c r="Z140" i="27" s="1"/>
  <c r="J140" i="27"/>
  <c r="AA140" i="27" s="1"/>
  <c r="K140" i="27"/>
  <c r="AB140" i="27" s="1"/>
  <c r="L140" i="27"/>
  <c r="AC140" i="27" s="1"/>
  <c r="M140" i="27"/>
  <c r="AD140" i="27" s="1"/>
  <c r="N140" i="27"/>
  <c r="AE140" i="27" s="1"/>
  <c r="O140" i="27"/>
  <c r="AF140" i="27" s="1"/>
  <c r="P140" i="27"/>
  <c r="R140" i="27"/>
  <c r="AI140" i="27" s="1"/>
  <c r="S140" i="27"/>
  <c r="T140" i="27"/>
  <c r="U140" i="27"/>
  <c r="V140" i="27"/>
  <c r="Y140" i="27"/>
  <c r="AG140" i="27"/>
  <c r="AJ140" i="27"/>
  <c r="AL140" i="27"/>
  <c r="AM140" i="27"/>
  <c r="AN140" i="27"/>
  <c r="AO140" i="27"/>
  <c r="AP140" i="27"/>
  <c r="BC140" i="27" s="1"/>
  <c r="AQ140" i="27"/>
  <c r="BD140" i="27" s="1"/>
  <c r="AR140" i="27"/>
  <c r="BE140" i="27" s="1"/>
  <c r="AS140" i="27"/>
  <c r="BF140" i="27" s="1"/>
  <c r="AT140" i="27"/>
  <c r="AV140" i="27"/>
  <c r="AY140" i="27"/>
  <c r="AZ140" i="27"/>
  <c r="BA140" i="27"/>
  <c r="BB140" i="27"/>
  <c r="BG140" i="27"/>
  <c r="H141" i="27"/>
  <c r="I141" i="27"/>
  <c r="Z141" i="27" s="1"/>
  <c r="J141" i="27"/>
  <c r="AA141" i="27" s="1"/>
  <c r="K141" i="27"/>
  <c r="AB141" i="27" s="1"/>
  <c r="L141" i="27"/>
  <c r="AC141" i="27" s="1"/>
  <c r="M141" i="27"/>
  <c r="AD141" i="27" s="1"/>
  <c r="N141" i="27"/>
  <c r="AE141" i="27" s="1"/>
  <c r="O141" i="27"/>
  <c r="AF141" i="27" s="1"/>
  <c r="P141" i="27"/>
  <c r="R141" i="27"/>
  <c r="AI141" i="27" s="1"/>
  <c r="S141" i="27"/>
  <c r="T141" i="27"/>
  <c r="U141" i="27"/>
  <c r="V141" i="27"/>
  <c r="Y141" i="27"/>
  <c r="AG141" i="27"/>
  <c r="AJ141" i="27"/>
  <c r="AL141" i="27"/>
  <c r="AM141" i="27"/>
  <c r="AN141" i="27"/>
  <c r="AO141" i="27"/>
  <c r="AP141" i="27"/>
  <c r="BC141" i="27" s="1"/>
  <c r="AQ141" i="27"/>
  <c r="BD141" i="27" s="1"/>
  <c r="AR141" i="27"/>
  <c r="BE141" i="27" s="1"/>
  <c r="AS141" i="27"/>
  <c r="BF141" i="27" s="1"/>
  <c r="AT141" i="27"/>
  <c r="AV141" i="27"/>
  <c r="AY141" i="27"/>
  <c r="AZ141" i="27"/>
  <c r="BA141" i="27"/>
  <c r="BB141" i="27"/>
  <c r="BG141" i="27"/>
  <c r="H142" i="27"/>
  <c r="I142" i="27"/>
  <c r="Z142" i="27" s="1"/>
  <c r="J142" i="27"/>
  <c r="AA142" i="27" s="1"/>
  <c r="K142" i="27"/>
  <c r="AB142" i="27" s="1"/>
  <c r="L142" i="27"/>
  <c r="AC142" i="27" s="1"/>
  <c r="M142" i="27"/>
  <c r="AD142" i="27" s="1"/>
  <c r="N142" i="27"/>
  <c r="AE142" i="27" s="1"/>
  <c r="O142" i="27"/>
  <c r="AF142" i="27" s="1"/>
  <c r="P142" i="27"/>
  <c r="R142" i="27"/>
  <c r="AI142" i="27" s="1"/>
  <c r="S142" i="27"/>
  <c r="T142" i="27"/>
  <c r="U142" i="27"/>
  <c r="V142" i="27"/>
  <c r="Y142" i="27"/>
  <c r="AG142" i="27"/>
  <c r="AJ142" i="27"/>
  <c r="AL142" i="27"/>
  <c r="AM142" i="27"/>
  <c r="AN142" i="27"/>
  <c r="AO142" i="27"/>
  <c r="AP142" i="27"/>
  <c r="BC142" i="27" s="1"/>
  <c r="AQ142" i="27"/>
  <c r="BD142" i="27" s="1"/>
  <c r="AR142" i="27"/>
  <c r="BE142" i="27" s="1"/>
  <c r="AS142" i="27"/>
  <c r="BF142" i="27" s="1"/>
  <c r="AT142" i="27"/>
  <c r="AV142" i="27"/>
  <c r="AY142" i="27"/>
  <c r="AZ142" i="27"/>
  <c r="BA142" i="27"/>
  <c r="BB142" i="27"/>
  <c r="BG142" i="27"/>
  <c r="H143" i="27"/>
  <c r="I143" i="27"/>
  <c r="Z143" i="27" s="1"/>
  <c r="J143" i="27"/>
  <c r="AA143" i="27" s="1"/>
  <c r="K143" i="27"/>
  <c r="AB143" i="27" s="1"/>
  <c r="L143" i="27"/>
  <c r="AC143" i="27" s="1"/>
  <c r="M143" i="27"/>
  <c r="AD143" i="27" s="1"/>
  <c r="N143" i="27"/>
  <c r="AE143" i="27" s="1"/>
  <c r="O143" i="27"/>
  <c r="AF143" i="27" s="1"/>
  <c r="P143" i="27"/>
  <c r="R143" i="27"/>
  <c r="AI143" i="27" s="1"/>
  <c r="S143" i="27"/>
  <c r="T143" i="27"/>
  <c r="U143" i="27"/>
  <c r="V143" i="27"/>
  <c r="Y143" i="27"/>
  <c r="AG143" i="27"/>
  <c r="AJ143" i="27"/>
  <c r="AL143" i="27"/>
  <c r="AM143" i="27"/>
  <c r="AN143" i="27"/>
  <c r="AO143" i="27"/>
  <c r="AP143" i="27"/>
  <c r="BC143" i="27" s="1"/>
  <c r="AQ143" i="27"/>
  <c r="BD143" i="27" s="1"/>
  <c r="AR143" i="27"/>
  <c r="BE143" i="27" s="1"/>
  <c r="AS143" i="27"/>
  <c r="BF143" i="27" s="1"/>
  <c r="AT143" i="27"/>
  <c r="AV143" i="27"/>
  <c r="AY143" i="27"/>
  <c r="AZ143" i="27"/>
  <c r="BA143" i="27"/>
  <c r="BB143" i="27"/>
  <c r="BG143" i="27"/>
  <c r="H144" i="27"/>
  <c r="I144" i="27"/>
  <c r="J144" i="27"/>
  <c r="AA144" i="27" s="1"/>
  <c r="K144" i="27"/>
  <c r="AB144" i="27" s="1"/>
  <c r="L144" i="27"/>
  <c r="AC144" i="27" s="1"/>
  <c r="M144" i="27"/>
  <c r="AD144" i="27" s="1"/>
  <c r="N144" i="27"/>
  <c r="AE144" i="27" s="1"/>
  <c r="O144" i="27"/>
  <c r="AF144" i="27" s="1"/>
  <c r="P144" i="27"/>
  <c r="R144" i="27"/>
  <c r="S144" i="27"/>
  <c r="T144" i="27"/>
  <c r="U144" i="27"/>
  <c r="V144" i="27"/>
  <c r="Y144" i="27"/>
  <c r="Z144" i="27"/>
  <c r="AG144" i="27"/>
  <c r="AI144" i="27"/>
  <c r="AJ144" i="27"/>
  <c r="AL144" i="27"/>
  <c r="AM144" i="27"/>
  <c r="AN144" i="27"/>
  <c r="AO144" i="27"/>
  <c r="AP144" i="27"/>
  <c r="BC144" i="27" s="1"/>
  <c r="AQ144" i="27"/>
  <c r="BD144" i="27" s="1"/>
  <c r="AR144" i="27"/>
  <c r="BE144" i="27" s="1"/>
  <c r="AS144" i="27"/>
  <c r="BF144" i="27" s="1"/>
  <c r="AT144" i="27"/>
  <c r="AV144" i="27"/>
  <c r="AY144" i="27"/>
  <c r="AZ144" i="27"/>
  <c r="BA144" i="27"/>
  <c r="BB144" i="27"/>
  <c r="BG144" i="27"/>
  <c r="H145" i="27"/>
  <c r="I145" i="27"/>
  <c r="Z145" i="27" s="1"/>
  <c r="J145" i="27"/>
  <c r="AA145" i="27" s="1"/>
  <c r="K145" i="27"/>
  <c r="AB145" i="27" s="1"/>
  <c r="L145" i="27"/>
  <c r="AC145" i="27" s="1"/>
  <c r="M145" i="27"/>
  <c r="AD145" i="27" s="1"/>
  <c r="N145" i="27"/>
  <c r="AE145" i="27" s="1"/>
  <c r="O145" i="27"/>
  <c r="AF145" i="27" s="1"/>
  <c r="P145" i="27"/>
  <c r="R145" i="27"/>
  <c r="AI145" i="27" s="1"/>
  <c r="S145" i="27"/>
  <c r="T145" i="27"/>
  <c r="U145" i="27"/>
  <c r="V145" i="27"/>
  <c r="Y145" i="27"/>
  <c r="AG145" i="27"/>
  <c r="AJ145" i="27"/>
  <c r="AL145" i="27"/>
  <c r="AM145" i="27"/>
  <c r="AN145" i="27"/>
  <c r="AO145" i="27"/>
  <c r="AP145" i="27"/>
  <c r="BC145" i="27" s="1"/>
  <c r="AQ145" i="27"/>
  <c r="BD145" i="27" s="1"/>
  <c r="AR145" i="27"/>
  <c r="BE145" i="27" s="1"/>
  <c r="AS145" i="27"/>
  <c r="BF145" i="27" s="1"/>
  <c r="AT145" i="27"/>
  <c r="AV145" i="27"/>
  <c r="AY145" i="27"/>
  <c r="AZ145" i="27"/>
  <c r="BA145" i="27"/>
  <c r="BB145" i="27"/>
  <c r="BG145" i="27"/>
  <c r="H146" i="27"/>
  <c r="I146" i="27"/>
  <c r="Z146" i="27" s="1"/>
  <c r="J146" i="27"/>
  <c r="AA146" i="27" s="1"/>
  <c r="K146" i="27"/>
  <c r="AB146" i="27" s="1"/>
  <c r="L146" i="27"/>
  <c r="AC146" i="27" s="1"/>
  <c r="M146" i="27"/>
  <c r="AD146" i="27" s="1"/>
  <c r="N146" i="27"/>
  <c r="AE146" i="27" s="1"/>
  <c r="O146" i="27"/>
  <c r="AF146" i="27" s="1"/>
  <c r="P146" i="27"/>
  <c r="R146" i="27"/>
  <c r="S146" i="27"/>
  <c r="T146" i="27"/>
  <c r="U146" i="27"/>
  <c r="V146" i="27"/>
  <c r="Y146" i="27"/>
  <c r="AG146" i="27"/>
  <c r="AI146" i="27"/>
  <c r="AJ146" i="27"/>
  <c r="AL146" i="27"/>
  <c r="AM146" i="27"/>
  <c r="AN146" i="27"/>
  <c r="AO146" i="27"/>
  <c r="AP146" i="27"/>
  <c r="BC146" i="27" s="1"/>
  <c r="AQ146" i="27"/>
  <c r="BD146" i="27" s="1"/>
  <c r="AR146" i="27"/>
  <c r="BE146" i="27" s="1"/>
  <c r="AS146" i="27"/>
  <c r="BF146" i="27" s="1"/>
  <c r="AT146" i="27"/>
  <c r="AV146" i="27"/>
  <c r="AY146" i="27"/>
  <c r="AZ146" i="27"/>
  <c r="BA146" i="27"/>
  <c r="BB146" i="27"/>
  <c r="BG146" i="27"/>
  <c r="H147" i="27"/>
  <c r="I147" i="27"/>
  <c r="Z147" i="27" s="1"/>
  <c r="J147" i="27"/>
  <c r="AA147" i="27" s="1"/>
  <c r="K147" i="27"/>
  <c r="AB147" i="27" s="1"/>
  <c r="L147" i="27"/>
  <c r="AC147" i="27" s="1"/>
  <c r="M147" i="27"/>
  <c r="AD147" i="27" s="1"/>
  <c r="N147" i="27"/>
  <c r="AE147" i="27" s="1"/>
  <c r="O147" i="27"/>
  <c r="AF147" i="27" s="1"/>
  <c r="P147" i="27"/>
  <c r="R147" i="27"/>
  <c r="AI147" i="27" s="1"/>
  <c r="S147" i="27"/>
  <c r="T147" i="27"/>
  <c r="U147" i="27"/>
  <c r="V147" i="27"/>
  <c r="Y147" i="27"/>
  <c r="AG147" i="27"/>
  <c r="AJ147" i="27"/>
  <c r="AL147" i="27"/>
  <c r="AM147" i="27"/>
  <c r="AN147" i="27"/>
  <c r="AO147" i="27"/>
  <c r="AP147" i="27"/>
  <c r="BC147" i="27" s="1"/>
  <c r="AQ147" i="27"/>
  <c r="BD147" i="27" s="1"/>
  <c r="AR147" i="27"/>
  <c r="BE147" i="27" s="1"/>
  <c r="AS147" i="27"/>
  <c r="BF147" i="27" s="1"/>
  <c r="AT147" i="27"/>
  <c r="AV147" i="27"/>
  <c r="AY147" i="27"/>
  <c r="AZ147" i="27"/>
  <c r="BA147" i="27"/>
  <c r="BB147" i="27"/>
  <c r="BG147" i="27"/>
  <c r="H148" i="27"/>
  <c r="I148" i="27"/>
  <c r="J148" i="27"/>
  <c r="AA148" i="27" s="1"/>
  <c r="K148" i="27"/>
  <c r="AB148" i="27" s="1"/>
  <c r="L148" i="27"/>
  <c r="AC148" i="27" s="1"/>
  <c r="M148" i="27"/>
  <c r="AD148" i="27" s="1"/>
  <c r="N148" i="27"/>
  <c r="AE148" i="27" s="1"/>
  <c r="O148" i="27"/>
  <c r="AF148" i="27" s="1"/>
  <c r="P148" i="27"/>
  <c r="R148" i="27"/>
  <c r="S148" i="27"/>
  <c r="T148" i="27"/>
  <c r="U148" i="27"/>
  <c r="V148" i="27"/>
  <c r="Y148" i="27"/>
  <c r="Z148" i="27"/>
  <c r="AG148" i="27"/>
  <c r="AI148" i="27"/>
  <c r="AJ148" i="27"/>
  <c r="AL148" i="27"/>
  <c r="AM148" i="27"/>
  <c r="AN148" i="27"/>
  <c r="AO148" i="27"/>
  <c r="AP148" i="27"/>
  <c r="BC148" i="27" s="1"/>
  <c r="AQ148" i="27"/>
  <c r="BD148" i="27" s="1"/>
  <c r="AR148" i="27"/>
  <c r="BE148" i="27" s="1"/>
  <c r="AS148" i="27"/>
  <c r="BF148" i="27" s="1"/>
  <c r="AT148" i="27"/>
  <c r="AV148" i="27"/>
  <c r="AY148" i="27"/>
  <c r="AZ148" i="27"/>
  <c r="BA148" i="27"/>
  <c r="BB148" i="27"/>
  <c r="BG148" i="27"/>
  <c r="H149" i="27"/>
  <c r="I149" i="27"/>
  <c r="Z149" i="27" s="1"/>
  <c r="J149" i="27"/>
  <c r="AA149" i="27" s="1"/>
  <c r="K149" i="27"/>
  <c r="AB149" i="27" s="1"/>
  <c r="L149" i="27"/>
  <c r="AC149" i="27" s="1"/>
  <c r="M149" i="27"/>
  <c r="AD149" i="27" s="1"/>
  <c r="N149" i="27"/>
  <c r="AE149" i="27" s="1"/>
  <c r="O149" i="27"/>
  <c r="AF149" i="27" s="1"/>
  <c r="P149" i="27"/>
  <c r="R149" i="27"/>
  <c r="AI149" i="27" s="1"/>
  <c r="S149" i="27"/>
  <c r="T149" i="27"/>
  <c r="U149" i="27"/>
  <c r="V149" i="27"/>
  <c r="Y149" i="27"/>
  <c r="AG149" i="27"/>
  <c r="AJ149" i="27"/>
  <c r="AL149" i="27"/>
  <c r="AM149" i="27"/>
  <c r="AN149" i="27"/>
  <c r="AO149" i="27"/>
  <c r="AP149" i="27"/>
  <c r="BC149" i="27" s="1"/>
  <c r="AQ149" i="27"/>
  <c r="BD149" i="27" s="1"/>
  <c r="AR149" i="27"/>
  <c r="BE149" i="27" s="1"/>
  <c r="AS149" i="27"/>
  <c r="BF149" i="27" s="1"/>
  <c r="AT149" i="27"/>
  <c r="AV149" i="27"/>
  <c r="AY149" i="27"/>
  <c r="AZ149" i="27"/>
  <c r="BA149" i="27"/>
  <c r="BB149" i="27"/>
  <c r="BG149" i="27"/>
  <c r="H150" i="27"/>
  <c r="I150" i="27"/>
  <c r="J150" i="27"/>
  <c r="K150" i="27"/>
  <c r="AB150" i="27" s="1"/>
  <c r="L150" i="27"/>
  <c r="AC150" i="27" s="1"/>
  <c r="M150" i="27"/>
  <c r="AD150" i="27" s="1"/>
  <c r="N150" i="27"/>
  <c r="AE150" i="27" s="1"/>
  <c r="O150" i="27"/>
  <c r="AF150" i="27" s="1"/>
  <c r="P150" i="27"/>
  <c r="R150" i="27"/>
  <c r="S150" i="27"/>
  <c r="T150" i="27"/>
  <c r="U150" i="27"/>
  <c r="V150" i="27"/>
  <c r="Y150" i="27"/>
  <c r="Z150" i="27"/>
  <c r="AA150" i="27"/>
  <c r="AG150" i="27"/>
  <c r="AI150" i="27"/>
  <c r="AJ150" i="27"/>
  <c r="AL150" i="27"/>
  <c r="AM150" i="27"/>
  <c r="AN150" i="27"/>
  <c r="AO150" i="27"/>
  <c r="AP150" i="27"/>
  <c r="BC150" i="27" s="1"/>
  <c r="AQ150" i="27"/>
  <c r="BD150" i="27" s="1"/>
  <c r="AR150" i="27"/>
  <c r="BE150" i="27" s="1"/>
  <c r="AS150" i="27"/>
  <c r="BF150" i="27" s="1"/>
  <c r="AT150" i="27"/>
  <c r="AV150" i="27"/>
  <c r="AY150" i="27"/>
  <c r="AZ150" i="27"/>
  <c r="BA150" i="27"/>
  <c r="BB150" i="27"/>
  <c r="BG150" i="27"/>
  <c r="H151" i="27"/>
  <c r="I151" i="27"/>
  <c r="Z151" i="27" s="1"/>
  <c r="J151" i="27"/>
  <c r="AA151" i="27" s="1"/>
  <c r="K151" i="27"/>
  <c r="AB151" i="27" s="1"/>
  <c r="L151" i="27"/>
  <c r="AC151" i="27" s="1"/>
  <c r="M151" i="27"/>
  <c r="AD151" i="27" s="1"/>
  <c r="N151" i="27"/>
  <c r="AE151" i="27" s="1"/>
  <c r="O151" i="27"/>
  <c r="AF151" i="27" s="1"/>
  <c r="P151" i="27"/>
  <c r="R151" i="27"/>
  <c r="AI151" i="27" s="1"/>
  <c r="S151" i="27"/>
  <c r="T151" i="27"/>
  <c r="U151" i="27"/>
  <c r="V151" i="27"/>
  <c r="Y151" i="27"/>
  <c r="AG151" i="27"/>
  <c r="AJ151" i="27"/>
  <c r="AL151" i="27"/>
  <c r="AM151" i="27"/>
  <c r="AN151" i="27"/>
  <c r="AO151" i="27"/>
  <c r="AP151" i="27"/>
  <c r="BC151" i="27" s="1"/>
  <c r="AQ151" i="27"/>
  <c r="BD151" i="27" s="1"/>
  <c r="AR151" i="27"/>
  <c r="BE151" i="27" s="1"/>
  <c r="AS151" i="27"/>
  <c r="BF151" i="27" s="1"/>
  <c r="AT151" i="27"/>
  <c r="AV151" i="27"/>
  <c r="AY151" i="27"/>
  <c r="AZ151" i="27"/>
  <c r="BA151" i="27"/>
  <c r="BB151" i="27"/>
  <c r="BG151" i="27"/>
  <c r="H152" i="27"/>
  <c r="I152" i="27"/>
  <c r="Z152" i="27" s="1"/>
  <c r="J152" i="27"/>
  <c r="AA152" i="27" s="1"/>
  <c r="K152" i="27"/>
  <c r="AB152" i="27" s="1"/>
  <c r="L152" i="27"/>
  <c r="AC152" i="27" s="1"/>
  <c r="M152" i="27"/>
  <c r="AD152" i="27" s="1"/>
  <c r="N152" i="27"/>
  <c r="AE152" i="27" s="1"/>
  <c r="O152" i="27"/>
  <c r="AF152" i="27" s="1"/>
  <c r="P152" i="27"/>
  <c r="R152" i="27"/>
  <c r="AI152" i="27" s="1"/>
  <c r="S152" i="27"/>
  <c r="T152" i="27"/>
  <c r="U152" i="27"/>
  <c r="V152" i="27"/>
  <c r="Y152" i="27"/>
  <c r="AG152" i="27"/>
  <c r="AJ152" i="27"/>
  <c r="AL152" i="27"/>
  <c r="AM152" i="27"/>
  <c r="AN152" i="27"/>
  <c r="AO152" i="27"/>
  <c r="AP152" i="27"/>
  <c r="BC152" i="27" s="1"/>
  <c r="AQ152" i="27"/>
  <c r="BD152" i="27" s="1"/>
  <c r="AR152" i="27"/>
  <c r="BE152" i="27" s="1"/>
  <c r="AS152" i="27"/>
  <c r="BF152" i="27" s="1"/>
  <c r="AT152" i="27"/>
  <c r="AV152" i="27"/>
  <c r="AY152" i="27"/>
  <c r="AZ152" i="27"/>
  <c r="BA152" i="27"/>
  <c r="BB152" i="27"/>
  <c r="BG152" i="27"/>
  <c r="H153" i="27"/>
  <c r="I153" i="27"/>
  <c r="J153" i="27"/>
  <c r="AA153" i="27" s="1"/>
  <c r="K153" i="27"/>
  <c r="AB153" i="27" s="1"/>
  <c r="L153" i="27"/>
  <c r="AC153" i="27" s="1"/>
  <c r="M153" i="27"/>
  <c r="AD153" i="27" s="1"/>
  <c r="N153" i="27"/>
  <c r="AE153" i="27" s="1"/>
  <c r="O153" i="27"/>
  <c r="AF153" i="27" s="1"/>
  <c r="P153" i="27"/>
  <c r="R153" i="27"/>
  <c r="S153" i="27"/>
  <c r="T153" i="27"/>
  <c r="U153" i="27"/>
  <c r="V153" i="27"/>
  <c r="Y153" i="27"/>
  <c r="Z153" i="27"/>
  <c r="AG153" i="27"/>
  <c r="AI153" i="27"/>
  <c r="AJ153" i="27"/>
  <c r="AL153" i="27"/>
  <c r="AM153" i="27"/>
  <c r="AN153" i="27"/>
  <c r="AO153" i="27"/>
  <c r="AP153" i="27"/>
  <c r="BC153" i="27" s="1"/>
  <c r="AQ153" i="27"/>
  <c r="BD153" i="27" s="1"/>
  <c r="AR153" i="27"/>
  <c r="BE153" i="27" s="1"/>
  <c r="AS153" i="27"/>
  <c r="BF153" i="27" s="1"/>
  <c r="AT153" i="27"/>
  <c r="AV153" i="27"/>
  <c r="AY153" i="27"/>
  <c r="AZ153" i="27"/>
  <c r="BA153" i="27"/>
  <c r="BB153" i="27"/>
  <c r="BG153" i="27"/>
  <c r="H154" i="27"/>
  <c r="I154" i="27"/>
  <c r="Z154" i="27" s="1"/>
  <c r="J154" i="27"/>
  <c r="AA154" i="27" s="1"/>
  <c r="K154" i="27"/>
  <c r="AB154" i="27" s="1"/>
  <c r="L154" i="27"/>
  <c r="AC154" i="27" s="1"/>
  <c r="M154" i="27"/>
  <c r="AD154" i="27" s="1"/>
  <c r="N154" i="27"/>
  <c r="AE154" i="27" s="1"/>
  <c r="O154" i="27"/>
  <c r="AF154" i="27" s="1"/>
  <c r="P154" i="27"/>
  <c r="R154" i="27"/>
  <c r="AI154" i="27" s="1"/>
  <c r="S154" i="27"/>
  <c r="T154" i="27"/>
  <c r="U154" i="27"/>
  <c r="V154" i="27"/>
  <c r="Y154" i="27"/>
  <c r="AG154" i="27"/>
  <c r="AJ154" i="27"/>
  <c r="AL154" i="27"/>
  <c r="AM154" i="27"/>
  <c r="AN154" i="27"/>
  <c r="AO154" i="27"/>
  <c r="AP154" i="27"/>
  <c r="BC154" i="27" s="1"/>
  <c r="AQ154" i="27"/>
  <c r="BD154" i="27" s="1"/>
  <c r="AR154" i="27"/>
  <c r="BE154" i="27" s="1"/>
  <c r="AS154" i="27"/>
  <c r="BF154" i="27" s="1"/>
  <c r="AT154" i="27"/>
  <c r="AV154" i="27"/>
  <c r="AY154" i="27"/>
  <c r="AZ154" i="27"/>
  <c r="BA154" i="27"/>
  <c r="BB154" i="27"/>
  <c r="BG154" i="27"/>
  <c r="H155" i="27"/>
  <c r="I155" i="27"/>
  <c r="J155" i="27"/>
  <c r="K155" i="27"/>
  <c r="AB155" i="27" s="1"/>
  <c r="L155" i="27"/>
  <c r="AC155" i="27" s="1"/>
  <c r="M155" i="27"/>
  <c r="AD155" i="27" s="1"/>
  <c r="N155" i="27"/>
  <c r="AE155" i="27" s="1"/>
  <c r="O155" i="27"/>
  <c r="AF155" i="27" s="1"/>
  <c r="P155" i="27"/>
  <c r="R155" i="27"/>
  <c r="S155" i="27"/>
  <c r="T155" i="27"/>
  <c r="U155" i="27"/>
  <c r="V155" i="27"/>
  <c r="Y155" i="27"/>
  <c r="Z155" i="27"/>
  <c r="AA155" i="27"/>
  <c r="AG155" i="27"/>
  <c r="AI155" i="27"/>
  <c r="AJ155" i="27"/>
  <c r="AL155" i="27"/>
  <c r="AM155" i="27"/>
  <c r="AN155" i="27"/>
  <c r="AO155" i="27"/>
  <c r="AP155" i="27"/>
  <c r="BC155" i="27" s="1"/>
  <c r="AQ155" i="27"/>
  <c r="BD155" i="27" s="1"/>
  <c r="AR155" i="27"/>
  <c r="BE155" i="27" s="1"/>
  <c r="AS155" i="27"/>
  <c r="BF155" i="27" s="1"/>
  <c r="AT155" i="27"/>
  <c r="AV155" i="27"/>
  <c r="AY155" i="27"/>
  <c r="AZ155" i="27"/>
  <c r="BA155" i="27"/>
  <c r="BB155" i="27"/>
  <c r="BG155" i="27"/>
  <c r="H156" i="27"/>
  <c r="I156" i="27"/>
  <c r="Z156" i="27" s="1"/>
  <c r="J156" i="27"/>
  <c r="AA156" i="27" s="1"/>
  <c r="K156" i="27"/>
  <c r="AB156" i="27" s="1"/>
  <c r="L156" i="27"/>
  <c r="AC156" i="27" s="1"/>
  <c r="M156" i="27"/>
  <c r="AD156" i="27" s="1"/>
  <c r="N156" i="27"/>
  <c r="AE156" i="27" s="1"/>
  <c r="O156" i="27"/>
  <c r="AF156" i="27" s="1"/>
  <c r="P156" i="27"/>
  <c r="R156" i="27"/>
  <c r="AI156" i="27" s="1"/>
  <c r="S156" i="27"/>
  <c r="T156" i="27"/>
  <c r="U156" i="27"/>
  <c r="V156" i="27"/>
  <c r="Y156" i="27"/>
  <c r="AG156" i="27"/>
  <c r="AJ156" i="27"/>
  <c r="AL156" i="27"/>
  <c r="AM156" i="27"/>
  <c r="AN156" i="27"/>
  <c r="AO156" i="27"/>
  <c r="AP156" i="27"/>
  <c r="BC156" i="27" s="1"/>
  <c r="AQ156" i="27"/>
  <c r="BD156" i="27" s="1"/>
  <c r="AR156" i="27"/>
  <c r="BE156" i="27" s="1"/>
  <c r="AS156" i="27"/>
  <c r="BF156" i="27" s="1"/>
  <c r="AT156" i="27"/>
  <c r="AV156" i="27"/>
  <c r="AY156" i="27"/>
  <c r="AZ156" i="27"/>
  <c r="BA156" i="27"/>
  <c r="BB156" i="27"/>
  <c r="BG156" i="27"/>
  <c r="H157" i="27"/>
  <c r="I157" i="27"/>
  <c r="Z157" i="27" s="1"/>
  <c r="J157" i="27"/>
  <c r="AA157" i="27" s="1"/>
  <c r="K157" i="27"/>
  <c r="AB157" i="27" s="1"/>
  <c r="L157" i="27"/>
  <c r="AC157" i="27" s="1"/>
  <c r="M157" i="27"/>
  <c r="AD157" i="27" s="1"/>
  <c r="N157" i="27"/>
  <c r="AE157" i="27" s="1"/>
  <c r="O157" i="27"/>
  <c r="AF157" i="27" s="1"/>
  <c r="P157" i="27"/>
  <c r="R157" i="27"/>
  <c r="AI157" i="27" s="1"/>
  <c r="S157" i="27"/>
  <c r="T157" i="27"/>
  <c r="U157" i="27"/>
  <c r="V157" i="27"/>
  <c r="Y157" i="27"/>
  <c r="AG157" i="27"/>
  <c r="AJ157" i="27"/>
  <c r="AL157" i="27"/>
  <c r="AM157" i="27"/>
  <c r="AN157" i="27"/>
  <c r="AO157" i="27"/>
  <c r="AP157" i="27"/>
  <c r="BC157" i="27" s="1"/>
  <c r="AQ157" i="27"/>
  <c r="BD157" i="27" s="1"/>
  <c r="AR157" i="27"/>
  <c r="BE157" i="27" s="1"/>
  <c r="AS157" i="27"/>
  <c r="BF157" i="27" s="1"/>
  <c r="AT157" i="27"/>
  <c r="AV157" i="27"/>
  <c r="AY157" i="27"/>
  <c r="AZ157" i="27"/>
  <c r="BA157" i="27"/>
  <c r="BB157" i="27"/>
  <c r="BG157" i="27"/>
  <c r="H158" i="27"/>
  <c r="I158" i="27"/>
  <c r="Z158" i="27" s="1"/>
  <c r="J158" i="27"/>
  <c r="AA158" i="27" s="1"/>
  <c r="K158" i="27"/>
  <c r="AB158" i="27" s="1"/>
  <c r="L158" i="27"/>
  <c r="AC158" i="27" s="1"/>
  <c r="M158" i="27"/>
  <c r="AD158" i="27" s="1"/>
  <c r="N158" i="27"/>
  <c r="AE158" i="27" s="1"/>
  <c r="O158" i="27"/>
  <c r="AF158" i="27" s="1"/>
  <c r="P158" i="27"/>
  <c r="R158" i="27"/>
  <c r="AI158" i="27" s="1"/>
  <c r="S158" i="27"/>
  <c r="T158" i="27"/>
  <c r="U158" i="27"/>
  <c r="V158" i="27"/>
  <c r="Y158" i="27"/>
  <c r="AG158" i="27"/>
  <c r="AJ158" i="27"/>
  <c r="AL158" i="27"/>
  <c r="AM158" i="27"/>
  <c r="AN158" i="27"/>
  <c r="AO158" i="27"/>
  <c r="AP158" i="27"/>
  <c r="BC158" i="27" s="1"/>
  <c r="AQ158" i="27"/>
  <c r="BD158" i="27" s="1"/>
  <c r="AR158" i="27"/>
  <c r="BE158" i="27" s="1"/>
  <c r="AS158" i="27"/>
  <c r="BF158" i="27" s="1"/>
  <c r="AT158" i="27"/>
  <c r="AV158" i="27"/>
  <c r="AY158" i="27"/>
  <c r="AZ158" i="27"/>
  <c r="BA158" i="27"/>
  <c r="BB158" i="27"/>
  <c r="BG158" i="27"/>
  <c r="H159" i="27"/>
  <c r="I159" i="27"/>
  <c r="J159" i="27"/>
  <c r="AA159" i="27" s="1"/>
  <c r="K159" i="27"/>
  <c r="AB159" i="27" s="1"/>
  <c r="L159" i="27"/>
  <c r="AC159" i="27" s="1"/>
  <c r="M159" i="27"/>
  <c r="AD159" i="27" s="1"/>
  <c r="N159" i="27"/>
  <c r="AE159" i="27" s="1"/>
  <c r="O159" i="27"/>
  <c r="AF159" i="27" s="1"/>
  <c r="P159" i="27"/>
  <c r="R159" i="27"/>
  <c r="S159" i="27"/>
  <c r="T159" i="27"/>
  <c r="U159" i="27"/>
  <c r="V159" i="27"/>
  <c r="Y159" i="27"/>
  <c r="Z159" i="27"/>
  <c r="AG159" i="27"/>
  <c r="AI159" i="27"/>
  <c r="AJ159" i="27"/>
  <c r="AL159" i="27"/>
  <c r="AM159" i="27"/>
  <c r="AN159" i="27"/>
  <c r="AO159" i="27"/>
  <c r="AP159" i="27"/>
  <c r="BC159" i="27" s="1"/>
  <c r="AQ159" i="27"/>
  <c r="BD159" i="27" s="1"/>
  <c r="AR159" i="27"/>
  <c r="BE159" i="27" s="1"/>
  <c r="AS159" i="27"/>
  <c r="BF159" i="27" s="1"/>
  <c r="AT159" i="27"/>
  <c r="AV159" i="27"/>
  <c r="AY159" i="27"/>
  <c r="AZ159" i="27"/>
  <c r="BA159" i="27"/>
  <c r="BB159" i="27"/>
  <c r="BG159" i="27"/>
  <c r="H160" i="27"/>
  <c r="I160" i="27"/>
  <c r="Z160" i="27" s="1"/>
  <c r="J160" i="27"/>
  <c r="AA160" i="27" s="1"/>
  <c r="K160" i="27"/>
  <c r="AB160" i="27" s="1"/>
  <c r="L160" i="27"/>
  <c r="AC160" i="27" s="1"/>
  <c r="M160" i="27"/>
  <c r="AD160" i="27" s="1"/>
  <c r="N160" i="27"/>
  <c r="AE160" i="27" s="1"/>
  <c r="O160" i="27"/>
  <c r="AF160" i="27" s="1"/>
  <c r="P160" i="27"/>
  <c r="R160" i="27"/>
  <c r="AI160" i="27" s="1"/>
  <c r="S160" i="27"/>
  <c r="T160" i="27"/>
  <c r="U160" i="27"/>
  <c r="V160" i="27"/>
  <c r="Y160" i="27"/>
  <c r="AG160" i="27"/>
  <c r="AJ160" i="27"/>
  <c r="AL160" i="27"/>
  <c r="AM160" i="27"/>
  <c r="AN160" i="27"/>
  <c r="AO160" i="27"/>
  <c r="AP160" i="27"/>
  <c r="BC160" i="27" s="1"/>
  <c r="AQ160" i="27"/>
  <c r="BD160" i="27" s="1"/>
  <c r="AR160" i="27"/>
  <c r="BE160" i="27" s="1"/>
  <c r="AS160" i="27"/>
  <c r="BF160" i="27" s="1"/>
  <c r="AT160" i="27"/>
  <c r="AV160" i="27"/>
  <c r="AY160" i="27"/>
  <c r="AZ160" i="27"/>
  <c r="BA160" i="27"/>
  <c r="BB160" i="27"/>
  <c r="BG160" i="27"/>
  <c r="H161" i="27"/>
  <c r="I161" i="27"/>
  <c r="Z161" i="27" s="1"/>
  <c r="J161" i="27"/>
  <c r="AA161" i="27" s="1"/>
  <c r="K161" i="27"/>
  <c r="AB161" i="27" s="1"/>
  <c r="L161" i="27"/>
  <c r="AC161" i="27" s="1"/>
  <c r="M161" i="27"/>
  <c r="AD161" i="27" s="1"/>
  <c r="N161" i="27"/>
  <c r="AE161" i="27" s="1"/>
  <c r="O161" i="27"/>
  <c r="AF161" i="27" s="1"/>
  <c r="P161" i="27"/>
  <c r="R161" i="27"/>
  <c r="S161" i="27"/>
  <c r="T161" i="27"/>
  <c r="U161" i="27"/>
  <c r="V161" i="27"/>
  <c r="Y161" i="27"/>
  <c r="AG161" i="27"/>
  <c r="AI161" i="27"/>
  <c r="AJ161" i="27"/>
  <c r="AL161" i="27"/>
  <c r="AM161" i="27"/>
  <c r="AN161" i="27"/>
  <c r="AO161" i="27"/>
  <c r="AP161" i="27"/>
  <c r="BC161" i="27" s="1"/>
  <c r="AQ161" i="27"/>
  <c r="BD161" i="27" s="1"/>
  <c r="AR161" i="27"/>
  <c r="BE161" i="27" s="1"/>
  <c r="AS161" i="27"/>
  <c r="BF161" i="27" s="1"/>
  <c r="AT161" i="27"/>
  <c r="AV161" i="27"/>
  <c r="AY161" i="27"/>
  <c r="AZ161" i="27"/>
  <c r="BA161" i="27"/>
  <c r="BB161" i="27"/>
  <c r="BG161" i="27"/>
  <c r="H162" i="27"/>
  <c r="I162" i="27"/>
  <c r="Z162" i="27" s="1"/>
  <c r="J162" i="27"/>
  <c r="AA162" i="27" s="1"/>
  <c r="K162" i="27"/>
  <c r="AB162" i="27" s="1"/>
  <c r="L162" i="27"/>
  <c r="AC162" i="27" s="1"/>
  <c r="M162" i="27"/>
  <c r="AD162" i="27" s="1"/>
  <c r="N162" i="27"/>
  <c r="AE162" i="27" s="1"/>
  <c r="O162" i="27"/>
  <c r="AF162" i="27" s="1"/>
  <c r="P162" i="27"/>
  <c r="R162" i="27"/>
  <c r="AI162" i="27" s="1"/>
  <c r="S162" i="27"/>
  <c r="T162" i="27"/>
  <c r="U162" i="27"/>
  <c r="V162" i="27"/>
  <c r="Y162" i="27"/>
  <c r="AG162" i="27"/>
  <c r="AJ162" i="27"/>
  <c r="AL162" i="27"/>
  <c r="AM162" i="27"/>
  <c r="AN162" i="27"/>
  <c r="AO162" i="27"/>
  <c r="AP162" i="27"/>
  <c r="BC162" i="27" s="1"/>
  <c r="AQ162" i="27"/>
  <c r="BD162" i="27" s="1"/>
  <c r="AR162" i="27"/>
  <c r="BE162" i="27" s="1"/>
  <c r="AS162" i="27"/>
  <c r="BF162" i="27" s="1"/>
  <c r="AT162" i="27"/>
  <c r="AV162" i="27"/>
  <c r="AY162" i="27"/>
  <c r="AZ162" i="27"/>
  <c r="BA162" i="27"/>
  <c r="BB162" i="27"/>
  <c r="BG162" i="27"/>
  <c r="H163" i="27"/>
  <c r="I163" i="27"/>
  <c r="Z163" i="27" s="1"/>
  <c r="J163" i="27"/>
  <c r="AA163" i="27" s="1"/>
  <c r="K163" i="27"/>
  <c r="AB163" i="27" s="1"/>
  <c r="L163" i="27"/>
  <c r="AC163" i="27" s="1"/>
  <c r="M163" i="27"/>
  <c r="AD163" i="27" s="1"/>
  <c r="N163" i="27"/>
  <c r="AE163" i="27" s="1"/>
  <c r="O163" i="27"/>
  <c r="AF163" i="27" s="1"/>
  <c r="P163" i="27"/>
  <c r="R163" i="27"/>
  <c r="AI163" i="27" s="1"/>
  <c r="S163" i="27"/>
  <c r="T163" i="27"/>
  <c r="U163" i="27"/>
  <c r="V163" i="27"/>
  <c r="Y163" i="27"/>
  <c r="AG163" i="27"/>
  <c r="AJ163" i="27"/>
  <c r="AL163" i="27"/>
  <c r="AM163" i="27"/>
  <c r="AN163" i="27"/>
  <c r="AO163" i="27"/>
  <c r="AP163" i="27"/>
  <c r="BC163" i="27" s="1"/>
  <c r="AQ163" i="27"/>
  <c r="BD163" i="27" s="1"/>
  <c r="AR163" i="27"/>
  <c r="BE163" i="27" s="1"/>
  <c r="AS163" i="27"/>
  <c r="BF163" i="27" s="1"/>
  <c r="AT163" i="27"/>
  <c r="AV163" i="27"/>
  <c r="AY163" i="27"/>
  <c r="AZ163" i="27"/>
  <c r="BA163" i="27"/>
  <c r="BB163" i="27"/>
  <c r="BG163" i="27"/>
  <c r="H164" i="27"/>
  <c r="I164" i="27"/>
  <c r="J164" i="27"/>
  <c r="AA164" i="27" s="1"/>
  <c r="K164" i="27"/>
  <c r="AB164" i="27" s="1"/>
  <c r="L164" i="27"/>
  <c r="AC164" i="27" s="1"/>
  <c r="M164" i="27"/>
  <c r="AD164" i="27" s="1"/>
  <c r="N164" i="27"/>
  <c r="AE164" i="27" s="1"/>
  <c r="O164" i="27"/>
  <c r="AF164" i="27" s="1"/>
  <c r="P164" i="27"/>
  <c r="R164" i="27"/>
  <c r="S164" i="27"/>
  <c r="T164" i="27"/>
  <c r="U164" i="27"/>
  <c r="V164" i="27"/>
  <c r="Y164" i="27"/>
  <c r="Z164" i="27"/>
  <c r="AG164" i="27"/>
  <c r="AI164" i="27"/>
  <c r="AJ164" i="27"/>
  <c r="AL164" i="27"/>
  <c r="AM164" i="27"/>
  <c r="AN164" i="27"/>
  <c r="AO164" i="27"/>
  <c r="AP164" i="27"/>
  <c r="BC164" i="27" s="1"/>
  <c r="AQ164" i="27"/>
  <c r="BD164" i="27" s="1"/>
  <c r="AR164" i="27"/>
  <c r="BE164" i="27" s="1"/>
  <c r="AS164" i="27"/>
  <c r="BF164" i="27" s="1"/>
  <c r="AT164" i="27"/>
  <c r="AV164" i="27"/>
  <c r="AY164" i="27"/>
  <c r="AZ164" i="27"/>
  <c r="BA164" i="27"/>
  <c r="BB164" i="27"/>
  <c r="BG164" i="27"/>
  <c r="H165" i="27"/>
  <c r="I165" i="27"/>
  <c r="Z165" i="27" s="1"/>
  <c r="J165" i="27"/>
  <c r="AA165" i="27" s="1"/>
  <c r="K165" i="27"/>
  <c r="AB165" i="27" s="1"/>
  <c r="L165" i="27"/>
  <c r="AC165" i="27" s="1"/>
  <c r="M165" i="27"/>
  <c r="AD165" i="27" s="1"/>
  <c r="N165" i="27"/>
  <c r="AE165" i="27" s="1"/>
  <c r="O165" i="27"/>
  <c r="AF165" i="27" s="1"/>
  <c r="P165" i="27"/>
  <c r="R165" i="27"/>
  <c r="AI165" i="27" s="1"/>
  <c r="S165" i="27"/>
  <c r="T165" i="27"/>
  <c r="U165" i="27"/>
  <c r="V165" i="27"/>
  <c r="Y165" i="27"/>
  <c r="AG165" i="27"/>
  <c r="AJ165" i="27"/>
  <c r="AL165" i="27"/>
  <c r="AM165" i="27"/>
  <c r="AN165" i="27"/>
  <c r="AO165" i="27"/>
  <c r="AP165" i="27"/>
  <c r="BC165" i="27" s="1"/>
  <c r="AQ165" i="27"/>
  <c r="BD165" i="27" s="1"/>
  <c r="AR165" i="27"/>
  <c r="BE165" i="27" s="1"/>
  <c r="AS165" i="27"/>
  <c r="BF165" i="27" s="1"/>
  <c r="AT165" i="27"/>
  <c r="AV165" i="27"/>
  <c r="AY165" i="27"/>
  <c r="AZ165" i="27"/>
  <c r="BA165" i="27"/>
  <c r="BB165" i="27"/>
  <c r="BG165" i="27"/>
  <c r="H166" i="27"/>
  <c r="I166" i="27"/>
  <c r="J166" i="27"/>
  <c r="AA166" i="27" s="1"/>
  <c r="K166" i="27"/>
  <c r="AB166" i="27" s="1"/>
  <c r="L166" i="27"/>
  <c r="AC166" i="27" s="1"/>
  <c r="M166" i="27"/>
  <c r="AD166" i="27" s="1"/>
  <c r="N166" i="27"/>
  <c r="AE166" i="27" s="1"/>
  <c r="O166" i="27"/>
  <c r="AF166" i="27" s="1"/>
  <c r="P166" i="27"/>
  <c r="R166" i="27"/>
  <c r="S166" i="27"/>
  <c r="T166" i="27"/>
  <c r="U166" i="27"/>
  <c r="V166" i="27"/>
  <c r="Y166" i="27"/>
  <c r="Z166" i="27"/>
  <c r="AG166" i="27"/>
  <c r="AI166" i="27"/>
  <c r="AJ166" i="27"/>
  <c r="AL166" i="27"/>
  <c r="AM166" i="27"/>
  <c r="AN166" i="27"/>
  <c r="AO166" i="27"/>
  <c r="AP166" i="27"/>
  <c r="BC166" i="27" s="1"/>
  <c r="AQ166" i="27"/>
  <c r="BD166" i="27" s="1"/>
  <c r="AR166" i="27"/>
  <c r="BE166" i="27" s="1"/>
  <c r="AS166" i="27"/>
  <c r="BF166" i="27" s="1"/>
  <c r="AT166" i="27"/>
  <c r="AV166" i="27"/>
  <c r="AY166" i="27"/>
  <c r="AZ166" i="27"/>
  <c r="BA166" i="27"/>
  <c r="BB166" i="27"/>
  <c r="BG166" i="27"/>
  <c r="H167" i="27"/>
  <c r="I167" i="27"/>
  <c r="J167" i="27"/>
  <c r="AA167" i="27" s="1"/>
  <c r="K167" i="27"/>
  <c r="AB167" i="27" s="1"/>
  <c r="L167" i="27"/>
  <c r="AC167" i="27" s="1"/>
  <c r="M167" i="27"/>
  <c r="AD167" i="27" s="1"/>
  <c r="N167" i="27"/>
  <c r="AE167" i="27" s="1"/>
  <c r="O167" i="27"/>
  <c r="AF167" i="27" s="1"/>
  <c r="P167" i="27"/>
  <c r="R167" i="27"/>
  <c r="S167" i="27"/>
  <c r="T167" i="27"/>
  <c r="U167" i="27"/>
  <c r="V167" i="27"/>
  <c r="Y167" i="27"/>
  <c r="Z167" i="27"/>
  <c r="AG167" i="27"/>
  <c r="AI167" i="27"/>
  <c r="AJ167" i="27"/>
  <c r="AL167" i="27"/>
  <c r="AM167" i="27"/>
  <c r="AN167" i="27"/>
  <c r="AO167" i="27"/>
  <c r="AP167" i="27"/>
  <c r="BC167" i="27" s="1"/>
  <c r="AQ167" i="27"/>
  <c r="BD167" i="27" s="1"/>
  <c r="AR167" i="27"/>
  <c r="BE167" i="27" s="1"/>
  <c r="AS167" i="27"/>
  <c r="BF167" i="27" s="1"/>
  <c r="AT167" i="27"/>
  <c r="AV167" i="27"/>
  <c r="AY167" i="27"/>
  <c r="AZ167" i="27"/>
  <c r="BA167" i="27"/>
  <c r="BB167" i="27"/>
  <c r="BG167" i="27"/>
  <c r="H168" i="27"/>
  <c r="I168" i="27"/>
  <c r="J168" i="27"/>
  <c r="AA168" i="27" s="1"/>
  <c r="K168" i="27"/>
  <c r="AB168" i="27" s="1"/>
  <c r="L168" i="27"/>
  <c r="AC168" i="27" s="1"/>
  <c r="M168" i="27"/>
  <c r="AD168" i="27" s="1"/>
  <c r="N168" i="27"/>
  <c r="AE168" i="27" s="1"/>
  <c r="O168" i="27"/>
  <c r="AF168" i="27" s="1"/>
  <c r="P168" i="27"/>
  <c r="R168" i="27"/>
  <c r="S168" i="27"/>
  <c r="T168" i="27"/>
  <c r="U168" i="27"/>
  <c r="V168" i="27"/>
  <c r="Y168" i="27"/>
  <c r="Z168" i="27"/>
  <c r="AG168" i="27"/>
  <c r="AI168" i="27"/>
  <c r="AJ168" i="27"/>
  <c r="AL168" i="27"/>
  <c r="AM168" i="27"/>
  <c r="AN168" i="27"/>
  <c r="AO168" i="27"/>
  <c r="AP168" i="27"/>
  <c r="BC168" i="27" s="1"/>
  <c r="AQ168" i="27"/>
  <c r="BD168" i="27" s="1"/>
  <c r="AR168" i="27"/>
  <c r="BE168" i="27" s="1"/>
  <c r="AS168" i="27"/>
  <c r="BF168" i="27" s="1"/>
  <c r="AT168" i="27"/>
  <c r="AV168" i="27"/>
  <c r="AY168" i="27"/>
  <c r="AZ168" i="27"/>
  <c r="BA168" i="27"/>
  <c r="BB168" i="27"/>
  <c r="BG168" i="27"/>
  <c r="H169" i="27"/>
  <c r="I169" i="27"/>
  <c r="J169" i="27"/>
  <c r="AA169" i="27" s="1"/>
  <c r="K169" i="27"/>
  <c r="AB169" i="27" s="1"/>
  <c r="L169" i="27"/>
  <c r="AC169" i="27" s="1"/>
  <c r="M169" i="27"/>
  <c r="AD169" i="27" s="1"/>
  <c r="N169" i="27"/>
  <c r="AE169" i="27" s="1"/>
  <c r="O169" i="27"/>
  <c r="AF169" i="27" s="1"/>
  <c r="P169" i="27"/>
  <c r="R169" i="27"/>
  <c r="S169" i="27"/>
  <c r="T169" i="27"/>
  <c r="U169" i="27"/>
  <c r="V169" i="27"/>
  <c r="Y169" i="27"/>
  <c r="Z169" i="27"/>
  <c r="AG169" i="27"/>
  <c r="AI169" i="27"/>
  <c r="AJ169" i="27"/>
  <c r="AL169" i="27"/>
  <c r="AM169" i="27"/>
  <c r="AN169" i="27"/>
  <c r="AO169" i="27"/>
  <c r="AP169" i="27"/>
  <c r="BC169" i="27" s="1"/>
  <c r="AQ169" i="27"/>
  <c r="BD169" i="27" s="1"/>
  <c r="AR169" i="27"/>
  <c r="BE169" i="27" s="1"/>
  <c r="AS169" i="27"/>
  <c r="BF169" i="27" s="1"/>
  <c r="AT169" i="27"/>
  <c r="AV169" i="27"/>
  <c r="AY169" i="27"/>
  <c r="AZ169" i="27"/>
  <c r="BA169" i="27"/>
  <c r="BB169" i="27"/>
  <c r="BG169" i="27"/>
  <c r="H170" i="27"/>
  <c r="I170" i="27"/>
  <c r="Z170" i="27" s="1"/>
  <c r="J170" i="27"/>
  <c r="AA170" i="27" s="1"/>
  <c r="K170" i="27"/>
  <c r="AB170" i="27" s="1"/>
  <c r="L170" i="27"/>
  <c r="AC170" i="27" s="1"/>
  <c r="M170" i="27"/>
  <c r="AD170" i="27" s="1"/>
  <c r="N170" i="27"/>
  <c r="AE170" i="27" s="1"/>
  <c r="O170" i="27"/>
  <c r="AF170" i="27" s="1"/>
  <c r="P170" i="27"/>
  <c r="R170" i="27"/>
  <c r="AI170" i="27" s="1"/>
  <c r="S170" i="27"/>
  <c r="T170" i="27"/>
  <c r="U170" i="27"/>
  <c r="V170" i="27"/>
  <c r="Y170" i="27"/>
  <c r="AG170" i="27"/>
  <c r="AJ170" i="27"/>
  <c r="AL170" i="27"/>
  <c r="AM170" i="27"/>
  <c r="AN170" i="27"/>
  <c r="AO170" i="27"/>
  <c r="AP170" i="27"/>
  <c r="BC170" i="27" s="1"/>
  <c r="AQ170" i="27"/>
  <c r="BD170" i="27" s="1"/>
  <c r="AR170" i="27"/>
  <c r="BE170" i="27" s="1"/>
  <c r="AS170" i="27"/>
  <c r="BF170" i="27" s="1"/>
  <c r="AT170" i="27"/>
  <c r="AV170" i="27"/>
  <c r="AY170" i="27"/>
  <c r="AZ170" i="27"/>
  <c r="BA170" i="27"/>
  <c r="BB170" i="27"/>
  <c r="BG170" i="27"/>
  <c r="H171" i="27"/>
  <c r="I171" i="27"/>
  <c r="Z171" i="27" s="1"/>
  <c r="J171" i="27"/>
  <c r="AA171" i="27" s="1"/>
  <c r="K171" i="27"/>
  <c r="AB171" i="27" s="1"/>
  <c r="L171" i="27"/>
  <c r="AC171" i="27" s="1"/>
  <c r="M171" i="27"/>
  <c r="AD171" i="27" s="1"/>
  <c r="N171" i="27"/>
  <c r="AE171" i="27" s="1"/>
  <c r="O171" i="27"/>
  <c r="AF171" i="27" s="1"/>
  <c r="P171" i="27"/>
  <c r="R171" i="27"/>
  <c r="S171" i="27"/>
  <c r="T171" i="27"/>
  <c r="U171" i="27"/>
  <c r="V171" i="27"/>
  <c r="Y171" i="27"/>
  <c r="AG171" i="27"/>
  <c r="AI171" i="27"/>
  <c r="AJ171" i="27"/>
  <c r="AL171" i="27"/>
  <c r="AM171" i="27"/>
  <c r="AN171" i="27"/>
  <c r="AO171" i="27"/>
  <c r="AP171" i="27"/>
  <c r="BC171" i="27" s="1"/>
  <c r="AQ171" i="27"/>
  <c r="BD171" i="27" s="1"/>
  <c r="AR171" i="27"/>
  <c r="BE171" i="27" s="1"/>
  <c r="AS171" i="27"/>
  <c r="BF171" i="27" s="1"/>
  <c r="AT171" i="27"/>
  <c r="AV171" i="27"/>
  <c r="AY171" i="27"/>
  <c r="AZ171" i="27"/>
  <c r="BA171" i="27"/>
  <c r="BB171" i="27"/>
  <c r="BG171" i="27"/>
  <c r="H172" i="27"/>
  <c r="I172" i="27"/>
  <c r="J172" i="27"/>
  <c r="AA172" i="27" s="1"/>
  <c r="K172" i="27"/>
  <c r="AB172" i="27" s="1"/>
  <c r="L172" i="27"/>
  <c r="AC172" i="27" s="1"/>
  <c r="M172" i="27"/>
  <c r="AD172" i="27" s="1"/>
  <c r="N172" i="27"/>
  <c r="AE172" i="27" s="1"/>
  <c r="O172" i="27"/>
  <c r="AF172" i="27" s="1"/>
  <c r="P172" i="27"/>
  <c r="R172" i="27"/>
  <c r="S172" i="27"/>
  <c r="T172" i="27"/>
  <c r="U172" i="27"/>
  <c r="V172" i="27"/>
  <c r="Y172" i="27"/>
  <c r="Z172" i="27"/>
  <c r="AG172" i="27"/>
  <c r="AI172" i="27"/>
  <c r="AJ172" i="27"/>
  <c r="AL172" i="27"/>
  <c r="AM172" i="27"/>
  <c r="AN172" i="27"/>
  <c r="AO172" i="27"/>
  <c r="AP172" i="27"/>
  <c r="BC172" i="27" s="1"/>
  <c r="AQ172" i="27"/>
  <c r="BD172" i="27" s="1"/>
  <c r="AR172" i="27"/>
  <c r="BE172" i="27" s="1"/>
  <c r="AS172" i="27"/>
  <c r="BF172" i="27" s="1"/>
  <c r="AT172" i="27"/>
  <c r="AV172" i="27"/>
  <c r="AY172" i="27"/>
  <c r="AZ172" i="27"/>
  <c r="BA172" i="27"/>
  <c r="BB172" i="27"/>
  <c r="BG172" i="27"/>
  <c r="H173" i="27"/>
  <c r="I173" i="27"/>
  <c r="Z173" i="27" s="1"/>
  <c r="J173" i="27"/>
  <c r="AA173" i="27" s="1"/>
  <c r="K173" i="27"/>
  <c r="AB173" i="27" s="1"/>
  <c r="L173" i="27"/>
  <c r="AC173" i="27" s="1"/>
  <c r="M173" i="27"/>
  <c r="AD173" i="27" s="1"/>
  <c r="N173" i="27"/>
  <c r="AE173" i="27" s="1"/>
  <c r="O173" i="27"/>
  <c r="AF173" i="27" s="1"/>
  <c r="P173" i="27"/>
  <c r="R173" i="27"/>
  <c r="S173" i="27"/>
  <c r="T173" i="27"/>
  <c r="U173" i="27"/>
  <c r="V173" i="27"/>
  <c r="Y173" i="27"/>
  <c r="AG173" i="27"/>
  <c r="AI173" i="27"/>
  <c r="AJ173" i="27"/>
  <c r="AL173" i="27"/>
  <c r="AM173" i="27"/>
  <c r="AN173" i="27"/>
  <c r="AO173" i="27"/>
  <c r="AP173" i="27"/>
  <c r="BC173" i="27" s="1"/>
  <c r="AQ173" i="27"/>
  <c r="BD173" i="27" s="1"/>
  <c r="AR173" i="27"/>
  <c r="BE173" i="27" s="1"/>
  <c r="AS173" i="27"/>
  <c r="BF173" i="27" s="1"/>
  <c r="AT173" i="27"/>
  <c r="AV173" i="27"/>
  <c r="AY173" i="27"/>
  <c r="AZ173" i="27"/>
  <c r="BA173" i="27"/>
  <c r="BB173" i="27"/>
  <c r="BG173" i="27"/>
  <c r="H174" i="27"/>
  <c r="I174" i="27"/>
  <c r="Z174" i="27" s="1"/>
  <c r="J174" i="27"/>
  <c r="AA174" i="27" s="1"/>
  <c r="K174" i="27"/>
  <c r="AB174" i="27" s="1"/>
  <c r="L174" i="27"/>
  <c r="AC174" i="27" s="1"/>
  <c r="M174" i="27"/>
  <c r="AD174" i="27" s="1"/>
  <c r="N174" i="27"/>
  <c r="AE174" i="27" s="1"/>
  <c r="O174" i="27"/>
  <c r="AF174" i="27" s="1"/>
  <c r="P174" i="27"/>
  <c r="R174" i="27"/>
  <c r="AI174" i="27" s="1"/>
  <c r="S174" i="27"/>
  <c r="T174" i="27"/>
  <c r="U174" i="27"/>
  <c r="V174" i="27"/>
  <c r="Y174" i="27"/>
  <c r="AG174" i="27"/>
  <c r="AJ174" i="27"/>
  <c r="AL174" i="27"/>
  <c r="AM174" i="27"/>
  <c r="AN174" i="27"/>
  <c r="AO174" i="27"/>
  <c r="AP174" i="27"/>
  <c r="BC174" i="27" s="1"/>
  <c r="AQ174" i="27"/>
  <c r="BD174" i="27" s="1"/>
  <c r="AR174" i="27"/>
  <c r="BE174" i="27" s="1"/>
  <c r="AS174" i="27"/>
  <c r="BF174" i="27" s="1"/>
  <c r="AT174" i="27"/>
  <c r="AV174" i="27"/>
  <c r="AY174" i="27"/>
  <c r="AZ174" i="27"/>
  <c r="BA174" i="27"/>
  <c r="BB174" i="27"/>
  <c r="BG174" i="27"/>
  <c r="H175" i="27"/>
  <c r="I175" i="27"/>
  <c r="J175" i="27"/>
  <c r="AA175" i="27" s="1"/>
  <c r="K175" i="27"/>
  <c r="AB175" i="27" s="1"/>
  <c r="L175" i="27"/>
  <c r="AC175" i="27" s="1"/>
  <c r="M175" i="27"/>
  <c r="AD175" i="27" s="1"/>
  <c r="N175" i="27"/>
  <c r="AE175" i="27" s="1"/>
  <c r="O175" i="27"/>
  <c r="AF175" i="27" s="1"/>
  <c r="P175" i="27"/>
  <c r="R175" i="27"/>
  <c r="S175" i="27"/>
  <c r="T175" i="27"/>
  <c r="U175" i="27"/>
  <c r="V175" i="27"/>
  <c r="Y175" i="27"/>
  <c r="Z175" i="27"/>
  <c r="AG175" i="27"/>
  <c r="AI175" i="27"/>
  <c r="AJ175" i="27"/>
  <c r="AL175" i="27"/>
  <c r="AM175" i="27"/>
  <c r="AN175" i="27"/>
  <c r="AO175" i="27"/>
  <c r="AP175" i="27"/>
  <c r="BC175" i="27" s="1"/>
  <c r="AQ175" i="27"/>
  <c r="BD175" i="27" s="1"/>
  <c r="AR175" i="27"/>
  <c r="BE175" i="27" s="1"/>
  <c r="AS175" i="27"/>
  <c r="BF175" i="27" s="1"/>
  <c r="AT175" i="27"/>
  <c r="AV175" i="27"/>
  <c r="AY175" i="27"/>
  <c r="AZ175" i="27"/>
  <c r="BA175" i="27"/>
  <c r="BB175" i="27"/>
  <c r="BG175" i="27"/>
  <c r="H176" i="27"/>
  <c r="I176" i="27"/>
  <c r="Z176" i="27" s="1"/>
  <c r="J176" i="27"/>
  <c r="AA176" i="27" s="1"/>
  <c r="K176" i="27"/>
  <c r="AB176" i="27" s="1"/>
  <c r="L176" i="27"/>
  <c r="AC176" i="27" s="1"/>
  <c r="M176" i="27"/>
  <c r="AD176" i="27" s="1"/>
  <c r="N176" i="27"/>
  <c r="AE176" i="27" s="1"/>
  <c r="O176" i="27"/>
  <c r="AF176" i="27" s="1"/>
  <c r="P176" i="27"/>
  <c r="R176" i="27"/>
  <c r="AI176" i="27" s="1"/>
  <c r="S176" i="27"/>
  <c r="T176" i="27"/>
  <c r="U176" i="27"/>
  <c r="V176" i="27"/>
  <c r="Y176" i="27"/>
  <c r="AG176" i="27"/>
  <c r="AJ176" i="27"/>
  <c r="AL176" i="27"/>
  <c r="AM176" i="27"/>
  <c r="AN176" i="27"/>
  <c r="AO176" i="27"/>
  <c r="AP176" i="27"/>
  <c r="BC176" i="27" s="1"/>
  <c r="AQ176" i="27"/>
  <c r="BD176" i="27" s="1"/>
  <c r="AR176" i="27"/>
  <c r="BE176" i="27" s="1"/>
  <c r="AS176" i="27"/>
  <c r="BF176" i="27" s="1"/>
  <c r="AT176" i="27"/>
  <c r="AV176" i="27"/>
  <c r="AY176" i="27"/>
  <c r="AZ176" i="27"/>
  <c r="BA176" i="27"/>
  <c r="BB176" i="27"/>
  <c r="BG176" i="27"/>
  <c r="H177" i="27"/>
  <c r="I177" i="27"/>
  <c r="Z177" i="27" s="1"/>
  <c r="J177" i="27"/>
  <c r="AA177" i="27" s="1"/>
  <c r="K177" i="27"/>
  <c r="AB177" i="27" s="1"/>
  <c r="L177" i="27"/>
  <c r="AC177" i="27" s="1"/>
  <c r="M177" i="27"/>
  <c r="AD177" i="27" s="1"/>
  <c r="N177" i="27"/>
  <c r="AE177" i="27" s="1"/>
  <c r="O177" i="27"/>
  <c r="AF177" i="27" s="1"/>
  <c r="P177" i="27"/>
  <c r="R177" i="27"/>
  <c r="AI177" i="27" s="1"/>
  <c r="S177" i="27"/>
  <c r="T177" i="27"/>
  <c r="U177" i="27"/>
  <c r="V177" i="27"/>
  <c r="Y177" i="27"/>
  <c r="AG177" i="27"/>
  <c r="AJ177" i="27"/>
  <c r="AL177" i="27"/>
  <c r="AM177" i="27"/>
  <c r="AN177" i="27"/>
  <c r="AO177" i="27"/>
  <c r="AP177" i="27"/>
  <c r="BC177" i="27" s="1"/>
  <c r="AQ177" i="27"/>
  <c r="BD177" i="27" s="1"/>
  <c r="AR177" i="27"/>
  <c r="BE177" i="27" s="1"/>
  <c r="AS177" i="27"/>
  <c r="BF177" i="27" s="1"/>
  <c r="AT177" i="27"/>
  <c r="AV177" i="27"/>
  <c r="AY177" i="27"/>
  <c r="AZ177" i="27"/>
  <c r="BA177" i="27"/>
  <c r="BB177" i="27"/>
  <c r="BG177" i="27"/>
  <c r="H178" i="27"/>
  <c r="I178" i="27"/>
  <c r="Z178" i="27" s="1"/>
  <c r="J178" i="27"/>
  <c r="AA178" i="27" s="1"/>
  <c r="K178" i="27"/>
  <c r="AB178" i="27" s="1"/>
  <c r="L178" i="27"/>
  <c r="AC178" i="27" s="1"/>
  <c r="M178" i="27"/>
  <c r="AD178" i="27" s="1"/>
  <c r="N178" i="27"/>
  <c r="AE178" i="27" s="1"/>
  <c r="O178" i="27"/>
  <c r="AF178" i="27" s="1"/>
  <c r="P178" i="27"/>
  <c r="R178" i="27"/>
  <c r="AI178" i="27" s="1"/>
  <c r="S178" i="27"/>
  <c r="T178" i="27"/>
  <c r="U178" i="27"/>
  <c r="V178" i="27"/>
  <c r="Y178" i="27"/>
  <c r="AG178" i="27"/>
  <c r="AJ178" i="27"/>
  <c r="AL178" i="27"/>
  <c r="AM178" i="27"/>
  <c r="AN178" i="27"/>
  <c r="AO178" i="27"/>
  <c r="AP178" i="27"/>
  <c r="BC178" i="27" s="1"/>
  <c r="AQ178" i="27"/>
  <c r="BD178" i="27" s="1"/>
  <c r="AR178" i="27"/>
  <c r="BE178" i="27" s="1"/>
  <c r="AS178" i="27"/>
  <c r="BF178" i="27" s="1"/>
  <c r="AT178" i="27"/>
  <c r="AV178" i="27"/>
  <c r="AY178" i="27"/>
  <c r="AZ178" i="27"/>
  <c r="BA178" i="27"/>
  <c r="BB178" i="27"/>
  <c r="BG178" i="27"/>
  <c r="H179" i="27"/>
  <c r="I179" i="27"/>
  <c r="Z179" i="27" s="1"/>
  <c r="J179" i="27"/>
  <c r="AA179" i="27" s="1"/>
  <c r="K179" i="27"/>
  <c r="AB179" i="27" s="1"/>
  <c r="L179" i="27"/>
  <c r="AC179" i="27" s="1"/>
  <c r="M179" i="27"/>
  <c r="AD179" i="27" s="1"/>
  <c r="N179" i="27"/>
  <c r="AE179" i="27" s="1"/>
  <c r="O179" i="27"/>
  <c r="AF179" i="27" s="1"/>
  <c r="P179" i="27"/>
  <c r="R179" i="27"/>
  <c r="AI179" i="27" s="1"/>
  <c r="S179" i="27"/>
  <c r="T179" i="27"/>
  <c r="U179" i="27"/>
  <c r="V179" i="27"/>
  <c r="Y179" i="27"/>
  <c r="AG179" i="27"/>
  <c r="AJ179" i="27"/>
  <c r="AL179" i="27"/>
  <c r="AM179" i="27"/>
  <c r="AN179" i="27"/>
  <c r="AO179" i="27"/>
  <c r="AP179" i="27"/>
  <c r="BC179" i="27" s="1"/>
  <c r="AQ179" i="27"/>
  <c r="BD179" i="27" s="1"/>
  <c r="AR179" i="27"/>
  <c r="BE179" i="27" s="1"/>
  <c r="AS179" i="27"/>
  <c r="BF179" i="27" s="1"/>
  <c r="AT179" i="27"/>
  <c r="AV179" i="27"/>
  <c r="AY179" i="27"/>
  <c r="AZ179" i="27"/>
  <c r="BA179" i="27"/>
  <c r="BB179" i="27"/>
  <c r="BG179" i="27"/>
  <c r="H180" i="27"/>
  <c r="I180" i="27"/>
  <c r="Z180" i="27" s="1"/>
  <c r="J180" i="27"/>
  <c r="AA180" i="27" s="1"/>
  <c r="K180" i="27"/>
  <c r="AB180" i="27" s="1"/>
  <c r="L180" i="27"/>
  <c r="AC180" i="27" s="1"/>
  <c r="M180" i="27"/>
  <c r="AD180" i="27" s="1"/>
  <c r="N180" i="27"/>
  <c r="AE180" i="27" s="1"/>
  <c r="O180" i="27"/>
  <c r="AF180" i="27" s="1"/>
  <c r="P180" i="27"/>
  <c r="R180" i="27"/>
  <c r="AI180" i="27" s="1"/>
  <c r="S180" i="27"/>
  <c r="T180" i="27"/>
  <c r="U180" i="27"/>
  <c r="V180" i="27"/>
  <c r="Y180" i="27"/>
  <c r="AG180" i="27"/>
  <c r="AJ180" i="27"/>
  <c r="AL180" i="27"/>
  <c r="AM180" i="27"/>
  <c r="AN180" i="27"/>
  <c r="AO180" i="27"/>
  <c r="AP180" i="27"/>
  <c r="BC180" i="27" s="1"/>
  <c r="AQ180" i="27"/>
  <c r="BD180" i="27" s="1"/>
  <c r="AR180" i="27"/>
  <c r="BE180" i="27" s="1"/>
  <c r="AS180" i="27"/>
  <c r="BF180" i="27" s="1"/>
  <c r="AT180" i="27"/>
  <c r="AV180" i="27"/>
  <c r="AY180" i="27"/>
  <c r="AZ180" i="27"/>
  <c r="BA180" i="27"/>
  <c r="BB180" i="27"/>
  <c r="BG180" i="27"/>
  <c r="H181" i="27"/>
  <c r="I181" i="27"/>
  <c r="Z181" i="27" s="1"/>
  <c r="J181" i="27"/>
  <c r="AA181" i="27" s="1"/>
  <c r="K181" i="27"/>
  <c r="AB181" i="27" s="1"/>
  <c r="L181" i="27"/>
  <c r="AC181" i="27" s="1"/>
  <c r="M181" i="27"/>
  <c r="AD181" i="27" s="1"/>
  <c r="N181" i="27"/>
  <c r="AE181" i="27" s="1"/>
  <c r="O181" i="27"/>
  <c r="AF181" i="27" s="1"/>
  <c r="P181" i="27"/>
  <c r="R181" i="27"/>
  <c r="AI181" i="27" s="1"/>
  <c r="S181" i="27"/>
  <c r="T181" i="27"/>
  <c r="U181" i="27"/>
  <c r="V181" i="27"/>
  <c r="Y181" i="27"/>
  <c r="AG181" i="27"/>
  <c r="AJ181" i="27"/>
  <c r="AL181" i="27"/>
  <c r="AM181" i="27"/>
  <c r="AN181" i="27"/>
  <c r="AO181" i="27"/>
  <c r="AP181" i="27"/>
  <c r="BC181" i="27" s="1"/>
  <c r="AQ181" i="27"/>
  <c r="BD181" i="27" s="1"/>
  <c r="AR181" i="27"/>
  <c r="BE181" i="27" s="1"/>
  <c r="AS181" i="27"/>
  <c r="BF181" i="27" s="1"/>
  <c r="AT181" i="27"/>
  <c r="AV181" i="27"/>
  <c r="AY181" i="27"/>
  <c r="AZ181" i="27"/>
  <c r="BA181" i="27"/>
  <c r="BB181" i="27"/>
  <c r="BG181" i="27"/>
  <c r="H182" i="27"/>
  <c r="I182" i="27"/>
  <c r="Z182" i="27" s="1"/>
  <c r="J182" i="27"/>
  <c r="K182" i="27"/>
  <c r="AB182" i="27" s="1"/>
  <c r="L182" i="27"/>
  <c r="AC182" i="27" s="1"/>
  <c r="M182" i="27"/>
  <c r="AD182" i="27" s="1"/>
  <c r="N182" i="27"/>
  <c r="AE182" i="27" s="1"/>
  <c r="O182" i="27"/>
  <c r="AF182" i="27" s="1"/>
  <c r="P182" i="27"/>
  <c r="R182" i="27"/>
  <c r="S182" i="27"/>
  <c r="T182" i="27"/>
  <c r="U182" i="27"/>
  <c r="V182" i="27"/>
  <c r="Y182" i="27"/>
  <c r="AA182" i="27"/>
  <c r="AG182" i="27"/>
  <c r="AI182" i="27"/>
  <c r="AJ182" i="27"/>
  <c r="AL182" i="27"/>
  <c r="AM182" i="27"/>
  <c r="AN182" i="27"/>
  <c r="AO182" i="27"/>
  <c r="AP182" i="27"/>
  <c r="BC182" i="27" s="1"/>
  <c r="AQ182" i="27"/>
  <c r="BD182" i="27" s="1"/>
  <c r="AR182" i="27"/>
  <c r="BE182" i="27" s="1"/>
  <c r="AS182" i="27"/>
  <c r="BF182" i="27" s="1"/>
  <c r="AT182" i="27"/>
  <c r="AV182" i="27"/>
  <c r="AY182" i="27"/>
  <c r="AZ182" i="27"/>
  <c r="BA182" i="27"/>
  <c r="BB182" i="27"/>
  <c r="BG182" i="27"/>
  <c r="H183" i="27"/>
  <c r="I183" i="27"/>
  <c r="Z183" i="27" s="1"/>
  <c r="J183" i="27"/>
  <c r="AA183" i="27" s="1"/>
  <c r="K183" i="27"/>
  <c r="AB183" i="27" s="1"/>
  <c r="L183" i="27"/>
  <c r="AC183" i="27" s="1"/>
  <c r="M183" i="27"/>
  <c r="AD183" i="27" s="1"/>
  <c r="N183" i="27"/>
  <c r="AE183" i="27" s="1"/>
  <c r="O183" i="27"/>
  <c r="AF183" i="27" s="1"/>
  <c r="P183" i="27"/>
  <c r="R183" i="27"/>
  <c r="AI183" i="27" s="1"/>
  <c r="S183" i="27"/>
  <c r="T183" i="27"/>
  <c r="U183" i="27"/>
  <c r="V183" i="27"/>
  <c r="Y183" i="27"/>
  <c r="AG183" i="27"/>
  <c r="AJ183" i="27"/>
  <c r="AL183" i="27"/>
  <c r="AM183" i="27"/>
  <c r="AN183" i="27"/>
  <c r="AO183" i="27"/>
  <c r="AP183" i="27"/>
  <c r="BC183" i="27" s="1"/>
  <c r="AQ183" i="27"/>
  <c r="BD183" i="27" s="1"/>
  <c r="AR183" i="27"/>
  <c r="BE183" i="27" s="1"/>
  <c r="AS183" i="27"/>
  <c r="BF183" i="27" s="1"/>
  <c r="AT183" i="27"/>
  <c r="AV183" i="27"/>
  <c r="AY183" i="27"/>
  <c r="AZ183" i="27"/>
  <c r="BA183" i="27"/>
  <c r="BB183" i="27"/>
  <c r="BG183" i="27"/>
  <c r="H184" i="27"/>
  <c r="I184" i="27"/>
  <c r="Z184" i="27" s="1"/>
  <c r="J184" i="27"/>
  <c r="AA184" i="27" s="1"/>
  <c r="K184" i="27"/>
  <c r="AB184" i="27" s="1"/>
  <c r="L184" i="27"/>
  <c r="AC184" i="27" s="1"/>
  <c r="M184" i="27"/>
  <c r="AD184" i="27" s="1"/>
  <c r="N184" i="27"/>
  <c r="AE184" i="27" s="1"/>
  <c r="O184" i="27"/>
  <c r="AF184" i="27" s="1"/>
  <c r="P184" i="27"/>
  <c r="R184" i="27"/>
  <c r="AI184" i="27" s="1"/>
  <c r="S184" i="27"/>
  <c r="T184" i="27"/>
  <c r="U184" i="27"/>
  <c r="V184" i="27"/>
  <c r="Y184" i="27"/>
  <c r="AG184" i="27"/>
  <c r="AJ184" i="27"/>
  <c r="AL184" i="27"/>
  <c r="AM184" i="27"/>
  <c r="AN184" i="27"/>
  <c r="AO184" i="27"/>
  <c r="AP184" i="27"/>
  <c r="BC184" i="27" s="1"/>
  <c r="AQ184" i="27"/>
  <c r="BD184" i="27" s="1"/>
  <c r="AR184" i="27"/>
  <c r="BE184" i="27" s="1"/>
  <c r="AS184" i="27"/>
  <c r="BF184" i="27" s="1"/>
  <c r="AT184" i="27"/>
  <c r="AV184" i="27"/>
  <c r="AY184" i="27"/>
  <c r="AZ184" i="27"/>
  <c r="BA184" i="27"/>
  <c r="BB184" i="27"/>
  <c r="BG184" i="27"/>
  <c r="H185" i="27"/>
  <c r="I185" i="27"/>
  <c r="Z185" i="27" s="1"/>
  <c r="J185" i="27"/>
  <c r="AA185" i="27" s="1"/>
  <c r="K185" i="27"/>
  <c r="AB185" i="27" s="1"/>
  <c r="L185" i="27"/>
  <c r="AC185" i="27" s="1"/>
  <c r="M185" i="27"/>
  <c r="AD185" i="27" s="1"/>
  <c r="N185" i="27"/>
  <c r="AE185" i="27" s="1"/>
  <c r="O185" i="27"/>
  <c r="AF185" i="27" s="1"/>
  <c r="P185" i="27"/>
  <c r="R185" i="27"/>
  <c r="AI185" i="27" s="1"/>
  <c r="S185" i="27"/>
  <c r="T185" i="27"/>
  <c r="U185" i="27"/>
  <c r="V185" i="27"/>
  <c r="Y185" i="27"/>
  <c r="AG185" i="27"/>
  <c r="AJ185" i="27"/>
  <c r="AL185" i="27"/>
  <c r="AM185" i="27"/>
  <c r="AN185" i="27"/>
  <c r="AO185" i="27"/>
  <c r="AP185" i="27"/>
  <c r="BC185" i="27" s="1"/>
  <c r="AQ185" i="27"/>
  <c r="BD185" i="27" s="1"/>
  <c r="AR185" i="27"/>
  <c r="BE185" i="27" s="1"/>
  <c r="AS185" i="27"/>
  <c r="BF185" i="27" s="1"/>
  <c r="AT185" i="27"/>
  <c r="AV185" i="27"/>
  <c r="AY185" i="27"/>
  <c r="AZ185" i="27"/>
  <c r="BA185" i="27"/>
  <c r="BB185" i="27"/>
  <c r="BG185" i="27"/>
  <c r="H186" i="27"/>
  <c r="I186" i="27"/>
  <c r="Z186" i="27" s="1"/>
  <c r="J186" i="27"/>
  <c r="AA186" i="27" s="1"/>
  <c r="K186" i="27"/>
  <c r="AB186" i="27" s="1"/>
  <c r="L186" i="27"/>
  <c r="AC186" i="27" s="1"/>
  <c r="M186" i="27"/>
  <c r="AD186" i="27" s="1"/>
  <c r="N186" i="27"/>
  <c r="AE186" i="27" s="1"/>
  <c r="O186" i="27"/>
  <c r="AF186" i="27" s="1"/>
  <c r="P186" i="27"/>
  <c r="R186" i="27"/>
  <c r="AI186" i="27" s="1"/>
  <c r="S186" i="27"/>
  <c r="T186" i="27"/>
  <c r="U186" i="27"/>
  <c r="V186" i="27"/>
  <c r="Y186" i="27"/>
  <c r="AG186" i="27"/>
  <c r="AJ186" i="27"/>
  <c r="AL186" i="27"/>
  <c r="AM186" i="27"/>
  <c r="AN186" i="27"/>
  <c r="AO186" i="27"/>
  <c r="AP186" i="27"/>
  <c r="BC186" i="27" s="1"/>
  <c r="AQ186" i="27"/>
  <c r="BD186" i="27" s="1"/>
  <c r="AR186" i="27"/>
  <c r="BE186" i="27" s="1"/>
  <c r="AS186" i="27"/>
  <c r="BF186" i="27" s="1"/>
  <c r="AT186" i="27"/>
  <c r="AV186" i="27"/>
  <c r="AY186" i="27"/>
  <c r="AZ186" i="27"/>
  <c r="BA186" i="27"/>
  <c r="BB186" i="27"/>
  <c r="BG186" i="27"/>
  <c r="H187" i="27"/>
  <c r="I187" i="27"/>
  <c r="Z187" i="27" s="1"/>
  <c r="J187" i="27"/>
  <c r="AA187" i="27" s="1"/>
  <c r="K187" i="27"/>
  <c r="AB187" i="27" s="1"/>
  <c r="L187" i="27"/>
  <c r="AC187" i="27" s="1"/>
  <c r="M187" i="27"/>
  <c r="AD187" i="27" s="1"/>
  <c r="N187" i="27"/>
  <c r="O187" i="27"/>
  <c r="AF187" i="27" s="1"/>
  <c r="P187" i="27"/>
  <c r="R187" i="27"/>
  <c r="AI187" i="27" s="1"/>
  <c r="S187" i="27"/>
  <c r="T187" i="27"/>
  <c r="U187" i="27"/>
  <c r="V187" i="27"/>
  <c r="Y187" i="27"/>
  <c r="AE187" i="27"/>
  <c r="AG187" i="27"/>
  <c r="AJ187" i="27"/>
  <c r="AL187" i="27"/>
  <c r="AM187" i="27"/>
  <c r="AZ187" i="27" s="1"/>
  <c r="AN187" i="27"/>
  <c r="AO187" i="27"/>
  <c r="AP187" i="27"/>
  <c r="BC187" i="27" s="1"/>
  <c r="AQ187" i="27"/>
  <c r="BD187" i="27" s="1"/>
  <c r="AR187" i="27"/>
  <c r="BE187" i="27" s="1"/>
  <c r="AS187" i="27"/>
  <c r="BF187" i="27" s="1"/>
  <c r="AT187" i="27"/>
  <c r="AV187" i="27"/>
  <c r="AY187" i="27"/>
  <c r="BA187" i="27"/>
  <c r="BB187" i="27"/>
  <c r="BG187" i="27"/>
  <c r="H188" i="27"/>
  <c r="I188" i="27"/>
  <c r="J188" i="27"/>
  <c r="AA188" i="27" s="1"/>
  <c r="K188" i="27"/>
  <c r="AB188" i="27" s="1"/>
  <c r="L188" i="27"/>
  <c r="AC188" i="27" s="1"/>
  <c r="M188" i="27"/>
  <c r="AD188" i="27" s="1"/>
  <c r="N188" i="27"/>
  <c r="AE188" i="27" s="1"/>
  <c r="O188" i="27"/>
  <c r="AF188" i="27" s="1"/>
  <c r="P188" i="27"/>
  <c r="R188" i="27"/>
  <c r="S188" i="27"/>
  <c r="T188" i="27"/>
  <c r="U188" i="27"/>
  <c r="V188" i="27"/>
  <c r="Y188" i="27"/>
  <c r="Z188" i="27"/>
  <c r="AG188" i="27"/>
  <c r="AI188" i="27"/>
  <c r="AJ188" i="27"/>
  <c r="AL188" i="27"/>
  <c r="AM188" i="27"/>
  <c r="AN188" i="27"/>
  <c r="AO188" i="27"/>
  <c r="AP188" i="27"/>
  <c r="BC188" i="27" s="1"/>
  <c r="AQ188" i="27"/>
  <c r="BD188" i="27" s="1"/>
  <c r="AR188" i="27"/>
  <c r="BE188" i="27" s="1"/>
  <c r="AS188" i="27"/>
  <c r="BF188" i="27" s="1"/>
  <c r="AT188" i="27"/>
  <c r="AV188" i="27"/>
  <c r="AY188" i="27"/>
  <c r="AZ188" i="27"/>
  <c r="BA188" i="27"/>
  <c r="BB188" i="27"/>
  <c r="BG188" i="27"/>
  <c r="H189" i="27"/>
  <c r="I189" i="27"/>
  <c r="Z189" i="27" s="1"/>
  <c r="J189" i="27"/>
  <c r="AA189" i="27" s="1"/>
  <c r="K189" i="27"/>
  <c r="AB189" i="27" s="1"/>
  <c r="L189" i="27"/>
  <c r="AC189" i="27" s="1"/>
  <c r="M189" i="27"/>
  <c r="AD189" i="27" s="1"/>
  <c r="N189" i="27"/>
  <c r="AE189" i="27" s="1"/>
  <c r="O189" i="27"/>
  <c r="AF189" i="27" s="1"/>
  <c r="P189" i="27"/>
  <c r="R189" i="27"/>
  <c r="S189" i="27"/>
  <c r="T189" i="27"/>
  <c r="U189" i="27"/>
  <c r="V189" i="27"/>
  <c r="Y189" i="27"/>
  <c r="AG189" i="27"/>
  <c r="AI189" i="27"/>
  <c r="AJ189" i="27"/>
  <c r="AL189" i="27"/>
  <c r="AM189" i="27"/>
  <c r="AN189" i="27"/>
  <c r="AO189" i="27"/>
  <c r="BB189" i="27" s="1"/>
  <c r="AP189" i="27"/>
  <c r="BC189" i="27" s="1"/>
  <c r="AQ189" i="27"/>
  <c r="BD189" i="27" s="1"/>
  <c r="AR189" i="27"/>
  <c r="BE189" i="27" s="1"/>
  <c r="AS189" i="27"/>
  <c r="BF189" i="27" s="1"/>
  <c r="AT189" i="27"/>
  <c r="AV189" i="27"/>
  <c r="AY189" i="27"/>
  <c r="AZ189" i="27"/>
  <c r="BA189" i="27"/>
  <c r="BG189" i="27"/>
  <c r="H190" i="27"/>
  <c r="I190" i="27"/>
  <c r="J190" i="27"/>
  <c r="AA190" i="27" s="1"/>
  <c r="K190" i="27"/>
  <c r="AB190" i="27" s="1"/>
  <c r="L190" i="27"/>
  <c r="AC190" i="27" s="1"/>
  <c r="M190" i="27"/>
  <c r="AD190" i="27" s="1"/>
  <c r="N190" i="27"/>
  <c r="AE190" i="27" s="1"/>
  <c r="O190" i="27"/>
  <c r="AF190" i="27" s="1"/>
  <c r="P190" i="27"/>
  <c r="R190" i="27"/>
  <c r="S190" i="27"/>
  <c r="T190" i="27"/>
  <c r="U190" i="27"/>
  <c r="V190" i="27"/>
  <c r="Y190" i="27"/>
  <c r="Z190" i="27"/>
  <c r="AG190" i="27"/>
  <c r="AI190" i="27"/>
  <c r="AJ190" i="27"/>
  <c r="AL190" i="27"/>
  <c r="AM190" i="27"/>
  <c r="AN190" i="27"/>
  <c r="AO190" i="27"/>
  <c r="AP190" i="27"/>
  <c r="BC190" i="27" s="1"/>
  <c r="AQ190" i="27"/>
  <c r="BD190" i="27" s="1"/>
  <c r="AR190" i="27"/>
  <c r="BE190" i="27" s="1"/>
  <c r="AS190" i="27"/>
  <c r="BF190" i="27" s="1"/>
  <c r="AT190" i="27"/>
  <c r="AV190" i="27"/>
  <c r="AY190" i="27"/>
  <c r="AZ190" i="27"/>
  <c r="BA190" i="27"/>
  <c r="BB190" i="27"/>
  <c r="BG190" i="27"/>
  <c r="H191" i="27"/>
  <c r="I191" i="27"/>
  <c r="J191" i="27"/>
  <c r="AA191" i="27" s="1"/>
  <c r="K191" i="27"/>
  <c r="AB191" i="27" s="1"/>
  <c r="L191" i="27"/>
  <c r="AC191" i="27" s="1"/>
  <c r="M191" i="27"/>
  <c r="AD191" i="27" s="1"/>
  <c r="N191" i="27"/>
  <c r="AE191" i="27" s="1"/>
  <c r="O191" i="27"/>
  <c r="AF191" i="27" s="1"/>
  <c r="P191" i="27"/>
  <c r="R191" i="27"/>
  <c r="S191" i="27"/>
  <c r="T191" i="27"/>
  <c r="U191" i="27"/>
  <c r="V191" i="27"/>
  <c r="Y191" i="27"/>
  <c r="Z191" i="27"/>
  <c r="AG191" i="27"/>
  <c r="AI191" i="27"/>
  <c r="AJ191" i="27"/>
  <c r="AL191" i="27"/>
  <c r="AM191" i="27"/>
  <c r="AN191" i="27"/>
  <c r="AO191" i="27"/>
  <c r="AP191" i="27"/>
  <c r="BC191" i="27" s="1"/>
  <c r="AQ191" i="27"/>
  <c r="BD191" i="27" s="1"/>
  <c r="AR191" i="27"/>
  <c r="BE191" i="27" s="1"/>
  <c r="AS191" i="27"/>
  <c r="BF191" i="27" s="1"/>
  <c r="AT191" i="27"/>
  <c r="AV191" i="27"/>
  <c r="AY191" i="27"/>
  <c r="AZ191" i="27"/>
  <c r="BA191" i="27"/>
  <c r="BB191" i="27"/>
  <c r="BG191" i="27"/>
  <c r="H192" i="27"/>
  <c r="I192" i="27"/>
  <c r="J192" i="27"/>
  <c r="AA192" i="27" s="1"/>
  <c r="K192" i="27"/>
  <c r="AB192" i="27" s="1"/>
  <c r="L192" i="27"/>
  <c r="AC192" i="27" s="1"/>
  <c r="M192" i="27"/>
  <c r="AD192" i="27" s="1"/>
  <c r="N192" i="27"/>
  <c r="AE192" i="27" s="1"/>
  <c r="O192" i="27"/>
  <c r="AF192" i="27" s="1"/>
  <c r="P192" i="27"/>
  <c r="R192" i="27"/>
  <c r="S192" i="27"/>
  <c r="T192" i="27"/>
  <c r="U192" i="27"/>
  <c r="V192" i="27"/>
  <c r="Y192" i="27"/>
  <c r="Z192" i="27"/>
  <c r="AG192" i="27"/>
  <c r="AI192" i="27"/>
  <c r="AJ192" i="27"/>
  <c r="AL192" i="27"/>
  <c r="AM192" i="27"/>
  <c r="AN192" i="27"/>
  <c r="AO192" i="27"/>
  <c r="BB192" i="27" s="1"/>
  <c r="AP192" i="27"/>
  <c r="BC192" i="27" s="1"/>
  <c r="AQ192" i="27"/>
  <c r="BD192" i="27" s="1"/>
  <c r="AR192" i="27"/>
  <c r="BE192" i="27" s="1"/>
  <c r="AS192" i="27"/>
  <c r="BF192" i="27" s="1"/>
  <c r="AT192" i="27"/>
  <c r="AV192" i="27"/>
  <c r="AY192" i="27"/>
  <c r="AZ192" i="27"/>
  <c r="BA192" i="27"/>
  <c r="BG192" i="27"/>
  <c r="H193" i="27"/>
  <c r="I193" i="27"/>
  <c r="Z193" i="27" s="1"/>
  <c r="J193" i="27"/>
  <c r="AA193" i="27" s="1"/>
  <c r="K193" i="27"/>
  <c r="AB193" i="27" s="1"/>
  <c r="L193" i="27"/>
  <c r="AC193" i="27" s="1"/>
  <c r="M193" i="27"/>
  <c r="AD193" i="27" s="1"/>
  <c r="N193" i="27"/>
  <c r="AE193" i="27" s="1"/>
  <c r="O193" i="27"/>
  <c r="AF193" i="27" s="1"/>
  <c r="P193" i="27"/>
  <c r="R193" i="27"/>
  <c r="AI193" i="27" s="1"/>
  <c r="S193" i="27"/>
  <c r="T193" i="27"/>
  <c r="U193" i="27"/>
  <c r="V193" i="27"/>
  <c r="Y193" i="27"/>
  <c r="AG193" i="27"/>
  <c r="AJ193" i="27"/>
  <c r="AL193" i="27"/>
  <c r="AM193" i="27"/>
  <c r="AN193" i="27"/>
  <c r="AO193" i="27"/>
  <c r="AP193" i="27"/>
  <c r="BC193" i="27" s="1"/>
  <c r="AQ193" i="27"/>
  <c r="BD193" i="27" s="1"/>
  <c r="AR193" i="27"/>
  <c r="BE193" i="27" s="1"/>
  <c r="AS193" i="27"/>
  <c r="BF193" i="27" s="1"/>
  <c r="AT193" i="27"/>
  <c r="AV193" i="27"/>
  <c r="AY193" i="27"/>
  <c r="AZ193" i="27"/>
  <c r="BA193" i="27"/>
  <c r="BB193" i="27"/>
  <c r="BG193" i="27"/>
  <c r="H194" i="27"/>
  <c r="I194" i="27"/>
  <c r="Z194" i="27" s="1"/>
  <c r="J194" i="27"/>
  <c r="AA194" i="27" s="1"/>
  <c r="K194" i="27"/>
  <c r="AB194" i="27" s="1"/>
  <c r="L194" i="27"/>
  <c r="AC194" i="27" s="1"/>
  <c r="M194" i="27"/>
  <c r="AD194" i="27" s="1"/>
  <c r="N194" i="27"/>
  <c r="AE194" i="27" s="1"/>
  <c r="O194" i="27"/>
  <c r="AF194" i="27" s="1"/>
  <c r="P194" i="27"/>
  <c r="R194" i="27"/>
  <c r="AI194" i="27" s="1"/>
  <c r="S194" i="27"/>
  <c r="T194" i="27"/>
  <c r="U194" i="27"/>
  <c r="V194" i="27"/>
  <c r="Y194" i="27"/>
  <c r="AG194" i="27"/>
  <c r="AJ194" i="27"/>
  <c r="AL194" i="27"/>
  <c r="AM194" i="27"/>
  <c r="AN194" i="27"/>
  <c r="AO194" i="27"/>
  <c r="AP194" i="27"/>
  <c r="BC194" i="27" s="1"/>
  <c r="AQ194" i="27"/>
  <c r="BD194" i="27" s="1"/>
  <c r="AR194" i="27"/>
  <c r="BE194" i="27" s="1"/>
  <c r="AS194" i="27"/>
  <c r="BF194" i="27" s="1"/>
  <c r="AT194" i="27"/>
  <c r="AV194" i="27"/>
  <c r="AY194" i="27"/>
  <c r="AZ194" i="27"/>
  <c r="BA194" i="27"/>
  <c r="BB194" i="27"/>
  <c r="BG194" i="27"/>
  <c r="H195" i="27"/>
  <c r="I195" i="27"/>
  <c r="Z195" i="27" s="1"/>
  <c r="J195" i="27"/>
  <c r="AA195" i="27" s="1"/>
  <c r="K195" i="27"/>
  <c r="AB195" i="27" s="1"/>
  <c r="L195" i="27"/>
  <c r="AC195" i="27" s="1"/>
  <c r="M195" i="27"/>
  <c r="AD195" i="27" s="1"/>
  <c r="N195" i="27"/>
  <c r="AE195" i="27" s="1"/>
  <c r="O195" i="27"/>
  <c r="AF195" i="27" s="1"/>
  <c r="P195" i="27"/>
  <c r="R195" i="27"/>
  <c r="AI195" i="27" s="1"/>
  <c r="S195" i="27"/>
  <c r="T195" i="27"/>
  <c r="U195" i="27"/>
  <c r="V195" i="27"/>
  <c r="Y195" i="27"/>
  <c r="AG195" i="27"/>
  <c r="AJ195" i="27"/>
  <c r="AL195" i="27"/>
  <c r="AM195" i="27"/>
  <c r="AN195" i="27"/>
  <c r="AO195" i="27"/>
  <c r="BB195" i="27" s="1"/>
  <c r="AP195" i="27"/>
  <c r="BC195" i="27" s="1"/>
  <c r="AQ195" i="27"/>
  <c r="BD195" i="27" s="1"/>
  <c r="AR195" i="27"/>
  <c r="BE195" i="27" s="1"/>
  <c r="AS195" i="27"/>
  <c r="BF195" i="27" s="1"/>
  <c r="AT195" i="27"/>
  <c r="AV195" i="27"/>
  <c r="AY195" i="27"/>
  <c r="AZ195" i="27"/>
  <c r="BA195" i="27"/>
  <c r="BG195" i="27"/>
  <c r="H196" i="27"/>
  <c r="I196" i="27"/>
  <c r="J196" i="27"/>
  <c r="AA196" i="27" s="1"/>
  <c r="K196" i="27"/>
  <c r="AB196" i="27" s="1"/>
  <c r="L196" i="27"/>
  <c r="AC196" i="27" s="1"/>
  <c r="M196" i="27"/>
  <c r="AD196" i="27" s="1"/>
  <c r="N196" i="27"/>
  <c r="AE196" i="27" s="1"/>
  <c r="O196" i="27"/>
  <c r="AF196" i="27" s="1"/>
  <c r="P196" i="27"/>
  <c r="R196" i="27"/>
  <c r="S196" i="27"/>
  <c r="T196" i="27"/>
  <c r="U196" i="27"/>
  <c r="V196" i="27"/>
  <c r="Y196" i="27"/>
  <c r="Z196" i="27"/>
  <c r="AG196" i="27"/>
  <c r="AI196" i="27"/>
  <c r="AJ196" i="27"/>
  <c r="AL196" i="27"/>
  <c r="AM196" i="27"/>
  <c r="AN196" i="27"/>
  <c r="AO196" i="27"/>
  <c r="AP196" i="27"/>
  <c r="BC196" i="27" s="1"/>
  <c r="AQ196" i="27"/>
  <c r="BD196" i="27" s="1"/>
  <c r="AR196" i="27"/>
  <c r="BE196" i="27" s="1"/>
  <c r="AS196" i="27"/>
  <c r="BF196" i="27" s="1"/>
  <c r="AT196" i="27"/>
  <c r="AV196" i="27"/>
  <c r="AY196" i="27"/>
  <c r="AZ196" i="27"/>
  <c r="BA196" i="27"/>
  <c r="BB196" i="27"/>
  <c r="BG196" i="27"/>
  <c r="H197" i="27"/>
  <c r="I197" i="27"/>
  <c r="Z197" i="27" s="1"/>
  <c r="J197" i="27"/>
  <c r="AA197" i="27" s="1"/>
  <c r="K197" i="27"/>
  <c r="AB197" i="27" s="1"/>
  <c r="L197" i="27"/>
  <c r="AC197" i="27" s="1"/>
  <c r="M197" i="27"/>
  <c r="AD197" i="27" s="1"/>
  <c r="N197" i="27"/>
  <c r="AE197" i="27" s="1"/>
  <c r="O197" i="27"/>
  <c r="AF197" i="27" s="1"/>
  <c r="P197" i="27"/>
  <c r="R197" i="27"/>
  <c r="S197" i="27"/>
  <c r="T197" i="27"/>
  <c r="U197" i="27"/>
  <c r="V197" i="27"/>
  <c r="Y197" i="27"/>
  <c r="AG197" i="27"/>
  <c r="AI197" i="27"/>
  <c r="AJ197" i="27"/>
  <c r="AL197" i="27"/>
  <c r="AM197" i="27"/>
  <c r="AN197" i="27"/>
  <c r="AO197" i="27"/>
  <c r="AP197" i="27"/>
  <c r="BC197" i="27" s="1"/>
  <c r="AQ197" i="27"/>
  <c r="BD197" i="27" s="1"/>
  <c r="AR197" i="27"/>
  <c r="BE197" i="27" s="1"/>
  <c r="AS197" i="27"/>
  <c r="BF197" i="27" s="1"/>
  <c r="AT197" i="27"/>
  <c r="AV197" i="27"/>
  <c r="AY197" i="27"/>
  <c r="AZ197" i="27"/>
  <c r="BA197" i="27"/>
  <c r="BB197" i="27"/>
  <c r="BG197" i="27"/>
  <c r="H198" i="27"/>
  <c r="I198" i="27"/>
  <c r="Z198" i="27" s="1"/>
  <c r="J198" i="27"/>
  <c r="AA198" i="27" s="1"/>
  <c r="K198" i="27"/>
  <c r="AB198" i="27" s="1"/>
  <c r="L198" i="27"/>
  <c r="AC198" i="27" s="1"/>
  <c r="M198" i="27"/>
  <c r="AD198" i="27" s="1"/>
  <c r="N198" i="27"/>
  <c r="AE198" i="27" s="1"/>
  <c r="O198" i="27"/>
  <c r="AF198" i="27" s="1"/>
  <c r="P198" i="27"/>
  <c r="R198" i="27"/>
  <c r="AI198" i="27" s="1"/>
  <c r="S198" i="27"/>
  <c r="T198" i="27"/>
  <c r="U198" i="27"/>
  <c r="V198" i="27"/>
  <c r="Y198" i="27"/>
  <c r="AG198" i="27"/>
  <c r="AJ198" i="27"/>
  <c r="AL198" i="27"/>
  <c r="AM198" i="27"/>
  <c r="AN198" i="27"/>
  <c r="AO198" i="27"/>
  <c r="AP198" i="27"/>
  <c r="BC198" i="27" s="1"/>
  <c r="AQ198" i="27"/>
  <c r="BD198" i="27" s="1"/>
  <c r="AR198" i="27"/>
  <c r="BE198" i="27" s="1"/>
  <c r="AS198" i="27"/>
  <c r="BF198" i="27" s="1"/>
  <c r="AT198" i="27"/>
  <c r="AV198" i="27"/>
  <c r="AY198" i="27"/>
  <c r="AZ198" i="27"/>
  <c r="BA198" i="27"/>
  <c r="BB198" i="27"/>
  <c r="BG198" i="27"/>
  <c r="H199" i="27"/>
  <c r="I199" i="27"/>
  <c r="Z199" i="27" s="1"/>
  <c r="J199" i="27"/>
  <c r="AA199" i="27" s="1"/>
  <c r="K199" i="27"/>
  <c r="AB199" i="27" s="1"/>
  <c r="L199" i="27"/>
  <c r="AC199" i="27" s="1"/>
  <c r="M199" i="27"/>
  <c r="AD199" i="27" s="1"/>
  <c r="N199" i="27"/>
  <c r="AE199" i="27" s="1"/>
  <c r="O199" i="27"/>
  <c r="AF199" i="27" s="1"/>
  <c r="P199" i="27"/>
  <c r="R199" i="27"/>
  <c r="AI199" i="27" s="1"/>
  <c r="S199" i="27"/>
  <c r="T199" i="27"/>
  <c r="U199" i="27"/>
  <c r="V199" i="27"/>
  <c r="Y199" i="27"/>
  <c r="AG199" i="27"/>
  <c r="AJ199" i="27"/>
  <c r="AL199" i="27"/>
  <c r="AM199" i="27"/>
  <c r="AN199" i="27"/>
  <c r="AO199" i="27"/>
  <c r="AP199" i="27"/>
  <c r="BC199" i="27" s="1"/>
  <c r="AQ199" i="27"/>
  <c r="BD199" i="27" s="1"/>
  <c r="AR199" i="27"/>
  <c r="BE199" i="27" s="1"/>
  <c r="AS199" i="27"/>
  <c r="BF199" i="27" s="1"/>
  <c r="AT199" i="27"/>
  <c r="AV199" i="27"/>
  <c r="AY199" i="27"/>
  <c r="AZ199" i="27"/>
  <c r="BA199" i="27"/>
  <c r="BB199" i="27"/>
  <c r="BG199" i="27"/>
  <c r="H200" i="27"/>
  <c r="I200" i="27"/>
  <c r="Z200" i="27" s="1"/>
  <c r="J200" i="27"/>
  <c r="AA200" i="27" s="1"/>
  <c r="K200" i="27"/>
  <c r="AB200" i="27" s="1"/>
  <c r="L200" i="27"/>
  <c r="AC200" i="27" s="1"/>
  <c r="M200" i="27"/>
  <c r="AD200" i="27" s="1"/>
  <c r="N200" i="27"/>
  <c r="AE200" i="27" s="1"/>
  <c r="O200" i="27"/>
  <c r="AF200" i="27" s="1"/>
  <c r="P200" i="27"/>
  <c r="R200" i="27"/>
  <c r="AI200" i="27" s="1"/>
  <c r="S200" i="27"/>
  <c r="T200" i="27"/>
  <c r="U200" i="27"/>
  <c r="V200" i="27"/>
  <c r="Y200" i="27"/>
  <c r="AG200" i="27"/>
  <c r="AJ200" i="27"/>
  <c r="AL200" i="27"/>
  <c r="AM200" i="27"/>
  <c r="AN200" i="27"/>
  <c r="AO200" i="27"/>
  <c r="AP200" i="27"/>
  <c r="BC200" i="27" s="1"/>
  <c r="AQ200" i="27"/>
  <c r="BD200" i="27" s="1"/>
  <c r="AR200" i="27"/>
  <c r="BE200" i="27" s="1"/>
  <c r="AS200" i="27"/>
  <c r="BF200" i="27" s="1"/>
  <c r="AT200" i="27"/>
  <c r="AV200" i="27"/>
  <c r="AY200" i="27"/>
  <c r="AZ200" i="27"/>
  <c r="BA200" i="27"/>
  <c r="BB200" i="27"/>
  <c r="BG200" i="27"/>
  <c r="H201" i="27"/>
  <c r="I201" i="27"/>
  <c r="Z201" i="27" s="1"/>
  <c r="J201" i="27"/>
  <c r="AA201" i="27" s="1"/>
  <c r="K201" i="27"/>
  <c r="AB201" i="27" s="1"/>
  <c r="L201" i="27"/>
  <c r="AC201" i="27" s="1"/>
  <c r="M201" i="27"/>
  <c r="AD201" i="27" s="1"/>
  <c r="N201" i="27"/>
  <c r="AE201" i="27" s="1"/>
  <c r="O201" i="27"/>
  <c r="AF201" i="27" s="1"/>
  <c r="P201" i="27"/>
  <c r="R201" i="27"/>
  <c r="AI201" i="27" s="1"/>
  <c r="S201" i="27"/>
  <c r="T201" i="27"/>
  <c r="U201" i="27"/>
  <c r="V201" i="27"/>
  <c r="Y201" i="27"/>
  <c r="AG201" i="27"/>
  <c r="AJ201" i="27"/>
  <c r="AL201" i="27"/>
  <c r="AM201" i="27"/>
  <c r="AN201" i="27"/>
  <c r="AO201" i="27"/>
  <c r="AP201" i="27"/>
  <c r="BC201" i="27" s="1"/>
  <c r="AQ201" i="27"/>
  <c r="BD201" i="27" s="1"/>
  <c r="AR201" i="27"/>
  <c r="BE201" i="27" s="1"/>
  <c r="AS201" i="27"/>
  <c r="BF201" i="27" s="1"/>
  <c r="AT201" i="27"/>
  <c r="AV201" i="27"/>
  <c r="AY201" i="27"/>
  <c r="AZ201" i="27"/>
  <c r="BA201" i="27"/>
  <c r="BB201" i="27"/>
  <c r="BG201" i="27"/>
  <c r="H202" i="27"/>
  <c r="I202" i="27"/>
  <c r="Z202" i="27" s="1"/>
  <c r="J202" i="27"/>
  <c r="AA202" i="27" s="1"/>
  <c r="K202" i="27"/>
  <c r="AB202" i="27" s="1"/>
  <c r="L202" i="27"/>
  <c r="AC202" i="27" s="1"/>
  <c r="M202" i="27"/>
  <c r="AD202" i="27" s="1"/>
  <c r="N202" i="27"/>
  <c r="AE202" i="27" s="1"/>
  <c r="O202" i="27"/>
  <c r="AF202" i="27" s="1"/>
  <c r="P202" i="27"/>
  <c r="R202" i="27"/>
  <c r="AI202" i="27" s="1"/>
  <c r="S202" i="27"/>
  <c r="T202" i="27"/>
  <c r="U202" i="27"/>
  <c r="V202" i="27"/>
  <c r="Y202" i="27"/>
  <c r="AG202" i="27"/>
  <c r="AJ202" i="27"/>
  <c r="AL202" i="27"/>
  <c r="AM202" i="27"/>
  <c r="AN202" i="27"/>
  <c r="AO202" i="27"/>
  <c r="AP202" i="27"/>
  <c r="BC202" i="27" s="1"/>
  <c r="AQ202" i="27"/>
  <c r="BD202" i="27" s="1"/>
  <c r="AR202" i="27"/>
  <c r="BE202" i="27" s="1"/>
  <c r="AS202" i="27"/>
  <c r="BF202" i="27" s="1"/>
  <c r="AT202" i="27"/>
  <c r="AV202" i="27"/>
  <c r="AY202" i="27"/>
  <c r="AZ202" i="27"/>
  <c r="BA202" i="27"/>
  <c r="BB202" i="27"/>
  <c r="BG202" i="27"/>
  <c r="H203" i="27"/>
  <c r="I203" i="27"/>
  <c r="Z203" i="27" s="1"/>
  <c r="J203" i="27"/>
  <c r="AA203" i="27" s="1"/>
  <c r="K203" i="27"/>
  <c r="AB203" i="27" s="1"/>
  <c r="L203" i="27"/>
  <c r="AC203" i="27" s="1"/>
  <c r="M203" i="27"/>
  <c r="AD203" i="27" s="1"/>
  <c r="N203" i="27"/>
  <c r="AE203" i="27" s="1"/>
  <c r="O203" i="27"/>
  <c r="AF203" i="27" s="1"/>
  <c r="P203" i="27"/>
  <c r="R203" i="27"/>
  <c r="AI203" i="27" s="1"/>
  <c r="S203" i="27"/>
  <c r="T203" i="27"/>
  <c r="U203" i="27"/>
  <c r="V203" i="27"/>
  <c r="Y203" i="27"/>
  <c r="AG203" i="27"/>
  <c r="AJ203" i="27"/>
  <c r="AL203" i="27"/>
  <c r="AM203" i="27"/>
  <c r="AN203" i="27"/>
  <c r="AO203" i="27"/>
  <c r="AP203" i="27"/>
  <c r="BC203" i="27" s="1"/>
  <c r="AQ203" i="27"/>
  <c r="BD203" i="27" s="1"/>
  <c r="AR203" i="27"/>
  <c r="BE203" i="27" s="1"/>
  <c r="AS203" i="27"/>
  <c r="BF203" i="27" s="1"/>
  <c r="AT203" i="27"/>
  <c r="AV203" i="27"/>
  <c r="AY203" i="27"/>
  <c r="AZ203" i="27"/>
  <c r="BA203" i="27"/>
  <c r="BB203" i="27"/>
  <c r="BG203" i="27"/>
  <c r="H204" i="27"/>
  <c r="I204" i="27"/>
  <c r="Z204" i="27" s="1"/>
  <c r="J204" i="27"/>
  <c r="AA204" i="27" s="1"/>
  <c r="K204" i="27"/>
  <c r="AB204" i="27" s="1"/>
  <c r="L204" i="27"/>
  <c r="AC204" i="27" s="1"/>
  <c r="M204" i="27"/>
  <c r="AD204" i="27" s="1"/>
  <c r="N204" i="27"/>
  <c r="AE204" i="27" s="1"/>
  <c r="O204" i="27"/>
  <c r="AF204" i="27" s="1"/>
  <c r="P204" i="27"/>
  <c r="R204" i="27"/>
  <c r="AI204" i="27" s="1"/>
  <c r="S204" i="27"/>
  <c r="T204" i="27"/>
  <c r="U204" i="27"/>
  <c r="V204" i="27"/>
  <c r="Y204" i="27"/>
  <c r="AG204" i="27"/>
  <c r="AJ204" i="27"/>
  <c r="AL204" i="27"/>
  <c r="AM204" i="27"/>
  <c r="AN204" i="27"/>
  <c r="AO204" i="27"/>
  <c r="AP204" i="27"/>
  <c r="BC204" i="27" s="1"/>
  <c r="AQ204" i="27"/>
  <c r="BD204" i="27" s="1"/>
  <c r="AR204" i="27"/>
  <c r="BE204" i="27" s="1"/>
  <c r="AS204" i="27"/>
  <c r="BF204" i="27" s="1"/>
  <c r="AT204" i="27"/>
  <c r="AV204" i="27"/>
  <c r="AY204" i="27"/>
  <c r="AZ204" i="27"/>
  <c r="BA204" i="27"/>
  <c r="BB204" i="27"/>
  <c r="BG204" i="27"/>
  <c r="H205" i="27"/>
  <c r="I205" i="27"/>
  <c r="Z205" i="27" s="1"/>
  <c r="J205" i="27"/>
  <c r="AA205" i="27" s="1"/>
  <c r="K205" i="27"/>
  <c r="AB205" i="27" s="1"/>
  <c r="L205" i="27"/>
  <c r="AC205" i="27" s="1"/>
  <c r="M205" i="27"/>
  <c r="AD205" i="27" s="1"/>
  <c r="N205" i="27"/>
  <c r="AE205" i="27" s="1"/>
  <c r="O205" i="27"/>
  <c r="AF205" i="27" s="1"/>
  <c r="P205" i="27"/>
  <c r="R205" i="27"/>
  <c r="AI205" i="27" s="1"/>
  <c r="S205" i="27"/>
  <c r="T205" i="27"/>
  <c r="U205" i="27"/>
  <c r="V205" i="27"/>
  <c r="Y205" i="27"/>
  <c r="AG205" i="27"/>
  <c r="AJ205" i="27"/>
  <c r="AL205" i="27"/>
  <c r="AM205" i="27"/>
  <c r="AN205" i="27"/>
  <c r="AO205" i="27"/>
  <c r="AP205" i="27"/>
  <c r="BC205" i="27" s="1"/>
  <c r="AQ205" i="27"/>
  <c r="BD205" i="27" s="1"/>
  <c r="AR205" i="27"/>
  <c r="BE205" i="27" s="1"/>
  <c r="AS205" i="27"/>
  <c r="BF205" i="27" s="1"/>
  <c r="AT205" i="27"/>
  <c r="AV205" i="27"/>
  <c r="AY205" i="27"/>
  <c r="AZ205" i="27"/>
  <c r="BA205" i="27"/>
  <c r="BB205" i="27"/>
  <c r="BG205" i="27"/>
  <c r="H206" i="27"/>
  <c r="I206" i="27"/>
  <c r="Z206" i="27" s="1"/>
  <c r="J206" i="27"/>
  <c r="AA206" i="27" s="1"/>
  <c r="K206" i="27"/>
  <c r="AB206" i="27" s="1"/>
  <c r="L206" i="27"/>
  <c r="AC206" i="27" s="1"/>
  <c r="M206" i="27"/>
  <c r="AD206" i="27" s="1"/>
  <c r="N206" i="27"/>
  <c r="AE206" i="27" s="1"/>
  <c r="O206" i="27"/>
  <c r="AF206" i="27" s="1"/>
  <c r="P206" i="27"/>
  <c r="R206" i="27"/>
  <c r="AI206" i="27" s="1"/>
  <c r="S206" i="27"/>
  <c r="T206" i="27"/>
  <c r="U206" i="27"/>
  <c r="V206" i="27"/>
  <c r="Y206" i="27"/>
  <c r="AG206" i="27"/>
  <c r="AJ206" i="27"/>
  <c r="AL206" i="27"/>
  <c r="AM206" i="27"/>
  <c r="AN206" i="27"/>
  <c r="AO206" i="27"/>
  <c r="AP206" i="27"/>
  <c r="BC206" i="27" s="1"/>
  <c r="AQ206" i="27"/>
  <c r="BD206" i="27" s="1"/>
  <c r="AR206" i="27"/>
  <c r="BE206" i="27" s="1"/>
  <c r="AS206" i="27"/>
  <c r="BF206" i="27" s="1"/>
  <c r="AT206" i="27"/>
  <c r="AV206" i="27"/>
  <c r="AY206" i="27"/>
  <c r="AZ206" i="27"/>
  <c r="BA206" i="27"/>
  <c r="BB206" i="27"/>
  <c r="BG206" i="27"/>
  <c r="H207" i="27"/>
  <c r="I207" i="27"/>
  <c r="Z207" i="27" s="1"/>
  <c r="J207" i="27"/>
  <c r="AA207" i="27" s="1"/>
  <c r="K207" i="27"/>
  <c r="AB207" i="27" s="1"/>
  <c r="L207" i="27"/>
  <c r="AC207" i="27" s="1"/>
  <c r="M207" i="27"/>
  <c r="AD207" i="27" s="1"/>
  <c r="N207" i="27"/>
  <c r="AE207" i="27" s="1"/>
  <c r="O207" i="27"/>
  <c r="AF207" i="27" s="1"/>
  <c r="P207" i="27"/>
  <c r="R207" i="27"/>
  <c r="AI207" i="27" s="1"/>
  <c r="S207" i="27"/>
  <c r="T207" i="27"/>
  <c r="U207" i="27"/>
  <c r="V207" i="27"/>
  <c r="Y207" i="27"/>
  <c r="AG207" i="27"/>
  <c r="AJ207" i="27"/>
  <c r="AL207" i="27"/>
  <c r="AM207" i="27"/>
  <c r="AN207" i="27"/>
  <c r="AO207" i="27"/>
  <c r="AP207" i="27"/>
  <c r="BC207" i="27" s="1"/>
  <c r="AQ207" i="27"/>
  <c r="BD207" i="27" s="1"/>
  <c r="AR207" i="27"/>
  <c r="BE207" i="27" s="1"/>
  <c r="AS207" i="27"/>
  <c r="BF207" i="27" s="1"/>
  <c r="AT207" i="27"/>
  <c r="AV207" i="27"/>
  <c r="AY207" i="27"/>
  <c r="AZ207" i="27"/>
  <c r="BA207" i="27"/>
  <c r="BB207" i="27"/>
  <c r="BG207" i="27"/>
  <c r="H208" i="27"/>
  <c r="I208" i="27"/>
  <c r="J208" i="27"/>
  <c r="AA208" i="27" s="1"/>
  <c r="K208" i="27"/>
  <c r="AB208" i="27" s="1"/>
  <c r="L208" i="27"/>
  <c r="AC208" i="27" s="1"/>
  <c r="M208" i="27"/>
  <c r="AD208" i="27" s="1"/>
  <c r="N208" i="27"/>
  <c r="AE208" i="27" s="1"/>
  <c r="O208" i="27"/>
  <c r="AF208" i="27" s="1"/>
  <c r="P208" i="27"/>
  <c r="R208" i="27"/>
  <c r="S208" i="27"/>
  <c r="T208" i="27"/>
  <c r="U208" i="27"/>
  <c r="V208" i="27"/>
  <c r="Y208" i="27"/>
  <c r="Z208" i="27"/>
  <c r="AG208" i="27"/>
  <c r="AI208" i="27"/>
  <c r="AJ208" i="27"/>
  <c r="AL208" i="27"/>
  <c r="AM208" i="27"/>
  <c r="AN208" i="27"/>
  <c r="AO208" i="27"/>
  <c r="BB208" i="27" s="1"/>
  <c r="AP208" i="27"/>
  <c r="BC208" i="27" s="1"/>
  <c r="AQ208" i="27"/>
  <c r="BD208" i="27" s="1"/>
  <c r="AR208" i="27"/>
  <c r="BE208" i="27" s="1"/>
  <c r="AS208" i="27"/>
  <c r="BF208" i="27" s="1"/>
  <c r="AT208" i="27"/>
  <c r="AV208" i="27"/>
  <c r="AY208" i="27"/>
  <c r="AZ208" i="27"/>
  <c r="BA208" i="27"/>
  <c r="BG208" i="27"/>
  <c r="H209" i="27"/>
  <c r="I209" i="27"/>
  <c r="J209" i="27"/>
  <c r="AA209" i="27" s="1"/>
  <c r="K209" i="27"/>
  <c r="AB209" i="27" s="1"/>
  <c r="L209" i="27"/>
  <c r="AC209" i="27" s="1"/>
  <c r="M209" i="27"/>
  <c r="AD209" i="27" s="1"/>
  <c r="N209" i="27"/>
  <c r="AE209" i="27" s="1"/>
  <c r="O209" i="27"/>
  <c r="AF209" i="27" s="1"/>
  <c r="P209" i="27"/>
  <c r="R209" i="27"/>
  <c r="S209" i="27"/>
  <c r="T209" i="27"/>
  <c r="U209" i="27"/>
  <c r="V209" i="27"/>
  <c r="Y209" i="27"/>
  <c r="Z209" i="27"/>
  <c r="AG209" i="27"/>
  <c r="AI209" i="27"/>
  <c r="AJ209" i="27"/>
  <c r="AL209" i="27"/>
  <c r="AM209" i="27"/>
  <c r="AN209" i="27"/>
  <c r="AO209" i="27"/>
  <c r="AP209" i="27"/>
  <c r="BC209" i="27" s="1"/>
  <c r="AQ209" i="27"/>
  <c r="BD209" i="27" s="1"/>
  <c r="AR209" i="27"/>
  <c r="BE209" i="27" s="1"/>
  <c r="AS209" i="27"/>
  <c r="BF209" i="27" s="1"/>
  <c r="AT209" i="27"/>
  <c r="AV209" i="27"/>
  <c r="AY209" i="27"/>
  <c r="AZ209" i="27"/>
  <c r="BA209" i="27"/>
  <c r="BB209" i="27"/>
  <c r="BG209" i="27"/>
  <c r="H210" i="27"/>
  <c r="I210" i="27"/>
  <c r="Z210" i="27" s="1"/>
  <c r="J210" i="27"/>
  <c r="AA210" i="27" s="1"/>
  <c r="K210" i="27"/>
  <c r="AB210" i="27" s="1"/>
  <c r="L210" i="27"/>
  <c r="AC210" i="27" s="1"/>
  <c r="M210" i="27"/>
  <c r="AD210" i="27" s="1"/>
  <c r="N210" i="27"/>
  <c r="AE210" i="27" s="1"/>
  <c r="O210" i="27"/>
  <c r="AF210" i="27" s="1"/>
  <c r="P210" i="27"/>
  <c r="R210" i="27"/>
  <c r="AI210" i="27" s="1"/>
  <c r="S210" i="27"/>
  <c r="T210" i="27"/>
  <c r="U210" i="27"/>
  <c r="V210" i="27"/>
  <c r="Y210" i="27"/>
  <c r="AG210" i="27"/>
  <c r="AJ210" i="27"/>
  <c r="AL210" i="27"/>
  <c r="AM210" i="27"/>
  <c r="AN210" i="27"/>
  <c r="AO210" i="27"/>
  <c r="AP210" i="27"/>
  <c r="BC210" i="27" s="1"/>
  <c r="AQ210" i="27"/>
  <c r="BD210" i="27" s="1"/>
  <c r="AR210" i="27"/>
  <c r="BE210" i="27" s="1"/>
  <c r="AS210" i="27"/>
  <c r="BF210" i="27" s="1"/>
  <c r="AT210" i="27"/>
  <c r="AV210" i="27"/>
  <c r="AY210" i="27"/>
  <c r="AZ210" i="27"/>
  <c r="BA210" i="27"/>
  <c r="BB210" i="27"/>
  <c r="BG210" i="27"/>
  <c r="H211" i="27"/>
  <c r="I211" i="27"/>
  <c r="Z211" i="27" s="1"/>
  <c r="J211" i="27"/>
  <c r="K211" i="27"/>
  <c r="AB211" i="27" s="1"/>
  <c r="L211" i="27"/>
  <c r="AC211" i="27" s="1"/>
  <c r="M211" i="27"/>
  <c r="AD211" i="27" s="1"/>
  <c r="N211" i="27"/>
  <c r="AE211" i="27" s="1"/>
  <c r="O211" i="27"/>
  <c r="AF211" i="27" s="1"/>
  <c r="P211" i="27"/>
  <c r="R211" i="27"/>
  <c r="AI211" i="27" s="1"/>
  <c r="S211" i="27"/>
  <c r="T211" i="27"/>
  <c r="U211" i="27"/>
  <c r="V211" i="27"/>
  <c r="Y211" i="27"/>
  <c r="AA211" i="27"/>
  <c r="AG211" i="27"/>
  <c r="AJ211" i="27"/>
  <c r="AL211" i="27"/>
  <c r="AM211" i="27"/>
  <c r="AN211" i="27"/>
  <c r="AO211" i="27"/>
  <c r="AP211" i="27"/>
  <c r="BC211" i="27" s="1"/>
  <c r="AQ211" i="27"/>
  <c r="BD211" i="27" s="1"/>
  <c r="AR211" i="27"/>
  <c r="BE211" i="27" s="1"/>
  <c r="AS211" i="27"/>
  <c r="BF211" i="27" s="1"/>
  <c r="AT211" i="27"/>
  <c r="AV211" i="27"/>
  <c r="AY211" i="27"/>
  <c r="AZ211" i="27"/>
  <c r="BA211" i="27"/>
  <c r="BB211" i="27"/>
  <c r="BG211" i="27"/>
  <c r="H212" i="27"/>
  <c r="I212" i="27"/>
  <c r="J212" i="27"/>
  <c r="K212" i="27"/>
  <c r="L212" i="27"/>
  <c r="AC212" i="27" s="1"/>
  <c r="M212" i="27"/>
  <c r="AD212" i="27" s="1"/>
  <c r="N212" i="27"/>
  <c r="AE212" i="27" s="1"/>
  <c r="O212" i="27"/>
  <c r="AF212" i="27" s="1"/>
  <c r="P212" i="27"/>
  <c r="R212" i="27"/>
  <c r="S212" i="27"/>
  <c r="T212" i="27"/>
  <c r="U212" i="27"/>
  <c r="V212" i="27"/>
  <c r="Y212" i="27"/>
  <c r="Z212" i="27"/>
  <c r="AA212" i="27"/>
  <c r="AB212" i="27"/>
  <c r="AG212" i="27"/>
  <c r="AI212" i="27"/>
  <c r="AJ212" i="27"/>
  <c r="AL212" i="27"/>
  <c r="AM212" i="27"/>
  <c r="AN212" i="27"/>
  <c r="AO212" i="27"/>
  <c r="AP212" i="27"/>
  <c r="BC212" i="27" s="1"/>
  <c r="AQ212" i="27"/>
  <c r="BD212" i="27" s="1"/>
  <c r="AR212" i="27"/>
  <c r="BE212" i="27" s="1"/>
  <c r="AS212" i="27"/>
  <c r="BF212" i="27" s="1"/>
  <c r="AT212" i="27"/>
  <c r="AV212" i="27"/>
  <c r="AY212" i="27"/>
  <c r="AZ212" i="27"/>
  <c r="BA212" i="27"/>
  <c r="BB212" i="27"/>
  <c r="BG212" i="27"/>
  <c r="H213" i="27"/>
  <c r="I213" i="27"/>
  <c r="Z213" i="27" s="1"/>
  <c r="J213" i="27"/>
  <c r="AA213" i="27" s="1"/>
  <c r="K213" i="27"/>
  <c r="AB213" i="27" s="1"/>
  <c r="L213" i="27"/>
  <c r="AC213" i="27" s="1"/>
  <c r="M213" i="27"/>
  <c r="AD213" i="27" s="1"/>
  <c r="N213" i="27"/>
  <c r="AE213" i="27" s="1"/>
  <c r="O213" i="27"/>
  <c r="AF213" i="27" s="1"/>
  <c r="P213" i="27"/>
  <c r="R213" i="27"/>
  <c r="S213" i="27"/>
  <c r="T213" i="27"/>
  <c r="U213" i="27"/>
  <c r="V213" i="27"/>
  <c r="Y213" i="27"/>
  <c r="AG213" i="27"/>
  <c r="AI213" i="27"/>
  <c r="AJ213" i="27"/>
  <c r="AL213" i="27"/>
  <c r="AM213" i="27"/>
  <c r="AN213" i="27"/>
  <c r="AO213" i="27"/>
  <c r="BB213" i="27" s="1"/>
  <c r="AP213" i="27"/>
  <c r="BC213" i="27" s="1"/>
  <c r="AQ213" i="27"/>
  <c r="BD213" i="27" s="1"/>
  <c r="AR213" i="27"/>
  <c r="BE213" i="27" s="1"/>
  <c r="AS213" i="27"/>
  <c r="BF213" i="27" s="1"/>
  <c r="AT213" i="27"/>
  <c r="AV213" i="27"/>
  <c r="AY213" i="27"/>
  <c r="AZ213" i="27"/>
  <c r="BA213" i="27"/>
  <c r="BG213" i="27"/>
  <c r="H214" i="27"/>
  <c r="I214" i="27"/>
  <c r="Z214" i="27" s="1"/>
  <c r="J214" i="27"/>
  <c r="AA214" i="27" s="1"/>
  <c r="K214" i="27"/>
  <c r="AB214" i="27" s="1"/>
  <c r="L214" i="27"/>
  <c r="AC214" i="27" s="1"/>
  <c r="M214" i="27"/>
  <c r="AD214" i="27" s="1"/>
  <c r="N214" i="27"/>
  <c r="AE214" i="27" s="1"/>
  <c r="O214" i="27"/>
  <c r="AF214" i="27" s="1"/>
  <c r="P214" i="27"/>
  <c r="R214" i="27"/>
  <c r="S214" i="27"/>
  <c r="T214" i="27"/>
  <c r="U214" i="27"/>
  <c r="V214" i="27"/>
  <c r="Y214" i="27"/>
  <c r="AG214" i="27"/>
  <c r="AI214" i="27"/>
  <c r="AJ214" i="27"/>
  <c r="AL214" i="27"/>
  <c r="AM214" i="27"/>
  <c r="AN214" i="27"/>
  <c r="AO214" i="27"/>
  <c r="AP214" i="27"/>
  <c r="BC214" i="27" s="1"/>
  <c r="AQ214" i="27"/>
  <c r="BD214" i="27" s="1"/>
  <c r="AR214" i="27"/>
  <c r="BE214" i="27" s="1"/>
  <c r="AS214" i="27"/>
  <c r="BF214" i="27" s="1"/>
  <c r="AT214" i="27"/>
  <c r="AV214" i="27"/>
  <c r="AY214" i="27"/>
  <c r="AZ214" i="27"/>
  <c r="BA214" i="27"/>
  <c r="BB214" i="27"/>
  <c r="BG214" i="27"/>
  <c r="H215" i="27"/>
  <c r="I215" i="27"/>
  <c r="Z215" i="27" s="1"/>
  <c r="J215" i="27"/>
  <c r="AA215" i="27" s="1"/>
  <c r="K215" i="27"/>
  <c r="AB215" i="27" s="1"/>
  <c r="L215" i="27"/>
  <c r="AC215" i="27" s="1"/>
  <c r="M215" i="27"/>
  <c r="AD215" i="27" s="1"/>
  <c r="N215" i="27"/>
  <c r="AE215" i="27" s="1"/>
  <c r="O215" i="27"/>
  <c r="AF215" i="27" s="1"/>
  <c r="P215" i="27"/>
  <c r="R215" i="27"/>
  <c r="AI215" i="27" s="1"/>
  <c r="S215" i="27"/>
  <c r="T215" i="27"/>
  <c r="U215" i="27"/>
  <c r="V215" i="27"/>
  <c r="Y215" i="27"/>
  <c r="AG215" i="27"/>
  <c r="AJ215" i="27"/>
  <c r="AL215" i="27"/>
  <c r="AM215" i="27"/>
  <c r="AN215" i="27"/>
  <c r="AO215" i="27"/>
  <c r="AP215" i="27"/>
  <c r="BC215" i="27" s="1"/>
  <c r="AQ215" i="27"/>
  <c r="BD215" i="27" s="1"/>
  <c r="AR215" i="27"/>
  <c r="BE215" i="27" s="1"/>
  <c r="AS215" i="27"/>
  <c r="BF215" i="27" s="1"/>
  <c r="AT215" i="27"/>
  <c r="AV215" i="27"/>
  <c r="AY215" i="27"/>
  <c r="AZ215" i="27"/>
  <c r="BA215" i="27"/>
  <c r="BB215" i="27"/>
  <c r="BG215" i="27"/>
  <c r="H216" i="27"/>
  <c r="I216" i="27"/>
  <c r="Z216" i="27" s="1"/>
  <c r="J216" i="27"/>
  <c r="AA216" i="27" s="1"/>
  <c r="K216" i="27"/>
  <c r="AB216" i="27" s="1"/>
  <c r="L216" i="27"/>
  <c r="AC216" i="27" s="1"/>
  <c r="M216" i="27"/>
  <c r="AD216" i="27" s="1"/>
  <c r="N216" i="27"/>
  <c r="AE216" i="27" s="1"/>
  <c r="O216" i="27"/>
  <c r="AF216" i="27" s="1"/>
  <c r="P216" i="27"/>
  <c r="R216" i="27"/>
  <c r="AI216" i="27" s="1"/>
  <c r="S216" i="27"/>
  <c r="T216" i="27"/>
  <c r="U216" i="27"/>
  <c r="V216" i="27"/>
  <c r="Y216" i="27"/>
  <c r="AG216" i="27"/>
  <c r="AJ216" i="27"/>
  <c r="AL216" i="27"/>
  <c r="AM216" i="27"/>
  <c r="AN216" i="27"/>
  <c r="AO216" i="27"/>
  <c r="AP216" i="27"/>
  <c r="BC216" i="27" s="1"/>
  <c r="AQ216" i="27"/>
  <c r="BD216" i="27" s="1"/>
  <c r="AR216" i="27"/>
  <c r="BE216" i="27" s="1"/>
  <c r="AS216" i="27"/>
  <c r="BF216" i="27" s="1"/>
  <c r="AT216" i="27"/>
  <c r="AV216" i="27"/>
  <c r="AY216" i="27"/>
  <c r="AZ216" i="27"/>
  <c r="BA216" i="27"/>
  <c r="BB216" i="27"/>
  <c r="BG216" i="27"/>
  <c r="H217" i="27"/>
  <c r="I217" i="27"/>
  <c r="Z217" i="27" s="1"/>
  <c r="J217" i="27"/>
  <c r="AA217" i="27" s="1"/>
  <c r="K217" i="27"/>
  <c r="AB217" i="27" s="1"/>
  <c r="L217" i="27"/>
  <c r="AC217" i="27" s="1"/>
  <c r="M217" i="27"/>
  <c r="AD217" i="27" s="1"/>
  <c r="N217" i="27"/>
  <c r="AE217" i="27" s="1"/>
  <c r="O217" i="27"/>
  <c r="AF217" i="27" s="1"/>
  <c r="P217" i="27"/>
  <c r="R217" i="27"/>
  <c r="S217" i="27"/>
  <c r="T217" i="27"/>
  <c r="U217" i="27"/>
  <c r="V217" i="27"/>
  <c r="Y217" i="27"/>
  <c r="AG217" i="27"/>
  <c r="AI217" i="27"/>
  <c r="AJ217" i="27"/>
  <c r="AL217" i="27"/>
  <c r="AM217" i="27"/>
  <c r="AN217" i="27"/>
  <c r="AO217" i="27"/>
  <c r="AP217" i="27"/>
  <c r="BC217" i="27" s="1"/>
  <c r="AQ217" i="27"/>
  <c r="BD217" i="27" s="1"/>
  <c r="AR217" i="27"/>
  <c r="BE217" i="27" s="1"/>
  <c r="AS217" i="27"/>
  <c r="BF217" i="27" s="1"/>
  <c r="AT217" i="27"/>
  <c r="AV217" i="27"/>
  <c r="AY217" i="27"/>
  <c r="AZ217" i="27"/>
  <c r="BA217" i="27"/>
  <c r="BB217" i="27"/>
  <c r="BG217" i="27"/>
  <c r="H218" i="27"/>
  <c r="I218" i="27"/>
  <c r="J218" i="27"/>
  <c r="AA218" i="27" s="1"/>
  <c r="K218" i="27"/>
  <c r="AB218" i="27" s="1"/>
  <c r="L218" i="27"/>
  <c r="AC218" i="27" s="1"/>
  <c r="M218" i="27"/>
  <c r="AD218" i="27" s="1"/>
  <c r="N218" i="27"/>
  <c r="AE218" i="27" s="1"/>
  <c r="O218" i="27"/>
  <c r="AF218" i="27" s="1"/>
  <c r="P218" i="27"/>
  <c r="R218" i="27"/>
  <c r="S218" i="27"/>
  <c r="T218" i="27"/>
  <c r="U218" i="27"/>
  <c r="V218" i="27"/>
  <c r="Y218" i="27"/>
  <c r="Z218" i="27"/>
  <c r="AG218" i="27"/>
  <c r="AI218" i="27"/>
  <c r="AJ218" i="27"/>
  <c r="AL218" i="27"/>
  <c r="AM218" i="27"/>
  <c r="AN218" i="27"/>
  <c r="AO218" i="27"/>
  <c r="AP218" i="27"/>
  <c r="BC218" i="27" s="1"/>
  <c r="AQ218" i="27"/>
  <c r="BD218" i="27" s="1"/>
  <c r="AR218" i="27"/>
  <c r="BE218" i="27" s="1"/>
  <c r="AS218" i="27"/>
  <c r="BF218" i="27" s="1"/>
  <c r="AT218" i="27"/>
  <c r="AV218" i="27"/>
  <c r="AY218" i="27"/>
  <c r="AZ218" i="27"/>
  <c r="BA218" i="27"/>
  <c r="BB218" i="27"/>
  <c r="BG218" i="27"/>
  <c r="H219" i="27"/>
  <c r="I219" i="27"/>
  <c r="J219" i="27"/>
  <c r="AA219" i="27" s="1"/>
  <c r="K219" i="27"/>
  <c r="AB219" i="27" s="1"/>
  <c r="L219" i="27"/>
  <c r="AC219" i="27" s="1"/>
  <c r="M219" i="27"/>
  <c r="AD219" i="27" s="1"/>
  <c r="N219" i="27"/>
  <c r="AE219" i="27" s="1"/>
  <c r="O219" i="27"/>
  <c r="AF219" i="27" s="1"/>
  <c r="P219" i="27"/>
  <c r="R219" i="27"/>
  <c r="S219" i="27"/>
  <c r="T219" i="27"/>
  <c r="U219" i="27"/>
  <c r="V219" i="27"/>
  <c r="Y219" i="27"/>
  <c r="Z219" i="27"/>
  <c r="AG219" i="27"/>
  <c r="AI219" i="27"/>
  <c r="AJ219" i="27"/>
  <c r="AL219" i="27"/>
  <c r="AM219" i="27"/>
  <c r="AN219" i="27"/>
  <c r="AO219" i="27"/>
  <c r="AP219" i="27"/>
  <c r="BC219" i="27" s="1"/>
  <c r="AQ219" i="27"/>
  <c r="BD219" i="27" s="1"/>
  <c r="AR219" i="27"/>
  <c r="BE219" i="27" s="1"/>
  <c r="AS219" i="27"/>
  <c r="BF219" i="27" s="1"/>
  <c r="AT219" i="27"/>
  <c r="AV219" i="27"/>
  <c r="AY219" i="27"/>
  <c r="AZ219" i="27"/>
  <c r="BA219" i="27"/>
  <c r="BB219" i="27"/>
  <c r="BG219" i="27"/>
  <c r="H220" i="27"/>
  <c r="I220" i="27"/>
  <c r="J220" i="27"/>
  <c r="AA220" i="27" s="1"/>
  <c r="K220" i="27"/>
  <c r="L220" i="27"/>
  <c r="AC220" i="27" s="1"/>
  <c r="M220" i="27"/>
  <c r="AD220" i="27" s="1"/>
  <c r="N220" i="27"/>
  <c r="AE220" i="27" s="1"/>
  <c r="O220" i="27"/>
  <c r="AF220" i="27" s="1"/>
  <c r="P220" i="27"/>
  <c r="R220" i="27"/>
  <c r="S220" i="27"/>
  <c r="T220" i="27"/>
  <c r="U220" i="27"/>
  <c r="V220" i="27"/>
  <c r="Y220" i="27"/>
  <c r="Z220" i="27"/>
  <c r="AB220" i="27"/>
  <c r="AG220" i="27"/>
  <c r="AI220" i="27"/>
  <c r="AJ220" i="27"/>
  <c r="AL220" i="27"/>
  <c r="AM220" i="27"/>
  <c r="AN220" i="27"/>
  <c r="AO220" i="27"/>
  <c r="AP220" i="27"/>
  <c r="BC220" i="27" s="1"/>
  <c r="AQ220" i="27"/>
  <c r="BD220" i="27" s="1"/>
  <c r="AR220" i="27"/>
  <c r="BE220" i="27" s="1"/>
  <c r="AS220" i="27"/>
  <c r="BF220" i="27" s="1"/>
  <c r="AT220" i="27"/>
  <c r="AV220" i="27"/>
  <c r="AY220" i="27"/>
  <c r="AZ220" i="27"/>
  <c r="BA220" i="27"/>
  <c r="BB220" i="27"/>
  <c r="BG220" i="27"/>
  <c r="H221" i="27"/>
  <c r="I221" i="27"/>
  <c r="Z221" i="27" s="1"/>
  <c r="J221" i="27"/>
  <c r="AA221" i="27" s="1"/>
  <c r="K221" i="27"/>
  <c r="AB221" i="27" s="1"/>
  <c r="L221" i="27"/>
  <c r="AC221" i="27" s="1"/>
  <c r="M221" i="27"/>
  <c r="AD221" i="27" s="1"/>
  <c r="N221" i="27"/>
  <c r="AE221" i="27" s="1"/>
  <c r="O221" i="27"/>
  <c r="AF221" i="27" s="1"/>
  <c r="P221" i="27"/>
  <c r="R221" i="27"/>
  <c r="AI221" i="27" s="1"/>
  <c r="S221" i="27"/>
  <c r="T221" i="27"/>
  <c r="U221" i="27"/>
  <c r="V221" i="27"/>
  <c r="Y221" i="27"/>
  <c r="AG221" i="27"/>
  <c r="AJ221" i="27"/>
  <c r="AL221" i="27"/>
  <c r="AM221" i="27"/>
  <c r="AN221" i="27"/>
  <c r="AO221" i="27"/>
  <c r="AP221" i="27"/>
  <c r="BC221" i="27" s="1"/>
  <c r="AQ221" i="27"/>
  <c r="BD221" i="27" s="1"/>
  <c r="AR221" i="27"/>
  <c r="BE221" i="27" s="1"/>
  <c r="AS221" i="27"/>
  <c r="BF221" i="27" s="1"/>
  <c r="AT221" i="27"/>
  <c r="AV221" i="27"/>
  <c r="AY221" i="27"/>
  <c r="AZ221" i="27"/>
  <c r="BA221" i="27"/>
  <c r="BB221" i="27"/>
  <c r="BG221" i="27"/>
  <c r="H222" i="27"/>
  <c r="I222" i="27"/>
  <c r="J222" i="27"/>
  <c r="AA222" i="27" s="1"/>
  <c r="K222" i="27"/>
  <c r="AB222" i="27" s="1"/>
  <c r="L222" i="27"/>
  <c r="AC222" i="27" s="1"/>
  <c r="M222" i="27"/>
  <c r="AD222" i="27" s="1"/>
  <c r="N222" i="27"/>
  <c r="AE222" i="27" s="1"/>
  <c r="O222" i="27"/>
  <c r="AF222" i="27" s="1"/>
  <c r="P222" i="27"/>
  <c r="R222" i="27"/>
  <c r="S222" i="27"/>
  <c r="T222" i="27"/>
  <c r="U222" i="27"/>
  <c r="V222" i="27"/>
  <c r="Y222" i="27"/>
  <c r="Z222" i="27"/>
  <c r="AG222" i="27"/>
  <c r="AI222" i="27"/>
  <c r="AJ222" i="27"/>
  <c r="AL222" i="27"/>
  <c r="AM222" i="27"/>
  <c r="AN222" i="27"/>
  <c r="AO222" i="27"/>
  <c r="AP222" i="27"/>
  <c r="BC222" i="27" s="1"/>
  <c r="AQ222" i="27"/>
  <c r="BD222" i="27" s="1"/>
  <c r="AR222" i="27"/>
  <c r="BE222" i="27" s="1"/>
  <c r="AS222" i="27"/>
  <c r="BF222" i="27" s="1"/>
  <c r="AT222" i="27"/>
  <c r="AV222" i="27"/>
  <c r="AY222" i="27"/>
  <c r="AZ222" i="27"/>
  <c r="BA222" i="27"/>
  <c r="BB222" i="27"/>
  <c r="BG222" i="27"/>
  <c r="H223" i="27"/>
  <c r="I223" i="27"/>
  <c r="Z223" i="27" s="1"/>
  <c r="J223" i="27"/>
  <c r="AA223" i="27" s="1"/>
  <c r="K223" i="27"/>
  <c r="AB223" i="27" s="1"/>
  <c r="L223" i="27"/>
  <c r="AC223" i="27" s="1"/>
  <c r="M223" i="27"/>
  <c r="AD223" i="27" s="1"/>
  <c r="N223" i="27"/>
  <c r="AE223" i="27" s="1"/>
  <c r="O223" i="27"/>
  <c r="AF223" i="27" s="1"/>
  <c r="P223" i="27"/>
  <c r="R223" i="27"/>
  <c r="AI223" i="27" s="1"/>
  <c r="S223" i="27"/>
  <c r="T223" i="27"/>
  <c r="U223" i="27"/>
  <c r="V223" i="27"/>
  <c r="Y223" i="27"/>
  <c r="AG223" i="27"/>
  <c r="AJ223" i="27"/>
  <c r="AL223" i="27"/>
  <c r="AM223" i="27"/>
  <c r="AN223" i="27"/>
  <c r="AO223" i="27"/>
  <c r="AP223" i="27"/>
  <c r="BC223" i="27" s="1"/>
  <c r="AQ223" i="27"/>
  <c r="BD223" i="27" s="1"/>
  <c r="AR223" i="27"/>
  <c r="BE223" i="27" s="1"/>
  <c r="AS223" i="27"/>
  <c r="BF223" i="27" s="1"/>
  <c r="AT223" i="27"/>
  <c r="AV223" i="27"/>
  <c r="AY223" i="27"/>
  <c r="AZ223" i="27"/>
  <c r="BA223" i="27"/>
  <c r="BB223" i="27"/>
  <c r="BG223" i="27"/>
  <c r="H224" i="27"/>
  <c r="I224" i="27"/>
  <c r="Z224" i="27" s="1"/>
  <c r="J224" i="27"/>
  <c r="AA224" i="27" s="1"/>
  <c r="K224" i="27"/>
  <c r="AB224" i="27" s="1"/>
  <c r="L224" i="27"/>
  <c r="AC224" i="27" s="1"/>
  <c r="M224" i="27"/>
  <c r="AD224" i="27" s="1"/>
  <c r="N224" i="27"/>
  <c r="AE224" i="27" s="1"/>
  <c r="O224" i="27"/>
  <c r="AF224" i="27" s="1"/>
  <c r="P224" i="27"/>
  <c r="R224" i="27"/>
  <c r="AI224" i="27" s="1"/>
  <c r="S224" i="27"/>
  <c r="T224" i="27"/>
  <c r="U224" i="27"/>
  <c r="V224" i="27"/>
  <c r="Y224" i="27"/>
  <c r="AG224" i="27"/>
  <c r="AJ224" i="27"/>
  <c r="AL224" i="27"/>
  <c r="AM224" i="27"/>
  <c r="AN224" i="27"/>
  <c r="AO224" i="27"/>
  <c r="AP224" i="27"/>
  <c r="BC224" i="27" s="1"/>
  <c r="AQ224" i="27"/>
  <c r="BD224" i="27" s="1"/>
  <c r="AR224" i="27"/>
  <c r="BE224" i="27" s="1"/>
  <c r="AS224" i="27"/>
  <c r="BF224" i="27" s="1"/>
  <c r="AT224" i="27"/>
  <c r="AV224" i="27"/>
  <c r="AY224" i="27"/>
  <c r="AZ224" i="27"/>
  <c r="BA224" i="27"/>
  <c r="BB224" i="27"/>
  <c r="BG224" i="27"/>
  <c r="H225" i="27"/>
  <c r="I225" i="27"/>
  <c r="Z225" i="27" s="1"/>
  <c r="J225" i="27"/>
  <c r="AA225" i="27" s="1"/>
  <c r="K225" i="27"/>
  <c r="AB225" i="27" s="1"/>
  <c r="L225" i="27"/>
  <c r="AC225" i="27" s="1"/>
  <c r="M225" i="27"/>
  <c r="AD225" i="27" s="1"/>
  <c r="N225" i="27"/>
  <c r="AE225" i="27" s="1"/>
  <c r="O225" i="27"/>
  <c r="AF225" i="27" s="1"/>
  <c r="P225" i="27"/>
  <c r="R225" i="27"/>
  <c r="AI225" i="27" s="1"/>
  <c r="S225" i="27"/>
  <c r="T225" i="27"/>
  <c r="U225" i="27"/>
  <c r="V225" i="27"/>
  <c r="Y225" i="27"/>
  <c r="AG225" i="27"/>
  <c r="AJ225" i="27"/>
  <c r="AL225" i="27"/>
  <c r="AM225" i="27"/>
  <c r="AN225" i="27"/>
  <c r="AO225" i="27"/>
  <c r="AP225" i="27"/>
  <c r="BC225" i="27" s="1"/>
  <c r="AQ225" i="27"/>
  <c r="BD225" i="27" s="1"/>
  <c r="AR225" i="27"/>
  <c r="BE225" i="27" s="1"/>
  <c r="AS225" i="27"/>
  <c r="BF225" i="27" s="1"/>
  <c r="AT225" i="27"/>
  <c r="AV225" i="27"/>
  <c r="AY225" i="27"/>
  <c r="AZ225" i="27"/>
  <c r="BA225" i="27"/>
  <c r="BB225" i="27"/>
  <c r="BG225" i="27"/>
  <c r="H226" i="27"/>
  <c r="I226" i="27"/>
  <c r="Z226" i="27" s="1"/>
  <c r="J226" i="27"/>
  <c r="AA226" i="27" s="1"/>
  <c r="K226" i="27"/>
  <c r="AB226" i="27" s="1"/>
  <c r="L226" i="27"/>
  <c r="AC226" i="27" s="1"/>
  <c r="M226" i="27"/>
  <c r="AD226" i="27" s="1"/>
  <c r="N226" i="27"/>
  <c r="AE226" i="27" s="1"/>
  <c r="O226" i="27"/>
  <c r="AF226" i="27" s="1"/>
  <c r="P226" i="27"/>
  <c r="R226" i="27"/>
  <c r="AI226" i="27" s="1"/>
  <c r="S226" i="27"/>
  <c r="T226" i="27"/>
  <c r="U226" i="27"/>
  <c r="V226" i="27"/>
  <c r="Y226" i="27"/>
  <c r="AG226" i="27"/>
  <c r="AJ226" i="27"/>
  <c r="AL226" i="27"/>
  <c r="AM226" i="27"/>
  <c r="AN226" i="27"/>
  <c r="AO226" i="27"/>
  <c r="AP226" i="27"/>
  <c r="BC226" i="27" s="1"/>
  <c r="AQ226" i="27"/>
  <c r="BD226" i="27" s="1"/>
  <c r="AR226" i="27"/>
  <c r="BE226" i="27" s="1"/>
  <c r="AS226" i="27"/>
  <c r="BF226" i="27" s="1"/>
  <c r="AT226" i="27"/>
  <c r="AV226" i="27"/>
  <c r="AY226" i="27"/>
  <c r="AZ226" i="27"/>
  <c r="BA226" i="27"/>
  <c r="BB226" i="27"/>
  <c r="BG226" i="27"/>
  <c r="H227" i="27"/>
  <c r="I227" i="27"/>
  <c r="Z227" i="27" s="1"/>
  <c r="J227" i="27"/>
  <c r="AA227" i="27" s="1"/>
  <c r="K227" i="27"/>
  <c r="AB227" i="27" s="1"/>
  <c r="L227" i="27"/>
  <c r="AC227" i="27" s="1"/>
  <c r="M227" i="27"/>
  <c r="AD227" i="27" s="1"/>
  <c r="N227" i="27"/>
  <c r="AE227" i="27" s="1"/>
  <c r="O227" i="27"/>
  <c r="AF227" i="27" s="1"/>
  <c r="P227" i="27"/>
  <c r="R227" i="27"/>
  <c r="S227" i="27"/>
  <c r="T227" i="27"/>
  <c r="U227" i="27"/>
  <c r="V227" i="27"/>
  <c r="Y227" i="27"/>
  <c r="AG227" i="27"/>
  <c r="AI227" i="27"/>
  <c r="AJ227" i="27"/>
  <c r="AL227" i="27"/>
  <c r="AM227" i="27"/>
  <c r="AN227" i="27"/>
  <c r="AO227" i="27"/>
  <c r="AP227" i="27"/>
  <c r="BC227" i="27" s="1"/>
  <c r="AQ227" i="27"/>
  <c r="BD227" i="27" s="1"/>
  <c r="AR227" i="27"/>
  <c r="BE227" i="27" s="1"/>
  <c r="AS227" i="27"/>
  <c r="BF227" i="27" s="1"/>
  <c r="AT227" i="27"/>
  <c r="AV227" i="27"/>
  <c r="AY227" i="27"/>
  <c r="AZ227" i="27"/>
  <c r="BA227" i="27"/>
  <c r="BB227" i="27"/>
  <c r="BG227" i="27"/>
  <c r="H228" i="27"/>
  <c r="I228" i="27"/>
  <c r="Z228" i="27" s="1"/>
  <c r="J228" i="27"/>
  <c r="AA228" i="27" s="1"/>
  <c r="K228" i="27"/>
  <c r="AB228" i="27" s="1"/>
  <c r="L228" i="27"/>
  <c r="AC228" i="27" s="1"/>
  <c r="M228" i="27"/>
  <c r="AD228" i="27" s="1"/>
  <c r="N228" i="27"/>
  <c r="AE228" i="27" s="1"/>
  <c r="O228" i="27"/>
  <c r="AF228" i="27" s="1"/>
  <c r="P228" i="27"/>
  <c r="R228" i="27"/>
  <c r="AI228" i="27" s="1"/>
  <c r="S228" i="27"/>
  <c r="T228" i="27"/>
  <c r="U228" i="27"/>
  <c r="V228" i="27"/>
  <c r="Y228" i="27"/>
  <c r="AG228" i="27"/>
  <c r="AJ228" i="27"/>
  <c r="AL228" i="27"/>
  <c r="AM228" i="27"/>
  <c r="AN228" i="27"/>
  <c r="AO228" i="27"/>
  <c r="AP228" i="27"/>
  <c r="BC228" i="27" s="1"/>
  <c r="AQ228" i="27"/>
  <c r="BD228" i="27" s="1"/>
  <c r="AR228" i="27"/>
  <c r="BE228" i="27" s="1"/>
  <c r="AS228" i="27"/>
  <c r="BF228" i="27" s="1"/>
  <c r="AT228" i="27"/>
  <c r="AV228" i="27"/>
  <c r="AY228" i="27"/>
  <c r="AZ228" i="27"/>
  <c r="BA228" i="27"/>
  <c r="BB228" i="27"/>
  <c r="BG228" i="27"/>
  <c r="H229" i="27"/>
  <c r="I229" i="27"/>
  <c r="Z229" i="27" s="1"/>
  <c r="J229" i="27"/>
  <c r="AA229" i="27" s="1"/>
  <c r="K229" i="27"/>
  <c r="AB229" i="27" s="1"/>
  <c r="L229" i="27"/>
  <c r="AC229" i="27" s="1"/>
  <c r="M229" i="27"/>
  <c r="AD229" i="27" s="1"/>
  <c r="N229" i="27"/>
  <c r="AE229" i="27" s="1"/>
  <c r="O229" i="27"/>
  <c r="AF229" i="27" s="1"/>
  <c r="P229" i="27"/>
  <c r="R229" i="27"/>
  <c r="AI229" i="27" s="1"/>
  <c r="S229" i="27"/>
  <c r="T229" i="27"/>
  <c r="U229" i="27"/>
  <c r="V229" i="27"/>
  <c r="Y229" i="27"/>
  <c r="AG229" i="27"/>
  <c r="AJ229" i="27"/>
  <c r="AL229" i="27"/>
  <c r="AM229" i="27"/>
  <c r="AN229" i="27"/>
  <c r="AO229" i="27"/>
  <c r="AP229" i="27"/>
  <c r="BC229" i="27" s="1"/>
  <c r="AQ229" i="27"/>
  <c r="BD229" i="27" s="1"/>
  <c r="AR229" i="27"/>
  <c r="BE229" i="27" s="1"/>
  <c r="AS229" i="27"/>
  <c r="BF229" i="27" s="1"/>
  <c r="AT229" i="27"/>
  <c r="AV229" i="27"/>
  <c r="AY229" i="27"/>
  <c r="AZ229" i="27"/>
  <c r="BA229" i="27"/>
  <c r="BB229" i="27"/>
  <c r="BG229" i="27"/>
  <c r="H230" i="27"/>
  <c r="I230" i="27"/>
  <c r="Z230" i="27" s="1"/>
  <c r="J230" i="27"/>
  <c r="AA230" i="27" s="1"/>
  <c r="K230" i="27"/>
  <c r="AB230" i="27" s="1"/>
  <c r="L230" i="27"/>
  <c r="AC230" i="27" s="1"/>
  <c r="M230" i="27"/>
  <c r="AD230" i="27" s="1"/>
  <c r="N230" i="27"/>
  <c r="AE230" i="27" s="1"/>
  <c r="O230" i="27"/>
  <c r="AF230" i="27" s="1"/>
  <c r="P230" i="27"/>
  <c r="R230" i="27"/>
  <c r="AI230" i="27" s="1"/>
  <c r="S230" i="27"/>
  <c r="T230" i="27"/>
  <c r="U230" i="27"/>
  <c r="V230" i="27"/>
  <c r="Y230" i="27"/>
  <c r="AG230" i="27"/>
  <c r="AJ230" i="27"/>
  <c r="AL230" i="27"/>
  <c r="AM230" i="27"/>
  <c r="AN230" i="27"/>
  <c r="AO230" i="27"/>
  <c r="AP230" i="27"/>
  <c r="BC230" i="27" s="1"/>
  <c r="AQ230" i="27"/>
  <c r="BD230" i="27" s="1"/>
  <c r="AR230" i="27"/>
  <c r="BE230" i="27" s="1"/>
  <c r="AS230" i="27"/>
  <c r="BF230" i="27" s="1"/>
  <c r="AT230" i="27"/>
  <c r="AV230" i="27"/>
  <c r="AY230" i="27"/>
  <c r="AZ230" i="27"/>
  <c r="BA230" i="27"/>
  <c r="BB230" i="27"/>
  <c r="BG230" i="27"/>
  <c r="H231" i="27"/>
  <c r="I231" i="27"/>
  <c r="J231" i="27"/>
  <c r="K231" i="27"/>
  <c r="AB231" i="27" s="1"/>
  <c r="L231" i="27"/>
  <c r="AC231" i="27" s="1"/>
  <c r="M231" i="27"/>
  <c r="AD231" i="27" s="1"/>
  <c r="N231" i="27"/>
  <c r="AE231" i="27" s="1"/>
  <c r="O231" i="27"/>
  <c r="AF231" i="27" s="1"/>
  <c r="P231" i="27"/>
  <c r="R231" i="27"/>
  <c r="S231" i="27"/>
  <c r="T231" i="27"/>
  <c r="U231" i="27"/>
  <c r="V231" i="27"/>
  <c r="Y231" i="27"/>
  <c r="Z231" i="27"/>
  <c r="AA231" i="27"/>
  <c r="AG231" i="27"/>
  <c r="AI231" i="27"/>
  <c r="AJ231" i="27"/>
  <c r="AL231" i="27"/>
  <c r="AM231" i="27"/>
  <c r="AN231" i="27"/>
  <c r="AO231" i="27"/>
  <c r="AP231" i="27"/>
  <c r="BC231" i="27" s="1"/>
  <c r="AQ231" i="27"/>
  <c r="BD231" i="27" s="1"/>
  <c r="AR231" i="27"/>
  <c r="BE231" i="27" s="1"/>
  <c r="AS231" i="27"/>
  <c r="BF231" i="27" s="1"/>
  <c r="AT231" i="27"/>
  <c r="AV231" i="27"/>
  <c r="AY231" i="27"/>
  <c r="AZ231" i="27"/>
  <c r="BA231" i="27"/>
  <c r="BB231" i="27"/>
  <c r="BG231" i="27"/>
  <c r="H232" i="27"/>
  <c r="I232" i="27"/>
  <c r="Z232" i="27" s="1"/>
  <c r="J232" i="27"/>
  <c r="AA232" i="27" s="1"/>
  <c r="K232" i="27"/>
  <c r="L232" i="27"/>
  <c r="AC232" i="27" s="1"/>
  <c r="M232" i="27"/>
  <c r="AD232" i="27" s="1"/>
  <c r="N232" i="27"/>
  <c r="AE232" i="27" s="1"/>
  <c r="O232" i="27"/>
  <c r="AF232" i="27" s="1"/>
  <c r="P232" i="27"/>
  <c r="R232" i="27"/>
  <c r="AI232" i="27" s="1"/>
  <c r="S232" i="27"/>
  <c r="T232" i="27"/>
  <c r="U232" i="27"/>
  <c r="V232" i="27"/>
  <c r="Y232" i="27"/>
  <c r="AB232" i="27"/>
  <c r="AG232" i="27"/>
  <c r="AJ232" i="27"/>
  <c r="AL232" i="27"/>
  <c r="AM232" i="27"/>
  <c r="AN232" i="27"/>
  <c r="AO232" i="27"/>
  <c r="AP232" i="27"/>
  <c r="BC232" i="27" s="1"/>
  <c r="AQ232" i="27"/>
  <c r="BD232" i="27" s="1"/>
  <c r="AR232" i="27"/>
  <c r="BE232" i="27" s="1"/>
  <c r="AS232" i="27"/>
  <c r="BF232" i="27" s="1"/>
  <c r="AT232" i="27"/>
  <c r="AV232" i="27"/>
  <c r="AY232" i="27"/>
  <c r="AZ232" i="27"/>
  <c r="BA232" i="27"/>
  <c r="BB232" i="27"/>
  <c r="BG232" i="27"/>
  <c r="H233" i="27"/>
  <c r="I233" i="27"/>
  <c r="Z233" i="27" s="1"/>
  <c r="J233" i="27"/>
  <c r="AA233" i="27" s="1"/>
  <c r="K233" i="27"/>
  <c r="AB233" i="27" s="1"/>
  <c r="L233" i="27"/>
  <c r="AC233" i="27" s="1"/>
  <c r="M233" i="27"/>
  <c r="AD233" i="27" s="1"/>
  <c r="N233" i="27"/>
  <c r="AE233" i="27" s="1"/>
  <c r="O233" i="27"/>
  <c r="AF233" i="27" s="1"/>
  <c r="P233" i="27"/>
  <c r="R233" i="27"/>
  <c r="AI233" i="27" s="1"/>
  <c r="S233" i="27"/>
  <c r="T233" i="27"/>
  <c r="U233" i="27"/>
  <c r="V233" i="27"/>
  <c r="Y233" i="27"/>
  <c r="AG233" i="27"/>
  <c r="AJ233" i="27"/>
  <c r="AL233" i="27"/>
  <c r="AM233" i="27"/>
  <c r="AN233" i="27"/>
  <c r="AO233" i="27"/>
  <c r="AP233" i="27"/>
  <c r="BC233" i="27" s="1"/>
  <c r="AQ233" i="27"/>
  <c r="BD233" i="27" s="1"/>
  <c r="AR233" i="27"/>
  <c r="BE233" i="27" s="1"/>
  <c r="AS233" i="27"/>
  <c r="BF233" i="27" s="1"/>
  <c r="AT233" i="27"/>
  <c r="AV233" i="27"/>
  <c r="AY233" i="27"/>
  <c r="AZ233" i="27"/>
  <c r="BA233" i="27"/>
  <c r="BB233" i="27"/>
  <c r="BG233" i="27"/>
  <c r="H234" i="27"/>
  <c r="I234" i="27"/>
  <c r="Z234" i="27" s="1"/>
  <c r="J234" i="27"/>
  <c r="AA234" i="27" s="1"/>
  <c r="K234" i="27"/>
  <c r="AB234" i="27" s="1"/>
  <c r="L234" i="27"/>
  <c r="AC234" i="27" s="1"/>
  <c r="M234" i="27"/>
  <c r="AD234" i="27" s="1"/>
  <c r="N234" i="27"/>
  <c r="AE234" i="27" s="1"/>
  <c r="O234" i="27"/>
  <c r="AF234" i="27" s="1"/>
  <c r="P234" i="27"/>
  <c r="R234" i="27"/>
  <c r="AI234" i="27" s="1"/>
  <c r="S234" i="27"/>
  <c r="T234" i="27"/>
  <c r="U234" i="27"/>
  <c r="V234" i="27"/>
  <c r="Y234" i="27"/>
  <c r="AG234" i="27"/>
  <c r="AJ234" i="27"/>
  <c r="AL234" i="27"/>
  <c r="AM234" i="27"/>
  <c r="AN234" i="27"/>
  <c r="AO234" i="27"/>
  <c r="AP234" i="27"/>
  <c r="BC234" i="27" s="1"/>
  <c r="AQ234" i="27"/>
  <c r="BD234" i="27" s="1"/>
  <c r="AR234" i="27"/>
  <c r="BE234" i="27" s="1"/>
  <c r="AS234" i="27"/>
  <c r="BF234" i="27" s="1"/>
  <c r="AT234" i="27"/>
  <c r="AV234" i="27"/>
  <c r="AY234" i="27"/>
  <c r="AZ234" i="27"/>
  <c r="BA234" i="27"/>
  <c r="BB234" i="27"/>
  <c r="BG234" i="27"/>
  <c r="H235" i="27"/>
  <c r="I235" i="27"/>
  <c r="Z235" i="27" s="1"/>
  <c r="J235" i="27"/>
  <c r="AA235" i="27" s="1"/>
  <c r="K235" i="27"/>
  <c r="AB235" i="27" s="1"/>
  <c r="L235" i="27"/>
  <c r="AC235" i="27" s="1"/>
  <c r="M235" i="27"/>
  <c r="AD235" i="27" s="1"/>
  <c r="N235" i="27"/>
  <c r="AE235" i="27" s="1"/>
  <c r="O235" i="27"/>
  <c r="AF235" i="27" s="1"/>
  <c r="P235" i="27"/>
  <c r="R235" i="27"/>
  <c r="AI235" i="27" s="1"/>
  <c r="S235" i="27"/>
  <c r="T235" i="27"/>
  <c r="U235" i="27"/>
  <c r="V235" i="27"/>
  <c r="Y235" i="27"/>
  <c r="AG235" i="27"/>
  <c r="AJ235" i="27"/>
  <c r="AL235" i="27"/>
  <c r="AM235" i="27"/>
  <c r="AN235" i="27"/>
  <c r="AO235" i="27"/>
  <c r="AP235" i="27"/>
  <c r="BC235" i="27" s="1"/>
  <c r="AQ235" i="27"/>
  <c r="BD235" i="27" s="1"/>
  <c r="AR235" i="27"/>
  <c r="BE235" i="27" s="1"/>
  <c r="AS235" i="27"/>
  <c r="BF235" i="27" s="1"/>
  <c r="AT235" i="27"/>
  <c r="AV235" i="27"/>
  <c r="AY235" i="27"/>
  <c r="AZ235" i="27"/>
  <c r="BA235" i="27"/>
  <c r="BB235" i="27"/>
  <c r="BG235" i="27"/>
  <c r="H236" i="27"/>
  <c r="I236" i="27"/>
  <c r="Z236" i="27" s="1"/>
  <c r="J236" i="27"/>
  <c r="AA236" i="27" s="1"/>
  <c r="K236" i="27"/>
  <c r="AB236" i="27" s="1"/>
  <c r="L236" i="27"/>
  <c r="AC236" i="27" s="1"/>
  <c r="M236" i="27"/>
  <c r="AD236" i="27" s="1"/>
  <c r="N236" i="27"/>
  <c r="AE236" i="27" s="1"/>
  <c r="O236" i="27"/>
  <c r="AF236" i="27" s="1"/>
  <c r="P236" i="27"/>
  <c r="R236" i="27"/>
  <c r="AI236" i="27" s="1"/>
  <c r="S236" i="27"/>
  <c r="T236" i="27"/>
  <c r="U236" i="27"/>
  <c r="V236" i="27"/>
  <c r="Y236" i="27"/>
  <c r="AG236" i="27"/>
  <c r="AJ236" i="27"/>
  <c r="AL236" i="27"/>
  <c r="AM236" i="27"/>
  <c r="AN236" i="27"/>
  <c r="AO236" i="27"/>
  <c r="AP236" i="27"/>
  <c r="BC236" i="27" s="1"/>
  <c r="AQ236" i="27"/>
  <c r="BD236" i="27" s="1"/>
  <c r="AR236" i="27"/>
  <c r="BE236" i="27" s="1"/>
  <c r="AS236" i="27"/>
  <c r="BF236" i="27" s="1"/>
  <c r="AT236" i="27"/>
  <c r="AV236" i="27"/>
  <c r="AY236" i="27"/>
  <c r="AZ236" i="27"/>
  <c r="BA236" i="27"/>
  <c r="BB236" i="27"/>
  <c r="BG236" i="27"/>
  <c r="H237" i="27"/>
  <c r="I237" i="27"/>
  <c r="Z237" i="27" s="1"/>
  <c r="J237" i="27"/>
  <c r="AA237" i="27" s="1"/>
  <c r="K237" i="27"/>
  <c r="AB237" i="27" s="1"/>
  <c r="L237" i="27"/>
  <c r="AC237" i="27" s="1"/>
  <c r="M237" i="27"/>
  <c r="AD237" i="27" s="1"/>
  <c r="N237" i="27"/>
  <c r="AE237" i="27" s="1"/>
  <c r="O237" i="27"/>
  <c r="AF237" i="27" s="1"/>
  <c r="P237" i="27"/>
  <c r="R237" i="27"/>
  <c r="AI237" i="27" s="1"/>
  <c r="S237" i="27"/>
  <c r="T237" i="27"/>
  <c r="U237" i="27"/>
  <c r="V237" i="27"/>
  <c r="Y237" i="27"/>
  <c r="AG237" i="27"/>
  <c r="AJ237" i="27"/>
  <c r="AL237" i="27"/>
  <c r="AM237" i="27"/>
  <c r="AN237" i="27"/>
  <c r="AO237" i="27"/>
  <c r="AP237" i="27"/>
  <c r="BC237" i="27" s="1"/>
  <c r="AQ237" i="27"/>
  <c r="BD237" i="27" s="1"/>
  <c r="AR237" i="27"/>
  <c r="BE237" i="27" s="1"/>
  <c r="AS237" i="27"/>
  <c r="BF237" i="27" s="1"/>
  <c r="AT237" i="27"/>
  <c r="AV237" i="27"/>
  <c r="AY237" i="27"/>
  <c r="AZ237" i="27"/>
  <c r="BA237" i="27"/>
  <c r="BB237" i="27"/>
  <c r="BG237" i="27"/>
  <c r="H238" i="27"/>
  <c r="I238" i="27"/>
  <c r="J238" i="27"/>
  <c r="AA238" i="27" s="1"/>
  <c r="K238" i="27"/>
  <c r="AB238" i="27" s="1"/>
  <c r="L238" i="27"/>
  <c r="AC238" i="27" s="1"/>
  <c r="M238" i="27"/>
  <c r="AD238" i="27" s="1"/>
  <c r="N238" i="27"/>
  <c r="AE238" i="27" s="1"/>
  <c r="O238" i="27"/>
  <c r="AF238" i="27" s="1"/>
  <c r="P238" i="27"/>
  <c r="R238" i="27"/>
  <c r="S238" i="27"/>
  <c r="T238" i="27"/>
  <c r="U238" i="27"/>
  <c r="V238" i="27"/>
  <c r="Y238" i="27"/>
  <c r="Z238" i="27"/>
  <c r="AG238" i="27"/>
  <c r="AI238" i="27"/>
  <c r="AJ238" i="27"/>
  <c r="AL238" i="27"/>
  <c r="AM238" i="27"/>
  <c r="AN238" i="27"/>
  <c r="AO238" i="27"/>
  <c r="AP238" i="27"/>
  <c r="BC238" i="27" s="1"/>
  <c r="AQ238" i="27"/>
  <c r="BD238" i="27" s="1"/>
  <c r="AR238" i="27"/>
  <c r="BE238" i="27" s="1"/>
  <c r="AS238" i="27"/>
  <c r="BF238" i="27" s="1"/>
  <c r="AT238" i="27"/>
  <c r="AV238" i="27"/>
  <c r="AY238" i="27"/>
  <c r="AZ238" i="27"/>
  <c r="BA238" i="27"/>
  <c r="BB238" i="27"/>
  <c r="BG238" i="27"/>
  <c r="H239" i="27"/>
  <c r="I239" i="27"/>
  <c r="Z239" i="27" s="1"/>
  <c r="J239" i="27"/>
  <c r="AA239" i="27" s="1"/>
  <c r="K239" i="27"/>
  <c r="AB239" i="27" s="1"/>
  <c r="L239" i="27"/>
  <c r="AC239" i="27" s="1"/>
  <c r="M239" i="27"/>
  <c r="AD239" i="27" s="1"/>
  <c r="N239" i="27"/>
  <c r="AE239" i="27" s="1"/>
  <c r="O239" i="27"/>
  <c r="AF239" i="27" s="1"/>
  <c r="P239" i="27"/>
  <c r="R239" i="27"/>
  <c r="AI239" i="27" s="1"/>
  <c r="S239" i="27"/>
  <c r="T239" i="27"/>
  <c r="U239" i="27"/>
  <c r="V239" i="27"/>
  <c r="Y239" i="27"/>
  <c r="AG239" i="27"/>
  <c r="AJ239" i="27"/>
  <c r="AL239" i="27"/>
  <c r="AM239" i="27"/>
  <c r="AN239" i="27"/>
  <c r="AO239" i="27"/>
  <c r="AP239" i="27"/>
  <c r="BC239" i="27" s="1"/>
  <c r="AQ239" i="27"/>
  <c r="BD239" i="27" s="1"/>
  <c r="AR239" i="27"/>
  <c r="BE239" i="27" s="1"/>
  <c r="AS239" i="27"/>
  <c r="BF239" i="27" s="1"/>
  <c r="AT239" i="27"/>
  <c r="AV239" i="27"/>
  <c r="AY239" i="27"/>
  <c r="AZ239" i="27"/>
  <c r="BA239" i="27"/>
  <c r="BB239" i="27"/>
  <c r="BG239" i="27"/>
  <c r="H240" i="27"/>
  <c r="I240" i="27"/>
  <c r="J240" i="27"/>
  <c r="AA240" i="27" s="1"/>
  <c r="K240" i="27"/>
  <c r="AB240" i="27" s="1"/>
  <c r="L240" i="27"/>
  <c r="AC240" i="27" s="1"/>
  <c r="M240" i="27"/>
  <c r="AD240" i="27" s="1"/>
  <c r="N240" i="27"/>
  <c r="AE240" i="27" s="1"/>
  <c r="O240" i="27"/>
  <c r="AF240" i="27" s="1"/>
  <c r="P240" i="27"/>
  <c r="R240" i="27"/>
  <c r="S240" i="27"/>
  <c r="T240" i="27"/>
  <c r="U240" i="27"/>
  <c r="V240" i="27"/>
  <c r="Y240" i="27"/>
  <c r="Z240" i="27"/>
  <c r="AG240" i="27"/>
  <c r="AI240" i="27"/>
  <c r="AJ240" i="27"/>
  <c r="AL240" i="27"/>
  <c r="AM240" i="27"/>
  <c r="AN240" i="27"/>
  <c r="AO240" i="27"/>
  <c r="AP240" i="27"/>
  <c r="BC240" i="27" s="1"/>
  <c r="AQ240" i="27"/>
  <c r="BD240" i="27" s="1"/>
  <c r="AR240" i="27"/>
  <c r="BE240" i="27" s="1"/>
  <c r="AS240" i="27"/>
  <c r="BF240" i="27" s="1"/>
  <c r="AT240" i="27"/>
  <c r="AV240" i="27"/>
  <c r="AY240" i="27"/>
  <c r="AZ240" i="27"/>
  <c r="BA240" i="27"/>
  <c r="BB240" i="27"/>
  <c r="BG240" i="27"/>
  <c r="H241" i="27"/>
  <c r="I241" i="27"/>
  <c r="Z241" i="27" s="1"/>
  <c r="J241" i="27"/>
  <c r="AA241" i="27" s="1"/>
  <c r="K241" i="27"/>
  <c r="AB241" i="27" s="1"/>
  <c r="L241" i="27"/>
  <c r="AC241" i="27" s="1"/>
  <c r="M241" i="27"/>
  <c r="AD241" i="27" s="1"/>
  <c r="N241" i="27"/>
  <c r="AE241" i="27" s="1"/>
  <c r="O241" i="27"/>
  <c r="AF241" i="27" s="1"/>
  <c r="P241" i="27"/>
  <c r="R241" i="27"/>
  <c r="AI241" i="27" s="1"/>
  <c r="S241" i="27"/>
  <c r="T241" i="27"/>
  <c r="U241" i="27"/>
  <c r="V241" i="27"/>
  <c r="Y241" i="27"/>
  <c r="AG241" i="27"/>
  <c r="AJ241" i="27"/>
  <c r="AL241" i="27"/>
  <c r="AM241" i="27"/>
  <c r="AN241" i="27"/>
  <c r="AO241" i="27"/>
  <c r="AP241" i="27"/>
  <c r="BC241" i="27" s="1"/>
  <c r="AQ241" i="27"/>
  <c r="BD241" i="27" s="1"/>
  <c r="AR241" i="27"/>
  <c r="BE241" i="27" s="1"/>
  <c r="AS241" i="27"/>
  <c r="BF241" i="27" s="1"/>
  <c r="AT241" i="27"/>
  <c r="AV241" i="27"/>
  <c r="AY241" i="27"/>
  <c r="AZ241" i="27"/>
  <c r="BA241" i="27"/>
  <c r="BB241" i="27"/>
  <c r="BG241" i="27"/>
  <c r="H242" i="27"/>
  <c r="I242" i="27"/>
  <c r="J242" i="27"/>
  <c r="AA242" i="27" s="1"/>
  <c r="K242" i="27"/>
  <c r="L242" i="27"/>
  <c r="AC242" i="27" s="1"/>
  <c r="M242" i="27"/>
  <c r="AD242" i="27" s="1"/>
  <c r="N242" i="27"/>
  <c r="AE242" i="27" s="1"/>
  <c r="O242" i="27"/>
  <c r="AF242" i="27" s="1"/>
  <c r="P242" i="27"/>
  <c r="R242" i="27"/>
  <c r="S242" i="27"/>
  <c r="T242" i="27"/>
  <c r="U242" i="27"/>
  <c r="V242" i="27"/>
  <c r="Y242" i="27"/>
  <c r="Z242" i="27"/>
  <c r="AB242" i="27"/>
  <c r="AG242" i="27"/>
  <c r="AI242" i="27"/>
  <c r="AJ242" i="27"/>
  <c r="AL242" i="27"/>
  <c r="AM242" i="27"/>
  <c r="AN242" i="27"/>
  <c r="AO242" i="27"/>
  <c r="AP242" i="27"/>
  <c r="BC242" i="27" s="1"/>
  <c r="AQ242" i="27"/>
  <c r="BD242" i="27" s="1"/>
  <c r="AR242" i="27"/>
  <c r="BE242" i="27" s="1"/>
  <c r="AS242" i="27"/>
  <c r="BF242" i="27" s="1"/>
  <c r="AT242" i="27"/>
  <c r="AV242" i="27"/>
  <c r="AY242" i="27"/>
  <c r="AZ242" i="27"/>
  <c r="BA242" i="27"/>
  <c r="BB242" i="27"/>
  <c r="BG242" i="27"/>
  <c r="H243" i="27"/>
  <c r="I243" i="27"/>
  <c r="Z243" i="27" s="1"/>
  <c r="J243" i="27"/>
  <c r="AA243" i="27" s="1"/>
  <c r="K243" i="27"/>
  <c r="AB243" i="27" s="1"/>
  <c r="L243" i="27"/>
  <c r="AC243" i="27" s="1"/>
  <c r="M243" i="27"/>
  <c r="AD243" i="27" s="1"/>
  <c r="N243" i="27"/>
  <c r="AE243" i="27" s="1"/>
  <c r="O243" i="27"/>
  <c r="AF243" i="27" s="1"/>
  <c r="P243" i="27"/>
  <c r="R243" i="27"/>
  <c r="AI243" i="27" s="1"/>
  <c r="S243" i="27"/>
  <c r="T243" i="27"/>
  <c r="U243" i="27"/>
  <c r="V243" i="27"/>
  <c r="Y243" i="27"/>
  <c r="AG243" i="27"/>
  <c r="AJ243" i="27"/>
  <c r="AL243" i="27"/>
  <c r="AM243" i="27"/>
  <c r="AN243" i="27"/>
  <c r="AO243" i="27"/>
  <c r="AP243" i="27"/>
  <c r="BC243" i="27" s="1"/>
  <c r="AQ243" i="27"/>
  <c r="BD243" i="27" s="1"/>
  <c r="AR243" i="27"/>
  <c r="BE243" i="27" s="1"/>
  <c r="AS243" i="27"/>
  <c r="BF243" i="27" s="1"/>
  <c r="AT243" i="27"/>
  <c r="AV243" i="27"/>
  <c r="AY243" i="27"/>
  <c r="AZ243" i="27"/>
  <c r="BA243" i="27"/>
  <c r="BB243" i="27"/>
  <c r="BG243" i="27"/>
  <c r="H244" i="27"/>
  <c r="I244" i="27"/>
  <c r="Z244" i="27" s="1"/>
  <c r="J244" i="27"/>
  <c r="AA244" i="27" s="1"/>
  <c r="K244" i="27"/>
  <c r="AB244" i="27" s="1"/>
  <c r="L244" i="27"/>
  <c r="AC244" i="27" s="1"/>
  <c r="M244" i="27"/>
  <c r="AD244" i="27" s="1"/>
  <c r="N244" i="27"/>
  <c r="AE244" i="27" s="1"/>
  <c r="O244" i="27"/>
  <c r="AF244" i="27" s="1"/>
  <c r="P244" i="27"/>
  <c r="R244" i="27"/>
  <c r="AI244" i="27" s="1"/>
  <c r="S244" i="27"/>
  <c r="T244" i="27"/>
  <c r="U244" i="27"/>
  <c r="V244" i="27"/>
  <c r="Y244" i="27"/>
  <c r="AG244" i="27"/>
  <c r="AJ244" i="27"/>
  <c r="AL244" i="27"/>
  <c r="AM244" i="27"/>
  <c r="AN244" i="27"/>
  <c r="AO244" i="27"/>
  <c r="AP244" i="27"/>
  <c r="BC244" i="27" s="1"/>
  <c r="AQ244" i="27"/>
  <c r="BD244" i="27" s="1"/>
  <c r="AR244" i="27"/>
  <c r="BE244" i="27" s="1"/>
  <c r="AS244" i="27"/>
  <c r="BF244" i="27" s="1"/>
  <c r="AT244" i="27"/>
  <c r="AV244" i="27"/>
  <c r="AY244" i="27"/>
  <c r="AZ244" i="27"/>
  <c r="BA244" i="27"/>
  <c r="BB244" i="27"/>
  <c r="BG244" i="27"/>
  <c r="H245" i="27"/>
  <c r="I245" i="27"/>
  <c r="Z245" i="27" s="1"/>
  <c r="J245" i="27"/>
  <c r="AA245" i="27" s="1"/>
  <c r="K245" i="27"/>
  <c r="AB245" i="27" s="1"/>
  <c r="L245" i="27"/>
  <c r="AC245" i="27" s="1"/>
  <c r="M245" i="27"/>
  <c r="AD245" i="27" s="1"/>
  <c r="N245" i="27"/>
  <c r="AE245" i="27" s="1"/>
  <c r="O245" i="27"/>
  <c r="AF245" i="27" s="1"/>
  <c r="P245" i="27"/>
  <c r="R245" i="27"/>
  <c r="S245" i="27"/>
  <c r="T245" i="27"/>
  <c r="U245" i="27"/>
  <c r="V245" i="27"/>
  <c r="Y245" i="27"/>
  <c r="AG245" i="27"/>
  <c r="AI245" i="27"/>
  <c r="AJ245" i="27"/>
  <c r="AL245" i="27"/>
  <c r="AM245" i="27"/>
  <c r="AN245" i="27"/>
  <c r="AO245" i="27"/>
  <c r="AP245" i="27"/>
  <c r="BC245" i="27" s="1"/>
  <c r="AQ245" i="27"/>
  <c r="BD245" i="27" s="1"/>
  <c r="AR245" i="27"/>
  <c r="BE245" i="27" s="1"/>
  <c r="AS245" i="27"/>
  <c r="BF245" i="27" s="1"/>
  <c r="AT245" i="27"/>
  <c r="AV245" i="27"/>
  <c r="AY245" i="27"/>
  <c r="AZ245" i="27"/>
  <c r="BA245" i="27"/>
  <c r="BB245" i="27"/>
  <c r="BG245" i="27"/>
  <c r="H246" i="27"/>
  <c r="I246" i="27"/>
  <c r="Z246" i="27" s="1"/>
  <c r="J246" i="27"/>
  <c r="AA246" i="27" s="1"/>
  <c r="K246" i="27"/>
  <c r="AB246" i="27" s="1"/>
  <c r="L246" i="27"/>
  <c r="AC246" i="27" s="1"/>
  <c r="M246" i="27"/>
  <c r="AD246" i="27" s="1"/>
  <c r="N246" i="27"/>
  <c r="AE246" i="27" s="1"/>
  <c r="O246" i="27"/>
  <c r="AF246" i="27" s="1"/>
  <c r="P246" i="27"/>
  <c r="R246" i="27"/>
  <c r="AI246" i="27" s="1"/>
  <c r="S246" i="27"/>
  <c r="T246" i="27"/>
  <c r="U246" i="27"/>
  <c r="V246" i="27"/>
  <c r="Y246" i="27"/>
  <c r="AG246" i="27"/>
  <c r="AJ246" i="27"/>
  <c r="AL246" i="27"/>
  <c r="AM246" i="27"/>
  <c r="AN246" i="27"/>
  <c r="AO246" i="27"/>
  <c r="AP246" i="27"/>
  <c r="BC246" i="27" s="1"/>
  <c r="AQ246" i="27"/>
  <c r="BD246" i="27" s="1"/>
  <c r="AR246" i="27"/>
  <c r="BE246" i="27" s="1"/>
  <c r="AS246" i="27"/>
  <c r="BF246" i="27" s="1"/>
  <c r="AT246" i="27"/>
  <c r="AV246" i="27"/>
  <c r="AY246" i="27"/>
  <c r="AZ246" i="27"/>
  <c r="BA246" i="27"/>
  <c r="BB246" i="27"/>
  <c r="BG246" i="27"/>
  <c r="H247" i="27"/>
  <c r="I247" i="27"/>
  <c r="J247" i="27"/>
  <c r="AA247" i="27" s="1"/>
  <c r="K247" i="27"/>
  <c r="AB247" i="27" s="1"/>
  <c r="L247" i="27"/>
  <c r="AC247" i="27" s="1"/>
  <c r="M247" i="27"/>
  <c r="AD247" i="27" s="1"/>
  <c r="N247" i="27"/>
  <c r="AE247" i="27" s="1"/>
  <c r="O247" i="27"/>
  <c r="AF247" i="27" s="1"/>
  <c r="P247" i="27"/>
  <c r="R247" i="27"/>
  <c r="S247" i="27"/>
  <c r="T247" i="27"/>
  <c r="U247" i="27"/>
  <c r="V247" i="27"/>
  <c r="Y247" i="27"/>
  <c r="Z247" i="27"/>
  <c r="AG247" i="27"/>
  <c r="AI247" i="27"/>
  <c r="AJ247" i="27"/>
  <c r="AL247" i="27"/>
  <c r="AM247" i="27"/>
  <c r="AN247" i="27"/>
  <c r="AO247" i="27"/>
  <c r="AP247" i="27"/>
  <c r="BC247" i="27" s="1"/>
  <c r="AQ247" i="27"/>
  <c r="BD247" i="27" s="1"/>
  <c r="AR247" i="27"/>
  <c r="BE247" i="27" s="1"/>
  <c r="AS247" i="27"/>
  <c r="BF247" i="27" s="1"/>
  <c r="AT247" i="27"/>
  <c r="AV247" i="27"/>
  <c r="AY247" i="27"/>
  <c r="AZ247" i="27"/>
  <c r="BA247" i="27"/>
  <c r="BB247" i="27"/>
  <c r="BG247" i="27"/>
  <c r="H248" i="27"/>
  <c r="I248" i="27"/>
  <c r="Z248" i="27" s="1"/>
  <c r="J248" i="27"/>
  <c r="AA248" i="27" s="1"/>
  <c r="K248" i="27"/>
  <c r="AB248" i="27" s="1"/>
  <c r="L248" i="27"/>
  <c r="AC248" i="27" s="1"/>
  <c r="M248" i="27"/>
  <c r="AD248" i="27" s="1"/>
  <c r="N248" i="27"/>
  <c r="AE248" i="27" s="1"/>
  <c r="O248" i="27"/>
  <c r="AF248" i="27" s="1"/>
  <c r="P248" i="27"/>
  <c r="R248" i="27"/>
  <c r="AI248" i="27" s="1"/>
  <c r="S248" i="27"/>
  <c r="T248" i="27"/>
  <c r="U248" i="27"/>
  <c r="V248" i="27"/>
  <c r="Y248" i="27"/>
  <c r="AG248" i="27"/>
  <c r="AJ248" i="27"/>
  <c r="AL248" i="27"/>
  <c r="AM248" i="27"/>
  <c r="AN248" i="27"/>
  <c r="AO248" i="27"/>
  <c r="AP248" i="27"/>
  <c r="BC248" i="27" s="1"/>
  <c r="AQ248" i="27"/>
  <c r="BD248" i="27" s="1"/>
  <c r="AR248" i="27"/>
  <c r="BE248" i="27" s="1"/>
  <c r="AS248" i="27"/>
  <c r="BF248" i="27" s="1"/>
  <c r="AT248" i="27"/>
  <c r="AV248" i="27"/>
  <c r="AY248" i="27"/>
  <c r="AZ248" i="27"/>
  <c r="BA248" i="27"/>
  <c r="BB248" i="27"/>
  <c r="BG248" i="27"/>
  <c r="H249" i="27"/>
  <c r="I249" i="27"/>
  <c r="Z249" i="27" s="1"/>
  <c r="J249" i="27"/>
  <c r="AA249" i="27" s="1"/>
  <c r="K249" i="27"/>
  <c r="AB249" i="27" s="1"/>
  <c r="L249" i="27"/>
  <c r="AC249" i="27" s="1"/>
  <c r="M249" i="27"/>
  <c r="AD249" i="27" s="1"/>
  <c r="N249" i="27"/>
  <c r="AE249" i="27" s="1"/>
  <c r="O249" i="27"/>
  <c r="AF249" i="27" s="1"/>
  <c r="P249" i="27"/>
  <c r="R249" i="27"/>
  <c r="AI249" i="27" s="1"/>
  <c r="S249" i="27"/>
  <c r="T249" i="27"/>
  <c r="U249" i="27"/>
  <c r="V249" i="27"/>
  <c r="Y249" i="27"/>
  <c r="AG249" i="27"/>
  <c r="AJ249" i="27"/>
  <c r="AL249" i="27"/>
  <c r="AM249" i="27"/>
  <c r="AN249" i="27"/>
  <c r="AO249" i="27"/>
  <c r="AP249" i="27"/>
  <c r="BC249" i="27" s="1"/>
  <c r="AQ249" i="27"/>
  <c r="BD249" i="27" s="1"/>
  <c r="AR249" i="27"/>
  <c r="BE249" i="27" s="1"/>
  <c r="AS249" i="27"/>
  <c r="BF249" i="27" s="1"/>
  <c r="AT249" i="27"/>
  <c r="AV249" i="27"/>
  <c r="AY249" i="27"/>
  <c r="AZ249" i="27"/>
  <c r="BA249" i="27"/>
  <c r="BB249" i="27"/>
  <c r="BG249" i="27"/>
  <c r="H250" i="27"/>
  <c r="I250" i="27"/>
  <c r="Z250" i="27" s="1"/>
  <c r="J250" i="27"/>
  <c r="AA250" i="27" s="1"/>
  <c r="K250" i="27"/>
  <c r="AB250" i="27" s="1"/>
  <c r="L250" i="27"/>
  <c r="AC250" i="27" s="1"/>
  <c r="M250" i="27"/>
  <c r="AD250" i="27" s="1"/>
  <c r="N250" i="27"/>
  <c r="AE250" i="27" s="1"/>
  <c r="O250" i="27"/>
  <c r="AF250" i="27" s="1"/>
  <c r="P250" i="27"/>
  <c r="R250" i="27"/>
  <c r="AI250" i="27" s="1"/>
  <c r="S250" i="27"/>
  <c r="T250" i="27"/>
  <c r="U250" i="27"/>
  <c r="V250" i="27"/>
  <c r="Y250" i="27"/>
  <c r="AG250" i="27"/>
  <c r="AJ250" i="27"/>
  <c r="AL250" i="27"/>
  <c r="AM250" i="27"/>
  <c r="AN250" i="27"/>
  <c r="AO250" i="27"/>
  <c r="AP250" i="27"/>
  <c r="BC250" i="27" s="1"/>
  <c r="AQ250" i="27"/>
  <c r="BD250" i="27" s="1"/>
  <c r="AR250" i="27"/>
  <c r="BE250" i="27" s="1"/>
  <c r="AS250" i="27"/>
  <c r="BF250" i="27" s="1"/>
  <c r="AT250" i="27"/>
  <c r="AV250" i="27"/>
  <c r="AY250" i="27"/>
  <c r="AZ250" i="27"/>
  <c r="BA250" i="27"/>
  <c r="BB250" i="27"/>
  <c r="BG250" i="27"/>
  <c r="H251" i="27"/>
  <c r="I251" i="27"/>
  <c r="Z251" i="27" s="1"/>
  <c r="J251" i="27"/>
  <c r="AA251" i="27" s="1"/>
  <c r="K251" i="27"/>
  <c r="AB251" i="27" s="1"/>
  <c r="L251" i="27"/>
  <c r="AC251" i="27" s="1"/>
  <c r="M251" i="27"/>
  <c r="AD251" i="27" s="1"/>
  <c r="N251" i="27"/>
  <c r="AE251" i="27" s="1"/>
  <c r="O251" i="27"/>
  <c r="AF251" i="27" s="1"/>
  <c r="P251" i="27"/>
  <c r="R251" i="27"/>
  <c r="AI251" i="27" s="1"/>
  <c r="S251" i="27"/>
  <c r="T251" i="27"/>
  <c r="U251" i="27"/>
  <c r="V251" i="27"/>
  <c r="Y251" i="27"/>
  <c r="AG251" i="27"/>
  <c r="AJ251" i="27"/>
  <c r="AL251" i="27"/>
  <c r="AM251" i="27"/>
  <c r="AN251" i="27"/>
  <c r="AO251" i="27"/>
  <c r="AP251" i="27"/>
  <c r="BC251" i="27" s="1"/>
  <c r="AQ251" i="27"/>
  <c r="BD251" i="27" s="1"/>
  <c r="AR251" i="27"/>
  <c r="BE251" i="27" s="1"/>
  <c r="AS251" i="27"/>
  <c r="BF251" i="27" s="1"/>
  <c r="AT251" i="27"/>
  <c r="AV251" i="27"/>
  <c r="AY251" i="27"/>
  <c r="AZ251" i="27"/>
  <c r="BA251" i="27"/>
  <c r="BB251" i="27"/>
  <c r="BG251" i="27"/>
  <c r="H252" i="27"/>
  <c r="I252" i="27"/>
  <c r="Z252" i="27" s="1"/>
  <c r="J252" i="27"/>
  <c r="K252" i="27"/>
  <c r="AB252" i="27" s="1"/>
  <c r="L252" i="27"/>
  <c r="AC252" i="27" s="1"/>
  <c r="M252" i="27"/>
  <c r="AD252" i="27" s="1"/>
  <c r="N252" i="27"/>
  <c r="AE252" i="27" s="1"/>
  <c r="O252" i="27"/>
  <c r="AF252" i="27" s="1"/>
  <c r="P252" i="27"/>
  <c r="R252" i="27"/>
  <c r="AI252" i="27" s="1"/>
  <c r="S252" i="27"/>
  <c r="T252" i="27"/>
  <c r="U252" i="27"/>
  <c r="V252" i="27"/>
  <c r="Y252" i="27"/>
  <c r="AA252" i="27"/>
  <c r="AG252" i="27"/>
  <c r="AJ252" i="27"/>
  <c r="AL252" i="27"/>
  <c r="AM252" i="27"/>
  <c r="AN252" i="27"/>
  <c r="AO252" i="27"/>
  <c r="AP252" i="27"/>
  <c r="BC252" i="27" s="1"/>
  <c r="AQ252" i="27"/>
  <c r="BD252" i="27" s="1"/>
  <c r="AR252" i="27"/>
  <c r="BE252" i="27" s="1"/>
  <c r="AS252" i="27"/>
  <c r="BF252" i="27" s="1"/>
  <c r="AT252" i="27"/>
  <c r="AV252" i="27"/>
  <c r="AY252" i="27"/>
  <c r="AZ252" i="27"/>
  <c r="BA252" i="27"/>
  <c r="BB252" i="27"/>
  <c r="BG252" i="27"/>
  <c r="H253" i="27"/>
  <c r="I253" i="27"/>
  <c r="Z253" i="27" s="1"/>
  <c r="J253" i="27"/>
  <c r="AA253" i="27" s="1"/>
  <c r="K253" i="27"/>
  <c r="AB253" i="27" s="1"/>
  <c r="L253" i="27"/>
  <c r="AC253" i="27" s="1"/>
  <c r="M253" i="27"/>
  <c r="AD253" i="27" s="1"/>
  <c r="N253" i="27"/>
  <c r="AE253" i="27" s="1"/>
  <c r="O253" i="27"/>
  <c r="AF253" i="27" s="1"/>
  <c r="P253" i="27"/>
  <c r="R253" i="27"/>
  <c r="AI253" i="27" s="1"/>
  <c r="S253" i="27"/>
  <c r="T253" i="27"/>
  <c r="U253" i="27"/>
  <c r="V253" i="27"/>
  <c r="Y253" i="27"/>
  <c r="AG253" i="27"/>
  <c r="AJ253" i="27"/>
  <c r="AL253" i="27"/>
  <c r="AM253" i="27"/>
  <c r="AN253" i="27"/>
  <c r="AO253" i="27"/>
  <c r="AP253" i="27"/>
  <c r="BC253" i="27" s="1"/>
  <c r="AQ253" i="27"/>
  <c r="BD253" i="27" s="1"/>
  <c r="AR253" i="27"/>
  <c r="BE253" i="27" s="1"/>
  <c r="AS253" i="27"/>
  <c r="BF253" i="27" s="1"/>
  <c r="AT253" i="27"/>
  <c r="AV253" i="27"/>
  <c r="AY253" i="27"/>
  <c r="AZ253" i="27"/>
  <c r="BA253" i="27"/>
  <c r="BB253" i="27"/>
  <c r="BG253" i="27"/>
  <c r="H254" i="27"/>
  <c r="I254" i="27"/>
  <c r="J254" i="27"/>
  <c r="AA254" i="27" s="1"/>
  <c r="K254" i="27"/>
  <c r="AB254" i="27" s="1"/>
  <c r="L254" i="27"/>
  <c r="AC254" i="27" s="1"/>
  <c r="M254" i="27"/>
  <c r="AD254" i="27" s="1"/>
  <c r="N254" i="27"/>
  <c r="AE254" i="27" s="1"/>
  <c r="O254" i="27"/>
  <c r="AF254" i="27" s="1"/>
  <c r="P254" i="27"/>
  <c r="R254" i="27"/>
  <c r="S254" i="27"/>
  <c r="T254" i="27"/>
  <c r="U254" i="27"/>
  <c r="V254" i="27"/>
  <c r="Y254" i="27"/>
  <c r="Z254" i="27"/>
  <c r="AG254" i="27"/>
  <c r="AI254" i="27"/>
  <c r="AJ254" i="27"/>
  <c r="AL254" i="27"/>
  <c r="AM254" i="27"/>
  <c r="AN254" i="27"/>
  <c r="AO254" i="27"/>
  <c r="AP254" i="27"/>
  <c r="BC254" i="27" s="1"/>
  <c r="AQ254" i="27"/>
  <c r="BD254" i="27" s="1"/>
  <c r="AR254" i="27"/>
  <c r="BE254" i="27" s="1"/>
  <c r="AS254" i="27"/>
  <c r="BF254" i="27" s="1"/>
  <c r="AT254" i="27"/>
  <c r="AV254" i="27"/>
  <c r="AY254" i="27"/>
  <c r="AZ254" i="27"/>
  <c r="BA254" i="27"/>
  <c r="BB254" i="27"/>
  <c r="BG254" i="27"/>
  <c r="H255" i="27"/>
  <c r="I255" i="27"/>
  <c r="Z255" i="27" s="1"/>
  <c r="J255" i="27"/>
  <c r="AA255" i="27" s="1"/>
  <c r="K255" i="27"/>
  <c r="AB255" i="27" s="1"/>
  <c r="L255" i="27"/>
  <c r="AC255" i="27" s="1"/>
  <c r="M255" i="27"/>
  <c r="AD255" i="27" s="1"/>
  <c r="N255" i="27"/>
  <c r="AE255" i="27" s="1"/>
  <c r="O255" i="27"/>
  <c r="AF255" i="27" s="1"/>
  <c r="P255" i="27"/>
  <c r="R255" i="27"/>
  <c r="AI255" i="27" s="1"/>
  <c r="S255" i="27"/>
  <c r="T255" i="27"/>
  <c r="U255" i="27"/>
  <c r="V255" i="27"/>
  <c r="Y255" i="27"/>
  <c r="AG255" i="27"/>
  <c r="AJ255" i="27"/>
  <c r="AL255" i="27"/>
  <c r="AM255" i="27"/>
  <c r="AN255" i="27"/>
  <c r="AO255" i="27"/>
  <c r="AP255" i="27"/>
  <c r="BC255" i="27" s="1"/>
  <c r="AQ255" i="27"/>
  <c r="BD255" i="27" s="1"/>
  <c r="AR255" i="27"/>
  <c r="BE255" i="27" s="1"/>
  <c r="AS255" i="27"/>
  <c r="BF255" i="27" s="1"/>
  <c r="AT255" i="27"/>
  <c r="AV255" i="27"/>
  <c r="AY255" i="27"/>
  <c r="AZ255" i="27"/>
  <c r="BA255" i="27"/>
  <c r="BB255" i="27"/>
  <c r="BG255" i="27"/>
  <c r="H256" i="27"/>
  <c r="I256" i="27"/>
  <c r="Z256" i="27" s="1"/>
  <c r="J256" i="27"/>
  <c r="AA256" i="27" s="1"/>
  <c r="K256" i="27"/>
  <c r="AB256" i="27" s="1"/>
  <c r="L256" i="27"/>
  <c r="AC256" i="27" s="1"/>
  <c r="M256" i="27"/>
  <c r="AD256" i="27" s="1"/>
  <c r="N256" i="27"/>
  <c r="AE256" i="27" s="1"/>
  <c r="O256" i="27"/>
  <c r="AF256" i="27" s="1"/>
  <c r="P256" i="27"/>
  <c r="R256" i="27"/>
  <c r="AI256" i="27" s="1"/>
  <c r="S256" i="27"/>
  <c r="T256" i="27"/>
  <c r="U256" i="27"/>
  <c r="V256" i="27"/>
  <c r="Y256" i="27"/>
  <c r="AG256" i="27"/>
  <c r="AJ256" i="27"/>
  <c r="AL256" i="27"/>
  <c r="AM256" i="27"/>
  <c r="AN256" i="27"/>
  <c r="AO256" i="27"/>
  <c r="AP256" i="27"/>
  <c r="BC256" i="27" s="1"/>
  <c r="AQ256" i="27"/>
  <c r="BD256" i="27" s="1"/>
  <c r="AR256" i="27"/>
  <c r="BE256" i="27" s="1"/>
  <c r="AS256" i="27"/>
  <c r="BF256" i="27" s="1"/>
  <c r="AT256" i="27"/>
  <c r="AV256" i="27"/>
  <c r="AY256" i="27"/>
  <c r="AZ256" i="27"/>
  <c r="BA256" i="27"/>
  <c r="BB256" i="27"/>
  <c r="BG256" i="27"/>
  <c r="H257" i="27"/>
  <c r="I257" i="27"/>
  <c r="Z257" i="27" s="1"/>
  <c r="J257" i="27"/>
  <c r="AA257" i="27" s="1"/>
  <c r="K257" i="27"/>
  <c r="AB257" i="27" s="1"/>
  <c r="L257" i="27"/>
  <c r="AC257" i="27" s="1"/>
  <c r="M257" i="27"/>
  <c r="AD257" i="27" s="1"/>
  <c r="N257" i="27"/>
  <c r="AE257" i="27" s="1"/>
  <c r="O257" i="27"/>
  <c r="AF257" i="27" s="1"/>
  <c r="P257" i="27"/>
  <c r="R257" i="27"/>
  <c r="AI257" i="27" s="1"/>
  <c r="S257" i="27"/>
  <c r="T257" i="27"/>
  <c r="U257" i="27"/>
  <c r="V257" i="27"/>
  <c r="Y257" i="27"/>
  <c r="AG257" i="27"/>
  <c r="AJ257" i="27"/>
  <c r="AL257" i="27"/>
  <c r="AM257" i="27"/>
  <c r="AN257" i="27"/>
  <c r="AO257" i="27"/>
  <c r="AP257" i="27"/>
  <c r="BC257" i="27" s="1"/>
  <c r="AQ257" i="27"/>
  <c r="BD257" i="27" s="1"/>
  <c r="AR257" i="27"/>
  <c r="BE257" i="27" s="1"/>
  <c r="AS257" i="27"/>
  <c r="BF257" i="27" s="1"/>
  <c r="AT257" i="27"/>
  <c r="AV257" i="27"/>
  <c r="AY257" i="27"/>
  <c r="AZ257" i="27"/>
  <c r="BA257" i="27"/>
  <c r="BB257" i="27"/>
  <c r="BG257" i="27"/>
  <c r="H258" i="27"/>
  <c r="I258" i="27"/>
  <c r="Z258" i="27" s="1"/>
  <c r="J258" i="27"/>
  <c r="AA258" i="27" s="1"/>
  <c r="K258" i="27"/>
  <c r="AB258" i="27" s="1"/>
  <c r="L258" i="27"/>
  <c r="AC258" i="27" s="1"/>
  <c r="M258" i="27"/>
  <c r="AD258" i="27" s="1"/>
  <c r="N258" i="27"/>
  <c r="AE258" i="27" s="1"/>
  <c r="O258" i="27"/>
  <c r="AF258" i="27" s="1"/>
  <c r="P258" i="27"/>
  <c r="R258" i="27"/>
  <c r="AI258" i="27" s="1"/>
  <c r="S258" i="27"/>
  <c r="T258" i="27"/>
  <c r="U258" i="27"/>
  <c r="V258" i="27"/>
  <c r="Y258" i="27"/>
  <c r="AG258" i="27"/>
  <c r="AJ258" i="27"/>
  <c r="AL258" i="27"/>
  <c r="AM258" i="27"/>
  <c r="AN258" i="27"/>
  <c r="AO258" i="27"/>
  <c r="AP258" i="27"/>
  <c r="BC258" i="27" s="1"/>
  <c r="AQ258" i="27"/>
  <c r="BD258" i="27" s="1"/>
  <c r="AR258" i="27"/>
  <c r="BE258" i="27" s="1"/>
  <c r="AS258" i="27"/>
  <c r="BF258" i="27" s="1"/>
  <c r="AT258" i="27"/>
  <c r="AV258" i="27"/>
  <c r="AY258" i="27"/>
  <c r="AZ258" i="27"/>
  <c r="BA258" i="27"/>
  <c r="BB258" i="27"/>
  <c r="BG258" i="27"/>
  <c r="H259" i="27"/>
  <c r="I259" i="27"/>
  <c r="J259" i="27"/>
  <c r="AA259" i="27" s="1"/>
  <c r="K259" i="27"/>
  <c r="AB259" i="27" s="1"/>
  <c r="L259" i="27"/>
  <c r="AC259" i="27" s="1"/>
  <c r="M259" i="27"/>
  <c r="AD259" i="27" s="1"/>
  <c r="N259" i="27"/>
  <c r="AE259" i="27" s="1"/>
  <c r="O259" i="27"/>
  <c r="AF259" i="27" s="1"/>
  <c r="P259" i="27"/>
  <c r="R259" i="27"/>
  <c r="S259" i="27"/>
  <c r="T259" i="27"/>
  <c r="U259" i="27"/>
  <c r="V259" i="27"/>
  <c r="Y259" i="27"/>
  <c r="Z259" i="27"/>
  <c r="AG259" i="27"/>
  <c r="AI259" i="27"/>
  <c r="AJ259" i="27"/>
  <c r="AL259" i="27"/>
  <c r="AM259" i="27"/>
  <c r="AN259" i="27"/>
  <c r="AO259" i="27"/>
  <c r="AP259" i="27"/>
  <c r="BC259" i="27" s="1"/>
  <c r="AQ259" i="27"/>
  <c r="BD259" i="27" s="1"/>
  <c r="AR259" i="27"/>
  <c r="BE259" i="27" s="1"/>
  <c r="AS259" i="27"/>
  <c r="BF259" i="27" s="1"/>
  <c r="AT259" i="27"/>
  <c r="AV259" i="27"/>
  <c r="AY259" i="27"/>
  <c r="AZ259" i="27"/>
  <c r="BA259" i="27"/>
  <c r="BB259" i="27"/>
  <c r="BG259" i="27"/>
  <c r="H260" i="27"/>
  <c r="I260" i="27"/>
  <c r="Z260" i="27" s="1"/>
  <c r="J260" i="27"/>
  <c r="AA260" i="27" s="1"/>
  <c r="K260" i="27"/>
  <c r="AB260" i="27" s="1"/>
  <c r="L260" i="27"/>
  <c r="AC260" i="27" s="1"/>
  <c r="M260" i="27"/>
  <c r="AD260" i="27" s="1"/>
  <c r="N260" i="27"/>
  <c r="AE260" i="27" s="1"/>
  <c r="O260" i="27"/>
  <c r="AF260" i="27" s="1"/>
  <c r="P260" i="27"/>
  <c r="R260" i="27"/>
  <c r="AI260" i="27" s="1"/>
  <c r="S260" i="27"/>
  <c r="T260" i="27"/>
  <c r="U260" i="27"/>
  <c r="V260" i="27"/>
  <c r="Y260" i="27"/>
  <c r="AG260" i="27"/>
  <c r="AJ260" i="27"/>
  <c r="AL260" i="27"/>
  <c r="AM260" i="27"/>
  <c r="AN260" i="27"/>
  <c r="AO260" i="27"/>
  <c r="AP260" i="27"/>
  <c r="BC260" i="27" s="1"/>
  <c r="AQ260" i="27"/>
  <c r="BD260" i="27" s="1"/>
  <c r="AR260" i="27"/>
  <c r="BE260" i="27" s="1"/>
  <c r="AS260" i="27"/>
  <c r="BF260" i="27" s="1"/>
  <c r="AT260" i="27"/>
  <c r="AV260" i="27"/>
  <c r="AY260" i="27"/>
  <c r="AZ260" i="27"/>
  <c r="BA260" i="27"/>
  <c r="BB260" i="27"/>
  <c r="BG260" i="27"/>
  <c r="H261" i="27"/>
  <c r="I261" i="27"/>
  <c r="J261" i="27"/>
  <c r="AA261" i="27" s="1"/>
  <c r="K261" i="27"/>
  <c r="AB261" i="27" s="1"/>
  <c r="L261" i="27"/>
  <c r="AC261" i="27" s="1"/>
  <c r="M261" i="27"/>
  <c r="AD261" i="27" s="1"/>
  <c r="N261" i="27"/>
  <c r="AE261" i="27" s="1"/>
  <c r="O261" i="27"/>
  <c r="AF261" i="27" s="1"/>
  <c r="P261" i="27"/>
  <c r="R261" i="27"/>
  <c r="S261" i="27"/>
  <c r="T261" i="27"/>
  <c r="U261" i="27"/>
  <c r="V261" i="27"/>
  <c r="Y261" i="27"/>
  <c r="Z261" i="27"/>
  <c r="AG261" i="27"/>
  <c r="AI261" i="27"/>
  <c r="AJ261" i="27"/>
  <c r="AL261" i="27"/>
  <c r="AM261" i="27"/>
  <c r="AN261" i="27"/>
  <c r="AO261" i="27"/>
  <c r="AP261" i="27"/>
  <c r="BC261" i="27" s="1"/>
  <c r="AQ261" i="27"/>
  <c r="BD261" i="27" s="1"/>
  <c r="AR261" i="27"/>
  <c r="BE261" i="27" s="1"/>
  <c r="AS261" i="27"/>
  <c r="BF261" i="27" s="1"/>
  <c r="AT261" i="27"/>
  <c r="AV261" i="27"/>
  <c r="AY261" i="27"/>
  <c r="AZ261" i="27"/>
  <c r="BA261" i="27"/>
  <c r="BB261" i="27"/>
  <c r="BG261" i="27"/>
  <c r="H262" i="27"/>
  <c r="I262" i="27"/>
  <c r="Z262" i="27" s="1"/>
  <c r="J262" i="27"/>
  <c r="AA262" i="27" s="1"/>
  <c r="K262" i="27"/>
  <c r="AB262" i="27" s="1"/>
  <c r="L262" i="27"/>
  <c r="AC262" i="27" s="1"/>
  <c r="M262" i="27"/>
  <c r="AD262" i="27" s="1"/>
  <c r="N262" i="27"/>
  <c r="AE262" i="27" s="1"/>
  <c r="O262" i="27"/>
  <c r="AF262" i="27" s="1"/>
  <c r="P262" i="27"/>
  <c r="R262" i="27"/>
  <c r="AI262" i="27" s="1"/>
  <c r="S262" i="27"/>
  <c r="T262" i="27"/>
  <c r="U262" i="27"/>
  <c r="V262" i="27"/>
  <c r="Y262" i="27"/>
  <c r="AG262" i="27"/>
  <c r="AJ262" i="27"/>
  <c r="AL262" i="27"/>
  <c r="AM262" i="27"/>
  <c r="AN262" i="27"/>
  <c r="AO262" i="27"/>
  <c r="AP262" i="27"/>
  <c r="BC262" i="27" s="1"/>
  <c r="AQ262" i="27"/>
  <c r="BD262" i="27" s="1"/>
  <c r="AR262" i="27"/>
  <c r="BE262" i="27" s="1"/>
  <c r="AS262" i="27"/>
  <c r="BF262" i="27" s="1"/>
  <c r="AT262" i="27"/>
  <c r="AV262" i="27"/>
  <c r="AY262" i="27"/>
  <c r="AZ262" i="27"/>
  <c r="BA262" i="27"/>
  <c r="BB262" i="27"/>
  <c r="BG262" i="27"/>
  <c r="H263" i="27"/>
  <c r="I263" i="27"/>
  <c r="Z263" i="27" s="1"/>
  <c r="J263" i="27"/>
  <c r="AA263" i="27" s="1"/>
  <c r="K263" i="27"/>
  <c r="AB263" i="27" s="1"/>
  <c r="L263" i="27"/>
  <c r="AC263" i="27" s="1"/>
  <c r="M263" i="27"/>
  <c r="AD263" i="27" s="1"/>
  <c r="N263" i="27"/>
  <c r="AE263" i="27" s="1"/>
  <c r="O263" i="27"/>
  <c r="AF263" i="27" s="1"/>
  <c r="P263" i="27"/>
  <c r="R263" i="27"/>
  <c r="AI263" i="27" s="1"/>
  <c r="S263" i="27"/>
  <c r="T263" i="27"/>
  <c r="U263" i="27"/>
  <c r="V263" i="27"/>
  <c r="Y263" i="27"/>
  <c r="AG263" i="27"/>
  <c r="AJ263" i="27"/>
  <c r="AL263" i="27"/>
  <c r="AM263" i="27"/>
  <c r="AN263" i="27"/>
  <c r="AO263" i="27"/>
  <c r="AP263" i="27"/>
  <c r="BC263" i="27" s="1"/>
  <c r="AQ263" i="27"/>
  <c r="BD263" i="27" s="1"/>
  <c r="AR263" i="27"/>
  <c r="BE263" i="27" s="1"/>
  <c r="AS263" i="27"/>
  <c r="BF263" i="27" s="1"/>
  <c r="AT263" i="27"/>
  <c r="AV263" i="27"/>
  <c r="AY263" i="27"/>
  <c r="AZ263" i="27"/>
  <c r="BA263" i="27"/>
  <c r="BB263" i="27"/>
  <c r="BG263" i="27"/>
  <c r="H264" i="27"/>
  <c r="I264" i="27"/>
  <c r="Z264" i="27" s="1"/>
  <c r="J264" i="27"/>
  <c r="AA264" i="27" s="1"/>
  <c r="K264" i="27"/>
  <c r="AB264" i="27" s="1"/>
  <c r="L264" i="27"/>
  <c r="AC264" i="27" s="1"/>
  <c r="M264" i="27"/>
  <c r="AD264" i="27" s="1"/>
  <c r="N264" i="27"/>
  <c r="AE264" i="27" s="1"/>
  <c r="O264" i="27"/>
  <c r="AF264" i="27" s="1"/>
  <c r="P264" i="27"/>
  <c r="R264" i="27"/>
  <c r="AI264" i="27" s="1"/>
  <c r="S264" i="27"/>
  <c r="T264" i="27"/>
  <c r="U264" i="27"/>
  <c r="V264" i="27"/>
  <c r="Y264" i="27"/>
  <c r="AG264" i="27"/>
  <c r="AJ264" i="27"/>
  <c r="AL264" i="27"/>
  <c r="AM264" i="27"/>
  <c r="AN264" i="27"/>
  <c r="AO264" i="27"/>
  <c r="AP264" i="27"/>
  <c r="BC264" i="27" s="1"/>
  <c r="AQ264" i="27"/>
  <c r="BD264" i="27" s="1"/>
  <c r="AR264" i="27"/>
  <c r="BE264" i="27" s="1"/>
  <c r="AS264" i="27"/>
  <c r="BF264" i="27" s="1"/>
  <c r="AT264" i="27"/>
  <c r="AV264" i="27"/>
  <c r="AY264" i="27"/>
  <c r="AZ264" i="27"/>
  <c r="BA264" i="27"/>
  <c r="BB264" i="27"/>
  <c r="BG264" i="27"/>
  <c r="H265" i="27"/>
  <c r="I265" i="27"/>
  <c r="Z265" i="27" s="1"/>
  <c r="J265" i="27"/>
  <c r="AA265" i="27" s="1"/>
  <c r="K265" i="27"/>
  <c r="AB265" i="27" s="1"/>
  <c r="L265" i="27"/>
  <c r="AC265" i="27" s="1"/>
  <c r="M265" i="27"/>
  <c r="AD265" i="27" s="1"/>
  <c r="N265" i="27"/>
  <c r="AE265" i="27" s="1"/>
  <c r="O265" i="27"/>
  <c r="AF265" i="27" s="1"/>
  <c r="P265" i="27"/>
  <c r="R265" i="27"/>
  <c r="AI265" i="27" s="1"/>
  <c r="S265" i="27"/>
  <c r="T265" i="27"/>
  <c r="U265" i="27"/>
  <c r="V265" i="27"/>
  <c r="Y265" i="27"/>
  <c r="AG265" i="27"/>
  <c r="AJ265" i="27"/>
  <c r="AL265" i="27"/>
  <c r="AM265" i="27"/>
  <c r="AN265" i="27"/>
  <c r="AO265" i="27"/>
  <c r="AP265" i="27"/>
  <c r="BC265" i="27" s="1"/>
  <c r="AQ265" i="27"/>
  <c r="BD265" i="27" s="1"/>
  <c r="AR265" i="27"/>
  <c r="BE265" i="27" s="1"/>
  <c r="AS265" i="27"/>
  <c r="BF265" i="27" s="1"/>
  <c r="AT265" i="27"/>
  <c r="AV265" i="27"/>
  <c r="AY265" i="27"/>
  <c r="AZ265" i="27"/>
  <c r="BA265" i="27"/>
  <c r="BB265" i="27"/>
  <c r="BG265" i="27"/>
  <c r="H266" i="27"/>
  <c r="I266" i="27"/>
  <c r="Z266" i="27" s="1"/>
  <c r="J266" i="27"/>
  <c r="K266" i="27"/>
  <c r="AB266" i="27" s="1"/>
  <c r="L266" i="27"/>
  <c r="AC266" i="27" s="1"/>
  <c r="M266" i="27"/>
  <c r="AD266" i="27" s="1"/>
  <c r="N266" i="27"/>
  <c r="AE266" i="27" s="1"/>
  <c r="O266" i="27"/>
  <c r="AF266" i="27" s="1"/>
  <c r="P266" i="27"/>
  <c r="R266" i="27"/>
  <c r="S266" i="27"/>
  <c r="T266" i="27"/>
  <c r="U266" i="27"/>
  <c r="V266" i="27"/>
  <c r="Y266" i="27"/>
  <c r="AA266" i="27"/>
  <c r="AG266" i="27"/>
  <c r="AI266" i="27"/>
  <c r="AJ266" i="27"/>
  <c r="AL266" i="27"/>
  <c r="AM266" i="27"/>
  <c r="AN266" i="27"/>
  <c r="AO266" i="27"/>
  <c r="AP266" i="27"/>
  <c r="BC266" i="27" s="1"/>
  <c r="AQ266" i="27"/>
  <c r="BD266" i="27" s="1"/>
  <c r="AR266" i="27"/>
  <c r="BE266" i="27" s="1"/>
  <c r="AS266" i="27"/>
  <c r="BF266" i="27" s="1"/>
  <c r="AT266" i="27"/>
  <c r="AV266" i="27"/>
  <c r="AY266" i="27"/>
  <c r="AZ266" i="27"/>
  <c r="BA266" i="27"/>
  <c r="BB266" i="27"/>
  <c r="BG266" i="27"/>
  <c r="H267" i="27"/>
  <c r="I267" i="27"/>
  <c r="Z267" i="27" s="1"/>
  <c r="J267" i="27"/>
  <c r="AA267" i="27" s="1"/>
  <c r="K267" i="27"/>
  <c r="AB267" i="27" s="1"/>
  <c r="L267" i="27"/>
  <c r="AC267" i="27" s="1"/>
  <c r="M267" i="27"/>
  <c r="AD267" i="27" s="1"/>
  <c r="N267" i="27"/>
  <c r="AE267" i="27" s="1"/>
  <c r="O267" i="27"/>
  <c r="AF267" i="27" s="1"/>
  <c r="P267" i="27"/>
  <c r="R267" i="27"/>
  <c r="AI267" i="27" s="1"/>
  <c r="S267" i="27"/>
  <c r="T267" i="27"/>
  <c r="U267" i="27"/>
  <c r="V267" i="27"/>
  <c r="Y267" i="27"/>
  <c r="AG267" i="27"/>
  <c r="AJ267" i="27"/>
  <c r="AL267" i="27"/>
  <c r="AM267" i="27"/>
  <c r="AN267" i="27"/>
  <c r="AO267" i="27"/>
  <c r="AP267" i="27"/>
  <c r="BC267" i="27" s="1"/>
  <c r="AQ267" i="27"/>
  <c r="BD267" i="27" s="1"/>
  <c r="AR267" i="27"/>
  <c r="BE267" i="27" s="1"/>
  <c r="AS267" i="27"/>
  <c r="BF267" i="27" s="1"/>
  <c r="AT267" i="27"/>
  <c r="AV267" i="27"/>
  <c r="AY267" i="27"/>
  <c r="AZ267" i="27"/>
  <c r="BA267" i="27"/>
  <c r="BB267" i="27"/>
  <c r="BG267" i="27"/>
  <c r="AO4" i="27" a="1"/>
  <c r="AO4" i="27" s="1"/>
  <c r="BB3" i="27" s="1"/>
  <c r="AN4" i="27" a="1"/>
  <c r="AN4" i="27"/>
  <c r="BA3" i="27" s="1"/>
  <c r="AM4" i="27" a="1"/>
  <c r="AM4" i="27" s="1"/>
  <c r="AZ3" i="27" s="1"/>
  <c r="AL4" i="27" a="1"/>
  <c r="AL4" i="27"/>
  <c r="AY3" i="27" s="1"/>
  <c r="AJ4" i="27" a="1"/>
  <c r="AJ4" i="27"/>
  <c r="AW3" i="27" s="1"/>
  <c r="AW8" i="27" s="1"/>
  <c r="AW9" i="27" s="1"/>
  <c r="AW10" i="27" s="1"/>
  <c r="AW11" i="27" s="1"/>
  <c r="AW12" i="27" s="1"/>
  <c r="AW13" i="27" s="1"/>
  <c r="AW14" i="27" s="1"/>
  <c r="AW15" i="27" s="1"/>
  <c r="AW16" i="27" s="1"/>
  <c r="AW17" i="27" s="1"/>
  <c r="AW18" i="27" s="1"/>
  <c r="AW19" i="27" s="1"/>
  <c r="AW20" i="27" s="1"/>
  <c r="AW21" i="27" s="1"/>
  <c r="AW22" i="27" s="1"/>
  <c r="AW23" i="27" s="1"/>
  <c r="AW24" i="27" s="1"/>
  <c r="AW25" i="27" s="1"/>
  <c r="AW26" i="27" s="1"/>
  <c r="AW27" i="27" s="1"/>
  <c r="AW28" i="27" s="1"/>
  <c r="AW29" i="27" s="1"/>
  <c r="AW30" i="27" s="1"/>
  <c r="AW31" i="27" s="1"/>
  <c r="AW32" i="27" s="1"/>
  <c r="AW33" i="27" s="1"/>
  <c r="AW34" i="27" s="1"/>
  <c r="AW35" i="27" s="1"/>
  <c r="AW36" i="27" s="1"/>
  <c r="AW37" i="27" s="1"/>
  <c r="AW38" i="27" s="1"/>
  <c r="AW39" i="27" s="1"/>
  <c r="AW40" i="27" s="1"/>
  <c r="AW41" i="27" s="1"/>
  <c r="AW42" i="27" s="1"/>
  <c r="AW43" i="27" s="1"/>
  <c r="AW44" i="27" s="1"/>
  <c r="AW45" i="27" s="1"/>
  <c r="AW46" i="27" s="1"/>
  <c r="AW47" i="27" s="1"/>
  <c r="AW48" i="27" s="1"/>
  <c r="AW49" i="27" s="1"/>
  <c r="AW50" i="27" s="1"/>
  <c r="AW51" i="27" s="1"/>
  <c r="AW52" i="27" s="1"/>
  <c r="AW53" i="27" s="1"/>
  <c r="AW54" i="27" s="1"/>
  <c r="AW55" i="27" s="1"/>
  <c r="AW56" i="27" s="1"/>
  <c r="AW57" i="27" s="1"/>
  <c r="AW58" i="27" s="1"/>
  <c r="AW59" i="27" s="1"/>
  <c r="AW60" i="27" s="1"/>
  <c r="AW61" i="27" s="1"/>
  <c r="AW62" i="27" s="1"/>
  <c r="AW63" i="27" s="1"/>
  <c r="AW64" i="27" s="1"/>
  <c r="AW65" i="27" s="1"/>
  <c r="AW66" i="27" s="1"/>
  <c r="AW67" i="27" s="1"/>
  <c r="AW68" i="27" s="1"/>
  <c r="AW69" i="27" s="1"/>
  <c r="AW70" i="27" s="1"/>
  <c r="AW71" i="27" s="1"/>
  <c r="AW72" i="27" s="1"/>
  <c r="AW73" i="27" s="1"/>
  <c r="AW74" i="27" s="1"/>
  <c r="AW75" i="27" s="1"/>
  <c r="AW76" i="27" s="1"/>
  <c r="AW77" i="27" s="1"/>
  <c r="AW78" i="27" s="1"/>
  <c r="AW79" i="27" s="1"/>
  <c r="AW80" i="27" s="1"/>
  <c r="AW81" i="27" s="1"/>
  <c r="AW82" i="27" s="1"/>
  <c r="AW83" i="27" s="1"/>
  <c r="AW84" i="27" s="1"/>
  <c r="AW85" i="27" s="1"/>
  <c r="AW86" i="27" s="1"/>
  <c r="AW87" i="27" s="1"/>
  <c r="AW88" i="27" s="1"/>
  <c r="AW89" i="27" s="1"/>
  <c r="AW90" i="27" s="1"/>
  <c r="AW91" i="27" s="1"/>
  <c r="AW92" i="27" s="1"/>
  <c r="AW93" i="27" s="1"/>
  <c r="AW94" i="27" s="1"/>
  <c r="AW95" i="27" s="1"/>
  <c r="AW96" i="27" s="1"/>
  <c r="AW97" i="27" s="1"/>
  <c r="AW98" i="27" s="1"/>
  <c r="AW99" i="27" s="1"/>
  <c r="AW100" i="27" s="1"/>
  <c r="AW101" i="27" s="1"/>
  <c r="AW102" i="27" s="1"/>
  <c r="AW103" i="27" s="1"/>
  <c r="AW104" i="27" s="1"/>
  <c r="AW105" i="27" s="1"/>
  <c r="AW106" i="27" s="1"/>
  <c r="AW107" i="27" s="1"/>
  <c r="AW108" i="27" s="1"/>
  <c r="AW109" i="27" s="1"/>
  <c r="AW110" i="27" s="1"/>
  <c r="AW111" i="27" s="1"/>
  <c r="AW112" i="27" s="1"/>
  <c r="AW113" i="27" s="1"/>
  <c r="AW114" i="27" s="1"/>
  <c r="AW115" i="27" s="1"/>
  <c r="AW116" i="27" s="1"/>
  <c r="AW117" i="27" s="1"/>
  <c r="AW118" i="27" s="1"/>
  <c r="AW119" i="27" s="1"/>
  <c r="AW120" i="27" s="1"/>
  <c r="AW121" i="27" s="1"/>
  <c r="AW122" i="27" s="1"/>
  <c r="AW123" i="27" s="1"/>
  <c r="AW124" i="27" s="1"/>
  <c r="AW125" i="27" s="1"/>
  <c r="AW126" i="27" s="1"/>
  <c r="AW127" i="27" s="1"/>
  <c r="AW128" i="27" s="1"/>
  <c r="AW129" i="27" s="1"/>
  <c r="AW130" i="27" s="1"/>
  <c r="AW131" i="27" s="1"/>
  <c r="AW132" i="27" s="1"/>
  <c r="AW133" i="27" s="1"/>
  <c r="AW134" i="27" s="1"/>
  <c r="AW135" i="27" s="1"/>
  <c r="AW136" i="27" s="1"/>
  <c r="AW137" i="27" s="1"/>
  <c r="AW138" i="27" s="1"/>
  <c r="AW139" i="27" s="1"/>
  <c r="AW140" i="27" s="1"/>
  <c r="AW141" i="27" s="1"/>
  <c r="AW142" i="27" s="1"/>
  <c r="AW143" i="27" s="1"/>
  <c r="AW144" i="27" s="1"/>
  <c r="AW145" i="27" s="1"/>
  <c r="AW146" i="27" s="1"/>
  <c r="AW147" i="27" s="1"/>
  <c r="AW148" i="27" s="1"/>
  <c r="AW149" i="27" s="1"/>
  <c r="AW150" i="27" s="1"/>
  <c r="AW151" i="27" s="1"/>
  <c r="AW152" i="27" s="1"/>
  <c r="AW153" i="27" s="1"/>
  <c r="AW154" i="27" s="1"/>
  <c r="AW155" i="27" s="1"/>
  <c r="AW156" i="27" s="1"/>
  <c r="AW157" i="27" s="1"/>
  <c r="AW158" i="27" s="1"/>
  <c r="AW159" i="27" s="1"/>
  <c r="AW160" i="27" s="1"/>
  <c r="AW161" i="27" s="1"/>
  <c r="AW162" i="27" s="1"/>
  <c r="AW163" i="27" s="1"/>
  <c r="AW164" i="27" s="1"/>
  <c r="AW165" i="27" s="1"/>
  <c r="AW166" i="27" s="1"/>
  <c r="AW167" i="27" s="1"/>
  <c r="AW168" i="27" s="1"/>
  <c r="AW169" i="27" s="1"/>
  <c r="AW170" i="27" s="1"/>
  <c r="AW171" i="27" s="1"/>
  <c r="AW172" i="27" s="1"/>
  <c r="AW173" i="27" s="1"/>
  <c r="AW174" i="27" s="1"/>
  <c r="AW175" i="27" s="1"/>
  <c r="AW176" i="27" s="1"/>
  <c r="AW177" i="27" s="1"/>
  <c r="AW178" i="27" s="1"/>
  <c r="AW179" i="27" s="1"/>
  <c r="AW180" i="27" s="1"/>
  <c r="AW181" i="27" s="1"/>
  <c r="AW182" i="27" s="1"/>
  <c r="AW183" i="27" s="1"/>
  <c r="AW184" i="27" s="1"/>
  <c r="AW185" i="27" s="1"/>
  <c r="AW186" i="27" s="1"/>
  <c r="AW187" i="27" s="1"/>
  <c r="AW188" i="27" s="1"/>
  <c r="AW189" i="27" s="1"/>
  <c r="AW190" i="27" s="1"/>
  <c r="AW191" i="27" s="1"/>
  <c r="AW192" i="27" s="1"/>
  <c r="AW193" i="27" s="1"/>
  <c r="AW194" i="27" s="1"/>
  <c r="AW195" i="27" s="1"/>
  <c r="AW196" i="27" s="1"/>
  <c r="AW197" i="27" s="1"/>
  <c r="AW198" i="27" s="1"/>
  <c r="AW199" i="27" s="1"/>
  <c r="AW200" i="27" s="1"/>
  <c r="AW201" i="27" s="1"/>
  <c r="AW202" i="27" s="1"/>
  <c r="AW203" i="27" s="1"/>
  <c r="AW204" i="27" s="1"/>
  <c r="AW205" i="27" s="1"/>
  <c r="AW206" i="27" s="1"/>
  <c r="AW207" i="27" s="1"/>
  <c r="AW208" i="27" s="1"/>
  <c r="AW209" i="27" s="1"/>
  <c r="AW210" i="27" s="1"/>
  <c r="AW211" i="27" s="1"/>
  <c r="AW212" i="27" s="1"/>
  <c r="AW213" i="27" s="1"/>
  <c r="AW214" i="27" s="1"/>
  <c r="AW215" i="27" s="1"/>
  <c r="AW216" i="27" s="1"/>
  <c r="AW217" i="27" s="1"/>
  <c r="AW218" i="27" s="1"/>
  <c r="AW219" i="27" s="1"/>
  <c r="AW220" i="27" s="1"/>
  <c r="AW221" i="27" s="1"/>
  <c r="AW222" i="27" s="1"/>
  <c r="AW223" i="27" s="1"/>
  <c r="AW224" i="27" s="1"/>
  <c r="AW225" i="27" s="1"/>
  <c r="AW226" i="27" s="1"/>
  <c r="AW227" i="27" s="1"/>
  <c r="AW228" i="27" s="1"/>
  <c r="AW229" i="27" s="1"/>
  <c r="AW230" i="27" s="1"/>
  <c r="AW231" i="27" s="1"/>
  <c r="AW232" i="27" s="1"/>
  <c r="AW233" i="27" s="1"/>
  <c r="AW234" i="27" s="1"/>
  <c r="AW235" i="27" s="1"/>
  <c r="AW236" i="27" s="1"/>
  <c r="AW237" i="27" s="1"/>
  <c r="AW238" i="27" s="1"/>
  <c r="AW239" i="27" s="1"/>
  <c r="AW240" i="27" s="1"/>
  <c r="AW241" i="27" s="1"/>
  <c r="AW242" i="27" s="1"/>
  <c r="AW243" i="27" s="1"/>
  <c r="AW244" i="27" s="1"/>
  <c r="AW245" i="27" s="1"/>
  <c r="AW246" i="27" s="1"/>
  <c r="AW247" i="27" s="1"/>
  <c r="AW248" i="27" s="1"/>
  <c r="AW249" i="27" s="1"/>
  <c r="AW250" i="27" s="1"/>
  <c r="AW251" i="27" s="1"/>
  <c r="AW252" i="27" s="1"/>
  <c r="AW253" i="27" s="1"/>
  <c r="AW254" i="27" s="1"/>
  <c r="AW255" i="27" s="1"/>
  <c r="AW256" i="27" s="1"/>
  <c r="AW257" i="27" s="1"/>
  <c r="AW258" i="27" s="1"/>
  <c r="AW259" i="27" s="1"/>
  <c r="AW260" i="27" s="1"/>
  <c r="AW261" i="27" s="1"/>
  <c r="AW262" i="27" s="1"/>
  <c r="AW263" i="27" s="1"/>
  <c r="AW264" i="27" s="1"/>
  <c r="AW265" i="27" s="1"/>
  <c r="AW266" i="27" s="1"/>
  <c r="AW267" i="27" s="1"/>
  <c r="K4" i="27" a="1"/>
  <c r="K4" i="27" s="1"/>
  <c r="AB3" i="27" s="1"/>
  <c r="J4" i="27" a="1"/>
  <c r="J4" i="27"/>
  <c r="AA3" i="27" s="1"/>
  <c r="I4" i="27" a="1"/>
  <c r="I4" i="27" s="1"/>
  <c r="Z3" i="27" s="1"/>
  <c r="H4" i="27" a="1"/>
  <c r="H4" i="27"/>
  <c r="Y3" i="27" s="1"/>
  <c r="AH2" i="83"/>
  <c r="AI2" i="83"/>
  <c r="AJ2" i="83" s="1"/>
  <c r="B9" i="83"/>
  <c r="B10" i="83"/>
  <c r="B11" i="83"/>
  <c r="B12" i="83"/>
  <c r="B13" i="83"/>
  <c r="B14" i="83"/>
  <c r="B15" i="83"/>
  <c r="B16" i="83"/>
  <c r="B17" i="83"/>
  <c r="C3" i="83"/>
  <c r="J3" i="83"/>
  <c r="P4" i="83"/>
  <c r="Q4" i="83"/>
  <c r="R4" i="83"/>
  <c r="S4" i="83"/>
  <c r="HE4" i="83" s="1"/>
  <c r="T4" i="83"/>
  <c r="HY4" i="83" s="1"/>
  <c r="EW4" i="83"/>
  <c r="FQ4" i="83"/>
  <c r="GK4" i="83"/>
  <c r="C7" i="83"/>
  <c r="AK2" i="83" l="1"/>
  <c r="AL2" i="83" l="1"/>
  <c r="AM2" i="83" l="1"/>
  <c r="AN2" i="83" l="1"/>
  <c r="AO2" i="83" l="1"/>
  <c r="AP2" i="83" l="1"/>
  <c r="AQ2" i="83" l="1"/>
  <c r="AR2" i="83" l="1"/>
  <c r="AS2" i="83" l="1"/>
  <c r="AT2" i="83" l="1"/>
  <c r="AU2" i="83" l="1"/>
  <c r="AV2" i="83" l="1"/>
  <c r="AW2" i="83" l="1"/>
  <c r="AX2" i="83" l="1"/>
  <c r="AY2" i="83" l="1"/>
  <c r="AZ2" i="83" l="1"/>
  <c r="C8" i="83"/>
  <c r="A9" i="83"/>
  <c r="C9" i="83"/>
  <c r="D9" i="83"/>
  <c r="E9" i="83"/>
  <c r="G9" i="83" s="1"/>
  <c r="F9" i="83"/>
  <c r="H9" i="83"/>
  <c r="I9" i="83"/>
  <c r="J9" i="83"/>
  <c r="K9" i="83"/>
  <c r="L9" i="83"/>
  <c r="M9" i="83"/>
  <c r="N9" i="83"/>
  <c r="O9" i="83"/>
  <c r="P9" i="83"/>
  <c r="Q9" i="83"/>
  <c r="R9" i="83"/>
  <c r="S9" i="83"/>
  <c r="T9" i="83"/>
  <c r="X9" i="83"/>
  <c r="Y9" i="83"/>
  <c r="Z9" i="83"/>
  <c r="AA9" i="83"/>
  <c r="AB9" i="83"/>
  <c r="AC9" i="83"/>
  <c r="AD9" i="83"/>
  <c r="AE9" i="83"/>
  <c r="A10" i="83"/>
  <c r="K10" i="83" s="1"/>
  <c r="C10" i="83"/>
  <c r="D10" i="83"/>
  <c r="E10" i="83"/>
  <c r="F10" i="83"/>
  <c r="G10" i="83"/>
  <c r="H10" i="83"/>
  <c r="I10" i="83"/>
  <c r="J10" i="83"/>
  <c r="L10" i="83"/>
  <c r="M10" i="83"/>
  <c r="N10" i="83"/>
  <c r="O10" i="83"/>
  <c r="P10" i="83"/>
  <c r="Q10" i="83"/>
  <c r="R10" i="83"/>
  <c r="S10" i="83"/>
  <c r="T10" i="83"/>
  <c r="X10" i="83"/>
  <c r="Y10" i="83"/>
  <c r="Z10" i="83"/>
  <c r="AA10" i="83"/>
  <c r="AB10" i="83"/>
  <c r="AC10" i="83"/>
  <c r="AD10" i="83"/>
  <c r="AE10" i="83"/>
  <c r="A11" i="83"/>
  <c r="K11" i="83" s="1"/>
  <c r="C11" i="83"/>
  <c r="D11" i="83"/>
  <c r="E11" i="83"/>
  <c r="F11" i="83"/>
  <c r="G11" i="83"/>
  <c r="H11" i="83"/>
  <c r="I11" i="83"/>
  <c r="J11" i="83"/>
  <c r="L11" i="83"/>
  <c r="M11" i="83"/>
  <c r="N11" i="83"/>
  <c r="O11" i="83"/>
  <c r="P11" i="83"/>
  <c r="Q11" i="83"/>
  <c r="R11" i="83"/>
  <c r="S11" i="83"/>
  <c r="T11" i="83"/>
  <c r="X11" i="83"/>
  <c r="Y11" i="83"/>
  <c r="Z11" i="83"/>
  <c r="AA11" i="83"/>
  <c r="AB11" i="83"/>
  <c r="AC11" i="83"/>
  <c r="AD11" i="83"/>
  <c r="AE11" i="83"/>
  <c r="A12" i="83"/>
  <c r="K12" i="83" s="1"/>
  <c r="C12" i="83"/>
  <c r="D12" i="83"/>
  <c r="E12" i="83"/>
  <c r="F12" i="83"/>
  <c r="G12" i="83"/>
  <c r="H12" i="83"/>
  <c r="I12" i="83"/>
  <c r="J12" i="83"/>
  <c r="L12" i="83"/>
  <c r="M12" i="83"/>
  <c r="N12" i="83"/>
  <c r="O12" i="83"/>
  <c r="P12" i="83"/>
  <c r="Q12" i="83"/>
  <c r="R12" i="83"/>
  <c r="S12" i="83"/>
  <c r="T12" i="83"/>
  <c r="X12" i="83"/>
  <c r="Y12" i="83"/>
  <c r="Z12" i="83"/>
  <c r="AA12" i="83"/>
  <c r="AB12" i="83"/>
  <c r="AC12" i="83"/>
  <c r="AD12" i="83"/>
  <c r="AE12" i="83"/>
  <c r="A13" i="83"/>
  <c r="K13" i="83" s="1"/>
  <c r="C13" i="83"/>
  <c r="D13" i="83"/>
  <c r="E13" i="83"/>
  <c r="F13" i="83"/>
  <c r="G13" i="83"/>
  <c r="H13" i="83"/>
  <c r="I13" i="83"/>
  <c r="J13" i="83"/>
  <c r="L13" i="83"/>
  <c r="M13" i="83"/>
  <c r="N13" i="83"/>
  <c r="O13" i="83"/>
  <c r="P13" i="83"/>
  <c r="Q13" i="83"/>
  <c r="R13" i="83"/>
  <c r="S13" i="83"/>
  <c r="T13" i="83"/>
  <c r="X13" i="83"/>
  <c r="Y13" i="83"/>
  <c r="Z13" i="83"/>
  <c r="AA13" i="83"/>
  <c r="AB13" i="83"/>
  <c r="AC13" i="83"/>
  <c r="AD13" i="83"/>
  <c r="AE13" i="83"/>
  <c r="A14" i="83"/>
  <c r="K14" i="83" s="1"/>
  <c r="C14" i="83"/>
  <c r="D14" i="83"/>
  <c r="E14" i="83"/>
  <c r="F14" i="83"/>
  <c r="G14" i="83" s="1"/>
  <c r="H14" i="83"/>
  <c r="I14" i="83"/>
  <c r="J14" i="83"/>
  <c r="L14" i="83"/>
  <c r="M14" i="83"/>
  <c r="N14" i="83"/>
  <c r="O14" i="83"/>
  <c r="P14" i="83"/>
  <c r="Q14" i="83"/>
  <c r="R14" i="83"/>
  <c r="S14" i="83"/>
  <c r="T14" i="83"/>
  <c r="X14" i="83"/>
  <c r="Y14" i="83"/>
  <c r="Z14" i="83"/>
  <c r="AA14" i="83"/>
  <c r="AB14" i="83"/>
  <c r="AC14" i="83"/>
  <c r="AD14" i="83"/>
  <c r="AE14" i="83"/>
  <c r="A15" i="83"/>
  <c r="K15" i="83" s="1"/>
  <c r="C15" i="83"/>
  <c r="D15" i="83"/>
  <c r="E15" i="83"/>
  <c r="F15" i="83"/>
  <c r="G15" i="83"/>
  <c r="H15" i="83"/>
  <c r="I15" i="83"/>
  <c r="J15" i="83"/>
  <c r="L15" i="83"/>
  <c r="M15" i="83"/>
  <c r="N15" i="83"/>
  <c r="O15" i="83"/>
  <c r="P15" i="83"/>
  <c r="Q15" i="83"/>
  <c r="R15" i="83"/>
  <c r="S15" i="83"/>
  <c r="T15" i="83"/>
  <c r="X15" i="83"/>
  <c r="Y15" i="83"/>
  <c r="Z15" i="83"/>
  <c r="AA15" i="83"/>
  <c r="AB15" i="83"/>
  <c r="AC15" i="83"/>
  <c r="AD15" i="83"/>
  <c r="AE15" i="83"/>
  <c r="A16" i="83"/>
  <c r="K16" i="83" s="1"/>
  <c r="C16" i="83"/>
  <c r="D16" i="83"/>
  <c r="E16" i="83"/>
  <c r="F16" i="83"/>
  <c r="G16" i="83" s="1"/>
  <c r="H16" i="83"/>
  <c r="I16" i="83"/>
  <c r="J16" i="83"/>
  <c r="L16" i="83"/>
  <c r="M16" i="83"/>
  <c r="N16" i="83"/>
  <c r="O16" i="83"/>
  <c r="P16" i="83"/>
  <c r="Q16" i="83"/>
  <c r="R16" i="83"/>
  <c r="S16" i="83"/>
  <c r="T16" i="83"/>
  <c r="X16" i="83"/>
  <c r="Y16" i="83"/>
  <c r="Z16" i="83"/>
  <c r="AA16" i="83"/>
  <c r="AB16" i="83"/>
  <c r="AC16" i="83"/>
  <c r="AD16" i="83"/>
  <c r="AE16" i="83"/>
  <c r="A17" i="83"/>
  <c r="K17" i="83" s="1"/>
  <c r="C17" i="83"/>
  <c r="D17" i="83"/>
  <c r="E17" i="83"/>
  <c r="G17" i="83" s="1"/>
  <c r="F17" i="83"/>
  <c r="H17" i="83"/>
  <c r="I17" i="83"/>
  <c r="J17" i="83"/>
  <c r="L17" i="83"/>
  <c r="M17" i="83"/>
  <c r="N17" i="83"/>
  <c r="O17" i="83"/>
  <c r="P17" i="83"/>
  <c r="Q17" i="83"/>
  <c r="R17" i="83"/>
  <c r="S17" i="83"/>
  <c r="T17" i="83"/>
  <c r="X17" i="83"/>
  <c r="Y17" i="83"/>
  <c r="Z17" i="83"/>
  <c r="AA17" i="83"/>
  <c r="AB17" i="83"/>
  <c r="AC17" i="83"/>
  <c r="AD17" i="83"/>
  <c r="AE17" i="83"/>
  <c r="A45" i="83"/>
  <c r="A46" i="83" s="1"/>
  <c r="TK1" i="695"/>
  <c r="TL1" i="695"/>
  <c r="TM1" i="695"/>
  <c r="TN1" i="695"/>
  <c r="TO1" i="695"/>
  <c r="TP1" i="695"/>
  <c r="TQ1" i="695"/>
  <c r="TR1" i="695"/>
  <c r="TS1" i="695"/>
  <c r="TT1" i="695"/>
  <c r="TU1" i="695"/>
  <c r="TV1" i="695"/>
  <c r="TW1" i="695"/>
  <c r="TX1" i="695"/>
  <c r="TY1" i="695"/>
  <c r="TZ1" i="695"/>
  <c r="UA1" i="695"/>
  <c r="UB1" i="695"/>
  <c r="UC1" i="695"/>
  <c r="UD1" i="695"/>
  <c r="AF2" i="695"/>
  <c r="B7" i="695"/>
  <c r="B9" i="695"/>
  <c r="B10" i="695"/>
  <c r="B11" i="695"/>
  <c r="B12" i="695"/>
  <c r="B13" i="695"/>
  <c r="B14" i="695"/>
  <c r="B15" i="695"/>
  <c r="B16" i="695"/>
  <c r="B17" i="695"/>
  <c r="C3" i="695"/>
  <c r="G3" i="695"/>
  <c r="C7" i="695"/>
  <c r="Z7" i="695"/>
  <c r="A47" i="83" l="1"/>
  <c r="B47" i="83" s="1"/>
  <c r="C46" i="83"/>
  <c r="C47" i="83"/>
  <c r="D47" i="83"/>
  <c r="A48" i="83"/>
  <c r="AG2" i="695"/>
  <c r="D46" i="83"/>
  <c r="B46" i="83"/>
  <c r="A7" i="695"/>
  <c r="D7" i="695"/>
  <c r="AH2" i="695" l="1"/>
  <c r="A49" i="83"/>
  <c r="B48" i="83"/>
  <c r="C48" i="83"/>
  <c r="D48" i="83"/>
  <c r="B49" i="83" l="1"/>
  <c r="C49" i="83"/>
  <c r="D49" i="83"/>
  <c r="A50" i="83"/>
  <c r="AI2" i="695"/>
  <c r="AJ2" i="695" l="1"/>
  <c r="A51" i="83"/>
  <c r="B50" i="83"/>
  <c r="C50" i="83"/>
  <c r="D50" i="83"/>
  <c r="B51" i="83" l="1"/>
  <c r="C51" i="83"/>
  <c r="D51" i="83"/>
  <c r="A52" i="83"/>
  <c r="AK2" i="695"/>
  <c r="AL2" i="695" l="1"/>
  <c r="A53" i="83"/>
  <c r="B52" i="83"/>
  <c r="C52" i="83"/>
  <c r="D52" i="83"/>
  <c r="B53" i="83" l="1"/>
  <c r="C53" i="83"/>
  <c r="D53" i="83"/>
  <c r="A54" i="83"/>
  <c r="AM2" i="695"/>
  <c r="B54" i="83" l="1"/>
  <c r="C54" i="83"/>
  <c r="D54" i="83"/>
  <c r="AN2" i="695"/>
  <c r="AO2" i="695" l="1"/>
  <c r="AP2" i="695" l="1"/>
  <c r="AQ2" i="695" l="1"/>
  <c r="AR2" i="695" l="1"/>
  <c r="AS2" i="695" l="1"/>
  <c r="AT2" i="695" l="1"/>
  <c r="AU2" i="695" l="1"/>
  <c r="AV2" i="695" l="1"/>
  <c r="AW2" i="695" l="1"/>
  <c r="AX2" i="695" l="1"/>
  <c r="C8" i="695"/>
  <c r="A9" i="695"/>
  <c r="C9" i="695"/>
  <c r="D9" i="695"/>
  <c r="E9" i="695"/>
  <c r="G9" i="695" s="1"/>
  <c r="F9" i="695"/>
  <c r="H9" i="695"/>
  <c r="I9" i="695"/>
  <c r="J9" i="695"/>
  <c r="K9" i="695"/>
  <c r="L9" i="695"/>
  <c r="N9" i="695"/>
  <c r="O9" i="695"/>
  <c r="P9" i="695"/>
  <c r="Q9" i="695"/>
  <c r="S9" i="695"/>
  <c r="R9" i="695" s="1"/>
  <c r="T9" i="695"/>
  <c r="U9" i="695"/>
  <c r="V9" i="695"/>
  <c r="W9" i="695"/>
  <c r="X9" i="695"/>
  <c r="Y9" i="695"/>
  <c r="Z9" i="695"/>
  <c r="AA9" i="695"/>
  <c r="AB9" i="695"/>
  <c r="AC9" i="695"/>
  <c r="A10" i="695"/>
  <c r="C10" i="695"/>
  <c r="D10" i="695"/>
  <c r="E10" i="695"/>
  <c r="G10" i="695" s="1"/>
  <c r="F10" i="695"/>
  <c r="H10" i="695"/>
  <c r="I10" i="695"/>
  <c r="J10" i="695"/>
  <c r="K10" i="695"/>
  <c r="L10" i="695"/>
  <c r="N10" i="695"/>
  <c r="O10" i="695"/>
  <c r="P10" i="695"/>
  <c r="Q10" i="695"/>
  <c r="S10" i="695"/>
  <c r="R10" i="695" s="1"/>
  <c r="T10" i="695"/>
  <c r="U10" i="695"/>
  <c r="V10" i="695"/>
  <c r="W10" i="695"/>
  <c r="X10" i="695"/>
  <c r="Y10" i="695"/>
  <c r="Z10" i="695"/>
  <c r="AA10" i="695"/>
  <c r="AB10" i="695"/>
  <c r="AC10" i="695"/>
  <c r="A11" i="695"/>
  <c r="C11" i="695"/>
  <c r="D11" i="695"/>
  <c r="E11" i="695"/>
  <c r="G11" i="695" s="1"/>
  <c r="F11" i="695"/>
  <c r="H11" i="695"/>
  <c r="I11" i="695"/>
  <c r="J11" i="695"/>
  <c r="K11" i="695"/>
  <c r="L11" i="695"/>
  <c r="N11" i="695"/>
  <c r="O11" i="695"/>
  <c r="P11" i="695"/>
  <c r="Q11" i="695"/>
  <c r="S11" i="695"/>
  <c r="R11" i="695" s="1"/>
  <c r="T11" i="695"/>
  <c r="U11" i="695"/>
  <c r="V11" i="695"/>
  <c r="W11" i="695"/>
  <c r="X11" i="695"/>
  <c r="Y11" i="695"/>
  <c r="Z11" i="695"/>
  <c r="AA11" i="695"/>
  <c r="AB11" i="695"/>
  <c r="AC11" i="695"/>
  <c r="A12" i="695"/>
  <c r="C12" i="695"/>
  <c r="D12" i="695"/>
  <c r="E12" i="695"/>
  <c r="G12" i="695" s="1"/>
  <c r="F12" i="695"/>
  <c r="H12" i="695"/>
  <c r="I12" i="695"/>
  <c r="J12" i="695"/>
  <c r="K12" i="695"/>
  <c r="L12" i="695"/>
  <c r="N12" i="695"/>
  <c r="O12" i="695"/>
  <c r="P12" i="695"/>
  <c r="Q12" i="695"/>
  <c r="S12" i="695"/>
  <c r="R12" i="695" s="1"/>
  <c r="T12" i="695"/>
  <c r="U12" i="695"/>
  <c r="V12" i="695"/>
  <c r="W12" i="695"/>
  <c r="X12" i="695"/>
  <c r="Y12" i="695"/>
  <c r="Z12" i="695"/>
  <c r="AA12" i="695"/>
  <c r="AB12" i="695"/>
  <c r="AC12" i="695"/>
  <c r="A13" i="695"/>
  <c r="C13" i="695"/>
  <c r="D13" i="695"/>
  <c r="E13" i="695"/>
  <c r="G13" i="695" s="1"/>
  <c r="F13" i="695"/>
  <c r="H13" i="695"/>
  <c r="I13" i="695"/>
  <c r="J13" i="695"/>
  <c r="K13" i="695"/>
  <c r="L13" i="695"/>
  <c r="N13" i="695"/>
  <c r="O13" i="695"/>
  <c r="P13" i="695"/>
  <c r="Q13" i="695"/>
  <c r="S13" i="695"/>
  <c r="R13" i="695"/>
  <c r="T13" i="695"/>
  <c r="U13" i="695"/>
  <c r="V13" i="695"/>
  <c r="W13" i="695"/>
  <c r="X13" i="695"/>
  <c r="Y13" i="695"/>
  <c r="Z13" i="695"/>
  <c r="AA13" i="695"/>
  <c r="AB13" i="695"/>
  <c r="AC13" i="695"/>
  <c r="A14" i="695"/>
  <c r="C14" i="695"/>
  <c r="D14" i="695"/>
  <c r="E14" i="695"/>
  <c r="G14" i="695" s="1"/>
  <c r="F14" i="695"/>
  <c r="H14" i="695"/>
  <c r="I14" i="695"/>
  <c r="J14" i="695"/>
  <c r="K14" i="695"/>
  <c r="L14" i="695"/>
  <c r="N14" i="695"/>
  <c r="O14" i="695"/>
  <c r="P14" i="695"/>
  <c r="Q14" i="695"/>
  <c r="S14" i="695"/>
  <c r="R14" i="695" s="1"/>
  <c r="T14" i="695"/>
  <c r="U14" i="695"/>
  <c r="V14" i="695"/>
  <c r="W14" i="695"/>
  <c r="X14" i="695"/>
  <c r="Y14" i="695"/>
  <c r="Z14" i="695"/>
  <c r="AA14" i="695"/>
  <c r="AB14" i="695"/>
  <c r="AC14" i="695"/>
  <c r="A15" i="695"/>
  <c r="C15" i="695"/>
  <c r="D15" i="695"/>
  <c r="E15" i="695"/>
  <c r="G15" i="695" s="1"/>
  <c r="F15" i="695"/>
  <c r="H15" i="695"/>
  <c r="I15" i="695"/>
  <c r="J15" i="695"/>
  <c r="K15" i="695"/>
  <c r="L15" i="695"/>
  <c r="N15" i="695"/>
  <c r="O15" i="695"/>
  <c r="P15" i="695"/>
  <c r="Q15" i="695"/>
  <c r="S15" i="695"/>
  <c r="R15" i="695"/>
  <c r="T15" i="695"/>
  <c r="U15" i="695"/>
  <c r="V15" i="695"/>
  <c r="W15" i="695"/>
  <c r="X15" i="695"/>
  <c r="Y15" i="695"/>
  <c r="Z15" i="695"/>
  <c r="AA15" i="695"/>
  <c r="AB15" i="695"/>
  <c r="AC15" i="695"/>
  <c r="A16" i="695"/>
  <c r="C16" i="695"/>
  <c r="D16" i="695"/>
  <c r="E16" i="695"/>
  <c r="G16" i="695" s="1"/>
  <c r="F16" i="695"/>
  <c r="H16" i="695"/>
  <c r="I16" i="695"/>
  <c r="J16" i="695"/>
  <c r="K16" i="695"/>
  <c r="L16" i="695"/>
  <c r="N16" i="695"/>
  <c r="O16" i="695"/>
  <c r="P16" i="695"/>
  <c r="Q16" i="695"/>
  <c r="S16" i="695"/>
  <c r="R16" i="695"/>
  <c r="T16" i="695"/>
  <c r="U16" i="695"/>
  <c r="V16" i="695"/>
  <c r="W16" i="695"/>
  <c r="X16" i="695"/>
  <c r="Y16" i="695"/>
  <c r="Z16" i="695"/>
  <c r="AA16" i="695"/>
  <c r="AB16" i="695"/>
  <c r="AC16" i="695"/>
  <c r="A17" i="695"/>
  <c r="C17" i="695"/>
  <c r="D17" i="695"/>
  <c r="E17" i="695"/>
  <c r="G17" i="695" s="1"/>
  <c r="F17" i="695"/>
  <c r="H17" i="695"/>
  <c r="I17" i="695"/>
  <c r="J17" i="695"/>
  <c r="K17" i="695"/>
  <c r="L17" i="695"/>
  <c r="N17" i="695"/>
  <c r="O17" i="695"/>
  <c r="P17" i="695"/>
  <c r="Q17" i="695"/>
  <c r="S17" i="695"/>
  <c r="R17" i="695"/>
  <c r="T17" i="695"/>
  <c r="U17" i="695"/>
  <c r="V17" i="695"/>
  <c r="W17" i="695"/>
  <c r="X17" i="695"/>
  <c r="Y17" i="695"/>
  <c r="Z17" i="695"/>
  <c r="AA17" i="695"/>
  <c r="AB17" i="695"/>
  <c r="AC17" i="695"/>
  <c r="A45" i="695"/>
  <c r="K1" i="2"/>
  <c r="D4" i="2"/>
  <c r="F4" i="2"/>
  <c r="E6" i="2"/>
  <c r="F6" i="2" s="1"/>
  <c r="C7" i="2"/>
  <c r="D7" i="2"/>
  <c r="G6" i="2" l="1"/>
  <c r="A46" i="695"/>
  <c r="B46" i="695" l="1"/>
  <c r="C46" i="695"/>
  <c r="D46" i="695"/>
  <c r="E46" i="695"/>
  <c r="A47" i="695"/>
  <c r="H6" i="2"/>
  <c r="I6" i="2" l="1"/>
  <c r="C47" i="695"/>
  <c r="D47" i="695"/>
  <c r="E47" i="695"/>
  <c r="A48" i="695"/>
  <c r="B47" i="695"/>
  <c r="J6" i="2" l="1"/>
  <c r="A49" i="695"/>
  <c r="E48" i="695"/>
  <c r="B48" i="695"/>
  <c r="C48" i="695"/>
  <c r="D48" i="695"/>
  <c r="B49" i="695" l="1"/>
  <c r="C49" i="695"/>
  <c r="D49" i="695"/>
  <c r="E49" i="695"/>
  <c r="A50" i="695"/>
  <c r="K6" i="2"/>
  <c r="L6" i="2" l="1"/>
  <c r="D50" i="695"/>
  <c r="E50" i="695"/>
  <c r="A51" i="695"/>
  <c r="C50" i="695"/>
  <c r="B50" i="695"/>
  <c r="A52" i="695" l="1"/>
  <c r="B51" i="695"/>
  <c r="C51" i="695"/>
  <c r="D51" i="695"/>
  <c r="E51" i="695"/>
  <c r="M6" i="2"/>
  <c r="N6" i="2" l="1"/>
  <c r="B52" i="695"/>
  <c r="C52" i="695"/>
  <c r="D52" i="695"/>
  <c r="E52" i="695"/>
  <c r="A53" i="695"/>
  <c r="E53" i="695" l="1"/>
  <c r="A54" i="695"/>
  <c r="B53" i="695"/>
  <c r="C53" i="695"/>
  <c r="D53" i="695"/>
  <c r="O6" i="2"/>
  <c r="B54" i="695" l="1"/>
  <c r="C54" i="695"/>
  <c r="D54" i="695"/>
  <c r="E54" i="695"/>
  <c r="P6" i="2"/>
  <c r="Q6" i="2" l="1"/>
  <c r="R6" i="2" l="1"/>
  <c r="S6" i="2" l="1"/>
  <c r="T6" i="2" l="1"/>
  <c r="U6" i="2" l="1"/>
  <c r="V6" i="2" l="1"/>
  <c r="W6" i="2" l="1"/>
  <c r="B47" i="2"/>
  <c r="B60" i="2"/>
  <c r="B66" i="2"/>
  <c r="F233" i="2"/>
  <c r="S233" i="2" s="1"/>
  <c r="G233" i="2"/>
  <c r="V233" i="2" s="1"/>
  <c r="F235" i="2"/>
  <c r="G235" i="2"/>
  <c r="H235" i="2"/>
  <c r="S235" i="2"/>
  <c r="V235" i="2"/>
  <c r="F236" i="2"/>
  <c r="G236" i="2"/>
  <c r="H236" i="2"/>
  <c r="S236" i="2"/>
  <c r="V236" i="2"/>
  <c r="F237" i="2"/>
  <c r="G237" i="2"/>
  <c r="H237" i="2"/>
  <c r="S237" i="2"/>
  <c r="V237" i="2"/>
  <c r="F239" i="2"/>
  <c r="G239" i="2"/>
  <c r="H239" i="2"/>
  <c r="S239" i="2"/>
  <c r="V239" i="2"/>
  <c r="F240" i="2"/>
  <c r="G240" i="2"/>
  <c r="H240" i="2"/>
  <c r="S240" i="2"/>
  <c r="V240" i="2"/>
  <c r="F242" i="2"/>
  <c r="F241" i="2"/>
  <c r="G242" i="2"/>
  <c r="G241" i="2"/>
  <c r="H241" i="2"/>
  <c r="S241" i="2"/>
  <c r="V241" i="2"/>
  <c r="H242" i="2"/>
  <c r="S242" i="2"/>
  <c r="V242" i="2"/>
  <c r="F244" i="2"/>
  <c r="F243" i="2"/>
  <c r="G244" i="2"/>
  <c r="G243" i="2"/>
  <c r="H243" i="2"/>
  <c r="S243" i="2"/>
  <c r="V243" i="2"/>
  <c r="H244" i="2"/>
  <c r="S244" i="2"/>
  <c r="V244" i="2"/>
  <c r="F247" i="2"/>
  <c r="G247" i="2"/>
  <c r="H247" i="2"/>
  <c r="S247" i="2"/>
  <c r="V247" i="2"/>
  <c r="F248" i="2"/>
  <c r="G248" i="2"/>
  <c r="H248" i="2"/>
  <c r="S248" i="2"/>
  <c r="V248" i="2"/>
  <c r="F249" i="2"/>
  <c r="G249" i="2"/>
  <c r="H249" i="2"/>
  <c r="S249" i="2"/>
  <c r="V249" i="2"/>
  <c r="F251" i="2"/>
  <c r="F250" i="2"/>
  <c r="G251" i="2"/>
  <c r="G250" i="2"/>
  <c r="H250" i="2"/>
  <c r="S250" i="2"/>
  <c r="V250" i="2"/>
  <c r="H251" i="2"/>
  <c r="S251" i="2"/>
  <c r="V251" i="2"/>
  <c r="F253" i="2"/>
  <c r="G253" i="2"/>
  <c r="H253" i="2"/>
  <c r="S253" i="2"/>
  <c r="V253" i="2"/>
  <c r="F255" i="2"/>
  <c r="F254" i="2"/>
  <c r="G255" i="2"/>
  <c r="G254" i="2"/>
  <c r="H254" i="2"/>
  <c r="S254" i="2"/>
  <c r="V254" i="2"/>
  <c r="H255" i="2"/>
  <c r="S255" i="2"/>
  <c r="V255" i="2"/>
  <c r="F257" i="2"/>
  <c r="S257" i="2" s="1"/>
  <c r="G257" i="2"/>
  <c r="V257" i="2"/>
  <c r="S258" i="2"/>
  <c r="F259" i="2"/>
  <c r="S259" i="2" s="1"/>
  <c r="G259" i="2"/>
  <c r="V259" i="2" s="1"/>
  <c r="K1" i="694"/>
  <c r="D4" i="694"/>
  <c r="F4" i="694"/>
  <c r="H4" i="694"/>
  <c r="E6" i="694"/>
  <c r="C7" i="694"/>
  <c r="D7" i="694"/>
  <c r="F6" i="694" l="1"/>
  <c r="H259" i="2"/>
  <c r="H257" i="2"/>
  <c r="G6" i="694" l="1"/>
  <c r="H6" i="694" l="1"/>
  <c r="I6" i="694" l="1"/>
  <c r="J6" i="694" l="1"/>
  <c r="K6" i="694" l="1"/>
  <c r="L6" i="694" l="1"/>
  <c r="M6" i="694" l="1"/>
  <c r="N6" i="694" l="1"/>
  <c r="O6" i="694" l="1"/>
  <c r="P6" i="694" l="1"/>
  <c r="Q6" i="694" l="1"/>
  <c r="R6" i="694" l="1"/>
  <c r="S6" i="694" l="1"/>
  <c r="T6" i="694" l="1"/>
  <c r="U6" i="694" l="1"/>
  <c r="V6" i="694" l="1"/>
  <c r="W6" i="694" l="1"/>
  <c r="F289" i="694"/>
  <c r="S289" i="694" s="1"/>
  <c r="G289" i="694"/>
  <c r="V289" i="694" s="1"/>
  <c r="F291" i="694"/>
  <c r="G291" i="694"/>
  <c r="H291" i="694"/>
  <c r="S291" i="694"/>
  <c r="V291" i="694"/>
  <c r="F292" i="694"/>
  <c r="G292" i="694"/>
  <c r="H292" i="694"/>
  <c r="S292" i="694"/>
  <c r="V292" i="694"/>
  <c r="F293" i="694"/>
  <c r="G293" i="694"/>
  <c r="H293" i="694"/>
  <c r="S293" i="694"/>
  <c r="V293" i="694"/>
  <c r="F294" i="694"/>
  <c r="G294" i="694"/>
  <c r="H294" i="694"/>
  <c r="S294" i="694"/>
  <c r="V294" i="694"/>
  <c r="F296" i="694"/>
  <c r="G296" i="694"/>
  <c r="H296" i="694"/>
  <c r="S296" i="694"/>
  <c r="V296" i="694"/>
  <c r="F298" i="694"/>
  <c r="F297" i="694"/>
  <c r="G298" i="694"/>
  <c r="G297" i="694"/>
  <c r="H297" i="694"/>
  <c r="S297" i="694"/>
  <c r="V297" i="694"/>
  <c r="H298" i="694"/>
  <c r="S298" i="694"/>
  <c r="V298" i="694"/>
  <c r="F300" i="694"/>
  <c r="F299" i="694"/>
  <c r="G300" i="694"/>
  <c r="G299" i="694"/>
  <c r="H299" i="694"/>
  <c r="S299" i="694"/>
  <c r="V299" i="694"/>
  <c r="H300" i="694"/>
  <c r="S300" i="694"/>
  <c r="V300" i="694"/>
  <c r="F303" i="694"/>
  <c r="G303" i="694"/>
  <c r="H303" i="694"/>
  <c r="S303" i="694"/>
  <c r="V303" i="694"/>
  <c r="F304" i="694"/>
  <c r="G304" i="694"/>
  <c r="H304" i="694"/>
  <c r="S304" i="694"/>
  <c r="V304" i="694"/>
  <c r="F305" i="694"/>
  <c r="G305" i="694"/>
  <c r="H305" i="694"/>
  <c r="S305" i="694"/>
  <c r="V305" i="694"/>
  <c r="F307" i="694"/>
  <c r="F306" i="694"/>
  <c r="G307" i="694"/>
  <c r="G306" i="694"/>
  <c r="H306" i="694"/>
  <c r="S306" i="694"/>
  <c r="V306" i="694"/>
  <c r="H307" i="694"/>
  <c r="S307" i="694"/>
  <c r="V307" i="694"/>
  <c r="F309" i="694"/>
  <c r="G309" i="694"/>
  <c r="H309" i="694"/>
  <c r="S309" i="694"/>
  <c r="V309" i="694"/>
  <c r="F311" i="694"/>
  <c r="F310" i="694"/>
  <c r="G311" i="694"/>
  <c r="G310" i="694"/>
  <c r="H310" i="694"/>
  <c r="S310" i="694"/>
  <c r="V310" i="694"/>
  <c r="H311" i="694"/>
  <c r="S311" i="694"/>
  <c r="V311" i="694"/>
  <c r="F313" i="694"/>
  <c r="S313" i="694" s="1"/>
  <c r="G313" i="694"/>
  <c r="V313" i="694"/>
  <c r="S314" i="694"/>
  <c r="F315" i="694"/>
  <c r="S315" i="694" s="1"/>
  <c r="G315" i="694"/>
  <c r="V315" i="694" s="1"/>
  <c r="J2" i="1168"/>
  <c r="C3" i="1168"/>
  <c r="A5" i="1168"/>
  <c r="A6" i="1168"/>
  <c r="B6" i="1168"/>
  <c r="C6" i="1168"/>
  <c r="F8" i="1168"/>
  <c r="E7" i="1168"/>
  <c r="A7" i="1168"/>
  <c r="H315" i="694" l="1"/>
  <c r="H313" i="694"/>
  <c r="F9" i="1168"/>
  <c r="E8" i="1168"/>
  <c r="A8" i="1168"/>
  <c r="F10" i="1168"/>
  <c r="E9" i="1168"/>
  <c r="A9" i="1168"/>
  <c r="F11" i="1168"/>
  <c r="E10" i="1168"/>
  <c r="A10" i="1168"/>
  <c r="F12" i="1168"/>
  <c r="E11" i="1168" s="1"/>
  <c r="A11" i="1168"/>
  <c r="F13" i="1168"/>
  <c r="E12" i="1168"/>
  <c r="A12" i="1168"/>
  <c r="F14" i="1168"/>
  <c r="E13" i="1168"/>
  <c r="A13" i="1168"/>
  <c r="F15" i="1168"/>
  <c r="E14" i="1168"/>
  <c r="A14" i="1168"/>
  <c r="F16" i="1168"/>
  <c r="E15" i="1168"/>
  <c r="A15" i="1168"/>
  <c r="F17" i="1168"/>
  <c r="E16" i="1168" s="1"/>
  <c r="A16" i="1168"/>
  <c r="F18" i="1168"/>
  <c r="E17" i="1168"/>
  <c r="A17" i="1168"/>
  <c r="F19" i="1168"/>
  <c r="E18" i="1168"/>
  <c r="A18" i="1168"/>
  <c r="F20" i="1168"/>
  <c r="E19" i="1168"/>
  <c r="A19" i="1168"/>
  <c r="F21" i="1168"/>
  <c r="E20" i="1168"/>
  <c r="A20" i="1168"/>
  <c r="F22" i="1168"/>
  <c r="E21" i="1168"/>
  <c r="A21" i="1168"/>
  <c r="F23" i="1168"/>
  <c r="E22" i="1168" s="1"/>
  <c r="A22" i="1168"/>
  <c r="F24" i="1168"/>
  <c r="E23" i="1168"/>
  <c r="A23" i="1168"/>
  <c r="F25" i="1168"/>
  <c r="E24" i="1168"/>
  <c r="A24" i="1168"/>
  <c r="F26" i="1168"/>
  <c r="E25" i="1168"/>
  <c r="A25" i="1168"/>
  <c r="F27" i="1168"/>
  <c r="E26" i="1168"/>
  <c r="A26" i="1168"/>
  <c r="A27" i="1168"/>
  <c r="F28" i="1168"/>
  <c r="E27" i="1168"/>
  <c r="F29" i="1168"/>
  <c r="E28" i="1168" s="1"/>
  <c r="A29" i="1168"/>
  <c r="A28" i="1168" l="1"/>
  <c r="B29" i="1168"/>
  <c r="C29" i="1168"/>
  <c r="F30" i="1168"/>
  <c r="E29" i="1168" l="1"/>
  <c r="F31" i="1168"/>
  <c r="E30" i="1168" l="1"/>
  <c r="F32" i="1168"/>
  <c r="A30" i="1168"/>
  <c r="E31" i="1168" l="1"/>
  <c r="F33" i="1168"/>
  <c r="A31" i="1168"/>
  <c r="E32" i="1168" l="1"/>
  <c r="F34" i="1168"/>
  <c r="A32" i="1168"/>
  <c r="E33" i="1168" l="1"/>
  <c r="F35" i="1168"/>
  <c r="A33" i="1168"/>
  <c r="E34" i="1168" l="1"/>
  <c r="F36" i="1168"/>
  <c r="A34" i="1168"/>
  <c r="E35" i="1168" l="1"/>
  <c r="F37" i="1168"/>
  <c r="A35" i="1168"/>
  <c r="E36" i="1168" l="1"/>
  <c r="F38" i="1168"/>
  <c r="A36" i="1168"/>
  <c r="E37" i="1168" l="1"/>
  <c r="F39" i="1168"/>
  <c r="A37" i="1168"/>
  <c r="E38" i="1168" l="1"/>
  <c r="F40" i="1168"/>
  <c r="A38" i="1168"/>
  <c r="E39" i="1168" l="1"/>
  <c r="F41" i="1168"/>
  <c r="A39" i="1168"/>
  <c r="E40" i="1168" l="1"/>
  <c r="F42" i="1168"/>
  <c r="A40" i="1168"/>
  <c r="E41" i="1168" l="1"/>
  <c r="F43" i="1168"/>
  <c r="A41" i="1168"/>
  <c r="E42" i="1168" l="1"/>
  <c r="F44" i="1168"/>
  <c r="A42" i="1168"/>
  <c r="E43" i="1168" l="1"/>
  <c r="F45" i="1168"/>
  <c r="A43" i="1168"/>
  <c r="E44" i="1168" l="1"/>
  <c r="F46" i="1168"/>
  <c r="A44" i="1168"/>
  <c r="E45" i="1168" l="1"/>
  <c r="F47" i="1168"/>
  <c r="A45" i="1168"/>
  <c r="E46" i="1168" l="1"/>
  <c r="F48" i="1168"/>
  <c r="A52" i="1168"/>
  <c r="A46" i="1168"/>
  <c r="E47" i="1168" l="1"/>
  <c r="F49" i="1168"/>
  <c r="A47" i="1168"/>
  <c r="E48" i="1168" l="1"/>
  <c r="F50" i="1168"/>
  <c r="A48" i="1168"/>
  <c r="E49" i="1168" l="1"/>
  <c r="A49" i="1168" s="1"/>
  <c r="A50" i="1168"/>
  <c r="F51" i="1168"/>
  <c r="F52" i="1168" l="1"/>
  <c r="E50" i="1168"/>
  <c r="E51" i="1168" l="1"/>
  <c r="F53" i="1168"/>
  <c r="F54" i="1168" l="1"/>
  <c r="E52" i="1168"/>
  <c r="A51" i="1168"/>
  <c r="B52" i="1168"/>
  <c r="C52" i="1168"/>
  <c r="E53" i="1168" l="1"/>
  <c r="F55" i="1168"/>
  <c r="A53" i="1168"/>
  <c r="E54" i="1168" l="1"/>
  <c r="F56" i="1168"/>
  <c r="A54" i="1168"/>
  <c r="E55" i="1168" l="1"/>
  <c r="F57" i="1168"/>
  <c r="A55" i="1168"/>
  <c r="E56" i="1168" l="1"/>
  <c r="F58" i="1168"/>
  <c r="A56" i="1168"/>
  <c r="E57" i="1168" l="1"/>
  <c r="F59" i="1168"/>
  <c r="A57" i="1168"/>
  <c r="E58" i="1168" l="1"/>
  <c r="F60" i="1168"/>
  <c r="A58" i="1168"/>
  <c r="E59" i="1168" l="1"/>
  <c r="F61" i="1168"/>
  <c r="A59" i="1168"/>
  <c r="E60" i="1168" l="1"/>
  <c r="F62" i="1168"/>
  <c r="A60" i="1168"/>
  <c r="E61" i="1168" l="1"/>
  <c r="F63" i="1168"/>
  <c r="A61" i="1168"/>
  <c r="E62" i="1168" l="1"/>
  <c r="F64" i="1168"/>
  <c r="A62" i="1168"/>
  <c r="E63" i="1168" l="1"/>
  <c r="F65" i="1168"/>
  <c r="A63" i="1168"/>
  <c r="E64" i="1168" l="1"/>
  <c r="F66" i="1168"/>
  <c r="A64" i="1168"/>
  <c r="E65" i="1168" l="1"/>
  <c r="F67" i="1168"/>
  <c r="A75" i="1168"/>
  <c r="A65" i="1168"/>
  <c r="E66" i="1168" l="1"/>
  <c r="F68" i="1168"/>
  <c r="A66" i="1168"/>
  <c r="E67" i="1168" l="1"/>
  <c r="F69" i="1168"/>
  <c r="A67" i="1168"/>
  <c r="E68" i="1168" l="1"/>
  <c r="F70" i="1168"/>
  <c r="A68" i="1168"/>
  <c r="E69" i="1168" l="1"/>
  <c r="F71" i="1168"/>
  <c r="A69" i="1168"/>
  <c r="E70" i="1168" l="1"/>
  <c r="F72" i="1168"/>
  <c r="A70" i="1168"/>
  <c r="E71" i="1168" l="1"/>
  <c r="F73" i="1168"/>
  <c r="A71" i="1168"/>
  <c r="E72" i="1168" l="1"/>
  <c r="A72" i="1168" s="1"/>
  <c r="F74" i="1168"/>
  <c r="A73" i="1168"/>
  <c r="F75" i="1168" l="1"/>
  <c r="E73" i="1168"/>
  <c r="E74" i="1168" l="1"/>
  <c r="F76" i="1168"/>
  <c r="F77" i="1168" l="1"/>
  <c r="E75" i="1168"/>
  <c r="A74" i="1168"/>
  <c r="B75" i="1168"/>
  <c r="C75" i="1168"/>
  <c r="E76" i="1168" l="1"/>
  <c r="F78" i="1168"/>
  <c r="A76" i="1168"/>
  <c r="E77" i="1168" l="1"/>
  <c r="F79" i="1168"/>
  <c r="A77" i="1168"/>
  <c r="E78" i="1168" l="1"/>
  <c r="F80" i="1168"/>
  <c r="A78" i="1168"/>
  <c r="E79" i="1168" l="1"/>
  <c r="F81" i="1168"/>
  <c r="A79" i="1168"/>
  <c r="E80" i="1168" l="1"/>
  <c r="F82" i="1168"/>
  <c r="A80" i="1168"/>
  <c r="E81" i="1168" l="1"/>
  <c r="F83" i="1168"/>
  <c r="A81" i="1168"/>
  <c r="E82" i="1168" l="1"/>
  <c r="F84" i="1168"/>
  <c r="A82" i="1168"/>
  <c r="E83" i="1168" l="1"/>
  <c r="F85" i="1168"/>
  <c r="A83" i="1168"/>
  <c r="E84" i="1168" l="1"/>
  <c r="F86" i="1168"/>
  <c r="A98" i="1168"/>
  <c r="A84" i="1168"/>
  <c r="E85" i="1168" l="1"/>
  <c r="F87" i="1168"/>
  <c r="A85" i="1168"/>
  <c r="E86" i="1168" l="1"/>
  <c r="F88" i="1168"/>
  <c r="A86" i="1168"/>
  <c r="E87" i="1168" l="1"/>
  <c r="F89" i="1168"/>
  <c r="A87" i="1168"/>
  <c r="E88" i="1168" l="1"/>
  <c r="F90" i="1168"/>
  <c r="A88" i="1168"/>
  <c r="E89" i="1168" l="1"/>
  <c r="F91" i="1168"/>
  <c r="A89" i="1168"/>
  <c r="E90" i="1168" l="1"/>
  <c r="F92" i="1168"/>
  <c r="A90" i="1168"/>
  <c r="E91" i="1168" l="1"/>
  <c r="F93" i="1168"/>
  <c r="A91" i="1168"/>
  <c r="E92" i="1168" l="1"/>
  <c r="F94" i="1168"/>
  <c r="A92" i="1168"/>
  <c r="E93" i="1168" l="1"/>
  <c r="F95" i="1168"/>
  <c r="A93" i="1168"/>
  <c r="E94" i="1168" l="1"/>
  <c r="F96" i="1168"/>
  <c r="A94" i="1168"/>
  <c r="F97" i="1168" l="1"/>
  <c r="E95" i="1168"/>
  <c r="A95" i="1168" s="1"/>
  <c r="A96" i="1168"/>
  <c r="F98" i="1168" l="1"/>
  <c r="E96" i="1168"/>
  <c r="E97" i="1168" l="1"/>
  <c r="F99" i="1168"/>
  <c r="F100" i="1168" l="1"/>
  <c r="E98" i="1168"/>
  <c r="A97" i="1168"/>
  <c r="B98" i="1168"/>
  <c r="C98" i="1168"/>
  <c r="E99" i="1168" l="1"/>
  <c r="F101" i="1168"/>
  <c r="A99" i="1168"/>
  <c r="E100" i="1168" l="1"/>
  <c r="F102" i="1168"/>
  <c r="A100" i="1168"/>
  <c r="E101" i="1168" l="1"/>
  <c r="F103" i="1168"/>
  <c r="A101" i="1168"/>
  <c r="E102" i="1168" l="1"/>
  <c r="F104" i="1168"/>
  <c r="A102" i="1168"/>
  <c r="E103" i="1168" l="1"/>
  <c r="F105" i="1168"/>
  <c r="A121" i="1168"/>
  <c r="A103" i="1168"/>
  <c r="E104" i="1168" l="1"/>
  <c r="F106" i="1168"/>
  <c r="A104" i="1168"/>
  <c r="E105" i="1168" l="1"/>
  <c r="F107" i="1168"/>
  <c r="A105" i="1168"/>
  <c r="E106" i="1168" l="1"/>
  <c r="F108" i="1168"/>
  <c r="A106" i="1168"/>
  <c r="E107" i="1168" l="1"/>
  <c r="F109" i="1168"/>
  <c r="A107" i="1168"/>
  <c r="E108" i="1168" l="1"/>
  <c r="F110" i="1168"/>
  <c r="A108" i="1168"/>
  <c r="E109" i="1168" l="1"/>
  <c r="F111" i="1168"/>
  <c r="A109" i="1168"/>
  <c r="E110" i="1168" l="1"/>
  <c r="F112" i="1168"/>
  <c r="A110" i="1168"/>
  <c r="E111" i="1168" l="1"/>
  <c r="F113" i="1168"/>
  <c r="A111" i="1168"/>
  <c r="E112" i="1168" l="1"/>
  <c r="F114" i="1168"/>
  <c r="A112" i="1168"/>
  <c r="E113" i="1168" l="1"/>
  <c r="F115" i="1168"/>
  <c r="A113" i="1168"/>
  <c r="E114" i="1168" l="1"/>
  <c r="F116" i="1168"/>
  <c r="A114" i="1168"/>
  <c r="E115" i="1168" l="1"/>
  <c r="F117" i="1168"/>
  <c r="A115" i="1168"/>
  <c r="E116" i="1168" l="1"/>
  <c r="F118" i="1168"/>
  <c r="A116" i="1168"/>
  <c r="E117" i="1168" l="1"/>
  <c r="F119" i="1168"/>
  <c r="A117" i="1168"/>
  <c r="E118" i="1168" l="1"/>
  <c r="A118" i="1168" s="1"/>
  <c r="A119" i="1168"/>
  <c r="F120" i="1168"/>
  <c r="F121" i="1168" l="1"/>
  <c r="E119" i="1168"/>
  <c r="E120" i="1168" l="1"/>
  <c r="F122" i="1168"/>
  <c r="F123" i="1168" l="1"/>
  <c r="E121" i="1168"/>
  <c r="A120" i="1168"/>
  <c r="B121" i="1168"/>
  <c r="C121" i="1168"/>
  <c r="E122" i="1168" l="1"/>
  <c r="F124" i="1168"/>
  <c r="A144" i="1168"/>
  <c r="A122" i="1168"/>
  <c r="E123" i="1168" l="1"/>
  <c r="F125" i="1168"/>
  <c r="A123" i="1168"/>
  <c r="E124" i="1168" l="1"/>
  <c r="F126" i="1168"/>
  <c r="A124" i="1168"/>
  <c r="E125" i="1168" l="1"/>
  <c r="F127" i="1168"/>
  <c r="A125" i="1168"/>
  <c r="E126" i="1168" l="1"/>
  <c r="F128" i="1168"/>
  <c r="A126" i="1168"/>
  <c r="E127" i="1168" l="1"/>
  <c r="F129" i="1168"/>
  <c r="A127" i="1168"/>
  <c r="E128" i="1168" l="1"/>
  <c r="F130" i="1168"/>
  <c r="A128" i="1168"/>
  <c r="E129" i="1168" l="1"/>
  <c r="F131" i="1168"/>
  <c r="A129" i="1168"/>
  <c r="E130" i="1168" l="1"/>
  <c r="F132" i="1168"/>
  <c r="A130" i="1168"/>
  <c r="E131" i="1168" l="1"/>
  <c r="F133" i="1168"/>
  <c r="A131" i="1168"/>
  <c r="E132" i="1168" l="1"/>
  <c r="F134" i="1168"/>
  <c r="A132" i="1168"/>
  <c r="E133" i="1168" l="1"/>
  <c r="F135" i="1168"/>
  <c r="A133" i="1168"/>
  <c r="E134" i="1168" l="1"/>
  <c r="F136" i="1168"/>
  <c r="A134" i="1168"/>
  <c r="E135" i="1168" l="1"/>
  <c r="F137" i="1168"/>
  <c r="A135" i="1168"/>
  <c r="E136" i="1168" l="1"/>
  <c r="F138" i="1168"/>
  <c r="A136" i="1168"/>
  <c r="E137" i="1168" l="1"/>
  <c r="F139" i="1168"/>
  <c r="A137" i="1168"/>
  <c r="E138" i="1168" l="1"/>
  <c r="F140" i="1168"/>
  <c r="A138" i="1168"/>
  <c r="E139" i="1168" l="1"/>
  <c r="F141" i="1168"/>
  <c r="A139" i="1168"/>
  <c r="E140" i="1168" l="1"/>
  <c r="F142" i="1168"/>
  <c r="A140" i="1168"/>
  <c r="E141" i="1168" l="1"/>
  <c r="A141" i="1168" s="1"/>
  <c r="A142" i="1168"/>
  <c r="F143" i="1168"/>
  <c r="A167" i="1168"/>
  <c r="F144" i="1168" l="1"/>
  <c r="E142" i="1168"/>
  <c r="F145" i="1168" l="1"/>
  <c r="E143" i="1168"/>
  <c r="B144" i="1168" l="1"/>
  <c r="C144" i="1168"/>
  <c r="A143" i="1168"/>
  <c r="F146" i="1168"/>
  <c r="E144" i="1168"/>
  <c r="E145" i="1168" l="1"/>
  <c r="F147" i="1168"/>
  <c r="A145" i="1168"/>
  <c r="E146" i="1168" l="1"/>
  <c r="F148" i="1168"/>
  <c r="A146" i="1168"/>
  <c r="E147" i="1168" l="1"/>
  <c r="F149" i="1168"/>
  <c r="A147" i="1168"/>
  <c r="E148" i="1168" l="1"/>
  <c r="F150" i="1168"/>
  <c r="A148" i="1168"/>
  <c r="E149" i="1168" l="1"/>
  <c r="F151" i="1168"/>
  <c r="A149" i="1168"/>
  <c r="E150" i="1168" l="1"/>
  <c r="F152" i="1168"/>
  <c r="A150" i="1168"/>
  <c r="E151" i="1168" l="1"/>
  <c r="F153" i="1168"/>
  <c r="A151" i="1168"/>
  <c r="E152" i="1168" l="1"/>
  <c r="F154" i="1168"/>
  <c r="A152" i="1168"/>
  <c r="E153" i="1168" l="1"/>
  <c r="F155" i="1168"/>
  <c r="A153" i="1168"/>
  <c r="E154" i="1168" l="1"/>
  <c r="F156" i="1168"/>
  <c r="A154" i="1168"/>
  <c r="E155" i="1168" l="1"/>
  <c r="F157" i="1168"/>
  <c r="A155" i="1168"/>
  <c r="E156" i="1168" l="1"/>
  <c r="F158" i="1168"/>
  <c r="A156" i="1168"/>
  <c r="E157" i="1168" l="1"/>
  <c r="F159" i="1168"/>
  <c r="A157" i="1168"/>
  <c r="E158" i="1168" l="1"/>
  <c r="F160" i="1168"/>
  <c r="A158" i="1168"/>
  <c r="E159" i="1168" l="1"/>
  <c r="F161" i="1168"/>
  <c r="A159" i="1168"/>
  <c r="E160" i="1168" l="1"/>
  <c r="F162" i="1168"/>
  <c r="A190" i="1168"/>
  <c r="A160" i="1168"/>
  <c r="E161" i="1168" l="1"/>
  <c r="F163" i="1168"/>
  <c r="A161" i="1168"/>
  <c r="E162" i="1168" l="1"/>
  <c r="F164" i="1168"/>
  <c r="A162" i="1168"/>
  <c r="E163" i="1168" l="1"/>
  <c r="F165" i="1168"/>
  <c r="A163" i="1168"/>
  <c r="A165" i="1168" l="1"/>
  <c r="F166" i="1168"/>
  <c r="E164" i="1168"/>
  <c r="A164" i="1168" s="1"/>
  <c r="F167" i="1168" l="1"/>
  <c r="E165" i="1168"/>
  <c r="F168" i="1168" l="1"/>
  <c r="E166" i="1168"/>
  <c r="B167" i="1168" l="1"/>
  <c r="C167" i="1168"/>
  <c r="A166" i="1168"/>
  <c r="E167" i="1168"/>
  <c r="F169" i="1168"/>
  <c r="E168" i="1168" l="1"/>
  <c r="F170" i="1168"/>
  <c r="A168" i="1168"/>
  <c r="E169" i="1168" l="1"/>
  <c r="F171" i="1168"/>
  <c r="A169" i="1168"/>
  <c r="E170" i="1168" l="1"/>
  <c r="F172" i="1168"/>
  <c r="A170" i="1168"/>
  <c r="E171" i="1168" l="1"/>
  <c r="F173" i="1168"/>
  <c r="A171" i="1168"/>
  <c r="E172" i="1168" l="1"/>
  <c r="F174" i="1168"/>
  <c r="A172" i="1168"/>
  <c r="E173" i="1168" l="1"/>
  <c r="F175" i="1168"/>
  <c r="A173" i="1168"/>
  <c r="E174" i="1168" l="1"/>
  <c r="F176" i="1168"/>
  <c r="A174" i="1168"/>
  <c r="E175" i="1168" l="1"/>
  <c r="F177" i="1168"/>
  <c r="A175" i="1168"/>
  <c r="E176" i="1168" l="1"/>
  <c r="F178" i="1168"/>
  <c r="A176" i="1168"/>
  <c r="E177" i="1168" l="1"/>
  <c r="F179" i="1168"/>
  <c r="A177" i="1168"/>
  <c r="E178" i="1168" l="1"/>
  <c r="F180" i="1168"/>
  <c r="A178" i="1168"/>
  <c r="E179" i="1168" l="1"/>
  <c r="F181" i="1168"/>
  <c r="A213" i="1168"/>
  <c r="A179" i="1168"/>
  <c r="E180" i="1168" l="1"/>
  <c r="F182" i="1168"/>
  <c r="A180" i="1168"/>
  <c r="E181" i="1168" l="1"/>
  <c r="F183" i="1168"/>
  <c r="A181" i="1168"/>
  <c r="E182" i="1168" l="1"/>
  <c r="F184" i="1168"/>
  <c r="A182" i="1168"/>
  <c r="E183" i="1168" l="1"/>
  <c r="F185" i="1168"/>
  <c r="A183" i="1168"/>
  <c r="E184" i="1168" l="1"/>
  <c r="F186" i="1168"/>
  <c r="A184" i="1168"/>
  <c r="E185" i="1168" l="1"/>
  <c r="F187" i="1168"/>
  <c r="A185" i="1168"/>
  <c r="E186" i="1168" l="1"/>
  <c r="F188" i="1168"/>
  <c r="A186" i="1168"/>
  <c r="E187" i="1168" l="1"/>
  <c r="A187" i="1168" s="1"/>
  <c r="A188" i="1168"/>
  <c r="F189" i="1168"/>
  <c r="F190" i="1168" l="1"/>
  <c r="E188" i="1168"/>
  <c r="E189" i="1168" l="1"/>
  <c r="F191" i="1168"/>
  <c r="F192" i="1168" l="1"/>
  <c r="E190" i="1168"/>
  <c r="A189" i="1168"/>
  <c r="B190" i="1168"/>
  <c r="C190" i="1168"/>
  <c r="E191" i="1168" l="1"/>
  <c r="F193" i="1168"/>
  <c r="A191" i="1168"/>
  <c r="E192" i="1168" l="1"/>
  <c r="F194" i="1168"/>
  <c r="A192" i="1168"/>
  <c r="E193" i="1168" l="1"/>
  <c r="F195" i="1168"/>
  <c r="A193" i="1168"/>
  <c r="E194" i="1168" l="1"/>
  <c r="F196" i="1168"/>
  <c r="A194" i="1168"/>
  <c r="E195" i="1168" l="1"/>
  <c r="F197" i="1168"/>
  <c r="A195" i="1168"/>
  <c r="E196" i="1168" l="1"/>
  <c r="F198" i="1168"/>
  <c r="A196" i="1168"/>
  <c r="E197" i="1168" l="1"/>
  <c r="F199" i="1168"/>
  <c r="A197" i="1168"/>
  <c r="E198" i="1168" l="1"/>
  <c r="F200" i="1168"/>
  <c r="A236" i="1168"/>
  <c r="A198" i="1168"/>
  <c r="E199" i="1168" l="1"/>
  <c r="F201" i="1168"/>
  <c r="A199" i="1168"/>
  <c r="E200" i="1168" l="1"/>
  <c r="F202" i="1168"/>
  <c r="A200" i="1168"/>
  <c r="E201" i="1168" l="1"/>
  <c r="F203" i="1168"/>
  <c r="A201" i="1168"/>
  <c r="E202" i="1168" l="1"/>
  <c r="F204" i="1168"/>
  <c r="A202" i="1168"/>
  <c r="E203" i="1168" l="1"/>
  <c r="F205" i="1168"/>
  <c r="A203" i="1168"/>
  <c r="E204" i="1168" l="1"/>
  <c r="F206" i="1168"/>
  <c r="A204" i="1168"/>
  <c r="E205" i="1168" l="1"/>
  <c r="F207" i="1168"/>
  <c r="A205" i="1168"/>
  <c r="E206" i="1168" l="1"/>
  <c r="F208" i="1168"/>
  <c r="A206" i="1168"/>
  <c r="E207" i="1168" l="1"/>
  <c r="F209" i="1168"/>
  <c r="A207" i="1168"/>
  <c r="E208" i="1168" l="1"/>
  <c r="F210" i="1168"/>
  <c r="A208" i="1168"/>
  <c r="E209" i="1168" l="1"/>
  <c r="F211" i="1168"/>
  <c r="A209" i="1168"/>
  <c r="E210" i="1168" l="1"/>
  <c r="A210" i="1168" s="1"/>
  <c r="F212" i="1168"/>
  <c r="A211" i="1168"/>
  <c r="F213" i="1168" l="1"/>
  <c r="E211" i="1168"/>
  <c r="E212" i="1168" l="1"/>
  <c r="F214" i="1168"/>
  <c r="F215" i="1168" l="1"/>
  <c r="E213" i="1168"/>
  <c r="A212" i="1168"/>
  <c r="B213" i="1168"/>
  <c r="C213" i="1168"/>
  <c r="E214" i="1168" l="1"/>
  <c r="F216" i="1168"/>
  <c r="A214" i="1168"/>
  <c r="E215" i="1168" l="1"/>
  <c r="F217" i="1168"/>
  <c r="A215" i="1168"/>
  <c r="E216" i="1168" l="1"/>
  <c r="F218" i="1168"/>
  <c r="A216" i="1168"/>
  <c r="E217" i="1168" l="1"/>
  <c r="F219" i="1168"/>
  <c r="A259" i="1168"/>
  <c r="A217" i="1168"/>
  <c r="E218" i="1168" l="1"/>
  <c r="F220" i="1168"/>
  <c r="A218" i="1168"/>
  <c r="E219" i="1168" l="1"/>
  <c r="F221" i="1168"/>
  <c r="A219" i="1168"/>
  <c r="E220" i="1168" l="1"/>
  <c r="F222" i="1168"/>
  <c r="A220" i="1168"/>
  <c r="E221" i="1168" l="1"/>
  <c r="F223" i="1168"/>
  <c r="A221" i="1168"/>
  <c r="E222" i="1168" l="1"/>
  <c r="F224" i="1168"/>
  <c r="A222" i="1168"/>
  <c r="E223" i="1168" l="1"/>
  <c r="F225" i="1168"/>
  <c r="A223" i="1168"/>
  <c r="E224" i="1168" l="1"/>
  <c r="F226" i="1168"/>
  <c r="A224" i="1168"/>
  <c r="E225" i="1168" l="1"/>
  <c r="F227" i="1168"/>
  <c r="A225" i="1168"/>
  <c r="E226" i="1168" l="1"/>
  <c r="F228" i="1168"/>
  <c r="A226" i="1168"/>
  <c r="E227" i="1168" l="1"/>
  <c r="F229" i="1168"/>
  <c r="A227" i="1168"/>
  <c r="E228" i="1168" l="1"/>
  <c r="F230" i="1168"/>
  <c r="A228" i="1168"/>
  <c r="E229" i="1168" l="1"/>
  <c r="F231" i="1168"/>
  <c r="A229" i="1168"/>
  <c r="E230" i="1168" l="1"/>
  <c r="F232" i="1168"/>
  <c r="A230" i="1168"/>
  <c r="E231" i="1168" l="1"/>
  <c r="F233" i="1168"/>
  <c r="A231" i="1168"/>
  <c r="E232" i="1168" l="1"/>
  <c r="F234" i="1168"/>
  <c r="A232" i="1168"/>
  <c r="F235" i="1168" l="1"/>
  <c r="E233" i="1168"/>
  <c r="A233" i="1168" s="1"/>
  <c r="A234" i="1168"/>
  <c r="F236" i="1168" l="1"/>
  <c r="E234" i="1168"/>
  <c r="E235" i="1168" l="1"/>
  <c r="F237" i="1168"/>
  <c r="F238" i="1168" l="1"/>
  <c r="E236" i="1168"/>
  <c r="A235" i="1168"/>
  <c r="B236" i="1168"/>
  <c r="C236" i="1168"/>
  <c r="A282" i="1168"/>
  <c r="E237" i="1168" l="1"/>
  <c r="F239" i="1168"/>
  <c r="A237" i="1168"/>
  <c r="E238" i="1168" l="1"/>
  <c r="F240" i="1168"/>
  <c r="A238" i="1168"/>
  <c r="E239" i="1168" l="1"/>
  <c r="F241" i="1168"/>
  <c r="A239" i="1168"/>
  <c r="E240" i="1168" l="1"/>
  <c r="F242" i="1168"/>
  <c r="A240" i="1168"/>
  <c r="E241" i="1168" l="1"/>
  <c r="F243" i="1168"/>
  <c r="A241" i="1168"/>
  <c r="E242" i="1168" l="1"/>
  <c r="F244" i="1168"/>
  <c r="A242" i="1168"/>
  <c r="E243" i="1168" l="1"/>
  <c r="F245" i="1168"/>
  <c r="A243" i="1168"/>
  <c r="E244" i="1168" l="1"/>
  <c r="F246" i="1168"/>
  <c r="A244" i="1168"/>
  <c r="E245" i="1168" l="1"/>
  <c r="F247" i="1168"/>
  <c r="A245" i="1168"/>
  <c r="E246" i="1168" l="1"/>
  <c r="F248" i="1168"/>
  <c r="A246" i="1168"/>
  <c r="E247" i="1168" l="1"/>
  <c r="F249" i="1168"/>
  <c r="A247" i="1168"/>
  <c r="E248" i="1168" l="1"/>
  <c r="F250" i="1168"/>
  <c r="A248" i="1168"/>
  <c r="E249" i="1168" l="1"/>
  <c r="F251" i="1168"/>
  <c r="A249" i="1168"/>
  <c r="E250" i="1168" l="1"/>
  <c r="F252" i="1168"/>
  <c r="A250" i="1168"/>
  <c r="E251" i="1168" l="1"/>
  <c r="F253" i="1168"/>
  <c r="A251" i="1168"/>
  <c r="E252" i="1168" l="1"/>
  <c r="F254" i="1168"/>
  <c r="A252" i="1168"/>
  <c r="E253" i="1168" l="1"/>
  <c r="F255" i="1168"/>
  <c r="A253" i="1168"/>
  <c r="E254" i="1168" l="1"/>
  <c r="F256" i="1168"/>
  <c r="A254" i="1168"/>
  <c r="E255" i="1168" l="1"/>
  <c r="F257" i="1168"/>
  <c r="A305" i="1168"/>
  <c r="A255" i="1168"/>
  <c r="E256" i="1168" l="1"/>
  <c r="A256" i="1168" s="1"/>
  <c r="A257" i="1168"/>
  <c r="F258" i="1168"/>
  <c r="F259" i="1168" l="1"/>
  <c r="E257" i="1168"/>
  <c r="E258" i="1168" l="1"/>
  <c r="F260" i="1168"/>
  <c r="F261" i="1168" l="1"/>
  <c r="E259" i="1168"/>
  <c r="A258" i="1168"/>
  <c r="B259" i="1168"/>
  <c r="C259" i="1168"/>
  <c r="E260" i="1168" l="1"/>
  <c r="F262" i="1168"/>
  <c r="A260" i="1168"/>
  <c r="E261" i="1168" l="1"/>
  <c r="F263" i="1168"/>
  <c r="A261" i="1168"/>
  <c r="E262" i="1168" l="1"/>
  <c r="F264" i="1168"/>
  <c r="A262" i="1168"/>
  <c r="E263" i="1168" l="1"/>
  <c r="F265" i="1168"/>
  <c r="A263" i="1168"/>
  <c r="E264" i="1168" l="1"/>
  <c r="F266" i="1168"/>
  <c r="A264" i="1168"/>
  <c r="E265" i="1168" l="1"/>
  <c r="F267" i="1168"/>
  <c r="A265" i="1168"/>
  <c r="E266" i="1168" l="1"/>
  <c r="F268" i="1168"/>
  <c r="A266" i="1168"/>
  <c r="E267" i="1168" l="1"/>
  <c r="F269" i="1168"/>
  <c r="A267" i="1168"/>
  <c r="E268" i="1168" l="1"/>
  <c r="F270" i="1168"/>
  <c r="A268" i="1168"/>
  <c r="E269" i="1168" l="1"/>
  <c r="F271" i="1168"/>
  <c r="A269" i="1168"/>
  <c r="E270" i="1168" l="1"/>
  <c r="F272" i="1168"/>
  <c r="A270" i="1168"/>
  <c r="E271" i="1168" l="1"/>
  <c r="F273" i="1168"/>
  <c r="A271" i="1168"/>
  <c r="E272" i="1168" l="1"/>
  <c r="F274" i="1168"/>
  <c r="A272" i="1168"/>
  <c r="E273" i="1168" l="1"/>
  <c r="F275" i="1168"/>
  <c r="A273" i="1168"/>
  <c r="E274" i="1168" l="1"/>
  <c r="F276" i="1168"/>
  <c r="A328" i="1168"/>
  <c r="A274" i="1168"/>
  <c r="E275" i="1168" l="1"/>
  <c r="F277" i="1168"/>
  <c r="A275" i="1168"/>
  <c r="E276" i="1168" l="1"/>
  <c r="F278" i="1168"/>
  <c r="A276" i="1168"/>
  <c r="E277" i="1168" l="1"/>
  <c r="F279" i="1168"/>
  <c r="A277" i="1168"/>
  <c r="E278" i="1168" l="1"/>
  <c r="F280" i="1168"/>
  <c r="A278" i="1168"/>
  <c r="A280" i="1168" l="1"/>
  <c r="F281" i="1168"/>
  <c r="E279" i="1168"/>
  <c r="A279" i="1168" s="1"/>
  <c r="E280" i="1168" l="1"/>
  <c r="F282" i="1168"/>
  <c r="F283" i="1168" l="1"/>
  <c r="E281" i="1168"/>
  <c r="C282" i="1168" l="1"/>
  <c r="B282" i="1168"/>
  <c r="A281" i="1168"/>
  <c r="E282" i="1168"/>
  <c r="F284" i="1168"/>
  <c r="E283" i="1168" l="1"/>
  <c r="F285" i="1168"/>
  <c r="A283" i="1168"/>
  <c r="E284" i="1168" l="1"/>
  <c r="F286" i="1168"/>
  <c r="A284" i="1168"/>
  <c r="E285" i="1168" l="1"/>
  <c r="F287" i="1168"/>
  <c r="A285" i="1168"/>
  <c r="E286" i="1168" l="1"/>
  <c r="F288" i="1168"/>
  <c r="A286" i="1168"/>
  <c r="E287" i="1168" l="1"/>
  <c r="F289" i="1168"/>
  <c r="A287" i="1168"/>
  <c r="E288" i="1168" l="1"/>
  <c r="F290" i="1168"/>
  <c r="A288" i="1168"/>
  <c r="E289" i="1168" l="1"/>
  <c r="F291" i="1168"/>
  <c r="A289" i="1168"/>
  <c r="E290" i="1168" l="1"/>
  <c r="F292" i="1168"/>
  <c r="A290" i="1168"/>
  <c r="E291" i="1168" l="1"/>
  <c r="F293" i="1168"/>
  <c r="A291" i="1168"/>
  <c r="E292" i="1168" l="1"/>
  <c r="F294" i="1168"/>
  <c r="A292" i="1168"/>
  <c r="E293" i="1168" l="1"/>
  <c r="F295" i="1168"/>
  <c r="A351" i="1168"/>
  <c r="A293" i="1168"/>
  <c r="E294" i="1168" l="1"/>
  <c r="F296" i="1168"/>
  <c r="A294" i="1168"/>
  <c r="E295" i="1168" l="1"/>
  <c r="F297" i="1168"/>
  <c r="A295" i="1168"/>
  <c r="E296" i="1168" l="1"/>
  <c r="F298" i="1168"/>
  <c r="A296" i="1168"/>
  <c r="E297" i="1168" l="1"/>
  <c r="F299" i="1168"/>
  <c r="A297" i="1168"/>
  <c r="E298" i="1168" l="1"/>
  <c r="F300" i="1168"/>
  <c r="A298" i="1168"/>
  <c r="E299" i="1168" l="1"/>
  <c r="F301" i="1168"/>
  <c r="A299" i="1168"/>
  <c r="E300" i="1168" l="1"/>
  <c r="F302" i="1168"/>
  <c r="A300" i="1168"/>
  <c r="E301" i="1168" l="1"/>
  <c r="F303" i="1168"/>
  <c r="A301" i="1168"/>
  <c r="E302" i="1168" l="1"/>
  <c r="A302" i="1168" s="1"/>
  <c r="A303" i="1168"/>
  <c r="F304" i="1168"/>
  <c r="E303" i="1168" l="1"/>
  <c r="F305" i="1168"/>
  <c r="E304" i="1168" l="1"/>
  <c r="F306" i="1168"/>
  <c r="E305" i="1168" l="1"/>
  <c r="F307" i="1168"/>
  <c r="A304" i="1168"/>
  <c r="C305" i="1168"/>
  <c r="B305" i="1168"/>
  <c r="E306" i="1168" l="1"/>
  <c r="F308" i="1168"/>
  <c r="A306" i="1168"/>
  <c r="E307" i="1168" l="1"/>
  <c r="F309" i="1168"/>
  <c r="A307" i="1168"/>
  <c r="E308" i="1168" l="1"/>
  <c r="F310" i="1168"/>
  <c r="A308" i="1168"/>
  <c r="E309" i="1168" l="1"/>
  <c r="F311" i="1168"/>
  <c r="A309" i="1168"/>
  <c r="E310" i="1168" l="1"/>
  <c r="F312" i="1168"/>
  <c r="A310" i="1168"/>
  <c r="E311" i="1168" l="1"/>
  <c r="F313" i="1168"/>
  <c r="A311" i="1168"/>
  <c r="E312" i="1168" l="1"/>
  <c r="F314" i="1168"/>
  <c r="A374" i="1168"/>
  <c r="A312" i="1168"/>
  <c r="E313" i="1168" l="1"/>
  <c r="F315" i="1168"/>
  <c r="A313" i="1168"/>
  <c r="E314" i="1168" l="1"/>
  <c r="F316" i="1168"/>
  <c r="A314" i="1168"/>
  <c r="E315" i="1168" l="1"/>
  <c r="F317" i="1168"/>
  <c r="A315" i="1168"/>
  <c r="E316" i="1168" l="1"/>
  <c r="F318" i="1168"/>
  <c r="A316" i="1168"/>
  <c r="E317" i="1168" l="1"/>
  <c r="F319" i="1168"/>
  <c r="A317" i="1168"/>
  <c r="E318" i="1168" l="1"/>
  <c r="F320" i="1168"/>
  <c r="A318" i="1168"/>
  <c r="E319" i="1168" l="1"/>
  <c r="F321" i="1168"/>
  <c r="A319" i="1168"/>
  <c r="E320" i="1168" l="1"/>
  <c r="F322" i="1168"/>
  <c r="A320" i="1168"/>
  <c r="E321" i="1168" l="1"/>
  <c r="F323" i="1168"/>
  <c r="A321" i="1168"/>
  <c r="E322" i="1168" l="1"/>
  <c r="F324" i="1168"/>
  <c r="A322" i="1168"/>
  <c r="E323" i="1168" l="1"/>
  <c r="F325" i="1168"/>
  <c r="A323" i="1168"/>
  <c r="E324" i="1168" l="1"/>
  <c r="F326" i="1168"/>
  <c r="A324" i="1168"/>
  <c r="E325" i="1168" l="1"/>
  <c r="A325" i="1168" s="1"/>
  <c r="A326" i="1168"/>
  <c r="F327" i="1168"/>
  <c r="F328" i="1168" l="1"/>
  <c r="E326" i="1168"/>
  <c r="E327" i="1168" l="1"/>
  <c r="F329" i="1168"/>
  <c r="F330" i="1168" l="1"/>
  <c r="E328" i="1168"/>
  <c r="A327" i="1168"/>
  <c r="C328" i="1168"/>
  <c r="B328" i="1168"/>
  <c r="E329" i="1168" l="1"/>
  <c r="F331" i="1168"/>
  <c r="A329" i="1168"/>
  <c r="E330" i="1168" l="1"/>
  <c r="F332" i="1168"/>
  <c r="A330" i="1168"/>
  <c r="E331" i="1168" l="1"/>
  <c r="F333" i="1168"/>
  <c r="A397" i="1168"/>
  <c r="A331" i="1168"/>
  <c r="E332" i="1168" l="1"/>
  <c r="F334" i="1168"/>
  <c r="A332" i="1168"/>
  <c r="E333" i="1168" l="1"/>
  <c r="F335" i="1168"/>
  <c r="A333" i="1168"/>
  <c r="E334" i="1168" l="1"/>
  <c r="F336" i="1168"/>
  <c r="A334" i="1168"/>
  <c r="E335" i="1168" l="1"/>
  <c r="F337" i="1168"/>
  <c r="A335" i="1168"/>
  <c r="E336" i="1168" l="1"/>
  <c r="F338" i="1168"/>
  <c r="A336" i="1168"/>
  <c r="E337" i="1168" l="1"/>
  <c r="F339" i="1168"/>
  <c r="A337" i="1168"/>
  <c r="E338" i="1168" l="1"/>
  <c r="F340" i="1168"/>
  <c r="A338" i="1168"/>
  <c r="E339" i="1168" l="1"/>
  <c r="F341" i="1168"/>
  <c r="A339" i="1168"/>
  <c r="E340" i="1168" l="1"/>
  <c r="F342" i="1168"/>
  <c r="A340" i="1168"/>
  <c r="E341" i="1168" l="1"/>
  <c r="F343" i="1168"/>
  <c r="A341" i="1168"/>
  <c r="E342" i="1168" l="1"/>
  <c r="F344" i="1168"/>
  <c r="A342" i="1168"/>
  <c r="E343" i="1168" l="1"/>
  <c r="F345" i="1168"/>
  <c r="A343" i="1168"/>
  <c r="E344" i="1168" l="1"/>
  <c r="F346" i="1168"/>
  <c r="A344" i="1168"/>
  <c r="E345" i="1168" l="1"/>
  <c r="F347" i="1168"/>
  <c r="A345" i="1168"/>
  <c r="E346" i="1168" l="1"/>
  <c r="F348" i="1168"/>
  <c r="A346" i="1168"/>
  <c r="E347" i="1168" l="1"/>
  <c r="F349" i="1168"/>
  <c r="A347" i="1168"/>
  <c r="E348" i="1168" l="1"/>
  <c r="A348" i="1168" s="1"/>
  <c r="A349" i="1168"/>
  <c r="F350" i="1168"/>
  <c r="F351" i="1168" l="1"/>
  <c r="E349" i="1168"/>
  <c r="E350" i="1168" l="1"/>
  <c r="F352" i="1168"/>
  <c r="A420" i="1168"/>
  <c r="F353" i="1168" l="1"/>
  <c r="E351" i="1168"/>
  <c r="A350" i="1168"/>
  <c r="B351" i="1168"/>
  <c r="C351" i="1168"/>
  <c r="E352" i="1168" l="1"/>
  <c r="F354" i="1168"/>
  <c r="A352" i="1168"/>
  <c r="E353" i="1168" l="1"/>
  <c r="F355" i="1168"/>
  <c r="A353" i="1168"/>
  <c r="E354" i="1168" l="1"/>
  <c r="F356" i="1168"/>
  <c r="A354" i="1168"/>
  <c r="E355" i="1168" l="1"/>
  <c r="F357" i="1168"/>
  <c r="A355" i="1168"/>
  <c r="E356" i="1168" l="1"/>
  <c r="F358" i="1168"/>
  <c r="A356" i="1168"/>
  <c r="E357" i="1168" l="1"/>
  <c r="F359" i="1168"/>
  <c r="A357" i="1168"/>
  <c r="E358" i="1168" l="1"/>
  <c r="F360" i="1168"/>
  <c r="A358" i="1168"/>
  <c r="E359" i="1168" l="1"/>
  <c r="F361" i="1168"/>
  <c r="A359" i="1168"/>
  <c r="E360" i="1168" l="1"/>
  <c r="F362" i="1168"/>
  <c r="A360" i="1168"/>
  <c r="E361" i="1168" l="1"/>
  <c r="F363" i="1168"/>
  <c r="A361" i="1168"/>
  <c r="E362" i="1168" l="1"/>
  <c r="F364" i="1168"/>
  <c r="A362" i="1168"/>
  <c r="E363" i="1168" l="1"/>
  <c r="F365" i="1168"/>
  <c r="A363" i="1168"/>
  <c r="E364" i="1168" l="1"/>
  <c r="F366" i="1168"/>
  <c r="A364" i="1168"/>
  <c r="E365" i="1168" l="1"/>
  <c r="F367" i="1168"/>
  <c r="A365" i="1168"/>
  <c r="E366" i="1168" l="1"/>
  <c r="F368" i="1168"/>
  <c r="A366" i="1168"/>
  <c r="E367" i="1168" l="1"/>
  <c r="F369" i="1168"/>
  <c r="A367" i="1168"/>
  <c r="E368" i="1168" l="1"/>
  <c r="F370" i="1168"/>
  <c r="A368" i="1168"/>
  <c r="E369" i="1168" l="1"/>
  <c r="F371" i="1168"/>
  <c r="A443" i="1168"/>
  <c r="A369" i="1168"/>
  <c r="E370" i="1168" l="1"/>
  <c r="F372" i="1168"/>
  <c r="A370" i="1168"/>
  <c r="F373" i="1168" l="1"/>
  <c r="E371" i="1168"/>
  <c r="A371" i="1168" s="1"/>
  <c r="A372" i="1168"/>
  <c r="F374" i="1168" l="1"/>
  <c r="E372" i="1168"/>
  <c r="E373" i="1168" l="1"/>
  <c r="F375" i="1168"/>
  <c r="F376" i="1168" l="1"/>
  <c r="E374" i="1168"/>
  <c r="A373" i="1168"/>
  <c r="B374" i="1168"/>
  <c r="C374" i="1168"/>
  <c r="E375" i="1168" l="1"/>
  <c r="F377" i="1168"/>
  <c r="A375" i="1168"/>
  <c r="E376" i="1168" l="1"/>
  <c r="F378" i="1168"/>
  <c r="A376" i="1168"/>
  <c r="E377" i="1168" l="1"/>
  <c r="F379" i="1168"/>
  <c r="A377" i="1168"/>
  <c r="E378" i="1168" l="1"/>
  <c r="F380" i="1168"/>
  <c r="A378" i="1168"/>
  <c r="E379" i="1168" l="1"/>
  <c r="F381" i="1168"/>
  <c r="A379" i="1168"/>
  <c r="E380" i="1168" l="1"/>
  <c r="F382" i="1168"/>
  <c r="A380" i="1168"/>
  <c r="E381" i="1168" l="1"/>
  <c r="F383" i="1168"/>
  <c r="A381" i="1168"/>
  <c r="E382" i="1168" l="1"/>
  <c r="F384" i="1168"/>
  <c r="A382" i="1168"/>
  <c r="E383" i="1168" l="1"/>
  <c r="F385" i="1168"/>
  <c r="A383" i="1168"/>
  <c r="E384" i="1168" l="1"/>
  <c r="F386" i="1168"/>
  <c r="A384" i="1168"/>
  <c r="E385" i="1168" l="1"/>
  <c r="F387" i="1168"/>
  <c r="A385" i="1168"/>
  <c r="E386" i="1168" l="1"/>
  <c r="F388" i="1168"/>
  <c r="A386" i="1168"/>
  <c r="E387" i="1168" l="1"/>
  <c r="F389" i="1168"/>
  <c r="A387" i="1168"/>
  <c r="E388" i="1168" l="1"/>
  <c r="F390" i="1168"/>
  <c r="A466" i="1168"/>
  <c r="A388" i="1168"/>
  <c r="E389" i="1168" l="1"/>
  <c r="F391" i="1168"/>
  <c r="A389" i="1168"/>
  <c r="E390" i="1168" l="1"/>
  <c r="F392" i="1168"/>
  <c r="A390" i="1168"/>
  <c r="E391" i="1168" l="1"/>
  <c r="F393" i="1168"/>
  <c r="A391" i="1168"/>
  <c r="E392" i="1168" l="1"/>
  <c r="F394" i="1168"/>
  <c r="A392" i="1168"/>
  <c r="E393" i="1168" l="1"/>
  <c r="F395" i="1168"/>
  <c r="A393" i="1168"/>
  <c r="E394" i="1168" l="1"/>
  <c r="A394" i="1168" s="1"/>
  <c r="A395" i="1168"/>
  <c r="F396" i="1168"/>
  <c r="F397" i="1168" l="1"/>
  <c r="E395" i="1168"/>
  <c r="E396" i="1168" l="1"/>
  <c r="F398" i="1168"/>
  <c r="F399" i="1168" l="1"/>
  <c r="E397" i="1168"/>
  <c r="A396" i="1168"/>
  <c r="B397" i="1168"/>
  <c r="C397" i="1168"/>
  <c r="E398" i="1168" l="1"/>
  <c r="F400" i="1168"/>
  <c r="A398" i="1168"/>
  <c r="E399" i="1168" l="1"/>
  <c r="F401" i="1168"/>
  <c r="A399" i="1168"/>
  <c r="E400" i="1168" l="1"/>
  <c r="F402" i="1168"/>
  <c r="A400" i="1168"/>
  <c r="E401" i="1168" l="1"/>
  <c r="F403" i="1168"/>
  <c r="A401" i="1168"/>
  <c r="E402" i="1168" l="1"/>
  <c r="F404" i="1168"/>
  <c r="A402" i="1168"/>
  <c r="E403" i="1168" l="1"/>
  <c r="F405" i="1168"/>
  <c r="A403" i="1168"/>
  <c r="E404" i="1168" l="1"/>
  <c r="F406" i="1168"/>
  <c r="A404" i="1168"/>
  <c r="E405" i="1168" l="1"/>
  <c r="F407" i="1168"/>
  <c r="A405" i="1168"/>
  <c r="E406" i="1168" l="1"/>
  <c r="F408" i="1168"/>
  <c r="A406" i="1168"/>
  <c r="E407" i="1168" l="1"/>
  <c r="F409" i="1168"/>
  <c r="A489" i="1168"/>
  <c r="A407" i="1168"/>
  <c r="E408" i="1168" l="1"/>
  <c r="F410" i="1168"/>
  <c r="A408" i="1168"/>
  <c r="E409" i="1168" l="1"/>
  <c r="F411" i="1168"/>
  <c r="A409" i="1168"/>
  <c r="E410" i="1168" l="1"/>
  <c r="F412" i="1168"/>
  <c r="A410" i="1168"/>
  <c r="E411" i="1168" l="1"/>
  <c r="F413" i="1168"/>
  <c r="A411" i="1168"/>
  <c r="E412" i="1168" l="1"/>
  <c r="F414" i="1168"/>
  <c r="A412" i="1168"/>
  <c r="E413" i="1168" l="1"/>
  <c r="F415" i="1168"/>
  <c r="A413" i="1168"/>
  <c r="E414" i="1168" l="1"/>
  <c r="F416" i="1168"/>
  <c r="A414" i="1168"/>
  <c r="E415" i="1168" l="1"/>
  <c r="F417" i="1168"/>
  <c r="A415" i="1168"/>
  <c r="E416" i="1168" l="1"/>
  <c r="F418" i="1168"/>
  <c r="A416" i="1168"/>
  <c r="A418" i="1168" l="1"/>
  <c r="F419" i="1168"/>
  <c r="E417" i="1168"/>
  <c r="A417" i="1168" s="1"/>
  <c r="F420" i="1168" l="1"/>
  <c r="E418" i="1168"/>
  <c r="E419" i="1168" l="1"/>
  <c r="F421" i="1168"/>
  <c r="F422" i="1168" l="1"/>
  <c r="E420" i="1168"/>
  <c r="A419" i="1168"/>
  <c r="B420" i="1168"/>
  <c r="C420" i="1168"/>
  <c r="E421" i="1168" l="1"/>
  <c r="F423" i="1168"/>
  <c r="A421" i="1168"/>
  <c r="E422" i="1168" l="1"/>
  <c r="F424" i="1168"/>
  <c r="A422" i="1168"/>
  <c r="E423" i="1168" l="1"/>
  <c r="F425" i="1168"/>
  <c r="A423" i="1168"/>
  <c r="E424" i="1168" l="1"/>
  <c r="F426" i="1168"/>
  <c r="A424" i="1168"/>
  <c r="E425" i="1168" l="1"/>
  <c r="F427" i="1168"/>
  <c r="A425" i="1168"/>
  <c r="E426" i="1168" l="1"/>
  <c r="F428" i="1168"/>
  <c r="A512" i="1168"/>
  <c r="A426" i="1168"/>
  <c r="E427" i="1168" l="1"/>
  <c r="F429" i="1168"/>
  <c r="A427" i="1168"/>
  <c r="E428" i="1168" l="1"/>
  <c r="F430" i="1168"/>
  <c r="A428" i="1168"/>
  <c r="E429" i="1168" l="1"/>
  <c r="F431" i="1168"/>
  <c r="A429" i="1168"/>
  <c r="E430" i="1168" l="1"/>
  <c r="F432" i="1168"/>
  <c r="A430" i="1168"/>
  <c r="E431" i="1168" l="1"/>
  <c r="F433" i="1168"/>
  <c r="A431" i="1168"/>
  <c r="E432" i="1168" l="1"/>
  <c r="F434" i="1168"/>
  <c r="A432" i="1168"/>
  <c r="E433" i="1168" l="1"/>
  <c r="F435" i="1168"/>
  <c r="A433" i="1168"/>
  <c r="E434" i="1168" l="1"/>
  <c r="F436" i="1168"/>
  <c r="A434" i="1168"/>
  <c r="E435" i="1168" l="1"/>
  <c r="F437" i="1168"/>
  <c r="A435" i="1168"/>
  <c r="E436" i="1168" l="1"/>
  <c r="F438" i="1168"/>
  <c r="A436" i="1168"/>
  <c r="E437" i="1168" l="1"/>
  <c r="F439" i="1168"/>
  <c r="A437" i="1168"/>
  <c r="E438" i="1168" l="1"/>
  <c r="F440" i="1168"/>
  <c r="A438" i="1168"/>
  <c r="E439" i="1168" l="1"/>
  <c r="F441" i="1168"/>
  <c r="A439" i="1168"/>
  <c r="E440" i="1168" l="1"/>
  <c r="A440" i="1168" s="1"/>
  <c r="A441" i="1168"/>
  <c r="F442" i="1168"/>
  <c r="F443" i="1168" l="1"/>
  <c r="E441" i="1168"/>
  <c r="E442" i="1168" l="1"/>
  <c r="F444" i="1168"/>
  <c r="F445" i="1168" l="1"/>
  <c r="E443" i="1168"/>
  <c r="A442" i="1168"/>
  <c r="B443" i="1168"/>
  <c r="C443" i="1168"/>
  <c r="E444" i="1168" l="1"/>
  <c r="F446" i="1168"/>
  <c r="A444" i="1168"/>
  <c r="E445" i="1168" l="1"/>
  <c r="F447" i="1168"/>
  <c r="A535" i="1168"/>
  <c r="A445" i="1168"/>
  <c r="E446" i="1168" l="1"/>
  <c r="F448" i="1168"/>
  <c r="A446" i="1168"/>
  <c r="E447" i="1168" l="1"/>
  <c r="F449" i="1168"/>
  <c r="A447" i="1168"/>
  <c r="E448" i="1168" l="1"/>
  <c r="F450" i="1168"/>
  <c r="A448" i="1168"/>
  <c r="E449" i="1168" l="1"/>
  <c r="F451" i="1168"/>
  <c r="A449" i="1168"/>
  <c r="E450" i="1168" l="1"/>
  <c r="F452" i="1168"/>
  <c r="A450" i="1168"/>
  <c r="E451" i="1168" l="1"/>
  <c r="F453" i="1168"/>
  <c r="A451" i="1168"/>
  <c r="E452" i="1168" l="1"/>
  <c r="F454" i="1168"/>
  <c r="A452" i="1168"/>
  <c r="E453" i="1168" l="1"/>
  <c r="F455" i="1168"/>
  <c r="A453" i="1168"/>
  <c r="E454" i="1168" l="1"/>
  <c r="F456" i="1168"/>
  <c r="A454" i="1168"/>
  <c r="E455" i="1168" l="1"/>
  <c r="F457" i="1168"/>
  <c r="A455" i="1168"/>
  <c r="E456" i="1168" l="1"/>
  <c r="F458" i="1168"/>
  <c r="A456" i="1168"/>
  <c r="E457" i="1168" l="1"/>
  <c r="F459" i="1168"/>
  <c r="A457" i="1168"/>
  <c r="E458" i="1168" l="1"/>
  <c r="F460" i="1168"/>
  <c r="A458" i="1168"/>
  <c r="E459" i="1168" l="1"/>
  <c r="F461" i="1168"/>
  <c r="A459" i="1168"/>
  <c r="E460" i="1168" l="1"/>
  <c r="F462" i="1168"/>
  <c r="A460" i="1168"/>
  <c r="E461" i="1168" l="1"/>
  <c r="F463" i="1168"/>
  <c r="A461" i="1168"/>
  <c r="E462" i="1168" l="1"/>
  <c r="F464" i="1168"/>
  <c r="A462" i="1168"/>
  <c r="E463" i="1168" l="1"/>
  <c r="A463" i="1168" s="1"/>
  <c r="F465" i="1168"/>
  <c r="A464" i="1168"/>
  <c r="F466" i="1168" l="1"/>
  <c r="E464" i="1168"/>
  <c r="A558" i="1168"/>
  <c r="E465" i="1168" l="1"/>
  <c r="F467" i="1168"/>
  <c r="F468" i="1168" l="1"/>
  <c r="E466" i="1168"/>
  <c r="A465" i="1168"/>
  <c r="B466" i="1168"/>
  <c r="C466" i="1168"/>
  <c r="E467" i="1168" l="1"/>
  <c r="F469" i="1168"/>
  <c r="A467" i="1168"/>
  <c r="E468" i="1168" l="1"/>
  <c r="F470" i="1168"/>
  <c r="A468" i="1168"/>
  <c r="E469" i="1168" l="1"/>
  <c r="F471" i="1168"/>
  <c r="A469" i="1168"/>
  <c r="E470" i="1168" l="1"/>
  <c r="F472" i="1168"/>
  <c r="A470" i="1168"/>
  <c r="E471" i="1168" l="1"/>
  <c r="F473" i="1168"/>
  <c r="A471" i="1168"/>
  <c r="E472" i="1168" l="1"/>
  <c r="F474" i="1168"/>
  <c r="A472" i="1168"/>
  <c r="E473" i="1168" l="1"/>
  <c r="F475" i="1168"/>
  <c r="A473" i="1168"/>
  <c r="E474" i="1168" l="1"/>
  <c r="F476" i="1168"/>
  <c r="A474" i="1168"/>
  <c r="E475" i="1168" l="1"/>
  <c r="F477" i="1168"/>
  <c r="A475" i="1168"/>
  <c r="E476" i="1168" l="1"/>
  <c r="F478" i="1168"/>
  <c r="A476" i="1168"/>
  <c r="E477" i="1168" l="1"/>
  <c r="F479" i="1168"/>
  <c r="A477" i="1168"/>
  <c r="E478" i="1168" l="1"/>
  <c r="F480" i="1168"/>
  <c r="A478" i="1168"/>
  <c r="E479" i="1168" l="1"/>
  <c r="F481" i="1168"/>
  <c r="A479" i="1168"/>
  <c r="E480" i="1168" l="1"/>
  <c r="F482" i="1168"/>
  <c r="A480" i="1168"/>
  <c r="E481" i="1168" l="1"/>
  <c r="F483" i="1168"/>
  <c r="A481" i="1168"/>
  <c r="E482" i="1168" l="1"/>
  <c r="F484" i="1168"/>
  <c r="A482" i="1168"/>
  <c r="E483" i="1168" l="1"/>
  <c r="F485" i="1168"/>
  <c r="A581" i="1168"/>
  <c r="A483" i="1168"/>
  <c r="E484" i="1168" l="1"/>
  <c r="F486" i="1168"/>
  <c r="A484" i="1168"/>
  <c r="E485" i="1168" l="1"/>
  <c r="F487" i="1168"/>
  <c r="A485" i="1168"/>
  <c r="E486" i="1168" l="1"/>
  <c r="A486" i="1168" s="1"/>
  <c r="A487" i="1168"/>
  <c r="F488" i="1168"/>
  <c r="F489" i="1168" l="1"/>
  <c r="E487" i="1168"/>
  <c r="F490" i="1168" l="1"/>
  <c r="E488" i="1168"/>
  <c r="B489" i="1168" l="1"/>
  <c r="C489" i="1168"/>
  <c r="A488" i="1168"/>
  <c r="F491" i="1168"/>
  <c r="E489" i="1168"/>
  <c r="E490" i="1168" l="1"/>
  <c r="F492" i="1168"/>
  <c r="A490" i="1168"/>
  <c r="E491" i="1168" l="1"/>
  <c r="F493" i="1168"/>
  <c r="A491" i="1168"/>
  <c r="E492" i="1168" l="1"/>
  <c r="F494" i="1168"/>
  <c r="A492" i="1168"/>
  <c r="E493" i="1168" l="1"/>
  <c r="F495" i="1168"/>
  <c r="A493" i="1168"/>
  <c r="E494" i="1168" l="1"/>
  <c r="F496" i="1168"/>
  <c r="A494" i="1168"/>
  <c r="E495" i="1168" l="1"/>
  <c r="F497" i="1168"/>
  <c r="A495" i="1168"/>
  <c r="E496" i="1168" l="1"/>
  <c r="F498" i="1168"/>
  <c r="A496" i="1168"/>
  <c r="E497" i="1168" l="1"/>
  <c r="F499" i="1168"/>
  <c r="A497" i="1168"/>
  <c r="E498" i="1168" l="1"/>
  <c r="F500" i="1168"/>
  <c r="A498" i="1168"/>
  <c r="E499" i="1168" l="1"/>
  <c r="F501" i="1168"/>
  <c r="A499" i="1168"/>
  <c r="E500" i="1168" l="1"/>
  <c r="F502" i="1168"/>
  <c r="A500" i="1168"/>
  <c r="E501" i="1168" l="1"/>
  <c r="F503" i="1168"/>
  <c r="A501" i="1168"/>
  <c r="E502" i="1168" l="1"/>
  <c r="F504" i="1168"/>
  <c r="B1" i="1714"/>
  <c r="D4" i="1714" s="1"/>
  <c r="F2" i="1714"/>
  <c r="A7" i="1714"/>
  <c r="B7" i="1714"/>
  <c r="C7" i="1714"/>
  <c r="E7" i="1714"/>
  <c r="F7" i="1714"/>
  <c r="A8" i="1714"/>
  <c r="B8" i="1714"/>
  <c r="C8" i="1714"/>
  <c r="E8" i="1714"/>
  <c r="F8" i="1714"/>
  <c r="A9" i="1714"/>
  <c r="B9" i="1714"/>
  <c r="C9" i="1714"/>
  <c r="E9" i="1714"/>
  <c r="F9" i="1714"/>
  <c r="A10" i="1714"/>
  <c r="B10" i="1714"/>
  <c r="C10" i="1714"/>
  <c r="E10" i="1714"/>
  <c r="F10" i="1714"/>
  <c r="A11" i="1714"/>
  <c r="B11" i="1714"/>
  <c r="C11" i="1714"/>
  <c r="E11" i="1714"/>
  <c r="F11" i="1714"/>
  <c r="A12" i="1714"/>
  <c r="B12" i="1714"/>
  <c r="C12" i="1714"/>
  <c r="E12" i="1714"/>
  <c r="F12" i="1714"/>
  <c r="A13" i="1714"/>
  <c r="B13" i="1714"/>
  <c r="C13" i="1714"/>
  <c r="E13" i="1714"/>
  <c r="F13" i="1714"/>
  <c r="A14" i="1714"/>
  <c r="B14" i="1714"/>
  <c r="C14" i="1714"/>
  <c r="E14" i="1714"/>
  <c r="F14" i="1714"/>
  <c r="A15" i="1714"/>
  <c r="B15" i="1714"/>
  <c r="C15" i="1714"/>
  <c r="E15" i="1714"/>
  <c r="F15" i="1714"/>
  <c r="A16" i="1714"/>
  <c r="B16" i="1714"/>
  <c r="C16" i="1714"/>
  <c r="E16" i="1714"/>
  <c r="F16" i="1714"/>
  <c r="A19" i="1714"/>
  <c r="B19" i="1714"/>
  <c r="C19" i="1714"/>
  <c r="E19" i="1714"/>
  <c r="F19" i="1714"/>
  <c r="A20" i="1714"/>
  <c r="B20" i="1714"/>
  <c r="C20" i="1714"/>
  <c r="E20" i="1714"/>
  <c r="F20" i="1714"/>
  <c r="E3" i="1164"/>
  <c r="D5" i="1164"/>
  <c r="B6" i="1164"/>
  <c r="C6" i="1164" s="1"/>
  <c r="E6" i="1164"/>
  <c r="B7" i="1164"/>
  <c r="C7" i="1164" s="1"/>
  <c r="B8" i="1164"/>
  <c r="C8" i="1164" s="1"/>
  <c r="E8" i="1164"/>
  <c r="B9" i="1164"/>
  <c r="C9" i="1164" s="1"/>
  <c r="B10" i="1164"/>
  <c r="C10" i="1164" s="1"/>
  <c r="E10" i="1164"/>
  <c r="B11" i="1164"/>
  <c r="C11" i="1164" s="1"/>
  <c r="B12" i="1164"/>
  <c r="C12" i="1164" s="1"/>
  <c r="E12" i="1164"/>
  <c r="B13" i="1164"/>
  <c r="C13" i="1164" s="1"/>
  <c r="D15" i="1164"/>
  <c r="B16" i="1164"/>
  <c r="C16" i="1164" s="1"/>
  <c r="D16" i="1164"/>
  <c r="E16" i="1164"/>
  <c r="B17" i="1164"/>
  <c r="C17" i="1164" s="1"/>
  <c r="E17" i="1164"/>
  <c r="B18" i="1164"/>
  <c r="C18" i="1164" s="1"/>
  <c r="D18" i="1164"/>
  <c r="E18" i="1164"/>
  <c r="B19" i="1164"/>
  <c r="C19" i="1164" s="1"/>
  <c r="E19" i="1164"/>
  <c r="B20" i="1164"/>
  <c r="C20" i="1164" s="1"/>
  <c r="D20" i="1164"/>
  <c r="E20" i="1164"/>
  <c r="B21" i="1164"/>
  <c r="C21" i="1164" s="1"/>
  <c r="B22" i="1164"/>
  <c r="C22" i="1164" s="1"/>
  <c r="D22" i="1164"/>
  <c r="E22" i="1164"/>
  <c r="B1" i="1165"/>
  <c r="D1" i="1165"/>
  <c r="A502" i="1168"/>
  <c r="B2" i="1165" a="1"/>
  <c r="D9" i="1714" l="1"/>
  <c r="D13" i="1714"/>
  <c r="D19" i="1714"/>
  <c r="D20" i="1714"/>
  <c r="D8" i="1714"/>
  <c r="D12" i="1714"/>
  <c r="D16" i="1714"/>
  <c r="D7" i="1714"/>
  <c r="D11" i="1714"/>
  <c r="D15" i="1714"/>
  <c r="D14" i="1714"/>
  <c r="D10" i="1714"/>
  <c r="D12" i="1164"/>
  <c r="D10" i="1164"/>
  <c r="D8" i="1164"/>
  <c r="D6" i="1164"/>
  <c r="D21" i="1164"/>
  <c r="D19" i="1164"/>
  <c r="D17" i="1164"/>
  <c r="E13" i="1164"/>
  <c r="E11" i="1164"/>
  <c r="E9" i="1164"/>
  <c r="E7" i="1164"/>
  <c r="E21" i="1164"/>
  <c r="D13" i="1164"/>
  <c r="D11" i="1164"/>
  <c r="D9" i="1164"/>
  <c r="D7" i="1164"/>
  <c r="E503" i="1168"/>
  <c r="F505" i="1168"/>
  <c r="B2" i="1165"/>
  <c r="I3" i="1165"/>
  <c r="H5" i="1165"/>
  <c r="I5" i="1165"/>
  <c r="B6" i="1165"/>
  <c r="C6" i="1165"/>
  <c r="D6" i="1165"/>
  <c r="E6" i="1165"/>
  <c r="F6" i="1165"/>
  <c r="G6" i="1165"/>
  <c r="H6" i="1165"/>
  <c r="I6" i="1165"/>
  <c r="B7" i="1165"/>
  <c r="C7" i="1165"/>
  <c r="D7" i="1165"/>
  <c r="E7" i="1165"/>
  <c r="F7" i="1165"/>
  <c r="G7" i="1165"/>
  <c r="H7" i="1165"/>
  <c r="I7" i="1165"/>
  <c r="B8" i="1165"/>
  <c r="C8" i="1165"/>
  <c r="D8" i="1165"/>
  <c r="E8" i="1165"/>
  <c r="F8" i="1165"/>
  <c r="G8" i="1165"/>
  <c r="H8" i="1165"/>
  <c r="I8" i="1165"/>
  <c r="B9" i="1165"/>
  <c r="C9" i="1165"/>
  <c r="D9" i="1165"/>
  <c r="E9" i="1165"/>
  <c r="F9" i="1165"/>
  <c r="G9" i="1165"/>
  <c r="H9" i="1165"/>
  <c r="I9" i="1165"/>
  <c r="K1" i="718"/>
  <c r="C5" i="718"/>
  <c r="B7" i="718" a="1"/>
  <c r="B10" i="718" s="1"/>
  <c r="O31" i="718"/>
  <c r="K1" i="82"/>
  <c r="C5" i="82"/>
  <c r="U28" i="82"/>
  <c r="O32" i="82"/>
  <c r="B33" i="82"/>
  <c r="L1" i="802"/>
  <c r="B5" i="802"/>
  <c r="C5" i="802"/>
  <c r="F5" i="802"/>
  <c r="D6" i="802"/>
  <c r="A503" i="1168"/>
  <c r="B14" i="718" l="1"/>
  <c r="B25" i="718"/>
  <c r="B17" i="718"/>
  <c r="B9" i="718"/>
  <c r="B24" i="718"/>
  <c r="B16" i="718"/>
  <c r="B8" i="718"/>
  <c r="B23" i="718"/>
  <c r="B15" i="718"/>
  <c r="B7" i="718"/>
  <c r="E504" i="1168"/>
  <c r="F506" i="1168"/>
  <c r="B21" i="718"/>
  <c r="B13" i="718"/>
  <c r="B20" i="718"/>
  <c r="B12" i="718"/>
  <c r="B22" i="718"/>
  <c r="B19" i="718"/>
  <c r="B11" i="718"/>
  <c r="B26" i="718"/>
  <c r="B18" i="718"/>
  <c r="D7" i="802"/>
  <c r="A504" i="1168"/>
  <c r="E505" i="1168" l="1"/>
  <c r="F507" i="1168"/>
  <c r="C8" i="802"/>
  <c r="D8" i="802"/>
  <c r="A505" i="1168"/>
  <c r="E506" i="1168" l="1"/>
  <c r="F508" i="1168"/>
  <c r="C9" i="802"/>
  <c r="D9" i="802"/>
  <c r="A506" i="1168"/>
  <c r="E507" i="1168" l="1"/>
  <c r="F509" i="1168"/>
  <c r="C10" i="802"/>
  <c r="D10" i="802"/>
  <c r="A507" i="1168"/>
  <c r="E508" i="1168" l="1"/>
  <c r="F510" i="1168"/>
  <c r="C11" i="802"/>
  <c r="D11" i="802"/>
  <c r="A508" i="1168"/>
  <c r="E509" i="1168" l="1"/>
  <c r="A509" i="1168" s="1"/>
  <c r="A510" i="1168"/>
  <c r="F511" i="1168"/>
  <c r="C12" i="802"/>
  <c r="D12" i="802"/>
  <c r="F512" i="1168" l="1"/>
  <c r="E510" i="1168"/>
  <c r="C13" i="802"/>
  <c r="D13" i="802"/>
  <c r="E511" i="1168" l="1"/>
  <c r="F513" i="1168"/>
  <c r="C14" i="802"/>
  <c r="D14" i="802"/>
  <c r="F514" i="1168" l="1"/>
  <c r="E512" i="1168"/>
  <c r="A511" i="1168"/>
  <c r="B512" i="1168"/>
  <c r="C512" i="1168"/>
  <c r="C15" i="802"/>
  <c r="D15" i="802"/>
  <c r="E513" i="1168" l="1"/>
  <c r="F515" i="1168"/>
  <c r="C16" i="802"/>
  <c r="D16" i="802"/>
  <c r="A513" i="1168"/>
  <c r="E514" i="1168" l="1"/>
  <c r="F516" i="1168"/>
  <c r="B1" i="1167"/>
  <c r="D1" i="1167"/>
  <c r="A514" i="1168"/>
  <c r="M2" i="1167" a="1"/>
  <c r="E515" i="1168" l="1"/>
  <c r="F517" i="1168"/>
  <c r="M2" i="1167"/>
  <c r="M1" i="1167"/>
  <c r="P1" i="1167"/>
  <c r="B2" i="1167"/>
  <c r="C2" i="1167"/>
  <c r="D2" i="1167"/>
  <c r="E2" i="1167"/>
  <c r="F2" i="1167"/>
  <c r="G2" i="1167"/>
  <c r="H2" i="1167"/>
  <c r="H3" i="1167"/>
  <c r="F5" i="1167"/>
  <c r="I5" i="1167"/>
  <c r="J5" i="1167"/>
  <c r="L5" i="1167"/>
  <c r="H6" i="1167"/>
  <c r="C6" i="1167"/>
  <c r="B6" i="1167"/>
  <c r="F6" i="1167"/>
  <c r="G6" i="1167"/>
  <c r="A515" i="1168"/>
  <c r="M5" i="1167"/>
  <c r="N5" i="1167"/>
  <c r="O5" i="1167"/>
  <c r="P5" i="1167"/>
  <c r="Q5" i="1167"/>
  <c r="R5" i="1167"/>
  <c r="S5" i="1167"/>
  <c r="T5" i="1167"/>
  <c r="U5" i="1167"/>
  <c r="V5" i="1167"/>
  <c r="W5" i="1167"/>
  <c r="X5" i="1167"/>
  <c r="Y5" i="1167"/>
  <c r="Z5" i="1167"/>
  <c r="D6" i="1167"/>
  <c r="E6" i="1167"/>
  <c r="E516" i="1168" l="1"/>
  <c r="F518" i="1168"/>
  <c r="I6" i="1167"/>
  <c r="J6" i="1167"/>
  <c r="L6" i="1167"/>
  <c r="C7" i="1167"/>
  <c r="H7" i="1167"/>
  <c r="B7" i="1167"/>
  <c r="F7" i="1167"/>
  <c r="D7" i="1167"/>
  <c r="G7" i="1167"/>
  <c r="E7" i="1167"/>
  <c r="A516" i="1168"/>
  <c r="M6" i="1167"/>
  <c r="N6" i="1167"/>
  <c r="O6" i="1167"/>
  <c r="P6" i="1167"/>
  <c r="Q6" i="1167"/>
  <c r="R6" i="1167"/>
  <c r="S6" i="1167"/>
  <c r="T6" i="1167"/>
  <c r="U6" i="1167"/>
  <c r="V6" i="1167"/>
  <c r="W6" i="1167"/>
  <c r="X6" i="1167"/>
  <c r="Y6" i="1167"/>
  <c r="Z6" i="1167"/>
  <c r="E517" i="1168" l="1"/>
  <c r="F519" i="1168"/>
  <c r="I7" i="1167"/>
  <c r="J7" i="1167"/>
  <c r="L7" i="1167"/>
  <c r="B8" i="1167"/>
  <c r="H8" i="1167"/>
  <c r="E8" i="1167"/>
  <c r="D8" i="1167"/>
  <c r="C8" i="1167"/>
  <c r="F8" i="1167"/>
  <c r="G8" i="1167"/>
  <c r="A517" i="1168"/>
  <c r="M7" i="1167"/>
  <c r="N7" i="1167"/>
  <c r="O7" i="1167"/>
  <c r="P7" i="1167"/>
  <c r="Q7" i="1167"/>
  <c r="R7" i="1167"/>
  <c r="S7" i="1167"/>
  <c r="T7" i="1167"/>
  <c r="U7" i="1167"/>
  <c r="V7" i="1167"/>
  <c r="W7" i="1167"/>
  <c r="X7" i="1167"/>
  <c r="Y7" i="1167"/>
  <c r="Z7" i="1167"/>
  <c r="E518" i="1168" l="1"/>
  <c r="F520" i="1168"/>
  <c r="I8" i="1167"/>
  <c r="J8" i="1167" s="1"/>
  <c r="L8" i="1167"/>
  <c r="B9" i="1167"/>
  <c r="H9" i="1167"/>
  <c r="C9" i="1167"/>
  <c r="E9" i="1167"/>
  <c r="D9" i="1167"/>
  <c r="G9" i="1167"/>
  <c r="F9" i="1167"/>
  <c r="A518" i="1168"/>
  <c r="M8" i="1167"/>
  <c r="N8" i="1167"/>
  <c r="O8" i="1167"/>
  <c r="P8" i="1167"/>
  <c r="Q8" i="1167"/>
  <c r="R8" i="1167"/>
  <c r="S8" i="1167"/>
  <c r="T8" i="1167"/>
  <c r="U8" i="1167"/>
  <c r="V8" i="1167"/>
  <c r="W8" i="1167"/>
  <c r="X8" i="1167"/>
  <c r="Y8" i="1167"/>
  <c r="Z8" i="1167"/>
  <c r="E519" i="1168" l="1"/>
  <c r="F521" i="1168"/>
  <c r="I9" i="1167"/>
  <c r="J9" i="1167"/>
  <c r="L9" i="1167"/>
  <c r="C10" i="1167"/>
  <c r="H10" i="1167"/>
  <c r="B10" i="1167"/>
  <c r="F10" i="1167"/>
  <c r="E10" i="1167"/>
  <c r="A519" i="1168"/>
  <c r="M9" i="1167"/>
  <c r="N9" i="1167"/>
  <c r="O9" i="1167"/>
  <c r="P9" i="1167"/>
  <c r="Q9" i="1167"/>
  <c r="R9" i="1167"/>
  <c r="S9" i="1167"/>
  <c r="T9" i="1167"/>
  <c r="U9" i="1167"/>
  <c r="V9" i="1167"/>
  <c r="W9" i="1167"/>
  <c r="X9" i="1167"/>
  <c r="Y9" i="1167"/>
  <c r="Z9" i="1167"/>
  <c r="D10" i="1167"/>
  <c r="G10" i="1167"/>
  <c r="E520" i="1168" l="1"/>
  <c r="F522" i="1168"/>
  <c r="L10" i="1167"/>
  <c r="A520" i="1168"/>
  <c r="M10" i="1167"/>
  <c r="N10" i="1167"/>
  <c r="O10" i="1167"/>
  <c r="P10" i="1167"/>
  <c r="Q10" i="1167"/>
  <c r="R10" i="1167"/>
  <c r="S10" i="1167"/>
  <c r="T10" i="1167"/>
  <c r="U10" i="1167"/>
  <c r="V10" i="1167"/>
  <c r="W10" i="1167"/>
  <c r="X10" i="1167"/>
  <c r="Y10" i="1167"/>
  <c r="Z10" i="1167"/>
  <c r="E521" i="1168" l="1"/>
  <c r="F523" i="1168"/>
  <c r="L11" i="1167"/>
  <c r="A521" i="1168"/>
  <c r="M11" i="1167"/>
  <c r="N11" i="1167"/>
  <c r="O11" i="1167"/>
  <c r="P11" i="1167"/>
  <c r="Q11" i="1167"/>
  <c r="R11" i="1167"/>
  <c r="S11" i="1167"/>
  <c r="T11" i="1167"/>
  <c r="U11" i="1167"/>
  <c r="V11" i="1167"/>
  <c r="W11" i="1167"/>
  <c r="X11" i="1167"/>
  <c r="Y11" i="1167"/>
  <c r="Z11" i="1167"/>
  <c r="E522" i="1168" l="1"/>
  <c r="F524" i="1168"/>
  <c r="L12" i="1167"/>
  <c r="A522" i="1168"/>
  <c r="M12" i="1167"/>
  <c r="N12" i="1167"/>
  <c r="O12" i="1167"/>
  <c r="P12" i="1167"/>
  <c r="Q12" i="1167"/>
  <c r="R12" i="1167"/>
  <c r="S12" i="1167"/>
  <c r="T12" i="1167"/>
  <c r="U12" i="1167"/>
  <c r="V12" i="1167"/>
  <c r="W12" i="1167"/>
  <c r="X12" i="1167"/>
  <c r="Y12" i="1167"/>
  <c r="Z12" i="1167"/>
  <c r="E523" i="1168" l="1"/>
  <c r="F525" i="1168"/>
  <c r="L13" i="1167"/>
  <c r="A523" i="1168"/>
  <c r="M13" i="1167"/>
  <c r="N13" i="1167"/>
  <c r="O13" i="1167"/>
  <c r="P13" i="1167"/>
  <c r="Q13" i="1167"/>
  <c r="R13" i="1167"/>
  <c r="S13" i="1167"/>
  <c r="T13" i="1167"/>
  <c r="U13" i="1167"/>
  <c r="V13" i="1167"/>
  <c r="W13" i="1167"/>
  <c r="X13" i="1167"/>
  <c r="Y13" i="1167"/>
  <c r="Z13" i="1167"/>
  <c r="E524" i="1168" l="1"/>
  <c r="F526" i="1168"/>
  <c r="L14" i="1167"/>
  <c r="A524" i="1168"/>
  <c r="M14" i="1167"/>
  <c r="N14" i="1167"/>
  <c r="O14" i="1167"/>
  <c r="P14" i="1167"/>
  <c r="Q14" i="1167"/>
  <c r="R14" i="1167"/>
  <c r="S14" i="1167"/>
  <c r="T14" i="1167"/>
  <c r="U14" i="1167"/>
  <c r="V14" i="1167"/>
  <c r="W14" i="1167"/>
  <c r="X14" i="1167"/>
  <c r="Y14" i="1167"/>
  <c r="Z14" i="1167"/>
  <c r="E525" i="1168" l="1"/>
  <c r="F527" i="1168"/>
  <c r="L15" i="1167"/>
  <c r="A525" i="1168"/>
  <c r="M15" i="1167"/>
  <c r="N15" i="1167"/>
  <c r="O15" i="1167"/>
  <c r="P15" i="1167"/>
  <c r="Q15" i="1167"/>
  <c r="R15" i="1167"/>
  <c r="S15" i="1167"/>
  <c r="T15" i="1167"/>
  <c r="U15" i="1167"/>
  <c r="V15" i="1167"/>
  <c r="W15" i="1167"/>
  <c r="X15" i="1167"/>
  <c r="Y15" i="1167"/>
  <c r="Z15" i="1167"/>
  <c r="E526" i="1168" l="1"/>
  <c r="F528" i="1168"/>
  <c r="L16" i="1167"/>
  <c r="A526" i="1168"/>
  <c r="M16" i="1167"/>
  <c r="N16" i="1167"/>
  <c r="O16" i="1167"/>
  <c r="P16" i="1167"/>
  <c r="Q16" i="1167"/>
  <c r="R16" i="1167"/>
  <c r="S16" i="1167"/>
  <c r="T16" i="1167"/>
  <c r="U16" i="1167"/>
  <c r="V16" i="1167"/>
  <c r="W16" i="1167"/>
  <c r="X16" i="1167"/>
  <c r="Y16" i="1167"/>
  <c r="Z16" i="1167"/>
  <c r="E527" i="1168" l="1"/>
  <c r="F529" i="1168"/>
  <c r="L17" i="1167"/>
  <c r="A527" i="1168"/>
  <c r="M17" i="1167"/>
  <c r="N17" i="1167"/>
  <c r="O17" i="1167"/>
  <c r="P17" i="1167"/>
  <c r="Q17" i="1167"/>
  <c r="R17" i="1167"/>
  <c r="S17" i="1167"/>
  <c r="T17" i="1167"/>
  <c r="U17" i="1167"/>
  <c r="V17" i="1167"/>
  <c r="W17" i="1167"/>
  <c r="X17" i="1167"/>
  <c r="Y17" i="1167"/>
  <c r="Z17" i="1167"/>
  <c r="E528" i="1168" l="1"/>
  <c r="F530" i="1168"/>
  <c r="L18" i="1167"/>
  <c r="A528" i="1168"/>
  <c r="M18" i="1167"/>
  <c r="N18" i="1167"/>
  <c r="O18" i="1167"/>
  <c r="P18" i="1167"/>
  <c r="Q18" i="1167"/>
  <c r="R18" i="1167"/>
  <c r="S18" i="1167"/>
  <c r="T18" i="1167"/>
  <c r="U18" i="1167"/>
  <c r="V18" i="1167"/>
  <c r="W18" i="1167"/>
  <c r="X18" i="1167"/>
  <c r="Y18" i="1167"/>
  <c r="Z18" i="1167"/>
  <c r="E529" i="1168" l="1"/>
  <c r="F531" i="1168"/>
  <c r="L19" i="1167"/>
  <c r="A529" i="1168"/>
  <c r="M19" i="1167"/>
  <c r="N19" i="1167"/>
  <c r="O19" i="1167"/>
  <c r="P19" i="1167"/>
  <c r="Q19" i="1167"/>
  <c r="R19" i="1167"/>
  <c r="S19" i="1167"/>
  <c r="T19" i="1167"/>
  <c r="U19" i="1167"/>
  <c r="V19" i="1167"/>
  <c r="W19" i="1167"/>
  <c r="X19" i="1167"/>
  <c r="Y19" i="1167"/>
  <c r="Z19" i="1167"/>
  <c r="E530" i="1168" l="1"/>
  <c r="F532" i="1168"/>
  <c r="L20" i="1167"/>
  <c r="A530" i="1168"/>
  <c r="M20" i="1167"/>
  <c r="N20" i="1167"/>
  <c r="O20" i="1167"/>
  <c r="P20" i="1167"/>
  <c r="Q20" i="1167"/>
  <c r="R20" i="1167"/>
  <c r="S20" i="1167"/>
  <c r="T20" i="1167"/>
  <c r="U20" i="1167"/>
  <c r="V20" i="1167"/>
  <c r="W20" i="1167"/>
  <c r="X20" i="1167"/>
  <c r="Y20" i="1167"/>
  <c r="Z20" i="1167"/>
  <c r="E531" i="1168" l="1"/>
  <c r="F533" i="1168"/>
  <c r="L21" i="1167"/>
  <c r="A531" i="1168"/>
  <c r="M21" i="1167"/>
  <c r="N21" i="1167"/>
  <c r="O21" i="1167"/>
  <c r="P21" i="1167"/>
  <c r="Q21" i="1167"/>
  <c r="R21" i="1167"/>
  <c r="S21" i="1167"/>
  <c r="T21" i="1167"/>
  <c r="U21" i="1167"/>
  <c r="V21" i="1167"/>
  <c r="W21" i="1167"/>
  <c r="X21" i="1167"/>
  <c r="Y21" i="1167"/>
  <c r="Z21" i="1167"/>
  <c r="E532" i="1168" l="1"/>
  <c r="A532" i="1168" s="1"/>
  <c r="F534" i="1168"/>
  <c r="A533" i="1168"/>
  <c r="L22" i="1167"/>
  <c r="M22" i="1167"/>
  <c r="N22" i="1167"/>
  <c r="O22" i="1167"/>
  <c r="P22" i="1167"/>
  <c r="Q22" i="1167"/>
  <c r="R22" i="1167"/>
  <c r="S22" i="1167"/>
  <c r="T22" i="1167"/>
  <c r="U22" i="1167"/>
  <c r="V22" i="1167"/>
  <c r="W22" i="1167"/>
  <c r="X22" i="1167"/>
  <c r="Y22" i="1167"/>
  <c r="Z22" i="1167"/>
  <c r="F535" i="1168" l="1"/>
  <c r="E533" i="1168"/>
  <c r="L23" i="1167"/>
  <c r="M23" i="1167"/>
  <c r="N23" i="1167"/>
  <c r="O23" i="1167"/>
  <c r="P23" i="1167"/>
  <c r="Q23" i="1167"/>
  <c r="R23" i="1167"/>
  <c r="S23" i="1167"/>
  <c r="T23" i="1167"/>
  <c r="U23" i="1167"/>
  <c r="V23" i="1167"/>
  <c r="W23" i="1167"/>
  <c r="X23" i="1167"/>
  <c r="Y23" i="1167"/>
  <c r="Z23" i="1167"/>
  <c r="E534" i="1168" l="1"/>
  <c r="F536" i="1168"/>
  <c r="L24" i="1167"/>
  <c r="M24" i="1167"/>
  <c r="N24" i="1167"/>
  <c r="O24" i="1167"/>
  <c r="P24" i="1167"/>
  <c r="Q24" i="1167"/>
  <c r="R24" i="1167"/>
  <c r="S24" i="1167"/>
  <c r="T24" i="1167"/>
  <c r="U24" i="1167"/>
  <c r="V24" i="1167"/>
  <c r="W24" i="1167"/>
  <c r="X24" i="1167"/>
  <c r="Y24" i="1167"/>
  <c r="Z24" i="1167"/>
  <c r="F537" i="1168" l="1"/>
  <c r="E535" i="1168"/>
  <c r="A534" i="1168"/>
  <c r="B535" i="1168"/>
  <c r="C535" i="1168"/>
  <c r="L25" i="1167"/>
  <c r="M25" i="1167"/>
  <c r="N25" i="1167"/>
  <c r="O25" i="1167"/>
  <c r="P25" i="1167"/>
  <c r="Q25" i="1167"/>
  <c r="R25" i="1167"/>
  <c r="S25" i="1167"/>
  <c r="T25" i="1167"/>
  <c r="U25" i="1167"/>
  <c r="V25" i="1167"/>
  <c r="W25" i="1167"/>
  <c r="X25" i="1167"/>
  <c r="Y25" i="1167"/>
  <c r="Z25" i="1167"/>
  <c r="E536" i="1168" l="1"/>
  <c r="F538" i="1168"/>
  <c r="L26" i="1167"/>
  <c r="A536" i="1168"/>
  <c r="M26" i="1167"/>
  <c r="N26" i="1167"/>
  <c r="O26" i="1167"/>
  <c r="P26" i="1167"/>
  <c r="Q26" i="1167"/>
  <c r="R26" i="1167"/>
  <c r="S26" i="1167"/>
  <c r="T26" i="1167"/>
  <c r="U26" i="1167"/>
  <c r="V26" i="1167"/>
  <c r="W26" i="1167"/>
  <c r="X26" i="1167"/>
  <c r="Y26" i="1167"/>
  <c r="Z26" i="1167"/>
  <c r="E537" i="1168" l="1"/>
  <c r="F539" i="1168"/>
  <c r="L27" i="1167"/>
  <c r="A537" i="1168"/>
  <c r="M27" i="1167"/>
  <c r="N27" i="1167"/>
  <c r="O27" i="1167"/>
  <c r="P27" i="1167"/>
  <c r="Q27" i="1167"/>
  <c r="R27" i="1167"/>
  <c r="S27" i="1167"/>
  <c r="T27" i="1167"/>
  <c r="U27" i="1167"/>
  <c r="V27" i="1167"/>
  <c r="W27" i="1167"/>
  <c r="X27" i="1167"/>
  <c r="Y27" i="1167"/>
  <c r="Z27" i="1167"/>
  <c r="E538" i="1168" l="1"/>
  <c r="F540" i="1168"/>
  <c r="L28" i="1167"/>
  <c r="A538" i="1168"/>
  <c r="M28" i="1167"/>
  <c r="N28" i="1167"/>
  <c r="O28" i="1167"/>
  <c r="P28" i="1167"/>
  <c r="Q28" i="1167"/>
  <c r="R28" i="1167"/>
  <c r="S28" i="1167"/>
  <c r="T28" i="1167"/>
  <c r="U28" i="1167"/>
  <c r="V28" i="1167"/>
  <c r="W28" i="1167"/>
  <c r="X28" i="1167"/>
  <c r="Y28" i="1167"/>
  <c r="Z28" i="1167"/>
  <c r="E539" i="1168" l="1"/>
  <c r="F541" i="1168"/>
  <c r="L29" i="1167"/>
  <c r="A539" i="1168"/>
  <c r="M29" i="1167"/>
  <c r="N29" i="1167"/>
  <c r="O29" i="1167"/>
  <c r="P29" i="1167"/>
  <c r="Q29" i="1167"/>
  <c r="R29" i="1167"/>
  <c r="S29" i="1167"/>
  <c r="T29" i="1167"/>
  <c r="U29" i="1167"/>
  <c r="V29" i="1167"/>
  <c r="W29" i="1167"/>
  <c r="X29" i="1167"/>
  <c r="Y29" i="1167"/>
  <c r="Z29" i="1167"/>
  <c r="E540" i="1168" l="1"/>
  <c r="F542" i="1168"/>
  <c r="L30" i="1167"/>
  <c r="A540" i="1168"/>
  <c r="M30" i="1167"/>
  <c r="N30" i="1167"/>
  <c r="O30" i="1167"/>
  <c r="P30" i="1167"/>
  <c r="Q30" i="1167"/>
  <c r="R30" i="1167"/>
  <c r="S30" i="1167"/>
  <c r="T30" i="1167"/>
  <c r="U30" i="1167"/>
  <c r="V30" i="1167"/>
  <c r="W30" i="1167"/>
  <c r="X30" i="1167"/>
  <c r="Y30" i="1167"/>
  <c r="Z30" i="1167"/>
  <c r="E541" i="1168" l="1"/>
  <c r="F543" i="1168"/>
  <c r="L31" i="1167"/>
  <c r="A541" i="1168"/>
  <c r="M31" i="1167"/>
  <c r="N31" i="1167"/>
  <c r="O31" i="1167"/>
  <c r="P31" i="1167"/>
  <c r="Q31" i="1167"/>
  <c r="R31" i="1167"/>
  <c r="S31" i="1167"/>
  <c r="T31" i="1167"/>
  <c r="U31" i="1167"/>
  <c r="V31" i="1167"/>
  <c r="W31" i="1167"/>
  <c r="X31" i="1167"/>
  <c r="Y31" i="1167"/>
  <c r="Z31" i="1167"/>
  <c r="E542" i="1168" l="1"/>
  <c r="F544" i="1168"/>
  <c r="L32" i="1167"/>
  <c r="A542" i="1168"/>
  <c r="M32" i="1167"/>
  <c r="N32" i="1167"/>
  <c r="O32" i="1167"/>
  <c r="P32" i="1167"/>
  <c r="Q32" i="1167"/>
  <c r="R32" i="1167"/>
  <c r="S32" i="1167"/>
  <c r="T32" i="1167"/>
  <c r="U32" i="1167"/>
  <c r="V32" i="1167"/>
  <c r="W32" i="1167"/>
  <c r="X32" i="1167"/>
  <c r="Y32" i="1167"/>
  <c r="Z32" i="1167"/>
  <c r="E543" i="1168" l="1"/>
  <c r="F545" i="1168"/>
  <c r="L33" i="1167"/>
  <c r="A543" i="1168"/>
  <c r="M33" i="1167"/>
  <c r="N33" i="1167"/>
  <c r="O33" i="1167"/>
  <c r="P33" i="1167"/>
  <c r="Q33" i="1167"/>
  <c r="R33" i="1167"/>
  <c r="S33" i="1167"/>
  <c r="T33" i="1167"/>
  <c r="U33" i="1167"/>
  <c r="V33" i="1167"/>
  <c r="W33" i="1167"/>
  <c r="X33" i="1167"/>
  <c r="Y33" i="1167"/>
  <c r="Z33" i="1167"/>
  <c r="E544" i="1168" l="1"/>
  <c r="F546" i="1168"/>
  <c r="L34" i="1167"/>
  <c r="A544" i="1168"/>
  <c r="M34" i="1167"/>
  <c r="N34" i="1167"/>
  <c r="O34" i="1167"/>
  <c r="P34" i="1167"/>
  <c r="Q34" i="1167"/>
  <c r="R34" i="1167"/>
  <c r="S34" i="1167"/>
  <c r="T34" i="1167"/>
  <c r="U34" i="1167"/>
  <c r="V34" i="1167"/>
  <c r="W34" i="1167"/>
  <c r="X34" i="1167"/>
  <c r="Y34" i="1167"/>
  <c r="Z34" i="1167"/>
  <c r="E545" i="1168" l="1"/>
  <c r="F547" i="1168"/>
  <c r="L35" i="1167"/>
  <c r="A545" i="1168"/>
  <c r="M35" i="1167"/>
  <c r="N35" i="1167"/>
  <c r="O35" i="1167"/>
  <c r="P35" i="1167"/>
  <c r="Q35" i="1167"/>
  <c r="R35" i="1167"/>
  <c r="S35" i="1167"/>
  <c r="T35" i="1167"/>
  <c r="U35" i="1167"/>
  <c r="V35" i="1167"/>
  <c r="W35" i="1167"/>
  <c r="X35" i="1167"/>
  <c r="Y35" i="1167"/>
  <c r="Z35" i="1167"/>
  <c r="E546" i="1168" l="1"/>
  <c r="F548" i="1168"/>
  <c r="L36" i="1167"/>
  <c r="A546" i="1168"/>
  <c r="M36" i="1167"/>
  <c r="N36" i="1167"/>
  <c r="O36" i="1167"/>
  <c r="P36" i="1167"/>
  <c r="Q36" i="1167"/>
  <c r="R36" i="1167"/>
  <c r="S36" i="1167"/>
  <c r="T36" i="1167"/>
  <c r="U36" i="1167"/>
  <c r="V36" i="1167"/>
  <c r="W36" i="1167"/>
  <c r="X36" i="1167"/>
  <c r="Y36" i="1167"/>
  <c r="Z36" i="1167"/>
  <c r="E547" i="1168" l="1"/>
  <c r="F549" i="1168"/>
  <c r="L37" i="1167"/>
  <c r="A547" i="1168"/>
  <c r="M37" i="1167"/>
  <c r="N37" i="1167"/>
  <c r="O37" i="1167"/>
  <c r="P37" i="1167"/>
  <c r="Q37" i="1167"/>
  <c r="R37" i="1167"/>
  <c r="S37" i="1167"/>
  <c r="T37" i="1167"/>
  <c r="U37" i="1167"/>
  <c r="V37" i="1167"/>
  <c r="W37" i="1167"/>
  <c r="X37" i="1167"/>
  <c r="Y37" i="1167"/>
  <c r="Z37" i="1167"/>
  <c r="E548" i="1168" l="1"/>
  <c r="F550" i="1168"/>
  <c r="L38" i="1167"/>
  <c r="A548" i="1168"/>
  <c r="M38" i="1167"/>
  <c r="N38" i="1167"/>
  <c r="O38" i="1167"/>
  <c r="P38" i="1167"/>
  <c r="Q38" i="1167"/>
  <c r="R38" i="1167"/>
  <c r="S38" i="1167"/>
  <c r="T38" i="1167"/>
  <c r="U38" i="1167"/>
  <c r="V38" i="1167"/>
  <c r="W38" i="1167"/>
  <c r="X38" i="1167"/>
  <c r="Y38" i="1167"/>
  <c r="Z38" i="1167"/>
  <c r="E549" i="1168" l="1"/>
  <c r="F551" i="1168"/>
  <c r="L39" i="1167"/>
  <c r="A549" i="1168"/>
  <c r="M39" i="1167"/>
  <c r="N39" i="1167"/>
  <c r="O39" i="1167"/>
  <c r="P39" i="1167"/>
  <c r="Q39" i="1167"/>
  <c r="R39" i="1167"/>
  <c r="S39" i="1167"/>
  <c r="T39" i="1167"/>
  <c r="U39" i="1167"/>
  <c r="V39" i="1167"/>
  <c r="W39" i="1167"/>
  <c r="X39" i="1167"/>
  <c r="Y39" i="1167"/>
  <c r="Z39" i="1167"/>
  <c r="E550" i="1168" l="1"/>
  <c r="F552" i="1168"/>
  <c r="L40" i="1167"/>
  <c r="A550" i="1168"/>
  <c r="M40" i="1167"/>
  <c r="N40" i="1167"/>
  <c r="O40" i="1167"/>
  <c r="P40" i="1167"/>
  <c r="Q40" i="1167"/>
  <c r="R40" i="1167"/>
  <c r="S40" i="1167"/>
  <c r="T40" i="1167"/>
  <c r="U40" i="1167"/>
  <c r="V40" i="1167"/>
  <c r="W40" i="1167"/>
  <c r="X40" i="1167"/>
  <c r="Y40" i="1167"/>
  <c r="Z40" i="1167"/>
  <c r="E551" i="1168" l="1"/>
  <c r="F553" i="1168"/>
  <c r="L41" i="1167"/>
  <c r="A551" i="1168"/>
  <c r="M41" i="1167"/>
  <c r="N41" i="1167"/>
  <c r="O41" i="1167"/>
  <c r="P41" i="1167"/>
  <c r="Q41" i="1167"/>
  <c r="R41" i="1167"/>
  <c r="S41" i="1167"/>
  <c r="T41" i="1167"/>
  <c r="U41" i="1167"/>
  <c r="V41" i="1167"/>
  <c r="W41" i="1167"/>
  <c r="X41" i="1167"/>
  <c r="Y41" i="1167"/>
  <c r="Z41" i="1167"/>
  <c r="E552" i="1168" l="1"/>
  <c r="F554" i="1168"/>
  <c r="L42" i="1167"/>
  <c r="A552" i="1168"/>
  <c r="M42" i="1167"/>
  <c r="N42" i="1167"/>
  <c r="O42" i="1167"/>
  <c r="P42" i="1167"/>
  <c r="Q42" i="1167"/>
  <c r="R42" i="1167"/>
  <c r="S42" i="1167"/>
  <c r="T42" i="1167"/>
  <c r="U42" i="1167"/>
  <c r="V42" i="1167"/>
  <c r="W42" i="1167"/>
  <c r="X42" i="1167"/>
  <c r="Y42" i="1167"/>
  <c r="Z42" i="1167"/>
  <c r="E553" i="1168" l="1"/>
  <c r="F555" i="1168"/>
  <c r="L43" i="1167"/>
  <c r="A553" i="1168"/>
  <c r="M43" i="1167"/>
  <c r="N43" i="1167"/>
  <c r="O43" i="1167"/>
  <c r="P43" i="1167"/>
  <c r="Q43" i="1167"/>
  <c r="R43" i="1167"/>
  <c r="S43" i="1167"/>
  <c r="T43" i="1167"/>
  <c r="U43" i="1167"/>
  <c r="V43" i="1167"/>
  <c r="W43" i="1167"/>
  <c r="X43" i="1167"/>
  <c r="Y43" i="1167"/>
  <c r="Z43" i="1167"/>
  <c r="E554" i="1168" l="1"/>
  <c r="F556" i="1168"/>
  <c r="L44" i="1167"/>
  <c r="A554" i="1168"/>
  <c r="M44" i="1167"/>
  <c r="N44" i="1167"/>
  <c r="O44" i="1167"/>
  <c r="P44" i="1167"/>
  <c r="Q44" i="1167"/>
  <c r="R44" i="1167"/>
  <c r="S44" i="1167"/>
  <c r="T44" i="1167"/>
  <c r="U44" i="1167"/>
  <c r="V44" i="1167"/>
  <c r="W44" i="1167"/>
  <c r="X44" i="1167"/>
  <c r="Y44" i="1167"/>
  <c r="Z44" i="1167"/>
  <c r="E555" i="1168" l="1"/>
  <c r="A555" i="1168" s="1"/>
  <c r="A556" i="1168"/>
  <c r="F557" i="1168"/>
  <c r="L45" i="1167"/>
  <c r="M45" i="1167"/>
  <c r="N45" i="1167"/>
  <c r="O45" i="1167"/>
  <c r="P45" i="1167"/>
  <c r="Q45" i="1167"/>
  <c r="R45" i="1167"/>
  <c r="S45" i="1167"/>
  <c r="T45" i="1167"/>
  <c r="U45" i="1167"/>
  <c r="V45" i="1167"/>
  <c r="W45" i="1167"/>
  <c r="X45" i="1167"/>
  <c r="Y45" i="1167"/>
  <c r="Z45" i="1167"/>
  <c r="F558" i="1168" l="1"/>
  <c r="E556" i="1168"/>
  <c r="L46" i="1167"/>
  <c r="M46" i="1167"/>
  <c r="N46" i="1167"/>
  <c r="O46" i="1167"/>
  <c r="P46" i="1167"/>
  <c r="Q46" i="1167"/>
  <c r="R46" i="1167"/>
  <c r="S46" i="1167"/>
  <c r="T46" i="1167"/>
  <c r="U46" i="1167"/>
  <c r="V46" i="1167"/>
  <c r="W46" i="1167"/>
  <c r="X46" i="1167"/>
  <c r="Y46" i="1167"/>
  <c r="Z46" i="1167"/>
  <c r="E557" i="1168" l="1"/>
  <c r="F559" i="1168"/>
  <c r="L47" i="1167"/>
  <c r="M47" i="1167"/>
  <c r="N47" i="1167"/>
  <c r="O47" i="1167"/>
  <c r="P47" i="1167"/>
  <c r="Q47" i="1167"/>
  <c r="R47" i="1167"/>
  <c r="S47" i="1167"/>
  <c r="T47" i="1167"/>
  <c r="U47" i="1167"/>
  <c r="V47" i="1167"/>
  <c r="W47" i="1167"/>
  <c r="X47" i="1167"/>
  <c r="Y47" i="1167"/>
  <c r="Z47" i="1167"/>
  <c r="F560" i="1168" l="1"/>
  <c r="E558" i="1168"/>
  <c r="A557" i="1168"/>
  <c r="B558" i="1168"/>
  <c r="C558" i="1168"/>
  <c r="L48" i="1167"/>
  <c r="M48" i="1167"/>
  <c r="N48" i="1167"/>
  <c r="O48" i="1167"/>
  <c r="P48" i="1167"/>
  <c r="Q48" i="1167"/>
  <c r="R48" i="1167"/>
  <c r="S48" i="1167"/>
  <c r="T48" i="1167"/>
  <c r="U48" i="1167"/>
  <c r="V48" i="1167"/>
  <c r="W48" i="1167"/>
  <c r="X48" i="1167"/>
  <c r="Y48" i="1167"/>
  <c r="Z48" i="1167"/>
  <c r="E559" i="1168" l="1"/>
  <c r="F561" i="1168"/>
  <c r="L49" i="1167"/>
  <c r="A559" i="1168"/>
  <c r="M49" i="1167"/>
  <c r="N49" i="1167"/>
  <c r="O49" i="1167"/>
  <c r="P49" i="1167"/>
  <c r="Q49" i="1167"/>
  <c r="R49" i="1167"/>
  <c r="S49" i="1167"/>
  <c r="T49" i="1167"/>
  <c r="U49" i="1167"/>
  <c r="V49" i="1167"/>
  <c r="W49" i="1167"/>
  <c r="X49" i="1167"/>
  <c r="Y49" i="1167"/>
  <c r="Z49" i="1167"/>
  <c r="E560" i="1168" l="1"/>
  <c r="F562" i="1168"/>
  <c r="L50" i="1167"/>
  <c r="A560" i="1168"/>
  <c r="M50" i="1167"/>
  <c r="N50" i="1167"/>
  <c r="O50" i="1167"/>
  <c r="P50" i="1167"/>
  <c r="Q50" i="1167"/>
  <c r="R50" i="1167"/>
  <c r="S50" i="1167"/>
  <c r="T50" i="1167"/>
  <c r="U50" i="1167"/>
  <c r="V50" i="1167"/>
  <c r="W50" i="1167"/>
  <c r="X50" i="1167"/>
  <c r="Y50" i="1167"/>
  <c r="Z50" i="1167"/>
  <c r="E561" i="1168" l="1"/>
  <c r="F563" i="1168"/>
  <c r="L51" i="1167"/>
  <c r="A561" i="1168"/>
  <c r="M51" i="1167"/>
  <c r="N51" i="1167"/>
  <c r="O51" i="1167"/>
  <c r="P51" i="1167"/>
  <c r="Q51" i="1167"/>
  <c r="R51" i="1167"/>
  <c r="S51" i="1167"/>
  <c r="T51" i="1167"/>
  <c r="U51" i="1167"/>
  <c r="V51" i="1167"/>
  <c r="W51" i="1167"/>
  <c r="X51" i="1167"/>
  <c r="Y51" i="1167"/>
  <c r="Z51" i="1167"/>
  <c r="E562" i="1168" l="1"/>
  <c r="F564" i="1168"/>
  <c r="L52" i="1167"/>
  <c r="A562" i="1168"/>
  <c r="M52" i="1167"/>
  <c r="N52" i="1167"/>
  <c r="O52" i="1167"/>
  <c r="P52" i="1167"/>
  <c r="Q52" i="1167"/>
  <c r="R52" i="1167"/>
  <c r="S52" i="1167"/>
  <c r="T52" i="1167"/>
  <c r="U52" i="1167"/>
  <c r="V52" i="1167"/>
  <c r="W52" i="1167"/>
  <c r="X52" i="1167"/>
  <c r="Y52" i="1167"/>
  <c r="Z52" i="1167"/>
  <c r="E563" i="1168" l="1"/>
  <c r="F565" i="1168"/>
  <c r="L53" i="1167"/>
  <c r="A563" i="1168"/>
  <c r="M53" i="1167"/>
  <c r="N53" i="1167"/>
  <c r="O53" i="1167"/>
  <c r="P53" i="1167"/>
  <c r="Q53" i="1167"/>
  <c r="R53" i="1167"/>
  <c r="S53" i="1167"/>
  <c r="T53" i="1167"/>
  <c r="U53" i="1167"/>
  <c r="V53" i="1167"/>
  <c r="W53" i="1167"/>
  <c r="X53" i="1167"/>
  <c r="Y53" i="1167"/>
  <c r="Z53" i="1167"/>
  <c r="E564" i="1168" l="1"/>
  <c r="F566" i="1168"/>
  <c r="L54" i="1167"/>
  <c r="A564" i="1168"/>
  <c r="M54" i="1167"/>
  <c r="N54" i="1167"/>
  <c r="O54" i="1167"/>
  <c r="P54" i="1167"/>
  <c r="Q54" i="1167"/>
  <c r="R54" i="1167"/>
  <c r="S54" i="1167"/>
  <c r="T54" i="1167"/>
  <c r="U54" i="1167"/>
  <c r="V54" i="1167"/>
  <c r="W54" i="1167"/>
  <c r="X54" i="1167"/>
  <c r="Y54" i="1167"/>
  <c r="Z54" i="1167"/>
  <c r="E565" i="1168" l="1"/>
  <c r="F567" i="1168"/>
  <c r="L55" i="1167"/>
  <c r="A565" i="1168"/>
  <c r="M55" i="1167"/>
  <c r="N55" i="1167"/>
  <c r="O55" i="1167"/>
  <c r="P55" i="1167"/>
  <c r="Q55" i="1167"/>
  <c r="R55" i="1167"/>
  <c r="S55" i="1167"/>
  <c r="T55" i="1167"/>
  <c r="U55" i="1167"/>
  <c r="V55" i="1167"/>
  <c r="W55" i="1167"/>
  <c r="X55" i="1167"/>
  <c r="Y55" i="1167"/>
  <c r="Z55" i="1167"/>
  <c r="E566" i="1168" l="1"/>
  <c r="F568" i="1168"/>
  <c r="L56" i="1167"/>
  <c r="A566" i="1168"/>
  <c r="M56" i="1167"/>
  <c r="N56" i="1167"/>
  <c r="O56" i="1167"/>
  <c r="P56" i="1167"/>
  <c r="Q56" i="1167"/>
  <c r="R56" i="1167"/>
  <c r="S56" i="1167"/>
  <c r="T56" i="1167"/>
  <c r="U56" i="1167"/>
  <c r="V56" i="1167"/>
  <c r="W56" i="1167"/>
  <c r="X56" i="1167"/>
  <c r="Y56" i="1167"/>
  <c r="Z56" i="1167"/>
  <c r="E567" i="1168" l="1"/>
  <c r="F569" i="1168"/>
  <c r="L57" i="1167"/>
  <c r="A567" i="1168"/>
  <c r="M57" i="1167"/>
  <c r="N57" i="1167"/>
  <c r="O57" i="1167"/>
  <c r="P57" i="1167"/>
  <c r="Q57" i="1167"/>
  <c r="R57" i="1167"/>
  <c r="S57" i="1167"/>
  <c r="T57" i="1167"/>
  <c r="U57" i="1167"/>
  <c r="V57" i="1167"/>
  <c r="W57" i="1167"/>
  <c r="X57" i="1167"/>
  <c r="Y57" i="1167"/>
  <c r="Z57" i="1167"/>
  <c r="E568" i="1168" l="1"/>
  <c r="F570" i="1168"/>
  <c r="L58" i="1167"/>
  <c r="A568" i="1168"/>
  <c r="M58" i="1167"/>
  <c r="N58" i="1167"/>
  <c r="O58" i="1167"/>
  <c r="P58" i="1167"/>
  <c r="Q58" i="1167"/>
  <c r="R58" i="1167"/>
  <c r="S58" i="1167"/>
  <c r="T58" i="1167"/>
  <c r="U58" i="1167"/>
  <c r="V58" i="1167"/>
  <c r="W58" i="1167"/>
  <c r="X58" i="1167"/>
  <c r="Y58" i="1167"/>
  <c r="Z58" i="1167"/>
  <c r="E569" i="1168" l="1"/>
  <c r="F571" i="1168"/>
  <c r="L59" i="1167"/>
  <c r="A569" i="1168"/>
  <c r="M59" i="1167"/>
  <c r="N59" i="1167"/>
  <c r="O59" i="1167"/>
  <c r="P59" i="1167"/>
  <c r="Q59" i="1167"/>
  <c r="R59" i="1167"/>
  <c r="S59" i="1167"/>
  <c r="T59" i="1167"/>
  <c r="U59" i="1167"/>
  <c r="V59" i="1167"/>
  <c r="W59" i="1167"/>
  <c r="X59" i="1167"/>
  <c r="Y59" i="1167"/>
  <c r="Z59" i="1167"/>
  <c r="E570" i="1168" l="1"/>
  <c r="F572" i="1168"/>
  <c r="L60" i="1167"/>
  <c r="A570" i="1168"/>
  <c r="M60" i="1167"/>
  <c r="N60" i="1167"/>
  <c r="O60" i="1167"/>
  <c r="P60" i="1167"/>
  <c r="Q60" i="1167"/>
  <c r="R60" i="1167"/>
  <c r="S60" i="1167"/>
  <c r="T60" i="1167"/>
  <c r="U60" i="1167"/>
  <c r="V60" i="1167"/>
  <c r="W60" i="1167"/>
  <c r="X60" i="1167"/>
  <c r="Y60" i="1167"/>
  <c r="Z60" i="1167"/>
  <c r="E571" i="1168" l="1"/>
  <c r="F573" i="1168"/>
  <c r="L61" i="1167"/>
  <c r="A571" i="1168"/>
  <c r="M61" i="1167"/>
  <c r="N61" i="1167"/>
  <c r="O61" i="1167"/>
  <c r="P61" i="1167"/>
  <c r="Q61" i="1167"/>
  <c r="R61" i="1167"/>
  <c r="S61" i="1167"/>
  <c r="T61" i="1167"/>
  <c r="U61" i="1167"/>
  <c r="V61" i="1167"/>
  <c r="W61" i="1167"/>
  <c r="X61" i="1167"/>
  <c r="Y61" i="1167"/>
  <c r="Z61" i="1167"/>
  <c r="E572" i="1168" l="1"/>
  <c r="F574" i="1168"/>
  <c r="L62" i="1167"/>
  <c r="A572" i="1168"/>
  <c r="M62" i="1167"/>
  <c r="N62" i="1167"/>
  <c r="O62" i="1167"/>
  <c r="P62" i="1167"/>
  <c r="Q62" i="1167"/>
  <c r="R62" i="1167"/>
  <c r="S62" i="1167"/>
  <c r="T62" i="1167"/>
  <c r="U62" i="1167"/>
  <c r="V62" i="1167"/>
  <c r="W62" i="1167"/>
  <c r="X62" i="1167"/>
  <c r="Y62" i="1167"/>
  <c r="Z62" i="1167"/>
  <c r="E573" i="1168" l="1"/>
  <c r="F575" i="1168"/>
  <c r="L63" i="1167"/>
  <c r="A573" i="1168"/>
  <c r="M63" i="1167"/>
  <c r="N63" i="1167"/>
  <c r="O63" i="1167"/>
  <c r="P63" i="1167"/>
  <c r="Q63" i="1167"/>
  <c r="R63" i="1167"/>
  <c r="S63" i="1167"/>
  <c r="T63" i="1167"/>
  <c r="U63" i="1167"/>
  <c r="V63" i="1167"/>
  <c r="W63" i="1167"/>
  <c r="X63" i="1167"/>
  <c r="Y63" i="1167"/>
  <c r="Z63" i="1167"/>
  <c r="E574" i="1168" l="1"/>
  <c r="F576" i="1168"/>
  <c r="L64" i="1167"/>
  <c r="A574" i="1168"/>
  <c r="M64" i="1167"/>
  <c r="N64" i="1167"/>
  <c r="O64" i="1167"/>
  <c r="P64" i="1167"/>
  <c r="Q64" i="1167"/>
  <c r="R64" i="1167"/>
  <c r="S64" i="1167"/>
  <c r="T64" i="1167"/>
  <c r="U64" i="1167"/>
  <c r="V64" i="1167"/>
  <c r="W64" i="1167"/>
  <c r="X64" i="1167"/>
  <c r="Y64" i="1167"/>
  <c r="Z64" i="1167"/>
  <c r="E575" i="1168" l="1"/>
  <c r="F577" i="1168"/>
  <c r="L65" i="1167"/>
  <c r="A575" i="1168"/>
  <c r="M65" i="1167"/>
  <c r="N65" i="1167"/>
  <c r="O65" i="1167"/>
  <c r="P65" i="1167"/>
  <c r="Q65" i="1167"/>
  <c r="R65" i="1167"/>
  <c r="S65" i="1167"/>
  <c r="T65" i="1167"/>
  <c r="U65" i="1167"/>
  <c r="V65" i="1167"/>
  <c r="W65" i="1167"/>
  <c r="X65" i="1167"/>
  <c r="Y65" i="1167"/>
  <c r="Z65" i="1167"/>
  <c r="E576" i="1168" l="1"/>
  <c r="F578" i="1168"/>
  <c r="L66" i="1167"/>
  <c r="A576" i="1168"/>
  <c r="M66" i="1167"/>
  <c r="N66" i="1167"/>
  <c r="O66" i="1167"/>
  <c r="P66" i="1167"/>
  <c r="Q66" i="1167"/>
  <c r="R66" i="1167"/>
  <c r="S66" i="1167"/>
  <c r="T66" i="1167"/>
  <c r="U66" i="1167"/>
  <c r="V66" i="1167"/>
  <c r="W66" i="1167"/>
  <c r="X66" i="1167"/>
  <c r="Y66" i="1167"/>
  <c r="Z66" i="1167"/>
  <c r="E577" i="1168" l="1"/>
  <c r="F579" i="1168"/>
  <c r="L67" i="1167"/>
  <c r="A577" i="1168"/>
  <c r="M67" i="1167"/>
  <c r="N67" i="1167"/>
  <c r="O67" i="1167"/>
  <c r="P67" i="1167"/>
  <c r="Q67" i="1167"/>
  <c r="R67" i="1167"/>
  <c r="S67" i="1167"/>
  <c r="T67" i="1167"/>
  <c r="U67" i="1167"/>
  <c r="V67" i="1167"/>
  <c r="W67" i="1167"/>
  <c r="X67" i="1167"/>
  <c r="Y67" i="1167"/>
  <c r="Z67" i="1167"/>
  <c r="E578" i="1168" l="1"/>
  <c r="A578" i="1168" s="1"/>
  <c r="A579" i="1168"/>
  <c r="F580" i="1168"/>
  <c r="L68" i="1167"/>
  <c r="M68" i="1167"/>
  <c r="N68" i="1167"/>
  <c r="O68" i="1167"/>
  <c r="P68" i="1167"/>
  <c r="Q68" i="1167"/>
  <c r="R68" i="1167"/>
  <c r="S68" i="1167"/>
  <c r="T68" i="1167"/>
  <c r="U68" i="1167"/>
  <c r="V68" i="1167"/>
  <c r="W68" i="1167"/>
  <c r="X68" i="1167"/>
  <c r="Y68" i="1167"/>
  <c r="Z68" i="1167"/>
  <c r="F581" i="1168" l="1"/>
  <c r="E579" i="1168"/>
  <c r="L69" i="1167"/>
  <c r="M69" i="1167"/>
  <c r="N69" i="1167"/>
  <c r="O69" i="1167"/>
  <c r="P69" i="1167"/>
  <c r="Q69" i="1167"/>
  <c r="R69" i="1167"/>
  <c r="S69" i="1167"/>
  <c r="T69" i="1167"/>
  <c r="U69" i="1167"/>
  <c r="V69" i="1167"/>
  <c r="W69" i="1167"/>
  <c r="X69" i="1167"/>
  <c r="Y69" i="1167"/>
  <c r="Z69" i="1167"/>
  <c r="E580" i="1168" l="1"/>
  <c r="F582" i="1168"/>
  <c r="L70" i="1167"/>
  <c r="M70" i="1167"/>
  <c r="N70" i="1167"/>
  <c r="O70" i="1167"/>
  <c r="P70" i="1167"/>
  <c r="Q70" i="1167"/>
  <c r="R70" i="1167"/>
  <c r="S70" i="1167"/>
  <c r="T70" i="1167"/>
  <c r="U70" i="1167"/>
  <c r="V70" i="1167"/>
  <c r="W70" i="1167"/>
  <c r="X70" i="1167"/>
  <c r="Y70" i="1167"/>
  <c r="Z70" i="1167"/>
  <c r="F583" i="1168" l="1"/>
  <c r="E581" i="1168"/>
  <c r="A580" i="1168"/>
  <c r="B581" i="1168"/>
  <c r="C581" i="1168"/>
  <c r="L71" i="1167"/>
  <c r="M71" i="1167"/>
  <c r="N71" i="1167"/>
  <c r="O71" i="1167"/>
  <c r="P71" i="1167"/>
  <c r="Q71" i="1167"/>
  <c r="R71" i="1167"/>
  <c r="S71" i="1167"/>
  <c r="T71" i="1167"/>
  <c r="U71" i="1167"/>
  <c r="V71" i="1167"/>
  <c r="W71" i="1167"/>
  <c r="X71" i="1167"/>
  <c r="Y71" i="1167"/>
  <c r="Z71" i="1167"/>
  <c r="E582" i="1168" l="1"/>
  <c r="F584" i="1168"/>
  <c r="L72" i="1167"/>
  <c r="A582" i="1168"/>
  <c r="M72" i="1167"/>
  <c r="N72" i="1167"/>
  <c r="O72" i="1167"/>
  <c r="P72" i="1167"/>
  <c r="Q72" i="1167"/>
  <c r="R72" i="1167"/>
  <c r="S72" i="1167"/>
  <c r="T72" i="1167"/>
  <c r="U72" i="1167"/>
  <c r="V72" i="1167"/>
  <c r="W72" i="1167"/>
  <c r="X72" i="1167"/>
  <c r="Y72" i="1167"/>
  <c r="Z72" i="1167"/>
  <c r="E583" i="1168" l="1"/>
  <c r="F585" i="1168"/>
  <c r="L73" i="1167"/>
  <c r="A583" i="1168"/>
  <c r="M73" i="1167"/>
  <c r="N73" i="1167"/>
  <c r="O73" i="1167"/>
  <c r="P73" i="1167"/>
  <c r="Q73" i="1167"/>
  <c r="R73" i="1167"/>
  <c r="S73" i="1167"/>
  <c r="T73" i="1167"/>
  <c r="U73" i="1167"/>
  <c r="V73" i="1167"/>
  <c r="W73" i="1167"/>
  <c r="X73" i="1167"/>
  <c r="Y73" i="1167"/>
  <c r="Z73" i="1167"/>
  <c r="E584" i="1168" l="1"/>
  <c r="F586" i="1168"/>
  <c r="L74" i="1167"/>
  <c r="A584" i="1168"/>
  <c r="M74" i="1167"/>
  <c r="N74" i="1167"/>
  <c r="O74" i="1167"/>
  <c r="P74" i="1167"/>
  <c r="Q74" i="1167"/>
  <c r="R74" i="1167"/>
  <c r="S74" i="1167"/>
  <c r="T74" i="1167"/>
  <c r="U74" i="1167"/>
  <c r="V74" i="1167"/>
  <c r="W74" i="1167"/>
  <c r="X74" i="1167"/>
  <c r="Y74" i="1167"/>
  <c r="Z74" i="1167"/>
  <c r="E585" i="1168" l="1"/>
  <c r="F587" i="1168"/>
  <c r="L75" i="1167"/>
  <c r="A585" i="1168"/>
  <c r="M75" i="1167"/>
  <c r="N75" i="1167"/>
  <c r="O75" i="1167"/>
  <c r="P75" i="1167"/>
  <c r="Q75" i="1167"/>
  <c r="R75" i="1167"/>
  <c r="S75" i="1167"/>
  <c r="T75" i="1167"/>
  <c r="U75" i="1167"/>
  <c r="V75" i="1167"/>
  <c r="W75" i="1167"/>
  <c r="X75" i="1167"/>
  <c r="Y75" i="1167"/>
  <c r="Z75" i="1167"/>
  <c r="E586" i="1168" l="1"/>
  <c r="F588" i="1168"/>
  <c r="L76" i="1167"/>
  <c r="A586" i="1168"/>
  <c r="M76" i="1167"/>
  <c r="N76" i="1167"/>
  <c r="O76" i="1167"/>
  <c r="P76" i="1167"/>
  <c r="Q76" i="1167"/>
  <c r="R76" i="1167"/>
  <c r="S76" i="1167"/>
  <c r="T76" i="1167"/>
  <c r="U76" i="1167"/>
  <c r="V76" i="1167"/>
  <c r="W76" i="1167"/>
  <c r="X76" i="1167"/>
  <c r="Y76" i="1167"/>
  <c r="Z76" i="1167"/>
  <c r="E587" i="1168" l="1"/>
  <c r="F589" i="1168"/>
  <c r="L77" i="1167"/>
  <c r="A587" i="1168"/>
  <c r="M77" i="1167"/>
  <c r="N77" i="1167"/>
  <c r="O77" i="1167"/>
  <c r="P77" i="1167"/>
  <c r="Q77" i="1167"/>
  <c r="R77" i="1167"/>
  <c r="S77" i="1167"/>
  <c r="T77" i="1167"/>
  <c r="U77" i="1167"/>
  <c r="V77" i="1167"/>
  <c r="W77" i="1167"/>
  <c r="X77" i="1167"/>
  <c r="Y77" i="1167"/>
  <c r="Z77" i="1167"/>
  <c r="E588" i="1168" l="1"/>
  <c r="F590" i="1168"/>
  <c r="L78" i="1167"/>
  <c r="A588" i="1168"/>
  <c r="M78" i="1167"/>
  <c r="N78" i="1167"/>
  <c r="O78" i="1167"/>
  <c r="P78" i="1167"/>
  <c r="Q78" i="1167"/>
  <c r="R78" i="1167"/>
  <c r="S78" i="1167"/>
  <c r="T78" i="1167"/>
  <c r="U78" i="1167"/>
  <c r="V78" i="1167"/>
  <c r="W78" i="1167"/>
  <c r="X78" i="1167"/>
  <c r="Y78" i="1167"/>
  <c r="Z78" i="1167"/>
  <c r="E589" i="1168" l="1"/>
  <c r="F591" i="1168"/>
  <c r="L79" i="1167"/>
  <c r="A589" i="1168"/>
  <c r="M79" i="1167"/>
  <c r="N79" i="1167"/>
  <c r="O79" i="1167"/>
  <c r="P79" i="1167"/>
  <c r="Q79" i="1167"/>
  <c r="R79" i="1167"/>
  <c r="S79" i="1167"/>
  <c r="T79" i="1167"/>
  <c r="U79" i="1167"/>
  <c r="V79" i="1167"/>
  <c r="W79" i="1167"/>
  <c r="X79" i="1167"/>
  <c r="Y79" i="1167"/>
  <c r="Z79" i="1167"/>
  <c r="E590" i="1168" l="1"/>
  <c r="F592" i="1168"/>
  <c r="L80" i="1167"/>
  <c r="A590" i="1168"/>
  <c r="M80" i="1167"/>
  <c r="N80" i="1167"/>
  <c r="O80" i="1167"/>
  <c r="P80" i="1167"/>
  <c r="Q80" i="1167"/>
  <c r="R80" i="1167"/>
  <c r="S80" i="1167"/>
  <c r="T80" i="1167"/>
  <c r="U80" i="1167"/>
  <c r="V80" i="1167"/>
  <c r="W80" i="1167"/>
  <c r="X80" i="1167"/>
  <c r="Y80" i="1167"/>
  <c r="Z80" i="1167"/>
  <c r="E591" i="1168" l="1"/>
  <c r="F593" i="1168"/>
  <c r="L81" i="1167"/>
  <c r="A591" i="1168"/>
  <c r="M81" i="1167"/>
  <c r="N81" i="1167"/>
  <c r="O81" i="1167"/>
  <c r="P81" i="1167"/>
  <c r="Q81" i="1167"/>
  <c r="R81" i="1167"/>
  <c r="S81" i="1167"/>
  <c r="T81" i="1167"/>
  <c r="U81" i="1167"/>
  <c r="V81" i="1167"/>
  <c r="W81" i="1167"/>
  <c r="X81" i="1167"/>
  <c r="Y81" i="1167"/>
  <c r="Z81" i="1167"/>
  <c r="E592" i="1168" l="1"/>
  <c r="F594" i="1168"/>
  <c r="L82" i="1167"/>
  <c r="A592" i="1168"/>
  <c r="M82" i="1167"/>
  <c r="N82" i="1167"/>
  <c r="O82" i="1167"/>
  <c r="P82" i="1167"/>
  <c r="Q82" i="1167"/>
  <c r="R82" i="1167"/>
  <c r="S82" i="1167"/>
  <c r="T82" i="1167"/>
  <c r="U82" i="1167"/>
  <c r="V82" i="1167"/>
  <c r="W82" i="1167"/>
  <c r="X82" i="1167"/>
  <c r="Y82" i="1167"/>
  <c r="Z82" i="1167"/>
  <c r="E593" i="1168" l="1"/>
  <c r="F595" i="1168"/>
  <c r="L83" i="1167"/>
  <c r="A593" i="1168"/>
  <c r="M83" i="1167"/>
  <c r="N83" i="1167"/>
  <c r="O83" i="1167"/>
  <c r="P83" i="1167"/>
  <c r="Q83" i="1167"/>
  <c r="R83" i="1167"/>
  <c r="S83" i="1167"/>
  <c r="T83" i="1167"/>
  <c r="U83" i="1167"/>
  <c r="V83" i="1167"/>
  <c r="W83" i="1167"/>
  <c r="X83" i="1167"/>
  <c r="Y83" i="1167"/>
  <c r="Z83" i="1167"/>
  <c r="E594" i="1168" l="1"/>
  <c r="F596" i="1168"/>
  <c r="L84" i="1167"/>
  <c r="A594" i="1168"/>
  <c r="M84" i="1167"/>
  <c r="N84" i="1167"/>
  <c r="O84" i="1167"/>
  <c r="P84" i="1167"/>
  <c r="Q84" i="1167"/>
  <c r="R84" i="1167"/>
  <c r="S84" i="1167"/>
  <c r="T84" i="1167"/>
  <c r="U84" i="1167"/>
  <c r="V84" i="1167"/>
  <c r="W84" i="1167"/>
  <c r="X84" i="1167"/>
  <c r="Y84" i="1167"/>
  <c r="Z84" i="1167"/>
  <c r="E595" i="1168" l="1"/>
  <c r="F597" i="1168"/>
  <c r="L85" i="1167"/>
  <c r="A595" i="1168"/>
  <c r="M85" i="1167"/>
  <c r="N85" i="1167"/>
  <c r="O85" i="1167"/>
  <c r="P85" i="1167"/>
  <c r="Q85" i="1167"/>
  <c r="R85" i="1167"/>
  <c r="S85" i="1167"/>
  <c r="T85" i="1167"/>
  <c r="U85" i="1167"/>
  <c r="V85" i="1167"/>
  <c r="W85" i="1167"/>
  <c r="X85" i="1167"/>
  <c r="Y85" i="1167"/>
  <c r="Z85" i="1167"/>
  <c r="E596" i="1168" l="1"/>
  <c r="F598" i="1168"/>
  <c r="L86" i="1167"/>
  <c r="A596" i="1168"/>
  <c r="M86" i="1167"/>
  <c r="N86" i="1167"/>
  <c r="O86" i="1167"/>
  <c r="P86" i="1167"/>
  <c r="Q86" i="1167"/>
  <c r="R86" i="1167"/>
  <c r="S86" i="1167"/>
  <c r="T86" i="1167"/>
  <c r="U86" i="1167"/>
  <c r="V86" i="1167"/>
  <c r="W86" i="1167"/>
  <c r="X86" i="1167"/>
  <c r="Y86" i="1167"/>
  <c r="Z86" i="1167"/>
  <c r="E597" i="1168" l="1"/>
  <c r="F599" i="1168"/>
  <c r="L87" i="1167"/>
  <c r="A597" i="1168"/>
  <c r="M87" i="1167"/>
  <c r="N87" i="1167"/>
  <c r="O87" i="1167"/>
  <c r="P87" i="1167"/>
  <c r="Q87" i="1167"/>
  <c r="R87" i="1167"/>
  <c r="S87" i="1167"/>
  <c r="T87" i="1167"/>
  <c r="U87" i="1167"/>
  <c r="V87" i="1167"/>
  <c r="W87" i="1167"/>
  <c r="X87" i="1167"/>
  <c r="Y87" i="1167"/>
  <c r="Z87" i="1167"/>
  <c r="E598" i="1168" l="1"/>
  <c r="F600" i="1168"/>
  <c r="L88" i="1167"/>
  <c r="A598" i="1168"/>
  <c r="M88" i="1167"/>
  <c r="N88" i="1167"/>
  <c r="O88" i="1167"/>
  <c r="P88" i="1167"/>
  <c r="Q88" i="1167"/>
  <c r="R88" i="1167"/>
  <c r="S88" i="1167"/>
  <c r="T88" i="1167"/>
  <c r="U88" i="1167"/>
  <c r="V88" i="1167"/>
  <c r="W88" i="1167"/>
  <c r="X88" i="1167"/>
  <c r="Y88" i="1167"/>
  <c r="Z88" i="1167"/>
  <c r="E599" i="1168" l="1"/>
  <c r="F601" i="1168"/>
  <c r="L89" i="1167"/>
  <c r="A599" i="1168"/>
  <c r="M89" i="1167"/>
  <c r="N89" i="1167"/>
  <c r="O89" i="1167"/>
  <c r="P89" i="1167"/>
  <c r="Q89" i="1167"/>
  <c r="R89" i="1167"/>
  <c r="S89" i="1167"/>
  <c r="T89" i="1167"/>
  <c r="U89" i="1167"/>
  <c r="V89" i="1167"/>
  <c r="W89" i="1167"/>
  <c r="X89" i="1167"/>
  <c r="Y89" i="1167"/>
  <c r="Z89" i="1167"/>
  <c r="E600" i="1168" l="1"/>
  <c r="F602" i="1168"/>
  <c r="L90" i="1167"/>
  <c r="A600" i="1168"/>
  <c r="M90" i="1167"/>
  <c r="N90" i="1167"/>
  <c r="O90" i="1167"/>
  <c r="P90" i="1167"/>
  <c r="Q90" i="1167"/>
  <c r="R90" i="1167"/>
  <c r="S90" i="1167"/>
  <c r="T90" i="1167"/>
  <c r="U90" i="1167"/>
  <c r="V90" i="1167"/>
  <c r="W90" i="1167"/>
  <c r="X90" i="1167"/>
  <c r="Y90" i="1167"/>
  <c r="Z90" i="1167"/>
  <c r="E601" i="1168" l="1"/>
  <c r="A602" i="1168"/>
  <c r="L91" i="1167"/>
  <c r="M91" i="1167"/>
  <c r="N91" i="1167"/>
  <c r="O91" i="1167"/>
  <c r="P91" i="1167"/>
  <c r="Q91" i="1167"/>
  <c r="R91" i="1167"/>
  <c r="S91" i="1167"/>
  <c r="T91" i="1167"/>
  <c r="U91" i="1167"/>
  <c r="V91" i="1167"/>
  <c r="W91" i="1167"/>
  <c r="X91" i="1167"/>
  <c r="Y91" i="1167"/>
  <c r="Z91" i="1167"/>
  <c r="E602" i="1168" l="1"/>
  <c r="A601" i="1168"/>
  <c r="L92" i="1167"/>
  <c r="M92" i="1167"/>
  <c r="N92" i="1167"/>
  <c r="O92" i="1167"/>
  <c r="P92" i="1167"/>
  <c r="Q92" i="1167"/>
  <c r="R92" i="1167"/>
  <c r="S92" i="1167"/>
  <c r="T92" i="1167"/>
  <c r="U92" i="1167"/>
  <c r="V92" i="1167"/>
  <c r="W92" i="1167"/>
  <c r="X92" i="1167"/>
  <c r="Y92" i="1167"/>
  <c r="Z92" i="1167"/>
  <c r="L93" i="1167"/>
  <c r="M93" i="1167"/>
  <c r="N93" i="1167"/>
  <c r="O93" i="1167"/>
  <c r="P93" i="1167"/>
  <c r="Q93" i="1167"/>
  <c r="R93" i="1167"/>
  <c r="S93" i="1167"/>
  <c r="T93" i="1167"/>
  <c r="U93" i="1167"/>
  <c r="V93" i="1167"/>
  <c r="W93" i="1167"/>
  <c r="X93" i="1167"/>
  <c r="Y93" i="1167"/>
  <c r="Z93" i="1167"/>
  <c r="L94" i="1167"/>
  <c r="M94" i="1167"/>
  <c r="N94" i="1167"/>
  <c r="O94" i="1167"/>
  <c r="P94" i="1167"/>
  <c r="Q94" i="1167"/>
  <c r="R94" i="1167"/>
  <c r="S94" i="1167"/>
  <c r="T94" i="1167"/>
  <c r="U94" i="1167"/>
  <c r="V94" i="1167"/>
  <c r="W94" i="1167"/>
  <c r="X94" i="1167"/>
  <c r="Y94" i="1167"/>
  <c r="Z94" i="1167"/>
  <c r="L95" i="1167"/>
  <c r="M95" i="1167"/>
  <c r="N95" i="1167"/>
  <c r="O95" i="1167"/>
  <c r="P95" i="1167"/>
  <c r="Q95" i="1167"/>
  <c r="R95" i="1167"/>
  <c r="S95" i="1167"/>
  <c r="T95" i="1167"/>
  <c r="U95" i="1167"/>
  <c r="V95" i="1167"/>
  <c r="W95" i="1167"/>
  <c r="X95" i="1167"/>
  <c r="Y95" i="1167"/>
  <c r="Z95" i="1167"/>
  <c r="L96" i="1167"/>
  <c r="M96" i="1167"/>
  <c r="N96" i="1167"/>
  <c r="O96" i="1167"/>
  <c r="P96" i="1167"/>
  <c r="Q96" i="1167"/>
  <c r="R96" i="1167"/>
  <c r="S96" i="1167"/>
  <c r="T96" i="1167"/>
  <c r="U96" i="1167"/>
  <c r="V96" i="1167"/>
  <c r="W96" i="1167"/>
  <c r="X96" i="1167"/>
  <c r="Y96" i="1167"/>
  <c r="Z96" i="1167"/>
  <c r="L97" i="1167"/>
  <c r="M97" i="1167"/>
  <c r="N97" i="1167"/>
  <c r="O97" i="1167"/>
  <c r="P97" i="1167"/>
  <c r="Q97" i="1167"/>
  <c r="R97" i="1167"/>
  <c r="S97" i="1167"/>
  <c r="T97" i="1167"/>
  <c r="U97" i="1167"/>
  <c r="V97" i="1167"/>
  <c r="W97" i="1167"/>
  <c r="X97" i="1167"/>
  <c r="Y97" i="1167"/>
  <c r="Z97" i="1167"/>
  <c r="L98" i="1167"/>
  <c r="M98" i="1167"/>
  <c r="N98" i="1167"/>
  <c r="O98" i="1167"/>
  <c r="P98" i="1167"/>
  <c r="Q98" i="1167"/>
  <c r="R98" i="1167"/>
  <c r="S98" i="1167"/>
  <c r="T98" i="1167"/>
  <c r="U98" i="1167"/>
  <c r="V98" i="1167"/>
  <c r="W98" i="1167"/>
  <c r="X98" i="1167"/>
  <c r="Y98" i="1167"/>
  <c r="Z98" i="1167"/>
  <c r="L99" i="1167"/>
  <c r="M99" i="1167"/>
  <c r="N99" i="1167"/>
  <c r="O99" i="1167"/>
  <c r="P99" i="1167"/>
  <c r="Q99" i="1167"/>
  <c r="R99" i="1167"/>
  <c r="S99" i="1167"/>
  <c r="T99" i="1167"/>
  <c r="U99" i="1167"/>
  <c r="V99" i="1167"/>
  <c r="W99" i="1167"/>
  <c r="X99" i="1167"/>
  <c r="Y99" i="1167"/>
  <c r="Z99" i="1167"/>
  <c r="L100" i="1167"/>
  <c r="M100" i="1167"/>
  <c r="N100" i="1167"/>
  <c r="O100" i="1167"/>
  <c r="P100" i="1167"/>
  <c r="Q100" i="1167"/>
  <c r="R100" i="1167"/>
  <c r="S100" i="1167"/>
  <c r="T100" i="1167"/>
  <c r="U100" i="1167"/>
  <c r="V100" i="1167"/>
  <c r="W100" i="1167"/>
  <c r="X100" i="1167"/>
  <c r="Y100" i="1167"/>
  <c r="Z100" i="1167"/>
  <c r="L101" i="1167"/>
  <c r="M101" i="1167"/>
  <c r="N101" i="1167"/>
  <c r="O101" i="1167"/>
  <c r="P101" i="1167"/>
  <c r="Q101" i="1167"/>
  <c r="R101" i="1167"/>
  <c r="S101" i="1167"/>
  <c r="T101" i="1167"/>
  <c r="U101" i="1167"/>
  <c r="V101" i="1167"/>
  <c r="W101" i="1167"/>
  <c r="X101" i="1167"/>
  <c r="Y101" i="1167"/>
  <c r="Z101" i="1167"/>
  <c r="L102" i="1167"/>
  <c r="M102" i="1167"/>
  <c r="N102" i="1167"/>
  <c r="O102" i="1167"/>
  <c r="P102" i="1167"/>
  <c r="Q102" i="1167"/>
  <c r="R102" i="1167"/>
  <c r="S102" i="1167"/>
  <c r="T102" i="1167"/>
  <c r="U102" i="1167"/>
  <c r="V102" i="1167"/>
  <c r="W102" i="1167"/>
  <c r="X102" i="1167"/>
  <c r="Y102" i="1167"/>
  <c r="Z102" i="1167"/>
  <c r="L103" i="1167"/>
  <c r="M103" i="1167"/>
  <c r="N103" i="1167"/>
  <c r="O103" i="1167"/>
  <c r="P103" i="1167"/>
  <c r="Q103" i="1167"/>
  <c r="R103" i="1167"/>
  <c r="S103" i="1167"/>
  <c r="T103" i="1167"/>
  <c r="U103" i="1167"/>
  <c r="V103" i="1167"/>
  <c r="W103" i="1167"/>
  <c r="X103" i="1167"/>
  <c r="Y103" i="1167"/>
  <c r="Z103" i="1167"/>
  <c r="L104" i="1167"/>
  <c r="M104" i="1167"/>
  <c r="N104" i="1167"/>
  <c r="O104" i="1167"/>
  <c r="P104" i="1167"/>
  <c r="Q104" i="1167"/>
  <c r="R104" i="1167"/>
  <c r="S104" i="1167"/>
  <c r="T104" i="1167"/>
  <c r="U104" i="1167"/>
  <c r="V104" i="1167"/>
  <c r="W104" i="1167"/>
  <c r="X104" i="1167"/>
  <c r="Y104" i="1167"/>
  <c r="Z104" i="1167"/>
  <c r="L105" i="1167"/>
  <c r="M105" i="1167"/>
  <c r="N105" i="1167"/>
  <c r="O105" i="1167"/>
  <c r="P105" i="1167"/>
  <c r="Q105" i="1167"/>
  <c r="R105" i="1167"/>
  <c r="S105" i="1167"/>
  <c r="T105" i="1167"/>
  <c r="U105" i="1167"/>
  <c r="V105" i="1167"/>
  <c r="W105" i="1167"/>
  <c r="X105" i="1167"/>
  <c r="Y105" i="1167"/>
  <c r="Z105" i="1167"/>
  <c r="L106" i="1167"/>
  <c r="M106" i="1167"/>
  <c r="N106" i="1167"/>
  <c r="O106" i="1167"/>
  <c r="P106" i="1167"/>
  <c r="Q106" i="1167"/>
  <c r="R106" i="1167"/>
  <c r="S106" i="1167"/>
  <c r="T106" i="1167"/>
  <c r="U106" i="1167"/>
  <c r="V106" i="1167"/>
  <c r="W106" i="1167"/>
  <c r="X106" i="1167"/>
  <c r="Y106" i="1167"/>
  <c r="Z106" i="1167"/>
  <c r="L107" i="1167"/>
  <c r="M107" i="1167"/>
  <c r="N107" i="1167"/>
  <c r="O107" i="1167"/>
  <c r="P107" i="1167"/>
  <c r="Q107" i="1167"/>
  <c r="R107" i="1167"/>
  <c r="S107" i="1167"/>
  <c r="T107" i="1167"/>
  <c r="U107" i="1167"/>
  <c r="V107" i="1167"/>
  <c r="W107" i="1167"/>
  <c r="X107" i="1167"/>
  <c r="Y107" i="1167"/>
  <c r="Z107" i="1167"/>
  <c r="L108" i="1167"/>
  <c r="M108" i="1167"/>
  <c r="N108" i="1167"/>
  <c r="O108" i="1167"/>
  <c r="P108" i="1167"/>
  <c r="Q108" i="1167"/>
  <c r="R108" i="1167"/>
  <c r="S108" i="1167"/>
  <c r="T108" i="1167"/>
  <c r="U108" i="1167"/>
  <c r="V108" i="1167"/>
  <c r="W108" i="1167"/>
  <c r="X108" i="1167"/>
  <c r="Y108" i="1167"/>
  <c r="Z108" i="1167"/>
  <c r="L109" i="1167"/>
  <c r="M109" i="1167"/>
  <c r="N109" i="1167"/>
  <c r="O109" i="1167"/>
  <c r="P109" i="1167"/>
  <c r="Q109" i="1167"/>
  <c r="R109" i="1167"/>
  <c r="S109" i="1167"/>
  <c r="T109" i="1167"/>
  <c r="U109" i="1167"/>
  <c r="V109" i="1167"/>
  <c r="W109" i="1167"/>
  <c r="X109" i="1167"/>
  <c r="Y109" i="1167"/>
  <c r="Z109" i="1167"/>
  <c r="L110" i="1167"/>
  <c r="M110" i="1167"/>
  <c r="N110" i="1167"/>
  <c r="O110" i="1167"/>
  <c r="P110" i="1167"/>
  <c r="Q110" i="1167"/>
  <c r="R110" i="1167"/>
  <c r="S110" i="1167"/>
  <c r="T110" i="1167"/>
  <c r="U110" i="1167"/>
  <c r="V110" i="1167"/>
  <c r="W110" i="1167"/>
  <c r="X110" i="1167"/>
  <c r="Y110" i="1167"/>
  <c r="Z110" i="1167"/>
  <c r="L111" i="1167"/>
  <c r="M111" i="1167"/>
  <c r="N111" i="1167"/>
  <c r="O111" i="1167"/>
  <c r="P111" i="1167"/>
  <c r="Q111" i="1167"/>
  <c r="R111" i="1167"/>
  <c r="S111" i="1167"/>
  <c r="T111" i="1167"/>
  <c r="U111" i="1167"/>
  <c r="V111" i="1167"/>
  <c r="W111" i="1167"/>
  <c r="X111" i="1167"/>
  <c r="Y111" i="1167"/>
  <c r="Z111" i="1167"/>
  <c r="L112" i="1167"/>
  <c r="M112" i="1167"/>
  <c r="N112" i="1167"/>
  <c r="O112" i="1167"/>
  <c r="P112" i="1167"/>
  <c r="Q112" i="1167"/>
  <c r="R112" i="1167"/>
  <c r="S112" i="1167"/>
  <c r="T112" i="1167"/>
  <c r="U112" i="1167"/>
  <c r="V112" i="1167"/>
  <c r="W112" i="1167"/>
  <c r="X112" i="1167"/>
  <c r="Y112" i="1167"/>
  <c r="Z112" i="1167"/>
  <c r="L113" i="1167"/>
  <c r="M113" i="1167"/>
  <c r="N113" i="1167"/>
  <c r="O113" i="1167"/>
  <c r="P113" i="1167"/>
  <c r="Q113" i="1167"/>
  <c r="R113" i="1167"/>
  <c r="S113" i="1167"/>
  <c r="T113" i="1167"/>
  <c r="U113" i="1167"/>
  <c r="V113" i="1167"/>
  <c r="W113" i="1167"/>
  <c r="X113" i="1167"/>
  <c r="Y113" i="1167"/>
  <c r="Z113" i="1167"/>
  <c r="L114" i="1167"/>
  <c r="M114" i="1167"/>
  <c r="N114" i="1167"/>
  <c r="O114" i="1167"/>
  <c r="P114" i="1167"/>
  <c r="Q114" i="1167"/>
  <c r="R114" i="1167"/>
  <c r="S114" i="1167"/>
  <c r="T114" i="1167"/>
  <c r="U114" i="1167"/>
  <c r="V114" i="1167"/>
  <c r="W114" i="1167"/>
  <c r="X114" i="1167"/>
  <c r="Y114" i="1167"/>
  <c r="Z114" i="1167"/>
  <c r="L115" i="1167"/>
  <c r="M115" i="1167"/>
  <c r="N115" i="1167"/>
  <c r="O115" i="1167"/>
  <c r="P115" i="1167"/>
  <c r="Q115" i="1167"/>
  <c r="R115" i="1167"/>
  <c r="S115" i="1167"/>
  <c r="T115" i="1167"/>
  <c r="U115" i="1167"/>
  <c r="V115" i="1167"/>
  <c r="W115" i="1167"/>
  <c r="X115" i="1167"/>
  <c r="Y115" i="1167"/>
  <c r="Z115" i="1167"/>
  <c r="L116" i="1167"/>
  <c r="M116" i="1167"/>
  <c r="N116" i="1167"/>
  <c r="O116" i="1167"/>
  <c r="P116" i="1167"/>
  <c r="Q116" i="1167"/>
  <c r="R116" i="1167"/>
  <c r="S116" i="1167"/>
  <c r="T116" i="1167"/>
  <c r="U116" i="1167"/>
  <c r="V116" i="1167"/>
  <c r="W116" i="1167"/>
  <c r="X116" i="1167"/>
  <c r="Y116" i="1167"/>
  <c r="Z116" i="1167"/>
  <c r="L117" i="1167"/>
  <c r="M117" i="1167"/>
  <c r="N117" i="1167"/>
  <c r="O117" i="1167"/>
  <c r="P117" i="1167"/>
  <c r="Q117" i="1167"/>
  <c r="R117" i="1167"/>
  <c r="S117" i="1167"/>
  <c r="T117" i="1167"/>
  <c r="U117" i="1167"/>
  <c r="V117" i="1167"/>
  <c r="W117" i="1167"/>
  <c r="X117" i="1167"/>
  <c r="Y117" i="1167"/>
  <c r="Z117" i="1167"/>
  <c r="L118" i="1167"/>
  <c r="M118" i="1167"/>
  <c r="N118" i="1167"/>
  <c r="O118" i="1167"/>
  <c r="P118" i="1167"/>
  <c r="Q118" i="1167"/>
  <c r="R118" i="1167"/>
  <c r="S118" i="1167"/>
  <c r="T118" i="1167"/>
  <c r="U118" i="1167"/>
  <c r="V118" i="1167"/>
  <c r="W118" i="1167"/>
  <c r="X118" i="1167"/>
  <c r="Y118" i="1167"/>
  <c r="Z118" i="1167"/>
  <c r="L119" i="1167"/>
  <c r="M119" i="1167"/>
  <c r="N119" i="1167"/>
  <c r="O119" i="1167"/>
  <c r="P119" i="1167"/>
  <c r="Q119" i="1167"/>
  <c r="R119" i="1167"/>
  <c r="S119" i="1167"/>
  <c r="T119" i="1167"/>
  <c r="U119" i="1167"/>
  <c r="V119" i="1167"/>
  <c r="W119" i="1167"/>
  <c r="X119" i="1167"/>
  <c r="Y119" i="1167"/>
  <c r="Z119" i="1167"/>
  <c r="L120" i="1167"/>
  <c r="M120" i="1167"/>
  <c r="N120" i="1167"/>
  <c r="O120" i="1167"/>
  <c r="P120" i="1167"/>
  <c r="Q120" i="1167"/>
  <c r="R120" i="1167"/>
  <c r="S120" i="1167"/>
  <c r="T120" i="1167"/>
  <c r="U120" i="1167"/>
  <c r="V120" i="1167"/>
  <c r="W120" i="1167"/>
  <c r="X120" i="1167"/>
  <c r="Y120" i="1167"/>
  <c r="Z120" i="1167"/>
  <c r="L121" i="1167"/>
  <c r="M121" i="1167"/>
  <c r="N121" i="1167"/>
  <c r="O121" i="1167"/>
  <c r="P121" i="1167"/>
  <c r="Q121" i="1167"/>
  <c r="R121" i="1167"/>
  <c r="S121" i="1167"/>
  <c r="T121" i="1167"/>
  <c r="U121" i="1167"/>
  <c r="V121" i="1167"/>
  <c r="W121" i="1167"/>
  <c r="X121" i="1167"/>
  <c r="Y121" i="1167"/>
  <c r="Z121" i="1167"/>
  <c r="L122" i="1167"/>
  <c r="M122" i="1167"/>
  <c r="N122" i="1167"/>
  <c r="O122" i="1167"/>
  <c r="P122" i="1167"/>
  <c r="Q122" i="1167"/>
  <c r="R122" i="1167"/>
  <c r="S122" i="1167"/>
  <c r="T122" i="1167"/>
  <c r="U122" i="1167"/>
  <c r="V122" i="1167"/>
  <c r="W122" i="1167"/>
  <c r="X122" i="1167"/>
  <c r="Y122" i="1167"/>
  <c r="Z122" i="1167"/>
  <c r="L123" i="1167"/>
  <c r="M123" i="1167"/>
  <c r="N123" i="1167"/>
  <c r="O123" i="1167"/>
  <c r="P123" i="1167"/>
  <c r="Q123" i="1167"/>
  <c r="R123" i="1167"/>
  <c r="S123" i="1167"/>
  <c r="T123" i="1167"/>
  <c r="U123" i="1167"/>
  <c r="V123" i="1167"/>
  <c r="W123" i="1167"/>
  <c r="X123" i="1167"/>
  <c r="Y123" i="1167"/>
  <c r="Z123" i="1167"/>
  <c r="L124" i="1167"/>
  <c r="M124" i="1167"/>
  <c r="N124" i="1167"/>
  <c r="O124" i="1167"/>
  <c r="P124" i="1167"/>
  <c r="Q124" i="1167"/>
  <c r="R124" i="1167"/>
  <c r="S124" i="1167"/>
  <c r="T124" i="1167"/>
  <c r="U124" i="1167"/>
  <c r="V124" i="1167"/>
  <c r="W124" i="1167"/>
  <c r="X124" i="1167"/>
  <c r="Y124" i="1167"/>
  <c r="Z124" i="1167"/>
  <c r="L125" i="1167"/>
  <c r="M125" i="1167"/>
  <c r="N125" i="1167"/>
  <c r="O125" i="1167"/>
  <c r="P125" i="1167"/>
  <c r="Q125" i="1167"/>
  <c r="R125" i="1167"/>
  <c r="S125" i="1167"/>
  <c r="T125" i="1167"/>
  <c r="U125" i="1167"/>
  <c r="V125" i="1167"/>
  <c r="W125" i="1167"/>
  <c r="X125" i="1167"/>
  <c r="Y125" i="1167"/>
  <c r="Z125" i="1167"/>
  <c r="L126" i="1167"/>
  <c r="M126" i="1167"/>
  <c r="N126" i="1167"/>
  <c r="O126" i="1167"/>
  <c r="P126" i="1167"/>
  <c r="Q126" i="1167"/>
  <c r="R126" i="1167"/>
  <c r="S126" i="1167"/>
  <c r="T126" i="1167"/>
  <c r="U126" i="1167"/>
  <c r="V126" i="1167"/>
  <c r="W126" i="1167"/>
  <c r="X126" i="1167"/>
  <c r="Y126" i="1167"/>
  <c r="Z126" i="1167"/>
  <c r="L127" i="1167"/>
  <c r="M127" i="1167"/>
  <c r="N127" i="1167"/>
  <c r="O127" i="1167"/>
  <c r="P127" i="1167"/>
  <c r="Q127" i="1167"/>
  <c r="R127" i="1167"/>
  <c r="S127" i="1167"/>
  <c r="T127" i="1167"/>
  <c r="U127" i="1167"/>
  <c r="V127" i="1167"/>
  <c r="W127" i="1167"/>
  <c r="X127" i="1167"/>
  <c r="Y127" i="1167"/>
  <c r="Z127" i="1167"/>
  <c r="L128" i="1167"/>
  <c r="M128" i="1167"/>
  <c r="N128" i="1167"/>
  <c r="O128" i="1167"/>
  <c r="P128" i="1167"/>
  <c r="Q128" i="1167"/>
  <c r="R128" i="1167"/>
  <c r="S128" i="1167"/>
  <c r="T128" i="1167"/>
  <c r="U128" i="1167"/>
  <c r="V128" i="1167"/>
  <c r="W128" i="1167"/>
  <c r="X128" i="1167"/>
  <c r="Y128" i="1167"/>
  <c r="Z128" i="1167"/>
  <c r="L129" i="1167"/>
  <c r="M129" i="1167"/>
  <c r="N129" i="1167"/>
  <c r="O129" i="1167"/>
  <c r="P129" i="1167"/>
  <c r="Q129" i="1167"/>
  <c r="R129" i="1167"/>
  <c r="S129" i="1167"/>
  <c r="T129" i="1167"/>
  <c r="U129" i="1167"/>
  <c r="V129" i="1167"/>
  <c r="W129" i="1167"/>
  <c r="X129" i="1167"/>
  <c r="Y129" i="1167"/>
  <c r="Z129" i="1167"/>
  <c r="L130" i="1167"/>
  <c r="M130" i="1167"/>
  <c r="N130" i="1167"/>
  <c r="O130" i="1167"/>
  <c r="P130" i="1167"/>
  <c r="Q130" i="1167"/>
  <c r="R130" i="1167"/>
  <c r="S130" i="1167"/>
  <c r="T130" i="1167"/>
  <c r="U130" i="1167"/>
  <c r="V130" i="1167"/>
  <c r="W130" i="1167"/>
  <c r="X130" i="1167"/>
  <c r="Y130" i="1167"/>
  <c r="Z130" i="1167"/>
  <c r="L131" i="1167"/>
  <c r="M131" i="1167"/>
  <c r="N131" i="1167"/>
  <c r="O131" i="1167"/>
  <c r="P131" i="1167"/>
  <c r="Q131" i="1167"/>
  <c r="R131" i="1167"/>
  <c r="S131" i="1167"/>
  <c r="T131" i="1167"/>
  <c r="U131" i="1167"/>
  <c r="V131" i="1167"/>
  <c r="W131" i="1167"/>
  <c r="X131" i="1167"/>
  <c r="Y131" i="1167"/>
  <c r="Z131" i="1167"/>
  <c r="L132" i="1167"/>
  <c r="M132" i="1167"/>
  <c r="N132" i="1167"/>
  <c r="O132" i="1167"/>
  <c r="P132" i="1167"/>
  <c r="Q132" i="1167"/>
  <c r="R132" i="1167"/>
  <c r="S132" i="1167"/>
  <c r="T132" i="1167"/>
  <c r="U132" i="1167"/>
  <c r="V132" i="1167"/>
  <c r="W132" i="1167"/>
  <c r="X132" i="1167"/>
  <c r="Y132" i="1167"/>
  <c r="Z132" i="1167"/>
  <c r="L133" i="1167"/>
  <c r="M133" i="1167"/>
  <c r="N133" i="1167"/>
  <c r="O133" i="1167"/>
  <c r="P133" i="1167"/>
  <c r="Q133" i="1167"/>
  <c r="R133" i="1167"/>
  <c r="S133" i="1167"/>
  <c r="T133" i="1167"/>
  <c r="U133" i="1167"/>
  <c r="V133" i="1167"/>
  <c r="W133" i="1167"/>
  <c r="X133" i="1167"/>
  <c r="Y133" i="1167"/>
  <c r="Z133" i="1167"/>
  <c r="L134" i="1167"/>
  <c r="M134" i="1167"/>
  <c r="N134" i="1167"/>
  <c r="O134" i="1167"/>
  <c r="P134" i="1167"/>
  <c r="Q134" i="1167"/>
  <c r="R134" i="1167"/>
  <c r="S134" i="1167"/>
  <c r="T134" i="1167"/>
  <c r="U134" i="1167"/>
  <c r="V134" i="1167"/>
  <c r="W134" i="1167"/>
  <c r="X134" i="1167"/>
  <c r="Y134" i="1167"/>
  <c r="Z134" i="1167"/>
  <c r="L135" i="1167"/>
  <c r="M135" i="1167"/>
  <c r="N135" i="1167"/>
  <c r="O135" i="1167"/>
  <c r="P135" i="1167"/>
  <c r="Q135" i="1167"/>
  <c r="R135" i="1167"/>
  <c r="S135" i="1167"/>
  <c r="T135" i="1167"/>
  <c r="U135" i="1167"/>
  <c r="V135" i="1167"/>
  <c r="W135" i="1167"/>
  <c r="X135" i="1167"/>
  <c r="Y135" i="1167"/>
  <c r="Z135" i="1167"/>
  <c r="L136" i="1167"/>
  <c r="M136" i="1167"/>
  <c r="N136" i="1167"/>
  <c r="O136" i="1167"/>
  <c r="P136" i="1167"/>
  <c r="Q136" i="1167"/>
  <c r="R136" i="1167"/>
  <c r="S136" i="1167"/>
  <c r="T136" i="1167"/>
  <c r="U136" i="1167"/>
  <c r="V136" i="1167"/>
  <c r="W136" i="1167"/>
  <c r="X136" i="1167"/>
  <c r="Y136" i="1167"/>
  <c r="Z136" i="1167"/>
  <c r="L137" i="1167"/>
  <c r="M137" i="1167"/>
  <c r="N137" i="1167"/>
  <c r="O137" i="1167"/>
  <c r="P137" i="1167"/>
  <c r="Q137" i="1167"/>
  <c r="R137" i="1167"/>
  <c r="S137" i="1167"/>
  <c r="T137" i="1167"/>
  <c r="U137" i="1167"/>
  <c r="V137" i="1167"/>
  <c r="W137" i="1167"/>
  <c r="X137" i="1167"/>
  <c r="Y137" i="1167"/>
  <c r="Z137" i="1167"/>
  <c r="L138" i="1167"/>
  <c r="M138" i="1167"/>
  <c r="N138" i="1167"/>
  <c r="O138" i="1167"/>
  <c r="P138" i="1167"/>
  <c r="Q138" i="1167"/>
  <c r="R138" i="1167"/>
  <c r="S138" i="1167"/>
  <c r="T138" i="1167"/>
  <c r="U138" i="1167"/>
  <c r="V138" i="1167"/>
  <c r="W138" i="1167"/>
  <c r="X138" i="1167"/>
  <c r="Y138" i="1167"/>
  <c r="Z138" i="1167"/>
  <c r="L139" i="1167"/>
  <c r="M139" i="1167"/>
  <c r="N139" i="1167"/>
  <c r="O139" i="1167"/>
  <c r="P139" i="1167"/>
  <c r="Q139" i="1167"/>
  <c r="R139" i="1167"/>
  <c r="S139" i="1167"/>
  <c r="T139" i="1167"/>
  <c r="U139" i="1167"/>
  <c r="V139" i="1167"/>
  <c r="W139" i="1167"/>
  <c r="X139" i="1167"/>
  <c r="Y139" i="1167"/>
  <c r="Z139" i="1167"/>
  <c r="L140" i="1167"/>
  <c r="M140" i="1167"/>
  <c r="N140" i="1167"/>
  <c r="O140" i="1167"/>
  <c r="P140" i="1167"/>
  <c r="Q140" i="1167"/>
  <c r="R140" i="1167"/>
  <c r="S140" i="1167"/>
  <c r="T140" i="1167"/>
  <c r="U140" i="1167"/>
  <c r="V140" i="1167"/>
  <c r="W140" i="1167"/>
  <c r="X140" i="1167"/>
  <c r="Y140" i="1167"/>
  <c r="Z140" i="1167"/>
  <c r="L141" i="1167"/>
  <c r="M141" i="1167"/>
  <c r="N141" i="1167"/>
  <c r="O141" i="1167"/>
  <c r="P141" i="1167"/>
  <c r="Q141" i="1167"/>
  <c r="R141" i="1167"/>
  <c r="S141" i="1167"/>
  <c r="T141" i="1167"/>
  <c r="U141" i="1167"/>
  <c r="V141" i="1167"/>
  <c r="W141" i="1167"/>
  <c r="X141" i="1167"/>
  <c r="Y141" i="1167"/>
  <c r="Z141" i="1167"/>
  <c r="L142" i="1167"/>
  <c r="M142" i="1167"/>
  <c r="N142" i="1167"/>
  <c r="O142" i="1167"/>
  <c r="P142" i="1167"/>
  <c r="Q142" i="1167"/>
  <c r="R142" i="1167"/>
  <c r="S142" i="1167"/>
  <c r="T142" i="1167"/>
  <c r="U142" i="1167"/>
  <c r="V142" i="1167"/>
  <c r="W142" i="1167"/>
  <c r="X142" i="1167"/>
  <c r="Y142" i="1167"/>
  <c r="Z142" i="1167"/>
  <c r="L143" i="1167"/>
  <c r="M143" i="1167"/>
  <c r="N143" i="1167"/>
  <c r="O143" i="1167"/>
  <c r="P143" i="1167"/>
  <c r="Q143" i="1167"/>
  <c r="R143" i="1167"/>
  <c r="S143" i="1167"/>
  <c r="T143" i="1167"/>
  <c r="U143" i="1167"/>
  <c r="V143" i="1167"/>
  <c r="W143" i="1167"/>
  <c r="X143" i="1167"/>
  <c r="Y143" i="1167"/>
  <c r="Z143" i="1167"/>
  <c r="L144" i="1167"/>
  <c r="M144" i="1167"/>
  <c r="N144" i="1167"/>
  <c r="O144" i="1167"/>
  <c r="P144" i="1167"/>
  <c r="Q144" i="1167"/>
  <c r="R144" i="1167"/>
  <c r="S144" i="1167"/>
  <c r="T144" i="1167"/>
  <c r="U144" i="1167"/>
  <c r="V144" i="1167"/>
  <c r="W144" i="1167"/>
  <c r="X144" i="1167"/>
  <c r="Y144" i="1167"/>
  <c r="Z144" i="1167"/>
  <c r="L145" i="1167"/>
  <c r="M145" i="1167"/>
  <c r="N145" i="1167"/>
  <c r="O145" i="1167"/>
  <c r="P145" i="1167"/>
  <c r="Q145" i="1167"/>
  <c r="R145" i="1167"/>
  <c r="S145" i="1167"/>
  <c r="T145" i="1167"/>
  <c r="U145" i="1167"/>
  <c r="V145" i="1167"/>
  <c r="W145" i="1167"/>
  <c r="X145" i="1167"/>
  <c r="Y145" i="1167"/>
  <c r="Z145" i="1167"/>
  <c r="L146" i="1167"/>
  <c r="M146" i="1167"/>
  <c r="N146" i="1167"/>
  <c r="O146" i="1167"/>
  <c r="P146" i="1167"/>
  <c r="Q146" i="1167"/>
  <c r="R146" i="1167"/>
  <c r="S146" i="1167"/>
  <c r="T146" i="1167"/>
  <c r="U146" i="1167"/>
  <c r="V146" i="1167"/>
  <c r="W146" i="1167"/>
  <c r="X146" i="1167"/>
  <c r="Y146" i="1167"/>
  <c r="Z146" i="1167"/>
  <c r="L147" i="1167"/>
  <c r="M147" i="1167"/>
  <c r="N147" i="1167"/>
  <c r="O147" i="1167"/>
  <c r="P147" i="1167"/>
  <c r="Q147" i="1167"/>
  <c r="R147" i="1167"/>
  <c r="S147" i="1167"/>
  <c r="T147" i="1167"/>
  <c r="U147" i="1167"/>
  <c r="V147" i="1167"/>
  <c r="W147" i="1167"/>
  <c r="X147" i="1167"/>
  <c r="Y147" i="1167"/>
  <c r="Z147" i="1167"/>
  <c r="L148" i="1167"/>
  <c r="M148" i="1167"/>
  <c r="N148" i="1167"/>
  <c r="O148" i="1167"/>
  <c r="P148" i="1167"/>
  <c r="Q148" i="1167"/>
  <c r="R148" i="1167"/>
  <c r="S148" i="1167"/>
  <c r="T148" i="1167"/>
  <c r="U148" i="1167"/>
  <c r="V148" i="1167"/>
  <c r="W148" i="1167"/>
  <c r="X148" i="1167"/>
  <c r="Y148" i="1167"/>
  <c r="Z148" i="1167"/>
  <c r="L149" i="1167"/>
  <c r="M149" i="1167"/>
  <c r="N149" i="1167"/>
  <c r="O149" i="1167"/>
  <c r="P149" i="1167"/>
  <c r="Q149" i="1167"/>
  <c r="R149" i="1167"/>
  <c r="S149" i="1167"/>
  <c r="T149" i="1167"/>
  <c r="U149" i="1167"/>
  <c r="V149" i="1167"/>
  <c r="W149" i="1167"/>
  <c r="X149" i="1167"/>
  <c r="Y149" i="1167"/>
  <c r="Z149" i="1167"/>
  <c r="L150" i="1167"/>
  <c r="M150" i="1167"/>
  <c r="N150" i="1167"/>
  <c r="O150" i="1167"/>
  <c r="P150" i="1167"/>
  <c r="Q150" i="1167"/>
  <c r="R150" i="1167"/>
  <c r="S150" i="1167"/>
  <c r="T150" i="1167"/>
  <c r="U150" i="1167"/>
  <c r="V150" i="1167"/>
  <c r="W150" i="1167"/>
  <c r="X150" i="1167"/>
  <c r="Y150" i="1167"/>
  <c r="Z150" i="1167"/>
  <c r="L151" i="1167"/>
  <c r="M151" i="1167"/>
  <c r="N151" i="1167"/>
  <c r="O151" i="1167"/>
  <c r="P151" i="1167"/>
  <c r="Q151" i="1167"/>
  <c r="R151" i="1167"/>
  <c r="S151" i="1167"/>
  <c r="T151" i="1167"/>
  <c r="U151" i="1167"/>
  <c r="V151" i="1167"/>
  <c r="W151" i="1167"/>
  <c r="X151" i="1167"/>
  <c r="Y151" i="1167"/>
  <c r="Z151" i="1167"/>
  <c r="L152" i="1167"/>
  <c r="M152" i="1167"/>
  <c r="N152" i="1167"/>
  <c r="O152" i="1167"/>
  <c r="P152" i="1167"/>
  <c r="Q152" i="1167"/>
  <c r="R152" i="1167"/>
  <c r="S152" i="1167"/>
  <c r="T152" i="1167"/>
  <c r="U152" i="1167"/>
  <c r="V152" i="1167"/>
  <c r="W152" i="1167"/>
  <c r="X152" i="1167"/>
  <c r="Y152" i="1167"/>
  <c r="Z152" i="1167"/>
  <c r="L153" i="1167"/>
  <c r="M153" i="1167"/>
  <c r="N153" i="1167"/>
  <c r="O153" i="1167"/>
  <c r="P153" i="1167"/>
  <c r="Q153" i="1167"/>
  <c r="R153" i="1167"/>
  <c r="S153" i="1167"/>
  <c r="T153" i="1167"/>
  <c r="U153" i="1167"/>
  <c r="V153" i="1167"/>
  <c r="W153" i="1167"/>
  <c r="X153" i="1167"/>
  <c r="Y153" i="1167"/>
  <c r="Z153" i="1167"/>
  <c r="L154" i="1167"/>
  <c r="M154" i="1167"/>
  <c r="N154" i="1167"/>
  <c r="O154" i="1167"/>
  <c r="P154" i="1167"/>
  <c r="Q154" i="1167"/>
  <c r="R154" i="1167"/>
  <c r="S154" i="1167"/>
  <c r="T154" i="1167"/>
  <c r="U154" i="1167"/>
  <c r="V154" i="1167"/>
  <c r="W154" i="1167"/>
  <c r="X154" i="1167"/>
  <c r="Y154" i="1167"/>
  <c r="Z154" i="1167"/>
  <c r="L155" i="1167"/>
  <c r="M155" i="1167"/>
  <c r="N155" i="1167"/>
  <c r="O155" i="1167"/>
  <c r="P155" i="1167"/>
  <c r="Q155" i="1167"/>
  <c r="R155" i="1167"/>
  <c r="S155" i="1167"/>
  <c r="T155" i="1167"/>
  <c r="U155" i="1167"/>
  <c r="V155" i="1167"/>
  <c r="W155" i="1167"/>
  <c r="X155" i="1167"/>
  <c r="Y155" i="1167"/>
  <c r="Z155" i="1167"/>
  <c r="L156" i="1167"/>
  <c r="M156" i="1167"/>
  <c r="N156" i="1167"/>
  <c r="O156" i="1167"/>
  <c r="P156" i="1167"/>
  <c r="Q156" i="1167"/>
  <c r="R156" i="1167"/>
  <c r="S156" i="1167"/>
  <c r="T156" i="1167"/>
  <c r="U156" i="1167"/>
  <c r="V156" i="1167"/>
  <c r="W156" i="1167"/>
  <c r="X156" i="1167"/>
  <c r="Y156" i="1167"/>
  <c r="Z156" i="1167"/>
  <c r="L157" i="1167"/>
  <c r="M157" i="1167"/>
  <c r="N157" i="1167"/>
  <c r="O157" i="1167"/>
  <c r="P157" i="1167"/>
  <c r="Q157" i="1167"/>
  <c r="R157" i="1167"/>
  <c r="S157" i="1167"/>
  <c r="T157" i="1167"/>
  <c r="U157" i="1167"/>
  <c r="V157" i="1167"/>
  <c r="W157" i="1167"/>
  <c r="X157" i="1167"/>
  <c r="Y157" i="1167"/>
  <c r="Z157" i="1167"/>
  <c r="L158" i="1167"/>
  <c r="M158" i="1167"/>
  <c r="N158" i="1167"/>
  <c r="O158" i="1167"/>
  <c r="P158" i="1167"/>
  <c r="Q158" i="1167"/>
  <c r="R158" i="1167"/>
  <c r="S158" i="1167"/>
  <c r="T158" i="1167"/>
  <c r="U158" i="1167"/>
  <c r="V158" i="1167"/>
  <c r="W158" i="1167"/>
  <c r="X158" i="1167"/>
  <c r="Y158" i="1167"/>
  <c r="Z158" i="1167"/>
  <c r="L159" i="1167"/>
  <c r="M159" i="1167"/>
  <c r="N159" i="1167"/>
  <c r="O159" i="1167"/>
  <c r="P159" i="1167"/>
  <c r="Q159" i="1167"/>
  <c r="R159" i="1167"/>
  <c r="S159" i="1167"/>
  <c r="T159" i="1167"/>
  <c r="U159" i="1167"/>
  <c r="V159" i="1167"/>
  <c r="W159" i="1167"/>
  <c r="X159" i="1167"/>
  <c r="Y159" i="1167"/>
  <c r="Z159" i="1167"/>
  <c r="L160" i="1167"/>
  <c r="M160" i="1167"/>
  <c r="N160" i="1167"/>
  <c r="O160" i="1167"/>
  <c r="P160" i="1167"/>
  <c r="Q160" i="1167"/>
  <c r="R160" i="1167"/>
  <c r="S160" i="1167"/>
  <c r="T160" i="1167"/>
  <c r="U160" i="1167"/>
  <c r="V160" i="1167"/>
  <c r="W160" i="1167"/>
  <c r="X160" i="1167"/>
  <c r="Y160" i="1167"/>
  <c r="Z160" i="1167"/>
  <c r="L161" i="1167"/>
  <c r="M161" i="1167"/>
  <c r="N161" i="1167"/>
  <c r="O161" i="1167"/>
  <c r="P161" i="1167"/>
  <c r="Q161" i="1167"/>
  <c r="R161" i="1167"/>
  <c r="S161" i="1167"/>
  <c r="T161" i="1167"/>
  <c r="U161" i="1167"/>
  <c r="V161" i="1167"/>
  <c r="W161" i="1167"/>
  <c r="X161" i="1167"/>
  <c r="Y161" i="1167"/>
  <c r="Z161" i="1167"/>
  <c r="L162" i="1167"/>
  <c r="M162" i="1167"/>
  <c r="N162" i="1167"/>
  <c r="O162" i="1167"/>
  <c r="P162" i="1167"/>
  <c r="Q162" i="1167"/>
  <c r="R162" i="1167"/>
  <c r="S162" i="1167"/>
  <c r="T162" i="1167"/>
  <c r="U162" i="1167"/>
  <c r="V162" i="1167"/>
  <c r="W162" i="1167"/>
  <c r="X162" i="1167"/>
  <c r="Y162" i="1167"/>
  <c r="Z162" i="1167"/>
  <c r="L163" i="1167"/>
  <c r="M163" i="1167"/>
  <c r="N163" i="1167"/>
  <c r="O163" i="1167"/>
  <c r="P163" i="1167"/>
  <c r="Q163" i="1167"/>
  <c r="R163" i="1167"/>
  <c r="S163" i="1167"/>
  <c r="T163" i="1167"/>
  <c r="U163" i="1167"/>
  <c r="V163" i="1167"/>
  <c r="W163" i="1167"/>
  <c r="X163" i="1167"/>
  <c r="Y163" i="1167"/>
  <c r="Z163" i="1167"/>
  <c r="L164" i="1167"/>
  <c r="M164" i="1167"/>
  <c r="N164" i="1167"/>
  <c r="O164" i="1167"/>
  <c r="P164" i="1167"/>
  <c r="Q164" i="1167"/>
  <c r="R164" i="1167"/>
  <c r="S164" i="1167"/>
  <c r="T164" i="1167"/>
  <c r="U164" i="1167"/>
  <c r="V164" i="1167"/>
  <c r="W164" i="1167"/>
  <c r="X164" i="1167"/>
  <c r="Y164" i="1167"/>
  <c r="Z164" i="1167"/>
  <c r="L165" i="1167"/>
  <c r="M165" i="1167"/>
  <c r="N165" i="1167"/>
  <c r="O165" i="1167"/>
  <c r="P165" i="1167"/>
  <c r="Q165" i="1167"/>
  <c r="R165" i="1167"/>
  <c r="S165" i="1167"/>
  <c r="T165" i="1167"/>
  <c r="U165" i="1167"/>
  <c r="V165" i="1167"/>
  <c r="W165" i="1167"/>
  <c r="X165" i="1167"/>
  <c r="Y165" i="1167"/>
  <c r="Z165" i="1167"/>
  <c r="L166" i="1167"/>
  <c r="M166" i="1167"/>
  <c r="N166" i="1167"/>
  <c r="O166" i="1167"/>
  <c r="P166" i="1167"/>
  <c r="Q166" i="1167"/>
  <c r="R166" i="1167"/>
  <c r="S166" i="1167"/>
  <c r="T166" i="1167"/>
  <c r="U166" i="1167"/>
  <c r="V166" i="1167"/>
  <c r="W166" i="1167"/>
  <c r="X166" i="1167"/>
  <c r="Y166" i="1167"/>
  <c r="Z166" i="1167"/>
  <c r="L167" i="1167"/>
  <c r="M167" i="1167"/>
  <c r="N167" i="1167"/>
  <c r="O167" i="1167"/>
  <c r="P167" i="1167"/>
  <c r="Q167" i="1167"/>
  <c r="R167" i="1167"/>
  <c r="S167" i="1167"/>
  <c r="T167" i="1167"/>
  <c r="U167" i="1167"/>
  <c r="V167" i="1167"/>
  <c r="W167" i="1167"/>
  <c r="X167" i="1167"/>
  <c r="Y167" i="1167"/>
  <c r="Z167" i="1167"/>
  <c r="L168" i="1167"/>
  <c r="M168" i="1167"/>
  <c r="N168" i="1167"/>
  <c r="O168" i="1167"/>
  <c r="P168" i="1167"/>
  <c r="Q168" i="1167"/>
  <c r="R168" i="1167"/>
  <c r="S168" i="1167"/>
  <c r="T168" i="1167"/>
  <c r="U168" i="1167"/>
  <c r="V168" i="1167"/>
  <c r="W168" i="1167"/>
  <c r="X168" i="1167"/>
  <c r="Y168" i="1167"/>
  <c r="Z168" i="1167"/>
  <c r="L169" i="1167"/>
  <c r="M169" i="1167"/>
  <c r="N169" i="1167"/>
  <c r="O169" i="1167"/>
  <c r="P169" i="1167"/>
  <c r="Q169" i="1167"/>
  <c r="R169" i="1167"/>
  <c r="S169" i="1167"/>
  <c r="T169" i="1167"/>
  <c r="U169" i="1167"/>
  <c r="V169" i="1167"/>
  <c r="W169" i="1167"/>
  <c r="X169" i="1167"/>
  <c r="Y169" i="1167"/>
  <c r="Z169" i="1167"/>
  <c r="L170" i="1167"/>
  <c r="M170" i="1167"/>
  <c r="N170" i="1167"/>
  <c r="O170" i="1167"/>
  <c r="P170" i="1167"/>
  <c r="Q170" i="1167"/>
  <c r="R170" i="1167"/>
  <c r="S170" i="1167"/>
  <c r="T170" i="1167"/>
  <c r="U170" i="1167"/>
  <c r="V170" i="1167"/>
  <c r="W170" i="1167"/>
  <c r="X170" i="1167"/>
  <c r="Y170" i="1167"/>
  <c r="Z170" i="1167"/>
  <c r="L171" i="1167"/>
  <c r="M171" i="1167"/>
  <c r="N171" i="1167"/>
  <c r="O171" i="1167"/>
  <c r="P171" i="1167"/>
  <c r="Q171" i="1167"/>
  <c r="R171" i="1167"/>
  <c r="S171" i="1167"/>
  <c r="T171" i="1167"/>
  <c r="U171" i="1167"/>
  <c r="V171" i="1167"/>
  <c r="W171" i="1167"/>
  <c r="X171" i="1167"/>
  <c r="Y171" i="1167"/>
  <c r="Z171" i="1167"/>
  <c r="L172" i="1167"/>
  <c r="M172" i="1167"/>
  <c r="N172" i="1167"/>
  <c r="O172" i="1167"/>
  <c r="P172" i="1167"/>
  <c r="Q172" i="1167"/>
  <c r="R172" i="1167"/>
  <c r="S172" i="1167"/>
  <c r="T172" i="1167"/>
  <c r="U172" i="1167"/>
  <c r="V172" i="1167"/>
  <c r="W172" i="1167"/>
  <c r="X172" i="1167"/>
  <c r="Y172" i="1167"/>
  <c r="Z172" i="1167"/>
  <c r="L173" i="1167"/>
  <c r="M173" i="1167"/>
  <c r="N173" i="1167"/>
  <c r="O173" i="1167"/>
  <c r="P173" i="1167"/>
  <c r="Q173" i="1167"/>
  <c r="R173" i="1167"/>
  <c r="S173" i="1167"/>
  <c r="T173" i="1167"/>
  <c r="U173" i="1167"/>
  <c r="V173" i="1167"/>
  <c r="W173" i="1167"/>
  <c r="X173" i="1167"/>
  <c r="Y173" i="1167"/>
  <c r="Z173" i="1167"/>
  <c r="L174" i="1167"/>
  <c r="M174" i="1167"/>
  <c r="N174" i="1167"/>
  <c r="O174" i="1167"/>
  <c r="P174" i="1167"/>
  <c r="Q174" i="1167"/>
  <c r="R174" i="1167"/>
  <c r="S174" i="1167"/>
  <c r="T174" i="1167"/>
  <c r="U174" i="1167"/>
  <c r="V174" i="1167"/>
  <c r="W174" i="1167"/>
  <c r="X174" i="1167"/>
  <c r="Y174" i="1167"/>
  <c r="Z174" i="1167"/>
  <c r="L175" i="1167"/>
  <c r="M175" i="1167"/>
  <c r="N175" i="1167"/>
  <c r="O175" i="1167"/>
  <c r="P175" i="1167"/>
  <c r="Q175" i="1167"/>
  <c r="R175" i="1167"/>
  <c r="S175" i="1167"/>
  <c r="T175" i="1167"/>
  <c r="U175" i="1167"/>
  <c r="V175" i="1167"/>
  <c r="W175" i="1167"/>
  <c r="X175" i="1167"/>
  <c r="Y175" i="1167"/>
  <c r="Z175" i="1167"/>
  <c r="L176" i="1167"/>
  <c r="M176" i="1167"/>
  <c r="N176" i="1167"/>
  <c r="O176" i="1167"/>
  <c r="P176" i="1167"/>
  <c r="Q176" i="1167"/>
  <c r="R176" i="1167"/>
  <c r="S176" i="1167"/>
  <c r="T176" i="1167"/>
  <c r="U176" i="1167"/>
  <c r="V176" i="1167"/>
  <c r="W176" i="1167"/>
  <c r="X176" i="1167"/>
  <c r="Y176" i="1167"/>
  <c r="Z176" i="1167"/>
  <c r="L177" i="1167"/>
  <c r="M177" i="1167"/>
  <c r="N177" i="1167"/>
  <c r="O177" i="1167"/>
  <c r="P177" i="1167"/>
  <c r="Q177" i="1167"/>
  <c r="R177" i="1167"/>
  <c r="S177" i="1167"/>
  <c r="T177" i="1167"/>
  <c r="U177" i="1167"/>
  <c r="V177" i="1167"/>
  <c r="W177" i="1167"/>
  <c r="X177" i="1167"/>
  <c r="Y177" i="1167"/>
  <c r="Z177" i="1167"/>
  <c r="L178" i="1167"/>
  <c r="M178" i="1167"/>
  <c r="N178" i="1167"/>
  <c r="O178" i="1167"/>
  <c r="P178" i="1167"/>
  <c r="Q178" i="1167"/>
  <c r="R178" i="1167"/>
  <c r="S178" i="1167"/>
  <c r="T178" i="1167"/>
  <c r="U178" i="1167"/>
  <c r="V178" i="1167"/>
  <c r="W178" i="1167"/>
  <c r="X178" i="1167"/>
  <c r="Y178" i="1167"/>
  <c r="Z178" i="1167"/>
  <c r="L179" i="1167"/>
  <c r="M179" i="1167"/>
  <c r="N179" i="1167"/>
  <c r="O179" i="1167"/>
  <c r="P179" i="1167"/>
  <c r="Q179" i="1167"/>
  <c r="R179" i="1167"/>
  <c r="S179" i="1167"/>
  <c r="T179" i="1167"/>
  <c r="U179" i="1167"/>
  <c r="V179" i="1167"/>
  <c r="W179" i="1167"/>
  <c r="X179" i="1167"/>
  <c r="Y179" i="1167"/>
  <c r="Z179" i="1167"/>
  <c r="L180" i="1167"/>
  <c r="M180" i="1167"/>
  <c r="N180" i="1167"/>
  <c r="O180" i="1167"/>
  <c r="P180" i="1167"/>
  <c r="Q180" i="1167"/>
  <c r="R180" i="1167"/>
  <c r="S180" i="1167"/>
  <c r="T180" i="1167"/>
  <c r="U180" i="1167"/>
  <c r="V180" i="1167"/>
  <c r="W180" i="1167"/>
  <c r="X180" i="1167"/>
  <c r="Y180" i="1167"/>
  <c r="Z180" i="1167"/>
  <c r="L181" i="1167"/>
  <c r="M181" i="1167"/>
  <c r="N181" i="1167"/>
  <c r="O181" i="1167"/>
  <c r="P181" i="1167"/>
  <c r="Q181" i="1167"/>
  <c r="R181" i="1167"/>
  <c r="S181" i="1167"/>
  <c r="T181" i="1167"/>
  <c r="U181" i="1167"/>
  <c r="V181" i="1167"/>
  <c r="W181" i="1167"/>
  <c r="X181" i="1167"/>
  <c r="Y181" i="1167"/>
  <c r="Z181" i="1167"/>
  <c r="L182" i="1167"/>
  <c r="M182" i="1167"/>
  <c r="N182" i="1167"/>
  <c r="O182" i="1167"/>
  <c r="P182" i="1167"/>
  <c r="Q182" i="1167"/>
  <c r="R182" i="1167"/>
  <c r="S182" i="1167"/>
  <c r="T182" i="1167"/>
  <c r="U182" i="1167"/>
  <c r="V182" i="1167"/>
  <c r="W182" i="1167"/>
  <c r="X182" i="1167"/>
  <c r="Y182" i="1167"/>
  <c r="Z182" i="1167"/>
  <c r="L183" i="1167"/>
  <c r="M183" i="1167"/>
  <c r="N183" i="1167"/>
  <c r="O183" i="1167"/>
  <c r="P183" i="1167"/>
  <c r="Q183" i="1167"/>
  <c r="R183" i="1167"/>
  <c r="S183" i="1167"/>
  <c r="T183" i="1167"/>
  <c r="U183" i="1167"/>
  <c r="V183" i="1167"/>
  <c r="W183" i="1167"/>
  <c r="X183" i="1167"/>
  <c r="Y183" i="1167"/>
  <c r="Z183" i="1167"/>
  <c r="L184" i="1167"/>
  <c r="M184" i="1167"/>
  <c r="N184" i="1167"/>
  <c r="O184" i="1167"/>
  <c r="P184" i="1167"/>
  <c r="Q184" i="1167"/>
  <c r="R184" i="1167"/>
  <c r="S184" i="1167"/>
  <c r="T184" i="1167"/>
  <c r="U184" i="1167"/>
  <c r="V184" i="1167"/>
  <c r="W184" i="1167"/>
  <c r="X184" i="1167"/>
  <c r="Y184" i="1167"/>
  <c r="Z184" i="1167"/>
  <c r="L185" i="1167"/>
  <c r="M185" i="1167"/>
  <c r="N185" i="1167"/>
  <c r="O185" i="1167"/>
  <c r="P185" i="1167"/>
  <c r="Q185" i="1167"/>
  <c r="R185" i="1167"/>
  <c r="S185" i="1167"/>
  <c r="T185" i="1167"/>
  <c r="U185" i="1167"/>
  <c r="V185" i="1167"/>
  <c r="W185" i="1167"/>
  <c r="X185" i="1167"/>
  <c r="Y185" i="1167"/>
  <c r="Z185" i="1167"/>
  <c r="L186" i="1167"/>
  <c r="M186" i="1167"/>
  <c r="N186" i="1167"/>
  <c r="O186" i="1167"/>
  <c r="P186" i="1167"/>
  <c r="Q186" i="1167"/>
  <c r="R186" i="1167"/>
  <c r="S186" i="1167"/>
  <c r="T186" i="1167"/>
  <c r="U186" i="1167"/>
  <c r="V186" i="1167"/>
  <c r="W186" i="1167"/>
  <c r="X186" i="1167"/>
  <c r="Y186" i="1167"/>
  <c r="Z186" i="1167"/>
  <c r="L187" i="1167"/>
  <c r="M187" i="1167"/>
  <c r="N187" i="1167"/>
  <c r="O187" i="1167"/>
  <c r="P187" i="1167"/>
  <c r="Q187" i="1167"/>
  <c r="R187" i="1167"/>
  <c r="S187" i="1167"/>
  <c r="T187" i="1167"/>
  <c r="U187" i="1167"/>
  <c r="V187" i="1167"/>
  <c r="W187" i="1167"/>
  <c r="X187" i="1167"/>
  <c r="Y187" i="1167"/>
  <c r="Z187" i="1167"/>
  <c r="L188" i="1167"/>
  <c r="M188" i="1167"/>
  <c r="N188" i="1167"/>
  <c r="O188" i="1167"/>
  <c r="P188" i="1167"/>
  <c r="Q188" i="1167"/>
  <c r="R188" i="1167"/>
  <c r="S188" i="1167"/>
  <c r="T188" i="1167"/>
  <c r="U188" i="1167"/>
  <c r="V188" i="1167"/>
  <c r="W188" i="1167"/>
  <c r="X188" i="1167"/>
  <c r="Y188" i="1167"/>
  <c r="Z188" i="1167"/>
  <c r="L189" i="1167"/>
  <c r="M189" i="1167"/>
  <c r="N189" i="1167"/>
  <c r="O189" i="1167"/>
  <c r="P189" i="1167"/>
  <c r="Q189" i="1167"/>
  <c r="R189" i="1167"/>
  <c r="S189" i="1167"/>
  <c r="T189" i="1167"/>
  <c r="U189" i="1167"/>
  <c r="V189" i="1167"/>
  <c r="W189" i="1167"/>
  <c r="X189" i="1167"/>
  <c r="Y189" i="1167"/>
  <c r="Z189" i="1167"/>
  <c r="L190" i="1167"/>
  <c r="M190" i="1167"/>
  <c r="N190" i="1167"/>
  <c r="O190" i="1167"/>
  <c r="P190" i="1167"/>
  <c r="Q190" i="1167"/>
  <c r="R190" i="1167"/>
  <c r="S190" i="1167"/>
  <c r="T190" i="1167"/>
  <c r="U190" i="1167"/>
  <c r="V190" i="1167"/>
  <c r="W190" i="1167"/>
  <c r="X190" i="1167"/>
  <c r="Y190" i="1167"/>
  <c r="Z190" i="1167"/>
  <c r="L191" i="1167"/>
  <c r="M191" i="1167"/>
  <c r="N191" i="1167"/>
  <c r="O191" i="1167"/>
  <c r="P191" i="1167"/>
  <c r="Q191" i="1167"/>
  <c r="R191" i="1167"/>
  <c r="S191" i="1167"/>
  <c r="T191" i="1167"/>
  <c r="U191" i="1167"/>
  <c r="V191" i="1167"/>
  <c r="W191" i="1167"/>
  <c r="X191" i="1167"/>
  <c r="Y191" i="1167"/>
  <c r="Z191" i="1167"/>
  <c r="L192" i="1167"/>
  <c r="M192" i="1167"/>
  <c r="N192" i="1167"/>
  <c r="O192" i="1167"/>
  <c r="P192" i="1167"/>
  <c r="Q192" i="1167"/>
  <c r="R192" i="1167"/>
  <c r="S192" i="1167"/>
  <c r="T192" i="1167"/>
  <c r="U192" i="1167"/>
  <c r="V192" i="1167"/>
  <c r="W192" i="1167"/>
  <c r="X192" i="1167"/>
  <c r="Y192" i="1167"/>
  <c r="Z192" i="1167"/>
  <c r="L193" i="1167"/>
  <c r="M193" i="1167"/>
  <c r="N193" i="1167"/>
  <c r="O193" i="1167"/>
  <c r="P193" i="1167"/>
  <c r="Q193" i="1167"/>
  <c r="R193" i="1167"/>
  <c r="S193" i="1167"/>
  <c r="T193" i="1167"/>
  <c r="U193" i="1167"/>
  <c r="V193" i="1167"/>
  <c r="W193" i="1167"/>
  <c r="X193" i="1167"/>
  <c r="Y193" i="1167"/>
  <c r="Z193" i="1167"/>
  <c r="L194" i="1167"/>
  <c r="M194" i="1167"/>
  <c r="N194" i="1167"/>
  <c r="O194" i="1167"/>
  <c r="P194" i="1167"/>
  <c r="Q194" i="1167"/>
  <c r="R194" i="1167"/>
  <c r="S194" i="1167"/>
  <c r="T194" i="1167"/>
  <c r="U194" i="1167"/>
  <c r="V194" i="1167"/>
  <c r="W194" i="1167"/>
  <c r="X194" i="1167"/>
  <c r="Y194" i="1167"/>
  <c r="Z194" i="1167"/>
  <c r="L195" i="1167"/>
  <c r="M195" i="1167"/>
  <c r="N195" i="1167"/>
  <c r="O195" i="1167"/>
  <c r="P195" i="1167"/>
  <c r="Q195" i="1167"/>
  <c r="R195" i="1167"/>
  <c r="S195" i="1167"/>
  <c r="T195" i="1167"/>
  <c r="U195" i="1167"/>
  <c r="V195" i="1167"/>
  <c r="W195" i="1167"/>
  <c r="X195" i="1167"/>
  <c r="Y195" i="1167"/>
  <c r="Z195" i="1167"/>
  <c r="L196" i="1167"/>
  <c r="M196" i="1167"/>
  <c r="N196" i="1167"/>
  <c r="O196" i="1167"/>
  <c r="P196" i="1167"/>
  <c r="Q196" i="1167"/>
  <c r="R196" i="1167"/>
  <c r="S196" i="1167"/>
  <c r="T196" i="1167"/>
  <c r="U196" i="1167"/>
  <c r="V196" i="1167"/>
  <c r="W196" i="1167"/>
  <c r="X196" i="1167"/>
  <c r="Y196" i="1167"/>
  <c r="Z196" i="1167"/>
  <c r="L197" i="1167"/>
  <c r="M197" i="1167"/>
  <c r="N197" i="1167"/>
  <c r="O197" i="1167"/>
  <c r="P197" i="1167"/>
  <c r="Q197" i="1167"/>
  <c r="R197" i="1167"/>
  <c r="S197" i="1167"/>
  <c r="T197" i="1167"/>
  <c r="U197" i="1167"/>
  <c r="V197" i="1167"/>
  <c r="W197" i="1167"/>
  <c r="X197" i="1167"/>
  <c r="Y197" i="1167"/>
  <c r="Z197" i="1167"/>
  <c r="L198" i="1167"/>
  <c r="M198" i="1167"/>
  <c r="N198" i="1167"/>
  <c r="O198" i="1167"/>
  <c r="P198" i="1167"/>
  <c r="Q198" i="1167"/>
  <c r="R198" i="1167"/>
  <c r="S198" i="1167"/>
  <c r="T198" i="1167"/>
  <c r="U198" i="1167"/>
  <c r="V198" i="1167"/>
  <c r="W198" i="1167"/>
  <c r="X198" i="1167"/>
  <c r="Y198" i="1167"/>
  <c r="Z198" i="1167"/>
  <c r="L199" i="1167"/>
  <c r="M199" i="1167"/>
  <c r="N199" i="1167"/>
  <c r="O199" i="1167"/>
  <c r="P199" i="1167"/>
  <c r="Q199" i="1167"/>
  <c r="R199" i="1167"/>
  <c r="S199" i="1167"/>
  <c r="T199" i="1167"/>
  <c r="U199" i="1167"/>
  <c r="V199" i="1167"/>
  <c r="W199" i="1167"/>
  <c r="X199" i="1167"/>
  <c r="Y199" i="1167"/>
  <c r="Z199" i="1167"/>
  <c r="L200" i="1167"/>
  <c r="M200" i="1167"/>
  <c r="N200" i="1167"/>
  <c r="O200" i="1167"/>
  <c r="P200" i="1167"/>
  <c r="Q200" i="1167"/>
  <c r="R200" i="1167"/>
  <c r="S200" i="1167"/>
  <c r="T200" i="1167"/>
  <c r="U200" i="1167"/>
  <c r="V200" i="1167"/>
  <c r="W200" i="1167"/>
  <c r="X200" i="1167"/>
  <c r="Y200" i="1167"/>
  <c r="Z200" i="1167"/>
  <c r="L201" i="1167"/>
  <c r="M201" i="1167"/>
  <c r="N201" i="1167"/>
  <c r="O201" i="1167"/>
  <c r="P201" i="1167"/>
  <c r="Q201" i="1167"/>
  <c r="R201" i="1167"/>
  <c r="S201" i="1167"/>
  <c r="T201" i="1167"/>
  <c r="U201" i="1167"/>
  <c r="V201" i="1167"/>
  <c r="W201" i="1167"/>
  <c r="X201" i="1167"/>
  <c r="Y201" i="1167"/>
  <c r="Z201" i="1167"/>
  <c r="L202" i="1167"/>
  <c r="M202" i="1167"/>
  <c r="N202" i="1167"/>
  <c r="O202" i="1167"/>
  <c r="P202" i="1167"/>
  <c r="Q202" i="1167"/>
  <c r="R202" i="1167"/>
  <c r="S202" i="1167"/>
  <c r="T202" i="1167"/>
  <c r="U202" i="1167"/>
  <c r="V202" i="1167"/>
  <c r="W202" i="1167"/>
  <c r="X202" i="1167"/>
  <c r="Y202" i="1167"/>
  <c r="Z202" i="1167"/>
  <c r="L203" i="1167"/>
  <c r="M203" i="1167"/>
  <c r="N203" i="1167"/>
  <c r="O203" i="1167"/>
  <c r="P203" i="1167"/>
  <c r="Q203" i="1167"/>
  <c r="R203" i="1167"/>
  <c r="S203" i="1167"/>
  <c r="T203" i="1167"/>
  <c r="U203" i="1167"/>
  <c r="V203" i="1167"/>
  <c r="W203" i="1167"/>
  <c r="X203" i="1167"/>
  <c r="Y203" i="1167"/>
  <c r="Z203" i="1167"/>
  <c r="L204" i="1167"/>
  <c r="M204" i="1167"/>
  <c r="N204" i="1167"/>
  <c r="O204" i="1167"/>
  <c r="P204" i="1167"/>
  <c r="Q204" i="1167"/>
  <c r="R204" i="1167"/>
  <c r="S204" i="1167"/>
  <c r="T204" i="1167"/>
  <c r="U204" i="1167"/>
  <c r="V204" i="1167"/>
  <c r="W204" i="1167"/>
  <c r="X204" i="1167"/>
  <c r="Y204" i="1167"/>
  <c r="Z204" i="1167"/>
  <c r="L205" i="1167"/>
  <c r="M205" i="1167"/>
  <c r="N205" i="1167"/>
  <c r="O205" i="1167"/>
  <c r="P205" i="1167"/>
  <c r="Q205" i="1167"/>
  <c r="R205" i="1167"/>
  <c r="S205" i="1167"/>
  <c r="T205" i="1167"/>
  <c r="U205" i="1167"/>
  <c r="V205" i="1167"/>
  <c r="W205" i="1167"/>
  <c r="X205" i="1167"/>
  <c r="Y205" i="1167"/>
  <c r="Z205" i="1167"/>
  <c r="L206" i="1167"/>
  <c r="M206" i="1167"/>
  <c r="N206" i="1167"/>
  <c r="O206" i="1167"/>
  <c r="P206" i="1167"/>
  <c r="Q206" i="1167"/>
  <c r="R206" i="1167"/>
  <c r="S206" i="1167"/>
  <c r="T206" i="1167"/>
  <c r="U206" i="1167"/>
  <c r="V206" i="1167"/>
  <c r="W206" i="1167"/>
  <c r="X206" i="1167"/>
  <c r="Y206" i="1167"/>
  <c r="Z206" i="1167"/>
  <c r="L207" i="1167"/>
  <c r="M207" i="1167"/>
  <c r="N207" i="1167"/>
  <c r="O207" i="1167"/>
  <c r="P207" i="1167"/>
  <c r="Q207" i="1167"/>
  <c r="R207" i="1167"/>
  <c r="S207" i="1167"/>
  <c r="T207" i="1167"/>
  <c r="U207" i="1167"/>
  <c r="V207" i="1167"/>
  <c r="W207" i="1167"/>
  <c r="X207" i="1167"/>
  <c r="Y207" i="1167"/>
  <c r="Z207" i="1167"/>
  <c r="L208" i="1167"/>
  <c r="M208" i="1167"/>
  <c r="N208" i="1167"/>
  <c r="O208" i="1167"/>
  <c r="P208" i="1167"/>
  <c r="Q208" i="1167"/>
  <c r="R208" i="1167"/>
  <c r="S208" i="1167"/>
  <c r="T208" i="1167"/>
  <c r="U208" i="1167"/>
  <c r="V208" i="1167"/>
  <c r="W208" i="1167"/>
  <c r="X208" i="1167"/>
  <c r="Y208" i="1167"/>
  <c r="Z208" i="1167"/>
  <c r="L209" i="1167"/>
  <c r="M209" i="1167"/>
  <c r="N209" i="1167"/>
  <c r="O209" i="1167"/>
  <c r="P209" i="1167"/>
  <c r="Q209" i="1167"/>
  <c r="R209" i="1167"/>
  <c r="S209" i="1167"/>
  <c r="T209" i="1167"/>
  <c r="U209" i="1167"/>
  <c r="V209" i="1167"/>
  <c r="W209" i="1167"/>
  <c r="X209" i="1167"/>
  <c r="Y209" i="1167"/>
  <c r="Z209" i="1167"/>
  <c r="L210" i="1167"/>
  <c r="M210" i="1167"/>
  <c r="N210" i="1167"/>
  <c r="O210" i="1167"/>
  <c r="P210" i="1167"/>
  <c r="Q210" i="1167"/>
  <c r="R210" i="1167"/>
  <c r="S210" i="1167"/>
  <c r="T210" i="1167"/>
  <c r="U210" i="1167"/>
  <c r="V210" i="1167"/>
  <c r="W210" i="1167"/>
  <c r="X210" i="1167"/>
  <c r="Y210" i="1167"/>
  <c r="Z210" i="1167"/>
  <c r="L211" i="1167"/>
  <c r="M211" i="1167"/>
  <c r="N211" i="1167"/>
  <c r="O211" i="1167"/>
  <c r="P211" i="1167"/>
  <c r="Q211" i="1167"/>
  <c r="R211" i="1167"/>
  <c r="S211" i="1167"/>
  <c r="T211" i="1167"/>
  <c r="U211" i="1167"/>
  <c r="V211" i="1167"/>
  <c r="W211" i="1167"/>
  <c r="X211" i="1167"/>
  <c r="Y211" i="1167"/>
  <c r="Z211" i="1167"/>
  <c r="L212" i="1167"/>
  <c r="M212" i="1167"/>
  <c r="N212" i="1167"/>
  <c r="O212" i="1167"/>
  <c r="P212" i="1167"/>
  <c r="Q212" i="1167"/>
  <c r="R212" i="1167"/>
  <c r="S212" i="1167"/>
  <c r="T212" i="1167"/>
  <c r="U212" i="1167"/>
  <c r="V212" i="1167"/>
  <c r="W212" i="1167"/>
  <c r="X212" i="1167"/>
  <c r="Y212" i="1167"/>
  <c r="Z212" i="1167"/>
  <c r="L213" i="1167"/>
  <c r="M213" i="1167"/>
  <c r="N213" i="1167"/>
  <c r="O213" i="1167"/>
  <c r="P213" i="1167"/>
  <c r="Q213" i="1167"/>
  <c r="R213" i="1167"/>
  <c r="S213" i="1167"/>
  <c r="T213" i="1167"/>
  <c r="U213" i="1167"/>
  <c r="V213" i="1167"/>
  <c r="W213" i="1167"/>
  <c r="X213" i="1167"/>
  <c r="Y213" i="1167"/>
  <c r="Z213" i="1167"/>
  <c r="L214" i="1167"/>
  <c r="M214" i="1167"/>
  <c r="N214" i="1167"/>
  <c r="O214" i="1167"/>
  <c r="P214" i="1167"/>
  <c r="Q214" i="1167"/>
  <c r="R214" i="1167"/>
  <c r="S214" i="1167"/>
  <c r="T214" i="1167"/>
  <c r="U214" i="1167"/>
  <c r="V214" i="1167"/>
  <c r="W214" i="1167"/>
  <c r="X214" i="1167"/>
  <c r="Y214" i="1167"/>
  <c r="Z214" i="1167"/>
  <c r="L215" i="1167"/>
  <c r="M215" i="1167"/>
  <c r="N215" i="1167"/>
  <c r="O215" i="1167"/>
  <c r="P215" i="1167"/>
  <c r="Q215" i="1167"/>
  <c r="R215" i="1167"/>
  <c r="S215" i="1167"/>
  <c r="T215" i="1167"/>
  <c r="U215" i="1167"/>
  <c r="V215" i="1167"/>
  <c r="W215" i="1167"/>
  <c r="X215" i="1167"/>
  <c r="Y215" i="1167"/>
  <c r="Z215" i="1167"/>
  <c r="L216" i="1167"/>
  <c r="M216" i="1167"/>
  <c r="N216" i="1167"/>
  <c r="O216" i="1167"/>
  <c r="P216" i="1167"/>
  <c r="Q216" i="1167"/>
  <c r="R216" i="1167"/>
  <c r="S216" i="1167"/>
  <c r="T216" i="1167"/>
  <c r="U216" i="1167"/>
  <c r="V216" i="1167"/>
  <c r="W216" i="1167"/>
  <c r="X216" i="1167"/>
  <c r="Y216" i="1167"/>
  <c r="Z216" i="1167"/>
  <c r="L217" i="1167"/>
  <c r="M217" i="1167"/>
  <c r="N217" i="1167"/>
  <c r="O217" i="1167"/>
  <c r="P217" i="1167"/>
  <c r="Q217" i="1167"/>
  <c r="R217" i="1167"/>
  <c r="S217" i="1167"/>
  <c r="T217" i="1167"/>
  <c r="U217" i="1167"/>
  <c r="V217" i="1167"/>
  <c r="W217" i="1167"/>
  <c r="X217" i="1167"/>
  <c r="Y217" i="1167"/>
  <c r="Z217" i="1167"/>
  <c r="L218" i="1167"/>
  <c r="M218" i="1167"/>
  <c r="N218" i="1167"/>
  <c r="O218" i="1167"/>
  <c r="P218" i="1167"/>
  <c r="Q218" i="1167"/>
  <c r="R218" i="1167"/>
  <c r="S218" i="1167"/>
  <c r="T218" i="1167"/>
  <c r="U218" i="1167"/>
  <c r="V218" i="1167"/>
  <c r="W218" i="1167"/>
  <c r="X218" i="1167"/>
  <c r="Y218" i="1167"/>
  <c r="Z218" i="1167"/>
  <c r="L219" i="1167"/>
  <c r="M219" i="1167"/>
  <c r="N219" i="1167"/>
  <c r="O219" i="1167"/>
  <c r="P219" i="1167"/>
  <c r="Q219" i="1167"/>
  <c r="R219" i="1167"/>
  <c r="S219" i="1167"/>
  <c r="T219" i="1167"/>
  <c r="U219" i="1167"/>
  <c r="V219" i="1167"/>
  <c r="W219" i="1167"/>
  <c r="X219" i="1167"/>
  <c r="Y219" i="1167"/>
  <c r="Z219" i="1167"/>
  <c r="L220" i="1167"/>
  <c r="M220" i="1167"/>
  <c r="N220" i="1167"/>
  <c r="O220" i="1167"/>
  <c r="P220" i="1167"/>
  <c r="Q220" i="1167"/>
  <c r="R220" i="1167"/>
  <c r="S220" i="1167"/>
  <c r="T220" i="1167"/>
  <c r="U220" i="1167"/>
  <c r="V220" i="1167"/>
  <c r="W220" i="1167"/>
  <c r="X220" i="1167"/>
  <c r="Y220" i="1167"/>
  <c r="Z220" i="1167"/>
  <c r="L221" i="1167"/>
  <c r="M221" i="1167"/>
  <c r="N221" i="1167"/>
  <c r="O221" i="1167"/>
  <c r="P221" i="1167"/>
  <c r="Q221" i="1167"/>
  <c r="R221" i="1167"/>
  <c r="S221" i="1167"/>
  <c r="T221" i="1167"/>
  <c r="U221" i="1167"/>
  <c r="V221" i="1167"/>
  <c r="W221" i="1167"/>
  <c r="X221" i="1167"/>
  <c r="Y221" i="1167"/>
  <c r="Z221" i="1167"/>
  <c r="L222" i="1167"/>
  <c r="M222" i="1167"/>
  <c r="N222" i="1167"/>
  <c r="O222" i="1167"/>
  <c r="P222" i="1167"/>
  <c r="Q222" i="1167"/>
  <c r="R222" i="1167"/>
  <c r="S222" i="1167"/>
  <c r="T222" i="1167"/>
  <c r="U222" i="1167"/>
  <c r="V222" i="1167"/>
  <c r="W222" i="1167"/>
  <c r="X222" i="1167"/>
  <c r="Y222" i="1167"/>
  <c r="Z222" i="1167"/>
  <c r="L223" i="1167"/>
  <c r="M223" i="1167"/>
  <c r="N223" i="1167"/>
  <c r="O223" i="1167"/>
  <c r="P223" i="1167"/>
  <c r="Q223" i="1167"/>
  <c r="R223" i="1167"/>
  <c r="S223" i="1167"/>
  <c r="T223" i="1167"/>
  <c r="U223" i="1167"/>
  <c r="V223" i="1167"/>
  <c r="W223" i="1167"/>
  <c r="X223" i="1167"/>
  <c r="Y223" i="1167"/>
  <c r="Z223" i="1167"/>
  <c r="L224" i="1167"/>
  <c r="M224" i="1167"/>
  <c r="N224" i="1167"/>
  <c r="O224" i="1167"/>
  <c r="P224" i="1167"/>
  <c r="Q224" i="1167"/>
  <c r="R224" i="1167"/>
  <c r="S224" i="1167"/>
  <c r="T224" i="1167"/>
  <c r="U224" i="1167"/>
  <c r="V224" i="1167"/>
  <c r="W224" i="1167"/>
  <c r="X224" i="1167"/>
  <c r="Y224" i="1167"/>
  <c r="Z224" i="1167"/>
  <c r="L225" i="1167"/>
  <c r="M225" i="1167"/>
  <c r="N225" i="1167"/>
  <c r="O225" i="1167"/>
  <c r="P225" i="1167"/>
  <c r="Q225" i="1167"/>
  <c r="R225" i="1167"/>
  <c r="S225" i="1167"/>
  <c r="T225" i="1167"/>
  <c r="U225" i="1167"/>
  <c r="V225" i="1167"/>
  <c r="W225" i="1167"/>
  <c r="X225" i="1167"/>
  <c r="Y225" i="1167"/>
  <c r="Z225" i="1167"/>
  <c r="L226" i="1167"/>
  <c r="M226" i="1167"/>
  <c r="N226" i="1167"/>
  <c r="O226" i="1167"/>
  <c r="P226" i="1167"/>
  <c r="Q226" i="1167"/>
  <c r="R226" i="1167"/>
  <c r="S226" i="1167"/>
  <c r="T226" i="1167"/>
  <c r="U226" i="1167"/>
  <c r="V226" i="1167"/>
  <c r="W226" i="1167"/>
  <c r="X226" i="1167"/>
  <c r="Y226" i="1167"/>
  <c r="Z226" i="1167"/>
  <c r="L227" i="1167"/>
  <c r="M227" i="1167"/>
  <c r="N227" i="1167"/>
  <c r="O227" i="1167"/>
  <c r="P227" i="1167"/>
  <c r="Q227" i="1167"/>
  <c r="R227" i="1167"/>
  <c r="S227" i="1167"/>
  <c r="T227" i="1167"/>
  <c r="U227" i="1167"/>
  <c r="V227" i="1167"/>
  <c r="W227" i="1167"/>
  <c r="X227" i="1167"/>
  <c r="Y227" i="1167"/>
  <c r="Z227" i="1167"/>
  <c r="L228" i="1167"/>
  <c r="M228" i="1167"/>
  <c r="N228" i="1167"/>
  <c r="O228" i="1167"/>
  <c r="P228" i="1167"/>
  <c r="Q228" i="1167"/>
  <c r="R228" i="1167"/>
  <c r="S228" i="1167"/>
  <c r="T228" i="1167"/>
  <c r="U228" i="1167"/>
  <c r="V228" i="1167"/>
  <c r="W228" i="1167"/>
  <c r="X228" i="1167"/>
  <c r="Y228" i="1167"/>
  <c r="Z228" i="1167"/>
  <c r="L229" i="1167"/>
  <c r="M229" i="1167"/>
  <c r="N229" i="1167"/>
  <c r="O229" i="1167"/>
  <c r="P229" i="1167"/>
  <c r="Q229" i="1167"/>
  <c r="R229" i="1167"/>
  <c r="S229" i="1167"/>
  <c r="T229" i="1167"/>
  <c r="U229" i="1167"/>
  <c r="V229" i="1167"/>
  <c r="W229" i="1167"/>
  <c r="X229" i="1167"/>
  <c r="Y229" i="1167"/>
  <c r="Z229" i="1167"/>
  <c r="L230" i="1167"/>
  <c r="M230" i="1167"/>
  <c r="N230" i="1167"/>
  <c r="O230" i="1167"/>
  <c r="P230" i="1167"/>
  <c r="Q230" i="1167"/>
  <c r="R230" i="1167"/>
  <c r="S230" i="1167"/>
  <c r="T230" i="1167"/>
  <c r="U230" i="1167"/>
  <c r="V230" i="1167"/>
  <c r="W230" i="1167"/>
  <c r="X230" i="1167"/>
  <c r="Y230" i="1167"/>
  <c r="Z230" i="1167"/>
  <c r="L231" i="1167"/>
  <c r="M231" i="1167"/>
  <c r="N231" i="1167"/>
  <c r="O231" i="1167"/>
  <c r="P231" i="1167"/>
  <c r="Q231" i="1167"/>
  <c r="R231" i="1167"/>
  <c r="S231" i="1167"/>
  <c r="T231" i="1167"/>
  <c r="U231" i="1167"/>
  <c r="V231" i="1167"/>
  <c r="W231" i="1167"/>
  <c r="X231" i="1167"/>
  <c r="Y231" i="1167"/>
  <c r="Z231" i="1167"/>
  <c r="L232" i="1167"/>
  <c r="M232" i="1167"/>
  <c r="N232" i="1167"/>
  <c r="O232" i="1167"/>
  <c r="P232" i="1167"/>
  <c r="Q232" i="1167"/>
  <c r="R232" i="1167"/>
  <c r="S232" i="1167"/>
  <c r="T232" i="1167"/>
  <c r="U232" i="1167"/>
  <c r="V232" i="1167"/>
  <c r="W232" i="1167"/>
  <c r="X232" i="1167"/>
  <c r="Y232" i="1167"/>
  <c r="Z232" i="1167"/>
  <c r="L233" i="1167"/>
  <c r="M233" i="1167"/>
  <c r="N233" i="1167"/>
  <c r="O233" i="1167"/>
  <c r="P233" i="1167"/>
  <c r="Q233" i="1167"/>
  <c r="R233" i="1167"/>
  <c r="S233" i="1167"/>
  <c r="T233" i="1167"/>
  <c r="U233" i="1167"/>
  <c r="V233" i="1167"/>
  <c r="W233" i="1167"/>
  <c r="X233" i="1167"/>
  <c r="Y233" i="1167"/>
  <c r="Z233" i="1167"/>
  <c r="L234" i="1167"/>
  <c r="M234" i="1167"/>
  <c r="N234" i="1167"/>
  <c r="O234" i="1167"/>
  <c r="P234" i="1167"/>
  <c r="Q234" i="1167"/>
  <c r="R234" i="1167"/>
  <c r="S234" i="1167"/>
  <c r="T234" i="1167"/>
  <c r="U234" i="1167"/>
  <c r="V234" i="1167"/>
  <c r="W234" i="1167"/>
  <c r="X234" i="1167"/>
  <c r="Y234" i="1167"/>
  <c r="Z234" i="1167"/>
  <c r="L235" i="1167"/>
  <c r="M235" i="1167"/>
  <c r="N235" i="1167"/>
  <c r="O235" i="1167"/>
  <c r="P235" i="1167"/>
  <c r="Q235" i="1167"/>
  <c r="R235" i="1167"/>
  <c r="S235" i="1167"/>
  <c r="T235" i="1167"/>
  <c r="U235" i="1167"/>
  <c r="V235" i="1167"/>
  <c r="W235" i="1167"/>
  <c r="X235" i="1167"/>
  <c r="Y235" i="1167"/>
  <c r="Z235" i="1167"/>
  <c r="L236" i="1167"/>
  <c r="M236" i="1167"/>
  <c r="N236" i="1167"/>
  <c r="O236" i="1167"/>
  <c r="P236" i="1167"/>
  <c r="Q236" i="1167"/>
  <c r="R236" i="1167"/>
  <c r="S236" i="1167"/>
  <c r="T236" i="1167"/>
  <c r="U236" i="1167"/>
  <c r="V236" i="1167"/>
  <c r="W236" i="1167"/>
  <c r="X236" i="1167"/>
  <c r="Y236" i="1167"/>
  <c r="Z236" i="1167"/>
  <c r="L237" i="1167"/>
  <c r="M237" i="1167"/>
  <c r="N237" i="1167"/>
  <c r="O237" i="1167"/>
  <c r="P237" i="1167"/>
  <c r="Q237" i="1167"/>
  <c r="R237" i="1167"/>
  <c r="S237" i="1167"/>
  <c r="T237" i="1167"/>
  <c r="U237" i="1167"/>
  <c r="V237" i="1167"/>
  <c r="W237" i="1167"/>
  <c r="X237" i="1167"/>
  <c r="Y237" i="1167"/>
  <c r="Z237" i="1167"/>
  <c r="L238" i="1167"/>
  <c r="M238" i="1167"/>
  <c r="N238" i="1167"/>
  <c r="O238" i="1167"/>
  <c r="P238" i="1167"/>
  <c r="Q238" i="1167"/>
  <c r="R238" i="1167"/>
  <c r="S238" i="1167"/>
  <c r="T238" i="1167"/>
  <c r="U238" i="1167"/>
  <c r="V238" i="1167"/>
  <c r="W238" i="1167"/>
  <c r="X238" i="1167"/>
  <c r="Y238" i="1167"/>
  <c r="Z238" i="1167"/>
  <c r="L239" i="1167"/>
  <c r="M239" i="1167"/>
  <c r="N239" i="1167"/>
  <c r="O239" i="1167"/>
  <c r="P239" i="1167"/>
  <c r="Q239" i="1167"/>
  <c r="R239" i="1167"/>
  <c r="S239" i="1167"/>
  <c r="T239" i="1167"/>
  <c r="U239" i="1167"/>
  <c r="V239" i="1167"/>
  <c r="W239" i="1167"/>
  <c r="X239" i="1167"/>
  <c r="Y239" i="1167"/>
  <c r="Z239" i="1167"/>
  <c r="L240" i="1167"/>
  <c r="M240" i="1167"/>
  <c r="N240" i="1167"/>
  <c r="O240" i="1167"/>
  <c r="P240" i="1167"/>
  <c r="Q240" i="1167"/>
  <c r="R240" i="1167"/>
  <c r="S240" i="1167"/>
  <c r="T240" i="1167"/>
  <c r="U240" i="1167"/>
  <c r="V240" i="1167"/>
  <c r="W240" i="1167"/>
  <c r="X240" i="1167"/>
  <c r="Y240" i="1167"/>
  <c r="Z240" i="1167"/>
  <c r="L241" i="1167"/>
  <c r="M241" i="1167"/>
  <c r="N241" i="1167"/>
  <c r="O241" i="1167"/>
  <c r="P241" i="1167"/>
  <c r="Q241" i="1167"/>
  <c r="R241" i="1167"/>
  <c r="S241" i="1167"/>
  <c r="T241" i="1167"/>
  <c r="U241" i="1167"/>
  <c r="V241" i="1167"/>
  <c r="W241" i="1167"/>
  <c r="X241" i="1167"/>
  <c r="Y241" i="1167"/>
  <c r="Z241" i="1167"/>
  <c r="L242" i="1167"/>
  <c r="M242" i="1167"/>
  <c r="N242" i="1167"/>
  <c r="O242" i="1167"/>
  <c r="P242" i="1167"/>
  <c r="Q242" i="1167"/>
  <c r="R242" i="1167"/>
  <c r="S242" i="1167"/>
  <c r="T242" i="1167"/>
  <c r="U242" i="1167"/>
  <c r="V242" i="1167"/>
  <c r="W242" i="1167"/>
  <c r="X242" i="1167"/>
  <c r="Y242" i="1167"/>
  <c r="Z242" i="1167"/>
  <c r="L243" i="1167"/>
  <c r="M243" i="1167"/>
  <c r="N243" i="1167"/>
  <c r="O243" i="1167"/>
  <c r="P243" i="1167"/>
  <c r="Q243" i="1167"/>
  <c r="R243" i="1167"/>
  <c r="S243" i="1167"/>
  <c r="T243" i="1167"/>
  <c r="U243" i="1167"/>
  <c r="V243" i="1167"/>
  <c r="W243" i="1167"/>
  <c r="X243" i="1167"/>
  <c r="Y243" i="1167"/>
  <c r="Z243" i="1167"/>
  <c r="L244" i="1167"/>
  <c r="M244" i="1167"/>
  <c r="N244" i="1167"/>
  <c r="O244" i="1167"/>
  <c r="P244" i="1167"/>
  <c r="Q244" i="1167"/>
  <c r="R244" i="1167"/>
  <c r="S244" i="1167"/>
  <c r="T244" i="1167"/>
  <c r="U244" i="1167"/>
  <c r="V244" i="1167"/>
  <c r="W244" i="1167"/>
  <c r="X244" i="1167"/>
  <c r="Y244" i="1167"/>
  <c r="Z244" i="1167"/>
  <c r="L245" i="1167"/>
  <c r="M245" i="1167"/>
  <c r="N245" i="1167"/>
  <c r="O245" i="1167"/>
  <c r="P245" i="1167"/>
  <c r="Q245" i="1167"/>
  <c r="R245" i="1167"/>
  <c r="S245" i="1167"/>
  <c r="T245" i="1167"/>
  <c r="U245" i="1167"/>
  <c r="V245" i="1167"/>
  <c r="W245" i="1167"/>
  <c r="X245" i="1167"/>
  <c r="Y245" i="1167"/>
  <c r="Z245" i="1167"/>
  <c r="L246" i="1167"/>
  <c r="M246" i="1167"/>
  <c r="N246" i="1167"/>
  <c r="O246" i="1167"/>
  <c r="P246" i="1167"/>
  <c r="Q246" i="1167"/>
  <c r="R246" i="1167"/>
  <c r="S246" i="1167"/>
  <c r="T246" i="1167"/>
  <c r="U246" i="1167"/>
  <c r="V246" i="1167"/>
  <c r="W246" i="1167"/>
  <c r="X246" i="1167"/>
  <c r="Y246" i="1167"/>
  <c r="Z246" i="1167"/>
  <c r="L247" i="1167"/>
  <c r="M247" i="1167"/>
  <c r="N247" i="1167"/>
  <c r="O247" i="1167"/>
  <c r="P247" i="1167"/>
  <c r="Q247" i="1167"/>
  <c r="R247" i="1167"/>
  <c r="S247" i="1167"/>
  <c r="T247" i="1167"/>
  <c r="U247" i="1167"/>
  <c r="V247" i="1167"/>
  <c r="W247" i="1167"/>
  <c r="X247" i="1167"/>
  <c r="Y247" i="1167"/>
  <c r="Z247" i="1167"/>
  <c r="L248" i="1167"/>
  <c r="M248" i="1167"/>
  <c r="N248" i="1167"/>
  <c r="O248" i="1167"/>
  <c r="P248" i="1167"/>
  <c r="Q248" i="1167"/>
  <c r="R248" i="1167"/>
  <c r="S248" i="1167"/>
  <c r="T248" i="1167"/>
  <c r="U248" i="1167"/>
  <c r="V248" i="1167"/>
  <c r="W248" i="1167"/>
  <c r="X248" i="1167"/>
  <c r="Y248" i="1167"/>
  <c r="Z248" i="1167"/>
  <c r="L249" i="1167"/>
  <c r="M249" i="1167"/>
  <c r="N249" i="1167"/>
  <c r="O249" i="1167"/>
  <c r="P249" i="1167"/>
  <c r="Q249" i="1167"/>
  <c r="R249" i="1167"/>
  <c r="S249" i="1167"/>
  <c r="T249" i="1167"/>
  <c r="U249" i="1167"/>
  <c r="V249" i="1167"/>
  <c r="W249" i="1167"/>
  <c r="X249" i="1167"/>
  <c r="Y249" i="1167"/>
  <c r="Z249" i="1167"/>
  <c r="L250" i="1167"/>
  <c r="M250" i="1167"/>
  <c r="N250" i="1167"/>
  <c r="O250" i="1167"/>
  <c r="P250" i="1167"/>
  <c r="Q250" i="1167"/>
  <c r="R250" i="1167"/>
  <c r="S250" i="1167"/>
  <c r="T250" i="1167"/>
  <c r="U250" i="1167"/>
  <c r="V250" i="1167"/>
  <c r="W250" i="1167"/>
  <c r="X250" i="1167"/>
  <c r="Y250" i="1167"/>
  <c r="Z250" i="1167"/>
  <c r="L251" i="1167"/>
  <c r="M251" i="1167"/>
  <c r="N251" i="1167"/>
  <c r="O251" i="1167"/>
  <c r="P251" i="1167"/>
  <c r="Q251" i="1167"/>
  <c r="R251" i="1167"/>
  <c r="S251" i="1167"/>
  <c r="T251" i="1167"/>
  <c r="U251" i="1167"/>
  <c r="V251" i="1167"/>
  <c r="W251" i="1167"/>
  <c r="X251" i="1167"/>
  <c r="Y251" i="1167"/>
  <c r="Z251" i="1167"/>
  <c r="L252" i="1167"/>
  <c r="M252" i="1167"/>
  <c r="N252" i="1167"/>
  <c r="O252" i="1167"/>
  <c r="P252" i="1167"/>
  <c r="Q252" i="1167"/>
  <c r="R252" i="1167"/>
  <c r="S252" i="1167"/>
  <c r="T252" i="1167"/>
  <c r="U252" i="1167"/>
  <c r="V252" i="1167"/>
  <c r="W252" i="1167"/>
  <c r="X252" i="1167"/>
  <c r="Y252" i="1167"/>
  <c r="Z252" i="1167"/>
  <c r="L253" i="1167"/>
  <c r="M253" i="1167"/>
  <c r="N253" i="1167"/>
  <c r="O253" i="1167"/>
  <c r="P253" i="1167"/>
  <c r="Q253" i="1167"/>
  <c r="R253" i="1167"/>
  <c r="S253" i="1167"/>
  <c r="T253" i="1167"/>
  <c r="U253" i="1167"/>
  <c r="V253" i="1167"/>
  <c r="W253" i="1167"/>
  <c r="X253" i="1167"/>
  <c r="Y253" i="1167"/>
  <c r="Z253" i="1167"/>
  <c r="L254" i="1167"/>
  <c r="M254" i="1167"/>
  <c r="N254" i="1167"/>
  <c r="O254" i="1167"/>
  <c r="P254" i="1167"/>
  <c r="Q254" i="1167"/>
  <c r="R254" i="1167"/>
  <c r="S254" i="1167"/>
  <c r="T254" i="1167"/>
  <c r="U254" i="1167"/>
  <c r="V254" i="1167"/>
  <c r="W254" i="1167"/>
  <c r="X254" i="1167"/>
  <c r="Y254" i="1167"/>
  <c r="Z254" i="1167"/>
  <c r="L255" i="1167"/>
  <c r="M255" i="1167"/>
  <c r="N255" i="1167"/>
  <c r="O255" i="1167"/>
  <c r="P255" i="1167"/>
  <c r="Q255" i="1167"/>
  <c r="R255" i="1167"/>
  <c r="S255" i="1167"/>
  <c r="T255" i="1167"/>
  <c r="U255" i="1167"/>
  <c r="V255" i="1167"/>
  <c r="W255" i="1167"/>
  <c r="X255" i="1167"/>
  <c r="Y255" i="1167"/>
  <c r="Z255" i="1167"/>
  <c r="L256" i="1167"/>
  <c r="M256" i="1167"/>
  <c r="N256" i="1167"/>
  <c r="O256" i="1167"/>
  <c r="P256" i="1167"/>
  <c r="Q256" i="1167"/>
  <c r="R256" i="1167"/>
  <c r="S256" i="1167"/>
  <c r="T256" i="1167"/>
  <c r="U256" i="1167"/>
  <c r="V256" i="1167"/>
  <c r="W256" i="1167"/>
  <c r="X256" i="1167"/>
  <c r="Y256" i="1167"/>
  <c r="Z256" i="1167"/>
  <c r="L257" i="1167"/>
  <c r="M257" i="1167"/>
  <c r="N257" i="1167"/>
  <c r="O257" i="1167"/>
  <c r="P257" i="1167"/>
  <c r="Q257" i="1167"/>
  <c r="R257" i="1167"/>
  <c r="S257" i="1167"/>
  <c r="T257" i="1167"/>
  <c r="U257" i="1167"/>
  <c r="V257" i="1167"/>
  <c r="W257" i="1167"/>
  <c r="X257" i="1167"/>
  <c r="Y257" i="1167"/>
  <c r="Z257" i="1167"/>
  <c r="L258" i="1167"/>
  <c r="M258" i="1167"/>
  <c r="N258" i="1167"/>
  <c r="O258" i="1167"/>
  <c r="P258" i="1167"/>
  <c r="Q258" i="1167"/>
  <c r="R258" i="1167"/>
  <c r="S258" i="1167"/>
  <c r="T258" i="1167"/>
  <c r="U258" i="1167"/>
  <c r="V258" i="1167"/>
  <c r="W258" i="1167"/>
  <c r="X258" i="1167"/>
  <c r="Y258" i="1167"/>
  <c r="Z258" i="1167"/>
  <c r="L259" i="1167"/>
  <c r="M259" i="1167"/>
  <c r="N259" i="1167"/>
  <c r="O259" i="1167"/>
  <c r="P259" i="1167"/>
  <c r="Q259" i="1167"/>
  <c r="R259" i="1167"/>
  <c r="S259" i="1167"/>
  <c r="T259" i="1167"/>
  <c r="U259" i="1167"/>
  <c r="V259" i="1167"/>
  <c r="W259" i="1167"/>
  <c r="X259" i="1167"/>
  <c r="Y259" i="1167"/>
  <c r="Z259" i="1167"/>
  <c r="L260" i="1167"/>
  <c r="M260" i="1167"/>
  <c r="N260" i="1167"/>
  <c r="O260" i="1167"/>
  <c r="P260" i="1167"/>
  <c r="Q260" i="1167"/>
  <c r="R260" i="1167"/>
  <c r="S260" i="1167"/>
  <c r="T260" i="1167"/>
  <c r="U260" i="1167"/>
  <c r="V260" i="1167"/>
  <c r="W260" i="1167"/>
  <c r="X260" i="1167"/>
  <c r="Y260" i="1167"/>
  <c r="Z260" i="1167"/>
  <c r="L261" i="1167"/>
  <c r="M261" i="1167"/>
  <c r="N261" i="1167"/>
  <c r="O261" i="1167"/>
  <c r="P261" i="1167"/>
  <c r="Q261" i="1167"/>
  <c r="R261" i="1167"/>
  <c r="S261" i="1167"/>
  <c r="T261" i="1167"/>
  <c r="U261" i="1167"/>
  <c r="V261" i="1167"/>
  <c r="W261" i="1167"/>
  <c r="X261" i="1167"/>
  <c r="Y261" i="1167"/>
  <c r="Z261" i="1167"/>
  <c r="L262" i="1167"/>
  <c r="M262" i="1167"/>
  <c r="N262" i="1167"/>
  <c r="O262" i="1167"/>
  <c r="P262" i="1167"/>
  <c r="Q262" i="1167"/>
  <c r="R262" i="1167"/>
  <c r="S262" i="1167"/>
  <c r="T262" i="1167"/>
  <c r="U262" i="1167"/>
  <c r="V262" i="1167"/>
  <c r="W262" i="1167"/>
  <c r="X262" i="1167"/>
  <c r="Y262" i="1167"/>
  <c r="Z262" i="1167"/>
  <c r="L263" i="1167"/>
  <c r="M263" i="1167"/>
  <c r="N263" i="1167"/>
  <c r="O263" i="1167"/>
  <c r="P263" i="1167"/>
  <c r="Q263" i="1167"/>
  <c r="R263" i="1167"/>
  <c r="S263" i="1167"/>
  <c r="T263" i="1167"/>
  <c r="U263" i="1167"/>
  <c r="V263" i="1167"/>
  <c r="W263" i="1167"/>
  <c r="X263" i="1167"/>
  <c r="Y263" i="1167"/>
  <c r="Z263" i="1167"/>
  <c r="L264" i="1167"/>
  <c r="M264" i="1167"/>
  <c r="N264" i="1167"/>
  <c r="O264" i="1167"/>
  <c r="P264" i="1167"/>
  <c r="Q264" i="1167"/>
  <c r="R264" i="1167"/>
  <c r="S264" i="1167"/>
  <c r="T264" i="1167"/>
  <c r="U264" i="1167"/>
  <c r="V264" i="1167"/>
  <c r="W264" i="1167"/>
  <c r="X264" i="1167"/>
  <c r="Y264" i="1167"/>
  <c r="Z264" i="1167"/>
  <c r="L265" i="1167"/>
  <c r="M265" i="1167"/>
  <c r="N265" i="1167"/>
  <c r="O265" i="1167"/>
  <c r="P265" i="1167"/>
  <c r="Q265" i="1167"/>
  <c r="R265" i="1167"/>
  <c r="S265" i="1167"/>
  <c r="T265" i="1167"/>
  <c r="U265" i="1167"/>
  <c r="V265" i="1167"/>
  <c r="W265" i="1167"/>
  <c r="X265" i="1167"/>
  <c r="Y265" i="1167"/>
  <c r="Z265" i="1167"/>
  <c r="L266" i="1167"/>
  <c r="M266" i="1167"/>
  <c r="N266" i="1167"/>
  <c r="O266" i="1167"/>
  <c r="P266" i="1167"/>
  <c r="Q266" i="1167"/>
  <c r="R266" i="1167"/>
  <c r="S266" i="1167"/>
  <c r="T266" i="1167"/>
  <c r="U266" i="1167"/>
  <c r="V266" i="1167"/>
  <c r="W266" i="1167"/>
  <c r="X266" i="1167"/>
  <c r="Y266" i="1167"/>
  <c r="Z266" i="1167"/>
  <c r="L267" i="1167"/>
  <c r="M267" i="1167" s="1"/>
  <c r="P267" i="1167"/>
  <c r="Q267" i="1167"/>
  <c r="R267" i="1167"/>
  <c r="S267" i="1167"/>
  <c r="T267" i="1167"/>
  <c r="X267" i="1167"/>
  <c r="Y267" i="1167"/>
  <c r="Z267" i="1167"/>
  <c r="B1" i="1339"/>
  <c r="E1" i="1339"/>
  <c r="I1" i="1339"/>
  <c r="T2" i="1339"/>
  <c r="R3" i="1339"/>
  <c r="B6" i="1339"/>
  <c r="W267" i="1167" l="1"/>
  <c r="O267" i="1167"/>
  <c r="V267" i="1167"/>
  <c r="N267" i="1167"/>
  <c r="U267" i="1167"/>
  <c r="B12" i="1339"/>
  <c r="T15" i="1339"/>
  <c r="B22" i="1339"/>
  <c r="C23" i="1339"/>
  <c r="C24" i="1339"/>
  <c r="B29" i="1339"/>
  <c r="B59" i="1339"/>
  <c r="B1" i="1163"/>
  <c r="E1" i="1163"/>
  <c r="I1" i="1163"/>
  <c r="T2" i="1163"/>
  <c r="R3" i="1163"/>
  <c r="B6" i="1163"/>
  <c r="B12" i="1163"/>
  <c r="T15" i="1163"/>
  <c r="B22" i="1163"/>
  <c r="C23" i="1163"/>
  <c r="C24" i="1163"/>
  <c r="B29" i="1163"/>
  <c r="B59" i="1163"/>
  <c r="L62" i="1163"/>
  <c r="O1" i="122"/>
  <c r="B3" i="122"/>
  <c r="AJ5" i="122"/>
  <c r="AJ7" i="122" s="1"/>
  <c r="AJ9" i="122"/>
  <c r="O1" i="716"/>
  <c r="AB10" i="716"/>
  <c r="AB11" i="716" s="1"/>
  <c r="AB13" i="716"/>
  <c r="B1" i="1433"/>
  <c r="C1" i="1433"/>
  <c r="Q3" i="1433"/>
  <c r="B6" i="1433"/>
  <c r="B32" i="1433"/>
  <c r="B70" i="1433"/>
  <c r="C79" i="1433"/>
  <c r="C80" i="1433"/>
  <c r="C81" i="1433"/>
  <c r="B1" i="1736"/>
  <c r="C1" i="1736"/>
  <c r="Q3" i="1736"/>
  <c r="B6" i="1736"/>
  <c r="C7" i="1736"/>
  <c r="C22" i="1736"/>
  <c r="P23" i="1736"/>
  <c r="B32" i="1736"/>
  <c r="C44" i="1736"/>
  <c r="C45" i="1736"/>
  <c r="C46" i="1736"/>
  <c r="C50" i="1736"/>
  <c r="C51" i="1736"/>
  <c r="C52" i="1736"/>
  <c r="C55" i="1736"/>
  <c r="C56" i="1736"/>
  <c r="B58" i="1736"/>
  <c r="B66" i="1736"/>
  <c r="V71" i="1736"/>
  <c r="V72" i="1736"/>
  <c r="V73" i="1736"/>
  <c r="B1" i="1166"/>
  <c r="N1" i="1166"/>
  <c r="C3" i="1166"/>
  <c r="B7" i="1166"/>
  <c r="C7" i="1166"/>
  <c r="B8" i="1166"/>
  <c r="C8" i="1166"/>
  <c r="B9" i="1166"/>
  <c r="C9" i="1166"/>
  <c r="B10" i="1166"/>
  <c r="C10" i="1166"/>
  <c r="B11" i="1166"/>
  <c r="C11" i="1166"/>
  <c r="B12" i="1166"/>
  <c r="C12" i="1166"/>
  <c r="B13" i="1166"/>
  <c r="C13" i="1166"/>
  <c r="B14" i="1166"/>
  <c r="C14" i="1166"/>
  <c r="B15" i="1166"/>
  <c r="C15" i="1166"/>
  <c r="B16" i="1166"/>
  <c r="C16" i="1166"/>
  <c r="J19" i="1166"/>
  <c r="B19" i="1166"/>
  <c r="C19" i="1166"/>
  <c r="M19" i="1166"/>
  <c r="N19" i="1166"/>
  <c r="B20" i="1166"/>
  <c r="M20" i="1166"/>
  <c r="N20" i="1166"/>
  <c r="K21" i="1166"/>
  <c r="M21" i="1166"/>
  <c r="M22" i="1166" s="1"/>
  <c r="M23" i="1166" s="1"/>
  <c r="M24" i="1166" s="1"/>
  <c r="M25" i="1166" s="1"/>
  <c r="M26" i="1166" s="1"/>
  <c r="M27" i="1166" s="1"/>
  <c r="M28" i="1166" s="1"/>
  <c r="M29" i="1166" s="1"/>
  <c r="M30" i="1166" s="1"/>
  <c r="M31" i="1166" s="1"/>
  <c r="M32" i="1166" s="1"/>
  <c r="M33" i="1166" s="1"/>
  <c r="M34" i="1166" s="1"/>
  <c r="M35" i="1166" s="1"/>
  <c r="M36" i="1166" s="1"/>
  <c r="M37" i="1166" s="1"/>
  <c r="M38" i="1166" s="1"/>
  <c r="M39" i="1166" s="1"/>
  <c r="M40" i="1166" s="1"/>
  <c r="M41" i="1166" s="1"/>
  <c r="M42" i="1166" s="1"/>
  <c r="M43" i="1166" s="1"/>
  <c r="M44" i="1166" s="1"/>
  <c r="M45" i="1166" s="1"/>
  <c r="M46" i="1166" s="1"/>
  <c r="M47" i="1166" s="1"/>
  <c r="M48" i="1166" s="1"/>
  <c r="M49" i="1166" s="1"/>
  <c r="M50" i="1166" s="1"/>
  <c r="M51" i="1166" s="1"/>
  <c r="M52" i="1166" s="1"/>
  <c r="M53" i="1166" s="1"/>
  <c r="M54" i="1166" s="1"/>
  <c r="M55" i="1166" s="1"/>
  <c r="M56" i="1166" s="1"/>
  <c r="M57" i="1166" s="1"/>
  <c r="M58" i="1166" s="1"/>
  <c r="M59" i="1166" s="1"/>
  <c r="M60" i="1166" s="1"/>
  <c r="M61" i="1166" s="1"/>
  <c r="M62" i="1166" s="1"/>
  <c r="M63" i="1166" s="1"/>
  <c r="M64" i="1166" s="1"/>
  <c r="M65" i="1166" s="1"/>
  <c r="M66" i="1166" s="1"/>
  <c r="M67" i="1166" s="1"/>
  <c r="M68" i="1166" s="1"/>
  <c r="N21" i="1166"/>
  <c r="N22" i="1166" s="1"/>
  <c r="N23" i="1166" s="1"/>
  <c r="N24" i="1166" s="1"/>
  <c r="N25" i="1166" s="1"/>
  <c r="N26" i="1166" s="1"/>
  <c r="N27" i="1166" s="1"/>
  <c r="N28" i="1166" s="1"/>
  <c r="N29" i="1166" s="1"/>
  <c r="N30" i="1166" s="1"/>
  <c r="N31" i="1166" s="1"/>
  <c r="N32" i="1166" s="1"/>
  <c r="N33" i="1166" s="1"/>
  <c r="N34" i="1166" s="1"/>
  <c r="N35" i="1166" s="1"/>
  <c r="N36" i="1166" s="1"/>
  <c r="N37" i="1166" s="1"/>
  <c r="N38" i="1166" s="1"/>
  <c r="N39" i="1166" s="1"/>
  <c r="N40" i="1166" s="1"/>
  <c r="N41" i="1166" s="1"/>
  <c r="N42" i="1166" s="1"/>
  <c r="N43" i="1166" s="1"/>
  <c r="N44" i="1166" s="1"/>
  <c r="N45" i="1166" s="1"/>
  <c r="N46" i="1166" s="1"/>
  <c r="N47" i="1166" s="1"/>
  <c r="N48" i="1166" s="1"/>
  <c r="N49" i="1166" s="1"/>
  <c r="N50" i="1166" s="1"/>
  <c r="N51" i="1166" s="1"/>
  <c r="N52" i="1166" s="1"/>
  <c r="N53" i="1166" s="1"/>
  <c r="N54" i="1166" s="1"/>
  <c r="N55" i="1166" s="1"/>
  <c r="N56" i="1166" s="1"/>
  <c r="N57" i="1166" s="1"/>
  <c r="N58" i="1166" s="1"/>
  <c r="N59" i="1166" s="1"/>
  <c r="N60" i="1166" s="1"/>
  <c r="N61" i="1166" s="1"/>
  <c r="N62" i="1166" s="1"/>
  <c r="N63" i="1166" s="1"/>
  <c r="N64" i="1166" s="1"/>
  <c r="N65" i="1166" s="1"/>
  <c r="N66" i="1166" s="1"/>
  <c r="N67" i="1166" s="1"/>
  <c r="N68" i="1166" s="1"/>
  <c r="K22" i="1166"/>
  <c r="K23" i="1166"/>
  <c r="B24" i="1166"/>
  <c r="C24" i="1166"/>
  <c r="B25" i="1166"/>
  <c r="K26" i="1166"/>
  <c r="K27" i="1166"/>
  <c r="K28" i="1166"/>
  <c r="B29" i="1166"/>
  <c r="C29" i="1166"/>
  <c r="B30" i="1166"/>
  <c r="K31" i="1166"/>
  <c r="K32" i="1166"/>
  <c r="K33" i="1166"/>
  <c r="B34" i="1166"/>
  <c r="C34" i="1166"/>
  <c r="B35" i="1166"/>
  <c r="K36" i="1166"/>
  <c r="K37" i="1166"/>
  <c r="K38" i="1166"/>
  <c r="B39" i="1166"/>
  <c r="C39" i="1166"/>
  <c r="B40" i="1166"/>
  <c r="K41" i="1166"/>
  <c r="K42" i="1166"/>
  <c r="K43" i="1166"/>
  <c r="B44" i="1166"/>
  <c r="C44" i="1166"/>
  <c r="B45" i="1166"/>
  <c r="K46" i="1166"/>
  <c r="K47" i="1166"/>
  <c r="K48" i="1166"/>
  <c r="B49" i="1166"/>
  <c r="C49" i="1166"/>
  <c r="B50" i="1166"/>
  <c r="K51" i="1166"/>
  <c r="K52" i="1166"/>
  <c r="K53" i="1166"/>
  <c r="B54" i="1166"/>
  <c r="C54" i="1166"/>
  <c r="B55" i="1166"/>
  <c r="K56" i="1166"/>
  <c r="K57" i="1166"/>
  <c r="K58" i="1166"/>
  <c r="B59" i="1166"/>
  <c r="C59" i="1166"/>
  <c r="B60" i="1166"/>
  <c r="K61" i="1166"/>
  <c r="K62" i="1166"/>
  <c r="K63" i="1166"/>
  <c r="B64" i="1166"/>
  <c r="C64" i="1166"/>
  <c r="B65" i="1166"/>
  <c r="K66" i="1166"/>
  <c r="K67" i="1166"/>
  <c r="K68" i="1166"/>
  <c r="B72" i="1166"/>
  <c r="C72" i="1166"/>
  <c r="B73" i="1166"/>
  <c r="C73" i="1166"/>
  <c r="B74" i="1166"/>
  <c r="C74" i="1166"/>
  <c r="B75" i="1166"/>
  <c r="C75" i="1166"/>
  <c r="B76" i="1166"/>
  <c r="C76" i="1166"/>
  <c r="B77" i="1166"/>
  <c r="C77" i="1166"/>
  <c r="B78" i="1166"/>
  <c r="C78" i="1166"/>
  <c r="B79" i="1166"/>
  <c r="C79" i="1166"/>
  <c r="B80" i="1166"/>
  <c r="C80" i="1166"/>
  <c r="B81" i="1166"/>
  <c r="C81" i="1166"/>
  <c r="J84" i="1166"/>
  <c r="C84" i="1166" s="1"/>
  <c r="B84" i="1166"/>
  <c r="M84" i="1166"/>
  <c r="N84" i="1166"/>
  <c r="N85" i="1166" s="1"/>
  <c r="N86" i="1166" s="1"/>
  <c r="N87" i="1166" s="1"/>
  <c r="N88" i="1166" s="1"/>
  <c r="N89" i="1166" s="1"/>
  <c r="N90" i="1166" s="1"/>
  <c r="N91" i="1166" s="1"/>
  <c r="N92" i="1166" s="1"/>
  <c r="N93" i="1166" s="1"/>
  <c r="N94" i="1166" s="1"/>
  <c r="N95" i="1166" s="1"/>
  <c r="N96" i="1166" s="1"/>
  <c r="N97" i="1166" s="1"/>
  <c r="N98" i="1166" s="1"/>
  <c r="N99" i="1166" s="1"/>
  <c r="N100" i="1166" s="1"/>
  <c r="N101" i="1166" s="1"/>
  <c r="N102" i="1166" s="1"/>
  <c r="N103" i="1166" s="1"/>
  <c r="N104" i="1166" s="1"/>
  <c r="N105" i="1166" s="1"/>
  <c r="N106" i="1166" s="1"/>
  <c r="N107" i="1166" s="1"/>
  <c r="N108" i="1166" s="1"/>
  <c r="N109" i="1166" s="1"/>
  <c r="N110" i="1166" s="1"/>
  <c r="N111" i="1166" s="1"/>
  <c r="N112" i="1166" s="1"/>
  <c r="N113" i="1166" s="1"/>
  <c r="N114" i="1166" s="1"/>
  <c r="N115" i="1166" s="1"/>
  <c r="N116" i="1166" s="1"/>
  <c r="N117" i="1166" s="1"/>
  <c r="N118" i="1166" s="1"/>
  <c r="N119" i="1166" s="1"/>
  <c r="N120" i="1166" s="1"/>
  <c r="N121" i="1166" s="1"/>
  <c r="N122" i="1166" s="1"/>
  <c r="N123" i="1166" s="1"/>
  <c r="N124" i="1166" s="1"/>
  <c r="N125" i="1166" s="1"/>
  <c r="N126" i="1166" s="1"/>
  <c r="N127" i="1166" s="1"/>
  <c r="N128" i="1166" s="1"/>
  <c r="N129" i="1166" s="1"/>
  <c r="N130" i="1166" s="1"/>
  <c r="N131" i="1166" s="1"/>
  <c r="N132" i="1166" s="1"/>
  <c r="N133" i="1166" s="1"/>
  <c r="M85" i="1166"/>
  <c r="K86" i="1166"/>
  <c r="M86" i="1166"/>
  <c r="M87" i="1166" s="1"/>
  <c r="M88" i="1166" s="1"/>
  <c r="M89" i="1166" s="1"/>
  <c r="M90" i="1166" s="1"/>
  <c r="M91" i="1166" s="1"/>
  <c r="M92" i="1166" s="1"/>
  <c r="M93" i="1166" s="1"/>
  <c r="M94" i="1166" s="1"/>
  <c r="M95" i="1166" s="1"/>
  <c r="M96" i="1166" s="1"/>
  <c r="M97" i="1166" s="1"/>
  <c r="M98" i="1166" s="1"/>
  <c r="M99" i="1166" s="1"/>
  <c r="M100" i="1166" s="1"/>
  <c r="M101" i="1166" s="1"/>
  <c r="M102" i="1166" s="1"/>
  <c r="M103" i="1166" s="1"/>
  <c r="M104" i="1166" s="1"/>
  <c r="M105" i="1166" s="1"/>
  <c r="M106" i="1166" s="1"/>
  <c r="M107" i="1166" s="1"/>
  <c r="M108" i="1166" s="1"/>
  <c r="M109" i="1166" s="1"/>
  <c r="M110" i="1166" s="1"/>
  <c r="M111" i="1166" s="1"/>
  <c r="M112" i="1166" s="1"/>
  <c r="M113" i="1166" s="1"/>
  <c r="M114" i="1166" s="1"/>
  <c r="M115" i="1166" s="1"/>
  <c r="M116" i="1166" s="1"/>
  <c r="M117" i="1166" s="1"/>
  <c r="M118" i="1166" s="1"/>
  <c r="M119" i="1166" s="1"/>
  <c r="M120" i="1166" s="1"/>
  <c r="M121" i="1166" s="1"/>
  <c r="M122" i="1166" s="1"/>
  <c r="M123" i="1166" s="1"/>
  <c r="M124" i="1166" s="1"/>
  <c r="M125" i="1166" s="1"/>
  <c r="M126" i="1166" s="1"/>
  <c r="M127" i="1166" s="1"/>
  <c r="M128" i="1166" s="1"/>
  <c r="M129" i="1166" s="1"/>
  <c r="M130" i="1166" s="1"/>
  <c r="M131" i="1166" s="1"/>
  <c r="M132" i="1166" s="1"/>
  <c r="M133" i="1166" s="1"/>
  <c r="K87" i="1166"/>
  <c r="K88" i="1166"/>
  <c r="B89" i="1166"/>
  <c r="C89" i="1166"/>
  <c r="B90" i="1166"/>
  <c r="K91" i="1166"/>
  <c r="K92" i="1166"/>
  <c r="K93" i="1166"/>
  <c r="B94" i="1166"/>
  <c r="C94" i="1166"/>
  <c r="B95" i="1166"/>
  <c r="K96" i="1166"/>
  <c r="K97" i="1166"/>
  <c r="K98" i="1166"/>
  <c r="B99" i="1166"/>
  <c r="C99" i="1166"/>
  <c r="B100" i="1166"/>
  <c r="K101" i="1166"/>
  <c r="K102" i="1166"/>
  <c r="K103" i="1166"/>
  <c r="B104" i="1166"/>
  <c r="C104" i="1166"/>
  <c r="B105" i="1166"/>
  <c r="K106" i="1166"/>
  <c r="K107" i="1166"/>
  <c r="K108" i="1166"/>
  <c r="B109" i="1166"/>
  <c r="C109" i="1166"/>
  <c r="B110" i="1166"/>
  <c r="K111" i="1166"/>
  <c r="K112" i="1166"/>
  <c r="K113" i="1166"/>
  <c r="B114" i="1166"/>
  <c r="C114" i="1166"/>
  <c r="B115" i="1166"/>
  <c r="K116" i="1166"/>
  <c r="K117" i="1166"/>
  <c r="K118" i="1166"/>
  <c r="B119" i="1166"/>
  <c r="C119" i="1166"/>
  <c r="B120" i="1166"/>
  <c r="K121" i="1166"/>
  <c r="K122" i="1166"/>
  <c r="K123" i="1166"/>
  <c r="B124" i="1166"/>
  <c r="C124" i="1166"/>
  <c r="B125" i="1166"/>
  <c r="K126" i="1166"/>
  <c r="K127" i="1166"/>
  <c r="K128" i="1166"/>
  <c r="B129" i="1166"/>
  <c r="C129" i="1166"/>
  <c r="B130" i="1166"/>
  <c r="K131" i="1166"/>
  <c r="K132" i="1166"/>
  <c r="K133" i="1166"/>
  <c r="B1" i="1233"/>
  <c r="C1" i="1233"/>
  <c r="E8" i="1233"/>
  <c r="B85" i="1166" l="1"/>
  <c r="E25" i="1233"/>
  <c r="Q32" i="1233"/>
  <c r="Q34" i="1233"/>
  <c r="Q35" i="1233"/>
  <c r="D1" i="1160"/>
  <c r="M1" i="1160"/>
  <c r="M2" i="1160"/>
  <c r="P3" i="1160"/>
  <c r="F16" i="1160"/>
  <c r="C101" i="1160" l="1"/>
  <c r="C100" i="1160"/>
  <c r="C103" i="1160"/>
  <c r="C104" i="1160"/>
  <c r="C102" i="1160"/>
  <c r="C105" i="1160"/>
  <c r="B5" i="1646"/>
  <c r="B7" i="1172"/>
  <c r="D100" i="1160" l="1"/>
  <c r="B8" i="1160" s="1"/>
  <c r="F30" i="1160"/>
  <c r="C8" i="38" a="1"/>
  <c r="C8" i="38"/>
  <c r="G8" i="38"/>
  <c r="D16" i="38"/>
  <c r="F18" i="38"/>
  <c r="G18" i="38"/>
  <c r="H18" i="38"/>
  <c r="B19" i="38"/>
  <c r="B15" i="26"/>
  <c r="B35" i="26"/>
  <c r="O2" i="980"/>
  <c r="Q1" i="980"/>
  <c r="O1" i="980"/>
  <c r="F19" i="38"/>
  <c r="G19" i="38"/>
  <c r="H19" i="38"/>
  <c r="F6" i="802" l="1"/>
  <c r="B7" i="83"/>
  <c r="C6" i="802"/>
  <c r="H1" i="1646"/>
  <c r="F1" i="1440"/>
  <c r="C2" i="1172"/>
  <c r="J1" i="1170"/>
  <c r="I3" i="83"/>
  <c r="E3" i="83"/>
  <c r="E4" i="83" s="1"/>
  <c r="E3" i="695"/>
  <c r="H4" i="2"/>
  <c r="C1" i="1339"/>
  <c r="C1" i="1163"/>
  <c r="D1" i="1433"/>
  <c r="D1" i="1736"/>
  <c r="D1" i="1233"/>
  <c r="D2" i="1160"/>
  <c r="N55" i="1736"/>
  <c r="M55" i="1736"/>
  <c r="K55" i="1736"/>
  <c r="J55" i="1736"/>
  <c r="I55" i="1736"/>
  <c r="H55" i="1736"/>
  <c r="G55" i="1736"/>
  <c r="E55" i="1736"/>
  <c r="N45" i="1736"/>
  <c r="M45" i="1736"/>
  <c r="K45" i="1736"/>
  <c r="J45" i="1736"/>
  <c r="I45" i="1736"/>
  <c r="H45" i="1736"/>
  <c r="G45" i="1736"/>
  <c r="E45" i="1736"/>
  <c r="I19" i="38"/>
  <c r="N36" i="1233"/>
  <c r="M36" i="1233"/>
  <c r="L36" i="1233"/>
  <c r="K36" i="1233"/>
  <c r="J36" i="1233"/>
  <c r="I36" i="1233"/>
  <c r="H36" i="1233"/>
  <c r="G36" i="1233"/>
  <c r="O31" i="1233"/>
  <c r="N31" i="1233"/>
  <c r="M31" i="1233"/>
  <c r="L31" i="1233"/>
  <c r="K31" i="1233"/>
  <c r="J31" i="1233"/>
  <c r="I31" i="1233"/>
  <c r="G31" i="1233"/>
  <c r="O30" i="1233"/>
  <c r="N30" i="1233"/>
  <c r="M30" i="1233"/>
  <c r="L30" i="1233"/>
  <c r="K30" i="1233"/>
  <c r="J30" i="1233"/>
  <c r="I30" i="1233"/>
  <c r="G30" i="1233"/>
  <c r="O29" i="1233"/>
  <c r="N29" i="1233"/>
  <c r="M29" i="1233"/>
  <c r="L29" i="1233"/>
  <c r="K29" i="1233"/>
  <c r="J29" i="1233"/>
  <c r="G29" i="1233"/>
  <c r="O28" i="1233"/>
  <c r="N28" i="1233"/>
  <c r="M28" i="1233"/>
  <c r="L28" i="1233"/>
  <c r="K28" i="1233"/>
  <c r="J28" i="1233"/>
  <c r="I28" i="1233"/>
  <c r="H28" i="1233"/>
  <c r="G28" i="1233"/>
  <c r="O27" i="1233"/>
  <c r="N27" i="1233"/>
  <c r="M27" i="1233"/>
  <c r="L27" i="1233"/>
  <c r="K27" i="1233"/>
  <c r="J27" i="1233"/>
  <c r="I27" i="1233"/>
  <c r="G27" i="1233"/>
  <c r="O26" i="1233"/>
  <c r="N26" i="1233"/>
  <c r="M26" i="1233"/>
  <c r="L26" i="1233"/>
  <c r="K26" i="1233"/>
  <c r="J26" i="1233"/>
  <c r="I26" i="1233"/>
  <c r="G26" i="1233"/>
  <c r="N20" i="1233"/>
  <c r="M20" i="1233"/>
  <c r="L20" i="1233"/>
  <c r="K20" i="1233"/>
  <c r="J20" i="1233"/>
  <c r="I20" i="1233"/>
  <c r="H20" i="1233"/>
  <c r="G20" i="1233"/>
  <c r="O19" i="1233"/>
  <c r="N19" i="1233"/>
  <c r="M19" i="1233"/>
  <c r="L19" i="1233"/>
  <c r="K19" i="1233"/>
  <c r="J19" i="1233"/>
  <c r="I19" i="1233"/>
  <c r="G19" i="1233"/>
  <c r="O12" i="1233"/>
  <c r="N12" i="1233"/>
  <c r="M12" i="1233"/>
  <c r="L12" i="1233"/>
  <c r="K12" i="1233"/>
  <c r="J12" i="1233"/>
  <c r="G12" i="1233"/>
  <c r="O11" i="1233"/>
  <c r="N11" i="1233"/>
  <c r="M11" i="1233"/>
  <c r="K11" i="1233"/>
  <c r="J11" i="1233"/>
  <c r="G11" i="1233"/>
  <c r="O10" i="1233"/>
  <c r="N10" i="1233"/>
  <c r="M10" i="1233"/>
  <c r="L10" i="1233"/>
  <c r="K10" i="1233"/>
  <c r="J10" i="1233"/>
  <c r="I10" i="1233"/>
  <c r="H10" i="1233"/>
  <c r="G10" i="1233"/>
  <c r="O9" i="1233"/>
  <c r="N9" i="1233"/>
  <c r="M9" i="1233"/>
  <c r="L9" i="1233"/>
  <c r="K9" i="1233"/>
  <c r="J9" i="1233"/>
  <c r="G9" i="1233"/>
  <c r="W17" i="83"/>
  <c r="V17" i="83"/>
  <c r="U17" i="83"/>
  <c r="W16" i="83"/>
  <c r="V16" i="83"/>
  <c r="U16" i="83"/>
  <c r="W15" i="83"/>
  <c r="V15" i="83"/>
  <c r="U15" i="83"/>
  <c r="W14" i="83"/>
  <c r="V14" i="83"/>
  <c r="U14" i="83"/>
  <c r="W13" i="83"/>
  <c r="V13" i="83"/>
  <c r="U13" i="83"/>
  <c r="W12" i="83"/>
  <c r="V12" i="83"/>
  <c r="U12" i="83"/>
  <c r="W11" i="83"/>
  <c r="V11" i="83"/>
  <c r="U11" i="83"/>
  <c r="W10" i="83"/>
  <c r="V10" i="83"/>
  <c r="U10" i="83"/>
  <c r="W9" i="83"/>
  <c r="V9" i="83"/>
  <c r="U9" i="83"/>
  <c r="W7" i="83"/>
  <c r="V7" i="83"/>
  <c r="U7" i="83"/>
  <c r="M17" i="695"/>
  <c r="M16" i="695"/>
  <c r="M15" i="695"/>
  <c r="M14" i="695"/>
  <c r="M13" i="695"/>
  <c r="M12" i="695"/>
  <c r="M11" i="695"/>
  <c r="M10" i="695"/>
  <c r="M9" i="695"/>
  <c r="AC7" i="695"/>
  <c r="AB7" i="695"/>
  <c r="AA7" i="695"/>
  <c r="Y7" i="695"/>
  <c r="X7" i="695"/>
  <c r="W7" i="695"/>
  <c r="V7" i="695"/>
  <c r="U7" i="695"/>
  <c r="T7" i="695"/>
  <c r="S7" i="695"/>
  <c r="Q7" i="695"/>
  <c r="P7" i="695"/>
  <c r="O7" i="695"/>
  <c r="N7" i="695"/>
  <c r="M7" i="695"/>
  <c r="L7" i="695"/>
  <c r="K7" i="695"/>
  <c r="J7" i="695"/>
  <c r="I7" i="695"/>
  <c r="E7" i="695"/>
  <c r="J32" i="1339"/>
  <c r="I32" i="1339"/>
  <c r="H32" i="1339"/>
  <c r="G32" i="1339"/>
  <c r="F32" i="1339"/>
  <c r="E32" i="1339"/>
  <c r="D32" i="1339"/>
  <c r="J30" i="1339"/>
  <c r="I30" i="1339"/>
  <c r="H30" i="1339"/>
  <c r="G30" i="1339"/>
  <c r="F30" i="1339"/>
  <c r="E30" i="1339"/>
  <c r="D30" i="1339"/>
  <c r="J24" i="1339"/>
  <c r="I24" i="1339"/>
  <c r="H24" i="1339"/>
  <c r="G24" i="1339"/>
  <c r="F24" i="1339"/>
  <c r="E24" i="1339"/>
  <c r="D24" i="1339"/>
  <c r="J23" i="1339"/>
  <c r="I23" i="1339"/>
  <c r="H23" i="1339"/>
  <c r="G23" i="1339"/>
  <c r="F23" i="1339"/>
  <c r="E23" i="1339"/>
  <c r="D23" i="1339"/>
  <c r="J19" i="1339"/>
  <c r="I19" i="1339"/>
  <c r="H19" i="1339"/>
  <c r="G19" i="1339"/>
  <c r="F19" i="1339"/>
  <c r="E19" i="1339"/>
  <c r="D19" i="1339"/>
  <c r="W17" i="1339"/>
  <c r="J16" i="1339"/>
  <c r="I16" i="1339"/>
  <c r="H16" i="1339"/>
  <c r="G16" i="1339"/>
  <c r="F16" i="1339"/>
  <c r="E16" i="1339"/>
  <c r="D16" i="1339"/>
  <c r="J15" i="1339"/>
  <c r="I15" i="1339"/>
  <c r="H15" i="1339"/>
  <c r="G15" i="1339"/>
  <c r="F15" i="1339"/>
  <c r="E15" i="1339"/>
  <c r="D15" i="1339"/>
  <c r="J14" i="1339"/>
  <c r="I14" i="1339"/>
  <c r="H14" i="1339"/>
  <c r="G14" i="1339"/>
  <c r="F14" i="1339"/>
  <c r="E14" i="1339"/>
  <c r="D14" i="1339"/>
  <c r="J13" i="1339"/>
  <c r="I13" i="1339"/>
  <c r="H13" i="1339"/>
  <c r="G13" i="1339"/>
  <c r="F13" i="1339"/>
  <c r="E13" i="1339"/>
  <c r="D13" i="1339"/>
  <c r="W11" i="1339"/>
  <c r="W10" i="1339"/>
  <c r="W9" i="1339"/>
  <c r="W8" i="1339"/>
  <c r="J8" i="1339"/>
  <c r="I8" i="1339"/>
  <c r="H8" i="1339"/>
  <c r="G8" i="1339"/>
  <c r="F8" i="1339"/>
  <c r="E8" i="1339"/>
  <c r="D8" i="1339"/>
  <c r="W7" i="1339"/>
  <c r="J7" i="1339"/>
  <c r="I7" i="1339"/>
  <c r="H7" i="1339"/>
  <c r="G7" i="1339"/>
  <c r="F7" i="1339"/>
  <c r="E7" i="1339"/>
  <c r="D7" i="1339"/>
  <c r="W6" i="1339"/>
  <c r="C19" i="38"/>
  <c r="M37" i="1433"/>
  <c r="K37" i="1433"/>
  <c r="J37" i="1433"/>
  <c r="I37" i="1433"/>
  <c r="H37" i="1433"/>
  <c r="G37" i="1433"/>
  <c r="F37" i="1433"/>
  <c r="E37" i="1433"/>
  <c r="N36" i="1433"/>
  <c r="M36" i="1433"/>
  <c r="K36" i="1433"/>
  <c r="J36" i="1433"/>
  <c r="I36" i="1433"/>
  <c r="H36" i="1433"/>
  <c r="G36" i="1433"/>
  <c r="E36" i="1433"/>
  <c r="N27" i="1433"/>
  <c r="M27" i="1433"/>
  <c r="K27" i="1433"/>
  <c r="J27" i="1433"/>
  <c r="I27" i="1433"/>
  <c r="H27" i="1433"/>
  <c r="E27" i="1433"/>
  <c r="AD7" i="83"/>
  <c r="AB7" i="83"/>
  <c r="AA7" i="83"/>
  <c r="Z7" i="83"/>
  <c r="Y7" i="83"/>
  <c r="X7" i="83"/>
  <c r="S7" i="83"/>
  <c r="R7" i="83"/>
  <c r="Q7" i="83"/>
  <c r="P7" i="83"/>
  <c r="O7" i="83"/>
  <c r="N7" i="83"/>
  <c r="M7" i="83"/>
  <c r="L7" i="83"/>
  <c r="J7" i="83"/>
  <c r="I7" i="83"/>
  <c r="H7" i="83"/>
  <c r="F7" i="83"/>
  <c r="E7" i="83"/>
  <c r="BM8" i="1172"/>
  <c r="BN8" i="1172"/>
  <c r="BO8" i="1172"/>
  <c r="BP8" i="1172"/>
  <c r="BQ8" i="1172"/>
  <c r="BR8" i="1172"/>
  <c r="BS8" i="1172"/>
  <c r="BT8" i="1172"/>
  <c r="BU8" i="1172"/>
  <c r="BV8" i="1172"/>
  <c r="BW8" i="1172"/>
  <c r="BX8" i="1172"/>
  <c r="BY8" i="1172"/>
  <c r="J33" i="1163"/>
  <c r="E33" i="1163"/>
  <c r="D33" i="1163"/>
  <c r="H32" i="1163"/>
  <c r="G32" i="1163"/>
  <c r="F32" i="1163"/>
  <c r="E32" i="1163"/>
  <c r="D32" i="1163"/>
  <c r="J24" i="1163"/>
  <c r="I24" i="1163"/>
  <c r="H24" i="1163"/>
  <c r="G24" i="1163"/>
  <c r="F24" i="1163"/>
  <c r="E24" i="1163"/>
  <c r="D24" i="1163"/>
  <c r="J23" i="1163"/>
  <c r="I23" i="1163"/>
  <c r="H23" i="1163"/>
  <c r="G23" i="1163"/>
  <c r="F23" i="1163"/>
  <c r="E23" i="1163"/>
  <c r="D23" i="1163"/>
  <c r="J19" i="1163"/>
  <c r="I19" i="1163"/>
  <c r="H19" i="1163"/>
  <c r="G19" i="1163"/>
  <c r="F19" i="1163"/>
  <c r="E19" i="1163"/>
  <c r="D19" i="1163"/>
  <c r="W17" i="1163"/>
  <c r="J16" i="1163"/>
  <c r="I16" i="1163"/>
  <c r="H16" i="1163"/>
  <c r="G16" i="1163"/>
  <c r="F16" i="1163"/>
  <c r="E16" i="1163"/>
  <c r="D16" i="1163"/>
  <c r="J15" i="1163"/>
  <c r="I15" i="1163"/>
  <c r="H15" i="1163"/>
  <c r="G15" i="1163"/>
  <c r="F15" i="1163"/>
  <c r="E15" i="1163"/>
  <c r="D15" i="1163"/>
  <c r="J14" i="1163"/>
  <c r="I14" i="1163"/>
  <c r="H14" i="1163"/>
  <c r="G14" i="1163"/>
  <c r="F14" i="1163"/>
  <c r="E14" i="1163"/>
  <c r="D14" i="1163"/>
  <c r="J13" i="1163"/>
  <c r="I13" i="1163"/>
  <c r="H13" i="1163"/>
  <c r="G13" i="1163"/>
  <c r="F13" i="1163"/>
  <c r="E13" i="1163"/>
  <c r="D13" i="1163"/>
  <c r="W11" i="1163"/>
  <c r="W10" i="1163"/>
  <c r="W9" i="1163"/>
  <c r="W8" i="1163"/>
  <c r="J8" i="1163"/>
  <c r="I8" i="1163"/>
  <c r="H8" i="1163"/>
  <c r="G8" i="1163"/>
  <c r="F8" i="1163"/>
  <c r="E8" i="1163"/>
  <c r="D8" i="1163"/>
  <c r="W7" i="1163"/>
  <c r="J7" i="1163"/>
  <c r="I7" i="1163"/>
  <c r="H7" i="1163"/>
  <c r="G7" i="1163"/>
  <c r="F7" i="1163"/>
  <c r="E7" i="1163"/>
  <c r="D7" i="1163"/>
  <c r="W6" i="1163"/>
  <c r="N9" i="1736"/>
  <c r="M9" i="1736"/>
  <c r="K9" i="1736"/>
  <c r="J9" i="1736"/>
  <c r="I9" i="1736"/>
  <c r="H9" i="1736"/>
  <c r="G9" i="1736"/>
  <c r="F9" i="1736"/>
  <c r="E9" i="1736"/>
  <c r="AC7" i="83"/>
  <c r="O41" i="1433" l="1"/>
  <c r="E49" i="1736"/>
  <c r="F49" i="1736"/>
  <c r="G49" i="1736"/>
  <c r="H49" i="1736"/>
  <c r="I49" i="1736"/>
  <c r="J49" i="1736"/>
  <c r="K49" i="1736"/>
  <c r="M49" i="1736"/>
  <c r="N49" i="1736"/>
  <c r="T6" i="1163"/>
  <c r="T7" i="1163" s="1"/>
  <c r="T8" i="1163" s="1"/>
  <c r="T9" i="1163" s="1"/>
  <c r="T10" i="1163" s="1"/>
  <c r="T11" i="1163" s="1"/>
  <c r="T1" i="1163"/>
  <c r="D9" i="1163"/>
  <c r="D18" i="1163"/>
  <c r="D26" i="1163" s="1"/>
  <c r="E9" i="1163"/>
  <c r="E18" i="1163"/>
  <c r="E26" i="1163" s="1"/>
  <c r="F9" i="1163"/>
  <c r="F18" i="1163"/>
  <c r="F26" i="1163" s="1"/>
  <c r="G9" i="1163"/>
  <c r="G18" i="1163"/>
  <c r="G26" i="1163" s="1"/>
  <c r="G25" i="1163" s="1"/>
  <c r="H9" i="1163"/>
  <c r="H18" i="1163"/>
  <c r="H26" i="1163" s="1"/>
  <c r="I9" i="1163"/>
  <c r="I18" i="1163"/>
  <c r="I26" i="1163" s="1"/>
  <c r="J9" i="1163"/>
  <c r="J18" i="1163"/>
  <c r="J26" i="1163" s="1"/>
  <c r="D17" i="1163"/>
  <c r="E17" i="1163"/>
  <c r="F17" i="1163"/>
  <c r="H17" i="1163"/>
  <c r="I17" i="1163"/>
  <c r="J17" i="1163"/>
  <c r="X17" i="1163"/>
  <c r="Y17" i="1163"/>
  <c r="Z17" i="1163"/>
  <c r="AA17" i="1163"/>
  <c r="AB17" i="1163"/>
  <c r="D25" i="1163"/>
  <c r="E25" i="1163"/>
  <c r="F25" i="1163"/>
  <c r="H25" i="1163"/>
  <c r="I25" i="1163"/>
  <c r="J25" i="1163"/>
  <c r="G7" i="83"/>
  <c r="N32" i="1433"/>
  <c r="N70" i="1433"/>
  <c r="O61" i="1433"/>
  <c r="F32" i="1433"/>
  <c r="B83" i="1433"/>
  <c r="K32" i="1433"/>
  <c r="K70" i="1433" s="1"/>
  <c r="O6" i="1433"/>
  <c r="P6" i="1433" s="1"/>
  <c r="B88" i="1433"/>
  <c r="G32" i="1433"/>
  <c r="G70" i="1433" s="1"/>
  <c r="B84" i="1433"/>
  <c r="H32" i="1433"/>
  <c r="H70" i="1433" s="1"/>
  <c r="B85" i="1433"/>
  <c r="I32" i="1433"/>
  <c r="I70" i="1433" s="1"/>
  <c r="B86" i="1433"/>
  <c r="J32" i="1433"/>
  <c r="J70" i="1433" s="1"/>
  <c r="B87" i="1433"/>
  <c r="F8" i="1433"/>
  <c r="E64" i="1433"/>
  <c r="G8" i="1433"/>
  <c r="F64" i="1433"/>
  <c r="H8" i="1433"/>
  <c r="G64" i="1433"/>
  <c r="I8" i="1433"/>
  <c r="H64" i="1433"/>
  <c r="J8" i="1433"/>
  <c r="I64" i="1433"/>
  <c r="K8" i="1433"/>
  <c r="J64" i="1433"/>
  <c r="O8" i="1433"/>
  <c r="K64" i="1433"/>
  <c r="N8" i="1433"/>
  <c r="M64" i="1433"/>
  <c r="N64" i="1433"/>
  <c r="P8" i="1433"/>
  <c r="O10" i="1433"/>
  <c r="P10" i="1433"/>
  <c r="E12" i="1433"/>
  <c r="E40" i="1433" s="1"/>
  <c r="F11" i="1433"/>
  <c r="G11" i="1433"/>
  <c r="F12" i="1433"/>
  <c r="F40" i="1433" s="1"/>
  <c r="H11" i="1433"/>
  <c r="G12" i="1433"/>
  <c r="G40" i="1433" s="1"/>
  <c r="I11" i="1433"/>
  <c r="H12" i="1433"/>
  <c r="H40" i="1433" s="1"/>
  <c r="J11" i="1433"/>
  <c r="I12" i="1433"/>
  <c r="I40" i="1433" s="1"/>
  <c r="J12" i="1433"/>
  <c r="J40" i="1433" s="1"/>
  <c r="K11" i="1433"/>
  <c r="K12" i="1433"/>
  <c r="K40" i="1433" s="1"/>
  <c r="M12" i="1433"/>
  <c r="M40" i="1433" s="1"/>
  <c r="N11" i="1433"/>
  <c r="N12" i="1433"/>
  <c r="N40" i="1433" s="1"/>
  <c r="F15" i="1433"/>
  <c r="E16" i="1433"/>
  <c r="G15" i="1433"/>
  <c r="F16" i="1433"/>
  <c r="H15" i="1433"/>
  <c r="G16" i="1433"/>
  <c r="I15" i="1433"/>
  <c r="H16" i="1433"/>
  <c r="J15" i="1433"/>
  <c r="I16" i="1433"/>
  <c r="K15" i="1433"/>
  <c r="J16" i="1433"/>
  <c r="O15" i="1433"/>
  <c r="K16" i="1433"/>
  <c r="M16" i="1433"/>
  <c r="N15" i="1433"/>
  <c r="N16" i="1433"/>
  <c r="P15" i="1433"/>
  <c r="O16" i="1433"/>
  <c r="P16" i="1433"/>
  <c r="F19" i="1433"/>
  <c r="E20" i="1433"/>
  <c r="G19" i="1433"/>
  <c r="F20" i="1433"/>
  <c r="H19" i="1433"/>
  <c r="G20" i="1433"/>
  <c r="I19" i="1433"/>
  <c r="H20" i="1433"/>
  <c r="J19" i="1433"/>
  <c r="I20" i="1433"/>
  <c r="K19" i="1433"/>
  <c r="J20" i="1433"/>
  <c r="O19" i="1433"/>
  <c r="K20" i="1433"/>
  <c r="M20" i="1433"/>
  <c r="N19" i="1433"/>
  <c r="N20" i="1433"/>
  <c r="P19" i="1433"/>
  <c r="O20" i="1433"/>
  <c r="P20" i="1433"/>
  <c r="F23" i="1433"/>
  <c r="E24" i="1433"/>
  <c r="F24" i="1433"/>
  <c r="G23" i="1433"/>
  <c r="H23" i="1433"/>
  <c r="G24" i="1433"/>
  <c r="I23" i="1433"/>
  <c r="H24" i="1433"/>
  <c r="J23" i="1433"/>
  <c r="I24" i="1433"/>
  <c r="K23" i="1433"/>
  <c r="J24" i="1433"/>
  <c r="O23" i="1433"/>
  <c r="K24" i="1433"/>
  <c r="M24" i="1433"/>
  <c r="N23" i="1433"/>
  <c r="N24" i="1433"/>
  <c r="P23" i="1433"/>
  <c r="O24" i="1433"/>
  <c r="P24" i="1433"/>
  <c r="F28" i="1433"/>
  <c r="G28" i="1433"/>
  <c r="H28" i="1433"/>
  <c r="I28" i="1433"/>
  <c r="J28" i="1433"/>
  <c r="K28" i="1433"/>
  <c r="O28" i="1433"/>
  <c r="N28" i="1433"/>
  <c r="P28" i="1433"/>
  <c r="O35" i="1433"/>
  <c r="O36" i="1433"/>
  <c r="O37" i="1433"/>
  <c r="O42" i="1433"/>
  <c r="O43" i="1433"/>
  <c r="O44" i="1433"/>
  <c r="O47" i="1433"/>
  <c r="O48" i="1433"/>
  <c r="O49" i="1433"/>
  <c r="O50" i="1433"/>
  <c r="O53" i="1433"/>
  <c r="O54" i="1433"/>
  <c r="O57" i="1433"/>
  <c r="O58" i="1433"/>
  <c r="E71" i="1433"/>
  <c r="O59" i="1433"/>
  <c r="F71" i="1433"/>
  <c r="G71" i="1433"/>
  <c r="H71" i="1433"/>
  <c r="I71" i="1433"/>
  <c r="J71" i="1433"/>
  <c r="K71" i="1433"/>
  <c r="M71" i="1433"/>
  <c r="N71" i="1433"/>
  <c r="O60" i="1433"/>
  <c r="E73" i="1433"/>
  <c r="O65" i="1433"/>
  <c r="F73" i="1433"/>
  <c r="G73" i="1433"/>
  <c r="H73" i="1433"/>
  <c r="I73" i="1433"/>
  <c r="J73" i="1433"/>
  <c r="K73" i="1433"/>
  <c r="M73" i="1433"/>
  <c r="N73" i="1433"/>
  <c r="E74" i="1433"/>
  <c r="O66" i="1433"/>
  <c r="F74" i="1433"/>
  <c r="O74" i="1433" s="1"/>
  <c r="B81" i="1433" s="1"/>
  <c r="G74" i="1433"/>
  <c r="H74" i="1433"/>
  <c r="I74" i="1433"/>
  <c r="J74" i="1433"/>
  <c r="K74" i="1433"/>
  <c r="M74" i="1433"/>
  <c r="N74" i="1433"/>
  <c r="O67" i="1433"/>
  <c r="O72" i="1433"/>
  <c r="B79" i="1433" s="1"/>
  <c r="B6" i="802"/>
  <c r="T1" i="1339"/>
  <c r="T6" i="1339"/>
  <c r="T7" i="1339" s="1"/>
  <c r="T8" i="1339" s="1"/>
  <c r="T9" i="1339" s="1"/>
  <c r="T10" i="1339" s="1"/>
  <c r="T11" i="1339" s="1"/>
  <c r="D18" i="1339"/>
  <c r="D26" i="1339" s="1"/>
  <c r="D33" i="1339"/>
  <c r="E9" i="1339"/>
  <c r="E18" i="1339"/>
  <c r="E26" i="1339" s="1"/>
  <c r="E25" i="1339" s="1"/>
  <c r="E33" i="1339"/>
  <c r="F9" i="1339"/>
  <c r="F18" i="1339"/>
  <c r="F26" i="1339" s="1"/>
  <c r="F25" i="1339" s="1"/>
  <c r="F33" i="1339"/>
  <c r="G9" i="1339"/>
  <c r="G18" i="1339"/>
  <c r="G26" i="1339" s="1"/>
  <c r="G33" i="1339"/>
  <c r="H9" i="1339"/>
  <c r="H18" i="1339"/>
  <c r="H26" i="1339" s="1"/>
  <c r="H33" i="1339"/>
  <c r="I9" i="1339"/>
  <c r="I18" i="1339"/>
  <c r="I26" i="1339" s="1"/>
  <c r="I33" i="1339"/>
  <c r="J9" i="1339"/>
  <c r="J18" i="1339"/>
  <c r="J26" i="1339" s="1"/>
  <c r="J33" i="1339"/>
  <c r="D17" i="1339"/>
  <c r="E17" i="1339"/>
  <c r="F17" i="1339"/>
  <c r="G17" i="1339"/>
  <c r="J17" i="1339"/>
  <c r="X17" i="1339"/>
  <c r="Y17" i="1339"/>
  <c r="Z17" i="1339"/>
  <c r="AA17" i="1339"/>
  <c r="AB17" i="1339"/>
  <c r="D25" i="1339"/>
  <c r="G25" i="1339"/>
  <c r="H25" i="1339"/>
  <c r="I25" i="1339"/>
  <c r="J25" i="1339"/>
  <c r="D31" i="1339"/>
  <c r="E31" i="1339"/>
  <c r="F31" i="1339"/>
  <c r="G31" i="1339"/>
  <c r="H31" i="1339"/>
  <c r="I31" i="1339"/>
  <c r="J31" i="1339"/>
  <c r="I28" i="695"/>
  <c r="O28" i="695"/>
  <c r="R7" i="695"/>
  <c r="U28" i="695"/>
  <c r="V28" i="695"/>
  <c r="X28" i="695"/>
  <c r="P25" i="1233"/>
  <c r="Q25" i="1233" s="1"/>
  <c r="P8" i="1233"/>
  <c r="M16" i="1160"/>
  <c r="N16" i="1160"/>
  <c r="H16" i="1160"/>
  <c r="I16" i="1160"/>
  <c r="J16" i="1160"/>
  <c r="K16" i="1160"/>
  <c r="L16" i="1160"/>
  <c r="G13" i="1233"/>
  <c r="H13" i="1233"/>
  <c r="I13" i="1233"/>
  <c r="J13" i="1233"/>
  <c r="K13" i="1233"/>
  <c r="L13" i="1233"/>
  <c r="M13" i="1233"/>
  <c r="O13" i="1233"/>
  <c r="P13" i="1233"/>
  <c r="Q13" i="1233"/>
  <c r="G17" i="1233"/>
  <c r="G14" i="1233"/>
  <c r="H14" i="1233"/>
  <c r="H17" i="1233"/>
  <c r="I17" i="1233"/>
  <c r="I14" i="1233"/>
  <c r="J17" i="1233"/>
  <c r="J14" i="1233"/>
  <c r="K17" i="1233"/>
  <c r="K14" i="1233"/>
  <c r="L17" i="1233"/>
  <c r="L14" i="1233"/>
  <c r="M14" i="1233"/>
  <c r="M17" i="1233"/>
  <c r="N17" i="1233"/>
  <c r="O17" i="1233"/>
  <c r="O14" i="1233"/>
  <c r="P14" i="1233"/>
  <c r="P17" i="1233"/>
  <c r="Q17" i="1233"/>
  <c r="Q14" i="1233"/>
  <c r="G18" i="1233"/>
  <c r="G15" i="1233"/>
  <c r="H15" i="1233"/>
  <c r="H18" i="1233"/>
  <c r="I15" i="1233"/>
  <c r="I18" i="1233"/>
  <c r="J15" i="1233"/>
  <c r="J18" i="1233"/>
  <c r="K15" i="1233"/>
  <c r="K18" i="1233"/>
  <c r="L18" i="1233"/>
  <c r="L15" i="1233"/>
  <c r="M18" i="1233"/>
  <c r="M15" i="1233"/>
  <c r="N18" i="1233"/>
  <c r="O15" i="1233"/>
  <c r="O18" i="1233"/>
  <c r="P15" i="1233"/>
  <c r="P18" i="1233"/>
  <c r="Q18" i="1233"/>
  <c r="Q15" i="1233"/>
  <c r="G16" i="1233"/>
  <c r="H16" i="1233"/>
  <c r="I16" i="1233"/>
  <c r="J16" i="1233"/>
  <c r="K16" i="1233"/>
  <c r="L16" i="1233"/>
  <c r="M16" i="1233"/>
  <c r="O16" i="1233"/>
  <c r="P16" i="1233"/>
  <c r="Q16" i="1233"/>
  <c r="G32" i="1233"/>
  <c r="H32" i="1233"/>
  <c r="I32" i="1233"/>
  <c r="J32" i="1233"/>
  <c r="K32" i="1233"/>
  <c r="L32" i="1233"/>
  <c r="P32" i="1233"/>
  <c r="M32" i="1233"/>
  <c r="O32" i="1233"/>
  <c r="G33" i="1233"/>
  <c r="G37" i="1233"/>
  <c r="H33" i="1233"/>
  <c r="H37" i="1233"/>
  <c r="I33" i="1233"/>
  <c r="I37" i="1233"/>
  <c r="J33" i="1233"/>
  <c r="J37" i="1233"/>
  <c r="K33" i="1233"/>
  <c r="K37" i="1233"/>
  <c r="L33" i="1233"/>
  <c r="L37" i="1233"/>
  <c r="M33" i="1233"/>
  <c r="M37" i="1233"/>
  <c r="N37" i="1233"/>
  <c r="O33" i="1233"/>
  <c r="O37" i="1233"/>
  <c r="P33" i="1233"/>
  <c r="P37" i="1233"/>
  <c r="Q33" i="1233"/>
  <c r="Q37" i="1233"/>
  <c r="G34" i="1233"/>
  <c r="H34" i="1233"/>
  <c r="I34" i="1233"/>
  <c r="J34" i="1233"/>
  <c r="K34" i="1233"/>
  <c r="L34" i="1233"/>
  <c r="M34" i="1233"/>
  <c r="P34" i="1233"/>
  <c r="O34" i="1233"/>
  <c r="G35" i="1233"/>
  <c r="H35" i="1233"/>
  <c r="I35" i="1233"/>
  <c r="J35" i="1233"/>
  <c r="K35" i="1233"/>
  <c r="L35" i="1233"/>
  <c r="M35" i="1233"/>
  <c r="P35" i="1233"/>
  <c r="O35" i="1233"/>
  <c r="J66" i="1736"/>
  <c r="U79" i="1736"/>
  <c r="O6" i="1736"/>
  <c r="P6" i="1736" s="1"/>
  <c r="U80" i="1736"/>
  <c r="N32" i="1736"/>
  <c r="N66" i="1736"/>
  <c r="G66" i="1736"/>
  <c r="H66" i="1736"/>
  <c r="I66" i="1736"/>
  <c r="F66" i="1736"/>
  <c r="O32" i="1736"/>
  <c r="K66" i="1736"/>
  <c r="U75" i="1736"/>
  <c r="U76" i="1736"/>
  <c r="U77" i="1736"/>
  <c r="U78" i="1736"/>
  <c r="F8" i="1736"/>
  <c r="E61" i="1736"/>
  <c r="G8" i="1736"/>
  <c r="F61" i="1736"/>
  <c r="H8" i="1736"/>
  <c r="G61" i="1736"/>
  <c r="I8" i="1736"/>
  <c r="H61" i="1736"/>
  <c r="J8" i="1736"/>
  <c r="I61" i="1736"/>
  <c r="K8" i="1736"/>
  <c r="J61" i="1736"/>
  <c r="K61" i="1736"/>
  <c r="N8" i="1736"/>
  <c r="M61" i="1736"/>
  <c r="M70" i="1736"/>
  <c r="N61" i="1736"/>
  <c r="N70" i="1736"/>
  <c r="F12" i="1736"/>
  <c r="E59" i="1736"/>
  <c r="G12" i="1736"/>
  <c r="F59" i="1736"/>
  <c r="O59" i="1736" s="1"/>
  <c r="H12" i="1736"/>
  <c r="G59" i="1736"/>
  <c r="I12" i="1736"/>
  <c r="H59" i="1736"/>
  <c r="J12" i="1736"/>
  <c r="I59" i="1736"/>
  <c r="K12" i="1736"/>
  <c r="J59" i="1736"/>
  <c r="O12" i="1736"/>
  <c r="K59" i="1736"/>
  <c r="N12" i="1736"/>
  <c r="M59" i="1736"/>
  <c r="N59" i="1736"/>
  <c r="P12" i="1736"/>
  <c r="F15" i="1736"/>
  <c r="E16" i="1736"/>
  <c r="E60" i="1736"/>
  <c r="E69" i="1736"/>
  <c r="G15" i="1736"/>
  <c r="F16" i="1736"/>
  <c r="F60" i="1736"/>
  <c r="F69" i="1736"/>
  <c r="H15" i="1736"/>
  <c r="G16" i="1736"/>
  <c r="G60" i="1736"/>
  <c r="G69" i="1736"/>
  <c r="I15" i="1736"/>
  <c r="H16" i="1736"/>
  <c r="H60" i="1736"/>
  <c r="H69" i="1736"/>
  <c r="J15" i="1736"/>
  <c r="I16" i="1736"/>
  <c r="I60" i="1736"/>
  <c r="I69" i="1736"/>
  <c r="K15" i="1736"/>
  <c r="J16" i="1736"/>
  <c r="J60" i="1736"/>
  <c r="J69" i="1736"/>
  <c r="O15" i="1736"/>
  <c r="K16" i="1736"/>
  <c r="K60" i="1736"/>
  <c r="K69" i="1736"/>
  <c r="M16" i="1736"/>
  <c r="N15" i="1736"/>
  <c r="M60" i="1736"/>
  <c r="M69" i="1736"/>
  <c r="N16" i="1736"/>
  <c r="N60" i="1736"/>
  <c r="N69" i="1736"/>
  <c r="P15" i="1736"/>
  <c r="O16" i="1736"/>
  <c r="P16" i="1736"/>
  <c r="F19" i="1736"/>
  <c r="E20" i="1736"/>
  <c r="E70" i="1736"/>
  <c r="G19" i="1736"/>
  <c r="F20" i="1736"/>
  <c r="F70" i="1736"/>
  <c r="H19" i="1736"/>
  <c r="G20" i="1736"/>
  <c r="G70" i="1736"/>
  <c r="I19" i="1736"/>
  <c r="H20" i="1736"/>
  <c r="H70" i="1736"/>
  <c r="J19" i="1736"/>
  <c r="I20" i="1736"/>
  <c r="I70" i="1736"/>
  <c r="K19" i="1736"/>
  <c r="J20" i="1736"/>
  <c r="J70" i="1736"/>
  <c r="O19" i="1736"/>
  <c r="K20" i="1736"/>
  <c r="K70" i="1736"/>
  <c r="M20" i="1736"/>
  <c r="N19" i="1736"/>
  <c r="N20" i="1736"/>
  <c r="P19" i="1736"/>
  <c r="O20" i="1736"/>
  <c r="P20" i="1736"/>
  <c r="F23" i="1736"/>
  <c r="E68" i="1736"/>
  <c r="G23" i="1736"/>
  <c r="F68" i="1736"/>
  <c r="O68" i="1736" s="1"/>
  <c r="U71" i="1736" s="1"/>
  <c r="H23" i="1736"/>
  <c r="G68" i="1736"/>
  <c r="I23" i="1736"/>
  <c r="H68" i="1736"/>
  <c r="J23" i="1736"/>
  <c r="I68" i="1736"/>
  <c r="K23" i="1736"/>
  <c r="J68" i="1736"/>
  <c r="O23" i="1736"/>
  <c r="K68" i="1736"/>
  <c r="N23" i="1736"/>
  <c r="M68" i="1736"/>
  <c r="N68" i="1736"/>
  <c r="F27" i="1736"/>
  <c r="G27" i="1736"/>
  <c r="H27" i="1736"/>
  <c r="I27" i="1736"/>
  <c r="J27" i="1736"/>
  <c r="K27" i="1736"/>
  <c r="O27" i="1736"/>
  <c r="N27" i="1736"/>
  <c r="P27" i="1736"/>
  <c r="O35" i="1736"/>
  <c r="O36" i="1736"/>
  <c r="O39" i="1736"/>
  <c r="O40" i="1736"/>
  <c r="O41" i="1736"/>
  <c r="O44" i="1736"/>
  <c r="O45" i="1736"/>
  <c r="O46" i="1736"/>
  <c r="O50" i="1736"/>
  <c r="O51" i="1736"/>
  <c r="O52" i="1736"/>
  <c r="O55" i="1736"/>
  <c r="E67" i="1736"/>
  <c r="O56" i="1736"/>
  <c r="F67" i="1736"/>
  <c r="O67" i="1736" s="1"/>
  <c r="U70" i="1736" s="1"/>
  <c r="G67" i="1736"/>
  <c r="H67" i="1736"/>
  <c r="I67" i="1736"/>
  <c r="J67" i="1736"/>
  <c r="K67" i="1736"/>
  <c r="M67" i="1736"/>
  <c r="N67" i="1736"/>
  <c r="O62" i="1736"/>
  <c r="C24" i="1170"/>
  <c r="D24" i="1170"/>
  <c r="E24" i="1170"/>
  <c r="F24" i="1170"/>
  <c r="G24" i="1170"/>
  <c r="H24" i="1170"/>
  <c r="I24" i="1170"/>
  <c r="T7" i="83"/>
  <c r="F1" i="1646"/>
  <c r="B8" i="1646" s="1"/>
  <c r="E4" i="695"/>
  <c r="B23" i="1160"/>
  <c r="C21" i="38"/>
  <c r="B8" i="802" s="1"/>
  <c r="F21" i="38"/>
  <c r="F8" i="802" s="1"/>
  <c r="G21" i="38"/>
  <c r="H21" i="38"/>
  <c r="I21" i="38"/>
  <c r="C22" i="38"/>
  <c r="B9" i="802" s="1"/>
  <c r="F22" i="38"/>
  <c r="F9" i="802" s="1"/>
  <c r="G22" i="38"/>
  <c r="H22" i="38"/>
  <c r="I22" i="38"/>
  <c r="C23" i="38"/>
  <c r="B10" i="802" s="1"/>
  <c r="F23" i="38"/>
  <c r="F10" i="802" s="1"/>
  <c r="G23" i="38"/>
  <c r="H23" i="38"/>
  <c r="I23" i="38"/>
  <c r="C24" i="38"/>
  <c r="B11" i="802" s="1"/>
  <c r="F24" i="38"/>
  <c r="F11" i="802" s="1"/>
  <c r="G24" i="38"/>
  <c r="H24" i="38"/>
  <c r="I24" i="38"/>
  <c r="C25" i="38"/>
  <c r="B12" i="802" s="1"/>
  <c r="F25" i="38"/>
  <c r="F12" i="802" s="1"/>
  <c r="G25" i="38"/>
  <c r="H25" i="38"/>
  <c r="I25" i="38"/>
  <c r="C26" i="38"/>
  <c r="B13" i="802" s="1"/>
  <c r="F26" i="38"/>
  <c r="F13" i="802" s="1"/>
  <c r="G26" i="38"/>
  <c r="H26" i="38"/>
  <c r="I26" i="38"/>
  <c r="C27" i="38"/>
  <c r="B14" i="802" s="1"/>
  <c r="F27" i="38"/>
  <c r="F14" i="802" s="1"/>
  <c r="G27" i="38"/>
  <c r="H27" i="38"/>
  <c r="I27" i="38"/>
  <c r="C28" i="38"/>
  <c r="B15" i="802" s="1"/>
  <c r="F28" i="38"/>
  <c r="F15" i="802" s="1"/>
  <c r="G28" i="38"/>
  <c r="H28" i="38"/>
  <c r="I28" i="38"/>
  <c r="C29" i="38"/>
  <c r="B16" i="802" s="1"/>
  <c r="F29" i="38"/>
  <c r="F16" i="802" s="1"/>
  <c r="G29" i="38"/>
  <c r="H29" i="38"/>
  <c r="I29" i="38"/>
  <c r="E1" i="979"/>
  <c r="H1" i="979"/>
  <c r="F21" i="979" s="1"/>
  <c r="M1" i="979"/>
  <c r="E2" i="979"/>
  <c r="H2" i="979"/>
  <c r="K2" i="979" s="1"/>
  <c r="M2" i="979"/>
  <c r="C3" i="979"/>
  <c r="D3" i="979"/>
  <c r="E3" i="979"/>
  <c r="F3" i="979" s="1"/>
  <c r="G3" i="979" s="1"/>
  <c r="H3" i="979" s="1"/>
  <c r="I3" i="979" s="1"/>
  <c r="J3" i="979" s="1"/>
  <c r="K3" i="979" s="1"/>
  <c r="L3" i="979" s="1"/>
  <c r="M3" i="979" s="1"/>
  <c r="Q3" i="979"/>
  <c r="Q4" i="979"/>
  <c r="Q5" i="979" s="1"/>
  <c r="Q6" i="979" s="1"/>
  <c r="Q7" i="979" s="1"/>
  <c r="Q8" i="979" s="1"/>
  <c r="Q9" i="979" s="1"/>
  <c r="Q10" i="979" s="1"/>
  <c r="Q11" i="979" s="1"/>
  <c r="Q12" i="979" s="1"/>
  <c r="Q13" i="979" s="1"/>
  <c r="Q14" i="979" s="1"/>
  <c r="Q15" i="979" s="1"/>
  <c r="Q16" i="979" s="1"/>
  <c r="Q17" i="979" s="1"/>
  <c r="Q18" i="979" s="1"/>
  <c r="Q19" i="979" s="1"/>
  <c r="Q20" i="979" s="1"/>
  <c r="B7" i="979"/>
  <c r="B8" i="979"/>
  <c r="C8" i="979"/>
  <c r="C9" i="979"/>
  <c r="B9" i="979" s="1"/>
  <c r="C10" i="979"/>
  <c r="G10" i="979"/>
  <c r="G11" i="979"/>
  <c r="G12" i="979"/>
  <c r="C15" i="979"/>
  <c r="L17" i="979"/>
  <c r="L18" i="979"/>
  <c r="G22" i="979"/>
  <c r="G23" i="979" s="1"/>
  <c r="L23" i="979"/>
  <c r="I28" i="979"/>
  <c r="L28" i="979"/>
  <c r="L33" i="979"/>
  <c r="F37" i="979"/>
  <c r="L38" i="979"/>
  <c r="G42" i="979"/>
  <c r="C41" i="979" s="1"/>
  <c r="G41" i="979"/>
  <c r="G43" i="979"/>
  <c r="L43" i="979"/>
  <c r="G47" i="979"/>
  <c r="G48" i="979" s="1"/>
  <c r="F46" i="979"/>
  <c r="L48" i="979"/>
  <c r="G52" i="979"/>
  <c r="G53" i="979" s="1"/>
  <c r="L53" i="979"/>
  <c r="G57" i="979"/>
  <c r="G58" i="979" s="1"/>
  <c r="C56" i="979"/>
  <c r="L58" i="979"/>
  <c r="G62" i="979"/>
  <c r="G63" i="979" s="1"/>
  <c r="L63" i="979"/>
  <c r="G67" i="979"/>
  <c r="G68" i="979" s="1"/>
  <c r="I68" i="979"/>
  <c r="L68" i="979"/>
  <c r="L73" i="979"/>
  <c r="F77" i="979"/>
  <c r="L78" i="979"/>
  <c r="G80" i="979"/>
  <c r="L82" i="979"/>
  <c r="F85" i="979"/>
  <c r="L87" i="979"/>
  <c r="L92" i="979"/>
  <c r="L97" i="979"/>
  <c r="G100" i="979"/>
  <c r="G101" i="979" s="1"/>
  <c r="L101" i="979"/>
  <c r="I106" i="979"/>
  <c r="L106" i="979"/>
  <c r="G110" i="979"/>
  <c r="C109" i="979" s="1"/>
  <c r="G111" i="979"/>
  <c r="L111" i="979"/>
  <c r="G115" i="979"/>
  <c r="C114" i="979" s="1"/>
  <c r="F115" i="979"/>
  <c r="L116" i="979"/>
  <c r="C119" i="979"/>
  <c r="A7" i="83"/>
  <c r="D7" i="83"/>
  <c r="C8" i="1646"/>
  <c r="F7" i="695"/>
  <c r="E139" i="979"/>
  <c r="K7" i="83"/>
  <c r="AE7" i="83"/>
  <c r="P11" i="1433" l="1"/>
  <c r="O49" i="1736"/>
  <c r="G7" i="695"/>
  <c r="B15" i="979"/>
  <c r="B10" i="979"/>
  <c r="F95" i="979"/>
  <c r="G90" i="979"/>
  <c r="F86" i="979"/>
  <c r="I78" i="979"/>
  <c r="G72" i="979"/>
  <c r="C66" i="979"/>
  <c r="F56" i="979"/>
  <c r="G51" i="979"/>
  <c r="F47" i="979"/>
  <c r="I38" i="979"/>
  <c r="G32" i="979"/>
  <c r="F11" i="979"/>
  <c r="H16" i="802"/>
  <c r="G16" i="802"/>
  <c r="E16" i="802"/>
  <c r="H8" i="802"/>
  <c r="G8" i="802"/>
  <c r="E8" i="802"/>
  <c r="O69" i="1736"/>
  <c r="U72" i="1736" s="1"/>
  <c r="O61" i="1736"/>
  <c r="O64" i="1433"/>
  <c r="F70" i="1433"/>
  <c r="O32" i="1433"/>
  <c r="H14" i="802"/>
  <c r="G14" i="802"/>
  <c r="E14" i="802"/>
  <c r="I116" i="979"/>
  <c r="G116" i="979"/>
  <c r="I111" i="979"/>
  <c r="G105" i="979"/>
  <c r="C99" i="979"/>
  <c r="F90" i="979"/>
  <c r="G85" i="979"/>
  <c r="F81" i="979"/>
  <c r="I73" i="979"/>
  <c r="C61" i="979"/>
  <c r="F51" i="979"/>
  <c r="G46" i="979"/>
  <c r="F42" i="979"/>
  <c r="I33" i="979"/>
  <c r="G27" i="979"/>
  <c r="C21" i="979"/>
  <c r="B21" i="979" s="1"/>
  <c r="I17" i="979"/>
  <c r="G11" i="802"/>
  <c r="H11" i="802"/>
  <c r="E11" i="802"/>
  <c r="O60" i="1736"/>
  <c r="Q8" i="1233"/>
  <c r="P16" i="1160" s="1"/>
  <c r="O16" i="1160"/>
  <c r="O71" i="1433"/>
  <c r="B78" i="1433" s="1"/>
  <c r="F110" i="979"/>
  <c r="G96" i="979"/>
  <c r="F80" i="979"/>
  <c r="G76" i="979"/>
  <c r="F72" i="979"/>
  <c r="I63" i="979"/>
  <c r="C51" i="979"/>
  <c r="F41" i="979"/>
  <c r="G36" i="979"/>
  <c r="F32" i="979"/>
  <c r="I23" i="979"/>
  <c r="F16" i="979"/>
  <c r="F10" i="979"/>
  <c r="H9" i="802"/>
  <c r="E9" i="802"/>
  <c r="G9" i="802"/>
  <c r="O11" i="1433"/>
  <c r="G109" i="979"/>
  <c r="F105" i="979"/>
  <c r="I97" i="979"/>
  <c r="G91" i="979"/>
  <c r="F76" i="979"/>
  <c r="G71" i="979"/>
  <c r="F67" i="979"/>
  <c r="I58" i="979"/>
  <c r="C46" i="979"/>
  <c r="F36" i="979"/>
  <c r="G31" i="979"/>
  <c r="F27" i="979"/>
  <c r="I12" i="979"/>
  <c r="H12" i="802"/>
  <c r="E12" i="802"/>
  <c r="G12" i="802"/>
  <c r="B9" i="1646"/>
  <c r="O70" i="1736"/>
  <c r="U73" i="1736" s="1"/>
  <c r="O40" i="1433"/>
  <c r="I101" i="979"/>
  <c r="F109" i="979"/>
  <c r="G104" i="979"/>
  <c r="F100" i="979"/>
  <c r="I92" i="979"/>
  <c r="G86" i="979"/>
  <c r="F71" i="979"/>
  <c r="G66" i="979"/>
  <c r="F62" i="979"/>
  <c r="I53" i="979"/>
  <c r="F31" i="979"/>
  <c r="G26" i="979"/>
  <c r="F22" i="979"/>
  <c r="G15" i="979"/>
  <c r="E15" i="802"/>
  <c r="G15" i="802"/>
  <c r="H15" i="802"/>
  <c r="G114" i="979"/>
  <c r="F114" i="979"/>
  <c r="F104" i="979"/>
  <c r="G99" i="979"/>
  <c r="F96" i="979"/>
  <c r="I87" i="979"/>
  <c r="G81" i="979"/>
  <c r="F66" i="979"/>
  <c r="G61" i="979"/>
  <c r="F57" i="979"/>
  <c r="I48" i="979"/>
  <c r="F26" i="979"/>
  <c r="G21" i="979"/>
  <c r="F15" i="979"/>
  <c r="H10" i="802"/>
  <c r="E10" i="802"/>
  <c r="G10" i="802"/>
  <c r="I17" i="1339"/>
  <c r="O73" i="1433"/>
  <c r="B80" i="1433" s="1"/>
  <c r="R1" i="1736"/>
  <c r="O66" i="1736"/>
  <c r="F99" i="979"/>
  <c r="G95" i="979"/>
  <c r="F91" i="979"/>
  <c r="I82" i="979"/>
  <c r="G77" i="979"/>
  <c r="F61" i="979"/>
  <c r="G56" i="979"/>
  <c r="F52" i="979"/>
  <c r="I43" i="979"/>
  <c r="G37" i="979"/>
  <c r="H13" i="802"/>
  <c r="E13" i="802"/>
  <c r="G13" i="802"/>
  <c r="H17" i="1339"/>
  <c r="B7" i="82" a="1"/>
  <c r="G17" i="1163"/>
  <c r="E119" i="979"/>
  <c r="C120" i="979"/>
  <c r="J13" i="802"/>
  <c r="E6" i="802"/>
  <c r="J6" i="802" s="1"/>
  <c r="J12" i="802"/>
  <c r="J16" i="802"/>
  <c r="J11" i="802"/>
  <c r="C9" i="1646"/>
  <c r="J15" i="802"/>
  <c r="J8" i="802"/>
  <c r="J14" i="802"/>
  <c r="J9" i="802"/>
  <c r="J10" i="802"/>
  <c r="E120" i="979"/>
  <c r="C80" i="979" l="1"/>
  <c r="G82" i="979"/>
  <c r="G28" i="979"/>
  <c r="C26" i="979"/>
  <c r="B26" i="979" s="1"/>
  <c r="C7" i="718" a="1"/>
  <c r="C31" i="979"/>
  <c r="B31" i="979" s="1"/>
  <c r="G33" i="979"/>
  <c r="G87" i="979"/>
  <c r="C85" i="979"/>
  <c r="B10" i="1646"/>
  <c r="G106" i="979"/>
  <c r="C104" i="979"/>
  <c r="C76" i="979"/>
  <c r="G78" i="979"/>
  <c r="R1" i="1433"/>
  <c r="O70" i="1433"/>
  <c r="C10" i="82"/>
  <c r="C14" i="82"/>
  <c r="C18" i="82"/>
  <c r="C22" i="82"/>
  <c r="C26" i="82"/>
  <c r="B7" i="82"/>
  <c r="B11" i="82"/>
  <c r="B15" i="82"/>
  <c r="B19" i="82"/>
  <c r="B23" i="82"/>
  <c r="B27" i="82"/>
  <c r="C8" i="82"/>
  <c r="C12" i="82"/>
  <c r="C20" i="82"/>
  <c r="C7" i="82"/>
  <c r="C11" i="82"/>
  <c r="C15" i="82"/>
  <c r="C19" i="82"/>
  <c r="C23" i="82"/>
  <c r="C27" i="82"/>
  <c r="B8" i="82"/>
  <c r="B12" i="82"/>
  <c r="B16" i="82"/>
  <c r="B20" i="82"/>
  <c r="B24" i="82"/>
  <c r="B9" i="82"/>
  <c r="B13" i="82"/>
  <c r="B17" i="82"/>
  <c r="B21" i="82"/>
  <c r="B25" i="82"/>
  <c r="C9" i="82"/>
  <c r="C13" i="82"/>
  <c r="C17" i="82"/>
  <c r="C21" i="82"/>
  <c r="C25" i="82"/>
  <c r="C16" i="82"/>
  <c r="B10" i="82"/>
  <c r="B14" i="82"/>
  <c r="B18" i="82"/>
  <c r="B22" i="82"/>
  <c r="B26" i="82"/>
  <c r="C24" i="82"/>
  <c r="G97" i="979"/>
  <c r="C95" i="979"/>
  <c r="C71" i="979"/>
  <c r="G73" i="979"/>
  <c r="G92" i="979"/>
  <c r="C90" i="979"/>
  <c r="C36" i="979"/>
  <c r="B36" i="979" s="1"/>
  <c r="B41" i="979" s="1"/>
  <c r="B46" i="979" s="1"/>
  <c r="B51" i="979" s="1"/>
  <c r="B56" i="979" s="1"/>
  <c r="B61" i="979" s="1"/>
  <c r="B66" i="979" s="1"/>
  <c r="G38" i="979"/>
  <c r="F120" i="979"/>
  <c r="G120" i="979"/>
  <c r="F121" i="979"/>
  <c r="I122" i="979"/>
  <c r="L122" i="979"/>
  <c r="C125" i="979"/>
  <c r="C10" i="1646"/>
  <c r="E125" i="979"/>
  <c r="B11" i="1646" l="1"/>
  <c r="B71" i="979"/>
  <c r="B76" i="979" s="1"/>
  <c r="B80" i="979" s="1"/>
  <c r="B85" i="979" s="1"/>
  <c r="B90" i="979" s="1"/>
  <c r="B95" i="979" s="1"/>
  <c r="B99" i="979" s="1"/>
  <c r="B104" i="979" s="1"/>
  <c r="B109" i="979" s="1"/>
  <c r="B114" i="979" s="1"/>
  <c r="B119" i="979" s="1"/>
  <c r="B120" i="979" s="1"/>
  <c r="B125" i="979" s="1"/>
  <c r="B130" i="979" s="1"/>
  <c r="C13" i="718"/>
  <c r="C21" i="718"/>
  <c r="C14" i="718"/>
  <c r="C22" i="718"/>
  <c r="C7" i="718"/>
  <c r="C15" i="718"/>
  <c r="C23" i="718"/>
  <c r="C8" i="718"/>
  <c r="C16" i="718"/>
  <c r="C24" i="718"/>
  <c r="C10" i="718"/>
  <c r="C18" i="718"/>
  <c r="C26" i="718"/>
  <c r="C11" i="718"/>
  <c r="C19" i="718"/>
  <c r="C9" i="718"/>
  <c r="C12" i="718"/>
  <c r="C20" i="718"/>
  <c r="C17" i="718"/>
  <c r="C25" i="718"/>
  <c r="F125" i="979"/>
  <c r="G125" i="979"/>
  <c r="F126" i="979"/>
  <c r="I127" i="979"/>
  <c r="L127" i="979"/>
  <c r="C130" i="979"/>
  <c r="C11" i="1646"/>
  <c r="E130" i="979"/>
  <c r="B12" i="1646" l="1"/>
  <c r="F130" i="979"/>
  <c r="G130" i="979"/>
  <c r="F131" i="979"/>
  <c r="I132" i="979"/>
  <c r="I133" i="979" s="1"/>
  <c r="I142" i="979" s="1"/>
  <c r="I151" i="979" s="1"/>
  <c r="I160" i="979" s="1"/>
  <c r="I169" i="979" s="1"/>
  <c r="I178" i="979" s="1"/>
  <c r="J133" i="979"/>
  <c r="J142" i="979" s="1"/>
  <c r="J151" i="979" s="1"/>
  <c r="J160" i="979" s="1"/>
  <c r="J169" i="979" s="1"/>
  <c r="J178" i="979" s="1"/>
  <c r="K133" i="979"/>
  <c r="H134" i="979"/>
  <c r="I134" i="979"/>
  <c r="I135" i="979" s="1"/>
  <c r="I144" i="979" s="1"/>
  <c r="I153" i="979" s="1"/>
  <c r="I162" i="979" s="1"/>
  <c r="I171" i="979" s="1"/>
  <c r="I180" i="979" s="1"/>
  <c r="K134" i="979"/>
  <c r="K143" i="979" s="1"/>
  <c r="K152" i="979" s="1"/>
  <c r="K161" i="979" s="1"/>
  <c r="K170" i="979" s="1"/>
  <c r="K179" i="979" s="1"/>
  <c r="H135" i="979"/>
  <c r="H144" i="979" s="1"/>
  <c r="H153" i="979" s="1"/>
  <c r="H162" i="979" s="1"/>
  <c r="H171" i="979" s="1"/>
  <c r="H180" i="979" s="1"/>
  <c r="G136" i="979"/>
  <c r="C139" i="979"/>
  <c r="B139" i="979"/>
  <c r="F139" i="979"/>
  <c r="G139" i="979"/>
  <c r="F140" i="979"/>
  <c r="G140" i="979"/>
  <c r="G141" i="979"/>
  <c r="H141" i="979"/>
  <c r="J141" i="979"/>
  <c r="K141" i="979"/>
  <c r="K150" i="979" s="1"/>
  <c r="K159" i="979" s="1"/>
  <c r="K168" i="979" s="1"/>
  <c r="K177" i="979" s="1"/>
  <c r="G142" i="979"/>
  <c r="H142" i="979"/>
  <c r="K142" i="979"/>
  <c r="G143" i="979"/>
  <c r="H143" i="979"/>
  <c r="I143" i="979"/>
  <c r="I152" i="979" s="1"/>
  <c r="I161" i="979" s="1"/>
  <c r="I170" i="979" s="1"/>
  <c r="I179" i="979" s="1"/>
  <c r="G144" i="979"/>
  <c r="G145" i="979"/>
  <c r="C148" i="979"/>
  <c r="B148" i="979" s="1"/>
  <c r="E148" i="979"/>
  <c r="F148" i="979"/>
  <c r="G148" i="979"/>
  <c r="F149" i="979"/>
  <c r="G149" i="979"/>
  <c r="G150" i="979"/>
  <c r="H150" i="979"/>
  <c r="H159" i="979" s="1"/>
  <c r="H168" i="979" s="1"/>
  <c r="H177" i="979" s="1"/>
  <c r="J150" i="979"/>
  <c r="G151" i="979"/>
  <c r="H151" i="979"/>
  <c r="H160" i="979" s="1"/>
  <c r="H169" i="979" s="1"/>
  <c r="H178" i="979" s="1"/>
  <c r="K151" i="979"/>
  <c r="K160" i="979" s="1"/>
  <c r="K169" i="979" s="1"/>
  <c r="K178" i="979" s="1"/>
  <c r="G152" i="979"/>
  <c r="H152" i="979"/>
  <c r="G153" i="979"/>
  <c r="G154" i="979"/>
  <c r="C157" i="979"/>
  <c r="E157" i="979"/>
  <c r="F157" i="979"/>
  <c r="G157" i="979"/>
  <c r="F158" i="979"/>
  <c r="G158" i="979"/>
  <c r="G159" i="979"/>
  <c r="J159" i="979"/>
  <c r="G160" i="979"/>
  <c r="G161" i="979"/>
  <c r="H161" i="979"/>
  <c r="G162" i="979"/>
  <c r="G163" i="979"/>
  <c r="C166" i="979"/>
  <c r="E166" i="979"/>
  <c r="F166" i="979"/>
  <c r="G166" i="979"/>
  <c r="F167" i="979"/>
  <c r="G167" i="979"/>
  <c r="G168" i="979"/>
  <c r="J168" i="979"/>
  <c r="G169" i="979"/>
  <c r="G170" i="979"/>
  <c r="H170" i="979"/>
  <c r="G171" i="979"/>
  <c r="G172" i="979"/>
  <c r="C175" i="979"/>
  <c r="E175" i="979"/>
  <c r="F175" i="979"/>
  <c r="G175" i="979"/>
  <c r="F176" i="979"/>
  <c r="G176" i="979"/>
  <c r="G177" i="979"/>
  <c r="J177" i="979"/>
  <c r="G178" i="979"/>
  <c r="G179" i="979"/>
  <c r="H179" i="979"/>
  <c r="G180" i="979"/>
  <c r="G181" i="979"/>
  <c r="C184" i="979"/>
  <c r="E184" i="979"/>
  <c r="F184" i="979"/>
  <c r="G184" i="979"/>
  <c r="F185" i="979"/>
  <c r="G185" i="979"/>
  <c r="I186" i="979"/>
  <c r="G187" i="979"/>
  <c r="C190" i="979"/>
  <c r="C12" i="1646"/>
  <c r="E190" i="979"/>
  <c r="B157" i="979" l="1"/>
  <c r="B166" i="979" s="1"/>
  <c r="B175" i="979" s="1"/>
  <c r="B184" i="979" s="1"/>
  <c r="B190" i="979" s="1"/>
  <c r="J134" i="979"/>
  <c r="I141" i="979"/>
  <c r="I150" i="979" s="1"/>
  <c r="I159" i="979" s="1"/>
  <c r="I168" i="979" s="1"/>
  <c r="I177" i="979" s="1"/>
  <c r="B13" i="1646"/>
  <c r="K135" i="979"/>
  <c r="K144" i="979" s="1"/>
  <c r="K153" i="979" s="1"/>
  <c r="K162" i="979" s="1"/>
  <c r="K171" i="979" s="1"/>
  <c r="K180" i="979" s="1"/>
  <c r="F190" i="979"/>
  <c r="G190" i="979"/>
  <c r="F191" i="979"/>
  <c r="G191" i="979"/>
  <c r="I192" i="979"/>
  <c r="I193" i="979"/>
  <c r="H194" i="979"/>
  <c r="I194" i="979"/>
  <c r="C197" i="979"/>
  <c r="C13" i="1646"/>
  <c r="E197" i="979"/>
  <c r="B197" i="979" l="1"/>
  <c r="B14" i="1646"/>
  <c r="J135" i="979"/>
  <c r="J144" i="979" s="1"/>
  <c r="J153" i="979" s="1"/>
  <c r="J162" i="979" s="1"/>
  <c r="J171" i="979" s="1"/>
  <c r="J180" i="979" s="1"/>
  <c r="J143" i="979"/>
  <c r="J152" i="979" s="1"/>
  <c r="J161" i="979" s="1"/>
  <c r="J170" i="979" s="1"/>
  <c r="J179" i="979" s="1"/>
  <c r="J201" i="979" s="1"/>
  <c r="F197" i="979"/>
  <c r="G197" i="979"/>
  <c r="F198" i="979"/>
  <c r="G198" i="979"/>
  <c r="H199" i="979"/>
  <c r="I199" i="979"/>
  <c r="J199" i="979"/>
  <c r="K199" i="979"/>
  <c r="H200" i="979"/>
  <c r="I200" i="979"/>
  <c r="J200" i="979"/>
  <c r="K200" i="979"/>
  <c r="H201" i="979"/>
  <c r="I201" i="979"/>
  <c r="K201" i="979"/>
  <c r="H202" i="979"/>
  <c r="I202" i="979"/>
  <c r="J202" i="979"/>
  <c r="K202" i="979"/>
  <c r="G203" i="979"/>
  <c r="C206" i="979"/>
  <c r="B206" i="979" s="1"/>
  <c r="C14" i="1646"/>
  <c r="E206" i="979"/>
  <c r="B15" i="1646" l="1"/>
  <c r="F206" i="979"/>
  <c r="G206" i="979"/>
  <c r="F207" i="979"/>
  <c r="I208" i="979"/>
  <c r="G209" i="979"/>
  <c r="I209" i="979"/>
  <c r="C212" i="979"/>
  <c r="B212" i="979" s="1"/>
  <c r="C15" i="1646"/>
  <c r="E212" i="979"/>
  <c r="B16" i="1646" l="1"/>
  <c r="F212" i="979"/>
  <c r="G212" i="979"/>
  <c r="F213" i="979"/>
  <c r="G213" i="979"/>
  <c r="G215" i="979"/>
  <c r="L215" i="979"/>
  <c r="G216" i="979"/>
  <c r="C219" i="979"/>
  <c r="B219" i="979"/>
  <c r="C16" i="1646"/>
  <c r="E219" i="979"/>
  <c r="B17" i="1646" l="1"/>
  <c r="F219" i="979"/>
  <c r="G219" i="979"/>
  <c r="F220" i="979"/>
  <c r="G220" i="979"/>
  <c r="G223" i="979"/>
  <c r="C226" i="979"/>
  <c r="B226" i="979"/>
  <c r="C17" i="1646"/>
  <c r="E226" i="979"/>
  <c r="B18" i="1646" l="1"/>
  <c r="C227" i="979"/>
  <c r="B227" i="979"/>
  <c r="F227" i="979"/>
  <c r="G227" i="979"/>
  <c r="F228" i="979"/>
  <c r="L231" i="979"/>
  <c r="G229" i="979" s="1"/>
  <c r="L229" i="979"/>
  <c r="G230" i="979"/>
  <c r="C233" i="979"/>
  <c r="B233" i="979"/>
  <c r="C18" i="1646"/>
  <c r="E233" i="979"/>
  <c r="B19" i="1646" l="1"/>
  <c r="F233" i="979"/>
  <c r="G233" i="979"/>
  <c r="F234" i="979"/>
  <c r="L235" i="979"/>
  <c r="G236" i="979"/>
  <c r="C239" i="979"/>
  <c r="B239" i="979"/>
  <c r="E239" i="979"/>
  <c r="F239" i="979"/>
  <c r="G239" i="979"/>
  <c r="F240" i="979"/>
  <c r="H241" i="979"/>
  <c r="H250" i="979" s="1"/>
  <c r="H259" i="979" s="1"/>
  <c r="H268" i="979" s="1"/>
  <c r="H277" i="979" s="1"/>
  <c r="H286" i="979" s="1"/>
  <c r="H295" i="979" s="1"/>
  <c r="H304" i="979" s="1"/>
  <c r="I241" i="979"/>
  <c r="H242" i="979"/>
  <c r="I242" i="979"/>
  <c r="I251" i="979" s="1"/>
  <c r="I260" i="979" s="1"/>
  <c r="I269" i="979" s="1"/>
  <c r="I278" i="979" s="1"/>
  <c r="I287" i="979" s="1"/>
  <c r="I296" i="979" s="1"/>
  <c r="I305" i="979" s="1"/>
  <c r="J242" i="979"/>
  <c r="K242" i="979"/>
  <c r="H243" i="979"/>
  <c r="H252" i="979" s="1"/>
  <c r="H261" i="979" s="1"/>
  <c r="H270" i="979" s="1"/>
  <c r="H279" i="979" s="1"/>
  <c r="H288" i="979" s="1"/>
  <c r="H297" i="979" s="1"/>
  <c r="I243" i="979"/>
  <c r="I252" i="979" s="1"/>
  <c r="I261" i="979" s="1"/>
  <c r="I270" i="979" s="1"/>
  <c r="I279" i="979" s="1"/>
  <c r="I288" i="979" s="1"/>
  <c r="I297" i="979" s="1"/>
  <c r="J243" i="979"/>
  <c r="J244" i="979" s="1"/>
  <c r="J253" i="979" s="1"/>
  <c r="J262" i="979" s="1"/>
  <c r="J271" i="979" s="1"/>
  <c r="J280" i="979" s="1"/>
  <c r="J289" i="979" s="1"/>
  <c r="J298" i="979" s="1"/>
  <c r="K243" i="979"/>
  <c r="K244" i="979" s="1"/>
  <c r="K253" i="979" s="1"/>
  <c r="K262" i="979" s="1"/>
  <c r="K271" i="979" s="1"/>
  <c r="K280" i="979" s="1"/>
  <c r="K289" i="979" s="1"/>
  <c r="K298" i="979" s="1"/>
  <c r="H244" i="979"/>
  <c r="I244" i="979"/>
  <c r="I253" i="979" s="1"/>
  <c r="I262" i="979" s="1"/>
  <c r="I271" i="979" s="1"/>
  <c r="I280" i="979" s="1"/>
  <c r="I289" i="979" s="1"/>
  <c r="I298" i="979" s="1"/>
  <c r="G245" i="979"/>
  <c r="C248" i="979"/>
  <c r="B248" i="979" s="1"/>
  <c r="B257" i="979" s="1"/>
  <c r="B266" i="979" s="1"/>
  <c r="E248" i="979"/>
  <c r="F248" i="979"/>
  <c r="G248" i="979"/>
  <c r="F249" i="979"/>
  <c r="I250" i="979"/>
  <c r="I259" i="979" s="1"/>
  <c r="I268" i="979" s="1"/>
  <c r="I277" i="979" s="1"/>
  <c r="I286" i="979" s="1"/>
  <c r="I295" i="979" s="1"/>
  <c r="I304" i="979" s="1"/>
  <c r="J250" i="979"/>
  <c r="J259" i="979" s="1"/>
  <c r="J268" i="979" s="1"/>
  <c r="J277" i="979" s="1"/>
  <c r="J286" i="979" s="1"/>
  <c r="J295" i="979" s="1"/>
  <c r="K250" i="979"/>
  <c r="H251" i="979"/>
  <c r="H260" i="979" s="1"/>
  <c r="H269" i="979" s="1"/>
  <c r="H278" i="979" s="1"/>
  <c r="H287" i="979" s="1"/>
  <c r="H296" i="979" s="1"/>
  <c r="H305" i="979" s="1"/>
  <c r="J251" i="979"/>
  <c r="J260" i="979" s="1"/>
  <c r="J269" i="979" s="1"/>
  <c r="J278" i="979" s="1"/>
  <c r="J287" i="979" s="1"/>
  <c r="J296" i="979" s="1"/>
  <c r="K251" i="979"/>
  <c r="J252" i="979"/>
  <c r="J261" i="979" s="1"/>
  <c r="J270" i="979" s="1"/>
  <c r="J279" i="979" s="1"/>
  <c r="J288" i="979" s="1"/>
  <c r="J297" i="979" s="1"/>
  <c r="H253" i="979"/>
  <c r="H262" i="979" s="1"/>
  <c r="H271" i="979" s="1"/>
  <c r="H280" i="979" s="1"/>
  <c r="H289" i="979" s="1"/>
  <c r="H298" i="979" s="1"/>
  <c r="G254" i="979"/>
  <c r="C257" i="979"/>
  <c r="E257" i="979"/>
  <c r="F257" i="979"/>
  <c r="G257" i="979"/>
  <c r="F258" i="979"/>
  <c r="K259" i="979"/>
  <c r="K268" i="979" s="1"/>
  <c r="K277" i="979" s="1"/>
  <c r="K286" i="979" s="1"/>
  <c r="K295" i="979" s="1"/>
  <c r="K260" i="979"/>
  <c r="K269" i="979" s="1"/>
  <c r="K278" i="979" s="1"/>
  <c r="K287" i="979" s="1"/>
  <c r="K296" i="979" s="1"/>
  <c r="G263" i="979"/>
  <c r="C266" i="979"/>
  <c r="E266" i="979"/>
  <c r="F266" i="979"/>
  <c r="G266" i="979"/>
  <c r="F267" i="979"/>
  <c r="G272" i="979"/>
  <c r="C275" i="979"/>
  <c r="B275" i="979" s="1"/>
  <c r="E275" i="979"/>
  <c r="F275" i="979"/>
  <c r="G275" i="979"/>
  <c r="F276" i="979"/>
  <c r="G281" i="979"/>
  <c r="C284" i="979"/>
  <c r="E284" i="979"/>
  <c r="F284" i="979"/>
  <c r="G284" i="979"/>
  <c r="F285" i="979"/>
  <c r="G290" i="979"/>
  <c r="C293" i="979"/>
  <c r="E293" i="979"/>
  <c r="F293" i="979"/>
  <c r="G293" i="979"/>
  <c r="F294" i="979"/>
  <c r="G299" i="979"/>
  <c r="E302" i="979"/>
  <c r="F302" i="979"/>
  <c r="G302" i="979"/>
  <c r="F303" i="979"/>
  <c r="G303" i="979"/>
  <c r="G306" i="979"/>
  <c r="C309" i="979"/>
  <c r="C19" i="1646"/>
  <c r="E309" i="979"/>
  <c r="B284" i="979" l="1"/>
  <c r="B293" i="979" s="1"/>
  <c r="B302" i="979" s="1"/>
  <c r="B309" i="979" s="1"/>
  <c r="K252" i="979"/>
  <c r="K261" i="979" s="1"/>
  <c r="K270" i="979" s="1"/>
  <c r="K279" i="979" s="1"/>
  <c r="K288" i="979" s="1"/>
  <c r="K297" i="979" s="1"/>
  <c r="B20" i="1646"/>
  <c r="C310" i="979"/>
  <c r="B310" i="979"/>
  <c r="C20" i="1646"/>
  <c r="E310" i="979"/>
  <c r="B21" i="1646" l="1"/>
  <c r="F310" i="979"/>
  <c r="G310" i="979"/>
  <c r="F311" i="979"/>
  <c r="G312" i="979"/>
  <c r="I312" i="979"/>
  <c r="L312" i="979"/>
  <c r="C315" i="979"/>
  <c r="B315" i="979" s="1"/>
  <c r="C21" i="1646"/>
  <c r="E315" i="979"/>
  <c r="B22" i="1646" l="1"/>
  <c r="G315" i="979"/>
  <c r="C316" i="979"/>
  <c r="B316" i="979"/>
  <c r="B322" i="979" s="1"/>
  <c r="F316" i="979"/>
  <c r="G316" i="979"/>
  <c r="F317" i="979"/>
  <c r="G317" i="979"/>
  <c r="G318" i="979"/>
  <c r="I318" i="979"/>
  <c r="C322" i="979"/>
  <c r="C22" i="1646"/>
  <c r="E322" i="979"/>
  <c r="B23" i="1646" l="1"/>
  <c r="F322" i="979"/>
  <c r="G322" i="979"/>
  <c r="F323" i="979"/>
  <c r="G324" i="979"/>
  <c r="I324" i="979"/>
  <c r="L324" i="979"/>
  <c r="C328" i="979"/>
  <c r="B328" i="979" s="1"/>
  <c r="C23" i="1646"/>
  <c r="E328" i="979"/>
  <c r="B24" i="1646" l="1"/>
  <c r="G331" i="979"/>
  <c r="C329" i="979"/>
  <c r="B329" i="979" s="1"/>
  <c r="C24" i="1646"/>
  <c r="E329" i="979"/>
  <c r="B25" i="1646" l="1"/>
  <c r="F329" i="979"/>
  <c r="G329" i="979"/>
  <c r="F330" i="979"/>
  <c r="G330" i="979"/>
  <c r="I331" i="979"/>
  <c r="L331" i="979"/>
  <c r="G337" i="979"/>
  <c r="C335" i="979" s="1"/>
  <c r="B335" i="979" s="1"/>
  <c r="C25" i="1646"/>
  <c r="E335" i="979"/>
  <c r="B26" i="1646" l="1"/>
  <c r="F335" i="979"/>
  <c r="G335" i="979"/>
  <c r="F336" i="979"/>
  <c r="G336" i="979"/>
  <c r="H337" i="979"/>
  <c r="I337" i="979"/>
  <c r="L337" i="979"/>
  <c r="G343" i="979"/>
  <c r="C341" i="979" s="1"/>
  <c r="B341" i="979" s="1"/>
  <c r="C26" i="1646"/>
  <c r="E341" i="979"/>
  <c r="B27" i="1646" l="1"/>
  <c r="F341" i="979"/>
  <c r="G341" i="979"/>
  <c r="F342" i="979"/>
  <c r="G342" i="979"/>
  <c r="H343" i="979"/>
  <c r="I343" i="979"/>
  <c r="L343" i="979"/>
  <c r="G349" i="979"/>
  <c r="C347" i="979" s="1"/>
  <c r="B347" i="979" s="1"/>
  <c r="C27" i="1646"/>
  <c r="E347" i="979"/>
  <c r="B28" i="1646" l="1"/>
  <c r="F347" i="979"/>
  <c r="G347" i="979"/>
  <c r="F348" i="979"/>
  <c r="G348" i="979"/>
  <c r="H349" i="979"/>
  <c r="I349" i="979"/>
  <c r="L349" i="979"/>
  <c r="C352" i="979"/>
  <c r="B352" i="979" s="1"/>
  <c r="B353" i="979" s="1"/>
  <c r="B354" i="979" s="1"/>
  <c r="B355" i="979" s="1"/>
  <c r="B356" i="979" s="1"/>
  <c r="E1" i="980"/>
  <c r="F1" i="980"/>
  <c r="H1" i="980" s="1"/>
  <c r="E2" i="980"/>
  <c r="C3" i="980"/>
  <c r="D3" i="980"/>
  <c r="E3" i="980"/>
  <c r="F3" i="980" s="1"/>
  <c r="G3" i="980" s="1"/>
  <c r="H3" i="980" s="1"/>
  <c r="I3" i="980" s="1"/>
  <c r="J3" i="980" s="1"/>
  <c r="K3" i="980" s="1"/>
  <c r="L3" i="980" s="1"/>
  <c r="M3" i="980"/>
  <c r="N3" i="980"/>
  <c r="B7" i="980"/>
  <c r="B8" i="980" s="1"/>
  <c r="B9" i="980" s="1"/>
  <c r="B10" i="980" s="1"/>
  <c r="C8" i="980"/>
  <c r="C9" i="980"/>
  <c r="C10" i="980"/>
  <c r="G11" i="980"/>
  <c r="G12" i="980"/>
  <c r="L12" i="980"/>
  <c r="L17" i="980" s="1"/>
  <c r="C15" i="980"/>
  <c r="L18" i="980"/>
  <c r="L23" i="980"/>
  <c r="L28" i="980"/>
  <c r="L33" i="980"/>
  <c r="L38" i="980"/>
  <c r="G42" i="980"/>
  <c r="G43" i="980" s="1"/>
  <c r="L43" i="980"/>
  <c r="G47" i="980"/>
  <c r="G48" i="980" s="1"/>
  <c r="L48" i="980"/>
  <c r="G52" i="980"/>
  <c r="C51" i="980" s="1"/>
  <c r="G53" i="980"/>
  <c r="L53" i="980"/>
  <c r="G57" i="980"/>
  <c r="C56" i="980"/>
  <c r="G58" i="980"/>
  <c r="L58" i="980"/>
  <c r="G62" i="980"/>
  <c r="G63" i="980" s="1"/>
  <c r="L63" i="980"/>
  <c r="G67" i="980"/>
  <c r="C66" i="980" s="1"/>
  <c r="L68" i="980"/>
  <c r="L73" i="980"/>
  <c r="L78" i="980"/>
  <c r="L82" i="980"/>
  <c r="L87" i="980"/>
  <c r="L92" i="980"/>
  <c r="L97" i="980"/>
  <c r="L101" i="980"/>
  <c r="L106" i="980"/>
  <c r="G110" i="980"/>
  <c r="C109" i="980" s="1"/>
  <c r="L111" i="980"/>
  <c r="G115" i="980"/>
  <c r="C114" i="980" s="1"/>
  <c r="L116" i="980"/>
  <c r="C119" i="980"/>
  <c r="C28" i="1646"/>
  <c r="E139" i="980"/>
  <c r="G10" i="980" l="1"/>
  <c r="F15" i="980"/>
  <c r="G32" i="980"/>
  <c r="I38" i="980"/>
  <c r="F47" i="980"/>
  <c r="G51" i="980"/>
  <c r="F56" i="980"/>
  <c r="G72" i="980"/>
  <c r="I78" i="980"/>
  <c r="F86" i="980"/>
  <c r="G90" i="980"/>
  <c r="F95" i="980"/>
  <c r="F11" i="980"/>
  <c r="G15" i="980"/>
  <c r="F21" i="980"/>
  <c r="G37" i="980"/>
  <c r="I43" i="980"/>
  <c r="F52" i="980"/>
  <c r="G56" i="980"/>
  <c r="F61" i="980"/>
  <c r="G77" i="980"/>
  <c r="I82" i="980"/>
  <c r="F91" i="980"/>
  <c r="G95" i="980"/>
  <c r="F99" i="980"/>
  <c r="F16" i="980"/>
  <c r="G21" i="980"/>
  <c r="F26" i="980"/>
  <c r="I48" i="980"/>
  <c r="F57" i="980"/>
  <c r="G61" i="980"/>
  <c r="F66" i="980"/>
  <c r="G81" i="980"/>
  <c r="I87" i="980"/>
  <c r="F96" i="980"/>
  <c r="G99" i="980"/>
  <c r="F104" i="980"/>
  <c r="I17" i="980"/>
  <c r="F22" i="980"/>
  <c r="G26" i="980"/>
  <c r="F31" i="980"/>
  <c r="I53" i="980"/>
  <c r="F62" i="980"/>
  <c r="G66" i="980"/>
  <c r="F71" i="980"/>
  <c r="G86" i="980"/>
  <c r="I92" i="980"/>
  <c r="F100" i="980"/>
  <c r="G104" i="980"/>
  <c r="F109" i="980"/>
  <c r="I12" i="980"/>
  <c r="F27" i="980"/>
  <c r="G31" i="980"/>
  <c r="F36" i="980"/>
  <c r="I58" i="980"/>
  <c r="F67" i="980"/>
  <c r="G71" i="980"/>
  <c r="F76" i="980"/>
  <c r="G91" i="980"/>
  <c r="I97" i="980"/>
  <c r="F105" i="980"/>
  <c r="G109" i="980"/>
  <c r="F114" i="980"/>
  <c r="I111" i="980"/>
  <c r="I23" i="980"/>
  <c r="F32" i="980"/>
  <c r="G36" i="980"/>
  <c r="F41" i="980"/>
  <c r="I63" i="980"/>
  <c r="F72" i="980"/>
  <c r="G76" i="980"/>
  <c r="F80" i="980"/>
  <c r="G96" i="980"/>
  <c r="I101" i="980"/>
  <c r="F110" i="980"/>
  <c r="G114" i="980"/>
  <c r="G100" i="980"/>
  <c r="G22" i="980"/>
  <c r="I28" i="980"/>
  <c r="F37" i="980"/>
  <c r="G41" i="980"/>
  <c r="F46" i="980"/>
  <c r="I68" i="980"/>
  <c r="F77" i="980"/>
  <c r="G80" i="980"/>
  <c r="F85" i="980"/>
  <c r="I106" i="980"/>
  <c r="F115" i="980"/>
  <c r="I116" i="980"/>
  <c r="F10" i="980"/>
  <c r="G27" i="980"/>
  <c r="I33" i="980"/>
  <c r="F42" i="980"/>
  <c r="G46" i="980"/>
  <c r="F51" i="980"/>
  <c r="I73" i="980"/>
  <c r="F81" i="980"/>
  <c r="G85" i="980"/>
  <c r="F90" i="980"/>
  <c r="G105" i="980"/>
  <c r="B15" i="980"/>
  <c r="C61" i="980"/>
  <c r="G116" i="980"/>
  <c r="G68" i="980"/>
  <c r="G111" i="980"/>
  <c r="C46" i="980"/>
  <c r="C41" i="980"/>
  <c r="H2" i="980"/>
  <c r="K2" i="980" s="1"/>
  <c r="B29" i="1646"/>
  <c r="E119" i="980"/>
  <c r="C120" i="980"/>
  <c r="C29" i="1646"/>
  <c r="E120" i="980"/>
  <c r="G92" i="980" l="1"/>
  <c r="C90" i="980"/>
  <c r="C31" i="980"/>
  <c r="G33" i="980"/>
  <c r="G82" i="980"/>
  <c r="C80" i="980"/>
  <c r="C26" i="980"/>
  <c r="B26" i="980" s="1"/>
  <c r="G28" i="980"/>
  <c r="C36" i="980"/>
  <c r="G38" i="980"/>
  <c r="C71" i="980"/>
  <c r="G73" i="980"/>
  <c r="G97" i="980"/>
  <c r="C95" i="980"/>
  <c r="G23" i="980"/>
  <c r="C21" i="980"/>
  <c r="B21" i="980" s="1"/>
  <c r="G87" i="980"/>
  <c r="C85" i="980"/>
  <c r="B30" i="1646"/>
  <c r="G101" i="980"/>
  <c r="C99" i="980"/>
  <c r="C76" i="980"/>
  <c r="G78" i="980"/>
  <c r="C104" i="980"/>
  <c r="G106" i="980"/>
  <c r="F120" i="980"/>
  <c r="G120" i="980"/>
  <c r="F121" i="980"/>
  <c r="I122" i="980"/>
  <c r="L122" i="980"/>
  <c r="C125" i="980"/>
  <c r="C30" i="1646"/>
  <c r="E125" i="980"/>
  <c r="B31" i="1646" l="1"/>
  <c r="B31" i="980"/>
  <c r="B36" i="980" s="1"/>
  <c r="B41" i="980" s="1"/>
  <c r="B46" i="980" s="1"/>
  <c r="B51" i="980" s="1"/>
  <c r="B56" i="980" s="1"/>
  <c r="B61" i="980" s="1"/>
  <c r="B66" i="980" s="1"/>
  <c r="B71" i="980" s="1"/>
  <c r="B76" i="980" s="1"/>
  <c r="B80" i="980" s="1"/>
  <c r="B85" i="980" s="1"/>
  <c r="B90" i="980" s="1"/>
  <c r="B95" i="980" s="1"/>
  <c r="B99" i="980" s="1"/>
  <c r="B104" i="980" s="1"/>
  <c r="B109" i="980" s="1"/>
  <c r="B114" i="980" s="1"/>
  <c r="B119" i="980" s="1"/>
  <c r="B120" i="980" s="1"/>
  <c r="B125" i="980" s="1"/>
  <c r="B130" i="980" s="1"/>
  <c r="F125" i="980"/>
  <c r="G125" i="980"/>
  <c r="F126" i="980"/>
  <c r="I127" i="980"/>
  <c r="L127" i="980"/>
  <c r="C130" i="980"/>
  <c r="C31" i="1646"/>
  <c r="E130" i="980"/>
  <c r="B32" i="1646" l="1"/>
  <c r="F130" i="980"/>
  <c r="G130" i="980"/>
  <c r="F131" i="980"/>
  <c r="I132" i="980"/>
  <c r="I133" i="980"/>
  <c r="I142" i="980" s="1"/>
  <c r="I151" i="980" s="1"/>
  <c r="I160" i="980" s="1"/>
  <c r="I169" i="980" s="1"/>
  <c r="I178" i="980" s="1"/>
  <c r="I187" i="980" s="1"/>
  <c r="J133" i="980"/>
  <c r="J134" i="980" s="1"/>
  <c r="K133" i="980"/>
  <c r="K134" i="980" s="1"/>
  <c r="H134" i="980"/>
  <c r="I134" i="980"/>
  <c r="H135" i="980"/>
  <c r="I135" i="980"/>
  <c r="I144" i="980" s="1"/>
  <c r="I153" i="980" s="1"/>
  <c r="I162" i="980" s="1"/>
  <c r="I171" i="980" s="1"/>
  <c r="I180" i="980" s="1"/>
  <c r="G136" i="980"/>
  <c r="C139" i="980"/>
  <c r="B139" i="980"/>
  <c r="F139" i="980"/>
  <c r="G139" i="980"/>
  <c r="F140" i="980"/>
  <c r="H141" i="980"/>
  <c r="I141" i="980"/>
  <c r="J141" i="980"/>
  <c r="J150" i="980" s="1"/>
  <c r="J159" i="980" s="1"/>
  <c r="J168" i="980" s="1"/>
  <c r="J177" i="980" s="1"/>
  <c r="J186" i="980" s="1"/>
  <c r="K141" i="980"/>
  <c r="H142" i="980"/>
  <c r="H151" i="980" s="1"/>
  <c r="H160" i="980" s="1"/>
  <c r="H169" i="980" s="1"/>
  <c r="H178" i="980" s="1"/>
  <c r="H187" i="980" s="1"/>
  <c r="K142" i="980"/>
  <c r="K151" i="980" s="1"/>
  <c r="K160" i="980" s="1"/>
  <c r="K169" i="980" s="1"/>
  <c r="K178" i="980" s="1"/>
  <c r="K187" i="980" s="1"/>
  <c r="H143" i="980"/>
  <c r="I143" i="980"/>
  <c r="H144" i="980"/>
  <c r="H153" i="980" s="1"/>
  <c r="H162" i="980" s="1"/>
  <c r="H171" i="980" s="1"/>
  <c r="H180" i="980" s="1"/>
  <c r="G145" i="980"/>
  <c r="C148" i="980"/>
  <c r="B148" i="980"/>
  <c r="E148" i="980"/>
  <c r="F148" i="980"/>
  <c r="G148" i="980"/>
  <c r="F149" i="980"/>
  <c r="H150" i="980"/>
  <c r="H159" i="980" s="1"/>
  <c r="H168" i="980" s="1"/>
  <c r="H177" i="980" s="1"/>
  <c r="H186" i="980" s="1"/>
  <c r="I150" i="980"/>
  <c r="I159" i="980" s="1"/>
  <c r="I168" i="980" s="1"/>
  <c r="I177" i="980" s="1"/>
  <c r="I186" i="980" s="1"/>
  <c r="K150" i="980"/>
  <c r="K159" i="980" s="1"/>
  <c r="K168" i="980" s="1"/>
  <c r="K177" i="980" s="1"/>
  <c r="K186" i="980" s="1"/>
  <c r="H152" i="980"/>
  <c r="H161" i="980" s="1"/>
  <c r="H170" i="980" s="1"/>
  <c r="H179" i="980" s="1"/>
  <c r="I152" i="980"/>
  <c r="I161" i="980" s="1"/>
  <c r="I170" i="980" s="1"/>
  <c r="I179" i="980" s="1"/>
  <c r="G154" i="980"/>
  <c r="C157" i="980"/>
  <c r="B157" i="980" s="1"/>
  <c r="B166" i="980" s="1"/>
  <c r="B175" i="980" s="1"/>
  <c r="B184" i="980" s="1"/>
  <c r="B191" i="980" s="1"/>
  <c r="E157" i="980"/>
  <c r="F157" i="980"/>
  <c r="G157" i="980"/>
  <c r="F158" i="980"/>
  <c r="G163" i="980"/>
  <c r="C166" i="980"/>
  <c r="E166" i="980"/>
  <c r="F166" i="980"/>
  <c r="G166" i="980"/>
  <c r="F167" i="980"/>
  <c r="G172" i="980"/>
  <c r="C175" i="980"/>
  <c r="E175" i="980"/>
  <c r="F175" i="980"/>
  <c r="G175" i="980"/>
  <c r="F176" i="980"/>
  <c r="G181" i="980"/>
  <c r="C184" i="980"/>
  <c r="E184" i="980"/>
  <c r="F184" i="980"/>
  <c r="G184" i="980"/>
  <c r="F185" i="980"/>
  <c r="G188" i="980"/>
  <c r="C191" i="980"/>
  <c r="C32" i="1646"/>
  <c r="E191" i="980"/>
  <c r="K143" i="980" l="1"/>
  <c r="K152" i="980" s="1"/>
  <c r="K161" i="980" s="1"/>
  <c r="K170" i="980" s="1"/>
  <c r="K179" i="980" s="1"/>
  <c r="K135" i="980"/>
  <c r="K144" i="980" s="1"/>
  <c r="K153" i="980" s="1"/>
  <c r="K162" i="980" s="1"/>
  <c r="K171" i="980" s="1"/>
  <c r="K180" i="980" s="1"/>
  <c r="J143" i="980"/>
  <c r="J152" i="980" s="1"/>
  <c r="J161" i="980" s="1"/>
  <c r="J170" i="980" s="1"/>
  <c r="J179" i="980" s="1"/>
  <c r="J135" i="980"/>
  <c r="J144" i="980" s="1"/>
  <c r="J153" i="980" s="1"/>
  <c r="J162" i="980" s="1"/>
  <c r="J171" i="980" s="1"/>
  <c r="J180" i="980" s="1"/>
  <c r="J142" i="980"/>
  <c r="J151" i="980" s="1"/>
  <c r="J160" i="980" s="1"/>
  <c r="J169" i="980" s="1"/>
  <c r="J178" i="980" s="1"/>
  <c r="J187" i="980" s="1"/>
  <c r="B33" i="1646"/>
  <c r="F191" i="980"/>
  <c r="G191" i="980"/>
  <c r="F192" i="980"/>
  <c r="G192" i="980"/>
  <c r="I193" i="980"/>
  <c r="I194" i="980"/>
  <c r="H195" i="980"/>
  <c r="I195" i="980"/>
  <c r="C198" i="980"/>
  <c r="B198" i="980"/>
  <c r="C33" i="1646"/>
  <c r="E198" i="980"/>
  <c r="B34" i="1646" l="1"/>
  <c r="F198" i="980"/>
  <c r="G198" i="980"/>
  <c r="F199" i="980"/>
  <c r="G199" i="980"/>
  <c r="H200" i="980"/>
  <c r="I200" i="980"/>
  <c r="J200" i="980"/>
  <c r="K200" i="980"/>
  <c r="H201" i="980"/>
  <c r="I201" i="980"/>
  <c r="J201" i="980"/>
  <c r="K201" i="980"/>
  <c r="H202" i="980"/>
  <c r="I202" i="980"/>
  <c r="J202" i="980"/>
  <c r="K202" i="980"/>
  <c r="H203" i="980"/>
  <c r="I203" i="980"/>
  <c r="J203" i="980"/>
  <c r="K203" i="980"/>
  <c r="G204" i="980"/>
  <c r="C207" i="980"/>
  <c r="B207" i="980" s="1"/>
  <c r="C34" i="1646"/>
  <c r="E207" i="980"/>
  <c r="B35" i="1646" l="1"/>
  <c r="F207" i="980"/>
  <c r="G207" i="980"/>
  <c r="F208" i="980"/>
  <c r="I209" i="980"/>
  <c r="G210" i="980"/>
  <c r="I210" i="980"/>
  <c r="C213" i="980"/>
  <c r="B213" i="980" s="1"/>
  <c r="C35" i="1646"/>
  <c r="E213" i="980"/>
  <c r="B36" i="1646" l="1"/>
  <c r="F213" i="980"/>
  <c r="G213" i="980"/>
  <c r="F214" i="980"/>
  <c r="G214" i="980"/>
  <c r="G216" i="980"/>
  <c r="L216" i="980"/>
  <c r="G217" i="980"/>
  <c r="C220" i="980"/>
  <c r="B220" i="980" s="1"/>
  <c r="C36" i="1646"/>
  <c r="E220" i="980"/>
  <c r="B37" i="1646" l="1"/>
  <c r="F220" i="980"/>
  <c r="G220" i="980"/>
  <c r="F221" i="980"/>
  <c r="G221" i="980"/>
  <c r="G223" i="980"/>
  <c r="C226" i="980"/>
  <c r="B226" i="980"/>
  <c r="C37" i="1646"/>
  <c r="E226" i="980"/>
  <c r="B38" i="1646" l="1"/>
  <c r="C227" i="980"/>
  <c r="B227" i="980"/>
  <c r="F227" i="980"/>
  <c r="G227" i="980"/>
  <c r="F228" i="980"/>
  <c r="L231" i="980"/>
  <c r="G229" i="980" s="1"/>
  <c r="G230" i="980"/>
  <c r="C233" i="980"/>
  <c r="B233" i="980"/>
  <c r="C38" i="1646"/>
  <c r="E233" i="980"/>
  <c r="B39" i="1646" l="1"/>
  <c r="F233" i="980"/>
  <c r="G233" i="980"/>
  <c r="F234" i="980"/>
  <c r="L235" i="980"/>
  <c r="G236" i="980"/>
  <c r="C239" i="980"/>
  <c r="B239" i="980"/>
  <c r="B248" i="980" s="1"/>
  <c r="E239" i="980"/>
  <c r="F239" i="980"/>
  <c r="G239" i="980"/>
  <c r="F240" i="980"/>
  <c r="H241" i="980"/>
  <c r="H250" i="980" s="1"/>
  <c r="H266" i="980" s="1"/>
  <c r="I241" i="980"/>
  <c r="H242" i="980"/>
  <c r="I242" i="980"/>
  <c r="I258" i="980" s="1"/>
  <c r="I274" i="980" s="1"/>
  <c r="J242" i="980"/>
  <c r="K242" i="980"/>
  <c r="H243" i="980"/>
  <c r="I243" i="980"/>
  <c r="J243" i="980"/>
  <c r="J244" i="980" s="1"/>
  <c r="J260" i="980" s="1"/>
  <c r="K243" i="980"/>
  <c r="K244" i="980" s="1"/>
  <c r="K260" i="980" s="1"/>
  <c r="H244" i="980"/>
  <c r="I244" i="980"/>
  <c r="I260" i="980" s="1"/>
  <c r="G245" i="980"/>
  <c r="C248" i="980"/>
  <c r="E248" i="980"/>
  <c r="F248" i="980"/>
  <c r="G248" i="980"/>
  <c r="F249" i="980"/>
  <c r="I250" i="980"/>
  <c r="J250" i="980"/>
  <c r="K250" i="980"/>
  <c r="H251" i="980"/>
  <c r="H267" i="980" s="1"/>
  <c r="J251" i="980"/>
  <c r="J267" i="980" s="1"/>
  <c r="K251" i="980"/>
  <c r="G252" i="980"/>
  <c r="C255" i="980"/>
  <c r="E255" i="980"/>
  <c r="F255" i="980"/>
  <c r="G255" i="980"/>
  <c r="F256" i="980"/>
  <c r="H257" i="980"/>
  <c r="I257" i="980"/>
  <c r="I273" i="980" s="1"/>
  <c r="J257" i="980"/>
  <c r="J273" i="980" s="1"/>
  <c r="K257" i="980"/>
  <c r="H258" i="980"/>
  <c r="J258" i="980"/>
  <c r="K258" i="980"/>
  <c r="K274" i="980" s="1"/>
  <c r="H259" i="980"/>
  <c r="I259" i="980"/>
  <c r="I275" i="980" s="1"/>
  <c r="J259" i="980"/>
  <c r="J275" i="980" s="1"/>
  <c r="H260" i="980"/>
  <c r="G261" i="980"/>
  <c r="C264" i="980"/>
  <c r="E264" i="980"/>
  <c r="F264" i="980"/>
  <c r="G264" i="980"/>
  <c r="F265" i="980"/>
  <c r="I266" i="980"/>
  <c r="J266" i="980"/>
  <c r="K266" i="980"/>
  <c r="K267" i="980"/>
  <c r="G268" i="980"/>
  <c r="C271" i="980"/>
  <c r="E271" i="980"/>
  <c r="F271" i="980"/>
  <c r="G271" i="980"/>
  <c r="F272" i="980"/>
  <c r="H273" i="980"/>
  <c r="K273" i="980"/>
  <c r="H274" i="980"/>
  <c r="J274" i="980"/>
  <c r="H275" i="980"/>
  <c r="G276" i="980"/>
  <c r="C279" i="980"/>
  <c r="C39" i="1646"/>
  <c r="E279" i="980"/>
  <c r="B255" i="980" l="1"/>
  <c r="B264" i="980" s="1"/>
  <c r="B271" i="980" s="1"/>
  <c r="B279" i="980" s="1"/>
  <c r="B280" i="980" s="1"/>
  <c r="I251" i="980"/>
  <c r="I267" i="980" s="1"/>
  <c r="K259" i="980"/>
  <c r="K275" i="980" s="1"/>
  <c r="B40" i="1646"/>
  <c r="C280" i="980"/>
  <c r="C40" i="1646"/>
  <c r="E280" i="980"/>
  <c r="B41" i="1646" l="1"/>
  <c r="F280" i="980"/>
  <c r="G280" i="980"/>
  <c r="F281" i="980"/>
  <c r="G282" i="980"/>
  <c r="I282" i="980"/>
  <c r="L282" i="980"/>
  <c r="C285" i="980"/>
  <c r="B285" i="980" s="1"/>
  <c r="C41" i="1646"/>
  <c r="E285" i="980"/>
  <c r="B42" i="1646" l="1"/>
  <c r="G285" i="980"/>
  <c r="C286" i="980"/>
  <c r="B286" i="980"/>
  <c r="B292" i="980" s="1"/>
  <c r="F286" i="980"/>
  <c r="G286" i="980"/>
  <c r="F287" i="980"/>
  <c r="G287" i="980"/>
  <c r="G288" i="980"/>
  <c r="I288" i="980"/>
  <c r="L288" i="980"/>
  <c r="C292" i="980"/>
  <c r="C42" i="1646"/>
  <c r="E292" i="980"/>
  <c r="B43" i="1646" l="1"/>
  <c r="F292" i="980"/>
  <c r="G292" i="980"/>
  <c r="F293" i="980"/>
  <c r="G294" i="980"/>
  <c r="I294" i="980"/>
  <c r="L294" i="980"/>
  <c r="C298" i="980"/>
  <c r="B298" i="980" s="1"/>
  <c r="C43" i="1646"/>
  <c r="E298" i="980"/>
  <c r="B44" i="1646" l="1"/>
  <c r="G301" i="980"/>
  <c r="C299" i="980"/>
  <c r="B299" i="980" s="1"/>
  <c r="C44" i="1646"/>
  <c r="E299" i="980"/>
  <c r="B45" i="1646" l="1"/>
  <c r="F299" i="980"/>
  <c r="G299" i="980"/>
  <c r="F300" i="980"/>
  <c r="G300" i="980"/>
  <c r="I301" i="980"/>
  <c r="L301" i="980"/>
  <c r="G307" i="980"/>
  <c r="C305" i="980" s="1"/>
  <c r="B305" i="980" s="1"/>
  <c r="C45" i="1646"/>
  <c r="E305" i="980"/>
  <c r="B46" i="1646" l="1"/>
  <c r="F305" i="980"/>
  <c r="G305" i="980"/>
  <c r="F306" i="980"/>
  <c r="G306" i="980"/>
  <c r="H307" i="980"/>
  <c r="I307" i="980"/>
  <c r="L307" i="980"/>
  <c r="G313" i="980"/>
  <c r="C311" i="980" s="1"/>
  <c r="B311" i="980" s="1"/>
  <c r="C46" i="1646"/>
  <c r="E311" i="980"/>
  <c r="B47" i="1646" l="1"/>
  <c r="F311" i="980"/>
  <c r="G311" i="980"/>
  <c r="F312" i="980"/>
  <c r="G312" i="980"/>
  <c r="H313" i="980"/>
  <c r="I313" i="980"/>
  <c r="L313" i="980"/>
  <c r="G319" i="980"/>
  <c r="C317" i="980" s="1"/>
  <c r="B317" i="980" s="1"/>
  <c r="C47" i="1646"/>
  <c r="E317" i="980"/>
  <c r="B48" i="1646" l="1"/>
  <c r="F317" i="980"/>
  <c r="G317" i="980"/>
  <c r="F318" i="980"/>
  <c r="G318" i="980"/>
  <c r="H319" i="980"/>
  <c r="I319" i="980"/>
  <c r="L319" i="980"/>
  <c r="C322" i="980"/>
  <c r="B322" i="980" s="1"/>
  <c r="B323" i="980" s="1"/>
  <c r="B324" i="980" s="1"/>
  <c r="B325" i="980" s="1"/>
  <c r="B326" i="980" s="1"/>
  <c r="A2" i="26"/>
  <c r="B3" i="26"/>
  <c r="E7" i="26"/>
  <c r="E3" i="26" s="1"/>
  <c r="F7" i="26"/>
  <c r="F3" i="26" s="1"/>
  <c r="P231" i="2" s="1"/>
  <c r="B8" i="26"/>
  <c r="B10" i="26" s="1"/>
  <c r="B11" i="26" s="1"/>
  <c r="E4" i="26"/>
  <c r="L232" i="2" s="1"/>
  <c r="F4" i="26"/>
  <c r="P232" i="2" s="1"/>
  <c r="B16" i="26"/>
  <c r="B17" i="26" s="1"/>
  <c r="B18" i="26"/>
  <c r="B37" i="26" s="1"/>
  <c r="H36" i="26"/>
  <c r="B38" i="26"/>
  <c r="I36" i="26"/>
  <c r="J36" i="26" s="1"/>
  <c r="J35" i="26" s="1"/>
  <c r="J34" i="26" s="1"/>
  <c r="J33" i="26" s="1"/>
  <c r="J32" i="26" s="1"/>
  <c r="J31" i="26" s="1"/>
  <c r="J30" i="26" s="1"/>
  <c r="J29" i="26" s="1"/>
  <c r="J28" i="26" s="1"/>
  <c r="J27" i="26" s="1"/>
  <c r="J26" i="26" s="1"/>
  <c r="J25" i="26" s="1"/>
  <c r="B26" i="26"/>
  <c r="B32" i="26"/>
  <c r="B36" i="26"/>
  <c r="C48" i="1646"/>
  <c r="G6" i="802"/>
  <c r="H6" i="802"/>
  <c r="I6" i="802"/>
  <c r="I16" i="802"/>
  <c r="I15" i="802"/>
  <c r="I14" i="802"/>
  <c r="I13" i="802"/>
  <c r="I12" i="802"/>
  <c r="I11" i="802"/>
  <c r="I10" i="802"/>
  <c r="I9" i="802"/>
  <c r="I8" i="802"/>
  <c r="K10" i="802"/>
  <c r="K9" i="802"/>
  <c r="K8" i="802"/>
  <c r="K6" i="802"/>
  <c r="K13" i="802"/>
  <c r="K12" i="802"/>
  <c r="K11" i="802"/>
  <c r="K16" i="802"/>
  <c r="K15" i="802"/>
  <c r="K14" i="802"/>
  <c r="B20" i="38" l="1"/>
  <c r="B12" i="26"/>
  <c r="B13" i="26"/>
  <c r="H15" i="26"/>
  <c r="H14" i="26" s="1"/>
  <c r="H13" i="26" s="1"/>
  <c r="H12" i="26" s="1"/>
  <c r="H11" i="26" s="1"/>
  <c r="H10" i="26" s="1"/>
  <c r="H9" i="26" s="1"/>
  <c r="H8" i="26" s="1"/>
  <c r="H7" i="26" s="1"/>
  <c r="H6" i="26" s="1"/>
  <c r="H5" i="26" s="1"/>
  <c r="H4" i="26" s="1"/>
  <c r="B29" i="26"/>
  <c r="B22" i="26"/>
  <c r="D8" i="2"/>
  <c r="L231" i="2"/>
  <c r="K231" i="2" s="1"/>
  <c r="D8" i="694"/>
  <c r="I5" i="802"/>
  <c r="G5" i="802"/>
  <c r="H5" i="802"/>
  <c r="K5" i="802"/>
  <c r="M17" i="1160"/>
  <c r="K18" i="1160"/>
  <c r="I19" i="1160"/>
  <c r="F20" i="1160"/>
  <c r="O20" i="1160"/>
  <c r="M21" i="1160"/>
  <c r="N17" i="1160"/>
  <c r="L18" i="1160"/>
  <c r="J19" i="1160"/>
  <c r="H20" i="1160"/>
  <c r="P20" i="1160"/>
  <c r="N21" i="1160"/>
  <c r="O17" i="1160"/>
  <c r="K19" i="1160"/>
  <c r="F21" i="1160"/>
  <c r="L19" i="1160"/>
  <c r="H21" i="1160"/>
  <c r="I17" i="1160"/>
  <c r="F18" i="1160"/>
  <c r="K20" i="1160"/>
  <c r="H18" i="1160"/>
  <c r="N19" i="1160"/>
  <c r="L17" i="1160"/>
  <c r="L21" i="1160"/>
  <c r="K21" i="1160"/>
  <c r="F17" i="1160"/>
  <c r="M18" i="1160"/>
  <c r="I20" i="1160"/>
  <c r="O21" i="1160"/>
  <c r="P17" i="1160"/>
  <c r="N18" i="1160"/>
  <c r="J20" i="1160"/>
  <c r="P21" i="1160"/>
  <c r="L20" i="1160"/>
  <c r="I18" i="1160"/>
  <c r="M20" i="1160"/>
  <c r="J18" i="1160"/>
  <c r="N20" i="1160"/>
  <c r="H17" i="1160"/>
  <c r="O18" i="1160"/>
  <c r="I21" i="1160"/>
  <c r="J17" i="1160"/>
  <c r="P18" i="1160"/>
  <c r="K17" i="1160"/>
  <c r="O19" i="1160"/>
  <c r="H19" i="1160"/>
  <c r="P19" i="1160"/>
  <c r="M19" i="1160"/>
  <c r="J21" i="1160"/>
  <c r="F19" i="1160"/>
  <c r="N22" i="1160"/>
  <c r="F22" i="1160"/>
  <c r="O22" i="1160"/>
  <c r="H22" i="1160"/>
  <c r="P22" i="1160"/>
  <c r="K22" i="1160"/>
  <c r="I22" i="1160"/>
  <c r="J22" i="1160"/>
  <c r="M22" i="1160"/>
  <c r="L22" i="1160"/>
  <c r="N23" i="1160"/>
  <c r="I23" i="1160"/>
  <c r="K23" i="1160"/>
  <c r="F23" i="1160"/>
  <c r="O23" i="1160"/>
  <c r="P23" i="1160"/>
  <c r="J23" i="1160"/>
  <c r="L23" i="1160"/>
  <c r="H23" i="1160"/>
  <c r="M23" i="1160"/>
  <c r="F24" i="1160"/>
  <c r="O24" i="1160"/>
  <c r="M25" i="1160"/>
  <c r="K26" i="1160"/>
  <c r="I27" i="1160"/>
  <c r="F28" i="1160"/>
  <c r="O28" i="1160"/>
  <c r="O25" i="1160"/>
  <c r="I28" i="1160"/>
  <c r="H25" i="1160"/>
  <c r="N26" i="1160"/>
  <c r="K24" i="1160"/>
  <c r="F26" i="1160"/>
  <c r="M27" i="1160"/>
  <c r="H26" i="1160"/>
  <c r="L28" i="1160"/>
  <c r="F27" i="1160"/>
  <c r="N24" i="1160"/>
  <c r="H24" i="1160"/>
  <c r="P24" i="1160"/>
  <c r="N25" i="1160"/>
  <c r="L26" i="1160"/>
  <c r="J27" i="1160"/>
  <c r="H28" i="1160"/>
  <c r="P28" i="1160"/>
  <c r="F25" i="1160"/>
  <c r="K27" i="1160"/>
  <c r="J24" i="1160"/>
  <c r="P25" i="1160"/>
  <c r="J28" i="1160"/>
  <c r="I25" i="1160"/>
  <c r="O26" i="1160"/>
  <c r="K28" i="1160"/>
  <c r="L24" i="1160"/>
  <c r="M24" i="1160"/>
  <c r="M28" i="1160"/>
  <c r="P27" i="1160"/>
  <c r="I24" i="1160"/>
  <c r="M26" i="1160"/>
  <c r="N27" i="1160"/>
  <c r="I26" i="1160"/>
  <c r="J26" i="1160"/>
  <c r="L27" i="1160"/>
  <c r="P26" i="1160"/>
  <c r="K25" i="1160"/>
  <c r="O27" i="1160"/>
  <c r="H27" i="1160"/>
  <c r="J25" i="1160"/>
  <c r="L25" i="1160"/>
  <c r="N28" i="1160"/>
  <c r="K232" i="2"/>
  <c r="I15" i="26"/>
  <c r="I14" i="26" s="1"/>
  <c r="I13" i="26" s="1"/>
  <c r="I12" i="26" s="1"/>
  <c r="I11" i="26" s="1"/>
  <c r="I10" i="26" s="1"/>
  <c r="I9" i="26" s="1"/>
  <c r="I8" i="26" s="1"/>
  <c r="I7" i="26" s="1"/>
  <c r="I6" i="26" s="1"/>
  <c r="I5" i="26" s="1"/>
  <c r="I4" i="26" s="1"/>
  <c r="I35" i="26"/>
  <c r="I34" i="26" s="1"/>
  <c r="I33" i="26" s="1"/>
  <c r="I32" i="26" s="1"/>
  <c r="I31" i="26" s="1"/>
  <c r="I30" i="26" s="1"/>
  <c r="I29" i="26" s="1"/>
  <c r="I28" i="26" s="1"/>
  <c r="I27" i="26" s="1"/>
  <c r="I26" i="26" s="1"/>
  <c r="I25" i="26" s="1"/>
  <c r="B4" i="26"/>
  <c r="HE2" i="83"/>
  <c r="GK2" i="83"/>
  <c r="HY2" i="83"/>
  <c r="O231" i="2"/>
  <c r="O232" i="2"/>
  <c r="B89" i="1433"/>
  <c r="U81" i="1736"/>
  <c r="H35" i="26"/>
  <c r="H34" i="26" s="1"/>
  <c r="H33" i="26" s="1"/>
  <c r="H32" i="26" s="1"/>
  <c r="H31" i="26" s="1"/>
  <c r="H30" i="26" s="1"/>
  <c r="H29" i="26" s="1"/>
  <c r="H28" i="26" s="1"/>
  <c r="H27" i="26" s="1"/>
  <c r="H26" i="26" s="1"/>
  <c r="H25" i="26" s="1"/>
  <c r="B49" i="1646"/>
  <c r="I20" i="38"/>
  <c r="C20" i="38"/>
  <c r="H20" i="38"/>
  <c r="G20" i="38"/>
  <c r="F20" i="38"/>
  <c r="C49" i="1646"/>
  <c r="F7" i="802" l="1"/>
  <c r="N232" i="2"/>
  <c r="N231" i="2"/>
  <c r="D9" i="2"/>
  <c r="C8" i="2"/>
  <c r="D10" i="2"/>
  <c r="J15" i="26"/>
  <c r="J14" i="26" s="1"/>
  <c r="J13" i="26" s="1"/>
  <c r="J12" i="26" s="1"/>
  <c r="J11" i="26" s="1"/>
  <c r="J10" i="26" s="1"/>
  <c r="J9" i="26" s="1"/>
  <c r="J8" i="26" s="1"/>
  <c r="J7" i="26" s="1"/>
  <c r="J6" i="26" s="1"/>
  <c r="J5" i="26" s="1"/>
  <c r="J4" i="26" s="1"/>
  <c r="B28" i="26"/>
  <c r="B30" i="26" s="1"/>
  <c r="J232" i="2"/>
  <c r="J231" i="2"/>
  <c r="B50" i="1646"/>
  <c r="E7" i="2"/>
  <c r="F7" i="2"/>
  <c r="G7" i="2"/>
  <c r="H7" i="2"/>
  <c r="I7" i="2"/>
  <c r="J7" i="2"/>
  <c r="K7" i="2"/>
  <c r="L7" i="2"/>
  <c r="M7" i="2"/>
  <c r="N7" i="2"/>
  <c r="O7" i="2"/>
  <c r="P7" i="2"/>
  <c r="Q7" i="2"/>
  <c r="R7" i="2"/>
  <c r="S7" i="2"/>
  <c r="T7" i="2"/>
  <c r="U7" i="2"/>
  <c r="V7" i="2"/>
  <c r="W7" i="2"/>
  <c r="E7" i="694"/>
  <c r="F7" i="694"/>
  <c r="G7" i="694"/>
  <c r="H7" i="694"/>
  <c r="I7" i="694"/>
  <c r="J7" i="694"/>
  <c r="K7" i="694"/>
  <c r="L7" i="694"/>
  <c r="M7" i="694"/>
  <c r="N7" i="694"/>
  <c r="O7" i="694"/>
  <c r="P7" i="694"/>
  <c r="Q7" i="694"/>
  <c r="R7" i="694"/>
  <c r="S7" i="694"/>
  <c r="T7" i="694"/>
  <c r="U7" i="694"/>
  <c r="V7" i="694"/>
  <c r="W7" i="694"/>
  <c r="B21" i="26"/>
  <c r="B23" i="26" s="1"/>
  <c r="D9" i="694"/>
  <c r="C8" i="694"/>
  <c r="D10" i="694"/>
  <c r="AK6" i="27"/>
  <c r="G6" i="27"/>
  <c r="AX6" i="27"/>
  <c r="B8" i="83"/>
  <c r="B8" i="695"/>
  <c r="C7" i="802"/>
  <c r="A8" i="83"/>
  <c r="D8" i="83"/>
  <c r="A8" i="695"/>
  <c r="D8" i="695"/>
  <c r="L7" i="802"/>
  <c r="K7" i="802"/>
  <c r="G5" i="27"/>
  <c r="U8" i="83"/>
  <c r="V8" i="83"/>
  <c r="W8" i="83"/>
  <c r="AD8" i="83"/>
  <c r="AB8" i="83"/>
  <c r="AA8" i="83"/>
  <c r="Z8" i="83"/>
  <c r="Y8" i="83"/>
  <c r="X8" i="83"/>
  <c r="S8" i="83"/>
  <c r="R8" i="83"/>
  <c r="Q8" i="83"/>
  <c r="P8" i="83"/>
  <c r="O8" i="83"/>
  <c r="N8" i="83"/>
  <c r="M8" i="83"/>
  <c r="L8" i="83"/>
  <c r="J8" i="83"/>
  <c r="I8" i="83"/>
  <c r="H8" i="83"/>
  <c r="F8" i="83"/>
  <c r="E8" i="83"/>
  <c r="M8" i="695"/>
  <c r="AC8" i="695"/>
  <c r="AB8" i="695"/>
  <c r="AA8" i="695"/>
  <c r="Z8" i="695"/>
  <c r="Y8" i="695"/>
  <c r="X8" i="695"/>
  <c r="W8" i="695"/>
  <c r="V8" i="695"/>
  <c r="U8" i="695"/>
  <c r="T8" i="695"/>
  <c r="S8" i="695"/>
  <c r="Q8" i="695"/>
  <c r="P8" i="695"/>
  <c r="O8" i="695"/>
  <c r="N8" i="695"/>
  <c r="L8" i="695"/>
  <c r="K8" i="695"/>
  <c r="J8" i="695"/>
  <c r="I8" i="695"/>
  <c r="H8" i="695"/>
  <c r="F8" i="695"/>
  <c r="E8" i="695"/>
  <c r="C50" i="1646"/>
  <c r="D77" i="694"/>
  <c r="D76" i="694"/>
  <c r="D68" i="694"/>
  <c r="D58" i="694"/>
  <c r="D57" i="694"/>
  <c r="D56" i="694"/>
  <c r="D65" i="694" s="1"/>
  <c r="D55" i="694"/>
  <c r="D54" i="694"/>
  <c r="D74" i="694"/>
  <c r="D73" i="694"/>
  <c r="D72" i="694"/>
  <c r="D71" i="694"/>
  <c r="D70" i="694"/>
  <c r="D50" i="694"/>
  <c r="D49" i="694"/>
  <c r="D47" i="694"/>
  <c r="D44" i="694"/>
  <c r="D43" i="694"/>
  <c r="D42" i="694"/>
  <c r="D39" i="694"/>
  <c r="D38" i="694"/>
  <c r="D34" i="694"/>
  <c r="D35" i="694"/>
  <c r="D28" i="694"/>
  <c r="D26" i="694"/>
  <c r="D24" i="694"/>
  <c r="D21" i="694"/>
  <c r="D20" i="694"/>
  <c r="D17" i="694"/>
  <c r="D16" i="694"/>
  <c r="D15" i="694"/>
  <c r="I7" i="802"/>
  <c r="D66" i="2"/>
  <c r="D65" i="2"/>
  <c r="D64" i="2"/>
  <c r="D63" i="2"/>
  <c r="D60" i="2"/>
  <c r="D59" i="2"/>
  <c r="D58" i="2"/>
  <c r="D57" i="2"/>
  <c r="D54" i="2"/>
  <c r="D53" i="2"/>
  <c r="D52" i="2"/>
  <c r="D51" i="2"/>
  <c r="D47" i="2"/>
  <c r="D46" i="2"/>
  <c r="D45" i="2"/>
  <c r="D44" i="2"/>
  <c r="D40" i="2"/>
  <c r="D39" i="2"/>
  <c r="D38" i="2"/>
  <c r="D36" i="2"/>
  <c r="D35" i="2"/>
  <c r="D33" i="2"/>
  <c r="D32" i="2"/>
  <c r="D31" i="2"/>
  <c r="D28" i="2"/>
  <c r="D26" i="2"/>
  <c r="D25" i="2"/>
  <c r="D22" i="2"/>
  <c r="D21" i="2"/>
  <c r="D20" i="2"/>
  <c r="D19" i="2"/>
  <c r="D17" i="2"/>
  <c r="D16" i="2"/>
  <c r="D15" i="2"/>
  <c r="G267" i="27"/>
  <c r="G266" i="27"/>
  <c r="G265" i="27"/>
  <c r="G264" i="27"/>
  <c r="G263" i="27"/>
  <c r="G262" i="27"/>
  <c r="G261" i="27"/>
  <c r="G260" i="27"/>
  <c r="G259" i="27"/>
  <c r="G258" i="27"/>
  <c r="G257" i="27"/>
  <c r="G256" i="27"/>
  <c r="G255" i="27"/>
  <c r="G254" i="27"/>
  <c r="G253" i="27"/>
  <c r="G252" i="27"/>
  <c r="G251" i="27"/>
  <c r="G250" i="27"/>
  <c r="G249" i="27"/>
  <c r="G248" i="27"/>
  <c r="G247" i="27"/>
  <c r="G246" i="27"/>
  <c r="G245" i="27"/>
  <c r="G244" i="27"/>
  <c r="G243" i="27"/>
  <c r="G242" i="27"/>
  <c r="G241" i="27"/>
  <c r="G240" i="27"/>
  <c r="G239" i="27"/>
  <c r="G238" i="27"/>
  <c r="G237" i="27"/>
  <c r="G236" i="27"/>
  <c r="G235" i="27"/>
  <c r="G234" i="27"/>
  <c r="G233" i="27"/>
  <c r="G232" i="27"/>
  <c r="G231" i="27"/>
  <c r="G230" i="27"/>
  <c r="G229" i="27"/>
  <c r="G228" i="27"/>
  <c r="G227" i="27"/>
  <c r="G226" i="27"/>
  <c r="G225" i="27"/>
  <c r="G224" i="27"/>
  <c r="G223" i="27"/>
  <c r="G222" i="27"/>
  <c r="G221" i="27"/>
  <c r="G220" i="27"/>
  <c r="G219" i="27"/>
  <c r="G218" i="27"/>
  <c r="G217" i="27"/>
  <c r="G216" i="27"/>
  <c r="G215" i="27"/>
  <c r="G214" i="27"/>
  <c r="G213" i="27"/>
  <c r="G212" i="27"/>
  <c r="G211" i="27"/>
  <c r="G210" i="27"/>
  <c r="G209" i="27"/>
  <c r="G208" i="27"/>
  <c r="G207" i="27"/>
  <c r="G206" i="27"/>
  <c r="G205" i="27"/>
  <c r="G204" i="27"/>
  <c r="G203" i="27"/>
  <c r="G202" i="27"/>
  <c r="G201" i="27"/>
  <c r="G200" i="27"/>
  <c r="G199" i="27"/>
  <c r="G198" i="27"/>
  <c r="G197" i="27"/>
  <c r="G196" i="27"/>
  <c r="G195" i="27"/>
  <c r="G194" i="27"/>
  <c r="G193" i="27"/>
  <c r="G192" i="27"/>
  <c r="G191" i="27"/>
  <c r="G190" i="27"/>
  <c r="G189" i="27"/>
  <c r="G188" i="27"/>
  <c r="G187" i="27"/>
  <c r="G186" i="27"/>
  <c r="G185" i="27"/>
  <c r="G184" i="27"/>
  <c r="G183" i="27"/>
  <c r="G182" i="27"/>
  <c r="G181" i="27"/>
  <c r="G180" i="27"/>
  <c r="G179" i="27"/>
  <c r="G178" i="27"/>
  <c r="G177" i="27"/>
  <c r="G176" i="27"/>
  <c r="G175" i="27"/>
  <c r="G174" i="27"/>
  <c r="G173" i="27"/>
  <c r="G172" i="27"/>
  <c r="G171" i="27"/>
  <c r="G170" i="27"/>
  <c r="G169" i="27"/>
  <c r="G168" i="27"/>
  <c r="G167" i="27"/>
  <c r="G166" i="27"/>
  <c r="G165" i="27"/>
  <c r="G164" i="27"/>
  <c r="G163" i="27"/>
  <c r="G162" i="27"/>
  <c r="G161" i="27"/>
  <c r="G160" i="27"/>
  <c r="G159" i="27"/>
  <c r="G158" i="27"/>
  <c r="G157" i="27"/>
  <c r="G156" i="27"/>
  <c r="G155" i="27"/>
  <c r="G154" i="27"/>
  <c r="G153" i="27"/>
  <c r="G152" i="27"/>
  <c r="G151" i="27"/>
  <c r="G150" i="27"/>
  <c r="G149" i="27"/>
  <c r="G148" i="27"/>
  <c r="G147" i="27"/>
  <c r="G146" i="27"/>
  <c r="G145" i="27"/>
  <c r="G144" i="27"/>
  <c r="G143" i="27"/>
  <c r="G142" i="27"/>
  <c r="G141" i="27"/>
  <c r="G140" i="27"/>
  <c r="G139" i="27"/>
  <c r="G138" i="27"/>
  <c r="G137" i="27"/>
  <c r="G136" i="27"/>
  <c r="G135" i="27"/>
  <c r="G134" i="27"/>
  <c r="G133" i="27"/>
  <c r="G132" i="27"/>
  <c r="G131" i="27"/>
  <c r="G130" i="27"/>
  <c r="G129" i="27"/>
  <c r="G128" i="27"/>
  <c r="G127" i="27"/>
  <c r="G126" i="27"/>
  <c r="G125" i="27"/>
  <c r="G124" i="27"/>
  <c r="G123" i="27"/>
  <c r="G122" i="27"/>
  <c r="G121" i="27"/>
  <c r="G120" i="27"/>
  <c r="G119" i="27"/>
  <c r="G118" i="27"/>
  <c r="G117" i="27"/>
  <c r="G116" i="27"/>
  <c r="G115" i="27"/>
  <c r="G114" i="27"/>
  <c r="G113" i="27"/>
  <c r="G112" i="27"/>
  <c r="G111" i="27"/>
  <c r="G110" i="27"/>
  <c r="G109" i="27"/>
  <c r="G108" i="27"/>
  <c r="G107" i="27"/>
  <c r="G106" i="27"/>
  <c r="G105" i="27"/>
  <c r="G104" i="27"/>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8" i="27"/>
  <c r="G7" i="27"/>
  <c r="AK267" i="27"/>
  <c r="AK266" i="27"/>
  <c r="AK265" i="27"/>
  <c r="AK264" i="27"/>
  <c r="AK263" i="27"/>
  <c r="AK262" i="27"/>
  <c r="AK261" i="27"/>
  <c r="AK260" i="27"/>
  <c r="AK259" i="27"/>
  <c r="AK258" i="27"/>
  <c r="AK257" i="27"/>
  <c r="AK256" i="27"/>
  <c r="AK255" i="27"/>
  <c r="AK254" i="27"/>
  <c r="AK253" i="27"/>
  <c r="AK252" i="27"/>
  <c r="AK251" i="27"/>
  <c r="AK250" i="27"/>
  <c r="AK249" i="27"/>
  <c r="AK248" i="27"/>
  <c r="AK247" i="27"/>
  <c r="AK246" i="27"/>
  <c r="AK245" i="27"/>
  <c r="AK244" i="27"/>
  <c r="AK243" i="27"/>
  <c r="AK242" i="27"/>
  <c r="AK241" i="27"/>
  <c r="AK240" i="27"/>
  <c r="AK239" i="27"/>
  <c r="AK238" i="27"/>
  <c r="AK237" i="27"/>
  <c r="AK236" i="27"/>
  <c r="AK235" i="27"/>
  <c r="AK234" i="27"/>
  <c r="AK233" i="27"/>
  <c r="AK232" i="27"/>
  <c r="AK231" i="27"/>
  <c r="AK230" i="27"/>
  <c r="AK229" i="27"/>
  <c r="AK228" i="27"/>
  <c r="AK227" i="27"/>
  <c r="AK226" i="27"/>
  <c r="AK225" i="27"/>
  <c r="AK224" i="27"/>
  <c r="AK223" i="27"/>
  <c r="AK222" i="27"/>
  <c r="AK221" i="27"/>
  <c r="AK220" i="27"/>
  <c r="AK219" i="27"/>
  <c r="AK218" i="27"/>
  <c r="AK217" i="27"/>
  <c r="AK216" i="27"/>
  <c r="AK215" i="27"/>
  <c r="AK214" i="27"/>
  <c r="AK213" i="27"/>
  <c r="AK212" i="27"/>
  <c r="AK211" i="27"/>
  <c r="AK210" i="27"/>
  <c r="AK209" i="27"/>
  <c r="AK208" i="27"/>
  <c r="AK207" i="27"/>
  <c r="AK206" i="27"/>
  <c r="AK205" i="27"/>
  <c r="AK204" i="27"/>
  <c r="AK203" i="27"/>
  <c r="AK202" i="27"/>
  <c r="AK201" i="27"/>
  <c r="AK200" i="27"/>
  <c r="AK199" i="27"/>
  <c r="AK198" i="27"/>
  <c r="AK197" i="27"/>
  <c r="AK196" i="27"/>
  <c r="AK195" i="27"/>
  <c r="AK194" i="27"/>
  <c r="AK193" i="27"/>
  <c r="AK192" i="27"/>
  <c r="AK191" i="27"/>
  <c r="AK190" i="27"/>
  <c r="AK189" i="27"/>
  <c r="AK188" i="27"/>
  <c r="AK187" i="27"/>
  <c r="AK186" i="27"/>
  <c r="AK185" i="27"/>
  <c r="AK184" i="27"/>
  <c r="AK183" i="27"/>
  <c r="AK182" i="27"/>
  <c r="AK181" i="27"/>
  <c r="AK180" i="27"/>
  <c r="AK179" i="27"/>
  <c r="AK178" i="27"/>
  <c r="AK177" i="27"/>
  <c r="AK176" i="27"/>
  <c r="AK175" i="27"/>
  <c r="AK174" i="27"/>
  <c r="AK173" i="27"/>
  <c r="AK172" i="27"/>
  <c r="AK171" i="27"/>
  <c r="AK170" i="27"/>
  <c r="AK169" i="27"/>
  <c r="AK168" i="27"/>
  <c r="AK167" i="27"/>
  <c r="AK166" i="27"/>
  <c r="AK165" i="27"/>
  <c r="AK164" i="27"/>
  <c r="AK163" i="27"/>
  <c r="AK162" i="27"/>
  <c r="AK161" i="27"/>
  <c r="AK160" i="27"/>
  <c r="AK159" i="27"/>
  <c r="AK158" i="27"/>
  <c r="AK157" i="27"/>
  <c r="AK156" i="27"/>
  <c r="AK155" i="27"/>
  <c r="AK154" i="27"/>
  <c r="AK153" i="27"/>
  <c r="AK152" i="27"/>
  <c r="AK151" i="27"/>
  <c r="AK150" i="27"/>
  <c r="AK149" i="27"/>
  <c r="AK148" i="27"/>
  <c r="AK147" i="27"/>
  <c r="AK146" i="27"/>
  <c r="AK145" i="27"/>
  <c r="AK144" i="27"/>
  <c r="AK143" i="27"/>
  <c r="AK142" i="27"/>
  <c r="AK141" i="27"/>
  <c r="AK140" i="27"/>
  <c r="AK139" i="27"/>
  <c r="AK138" i="27"/>
  <c r="AK137" i="27"/>
  <c r="AK136" i="27"/>
  <c r="AK135" i="27"/>
  <c r="AK134" i="27"/>
  <c r="AK133" i="27"/>
  <c r="AK132" i="27"/>
  <c r="AK131" i="27"/>
  <c r="AK130" i="27"/>
  <c r="AK129" i="27"/>
  <c r="AK128" i="27"/>
  <c r="AK127" i="27"/>
  <c r="AK126" i="27"/>
  <c r="AK125" i="27"/>
  <c r="AK124" i="27"/>
  <c r="AK123" i="27"/>
  <c r="AK122" i="27"/>
  <c r="AK121" i="27"/>
  <c r="AK120" i="27"/>
  <c r="AK119" i="27"/>
  <c r="AK118" i="27"/>
  <c r="AK117" i="27"/>
  <c r="AK116" i="27"/>
  <c r="AK115" i="27"/>
  <c r="AK114" i="27"/>
  <c r="AK113" i="27"/>
  <c r="AK112" i="27"/>
  <c r="AK111" i="27"/>
  <c r="AK110" i="27"/>
  <c r="AK109" i="27"/>
  <c r="AK108" i="27"/>
  <c r="AK107" i="27"/>
  <c r="AK106" i="27"/>
  <c r="AK105" i="27"/>
  <c r="AK104" i="27"/>
  <c r="AK103" i="27"/>
  <c r="AK102" i="27"/>
  <c r="AK101" i="27"/>
  <c r="AK100" i="27"/>
  <c r="AK99" i="27"/>
  <c r="AK98" i="27"/>
  <c r="AK97" i="27"/>
  <c r="AK96" i="27"/>
  <c r="AK95" i="27"/>
  <c r="AK94" i="27"/>
  <c r="AK93" i="27"/>
  <c r="AK92" i="27"/>
  <c r="AK91" i="27"/>
  <c r="AK90" i="27"/>
  <c r="AK89" i="27"/>
  <c r="AK88" i="27"/>
  <c r="AK87" i="27"/>
  <c r="AK86" i="27"/>
  <c r="AK85" i="27"/>
  <c r="AK84" i="27"/>
  <c r="AK83" i="27"/>
  <c r="AK82" i="27"/>
  <c r="AK81" i="27"/>
  <c r="AK80" i="27"/>
  <c r="AK79" i="27"/>
  <c r="AK78" i="27"/>
  <c r="AK77" i="27"/>
  <c r="AK76" i="27"/>
  <c r="AK75" i="27"/>
  <c r="AK74" i="27"/>
  <c r="AK73" i="27"/>
  <c r="AK72" i="27"/>
  <c r="AK71" i="27"/>
  <c r="AK70" i="27"/>
  <c r="AK69" i="27"/>
  <c r="AK68" i="27"/>
  <c r="AK67" i="27"/>
  <c r="AK66" i="27"/>
  <c r="AK65" i="27"/>
  <c r="AK64" i="27"/>
  <c r="AK63" i="27"/>
  <c r="AK62" i="27"/>
  <c r="AK61" i="27"/>
  <c r="AK60" i="27"/>
  <c r="AK59" i="27"/>
  <c r="AK58" i="27"/>
  <c r="AK57" i="27"/>
  <c r="AK56" i="27"/>
  <c r="AK55" i="27"/>
  <c r="AK54" i="27"/>
  <c r="AK53" i="27"/>
  <c r="AK52" i="27"/>
  <c r="AK51" i="27"/>
  <c r="AK50" i="27"/>
  <c r="AK49" i="27"/>
  <c r="AK48" i="27"/>
  <c r="AK47" i="27"/>
  <c r="AK46" i="27"/>
  <c r="AK45" i="27"/>
  <c r="AK44" i="27"/>
  <c r="AK43" i="27"/>
  <c r="AK42" i="27"/>
  <c r="AK41" i="27"/>
  <c r="AK40" i="27"/>
  <c r="AK39" i="27"/>
  <c r="AK38" i="27"/>
  <c r="AK37" i="27"/>
  <c r="AK36" i="27"/>
  <c r="AK35" i="27"/>
  <c r="AK34" i="27"/>
  <c r="AK33" i="27"/>
  <c r="AK32" i="27"/>
  <c r="AK31" i="27"/>
  <c r="AK30" i="27"/>
  <c r="AK29" i="27"/>
  <c r="AK28" i="27"/>
  <c r="AK27" i="27"/>
  <c r="AK26" i="27"/>
  <c r="AK25" i="27"/>
  <c r="AK24" i="27"/>
  <c r="AK23" i="27"/>
  <c r="AK22" i="27"/>
  <c r="AK21" i="27"/>
  <c r="AK20" i="27"/>
  <c r="AK19" i="27"/>
  <c r="AK18" i="27"/>
  <c r="AK17" i="27"/>
  <c r="AK16" i="27"/>
  <c r="AK15" i="27"/>
  <c r="AK14" i="27"/>
  <c r="AK13" i="27"/>
  <c r="AK12" i="27"/>
  <c r="AK11" i="27"/>
  <c r="AK10" i="27"/>
  <c r="AK9" i="27"/>
  <c r="AK8" i="27"/>
  <c r="AK7" i="27"/>
  <c r="AC8" i="83"/>
  <c r="AC18" i="83" l="1"/>
  <c r="AC28" i="83" s="1"/>
  <c r="AC20" i="83"/>
  <c r="AC24" i="83" s="1"/>
  <c r="AC26" i="83" s="1"/>
  <c r="AC19" i="83"/>
  <c r="AC27" i="83" s="1"/>
  <c r="AC21" i="83"/>
  <c r="AC23" i="83" s="1"/>
  <c r="AC22" i="83"/>
  <c r="AC29" i="83"/>
  <c r="AC34" i="83"/>
  <c r="AC35" i="83"/>
  <c r="AK4" i="27" a="1"/>
  <c r="AK4" i="27" s="1"/>
  <c r="AX3" i="27" s="1"/>
  <c r="X7" i="27"/>
  <c r="W7" i="27" s="1" a="1"/>
  <c r="W7" i="27" s="1"/>
  <c r="G4" i="27" a="1"/>
  <c r="G4" i="27" s="1"/>
  <c r="X3" i="27" s="1"/>
  <c r="D71" i="2"/>
  <c r="D106" i="2"/>
  <c r="D72" i="2"/>
  <c r="D74" i="2"/>
  <c r="D107" i="2"/>
  <c r="D108" i="2"/>
  <c r="D75" i="2"/>
  <c r="D76" i="2"/>
  <c r="D109" i="2"/>
  <c r="D110" i="2"/>
  <c r="D77" i="2"/>
  <c r="D80" i="2"/>
  <c r="D82" i="2"/>
  <c r="D83" i="2"/>
  <c r="D86" i="2"/>
  <c r="D87" i="2"/>
  <c r="D34" i="2"/>
  <c r="D88" i="2"/>
  <c r="D90" i="2"/>
  <c r="D37" i="2"/>
  <c r="D91" i="2"/>
  <c r="D93" i="2"/>
  <c r="D94" i="2"/>
  <c r="D41" i="2"/>
  <c r="D95" i="2"/>
  <c r="D48" i="2"/>
  <c r="D99" i="2"/>
  <c r="D100" i="2"/>
  <c r="D101" i="2"/>
  <c r="D102" i="2"/>
  <c r="B7" i="802"/>
  <c r="G8" i="695"/>
  <c r="H19" i="695"/>
  <c r="H27" i="695" s="1"/>
  <c r="H20" i="695"/>
  <c r="H23" i="695" s="1"/>
  <c r="H21" i="695"/>
  <c r="H24" i="695" s="1"/>
  <c r="H26" i="695" s="1"/>
  <c r="H18" i="695"/>
  <c r="H22" i="695"/>
  <c r="H33" i="695"/>
  <c r="H28" i="695"/>
  <c r="H34" i="695"/>
  <c r="I19" i="695"/>
  <c r="I27" i="695" s="1"/>
  <c r="I20" i="695"/>
  <c r="I23" i="695" s="1"/>
  <c r="I18" i="695"/>
  <c r="I21" i="695"/>
  <c r="I24" i="695" s="1"/>
  <c r="I26" i="695" s="1"/>
  <c r="I22" i="695"/>
  <c r="I34" i="695"/>
  <c r="I33" i="695"/>
  <c r="J21" i="695"/>
  <c r="J24" i="695" s="1"/>
  <c r="J26" i="695" s="1"/>
  <c r="J19" i="695"/>
  <c r="J27" i="695" s="1"/>
  <c r="J18" i="695"/>
  <c r="J20" i="695"/>
  <c r="J23" i="695" s="1"/>
  <c r="J22" i="695"/>
  <c r="J28" i="695"/>
  <c r="J34" i="695"/>
  <c r="J33" i="695"/>
  <c r="K18" i="695"/>
  <c r="K21" i="695"/>
  <c r="K24" i="695" s="1"/>
  <c r="K26" i="695" s="1"/>
  <c r="K19" i="695"/>
  <c r="K27" i="695" s="1"/>
  <c r="K20" i="695"/>
  <c r="K23" i="695" s="1"/>
  <c r="K22" i="695"/>
  <c r="K28" i="695"/>
  <c r="K34" i="695"/>
  <c r="K33" i="695"/>
  <c r="L18" i="695"/>
  <c r="L21" i="695"/>
  <c r="L24" i="695" s="1"/>
  <c r="L26" i="695" s="1"/>
  <c r="L19" i="695"/>
  <c r="L27" i="695" s="1"/>
  <c r="L20" i="695"/>
  <c r="L23" i="695" s="1"/>
  <c r="L22" i="695"/>
  <c r="L28" i="695"/>
  <c r="L33" i="695"/>
  <c r="L34" i="695"/>
  <c r="N20" i="695"/>
  <c r="N23" i="695" s="1"/>
  <c r="N18" i="695"/>
  <c r="N21" i="695"/>
  <c r="N24" i="695" s="1"/>
  <c r="N26" i="695" s="1"/>
  <c r="N19" i="695"/>
  <c r="N27" i="695" s="1"/>
  <c r="N22" i="695"/>
  <c r="N28" i="695"/>
  <c r="N34" i="695"/>
  <c r="N33" i="695"/>
  <c r="O20" i="695"/>
  <c r="O23" i="695" s="1"/>
  <c r="O18" i="695"/>
  <c r="O19" i="695"/>
  <c r="O27" i="695" s="1"/>
  <c r="O22" i="695"/>
  <c r="O21" i="695"/>
  <c r="O24" i="695" s="1"/>
  <c r="O26" i="695" s="1"/>
  <c r="O33" i="695"/>
  <c r="O34" i="695"/>
  <c r="P19" i="695"/>
  <c r="P27" i="695" s="1"/>
  <c r="P20" i="695"/>
  <c r="P23" i="695" s="1"/>
  <c r="P21" i="695"/>
  <c r="P24" i="695" s="1"/>
  <c r="P26" i="695" s="1"/>
  <c r="P18" i="695"/>
  <c r="P22" i="695"/>
  <c r="P34" i="695"/>
  <c r="P33" i="695"/>
  <c r="P28" i="695"/>
  <c r="Q19" i="695"/>
  <c r="Q27" i="695" s="1"/>
  <c r="Q20" i="695"/>
  <c r="Q23" i="695" s="1"/>
  <c r="Q18" i="695"/>
  <c r="Q21" i="695"/>
  <c r="Q24" i="695" s="1"/>
  <c r="Q26" i="695" s="1"/>
  <c r="Q22" i="695"/>
  <c r="Q28" i="695"/>
  <c r="Q34" i="695"/>
  <c r="Q33" i="695"/>
  <c r="R8" i="695"/>
  <c r="S18" i="695"/>
  <c r="S21" i="695"/>
  <c r="S24" i="695" s="1"/>
  <c r="S26" i="695" s="1"/>
  <c r="S19" i="695"/>
  <c r="S27" i="695" s="1"/>
  <c r="S20" i="695"/>
  <c r="S23" i="695" s="1"/>
  <c r="S22" i="695"/>
  <c r="S33" i="695"/>
  <c r="S28" i="695"/>
  <c r="S34" i="695"/>
  <c r="T18" i="695"/>
  <c r="T21" i="695"/>
  <c r="T23" i="695" s="1"/>
  <c r="T19" i="695"/>
  <c r="T27" i="695" s="1"/>
  <c r="T20" i="695"/>
  <c r="T24" i="695" s="1"/>
  <c r="T26" i="695" s="1"/>
  <c r="T22" i="695"/>
  <c r="T28" i="695"/>
  <c r="T33" i="695"/>
  <c r="T34" i="695"/>
  <c r="U20" i="695"/>
  <c r="U24" i="695" s="1"/>
  <c r="U26" i="695" s="1"/>
  <c r="U18" i="695"/>
  <c r="U21" i="695"/>
  <c r="U23" i="695" s="1"/>
  <c r="U19" i="695"/>
  <c r="U27" i="695" s="1"/>
  <c r="U22" i="695"/>
  <c r="U33" i="695"/>
  <c r="U34" i="695"/>
  <c r="V20" i="695"/>
  <c r="V24" i="695" s="1"/>
  <c r="V26" i="695" s="1"/>
  <c r="V18" i="695"/>
  <c r="V21" i="695"/>
  <c r="V23" i="695" s="1"/>
  <c r="V19" i="695"/>
  <c r="V27" i="695" s="1"/>
  <c r="V22" i="695"/>
  <c r="V34" i="695"/>
  <c r="V33" i="695"/>
  <c r="W20" i="695"/>
  <c r="W24" i="695" s="1"/>
  <c r="W26" i="695" s="1"/>
  <c r="W18" i="695"/>
  <c r="W19" i="695"/>
  <c r="W27" i="695" s="1"/>
  <c r="W21" i="695"/>
  <c r="W23" i="695" s="1"/>
  <c r="W22" i="695"/>
  <c r="W28" i="695"/>
  <c r="W34" i="695"/>
  <c r="W33" i="695"/>
  <c r="X19" i="695"/>
  <c r="X27" i="695" s="1"/>
  <c r="X20" i="695"/>
  <c r="X24" i="695" s="1"/>
  <c r="X26" i="695" s="1"/>
  <c r="X21" i="695"/>
  <c r="X23" i="695" s="1"/>
  <c r="X22" i="695"/>
  <c r="X18" i="695"/>
  <c r="X34" i="695"/>
  <c r="X33" i="695"/>
  <c r="Y19" i="695"/>
  <c r="Y27" i="695" s="1"/>
  <c r="Y20" i="695"/>
  <c r="Y23" i="695" s="1"/>
  <c r="Y18" i="695"/>
  <c r="Y21" i="695"/>
  <c r="Y24" i="695" s="1"/>
  <c r="Y26" i="695" s="1"/>
  <c r="Y22" i="695"/>
  <c r="Y28" i="695"/>
  <c r="Y34" i="695"/>
  <c r="Y33" i="695"/>
  <c r="Z21" i="695"/>
  <c r="Z23" i="695" s="1"/>
  <c r="Z19" i="695"/>
  <c r="Z27" i="695" s="1"/>
  <c r="Z18" i="695"/>
  <c r="Z22" i="695"/>
  <c r="Z20" i="695"/>
  <c r="Z24" i="695" s="1"/>
  <c r="Z26" i="695" s="1"/>
  <c r="Z28" i="695"/>
  <c r="Z34" i="695"/>
  <c r="Z33" i="695"/>
  <c r="AA18" i="695"/>
  <c r="AA21" i="695"/>
  <c r="AA24" i="695" s="1"/>
  <c r="AA26" i="695" s="1"/>
  <c r="AA19" i="695"/>
  <c r="AA27" i="695" s="1"/>
  <c r="AA20" i="695"/>
  <c r="AA23" i="695" s="1"/>
  <c r="AA22" i="695"/>
  <c r="AA28" i="695"/>
  <c r="AA34" i="695"/>
  <c r="AA33" i="695"/>
  <c r="AB18" i="695"/>
  <c r="AB21" i="695"/>
  <c r="AB23" i="695" s="1"/>
  <c r="AB19" i="695"/>
  <c r="AB27" i="695" s="1"/>
  <c r="AB20" i="695"/>
  <c r="AB24" i="695" s="1"/>
  <c r="AB26" i="695" s="1"/>
  <c r="AB22" i="695"/>
  <c r="AB34" i="695"/>
  <c r="AB28" i="695"/>
  <c r="AB33" i="695"/>
  <c r="AC20" i="695"/>
  <c r="AC23" i="695" s="1"/>
  <c r="AC18" i="695"/>
  <c r="AC21" i="695"/>
  <c r="AC24" i="695" s="1"/>
  <c r="AC26" i="695" s="1"/>
  <c r="AC19" i="695"/>
  <c r="AC27" i="695" s="1"/>
  <c r="AC22" i="695"/>
  <c r="AC28" i="695"/>
  <c r="AC33" i="695"/>
  <c r="AC34" i="695"/>
  <c r="M20" i="695"/>
  <c r="M23" i="695" s="1"/>
  <c r="M18" i="695"/>
  <c r="M21" i="695"/>
  <c r="M24" i="695" s="1"/>
  <c r="M26" i="695" s="1"/>
  <c r="M19" i="695"/>
  <c r="M27" i="695" s="1"/>
  <c r="M22" i="695"/>
  <c r="M34" i="695"/>
  <c r="M28" i="695"/>
  <c r="M33" i="695"/>
  <c r="G8" i="83"/>
  <c r="H18" i="83"/>
  <c r="H28" i="83" s="1"/>
  <c r="H19" i="83"/>
  <c r="H27" i="83" s="1"/>
  <c r="H21" i="83"/>
  <c r="H24" i="83" s="1"/>
  <c r="H26" i="83" s="1"/>
  <c r="H20" i="83"/>
  <c r="H23" i="83" s="1"/>
  <c r="H22" i="83"/>
  <c r="H29" i="83"/>
  <c r="H34" i="83"/>
  <c r="H35" i="83"/>
  <c r="I18" i="83"/>
  <c r="I28" i="83" s="1"/>
  <c r="I19" i="83"/>
  <c r="I27" i="83" s="1"/>
  <c r="I21" i="83"/>
  <c r="I24" i="83" s="1"/>
  <c r="I26" i="83" s="1"/>
  <c r="I20" i="83"/>
  <c r="I23" i="83" s="1"/>
  <c r="I22" i="83"/>
  <c r="I34" i="83"/>
  <c r="I29" i="83"/>
  <c r="I35" i="83"/>
  <c r="J18" i="83"/>
  <c r="J28" i="83" s="1"/>
  <c r="J19" i="83"/>
  <c r="J27" i="83" s="1"/>
  <c r="J21" i="83"/>
  <c r="J24" i="83" s="1"/>
  <c r="J26" i="83" s="1"/>
  <c r="J20" i="83"/>
  <c r="J23" i="83" s="1"/>
  <c r="J22" i="83"/>
  <c r="J34" i="83"/>
  <c r="J35" i="83"/>
  <c r="J29" i="83"/>
  <c r="L18" i="83"/>
  <c r="L28" i="83" s="1"/>
  <c r="L20" i="83"/>
  <c r="L23" i="83" s="1"/>
  <c r="L19" i="83"/>
  <c r="L27" i="83" s="1"/>
  <c r="L21" i="83"/>
  <c r="L24" i="83" s="1"/>
  <c r="L26" i="83" s="1"/>
  <c r="L22" i="83"/>
  <c r="L29" i="83"/>
  <c r="L34" i="83"/>
  <c r="L35" i="83"/>
  <c r="M18" i="83"/>
  <c r="M28" i="83" s="1"/>
  <c r="M20" i="83"/>
  <c r="M24" i="83" s="1"/>
  <c r="M26" i="83" s="1"/>
  <c r="M19" i="83"/>
  <c r="M27" i="83" s="1"/>
  <c r="M21" i="83"/>
  <c r="M23" i="83" s="1"/>
  <c r="M22" i="83"/>
  <c r="M29" i="83"/>
  <c r="M34" i="83"/>
  <c r="M35" i="83"/>
  <c r="N18" i="83"/>
  <c r="N28" i="83" s="1"/>
  <c r="N20" i="83"/>
  <c r="N24" i="83" s="1"/>
  <c r="N26" i="83" s="1"/>
  <c r="N19" i="83"/>
  <c r="N27" i="83" s="1"/>
  <c r="N21" i="83"/>
  <c r="N23" i="83" s="1"/>
  <c r="N22" i="83"/>
  <c r="N29" i="83"/>
  <c r="N34" i="83"/>
  <c r="N35" i="83"/>
  <c r="O18" i="83"/>
  <c r="O28" i="83" s="1"/>
  <c r="O20" i="83"/>
  <c r="O24" i="83" s="1"/>
  <c r="O26" i="83" s="1"/>
  <c r="O19" i="83"/>
  <c r="O27" i="83" s="1"/>
  <c r="O21" i="83"/>
  <c r="O23" i="83" s="1"/>
  <c r="O22" i="83"/>
  <c r="O29" i="83"/>
  <c r="O34" i="83"/>
  <c r="O35" i="83"/>
  <c r="P18" i="83"/>
  <c r="P28" i="83" s="1"/>
  <c r="P21" i="83"/>
  <c r="P23" i="83" s="1"/>
  <c r="P19" i="83"/>
  <c r="P27" i="83" s="1"/>
  <c r="P20" i="83"/>
  <c r="P24" i="83" s="1"/>
  <c r="P26" i="83" s="1"/>
  <c r="P22" i="83"/>
  <c r="P35" i="83"/>
  <c r="P29" i="83"/>
  <c r="P34" i="83"/>
  <c r="Q18" i="83"/>
  <c r="Q28" i="83" s="1"/>
  <c r="Q19" i="83"/>
  <c r="Q27" i="83" s="1"/>
  <c r="Q20" i="83"/>
  <c r="Q24" i="83" s="1"/>
  <c r="Q26" i="83" s="1"/>
  <c r="Q21" i="83"/>
  <c r="Q23" i="83" s="1"/>
  <c r="Q22" i="83"/>
  <c r="Q29" i="83"/>
  <c r="Q34" i="83"/>
  <c r="Q35" i="83"/>
  <c r="R18" i="83"/>
  <c r="R28" i="83" s="1"/>
  <c r="R19" i="83"/>
  <c r="R27" i="83" s="1"/>
  <c r="R20" i="83"/>
  <c r="R24" i="83" s="1"/>
  <c r="R26" i="83" s="1"/>
  <c r="R21" i="83"/>
  <c r="R23" i="83" s="1"/>
  <c r="R22" i="83"/>
  <c r="R29" i="83"/>
  <c r="R34" i="83"/>
  <c r="R35" i="83"/>
  <c r="S18" i="83"/>
  <c r="S28" i="83" s="1"/>
  <c r="S19" i="83"/>
  <c r="S27" i="83" s="1"/>
  <c r="S20" i="83"/>
  <c r="S23" i="83" s="1"/>
  <c r="S21" i="83"/>
  <c r="S24" i="83" s="1"/>
  <c r="S26" i="83" s="1"/>
  <c r="S22" i="83"/>
  <c r="S35" i="83"/>
  <c r="S34" i="83"/>
  <c r="S29" i="83"/>
  <c r="X18" i="83"/>
  <c r="X28" i="83" s="1"/>
  <c r="X21" i="83"/>
  <c r="X24" i="83" s="1"/>
  <c r="X26" i="83" s="1"/>
  <c r="X19" i="83"/>
  <c r="X27" i="83" s="1"/>
  <c r="X20" i="83"/>
  <c r="X23" i="83" s="1"/>
  <c r="X22" i="83"/>
  <c r="X29" i="83"/>
  <c r="X34" i="83"/>
  <c r="X35" i="83"/>
  <c r="Y18" i="83"/>
  <c r="Y28" i="83" s="1"/>
  <c r="Y19" i="83"/>
  <c r="Y27" i="83" s="1"/>
  <c r="Y21" i="83"/>
  <c r="Y24" i="83" s="1"/>
  <c r="Y26" i="83" s="1"/>
  <c r="Y20" i="83"/>
  <c r="Y23" i="83" s="1"/>
  <c r="Y22" i="83"/>
  <c r="Y29" i="83"/>
  <c r="Y34" i="83"/>
  <c r="Y35" i="83"/>
  <c r="Z18" i="83"/>
  <c r="Z28" i="83" s="1"/>
  <c r="Z19" i="83"/>
  <c r="Z27" i="83" s="1"/>
  <c r="Z21" i="83"/>
  <c r="Z24" i="83" s="1"/>
  <c r="Z26" i="83" s="1"/>
  <c r="Z20" i="83"/>
  <c r="Z23" i="83" s="1"/>
  <c r="Z22" i="83"/>
  <c r="Z29" i="83"/>
  <c r="Z34" i="83"/>
  <c r="Z35" i="83"/>
  <c r="AA18" i="83"/>
  <c r="AA28" i="83" s="1"/>
  <c r="AA19" i="83"/>
  <c r="AA27" i="83" s="1"/>
  <c r="AA21" i="83"/>
  <c r="AA23" i="83" s="1"/>
  <c r="AA20" i="83"/>
  <c r="AA24" i="83" s="1"/>
  <c r="AA26" i="83" s="1"/>
  <c r="AA22" i="83"/>
  <c r="AA29" i="83"/>
  <c r="AA35" i="83"/>
  <c r="AA34" i="83"/>
  <c r="AB18" i="83"/>
  <c r="AB28" i="83" s="1"/>
  <c r="AB20" i="83"/>
  <c r="AB23" i="83" s="1"/>
  <c r="AB19" i="83"/>
  <c r="AB27" i="83" s="1"/>
  <c r="AB21" i="83"/>
  <c r="AB24" i="83" s="1"/>
  <c r="AB26" i="83" s="1"/>
  <c r="AB22" i="83"/>
  <c r="AB35" i="83"/>
  <c r="AB29" i="83"/>
  <c r="AB34" i="83"/>
  <c r="AD18" i="83"/>
  <c r="AD28" i="83" s="1"/>
  <c r="AD20" i="83"/>
  <c r="AD23" i="83" s="1"/>
  <c r="AD19" i="83"/>
  <c r="AD27" i="83" s="1"/>
  <c r="AD21" i="83"/>
  <c r="AD24" i="83" s="1"/>
  <c r="AD26" i="83" s="1"/>
  <c r="AD22" i="83"/>
  <c r="AD29" i="83"/>
  <c r="AD34" i="83"/>
  <c r="AD35" i="83"/>
  <c r="W18" i="83"/>
  <c r="W28" i="83" s="1"/>
  <c r="W20" i="83"/>
  <c r="W23" i="83" s="1"/>
  <c r="W19" i="83"/>
  <c r="W27" i="83" s="1"/>
  <c r="W21" i="83"/>
  <c r="W24" i="83" s="1"/>
  <c r="W26" i="83" s="1"/>
  <c r="W22" i="83"/>
  <c r="W29" i="83"/>
  <c r="W34" i="83"/>
  <c r="W35" i="83"/>
  <c r="V18" i="83"/>
  <c r="V28" i="83" s="1"/>
  <c r="V20" i="83"/>
  <c r="V23" i="83" s="1"/>
  <c r="V19" i="83"/>
  <c r="V27" i="83" s="1"/>
  <c r="V21" i="83"/>
  <c r="V24" i="83" s="1"/>
  <c r="V26" i="83" s="1"/>
  <c r="V22" i="83"/>
  <c r="V34" i="83"/>
  <c r="V35" i="83"/>
  <c r="V29" i="83"/>
  <c r="U18" i="83"/>
  <c r="U28" i="83" s="1"/>
  <c r="U20" i="83"/>
  <c r="U23" i="83" s="1"/>
  <c r="U19" i="83"/>
  <c r="U27" i="83" s="1"/>
  <c r="U21" i="83"/>
  <c r="U24" i="83" s="1"/>
  <c r="U26" i="83" s="1"/>
  <c r="U22" i="83"/>
  <c r="U29" i="83"/>
  <c r="U34" i="83"/>
  <c r="U35" i="83"/>
  <c r="AG4" i="83"/>
  <c r="AH4" i="83"/>
  <c r="AE4" i="695"/>
  <c r="AF4" i="695"/>
  <c r="N8" i="694"/>
  <c r="N9" i="694"/>
  <c r="N10" i="694"/>
  <c r="Q8" i="2"/>
  <c r="Q10" i="2"/>
  <c r="Q9" i="2"/>
  <c r="M8" i="694"/>
  <c r="M10" i="694"/>
  <c r="M9" i="694"/>
  <c r="T10" i="694"/>
  <c r="T9" i="694"/>
  <c r="T8" i="694"/>
  <c r="W10" i="2"/>
  <c r="W8" i="2"/>
  <c r="W9" i="2"/>
  <c r="O10" i="2"/>
  <c r="O9" i="2"/>
  <c r="O8" i="2"/>
  <c r="D18" i="694"/>
  <c r="D86" i="694" s="1"/>
  <c r="D22" i="694"/>
  <c r="D25" i="694"/>
  <c r="D53" i="694"/>
  <c r="D107" i="694" s="1"/>
  <c r="D112" i="694"/>
  <c r="D102" i="694"/>
  <c r="D114" i="694"/>
  <c r="D101" i="694"/>
  <c r="D113" i="694"/>
  <c r="S10" i="694"/>
  <c r="S9" i="694"/>
  <c r="S8" i="694"/>
  <c r="V9" i="2"/>
  <c r="V8" i="2"/>
  <c r="V10" i="2"/>
  <c r="N10" i="2"/>
  <c r="N9" i="2"/>
  <c r="N8" i="2"/>
  <c r="C9" i="2"/>
  <c r="C10" i="2"/>
  <c r="AX7" i="27"/>
  <c r="AX8" i="27"/>
  <c r="AX9" i="27" s="1"/>
  <c r="AX10" i="27" s="1"/>
  <c r="AX11" i="27" s="1"/>
  <c r="AX12" i="27" s="1"/>
  <c r="AX13" i="27" s="1"/>
  <c r="AX14" i="27" s="1"/>
  <c r="AX15" i="27" s="1"/>
  <c r="AX16" i="27" s="1"/>
  <c r="AX17" i="27" s="1"/>
  <c r="AX18" i="27" s="1"/>
  <c r="AX19" i="27" s="1"/>
  <c r="AX20" i="27" s="1"/>
  <c r="AX21" i="27" s="1"/>
  <c r="AX22" i="27" s="1"/>
  <c r="AX23" i="27" s="1"/>
  <c r="AX24" i="27" s="1"/>
  <c r="AX25" i="27" s="1"/>
  <c r="AX26" i="27" s="1"/>
  <c r="AX27" i="27" s="1"/>
  <c r="AX28" i="27" s="1"/>
  <c r="AX29" i="27" s="1"/>
  <c r="AX30" i="27" s="1"/>
  <c r="AX31" i="27" s="1"/>
  <c r="AX32" i="27" s="1"/>
  <c r="AX33" i="27" s="1"/>
  <c r="AX34" i="27" s="1"/>
  <c r="AX35" i="27" s="1"/>
  <c r="AX36" i="27" s="1"/>
  <c r="AX37" i="27" s="1"/>
  <c r="AX38" i="27" s="1"/>
  <c r="AX39" i="27" s="1"/>
  <c r="AX40" i="27" s="1"/>
  <c r="AX41" i="27" s="1"/>
  <c r="AX42" i="27" s="1"/>
  <c r="AX43" i="27" s="1"/>
  <c r="AX44" i="27" s="1"/>
  <c r="AX45" i="27" s="1"/>
  <c r="AX46" i="27" s="1"/>
  <c r="AX47" i="27" s="1"/>
  <c r="AX48" i="27" s="1"/>
  <c r="AX49" i="27" s="1"/>
  <c r="AX50" i="27" s="1"/>
  <c r="AX51" i="27" s="1"/>
  <c r="AX52" i="27" s="1"/>
  <c r="AX53" i="27" s="1"/>
  <c r="AX54" i="27" s="1"/>
  <c r="AX55" i="27" s="1"/>
  <c r="AX56" i="27" s="1"/>
  <c r="AX57" i="27" s="1"/>
  <c r="AX58" i="27" s="1"/>
  <c r="AX59" i="27" s="1"/>
  <c r="AX60" i="27" s="1"/>
  <c r="AX61" i="27" s="1"/>
  <c r="AX62" i="27" s="1"/>
  <c r="AX63" i="27" s="1"/>
  <c r="AX64" i="27" s="1"/>
  <c r="AX65" i="27" s="1"/>
  <c r="AX66" i="27" s="1"/>
  <c r="AX67" i="27" s="1"/>
  <c r="AX68" i="27" s="1"/>
  <c r="AX69" i="27" s="1"/>
  <c r="AX70" i="27" s="1"/>
  <c r="AX71" i="27" s="1"/>
  <c r="AX72" i="27" s="1"/>
  <c r="AX73" i="27" s="1"/>
  <c r="AX74" i="27" s="1"/>
  <c r="AX75" i="27" s="1"/>
  <c r="AX76" i="27" s="1"/>
  <c r="AX77" i="27" s="1"/>
  <c r="AX78" i="27" s="1"/>
  <c r="AX79" i="27" s="1"/>
  <c r="AX80" i="27" s="1"/>
  <c r="AX81" i="27" s="1"/>
  <c r="AX82" i="27" s="1"/>
  <c r="AX83" i="27" s="1"/>
  <c r="AX84" i="27" s="1"/>
  <c r="AX85" i="27" s="1"/>
  <c r="AX86" i="27" s="1"/>
  <c r="AX87" i="27" s="1"/>
  <c r="AX88" i="27" s="1"/>
  <c r="AX89" i="27" s="1"/>
  <c r="AX90" i="27" s="1"/>
  <c r="AX91" i="27" s="1"/>
  <c r="AX92" i="27" s="1"/>
  <c r="AX93" i="27" s="1"/>
  <c r="AX94" i="27" s="1"/>
  <c r="AX95" i="27" s="1"/>
  <c r="AX96" i="27" s="1"/>
  <c r="AX97" i="27" s="1"/>
  <c r="AX98" i="27" s="1"/>
  <c r="AX99" i="27" s="1"/>
  <c r="AX100" i="27" s="1"/>
  <c r="AX101" i="27" s="1"/>
  <c r="AX102" i="27" s="1"/>
  <c r="AX103" i="27" s="1"/>
  <c r="AX104" i="27" s="1"/>
  <c r="AX105" i="27" s="1"/>
  <c r="AX106" i="27" s="1"/>
  <c r="AX107" i="27" s="1"/>
  <c r="AX108" i="27" s="1"/>
  <c r="AX109" i="27" s="1"/>
  <c r="AX110" i="27" s="1"/>
  <c r="AX111" i="27" s="1"/>
  <c r="AX112" i="27" s="1"/>
  <c r="AX113" i="27" s="1"/>
  <c r="AX114" i="27" s="1"/>
  <c r="AX115" i="27" s="1"/>
  <c r="AX116" i="27" s="1"/>
  <c r="AX117" i="27" s="1"/>
  <c r="AX118" i="27" s="1"/>
  <c r="AX119" i="27" s="1"/>
  <c r="AX120" i="27" s="1"/>
  <c r="AX121" i="27" s="1"/>
  <c r="AX122" i="27" s="1"/>
  <c r="AX123" i="27" s="1"/>
  <c r="AX124" i="27" s="1"/>
  <c r="AX125" i="27" s="1"/>
  <c r="AX126" i="27" s="1"/>
  <c r="AX127" i="27" s="1"/>
  <c r="AX128" i="27" s="1"/>
  <c r="AX129" i="27" s="1"/>
  <c r="AX130" i="27" s="1"/>
  <c r="AX131" i="27" s="1"/>
  <c r="AX132" i="27" s="1"/>
  <c r="AX133" i="27" s="1"/>
  <c r="AX134" i="27" s="1"/>
  <c r="AX135" i="27" s="1"/>
  <c r="AX136" i="27" s="1"/>
  <c r="AX137" i="27" s="1"/>
  <c r="AX138" i="27" s="1"/>
  <c r="AX139" i="27" s="1"/>
  <c r="AX140" i="27" s="1"/>
  <c r="AX141" i="27" s="1"/>
  <c r="AX142" i="27" s="1"/>
  <c r="AX143" i="27" s="1"/>
  <c r="AX144" i="27" s="1"/>
  <c r="AX145" i="27" s="1"/>
  <c r="AX146" i="27" s="1"/>
  <c r="AX147" i="27" s="1"/>
  <c r="AX148" i="27" s="1"/>
  <c r="AX149" i="27" s="1"/>
  <c r="AX150" i="27" s="1"/>
  <c r="AX151" i="27" s="1"/>
  <c r="AX152" i="27" s="1"/>
  <c r="AX153" i="27" s="1"/>
  <c r="AX154" i="27" s="1"/>
  <c r="AX155" i="27" s="1"/>
  <c r="AX156" i="27" s="1"/>
  <c r="AX157" i="27" s="1"/>
  <c r="AX158" i="27" s="1"/>
  <c r="AX159" i="27" s="1"/>
  <c r="AX160" i="27" s="1"/>
  <c r="AX161" i="27" s="1"/>
  <c r="AX162" i="27" s="1"/>
  <c r="AX163" i="27" s="1"/>
  <c r="AX164" i="27" s="1"/>
  <c r="AX165" i="27" s="1"/>
  <c r="AX166" i="27" s="1"/>
  <c r="AX167" i="27" s="1"/>
  <c r="AX168" i="27" s="1"/>
  <c r="AX169" i="27" s="1"/>
  <c r="AX170" i="27" s="1"/>
  <c r="AX171" i="27" s="1"/>
  <c r="AX172" i="27" s="1"/>
  <c r="AX173" i="27" s="1"/>
  <c r="AX174" i="27" s="1"/>
  <c r="AX175" i="27" s="1"/>
  <c r="AX176" i="27" s="1"/>
  <c r="AX177" i="27" s="1"/>
  <c r="AX178" i="27" s="1"/>
  <c r="AX179" i="27" s="1"/>
  <c r="AX180" i="27" s="1"/>
  <c r="AX181" i="27" s="1"/>
  <c r="AX182" i="27" s="1"/>
  <c r="AX183" i="27" s="1"/>
  <c r="AX184" i="27" s="1"/>
  <c r="AX185" i="27" s="1"/>
  <c r="AX186" i="27" s="1"/>
  <c r="AX187" i="27" s="1"/>
  <c r="AX188" i="27" s="1"/>
  <c r="AX189" i="27" s="1"/>
  <c r="AX190" i="27" s="1"/>
  <c r="AX191" i="27" s="1"/>
  <c r="AX192" i="27" s="1"/>
  <c r="AX193" i="27" s="1"/>
  <c r="AX194" i="27" s="1"/>
  <c r="AX195" i="27" s="1"/>
  <c r="AX196" i="27" s="1"/>
  <c r="AX197" i="27" s="1"/>
  <c r="AX198" i="27" s="1"/>
  <c r="AX199" i="27" s="1"/>
  <c r="AX200" i="27" s="1"/>
  <c r="AX201" i="27" s="1"/>
  <c r="AX202" i="27" s="1"/>
  <c r="AX203" i="27" s="1"/>
  <c r="AX204" i="27" s="1"/>
  <c r="AX205" i="27" s="1"/>
  <c r="AX206" i="27" s="1"/>
  <c r="AX207" i="27" s="1"/>
  <c r="AX208" i="27" s="1"/>
  <c r="AX209" i="27" s="1"/>
  <c r="AX210" i="27" s="1"/>
  <c r="AX211" i="27" s="1"/>
  <c r="AX212" i="27" s="1"/>
  <c r="AX213" i="27" s="1"/>
  <c r="AX214" i="27" s="1"/>
  <c r="AX215" i="27" s="1"/>
  <c r="AX216" i="27" s="1"/>
  <c r="AX217" i="27" s="1"/>
  <c r="AX218" i="27" s="1"/>
  <c r="AX219" i="27" s="1"/>
  <c r="AX220" i="27" s="1"/>
  <c r="AX221" i="27" s="1"/>
  <c r="AX222" i="27" s="1"/>
  <c r="AX223" i="27" s="1"/>
  <c r="AX224" i="27" s="1"/>
  <c r="AX225" i="27" s="1"/>
  <c r="AX226" i="27" s="1"/>
  <c r="AX227" i="27" s="1"/>
  <c r="AX228" i="27" s="1"/>
  <c r="AX229" i="27" s="1"/>
  <c r="AX230" i="27" s="1"/>
  <c r="AX231" i="27" s="1"/>
  <c r="AX232" i="27" s="1"/>
  <c r="AX233" i="27" s="1"/>
  <c r="AX234" i="27" s="1"/>
  <c r="AX235" i="27" s="1"/>
  <c r="AX236" i="27" s="1"/>
  <c r="AX237" i="27" s="1"/>
  <c r="AX238" i="27" s="1"/>
  <c r="AX239" i="27" s="1"/>
  <c r="AX240" i="27" s="1"/>
  <c r="AX241" i="27" s="1"/>
  <c r="AX242" i="27" s="1"/>
  <c r="AX243" i="27" s="1"/>
  <c r="AX244" i="27" s="1"/>
  <c r="AX245" i="27" s="1"/>
  <c r="AX246" i="27" s="1"/>
  <c r="AX247" i="27" s="1"/>
  <c r="AX248" i="27" s="1"/>
  <c r="AX249" i="27" s="1"/>
  <c r="AX250" i="27" s="1"/>
  <c r="AX251" i="27" s="1"/>
  <c r="AX252" i="27" s="1"/>
  <c r="AX253" i="27" s="1"/>
  <c r="AX254" i="27" s="1"/>
  <c r="AX255" i="27" s="1"/>
  <c r="AX256" i="27" s="1"/>
  <c r="AX257" i="27" s="1"/>
  <c r="AX258" i="27" s="1"/>
  <c r="AX259" i="27" s="1"/>
  <c r="AX260" i="27" s="1"/>
  <c r="AX261" i="27" s="1"/>
  <c r="AX262" i="27" s="1"/>
  <c r="AX263" i="27" s="1"/>
  <c r="AX264" i="27" s="1"/>
  <c r="AX265" i="27" s="1"/>
  <c r="AX266" i="27" s="1"/>
  <c r="AX267" i="27" s="1"/>
  <c r="X6" i="27"/>
  <c r="E8" i="694"/>
  <c r="E10" i="694" s="1"/>
  <c r="C9" i="694"/>
  <c r="C10" i="694"/>
  <c r="U9" i="2"/>
  <c r="U8" i="2"/>
  <c r="U10" i="2"/>
  <c r="M9" i="2"/>
  <c r="M10" i="2"/>
  <c r="M8" i="2"/>
  <c r="E8" i="2"/>
  <c r="F8" i="2" s="1"/>
  <c r="D23" i="2"/>
  <c r="D27" i="2"/>
  <c r="U8" i="694"/>
  <c r="U10" i="694"/>
  <c r="U9" i="694"/>
  <c r="P10" i="2"/>
  <c r="P8" i="2"/>
  <c r="P9" i="2"/>
  <c r="R9" i="694"/>
  <c r="R8" i="694"/>
  <c r="R10" i="694"/>
  <c r="D45" i="694"/>
  <c r="D48" i="694"/>
  <c r="D64" i="694"/>
  <c r="D63" i="694"/>
  <c r="Q9" i="694"/>
  <c r="Q8" i="694"/>
  <c r="Q10" i="694"/>
  <c r="T9" i="2"/>
  <c r="T8" i="2"/>
  <c r="T10" i="2"/>
  <c r="B51" i="1646"/>
  <c r="V8" i="694"/>
  <c r="V10" i="694"/>
  <c r="V9" i="694"/>
  <c r="B3" i="695"/>
  <c r="P9" i="694"/>
  <c r="P10" i="694"/>
  <c r="P8" i="694"/>
  <c r="M231" i="2"/>
  <c r="M232" i="2"/>
  <c r="S9" i="2"/>
  <c r="S8" i="2"/>
  <c r="S10" i="2"/>
  <c r="T8" i="83"/>
  <c r="B3" i="83"/>
  <c r="W8" i="694"/>
  <c r="W9" i="694"/>
  <c r="W10" i="694"/>
  <c r="O8" i="694"/>
  <c r="O10" i="694"/>
  <c r="O9" i="694"/>
  <c r="R8" i="2"/>
  <c r="R10" i="2"/>
  <c r="R9" i="2"/>
  <c r="I231" i="2"/>
  <c r="I232" i="2"/>
  <c r="E7" i="802"/>
  <c r="C66" i="2"/>
  <c r="C65" i="2"/>
  <c r="C64" i="2"/>
  <c r="C63" i="2"/>
  <c r="C60" i="2"/>
  <c r="C59" i="2"/>
  <c r="C58" i="2"/>
  <c r="C57" i="2"/>
  <c r="C54" i="2"/>
  <c r="C53" i="2"/>
  <c r="C52" i="2"/>
  <c r="C51" i="2"/>
  <c r="C47" i="2"/>
  <c r="C46" i="2"/>
  <c r="C45" i="2"/>
  <c r="C44" i="2"/>
  <c r="C40" i="2"/>
  <c r="C39" i="2"/>
  <c r="C38" i="2"/>
  <c r="C36" i="2"/>
  <c r="C35" i="2"/>
  <c r="C33" i="2"/>
  <c r="C32" i="2"/>
  <c r="C31" i="2"/>
  <c r="C28" i="2"/>
  <c r="C26" i="2"/>
  <c r="C25" i="2"/>
  <c r="C22" i="2"/>
  <c r="C21" i="2"/>
  <c r="C20" i="2"/>
  <c r="C19" i="2"/>
  <c r="C17" i="2"/>
  <c r="C16" i="2"/>
  <c r="C15" i="2"/>
  <c r="D40" i="694"/>
  <c r="H7" i="802"/>
  <c r="G7" i="802"/>
  <c r="C77" i="694"/>
  <c r="C76" i="694"/>
  <c r="C68" i="694"/>
  <c r="C58" i="694"/>
  <c r="C57" i="694"/>
  <c r="C56" i="694"/>
  <c r="C55" i="694"/>
  <c r="C54" i="694"/>
  <c r="C74" i="694"/>
  <c r="C73" i="694"/>
  <c r="C72" i="694"/>
  <c r="C71" i="694"/>
  <c r="C70" i="694"/>
  <c r="C50" i="694"/>
  <c r="C49" i="694"/>
  <c r="C47" i="694"/>
  <c r="C44" i="694"/>
  <c r="C43" i="694"/>
  <c r="C42" i="694"/>
  <c r="C39" i="694"/>
  <c r="C38" i="694"/>
  <c r="C34" i="694"/>
  <c r="C35" i="694"/>
  <c r="C28" i="694"/>
  <c r="C26" i="694"/>
  <c r="C24" i="694"/>
  <c r="C21" i="694"/>
  <c r="C20" i="694"/>
  <c r="C17" i="694"/>
  <c r="C16" i="694"/>
  <c r="C15" i="694"/>
  <c r="C51" i="1646"/>
  <c r="AE8" i="83"/>
  <c r="K8" i="83"/>
  <c r="C65" i="694"/>
  <c r="D88" i="694" l="1"/>
  <c r="D33" i="694"/>
  <c r="D60" i="694"/>
  <c r="D30" i="694"/>
  <c r="D29" i="694" s="1"/>
  <c r="D82" i="694"/>
  <c r="D66" i="694"/>
  <c r="D62" i="694"/>
  <c r="D108" i="694"/>
  <c r="K18" i="83"/>
  <c r="K28" i="83" s="1"/>
  <c r="K19" i="83"/>
  <c r="K27" i="83" s="1"/>
  <c r="K21" i="83"/>
  <c r="K24" i="83" s="1"/>
  <c r="K26" i="83" s="1"/>
  <c r="K20" i="83"/>
  <c r="K23" i="83" s="1"/>
  <c r="K22" i="83"/>
  <c r="K29" i="83"/>
  <c r="K35" i="83"/>
  <c r="K34" i="83"/>
  <c r="AE18" i="83"/>
  <c r="AE28" i="83" s="1"/>
  <c r="AE20" i="83"/>
  <c r="AE23" i="83" s="1"/>
  <c r="AE19" i="83"/>
  <c r="AE27" i="83" s="1"/>
  <c r="AE21" i="83"/>
  <c r="AE24" i="83" s="1"/>
  <c r="AE26" i="83" s="1"/>
  <c r="AE22" i="83"/>
  <c r="AE29" i="83"/>
  <c r="AE34" i="83"/>
  <c r="AE35" i="83"/>
  <c r="D119" i="694"/>
  <c r="D175" i="694"/>
  <c r="D231" i="694" s="1"/>
  <c r="D176" i="694"/>
  <c r="D232" i="694" s="1"/>
  <c r="D120" i="694"/>
  <c r="D179" i="694"/>
  <c r="D235" i="694" s="1"/>
  <c r="D123" i="694"/>
  <c r="D124" i="694"/>
  <c r="D180" i="694"/>
  <c r="D236" i="694" s="1"/>
  <c r="D127" i="694"/>
  <c r="D183" i="694"/>
  <c r="D239" i="694" s="1"/>
  <c r="D185" i="694"/>
  <c r="D241" i="694" s="1"/>
  <c r="D129" i="694"/>
  <c r="D131" i="694"/>
  <c r="D187" i="694"/>
  <c r="D243" i="694" s="1"/>
  <c r="D138" i="694"/>
  <c r="D194" i="694"/>
  <c r="D250" i="694" s="1"/>
  <c r="D137" i="694"/>
  <c r="D193" i="694"/>
  <c r="D249" i="694" s="1"/>
  <c r="D197" i="694"/>
  <c r="D253" i="694" s="1"/>
  <c r="D141" i="694"/>
  <c r="D142" i="694"/>
  <c r="D198" i="694"/>
  <c r="D254" i="694" s="1"/>
  <c r="D145" i="694"/>
  <c r="D201" i="694"/>
  <c r="D257" i="694" s="1"/>
  <c r="D202" i="694"/>
  <c r="D258" i="694" s="1"/>
  <c r="D146" i="694"/>
  <c r="D147" i="694"/>
  <c r="D203" i="694"/>
  <c r="D259" i="694" s="1"/>
  <c r="D206" i="694"/>
  <c r="D262" i="694" s="1"/>
  <c r="D150" i="694"/>
  <c r="D208" i="694"/>
  <c r="D264" i="694" s="1"/>
  <c r="D152" i="694"/>
  <c r="D222" i="694"/>
  <c r="D278" i="694" s="1"/>
  <c r="D166" i="694"/>
  <c r="D167" i="694"/>
  <c r="D223" i="694"/>
  <c r="D279" i="694" s="1"/>
  <c r="D224" i="694"/>
  <c r="D280" i="694" s="1"/>
  <c r="D168" i="694"/>
  <c r="D225" i="694"/>
  <c r="D281" i="694" s="1"/>
  <c r="D169" i="694"/>
  <c r="D170" i="694"/>
  <c r="D226" i="694"/>
  <c r="D282" i="694" s="1"/>
  <c r="D211" i="694"/>
  <c r="D267" i="694" s="1"/>
  <c r="D155" i="694"/>
  <c r="D156" i="694"/>
  <c r="D212" i="694"/>
  <c r="D268" i="694" s="1"/>
  <c r="D213" i="694"/>
  <c r="D269" i="694" s="1"/>
  <c r="D157" i="694"/>
  <c r="D158" i="694"/>
  <c r="D214" i="694"/>
  <c r="D270" i="694" s="1"/>
  <c r="D159" i="694"/>
  <c r="D215" i="694"/>
  <c r="D271" i="694" s="1"/>
  <c r="D154" i="2"/>
  <c r="D115" i="2"/>
  <c r="D193" i="2" s="1"/>
  <c r="D116" i="2"/>
  <c r="D194" i="2" s="1"/>
  <c r="D155" i="2"/>
  <c r="D156" i="2"/>
  <c r="D117" i="2"/>
  <c r="D195" i="2" s="1"/>
  <c r="D119" i="2"/>
  <c r="D197" i="2" s="1"/>
  <c r="D158" i="2"/>
  <c r="D159" i="2"/>
  <c r="D120" i="2"/>
  <c r="D198" i="2" s="1"/>
  <c r="D121" i="2"/>
  <c r="D199" i="2" s="1"/>
  <c r="D160" i="2"/>
  <c r="D161" i="2"/>
  <c r="D122" i="2"/>
  <c r="D200" i="2" s="1"/>
  <c r="D125" i="2"/>
  <c r="D203" i="2" s="1"/>
  <c r="D164" i="2"/>
  <c r="D165" i="2"/>
  <c r="D127" i="2"/>
  <c r="D205" i="2" s="1"/>
  <c r="D167" i="2"/>
  <c r="D128" i="2"/>
  <c r="D206" i="2" s="1"/>
  <c r="D131" i="2"/>
  <c r="D209" i="2" s="1"/>
  <c r="D170" i="2"/>
  <c r="D132" i="2"/>
  <c r="D210" i="2" s="1"/>
  <c r="D171" i="2"/>
  <c r="C34" i="2"/>
  <c r="D133" i="2"/>
  <c r="D211" i="2" s="1"/>
  <c r="D172" i="2"/>
  <c r="D135" i="2"/>
  <c r="D213" i="2" s="1"/>
  <c r="D174" i="2"/>
  <c r="C37" i="2"/>
  <c r="D136" i="2"/>
  <c r="D214" i="2" s="1"/>
  <c r="D175" i="2"/>
  <c r="D138" i="2"/>
  <c r="D216" i="2" s="1"/>
  <c r="D177" i="2"/>
  <c r="D139" i="2"/>
  <c r="D217" i="2" s="1"/>
  <c r="D178" i="2"/>
  <c r="C41" i="2"/>
  <c r="D140" i="2"/>
  <c r="D218" i="2" s="1"/>
  <c r="D179" i="2"/>
  <c r="C48" i="2"/>
  <c r="D149" i="2"/>
  <c r="D227" i="2" s="1"/>
  <c r="D188" i="2"/>
  <c r="D144" i="2"/>
  <c r="D222" i="2" s="1"/>
  <c r="D183" i="2"/>
  <c r="D145" i="2"/>
  <c r="D223" i="2" s="1"/>
  <c r="D184" i="2"/>
  <c r="D185" i="2"/>
  <c r="D146" i="2"/>
  <c r="D224" i="2" s="1"/>
  <c r="D147" i="2"/>
  <c r="D225" i="2" s="1"/>
  <c r="D186" i="2"/>
  <c r="D95" i="694"/>
  <c r="G8" i="2"/>
  <c r="F10" i="2"/>
  <c r="F9" i="2"/>
  <c r="D91" i="694"/>
  <c r="W18" i="694"/>
  <c r="W22" i="694"/>
  <c r="W25" i="694"/>
  <c r="W30" i="694"/>
  <c r="W29" i="694"/>
  <c r="W33" i="694"/>
  <c r="W53" i="694"/>
  <c r="W88" i="694"/>
  <c r="W101" i="694"/>
  <c r="W113" i="694"/>
  <c r="W84" i="694"/>
  <c r="W96" i="694"/>
  <c r="W108" i="694"/>
  <c r="W119" i="694"/>
  <c r="W121" i="694"/>
  <c r="W124" i="694"/>
  <c r="W127" i="694"/>
  <c r="W129" i="694"/>
  <c r="W132" i="694"/>
  <c r="W136" i="694"/>
  <c r="W138" i="694"/>
  <c r="W142" i="694"/>
  <c r="W145" i="694"/>
  <c r="W147" i="694"/>
  <c r="W150" i="694"/>
  <c r="W152" i="694"/>
  <c r="W155" i="694"/>
  <c r="W157" i="694"/>
  <c r="W159" i="694"/>
  <c r="W162" i="694"/>
  <c r="W164" i="694"/>
  <c r="W167" i="694"/>
  <c r="W169" i="694"/>
  <c r="W175" i="694"/>
  <c r="W231" i="694" s="1"/>
  <c r="W177" i="694"/>
  <c r="W233" i="694" s="1"/>
  <c r="W180" i="694"/>
  <c r="W236" i="694" s="1"/>
  <c r="W183" i="694"/>
  <c r="W239" i="694" s="1"/>
  <c r="W185" i="694"/>
  <c r="W241" i="694" s="1"/>
  <c r="W188" i="694"/>
  <c r="W244" i="694" s="1"/>
  <c r="W192" i="694"/>
  <c r="W248" i="694" s="1"/>
  <c r="W194" i="694"/>
  <c r="W250" i="694" s="1"/>
  <c r="W198" i="694"/>
  <c r="W254" i="694" s="1"/>
  <c r="W201" i="694"/>
  <c r="W257" i="694" s="1"/>
  <c r="W203" i="694"/>
  <c r="W259" i="694" s="1"/>
  <c r="W206" i="694"/>
  <c r="W262" i="694" s="1"/>
  <c r="W208" i="694"/>
  <c r="W264" i="694" s="1"/>
  <c r="W211" i="694"/>
  <c r="W267" i="694" s="1"/>
  <c r="W213" i="694"/>
  <c r="W269" i="694" s="1"/>
  <c r="W215" i="694"/>
  <c r="W271" i="694" s="1"/>
  <c r="W218" i="694"/>
  <c r="W274" i="694" s="1"/>
  <c r="W220" i="694"/>
  <c r="W276" i="694" s="1"/>
  <c r="W223" i="694"/>
  <c r="W279" i="694" s="1"/>
  <c r="W225" i="694"/>
  <c r="W281" i="694" s="1"/>
  <c r="W91" i="694"/>
  <c r="W105" i="694"/>
  <c r="W87" i="694"/>
  <c r="W100" i="694"/>
  <c r="W112" i="694"/>
  <c r="W83" i="694"/>
  <c r="W95" i="694"/>
  <c r="W107" i="694"/>
  <c r="W90" i="694"/>
  <c r="W102" i="694"/>
  <c r="W114" i="694"/>
  <c r="W120" i="694"/>
  <c r="W123" i="694"/>
  <c r="W125" i="694"/>
  <c r="W128" i="694"/>
  <c r="W131" i="694"/>
  <c r="W133" i="694"/>
  <c r="W137" i="694"/>
  <c r="W141" i="694"/>
  <c r="W143" i="694"/>
  <c r="W146" i="694"/>
  <c r="W148" i="694"/>
  <c r="W151" i="694"/>
  <c r="W154" i="694"/>
  <c r="W156" i="694"/>
  <c r="W158" i="694"/>
  <c r="W161" i="694"/>
  <c r="W163" i="694"/>
  <c r="W166" i="694"/>
  <c r="W168" i="694"/>
  <c r="W170" i="694"/>
  <c r="W176" i="694"/>
  <c r="W232" i="694" s="1"/>
  <c r="W179" i="694"/>
  <c r="W235" i="694" s="1"/>
  <c r="W181" i="694"/>
  <c r="W237" i="694" s="1"/>
  <c r="W184" i="694"/>
  <c r="W240" i="694" s="1"/>
  <c r="W187" i="694"/>
  <c r="W243" i="694" s="1"/>
  <c r="W189" i="694"/>
  <c r="W245" i="694" s="1"/>
  <c r="W193" i="694"/>
  <c r="W249" i="694" s="1"/>
  <c r="W197" i="694"/>
  <c r="W253" i="694" s="1"/>
  <c r="W199" i="694"/>
  <c r="W255" i="694" s="1"/>
  <c r="W202" i="694"/>
  <c r="W258" i="694" s="1"/>
  <c r="W204" i="694"/>
  <c r="W260" i="694" s="1"/>
  <c r="W207" i="694"/>
  <c r="W263" i="694" s="1"/>
  <c r="W210" i="694"/>
  <c r="W266" i="694" s="1"/>
  <c r="W212" i="694"/>
  <c r="W268" i="694" s="1"/>
  <c r="W214" i="694"/>
  <c r="W270" i="694" s="1"/>
  <c r="W217" i="694"/>
  <c r="W273" i="694" s="1"/>
  <c r="W219" i="694"/>
  <c r="W275" i="694" s="1"/>
  <c r="W222" i="694"/>
  <c r="W278" i="694" s="1"/>
  <c r="W224" i="694"/>
  <c r="W280" i="694" s="1"/>
  <c r="W226" i="694"/>
  <c r="W282" i="694" s="1"/>
  <c r="W86" i="694"/>
  <c r="W97" i="694"/>
  <c r="W109" i="694"/>
  <c r="W82" i="694"/>
  <c r="W92" i="694"/>
  <c r="W106" i="694"/>
  <c r="B52" i="1646"/>
  <c r="D61" i="694"/>
  <c r="R15" i="694"/>
  <c r="R16" i="694"/>
  <c r="R17" i="694"/>
  <c r="R20" i="694"/>
  <c r="R21" i="694"/>
  <c r="R24" i="694"/>
  <c r="R26" i="694"/>
  <c r="R28" i="694"/>
  <c r="R35" i="694"/>
  <c r="R34" i="694"/>
  <c r="R38" i="694"/>
  <c r="R40" i="694"/>
  <c r="R39" i="694"/>
  <c r="R42" i="694"/>
  <c r="R43" i="694"/>
  <c r="R45" i="694"/>
  <c r="R44" i="694"/>
  <c r="R47" i="694"/>
  <c r="R49" i="694"/>
  <c r="R48" i="694"/>
  <c r="R50" i="694"/>
  <c r="R54" i="694"/>
  <c r="R55" i="694"/>
  <c r="R56" i="694"/>
  <c r="R57" i="694"/>
  <c r="R63" i="694"/>
  <c r="R58" i="694"/>
  <c r="R60" i="694"/>
  <c r="R64" i="694"/>
  <c r="R62" i="694"/>
  <c r="R61" i="694"/>
  <c r="R66" i="694"/>
  <c r="R65" i="694"/>
  <c r="R70" i="694"/>
  <c r="R71" i="694"/>
  <c r="R73" i="694"/>
  <c r="R68" i="694"/>
  <c r="R72" i="694"/>
  <c r="R74" i="694"/>
  <c r="R76" i="694"/>
  <c r="R77" i="694"/>
  <c r="C18" i="694"/>
  <c r="C30" i="694" s="1"/>
  <c r="C22" i="694"/>
  <c r="D181" i="694" s="1"/>
  <c r="D237" i="694" s="1"/>
  <c r="C25" i="694"/>
  <c r="C87" i="694" s="1"/>
  <c r="C53" i="694"/>
  <c r="C106" i="694" s="1"/>
  <c r="C102" i="694"/>
  <c r="C114" i="694"/>
  <c r="C101" i="694"/>
  <c r="C113" i="694"/>
  <c r="C96" i="694"/>
  <c r="C112" i="694"/>
  <c r="D96" i="694"/>
  <c r="D109" i="694"/>
  <c r="D83" i="694"/>
  <c r="M15" i="694"/>
  <c r="M16" i="694"/>
  <c r="M17" i="694"/>
  <c r="M20" i="694"/>
  <c r="M21" i="694"/>
  <c r="M24" i="694"/>
  <c r="M26" i="694"/>
  <c r="M28" i="694"/>
  <c r="M34" i="694"/>
  <c r="M35" i="694"/>
  <c r="M38" i="694"/>
  <c r="M39" i="694"/>
  <c r="M40" i="694"/>
  <c r="M42" i="694"/>
  <c r="M43" i="694"/>
  <c r="M44" i="694"/>
  <c r="M45" i="694"/>
  <c r="M47" i="694"/>
  <c r="M48" i="694"/>
  <c r="M49" i="694"/>
  <c r="M50" i="694"/>
  <c r="M54" i="694"/>
  <c r="M55" i="694"/>
  <c r="M56" i="694"/>
  <c r="M57" i="694"/>
  <c r="M58" i="694"/>
  <c r="M64" i="694"/>
  <c r="M61" i="694"/>
  <c r="M60" i="694"/>
  <c r="M62" i="694"/>
  <c r="M63" i="694"/>
  <c r="M65" i="694"/>
  <c r="M66" i="694"/>
  <c r="M68" i="694"/>
  <c r="M73" i="694"/>
  <c r="M71" i="694"/>
  <c r="M72" i="694"/>
  <c r="M70" i="694"/>
  <c r="M74" i="694"/>
  <c r="M76" i="694"/>
  <c r="M77" i="694"/>
  <c r="U29" i="695"/>
  <c r="U25" i="695"/>
  <c r="I25" i="695"/>
  <c r="I29" i="695"/>
  <c r="H25" i="695"/>
  <c r="H29" i="695"/>
  <c r="D92" i="2"/>
  <c r="D137" i="2"/>
  <c r="D215" i="2" s="1"/>
  <c r="D176" i="2"/>
  <c r="W15" i="694"/>
  <c r="W16" i="694"/>
  <c r="W17" i="694"/>
  <c r="W20" i="694"/>
  <c r="W21" i="694"/>
  <c r="W24" i="694"/>
  <c r="W26" i="694"/>
  <c r="W28" i="694"/>
  <c r="W34" i="694"/>
  <c r="W35" i="694"/>
  <c r="W38" i="694"/>
  <c r="W40" i="694"/>
  <c r="W39" i="694"/>
  <c r="W42" i="694"/>
  <c r="W43" i="694"/>
  <c r="W45" i="694"/>
  <c r="W44" i="694"/>
  <c r="W47" i="694"/>
  <c r="W48" i="694"/>
  <c r="W49" i="694"/>
  <c r="W50" i="694"/>
  <c r="W54" i="694"/>
  <c r="W55" i="694"/>
  <c r="W56" i="694"/>
  <c r="W57" i="694"/>
  <c r="W62" i="694"/>
  <c r="W58" i="694"/>
  <c r="W63" i="694"/>
  <c r="W64" i="694"/>
  <c r="W61" i="694"/>
  <c r="W60" i="694"/>
  <c r="W65" i="694"/>
  <c r="W66" i="694"/>
  <c r="W71" i="694"/>
  <c r="W74" i="694"/>
  <c r="W73" i="694"/>
  <c r="W72" i="694"/>
  <c r="W68" i="694"/>
  <c r="W70" i="694"/>
  <c r="W76" i="694"/>
  <c r="W77" i="694"/>
  <c r="P18" i="694"/>
  <c r="P22" i="694"/>
  <c r="P25" i="694"/>
  <c r="P30" i="694"/>
  <c r="P29" i="694"/>
  <c r="P33" i="694"/>
  <c r="P53" i="694"/>
  <c r="P82" i="694"/>
  <c r="P92" i="694"/>
  <c r="P106" i="694"/>
  <c r="P88" i="694"/>
  <c r="P101" i="694"/>
  <c r="P113" i="694"/>
  <c r="P84" i="694"/>
  <c r="P96" i="694"/>
  <c r="P108" i="694"/>
  <c r="P119" i="694"/>
  <c r="P121" i="694"/>
  <c r="P124" i="694"/>
  <c r="P127" i="694"/>
  <c r="P129" i="694"/>
  <c r="P132" i="694"/>
  <c r="P136" i="694"/>
  <c r="P138" i="694"/>
  <c r="P142" i="694"/>
  <c r="P145" i="694"/>
  <c r="P147" i="694"/>
  <c r="P150" i="694"/>
  <c r="P152" i="694"/>
  <c r="P155" i="694"/>
  <c r="P157" i="694"/>
  <c r="P159" i="694"/>
  <c r="P162" i="694"/>
  <c r="P164" i="694"/>
  <c r="P167" i="694"/>
  <c r="P169" i="694"/>
  <c r="P175" i="694"/>
  <c r="P231" i="694" s="1"/>
  <c r="P177" i="694"/>
  <c r="P233" i="694" s="1"/>
  <c r="P180" i="694"/>
  <c r="P236" i="694" s="1"/>
  <c r="P183" i="694"/>
  <c r="P239" i="694" s="1"/>
  <c r="P185" i="694"/>
  <c r="P241" i="694" s="1"/>
  <c r="P188" i="694"/>
  <c r="P244" i="694" s="1"/>
  <c r="P192" i="694"/>
  <c r="P248" i="694" s="1"/>
  <c r="P194" i="694"/>
  <c r="P250" i="694" s="1"/>
  <c r="P198" i="694"/>
  <c r="P254" i="694" s="1"/>
  <c r="P201" i="694"/>
  <c r="P257" i="694" s="1"/>
  <c r="P203" i="694"/>
  <c r="P259" i="694" s="1"/>
  <c r="P206" i="694"/>
  <c r="P262" i="694" s="1"/>
  <c r="P208" i="694"/>
  <c r="P264" i="694" s="1"/>
  <c r="P211" i="694"/>
  <c r="P267" i="694" s="1"/>
  <c r="P213" i="694"/>
  <c r="P269" i="694" s="1"/>
  <c r="P215" i="694"/>
  <c r="P271" i="694" s="1"/>
  <c r="P218" i="694"/>
  <c r="P274" i="694" s="1"/>
  <c r="P220" i="694"/>
  <c r="P276" i="694" s="1"/>
  <c r="P223" i="694"/>
  <c r="P279" i="694" s="1"/>
  <c r="P225" i="694"/>
  <c r="P281" i="694" s="1"/>
  <c r="P91" i="694"/>
  <c r="P105" i="694"/>
  <c r="P87" i="694"/>
  <c r="P100" i="694"/>
  <c r="P112" i="694"/>
  <c r="P83" i="694"/>
  <c r="P95" i="694"/>
  <c r="P107" i="694"/>
  <c r="P90" i="694"/>
  <c r="P102" i="694"/>
  <c r="P114" i="694"/>
  <c r="P120" i="694"/>
  <c r="P123" i="694"/>
  <c r="P125" i="694"/>
  <c r="P128" i="694"/>
  <c r="P131" i="694"/>
  <c r="P133" i="694"/>
  <c r="P137" i="694"/>
  <c r="P141" i="694"/>
  <c r="P143" i="694"/>
  <c r="P146" i="694"/>
  <c r="P148" i="694"/>
  <c r="P151" i="694"/>
  <c r="P154" i="694"/>
  <c r="P156" i="694"/>
  <c r="P158" i="694"/>
  <c r="P161" i="694"/>
  <c r="P163" i="694"/>
  <c r="P166" i="694"/>
  <c r="P168" i="694"/>
  <c r="P170" i="694"/>
  <c r="P176" i="694"/>
  <c r="P232" i="694" s="1"/>
  <c r="P179" i="694"/>
  <c r="P235" i="694" s="1"/>
  <c r="P181" i="694"/>
  <c r="P237" i="694" s="1"/>
  <c r="P184" i="694"/>
  <c r="P240" i="694" s="1"/>
  <c r="P187" i="694"/>
  <c r="P243" i="694" s="1"/>
  <c r="P189" i="694"/>
  <c r="P245" i="694" s="1"/>
  <c r="P193" i="694"/>
  <c r="P249" i="694" s="1"/>
  <c r="P197" i="694"/>
  <c r="P253" i="694" s="1"/>
  <c r="P199" i="694"/>
  <c r="P255" i="694" s="1"/>
  <c r="P202" i="694"/>
  <c r="P258" i="694" s="1"/>
  <c r="P204" i="694"/>
  <c r="P260" i="694" s="1"/>
  <c r="P207" i="694"/>
  <c r="P263" i="694" s="1"/>
  <c r="P210" i="694"/>
  <c r="P266" i="694" s="1"/>
  <c r="P212" i="694"/>
  <c r="P268" i="694" s="1"/>
  <c r="P214" i="694"/>
  <c r="P270" i="694" s="1"/>
  <c r="P217" i="694"/>
  <c r="P273" i="694" s="1"/>
  <c r="P219" i="694"/>
  <c r="P275" i="694" s="1"/>
  <c r="P222" i="694"/>
  <c r="P278" i="694" s="1"/>
  <c r="P224" i="694"/>
  <c r="P280" i="694" s="1"/>
  <c r="P226" i="694"/>
  <c r="P282" i="694" s="1"/>
  <c r="P86" i="694"/>
  <c r="P97" i="694"/>
  <c r="P109" i="694"/>
  <c r="P15" i="2"/>
  <c r="P16" i="2"/>
  <c r="P17" i="2"/>
  <c r="P19" i="2"/>
  <c r="P20" i="2"/>
  <c r="P21" i="2"/>
  <c r="P22" i="2"/>
  <c r="P23" i="2"/>
  <c r="P25" i="2"/>
  <c r="P26" i="2"/>
  <c r="P28" i="2"/>
  <c r="P27" i="2"/>
  <c r="P31" i="2"/>
  <c r="P32" i="2"/>
  <c r="P33" i="2"/>
  <c r="P35" i="2"/>
  <c r="P36" i="2"/>
  <c r="P38" i="2"/>
  <c r="P39" i="2"/>
  <c r="P40" i="2"/>
  <c r="P44" i="2"/>
  <c r="P45" i="2"/>
  <c r="P48" i="2" s="1"/>
  <c r="P46" i="2"/>
  <c r="P47" i="2"/>
  <c r="P51" i="2"/>
  <c r="P52" i="2"/>
  <c r="P53" i="2"/>
  <c r="P54" i="2"/>
  <c r="P57" i="2"/>
  <c r="P58" i="2"/>
  <c r="P59" i="2"/>
  <c r="P60" i="2"/>
  <c r="P63" i="2"/>
  <c r="P64" i="2"/>
  <c r="P65" i="2"/>
  <c r="P66" i="2"/>
  <c r="F8" i="694"/>
  <c r="M15" i="2"/>
  <c r="M16" i="2"/>
  <c r="M17" i="2"/>
  <c r="M19" i="2"/>
  <c r="M20" i="2"/>
  <c r="M21" i="2"/>
  <c r="M23" i="2"/>
  <c r="M22" i="2"/>
  <c r="M25" i="2"/>
  <c r="M26" i="2"/>
  <c r="M27" i="2"/>
  <c r="M28" i="2"/>
  <c r="M31" i="2"/>
  <c r="M32" i="2"/>
  <c r="M33" i="2"/>
  <c r="M35" i="2"/>
  <c r="M36" i="2"/>
  <c r="M38" i="2"/>
  <c r="M39" i="2"/>
  <c r="M40" i="2"/>
  <c r="M44" i="2"/>
  <c r="M45" i="2"/>
  <c r="M46" i="2"/>
  <c r="M47" i="2"/>
  <c r="M51" i="2"/>
  <c r="M52" i="2"/>
  <c r="M53" i="2"/>
  <c r="M54" i="2"/>
  <c r="M57" i="2"/>
  <c r="M58" i="2"/>
  <c r="M59" i="2"/>
  <c r="M60" i="2"/>
  <c r="M63" i="2"/>
  <c r="M64" i="2"/>
  <c r="M65" i="2"/>
  <c r="M66" i="2"/>
  <c r="C45" i="694"/>
  <c r="D204" i="694" s="1"/>
  <c r="D260" i="694" s="1"/>
  <c r="C48" i="694"/>
  <c r="D151" i="694" s="1"/>
  <c r="C63" i="694"/>
  <c r="D164" i="694" s="1"/>
  <c r="C64" i="694"/>
  <c r="D177" i="694"/>
  <c r="D233" i="694" s="1"/>
  <c r="D84" i="694"/>
  <c r="D97" i="694"/>
  <c r="M18" i="694"/>
  <c r="M22" i="694"/>
  <c r="M25" i="694"/>
  <c r="M29" i="694"/>
  <c r="M33" i="694"/>
  <c r="M30" i="694"/>
  <c r="M53" i="694"/>
  <c r="M91" i="694"/>
  <c r="M105" i="694"/>
  <c r="M87" i="694"/>
  <c r="M100" i="694"/>
  <c r="M112" i="694"/>
  <c r="M83" i="694"/>
  <c r="M95" i="694"/>
  <c r="M107" i="694"/>
  <c r="M90" i="694"/>
  <c r="M102" i="694"/>
  <c r="M114" i="694"/>
  <c r="M120" i="694"/>
  <c r="M123" i="694"/>
  <c r="M125" i="694"/>
  <c r="M128" i="694"/>
  <c r="M131" i="694"/>
  <c r="M133" i="694"/>
  <c r="M137" i="694"/>
  <c r="M141" i="694"/>
  <c r="M143" i="694"/>
  <c r="M146" i="694"/>
  <c r="M148" i="694"/>
  <c r="M151" i="694"/>
  <c r="M154" i="694"/>
  <c r="M156" i="694"/>
  <c r="M158" i="694"/>
  <c r="M161" i="694"/>
  <c r="M163" i="694"/>
  <c r="M166" i="694"/>
  <c r="M168" i="694"/>
  <c r="M170" i="694"/>
  <c r="M176" i="694"/>
  <c r="M232" i="694" s="1"/>
  <c r="M179" i="694"/>
  <c r="M235" i="694" s="1"/>
  <c r="M181" i="694"/>
  <c r="M237" i="694" s="1"/>
  <c r="M184" i="694"/>
  <c r="M240" i="694" s="1"/>
  <c r="M187" i="694"/>
  <c r="M243" i="694" s="1"/>
  <c r="M189" i="694"/>
  <c r="M245" i="694" s="1"/>
  <c r="M193" i="694"/>
  <c r="M249" i="694" s="1"/>
  <c r="M197" i="694"/>
  <c r="M253" i="694" s="1"/>
  <c r="M199" i="694"/>
  <c r="M255" i="694" s="1"/>
  <c r="M202" i="694"/>
  <c r="M258" i="694" s="1"/>
  <c r="M204" i="694"/>
  <c r="M260" i="694" s="1"/>
  <c r="M207" i="694"/>
  <c r="M263" i="694" s="1"/>
  <c r="M210" i="694"/>
  <c r="M266" i="694" s="1"/>
  <c r="M212" i="694"/>
  <c r="M268" i="694" s="1"/>
  <c r="M214" i="694"/>
  <c r="M270" i="694" s="1"/>
  <c r="M217" i="694"/>
  <c r="M273" i="694" s="1"/>
  <c r="M219" i="694"/>
  <c r="M275" i="694" s="1"/>
  <c r="M222" i="694"/>
  <c r="M278" i="694" s="1"/>
  <c r="M224" i="694"/>
  <c r="M280" i="694" s="1"/>
  <c r="M226" i="694"/>
  <c r="M282" i="694" s="1"/>
  <c r="M86" i="694"/>
  <c r="M97" i="694"/>
  <c r="M109" i="694"/>
  <c r="M82" i="694"/>
  <c r="M92" i="694"/>
  <c r="M106" i="694"/>
  <c r="M88" i="694"/>
  <c r="M101" i="694"/>
  <c r="M113" i="694"/>
  <c r="M84" i="694"/>
  <c r="M96" i="694"/>
  <c r="M108" i="694"/>
  <c r="M119" i="694"/>
  <c r="M121" i="694"/>
  <c r="M124" i="694"/>
  <c r="M127" i="694"/>
  <c r="M129" i="694"/>
  <c r="M132" i="694"/>
  <c r="M136" i="694"/>
  <c r="M138" i="694"/>
  <c r="M142" i="694"/>
  <c r="M145" i="694"/>
  <c r="M147" i="694"/>
  <c r="M150" i="694"/>
  <c r="M152" i="694"/>
  <c r="M155" i="694"/>
  <c r="M157" i="694"/>
  <c r="M159" i="694"/>
  <c r="M162" i="694"/>
  <c r="M164" i="694"/>
  <c r="M167" i="694"/>
  <c r="M169" i="694"/>
  <c r="M175" i="694"/>
  <c r="M231" i="694" s="1"/>
  <c r="M177" i="694"/>
  <c r="M233" i="694" s="1"/>
  <c r="M180" i="694"/>
  <c r="M236" i="694" s="1"/>
  <c r="M183" i="694"/>
  <c r="M239" i="694" s="1"/>
  <c r="M185" i="694"/>
  <c r="M241" i="694" s="1"/>
  <c r="M188" i="694"/>
  <c r="M244" i="694" s="1"/>
  <c r="M192" i="694"/>
  <c r="M248" i="694" s="1"/>
  <c r="M194" i="694"/>
  <c r="M250" i="694" s="1"/>
  <c r="M198" i="694"/>
  <c r="M254" i="694" s="1"/>
  <c r="M201" i="694"/>
  <c r="M257" i="694" s="1"/>
  <c r="M203" i="694"/>
  <c r="M259" i="694" s="1"/>
  <c r="M206" i="694"/>
  <c r="M262" i="694" s="1"/>
  <c r="M208" i="694"/>
  <c r="M264" i="694" s="1"/>
  <c r="M211" i="694"/>
  <c r="M267" i="694" s="1"/>
  <c r="M213" i="694"/>
  <c r="M269" i="694" s="1"/>
  <c r="M215" i="694"/>
  <c r="M271" i="694" s="1"/>
  <c r="M218" i="694"/>
  <c r="M274" i="694" s="1"/>
  <c r="M220" i="694"/>
  <c r="M276" i="694" s="1"/>
  <c r="M223" i="694"/>
  <c r="M279" i="694" s="1"/>
  <c r="M225" i="694"/>
  <c r="M281" i="694" s="1"/>
  <c r="Z25" i="83"/>
  <c r="Z30" i="83"/>
  <c r="Y25" i="83"/>
  <c r="Y30" i="83"/>
  <c r="X25" i="83"/>
  <c r="X30" i="83"/>
  <c r="R25" i="83"/>
  <c r="R30" i="83"/>
  <c r="Q25" i="83"/>
  <c r="Q30" i="83"/>
  <c r="O25" i="83"/>
  <c r="O30" i="83"/>
  <c r="N25" i="83"/>
  <c r="N30" i="83"/>
  <c r="M25" i="83"/>
  <c r="M30" i="83"/>
  <c r="J25" i="83"/>
  <c r="J30" i="83"/>
  <c r="I25" i="83"/>
  <c r="I30" i="83"/>
  <c r="H25" i="83"/>
  <c r="H30" i="83"/>
  <c r="W25" i="695"/>
  <c r="W29" i="695"/>
  <c r="V25" i="695"/>
  <c r="V29" i="695"/>
  <c r="T25" i="695"/>
  <c r="T29" i="695"/>
  <c r="N15" i="694"/>
  <c r="N16" i="694"/>
  <c r="N17" i="694"/>
  <c r="N20" i="694"/>
  <c r="N21" i="694"/>
  <c r="N24" i="694"/>
  <c r="N26" i="694"/>
  <c r="N28" i="694"/>
  <c r="N34" i="694"/>
  <c r="N35" i="694"/>
  <c r="N38" i="694"/>
  <c r="N39" i="694"/>
  <c r="N40" i="694"/>
  <c r="N42" i="694"/>
  <c r="N43" i="694"/>
  <c r="N44" i="694"/>
  <c r="N45" i="694"/>
  <c r="N47" i="694"/>
  <c r="N48" i="694"/>
  <c r="N49" i="694"/>
  <c r="N50" i="694"/>
  <c r="N54" i="694"/>
  <c r="N55" i="694"/>
  <c r="N56" i="694"/>
  <c r="N57" i="694"/>
  <c r="N62" i="694"/>
  <c r="N58" i="694"/>
  <c r="N64" i="694"/>
  <c r="N61" i="694"/>
  <c r="N63" i="694"/>
  <c r="N60" i="694"/>
  <c r="N65" i="694"/>
  <c r="N66" i="694"/>
  <c r="N74" i="694"/>
  <c r="N68" i="694"/>
  <c r="N73" i="694"/>
  <c r="N70" i="694"/>
  <c r="N72" i="694"/>
  <c r="N71" i="694"/>
  <c r="N76" i="694"/>
  <c r="N77" i="694"/>
  <c r="T18" i="83"/>
  <c r="T28" i="83" s="1"/>
  <c r="T20" i="83"/>
  <c r="T24" i="83" s="1"/>
  <c r="T26" i="83" s="1"/>
  <c r="T19" i="83"/>
  <c r="T27" i="83" s="1"/>
  <c r="T21" i="83"/>
  <c r="T23" i="83" s="1"/>
  <c r="T22" i="83"/>
  <c r="T29" i="83"/>
  <c r="T34" i="83"/>
  <c r="T35" i="83"/>
  <c r="P15" i="694"/>
  <c r="P16" i="694"/>
  <c r="P17" i="694"/>
  <c r="P20" i="694"/>
  <c r="P21" i="694"/>
  <c r="P24" i="694"/>
  <c r="P26" i="694"/>
  <c r="P28" i="694"/>
  <c r="P34" i="694"/>
  <c r="P35" i="694"/>
  <c r="P38" i="694"/>
  <c r="P39" i="694"/>
  <c r="P40" i="694"/>
  <c r="P42" i="694"/>
  <c r="P43" i="694"/>
  <c r="P45" i="694"/>
  <c r="P44" i="694"/>
  <c r="P47" i="694"/>
  <c r="P48" i="694"/>
  <c r="P49" i="694"/>
  <c r="P50" i="694"/>
  <c r="P54" i="694"/>
  <c r="P55" i="694"/>
  <c r="P56" i="694"/>
  <c r="P57" i="694"/>
  <c r="P60" i="694"/>
  <c r="P62" i="694"/>
  <c r="P58" i="694"/>
  <c r="P64" i="694"/>
  <c r="P61" i="694"/>
  <c r="P63" i="694"/>
  <c r="P66" i="694"/>
  <c r="P65" i="694"/>
  <c r="P71" i="694"/>
  <c r="P68" i="694"/>
  <c r="P74" i="694"/>
  <c r="P72" i="694"/>
  <c r="P73" i="694"/>
  <c r="P70" i="694"/>
  <c r="P76" i="694"/>
  <c r="P77" i="694"/>
  <c r="Q18" i="694"/>
  <c r="Q22" i="694"/>
  <c r="Q25" i="694"/>
  <c r="Q30" i="694"/>
  <c r="Q29" i="694"/>
  <c r="Q33" i="694"/>
  <c r="Q53" i="694"/>
  <c r="Q86" i="694"/>
  <c r="Q97" i="694"/>
  <c r="Q109" i="694"/>
  <c r="Q82" i="694"/>
  <c r="Q92" i="694"/>
  <c r="Q106" i="694"/>
  <c r="Q88" i="694"/>
  <c r="Q101" i="694"/>
  <c r="Q113" i="694"/>
  <c r="Q84" i="694"/>
  <c r="Q96" i="694"/>
  <c r="Q108" i="694"/>
  <c r="Q119" i="694"/>
  <c r="Q121" i="694"/>
  <c r="Q124" i="694"/>
  <c r="Q127" i="694"/>
  <c r="Q129" i="694"/>
  <c r="Q132" i="694"/>
  <c r="Q136" i="694"/>
  <c r="Q138" i="694"/>
  <c r="Q142" i="694"/>
  <c r="Q145" i="694"/>
  <c r="Q147" i="694"/>
  <c r="Q150" i="694"/>
  <c r="Q152" i="694"/>
  <c r="Q155" i="694"/>
  <c r="Q157" i="694"/>
  <c r="Q159" i="694"/>
  <c r="Q162" i="694"/>
  <c r="Q164" i="694"/>
  <c r="Q167" i="694"/>
  <c r="Q169" i="694"/>
  <c r="Q175" i="694"/>
  <c r="Q231" i="694" s="1"/>
  <c r="Q177" i="694"/>
  <c r="Q233" i="694" s="1"/>
  <c r="Q180" i="694"/>
  <c r="Q236" i="694" s="1"/>
  <c r="Q183" i="694"/>
  <c r="Q239" i="694" s="1"/>
  <c r="Q185" i="694"/>
  <c r="Q241" i="694" s="1"/>
  <c r="Q188" i="694"/>
  <c r="Q244" i="694" s="1"/>
  <c r="Q192" i="694"/>
  <c r="Q248" i="694" s="1"/>
  <c r="Q194" i="694"/>
  <c r="Q250" i="694" s="1"/>
  <c r="Q198" i="694"/>
  <c r="Q254" i="694" s="1"/>
  <c r="Q201" i="694"/>
  <c r="Q257" i="694" s="1"/>
  <c r="Q203" i="694"/>
  <c r="Q259" i="694" s="1"/>
  <c r="Q206" i="694"/>
  <c r="Q262" i="694" s="1"/>
  <c r="Q208" i="694"/>
  <c r="Q264" i="694" s="1"/>
  <c r="Q211" i="694"/>
  <c r="Q267" i="694" s="1"/>
  <c r="Q213" i="694"/>
  <c r="Q269" i="694" s="1"/>
  <c r="Q215" i="694"/>
  <c r="Q271" i="694" s="1"/>
  <c r="Q218" i="694"/>
  <c r="Q274" i="694" s="1"/>
  <c r="Q220" i="694"/>
  <c r="Q276" i="694" s="1"/>
  <c r="Q223" i="694"/>
  <c r="Q279" i="694" s="1"/>
  <c r="Q225" i="694"/>
  <c r="Q281" i="694" s="1"/>
  <c r="Q91" i="694"/>
  <c r="Q105" i="694"/>
  <c r="Q87" i="694"/>
  <c r="Q100" i="694"/>
  <c r="Q112" i="694"/>
  <c r="Q83" i="694"/>
  <c r="Q95" i="694"/>
  <c r="Q107" i="694"/>
  <c r="Q90" i="694"/>
  <c r="Q102" i="694"/>
  <c r="Q114" i="694"/>
  <c r="Q120" i="694"/>
  <c r="Q123" i="694"/>
  <c r="Q125" i="694"/>
  <c r="Q128" i="694"/>
  <c r="Q131" i="694"/>
  <c r="Q133" i="694"/>
  <c r="Q137" i="694"/>
  <c r="Q141" i="694"/>
  <c r="Q143" i="694"/>
  <c r="Q146" i="694"/>
  <c r="Q148" i="694"/>
  <c r="Q151" i="694"/>
  <c r="Q154" i="694"/>
  <c r="Q156" i="694"/>
  <c r="Q158" i="694"/>
  <c r="Q161" i="694"/>
  <c r="Q163" i="694"/>
  <c r="Q166" i="694"/>
  <c r="Q168" i="694"/>
  <c r="Q170" i="694"/>
  <c r="Q176" i="694"/>
  <c r="Q232" i="694" s="1"/>
  <c r="Q179" i="694"/>
  <c r="Q235" i="694" s="1"/>
  <c r="Q181" i="694"/>
  <c r="Q237" i="694" s="1"/>
  <c r="Q184" i="694"/>
  <c r="Q240" i="694" s="1"/>
  <c r="Q187" i="694"/>
  <c r="Q243" i="694" s="1"/>
  <c r="Q189" i="694"/>
  <c r="Q245" i="694" s="1"/>
  <c r="Q193" i="694"/>
  <c r="Q249" i="694" s="1"/>
  <c r="Q197" i="694"/>
  <c r="Q253" i="694" s="1"/>
  <c r="Q199" i="694"/>
  <c r="Q255" i="694" s="1"/>
  <c r="Q202" i="694"/>
  <c r="Q258" i="694" s="1"/>
  <c r="Q204" i="694"/>
  <c r="Q260" i="694" s="1"/>
  <c r="Q207" i="694"/>
  <c r="Q263" i="694" s="1"/>
  <c r="Q210" i="694"/>
  <c r="Q266" i="694" s="1"/>
  <c r="Q212" i="694"/>
  <c r="Q268" i="694" s="1"/>
  <c r="Q214" i="694"/>
  <c r="Q270" i="694" s="1"/>
  <c r="Q217" i="694"/>
  <c r="Q273" i="694" s="1"/>
  <c r="Q219" i="694"/>
  <c r="Q275" i="694" s="1"/>
  <c r="Q222" i="694"/>
  <c r="Q278" i="694" s="1"/>
  <c r="Q224" i="694"/>
  <c r="Q280" i="694" s="1"/>
  <c r="Q226" i="694"/>
  <c r="Q282" i="694" s="1"/>
  <c r="D81" i="2"/>
  <c r="E9" i="694"/>
  <c r="N15" i="2"/>
  <c r="N16" i="2"/>
  <c r="N17" i="2"/>
  <c r="N19" i="2"/>
  <c r="N20" i="2"/>
  <c r="N21" i="2"/>
  <c r="N22" i="2"/>
  <c r="N23" i="2"/>
  <c r="N25" i="2"/>
  <c r="N26" i="2"/>
  <c r="N27" i="2"/>
  <c r="N28" i="2"/>
  <c r="N31" i="2"/>
  <c r="N32" i="2"/>
  <c r="N33" i="2"/>
  <c r="N35" i="2"/>
  <c r="N36" i="2"/>
  <c r="N38" i="2"/>
  <c r="N39" i="2"/>
  <c r="N40" i="2"/>
  <c r="N44" i="2"/>
  <c r="N45" i="2"/>
  <c r="N46" i="2"/>
  <c r="N47" i="2"/>
  <c r="N51" i="2"/>
  <c r="N52" i="2"/>
  <c r="N53" i="2"/>
  <c r="N54" i="2"/>
  <c r="N57" i="2"/>
  <c r="N58" i="2"/>
  <c r="N59" i="2"/>
  <c r="N60" i="2"/>
  <c r="N63" i="2"/>
  <c r="N64" i="2"/>
  <c r="N65" i="2"/>
  <c r="N66" i="2"/>
  <c r="D100" i="694"/>
  <c r="O15" i="2"/>
  <c r="O16" i="2"/>
  <c r="O17" i="2"/>
  <c r="O19" i="2"/>
  <c r="O20" i="2"/>
  <c r="O21" i="2"/>
  <c r="O23" i="2"/>
  <c r="O22" i="2"/>
  <c r="O25" i="2"/>
  <c r="O26" i="2"/>
  <c r="O28" i="2"/>
  <c r="O27" i="2"/>
  <c r="O31" i="2"/>
  <c r="O32" i="2"/>
  <c r="O33" i="2"/>
  <c r="O35" i="2"/>
  <c r="O36" i="2"/>
  <c r="O38" i="2"/>
  <c r="O39" i="2"/>
  <c r="O40" i="2"/>
  <c r="O44" i="2"/>
  <c r="O45" i="2"/>
  <c r="O46" i="2"/>
  <c r="O47" i="2"/>
  <c r="O51" i="2"/>
  <c r="O52" i="2"/>
  <c r="O53" i="2"/>
  <c r="O54" i="2"/>
  <c r="O57" i="2"/>
  <c r="O58" i="2"/>
  <c r="O59" i="2"/>
  <c r="O60" i="2"/>
  <c r="O63" i="2"/>
  <c r="O64" i="2"/>
  <c r="O65" i="2"/>
  <c r="O66" i="2"/>
  <c r="AE3" i="695"/>
  <c r="AF3" i="695"/>
  <c r="AG3" i="695"/>
  <c r="AH3" i="695"/>
  <c r="AI3" i="695"/>
  <c r="AJ3" i="695"/>
  <c r="AK3" i="695"/>
  <c r="AL3" i="695"/>
  <c r="AM3" i="695"/>
  <c r="AN3" i="695"/>
  <c r="AO3" i="695"/>
  <c r="AP3" i="695"/>
  <c r="AQ3" i="695"/>
  <c r="AR3" i="695"/>
  <c r="AS3" i="695"/>
  <c r="AT3" i="695"/>
  <c r="AU3" i="695"/>
  <c r="AV3" i="695"/>
  <c r="AW3" i="695"/>
  <c r="AX3" i="695"/>
  <c r="AA25" i="83"/>
  <c r="AA30" i="83"/>
  <c r="S25" i="83"/>
  <c r="S30" i="83"/>
  <c r="AA25" i="695"/>
  <c r="AA29" i="695"/>
  <c r="X25" i="695"/>
  <c r="X29" i="695"/>
  <c r="Q25" i="695"/>
  <c r="Q29" i="695"/>
  <c r="P25" i="695"/>
  <c r="P29" i="695"/>
  <c r="O25" i="695"/>
  <c r="O29" i="695"/>
  <c r="N25" i="695"/>
  <c r="N29" i="695"/>
  <c r="G20" i="695"/>
  <c r="G23" i="695" s="1"/>
  <c r="G18" i="695"/>
  <c r="G19" i="695"/>
  <c r="G27" i="695" s="1"/>
  <c r="G21" i="695"/>
  <c r="G24" i="695" s="1"/>
  <c r="G22" i="695"/>
  <c r="G33" i="695"/>
  <c r="G28" i="695"/>
  <c r="G34" i="695"/>
  <c r="D78" i="2"/>
  <c r="S15" i="694"/>
  <c r="S16" i="694"/>
  <c r="S17" i="694"/>
  <c r="S20" i="694"/>
  <c r="S21" i="694"/>
  <c r="S24" i="694"/>
  <c r="S26" i="694"/>
  <c r="S28" i="694"/>
  <c r="S35" i="694"/>
  <c r="S34" i="694"/>
  <c r="S38" i="694"/>
  <c r="S40" i="694"/>
  <c r="S39" i="694"/>
  <c r="S42" i="694"/>
  <c r="S43" i="694"/>
  <c r="S45" i="694"/>
  <c r="S44" i="694"/>
  <c r="S47" i="694"/>
  <c r="S49" i="694"/>
  <c r="S48" i="694"/>
  <c r="S50" i="694"/>
  <c r="S54" i="694"/>
  <c r="S55" i="694"/>
  <c r="S56" i="694"/>
  <c r="S57" i="694"/>
  <c r="S61" i="694"/>
  <c r="S63" i="694"/>
  <c r="S62" i="694"/>
  <c r="S60" i="694"/>
  <c r="S58" i="694"/>
  <c r="S64" i="694"/>
  <c r="S66" i="694"/>
  <c r="S65" i="694"/>
  <c r="S70" i="694"/>
  <c r="S68" i="694"/>
  <c r="S73" i="694"/>
  <c r="S71" i="694"/>
  <c r="S72" i="694"/>
  <c r="S74" i="694"/>
  <c r="S76" i="694"/>
  <c r="S77" i="694"/>
  <c r="D87" i="694"/>
  <c r="T15" i="694"/>
  <c r="T16" i="694"/>
  <c r="T17" i="694"/>
  <c r="T20" i="694"/>
  <c r="T21" i="694"/>
  <c r="T24" i="694"/>
  <c r="T26" i="694"/>
  <c r="T28" i="694"/>
  <c r="T34" i="694"/>
  <c r="T35" i="694"/>
  <c r="T38" i="694"/>
  <c r="T40" i="694"/>
  <c r="T39" i="694"/>
  <c r="T42" i="694"/>
  <c r="T43" i="694"/>
  <c r="T45" i="694"/>
  <c r="T44" i="694"/>
  <c r="T47" i="694"/>
  <c r="T48" i="694"/>
  <c r="T49" i="694"/>
  <c r="T50" i="694"/>
  <c r="T54" i="694"/>
  <c r="T55" i="694"/>
  <c r="T56" i="694"/>
  <c r="T57" i="694"/>
  <c r="T64" i="694"/>
  <c r="T61" i="694"/>
  <c r="T63" i="694"/>
  <c r="T60" i="694"/>
  <c r="T62" i="694"/>
  <c r="T58" i="694"/>
  <c r="T65" i="694"/>
  <c r="T66" i="694"/>
  <c r="T72" i="694"/>
  <c r="T73" i="694"/>
  <c r="T68" i="694"/>
  <c r="T70" i="694"/>
  <c r="T71" i="694"/>
  <c r="T74" i="694"/>
  <c r="T76" i="694"/>
  <c r="T77" i="694"/>
  <c r="Q15" i="2"/>
  <c r="Q16" i="2"/>
  <c r="Q17" i="2"/>
  <c r="Q19" i="2"/>
  <c r="Q20" i="2"/>
  <c r="Q21" i="2"/>
  <c r="Q23" i="2"/>
  <c r="Q22" i="2"/>
  <c r="Q25" i="2"/>
  <c r="Q26" i="2"/>
  <c r="Q28" i="2"/>
  <c r="Q27" i="2"/>
  <c r="Q31" i="2"/>
  <c r="Q32" i="2"/>
  <c r="Q33" i="2"/>
  <c r="Q35" i="2"/>
  <c r="Q36" i="2"/>
  <c r="Q38" i="2"/>
  <c r="Q39" i="2"/>
  <c r="Q40" i="2"/>
  <c r="Q44" i="2"/>
  <c r="Q45" i="2"/>
  <c r="Q46" i="2"/>
  <c r="Q47" i="2"/>
  <c r="Q51" i="2"/>
  <c r="Q52" i="2"/>
  <c r="Q53" i="2"/>
  <c r="Q54" i="2"/>
  <c r="Q57" i="2"/>
  <c r="Q58" i="2"/>
  <c r="Q59" i="2"/>
  <c r="Q60" i="2"/>
  <c r="Q63" i="2"/>
  <c r="Q64" i="2"/>
  <c r="Q65" i="2"/>
  <c r="Q66" i="2"/>
  <c r="U25" i="83"/>
  <c r="U30" i="83"/>
  <c r="V25" i="83"/>
  <c r="V30" i="83"/>
  <c r="W25" i="83"/>
  <c r="W30" i="83"/>
  <c r="AD25" i="83"/>
  <c r="AD30" i="83"/>
  <c r="AB25" i="83"/>
  <c r="AB30" i="83"/>
  <c r="P25" i="83"/>
  <c r="P30" i="83"/>
  <c r="L25" i="83"/>
  <c r="L30" i="83"/>
  <c r="R21" i="695"/>
  <c r="R24" i="695" s="1"/>
  <c r="R26" i="695" s="1"/>
  <c r="R19" i="695"/>
  <c r="R27" i="695" s="1"/>
  <c r="R18" i="695"/>
  <c r="R20" i="695"/>
  <c r="R23" i="695" s="1"/>
  <c r="R22" i="695"/>
  <c r="R33" i="695"/>
  <c r="R28" i="695"/>
  <c r="R34" i="695"/>
  <c r="X8" i="27"/>
  <c r="AC25" i="83"/>
  <c r="AC30" i="83"/>
  <c r="K25" i="695"/>
  <c r="K29" i="695"/>
  <c r="D89" i="2"/>
  <c r="D134" i="2"/>
  <c r="D212" i="2" s="1"/>
  <c r="D173" i="2"/>
  <c r="Q15" i="694"/>
  <c r="Q16" i="694"/>
  <c r="Q17" i="694"/>
  <c r="Q20" i="694"/>
  <c r="Q21" i="694"/>
  <c r="Q24" i="694"/>
  <c r="Q26" i="694"/>
  <c r="Q28" i="694"/>
  <c r="Q34" i="694"/>
  <c r="Q35" i="694"/>
  <c r="Q38" i="694"/>
  <c r="Q39" i="694"/>
  <c r="Q40" i="694"/>
  <c r="Q42" i="694"/>
  <c r="Q43" i="694"/>
  <c r="Q45" i="694"/>
  <c r="Q44" i="694"/>
  <c r="Q47" i="694"/>
  <c r="Q49" i="694"/>
  <c r="Q48" i="694"/>
  <c r="Q50" i="694"/>
  <c r="Q54" i="694"/>
  <c r="Q55" i="694"/>
  <c r="Q56" i="694"/>
  <c r="Q57" i="694"/>
  <c r="Q63" i="694"/>
  <c r="Q60" i="694"/>
  <c r="Q62" i="694"/>
  <c r="Q64" i="694"/>
  <c r="Q58" i="694"/>
  <c r="Q61" i="694"/>
  <c r="Q66" i="694"/>
  <c r="Q65" i="694"/>
  <c r="Q73" i="694"/>
  <c r="Q72" i="694"/>
  <c r="Q71" i="694"/>
  <c r="Q68" i="694"/>
  <c r="Q70" i="694"/>
  <c r="Q74" i="694"/>
  <c r="Q76" i="694"/>
  <c r="Q77" i="694"/>
  <c r="U15" i="694"/>
  <c r="U16" i="694"/>
  <c r="U17" i="694"/>
  <c r="U20" i="694"/>
  <c r="U21" i="694"/>
  <c r="U24" i="694"/>
  <c r="U26" i="694"/>
  <c r="U28" i="694"/>
  <c r="U34" i="694"/>
  <c r="U35" i="694"/>
  <c r="U38" i="694"/>
  <c r="U39" i="694"/>
  <c r="U40" i="694"/>
  <c r="U42" i="694"/>
  <c r="U43" i="694"/>
  <c r="U44" i="694"/>
  <c r="U45" i="694"/>
  <c r="U47" i="694"/>
  <c r="U48" i="694"/>
  <c r="U49" i="694"/>
  <c r="U50" i="694"/>
  <c r="U54" i="694"/>
  <c r="U55" i="694"/>
  <c r="U56" i="694"/>
  <c r="U57" i="694"/>
  <c r="U58" i="694"/>
  <c r="U64" i="694"/>
  <c r="U61" i="694"/>
  <c r="U63" i="694"/>
  <c r="U60" i="694"/>
  <c r="U62" i="694"/>
  <c r="U65" i="694"/>
  <c r="U66" i="694"/>
  <c r="U68" i="694"/>
  <c r="U72" i="694"/>
  <c r="U70" i="694"/>
  <c r="U73" i="694"/>
  <c r="U71" i="694"/>
  <c r="U74" i="694"/>
  <c r="U76" i="694"/>
  <c r="U77" i="694"/>
  <c r="U15" i="2"/>
  <c r="U16" i="2"/>
  <c r="U17" i="2"/>
  <c r="U19" i="2"/>
  <c r="U20" i="2"/>
  <c r="U21" i="2"/>
  <c r="U22" i="2"/>
  <c r="U23" i="2"/>
  <c r="U25" i="2"/>
  <c r="U26" i="2"/>
  <c r="U27" i="2"/>
  <c r="U28" i="2"/>
  <c r="U31" i="2"/>
  <c r="U32" i="2"/>
  <c r="U33" i="2"/>
  <c r="U35" i="2"/>
  <c r="U36" i="2"/>
  <c r="U38" i="2"/>
  <c r="U39" i="2"/>
  <c r="U40" i="2"/>
  <c r="U44" i="2"/>
  <c r="U45" i="2"/>
  <c r="U48" i="2" s="1"/>
  <c r="U46" i="2"/>
  <c r="U47" i="2"/>
  <c r="U51" i="2"/>
  <c r="U52" i="2"/>
  <c r="U53" i="2"/>
  <c r="U54" i="2"/>
  <c r="U57" i="2"/>
  <c r="U58" i="2"/>
  <c r="U59" i="2"/>
  <c r="U60" i="2"/>
  <c r="U63" i="2"/>
  <c r="U64" i="2"/>
  <c r="U65" i="2"/>
  <c r="U66" i="2"/>
  <c r="S18" i="694"/>
  <c r="S22" i="694"/>
  <c r="S25" i="694"/>
  <c r="S29" i="694"/>
  <c r="S33" i="694"/>
  <c r="S30" i="694"/>
  <c r="S53" i="694"/>
  <c r="S83" i="694"/>
  <c r="S95" i="694"/>
  <c r="S107" i="694"/>
  <c r="S90" i="694"/>
  <c r="S102" i="694"/>
  <c r="S114" i="694"/>
  <c r="S120" i="694"/>
  <c r="S123" i="694"/>
  <c r="S125" i="694"/>
  <c r="S128" i="694"/>
  <c r="S131" i="694"/>
  <c r="S133" i="694"/>
  <c r="S137" i="694"/>
  <c r="S141" i="694"/>
  <c r="S143" i="694"/>
  <c r="S146" i="694"/>
  <c r="S148" i="694"/>
  <c r="S151" i="694"/>
  <c r="S154" i="694"/>
  <c r="S156" i="694"/>
  <c r="S158" i="694"/>
  <c r="S161" i="694"/>
  <c r="S163" i="694"/>
  <c r="S166" i="694"/>
  <c r="S168" i="694"/>
  <c r="S170" i="694"/>
  <c r="S176" i="694"/>
  <c r="S232" i="694" s="1"/>
  <c r="S179" i="694"/>
  <c r="S235" i="694" s="1"/>
  <c r="S181" i="694"/>
  <c r="S237" i="694" s="1"/>
  <c r="S184" i="694"/>
  <c r="S240" i="694" s="1"/>
  <c r="S187" i="694"/>
  <c r="S243" i="694" s="1"/>
  <c r="S189" i="694"/>
  <c r="S245" i="694" s="1"/>
  <c r="S193" i="694"/>
  <c r="S249" i="694" s="1"/>
  <c r="S197" i="694"/>
  <c r="S253" i="694" s="1"/>
  <c r="S199" i="694"/>
  <c r="S255" i="694" s="1"/>
  <c r="S202" i="694"/>
  <c r="S258" i="694" s="1"/>
  <c r="S204" i="694"/>
  <c r="S260" i="694" s="1"/>
  <c r="S207" i="694"/>
  <c r="S263" i="694" s="1"/>
  <c r="S210" i="694"/>
  <c r="S266" i="694" s="1"/>
  <c r="S212" i="694"/>
  <c r="S268" i="694" s="1"/>
  <c r="S214" i="694"/>
  <c r="S270" i="694" s="1"/>
  <c r="S217" i="694"/>
  <c r="S273" i="694" s="1"/>
  <c r="S219" i="694"/>
  <c r="S275" i="694" s="1"/>
  <c r="S222" i="694"/>
  <c r="S278" i="694" s="1"/>
  <c r="S224" i="694"/>
  <c r="S280" i="694" s="1"/>
  <c r="S226" i="694"/>
  <c r="S282" i="694" s="1"/>
  <c r="S86" i="694"/>
  <c r="S97" i="694"/>
  <c r="S109" i="694"/>
  <c r="S82" i="694"/>
  <c r="S92" i="694"/>
  <c r="S106" i="694"/>
  <c r="S88" i="694"/>
  <c r="S101" i="694"/>
  <c r="S113" i="694"/>
  <c r="S84" i="694"/>
  <c r="S96" i="694"/>
  <c r="S108" i="694"/>
  <c r="S119" i="694"/>
  <c r="S121" i="694"/>
  <c r="S124" i="694"/>
  <c r="S127" i="694"/>
  <c r="S129" i="694"/>
  <c r="S132" i="694"/>
  <c r="S136" i="694"/>
  <c r="S138" i="694"/>
  <c r="S142" i="694"/>
  <c r="S145" i="694"/>
  <c r="S147" i="694"/>
  <c r="S150" i="694"/>
  <c r="S152" i="694"/>
  <c r="S155" i="694"/>
  <c r="S157" i="694"/>
  <c r="S159" i="694"/>
  <c r="S162" i="694"/>
  <c r="S164" i="694"/>
  <c r="S167" i="694"/>
  <c r="S169" i="694"/>
  <c r="S175" i="694"/>
  <c r="S231" i="694" s="1"/>
  <c r="S177" i="694"/>
  <c r="S233" i="694" s="1"/>
  <c r="S180" i="694"/>
  <c r="S236" i="694" s="1"/>
  <c r="S183" i="694"/>
  <c r="S239" i="694" s="1"/>
  <c r="S185" i="694"/>
  <c r="S241" i="694" s="1"/>
  <c r="S188" i="694"/>
  <c r="S244" i="694" s="1"/>
  <c r="S192" i="694"/>
  <c r="S248" i="694" s="1"/>
  <c r="S194" i="694"/>
  <c r="S250" i="694" s="1"/>
  <c r="S198" i="694"/>
  <c r="S254" i="694" s="1"/>
  <c r="S201" i="694"/>
  <c r="S257" i="694" s="1"/>
  <c r="S203" i="694"/>
  <c r="S259" i="694" s="1"/>
  <c r="S206" i="694"/>
  <c r="S262" i="694" s="1"/>
  <c r="S208" i="694"/>
  <c r="S264" i="694" s="1"/>
  <c r="S211" i="694"/>
  <c r="S267" i="694" s="1"/>
  <c r="S213" i="694"/>
  <c r="S269" i="694" s="1"/>
  <c r="S215" i="694"/>
  <c r="S271" i="694" s="1"/>
  <c r="S218" i="694"/>
  <c r="S274" i="694" s="1"/>
  <c r="S220" i="694"/>
  <c r="S276" i="694" s="1"/>
  <c r="S223" i="694"/>
  <c r="S279" i="694" s="1"/>
  <c r="S225" i="694"/>
  <c r="S281" i="694" s="1"/>
  <c r="S91" i="694"/>
  <c r="S105" i="694"/>
  <c r="S87" i="694"/>
  <c r="S100" i="694"/>
  <c r="S112" i="694"/>
  <c r="W15" i="2"/>
  <c r="W16" i="2"/>
  <c r="W17" i="2"/>
  <c r="W19" i="2"/>
  <c r="W20" i="2"/>
  <c r="W21" i="2"/>
  <c r="W22" i="2"/>
  <c r="W23" i="2"/>
  <c r="W25" i="2"/>
  <c r="W26" i="2"/>
  <c r="W27" i="2"/>
  <c r="W28" i="2"/>
  <c r="W31" i="2"/>
  <c r="W32" i="2"/>
  <c r="W33" i="2"/>
  <c r="W35" i="2"/>
  <c r="W36" i="2"/>
  <c r="W38" i="2"/>
  <c r="W39" i="2"/>
  <c r="W40" i="2"/>
  <c r="W44" i="2"/>
  <c r="W45" i="2"/>
  <c r="W46" i="2"/>
  <c r="W47" i="2"/>
  <c r="W51" i="2"/>
  <c r="W52" i="2"/>
  <c r="W53" i="2"/>
  <c r="W54" i="2"/>
  <c r="W57" i="2"/>
  <c r="W58" i="2"/>
  <c r="W59" i="2"/>
  <c r="W60" i="2"/>
  <c r="W63" i="2"/>
  <c r="W64" i="2"/>
  <c r="W65" i="2"/>
  <c r="W66" i="2"/>
  <c r="T18" i="694"/>
  <c r="T22" i="694"/>
  <c r="T25" i="694"/>
  <c r="T29" i="694"/>
  <c r="T33" i="694"/>
  <c r="T30" i="694"/>
  <c r="T53" i="694"/>
  <c r="T87" i="694"/>
  <c r="T100" i="694"/>
  <c r="T112" i="694"/>
  <c r="T83" i="694"/>
  <c r="T95" i="694"/>
  <c r="T107" i="694"/>
  <c r="T90" i="694"/>
  <c r="T102" i="694"/>
  <c r="T114" i="694"/>
  <c r="T120" i="694"/>
  <c r="T123" i="694"/>
  <c r="T125" i="694"/>
  <c r="T128" i="694"/>
  <c r="T131" i="694"/>
  <c r="T133" i="694"/>
  <c r="T137" i="694"/>
  <c r="T141" i="694"/>
  <c r="T143" i="694"/>
  <c r="T146" i="694"/>
  <c r="T148" i="694"/>
  <c r="T151" i="694"/>
  <c r="T154" i="694"/>
  <c r="T156" i="694"/>
  <c r="T158" i="694"/>
  <c r="T161" i="694"/>
  <c r="T163" i="694"/>
  <c r="T166" i="694"/>
  <c r="T168" i="694"/>
  <c r="T170" i="694"/>
  <c r="T176" i="694"/>
  <c r="T232" i="694" s="1"/>
  <c r="T179" i="694"/>
  <c r="T235" i="694" s="1"/>
  <c r="T181" i="694"/>
  <c r="T237" i="694" s="1"/>
  <c r="T184" i="694"/>
  <c r="T240" i="694" s="1"/>
  <c r="T187" i="694"/>
  <c r="T243" i="694" s="1"/>
  <c r="T189" i="694"/>
  <c r="T245" i="694" s="1"/>
  <c r="T193" i="694"/>
  <c r="T249" i="694" s="1"/>
  <c r="T197" i="694"/>
  <c r="T253" i="694" s="1"/>
  <c r="T199" i="694"/>
  <c r="T255" i="694" s="1"/>
  <c r="T202" i="694"/>
  <c r="T258" i="694" s="1"/>
  <c r="T204" i="694"/>
  <c r="T260" i="694" s="1"/>
  <c r="T207" i="694"/>
  <c r="T263" i="694" s="1"/>
  <c r="T210" i="694"/>
  <c r="T266" i="694" s="1"/>
  <c r="T212" i="694"/>
  <c r="T268" i="694" s="1"/>
  <c r="T214" i="694"/>
  <c r="T270" i="694" s="1"/>
  <c r="T217" i="694"/>
  <c r="T273" i="694" s="1"/>
  <c r="T219" i="694"/>
  <c r="T275" i="694" s="1"/>
  <c r="T222" i="694"/>
  <c r="T278" i="694" s="1"/>
  <c r="T224" i="694"/>
  <c r="T280" i="694" s="1"/>
  <c r="T226" i="694"/>
  <c r="T282" i="694" s="1"/>
  <c r="T86" i="694"/>
  <c r="T97" i="694"/>
  <c r="T109" i="694"/>
  <c r="T82" i="694"/>
  <c r="T92" i="694"/>
  <c r="T106" i="694"/>
  <c r="T88" i="694"/>
  <c r="T101" i="694"/>
  <c r="T113" i="694"/>
  <c r="T84" i="694"/>
  <c r="T96" i="694"/>
  <c r="T108" i="694"/>
  <c r="T119" i="694"/>
  <c r="T121" i="694"/>
  <c r="T124" i="694"/>
  <c r="T127" i="694"/>
  <c r="T129" i="694"/>
  <c r="T132" i="694"/>
  <c r="T136" i="694"/>
  <c r="T138" i="694"/>
  <c r="T142" i="694"/>
  <c r="T145" i="694"/>
  <c r="T147" i="694"/>
  <c r="T150" i="694"/>
  <c r="T152" i="694"/>
  <c r="T155" i="694"/>
  <c r="T157" i="694"/>
  <c r="T159" i="694"/>
  <c r="T162" i="694"/>
  <c r="T164" i="694"/>
  <c r="T167" i="694"/>
  <c r="T169" i="694"/>
  <c r="T175" i="694"/>
  <c r="T231" i="694" s="1"/>
  <c r="T177" i="694"/>
  <c r="T233" i="694" s="1"/>
  <c r="T180" i="694"/>
  <c r="T236" i="694" s="1"/>
  <c r="T183" i="694"/>
  <c r="T239" i="694" s="1"/>
  <c r="T185" i="694"/>
  <c r="T241" i="694" s="1"/>
  <c r="T188" i="694"/>
  <c r="T244" i="694" s="1"/>
  <c r="T192" i="694"/>
  <c r="T248" i="694" s="1"/>
  <c r="T194" i="694"/>
  <c r="T250" i="694" s="1"/>
  <c r="T198" i="694"/>
  <c r="T254" i="694" s="1"/>
  <c r="T201" i="694"/>
  <c r="T257" i="694" s="1"/>
  <c r="T203" i="694"/>
  <c r="T259" i="694" s="1"/>
  <c r="T206" i="694"/>
  <c r="T262" i="694" s="1"/>
  <c r="T208" i="694"/>
  <c r="T264" i="694" s="1"/>
  <c r="T211" i="694"/>
  <c r="T267" i="694" s="1"/>
  <c r="T213" i="694"/>
  <c r="T269" i="694" s="1"/>
  <c r="T215" i="694"/>
  <c r="T271" i="694" s="1"/>
  <c r="T218" i="694"/>
  <c r="T274" i="694" s="1"/>
  <c r="T220" i="694"/>
  <c r="T276" i="694" s="1"/>
  <c r="T223" i="694"/>
  <c r="T279" i="694" s="1"/>
  <c r="T225" i="694"/>
  <c r="T281" i="694" s="1"/>
  <c r="T91" i="694"/>
  <c r="T105" i="694"/>
  <c r="AG3" i="83"/>
  <c r="AH3" i="83"/>
  <c r="AI3" i="83"/>
  <c r="AJ3" i="83"/>
  <c r="AK3" i="83"/>
  <c r="AL3" i="83"/>
  <c r="AM3" i="83"/>
  <c r="AN3" i="83"/>
  <c r="AO3" i="83"/>
  <c r="AP3" i="83"/>
  <c r="AQ3" i="83"/>
  <c r="AR3" i="83"/>
  <c r="AS3" i="83"/>
  <c r="AT3" i="83"/>
  <c r="AU3" i="83"/>
  <c r="AV3" i="83"/>
  <c r="AW3" i="83"/>
  <c r="AX3" i="83"/>
  <c r="AY3" i="83"/>
  <c r="AZ3" i="83"/>
  <c r="AB25" i="695"/>
  <c r="AB29" i="695"/>
  <c r="Y25" i="695"/>
  <c r="Y29" i="695"/>
  <c r="R15" i="2"/>
  <c r="R16" i="2"/>
  <c r="R17" i="2"/>
  <c r="R19" i="2"/>
  <c r="R20" i="2"/>
  <c r="R21" i="2"/>
  <c r="R23" i="2"/>
  <c r="R22" i="2"/>
  <c r="R25" i="2"/>
  <c r="R26" i="2"/>
  <c r="R28" i="2"/>
  <c r="R27" i="2"/>
  <c r="R31" i="2"/>
  <c r="R32" i="2"/>
  <c r="R33" i="2"/>
  <c r="R35" i="2"/>
  <c r="R36" i="2"/>
  <c r="R38" i="2"/>
  <c r="R39" i="2"/>
  <c r="R40" i="2"/>
  <c r="R44" i="2"/>
  <c r="R45" i="2"/>
  <c r="R46" i="2"/>
  <c r="R47" i="2"/>
  <c r="R51" i="2"/>
  <c r="R52" i="2"/>
  <c r="R53" i="2"/>
  <c r="R54" i="2"/>
  <c r="R57" i="2"/>
  <c r="R58" i="2"/>
  <c r="R59" i="2"/>
  <c r="R60" i="2"/>
  <c r="R63" i="2"/>
  <c r="R64" i="2"/>
  <c r="R65" i="2"/>
  <c r="R66" i="2"/>
  <c r="S15" i="2"/>
  <c r="S16" i="2"/>
  <c r="S17" i="2"/>
  <c r="S19" i="2"/>
  <c r="S20" i="2"/>
  <c r="S21" i="2"/>
  <c r="S23" i="2"/>
  <c r="S22" i="2"/>
  <c r="S25" i="2"/>
  <c r="S26" i="2"/>
  <c r="S28" i="2"/>
  <c r="S27" i="2"/>
  <c r="S31" i="2"/>
  <c r="S32" i="2"/>
  <c r="S33" i="2"/>
  <c r="S35" i="2"/>
  <c r="S36" i="2"/>
  <c r="S38" i="2"/>
  <c r="S39" i="2"/>
  <c r="S40" i="2"/>
  <c r="S44" i="2"/>
  <c r="S45" i="2"/>
  <c r="S48" i="2" s="1"/>
  <c r="S46" i="2"/>
  <c r="S47" i="2"/>
  <c r="S51" i="2"/>
  <c r="S52" i="2"/>
  <c r="S53" i="2"/>
  <c r="S54" i="2"/>
  <c r="S57" i="2"/>
  <c r="S58" i="2"/>
  <c r="S59" i="2"/>
  <c r="S60" i="2"/>
  <c r="S63" i="2"/>
  <c r="S64" i="2"/>
  <c r="S65" i="2"/>
  <c r="S66" i="2"/>
  <c r="O15" i="694"/>
  <c r="O16" i="694"/>
  <c r="O17" i="694"/>
  <c r="O20" i="694"/>
  <c r="O21" i="694"/>
  <c r="O24" i="694"/>
  <c r="O26" i="694"/>
  <c r="O28" i="694"/>
  <c r="O34" i="694"/>
  <c r="O35" i="694"/>
  <c r="O38" i="694"/>
  <c r="O39" i="694"/>
  <c r="O40" i="694"/>
  <c r="O42" i="694"/>
  <c r="O43" i="694"/>
  <c r="O44" i="694"/>
  <c r="O45" i="694"/>
  <c r="O47" i="694"/>
  <c r="O49" i="694"/>
  <c r="O48" i="694"/>
  <c r="O50" i="694"/>
  <c r="O54" i="694"/>
  <c r="O55" i="694"/>
  <c r="O56" i="694"/>
  <c r="O57" i="694"/>
  <c r="O62" i="694"/>
  <c r="O58" i="694"/>
  <c r="O64" i="694"/>
  <c r="O63" i="694"/>
  <c r="O61" i="694"/>
  <c r="O60" i="694"/>
  <c r="O66" i="694"/>
  <c r="O65" i="694"/>
  <c r="O71" i="694"/>
  <c r="O74" i="694"/>
  <c r="O70" i="694"/>
  <c r="O68" i="694"/>
  <c r="O72" i="694"/>
  <c r="O73" i="694"/>
  <c r="O76" i="694"/>
  <c r="O77" i="694"/>
  <c r="V15" i="694"/>
  <c r="V16" i="694"/>
  <c r="V17" i="694"/>
  <c r="V20" i="694"/>
  <c r="V21" i="694"/>
  <c r="V24" i="694"/>
  <c r="V26" i="694"/>
  <c r="V28" i="694"/>
  <c r="V34" i="694"/>
  <c r="V35" i="694"/>
  <c r="V38" i="694"/>
  <c r="V40" i="694"/>
  <c r="V39" i="694"/>
  <c r="V42" i="694"/>
  <c r="V43" i="694"/>
  <c r="V44" i="694"/>
  <c r="V45" i="694"/>
  <c r="V47" i="694"/>
  <c r="V48" i="694"/>
  <c r="V49" i="694"/>
  <c r="V50" i="694"/>
  <c r="V54" i="694"/>
  <c r="V55" i="694"/>
  <c r="V56" i="694"/>
  <c r="V57" i="694"/>
  <c r="V62" i="694"/>
  <c r="V64" i="694"/>
  <c r="V63" i="694"/>
  <c r="V58" i="694"/>
  <c r="V61" i="694"/>
  <c r="V60" i="694"/>
  <c r="V65" i="694"/>
  <c r="V66" i="694"/>
  <c r="V74" i="694"/>
  <c r="V70" i="694"/>
  <c r="V71" i="694"/>
  <c r="V68" i="694"/>
  <c r="V72" i="694"/>
  <c r="V73" i="694"/>
  <c r="V76" i="694"/>
  <c r="V77" i="694"/>
  <c r="U18" i="694"/>
  <c r="U22" i="694"/>
  <c r="U25" i="694"/>
  <c r="U29" i="694"/>
  <c r="U33" i="694"/>
  <c r="U30" i="694"/>
  <c r="U53" i="694"/>
  <c r="U91" i="694"/>
  <c r="U105" i="694"/>
  <c r="U87" i="694"/>
  <c r="U100" i="694"/>
  <c r="U112" i="694"/>
  <c r="U83" i="694"/>
  <c r="U95" i="694"/>
  <c r="U107" i="694"/>
  <c r="U90" i="694"/>
  <c r="U102" i="694"/>
  <c r="U114" i="694"/>
  <c r="U120" i="694"/>
  <c r="U123" i="694"/>
  <c r="U125" i="694"/>
  <c r="U128" i="694"/>
  <c r="U131" i="694"/>
  <c r="U133" i="694"/>
  <c r="U137" i="694"/>
  <c r="U141" i="694"/>
  <c r="U143" i="694"/>
  <c r="U146" i="694"/>
  <c r="U148" i="694"/>
  <c r="U151" i="694"/>
  <c r="U154" i="694"/>
  <c r="U156" i="694"/>
  <c r="U158" i="694"/>
  <c r="U161" i="694"/>
  <c r="U163" i="694"/>
  <c r="U166" i="694"/>
  <c r="U168" i="694"/>
  <c r="U170" i="694"/>
  <c r="U176" i="694"/>
  <c r="U232" i="694" s="1"/>
  <c r="U179" i="694"/>
  <c r="U235" i="694" s="1"/>
  <c r="U181" i="694"/>
  <c r="U237" i="694" s="1"/>
  <c r="U184" i="694"/>
  <c r="U240" i="694" s="1"/>
  <c r="U187" i="694"/>
  <c r="U243" i="694" s="1"/>
  <c r="U189" i="694"/>
  <c r="U245" i="694" s="1"/>
  <c r="U193" i="694"/>
  <c r="U249" i="694" s="1"/>
  <c r="U197" i="694"/>
  <c r="U253" i="694" s="1"/>
  <c r="U199" i="694"/>
  <c r="U255" i="694" s="1"/>
  <c r="U202" i="694"/>
  <c r="U258" i="694" s="1"/>
  <c r="U204" i="694"/>
  <c r="U260" i="694" s="1"/>
  <c r="U207" i="694"/>
  <c r="U263" i="694" s="1"/>
  <c r="U210" i="694"/>
  <c r="U266" i="694" s="1"/>
  <c r="U212" i="694"/>
  <c r="U268" i="694" s="1"/>
  <c r="U214" i="694"/>
  <c r="U270" i="694" s="1"/>
  <c r="U217" i="694"/>
  <c r="U273" i="694" s="1"/>
  <c r="U219" i="694"/>
  <c r="U275" i="694" s="1"/>
  <c r="U222" i="694"/>
  <c r="U278" i="694" s="1"/>
  <c r="U224" i="694"/>
  <c r="U280" i="694" s="1"/>
  <c r="U226" i="694"/>
  <c r="U282" i="694" s="1"/>
  <c r="U86" i="694"/>
  <c r="U97" i="694"/>
  <c r="U109" i="694"/>
  <c r="U82" i="694"/>
  <c r="U92" i="694"/>
  <c r="U106" i="694"/>
  <c r="U88" i="694"/>
  <c r="U101" i="694"/>
  <c r="U113" i="694"/>
  <c r="U84" i="694"/>
  <c r="U96" i="694"/>
  <c r="U108" i="694"/>
  <c r="U119" i="694"/>
  <c r="U121" i="694"/>
  <c r="U124" i="694"/>
  <c r="U127" i="694"/>
  <c r="U129" i="694"/>
  <c r="U132" i="694"/>
  <c r="U136" i="694"/>
  <c r="U138" i="694"/>
  <c r="U142" i="694"/>
  <c r="U145" i="694"/>
  <c r="U147" i="694"/>
  <c r="U150" i="694"/>
  <c r="U152" i="694"/>
  <c r="U155" i="694"/>
  <c r="U157" i="694"/>
  <c r="U159" i="694"/>
  <c r="U162" i="694"/>
  <c r="U164" i="694"/>
  <c r="U167" i="694"/>
  <c r="U169" i="694"/>
  <c r="U175" i="694"/>
  <c r="U231" i="694" s="1"/>
  <c r="U177" i="694"/>
  <c r="U233" i="694" s="1"/>
  <c r="U180" i="694"/>
  <c r="U236" i="694" s="1"/>
  <c r="U183" i="694"/>
  <c r="U239" i="694" s="1"/>
  <c r="U185" i="694"/>
  <c r="U241" i="694" s="1"/>
  <c r="U188" i="694"/>
  <c r="U244" i="694" s="1"/>
  <c r="U192" i="694"/>
  <c r="U248" i="694" s="1"/>
  <c r="U194" i="694"/>
  <c r="U250" i="694" s="1"/>
  <c r="U198" i="694"/>
  <c r="U254" i="694" s="1"/>
  <c r="U201" i="694"/>
  <c r="U257" i="694" s="1"/>
  <c r="U203" i="694"/>
  <c r="U259" i="694" s="1"/>
  <c r="U206" i="694"/>
  <c r="U262" i="694" s="1"/>
  <c r="U208" i="694"/>
  <c r="U264" i="694" s="1"/>
  <c r="U211" i="694"/>
  <c r="U267" i="694" s="1"/>
  <c r="U213" i="694"/>
  <c r="U269" i="694" s="1"/>
  <c r="U215" i="694"/>
  <c r="U271" i="694" s="1"/>
  <c r="U218" i="694"/>
  <c r="U274" i="694" s="1"/>
  <c r="U220" i="694"/>
  <c r="U276" i="694" s="1"/>
  <c r="U223" i="694"/>
  <c r="U279" i="694" s="1"/>
  <c r="U225" i="694"/>
  <c r="U281" i="694" s="1"/>
  <c r="E10" i="2"/>
  <c r="C23" i="2"/>
  <c r="D123" i="2" s="1"/>
  <c r="D201" i="2" s="1"/>
  <c r="D105" i="694"/>
  <c r="D121" i="694"/>
  <c r="D106" i="694"/>
  <c r="D90" i="694"/>
  <c r="G18" i="83"/>
  <c r="G20" i="83"/>
  <c r="G23" i="83" s="1"/>
  <c r="G19" i="83"/>
  <c r="G27" i="83" s="1"/>
  <c r="G21" i="83"/>
  <c r="G24" i="83" s="1"/>
  <c r="G22" i="83"/>
  <c r="G35" i="83"/>
  <c r="G7" i="82" s="1" a="1"/>
  <c r="G29" i="83"/>
  <c r="G34" i="83"/>
  <c r="E7" i="82" s="1" a="1"/>
  <c r="M25" i="695"/>
  <c r="M29" i="695"/>
  <c r="AC29" i="695"/>
  <c r="AC25" i="695"/>
  <c r="Z25" i="695"/>
  <c r="Z29" i="695"/>
  <c r="S25" i="695"/>
  <c r="S29" i="695"/>
  <c r="L25" i="695"/>
  <c r="L29" i="695"/>
  <c r="J25" i="695"/>
  <c r="J29" i="695"/>
  <c r="O18" i="694"/>
  <c r="O22" i="694"/>
  <c r="O25" i="694"/>
  <c r="O29" i="694"/>
  <c r="O33" i="694"/>
  <c r="O30" i="694"/>
  <c r="O53" i="694"/>
  <c r="O88" i="694"/>
  <c r="O101" i="694"/>
  <c r="O113" i="694"/>
  <c r="O84" i="694"/>
  <c r="O96" i="694"/>
  <c r="O108" i="694"/>
  <c r="O119" i="694"/>
  <c r="O121" i="694"/>
  <c r="O124" i="694"/>
  <c r="O127" i="694"/>
  <c r="O129" i="694"/>
  <c r="O132" i="694"/>
  <c r="O136" i="694"/>
  <c r="O138" i="694"/>
  <c r="O142" i="694"/>
  <c r="O145" i="694"/>
  <c r="O147" i="694"/>
  <c r="O150" i="694"/>
  <c r="O152" i="694"/>
  <c r="O155" i="694"/>
  <c r="O157" i="694"/>
  <c r="O159" i="694"/>
  <c r="O162" i="694"/>
  <c r="O164" i="694"/>
  <c r="O167" i="694"/>
  <c r="O169" i="694"/>
  <c r="O175" i="694"/>
  <c r="O231" i="694" s="1"/>
  <c r="O177" i="694"/>
  <c r="O233" i="694" s="1"/>
  <c r="O180" i="694"/>
  <c r="O236" i="694" s="1"/>
  <c r="O183" i="694"/>
  <c r="O239" i="694" s="1"/>
  <c r="O185" i="694"/>
  <c r="O241" i="694" s="1"/>
  <c r="O188" i="694"/>
  <c r="O244" i="694" s="1"/>
  <c r="O192" i="694"/>
  <c r="O248" i="694" s="1"/>
  <c r="O194" i="694"/>
  <c r="O250" i="694" s="1"/>
  <c r="O198" i="694"/>
  <c r="O254" i="694" s="1"/>
  <c r="O201" i="694"/>
  <c r="O257" i="694" s="1"/>
  <c r="O203" i="694"/>
  <c r="O259" i="694" s="1"/>
  <c r="O206" i="694"/>
  <c r="O262" i="694" s="1"/>
  <c r="O208" i="694"/>
  <c r="O264" i="694" s="1"/>
  <c r="O211" i="694"/>
  <c r="O267" i="694" s="1"/>
  <c r="O213" i="694"/>
  <c r="O269" i="694" s="1"/>
  <c r="O215" i="694"/>
  <c r="O271" i="694" s="1"/>
  <c r="O218" i="694"/>
  <c r="O274" i="694" s="1"/>
  <c r="O220" i="694"/>
  <c r="O276" i="694" s="1"/>
  <c r="O223" i="694"/>
  <c r="O279" i="694" s="1"/>
  <c r="O225" i="694"/>
  <c r="O281" i="694" s="1"/>
  <c r="O91" i="694"/>
  <c r="O105" i="694"/>
  <c r="O87" i="694"/>
  <c r="O100" i="694"/>
  <c r="O112" i="694"/>
  <c r="O83" i="694"/>
  <c r="O95" i="694"/>
  <c r="O107" i="694"/>
  <c r="O90" i="694"/>
  <c r="O102" i="694"/>
  <c r="O114" i="694"/>
  <c r="O120" i="694"/>
  <c r="O123" i="694"/>
  <c r="O125" i="694"/>
  <c r="O128" i="694"/>
  <c r="O131" i="694"/>
  <c r="O133" i="694"/>
  <c r="O137" i="694"/>
  <c r="O141" i="694"/>
  <c r="O143" i="694"/>
  <c r="O146" i="694"/>
  <c r="O148" i="694"/>
  <c r="O151" i="694"/>
  <c r="O154" i="694"/>
  <c r="O156" i="694"/>
  <c r="O158" i="694"/>
  <c r="O161" i="694"/>
  <c r="O163" i="694"/>
  <c r="O166" i="694"/>
  <c r="O168" i="694"/>
  <c r="O170" i="694"/>
  <c r="O176" i="694"/>
  <c r="O232" i="694" s="1"/>
  <c r="O179" i="694"/>
  <c r="O235" i="694" s="1"/>
  <c r="O181" i="694"/>
  <c r="O237" i="694" s="1"/>
  <c r="O184" i="694"/>
  <c r="O240" i="694" s="1"/>
  <c r="O187" i="694"/>
  <c r="O243" i="694" s="1"/>
  <c r="O189" i="694"/>
  <c r="O245" i="694" s="1"/>
  <c r="O193" i="694"/>
  <c r="O249" i="694" s="1"/>
  <c r="O197" i="694"/>
  <c r="O253" i="694" s="1"/>
  <c r="O199" i="694"/>
  <c r="O255" i="694" s="1"/>
  <c r="O202" i="694"/>
  <c r="O258" i="694" s="1"/>
  <c r="O204" i="694"/>
  <c r="O260" i="694" s="1"/>
  <c r="O207" i="694"/>
  <c r="O263" i="694" s="1"/>
  <c r="O210" i="694"/>
  <c r="O266" i="694" s="1"/>
  <c r="O212" i="694"/>
  <c r="O268" i="694" s="1"/>
  <c r="O214" i="694"/>
  <c r="O270" i="694" s="1"/>
  <c r="O217" i="694"/>
  <c r="O273" i="694" s="1"/>
  <c r="O219" i="694"/>
  <c r="O275" i="694" s="1"/>
  <c r="O222" i="694"/>
  <c r="O278" i="694" s="1"/>
  <c r="O224" i="694"/>
  <c r="O280" i="694" s="1"/>
  <c r="O226" i="694"/>
  <c r="O282" i="694" s="1"/>
  <c r="O86" i="694"/>
  <c r="O97" i="694"/>
  <c r="O109" i="694"/>
  <c r="O82" i="694"/>
  <c r="O92" i="694"/>
  <c r="O106" i="694"/>
  <c r="V18" i="694"/>
  <c r="V22" i="694"/>
  <c r="V25" i="694"/>
  <c r="V29" i="694"/>
  <c r="V30" i="694"/>
  <c r="V33" i="694"/>
  <c r="V53" i="694"/>
  <c r="V84" i="694"/>
  <c r="V96" i="694"/>
  <c r="V108" i="694"/>
  <c r="V119" i="694"/>
  <c r="V121" i="694"/>
  <c r="V124" i="694"/>
  <c r="V127" i="694"/>
  <c r="V129" i="694"/>
  <c r="V132" i="694"/>
  <c r="V136" i="694"/>
  <c r="V138" i="694"/>
  <c r="V142" i="694"/>
  <c r="V145" i="694"/>
  <c r="V147" i="694"/>
  <c r="V150" i="694"/>
  <c r="V152" i="694"/>
  <c r="V155" i="694"/>
  <c r="V157" i="694"/>
  <c r="V159" i="694"/>
  <c r="V162" i="694"/>
  <c r="V164" i="694"/>
  <c r="V167" i="694"/>
  <c r="V169" i="694"/>
  <c r="V175" i="694"/>
  <c r="V231" i="694" s="1"/>
  <c r="V177" i="694"/>
  <c r="V233" i="694" s="1"/>
  <c r="V180" i="694"/>
  <c r="V236" i="694" s="1"/>
  <c r="V183" i="694"/>
  <c r="V239" i="694" s="1"/>
  <c r="V185" i="694"/>
  <c r="V241" i="694" s="1"/>
  <c r="V188" i="694"/>
  <c r="V244" i="694" s="1"/>
  <c r="V192" i="694"/>
  <c r="V248" i="694" s="1"/>
  <c r="V194" i="694"/>
  <c r="V250" i="694" s="1"/>
  <c r="V198" i="694"/>
  <c r="V254" i="694" s="1"/>
  <c r="V201" i="694"/>
  <c r="V257" i="694" s="1"/>
  <c r="V203" i="694"/>
  <c r="V259" i="694" s="1"/>
  <c r="V206" i="694"/>
  <c r="V262" i="694" s="1"/>
  <c r="V208" i="694"/>
  <c r="V264" i="694" s="1"/>
  <c r="V211" i="694"/>
  <c r="V267" i="694" s="1"/>
  <c r="V213" i="694"/>
  <c r="V269" i="694" s="1"/>
  <c r="V215" i="694"/>
  <c r="V271" i="694" s="1"/>
  <c r="V218" i="694"/>
  <c r="V274" i="694" s="1"/>
  <c r="V220" i="694"/>
  <c r="V276" i="694" s="1"/>
  <c r="V223" i="694"/>
  <c r="V279" i="694" s="1"/>
  <c r="V225" i="694"/>
  <c r="V281" i="694" s="1"/>
  <c r="V91" i="694"/>
  <c r="V105" i="694"/>
  <c r="V87" i="694"/>
  <c r="V100" i="694"/>
  <c r="V112" i="694"/>
  <c r="V83" i="694"/>
  <c r="V95" i="694"/>
  <c r="V107" i="694"/>
  <c r="V90" i="694"/>
  <c r="V102" i="694"/>
  <c r="V114" i="694"/>
  <c r="V120" i="694"/>
  <c r="V123" i="694"/>
  <c r="V125" i="694"/>
  <c r="V128" i="694"/>
  <c r="V131" i="694"/>
  <c r="V133" i="694"/>
  <c r="V137" i="694"/>
  <c r="V141" i="694"/>
  <c r="V143" i="694"/>
  <c r="V146" i="694"/>
  <c r="V148" i="694"/>
  <c r="V151" i="694"/>
  <c r="V154" i="694"/>
  <c r="V156" i="694"/>
  <c r="V158" i="694"/>
  <c r="V161" i="694"/>
  <c r="V163" i="694"/>
  <c r="V166" i="694"/>
  <c r="V168" i="694"/>
  <c r="V170" i="694"/>
  <c r="V176" i="694"/>
  <c r="V232" i="694" s="1"/>
  <c r="V179" i="694"/>
  <c r="V235" i="694" s="1"/>
  <c r="V181" i="694"/>
  <c r="V237" i="694" s="1"/>
  <c r="V184" i="694"/>
  <c r="V240" i="694" s="1"/>
  <c r="V187" i="694"/>
  <c r="V243" i="694" s="1"/>
  <c r="V189" i="694"/>
  <c r="V245" i="694" s="1"/>
  <c r="V193" i="694"/>
  <c r="V249" i="694" s="1"/>
  <c r="V197" i="694"/>
  <c r="V253" i="694" s="1"/>
  <c r="V199" i="694"/>
  <c r="V255" i="694" s="1"/>
  <c r="V202" i="694"/>
  <c r="V258" i="694" s="1"/>
  <c r="V204" i="694"/>
  <c r="V260" i="694" s="1"/>
  <c r="V207" i="694"/>
  <c r="V263" i="694" s="1"/>
  <c r="V210" i="694"/>
  <c r="V266" i="694" s="1"/>
  <c r="V212" i="694"/>
  <c r="V268" i="694" s="1"/>
  <c r="V214" i="694"/>
  <c r="V270" i="694" s="1"/>
  <c r="V217" i="694"/>
  <c r="V273" i="694" s="1"/>
  <c r="V219" i="694"/>
  <c r="V275" i="694" s="1"/>
  <c r="V222" i="694"/>
  <c r="V278" i="694" s="1"/>
  <c r="V224" i="694"/>
  <c r="V280" i="694" s="1"/>
  <c r="V226" i="694"/>
  <c r="V282" i="694" s="1"/>
  <c r="V86" i="694"/>
  <c r="V97" i="694"/>
  <c r="V109" i="694"/>
  <c r="V82" i="694"/>
  <c r="V92" i="694"/>
  <c r="V106" i="694"/>
  <c r="V88" i="694"/>
  <c r="V101" i="694"/>
  <c r="V113" i="694"/>
  <c r="T15" i="2"/>
  <c r="T16" i="2"/>
  <c r="T17" i="2"/>
  <c r="T19" i="2"/>
  <c r="T20" i="2"/>
  <c r="T21" i="2"/>
  <c r="T22" i="2"/>
  <c r="T23" i="2"/>
  <c r="T25" i="2"/>
  <c r="T26" i="2"/>
  <c r="T27" i="2"/>
  <c r="T28" i="2"/>
  <c r="T31" i="2"/>
  <c r="T32" i="2"/>
  <c r="T33" i="2"/>
  <c r="T35" i="2"/>
  <c r="T36" i="2"/>
  <c r="T38" i="2"/>
  <c r="T39" i="2"/>
  <c r="T40" i="2"/>
  <c r="T44" i="2"/>
  <c r="T45" i="2"/>
  <c r="T46" i="2"/>
  <c r="T47" i="2"/>
  <c r="T51" i="2"/>
  <c r="T52" i="2"/>
  <c r="T53" i="2"/>
  <c r="T54" i="2"/>
  <c r="T57" i="2"/>
  <c r="T58" i="2"/>
  <c r="T59" i="2"/>
  <c r="T60" i="2"/>
  <c r="T63" i="2"/>
  <c r="T64" i="2"/>
  <c r="T65" i="2"/>
  <c r="T66" i="2"/>
  <c r="R18" i="694"/>
  <c r="R22" i="694"/>
  <c r="R25" i="694"/>
  <c r="R30" i="694"/>
  <c r="R29" i="694"/>
  <c r="R33" i="694"/>
  <c r="R53" i="694"/>
  <c r="R90" i="694"/>
  <c r="R102" i="694"/>
  <c r="R114" i="694"/>
  <c r="R120" i="694"/>
  <c r="R123" i="694"/>
  <c r="R125" i="694"/>
  <c r="R128" i="694"/>
  <c r="R131" i="694"/>
  <c r="R133" i="694"/>
  <c r="R137" i="694"/>
  <c r="R141" i="694"/>
  <c r="R143" i="694"/>
  <c r="R146" i="694"/>
  <c r="R148" i="694"/>
  <c r="R151" i="694"/>
  <c r="R154" i="694"/>
  <c r="R156" i="694"/>
  <c r="R158" i="694"/>
  <c r="R161" i="694"/>
  <c r="R163" i="694"/>
  <c r="R166" i="694"/>
  <c r="R168" i="694"/>
  <c r="R170" i="694"/>
  <c r="R176" i="694"/>
  <c r="R232" i="694" s="1"/>
  <c r="R179" i="694"/>
  <c r="R235" i="694" s="1"/>
  <c r="R181" i="694"/>
  <c r="R237" i="694" s="1"/>
  <c r="R184" i="694"/>
  <c r="R240" i="694" s="1"/>
  <c r="R187" i="694"/>
  <c r="R243" i="694" s="1"/>
  <c r="R189" i="694"/>
  <c r="R245" i="694" s="1"/>
  <c r="R193" i="694"/>
  <c r="R249" i="694" s="1"/>
  <c r="R197" i="694"/>
  <c r="R253" i="694" s="1"/>
  <c r="R199" i="694"/>
  <c r="R255" i="694" s="1"/>
  <c r="R202" i="694"/>
  <c r="R258" i="694" s="1"/>
  <c r="R204" i="694"/>
  <c r="R260" i="694" s="1"/>
  <c r="R207" i="694"/>
  <c r="R263" i="694" s="1"/>
  <c r="R210" i="694"/>
  <c r="R266" i="694" s="1"/>
  <c r="R212" i="694"/>
  <c r="R268" i="694" s="1"/>
  <c r="R214" i="694"/>
  <c r="R270" i="694" s="1"/>
  <c r="R217" i="694"/>
  <c r="R273" i="694" s="1"/>
  <c r="R219" i="694"/>
  <c r="R275" i="694" s="1"/>
  <c r="R222" i="694"/>
  <c r="R278" i="694" s="1"/>
  <c r="R224" i="694"/>
  <c r="R280" i="694" s="1"/>
  <c r="R226" i="694"/>
  <c r="R282" i="694" s="1"/>
  <c r="R86" i="694"/>
  <c r="R97" i="694"/>
  <c r="R109" i="694"/>
  <c r="R82" i="694"/>
  <c r="R92" i="694"/>
  <c r="R106" i="694"/>
  <c r="R88" i="694"/>
  <c r="R101" i="694"/>
  <c r="R113" i="694"/>
  <c r="R84" i="694"/>
  <c r="R96" i="694"/>
  <c r="R108" i="694"/>
  <c r="R119" i="694"/>
  <c r="R121" i="694"/>
  <c r="R124" i="694"/>
  <c r="R127" i="694"/>
  <c r="R129" i="694"/>
  <c r="R132" i="694"/>
  <c r="R136" i="694"/>
  <c r="R138" i="694"/>
  <c r="R142" i="694"/>
  <c r="R145" i="694"/>
  <c r="R147" i="694"/>
  <c r="R150" i="694"/>
  <c r="R152" i="694"/>
  <c r="R155" i="694"/>
  <c r="R157" i="694"/>
  <c r="R159" i="694"/>
  <c r="R162" i="694"/>
  <c r="R164" i="694"/>
  <c r="R167" i="694"/>
  <c r="R169" i="694"/>
  <c r="R175" i="694"/>
  <c r="R231" i="694" s="1"/>
  <c r="R177" i="694"/>
  <c r="R233" i="694" s="1"/>
  <c r="R180" i="694"/>
  <c r="R236" i="694" s="1"/>
  <c r="R183" i="694"/>
  <c r="R239" i="694" s="1"/>
  <c r="R185" i="694"/>
  <c r="R241" i="694" s="1"/>
  <c r="R188" i="694"/>
  <c r="R244" i="694" s="1"/>
  <c r="R192" i="694"/>
  <c r="R248" i="694" s="1"/>
  <c r="R194" i="694"/>
  <c r="R250" i="694" s="1"/>
  <c r="R198" i="694"/>
  <c r="R254" i="694" s="1"/>
  <c r="R201" i="694"/>
  <c r="R257" i="694" s="1"/>
  <c r="R203" i="694"/>
  <c r="R259" i="694" s="1"/>
  <c r="R206" i="694"/>
  <c r="R262" i="694" s="1"/>
  <c r="R208" i="694"/>
  <c r="R264" i="694" s="1"/>
  <c r="R211" i="694"/>
  <c r="R267" i="694" s="1"/>
  <c r="R213" i="694"/>
  <c r="R269" i="694" s="1"/>
  <c r="R215" i="694"/>
  <c r="R271" i="694" s="1"/>
  <c r="R218" i="694"/>
  <c r="R274" i="694" s="1"/>
  <c r="R220" i="694"/>
  <c r="R276" i="694" s="1"/>
  <c r="R223" i="694"/>
  <c r="R279" i="694" s="1"/>
  <c r="R225" i="694"/>
  <c r="R281" i="694" s="1"/>
  <c r="R91" i="694"/>
  <c r="R105" i="694"/>
  <c r="R87" i="694"/>
  <c r="R100" i="694"/>
  <c r="R112" i="694"/>
  <c r="R83" i="694"/>
  <c r="R95" i="694"/>
  <c r="R107" i="694"/>
  <c r="E9" i="2"/>
  <c r="V15" i="2"/>
  <c r="V16" i="2"/>
  <c r="V17" i="2"/>
  <c r="V19" i="2"/>
  <c r="V20" i="2"/>
  <c r="V21" i="2"/>
  <c r="V22" i="2"/>
  <c r="V23" i="2"/>
  <c r="V25" i="2"/>
  <c r="V26" i="2"/>
  <c r="V27" i="2"/>
  <c r="V28" i="2"/>
  <c r="V31" i="2"/>
  <c r="V32" i="2"/>
  <c r="V33" i="2"/>
  <c r="V35" i="2"/>
  <c r="V36" i="2"/>
  <c r="V38" i="2"/>
  <c r="V39" i="2"/>
  <c r="V40" i="2"/>
  <c r="V44" i="2"/>
  <c r="V45" i="2"/>
  <c r="V48" i="2" s="1"/>
  <c r="V46" i="2"/>
  <c r="V47" i="2"/>
  <c r="V51" i="2"/>
  <c r="V52" i="2"/>
  <c r="V53" i="2"/>
  <c r="V54" i="2"/>
  <c r="V57" i="2"/>
  <c r="V58" i="2"/>
  <c r="V59" i="2"/>
  <c r="V60" i="2"/>
  <c r="V63" i="2"/>
  <c r="V64" i="2"/>
  <c r="V65" i="2"/>
  <c r="V66" i="2"/>
  <c r="D92" i="694"/>
  <c r="N18" i="694"/>
  <c r="N22" i="694"/>
  <c r="N25" i="694"/>
  <c r="N33" i="694"/>
  <c r="N30" i="694"/>
  <c r="N29" i="694"/>
  <c r="N53" i="694"/>
  <c r="N84" i="694"/>
  <c r="N96" i="694"/>
  <c r="N108" i="694"/>
  <c r="N119" i="694"/>
  <c r="N121" i="694"/>
  <c r="N124" i="694"/>
  <c r="N127" i="694"/>
  <c r="N129" i="694"/>
  <c r="N132" i="694"/>
  <c r="N136" i="694"/>
  <c r="N138" i="694"/>
  <c r="N142" i="694"/>
  <c r="N145" i="694"/>
  <c r="N147" i="694"/>
  <c r="N150" i="694"/>
  <c r="N152" i="694"/>
  <c r="N155" i="694"/>
  <c r="N157" i="694"/>
  <c r="N159" i="694"/>
  <c r="N162" i="694"/>
  <c r="N164" i="694"/>
  <c r="N167" i="694"/>
  <c r="N169" i="694"/>
  <c r="N175" i="694"/>
  <c r="N231" i="694" s="1"/>
  <c r="N177" i="694"/>
  <c r="N233" i="694" s="1"/>
  <c r="N180" i="694"/>
  <c r="N236" i="694" s="1"/>
  <c r="N183" i="694"/>
  <c r="N239" i="694" s="1"/>
  <c r="N185" i="694"/>
  <c r="N241" i="694" s="1"/>
  <c r="N188" i="694"/>
  <c r="N244" i="694" s="1"/>
  <c r="N192" i="694"/>
  <c r="N248" i="694" s="1"/>
  <c r="N194" i="694"/>
  <c r="N250" i="694" s="1"/>
  <c r="N198" i="694"/>
  <c r="N254" i="694" s="1"/>
  <c r="N201" i="694"/>
  <c r="N257" i="694" s="1"/>
  <c r="N203" i="694"/>
  <c r="N259" i="694" s="1"/>
  <c r="N206" i="694"/>
  <c r="N262" i="694" s="1"/>
  <c r="N208" i="694"/>
  <c r="N264" i="694" s="1"/>
  <c r="N211" i="694"/>
  <c r="N267" i="694" s="1"/>
  <c r="N213" i="694"/>
  <c r="N269" i="694" s="1"/>
  <c r="N215" i="694"/>
  <c r="N271" i="694" s="1"/>
  <c r="N218" i="694"/>
  <c r="N274" i="694" s="1"/>
  <c r="N220" i="694"/>
  <c r="N276" i="694" s="1"/>
  <c r="N223" i="694"/>
  <c r="N279" i="694" s="1"/>
  <c r="N225" i="694"/>
  <c r="N281" i="694" s="1"/>
  <c r="N91" i="694"/>
  <c r="N105" i="694"/>
  <c r="N87" i="694"/>
  <c r="N100" i="694"/>
  <c r="N112" i="694"/>
  <c r="N83" i="694"/>
  <c r="N95" i="694"/>
  <c r="N107" i="694"/>
  <c r="N90" i="694"/>
  <c r="N102" i="694"/>
  <c r="N114" i="694"/>
  <c r="N120" i="694"/>
  <c r="N123" i="694"/>
  <c r="N125" i="694"/>
  <c r="N128" i="694"/>
  <c r="N131" i="694"/>
  <c r="N133" i="694"/>
  <c r="N137" i="694"/>
  <c r="N141" i="694"/>
  <c r="N143" i="694"/>
  <c r="N146" i="694"/>
  <c r="N148" i="694"/>
  <c r="N151" i="694"/>
  <c r="N154" i="694"/>
  <c r="N156" i="694"/>
  <c r="N158" i="694"/>
  <c r="N161" i="694"/>
  <c r="N163" i="694"/>
  <c r="N166" i="694"/>
  <c r="N168" i="694"/>
  <c r="N170" i="694"/>
  <c r="N176" i="694"/>
  <c r="N232" i="694" s="1"/>
  <c r="N179" i="694"/>
  <c r="N235" i="694" s="1"/>
  <c r="N181" i="694"/>
  <c r="N237" i="694" s="1"/>
  <c r="N184" i="694"/>
  <c r="N240" i="694" s="1"/>
  <c r="N187" i="694"/>
  <c r="N243" i="694" s="1"/>
  <c r="N189" i="694"/>
  <c r="N245" i="694" s="1"/>
  <c r="N193" i="694"/>
  <c r="N249" i="694" s="1"/>
  <c r="N197" i="694"/>
  <c r="N253" i="694" s="1"/>
  <c r="N199" i="694"/>
  <c r="N255" i="694" s="1"/>
  <c r="N202" i="694"/>
  <c r="N258" i="694" s="1"/>
  <c r="N204" i="694"/>
  <c r="N260" i="694" s="1"/>
  <c r="N207" i="694"/>
  <c r="N263" i="694" s="1"/>
  <c r="N210" i="694"/>
  <c r="N266" i="694" s="1"/>
  <c r="N212" i="694"/>
  <c r="N268" i="694" s="1"/>
  <c r="N214" i="694"/>
  <c r="N270" i="694" s="1"/>
  <c r="N217" i="694"/>
  <c r="N273" i="694" s="1"/>
  <c r="N219" i="694"/>
  <c r="N275" i="694" s="1"/>
  <c r="N222" i="694"/>
  <c r="N278" i="694" s="1"/>
  <c r="N224" i="694"/>
  <c r="N280" i="694" s="1"/>
  <c r="N226" i="694"/>
  <c r="N282" i="694" s="1"/>
  <c r="N86" i="694"/>
  <c r="N97" i="694"/>
  <c r="N109" i="694"/>
  <c r="N82" i="694"/>
  <c r="N92" i="694"/>
  <c r="N106" i="694"/>
  <c r="N88" i="694"/>
  <c r="N101" i="694"/>
  <c r="N113" i="694"/>
  <c r="D96" i="2"/>
  <c r="D141" i="2"/>
  <c r="D219" i="2" s="1"/>
  <c r="D180" i="2"/>
  <c r="AE8" i="695"/>
  <c r="AE7" i="695"/>
  <c r="F66" i="2"/>
  <c r="F65" i="2"/>
  <c r="F64" i="2"/>
  <c r="F63" i="2"/>
  <c r="F60" i="2"/>
  <c r="F59" i="2"/>
  <c r="F58" i="2"/>
  <c r="F57" i="2"/>
  <c r="F54" i="2"/>
  <c r="F53" i="2"/>
  <c r="F52" i="2"/>
  <c r="F51" i="2"/>
  <c r="F47" i="2"/>
  <c r="F46" i="2"/>
  <c r="F45" i="2"/>
  <c r="F44" i="2"/>
  <c r="F40" i="2"/>
  <c r="F39" i="2"/>
  <c r="F38" i="2"/>
  <c r="F36" i="2"/>
  <c r="F35" i="2"/>
  <c r="F33" i="2"/>
  <c r="F32" i="2"/>
  <c r="F31" i="2"/>
  <c r="F28" i="2"/>
  <c r="F26" i="2"/>
  <c r="F25" i="2"/>
  <c r="F22" i="2"/>
  <c r="F21" i="2"/>
  <c r="F20" i="2"/>
  <c r="F19" i="2"/>
  <c r="F17" i="2"/>
  <c r="F16" i="2"/>
  <c r="F15" i="2"/>
  <c r="C40" i="694"/>
  <c r="J7" i="802"/>
  <c r="C52" i="1646"/>
  <c r="E77" i="694"/>
  <c r="E76" i="694"/>
  <c r="E68" i="694"/>
  <c r="E58" i="694"/>
  <c r="E57" i="694"/>
  <c r="E56" i="694"/>
  <c r="E55" i="694"/>
  <c r="E54" i="694"/>
  <c r="E74" i="694"/>
  <c r="E73" i="694"/>
  <c r="E72" i="694"/>
  <c r="E71" i="694"/>
  <c r="E70" i="694"/>
  <c r="E50" i="694"/>
  <c r="E49" i="694"/>
  <c r="E47" i="694"/>
  <c r="E44" i="694"/>
  <c r="E43" i="694"/>
  <c r="E42" i="694"/>
  <c r="E39" i="694"/>
  <c r="E38" i="694"/>
  <c r="E34" i="694"/>
  <c r="E35" i="694"/>
  <c r="E28" i="694"/>
  <c r="E26" i="694"/>
  <c r="E24" i="694"/>
  <c r="E21" i="694"/>
  <c r="E20" i="694"/>
  <c r="E17" i="694"/>
  <c r="E16" i="694"/>
  <c r="E15" i="694"/>
  <c r="AG8" i="83"/>
  <c r="AG7" i="83"/>
  <c r="E66" i="2"/>
  <c r="E65" i="2"/>
  <c r="E64" i="2"/>
  <c r="E63" i="2"/>
  <c r="E60" i="2"/>
  <c r="E59" i="2"/>
  <c r="E58" i="2"/>
  <c r="E57" i="2"/>
  <c r="E54" i="2"/>
  <c r="E53" i="2"/>
  <c r="E52" i="2"/>
  <c r="E51" i="2"/>
  <c r="E47" i="2"/>
  <c r="E46" i="2"/>
  <c r="E45" i="2"/>
  <c r="E44" i="2"/>
  <c r="E40" i="2"/>
  <c r="E39" i="2"/>
  <c r="E38" i="2"/>
  <c r="E36" i="2"/>
  <c r="E35" i="2"/>
  <c r="E33" i="2"/>
  <c r="E32" i="2"/>
  <c r="E31" i="2"/>
  <c r="E28" i="2"/>
  <c r="E26" i="2"/>
  <c r="E25" i="2"/>
  <c r="E22" i="2"/>
  <c r="E21" i="2"/>
  <c r="E20" i="2"/>
  <c r="E19" i="2"/>
  <c r="E17" i="2"/>
  <c r="E16" i="2"/>
  <c r="E15" i="2"/>
  <c r="E65" i="694"/>
  <c r="C62" i="694" l="1"/>
  <c r="D219" i="694" s="1"/>
  <c r="D275" i="694" s="1"/>
  <c r="D220" i="694"/>
  <c r="D276" i="694" s="1"/>
  <c r="C61" i="694"/>
  <c r="D154" i="694"/>
  <c r="C66" i="694"/>
  <c r="D210" i="694"/>
  <c r="D266" i="694" s="1"/>
  <c r="C60" i="694"/>
  <c r="D217" i="694" s="1"/>
  <c r="D273" i="694" s="1"/>
  <c r="C88" i="694"/>
  <c r="C82" i="694"/>
  <c r="C97" i="694"/>
  <c r="C109" i="694"/>
  <c r="C90" i="694"/>
  <c r="C84" i="694"/>
  <c r="C86" i="694"/>
  <c r="C83" i="694"/>
  <c r="C33" i="694"/>
  <c r="D192" i="694" s="1"/>
  <c r="D248" i="694" s="1"/>
  <c r="E115" i="2"/>
  <c r="E193" i="2" s="1"/>
  <c r="E154" i="2"/>
  <c r="E71" i="2"/>
  <c r="E106" i="2"/>
  <c r="E116" i="2"/>
  <c r="E194" i="2" s="1"/>
  <c r="E155" i="2"/>
  <c r="E72" i="2"/>
  <c r="E117" i="2"/>
  <c r="E195" i="2" s="1"/>
  <c r="E156" i="2"/>
  <c r="E107" i="2"/>
  <c r="E74" i="2"/>
  <c r="E119" i="2"/>
  <c r="E197" i="2" s="1"/>
  <c r="E158" i="2"/>
  <c r="E75" i="2"/>
  <c r="E120" i="2"/>
  <c r="E198" i="2" s="1"/>
  <c r="E159" i="2"/>
  <c r="E108" i="2"/>
  <c r="E109" i="2"/>
  <c r="E76" i="2"/>
  <c r="E121" i="2"/>
  <c r="E199" i="2" s="1"/>
  <c r="E160" i="2"/>
  <c r="E77" i="2"/>
  <c r="E122" i="2"/>
  <c r="E200" i="2" s="1"/>
  <c r="E161" i="2"/>
  <c r="E110" i="2"/>
  <c r="E80" i="2"/>
  <c r="E125" i="2"/>
  <c r="E203" i="2" s="1"/>
  <c r="E164" i="2"/>
  <c r="E82" i="2"/>
  <c r="E127" i="2"/>
  <c r="E205" i="2" s="1"/>
  <c r="E165" i="2"/>
  <c r="E83" i="2"/>
  <c r="E128" i="2"/>
  <c r="E206" i="2" s="1"/>
  <c r="E167" i="2"/>
  <c r="E86" i="2"/>
  <c r="E131" i="2"/>
  <c r="E209" i="2" s="1"/>
  <c r="E170" i="2"/>
  <c r="E87" i="2"/>
  <c r="E132" i="2"/>
  <c r="E210" i="2" s="1"/>
  <c r="E171" i="2"/>
  <c r="E34" i="2"/>
  <c r="E88" i="2"/>
  <c r="E133" i="2"/>
  <c r="E211" i="2" s="1"/>
  <c r="E172" i="2"/>
  <c r="E90" i="2"/>
  <c r="E135" i="2"/>
  <c r="E213" i="2" s="1"/>
  <c r="E174" i="2"/>
  <c r="E37" i="2"/>
  <c r="E91" i="2"/>
  <c r="E136" i="2"/>
  <c r="E214" i="2" s="1"/>
  <c r="E175" i="2"/>
  <c r="E93" i="2"/>
  <c r="E138" i="2"/>
  <c r="E216" i="2" s="1"/>
  <c r="E177" i="2"/>
  <c r="E94" i="2"/>
  <c r="E139" i="2"/>
  <c r="E217" i="2" s="1"/>
  <c r="E178" i="2"/>
  <c r="E41" i="2"/>
  <c r="E95" i="2"/>
  <c r="E140" i="2"/>
  <c r="E218" i="2" s="1"/>
  <c r="E179" i="2"/>
  <c r="E48" i="2"/>
  <c r="E149" i="2"/>
  <c r="E227" i="2" s="1"/>
  <c r="E188" i="2"/>
  <c r="E99" i="2"/>
  <c r="E144" i="2"/>
  <c r="E222" i="2" s="1"/>
  <c r="E183" i="2"/>
  <c r="E100" i="2"/>
  <c r="E145" i="2"/>
  <c r="E223" i="2" s="1"/>
  <c r="E184" i="2"/>
  <c r="E102" i="2"/>
  <c r="E101" i="2"/>
  <c r="E146" i="2"/>
  <c r="E224" i="2" s="1"/>
  <c r="E185" i="2"/>
  <c r="E147" i="2"/>
  <c r="E225" i="2" s="1"/>
  <c r="E186" i="2"/>
  <c r="AG31" i="83"/>
  <c r="E119" i="694"/>
  <c r="E18" i="694"/>
  <c r="E96" i="694" s="1"/>
  <c r="E175" i="694"/>
  <c r="E231" i="694" s="1"/>
  <c r="E176" i="694"/>
  <c r="E232" i="694" s="1"/>
  <c r="E120" i="694"/>
  <c r="E179" i="694"/>
  <c r="E235" i="694" s="1"/>
  <c r="E22" i="694"/>
  <c r="E112" i="694"/>
  <c r="E123" i="694"/>
  <c r="E83" i="694"/>
  <c r="E180" i="694"/>
  <c r="E236" i="694" s="1"/>
  <c r="E124" i="694"/>
  <c r="E113" i="694"/>
  <c r="E183" i="694"/>
  <c r="E239" i="694" s="1"/>
  <c r="E127" i="694"/>
  <c r="E185" i="694"/>
  <c r="E241" i="694" s="1"/>
  <c r="E114" i="694"/>
  <c r="E88" i="694"/>
  <c r="E25" i="694"/>
  <c r="E129" i="694"/>
  <c r="E131" i="694"/>
  <c r="E187" i="694"/>
  <c r="E243" i="694" s="1"/>
  <c r="E138" i="694"/>
  <c r="E102" i="694"/>
  <c r="E194" i="694"/>
  <c r="E250" i="694" s="1"/>
  <c r="E193" i="694"/>
  <c r="E249" i="694" s="1"/>
  <c r="E137" i="694"/>
  <c r="E197" i="694"/>
  <c r="E253" i="694" s="1"/>
  <c r="E141" i="694"/>
  <c r="E142" i="694"/>
  <c r="E198" i="694"/>
  <c r="E254" i="694" s="1"/>
  <c r="E145" i="694"/>
  <c r="E201" i="694"/>
  <c r="E257" i="694" s="1"/>
  <c r="E202" i="694"/>
  <c r="E258" i="694" s="1"/>
  <c r="E146" i="694"/>
  <c r="E203" i="694"/>
  <c r="E259" i="694" s="1"/>
  <c r="E147" i="694"/>
  <c r="E150" i="694"/>
  <c r="E206" i="694"/>
  <c r="E262" i="694" s="1"/>
  <c r="E208" i="694"/>
  <c r="E264" i="694" s="1"/>
  <c r="E152" i="694"/>
  <c r="E53" i="694"/>
  <c r="E106" i="694" s="1"/>
  <c r="E222" i="694"/>
  <c r="E278" i="694" s="1"/>
  <c r="E166" i="694"/>
  <c r="E223" i="694"/>
  <c r="E279" i="694" s="1"/>
  <c r="E167" i="694"/>
  <c r="E168" i="694"/>
  <c r="E224" i="694"/>
  <c r="E280" i="694" s="1"/>
  <c r="E225" i="694"/>
  <c r="E281" i="694" s="1"/>
  <c r="E169" i="694"/>
  <c r="E170" i="694"/>
  <c r="E226" i="694"/>
  <c r="E282" i="694" s="1"/>
  <c r="E211" i="694"/>
  <c r="E267" i="694" s="1"/>
  <c r="E101" i="694"/>
  <c r="E155" i="694"/>
  <c r="E156" i="694"/>
  <c r="E212" i="694"/>
  <c r="E268" i="694" s="1"/>
  <c r="E157" i="694"/>
  <c r="E213" i="694"/>
  <c r="E269" i="694" s="1"/>
  <c r="E214" i="694"/>
  <c r="E270" i="694" s="1"/>
  <c r="E158" i="694"/>
  <c r="E159" i="694"/>
  <c r="E215" i="694"/>
  <c r="E271" i="694" s="1"/>
  <c r="D143" i="694"/>
  <c r="D199" i="694"/>
  <c r="D255" i="694" s="1"/>
  <c r="F115" i="2"/>
  <c r="F193" i="2" s="1"/>
  <c r="F154" i="2"/>
  <c r="F71" i="2"/>
  <c r="F106" i="2"/>
  <c r="F116" i="2"/>
  <c r="F194" i="2" s="1"/>
  <c r="F155" i="2"/>
  <c r="F72" i="2"/>
  <c r="F117" i="2"/>
  <c r="F195" i="2" s="1"/>
  <c r="F156" i="2"/>
  <c r="F107" i="2"/>
  <c r="F74" i="2"/>
  <c r="F119" i="2"/>
  <c r="F197" i="2" s="1"/>
  <c r="F158" i="2"/>
  <c r="F75" i="2"/>
  <c r="F120" i="2"/>
  <c r="F198" i="2" s="1"/>
  <c r="F159" i="2"/>
  <c r="F108" i="2"/>
  <c r="F109" i="2"/>
  <c r="F76" i="2"/>
  <c r="F121" i="2"/>
  <c r="F199" i="2" s="1"/>
  <c r="F160" i="2"/>
  <c r="F77" i="2"/>
  <c r="F122" i="2"/>
  <c r="F200" i="2" s="1"/>
  <c r="F161" i="2"/>
  <c r="F110" i="2"/>
  <c r="F80" i="2"/>
  <c r="F125" i="2"/>
  <c r="F203" i="2" s="1"/>
  <c r="F164" i="2"/>
  <c r="F82" i="2"/>
  <c r="F127" i="2"/>
  <c r="F205" i="2" s="1"/>
  <c r="F165" i="2"/>
  <c r="F83" i="2"/>
  <c r="F128" i="2"/>
  <c r="F206" i="2" s="1"/>
  <c r="F167" i="2"/>
  <c r="F86" i="2"/>
  <c r="F131" i="2"/>
  <c r="F209" i="2" s="1"/>
  <c r="F170" i="2"/>
  <c r="F87" i="2"/>
  <c r="F132" i="2"/>
  <c r="F210" i="2" s="1"/>
  <c r="F171" i="2"/>
  <c r="F34" i="2"/>
  <c r="F88" i="2"/>
  <c r="F133" i="2"/>
  <c r="F211" i="2" s="1"/>
  <c r="F172" i="2"/>
  <c r="F90" i="2"/>
  <c r="F135" i="2"/>
  <c r="F213" i="2" s="1"/>
  <c r="F174" i="2"/>
  <c r="F37" i="2"/>
  <c r="F91" i="2"/>
  <c r="F136" i="2"/>
  <c r="F214" i="2" s="1"/>
  <c r="F175" i="2"/>
  <c r="F93" i="2"/>
  <c r="F138" i="2"/>
  <c r="F216" i="2" s="1"/>
  <c r="F177" i="2"/>
  <c r="F94" i="2"/>
  <c r="F139" i="2"/>
  <c r="F217" i="2" s="1"/>
  <c r="F178" i="2"/>
  <c r="F41" i="2"/>
  <c r="F95" i="2"/>
  <c r="F140" i="2"/>
  <c r="F218" i="2" s="1"/>
  <c r="F179" i="2"/>
  <c r="F48" i="2"/>
  <c r="F149" i="2"/>
  <c r="F227" i="2" s="1"/>
  <c r="F188" i="2"/>
  <c r="F99" i="2"/>
  <c r="F144" i="2"/>
  <c r="F222" i="2" s="1"/>
  <c r="F183" i="2"/>
  <c r="F100" i="2"/>
  <c r="F145" i="2"/>
  <c r="F223" i="2" s="1"/>
  <c r="F184" i="2"/>
  <c r="F102" i="2"/>
  <c r="F101" i="2"/>
  <c r="F146" i="2"/>
  <c r="F224" i="2" s="1"/>
  <c r="F185" i="2"/>
  <c r="F147" i="2"/>
  <c r="F225" i="2" s="1"/>
  <c r="F186" i="2"/>
  <c r="AE28" i="695"/>
  <c r="AE30" i="695"/>
  <c r="C29" i="694"/>
  <c r="D133" i="694"/>
  <c r="C92" i="694"/>
  <c r="D189" i="694"/>
  <c r="D245" i="694" s="1"/>
  <c r="T100" i="2"/>
  <c r="T145" i="2"/>
  <c r="T223" i="2" s="1"/>
  <c r="T184" i="2"/>
  <c r="R100" i="2"/>
  <c r="R145" i="2"/>
  <c r="R223" i="2" s="1"/>
  <c r="R184" i="2"/>
  <c r="R71" i="2"/>
  <c r="R106" i="2"/>
  <c r="R116" i="2"/>
  <c r="R194" i="2" s="1"/>
  <c r="R155" i="2"/>
  <c r="W147" i="2"/>
  <c r="W225" i="2" s="1"/>
  <c r="W186" i="2"/>
  <c r="U109" i="2"/>
  <c r="U76" i="2"/>
  <c r="U121" i="2"/>
  <c r="U199" i="2" s="1"/>
  <c r="U160" i="2"/>
  <c r="O99" i="2"/>
  <c r="O144" i="2"/>
  <c r="O222" i="2" s="1"/>
  <c r="O183" i="2"/>
  <c r="O115" i="2"/>
  <c r="O193" i="2" s="1"/>
  <c r="O154" i="2"/>
  <c r="N78" i="2"/>
  <c r="N123" i="2"/>
  <c r="N201" i="2" s="1"/>
  <c r="N162" i="2"/>
  <c r="M188" i="2"/>
  <c r="V99" i="2"/>
  <c r="V144" i="2"/>
  <c r="V222" i="2" s="1"/>
  <c r="V183" i="2"/>
  <c r="V37" i="2"/>
  <c r="V91" i="2"/>
  <c r="V136" i="2"/>
  <c r="V214" i="2" s="1"/>
  <c r="V175" i="2"/>
  <c r="V80" i="2"/>
  <c r="V125" i="2"/>
  <c r="V203" i="2" s="1"/>
  <c r="V164" i="2"/>
  <c r="V115" i="2"/>
  <c r="V193" i="2" s="1"/>
  <c r="V154" i="2"/>
  <c r="T147" i="2"/>
  <c r="T225" i="2" s="1"/>
  <c r="T186" i="2"/>
  <c r="T41" i="2"/>
  <c r="T95" i="2"/>
  <c r="T140" i="2"/>
  <c r="T218" i="2" s="1"/>
  <c r="T179" i="2"/>
  <c r="T83" i="2"/>
  <c r="T128" i="2"/>
  <c r="T206" i="2" s="1"/>
  <c r="T167" i="2"/>
  <c r="T74" i="2"/>
  <c r="T119" i="2"/>
  <c r="T197" i="2" s="1"/>
  <c r="T158" i="2"/>
  <c r="T107" i="2"/>
  <c r="G26" i="83"/>
  <c r="D7" i="82" a="1"/>
  <c r="S149" i="2"/>
  <c r="S227" i="2" s="1"/>
  <c r="S188" i="2"/>
  <c r="S90" i="2"/>
  <c r="S135" i="2"/>
  <c r="S213" i="2" s="1"/>
  <c r="S174" i="2"/>
  <c r="S110" i="2"/>
  <c r="S77" i="2"/>
  <c r="S122" i="2"/>
  <c r="S200" i="2" s="1"/>
  <c r="S161" i="2"/>
  <c r="R147" i="2"/>
  <c r="R225" i="2" s="1"/>
  <c r="R186" i="2"/>
  <c r="R41" i="2"/>
  <c r="R95" i="2"/>
  <c r="R140" i="2"/>
  <c r="R218" i="2" s="1"/>
  <c r="R179" i="2"/>
  <c r="R81" i="2"/>
  <c r="R126" i="2"/>
  <c r="R204" i="2" s="1"/>
  <c r="R74" i="2"/>
  <c r="R119" i="2"/>
  <c r="R197" i="2" s="1"/>
  <c r="R158" i="2"/>
  <c r="R107" i="2"/>
  <c r="BT3" i="83"/>
  <c r="AZ6" i="83"/>
  <c r="BT6" i="83" s="1"/>
  <c r="CN6" i="83" s="1"/>
  <c r="DH6" i="83" s="1"/>
  <c r="EB6" i="83" s="1"/>
  <c r="EV6" i="83" s="1"/>
  <c r="FP6" i="83" s="1"/>
  <c r="GJ6" i="83" s="1"/>
  <c r="HD6" i="83" s="1"/>
  <c r="HX6" i="83" s="1"/>
  <c r="IR6" i="83" s="1"/>
  <c r="JL6" i="83" s="1"/>
  <c r="KF6" i="83" s="1"/>
  <c r="AZ9" i="83"/>
  <c r="AZ10" i="83"/>
  <c r="AZ11" i="83"/>
  <c r="AZ12" i="83"/>
  <c r="AZ13" i="83"/>
  <c r="AZ14" i="83"/>
  <c r="AZ15" i="83"/>
  <c r="AZ16" i="83"/>
  <c r="AZ17" i="83"/>
  <c r="AZ7" i="83"/>
  <c r="AZ8" i="83"/>
  <c r="BL3" i="83"/>
  <c r="AR6" i="83"/>
  <c r="BL6" i="83" s="1"/>
  <c r="CF6" i="83" s="1"/>
  <c r="CZ6" i="83" s="1"/>
  <c r="DT6" i="83" s="1"/>
  <c r="EN6" i="83" s="1"/>
  <c r="FH6" i="83" s="1"/>
  <c r="GB6" i="83" s="1"/>
  <c r="GV6" i="83" s="1"/>
  <c r="HP6" i="83" s="1"/>
  <c r="IJ6" i="83" s="1"/>
  <c r="JD6" i="83" s="1"/>
  <c r="JX6" i="83" s="1"/>
  <c r="AR9" i="83"/>
  <c r="AR10" i="83"/>
  <c r="AR11" i="83"/>
  <c r="AR12" i="83"/>
  <c r="AR13" i="83"/>
  <c r="AR14" i="83"/>
  <c r="AR15" i="83"/>
  <c r="AR16" i="83"/>
  <c r="AR17" i="83"/>
  <c r="AR7" i="83"/>
  <c r="AR8" i="83"/>
  <c r="BD3" i="83"/>
  <c r="AJ6" i="83"/>
  <c r="BD6" i="83" s="1"/>
  <c r="BX6" i="83" s="1"/>
  <c r="CR6" i="83" s="1"/>
  <c r="DL6" i="83" s="1"/>
  <c r="EF6" i="83" s="1"/>
  <c r="EZ6" i="83" s="1"/>
  <c r="FT6" i="83" s="1"/>
  <c r="GN6" i="83" s="1"/>
  <c r="HH6" i="83" s="1"/>
  <c r="IB6" i="83" s="1"/>
  <c r="IV6" i="83" s="1"/>
  <c r="JP6" i="83" s="1"/>
  <c r="AJ9" i="83"/>
  <c r="AJ10" i="83"/>
  <c r="AJ11" i="83"/>
  <c r="AJ12" i="83"/>
  <c r="AJ13" i="83"/>
  <c r="AJ14" i="83"/>
  <c r="AJ15" i="83"/>
  <c r="AJ16" i="83"/>
  <c r="AJ17" i="83"/>
  <c r="AJ7" i="83"/>
  <c r="AJ8" i="83"/>
  <c r="W48" i="2"/>
  <c r="W87" i="2"/>
  <c r="W132" i="2"/>
  <c r="W210" i="2" s="1"/>
  <c r="W171" i="2"/>
  <c r="W109" i="2"/>
  <c r="W76" i="2"/>
  <c r="W121" i="2"/>
  <c r="W199" i="2" s="1"/>
  <c r="W160" i="2"/>
  <c r="U149" i="2"/>
  <c r="U227" i="2" s="1"/>
  <c r="U188" i="2"/>
  <c r="U90" i="2"/>
  <c r="U135" i="2"/>
  <c r="U213" i="2" s="1"/>
  <c r="U174" i="2"/>
  <c r="U78" i="2"/>
  <c r="U123" i="2"/>
  <c r="U201" i="2" s="1"/>
  <c r="U162" i="2"/>
  <c r="Q86" i="2"/>
  <c r="Q131" i="2"/>
  <c r="Q209" i="2" s="1"/>
  <c r="Q170" i="2"/>
  <c r="Q108" i="2"/>
  <c r="Q75" i="2"/>
  <c r="Q120" i="2"/>
  <c r="Q198" i="2" s="1"/>
  <c r="Q159" i="2"/>
  <c r="D162" i="2"/>
  <c r="BM3" i="695"/>
  <c r="AS6" i="695"/>
  <c r="BM6" i="695" s="1"/>
  <c r="CG6" i="695" s="1"/>
  <c r="DA6" i="695" s="1"/>
  <c r="DU6" i="695" s="1"/>
  <c r="EO6" i="695" s="1"/>
  <c r="FI6" i="695" s="1"/>
  <c r="GC6" i="695" s="1"/>
  <c r="GW6" i="695" s="1"/>
  <c r="HQ6" i="695" s="1"/>
  <c r="IK6" i="695" s="1"/>
  <c r="JE6" i="695" s="1"/>
  <c r="JY6" i="695" s="1"/>
  <c r="KS6" i="695" s="1"/>
  <c r="LM6" i="695" s="1"/>
  <c r="MG6" i="695" s="1"/>
  <c r="NA6" i="695" s="1"/>
  <c r="NU6" i="695" s="1"/>
  <c r="OO6" i="695" s="1"/>
  <c r="PI6" i="695" s="1"/>
  <c r="QC6" i="695" s="1"/>
  <c r="QW6" i="695" s="1"/>
  <c r="RQ6" i="695" s="1"/>
  <c r="SK6" i="695" s="1"/>
  <c r="TE6" i="695" s="1"/>
  <c r="TY6" i="695" s="1"/>
  <c r="US6" i="695" s="1"/>
  <c r="AS7" i="695"/>
  <c r="AS9" i="695"/>
  <c r="AS10" i="695"/>
  <c r="AS11" i="695"/>
  <c r="AS12" i="695"/>
  <c r="AS13" i="695"/>
  <c r="AS14" i="695"/>
  <c r="AS15" i="695"/>
  <c r="AS16" i="695"/>
  <c r="AS17" i="695"/>
  <c r="AS8" i="695"/>
  <c r="BE3" i="695"/>
  <c r="AK6" i="695"/>
  <c r="BE6" i="695" s="1"/>
  <c r="BY6" i="695" s="1"/>
  <c r="CS6" i="695" s="1"/>
  <c r="DM6" i="695" s="1"/>
  <c r="EG6" i="695" s="1"/>
  <c r="FA6" i="695" s="1"/>
  <c r="FU6" i="695" s="1"/>
  <c r="GO6" i="695" s="1"/>
  <c r="HI6" i="695" s="1"/>
  <c r="IC6" i="695" s="1"/>
  <c r="IW6" i="695" s="1"/>
  <c r="JQ6" i="695" s="1"/>
  <c r="KK6" i="695" s="1"/>
  <c r="LE6" i="695" s="1"/>
  <c r="LY6" i="695" s="1"/>
  <c r="MS6" i="695" s="1"/>
  <c r="NM6" i="695" s="1"/>
  <c r="OG6" i="695" s="1"/>
  <c r="PA6" i="695" s="1"/>
  <c r="PU6" i="695" s="1"/>
  <c r="QO6" i="695" s="1"/>
  <c r="RI6" i="695" s="1"/>
  <c r="SC6" i="695" s="1"/>
  <c r="SW6" i="695" s="1"/>
  <c r="TQ6" i="695" s="1"/>
  <c r="UK6" i="695" s="1"/>
  <c r="AK7" i="695"/>
  <c r="AK9" i="695"/>
  <c r="AK10" i="695"/>
  <c r="AK11" i="695"/>
  <c r="AK12" i="695"/>
  <c r="AK13" i="695"/>
  <c r="AK14" i="695"/>
  <c r="AK15" i="695"/>
  <c r="AK16" i="695"/>
  <c r="AK17" i="695"/>
  <c r="AK8" i="695"/>
  <c r="O102" i="2"/>
  <c r="O101" i="2"/>
  <c r="O146" i="2"/>
  <c r="O224" i="2" s="1"/>
  <c r="O185" i="2"/>
  <c r="O94" i="2"/>
  <c r="O139" i="2"/>
  <c r="O217" i="2" s="1"/>
  <c r="O178" i="2"/>
  <c r="O83" i="2"/>
  <c r="O128" i="2"/>
  <c r="O206" i="2" s="1"/>
  <c r="O167" i="2"/>
  <c r="O72" i="2"/>
  <c r="O117" i="2"/>
  <c r="O195" i="2" s="1"/>
  <c r="O156" i="2"/>
  <c r="N100" i="2"/>
  <c r="N145" i="2"/>
  <c r="N223" i="2" s="1"/>
  <c r="N184" i="2"/>
  <c r="N93" i="2"/>
  <c r="N138" i="2"/>
  <c r="N216" i="2" s="1"/>
  <c r="N177" i="2"/>
  <c r="N82" i="2"/>
  <c r="N127" i="2"/>
  <c r="N205" i="2" s="1"/>
  <c r="N165" i="2"/>
  <c r="N71" i="2"/>
  <c r="N106" i="2"/>
  <c r="N116" i="2"/>
  <c r="N194" i="2" s="1"/>
  <c r="N155" i="2"/>
  <c r="M100" i="2"/>
  <c r="M184" i="2"/>
  <c r="M93" i="2"/>
  <c r="M177" i="2"/>
  <c r="M82" i="2"/>
  <c r="M165" i="2"/>
  <c r="M71" i="2"/>
  <c r="M106" i="2"/>
  <c r="M155" i="2"/>
  <c r="P34" i="2"/>
  <c r="P88" i="2"/>
  <c r="P133" i="2"/>
  <c r="P211" i="2" s="1"/>
  <c r="P172" i="2"/>
  <c r="P77" i="2"/>
  <c r="P122" i="2"/>
  <c r="P200" i="2" s="1"/>
  <c r="P161" i="2"/>
  <c r="P110" i="2"/>
  <c r="C107" i="694"/>
  <c r="T71" i="2"/>
  <c r="T106" i="2"/>
  <c r="T116" i="2"/>
  <c r="T194" i="2" s="1"/>
  <c r="T155" i="2"/>
  <c r="R165" i="2"/>
  <c r="R82" i="2"/>
  <c r="R127" i="2"/>
  <c r="R205" i="2" s="1"/>
  <c r="O80" i="2"/>
  <c r="O125" i="2"/>
  <c r="O203" i="2" s="1"/>
  <c r="O164" i="2"/>
  <c r="V149" i="2"/>
  <c r="V227" i="2" s="1"/>
  <c r="V188" i="2"/>
  <c r="V90" i="2"/>
  <c r="V135" i="2"/>
  <c r="V213" i="2" s="1"/>
  <c r="V174" i="2"/>
  <c r="V78" i="2"/>
  <c r="V123" i="2"/>
  <c r="V201" i="2" s="1"/>
  <c r="V162" i="2"/>
  <c r="E23" i="2"/>
  <c r="E27" i="2"/>
  <c r="T101" i="2"/>
  <c r="T146" i="2"/>
  <c r="T224" i="2" s="1"/>
  <c r="T185" i="2"/>
  <c r="T102" i="2"/>
  <c r="T94" i="2"/>
  <c r="T139" i="2"/>
  <c r="T217" i="2" s="1"/>
  <c r="T178" i="2"/>
  <c r="T81" i="2"/>
  <c r="T126" i="2"/>
  <c r="T204" i="2" s="1"/>
  <c r="T72" i="2"/>
  <c r="T117" i="2"/>
  <c r="T195" i="2" s="1"/>
  <c r="T156" i="2"/>
  <c r="C27" i="2"/>
  <c r="R166" i="2" s="1"/>
  <c r="S34" i="2"/>
  <c r="S88" i="2"/>
  <c r="S133" i="2"/>
  <c r="S211" i="2" s="1"/>
  <c r="S172" i="2"/>
  <c r="S78" i="2"/>
  <c r="S123" i="2"/>
  <c r="S201" i="2" s="1"/>
  <c r="S162" i="2"/>
  <c r="R101" i="2"/>
  <c r="R146" i="2"/>
  <c r="R224" i="2" s="1"/>
  <c r="R185" i="2"/>
  <c r="R102" i="2"/>
  <c r="R94" i="2"/>
  <c r="R139" i="2"/>
  <c r="R217" i="2" s="1"/>
  <c r="R178" i="2"/>
  <c r="R83" i="2"/>
  <c r="R128" i="2"/>
  <c r="R206" i="2" s="1"/>
  <c r="R167" i="2"/>
  <c r="R72" i="2"/>
  <c r="R117" i="2"/>
  <c r="R195" i="2" s="1"/>
  <c r="R156" i="2"/>
  <c r="AY6" i="83"/>
  <c r="BS6" i="83" s="1"/>
  <c r="CM6" i="83" s="1"/>
  <c r="DG6" i="83" s="1"/>
  <c r="EA6" i="83" s="1"/>
  <c r="EU6" i="83" s="1"/>
  <c r="FO6" i="83" s="1"/>
  <c r="GI6" i="83" s="1"/>
  <c r="HC6" i="83" s="1"/>
  <c r="HW6" i="83" s="1"/>
  <c r="IQ6" i="83" s="1"/>
  <c r="JK6" i="83" s="1"/>
  <c r="KE6" i="83" s="1"/>
  <c r="BS3" i="83"/>
  <c r="AY9" i="83"/>
  <c r="AY10" i="83"/>
  <c r="AY11" i="83"/>
  <c r="AY12" i="83"/>
  <c r="AY13" i="83"/>
  <c r="AY14" i="83"/>
  <c r="AY15" i="83"/>
  <c r="AY16" i="83"/>
  <c r="AY17" i="83"/>
  <c r="AY7" i="83"/>
  <c r="AY8" i="83"/>
  <c r="BK3" i="83"/>
  <c r="AQ6" i="83"/>
  <c r="BK6" i="83" s="1"/>
  <c r="CE6" i="83" s="1"/>
  <c r="CY6" i="83" s="1"/>
  <c r="DS6" i="83" s="1"/>
  <c r="EM6" i="83" s="1"/>
  <c r="FG6" i="83" s="1"/>
  <c r="GA6" i="83" s="1"/>
  <c r="GU6" i="83" s="1"/>
  <c r="HO6" i="83" s="1"/>
  <c r="II6" i="83" s="1"/>
  <c r="JC6" i="83" s="1"/>
  <c r="JW6" i="83" s="1"/>
  <c r="AQ9" i="83"/>
  <c r="AQ10" i="83"/>
  <c r="AQ11" i="83"/>
  <c r="AQ12" i="83"/>
  <c r="AQ13" i="83"/>
  <c r="AQ14" i="83"/>
  <c r="AQ15" i="83"/>
  <c r="AQ16" i="83"/>
  <c r="AQ17" i="83"/>
  <c r="AQ7" i="83"/>
  <c r="AQ8" i="83"/>
  <c r="BC3" i="83"/>
  <c r="AI6" i="83"/>
  <c r="BC6" i="83" s="1"/>
  <c r="BW6" i="83" s="1"/>
  <c r="CQ6" i="83" s="1"/>
  <c r="DK6" i="83" s="1"/>
  <c r="EE6" i="83" s="1"/>
  <c r="EY6" i="83" s="1"/>
  <c r="FS6" i="83" s="1"/>
  <c r="GM6" i="83" s="1"/>
  <c r="HG6" i="83" s="1"/>
  <c r="IA6" i="83" s="1"/>
  <c r="IU6" i="83" s="1"/>
  <c r="JO6" i="83" s="1"/>
  <c r="AI9" i="83"/>
  <c r="AI10" i="83"/>
  <c r="AI11" i="83"/>
  <c r="AI12" i="83"/>
  <c r="AI13" i="83"/>
  <c r="AI14" i="83"/>
  <c r="AI15" i="83"/>
  <c r="AI16" i="83"/>
  <c r="AI17" i="83"/>
  <c r="AI7" i="83"/>
  <c r="AI8" i="83"/>
  <c r="W86" i="2"/>
  <c r="W131" i="2"/>
  <c r="W209" i="2" s="1"/>
  <c r="W170" i="2"/>
  <c r="W75" i="2"/>
  <c r="W120" i="2"/>
  <c r="W198" i="2" s="1"/>
  <c r="W159" i="2"/>
  <c r="W108" i="2"/>
  <c r="U34" i="2"/>
  <c r="U88" i="2"/>
  <c r="U133" i="2"/>
  <c r="U211" i="2" s="1"/>
  <c r="U172" i="2"/>
  <c r="U77" i="2"/>
  <c r="U122" i="2"/>
  <c r="U200" i="2" s="1"/>
  <c r="U161" i="2"/>
  <c r="U110" i="2"/>
  <c r="W8" i="27" a="1"/>
  <c r="W8" i="27" s="1"/>
  <c r="X9" i="27"/>
  <c r="Q147" i="2"/>
  <c r="Q225" i="2" s="1"/>
  <c r="Q186" i="2"/>
  <c r="Q41" i="2"/>
  <c r="Q95" i="2"/>
  <c r="Q140" i="2"/>
  <c r="Q218" i="2" s="1"/>
  <c r="Q179" i="2"/>
  <c r="Q81" i="2"/>
  <c r="Q126" i="2"/>
  <c r="Q204" i="2" s="1"/>
  <c r="Q166" i="2"/>
  <c r="Q74" i="2"/>
  <c r="Q119" i="2"/>
  <c r="Q197" i="2" s="1"/>
  <c r="Q158" i="2"/>
  <c r="Q107" i="2"/>
  <c r="F7" i="718" a="1"/>
  <c r="AR6" i="695"/>
  <c r="BL6" i="695" s="1"/>
  <c r="CF6" i="695" s="1"/>
  <c r="CZ6" i="695" s="1"/>
  <c r="DT6" i="695" s="1"/>
  <c r="EN6" i="695" s="1"/>
  <c r="FH6" i="695" s="1"/>
  <c r="GB6" i="695" s="1"/>
  <c r="GV6" i="695" s="1"/>
  <c r="HP6" i="695" s="1"/>
  <c r="IJ6" i="695" s="1"/>
  <c r="JD6" i="695" s="1"/>
  <c r="JX6" i="695" s="1"/>
  <c r="KR6" i="695" s="1"/>
  <c r="LL6" i="695" s="1"/>
  <c r="MF6" i="695" s="1"/>
  <c r="MZ6" i="695" s="1"/>
  <c r="NT6" i="695" s="1"/>
  <c r="ON6" i="695" s="1"/>
  <c r="PH6" i="695" s="1"/>
  <c r="QB6" i="695" s="1"/>
  <c r="QV6" i="695" s="1"/>
  <c r="RP6" i="695" s="1"/>
  <c r="SJ6" i="695" s="1"/>
  <c r="TD6" i="695" s="1"/>
  <c r="TX6" i="695" s="1"/>
  <c r="UR6" i="695" s="1"/>
  <c r="BL3" i="695"/>
  <c r="AR7" i="695"/>
  <c r="AR9" i="695"/>
  <c r="AR10" i="695"/>
  <c r="AR11" i="695"/>
  <c r="AR12" i="695"/>
  <c r="AR13" i="695"/>
  <c r="AR14" i="695"/>
  <c r="AR15" i="695"/>
  <c r="AR16" i="695"/>
  <c r="AR17" i="695"/>
  <c r="AR8" i="695"/>
  <c r="AJ6" i="695"/>
  <c r="BD6" i="695" s="1"/>
  <c r="BX6" i="695" s="1"/>
  <c r="CR6" i="695" s="1"/>
  <c r="DL6" i="695" s="1"/>
  <c r="EF6" i="695" s="1"/>
  <c r="EZ6" i="695" s="1"/>
  <c r="FT6" i="695" s="1"/>
  <c r="GN6" i="695" s="1"/>
  <c r="HH6" i="695" s="1"/>
  <c r="IB6" i="695" s="1"/>
  <c r="IV6" i="695" s="1"/>
  <c r="JP6" i="695" s="1"/>
  <c r="KJ6" i="695" s="1"/>
  <c r="LD6" i="695" s="1"/>
  <c r="LX6" i="695" s="1"/>
  <c r="MR6" i="695" s="1"/>
  <c r="NL6" i="695" s="1"/>
  <c r="OF6" i="695" s="1"/>
  <c r="OZ6" i="695" s="1"/>
  <c r="PT6" i="695" s="1"/>
  <c r="QN6" i="695" s="1"/>
  <c r="RH6" i="695" s="1"/>
  <c r="SB6" i="695" s="1"/>
  <c r="SV6" i="695" s="1"/>
  <c r="TP6" i="695" s="1"/>
  <c r="UJ6" i="695" s="1"/>
  <c r="BD3" i="695"/>
  <c r="AJ7" i="695"/>
  <c r="AJ9" i="695"/>
  <c r="AJ10" i="695"/>
  <c r="AJ11" i="695"/>
  <c r="AJ12" i="695"/>
  <c r="AJ13" i="695"/>
  <c r="AJ14" i="695"/>
  <c r="AJ15" i="695"/>
  <c r="AJ16" i="695"/>
  <c r="AJ17" i="695"/>
  <c r="AJ8" i="695"/>
  <c r="O100" i="2"/>
  <c r="O145" i="2"/>
  <c r="O223" i="2" s="1"/>
  <c r="O184" i="2"/>
  <c r="O93" i="2"/>
  <c r="O138" i="2"/>
  <c r="O216" i="2" s="1"/>
  <c r="O177" i="2"/>
  <c r="O82" i="2"/>
  <c r="O127" i="2"/>
  <c r="O205" i="2" s="1"/>
  <c r="O165" i="2"/>
  <c r="O71" i="2"/>
  <c r="O106" i="2"/>
  <c r="O116" i="2"/>
  <c r="O194" i="2" s="1"/>
  <c r="O155" i="2"/>
  <c r="N99" i="2"/>
  <c r="N144" i="2"/>
  <c r="N222" i="2" s="1"/>
  <c r="N183" i="2"/>
  <c r="N37" i="2"/>
  <c r="N91" i="2"/>
  <c r="N136" i="2"/>
  <c r="N214" i="2" s="1"/>
  <c r="N175" i="2"/>
  <c r="N80" i="2"/>
  <c r="N125" i="2"/>
  <c r="N203" i="2" s="1"/>
  <c r="N164" i="2"/>
  <c r="N115" i="2"/>
  <c r="N193" i="2" s="1"/>
  <c r="N154" i="2"/>
  <c r="T25" i="83"/>
  <c r="T30" i="83"/>
  <c r="M99" i="2"/>
  <c r="M183" i="2"/>
  <c r="M37" i="2"/>
  <c r="M91" i="2"/>
  <c r="M175" i="2"/>
  <c r="M80" i="2"/>
  <c r="M164" i="2"/>
  <c r="M154" i="2"/>
  <c r="P87" i="2"/>
  <c r="P132" i="2"/>
  <c r="P210" i="2" s="1"/>
  <c r="P171" i="2"/>
  <c r="P109" i="2"/>
  <c r="P76" i="2"/>
  <c r="P121" i="2"/>
  <c r="P199" i="2" s="1"/>
  <c r="P160" i="2"/>
  <c r="D148" i="694"/>
  <c r="C108" i="694"/>
  <c r="C95" i="694"/>
  <c r="S87" i="2"/>
  <c r="S132" i="2"/>
  <c r="S210" i="2" s="1"/>
  <c r="S171" i="2"/>
  <c r="BB3" i="83"/>
  <c r="AH6" i="83"/>
  <c r="BB6" i="83" s="1"/>
  <c r="BV6" i="83" s="1"/>
  <c r="CP6" i="83" s="1"/>
  <c r="DJ6" i="83" s="1"/>
  <c r="ED6" i="83" s="1"/>
  <c r="EX6" i="83" s="1"/>
  <c r="FR6" i="83" s="1"/>
  <c r="GL6" i="83" s="1"/>
  <c r="HF6" i="83" s="1"/>
  <c r="HZ6" i="83" s="1"/>
  <c r="IT6" i="83" s="1"/>
  <c r="JN6" i="83" s="1"/>
  <c r="AH9" i="83"/>
  <c r="AH10" i="83"/>
  <c r="AH11" i="83"/>
  <c r="AH12" i="83"/>
  <c r="AH13" i="83"/>
  <c r="AH14" i="83"/>
  <c r="AH15" i="83"/>
  <c r="AH16" i="83"/>
  <c r="AH17" i="83"/>
  <c r="AH7" i="83"/>
  <c r="AH8" i="83"/>
  <c r="Q83" i="2"/>
  <c r="Q128" i="2"/>
  <c r="Q206" i="2" s="1"/>
  <c r="Q167" i="2"/>
  <c r="BK3" i="695"/>
  <c r="AQ6" i="695"/>
  <c r="BK6" i="695" s="1"/>
  <c r="CE6" i="695" s="1"/>
  <c r="CY6" i="695" s="1"/>
  <c r="DS6" i="695" s="1"/>
  <c r="EM6" i="695" s="1"/>
  <c r="FG6" i="695" s="1"/>
  <c r="GA6" i="695" s="1"/>
  <c r="GU6" i="695" s="1"/>
  <c r="HO6" i="695" s="1"/>
  <c r="II6" i="695" s="1"/>
  <c r="JC6" i="695" s="1"/>
  <c r="JW6" i="695" s="1"/>
  <c r="KQ6" i="695" s="1"/>
  <c r="LK6" i="695" s="1"/>
  <c r="ME6" i="695" s="1"/>
  <c r="MY6" i="695" s="1"/>
  <c r="NS6" i="695" s="1"/>
  <c r="OM6" i="695" s="1"/>
  <c r="PG6" i="695" s="1"/>
  <c r="QA6" i="695" s="1"/>
  <c r="QU6" i="695" s="1"/>
  <c r="RO6" i="695" s="1"/>
  <c r="SI6" i="695" s="1"/>
  <c r="TC6" i="695" s="1"/>
  <c r="TW6" i="695" s="1"/>
  <c r="UQ6" i="695" s="1"/>
  <c r="AQ7" i="695"/>
  <c r="AQ9" i="695"/>
  <c r="AQ10" i="695"/>
  <c r="AQ11" i="695"/>
  <c r="AQ12" i="695"/>
  <c r="AQ13" i="695"/>
  <c r="AQ14" i="695"/>
  <c r="AQ15" i="695"/>
  <c r="AQ16" i="695"/>
  <c r="AQ17" i="695"/>
  <c r="AQ8" i="695"/>
  <c r="P86" i="2"/>
  <c r="P131" i="2"/>
  <c r="P209" i="2" s="1"/>
  <c r="P170" i="2"/>
  <c r="T99" i="2"/>
  <c r="T144" i="2"/>
  <c r="T222" i="2" s="1"/>
  <c r="T183" i="2"/>
  <c r="T37" i="2"/>
  <c r="T91" i="2"/>
  <c r="T136" i="2"/>
  <c r="T214" i="2" s="1"/>
  <c r="T175" i="2"/>
  <c r="T80" i="2"/>
  <c r="T125" i="2"/>
  <c r="T203" i="2" s="1"/>
  <c r="T164" i="2"/>
  <c r="T115" i="2"/>
  <c r="T193" i="2" s="1"/>
  <c r="T154" i="2"/>
  <c r="G28" i="83"/>
  <c r="F7" i="82" a="1"/>
  <c r="S86" i="2"/>
  <c r="S131" i="2"/>
  <c r="S209" i="2" s="1"/>
  <c r="S170" i="2"/>
  <c r="S108" i="2"/>
  <c r="S75" i="2"/>
  <c r="S120" i="2"/>
  <c r="S198" i="2" s="1"/>
  <c r="S159" i="2"/>
  <c r="R99" i="2"/>
  <c r="R144" i="2"/>
  <c r="R222" i="2" s="1"/>
  <c r="R183" i="2"/>
  <c r="R37" i="2"/>
  <c r="R91" i="2"/>
  <c r="R136" i="2"/>
  <c r="R214" i="2" s="1"/>
  <c r="R175" i="2"/>
  <c r="R80" i="2"/>
  <c r="R125" i="2"/>
  <c r="R203" i="2" s="1"/>
  <c r="R164" i="2"/>
  <c r="R115" i="2"/>
  <c r="R193" i="2" s="1"/>
  <c r="R154" i="2"/>
  <c r="BQ3" i="83"/>
  <c r="AW6" i="83"/>
  <c r="BQ6" i="83" s="1"/>
  <c r="CK6" i="83" s="1"/>
  <c r="DE6" i="83" s="1"/>
  <c r="DY6" i="83" s="1"/>
  <c r="ES6" i="83" s="1"/>
  <c r="FM6" i="83" s="1"/>
  <c r="GG6" i="83" s="1"/>
  <c r="HA6" i="83" s="1"/>
  <c r="HU6" i="83" s="1"/>
  <c r="IO6" i="83" s="1"/>
  <c r="JI6" i="83" s="1"/>
  <c r="KC6" i="83" s="1"/>
  <c r="AW9" i="83"/>
  <c r="AW10" i="83"/>
  <c r="AW11" i="83"/>
  <c r="AW12" i="83"/>
  <c r="AW13" i="83"/>
  <c r="AW14" i="83"/>
  <c r="AW15" i="83"/>
  <c r="AW16" i="83"/>
  <c r="AW17" i="83"/>
  <c r="AW7" i="83"/>
  <c r="AW8" i="83"/>
  <c r="BI3" i="83"/>
  <c r="AO6" i="83"/>
  <c r="BI6" i="83" s="1"/>
  <c r="CC6" i="83" s="1"/>
  <c r="CW6" i="83" s="1"/>
  <c r="DQ6" i="83" s="1"/>
  <c r="EK6" i="83" s="1"/>
  <c r="FE6" i="83" s="1"/>
  <c r="FY6" i="83" s="1"/>
  <c r="GS6" i="83" s="1"/>
  <c r="HM6" i="83" s="1"/>
  <c r="IG6" i="83" s="1"/>
  <c r="JA6" i="83" s="1"/>
  <c r="JU6" i="83" s="1"/>
  <c r="AO9" i="83"/>
  <c r="AO10" i="83"/>
  <c r="AO11" i="83"/>
  <c r="AO12" i="83"/>
  <c r="AO13" i="83"/>
  <c r="AO14" i="83"/>
  <c r="AO15" i="83"/>
  <c r="AO16" i="83"/>
  <c r="AO17" i="83"/>
  <c r="AO7" i="83"/>
  <c r="AO8" i="83"/>
  <c r="BA3" i="83"/>
  <c r="AG6" i="83"/>
  <c r="BA6" i="83" s="1"/>
  <c r="BU6" i="83" s="1"/>
  <c r="CO6" i="83" s="1"/>
  <c r="DI6" i="83" s="1"/>
  <c r="EC6" i="83" s="1"/>
  <c r="EW6" i="83" s="1"/>
  <c r="FQ6" i="83" s="1"/>
  <c r="GK6" i="83" s="1"/>
  <c r="HE6" i="83" s="1"/>
  <c r="HY6" i="83" s="1"/>
  <c r="IS6" i="83" s="1"/>
  <c r="JM6" i="83" s="1"/>
  <c r="AG9" i="83"/>
  <c r="AG19" i="83" s="1"/>
  <c r="AG27" i="83" s="1"/>
  <c r="AG10" i="83"/>
  <c r="AG11" i="83"/>
  <c r="AG12" i="83"/>
  <c r="AG13" i="83"/>
  <c r="AG14" i="83"/>
  <c r="AG15" i="83"/>
  <c r="AG16" i="83"/>
  <c r="AG17" i="83"/>
  <c r="W102" i="2"/>
  <c r="W101" i="2"/>
  <c r="W146" i="2"/>
  <c r="W224" i="2" s="1"/>
  <c r="W185" i="2"/>
  <c r="W94" i="2"/>
  <c r="W139" i="2"/>
  <c r="W217" i="2" s="1"/>
  <c r="W178" i="2"/>
  <c r="W166" i="2"/>
  <c r="W81" i="2"/>
  <c r="W126" i="2"/>
  <c r="W204" i="2" s="1"/>
  <c r="W72" i="2"/>
  <c r="W117" i="2"/>
  <c r="W195" i="2" s="1"/>
  <c r="W156" i="2"/>
  <c r="U86" i="2"/>
  <c r="U131" i="2"/>
  <c r="U209" i="2" s="1"/>
  <c r="U170" i="2"/>
  <c r="U75" i="2"/>
  <c r="U120" i="2"/>
  <c r="U198" i="2" s="1"/>
  <c r="U159" i="2"/>
  <c r="U108" i="2"/>
  <c r="Q100" i="2"/>
  <c r="Q145" i="2"/>
  <c r="Q223" i="2" s="1"/>
  <c r="Q184" i="2"/>
  <c r="Q93" i="2"/>
  <c r="Q138" i="2"/>
  <c r="Q216" i="2" s="1"/>
  <c r="Q177" i="2"/>
  <c r="Q165" i="2"/>
  <c r="Q82" i="2"/>
  <c r="Q127" i="2"/>
  <c r="Q205" i="2" s="1"/>
  <c r="Q71" i="2"/>
  <c r="Q106" i="2"/>
  <c r="Q116" i="2"/>
  <c r="Q194" i="2" s="1"/>
  <c r="Q155" i="2"/>
  <c r="G7" i="718" a="1"/>
  <c r="BR3" i="695"/>
  <c r="AX6" i="695"/>
  <c r="BR6" i="695" s="1"/>
  <c r="CL6" i="695" s="1"/>
  <c r="DF6" i="695" s="1"/>
  <c r="DZ6" i="695" s="1"/>
  <c r="ET6" i="695" s="1"/>
  <c r="FN6" i="695" s="1"/>
  <c r="GH6" i="695" s="1"/>
  <c r="HB6" i="695" s="1"/>
  <c r="HV6" i="695" s="1"/>
  <c r="IP6" i="695" s="1"/>
  <c r="JJ6" i="695" s="1"/>
  <c r="KD6" i="695" s="1"/>
  <c r="KX6" i="695" s="1"/>
  <c r="LR6" i="695" s="1"/>
  <c r="ML6" i="695" s="1"/>
  <c r="NF6" i="695" s="1"/>
  <c r="NZ6" i="695" s="1"/>
  <c r="OT6" i="695" s="1"/>
  <c r="PN6" i="695" s="1"/>
  <c r="QH6" i="695" s="1"/>
  <c r="RB6" i="695" s="1"/>
  <c r="RV6" i="695" s="1"/>
  <c r="SP6" i="695" s="1"/>
  <c r="TJ6" i="695" s="1"/>
  <c r="UD6" i="695" s="1"/>
  <c r="UX6" i="695" s="1"/>
  <c r="AX7" i="695"/>
  <c r="AX9" i="695"/>
  <c r="AX10" i="695"/>
  <c r="AX11" i="695"/>
  <c r="AX12" i="695"/>
  <c r="AX13" i="695"/>
  <c r="AX14" i="695"/>
  <c r="AX15" i="695"/>
  <c r="AX16" i="695"/>
  <c r="AX17" i="695"/>
  <c r="AX8" i="695"/>
  <c r="BJ3" i="695"/>
  <c r="AP6" i="695"/>
  <c r="BJ6" i="695" s="1"/>
  <c r="CD6" i="695" s="1"/>
  <c r="CX6" i="695" s="1"/>
  <c r="DR6" i="695" s="1"/>
  <c r="EL6" i="695" s="1"/>
  <c r="FF6" i="695" s="1"/>
  <c r="FZ6" i="695" s="1"/>
  <c r="GT6" i="695" s="1"/>
  <c r="HN6" i="695" s="1"/>
  <c r="IH6" i="695" s="1"/>
  <c r="JB6" i="695" s="1"/>
  <c r="JV6" i="695" s="1"/>
  <c r="KP6" i="695" s="1"/>
  <c r="LJ6" i="695" s="1"/>
  <c r="MD6" i="695" s="1"/>
  <c r="MX6" i="695" s="1"/>
  <c r="NR6" i="695" s="1"/>
  <c r="OL6" i="695" s="1"/>
  <c r="PF6" i="695" s="1"/>
  <c r="PZ6" i="695" s="1"/>
  <c r="QT6" i="695" s="1"/>
  <c r="RN6" i="695" s="1"/>
  <c r="SH6" i="695" s="1"/>
  <c r="TB6" i="695" s="1"/>
  <c r="TV6" i="695" s="1"/>
  <c r="UP6" i="695" s="1"/>
  <c r="AP7" i="695"/>
  <c r="AP9" i="695"/>
  <c r="AP10" i="695"/>
  <c r="AP11" i="695"/>
  <c r="AP12" i="695"/>
  <c r="AP13" i="695"/>
  <c r="AP14" i="695"/>
  <c r="AP15" i="695"/>
  <c r="AP16" i="695"/>
  <c r="AP17" i="695"/>
  <c r="AP8" i="695"/>
  <c r="BB3" i="695"/>
  <c r="AH6" i="695"/>
  <c r="BB6" i="695" s="1"/>
  <c r="BV6" i="695" s="1"/>
  <c r="CP6" i="695" s="1"/>
  <c r="DJ6" i="695" s="1"/>
  <c r="ED6" i="695" s="1"/>
  <c r="EX6" i="695" s="1"/>
  <c r="FR6" i="695" s="1"/>
  <c r="GL6" i="695" s="1"/>
  <c r="HF6" i="695" s="1"/>
  <c r="HZ6" i="695" s="1"/>
  <c r="IT6" i="695" s="1"/>
  <c r="JN6" i="695" s="1"/>
  <c r="KH6" i="695" s="1"/>
  <c r="LB6" i="695" s="1"/>
  <c r="LV6" i="695" s="1"/>
  <c r="MP6" i="695" s="1"/>
  <c r="NJ6" i="695" s="1"/>
  <c r="OD6" i="695" s="1"/>
  <c r="OX6" i="695" s="1"/>
  <c r="PR6" i="695" s="1"/>
  <c r="QL6" i="695" s="1"/>
  <c r="RF6" i="695" s="1"/>
  <c r="RZ6" i="695" s="1"/>
  <c r="ST6" i="695" s="1"/>
  <c r="TN6" i="695" s="1"/>
  <c r="UH6" i="695" s="1"/>
  <c r="AH7" i="695"/>
  <c r="AH9" i="695"/>
  <c r="AH10" i="695"/>
  <c r="AH11" i="695"/>
  <c r="AH12" i="695"/>
  <c r="AH13" i="695"/>
  <c r="AH14" i="695"/>
  <c r="AH15" i="695"/>
  <c r="AH16" i="695"/>
  <c r="AH17" i="695"/>
  <c r="AH8" i="695"/>
  <c r="O149" i="2"/>
  <c r="O227" i="2" s="1"/>
  <c r="O188" i="2"/>
  <c r="O90" i="2"/>
  <c r="O135" i="2"/>
  <c r="O213" i="2" s="1"/>
  <c r="O174" i="2"/>
  <c r="O77" i="2"/>
  <c r="O122" i="2"/>
  <c r="O200" i="2" s="1"/>
  <c r="O161" i="2"/>
  <c r="O110" i="2"/>
  <c r="N34" i="2"/>
  <c r="N88" i="2"/>
  <c r="N133" i="2"/>
  <c r="N211" i="2" s="1"/>
  <c r="N172" i="2"/>
  <c r="N77" i="2"/>
  <c r="N122" i="2"/>
  <c r="N200" i="2" s="1"/>
  <c r="N161" i="2"/>
  <c r="N110" i="2"/>
  <c r="M34" i="2"/>
  <c r="M88" i="2"/>
  <c r="M172" i="2"/>
  <c r="M78" i="2"/>
  <c r="M162" i="2"/>
  <c r="P147" i="2"/>
  <c r="P225" i="2" s="1"/>
  <c r="P186" i="2"/>
  <c r="P41" i="2"/>
  <c r="P95" i="2"/>
  <c r="P140" i="2"/>
  <c r="P218" i="2" s="1"/>
  <c r="P179" i="2"/>
  <c r="P166" i="2"/>
  <c r="P81" i="2"/>
  <c r="P126" i="2"/>
  <c r="P204" i="2" s="1"/>
  <c r="P107" i="2"/>
  <c r="P74" i="2"/>
  <c r="P119" i="2"/>
  <c r="P197" i="2" s="1"/>
  <c r="P158" i="2"/>
  <c r="D162" i="694"/>
  <c r="D218" i="694"/>
  <c r="D274" i="694" s="1"/>
  <c r="V34" i="2"/>
  <c r="V88" i="2"/>
  <c r="V133" i="2"/>
  <c r="V211" i="2" s="1"/>
  <c r="V172" i="2"/>
  <c r="S76" i="2"/>
  <c r="S121" i="2"/>
  <c r="S199" i="2" s="1"/>
  <c r="S160" i="2"/>
  <c r="S109" i="2"/>
  <c r="W107" i="2"/>
  <c r="W74" i="2"/>
  <c r="W119" i="2"/>
  <c r="W197" i="2" s="1"/>
  <c r="W158" i="2"/>
  <c r="Q101" i="2"/>
  <c r="Q146" i="2"/>
  <c r="Q224" i="2" s="1"/>
  <c r="Q185" i="2"/>
  <c r="Q102" i="2"/>
  <c r="BC3" i="695"/>
  <c r="AI6" i="695"/>
  <c r="BC6" i="695" s="1"/>
  <c r="BW6" i="695" s="1"/>
  <c r="CQ6" i="695" s="1"/>
  <c r="DK6" i="695" s="1"/>
  <c r="EE6" i="695" s="1"/>
  <c r="EY6" i="695" s="1"/>
  <c r="FS6" i="695" s="1"/>
  <c r="GM6" i="695" s="1"/>
  <c r="HG6" i="695" s="1"/>
  <c r="IA6" i="695" s="1"/>
  <c r="IU6" i="695" s="1"/>
  <c r="JO6" i="695" s="1"/>
  <c r="KI6" i="695" s="1"/>
  <c r="LC6" i="695" s="1"/>
  <c r="LW6" i="695" s="1"/>
  <c r="MQ6" i="695" s="1"/>
  <c r="NK6" i="695" s="1"/>
  <c r="OE6" i="695" s="1"/>
  <c r="OY6" i="695" s="1"/>
  <c r="PS6" i="695" s="1"/>
  <c r="QM6" i="695" s="1"/>
  <c r="RG6" i="695" s="1"/>
  <c r="SA6" i="695" s="1"/>
  <c r="SU6" i="695" s="1"/>
  <c r="TO6" i="695" s="1"/>
  <c r="UI6" i="695" s="1"/>
  <c r="AI7" i="695"/>
  <c r="AI9" i="695"/>
  <c r="AI10" i="695"/>
  <c r="AI11" i="695"/>
  <c r="AI12" i="695"/>
  <c r="AI13" i="695"/>
  <c r="AI14" i="695"/>
  <c r="AI15" i="695"/>
  <c r="AI16" i="695"/>
  <c r="AI17" i="695"/>
  <c r="AI8" i="695"/>
  <c r="E45" i="694"/>
  <c r="E48" i="694"/>
  <c r="E63" i="694"/>
  <c r="E64" i="694"/>
  <c r="E61" i="694"/>
  <c r="E60" i="694"/>
  <c r="E62" i="694"/>
  <c r="E66" i="694"/>
  <c r="M77" i="2"/>
  <c r="M161" i="2"/>
  <c r="M110" i="2"/>
  <c r="V87" i="2"/>
  <c r="V132" i="2"/>
  <c r="V210" i="2" s="1"/>
  <c r="V171" i="2"/>
  <c r="V86" i="2"/>
  <c r="V131" i="2"/>
  <c r="V209" i="2" s="1"/>
  <c r="V170" i="2"/>
  <c r="V75" i="2"/>
  <c r="V120" i="2"/>
  <c r="V198" i="2" s="1"/>
  <c r="V159" i="2"/>
  <c r="V108" i="2"/>
  <c r="T149" i="2"/>
  <c r="T227" i="2" s="1"/>
  <c r="T188" i="2"/>
  <c r="T90" i="2"/>
  <c r="T135" i="2"/>
  <c r="T213" i="2" s="1"/>
  <c r="T174" i="2"/>
  <c r="T78" i="2"/>
  <c r="T123" i="2"/>
  <c r="T201" i="2" s="1"/>
  <c r="T162" i="2"/>
  <c r="E13" i="82"/>
  <c r="E21" i="82"/>
  <c r="E8" i="82"/>
  <c r="E16" i="82"/>
  <c r="E14" i="82"/>
  <c r="E22" i="82"/>
  <c r="E25" i="82"/>
  <c r="E7" i="82"/>
  <c r="E15" i="82"/>
  <c r="E23" i="82"/>
  <c r="E24" i="82"/>
  <c r="E10" i="82"/>
  <c r="E18" i="82"/>
  <c r="E26" i="82"/>
  <c r="E11" i="82"/>
  <c r="E19" i="82"/>
  <c r="E27" i="82"/>
  <c r="E9" i="82"/>
  <c r="E12" i="82"/>
  <c r="E20" i="82"/>
  <c r="E17" i="82"/>
  <c r="S147" i="2"/>
  <c r="S225" i="2" s="1"/>
  <c r="S186" i="2"/>
  <c r="S41" i="2"/>
  <c r="S95" i="2"/>
  <c r="S140" i="2"/>
  <c r="S218" i="2" s="1"/>
  <c r="S179" i="2"/>
  <c r="S81" i="2"/>
  <c r="S126" i="2"/>
  <c r="S204" i="2" s="1"/>
  <c r="S166" i="2"/>
  <c r="S74" i="2"/>
  <c r="S119" i="2"/>
  <c r="S197" i="2" s="1"/>
  <c r="S158" i="2"/>
  <c r="S107" i="2"/>
  <c r="R149" i="2"/>
  <c r="R227" i="2" s="1"/>
  <c r="R188" i="2"/>
  <c r="R90" i="2"/>
  <c r="R135" i="2"/>
  <c r="R213" i="2" s="1"/>
  <c r="R174" i="2"/>
  <c r="R110" i="2"/>
  <c r="R77" i="2"/>
  <c r="R122" i="2"/>
  <c r="R200" i="2" s="1"/>
  <c r="R161" i="2"/>
  <c r="BP3" i="83"/>
  <c r="AV6" i="83"/>
  <c r="BP6" i="83" s="1"/>
  <c r="CJ6" i="83" s="1"/>
  <c r="DD6" i="83" s="1"/>
  <c r="DX6" i="83" s="1"/>
  <c r="ER6" i="83" s="1"/>
  <c r="FL6" i="83" s="1"/>
  <c r="GF6" i="83" s="1"/>
  <c r="GZ6" i="83" s="1"/>
  <c r="HT6" i="83" s="1"/>
  <c r="IN6" i="83" s="1"/>
  <c r="JH6" i="83" s="1"/>
  <c r="KB6" i="83" s="1"/>
  <c r="AV9" i="83"/>
  <c r="AV10" i="83"/>
  <c r="AV11" i="83"/>
  <c r="AV12" i="83"/>
  <c r="AV13" i="83"/>
  <c r="AV14" i="83"/>
  <c r="AV15" i="83"/>
  <c r="AV16" i="83"/>
  <c r="AV17" i="83"/>
  <c r="AV7" i="83"/>
  <c r="AV8" i="83"/>
  <c r="BH3" i="83"/>
  <c r="AN6" i="83"/>
  <c r="BH6" i="83" s="1"/>
  <c r="CB6" i="83" s="1"/>
  <c r="CV6" i="83" s="1"/>
  <c r="DP6" i="83" s="1"/>
  <c r="EJ6" i="83" s="1"/>
  <c r="FD6" i="83" s="1"/>
  <c r="FX6" i="83" s="1"/>
  <c r="GR6" i="83" s="1"/>
  <c r="HL6" i="83" s="1"/>
  <c r="IF6" i="83" s="1"/>
  <c r="IZ6" i="83" s="1"/>
  <c r="JT6" i="83" s="1"/>
  <c r="AN9" i="83"/>
  <c r="AN10" i="83"/>
  <c r="AN11" i="83"/>
  <c r="AN12" i="83"/>
  <c r="AN13" i="83"/>
  <c r="AN14" i="83"/>
  <c r="AN15" i="83"/>
  <c r="AN16" i="83"/>
  <c r="AN17" i="83"/>
  <c r="AN7" i="83"/>
  <c r="AN8" i="83"/>
  <c r="W100" i="2"/>
  <c r="W145" i="2"/>
  <c r="W223" i="2" s="1"/>
  <c r="W184" i="2"/>
  <c r="W93" i="2"/>
  <c r="W138" i="2"/>
  <c r="W216" i="2" s="1"/>
  <c r="W177" i="2"/>
  <c r="W82" i="2"/>
  <c r="W127" i="2"/>
  <c r="W205" i="2" s="1"/>
  <c r="W165" i="2"/>
  <c r="W71" i="2"/>
  <c r="W106" i="2"/>
  <c r="W116" i="2"/>
  <c r="W194" i="2" s="1"/>
  <c r="W155" i="2"/>
  <c r="U147" i="2"/>
  <c r="U225" i="2" s="1"/>
  <c r="U186" i="2"/>
  <c r="U41" i="2"/>
  <c r="U95" i="2"/>
  <c r="U140" i="2"/>
  <c r="U218" i="2" s="1"/>
  <c r="U179" i="2"/>
  <c r="U83" i="2"/>
  <c r="U128" i="2"/>
  <c r="U206" i="2" s="1"/>
  <c r="U167" i="2"/>
  <c r="U107" i="2"/>
  <c r="U74" i="2"/>
  <c r="U119" i="2"/>
  <c r="U197" i="2" s="1"/>
  <c r="U158" i="2"/>
  <c r="Q99" i="2"/>
  <c r="Q144" i="2"/>
  <c r="Q222" i="2" s="1"/>
  <c r="Q183" i="2"/>
  <c r="Q37" i="2"/>
  <c r="Q91" i="2"/>
  <c r="Q136" i="2"/>
  <c r="Q214" i="2" s="1"/>
  <c r="Q175" i="2"/>
  <c r="Q80" i="2"/>
  <c r="Q125" i="2"/>
  <c r="Q203" i="2" s="1"/>
  <c r="Q164" i="2"/>
  <c r="Q115" i="2"/>
  <c r="Q193" i="2" s="1"/>
  <c r="Q154" i="2"/>
  <c r="J7" i="718" a="1"/>
  <c r="BQ3" i="695"/>
  <c r="AW6" i="695"/>
  <c r="BQ6" i="695" s="1"/>
  <c r="CK6" i="695" s="1"/>
  <c r="DE6" i="695" s="1"/>
  <c r="DY6" i="695" s="1"/>
  <c r="ES6" i="695" s="1"/>
  <c r="FM6" i="695" s="1"/>
  <c r="GG6" i="695" s="1"/>
  <c r="HA6" i="695" s="1"/>
  <c r="HU6" i="695" s="1"/>
  <c r="IO6" i="695" s="1"/>
  <c r="JI6" i="695" s="1"/>
  <c r="KC6" i="695" s="1"/>
  <c r="KW6" i="695" s="1"/>
  <c r="LQ6" i="695" s="1"/>
  <c r="MK6" i="695" s="1"/>
  <c r="NE6" i="695" s="1"/>
  <c r="NY6" i="695" s="1"/>
  <c r="OS6" i="695" s="1"/>
  <c r="PM6" i="695" s="1"/>
  <c r="QG6" i="695" s="1"/>
  <c r="RA6" i="695" s="1"/>
  <c r="RU6" i="695" s="1"/>
  <c r="SO6" i="695" s="1"/>
  <c r="TI6" i="695" s="1"/>
  <c r="UC6" i="695" s="1"/>
  <c r="UW6" i="695" s="1"/>
  <c r="AW7" i="695"/>
  <c r="AW9" i="695"/>
  <c r="AW10" i="695"/>
  <c r="AW11" i="695"/>
  <c r="AW12" i="695"/>
  <c r="AW13" i="695"/>
  <c r="AW14" i="695"/>
  <c r="AW15" i="695"/>
  <c r="AW16" i="695"/>
  <c r="AW17" i="695"/>
  <c r="AW8" i="695"/>
  <c r="BI3" i="695"/>
  <c r="AO6" i="695"/>
  <c r="BI6" i="695" s="1"/>
  <c r="CC6" i="695" s="1"/>
  <c r="CW6" i="695" s="1"/>
  <c r="DQ6" i="695" s="1"/>
  <c r="EK6" i="695" s="1"/>
  <c r="FE6" i="695" s="1"/>
  <c r="FY6" i="695" s="1"/>
  <c r="GS6" i="695" s="1"/>
  <c r="HM6" i="695" s="1"/>
  <c r="IG6" i="695" s="1"/>
  <c r="JA6" i="695" s="1"/>
  <c r="JU6" i="695" s="1"/>
  <c r="KO6" i="695" s="1"/>
  <c r="LI6" i="695" s="1"/>
  <c r="MC6" i="695" s="1"/>
  <c r="MW6" i="695" s="1"/>
  <c r="NQ6" i="695" s="1"/>
  <c r="OK6" i="695" s="1"/>
  <c r="PE6" i="695" s="1"/>
  <c r="PY6" i="695" s="1"/>
  <c r="QS6" i="695" s="1"/>
  <c r="RM6" i="695" s="1"/>
  <c r="SG6" i="695" s="1"/>
  <c r="TA6" i="695" s="1"/>
  <c r="TU6" i="695" s="1"/>
  <c r="UO6" i="695" s="1"/>
  <c r="AO7" i="695"/>
  <c r="AO9" i="695"/>
  <c r="AO10" i="695"/>
  <c r="AO11" i="695"/>
  <c r="AO12" i="695"/>
  <c r="AO13" i="695"/>
  <c r="AO14" i="695"/>
  <c r="AO15" i="695"/>
  <c r="AO16" i="695"/>
  <c r="AO17" i="695"/>
  <c r="AO8" i="695"/>
  <c r="BA3" i="695"/>
  <c r="AG6" i="695"/>
  <c r="BA6" i="695" s="1"/>
  <c r="BU6" i="695" s="1"/>
  <c r="CO6" i="695" s="1"/>
  <c r="DI6" i="695" s="1"/>
  <c r="EC6" i="695" s="1"/>
  <c r="EW6" i="695" s="1"/>
  <c r="FQ6" i="695" s="1"/>
  <c r="GK6" i="695" s="1"/>
  <c r="HE6" i="695" s="1"/>
  <c r="HY6" i="695" s="1"/>
  <c r="IS6" i="695" s="1"/>
  <c r="JM6" i="695" s="1"/>
  <c r="KG6" i="695" s="1"/>
  <c r="LA6" i="695" s="1"/>
  <c r="LU6" i="695" s="1"/>
  <c r="MO6" i="695" s="1"/>
  <c r="NI6" i="695" s="1"/>
  <c r="OC6" i="695" s="1"/>
  <c r="OW6" i="695" s="1"/>
  <c r="PQ6" i="695" s="1"/>
  <c r="QK6" i="695" s="1"/>
  <c r="RE6" i="695" s="1"/>
  <c r="RY6" i="695" s="1"/>
  <c r="SS6" i="695" s="1"/>
  <c r="TM6" i="695" s="1"/>
  <c r="UG6" i="695" s="1"/>
  <c r="AG7" i="695"/>
  <c r="AG9" i="695"/>
  <c r="AG10" i="695"/>
  <c r="AG11" i="695"/>
  <c r="AG12" i="695"/>
  <c r="AG13" i="695"/>
  <c r="AG14" i="695"/>
  <c r="AG15" i="695"/>
  <c r="AG16" i="695"/>
  <c r="AG17" i="695"/>
  <c r="AG8" i="695"/>
  <c r="O34" i="2"/>
  <c r="O88" i="2"/>
  <c r="O133" i="2"/>
  <c r="O211" i="2" s="1"/>
  <c r="O172" i="2"/>
  <c r="O78" i="2"/>
  <c r="O123" i="2"/>
  <c r="O201" i="2" s="1"/>
  <c r="O162" i="2"/>
  <c r="N48" i="2"/>
  <c r="N87" i="2"/>
  <c r="N132" i="2"/>
  <c r="N210" i="2" s="1"/>
  <c r="N171" i="2"/>
  <c r="N109" i="2"/>
  <c r="N76" i="2"/>
  <c r="N121" i="2"/>
  <c r="N199" i="2" s="1"/>
  <c r="N160" i="2"/>
  <c r="M48" i="2"/>
  <c r="M87" i="2"/>
  <c r="M171" i="2"/>
  <c r="M109" i="2"/>
  <c r="M76" i="2"/>
  <c r="M160" i="2"/>
  <c r="P102" i="2"/>
  <c r="P101" i="2"/>
  <c r="P146" i="2"/>
  <c r="P224" i="2" s="1"/>
  <c r="P185" i="2"/>
  <c r="P94" i="2"/>
  <c r="P139" i="2"/>
  <c r="P217" i="2" s="1"/>
  <c r="P178" i="2"/>
  <c r="P83" i="2"/>
  <c r="P128" i="2"/>
  <c r="P206" i="2" s="1"/>
  <c r="P167" i="2"/>
  <c r="P72" i="2"/>
  <c r="P117" i="2"/>
  <c r="P195" i="2" s="1"/>
  <c r="P156" i="2"/>
  <c r="B53" i="1646"/>
  <c r="D161" i="694"/>
  <c r="K25" i="83"/>
  <c r="K30" i="83"/>
  <c r="V77" i="2"/>
  <c r="V122" i="2"/>
  <c r="V200" i="2" s="1"/>
  <c r="V161" i="2"/>
  <c r="V110" i="2"/>
  <c r="BJ3" i="83"/>
  <c r="AP6" i="83"/>
  <c r="BJ6" i="83" s="1"/>
  <c r="CD6" i="83" s="1"/>
  <c r="CX6" i="83" s="1"/>
  <c r="DR6" i="83" s="1"/>
  <c r="EL6" i="83" s="1"/>
  <c r="FF6" i="83" s="1"/>
  <c r="FZ6" i="83" s="1"/>
  <c r="GT6" i="83" s="1"/>
  <c r="HN6" i="83" s="1"/>
  <c r="IH6" i="83" s="1"/>
  <c r="JB6" i="83" s="1"/>
  <c r="JV6" i="83" s="1"/>
  <c r="AP9" i="83"/>
  <c r="AP10" i="83"/>
  <c r="AP11" i="83"/>
  <c r="AP12" i="83"/>
  <c r="AP13" i="83"/>
  <c r="AP14" i="83"/>
  <c r="AP15" i="83"/>
  <c r="AP16" i="83"/>
  <c r="AP17" i="83"/>
  <c r="AP7" i="83"/>
  <c r="AP8" i="83"/>
  <c r="G25" i="695"/>
  <c r="G29" i="695"/>
  <c r="H7" i="718" a="1"/>
  <c r="O37" i="2"/>
  <c r="O91" i="2"/>
  <c r="O136" i="2"/>
  <c r="O214" i="2" s="1"/>
  <c r="O175" i="2"/>
  <c r="N90" i="2"/>
  <c r="N135" i="2"/>
  <c r="N213" i="2" s="1"/>
  <c r="N174" i="2"/>
  <c r="M90" i="2"/>
  <c r="M174" i="2"/>
  <c r="V109" i="2"/>
  <c r="V76" i="2"/>
  <c r="V121" i="2"/>
  <c r="V199" i="2" s="1"/>
  <c r="V160" i="2"/>
  <c r="V147" i="2"/>
  <c r="V225" i="2" s="1"/>
  <c r="V186" i="2"/>
  <c r="V41" i="2"/>
  <c r="V95" i="2"/>
  <c r="V140" i="2"/>
  <c r="V218" i="2" s="1"/>
  <c r="V179" i="2"/>
  <c r="V83" i="2"/>
  <c r="V128" i="2"/>
  <c r="V206" i="2" s="1"/>
  <c r="V167" i="2"/>
  <c r="V107" i="2"/>
  <c r="V74" i="2"/>
  <c r="V119" i="2"/>
  <c r="V197" i="2" s="1"/>
  <c r="V158" i="2"/>
  <c r="T34" i="2"/>
  <c r="T88" i="2"/>
  <c r="T133" i="2"/>
  <c r="T211" i="2" s="1"/>
  <c r="T172" i="2"/>
  <c r="T110" i="2"/>
  <c r="T77" i="2"/>
  <c r="T122" i="2"/>
  <c r="T200" i="2" s="1"/>
  <c r="T161" i="2"/>
  <c r="J7" i="82" a="1"/>
  <c r="S101" i="2"/>
  <c r="S146" i="2"/>
  <c r="S224" i="2" s="1"/>
  <c r="S185" i="2"/>
  <c r="S102" i="2"/>
  <c r="S94" i="2"/>
  <c r="S139" i="2"/>
  <c r="S217" i="2" s="1"/>
  <c r="S178" i="2"/>
  <c r="S83" i="2"/>
  <c r="S128" i="2"/>
  <c r="S206" i="2" s="1"/>
  <c r="S167" i="2"/>
  <c r="S72" i="2"/>
  <c r="S117" i="2"/>
  <c r="S195" i="2" s="1"/>
  <c r="S156" i="2"/>
  <c r="R34" i="2"/>
  <c r="R88" i="2"/>
  <c r="R133" i="2"/>
  <c r="R211" i="2" s="1"/>
  <c r="R172" i="2"/>
  <c r="R78" i="2"/>
  <c r="R123" i="2"/>
  <c r="R201" i="2" s="1"/>
  <c r="R162" i="2"/>
  <c r="AU6" i="83"/>
  <c r="BO6" i="83" s="1"/>
  <c r="CI6" i="83" s="1"/>
  <c r="DC6" i="83" s="1"/>
  <c r="DW6" i="83" s="1"/>
  <c r="EQ6" i="83" s="1"/>
  <c r="FK6" i="83" s="1"/>
  <c r="GE6" i="83" s="1"/>
  <c r="GY6" i="83" s="1"/>
  <c r="HS6" i="83" s="1"/>
  <c r="IM6" i="83" s="1"/>
  <c r="JG6" i="83" s="1"/>
  <c r="KA6" i="83" s="1"/>
  <c r="BO3" i="83"/>
  <c r="AU9" i="83"/>
  <c r="AU10" i="83"/>
  <c r="AU11" i="83"/>
  <c r="AU12" i="83"/>
  <c r="AU13" i="83"/>
  <c r="AU14" i="83"/>
  <c r="AU15" i="83"/>
  <c r="AU16" i="83"/>
  <c r="AU17" i="83"/>
  <c r="AU7" i="83"/>
  <c r="AU8" i="83"/>
  <c r="BG3" i="83"/>
  <c r="AM6" i="83"/>
  <c r="BG6" i="83" s="1"/>
  <c r="CA6" i="83" s="1"/>
  <c r="CU6" i="83" s="1"/>
  <c r="DO6" i="83" s="1"/>
  <c r="EI6" i="83" s="1"/>
  <c r="FC6" i="83" s="1"/>
  <c r="FW6" i="83" s="1"/>
  <c r="GQ6" i="83" s="1"/>
  <c r="HK6" i="83" s="1"/>
  <c r="IE6" i="83" s="1"/>
  <c r="IY6" i="83" s="1"/>
  <c r="JS6" i="83" s="1"/>
  <c r="AM9" i="83"/>
  <c r="AM10" i="83"/>
  <c r="AM11" i="83"/>
  <c r="AM12" i="83"/>
  <c r="AM13" i="83"/>
  <c r="AM14" i="83"/>
  <c r="AM15" i="83"/>
  <c r="AM16" i="83"/>
  <c r="AM17" i="83"/>
  <c r="AM7" i="83"/>
  <c r="AM8" i="83"/>
  <c r="W99" i="2"/>
  <c r="W144" i="2"/>
  <c r="W222" i="2" s="1"/>
  <c r="W183" i="2"/>
  <c r="W37" i="2"/>
  <c r="W91" i="2"/>
  <c r="W136" i="2"/>
  <c r="W214" i="2" s="1"/>
  <c r="W175" i="2"/>
  <c r="W80" i="2"/>
  <c r="W125" i="2"/>
  <c r="W203" i="2" s="1"/>
  <c r="W164" i="2"/>
  <c r="W115" i="2"/>
  <c r="W193" i="2" s="1"/>
  <c r="W154" i="2"/>
  <c r="U102" i="2"/>
  <c r="U101" i="2"/>
  <c r="U146" i="2"/>
  <c r="U224" i="2" s="1"/>
  <c r="U185" i="2"/>
  <c r="U94" i="2"/>
  <c r="U139" i="2"/>
  <c r="U217" i="2" s="1"/>
  <c r="U178" i="2"/>
  <c r="U166" i="2"/>
  <c r="U81" i="2"/>
  <c r="U126" i="2"/>
  <c r="U204" i="2" s="1"/>
  <c r="U72" i="2"/>
  <c r="U117" i="2"/>
  <c r="U195" i="2" s="1"/>
  <c r="U156" i="2"/>
  <c r="Q149" i="2"/>
  <c r="Q227" i="2" s="1"/>
  <c r="Q188" i="2"/>
  <c r="Q90" i="2"/>
  <c r="Q135" i="2"/>
  <c r="Q213" i="2" s="1"/>
  <c r="Q174" i="2"/>
  <c r="Q110" i="2"/>
  <c r="Q77" i="2"/>
  <c r="Q122" i="2"/>
  <c r="Q200" i="2" s="1"/>
  <c r="Q161" i="2"/>
  <c r="E7" i="718" a="1"/>
  <c r="BP3" i="695"/>
  <c r="AV6" i="695"/>
  <c r="BP6" i="695" s="1"/>
  <c r="CJ6" i="695" s="1"/>
  <c r="DD6" i="695" s="1"/>
  <c r="DX6" i="695" s="1"/>
  <c r="ER6" i="695" s="1"/>
  <c r="FL6" i="695" s="1"/>
  <c r="GF6" i="695" s="1"/>
  <c r="GZ6" i="695" s="1"/>
  <c r="HT6" i="695" s="1"/>
  <c r="IN6" i="695" s="1"/>
  <c r="JH6" i="695" s="1"/>
  <c r="KB6" i="695" s="1"/>
  <c r="KV6" i="695" s="1"/>
  <c r="LP6" i="695" s="1"/>
  <c r="MJ6" i="695" s="1"/>
  <c r="ND6" i="695" s="1"/>
  <c r="NX6" i="695" s="1"/>
  <c r="OR6" i="695" s="1"/>
  <c r="PL6" i="695" s="1"/>
  <c r="QF6" i="695" s="1"/>
  <c r="QZ6" i="695" s="1"/>
  <c r="RT6" i="695" s="1"/>
  <c r="SN6" i="695" s="1"/>
  <c r="TH6" i="695" s="1"/>
  <c r="UB6" i="695" s="1"/>
  <c r="UV6" i="695" s="1"/>
  <c r="AV7" i="695"/>
  <c r="AV9" i="695"/>
  <c r="AV10" i="695"/>
  <c r="AV11" i="695"/>
  <c r="AV12" i="695"/>
  <c r="AV13" i="695"/>
  <c r="AV14" i="695"/>
  <c r="AV15" i="695"/>
  <c r="AV16" i="695"/>
  <c r="AV17" i="695"/>
  <c r="AV8" i="695"/>
  <c r="BH3" i="695"/>
  <c r="AN6" i="695"/>
  <c r="BH6" i="695" s="1"/>
  <c r="CB6" i="695" s="1"/>
  <c r="CV6" i="695" s="1"/>
  <c r="DP6" i="695" s="1"/>
  <c r="EJ6" i="695" s="1"/>
  <c r="FD6" i="695" s="1"/>
  <c r="FX6" i="695" s="1"/>
  <c r="GR6" i="695" s="1"/>
  <c r="HL6" i="695" s="1"/>
  <c r="IF6" i="695" s="1"/>
  <c r="IZ6" i="695" s="1"/>
  <c r="JT6" i="695" s="1"/>
  <c r="KN6" i="695" s="1"/>
  <c r="LH6" i="695" s="1"/>
  <c r="MB6" i="695" s="1"/>
  <c r="MV6" i="695" s="1"/>
  <c r="NP6" i="695" s="1"/>
  <c r="OJ6" i="695" s="1"/>
  <c r="PD6" i="695" s="1"/>
  <c r="PX6" i="695" s="1"/>
  <c r="QR6" i="695" s="1"/>
  <c r="RL6" i="695" s="1"/>
  <c r="SF6" i="695" s="1"/>
  <c r="SZ6" i="695" s="1"/>
  <c r="TT6" i="695" s="1"/>
  <c r="UN6" i="695" s="1"/>
  <c r="AN7" i="695"/>
  <c r="AN9" i="695"/>
  <c r="AN10" i="695"/>
  <c r="AN11" i="695"/>
  <c r="AN12" i="695"/>
  <c r="AN13" i="695"/>
  <c r="AN14" i="695"/>
  <c r="AN15" i="695"/>
  <c r="AN16" i="695"/>
  <c r="AN17" i="695"/>
  <c r="AN8" i="695"/>
  <c r="AZ3" i="695"/>
  <c r="AF6" i="695"/>
  <c r="AZ6" i="695" s="1"/>
  <c r="BT6" i="695" s="1"/>
  <c r="CN6" i="695" s="1"/>
  <c r="DH6" i="695" s="1"/>
  <c r="EB6" i="695" s="1"/>
  <c r="EV6" i="695" s="1"/>
  <c r="FP6" i="695" s="1"/>
  <c r="GJ6" i="695" s="1"/>
  <c r="HD6" i="695" s="1"/>
  <c r="HX6" i="695" s="1"/>
  <c r="IR6" i="695" s="1"/>
  <c r="JL6" i="695" s="1"/>
  <c r="KF6" i="695" s="1"/>
  <c r="KZ6" i="695" s="1"/>
  <c r="LT6" i="695" s="1"/>
  <c r="MN6" i="695" s="1"/>
  <c r="NH6" i="695" s="1"/>
  <c r="OB6" i="695" s="1"/>
  <c r="OV6" i="695" s="1"/>
  <c r="PP6" i="695" s="1"/>
  <c r="QJ6" i="695" s="1"/>
  <c r="RD6" i="695" s="1"/>
  <c r="RX6" i="695" s="1"/>
  <c r="SR6" i="695" s="1"/>
  <c r="TL6" i="695" s="1"/>
  <c r="UF6" i="695" s="1"/>
  <c r="AF7" i="695"/>
  <c r="AF9" i="695"/>
  <c r="AF10" i="695"/>
  <c r="AF11" i="695"/>
  <c r="AF12" i="695"/>
  <c r="AF13" i="695"/>
  <c r="AF14" i="695"/>
  <c r="AF15" i="695"/>
  <c r="AF16" i="695"/>
  <c r="AF17" i="695"/>
  <c r="AF8" i="695"/>
  <c r="O48" i="2"/>
  <c r="O87" i="2"/>
  <c r="O132" i="2"/>
  <c r="O210" i="2" s="1"/>
  <c r="O171" i="2"/>
  <c r="O109" i="2"/>
  <c r="O76" i="2"/>
  <c r="O121" i="2"/>
  <c r="O199" i="2" s="1"/>
  <c r="O160" i="2"/>
  <c r="N86" i="2"/>
  <c r="N131" i="2"/>
  <c r="N209" i="2" s="1"/>
  <c r="N170" i="2"/>
  <c r="N75" i="2"/>
  <c r="N120" i="2"/>
  <c r="N198" i="2" s="1"/>
  <c r="N159" i="2"/>
  <c r="N108" i="2"/>
  <c r="M86" i="2"/>
  <c r="M170" i="2"/>
  <c r="M75" i="2"/>
  <c r="M159" i="2"/>
  <c r="M108" i="2"/>
  <c r="P100" i="2"/>
  <c r="P145" i="2"/>
  <c r="P223" i="2" s="1"/>
  <c r="P184" i="2"/>
  <c r="P93" i="2"/>
  <c r="P138" i="2"/>
  <c r="P216" i="2" s="1"/>
  <c r="P177" i="2"/>
  <c r="P82" i="2"/>
  <c r="P127" i="2"/>
  <c r="P205" i="2" s="1"/>
  <c r="P165" i="2"/>
  <c r="P71" i="2"/>
  <c r="P106" i="2"/>
  <c r="P116" i="2"/>
  <c r="P194" i="2" s="1"/>
  <c r="P155" i="2"/>
  <c r="C100" i="694"/>
  <c r="F23" i="2"/>
  <c r="F27" i="2" s="1"/>
  <c r="D125" i="694"/>
  <c r="T165" i="2"/>
  <c r="T82" i="2"/>
  <c r="T127" i="2"/>
  <c r="T205" i="2" s="1"/>
  <c r="G25" i="83"/>
  <c r="G30" i="83"/>
  <c r="I7" i="82" s="1" a="1"/>
  <c r="H7" i="82" a="1"/>
  <c r="R93" i="2"/>
  <c r="R138" i="2"/>
  <c r="R216" i="2" s="1"/>
  <c r="R177" i="2"/>
  <c r="W83" i="2"/>
  <c r="W128" i="2"/>
  <c r="W206" i="2" s="1"/>
  <c r="W167" i="2"/>
  <c r="U87" i="2"/>
  <c r="U132" i="2"/>
  <c r="U210" i="2" s="1"/>
  <c r="U171" i="2"/>
  <c r="Q72" i="2"/>
  <c r="Q117" i="2"/>
  <c r="Q195" i="2" s="1"/>
  <c r="Q156" i="2"/>
  <c r="N149" i="2"/>
  <c r="N227" i="2" s="1"/>
  <c r="N188" i="2"/>
  <c r="F9" i="694"/>
  <c r="G8" i="694"/>
  <c r="F10" i="694"/>
  <c r="P75" i="2"/>
  <c r="P120" i="2"/>
  <c r="P198" i="2" s="1"/>
  <c r="P159" i="2"/>
  <c r="P108" i="2"/>
  <c r="V102" i="2"/>
  <c r="V101" i="2"/>
  <c r="V146" i="2"/>
  <c r="V224" i="2" s="1"/>
  <c r="V185" i="2"/>
  <c r="V94" i="2"/>
  <c r="V139" i="2"/>
  <c r="V217" i="2" s="1"/>
  <c r="V178" i="2"/>
  <c r="V166" i="2"/>
  <c r="V81" i="2"/>
  <c r="V126" i="2"/>
  <c r="V204" i="2" s="1"/>
  <c r="V72" i="2"/>
  <c r="V117" i="2"/>
  <c r="V195" i="2" s="1"/>
  <c r="V156" i="2"/>
  <c r="T48" i="2"/>
  <c r="T87" i="2"/>
  <c r="T132" i="2"/>
  <c r="T210" i="2" s="1"/>
  <c r="T171" i="2"/>
  <c r="T76" i="2"/>
  <c r="T121" i="2"/>
  <c r="T199" i="2" s="1"/>
  <c r="T160" i="2"/>
  <c r="T109" i="2"/>
  <c r="G9" i="82"/>
  <c r="U9" i="82" s="1"/>
  <c r="G17" i="82"/>
  <c r="G25" i="82"/>
  <c r="G20" i="82"/>
  <c r="G10" i="82"/>
  <c r="U10" i="82" s="1"/>
  <c r="G18" i="82"/>
  <c r="G26" i="82"/>
  <c r="G12" i="82"/>
  <c r="G11" i="82"/>
  <c r="U11" i="82" s="1"/>
  <c r="G19" i="82"/>
  <c r="U19" i="82" s="1"/>
  <c r="G27" i="82"/>
  <c r="U27" i="82" s="1"/>
  <c r="G14" i="82"/>
  <c r="G22" i="82"/>
  <c r="G7" i="82"/>
  <c r="G15" i="82"/>
  <c r="G23" i="82"/>
  <c r="G8" i="82"/>
  <c r="G16" i="82"/>
  <c r="G24" i="82"/>
  <c r="G13" i="82"/>
  <c r="U13" i="82" s="1"/>
  <c r="G21" i="82"/>
  <c r="S100" i="2"/>
  <c r="S145" i="2"/>
  <c r="S223" i="2" s="1"/>
  <c r="S184" i="2"/>
  <c r="S93" i="2"/>
  <c r="S138" i="2"/>
  <c r="S216" i="2" s="1"/>
  <c r="S177" i="2"/>
  <c r="S165" i="2"/>
  <c r="S82" i="2"/>
  <c r="S127" i="2"/>
  <c r="S205" i="2" s="1"/>
  <c r="S71" i="2"/>
  <c r="S106" i="2"/>
  <c r="S116" i="2"/>
  <c r="S194" i="2" s="1"/>
  <c r="S155" i="2"/>
  <c r="R48" i="2"/>
  <c r="R87" i="2"/>
  <c r="R132" i="2"/>
  <c r="R210" i="2" s="1"/>
  <c r="R171" i="2"/>
  <c r="R76" i="2"/>
  <c r="R121" i="2"/>
  <c r="R199" i="2" s="1"/>
  <c r="R160" i="2"/>
  <c r="R109" i="2"/>
  <c r="BN3" i="83"/>
  <c r="AT6" i="83"/>
  <c r="BN6" i="83" s="1"/>
  <c r="CH6" i="83" s="1"/>
  <c r="DB6" i="83" s="1"/>
  <c r="DV6" i="83" s="1"/>
  <c r="EP6" i="83" s="1"/>
  <c r="FJ6" i="83" s="1"/>
  <c r="GD6" i="83" s="1"/>
  <c r="GX6" i="83" s="1"/>
  <c r="HR6" i="83" s="1"/>
  <c r="IL6" i="83" s="1"/>
  <c r="JF6" i="83" s="1"/>
  <c r="JZ6" i="83" s="1"/>
  <c r="AT9" i="83"/>
  <c r="AT10" i="83"/>
  <c r="AT11" i="83"/>
  <c r="AT12" i="83"/>
  <c r="AT13" i="83"/>
  <c r="AT14" i="83"/>
  <c r="AT15" i="83"/>
  <c r="AT16" i="83"/>
  <c r="AT17" i="83"/>
  <c r="AT7" i="83"/>
  <c r="AT8" i="83"/>
  <c r="BF3" i="83"/>
  <c r="AL6" i="83"/>
  <c r="BF6" i="83" s="1"/>
  <c r="BZ6" i="83" s="1"/>
  <c r="CT6" i="83" s="1"/>
  <c r="DN6" i="83" s="1"/>
  <c r="EH6" i="83" s="1"/>
  <c r="FB6" i="83" s="1"/>
  <c r="FV6" i="83" s="1"/>
  <c r="GP6" i="83" s="1"/>
  <c r="HJ6" i="83" s="1"/>
  <c r="ID6" i="83" s="1"/>
  <c r="IX6" i="83" s="1"/>
  <c r="JR6" i="83" s="1"/>
  <c r="AL9" i="83"/>
  <c r="AL10" i="83"/>
  <c r="AL11" i="83"/>
  <c r="AL12" i="83"/>
  <c r="AL13" i="83"/>
  <c r="AL14" i="83"/>
  <c r="AL15" i="83"/>
  <c r="AL16" i="83"/>
  <c r="AL17" i="83"/>
  <c r="AL7" i="83"/>
  <c r="AL8" i="83"/>
  <c r="W149" i="2"/>
  <c r="W227" i="2" s="1"/>
  <c r="W188" i="2"/>
  <c r="W90" i="2"/>
  <c r="W135" i="2"/>
  <c r="W213" i="2" s="1"/>
  <c r="W174" i="2"/>
  <c r="W78" i="2"/>
  <c r="W123" i="2"/>
  <c r="W201" i="2" s="1"/>
  <c r="W162" i="2"/>
  <c r="U100" i="2"/>
  <c r="U145" i="2"/>
  <c r="U223" i="2" s="1"/>
  <c r="U184" i="2"/>
  <c r="U93" i="2"/>
  <c r="U138" i="2"/>
  <c r="U216" i="2" s="1"/>
  <c r="U177" i="2"/>
  <c r="U82" i="2"/>
  <c r="U127" i="2"/>
  <c r="U205" i="2" s="1"/>
  <c r="U165" i="2"/>
  <c r="U71" i="2"/>
  <c r="U106" i="2"/>
  <c r="U116" i="2"/>
  <c r="U194" i="2" s="1"/>
  <c r="U155" i="2"/>
  <c r="Q34" i="2"/>
  <c r="Q88" i="2"/>
  <c r="Q133" i="2"/>
  <c r="Q211" i="2" s="1"/>
  <c r="Q172" i="2"/>
  <c r="Q78" i="2"/>
  <c r="Q123" i="2"/>
  <c r="Q201" i="2" s="1"/>
  <c r="Q162" i="2"/>
  <c r="AU6" i="695"/>
  <c r="BO6" i="695" s="1"/>
  <c r="CI6" i="695" s="1"/>
  <c r="DC6" i="695" s="1"/>
  <c r="DW6" i="695" s="1"/>
  <c r="EQ6" i="695" s="1"/>
  <c r="FK6" i="695" s="1"/>
  <c r="GE6" i="695" s="1"/>
  <c r="GY6" i="695" s="1"/>
  <c r="HS6" i="695" s="1"/>
  <c r="IM6" i="695" s="1"/>
  <c r="JG6" i="695" s="1"/>
  <c r="KA6" i="695" s="1"/>
  <c r="KU6" i="695" s="1"/>
  <c r="LO6" i="695" s="1"/>
  <c r="MI6" i="695" s="1"/>
  <c r="NC6" i="695" s="1"/>
  <c r="NW6" i="695" s="1"/>
  <c r="OQ6" i="695" s="1"/>
  <c r="PK6" i="695" s="1"/>
  <c r="QE6" i="695" s="1"/>
  <c r="QY6" i="695" s="1"/>
  <c r="RS6" i="695" s="1"/>
  <c r="SM6" i="695" s="1"/>
  <c r="TG6" i="695" s="1"/>
  <c r="UA6" i="695" s="1"/>
  <c r="UU6" i="695" s="1"/>
  <c r="BO3" i="695"/>
  <c r="AU7" i="695"/>
  <c r="AU9" i="695"/>
  <c r="AU10" i="695"/>
  <c r="AU11" i="695"/>
  <c r="AU12" i="695"/>
  <c r="AU13" i="695"/>
  <c r="AU14" i="695"/>
  <c r="AU15" i="695"/>
  <c r="AU16" i="695"/>
  <c r="AU17" i="695"/>
  <c r="AU8" i="695"/>
  <c r="AM6" i="695"/>
  <c r="BG6" i="695" s="1"/>
  <c r="CA6" i="695" s="1"/>
  <c r="CU6" i="695" s="1"/>
  <c r="DO6" i="695" s="1"/>
  <c r="EI6" i="695" s="1"/>
  <c r="FC6" i="695" s="1"/>
  <c r="FW6" i="695" s="1"/>
  <c r="GQ6" i="695" s="1"/>
  <c r="HK6" i="695" s="1"/>
  <c r="IE6" i="695" s="1"/>
  <c r="IY6" i="695" s="1"/>
  <c r="JS6" i="695" s="1"/>
  <c r="KM6" i="695" s="1"/>
  <c r="LG6" i="695" s="1"/>
  <c r="MA6" i="695" s="1"/>
  <c r="MU6" i="695" s="1"/>
  <c r="NO6" i="695" s="1"/>
  <c r="OI6" i="695" s="1"/>
  <c r="PC6" i="695" s="1"/>
  <c r="PW6" i="695" s="1"/>
  <c r="QQ6" i="695" s="1"/>
  <c r="RK6" i="695" s="1"/>
  <c r="SE6" i="695" s="1"/>
  <c r="SY6" i="695" s="1"/>
  <c r="TS6" i="695" s="1"/>
  <c r="UM6" i="695" s="1"/>
  <c r="BG3" i="695"/>
  <c r="AM7" i="695"/>
  <c r="AM9" i="695"/>
  <c r="AM10" i="695"/>
  <c r="AM11" i="695"/>
  <c r="AM12" i="695"/>
  <c r="AM13" i="695"/>
  <c r="AM14" i="695"/>
  <c r="AM15" i="695"/>
  <c r="AM16" i="695"/>
  <c r="AM17" i="695"/>
  <c r="AM8" i="695"/>
  <c r="AE6" i="695"/>
  <c r="AY6" i="695" s="1"/>
  <c r="BS6" i="695" s="1"/>
  <c r="CM6" i="695" s="1"/>
  <c r="DG6" i="695" s="1"/>
  <c r="EA6" i="695" s="1"/>
  <c r="EU6" i="695" s="1"/>
  <c r="FO6" i="695" s="1"/>
  <c r="GI6" i="695" s="1"/>
  <c r="HC6" i="695" s="1"/>
  <c r="HW6" i="695" s="1"/>
  <c r="IQ6" i="695" s="1"/>
  <c r="JK6" i="695" s="1"/>
  <c r="KE6" i="695" s="1"/>
  <c r="KY6" i="695" s="1"/>
  <c r="LS6" i="695" s="1"/>
  <c r="MM6" i="695" s="1"/>
  <c r="NG6" i="695" s="1"/>
  <c r="OA6" i="695" s="1"/>
  <c r="OU6" i="695" s="1"/>
  <c r="PO6" i="695" s="1"/>
  <c r="QI6" i="695" s="1"/>
  <c r="RC6" i="695" s="1"/>
  <c r="RW6" i="695" s="1"/>
  <c r="SQ6" i="695" s="1"/>
  <c r="TK6" i="695" s="1"/>
  <c r="UE6" i="695" s="1"/>
  <c r="AY3" i="695"/>
  <c r="AE9" i="695"/>
  <c r="AE22" i="695" s="1"/>
  <c r="AE10" i="695"/>
  <c r="AE11" i="695"/>
  <c r="AE12" i="695"/>
  <c r="AE13" i="695"/>
  <c r="AE14" i="695"/>
  <c r="AE15" i="695"/>
  <c r="AE16" i="695"/>
  <c r="AE17" i="695"/>
  <c r="O86" i="2"/>
  <c r="O131" i="2"/>
  <c r="O209" i="2" s="1"/>
  <c r="O170" i="2"/>
  <c r="O75" i="2"/>
  <c r="O120" i="2"/>
  <c r="O198" i="2" s="1"/>
  <c r="O159" i="2"/>
  <c r="O108" i="2"/>
  <c r="N147" i="2"/>
  <c r="N225" i="2" s="1"/>
  <c r="N186" i="2"/>
  <c r="N41" i="2"/>
  <c r="N95" i="2"/>
  <c r="N140" i="2"/>
  <c r="N218" i="2" s="1"/>
  <c r="N179" i="2"/>
  <c r="N83" i="2"/>
  <c r="N128" i="2"/>
  <c r="N206" i="2" s="1"/>
  <c r="N167" i="2"/>
  <c r="N107" i="2"/>
  <c r="N74" i="2"/>
  <c r="N119" i="2"/>
  <c r="N197" i="2" s="1"/>
  <c r="N158" i="2"/>
  <c r="M186" i="2"/>
  <c r="M41" i="2"/>
  <c r="M95" i="2"/>
  <c r="M179" i="2"/>
  <c r="M83" i="2"/>
  <c r="M167" i="2"/>
  <c r="M107" i="2"/>
  <c r="M74" i="2"/>
  <c r="M158" i="2"/>
  <c r="P99" i="2"/>
  <c r="P144" i="2"/>
  <c r="P222" i="2" s="1"/>
  <c r="P183" i="2"/>
  <c r="P37" i="2"/>
  <c r="P91" i="2"/>
  <c r="P136" i="2"/>
  <c r="P214" i="2" s="1"/>
  <c r="P175" i="2"/>
  <c r="P80" i="2"/>
  <c r="P125" i="2"/>
  <c r="P203" i="2" s="1"/>
  <c r="P164" i="2"/>
  <c r="P115" i="2"/>
  <c r="P193" i="2" s="1"/>
  <c r="P154" i="2"/>
  <c r="AE25" i="83"/>
  <c r="AE30" i="83"/>
  <c r="T93" i="2"/>
  <c r="T138" i="2"/>
  <c r="T216" i="2" s="1"/>
  <c r="T177" i="2"/>
  <c r="BR3" i="83"/>
  <c r="AX6" i="83"/>
  <c r="BR6" i="83" s="1"/>
  <c r="CL6" i="83" s="1"/>
  <c r="DF6" i="83" s="1"/>
  <c r="DZ6" i="83" s="1"/>
  <c r="ET6" i="83" s="1"/>
  <c r="FN6" i="83" s="1"/>
  <c r="GH6" i="83" s="1"/>
  <c r="HB6" i="83" s="1"/>
  <c r="HV6" i="83" s="1"/>
  <c r="IP6" i="83" s="1"/>
  <c r="JJ6" i="83" s="1"/>
  <c r="KD6" i="83" s="1"/>
  <c r="AX9" i="83"/>
  <c r="AX10" i="83"/>
  <c r="AX11" i="83"/>
  <c r="AX12" i="83"/>
  <c r="AX13" i="83"/>
  <c r="AX14" i="83"/>
  <c r="AX15" i="83"/>
  <c r="AX16" i="83"/>
  <c r="AX17" i="83"/>
  <c r="AX7" i="83"/>
  <c r="AX8" i="83"/>
  <c r="W41" i="2"/>
  <c r="W95" i="2"/>
  <c r="W140" i="2"/>
  <c r="W218" i="2" s="1"/>
  <c r="W179" i="2"/>
  <c r="Q94" i="2"/>
  <c r="Q139" i="2"/>
  <c r="Q217" i="2" s="1"/>
  <c r="Q178" i="2"/>
  <c r="V100" i="2"/>
  <c r="V145" i="2"/>
  <c r="V223" i="2" s="1"/>
  <c r="V184" i="2"/>
  <c r="V93" i="2"/>
  <c r="V138" i="2"/>
  <c r="V216" i="2" s="1"/>
  <c r="V177" i="2"/>
  <c r="V82" i="2"/>
  <c r="V127" i="2"/>
  <c r="V205" i="2" s="1"/>
  <c r="V165" i="2"/>
  <c r="V71" i="2"/>
  <c r="V106" i="2"/>
  <c r="V116" i="2"/>
  <c r="V194" i="2" s="1"/>
  <c r="V155" i="2"/>
  <c r="T86" i="2"/>
  <c r="T131" i="2"/>
  <c r="T209" i="2" s="1"/>
  <c r="T170" i="2"/>
  <c r="T108" i="2"/>
  <c r="T75" i="2"/>
  <c r="T120" i="2"/>
  <c r="T198" i="2" s="1"/>
  <c r="T159" i="2"/>
  <c r="S99" i="2"/>
  <c r="S144" i="2"/>
  <c r="S222" i="2" s="1"/>
  <c r="S183" i="2"/>
  <c r="S37" i="2"/>
  <c r="S91" i="2"/>
  <c r="S136" i="2"/>
  <c r="S214" i="2" s="1"/>
  <c r="S175" i="2"/>
  <c r="S80" i="2"/>
  <c r="S125" i="2"/>
  <c r="S203" i="2" s="1"/>
  <c r="S164" i="2"/>
  <c r="S115" i="2"/>
  <c r="S193" i="2" s="1"/>
  <c r="S154" i="2"/>
  <c r="R86" i="2"/>
  <c r="R131" i="2"/>
  <c r="R209" i="2" s="1"/>
  <c r="R170" i="2"/>
  <c r="R108" i="2"/>
  <c r="R75" i="2"/>
  <c r="R120" i="2"/>
  <c r="R198" i="2" s="1"/>
  <c r="R159" i="2"/>
  <c r="AS6" i="83"/>
  <c r="BM6" i="83" s="1"/>
  <c r="CG6" i="83" s="1"/>
  <c r="DA6" i="83" s="1"/>
  <c r="DU6" i="83" s="1"/>
  <c r="EO6" i="83" s="1"/>
  <c r="FI6" i="83" s="1"/>
  <c r="GC6" i="83" s="1"/>
  <c r="GW6" i="83" s="1"/>
  <c r="HQ6" i="83" s="1"/>
  <c r="IK6" i="83" s="1"/>
  <c r="JE6" i="83" s="1"/>
  <c r="JY6" i="83" s="1"/>
  <c r="BM3" i="83"/>
  <c r="AS9" i="83"/>
  <c r="AS10" i="83"/>
  <c r="AS11" i="83"/>
  <c r="AS12" i="83"/>
  <c r="AS13" i="83"/>
  <c r="AS14" i="83"/>
  <c r="AS15" i="83"/>
  <c r="AS16" i="83"/>
  <c r="AS17" i="83"/>
  <c r="AS7" i="83"/>
  <c r="AS8" i="83"/>
  <c r="AK6" i="83"/>
  <c r="BE6" i="83" s="1"/>
  <c r="BY6" i="83" s="1"/>
  <c r="CS6" i="83" s="1"/>
  <c r="DM6" i="83" s="1"/>
  <c r="EG6" i="83" s="1"/>
  <c r="FA6" i="83" s="1"/>
  <c r="FU6" i="83" s="1"/>
  <c r="GO6" i="83" s="1"/>
  <c r="HI6" i="83" s="1"/>
  <c r="IC6" i="83" s="1"/>
  <c r="IW6" i="83" s="1"/>
  <c r="JQ6" i="83" s="1"/>
  <c r="BE3" i="83"/>
  <c r="AK9" i="83"/>
  <c r="AK10" i="83"/>
  <c r="AK11" i="83"/>
  <c r="AK12" i="83"/>
  <c r="AK13" i="83"/>
  <c r="AK14" i="83"/>
  <c r="AK15" i="83"/>
  <c r="AK16" i="83"/>
  <c r="AK17" i="83"/>
  <c r="AK7" i="83"/>
  <c r="AK8" i="83"/>
  <c r="W34" i="2"/>
  <c r="W88" i="2"/>
  <c r="W133" i="2"/>
  <c r="W211" i="2" s="1"/>
  <c r="W172" i="2"/>
  <c r="W77" i="2"/>
  <c r="W122" i="2"/>
  <c r="W200" i="2" s="1"/>
  <c r="W161" i="2"/>
  <c r="W110" i="2"/>
  <c r="U99" i="2"/>
  <c r="U144" i="2"/>
  <c r="U222" i="2" s="1"/>
  <c r="U183" i="2"/>
  <c r="U37" i="2"/>
  <c r="U91" i="2"/>
  <c r="U136" i="2"/>
  <c r="U214" i="2" s="1"/>
  <c r="U175" i="2"/>
  <c r="U80" i="2"/>
  <c r="U125" i="2"/>
  <c r="U203" i="2" s="1"/>
  <c r="U164" i="2"/>
  <c r="U115" i="2"/>
  <c r="U193" i="2" s="1"/>
  <c r="U154" i="2"/>
  <c r="R25" i="695"/>
  <c r="R29" i="695"/>
  <c r="Q48" i="2"/>
  <c r="Q87" i="2"/>
  <c r="Q132" i="2"/>
  <c r="Q210" i="2" s="1"/>
  <c r="Q171" i="2"/>
  <c r="Q76" i="2"/>
  <c r="Q121" i="2"/>
  <c r="Q199" i="2" s="1"/>
  <c r="Q160" i="2"/>
  <c r="Q109" i="2"/>
  <c r="G26" i="695"/>
  <c r="D7" i="718" a="1"/>
  <c r="AT6" i="695"/>
  <c r="BN6" i="695" s="1"/>
  <c r="CH6" i="695" s="1"/>
  <c r="DB6" i="695" s="1"/>
  <c r="DV6" i="695" s="1"/>
  <c r="EP6" i="695" s="1"/>
  <c r="FJ6" i="695" s="1"/>
  <c r="GD6" i="695" s="1"/>
  <c r="GX6" i="695" s="1"/>
  <c r="HR6" i="695" s="1"/>
  <c r="IL6" i="695" s="1"/>
  <c r="JF6" i="695" s="1"/>
  <c r="JZ6" i="695" s="1"/>
  <c r="KT6" i="695" s="1"/>
  <c r="LN6" i="695" s="1"/>
  <c r="MH6" i="695" s="1"/>
  <c r="NB6" i="695" s="1"/>
  <c r="NV6" i="695" s="1"/>
  <c r="OP6" i="695" s="1"/>
  <c r="PJ6" i="695" s="1"/>
  <c r="QD6" i="695" s="1"/>
  <c r="QX6" i="695" s="1"/>
  <c r="RR6" i="695" s="1"/>
  <c r="SL6" i="695" s="1"/>
  <c r="TF6" i="695" s="1"/>
  <c r="TZ6" i="695" s="1"/>
  <c r="UT6" i="695" s="1"/>
  <c r="BN3" i="695"/>
  <c r="AT7" i="695"/>
  <c r="AT9" i="695"/>
  <c r="AT10" i="695"/>
  <c r="AT11" i="695"/>
  <c r="AT12" i="695"/>
  <c r="AT13" i="695"/>
  <c r="AT14" i="695"/>
  <c r="AT15" i="695"/>
  <c r="AT16" i="695"/>
  <c r="AT17" i="695"/>
  <c r="AT8" i="695"/>
  <c r="AL6" i="695"/>
  <c r="BF6" i="695" s="1"/>
  <c r="BZ6" i="695" s="1"/>
  <c r="CT6" i="695" s="1"/>
  <c r="DN6" i="695" s="1"/>
  <c r="EH6" i="695" s="1"/>
  <c r="FB6" i="695" s="1"/>
  <c r="FV6" i="695" s="1"/>
  <c r="GP6" i="695" s="1"/>
  <c r="HJ6" i="695" s="1"/>
  <c r="ID6" i="695" s="1"/>
  <c r="IX6" i="695" s="1"/>
  <c r="JR6" i="695" s="1"/>
  <c r="KL6" i="695" s="1"/>
  <c r="LF6" i="695" s="1"/>
  <c r="LZ6" i="695" s="1"/>
  <c r="MT6" i="695" s="1"/>
  <c r="NN6" i="695" s="1"/>
  <c r="OH6" i="695" s="1"/>
  <c r="PB6" i="695" s="1"/>
  <c r="PV6" i="695" s="1"/>
  <c r="QP6" i="695" s="1"/>
  <c r="RJ6" i="695" s="1"/>
  <c r="SD6" i="695" s="1"/>
  <c r="SX6" i="695" s="1"/>
  <c r="TR6" i="695" s="1"/>
  <c r="UL6" i="695" s="1"/>
  <c r="BF3" i="695"/>
  <c r="AL7" i="695"/>
  <c r="AL9" i="695"/>
  <c r="AL10" i="695"/>
  <c r="AL11" i="695"/>
  <c r="AL12" i="695"/>
  <c r="AL13" i="695"/>
  <c r="AL14" i="695"/>
  <c r="AL15" i="695"/>
  <c r="AL16" i="695"/>
  <c r="AL17" i="695"/>
  <c r="AL8" i="695"/>
  <c r="O147" i="2"/>
  <c r="O225" i="2" s="1"/>
  <c r="O186" i="2"/>
  <c r="O41" i="2"/>
  <c r="O95" i="2"/>
  <c r="O140" i="2"/>
  <c r="O218" i="2" s="1"/>
  <c r="O179" i="2"/>
  <c r="O166" i="2"/>
  <c r="O81" i="2"/>
  <c r="O126" i="2"/>
  <c r="O204" i="2" s="1"/>
  <c r="O107" i="2"/>
  <c r="O74" i="2"/>
  <c r="O119" i="2"/>
  <c r="O197" i="2" s="1"/>
  <c r="O158" i="2"/>
  <c r="N102" i="2"/>
  <c r="N101" i="2"/>
  <c r="N146" i="2"/>
  <c r="N224" i="2" s="1"/>
  <c r="N185" i="2"/>
  <c r="N94" i="2"/>
  <c r="N139" i="2"/>
  <c r="N217" i="2" s="1"/>
  <c r="N178" i="2"/>
  <c r="N166" i="2"/>
  <c r="N81" i="2"/>
  <c r="N126" i="2"/>
  <c r="N204" i="2" s="1"/>
  <c r="N72" i="2"/>
  <c r="N117" i="2"/>
  <c r="N195" i="2" s="1"/>
  <c r="N156" i="2"/>
  <c r="M102" i="2"/>
  <c r="M101" i="2"/>
  <c r="M185" i="2"/>
  <c r="M94" i="2"/>
  <c r="M178" i="2"/>
  <c r="M166" i="2"/>
  <c r="M81" i="2"/>
  <c r="M72" i="2"/>
  <c r="M156" i="2"/>
  <c r="P149" i="2"/>
  <c r="P227" i="2" s="1"/>
  <c r="P188" i="2"/>
  <c r="P90" i="2"/>
  <c r="P135" i="2"/>
  <c r="P213" i="2" s="1"/>
  <c r="P174" i="2"/>
  <c r="P78" i="2"/>
  <c r="P123" i="2"/>
  <c r="P201" i="2" s="1"/>
  <c r="P162" i="2"/>
  <c r="C105" i="694"/>
  <c r="D184" i="694"/>
  <c r="D240" i="694" s="1"/>
  <c r="D128" i="694"/>
  <c r="H8" i="2"/>
  <c r="G10" i="2"/>
  <c r="G9" i="2"/>
  <c r="D207" i="694"/>
  <c r="D263" i="694" s="1"/>
  <c r="G66" i="2"/>
  <c r="G65" i="2"/>
  <c r="G64" i="2"/>
  <c r="G63" i="2"/>
  <c r="G60" i="2"/>
  <c r="G59" i="2"/>
  <c r="G58" i="2"/>
  <c r="G57" i="2"/>
  <c r="G54" i="2"/>
  <c r="G53" i="2"/>
  <c r="G52" i="2"/>
  <c r="G51" i="2"/>
  <c r="G47" i="2"/>
  <c r="G46" i="2"/>
  <c r="G45" i="2"/>
  <c r="G44" i="2"/>
  <c r="G40" i="2"/>
  <c r="G39" i="2"/>
  <c r="G38" i="2"/>
  <c r="G36" i="2"/>
  <c r="G35" i="2"/>
  <c r="G33" i="2"/>
  <c r="G32" i="2"/>
  <c r="G31" i="2"/>
  <c r="G28" i="2"/>
  <c r="G26" i="2"/>
  <c r="G25" i="2"/>
  <c r="G22" i="2"/>
  <c r="G21" i="2"/>
  <c r="G20" i="2"/>
  <c r="G19" i="2"/>
  <c r="G17" i="2"/>
  <c r="G16" i="2"/>
  <c r="G15" i="2"/>
  <c r="F77" i="694"/>
  <c r="F76" i="694"/>
  <c r="F68" i="694"/>
  <c r="F58" i="694"/>
  <c r="F57" i="694"/>
  <c r="F56" i="694"/>
  <c r="F65" i="694" s="1"/>
  <c r="F55" i="694"/>
  <c r="F54" i="694"/>
  <c r="F74" i="694"/>
  <c r="F73" i="694"/>
  <c r="F72" i="694"/>
  <c r="F71" i="694"/>
  <c r="F70" i="694"/>
  <c r="F50" i="694"/>
  <c r="F49" i="694"/>
  <c r="F47" i="694"/>
  <c r="F44" i="694"/>
  <c r="F43" i="694"/>
  <c r="F42" i="694"/>
  <c r="F39" i="694"/>
  <c r="F38" i="694"/>
  <c r="F34" i="694"/>
  <c r="F35" i="694"/>
  <c r="F28" i="694"/>
  <c r="F26" i="694"/>
  <c r="F24" i="694"/>
  <c r="F21" i="694"/>
  <c r="F20" i="694"/>
  <c r="F17" i="694"/>
  <c r="F16" i="694"/>
  <c r="F15" i="694"/>
  <c r="C53" i="1646"/>
  <c r="BA8" i="83"/>
  <c r="BA7" i="83"/>
  <c r="E40" i="694"/>
  <c r="D163" i="694" l="1"/>
  <c r="D136" i="694"/>
  <c r="E107" i="694"/>
  <c r="E108" i="694"/>
  <c r="E105" i="694"/>
  <c r="E97" i="694"/>
  <c r="E109" i="694"/>
  <c r="E199" i="694"/>
  <c r="E255" i="694" s="1"/>
  <c r="E143" i="694"/>
  <c r="BA31" i="83"/>
  <c r="G115" i="2"/>
  <c r="G193" i="2" s="1"/>
  <c r="G154" i="2"/>
  <c r="G71" i="2"/>
  <c r="G106" i="2"/>
  <c r="G116" i="2"/>
  <c r="G194" i="2" s="1"/>
  <c r="G155" i="2"/>
  <c r="G72" i="2"/>
  <c r="G117" i="2"/>
  <c r="G195" i="2" s="1"/>
  <c r="G156" i="2"/>
  <c r="G107" i="2"/>
  <c r="G74" i="2"/>
  <c r="G119" i="2"/>
  <c r="G197" i="2" s="1"/>
  <c r="G158" i="2"/>
  <c r="G75" i="2"/>
  <c r="G120" i="2"/>
  <c r="G198" i="2" s="1"/>
  <c r="G159" i="2"/>
  <c r="G108" i="2"/>
  <c r="G109" i="2"/>
  <c r="G76" i="2"/>
  <c r="G121" i="2"/>
  <c r="G199" i="2" s="1"/>
  <c r="G160" i="2"/>
  <c r="G77" i="2"/>
  <c r="G122" i="2"/>
  <c r="G200" i="2" s="1"/>
  <c r="G161" i="2"/>
  <c r="G110" i="2"/>
  <c r="G80" i="2"/>
  <c r="G125" i="2"/>
  <c r="G203" i="2" s="1"/>
  <c r="G164" i="2"/>
  <c r="G82" i="2"/>
  <c r="G127" i="2"/>
  <c r="G205" i="2" s="1"/>
  <c r="G165" i="2"/>
  <c r="G83" i="2"/>
  <c r="G128" i="2"/>
  <c r="G206" i="2" s="1"/>
  <c r="G167" i="2"/>
  <c r="G86" i="2"/>
  <c r="G131" i="2"/>
  <c r="G209" i="2" s="1"/>
  <c r="G170" i="2"/>
  <c r="G87" i="2"/>
  <c r="G132" i="2"/>
  <c r="G210" i="2" s="1"/>
  <c r="G171" i="2"/>
  <c r="G34" i="2"/>
  <c r="G88" i="2"/>
  <c r="G133" i="2"/>
  <c r="G211" i="2" s="1"/>
  <c r="G172" i="2"/>
  <c r="G90" i="2"/>
  <c r="G135" i="2"/>
  <c r="G213" i="2" s="1"/>
  <c r="G174" i="2"/>
  <c r="G37" i="2"/>
  <c r="G91" i="2"/>
  <c r="G136" i="2"/>
  <c r="G214" i="2" s="1"/>
  <c r="G175" i="2"/>
  <c r="G93" i="2"/>
  <c r="G138" i="2"/>
  <c r="G216" i="2" s="1"/>
  <c r="G177" i="2"/>
  <c r="G94" i="2"/>
  <c r="G139" i="2"/>
  <c r="G217" i="2" s="1"/>
  <c r="G178" i="2"/>
  <c r="G41" i="2"/>
  <c r="G95" i="2"/>
  <c r="G140" i="2"/>
  <c r="G218" i="2" s="1"/>
  <c r="G179" i="2"/>
  <c r="G48" i="2"/>
  <c r="G149" i="2"/>
  <c r="G227" i="2" s="1"/>
  <c r="G188" i="2"/>
  <c r="G99" i="2"/>
  <c r="G144" i="2"/>
  <c r="G222" i="2" s="1"/>
  <c r="G183" i="2"/>
  <c r="G100" i="2"/>
  <c r="G145" i="2"/>
  <c r="G223" i="2" s="1"/>
  <c r="G184" i="2"/>
  <c r="G102" i="2"/>
  <c r="G101" i="2"/>
  <c r="G146" i="2"/>
  <c r="G224" i="2" s="1"/>
  <c r="G185" i="2"/>
  <c r="G147" i="2"/>
  <c r="G225" i="2" s="1"/>
  <c r="G186" i="2"/>
  <c r="F166" i="2"/>
  <c r="F81" i="2"/>
  <c r="F126" i="2"/>
  <c r="F204" i="2" s="1"/>
  <c r="P92" i="2"/>
  <c r="P137" i="2"/>
  <c r="P215" i="2" s="1"/>
  <c r="P176" i="2"/>
  <c r="AM20" i="695"/>
  <c r="AM23" i="695" s="1"/>
  <c r="AM18" i="695"/>
  <c r="AM31" i="695" s="1"/>
  <c r="AM21" i="695"/>
  <c r="AM24" i="695" s="1"/>
  <c r="AM26" i="695" s="1"/>
  <c r="AM19" i="695"/>
  <c r="AM27" i="695" s="1"/>
  <c r="AM22" i="695"/>
  <c r="Q89" i="2"/>
  <c r="Q134" i="2"/>
  <c r="Q212" i="2" s="1"/>
  <c r="Q173" i="2"/>
  <c r="E11" i="718"/>
  <c r="E19" i="718"/>
  <c r="E12" i="718"/>
  <c r="E20" i="718"/>
  <c r="E15" i="718"/>
  <c r="E13" i="718"/>
  <c r="E21" i="718"/>
  <c r="E14" i="718"/>
  <c r="E22" i="718"/>
  <c r="E8" i="718"/>
  <c r="E16" i="718"/>
  <c r="E24" i="718"/>
  <c r="E9" i="718"/>
  <c r="E17" i="718"/>
  <c r="E25" i="718"/>
  <c r="E10" i="718"/>
  <c r="E18" i="718"/>
  <c r="E26" i="718"/>
  <c r="E7" i="718"/>
  <c r="E23" i="718"/>
  <c r="AU18" i="83"/>
  <c r="AU32" i="83" s="1"/>
  <c r="AU20" i="83"/>
  <c r="AU23" i="83" s="1"/>
  <c r="AU19" i="83"/>
  <c r="AU27" i="83" s="1"/>
  <c r="AU22" i="83"/>
  <c r="AU21" i="83"/>
  <c r="AU24" i="83" s="1"/>
  <c r="AU26" i="83" s="1"/>
  <c r="NZ6" i="83"/>
  <c r="KX6" i="83"/>
  <c r="KL6" i="83"/>
  <c r="NN6" i="83"/>
  <c r="AF20" i="695"/>
  <c r="AF23" i="695" s="1"/>
  <c r="AF18" i="695"/>
  <c r="AF31" i="695" s="1"/>
  <c r="AF19" i="695"/>
  <c r="AF27" i="695" s="1"/>
  <c r="AF21" i="695"/>
  <c r="AF24" i="695" s="1"/>
  <c r="AF26" i="695" s="1"/>
  <c r="AF22" i="695"/>
  <c r="AU29" i="83"/>
  <c r="AU31" i="83"/>
  <c r="J7" i="82"/>
  <c r="J15" i="82"/>
  <c r="J23" i="82"/>
  <c r="J18" i="82"/>
  <c r="J8" i="82"/>
  <c r="J16" i="82"/>
  <c r="J24" i="82"/>
  <c r="J10" i="82"/>
  <c r="J26" i="82"/>
  <c r="J9" i="82"/>
  <c r="J17" i="82"/>
  <c r="J25" i="82"/>
  <c r="J12" i="82"/>
  <c r="J20" i="82"/>
  <c r="J13" i="82"/>
  <c r="J21" i="82"/>
  <c r="J11" i="82"/>
  <c r="J27" i="82"/>
  <c r="J14" i="82"/>
  <c r="J22" i="82"/>
  <c r="J19" i="82"/>
  <c r="T89" i="2"/>
  <c r="T134" i="2"/>
  <c r="T212" i="2" s="1"/>
  <c r="T173" i="2"/>
  <c r="AP29" i="83"/>
  <c r="AP31" i="83"/>
  <c r="AG19" i="695"/>
  <c r="AG27" i="695" s="1"/>
  <c r="AG20" i="695"/>
  <c r="AG23" i="695" s="1"/>
  <c r="AG21" i="695"/>
  <c r="AG24" i="695" s="1"/>
  <c r="AG26" i="695" s="1"/>
  <c r="AG18" i="695"/>
  <c r="AG31" i="695" s="1"/>
  <c r="AG22" i="695"/>
  <c r="Q92" i="2"/>
  <c r="Q137" i="2"/>
  <c r="Q215" i="2" s="1"/>
  <c r="Q176" i="2"/>
  <c r="E148" i="694"/>
  <c r="E204" i="694"/>
  <c r="E260" i="694" s="1"/>
  <c r="AH28" i="695"/>
  <c r="AH30" i="695"/>
  <c r="AX19" i="695"/>
  <c r="AX27" i="695" s="1"/>
  <c r="AX20" i="695"/>
  <c r="AX23" i="695" s="1"/>
  <c r="AX18" i="695"/>
  <c r="AX31" i="695" s="1"/>
  <c r="AX21" i="695"/>
  <c r="AX24" i="695" s="1"/>
  <c r="AX26" i="695" s="1"/>
  <c r="AX22" i="695"/>
  <c r="NI6" i="83"/>
  <c r="KG6" i="83"/>
  <c r="AW29" i="83"/>
  <c r="AW31" i="83"/>
  <c r="AQ21" i="695"/>
  <c r="AQ24" i="695" s="1"/>
  <c r="AQ26" i="695" s="1"/>
  <c r="AQ19" i="695"/>
  <c r="AQ27" i="695" s="1"/>
  <c r="AQ18" i="695"/>
  <c r="AQ31" i="695" s="1"/>
  <c r="AQ22" i="695"/>
  <c r="AQ20" i="695"/>
  <c r="AQ23" i="695" s="1"/>
  <c r="AH18" i="83"/>
  <c r="AH32" i="83" s="1"/>
  <c r="AH19" i="83"/>
  <c r="AH27" i="83" s="1"/>
  <c r="AH20" i="83"/>
  <c r="AH23" i="83" s="1"/>
  <c r="AH21" i="83"/>
  <c r="AH24" i="83" s="1"/>
  <c r="AH26" i="83" s="1"/>
  <c r="AH22" i="83"/>
  <c r="N92" i="2"/>
  <c r="N137" i="2"/>
  <c r="N215" i="2" s="1"/>
  <c r="N176" i="2"/>
  <c r="AR28" i="695"/>
  <c r="AR30" i="695"/>
  <c r="AQ29" i="83"/>
  <c r="AQ31" i="83"/>
  <c r="OA6" i="83"/>
  <c r="KY6" i="83"/>
  <c r="CG3" i="695"/>
  <c r="BM7" i="695"/>
  <c r="BM9" i="695"/>
  <c r="BM10" i="695"/>
  <c r="BM11" i="695"/>
  <c r="BM12" i="695"/>
  <c r="BM13" i="695"/>
  <c r="BM14" i="695"/>
  <c r="BM15" i="695"/>
  <c r="BM16" i="695"/>
  <c r="BM17" i="695"/>
  <c r="BM8" i="695"/>
  <c r="AE19" i="695"/>
  <c r="AE27" i="695" s="1"/>
  <c r="F96" i="2"/>
  <c r="F141" i="2"/>
  <c r="F219" i="2" s="1"/>
  <c r="F180" i="2"/>
  <c r="E128" i="694"/>
  <c r="E87" i="694"/>
  <c r="E184" i="694"/>
  <c r="E240" i="694" s="1"/>
  <c r="AG21" i="83"/>
  <c r="AG24" i="83" s="1"/>
  <c r="AG26" i="83" s="1"/>
  <c r="E92" i="2"/>
  <c r="E137" i="2"/>
  <c r="E215" i="2" s="1"/>
  <c r="E176" i="2"/>
  <c r="AN28" i="695"/>
  <c r="AN30" i="695"/>
  <c r="O89" i="2"/>
  <c r="O134" i="2"/>
  <c r="O212" i="2" s="1"/>
  <c r="O173" i="2"/>
  <c r="H9" i="2"/>
  <c r="I8" i="2"/>
  <c r="H10" i="2"/>
  <c r="AT20" i="695"/>
  <c r="AT23" i="695" s="1"/>
  <c r="AT18" i="695"/>
  <c r="AT31" i="695" s="1"/>
  <c r="AT21" i="695"/>
  <c r="AT24" i="695" s="1"/>
  <c r="AT26" i="695" s="1"/>
  <c r="AT22" i="695"/>
  <c r="AT19" i="695"/>
  <c r="AT27" i="695" s="1"/>
  <c r="U92" i="2"/>
  <c r="U137" i="2"/>
  <c r="U215" i="2" s="1"/>
  <c r="U176" i="2"/>
  <c r="KK6" i="83"/>
  <c r="NM6" i="83"/>
  <c r="CL3" i="83"/>
  <c r="BR9" i="83"/>
  <c r="BR10" i="83"/>
  <c r="BR11" i="83"/>
  <c r="BR12" i="83"/>
  <c r="BR13" i="83"/>
  <c r="BR14" i="83"/>
  <c r="BR15" i="83"/>
  <c r="BR16" i="83"/>
  <c r="BR17" i="83"/>
  <c r="BR7" i="83"/>
  <c r="BR8" i="83"/>
  <c r="AM28" i="695"/>
  <c r="AM30" i="695"/>
  <c r="BZ3" i="83"/>
  <c r="BF9" i="83"/>
  <c r="BF10" i="83"/>
  <c r="BF11" i="83"/>
  <c r="BF12" i="83"/>
  <c r="BF13" i="83"/>
  <c r="BF14" i="83"/>
  <c r="BF15" i="83"/>
  <c r="BF16" i="83"/>
  <c r="BF17" i="83"/>
  <c r="BF7" i="83"/>
  <c r="BF8" i="83"/>
  <c r="CB3" i="695"/>
  <c r="BH7" i="695"/>
  <c r="BH9" i="695"/>
  <c r="BH10" i="695"/>
  <c r="BH11" i="695"/>
  <c r="BH12" i="695"/>
  <c r="BH13" i="695"/>
  <c r="BH14" i="695"/>
  <c r="BH15" i="695"/>
  <c r="BH16" i="695"/>
  <c r="BH17" i="695"/>
  <c r="BH8" i="695"/>
  <c r="CC3" i="695"/>
  <c r="BI7" i="695"/>
  <c r="BI9" i="695"/>
  <c r="BI10" i="695"/>
  <c r="BI11" i="695"/>
  <c r="BI12" i="695"/>
  <c r="BI13" i="695"/>
  <c r="BI14" i="695"/>
  <c r="BI15" i="695"/>
  <c r="BI16" i="695"/>
  <c r="BI17" i="695"/>
  <c r="BI8" i="695"/>
  <c r="NP6" i="83"/>
  <c r="KN6" i="83"/>
  <c r="BU3" i="83"/>
  <c r="BA9" i="83"/>
  <c r="BA21" i="83" s="1"/>
  <c r="BA24" i="83" s="1"/>
  <c r="BA26" i="83" s="1"/>
  <c r="BA10" i="83"/>
  <c r="BA19" i="83" s="1"/>
  <c r="BA27" i="83" s="1"/>
  <c r="BA11" i="83"/>
  <c r="BA12" i="83"/>
  <c r="BA13" i="83"/>
  <c r="BA14" i="83"/>
  <c r="BA15" i="83"/>
  <c r="BA16" i="83"/>
  <c r="BA17" i="83"/>
  <c r="T92" i="2"/>
  <c r="T137" i="2"/>
  <c r="T215" i="2" s="1"/>
  <c r="T176" i="2"/>
  <c r="AH29" i="83"/>
  <c r="AH31" i="83"/>
  <c r="AJ18" i="695"/>
  <c r="AJ31" i="695" s="1"/>
  <c r="AJ21" i="695"/>
  <c r="AJ24" i="695" s="1"/>
  <c r="AJ26" i="695" s="1"/>
  <c r="AJ19" i="695"/>
  <c r="AJ27" i="695" s="1"/>
  <c r="AJ20" i="695"/>
  <c r="AJ23" i="695" s="1"/>
  <c r="AJ22" i="695"/>
  <c r="CF3" i="695"/>
  <c r="BL7" i="695"/>
  <c r="BL9" i="695"/>
  <c r="BL10" i="695"/>
  <c r="BL11" i="695"/>
  <c r="BL12" i="695"/>
  <c r="BL13" i="695"/>
  <c r="BL14" i="695"/>
  <c r="BL15" i="695"/>
  <c r="BL16" i="695"/>
  <c r="BL17" i="695"/>
  <c r="BL8" i="695"/>
  <c r="W9" i="27" a="1"/>
  <c r="W9" i="27" s="1"/>
  <c r="X10" i="27"/>
  <c r="T166" i="2"/>
  <c r="AK28" i="695"/>
  <c r="AK30" i="695"/>
  <c r="AJ18" i="83"/>
  <c r="AJ32" i="83" s="1"/>
  <c r="AJ19" i="83"/>
  <c r="AJ27" i="83" s="1"/>
  <c r="AJ20" i="83"/>
  <c r="AJ23" i="83" s="1"/>
  <c r="AJ21" i="83"/>
  <c r="AJ24" i="83" s="1"/>
  <c r="AJ26" i="83" s="1"/>
  <c r="AJ22" i="83"/>
  <c r="KR6" i="83"/>
  <c r="NT6" i="83"/>
  <c r="AE21" i="695"/>
  <c r="AE24" i="695" s="1"/>
  <c r="AE26" i="695" s="1"/>
  <c r="F89" i="2"/>
  <c r="F134" i="2"/>
  <c r="F212" i="2" s="1"/>
  <c r="F173" i="2"/>
  <c r="AG18" i="83"/>
  <c r="AG32" i="83" s="1"/>
  <c r="CI3" i="695"/>
  <c r="BO7" i="695"/>
  <c r="BO9" i="695"/>
  <c r="BO10" i="695"/>
  <c r="BO11" i="695"/>
  <c r="BO12" i="695"/>
  <c r="BO13" i="695"/>
  <c r="BO14" i="695"/>
  <c r="BO15" i="695"/>
  <c r="BO16" i="695"/>
  <c r="BO17" i="695"/>
  <c r="BO8" i="695"/>
  <c r="AP18" i="83"/>
  <c r="AP32" i="83" s="1"/>
  <c r="AP19" i="83"/>
  <c r="AP27" i="83" s="1"/>
  <c r="AP21" i="83"/>
  <c r="AP24" i="83" s="1"/>
  <c r="AP26" i="83" s="1"/>
  <c r="AP20" i="83"/>
  <c r="AP23" i="83" s="1"/>
  <c r="AP22" i="83"/>
  <c r="AO28" i="695"/>
  <c r="AO30" i="695"/>
  <c r="O96" i="2"/>
  <c r="O141" i="2"/>
  <c r="O219" i="2" s="1"/>
  <c r="O180" i="2"/>
  <c r="BY3" i="83"/>
  <c r="BE9" i="83"/>
  <c r="BE10" i="83"/>
  <c r="BE11" i="83"/>
  <c r="BE12" i="83"/>
  <c r="BE13" i="83"/>
  <c r="BE14" i="83"/>
  <c r="BE15" i="83"/>
  <c r="BE16" i="83"/>
  <c r="BE17" i="83"/>
  <c r="BE7" i="83"/>
  <c r="BE8" i="83"/>
  <c r="AT28" i="695"/>
  <c r="AT30" i="695"/>
  <c r="AS18" i="83"/>
  <c r="AS32" i="83" s="1"/>
  <c r="AS20" i="83"/>
  <c r="AS23" i="83" s="1"/>
  <c r="AS19" i="83"/>
  <c r="AS27" i="83" s="1"/>
  <c r="AS21" i="83"/>
  <c r="AS24" i="83" s="1"/>
  <c r="AS26" i="83" s="1"/>
  <c r="AS22" i="83"/>
  <c r="N96" i="2"/>
  <c r="N141" i="2"/>
  <c r="N219" i="2" s="1"/>
  <c r="N180" i="2"/>
  <c r="CA3" i="695"/>
  <c r="BG7" i="695"/>
  <c r="BG9" i="695"/>
  <c r="BG10" i="695"/>
  <c r="BG11" i="695"/>
  <c r="BG12" i="695"/>
  <c r="BG13" i="695"/>
  <c r="BG14" i="695"/>
  <c r="BG15" i="695"/>
  <c r="BG16" i="695"/>
  <c r="BG17" i="695"/>
  <c r="BG8" i="695"/>
  <c r="AT18" i="83"/>
  <c r="AT32" i="83" s="1"/>
  <c r="AT20" i="83"/>
  <c r="AT23" i="83" s="1"/>
  <c r="AT19" i="83"/>
  <c r="AT27" i="83" s="1"/>
  <c r="AT21" i="83"/>
  <c r="AT24" i="83" s="1"/>
  <c r="AT26" i="83" s="1"/>
  <c r="AT22" i="83"/>
  <c r="F18" i="694"/>
  <c r="F30" i="694" s="1"/>
  <c r="F22" i="694"/>
  <c r="F181" i="694" s="1"/>
  <c r="F237" i="694" s="1"/>
  <c r="F25" i="694"/>
  <c r="F53" i="694"/>
  <c r="F108" i="694" s="1"/>
  <c r="F119" i="694"/>
  <c r="F124" i="694"/>
  <c r="F127" i="694"/>
  <c r="F129" i="694"/>
  <c r="F138" i="694"/>
  <c r="F142" i="694"/>
  <c r="F145" i="694"/>
  <c r="F147" i="694"/>
  <c r="F150" i="694"/>
  <c r="F152" i="694"/>
  <c r="F155" i="694"/>
  <c r="F157" i="694"/>
  <c r="F159" i="694"/>
  <c r="F167" i="694"/>
  <c r="F169" i="694"/>
  <c r="F175" i="694"/>
  <c r="F231" i="694" s="1"/>
  <c r="F180" i="694"/>
  <c r="F236" i="694" s="1"/>
  <c r="F183" i="694"/>
  <c r="F239" i="694" s="1"/>
  <c r="F185" i="694"/>
  <c r="F241" i="694" s="1"/>
  <c r="F194" i="694"/>
  <c r="F250" i="694" s="1"/>
  <c r="F198" i="694"/>
  <c r="F254" i="694" s="1"/>
  <c r="F201" i="694"/>
  <c r="F257" i="694" s="1"/>
  <c r="F203" i="694"/>
  <c r="F259" i="694" s="1"/>
  <c r="F206" i="694"/>
  <c r="F262" i="694" s="1"/>
  <c r="F208" i="694"/>
  <c r="F264" i="694" s="1"/>
  <c r="F211" i="694"/>
  <c r="F267" i="694" s="1"/>
  <c r="F213" i="694"/>
  <c r="F269" i="694" s="1"/>
  <c r="F215" i="694"/>
  <c r="F271" i="694" s="1"/>
  <c r="F223" i="694"/>
  <c r="F279" i="694" s="1"/>
  <c r="F225" i="694"/>
  <c r="F281" i="694" s="1"/>
  <c r="F112" i="694"/>
  <c r="F102" i="694"/>
  <c r="F114" i="694"/>
  <c r="F120" i="694"/>
  <c r="F123" i="694"/>
  <c r="F131" i="694"/>
  <c r="F137" i="694"/>
  <c r="F141" i="694"/>
  <c r="F146" i="694"/>
  <c r="F156" i="694"/>
  <c r="F158" i="694"/>
  <c r="F166" i="694"/>
  <c r="F168" i="694"/>
  <c r="F170" i="694"/>
  <c r="F176" i="694"/>
  <c r="F232" i="694" s="1"/>
  <c r="F179" i="694"/>
  <c r="F235" i="694" s="1"/>
  <c r="F187" i="694"/>
  <c r="F243" i="694" s="1"/>
  <c r="F193" i="694"/>
  <c r="F249" i="694" s="1"/>
  <c r="F197" i="694"/>
  <c r="F253" i="694" s="1"/>
  <c r="F202" i="694"/>
  <c r="F258" i="694" s="1"/>
  <c r="F212" i="694"/>
  <c r="F268" i="694" s="1"/>
  <c r="F214" i="694"/>
  <c r="F270" i="694" s="1"/>
  <c r="F222" i="694"/>
  <c r="F278" i="694" s="1"/>
  <c r="F224" i="694"/>
  <c r="F280" i="694" s="1"/>
  <c r="F226" i="694"/>
  <c r="F282" i="694" s="1"/>
  <c r="F86" i="694"/>
  <c r="F97" i="694"/>
  <c r="F82" i="694"/>
  <c r="F101" i="694"/>
  <c r="F113" i="694"/>
  <c r="AF28" i="695"/>
  <c r="AF30" i="695"/>
  <c r="AV20" i="695"/>
  <c r="AV23" i="695" s="1"/>
  <c r="AV18" i="695"/>
  <c r="AV31" i="695" s="1"/>
  <c r="AV19" i="695"/>
  <c r="AV27" i="695" s="1"/>
  <c r="AV21" i="695"/>
  <c r="AV24" i="695" s="1"/>
  <c r="AV26" i="695" s="1"/>
  <c r="AV22" i="695"/>
  <c r="AM18" i="83"/>
  <c r="AM32" i="83" s="1"/>
  <c r="AM20" i="83"/>
  <c r="AM23" i="83" s="1"/>
  <c r="AM19" i="83"/>
  <c r="AM27" i="83" s="1"/>
  <c r="AM21" i="83"/>
  <c r="AM24" i="83" s="1"/>
  <c r="AM26" i="83" s="1"/>
  <c r="AM22" i="83"/>
  <c r="CI3" i="83"/>
  <c r="BO9" i="83"/>
  <c r="BO10" i="83"/>
  <c r="BO11" i="83"/>
  <c r="BO12" i="83"/>
  <c r="BO13" i="83"/>
  <c r="BO14" i="83"/>
  <c r="BO15" i="83"/>
  <c r="BO16" i="83"/>
  <c r="BO17" i="83"/>
  <c r="BO7" i="83"/>
  <c r="BO8" i="83"/>
  <c r="R89" i="2"/>
  <c r="R134" i="2"/>
  <c r="R212" i="2" s="1"/>
  <c r="R173" i="2"/>
  <c r="NR6" i="83"/>
  <c r="KP6" i="83"/>
  <c r="AG28" i="695"/>
  <c r="AG30" i="695"/>
  <c r="AW19" i="695"/>
  <c r="AW27" i="695" s="1"/>
  <c r="AW20" i="695"/>
  <c r="AW23" i="695" s="1"/>
  <c r="AW21" i="695"/>
  <c r="AW24" i="695" s="1"/>
  <c r="AW26" i="695" s="1"/>
  <c r="AW18" i="695"/>
  <c r="AW31" i="695" s="1"/>
  <c r="AW22" i="695"/>
  <c r="CB3" i="83"/>
  <c r="BH9" i="83"/>
  <c r="BH10" i="83"/>
  <c r="BH11" i="83"/>
  <c r="BH12" i="83"/>
  <c r="BH13" i="83"/>
  <c r="BH14" i="83"/>
  <c r="BH15" i="83"/>
  <c r="BH16" i="83"/>
  <c r="BH17" i="83"/>
  <c r="BH7" i="83"/>
  <c r="BH8" i="83"/>
  <c r="E219" i="694"/>
  <c r="E275" i="694" s="1"/>
  <c r="E163" i="694"/>
  <c r="AI21" i="695"/>
  <c r="AI24" i="695" s="1"/>
  <c r="AI26" i="695" s="1"/>
  <c r="AI19" i="695"/>
  <c r="AI27" i="695" s="1"/>
  <c r="AI18" i="695"/>
  <c r="AI31" i="695" s="1"/>
  <c r="AI22" i="695"/>
  <c r="AI20" i="695"/>
  <c r="AI23" i="695" s="1"/>
  <c r="BV3" i="695"/>
  <c r="BB7" i="695"/>
  <c r="BB9" i="695"/>
  <c r="BB10" i="695"/>
  <c r="BB11" i="695"/>
  <c r="BB12" i="695"/>
  <c r="BB13" i="695"/>
  <c r="BB14" i="695"/>
  <c r="BB15" i="695"/>
  <c r="BB16" i="695"/>
  <c r="BB17" i="695"/>
  <c r="BB8" i="695"/>
  <c r="AX28" i="695"/>
  <c r="AX30" i="695"/>
  <c r="AO18" i="83"/>
  <c r="AO32" i="83" s="1"/>
  <c r="AO21" i="83"/>
  <c r="AO24" i="83" s="1"/>
  <c r="AO26" i="83" s="1"/>
  <c r="AO20" i="83"/>
  <c r="AO23" i="83" s="1"/>
  <c r="AO19" i="83"/>
  <c r="AO27" i="83" s="1"/>
  <c r="AO22" i="83"/>
  <c r="NY6" i="83"/>
  <c r="KW6" i="83"/>
  <c r="AQ28" i="695"/>
  <c r="AQ30" i="695"/>
  <c r="M92" i="2"/>
  <c r="M176" i="2"/>
  <c r="U89" i="2"/>
  <c r="U134" i="2"/>
  <c r="U212" i="2" s="1"/>
  <c r="U173" i="2"/>
  <c r="AI18" i="83"/>
  <c r="AI32" i="83" s="1"/>
  <c r="AI19" i="83"/>
  <c r="AI27" i="83" s="1"/>
  <c r="AI20" i="83"/>
  <c r="AI23" i="83" s="1"/>
  <c r="AI21" i="83"/>
  <c r="AI24" i="83" s="1"/>
  <c r="AI26" i="83" s="1"/>
  <c r="AI22" i="83"/>
  <c r="KQ6" i="83"/>
  <c r="NS6" i="83"/>
  <c r="AJ29" i="83"/>
  <c r="AJ31" i="83"/>
  <c r="CF3" i="83"/>
  <c r="BL9" i="83"/>
  <c r="BL10" i="83"/>
  <c r="BL11" i="83"/>
  <c r="BL12" i="83"/>
  <c r="BL13" i="83"/>
  <c r="BL14" i="83"/>
  <c r="BL15" i="83"/>
  <c r="BL16" i="83"/>
  <c r="BL17" i="83"/>
  <c r="BL7" i="83"/>
  <c r="BL8" i="83"/>
  <c r="R96" i="2"/>
  <c r="R141" i="2"/>
  <c r="R219" i="2" s="1"/>
  <c r="R180" i="2"/>
  <c r="T96" i="2"/>
  <c r="T141" i="2"/>
  <c r="T219" i="2" s="1"/>
  <c r="T180" i="2"/>
  <c r="AE18" i="695"/>
  <c r="AE31" i="695" s="1"/>
  <c r="F92" i="2"/>
  <c r="F137" i="2"/>
  <c r="F215" i="2" s="1"/>
  <c r="F176" i="2"/>
  <c r="G10" i="694"/>
  <c r="G9" i="694"/>
  <c r="H8" i="694"/>
  <c r="AV18" i="83"/>
  <c r="AV32" i="83" s="1"/>
  <c r="AV20" i="83"/>
  <c r="AV23" i="83" s="1"/>
  <c r="AV19" i="83"/>
  <c r="AV27" i="83" s="1"/>
  <c r="AV21" i="83"/>
  <c r="AV24" i="83" s="1"/>
  <c r="AV26" i="83" s="1"/>
  <c r="AV22" i="83"/>
  <c r="S96" i="2"/>
  <c r="S141" i="2"/>
  <c r="S219" i="2" s="1"/>
  <c r="S180" i="2"/>
  <c r="E161" i="694"/>
  <c r="E217" i="694"/>
  <c r="E273" i="694" s="1"/>
  <c r="P96" i="2"/>
  <c r="P141" i="2"/>
  <c r="P219" i="2" s="1"/>
  <c r="P180" i="2"/>
  <c r="AP19" i="695"/>
  <c r="AP27" i="695" s="1"/>
  <c r="AP20" i="695"/>
  <c r="AP23" i="695" s="1"/>
  <c r="AP18" i="695"/>
  <c r="AP31" i="695" s="1"/>
  <c r="AP21" i="695"/>
  <c r="AP24" i="695" s="1"/>
  <c r="AP26" i="695" s="1"/>
  <c r="AP22" i="695"/>
  <c r="AO29" i="83"/>
  <c r="AO31" i="83"/>
  <c r="CK3" i="83"/>
  <c r="BQ9" i="83"/>
  <c r="BQ10" i="83"/>
  <c r="BQ11" i="83"/>
  <c r="BQ12" i="83"/>
  <c r="BQ13" i="83"/>
  <c r="BQ14" i="83"/>
  <c r="BQ15" i="83"/>
  <c r="BQ16" i="83"/>
  <c r="BQ17" i="83"/>
  <c r="BQ7" i="83"/>
  <c r="BQ8" i="83"/>
  <c r="KH6" i="83"/>
  <c r="NJ6" i="83"/>
  <c r="AJ28" i="695"/>
  <c r="AJ30" i="695"/>
  <c r="F14" i="718"/>
  <c r="F22" i="718"/>
  <c r="F7" i="718"/>
  <c r="F15" i="718"/>
  <c r="F23" i="718"/>
  <c r="F10" i="718"/>
  <c r="F26" i="718"/>
  <c r="F8" i="718"/>
  <c r="F16" i="718"/>
  <c r="F24" i="718"/>
  <c r="F9" i="718"/>
  <c r="F17" i="718"/>
  <c r="F25" i="718"/>
  <c r="F11" i="718"/>
  <c r="F19" i="718"/>
  <c r="F12" i="718"/>
  <c r="F20" i="718"/>
  <c r="F13" i="718"/>
  <c r="F21" i="718"/>
  <c r="F18" i="718"/>
  <c r="AI29" i="83"/>
  <c r="AI31" i="83"/>
  <c r="CE3" i="83"/>
  <c r="BK9" i="83"/>
  <c r="BK10" i="83"/>
  <c r="BK11" i="83"/>
  <c r="BK12" i="83"/>
  <c r="BK13" i="83"/>
  <c r="BK14" i="83"/>
  <c r="BK15" i="83"/>
  <c r="BK16" i="83"/>
  <c r="BK17" i="83"/>
  <c r="BK7" i="83"/>
  <c r="BK8" i="83"/>
  <c r="E166" i="2"/>
  <c r="E81" i="2"/>
  <c r="E126" i="2"/>
  <c r="E204" i="2" s="1"/>
  <c r="BY3" i="695"/>
  <c r="BE7" i="695"/>
  <c r="BE9" i="695"/>
  <c r="BE10" i="695"/>
  <c r="BE11" i="695"/>
  <c r="BE12" i="695"/>
  <c r="BE13" i="695"/>
  <c r="BE14" i="695"/>
  <c r="BE15" i="695"/>
  <c r="BE16" i="695"/>
  <c r="BE17" i="695"/>
  <c r="BE8" i="695"/>
  <c r="AZ18" i="83"/>
  <c r="AZ32" i="83" s="1"/>
  <c r="AZ19" i="83"/>
  <c r="AZ27" i="83" s="1"/>
  <c r="AZ20" i="83"/>
  <c r="AZ23" i="83" s="1"/>
  <c r="AZ21" i="83"/>
  <c r="AZ24" i="83" s="1"/>
  <c r="AZ26" i="83" s="1"/>
  <c r="AZ22" i="83"/>
  <c r="AE20" i="695"/>
  <c r="AE23" i="695" s="1"/>
  <c r="E33" i="694"/>
  <c r="E121" i="694"/>
  <c r="E30" i="694"/>
  <c r="E177" i="694"/>
  <c r="E233" i="694" s="1"/>
  <c r="AG29" i="83"/>
  <c r="AS29" i="83"/>
  <c r="AS31" i="83"/>
  <c r="KU6" i="83"/>
  <c r="NW6" i="83"/>
  <c r="B54" i="1646"/>
  <c r="W89" i="2"/>
  <c r="W134" i="2"/>
  <c r="W212" i="2" s="1"/>
  <c r="W173" i="2"/>
  <c r="W96" i="2"/>
  <c r="W141" i="2"/>
  <c r="W219" i="2" s="1"/>
  <c r="W180" i="2"/>
  <c r="AU20" i="695"/>
  <c r="AU23" i="695" s="1"/>
  <c r="AU18" i="695"/>
  <c r="AU31" i="695" s="1"/>
  <c r="AU21" i="695"/>
  <c r="AU24" i="695" s="1"/>
  <c r="AU26" i="695" s="1"/>
  <c r="AU19" i="695"/>
  <c r="AU27" i="695" s="1"/>
  <c r="AU22" i="695"/>
  <c r="F45" i="694"/>
  <c r="F204" i="694" s="1"/>
  <c r="F260" i="694" s="1"/>
  <c r="F48" i="694"/>
  <c r="F207" i="694" s="1"/>
  <c r="F263" i="694" s="1"/>
  <c r="F64" i="694"/>
  <c r="F63" i="694"/>
  <c r="F164" i="694" s="1"/>
  <c r="I13" i="82"/>
  <c r="I21" i="82"/>
  <c r="I24" i="82"/>
  <c r="I14" i="82"/>
  <c r="I22" i="82"/>
  <c r="I16" i="82"/>
  <c r="I25" i="82"/>
  <c r="I7" i="82"/>
  <c r="I15" i="82"/>
  <c r="I23" i="82"/>
  <c r="I8" i="82"/>
  <c r="I10" i="82"/>
  <c r="I18" i="82"/>
  <c r="I26" i="82"/>
  <c r="I11" i="82"/>
  <c r="I19" i="82"/>
  <c r="I27" i="82"/>
  <c r="I12" i="82"/>
  <c r="I9" i="82"/>
  <c r="I20" i="82"/>
  <c r="I17" i="82"/>
  <c r="BT3" i="695"/>
  <c r="AZ7" i="695"/>
  <c r="AZ9" i="695"/>
  <c r="AZ10" i="695"/>
  <c r="AZ11" i="695"/>
  <c r="AZ12" i="695"/>
  <c r="AZ13" i="695"/>
  <c r="AZ14" i="695"/>
  <c r="AZ15" i="695"/>
  <c r="AZ16" i="695"/>
  <c r="AZ17" i="695"/>
  <c r="AZ8" i="695"/>
  <c r="AV28" i="695"/>
  <c r="AV30" i="695"/>
  <c r="H12" i="718"/>
  <c r="H20" i="718"/>
  <c r="H13" i="718"/>
  <c r="H21" i="718"/>
  <c r="H8" i="718"/>
  <c r="H24" i="718"/>
  <c r="H14" i="718"/>
  <c r="H22" i="718"/>
  <c r="H7" i="718"/>
  <c r="H15" i="718"/>
  <c r="H23" i="718"/>
  <c r="H9" i="718"/>
  <c r="H17" i="718"/>
  <c r="H25" i="718"/>
  <c r="H10" i="718"/>
  <c r="H18" i="718"/>
  <c r="H26" i="718"/>
  <c r="H11" i="718"/>
  <c r="H19" i="718"/>
  <c r="H16" i="718"/>
  <c r="BU3" i="695"/>
  <c r="BA7" i="695"/>
  <c r="BA9" i="695"/>
  <c r="BA10" i="695"/>
  <c r="BA11" i="695"/>
  <c r="BA12" i="695"/>
  <c r="BA13" i="695"/>
  <c r="BA14" i="695"/>
  <c r="BA15" i="695"/>
  <c r="BA16" i="695"/>
  <c r="BA17" i="695"/>
  <c r="BA8" i="695"/>
  <c r="AW28" i="695"/>
  <c r="AW30" i="695"/>
  <c r="AV29" i="83"/>
  <c r="AV31" i="83"/>
  <c r="E162" i="694"/>
  <c r="E218" i="694"/>
  <c r="E274" i="694" s="1"/>
  <c r="AI28" i="695"/>
  <c r="AI30" i="695"/>
  <c r="M89" i="2"/>
  <c r="M173" i="2"/>
  <c r="N89" i="2"/>
  <c r="N134" i="2"/>
  <c r="N212" i="2" s="1"/>
  <c r="N173" i="2"/>
  <c r="CL3" i="695"/>
  <c r="BR7" i="695"/>
  <c r="BR9" i="695"/>
  <c r="BR10" i="695"/>
  <c r="BR11" i="695"/>
  <c r="BR12" i="695"/>
  <c r="BR13" i="695"/>
  <c r="BR14" i="695"/>
  <c r="BR15" i="695"/>
  <c r="BR16" i="695"/>
  <c r="BR17" i="695"/>
  <c r="BR8" i="695"/>
  <c r="R92" i="2"/>
  <c r="R137" i="2"/>
  <c r="R215" i="2" s="1"/>
  <c r="R176" i="2"/>
  <c r="CE3" i="695"/>
  <c r="BK7" i="695"/>
  <c r="BK9" i="695"/>
  <c r="BK10" i="695"/>
  <c r="BK11" i="695"/>
  <c r="BK12" i="695"/>
  <c r="BK13" i="695"/>
  <c r="BK14" i="695"/>
  <c r="BK15" i="695"/>
  <c r="BK16" i="695"/>
  <c r="BK17" i="695"/>
  <c r="BK8" i="695"/>
  <c r="BV3" i="83"/>
  <c r="BB9" i="83"/>
  <c r="BB10" i="83"/>
  <c r="BB11" i="83"/>
  <c r="BB12" i="83"/>
  <c r="BB13" i="83"/>
  <c r="BB14" i="83"/>
  <c r="BB15" i="83"/>
  <c r="BB16" i="83"/>
  <c r="BB17" i="83"/>
  <c r="BB7" i="83"/>
  <c r="BB8" i="83"/>
  <c r="BX3" i="695"/>
  <c r="BD7" i="695"/>
  <c r="BD9" i="695"/>
  <c r="BD10" i="695"/>
  <c r="BD11" i="695"/>
  <c r="BD12" i="695"/>
  <c r="BD13" i="695"/>
  <c r="BD14" i="695"/>
  <c r="BD15" i="695"/>
  <c r="BD16" i="695"/>
  <c r="BD17" i="695"/>
  <c r="BD8" i="695"/>
  <c r="AY18" i="83"/>
  <c r="AY32" i="83" s="1"/>
  <c r="AY19" i="83"/>
  <c r="AY27" i="83" s="1"/>
  <c r="AY20" i="83"/>
  <c r="AY23" i="83" s="1"/>
  <c r="AY21" i="83"/>
  <c r="AY24" i="83" s="1"/>
  <c r="AY26" i="83" s="1"/>
  <c r="AY22" i="83"/>
  <c r="S89" i="2"/>
  <c r="S134" i="2"/>
  <c r="S212" i="2" s="1"/>
  <c r="S173" i="2"/>
  <c r="E78" i="2"/>
  <c r="E123" i="2"/>
  <c r="E201" i="2" s="1"/>
  <c r="E162" i="2"/>
  <c r="AS18" i="695"/>
  <c r="AS31" i="695" s="1"/>
  <c r="AS21" i="695"/>
  <c r="AS24" i="695" s="1"/>
  <c r="AS26" i="695" s="1"/>
  <c r="AS19" i="695"/>
  <c r="AS27" i="695" s="1"/>
  <c r="AS20" i="695"/>
  <c r="AS23" i="695" s="1"/>
  <c r="AS22" i="695"/>
  <c r="KJ6" i="83"/>
  <c r="NL6" i="83"/>
  <c r="AZ29" i="83"/>
  <c r="AZ31" i="83"/>
  <c r="CH3" i="695"/>
  <c r="BN7" i="695"/>
  <c r="BN9" i="695"/>
  <c r="BN10" i="695"/>
  <c r="BN11" i="695"/>
  <c r="BN12" i="695"/>
  <c r="BN13" i="695"/>
  <c r="BN14" i="695"/>
  <c r="BN15" i="695"/>
  <c r="BN16" i="695"/>
  <c r="BN17" i="695"/>
  <c r="BN8" i="695"/>
  <c r="AT29" i="83"/>
  <c r="AT31" i="83"/>
  <c r="F78" i="2"/>
  <c r="F123" i="2"/>
  <c r="F201" i="2" s="1"/>
  <c r="F162" i="2"/>
  <c r="V96" i="2"/>
  <c r="V141" i="2"/>
  <c r="V219" i="2" s="1"/>
  <c r="V180" i="2"/>
  <c r="O92" i="2"/>
  <c r="O137" i="2"/>
  <c r="O215" i="2" s="1"/>
  <c r="O176" i="2"/>
  <c r="AL28" i="695"/>
  <c r="AL30" i="695"/>
  <c r="D8" i="718"/>
  <c r="D16" i="718"/>
  <c r="D24" i="718"/>
  <c r="D9" i="718"/>
  <c r="D17" i="718"/>
  <c r="D25" i="718"/>
  <c r="D20" i="718"/>
  <c r="D10" i="718"/>
  <c r="D18" i="718"/>
  <c r="D26" i="718"/>
  <c r="D11" i="718"/>
  <c r="D19" i="718"/>
  <c r="D13" i="718"/>
  <c r="D21" i="718"/>
  <c r="D14" i="718"/>
  <c r="D22" i="718"/>
  <c r="D7" i="718"/>
  <c r="D15" i="718"/>
  <c r="D23" i="718"/>
  <c r="D12" i="718"/>
  <c r="AK18" i="83"/>
  <c r="AK32" i="83" s="1"/>
  <c r="AK20" i="83"/>
  <c r="AK23" i="83" s="1"/>
  <c r="AK19" i="83"/>
  <c r="AK27" i="83" s="1"/>
  <c r="AK21" i="83"/>
  <c r="AK24" i="83" s="1"/>
  <c r="AK26" i="83" s="1"/>
  <c r="AK22" i="83"/>
  <c r="CG3" i="83"/>
  <c r="BM9" i="83"/>
  <c r="BM10" i="83"/>
  <c r="BM11" i="83"/>
  <c r="BM12" i="83"/>
  <c r="BM13" i="83"/>
  <c r="BM14" i="83"/>
  <c r="BM15" i="83"/>
  <c r="BM16" i="83"/>
  <c r="BM17" i="83"/>
  <c r="BM7" i="83"/>
  <c r="BM8" i="83"/>
  <c r="AX18" i="83"/>
  <c r="AX32" i="83" s="1"/>
  <c r="AX19" i="83"/>
  <c r="AX27" i="83" s="1"/>
  <c r="AX20" i="83"/>
  <c r="AX23" i="83" s="1"/>
  <c r="AX21" i="83"/>
  <c r="AX24" i="83" s="1"/>
  <c r="AX26" i="83" s="1"/>
  <c r="AX22" i="83"/>
  <c r="M96" i="2"/>
  <c r="M180" i="2"/>
  <c r="BS3" i="695"/>
  <c r="AY9" i="695"/>
  <c r="AY10" i="695"/>
  <c r="AY11" i="695"/>
  <c r="AY12" i="695"/>
  <c r="AY13" i="695"/>
  <c r="AY14" i="695"/>
  <c r="AY15" i="695"/>
  <c r="AY16" i="695"/>
  <c r="AY17" i="695"/>
  <c r="AL18" i="83"/>
  <c r="AL32" i="83" s="1"/>
  <c r="AL20" i="83"/>
  <c r="AL23" i="83" s="1"/>
  <c r="AL19" i="83"/>
  <c r="AL27" i="83" s="1"/>
  <c r="AL21" i="83"/>
  <c r="AL24" i="83" s="1"/>
  <c r="AL26" i="83" s="1"/>
  <c r="AL22" i="83"/>
  <c r="KT6" i="83"/>
  <c r="NV6" i="83"/>
  <c r="AN20" i="695"/>
  <c r="AN23" i="695" s="1"/>
  <c r="AN18" i="695"/>
  <c r="AN31" i="695" s="1"/>
  <c r="AN19" i="695"/>
  <c r="AN27" i="695" s="1"/>
  <c r="AN21" i="695"/>
  <c r="AN24" i="695" s="1"/>
  <c r="AN26" i="695" s="1"/>
  <c r="AN22" i="695"/>
  <c r="NO6" i="83"/>
  <c r="KM6" i="83"/>
  <c r="I7" i="718" a="1"/>
  <c r="AO19" i="695"/>
  <c r="AO27" i="695" s="1"/>
  <c r="AO20" i="695"/>
  <c r="AO23" i="695" s="1"/>
  <c r="AO21" i="695"/>
  <c r="AO24" i="695" s="1"/>
  <c r="AO26" i="695" s="1"/>
  <c r="AO18" i="695"/>
  <c r="AO31" i="695" s="1"/>
  <c r="AO22" i="695"/>
  <c r="AP28" i="695"/>
  <c r="AP30" i="695"/>
  <c r="G9" i="718"/>
  <c r="G17" i="718"/>
  <c r="U17" i="718" s="1"/>
  <c r="G25" i="718"/>
  <c r="U25" i="718" s="1"/>
  <c r="G10" i="718"/>
  <c r="U10" i="718" s="1"/>
  <c r="G18" i="718"/>
  <c r="U18" i="718" s="1"/>
  <c r="G26" i="718"/>
  <c r="U26" i="718" s="1"/>
  <c r="G11" i="718"/>
  <c r="U11" i="718" s="1"/>
  <c r="G19" i="718"/>
  <c r="G12" i="718"/>
  <c r="U12" i="718" s="1"/>
  <c r="G20" i="718"/>
  <c r="U20" i="718" s="1"/>
  <c r="G14" i="718"/>
  <c r="U14" i="718" s="1"/>
  <c r="G22" i="718"/>
  <c r="U22" i="718" s="1"/>
  <c r="G7" i="718"/>
  <c r="G15" i="718"/>
  <c r="U15" i="718" s="1"/>
  <c r="G23" i="718"/>
  <c r="U23" i="718" s="1"/>
  <c r="G21" i="718"/>
  <c r="G8" i="718"/>
  <c r="G16" i="718"/>
  <c r="U16" i="718" s="1"/>
  <c r="G24" i="718"/>
  <c r="U24" i="718" s="1"/>
  <c r="G13" i="718"/>
  <c r="U13" i="718" s="1"/>
  <c r="NQ6" i="83"/>
  <c r="KO6" i="83"/>
  <c r="KI6" i="83"/>
  <c r="NK6" i="83"/>
  <c r="AY29" i="83"/>
  <c r="AY31" i="83"/>
  <c r="D126" i="2"/>
  <c r="D204" i="2" s="1"/>
  <c r="D166" i="2"/>
  <c r="BX3" i="83"/>
  <c r="BD9" i="83"/>
  <c r="BD10" i="83"/>
  <c r="BD11" i="83"/>
  <c r="BD12" i="83"/>
  <c r="BD13" i="83"/>
  <c r="BD14" i="83"/>
  <c r="BD15" i="83"/>
  <c r="BD16" i="83"/>
  <c r="BD17" i="83"/>
  <c r="BD7" i="83"/>
  <c r="BD8" i="83"/>
  <c r="V92" i="2"/>
  <c r="V137" i="2"/>
  <c r="V215" i="2" s="1"/>
  <c r="V176" i="2"/>
  <c r="E90" i="694"/>
  <c r="E86" i="694"/>
  <c r="E125" i="694"/>
  <c r="E181" i="694"/>
  <c r="E237" i="694" s="1"/>
  <c r="E84" i="694"/>
  <c r="AG22" i="83"/>
  <c r="AL20" i="695"/>
  <c r="AL23" i="695" s="1"/>
  <c r="AL18" i="695"/>
  <c r="AL31" i="695" s="1"/>
  <c r="AL21" i="695"/>
  <c r="AL24" i="695" s="1"/>
  <c r="AL26" i="695" s="1"/>
  <c r="AL22" i="695"/>
  <c r="AL19" i="695"/>
  <c r="AL27" i="695" s="1"/>
  <c r="H11" i="82"/>
  <c r="H19" i="82"/>
  <c r="H27" i="82"/>
  <c r="H22" i="82"/>
  <c r="H12" i="82"/>
  <c r="H20" i="82"/>
  <c r="H14" i="82"/>
  <c r="H7" i="82"/>
  <c r="H13" i="82"/>
  <c r="H21" i="82"/>
  <c r="H8" i="82"/>
  <c r="H16" i="82"/>
  <c r="H24" i="82"/>
  <c r="H9" i="82"/>
  <c r="H17" i="82"/>
  <c r="H25" i="82"/>
  <c r="H10" i="82"/>
  <c r="H26" i="82"/>
  <c r="H15" i="82"/>
  <c r="H18" i="82"/>
  <c r="H23" i="82"/>
  <c r="AM29" i="83"/>
  <c r="AM31" i="83"/>
  <c r="CD3" i="83"/>
  <c r="BJ9" i="83"/>
  <c r="BJ10" i="83"/>
  <c r="BJ11" i="83"/>
  <c r="BJ12" i="83"/>
  <c r="BJ13" i="83"/>
  <c r="BJ14" i="83"/>
  <c r="BJ15" i="83"/>
  <c r="BJ16" i="83"/>
  <c r="BJ17" i="83"/>
  <c r="BJ7" i="83"/>
  <c r="BJ8" i="83"/>
  <c r="G23" i="2"/>
  <c r="BZ3" i="695"/>
  <c r="BF7" i="695"/>
  <c r="BF9" i="695"/>
  <c r="BF10" i="695"/>
  <c r="BF11" i="695"/>
  <c r="BF12" i="695"/>
  <c r="BF13" i="695"/>
  <c r="BF14" i="695"/>
  <c r="BF15" i="695"/>
  <c r="BF16" i="695"/>
  <c r="BF17" i="695"/>
  <c r="BF8" i="695"/>
  <c r="AK29" i="83"/>
  <c r="AK31" i="83"/>
  <c r="KS6" i="83"/>
  <c r="NU6" i="83"/>
  <c r="S92" i="2"/>
  <c r="S137" i="2"/>
  <c r="S215" i="2" s="1"/>
  <c r="S176" i="2"/>
  <c r="AX29" i="83"/>
  <c r="AX31" i="83"/>
  <c r="AU28" i="695"/>
  <c r="AU30" i="695"/>
  <c r="AL29" i="83"/>
  <c r="AL31" i="83"/>
  <c r="CH3" i="83"/>
  <c r="BN9" i="83"/>
  <c r="BN10" i="83"/>
  <c r="BN11" i="83"/>
  <c r="BN12" i="83"/>
  <c r="BN13" i="83"/>
  <c r="BN14" i="83"/>
  <c r="BN15" i="83"/>
  <c r="BN16" i="83"/>
  <c r="BN17" i="83"/>
  <c r="BN7" i="83"/>
  <c r="BN8" i="83"/>
  <c r="CJ3" i="695"/>
  <c r="BP7" i="695"/>
  <c r="BP9" i="695"/>
  <c r="BP10" i="695"/>
  <c r="BP11" i="695"/>
  <c r="BP12" i="695"/>
  <c r="BP13" i="695"/>
  <c r="BP14" i="695"/>
  <c r="BP15" i="695"/>
  <c r="BP16" i="695"/>
  <c r="BP17" i="695"/>
  <c r="BP8" i="695"/>
  <c r="W92" i="2"/>
  <c r="W137" i="2"/>
  <c r="W215" i="2" s="1"/>
  <c r="W176" i="2"/>
  <c r="CA3" i="83"/>
  <c r="BG9" i="83"/>
  <c r="BG10" i="83"/>
  <c r="BG11" i="83"/>
  <c r="BG12" i="83"/>
  <c r="BG13" i="83"/>
  <c r="BG14" i="83"/>
  <c r="BG15" i="83"/>
  <c r="BG16" i="83"/>
  <c r="BG17" i="83"/>
  <c r="BG7" i="83"/>
  <c r="BG8" i="83"/>
  <c r="CK3" i="695"/>
  <c r="BQ7" i="695"/>
  <c r="BQ9" i="695"/>
  <c r="BQ10" i="695"/>
  <c r="BQ11" i="695"/>
  <c r="BQ12" i="695"/>
  <c r="BQ13" i="695"/>
  <c r="BQ14" i="695"/>
  <c r="BQ15" i="695"/>
  <c r="BQ16" i="695"/>
  <c r="BQ17" i="695"/>
  <c r="BQ8" i="695"/>
  <c r="U96" i="2"/>
  <c r="U141" i="2"/>
  <c r="U219" i="2" s="1"/>
  <c r="U180" i="2"/>
  <c r="AN18" i="83"/>
  <c r="AN32" i="83" s="1"/>
  <c r="AN20" i="83"/>
  <c r="AN23" i="83" s="1"/>
  <c r="AN19" i="83"/>
  <c r="AN27" i="83" s="1"/>
  <c r="AN21" i="83"/>
  <c r="AN24" i="83" s="1"/>
  <c r="AN26" i="83" s="1"/>
  <c r="AN22" i="83"/>
  <c r="KV6" i="83"/>
  <c r="NX6" i="83"/>
  <c r="E164" i="694"/>
  <c r="E220" i="694"/>
  <c r="E276" i="694" s="1"/>
  <c r="BW3" i="695"/>
  <c r="BC7" i="695"/>
  <c r="BC9" i="695"/>
  <c r="BC10" i="695"/>
  <c r="BC11" i="695"/>
  <c r="BC12" i="695"/>
  <c r="BC13" i="695"/>
  <c r="BC14" i="695"/>
  <c r="BC15" i="695"/>
  <c r="BC16" i="695"/>
  <c r="BC17" i="695"/>
  <c r="BC8" i="695"/>
  <c r="V89" i="2"/>
  <c r="V134" i="2"/>
  <c r="V212" i="2" s="1"/>
  <c r="V173" i="2"/>
  <c r="AH19" i="695"/>
  <c r="AH27" i="695" s="1"/>
  <c r="AH20" i="695"/>
  <c r="AH23" i="695" s="1"/>
  <c r="AH18" i="695"/>
  <c r="AH31" i="695" s="1"/>
  <c r="AH21" i="695"/>
  <c r="AH24" i="695" s="1"/>
  <c r="AH26" i="695" s="1"/>
  <c r="AH22" i="695"/>
  <c r="CC3" i="83"/>
  <c r="BI9" i="83"/>
  <c r="BI10" i="83"/>
  <c r="BI11" i="83"/>
  <c r="BI12" i="83"/>
  <c r="BI13" i="83"/>
  <c r="BI14" i="83"/>
  <c r="BI15" i="83"/>
  <c r="BI16" i="83"/>
  <c r="BI17" i="83"/>
  <c r="BI7" i="83"/>
  <c r="BI8" i="83"/>
  <c r="AR18" i="695"/>
  <c r="AR31" i="695" s="1"/>
  <c r="AR21" i="695"/>
  <c r="AR24" i="695" s="1"/>
  <c r="AR26" i="695" s="1"/>
  <c r="AR19" i="695"/>
  <c r="AR27" i="695" s="1"/>
  <c r="AR20" i="695"/>
  <c r="AR23" i="695" s="1"/>
  <c r="AR22" i="695"/>
  <c r="Q96" i="2"/>
  <c r="Q141" i="2"/>
  <c r="Q219" i="2" s="1"/>
  <c r="Q180" i="2"/>
  <c r="BW3" i="83"/>
  <c r="BC9" i="83"/>
  <c r="BC10" i="83"/>
  <c r="BC11" i="83"/>
  <c r="BC12" i="83"/>
  <c r="BC13" i="83"/>
  <c r="BC14" i="83"/>
  <c r="BC15" i="83"/>
  <c r="BC16" i="83"/>
  <c r="BC17" i="83"/>
  <c r="BC7" i="83"/>
  <c r="BC8" i="83"/>
  <c r="AS28" i="695"/>
  <c r="AS30" i="695"/>
  <c r="AR18" i="83"/>
  <c r="AR32" i="83" s="1"/>
  <c r="AR19" i="83"/>
  <c r="AR27" i="83" s="1"/>
  <c r="AR21" i="83"/>
  <c r="AR24" i="83" s="1"/>
  <c r="AR26" i="83" s="1"/>
  <c r="AR20" i="83"/>
  <c r="AR23" i="83" s="1"/>
  <c r="AR22" i="83"/>
  <c r="KZ6" i="83"/>
  <c r="OB6" i="83"/>
  <c r="D11" i="82"/>
  <c r="D19" i="82"/>
  <c r="D27" i="82"/>
  <c r="D12" i="82"/>
  <c r="D20" i="82"/>
  <c r="D22" i="82"/>
  <c r="D7" i="82"/>
  <c r="D23" i="82"/>
  <c r="D13" i="82"/>
  <c r="D21" i="82"/>
  <c r="D14" i="82"/>
  <c r="D8" i="82"/>
  <c r="D16" i="82"/>
  <c r="D24" i="82"/>
  <c r="D9" i="82"/>
  <c r="D17" i="82"/>
  <c r="D25" i="82"/>
  <c r="D15" i="82"/>
  <c r="D10" i="82"/>
  <c r="D18" i="82"/>
  <c r="D26" i="82"/>
  <c r="D188" i="694"/>
  <c r="D244" i="694" s="1"/>
  <c r="D132" i="694"/>
  <c r="C91" i="694"/>
  <c r="E154" i="694"/>
  <c r="E100" i="694"/>
  <c r="E210" i="694"/>
  <c r="E266" i="694" s="1"/>
  <c r="AG20" i="83"/>
  <c r="AG23" i="83" s="1"/>
  <c r="E96" i="2"/>
  <c r="E141" i="2"/>
  <c r="E219" i="2" s="1"/>
  <c r="E180" i="2"/>
  <c r="J10" i="718"/>
  <c r="J18" i="718"/>
  <c r="J26" i="718"/>
  <c r="J11" i="718"/>
  <c r="J19" i="718"/>
  <c r="J12" i="718"/>
  <c r="J20" i="718"/>
  <c r="J13" i="718"/>
  <c r="J21" i="718"/>
  <c r="J7" i="718"/>
  <c r="J15" i="718"/>
  <c r="J23" i="718"/>
  <c r="J8" i="718"/>
  <c r="J16" i="718"/>
  <c r="J24" i="718"/>
  <c r="J14" i="718"/>
  <c r="J9" i="718"/>
  <c r="J17" i="718"/>
  <c r="J25" i="718"/>
  <c r="J22" i="718"/>
  <c r="AN29" i="83"/>
  <c r="AN31" i="83"/>
  <c r="CJ3" i="83"/>
  <c r="BP9" i="83"/>
  <c r="BP10" i="83"/>
  <c r="BP11" i="83"/>
  <c r="BP12" i="83"/>
  <c r="BP13" i="83"/>
  <c r="BP14" i="83"/>
  <c r="BP15" i="83"/>
  <c r="BP16" i="83"/>
  <c r="BP17" i="83"/>
  <c r="BP7" i="83"/>
  <c r="BP8" i="83"/>
  <c r="E151" i="694"/>
  <c r="E207" i="694"/>
  <c r="E263" i="694" s="1"/>
  <c r="CD3" i="695"/>
  <c r="BJ7" i="695"/>
  <c r="BJ9" i="695"/>
  <c r="BJ10" i="695"/>
  <c r="BJ11" i="695"/>
  <c r="BJ12" i="695"/>
  <c r="BJ13" i="695"/>
  <c r="BJ14" i="695"/>
  <c r="BJ15" i="695"/>
  <c r="BJ16" i="695"/>
  <c r="BJ17" i="695"/>
  <c r="BJ8" i="695"/>
  <c r="AW18" i="83"/>
  <c r="AW32" i="83" s="1"/>
  <c r="AW21" i="83"/>
  <c r="AW24" i="83" s="1"/>
  <c r="AW26" i="83" s="1"/>
  <c r="AW19" i="83"/>
  <c r="AW27" i="83" s="1"/>
  <c r="AW20" i="83"/>
  <c r="AW23" i="83" s="1"/>
  <c r="AW22" i="83"/>
  <c r="F7" i="82"/>
  <c r="U7" i="82" s="1"/>
  <c r="F15" i="82"/>
  <c r="U15" i="82" s="1"/>
  <c r="F23" i="82"/>
  <c r="U23" i="82" s="1"/>
  <c r="F18" i="82"/>
  <c r="U18" i="82" s="1"/>
  <c r="F8" i="82"/>
  <c r="U8" i="82" s="1"/>
  <c r="F16" i="82"/>
  <c r="U16" i="82" s="1"/>
  <c r="F24" i="82"/>
  <c r="U24" i="82" s="1"/>
  <c r="F10" i="82"/>
  <c r="F27" i="82"/>
  <c r="F9" i="82"/>
  <c r="F17" i="82"/>
  <c r="U17" i="82" s="1"/>
  <c r="F25" i="82"/>
  <c r="U25" i="82" s="1"/>
  <c r="F26" i="82"/>
  <c r="U26" i="82" s="1"/>
  <c r="F12" i="82"/>
  <c r="U12" i="82" s="1"/>
  <c r="F20" i="82"/>
  <c r="U20" i="82" s="1"/>
  <c r="F13" i="82"/>
  <c r="F21" i="82"/>
  <c r="U21" i="82" s="1"/>
  <c r="F14" i="82"/>
  <c r="U14" i="82" s="1"/>
  <c r="F22" i="82"/>
  <c r="U22" i="82" s="1"/>
  <c r="F11" i="82"/>
  <c r="F19" i="82"/>
  <c r="AQ18" i="83"/>
  <c r="AQ32" i="83" s="1"/>
  <c r="AQ19" i="83"/>
  <c r="AQ27" i="83" s="1"/>
  <c r="AQ21" i="83"/>
  <c r="AQ24" i="83" s="1"/>
  <c r="AQ26" i="83" s="1"/>
  <c r="AQ20" i="83"/>
  <c r="AQ23" i="83" s="1"/>
  <c r="AQ22" i="83"/>
  <c r="CM3" i="83"/>
  <c r="BS9" i="83"/>
  <c r="BS10" i="83"/>
  <c r="BS11" i="83"/>
  <c r="BS12" i="83"/>
  <c r="BS13" i="83"/>
  <c r="BS14" i="83"/>
  <c r="BS15" i="83"/>
  <c r="BS16" i="83"/>
  <c r="BS17" i="83"/>
  <c r="BS7" i="83"/>
  <c r="BS8" i="83"/>
  <c r="P89" i="2"/>
  <c r="P134" i="2"/>
  <c r="P212" i="2" s="1"/>
  <c r="P173" i="2"/>
  <c r="AK18" i="695"/>
  <c r="AK31" i="695" s="1"/>
  <c r="AK21" i="695"/>
  <c r="AK24" i="695" s="1"/>
  <c r="AK26" i="695" s="1"/>
  <c r="AK19" i="695"/>
  <c r="AK27" i="695" s="1"/>
  <c r="AK20" i="695"/>
  <c r="AK23" i="695" s="1"/>
  <c r="AK22" i="695"/>
  <c r="AR29" i="83"/>
  <c r="AR31" i="83"/>
  <c r="CN3" i="83"/>
  <c r="BT9" i="83"/>
  <c r="BT10" i="83"/>
  <c r="BT11" i="83"/>
  <c r="BT12" i="83"/>
  <c r="BT13" i="83"/>
  <c r="BT14" i="83"/>
  <c r="BT15" i="83"/>
  <c r="BT16" i="83"/>
  <c r="BT17" i="83"/>
  <c r="BT7" i="83"/>
  <c r="BT8" i="83"/>
  <c r="E82" i="694"/>
  <c r="E89" i="2"/>
  <c r="E134" i="2"/>
  <c r="E212" i="2" s="1"/>
  <c r="E173" i="2"/>
  <c r="H66" i="2"/>
  <c r="H65" i="2"/>
  <c r="H64" i="2"/>
  <c r="H63" i="2"/>
  <c r="H60" i="2"/>
  <c r="H59" i="2"/>
  <c r="H58" i="2"/>
  <c r="H57" i="2"/>
  <c r="H54" i="2"/>
  <c r="H53" i="2"/>
  <c r="H52" i="2"/>
  <c r="H51" i="2"/>
  <c r="H47" i="2"/>
  <c r="H46" i="2"/>
  <c r="H45" i="2"/>
  <c r="H44" i="2"/>
  <c r="H40" i="2"/>
  <c r="H39" i="2"/>
  <c r="H38" i="2"/>
  <c r="H36" i="2"/>
  <c r="H35" i="2"/>
  <c r="H33" i="2"/>
  <c r="H32" i="2"/>
  <c r="H31" i="2"/>
  <c r="H28" i="2"/>
  <c r="H26" i="2"/>
  <c r="H25" i="2"/>
  <c r="H22" i="2"/>
  <c r="H21" i="2"/>
  <c r="H20" i="2"/>
  <c r="H19" i="2"/>
  <c r="H17" i="2"/>
  <c r="H16" i="2"/>
  <c r="H15" i="2"/>
  <c r="G77" i="694"/>
  <c r="G76" i="694"/>
  <c r="G68" i="694"/>
  <c r="G58" i="694"/>
  <c r="G57" i="694"/>
  <c r="G56" i="694"/>
  <c r="G65" i="694" s="1"/>
  <c r="G55" i="694"/>
  <c r="G54" i="694"/>
  <c r="G74" i="694"/>
  <c r="G73" i="694"/>
  <c r="G72" i="694"/>
  <c r="G71" i="694"/>
  <c r="G70" i="694"/>
  <c r="G50" i="694"/>
  <c r="G49" i="694"/>
  <c r="G47" i="694"/>
  <c r="G44" i="694"/>
  <c r="G43" i="694"/>
  <c r="G42" i="694"/>
  <c r="G39" i="694"/>
  <c r="G38" i="694"/>
  <c r="G34" i="694"/>
  <c r="G35" i="694"/>
  <c r="G28" i="694"/>
  <c r="G26" i="694"/>
  <c r="G24" i="694"/>
  <c r="G21" i="694"/>
  <c r="G20" i="694"/>
  <c r="G17" i="694"/>
  <c r="G16" i="694"/>
  <c r="G15" i="694"/>
  <c r="AY7" i="695"/>
  <c r="AY8" i="695"/>
  <c r="F40" i="694"/>
  <c r="BS8" i="695"/>
  <c r="BS7" i="695"/>
  <c r="BU8" i="83"/>
  <c r="BU7" i="83"/>
  <c r="C54" i="1646"/>
  <c r="F100" i="694" l="1"/>
  <c r="F106" i="694"/>
  <c r="F105" i="694"/>
  <c r="F66" i="694"/>
  <c r="F60" i="694"/>
  <c r="F161" i="694" s="1"/>
  <c r="F109" i="694"/>
  <c r="F210" i="694"/>
  <c r="F266" i="694" s="1"/>
  <c r="F61" i="694"/>
  <c r="F218" i="694" s="1"/>
  <c r="F274" i="694" s="1"/>
  <c r="F62" i="694"/>
  <c r="F163" i="694" s="1"/>
  <c r="F154" i="694"/>
  <c r="F107" i="694"/>
  <c r="F88" i="694"/>
  <c r="F90" i="694"/>
  <c r="F87" i="694"/>
  <c r="F96" i="694"/>
  <c r="BU31" i="83"/>
  <c r="BS28" i="695"/>
  <c r="BS30" i="695"/>
  <c r="F143" i="694"/>
  <c r="F199" i="694"/>
  <c r="F255" i="694" s="1"/>
  <c r="AY21" i="695"/>
  <c r="AY24" i="695" s="1"/>
  <c r="AY26" i="695" s="1"/>
  <c r="AY19" i="695"/>
  <c r="AY27" i="695" s="1"/>
  <c r="AY18" i="695"/>
  <c r="AY31" i="695" s="1"/>
  <c r="AY22" i="695"/>
  <c r="AY20" i="695"/>
  <c r="AY23" i="695" s="1"/>
  <c r="AY28" i="695"/>
  <c r="AY30" i="695"/>
  <c r="H115" i="2"/>
  <c r="H193" i="2" s="1"/>
  <c r="H154" i="2"/>
  <c r="H71" i="2"/>
  <c r="H106" i="2"/>
  <c r="H116" i="2"/>
  <c r="H194" i="2" s="1"/>
  <c r="H155" i="2"/>
  <c r="H72" i="2"/>
  <c r="H117" i="2"/>
  <c r="H195" i="2" s="1"/>
  <c r="H156" i="2"/>
  <c r="H107" i="2"/>
  <c r="H74" i="2"/>
  <c r="H119" i="2"/>
  <c r="H197" i="2" s="1"/>
  <c r="H158" i="2"/>
  <c r="H75" i="2"/>
  <c r="H120" i="2"/>
  <c r="H198" i="2" s="1"/>
  <c r="H159" i="2"/>
  <c r="H108" i="2"/>
  <c r="H109" i="2"/>
  <c r="H76" i="2"/>
  <c r="H121" i="2"/>
  <c r="H199" i="2" s="1"/>
  <c r="H160" i="2"/>
  <c r="H77" i="2"/>
  <c r="H122" i="2"/>
  <c r="H200" i="2" s="1"/>
  <c r="H161" i="2"/>
  <c r="H110" i="2"/>
  <c r="H80" i="2"/>
  <c r="H125" i="2"/>
  <c r="H203" i="2" s="1"/>
  <c r="H164" i="2"/>
  <c r="H82" i="2"/>
  <c r="H127" i="2"/>
  <c r="H205" i="2" s="1"/>
  <c r="H165" i="2"/>
  <c r="H83" i="2"/>
  <c r="H128" i="2"/>
  <c r="H206" i="2" s="1"/>
  <c r="H167" i="2"/>
  <c r="H86" i="2"/>
  <c r="H131" i="2"/>
  <c r="H209" i="2" s="1"/>
  <c r="H170" i="2"/>
  <c r="H87" i="2"/>
  <c r="H132" i="2"/>
  <c r="H210" i="2" s="1"/>
  <c r="H171" i="2"/>
  <c r="H34" i="2"/>
  <c r="H88" i="2"/>
  <c r="H133" i="2"/>
  <c r="H211" i="2" s="1"/>
  <c r="H172" i="2"/>
  <c r="H90" i="2"/>
  <c r="H135" i="2"/>
  <c r="H213" i="2" s="1"/>
  <c r="H174" i="2"/>
  <c r="H37" i="2"/>
  <c r="H91" i="2"/>
  <c r="H136" i="2"/>
  <c r="H214" i="2" s="1"/>
  <c r="H175" i="2"/>
  <c r="H93" i="2"/>
  <c r="H138" i="2"/>
  <c r="H216" i="2" s="1"/>
  <c r="H177" i="2"/>
  <c r="H94" i="2"/>
  <c r="H139" i="2"/>
  <c r="H217" i="2" s="1"/>
  <c r="H178" i="2"/>
  <c r="H41" i="2"/>
  <c r="H95" i="2"/>
  <c r="H140" i="2"/>
  <c r="H218" i="2" s="1"/>
  <c r="H179" i="2"/>
  <c r="H48" i="2"/>
  <c r="H149" i="2"/>
  <c r="H227" i="2" s="1"/>
  <c r="H188" i="2"/>
  <c r="H99" i="2"/>
  <c r="H144" i="2"/>
  <c r="H222" i="2" s="1"/>
  <c r="H183" i="2"/>
  <c r="H100" i="2"/>
  <c r="H145" i="2"/>
  <c r="H223" i="2" s="1"/>
  <c r="H184" i="2"/>
  <c r="H102" i="2"/>
  <c r="H101" i="2"/>
  <c r="H146" i="2"/>
  <c r="H224" i="2" s="1"/>
  <c r="H185" i="2"/>
  <c r="H147" i="2"/>
  <c r="H225" i="2" s="1"/>
  <c r="H186" i="2"/>
  <c r="F29" i="694"/>
  <c r="F189" i="694"/>
  <c r="F245" i="694" s="1"/>
  <c r="F133" i="694"/>
  <c r="F92" i="694"/>
  <c r="AK25" i="695"/>
  <c r="AK29" i="695"/>
  <c r="AK32" i="695"/>
  <c r="LP6" i="83"/>
  <c r="MJ6" i="83" s="1"/>
  <c r="ND6" i="83" s="1"/>
  <c r="OR6" i="83"/>
  <c r="PL6" i="83" s="1"/>
  <c r="QF6" i="83" s="1"/>
  <c r="QZ6" i="83" s="1"/>
  <c r="RT6" i="83" s="1"/>
  <c r="SN6" i="83" s="1"/>
  <c r="TH6" i="83" s="1"/>
  <c r="UB6" i="83" s="1"/>
  <c r="UV6" i="83" s="1"/>
  <c r="VP6" i="83" s="1"/>
  <c r="WJ6" i="83" s="1"/>
  <c r="XD6" i="83" s="1"/>
  <c r="XX6" i="83" s="1"/>
  <c r="YR6" i="83" s="1"/>
  <c r="ZL6" i="83" s="1"/>
  <c r="AAF6" i="83" s="1"/>
  <c r="AAZ6" i="83" s="1"/>
  <c r="ABT6" i="83" s="1"/>
  <c r="ACN6" i="83" s="1"/>
  <c r="CU3" i="83"/>
  <c r="CA9" i="83"/>
  <c r="CA10" i="83"/>
  <c r="CA11" i="83"/>
  <c r="CA12" i="83"/>
  <c r="CA13" i="83"/>
  <c r="CA14" i="83"/>
  <c r="CA15" i="83"/>
  <c r="CA16" i="83"/>
  <c r="CA17" i="83"/>
  <c r="CA7" i="83"/>
  <c r="CA8" i="83"/>
  <c r="BQ29" i="83"/>
  <c r="BQ31" i="83"/>
  <c r="AJ25" i="695"/>
  <c r="AJ29" i="695"/>
  <c r="AJ32" i="695"/>
  <c r="BF29" i="83"/>
  <c r="BF31" i="83"/>
  <c r="DG3" i="83"/>
  <c r="CM9" i="83"/>
  <c r="CM10" i="83"/>
  <c r="CM11" i="83"/>
  <c r="CM12" i="83"/>
  <c r="CM13" i="83"/>
  <c r="CM14" i="83"/>
  <c r="CM15" i="83"/>
  <c r="CM16" i="83"/>
  <c r="CM17" i="83"/>
  <c r="CM7" i="83"/>
  <c r="CM8" i="83"/>
  <c r="BJ20" i="695"/>
  <c r="BJ23" i="695" s="1"/>
  <c r="BJ18" i="695"/>
  <c r="BJ31" i="695" s="1"/>
  <c r="BJ21" i="695"/>
  <c r="BJ24" i="695" s="1"/>
  <c r="BJ26" i="695" s="1"/>
  <c r="BJ19" i="695"/>
  <c r="BJ27" i="695" s="1"/>
  <c r="BJ22" i="695"/>
  <c r="OV6" i="83"/>
  <c r="PP6" i="83" s="1"/>
  <c r="QJ6" i="83" s="1"/>
  <c r="RD6" i="83" s="1"/>
  <c r="RX6" i="83" s="1"/>
  <c r="SR6" i="83" s="1"/>
  <c r="TL6" i="83" s="1"/>
  <c r="UF6" i="83" s="1"/>
  <c r="UZ6" i="83" s="1"/>
  <c r="VT6" i="83" s="1"/>
  <c r="WN6" i="83" s="1"/>
  <c r="XH6" i="83" s="1"/>
  <c r="YB6" i="83" s="1"/>
  <c r="YV6" i="83" s="1"/>
  <c r="ZP6" i="83" s="1"/>
  <c r="AAJ6" i="83" s="1"/>
  <c r="ABD6" i="83" s="1"/>
  <c r="ABX6" i="83" s="1"/>
  <c r="ACR6" i="83" s="1"/>
  <c r="LT6" i="83"/>
  <c r="MN6" i="83" s="1"/>
  <c r="NH6" i="83" s="1"/>
  <c r="BC18" i="83"/>
  <c r="BC32" i="83" s="1"/>
  <c r="BC20" i="83"/>
  <c r="BC23" i="83" s="1"/>
  <c r="BC19" i="83"/>
  <c r="BC27" i="83" s="1"/>
  <c r="BC22" i="83"/>
  <c r="BC21" i="83"/>
  <c r="BC24" i="83" s="1"/>
  <c r="BC26" i="83" s="1"/>
  <c r="AR25" i="695"/>
  <c r="AR29" i="695"/>
  <c r="AR32" i="695"/>
  <c r="BC20" i="695"/>
  <c r="BC23" i="695" s="1"/>
  <c r="BC18" i="695"/>
  <c r="BC31" i="695" s="1"/>
  <c r="BC21" i="695"/>
  <c r="BC24" i="695" s="1"/>
  <c r="BC26" i="695" s="1"/>
  <c r="BC19" i="695"/>
  <c r="BC27" i="695" s="1"/>
  <c r="BC22" i="695"/>
  <c r="BQ18" i="695"/>
  <c r="BQ31" i="695" s="1"/>
  <c r="BQ21" i="695"/>
  <c r="BQ24" i="695" s="1"/>
  <c r="BQ26" i="695" s="1"/>
  <c r="BQ19" i="695"/>
  <c r="BQ27" i="695" s="1"/>
  <c r="BQ20" i="695"/>
  <c r="BQ23" i="695" s="1"/>
  <c r="BQ22" i="695"/>
  <c r="BJ18" i="83"/>
  <c r="BJ32" i="83" s="1"/>
  <c r="BJ20" i="83"/>
  <c r="BJ23" i="83" s="1"/>
  <c r="BJ19" i="83"/>
  <c r="BJ27" i="83" s="1"/>
  <c r="BJ21" i="83"/>
  <c r="BJ24" i="83" s="1"/>
  <c r="BJ26" i="83" s="1"/>
  <c r="BJ22" i="83"/>
  <c r="U8" i="718"/>
  <c r="U9" i="718"/>
  <c r="I7" i="718"/>
  <c r="I15" i="718"/>
  <c r="I23" i="718"/>
  <c r="I8" i="718"/>
  <c r="I16" i="718"/>
  <c r="I24" i="718"/>
  <c r="I19" i="718"/>
  <c r="I9" i="718"/>
  <c r="I17" i="718"/>
  <c r="I25" i="718"/>
  <c r="I10" i="718"/>
  <c r="I18" i="718"/>
  <c r="I26" i="718"/>
  <c r="I12" i="718"/>
  <c r="I20" i="718"/>
  <c r="I13" i="718"/>
  <c r="I21" i="718"/>
  <c r="I14" i="718"/>
  <c r="I22" i="718"/>
  <c r="I11" i="718"/>
  <c r="AX25" i="83"/>
  <c r="AX30" i="83"/>
  <c r="AX33" i="83"/>
  <c r="BN28" i="695"/>
  <c r="BN30" i="695"/>
  <c r="BD28" i="695"/>
  <c r="BD30" i="695"/>
  <c r="BK28" i="695"/>
  <c r="BK30" i="695"/>
  <c r="DF3" i="695"/>
  <c r="CL7" i="695"/>
  <c r="CL9" i="695"/>
  <c r="CL10" i="695"/>
  <c r="CL11" i="695"/>
  <c r="CL12" i="695"/>
  <c r="CL13" i="695"/>
  <c r="CL14" i="695"/>
  <c r="CL15" i="695"/>
  <c r="CL16" i="695"/>
  <c r="CL17" i="695"/>
  <c r="CL8" i="695"/>
  <c r="B55" i="1646"/>
  <c r="E29" i="694"/>
  <c r="E92" i="694"/>
  <c r="E133" i="694"/>
  <c r="E189" i="694"/>
  <c r="E245" i="694" s="1"/>
  <c r="BK18" i="83"/>
  <c r="BK32" i="83" s="1"/>
  <c r="BK20" i="83"/>
  <c r="BK23" i="83" s="1"/>
  <c r="BK19" i="83"/>
  <c r="BK27" i="83" s="1"/>
  <c r="BK21" i="83"/>
  <c r="BK24" i="83" s="1"/>
  <c r="BK26" i="83" s="1"/>
  <c r="BK22" i="83"/>
  <c r="G18" i="694"/>
  <c r="G30" i="694" s="1"/>
  <c r="G22" i="694"/>
  <c r="G25" i="694"/>
  <c r="G128" i="694" s="1"/>
  <c r="G53" i="694"/>
  <c r="G108" i="694" s="1"/>
  <c r="G101" i="694"/>
  <c r="G113" i="694"/>
  <c r="G119" i="694"/>
  <c r="G124" i="694"/>
  <c r="G127" i="694"/>
  <c r="G129" i="694"/>
  <c r="G138" i="694"/>
  <c r="G142" i="694"/>
  <c r="G145" i="694"/>
  <c r="G147" i="694"/>
  <c r="G150" i="694"/>
  <c r="G152" i="694"/>
  <c r="G155" i="694"/>
  <c r="G157" i="694"/>
  <c r="G159" i="694"/>
  <c r="G167" i="694"/>
  <c r="G169" i="694"/>
  <c r="G175" i="694"/>
  <c r="G231" i="694" s="1"/>
  <c r="G180" i="694"/>
  <c r="G236" i="694" s="1"/>
  <c r="G183" i="694"/>
  <c r="G239" i="694" s="1"/>
  <c r="G185" i="694"/>
  <c r="G241" i="694" s="1"/>
  <c r="G194" i="694"/>
  <c r="G250" i="694" s="1"/>
  <c r="G198" i="694"/>
  <c r="G254" i="694" s="1"/>
  <c r="G201" i="694"/>
  <c r="G257" i="694" s="1"/>
  <c r="G203" i="694"/>
  <c r="G259" i="694" s="1"/>
  <c r="G206" i="694"/>
  <c r="G262" i="694" s="1"/>
  <c r="G208" i="694"/>
  <c r="G264" i="694" s="1"/>
  <c r="G211" i="694"/>
  <c r="G267" i="694" s="1"/>
  <c r="G213" i="694"/>
  <c r="G269" i="694" s="1"/>
  <c r="G215" i="694"/>
  <c r="G271" i="694" s="1"/>
  <c r="G223" i="694"/>
  <c r="G279" i="694" s="1"/>
  <c r="G225" i="694"/>
  <c r="G281" i="694" s="1"/>
  <c r="G112" i="694"/>
  <c r="G102" i="694"/>
  <c r="G114" i="694"/>
  <c r="G120" i="694"/>
  <c r="G123" i="694"/>
  <c r="G125" i="694"/>
  <c r="G131" i="694"/>
  <c r="G137" i="694"/>
  <c r="G141" i="694"/>
  <c r="G146" i="694"/>
  <c r="G156" i="694"/>
  <c r="G158" i="694"/>
  <c r="G166" i="694"/>
  <c r="G168" i="694"/>
  <c r="G170" i="694"/>
  <c r="G176" i="694"/>
  <c r="G232" i="694" s="1"/>
  <c r="G179" i="694"/>
  <c r="G235" i="694" s="1"/>
  <c r="G181" i="694"/>
  <c r="G237" i="694" s="1"/>
  <c r="G184" i="694"/>
  <c r="G240" i="694" s="1"/>
  <c r="G187" i="694"/>
  <c r="G243" i="694" s="1"/>
  <c r="G193" i="694"/>
  <c r="G249" i="694" s="1"/>
  <c r="G197" i="694"/>
  <c r="G253" i="694" s="1"/>
  <c r="G202" i="694"/>
  <c r="G258" i="694" s="1"/>
  <c r="G212" i="694"/>
  <c r="G268" i="694" s="1"/>
  <c r="G214" i="694"/>
  <c r="G270" i="694" s="1"/>
  <c r="G222" i="694"/>
  <c r="G278" i="694" s="1"/>
  <c r="G224" i="694"/>
  <c r="G280" i="694" s="1"/>
  <c r="G226" i="694"/>
  <c r="G282" i="694" s="1"/>
  <c r="LQ6" i="83"/>
  <c r="MK6" i="83" s="1"/>
  <c r="NE6" i="83" s="1"/>
  <c r="OS6" i="83"/>
  <c r="PM6" i="83" s="1"/>
  <c r="QG6" i="83" s="1"/>
  <c r="RA6" i="83" s="1"/>
  <c r="RU6" i="83" s="1"/>
  <c r="SO6" i="83" s="1"/>
  <c r="TI6" i="83" s="1"/>
  <c r="UC6" i="83" s="1"/>
  <c r="UW6" i="83" s="1"/>
  <c r="VQ6" i="83" s="1"/>
  <c r="WK6" i="83" s="1"/>
  <c r="XE6" i="83" s="1"/>
  <c r="XY6" i="83" s="1"/>
  <c r="YS6" i="83" s="1"/>
  <c r="ZM6" i="83" s="1"/>
  <c r="AAG6" i="83" s="1"/>
  <c r="ABA6" i="83" s="1"/>
  <c r="ABU6" i="83" s="1"/>
  <c r="ACO6" i="83" s="1"/>
  <c r="F219" i="694"/>
  <c r="F275" i="694" s="1"/>
  <c r="BE29" i="83"/>
  <c r="BE31" i="83"/>
  <c r="DC3" i="695"/>
  <c r="CI7" i="695"/>
  <c r="CI9" i="695"/>
  <c r="CI10" i="695"/>
  <c r="CI11" i="695"/>
  <c r="CI12" i="695"/>
  <c r="CI13" i="695"/>
  <c r="CI14" i="695"/>
  <c r="CI15" i="695"/>
  <c r="CI16" i="695"/>
  <c r="CI17" i="695"/>
  <c r="CI8" i="695"/>
  <c r="W10" i="27" a="1"/>
  <c r="W10" i="27" s="1"/>
  <c r="X11" i="27"/>
  <c r="BH18" i="695"/>
  <c r="BH31" i="695" s="1"/>
  <c r="BH21" i="695"/>
  <c r="BH24" i="695" s="1"/>
  <c r="BH26" i="695" s="1"/>
  <c r="BH19" i="695"/>
  <c r="BH27" i="695" s="1"/>
  <c r="BH20" i="695"/>
  <c r="BH23" i="695" s="1"/>
  <c r="BH22" i="695"/>
  <c r="BM28" i="695"/>
  <c r="BM30" i="695"/>
  <c r="AQ25" i="695"/>
  <c r="AQ29" i="695"/>
  <c r="AQ32" i="695"/>
  <c r="AG25" i="695"/>
  <c r="AG29" i="695"/>
  <c r="AG32" i="695"/>
  <c r="BA20" i="83"/>
  <c r="BA23" i="83" s="1"/>
  <c r="AS25" i="695"/>
  <c r="AS29" i="695"/>
  <c r="AS32" i="695"/>
  <c r="BC29" i="83"/>
  <c r="BC31" i="83"/>
  <c r="U21" i="718"/>
  <c r="DB3" i="695"/>
  <c r="CH7" i="695"/>
  <c r="CH9" i="695"/>
  <c r="CH10" i="695"/>
  <c r="CH11" i="695"/>
  <c r="CH12" i="695"/>
  <c r="CH13" i="695"/>
  <c r="CH14" i="695"/>
  <c r="CH15" i="695"/>
  <c r="CH16" i="695"/>
  <c r="CH17" i="695"/>
  <c r="CH8" i="695"/>
  <c r="CR3" i="695"/>
  <c r="BX7" i="695"/>
  <c r="BX9" i="695"/>
  <c r="BX10" i="695"/>
  <c r="BX11" i="695"/>
  <c r="BX12" i="695"/>
  <c r="BX13" i="695"/>
  <c r="BX14" i="695"/>
  <c r="BX15" i="695"/>
  <c r="BX16" i="695"/>
  <c r="BX17" i="695"/>
  <c r="BX8" i="695"/>
  <c r="CY3" i="695"/>
  <c r="CE7" i="695"/>
  <c r="CE9" i="695"/>
  <c r="CE10" i="695"/>
  <c r="CE11" i="695"/>
  <c r="CE12" i="695"/>
  <c r="CE13" i="695"/>
  <c r="CE14" i="695"/>
  <c r="CE15" i="695"/>
  <c r="CE16" i="695"/>
  <c r="CE17" i="695"/>
  <c r="CE8" i="695"/>
  <c r="BA28" i="695"/>
  <c r="BA30" i="695"/>
  <c r="AZ18" i="695"/>
  <c r="AZ31" i="695" s="1"/>
  <c r="AZ21" i="695"/>
  <c r="AZ24" i="695" s="1"/>
  <c r="AZ26" i="695" s="1"/>
  <c r="AZ19" i="695"/>
  <c r="AZ27" i="695" s="1"/>
  <c r="AZ20" i="695"/>
  <c r="AZ23" i="695" s="1"/>
  <c r="AZ22" i="695"/>
  <c r="AU25" i="695"/>
  <c r="AU29" i="695"/>
  <c r="AU32" i="695"/>
  <c r="BE19" i="695"/>
  <c r="BE27" i="695" s="1"/>
  <c r="BE20" i="695"/>
  <c r="BE23" i="695" s="1"/>
  <c r="BE21" i="695"/>
  <c r="BE24" i="695" s="1"/>
  <c r="BE26" i="695" s="1"/>
  <c r="BE18" i="695"/>
  <c r="BE31" i="695" s="1"/>
  <c r="BE22" i="695"/>
  <c r="BK29" i="83"/>
  <c r="BK31" i="83"/>
  <c r="DE3" i="83"/>
  <c r="CK9" i="83"/>
  <c r="CK10" i="83"/>
  <c r="CK11" i="83"/>
  <c r="CK12" i="83"/>
  <c r="CK13" i="83"/>
  <c r="CK14" i="83"/>
  <c r="CK15" i="83"/>
  <c r="CK16" i="83"/>
  <c r="CK17" i="83"/>
  <c r="CK7" i="83"/>
  <c r="CK8" i="83"/>
  <c r="BB20" i="695"/>
  <c r="BB23" i="695" s="1"/>
  <c r="BB18" i="695"/>
  <c r="BB31" i="695" s="1"/>
  <c r="BB21" i="695"/>
  <c r="BB24" i="695" s="1"/>
  <c r="BB26" i="695" s="1"/>
  <c r="BB22" i="695"/>
  <c r="BB19" i="695"/>
  <c r="BB27" i="695" s="1"/>
  <c r="AV25" i="695"/>
  <c r="AV29" i="695"/>
  <c r="AV32" i="695"/>
  <c r="F217" i="694"/>
  <c r="F273" i="694" s="1"/>
  <c r="F151" i="694"/>
  <c r="F128" i="694"/>
  <c r="BG21" i="695"/>
  <c r="BG24" i="695" s="1"/>
  <c r="BG26" i="695" s="1"/>
  <c r="BG19" i="695"/>
  <c r="BG27" i="695" s="1"/>
  <c r="BG18" i="695"/>
  <c r="BG31" i="695" s="1"/>
  <c r="BG22" i="695"/>
  <c r="BG20" i="695"/>
  <c r="BG23" i="695" s="1"/>
  <c r="AP25" i="83"/>
  <c r="AP30" i="83"/>
  <c r="AP33" i="83"/>
  <c r="CO3" i="83"/>
  <c r="BU9" i="83"/>
  <c r="BU29" i="83" s="1"/>
  <c r="BU10" i="83"/>
  <c r="BU11" i="83"/>
  <c r="BU12" i="83"/>
  <c r="BU13" i="83"/>
  <c r="BU14" i="83"/>
  <c r="BU15" i="83"/>
  <c r="BU16" i="83"/>
  <c r="BU17" i="83"/>
  <c r="CT3" i="83"/>
  <c r="BZ9" i="83"/>
  <c r="BZ10" i="83"/>
  <c r="BZ11" i="83"/>
  <c r="BZ12" i="83"/>
  <c r="BZ13" i="83"/>
  <c r="BZ14" i="83"/>
  <c r="BZ15" i="83"/>
  <c r="BZ16" i="83"/>
  <c r="BZ17" i="83"/>
  <c r="BZ7" i="83"/>
  <c r="BZ8" i="83"/>
  <c r="LE6" i="83"/>
  <c r="LY6" i="83" s="1"/>
  <c r="MS6" i="83" s="1"/>
  <c r="OG6" i="83"/>
  <c r="PA6" i="83" s="1"/>
  <c r="PU6" i="83" s="1"/>
  <c r="QO6" i="83" s="1"/>
  <c r="RI6" i="83" s="1"/>
  <c r="SC6" i="83" s="1"/>
  <c r="SW6" i="83" s="1"/>
  <c r="TQ6" i="83" s="1"/>
  <c r="UK6" i="83" s="1"/>
  <c r="VE6" i="83" s="1"/>
  <c r="VY6" i="83" s="1"/>
  <c r="WS6" i="83" s="1"/>
  <c r="XM6" i="83" s="1"/>
  <c r="YG6" i="83" s="1"/>
  <c r="ZA6" i="83" s="1"/>
  <c r="ZU6" i="83" s="1"/>
  <c r="AAO6" i="83" s="1"/>
  <c r="ABI6" i="83" s="1"/>
  <c r="ACC6" i="83" s="1"/>
  <c r="AT25" i="695"/>
  <c r="AT29" i="695"/>
  <c r="AT32" i="695"/>
  <c r="DA3" i="695"/>
  <c r="CG7" i="695"/>
  <c r="CG9" i="695"/>
  <c r="CG10" i="695"/>
  <c r="CG11" i="695"/>
  <c r="CG12" i="695"/>
  <c r="CG13" i="695"/>
  <c r="CG14" i="695"/>
  <c r="CG15" i="695"/>
  <c r="CG16" i="695"/>
  <c r="CG17" i="695"/>
  <c r="CG8" i="695"/>
  <c r="AM25" i="695"/>
  <c r="AM29" i="695"/>
  <c r="AM32" i="695"/>
  <c r="BA18" i="83"/>
  <c r="BA32" i="83" s="1"/>
  <c r="LM6" i="83"/>
  <c r="MG6" i="83" s="1"/>
  <c r="NA6" i="83" s="1"/>
  <c r="OO6" i="83"/>
  <c r="PI6" i="83" s="1"/>
  <c r="QC6" i="83" s="1"/>
  <c r="QW6" i="83" s="1"/>
  <c r="RQ6" i="83" s="1"/>
  <c r="SK6" i="83" s="1"/>
  <c r="TE6" i="83" s="1"/>
  <c r="TY6" i="83" s="1"/>
  <c r="US6" i="83" s="1"/>
  <c r="VM6" i="83" s="1"/>
  <c r="WG6" i="83" s="1"/>
  <c r="XA6" i="83" s="1"/>
  <c r="XU6" i="83" s="1"/>
  <c r="YO6" i="83" s="1"/>
  <c r="ZI6" i="83" s="1"/>
  <c r="AAC6" i="83" s="1"/>
  <c r="AAW6" i="83" s="1"/>
  <c r="ABQ6" i="83" s="1"/>
  <c r="ACK6" i="83" s="1"/>
  <c r="AL25" i="695"/>
  <c r="AL29" i="695"/>
  <c r="AL32" i="695"/>
  <c r="AL25" i="83"/>
  <c r="AL30" i="83"/>
  <c r="AL33" i="83"/>
  <c r="BE18" i="83"/>
  <c r="BE32" i="83" s="1"/>
  <c r="BE21" i="83"/>
  <c r="BE24" i="83" s="1"/>
  <c r="BE26" i="83" s="1"/>
  <c r="BE20" i="83"/>
  <c r="BE23" i="83" s="1"/>
  <c r="BE19" i="83"/>
  <c r="BE27" i="83" s="1"/>
  <c r="BE22" i="83"/>
  <c r="CW3" i="695"/>
  <c r="CC7" i="695"/>
  <c r="CC9" i="695"/>
  <c r="CC10" i="695"/>
  <c r="CC11" i="695"/>
  <c r="CC12" i="695"/>
  <c r="CC13" i="695"/>
  <c r="CC14" i="695"/>
  <c r="CC15" i="695"/>
  <c r="CC16" i="695"/>
  <c r="CC17" i="695"/>
  <c r="CC8" i="695"/>
  <c r="BT29" i="83"/>
  <c r="BT31" i="83"/>
  <c r="DD3" i="83"/>
  <c r="CJ9" i="83"/>
  <c r="CJ10" i="83"/>
  <c r="CJ11" i="83"/>
  <c r="CJ12" i="83"/>
  <c r="CJ13" i="83"/>
  <c r="CJ14" i="83"/>
  <c r="CJ15" i="83"/>
  <c r="CJ16" i="83"/>
  <c r="CJ17" i="83"/>
  <c r="CJ7" i="83"/>
  <c r="CJ8" i="83"/>
  <c r="BD18" i="83"/>
  <c r="BD32" i="83" s="1"/>
  <c r="BD20" i="83"/>
  <c r="BD23" i="83" s="1"/>
  <c r="BD19" i="83"/>
  <c r="BD27" i="83" s="1"/>
  <c r="BD21" i="83"/>
  <c r="BD24" i="83" s="1"/>
  <c r="BD26" i="83" s="1"/>
  <c r="BD22" i="83"/>
  <c r="U19" i="718"/>
  <c r="OI6" i="83"/>
  <c r="PC6" i="83" s="1"/>
  <c r="PW6" i="83" s="1"/>
  <c r="QQ6" i="83" s="1"/>
  <c r="RK6" i="83" s="1"/>
  <c r="SE6" i="83" s="1"/>
  <c r="SY6" i="83" s="1"/>
  <c r="TS6" i="83" s="1"/>
  <c r="UM6" i="83" s="1"/>
  <c r="VG6" i="83" s="1"/>
  <c r="WA6" i="83" s="1"/>
  <c r="WU6" i="83" s="1"/>
  <c r="XO6" i="83" s="1"/>
  <c r="YI6" i="83" s="1"/>
  <c r="ZC6" i="83" s="1"/>
  <c r="ZW6" i="83" s="1"/>
  <c r="AAQ6" i="83" s="1"/>
  <c r="ABK6" i="83" s="1"/>
  <c r="ACE6" i="83" s="1"/>
  <c r="LG6" i="83"/>
  <c r="MA6" i="83" s="1"/>
  <c r="MU6" i="83" s="1"/>
  <c r="DH3" i="83"/>
  <c r="CN9" i="83"/>
  <c r="CN10" i="83"/>
  <c r="CN11" i="83"/>
  <c r="CN12" i="83"/>
  <c r="CN13" i="83"/>
  <c r="CN14" i="83"/>
  <c r="CN15" i="83"/>
  <c r="CN16" i="83"/>
  <c r="CN17" i="83"/>
  <c r="CN7" i="83"/>
  <c r="CN8" i="83"/>
  <c r="AQ25" i="83"/>
  <c r="AQ30" i="83"/>
  <c r="AQ33" i="83"/>
  <c r="BJ28" i="695"/>
  <c r="BJ30" i="695"/>
  <c r="AR25" i="83"/>
  <c r="AR30" i="83"/>
  <c r="AR33" i="83"/>
  <c r="BC28" i="695"/>
  <c r="BC30" i="695"/>
  <c r="BQ28" i="695"/>
  <c r="BQ30" i="695"/>
  <c r="BN29" i="83"/>
  <c r="BN31" i="83"/>
  <c r="BF19" i="695"/>
  <c r="BF27" i="695" s="1"/>
  <c r="BF20" i="695"/>
  <c r="BF23" i="695" s="1"/>
  <c r="BF18" i="695"/>
  <c r="BF31" i="695" s="1"/>
  <c r="BF21" i="695"/>
  <c r="BF24" i="695" s="1"/>
  <c r="BF26" i="695" s="1"/>
  <c r="BF22" i="695"/>
  <c r="BD29" i="83"/>
  <c r="BD31" i="83"/>
  <c r="OE6" i="83"/>
  <c r="OY6" i="83" s="1"/>
  <c r="PS6" i="83" s="1"/>
  <c r="QM6" i="83" s="1"/>
  <c r="RG6" i="83" s="1"/>
  <c r="SA6" i="83" s="1"/>
  <c r="SU6" i="83" s="1"/>
  <c r="TO6" i="83" s="1"/>
  <c r="UI6" i="83" s="1"/>
  <c r="VC6" i="83" s="1"/>
  <c r="VW6" i="83" s="1"/>
  <c r="WQ6" i="83" s="1"/>
  <c r="XK6" i="83" s="1"/>
  <c r="YE6" i="83" s="1"/>
  <c r="YY6" i="83" s="1"/>
  <c r="ZS6" i="83" s="1"/>
  <c r="AAM6" i="83" s="1"/>
  <c r="ABG6" i="83" s="1"/>
  <c r="ACA6" i="83" s="1"/>
  <c r="LC6" i="83"/>
  <c r="LW6" i="83" s="1"/>
  <c r="MQ6" i="83" s="1"/>
  <c r="CM3" i="695"/>
  <c r="BS9" i="695"/>
  <c r="BS20" i="695" s="1"/>
  <c r="BS23" i="695" s="1"/>
  <c r="BS10" i="695"/>
  <c r="BS11" i="695"/>
  <c r="BS12" i="695"/>
  <c r="BS13" i="695"/>
  <c r="BS14" i="695"/>
  <c r="BS15" i="695"/>
  <c r="BS16" i="695"/>
  <c r="BS17" i="695"/>
  <c r="AK25" i="83"/>
  <c r="AK30" i="83"/>
  <c r="AK33" i="83"/>
  <c r="BB18" i="83"/>
  <c r="BB32" i="83" s="1"/>
  <c r="BB20" i="83"/>
  <c r="BB23" i="83" s="1"/>
  <c r="BB19" i="83"/>
  <c r="BB27" i="83" s="1"/>
  <c r="BB21" i="83"/>
  <c r="BB24" i="83" s="1"/>
  <c r="BB26" i="83" s="1"/>
  <c r="BB22" i="83"/>
  <c r="CO3" i="695"/>
  <c r="BU7" i="695"/>
  <c r="BU9" i="695"/>
  <c r="BU10" i="695"/>
  <c r="BU11" i="695"/>
  <c r="BU12" i="695"/>
  <c r="BU13" i="695"/>
  <c r="BU14" i="695"/>
  <c r="BU15" i="695"/>
  <c r="BU16" i="695"/>
  <c r="BU17" i="695"/>
  <c r="BU8" i="695"/>
  <c r="LO6" i="83"/>
  <c r="MI6" i="83" s="1"/>
  <c r="NC6" i="83" s="1"/>
  <c r="OQ6" i="83"/>
  <c r="PK6" i="83" s="1"/>
  <c r="QE6" i="83" s="1"/>
  <c r="QY6" i="83" s="1"/>
  <c r="RS6" i="83" s="1"/>
  <c r="SM6" i="83" s="1"/>
  <c r="TG6" i="83" s="1"/>
  <c r="UA6" i="83" s="1"/>
  <c r="UU6" i="83" s="1"/>
  <c r="VO6" i="83" s="1"/>
  <c r="WI6" i="83" s="1"/>
  <c r="XC6" i="83" s="1"/>
  <c r="XW6" i="83" s="1"/>
  <c r="YQ6" i="83" s="1"/>
  <c r="ZK6" i="83" s="1"/>
  <c r="AAE6" i="83" s="1"/>
  <c r="AAY6" i="83" s="1"/>
  <c r="ABS6" i="83" s="1"/>
  <c r="ACM6" i="83" s="1"/>
  <c r="E136" i="694"/>
  <c r="E95" i="694"/>
  <c r="E192" i="694"/>
  <c r="E248" i="694" s="1"/>
  <c r="OM6" i="83"/>
  <c r="PG6" i="83" s="1"/>
  <c r="QA6" i="83" s="1"/>
  <c r="QU6" i="83" s="1"/>
  <c r="RO6" i="83" s="1"/>
  <c r="SI6" i="83" s="1"/>
  <c r="TC6" i="83" s="1"/>
  <c r="TW6" i="83" s="1"/>
  <c r="UQ6" i="83" s="1"/>
  <c r="VK6" i="83" s="1"/>
  <c r="WE6" i="83" s="1"/>
  <c r="WY6" i="83" s="1"/>
  <c r="XS6" i="83" s="1"/>
  <c r="YM6" i="83" s="1"/>
  <c r="ZG6" i="83" s="1"/>
  <c r="AAA6" i="83" s="1"/>
  <c r="AAU6" i="83" s="1"/>
  <c r="ABO6" i="83" s="1"/>
  <c r="ACI6" i="83" s="1"/>
  <c r="LK6" i="83"/>
  <c r="ME6" i="83" s="1"/>
  <c r="MY6" i="83" s="1"/>
  <c r="F148" i="694"/>
  <c r="F125" i="694"/>
  <c r="F83" i="694"/>
  <c r="F220" i="694"/>
  <c r="F276" i="694" s="1"/>
  <c r="F177" i="694"/>
  <c r="F233" i="694" s="1"/>
  <c r="F84" i="694"/>
  <c r="CS3" i="83"/>
  <c r="BY9" i="83"/>
  <c r="BY10" i="83"/>
  <c r="BY11" i="83"/>
  <c r="BY12" i="83"/>
  <c r="BY13" i="83"/>
  <c r="BY14" i="83"/>
  <c r="BY15" i="83"/>
  <c r="BY16" i="83"/>
  <c r="BY17" i="83"/>
  <c r="BY7" i="83"/>
  <c r="BY8" i="83"/>
  <c r="AJ25" i="83"/>
  <c r="AJ30" i="83"/>
  <c r="AJ33" i="83"/>
  <c r="BL20" i="695"/>
  <c r="BL23" i="695" s="1"/>
  <c r="BL18" i="695"/>
  <c r="BL31" i="695" s="1"/>
  <c r="BL19" i="695"/>
  <c r="BL27" i="695" s="1"/>
  <c r="BL22" i="695"/>
  <c r="BL21" i="695"/>
  <c r="BL24" i="695" s="1"/>
  <c r="BL26" i="695" s="1"/>
  <c r="LH6" i="83"/>
  <c r="MB6" i="83" s="1"/>
  <c r="MV6" i="83" s="1"/>
  <c r="OJ6" i="83"/>
  <c r="PD6" i="83" s="1"/>
  <c r="PX6" i="83" s="1"/>
  <c r="QR6" i="83" s="1"/>
  <c r="RL6" i="83" s="1"/>
  <c r="SF6" i="83" s="1"/>
  <c r="SZ6" i="83" s="1"/>
  <c r="TT6" i="83" s="1"/>
  <c r="UN6" i="83" s="1"/>
  <c r="VH6" i="83" s="1"/>
  <c r="WB6" i="83" s="1"/>
  <c r="WV6" i="83" s="1"/>
  <c r="XP6" i="83" s="1"/>
  <c r="YJ6" i="83" s="1"/>
  <c r="ZD6" i="83" s="1"/>
  <c r="ZX6" i="83" s="1"/>
  <c r="AAR6" i="83" s="1"/>
  <c r="ABL6" i="83" s="1"/>
  <c r="ACF6" i="83" s="1"/>
  <c r="BH28" i="695"/>
  <c r="BH30" i="695"/>
  <c r="OU6" i="83"/>
  <c r="PO6" i="83" s="1"/>
  <c r="QI6" i="83" s="1"/>
  <c r="RC6" i="83" s="1"/>
  <c r="RW6" i="83" s="1"/>
  <c r="SQ6" i="83" s="1"/>
  <c r="TK6" i="83" s="1"/>
  <c r="UE6" i="83" s="1"/>
  <c r="UY6" i="83" s="1"/>
  <c r="VS6" i="83" s="1"/>
  <c r="WM6" i="83" s="1"/>
  <c r="XG6" i="83" s="1"/>
  <c r="YA6" i="83" s="1"/>
  <c r="YU6" i="83" s="1"/>
  <c r="ZO6" i="83" s="1"/>
  <c r="AAI6" i="83" s="1"/>
  <c r="ABC6" i="83" s="1"/>
  <c r="ABW6" i="83" s="1"/>
  <c r="ACQ6" i="83" s="1"/>
  <c r="LS6" i="83"/>
  <c r="MM6" i="83" s="1"/>
  <c r="NG6" i="83" s="1"/>
  <c r="AF25" i="695"/>
  <c r="AF29" i="695"/>
  <c r="AF32" i="695"/>
  <c r="G96" i="2"/>
  <c r="G141" i="2"/>
  <c r="G219" i="2" s="1"/>
  <c r="G180" i="2"/>
  <c r="BT18" i="83"/>
  <c r="BT32" i="83" s="1"/>
  <c r="BT20" i="83"/>
  <c r="BT23" i="83" s="1"/>
  <c r="BT19" i="83"/>
  <c r="BT27" i="83" s="1"/>
  <c r="BT21" i="83"/>
  <c r="BT24" i="83" s="1"/>
  <c r="BT26" i="83" s="1"/>
  <c r="BT22" i="83"/>
  <c r="AP25" i="695"/>
  <c r="AP29" i="695"/>
  <c r="AP32" i="695"/>
  <c r="CV3" i="83"/>
  <c r="CB9" i="83"/>
  <c r="CB10" i="83"/>
  <c r="CB11" i="83"/>
  <c r="CB12" i="83"/>
  <c r="CB13" i="83"/>
  <c r="CB14" i="83"/>
  <c r="CB15" i="83"/>
  <c r="CB16" i="83"/>
  <c r="CB17" i="83"/>
  <c r="CB7" i="83"/>
  <c r="CB8" i="83"/>
  <c r="AT25" i="83"/>
  <c r="AT30" i="83"/>
  <c r="AT33" i="83"/>
  <c r="CX3" i="695"/>
  <c r="CD7" i="695"/>
  <c r="CD9" i="695"/>
  <c r="CD10" i="695"/>
  <c r="CD11" i="695"/>
  <c r="CD12" i="695"/>
  <c r="CD13" i="695"/>
  <c r="CD14" i="695"/>
  <c r="CD15" i="695"/>
  <c r="CD16" i="695"/>
  <c r="CD17" i="695"/>
  <c r="CD8" i="695"/>
  <c r="AG25" i="83"/>
  <c r="AG30" i="83"/>
  <c r="AG33" i="83"/>
  <c r="CQ3" i="83"/>
  <c r="BW9" i="83"/>
  <c r="BW10" i="83"/>
  <c r="BW11" i="83"/>
  <c r="BW12" i="83"/>
  <c r="BW13" i="83"/>
  <c r="BW14" i="83"/>
  <c r="BW15" i="83"/>
  <c r="BW16" i="83"/>
  <c r="BW17" i="83"/>
  <c r="BW7" i="83"/>
  <c r="BW8" i="83"/>
  <c r="AH25" i="695"/>
  <c r="AH29" i="695"/>
  <c r="AH32" i="695"/>
  <c r="CQ3" i="695"/>
  <c r="BW7" i="695"/>
  <c r="BW9" i="695"/>
  <c r="BW10" i="695"/>
  <c r="BW11" i="695"/>
  <c r="BW12" i="695"/>
  <c r="BW13" i="695"/>
  <c r="BW14" i="695"/>
  <c r="BW15" i="695"/>
  <c r="BW16" i="695"/>
  <c r="BW17" i="695"/>
  <c r="BW8" i="695"/>
  <c r="AN25" i="83"/>
  <c r="AN30" i="83"/>
  <c r="AN33" i="83"/>
  <c r="DE3" i="695"/>
  <c r="CK7" i="695"/>
  <c r="CK9" i="695"/>
  <c r="CK10" i="695"/>
  <c r="CK11" i="695"/>
  <c r="CK12" i="695"/>
  <c r="CK13" i="695"/>
  <c r="CK14" i="695"/>
  <c r="CK15" i="695"/>
  <c r="CK16" i="695"/>
  <c r="CK17" i="695"/>
  <c r="CK8" i="695"/>
  <c r="BP18" i="695"/>
  <c r="BP31" i="695" s="1"/>
  <c r="BP21" i="695"/>
  <c r="BP24" i="695" s="1"/>
  <c r="BP26" i="695" s="1"/>
  <c r="BP19" i="695"/>
  <c r="BP27" i="695" s="1"/>
  <c r="BP20" i="695"/>
  <c r="BP23" i="695" s="1"/>
  <c r="BP22" i="695"/>
  <c r="CX3" i="83"/>
  <c r="CD9" i="83"/>
  <c r="CD10" i="83"/>
  <c r="CD11" i="83"/>
  <c r="CD12" i="83"/>
  <c r="CD13" i="83"/>
  <c r="CD14" i="83"/>
  <c r="CD15" i="83"/>
  <c r="CD16" i="83"/>
  <c r="CD17" i="83"/>
  <c r="CD7" i="83"/>
  <c r="CD8" i="83"/>
  <c r="LI6" i="83"/>
  <c r="MC6" i="83" s="1"/>
  <c r="MW6" i="83" s="1"/>
  <c r="OK6" i="83"/>
  <c r="PE6" i="83" s="1"/>
  <c r="PY6" i="83" s="1"/>
  <c r="QS6" i="83" s="1"/>
  <c r="RM6" i="83" s="1"/>
  <c r="SG6" i="83" s="1"/>
  <c r="TA6" i="83" s="1"/>
  <c r="TU6" i="83" s="1"/>
  <c r="UO6" i="83" s="1"/>
  <c r="VI6" i="83" s="1"/>
  <c r="WC6" i="83" s="1"/>
  <c r="WW6" i="83" s="1"/>
  <c r="XQ6" i="83" s="1"/>
  <c r="YK6" i="83" s="1"/>
  <c r="ZE6" i="83" s="1"/>
  <c r="ZY6" i="83" s="1"/>
  <c r="AAS6" i="83" s="1"/>
  <c r="ABM6" i="83" s="1"/>
  <c r="ACG6" i="83" s="1"/>
  <c r="LN6" i="83"/>
  <c r="MH6" i="83" s="1"/>
  <c r="NB6" i="83" s="1"/>
  <c r="OP6" i="83"/>
  <c r="PJ6" i="83" s="1"/>
  <c r="QD6" i="83" s="1"/>
  <c r="QX6" i="83" s="1"/>
  <c r="RR6" i="83" s="1"/>
  <c r="SL6" i="83" s="1"/>
  <c r="TF6" i="83" s="1"/>
  <c r="TZ6" i="83" s="1"/>
  <c r="UT6" i="83" s="1"/>
  <c r="VN6" i="83" s="1"/>
  <c r="WH6" i="83" s="1"/>
  <c r="XB6" i="83" s="1"/>
  <c r="XV6" i="83" s="1"/>
  <c r="YP6" i="83" s="1"/>
  <c r="ZJ6" i="83" s="1"/>
  <c r="AAD6" i="83" s="1"/>
  <c r="AAX6" i="83" s="1"/>
  <c r="ABR6" i="83" s="1"/>
  <c r="ACL6" i="83" s="1"/>
  <c r="BM18" i="83"/>
  <c r="BM32" i="83" s="1"/>
  <c r="BM19" i="83"/>
  <c r="BM27" i="83" s="1"/>
  <c r="BM21" i="83"/>
  <c r="BM24" i="83" s="1"/>
  <c r="BM26" i="83" s="1"/>
  <c r="BM20" i="83"/>
  <c r="BM23" i="83" s="1"/>
  <c r="BM22" i="83"/>
  <c r="AY25" i="83"/>
  <c r="AY30" i="83"/>
  <c r="AY33" i="83"/>
  <c r="BB29" i="83"/>
  <c r="BB31" i="83"/>
  <c r="AZ28" i="695"/>
  <c r="AZ30" i="695"/>
  <c r="AE25" i="695"/>
  <c r="AE29" i="695"/>
  <c r="AE32" i="695"/>
  <c r="BE28" i="695"/>
  <c r="BE30" i="695"/>
  <c r="CY3" i="83"/>
  <c r="CE9" i="83"/>
  <c r="CE10" i="83"/>
  <c r="CE11" i="83"/>
  <c r="CE12" i="83"/>
  <c r="CE13" i="83"/>
  <c r="CE14" i="83"/>
  <c r="CE15" i="83"/>
  <c r="CE16" i="83"/>
  <c r="CE17" i="83"/>
  <c r="CE7" i="83"/>
  <c r="CE8" i="83"/>
  <c r="BL18" i="83"/>
  <c r="BL32" i="83" s="1"/>
  <c r="BL20" i="83"/>
  <c r="BL23" i="83" s="1"/>
  <c r="BL19" i="83"/>
  <c r="BL27" i="83" s="1"/>
  <c r="BL21" i="83"/>
  <c r="BL24" i="83" s="1"/>
  <c r="BL26" i="83" s="1"/>
  <c r="BL22" i="83"/>
  <c r="BB28" i="695"/>
  <c r="BB30" i="695"/>
  <c r="AW25" i="695"/>
  <c r="AW29" i="695"/>
  <c r="AW32" i="695"/>
  <c r="AM25" i="83"/>
  <c r="AM30" i="83"/>
  <c r="AM33" i="83"/>
  <c r="BG28" i="695"/>
  <c r="BG30" i="695"/>
  <c r="AS25" i="83"/>
  <c r="AS30" i="83"/>
  <c r="AS33" i="83"/>
  <c r="CV3" i="695"/>
  <c r="CB7" i="695"/>
  <c r="CB9" i="695"/>
  <c r="CB10" i="695"/>
  <c r="CB11" i="695"/>
  <c r="CB12" i="695"/>
  <c r="CB13" i="695"/>
  <c r="CB14" i="695"/>
  <c r="CB15" i="695"/>
  <c r="CB16" i="695"/>
  <c r="CB17" i="695"/>
  <c r="CB8" i="695"/>
  <c r="J8" i="2"/>
  <c r="I10" i="2"/>
  <c r="I9" i="2"/>
  <c r="AU25" i="83"/>
  <c r="AU30" i="83"/>
  <c r="AU33" i="83"/>
  <c r="G89" i="2"/>
  <c r="G134" i="2"/>
  <c r="G212" i="2" s="1"/>
  <c r="G173" i="2"/>
  <c r="BS29" i="83"/>
  <c r="BS31" i="83"/>
  <c r="BP29" i="83"/>
  <c r="BP31" i="83"/>
  <c r="AN25" i="695"/>
  <c r="AN29" i="695"/>
  <c r="AN32" i="695"/>
  <c r="BR28" i="695"/>
  <c r="BR30" i="695"/>
  <c r="G45" i="694"/>
  <c r="G148" i="694" s="1"/>
  <c r="G48" i="694"/>
  <c r="G151" i="694" s="1"/>
  <c r="G62" i="694"/>
  <c r="G219" i="694" s="1"/>
  <c r="G275" i="694" s="1"/>
  <c r="G64" i="694"/>
  <c r="G63" i="694"/>
  <c r="G220" i="694" s="1"/>
  <c r="G276" i="694" s="1"/>
  <c r="OL6" i="83"/>
  <c r="PF6" i="83" s="1"/>
  <c r="PZ6" i="83" s="1"/>
  <c r="QT6" i="83" s="1"/>
  <c r="RN6" i="83" s="1"/>
  <c r="SH6" i="83" s="1"/>
  <c r="TB6" i="83" s="1"/>
  <c r="TV6" i="83" s="1"/>
  <c r="UP6" i="83" s="1"/>
  <c r="VJ6" i="83" s="1"/>
  <c r="WD6" i="83" s="1"/>
  <c r="WX6" i="83" s="1"/>
  <c r="XR6" i="83" s="1"/>
  <c r="YL6" i="83" s="1"/>
  <c r="ZF6" i="83" s="1"/>
  <c r="ZZ6" i="83" s="1"/>
  <c r="AAT6" i="83" s="1"/>
  <c r="ABN6" i="83" s="1"/>
  <c r="ACH6" i="83" s="1"/>
  <c r="LJ6" i="83"/>
  <c r="MD6" i="83" s="1"/>
  <c r="MX6" i="83" s="1"/>
  <c r="DC3" i="83"/>
  <c r="CI9" i="83"/>
  <c r="CI10" i="83"/>
  <c r="CI11" i="83"/>
  <c r="CI12" i="83"/>
  <c r="CI13" i="83"/>
  <c r="CI14" i="83"/>
  <c r="CI15" i="83"/>
  <c r="CI16" i="83"/>
  <c r="CI17" i="83"/>
  <c r="CI7" i="83"/>
  <c r="CI8" i="83"/>
  <c r="ON6" i="83"/>
  <c r="PH6" i="83" s="1"/>
  <c r="QB6" i="83" s="1"/>
  <c r="QV6" i="83" s="1"/>
  <c r="RP6" i="83" s="1"/>
  <c r="SJ6" i="83" s="1"/>
  <c r="TD6" i="83" s="1"/>
  <c r="TX6" i="83" s="1"/>
  <c r="UR6" i="83" s="1"/>
  <c r="VL6" i="83" s="1"/>
  <c r="WF6" i="83" s="1"/>
  <c r="WZ6" i="83" s="1"/>
  <c r="XT6" i="83" s="1"/>
  <c r="YN6" i="83" s="1"/>
  <c r="ZH6" i="83" s="1"/>
  <c r="AAB6" i="83" s="1"/>
  <c r="AAV6" i="83" s="1"/>
  <c r="ABP6" i="83" s="1"/>
  <c r="ACJ6" i="83" s="1"/>
  <c r="LL6" i="83"/>
  <c r="MF6" i="83" s="1"/>
  <c r="MZ6" i="83" s="1"/>
  <c r="DF3" i="83"/>
  <c r="CL9" i="83"/>
  <c r="CL10" i="83"/>
  <c r="CL11" i="83"/>
  <c r="CL12" i="83"/>
  <c r="CL13" i="83"/>
  <c r="CL14" i="83"/>
  <c r="CL15" i="83"/>
  <c r="CL16" i="83"/>
  <c r="CL17" i="83"/>
  <c r="CL7" i="83"/>
  <c r="CL8" i="83"/>
  <c r="BN18" i="83"/>
  <c r="BN32" i="83" s="1"/>
  <c r="BN19" i="83"/>
  <c r="BN27" i="83" s="1"/>
  <c r="BN20" i="83"/>
  <c r="BN23" i="83" s="1"/>
  <c r="BN21" i="83"/>
  <c r="BN24" i="83" s="1"/>
  <c r="BN26" i="83" s="1"/>
  <c r="BN22" i="83"/>
  <c r="BJ29" i="83"/>
  <c r="BJ31" i="83"/>
  <c r="AW25" i="83"/>
  <c r="AW30" i="83"/>
  <c r="AW33" i="83"/>
  <c r="BI18" i="83"/>
  <c r="BI32" i="83" s="1"/>
  <c r="BI20" i="83"/>
  <c r="BI23" i="83" s="1"/>
  <c r="BI19" i="83"/>
  <c r="BI27" i="83" s="1"/>
  <c r="BI21" i="83"/>
  <c r="BI24" i="83" s="1"/>
  <c r="BI26" i="83" s="1"/>
  <c r="BI22" i="83"/>
  <c r="BG18" i="83"/>
  <c r="BG32" i="83" s="1"/>
  <c r="BG19" i="83"/>
  <c r="BG27" i="83" s="1"/>
  <c r="BG21" i="83"/>
  <c r="BG24" i="83" s="1"/>
  <c r="BG26" i="83" s="1"/>
  <c r="BG20" i="83"/>
  <c r="BG23" i="83" s="1"/>
  <c r="BG22" i="83"/>
  <c r="DB3" i="83"/>
  <c r="CH9" i="83"/>
  <c r="CH10" i="83"/>
  <c r="CH11" i="83"/>
  <c r="CH12" i="83"/>
  <c r="CH13" i="83"/>
  <c r="CH14" i="83"/>
  <c r="CH15" i="83"/>
  <c r="CH16" i="83"/>
  <c r="CH17" i="83"/>
  <c r="CH7" i="83"/>
  <c r="CH8" i="83"/>
  <c r="BF28" i="695"/>
  <c r="BF30" i="695"/>
  <c r="CR3" i="83"/>
  <c r="BX9" i="83"/>
  <c r="BX10" i="83"/>
  <c r="BX11" i="83"/>
  <c r="BX12" i="83"/>
  <c r="BX13" i="83"/>
  <c r="BX14" i="83"/>
  <c r="BX15" i="83"/>
  <c r="BX16" i="83"/>
  <c r="BX17" i="83"/>
  <c r="BX7" i="83"/>
  <c r="BX8" i="83"/>
  <c r="U7" i="718"/>
  <c r="BM29" i="83"/>
  <c r="BM31" i="83"/>
  <c r="CN3" i="695"/>
  <c r="BT7" i="695"/>
  <c r="BT9" i="695"/>
  <c r="BT10" i="695"/>
  <c r="BT11" i="695"/>
  <c r="BT12" i="695"/>
  <c r="BT13" i="695"/>
  <c r="BT14" i="695"/>
  <c r="BT15" i="695"/>
  <c r="BT16" i="695"/>
  <c r="BT17" i="695"/>
  <c r="BT8" i="695"/>
  <c r="CS3" i="695"/>
  <c r="BY7" i="695"/>
  <c r="BY9" i="695"/>
  <c r="BY10" i="695"/>
  <c r="BY11" i="695"/>
  <c r="BY12" i="695"/>
  <c r="BY13" i="695"/>
  <c r="BY14" i="695"/>
  <c r="BY15" i="695"/>
  <c r="BY16" i="695"/>
  <c r="BY17" i="695"/>
  <c r="BY8" i="695"/>
  <c r="AV25" i="83"/>
  <c r="AV30" i="83"/>
  <c r="AV33" i="83"/>
  <c r="BL29" i="83"/>
  <c r="BL31" i="83"/>
  <c r="AO25" i="83"/>
  <c r="AO30" i="83"/>
  <c r="AO33" i="83"/>
  <c r="CP3" i="695"/>
  <c r="BV7" i="695"/>
  <c r="BV9" i="695"/>
  <c r="BV10" i="695"/>
  <c r="BV11" i="695"/>
  <c r="BV12" i="695"/>
  <c r="BV13" i="695"/>
  <c r="BV14" i="695"/>
  <c r="BV15" i="695"/>
  <c r="BV16" i="695"/>
  <c r="BV17" i="695"/>
  <c r="BV8" i="695"/>
  <c r="BH18" i="83"/>
  <c r="BH32" i="83" s="1"/>
  <c r="BH19" i="83"/>
  <c r="BH27" i="83" s="1"/>
  <c r="BH21" i="83"/>
  <c r="BH24" i="83" s="1"/>
  <c r="BH26" i="83" s="1"/>
  <c r="BH20" i="83"/>
  <c r="BH23" i="83" s="1"/>
  <c r="BH22" i="83"/>
  <c r="BO18" i="83"/>
  <c r="BO32" i="83" s="1"/>
  <c r="BO19" i="83"/>
  <c r="BO27" i="83" s="1"/>
  <c r="BO20" i="83"/>
  <c r="BO23" i="83" s="1"/>
  <c r="BO21" i="83"/>
  <c r="BO24" i="83" s="1"/>
  <c r="BO26" i="83" s="1"/>
  <c r="BO22" i="83"/>
  <c r="F33" i="694"/>
  <c r="CU3" i="695"/>
  <c r="CA7" i="695"/>
  <c r="CA9" i="695"/>
  <c r="CA10" i="695"/>
  <c r="CA11" i="695"/>
  <c r="CA12" i="695"/>
  <c r="CA13" i="695"/>
  <c r="CA14" i="695"/>
  <c r="CA15" i="695"/>
  <c r="CA16" i="695"/>
  <c r="CA17" i="695"/>
  <c r="CA8" i="695"/>
  <c r="BL28" i="695"/>
  <c r="BL30" i="695"/>
  <c r="BI18" i="695"/>
  <c r="BI31" i="695" s="1"/>
  <c r="BI21" i="695"/>
  <c r="BI24" i="695" s="1"/>
  <c r="BI26" i="695" s="1"/>
  <c r="BI19" i="695"/>
  <c r="BI27" i="695" s="1"/>
  <c r="BI20" i="695"/>
  <c r="BI23" i="695" s="1"/>
  <c r="BI22" i="695"/>
  <c r="BR18" i="83"/>
  <c r="BR32" i="83" s="1"/>
  <c r="BR20" i="83"/>
  <c r="BR23" i="83" s="1"/>
  <c r="BR19" i="83"/>
  <c r="BR27" i="83" s="1"/>
  <c r="BR21" i="83"/>
  <c r="BR24" i="83" s="1"/>
  <c r="BR26" i="83" s="1"/>
  <c r="BR22" i="83"/>
  <c r="H23" i="2"/>
  <c r="H27" i="2" s="1"/>
  <c r="AX25" i="695"/>
  <c r="AX29" i="695"/>
  <c r="AX32" i="695"/>
  <c r="G92" i="2"/>
  <c r="G137" i="2"/>
  <c r="G215" i="2" s="1"/>
  <c r="G176" i="2"/>
  <c r="BA29" i="83"/>
  <c r="BP18" i="83"/>
  <c r="BP32" i="83" s="1"/>
  <c r="BP19" i="83"/>
  <c r="BP27" i="83" s="1"/>
  <c r="BP20" i="83"/>
  <c r="BP23" i="83" s="1"/>
  <c r="BP21" i="83"/>
  <c r="BP24" i="83" s="1"/>
  <c r="BP26" i="83" s="1"/>
  <c r="BP22" i="83"/>
  <c r="CW3" i="83"/>
  <c r="CC9" i="83"/>
  <c r="CC10" i="83"/>
  <c r="CC11" i="83"/>
  <c r="CC12" i="83"/>
  <c r="CC13" i="83"/>
  <c r="CC14" i="83"/>
  <c r="CC15" i="83"/>
  <c r="CC16" i="83"/>
  <c r="CC17" i="83"/>
  <c r="CC7" i="83"/>
  <c r="CC8" i="83"/>
  <c r="G78" i="2"/>
  <c r="G123" i="2"/>
  <c r="G201" i="2" s="1"/>
  <c r="G162" i="2"/>
  <c r="BA18" i="695"/>
  <c r="BA31" i="695" s="1"/>
  <c r="BA21" i="695"/>
  <c r="BA24" i="695" s="1"/>
  <c r="BA26" i="695" s="1"/>
  <c r="BA19" i="695"/>
  <c r="BA27" i="695" s="1"/>
  <c r="BA20" i="695"/>
  <c r="BA23" i="695" s="1"/>
  <c r="BA22" i="695"/>
  <c r="BO28" i="695"/>
  <c r="BO30" i="695"/>
  <c r="LA6" i="83"/>
  <c r="LU6" i="83" s="1"/>
  <c r="MO6" i="83" s="1"/>
  <c r="OC6" i="83"/>
  <c r="OW6" i="83" s="1"/>
  <c r="PQ6" i="83" s="1"/>
  <c r="QK6" i="83" s="1"/>
  <c r="RE6" i="83" s="1"/>
  <c r="RY6" i="83" s="1"/>
  <c r="SS6" i="83" s="1"/>
  <c r="TM6" i="83" s="1"/>
  <c r="UG6" i="83" s="1"/>
  <c r="VA6" i="83" s="1"/>
  <c r="VU6" i="83" s="1"/>
  <c r="WO6" i="83" s="1"/>
  <c r="XI6" i="83" s="1"/>
  <c r="YC6" i="83" s="1"/>
  <c r="YW6" i="83" s="1"/>
  <c r="ZQ6" i="83" s="1"/>
  <c r="AAK6" i="83" s="1"/>
  <c r="ABE6" i="83" s="1"/>
  <c r="ABY6" i="83" s="1"/>
  <c r="BS18" i="83"/>
  <c r="BS32" i="83" s="1"/>
  <c r="BS20" i="83"/>
  <c r="BS23" i="83" s="1"/>
  <c r="BS19" i="83"/>
  <c r="BS27" i="83" s="1"/>
  <c r="BS21" i="83"/>
  <c r="BS24" i="83" s="1"/>
  <c r="BS26" i="83" s="1"/>
  <c r="BS22" i="83"/>
  <c r="BI29" i="83"/>
  <c r="BI31" i="83"/>
  <c r="BG29" i="83"/>
  <c r="BG31" i="83"/>
  <c r="BP28" i="695"/>
  <c r="BP30" i="695"/>
  <c r="CT3" i="695"/>
  <c r="BZ7" i="695"/>
  <c r="BZ9" i="695"/>
  <c r="BZ10" i="695"/>
  <c r="BZ11" i="695"/>
  <c r="BZ12" i="695"/>
  <c r="BZ13" i="695"/>
  <c r="BZ14" i="695"/>
  <c r="BZ15" i="695"/>
  <c r="BZ16" i="695"/>
  <c r="BZ17" i="695"/>
  <c r="BZ8" i="695"/>
  <c r="LD6" i="83"/>
  <c r="LX6" i="83" s="1"/>
  <c r="MR6" i="83" s="1"/>
  <c r="OF6" i="83"/>
  <c r="OZ6" i="83" s="1"/>
  <c r="PT6" i="83" s="1"/>
  <c r="QN6" i="83" s="1"/>
  <c r="RH6" i="83" s="1"/>
  <c r="SB6" i="83" s="1"/>
  <c r="SV6" i="83" s="1"/>
  <c r="TP6" i="83" s="1"/>
  <c r="UJ6" i="83" s="1"/>
  <c r="VD6" i="83" s="1"/>
  <c r="VX6" i="83" s="1"/>
  <c r="WR6" i="83" s="1"/>
  <c r="XL6" i="83" s="1"/>
  <c r="YF6" i="83" s="1"/>
  <c r="YZ6" i="83" s="1"/>
  <c r="ZT6" i="83" s="1"/>
  <c r="AAN6" i="83" s="1"/>
  <c r="ABH6" i="83" s="1"/>
  <c r="ACB6" i="83" s="1"/>
  <c r="CP3" i="83"/>
  <c r="BV9" i="83"/>
  <c r="BV10" i="83"/>
  <c r="BV11" i="83"/>
  <c r="BV12" i="83"/>
  <c r="BV13" i="83"/>
  <c r="BV14" i="83"/>
  <c r="BV15" i="83"/>
  <c r="BV16" i="83"/>
  <c r="BV17" i="83"/>
  <c r="BV7" i="83"/>
  <c r="BV8" i="83"/>
  <c r="BR20" i="695"/>
  <c r="BR23" i="695" s="1"/>
  <c r="BR18" i="695"/>
  <c r="BR31" i="695" s="1"/>
  <c r="BR21" i="695"/>
  <c r="BR24" i="695" s="1"/>
  <c r="BR26" i="695" s="1"/>
  <c r="BR19" i="695"/>
  <c r="BR27" i="695" s="1"/>
  <c r="BR22" i="695"/>
  <c r="OD6" i="83"/>
  <c r="OX6" i="83" s="1"/>
  <c r="PR6" i="83" s="1"/>
  <c r="QL6" i="83" s="1"/>
  <c r="RF6" i="83" s="1"/>
  <c r="RZ6" i="83" s="1"/>
  <c r="ST6" i="83" s="1"/>
  <c r="TN6" i="83" s="1"/>
  <c r="UH6" i="83" s="1"/>
  <c r="VB6" i="83" s="1"/>
  <c r="VV6" i="83" s="1"/>
  <c r="WP6" i="83" s="1"/>
  <c r="XJ6" i="83" s="1"/>
  <c r="YD6" i="83" s="1"/>
  <c r="YX6" i="83" s="1"/>
  <c r="ZR6" i="83" s="1"/>
  <c r="AAL6" i="83" s="1"/>
  <c r="ABF6" i="83" s="1"/>
  <c r="ABZ6" i="83" s="1"/>
  <c r="LB6" i="83"/>
  <c r="LV6" i="83" s="1"/>
  <c r="MP6" i="83" s="1"/>
  <c r="AI25" i="83"/>
  <c r="AI30" i="83"/>
  <c r="AI33" i="83"/>
  <c r="AI25" i="695"/>
  <c r="AI29" i="695"/>
  <c r="AI32" i="695"/>
  <c r="BH29" i="83"/>
  <c r="BH31" i="83"/>
  <c r="BO29" i="83"/>
  <c r="BO31" i="83"/>
  <c r="F184" i="694"/>
  <c r="F240" i="694" s="1"/>
  <c r="BO21" i="695"/>
  <c r="BO24" i="695" s="1"/>
  <c r="BO26" i="695" s="1"/>
  <c r="BO19" i="695"/>
  <c r="BO27" i="695" s="1"/>
  <c r="BO18" i="695"/>
  <c r="BO31" i="695" s="1"/>
  <c r="BO22" i="695"/>
  <c r="BO20" i="695"/>
  <c r="BO23" i="695" s="1"/>
  <c r="CZ3" i="695"/>
  <c r="CF7" i="695"/>
  <c r="CF9" i="695"/>
  <c r="CF10" i="695"/>
  <c r="CF11" i="695"/>
  <c r="CF12" i="695"/>
  <c r="CF13" i="695"/>
  <c r="CF14" i="695"/>
  <c r="CF15" i="695"/>
  <c r="CF16" i="695"/>
  <c r="CF17" i="695"/>
  <c r="CF8" i="695"/>
  <c r="BR29" i="83"/>
  <c r="BR31" i="83"/>
  <c r="AH25" i="83"/>
  <c r="AH30" i="83"/>
  <c r="AH33" i="83"/>
  <c r="LF6" i="83"/>
  <c r="LZ6" i="83" s="1"/>
  <c r="MT6" i="83" s="1"/>
  <c r="OH6" i="83"/>
  <c r="PB6" i="83" s="1"/>
  <c r="PV6" i="83" s="1"/>
  <c r="QP6" i="83" s="1"/>
  <c r="RJ6" i="83" s="1"/>
  <c r="SD6" i="83" s="1"/>
  <c r="SX6" i="83" s="1"/>
  <c r="TR6" i="83" s="1"/>
  <c r="UL6" i="83" s="1"/>
  <c r="VF6" i="83" s="1"/>
  <c r="VZ6" i="83" s="1"/>
  <c r="WT6" i="83" s="1"/>
  <c r="XN6" i="83" s="1"/>
  <c r="YH6" i="83" s="1"/>
  <c r="ZB6" i="83" s="1"/>
  <c r="ZV6" i="83" s="1"/>
  <c r="AAP6" i="83" s="1"/>
  <c r="ABJ6" i="83" s="1"/>
  <c r="ACD6" i="83" s="1"/>
  <c r="BA22" i="83"/>
  <c r="DD3" i="695"/>
  <c r="CJ7" i="695"/>
  <c r="CJ9" i="695"/>
  <c r="CJ10" i="695"/>
  <c r="CJ11" i="695"/>
  <c r="CJ12" i="695"/>
  <c r="CJ13" i="695"/>
  <c r="CJ14" i="695"/>
  <c r="CJ15" i="695"/>
  <c r="CJ16" i="695"/>
  <c r="CJ17" i="695"/>
  <c r="CJ8" i="695"/>
  <c r="G27" i="2"/>
  <c r="AO25" i="695"/>
  <c r="AO29" i="695"/>
  <c r="AO32" i="695"/>
  <c r="DA3" i="83"/>
  <c r="CG9" i="83"/>
  <c r="CG10" i="83"/>
  <c r="CG11" i="83"/>
  <c r="CG12" i="83"/>
  <c r="CG13" i="83"/>
  <c r="CG14" i="83"/>
  <c r="CG15" i="83"/>
  <c r="CG16" i="83"/>
  <c r="CG17" i="83"/>
  <c r="CG7" i="83"/>
  <c r="CG8" i="83"/>
  <c r="BN19" i="695"/>
  <c r="BN27" i="695" s="1"/>
  <c r="BN20" i="695"/>
  <c r="BN23" i="695" s="1"/>
  <c r="BN18" i="695"/>
  <c r="BN31" i="695" s="1"/>
  <c r="BN21" i="695"/>
  <c r="BN24" i="695" s="1"/>
  <c r="BN26" i="695" s="1"/>
  <c r="BN22" i="695"/>
  <c r="BD20" i="695"/>
  <c r="BD23" i="695" s="1"/>
  <c r="BD18" i="695"/>
  <c r="BD31" i="695" s="1"/>
  <c r="BD19" i="695"/>
  <c r="BD27" i="695" s="1"/>
  <c r="BD21" i="695"/>
  <c r="BD24" i="695" s="1"/>
  <c r="BD26" i="695" s="1"/>
  <c r="BD22" i="695"/>
  <c r="BK20" i="695"/>
  <c r="BK23" i="695" s="1"/>
  <c r="BK18" i="695"/>
  <c r="BK31" i="695" s="1"/>
  <c r="BK21" i="695"/>
  <c r="BK24" i="695" s="1"/>
  <c r="BK26" i="695" s="1"/>
  <c r="BK19" i="695"/>
  <c r="BK27" i="695" s="1"/>
  <c r="BK22" i="695"/>
  <c r="AZ25" i="83"/>
  <c r="AZ30" i="83"/>
  <c r="AZ33" i="83"/>
  <c r="BQ18" i="83"/>
  <c r="BQ32" i="83" s="1"/>
  <c r="BQ20" i="83"/>
  <c r="BQ23" i="83" s="1"/>
  <c r="BQ19" i="83"/>
  <c r="BQ27" i="83" s="1"/>
  <c r="BQ21" i="83"/>
  <c r="BQ24" i="83" s="1"/>
  <c r="BQ26" i="83" s="1"/>
  <c r="BQ22" i="83"/>
  <c r="H9" i="694"/>
  <c r="I8" i="694"/>
  <c r="H10" i="694"/>
  <c r="CZ3" i="83"/>
  <c r="CF9" i="83"/>
  <c r="CF10" i="83"/>
  <c r="CF11" i="83"/>
  <c r="CF12" i="83"/>
  <c r="CF13" i="83"/>
  <c r="CF14" i="83"/>
  <c r="CF15" i="83"/>
  <c r="CF16" i="83"/>
  <c r="CF17" i="83"/>
  <c r="CF7" i="83"/>
  <c r="CF8" i="83"/>
  <c r="F121" i="694"/>
  <c r="BI28" i="695"/>
  <c r="BI30" i="695"/>
  <c r="BF18" i="83"/>
  <c r="BF32" i="83" s="1"/>
  <c r="BF19" i="83"/>
  <c r="BF27" i="83" s="1"/>
  <c r="BF21" i="83"/>
  <c r="BF24" i="83" s="1"/>
  <c r="BF26" i="83" s="1"/>
  <c r="BF20" i="83"/>
  <c r="BF23" i="83" s="1"/>
  <c r="BF22" i="83"/>
  <c r="BM19" i="695"/>
  <c r="BM27" i="695" s="1"/>
  <c r="BM20" i="695"/>
  <c r="BM23" i="695" s="1"/>
  <c r="BM21" i="695"/>
  <c r="BM24" i="695" s="1"/>
  <c r="BM26" i="695" s="1"/>
  <c r="BM18" i="695"/>
  <c r="BM31" i="695" s="1"/>
  <c r="BM22" i="695"/>
  <c r="LR6" i="83"/>
  <c r="ML6" i="83" s="1"/>
  <c r="NF6" i="83" s="1"/>
  <c r="OT6" i="83"/>
  <c r="PN6" i="83" s="1"/>
  <c r="QH6" i="83" s="1"/>
  <c r="RB6" i="83" s="1"/>
  <c r="RV6" i="83" s="1"/>
  <c r="SP6" i="83" s="1"/>
  <c r="TJ6" i="83" s="1"/>
  <c r="UD6" i="83" s="1"/>
  <c r="UX6" i="83" s="1"/>
  <c r="VR6" i="83" s="1"/>
  <c r="WL6" i="83" s="1"/>
  <c r="XF6" i="83" s="1"/>
  <c r="XZ6" i="83" s="1"/>
  <c r="YT6" i="83" s="1"/>
  <c r="ZN6" i="83" s="1"/>
  <c r="AAH6" i="83" s="1"/>
  <c r="ABB6" i="83" s="1"/>
  <c r="ABV6" i="83" s="1"/>
  <c r="ACP6" i="83" s="1"/>
  <c r="I66" i="2"/>
  <c r="I65" i="2"/>
  <c r="I64" i="2"/>
  <c r="I63" i="2"/>
  <c r="I60" i="2"/>
  <c r="I59" i="2"/>
  <c r="I58" i="2"/>
  <c r="I57" i="2"/>
  <c r="I54" i="2"/>
  <c r="I53" i="2"/>
  <c r="I52" i="2"/>
  <c r="I51" i="2"/>
  <c r="I47" i="2"/>
  <c r="I46" i="2"/>
  <c r="I45" i="2"/>
  <c r="I44" i="2"/>
  <c r="I40" i="2"/>
  <c r="I39" i="2"/>
  <c r="I38" i="2"/>
  <c r="I36" i="2"/>
  <c r="I35" i="2"/>
  <c r="I33" i="2"/>
  <c r="I32" i="2"/>
  <c r="I31" i="2"/>
  <c r="I28" i="2"/>
  <c r="I26" i="2"/>
  <c r="I25" i="2"/>
  <c r="I22" i="2"/>
  <c r="I21" i="2"/>
  <c r="I20" i="2"/>
  <c r="I19" i="2"/>
  <c r="I17" i="2"/>
  <c r="I16" i="2"/>
  <c r="I15" i="2"/>
  <c r="G40" i="694"/>
  <c r="C55" i="1646"/>
  <c r="CM8" i="695"/>
  <c r="CM7" i="695"/>
  <c r="CO8" i="83"/>
  <c r="CO7" i="83"/>
  <c r="H77" i="694"/>
  <c r="H76" i="694"/>
  <c r="H68" i="694"/>
  <c r="H58" i="694"/>
  <c r="H57" i="694"/>
  <c r="H56" i="694"/>
  <c r="H65" i="694" s="1"/>
  <c r="H55" i="694"/>
  <c r="H54" i="694"/>
  <c r="H74" i="694"/>
  <c r="H73" i="694"/>
  <c r="H72" i="694"/>
  <c r="H71" i="694"/>
  <c r="H70" i="694"/>
  <c r="H50" i="694"/>
  <c r="H49" i="694"/>
  <c r="H47" i="694"/>
  <c r="H44" i="694"/>
  <c r="H43" i="694"/>
  <c r="H42" i="694"/>
  <c r="H39" i="694"/>
  <c r="H38" i="694"/>
  <c r="H34" i="694"/>
  <c r="H35" i="694"/>
  <c r="H28" i="694"/>
  <c r="H26" i="694"/>
  <c r="H24" i="694"/>
  <c r="H21" i="694"/>
  <c r="H20" i="694"/>
  <c r="H17" i="694"/>
  <c r="H16" i="694"/>
  <c r="H15" i="694"/>
  <c r="G100" i="694" l="1"/>
  <c r="G106" i="694"/>
  <c r="G109" i="694"/>
  <c r="G66" i="694"/>
  <c r="G154" i="694"/>
  <c r="F162" i="694"/>
  <c r="G60" i="694"/>
  <c r="G217" i="694" s="1"/>
  <c r="G273" i="694" s="1"/>
  <c r="G61" i="694"/>
  <c r="G162" i="694" s="1"/>
  <c r="G97" i="694"/>
  <c r="G87" i="694"/>
  <c r="G86" i="694"/>
  <c r="G82" i="694"/>
  <c r="G83" i="694"/>
  <c r="G177" i="694"/>
  <c r="G233" i="694" s="1"/>
  <c r="G90" i="694"/>
  <c r="G84" i="694"/>
  <c r="G121" i="694"/>
  <c r="G105" i="694"/>
  <c r="G210" i="694"/>
  <c r="G266" i="694" s="1"/>
  <c r="G33" i="694"/>
  <c r="CO31" i="83"/>
  <c r="CM28" i="695"/>
  <c r="CM30" i="695"/>
  <c r="G199" i="694"/>
  <c r="G255" i="694" s="1"/>
  <c r="G143" i="694"/>
  <c r="I115" i="2"/>
  <c r="I193" i="2" s="1"/>
  <c r="I154" i="2"/>
  <c r="I71" i="2"/>
  <c r="I106" i="2"/>
  <c r="I116" i="2"/>
  <c r="I194" i="2" s="1"/>
  <c r="I155" i="2"/>
  <c r="I72" i="2"/>
  <c r="I117" i="2"/>
  <c r="I195" i="2" s="1"/>
  <c r="I156" i="2"/>
  <c r="I74" i="2"/>
  <c r="I119" i="2"/>
  <c r="I197" i="2" s="1"/>
  <c r="I158" i="2"/>
  <c r="I107" i="2"/>
  <c r="I108" i="2"/>
  <c r="I75" i="2"/>
  <c r="I120" i="2"/>
  <c r="I198" i="2" s="1"/>
  <c r="I159" i="2"/>
  <c r="I76" i="2"/>
  <c r="I121" i="2"/>
  <c r="I199" i="2" s="1"/>
  <c r="I160" i="2"/>
  <c r="I109" i="2"/>
  <c r="I110" i="2"/>
  <c r="I77" i="2"/>
  <c r="I122" i="2"/>
  <c r="I200" i="2" s="1"/>
  <c r="I161" i="2"/>
  <c r="I80" i="2"/>
  <c r="I125" i="2"/>
  <c r="I203" i="2" s="1"/>
  <c r="I164" i="2"/>
  <c r="I165" i="2"/>
  <c r="I82" i="2"/>
  <c r="I127" i="2"/>
  <c r="I205" i="2" s="1"/>
  <c r="I83" i="2"/>
  <c r="I128" i="2"/>
  <c r="I206" i="2" s="1"/>
  <c r="I167" i="2"/>
  <c r="I86" i="2"/>
  <c r="I131" i="2"/>
  <c r="I209" i="2" s="1"/>
  <c r="I170" i="2"/>
  <c r="I87" i="2"/>
  <c r="I132" i="2"/>
  <c r="I210" i="2" s="1"/>
  <c r="I171" i="2"/>
  <c r="I34" i="2"/>
  <c r="I88" i="2"/>
  <c r="I133" i="2"/>
  <c r="I211" i="2" s="1"/>
  <c r="I172" i="2"/>
  <c r="I90" i="2"/>
  <c r="I135" i="2"/>
  <c r="I213" i="2" s="1"/>
  <c r="I174" i="2"/>
  <c r="I37" i="2"/>
  <c r="I91" i="2"/>
  <c r="I136" i="2"/>
  <c r="I214" i="2" s="1"/>
  <c r="I175" i="2"/>
  <c r="I93" i="2"/>
  <c r="I138" i="2"/>
  <c r="I216" i="2" s="1"/>
  <c r="I177" i="2"/>
  <c r="I94" i="2"/>
  <c r="I139" i="2"/>
  <c r="I217" i="2" s="1"/>
  <c r="I178" i="2"/>
  <c r="I41" i="2"/>
  <c r="I95" i="2"/>
  <c r="I140" i="2"/>
  <c r="I218" i="2" s="1"/>
  <c r="I179" i="2"/>
  <c r="I48" i="2"/>
  <c r="I149" i="2"/>
  <c r="I227" i="2" s="1"/>
  <c r="I188" i="2"/>
  <c r="I99" i="2"/>
  <c r="I144" i="2"/>
  <c r="I222" i="2" s="1"/>
  <c r="I183" i="2"/>
  <c r="I100" i="2"/>
  <c r="I145" i="2"/>
  <c r="I223" i="2" s="1"/>
  <c r="I184" i="2"/>
  <c r="I101" i="2"/>
  <c r="I146" i="2"/>
  <c r="I224" i="2" s="1"/>
  <c r="I185" i="2"/>
  <c r="I102" i="2"/>
  <c r="I147" i="2"/>
  <c r="I225" i="2" s="1"/>
  <c r="I186" i="2"/>
  <c r="H166" i="2"/>
  <c r="H81" i="2"/>
  <c r="H126" i="2"/>
  <c r="H204" i="2" s="1"/>
  <c r="BS25" i="695"/>
  <c r="BS29" i="695"/>
  <c r="BS32" i="695"/>
  <c r="G29" i="694"/>
  <c r="G92" i="694"/>
  <c r="G133" i="694"/>
  <c r="G189" i="694"/>
  <c r="G245" i="694" s="1"/>
  <c r="J8" i="694"/>
  <c r="I9" i="694"/>
  <c r="I10" i="694"/>
  <c r="BM25" i="695"/>
  <c r="BM29" i="695"/>
  <c r="BM32" i="695"/>
  <c r="H45" i="694"/>
  <c r="H48" i="694"/>
  <c r="H64" i="694"/>
  <c r="H63" i="694"/>
  <c r="CG18" i="83"/>
  <c r="CG32" i="83" s="1"/>
  <c r="CG20" i="83"/>
  <c r="CG23" i="83" s="1"/>
  <c r="CG19" i="83"/>
  <c r="CG27" i="83" s="1"/>
  <c r="CG21" i="83"/>
  <c r="CG24" i="83" s="1"/>
  <c r="CG26" i="83" s="1"/>
  <c r="CG22" i="83"/>
  <c r="CJ20" i="695"/>
  <c r="CJ23" i="695" s="1"/>
  <c r="CJ18" i="695"/>
  <c r="CJ31" i="695" s="1"/>
  <c r="CJ19" i="695"/>
  <c r="CJ27" i="695" s="1"/>
  <c r="CJ21" i="695"/>
  <c r="CJ24" i="695" s="1"/>
  <c r="CJ26" i="695" s="1"/>
  <c r="CJ22" i="695"/>
  <c r="BO25" i="695"/>
  <c r="BO29" i="695"/>
  <c r="BO32" i="695"/>
  <c r="BV29" i="83"/>
  <c r="BV31" i="83"/>
  <c r="DN3" i="695"/>
  <c r="CT7" i="695"/>
  <c r="CT9" i="695"/>
  <c r="CT10" i="695"/>
  <c r="CT11" i="695"/>
  <c r="CT12" i="695"/>
  <c r="CT13" i="695"/>
  <c r="CT14" i="695"/>
  <c r="CT15" i="695"/>
  <c r="CT16" i="695"/>
  <c r="CT17" i="695"/>
  <c r="CT8" i="695"/>
  <c r="CC18" i="83"/>
  <c r="CC32" i="83" s="1"/>
  <c r="CC21" i="83"/>
  <c r="CC24" i="83" s="1"/>
  <c r="CC26" i="83" s="1"/>
  <c r="CC19" i="83"/>
  <c r="CC27" i="83" s="1"/>
  <c r="CC20" i="83"/>
  <c r="CC23" i="83" s="1"/>
  <c r="CC22" i="83"/>
  <c r="BI25" i="695"/>
  <c r="BI29" i="695"/>
  <c r="BI32" i="695"/>
  <c r="CA28" i="695"/>
  <c r="CA30" i="695"/>
  <c r="DJ3" i="695"/>
  <c r="CP7" i="695"/>
  <c r="CP9" i="695"/>
  <c r="CP10" i="695"/>
  <c r="CP11" i="695"/>
  <c r="CP12" i="695"/>
  <c r="CP13" i="695"/>
  <c r="CP14" i="695"/>
  <c r="CP15" i="695"/>
  <c r="CP16" i="695"/>
  <c r="CP17" i="695"/>
  <c r="CP8" i="695"/>
  <c r="DH3" i="695"/>
  <c r="CN7" i="695"/>
  <c r="CN9" i="695"/>
  <c r="CN10" i="695"/>
  <c r="CN11" i="695"/>
  <c r="CN12" i="695"/>
  <c r="CN13" i="695"/>
  <c r="CN14" i="695"/>
  <c r="CN15" i="695"/>
  <c r="CN16" i="695"/>
  <c r="CN17" i="695"/>
  <c r="CN8" i="695"/>
  <c r="CI18" i="83"/>
  <c r="CI32" i="83" s="1"/>
  <c r="CI20" i="83"/>
  <c r="CI23" i="83" s="1"/>
  <c r="CI19" i="83"/>
  <c r="CI27" i="83" s="1"/>
  <c r="CI21" i="83"/>
  <c r="CI24" i="83" s="1"/>
  <c r="CI26" i="83" s="1"/>
  <c r="CI22" i="83"/>
  <c r="J9" i="2"/>
  <c r="J10" i="2"/>
  <c r="K8" i="2"/>
  <c r="CE29" i="83"/>
  <c r="CE31" i="83"/>
  <c r="BM25" i="83"/>
  <c r="BM30" i="83"/>
  <c r="BM33" i="83"/>
  <c r="CD18" i="83"/>
  <c r="CD32" i="83" s="1"/>
  <c r="CD19" i="83"/>
  <c r="CD27" i="83" s="1"/>
  <c r="CD20" i="83"/>
  <c r="CD23" i="83" s="1"/>
  <c r="CD21" i="83"/>
  <c r="CD24" i="83" s="1"/>
  <c r="CD26" i="83" s="1"/>
  <c r="CD22" i="83"/>
  <c r="BW21" i="695"/>
  <c r="BW24" i="695" s="1"/>
  <c r="BW26" i="695" s="1"/>
  <c r="BW19" i="695"/>
  <c r="BW27" i="695" s="1"/>
  <c r="BW18" i="695"/>
  <c r="BW31" i="695" s="1"/>
  <c r="BW20" i="695"/>
  <c r="BW23" i="695" s="1"/>
  <c r="BW22" i="695"/>
  <c r="BW29" i="83"/>
  <c r="BW31" i="83"/>
  <c r="CD28" i="695"/>
  <c r="CD30" i="695"/>
  <c r="DP3" i="83"/>
  <c r="CV9" i="83"/>
  <c r="CV10" i="83"/>
  <c r="CV11" i="83"/>
  <c r="CV12" i="83"/>
  <c r="CV13" i="83"/>
  <c r="CV14" i="83"/>
  <c r="CV15" i="83"/>
  <c r="CV16" i="83"/>
  <c r="CV17" i="83"/>
  <c r="CV7" i="83"/>
  <c r="CV8" i="83"/>
  <c r="DM3" i="83"/>
  <c r="CS9" i="83"/>
  <c r="CS10" i="83"/>
  <c r="CS11" i="83"/>
  <c r="CS12" i="83"/>
  <c r="CS13" i="83"/>
  <c r="CS14" i="83"/>
  <c r="CS15" i="83"/>
  <c r="CS16" i="83"/>
  <c r="CS17" i="83"/>
  <c r="CS7" i="83"/>
  <c r="CS8" i="83"/>
  <c r="BU28" i="695"/>
  <c r="BU30" i="695"/>
  <c r="CJ29" i="83"/>
  <c r="CJ31" i="83"/>
  <c r="DQ3" i="695"/>
  <c r="CW7" i="695"/>
  <c r="CW9" i="695"/>
  <c r="CW10" i="695"/>
  <c r="CW11" i="695"/>
  <c r="CW12" i="695"/>
  <c r="CW13" i="695"/>
  <c r="CW14" i="695"/>
  <c r="CW15" i="695"/>
  <c r="CW16" i="695"/>
  <c r="CW17" i="695"/>
  <c r="CW8" i="695"/>
  <c r="DI3" i="83"/>
  <c r="CO9" i="83"/>
  <c r="CO29" i="83" s="1"/>
  <c r="CO10" i="83"/>
  <c r="CO11" i="83"/>
  <c r="CO12" i="83"/>
  <c r="CO13" i="83"/>
  <c r="CO14" i="83"/>
  <c r="CO15" i="83"/>
  <c r="CO16" i="83"/>
  <c r="CO17" i="83"/>
  <c r="DL3" i="695"/>
  <c r="CR7" i="695"/>
  <c r="CR9" i="695"/>
  <c r="CR10" i="695"/>
  <c r="CR11" i="695"/>
  <c r="CR12" i="695"/>
  <c r="CR13" i="695"/>
  <c r="CR14" i="695"/>
  <c r="CR15" i="695"/>
  <c r="CR16" i="695"/>
  <c r="CR17" i="695"/>
  <c r="CR8" i="695"/>
  <c r="G218" i="694"/>
  <c r="G274" i="694" s="1"/>
  <c r="EA3" i="83"/>
  <c r="DG9" i="83"/>
  <c r="DG10" i="83"/>
  <c r="DG11" i="83"/>
  <c r="DG12" i="83"/>
  <c r="DG13" i="83"/>
  <c r="DG14" i="83"/>
  <c r="DG15" i="83"/>
  <c r="DG16" i="83"/>
  <c r="DG17" i="83"/>
  <c r="DG7" i="83"/>
  <c r="DG8" i="83"/>
  <c r="CA18" i="83"/>
  <c r="CA32" i="83" s="1"/>
  <c r="CA20" i="83"/>
  <c r="CA23" i="83" s="1"/>
  <c r="CA19" i="83"/>
  <c r="CA27" i="83" s="1"/>
  <c r="CA21" i="83"/>
  <c r="CA24" i="83" s="1"/>
  <c r="CA26" i="83" s="1"/>
  <c r="CA22" i="83"/>
  <c r="H89" i="2"/>
  <c r="H134" i="2"/>
  <c r="H212" i="2" s="1"/>
  <c r="H173" i="2"/>
  <c r="CG29" i="83"/>
  <c r="CG31" i="83"/>
  <c r="BA29" i="695"/>
  <c r="BA25" i="695"/>
  <c r="BA32" i="695"/>
  <c r="CC29" i="83"/>
  <c r="CC31" i="83"/>
  <c r="H78" i="2"/>
  <c r="H123" i="2"/>
  <c r="H201" i="2" s="1"/>
  <c r="H162" i="2"/>
  <c r="DO3" i="695"/>
  <c r="CU7" i="695"/>
  <c r="CU9" i="695"/>
  <c r="CU10" i="695"/>
  <c r="CU11" i="695"/>
  <c r="CU12" i="695"/>
  <c r="CU13" i="695"/>
  <c r="CU14" i="695"/>
  <c r="CU15" i="695"/>
  <c r="CU16" i="695"/>
  <c r="CU17" i="695"/>
  <c r="CU8" i="695"/>
  <c r="BH25" i="83"/>
  <c r="BH30" i="83"/>
  <c r="BH33" i="83"/>
  <c r="BY18" i="695"/>
  <c r="BY31" i="695" s="1"/>
  <c r="BY21" i="695"/>
  <c r="BY24" i="695" s="1"/>
  <c r="BY26" i="695" s="1"/>
  <c r="BY19" i="695"/>
  <c r="BY27" i="695" s="1"/>
  <c r="BY20" i="695"/>
  <c r="BY23" i="695" s="1"/>
  <c r="BY22" i="695"/>
  <c r="CI29" i="83"/>
  <c r="CI31" i="83"/>
  <c r="CB20" i="695"/>
  <c r="CB23" i="695" s="1"/>
  <c r="CB18" i="695"/>
  <c r="CB31" i="695" s="1"/>
  <c r="CB19" i="695"/>
  <c r="CB27" i="695" s="1"/>
  <c r="CB22" i="695"/>
  <c r="CB21" i="695"/>
  <c r="CB24" i="695" s="1"/>
  <c r="CB26" i="695" s="1"/>
  <c r="CD29" i="83"/>
  <c r="CD31" i="83"/>
  <c r="CK19" i="695"/>
  <c r="CK27" i="695" s="1"/>
  <c r="CK20" i="695"/>
  <c r="CK23" i="695" s="1"/>
  <c r="CK21" i="695"/>
  <c r="CK24" i="695" s="1"/>
  <c r="CK26" i="695" s="1"/>
  <c r="CK22" i="695"/>
  <c r="CK18" i="695"/>
  <c r="CK31" i="695" s="1"/>
  <c r="DR3" i="695"/>
  <c r="CX7" i="695"/>
  <c r="CX9" i="695"/>
  <c r="CX10" i="695"/>
  <c r="CX11" i="695"/>
  <c r="CX12" i="695"/>
  <c r="CX13" i="695"/>
  <c r="CX14" i="695"/>
  <c r="CX15" i="695"/>
  <c r="CX16" i="695"/>
  <c r="CX17" i="695"/>
  <c r="CX8" i="695"/>
  <c r="BL25" i="695"/>
  <c r="BL29" i="695"/>
  <c r="BL32" i="695"/>
  <c r="DI3" i="695"/>
  <c r="CO7" i="695"/>
  <c r="CO9" i="695"/>
  <c r="CO10" i="695"/>
  <c r="CO11" i="695"/>
  <c r="CO12" i="695"/>
  <c r="CO13" i="695"/>
  <c r="CO14" i="695"/>
  <c r="CO15" i="695"/>
  <c r="CO16" i="695"/>
  <c r="CO17" i="695"/>
  <c r="CO8" i="695"/>
  <c r="CE21" i="695"/>
  <c r="CE24" i="695" s="1"/>
  <c r="CE26" i="695" s="1"/>
  <c r="CE19" i="695"/>
  <c r="CE27" i="695" s="1"/>
  <c r="CE18" i="695"/>
  <c r="CE31" i="695" s="1"/>
  <c r="CE20" i="695"/>
  <c r="CE23" i="695" s="1"/>
  <c r="CE22" i="695"/>
  <c r="CH20" i="695"/>
  <c r="CH23" i="695" s="1"/>
  <c r="CH18" i="695"/>
  <c r="CH31" i="695" s="1"/>
  <c r="CH21" i="695"/>
  <c r="CH24" i="695" s="1"/>
  <c r="CH26" i="695" s="1"/>
  <c r="CH19" i="695"/>
  <c r="CH27" i="695" s="1"/>
  <c r="CH22" i="695"/>
  <c r="W11" i="27" a="1"/>
  <c r="W11" i="27" s="1"/>
  <c r="X12" i="27"/>
  <c r="G163" i="694"/>
  <c r="CA29" i="83"/>
  <c r="CA31" i="83"/>
  <c r="H92" i="2"/>
  <c r="H137" i="2"/>
  <c r="H215" i="2" s="1"/>
  <c r="H176" i="2"/>
  <c r="BU22" i="83"/>
  <c r="CF18" i="83"/>
  <c r="CF32" i="83" s="1"/>
  <c r="CF19" i="83"/>
  <c r="CF27" i="83" s="1"/>
  <c r="CF20" i="83"/>
  <c r="CF23" i="83" s="1"/>
  <c r="CF21" i="83"/>
  <c r="CF24" i="83" s="1"/>
  <c r="CF26" i="83" s="1"/>
  <c r="CF22" i="83"/>
  <c r="BD29" i="695"/>
  <c r="BD25" i="695"/>
  <c r="BD32" i="695"/>
  <c r="CJ28" i="695"/>
  <c r="CJ30" i="695"/>
  <c r="DJ3" i="83"/>
  <c r="CP9" i="83"/>
  <c r="CP10" i="83"/>
  <c r="CP11" i="83"/>
  <c r="CP12" i="83"/>
  <c r="CP13" i="83"/>
  <c r="CP14" i="83"/>
  <c r="CP15" i="83"/>
  <c r="CP16" i="83"/>
  <c r="CP17" i="83"/>
  <c r="CP7" i="83"/>
  <c r="CP8" i="83"/>
  <c r="BS25" i="83"/>
  <c r="BS30" i="83"/>
  <c r="BS33" i="83"/>
  <c r="F192" i="694"/>
  <c r="F248" i="694" s="1"/>
  <c r="F136" i="694"/>
  <c r="F95" i="694"/>
  <c r="CH18" i="83"/>
  <c r="CH32" i="83" s="1"/>
  <c r="CH20" i="83"/>
  <c r="CH23" i="83" s="1"/>
  <c r="CH19" i="83"/>
  <c r="CH27" i="83" s="1"/>
  <c r="CH21" i="83"/>
  <c r="CH24" i="83" s="1"/>
  <c r="CH26" i="83" s="1"/>
  <c r="CH22" i="83"/>
  <c r="CL18" i="83"/>
  <c r="CL32" i="83" s="1"/>
  <c r="CL19" i="83"/>
  <c r="CL27" i="83" s="1"/>
  <c r="CL21" i="83"/>
  <c r="CL24" i="83" s="1"/>
  <c r="CL26" i="83" s="1"/>
  <c r="CL20" i="83"/>
  <c r="CL23" i="83" s="1"/>
  <c r="CL22" i="83"/>
  <c r="DS3" i="83"/>
  <c r="CY9" i="83"/>
  <c r="CY10" i="83"/>
  <c r="CY11" i="83"/>
  <c r="CY12" i="83"/>
  <c r="CY13" i="83"/>
  <c r="CY14" i="83"/>
  <c r="CY15" i="83"/>
  <c r="CY16" i="83"/>
  <c r="CY17" i="83"/>
  <c r="CY7" i="83"/>
  <c r="CY8" i="83"/>
  <c r="BW28" i="695"/>
  <c r="BW30" i="695"/>
  <c r="DK3" i="83"/>
  <c r="CQ9" i="83"/>
  <c r="CQ10" i="83"/>
  <c r="CQ11" i="83"/>
  <c r="CQ12" i="83"/>
  <c r="CQ13" i="83"/>
  <c r="CQ14" i="83"/>
  <c r="CQ15" i="83"/>
  <c r="CQ16" i="83"/>
  <c r="CQ17" i="83"/>
  <c r="CQ7" i="83"/>
  <c r="CQ8" i="83"/>
  <c r="DX3" i="83"/>
  <c r="DD9" i="83"/>
  <c r="DD10" i="83"/>
  <c r="DD11" i="83"/>
  <c r="DD12" i="83"/>
  <c r="DD13" i="83"/>
  <c r="DD14" i="83"/>
  <c r="DD15" i="83"/>
  <c r="DD16" i="83"/>
  <c r="DD17" i="83"/>
  <c r="DD7" i="83"/>
  <c r="DD8" i="83"/>
  <c r="CG18" i="695"/>
  <c r="CG31" i="695" s="1"/>
  <c r="CG21" i="695"/>
  <c r="CG24" i="695" s="1"/>
  <c r="CG26" i="695" s="1"/>
  <c r="CG19" i="695"/>
  <c r="CG27" i="695" s="1"/>
  <c r="CG20" i="695"/>
  <c r="CG23" i="695" s="1"/>
  <c r="CG22" i="695"/>
  <c r="G207" i="694"/>
  <c r="G263" i="694" s="1"/>
  <c r="G161" i="694"/>
  <c r="G192" i="694"/>
  <c r="G248" i="694" s="1"/>
  <c r="G88" i="694"/>
  <c r="E91" i="694"/>
  <c r="E188" i="694"/>
  <c r="E244" i="694" s="1"/>
  <c r="E132" i="694"/>
  <c r="BJ25" i="83"/>
  <c r="BJ30" i="83"/>
  <c r="BJ33" i="83"/>
  <c r="BS22" i="695"/>
  <c r="BU20" i="83"/>
  <c r="BU23" i="83" s="1"/>
  <c r="BF25" i="83"/>
  <c r="BF30" i="83"/>
  <c r="BF33" i="83"/>
  <c r="DU3" i="83"/>
  <c r="DA9" i="83"/>
  <c r="DA10" i="83"/>
  <c r="DA11" i="83"/>
  <c r="DA12" i="83"/>
  <c r="DA13" i="83"/>
  <c r="DA14" i="83"/>
  <c r="DA15" i="83"/>
  <c r="DA16" i="83"/>
  <c r="DA17" i="83"/>
  <c r="DA7" i="83"/>
  <c r="DA8" i="83"/>
  <c r="DX3" i="695"/>
  <c r="DD7" i="695"/>
  <c r="DD9" i="695"/>
  <c r="DD10" i="695"/>
  <c r="DD11" i="695"/>
  <c r="DD12" i="695"/>
  <c r="DD13" i="695"/>
  <c r="DD14" i="695"/>
  <c r="DD15" i="695"/>
  <c r="DD16" i="695"/>
  <c r="DD17" i="695"/>
  <c r="DD8" i="695"/>
  <c r="DQ3" i="83"/>
  <c r="CW9" i="83"/>
  <c r="CW10" i="83"/>
  <c r="CW11" i="83"/>
  <c r="CW12" i="83"/>
  <c r="CW13" i="83"/>
  <c r="CW14" i="83"/>
  <c r="CW15" i="83"/>
  <c r="CW16" i="83"/>
  <c r="CW17" i="83"/>
  <c r="CW7" i="83"/>
  <c r="CW8" i="83"/>
  <c r="BY28" i="695"/>
  <c r="BY30" i="695"/>
  <c r="CH29" i="83"/>
  <c r="CH31" i="83"/>
  <c r="CL29" i="83"/>
  <c r="CL31" i="83"/>
  <c r="DW3" i="83"/>
  <c r="DC9" i="83"/>
  <c r="DC10" i="83"/>
  <c r="DC11" i="83"/>
  <c r="DC12" i="83"/>
  <c r="DC13" i="83"/>
  <c r="DC14" i="83"/>
  <c r="DC15" i="83"/>
  <c r="DC16" i="83"/>
  <c r="DC17" i="83"/>
  <c r="DC7" i="83"/>
  <c r="DC8" i="83"/>
  <c r="CB28" i="695"/>
  <c r="CB30" i="695"/>
  <c r="DR3" i="83"/>
  <c r="CX9" i="83"/>
  <c r="CX10" i="83"/>
  <c r="CX11" i="83"/>
  <c r="CX12" i="83"/>
  <c r="CX13" i="83"/>
  <c r="CX14" i="83"/>
  <c r="CX15" i="83"/>
  <c r="CX16" i="83"/>
  <c r="CX17" i="83"/>
  <c r="CX7" i="83"/>
  <c r="CX8" i="83"/>
  <c r="CK28" i="695"/>
  <c r="CK30" i="695"/>
  <c r="DK3" i="695"/>
  <c r="CQ7" i="695"/>
  <c r="CQ9" i="695"/>
  <c r="CQ10" i="695"/>
  <c r="CQ11" i="695"/>
  <c r="CQ12" i="695"/>
  <c r="CQ13" i="695"/>
  <c r="CQ14" i="695"/>
  <c r="CQ15" i="695"/>
  <c r="CQ16" i="695"/>
  <c r="CQ17" i="695"/>
  <c r="CQ8" i="695"/>
  <c r="DG3" i="695"/>
  <c r="CM9" i="695"/>
  <c r="CM24" i="695" s="1"/>
  <c r="CM26" i="695" s="1"/>
  <c r="CM10" i="695"/>
  <c r="CM11" i="695"/>
  <c r="CM12" i="695"/>
  <c r="CM13" i="695"/>
  <c r="CM14" i="695"/>
  <c r="CM15" i="695"/>
  <c r="CM16" i="695"/>
  <c r="CM17" i="695"/>
  <c r="BF25" i="695"/>
  <c r="BF29" i="695"/>
  <c r="BF32" i="695"/>
  <c r="CN18" i="83"/>
  <c r="CN32" i="83" s="1"/>
  <c r="CN19" i="83"/>
  <c r="CN27" i="83" s="1"/>
  <c r="CN21" i="83"/>
  <c r="CN24" i="83" s="1"/>
  <c r="CN26" i="83" s="1"/>
  <c r="CN20" i="83"/>
  <c r="CN23" i="83" s="1"/>
  <c r="CN22" i="83"/>
  <c r="BE25" i="83"/>
  <c r="BE30" i="83"/>
  <c r="BE33" i="83"/>
  <c r="BZ18" i="83"/>
  <c r="BZ32" i="83" s="1"/>
  <c r="BZ20" i="83"/>
  <c r="BZ23" i="83" s="1"/>
  <c r="BZ19" i="83"/>
  <c r="BZ27" i="83" s="1"/>
  <c r="BZ21" i="83"/>
  <c r="BZ24" i="83" s="1"/>
  <c r="BZ26" i="83" s="1"/>
  <c r="BZ22" i="83"/>
  <c r="BB25" i="695"/>
  <c r="BB29" i="695"/>
  <c r="BB32" i="695"/>
  <c r="AZ25" i="695"/>
  <c r="AZ29" i="695"/>
  <c r="AZ32" i="695"/>
  <c r="CE28" i="695"/>
  <c r="CE30" i="695"/>
  <c r="CH28" i="695"/>
  <c r="CH30" i="695"/>
  <c r="BA25" i="83"/>
  <c r="BA30" i="83"/>
  <c r="BA33" i="83"/>
  <c r="CI20" i="695"/>
  <c r="CI23" i="695" s="1"/>
  <c r="CI18" i="695"/>
  <c r="CI31" i="695" s="1"/>
  <c r="CI21" i="695"/>
  <c r="CI24" i="695" s="1"/>
  <c r="CI26" i="695" s="1"/>
  <c r="CI19" i="695"/>
  <c r="CI27" i="695" s="1"/>
  <c r="CI22" i="695"/>
  <c r="G204" i="694"/>
  <c r="G260" i="694" s="1"/>
  <c r="G164" i="694"/>
  <c r="B56" i="1646"/>
  <c r="DO3" i="83"/>
  <c r="CU9" i="83"/>
  <c r="CU10" i="83"/>
  <c r="CU11" i="83"/>
  <c r="CU12" i="83"/>
  <c r="CU13" i="83"/>
  <c r="CU14" i="83"/>
  <c r="CU15" i="83"/>
  <c r="CU16" i="83"/>
  <c r="CU17" i="83"/>
  <c r="CU7" i="83"/>
  <c r="CU8" i="83"/>
  <c r="AY25" i="695"/>
  <c r="AY29" i="695"/>
  <c r="AY32" i="695"/>
  <c r="BS19" i="695"/>
  <c r="BS27" i="695" s="1"/>
  <c r="BU21" i="83"/>
  <c r="BU24" i="83" s="1"/>
  <c r="BU26" i="83" s="1"/>
  <c r="CF29" i="83"/>
  <c r="CF31" i="83"/>
  <c r="CF18" i="695"/>
  <c r="CF31" i="695" s="1"/>
  <c r="CF21" i="695"/>
  <c r="CF24" i="695" s="1"/>
  <c r="CF26" i="695" s="1"/>
  <c r="CF19" i="695"/>
  <c r="CF27" i="695" s="1"/>
  <c r="CF20" i="695"/>
  <c r="CF23" i="695" s="1"/>
  <c r="CF22" i="695"/>
  <c r="DM3" i="695"/>
  <c r="CS7" i="695"/>
  <c r="CS9" i="695"/>
  <c r="CS10" i="695"/>
  <c r="CS11" i="695"/>
  <c r="CS12" i="695"/>
  <c r="CS13" i="695"/>
  <c r="CS14" i="695"/>
  <c r="CS15" i="695"/>
  <c r="CS16" i="695"/>
  <c r="CS17" i="695"/>
  <c r="CS8" i="695"/>
  <c r="BX18" i="83"/>
  <c r="BX32" i="83" s="1"/>
  <c r="BX19" i="83"/>
  <c r="BX27" i="83" s="1"/>
  <c r="BX21" i="83"/>
  <c r="BX24" i="83" s="1"/>
  <c r="BX26" i="83" s="1"/>
  <c r="BX20" i="83"/>
  <c r="BX23" i="83" s="1"/>
  <c r="BX22" i="83"/>
  <c r="DP3" i="695"/>
  <c r="CV7" i="695"/>
  <c r="CV9" i="695"/>
  <c r="CV10" i="695"/>
  <c r="CV11" i="695"/>
  <c r="CV12" i="695"/>
  <c r="CV13" i="695"/>
  <c r="CV14" i="695"/>
  <c r="CV15" i="695"/>
  <c r="CV16" i="695"/>
  <c r="CV17" i="695"/>
  <c r="CV8" i="695"/>
  <c r="DY3" i="695"/>
  <c r="DE7" i="695"/>
  <c r="DE9" i="695"/>
  <c r="DE10" i="695"/>
  <c r="DE11" i="695"/>
  <c r="DE12" i="695"/>
  <c r="DE13" i="695"/>
  <c r="DE14" i="695"/>
  <c r="DE15" i="695"/>
  <c r="DE16" i="695"/>
  <c r="DE17" i="695"/>
  <c r="DE8" i="695"/>
  <c r="CN29" i="83"/>
  <c r="CN31" i="83"/>
  <c r="CG28" i="695"/>
  <c r="CG30" i="695"/>
  <c r="BZ29" i="83"/>
  <c r="BZ31" i="83"/>
  <c r="BG25" i="695"/>
  <c r="BG29" i="695"/>
  <c r="BG32" i="695"/>
  <c r="CK18" i="83"/>
  <c r="CK32" i="83" s="1"/>
  <c r="CK21" i="83"/>
  <c r="CK24" i="83" s="1"/>
  <c r="CK26" i="83" s="1"/>
  <c r="CK19" i="83"/>
  <c r="CK27" i="83" s="1"/>
  <c r="CK20" i="83"/>
  <c r="CK23" i="83" s="1"/>
  <c r="CK22" i="83"/>
  <c r="DS3" i="695"/>
  <c r="CY7" i="695"/>
  <c r="CY9" i="695"/>
  <c r="CY10" i="695"/>
  <c r="CY11" i="695"/>
  <c r="CY12" i="695"/>
  <c r="CY13" i="695"/>
  <c r="CY14" i="695"/>
  <c r="CY15" i="695"/>
  <c r="CY16" i="695"/>
  <c r="CY17" i="695"/>
  <c r="CY8" i="695"/>
  <c r="DV3" i="695"/>
  <c r="DB7" i="695"/>
  <c r="DB9" i="695"/>
  <c r="DB10" i="695"/>
  <c r="DB11" i="695"/>
  <c r="DB12" i="695"/>
  <c r="DB13" i="695"/>
  <c r="DB14" i="695"/>
  <c r="DB15" i="695"/>
  <c r="DB16" i="695"/>
  <c r="DB17" i="695"/>
  <c r="DB8" i="695"/>
  <c r="CL19" i="695"/>
  <c r="CL27" i="695" s="1"/>
  <c r="CL20" i="695"/>
  <c r="CL23" i="695" s="1"/>
  <c r="CL18" i="695"/>
  <c r="CL31" i="695" s="1"/>
  <c r="CL21" i="695"/>
  <c r="CL24" i="695" s="1"/>
  <c r="CL26" i="695" s="1"/>
  <c r="CL22" i="695"/>
  <c r="BC25" i="83"/>
  <c r="BC30" i="83"/>
  <c r="BC33" i="83"/>
  <c r="BJ25" i="695"/>
  <c r="BJ29" i="695"/>
  <c r="BJ32" i="695"/>
  <c r="F188" i="694"/>
  <c r="F244" i="694" s="1"/>
  <c r="F132" i="694"/>
  <c r="F91" i="694"/>
  <c r="BS21" i="695"/>
  <c r="BS24" i="695" s="1"/>
  <c r="BS26" i="695" s="1"/>
  <c r="BU19" i="83"/>
  <c r="BU27" i="83" s="1"/>
  <c r="DT3" i="83"/>
  <c r="CZ9" i="83"/>
  <c r="CZ10" i="83"/>
  <c r="CZ11" i="83"/>
  <c r="CZ12" i="83"/>
  <c r="CZ13" i="83"/>
  <c r="CZ14" i="83"/>
  <c r="CZ15" i="83"/>
  <c r="CZ16" i="83"/>
  <c r="CZ17" i="83"/>
  <c r="CZ7" i="83"/>
  <c r="CZ8" i="83"/>
  <c r="BK25" i="695"/>
  <c r="BK29" i="695"/>
  <c r="BK32" i="695"/>
  <c r="BZ20" i="695"/>
  <c r="BZ23" i="695" s="1"/>
  <c r="BZ18" i="695"/>
  <c r="BZ31" i="695" s="1"/>
  <c r="BZ21" i="695"/>
  <c r="BZ24" i="695" s="1"/>
  <c r="BZ26" i="695" s="1"/>
  <c r="BZ19" i="695"/>
  <c r="BZ27" i="695" s="1"/>
  <c r="BZ22" i="695"/>
  <c r="BR25" i="83"/>
  <c r="BR30" i="83"/>
  <c r="BR33" i="83"/>
  <c r="BO25" i="83"/>
  <c r="BO30" i="83"/>
  <c r="BO33" i="83"/>
  <c r="BV19" i="695"/>
  <c r="BV27" i="695" s="1"/>
  <c r="BV20" i="695"/>
  <c r="BV23" i="695" s="1"/>
  <c r="BV18" i="695"/>
  <c r="BV31" i="695" s="1"/>
  <c r="BV21" i="695"/>
  <c r="BV24" i="695" s="1"/>
  <c r="BV26" i="695" s="1"/>
  <c r="BV22" i="695"/>
  <c r="BT20" i="695"/>
  <c r="BT23" i="695" s="1"/>
  <c r="BT18" i="695"/>
  <c r="BT31" i="695" s="1"/>
  <c r="BT19" i="695"/>
  <c r="BT27" i="695" s="1"/>
  <c r="BT21" i="695"/>
  <c r="BT24" i="695" s="1"/>
  <c r="BT26" i="695" s="1"/>
  <c r="BT22" i="695"/>
  <c r="BX29" i="83"/>
  <c r="BX31" i="83"/>
  <c r="DV3" i="83"/>
  <c r="DB9" i="83"/>
  <c r="DB10" i="83"/>
  <c r="DB11" i="83"/>
  <c r="DB12" i="83"/>
  <c r="DB13" i="83"/>
  <c r="DB14" i="83"/>
  <c r="DB15" i="83"/>
  <c r="DB16" i="83"/>
  <c r="DB17" i="83"/>
  <c r="DB7" i="83"/>
  <c r="DB8" i="83"/>
  <c r="DZ3" i="83"/>
  <c r="DF9" i="83"/>
  <c r="DF10" i="83"/>
  <c r="DF11" i="83"/>
  <c r="DF12" i="83"/>
  <c r="DF13" i="83"/>
  <c r="DF14" i="83"/>
  <c r="DF15" i="83"/>
  <c r="DF16" i="83"/>
  <c r="DF17" i="83"/>
  <c r="DF7" i="83"/>
  <c r="DF8" i="83"/>
  <c r="BL25" i="83"/>
  <c r="BL30" i="83"/>
  <c r="BL33" i="83"/>
  <c r="BP25" i="695"/>
  <c r="BP29" i="695"/>
  <c r="BP32" i="695"/>
  <c r="CB18" i="83"/>
  <c r="CB32" i="83" s="1"/>
  <c r="CB20" i="83"/>
  <c r="CB23" i="83" s="1"/>
  <c r="CB19" i="83"/>
  <c r="CB27" i="83" s="1"/>
  <c r="CB21" i="83"/>
  <c r="CB24" i="83" s="1"/>
  <c r="CB26" i="83" s="1"/>
  <c r="CB22" i="83"/>
  <c r="BY18" i="83"/>
  <c r="BY32" i="83" s="1"/>
  <c r="BY20" i="83"/>
  <c r="BY23" i="83" s="1"/>
  <c r="BY19" i="83"/>
  <c r="BY27" i="83" s="1"/>
  <c r="BY21" i="83"/>
  <c r="BY24" i="83" s="1"/>
  <c r="BY26" i="83" s="1"/>
  <c r="BY22" i="83"/>
  <c r="BB25" i="83"/>
  <c r="BB30" i="83"/>
  <c r="BB33" i="83"/>
  <c r="BD25" i="83"/>
  <c r="BD30" i="83"/>
  <c r="BD33" i="83"/>
  <c r="CC19" i="695"/>
  <c r="CC27" i="695" s="1"/>
  <c r="CC20" i="695"/>
  <c r="CC23" i="695" s="1"/>
  <c r="CC21" i="695"/>
  <c r="CC24" i="695" s="1"/>
  <c r="CC26" i="695" s="1"/>
  <c r="CC18" i="695"/>
  <c r="CC31" i="695" s="1"/>
  <c r="CC22" i="695"/>
  <c r="DU3" i="695"/>
  <c r="DA7" i="695"/>
  <c r="DA9" i="695"/>
  <c r="DA10" i="695"/>
  <c r="DA11" i="695"/>
  <c r="DA12" i="695"/>
  <c r="DA13" i="695"/>
  <c r="DA14" i="695"/>
  <c r="DA15" i="695"/>
  <c r="DA16" i="695"/>
  <c r="DA17" i="695"/>
  <c r="DA8" i="695"/>
  <c r="CK29" i="83"/>
  <c r="CK31" i="83"/>
  <c r="BE25" i="695"/>
  <c r="BE29" i="695"/>
  <c r="BE32" i="695"/>
  <c r="BX18" i="695"/>
  <c r="BX31" i="695" s="1"/>
  <c r="BX21" i="695"/>
  <c r="BX24" i="695" s="1"/>
  <c r="BX26" i="695" s="1"/>
  <c r="BX19" i="695"/>
  <c r="BX27" i="695" s="1"/>
  <c r="BX20" i="695"/>
  <c r="BX23" i="695" s="1"/>
  <c r="BX22" i="695"/>
  <c r="BH25" i="695"/>
  <c r="BH29" i="695"/>
  <c r="BH32" i="695"/>
  <c r="CI28" i="695"/>
  <c r="CI30" i="695"/>
  <c r="G107" i="694"/>
  <c r="BK25" i="83"/>
  <c r="BK30" i="83"/>
  <c r="BK33" i="83"/>
  <c r="BQ25" i="695"/>
  <c r="BQ29" i="695"/>
  <c r="BQ32" i="695"/>
  <c r="BC25" i="695"/>
  <c r="BC29" i="695"/>
  <c r="BC32" i="695"/>
  <c r="CM18" i="83"/>
  <c r="CM32" i="83" s="1"/>
  <c r="CM19" i="83"/>
  <c r="CM27" i="83" s="1"/>
  <c r="CM21" i="83"/>
  <c r="CM24" i="83" s="1"/>
  <c r="CM26" i="83" s="1"/>
  <c r="CM20" i="83"/>
  <c r="CM23" i="83" s="1"/>
  <c r="CM22" i="83"/>
  <c r="BS18" i="695"/>
  <c r="BS31" i="695" s="1"/>
  <c r="BU18" i="83"/>
  <c r="BU32" i="83" s="1"/>
  <c r="BQ25" i="83"/>
  <c r="BQ30" i="83"/>
  <c r="BQ33" i="83"/>
  <c r="H18" i="694"/>
  <c r="H121" i="694" s="1"/>
  <c r="H22" i="694"/>
  <c r="H181" i="694" s="1"/>
  <c r="H237" i="694" s="1"/>
  <c r="H25" i="694"/>
  <c r="H53" i="694"/>
  <c r="H60" i="694" s="1"/>
  <c r="H101" i="694"/>
  <c r="H113" i="694"/>
  <c r="H119" i="694"/>
  <c r="H124" i="694"/>
  <c r="H127" i="694"/>
  <c r="H129" i="694"/>
  <c r="H138" i="694"/>
  <c r="H142" i="694"/>
  <c r="H145" i="694"/>
  <c r="H147" i="694"/>
  <c r="H150" i="694"/>
  <c r="H152" i="694"/>
  <c r="H155" i="694"/>
  <c r="H157" i="694"/>
  <c r="H159" i="694"/>
  <c r="H164" i="694"/>
  <c r="H167" i="694"/>
  <c r="H169" i="694"/>
  <c r="H175" i="694"/>
  <c r="H231" i="694" s="1"/>
  <c r="H180" i="694"/>
  <c r="H236" i="694" s="1"/>
  <c r="H183" i="694"/>
  <c r="H239" i="694" s="1"/>
  <c r="H185" i="694"/>
  <c r="H241" i="694" s="1"/>
  <c r="H194" i="694"/>
  <c r="H250" i="694" s="1"/>
  <c r="H198" i="694"/>
  <c r="H254" i="694" s="1"/>
  <c r="H201" i="694"/>
  <c r="H257" i="694" s="1"/>
  <c r="H203" i="694"/>
  <c r="H259" i="694" s="1"/>
  <c r="H206" i="694"/>
  <c r="H262" i="694" s="1"/>
  <c r="H208" i="694"/>
  <c r="H264" i="694" s="1"/>
  <c r="H211" i="694"/>
  <c r="H267" i="694" s="1"/>
  <c r="H213" i="694"/>
  <c r="H269" i="694" s="1"/>
  <c r="H215" i="694"/>
  <c r="H271" i="694" s="1"/>
  <c r="H220" i="694"/>
  <c r="H276" i="694" s="1"/>
  <c r="H223" i="694"/>
  <c r="H279" i="694" s="1"/>
  <c r="H225" i="694"/>
  <c r="H281" i="694" s="1"/>
  <c r="H112" i="694"/>
  <c r="H102" i="694"/>
  <c r="H114" i="694"/>
  <c r="H120" i="694"/>
  <c r="H123" i="694"/>
  <c r="H128" i="694"/>
  <c r="H131" i="694"/>
  <c r="H137" i="694"/>
  <c r="H141" i="694"/>
  <c r="H146" i="694"/>
  <c r="H148" i="694"/>
  <c r="H151" i="694"/>
  <c r="H156" i="694"/>
  <c r="H158" i="694"/>
  <c r="H166" i="694"/>
  <c r="H168" i="694"/>
  <c r="H170" i="694"/>
  <c r="H176" i="694"/>
  <c r="H232" i="694" s="1"/>
  <c r="H179" i="694"/>
  <c r="H235" i="694" s="1"/>
  <c r="H184" i="694"/>
  <c r="H240" i="694" s="1"/>
  <c r="H187" i="694"/>
  <c r="H243" i="694" s="1"/>
  <c r="H193" i="694"/>
  <c r="H249" i="694" s="1"/>
  <c r="H197" i="694"/>
  <c r="H253" i="694" s="1"/>
  <c r="H202" i="694"/>
  <c r="H258" i="694" s="1"/>
  <c r="H204" i="694"/>
  <c r="H260" i="694" s="1"/>
  <c r="H207" i="694"/>
  <c r="H263" i="694" s="1"/>
  <c r="H212" i="694"/>
  <c r="H268" i="694" s="1"/>
  <c r="H214" i="694"/>
  <c r="H270" i="694" s="1"/>
  <c r="H222" i="694"/>
  <c r="H278" i="694" s="1"/>
  <c r="H224" i="694"/>
  <c r="H280" i="694" s="1"/>
  <c r="H226" i="694"/>
  <c r="H282" i="694" s="1"/>
  <c r="H97" i="694"/>
  <c r="BN25" i="695"/>
  <c r="BN29" i="695"/>
  <c r="BN32" i="695"/>
  <c r="CF28" i="695"/>
  <c r="CF30" i="695"/>
  <c r="BR25" i="695"/>
  <c r="BR29" i="695"/>
  <c r="BR32" i="695"/>
  <c r="BP25" i="83"/>
  <c r="BP30" i="83"/>
  <c r="BP33" i="83"/>
  <c r="CA20" i="695"/>
  <c r="CA23" i="695" s="1"/>
  <c r="CA18" i="695"/>
  <c r="CA31" i="695" s="1"/>
  <c r="CA21" i="695"/>
  <c r="CA24" i="695" s="1"/>
  <c r="CA26" i="695" s="1"/>
  <c r="CA19" i="695"/>
  <c r="CA27" i="695" s="1"/>
  <c r="CA22" i="695"/>
  <c r="BI25" i="83"/>
  <c r="BI30" i="83"/>
  <c r="BI33" i="83"/>
  <c r="I23" i="2"/>
  <c r="I27" i="2"/>
  <c r="CD19" i="695"/>
  <c r="CD27" i="695" s="1"/>
  <c r="CD20" i="695"/>
  <c r="CD23" i="695" s="1"/>
  <c r="CD18" i="695"/>
  <c r="CD31" i="695" s="1"/>
  <c r="CD21" i="695"/>
  <c r="CD24" i="695" s="1"/>
  <c r="CD26" i="695" s="1"/>
  <c r="CD22" i="695"/>
  <c r="CB29" i="83"/>
  <c r="CB31" i="83"/>
  <c r="BY29" i="83"/>
  <c r="BY31" i="83"/>
  <c r="BU19" i="695"/>
  <c r="BU27" i="695" s="1"/>
  <c r="BU20" i="695"/>
  <c r="BU23" i="695" s="1"/>
  <c r="BU21" i="695"/>
  <c r="BU24" i="695" s="1"/>
  <c r="BU26" i="695" s="1"/>
  <c r="BU18" i="695"/>
  <c r="BU31" i="695" s="1"/>
  <c r="BU22" i="695"/>
  <c r="EB3" i="83"/>
  <c r="DH9" i="83"/>
  <c r="DH10" i="83"/>
  <c r="DH11" i="83"/>
  <c r="DH12" i="83"/>
  <c r="DH13" i="83"/>
  <c r="DH14" i="83"/>
  <c r="DH15" i="83"/>
  <c r="DH16" i="83"/>
  <c r="DH17" i="83"/>
  <c r="DH7" i="83"/>
  <c r="DH8" i="83"/>
  <c r="DN3" i="83"/>
  <c r="CT9" i="83"/>
  <c r="CT10" i="83"/>
  <c r="CT11" i="83"/>
  <c r="CT12" i="83"/>
  <c r="CT13" i="83"/>
  <c r="CT14" i="83"/>
  <c r="CT15" i="83"/>
  <c r="CT16" i="83"/>
  <c r="CT17" i="83"/>
  <c r="CT7" i="83"/>
  <c r="CT8" i="83"/>
  <c r="DW3" i="695"/>
  <c r="DC7" i="695"/>
  <c r="DC9" i="695"/>
  <c r="DC10" i="695"/>
  <c r="DC11" i="695"/>
  <c r="DC12" i="695"/>
  <c r="DC13" i="695"/>
  <c r="DC14" i="695"/>
  <c r="DC15" i="695"/>
  <c r="DC16" i="695"/>
  <c r="DC17" i="695"/>
  <c r="DC8" i="695"/>
  <c r="G96" i="694"/>
  <c r="CL28" i="695"/>
  <c r="CL30" i="695"/>
  <c r="CM29" i="83"/>
  <c r="CM31" i="83"/>
  <c r="G166" i="2"/>
  <c r="G81" i="2"/>
  <c r="G126" i="2"/>
  <c r="G204" i="2" s="1"/>
  <c r="DT3" i="695"/>
  <c r="CZ7" i="695"/>
  <c r="CZ9" i="695"/>
  <c r="CZ10" i="695"/>
  <c r="CZ11" i="695"/>
  <c r="CZ12" i="695"/>
  <c r="CZ13" i="695"/>
  <c r="CZ14" i="695"/>
  <c r="CZ15" i="695"/>
  <c r="CZ16" i="695"/>
  <c r="CZ17" i="695"/>
  <c r="CZ8" i="695"/>
  <c r="BV18" i="83"/>
  <c r="BV32" i="83" s="1"/>
  <c r="BV19" i="83"/>
  <c r="BV27" i="83" s="1"/>
  <c r="BV21" i="83"/>
  <c r="BV24" i="83" s="1"/>
  <c r="BV26" i="83" s="1"/>
  <c r="BV20" i="83"/>
  <c r="BV23" i="83" s="1"/>
  <c r="BV22" i="83"/>
  <c r="BZ28" i="695"/>
  <c r="BZ30" i="695"/>
  <c r="BV28" i="695"/>
  <c r="BV30" i="695"/>
  <c r="BT28" i="695"/>
  <c r="BT30" i="695"/>
  <c r="DL3" i="83"/>
  <c r="CR9" i="83"/>
  <c r="CR10" i="83"/>
  <c r="CR11" i="83"/>
  <c r="CR12" i="83"/>
  <c r="CR13" i="83"/>
  <c r="CR14" i="83"/>
  <c r="CR15" i="83"/>
  <c r="CR16" i="83"/>
  <c r="CR17" i="83"/>
  <c r="CR7" i="83"/>
  <c r="CR8" i="83"/>
  <c r="BG25" i="83"/>
  <c r="BG30" i="83"/>
  <c r="BG33" i="83"/>
  <c r="BN25" i="83"/>
  <c r="BN30" i="83"/>
  <c r="BN33" i="83"/>
  <c r="CE18" i="83"/>
  <c r="CE32" i="83" s="1"/>
  <c r="CE19" i="83"/>
  <c r="CE27" i="83" s="1"/>
  <c r="CE20" i="83"/>
  <c r="CE23" i="83" s="1"/>
  <c r="CE21" i="83"/>
  <c r="CE24" i="83" s="1"/>
  <c r="CE26" i="83" s="1"/>
  <c r="CE22" i="83"/>
  <c r="BW18" i="83"/>
  <c r="BW32" i="83" s="1"/>
  <c r="BW19" i="83"/>
  <c r="BW27" i="83" s="1"/>
  <c r="BW21" i="83"/>
  <c r="BW24" i="83" s="1"/>
  <c r="BW26" i="83" s="1"/>
  <c r="BW20" i="83"/>
  <c r="BW23" i="83" s="1"/>
  <c r="BW22" i="83"/>
  <c r="BT25" i="83"/>
  <c r="BT30" i="83"/>
  <c r="BT33" i="83"/>
  <c r="CJ18" i="83"/>
  <c r="CJ32" i="83" s="1"/>
  <c r="CJ20" i="83"/>
  <c r="CJ23" i="83" s="1"/>
  <c r="CJ19" i="83"/>
  <c r="CJ27" i="83" s="1"/>
  <c r="CJ21" i="83"/>
  <c r="CJ24" i="83" s="1"/>
  <c r="CJ26" i="83" s="1"/>
  <c r="CJ22" i="83"/>
  <c r="CC28" i="695"/>
  <c r="CC30" i="695"/>
  <c r="DY3" i="83"/>
  <c r="DE9" i="83"/>
  <c r="DE10" i="83"/>
  <c r="DE11" i="83"/>
  <c r="DE12" i="83"/>
  <c r="DE13" i="83"/>
  <c r="DE14" i="83"/>
  <c r="DE15" i="83"/>
  <c r="DE16" i="83"/>
  <c r="DE17" i="83"/>
  <c r="DE7" i="83"/>
  <c r="DE8" i="83"/>
  <c r="BX28" i="695"/>
  <c r="BX30" i="695"/>
  <c r="DZ3" i="695"/>
  <c r="DF7" i="695"/>
  <c r="DF9" i="695"/>
  <c r="DF10" i="695"/>
  <c r="DF11" i="695"/>
  <c r="DF12" i="695"/>
  <c r="DF13" i="695"/>
  <c r="DF14" i="695"/>
  <c r="DF15" i="695"/>
  <c r="DF16" i="695"/>
  <c r="DF17" i="695"/>
  <c r="DF8" i="695"/>
  <c r="H96" i="2"/>
  <c r="H141" i="2"/>
  <c r="H219" i="2" s="1"/>
  <c r="H180" i="2"/>
  <c r="I77" i="694"/>
  <c r="I76" i="694"/>
  <c r="I68" i="694"/>
  <c r="I58" i="694"/>
  <c r="I57" i="694"/>
  <c r="I56" i="694"/>
  <c r="I65" i="694" s="1"/>
  <c r="I55" i="694"/>
  <c r="I54" i="694"/>
  <c r="I74" i="694"/>
  <c r="I73" i="694"/>
  <c r="I72" i="694"/>
  <c r="I71" i="694"/>
  <c r="I70" i="694"/>
  <c r="I50" i="694"/>
  <c r="I49" i="694"/>
  <c r="I47" i="694"/>
  <c r="I44" i="694"/>
  <c r="I43" i="694"/>
  <c r="I42" i="694"/>
  <c r="I39" i="694"/>
  <c r="I38" i="694"/>
  <c r="I34" i="694"/>
  <c r="I35" i="694"/>
  <c r="I28" i="694"/>
  <c r="I26" i="694"/>
  <c r="I24" i="694"/>
  <c r="I21" i="694"/>
  <c r="I20" i="694"/>
  <c r="I17" i="694"/>
  <c r="I16" i="694"/>
  <c r="I15" i="694"/>
  <c r="J66" i="2"/>
  <c r="J65" i="2"/>
  <c r="J64" i="2"/>
  <c r="J63" i="2"/>
  <c r="J60" i="2"/>
  <c r="J59" i="2"/>
  <c r="J58" i="2"/>
  <c r="J57" i="2"/>
  <c r="J54" i="2"/>
  <c r="J53" i="2"/>
  <c r="J52" i="2"/>
  <c r="J51" i="2"/>
  <c r="J47" i="2"/>
  <c r="J46" i="2"/>
  <c r="J45" i="2"/>
  <c r="J44" i="2"/>
  <c r="J40" i="2"/>
  <c r="J39" i="2"/>
  <c r="J38" i="2"/>
  <c r="J36" i="2"/>
  <c r="J35" i="2"/>
  <c r="J33" i="2"/>
  <c r="J32" i="2"/>
  <c r="J31" i="2"/>
  <c r="J28" i="2"/>
  <c r="J26" i="2"/>
  <c r="J25" i="2"/>
  <c r="J22" i="2"/>
  <c r="J21" i="2"/>
  <c r="J20" i="2"/>
  <c r="J19" i="2"/>
  <c r="J17" i="2"/>
  <c r="J16" i="2"/>
  <c r="J15" i="2"/>
  <c r="C56" i="1646"/>
  <c r="H40" i="694"/>
  <c r="DG8" i="695"/>
  <c r="DG7" i="695"/>
  <c r="DI8" i="83"/>
  <c r="DI7" i="83"/>
  <c r="H125" i="694" l="1"/>
  <c r="H86" i="694"/>
  <c r="H90" i="694"/>
  <c r="H83" i="694"/>
  <c r="H84" i="694"/>
  <c r="H87" i="694"/>
  <c r="H177" i="694"/>
  <c r="H233" i="694" s="1"/>
  <c r="H96" i="694"/>
  <c r="H88" i="694"/>
  <c r="H82" i="694"/>
  <c r="G136" i="694"/>
  <c r="G95" i="694"/>
  <c r="H33" i="694"/>
  <c r="DI31" i="83"/>
  <c r="DG30" i="695"/>
  <c r="H199" i="694"/>
  <c r="H255" i="694" s="1"/>
  <c r="H143" i="694"/>
  <c r="J115" i="2"/>
  <c r="J193" i="2" s="1"/>
  <c r="J154" i="2"/>
  <c r="J71" i="2"/>
  <c r="J106" i="2"/>
  <c r="J116" i="2"/>
  <c r="J194" i="2" s="1"/>
  <c r="J155" i="2"/>
  <c r="J72" i="2"/>
  <c r="J117" i="2"/>
  <c r="J195" i="2" s="1"/>
  <c r="J156" i="2"/>
  <c r="J74" i="2"/>
  <c r="J119" i="2"/>
  <c r="J197" i="2" s="1"/>
  <c r="J158" i="2"/>
  <c r="J107" i="2"/>
  <c r="J108" i="2"/>
  <c r="J75" i="2"/>
  <c r="J120" i="2"/>
  <c r="J198" i="2" s="1"/>
  <c r="J159" i="2"/>
  <c r="J76" i="2"/>
  <c r="J121" i="2"/>
  <c r="J199" i="2" s="1"/>
  <c r="J160" i="2"/>
  <c r="J109" i="2"/>
  <c r="J110" i="2"/>
  <c r="J77" i="2"/>
  <c r="J122" i="2"/>
  <c r="J200" i="2" s="1"/>
  <c r="J161" i="2"/>
  <c r="J80" i="2"/>
  <c r="J125" i="2"/>
  <c r="J203" i="2" s="1"/>
  <c r="J164" i="2"/>
  <c r="J165" i="2"/>
  <c r="J82" i="2"/>
  <c r="J127" i="2"/>
  <c r="J205" i="2" s="1"/>
  <c r="J83" i="2"/>
  <c r="J128" i="2"/>
  <c r="J206" i="2" s="1"/>
  <c r="J167" i="2"/>
  <c r="J86" i="2"/>
  <c r="J131" i="2"/>
  <c r="J209" i="2" s="1"/>
  <c r="J170" i="2"/>
  <c r="J87" i="2"/>
  <c r="J132" i="2"/>
  <c r="J210" i="2" s="1"/>
  <c r="J171" i="2"/>
  <c r="J34" i="2"/>
  <c r="J88" i="2"/>
  <c r="J133" i="2"/>
  <c r="J211" i="2" s="1"/>
  <c r="J172" i="2"/>
  <c r="J90" i="2"/>
  <c r="J135" i="2"/>
  <c r="J213" i="2" s="1"/>
  <c r="J174" i="2"/>
  <c r="J37" i="2"/>
  <c r="J91" i="2"/>
  <c r="J136" i="2"/>
  <c r="J214" i="2" s="1"/>
  <c r="J175" i="2"/>
  <c r="J93" i="2"/>
  <c r="J138" i="2"/>
  <c r="J216" i="2" s="1"/>
  <c r="J177" i="2"/>
  <c r="J94" i="2"/>
  <c r="J139" i="2"/>
  <c r="J217" i="2" s="1"/>
  <c r="J178" i="2"/>
  <c r="J41" i="2"/>
  <c r="J95" i="2"/>
  <c r="J140" i="2"/>
  <c r="J218" i="2" s="1"/>
  <c r="J179" i="2"/>
  <c r="J48" i="2"/>
  <c r="J149" i="2"/>
  <c r="J227" i="2" s="1"/>
  <c r="J188" i="2"/>
  <c r="J99" i="2"/>
  <c r="J144" i="2"/>
  <c r="J222" i="2" s="1"/>
  <c r="J183" i="2"/>
  <c r="J100" i="2"/>
  <c r="J145" i="2"/>
  <c r="J223" i="2" s="1"/>
  <c r="J184" i="2"/>
  <c r="J101" i="2"/>
  <c r="J146" i="2"/>
  <c r="J224" i="2" s="1"/>
  <c r="J185" i="2"/>
  <c r="J102" i="2"/>
  <c r="J147" i="2"/>
  <c r="J225" i="2" s="1"/>
  <c r="J186" i="2"/>
  <c r="H161" i="694"/>
  <c r="H217" i="694"/>
  <c r="H273" i="694" s="1"/>
  <c r="BW25" i="83"/>
  <c r="BW30" i="83"/>
  <c r="BW33" i="83"/>
  <c r="EP3" i="83"/>
  <c r="DV9" i="83"/>
  <c r="DV10" i="83"/>
  <c r="DV11" i="83"/>
  <c r="DV12" i="83"/>
  <c r="DV13" i="83"/>
  <c r="DV14" i="83"/>
  <c r="DV15" i="83"/>
  <c r="DV16" i="83"/>
  <c r="DV17" i="83"/>
  <c r="DV7" i="83"/>
  <c r="DV8" i="83"/>
  <c r="EN3" i="695"/>
  <c r="DT7" i="695"/>
  <c r="DT9" i="695"/>
  <c r="DT10" i="695"/>
  <c r="DT11" i="695"/>
  <c r="DT12" i="695"/>
  <c r="DT13" i="695"/>
  <c r="DT14" i="695"/>
  <c r="DT15" i="695"/>
  <c r="DT16" i="695"/>
  <c r="DT17" i="695"/>
  <c r="DT8" i="695"/>
  <c r="H109" i="694"/>
  <c r="CJ25" i="83"/>
  <c r="CJ30" i="83"/>
  <c r="CJ33" i="83"/>
  <c r="BV25" i="83"/>
  <c r="BV30" i="83"/>
  <c r="BV33" i="83"/>
  <c r="DF20" i="695"/>
  <c r="DF18" i="695"/>
  <c r="DF31" i="695" s="1"/>
  <c r="DF21" i="695"/>
  <c r="DF22" i="695"/>
  <c r="DF19" i="695"/>
  <c r="DF27" i="695" s="1"/>
  <c r="DH29" i="83"/>
  <c r="DH31" i="83"/>
  <c r="H210" i="694"/>
  <c r="H266" i="694" s="1"/>
  <c r="H100" i="694"/>
  <c r="H30" i="694"/>
  <c r="BV25" i="695"/>
  <c r="BV29" i="695"/>
  <c r="BV32" i="695"/>
  <c r="CZ18" i="83"/>
  <c r="CZ32" i="83" s="1"/>
  <c r="CZ20" i="83"/>
  <c r="CZ23" i="83" s="1"/>
  <c r="CZ19" i="83"/>
  <c r="CZ27" i="83" s="1"/>
  <c r="CZ21" i="83"/>
  <c r="CZ24" i="83" s="1"/>
  <c r="CZ26" i="83" s="1"/>
  <c r="CZ22" i="83"/>
  <c r="CY20" i="695"/>
  <c r="CY18" i="695"/>
  <c r="CY31" i="695" s="1"/>
  <c r="CY21" i="695"/>
  <c r="CY19" i="695"/>
  <c r="CY27" i="695" s="1"/>
  <c r="CY22" i="695"/>
  <c r="CV24" i="695"/>
  <c r="CV26" i="695" s="1"/>
  <c r="CV23" i="695"/>
  <c r="CV28" i="695"/>
  <c r="CV30" i="695"/>
  <c r="CU29" i="83"/>
  <c r="CU31" i="83"/>
  <c r="CX18" i="83"/>
  <c r="CX32" i="83" s="1"/>
  <c r="CX20" i="83"/>
  <c r="CX23" i="83" s="1"/>
  <c r="CX19" i="83"/>
  <c r="CX27" i="83" s="1"/>
  <c r="CX21" i="83"/>
  <c r="CX24" i="83" s="1"/>
  <c r="CX26" i="83" s="1"/>
  <c r="CX22" i="83"/>
  <c r="CW18" i="83"/>
  <c r="CW32" i="83" s="1"/>
  <c r="CW20" i="83"/>
  <c r="CW23" i="83" s="1"/>
  <c r="CW19" i="83"/>
  <c r="CW27" i="83" s="1"/>
  <c r="CW21" i="83"/>
  <c r="CW24" i="83" s="1"/>
  <c r="CW26" i="83" s="1"/>
  <c r="CW22" i="83"/>
  <c r="DA18" i="83"/>
  <c r="DA32" i="83" s="1"/>
  <c r="DA21" i="83"/>
  <c r="DA24" i="83" s="1"/>
  <c r="DA26" i="83" s="1"/>
  <c r="DA20" i="83"/>
  <c r="DA23" i="83" s="1"/>
  <c r="DA19" i="83"/>
  <c r="DA27" i="83" s="1"/>
  <c r="DA22" i="83"/>
  <c r="DD18" i="83"/>
  <c r="DD32" i="83" s="1"/>
  <c r="DD19" i="83"/>
  <c r="DD27" i="83" s="1"/>
  <c r="DD21" i="83"/>
  <c r="DD24" i="83" s="1"/>
  <c r="DD26" i="83" s="1"/>
  <c r="DD20" i="83"/>
  <c r="DD23" i="83" s="1"/>
  <c r="DD22" i="83"/>
  <c r="CX24" i="695"/>
  <c r="CX26" i="695" s="1"/>
  <c r="CX23" i="695"/>
  <c r="CX28" i="695"/>
  <c r="CX30" i="695"/>
  <c r="CU21" i="695"/>
  <c r="CU19" i="695"/>
  <c r="CU27" i="695" s="1"/>
  <c r="CU18" i="695"/>
  <c r="CU31" i="695" s="1"/>
  <c r="CU22" i="695"/>
  <c r="CU20" i="695"/>
  <c r="EC3" i="83"/>
  <c r="DI9" i="83"/>
  <c r="DI29" i="83" s="1"/>
  <c r="DI10" i="83"/>
  <c r="DI11" i="83"/>
  <c r="DI20" i="83" s="1"/>
  <c r="DI24" i="83" s="1"/>
  <c r="DI26" i="83" s="1"/>
  <c r="DI12" i="83"/>
  <c r="DI13" i="83"/>
  <c r="DI14" i="83"/>
  <c r="DI15" i="83"/>
  <c r="DI16" i="83"/>
  <c r="DI17" i="83"/>
  <c r="EJ3" i="83"/>
  <c r="DP9" i="83"/>
  <c r="DP10" i="83"/>
  <c r="DP11" i="83"/>
  <c r="DP12" i="83"/>
  <c r="DP13" i="83"/>
  <c r="DP14" i="83"/>
  <c r="DP15" i="83"/>
  <c r="DP16" i="83"/>
  <c r="DP17" i="83"/>
  <c r="DP7" i="83"/>
  <c r="DP8" i="83"/>
  <c r="CP20" i="695"/>
  <c r="CP18" i="695"/>
  <c r="CP31" i="695" s="1"/>
  <c r="CP21" i="695"/>
  <c r="CP19" i="695"/>
  <c r="CP27" i="695" s="1"/>
  <c r="CP22" i="695"/>
  <c r="CT23" i="695"/>
  <c r="CT24" i="695"/>
  <c r="CT26" i="695" s="1"/>
  <c r="CT28" i="695"/>
  <c r="CT30" i="695"/>
  <c r="CM20" i="695"/>
  <c r="CM23" i="695"/>
  <c r="CR29" i="83"/>
  <c r="CR31" i="83"/>
  <c r="ES3" i="83"/>
  <c r="DY9" i="83"/>
  <c r="DY10" i="83"/>
  <c r="DY11" i="83"/>
  <c r="DY12" i="83"/>
  <c r="DY13" i="83"/>
  <c r="DY14" i="83"/>
  <c r="DY15" i="83"/>
  <c r="DY16" i="83"/>
  <c r="DY17" i="83"/>
  <c r="DY7" i="83"/>
  <c r="DY8" i="83"/>
  <c r="BY25" i="83"/>
  <c r="BY30" i="83"/>
  <c r="BY33" i="83"/>
  <c r="CZ29" i="83"/>
  <c r="CZ31" i="83"/>
  <c r="EJ3" i="695"/>
  <c r="DP7" i="695"/>
  <c r="DP9" i="695"/>
  <c r="DP10" i="695"/>
  <c r="DP11" i="695"/>
  <c r="DP12" i="695"/>
  <c r="DP13" i="695"/>
  <c r="DP14" i="695"/>
  <c r="DP15" i="695"/>
  <c r="DP16" i="695"/>
  <c r="DP17" i="695"/>
  <c r="DP8" i="695"/>
  <c r="CS23" i="695"/>
  <c r="CS24" i="695"/>
  <c r="CS26" i="695" s="1"/>
  <c r="CS28" i="695"/>
  <c r="CS30" i="695"/>
  <c r="CN25" i="83"/>
  <c r="CN30" i="83"/>
  <c r="CN33" i="83"/>
  <c r="EA3" i="695"/>
  <c r="DG9" i="695"/>
  <c r="DG20" i="695" s="1"/>
  <c r="DG23" i="695" s="1"/>
  <c r="DG10" i="695"/>
  <c r="DG11" i="695"/>
  <c r="DG12" i="695"/>
  <c r="DG22" i="695" s="1"/>
  <c r="DG13" i="695"/>
  <c r="DG14" i="695"/>
  <c r="DG15" i="695"/>
  <c r="DG16" i="695"/>
  <c r="DG17" i="695"/>
  <c r="CX29" i="83"/>
  <c r="CX31" i="83"/>
  <c r="EQ3" i="83"/>
  <c r="DW9" i="83"/>
  <c r="DW10" i="83"/>
  <c r="DW11" i="83"/>
  <c r="DW12" i="83"/>
  <c r="DW13" i="83"/>
  <c r="DW14" i="83"/>
  <c r="DW15" i="83"/>
  <c r="DW16" i="83"/>
  <c r="DW17" i="83"/>
  <c r="DW7" i="83"/>
  <c r="DW8" i="83"/>
  <c r="CW29" i="83"/>
  <c r="CW31" i="83"/>
  <c r="DA29" i="83"/>
  <c r="DA31" i="83"/>
  <c r="DD29" i="83"/>
  <c r="DD31" i="83"/>
  <c r="ED3" i="83"/>
  <c r="DJ9" i="83"/>
  <c r="DJ10" i="83"/>
  <c r="DJ11" i="83"/>
  <c r="DJ12" i="83"/>
  <c r="DJ13" i="83"/>
  <c r="DJ14" i="83"/>
  <c r="DJ15" i="83"/>
  <c r="DJ16" i="83"/>
  <c r="DJ17" i="83"/>
  <c r="DJ7" i="83"/>
  <c r="DJ8" i="83"/>
  <c r="CF25" i="83"/>
  <c r="CF30" i="83"/>
  <c r="CF33" i="83"/>
  <c r="CH25" i="695"/>
  <c r="CH29" i="695"/>
  <c r="CH32" i="695"/>
  <c r="CO24" i="695"/>
  <c r="CO26" i="695" s="1"/>
  <c r="CO23" i="695"/>
  <c r="CO28" i="695"/>
  <c r="CO30" i="695"/>
  <c r="EL3" i="695"/>
  <c r="DR7" i="695"/>
  <c r="DR9" i="695"/>
  <c r="DR10" i="695"/>
  <c r="DR11" i="695"/>
  <c r="DR12" i="695"/>
  <c r="DR13" i="695"/>
  <c r="DR14" i="695"/>
  <c r="DR15" i="695"/>
  <c r="DR16" i="695"/>
  <c r="DR17" i="695"/>
  <c r="DR8" i="695"/>
  <c r="BY29" i="695"/>
  <c r="BY25" i="695"/>
  <c r="BY32" i="695"/>
  <c r="EU3" i="83"/>
  <c r="EA9" i="83"/>
  <c r="EA10" i="83"/>
  <c r="EA11" i="83"/>
  <c r="EA12" i="83"/>
  <c r="EA13" i="83"/>
  <c r="EA14" i="83"/>
  <c r="EA15" i="83"/>
  <c r="EA16" i="83"/>
  <c r="EA17" i="83"/>
  <c r="EA7" i="83"/>
  <c r="EA8" i="83"/>
  <c r="CW18" i="695"/>
  <c r="CW31" i="695" s="1"/>
  <c r="CW21" i="695"/>
  <c r="CW19" i="695"/>
  <c r="CW27" i="695" s="1"/>
  <c r="CW20" i="695"/>
  <c r="CW22" i="695"/>
  <c r="CS18" i="83"/>
  <c r="CS32" i="83" s="1"/>
  <c r="CS21" i="83"/>
  <c r="CS24" i="83" s="1"/>
  <c r="CS26" i="83" s="1"/>
  <c r="CS19" i="83"/>
  <c r="CS27" i="83" s="1"/>
  <c r="CS20" i="83"/>
  <c r="CS23" i="83" s="1"/>
  <c r="CS22" i="83"/>
  <c r="EH3" i="695"/>
  <c r="DN7" i="695"/>
  <c r="DN9" i="695"/>
  <c r="DN10" i="695"/>
  <c r="DN11" i="695"/>
  <c r="DN12" i="695"/>
  <c r="DN13" i="695"/>
  <c r="DN14" i="695"/>
  <c r="DN15" i="695"/>
  <c r="DN16" i="695"/>
  <c r="DN17" i="695"/>
  <c r="DN8" i="695"/>
  <c r="H66" i="694"/>
  <c r="CM22" i="695"/>
  <c r="CO22" i="83"/>
  <c r="DC23" i="695"/>
  <c r="DC24" i="695"/>
  <c r="DC26" i="695" s="1"/>
  <c r="DC28" i="695"/>
  <c r="DC30" i="695"/>
  <c r="I81" i="2"/>
  <c r="I126" i="2"/>
  <c r="I204" i="2" s="1"/>
  <c r="I166" i="2"/>
  <c r="DA23" i="695"/>
  <c r="DA24" i="695"/>
  <c r="DA26" i="695" s="1"/>
  <c r="DA28" i="695"/>
  <c r="DA30" i="695"/>
  <c r="ET3" i="83"/>
  <c r="DZ9" i="83"/>
  <c r="DZ10" i="83"/>
  <c r="DZ11" i="83"/>
  <c r="DZ12" i="83"/>
  <c r="DZ13" i="83"/>
  <c r="DZ14" i="83"/>
  <c r="DZ15" i="83"/>
  <c r="DZ16" i="83"/>
  <c r="DZ17" i="83"/>
  <c r="DZ7" i="83"/>
  <c r="DZ8" i="83"/>
  <c r="DF24" i="695"/>
  <c r="DF26" i="695" s="1"/>
  <c r="DF23" i="695"/>
  <c r="DF28" i="695"/>
  <c r="DF30" i="695"/>
  <c r="EQ3" i="695"/>
  <c r="DW7" i="695"/>
  <c r="DW9" i="695"/>
  <c r="DW10" i="695"/>
  <c r="DW11" i="695"/>
  <c r="DW12" i="695"/>
  <c r="DW13" i="695"/>
  <c r="DW14" i="695"/>
  <c r="DW15" i="695"/>
  <c r="DW16" i="695"/>
  <c r="DW17" i="695"/>
  <c r="DW8" i="695"/>
  <c r="EV3" i="83"/>
  <c r="EB9" i="83"/>
  <c r="EB10" i="83"/>
  <c r="EB11" i="83"/>
  <c r="EB12" i="83"/>
  <c r="EB13" i="83"/>
  <c r="EB14" i="83"/>
  <c r="EB15" i="83"/>
  <c r="EB16" i="83"/>
  <c r="EB17" i="83"/>
  <c r="EB7" i="83"/>
  <c r="EB8" i="83"/>
  <c r="I78" i="2"/>
  <c r="I123" i="2"/>
  <c r="I201" i="2" s="1"/>
  <c r="I162" i="2"/>
  <c r="CA25" i="695"/>
  <c r="CA29" i="695"/>
  <c r="CA32" i="695"/>
  <c r="H105" i="694"/>
  <c r="H106" i="694"/>
  <c r="CM25" i="83"/>
  <c r="CM30" i="83"/>
  <c r="CM33" i="83"/>
  <c r="EO3" i="695"/>
  <c r="DU7" i="695"/>
  <c r="DU9" i="695"/>
  <c r="DU10" i="695"/>
  <c r="DU11" i="695"/>
  <c r="DU12" i="695"/>
  <c r="DU13" i="695"/>
  <c r="DU14" i="695"/>
  <c r="DU15" i="695"/>
  <c r="DU16" i="695"/>
  <c r="DU17" i="695"/>
  <c r="DU8" i="695"/>
  <c r="DB18" i="83"/>
  <c r="DB32" i="83" s="1"/>
  <c r="DB19" i="83"/>
  <c r="DB27" i="83" s="1"/>
  <c r="DB21" i="83"/>
  <c r="DB24" i="83" s="1"/>
  <c r="DB26" i="83" s="1"/>
  <c r="DB20" i="83"/>
  <c r="DB23" i="83" s="1"/>
  <c r="DB22" i="83"/>
  <c r="CL25" i="695"/>
  <c r="CL29" i="695"/>
  <c r="CL32" i="695"/>
  <c r="CY23" i="695"/>
  <c r="CY24" i="695"/>
  <c r="CY26" i="695" s="1"/>
  <c r="CY28" i="695"/>
  <c r="CY30" i="695"/>
  <c r="DE18" i="695"/>
  <c r="DE31" i="695" s="1"/>
  <c r="DE21" i="695"/>
  <c r="DE19" i="695"/>
  <c r="DE27" i="695" s="1"/>
  <c r="DE20" i="695"/>
  <c r="DE22" i="695"/>
  <c r="EG3" i="695"/>
  <c r="DM7" i="695"/>
  <c r="DM9" i="695"/>
  <c r="DM10" i="695"/>
  <c r="DM11" i="695"/>
  <c r="DM12" i="695"/>
  <c r="DM13" i="695"/>
  <c r="DM14" i="695"/>
  <c r="DM15" i="695"/>
  <c r="DM16" i="695"/>
  <c r="DM17" i="695"/>
  <c r="DM8" i="695"/>
  <c r="EI3" i="83"/>
  <c r="DO9" i="83"/>
  <c r="DO10" i="83"/>
  <c r="DO11" i="83"/>
  <c r="DO12" i="83"/>
  <c r="DO13" i="83"/>
  <c r="DO14" i="83"/>
  <c r="DO15" i="83"/>
  <c r="DO16" i="83"/>
  <c r="DO17" i="83"/>
  <c r="DO7" i="83"/>
  <c r="DO8" i="83"/>
  <c r="CI25" i="695"/>
  <c r="CI29" i="695"/>
  <c r="CI32" i="695"/>
  <c r="CQ20" i="695"/>
  <c r="CQ18" i="695"/>
  <c r="CQ31" i="695" s="1"/>
  <c r="CQ21" i="695"/>
  <c r="CQ19" i="695"/>
  <c r="CQ27" i="695" s="1"/>
  <c r="CQ22" i="695"/>
  <c r="CY18" i="83"/>
  <c r="CY32" i="83" s="1"/>
  <c r="CY20" i="83"/>
  <c r="CY23" i="83" s="1"/>
  <c r="CY19" i="83"/>
  <c r="CY27" i="83" s="1"/>
  <c r="CY21" i="83"/>
  <c r="CY24" i="83" s="1"/>
  <c r="CY26" i="83" s="1"/>
  <c r="CY22" i="83"/>
  <c r="EC3" i="695"/>
  <c r="DI7" i="695"/>
  <c r="DI9" i="695"/>
  <c r="DI10" i="695"/>
  <c r="DI11" i="695"/>
  <c r="DI12" i="695"/>
  <c r="DI13" i="695"/>
  <c r="DI14" i="695"/>
  <c r="DI15" i="695"/>
  <c r="DI16" i="695"/>
  <c r="DI17" i="695"/>
  <c r="DI8" i="695"/>
  <c r="CU23" i="695"/>
  <c r="CU24" i="695"/>
  <c r="CU26" i="695" s="1"/>
  <c r="CU28" i="695"/>
  <c r="CU30" i="695"/>
  <c r="CS29" i="83"/>
  <c r="CS31" i="83"/>
  <c r="CI25" i="83"/>
  <c r="CI30" i="83"/>
  <c r="CI33" i="83"/>
  <c r="CP24" i="695"/>
  <c r="CP26" i="695" s="1"/>
  <c r="CP23" i="695"/>
  <c r="CP28" i="695"/>
  <c r="CP30" i="695"/>
  <c r="CC25" i="83"/>
  <c r="CC30" i="83"/>
  <c r="CC33" i="83"/>
  <c r="H61" i="694"/>
  <c r="CM18" i="695"/>
  <c r="CM31" i="695" s="1"/>
  <c r="CO21" i="83"/>
  <c r="CO24" i="83" s="1"/>
  <c r="CO26" i="83" s="1"/>
  <c r="CZ23" i="695"/>
  <c r="CZ24" i="695"/>
  <c r="CZ26" i="695" s="1"/>
  <c r="CZ28" i="695"/>
  <c r="CZ30" i="695"/>
  <c r="DE18" i="83"/>
  <c r="DE32" i="83" s="1"/>
  <c r="DE20" i="83"/>
  <c r="DE23" i="83" s="1"/>
  <c r="DE19" i="83"/>
  <c r="DE27" i="83" s="1"/>
  <c r="DE21" i="83"/>
  <c r="DE24" i="83" s="1"/>
  <c r="DE26" i="83" s="1"/>
  <c r="DE22" i="83"/>
  <c r="ET3" i="695"/>
  <c r="DZ7" i="695"/>
  <c r="DZ9" i="695"/>
  <c r="DZ10" i="695"/>
  <c r="DZ11" i="695"/>
  <c r="DZ12" i="695"/>
  <c r="DZ13" i="695"/>
  <c r="DZ14" i="695"/>
  <c r="DZ15" i="695"/>
  <c r="DZ16" i="695"/>
  <c r="DZ17" i="695"/>
  <c r="DZ8" i="695"/>
  <c r="CE25" i="83"/>
  <c r="CE30" i="83"/>
  <c r="CE33" i="83"/>
  <c r="CZ20" i="695"/>
  <c r="CZ18" i="695"/>
  <c r="CZ31" i="695" s="1"/>
  <c r="CZ19" i="695"/>
  <c r="CZ27" i="695" s="1"/>
  <c r="CZ21" i="695"/>
  <c r="CZ22" i="695"/>
  <c r="CT18" i="83"/>
  <c r="CT32" i="83" s="1"/>
  <c r="CT19" i="83"/>
  <c r="CT27" i="83" s="1"/>
  <c r="CT20" i="83"/>
  <c r="CT23" i="83" s="1"/>
  <c r="CT21" i="83"/>
  <c r="CT24" i="83" s="1"/>
  <c r="CT26" i="83" s="1"/>
  <c r="CT22" i="83"/>
  <c r="DB29" i="83"/>
  <c r="DB31" i="83"/>
  <c r="EN3" i="83"/>
  <c r="DT9" i="83"/>
  <c r="DT10" i="83"/>
  <c r="DT11" i="83"/>
  <c r="DT12" i="83"/>
  <c r="DT13" i="83"/>
  <c r="DT14" i="83"/>
  <c r="DT15" i="83"/>
  <c r="DT16" i="83"/>
  <c r="DT17" i="83"/>
  <c r="DT7" i="83"/>
  <c r="DT8" i="83"/>
  <c r="EM3" i="695"/>
  <c r="DS7" i="695"/>
  <c r="DS9" i="695"/>
  <c r="DS10" i="695"/>
  <c r="DS11" i="695"/>
  <c r="DS12" i="695"/>
  <c r="DS13" i="695"/>
  <c r="DS14" i="695"/>
  <c r="DS15" i="695"/>
  <c r="DS16" i="695"/>
  <c r="DS17" i="695"/>
  <c r="DS8" i="695"/>
  <c r="BX25" i="83"/>
  <c r="BX30" i="83"/>
  <c r="BX33" i="83"/>
  <c r="B57" i="1646"/>
  <c r="BZ25" i="83"/>
  <c r="BZ30" i="83"/>
  <c r="BZ33" i="83"/>
  <c r="EL3" i="83"/>
  <c r="DR9" i="83"/>
  <c r="DR10" i="83"/>
  <c r="DR11" i="83"/>
  <c r="DR12" i="83"/>
  <c r="DR13" i="83"/>
  <c r="DR14" i="83"/>
  <c r="DR15" i="83"/>
  <c r="DR16" i="83"/>
  <c r="DR17" i="83"/>
  <c r="DR7" i="83"/>
  <c r="DR8" i="83"/>
  <c r="EK3" i="83"/>
  <c r="DQ9" i="83"/>
  <c r="DQ10" i="83"/>
  <c r="DQ11" i="83"/>
  <c r="DQ12" i="83"/>
  <c r="DQ13" i="83"/>
  <c r="DQ14" i="83"/>
  <c r="DQ15" i="83"/>
  <c r="DQ16" i="83"/>
  <c r="DQ17" i="83"/>
  <c r="DQ7" i="83"/>
  <c r="DQ8" i="83"/>
  <c r="EO3" i="83"/>
  <c r="DU9" i="83"/>
  <c r="DU10" i="83"/>
  <c r="DU11" i="83"/>
  <c r="DU12" i="83"/>
  <c r="DU13" i="83"/>
  <c r="DU14" i="83"/>
  <c r="DU15" i="83"/>
  <c r="DU16" i="83"/>
  <c r="DU17" i="83"/>
  <c r="DU7" i="83"/>
  <c r="DU8" i="83"/>
  <c r="ER3" i="83"/>
  <c r="DX9" i="83"/>
  <c r="DX10" i="83"/>
  <c r="DX11" i="83"/>
  <c r="DX12" i="83"/>
  <c r="DX13" i="83"/>
  <c r="DX14" i="83"/>
  <c r="DX15" i="83"/>
  <c r="DX16" i="83"/>
  <c r="DX17" i="83"/>
  <c r="DX7" i="83"/>
  <c r="DX8" i="83"/>
  <c r="CY29" i="83"/>
  <c r="CY31" i="83"/>
  <c r="W12" i="27" a="1"/>
  <c r="W12" i="27" s="1"/>
  <c r="X13" i="27"/>
  <c r="CE25" i="695"/>
  <c r="CE29" i="695"/>
  <c r="CE32" i="695"/>
  <c r="EI3" i="695"/>
  <c r="DO7" i="695"/>
  <c r="DO9" i="695"/>
  <c r="DO10" i="695"/>
  <c r="DO11" i="695"/>
  <c r="DO12" i="695"/>
  <c r="DO13" i="695"/>
  <c r="DO14" i="695"/>
  <c r="DO15" i="695"/>
  <c r="DO16" i="695"/>
  <c r="DO17" i="695"/>
  <c r="DO8" i="695"/>
  <c r="CR20" i="695"/>
  <c r="CR18" i="695"/>
  <c r="CR31" i="695" s="1"/>
  <c r="CR19" i="695"/>
  <c r="CR27" i="695" s="1"/>
  <c r="CR21" i="695"/>
  <c r="CR22" i="695"/>
  <c r="CW24" i="695"/>
  <c r="CW26" i="695" s="1"/>
  <c r="CW23" i="695"/>
  <c r="CW28" i="695"/>
  <c r="CW30" i="695"/>
  <c r="ED3" i="695"/>
  <c r="DJ7" i="695"/>
  <c r="DJ9" i="695"/>
  <c r="DJ10" i="695"/>
  <c r="DJ11" i="695"/>
  <c r="DJ12" i="695"/>
  <c r="DJ13" i="695"/>
  <c r="DJ14" i="695"/>
  <c r="DJ15" i="695"/>
  <c r="DJ16" i="695"/>
  <c r="DJ17" i="695"/>
  <c r="DJ8" i="695"/>
  <c r="CJ25" i="695"/>
  <c r="CJ29" i="695"/>
  <c r="CJ32" i="695"/>
  <c r="G132" i="694"/>
  <c r="G91" i="694"/>
  <c r="G188" i="694"/>
  <c r="G244" i="694" s="1"/>
  <c r="CM19" i="695"/>
  <c r="CM27" i="695" s="1"/>
  <c r="CO19" i="83"/>
  <c r="CO27" i="83" s="1"/>
  <c r="CR18" i="83"/>
  <c r="CR32" i="83" s="1"/>
  <c r="CR20" i="83"/>
  <c r="CR23" i="83" s="1"/>
  <c r="CR19" i="83"/>
  <c r="CR27" i="83" s="1"/>
  <c r="CR21" i="83"/>
  <c r="CR24" i="83" s="1"/>
  <c r="CR26" i="83" s="1"/>
  <c r="CR22" i="83"/>
  <c r="CT29" i="83"/>
  <c r="CT31" i="83"/>
  <c r="H154" i="694"/>
  <c r="H107" i="694"/>
  <c r="H108" i="694"/>
  <c r="BT25" i="695"/>
  <c r="BT29" i="695"/>
  <c r="BT32" i="695"/>
  <c r="BZ25" i="695"/>
  <c r="BZ29" i="695"/>
  <c r="BZ32" i="695"/>
  <c r="DB19" i="695"/>
  <c r="DB27" i="695" s="1"/>
  <c r="DB20" i="695"/>
  <c r="DB18" i="695"/>
  <c r="DB31" i="695" s="1"/>
  <c r="DB21" i="695"/>
  <c r="DB22" i="695"/>
  <c r="DE24" i="695"/>
  <c r="DE26" i="695" s="1"/>
  <c r="DE23" i="695"/>
  <c r="DE28" i="695"/>
  <c r="DE30" i="695"/>
  <c r="CF25" i="695"/>
  <c r="CF29" i="695"/>
  <c r="CF32" i="695"/>
  <c r="CQ23" i="695"/>
  <c r="CQ24" i="695"/>
  <c r="CQ26" i="695" s="1"/>
  <c r="CQ28" i="695"/>
  <c r="CQ30" i="695"/>
  <c r="DD18" i="695"/>
  <c r="DD31" i="695" s="1"/>
  <c r="DD21" i="695"/>
  <c r="DD19" i="695"/>
  <c r="DD27" i="695" s="1"/>
  <c r="DD20" i="695"/>
  <c r="DD22" i="695"/>
  <c r="CG25" i="695"/>
  <c r="CG29" i="695"/>
  <c r="CG32" i="695"/>
  <c r="CQ18" i="83"/>
  <c r="CQ32" i="83" s="1"/>
  <c r="CQ20" i="83"/>
  <c r="CQ23" i="83" s="1"/>
  <c r="CQ19" i="83"/>
  <c r="CQ27" i="83" s="1"/>
  <c r="CQ21" i="83"/>
  <c r="CQ24" i="83" s="1"/>
  <c r="CQ26" i="83" s="1"/>
  <c r="CQ22" i="83"/>
  <c r="CA25" i="83"/>
  <c r="CA30" i="83"/>
  <c r="CA33" i="83"/>
  <c r="EK3" i="695"/>
  <c r="DQ7" i="695"/>
  <c r="DQ9" i="695"/>
  <c r="DQ10" i="695"/>
  <c r="DQ11" i="695"/>
  <c r="DQ12" i="695"/>
  <c r="DQ13" i="695"/>
  <c r="DQ14" i="695"/>
  <c r="DQ15" i="695"/>
  <c r="DQ16" i="695"/>
  <c r="DQ17" i="695"/>
  <c r="DQ8" i="695"/>
  <c r="EG3" i="83"/>
  <c r="DM9" i="83"/>
  <c r="DM10" i="83"/>
  <c r="DM11" i="83"/>
  <c r="DM12" i="83"/>
  <c r="DM13" i="83"/>
  <c r="DM14" i="83"/>
  <c r="DM15" i="83"/>
  <c r="DM16" i="83"/>
  <c r="DM17" i="83"/>
  <c r="DM7" i="83"/>
  <c r="DM8" i="83"/>
  <c r="CD25" i="83"/>
  <c r="CD30" i="83"/>
  <c r="CD33" i="83"/>
  <c r="K10" i="2"/>
  <c r="K9" i="2"/>
  <c r="L8" i="2"/>
  <c r="CN18" i="695"/>
  <c r="CN31" i="695" s="1"/>
  <c r="CN21" i="695"/>
  <c r="CN19" i="695"/>
  <c r="CN27" i="695" s="1"/>
  <c r="CN20" i="695"/>
  <c r="CN22" i="695"/>
  <c r="I96" i="2"/>
  <c r="I141" i="2"/>
  <c r="I219" i="2" s="1"/>
  <c r="I180" i="2"/>
  <c r="CM21" i="695"/>
  <c r="CO20" i="83"/>
  <c r="CO23" i="83" s="1"/>
  <c r="CK25" i="83"/>
  <c r="CK30" i="83"/>
  <c r="CK33" i="83"/>
  <c r="ES3" i="695"/>
  <c r="DY7" i="695"/>
  <c r="DY9" i="695"/>
  <c r="DY10" i="695"/>
  <c r="DY11" i="695"/>
  <c r="DY12" i="695"/>
  <c r="DY13" i="695"/>
  <c r="DY14" i="695"/>
  <c r="DY15" i="695"/>
  <c r="DY16" i="695"/>
  <c r="DY17" i="695"/>
  <c r="DY8" i="695"/>
  <c r="EE3" i="695"/>
  <c r="DK7" i="695"/>
  <c r="DK9" i="695"/>
  <c r="DK10" i="695"/>
  <c r="DK11" i="695"/>
  <c r="DK12" i="695"/>
  <c r="DK13" i="695"/>
  <c r="DK14" i="695"/>
  <c r="DK15" i="695"/>
  <c r="DK16" i="695"/>
  <c r="DK17" i="695"/>
  <c r="DK8" i="695"/>
  <c r="CQ29" i="83"/>
  <c r="CQ31" i="83"/>
  <c r="EM3" i="83"/>
  <c r="DS9" i="83"/>
  <c r="DS10" i="83"/>
  <c r="DS11" i="83"/>
  <c r="DS12" i="83"/>
  <c r="DS13" i="83"/>
  <c r="DS14" i="83"/>
  <c r="DS15" i="83"/>
  <c r="DS16" i="83"/>
  <c r="DS17" i="83"/>
  <c r="DS7" i="83"/>
  <c r="DS8" i="83"/>
  <c r="CK25" i="695"/>
  <c r="CK29" i="695"/>
  <c r="CK32" i="695"/>
  <c r="CB25" i="695"/>
  <c r="CB29" i="695"/>
  <c r="CB32" i="695"/>
  <c r="CR23" i="695"/>
  <c r="CR24" i="695"/>
  <c r="CR26" i="695" s="1"/>
  <c r="CR28" i="695"/>
  <c r="CR30" i="695"/>
  <c r="CV18" i="83"/>
  <c r="CV32" i="83" s="1"/>
  <c r="CV19" i="83"/>
  <c r="CV27" i="83" s="1"/>
  <c r="CV20" i="83"/>
  <c r="CV23" i="83" s="1"/>
  <c r="CV21" i="83"/>
  <c r="CV24" i="83" s="1"/>
  <c r="CV26" i="83" s="1"/>
  <c r="CV22" i="83"/>
  <c r="H62" i="694"/>
  <c r="I18" i="694"/>
  <c r="I97" i="694" s="1"/>
  <c r="I22" i="694"/>
  <c r="I181" i="694" s="1"/>
  <c r="I237" i="694" s="1"/>
  <c r="I25" i="694"/>
  <c r="I53" i="694"/>
  <c r="I108" i="694" s="1"/>
  <c r="I101" i="694"/>
  <c r="I113" i="694"/>
  <c r="I119" i="694"/>
  <c r="I121" i="694"/>
  <c r="I124" i="694"/>
  <c r="I127" i="694"/>
  <c r="I129" i="694"/>
  <c r="I138" i="694"/>
  <c r="I142" i="694"/>
  <c r="I145" i="694"/>
  <c r="I147" i="694"/>
  <c r="I150" i="694"/>
  <c r="I152" i="694"/>
  <c r="I155" i="694"/>
  <c r="I157" i="694"/>
  <c r="I159" i="694"/>
  <c r="I167" i="694"/>
  <c r="I169" i="694"/>
  <c r="I175" i="694"/>
  <c r="I231" i="694" s="1"/>
  <c r="I177" i="694"/>
  <c r="I233" i="694" s="1"/>
  <c r="I180" i="694"/>
  <c r="I236" i="694" s="1"/>
  <c r="I183" i="694"/>
  <c r="I239" i="694" s="1"/>
  <c r="I185" i="694"/>
  <c r="I241" i="694" s="1"/>
  <c r="I194" i="694"/>
  <c r="I250" i="694" s="1"/>
  <c r="I198" i="694"/>
  <c r="I254" i="694" s="1"/>
  <c r="I201" i="694"/>
  <c r="I257" i="694" s="1"/>
  <c r="I203" i="694"/>
  <c r="I259" i="694" s="1"/>
  <c r="I206" i="694"/>
  <c r="I262" i="694" s="1"/>
  <c r="I208" i="694"/>
  <c r="I264" i="694" s="1"/>
  <c r="I211" i="694"/>
  <c r="I267" i="694" s="1"/>
  <c r="I213" i="694"/>
  <c r="I269" i="694" s="1"/>
  <c r="I215" i="694"/>
  <c r="I271" i="694" s="1"/>
  <c r="I223" i="694"/>
  <c r="I279" i="694" s="1"/>
  <c r="I225" i="694"/>
  <c r="I281" i="694" s="1"/>
  <c r="I112" i="694"/>
  <c r="I83" i="694"/>
  <c r="I90" i="694"/>
  <c r="I102" i="694"/>
  <c r="I114" i="694"/>
  <c r="I120" i="694"/>
  <c r="I123" i="694"/>
  <c r="I131" i="694"/>
  <c r="I137" i="694"/>
  <c r="I141" i="694"/>
  <c r="I146" i="694"/>
  <c r="I156" i="694"/>
  <c r="I158" i="694"/>
  <c r="I166" i="694"/>
  <c r="I168" i="694"/>
  <c r="I170" i="694"/>
  <c r="I176" i="694"/>
  <c r="I232" i="694" s="1"/>
  <c r="I179" i="694"/>
  <c r="I235" i="694" s="1"/>
  <c r="I187" i="694"/>
  <c r="I243" i="694" s="1"/>
  <c r="I193" i="694"/>
  <c r="I249" i="694" s="1"/>
  <c r="I197" i="694"/>
  <c r="I253" i="694" s="1"/>
  <c r="I202" i="694"/>
  <c r="I258" i="694" s="1"/>
  <c r="I212" i="694"/>
  <c r="I268" i="694" s="1"/>
  <c r="I214" i="694"/>
  <c r="I270" i="694" s="1"/>
  <c r="I222" i="694"/>
  <c r="I278" i="694" s="1"/>
  <c r="I224" i="694"/>
  <c r="I280" i="694" s="1"/>
  <c r="I226" i="694"/>
  <c r="I282" i="694" s="1"/>
  <c r="I89" i="2"/>
  <c r="I134" i="2"/>
  <c r="I212" i="2" s="1"/>
  <c r="I173" i="2"/>
  <c r="CO18" i="83"/>
  <c r="CO32" i="83" s="1"/>
  <c r="BX25" i="695"/>
  <c r="BX29" i="695"/>
  <c r="BX32" i="695"/>
  <c r="CC25" i="695"/>
  <c r="CC29" i="695"/>
  <c r="CC32" i="695"/>
  <c r="CB25" i="83"/>
  <c r="CB30" i="83"/>
  <c r="CB33" i="83"/>
  <c r="DF18" i="83"/>
  <c r="DF32" i="83" s="1"/>
  <c r="DF20" i="83"/>
  <c r="DF23" i="83" s="1"/>
  <c r="DF19" i="83"/>
  <c r="DF27" i="83" s="1"/>
  <c r="DF21" i="83"/>
  <c r="DF24" i="83" s="1"/>
  <c r="DF26" i="83" s="1"/>
  <c r="DF22" i="83"/>
  <c r="DB23" i="695"/>
  <c r="DB24" i="695"/>
  <c r="DB26" i="695" s="1"/>
  <c r="DB28" i="695"/>
  <c r="DB30" i="695"/>
  <c r="CV18" i="695"/>
  <c r="CV31" i="695" s="1"/>
  <c r="CV21" i="695"/>
  <c r="CV19" i="695"/>
  <c r="CV27" i="695" s="1"/>
  <c r="CV20" i="695"/>
  <c r="CV22" i="695"/>
  <c r="DC18" i="83"/>
  <c r="DC32" i="83" s="1"/>
  <c r="DC19" i="83"/>
  <c r="DC27" i="83" s="1"/>
  <c r="DC21" i="83"/>
  <c r="DC24" i="83" s="1"/>
  <c r="DC26" i="83" s="1"/>
  <c r="DC20" i="83"/>
  <c r="DC23" i="83" s="1"/>
  <c r="DC22" i="83"/>
  <c r="DD24" i="695"/>
  <c r="DD26" i="695" s="1"/>
  <c r="DD23" i="695"/>
  <c r="DD28" i="695"/>
  <c r="DD30" i="695"/>
  <c r="CH25" i="83"/>
  <c r="CH30" i="83"/>
  <c r="CH33" i="83"/>
  <c r="CP18" i="83"/>
  <c r="CP32" i="83" s="1"/>
  <c r="CP20" i="83"/>
  <c r="CP23" i="83" s="1"/>
  <c r="CP19" i="83"/>
  <c r="CP27" i="83" s="1"/>
  <c r="CP21" i="83"/>
  <c r="CP24" i="83" s="1"/>
  <c r="CP26" i="83" s="1"/>
  <c r="CP22" i="83"/>
  <c r="CX20" i="695"/>
  <c r="CX18" i="695"/>
  <c r="CX31" i="695" s="1"/>
  <c r="CX21" i="695"/>
  <c r="CX22" i="695"/>
  <c r="CX19" i="695"/>
  <c r="CX27" i="695" s="1"/>
  <c r="DG18" i="83"/>
  <c r="DG32" i="83" s="1"/>
  <c r="DG20" i="83"/>
  <c r="DG23" i="83" s="1"/>
  <c r="DG19" i="83"/>
  <c r="DG27" i="83" s="1"/>
  <c r="DG22" i="83"/>
  <c r="DG21" i="83"/>
  <c r="DG24" i="83" s="1"/>
  <c r="DG26" i="83" s="1"/>
  <c r="EF3" i="695"/>
  <c r="DL7" i="695"/>
  <c r="DL9" i="695"/>
  <c r="DL10" i="695"/>
  <c r="DL11" i="695"/>
  <c r="DL12" i="695"/>
  <c r="DL13" i="695"/>
  <c r="DL14" i="695"/>
  <c r="DL15" i="695"/>
  <c r="DL16" i="695"/>
  <c r="DL17" i="695"/>
  <c r="DL8" i="695"/>
  <c r="CV29" i="83"/>
  <c r="CV31" i="83"/>
  <c r="BW25" i="695"/>
  <c r="BW29" i="695"/>
  <c r="BW32" i="695"/>
  <c r="J23" i="2"/>
  <c r="J27" i="2"/>
  <c r="CN24" i="695"/>
  <c r="CN26" i="695" s="1"/>
  <c r="CN23" i="695"/>
  <c r="CN28" i="695"/>
  <c r="CN30" i="695"/>
  <c r="CT19" i="695"/>
  <c r="CT27" i="695" s="1"/>
  <c r="CT20" i="695"/>
  <c r="CT18" i="695"/>
  <c r="CT31" i="695" s="1"/>
  <c r="CT21" i="695"/>
  <c r="CT22" i="695"/>
  <c r="I45" i="694"/>
  <c r="I204" i="694" s="1"/>
  <c r="I260" i="694" s="1"/>
  <c r="I48" i="694"/>
  <c r="I207" i="694" s="1"/>
  <c r="I263" i="694" s="1"/>
  <c r="I63" i="694"/>
  <c r="I164" i="694" s="1"/>
  <c r="I64" i="694"/>
  <c r="I92" i="2"/>
  <c r="I137" i="2"/>
  <c r="I215" i="2" s="1"/>
  <c r="I176" i="2"/>
  <c r="EH3" i="83"/>
  <c r="DN9" i="83"/>
  <c r="DN10" i="83"/>
  <c r="DN11" i="83"/>
  <c r="DN12" i="83"/>
  <c r="DN13" i="83"/>
  <c r="DN14" i="83"/>
  <c r="DN15" i="83"/>
  <c r="DN16" i="83"/>
  <c r="DN17" i="83"/>
  <c r="DN7" i="83"/>
  <c r="DN8" i="83"/>
  <c r="BU25" i="695"/>
  <c r="BU29" i="695"/>
  <c r="BU32" i="695"/>
  <c r="DE29" i="83"/>
  <c r="DE31" i="83"/>
  <c r="EF3" i="83"/>
  <c r="DL9" i="83"/>
  <c r="DL10" i="83"/>
  <c r="DL11" i="83"/>
  <c r="DL12" i="83"/>
  <c r="DL13" i="83"/>
  <c r="DL14" i="83"/>
  <c r="DL15" i="83"/>
  <c r="DL16" i="83"/>
  <c r="DL17" i="83"/>
  <c r="DL7" i="83"/>
  <c r="DL8" i="83"/>
  <c r="DC21" i="695"/>
  <c r="DC19" i="695"/>
  <c r="DC27" i="695" s="1"/>
  <c r="DC18" i="695"/>
  <c r="DC31" i="695" s="1"/>
  <c r="DC22" i="695"/>
  <c r="DC20" i="695"/>
  <c r="DH18" i="83"/>
  <c r="DH32" i="83" s="1"/>
  <c r="DH20" i="83"/>
  <c r="DH23" i="83" s="1"/>
  <c r="DH19" i="83"/>
  <c r="DH27" i="83" s="1"/>
  <c r="DH21" i="83"/>
  <c r="DH24" i="83" s="1"/>
  <c r="DH26" i="83" s="1"/>
  <c r="DH22" i="83"/>
  <c r="CD25" i="695"/>
  <c r="CD29" i="695"/>
  <c r="CD32" i="695"/>
  <c r="DA19" i="695"/>
  <c r="DA27" i="695" s="1"/>
  <c r="DA20" i="695"/>
  <c r="DA21" i="695"/>
  <c r="DA18" i="695"/>
  <c r="DA31" i="695" s="1"/>
  <c r="DA22" i="695"/>
  <c r="DF29" i="83"/>
  <c r="DF31" i="83"/>
  <c r="EP3" i="695"/>
  <c r="DV7" i="695"/>
  <c r="DV9" i="695"/>
  <c r="DV10" i="695"/>
  <c r="DV11" i="695"/>
  <c r="DV12" i="695"/>
  <c r="DV13" i="695"/>
  <c r="DV14" i="695"/>
  <c r="DV15" i="695"/>
  <c r="DV16" i="695"/>
  <c r="DV17" i="695"/>
  <c r="DV8" i="695"/>
  <c r="CS19" i="695"/>
  <c r="CS27" i="695" s="1"/>
  <c r="CS20" i="695"/>
  <c r="CS21" i="695"/>
  <c r="CS18" i="695"/>
  <c r="CS31" i="695" s="1"/>
  <c r="CS22" i="695"/>
  <c r="CU18" i="83"/>
  <c r="CU32" i="83" s="1"/>
  <c r="CU19" i="83"/>
  <c r="CU27" i="83" s="1"/>
  <c r="CU20" i="83"/>
  <c r="CU23" i="83" s="1"/>
  <c r="CU21" i="83"/>
  <c r="CU24" i="83" s="1"/>
  <c r="CU26" i="83" s="1"/>
  <c r="CU22" i="83"/>
  <c r="DC29" i="83"/>
  <c r="DC31" i="83"/>
  <c r="ER3" i="695"/>
  <c r="DX7" i="695"/>
  <c r="DX9" i="695"/>
  <c r="DX10" i="695"/>
  <c r="DX11" i="695"/>
  <c r="DX12" i="695"/>
  <c r="DX13" i="695"/>
  <c r="DX14" i="695"/>
  <c r="DX15" i="695"/>
  <c r="DX16" i="695"/>
  <c r="DX17" i="695"/>
  <c r="DX8" i="695"/>
  <c r="BU25" i="83"/>
  <c r="BU30" i="83"/>
  <c r="BU33" i="83"/>
  <c r="EE3" i="83"/>
  <c r="DK9" i="83"/>
  <c r="DK10" i="83"/>
  <c r="DK11" i="83"/>
  <c r="DK12" i="83"/>
  <c r="DK13" i="83"/>
  <c r="DK14" i="83"/>
  <c r="DK15" i="83"/>
  <c r="DK16" i="83"/>
  <c r="DK17" i="83"/>
  <c r="DK7" i="83"/>
  <c r="DK8" i="83"/>
  <c r="CL25" i="83"/>
  <c r="CL30" i="83"/>
  <c r="CL33" i="83"/>
  <c r="CP29" i="83"/>
  <c r="CP31" i="83"/>
  <c r="CO18" i="695"/>
  <c r="CO31" i="695" s="1"/>
  <c r="CO21" i="695"/>
  <c r="CO19" i="695"/>
  <c r="CO27" i="695" s="1"/>
  <c r="CO20" i="695"/>
  <c r="CO22" i="695"/>
  <c r="DG29" i="83"/>
  <c r="DG31" i="83"/>
  <c r="EB3" i="695"/>
  <c r="DH7" i="695"/>
  <c r="DH9" i="695"/>
  <c r="DH10" i="695"/>
  <c r="DH11" i="695"/>
  <c r="DH12" i="695"/>
  <c r="DH13" i="695"/>
  <c r="DH14" i="695"/>
  <c r="DH15" i="695"/>
  <c r="DH16" i="695"/>
  <c r="DH17" i="695"/>
  <c r="DH8" i="695"/>
  <c r="CG25" i="83"/>
  <c r="CG30" i="83"/>
  <c r="CG33" i="83"/>
  <c r="J10" i="694"/>
  <c r="K8" i="694"/>
  <c r="J9" i="694"/>
  <c r="EA8" i="695"/>
  <c r="EA7" i="695"/>
  <c r="J77" i="694"/>
  <c r="J76" i="694"/>
  <c r="J68" i="694"/>
  <c r="J58" i="694"/>
  <c r="J57" i="694"/>
  <c r="J56" i="694"/>
  <c r="J65" i="694" s="1"/>
  <c r="J55" i="694"/>
  <c r="J54" i="694"/>
  <c r="J74" i="694"/>
  <c r="J73" i="694"/>
  <c r="J72" i="694"/>
  <c r="J71" i="694"/>
  <c r="J70" i="694"/>
  <c r="J50" i="694"/>
  <c r="J49" i="694"/>
  <c r="J47" i="694"/>
  <c r="J44" i="694"/>
  <c r="J43" i="694"/>
  <c r="J42" i="694"/>
  <c r="J39" i="694"/>
  <c r="J38" i="694"/>
  <c r="J34" i="694"/>
  <c r="J35" i="694"/>
  <c r="J28" i="694"/>
  <c r="J26" i="694"/>
  <c r="J24" i="694"/>
  <c r="J21" i="694"/>
  <c r="J20" i="694"/>
  <c r="J17" i="694"/>
  <c r="J16" i="694"/>
  <c r="J15" i="694"/>
  <c r="K66" i="2"/>
  <c r="K65" i="2"/>
  <c r="K64" i="2"/>
  <c r="K63" i="2"/>
  <c r="K60" i="2"/>
  <c r="K59" i="2"/>
  <c r="K58" i="2"/>
  <c r="K57" i="2"/>
  <c r="K54" i="2"/>
  <c r="K53" i="2"/>
  <c r="K52" i="2"/>
  <c r="K51" i="2"/>
  <c r="K47" i="2"/>
  <c r="K46" i="2"/>
  <c r="K45" i="2"/>
  <c r="K44" i="2"/>
  <c r="K40" i="2"/>
  <c r="K39" i="2"/>
  <c r="K38" i="2"/>
  <c r="K36" i="2"/>
  <c r="K35" i="2"/>
  <c r="K33" i="2"/>
  <c r="K32" i="2"/>
  <c r="K31" i="2"/>
  <c r="K28" i="2"/>
  <c r="K26" i="2"/>
  <c r="K25" i="2"/>
  <c r="K22" i="2"/>
  <c r="K21" i="2"/>
  <c r="K20" i="2"/>
  <c r="K19" i="2"/>
  <c r="K17" i="2"/>
  <c r="K16" i="2"/>
  <c r="K15" i="2"/>
  <c r="EC8" i="83"/>
  <c r="EC7" i="83"/>
  <c r="I40" i="694"/>
  <c r="C57" i="1646"/>
  <c r="I60" i="694" l="1"/>
  <c r="I161" i="694" s="1"/>
  <c r="I62" i="694"/>
  <c r="I163" i="694" s="1"/>
  <c r="I210" i="694"/>
  <c r="I266" i="694" s="1"/>
  <c r="I100" i="694"/>
  <c r="I66" i="694"/>
  <c r="I107" i="694"/>
  <c r="I61" i="694"/>
  <c r="I162" i="694" s="1"/>
  <c r="I87" i="694"/>
  <c r="I96" i="694"/>
  <c r="I88" i="694"/>
  <c r="I86" i="694"/>
  <c r="I106" i="694"/>
  <c r="I82" i="694"/>
  <c r="I30" i="694"/>
  <c r="I29" i="694" s="1"/>
  <c r="I91" i="694" s="1"/>
  <c r="I217" i="694"/>
  <c r="I273" i="694" s="1"/>
  <c r="I105" i="694"/>
  <c r="I109" i="694"/>
  <c r="H136" i="694"/>
  <c r="H192" i="694"/>
  <c r="H248" i="694" s="1"/>
  <c r="H95" i="694"/>
  <c r="I154" i="694"/>
  <c r="I143" i="694"/>
  <c r="I199" i="694"/>
  <c r="I255" i="694" s="1"/>
  <c r="EC31" i="83"/>
  <c r="K115" i="2"/>
  <c r="K193" i="2" s="1"/>
  <c r="K154" i="2"/>
  <c r="K71" i="2"/>
  <c r="K106" i="2"/>
  <c r="K116" i="2"/>
  <c r="K194" i="2" s="1"/>
  <c r="K155" i="2"/>
  <c r="K72" i="2"/>
  <c r="K117" i="2"/>
  <c r="K195" i="2" s="1"/>
  <c r="K156" i="2"/>
  <c r="K74" i="2"/>
  <c r="K119" i="2"/>
  <c r="K197" i="2" s="1"/>
  <c r="K158" i="2"/>
  <c r="K107" i="2"/>
  <c r="K108" i="2"/>
  <c r="K75" i="2"/>
  <c r="K120" i="2"/>
  <c r="K198" i="2" s="1"/>
  <c r="K159" i="2"/>
  <c r="K76" i="2"/>
  <c r="K121" i="2"/>
  <c r="K199" i="2" s="1"/>
  <c r="K160" i="2"/>
  <c r="K109" i="2"/>
  <c r="K110" i="2"/>
  <c r="K77" i="2"/>
  <c r="K122" i="2"/>
  <c r="K200" i="2" s="1"/>
  <c r="K161" i="2"/>
  <c r="K80" i="2"/>
  <c r="K125" i="2"/>
  <c r="K203" i="2" s="1"/>
  <c r="K164" i="2"/>
  <c r="K165" i="2"/>
  <c r="K82" i="2"/>
  <c r="K127" i="2"/>
  <c r="K205" i="2" s="1"/>
  <c r="K83" i="2"/>
  <c r="K128" i="2"/>
  <c r="K206" i="2" s="1"/>
  <c r="K167" i="2"/>
  <c r="K86" i="2"/>
  <c r="K131" i="2"/>
  <c r="K209" i="2" s="1"/>
  <c r="K170" i="2"/>
  <c r="K87" i="2"/>
  <c r="K132" i="2"/>
  <c r="K210" i="2" s="1"/>
  <c r="K171" i="2"/>
  <c r="K34" i="2"/>
  <c r="K88" i="2"/>
  <c r="K133" i="2"/>
  <c r="K211" i="2" s="1"/>
  <c r="K172" i="2"/>
  <c r="K90" i="2"/>
  <c r="K135" i="2"/>
  <c r="K213" i="2" s="1"/>
  <c r="K174" i="2"/>
  <c r="K37" i="2"/>
  <c r="K91" i="2"/>
  <c r="K136" i="2"/>
  <c r="K214" i="2" s="1"/>
  <c r="K175" i="2"/>
  <c r="K93" i="2"/>
  <c r="K138" i="2"/>
  <c r="K216" i="2" s="1"/>
  <c r="K177" i="2"/>
  <c r="K94" i="2"/>
  <c r="K139" i="2"/>
  <c r="K217" i="2" s="1"/>
  <c r="K178" i="2"/>
  <c r="K41" i="2"/>
  <c r="K95" i="2"/>
  <c r="K140" i="2"/>
  <c r="K218" i="2" s="1"/>
  <c r="K179" i="2"/>
  <c r="K48" i="2"/>
  <c r="K149" i="2"/>
  <c r="K227" i="2" s="1"/>
  <c r="K188" i="2"/>
  <c r="K99" i="2"/>
  <c r="K144" i="2"/>
  <c r="K222" i="2" s="1"/>
  <c r="K183" i="2"/>
  <c r="K100" i="2"/>
  <c r="K145" i="2"/>
  <c r="K223" i="2" s="1"/>
  <c r="K184" i="2"/>
  <c r="K101" i="2"/>
  <c r="K146" i="2"/>
  <c r="K224" i="2" s="1"/>
  <c r="K185" i="2"/>
  <c r="K102" i="2"/>
  <c r="K147" i="2"/>
  <c r="K225" i="2" s="1"/>
  <c r="K186" i="2"/>
  <c r="EA30" i="695"/>
  <c r="DG25" i="695"/>
  <c r="DG29" i="695"/>
  <c r="DG32" i="695"/>
  <c r="EX3" i="695"/>
  <c r="ED7" i="695"/>
  <c r="ED9" i="695"/>
  <c r="ED10" i="695"/>
  <c r="ED11" i="695"/>
  <c r="ED12" i="695"/>
  <c r="ED13" i="695"/>
  <c r="ED14" i="695"/>
  <c r="ED15" i="695"/>
  <c r="ED16" i="695"/>
  <c r="ED17" i="695"/>
  <c r="ED8" i="695"/>
  <c r="FL3" i="83"/>
  <c r="ER9" i="83"/>
  <c r="ER10" i="83"/>
  <c r="ER11" i="83"/>
  <c r="ER12" i="83"/>
  <c r="ER13" i="83"/>
  <c r="ER14" i="83"/>
  <c r="ER15" i="83"/>
  <c r="ER16" i="83"/>
  <c r="ER17" i="83"/>
  <c r="ER7" i="83"/>
  <c r="ER8" i="83"/>
  <c r="FE3" i="83"/>
  <c r="EK9" i="83"/>
  <c r="EK10" i="83"/>
  <c r="EK11" i="83"/>
  <c r="EK12" i="83"/>
  <c r="EK13" i="83"/>
  <c r="EK14" i="83"/>
  <c r="EK15" i="83"/>
  <c r="EK16" i="83"/>
  <c r="EK17" i="83"/>
  <c r="EK7" i="83"/>
  <c r="EK8" i="83"/>
  <c r="B58" i="1646"/>
  <c r="DT18" i="83"/>
  <c r="DT32" i="83" s="1"/>
  <c r="DT19" i="83"/>
  <c r="DT27" i="83" s="1"/>
  <c r="DT21" i="83"/>
  <c r="DT23" i="83" s="1"/>
  <c r="DT20" i="83"/>
  <c r="DT24" i="83" s="1"/>
  <c r="DT26" i="83" s="1"/>
  <c r="DT22" i="83"/>
  <c r="CT25" i="83"/>
  <c r="CT30" i="83"/>
  <c r="CT33" i="83"/>
  <c r="CP25" i="695"/>
  <c r="CP29" i="695"/>
  <c r="CP32" i="695"/>
  <c r="DM18" i="695"/>
  <c r="DM31" i="695" s="1"/>
  <c r="DM21" i="695"/>
  <c r="DM24" i="695" s="1"/>
  <c r="DM26" i="695" s="1"/>
  <c r="DM19" i="695"/>
  <c r="DM27" i="695" s="1"/>
  <c r="DM20" i="695"/>
  <c r="DM23" i="695" s="1"/>
  <c r="DM22" i="695"/>
  <c r="FI3" i="695"/>
  <c r="EO7" i="695"/>
  <c r="EO9" i="695"/>
  <c r="EO10" i="695"/>
  <c r="EO11" i="695"/>
  <c r="EO12" i="695"/>
  <c r="EO13" i="695"/>
  <c r="EO14" i="695"/>
  <c r="EO15" i="695"/>
  <c r="EO16" i="695"/>
  <c r="EO17" i="695"/>
  <c r="EO8" i="695"/>
  <c r="DW20" i="695"/>
  <c r="DW23" i="695" s="1"/>
  <c r="DW18" i="695"/>
  <c r="DW31" i="695" s="1"/>
  <c r="DW21" i="695"/>
  <c r="DW24" i="695" s="1"/>
  <c r="DW26" i="695" s="1"/>
  <c r="DW19" i="695"/>
  <c r="DW27" i="695" s="1"/>
  <c r="DW22" i="695"/>
  <c r="DZ18" i="83"/>
  <c r="DZ32" i="83" s="1"/>
  <c r="DZ19" i="83"/>
  <c r="DZ27" i="83" s="1"/>
  <c r="DZ20" i="83"/>
  <c r="DZ24" i="83" s="1"/>
  <c r="DZ26" i="83" s="1"/>
  <c r="DZ21" i="83"/>
  <c r="DZ23" i="83" s="1"/>
  <c r="DZ22" i="83"/>
  <c r="EA18" i="83"/>
  <c r="EA32" i="83" s="1"/>
  <c r="EA19" i="83"/>
  <c r="EA27" i="83" s="1"/>
  <c r="EA20" i="83"/>
  <c r="EA24" i="83" s="1"/>
  <c r="EA26" i="83" s="1"/>
  <c r="EA21" i="83"/>
  <c r="EA23" i="83" s="1"/>
  <c r="EA22" i="83"/>
  <c r="EX3" i="83"/>
  <c r="ED9" i="83"/>
  <c r="ED10" i="83"/>
  <c r="ED11" i="83"/>
  <c r="ED12" i="83"/>
  <c r="ED13" i="83"/>
  <c r="ED14" i="83"/>
  <c r="ED15" i="83"/>
  <c r="ED16" i="83"/>
  <c r="ED17" i="83"/>
  <c r="ED7" i="83"/>
  <c r="ED8" i="83"/>
  <c r="DW29" i="83"/>
  <c r="DW31" i="83"/>
  <c r="DP28" i="695"/>
  <c r="DP30" i="695"/>
  <c r="DY29" i="83"/>
  <c r="DY31" i="83"/>
  <c r="DP18" i="83"/>
  <c r="DP32" i="83" s="1"/>
  <c r="DP20" i="83"/>
  <c r="DP24" i="83" s="1"/>
  <c r="DP26" i="83" s="1"/>
  <c r="DP19" i="83"/>
  <c r="DP27" i="83" s="1"/>
  <c r="DP21" i="83"/>
  <c r="DP23" i="83" s="1"/>
  <c r="DP22" i="83"/>
  <c r="DD25" i="83"/>
  <c r="DD30" i="83"/>
  <c r="DD33" i="83"/>
  <c r="J92" i="2"/>
  <c r="J137" i="2"/>
  <c r="J215" i="2" s="1"/>
  <c r="J176" i="2"/>
  <c r="DG28" i="695"/>
  <c r="DB25" i="83"/>
  <c r="DB30" i="83"/>
  <c r="DB33" i="83"/>
  <c r="DZ29" i="83"/>
  <c r="DZ31" i="83"/>
  <c r="EA29" i="83"/>
  <c r="EA31" i="83"/>
  <c r="DR28" i="695"/>
  <c r="DR30" i="695"/>
  <c r="FD3" i="695"/>
  <c r="EJ7" i="695"/>
  <c r="EJ9" i="695"/>
  <c r="EJ10" i="695"/>
  <c r="EJ11" i="695"/>
  <c r="EJ12" i="695"/>
  <c r="EJ13" i="695"/>
  <c r="EJ14" i="695"/>
  <c r="EJ15" i="695"/>
  <c r="EJ16" i="695"/>
  <c r="EJ17" i="695"/>
  <c r="EJ8" i="695"/>
  <c r="DP29" i="83"/>
  <c r="DP31" i="83"/>
  <c r="CX25" i="83"/>
  <c r="CX30" i="83"/>
  <c r="CX33" i="83"/>
  <c r="CZ25" i="83"/>
  <c r="CZ30" i="83"/>
  <c r="CZ33" i="83"/>
  <c r="DT28" i="695"/>
  <c r="DT30" i="695"/>
  <c r="DI22" i="83"/>
  <c r="DY28" i="695"/>
  <c r="DY30" i="695"/>
  <c r="DT29" i="83"/>
  <c r="DT31" i="83"/>
  <c r="DO20" i="695"/>
  <c r="DO23" i="695" s="1"/>
  <c r="DO18" i="695"/>
  <c r="DO31" i="695" s="1"/>
  <c r="DO21" i="695"/>
  <c r="DO24" i="695" s="1"/>
  <c r="DO26" i="695" s="1"/>
  <c r="DO19" i="695"/>
  <c r="DO27" i="695" s="1"/>
  <c r="DO22" i="695"/>
  <c r="DE25" i="83"/>
  <c r="DE30" i="83"/>
  <c r="DE33" i="83"/>
  <c r="FK3" i="83"/>
  <c r="EQ9" i="83"/>
  <c r="EQ10" i="83"/>
  <c r="EQ11" i="83"/>
  <c r="EQ12" i="83"/>
  <c r="EQ13" i="83"/>
  <c r="EQ14" i="83"/>
  <c r="EQ15" i="83"/>
  <c r="EQ16" i="83"/>
  <c r="EQ17" i="83"/>
  <c r="EQ7" i="83"/>
  <c r="EQ8" i="83"/>
  <c r="FH3" i="695"/>
  <c r="EN7" i="695"/>
  <c r="EN9" i="695"/>
  <c r="EN10" i="695"/>
  <c r="EN11" i="695"/>
  <c r="EN12" i="695"/>
  <c r="EN13" i="695"/>
  <c r="EN14" i="695"/>
  <c r="EN15" i="695"/>
  <c r="EN16" i="695"/>
  <c r="EN17" i="695"/>
  <c r="EN8" i="695"/>
  <c r="DX20" i="695"/>
  <c r="DX23" i="695" s="1"/>
  <c r="DX18" i="695"/>
  <c r="DX31" i="695" s="1"/>
  <c r="DX19" i="695"/>
  <c r="DX27" i="695" s="1"/>
  <c r="DX22" i="695"/>
  <c r="DX21" i="695"/>
  <c r="DX24" i="695" s="1"/>
  <c r="DX26" i="695" s="1"/>
  <c r="CU25" i="83"/>
  <c r="CU30" i="83"/>
  <c r="CU33" i="83"/>
  <c r="DV20" i="695"/>
  <c r="DV23" i="695" s="1"/>
  <c r="DV18" i="695"/>
  <c r="DV31" i="695" s="1"/>
  <c r="DV21" i="695"/>
  <c r="DV24" i="695" s="1"/>
  <c r="DV26" i="695" s="1"/>
  <c r="DV19" i="695"/>
  <c r="DV27" i="695" s="1"/>
  <c r="DV22" i="695"/>
  <c r="DL18" i="83"/>
  <c r="DL32" i="83" s="1"/>
  <c r="DL19" i="83"/>
  <c r="DL27" i="83" s="1"/>
  <c r="DL20" i="83"/>
  <c r="DL24" i="83" s="1"/>
  <c r="DL26" i="83" s="1"/>
  <c r="DL21" i="83"/>
  <c r="DL23" i="83" s="1"/>
  <c r="DL22" i="83"/>
  <c r="CN25" i="695"/>
  <c r="CN29" i="695"/>
  <c r="CN32" i="695"/>
  <c r="DG25" i="83"/>
  <c r="DG30" i="83"/>
  <c r="DG33" i="83"/>
  <c r="DB25" i="695"/>
  <c r="DB29" i="695"/>
  <c r="DB32" i="695"/>
  <c r="I148" i="694"/>
  <c r="I125" i="694"/>
  <c r="I220" i="694"/>
  <c r="I276" i="694" s="1"/>
  <c r="I84" i="694"/>
  <c r="DQ28" i="695"/>
  <c r="DQ30" i="695"/>
  <c r="CQ25" i="83"/>
  <c r="CQ30" i="83"/>
  <c r="CQ33" i="83"/>
  <c r="CR25" i="83"/>
  <c r="CR30" i="83"/>
  <c r="CR33" i="83"/>
  <c r="CW29" i="695"/>
  <c r="CW25" i="695"/>
  <c r="CW32" i="695"/>
  <c r="FH3" i="83"/>
  <c r="EN9" i="83"/>
  <c r="EN10" i="83"/>
  <c r="EN11" i="83"/>
  <c r="EN12" i="83"/>
  <c r="EN13" i="83"/>
  <c r="EN14" i="83"/>
  <c r="EN15" i="83"/>
  <c r="EN16" i="83"/>
  <c r="EN17" i="83"/>
  <c r="EN7" i="83"/>
  <c r="EN8" i="83"/>
  <c r="DZ19" i="695"/>
  <c r="DZ27" i="695" s="1"/>
  <c r="DZ20" i="695"/>
  <c r="DZ23" i="695" s="1"/>
  <c r="DZ18" i="695"/>
  <c r="DZ31" i="695" s="1"/>
  <c r="DZ22" i="695"/>
  <c r="DZ21" i="695"/>
  <c r="DZ24" i="695" s="1"/>
  <c r="DZ26" i="695" s="1"/>
  <c r="DI19" i="695"/>
  <c r="DI27" i="695" s="1"/>
  <c r="DI20" i="695"/>
  <c r="DI23" i="695" s="1"/>
  <c r="DI21" i="695"/>
  <c r="DI24" i="695" s="1"/>
  <c r="DI26" i="695" s="1"/>
  <c r="DI18" i="695"/>
  <c r="DI31" i="695" s="1"/>
  <c r="DI22" i="695"/>
  <c r="FA3" i="695"/>
  <c r="EG7" i="695"/>
  <c r="EG9" i="695"/>
  <c r="EG10" i="695"/>
  <c r="EG11" i="695"/>
  <c r="EG12" i="695"/>
  <c r="EG13" i="695"/>
  <c r="EG14" i="695"/>
  <c r="EG15" i="695"/>
  <c r="EG16" i="695"/>
  <c r="EG17" i="695"/>
  <c r="EG8" i="695"/>
  <c r="FK3" i="695"/>
  <c r="EQ7" i="695"/>
  <c r="EQ9" i="695"/>
  <c r="EQ10" i="695"/>
  <c r="EQ11" i="695"/>
  <c r="EQ12" i="695"/>
  <c r="EQ13" i="695"/>
  <c r="EQ14" i="695"/>
  <c r="EQ15" i="695"/>
  <c r="EQ16" i="695"/>
  <c r="EQ17" i="695"/>
  <c r="EQ8" i="695"/>
  <c r="FN3" i="83"/>
  <c r="ET9" i="83"/>
  <c r="ET10" i="83"/>
  <c r="ET11" i="83"/>
  <c r="ET12" i="83"/>
  <c r="ET13" i="83"/>
  <c r="ET14" i="83"/>
  <c r="ET15" i="83"/>
  <c r="ET16" i="83"/>
  <c r="ET17" i="83"/>
  <c r="ET7" i="83"/>
  <c r="ET8" i="83"/>
  <c r="FO3" i="83"/>
  <c r="EU9" i="83"/>
  <c r="EU10" i="83"/>
  <c r="EU11" i="83"/>
  <c r="EU12" i="83"/>
  <c r="EU13" i="83"/>
  <c r="EU14" i="83"/>
  <c r="EU15" i="83"/>
  <c r="EU16" i="83"/>
  <c r="EU17" i="83"/>
  <c r="EU7" i="83"/>
  <c r="EU8" i="83"/>
  <c r="FD3" i="83"/>
  <c r="EJ9" i="83"/>
  <c r="EJ10" i="83"/>
  <c r="EJ11" i="83"/>
  <c r="EJ12" i="83"/>
  <c r="EJ13" i="83"/>
  <c r="EJ14" i="83"/>
  <c r="EJ15" i="83"/>
  <c r="EJ16" i="83"/>
  <c r="EJ17" i="83"/>
  <c r="EJ7" i="83"/>
  <c r="EJ8" i="83"/>
  <c r="DV18" i="83"/>
  <c r="DV32" i="83" s="1"/>
  <c r="DV20" i="83"/>
  <c r="DV24" i="83" s="1"/>
  <c r="DV26" i="83" s="1"/>
  <c r="DV19" i="83"/>
  <c r="DV27" i="83" s="1"/>
  <c r="DV21" i="83"/>
  <c r="DV23" i="83" s="1"/>
  <c r="DV22" i="83"/>
  <c r="DG19" i="695"/>
  <c r="DG27" i="695" s="1"/>
  <c r="DI19" i="83"/>
  <c r="DI27" i="83" s="1"/>
  <c r="J18" i="694"/>
  <c r="J86" i="694" s="1"/>
  <c r="J22" i="694"/>
  <c r="J181" i="694" s="1"/>
  <c r="J237" i="694" s="1"/>
  <c r="J25" i="694"/>
  <c r="J184" i="694" s="1"/>
  <c r="J240" i="694" s="1"/>
  <c r="J53" i="694"/>
  <c r="J100" i="694" s="1"/>
  <c r="J102" i="694"/>
  <c r="J114" i="694"/>
  <c r="J120" i="694"/>
  <c r="J123" i="694"/>
  <c r="J131" i="694"/>
  <c r="J137" i="694"/>
  <c r="J141" i="694"/>
  <c r="J146" i="694"/>
  <c r="J156" i="694"/>
  <c r="J158" i="694"/>
  <c r="J166" i="694"/>
  <c r="J168" i="694"/>
  <c r="J170" i="694"/>
  <c r="J176" i="694"/>
  <c r="J232" i="694" s="1"/>
  <c r="J179" i="694"/>
  <c r="J235" i="694" s="1"/>
  <c r="J187" i="694"/>
  <c r="J243" i="694" s="1"/>
  <c r="J193" i="694"/>
  <c r="J249" i="694" s="1"/>
  <c r="J197" i="694"/>
  <c r="J253" i="694" s="1"/>
  <c r="J202" i="694"/>
  <c r="J258" i="694" s="1"/>
  <c r="J212" i="694"/>
  <c r="J268" i="694" s="1"/>
  <c r="J214" i="694"/>
  <c r="J270" i="694" s="1"/>
  <c r="J222" i="694"/>
  <c r="J278" i="694" s="1"/>
  <c r="J224" i="694"/>
  <c r="J280" i="694" s="1"/>
  <c r="J226" i="694"/>
  <c r="J282" i="694" s="1"/>
  <c r="J101" i="694"/>
  <c r="J113" i="694"/>
  <c r="J119" i="694"/>
  <c r="J124" i="694"/>
  <c r="J127" i="694"/>
  <c r="J129" i="694"/>
  <c r="J138" i="694"/>
  <c r="J142" i="694"/>
  <c r="J145" i="694"/>
  <c r="J147" i="694"/>
  <c r="J150" i="694"/>
  <c r="J152" i="694"/>
  <c r="J155" i="694"/>
  <c r="J157" i="694"/>
  <c r="J159" i="694"/>
  <c r="J167" i="694"/>
  <c r="J169" i="694"/>
  <c r="J175" i="694"/>
  <c r="J231" i="694" s="1"/>
  <c r="J180" i="694"/>
  <c r="J236" i="694" s="1"/>
  <c r="J183" i="694"/>
  <c r="J239" i="694" s="1"/>
  <c r="J185" i="694"/>
  <c r="J241" i="694" s="1"/>
  <c r="J194" i="694"/>
  <c r="J250" i="694" s="1"/>
  <c r="J198" i="694"/>
  <c r="J254" i="694" s="1"/>
  <c r="J201" i="694"/>
  <c r="J257" i="694" s="1"/>
  <c r="J203" i="694"/>
  <c r="J259" i="694" s="1"/>
  <c r="J206" i="694"/>
  <c r="J262" i="694" s="1"/>
  <c r="J208" i="694"/>
  <c r="J264" i="694" s="1"/>
  <c r="J211" i="694"/>
  <c r="J267" i="694" s="1"/>
  <c r="J213" i="694"/>
  <c r="J269" i="694" s="1"/>
  <c r="J215" i="694"/>
  <c r="J271" i="694" s="1"/>
  <c r="J223" i="694"/>
  <c r="J279" i="694" s="1"/>
  <c r="J225" i="694"/>
  <c r="J281" i="694" s="1"/>
  <c r="J112" i="694"/>
  <c r="FM3" i="695"/>
  <c r="ES7" i="695"/>
  <c r="ES9" i="695"/>
  <c r="ES10" i="695"/>
  <c r="ES11" i="695"/>
  <c r="ES12" i="695"/>
  <c r="ES13" i="695"/>
  <c r="ES14" i="695"/>
  <c r="ES15" i="695"/>
  <c r="ES16" i="695"/>
  <c r="ES17" i="695"/>
  <c r="ES8" i="695"/>
  <c r="W13" i="27" a="1"/>
  <c r="W13" i="27" s="1"/>
  <c r="X14" i="27"/>
  <c r="DR18" i="83"/>
  <c r="DR32" i="83" s="1"/>
  <c r="DR19" i="83"/>
  <c r="DR27" i="83" s="1"/>
  <c r="DR21" i="83"/>
  <c r="DR23" i="83" s="1"/>
  <c r="DR20" i="83"/>
  <c r="DR24" i="83" s="1"/>
  <c r="DR26" i="83" s="1"/>
  <c r="DR22" i="83"/>
  <c r="DU29" i="83"/>
  <c r="DU31" i="83"/>
  <c r="DW28" i="695"/>
  <c r="DW30" i="695"/>
  <c r="DN20" i="695"/>
  <c r="DN23" i="695" s="1"/>
  <c r="DN18" i="695"/>
  <c r="DN31" i="695" s="1"/>
  <c r="DN21" i="695"/>
  <c r="DN24" i="695" s="1"/>
  <c r="DN26" i="695" s="1"/>
  <c r="DN22" i="695"/>
  <c r="DN19" i="695"/>
  <c r="DN27" i="695" s="1"/>
  <c r="DK18" i="83"/>
  <c r="DK32" i="83" s="1"/>
  <c r="DK19" i="83"/>
  <c r="DK27" i="83" s="1"/>
  <c r="DK20" i="83"/>
  <c r="DK24" i="83" s="1"/>
  <c r="DK26" i="83" s="1"/>
  <c r="DK21" i="83"/>
  <c r="DK23" i="83" s="1"/>
  <c r="DK22" i="83"/>
  <c r="DH25" i="83"/>
  <c r="DH30" i="83"/>
  <c r="DH33" i="83"/>
  <c r="DL29" i="83"/>
  <c r="DL31" i="83"/>
  <c r="DN18" i="83"/>
  <c r="DN32" i="83" s="1"/>
  <c r="DN20" i="83"/>
  <c r="DN24" i="83" s="1"/>
  <c r="DN26" i="83" s="1"/>
  <c r="DN19" i="83"/>
  <c r="DN27" i="83" s="1"/>
  <c r="DN21" i="83"/>
  <c r="DN23" i="83" s="1"/>
  <c r="DN22" i="83"/>
  <c r="DL18" i="695"/>
  <c r="DL31" i="695" s="1"/>
  <c r="DL21" i="695"/>
  <c r="DL24" i="695" s="1"/>
  <c r="DL26" i="695" s="1"/>
  <c r="DL19" i="695"/>
  <c r="DL27" i="695" s="1"/>
  <c r="DL20" i="695"/>
  <c r="DL23" i="695" s="1"/>
  <c r="DL22" i="695"/>
  <c r="DD25" i="695"/>
  <c r="DD29" i="695"/>
  <c r="DD32" i="695"/>
  <c r="H219" i="694"/>
  <c r="H275" i="694" s="1"/>
  <c r="H163" i="694"/>
  <c r="DS18" i="83"/>
  <c r="DS32" i="83" s="1"/>
  <c r="DS19" i="83"/>
  <c r="DS27" i="83" s="1"/>
  <c r="DS21" i="83"/>
  <c r="DS23" i="83" s="1"/>
  <c r="DS20" i="83"/>
  <c r="DS24" i="83" s="1"/>
  <c r="DS26" i="83" s="1"/>
  <c r="DS22" i="83"/>
  <c r="DK28" i="695"/>
  <c r="DK30" i="695"/>
  <c r="FE3" i="695"/>
  <c r="EK7" i="695"/>
  <c r="EK9" i="695"/>
  <c r="EK10" i="695"/>
  <c r="EK11" i="695"/>
  <c r="EK12" i="695"/>
  <c r="EK13" i="695"/>
  <c r="EK14" i="695"/>
  <c r="EK15" i="695"/>
  <c r="EK16" i="695"/>
  <c r="EK17" i="695"/>
  <c r="EK8" i="695"/>
  <c r="DO28" i="695"/>
  <c r="DO30" i="695"/>
  <c r="FI3" i="83"/>
  <c r="EO9" i="83"/>
  <c r="EO10" i="83"/>
  <c r="EO11" i="83"/>
  <c r="EO12" i="83"/>
  <c r="EO13" i="83"/>
  <c r="EO14" i="83"/>
  <c r="EO15" i="83"/>
  <c r="EO16" i="83"/>
  <c r="EO17" i="83"/>
  <c r="EO7" i="83"/>
  <c r="EO8" i="83"/>
  <c r="FF3" i="83"/>
  <c r="EL9" i="83"/>
  <c r="EL10" i="83"/>
  <c r="EL11" i="83"/>
  <c r="EL12" i="83"/>
  <c r="EL13" i="83"/>
  <c r="EL14" i="83"/>
  <c r="EL15" i="83"/>
  <c r="EL16" i="83"/>
  <c r="EL17" i="83"/>
  <c r="EL7" i="83"/>
  <c r="EL8" i="83"/>
  <c r="DS21" i="695"/>
  <c r="DS24" i="695" s="1"/>
  <c r="DS26" i="695" s="1"/>
  <c r="DS19" i="695"/>
  <c r="DS27" i="695" s="1"/>
  <c r="DS18" i="695"/>
  <c r="DS31" i="695" s="1"/>
  <c r="DS22" i="695"/>
  <c r="DS20" i="695"/>
  <c r="DS23" i="695" s="1"/>
  <c r="DO18" i="83"/>
  <c r="DO32" i="83" s="1"/>
  <c r="DO20" i="83"/>
  <c r="DO24" i="83" s="1"/>
  <c r="DO26" i="83" s="1"/>
  <c r="DO19" i="83"/>
  <c r="DO27" i="83" s="1"/>
  <c r="DO22" i="83"/>
  <c r="DO21" i="83"/>
  <c r="DO23" i="83" s="1"/>
  <c r="CY25" i="695"/>
  <c r="CY29" i="695"/>
  <c r="CY32" i="695"/>
  <c r="EB18" i="83"/>
  <c r="EB32" i="83" s="1"/>
  <c r="EB19" i="83"/>
  <c r="EB27" i="83" s="1"/>
  <c r="EB20" i="83"/>
  <c r="EB24" i="83" s="1"/>
  <c r="EB26" i="83" s="1"/>
  <c r="EB21" i="83"/>
  <c r="EB23" i="83" s="1"/>
  <c r="EB22" i="83"/>
  <c r="DN28" i="695"/>
  <c r="DN30" i="695"/>
  <c r="CW25" i="83"/>
  <c r="CW30" i="83"/>
  <c r="CW33" i="83"/>
  <c r="DV29" i="83"/>
  <c r="DV31" i="83"/>
  <c r="DG21" i="695"/>
  <c r="DG24" i="695" s="1"/>
  <c r="DG26" i="695" s="1"/>
  <c r="DI21" i="83"/>
  <c r="DI23" i="83" s="1"/>
  <c r="FA3" i="83"/>
  <c r="EG9" i="83"/>
  <c r="EG10" i="83"/>
  <c r="EG11" i="83"/>
  <c r="EG12" i="83"/>
  <c r="EG13" i="83"/>
  <c r="EG14" i="83"/>
  <c r="EG15" i="83"/>
  <c r="EG16" i="83"/>
  <c r="EG17" i="83"/>
  <c r="EG7" i="83"/>
  <c r="EG8" i="83"/>
  <c r="CY25" i="83"/>
  <c r="CY30" i="83"/>
  <c r="CY33" i="83"/>
  <c r="DM28" i="695"/>
  <c r="DM30" i="695"/>
  <c r="CT25" i="695"/>
  <c r="CT29" i="695"/>
  <c r="CT32" i="695"/>
  <c r="DV28" i="695"/>
  <c r="DV30" i="695"/>
  <c r="DN29" i="83"/>
  <c r="DN31" i="83"/>
  <c r="J81" i="2"/>
  <c r="J126" i="2"/>
  <c r="J204" i="2" s="1"/>
  <c r="J166" i="2"/>
  <c r="CP25" i="83"/>
  <c r="CP30" i="83"/>
  <c r="CP33" i="83"/>
  <c r="CR25" i="695"/>
  <c r="CR29" i="695"/>
  <c r="CR32" i="695"/>
  <c r="DS29" i="83"/>
  <c r="DS31" i="83"/>
  <c r="EY3" i="695"/>
  <c r="EE7" i="695"/>
  <c r="EE9" i="695"/>
  <c r="EE10" i="695"/>
  <c r="EE11" i="695"/>
  <c r="EE12" i="695"/>
  <c r="EE13" i="695"/>
  <c r="EE14" i="695"/>
  <c r="EE15" i="695"/>
  <c r="EE16" i="695"/>
  <c r="EE17" i="695"/>
  <c r="EE8" i="695"/>
  <c r="CO25" i="83"/>
  <c r="CO30" i="83"/>
  <c r="CO33" i="83"/>
  <c r="DM18" i="83"/>
  <c r="DM32" i="83" s="1"/>
  <c r="DM20" i="83"/>
  <c r="DM24" i="83" s="1"/>
  <c r="DM26" i="83" s="1"/>
  <c r="DM19" i="83"/>
  <c r="DM27" i="83" s="1"/>
  <c r="DM21" i="83"/>
  <c r="DM23" i="83" s="1"/>
  <c r="DM22" i="83"/>
  <c r="DJ19" i="695"/>
  <c r="DJ27" i="695" s="1"/>
  <c r="DJ20" i="695"/>
  <c r="DJ23" i="695" s="1"/>
  <c r="DJ18" i="695"/>
  <c r="DJ31" i="695" s="1"/>
  <c r="DJ21" i="695"/>
  <c r="DJ24" i="695" s="1"/>
  <c r="DJ26" i="695" s="1"/>
  <c r="DJ22" i="695"/>
  <c r="FC3" i="695"/>
  <c r="EI7" i="695"/>
  <c r="EI9" i="695"/>
  <c r="EI10" i="695"/>
  <c r="EI11" i="695"/>
  <c r="EI12" i="695"/>
  <c r="EI13" i="695"/>
  <c r="EI14" i="695"/>
  <c r="EI15" i="695"/>
  <c r="EI16" i="695"/>
  <c r="EI17" i="695"/>
  <c r="EI8" i="695"/>
  <c r="DX18" i="83"/>
  <c r="DX32" i="83" s="1"/>
  <c r="DX20" i="83"/>
  <c r="DX24" i="83" s="1"/>
  <c r="DX26" i="83" s="1"/>
  <c r="DX19" i="83"/>
  <c r="DX27" i="83" s="1"/>
  <c r="DX21" i="83"/>
  <c r="DX23" i="83" s="1"/>
  <c r="DX22" i="83"/>
  <c r="DQ18" i="83"/>
  <c r="DQ32" i="83" s="1"/>
  <c r="DQ21" i="83"/>
  <c r="DQ23" i="83" s="1"/>
  <c r="DQ20" i="83"/>
  <c r="DQ24" i="83" s="1"/>
  <c r="DQ26" i="83" s="1"/>
  <c r="DQ19" i="83"/>
  <c r="DQ27" i="83" s="1"/>
  <c r="DQ22" i="83"/>
  <c r="DZ28" i="695"/>
  <c r="DZ30" i="695"/>
  <c r="DI28" i="695"/>
  <c r="DI30" i="695"/>
  <c r="DO29" i="83"/>
  <c r="DO31" i="83"/>
  <c r="DU18" i="695"/>
  <c r="DU31" i="695" s="1"/>
  <c r="DU21" i="695"/>
  <c r="DU24" i="695" s="1"/>
  <c r="DU26" i="695" s="1"/>
  <c r="DU19" i="695"/>
  <c r="DU27" i="695" s="1"/>
  <c r="DU20" i="695"/>
  <c r="DU23" i="695" s="1"/>
  <c r="DU22" i="695"/>
  <c r="EB29" i="83"/>
  <c r="EB31" i="83"/>
  <c r="FB3" i="695"/>
  <c r="EH7" i="695"/>
  <c r="EH9" i="695"/>
  <c r="EH10" i="695"/>
  <c r="EH11" i="695"/>
  <c r="EH12" i="695"/>
  <c r="EH13" i="695"/>
  <c r="EH14" i="695"/>
  <c r="EH15" i="695"/>
  <c r="EH16" i="695"/>
  <c r="EH17" i="695"/>
  <c r="EH8" i="695"/>
  <c r="CO29" i="695"/>
  <c r="CO25" i="695"/>
  <c r="CO32" i="695"/>
  <c r="DJ18" i="83"/>
  <c r="DJ32" i="83" s="1"/>
  <c r="DJ19" i="83"/>
  <c r="DJ27" i="83" s="1"/>
  <c r="DJ20" i="83"/>
  <c r="DJ24" i="83" s="1"/>
  <c r="DJ26" i="83" s="1"/>
  <c r="DJ21" i="83"/>
  <c r="DJ23" i="83" s="1"/>
  <c r="DJ22" i="83"/>
  <c r="CS25" i="695"/>
  <c r="CS29" i="695"/>
  <c r="CS32" i="695"/>
  <c r="CM25" i="695"/>
  <c r="CM29" i="695"/>
  <c r="CM32" i="695"/>
  <c r="EW3" i="83"/>
  <c r="EC9" i="83"/>
  <c r="EC22" i="83" s="1"/>
  <c r="EC10" i="83"/>
  <c r="EC11" i="83"/>
  <c r="EC12" i="83"/>
  <c r="EC13" i="83"/>
  <c r="EC14" i="83"/>
  <c r="EC15" i="83"/>
  <c r="EC16" i="83"/>
  <c r="EC17" i="83"/>
  <c r="CX25" i="695"/>
  <c r="CX29" i="695"/>
  <c r="CX32" i="695"/>
  <c r="DG18" i="695"/>
  <c r="DG31" i="695" s="1"/>
  <c r="DI18" i="83"/>
  <c r="DI32" i="83" s="1"/>
  <c r="K23" i="2"/>
  <c r="K27" i="2"/>
  <c r="CQ25" i="695"/>
  <c r="CQ29" i="695"/>
  <c r="CQ32" i="695"/>
  <c r="I151" i="694"/>
  <c r="I128" i="694"/>
  <c r="DK21" i="695"/>
  <c r="DK24" i="695" s="1"/>
  <c r="DK26" i="695" s="1"/>
  <c r="DK19" i="695"/>
  <c r="DK27" i="695" s="1"/>
  <c r="DK18" i="695"/>
  <c r="DK31" i="695" s="1"/>
  <c r="DK22" i="695"/>
  <c r="DK20" i="695"/>
  <c r="DK23" i="695" s="1"/>
  <c r="H218" i="694"/>
  <c r="H274" i="694" s="1"/>
  <c r="H162" i="694"/>
  <c r="FM3" i="83"/>
  <c r="ES9" i="83"/>
  <c r="ES10" i="83"/>
  <c r="ES11" i="83"/>
  <c r="ES12" i="83"/>
  <c r="ES13" i="83"/>
  <c r="ES14" i="83"/>
  <c r="ES15" i="83"/>
  <c r="ES16" i="83"/>
  <c r="ES17" i="83"/>
  <c r="ES7" i="83"/>
  <c r="ES8" i="83"/>
  <c r="J45" i="694"/>
  <c r="J148" i="694" s="1"/>
  <c r="J48" i="694"/>
  <c r="J207" i="694" s="1"/>
  <c r="J263" i="694" s="1"/>
  <c r="J63" i="694"/>
  <c r="J220" i="694" s="1"/>
  <c r="J276" i="694" s="1"/>
  <c r="J64" i="694"/>
  <c r="J60" i="694"/>
  <c r="J161" i="694" s="1"/>
  <c r="DH28" i="695"/>
  <c r="DH30" i="695"/>
  <c r="FL3" i="695"/>
  <c r="ER7" i="695"/>
  <c r="ER9" i="695"/>
  <c r="ER10" i="695"/>
  <c r="ER11" i="695"/>
  <c r="ER12" i="695"/>
  <c r="ER13" i="695"/>
  <c r="ER14" i="695"/>
  <c r="ER15" i="695"/>
  <c r="ER16" i="695"/>
  <c r="ER17" i="695"/>
  <c r="ER8" i="695"/>
  <c r="FJ3" i="695"/>
  <c r="EP7" i="695"/>
  <c r="EP9" i="695"/>
  <c r="EP10" i="695"/>
  <c r="EP11" i="695"/>
  <c r="EP12" i="695"/>
  <c r="EP13" i="695"/>
  <c r="EP14" i="695"/>
  <c r="EP15" i="695"/>
  <c r="EP16" i="695"/>
  <c r="EP17" i="695"/>
  <c r="EP8" i="695"/>
  <c r="EZ3" i="83"/>
  <c r="EF9" i="83"/>
  <c r="EF10" i="83"/>
  <c r="EF11" i="83"/>
  <c r="EF12" i="83"/>
  <c r="EF13" i="83"/>
  <c r="EF14" i="83"/>
  <c r="EF15" i="83"/>
  <c r="EF16" i="83"/>
  <c r="EF17" i="83"/>
  <c r="EF7" i="83"/>
  <c r="EF8" i="83"/>
  <c r="J78" i="2"/>
  <c r="J123" i="2"/>
  <c r="J201" i="2" s="1"/>
  <c r="J162" i="2"/>
  <c r="DL28" i="695"/>
  <c r="DL30" i="695"/>
  <c r="I184" i="694"/>
  <c r="I240" i="694" s="1"/>
  <c r="I33" i="694"/>
  <c r="DY19" i="695"/>
  <c r="DY27" i="695" s="1"/>
  <c r="DY20" i="695"/>
  <c r="DY23" i="695" s="1"/>
  <c r="DY21" i="695"/>
  <c r="DY24" i="695" s="1"/>
  <c r="DY26" i="695" s="1"/>
  <c r="DY18" i="695"/>
  <c r="DY31" i="695" s="1"/>
  <c r="DY22" i="695"/>
  <c r="DM29" i="83"/>
  <c r="DM31" i="83"/>
  <c r="DE25" i="695"/>
  <c r="DE29" i="695"/>
  <c r="DE32" i="695"/>
  <c r="DX29" i="83"/>
  <c r="DX31" i="83"/>
  <c r="DQ29" i="83"/>
  <c r="DQ31" i="83"/>
  <c r="DS28" i="695"/>
  <c r="DS30" i="695"/>
  <c r="FN3" i="695"/>
  <c r="ET7" i="695"/>
  <c r="ET9" i="695"/>
  <c r="ET10" i="695"/>
  <c r="ET11" i="695"/>
  <c r="ET12" i="695"/>
  <c r="ET13" i="695"/>
  <c r="ET14" i="695"/>
  <c r="ET15" i="695"/>
  <c r="ET16" i="695"/>
  <c r="ET17" i="695"/>
  <c r="ET8" i="695"/>
  <c r="EW3" i="695"/>
  <c r="EC7" i="695"/>
  <c r="EC9" i="695"/>
  <c r="EC10" i="695"/>
  <c r="EC11" i="695"/>
  <c r="EC12" i="695"/>
  <c r="EC13" i="695"/>
  <c r="EC14" i="695"/>
  <c r="EC15" i="695"/>
  <c r="EC16" i="695"/>
  <c r="EC17" i="695"/>
  <c r="EC8" i="695"/>
  <c r="DF25" i="695"/>
  <c r="DF29" i="695"/>
  <c r="DF32" i="695"/>
  <c r="DC25" i="695"/>
  <c r="DC29" i="695"/>
  <c r="DC32" i="695"/>
  <c r="DJ29" i="83"/>
  <c r="DJ31" i="83"/>
  <c r="EU3" i="695"/>
  <c r="EA9" i="695"/>
  <c r="EA19" i="695" s="1"/>
  <c r="EA27" i="695" s="1"/>
  <c r="EA10" i="695"/>
  <c r="EA21" i="695" s="1"/>
  <c r="EA24" i="695" s="1"/>
  <c r="EA26" i="695" s="1"/>
  <c r="EA11" i="695"/>
  <c r="EA12" i="695"/>
  <c r="EA13" i="695"/>
  <c r="EA14" i="695"/>
  <c r="EA15" i="695"/>
  <c r="EA16" i="695"/>
  <c r="EA17" i="695"/>
  <c r="DP20" i="695"/>
  <c r="DP23" i="695" s="1"/>
  <c r="DP18" i="695"/>
  <c r="DP31" i="695" s="1"/>
  <c r="DP19" i="695"/>
  <c r="DP27" i="695" s="1"/>
  <c r="DP21" i="695"/>
  <c r="DP24" i="695" s="1"/>
  <c r="DP26" i="695" s="1"/>
  <c r="DP22" i="695"/>
  <c r="DA25" i="83"/>
  <c r="DA30" i="83"/>
  <c r="DA33" i="83"/>
  <c r="H29" i="694"/>
  <c r="H189" i="694"/>
  <c r="H245" i="694" s="1"/>
  <c r="H92" i="694"/>
  <c r="H133" i="694"/>
  <c r="FJ3" i="83"/>
  <c r="EP9" i="83"/>
  <c r="EP10" i="83"/>
  <c r="EP11" i="83"/>
  <c r="EP12" i="83"/>
  <c r="EP13" i="83"/>
  <c r="EP14" i="83"/>
  <c r="EP15" i="83"/>
  <c r="EP16" i="83"/>
  <c r="EP17" i="83"/>
  <c r="EP7" i="83"/>
  <c r="EP8" i="83"/>
  <c r="J96" i="2"/>
  <c r="J141" i="2"/>
  <c r="J219" i="2" s="1"/>
  <c r="J180" i="2"/>
  <c r="DQ19" i="695"/>
  <c r="DQ27" i="695" s="1"/>
  <c r="DQ20" i="695"/>
  <c r="DQ23" i="695" s="1"/>
  <c r="DQ18" i="695"/>
  <c r="DQ31" i="695" s="1"/>
  <c r="DQ22" i="695"/>
  <c r="DQ21" i="695"/>
  <c r="DQ24" i="695" s="1"/>
  <c r="DQ26" i="695" s="1"/>
  <c r="DU18" i="83"/>
  <c r="DU32" i="83" s="1"/>
  <c r="DU20" i="83"/>
  <c r="DU24" i="83" s="1"/>
  <c r="DU26" i="83" s="1"/>
  <c r="DU19" i="83"/>
  <c r="DU27" i="83" s="1"/>
  <c r="DU21" i="83"/>
  <c r="DU23" i="83" s="1"/>
  <c r="DU22" i="83"/>
  <c r="DR29" i="83"/>
  <c r="DR31" i="83"/>
  <c r="CU25" i="695"/>
  <c r="CU29" i="695"/>
  <c r="CU32" i="695"/>
  <c r="FF3" i="695"/>
  <c r="EL7" i="695"/>
  <c r="EL9" i="695"/>
  <c r="EL10" i="695"/>
  <c r="EL11" i="695"/>
  <c r="EL12" i="695"/>
  <c r="EL13" i="695"/>
  <c r="EL14" i="695"/>
  <c r="EL15" i="695"/>
  <c r="EL16" i="695"/>
  <c r="EL17" i="695"/>
  <c r="EL8" i="695"/>
  <c r="DH20" i="695"/>
  <c r="DH23" i="695" s="1"/>
  <c r="DH18" i="695"/>
  <c r="DH31" i="695" s="1"/>
  <c r="DH19" i="695"/>
  <c r="DH27" i="695" s="1"/>
  <c r="DH21" i="695"/>
  <c r="DH24" i="695" s="1"/>
  <c r="DH26" i="695" s="1"/>
  <c r="DH22" i="695"/>
  <c r="DK29" i="83"/>
  <c r="DK31" i="83"/>
  <c r="DX28" i="695"/>
  <c r="DX30" i="695"/>
  <c r="K9" i="694"/>
  <c r="K10" i="694"/>
  <c r="L8" i="694"/>
  <c r="EV3" i="695"/>
  <c r="EB7" i="695"/>
  <c r="EB9" i="695"/>
  <c r="EB10" i="695"/>
  <c r="EB11" i="695"/>
  <c r="EB12" i="695"/>
  <c r="EB13" i="695"/>
  <c r="EB14" i="695"/>
  <c r="EB15" i="695"/>
  <c r="EB16" i="695"/>
  <c r="EB17" i="695"/>
  <c r="EB8" i="695"/>
  <c r="EY3" i="83"/>
  <c r="EE9" i="83"/>
  <c r="EE10" i="83"/>
  <c r="EE11" i="83"/>
  <c r="EE12" i="83"/>
  <c r="EE13" i="83"/>
  <c r="EE14" i="83"/>
  <c r="EE15" i="83"/>
  <c r="EE16" i="83"/>
  <c r="EE17" i="83"/>
  <c r="EE7" i="83"/>
  <c r="EE8" i="83"/>
  <c r="FB3" i="83"/>
  <c r="EH9" i="83"/>
  <c r="EH10" i="83"/>
  <c r="EH11" i="83"/>
  <c r="EH12" i="83"/>
  <c r="EH13" i="83"/>
  <c r="EH14" i="83"/>
  <c r="EH15" i="83"/>
  <c r="EH16" i="83"/>
  <c r="EH17" i="83"/>
  <c r="EH7" i="83"/>
  <c r="EH8" i="83"/>
  <c r="EZ3" i="695"/>
  <c r="EF7" i="695"/>
  <c r="EF9" i="695"/>
  <c r="EF10" i="695"/>
  <c r="EF11" i="695"/>
  <c r="EF12" i="695"/>
  <c r="EF13" i="695"/>
  <c r="EF14" i="695"/>
  <c r="EF15" i="695"/>
  <c r="EF16" i="695"/>
  <c r="EF17" i="695"/>
  <c r="EF8" i="695"/>
  <c r="DC25" i="83"/>
  <c r="DC30" i="83"/>
  <c r="DC33" i="83"/>
  <c r="DF25" i="83"/>
  <c r="DF30" i="83"/>
  <c r="DF33" i="83"/>
  <c r="CV25" i="83"/>
  <c r="CV30" i="83"/>
  <c r="CV33" i="83"/>
  <c r="FG3" i="83"/>
  <c r="EM9" i="83"/>
  <c r="EM10" i="83"/>
  <c r="EM11" i="83"/>
  <c r="EM12" i="83"/>
  <c r="EM13" i="83"/>
  <c r="EM14" i="83"/>
  <c r="EM15" i="83"/>
  <c r="EM16" i="83"/>
  <c r="EM17" i="83"/>
  <c r="EM7" i="83"/>
  <c r="EM8" i="83"/>
  <c r="L9" i="2"/>
  <c r="L10" i="2"/>
  <c r="DJ28" i="695"/>
  <c r="DJ30" i="695"/>
  <c r="FG3" i="695"/>
  <c r="EM7" i="695"/>
  <c r="EM9" i="695"/>
  <c r="EM10" i="695"/>
  <c r="EM11" i="695"/>
  <c r="EM12" i="695"/>
  <c r="EM13" i="695"/>
  <c r="EM14" i="695"/>
  <c r="EM15" i="695"/>
  <c r="EM16" i="695"/>
  <c r="EM17" i="695"/>
  <c r="EM8" i="695"/>
  <c r="CZ25" i="695"/>
  <c r="CZ29" i="695"/>
  <c r="CZ32" i="695"/>
  <c r="FC3" i="83"/>
  <c r="EI9" i="83"/>
  <c r="EI10" i="83"/>
  <c r="EI11" i="83"/>
  <c r="EI12" i="83"/>
  <c r="EI13" i="83"/>
  <c r="EI14" i="83"/>
  <c r="EI15" i="83"/>
  <c r="EI16" i="83"/>
  <c r="EI17" i="83"/>
  <c r="EI7" i="83"/>
  <c r="EI8" i="83"/>
  <c r="DU28" i="695"/>
  <c r="DU30" i="695"/>
  <c r="FP3" i="83"/>
  <c r="EV9" i="83"/>
  <c r="EV10" i="83"/>
  <c r="EV11" i="83"/>
  <c r="EV12" i="83"/>
  <c r="EV13" i="83"/>
  <c r="EV14" i="83"/>
  <c r="EV15" i="83"/>
  <c r="EV16" i="83"/>
  <c r="EV17" i="83"/>
  <c r="EV7" i="83"/>
  <c r="EV8" i="83"/>
  <c r="DA25" i="695"/>
  <c r="DA29" i="695"/>
  <c r="DA32" i="695"/>
  <c r="CS25" i="83"/>
  <c r="CS30" i="83"/>
  <c r="CS33" i="83"/>
  <c r="DR19" i="695"/>
  <c r="DR27" i="695" s="1"/>
  <c r="DR20" i="695"/>
  <c r="DR23" i="695" s="1"/>
  <c r="DR18" i="695"/>
  <c r="DR31" i="695" s="1"/>
  <c r="DR22" i="695"/>
  <c r="DR21" i="695"/>
  <c r="DR24" i="695" s="1"/>
  <c r="DR26" i="695" s="1"/>
  <c r="DW18" i="83"/>
  <c r="DW32" i="83" s="1"/>
  <c r="DW20" i="83"/>
  <c r="DW24" i="83" s="1"/>
  <c r="DW26" i="83" s="1"/>
  <c r="DW19" i="83"/>
  <c r="DW27" i="83" s="1"/>
  <c r="DW21" i="83"/>
  <c r="DW23" i="83" s="1"/>
  <c r="DW22" i="83"/>
  <c r="DY18" i="83"/>
  <c r="DY32" i="83" s="1"/>
  <c r="DY19" i="83"/>
  <c r="DY27" i="83" s="1"/>
  <c r="DY21" i="83"/>
  <c r="DY23" i="83" s="1"/>
  <c r="DY20" i="83"/>
  <c r="DY24" i="83" s="1"/>
  <c r="DY26" i="83" s="1"/>
  <c r="DY22" i="83"/>
  <c r="CV25" i="695"/>
  <c r="CV29" i="695"/>
  <c r="CV32" i="695"/>
  <c r="DT18" i="695"/>
  <c r="DT31" i="695" s="1"/>
  <c r="DT21" i="695"/>
  <c r="DT24" i="695" s="1"/>
  <c r="DT26" i="695" s="1"/>
  <c r="DT19" i="695"/>
  <c r="DT27" i="695" s="1"/>
  <c r="DT20" i="695"/>
  <c r="DT23" i="695" s="1"/>
  <c r="DT22" i="695"/>
  <c r="J89" i="2"/>
  <c r="J134" i="2"/>
  <c r="J212" i="2" s="1"/>
  <c r="J173" i="2"/>
  <c r="J40" i="694"/>
  <c r="EU8" i="695"/>
  <c r="EU7" i="695"/>
  <c r="C58" i="1646"/>
  <c r="EW8" i="83"/>
  <c r="EW7" i="83"/>
  <c r="K77" i="694"/>
  <c r="K76" i="694"/>
  <c r="K68" i="694"/>
  <c r="K58" i="694"/>
  <c r="K57" i="694"/>
  <c r="K56" i="694"/>
  <c r="K65" i="694" s="1"/>
  <c r="K55" i="694"/>
  <c r="K54" i="694"/>
  <c r="K74" i="694"/>
  <c r="K73" i="694"/>
  <c r="K72" i="694"/>
  <c r="K71" i="694"/>
  <c r="K70" i="694"/>
  <c r="K50" i="694"/>
  <c r="K49" i="694"/>
  <c r="K47" i="694"/>
  <c r="K44" i="694"/>
  <c r="K43" i="694"/>
  <c r="K42" i="694"/>
  <c r="K39" i="694"/>
  <c r="K38" i="694"/>
  <c r="K34" i="694"/>
  <c r="K35" i="694"/>
  <c r="K28" i="694"/>
  <c r="K26" i="694"/>
  <c r="K24" i="694"/>
  <c r="K21" i="694"/>
  <c r="K20" i="694"/>
  <c r="K17" i="694"/>
  <c r="K16" i="694"/>
  <c r="K15" i="694"/>
  <c r="L66" i="2"/>
  <c r="L65" i="2"/>
  <c r="L64" i="2"/>
  <c r="L63" i="2"/>
  <c r="L60" i="2"/>
  <c r="L59" i="2"/>
  <c r="L58" i="2"/>
  <c r="L57" i="2"/>
  <c r="L54" i="2"/>
  <c r="L53" i="2"/>
  <c r="L52" i="2"/>
  <c r="L51" i="2"/>
  <c r="L47" i="2"/>
  <c r="L46" i="2"/>
  <c r="L45" i="2"/>
  <c r="L44" i="2"/>
  <c r="L40" i="2"/>
  <c r="L39" i="2"/>
  <c r="L38" i="2"/>
  <c r="L36" i="2"/>
  <c r="L35" i="2"/>
  <c r="L33" i="2"/>
  <c r="L32" i="2"/>
  <c r="L31" i="2"/>
  <c r="L28" i="2"/>
  <c r="L26" i="2"/>
  <c r="L25" i="2"/>
  <c r="L22" i="2"/>
  <c r="L21" i="2"/>
  <c r="L20" i="2"/>
  <c r="L19" i="2"/>
  <c r="L17" i="2"/>
  <c r="L16" i="2"/>
  <c r="L15" i="2"/>
  <c r="I92" i="694" l="1"/>
  <c r="I133" i="694"/>
  <c r="I218" i="694"/>
  <c r="I274" i="694" s="1"/>
  <c r="I219" i="694"/>
  <c r="I275" i="694" s="1"/>
  <c r="J125" i="694"/>
  <c r="J87" i="694"/>
  <c r="I189" i="694"/>
  <c r="I245" i="694" s="1"/>
  <c r="J61" i="694"/>
  <c r="J162" i="694" s="1"/>
  <c r="J210" i="694"/>
  <c r="J266" i="694" s="1"/>
  <c r="J62" i="694"/>
  <c r="J219" i="694" s="1"/>
  <c r="J275" i="694" s="1"/>
  <c r="J105" i="694"/>
  <c r="J106" i="694"/>
  <c r="J66" i="694"/>
  <c r="J88" i="694"/>
  <c r="J204" i="694"/>
  <c r="J260" i="694" s="1"/>
  <c r="J218" i="694"/>
  <c r="J274" i="694" s="1"/>
  <c r="I132" i="694"/>
  <c r="J154" i="694"/>
  <c r="L115" i="2"/>
  <c r="L193" i="2" s="1"/>
  <c r="L154" i="2"/>
  <c r="M115" i="2"/>
  <c r="M193" i="2" s="1"/>
  <c r="L71" i="2"/>
  <c r="L106" i="2"/>
  <c r="L116" i="2"/>
  <c r="L194" i="2" s="1"/>
  <c r="L155" i="2"/>
  <c r="M116" i="2"/>
  <c r="M194" i="2" s="1"/>
  <c r="L72" i="2"/>
  <c r="L117" i="2"/>
  <c r="L195" i="2" s="1"/>
  <c r="L156" i="2"/>
  <c r="M117" i="2"/>
  <c r="M195" i="2" s="1"/>
  <c r="L74" i="2"/>
  <c r="L119" i="2"/>
  <c r="L197" i="2" s="1"/>
  <c r="L158" i="2"/>
  <c r="L107" i="2"/>
  <c r="M119" i="2"/>
  <c r="M197" i="2" s="1"/>
  <c r="L108" i="2"/>
  <c r="L75" i="2"/>
  <c r="L120" i="2"/>
  <c r="L198" i="2" s="1"/>
  <c r="L159" i="2"/>
  <c r="M120" i="2"/>
  <c r="M198" i="2" s="1"/>
  <c r="L76" i="2"/>
  <c r="L121" i="2"/>
  <c r="L199" i="2" s="1"/>
  <c r="L160" i="2"/>
  <c r="L109" i="2"/>
  <c r="M121" i="2"/>
  <c r="M199" i="2" s="1"/>
  <c r="L110" i="2"/>
  <c r="L77" i="2"/>
  <c r="L122" i="2"/>
  <c r="L200" i="2" s="1"/>
  <c r="L161" i="2"/>
  <c r="M122" i="2"/>
  <c r="M200" i="2" s="1"/>
  <c r="L80" i="2"/>
  <c r="L125" i="2"/>
  <c r="L203" i="2" s="1"/>
  <c r="L164" i="2"/>
  <c r="M125" i="2"/>
  <c r="M203" i="2" s="1"/>
  <c r="L165" i="2"/>
  <c r="L82" i="2"/>
  <c r="L127" i="2"/>
  <c r="L205" i="2" s="1"/>
  <c r="M127" i="2"/>
  <c r="M205" i="2" s="1"/>
  <c r="L83" i="2"/>
  <c r="L128" i="2"/>
  <c r="L206" i="2" s="1"/>
  <c r="L167" i="2"/>
  <c r="M128" i="2"/>
  <c r="M206" i="2" s="1"/>
  <c r="L86" i="2"/>
  <c r="L131" i="2"/>
  <c r="L209" i="2" s="1"/>
  <c r="L170" i="2"/>
  <c r="M131" i="2"/>
  <c r="M209" i="2" s="1"/>
  <c r="L87" i="2"/>
  <c r="L132" i="2"/>
  <c r="L210" i="2" s="1"/>
  <c r="L171" i="2"/>
  <c r="M132" i="2"/>
  <c r="M210" i="2" s="1"/>
  <c r="L34" i="2"/>
  <c r="L88" i="2"/>
  <c r="L133" i="2"/>
  <c r="L211" i="2" s="1"/>
  <c r="L172" i="2"/>
  <c r="M133" i="2"/>
  <c r="M211" i="2" s="1"/>
  <c r="L90" i="2"/>
  <c r="L135" i="2"/>
  <c r="L213" i="2" s="1"/>
  <c r="L174" i="2"/>
  <c r="M135" i="2"/>
  <c r="M213" i="2" s="1"/>
  <c r="L37" i="2"/>
  <c r="L91" i="2"/>
  <c r="L136" i="2"/>
  <c r="L214" i="2" s="1"/>
  <c r="L175" i="2"/>
  <c r="M136" i="2"/>
  <c r="M214" i="2" s="1"/>
  <c r="L93" i="2"/>
  <c r="L138" i="2"/>
  <c r="L216" i="2" s="1"/>
  <c r="L177" i="2"/>
  <c r="M138" i="2"/>
  <c r="M216" i="2" s="1"/>
  <c r="L94" i="2"/>
  <c r="L139" i="2"/>
  <c r="L217" i="2" s="1"/>
  <c r="L178" i="2"/>
  <c r="M139" i="2"/>
  <c r="M217" i="2" s="1"/>
  <c r="L41" i="2"/>
  <c r="L95" i="2"/>
  <c r="L140" i="2"/>
  <c r="L218" i="2" s="1"/>
  <c r="L179" i="2"/>
  <c r="M140" i="2"/>
  <c r="M218" i="2" s="1"/>
  <c r="L48" i="2"/>
  <c r="L149" i="2"/>
  <c r="L227" i="2" s="1"/>
  <c r="L188" i="2"/>
  <c r="M149" i="2"/>
  <c r="M227" i="2" s="1"/>
  <c r="L99" i="2"/>
  <c r="L144" i="2"/>
  <c r="L222" i="2" s="1"/>
  <c r="L183" i="2"/>
  <c r="M144" i="2"/>
  <c r="M222" i="2" s="1"/>
  <c r="L100" i="2"/>
  <c r="L145" i="2"/>
  <c r="L223" i="2" s="1"/>
  <c r="L184" i="2"/>
  <c r="M145" i="2"/>
  <c r="M223" i="2" s="1"/>
  <c r="L101" i="2"/>
  <c r="L146" i="2"/>
  <c r="L224" i="2" s="1"/>
  <c r="L185" i="2"/>
  <c r="L102" i="2"/>
  <c r="M146" i="2"/>
  <c r="M224" i="2" s="1"/>
  <c r="L147" i="2"/>
  <c r="L225" i="2" s="1"/>
  <c r="L186" i="2"/>
  <c r="M147" i="2"/>
  <c r="M225" i="2" s="1"/>
  <c r="D44" i="83"/>
  <c r="EW31" i="83"/>
  <c r="D45" i="83"/>
  <c r="EU30" i="695"/>
  <c r="J143" i="694"/>
  <c r="J199" i="694"/>
  <c r="J255" i="694" s="1"/>
  <c r="DW25" i="83"/>
  <c r="DW30" i="83"/>
  <c r="DW33" i="83"/>
  <c r="FW3" i="83"/>
  <c r="FC9" i="83"/>
  <c r="FC10" i="83"/>
  <c r="FC11" i="83"/>
  <c r="FC12" i="83"/>
  <c r="FC13" i="83"/>
  <c r="FC14" i="83"/>
  <c r="FC15" i="83"/>
  <c r="FC16" i="83"/>
  <c r="FC17" i="83"/>
  <c r="FC7" i="83"/>
  <c r="FC8" i="83"/>
  <c r="EE29" i="83"/>
  <c r="EE31" i="83"/>
  <c r="DP29" i="695"/>
  <c r="DP25" i="695"/>
  <c r="DP32" i="695"/>
  <c r="EH19" i="695"/>
  <c r="EH27" i="695" s="1"/>
  <c r="EH20" i="695"/>
  <c r="EH23" i="695" s="1"/>
  <c r="EH18" i="695"/>
  <c r="EH31" i="695" s="1"/>
  <c r="EH22" i="695"/>
  <c r="EH21" i="695"/>
  <c r="EH24" i="695" s="1"/>
  <c r="EH26" i="695" s="1"/>
  <c r="L23" i="2"/>
  <c r="L27" i="2" s="1"/>
  <c r="EF28" i="695"/>
  <c r="EF30" i="695"/>
  <c r="K45" i="694"/>
  <c r="K48" i="694"/>
  <c r="K207" i="694" s="1"/>
  <c r="K263" i="694" s="1"/>
  <c r="K64" i="694"/>
  <c r="K63" i="694"/>
  <c r="EP18" i="83"/>
  <c r="EP32" i="83" s="1"/>
  <c r="EP19" i="83"/>
  <c r="EP27" i="83" s="1"/>
  <c r="EP21" i="83"/>
  <c r="EP23" i="83" s="1"/>
  <c r="EP20" i="83"/>
  <c r="EP24" i="83" s="1"/>
  <c r="EP26" i="83" s="1"/>
  <c r="EP22" i="83"/>
  <c r="ET28" i="695"/>
  <c r="ET30" i="695"/>
  <c r="DY25" i="695"/>
  <c r="DY29" i="695"/>
  <c r="DY32" i="695"/>
  <c r="GD3" i="695"/>
  <c r="FJ7" i="695"/>
  <c r="FJ9" i="695"/>
  <c r="FJ10" i="695"/>
  <c r="FJ11" i="695"/>
  <c r="FJ12" i="695"/>
  <c r="FJ13" i="695"/>
  <c r="FJ14" i="695"/>
  <c r="FJ15" i="695"/>
  <c r="FJ16" i="695"/>
  <c r="FJ17" i="695"/>
  <c r="FJ8" i="695"/>
  <c r="ES18" i="83"/>
  <c r="ES32" i="83" s="1"/>
  <c r="ES20" i="83"/>
  <c r="ES24" i="83" s="1"/>
  <c r="ES26" i="83" s="1"/>
  <c r="ES19" i="83"/>
  <c r="ES27" i="83" s="1"/>
  <c r="ES21" i="83"/>
  <c r="ES23" i="83" s="1"/>
  <c r="ES22" i="83"/>
  <c r="K81" i="2"/>
  <c r="K126" i="2"/>
  <c r="K204" i="2" s="1"/>
  <c r="K166" i="2"/>
  <c r="FQ3" i="83"/>
  <c r="EW9" i="83"/>
  <c r="EW20" i="83" s="1"/>
  <c r="EW24" i="83" s="1"/>
  <c r="EW26" i="83" s="1"/>
  <c r="EW10" i="83"/>
  <c r="EW11" i="83"/>
  <c r="EW12" i="83"/>
  <c r="EW13" i="83"/>
  <c r="EW14" i="83"/>
  <c r="EW15" i="83"/>
  <c r="EW16" i="83"/>
  <c r="EW17" i="83"/>
  <c r="DJ25" i="83"/>
  <c r="DJ30" i="83"/>
  <c r="DJ33" i="83"/>
  <c r="EK18" i="695"/>
  <c r="EK31" i="695" s="1"/>
  <c r="EK21" i="695"/>
  <c r="EK24" i="695" s="1"/>
  <c r="EK26" i="695" s="1"/>
  <c r="EK19" i="695"/>
  <c r="EK27" i="695" s="1"/>
  <c r="EK20" i="695"/>
  <c r="EK23" i="695" s="1"/>
  <c r="EK22" i="695"/>
  <c r="DS25" i="83"/>
  <c r="DS30" i="83"/>
  <c r="DS33" i="83"/>
  <c r="DR25" i="83"/>
  <c r="DR30" i="83"/>
  <c r="DR33" i="83"/>
  <c r="GG3" i="695"/>
  <c r="FM7" i="695"/>
  <c r="FM9" i="695"/>
  <c r="FM10" i="695"/>
  <c r="FM11" i="695"/>
  <c r="FM12" i="695"/>
  <c r="FM13" i="695"/>
  <c r="FM14" i="695"/>
  <c r="FM15" i="695"/>
  <c r="FM16" i="695"/>
  <c r="FM17" i="695"/>
  <c r="FM8" i="695"/>
  <c r="J164" i="694"/>
  <c r="J121" i="694"/>
  <c r="J90" i="694"/>
  <c r="EJ29" i="83"/>
  <c r="EJ31" i="83"/>
  <c r="ET29" i="83"/>
  <c r="ET31" i="83"/>
  <c r="GB3" i="83"/>
  <c r="FH9" i="83"/>
  <c r="FH10" i="83"/>
  <c r="FH11" i="83"/>
  <c r="FH12" i="83"/>
  <c r="FH13" i="83"/>
  <c r="FH14" i="83"/>
  <c r="FH15" i="83"/>
  <c r="FH16" i="83"/>
  <c r="FH17" i="83"/>
  <c r="FH7" i="83"/>
  <c r="FH8" i="83"/>
  <c r="EQ29" i="83"/>
  <c r="EQ31" i="83"/>
  <c r="B59" i="1646"/>
  <c r="GF3" i="83"/>
  <c r="FL9" i="83"/>
  <c r="FL10" i="83"/>
  <c r="FL11" i="83"/>
  <c r="FL12" i="83"/>
  <c r="FL13" i="83"/>
  <c r="FL14" i="83"/>
  <c r="FL15" i="83"/>
  <c r="FL16" i="83"/>
  <c r="FL17" i="83"/>
  <c r="FL7" i="83"/>
  <c r="FL8" i="83"/>
  <c r="EC19" i="83"/>
  <c r="EC27" i="83" s="1"/>
  <c r="GJ3" i="83"/>
  <c r="FP9" i="83"/>
  <c r="FP10" i="83"/>
  <c r="FP11" i="83"/>
  <c r="FP12" i="83"/>
  <c r="FP13" i="83"/>
  <c r="FP14" i="83"/>
  <c r="FP15" i="83"/>
  <c r="FP16" i="83"/>
  <c r="FP17" i="83"/>
  <c r="FP7" i="83"/>
  <c r="FP8" i="83"/>
  <c r="ES28" i="695"/>
  <c r="ES30" i="695"/>
  <c r="EG19" i="695"/>
  <c r="EG27" i="695" s="1"/>
  <c r="EG20" i="695"/>
  <c r="EG23" i="695" s="1"/>
  <c r="EG18" i="695"/>
  <c r="EG31" i="695" s="1"/>
  <c r="EG21" i="695"/>
  <c r="EG24" i="695" s="1"/>
  <c r="EG26" i="695" s="1"/>
  <c r="EG22" i="695"/>
  <c r="EQ18" i="83"/>
  <c r="EQ32" i="83" s="1"/>
  <c r="EQ19" i="83"/>
  <c r="EQ27" i="83" s="1"/>
  <c r="EQ21" i="83"/>
  <c r="EQ23" i="83" s="1"/>
  <c r="EQ20" i="83"/>
  <c r="EQ24" i="83" s="1"/>
  <c r="EQ26" i="83" s="1"/>
  <c r="EQ22" i="83"/>
  <c r="DT25" i="695"/>
  <c r="DT29" i="695"/>
  <c r="DT32" i="695"/>
  <c r="DY25" i="83"/>
  <c r="DY30" i="83"/>
  <c r="DY33" i="83"/>
  <c r="EM20" i="695"/>
  <c r="EM23" i="695" s="1"/>
  <c r="EM18" i="695"/>
  <c r="EM31" i="695" s="1"/>
  <c r="EM21" i="695"/>
  <c r="EM24" i="695" s="1"/>
  <c r="EM26" i="695" s="1"/>
  <c r="EM19" i="695"/>
  <c r="EM27" i="695" s="1"/>
  <c r="EM22" i="695"/>
  <c r="EM18" i="83"/>
  <c r="EM32" i="83" s="1"/>
  <c r="EM19" i="83"/>
  <c r="EM27" i="83" s="1"/>
  <c r="EM20" i="83"/>
  <c r="EM24" i="83" s="1"/>
  <c r="EM26" i="83" s="1"/>
  <c r="EM21" i="83"/>
  <c r="EM23" i="83" s="1"/>
  <c r="EM22" i="83"/>
  <c r="FT3" i="695"/>
  <c r="EZ7" i="695"/>
  <c r="EZ9" i="695"/>
  <c r="EZ10" i="695"/>
  <c r="EZ11" i="695"/>
  <c r="EZ12" i="695"/>
  <c r="EZ13" i="695"/>
  <c r="EZ14" i="695"/>
  <c r="EZ15" i="695"/>
  <c r="EZ16" i="695"/>
  <c r="EZ17" i="695"/>
  <c r="EZ8" i="695"/>
  <c r="FS3" i="83"/>
  <c r="EY9" i="83"/>
  <c r="EY10" i="83"/>
  <c r="EY11" i="83"/>
  <c r="EY12" i="83"/>
  <c r="EY13" i="83"/>
  <c r="EY14" i="83"/>
  <c r="EY15" i="83"/>
  <c r="EY16" i="83"/>
  <c r="EY17" i="83"/>
  <c r="EY7" i="83"/>
  <c r="EY8" i="83"/>
  <c r="DH25" i="695"/>
  <c r="DH29" i="695"/>
  <c r="DH32" i="695"/>
  <c r="EP29" i="83"/>
  <c r="EP31" i="83"/>
  <c r="FO3" i="695"/>
  <c r="EU9" i="695"/>
  <c r="EU18" i="695" s="1"/>
  <c r="EU31" i="695" s="1"/>
  <c r="EU10" i="695"/>
  <c r="EU11" i="695"/>
  <c r="EU12" i="695"/>
  <c r="EU13" i="695"/>
  <c r="EU14" i="695"/>
  <c r="EU15" i="695"/>
  <c r="EU16" i="695"/>
  <c r="EU17" i="695"/>
  <c r="GH3" i="695"/>
  <c r="FN7" i="695"/>
  <c r="FN9" i="695"/>
  <c r="FN10" i="695"/>
  <c r="FN11" i="695"/>
  <c r="FN12" i="695"/>
  <c r="FN13" i="695"/>
  <c r="FN14" i="695"/>
  <c r="FN15" i="695"/>
  <c r="FN16" i="695"/>
  <c r="FN17" i="695"/>
  <c r="FN8" i="695"/>
  <c r="EF18" i="83"/>
  <c r="EF32" i="83" s="1"/>
  <c r="EF19" i="83"/>
  <c r="EF27" i="83" s="1"/>
  <c r="EF21" i="83"/>
  <c r="EF23" i="83" s="1"/>
  <c r="EF20" i="83"/>
  <c r="EF24" i="83" s="1"/>
  <c r="EF26" i="83" s="1"/>
  <c r="EF22" i="83"/>
  <c r="ER18" i="695"/>
  <c r="ER31" i="695" s="1"/>
  <c r="ER21" i="695"/>
  <c r="ER24" i="695" s="1"/>
  <c r="ER26" i="695" s="1"/>
  <c r="ER19" i="695"/>
  <c r="ER27" i="695" s="1"/>
  <c r="ER20" i="695"/>
  <c r="ER23" i="695" s="1"/>
  <c r="ER22" i="695"/>
  <c r="ES29" i="83"/>
  <c r="ES31" i="83"/>
  <c r="K78" i="2"/>
  <c r="K123" i="2"/>
  <c r="K201" i="2" s="1"/>
  <c r="K162" i="2"/>
  <c r="EH28" i="695"/>
  <c r="EH30" i="695"/>
  <c r="DJ25" i="695"/>
  <c r="DJ29" i="695"/>
  <c r="DJ32" i="695"/>
  <c r="FU3" i="83"/>
  <c r="FA9" i="83"/>
  <c r="FA10" i="83"/>
  <c r="FA11" i="83"/>
  <c r="FA12" i="83"/>
  <c r="FA13" i="83"/>
  <c r="FA14" i="83"/>
  <c r="FA15" i="83"/>
  <c r="FA16" i="83"/>
  <c r="FA17" i="83"/>
  <c r="FA7" i="83"/>
  <c r="FA8" i="83"/>
  <c r="DS25" i="695"/>
  <c r="DS29" i="695"/>
  <c r="DS32" i="695"/>
  <c r="FZ3" i="83"/>
  <c r="FF9" i="83"/>
  <c r="FF10" i="83"/>
  <c r="FF11" i="83"/>
  <c r="FF12" i="83"/>
  <c r="FF13" i="83"/>
  <c r="FF14" i="83"/>
  <c r="FF15" i="83"/>
  <c r="FF16" i="83"/>
  <c r="FF17" i="83"/>
  <c r="FF7" i="83"/>
  <c r="FF8" i="83"/>
  <c r="DK25" i="83"/>
  <c r="DK30" i="83"/>
  <c r="DK33" i="83"/>
  <c r="DN25" i="695"/>
  <c r="DN29" i="695"/>
  <c r="DN32" i="695"/>
  <c r="EG28" i="695"/>
  <c r="EG30" i="695"/>
  <c r="ED18" i="83"/>
  <c r="ED32" i="83" s="1"/>
  <c r="ED20" i="83"/>
  <c r="ED24" i="83" s="1"/>
  <c r="ED26" i="83" s="1"/>
  <c r="ED19" i="83"/>
  <c r="ED27" i="83" s="1"/>
  <c r="ED21" i="83"/>
  <c r="ED23" i="83" s="1"/>
  <c r="ED22" i="83"/>
  <c r="DM29" i="695"/>
  <c r="DM25" i="695"/>
  <c r="DM32" i="695"/>
  <c r="EK18" i="83"/>
  <c r="EK32" i="83" s="1"/>
  <c r="EK20" i="83"/>
  <c r="EK24" i="83" s="1"/>
  <c r="EK26" i="83" s="1"/>
  <c r="EK19" i="83"/>
  <c r="EK27" i="83" s="1"/>
  <c r="EK21" i="83"/>
  <c r="EK23" i="83" s="1"/>
  <c r="EK22" i="83"/>
  <c r="ED20" i="695"/>
  <c r="ED23" i="695" s="1"/>
  <c r="ED18" i="695"/>
  <c r="ED31" i="695" s="1"/>
  <c r="ED21" i="695"/>
  <c r="ED24" i="695" s="1"/>
  <c r="ED26" i="695" s="1"/>
  <c r="ED19" i="695"/>
  <c r="ED27" i="695" s="1"/>
  <c r="ED22" i="695"/>
  <c r="EA28" i="695"/>
  <c r="EC20" i="83"/>
  <c r="EC24" i="83" s="1"/>
  <c r="EC26" i="83" s="1"/>
  <c r="DN25" i="83"/>
  <c r="DN30" i="83"/>
  <c r="DN33" i="83"/>
  <c r="GC3" i="695"/>
  <c r="FI7" i="695"/>
  <c r="FI9" i="695"/>
  <c r="FI10" i="695"/>
  <c r="FI11" i="695"/>
  <c r="FI12" i="695"/>
  <c r="FI13" i="695"/>
  <c r="FI14" i="695"/>
  <c r="FI15" i="695"/>
  <c r="FI16" i="695"/>
  <c r="FI17" i="695"/>
  <c r="FI8" i="695"/>
  <c r="EI18" i="83"/>
  <c r="EI32" i="83" s="1"/>
  <c r="EI19" i="83"/>
  <c r="EI27" i="83" s="1"/>
  <c r="EI21" i="83"/>
  <c r="EI23" i="83" s="1"/>
  <c r="EI20" i="83"/>
  <c r="EI24" i="83" s="1"/>
  <c r="EI26" i="83" s="1"/>
  <c r="EI22" i="83"/>
  <c r="EM29" i="83"/>
  <c r="EM31" i="83"/>
  <c r="EH18" i="83"/>
  <c r="EH32" i="83" s="1"/>
  <c r="EH19" i="83"/>
  <c r="EH27" i="83" s="1"/>
  <c r="EH21" i="83"/>
  <c r="EH23" i="83" s="1"/>
  <c r="EH20" i="83"/>
  <c r="EH24" i="83" s="1"/>
  <c r="EH26" i="83" s="1"/>
  <c r="EH22" i="83"/>
  <c r="EB18" i="695"/>
  <c r="EB31" i="695" s="1"/>
  <c r="EB21" i="695"/>
  <c r="EB24" i="695" s="1"/>
  <c r="EB26" i="695" s="1"/>
  <c r="EB19" i="695"/>
  <c r="EB27" i="695" s="1"/>
  <c r="EB20" i="695"/>
  <c r="EB23" i="695" s="1"/>
  <c r="EB22" i="695"/>
  <c r="EL20" i="695"/>
  <c r="EL23" i="695" s="1"/>
  <c r="EL18" i="695"/>
  <c r="EL31" i="695" s="1"/>
  <c r="EL21" i="695"/>
  <c r="EL24" i="695" s="1"/>
  <c r="EL26" i="695" s="1"/>
  <c r="EL19" i="695"/>
  <c r="EL27" i="695" s="1"/>
  <c r="EL22" i="695"/>
  <c r="EC18" i="695"/>
  <c r="EC31" i="695" s="1"/>
  <c r="EC21" i="695"/>
  <c r="EC24" i="695" s="1"/>
  <c r="EC26" i="695" s="1"/>
  <c r="EC19" i="695"/>
  <c r="EC27" i="695" s="1"/>
  <c r="EC20" i="695"/>
  <c r="EC23" i="695" s="1"/>
  <c r="EC22" i="695"/>
  <c r="I192" i="694"/>
  <c r="I248" i="694" s="1"/>
  <c r="I95" i="694"/>
  <c r="I136" i="694"/>
  <c r="EF29" i="83"/>
  <c r="EF31" i="83"/>
  <c r="FV3" i="695"/>
  <c r="FB7" i="695"/>
  <c r="FB9" i="695"/>
  <c r="FB10" i="695"/>
  <c r="FB11" i="695"/>
  <c r="FB12" i="695"/>
  <c r="FB13" i="695"/>
  <c r="FB14" i="695"/>
  <c r="FB15" i="695"/>
  <c r="FB16" i="695"/>
  <c r="FB17" i="695"/>
  <c r="FB8" i="695"/>
  <c r="EI21" i="695"/>
  <c r="EI24" i="695" s="1"/>
  <c r="EI26" i="695" s="1"/>
  <c r="EI19" i="695"/>
  <c r="EI27" i="695" s="1"/>
  <c r="EI18" i="695"/>
  <c r="EI31" i="695" s="1"/>
  <c r="EI20" i="695"/>
  <c r="EI23" i="695" s="1"/>
  <c r="EI22" i="695"/>
  <c r="EO18" i="83"/>
  <c r="EO32" i="83" s="1"/>
  <c r="EO21" i="83"/>
  <c r="EO23" i="83" s="1"/>
  <c r="EO19" i="83"/>
  <c r="EO27" i="83" s="1"/>
  <c r="EO20" i="83"/>
  <c r="EO24" i="83" s="1"/>
  <c r="EO26" i="83" s="1"/>
  <c r="EO22" i="83"/>
  <c r="EK28" i="695"/>
  <c r="EK30" i="695"/>
  <c r="DL25" i="695"/>
  <c r="DL29" i="695"/>
  <c r="DL32" i="695"/>
  <c r="J107" i="694"/>
  <c r="J108" i="694"/>
  <c r="J82" i="694"/>
  <c r="J217" i="694"/>
  <c r="J273" i="694" s="1"/>
  <c r="J151" i="694"/>
  <c r="J128" i="694"/>
  <c r="J33" i="694"/>
  <c r="FX3" i="83"/>
  <c r="FD9" i="83"/>
  <c r="FD10" i="83"/>
  <c r="FD11" i="83"/>
  <c r="FD12" i="83"/>
  <c r="FD13" i="83"/>
  <c r="FD14" i="83"/>
  <c r="FD15" i="83"/>
  <c r="FD16" i="83"/>
  <c r="FD17" i="83"/>
  <c r="FD7" i="83"/>
  <c r="FD8" i="83"/>
  <c r="GH3" i="83"/>
  <c r="FN9" i="83"/>
  <c r="FN10" i="83"/>
  <c r="FN11" i="83"/>
  <c r="FN12" i="83"/>
  <c r="FN13" i="83"/>
  <c r="FN14" i="83"/>
  <c r="FN15" i="83"/>
  <c r="FN16" i="83"/>
  <c r="FN17" i="83"/>
  <c r="FN7" i="83"/>
  <c r="FN8" i="83"/>
  <c r="FU3" i="695"/>
  <c r="FA7" i="695"/>
  <c r="FA9" i="695"/>
  <c r="FA10" i="695"/>
  <c r="FA11" i="695"/>
  <c r="FA12" i="695"/>
  <c r="FA13" i="695"/>
  <c r="FA14" i="695"/>
  <c r="FA15" i="695"/>
  <c r="FA16" i="695"/>
  <c r="FA17" i="695"/>
  <c r="FA8" i="695"/>
  <c r="DL25" i="83"/>
  <c r="DL30" i="83"/>
  <c r="DL33" i="83"/>
  <c r="DV25" i="695"/>
  <c r="DV29" i="695"/>
  <c r="DV32" i="695"/>
  <c r="DX25" i="695"/>
  <c r="DX29" i="695"/>
  <c r="DX32" i="695"/>
  <c r="GE3" i="83"/>
  <c r="FK9" i="83"/>
  <c r="FK10" i="83"/>
  <c r="FK11" i="83"/>
  <c r="FK12" i="83"/>
  <c r="FK13" i="83"/>
  <c r="FK14" i="83"/>
  <c r="FK15" i="83"/>
  <c r="FK16" i="83"/>
  <c r="FK17" i="83"/>
  <c r="FK7" i="83"/>
  <c r="FK8" i="83"/>
  <c r="DO25" i="695"/>
  <c r="DO29" i="695"/>
  <c r="DO32" i="695"/>
  <c r="EJ18" i="695"/>
  <c r="EJ31" i="695" s="1"/>
  <c r="EJ21" i="695"/>
  <c r="EJ24" i="695" s="1"/>
  <c r="EJ26" i="695" s="1"/>
  <c r="EJ19" i="695"/>
  <c r="EJ27" i="695" s="1"/>
  <c r="EJ20" i="695"/>
  <c r="EJ23" i="695" s="1"/>
  <c r="EJ22" i="695"/>
  <c r="ED29" i="83"/>
  <c r="ED31" i="83"/>
  <c r="EK29" i="83"/>
  <c r="EK31" i="83"/>
  <c r="EC18" i="83"/>
  <c r="EC32" i="83" s="1"/>
  <c r="EV29" i="83"/>
  <c r="EV31" i="83"/>
  <c r="FV3" i="83"/>
  <c r="FB9" i="83"/>
  <c r="FB10" i="83"/>
  <c r="FB11" i="83"/>
  <c r="FB12" i="83"/>
  <c r="FB13" i="83"/>
  <c r="FB14" i="83"/>
  <c r="FB15" i="83"/>
  <c r="FB16" i="83"/>
  <c r="FB17" i="83"/>
  <c r="FB7" i="83"/>
  <c r="FB8" i="83"/>
  <c r="H132" i="694"/>
  <c r="H91" i="694"/>
  <c r="H188" i="694"/>
  <c r="H244" i="694" s="1"/>
  <c r="ET18" i="83"/>
  <c r="ET32" i="83" s="1"/>
  <c r="ET19" i="83"/>
  <c r="ET27" i="83" s="1"/>
  <c r="ET21" i="83"/>
  <c r="ET23" i="83" s="1"/>
  <c r="ET22" i="83"/>
  <c r="ET20" i="83"/>
  <c r="ET24" i="83" s="1"/>
  <c r="ET26" i="83" s="1"/>
  <c r="EC21" i="83"/>
  <c r="EC23" i="83" s="1"/>
  <c r="EI29" i="83"/>
  <c r="EI31" i="83"/>
  <c r="EM28" i="695"/>
  <c r="EM30" i="695"/>
  <c r="EH29" i="83"/>
  <c r="EH31" i="83"/>
  <c r="DQ25" i="695"/>
  <c r="DQ29" i="695"/>
  <c r="DQ32" i="695"/>
  <c r="GD3" i="83"/>
  <c r="FJ9" i="83"/>
  <c r="FJ10" i="83"/>
  <c r="FJ11" i="83"/>
  <c r="FJ12" i="83"/>
  <c r="FJ13" i="83"/>
  <c r="FJ14" i="83"/>
  <c r="FJ15" i="83"/>
  <c r="FJ16" i="83"/>
  <c r="FJ17" i="83"/>
  <c r="FJ7" i="83"/>
  <c r="FJ8" i="83"/>
  <c r="ER28" i="695"/>
  <c r="ER30" i="695"/>
  <c r="GG3" i="83"/>
  <c r="FM9" i="83"/>
  <c r="FM10" i="83"/>
  <c r="FM11" i="83"/>
  <c r="FM12" i="83"/>
  <c r="FM13" i="83"/>
  <c r="FM14" i="83"/>
  <c r="FM15" i="83"/>
  <c r="FM16" i="83"/>
  <c r="FM17" i="83"/>
  <c r="FM7" i="83"/>
  <c r="FM8" i="83"/>
  <c r="DQ25" i="83"/>
  <c r="DQ30" i="83"/>
  <c r="DQ33" i="83"/>
  <c r="EE20" i="695"/>
  <c r="EE23" i="695" s="1"/>
  <c r="EE18" i="695"/>
  <c r="EE31" i="695" s="1"/>
  <c r="EE21" i="695"/>
  <c r="EE24" i="695" s="1"/>
  <c r="EE26" i="695" s="1"/>
  <c r="EE19" i="695"/>
  <c r="EE27" i="695" s="1"/>
  <c r="EE22" i="695"/>
  <c r="DI25" i="83"/>
  <c r="DI30" i="83"/>
  <c r="DI33" i="83"/>
  <c r="EO29" i="83"/>
  <c r="EO31" i="83"/>
  <c r="FY3" i="695"/>
  <c r="FE7" i="695"/>
  <c r="FE9" i="695"/>
  <c r="FE10" i="695"/>
  <c r="FE11" i="695"/>
  <c r="FE12" i="695"/>
  <c r="FE13" i="695"/>
  <c r="FE14" i="695"/>
  <c r="FE15" i="695"/>
  <c r="FE16" i="695"/>
  <c r="FE17" i="695"/>
  <c r="FE8" i="695"/>
  <c r="W14" i="27" a="1"/>
  <c r="W14" i="27" s="1"/>
  <c r="X15" i="27"/>
  <c r="J96" i="694"/>
  <c r="J109" i="694"/>
  <c r="DV25" i="83"/>
  <c r="DV30" i="83"/>
  <c r="DV33" i="83"/>
  <c r="EU18" i="83"/>
  <c r="EU32" i="83" s="1"/>
  <c r="EU19" i="83"/>
  <c r="EU27" i="83" s="1"/>
  <c r="EU20" i="83"/>
  <c r="EU24" i="83" s="1"/>
  <c r="EU26" i="83" s="1"/>
  <c r="EU21" i="83"/>
  <c r="EU23" i="83" s="1"/>
  <c r="EU22" i="83"/>
  <c r="EQ21" i="695"/>
  <c r="EQ24" i="695" s="1"/>
  <c r="EQ26" i="695" s="1"/>
  <c r="EQ19" i="695"/>
  <c r="EQ27" i="695" s="1"/>
  <c r="EQ18" i="695"/>
  <c r="EQ31" i="695" s="1"/>
  <c r="EQ20" i="695"/>
  <c r="EQ23" i="695" s="1"/>
  <c r="EQ22" i="695"/>
  <c r="DZ25" i="695"/>
  <c r="DZ29" i="695"/>
  <c r="DZ32" i="695"/>
  <c r="EN20" i="695"/>
  <c r="EN23" i="695" s="1"/>
  <c r="EN18" i="695"/>
  <c r="EN31" i="695" s="1"/>
  <c r="EN19" i="695"/>
  <c r="EN27" i="695" s="1"/>
  <c r="EN22" i="695"/>
  <c r="EN21" i="695"/>
  <c r="EN24" i="695" s="1"/>
  <c r="EN26" i="695" s="1"/>
  <c r="DZ25" i="83"/>
  <c r="DZ30" i="83"/>
  <c r="DZ33" i="83"/>
  <c r="DW25" i="695"/>
  <c r="DW29" i="695"/>
  <c r="DW32" i="695"/>
  <c r="ED28" i="695"/>
  <c r="ED30" i="695"/>
  <c r="EA20" i="695"/>
  <c r="EA23" i="695" s="1"/>
  <c r="K18" i="694"/>
  <c r="K90" i="694" s="1"/>
  <c r="K22" i="694"/>
  <c r="K125" i="694" s="1"/>
  <c r="K25" i="694"/>
  <c r="K128" i="694" s="1"/>
  <c r="K53" i="694"/>
  <c r="K210" i="694" s="1"/>
  <c r="K266" i="694" s="1"/>
  <c r="K102" i="694"/>
  <c r="K114" i="694"/>
  <c r="K120" i="694"/>
  <c r="K123" i="694"/>
  <c r="K131" i="694"/>
  <c r="K137" i="694"/>
  <c r="K141" i="694"/>
  <c r="K146" i="694"/>
  <c r="K148" i="694"/>
  <c r="K156" i="694"/>
  <c r="K158" i="694"/>
  <c r="K166" i="694"/>
  <c r="K168" i="694"/>
  <c r="K170" i="694"/>
  <c r="K176" i="694"/>
  <c r="K232" i="694" s="1"/>
  <c r="K179" i="694"/>
  <c r="K235" i="694" s="1"/>
  <c r="K187" i="694"/>
  <c r="K243" i="694" s="1"/>
  <c r="K193" i="694"/>
  <c r="K249" i="694" s="1"/>
  <c r="K197" i="694"/>
  <c r="K253" i="694" s="1"/>
  <c r="K202" i="694"/>
  <c r="K258" i="694" s="1"/>
  <c r="K204" i="694"/>
  <c r="K260" i="694" s="1"/>
  <c r="K212" i="694"/>
  <c r="K268" i="694" s="1"/>
  <c r="K214" i="694"/>
  <c r="K270" i="694" s="1"/>
  <c r="K222" i="694"/>
  <c r="K278" i="694" s="1"/>
  <c r="K224" i="694"/>
  <c r="K280" i="694" s="1"/>
  <c r="K226" i="694"/>
  <c r="K282" i="694" s="1"/>
  <c r="K86" i="694"/>
  <c r="K97" i="694"/>
  <c r="K88" i="694"/>
  <c r="K101" i="694"/>
  <c r="K113" i="694"/>
  <c r="K96" i="694"/>
  <c r="K119" i="694"/>
  <c r="K121" i="694"/>
  <c r="K124" i="694"/>
  <c r="K127" i="694"/>
  <c r="K129" i="694"/>
  <c r="K138" i="694"/>
  <c r="K142" i="694"/>
  <c r="K145" i="694"/>
  <c r="K147" i="694"/>
  <c r="K150" i="694"/>
  <c r="K152" i="694"/>
  <c r="K155" i="694"/>
  <c r="K157" i="694"/>
  <c r="K159" i="694"/>
  <c r="K164" i="694"/>
  <c r="K167" i="694"/>
  <c r="K169" i="694"/>
  <c r="K175" i="694"/>
  <c r="K231" i="694" s="1"/>
  <c r="K177" i="694"/>
  <c r="K233" i="694" s="1"/>
  <c r="K180" i="694"/>
  <c r="K236" i="694" s="1"/>
  <c r="K183" i="694"/>
  <c r="K239" i="694" s="1"/>
  <c r="K185" i="694"/>
  <c r="K241" i="694" s="1"/>
  <c r="K194" i="694"/>
  <c r="K250" i="694" s="1"/>
  <c r="K198" i="694"/>
  <c r="K254" i="694" s="1"/>
  <c r="K201" i="694"/>
  <c r="K257" i="694" s="1"/>
  <c r="K203" i="694"/>
  <c r="K259" i="694" s="1"/>
  <c r="K206" i="694"/>
  <c r="K262" i="694" s="1"/>
  <c r="K208" i="694"/>
  <c r="K264" i="694" s="1"/>
  <c r="K211" i="694"/>
  <c r="K267" i="694" s="1"/>
  <c r="K213" i="694"/>
  <c r="K269" i="694" s="1"/>
  <c r="K215" i="694"/>
  <c r="K271" i="694" s="1"/>
  <c r="K220" i="694"/>
  <c r="K276" i="694" s="1"/>
  <c r="K223" i="694"/>
  <c r="K279" i="694" s="1"/>
  <c r="K225" i="694"/>
  <c r="K281" i="694" s="1"/>
  <c r="K112" i="694"/>
  <c r="EP28" i="695"/>
  <c r="EP30" i="695"/>
  <c r="EG29" i="83"/>
  <c r="EG31" i="83"/>
  <c r="EL29" i="83"/>
  <c r="EL31" i="83"/>
  <c r="EJ18" i="83"/>
  <c r="EJ32" i="83" s="1"/>
  <c r="EJ19" i="83"/>
  <c r="EJ27" i="83" s="1"/>
  <c r="EJ21" i="83"/>
  <c r="EJ23" i="83" s="1"/>
  <c r="EJ22" i="83"/>
  <c r="EJ20" i="83"/>
  <c r="EJ24" i="83" s="1"/>
  <c r="EJ26" i="83" s="1"/>
  <c r="DP25" i="83"/>
  <c r="DP30" i="83"/>
  <c r="DP33" i="83"/>
  <c r="I188" i="694"/>
  <c r="I244" i="694" s="1"/>
  <c r="DR25" i="695"/>
  <c r="DR29" i="695"/>
  <c r="DR32" i="695"/>
  <c r="EV18" i="83"/>
  <c r="EV32" i="83" s="1"/>
  <c r="EV19" i="83"/>
  <c r="EV27" i="83" s="1"/>
  <c r="EV21" i="83"/>
  <c r="EV23" i="83" s="1"/>
  <c r="EV20" i="83"/>
  <c r="EV24" i="83" s="1"/>
  <c r="EV26" i="83" s="1"/>
  <c r="EV22" i="83"/>
  <c r="GA3" i="695"/>
  <c r="FG7" i="695"/>
  <c r="FG9" i="695"/>
  <c r="FG10" i="695"/>
  <c r="FG11" i="695"/>
  <c r="FG12" i="695"/>
  <c r="FG13" i="695"/>
  <c r="FG14" i="695"/>
  <c r="FG15" i="695"/>
  <c r="FG16" i="695"/>
  <c r="FG17" i="695"/>
  <c r="FG8" i="695"/>
  <c r="GA3" i="83"/>
  <c r="FG9" i="83"/>
  <c r="FG10" i="83"/>
  <c r="FG11" i="83"/>
  <c r="FG12" i="83"/>
  <c r="FG13" i="83"/>
  <c r="FG14" i="83"/>
  <c r="FG15" i="83"/>
  <c r="FG16" i="83"/>
  <c r="FG17" i="83"/>
  <c r="FG7" i="83"/>
  <c r="FG8" i="83"/>
  <c r="EB28" i="695"/>
  <c r="EB30" i="695"/>
  <c r="EL28" i="695"/>
  <c r="EL30" i="695"/>
  <c r="DU25" i="83"/>
  <c r="DU30" i="83"/>
  <c r="DU33" i="83"/>
  <c r="EC28" i="695"/>
  <c r="EC30" i="695"/>
  <c r="FT3" i="83"/>
  <c r="EZ9" i="83"/>
  <c r="EZ10" i="83"/>
  <c r="EZ11" i="83"/>
  <c r="EZ12" i="83"/>
  <c r="EZ13" i="83"/>
  <c r="EZ14" i="83"/>
  <c r="EZ15" i="83"/>
  <c r="EZ16" i="83"/>
  <c r="EZ17" i="83"/>
  <c r="EZ7" i="83"/>
  <c r="EZ8" i="83"/>
  <c r="GF3" i="695"/>
  <c r="FL7" i="695"/>
  <c r="FL9" i="695"/>
  <c r="FL10" i="695"/>
  <c r="FL11" i="695"/>
  <c r="FL12" i="695"/>
  <c r="FL13" i="695"/>
  <c r="FL14" i="695"/>
  <c r="FL15" i="695"/>
  <c r="FL16" i="695"/>
  <c r="FL17" i="695"/>
  <c r="FL8" i="695"/>
  <c r="EI28" i="695"/>
  <c r="EI30" i="695"/>
  <c r="DM25" i="83"/>
  <c r="DM30" i="83"/>
  <c r="DM33" i="83"/>
  <c r="DO25" i="83"/>
  <c r="DO30" i="83"/>
  <c r="DO33" i="83"/>
  <c r="J83" i="694"/>
  <c r="J177" i="694"/>
  <c r="J233" i="694" s="1"/>
  <c r="J84" i="694"/>
  <c r="J97" i="694"/>
  <c r="J30" i="694"/>
  <c r="EU29" i="83"/>
  <c r="EU31" i="83"/>
  <c r="EJ28" i="695"/>
  <c r="EJ30" i="695"/>
  <c r="FR3" i="83"/>
  <c r="EX9" i="83"/>
  <c r="EX10" i="83"/>
  <c r="EX11" i="83"/>
  <c r="EX12" i="83"/>
  <c r="EX13" i="83"/>
  <c r="EX14" i="83"/>
  <c r="EX15" i="83"/>
  <c r="EX16" i="83"/>
  <c r="EX17" i="83"/>
  <c r="EX7" i="83"/>
  <c r="EX8" i="83"/>
  <c r="EO19" i="695"/>
  <c r="EO27" i="695" s="1"/>
  <c r="EO20" i="695"/>
  <c r="EO23" i="695" s="1"/>
  <c r="EO18" i="695"/>
  <c r="EO31" i="695" s="1"/>
  <c r="EO21" i="695"/>
  <c r="EO24" i="695" s="1"/>
  <c r="EO26" i="695" s="1"/>
  <c r="EO22" i="695"/>
  <c r="FY3" i="83"/>
  <c r="FE9" i="83"/>
  <c r="FE10" i="83"/>
  <c r="FE11" i="83"/>
  <c r="FE12" i="83"/>
  <c r="FE13" i="83"/>
  <c r="FE14" i="83"/>
  <c r="FE15" i="83"/>
  <c r="FE16" i="83"/>
  <c r="FE17" i="83"/>
  <c r="FE7" i="83"/>
  <c r="FE8" i="83"/>
  <c r="FR3" i="695"/>
  <c r="EX7" i="695"/>
  <c r="EX9" i="695"/>
  <c r="EX10" i="695"/>
  <c r="EX11" i="695"/>
  <c r="EX12" i="695"/>
  <c r="EX13" i="695"/>
  <c r="EX14" i="695"/>
  <c r="EX15" i="695"/>
  <c r="EX16" i="695"/>
  <c r="EX17" i="695"/>
  <c r="EX8" i="695"/>
  <c r="EA22" i="695"/>
  <c r="K96" i="2"/>
  <c r="K141" i="2"/>
  <c r="K219" i="2" s="1"/>
  <c r="K180" i="2"/>
  <c r="EC29" i="83"/>
  <c r="FZ3" i="695"/>
  <c r="FF7" i="695"/>
  <c r="FF9" i="695"/>
  <c r="FF10" i="695"/>
  <c r="FF11" i="695"/>
  <c r="FF12" i="695"/>
  <c r="FF13" i="695"/>
  <c r="FF14" i="695"/>
  <c r="FF15" i="695"/>
  <c r="FF16" i="695"/>
  <c r="FF17" i="695"/>
  <c r="FF8" i="695"/>
  <c r="FQ3" i="695"/>
  <c r="EW7" i="695"/>
  <c r="EW9" i="695"/>
  <c r="EW10" i="695"/>
  <c r="EW11" i="695"/>
  <c r="EW12" i="695"/>
  <c r="EW13" i="695"/>
  <c r="EW14" i="695"/>
  <c r="EW15" i="695"/>
  <c r="EW16" i="695"/>
  <c r="EW17" i="695"/>
  <c r="EW8" i="695"/>
  <c r="EP19" i="695"/>
  <c r="EP27" i="695" s="1"/>
  <c r="EP20" i="695"/>
  <c r="EP23" i="695" s="1"/>
  <c r="EP18" i="695"/>
  <c r="EP31" i="695" s="1"/>
  <c r="EP22" i="695"/>
  <c r="EP21" i="695"/>
  <c r="EP24" i="695" s="1"/>
  <c r="EP26" i="695" s="1"/>
  <c r="EB25" i="83"/>
  <c r="EB30" i="83"/>
  <c r="EB33" i="83"/>
  <c r="GC3" i="83"/>
  <c r="FI9" i="83"/>
  <c r="FI10" i="83"/>
  <c r="FI11" i="83"/>
  <c r="FI12" i="83"/>
  <c r="FI13" i="83"/>
  <c r="FI14" i="83"/>
  <c r="FI15" i="83"/>
  <c r="FI16" i="83"/>
  <c r="FI17" i="83"/>
  <c r="FI7" i="83"/>
  <c r="FI8" i="83"/>
  <c r="EQ28" i="695"/>
  <c r="EQ30" i="695"/>
  <c r="EN18" i="83"/>
  <c r="EN32" i="83" s="1"/>
  <c r="EN19" i="83"/>
  <c r="EN27" i="83" s="1"/>
  <c r="EN21" i="83"/>
  <c r="EN23" i="83" s="1"/>
  <c r="EN20" i="83"/>
  <c r="EN24" i="83" s="1"/>
  <c r="EN26" i="83" s="1"/>
  <c r="EN22" i="83"/>
  <c r="EN28" i="695"/>
  <c r="EN30" i="695"/>
  <c r="FX3" i="695"/>
  <c r="FD7" i="695"/>
  <c r="FD9" i="695"/>
  <c r="FD10" i="695"/>
  <c r="FD11" i="695"/>
  <c r="FD12" i="695"/>
  <c r="FD13" i="695"/>
  <c r="FD14" i="695"/>
  <c r="FD15" i="695"/>
  <c r="FD16" i="695"/>
  <c r="FD17" i="695"/>
  <c r="FD8" i="695"/>
  <c r="DT25" i="83"/>
  <c r="DT30" i="83"/>
  <c r="DT33" i="83"/>
  <c r="ER18" i="83"/>
  <c r="ER32" i="83" s="1"/>
  <c r="ER19" i="83"/>
  <c r="ER27" i="83" s="1"/>
  <c r="ER21" i="83"/>
  <c r="ER23" i="83" s="1"/>
  <c r="ER20" i="83"/>
  <c r="ER24" i="83" s="1"/>
  <c r="ER26" i="83" s="1"/>
  <c r="ER22" i="83"/>
  <c r="EA18" i="695"/>
  <c r="EA31" i="695" s="1"/>
  <c r="K89" i="2"/>
  <c r="K134" i="2"/>
  <c r="K212" i="2" s="1"/>
  <c r="K173" i="2"/>
  <c r="FP3" i="695"/>
  <c r="EV7" i="695"/>
  <c r="EV9" i="695"/>
  <c r="EV10" i="695"/>
  <c r="EV11" i="695"/>
  <c r="EV12" i="695"/>
  <c r="EV13" i="695"/>
  <c r="EV14" i="695"/>
  <c r="EV15" i="695"/>
  <c r="EV16" i="695"/>
  <c r="EV17" i="695"/>
  <c r="EV8" i="695"/>
  <c r="FW3" i="695"/>
  <c r="FC7" i="695"/>
  <c r="FC9" i="695"/>
  <c r="FC10" i="695"/>
  <c r="FC11" i="695"/>
  <c r="FC12" i="695"/>
  <c r="FC13" i="695"/>
  <c r="FC14" i="695"/>
  <c r="FC15" i="695"/>
  <c r="FC16" i="695"/>
  <c r="FC17" i="695"/>
  <c r="FC8" i="695"/>
  <c r="EE28" i="695"/>
  <c r="EE30" i="695"/>
  <c r="ES18" i="695"/>
  <c r="ES31" i="695" s="1"/>
  <c r="ES21" i="695"/>
  <c r="ES24" i="695" s="1"/>
  <c r="ES26" i="695" s="1"/>
  <c r="ES19" i="695"/>
  <c r="ES27" i="695" s="1"/>
  <c r="ES20" i="695"/>
  <c r="ES23" i="695" s="1"/>
  <c r="ES22" i="695"/>
  <c r="EF20" i="695"/>
  <c r="EF23" i="695" s="1"/>
  <c r="EF18" i="695"/>
  <c r="EF31" i="695" s="1"/>
  <c r="EF19" i="695"/>
  <c r="EF27" i="695" s="1"/>
  <c r="EF21" i="695"/>
  <c r="EF24" i="695" s="1"/>
  <c r="EF26" i="695" s="1"/>
  <c r="EF22" i="695"/>
  <c r="EE18" i="83"/>
  <c r="EE32" i="83" s="1"/>
  <c r="EE20" i="83"/>
  <c r="EE24" i="83" s="1"/>
  <c r="EE26" i="83" s="1"/>
  <c r="EE19" i="83"/>
  <c r="EE27" i="83" s="1"/>
  <c r="EE21" i="83"/>
  <c r="EE23" i="83" s="1"/>
  <c r="EE22" i="83"/>
  <c r="L9" i="694"/>
  <c r="L10" i="694"/>
  <c r="ET20" i="695"/>
  <c r="ET23" i="695" s="1"/>
  <c r="ET18" i="695"/>
  <c r="ET31" i="695" s="1"/>
  <c r="ET21" i="695"/>
  <c r="ET24" i="695" s="1"/>
  <c r="ET26" i="695" s="1"/>
  <c r="ET19" i="695"/>
  <c r="ET27" i="695" s="1"/>
  <c r="ET22" i="695"/>
  <c r="DK25" i="695"/>
  <c r="DK29" i="695"/>
  <c r="DK32" i="695"/>
  <c r="DU25" i="695"/>
  <c r="DU29" i="695"/>
  <c r="DU32" i="695"/>
  <c r="DX25" i="83"/>
  <c r="DX30" i="83"/>
  <c r="DX33" i="83"/>
  <c r="FS3" i="695"/>
  <c r="EY7" i="695"/>
  <c r="EY9" i="695"/>
  <c r="EY10" i="695"/>
  <c r="EY11" i="695"/>
  <c r="EY12" i="695"/>
  <c r="EY13" i="695"/>
  <c r="EY14" i="695"/>
  <c r="EY15" i="695"/>
  <c r="EY16" i="695"/>
  <c r="EY17" i="695"/>
  <c r="EY8" i="695"/>
  <c r="EG18" i="83"/>
  <c r="EG32" i="83" s="1"/>
  <c r="EG19" i="83"/>
  <c r="EG27" i="83" s="1"/>
  <c r="EG21" i="83"/>
  <c r="EG23" i="83" s="1"/>
  <c r="EG20" i="83"/>
  <c r="EG24" i="83" s="1"/>
  <c r="EG26" i="83" s="1"/>
  <c r="EG22" i="83"/>
  <c r="EL18" i="83"/>
  <c r="EL32" i="83" s="1"/>
  <c r="EL19" i="83"/>
  <c r="EL27" i="83" s="1"/>
  <c r="EL20" i="83"/>
  <c r="EL24" i="83" s="1"/>
  <c r="EL26" i="83" s="1"/>
  <c r="EL21" i="83"/>
  <c r="EL23" i="83" s="1"/>
  <c r="EL22" i="83"/>
  <c r="GI3" i="83"/>
  <c r="FO9" i="83"/>
  <c r="FO10" i="83"/>
  <c r="FO11" i="83"/>
  <c r="FO12" i="83"/>
  <c r="FO13" i="83"/>
  <c r="FO14" i="83"/>
  <c r="FO15" i="83"/>
  <c r="FO16" i="83"/>
  <c r="FO17" i="83"/>
  <c r="FO7" i="83"/>
  <c r="FO8" i="83"/>
  <c r="GE3" i="695"/>
  <c r="FK7" i="695"/>
  <c r="FK9" i="695"/>
  <c r="FK10" i="695"/>
  <c r="FK11" i="695"/>
  <c r="FK12" i="695"/>
  <c r="FK13" i="695"/>
  <c r="FK14" i="695"/>
  <c r="FK15" i="695"/>
  <c r="FK16" i="695"/>
  <c r="FK17" i="695"/>
  <c r="FK8" i="695"/>
  <c r="DI25" i="695"/>
  <c r="DI29" i="695"/>
  <c r="DI32" i="695"/>
  <c r="EN29" i="83"/>
  <c r="EN31" i="83"/>
  <c r="GB3" i="695"/>
  <c r="FH7" i="695"/>
  <c r="FH9" i="695"/>
  <c r="FH10" i="695"/>
  <c r="FH11" i="695"/>
  <c r="FH12" i="695"/>
  <c r="FH13" i="695"/>
  <c r="FH14" i="695"/>
  <c r="FH15" i="695"/>
  <c r="FH16" i="695"/>
  <c r="FH17" i="695"/>
  <c r="FH8" i="695"/>
  <c r="EA25" i="83"/>
  <c r="EA30" i="83"/>
  <c r="EA33" i="83"/>
  <c r="EO28" i="695"/>
  <c r="EO30" i="695"/>
  <c r="ER29" i="83"/>
  <c r="ER31" i="83"/>
  <c r="K92" i="2"/>
  <c r="K137" i="2"/>
  <c r="K215" i="2" s="1"/>
  <c r="K176" i="2"/>
  <c r="FQ8" i="83"/>
  <c r="FQ7" i="83"/>
  <c r="K40" i="694"/>
  <c r="C59" i="1646"/>
  <c r="FO8" i="695"/>
  <c r="FO7" i="695"/>
  <c r="L77" i="694"/>
  <c r="L76" i="694"/>
  <c r="L68" i="694"/>
  <c r="L58" i="694"/>
  <c r="L57" i="694"/>
  <c r="L56" i="694"/>
  <c r="L65" i="694" s="1"/>
  <c r="L55" i="694"/>
  <c r="L54" i="694"/>
  <c r="L74" i="694"/>
  <c r="L73" i="694"/>
  <c r="L72" i="694"/>
  <c r="L71" i="694"/>
  <c r="L70" i="694"/>
  <c r="L50" i="694"/>
  <c r="L49" i="694"/>
  <c r="L47" i="694"/>
  <c r="L44" i="694"/>
  <c r="L43" i="694"/>
  <c r="L42" i="694"/>
  <c r="L39" i="694"/>
  <c r="L38" i="694"/>
  <c r="L34" i="694"/>
  <c r="L35" i="694"/>
  <c r="L28" i="694"/>
  <c r="L26" i="694"/>
  <c r="L24" i="694"/>
  <c r="L21" i="694"/>
  <c r="L20" i="694"/>
  <c r="L17" i="694"/>
  <c r="L16" i="694"/>
  <c r="L15" i="694"/>
  <c r="K151" i="694" l="1"/>
  <c r="J163" i="694"/>
  <c r="K82" i="694"/>
  <c r="K84" i="694"/>
  <c r="K181" i="694"/>
  <c r="K237" i="694" s="1"/>
  <c r="K100" i="694"/>
  <c r="K105" i="694"/>
  <c r="K109" i="694"/>
  <c r="K33" i="694"/>
  <c r="K95" i="694" s="1"/>
  <c r="K83" i="694"/>
  <c r="K87" i="694"/>
  <c r="K184" i="694"/>
  <c r="K240" i="694" s="1"/>
  <c r="K30" i="694"/>
  <c r="FO28" i="695"/>
  <c r="C44" i="695"/>
  <c r="FO30" i="695"/>
  <c r="B44" i="695"/>
  <c r="C45" i="695"/>
  <c r="B45" i="695"/>
  <c r="K143" i="694"/>
  <c r="K199" i="694"/>
  <c r="K255" i="694" s="1"/>
  <c r="FQ31" i="83"/>
  <c r="L81" i="2"/>
  <c r="L126" i="2"/>
  <c r="L204" i="2" s="1"/>
  <c r="L166" i="2"/>
  <c r="M126" i="2"/>
  <c r="M204" i="2" s="1"/>
  <c r="FO29" i="83"/>
  <c r="FO31" i="83"/>
  <c r="GM3" i="695"/>
  <c r="FS7" i="695"/>
  <c r="FS9" i="695"/>
  <c r="FS10" i="695"/>
  <c r="FS11" i="695"/>
  <c r="FS12" i="695"/>
  <c r="FS13" i="695"/>
  <c r="FS14" i="695"/>
  <c r="FS15" i="695"/>
  <c r="FS16" i="695"/>
  <c r="FS17" i="695"/>
  <c r="FS8" i="695"/>
  <c r="L45" i="694"/>
  <c r="L148" i="694" s="1"/>
  <c r="L48" i="694"/>
  <c r="L151" i="694" s="1"/>
  <c r="L64" i="694"/>
  <c r="L63" i="694"/>
  <c r="EV28" i="695"/>
  <c r="EV30" i="695"/>
  <c r="ER25" i="83"/>
  <c r="ER30" i="83"/>
  <c r="ER33" i="83"/>
  <c r="FD28" i="695"/>
  <c r="FD30" i="695"/>
  <c r="FE18" i="83"/>
  <c r="FE32" i="83" s="1"/>
  <c r="FE20" i="83"/>
  <c r="FE24" i="83" s="1"/>
  <c r="FE26" i="83" s="1"/>
  <c r="FE21" i="83"/>
  <c r="FE23" i="83" s="1"/>
  <c r="FE19" i="83"/>
  <c r="FE27" i="83" s="1"/>
  <c r="FE22" i="83"/>
  <c r="FL28" i="695"/>
  <c r="FL30" i="695"/>
  <c r="FG29" i="83"/>
  <c r="FG31" i="83"/>
  <c r="FE28" i="695"/>
  <c r="FE30" i="695"/>
  <c r="FM29" i="83"/>
  <c r="FM31" i="83"/>
  <c r="GX3" i="83"/>
  <c r="GD9" i="83"/>
  <c r="GD10" i="83"/>
  <c r="GD11" i="83"/>
  <c r="GD12" i="83"/>
  <c r="GD13" i="83"/>
  <c r="GD14" i="83"/>
  <c r="GD15" i="83"/>
  <c r="GD16" i="83"/>
  <c r="GD17" i="83"/>
  <c r="GD7" i="83"/>
  <c r="GD8" i="83"/>
  <c r="FN29" i="83"/>
  <c r="FN31" i="83"/>
  <c r="GP3" i="695"/>
  <c r="FV7" i="695"/>
  <c r="FV9" i="695"/>
  <c r="FV10" i="695"/>
  <c r="FV11" i="695"/>
  <c r="FV12" i="695"/>
  <c r="FV13" i="695"/>
  <c r="FV14" i="695"/>
  <c r="FV15" i="695"/>
  <c r="FV16" i="695"/>
  <c r="FV17" i="695"/>
  <c r="FV8" i="695"/>
  <c r="EK25" i="83"/>
  <c r="EK30" i="83"/>
  <c r="EK33" i="83"/>
  <c r="ED25" i="83"/>
  <c r="ED30" i="83"/>
  <c r="ED33" i="83"/>
  <c r="EF25" i="83"/>
  <c r="EF30" i="83"/>
  <c r="EF33" i="83"/>
  <c r="GI3" i="695"/>
  <c r="FO9" i="695"/>
  <c r="FO23" i="695" s="1"/>
  <c r="FO10" i="695"/>
  <c r="FO11" i="695"/>
  <c r="FO12" i="695"/>
  <c r="FO13" i="695"/>
  <c r="FO14" i="695"/>
  <c r="FO15" i="695"/>
  <c r="FO16" i="695"/>
  <c r="FO17" i="695"/>
  <c r="EQ25" i="83"/>
  <c r="EQ30" i="83"/>
  <c r="EQ33" i="83"/>
  <c r="FL29" i="83"/>
  <c r="FL31" i="83"/>
  <c r="GX3" i="695"/>
  <c r="GD7" i="695"/>
  <c r="GD9" i="695"/>
  <c r="GD10" i="695"/>
  <c r="GD11" i="695"/>
  <c r="GD12" i="695"/>
  <c r="GD13" i="695"/>
  <c r="GD14" i="695"/>
  <c r="GD15" i="695"/>
  <c r="GD16" i="695"/>
  <c r="GD17" i="695"/>
  <c r="GD8" i="695"/>
  <c r="EP25" i="83"/>
  <c r="EP30" i="83"/>
  <c r="EP33" i="83"/>
  <c r="K61" i="694"/>
  <c r="EU20" i="695"/>
  <c r="EU24" i="695" s="1"/>
  <c r="EU26" i="695" s="1"/>
  <c r="EW21" i="83"/>
  <c r="EW23" i="83" s="1"/>
  <c r="FK28" i="695"/>
  <c r="FK30" i="695"/>
  <c r="GJ3" i="695"/>
  <c r="FP7" i="695"/>
  <c r="FP9" i="695"/>
  <c r="FP10" i="695"/>
  <c r="FP11" i="695"/>
  <c r="FP12" i="695"/>
  <c r="FP13" i="695"/>
  <c r="FP14" i="695"/>
  <c r="FP15" i="695"/>
  <c r="FP16" i="695"/>
  <c r="FP17" i="695"/>
  <c r="FP8" i="695"/>
  <c r="GR3" i="695"/>
  <c r="FX7" i="695"/>
  <c r="FX9" i="695"/>
  <c r="FX10" i="695"/>
  <c r="FX11" i="695"/>
  <c r="FX12" i="695"/>
  <c r="FX13" i="695"/>
  <c r="FX14" i="695"/>
  <c r="FX15" i="695"/>
  <c r="FX16" i="695"/>
  <c r="FX17" i="695"/>
  <c r="FX8" i="695"/>
  <c r="EW28" i="695"/>
  <c r="EW30" i="695"/>
  <c r="FE29" i="83"/>
  <c r="FE31" i="83"/>
  <c r="EX18" i="83"/>
  <c r="EX32" i="83" s="1"/>
  <c r="EX19" i="83"/>
  <c r="EX27" i="83" s="1"/>
  <c r="EX21" i="83"/>
  <c r="EX23" i="83" s="1"/>
  <c r="EX20" i="83"/>
  <c r="EX24" i="83" s="1"/>
  <c r="EX26" i="83" s="1"/>
  <c r="EX22" i="83"/>
  <c r="J189" i="694"/>
  <c r="J245" i="694" s="1"/>
  <c r="J29" i="694"/>
  <c r="J92" i="694"/>
  <c r="J133" i="694"/>
  <c r="GZ3" i="695"/>
  <c r="GF7" i="695"/>
  <c r="GF9" i="695"/>
  <c r="GF10" i="695"/>
  <c r="GF11" i="695"/>
  <c r="GF12" i="695"/>
  <c r="GF13" i="695"/>
  <c r="GF14" i="695"/>
  <c r="GF15" i="695"/>
  <c r="GF16" i="695"/>
  <c r="GF17" i="695"/>
  <c r="GF8" i="695"/>
  <c r="EV25" i="83"/>
  <c r="EV30" i="83"/>
  <c r="EV33" i="83"/>
  <c r="K106" i="694"/>
  <c r="EN25" i="695"/>
  <c r="EN29" i="695"/>
  <c r="EN32" i="695"/>
  <c r="GS3" i="695"/>
  <c r="FY7" i="695"/>
  <c r="FY9" i="695"/>
  <c r="FY10" i="695"/>
  <c r="FY11" i="695"/>
  <c r="FY12" i="695"/>
  <c r="FY13" i="695"/>
  <c r="FY14" i="695"/>
  <c r="FY15" i="695"/>
  <c r="FY16" i="695"/>
  <c r="FY17" i="695"/>
  <c r="FY8" i="695"/>
  <c r="GY3" i="83"/>
  <c r="GE9" i="83"/>
  <c r="GE10" i="83"/>
  <c r="GE11" i="83"/>
  <c r="GE12" i="83"/>
  <c r="GE13" i="83"/>
  <c r="GE14" i="83"/>
  <c r="GE15" i="83"/>
  <c r="GE16" i="83"/>
  <c r="GE17" i="83"/>
  <c r="GE7" i="83"/>
  <c r="GE8" i="83"/>
  <c r="EI25" i="695"/>
  <c r="EI29" i="695"/>
  <c r="EI32" i="695"/>
  <c r="EB25" i="695"/>
  <c r="EB29" i="695"/>
  <c r="EB32" i="695"/>
  <c r="FI18" i="695"/>
  <c r="FI31" i="695" s="1"/>
  <c r="FI21" i="695"/>
  <c r="FI23" i="695" s="1"/>
  <c r="FI19" i="695"/>
  <c r="FI27" i="695" s="1"/>
  <c r="FI20" i="695"/>
  <c r="FI24" i="695" s="1"/>
  <c r="FI26" i="695" s="1"/>
  <c r="FI22" i="695"/>
  <c r="GM3" i="83"/>
  <c r="FS9" i="83"/>
  <c r="FS10" i="83"/>
  <c r="FS11" i="83"/>
  <c r="FS12" i="83"/>
  <c r="FS13" i="83"/>
  <c r="FS14" i="83"/>
  <c r="FS15" i="83"/>
  <c r="FS16" i="83"/>
  <c r="FS17" i="83"/>
  <c r="FS7" i="83"/>
  <c r="FS8" i="83"/>
  <c r="GV3" i="83"/>
  <c r="GB9" i="83"/>
  <c r="GB10" i="83"/>
  <c r="GB11" i="83"/>
  <c r="GB12" i="83"/>
  <c r="GB13" i="83"/>
  <c r="GB14" i="83"/>
  <c r="GB15" i="83"/>
  <c r="GB16" i="83"/>
  <c r="GB17" i="83"/>
  <c r="GB7" i="83"/>
  <c r="GB8" i="83"/>
  <c r="FM19" i="695"/>
  <c r="FM27" i="695" s="1"/>
  <c r="FM20" i="695"/>
  <c r="FM24" i="695" s="1"/>
  <c r="FM26" i="695" s="1"/>
  <c r="FM21" i="695"/>
  <c r="FM23" i="695" s="1"/>
  <c r="FM18" i="695"/>
  <c r="FM31" i="695" s="1"/>
  <c r="FM22" i="695"/>
  <c r="ES25" i="83"/>
  <c r="ES30" i="83"/>
  <c r="ES33" i="83"/>
  <c r="EW18" i="83"/>
  <c r="EW32" i="83" s="1"/>
  <c r="FH18" i="695"/>
  <c r="FH31" i="695" s="1"/>
  <c r="FH21" i="695"/>
  <c r="FH23" i="695" s="1"/>
  <c r="FH19" i="695"/>
  <c r="FH27" i="695" s="1"/>
  <c r="FH20" i="695"/>
  <c r="FH24" i="695" s="1"/>
  <c r="FH26" i="695" s="1"/>
  <c r="FH22" i="695"/>
  <c r="HC3" i="83"/>
  <c r="GI9" i="83"/>
  <c r="GI10" i="83"/>
  <c r="GI11" i="83"/>
  <c r="GI12" i="83"/>
  <c r="GI13" i="83"/>
  <c r="GI14" i="83"/>
  <c r="GI15" i="83"/>
  <c r="GI16" i="83"/>
  <c r="GI17" i="83"/>
  <c r="GI7" i="83"/>
  <c r="GI8" i="83"/>
  <c r="EG25" i="83"/>
  <c r="EG30" i="83"/>
  <c r="EG33" i="83"/>
  <c r="EE25" i="83"/>
  <c r="EE30" i="83"/>
  <c r="EE33" i="83"/>
  <c r="EF25" i="695"/>
  <c r="EF29" i="695"/>
  <c r="EF32" i="695"/>
  <c r="FC20" i="695"/>
  <c r="FC24" i="695" s="1"/>
  <c r="FC26" i="695" s="1"/>
  <c r="FC18" i="695"/>
  <c r="FC31" i="695" s="1"/>
  <c r="FC19" i="695"/>
  <c r="FC27" i="695" s="1"/>
  <c r="FC21" i="695"/>
  <c r="FC23" i="695" s="1"/>
  <c r="FC22" i="695"/>
  <c r="GK3" i="695"/>
  <c r="FQ7" i="695"/>
  <c r="FQ9" i="695"/>
  <c r="FQ10" i="695"/>
  <c r="FQ11" i="695"/>
  <c r="FQ12" i="695"/>
  <c r="FQ13" i="695"/>
  <c r="FQ14" i="695"/>
  <c r="FQ15" i="695"/>
  <c r="FQ16" i="695"/>
  <c r="FQ17" i="695"/>
  <c r="FQ8" i="695"/>
  <c r="EX29" i="83"/>
  <c r="EX31" i="83"/>
  <c r="EZ18" i="83"/>
  <c r="EZ32" i="83" s="1"/>
  <c r="EZ19" i="83"/>
  <c r="EZ27" i="83" s="1"/>
  <c r="EZ21" i="83"/>
  <c r="EZ23" i="83" s="1"/>
  <c r="EZ20" i="83"/>
  <c r="EZ24" i="83" s="1"/>
  <c r="EZ26" i="83" s="1"/>
  <c r="EZ22" i="83"/>
  <c r="GU3" i="83"/>
  <c r="GA9" i="83"/>
  <c r="GA10" i="83"/>
  <c r="GA11" i="83"/>
  <c r="GA12" i="83"/>
  <c r="GA13" i="83"/>
  <c r="GA14" i="83"/>
  <c r="GA15" i="83"/>
  <c r="GA16" i="83"/>
  <c r="GA17" i="83"/>
  <c r="GA7" i="83"/>
  <c r="GA8" i="83"/>
  <c r="K154" i="694"/>
  <c r="K107" i="694"/>
  <c r="HA3" i="83"/>
  <c r="GG9" i="83"/>
  <c r="GG10" i="83"/>
  <c r="GG11" i="83"/>
  <c r="GG12" i="83"/>
  <c r="GG13" i="83"/>
  <c r="GG14" i="83"/>
  <c r="GG15" i="83"/>
  <c r="GG16" i="83"/>
  <c r="GG17" i="83"/>
  <c r="GG7" i="83"/>
  <c r="GG8" i="83"/>
  <c r="EC25" i="83"/>
  <c r="EC30" i="83"/>
  <c r="EC33" i="83"/>
  <c r="HB3" i="83"/>
  <c r="GH9" i="83"/>
  <c r="GH10" i="83"/>
  <c r="GH11" i="83"/>
  <c r="GH12" i="83"/>
  <c r="GH13" i="83"/>
  <c r="GH14" i="83"/>
  <c r="GH15" i="83"/>
  <c r="GH16" i="83"/>
  <c r="GH17" i="83"/>
  <c r="GH7" i="83"/>
  <c r="GH8" i="83"/>
  <c r="ER25" i="695"/>
  <c r="ER29" i="695"/>
  <c r="ER32" i="695"/>
  <c r="EZ18" i="695"/>
  <c r="EZ31" i="695" s="1"/>
  <c r="EZ21" i="695"/>
  <c r="EZ23" i="695" s="1"/>
  <c r="EZ19" i="695"/>
  <c r="EZ27" i="695" s="1"/>
  <c r="EZ20" i="695"/>
  <c r="EZ24" i="695" s="1"/>
  <c r="EZ26" i="695" s="1"/>
  <c r="EZ22" i="695"/>
  <c r="FP18" i="83"/>
  <c r="FP32" i="83" s="1"/>
  <c r="FP19" i="83"/>
  <c r="FP27" i="83" s="1"/>
  <c r="FP20" i="83"/>
  <c r="FP24" i="83" s="1"/>
  <c r="FP26" i="83" s="1"/>
  <c r="FP21" i="83"/>
  <c r="FP23" i="83" s="1"/>
  <c r="FP22" i="83"/>
  <c r="GZ3" i="83"/>
  <c r="GF9" i="83"/>
  <c r="GF10" i="83"/>
  <c r="GF11" i="83"/>
  <c r="GF12" i="83"/>
  <c r="GF13" i="83"/>
  <c r="GF14" i="83"/>
  <c r="GF15" i="83"/>
  <c r="GF16" i="83"/>
  <c r="GF17" i="83"/>
  <c r="GF7" i="83"/>
  <c r="GF8" i="83"/>
  <c r="FC18" i="83"/>
  <c r="FC32" i="83" s="1"/>
  <c r="FC19" i="83"/>
  <c r="FC27" i="83" s="1"/>
  <c r="FC21" i="83"/>
  <c r="FC23" i="83" s="1"/>
  <c r="FC22" i="83"/>
  <c r="FC20" i="83"/>
  <c r="FC24" i="83" s="1"/>
  <c r="FC26" i="83" s="1"/>
  <c r="L92" i="2"/>
  <c r="L137" i="2"/>
  <c r="L215" i="2" s="1"/>
  <c r="L176" i="2"/>
  <c r="M137" i="2"/>
  <c r="M215" i="2" s="1"/>
  <c r="FK20" i="695"/>
  <c r="FK24" i="695" s="1"/>
  <c r="FK26" i="695" s="1"/>
  <c r="FK18" i="695"/>
  <c r="FK31" i="695" s="1"/>
  <c r="FK19" i="695"/>
  <c r="FK27" i="695" s="1"/>
  <c r="FK21" i="695"/>
  <c r="FK23" i="695" s="1"/>
  <c r="FK22" i="695"/>
  <c r="FI18" i="83"/>
  <c r="FI32" i="83" s="1"/>
  <c r="FI20" i="83"/>
  <c r="FI24" i="83" s="1"/>
  <c r="FI26" i="83" s="1"/>
  <c r="FI19" i="83"/>
  <c r="FI27" i="83" s="1"/>
  <c r="FI21" i="83"/>
  <c r="FI23" i="83" s="1"/>
  <c r="FI22" i="83"/>
  <c r="FF19" i="695"/>
  <c r="FF27" i="695" s="1"/>
  <c r="FF20" i="695"/>
  <c r="FF24" i="695" s="1"/>
  <c r="FF26" i="695" s="1"/>
  <c r="FF18" i="695"/>
  <c r="FF31" i="695" s="1"/>
  <c r="FF22" i="695"/>
  <c r="FF21" i="695"/>
  <c r="FF23" i="695" s="1"/>
  <c r="GS3" i="83"/>
  <c r="FY9" i="83"/>
  <c r="FY10" i="83"/>
  <c r="FY11" i="83"/>
  <c r="FY12" i="83"/>
  <c r="FY13" i="83"/>
  <c r="FY14" i="83"/>
  <c r="FY15" i="83"/>
  <c r="FY16" i="83"/>
  <c r="FY17" i="83"/>
  <c r="FY7" i="83"/>
  <c r="FY8" i="83"/>
  <c r="EZ29" i="83"/>
  <c r="EZ31" i="83"/>
  <c r="FG21" i="695"/>
  <c r="FG23" i="695" s="1"/>
  <c r="FG19" i="695"/>
  <c r="FG27" i="695" s="1"/>
  <c r="FG18" i="695"/>
  <c r="FG31" i="695" s="1"/>
  <c r="FG22" i="695"/>
  <c r="FG20" i="695"/>
  <c r="FG24" i="695" s="1"/>
  <c r="FG26" i="695" s="1"/>
  <c r="K108" i="694"/>
  <c r="EU25" i="83"/>
  <c r="EU30" i="83"/>
  <c r="EU33" i="83"/>
  <c r="EE25" i="695"/>
  <c r="EE29" i="695"/>
  <c r="EE32" i="695"/>
  <c r="FB18" i="83"/>
  <c r="FB32" i="83" s="1"/>
  <c r="FB19" i="83"/>
  <c r="FB27" i="83" s="1"/>
  <c r="FB20" i="83"/>
  <c r="FB24" i="83" s="1"/>
  <c r="FB26" i="83" s="1"/>
  <c r="FB21" i="83"/>
  <c r="FB23" i="83" s="1"/>
  <c r="FB22" i="83"/>
  <c r="FA18" i="695"/>
  <c r="FA31" i="695" s="1"/>
  <c r="FA21" i="695"/>
  <c r="FA23" i="695" s="1"/>
  <c r="FA19" i="695"/>
  <c r="FA27" i="695" s="1"/>
  <c r="FA20" i="695"/>
  <c r="FA24" i="695" s="1"/>
  <c r="FA26" i="695" s="1"/>
  <c r="FA22" i="695"/>
  <c r="FD18" i="83"/>
  <c r="FD32" i="83" s="1"/>
  <c r="FD19" i="83"/>
  <c r="FD27" i="83" s="1"/>
  <c r="FD20" i="83"/>
  <c r="FD24" i="83" s="1"/>
  <c r="FD26" i="83" s="1"/>
  <c r="FD21" i="83"/>
  <c r="FD23" i="83" s="1"/>
  <c r="FD22" i="83"/>
  <c r="FI28" i="695"/>
  <c r="FI30" i="695"/>
  <c r="FA18" i="83"/>
  <c r="FA32" i="83" s="1"/>
  <c r="FA20" i="83"/>
  <c r="FA24" i="83" s="1"/>
  <c r="FA26" i="83" s="1"/>
  <c r="FA19" i="83"/>
  <c r="FA27" i="83" s="1"/>
  <c r="FA21" i="83"/>
  <c r="FA23" i="83" s="1"/>
  <c r="FA22" i="83"/>
  <c r="FN19" i="695"/>
  <c r="FN27" i="695" s="1"/>
  <c r="FN20" i="695"/>
  <c r="FN24" i="695" s="1"/>
  <c r="FN26" i="695" s="1"/>
  <c r="FN18" i="695"/>
  <c r="FN31" i="695" s="1"/>
  <c r="FN22" i="695"/>
  <c r="FN21" i="695"/>
  <c r="FN23" i="695" s="1"/>
  <c r="FP29" i="83"/>
  <c r="FP31" i="83"/>
  <c r="B60" i="1646"/>
  <c r="FM28" i="695"/>
  <c r="FM30" i="695"/>
  <c r="K66" i="694"/>
  <c r="EH25" i="695"/>
  <c r="EH29" i="695"/>
  <c r="EH32" i="695"/>
  <c r="FC29" i="83"/>
  <c r="FC31" i="83"/>
  <c r="EU28" i="695"/>
  <c r="D57" i="83" a="1"/>
  <c r="D57" i="83" s="1"/>
  <c r="D56" i="83" a="1"/>
  <c r="D56" i="83" s="1"/>
  <c r="D55" i="83" a="1"/>
  <c r="D55" i="83" s="1"/>
  <c r="L89" i="2"/>
  <c r="L134" i="2"/>
  <c r="L212" i="2" s="1"/>
  <c r="L173" i="2"/>
  <c r="M134" i="2"/>
  <c r="M212" i="2" s="1"/>
  <c r="FH28" i="695"/>
  <c r="FH30" i="695"/>
  <c r="EL25" i="83"/>
  <c r="EL30" i="83"/>
  <c r="EL33" i="83"/>
  <c r="ES25" i="695"/>
  <c r="ES29" i="695"/>
  <c r="ES32" i="695"/>
  <c r="FC28" i="695"/>
  <c r="FC30" i="695"/>
  <c r="FI29" i="83"/>
  <c r="FI31" i="83"/>
  <c r="EX19" i="695"/>
  <c r="EX27" i="695" s="1"/>
  <c r="EX20" i="695"/>
  <c r="EX24" i="695" s="1"/>
  <c r="EX26" i="695" s="1"/>
  <c r="EX18" i="695"/>
  <c r="EX31" i="695" s="1"/>
  <c r="EX22" i="695"/>
  <c r="EX21" i="695"/>
  <c r="EX23" i="695" s="1"/>
  <c r="GL3" i="83"/>
  <c r="FR9" i="83"/>
  <c r="FR10" i="83"/>
  <c r="FR11" i="83"/>
  <c r="FR12" i="83"/>
  <c r="FR13" i="83"/>
  <c r="FR14" i="83"/>
  <c r="FR15" i="83"/>
  <c r="FR16" i="83"/>
  <c r="FR17" i="83"/>
  <c r="FR7" i="83"/>
  <c r="FR8" i="83"/>
  <c r="EA25" i="695"/>
  <c r="EA29" i="695"/>
  <c r="EA32" i="695"/>
  <c r="W15" i="27" a="1"/>
  <c r="W15" i="27" s="1"/>
  <c r="X16" i="27"/>
  <c r="FB29" i="83"/>
  <c r="FB31" i="83"/>
  <c r="FD29" i="83"/>
  <c r="FD31" i="83"/>
  <c r="GW3" i="695"/>
  <c r="GC7" i="695"/>
  <c r="GC9" i="695"/>
  <c r="GC10" i="695"/>
  <c r="GC11" i="695"/>
  <c r="GC12" i="695"/>
  <c r="GC13" i="695"/>
  <c r="GC14" i="695"/>
  <c r="GC15" i="695"/>
  <c r="GC16" i="695"/>
  <c r="GC17" i="695"/>
  <c r="GC8" i="695"/>
  <c r="FF18" i="83"/>
  <c r="FF32" i="83" s="1"/>
  <c r="FF19" i="83"/>
  <c r="FF27" i="83" s="1"/>
  <c r="FF20" i="83"/>
  <c r="FF24" i="83" s="1"/>
  <c r="FF26" i="83" s="1"/>
  <c r="FF21" i="83"/>
  <c r="FF23" i="83" s="1"/>
  <c r="FF22" i="83"/>
  <c r="FA29" i="83"/>
  <c r="FA31" i="83"/>
  <c r="EZ28" i="695"/>
  <c r="EZ30" i="695"/>
  <c r="HA3" i="695"/>
  <c r="GG7" i="695"/>
  <c r="GG9" i="695"/>
  <c r="GG10" i="695"/>
  <c r="GG11" i="695"/>
  <c r="GG12" i="695"/>
  <c r="GG13" i="695"/>
  <c r="GG14" i="695"/>
  <c r="GG15" i="695"/>
  <c r="GG16" i="695"/>
  <c r="GG17" i="695"/>
  <c r="GG8" i="695"/>
  <c r="EK29" i="695"/>
  <c r="EK25" i="695"/>
  <c r="EK32" i="695"/>
  <c r="GK3" i="83"/>
  <c r="FQ9" i="83"/>
  <c r="FQ18" i="83" s="1"/>
  <c r="FQ32" i="83" s="1"/>
  <c r="FQ10" i="83"/>
  <c r="FQ11" i="83"/>
  <c r="FQ12" i="83"/>
  <c r="FQ29" i="83" s="1"/>
  <c r="FQ13" i="83"/>
  <c r="FQ14" i="83"/>
  <c r="FQ15" i="83"/>
  <c r="FQ16" i="83"/>
  <c r="FQ17" i="83"/>
  <c r="K60" i="694"/>
  <c r="EU22" i="695"/>
  <c r="EW29" i="83"/>
  <c r="GQ3" i="695"/>
  <c r="FW7" i="695"/>
  <c r="FW9" i="695"/>
  <c r="FW10" i="695"/>
  <c r="FW11" i="695"/>
  <c r="FW12" i="695"/>
  <c r="FW13" i="695"/>
  <c r="FW14" i="695"/>
  <c r="FW15" i="695"/>
  <c r="FW16" i="695"/>
  <c r="FW17" i="695"/>
  <c r="FW8" i="695"/>
  <c r="EP25" i="695"/>
  <c r="EP29" i="695"/>
  <c r="EP32" i="695"/>
  <c r="FF28" i="695"/>
  <c r="FF30" i="695"/>
  <c r="GN3" i="83"/>
  <c r="FT9" i="83"/>
  <c r="FT10" i="83"/>
  <c r="FT11" i="83"/>
  <c r="FT12" i="83"/>
  <c r="FT13" i="83"/>
  <c r="FT14" i="83"/>
  <c r="FT15" i="83"/>
  <c r="FT16" i="83"/>
  <c r="FT17" i="83"/>
  <c r="FT7" i="83"/>
  <c r="FT8" i="83"/>
  <c r="FG28" i="695"/>
  <c r="FG30" i="695"/>
  <c r="EJ25" i="83"/>
  <c r="EJ30" i="83"/>
  <c r="EJ33" i="83"/>
  <c r="K189" i="694"/>
  <c r="K245" i="694" s="1"/>
  <c r="FJ18" i="83"/>
  <c r="FJ32" i="83" s="1"/>
  <c r="FJ19" i="83"/>
  <c r="FJ27" i="83" s="1"/>
  <c r="FJ20" i="83"/>
  <c r="FJ24" i="83" s="1"/>
  <c r="FJ26" i="83" s="1"/>
  <c r="FJ21" i="83"/>
  <c r="FJ23" i="83" s="1"/>
  <c r="FJ22" i="83"/>
  <c r="ET25" i="83"/>
  <c r="ET30" i="83"/>
  <c r="ET33" i="83"/>
  <c r="FA28" i="695"/>
  <c r="FA30" i="695"/>
  <c r="FB20" i="695"/>
  <c r="FB24" i="695" s="1"/>
  <c r="FB26" i="695" s="1"/>
  <c r="FB18" i="695"/>
  <c r="FB31" i="695" s="1"/>
  <c r="FB21" i="695"/>
  <c r="FB23" i="695" s="1"/>
  <c r="FB19" i="695"/>
  <c r="FB27" i="695" s="1"/>
  <c r="FB22" i="695"/>
  <c r="FF29" i="83"/>
  <c r="FF31" i="83"/>
  <c r="FN28" i="695"/>
  <c r="FN30" i="695"/>
  <c r="GN3" i="695"/>
  <c r="FT7" i="695"/>
  <c r="FT9" i="695"/>
  <c r="FT10" i="695"/>
  <c r="FT11" i="695"/>
  <c r="FT12" i="695"/>
  <c r="FT13" i="695"/>
  <c r="FT14" i="695"/>
  <c r="FT15" i="695"/>
  <c r="FT16" i="695"/>
  <c r="FT17" i="695"/>
  <c r="FT8" i="695"/>
  <c r="HD3" i="83"/>
  <c r="GJ9" i="83"/>
  <c r="GJ10" i="83"/>
  <c r="GJ11" i="83"/>
  <c r="GJ12" i="83"/>
  <c r="GJ13" i="83"/>
  <c r="GJ14" i="83"/>
  <c r="GJ15" i="83"/>
  <c r="GJ16" i="83"/>
  <c r="GJ17" i="83"/>
  <c r="GJ7" i="83"/>
  <c r="GJ8" i="83"/>
  <c r="FJ20" i="695"/>
  <c r="FJ24" i="695" s="1"/>
  <c r="FJ26" i="695" s="1"/>
  <c r="FJ18" i="695"/>
  <c r="FJ31" i="695" s="1"/>
  <c r="FJ21" i="695"/>
  <c r="FJ23" i="695" s="1"/>
  <c r="FJ22" i="695"/>
  <c r="FJ19" i="695"/>
  <c r="FJ27" i="695" s="1"/>
  <c r="K62" i="694"/>
  <c r="GQ3" i="83"/>
  <c r="FW9" i="83"/>
  <c r="FW10" i="83"/>
  <c r="FW11" i="83"/>
  <c r="FW12" i="83"/>
  <c r="FW13" i="83"/>
  <c r="FW14" i="83"/>
  <c r="FW15" i="83"/>
  <c r="FW16" i="83"/>
  <c r="FW17" i="83"/>
  <c r="FW7" i="83"/>
  <c r="FW8" i="83"/>
  <c r="EU19" i="695"/>
  <c r="EU27" i="695" s="1"/>
  <c r="EW22" i="83"/>
  <c r="L96" i="2"/>
  <c r="L141" i="2"/>
  <c r="L219" i="2" s="1"/>
  <c r="L180" i="2"/>
  <c r="M141" i="2"/>
  <c r="M219" i="2" s="1"/>
  <c r="EY21" i="695"/>
  <c r="EY23" i="695" s="1"/>
  <c r="EY19" i="695"/>
  <c r="EY27" i="695" s="1"/>
  <c r="EY18" i="695"/>
  <c r="EY31" i="695" s="1"/>
  <c r="EY22" i="695"/>
  <c r="EY20" i="695"/>
  <c r="EY24" i="695" s="1"/>
  <c r="EY26" i="695" s="1"/>
  <c r="GY3" i="695"/>
  <c r="GE7" i="695"/>
  <c r="GE9" i="695"/>
  <c r="GE10" i="695"/>
  <c r="GE11" i="695"/>
  <c r="GE12" i="695"/>
  <c r="GE13" i="695"/>
  <c r="GE14" i="695"/>
  <c r="GE15" i="695"/>
  <c r="GE16" i="695"/>
  <c r="GE17" i="695"/>
  <c r="GE8" i="695"/>
  <c r="ET25" i="695"/>
  <c r="ET29" i="695"/>
  <c r="ET32" i="695"/>
  <c r="EV20" i="695"/>
  <c r="EV24" i="695" s="1"/>
  <c r="EV26" i="695" s="1"/>
  <c r="EV18" i="695"/>
  <c r="EV31" i="695" s="1"/>
  <c r="EV19" i="695"/>
  <c r="EV27" i="695" s="1"/>
  <c r="EV21" i="695"/>
  <c r="EV23" i="695" s="1"/>
  <c r="EV22" i="695"/>
  <c r="FD20" i="695"/>
  <c r="FD24" i="695" s="1"/>
  <c r="FD26" i="695" s="1"/>
  <c r="FD18" i="695"/>
  <c r="FD31" i="695" s="1"/>
  <c r="FD19" i="695"/>
  <c r="FD27" i="695" s="1"/>
  <c r="FD21" i="695"/>
  <c r="FD23" i="695" s="1"/>
  <c r="FD22" i="695"/>
  <c r="EN25" i="83"/>
  <c r="EN30" i="83"/>
  <c r="EN33" i="83"/>
  <c r="GW3" i="83"/>
  <c r="GC9" i="83"/>
  <c r="GC10" i="83"/>
  <c r="GC11" i="83"/>
  <c r="GC12" i="83"/>
  <c r="GC13" i="83"/>
  <c r="GC14" i="83"/>
  <c r="GC15" i="83"/>
  <c r="GC16" i="83"/>
  <c r="GC17" i="83"/>
  <c r="GC7" i="83"/>
  <c r="GC8" i="83"/>
  <c r="GT3" i="695"/>
  <c r="FZ7" i="695"/>
  <c r="FZ9" i="695"/>
  <c r="FZ10" i="695"/>
  <c r="FZ11" i="695"/>
  <c r="FZ12" i="695"/>
  <c r="FZ13" i="695"/>
  <c r="FZ14" i="695"/>
  <c r="FZ15" i="695"/>
  <c r="FZ16" i="695"/>
  <c r="FZ17" i="695"/>
  <c r="FZ8" i="695"/>
  <c r="EX28" i="695"/>
  <c r="EX30" i="695"/>
  <c r="FL20" i="695"/>
  <c r="FL24" i="695" s="1"/>
  <c r="FL26" i="695" s="1"/>
  <c r="FL18" i="695"/>
  <c r="FL31" i="695" s="1"/>
  <c r="FL19" i="695"/>
  <c r="FL27" i="695" s="1"/>
  <c r="FL21" i="695"/>
  <c r="FL23" i="695" s="1"/>
  <c r="FL22" i="695"/>
  <c r="GU3" i="695"/>
  <c r="GA7" i="695"/>
  <c r="GA9" i="695"/>
  <c r="GA10" i="695"/>
  <c r="GA11" i="695"/>
  <c r="GA12" i="695"/>
  <c r="GA13" i="695"/>
  <c r="GA14" i="695"/>
  <c r="GA15" i="695"/>
  <c r="GA16" i="695"/>
  <c r="GA17" i="695"/>
  <c r="GA8" i="695"/>
  <c r="EQ25" i="695"/>
  <c r="EQ29" i="695"/>
  <c r="EQ32" i="695"/>
  <c r="FE19" i="695"/>
  <c r="FE27" i="695" s="1"/>
  <c r="FE20" i="695"/>
  <c r="FE24" i="695" s="1"/>
  <c r="FE26" i="695" s="1"/>
  <c r="FE18" i="695"/>
  <c r="FE31" i="695" s="1"/>
  <c r="FE22" i="695"/>
  <c r="FE21" i="695"/>
  <c r="FE23" i="695" s="1"/>
  <c r="FJ29" i="83"/>
  <c r="FJ31" i="83"/>
  <c r="GP3" i="83"/>
  <c r="FV9" i="83"/>
  <c r="FV10" i="83"/>
  <c r="FV11" i="83"/>
  <c r="FV12" i="83"/>
  <c r="FV13" i="83"/>
  <c r="FV14" i="83"/>
  <c r="FV15" i="83"/>
  <c r="FV16" i="83"/>
  <c r="FV17" i="83"/>
  <c r="FV7" i="83"/>
  <c r="FV8" i="83"/>
  <c r="FK18" i="83"/>
  <c r="FK32" i="83" s="1"/>
  <c r="FK19" i="83"/>
  <c r="FK27" i="83" s="1"/>
  <c r="FK20" i="83"/>
  <c r="FK24" i="83" s="1"/>
  <c r="FK26" i="83" s="1"/>
  <c r="FK21" i="83"/>
  <c r="FK23" i="83" s="1"/>
  <c r="FK22" i="83"/>
  <c r="GO3" i="695"/>
  <c r="FU7" i="695"/>
  <c r="FU9" i="695"/>
  <c r="FU10" i="695"/>
  <c r="FU11" i="695"/>
  <c r="FU12" i="695"/>
  <c r="FU13" i="695"/>
  <c r="FU14" i="695"/>
  <c r="FU15" i="695"/>
  <c r="FU16" i="695"/>
  <c r="FU17" i="695"/>
  <c r="FU8" i="695"/>
  <c r="GR3" i="83"/>
  <c r="FX9" i="83"/>
  <c r="FX10" i="83"/>
  <c r="FX11" i="83"/>
  <c r="FX12" i="83"/>
  <c r="FX13" i="83"/>
  <c r="FX14" i="83"/>
  <c r="FX15" i="83"/>
  <c r="FX16" i="83"/>
  <c r="FX17" i="83"/>
  <c r="FX7" i="83"/>
  <c r="FX8" i="83"/>
  <c r="EO25" i="83"/>
  <c r="EO30" i="83"/>
  <c r="EO33" i="83"/>
  <c r="EI25" i="83"/>
  <c r="EI30" i="83"/>
  <c r="EI33" i="83"/>
  <c r="ED25" i="695"/>
  <c r="ED29" i="695"/>
  <c r="ED32" i="695"/>
  <c r="GO3" i="83"/>
  <c r="FU9" i="83"/>
  <c r="FU10" i="83"/>
  <c r="FU11" i="83"/>
  <c r="FU12" i="83"/>
  <c r="FU13" i="83"/>
  <c r="FU14" i="83"/>
  <c r="FU15" i="83"/>
  <c r="FU16" i="83"/>
  <c r="FU17" i="83"/>
  <c r="FU7" i="83"/>
  <c r="FU8" i="83"/>
  <c r="HB3" i="695"/>
  <c r="GH7" i="695"/>
  <c r="GH9" i="695"/>
  <c r="GH10" i="695"/>
  <c r="GH11" i="695"/>
  <c r="GH12" i="695"/>
  <c r="GH13" i="695"/>
  <c r="GH14" i="695"/>
  <c r="GH15" i="695"/>
  <c r="GH16" i="695"/>
  <c r="GH17" i="695"/>
  <c r="GH8" i="695"/>
  <c r="EY18" i="83"/>
  <c r="EY32" i="83" s="1"/>
  <c r="EY19" i="83"/>
  <c r="EY27" i="83" s="1"/>
  <c r="EY21" i="83"/>
  <c r="EY23" i="83" s="1"/>
  <c r="EY20" i="83"/>
  <c r="EY24" i="83" s="1"/>
  <c r="EY26" i="83" s="1"/>
  <c r="EY22" i="83"/>
  <c r="EG25" i="695"/>
  <c r="EG29" i="695"/>
  <c r="EG32" i="695"/>
  <c r="FH18" i="83"/>
  <c r="FH32" i="83" s="1"/>
  <c r="FH19" i="83"/>
  <c r="FH27" i="83" s="1"/>
  <c r="FH20" i="83"/>
  <c r="FH24" i="83" s="1"/>
  <c r="FH26" i="83" s="1"/>
  <c r="FH21" i="83"/>
  <c r="FH23" i="83" s="1"/>
  <c r="FH22" i="83"/>
  <c r="EU21" i="695"/>
  <c r="EU23" i="695" s="1"/>
  <c r="EW19" i="83"/>
  <c r="EW27" i="83" s="1"/>
  <c r="GV3" i="695"/>
  <c r="GB7" i="695"/>
  <c r="GB9" i="695"/>
  <c r="GB10" i="695"/>
  <c r="GB11" i="695"/>
  <c r="GB12" i="695"/>
  <c r="GB13" i="695"/>
  <c r="GB14" i="695"/>
  <c r="GB15" i="695"/>
  <c r="GB16" i="695"/>
  <c r="GB17" i="695"/>
  <c r="GB8" i="695"/>
  <c r="FO18" i="83"/>
  <c r="FO32" i="83" s="1"/>
  <c r="FO19" i="83"/>
  <c r="FO27" i="83" s="1"/>
  <c r="FO20" i="83"/>
  <c r="FO24" i="83" s="1"/>
  <c r="FO26" i="83" s="1"/>
  <c r="FO21" i="83"/>
  <c r="FO23" i="83" s="1"/>
  <c r="FO22" i="83"/>
  <c r="EY28" i="695"/>
  <c r="EY30" i="695"/>
  <c r="L18" i="694"/>
  <c r="L33" i="694" s="1"/>
  <c r="L22" i="694"/>
  <c r="L181" i="694" s="1"/>
  <c r="L237" i="694" s="1"/>
  <c r="L25" i="694"/>
  <c r="L53" i="694"/>
  <c r="L62" i="694" s="1"/>
  <c r="L112" i="694"/>
  <c r="L102" i="694"/>
  <c r="L114" i="694"/>
  <c r="L120" i="694"/>
  <c r="L123" i="694"/>
  <c r="L125" i="694"/>
  <c r="L131" i="694"/>
  <c r="L137" i="694"/>
  <c r="L141" i="694"/>
  <c r="L146" i="694"/>
  <c r="L156" i="694"/>
  <c r="L158" i="694"/>
  <c r="L166" i="694"/>
  <c r="L168" i="694"/>
  <c r="L170" i="694"/>
  <c r="L176" i="694"/>
  <c r="L232" i="694" s="1"/>
  <c r="L179" i="694"/>
  <c r="L235" i="694" s="1"/>
  <c r="L187" i="694"/>
  <c r="L243" i="694" s="1"/>
  <c r="L193" i="694"/>
  <c r="L249" i="694" s="1"/>
  <c r="L197" i="694"/>
  <c r="L253" i="694" s="1"/>
  <c r="L202" i="694"/>
  <c r="L258" i="694" s="1"/>
  <c r="L212" i="694"/>
  <c r="L268" i="694" s="1"/>
  <c r="L214" i="694"/>
  <c r="L270" i="694" s="1"/>
  <c r="L222" i="694"/>
  <c r="L278" i="694" s="1"/>
  <c r="L224" i="694"/>
  <c r="L280" i="694" s="1"/>
  <c r="L226" i="694"/>
  <c r="L282" i="694" s="1"/>
  <c r="L101" i="694"/>
  <c r="L113" i="694"/>
  <c r="L119" i="694"/>
  <c r="L124" i="694"/>
  <c r="L127" i="694"/>
  <c r="L129" i="694"/>
  <c r="L138" i="694"/>
  <c r="L142" i="694"/>
  <c r="L145" i="694"/>
  <c r="L147" i="694"/>
  <c r="L150" i="694"/>
  <c r="L152" i="694"/>
  <c r="L155" i="694"/>
  <c r="L157" i="694"/>
  <c r="L159" i="694"/>
  <c r="L164" i="694"/>
  <c r="L167" i="694"/>
  <c r="L169" i="694"/>
  <c r="L175" i="694"/>
  <c r="L231" i="694" s="1"/>
  <c r="L180" i="694"/>
  <c r="L236" i="694" s="1"/>
  <c r="L183" i="694"/>
  <c r="L239" i="694" s="1"/>
  <c r="L185" i="694"/>
  <c r="L241" i="694" s="1"/>
  <c r="L194" i="694"/>
  <c r="L250" i="694" s="1"/>
  <c r="L198" i="694"/>
  <c r="L254" i="694" s="1"/>
  <c r="L201" i="694"/>
  <c r="L257" i="694" s="1"/>
  <c r="L203" i="694"/>
  <c r="L259" i="694" s="1"/>
  <c r="L206" i="694"/>
  <c r="L262" i="694" s="1"/>
  <c r="L208" i="694"/>
  <c r="L264" i="694" s="1"/>
  <c r="L211" i="694"/>
  <c r="L267" i="694" s="1"/>
  <c r="L213" i="694"/>
  <c r="L269" i="694" s="1"/>
  <c r="L215" i="694"/>
  <c r="L271" i="694" s="1"/>
  <c r="L220" i="694"/>
  <c r="L276" i="694" s="1"/>
  <c r="L223" i="694"/>
  <c r="L279" i="694" s="1"/>
  <c r="L225" i="694"/>
  <c r="L281" i="694" s="1"/>
  <c r="L105" i="694"/>
  <c r="EW19" i="695"/>
  <c r="EW27" i="695" s="1"/>
  <c r="EW20" i="695"/>
  <c r="EW24" i="695" s="1"/>
  <c r="EW26" i="695" s="1"/>
  <c r="EW21" i="695"/>
  <c r="EW23" i="695" s="1"/>
  <c r="EW22" i="695"/>
  <c r="EW18" i="695"/>
  <c r="EW31" i="695" s="1"/>
  <c r="GL3" i="695"/>
  <c r="FR7" i="695"/>
  <c r="FR9" i="695"/>
  <c r="FR10" i="695"/>
  <c r="FR11" i="695"/>
  <c r="FR12" i="695"/>
  <c r="FR13" i="695"/>
  <c r="FR14" i="695"/>
  <c r="FR15" i="695"/>
  <c r="FR16" i="695"/>
  <c r="FR17" i="695"/>
  <c r="FR8" i="695"/>
  <c r="EO25" i="695"/>
  <c r="EO29" i="695"/>
  <c r="EO32" i="695"/>
  <c r="FG18" i="83"/>
  <c r="FG32" i="83" s="1"/>
  <c r="FG19" i="83"/>
  <c r="FG27" i="83" s="1"/>
  <c r="FG20" i="83"/>
  <c r="FG24" i="83" s="1"/>
  <c r="FG26" i="83" s="1"/>
  <c r="FG21" i="83"/>
  <c r="FG23" i="83" s="1"/>
  <c r="FG22" i="83"/>
  <c r="FM18" i="83"/>
  <c r="FM32" i="83" s="1"/>
  <c r="FM20" i="83"/>
  <c r="FM24" i="83" s="1"/>
  <c r="FM26" i="83" s="1"/>
  <c r="FM21" i="83"/>
  <c r="FM23" i="83" s="1"/>
  <c r="FM19" i="83"/>
  <c r="FM27" i="83" s="1"/>
  <c r="FM22" i="83"/>
  <c r="EJ25" i="695"/>
  <c r="EJ29" i="695"/>
  <c r="EJ32" i="695"/>
  <c r="FK29" i="83"/>
  <c r="FK31" i="83"/>
  <c r="FN18" i="83"/>
  <c r="FN32" i="83" s="1"/>
  <c r="FN19" i="83"/>
  <c r="FN27" i="83" s="1"/>
  <c r="FN20" i="83"/>
  <c r="FN24" i="83" s="1"/>
  <c r="FN26" i="83" s="1"/>
  <c r="FN21" i="83"/>
  <c r="FN23" i="83" s="1"/>
  <c r="FN22" i="83"/>
  <c r="J192" i="694"/>
  <c r="J248" i="694" s="1"/>
  <c r="J136" i="694"/>
  <c r="J95" i="694"/>
  <c r="FB28" i="695"/>
  <c r="FB30" i="695"/>
  <c r="EC25" i="695"/>
  <c r="EC29" i="695"/>
  <c r="EC32" i="695"/>
  <c r="EL25" i="695"/>
  <c r="EL29" i="695"/>
  <c r="EL32" i="695"/>
  <c r="EH25" i="83"/>
  <c r="EH30" i="83"/>
  <c r="EH33" i="83"/>
  <c r="GT3" i="83"/>
  <c r="FZ9" i="83"/>
  <c r="FZ10" i="83"/>
  <c r="FZ11" i="83"/>
  <c r="FZ12" i="83"/>
  <c r="FZ13" i="83"/>
  <c r="FZ14" i="83"/>
  <c r="FZ15" i="83"/>
  <c r="FZ16" i="83"/>
  <c r="FZ17" i="83"/>
  <c r="FZ7" i="83"/>
  <c r="FZ8" i="83"/>
  <c r="EY29" i="83"/>
  <c r="EY31" i="83"/>
  <c r="EM25" i="83"/>
  <c r="EM30" i="83"/>
  <c r="EM33" i="83"/>
  <c r="EM25" i="695"/>
  <c r="EM29" i="695"/>
  <c r="EM32" i="695"/>
  <c r="FL18" i="83"/>
  <c r="FL32" i="83" s="1"/>
  <c r="FL19" i="83"/>
  <c r="FL27" i="83" s="1"/>
  <c r="FL21" i="83"/>
  <c r="FL23" i="83" s="1"/>
  <c r="FL22" i="83"/>
  <c r="FL20" i="83"/>
  <c r="FL24" i="83" s="1"/>
  <c r="FL26" i="83" s="1"/>
  <c r="FH29" i="83"/>
  <c r="FH31" i="83"/>
  <c r="FJ28" i="695"/>
  <c r="FJ30" i="695"/>
  <c r="L78" i="2"/>
  <c r="L123" i="2"/>
  <c r="L201" i="2" s="1"/>
  <c r="L162" i="2"/>
  <c r="M123" i="2"/>
  <c r="M201" i="2" s="1"/>
  <c r="GK8" i="83"/>
  <c r="GK7" i="83"/>
  <c r="L40" i="694"/>
  <c r="GI8" i="695"/>
  <c r="GI7" i="695"/>
  <c r="L177" i="694" l="1"/>
  <c r="L233" i="694" s="1"/>
  <c r="L82" i="694"/>
  <c r="L88" i="694"/>
  <c r="L121" i="694"/>
  <c r="L97" i="694"/>
  <c r="L86" i="694"/>
  <c r="L96" i="694"/>
  <c r="L84" i="694"/>
  <c r="K136" i="694"/>
  <c r="L87" i="694"/>
  <c r="L207" i="694"/>
  <c r="L263" i="694" s="1"/>
  <c r="K192" i="694"/>
  <c r="K248" i="694" s="1"/>
  <c r="L106" i="694"/>
  <c r="L184" i="694"/>
  <c r="L240" i="694" s="1"/>
  <c r="L154" i="694"/>
  <c r="L108" i="694"/>
  <c r="L109" i="694"/>
  <c r="L210" i="694"/>
  <c r="L266" i="694" s="1"/>
  <c r="L107" i="694"/>
  <c r="L83" i="694"/>
  <c r="L30" i="694"/>
  <c r="L29" i="694" s="1"/>
  <c r="L100" i="694"/>
  <c r="L136" i="694"/>
  <c r="L95" i="694"/>
  <c r="L192" i="694"/>
  <c r="L248" i="694" s="1"/>
  <c r="L90" i="694"/>
  <c r="L128" i="694"/>
  <c r="K29" i="694"/>
  <c r="K92" i="694"/>
  <c r="K133" i="694"/>
  <c r="GI30" i="695"/>
  <c r="L143" i="694"/>
  <c r="L199" i="694"/>
  <c r="L255" i="694" s="1"/>
  <c r="GK31" i="83"/>
  <c r="FO25" i="695"/>
  <c r="FO29" i="695"/>
  <c r="FO32" i="695"/>
  <c r="L163" i="694"/>
  <c r="L219" i="694"/>
  <c r="L275" i="694" s="1"/>
  <c r="HQ3" i="695"/>
  <c r="GW7" i="695"/>
  <c r="GW9" i="695"/>
  <c r="GW10" i="695"/>
  <c r="GW11" i="695"/>
  <c r="GW12" i="695"/>
  <c r="GW13" i="695"/>
  <c r="GW14" i="695"/>
  <c r="GW15" i="695"/>
  <c r="GW16" i="695"/>
  <c r="GW17" i="695"/>
  <c r="GW8" i="695"/>
  <c r="GG29" i="83"/>
  <c r="GG31" i="83"/>
  <c r="FO19" i="695"/>
  <c r="FO27" i="695" s="1"/>
  <c r="FZ29" i="83"/>
  <c r="FZ31" i="83"/>
  <c r="FR20" i="695"/>
  <c r="FR18" i="695"/>
  <c r="FR31" i="695" s="1"/>
  <c r="FR21" i="695"/>
  <c r="FR22" i="695"/>
  <c r="FR19" i="695"/>
  <c r="FR27" i="695" s="1"/>
  <c r="L204" i="694"/>
  <c r="L260" i="694" s="1"/>
  <c r="GB23" i="695"/>
  <c r="GB24" i="695"/>
  <c r="GB26" i="695" s="1"/>
  <c r="GB28" i="695"/>
  <c r="GB30" i="695"/>
  <c r="HI3" i="83"/>
  <c r="GO9" i="83"/>
  <c r="GO10" i="83"/>
  <c r="GO11" i="83"/>
  <c r="GO12" i="83"/>
  <c r="GO13" i="83"/>
  <c r="GO14" i="83"/>
  <c r="GO15" i="83"/>
  <c r="GO16" i="83"/>
  <c r="GO17" i="83"/>
  <c r="GO7" i="83"/>
  <c r="GO8" i="83"/>
  <c r="FU23" i="695"/>
  <c r="FU24" i="695"/>
  <c r="FU26" i="695" s="1"/>
  <c r="FU28" i="695"/>
  <c r="FU30" i="695"/>
  <c r="FV29" i="83"/>
  <c r="FV31" i="83"/>
  <c r="HO3" i="695"/>
  <c r="GU7" i="695"/>
  <c r="GU9" i="695"/>
  <c r="GU10" i="695"/>
  <c r="GU11" i="695"/>
  <c r="GU12" i="695"/>
  <c r="GU13" i="695"/>
  <c r="GU14" i="695"/>
  <c r="GU15" i="695"/>
  <c r="GU16" i="695"/>
  <c r="GU17" i="695"/>
  <c r="GU8" i="695"/>
  <c r="FZ20" i="695"/>
  <c r="FZ18" i="695"/>
  <c r="FZ31" i="695" s="1"/>
  <c r="FZ21" i="695"/>
  <c r="FZ22" i="695"/>
  <c r="FZ19" i="695"/>
  <c r="FZ27" i="695" s="1"/>
  <c r="GE21" i="695"/>
  <c r="GE19" i="695"/>
  <c r="GE27" i="695" s="1"/>
  <c r="GE18" i="695"/>
  <c r="GE31" i="695" s="1"/>
  <c r="GE22" i="695"/>
  <c r="GE20" i="695"/>
  <c r="EY25" i="695"/>
  <c r="EY29" i="695"/>
  <c r="EY32" i="695"/>
  <c r="FW29" i="83"/>
  <c r="FW31" i="83"/>
  <c r="HH3" i="695"/>
  <c r="GN7" i="695"/>
  <c r="GN9" i="695"/>
  <c r="GN10" i="695"/>
  <c r="GN11" i="695"/>
  <c r="GN12" i="695"/>
  <c r="GN13" i="695"/>
  <c r="GN14" i="695"/>
  <c r="GN15" i="695"/>
  <c r="GN16" i="695"/>
  <c r="GN17" i="695"/>
  <c r="GN8" i="695"/>
  <c r="FJ25" i="83"/>
  <c r="FJ30" i="83"/>
  <c r="FJ33" i="83"/>
  <c r="FF25" i="83"/>
  <c r="FF30" i="83"/>
  <c r="FF33" i="83"/>
  <c r="FB25" i="83"/>
  <c r="FB30" i="83"/>
  <c r="FB33" i="83"/>
  <c r="GH29" i="83"/>
  <c r="GH31" i="83"/>
  <c r="FH25" i="695"/>
  <c r="FH29" i="695"/>
  <c r="FH32" i="695"/>
  <c r="FM25" i="695"/>
  <c r="FM29" i="695"/>
  <c r="FM32" i="695"/>
  <c r="FS29" i="83"/>
  <c r="FS31" i="83"/>
  <c r="HT3" i="695"/>
  <c r="GZ7" i="695"/>
  <c r="GZ9" i="695"/>
  <c r="GZ10" i="695"/>
  <c r="GZ11" i="695"/>
  <c r="GZ12" i="695"/>
  <c r="GZ13" i="695"/>
  <c r="GZ14" i="695"/>
  <c r="GZ15" i="695"/>
  <c r="GZ16" i="695"/>
  <c r="GZ17" i="695"/>
  <c r="GZ8" i="695"/>
  <c r="FX24" i="695"/>
  <c r="FX26" i="695" s="1"/>
  <c r="FX23" i="695"/>
  <c r="FX28" i="695"/>
  <c r="FX30" i="695"/>
  <c r="EW25" i="83"/>
  <c r="EW30" i="83"/>
  <c r="EW33" i="83"/>
  <c r="GD23" i="695"/>
  <c r="GD24" i="695"/>
  <c r="GD26" i="695" s="1"/>
  <c r="GD28" i="695"/>
  <c r="GD30" i="695"/>
  <c r="HC3" i="695"/>
  <c r="GI9" i="695"/>
  <c r="GI23" i="695" s="1"/>
  <c r="GI10" i="695"/>
  <c r="GI21" i="695" s="1"/>
  <c r="GI11" i="695"/>
  <c r="GI12" i="695"/>
  <c r="GI13" i="695"/>
  <c r="GI14" i="695"/>
  <c r="GI15" i="695"/>
  <c r="GI16" i="695"/>
  <c r="GI17" i="695"/>
  <c r="GD18" i="83"/>
  <c r="GD32" i="83" s="1"/>
  <c r="GD19" i="83"/>
  <c r="GD27" i="83" s="1"/>
  <c r="GD21" i="83"/>
  <c r="GD23" i="83" s="1"/>
  <c r="GD22" i="83"/>
  <c r="GD20" i="83"/>
  <c r="GD24" i="83" s="1"/>
  <c r="GD26" i="83" s="1"/>
  <c r="L66" i="694"/>
  <c r="FO21" i="695"/>
  <c r="GF24" i="695"/>
  <c r="GF26" i="695" s="1"/>
  <c r="GF23" i="695"/>
  <c r="GF28" i="695"/>
  <c r="GF30" i="695"/>
  <c r="FG25" i="83"/>
  <c r="FG30" i="83"/>
  <c r="FG33" i="83"/>
  <c r="HP3" i="695"/>
  <c r="GV7" i="695"/>
  <c r="GV9" i="695"/>
  <c r="GV10" i="695"/>
  <c r="GV11" i="695"/>
  <c r="GV12" i="695"/>
  <c r="GV13" i="695"/>
  <c r="GV14" i="695"/>
  <c r="GV15" i="695"/>
  <c r="GV16" i="695"/>
  <c r="GV17" i="695"/>
  <c r="GV8" i="695"/>
  <c r="GH20" i="695"/>
  <c r="GH18" i="695"/>
  <c r="GH31" i="695" s="1"/>
  <c r="GH21" i="695"/>
  <c r="GH19" i="695"/>
  <c r="GH27" i="695" s="1"/>
  <c r="GH22" i="695"/>
  <c r="HI3" i="695"/>
  <c r="GO7" i="695"/>
  <c r="GO9" i="695"/>
  <c r="GO10" i="695"/>
  <c r="GO11" i="695"/>
  <c r="GO12" i="695"/>
  <c r="GO13" i="695"/>
  <c r="GO14" i="695"/>
  <c r="GO15" i="695"/>
  <c r="GO16" i="695"/>
  <c r="GO17" i="695"/>
  <c r="GO8" i="695"/>
  <c r="EV25" i="695"/>
  <c r="EV29" i="695"/>
  <c r="EV32" i="695"/>
  <c r="GJ18" i="83"/>
  <c r="GJ32" i="83" s="1"/>
  <c r="GJ19" i="83"/>
  <c r="GJ27" i="83" s="1"/>
  <c r="GJ21" i="83"/>
  <c r="GJ23" i="83" s="1"/>
  <c r="GJ20" i="83"/>
  <c r="GJ24" i="83" s="1"/>
  <c r="GJ26" i="83" s="1"/>
  <c r="GJ22" i="83"/>
  <c r="K161" i="694"/>
  <c r="K217" i="694"/>
  <c r="K273" i="694" s="1"/>
  <c r="GG24" i="695"/>
  <c r="GG26" i="695" s="1"/>
  <c r="GG23" i="695"/>
  <c r="GG28" i="695"/>
  <c r="GG30" i="695"/>
  <c r="FR18" i="83"/>
  <c r="FR32" i="83" s="1"/>
  <c r="FR19" i="83"/>
  <c r="FR27" i="83" s="1"/>
  <c r="FR20" i="83"/>
  <c r="FR24" i="83" s="1"/>
  <c r="FR26" i="83" s="1"/>
  <c r="FR21" i="83"/>
  <c r="FR23" i="83" s="1"/>
  <c r="FR22" i="83"/>
  <c r="FN25" i="695"/>
  <c r="FN29" i="695"/>
  <c r="FN32" i="695"/>
  <c r="FK25" i="695"/>
  <c r="FK29" i="695"/>
  <c r="FK32" i="695"/>
  <c r="HT3" i="83"/>
  <c r="GZ9" i="83"/>
  <c r="GZ10" i="83"/>
  <c r="GZ11" i="83"/>
  <c r="GZ12" i="83"/>
  <c r="GZ13" i="83"/>
  <c r="GZ14" i="83"/>
  <c r="GZ15" i="83"/>
  <c r="GZ16" i="83"/>
  <c r="GZ17" i="83"/>
  <c r="GZ7" i="83"/>
  <c r="GZ8" i="83"/>
  <c r="HU3" i="83"/>
  <c r="HA9" i="83"/>
  <c r="HA10" i="83"/>
  <c r="HA11" i="83"/>
  <c r="HA12" i="83"/>
  <c r="HA13" i="83"/>
  <c r="HA14" i="83"/>
  <c r="HA15" i="83"/>
  <c r="HA16" i="83"/>
  <c r="HA17" i="83"/>
  <c r="HA7" i="83"/>
  <c r="HA8" i="83"/>
  <c r="FQ24" i="695"/>
  <c r="FQ26" i="695" s="1"/>
  <c r="FQ23" i="695"/>
  <c r="FQ28" i="695"/>
  <c r="FQ30" i="695"/>
  <c r="GI18" i="83"/>
  <c r="GI32" i="83" s="1"/>
  <c r="GI19" i="83"/>
  <c r="GI27" i="83" s="1"/>
  <c r="GI20" i="83"/>
  <c r="GI24" i="83" s="1"/>
  <c r="GI26" i="83" s="1"/>
  <c r="GI21" i="83"/>
  <c r="GI23" i="83" s="1"/>
  <c r="GI22" i="83"/>
  <c r="HS3" i="83"/>
  <c r="GY9" i="83"/>
  <c r="GY10" i="83"/>
  <c r="GY11" i="83"/>
  <c r="GY12" i="83"/>
  <c r="GY13" i="83"/>
  <c r="GY14" i="83"/>
  <c r="GY15" i="83"/>
  <c r="GY16" i="83"/>
  <c r="GY17" i="83"/>
  <c r="GY7" i="83"/>
  <c r="GY8" i="83"/>
  <c r="HL3" i="695"/>
  <c r="GR7" i="695"/>
  <c r="GR9" i="695"/>
  <c r="GR10" i="695"/>
  <c r="GR11" i="695"/>
  <c r="GR12" i="695"/>
  <c r="GR13" i="695"/>
  <c r="GR14" i="695"/>
  <c r="GR15" i="695"/>
  <c r="GR16" i="695"/>
  <c r="GR17" i="695"/>
  <c r="GR8" i="695"/>
  <c r="HR3" i="695"/>
  <c r="GX7" i="695"/>
  <c r="GX9" i="695"/>
  <c r="GX10" i="695"/>
  <c r="GX11" i="695"/>
  <c r="GX12" i="695"/>
  <c r="GX13" i="695"/>
  <c r="GX14" i="695"/>
  <c r="GX15" i="695"/>
  <c r="GX16" i="695"/>
  <c r="GX17" i="695"/>
  <c r="GX8" i="695"/>
  <c r="GD29" i="83"/>
  <c r="GD31" i="83"/>
  <c r="L60" i="694"/>
  <c r="FS20" i="695"/>
  <c r="FS18" i="695"/>
  <c r="FS31" i="695" s="1"/>
  <c r="FS19" i="695"/>
  <c r="FS27" i="695" s="1"/>
  <c r="FS21" i="695"/>
  <c r="FS22" i="695"/>
  <c r="FQ22" i="83"/>
  <c r="B56" i="695" a="1"/>
  <c r="B56" i="695" s="1"/>
  <c r="B55" i="695" a="1"/>
  <c r="B55" i="695" s="1"/>
  <c r="B57" i="695" a="1"/>
  <c r="B57" i="695" s="1"/>
  <c r="FT23" i="695"/>
  <c r="FT24" i="695"/>
  <c r="FT26" i="695" s="1"/>
  <c r="FT28" i="695"/>
  <c r="FT30" i="695"/>
  <c r="HO3" i="83"/>
  <c r="GU9" i="83"/>
  <c r="GU10" i="83"/>
  <c r="GU11" i="83"/>
  <c r="GU12" i="83"/>
  <c r="GU13" i="83"/>
  <c r="GU14" i="83"/>
  <c r="GU15" i="83"/>
  <c r="GU16" i="83"/>
  <c r="GU17" i="83"/>
  <c r="GU7" i="83"/>
  <c r="GU8" i="83"/>
  <c r="GE29" i="83"/>
  <c r="GE31" i="83"/>
  <c r="EX25" i="83"/>
  <c r="EX30" i="83"/>
  <c r="EX33" i="83"/>
  <c r="HN3" i="83"/>
  <c r="GT9" i="83"/>
  <c r="GT10" i="83"/>
  <c r="GT11" i="83"/>
  <c r="GT12" i="83"/>
  <c r="GT13" i="83"/>
  <c r="GT14" i="83"/>
  <c r="GT15" i="83"/>
  <c r="GT16" i="83"/>
  <c r="GT17" i="83"/>
  <c r="GT7" i="83"/>
  <c r="GT8" i="83"/>
  <c r="FN25" i="83"/>
  <c r="FN30" i="83"/>
  <c r="FN33" i="83"/>
  <c r="FR24" i="695"/>
  <c r="FR26" i="695" s="1"/>
  <c r="FR23" i="695"/>
  <c r="FR28" i="695"/>
  <c r="FR30" i="695"/>
  <c r="FO25" i="83"/>
  <c r="FO30" i="83"/>
  <c r="FO33" i="83"/>
  <c r="FX18" i="83"/>
  <c r="FX32" i="83" s="1"/>
  <c r="FX19" i="83"/>
  <c r="FX27" i="83" s="1"/>
  <c r="FX20" i="83"/>
  <c r="FX24" i="83" s="1"/>
  <c r="FX26" i="83" s="1"/>
  <c r="FX21" i="83"/>
  <c r="FX23" i="83" s="1"/>
  <c r="FX22" i="83"/>
  <c r="HJ3" i="83"/>
  <c r="GP9" i="83"/>
  <c r="GP10" i="83"/>
  <c r="GP11" i="83"/>
  <c r="GP12" i="83"/>
  <c r="GP13" i="83"/>
  <c r="GP14" i="83"/>
  <c r="GP15" i="83"/>
  <c r="GP16" i="83"/>
  <c r="GP17" i="83"/>
  <c r="GP7" i="83"/>
  <c r="GP8" i="83"/>
  <c r="FL25" i="695"/>
  <c r="FL29" i="695"/>
  <c r="FL32" i="695"/>
  <c r="FZ24" i="695"/>
  <c r="FZ26" i="695" s="1"/>
  <c r="FZ23" i="695"/>
  <c r="FZ28" i="695"/>
  <c r="FZ30" i="695"/>
  <c r="GE23" i="695"/>
  <c r="GE24" i="695"/>
  <c r="GE26" i="695" s="1"/>
  <c r="GE28" i="695"/>
  <c r="GE30" i="695"/>
  <c r="HK3" i="83"/>
  <c r="GQ9" i="83"/>
  <c r="GQ10" i="83"/>
  <c r="GQ11" i="83"/>
  <c r="GQ12" i="83"/>
  <c r="GQ13" i="83"/>
  <c r="GQ14" i="83"/>
  <c r="GQ15" i="83"/>
  <c r="GQ16" i="83"/>
  <c r="GQ17" i="83"/>
  <c r="GQ7" i="83"/>
  <c r="GQ8" i="83"/>
  <c r="GJ29" i="83"/>
  <c r="GJ31" i="83"/>
  <c r="FT18" i="83"/>
  <c r="FT32" i="83" s="1"/>
  <c r="FT19" i="83"/>
  <c r="FT27" i="83" s="1"/>
  <c r="FT21" i="83"/>
  <c r="FT23" i="83" s="1"/>
  <c r="FT20" i="83"/>
  <c r="FT24" i="83" s="1"/>
  <c r="FT26" i="83" s="1"/>
  <c r="FT22" i="83"/>
  <c r="HU3" i="695"/>
  <c r="HA7" i="695"/>
  <c r="HA9" i="695"/>
  <c r="HA10" i="695"/>
  <c r="HA11" i="695"/>
  <c r="HA12" i="695"/>
  <c r="HA13" i="695"/>
  <c r="HA14" i="695"/>
  <c r="HA15" i="695"/>
  <c r="HA16" i="695"/>
  <c r="HA17" i="695"/>
  <c r="HA8" i="695"/>
  <c r="FR29" i="83"/>
  <c r="FR31" i="83"/>
  <c r="FY18" i="83"/>
  <c r="FY32" i="83" s="1"/>
  <c r="FY20" i="83"/>
  <c r="FY24" i="83" s="1"/>
  <c r="FY26" i="83" s="1"/>
  <c r="FY19" i="83"/>
  <c r="FY27" i="83" s="1"/>
  <c r="FY21" i="83"/>
  <c r="FY23" i="83" s="1"/>
  <c r="FY22" i="83"/>
  <c r="EZ25" i="695"/>
  <c r="EZ29" i="695"/>
  <c r="EZ32" i="695"/>
  <c r="HV3" i="83"/>
  <c r="HB9" i="83"/>
  <c r="HB10" i="83"/>
  <c r="HB11" i="83"/>
  <c r="HB12" i="83"/>
  <c r="HB13" i="83"/>
  <c r="HB14" i="83"/>
  <c r="HB15" i="83"/>
  <c r="HB16" i="83"/>
  <c r="HB17" i="83"/>
  <c r="HB7" i="83"/>
  <c r="HB8" i="83"/>
  <c r="EZ25" i="83"/>
  <c r="EZ30" i="83"/>
  <c r="EZ33" i="83"/>
  <c r="HE3" i="695"/>
  <c r="GK7" i="695"/>
  <c r="GK9" i="695"/>
  <c r="GK10" i="695"/>
  <c r="GK11" i="695"/>
  <c r="GK12" i="695"/>
  <c r="GK13" i="695"/>
  <c r="GK14" i="695"/>
  <c r="GK15" i="695"/>
  <c r="GK16" i="695"/>
  <c r="GK17" i="695"/>
  <c r="GK8" i="695"/>
  <c r="GI29" i="83"/>
  <c r="GI31" i="83"/>
  <c r="HG3" i="83"/>
  <c r="GM9" i="83"/>
  <c r="GM10" i="83"/>
  <c r="GM11" i="83"/>
  <c r="GM12" i="83"/>
  <c r="GM13" i="83"/>
  <c r="GM14" i="83"/>
  <c r="GM15" i="83"/>
  <c r="GM16" i="83"/>
  <c r="GM17" i="83"/>
  <c r="GM7" i="83"/>
  <c r="GM8" i="83"/>
  <c r="FY18" i="695"/>
  <c r="FY31" i="695" s="1"/>
  <c r="FY21" i="695"/>
  <c r="FY19" i="695"/>
  <c r="FY27" i="695" s="1"/>
  <c r="FY20" i="695"/>
  <c r="FY22" i="695"/>
  <c r="FP18" i="695"/>
  <c r="FP31" i="695" s="1"/>
  <c r="FP21" i="695"/>
  <c r="FP19" i="695"/>
  <c r="FP27" i="695" s="1"/>
  <c r="FP20" i="695"/>
  <c r="FP22" i="695"/>
  <c r="K218" i="694"/>
  <c r="K274" i="694" s="1"/>
  <c r="K162" i="694"/>
  <c r="FV19" i="695"/>
  <c r="FV27" i="695" s="1"/>
  <c r="FV20" i="695"/>
  <c r="FV18" i="695"/>
  <c r="FV31" i="695" s="1"/>
  <c r="FV22" i="695"/>
  <c r="FV21" i="695"/>
  <c r="L61" i="694"/>
  <c r="FQ21" i="83"/>
  <c r="FQ23" i="83" s="1"/>
  <c r="FV18" i="83"/>
  <c r="FV32" i="83" s="1"/>
  <c r="FV19" i="83"/>
  <c r="FV27" i="83" s="1"/>
  <c r="FV20" i="83"/>
  <c r="FV24" i="83" s="1"/>
  <c r="FV26" i="83" s="1"/>
  <c r="FV21" i="83"/>
  <c r="FV23" i="83" s="1"/>
  <c r="FV22" i="83"/>
  <c r="GA23" i="695"/>
  <c r="GA24" i="695"/>
  <c r="GA26" i="695" s="1"/>
  <c r="GA28" i="695"/>
  <c r="GA30" i="695"/>
  <c r="HQ3" i="83"/>
  <c r="GW9" i="83"/>
  <c r="GW10" i="83"/>
  <c r="GW11" i="83"/>
  <c r="GW12" i="83"/>
  <c r="GW13" i="83"/>
  <c r="GW14" i="83"/>
  <c r="GW15" i="83"/>
  <c r="GW16" i="83"/>
  <c r="GW17" i="83"/>
  <c r="GW7" i="83"/>
  <c r="GW8" i="83"/>
  <c r="FW18" i="83"/>
  <c r="FW32" i="83" s="1"/>
  <c r="FW19" i="83"/>
  <c r="FW27" i="83" s="1"/>
  <c r="FW20" i="83"/>
  <c r="FW24" i="83" s="1"/>
  <c r="FW26" i="83" s="1"/>
  <c r="FW21" i="83"/>
  <c r="FW23" i="83" s="1"/>
  <c r="FW22" i="83"/>
  <c r="FB25" i="695"/>
  <c r="FB29" i="695"/>
  <c r="FB32" i="695"/>
  <c r="FQ18" i="695"/>
  <c r="FQ31" i="695" s="1"/>
  <c r="FQ21" i="695"/>
  <c r="FQ19" i="695"/>
  <c r="FQ27" i="695" s="1"/>
  <c r="FQ20" i="695"/>
  <c r="FQ22" i="695"/>
  <c r="HF3" i="695"/>
  <c r="GL7" i="695"/>
  <c r="GL9" i="695"/>
  <c r="GL10" i="695"/>
  <c r="GL11" i="695"/>
  <c r="GL12" i="695"/>
  <c r="GL13" i="695"/>
  <c r="GL14" i="695"/>
  <c r="GL15" i="695"/>
  <c r="GL16" i="695"/>
  <c r="GL17" i="695"/>
  <c r="GL8" i="695"/>
  <c r="EU25" i="695"/>
  <c r="EU29" i="695"/>
  <c r="EU32" i="695"/>
  <c r="GH24" i="695"/>
  <c r="GH26" i="695" s="1"/>
  <c r="GH23" i="695"/>
  <c r="GH28" i="695"/>
  <c r="GH30" i="695"/>
  <c r="FX29" i="83"/>
  <c r="FX31" i="83"/>
  <c r="FK25" i="83"/>
  <c r="FK30" i="83"/>
  <c r="FK33" i="83"/>
  <c r="HN3" i="695"/>
  <c r="GT7" i="695"/>
  <c r="GT9" i="695"/>
  <c r="GT10" i="695"/>
  <c r="GT11" i="695"/>
  <c r="GT12" i="695"/>
  <c r="GT13" i="695"/>
  <c r="GT14" i="695"/>
  <c r="GT15" i="695"/>
  <c r="GT16" i="695"/>
  <c r="GT17" i="695"/>
  <c r="GT8" i="695"/>
  <c r="HS3" i="695"/>
  <c r="GY7" i="695"/>
  <c r="GY9" i="695"/>
  <c r="GY10" i="695"/>
  <c r="GY11" i="695"/>
  <c r="GY12" i="695"/>
  <c r="GY13" i="695"/>
  <c r="GY14" i="695"/>
  <c r="GY15" i="695"/>
  <c r="GY16" i="695"/>
  <c r="GY17" i="695"/>
  <c r="GY8" i="695"/>
  <c r="K163" i="694"/>
  <c r="K219" i="694"/>
  <c r="K275" i="694" s="1"/>
  <c r="FT29" i="83"/>
  <c r="FT31" i="83"/>
  <c r="FW21" i="695"/>
  <c r="FW19" i="695"/>
  <c r="FW27" i="695" s="1"/>
  <c r="FW18" i="695"/>
  <c r="FW31" i="695" s="1"/>
  <c r="FW22" i="695"/>
  <c r="FW20" i="695"/>
  <c r="HE3" i="83"/>
  <c r="GK9" i="83"/>
  <c r="GK20" i="83" s="1"/>
  <c r="GK24" i="83" s="1"/>
  <c r="GK26" i="83" s="1"/>
  <c r="GK10" i="83"/>
  <c r="GK18" i="83" s="1"/>
  <c r="GK32" i="83" s="1"/>
  <c r="GK11" i="83"/>
  <c r="GK19" i="83" s="1"/>
  <c r="GK27" i="83" s="1"/>
  <c r="GK12" i="83"/>
  <c r="GK21" i="83" s="1"/>
  <c r="GK23" i="83" s="1"/>
  <c r="GK13" i="83"/>
  <c r="GK14" i="83"/>
  <c r="GK15" i="83"/>
  <c r="GK16" i="83"/>
  <c r="GK17" i="83"/>
  <c r="FY29" i="83"/>
  <c r="FY31" i="83"/>
  <c r="FC25" i="83"/>
  <c r="FC30" i="83"/>
  <c r="FC33" i="83"/>
  <c r="FP25" i="83"/>
  <c r="FP30" i="83"/>
  <c r="FP33" i="83"/>
  <c r="GB18" i="83"/>
  <c r="GB32" i="83" s="1"/>
  <c r="GB19" i="83"/>
  <c r="GB27" i="83" s="1"/>
  <c r="GB21" i="83"/>
  <c r="GB23" i="83" s="1"/>
  <c r="GB20" i="83"/>
  <c r="GB24" i="83" s="1"/>
  <c r="GB26" i="83" s="1"/>
  <c r="GB22" i="83"/>
  <c r="J132" i="694"/>
  <c r="J91" i="694"/>
  <c r="J188" i="694"/>
  <c r="J244" i="694" s="1"/>
  <c r="HR3" i="83"/>
  <c r="GX9" i="83"/>
  <c r="GX10" i="83"/>
  <c r="GX11" i="83"/>
  <c r="GX12" i="83"/>
  <c r="GX13" i="83"/>
  <c r="GX14" i="83"/>
  <c r="GX15" i="83"/>
  <c r="GX16" i="83"/>
  <c r="GX17" i="83"/>
  <c r="GX7" i="83"/>
  <c r="GX8" i="83"/>
  <c r="FS23" i="695"/>
  <c r="FS24" i="695"/>
  <c r="FS26" i="695" s="1"/>
  <c r="FS28" i="695"/>
  <c r="FS30" i="695"/>
  <c r="FQ19" i="83"/>
  <c r="FQ27" i="83" s="1"/>
  <c r="C55" i="695" a="1"/>
  <c r="C55" i="695" s="1"/>
  <c r="C56" i="695" a="1"/>
  <c r="C56" i="695" s="1"/>
  <c r="C57" i="695" a="1"/>
  <c r="C57" i="695" s="1"/>
  <c r="GG18" i="695"/>
  <c r="GG31" i="695" s="1"/>
  <c r="GG21" i="695"/>
  <c r="GG19" i="695"/>
  <c r="GG27" i="695" s="1"/>
  <c r="GG20" i="695"/>
  <c r="GG22" i="695"/>
  <c r="GF29" i="83"/>
  <c r="GF31" i="83"/>
  <c r="FL25" i="83"/>
  <c r="FL30" i="83"/>
  <c r="FL33" i="83"/>
  <c r="HV3" i="695"/>
  <c r="HB7" i="695"/>
  <c r="HB9" i="695"/>
  <c r="HB10" i="695"/>
  <c r="HB11" i="695"/>
  <c r="HB12" i="695"/>
  <c r="HB13" i="695"/>
  <c r="HB14" i="695"/>
  <c r="HB15" i="695"/>
  <c r="HB16" i="695"/>
  <c r="HB17" i="695"/>
  <c r="HB8" i="695"/>
  <c r="GC18" i="83"/>
  <c r="GC32" i="83" s="1"/>
  <c r="GC21" i="83"/>
  <c r="GC23" i="83" s="1"/>
  <c r="GC20" i="83"/>
  <c r="GC24" i="83" s="1"/>
  <c r="GC26" i="83" s="1"/>
  <c r="GC19" i="83"/>
  <c r="GC27" i="83" s="1"/>
  <c r="GC22" i="83"/>
  <c r="FD25" i="695"/>
  <c r="FD29" i="695"/>
  <c r="FD32" i="695"/>
  <c r="HX3" i="83"/>
  <c r="HD9" i="83"/>
  <c r="HD10" i="83"/>
  <c r="HD11" i="83"/>
  <c r="HD12" i="83"/>
  <c r="HD13" i="83"/>
  <c r="HD14" i="83"/>
  <c r="HD15" i="83"/>
  <c r="HD16" i="83"/>
  <c r="HD17" i="83"/>
  <c r="HD7" i="83"/>
  <c r="HD8" i="83"/>
  <c r="GC19" i="695"/>
  <c r="GC27" i="695" s="1"/>
  <c r="GC20" i="695"/>
  <c r="GC18" i="695"/>
  <c r="GC31" i="695" s="1"/>
  <c r="GC21" i="695"/>
  <c r="GC22" i="695"/>
  <c r="W16" i="27" a="1"/>
  <c r="W16" i="27" s="1"/>
  <c r="X17" i="27"/>
  <c r="HF3" i="83"/>
  <c r="GL9" i="83"/>
  <c r="GL10" i="83"/>
  <c r="GL11" i="83"/>
  <c r="GL12" i="83"/>
  <c r="GL13" i="83"/>
  <c r="GL14" i="83"/>
  <c r="GL15" i="83"/>
  <c r="GL16" i="83"/>
  <c r="GL17" i="83"/>
  <c r="GL7" i="83"/>
  <c r="GL8" i="83"/>
  <c r="FI25" i="83"/>
  <c r="FI30" i="83"/>
  <c r="FI33" i="83"/>
  <c r="GA18" i="83"/>
  <c r="GA32" i="83" s="1"/>
  <c r="GA19" i="83"/>
  <c r="GA27" i="83" s="1"/>
  <c r="GA20" i="83"/>
  <c r="GA24" i="83" s="1"/>
  <c r="GA26" i="83" s="1"/>
  <c r="GA22" i="83"/>
  <c r="GA21" i="83"/>
  <c r="GA23" i="83" s="1"/>
  <c r="FC25" i="695"/>
  <c r="FC29" i="695"/>
  <c r="FC32" i="695"/>
  <c r="HW3" i="83"/>
  <c r="HC9" i="83"/>
  <c r="HC10" i="83"/>
  <c r="HC11" i="83"/>
  <c r="HC12" i="83"/>
  <c r="HC13" i="83"/>
  <c r="HC14" i="83"/>
  <c r="HC15" i="83"/>
  <c r="HC16" i="83"/>
  <c r="HC17" i="83"/>
  <c r="HC7" i="83"/>
  <c r="HC8" i="83"/>
  <c r="GB29" i="83"/>
  <c r="GB31" i="83"/>
  <c r="FY24" i="695"/>
  <c r="FY26" i="695" s="1"/>
  <c r="FY23" i="695"/>
  <c r="FY28" i="695"/>
  <c r="FY30" i="695"/>
  <c r="FP24" i="695"/>
  <c r="FP26" i="695" s="1"/>
  <c r="FP23" i="695"/>
  <c r="FP28" i="695"/>
  <c r="FP30" i="695"/>
  <c r="FV23" i="695"/>
  <c r="FV24" i="695"/>
  <c r="FV26" i="695" s="1"/>
  <c r="FV28" i="695"/>
  <c r="FV30" i="695"/>
  <c r="HG3" i="695"/>
  <c r="GM7" i="695"/>
  <c r="GM9" i="695"/>
  <c r="GM10" i="695"/>
  <c r="GM11" i="695"/>
  <c r="GM12" i="695"/>
  <c r="GM13" i="695"/>
  <c r="GM14" i="695"/>
  <c r="GM15" i="695"/>
  <c r="GM16" i="695"/>
  <c r="GM17" i="695"/>
  <c r="GM8" i="695"/>
  <c r="FQ20" i="83"/>
  <c r="FQ24" i="83" s="1"/>
  <c r="FQ26" i="83" s="1"/>
  <c r="FO20" i="695"/>
  <c r="FZ18" i="83"/>
  <c r="FZ32" i="83" s="1"/>
  <c r="FZ19" i="83"/>
  <c r="FZ27" i="83" s="1"/>
  <c r="FZ20" i="83"/>
  <c r="FZ24" i="83" s="1"/>
  <c r="FZ26" i="83" s="1"/>
  <c r="FZ21" i="83"/>
  <c r="FZ23" i="83" s="1"/>
  <c r="FZ22" i="83"/>
  <c r="FA25" i="83"/>
  <c r="FA30" i="83"/>
  <c r="FA33" i="83"/>
  <c r="GH18" i="83"/>
  <c r="GH32" i="83" s="1"/>
  <c r="GH19" i="83"/>
  <c r="GH27" i="83" s="1"/>
  <c r="GH20" i="83"/>
  <c r="GH24" i="83" s="1"/>
  <c r="GH26" i="83" s="1"/>
  <c r="GH21" i="83"/>
  <c r="GH23" i="83" s="1"/>
  <c r="GH22" i="83"/>
  <c r="FM25" i="83"/>
  <c r="FM30" i="83"/>
  <c r="FM33" i="83"/>
  <c r="FH25" i="83"/>
  <c r="FH30" i="83"/>
  <c r="FH33" i="83"/>
  <c r="FU18" i="83"/>
  <c r="FU32" i="83" s="1"/>
  <c r="FU21" i="83"/>
  <c r="FU23" i="83" s="1"/>
  <c r="FU19" i="83"/>
  <c r="FU27" i="83" s="1"/>
  <c r="FU20" i="83"/>
  <c r="FU24" i="83" s="1"/>
  <c r="FU26" i="83" s="1"/>
  <c r="FU22" i="83"/>
  <c r="HL3" i="83"/>
  <c r="GR9" i="83"/>
  <c r="GR10" i="83"/>
  <c r="GR11" i="83"/>
  <c r="GR12" i="83"/>
  <c r="GR13" i="83"/>
  <c r="GR14" i="83"/>
  <c r="GR15" i="83"/>
  <c r="GR16" i="83"/>
  <c r="GR17" i="83"/>
  <c r="GR7" i="83"/>
  <c r="GR8" i="83"/>
  <c r="FE25" i="695"/>
  <c r="FE29" i="695"/>
  <c r="FE32" i="695"/>
  <c r="GA20" i="695"/>
  <c r="GA18" i="695"/>
  <c r="GA31" i="695" s="1"/>
  <c r="GA19" i="695"/>
  <c r="GA27" i="695" s="1"/>
  <c r="GA21" i="695"/>
  <c r="GA22" i="695"/>
  <c r="GC29" i="83"/>
  <c r="GC31" i="83"/>
  <c r="FT20" i="695"/>
  <c r="FT18" i="695"/>
  <c r="FT31" i="695" s="1"/>
  <c r="FT19" i="695"/>
  <c r="FT27" i="695" s="1"/>
  <c r="FT21" i="695"/>
  <c r="FT22" i="695"/>
  <c r="HH3" i="83"/>
  <c r="GN9" i="83"/>
  <c r="GN10" i="83"/>
  <c r="GN11" i="83"/>
  <c r="GN12" i="83"/>
  <c r="GN13" i="83"/>
  <c r="GN14" i="83"/>
  <c r="GN15" i="83"/>
  <c r="GN16" i="83"/>
  <c r="GN17" i="83"/>
  <c r="GN7" i="83"/>
  <c r="GN8" i="83"/>
  <c r="FW23" i="695"/>
  <c r="FW24" i="695"/>
  <c r="FW26" i="695" s="1"/>
  <c r="FW28" i="695"/>
  <c r="FW30" i="695"/>
  <c r="EX25" i="695"/>
  <c r="EX29" i="695"/>
  <c r="EX32" i="695"/>
  <c r="FA29" i="695"/>
  <c r="FA25" i="695"/>
  <c r="FA32" i="695"/>
  <c r="HM3" i="83"/>
  <c r="GS9" i="83"/>
  <c r="GS10" i="83"/>
  <c r="GS11" i="83"/>
  <c r="GS12" i="83"/>
  <c r="GS13" i="83"/>
  <c r="GS14" i="83"/>
  <c r="GS15" i="83"/>
  <c r="GS16" i="83"/>
  <c r="GS17" i="83"/>
  <c r="GS7" i="83"/>
  <c r="GS8" i="83"/>
  <c r="GA29" i="83"/>
  <c r="GA31" i="83"/>
  <c r="HM3" i="695"/>
  <c r="GS7" i="695"/>
  <c r="GS9" i="695"/>
  <c r="GS10" i="695"/>
  <c r="GS11" i="695"/>
  <c r="GS12" i="695"/>
  <c r="GS13" i="695"/>
  <c r="GS14" i="695"/>
  <c r="GS15" i="695"/>
  <c r="GS16" i="695"/>
  <c r="GS17" i="695"/>
  <c r="GS8" i="695"/>
  <c r="GF18" i="695"/>
  <c r="GF31" i="695" s="1"/>
  <c r="GF21" i="695"/>
  <c r="GF19" i="695"/>
  <c r="GF27" i="695" s="1"/>
  <c r="GF20" i="695"/>
  <c r="GF22" i="695"/>
  <c r="HD3" i="695"/>
  <c r="GJ7" i="695"/>
  <c r="GJ9" i="695"/>
  <c r="GJ10" i="695"/>
  <c r="GJ11" i="695"/>
  <c r="GJ12" i="695"/>
  <c r="GJ13" i="695"/>
  <c r="GJ14" i="695"/>
  <c r="GJ15" i="695"/>
  <c r="GJ16" i="695"/>
  <c r="GJ17" i="695"/>
  <c r="GJ8" i="695"/>
  <c r="HJ3" i="695"/>
  <c r="GP7" i="695"/>
  <c r="GP9" i="695"/>
  <c r="GP10" i="695"/>
  <c r="GP11" i="695"/>
  <c r="GP12" i="695"/>
  <c r="GP13" i="695"/>
  <c r="GP14" i="695"/>
  <c r="GP15" i="695"/>
  <c r="GP16" i="695"/>
  <c r="GP17" i="695"/>
  <c r="GP8" i="695"/>
  <c r="FO22" i="695"/>
  <c r="FO24" i="695"/>
  <c r="FO26" i="695" s="1"/>
  <c r="FG25" i="695"/>
  <c r="FG29" i="695"/>
  <c r="FG32" i="695"/>
  <c r="FS18" i="83"/>
  <c r="FS32" i="83" s="1"/>
  <c r="FS19" i="83"/>
  <c r="FS27" i="83" s="1"/>
  <c r="FS20" i="83"/>
  <c r="FS24" i="83" s="1"/>
  <c r="FS26" i="83" s="1"/>
  <c r="FS22" i="83"/>
  <c r="FS21" i="83"/>
  <c r="FS23" i="83" s="1"/>
  <c r="EW25" i="695"/>
  <c r="EW29" i="695"/>
  <c r="EW32" i="695"/>
  <c r="GB20" i="695"/>
  <c r="GB18" i="695"/>
  <c r="GB31" i="695" s="1"/>
  <c r="GB19" i="695"/>
  <c r="GB27" i="695" s="1"/>
  <c r="GB21" i="695"/>
  <c r="GB22" i="695"/>
  <c r="EY25" i="83"/>
  <c r="EY30" i="83"/>
  <c r="EY33" i="83"/>
  <c r="FU29" i="83"/>
  <c r="FU31" i="83"/>
  <c r="FU19" i="695"/>
  <c r="FU27" i="695" s="1"/>
  <c r="FU20" i="695"/>
  <c r="FU18" i="695"/>
  <c r="FU31" i="695" s="1"/>
  <c r="FU22" i="695"/>
  <c r="FU21" i="695"/>
  <c r="FJ25" i="695"/>
  <c r="FJ29" i="695"/>
  <c r="FJ32" i="695"/>
  <c r="HK3" i="695"/>
  <c r="GQ7" i="695"/>
  <c r="GQ9" i="695"/>
  <c r="GQ10" i="695"/>
  <c r="GQ11" i="695"/>
  <c r="GQ12" i="695"/>
  <c r="GQ13" i="695"/>
  <c r="GQ14" i="695"/>
  <c r="GQ15" i="695"/>
  <c r="GQ16" i="695"/>
  <c r="GQ17" i="695"/>
  <c r="GQ8" i="695"/>
  <c r="GC23" i="695"/>
  <c r="GC24" i="695"/>
  <c r="GC26" i="695" s="1"/>
  <c r="GC28" i="695"/>
  <c r="GC30" i="695"/>
  <c r="FD25" i="83"/>
  <c r="FD30" i="83"/>
  <c r="FD33" i="83"/>
  <c r="FF25" i="695"/>
  <c r="FF29" i="695"/>
  <c r="FF32" i="695"/>
  <c r="GF18" i="83"/>
  <c r="GF32" i="83" s="1"/>
  <c r="GF19" i="83"/>
  <c r="GF27" i="83" s="1"/>
  <c r="GF20" i="83"/>
  <c r="GF24" i="83" s="1"/>
  <c r="GF26" i="83" s="1"/>
  <c r="GF21" i="83"/>
  <c r="GF23" i="83" s="1"/>
  <c r="GF22" i="83"/>
  <c r="GG18" i="83"/>
  <c r="GG32" i="83" s="1"/>
  <c r="GG20" i="83"/>
  <c r="GG24" i="83" s="1"/>
  <c r="GG26" i="83" s="1"/>
  <c r="GG19" i="83"/>
  <c r="GG27" i="83" s="1"/>
  <c r="GG21" i="83"/>
  <c r="GG23" i="83" s="1"/>
  <c r="GG22" i="83"/>
  <c r="HP3" i="83"/>
  <c r="GV9" i="83"/>
  <c r="GV10" i="83"/>
  <c r="GV11" i="83"/>
  <c r="GV12" i="83"/>
  <c r="GV13" i="83"/>
  <c r="GV14" i="83"/>
  <c r="GV15" i="83"/>
  <c r="GV16" i="83"/>
  <c r="GV17" i="83"/>
  <c r="GV7" i="83"/>
  <c r="GV8" i="83"/>
  <c r="FI29" i="695"/>
  <c r="FI25" i="695"/>
  <c r="FI32" i="695"/>
  <c r="GE18" i="83"/>
  <c r="GE32" i="83" s="1"/>
  <c r="GE19" i="83"/>
  <c r="GE27" i="83" s="1"/>
  <c r="GE20" i="83"/>
  <c r="GE24" i="83" s="1"/>
  <c r="GE26" i="83" s="1"/>
  <c r="GE21" i="83"/>
  <c r="GE23" i="83" s="1"/>
  <c r="GE22" i="83"/>
  <c r="FX18" i="695"/>
  <c r="FX31" i="695" s="1"/>
  <c r="FX21" i="695"/>
  <c r="FX19" i="695"/>
  <c r="FX27" i="695" s="1"/>
  <c r="FX20" i="695"/>
  <c r="FX22" i="695"/>
  <c r="GD19" i="695"/>
  <c r="GD27" i="695" s="1"/>
  <c r="GD20" i="695"/>
  <c r="GD18" i="695"/>
  <c r="GD31" i="695" s="1"/>
  <c r="GD22" i="695"/>
  <c r="GD21" i="695"/>
  <c r="FE25" i="83"/>
  <c r="FE30" i="83"/>
  <c r="FE33" i="83"/>
  <c r="K188" i="694"/>
  <c r="K244" i="694" s="1"/>
  <c r="FO18" i="695"/>
  <c r="FO31" i="695" s="1"/>
  <c r="HC8" i="695"/>
  <c r="HC7" i="695"/>
  <c r="HE8" i="83"/>
  <c r="HE7" i="83"/>
  <c r="L92" i="694" l="1"/>
  <c r="L189" i="694"/>
  <c r="L245" i="694" s="1"/>
  <c r="L133" i="694"/>
  <c r="K132" i="694"/>
  <c r="K91" i="694"/>
  <c r="L132" i="694"/>
  <c r="L91" i="694"/>
  <c r="L188" i="694"/>
  <c r="L244" i="694" s="1"/>
  <c r="HE31" i="83"/>
  <c r="HC30" i="695"/>
  <c r="GK25" i="83"/>
  <c r="GK30" i="83"/>
  <c r="GK33" i="83"/>
  <c r="GI25" i="695"/>
  <c r="GI29" i="695"/>
  <c r="GI32" i="695"/>
  <c r="GY23" i="695"/>
  <c r="GY24" i="695"/>
  <c r="GY26" i="695" s="1"/>
  <c r="GY28" i="695"/>
  <c r="GY30" i="695"/>
  <c r="GN18" i="83"/>
  <c r="GN32" i="83" s="1"/>
  <c r="GN19" i="83"/>
  <c r="GN27" i="83" s="1"/>
  <c r="GN20" i="83"/>
  <c r="GN24" i="83" s="1"/>
  <c r="GN26" i="83" s="1"/>
  <c r="GN21" i="83"/>
  <c r="GN23" i="83" s="1"/>
  <c r="GN22" i="83"/>
  <c r="GO24" i="695"/>
  <c r="GO26" i="695" s="1"/>
  <c r="GO23" i="695"/>
  <c r="GO28" i="695"/>
  <c r="GO30" i="695"/>
  <c r="GZ23" i="695"/>
  <c r="GZ24" i="695"/>
  <c r="GZ26" i="695" s="1"/>
  <c r="GZ28" i="695"/>
  <c r="GZ30" i="695"/>
  <c r="GN29" i="83"/>
  <c r="GN31" i="83"/>
  <c r="GK19" i="695"/>
  <c r="GK27" i="695" s="1"/>
  <c r="GK20" i="695"/>
  <c r="GK18" i="695"/>
  <c r="GK31" i="695" s="1"/>
  <c r="GK22" i="695"/>
  <c r="GK21" i="695"/>
  <c r="GZ18" i="83"/>
  <c r="GZ32" i="83" s="1"/>
  <c r="GZ19" i="83"/>
  <c r="GZ27" i="83" s="1"/>
  <c r="GZ21" i="83"/>
  <c r="GZ23" i="83" s="1"/>
  <c r="GZ20" i="83"/>
  <c r="GZ24" i="83" s="1"/>
  <c r="GZ26" i="83" s="1"/>
  <c r="GZ22" i="83"/>
  <c r="IC3" i="695"/>
  <c r="HI7" i="695"/>
  <c r="HI9" i="695"/>
  <c r="HI10" i="695"/>
  <c r="HI11" i="695"/>
  <c r="HI12" i="695"/>
  <c r="HI13" i="695"/>
  <c r="HI14" i="695"/>
  <c r="HI15" i="695"/>
  <c r="HI16" i="695"/>
  <c r="HI17" i="695"/>
  <c r="HI8" i="695"/>
  <c r="FU25" i="695"/>
  <c r="FU29" i="695"/>
  <c r="FU32" i="695"/>
  <c r="GI19" i="695"/>
  <c r="GI27" i="695" s="1"/>
  <c r="GS18" i="83"/>
  <c r="GS32" i="83" s="1"/>
  <c r="GS19" i="83"/>
  <c r="GS27" i="83" s="1"/>
  <c r="GS21" i="83"/>
  <c r="GS23" i="83" s="1"/>
  <c r="GS20" i="83"/>
  <c r="GS24" i="83" s="1"/>
  <c r="GS26" i="83" s="1"/>
  <c r="GS22" i="83"/>
  <c r="FU25" i="83"/>
  <c r="FU30" i="83"/>
  <c r="FU33" i="83"/>
  <c r="IL3" i="83"/>
  <c r="HR9" i="83"/>
  <c r="HR10" i="83"/>
  <c r="HR11" i="83"/>
  <c r="HR12" i="83"/>
  <c r="HR13" i="83"/>
  <c r="HR14" i="83"/>
  <c r="HR15" i="83"/>
  <c r="HR16" i="83"/>
  <c r="HR17" i="83"/>
  <c r="HR7" i="83"/>
  <c r="HR8" i="83"/>
  <c r="GA25" i="695"/>
  <c r="GA29" i="695"/>
  <c r="GA32" i="695"/>
  <c r="GI18" i="695"/>
  <c r="GI31" i="695" s="1"/>
  <c r="GM23" i="695"/>
  <c r="GM24" i="695"/>
  <c r="GM26" i="695" s="1"/>
  <c r="GM28" i="695"/>
  <c r="GM30" i="695"/>
  <c r="GW18" i="83"/>
  <c r="GW32" i="83" s="1"/>
  <c r="GW20" i="83"/>
  <c r="GW24" i="83" s="1"/>
  <c r="GW26" i="83" s="1"/>
  <c r="GW19" i="83"/>
  <c r="GW27" i="83" s="1"/>
  <c r="GW21" i="83"/>
  <c r="GW23" i="83" s="1"/>
  <c r="GW22" i="83"/>
  <c r="FZ25" i="695"/>
  <c r="FZ29" i="695"/>
  <c r="FZ32" i="695"/>
  <c r="ID3" i="83"/>
  <c r="HJ9" i="83"/>
  <c r="HJ10" i="83"/>
  <c r="HJ11" i="83"/>
  <c r="HJ12" i="83"/>
  <c r="HJ13" i="83"/>
  <c r="HJ14" i="83"/>
  <c r="HJ15" i="83"/>
  <c r="HJ16" i="83"/>
  <c r="HJ17" i="83"/>
  <c r="HJ7" i="83"/>
  <c r="HJ8" i="83"/>
  <c r="IL3" i="695"/>
  <c r="HR7" i="695"/>
  <c r="HR9" i="695"/>
  <c r="HR10" i="695"/>
  <c r="HR11" i="695"/>
  <c r="HR12" i="695"/>
  <c r="HR13" i="695"/>
  <c r="HR14" i="695"/>
  <c r="HR15" i="695"/>
  <c r="HR16" i="695"/>
  <c r="HR17" i="695"/>
  <c r="HR8" i="695"/>
  <c r="FQ25" i="695"/>
  <c r="FQ29" i="695"/>
  <c r="FQ32" i="695"/>
  <c r="II3" i="695"/>
  <c r="HO7" i="695"/>
  <c r="HO9" i="695"/>
  <c r="HO10" i="695"/>
  <c r="HO11" i="695"/>
  <c r="HO12" i="695"/>
  <c r="HO13" i="695"/>
  <c r="HO14" i="695"/>
  <c r="HO15" i="695"/>
  <c r="HO16" i="695"/>
  <c r="HO17" i="695"/>
  <c r="HO8" i="695"/>
  <c r="GO29" i="83"/>
  <c r="GO31" i="83"/>
  <c r="GI20" i="695"/>
  <c r="GV18" i="83"/>
  <c r="GV32" i="83" s="1"/>
  <c r="GV19" i="83"/>
  <c r="GV27" i="83" s="1"/>
  <c r="GV21" i="83"/>
  <c r="GV23" i="83" s="1"/>
  <c r="GV22" i="83"/>
  <c r="GV20" i="83"/>
  <c r="GV24" i="83" s="1"/>
  <c r="GV26" i="83" s="1"/>
  <c r="GQ20" i="695"/>
  <c r="GQ18" i="695"/>
  <c r="GQ31" i="695" s="1"/>
  <c r="GQ19" i="695"/>
  <c r="GQ27" i="695" s="1"/>
  <c r="GQ21" i="695"/>
  <c r="GQ22" i="695"/>
  <c r="GS19" i="695"/>
  <c r="GS27" i="695" s="1"/>
  <c r="GS20" i="695"/>
  <c r="GS21" i="695"/>
  <c r="GS18" i="695"/>
  <c r="GS31" i="695" s="1"/>
  <c r="GS22" i="695"/>
  <c r="GR29" i="83"/>
  <c r="GR31" i="83"/>
  <c r="IA3" i="695"/>
  <c r="HG7" i="695"/>
  <c r="HG9" i="695"/>
  <c r="HG10" i="695"/>
  <c r="HG11" i="695"/>
  <c r="HG12" i="695"/>
  <c r="HG13" i="695"/>
  <c r="HG14" i="695"/>
  <c r="HG15" i="695"/>
  <c r="HG16" i="695"/>
  <c r="HG17" i="695"/>
  <c r="HG8" i="695"/>
  <c r="HC29" i="83"/>
  <c r="HC31" i="83"/>
  <c r="IP3" i="695"/>
  <c r="HV7" i="695"/>
  <c r="HV9" i="695"/>
  <c r="HV10" i="695"/>
  <c r="HV11" i="695"/>
  <c r="HV12" i="695"/>
  <c r="HV13" i="695"/>
  <c r="HV14" i="695"/>
  <c r="HV15" i="695"/>
  <c r="HV16" i="695"/>
  <c r="HV17" i="695"/>
  <c r="HV8" i="695"/>
  <c r="HY3" i="83"/>
  <c r="HE9" i="83"/>
  <c r="HE29" i="83" s="1"/>
  <c r="HE10" i="83"/>
  <c r="HE11" i="83"/>
  <c r="HE21" i="83" s="1"/>
  <c r="HE23" i="83" s="1"/>
  <c r="HE12" i="83"/>
  <c r="HE13" i="83"/>
  <c r="HE14" i="83"/>
  <c r="HE15" i="83"/>
  <c r="HE16" i="83"/>
  <c r="HE17" i="83"/>
  <c r="GT23" i="695"/>
  <c r="GT24" i="695"/>
  <c r="GT26" i="695" s="1"/>
  <c r="GT28" i="695"/>
  <c r="GT30" i="695"/>
  <c r="GL23" i="695"/>
  <c r="GL24" i="695"/>
  <c r="GL26" i="695" s="1"/>
  <c r="GL28" i="695"/>
  <c r="GL30" i="695"/>
  <c r="GW29" i="83"/>
  <c r="GW31" i="83"/>
  <c r="FV25" i="83"/>
  <c r="FV30" i="83"/>
  <c r="FV33" i="83"/>
  <c r="GM29" i="83"/>
  <c r="GM31" i="83"/>
  <c r="HY3" i="695"/>
  <c r="HE7" i="695"/>
  <c r="HE9" i="695"/>
  <c r="HE10" i="695"/>
  <c r="HE11" i="695"/>
  <c r="HE12" i="695"/>
  <c r="HE13" i="695"/>
  <c r="HE14" i="695"/>
  <c r="HE15" i="695"/>
  <c r="HE16" i="695"/>
  <c r="HE17" i="695"/>
  <c r="HE8" i="695"/>
  <c r="FT25" i="83"/>
  <c r="FT30" i="83"/>
  <c r="FT33" i="83"/>
  <c r="IE3" i="83"/>
  <c r="HK9" i="83"/>
  <c r="HK10" i="83"/>
  <c r="HK11" i="83"/>
  <c r="HK12" i="83"/>
  <c r="HK13" i="83"/>
  <c r="HK14" i="83"/>
  <c r="HK15" i="83"/>
  <c r="HK16" i="83"/>
  <c r="HK17" i="83"/>
  <c r="HK7" i="83"/>
  <c r="HK8" i="83"/>
  <c r="GT29" i="83"/>
  <c r="GT31" i="83"/>
  <c r="GU18" i="83"/>
  <c r="GU32" i="83" s="1"/>
  <c r="GU19" i="83"/>
  <c r="GU27" i="83" s="1"/>
  <c r="GU21" i="83"/>
  <c r="GU23" i="83" s="1"/>
  <c r="GU20" i="83"/>
  <c r="GU24" i="83" s="1"/>
  <c r="GU26" i="83" s="1"/>
  <c r="GU22" i="83"/>
  <c r="GR20" i="695"/>
  <c r="GR18" i="695"/>
  <c r="GR31" i="695" s="1"/>
  <c r="GR19" i="695"/>
  <c r="GR27" i="695" s="1"/>
  <c r="GR21" i="695"/>
  <c r="GR22" i="695"/>
  <c r="IN3" i="83"/>
  <c r="HT9" i="83"/>
  <c r="HT10" i="83"/>
  <c r="HT11" i="83"/>
  <c r="HT12" i="83"/>
  <c r="HT13" i="83"/>
  <c r="HT14" i="83"/>
  <c r="HT15" i="83"/>
  <c r="HT16" i="83"/>
  <c r="HT17" i="83"/>
  <c r="HT7" i="83"/>
  <c r="HT8" i="83"/>
  <c r="FR25" i="83"/>
  <c r="FR30" i="83"/>
  <c r="FR33" i="83"/>
  <c r="FX25" i="695"/>
  <c r="FX29" i="695"/>
  <c r="FX32" i="695"/>
  <c r="GK29" i="83"/>
  <c r="IR3" i="83"/>
  <c r="HX9" i="83"/>
  <c r="HX10" i="83"/>
  <c r="HX11" i="83"/>
  <c r="HX12" i="83"/>
  <c r="HX13" i="83"/>
  <c r="HX14" i="83"/>
  <c r="HX15" i="83"/>
  <c r="HX16" i="83"/>
  <c r="HX17" i="83"/>
  <c r="HX7" i="83"/>
  <c r="HX8" i="83"/>
  <c r="HB18" i="83"/>
  <c r="HB32" i="83" s="1"/>
  <c r="HB19" i="83"/>
  <c r="HB27" i="83" s="1"/>
  <c r="HB21" i="83"/>
  <c r="HB23" i="83" s="1"/>
  <c r="HB20" i="83"/>
  <c r="HB24" i="83" s="1"/>
  <c r="HB26" i="83" s="1"/>
  <c r="HB22" i="83"/>
  <c r="HA23" i="695"/>
  <c r="HA28" i="695"/>
  <c r="HA24" i="695"/>
  <c r="HA26" i="695" s="1"/>
  <c r="HA30" i="695"/>
  <c r="GE25" i="695"/>
  <c r="GE29" i="695"/>
  <c r="GE32" i="695"/>
  <c r="GF25" i="695"/>
  <c r="GF29" i="695"/>
  <c r="GF32" i="695"/>
  <c r="GP24" i="695"/>
  <c r="GP26" i="695" s="1"/>
  <c r="GP23" i="695"/>
  <c r="GP28" i="695"/>
  <c r="GP30" i="695"/>
  <c r="GP29" i="83"/>
  <c r="GP31" i="83"/>
  <c r="IN3" i="695"/>
  <c r="HT7" i="695"/>
  <c r="HT9" i="695"/>
  <c r="HT10" i="695"/>
  <c r="HT11" i="695"/>
  <c r="HT12" i="695"/>
  <c r="HT13" i="695"/>
  <c r="HT14" i="695"/>
  <c r="HT15" i="695"/>
  <c r="HT16" i="695"/>
  <c r="HT17" i="695"/>
  <c r="HT8" i="695"/>
  <c r="ID3" i="695"/>
  <c r="HJ7" i="695"/>
  <c r="HJ9" i="695"/>
  <c r="HJ10" i="695"/>
  <c r="HJ11" i="695"/>
  <c r="HJ12" i="695"/>
  <c r="HJ13" i="695"/>
  <c r="HJ14" i="695"/>
  <c r="HJ15" i="695"/>
  <c r="HJ16" i="695"/>
  <c r="HJ17" i="695"/>
  <c r="HJ8" i="695"/>
  <c r="GA25" i="83"/>
  <c r="GA30" i="83"/>
  <c r="GA33" i="83"/>
  <c r="GT19" i="695"/>
  <c r="GT27" i="695" s="1"/>
  <c r="GT20" i="695"/>
  <c r="GT18" i="695"/>
  <c r="GT31" i="695" s="1"/>
  <c r="GT22" i="695"/>
  <c r="GT21" i="695"/>
  <c r="GX24" i="695"/>
  <c r="GX26" i="695" s="1"/>
  <c r="GX23" i="695"/>
  <c r="GX28" i="695"/>
  <c r="GX30" i="695"/>
  <c r="IJ3" i="695"/>
  <c r="HP7" i="695"/>
  <c r="HP9" i="695"/>
  <c r="HP10" i="695"/>
  <c r="HP11" i="695"/>
  <c r="HP12" i="695"/>
  <c r="HP13" i="695"/>
  <c r="HP14" i="695"/>
  <c r="HP15" i="695"/>
  <c r="HP16" i="695"/>
  <c r="HP17" i="695"/>
  <c r="HP8" i="695"/>
  <c r="GJ20" i="695"/>
  <c r="GJ18" i="695"/>
  <c r="GJ31" i="695" s="1"/>
  <c r="GJ19" i="695"/>
  <c r="GJ27" i="695" s="1"/>
  <c r="GJ21" i="695"/>
  <c r="GJ22" i="695"/>
  <c r="IB3" i="83"/>
  <c r="HH9" i="83"/>
  <c r="HH10" i="83"/>
  <c r="HH11" i="83"/>
  <c r="HH12" i="83"/>
  <c r="HH13" i="83"/>
  <c r="HH14" i="83"/>
  <c r="HH15" i="83"/>
  <c r="HH16" i="83"/>
  <c r="HH17" i="83"/>
  <c r="HH7" i="83"/>
  <c r="HH8" i="83"/>
  <c r="GR18" i="83"/>
  <c r="GR32" i="83" s="1"/>
  <c r="GR19" i="83"/>
  <c r="GR27" i="83" s="1"/>
  <c r="GR21" i="83"/>
  <c r="GR23" i="83" s="1"/>
  <c r="GR20" i="83"/>
  <c r="GR24" i="83" s="1"/>
  <c r="GR26" i="83" s="1"/>
  <c r="GR22" i="83"/>
  <c r="FZ25" i="83"/>
  <c r="FZ30" i="83"/>
  <c r="FZ33" i="83"/>
  <c r="HC18" i="83"/>
  <c r="HC32" i="83" s="1"/>
  <c r="HC19" i="83"/>
  <c r="HC27" i="83" s="1"/>
  <c r="HC21" i="83"/>
  <c r="HC23" i="83" s="1"/>
  <c r="HC20" i="83"/>
  <c r="HC24" i="83" s="1"/>
  <c r="HC26" i="83" s="1"/>
  <c r="HC22" i="83"/>
  <c r="HB23" i="695"/>
  <c r="HB24" i="695"/>
  <c r="HB26" i="695" s="1"/>
  <c r="HB28" i="695"/>
  <c r="HB30" i="695"/>
  <c r="FT25" i="695"/>
  <c r="FT29" i="695"/>
  <c r="FT32" i="695"/>
  <c r="GE25" i="83"/>
  <c r="GE30" i="83"/>
  <c r="GE33" i="83"/>
  <c r="GV29" i="83"/>
  <c r="GV31" i="83"/>
  <c r="FS25" i="83"/>
  <c r="FS30" i="83"/>
  <c r="FS33" i="83"/>
  <c r="GJ23" i="695"/>
  <c r="GJ24" i="695"/>
  <c r="GJ26" i="695" s="1"/>
  <c r="GJ28" i="695"/>
  <c r="GJ30" i="695"/>
  <c r="IG3" i="83"/>
  <c r="HM9" i="83"/>
  <c r="HM10" i="83"/>
  <c r="HM11" i="83"/>
  <c r="HM12" i="83"/>
  <c r="HM13" i="83"/>
  <c r="HM14" i="83"/>
  <c r="HM15" i="83"/>
  <c r="HM16" i="83"/>
  <c r="HM17" i="83"/>
  <c r="HM7" i="83"/>
  <c r="HM8" i="83"/>
  <c r="HZ3" i="83"/>
  <c r="HF9" i="83"/>
  <c r="HF10" i="83"/>
  <c r="HF11" i="83"/>
  <c r="HF12" i="83"/>
  <c r="HF13" i="83"/>
  <c r="HF14" i="83"/>
  <c r="HF15" i="83"/>
  <c r="HF16" i="83"/>
  <c r="HF17" i="83"/>
  <c r="HF7" i="83"/>
  <c r="HF8" i="83"/>
  <c r="HD18" i="83"/>
  <c r="HD32" i="83" s="1"/>
  <c r="HD19" i="83"/>
  <c r="HD27" i="83" s="1"/>
  <c r="HD21" i="83"/>
  <c r="HD23" i="83" s="1"/>
  <c r="HD20" i="83"/>
  <c r="HD24" i="83" s="1"/>
  <c r="HD26" i="83" s="1"/>
  <c r="HD22" i="83"/>
  <c r="IH3" i="695"/>
  <c r="HN7" i="695"/>
  <c r="HN9" i="695"/>
  <c r="HN10" i="695"/>
  <c r="HN11" i="695"/>
  <c r="HN12" i="695"/>
  <c r="HN13" i="695"/>
  <c r="HN14" i="695"/>
  <c r="HN15" i="695"/>
  <c r="HN16" i="695"/>
  <c r="HN17" i="695"/>
  <c r="HN8" i="695"/>
  <c r="GH25" i="695"/>
  <c r="GH29" i="695"/>
  <c r="GH32" i="695"/>
  <c r="HZ3" i="695"/>
  <c r="HF7" i="695"/>
  <c r="HF9" i="695"/>
  <c r="HF10" i="695"/>
  <c r="HF11" i="695"/>
  <c r="HF12" i="695"/>
  <c r="HF13" i="695"/>
  <c r="HF14" i="695"/>
  <c r="HF15" i="695"/>
  <c r="HF16" i="695"/>
  <c r="HF17" i="695"/>
  <c r="HF8" i="695"/>
  <c r="FX25" i="83"/>
  <c r="FX30" i="83"/>
  <c r="FX33" i="83"/>
  <c r="GU29" i="83"/>
  <c r="GU31" i="83"/>
  <c r="L161" i="694"/>
  <c r="L217" i="694"/>
  <c r="L273" i="694" s="1"/>
  <c r="GI25" i="83"/>
  <c r="GI30" i="83"/>
  <c r="GI33" i="83"/>
  <c r="HA18" i="83"/>
  <c r="HA32" i="83" s="1"/>
  <c r="HA21" i="83"/>
  <c r="HA23" i="83" s="1"/>
  <c r="HA19" i="83"/>
  <c r="HA27" i="83" s="1"/>
  <c r="HA20" i="83"/>
  <c r="HA24" i="83" s="1"/>
  <c r="HA26" i="83" s="1"/>
  <c r="HA22" i="83"/>
  <c r="GN18" i="695"/>
  <c r="GN31" i="695" s="1"/>
  <c r="GN21" i="695"/>
  <c r="GN19" i="695"/>
  <c r="GN27" i="695" s="1"/>
  <c r="GN20" i="695"/>
  <c r="GN22" i="695"/>
  <c r="IC3" i="83"/>
  <c r="HI9" i="83"/>
  <c r="HI10" i="83"/>
  <c r="HI11" i="83"/>
  <c r="HI12" i="83"/>
  <c r="HI13" i="83"/>
  <c r="HI14" i="83"/>
  <c r="HI15" i="83"/>
  <c r="HI16" i="83"/>
  <c r="HI17" i="83"/>
  <c r="HI7" i="83"/>
  <c r="HI8" i="83"/>
  <c r="GW18" i="695"/>
  <c r="GW31" i="695" s="1"/>
  <c r="GW21" i="695"/>
  <c r="GW19" i="695"/>
  <c r="GW27" i="695" s="1"/>
  <c r="GW20" i="695"/>
  <c r="GW22" i="695"/>
  <c r="GI28" i="695"/>
  <c r="FV25" i="695"/>
  <c r="FV29" i="695"/>
  <c r="FV32" i="695"/>
  <c r="FQ25" i="83"/>
  <c r="FQ30" i="83"/>
  <c r="FQ33" i="83"/>
  <c r="GX20" i="695"/>
  <c r="GX18" i="695"/>
  <c r="GX31" i="695" s="1"/>
  <c r="GX21" i="695"/>
  <c r="GX19" i="695"/>
  <c r="GX27" i="695" s="1"/>
  <c r="GX22" i="695"/>
  <c r="GY18" i="83"/>
  <c r="GY32" i="83" s="1"/>
  <c r="GY19" i="83"/>
  <c r="GY27" i="83" s="1"/>
  <c r="GY20" i="83"/>
  <c r="GY24" i="83" s="1"/>
  <c r="GY26" i="83" s="1"/>
  <c r="GY21" i="83"/>
  <c r="GY23" i="83" s="1"/>
  <c r="GY22" i="83"/>
  <c r="IO3" i="83"/>
  <c r="HU9" i="83"/>
  <c r="HU10" i="83"/>
  <c r="HU11" i="83"/>
  <c r="HU12" i="83"/>
  <c r="HU13" i="83"/>
  <c r="HU14" i="83"/>
  <c r="HU15" i="83"/>
  <c r="HU16" i="83"/>
  <c r="HU17" i="83"/>
  <c r="HU7" i="83"/>
  <c r="HU8" i="83"/>
  <c r="IB3" i="695"/>
  <c r="HH7" i="695"/>
  <c r="HH9" i="695"/>
  <c r="HH10" i="695"/>
  <c r="HH11" i="695"/>
  <c r="HH12" i="695"/>
  <c r="HH13" i="695"/>
  <c r="HH14" i="695"/>
  <c r="HH15" i="695"/>
  <c r="HH16" i="695"/>
  <c r="HH17" i="695"/>
  <c r="HH8" i="695"/>
  <c r="GU21" i="695"/>
  <c r="GU19" i="695"/>
  <c r="GU27" i="695" s="1"/>
  <c r="GU18" i="695"/>
  <c r="GU31" i="695" s="1"/>
  <c r="GU20" i="695"/>
  <c r="GU22" i="695"/>
  <c r="HB19" i="695"/>
  <c r="HB27" i="695" s="1"/>
  <c r="HB20" i="695"/>
  <c r="HB18" i="695"/>
  <c r="HB31" i="695" s="1"/>
  <c r="HB22" i="695"/>
  <c r="HB21" i="695"/>
  <c r="IM3" i="695"/>
  <c r="HS7" i="695"/>
  <c r="HS9" i="695"/>
  <c r="HS10" i="695"/>
  <c r="HS11" i="695"/>
  <c r="HS12" i="695"/>
  <c r="HS13" i="695"/>
  <c r="HS14" i="695"/>
  <c r="HS15" i="695"/>
  <c r="HS16" i="695"/>
  <c r="HS17" i="695"/>
  <c r="HS8" i="695"/>
  <c r="L218" i="694"/>
  <c r="L274" i="694" s="1"/>
  <c r="L162" i="694"/>
  <c r="HB29" i="83"/>
  <c r="HB31" i="83"/>
  <c r="IO3" i="695"/>
  <c r="HU7" i="695"/>
  <c r="HU9" i="695"/>
  <c r="HU10" i="695"/>
  <c r="HU11" i="695"/>
  <c r="HU12" i="695"/>
  <c r="HU13" i="695"/>
  <c r="HU14" i="695"/>
  <c r="HU15" i="695"/>
  <c r="HU16" i="695"/>
  <c r="HU17" i="695"/>
  <c r="HU8" i="695"/>
  <c r="GV24" i="695"/>
  <c r="GV26" i="695" s="1"/>
  <c r="GV23" i="695"/>
  <c r="GV28" i="695"/>
  <c r="GV30" i="695"/>
  <c r="GB29" i="695"/>
  <c r="GB25" i="695"/>
  <c r="GB32" i="695"/>
  <c r="GL18" i="83"/>
  <c r="GL32" i="83" s="1"/>
  <c r="GL19" i="83"/>
  <c r="GL27" i="83" s="1"/>
  <c r="GL21" i="83"/>
  <c r="GL23" i="83" s="1"/>
  <c r="GL20" i="83"/>
  <c r="GL24" i="83" s="1"/>
  <c r="GL26" i="83" s="1"/>
  <c r="GL22" i="83"/>
  <c r="GU23" i="695"/>
  <c r="GU24" i="695"/>
  <c r="GU26" i="695" s="1"/>
  <c r="GU28" i="695"/>
  <c r="GU30" i="695"/>
  <c r="GO18" i="83"/>
  <c r="GO32" i="83" s="1"/>
  <c r="GO20" i="83"/>
  <c r="GO24" i="83" s="1"/>
  <c r="GO26" i="83" s="1"/>
  <c r="GO19" i="83"/>
  <c r="GO27" i="83" s="1"/>
  <c r="GO21" i="83"/>
  <c r="GO23" i="83" s="1"/>
  <c r="GO22" i="83"/>
  <c r="GC25" i="695"/>
  <c r="GC29" i="695"/>
  <c r="GC32" i="695"/>
  <c r="GS29" i="83"/>
  <c r="GS31" i="83"/>
  <c r="FP25" i="695"/>
  <c r="FP29" i="695"/>
  <c r="FP32" i="695"/>
  <c r="GL29" i="83"/>
  <c r="GL31" i="83"/>
  <c r="GM18" i="83"/>
  <c r="GM32" i="83" s="1"/>
  <c r="GM19" i="83"/>
  <c r="GM27" i="83" s="1"/>
  <c r="GM21" i="83"/>
  <c r="GM23" i="83" s="1"/>
  <c r="GM22" i="83"/>
  <c r="GM20" i="83"/>
  <c r="GM24" i="83" s="1"/>
  <c r="GM26" i="83" s="1"/>
  <c r="GK23" i="695"/>
  <c r="GK24" i="695"/>
  <c r="GK26" i="695" s="1"/>
  <c r="GK28" i="695"/>
  <c r="GK30" i="695"/>
  <c r="IP3" i="83"/>
  <c r="HV9" i="83"/>
  <c r="HV10" i="83"/>
  <c r="HV11" i="83"/>
  <c r="HV12" i="83"/>
  <c r="HV13" i="83"/>
  <c r="HV14" i="83"/>
  <c r="HV15" i="83"/>
  <c r="HV16" i="83"/>
  <c r="HV17" i="83"/>
  <c r="HV7" i="83"/>
  <c r="HV8" i="83"/>
  <c r="GT18" i="83"/>
  <c r="GT32" i="83" s="1"/>
  <c r="GT19" i="83"/>
  <c r="GT27" i="83" s="1"/>
  <c r="GT21" i="83"/>
  <c r="GT23" i="83" s="1"/>
  <c r="GT20" i="83"/>
  <c r="GT24" i="83" s="1"/>
  <c r="GT26" i="83" s="1"/>
  <c r="GT22" i="83"/>
  <c r="IM3" i="83"/>
  <c r="HS9" i="83"/>
  <c r="HS10" i="83"/>
  <c r="HS11" i="83"/>
  <c r="HS12" i="83"/>
  <c r="HS13" i="83"/>
  <c r="HS14" i="83"/>
  <c r="HS15" i="83"/>
  <c r="HS16" i="83"/>
  <c r="HS17" i="83"/>
  <c r="HS7" i="83"/>
  <c r="HS8" i="83"/>
  <c r="GF25" i="83"/>
  <c r="GF30" i="83"/>
  <c r="GF33" i="83"/>
  <c r="GQ23" i="695"/>
  <c r="GQ24" i="695"/>
  <c r="GQ26" i="695" s="1"/>
  <c r="GQ28" i="695"/>
  <c r="GQ30" i="695"/>
  <c r="HX3" i="695"/>
  <c r="HD7" i="695"/>
  <c r="HD9" i="695"/>
  <c r="HD10" i="695"/>
  <c r="HD11" i="695"/>
  <c r="HD12" i="695"/>
  <c r="HD13" i="695"/>
  <c r="HD14" i="695"/>
  <c r="HD15" i="695"/>
  <c r="HD16" i="695"/>
  <c r="HD17" i="695"/>
  <c r="HD8" i="695"/>
  <c r="GS23" i="695"/>
  <c r="GS28" i="695"/>
  <c r="GS24" i="695"/>
  <c r="GS26" i="695" s="1"/>
  <c r="GS30" i="695"/>
  <c r="IF3" i="83"/>
  <c r="HL9" i="83"/>
  <c r="HL10" i="83"/>
  <c r="HL11" i="83"/>
  <c r="HL12" i="83"/>
  <c r="HL13" i="83"/>
  <c r="HL14" i="83"/>
  <c r="HL15" i="83"/>
  <c r="HL16" i="83"/>
  <c r="HL17" i="83"/>
  <c r="HL7" i="83"/>
  <c r="HL8" i="83"/>
  <c r="IQ3" i="83"/>
  <c r="HW9" i="83"/>
  <c r="HW10" i="83"/>
  <c r="HW11" i="83"/>
  <c r="HW12" i="83"/>
  <c r="HW13" i="83"/>
  <c r="HW14" i="83"/>
  <c r="HW15" i="83"/>
  <c r="HW16" i="83"/>
  <c r="HW17" i="83"/>
  <c r="HW7" i="83"/>
  <c r="HW8" i="83"/>
  <c r="W17" i="27" a="1"/>
  <c r="W17" i="27" s="1"/>
  <c r="X18" i="27"/>
  <c r="HD29" i="83"/>
  <c r="HD31" i="83"/>
  <c r="FS25" i="695"/>
  <c r="FS29" i="695"/>
  <c r="FS32" i="695"/>
  <c r="GY20" i="695"/>
  <c r="GY18" i="695"/>
  <c r="GY31" i="695" s="1"/>
  <c r="GY19" i="695"/>
  <c r="GY27" i="695" s="1"/>
  <c r="GY21" i="695"/>
  <c r="GY22" i="695"/>
  <c r="IK3" i="83"/>
  <c r="HQ9" i="83"/>
  <c r="HQ10" i="83"/>
  <c r="HQ11" i="83"/>
  <c r="HQ12" i="83"/>
  <c r="HQ13" i="83"/>
  <c r="HQ14" i="83"/>
  <c r="HQ15" i="83"/>
  <c r="HQ16" i="83"/>
  <c r="HQ17" i="83"/>
  <c r="HQ7" i="83"/>
  <c r="HQ8" i="83"/>
  <c r="IA3" i="83"/>
  <c r="HG9" i="83"/>
  <c r="HG10" i="83"/>
  <c r="HG11" i="83"/>
  <c r="HG12" i="83"/>
  <c r="HG13" i="83"/>
  <c r="HG14" i="83"/>
  <c r="HG15" i="83"/>
  <c r="HG16" i="83"/>
  <c r="HG17" i="83"/>
  <c r="HG7" i="83"/>
  <c r="HG8" i="83"/>
  <c r="HA19" i="695"/>
  <c r="HA27" i="695" s="1"/>
  <c r="HA20" i="695"/>
  <c r="HA18" i="695"/>
  <c r="HA31" i="695" s="1"/>
  <c r="HA22" i="695"/>
  <c r="HA21" i="695"/>
  <c r="FR25" i="695"/>
  <c r="FR29" i="695"/>
  <c r="FR32" i="695"/>
  <c r="IH3" i="83"/>
  <c r="HN9" i="83"/>
  <c r="HN10" i="83"/>
  <c r="HN11" i="83"/>
  <c r="HN12" i="83"/>
  <c r="HN13" i="83"/>
  <c r="HN14" i="83"/>
  <c r="HN15" i="83"/>
  <c r="HN16" i="83"/>
  <c r="HN17" i="83"/>
  <c r="HN7" i="83"/>
  <c r="HN8" i="83"/>
  <c r="GR23" i="695"/>
  <c r="GR24" i="695"/>
  <c r="GR26" i="695" s="1"/>
  <c r="GR28" i="695"/>
  <c r="GR30" i="695"/>
  <c r="HA29" i="83"/>
  <c r="HA31" i="83"/>
  <c r="GO18" i="695"/>
  <c r="GO31" i="695" s="1"/>
  <c r="GO21" i="695"/>
  <c r="GO19" i="695"/>
  <c r="GO27" i="695" s="1"/>
  <c r="GO20" i="695"/>
  <c r="GO22" i="695"/>
  <c r="GD25" i="83"/>
  <c r="GD30" i="83"/>
  <c r="GD33" i="83"/>
  <c r="GD25" i="695"/>
  <c r="GD29" i="695"/>
  <c r="GD32" i="695"/>
  <c r="GZ20" i="695"/>
  <c r="GZ18" i="695"/>
  <c r="GZ31" i="695" s="1"/>
  <c r="GZ19" i="695"/>
  <c r="GZ27" i="695" s="1"/>
  <c r="GZ21" i="695"/>
  <c r="GZ22" i="695"/>
  <c r="GK22" i="83"/>
  <c r="GI24" i="695"/>
  <c r="GI26" i="695" s="1"/>
  <c r="GX29" i="83"/>
  <c r="GX31" i="83"/>
  <c r="GB25" i="83"/>
  <c r="GB30" i="83"/>
  <c r="GB33" i="83"/>
  <c r="FY25" i="83"/>
  <c r="FY30" i="83"/>
  <c r="FY33" i="83"/>
  <c r="GP18" i="83"/>
  <c r="GP32" i="83" s="1"/>
  <c r="GP19" i="83"/>
  <c r="GP27" i="83" s="1"/>
  <c r="GP20" i="83"/>
  <c r="GP24" i="83" s="1"/>
  <c r="GP26" i="83" s="1"/>
  <c r="GP21" i="83"/>
  <c r="GP23" i="83" s="1"/>
  <c r="GP22" i="83"/>
  <c r="GJ25" i="83"/>
  <c r="GJ30" i="83"/>
  <c r="GJ33" i="83"/>
  <c r="IK3" i="695"/>
  <c r="HQ7" i="695"/>
  <c r="HQ9" i="695"/>
  <c r="HQ10" i="695"/>
  <c r="HQ11" i="695"/>
  <c r="HQ12" i="695"/>
  <c r="HQ13" i="695"/>
  <c r="HQ14" i="695"/>
  <c r="HQ15" i="695"/>
  <c r="HQ16" i="695"/>
  <c r="HQ17" i="695"/>
  <c r="HQ8" i="695"/>
  <c r="GG25" i="83"/>
  <c r="GG30" i="83"/>
  <c r="GG33" i="83"/>
  <c r="GM21" i="695"/>
  <c r="GM19" i="695"/>
  <c r="GM27" i="695" s="1"/>
  <c r="GM18" i="695"/>
  <c r="GM31" i="695" s="1"/>
  <c r="GM22" i="695"/>
  <c r="GM20" i="695"/>
  <c r="GQ18" i="83"/>
  <c r="GQ32" i="83" s="1"/>
  <c r="GQ19" i="83"/>
  <c r="GQ27" i="83" s="1"/>
  <c r="GQ20" i="83"/>
  <c r="GQ24" i="83" s="1"/>
  <c r="GQ26" i="83" s="1"/>
  <c r="GQ21" i="83"/>
  <c r="GQ23" i="83" s="1"/>
  <c r="GQ22" i="83"/>
  <c r="GY29" i="83"/>
  <c r="GY31" i="83"/>
  <c r="GL19" i="695"/>
  <c r="GL27" i="695" s="1"/>
  <c r="GL20" i="695"/>
  <c r="GL18" i="695"/>
  <c r="GL31" i="695" s="1"/>
  <c r="GL22" i="695"/>
  <c r="GL21" i="695"/>
  <c r="GQ29" i="83"/>
  <c r="GQ31" i="83"/>
  <c r="GZ29" i="83"/>
  <c r="GZ31" i="83"/>
  <c r="GG25" i="695"/>
  <c r="GG29" i="695"/>
  <c r="GG32" i="695"/>
  <c r="HW3" i="695"/>
  <c r="HC9" i="695"/>
  <c r="HC21" i="695" s="1"/>
  <c r="HC24" i="695" s="1"/>
  <c r="HC26" i="695" s="1"/>
  <c r="HC10" i="695"/>
  <c r="HC11" i="695"/>
  <c r="HC12" i="695"/>
  <c r="HC13" i="695"/>
  <c r="HC14" i="695"/>
  <c r="HC15" i="695"/>
  <c r="HC22" i="695" s="1"/>
  <c r="HC16" i="695"/>
  <c r="HC17" i="695"/>
  <c r="GH25" i="83"/>
  <c r="GH30" i="83"/>
  <c r="GH33" i="83"/>
  <c r="IJ3" i="83"/>
  <c r="HP9" i="83"/>
  <c r="HP10" i="83"/>
  <c r="HP11" i="83"/>
  <c r="HP12" i="83"/>
  <c r="HP13" i="83"/>
  <c r="HP14" i="83"/>
  <c r="HP15" i="83"/>
  <c r="HP16" i="83"/>
  <c r="HP17" i="83"/>
  <c r="HP7" i="83"/>
  <c r="HP8" i="83"/>
  <c r="IE3" i="695"/>
  <c r="HK7" i="695"/>
  <c r="HK9" i="695"/>
  <c r="HK10" i="695"/>
  <c r="HK11" i="695"/>
  <c r="HK12" i="695"/>
  <c r="HK13" i="695"/>
  <c r="HK14" i="695"/>
  <c r="HK15" i="695"/>
  <c r="HK16" i="695"/>
  <c r="HK17" i="695"/>
  <c r="HK8" i="695"/>
  <c r="GP20" i="695"/>
  <c r="GP18" i="695"/>
  <c r="GP31" i="695" s="1"/>
  <c r="GP21" i="695"/>
  <c r="GP19" i="695"/>
  <c r="GP27" i="695" s="1"/>
  <c r="GP22" i="695"/>
  <c r="IG3" i="695"/>
  <c r="HM7" i="695"/>
  <c r="HM9" i="695"/>
  <c r="HM10" i="695"/>
  <c r="HM11" i="695"/>
  <c r="HM12" i="695"/>
  <c r="HM13" i="695"/>
  <c r="HM14" i="695"/>
  <c r="HM15" i="695"/>
  <c r="HM16" i="695"/>
  <c r="HM17" i="695"/>
  <c r="HM8" i="695"/>
  <c r="FW25" i="695"/>
  <c r="FW29" i="695"/>
  <c r="FW32" i="695"/>
  <c r="FY29" i="695"/>
  <c r="FY25" i="695"/>
  <c r="FY32" i="695"/>
  <c r="GC25" i="83"/>
  <c r="GC30" i="83"/>
  <c r="GC33" i="83"/>
  <c r="GX18" i="83"/>
  <c r="GX32" i="83" s="1"/>
  <c r="GX19" i="83"/>
  <c r="GX27" i="83" s="1"/>
  <c r="GX20" i="83"/>
  <c r="GX24" i="83" s="1"/>
  <c r="GX26" i="83" s="1"/>
  <c r="GX21" i="83"/>
  <c r="GX23" i="83" s="1"/>
  <c r="GX22" i="83"/>
  <c r="FW25" i="83"/>
  <c r="FW30" i="83"/>
  <c r="FW33" i="83"/>
  <c r="II3" i="83"/>
  <c r="HO9" i="83"/>
  <c r="HO10" i="83"/>
  <c r="HO11" i="83"/>
  <c r="HO12" i="83"/>
  <c r="HO13" i="83"/>
  <c r="HO14" i="83"/>
  <c r="HO15" i="83"/>
  <c r="HO16" i="83"/>
  <c r="HO17" i="83"/>
  <c r="HO7" i="83"/>
  <c r="HO8" i="83"/>
  <c r="IF3" i="695"/>
  <c r="HL7" i="695"/>
  <c r="HL9" i="695"/>
  <c r="HL10" i="695"/>
  <c r="HL11" i="695"/>
  <c r="HL12" i="695"/>
  <c r="HL13" i="695"/>
  <c r="HL14" i="695"/>
  <c r="HL15" i="695"/>
  <c r="HL16" i="695"/>
  <c r="HL17" i="695"/>
  <c r="HL8" i="695"/>
  <c r="GV18" i="695"/>
  <c r="GV31" i="695" s="1"/>
  <c r="GV21" i="695"/>
  <c r="GV19" i="695"/>
  <c r="GV27" i="695" s="1"/>
  <c r="GV20" i="695"/>
  <c r="GV22" i="695"/>
  <c r="GN24" i="695"/>
  <c r="GN26" i="695" s="1"/>
  <c r="GN23" i="695"/>
  <c r="GN28" i="695"/>
  <c r="GN30" i="695"/>
  <c r="GW24" i="695"/>
  <c r="GW26" i="695" s="1"/>
  <c r="GW23" i="695"/>
  <c r="GW28" i="695"/>
  <c r="GW30" i="695"/>
  <c r="GI22" i="695"/>
  <c r="HY8" i="83"/>
  <c r="HY7" i="83"/>
  <c r="HW8" i="695"/>
  <c r="HW7" i="695"/>
  <c r="HW30" i="695" l="1"/>
  <c r="HY31" i="83"/>
  <c r="HE25" i="83"/>
  <c r="HE30" i="83"/>
  <c r="HE33" i="83"/>
  <c r="HI29" i="83"/>
  <c r="HI31" i="83"/>
  <c r="HK18" i="83"/>
  <c r="HK32" i="83" s="1"/>
  <c r="HK19" i="83"/>
  <c r="HK27" i="83" s="1"/>
  <c r="HK21" i="83"/>
  <c r="HK23" i="83" s="1"/>
  <c r="HK20" i="83"/>
  <c r="HK24" i="83" s="1"/>
  <c r="HK26" i="83" s="1"/>
  <c r="HK22" i="83"/>
  <c r="HO18" i="83"/>
  <c r="HO32" i="83" s="1"/>
  <c r="HO19" i="83"/>
  <c r="HO27" i="83" s="1"/>
  <c r="HO20" i="83"/>
  <c r="HO24" i="83" s="1"/>
  <c r="HO26" i="83" s="1"/>
  <c r="HO22" i="83"/>
  <c r="HO21" i="83"/>
  <c r="HO23" i="83" s="1"/>
  <c r="GW29" i="695"/>
  <c r="GW25" i="695"/>
  <c r="GW32" i="695"/>
  <c r="IY3" i="695"/>
  <c r="IE7" i="695"/>
  <c r="IE9" i="695"/>
  <c r="IE10" i="695"/>
  <c r="IE11" i="695"/>
  <c r="IE12" i="695"/>
  <c r="IE13" i="695"/>
  <c r="IE14" i="695"/>
  <c r="IE15" i="695"/>
  <c r="IE16" i="695"/>
  <c r="IE17" i="695"/>
  <c r="IE8" i="695"/>
  <c r="JE3" i="695"/>
  <c r="IK7" i="695"/>
  <c r="IK9" i="695"/>
  <c r="IK10" i="695"/>
  <c r="IK11" i="695"/>
  <c r="IK12" i="695"/>
  <c r="IK13" i="695"/>
  <c r="IK14" i="695"/>
  <c r="IK15" i="695"/>
  <c r="IK16" i="695"/>
  <c r="IK17" i="695"/>
  <c r="IK8" i="695"/>
  <c r="GR25" i="695"/>
  <c r="GR29" i="695"/>
  <c r="GR32" i="695"/>
  <c r="IU3" i="83"/>
  <c r="IA9" i="83"/>
  <c r="IA10" i="83"/>
  <c r="IA11" i="83"/>
  <c r="IA12" i="83"/>
  <c r="IA13" i="83"/>
  <c r="IA14" i="83"/>
  <c r="IA15" i="83"/>
  <c r="IA16" i="83"/>
  <c r="IA17" i="83"/>
  <c r="IA7" i="83"/>
  <c r="IA8" i="83"/>
  <c r="IZ3" i="83"/>
  <c r="IF9" i="83"/>
  <c r="IF10" i="83"/>
  <c r="IF11" i="83"/>
  <c r="IF12" i="83"/>
  <c r="IF13" i="83"/>
  <c r="IF14" i="83"/>
  <c r="IF15" i="83"/>
  <c r="IF16" i="83"/>
  <c r="IF17" i="83"/>
  <c r="IF7" i="83"/>
  <c r="IF8" i="83"/>
  <c r="IR3" i="695"/>
  <c r="HX7" i="695"/>
  <c r="HX9" i="695"/>
  <c r="HX10" i="695"/>
  <c r="HX11" i="695"/>
  <c r="HX12" i="695"/>
  <c r="HX13" i="695"/>
  <c r="HX14" i="695"/>
  <c r="HX15" i="695"/>
  <c r="HX16" i="695"/>
  <c r="HX17" i="695"/>
  <c r="HX8" i="695"/>
  <c r="HS18" i="83"/>
  <c r="HS32" i="83" s="1"/>
  <c r="HS19" i="83"/>
  <c r="HS27" i="83" s="1"/>
  <c r="HS20" i="83"/>
  <c r="HS24" i="83" s="1"/>
  <c r="HS26" i="83" s="1"/>
  <c r="HS21" i="83"/>
  <c r="HS23" i="83" s="1"/>
  <c r="HS22" i="83"/>
  <c r="GK25" i="695"/>
  <c r="GK29" i="695"/>
  <c r="GK32" i="695"/>
  <c r="GU25" i="695"/>
  <c r="GU29" i="695"/>
  <c r="GU32" i="695"/>
  <c r="JI3" i="695"/>
  <c r="IO7" i="695"/>
  <c r="IO9" i="695"/>
  <c r="IO10" i="695"/>
  <c r="IO11" i="695"/>
  <c r="IO12" i="695"/>
  <c r="IO13" i="695"/>
  <c r="IO14" i="695"/>
  <c r="IO15" i="695"/>
  <c r="IO16" i="695"/>
  <c r="IO17" i="695"/>
  <c r="IO8" i="695"/>
  <c r="JG3" i="695"/>
  <c r="IM7" i="695"/>
  <c r="IM9" i="695"/>
  <c r="IM10" i="695"/>
  <c r="IM11" i="695"/>
  <c r="IM12" i="695"/>
  <c r="IM13" i="695"/>
  <c r="IM14" i="695"/>
  <c r="IM15" i="695"/>
  <c r="IM16" i="695"/>
  <c r="IM17" i="695"/>
  <c r="IM8" i="695"/>
  <c r="HU29" i="83"/>
  <c r="HU31" i="83"/>
  <c r="HN20" i="695"/>
  <c r="HN23" i="695" s="1"/>
  <c r="HN18" i="695"/>
  <c r="HN31" i="695" s="1"/>
  <c r="HN21" i="695"/>
  <c r="HN24" i="695" s="1"/>
  <c r="HN26" i="695" s="1"/>
  <c r="HN19" i="695"/>
  <c r="HN27" i="695" s="1"/>
  <c r="HN22" i="695"/>
  <c r="JA3" i="83"/>
  <c r="IG9" i="83"/>
  <c r="IG10" i="83"/>
  <c r="IG11" i="83"/>
  <c r="IG12" i="83"/>
  <c r="IG13" i="83"/>
  <c r="IG14" i="83"/>
  <c r="IG15" i="83"/>
  <c r="IG16" i="83"/>
  <c r="IG17" i="83"/>
  <c r="IG7" i="83"/>
  <c r="IG8" i="83"/>
  <c r="GX25" i="695"/>
  <c r="GX29" i="695"/>
  <c r="GX32" i="695"/>
  <c r="HT28" i="695"/>
  <c r="HT30" i="695"/>
  <c r="HX29" i="83"/>
  <c r="HX31" i="83"/>
  <c r="HV28" i="695"/>
  <c r="HV30" i="695"/>
  <c r="HJ29" i="83"/>
  <c r="HJ31" i="83"/>
  <c r="HC28" i="695"/>
  <c r="HP29" i="83"/>
  <c r="HP31" i="83"/>
  <c r="HO29" i="83"/>
  <c r="HO31" i="83"/>
  <c r="HP18" i="83"/>
  <c r="HP32" i="83" s="1"/>
  <c r="HP19" i="83"/>
  <c r="HP27" i="83" s="1"/>
  <c r="HP20" i="83"/>
  <c r="HP24" i="83" s="1"/>
  <c r="HP26" i="83" s="1"/>
  <c r="HP21" i="83"/>
  <c r="HP23" i="83" s="1"/>
  <c r="HP22" i="83"/>
  <c r="IQ3" i="695"/>
  <c r="HW9" i="695"/>
  <c r="HW28" i="695" s="1"/>
  <c r="HW10" i="695"/>
  <c r="HW11" i="695"/>
  <c r="HW21" i="695" s="1"/>
  <c r="HW24" i="695" s="1"/>
  <c r="HW26" i="695" s="1"/>
  <c r="HW12" i="695"/>
  <c r="HW13" i="695"/>
  <c r="HW14" i="695"/>
  <c r="HW15" i="695"/>
  <c r="HW16" i="695"/>
  <c r="HW17" i="695"/>
  <c r="GQ25" i="83"/>
  <c r="GQ30" i="83"/>
  <c r="GQ33" i="83"/>
  <c r="HN18" i="83"/>
  <c r="HN32" i="83" s="1"/>
  <c r="HN19" i="83"/>
  <c r="HN27" i="83" s="1"/>
  <c r="HN20" i="83"/>
  <c r="HN24" i="83" s="1"/>
  <c r="HN26" i="83" s="1"/>
  <c r="HN22" i="83"/>
  <c r="HN21" i="83"/>
  <c r="HN23" i="83" s="1"/>
  <c r="HQ18" i="83"/>
  <c r="HQ32" i="83" s="1"/>
  <c r="HQ20" i="83"/>
  <c r="HQ24" i="83" s="1"/>
  <c r="HQ26" i="83" s="1"/>
  <c r="HQ21" i="83"/>
  <c r="HQ23" i="83" s="1"/>
  <c r="HQ19" i="83"/>
  <c r="HQ27" i="83" s="1"/>
  <c r="HQ22" i="83"/>
  <c r="HW18" i="83"/>
  <c r="HW32" i="83" s="1"/>
  <c r="HW19" i="83"/>
  <c r="HW27" i="83" s="1"/>
  <c r="HW20" i="83"/>
  <c r="HW24" i="83" s="1"/>
  <c r="HW26" i="83" s="1"/>
  <c r="HW21" i="83"/>
  <c r="HW23" i="83" s="1"/>
  <c r="HW22" i="83"/>
  <c r="HS29" i="83"/>
  <c r="HS31" i="83"/>
  <c r="HV18" i="83"/>
  <c r="HV32" i="83" s="1"/>
  <c r="HV19" i="83"/>
  <c r="HV27" i="83" s="1"/>
  <c r="HV20" i="83"/>
  <c r="HV24" i="83" s="1"/>
  <c r="HV26" i="83" s="1"/>
  <c r="HV21" i="83"/>
  <c r="HV23" i="83" s="1"/>
  <c r="HV22" i="83"/>
  <c r="GO25" i="83"/>
  <c r="GO30" i="83"/>
  <c r="GO33" i="83"/>
  <c r="HI18" i="83"/>
  <c r="HI32" i="83" s="1"/>
  <c r="HI21" i="83"/>
  <c r="HI23" i="83" s="1"/>
  <c r="HI20" i="83"/>
  <c r="HI24" i="83" s="1"/>
  <c r="HI26" i="83" s="1"/>
  <c r="HI19" i="83"/>
  <c r="HI27" i="83" s="1"/>
  <c r="HI22" i="83"/>
  <c r="HF20" i="695"/>
  <c r="HF23" i="695" s="1"/>
  <c r="HF18" i="695"/>
  <c r="HF31" i="695" s="1"/>
  <c r="HF21" i="695"/>
  <c r="HF24" i="695" s="1"/>
  <c r="HF26" i="695" s="1"/>
  <c r="HF19" i="695"/>
  <c r="HF27" i="695" s="1"/>
  <c r="HF22" i="695"/>
  <c r="HF18" i="83"/>
  <c r="HF32" i="83" s="1"/>
  <c r="HF19" i="83"/>
  <c r="HF27" i="83" s="1"/>
  <c r="HF21" i="83"/>
  <c r="HF23" i="83" s="1"/>
  <c r="HF20" i="83"/>
  <c r="HF24" i="83" s="1"/>
  <c r="HF26" i="83" s="1"/>
  <c r="HF22" i="83"/>
  <c r="HH18" i="83"/>
  <c r="HH32" i="83" s="1"/>
  <c r="HH19" i="83"/>
  <c r="HH27" i="83" s="1"/>
  <c r="HH21" i="83"/>
  <c r="HH23" i="83" s="1"/>
  <c r="HH20" i="83"/>
  <c r="HH24" i="83" s="1"/>
  <c r="HH26" i="83" s="1"/>
  <c r="HH22" i="83"/>
  <c r="JH3" i="695"/>
  <c r="IN7" i="695"/>
  <c r="IN9" i="695"/>
  <c r="IN10" i="695"/>
  <c r="IN11" i="695"/>
  <c r="IN12" i="695"/>
  <c r="IN13" i="695"/>
  <c r="IN14" i="695"/>
  <c r="IN15" i="695"/>
  <c r="IN16" i="695"/>
  <c r="IN17" i="695"/>
  <c r="IN8" i="695"/>
  <c r="HA25" i="695"/>
  <c r="HA29" i="695"/>
  <c r="HA32" i="695"/>
  <c r="HE18" i="695"/>
  <c r="HE31" i="695" s="1"/>
  <c r="HE21" i="695"/>
  <c r="HE24" i="695" s="1"/>
  <c r="HE26" i="695" s="1"/>
  <c r="HE19" i="695"/>
  <c r="HE27" i="695" s="1"/>
  <c r="HE20" i="695"/>
  <c r="HE23" i="695" s="1"/>
  <c r="HE22" i="695"/>
  <c r="JJ3" i="695"/>
  <c r="IP7" i="695"/>
  <c r="IP9" i="695"/>
  <c r="IP10" i="695"/>
  <c r="IP11" i="695"/>
  <c r="IP12" i="695"/>
  <c r="IP13" i="695"/>
  <c r="IP14" i="695"/>
  <c r="IP15" i="695"/>
  <c r="IP16" i="695"/>
  <c r="IP17" i="695"/>
  <c r="IP8" i="695"/>
  <c r="GZ25" i="83"/>
  <c r="GZ30" i="83"/>
  <c r="GZ33" i="83"/>
  <c r="GO25" i="695"/>
  <c r="GO29" i="695"/>
  <c r="GO32" i="695"/>
  <c r="HE22" i="83"/>
  <c r="HQ29" i="83"/>
  <c r="HQ31" i="83"/>
  <c r="JG3" i="83"/>
  <c r="IM9" i="83"/>
  <c r="IM10" i="83"/>
  <c r="IM11" i="83"/>
  <c r="IM12" i="83"/>
  <c r="IM13" i="83"/>
  <c r="IM14" i="83"/>
  <c r="IM15" i="83"/>
  <c r="IM16" i="83"/>
  <c r="IM17" i="83"/>
  <c r="IM7" i="83"/>
  <c r="IM8" i="83"/>
  <c r="GM25" i="83"/>
  <c r="GM30" i="83"/>
  <c r="GM33" i="83"/>
  <c r="GL25" i="83"/>
  <c r="GL30" i="83"/>
  <c r="GL33" i="83"/>
  <c r="GV25" i="695"/>
  <c r="GV29" i="695"/>
  <c r="GV32" i="695"/>
  <c r="HH20" i="695"/>
  <c r="HH23" i="695" s="1"/>
  <c r="HH18" i="695"/>
  <c r="HH31" i="695" s="1"/>
  <c r="HH19" i="695"/>
  <c r="HH27" i="695" s="1"/>
  <c r="HH21" i="695"/>
  <c r="HH24" i="695" s="1"/>
  <c r="HH26" i="695" s="1"/>
  <c r="HH22" i="695"/>
  <c r="HF28" i="695"/>
  <c r="HF30" i="695"/>
  <c r="JB3" i="695"/>
  <c r="IH7" i="695"/>
  <c r="IH9" i="695"/>
  <c r="IH10" i="695"/>
  <c r="IH11" i="695"/>
  <c r="IH12" i="695"/>
  <c r="IH13" i="695"/>
  <c r="IH14" i="695"/>
  <c r="IH15" i="695"/>
  <c r="IH16" i="695"/>
  <c r="IH17" i="695"/>
  <c r="IH8" i="695"/>
  <c r="HB25" i="695"/>
  <c r="HB29" i="695"/>
  <c r="HB32" i="695"/>
  <c r="HT29" i="83"/>
  <c r="HT31" i="83"/>
  <c r="HK29" i="83"/>
  <c r="HK31" i="83"/>
  <c r="HE28" i="695"/>
  <c r="HE30" i="695"/>
  <c r="GT25" i="695"/>
  <c r="GT29" i="695"/>
  <c r="GT32" i="695"/>
  <c r="HR19" i="695"/>
  <c r="HR27" i="695" s="1"/>
  <c r="HR20" i="695"/>
  <c r="HR23" i="695" s="1"/>
  <c r="HR18" i="695"/>
  <c r="HR31" i="695" s="1"/>
  <c r="HR22" i="695"/>
  <c r="HR21" i="695"/>
  <c r="HR24" i="695" s="1"/>
  <c r="HR26" i="695" s="1"/>
  <c r="HR18" i="83"/>
  <c r="HR32" i="83" s="1"/>
  <c r="HR19" i="83"/>
  <c r="HR27" i="83" s="1"/>
  <c r="HR20" i="83"/>
  <c r="HR24" i="83" s="1"/>
  <c r="HR26" i="83" s="1"/>
  <c r="HR21" i="83"/>
  <c r="HR23" i="83" s="1"/>
  <c r="HR22" i="83"/>
  <c r="HI19" i="695"/>
  <c r="HI27" i="695" s="1"/>
  <c r="HI20" i="695"/>
  <c r="HI23" i="695" s="1"/>
  <c r="HI21" i="695"/>
  <c r="HI24" i="695" s="1"/>
  <c r="HI26" i="695" s="1"/>
  <c r="HI22" i="695"/>
  <c r="HI18" i="695"/>
  <c r="HI31" i="695" s="1"/>
  <c r="GY25" i="695"/>
  <c r="GY29" i="695"/>
  <c r="GY32" i="695"/>
  <c r="HC20" i="695"/>
  <c r="HC23" i="695" s="1"/>
  <c r="HE19" i="83"/>
  <c r="HE27" i="83" s="1"/>
  <c r="HP20" i="695"/>
  <c r="HP23" i="695" s="1"/>
  <c r="HP18" i="695"/>
  <c r="HP31" i="695" s="1"/>
  <c r="HP19" i="695"/>
  <c r="HP27" i="695" s="1"/>
  <c r="HP21" i="695"/>
  <c r="HP24" i="695" s="1"/>
  <c r="HP26" i="695" s="1"/>
  <c r="HP22" i="695"/>
  <c r="HT18" i="83"/>
  <c r="HT32" i="83" s="1"/>
  <c r="HT19" i="83"/>
  <c r="HT27" i="83" s="1"/>
  <c r="HT20" i="83"/>
  <c r="HT24" i="83" s="1"/>
  <c r="HT26" i="83" s="1"/>
  <c r="HT21" i="83"/>
  <c r="HT23" i="83" s="1"/>
  <c r="HT22" i="83"/>
  <c r="HL18" i="695"/>
  <c r="HL31" i="695" s="1"/>
  <c r="HL21" i="695"/>
  <c r="HL24" i="695" s="1"/>
  <c r="HL26" i="695" s="1"/>
  <c r="HL19" i="695"/>
  <c r="HL27" i="695" s="1"/>
  <c r="HL20" i="695"/>
  <c r="HL23" i="695" s="1"/>
  <c r="HL22" i="695"/>
  <c r="GN25" i="695"/>
  <c r="GN29" i="695"/>
  <c r="GN32" i="695"/>
  <c r="HM18" i="695"/>
  <c r="HM31" i="695" s="1"/>
  <c r="HM21" i="695"/>
  <c r="HM24" i="695" s="1"/>
  <c r="HM26" i="695" s="1"/>
  <c r="HM19" i="695"/>
  <c r="HM27" i="695" s="1"/>
  <c r="HM20" i="695"/>
  <c r="HM23" i="695" s="1"/>
  <c r="HM22" i="695"/>
  <c r="JD3" i="83"/>
  <c r="IJ9" i="83"/>
  <c r="IJ10" i="83"/>
  <c r="IJ11" i="83"/>
  <c r="IJ12" i="83"/>
  <c r="IJ13" i="83"/>
  <c r="IJ14" i="83"/>
  <c r="IJ15" i="83"/>
  <c r="IJ16" i="83"/>
  <c r="IJ17" i="83"/>
  <c r="IJ7" i="83"/>
  <c r="IJ8" i="83"/>
  <c r="JB3" i="83"/>
  <c r="IH9" i="83"/>
  <c r="IH10" i="83"/>
  <c r="IH11" i="83"/>
  <c r="IH12" i="83"/>
  <c r="IH13" i="83"/>
  <c r="IH14" i="83"/>
  <c r="IH15" i="83"/>
  <c r="IH16" i="83"/>
  <c r="IH17" i="83"/>
  <c r="IH7" i="83"/>
  <c r="IH8" i="83"/>
  <c r="JE3" i="83"/>
  <c r="IK9" i="83"/>
  <c r="IK10" i="83"/>
  <c r="IK11" i="83"/>
  <c r="IK12" i="83"/>
  <c r="IK13" i="83"/>
  <c r="IK14" i="83"/>
  <c r="IK15" i="83"/>
  <c r="IK16" i="83"/>
  <c r="IK17" i="83"/>
  <c r="IK7" i="83"/>
  <c r="IK8" i="83"/>
  <c r="JK3" i="83"/>
  <c r="IQ9" i="83"/>
  <c r="IQ10" i="83"/>
  <c r="IQ11" i="83"/>
  <c r="IQ12" i="83"/>
  <c r="IQ13" i="83"/>
  <c r="IQ14" i="83"/>
  <c r="IQ15" i="83"/>
  <c r="IQ16" i="83"/>
  <c r="IQ17" i="83"/>
  <c r="IQ7" i="83"/>
  <c r="IQ8" i="83"/>
  <c r="GS25" i="695"/>
  <c r="GS29" i="695"/>
  <c r="GS32" i="695"/>
  <c r="GQ25" i="695"/>
  <c r="GQ29" i="695"/>
  <c r="GQ32" i="695"/>
  <c r="JJ3" i="83"/>
  <c r="IP9" i="83"/>
  <c r="IP10" i="83"/>
  <c r="IP11" i="83"/>
  <c r="IP12" i="83"/>
  <c r="IP13" i="83"/>
  <c r="IP14" i="83"/>
  <c r="IP15" i="83"/>
  <c r="IP16" i="83"/>
  <c r="IP17" i="83"/>
  <c r="IP7" i="83"/>
  <c r="IP8" i="83"/>
  <c r="GY25" i="83"/>
  <c r="GY30" i="83"/>
  <c r="GY33" i="83"/>
  <c r="IW3" i="83"/>
  <c r="IC9" i="83"/>
  <c r="IC10" i="83"/>
  <c r="IC11" i="83"/>
  <c r="IC12" i="83"/>
  <c r="IC13" i="83"/>
  <c r="IC14" i="83"/>
  <c r="IC15" i="83"/>
  <c r="IC16" i="83"/>
  <c r="IC17" i="83"/>
  <c r="IC7" i="83"/>
  <c r="IC8" i="83"/>
  <c r="IT3" i="695"/>
  <c r="HZ7" i="695"/>
  <c r="HZ9" i="695"/>
  <c r="HZ10" i="695"/>
  <c r="HZ11" i="695"/>
  <c r="HZ12" i="695"/>
  <c r="HZ13" i="695"/>
  <c r="HZ14" i="695"/>
  <c r="HZ15" i="695"/>
  <c r="HZ16" i="695"/>
  <c r="HZ17" i="695"/>
  <c r="HZ8" i="695"/>
  <c r="IT3" i="83"/>
  <c r="HZ9" i="83"/>
  <c r="HZ10" i="83"/>
  <c r="HZ11" i="83"/>
  <c r="HZ12" i="83"/>
  <c r="HZ13" i="83"/>
  <c r="HZ14" i="83"/>
  <c r="HZ15" i="83"/>
  <c r="HZ16" i="83"/>
  <c r="HZ17" i="83"/>
  <c r="HZ7" i="83"/>
  <c r="HZ8" i="83"/>
  <c r="GJ25" i="695"/>
  <c r="GJ29" i="695"/>
  <c r="GJ32" i="695"/>
  <c r="IV3" i="83"/>
  <c r="IB9" i="83"/>
  <c r="IB10" i="83"/>
  <c r="IB11" i="83"/>
  <c r="IB12" i="83"/>
  <c r="IB13" i="83"/>
  <c r="IB14" i="83"/>
  <c r="IB15" i="83"/>
  <c r="IB16" i="83"/>
  <c r="IB17" i="83"/>
  <c r="IB7" i="83"/>
  <c r="IB8" i="83"/>
  <c r="HP28" i="695"/>
  <c r="HP30" i="695"/>
  <c r="HJ28" i="695"/>
  <c r="HJ30" i="695"/>
  <c r="HB25" i="83"/>
  <c r="HB30" i="83"/>
  <c r="HB33" i="83"/>
  <c r="IS3" i="695"/>
  <c r="HY7" i="695"/>
  <c r="HY9" i="695"/>
  <c r="HY10" i="695"/>
  <c r="HY11" i="695"/>
  <c r="HY12" i="695"/>
  <c r="HY13" i="695"/>
  <c r="HY14" i="695"/>
  <c r="HY15" i="695"/>
  <c r="HY16" i="695"/>
  <c r="HY17" i="695"/>
  <c r="HY8" i="695"/>
  <c r="HG20" i="695"/>
  <c r="HG23" i="695" s="1"/>
  <c r="HG18" i="695"/>
  <c r="HG31" i="695" s="1"/>
  <c r="HG19" i="695"/>
  <c r="HG27" i="695" s="1"/>
  <c r="HG21" i="695"/>
  <c r="HG24" i="695" s="1"/>
  <c r="HG26" i="695" s="1"/>
  <c r="HG22" i="695"/>
  <c r="HO20" i="695"/>
  <c r="HO23" i="695" s="1"/>
  <c r="HO18" i="695"/>
  <c r="HO31" i="695" s="1"/>
  <c r="HO19" i="695"/>
  <c r="HO27" i="695" s="1"/>
  <c r="HO21" i="695"/>
  <c r="HO24" i="695" s="1"/>
  <c r="HO26" i="695" s="1"/>
  <c r="HO22" i="695"/>
  <c r="HR29" i="83"/>
  <c r="HR31" i="83"/>
  <c r="GS25" i="83"/>
  <c r="GS30" i="83"/>
  <c r="GS33" i="83"/>
  <c r="GN25" i="83"/>
  <c r="GN30" i="83"/>
  <c r="GN33" i="83"/>
  <c r="HC18" i="695"/>
  <c r="HC31" i="695" s="1"/>
  <c r="HE20" i="83"/>
  <c r="HE24" i="83" s="1"/>
  <c r="HE26" i="83" s="1"/>
  <c r="HV29" i="83"/>
  <c r="HV31" i="83"/>
  <c r="HN28" i="695"/>
  <c r="HN30" i="695"/>
  <c r="HL28" i="695"/>
  <c r="HL30" i="695"/>
  <c r="HK21" i="695"/>
  <c r="HK24" i="695" s="1"/>
  <c r="HK26" i="695" s="1"/>
  <c r="HK19" i="695"/>
  <c r="HK27" i="695" s="1"/>
  <c r="HK18" i="695"/>
  <c r="HK31" i="695" s="1"/>
  <c r="HK22" i="695"/>
  <c r="HK20" i="695"/>
  <c r="HK23" i="695" s="1"/>
  <c r="HQ19" i="695"/>
  <c r="HQ27" i="695" s="1"/>
  <c r="HQ20" i="695"/>
  <c r="HQ23" i="695" s="1"/>
  <c r="HQ18" i="695"/>
  <c r="HQ31" i="695" s="1"/>
  <c r="HQ22" i="695"/>
  <c r="HQ21" i="695"/>
  <c r="HQ24" i="695" s="1"/>
  <c r="HQ26" i="695" s="1"/>
  <c r="GP25" i="83"/>
  <c r="GP30" i="83"/>
  <c r="GP33" i="83"/>
  <c r="HG18" i="83"/>
  <c r="HG32" i="83" s="1"/>
  <c r="HG19" i="83"/>
  <c r="HG27" i="83" s="1"/>
  <c r="HG20" i="83"/>
  <c r="HG24" i="83" s="1"/>
  <c r="HG26" i="83" s="1"/>
  <c r="HG21" i="83"/>
  <c r="HG23" i="83" s="1"/>
  <c r="HG22" i="83"/>
  <c r="HL18" i="83"/>
  <c r="HL32" i="83" s="1"/>
  <c r="HL19" i="83"/>
  <c r="HL27" i="83" s="1"/>
  <c r="HL21" i="83"/>
  <c r="HL23" i="83" s="1"/>
  <c r="HL20" i="83"/>
  <c r="HL24" i="83" s="1"/>
  <c r="HL26" i="83" s="1"/>
  <c r="HL22" i="83"/>
  <c r="HD18" i="695"/>
  <c r="HD31" i="695" s="1"/>
  <c r="HD21" i="695"/>
  <c r="HD24" i="695" s="1"/>
  <c r="HD26" i="695" s="1"/>
  <c r="HD19" i="695"/>
  <c r="HD27" i="695" s="1"/>
  <c r="HD20" i="695"/>
  <c r="HD23" i="695" s="1"/>
  <c r="HD22" i="695"/>
  <c r="HU18" i="695"/>
  <c r="HU31" i="695" s="1"/>
  <c r="HU21" i="695"/>
  <c r="HU24" i="695" s="1"/>
  <c r="HU26" i="695" s="1"/>
  <c r="HU19" i="695"/>
  <c r="HU27" i="695" s="1"/>
  <c r="HU20" i="695"/>
  <c r="HU23" i="695" s="1"/>
  <c r="HU22" i="695"/>
  <c r="HS21" i="695"/>
  <c r="HS24" i="695" s="1"/>
  <c r="HS26" i="695" s="1"/>
  <c r="HS19" i="695"/>
  <c r="HS27" i="695" s="1"/>
  <c r="HS18" i="695"/>
  <c r="HS31" i="695" s="1"/>
  <c r="HS22" i="695"/>
  <c r="HS20" i="695"/>
  <c r="HS23" i="695" s="1"/>
  <c r="HH28" i="695"/>
  <c r="HH30" i="695"/>
  <c r="HA25" i="83"/>
  <c r="HA30" i="83"/>
  <c r="HA33" i="83"/>
  <c r="HM18" i="83"/>
  <c r="HM32" i="83" s="1"/>
  <c r="HM20" i="83"/>
  <c r="HM24" i="83" s="1"/>
  <c r="HM26" i="83" s="1"/>
  <c r="HM19" i="83"/>
  <c r="HM27" i="83" s="1"/>
  <c r="HM22" i="83"/>
  <c r="HM21" i="83"/>
  <c r="HM23" i="83" s="1"/>
  <c r="JD3" i="695"/>
  <c r="IJ7" i="695"/>
  <c r="IJ9" i="695"/>
  <c r="IJ10" i="695"/>
  <c r="IJ11" i="695"/>
  <c r="IJ12" i="695"/>
  <c r="IJ13" i="695"/>
  <c r="IJ14" i="695"/>
  <c r="IJ15" i="695"/>
  <c r="IJ16" i="695"/>
  <c r="IJ17" i="695"/>
  <c r="IJ8" i="695"/>
  <c r="IX3" i="695"/>
  <c r="ID7" i="695"/>
  <c r="ID9" i="695"/>
  <c r="ID10" i="695"/>
  <c r="ID11" i="695"/>
  <c r="ID12" i="695"/>
  <c r="ID13" i="695"/>
  <c r="ID14" i="695"/>
  <c r="ID15" i="695"/>
  <c r="ID16" i="695"/>
  <c r="ID17" i="695"/>
  <c r="ID8" i="695"/>
  <c r="JH3" i="83"/>
  <c r="IN9" i="83"/>
  <c r="IN10" i="83"/>
  <c r="IN11" i="83"/>
  <c r="IN12" i="83"/>
  <c r="IN13" i="83"/>
  <c r="IN14" i="83"/>
  <c r="IN15" i="83"/>
  <c r="IN16" i="83"/>
  <c r="IN17" i="83"/>
  <c r="IN7" i="83"/>
  <c r="IN8" i="83"/>
  <c r="GU25" i="83"/>
  <c r="GU30" i="83"/>
  <c r="GU33" i="83"/>
  <c r="IY3" i="83"/>
  <c r="IE9" i="83"/>
  <c r="IE10" i="83"/>
  <c r="IE11" i="83"/>
  <c r="IE12" i="83"/>
  <c r="IE13" i="83"/>
  <c r="IE14" i="83"/>
  <c r="IE15" i="83"/>
  <c r="IE16" i="83"/>
  <c r="IE17" i="83"/>
  <c r="IE7" i="83"/>
  <c r="IE8" i="83"/>
  <c r="IS3" i="83"/>
  <c r="HY9" i="83"/>
  <c r="HY18" i="83" s="1"/>
  <c r="HY32" i="83" s="1"/>
  <c r="HY10" i="83"/>
  <c r="HY11" i="83"/>
  <c r="HY12" i="83"/>
  <c r="HY13" i="83"/>
  <c r="HY14" i="83"/>
  <c r="HY15" i="83"/>
  <c r="HY16" i="83"/>
  <c r="HY17" i="83"/>
  <c r="HR28" i="695"/>
  <c r="HR30" i="695"/>
  <c r="HI28" i="695"/>
  <c r="HI30" i="695"/>
  <c r="HC19" i="695"/>
  <c r="HC27" i="695" s="1"/>
  <c r="HE18" i="83"/>
  <c r="HE32" i="83" s="1"/>
  <c r="JC3" i="83"/>
  <c r="II9" i="83"/>
  <c r="II10" i="83"/>
  <c r="II11" i="83"/>
  <c r="II12" i="83"/>
  <c r="II13" i="83"/>
  <c r="II14" i="83"/>
  <c r="II15" i="83"/>
  <c r="II16" i="83"/>
  <c r="II17" i="83"/>
  <c r="II7" i="83"/>
  <c r="II8" i="83"/>
  <c r="HF29" i="83"/>
  <c r="HF31" i="83"/>
  <c r="HH29" i="83"/>
  <c r="HH31" i="83"/>
  <c r="JL3" i="83"/>
  <c r="IR9" i="83"/>
  <c r="IR10" i="83"/>
  <c r="IR11" i="83"/>
  <c r="IR12" i="83"/>
  <c r="IR13" i="83"/>
  <c r="IR14" i="83"/>
  <c r="IR15" i="83"/>
  <c r="IR16" i="83"/>
  <c r="IR17" i="83"/>
  <c r="IR7" i="83"/>
  <c r="IR8" i="83"/>
  <c r="IX3" i="83"/>
  <c r="ID9" i="83"/>
  <c r="ID10" i="83"/>
  <c r="ID11" i="83"/>
  <c r="ID12" i="83"/>
  <c r="ID13" i="83"/>
  <c r="ID14" i="83"/>
  <c r="ID15" i="83"/>
  <c r="ID16" i="83"/>
  <c r="ID17" i="83"/>
  <c r="ID7" i="83"/>
  <c r="ID8" i="83"/>
  <c r="IZ3" i="695"/>
  <c r="IF7" i="695"/>
  <c r="IF9" i="695"/>
  <c r="IF10" i="695"/>
  <c r="IF11" i="695"/>
  <c r="IF12" i="695"/>
  <c r="IF13" i="695"/>
  <c r="IF14" i="695"/>
  <c r="IF15" i="695"/>
  <c r="IF16" i="695"/>
  <c r="IF17" i="695"/>
  <c r="IF8" i="695"/>
  <c r="HM28" i="695"/>
  <c r="HM30" i="695"/>
  <c r="HG29" i="83"/>
  <c r="HG31" i="83"/>
  <c r="HL29" i="83"/>
  <c r="HL31" i="83"/>
  <c r="GT25" i="83"/>
  <c r="GT30" i="83"/>
  <c r="GT33" i="83"/>
  <c r="IV3" i="695"/>
  <c r="IB7" i="695"/>
  <c r="IB9" i="695"/>
  <c r="IB10" i="695"/>
  <c r="IB11" i="695"/>
  <c r="IB12" i="695"/>
  <c r="IB13" i="695"/>
  <c r="IB14" i="695"/>
  <c r="IB15" i="695"/>
  <c r="IB16" i="695"/>
  <c r="IB17" i="695"/>
  <c r="IB8" i="695"/>
  <c r="HD25" i="83"/>
  <c r="HD30" i="83"/>
  <c r="HD33" i="83"/>
  <c r="HM29" i="83"/>
  <c r="HM31" i="83"/>
  <c r="HC25" i="83"/>
  <c r="HC30" i="83"/>
  <c r="HC33" i="83"/>
  <c r="GR25" i="83"/>
  <c r="GR30" i="83"/>
  <c r="GR33" i="83"/>
  <c r="HT18" i="695"/>
  <c r="HT31" i="695" s="1"/>
  <c r="HT21" i="695"/>
  <c r="HT24" i="695" s="1"/>
  <c r="HT26" i="695" s="1"/>
  <c r="HT19" i="695"/>
  <c r="HT27" i="695" s="1"/>
  <c r="HT20" i="695"/>
  <c r="HT23" i="695" s="1"/>
  <c r="HT22" i="695"/>
  <c r="GP25" i="695"/>
  <c r="GP29" i="695"/>
  <c r="GP32" i="695"/>
  <c r="HV20" i="695"/>
  <c r="HV23" i="695" s="1"/>
  <c r="HV18" i="695"/>
  <c r="HV31" i="695" s="1"/>
  <c r="HV21" i="695"/>
  <c r="HV24" i="695" s="1"/>
  <c r="HV26" i="695" s="1"/>
  <c r="HV22" i="695"/>
  <c r="HV19" i="695"/>
  <c r="HV27" i="695" s="1"/>
  <c r="HG28" i="695"/>
  <c r="HG30" i="695"/>
  <c r="GV25" i="83"/>
  <c r="GV30" i="83"/>
  <c r="GV33" i="83"/>
  <c r="HO28" i="695"/>
  <c r="HO30" i="695"/>
  <c r="JF3" i="695"/>
  <c r="IL7" i="695"/>
  <c r="IL9" i="695"/>
  <c r="IL10" i="695"/>
  <c r="IL11" i="695"/>
  <c r="IL12" i="695"/>
  <c r="IL13" i="695"/>
  <c r="IL14" i="695"/>
  <c r="IL15" i="695"/>
  <c r="IL16" i="695"/>
  <c r="IL17" i="695"/>
  <c r="IL8" i="695"/>
  <c r="GM25" i="695"/>
  <c r="GM29" i="695"/>
  <c r="GM32" i="695"/>
  <c r="JF3" i="83"/>
  <c r="IL9" i="83"/>
  <c r="IL10" i="83"/>
  <c r="IL11" i="83"/>
  <c r="IL12" i="83"/>
  <c r="IL13" i="83"/>
  <c r="IL14" i="83"/>
  <c r="IL15" i="83"/>
  <c r="IL16" i="83"/>
  <c r="IL17" i="83"/>
  <c r="IL7" i="83"/>
  <c r="IL8" i="83"/>
  <c r="IW3" i="695"/>
  <c r="IC7" i="695"/>
  <c r="IC9" i="695"/>
  <c r="IC10" i="695"/>
  <c r="IC11" i="695"/>
  <c r="IC12" i="695"/>
  <c r="IC13" i="695"/>
  <c r="IC14" i="695"/>
  <c r="IC15" i="695"/>
  <c r="IC16" i="695"/>
  <c r="IC17" i="695"/>
  <c r="IC8" i="695"/>
  <c r="GZ25" i="695"/>
  <c r="GZ29" i="695"/>
  <c r="GZ32" i="695"/>
  <c r="HN29" i="83"/>
  <c r="HN31" i="83"/>
  <c r="HW29" i="83"/>
  <c r="HW31" i="83"/>
  <c r="JI3" i="83"/>
  <c r="IO9" i="83"/>
  <c r="IO10" i="83"/>
  <c r="IO11" i="83"/>
  <c r="IO12" i="83"/>
  <c r="IO13" i="83"/>
  <c r="IO14" i="83"/>
  <c r="IO15" i="83"/>
  <c r="IO16" i="83"/>
  <c r="IO17" i="83"/>
  <c r="IO7" i="83"/>
  <c r="IO8" i="83"/>
  <c r="HJ19" i="695"/>
  <c r="HJ27" i="695" s="1"/>
  <c r="HJ20" i="695"/>
  <c r="HJ23" i="695" s="1"/>
  <c r="HJ18" i="695"/>
  <c r="HJ31" i="695" s="1"/>
  <c r="HJ22" i="695"/>
  <c r="HJ21" i="695"/>
  <c r="HJ24" i="695" s="1"/>
  <c r="HJ26" i="695" s="1"/>
  <c r="GX25" i="83"/>
  <c r="GX30" i="83"/>
  <c r="GX33" i="83"/>
  <c r="JA3" i="695"/>
  <c r="IG7" i="695"/>
  <c r="IG9" i="695"/>
  <c r="IG10" i="695"/>
  <c r="IG11" i="695"/>
  <c r="IG12" i="695"/>
  <c r="IG13" i="695"/>
  <c r="IG14" i="695"/>
  <c r="IG15" i="695"/>
  <c r="IG16" i="695"/>
  <c r="IG17" i="695"/>
  <c r="IG8" i="695"/>
  <c r="HK28" i="695"/>
  <c r="HK30" i="695"/>
  <c r="HQ28" i="695"/>
  <c r="HQ30" i="695"/>
  <c r="W18" i="27" a="1"/>
  <c r="W18" i="27" s="1"/>
  <c r="X19" i="27"/>
  <c r="HD28" i="695"/>
  <c r="HD30" i="695"/>
  <c r="HU28" i="695"/>
  <c r="HU30" i="695"/>
  <c r="HS28" i="695"/>
  <c r="HS30" i="695"/>
  <c r="HU18" i="83"/>
  <c r="HU32" i="83" s="1"/>
  <c r="HU20" i="83"/>
  <c r="HU24" i="83" s="1"/>
  <c r="HU26" i="83" s="1"/>
  <c r="HU19" i="83"/>
  <c r="HU27" i="83" s="1"/>
  <c r="HU22" i="83"/>
  <c r="HU21" i="83"/>
  <c r="HU23" i="83" s="1"/>
  <c r="HX18" i="83"/>
  <c r="HX32" i="83" s="1"/>
  <c r="HX19" i="83"/>
  <c r="HX27" i="83" s="1"/>
  <c r="HX21" i="83"/>
  <c r="HX23" i="83" s="1"/>
  <c r="HX20" i="83"/>
  <c r="HX24" i="83" s="1"/>
  <c r="HX26" i="83" s="1"/>
  <c r="HX22" i="83"/>
  <c r="GL25" i="695"/>
  <c r="GL29" i="695"/>
  <c r="GL32" i="695"/>
  <c r="IU3" i="695"/>
  <c r="IA7" i="695"/>
  <c r="IA9" i="695"/>
  <c r="IA10" i="695"/>
  <c r="IA11" i="695"/>
  <c r="IA12" i="695"/>
  <c r="IA13" i="695"/>
  <c r="IA14" i="695"/>
  <c r="IA15" i="695"/>
  <c r="IA16" i="695"/>
  <c r="IA17" i="695"/>
  <c r="IA8" i="695"/>
  <c r="JC3" i="695"/>
  <c r="II7" i="695"/>
  <c r="II9" i="695"/>
  <c r="II10" i="695"/>
  <c r="II11" i="695"/>
  <c r="II12" i="695"/>
  <c r="II13" i="695"/>
  <c r="II14" i="695"/>
  <c r="II15" i="695"/>
  <c r="II16" i="695"/>
  <c r="II17" i="695"/>
  <c r="II8" i="695"/>
  <c r="HJ18" i="83"/>
  <c r="HJ32" i="83" s="1"/>
  <c r="HJ19" i="83"/>
  <c r="HJ27" i="83" s="1"/>
  <c r="HJ21" i="83"/>
  <c r="HJ23" i="83" s="1"/>
  <c r="HJ20" i="83"/>
  <c r="HJ24" i="83" s="1"/>
  <c r="HJ26" i="83" s="1"/>
  <c r="HJ22" i="83"/>
  <c r="GW25" i="83"/>
  <c r="GW30" i="83"/>
  <c r="GW33" i="83"/>
  <c r="IQ8" i="695"/>
  <c r="IQ7" i="695"/>
  <c r="IQ30" i="695" l="1"/>
  <c r="IK28" i="695"/>
  <c r="IK30" i="695"/>
  <c r="JW3" i="695"/>
  <c r="JC7" i="695"/>
  <c r="JC8" i="695"/>
  <c r="JC9" i="695"/>
  <c r="JC10" i="695"/>
  <c r="JC11" i="695"/>
  <c r="JC12" i="695"/>
  <c r="JC13" i="695"/>
  <c r="JC14" i="695"/>
  <c r="JC15" i="695"/>
  <c r="JC16" i="695"/>
  <c r="JC17" i="695"/>
  <c r="W19" i="27" a="1"/>
  <c r="W19" i="27" s="1"/>
  <c r="X20" i="27"/>
  <c r="IG28" i="695"/>
  <c r="IG30" i="695"/>
  <c r="HJ25" i="695"/>
  <c r="HJ29" i="695"/>
  <c r="HJ32" i="695"/>
  <c r="JQ3" i="695"/>
  <c r="IW7" i="695"/>
  <c r="IW8" i="695"/>
  <c r="IW9" i="695"/>
  <c r="IW10" i="695"/>
  <c r="IW11" i="695"/>
  <c r="IW12" i="695"/>
  <c r="IW13" i="695"/>
  <c r="IW14" i="695"/>
  <c r="IW15" i="695"/>
  <c r="IW16" i="695"/>
  <c r="IW17" i="695"/>
  <c r="IL20" i="695"/>
  <c r="IL23" i="695" s="1"/>
  <c r="IL18" i="695"/>
  <c r="IL31" i="695" s="1"/>
  <c r="IL21" i="695"/>
  <c r="IL24" i="695" s="1"/>
  <c r="IL26" i="695" s="1"/>
  <c r="IL22" i="695"/>
  <c r="IL19" i="695"/>
  <c r="IL27" i="695" s="1"/>
  <c r="IF20" i="695"/>
  <c r="IF23" i="695" s="1"/>
  <c r="IF18" i="695"/>
  <c r="IF31" i="695" s="1"/>
  <c r="IF19" i="695"/>
  <c r="IF27" i="695" s="1"/>
  <c r="IF21" i="695"/>
  <c r="IF24" i="695" s="1"/>
  <c r="IF26" i="695" s="1"/>
  <c r="IF22" i="695"/>
  <c r="IR18" i="83"/>
  <c r="IR32" i="83" s="1"/>
  <c r="IR19" i="83"/>
  <c r="IR27" i="83" s="1"/>
  <c r="IR20" i="83"/>
  <c r="IR23" i="83" s="1"/>
  <c r="IR21" i="83"/>
  <c r="IR24" i="83" s="1"/>
  <c r="IR26" i="83" s="1"/>
  <c r="IR22" i="83"/>
  <c r="II18" i="83"/>
  <c r="II32" i="83" s="1"/>
  <c r="II19" i="83"/>
  <c r="II27" i="83" s="1"/>
  <c r="II20" i="83"/>
  <c r="II23" i="83" s="1"/>
  <c r="II21" i="83"/>
  <c r="II24" i="83" s="1"/>
  <c r="II26" i="83" s="1"/>
  <c r="II22" i="83"/>
  <c r="HQ25" i="695"/>
  <c r="HQ29" i="695"/>
  <c r="HQ32" i="695"/>
  <c r="HG25" i="695"/>
  <c r="HG29" i="695"/>
  <c r="HG32" i="695"/>
  <c r="IK18" i="83"/>
  <c r="IK32" i="83" s="1"/>
  <c r="IK20" i="83"/>
  <c r="IK23" i="83" s="1"/>
  <c r="IK19" i="83"/>
  <c r="IK27" i="83" s="1"/>
  <c r="IK22" i="83"/>
  <c r="IK21" i="83"/>
  <c r="IK24" i="83" s="1"/>
  <c r="IK26" i="83" s="1"/>
  <c r="IJ18" i="83"/>
  <c r="IJ32" i="83" s="1"/>
  <c r="IJ19" i="83"/>
  <c r="IJ27" i="83" s="1"/>
  <c r="IJ20" i="83"/>
  <c r="IJ23" i="83" s="1"/>
  <c r="IJ22" i="83"/>
  <c r="IJ21" i="83"/>
  <c r="IJ24" i="83" s="1"/>
  <c r="IJ26" i="83" s="1"/>
  <c r="IM29" i="83"/>
  <c r="IM31" i="83"/>
  <c r="IN20" i="695"/>
  <c r="IN23" i="695" s="1"/>
  <c r="IN18" i="695"/>
  <c r="IN31" i="695" s="1"/>
  <c r="IN19" i="695"/>
  <c r="IN27" i="695" s="1"/>
  <c r="IN21" i="695"/>
  <c r="IN24" i="695" s="1"/>
  <c r="IN26" i="695" s="1"/>
  <c r="IN22" i="695"/>
  <c r="IM28" i="695"/>
  <c r="IM30" i="695"/>
  <c r="JT3" i="83"/>
  <c r="IZ9" i="83"/>
  <c r="IZ10" i="83"/>
  <c r="IZ11" i="83"/>
  <c r="IZ12" i="83"/>
  <c r="IZ13" i="83"/>
  <c r="IZ14" i="83"/>
  <c r="IZ15" i="83"/>
  <c r="IZ16" i="83"/>
  <c r="IZ17" i="83"/>
  <c r="IZ7" i="83"/>
  <c r="IZ8" i="83"/>
  <c r="IK18" i="695"/>
  <c r="IK31" i="695" s="1"/>
  <c r="IK21" i="695"/>
  <c r="IK24" i="695" s="1"/>
  <c r="IK26" i="695" s="1"/>
  <c r="IK19" i="695"/>
  <c r="IK27" i="695" s="1"/>
  <c r="IK20" i="695"/>
  <c r="IK23" i="695" s="1"/>
  <c r="IK22" i="695"/>
  <c r="HY29" i="83"/>
  <c r="IF28" i="695"/>
  <c r="IF30" i="695"/>
  <c r="HT25" i="83"/>
  <c r="HT30" i="83"/>
  <c r="HT33" i="83"/>
  <c r="IA21" i="695"/>
  <c r="IA24" i="695" s="1"/>
  <c r="IA26" i="695" s="1"/>
  <c r="IA19" i="695"/>
  <c r="IA27" i="695" s="1"/>
  <c r="IA18" i="695"/>
  <c r="IA31" i="695" s="1"/>
  <c r="IA22" i="695"/>
  <c r="IA20" i="695"/>
  <c r="IA23" i="695" s="1"/>
  <c r="JU3" i="695"/>
  <c r="JA7" i="695"/>
  <c r="JA8" i="695"/>
  <c r="JA9" i="695"/>
  <c r="JA10" i="695"/>
  <c r="JA11" i="695"/>
  <c r="JA12" i="695"/>
  <c r="JA13" i="695"/>
  <c r="JA14" i="695"/>
  <c r="JA15" i="695"/>
  <c r="JA16" i="695"/>
  <c r="JA17" i="695"/>
  <c r="IL18" i="83"/>
  <c r="IL32" i="83" s="1"/>
  <c r="IL19" i="83"/>
  <c r="IL27" i="83" s="1"/>
  <c r="IL20" i="83"/>
  <c r="IL23" i="83" s="1"/>
  <c r="IL21" i="83"/>
  <c r="IL24" i="83" s="1"/>
  <c r="IL26" i="83" s="1"/>
  <c r="IL22" i="83"/>
  <c r="IR29" i="83"/>
  <c r="IR31" i="83"/>
  <c r="II29" i="83"/>
  <c r="II31" i="83"/>
  <c r="ID28" i="695"/>
  <c r="ID30" i="695"/>
  <c r="HS25" i="695"/>
  <c r="HS29" i="695"/>
  <c r="HS32" i="695"/>
  <c r="HY19" i="695"/>
  <c r="HY27" i="695" s="1"/>
  <c r="HY20" i="695"/>
  <c r="HY23" i="695" s="1"/>
  <c r="HY21" i="695"/>
  <c r="HY24" i="695" s="1"/>
  <c r="HY26" i="695" s="1"/>
  <c r="HY18" i="695"/>
  <c r="HY31" i="695" s="1"/>
  <c r="HY22" i="695"/>
  <c r="HZ28" i="695"/>
  <c r="HZ30" i="695"/>
  <c r="IK29" i="83"/>
  <c r="IK31" i="83"/>
  <c r="IJ29" i="83"/>
  <c r="IJ31" i="83"/>
  <c r="HE25" i="695"/>
  <c r="HE29" i="695"/>
  <c r="HE32" i="695"/>
  <c r="HQ25" i="83"/>
  <c r="HQ30" i="83"/>
  <c r="HQ33" i="83"/>
  <c r="KA3" i="695"/>
  <c r="JG7" i="695"/>
  <c r="JG8" i="695"/>
  <c r="JG9" i="695"/>
  <c r="JG10" i="695"/>
  <c r="JG11" i="695"/>
  <c r="JG12" i="695"/>
  <c r="JG13" i="695"/>
  <c r="JG14" i="695"/>
  <c r="JG15" i="695"/>
  <c r="JG16" i="695"/>
  <c r="JG17" i="695"/>
  <c r="HX20" i="695"/>
  <c r="HX23" i="695" s="1"/>
  <c r="HX18" i="695"/>
  <c r="HX31" i="695" s="1"/>
  <c r="HX19" i="695"/>
  <c r="HX27" i="695" s="1"/>
  <c r="HX21" i="695"/>
  <c r="HX24" i="695" s="1"/>
  <c r="HX26" i="695" s="1"/>
  <c r="HX22" i="695"/>
  <c r="IA18" i="83"/>
  <c r="IA32" i="83" s="1"/>
  <c r="IA19" i="83"/>
  <c r="IA27" i="83" s="1"/>
  <c r="IA20" i="83"/>
  <c r="IA23" i="83" s="1"/>
  <c r="IA21" i="83"/>
  <c r="IA24" i="83" s="1"/>
  <c r="IA26" i="83" s="1"/>
  <c r="IA22" i="83"/>
  <c r="HW22" i="695"/>
  <c r="HX25" i="83"/>
  <c r="HX30" i="83"/>
  <c r="HX33" i="83"/>
  <c r="JN3" i="695"/>
  <c r="IT7" i="695"/>
  <c r="IT8" i="695"/>
  <c r="IT9" i="695"/>
  <c r="IT10" i="695"/>
  <c r="IT11" i="695"/>
  <c r="IT12" i="695"/>
  <c r="IT13" i="695"/>
  <c r="IT14" i="695"/>
  <c r="IT15" i="695"/>
  <c r="IT16" i="695"/>
  <c r="IT17" i="695"/>
  <c r="HP29" i="695"/>
  <c r="HP25" i="695"/>
  <c r="HP32" i="695"/>
  <c r="IO19" i="695"/>
  <c r="IO27" i="695" s="1"/>
  <c r="IO20" i="695"/>
  <c r="IO23" i="695" s="1"/>
  <c r="IO18" i="695"/>
  <c r="IO31" i="695" s="1"/>
  <c r="IO21" i="695"/>
  <c r="IO24" i="695" s="1"/>
  <c r="IO26" i="695" s="1"/>
  <c r="IO22" i="695"/>
  <c r="IA29" i="83"/>
  <c r="IA31" i="83"/>
  <c r="IA28" i="695"/>
  <c r="IA30" i="695"/>
  <c r="IO29" i="83"/>
  <c r="IO31" i="83"/>
  <c r="JZ3" i="695"/>
  <c r="JF7" i="695"/>
  <c r="JF8" i="695"/>
  <c r="JF9" i="695"/>
  <c r="JF10" i="695"/>
  <c r="JF11" i="695"/>
  <c r="JF12" i="695"/>
  <c r="JF13" i="695"/>
  <c r="JF14" i="695"/>
  <c r="JF15" i="695"/>
  <c r="JF16" i="695"/>
  <c r="JF17" i="695"/>
  <c r="IB18" i="695"/>
  <c r="IB31" i="695" s="1"/>
  <c r="IB21" i="695"/>
  <c r="IB24" i="695" s="1"/>
  <c r="IB26" i="695" s="1"/>
  <c r="IB19" i="695"/>
  <c r="IB27" i="695" s="1"/>
  <c r="IB20" i="695"/>
  <c r="IB23" i="695" s="1"/>
  <c r="IB22" i="695"/>
  <c r="JT3" i="695"/>
  <c r="IZ7" i="695"/>
  <c r="IZ8" i="695"/>
  <c r="IZ9" i="695"/>
  <c r="IZ10" i="695"/>
  <c r="IZ11" i="695"/>
  <c r="IZ12" i="695"/>
  <c r="IZ13" i="695"/>
  <c r="IZ14" i="695"/>
  <c r="IZ15" i="695"/>
  <c r="IZ16" i="695"/>
  <c r="IZ17" i="695"/>
  <c r="KF3" i="83"/>
  <c r="JL9" i="83"/>
  <c r="JL10" i="83"/>
  <c r="JL11" i="83"/>
  <c r="JL12" i="83"/>
  <c r="JL13" i="83"/>
  <c r="JL14" i="83"/>
  <c r="JL15" i="83"/>
  <c r="JL16" i="83"/>
  <c r="JL17" i="83"/>
  <c r="JL7" i="83"/>
  <c r="JL8" i="83"/>
  <c r="JW3" i="83"/>
  <c r="JC9" i="83"/>
  <c r="JC10" i="83"/>
  <c r="JC11" i="83"/>
  <c r="JC12" i="83"/>
  <c r="JC13" i="83"/>
  <c r="JC14" i="83"/>
  <c r="JC15" i="83"/>
  <c r="JC16" i="83"/>
  <c r="JC17" i="83"/>
  <c r="JC7" i="83"/>
  <c r="JC8" i="83"/>
  <c r="JM3" i="83"/>
  <c r="IS9" i="83"/>
  <c r="IS10" i="83"/>
  <c r="IS11" i="83"/>
  <c r="IS12" i="83"/>
  <c r="IS13" i="83"/>
  <c r="IS14" i="83"/>
  <c r="IS15" i="83"/>
  <c r="IS16" i="83"/>
  <c r="IS17" i="83"/>
  <c r="IS7" i="83"/>
  <c r="IS8" i="83"/>
  <c r="IN18" i="83"/>
  <c r="IN32" i="83" s="1"/>
  <c r="IN19" i="83"/>
  <c r="IN27" i="83" s="1"/>
  <c r="IN21" i="83"/>
  <c r="IN24" i="83" s="1"/>
  <c r="IN26" i="83" s="1"/>
  <c r="IN20" i="83"/>
  <c r="IN23" i="83" s="1"/>
  <c r="IN22" i="83"/>
  <c r="IJ18" i="695"/>
  <c r="IJ31" i="695" s="1"/>
  <c r="IJ21" i="695"/>
  <c r="IJ24" i="695" s="1"/>
  <c r="IJ26" i="695" s="1"/>
  <c r="IJ19" i="695"/>
  <c r="IJ27" i="695" s="1"/>
  <c r="IJ20" i="695"/>
  <c r="IJ23" i="695" s="1"/>
  <c r="IJ22" i="695"/>
  <c r="HO25" i="695"/>
  <c r="HO29" i="695"/>
  <c r="HO32" i="695"/>
  <c r="HY28" i="695"/>
  <c r="HY30" i="695"/>
  <c r="HZ18" i="83"/>
  <c r="HZ32" i="83" s="1"/>
  <c r="HZ19" i="83"/>
  <c r="HZ27" i="83" s="1"/>
  <c r="HZ20" i="83"/>
  <c r="HZ23" i="83" s="1"/>
  <c r="HZ21" i="83"/>
  <c r="HZ24" i="83" s="1"/>
  <c r="HZ26" i="83" s="1"/>
  <c r="HZ22" i="83"/>
  <c r="IC18" i="83"/>
  <c r="IC32" i="83" s="1"/>
  <c r="IC20" i="83"/>
  <c r="IC23" i="83" s="1"/>
  <c r="IC19" i="83"/>
  <c r="IC27" i="83" s="1"/>
  <c r="IC21" i="83"/>
  <c r="IC24" i="83" s="1"/>
  <c r="IC26" i="83" s="1"/>
  <c r="IC22" i="83"/>
  <c r="IP29" i="83"/>
  <c r="IP31" i="83"/>
  <c r="JY3" i="83"/>
  <c r="JE9" i="83"/>
  <c r="JE10" i="83"/>
  <c r="JE11" i="83"/>
  <c r="JE12" i="83"/>
  <c r="JE13" i="83"/>
  <c r="JE14" i="83"/>
  <c r="JE15" i="83"/>
  <c r="JE16" i="83"/>
  <c r="JE17" i="83"/>
  <c r="JE7" i="83"/>
  <c r="JE8" i="83"/>
  <c r="JX3" i="83"/>
  <c r="JD9" i="83"/>
  <c r="JD10" i="83"/>
  <c r="JD11" i="83"/>
  <c r="JD12" i="83"/>
  <c r="JD13" i="83"/>
  <c r="JD14" i="83"/>
  <c r="JD15" i="83"/>
  <c r="JD16" i="83"/>
  <c r="JD17" i="83"/>
  <c r="JD7" i="83"/>
  <c r="JD8" i="83"/>
  <c r="HI25" i="695"/>
  <c r="HI29" i="695"/>
  <c r="HI32" i="695"/>
  <c r="IH19" i="695"/>
  <c r="IH27" i="695" s="1"/>
  <c r="IH20" i="695"/>
  <c r="IH23" i="695" s="1"/>
  <c r="IH18" i="695"/>
  <c r="IH31" i="695" s="1"/>
  <c r="IH22" i="695"/>
  <c r="IH21" i="695"/>
  <c r="IH24" i="695" s="1"/>
  <c r="IH26" i="695" s="1"/>
  <c r="KB3" i="695"/>
  <c r="JH7" i="695"/>
  <c r="JH8" i="695"/>
  <c r="JH9" i="695"/>
  <c r="JH10" i="695"/>
  <c r="JH11" i="695"/>
  <c r="JH12" i="695"/>
  <c r="JH13" i="695"/>
  <c r="JH14" i="695"/>
  <c r="JH15" i="695"/>
  <c r="JH16" i="695"/>
  <c r="JH17" i="695"/>
  <c r="HF25" i="83"/>
  <c r="HF30" i="83"/>
  <c r="HF33" i="83"/>
  <c r="HW25" i="83"/>
  <c r="HW30" i="83"/>
  <c r="HW33" i="83"/>
  <c r="IG18" i="83"/>
  <c r="IG32" i="83" s="1"/>
  <c r="IG21" i="83"/>
  <c r="IG24" i="83" s="1"/>
  <c r="IG26" i="83" s="1"/>
  <c r="IG19" i="83"/>
  <c r="IG27" i="83" s="1"/>
  <c r="IG20" i="83"/>
  <c r="IG23" i="83" s="1"/>
  <c r="IG22" i="83"/>
  <c r="HN25" i="695"/>
  <c r="HN29" i="695"/>
  <c r="HN32" i="695"/>
  <c r="HX28" i="695"/>
  <c r="HX30" i="695"/>
  <c r="JY3" i="695"/>
  <c r="JE7" i="695"/>
  <c r="JE8" i="695"/>
  <c r="JE9" i="695"/>
  <c r="JE10" i="695"/>
  <c r="JE11" i="695"/>
  <c r="JE12" i="695"/>
  <c r="JE13" i="695"/>
  <c r="JE14" i="695"/>
  <c r="JE15" i="695"/>
  <c r="JE16" i="695"/>
  <c r="JE17" i="695"/>
  <c r="HO25" i="83"/>
  <c r="HO30" i="83"/>
  <c r="HO33" i="83"/>
  <c r="HY19" i="83"/>
  <c r="HY27" i="83" s="1"/>
  <c r="HW19" i="695"/>
  <c r="HW27" i="695" s="1"/>
  <c r="IN28" i="695"/>
  <c r="IN30" i="695"/>
  <c r="HY22" i="83"/>
  <c r="JO3" i="695"/>
  <c r="IU7" i="695"/>
  <c r="IU8" i="695"/>
  <c r="IU9" i="695"/>
  <c r="IU10" i="695"/>
  <c r="IU11" i="695"/>
  <c r="IU12" i="695"/>
  <c r="IU13" i="695"/>
  <c r="IU14" i="695"/>
  <c r="IU15" i="695"/>
  <c r="IU16" i="695"/>
  <c r="IU17" i="695"/>
  <c r="JZ3" i="83"/>
  <c r="JF9" i="83"/>
  <c r="JF10" i="83"/>
  <c r="JF11" i="83"/>
  <c r="JF12" i="83"/>
  <c r="JF13" i="83"/>
  <c r="JF14" i="83"/>
  <c r="JF15" i="83"/>
  <c r="JF16" i="83"/>
  <c r="JF17" i="83"/>
  <c r="JF7" i="83"/>
  <c r="JF8" i="83"/>
  <c r="HT25" i="695"/>
  <c r="HT29" i="695"/>
  <c r="HT32" i="695"/>
  <c r="ID18" i="83"/>
  <c r="ID32" i="83" s="1"/>
  <c r="ID19" i="83"/>
  <c r="ID27" i="83" s="1"/>
  <c r="ID20" i="83"/>
  <c r="ID23" i="83" s="1"/>
  <c r="ID21" i="83"/>
  <c r="ID24" i="83" s="1"/>
  <c r="ID26" i="83" s="1"/>
  <c r="ID22" i="83"/>
  <c r="IE18" i="83"/>
  <c r="IE32" i="83" s="1"/>
  <c r="IE19" i="83"/>
  <c r="IE27" i="83" s="1"/>
  <c r="IE20" i="83"/>
  <c r="IE23" i="83" s="1"/>
  <c r="IE21" i="83"/>
  <c r="IE24" i="83" s="1"/>
  <c r="IE26" i="83" s="1"/>
  <c r="IE22" i="83"/>
  <c r="IN29" i="83"/>
  <c r="IN31" i="83"/>
  <c r="HD25" i="695"/>
  <c r="HD29" i="695"/>
  <c r="HD32" i="695"/>
  <c r="JM3" i="695"/>
  <c r="IS7" i="695"/>
  <c r="IS8" i="695"/>
  <c r="IS9" i="695"/>
  <c r="IS10" i="695"/>
  <c r="IS11" i="695"/>
  <c r="IS12" i="695"/>
  <c r="IS13" i="695"/>
  <c r="IS14" i="695"/>
  <c r="IS15" i="695"/>
  <c r="IS16" i="695"/>
  <c r="IS17" i="695"/>
  <c r="IB18" i="83"/>
  <c r="IB32" i="83" s="1"/>
  <c r="IB19" i="83"/>
  <c r="IB27" i="83" s="1"/>
  <c r="IB20" i="83"/>
  <c r="IB23" i="83" s="1"/>
  <c r="IB21" i="83"/>
  <c r="IB24" i="83" s="1"/>
  <c r="IB26" i="83" s="1"/>
  <c r="IB22" i="83"/>
  <c r="HZ29" i="83"/>
  <c r="HZ31" i="83"/>
  <c r="IC29" i="83"/>
  <c r="IC31" i="83"/>
  <c r="IQ18" i="83"/>
  <c r="IQ32" i="83" s="1"/>
  <c r="IQ19" i="83"/>
  <c r="IQ27" i="83" s="1"/>
  <c r="IQ20" i="83"/>
  <c r="IQ23" i="83" s="1"/>
  <c r="IQ21" i="83"/>
  <c r="IQ24" i="83" s="1"/>
  <c r="IQ26" i="83" s="1"/>
  <c r="IQ22" i="83"/>
  <c r="IH18" i="83"/>
  <c r="IH32" i="83" s="1"/>
  <c r="IH19" i="83"/>
  <c r="IH27" i="83" s="1"/>
  <c r="IH20" i="83"/>
  <c r="IH23" i="83" s="1"/>
  <c r="IH21" i="83"/>
  <c r="IH24" i="83" s="1"/>
  <c r="IH26" i="83" s="1"/>
  <c r="IH22" i="83"/>
  <c r="HC25" i="695"/>
  <c r="HC29" i="695"/>
  <c r="HC32" i="695"/>
  <c r="IP19" i="695"/>
  <c r="IP27" i="695" s="1"/>
  <c r="IP20" i="695"/>
  <c r="IP23" i="695" s="1"/>
  <c r="IP18" i="695"/>
  <c r="IP31" i="695" s="1"/>
  <c r="IP22" i="695"/>
  <c r="IP21" i="695"/>
  <c r="IP24" i="695" s="1"/>
  <c r="IP26" i="695" s="1"/>
  <c r="HV25" i="83"/>
  <c r="HV30" i="83"/>
  <c r="HV33" i="83"/>
  <c r="HN25" i="83"/>
  <c r="HN30" i="83"/>
  <c r="HN33" i="83"/>
  <c r="IG29" i="83"/>
  <c r="IG31" i="83"/>
  <c r="IO28" i="695"/>
  <c r="IO30" i="695"/>
  <c r="JL3" i="695"/>
  <c r="IR7" i="695"/>
  <c r="IR8" i="695"/>
  <c r="IR9" i="695"/>
  <c r="IR10" i="695"/>
  <c r="IR11" i="695"/>
  <c r="IR12" i="695"/>
  <c r="IR13" i="695"/>
  <c r="IR14" i="695"/>
  <c r="IR15" i="695"/>
  <c r="IR16" i="695"/>
  <c r="IR17" i="695"/>
  <c r="JO3" i="83"/>
  <c r="IU9" i="83"/>
  <c r="IU10" i="83"/>
  <c r="IU11" i="83"/>
  <c r="IU12" i="83"/>
  <c r="IU13" i="83"/>
  <c r="IU14" i="83"/>
  <c r="IU15" i="83"/>
  <c r="IU16" i="83"/>
  <c r="IU17" i="83"/>
  <c r="IU7" i="83"/>
  <c r="IU8" i="83"/>
  <c r="IE20" i="695"/>
  <c r="IE23" i="695" s="1"/>
  <c r="IE18" i="695"/>
  <c r="IE31" i="695" s="1"/>
  <c r="IE19" i="695"/>
  <c r="IE27" i="695" s="1"/>
  <c r="IE21" i="695"/>
  <c r="IE24" i="695" s="1"/>
  <c r="IE26" i="695" s="1"/>
  <c r="IE22" i="695"/>
  <c r="HY21" i="83"/>
  <c r="HY24" i="83" s="1"/>
  <c r="HY26" i="83" s="1"/>
  <c r="HW18" i="695"/>
  <c r="HW31" i="695" s="1"/>
  <c r="IL29" i="83"/>
  <c r="IL31" i="83"/>
  <c r="IL28" i="695"/>
  <c r="IL30" i="695"/>
  <c r="JR3" i="695"/>
  <c r="IX7" i="695"/>
  <c r="IX8" i="695"/>
  <c r="IX9" i="695"/>
  <c r="IX10" i="695"/>
  <c r="IX11" i="695"/>
  <c r="IX12" i="695"/>
  <c r="IX13" i="695"/>
  <c r="IX14" i="695"/>
  <c r="IX15" i="695"/>
  <c r="IX16" i="695"/>
  <c r="IX17" i="695"/>
  <c r="IP18" i="83"/>
  <c r="IP32" i="83" s="1"/>
  <c r="IP19" i="83"/>
  <c r="IP27" i="83" s="1"/>
  <c r="IP21" i="83"/>
  <c r="IP24" i="83" s="1"/>
  <c r="IP26" i="83" s="1"/>
  <c r="IP20" i="83"/>
  <c r="IP23" i="83" s="1"/>
  <c r="IP22" i="83"/>
  <c r="HF25" i="695"/>
  <c r="HF29" i="695"/>
  <c r="HF32" i="695"/>
  <c r="HU25" i="83"/>
  <c r="HU30" i="83"/>
  <c r="HU33" i="83"/>
  <c r="KC3" i="83"/>
  <c r="JI9" i="83"/>
  <c r="JI10" i="83"/>
  <c r="JI11" i="83"/>
  <c r="JI12" i="83"/>
  <c r="JI13" i="83"/>
  <c r="JI14" i="83"/>
  <c r="JI15" i="83"/>
  <c r="JI16" i="83"/>
  <c r="JI17" i="83"/>
  <c r="JI7" i="83"/>
  <c r="JI8" i="83"/>
  <c r="IC18" i="695"/>
  <c r="IC31" i="695" s="1"/>
  <c r="IC21" i="695"/>
  <c r="IC24" i="695" s="1"/>
  <c r="IC26" i="695" s="1"/>
  <c r="IC19" i="695"/>
  <c r="IC27" i="695" s="1"/>
  <c r="IC20" i="695"/>
  <c r="IC23" i="695" s="1"/>
  <c r="IC22" i="695"/>
  <c r="IB28" i="695"/>
  <c r="IB30" i="695"/>
  <c r="ID29" i="83"/>
  <c r="ID31" i="83"/>
  <c r="IE29" i="83"/>
  <c r="IE31" i="83"/>
  <c r="IJ28" i="695"/>
  <c r="IJ30" i="695"/>
  <c r="IB29" i="83"/>
  <c r="IB31" i="83"/>
  <c r="KD3" i="83"/>
  <c r="JJ9" i="83"/>
  <c r="JJ10" i="83"/>
  <c r="JJ11" i="83"/>
  <c r="JJ12" i="83"/>
  <c r="JJ13" i="83"/>
  <c r="JJ14" i="83"/>
  <c r="JJ15" i="83"/>
  <c r="JJ16" i="83"/>
  <c r="JJ17" i="83"/>
  <c r="JJ7" i="83"/>
  <c r="JJ8" i="83"/>
  <c r="IQ29" i="83"/>
  <c r="IQ31" i="83"/>
  <c r="IH29" i="83"/>
  <c r="IH31" i="83"/>
  <c r="HM29" i="695"/>
  <c r="HM25" i="695"/>
  <c r="HM32" i="695"/>
  <c r="HL25" i="695"/>
  <c r="HL29" i="695"/>
  <c r="HL32" i="695"/>
  <c r="HR25" i="695"/>
  <c r="HR29" i="695"/>
  <c r="HR32" i="695"/>
  <c r="IH28" i="695"/>
  <c r="IH30" i="695"/>
  <c r="HH25" i="695"/>
  <c r="HH29" i="695"/>
  <c r="HH32" i="695"/>
  <c r="JK3" i="695"/>
  <c r="IQ9" i="695"/>
  <c r="IQ28" i="695" s="1"/>
  <c r="IQ10" i="695"/>
  <c r="IQ11" i="695"/>
  <c r="IQ22" i="695" s="1"/>
  <c r="IQ12" i="695"/>
  <c r="IQ13" i="695"/>
  <c r="IQ14" i="695"/>
  <c r="IQ15" i="695"/>
  <c r="IQ16" i="695"/>
  <c r="IQ17" i="695"/>
  <c r="KC3" i="695"/>
  <c r="JI7" i="695"/>
  <c r="JI8" i="695"/>
  <c r="JI9" i="695"/>
  <c r="JI10" i="695"/>
  <c r="JI11" i="695"/>
  <c r="JI12" i="695"/>
  <c r="JI13" i="695"/>
  <c r="JI14" i="695"/>
  <c r="JI15" i="695"/>
  <c r="JI16" i="695"/>
  <c r="JI17" i="695"/>
  <c r="HS25" i="83"/>
  <c r="HS30" i="83"/>
  <c r="HS33" i="83"/>
  <c r="IF18" i="83"/>
  <c r="IF32" i="83" s="1"/>
  <c r="IF19" i="83"/>
  <c r="IF27" i="83" s="1"/>
  <c r="IF21" i="83"/>
  <c r="IF24" i="83" s="1"/>
  <c r="IF26" i="83" s="1"/>
  <c r="IF20" i="83"/>
  <c r="IF23" i="83" s="1"/>
  <c r="IF22" i="83"/>
  <c r="HY20" i="83"/>
  <c r="HY23" i="83" s="1"/>
  <c r="HW20" i="695"/>
  <c r="HW23" i="695" s="1"/>
  <c r="HK29" i="695"/>
  <c r="HK25" i="695"/>
  <c r="HK32" i="695"/>
  <c r="HK25" i="83"/>
  <c r="HK30" i="83"/>
  <c r="HK33" i="83"/>
  <c r="IG19" i="695"/>
  <c r="IG27" i="695" s="1"/>
  <c r="IG20" i="695"/>
  <c r="IG23" i="695" s="1"/>
  <c r="IG18" i="695"/>
  <c r="IG31" i="695" s="1"/>
  <c r="IG22" i="695"/>
  <c r="IG21" i="695"/>
  <c r="IG24" i="695" s="1"/>
  <c r="IG26" i="695" s="1"/>
  <c r="JP3" i="695"/>
  <c r="IV7" i="695"/>
  <c r="IV8" i="695"/>
  <c r="IV9" i="695"/>
  <c r="IV10" i="695"/>
  <c r="IV11" i="695"/>
  <c r="IV12" i="695"/>
  <c r="IV13" i="695"/>
  <c r="IV14" i="695"/>
  <c r="IV15" i="695"/>
  <c r="IV16" i="695"/>
  <c r="IV17" i="695"/>
  <c r="KB3" i="83"/>
  <c r="JH9" i="83"/>
  <c r="JH10" i="83"/>
  <c r="JH11" i="83"/>
  <c r="JH12" i="83"/>
  <c r="JH13" i="83"/>
  <c r="JH14" i="83"/>
  <c r="JH15" i="83"/>
  <c r="JH16" i="83"/>
  <c r="JH17" i="83"/>
  <c r="JH7" i="83"/>
  <c r="JH8" i="83"/>
  <c r="JX3" i="695"/>
  <c r="JD7" i="695"/>
  <c r="JD8" i="695"/>
  <c r="JD9" i="695"/>
  <c r="JD10" i="695"/>
  <c r="JD11" i="695"/>
  <c r="JD12" i="695"/>
  <c r="JD13" i="695"/>
  <c r="JD14" i="695"/>
  <c r="JD15" i="695"/>
  <c r="JD16" i="695"/>
  <c r="JD17" i="695"/>
  <c r="HG25" i="83"/>
  <c r="HG30" i="83"/>
  <c r="HG33" i="83"/>
  <c r="JN3" i="83"/>
  <c r="IT9" i="83"/>
  <c r="IT10" i="83"/>
  <c r="IT11" i="83"/>
  <c r="IT12" i="83"/>
  <c r="IT13" i="83"/>
  <c r="IT14" i="83"/>
  <c r="IT15" i="83"/>
  <c r="IT16" i="83"/>
  <c r="IT17" i="83"/>
  <c r="IT7" i="83"/>
  <c r="IT8" i="83"/>
  <c r="JQ3" i="83"/>
  <c r="IW9" i="83"/>
  <c r="IW10" i="83"/>
  <c r="IW11" i="83"/>
  <c r="IW12" i="83"/>
  <c r="IW13" i="83"/>
  <c r="IW14" i="83"/>
  <c r="IW15" i="83"/>
  <c r="IW16" i="83"/>
  <c r="IW17" i="83"/>
  <c r="IW7" i="83"/>
  <c r="IW8" i="83"/>
  <c r="HR25" i="83"/>
  <c r="HR30" i="83"/>
  <c r="HR33" i="83"/>
  <c r="JV3" i="695"/>
  <c r="JB7" i="695"/>
  <c r="JB8" i="695"/>
  <c r="JB9" i="695"/>
  <c r="JB10" i="695"/>
  <c r="JB11" i="695"/>
  <c r="JB12" i="695"/>
  <c r="JB13" i="695"/>
  <c r="JB14" i="695"/>
  <c r="JB15" i="695"/>
  <c r="JB16" i="695"/>
  <c r="JB17" i="695"/>
  <c r="IP28" i="695"/>
  <c r="IP30" i="695"/>
  <c r="HH25" i="83"/>
  <c r="HH30" i="83"/>
  <c r="HH33" i="83"/>
  <c r="HI25" i="83"/>
  <c r="HI30" i="83"/>
  <c r="HI33" i="83"/>
  <c r="JU3" i="83"/>
  <c r="JA9" i="83"/>
  <c r="JA10" i="83"/>
  <c r="JA11" i="83"/>
  <c r="JA12" i="83"/>
  <c r="JA13" i="83"/>
  <c r="JA14" i="83"/>
  <c r="JA15" i="83"/>
  <c r="JA16" i="83"/>
  <c r="JA17" i="83"/>
  <c r="JA7" i="83"/>
  <c r="JA8" i="83"/>
  <c r="IM20" i="695"/>
  <c r="IM23" i="695" s="1"/>
  <c r="IM18" i="695"/>
  <c r="IM31" i="695" s="1"/>
  <c r="IM19" i="695"/>
  <c r="IM27" i="695" s="1"/>
  <c r="IM21" i="695"/>
  <c r="IM24" i="695" s="1"/>
  <c r="IM26" i="695" s="1"/>
  <c r="IM22" i="695"/>
  <c r="IF29" i="83"/>
  <c r="IF31" i="83"/>
  <c r="IE28" i="695"/>
  <c r="IE30" i="695"/>
  <c r="HJ25" i="83"/>
  <c r="HJ30" i="83"/>
  <c r="HJ33" i="83"/>
  <c r="IO18" i="83"/>
  <c r="IO32" i="83" s="1"/>
  <c r="IO21" i="83"/>
  <c r="IO24" i="83" s="1"/>
  <c r="IO26" i="83" s="1"/>
  <c r="IO20" i="83"/>
  <c r="IO23" i="83" s="1"/>
  <c r="IO19" i="83"/>
  <c r="IO27" i="83" s="1"/>
  <c r="IO22" i="83"/>
  <c r="HL25" i="83"/>
  <c r="HL30" i="83"/>
  <c r="HL33" i="83"/>
  <c r="KA3" i="83"/>
  <c r="JG9" i="83"/>
  <c r="JG10" i="83"/>
  <c r="JG11" i="83"/>
  <c r="JG12" i="83"/>
  <c r="JG13" i="83"/>
  <c r="JG14" i="83"/>
  <c r="JG15" i="83"/>
  <c r="JG16" i="83"/>
  <c r="JG17" i="83"/>
  <c r="JG7" i="83"/>
  <c r="JG8" i="83"/>
  <c r="II21" i="695"/>
  <c r="II24" i="695" s="1"/>
  <c r="II26" i="695" s="1"/>
  <c r="II19" i="695"/>
  <c r="II27" i="695" s="1"/>
  <c r="II18" i="695"/>
  <c r="II31" i="695" s="1"/>
  <c r="II22" i="695"/>
  <c r="II20" i="695"/>
  <c r="II23" i="695" s="1"/>
  <c r="II28" i="695"/>
  <c r="II30" i="695"/>
  <c r="IC28" i="695"/>
  <c r="IC30" i="695"/>
  <c r="HV25" i="695"/>
  <c r="HV29" i="695"/>
  <c r="HV32" i="695"/>
  <c r="JR3" i="83"/>
  <c r="IX9" i="83"/>
  <c r="IX10" i="83"/>
  <c r="IX11" i="83"/>
  <c r="IX12" i="83"/>
  <c r="IX13" i="83"/>
  <c r="IX14" i="83"/>
  <c r="IX15" i="83"/>
  <c r="IX16" i="83"/>
  <c r="IX17" i="83"/>
  <c r="IX7" i="83"/>
  <c r="IX8" i="83"/>
  <c r="JS3" i="83"/>
  <c r="IY9" i="83"/>
  <c r="IY10" i="83"/>
  <c r="IY11" i="83"/>
  <c r="IY12" i="83"/>
  <c r="IY13" i="83"/>
  <c r="IY14" i="83"/>
  <c r="IY15" i="83"/>
  <c r="IY16" i="83"/>
  <c r="IY17" i="83"/>
  <c r="IY7" i="83"/>
  <c r="IY8" i="83"/>
  <c r="ID20" i="695"/>
  <c r="ID23" i="695" s="1"/>
  <c r="ID18" i="695"/>
  <c r="ID31" i="695" s="1"/>
  <c r="ID21" i="695"/>
  <c r="ID24" i="695" s="1"/>
  <c r="ID26" i="695" s="1"/>
  <c r="ID22" i="695"/>
  <c r="ID19" i="695"/>
  <c r="ID27" i="695" s="1"/>
  <c r="HM25" i="83"/>
  <c r="HM30" i="83"/>
  <c r="HM33" i="83"/>
  <c r="HU25" i="695"/>
  <c r="HU29" i="695"/>
  <c r="HU32" i="695"/>
  <c r="JP3" i="83"/>
  <c r="IV9" i="83"/>
  <c r="IV10" i="83"/>
  <c r="IV11" i="83"/>
  <c r="IV12" i="83"/>
  <c r="IV13" i="83"/>
  <c r="IV14" i="83"/>
  <c r="IV15" i="83"/>
  <c r="IV16" i="83"/>
  <c r="IV17" i="83"/>
  <c r="IV7" i="83"/>
  <c r="IV8" i="83"/>
  <c r="HZ19" i="695"/>
  <c r="HZ27" i="695" s="1"/>
  <c r="HZ20" i="695"/>
  <c r="HZ23" i="695" s="1"/>
  <c r="HZ18" i="695"/>
  <c r="HZ31" i="695" s="1"/>
  <c r="HZ22" i="695"/>
  <c r="HZ21" i="695"/>
  <c r="HZ24" i="695" s="1"/>
  <c r="HZ26" i="695" s="1"/>
  <c r="KE3" i="83"/>
  <c r="JK9" i="83"/>
  <c r="JK10" i="83"/>
  <c r="JK11" i="83"/>
  <c r="JK12" i="83"/>
  <c r="JK13" i="83"/>
  <c r="JK14" i="83"/>
  <c r="JK15" i="83"/>
  <c r="JK16" i="83"/>
  <c r="JK17" i="83"/>
  <c r="JK7" i="83"/>
  <c r="JK8" i="83"/>
  <c r="JV3" i="83"/>
  <c r="JB9" i="83"/>
  <c r="JB10" i="83"/>
  <c r="JB11" i="83"/>
  <c r="JB12" i="83"/>
  <c r="JB13" i="83"/>
  <c r="JB14" i="83"/>
  <c r="JB15" i="83"/>
  <c r="JB16" i="83"/>
  <c r="JB17" i="83"/>
  <c r="JB7" i="83"/>
  <c r="JB8" i="83"/>
  <c r="IM18" i="83"/>
  <c r="IM32" i="83" s="1"/>
  <c r="IM19" i="83"/>
  <c r="IM27" i="83" s="1"/>
  <c r="IM20" i="83"/>
  <c r="IM23" i="83" s="1"/>
  <c r="IM21" i="83"/>
  <c r="IM24" i="83" s="1"/>
  <c r="IM26" i="83" s="1"/>
  <c r="IM22" i="83"/>
  <c r="KD3" i="695"/>
  <c r="JJ7" i="695"/>
  <c r="JJ8" i="695"/>
  <c r="JJ9" i="695"/>
  <c r="JJ10" i="695"/>
  <c r="JJ11" i="695"/>
  <c r="JJ12" i="695"/>
  <c r="JJ13" i="695"/>
  <c r="JJ14" i="695"/>
  <c r="JJ15" i="695"/>
  <c r="JJ16" i="695"/>
  <c r="JJ17" i="695"/>
  <c r="HP25" i="83"/>
  <c r="HP30" i="83"/>
  <c r="HP33" i="83"/>
  <c r="JS3" i="695"/>
  <c r="IY7" i="695"/>
  <c r="IY8" i="695"/>
  <c r="IY9" i="695"/>
  <c r="IY10" i="695"/>
  <c r="IY11" i="695"/>
  <c r="IY12" i="695"/>
  <c r="IY13" i="695"/>
  <c r="IY14" i="695"/>
  <c r="IY15" i="695"/>
  <c r="IY16" i="695"/>
  <c r="IY17" i="695"/>
  <c r="JM8" i="83"/>
  <c r="JM7" i="83"/>
  <c r="JK8" i="695"/>
  <c r="JK7" i="695"/>
  <c r="JK30" i="695" l="1"/>
  <c r="JM31" i="83"/>
  <c r="JB29" i="83"/>
  <c r="JB31" i="83"/>
  <c r="IX29" i="83"/>
  <c r="IX31" i="83"/>
  <c r="JI28" i="695"/>
  <c r="JI30" i="695"/>
  <c r="IU28" i="695"/>
  <c r="IU30" i="695"/>
  <c r="IF29" i="695"/>
  <c r="IF25" i="695"/>
  <c r="IF32" i="695"/>
  <c r="IV29" i="83"/>
  <c r="IV31" i="83"/>
  <c r="KY3" i="83"/>
  <c r="OA3" i="83"/>
  <c r="KE9" i="83"/>
  <c r="KE10" i="83"/>
  <c r="KE11" i="83"/>
  <c r="KE12" i="83"/>
  <c r="KE13" i="83"/>
  <c r="KE14" i="83"/>
  <c r="KE15" i="83"/>
  <c r="KE16" i="83"/>
  <c r="KE17" i="83"/>
  <c r="KE7" i="83"/>
  <c r="KE8" i="83"/>
  <c r="KM3" i="83"/>
  <c r="NO3" i="83"/>
  <c r="JS9" i="83"/>
  <c r="JS10" i="83"/>
  <c r="JS11" i="83"/>
  <c r="JS12" i="83"/>
  <c r="JS13" i="83"/>
  <c r="JS14" i="83"/>
  <c r="JS15" i="83"/>
  <c r="JS16" i="83"/>
  <c r="JS17" i="83"/>
  <c r="JS7" i="83"/>
  <c r="JS8" i="83"/>
  <c r="IM25" i="695"/>
  <c r="IM29" i="695"/>
  <c r="IM32" i="695"/>
  <c r="KP3" i="695"/>
  <c r="JV7" i="695"/>
  <c r="JV9" i="695"/>
  <c r="JV10" i="695"/>
  <c r="JV11" i="695"/>
  <c r="JV12" i="695"/>
  <c r="JV13" i="695"/>
  <c r="JV14" i="695"/>
  <c r="JV15" i="695"/>
  <c r="JV16" i="695"/>
  <c r="JV17" i="695"/>
  <c r="JV8" i="695"/>
  <c r="IT18" i="83"/>
  <c r="IT32" i="83" s="1"/>
  <c r="IT19" i="83"/>
  <c r="IT27" i="83" s="1"/>
  <c r="IT20" i="83"/>
  <c r="IT24" i="83" s="1"/>
  <c r="IT26" i="83" s="1"/>
  <c r="IT21" i="83"/>
  <c r="IT23" i="83" s="1"/>
  <c r="IT22" i="83"/>
  <c r="JD20" i="695"/>
  <c r="JD24" i="695" s="1"/>
  <c r="JD26" i="695" s="1"/>
  <c r="JD18" i="695"/>
  <c r="JD31" i="695" s="1"/>
  <c r="JD19" i="695"/>
  <c r="JD27" i="695" s="1"/>
  <c r="JD21" i="695"/>
  <c r="JD23" i="695" s="1"/>
  <c r="JD22" i="695"/>
  <c r="IV20" i="695"/>
  <c r="IV24" i="695" s="1"/>
  <c r="IV26" i="695" s="1"/>
  <c r="IV18" i="695"/>
  <c r="IV31" i="695" s="1"/>
  <c r="IV19" i="695"/>
  <c r="IV27" i="695" s="1"/>
  <c r="IV21" i="695"/>
  <c r="IV23" i="695" s="1"/>
  <c r="IV22" i="695"/>
  <c r="JJ18" i="83"/>
  <c r="JJ32" i="83" s="1"/>
  <c r="JJ19" i="83"/>
  <c r="JJ27" i="83" s="1"/>
  <c r="JJ20" i="83"/>
  <c r="JJ24" i="83" s="1"/>
  <c r="JJ26" i="83" s="1"/>
  <c r="JJ21" i="83"/>
  <c r="JJ23" i="83" s="1"/>
  <c r="JJ22" i="83"/>
  <c r="IE25" i="695"/>
  <c r="IE29" i="695"/>
  <c r="IE32" i="695"/>
  <c r="KF3" i="695"/>
  <c r="JL7" i="695"/>
  <c r="JL9" i="695"/>
  <c r="JL10" i="695"/>
  <c r="JL11" i="695"/>
  <c r="JL12" i="695"/>
  <c r="JL13" i="695"/>
  <c r="JL14" i="695"/>
  <c r="JL15" i="695"/>
  <c r="JL16" i="695"/>
  <c r="JL17" i="695"/>
  <c r="JL8" i="695"/>
  <c r="IS28" i="695"/>
  <c r="IS30" i="695"/>
  <c r="JE18" i="83"/>
  <c r="JE32" i="83" s="1"/>
  <c r="JE19" i="83"/>
  <c r="JE27" i="83" s="1"/>
  <c r="JE21" i="83"/>
  <c r="JE23" i="83" s="1"/>
  <c r="JE20" i="83"/>
  <c r="JE24" i="83" s="1"/>
  <c r="JE26" i="83" s="1"/>
  <c r="JE22" i="83"/>
  <c r="IS29" i="83"/>
  <c r="IS31" i="83"/>
  <c r="JL29" i="83"/>
  <c r="JL31" i="83"/>
  <c r="IB25" i="695"/>
  <c r="IB29" i="695"/>
  <c r="IB32" i="695"/>
  <c r="IT28" i="695"/>
  <c r="IT30" i="695"/>
  <c r="IA25" i="83"/>
  <c r="IA30" i="83"/>
  <c r="IA33" i="83"/>
  <c r="IL25" i="83"/>
  <c r="IL30" i="83"/>
  <c r="IL33" i="83"/>
  <c r="IZ29" i="83"/>
  <c r="IZ31" i="83"/>
  <c r="JJ20" i="695"/>
  <c r="JJ24" i="695" s="1"/>
  <c r="JJ26" i="695" s="1"/>
  <c r="JJ18" i="695"/>
  <c r="JJ31" i="695" s="1"/>
  <c r="JJ21" i="695"/>
  <c r="JJ23" i="695" s="1"/>
  <c r="JJ19" i="695"/>
  <c r="JJ27" i="695" s="1"/>
  <c r="JJ22" i="695"/>
  <c r="JB18" i="83"/>
  <c r="JB32" i="83" s="1"/>
  <c r="JB19" i="83"/>
  <c r="JB27" i="83" s="1"/>
  <c r="JB20" i="83"/>
  <c r="JB24" i="83" s="1"/>
  <c r="JB26" i="83" s="1"/>
  <c r="JB21" i="83"/>
  <c r="JB23" i="83" s="1"/>
  <c r="JB22" i="83"/>
  <c r="NL3" i="83"/>
  <c r="KJ3" i="83"/>
  <c r="JP9" i="83"/>
  <c r="JP10" i="83"/>
  <c r="JP11" i="83"/>
  <c r="JP12" i="83"/>
  <c r="JP13" i="83"/>
  <c r="JP14" i="83"/>
  <c r="JP15" i="83"/>
  <c r="JP16" i="83"/>
  <c r="JP17" i="83"/>
  <c r="JP7" i="83"/>
  <c r="JP8" i="83"/>
  <c r="IX18" i="83"/>
  <c r="IX32" i="83" s="1"/>
  <c r="IX19" i="83"/>
  <c r="IX27" i="83" s="1"/>
  <c r="IX21" i="83"/>
  <c r="IX23" i="83" s="1"/>
  <c r="IX20" i="83"/>
  <c r="IX24" i="83" s="1"/>
  <c r="IX26" i="83" s="1"/>
  <c r="IX22" i="83"/>
  <c r="JG18" i="83"/>
  <c r="JG32" i="83" s="1"/>
  <c r="JG19" i="83"/>
  <c r="JG27" i="83" s="1"/>
  <c r="JG21" i="83"/>
  <c r="JG23" i="83" s="1"/>
  <c r="JG20" i="83"/>
  <c r="JG24" i="83" s="1"/>
  <c r="JG26" i="83" s="1"/>
  <c r="JG22" i="83"/>
  <c r="JA18" i="83"/>
  <c r="JA32" i="83" s="1"/>
  <c r="JA20" i="83"/>
  <c r="JA24" i="83" s="1"/>
  <c r="JA26" i="83" s="1"/>
  <c r="JA19" i="83"/>
  <c r="JA27" i="83" s="1"/>
  <c r="JA22" i="83"/>
  <c r="JA21" i="83"/>
  <c r="JA23" i="83" s="1"/>
  <c r="IT29" i="83"/>
  <c r="IT31" i="83"/>
  <c r="JD28" i="695"/>
  <c r="JD30" i="695"/>
  <c r="IV28" i="695"/>
  <c r="IV30" i="695"/>
  <c r="IF25" i="83"/>
  <c r="IF30" i="83"/>
  <c r="IF33" i="83"/>
  <c r="JI18" i="695"/>
  <c r="JI31" i="695" s="1"/>
  <c r="JI21" i="695"/>
  <c r="JI23" i="695" s="1"/>
  <c r="JI19" i="695"/>
  <c r="JI27" i="695" s="1"/>
  <c r="JI20" i="695"/>
  <c r="JI24" i="695" s="1"/>
  <c r="JI26" i="695" s="1"/>
  <c r="JI22" i="695"/>
  <c r="JJ29" i="83"/>
  <c r="JJ31" i="83"/>
  <c r="IU18" i="83"/>
  <c r="IU32" i="83" s="1"/>
  <c r="IU19" i="83"/>
  <c r="IU27" i="83" s="1"/>
  <c r="IU20" i="83"/>
  <c r="IU24" i="83" s="1"/>
  <c r="IU26" i="83" s="1"/>
  <c r="IU21" i="83"/>
  <c r="IU23" i="83" s="1"/>
  <c r="IU22" i="83"/>
  <c r="KG3" i="695"/>
  <c r="JM7" i="695"/>
  <c r="JM9" i="695"/>
  <c r="JM10" i="695"/>
  <c r="JM11" i="695"/>
  <c r="JM12" i="695"/>
  <c r="JM13" i="695"/>
  <c r="JM14" i="695"/>
  <c r="JM15" i="695"/>
  <c r="JM16" i="695"/>
  <c r="JM17" i="695"/>
  <c r="JM8" i="695"/>
  <c r="IE25" i="83"/>
  <c r="IE30" i="83"/>
  <c r="IE33" i="83"/>
  <c r="IU20" i="695"/>
  <c r="IU24" i="695" s="1"/>
  <c r="IU26" i="695" s="1"/>
  <c r="IU18" i="695"/>
  <c r="IU31" i="695" s="1"/>
  <c r="IU19" i="695"/>
  <c r="IU27" i="695" s="1"/>
  <c r="IU21" i="695"/>
  <c r="IU23" i="695" s="1"/>
  <c r="IU22" i="695"/>
  <c r="JH18" i="695"/>
  <c r="JH31" i="695" s="1"/>
  <c r="JH21" i="695"/>
  <c r="JH23" i="695" s="1"/>
  <c r="JH19" i="695"/>
  <c r="JH27" i="695" s="1"/>
  <c r="JH20" i="695"/>
  <c r="JH24" i="695" s="1"/>
  <c r="JH26" i="695" s="1"/>
  <c r="JH22" i="695"/>
  <c r="JE29" i="83"/>
  <c r="JE31" i="83"/>
  <c r="IC25" i="83"/>
  <c r="IC30" i="83"/>
  <c r="IC33" i="83"/>
  <c r="IO25" i="695"/>
  <c r="IO29" i="695"/>
  <c r="IO32" i="695"/>
  <c r="KH3" i="695"/>
  <c r="JN7" i="695"/>
  <c r="JN9" i="695"/>
  <c r="JN10" i="695"/>
  <c r="JN11" i="695"/>
  <c r="JN12" i="695"/>
  <c r="JN13" i="695"/>
  <c r="JN14" i="695"/>
  <c r="JN15" i="695"/>
  <c r="JN16" i="695"/>
  <c r="JN17" i="695"/>
  <c r="JN8" i="695"/>
  <c r="JG21" i="695"/>
  <c r="JG23" i="695" s="1"/>
  <c r="JG19" i="695"/>
  <c r="JG27" i="695" s="1"/>
  <c r="JG18" i="695"/>
  <c r="JG31" i="695" s="1"/>
  <c r="JG20" i="695"/>
  <c r="JG24" i="695" s="1"/>
  <c r="JG26" i="695" s="1"/>
  <c r="JG22" i="695"/>
  <c r="IN25" i="695"/>
  <c r="IN29" i="695"/>
  <c r="IN32" i="695"/>
  <c r="IW19" i="695"/>
  <c r="IW27" i="695" s="1"/>
  <c r="IW20" i="695"/>
  <c r="IW24" i="695" s="1"/>
  <c r="IW26" i="695" s="1"/>
  <c r="IW18" i="695"/>
  <c r="IW31" i="695" s="1"/>
  <c r="IW22" i="695"/>
  <c r="IW21" i="695"/>
  <c r="IW23" i="695" s="1"/>
  <c r="W20" i="27" a="1"/>
  <c r="W20" i="27" s="1"/>
  <c r="X21" i="27"/>
  <c r="IQ20" i="695"/>
  <c r="IQ24" i="695" s="1"/>
  <c r="IQ26" i="695" s="1"/>
  <c r="IY21" i="695"/>
  <c r="IY23" i="695" s="1"/>
  <c r="IY19" i="695"/>
  <c r="IY27" i="695" s="1"/>
  <c r="IY18" i="695"/>
  <c r="IY31" i="695" s="1"/>
  <c r="IY22" i="695"/>
  <c r="IY20" i="695"/>
  <c r="IY24" i="695" s="1"/>
  <c r="IY26" i="695" s="1"/>
  <c r="IW28" i="695"/>
  <c r="IW30" i="695"/>
  <c r="KH3" i="83"/>
  <c r="NJ3" i="83"/>
  <c r="JN9" i="83"/>
  <c r="JN10" i="83"/>
  <c r="JN11" i="83"/>
  <c r="JN12" i="83"/>
  <c r="JN13" i="83"/>
  <c r="JN14" i="83"/>
  <c r="JN15" i="83"/>
  <c r="JN16" i="83"/>
  <c r="JN17" i="83"/>
  <c r="JN7" i="83"/>
  <c r="JN8" i="83"/>
  <c r="JH18" i="83"/>
  <c r="JH32" i="83" s="1"/>
  <c r="JH19" i="83"/>
  <c r="JH27" i="83" s="1"/>
  <c r="JH20" i="83"/>
  <c r="JH24" i="83" s="1"/>
  <c r="JH26" i="83" s="1"/>
  <c r="JH21" i="83"/>
  <c r="JH23" i="83" s="1"/>
  <c r="JH22" i="83"/>
  <c r="KW3" i="695"/>
  <c r="KC7" i="695"/>
  <c r="KC9" i="695"/>
  <c r="KC10" i="695"/>
  <c r="KC11" i="695"/>
  <c r="KC12" i="695"/>
  <c r="KC13" i="695"/>
  <c r="KC14" i="695"/>
  <c r="KC15" i="695"/>
  <c r="KC16" i="695"/>
  <c r="KC17" i="695"/>
  <c r="KC8" i="695"/>
  <c r="KX3" i="83"/>
  <c r="NZ3" i="83"/>
  <c r="KD9" i="83"/>
  <c r="KD10" i="83"/>
  <c r="KD11" i="83"/>
  <c r="KD12" i="83"/>
  <c r="KD13" i="83"/>
  <c r="KD14" i="83"/>
  <c r="KD15" i="83"/>
  <c r="KD16" i="83"/>
  <c r="KD17" i="83"/>
  <c r="KD7" i="83"/>
  <c r="KD8" i="83"/>
  <c r="JI18" i="83"/>
  <c r="JI32" i="83" s="1"/>
  <c r="JI19" i="83"/>
  <c r="JI27" i="83" s="1"/>
  <c r="JI20" i="83"/>
  <c r="JI24" i="83" s="1"/>
  <c r="JI26" i="83" s="1"/>
  <c r="JI21" i="83"/>
  <c r="JI23" i="83" s="1"/>
  <c r="JI22" i="83"/>
  <c r="IX19" i="695"/>
  <c r="IX27" i="695" s="1"/>
  <c r="IX20" i="695"/>
  <c r="IX24" i="695" s="1"/>
  <c r="IX26" i="695" s="1"/>
  <c r="IX18" i="695"/>
  <c r="IX31" i="695" s="1"/>
  <c r="IX22" i="695"/>
  <c r="IX21" i="695"/>
  <c r="IX23" i="695" s="1"/>
  <c r="IB25" i="83"/>
  <c r="IB30" i="83"/>
  <c r="IB33" i="83"/>
  <c r="KI3" i="695"/>
  <c r="JO7" i="695"/>
  <c r="JO9" i="695"/>
  <c r="JO10" i="695"/>
  <c r="JO11" i="695"/>
  <c r="JO12" i="695"/>
  <c r="JO13" i="695"/>
  <c r="JO14" i="695"/>
  <c r="JO15" i="695"/>
  <c r="JO16" i="695"/>
  <c r="JO17" i="695"/>
  <c r="JO8" i="695"/>
  <c r="KV3" i="695"/>
  <c r="KB7" i="695"/>
  <c r="KB9" i="695"/>
  <c r="KB10" i="695"/>
  <c r="KB11" i="695"/>
  <c r="KB12" i="695"/>
  <c r="KB13" i="695"/>
  <c r="KB14" i="695"/>
  <c r="KB15" i="695"/>
  <c r="KB16" i="695"/>
  <c r="KB17" i="695"/>
  <c r="KB8" i="695"/>
  <c r="NU3" i="83"/>
  <c r="KS3" i="83"/>
  <c r="JY9" i="83"/>
  <c r="JY10" i="83"/>
  <c r="JY11" i="83"/>
  <c r="JY12" i="83"/>
  <c r="JY13" i="83"/>
  <c r="JY14" i="83"/>
  <c r="JY15" i="83"/>
  <c r="JY16" i="83"/>
  <c r="JY17" i="83"/>
  <c r="JY7" i="83"/>
  <c r="JY8" i="83"/>
  <c r="IN25" i="83"/>
  <c r="IN30" i="83"/>
  <c r="IN33" i="83"/>
  <c r="JC18" i="83"/>
  <c r="JC32" i="83" s="1"/>
  <c r="JC19" i="83"/>
  <c r="JC27" i="83" s="1"/>
  <c r="JC20" i="83"/>
  <c r="JC24" i="83" s="1"/>
  <c r="JC26" i="83" s="1"/>
  <c r="JC21" i="83"/>
  <c r="JC23" i="83" s="1"/>
  <c r="JC22" i="83"/>
  <c r="KU3" i="695"/>
  <c r="KA7" i="695"/>
  <c r="KA9" i="695"/>
  <c r="KA10" i="695"/>
  <c r="KA11" i="695"/>
  <c r="KA12" i="695"/>
  <c r="KA13" i="695"/>
  <c r="KA14" i="695"/>
  <c r="KA15" i="695"/>
  <c r="KA16" i="695"/>
  <c r="KA17" i="695"/>
  <c r="KA8" i="695"/>
  <c r="HY25" i="695"/>
  <c r="HY29" i="695"/>
  <c r="HY32" i="695"/>
  <c r="IK25" i="695"/>
  <c r="IK29" i="695"/>
  <c r="IK32" i="695"/>
  <c r="IR25" i="83"/>
  <c r="IR30" i="83"/>
  <c r="IR33" i="83"/>
  <c r="KK3" i="695"/>
  <c r="JQ7" i="695"/>
  <c r="JQ9" i="695"/>
  <c r="JQ10" i="695"/>
  <c r="JQ11" i="695"/>
  <c r="JQ12" i="695"/>
  <c r="JQ13" i="695"/>
  <c r="JQ14" i="695"/>
  <c r="JQ15" i="695"/>
  <c r="JQ16" i="695"/>
  <c r="JQ17" i="695"/>
  <c r="JQ8" i="695"/>
  <c r="IQ18" i="695"/>
  <c r="IQ31" i="695" s="1"/>
  <c r="IO25" i="83"/>
  <c r="IO30" i="83"/>
  <c r="IO33" i="83"/>
  <c r="IY28" i="695"/>
  <c r="IY30" i="695"/>
  <c r="KM3" i="695"/>
  <c r="JS7" i="695"/>
  <c r="JS9" i="695"/>
  <c r="JS10" i="695"/>
  <c r="JS11" i="695"/>
  <c r="JS12" i="695"/>
  <c r="JS13" i="695"/>
  <c r="JS14" i="695"/>
  <c r="JS15" i="695"/>
  <c r="JS16" i="695"/>
  <c r="JS17" i="695"/>
  <c r="JS8" i="695"/>
  <c r="KP3" i="83"/>
  <c r="NR3" i="83"/>
  <c r="JV9" i="83"/>
  <c r="JV10" i="83"/>
  <c r="JV11" i="83"/>
  <c r="JV12" i="83"/>
  <c r="JV13" i="83"/>
  <c r="JV14" i="83"/>
  <c r="JV15" i="83"/>
  <c r="JV16" i="83"/>
  <c r="JV17" i="83"/>
  <c r="JV7" i="83"/>
  <c r="JV8" i="83"/>
  <c r="HZ25" i="695"/>
  <c r="HZ29" i="695"/>
  <c r="HZ32" i="695"/>
  <c r="ID25" i="695"/>
  <c r="ID29" i="695"/>
  <c r="ID32" i="695"/>
  <c r="KL3" i="83"/>
  <c r="NN3" i="83"/>
  <c r="JR9" i="83"/>
  <c r="JR10" i="83"/>
  <c r="JR11" i="83"/>
  <c r="JR12" i="83"/>
  <c r="JR13" i="83"/>
  <c r="JR14" i="83"/>
  <c r="JR15" i="83"/>
  <c r="JR16" i="83"/>
  <c r="JR17" i="83"/>
  <c r="JR7" i="83"/>
  <c r="JR8" i="83"/>
  <c r="II25" i="695"/>
  <c r="II29" i="695"/>
  <c r="II32" i="695"/>
  <c r="KU3" i="83"/>
  <c r="NW3" i="83"/>
  <c r="KA9" i="83"/>
  <c r="KA10" i="83"/>
  <c r="KA11" i="83"/>
  <c r="KA12" i="83"/>
  <c r="KA13" i="83"/>
  <c r="KA14" i="83"/>
  <c r="KA15" i="83"/>
  <c r="KA16" i="83"/>
  <c r="KA17" i="83"/>
  <c r="KA7" i="83"/>
  <c r="KA8" i="83"/>
  <c r="KO3" i="83"/>
  <c r="NQ3" i="83"/>
  <c r="JU9" i="83"/>
  <c r="JU10" i="83"/>
  <c r="JU11" i="83"/>
  <c r="JU12" i="83"/>
  <c r="JU13" i="83"/>
  <c r="JU14" i="83"/>
  <c r="JU15" i="83"/>
  <c r="JU16" i="83"/>
  <c r="JU17" i="83"/>
  <c r="JU7" i="83"/>
  <c r="JU8" i="83"/>
  <c r="IW18" i="83"/>
  <c r="IW32" i="83" s="1"/>
  <c r="IW19" i="83"/>
  <c r="IW27" i="83" s="1"/>
  <c r="IW21" i="83"/>
  <c r="IW23" i="83" s="1"/>
  <c r="IW20" i="83"/>
  <c r="IW24" i="83" s="1"/>
  <c r="IW26" i="83" s="1"/>
  <c r="IW22" i="83"/>
  <c r="JH29" i="83"/>
  <c r="JH31" i="83"/>
  <c r="JI29" i="83"/>
  <c r="JI31" i="83"/>
  <c r="IX28" i="695"/>
  <c r="IX30" i="695"/>
  <c r="KI3" i="83"/>
  <c r="NK3" i="83"/>
  <c r="JO9" i="83"/>
  <c r="JO10" i="83"/>
  <c r="JO11" i="83"/>
  <c r="JO12" i="83"/>
  <c r="JO13" i="83"/>
  <c r="JO14" i="83"/>
  <c r="JO15" i="83"/>
  <c r="JO16" i="83"/>
  <c r="JO17" i="83"/>
  <c r="JO7" i="83"/>
  <c r="JO8" i="83"/>
  <c r="JF18" i="83"/>
  <c r="JF32" i="83" s="1"/>
  <c r="JF19" i="83"/>
  <c r="JF27" i="83" s="1"/>
  <c r="JF21" i="83"/>
  <c r="JF23" i="83" s="1"/>
  <c r="JF20" i="83"/>
  <c r="JF24" i="83" s="1"/>
  <c r="JF26" i="83" s="1"/>
  <c r="JF22" i="83"/>
  <c r="JD18" i="83"/>
  <c r="JD32" i="83" s="1"/>
  <c r="JD19" i="83"/>
  <c r="JD27" i="83" s="1"/>
  <c r="JD21" i="83"/>
  <c r="JD23" i="83" s="1"/>
  <c r="JD20" i="83"/>
  <c r="JD24" i="83" s="1"/>
  <c r="JD26" i="83" s="1"/>
  <c r="JD22" i="83"/>
  <c r="JC29" i="83"/>
  <c r="JC31" i="83"/>
  <c r="IZ18" i="695"/>
  <c r="IZ31" i="695" s="1"/>
  <c r="IZ21" i="695"/>
  <c r="IZ23" i="695" s="1"/>
  <c r="IZ19" i="695"/>
  <c r="IZ27" i="695" s="1"/>
  <c r="IZ20" i="695"/>
  <c r="IZ24" i="695" s="1"/>
  <c r="IZ26" i="695" s="1"/>
  <c r="IZ22" i="695"/>
  <c r="JA18" i="695"/>
  <c r="JA31" i="695" s="1"/>
  <c r="JA21" i="695"/>
  <c r="JA23" i="695" s="1"/>
  <c r="JA19" i="695"/>
  <c r="JA27" i="695" s="1"/>
  <c r="JA20" i="695"/>
  <c r="JA24" i="695" s="1"/>
  <c r="JA26" i="695" s="1"/>
  <c r="JA22" i="695"/>
  <c r="IK25" i="83"/>
  <c r="IK30" i="83"/>
  <c r="IK33" i="83"/>
  <c r="JC20" i="695"/>
  <c r="JC24" i="695" s="1"/>
  <c r="JC26" i="695" s="1"/>
  <c r="JC18" i="695"/>
  <c r="JC31" i="695" s="1"/>
  <c r="JC19" i="695"/>
  <c r="JC27" i="695" s="1"/>
  <c r="JC21" i="695"/>
  <c r="JC23" i="695" s="1"/>
  <c r="JC22" i="695"/>
  <c r="IQ19" i="695"/>
  <c r="IQ27" i="695" s="1"/>
  <c r="KJ3" i="695"/>
  <c r="JP7" i="695"/>
  <c r="JP9" i="695"/>
  <c r="JP10" i="695"/>
  <c r="JP11" i="695"/>
  <c r="JP12" i="695"/>
  <c r="JP13" i="695"/>
  <c r="JP14" i="695"/>
  <c r="JP15" i="695"/>
  <c r="JP16" i="695"/>
  <c r="JP17" i="695"/>
  <c r="JP8" i="695"/>
  <c r="IU29" i="83"/>
  <c r="IU31" i="83"/>
  <c r="IQ25" i="83"/>
  <c r="IQ30" i="83"/>
  <c r="IQ33" i="83"/>
  <c r="JG28" i="695"/>
  <c r="JG30" i="695"/>
  <c r="JK18" i="83"/>
  <c r="JK32" i="83" s="1"/>
  <c r="JK19" i="83"/>
  <c r="JK27" i="83" s="1"/>
  <c r="JK20" i="83"/>
  <c r="JK24" i="83" s="1"/>
  <c r="JK26" i="83" s="1"/>
  <c r="JK21" i="83"/>
  <c r="JK23" i="83" s="1"/>
  <c r="JK22" i="83"/>
  <c r="IY18" i="83"/>
  <c r="IY32" i="83" s="1"/>
  <c r="IY19" i="83"/>
  <c r="IY27" i="83" s="1"/>
  <c r="IY21" i="83"/>
  <c r="IY23" i="83" s="1"/>
  <c r="IY20" i="83"/>
  <c r="IY24" i="83" s="1"/>
  <c r="IY26" i="83" s="1"/>
  <c r="IY22" i="83"/>
  <c r="IW29" i="83"/>
  <c r="IW31" i="83"/>
  <c r="KE3" i="695"/>
  <c r="JK9" i="695"/>
  <c r="JK28" i="695" s="1"/>
  <c r="JK10" i="695"/>
  <c r="JK11" i="695"/>
  <c r="JK12" i="695"/>
  <c r="JK21" i="695" s="1"/>
  <c r="JK24" i="695" s="1"/>
  <c r="JK26" i="695" s="1"/>
  <c r="JK13" i="695"/>
  <c r="JK14" i="695"/>
  <c r="JK15" i="695"/>
  <c r="JK16" i="695"/>
  <c r="JK17" i="695"/>
  <c r="KL3" i="695"/>
  <c r="JR7" i="695"/>
  <c r="JR9" i="695"/>
  <c r="JR10" i="695"/>
  <c r="JR11" i="695"/>
  <c r="JR12" i="695"/>
  <c r="JR13" i="695"/>
  <c r="JR14" i="695"/>
  <c r="JR15" i="695"/>
  <c r="JR16" i="695"/>
  <c r="JR17" i="695"/>
  <c r="JR8" i="695"/>
  <c r="IH25" i="83"/>
  <c r="IH30" i="83"/>
  <c r="IH33" i="83"/>
  <c r="JF29" i="83"/>
  <c r="JF31" i="83"/>
  <c r="JE19" i="695"/>
  <c r="JE27" i="695" s="1"/>
  <c r="JE20" i="695"/>
  <c r="JE24" i="695" s="1"/>
  <c r="JE26" i="695" s="1"/>
  <c r="JE21" i="695"/>
  <c r="JE23" i="695" s="1"/>
  <c r="JE18" i="695"/>
  <c r="JE31" i="695" s="1"/>
  <c r="JE22" i="695"/>
  <c r="JD29" i="83"/>
  <c r="JD31" i="83"/>
  <c r="HZ25" i="83"/>
  <c r="HZ30" i="83"/>
  <c r="HZ33" i="83"/>
  <c r="IZ28" i="695"/>
  <c r="IZ30" i="695"/>
  <c r="JF19" i="695"/>
  <c r="JF27" i="695" s="1"/>
  <c r="JF20" i="695"/>
  <c r="JF24" i="695" s="1"/>
  <c r="JF26" i="695" s="1"/>
  <c r="JF18" i="695"/>
  <c r="JF31" i="695" s="1"/>
  <c r="JF22" i="695"/>
  <c r="JF21" i="695"/>
  <c r="JF23" i="695" s="1"/>
  <c r="JA28" i="695"/>
  <c r="JA30" i="695"/>
  <c r="JC28" i="695"/>
  <c r="JC30" i="695"/>
  <c r="IQ21" i="695"/>
  <c r="IQ23" i="695" s="1"/>
  <c r="JA29" i="83"/>
  <c r="JA31" i="83"/>
  <c r="KR3" i="695"/>
  <c r="JX7" i="695"/>
  <c r="JX9" i="695"/>
  <c r="JX10" i="695"/>
  <c r="JX11" i="695"/>
  <c r="JX12" i="695"/>
  <c r="JX13" i="695"/>
  <c r="JX14" i="695"/>
  <c r="JX15" i="695"/>
  <c r="JX16" i="695"/>
  <c r="JX17" i="695"/>
  <c r="JX8" i="695"/>
  <c r="JH28" i="695"/>
  <c r="JH30" i="695"/>
  <c r="KN3" i="83"/>
  <c r="NP3" i="83"/>
  <c r="JT9" i="83"/>
  <c r="JT10" i="83"/>
  <c r="JT11" i="83"/>
  <c r="JT12" i="83"/>
  <c r="JT13" i="83"/>
  <c r="JT14" i="83"/>
  <c r="JT15" i="83"/>
  <c r="JT16" i="83"/>
  <c r="JT17" i="83"/>
  <c r="JT7" i="83"/>
  <c r="JT8" i="83"/>
  <c r="KX3" i="695"/>
  <c r="KD7" i="695"/>
  <c r="KD9" i="695"/>
  <c r="KD10" i="695"/>
  <c r="KD11" i="695"/>
  <c r="KD12" i="695"/>
  <c r="KD13" i="695"/>
  <c r="KD14" i="695"/>
  <c r="KD15" i="695"/>
  <c r="KD16" i="695"/>
  <c r="KD17" i="695"/>
  <c r="KD8" i="695"/>
  <c r="IM25" i="83"/>
  <c r="IM30" i="83"/>
  <c r="IM33" i="83"/>
  <c r="JK29" i="83"/>
  <c r="JK31" i="83"/>
  <c r="IV18" i="83"/>
  <c r="IV32" i="83" s="1"/>
  <c r="IV19" i="83"/>
  <c r="IV27" i="83" s="1"/>
  <c r="IV21" i="83"/>
  <c r="IV23" i="83" s="1"/>
  <c r="IV20" i="83"/>
  <c r="IV24" i="83" s="1"/>
  <c r="IV26" i="83" s="1"/>
  <c r="IV22" i="83"/>
  <c r="IY29" i="83"/>
  <c r="IY31" i="83"/>
  <c r="JB20" i="695"/>
  <c r="JB24" i="695" s="1"/>
  <c r="JB26" i="695" s="1"/>
  <c r="JB18" i="695"/>
  <c r="JB31" i="695" s="1"/>
  <c r="JB21" i="695"/>
  <c r="JB23" i="695" s="1"/>
  <c r="JB19" i="695"/>
  <c r="JB27" i="695" s="1"/>
  <c r="JB22" i="695"/>
  <c r="KV3" i="83"/>
  <c r="NX3" i="83"/>
  <c r="KB9" i="83"/>
  <c r="KB10" i="83"/>
  <c r="KB11" i="83"/>
  <c r="KB12" i="83"/>
  <c r="KB13" i="83"/>
  <c r="KB14" i="83"/>
  <c r="KB15" i="83"/>
  <c r="KB16" i="83"/>
  <c r="KB17" i="83"/>
  <c r="KB7" i="83"/>
  <c r="KB8" i="83"/>
  <c r="IG25" i="695"/>
  <c r="IG29" i="695"/>
  <c r="IG32" i="695"/>
  <c r="HW25" i="695"/>
  <c r="HW29" i="695"/>
  <c r="HW32" i="695"/>
  <c r="NY3" i="83"/>
  <c r="KW3" i="83"/>
  <c r="KC9" i="83"/>
  <c r="KC10" i="83"/>
  <c r="KC11" i="83"/>
  <c r="KC12" i="83"/>
  <c r="KC13" i="83"/>
  <c r="KC14" i="83"/>
  <c r="KC15" i="83"/>
  <c r="KC16" i="83"/>
  <c r="KC17" i="83"/>
  <c r="KC7" i="83"/>
  <c r="KC8" i="83"/>
  <c r="IP25" i="83"/>
  <c r="IP30" i="83"/>
  <c r="IP33" i="83"/>
  <c r="IR18" i="695"/>
  <c r="IR31" i="695" s="1"/>
  <c r="IR21" i="695"/>
  <c r="IR23" i="695" s="1"/>
  <c r="IR19" i="695"/>
  <c r="IR27" i="695" s="1"/>
  <c r="IR20" i="695"/>
  <c r="IR24" i="695" s="1"/>
  <c r="IR26" i="695" s="1"/>
  <c r="IR22" i="695"/>
  <c r="IP25" i="695"/>
  <c r="IP29" i="695"/>
  <c r="IP32" i="695"/>
  <c r="ID25" i="83"/>
  <c r="ID30" i="83"/>
  <c r="ID33" i="83"/>
  <c r="JE28" i="695"/>
  <c r="JE30" i="695"/>
  <c r="IG25" i="83"/>
  <c r="IG30" i="83"/>
  <c r="IG33" i="83"/>
  <c r="IJ25" i="695"/>
  <c r="IJ29" i="695"/>
  <c r="IJ32" i="695"/>
  <c r="KQ3" i="83"/>
  <c r="NS3" i="83"/>
  <c r="JW9" i="83"/>
  <c r="JW10" i="83"/>
  <c r="JW11" i="83"/>
  <c r="JW12" i="83"/>
  <c r="JW13" i="83"/>
  <c r="JW14" i="83"/>
  <c r="JW15" i="83"/>
  <c r="JW16" i="83"/>
  <c r="JW17" i="83"/>
  <c r="JW7" i="83"/>
  <c r="JW8" i="83"/>
  <c r="KN3" i="695"/>
  <c r="JT7" i="695"/>
  <c r="JT9" i="695"/>
  <c r="JT10" i="695"/>
  <c r="JT11" i="695"/>
  <c r="JT12" i="695"/>
  <c r="JT13" i="695"/>
  <c r="JT14" i="695"/>
  <c r="JT15" i="695"/>
  <c r="JT16" i="695"/>
  <c r="JT17" i="695"/>
  <c r="JT8" i="695"/>
  <c r="JF28" i="695"/>
  <c r="JF30" i="695"/>
  <c r="KO3" i="695"/>
  <c r="JU7" i="695"/>
  <c r="JU9" i="695"/>
  <c r="JU10" i="695"/>
  <c r="JU11" i="695"/>
  <c r="JU12" i="695"/>
  <c r="JU13" i="695"/>
  <c r="JU14" i="695"/>
  <c r="JU15" i="695"/>
  <c r="JU16" i="695"/>
  <c r="JU17" i="695"/>
  <c r="JU8" i="695"/>
  <c r="IJ25" i="83"/>
  <c r="IJ30" i="83"/>
  <c r="IJ33" i="83"/>
  <c r="II25" i="83"/>
  <c r="II30" i="83"/>
  <c r="II33" i="83"/>
  <c r="KQ3" i="695"/>
  <c r="JW7" i="695"/>
  <c r="JW9" i="695"/>
  <c r="JW10" i="695"/>
  <c r="JW11" i="695"/>
  <c r="JW12" i="695"/>
  <c r="JW13" i="695"/>
  <c r="JW14" i="695"/>
  <c r="JW15" i="695"/>
  <c r="JW16" i="695"/>
  <c r="JW17" i="695"/>
  <c r="JW8" i="695"/>
  <c r="JJ28" i="695"/>
  <c r="JJ30" i="695"/>
  <c r="JG29" i="83"/>
  <c r="JG31" i="83"/>
  <c r="KG3" i="83"/>
  <c r="NI3" i="83"/>
  <c r="JM9" i="83"/>
  <c r="JM18" i="83" s="1"/>
  <c r="JM32" i="83" s="1"/>
  <c r="JM10" i="83"/>
  <c r="JM11" i="83"/>
  <c r="JM12" i="83"/>
  <c r="JM13" i="83"/>
  <c r="JM22" i="83" s="1"/>
  <c r="JM14" i="83"/>
  <c r="JM15" i="83"/>
  <c r="JM16" i="83"/>
  <c r="JM17" i="83"/>
  <c r="KZ3" i="83"/>
  <c r="OB3" i="83"/>
  <c r="KF9" i="83"/>
  <c r="KF10" i="83"/>
  <c r="KF11" i="83"/>
  <c r="KF12" i="83"/>
  <c r="KF13" i="83"/>
  <c r="KF14" i="83"/>
  <c r="KF15" i="83"/>
  <c r="KF16" i="83"/>
  <c r="KF17" i="83"/>
  <c r="KF7" i="83"/>
  <c r="KF8" i="83"/>
  <c r="JB28" i="695"/>
  <c r="JB30" i="695"/>
  <c r="NM3" i="83"/>
  <c r="KK3" i="83"/>
  <c r="JQ9" i="83"/>
  <c r="JQ10" i="83"/>
  <c r="JQ11" i="83"/>
  <c r="JQ12" i="83"/>
  <c r="JQ13" i="83"/>
  <c r="JQ14" i="83"/>
  <c r="JQ15" i="83"/>
  <c r="JQ16" i="83"/>
  <c r="JQ17" i="83"/>
  <c r="JQ7" i="83"/>
  <c r="JQ8" i="83"/>
  <c r="HY25" i="83"/>
  <c r="HY30" i="83"/>
  <c r="HY33" i="83"/>
  <c r="IC29" i="695"/>
  <c r="IC25" i="695"/>
  <c r="IC32" i="695"/>
  <c r="IR28" i="695"/>
  <c r="IR30" i="695"/>
  <c r="IS18" i="695"/>
  <c r="IS31" i="695" s="1"/>
  <c r="IS21" i="695"/>
  <c r="IS23" i="695" s="1"/>
  <c r="IS19" i="695"/>
  <c r="IS27" i="695" s="1"/>
  <c r="IS20" i="695"/>
  <c r="IS24" i="695" s="1"/>
  <c r="IS26" i="695" s="1"/>
  <c r="IS22" i="695"/>
  <c r="KT3" i="83"/>
  <c r="NV3" i="83"/>
  <c r="JZ9" i="83"/>
  <c r="JZ10" i="83"/>
  <c r="JZ11" i="83"/>
  <c r="JZ12" i="83"/>
  <c r="JZ13" i="83"/>
  <c r="JZ14" i="83"/>
  <c r="JZ15" i="83"/>
  <c r="JZ16" i="83"/>
  <c r="JZ17" i="83"/>
  <c r="JZ7" i="83"/>
  <c r="JZ8" i="83"/>
  <c r="KS3" i="695"/>
  <c r="JY7" i="695"/>
  <c r="JY9" i="695"/>
  <c r="JY10" i="695"/>
  <c r="JY11" i="695"/>
  <c r="JY12" i="695"/>
  <c r="JY13" i="695"/>
  <c r="JY14" i="695"/>
  <c r="JY15" i="695"/>
  <c r="JY16" i="695"/>
  <c r="JY17" i="695"/>
  <c r="JY8" i="695"/>
  <c r="IH25" i="695"/>
  <c r="IH29" i="695"/>
  <c r="IH32" i="695"/>
  <c r="KR3" i="83"/>
  <c r="NT3" i="83"/>
  <c r="JX9" i="83"/>
  <c r="JX10" i="83"/>
  <c r="JX11" i="83"/>
  <c r="JX12" i="83"/>
  <c r="JX13" i="83"/>
  <c r="JX14" i="83"/>
  <c r="JX15" i="83"/>
  <c r="JX16" i="83"/>
  <c r="JX17" i="83"/>
  <c r="JX7" i="83"/>
  <c r="JX8" i="83"/>
  <c r="IS18" i="83"/>
  <c r="IS32" i="83" s="1"/>
  <c r="IS20" i="83"/>
  <c r="IS24" i="83" s="1"/>
  <c r="IS26" i="83" s="1"/>
  <c r="IS19" i="83"/>
  <c r="IS27" i="83" s="1"/>
  <c r="IS21" i="83"/>
  <c r="IS23" i="83" s="1"/>
  <c r="IS22" i="83"/>
  <c r="JL18" i="83"/>
  <c r="JL32" i="83" s="1"/>
  <c r="JL19" i="83"/>
  <c r="JL27" i="83" s="1"/>
  <c r="JL21" i="83"/>
  <c r="JL23" i="83" s="1"/>
  <c r="JL20" i="83"/>
  <c r="JL24" i="83" s="1"/>
  <c r="JL26" i="83" s="1"/>
  <c r="JL22" i="83"/>
  <c r="KT3" i="695"/>
  <c r="JZ7" i="695"/>
  <c r="JZ9" i="695"/>
  <c r="JZ10" i="695"/>
  <c r="JZ11" i="695"/>
  <c r="JZ12" i="695"/>
  <c r="JZ13" i="695"/>
  <c r="JZ14" i="695"/>
  <c r="JZ15" i="695"/>
  <c r="JZ16" i="695"/>
  <c r="JZ17" i="695"/>
  <c r="JZ8" i="695"/>
  <c r="IT20" i="695"/>
  <c r="IT24" i="695" s="1"/>
  <c r="IT26" i="695" s="1"/>
  <c r="IT18" i="695"/>
  <c r="IT31" i="695" s="1"/>
  <c r="IT21" i="695"/>
  <c r="IT23" i="695" s="1"/>
  <c r="IT19" i="695"/>
  <c r="IT27" i="695" s="1"/>
  <c r="IT22" i="695"/>
  <c r="HX25" i="695"/>
  <c r="HX29" i="695"/>
  <c r="HX32" i="695"/>
  <c r="IA29" i="695"/>
  <c r="IA25" i="695"/>
  <c r="IA32" i="695"/>
  <c r="IZ18" i="83"/>
  <c r="IZ32" i="83" s="1"/>
  <c r="IZ19" i="83"/>
  <c r="IZ27" i="83" s="1"/>
  <c r="IZ20" i="83"/>
  <c r="IZ24" i="83" s="1"/>
  <c r="IZ26" i="83" s="1"/>
  <c r="IZ22" i="83"/>
  <c r="IZ21" i="83"/>
  <c r="IZ23" i="83" s="1"/>
  <c r="IL25" i="695"/>
  <c r="IL29" i="695"/>
  <c r="IL32" i="695"/>
  <c r="NI8" i="83"/>
  <c r="NI7" i="83"/>
  <c r="KE8" i="695"/>
  <c r="KE7" i="695"/>
  <c r="KG8" i="83"/>
  <c r="KG7" i="83"/>
  <c r="KG31" i="83" l="1"/>
  <c r="KE30" i="695"/>
  <c r="NI31" i="83"/>
  <c r="JF25" i="83"/>
  <c r="JF30" i="83"/>
  <c r="JF33" i="83"/>
  <c r="KA18" i="83"/>
  <c r="KA32" i="83" s="1"/>
  <c r="KA19" i="83"/>
  <c r="KA27" i="83" s="1"/>
  <c r="KA20" i="83"/>
  <c r="KA23" i="83" s="1"/>
  <c r="KA21" i="83"/>
  <c r="KA24" i="83" s="1"/>
  <c r="KA26" i="83" s="1"/>
  <c r="KA22" i="83"/>
  <c r="JZ20" i="695"/>
  <c r="JZ23" i="695" s="1"/>
  <c r="JZ18" i="695"/>
  <c r="JZ31" i="695" s="1"/>
  <c r="JZ21" i="695"/>
  <c r="JZ24" i="695" s="1"/>
  <c r="JZ26" i="695" s="1"/>
  <c r="JZ19" i="695"/>
  <c r="JZ27" i="695" s="1"/>
  <c r="JZ22" i="695"/>
  <c r="JZ28" i="695"/>
  <c r="JZ30" i="695"/>
  <c r="IS25" i="83"/>
  <c r="IS30" i="83"/>
  <c r="IS33" i="83"/>
  <c r="ON3" i="83"/>
  <c r="LL3" i="83"/>
  <c r="KR9" i="83"/>
  <c r="KR10" i="83"/>
  <c r="KR11" i="83"/>
  <c r="KR12" i="83"/>
  <c r="KR13" i="83"/>
  <c r="KR14" i="83"/>
  <c r="KR15" i="83"/>
  <c r="KR16" i="83"/>
  <c r="KR17" i="83"/>
  <c r="KR7" i="83"/>
  <c r="KR8" i="83"/>
  <c r="JZ18" i="83"/>
  <c r="JZ32" i="83" s="1"/>
  <c r="JZ19" i="83"/>
  <c r="JZ27" i="83" s="1"/>
  <c r="JZ20" i="83"/>
  <c r="JZ23" i="83" s="1"/>
  <c r="JZ21" i="83"/>
  <c r="JZ24" i="83" s="1"/>
  <c r="JZ26" i="83" s="1"/>
  <c r="JZ22" i="83"/>
  <c r="IS29" i="695"/>
  <c r="IS25" i="695"/>
  <c r="IS32" i="695"/>
  <c r="OC3" i="83"/>
  <c r="LA3" i="83"/>
  <c r="KG9" i="83"/>
  <c r="KG29" i="83" s="1"/>
  <c r="KG10" i="83"/>
  <c r="KG11" i="83"/>
  <c r="KG12" i="83"/>
  <c r="KG13" i="83"/>
  <c r="KG14" i="83"/>
  <c r="KG15" i="83"/>
  <c r="KG16" i="83"/>
  <c r="KG17" i="83"/>
  <c r="LK3" i="695"/>
  <c r="KQ7" i="695"/>
  <c r="KQ9" i="695"/>
  <c r="KQ10" i="695"/>
  <c r="KQ11" i="695"/>
  <c r="KQ12" i="695"/>
  <c r="KQ13" i="695"/>
  <c r="KQ14" i="695"/>
  <c r="KQ15" i="695"/>
  <c r="KQ16" i="695"/>
  <c r="KQ17" i="695"/>
  <c r="KQ8" i="695"/>
  <c r="LH3" i="695"/>
  <c r="KN7" i="695"/>
  <c r="KN9" i="695"/>
  <c r="KN10" i="695"/>
  <c r="KN11" i="695"/>
  <c r="KN12" i="695"/>
  <c r="KN13" i="695"/>
  <c r="KN14" i="695"/>
  <c r="KN15" i="695"/>
  <c r="KN16" i="695"/>
  <c r="KN17" i="695"/>
  <c r="KN8" i="695"/>
  <c r="NY9" i="83"/>
  <c r="NY10" i="83"/>
  <c r="NY11" i="83"/>
  <c r="NY12" i="83"/>
  <c r="NY13" i="83"/>
  <c r="NY14" i="83"/>
  <c r="NY15" i="83"/>
  <c r="NY16" i="83"/>
  <c r="NY17" i="83"/>
  <c r="NY7" i="83"/>
  <c r="NY8" i="83"/>
  <c r="KB29" i="83"/>
  <c r="KB31" i="83"/>
  <c r="LR3" i="695"/>
  <c r="KX7" i="695"/>
  <c r="KX9" i="695"/>
  <c r="KX10" i="695"/>
  <c r="KX11" i="695"/>
  <c r="KX12" i="695"/>
  <c r="KX13" i="695"/>
  <c r="KX14" i="695"/>
  <c r="KX15" i="695"/>
  <c r="KX16" i="695"/>
  <c r="KX17" i="695"/>
  <c r="KX8" i="695"/>
  <c r="JX18" i="695"/>
  <c r="JX31" i="695" s="1"/>
  <c r="JX21" i="695"/>
  <c r="JX24" i="695" s="1"/>
  <c r="JX26" i="695" s="1"/>
  <c r="JX19" i="695"/>
  <c r="JX27" i="695" s="1"/>
  <c r="JX20" i="695"/>
  <c r="JX23" i="695" s="1"/>
  <c r="JX22" i="695"/>
  <c r="JC25" i="695"/>
  <c r="JC29" i="695"/>
  <c r="JC32" i="695"/>
  <c r="NK9" i="83"/>
  <c r="NK10" i="83"/>
  <c r="NK11" i="83"/>
  <c r="NK12" i="83"/>
  <c r="NK13" i="83"/>
  <c r="NK14" i="83"/>
  <c r="NK15" i="83"/>
  <c r="NK16" i="83"/>
  <c r="NK17" i="83"/>
  <c r="NK7" i="83"/>
  <c r="NK8" i="83"/>
  <c r="NQ9" i="83"/>
  <c r="NQ10" i="83"/>
  <c r="NQ11" i="83"/>
  <c r="NQ12" i="83"/>
  <c r="NQ13" i="83"/>
  <c r="NQ14" i="83"/>
  <c r="NQ15" i="83"/>
  <c r="NQ16" i="83"/>
  <c r="NQ17" i="83"/>
  <c r="NQ7" i="83"/>
  <c r="NQ8" i="83"/>
  <c r="NR9" i="83"/>
  <c r="NR10" i="83"/>
  <c r="NR11" i="83"/>
  <c r="NR12" i="83"/>
  <c r="NR13" i="83"/>
  <c r="NR14" i="83"/>
  <c r="NR15" i="83"/>
  <c r="NR16" i="83"/>
  <c r="NR17" i="83"/>
  <c r="NR7" i="83"/>
  <c r="NR8" i="83"/>
  <c r="OO3" i="83"/>
  <c r="LM3" i="83"/>
  <c r="KS9" i="83"/>
  <c r="KS10" i="83"/>
  <c r="KS11" i="83"/>
  <c r="KS12" i="83"/>
  <c r="KS13" i="83"/>
  <c r="KS14" i="83"/>
  <c r="KS15" i="83"/>
  <c r="KS16" i="83"/>
  <c r="KS17" i="83"/>
  <c r="KS7" i="83"/>
  <c r="KS8" i="83"/>
  <c r="JO28" i="695"/>
  <c r="JO30" i="695"/>
  <c r="KD29" i="83"/>
  <c r="KD31" i="83"/>
  <c r="NJ9" i="83"/>
  <c r="NJ10" i="83"/>
  <c r="NJ11" i="83"/>
  <c r="NJ12" i="83"/>
  <c r="NJ13" i="83"/>
  <c r="NJ14" i="83"/>
  <c r="NJ15" i="83"/>
  <c r="NJ16" i="83"/>
  <c r="NJ17" i="83"/>
  <c r="NJ7" i="83"/>
  <c r="NJ8" i="83"/>
  <c r="IY29" i="695"/>
  <c r="IY25" i="695"/>
  <c r="IY32" i="695"/>
  <c r="JG29" i="695"/>
  <c r="JG25" i="695"/>
  <c r="JG32" i="695"/>
  <c r="JH25" i="695"/>
  <c r="JH29" i="695"/>
  <c r="JH32" i="695"/>
  <c r="JI25" i="695"/>
  <c r="JI29" i="695"/>
  <c r="JI32" i="695"/>
  <c r="JB25" i="83"/>
  <c r="JB30" i="83"/>
  <c r="JB33" i="83"/>
  <c r="IT25" i="83"/>
  <c r="IT30" i="83"/>
  <c r="IT33" i="83"/>
  <c r="KE18" i="83"/>
  <c r="KE32" i="83" s="1"/>
  <c r="KE19" i="83"/>
  <c r="KE27" i="83" s="1"/>
  <c r="KE21" i="83"/>
  <c r="KE24" i="83" s="1"/>
  <c r="KE26" i="83" s="1"/>
  <c r="KE20" i="83"/>
  <c r="KE23" i="83" s="1"/>
  <c r="KE22" i="83"/>
  <c r="JM29" i="83"/>
  <c r="JW29" i="83"/>
  <c r="JW31" i="83"/>
  <c r="JT29" i="83"/>
  <c r="JT31" i="83"/>
  <c r="JP18" i="695"/>
  <c r="JP31" i="695" s="1"/>
  <c r="JP21" i="695"/>
  <c r="JP24" i="695" s="1"/>
  <c r="JP26" i="695" s="1"/>
  <c r="JP19" i="695"/>
  <c r="JP27" i="695" s="1"/>
  <c r="JP20" i="695"/>
  <c r="JP23" i="695" s="1"/>
  <c r="JP22" i="695"/>
  <c r="IW25" i="83"/>
  <c r="IW30" i="83"/>
  <c r="IW33" i="83"/>
  <c r="KB20" i="695"/>
  <c r="KB23" i="695" s="1"/>
  <c r="KB18" i="695"/>
  <c r="KB31" i="695" s="1"/>
  <c r="KB19" i="695"/>
  <c r="KB27" i="695" s="1"/>
  <c r="KB21" i="695"/>
  <c r="KB24" i="695" s="1"/>
  <c r="KB26" i="695" s="1"/>
  <c r="KB22" i="695"/>
  <c r="LN3" i="695"/>
  <c r="KT7" i="695"/>
  <c r="KT9" i="695"/>
  <c r="KT10" i="695"/>
  <c r="KT11" i="695"/>
  <c r="KT12" i="695"/>
  <c r="KT13" i="695"/>
  <c r="KT14" i="695"/>
  <c r="KT15" i="695"/>
  <c r="KT16" i="695"/>
  <c r="KT17" i="695"/>
  <c r="KT8" i="695"/>
  <c r="JZ29" i="83"/>
  <c r="JZ31" i="83"/>
  <c r="KF18" i="83"/>
  <c r="KF32" i="83" s="1"/>
  <c r="KF19" i="83"/>
  <c r="KF27" i="83" s="1"/>
  <c r="KF22" i="83"/>
  <c r="KF20" i="83"/>
  <c r="KF23" i="83" s="1"/>
  <c r="KF21" i="83"/>
  <c r="KF24" i="83" s="1"/>
  <c r="KF26" i="83" s="1"/>
  <c r="JU28" i="695"/>
  <c r="JU30" i="695"/>
  <c r="JW18" i="83"/>
  <c r="JW32" i="83" s="1"/>
  <c r="JW19" i="83"/>
  <c r="JW27" i="83" s="1"/>
  <c r="JW21" i="83"/>
  <c r="JW24" i="83" s="1"/>
  <c r="JW26" i="83" s="1"/>
  <c r="JW20" i="83"/>
  <c r="JW23" i="83" s="1"/>
  <c r="JW22" i="83"/>
  <c r="JT18" i="83"/>
  <c r="JT32" i="83" s="1"/>
  <c r="JT19" i="83"/>
  <c r="JT27" i="83" s="1"/>
  <c r="JT21" i="83"/>
  <c r="JT24" i="83" s="1"/>
  <c r="JT26" i="83" s="1"/>
  <c r="JT20" i="83"/>
  <c r="JT23" i="83" s="1"/>
  <c r="JT22" i="83"/>
  <c r="JE25" i="695"/>
  <c r="JE29" i="695"/>
  <c r="JE32" i="695"/>
  <c r="JR20" i="695"/>
  <c r="JR23" i="695" s="1"/>
  <c r="JR18" i="695"/>
  <c r="JR31" i="695" s="1"/>
  <c r="JR21" i="695"/>
  <c r="JR24" i="695" s="1"/>
  <c r="JR26" i="695" s="1"/>
  <c r="JR19" i="695"/>
  <c r="JR27" i="695" s="1"/>
  <c r="JR22" i="695"/>
  <c r="OE3" i="83"/>
  <c r="LC3" i="83"/>
  <c r="KI9" i="83"/>
  <c r="KI10" i="83"/>
  <c r="KI11" i="83"/>
  <c r="KI12" i="83"/>
  <c r="KI13" i="83"/>
  <c r="KI14" i="83"/>
  <c r="KI15" i="83"/>
  <c r="KI16" i="83"/>
  <c r="KI17" i="83"/>
  <c r="KI7" i="83"/>
  <c r="KI8" i="83"/>
  <c r="LI3" i="83"/>
  <c r="OK3" i="83"/>
  <c r="KO9" i="83"/>
  <c r="KO10" i="83"/>
  <c r="KO11" i="83"/>
  <c r="KO12" i="83"/>
  <c r="KO13" i="83"/>
  <c r="KO14" i="83"/>
  <c r="KO15" i="83"/>
  <c r="KO16" i="83"/>
  <c r="KO17" i="83"/>
  <c r="KO7" i="83"/>
  <c r="KO8" i="83"/>
  <c r="OL3" i="83"/>
  <c r="LJ3" i="83"/>
  <c r="KP9" i="83"/>
  <c r="KP10" i="83"/>
  <c r="KP11" i="83"/>
  <c r="KP12" i="83"/>
  <c r="KP13" i="83"/>
  <c r="KP14" i="83"/>
  <c r="KP15" i="83"/>
  <c r="KP16" i="83"/>
  <c r="KP17" i="83"/>
  <c r="KP7" i="83"/>
  <c r="KP8" i="83"/>
  <c r="KA20" i="695"/>
  <c r="KA23" i="695" s="1"/>
  <c r="KA18" i="695"/>
  <c r="KA31" i="695" s="1"/>
  <c r="KA19" i="695"/>
  <c r="KA27" i="695" s="1"/>
  <c r="KA21" i="695"/>
  <c r="KA24" i="695" s="1"/>
  <c r="KA26" i="695" s="1"/>
  <c r="KA22" i="695"/>
  <c r="NU9" i="83"/>
  <c r="NU10" i="83"/>
  <c r="NU11" i="83"/>
  <c r="NU12" i="83"/>
  <c r="NU13" i="83"/>
  <c r="NU14" i="83"/>
  <c r="NU15" i="83"/>
  <c r="NU16" i="83"/>
  <c r="NU17" i="83"/>
  <c r="NU7" i="83"/>
  <c r="NU8" i="83"/>
  <c r="LC3" i="695"/>
  <c r="KI7" i="695"/>
  <c r="KI9" i="695"/>
  <c r="KI10" i="695"/>
  <c r="KI11" i="695"/>
  <c r="KI12" i="695"/>
  <c r="KI13" i="695"/>
  <c r="KI14" i="695"/>
  <c r="KI15" i="695"/>
  <c r="KI16" i="695"/>
  <c r="KI17" i="695"/>
  <c r="KI8" i="695"/>
  <c r="JH25" i="83"/>
  <c r="JH30" i="83"/>
  <c r="JH33" i="83"/>
  <c r="OD3" i="83"/>
  <c r="LB3" i="83"/>
  <c r="KH9" i="83"/>
  <c r="KH10" i="83"/>
  <c r="KH11" i="83"/>
  <c r="KH12" i="83"/>
  <c r="KH13" i="83"/>
  <c r="KH14" i="83"/>
  <c r="KH15" i="83"/>
  <c r="KH16" i="83"/>
  <c r="KH17" i="83"/>
  <c r="KH7" i="83"/>
  <c r="KH8" i="83"/>
  <c r="JN19" i="695"/>
  <c r="JN27" i="695" s="1"/>
  <c r="JN20" i="695"/>
  <c r="JN23" i="695" s="1"/>
  <c r="JN18" i="695"/>
  <c r="JN31" i="695" s="1"/>
  <c r="JN22" i="695"/>
  <c r="JN21" i="695"/>
  <c r="JN24" i="695" s="1"/>
  <c r="JN26" i="695" s="1"/>
  <c r="JL20" i="695"/>
  <c r="JL23" i="695" s="1"/>
  <c r="JL18" i="695"/>
  <c r="JL31" i="695" s="1"/>
  <c r="JL19" i="695"/>
  <c r="JL27" i="695" s="1"/>
  <c r="JL21" i="695"/>
  <c r="JL24" i="695" s="1"/>
  <c r="JL26" i="695" s="1"/>
  <c r="JL22" i="695"/>
  <c r="JJ25" i="83"/>
  <c r="JJ30" i="83"/>
  <c r="JJ33" i="83"/>
  <c r="KE29" i="83"/>
  <c r="KE31" i="83"/>
  <c r="JK22" i="695"/>
  <c r="JX28" i="695"/>
  <c r="JX30" i="695"/>
  <c r="W21" i="27" a="1"/>
  <c r="W21" i="27" s="1"/>
  <c r="X22" i="27"/>
  <c r="JG25" i="83"/>
  <c r="JG30" i="83"/>
  <c r="JG33" i="83"/>
  <c r="IT25" i="695"/>
  <c r="IT29" i="695"/>
  <c r="IT32" i="695"/>
  <c r="NV9" i="83"/>
  <c r="NV10" i="83"/>
  <c r="NV11" i="83"/>
  <c r="NV12" i="83"/>
  <c r="NV13" i="83"/>
  <c r="NV14" i="83"/>
  <c r="NV15" i="83"/>
  <c r="NV16" i="83"/>
  <c r="NV17" i="83"/>
  <c r="NV7" i="83"/>
  <c r="NV8" i="83"/>
  <c r="JQ29" i="83"/>
  <c r="JQ31" i="83"/>
  <c r="LP3" i="83"/>
  <c r="OR3" i="83"/>
  <c r="KV9" i="83"/>
  <c r="KV10" i="83"/>
  <c r="KV11" i="83"/>
  <c r="KV12" i="83"/>
  <c r="KV13" i="83"/>
  <c r="KV14" i="83"/>
  <c r="KV15" i="83"/>
  <c r="KV16" i="83"/>
  <c r="KV17" i="83"/>
  <c r="KV7" i="83"/>
  <c r="KV8" i="83"/>
  <c r="LL3" i="695"/>
  <c r="KR7" i="695"/>
  <c r="KR9" i="695"/>
  <c r="KR10" i="695"/>
  <c r="KR11" i="695"/>
  <c r="KR12" i="695"/>
  <c r="KR13" i="695"/>
  <c r="KR14" i="695"/>
  <c r="KR15" i="695"/>
  <c r="KR16" i="695"/>
  <c r="KR17" i="695"/>
  <c r="KR8" i="695"/>
  <c r="JF25" i="695"/>
  <c r="JF29" i="695"/>
  <c r="JF32" i="695"/>
  <c r="JR28" i="695"/>
  <c r="JR30" i="695"/>
  <c r="IY25" i="83"/>
  <c r="IY30" i="83"/>
  <c r="IY33" i="83"/>
  <c r="KA29" i="83"/>
  <c r="KA31" i="83"/>
  <c r="JR29" i="83"/>
  <c r="JR31" i="83"/>
  <c r="KA28" i="695"/>
  <c r="KA30" i="695"/>
  <c r="JI25" i="83"/>
  <c r="JI30" i="83"/>
  <c r="JI33" i="83"/>
  <c r="OT3" i="83"/>
  <c r="LR3" i="83"/>
  <c r="KX9" i="83"/>
  <c r="KX10" i="83"/>
  <c r="KX11" i="83"/>
  <c r="KX12" i="83"/>
  <c r="KX13" i="83"/>
  <c r="KX14" i="83"/>
  <c r="KX15" i="83"/>
  <c r="KX16" i="83"/>
  <c r="KX17" i="83"/>
  <c r="KX7" i="83"/>
  <c r="KX8" i="83"/>
  <c r="JN28" i="695"/>
  <c r="JN30" i="695"/>
  <c r="IU25" i="695"/>
  <c r="IU29" i="695"/>
  <c r="IU32" i="695"/>
  <c r="JA25" i="83"/>
  <c r="JA30" i="83"/>
  <c r="JA33" i="83"/>
  <c r="JP29" i="83"/>
  <c r="JP31" i="83"/>
  <c r="JL28" i="695"/>
  <c r="JL30" i="695"/>
  <c r="JD25" i="695"/>
  <c r="JD29" i="695"/>
  <c r="JD32" i="695"/>
  <c r="JS18" i="83"/>
  <c r="JS32" i="83" s="1"/>
  <c r="JS19" i="83"/>
  <c r="JS27" i="83" s="1"/>
  <c r="JS20" i="83"/>
  <c r="JS23" i="83" s="1"/>
  <c r="JS21" i="83"/>
  <c r="JS24" i="83" s="1"/>
  <c r="JS26" i="83" s="1"/>
  <c r="JS22" i="83"/>
  <c r="OA9" i="83"/>
  <c r="OA10" i="83"/>
  <c r="OA11" i="83"/>
  <c r="OA12" i="83"/>
  <c r="OA13" i="83"/>
  <c r="OA14" i="83"/>
  <c r="OA15" i="83"/>
  <c r="OA16" i="83"/>
  <c r="OA17" i="83"/>
  <c r="OA7" i="83"/>
  <c r="OA8" i="83"/>
  <c r="JM20" i="83"/>
  <c r="JM23" i="83" s="1"/>
  <c r="JK19" i="695"/>
  <c r="JK27" i="695" s="1"/>
  <c r="NX9" i="83"/>
  <c r="NX10" i="83"/>
  <c r="NX11" i="83"/>
  <c r="NX12" i="83"/>
  <c r="NX13" i="83"/>
  <c r="NX14" i="83"/>
  <c r="NX15" i="83"/>
  <c r="NX16" i="83"/>
  <c r="NX17" i="83"/>
  <c r="NX7" i="83"/>
  <c r="NX8" i="83"/>
  <c r="JM19" i="695"/>
  <c r="JM27" i="695" s="1"/>
  <c r="JM20" i="695"/>
  <c r="JM23" i="695" s="1"/>
  <c r="JM18" i="695"/>
  <c r="JM31" i="695" s="1"/>
  <c r="JM22" i="695"/>
  <c r="JM21" i="695"/>
  <c r="JM24" i="695" s="1"/>
  <c r="JM26" i="695" s="1"/>
  <c r="JL25" i="83"/>
  <c r="JL30" i="83"/>
  <c r="JL33" i="83"/>
  <c r="JX18" i="83"/>
  <c r="JX32" i="83" s="1"/>
  <c r="JX19" i="83"/>
  <c r="JX27" i="83" s="1"/>
  <c r="JX21" i="83"/>
  <c r="JX24" i="83" s="1"/>
  <c r="JX26" i="83" s="1"/>
  <c r="JX22" i="83"/>
  <c r="JX20" i="83"/>
  <c r="JX23" i="83" s="1"/>
  <c r="JY18" i="695"/>
  <c r="JY31" i="695" s="1"/>
  <c r="JY21" i="695"/>
  <c r="JY24" i="695" s="1"/>
  <c r="JY26" i="695" s="1"/>
  <c r="JY19" i="695"/>
  <c r="JY27" i="695" s="1"/>
  <c r="JY20" i="695"/>
  <c r="JY23" i="695" s="1"/>
  <c r="JY22" i="695"/>
  <c r="OP3" i="83"/>
  <c r="LN3" i="83"/>
  <c r="KT9" i="83"/>
  <c r="KT10" i="83"/>
  <c r="KT11" i="83"/>
  <c r="KT12" i="83"/>
  <c r="KT13" i="83"/>
  <c r="KT14" i="83"/>
  <c r="KT15" i="83"/>
  <c r="KT16" i="83"/>
  <c r="KT17" i="83"/>
  <c r="KT7" i="83"/>
  <c r="KT8" i="83"/>
  <c r="OB9" i="83"/>
  <c r="OB10" i="83"/>
  <c r="OB11" i="83"/>
  <c r="OB12" i="83"/>
  <c r="OB13" i="83"/>
  <c r="OB14" i="83"/>
  <c r="OB15" i="83"/>
  <c r="OB16" i="83"/>
  <c r="OB17" i="83"/>
  <c r="OB7" i="83"/>
  <c r="OB8" i="83"/>
  <c r="NS9" i="83"/>
  <c r="NS10" i="83"/>
  <c r="NS11" i="83"/>
  <c r="NS12" i="83"/>
  <c r="NS13" i="83"/>
  <c r="NS14" i="83"/>
  <c r="NS15" i="83"/>
  <c r="NS16" i="83"/>
  <c r="NS17" i="83"/>
  <c r="NS7" i="83"/>
  <c r="NS8" i="83"/>
  <c r="KC18" i="83"/>
  <c r="KC32" i="83" s="1"/>
  <c r="KC21" i="83"/>
  <c r="KC24" i="83" s="1"/>
  <c r="KC26" i="83" s="1"/>
  <c r="KC19" i="83"/>
  <c r="KC27" i="83" s="1"/>
  <c r="KC20" i="83"/>
  <c r="KC23" i="83" s="1"/>
  <c r="KC22" i="83"/>
  <c r="NP9" i="83"/>
  <c r="NP10" i="83"/>
  <c r="NP11" i="83"/>
  <c r="NP12" i="83"/>
  <c r="NP13" i="83"/>
  <c r="NP14" i="83"/>
  <c r="NP15" i="83"/>
  <c r="NP16" i="83"/>
  <c r="NP17" i="83"/>
  <c r="NP7" i="83"/>
  <c r="NP8" i="83"/>
  <c r="LF3" i="695"/>
  <c r="KL7" i="695"/>
  <c r="KL9" i="695"/>
  <c r="KL10" i="695"/>
  <c r="KL11" i="695"/>
  <c r="KL12" i="695"/>
  <c r="KL13" i="695"/>
  <c r="KL14" i="695"/>
  <c r="KL15" i="695"/>
  <c r="KL16" i="695"/>
  <c r="KL17" i="695"/>
  <c r="KL8" i="695"/>
  <c r="JP28" i="695"/>
  <c r="JP30" i="695"/>
  <c r="JS28" i="695"/>
  <c r="JS30" i="695"/>
  <c r="JQ18" i="695"/>
  <c r="JQ31" i="695" s="1"/>
  <c r="JQ21" i="695"/>
  <c r="JQ24" i="695" s="1"/>
  <c r="JQ26" i="695" s="1"/>
  <c r="JQ19" i="695"/>
  <c r="JQ27" i="695" s="1"/>
  <c r="JQ20" i="695"/>
  <c r="JQ23" i="695" s="1"/>
  <c r="JQ22" i="695"/>
  <c r="LO3" i="695"/>
  <c r="KU7" i="695"/>
  <c r="KU9" i="695"/>
  <c r="KU10" i="695"/>
  <c r="KU11" i="695"/>
  <c r="KU12" i="695"/>
  <c r="KU13" i="695"/>
  <c r="KU14" i="695"/>
  <c r="KU15" i="695"/>
  <c r="KU16" i="695"/>
  <c r="KU17" i="695"/>
  <c r="KU8" i="695"/>
  <c r="KB28" i="695"/>
  <c r="KB30" i="695"/>
  <c r="KC19" i="695"/>
  <c r="KC27" i="695" s="1"/>
  <c r="KC20" i="695"/>
  <c r="KC23" i="695" s="1"/>
  <c r="KC18" i="695"/>
  <c r="KC31" i="695" s="1"/>
  <c r="KC22" i="695"/>
  <c r="KC21" i="695"/>
  <c r="KC24" i="695" s="1"/>
  <c r="KC26" i="695" s="1"/>
  <c r="IW25" i="695"/>
  <c r="IW29" i="695"/>
  <c r="IW32" i="695"/>
  <c r="LB3" i="695"/>
  <c r="KH7" i="695"/>
  <c r="KH9" i="695"/>
  <c r="KH10" i="695"/>
  <c r="KH11" i="695"/>
  <c r="KH12" i="695"/>
  <c r="KH13" i="695"/>
  <c r="KH14" i="695"/>
  <c r="KH15" i="695"/>
  <c r="KH16" i="695"/>
  <c r="KH17" i="695"/>
  <c r="KH8" i="695"/>
  <c r="JM28" i="695"/>
  <c r="JM30" i="695"/>
  <c r="JE25" i="83"/>
  <c r="JE30" i="83"/>
  <c r="JE33" i="83"/>
  <c r="KZ3" i="695"/>
  <c r="KF7" i="695"/>
  <c r="KF9" i="695"/>
  <c r="KF10" i="695"/>
  <c r="KF11" i="695"/>
  <c r="KF12" i="695"/>
  <c r="KF13" i="695"/>
  <c r="KF14" i="695"/>
  <c r="KF15" i="695"/>
  <c r="KF16" i="695"/>
  <c r="KF17" i="695"/>
  <c r="KF8" i="695"/>
  <c r="JV19" i="695"/>
  <c r="JV27" i="695" s="1"/>
  <c r="JV20" i="695"/>
  <c r="JV23" i="695" s="1"/>
  <c r="JV18" i="695"/>
  <c r="JV31" i="695" s="1"/>
  <c r="JV22" i="695"/>
  <c r="JV21" i="695"/>
  <c r="JV24" i="695" s="1"/>
  <c r="JV26" i="695" s="1"/>
  <c r="JS29" i="83"/>
  <c r="JS31" i="83"/>
  <c r="LS3" i="83"/>
  <c r="OU3" i="83"/>
  <c r="KY9" i="83"/>
  <c r="KY10" i="83"/>
  <c r="KY11" i="83"/>
  <c r="KY12" i="83"/>
  <c r="KY13" i="83"/>
  <c r="KY14" i="83"/>
  <c r="KY15" i="83"/>
  <c r="KY16" i="83"/>
  <c r="KY17" i="83"/>
  <c r="KY7" i="83"/>
  <c r="KY8" i="83"/>
  <c r="JM19" i="83"/>
  <c r="JM27" i="83" s="1"/>
  <c r="JK18" i="695"/>
  <c r="JK31" i="695" s="1"/>
  <c r="KF29" i="83"/>
  <c r="KF31" i="83"/>
  <c r="JP18" i="83"/>
  <c r="JP32" i="83" s="1"/>
  <c r="JP19" i="83"/>
  <c r="JP27" i="83" s="1"/>
  <c r="JP22" i="83"/>
  <c r="JP20" i="83"/>
  <c r="JP23" i="83" s="1"/>
  <c r="JP21" i="83"/>
  <c r="JP24" i="83" s="1"/>
  <c r="JP26" i="83" s="1"/>
  <c r="JX29" i="83"/>
  <c r="JX31" i="83"/>
  <c r="OG3" i="83"/>
  <c r="LE3" i="83"/>
  <c r="KK9" i="83"/>
  <c r="KK10" i="83"/>
  <c r="KK11" i="83"/>
  <c r="KK12" i="83"/>
  <c r="KK13" i="83"/>
  <c r="KK14" i="83"/>
  <c r="KK15" i="83"/>
  <c r="KK16" i="83"/>
  <c r="KK17" i="83"/>
  <c r="KK7" i="83"/>
  <c r="KK8" i="83"/>
  <c r="OV3" i="83"/>
  <c r="LT3" i="83"/>
  <c r="KZ9" i="83"/>
  <c r="KZ10" i="83"/>
  <c r="KZ11" i="83"/>
  <c r="KZ12" i="83"/>
  <c r="KZ13" i="83"/>
  <c r="KZ14" i="83"/>
  <c r="KZ15" i="83"/>
  <c r="KZ16" i="83"/>
  <c r="KZ17" i="83"/>
  <c r="KZ7" i="83"/>
  <c r="KZ8" i="83"/>
  <c r="JW21" i="695"/>
  <c r="JW24" i="695" s="1"/>
  <c r="JW26" i="695" s="1"/>
  <c r="JW19" i="695"/>
  <c r="JW27" i="695" s="1"/>
  <c r="JW18" i="695"/>
  <c r="JW31" i="695" s="1"/>
  <c r="JW22" i="695"/>
  <c r="JW20" i="695"/>
  <c r="JW23" i="695" s="1"/>
  <c r="JT20" i="695"/>
  <c r="JT23" i="695" s="1"/>
  <c r="JT18" i="695"/>
  <c r="JT31" i="695" s="1"/>
  <c r="JT19" i="695"/>
  <c r="JT27" i="695" s="1"/>
  <c r="JT21" i="695"/>
  <c r="JT24" i="695" s="1"/>
  <c r="JT26" i="695" s="1"/>
  <c r="JT22" i="695"/>
  <c r="OM3" i="83"/>
  <c r="LK3" i="83"/>
  <c r="KQ9" i="83"/>
  <c r="KQ10" i="83"/>
  <c r="KQ11" i="83"/>
  <c r="KQ12" i="83"/>
  <c r="KQ13" i="83"/>
  <c r="KQ14" i="83"/>
  <c r="KQ15" i="83"/>
  <c r="KQ16" i="83"/>
  <c r="KQ17" i="83"/>
  <c r="KQ7" i="83"/>
  <c r="KQ8" i="83"/>
  <c r="KC29" i="83"/>
  <c r="KC31" i="83"/>
  <c r="IV25" i="83"/>
  <c r="IV30" i="83"/>
  <c r="IV33" i="83"/>
  <c r="KD19" i="695"/>
  <c r="KD27" i="695" s="1"/>
  <c r="KD20" i="695"/>
  <c r="KD23" i="695" s="1"/>
  <c r="KD18" i="695"/>
  <c r="KD31" i="695" s="1"/>
  <c r="KD22" i="695"/>
  <c r="KD21" i="695"/>
  <c r="KD24" i="695" s="1"/>
  <c r="KD26" i="695" s="1"/>
  <c r="LH3" i="83"/>
  <c r="OJ3" i="83"/>
  <c r="KN9" i="83"/>
  <c r="KN10" i="83"/>
  <c r="KN11" i="83"/>
  <c r="KN12" i="83"/>
  <c r="KN13" i="83"/>
  <c r="KN14" i="83"/>
  <c r="KN15" i="83"/>
  <c r="KN16" i="83"/>
  <c r="KN17" i="83"/>
  <c r="KN7" i="83"/>
  <c r="KN8" i="83"/>
  <c r="LD3" i="695"/>
  <c r="KJ7" i="695"/>
  <c r="KJ9" i="695"/>
  <c r="KJ10" i="695"/>
  <c r="KJ11" i="695"/>
  <c r="KJ12" i="695"/>
  <c r="KJ13" i="695"/>
  <c r="KJ14" i="695"/>
  <c r="KJ15" i="695"/>
  <c r="KJ16" i="695"/>
  <c r="KJ17" i="695"/>
  <c r="KJ8" i="695"/>
  <c r="JD25" i="83"/>
  <c r="JD30" i="83"/>
  <c r="JD33" i="83"/>
  <c r="JO18" i="83"/>
  <c r="JO32" i="83" s="1"/>
  <c r="JO19" i="83"/>
  <c r="JO27" i="83" s="1"/>
  <c r="JO21" i="83"/>
  <c r="JO24" i="83" s="1"/>
  <c r="JO26" i="83" s="1"/>
  <c r="JO20" i="83"/>
  <c r="JO23" i="83" s="1"/>
  <c r="JO22" i="83"/>
  <c r="JU18" i="83"/>
  <c r="JU32" i="83" s="1"/>
  <c r="JU21" i="83"/>
  <c r="JU24" i="83" s="1"/>
  <c r="JU26" i="83" s="1"/>
  <c r="JU19" i="83"/>
  <c r="JU27" i="83" s="1"/>
  <c r="JU20" i="83"/>
  <c r="JU23" i="83" s="1"/>
  <c r="JU22" i="83"/>
  <c r="NW9" i="83"/>
  <c r="NW10" i="83"/>
  <c r="NW11" i="83"/>
  <c r="NW12" i="83"/>
  <c r="NW13" i="83"/>
  <c r="NW14" i="83"/>
  <c r="NW15" i="83"/>
  <c r="NW16" i="83"/>
  <c r="NW17" i="83"/>
  <c r="NW7" i="83"/>
  <c r="NW8" i="83"/>
  <c r="NN9" i="83"/>
  <c r="NN10" i="83"/>
  <c r="NN11" i="83"/>
  <c r="NN12" i="83"/>
  <c r="NN13" i="83"/>
  <c r="NN14" i="83"/>
  <c r="NN15" i="83"/>
  <c r="NN16" i="83"/>
  <c r="NN17" i="83"/>
  <c r="NN7" i="83"/>
  <c r="NN8" i="83"/>
  <c r="JV18" i="83"/>
  <c r="JV32" i="83" s="1"/>
  <c r="JV19" i="83"/>
  <c r="JV27" i="83" s="1"/>
  <c r="JV21" i="83"/>
  <c r="JV24" i="83" s="1"/>
  <c r="JV26" i="83" s="1"/>
  <c r="JV20" i="83"/>
  <c r="JV23" i="83" s="1"/>
  <c r="JV22" i="83"/>
  <c r="LG3" i="695"/>
  <c r="KM7" i="695"/>
  <c r="KM9" i="695"/>
  <c r="KM10" i="695"/>
  <c r="KM11" i="695"/>
  <c r="KM12" i="695"/>
  <c r="KM13" i="695"/>
  <c r="KM14" i="695"/>
  <c r="KM15" i="695"/>
  <c r="KM16" i="695"/>
  <c r="KM17" i="695"/>
  <c r="KM8" i="695"/>
  <c r="JY18" i="83"/>
  <c r="JY32" i="83" s="1"/>
  <c r="JY19" i="83"/>
  <c r="JY27" i="83" s="1"/>
  <c r="JY20" i="83"/>
  <c r="JY23" i="83" s="1"/>
  <c r="JY21" i="83"/>
  <c r="JY24" i="83" s="1"/>
  <c r="JY26" i="83" s="1"/>
  <c r="JY22" i="83"/>
  <c r="LP3" i="695"/>
  <c r="KV7" i="695"/>
  <c r="KV9" i="695"/>
  <c r="KV10" i="695"/>
  <c r="KV11" i="695"/>
  <c r="KV12" i="695"/>
  <c r="KV13" i="695"/>
  <c r="KV14" i="695"/>
  <c r="KV15" i="695"/>
  <c r="KV16" i="695"/>
  <c r="KV17" i="695"/>
  <c r="KV8" i="695"/>
  <c r="IX25" i="695"/>
  <c r="IX29" i="695"/>
  <c r="IX32" i="695"/>
  <c r="JN18" i="83"/>
  <c r="JN32" i="83" s="1"/>
  <c r="JN19" i="83"/>
  <c r="JN27" i="83" s="1"/>
  <c r="JN21" i="83"/>
  <c r="JN24" i="83" s="1"/>
  <c r="JN26" i="83" s="1"/>
  <c r="JN20" i="83"/>
  <c r="JN23" i="83" s="1"/>
  <c r="JN22" i="83"/>
  <c r="LA3" i="695"/>
  <c r="KG7" i="695"/>
  <c r="KG9" i="695"/>
  <c r="KG10" i="695"/>
  <c r="KG11" i="695"/>
  <c r="KG12" i="695"/>
  <c r="KG13" i="695"/>
  <c r="KG14" i="695"/>
  <c r="KG15" i="695"/>
  <c r="KG16" i="695"/>
  <c r="KG17" i="695"/>
  <c r="KG8" i="695"/>
  <c r="OF3" i="83"/>
  <c r="LD3" i="83"/>
  <c r="KJ9" i="83"/>
  <c r="KJ10" i="83"/>
  <c r="KJ11" i="83"/>
  <c r="KJ12" i="83"/>
  <c r="KJ13" i="83"/>
  <c r="KJ14" i="83"/>
  <c r="KJ15" i="83"/>
  <c r="KJ16" i="83"/>
  <c r="KJ17" i="83"/>
  <c r="KJ7" i="83"/>
  <c r="KJ8" i="83"/>
  <c r="JM21" i="83"/>
  <c r="JM24" i="83" s="1"/>
  <c r="JM26" i="83" s="1"/>
  <c r="JK20" i="695"/>
  <c r="JK23" i="695" s="1"/>
  <c r="LI3" i="695"/>
  <c r="KO7" i="695"/>
  <c r="KO9" i="695"/>
  <c r="KO10" i="695"/>
  <c r="KO11" i="695"/>
  <c r="KO12" i="695"/>
  <c r="KO13" i="695"/>
  <c r="KO14" i="695"/>
  <c r="KO15" i="695"/>
  <c r="KO16" i="695"/>
  <c r="KO17" i="695"/>
  <c r="KO8" i="695"/>
  <c r="JA29" i="695"/>
  <c r="JA25" i="695"/>
  <c r="JA32" i="695"/>
  <c r="JR18" i="83"/>
  <c r="JR32" i="83" s="1"/>
  <c r="JR19" i="83"/>
  <c r="JR27" i="83" s="1"/>
  <c r="JR20" i="83"/>
  <c r="JR23" i="83" s="1"/>
  <c r="JR21" i="83"/>
  <c r="JR24" i="83" s="1"/>
  <c r="JR26" i="83" s="1"/>
  <c r="JR22" i="83"/>
  <c r="JY28" i="695"/>
  <c r="JY30" i="695"/>
  <c r="NM9" i="83"/>
  <c r="NM10" i="83"/>
  <c r="NM11" i="83"/>
  <c r="NM12" i="83"/>
  <c r="NM13" i="83"/>
  <c r="NM14" i="83"/>
  <c r="NM15" i="83"/>
  <c r="NM16" i="83"/>
  <c r="NM17" i="83"/>
  <c r="NM7" i="83"/>
  <c r="NM8" i="83"/>
  <c r="JB25" i="695"/>
  <c r="JB29" i="695"/>
  <c r="JB32" i="695"/>
  <c r="IQ29" i="695"/>
  <c r="IQ25" i="695"/>
  <c r="IQ32" i="695"/>
  <c r="KY3" i="695"/>
  <c r="KE9" i="695"/>
  <c r="KE21" i="695" s="1"/>
  <c r="KE24" i="695" s="1"/>
  <c r="KE26" i="695" s="1"/>
  <c r="KE10" i="695"/>
  <c r="KE11" i="695"/>
  <c r="KE12" i="695"/>
  <c r="KE13" i="695"/>
  <c r="KE14" i="695"/>
  <c r="KE28" i="695" s="1"/>
  <c r="KE15" i="695"/>
  <c r="KE16" i="695"/>
  <c r="KE17" i="695"/>
  <c r="JO29" i="83"/>
  <c r="JO31" i="83"/>
  <c r="JU29" i="83"/>
  <c r="JU31" i="83"/>
  <c r="OQ3" i="83"/>
  <c r="LO3" i="83"/>
  <c r="KU9" i="83"/>
  <c r="KU10" i="83"/>
  <c r="KU11" i="83"/>
  <c r="KU12" i="83"/>
  <c r="KU13" i="83"/>
  <c r="KU14" i="83"/>
  <c r="KU15" i="83"/>
  <c r="KU16" i="83"/>
  <c r="KU17" i="83"/>
  <c r="KU7" i="83"/>
  <c r="KU8" i="83"/>
  <c r="OH3" i="83"/>
  <c r="LF3" i="83"/>
  <c r="KL9" i="83"/>
  <c r="KL10" i="83"/>
  <c r="KL11" i="83"/>
  <c r="KL12" i="83"/>
  <c r="KL13" i="83"/>
  <c r="KL14" i="83"/>
  <c r="KL15" i="83"/>
  <c r="KL16" i="83"/>
  <c r="KL17" i="83"/>
  <c r="KL7" i="83"/>
  <c r="KL8" i="83"/>
  <c r="JV29" i="83"/>
  <c r="JV31" i="83"/>
  <c r="JQ28" i="695"/>
  <c r="JQ30" i="695"/>
  <c r="JC25" i="83"/>
  <c r="JC30" i="83"/>
  <c r="JC33" i="83"/>
  <c r="JY29" i="83"/>
  <c r="JY31" i="83"/>
  <c r="JO21" i="695"/>
  <c r="JO24" i="695" s="1"/>
  <c r="JO26" i="695" s="1"/>
  <c r="JO19" i="695"/>
  <c r="JO27" i="695" s="1"/>
  <c r="JO18" i="695"/>
  <c r="JO31" i="695" s="1"/>
  <c r="JO20" i="695"/>
  <c r="JO23" i="695" s="1"/>
  <c r="JO22" i="695"/>
  <c r="KC28" i="695"/>
  <c r="KC30" i="695"/>
  <c r="JN29" i="83"/>
  <c r="JN31" i="83"/>
  <c r="NL9" i="83"/>
  <c r="NL10" i="83"/>
  <c r="NL11" i="83"/>
  <c r="NL12" i="83"/>
  <c r="NL13" i="83"/>
  <c r="NL14" i="83"/>
  <c r="NL15" i="83"/>
  <c r="NL16" i="83"/>
  <c r="NL17" i="83"/>
  <c r="NL7" i="83"/>
  <c r="NL8" i="83"/>
  <c r="JJ25" i="695"/>
  <c r="JJ29" i="695"/>
  <c r="JJ32" i="695"/>
  <c r="IV25" i="695"/>
  <c r="IV29" i="695"/>
  <c r="IV32" i="695"/>
  <c r="JV28" i="695"/>
  <c r="JV30" i="695"/>
  <c r="NO9" i="83"/>
  <c r="NO10" i="83"/>
  <c r="NO11" i="83"/>
  <c r="NO12" i="83"/>
  <c r="NO13" i="83"/>
  <c r="NO14" i="83"/>
  <c r="NO15" i="83"/>
  <c r="NO16" i="83"/>
  <c r="NO17" i="83"/>
  <c r="NO7" i="83"/>
  <c r="NO8" i="83"/>
  <c r="JQ18" i="83"/>
  <c r="JQ32" i="83" s="1"/>
  <c r="JQ19" i="83"/>
  <c r="JQ27" i="83" s="1"/>
  <c r="JQ20" i="83"/>
  <c r="JQ23" i="83" s="1"/>
  <c r="JQ22" i="83"/>
  <c r="JQ21" i="83"/>
  <c r="JQ24" i="83" s="1"/>
  <c r="JQ26" i="83" s="1"/>
  <c r="JS20" i="695"/>
  <c r="JS23" i="695" s="1"/>
  <c r="JS18" i="695"/>
  <c r="JS31" i="695" s="1"/>
  <c r="JS19" i="695"/>
  <c r="JS27" i="695" s="1"/>
  <c r="JS21" i="695"/>
  <c r="JS24" i="695" s="1"/>
  <c r="JS26" i="695" s="1"/>
  <c r="JS22" i="695"/>
  <c r="NZ9" i="83"/>
  <c r="NZ10" i="83"/>
  <c r="NZ11" i="83"/>
  <c r="NZ12" i="83"/>
  <c r="NZ13" i="83"/>
  <c r="NZ14" i="83"/>
  <c r="NZ15" i="83"/>
  <c r="NZ16" i="83"/>
  <c r="NZ17" i="83"/>
  <c r="NZ7" i="83"/>
  <c r="NZ8" i="83"/>
  <c r="IZ25" i="83"/>
  <c r="IZ30" i="83"/>
  <c r="IZ33" i="83"/>
  <c r="NT9" i="83"/>
  <c r="NT10" i="83"/>
  <c r="NT11" i="83"/>
  <c r="NT12" i="83"/>
  <c r="NT13" i="83"/>
  <c r="NT14" i="83"/>
  <c r="NT15" i="83"/>
  <c r="NT16" i="83"/>
  <c r="NT17" i="83"/>
  <c r="NT7" i="83"/>
  <c r="NT8" i="83"/>
  <c r="LM3" i="695"/>
  <c r="KS7" i="695"/>
  <c r="KS9" i="695"/>
  <c r="KS10" i="695"/>
  <c r="KS11" i="695"/>
  <c r="KS12" i="695"/>
  <c r="KS13" i="695"/>
  <c r="KS14" i="695"/>
  <c r="KS15" i="695"/>
  <c r="KS16" i="695"/>
  <c r="KS17" i="695"/>
  <c r="KS8" i="695"/>
  <c r="NI9" i="83"/>
  <c r="NI18" i="83" s="1"/>
  <c r="NI32" i="83" s="1"/>
  <c r="NI10" i="83"/>
  <c r="NI11" i="83"/>
  <c r="NI12" i="83"/>
  <c r="NI13" i="83"/>
  <c r="NI14" i="83"/>
  <c r="NI15" i="83"/>
  <c r="NI16" i="83"/>
  <c r="NI17" i="83"/>
  <c r="JW28" i="695"/>
  <c r="JW30" i="695"/>
  <c r="JU19" i="695"/>
  <c r="JU27" i="695" s="1"/>
  <c r="JU20" i="695"/>
  <c r="JU23" i="695" s="1"/>
  <c r="JU21" i="695"/>
  <c r="JU24" i="695" s="1"/>
  <c r="JU26" i="695" s="1"/>
  <c r="JU22" i="695"/>
  <c r="JU18" i="695"/>
  <c r="JU31" i="695" s="1"/>
  <c r="JT28" i="695"/>
  <c r="JT30" i="695"/>
  <c r="IR29" i="695"/>
  <c r="IR25" i="695"/>
  <c r="IR32" i="695"/>
  <c r="LQ3" i="83"/>
  <c r="OS3" i="83"/>
  <c r="KW9" i="83"/>
  <c r="KW10" i="83"/>
  <c r="KW11" i="83"/>
  <c r="KW12" i="83"/>
  <c r="KW13" i="83"/>
  <c r="KW14" i="83"/>
  <c r="KW15" i="83"/>
  <c r="KW16" i="83"/>
  <c r="KW17" i="83"/>
  <c r="KW7" i="83"/>
  <c r="KW8" i="83"/>
  <c r="KB18" i="83"/>
  <c r="KB32" i="83" s="1"/>
  <c r="KB19" i="83"/>
  <c r="KB27" i="83" s="1"/>
  <c r="KB21" i="83"/>
  <c r="KB24" i="83" s="1"/>
  <c r="KB26" i="83" s="1"/>
  <c r="KB20" i="83"/>
  <c r="KB23" i="83" s="1"/>
  <c r="KB22" i="83"/>
  <c r="KD28" i="695"/>
  <c r="KD30" i="695"/>
  <c r="JK25" i="83"/>
  <c r="JK30" i="83"/>
  <c r="JK33" i="83"/>
  <c r="IZ29" i="695"/>
  <c r="IZ25" i="695"/>
  <c r="IZ32" i="695"/>
  <c r="LE3" i="695"/>
  <c r="KK7" i="695"/>
  <c r="KK9" i="695"/>
  <c r="KK10" i="695"/>
  <c r="KK11" i="695"/>
  <c r="KK12" i="695"/>
  <c r="KK13" i="695"/>
  <c r="KK14" i="695"/>
  <c r="KK15" i="695"/>
  <c r="KK16" i="695"/>
  <c r="KK17" i="695"/>
  <c r="KK8" i="695"/>
  <c r="KD18" i="83"/>
  <c r="KD32" i="83" s="1"/>
  <c r="KD19" i="83"/>
  <c r="KD27" i="83" s="1"/>
  <c r="KD21" i="83"/>
  <c r="KD24" i="83" s="1"/>
  <c r="KD26" i="83" s="1"/>
  <c r="KD20" i="83"/>
  <c r="KD23" i="83" s="1"/>
  <c r="KD22" i="83"/>
  <c r="LQ3" i="695"/>
  <c r="KW7" i="695"/>
  <c r="KW9" i="695"/>
  <c r="KW10" i="695"/>
  <c r="KW11" i="695"/>
  <c r="KW12" i="695"/>
  <c r="KW13" i="695"/>
  <c r="KW14" i="695"/>
  <c r="KW15" i="695"/>
  <c r="KW16" i="695"/>
  <c r="KW17" i="695"/>
  <c r="KW8" i="695"/>
  <c r="IU25" i="83"/>
  <c r="IU30" i="83"/>
  <c r="IU33" i="83"/>
  <c r="IX25" i="83"/>
  <c r="IX30" i="83"/>
  <c r="IX33" i="83"/>
  <c r="LJ3" i="695"/>
  <c r="KP7" i="695"/>
  <c r="KP9" i="695"/>
  <c r="KP10" i="695"/>
  <c r="KP11" i="695"/>
  <c r="KP12" i="695"/>
  <c r="KP13" i="695"/>
  <c r="KP14" i="695"/>
  <c r="KP15" i="695"/>
  <c r="KP16" i="695"/>
  <c r="KP17" i="695"/>
  <c r="KP8" i="695"/>
  <c r="OI3" i="83"/>
  <c r="LG3" i="83"/>
  <c r="KM9" i="83"/>
  <c r="KM10" i="83"/>
  <c r="KM11" i="83"/>
  <c r="KM12" i="83"/>
  <c r="KM13" i="83"/>
  <c r="KM14" i="83"/>
  <c r="KM15" i="83"/>
  <c r="KM16" i="83"/>
  <c r="KM17" i="83"/>
  <c r="KM7" i="83"/>
  <c r="KM8" i="83"/>
  <c r="KY8" i="695"/>
  <c r="KY7" i="695"/>
  <c r="OC8" i="83"/>
  <c r="OC7" i="83"/>
  <c r="LA8" i="83"/>
  <c r="LA7" i="83"/>
  <c r="LA31" i="83" l="1"/>
  <c r="OC29" i="83"/>
  <c r="OC31" i="83"/>
  <c r="KY30" i="695"/>
  <c r="KZ18" i="83"/>
  <c r="KZ32" i="83" s="1"/>
  <c r="KZ19" i="83"/>
  <c r="KZ27" i="83" s="1"/>
  <c r="KZ21" i="83"/>
  <c r="KZ24" i="83" s="1"/>
  <c r="KZ26" i="83" s="1"/>
  <c r="KZ20" i="83"/>
  <c r="KZ23" i="83" s="1"/>
  <c r="KZ22" i="83"/>
  <c r="KF25" i="83"/>
  <c r="KF30" i="83"/>
  <c r="KF33" i="83"/>
  <c r="KT28" i="695"/>
  <c r="KT30" i="695"/>
  <c r="PC3" i="83"/>
  <c r="OI9" i="83"/>
  <c r="RK9" i="83"/>
  <c r="OI10" i="83"/>
  <c r="RK10" i="83"/>
  <c r="OI11" i="83"/>
  <c r="RK11" i="83"/>
  <c r="OI12" i="83"/>
  <c r="RK12" i="83"/>
  <c r="OI13" i="83"/>
  <c r="RK13" i="83"/>
  <c r="OI14" i="83"/>
  <c r="RK14" i="83"/>
  <c r="OI15" i="83"/>
  <c r="RK15" i="83"/>
  <c r="OI16" i="83"/>
  <c r="RK16" i="83"/>
  <c r="OI17" i="83"/>
  <c r="RK17" i="83"/>
  <c r="RK7" i="83"/>
  <c r="OI7" i="83"/>
  <c r="OI8" i="83"/>
  <c r="RK8" i="83"/>
  <c r="KD25" i="83"/>
  <c r="KD30" i="83"/>
  <c r="KD33" i="83"/>
  <c r="PM3" i="83"/>
  <c r="OS9" i="83"/>
  <c r="RU9" i="83"/>
  <c r="OS10" i="83"/>
  <c r="RU10" i="83"/>
  <c r="OS11" i="83"/>
  <c r="RU11" i="83"/>
  <c r="OS12" i="83"/>
  <c r="RU12" i="83"/>
  <c r="OS13" i="83"/>
  <c r="RU13" i="83"/>
  <c r="OS14" i="83"/>
  <c r="RU14" i="83"/>
  <c r="OS15" i="83"/>
  <c r="RU15" i="83"/>
  <c r="OS16" i="83"/>
  <c r="RU16" i="83"/>
  <c r="OS17" i="83"/>
  <c r="RU17" i="83"/>
  <c r="OS7" i="83"/>
  <c r="RU7" i="83"/>
  <c r="RU8" i="83"/>
  <c r="OS8" i="83"/>
  <c r="JS25" i="695"/>
  <c r="JS29" i="695"/>
  <c r="JS32" i="695"/>
  <c r="KJ29" i="83"/>
  <c r="KJ31" i="83"/>
  <c r="KV18" i="695"/>
  <c r="KV31" i="695" s="1"/>
  <c r="KV19" i="695"/>
  <c r="KV27" i="695" s="1"/>
  <c r="KV20" i="695"/>
  <c r="KV23" i="695" s="1"/>
  <c r="KV22" i="695"/>
  <c r="KV21" i="695"/>
  <c r="KV24" i="695" s="1"/>
  <c r="KV26" i="695" s="1"/>
  <c r="LX3" i="695"/>
  <c r="LD7" i="695"/>
  <c r="LD9" i="695"/>
  <c r="LD10" i="695"/>
  <c r="LD11" i="695"/>
  <c r="LD12" i="695"/>
  <c r="LD13" i="695"/>
  <c r="LD14" i="695"/>
  <c r="LD15" i="695"/>
  <c r="LD16" i="695"/>
  <c r="LD17" i="695"/>
  <c r="LD8" i="695"/>
  <c r="KQ18" i="83"/>
  <c r="KQ32" i="83" s="1"/>
  <c r="KQ19" i="83"/>
  <c r="KQ27" i="83" s="1"/>
  <c r="KQ20" i="83"/>
  <c r="KQ23" i="83" s="1"/>
  <c r="KQ21" i="83"/>
  <c r="KQ24" i="83" s="1"/>
  <c r="KQ26" i="83" s="1"/>
  <c r="KQ22" i="83"/>
  <c r="KZ29" i="83"/>
  <c r="KZ31" i="83"/>
  <c r="PA3" i="83"/>
  <c r="OG9" i="83"/>
  <c r="RI9" i="83"/>
  <c r="OG10" i="83"/>
  <c r="RI10" i="83"/>
  <c r="OG11" i="83"/>
  <c r="RI11" i="83"/>
  <c r="OG12" i="83"/>
  <c r="RI12" i="83"/>
  <c r="OG13" i="83"/>
  <c r="RI13" i="83"/>
  <c r="OG14" i="83"/>
  <c r="RI14" i="83"/>
  <c r="OG15" i="83"/>
  <c r="RI15" i="83"/>
  <c r="OG16" i="83"/>
  <c r="RI16" i="83"/>
  <c r="OG17" i="83"/>
  <c r="RI17" i="83"/>
  <c r="OG7" i="83"/>
  <c r="RI7" i="83"/>
  <c r="OG8" i="83"/>
  <c r="RI8" i="83"/>
  <c r="MM3" i="83"/>
  <c r="LS9" i="83"/>
  <c r="LS10" i="83"/>
  <c r="LS11" i="83"/>
  <c r="LS12" i="83"/>
  <c r="LS13" i="83"/>
  <c r="LS14" i="83"/>
  <c r="LS15" i="83"/>
  <c r="LS16" i="83"/>
  <c r="LS17" i="83"/>
  <c r="LS7" i="83"/>
  <c r="LS8" i="83"/>
  <c r="KF18" i="695"/>
  <c r="KF31" i="695" s="1"/>
  <c r="KF21" i="695"/>
  <c r="KF24" i="695" s="1"/>
  <c r="KF26" i="695" s="1"/>
  <c r="KF19" i="695"/>
  <c r="KF27" i="695" s="1"/>
  <c r="KF20" i="695"/>
  <c r="KF23" i="695" s="1"/>
  <c r="KF22" i="695"/>
  <c r="NP18" i="83"/>
  <c r="NP32" i="83" s="1"/>
  <c r="NP19" i="83"/>
  <c r="NP27" i="83" s="1"/>
  <c r="NP20" i="83"/>
  <c r="NP23" i="83" s="1"/>
  <c r="NP22" i="83"/>
  <c r="NP21" i="83"/>
  <c r="NP24" i="83" s="1"/>
  <c r="NP26" i="83" s="1"/>
  <c r="NS18" i="83"/>
  <c r="NS32" i="83" s="1"/>
  <c r="NS19" i="83"/>
  <c r="NS27" i="83" s="1"/>
  <c r="NS20" i="83"/>
  <c r="NS23" i="83" s="1"/>
  <c r="NS21" i="83"/>
  <c r="NS24" i="83" s="1"/>
  <c r="NS26" i="83" s="1"/>
  <c r="NS22" i="83"/>
  <c r="JX25" i="83"/>
  <c r="JX30" i="83"/>
  <c r="JX33" i="83"/>
  <c r="KH29" i="83"/>
  <c r="KH31" i="83"/>
  <c r="KO18" i="83"/>
  <c r="KO32" i="83" s="1"/>
  <c r="KO19" i="83"/>
  <c r="KO27" i="83" s="1"/>
  <c r="KO20" i="83"/>
  <c r="KO23" i="83" s="1"/>
  <c r="KO21" i="83"/>
  <c r="KO24" i="83" s="1"/>
  <c r="KO26" i="83" s="1"/>
  <c r="KO22" i="83"/>
  <c r="LW3" i="83"/>
  <c r="LC9" i="83"/>
  <c r="LC10" i="83"/>
  <c r="LC11" i="83"/>
  <c r="LC12" i="83"/>
  <c r="LC13" i="83"/>
  <c r="LC14" i="83"/>
  <c r="LC15" i="83"/>
  <c r="LC16" i="83"/>
  <c r="LC17" i="83"/>
  <c r="LC7" i="83"/>
  <c r="LC8" i="83"/>
  <c r="JW25" i="83"/>
  <c r="JW30" i="83"/>
  <c r="JW33" i="83"/>
  <c r="MH3" i="695"/>
  <c r="LN7" i="695"/>
  <c r="LN9" i="695"/>
  <c r="LN10" i="695"/>
  <c r="LN11" i="695"/>
  <c r="LN12" i="695"/>
  <c r="LN13" i="695"/>
  <c r="LN14" i="695"/>
  <c r="LN15" i="695"/>
  <c r="LN16" i="695"/>
  <c r="LN17" i="695"/>
  <c r="LN8" i="695"/>
  <c r="KN18" i="695"/>
  <c r="KN31" i="695" s="1"/>
  <c r="KN21" i="695"/>
  <c r="KN24" i="695" s="1"/>
  <c r="KN26" i="695" s="1"/>
  <c r="KN19" i="695"/>
  <c r="KN27" i="695" s="1"/>
  <c r="KN20" i="695"/>
  <c r="KN23" i="695" s="1"/>
  <c r="KN22" i="695"/>
  <c r="JZ25" i="83"/>
  <c r="JZ30" i="83"/>
  <c r="JZ33" i="83"/>
  <c r="NI29" i="83"/>
  <c r="KG21" i="83"/>
  <c r="KG24" i="83" s="1"/>
  <c r="KG26" i="83" s="1"/>
  <c r="MA3" i="83"/>
  <c r="LG9" i="83"/>
  <c r="LG10" i="83"/>
  <c r="LG11" i="83"/>
  <c r="LG12" i="83"/>
  <c r="LG13" i="83"/>
  <c r="LG14" i="83"/>
  <c r="LG15" i="83"/>
  <c r="LG16" i="83"/>
  <c r="LG17" i="83"/>
  <c r="LG7" i="83"/>
  <c r="LG8" i="83"/>
  <c r="KS19" i="695"/>
  <c r="KS27" i="695" s="1"/>
  <c r="KS20" i="695"/>
  <c r="KS23" i="695" s="1"/>
  <c r="KS18" i="695"/>
  <c r="KS31" i="695" s="1"/>
  <c r="KS22" i="695"/>
  <c r="KS21" i="695"/>
  <c r="KS24" i="695" s="1"/>
  <c r="KS26" i="695" s="1"/>
  <c r="NO29" i="83"/>
  <c r="NO31" i="83"/>
  <c r="PK3" i="83"/>
  <c r="OQ9" i="83"/>
  <c r="RS9" i="83"/>
  <c r="OQ10" i="83"/>
  <c r="RS10" i="83"/>
  <c r="OQ11" i="83"/>
  <c r="RS11" i="83"/>
  <c r="OQ12" i="83"/>
  <c r="RS12" i="83"/>
  <c r="OQ13" i="83"/>
  <c r="RS13" i="83"/>
  <c r="OQ14" i="83"/>
  <c r="RS14" i="83"/>
  <c r="OQ15" i="83"/>
  <c r="RS15" i="83"/>
  <c r="OQ16" i="83"/>
  <c r="RS16" i="83"/>
  <c r="OQ17" i="83"/>
  <c r="RS17" i="83"/>
  <c r="RS7" i="83"/>
  <c r="OQ7" i="83"/>
  <c r="OQ8" i="83"/>
  <c r="RS8" i="83"/>
  <c r="LU3" i="695"/>
  <c r="LA7" i="695"/>
  <c r="LA9" i="695"/>
  <c r="LA10" i="695"/>
  <c r="LA11" i="695"/>
  <c r="LA12" i="695"/>
  <c r="LA13" i="695"/>
  <c r="LA14" i="695"/>
  <c r="LA15" i="695"/>
  <c r="LA16" i="695"/>
  <c r="LA17" i="695"/>
  <c r="LA8" i="695"/>
  <c r="KJ28" i="695"/>
  <c r="KJ30" i="695"/>
  <c r="KH18" i="83"/>
  <c r="KH32" i="83" s="1"/>
  <c r="KH19" i="83"/>
  <c r="KH27" i="83" s="1"/>
  <c r="KH20" i="83"/>
  <c r="KH23" i="83" s="1"/>
  <c r="KH21" i="83"/>
  <c r="KH24" i="83" s="1"/>
  <c r="KH26" i="83" s="1"/>
  <c r="KH22" i="83"/>
  <c r="ME3" i="695"/>
  <c r="LK7" i="695"/>
  <c r="LK9" i="695"/>
  <c r="LK10" i="695"/>
  <c r="LK11" i="695"/>
  <c r="LK12" i="695"/>
  <c r="LK13" i="695"/>
  <c r="LK14" i="695"/>
  <c r="LK15" i="695"/>
  <c r="LK16" i="695"/>
  <c r="LK17" i="695"/>
  <c r="LK8" i="695"/>
  <c r="KP20" i="695"/>
  <c r="KP23" i="695" s="1"/>
  <c r="KP18" i="695"/>
  <c r="KP31" i="695" s="1"/>
  <c r="KP21" i="695"/>
  <c r="KP24" i="695" s="1"/>
  <c r="KP26" i="695" s="1"/>
  <c r="KP22" i="695"/>
  <c r="KP19" i="695"/>
  <c r="KP27" i="695" s="1"/>
  <c r="KB25" i="83"/>
  <c r="KB30" i="83"/>
  <c r="KB33" i="83"/>
  <c r="MK3" i="83"/>
  <c r="LQ9" i="83"/>
  <c r="LQ10" i="83"/>
  <c r="LQ11" i="83"/>
  <c r="LQ12" i="83"/>
  <c r="LQ13" i="83"/>
  <c r="LQ14" i="83"/>
  <c r="LQ15" i="83"/>
  <c r="LQ16" i="83"/>
  <c r="LQ17" i="83"/>
  <c r="LQ7" i="83"/>
  <c r="LQ8" i="83"/>
  <c r="KS28" i="695"/>
  <c r="KS30" i="695"/>
  <c r="NZ18" i="83"/>
  <c r="NZ32" i="83" s="1"/>
  <c r="NZ19" i="83"/>
  <c r="NZ27" i="83" s="1"/>
  <c r="NZ20" i="83"/>
  <c r="NZ23" i="83" s="1"/>
  <c r="NZ21" i="83"/>
  <c r="NZ24" i="83" s="1"/>
  <c r="NZ26" i="83" s="1"/>
  <c r="NZ22" i="83"/>
  <c r="NL18" i="83"/>
  <c r="NL32" i="83" s="1"/>
  <c r="NL19" i="83"/>
  <c r="NL27" i="83" s="1"/>
  <c r="NL20" i="83"/>
  <c r="NL23" i="83" s="1"/>
  <c r="NL21" i="83"/>
  <c r="NL24" i="83" s="1"/>
  <c r="NL26" i="83" s="1"/>
  <c r="NL22" i="83"/>
  <c r="JO29" i="695"/>
  <c r="JO25" i="695"/>
  <c r="JO32" i="695"/>
  <c r="LZ3" i="83"/>
  <c r="LF9" i="83"/>
  <c r="LF10" i="83"/>
  <c r="LF11" i="83"/>
  <c r="LF12" i="83"/>
  <c r="LF13" i="83"/>
  <c r="LF14" i="83"/>
  <c r="LF15" i="83"/>
  <c r="LF16" i="83"/>
  <c r="LF17" i="83"/>
  <c r="LF7" i="83"/>
  <c r="LF8" i="83"/>
  <c r="KO18" i="695"/>
  <c r="KO31" i="695" s="1"/>
  <c r="KO21" i="695"/>
  <c r="KO24" i="695" s="1"/>
  <c r="KO26" i="695" s="1"/>
  <c r="KO19" i="695"/>
  <c r="KO27" i="695" s="1"/>
  <c r="KO20" i="695"/>
  <c r="KO23" i="695" s="1"/>
  <c r="KO22" i="695"/>
  <c r="JN25" i="83"/>
  <c r="JN30" i="83"/>
  <c r="JN33" i="83"/>
  <c r="KM21" i="695"/>
  <c r="KM24" i="695" s="1"/>
  <c r="KM26" i="695" s="1"/>
  <c r="KM19" i="695"/>
  <c r="KM27" i="695" s="1"/>
  <c r="KM18" i="695"/>
  <c r="KM31" i="695" s="1"/>
  <c r="KM22" i="695"/>
  <c r="KM20" i="695"/>
  <c r="KM23" i="695" s="1"/>
  <c r="JU25" i="83"/>
  <c r="JU30" i="83"/>
  <c r="JU33" i="83"/>
  <c r="KN18" i="83"/>
  <c r="KN32" i="83" s="1"/>
  <c r="KN19" i="83"/>
  <c r="KN27" i="83" s="1"/>
  <c r="KN21" i="83"/>
  <c r="KN24" i="83" s="1"/>
  <c r="KN26" i="83" s="1"/>
  <c r="KN22" i="83"/>
  <c r="KN20" i="83"/>
  <c r="KN23" i="83" s="1"/>
  <c r="KD25" i="695"/>
  <c r="KD29" i="695"/>
  <c r="KD32" i="695"/>
  <c r="KQ29" i="83"/>
  <c r="KQ31" i="83"/>
  <c r="JT25" i="695"/>
  <c r="JT29" i="695"/>
  <c r="JT32" i="695"/>
  <c r="KH20" i="695"/>
  <c r="KH23" i="695" s="1"/>
  <c r="KH18" i="695"/>
  <c r="KH31" i="695" s="1"/>
  <c r="KH21" i="695"/>
  <c r="KH24" i="695" s="1"/>
  <c r="KH26" i="695" s="1"/>
  <c r="KH22" i="695"/>
  <c r="KH19" i="695"/>
  <c r="KH27" i="695" s="1"/>
  <c r="KU28" i="695"/>
  <c r="KU30" i="695"/>
  <c r="NP29" i="83"/>
  <c r="NP31" i="83"/>
  <c r="NS29" i="83"/>
  <c r="NS31" i="83"/>
  <c r="MH3" i="83"/>
  <c r="LN9" i="83"/>
  <c r="LN10" i="83"/>
  <c r="LN11" i="83"/>
  <c r="LN12" i="83"/>
  <c r="LN13" i="83"/>
  <c r="LN14" i="83"/>
  <c r="LN15" i="83"/>
  <c r="LN16" i="83"/>
  <c r="LN17" i="83"/>
  <c r="LN7" i="83"/>
  <c r="LN8" i="83"/>
  <c r="JM25" i="83"/>
  <c r="JM30" i="83"/>
  <c r="JM33" i="83"/>
  <c r="KX18" i="83"/>
  <c r="KX32" i="83" s="1"/>
  <c r="KX19" i="83"/>
  <c r="KX27" i="83" s="1"/>
  <c r="KX20" i="83"/>
  <c r="KX23" i="83" s="1"/>
  <c r="KX21" i="83"/>
  <c r="KX24" i="83" s="1"/>
  <c r="KX26" i="83" s="1"/>
  <c r="KX22" i="83"/>
  <c r="KR28" i="695"/>
  <c r="KR30" i="695"/>
  <c r="JL25" i="695"/>
  <c r="JL29" i="695"/>
  <c r="JL32" i="695"/>
  <c r="KI28" i="695"/>
  <c r="KI30" i="695"/>
  <c r="KO29" i="83"/>
  <c r="KO31" i="83"/>
  <c r="OY3" i="83"/>
  <c r="OE9" i="83"/>
  <c r="RG9" i="83"/>
  <c r="OE10" i="83"/>
  <c r="RG10" i="83"/>
  <c r="OE11" i="83"/>
  <c r="RG11" i="83"/>
  <c r="OE12" i="83"/>
  <c r="RG12" i="83"/>
  <c r="OE13" i="83"/>
  <c r="RG13" i="83"/>
  <c r="OE14" i="83"/>
  <c r="RG14" i="83"/>
  <c r="OE15" i="83"/>
  <c r="RG15" i="83"/>
  <c r="OE16" i="83"/>
  <c r="RG16" i="83"/>
  <c r="OE17" i="83"/>
  <c r="RG17" i="83"/>
  <c r="OE7" i="83"/>
  <c r="RG7" i="83"/>
  <c r="OE8" i="83"/>
  <c r="RG8" i="83"/>
  <c r="KS18" i="83"/>
  <c r="KS32" i="83" s="1"/>
  <c r="KS21" i="83"/>
  <c r="KS24" i="83" s="1"/>
  <c r="KS26" i="83" s="1"/>
  <c r="KS20" i="83"/>
  <c r="KS23" i="83" s="1"/>
  <c r="KS19" i="83"/>
  <c r="KS27" i="83" s="1"/>
  <c r="KS22" i="83"/>
  <c r="NQ19" i="83"/>
  <c r="NQ27" i="83" s="1"/>
  <c r="NQ18" i="83"/>
  <c r="NQ32" i="83" s="1"/>
  <c r="NQ20" i="83"/>
  <c r="NQ23" i="83" s="1"/>
  <c r="NQ22" i="83"/>
  <c r="NQ21" i="83"/>
  <c r="NQ24" i="83" s="1"/>
  <c r="NQ26" i="83" s="1"/>
  <c r="KX28" i="695"/>
  <c r="KX30" i="695"/>
  <c r="LU3" i="83"/>
  <c r="LA9" i="83"/>
  <c r="LA29" i="83" s="1"/>
  <c r="LA10" i="83"/>
  <c r="LA11" i="83"/>
  <c r="LA12" i="83"/>
  <c r="LA13" i="83"/>
  <c r="LA14" i="83"/>
  <c r="LA15" i="83"/>
  <c r="LA16" i="83"/>
  <c r="LA17" i="83"/>
  <c r="JZ25" i="695"/>
  <c r="JZ29" i="695"/>
  <c r="JZ32" i="695"/>
  <c r="KE20" i="695"/>
  <c r="KE23" i="695" s="1"/>
  <c r="KG22" i="83"/>
  <c r="KJ18" i="83"/>
  <c r="KJ32" i="83" s="1"/>
  <c r="KJ19" i="83"/>
  <c r="KJ27" i="83" s="1"/>
  <c r="KJ21" i="83"/>
  <c r="KJ24" i="83" s="1"/>
  <c r="KJ26" i="83" s="1"/>
  <c r="KJ20" i="83"/>
  <c r="KJ23" i="83" s="1"/>
  <c r="KJ22" i="83"/>
  <c r="LY3" i="83"/>
  <c r="LE9" i="83"/>
  <c r="LE10" i="83"/>
  <c r="LE11" i="83"/>
  <c r="LE12" i="83"/>
  <c r="LE13" i="83"/>
  <c r="LE14" i="83"/>
  <c r="LE15" i="83"/>
  <c r="LE16" i="83"/>
  <c r="LE17" i="83"/>
  <c r="LE7" i="83"/>
  <c r="LE8" i="83"/>
  <c r="KX20" i="695"/>
  <c r="KX23" i="695" s="1"/>
  <c r="KX18" i="695"/>
  <c r="KX31" i="695" s="1"/>
  <c r="KX21" i="695"/>
  <c r="KX24" i="695" s="1"/>
  <c r="KX26" i="695" s="1"/>
  <c r="KX22" i="695"/>
  <c r="KX19" i="695"/>
  <c r="KX27" i="695" s="1"/>
  <c r="JU25" i="695"/>
  <c r="JU29" i="695"/>
  <c r="JU32" i="695"/>
  <c r="MG3" i="695"/>
  <c r="LM7" i="695"/>
  <c r="LM9" i="695"/>
  <c r="LM10" i="695"/>
  <c r="LM11" i="695"/>
  <c r="LM12" i="695"/>
  <c r="LM13" i="695"/>
  <c r="LM14" i="695"/>
  <c r="LM15" i="695"/>
  <c r="LM16" i="695"/>
  <c r="LM17" i="695"/>
  <c r="LM8" i="695"/>
  <c r="NZ29" i="83"/>
  <c r="NZ31" i="83"/>
  <c r="NL29" i="83"/>
  <c r="NL31" i="83"/>
  <c r="PB3" i="83"/>
  <c r="OH9" i="83"/>
  <c r="RJ9" i="83"/>
  <c r="OH10" i="83"/>
  <c r="RJ10" i="83"/>
  <c r="OH11" i="83"/>
  <c r="RJ11" i="83"/>
  <c r="OH12" i="83"/>
  <c r="RJ12" i="83"/>
  <c r="OH13" i="83"/>
  <c r="RJ13" i="83"/>
  <c r="OH14" i="83"/>
  <c r="RJ14" i="83"/>
  <c r="OH15" i="83"/>
  <c r="RJ15" i="83"/>
  <c r="OH16" i="83"/>
  <c r="RJ16" i="83"/>
  <c r="OH17" i="83"/>
  <c r="RJ17" i="83"/>
  <c r="RJ7" i="83"/>
  <c r="OH7" i="83"/>
  <c r="OH8" i="83"/>
  <c r="RJ8" i="83"/>
  <c r="LX3" i="83"/>
  <c r="LD9" i="83"/>
  <c r="LD10" i="83"/>
  <c r="LD11" i="83"/>
  <c r="LD12" i="83"/>
  <c r="LD13" i="83"/>
  <c r="LD14" i="83"/>
  <c r="LD15" i="83"/>
  <c r="LD16" i="83"/>
  <c r="LD17" i="83"/>
  <c r="LD7" i="83"/>
  <c r="LD8" i="83"/>
  <c r="KV28" i="695"/>
  <c r="KV30" i="695"/>
  <c r="NN18" i="83"/>
  <c r="NN32" i="83" s="1"/>
  <c r="NN19" i="83"/>
  <c r="NN27" i="83" s="1"/>
  <c r="NN21" i="83"/>
  <c r="NN24" i="83" s="1"/>
  <c r="NN26" i="83" s="1"/>
  <c r="NN20" i="83"/>
  <c r="NN23" i="83" s="1"/>
  <c r="NN22" i="83"/>
  <c r="KN29" i="83"/>
  <c r="KN31" i="83"/>
  <c r="JW29" i="695"/>
  <c r="JW25" i="695"/>
  <c r="JW32" i="695"/>
  <c r="MN3" i="83"/>
  <c r="LT9" i="83"/>
  <c r="LT10" i="83"/>
  <c r="LT11" i="83"/>
  <c r="LT12" i="83"/>
  <c r="LT13" i="83"/>
  <c r="LT14" i="83"/>
  <c r="LT15" i="83"/>
  <c r="LT16" i="83"/>
  <c r="LT17" i="83"/>
  <c r="LT7" i="83"/>
  <c r="LT8" i="83"/>
  <c r="KF28" i="695"/>
  <c r="KF30" i="695"/>
  <c r="MI3" i="695"/>
  <c r="LO7" i="695"/>
  <c r="LO9" i="695"/>
  <c r="LO10" i="695"/>
  <c r="LO11" i="695"/>
  <c r="LO12" i="695"/>
  <c r="LO13" i="695"/>
  <c r="LO14" i="695"/>
  <c r="LO15" i="695"/>
  <c r="LO16" i="695"/>
  <c r="LO17" i="695"/>
  <c r="LO8" i="695"/>
  <c r="PJ3" i="83"/>
  <c r="OP9" i="83"/>
  <c r="RR9" i="83"/>
  <c r="OP10" i="83"/>
  <c r="RR10" i="83"/>
  <c r="OP11" i="83"/>
  <c r="RR11" i="83"/>
  <c r="OP12" i="83"/>
  <c r="RR12" i="83"/>
  <c r="OP13" i="83"/>
  <c r="RR13" i="83"/>
  <c r="OP14" i="83"/>
  <c r="RR14" i="83"/>
  <c r="OP15" i="83"/>
  <c r="RR15" i="83"/>
  <c r="OP16" i="83"/>
  <c r="RR16" i="83"/>
  <c r="OP17" i="83"/>
  <c r="RR17" i="83"/>
  <c r="OP7" i="83"/>
  <c r="RR7" i="83"/>
  <c r="OP8" i="83"/>
  <c r="RR8" i="83"/>
  <c r="OA18" i="83"/>
  <c r="OA32" i="83" s="1"/>
  <c r="OA19" i="83"/>
  <c r="OA27" i="83" s="1"/>
  <c r="OA20" i="83"/>
  <c r="OA23" i="83" s="1"/>
  <c r="OA21" i="83"/>
  <c r="OA24" i="83" s="1"/>
  <c r="OA26" i="83" s="1"/>
  <c r="OA22" i="83"/>
  <c r="KX29" i="83"/>
  <c r="KX31" i="83"/>
  <c r="MF3" i="695"/>
  <c r="LL7" i="695"/>
  <c r="LL9" i="695"/>
  <c r="LL10" i="695"/>
  <c r="LL11" i="695"/>
  <c r="LL12" i="695"/>
  <c r="LL13" i="695"/>
  <c r="LL14" i="695"/>
  <c r="LL15" i="695"/>
  <c r="LL16" i="695"/>
  <c r="LL17" i="695"/>
  <c r="LL8" i="695"/>
  <c r="NV18" i="83"/>
  <c r="NV32" i="83" s="1"/>
  <c r="NV19" i="83"/>
  <c r="NV27" i="83" s="1"/>
  <c r="NV21" i="83"/>
  <c r="NV24" i="83" s="1"/>
  <c r="NV26" i="83" s="1"/>
  <c r="NV20" i="83"/>
  <c r="NV23" i="83" s="1"/>
  <c r="NV22" i="83"/>
  <c r="LV3" i="83"/>
  <c r="LB9" i="83"/>
  <c r="LB10" i="83"/>
  <c r="LB11" i="83"/>
  <c r="LB12" i="83"/>
  <c r="LB13" i="83"/>
  <c r="LB14" i="83"/>
  <c r="LB15" i="83"/>
  <c r="LB16" i="83"/>
  <c r="LB17" i="83"/>
  <c r="LB7" i="83"/>
  <c r="LB8" i="83"/>
  <c r="LW3" i="695"/>
  <c r="LC7" i="695"/>
  <c r="LC9" i="695"/>
  <c r="LC10" i="695"/>
  <c r="LC11" i="695"/>
  <c r="LC12" i="695"/>
  <c r="LC13" i="695"/>
  <c r="LC14" i="695"/>
  <c r="LC15" i="695"/>
  <c r="LC16" i="695"/>
  <c r="LC17" i="695"/>
  <c r="LC8" i="695"/>
  <c r="KA25" i="695"/>
  <c r="KA29" i="695"/>
  <c r="KA32" i="695"/>
  <c r="JP29" i="695"/>
  <c r="JP25" i="695"/>
  <c r="JP32" i="695"/>
  <c r="NJ18" i="83"/>
  <c r="NJ32" i="83" s="1"/>
  <c r="NJ19" i="83"/>
  <c r="NJ27" i="83" s="1"/>
  <c r="NJ20" i="83"/>
  <c r="NJ23" i="83" s="1"/>
  <c r="NJ21" i="83"/>
  <c r="NJ24" i="83" s="1"/>
  <c r="NJ26" i="83" s="1"/>
  <c r="NJ22" i="83"/>
  <c r="KS29" i="83"/>
  <c r="KS31" i="83"/>
  <c r="NQ29" i="83"/>
  <c r="NQ31" i="83"/>
  <c r="ML3" i="695"/>
  <c r="LR7" i="695"/>
  <c r="LR9" i="695"/>
  <c r="LR10" i="695"/>
  <c r="LR11" i="695"/>
  <c r="LR12" i="695"/>
  <c r="LR13" i="695"/>
  <c r="LR14" i="695"/>
  <c r="LR15" i="695"/>
  <c r="LR16" i="695"/>
  <c r="LR17" i="695"/>
  <c r="LR8" i="695"/>
  <c r="KN28" i="695"/>
  <c r="KN30" i="695"/>
  <c r="OW3" i="83"/>
  <c r="OC9" i="83"/>
  <c r="OC18" i="83" s="1"/>
  <c r="OC32" i="83" s="1"/>
  <c r="RE9" i="83"/>
  <c r="OC10" i="83"/>
  <c r="RE10" i="83"/>
  <c r="OC11" i="83"/>
  <c r="RE11" i="83"/>
  <c r="OC12" i="83"/>
  <c r="RE12" i="83"/>
  <c r="OC13" i="83"/>
  <c r="RE13" i="83"/>
  <c r="OC14" i="83"/>
  <c r="RE14" i="83"/>
  <c r="OC15" i="83"/>
  <c r="RE15" i="83"/>
  <c r="OC16" i="83"/>
  <c r="RE16" i="83"/>
  <c r="OC17" i="83"/>
  <c r="RE17" i="83"/>
  <c r="NI22" i="83"/>
  <c r="KE22" i="695"/>
  <c r="KG20" i="83"/>
  <c r="KG23" i="83" s="1"/>
  <c r="KP28" i="695"/>
  <c r="KP30" i="695"/>
  <c r="KW18" i="695"/>
  <c r="KW31" i="695" s="1"/>
  <c r="KW21" i="695"/>
  <c r="KW24" i="695" s="1"/>
  <c r="KW26" i="695" s="1"/>
  <c r="KW19" i="695"/>
  <c r="KW27" i="695" s="1"/>
  <c r="KW20" i="695"/>
  <c r="KW23" i="695" s="1"/>
  <c r="KW22" i="695"/>
  <c r="NT18" i="83"/>
  <c r="NT32" i="83" s="1"/>
  <c r="NT19" i="83"/>
  <c r="NT27" i="83" s="1"/>
  <c r="NT20" i="83"/>
  <c r="NT23" i="83" s="1"/>
  <c r="NT21" i="83"/>
  <c r="NT24" i="83" s="1"/>
  <c r="NT26" i="83" s="1"/>
  <c r="NT22" i="83"/>
  <c r="JQ25" i="83"/>
  <c r="JQ30" i="83"/>
  <c r="JQ33" i="83"/>
  <c r="KU18" i="83"/>
  <c r="KU32" i="83" s="1"/>
  <c r="KU19" i="83"/>
  <c r="KU27" i="83" s="1"/>
  <c r="KU21" i="83"/>
  <c r="KU24" i="83" s="1"/>
  <c r="KU26" i="83" s="1"/>
  <c r="KU20" i="83"/>
  <c r="KU23" i="83" s="1"/>
  <c r="KU22" i="83"/>
  <c r="JR25" i="83"/>
  <c r="JR30" i="83"/>
  <c r="JR33" i="83"/>
  <c r="KO28" i="695"/>
  <c r="KO30" i="695"/>
  <c r="OZ3" i="83"/>
  <c r="OF9" i="83"/>
  <c r="RH9" i="83"/>
  <c r="OF10" i="83"/>
  <c r="RH10" i="83"/>
  <c r="OF11" i="83"/>
  <c r="RH11" i="83"/>
  <c r="OF12" i="83"/>
  <c r="RH12" i="83"/>
  <c r="OF13" i="83"/>
  <c r="RH13" i="83"/>
  <c r="OF14" i="83"/>
  <c r="RH14" i="83"/>
  <c r="OF15" i="83"/>
  <c r="RH15" i="83"/>
  <c r="OF16" i="83"/>
  <c r="RH16" i="83"/>
  <c r="OF17" i="83"/>
  <c r="RH17" i="83"/>
  <c r="OF7" i="83"/>
  <c r="RH7" i="83"/>
  <c r="OF8" i="83"/>
  <c r="RH8" i="83"/>
  <c r="MJ3" i="695"/>
  <c r="LP7" i="695"/>
  <c r="LP9" i="695"/>
  <c r="LP10" i="695"/>
  <c r="LP11" i="695"/>
  <c r="LP12" i="695"/>
  <c r="LP13" i="695"/>
  <c r="LP14" i="695"/>
  <c r="LP15" i="695"/>
  <c r="LP16" i="695"/>
  <c r="LP17" i="695"/>
  <c r="LP8" i="695"/>
  <c r="KM28" i="695"/>
  <c r="KM30" i="695"/>
  <c r="NN29" i="83"/>
  <c r="NN31" i="83"/>
  <c r="ME3" i="83"/>
  <c r="LK9" i="83"/>
  <c r="LK10" i="83"/>
  <c r="LK11" i="83"/>
  <c r="LK12" i="83"/>
  <c r="LK13" i="83"/>
  <c r="LK14" i="83"/>
  <c r="LK15" i="83"/>
  <c r="LK16" i="83"/>
  <c r="LK17" i="83"/>
  <c r="LK7" i="83"/>
  <c r="LK8" i="83"/>
  <c r="PP3" i="83"/>
  <c r="OV9" i="83"/>
  <c r="RX9" i="83"/>
  <c r="OV10" i="83"/>
  <c r="RX10" i="83"/>
  <c r="OV11" i="83"/>
  <c r="RX11" i="83"/>
  <c r="OV12" i="83"/>
  <c r="RX12" i="83"/>
  <c r="OV13" i="83"/>
  <c r="RX13" i="83"/>
  <c r="OV14" i="83"/>
  <c r="RX14" i="83"/>
  <c r="OV15" i="83"/>
  <c r="RX15" i="83"/>
  <c r="OV16" i="83"/>
  <c r="RX16" i="83"/>
  <c r="OV17" i="83"/>
  <c r="RX17" i="83"/>
  <c r="OV7" i="83"/>
  <c r="RX7" i="83"/>
  <c r="OV8" i="83"/>
  <c r="RX8" i="83"/>
  <c r="LT3" i="695"/>
  <c r="KZ7" i="695"/>
  <c r="KZ9" i="695"/>
  <c r="KZ10" i="695"/>
  <c r="KZ11" i="695"/>
  <c r="KZ12" i="695"/>
  <c r="KZ13" i="695"/>
  <c r="KZ14" i="695"/>
  <c r="KZ15" i="695"/>
  <c r="KZ16" i="695"/>
  <c r="KZ17" i="695"/>
  <c r="KZ8" i="695"/>
  <c r="KH28" i="695"/>
  <c r="KH30" i="695"/>
  <c r="KC25" i="695"/>
  <c r="KC29" i="695"/>
  <c r="KC32" i="695"/>
  <c r="OB18" i="83"/>
  <c r="OB32" i="83" s="1"/>
  <c r="OB19" i="83"/>
  <c r="OB27" i="83" s="1"/>
  <c r="OB20" i="83"/>
  <c r="OB23" i="83" s="1"/>
  <c r="OB21" i="83"/>
  <c r="OB24" i="83" s="1"/>
  <c r="OB26" i="83" s="1"/>
  <c r="OB22" i="83"/>
  <c r="JM25" i="695"/>
  <c r="JM29" i="695"/>
  <c r="JM32" i="695"/>
  <c r="OA29" i="83"/>
  <c r="OA31" i="83"/>
  <c r="KV18" i="83"/>
  <c r="KV32" i="83" s="1"/>
  <c r="KV19" i="83"/>
  <c r="KV27" i="83" s="1"/>
  <c r="KV22" i="83"/>
  <c r="KV21" i="83"/>
  <c r="KV24" i="83" s="1"/>
  <c r="KV26" i="83" s="1"/>
  <c r="KV20" i="83"/>
  <c r="KV23" i="83" s="1"/>
  <c r="NV29" i="83"/>
  <c r="NV31" i="83"/>
  <c r="W22" i="27" a="1"/>
  <c r="W22" i="27" s="1"/>
  <c r="X23" i="27"/>
  <c r="OX3" i="83"/>
  <c r="OD9" i="83"/>
  <c r="RF9" i="83"/>
  <c r="OD10" i="83"/>
  <c r="RF10" i="83"/>
  <c r="OD11" i="83"/>
  <c r="RF11" i="83"/>
  <c r="OD12" i="83"/>
  <c r="RF12" i="83"/>
  <c r="OD13" i="83"/>
  <c r="RF13" i="83"/>
  <c r="OD14" i="83"/>
  <c r="RF14" i="83"/>
  <c r="OD15" i="83"/>
  <c r="RF15" i="83"/>
  <c r="OD16" i="83"/>
  <c r="RF16" i="83"/>
  <c r="OD17" i="83"/>
  <c r="RF17" i="83"/>
  <c r="RF7" i="83"/>
  <c r="OD7" i="83"/>
  <c r="OD8" i="83"/>
  <c r="RF8" i="83"/>
  <c r="NU18" i="83"/>
  <c r="NU32" i="83" s="1"/>
  <c r="NU19" i="83"/>
  <c r="NU27" i="83" s="1"/>
  <c r="NU21" i="83"/>
  <c r="NU24" i="83" s="1"/>
  <c r="NU26" i="83" s="1"/>
  <c r="NU20" i="83"/>
  <c r="NU23" i="83" s="1"/>
  <c r="NU22" i="83"/>
  <c r="KP18" i="83"/>
  <c r="KP32" i="83" s="1"/>
  <c r="KP19" i="83"/>
  <c r="KP27" i="83" s="1"/>
  <c r="KP20" i="83"/>
  <c r="KP23" i="83" s="1"/>
  <c r="KP21" i="83"/>
  <c r="KP24" i="83" s="1"/>
  <c r="KP26" i="83" s="1"/>
  <c r="KP22" i="83"/>
  <c r="PE3" i="83"/>
  <c r="OK9" i="83"/>
  <c r="RM9" i="83"/>
  <c r="OK10" i="83"/>
  <c r="RM10" i="83"/>
  <c r="OK11" i="83"/>
  <c r="RM11" i="83"/>
  <c r="OK12" i="83"/>
  <c r="RM12" i="83"/>
  <c r="OK13" i="83"/>
  <c r="RM13" i="83"/>
  <c r="OK14" i="83"/>
  <c r="RM14" i="83"/>
  <c r="OK15" i="83"/>
  <c r="RM15" i="83"/>
  <c r="OK16" i="83"/>
  <c r="RM16" i="83"/>
  <c r="OK17" i="83"/>
  <c r="RM17" i="83"/>
  <c r="RM7" i="83"/>
  <c r="OK7" i="83"/>
  <c r="RM8" i="83"/>
  <c r="OK8" i="83"/>
  <c r="JT25" i="83"/>
  <c r="JT30" i="83"/>
  <c r="JT33" i="83"/>
  <c r="NJ29" i="83"/>
  <c r="NJ31" i="83"/>
  <c r="JX29" i="695"/>
  <c r="JX25" i="695"/>
  <c r="JX32" i="695"/>
  <c r="MB3" i="695"/>
  <c r="LH7" i="695"/>
  <c r="LH9" i="695"/>
  <c r="LH10" i="695"/>
  <c r="LH11" i="695"/>
  <c r="LH12" i="695"/>
  <c r="LH13" i="695"/>
  <c r="LH14" i="695"/>
  <c r="LH15" i="695"/>
  <c r="LH16" i="695"/>
  <c r="LH17" i="695"/>
  <c r="LH8" i="695"/>
  <c r="KR18" i="83"/>
  <c r="KR32" i="83" s="1"/>
  <c r="KR19" i="83"/>
  <c r="KR27" i="83" s="1"/>
  <c r="KR21" i="83"/>
  <c r="KR24" i="83" s="1"/>
  <c r="KR26" i="83" s="1"/>
  <c r="KR20" i="83"/>
  <c r="KR23" i="83" s="1"/>
  <c r="KR22" i="83"/>
  <c r="NI21" i="83"/>
  <c r="NI24" i="83" s="1"/>
  <c r="NI26" i="83" s="1"/>
  <c r="KE18" i="695"/>
  <c r="KE31" i="695" s="1"/>
  <c r="KG19" i="83"/>
  <c r="KG27" i="83" s="1"/>
  <c r="LY3" i="695"/>
  <c r="LE7" i="695"/>
  <c r="LE9" i="695"/>
  <c r="LE10" i="695"/>
  <c r="LE11" i="695"/>
  <c r="LE12" i="695"/>
  <c r="LE13" i="695"/>
  <c r="LE14" i="695"/>
  <c r="LE15" i="695"/>
  <c r="LE16" i="695"/>
  <c r="LE17" i="695"/>
  <c r="LE8" i="695"/>
  <c r="KL29" i="83"/>
  <c r="KL31" i="83"/>
  <c r="KI20" i="695"/>
  <c r="KI23" i="695" s="1"/>
  <c r="KI18" i="695"/>
  <c r="KI31" i="695" s="1"/>
  <c r="KI19" i="695"/>
  <c r="KI27" i="695" s="1"/>
  <c r="KI21" i="695"/>
  <c r="KI24" i="695" s="1"/>
  <c r="KI26" i="695" s="1"/>
  <c r="KI22" i="695"/>
  <c r="PH3" i="83"/>
  <c r="ON9" i="83"/>
  <c r="RP9" i="83"/>
  <c r="ON10" i="83"/>
  <c r="RP10" i="83"/>
  <c r="ON11" i="83"/>
  <c r="RP11" i="83"/>
  <c r="ON12" i="83"/>
  <c r="RP12" i="83"/>
  <c r="ON13" i="83"/>
  <c r="RP13" i="83"/>
  <c r="ON14" i="83"/>
  <c r="RP14" i="83"/>
  <c r="ON15" i="83"/>
  <c r="RP15" i="83"/>
  <c r="ON16" i="83"/>
  <c r="RP16" i="83"/>
  <c r="ON17" i="83"/>
  <c r="RP17" i="83"/>
  <c r="ON7" i="83"/>
  <c r="RP7" i="83"/>
  <c r="ON8" i="83"/>
  <c r="RP8" i="83"/>
  <c r="KM18" i="83"/>
  <c r="KM32" i="83" s="1"/>
  <c r="KM19" i="83"/>
  <c r="KM27" i="83" s="1"/>
  <c r="KM21" i="83"/>
  <c r="KM24" i="83" s="1"/>
  <c r="KM26" i="83" s="1"/>
  <c r="KM20" i="83"/>
  <c r="KM23" i="83" s="1"/>
  <c r="KM22" i="83"/>
  <c r="MD3" i="695"/>
  <c r="LJ7" i="695"/>
  <c r="LJ9" i="695"/>
  <c r="LJ10" i="695"/>
  <c r="LJ11" i="695"/>
  <c r="LJ12" i="695"/>
  <c r="LJ13" i="695"/>
  <c r="LJ14" i="695"/>
  <c r="LJ15" i="695"/>
  <c r="LJ16" i="695"/>
  <c r="LJ17" i="695"/>
  <c r="LJ8" i="695"/>
  <c r="KK19" i="695"/>
  <c r="KK27" i="695" s="1"/>
  <c r="KK20" i="695"/>
  <c r="KK23" i="695" s="1"/>
  <c r="KK21" i="695"/>
  <c r="KK24" i="695" s="1"/>
  <c r="KK26" i="695" s="1"/>
  <c r="KK18" i="695"/>
  <c r="KK31" i="695" s="1"/>
  <c r="KK22" i="695"/>
  <c r="NT29" i="83"/>
  <c r="NT31" i="83"/>
  <c r="KU29" i="83"/>
  <c r="KU31" i="83"/>
  <c r="NM18" i="83"/>
  <c r="NM32" i="83" s="1"/>
  <c r="NM21" i="83"/>
  <c r="NM24" i="83" s="1"/>
  <c r="NM26" i="83" s="1"/>
  <c r="NM20" i="83"/>
  <c r="NM23" i="83" s="1"/>
  <c r="NM19" i="83"/>
  <c r="NM27" i="83" s="1"/>
  <c r="NM22" i="83"/>
  <c r="MC3" i="695"/>
  <c r="LI7" i="695"/>
  <c r="LI9" i="695"/>
  <c r="LI10" i="695"/>
  <c r="LI11" i="695"/>
  <c r="LI12" i="695"/>
  <c r="LI13" i="695"/>
  <c r="LI14" i="695"/>
  <c r="LI15" i="695"/>
  <c r="LI16" i="695"/>
  <c r="LI17" i="695"/>
  <c r="LI8" i="695"/>
  <c r="KG18" i="695"/>
  <c r="KG31" i="695" s="1"/>
  <c r="KG21" i="695"/>
  <c r="KG24" i="695" s="1"/>
  <c r="KG26" i="695" s="1"/>
  <c r="KG19" i="695"/>
  <c r="KG27" i="695" s="1"/>
  <c r="KG20" i="695"/>
  <c r="KG23" i="695" s="1"/>
  <c r="KG22" i="695"/>
  <c r="MA3" i="695"/>
  <c r="LG7" i="695"/>
  <c r="LG9" i="695"/>
  <c r="LG10" i="695"/>
  <c r="LG11" i="695"/>
  <c r="LG12" i="695"/>
  <c r="LG13" i="695"/>
  <c r="LG14" i="695"/>
  <c r="LG15" i="695"/>
  <c r="LG16" i="695"/>
  <c r="LG17" i="695"/>
  <c r="LG8" i="695"/>
  <c r="PD3" i="83"/>
  <c r="OJ9" i="83"/>
  <c r="RL9" i="83"/>
  <c r="OJ10" i="83"/>
  <c r="RL10" i="83"/>
  <c r="OJ11" i="83"/>
  <c r="RL11" i="83"/>
  <c r="OJ12" i="83"/>
  <c r="RL12" i="83"/>
  <c r="OJ13" i="83"/>
  <c r="RL13" i="83"/>
  <c r="OJ14" i="83"/>
  <c r="RL14" i="83"/>
  <c r="OJ15" i="83"/>
  <c r="RL15" i="83"/>
  <c r="OJ16" i="83"/>
  <c r="RL16" i="83"/>
  <c r="OJ17" i="83"/>
  <c r="RL17" i="83"/>
  <c r="RL7" i="83"/>
  <c r="OJ7" i="83"/>
  <c r="RL8" i="83"/>
  <c r="OJ8" i="83"/>
  <c r="PG3" i="83"/>
  <c r="OM9" i="83"/>
  <c r="RO9" i="83"/>
  <c r="OM10" i="83"/>
  <c r="RO10" i="83"/>
  <c r="OM11" i="83"/>
  <c r="RO11" i="83"/>
  <c r="OM12" i="83"/>
  <c r="RO12" i="83"/>
  <c r="OM13" i="83"/>
  <c r="RO13" i="83"/>
  <c r="OM14" i="83"/>
  <c r="RO14" i="83"/>
  <c r="OM15" i="83"/>
  <c r="RO15" i="83"/>
  <c r="OM16" i="83"/>
  <c r="RO16" i="83"/>
  <c r="OM17" i="83"/>
  <c r="RO17" i="83"/>
  <c r="RO7" i="83"/>
  <c r="OM7" i="83"/>
  <c r="OM8" i="83"/>
  <c r="RO8" i="83"/>
  <c r="KK18" i="83"/>
  <c r="KK32" i="83" s="1"/>
  <c r="KK21" i="83"/>
  <c r="KK24" i="83" s="1"/>
  <c r="KK26" i="83" s="1"/>
  <c r="KK20" i="83"/>
  <c r="KK23" i="83" s="1"/>
  <c r="KK19" i="83"/>
  <c r="KK27" i="83" s="1"/>
  <c r="KK22" i="83"/>
  <c r="JP25" i="83"/>
  <c r="JP30" i="83"/>
  <c r="JP33" i="83"/>
  <c r="KY18" i="83"/>
  <c r="KY32" i="83" s="1"/>
  <c r="KY19" i="83"/>
  <c r="KY27" i="83" s="1"/>
  <c r="KY20" i="83"/>
  <c r="KY23" i="83" s="1"/>
  <c r="KY21" i="83"/>
  <c r="KY24" i="83" s="1"/>
  <c r="KY26" i="83" s="1"/>
  <c r="KY22" i="83"/>
  <c r="LV3" i="695"/>
  <c r="LB7" i="695"/>
  <c r="LB9" i="695"/>
  <c r="LB10" i="695"/>
  <c r="LB11" i="695"/>
  <c r="LB12" i="695"/>
  <c r="LB13" i="695"/>
  <c r="LB14" i="695"/>
  <c r="LB15" i="695"/>
  <c r="LB16" i="695"/>
  <c r="LB17" i="695"/>
  <c r="LB8" i="695"/>
  <c r="JQ29" i="695"/>
  <c r="JQ25" i="695"/>
  <c r="JQ32" i="695"/>
  <c r="KL19" i="695"/>
  <c r="KL27" i="695" s="1"/>
  <c r="KL20" i="695"/>
  <c r="KL23" i="695" s="1"/>
  <c r="KL18" i="695"/>
  <c r="KL31" i="695" s="1"/>
  <c r="KL22" i="695"/>
  <c r="KL21" i="695"/>
  <c r="KL24" i="695" s="1"/>
  <c r="KL26" i="695" s="1"/>
  <c r="KC25" i="83"/>
  <c r="KC30" i="83"/>
  <c r="KC33" i="83"/>
  <c r="OB29" i="83"/>
  <c r="OB31" i="83"/>
  <c r="JY29" i="695"/>
  <c r="JY25" i="695"/>
  <c r="JY32" i="695"/>
  <c r="ML3" i="83"/>
  <c r="LR9" i="83"/>
  <c r="LR10" i="83"/>
  <c r="LR11" i="83"/>
  <c r="LR12" i="83"/>
  <c r="LR13" i="83"/>
  <c r="LR14" i="83"/>
  <c r="LR15" i="83"/>
  <c r="LR16" i="83"/>
  <c r="LR17" i="83"/>
  <c r="LR7" i="83"/>
  <c r="LR8" i="83"/>
  <c r="KV29" i="83"/>
  <c r="KV31" i="83"/>
  <c r="NU29" i="83"/>
  <c r="NU31" i="83"/>
  <c r="KP29" i="83"/>
  <c r="KP31" i="83"/>
  <c r="MC3" i="83"/>
  <c r="LI9" i="83"/>
  <c r="LI10" i="83"/>
  <c r="LI11" i="83"/>
  <c r="LI12" i="83"/>
  <c r="LI13" i="83"/>
  <c r="LI14" i="83"/>
  <c r="LI15" i="83"/>
  <c r="LI16" i="83"/>
  <c r="LI17" i="83"/>
  <c r="LI7" i="83"/>
  <c r="LI8" i="83"/>
  <c r="KE25" i="83"/>
  <c r="KE30" i="83"/>
  <c r="KE33" i="83"/>
  <c r="MG3" i="83"/>
  <c r="LM9" i="83"/>
  <c r="LM10" i="83"/>
  <c r="LM11" i="83"/>
  <c r="LM12" i="83"/>
  <c r="LM13" i="83"/>
  <c r="LM14" i="83"/>
  <c r="LM15" i="83"/>
  <c r="LM16" i="83"/>
  <c r="LM17" i="83"/>
  <c r="LM7" i="83"/>
  <c r="LM8" i="83"/>
  <c r="NK18" i="83"/>
  <c r="NK32" i="83" s="1"/>
  <c r="NK19" i="83"/>
  <c r="NK27" i="83" s="1"/>
  <c r="NK20" i="83"/>
  <c r="NK23" i="83" s="1"/>
  <c r="NK21" i="83"/>
  <c r="NK24" i="83" s="1"/>
  <c r="NK26" i="83" s="1"/>
  <c r="NK22" i="83"/>
  <c r="KQ20" i="695"/>
  <c r="KQ23" i="695" s="1"/>
  <c r="KQ18" i="695"/>
  <c r="KQ31" i="695" s="1"/>
  <c r="KQ19" i="695"/>
  <c r="KQ27" i="695" s="1"/>
  <c r="KQ21" i="695"/>
  <c r="KQ24" i="695" s="1"/>
  <c r="KQ26" i="695" s="1"/>
  <c r="KQ22" i="695"/>
  <c r="KR29" i="83"/>
  <c r="KR31" i="83"/>
  <c r="KA25" i="83"/>
  <c r="KA30" i="83"/>
  <c r="KA33" i="83"/>
  <c r="NI20" i="83"/>
  <c r="NI23" i="83" s="1"/>
  <c r="KE19" i="695"/>
  <c r="KE27" i="695" s="1"/>
  <c r="KG18" i="83"/>
  <c r="KG32" i="83" s="1"/>
  <c r="KR20" i="695"/>
  <c r="KR23" i="695" s="1"/>
  <c r="KR18" i="695"/>
  <c r="KR31" i="695" s="1"/>
  <c r="KR19" i="695"/>
  <c r="KR27" i="695" s="1"/>
  <c r="KR21" i="695"/>
  <c r="KR24" i="695" s="1"/>
  <c r="KR26" i="695" s="1"/>
  <c r="KR22" i="695"/>
  <c r="MJ3" i="83"/>
  <c r="LP9" i="83"/>
  <c r="LP10" i="83"/>
  <c r="LP11" i="83"/>
  <c r="LP12" i="83"/>
  <c r="LP13" i="83"/>
  <c r="LP14" i="83"/>
  <c r="LP15" i="83"/>
  <c r="LP16" i="83"/>
  <c r="LP17" i="83"/>
  <c r="LP7" i="83"/>
  <c r="LP8" i="83"/>
  <c r="NR29" i="83"/>
  <c r="NR31" i="83"/>
  <c r="KM29" i="83"/>
  <c r="KM31" i="83"/>
  <c r="KW28" i="695"/>
  <c r="KW30" i="695"/>
  <c r="KW18" i="83"/>
  <c r="KW32" i="83" s="1"/>
  <c r="KW19" i="83"/>
  <c r="KW27" i="83" s="1"/>
  <c r="KW20" i="83"/>
  <c r="KW23" i="83" s="1"/>
  <c r="KW22" i="83"/>
  <c r="KW21" i="83"/>
  <c r="KW24" i="83" s="1"/>
  <c r="KW26" i="83" s="1"/>
  <c r="LS3" i="695"/>
  <c r="KY9" i="695"/>
  <c r="KY20" i="695" s="1"/>
  <c r="KY23" i="695" s="1"/>
  <c r="KY10" i="695"/>
  <c r="KY11" i="695"/>
  <c r="KY12" i="695"/>
  <c r="KY13" i="695"/>
  <c r="KY14" i="695"/>
  <c r="KY15" i="695"/>
  <c r="KY16" i="695"/>
  <c r="KY17" i="695"/>
  <c r="NM29" i="83"/>
  <c r="NM31" i="83"/>
  <c r="JK25" i="695"/>
  <c r="JK29" i="695"/>
  <c r="JK32" i="695"/>
  <c r="NW18" i="83"/>
  <c r="NW32" i="83" s="1"/>
  <c r="NW19" i="83"/>
  <c r="NW27" i="83" s="1"/>
  <c r="NW21" i="83"/>
  <c r="NW24" i="83" s="1"/>
  <c r="NW26" i="83" s="1"/>
  <c r="NW20" i="83"/>
  <c r="NW23" i="83" s="1"/>
  <c r="NW22" i="83"/>
  <c r="KJ20" i="695"/>
  <c r="KJ23" i="695" s="1"/>
  <c r="KJ18" i="695"/>
  <c r="KJ31" i="695" s="1"/>
  <c r="KJ19" i="695"/>
  <c r="KJ27" i="695" s="1"/>
  <c r="KJ21" i="695"/>
  <c r="KJ24" i="695" s="1"/>
  <c r="KJ26" i="695" s="1"/>
  <c r="KJ22" i="695"/>
  <c r="MB3" i="83"/>
  <c r="LH9" i="83"/>
  <c r="LH10" i="83"/>
  <c r="LH11" i="83"/>
  <c r="LH12" i="83"/>
  <c r="LH13" i="83"/>
  <c r="LH14" i="83"/>
  <c r="LH15" i="83"/>
  <c r="LH16" i="83"/>
  <c r="LH17" i="83"/>
  <c r="LH7" i="83"/>
  <c r="LH8" i="83"/>
  <c r="KK29" i="83"/>
  <c r="KK31" i="83"/>
  <c r="KY29" i="83"/>
  <c r="KY31" i="83"/>
  <c r="NX18" i="83"/>
  <c r="NX32" i="83" s="1"/>
  <c r="NX19" i="83"/>
  <c r="NX27" i="83" s="1"/>
  <c r="NX20" i="83"/>
  <c r="NX23" i="83" s="1"/>
  <c r="NX21" i="83"/>
  <c r="NX24" i="83" s="1"/>
  <c r="NX26" i="83" s="1"/>
  <c r="NX22" i="83"/>
  <c r="PN3" i="83"/>
  <c r="OT9" i="83"/>
  <c r="RV9" i="83"/>
  <c r="OT10" i="83"/>
  <c r="RV10" i="83"/>
  <c r="OT11" i="83"/>
  <c r="RV11" i="83"/>
  <c r="OT12" i="83"/>
  <c r="RV12" i="83"/>
  <c r="OT13" i="83"/>
  <c r="RV13" i="83"/>
  <c r="OT14" i="83"/>
  <c r="RV14" i="83"/>
  <c r="OT15" i="83"/>
  <c r="RV15" i="83"/>
  <c r="OT16" i="83"/>
  <c r="RV16" i="83"/>
  <c r="OT17" i="83"/>
  <c r="RV17" i="83"/>
  <c r="OT7" i="83"/>
  <c r="RV7" i="83"/>
  <c r="RV8" i="83"/>
  <c r="OT8" i="83"/>
  <c r="JN25" i="695"/>
  <c r="JN29" i="695"/>
  <c r="JN32" i="695"/>
  <c r="KI18" i="83"/>
  <c r="KI32" i="83" s="1"/>
  <c r="KI19" i="83"/>
  <c r="KI27" i="83" s="1"/>
  <c r="KI20" i="83"/>
  <c r="KI23" i="83" s="1"/>
  <c r="KI21" i="83"/>
  <c r="KI24" i="83" s="1"/>
  <c r="KI26" i="83" s="1"/>
  <c r="KI22" i="83"/>
  <c r="KT19" i="695"/>
  <c r="KT27" i="695" s="1"/>
  <c r="KT20" i="695"/>
  <c r="KT23" i="695" s="1"/>
  <c r="KT18" i="695"/>
  <c r="KT31" i="695" s="1"/>
  <c r="KT22" i="695"/>
  <c r="KT21" i="695"/>
  <c r="KT24" i="695" s="1"/>
  <c r="KT26" i="695" s="1"/>
  <c r="KB29" i="695"/>
  <c r="KB25" i="695"/>
  <c r="KB32" i="695"/>
  <c r="PI3" i="83"/>
  <c r="OO9" i="83"/>
  <c r="RQ9" i="83"/>
  <c r="OO10" i="83"/>
  <c r="RQ10" i="83"/>
  <c r="OO11" i="83"/>
  <c r="RQ11" i="83"/>
  <c r="OO12" i="83"/>
  <c r="RQ12" i="83"/>
  <c r="OO13" i="83"/>
  <c r="RQ13" i="83"/>
  <c r="OO14" i="83"/>
  <c r="RQ14" i="83"/>
  <c r="OO15" i="83"/>
  <c r="RQ15" i="83"/>
  <c r="OO16" i="83"/>
  <c r="RQ16" i="83"/>
  <c r="OO17" i="83"/>
  <c r="RQ17" i="83"/>
  <c r="OO7" i="83"/>
  <c r="RQ7" i="83"/>
  <c r="OO8" i="83"/>
  <c r="RQ8" i="83"/>
  <c r="NK29" i="83"/>
  <c r="NK31" i="83"/>
  <c r="NY19" i="83"/>
  <c r="NY27" i="83" s="1"/>
  <c r="NY18" i="83"/>
  <c r="NY32" i="83" s="1"/>
  <c r="NY20" i="83"/>
  <c r="NY23" i="83" s="1"/>
  <c r="NY21" i="83"/>
  <c r="NY24" i="83" s="1"/>
  <c r="NY26" i="83" s="1"/>
  <c r="NY22" i="83"/>
  <c r="NI19" i="83"/>
  <c r="NI27" i="83" s="1"/>
  <c r="PO3" i="83"/>
  <c r="OU9" i="83"/>
  <c r="RW9" i="83"/>
  <c r="OU10" i="83"/>
  <c r="RW10" i="83"/>
  <c r="OU11" i="83"/>
  <c r="RW11" i="83"/>
  <c r="OU12" i="83"/>
  <c r="RW12" i="83"/>
  <c r="OU13" i="83"/>
  <c r="RW13" i="83"/>
  <c r="OU14" i="83"/>
  <c r="RW14" i="83"/>
  <c r="OU15" i="83"/>
  <c r="RW15" i="83"/>
  <c r="OU16" i="83"/>
  <c r="RW16" i="83"/>
  <c r="OU17" i="83"/>
  <c r="RW17" i="83"/>
  <c r="OU7" i="83"/>
  <c r="RW7" i="83"/>
  <c r="OU8" i="83"/>
  <c r="RW8" i="83"/>
  <c r="KU21" i="695"/>
  <c r="KU24" i="695" s="1"/>
  <c r="KU26" i="695" s="1"/>
  <c r="KU19" i="695"/>
  <c r="KU27" i="695" s="1"/>
  <c r="KU18" i="695"/>
  <c r="KU31" i="695" s="1"/>
  <c r="KU22" i="695"/>
  <c r="KU20" i="695"/>
  <c r="KU23" i="695" s="1"/>
  <c r="LZ3" i="695"/>
  <c r="LF7" i="695"/>
  <c r="LF9" i="695"/>
  <c r="LF10" i="695"/>
  <c r="LF11" i="695"/>
  <c r="LF12" i="695"/>
  <c r="LF13" i="695"/>
  <c r="LF14" i="695"/>
  <c r="LF15" i="695"/>
  <c r="LF16" i="695"/>
  <c r="LF17" i="695"/>
  <c r="LF8" i="695"/>
  <c r="KT29" i="83"/>
  <c r="KT31" i="83"/>
  <c r="JS25" i="83"/>
  <c r="JS30" i="83"/>
  <c r="JS33" i="83"/>
  <c r="PF3" i="83"/>
  <c r="OL9" i="83"/>
  <c r="RN9" i="83"/>
  <c r="OL10" i="83"/>
  <c r="RN10" i="83"/>
  <c r="OL11" i="83"/>
  <c r="RN11" i="83"/>
  <c r="OL12" i="83"/>
  <c r="RN12" i="83"/>
  <c r="OL13" i="83"/>
  <c r="RN13" i="83"/>
  <c r="OL14" i="83"/>
  <c r="RN14" i="83"/>
  <c r="OL15" i="83"/>
  <c r="RN15" i="83"/>
  <c r="OL16" i="83"/>
  <c r="RN16" i="83"/>
  <c r="OL17" i="83"/>
  <c r="RN17" i="83"/>
  <c r="OL7" i="83"/>
  <c r="RN7" i="83"/>
  <c r="OL8" i="83"/>
  <c r="RN8" i="83"/>
  <c r="MK3" i="695"/>
  <c r="LQ7" i="695"/>
  <c r="LQ9" i="695"/>
  <c r="LQ10" i="695"/>
  <c r="LQ11" i="695"/>
  <c r="LQ12" i="695"/>
  <c r="LQ13" i="695"/>
  <c r="LQ14" i="695"/>
  <c r="LQ15" i="695"/>
  <c r="LQ16" i="695"/>
  <c r="LQ17" i="695"/>
  <c r="LQ8" i="695"/>
  <c r="KK28" i="695"/>
  <c r="KK30" i="695"/>
  <c r="KW29" i="83"/>
  <c r="KW31" i="83"/>
  <c r="NO18" i="83"/>
  <c r="NO32" i="83" s="1"/>
  <c r="NO19" i="83"/>
  <c r="NO27" i="83" s="1"/>
  <c r="NO21" i="83"/>
  <c r="NO24" i="83" s="1"/>
  <c r="NO26" i="83" s="1"/>
  <c r="NO20" i="83"/>
  <c r="NO23" i="83" s="1"/>
  <c r="NO22" i="83"/>
  <c r="KL18" i="83"/>
  <c r="KL32" i="83" s="1"/>
  <c r="KL19" i="83"/>
  <c r="KL27" i="83" s="1"/>
  <c r="KL21" i="83"/>
  <c r="KL24" i="83" s="1"/>
  <c r="KL26" i="83" s="1"/>
  <c r="KL20" i="83"/>
  <c r="KL23" i="83" s="1"/>
  <c r="KL22" i="83"/>
  <c r="MI3" i="83"/>
  <c r="LO9" i="83"/>
  <c r="LO10" i="83"/>
  <c r="LO11" i="83"/>
  <c r="LO12" i="83"/>
  <c r="LO13" i="83"/>
  <c r="LO14" i="83"/>
  <c r="LO15" i="83"/>
  <c r="LO16" i="83"/>
  <c r="LO17" i="83"/>
  <c r="LO7" i="83"/>
  <c r="LO8" i="83"/>
  <c r="KG28" i="695"/>
  <c r="KG30" i="695"/>
  <c r="JY25" i="83"/>
  <c r="JY30" i="83"/>
  <c r="JY33" i="83"/>
  <c r="JV25" i="83"/>
  <c r="JV30" i="83"/>
  <c r="JV33" i="83"/>
  <c r="NW29" i="83"/>
  <c r="NW31" i="83"/>
  <c r="JO25" i="83"/>
  <c r="JO30" i="83"/>
  <c r="JO33" i="83"/>
  <c r="JV25" i="695"/>
  <c r="JV29" i="695"/>
  <c r="JV32" i="695"/>
  <c r="KL28" i="695"/>
  <c r="KL30" i="695"/>
  <c r="KT18" i="83"/>
  <c r="KT32" i="83" s="1"/>
  <c r="KT19" i="83"/>
  <c r="KT27" i="83" s="1"/>
  <c r="KT21" i="83"/>
  <c r="KT24" i="83" s="1"/>
  <c r="KT26" i="83" s="1"/>
  <c r="KT20" i="83"/>
  <c r="KT23" i="83" s="1"/>
  <c r="KT22" i="83"/>
  <c r="NX29" i="83"/>
  <c r="NX31" i="83"/>
  <c r="PL3" i="83"/>
  <c r="OR9" i="83"/>
  <c r="RT9" i="83"/>
  <c r="OR10" i="83"/>
  <c r="RT10" i="83"/>
  <c r="OR11" i="83"/>
  <c r="RT11" i="83"/>
  <c r="OR12" i="83"/>
  <c r="RT12" i="83"/>
  <c r="OR13" i="83"/>
  <c r="RT13" i="83"/>
  <c r="OR14" i="83"/>
  <c r="RT14" i="83"/>
  <c r="OR15" i="83"/>
  <c r="RT15" i="83"/>
  <c r="OR16" i="83"/>
  <c r="RT16" i="83"/>
  <c r="OR17" i="83"/>
  <c r="RT17" i="83"/>
  <c r="OR7" i="83"/>
  <c r="RT7" i="83"/>
  <c r="OR8" i="83"/>
  <c r="RT8" i="83"/>
  <c r="MD3" i="83"/>
  <c r="LJ9" i="83"/>
  <c r="LJ10" i="83"/>
  <c r="LJ11" i="83"/>
  <c r="LJ12" i="83"/>
  <c r="LJ13" i="83"/>
  <c r="LJ14" i="83"/>
  <c r="LJ15" i="83"/>
  <c r="LJ16" i="83"/>
  <c r="LJ17" i="83"/>
  <c r="LJ7" i="83"/>
  <c r="LJ8" i="83"/>
  <c r="KI29" i="83"/>
  <c r="KI31" i="83"/>
  <c r="JR25" i="695"/>
  <c r="JR29" i="695"/>
  <c r="JR32" i="695"/>
  <c r="NR18" i="83"/>
  <c r="NR32" i="83" s="1"/>
  <c r="NR19" i="83"/>
  <c r="NR27" i="83" s="1"/>
  <c r="NR20" i="83"/>
  <c r="NR23" i="83" s="1"/>
  <c r="NR22" i="83"/>
  <c r="NR21" i="83"/>
  <c r="NR24" i="83" s="1"/>
  <c r="NR26" i="83" s="1"/>
  <c r="NY29" i="83"/>
  <c r="NY31" i="83"/>
  <c r="KQ28" i="695"/>
  <c r="KQ30" i="695"/>
  <c r="MF3" i="83"/>
  <c r="LL9" i="83"/>
  <c r="LL10" i="83"/>
  <c r="LL11" i="83"/>
  <c r="LL12" i="83"/>
  <c r="LL13" i="83"/>
  <c r="LL14" i="83"/>
  <c r="LL15" i="83"/>
  <c r="LL16" i="83"/>
  <c r="LL17" i="83"/>
  <c r="LL7" i="83"/>
  <c r="LL8" i="83"/>
  <c r="OW8" i="83"/>
  <c r="OW7" i="83"/>
  <c r="LS8" i="695"/>
  <c r="LS7" i="695"/>
  <c r="LU8" i="83"/>
  <c r="LU7" i="83"/>
  <c r="LU31" i="83" l="1"/>
  <c r="LS30" i="695"/>
  <c r="C44" i="83"/>
  <c r="OW31" i="83"/>
  <c r="B44" i="83"/>
  <c r="C45" i="83"/>
  <c r="B45" i="83"/>
  <c r="KY25" i="695"/>
  <c r="KY29" i="695"/>
  <c r="KY32" i="695"/>
  <c r="LL18" i="83"/>
  <c r="LL32" i="83" s="1"/>
  <c r="LL19" i="83"/>
  <c r="LL27" i="83" s="1"/>
  <c r="LL20" i="83"/>
  <c r="LL23" i="83" s="1"/>
  <c r="LL22" i="83"/>
  <c r="LL21" i="83"/>
  <c r="LL24" i="83" s="1"/>
  <c r="LL26" i="83" s="1"/>
  <c r="LF20" i="695"/>
  <c r="LF23" i="695" s="1"/>
  <c r="LF18" i="695"/>
  <c r="LF31" i="695" s="1"/>
  <c r="LF21" i="695"/>
  <c r="LF24" i="695" s="1"/>
  <c r="LF26" i="695" s="1"/>
  <c r="LF19" i="695"/>
  <c r="LF27" i="695" s="1"/>
  <c r="LF22" i="695"/>
  <c r="QD3" i="83"/>
  <c r="PJ9" i="83"/>
  <c r="PJ10" i="83"/>
  <c r="PJ11" i="83"/>
  <c r="PJ12" i="83"/>
  <c r="PJ13" i="83"/>
  <c r="PJ14" i="83"/>
  <c r="PJ15" i="83"/>
  <c r="PJ16" i="83"/>
  <c r="PJ17" i="83"/>
  <c r="PJ7" i="83"/>
  <c r="PJ8" i="83"/>
  <c r="KX25" i="83"/>
  <c r="KX30" i="83"/>
  <c r="KX33" i="83"/>
  <c r="NZ25" i="83"/>
  <c r="NZ30" i="83"/>
  <c r="NZ33" i="83"/>
  <c r="LS18" i="83"/>
  <c r="LS32" i="83" s="1"/>
  <c r="LS19" i="83"/>
  <c r="LS27" i="83" s="1"/>
  <c r="LS21" i="83"/>
  <c r="LS24" i="83" s="1"/>
  <c r="LS26" i="83" s="1"/>
  <c r="LS20" i="83"/>
  <c r="LS23" i="83" s="1"/>
  <c r="LS22" i="83"/>
  <c r="KV29" i="695"/>
  <c r="KV25" i="695"/>
  <c r="KV32" i="695"/>
  <c r="OS18" i="83"/>
  <c r="OS32" i="83" s="1"/>
  <c r="OS19" i="83"/>
  <c r="OS27" i="83" s="1"/>
  <c r="OS20" i="83"/>
  <c r="OS23" i="83" s="1"/>
  <c r="OS21" i="83"/>
  <c r="OS24" i="83" s="1"/>
  <c r="OS26" i="83" s="1"/>
  <c r="OS22" i="83"/>
  <c r="NC3" i="83"/>
  <c r="MI9" i="83"/>
  <c r="MI10" i="83"/>
  <c r="MI11" i="83"/>
  <c r="MI12" i="83"/>
  <c r="MI13" i="83"/>
  <c r="MI14" i="83"/>
  <c r="MI15" i="83"/>
  <c r="MI16" i="83"/>
  <c r="MI17" i="83"/>
  <c r="MI7" i="83"/>
  <c r="MI8" i="83"/>
  <c r="RW18" i="83"/>
  <c r="RW32" i="83" s="1"/>
  <c r="RW19" i="83"/>
  <c r="RW27" i="83" s="1"/>
  <c r="RW20" i="83"/>
  <c r="RW23" i="83" s="1"/>
  <c r="RW22" i="83"/>
  <c r="RW21" i="83"/>
  <c r="RW24" i="83" s="1"/>
  <c r="RW26" i="83" s="1"/>
  <c r="OO19" i="83"/>
  <c r="OO27" i="83" s="1"/>
  <c r="OO20" i="83"/>
  <c r="OO23" i="83" s="1"/>
  <c r="OO18" i="83"/>
  <c r="OO32" i="83" s="1"/>
  <c r="OO21" i="83"/>
  <c r="OO24" i="83" s="1"/>
  <c r="OO26" i="83" s="1"/>
  <c r="OO22" i="83"/>
  <c r="KI25" i="83"/>
  <c r="KI30" i="83"/>
  <c r="KI33" i="83"/>
  <c r="RV29" i="83"/>
  <c r="RV31" i="83"/>
  <c r="NW25" i="83"/>
  <c r="NW30" i="83"/>
  <c r="NW33" i="83"/>
  <c r="LI18" i="83"/>
  <c r="LI32" i="83" s="1"/>
  <c r="LI19" i="83"/>
  <c r="LI27" i="83" s="1"/>
  <c r="LI21" i="83"/>
  <c r="LI24" i="83" s="1"/>
  <c r="LI26" i="83" s="1"/>
  <c r="LI20" i="83"/>
  <c r="LI23" i="83" s="1"/>
  <c r="LI22" i="83"/>
  <c r="LB28" i="695"/>
  <c r="LB30" i="695"/>
  <c r="OM18" i="83"/>
  <c r="OM32" i="83" s="1"/>
  <c r="OM19" i="83"/>
  <c r="OM27" i="83" s="1"/>
  <c r="OM20" i="83"/>
  <c r="OM23" i="83" s="1"/>
  <c r="OM22" i="83"/>
  <c r="OM21" i="83"/>
  <c r="OM24" i="83" s="1"/>
  <c r="OM26" i="83" s="1"/>
  <c r="OJ29" i="83"/>
  <c r="OJ31" i="83"/>
  <c r="MU3" i="695"/>
  <c r="MA7" i="695"/>
  <c r="MA9" i="695"/>
  <c r="MA10" i="695"/>
  <c r="MA11" i="695"/>
  <c r="MA12" i="695"/>
  <c r="MA13" i="695"/>
  <c r="MA14" i="695"/>
  <c r="MA15" i="695"/>
  <c r="MA16" i="695"/>
  <c r="MA17" i="695"/>
  <c r="MA8" i="695"/>
  <c r="LI28" i="695"/>
  <c r="LI30" i="695"/>
  <c r="LJ19" i="695"/>
  <c r="LJ27" i="695" s="1"/>
  <c r="LJ20" i="695"/>
  <c r="LJ23" i="695" s="1"/>
  <c r="LJ18" i="695"/>
  <c r="LJ31" i="695" s="1"/>
  <c r="LJ21" i="695"/>
  <c r="LJ24" i="695" s="1"/>
  <c r="LJ26" i="695" s="1"/>
  <c r="LJ22" i="695"/>
  <c r="RM18" i="83"/>
  <c r="RM32" i="83" s="1"/>
  <c r="RM19" i="83"/>
  <c r="RM27" i="83" s="1"/>
  <c r="RM20" i="83"/>
  <c r="RM23" i="83" s="1"/>
  <c r="RM21" i="83"/>
  <c r="RM24" i="83" s="1"/>
  <c r="RM26" i="83" s="1"/>
  <c r="RM22" i="83"/>
  <c r="KP25" i="83"/>
  <c r="KP30" i="83"/>
  <c r="KP33" i="83"/>
  <c r="RF19" i="83"/>
  <c r="RF27" i="83" s="1"/>
  <c r="RF18" i="83"/>
  <c r="RF32" i="83" s="1"/>
  <c r="RF20" i="83"/>
  <c r="RF23" i="83" s="1"/>
  <c r="RF22" i="83"/>
  <c r="RF21" i="83"/>
  <c r="RF24" i="83" s="1"/>
  <c r="RF26" i="83" s="1"/>
  <c r="RH29" i="83"/>
  <c r="RH31" i="83"/>
  <c r="KW29" i="695"/>
  <c r="KW25" i="695"/>
  <c r="KW32" i="695"/>
  <c r="LR28" i="695"/>
  <c r="LR30" i="695"/>
  <c r="NJ25" i="83"/>
  <c r="NJ30" i="83"/>
  <c r="NJ33" i="83"/>
  <c r="MP3" i="83"/>
  <c r="LV9" i="83"/>
  <c r="LV10" i="83"/>
  <c r="LV11" i="83"/>
  <c r="LV12" i="83"/>
  <c r="LV13" i="83"/>
  <c r="LV14" i="83"/>
  <c r="LV15" i="83"/>
  <c r="LV16" i="83"/>
  <c r="LV17" i="83"/>
  <c r="LV7" i="83"/>
  <c r="LV8" i="83"/>
  <c r="LL28" i="695"/>
  <c r="LL30" i="695"/>
  <c r="LO20" i="695"/>
  <c r="LO23" i="695" s="1"/>
  <c r="LO18" i="695"/>
  <c r="LO31" i="695" s="1"/>
  <c r="LO19" i="695"/>
  <c r="LO27" i="695" s="1"/>
  <c r="LO21" i="695"/>
  <c r="LO24" i="695" s="1"/>
  <c r="LO26" i="695" s="1"/>
  <c r="LO22" i="695"/>
  <c r="NN25" i="83"/>
  <c r="NN30" i="83"/>
  <c r="NN33" i="83"/>
  <c r="PV3" i="83"/>
  <c r="PB9" i="83"/>
  <c r="PB10" i="83"/>
  <c r="PB11" i="83"/>
  <c r="PB12" i="83"/>
  <c r="PB13" i="83"/>
  <c r="PB14" i="83"/>
  <c r="PB15" i="83"/>
  <c r="PB16" i="83"/>
  <c r="PB17" i="83"/>
  <c r="PB7" i="83"/>
  <c r="PB8" i="83"/>
  <c r="NA3" i="695"/>
  <c r="MG7" i="695"/>
  <c r="MG9" i="695"/>
  <c r="MG10" i="695"/>
  <c r="MG11" i="695"/>
  <c r="MG12" i="695"/>
  <c r="MG13" i="695"/>
  <c r="MG14" i="695"/>
  <c r="MG15" i="695"/>
  <c r="MG16" i="695"/>
  <c r="MG17" i="695"/>
  <c r="MG8" i="695"/>
  <c r="KX25" i="695"/>
  <c r="KX29" i="695"/>
  <c r="KX32" i="695"/>
  <c r="MO3" i="83"/>
  <c r="LU9" i="83"/>
  <c r="LU29" i="83" s="1"/>
  <c r="LU10" i="83"/>
  <c r="LU11" i="83"/>
  <c r="LU12" i="83"/>
  <c r="LU13" i="83"/>
  <c r="LU14" i="83"/>
  <c r="LU15" i="83"/>
  <c r="LU21" i="83" s="1"/>
  <c r="LU24" i="83" s="1"/>
  <c r="LU26" i="83" s="1"/>
  <c r="LU16" i="83"/>
  <c r="LU17" i="83"/>
  <c r="OE29" i="83"/>
  <c r="OE31" i="83"/>
  <c r="NB3" i="83"/>
  <c r="MH9" i="83"/>
  <c r="MH10" i="83"/>
  <c r="MH11" i="83"/>
  <c r="MH12" i="83"/>
  <c r="MH13" i="83"/>
  <c r="MH14" i="83"/>
  <c r="MH15" i="83"/>
  <c r="MH16" i="83"/>
  <c r="MH17" i="83"/>
  <c r="MH7" i="83"/>
  <c r="MH8" i="83"/>
  <c r="LK21" i="695"/>
  <c r="LK24" i="695" s="1"/>
  <c r="LK26" i="695" s="1"/>
  <c r="LK19" i="695"/>
  <c r="LK27" i="695" s="1"/>
  <c r="LK18" i="695"/>
  <c r="LK31" i="695" s="1"/>
  <c r="LK22" i="695"/>
  <c r="LK20" i="695"/>
  <c r="LK23" i="695" s="1"/>
  <c r="OQ18" i="83"/>
  <c r="OQ32" i="83" s="1"/>
  <c r="OQ19" i="83"/>
  <c r="OQ27" i="83" s="1"/>
  <c r="OQ20" i="83"/>
  <c r="OQ23" i="83" s="1"/>
  <c r="OQ21" i="83"/>
  <c r="OQ24" i="83" s="1"/>
  <c r="OQ26" i="83" s="1"/>
  <c r="OQ22" i="83"/>
  <c r="MU3" i="83"/>
  <c r="MA9" i="83"/>
  <c r="MA10" i="83"/>
  <c r="MA11" i="83"/>
  <c r="MA12" i="83"/>
  <c r="MA13" i="83"/>
  <c r="MA14" i="83"/>
  <c r="MA15" i="83"/>
  <c r="MA16" i="83"/>
  <c r="MA17" i="83"/>
  <c r="MA7" i="83"/>
  <c r="MA8" i="83"/>
  <c r="KO25" i="83"/>
  <c r="KO30" i="83"/>
  <c r="KO33" i="83"/>
  <c r="LS29" i="83"/>
  <c r="LS31" i="83"/>
  <c r="RU18" i="83"/>
  <c r="RU32" i="83" s="1"/>
  <c r="RU20" i="83"/>
  <c r="RU23" i="83" s="1"/>
  <c r="RU19" i="83"/>
  <c r="RU27" i="83" s="1"/>
  <c r="RU21" i="83"/>
  <c r="RU24" i="83" s="1"/>
  <c r="RU26" i="83" s="1"/>
  <c r="RU22" i="83"/>
  <c r="KY28" i="695"/>
  <c r="LA22" i="83"/>
  <c r="KT25" i="83"/>
  <c r="KT30" i="83"/>
  <c r="KT33" i="83"/>
  <c r="W23" i="27" a="1"/>
  <c r="W23" i="27" s="1"/>
  <c r="X24" i="27"/>
  <c r="NE3" i="83"/>
  <c r="MK9" i="83"/>
  <c r="MK10" i="83"/>
  <c r="MK11" i="83"/>
  <c r="MK12" i="83"/>
  <c r="MK13" i="83"/>
  <c r="MK14" i="83"/>
  <c r="MK15" i="83"/>
  <c r="MK16" i="83"/>
  <c r="MK17" i="83"/>
  <c r="MK7" i="83"/>
  <c r="MK8" i="83"/>
  <c r="PW3" i="83"/>
  <c r="PC9" i="83"/>
  <c r="PC10" i="83"/>
  <c r="PC11" i="83"/>
  <c r="PC12" i="83"/>
  <c r="PC13" i="83"/>
  <c r="PC14" i="83"/>
  <c r="PC15" i="83"/>
  <c r="PC16" i="83"/>
  <c r="PC17" i="83"/>
  <c r="PC7" i="83"/>
  <c r="PC8" i="83"/>
  <c r="LJ18" i="83"/>
  <c r="LJ32" i="83" s="1"/>
  <c r="LJ19" i="83"/>
  <c r="LJ27" i="83" s="1"/>
  <c r="LJ21" i="83"/>
  <c r="LJ24" i="83" s="1"/>
  <c r="LJ26" i="83" s="1"/>
  <c r="LJ20" i="83"/>
  <c r="LJ23" i="83" s="1"/>
  <c r="LJ22" i="83"/>
  <c r="LQ28" i="695"/>
  <c r="LQ30" i="695"/>
  <c r="PZ3" i="83"/>
  <c r="PF9" i="83"/>
  <c r="PF10" i="83"/>
  <c r="PF11" i="83"/>
  <c r="PF12" i="83"/>
  <c r="PF13" i="83"/>
  <c r="PF14" i="83"/>
  <c r="PF15" i="83"/>
  <c r="PF16" i="83"/>
  <c r="PF17" i="83"/>
  <c r="PF7" i="83"/>
  <c r="PF8" i="83"/>
  <c r="LF28" i="695"/>
  <c r="LF30" i="695"/>
  <c r="OU18" i="83"/>
  <c r="OU32" i="83" s="1"/>
  <c r="OU19" i="83"/>
  <c r="OU27" i="83" s="1"/>
  <c r="OU20" i="83"/>
  <c r="OU23" i="83" s="1"/>
  <c r="OU22" i="83"/>
  <c r="OU21" i="83"/>
  <c r="OU24" i="83" s="1"/>
  <c r="OU26" i="83" s="1"/>
  <c r="RQ29" i="83"/>
  <c r="RQ31" i="83"/>
  <c r="OT29" i="83"/>
  <c r="OT31" i="83"/>
  <c r="MV3" i="83"/>
  <c r="MB9" i="83"/>
  <c r="MB10" i="83"/>
  <c r="MB11" i="83"/>
  <c r="MB12" i="83"/>
  <c r="MB13" i="83"/>
  <c r="MB14" i="83"/>
  <c r="MB15" i="83"/>
  <c r="MB16" i="83"/>
  <c r="MB17" i="83"/>
  <c r="MB7" i="83"/>
  <c r="MB8" i="83"/>
  <c r="ND3" i="83"/>
  <c r="MJ9" i="83"/>
  <c r="MJ10" i="83"/>
  <c r="MJ11" i="83"/>
  <c r="MJ12" i="83"/>
  <c r="MJ13" i="83"/>
  <c r="MJ14" i="83"/>
  <c r="MJ15" i="83"/>
  <c r="MJ16" i="83"/>
  <c r="MJ17" i="83"/>
  <c r="MJ7" i="83"/>
  <c r="MJ8" i="83"/>
  <c r="NI25" i="83"/>
  <c r="NI30" i="83"/>
  <c r="NI33" i="83"/>
  <c r="LM18" i="83"/>
  <c r="LM32" i="83" s="1"/>
  <c r="LM19" i="83"/>
  <c r="LM27" i="83" s="1"/>
  <c r="LM20" i="83"/>
  <c r="LM23" i="83" s="1"/>
  <c r="LM22" i="83"/>
  <c r="LM21" i="83"/>
  <c r="LM24" i="83" s="1"/>
  <c r="LM26" i="83" s="1"/>
  <c r="LI29" i="83"/>
  <c r="LI31" i="83"/>
  <c r="KL25" i="695"/>
  <c r="KL29" i="695"/>
  <c r="KL32" i="695"/>
  <c r="MP3" i="695"/>
  <c r="LV7" i="695"/>
  <c r="LV9" i="695"/>
  <c r="LV10" i="695"/>
  <c r="LV11" i="695"/>
  <c r="LV12" i="695"/>
  <c r="LV13" i="695"/>
  <c r="LV14" i="695"/>
  <c r="LV15" i="695"/>
  <c r="LV16" i="695"/>
  <c r="LV17" i="695"/>
  <c r="LV8" i="695"/>
  <c r="OM29" i="83"/>
  <c r="OM31" i="83"/>
  <c r="RL29" i="83"/>
  <c r="RL31" i="83"/>
  <c r="MW3" i="695"/>
  <c r="MC7" i="695"/>
  <c r="MC9" i="695"/>
  <c r="MC10" i="695"/>
  <c r="MC11" i="695"/>
  <c r="MC12" i="695"/>
  <c r="MC13" i="695"/>
  <c r="MC14" i="695"/>
  <c r="MC15" i="695"/>
  <c r="MC16" i="695"/>
  <c r="MC17" i="695"/>
  <c r="MC8" i="695"/>
  <c r="RP18" i="83"/>
  <c r="RP32" i="83" s="1"/>
  <c r="RP19" i="83"/>
  <c r="RP27" i="83" s="1"/>
  <c r="RP22" i="83"/>
  <c r="RP20" i="83"/>
  <c r="RP23" i="83" s="1"/>
  <c r="RP21" i="83"/>
  <c r="RP24" i="83" s="1"/>
  <c r="RP26" i="83" s="1"/>
  <c r="LE28" i="695"/>
  <c r="LE30" i="695"/>
  <c r="OK29" i="83"/>
  <c r="OK31" i="83"/>
  <c r="OD18" i="83"/>
  <c r="OD32" i="83" s="1"/>
  <c r="OD19" i="83"/>
  <c r="OD27" i="83" s="1"/>
  <c r="OD21" i="83"/>
  <c r="OD24" i="83" s="1"/>
  <c r="OD26" i="83" s="1"/>
  <c r="OD20" i="83"/>
  <c r="OD23" i="83" s="1"/>
  <c r="OD22" i="83"/>
  <c r="KZ28" i="695"/>
  <c r="KZ30" i="695"/>
  <c r="QJ3" i="83"/>
  <c r="PP9" i="83"/>
  <c r="PP10" i="83"/>
  <c r="PP11" i="83"/>
  <c r="PP12" i="83"/>
  <c r="PP13" i="83"/>
  <c r="PP14" i="83"/>
  <c r="PP15" i="83"/>
  <c r="PP16" i="83"/>
  <c r="PP17" i="83"/>
  <c r="PP7" i="83"/>
  <c r="PP8" i="83"/>
  <c r="OF29" i="83"/>
  <c r="OF31" i="83"/>
  <c r="NF3" i="695"/>
  <c r="ML7" i="695"/>
  <c r="ML9" i="695"/>
  <c r="ML10" i="695"/>
  <c r="ML11" i="695"/>
  <c r="ML12" i="695"/>
  <c r="ML13" i="695"/>
  <c r="ML14" i="695"/>
  <c r="ML15" i="695"/>
  <c r="ML16" i="695"/>
  <c r="ML17" i="695"/>
  <c r="ML8" i="695"/>
  <c r="LC21" i="695"/>
  <c r="LC24" i="695" s="1"/>
  <c r="LC26" i="695" s="1"/>
  <c r="LC19" i="695"/>
  <c r="LC27" i="695" s="1"/>
  <c r="LC18" i="695"/>
  <c r="LC31" i="695" s="1"/>
  <c r="LC22" i="695"/>
  <c r="LC20" i="695"/>
  <c r="LC23" i="695" s="1"/>
  <c r="MZ3" i="695"/>
  <c r="MF7" i="695"/>
  <c r="MF9" i="695"/>
  <c r="MF10" i="695"/>
  <c r="MF11" i="695"/>
  <c r="MF12" i="695"/>
  <c r="MF13" i="695"/>
  <c r="MF14" i="695"/>
  <c r="MF15" i="695"/>
  <c r="MF16" i="695"/>
  <c r="MF17" i="695"/>
  <c r="MF8" i="695"/>
  <c r="RR18" i="83"/>
  <c r="RR32" i="83" s="1"/>
  <c r="RR19" i="83"/>
  <c r="RR27" i="83" s="1"/>
  <c r="RR20" i="83"/>
  <c r="RR23" i="83" s="1"/>
  <c r="RR21" i="83"/>
  <c r="RR24" i="83" s="1"/>
  <c r="RR26" i="83" s="1"/>
  <c r="RR22" i="83"/>
  <c r="NH3" i="83"/>
  <c r="MN9" i="83"/>
  <c r="MN10" i="83"/>
  <c r="MN11" i="83"/>
  <c r="MN12" i="83"/>
  <c r="MN13" i="83"/>
  <c r="MN14" i="83"/>
  <c r="MN15" i="83"/>
  <c r="MN16" i="83"/>
  <c r="MN17" i="83"/>
  <c r="MN7" i="83"/>
  <c r="MN8" i="83"/>
  <c r="MR3" i="83"/>
  <c r="LX9" i="83"/>
  <c r="LX10" i="83"/>
  <c r="LX11" i="83"/>
  <c r="LX12" i="83"/>
  <c r="LX13" i="83"/>
  <c r="LX14" i="83"/>
  <c r="LX15" i="83"/>
  <c r="LX16" i="83"/>
  <c r="LX17" i="83"/>
  <c r="LX7" i="83"/>
  <c r="LX8" i="83"/>
  <c r="LE18" i="83"/>
  <c r="LE32" i="83" s="1"/>
  <c r="LE19" i="83"/>
  <c r="LE27" i="83" s="1"/>
  <c r="LE20" i="83"/>
  <c r="LE23" i="83" s="1"/>
  <c r="LE21" i="83"/>
  <c r="LE24" i="83" s="1"/>
  <c r="LE26" i="83" s="1"/>
  <c r="LE22" i="83"/>
  <c r="LF18" i="83"/>
  <c r="LF32" i="83" s="1"/>
  <c r="LF19" i="83"/>
  <c r="LF27" i="83" s="1"/>
  <c r="LF20" i="83"/>
  <c r="LF23" i="83" s="1"/>
  <c r="LF21" i="83"/>
  <c r="LF24" i="83" s="1"/>
  <c r="LF26" i="83" s="1"/>
  <c r="LF22" i="83"/>
  <c r="OQ29" i="83"/>
  <c r="OQ31" i="83"/>
  <c r="PU3" i="83"/>
  <c r="PA9" i="83"/>
  <c r="PA10" i="83"/>
  <c r="PA11" i="83"/>
  <c r="PA12" i="83"/>
  <c r="PA13" i="83"/>
  <c r="PA14" i="83"/>
  <c r="PA15" i="83"/>
  <c r="PA16" i="83"/>
  <c r="PA17" i="83"/>
  <c r="PA7" i="83"/>
  <c r="PA8" i="83"/>
  <c r="LD18" i="695"/>
  <c r="LD31" i="695" s="1"/>
  <c r="LD19" i="695"/>
  <c r="LD27" i="695" s="1"/>
  <c r="LD20" i="695"/>
  <c r="LD23" i="695" s="1"/>
  <c r="LD22" i="695"/>
  <c r="LD21" i="695"/>
  <c r="LD24" i="695" s="1"/>
  <c r="LD26" i="695" s="1"/>
  <c r="RU29" i="83"/>
  <c r="RU31" i="83"/>
  <c r="RK19" i="83"/>
  <c r="RK27" i="83" s="1"/>
  <c r="RK18" i="83"/>
  <c r="RK32" i="83" s="1"/>
  <c r="RK20" i="83"/>
  <c r="RK23" i="83" s="1"/>
  <c r="RK21" i="83"/>
  <c r="RK24" i="83" s="1"/>
  <c r="RK26" i="83" s="1"/>
  <c r="RK22" i="83"/>
  <c r="OC22" i="83"/>
  <c r="LA19" i="83"/>
  <c r="LA27" i="83" s="1"/>
  <c r="RT29" i="83"/>
  <c r="RT31" i="83"/>
  <c r="NO25" i="83"/>
  <c r="NO30" i="83"/>
  <c r="NO33" i="83"/>
  <c r="RV19" i="83"/>
  <c r="RV27" i="83" s="1"/>
  <c r="RV18" i="83"/>
  <c r="RV32" i="83" s="1"/>
  <c r="RV20" i="83"/>
  <c r="RV23" i="83" s="1"/>
  <c r="RV22" i="83"/>
  <c r="RV21" i="83"/>
  <c r="RV24" i="83" s="1"/>
  <c r="RV26" i="83" s="1"/>
  <c r="LG28" i="695"/>
  <c r="LG30" i="695"/>
  <c r="OK18" i="83"/>
  <c r="OK32" i="83" s="1"/>
  <c r="OK19" i="83"/>
  <c r="OK27" i="83" s="1"/>
  <c r="OK20" i="83"/>
  <c r="OK23" i="83" s="1"/>
  <c r="OK21" i="83"/>
  <c r="OK24" i="83" s="1"/>
  <c r="OK26" i="83" s="1"/>
  <c r="OK22" i="83"/>
  <c r="KZ20" i="695"/>
  <c r="KZ23" i="695" s="1"/>
  <c r="KZ18" i="695"/>
  <c r="KZ31" i="695" s="1"/>
  <c r="KZ19" i="695"/>
  <c r="KZ27" i="695" s="1"/>
  <c r="KZ21" i="695"/>
  <c r="KZ24" i="695" s="1"/>
  <c r="KZ26" i="695" s="1"/>
  <c r="KZ22" i="695"/>
  <c r="OF18" i="83"/>
  <c r="OF32" i="83" s="1"/>
  <c r="OF19" i="83"/>
  <c r="OF27" i="83" s="1"/>
  <c r="OF21" i="83"/>
  <c r="OF24" i="83" s="1"/>
  <c r="OF26" i="83" s="1"/>
  <c r="OF20" i="83"/>
  <c r="OF23" i="83" s="1"/>
  <c r="OF22" i="83"/>
  <c r="MZ3" i="83"/>
  <c r="MF9" i="83"/>
  <c r="MF10" i="83"/>
  <c r="MF11" i="83"/>
  <c r="MF12" i="83"/>
  <c r="MF13" i="83"/>
  <c r="MF14" i="83"/>
  <c r="MF15" i="83"/>
  <c r="MF16" i="83"/>
  <c r="MF17" i="83"/>
  <c r="MF7" i="83"/>
  <c r="MF8" i="83"/>
  <c r="LJ29" i="83"/>
  <c r="LJ31" i="83"/>
  <c r="KL25" i="83"/>
  <c r="KL30" i="83"/>
  <c r="KL33" i="83"/>
  <c r="NE3" i="695"/>
  <c r="MK7" i="695"/>
  <c r="MK9" i="695"/>
  <c r="MK10" i="695"/>
  <c r="MK11" i="695"/>
  <c r="MK12" i="695"/>
  <c r="MK13" i="695"/>
  <c r="MK14" i="695"/>
  <c r="MK15" i="695"/>
  <c r="MK16" i="695"/>
  <c r="MK17" i="695"/>
  <c r="MK8" i="695"/>
  <c r="MT3" i="695"/>
  <c r="LZ7" i="695"/>
  <c r="LZ9" i="695"/>
  <c r="LZ10" i="695"/>
  <c r="LZ11" i="695"/>
  <c r="LZ12" i="695"/>
  <c r="LZ13" i="695"/>
  <c r="LZ14" i="695"/>
  <c r="LZ15" i="695"/>
  <c r="LZ16" i="695"/>
  <c r="LZ17" i="695"/>
  <c r="LZ8" i="695"/>
  <c r="RW29" i="83"/>
  <c r="RW31" i="83"/>
  <c r="NY25" i="83"/>
  <c r="NY30" i="83"/>
  <c r="NY33" i="83"/>
  <c r="OO29" i="83"/>
  <c r="OO31" i="83"/>
  <c r="MM3" i="695"/>
  <c r="LS9" i="695"/>
  <c r="LS24" i="695" s="1"/>
  <c r="LS26" i="695" s="1"/>
  <c r="LS10" i="695"/>
  <c r="LS11" i="695"/>
  <c r="LS12" i="695"/>
  <c r="LS13" i="695"/>
  <c r="LS14" i="695"/>
  <c r="LS15" i="695"/>
  <c r="LS16" i="695"/>
  <c r="LS18" i="695" s="1"/>
  <c r="LS31" i="695" s="1"/>
  <c r="LS17" i="695"/>
  <c r="LM29" i="83"/>
  <c r="LM31" i="83"/>
  <c r="LR18" i="83"/>
  <c r="LR32" i="83" s="1"/>
  <c r="LR19" i="83"/>
  <c r="LR27" i="83" s="1"/>
  <c r="LR21" i="83"/>
  <c r="LR24" i="83" s="1"/>
  <c r="LR26" i="83" s="1"/>
  <c r="LR20" i="83"/>
  <c r="LR23" i="83" s="1"/>
  <c r="LR22" i="83"/>
  <c r="RO29" i="83"/>
  <c r="RO31" i="83"/>
  <c r="KG25" i="695"/>
  <c r="KG29" i="695"/>
  <c r="KG32" i="695"/>
  <c r="LJ28" i="695"/>
  <c r="LJ30" i="695"/>
  <c r="ON19" i="83"/>
  <c r="ON27" i="83" s="1"/>
  <c r="ON18" i="83"/>
  <c r="ON32" i="83" s="1"/>
  <c r="ON22" i="83"/>
  <c r="ON20" i="83"/>
  <c r="ON23" i="83" s="1"/>
  <c r="ON21" i="83"/>
  <c r="ON24" i="83" s="1"/>
  <c r="ON26" i="83" s="1"/>
  <c r="MS3" i="695"/>
  <c r="LY7" i="695"/>
  <c r="LY9" i="695"/>
  <c r="LY10" i="695"/>
  <c r="LY11" i="695"/>
  <c r="LY12" i="695"/>
  <c r="LY13" i="695"/>
  <c r="LY14" i="695"/>
  <c r="LY15" i="695"/>
  <c r="LY16" i="695"/>
  <c r="LY17" i="695"/>
  <c r="LY8" i="695"/>
  <c r="RM29" i="83"/>
  <c r="RM31" i="83"/>
  <c r="OD29" i="83"/>
  <c r="OD31" i="83"/>
  <c r="MN3" i="695"/>
  <c r="LT7" i="695"/>
  <c r="LT9" i="695"/>
  <c r="LT10" i="695"/>
  <c r="LT11" i="695"/>
  <c r="LT12" i="695"/>
  <c r="LT13" i="695"/>
  <c r="LT14" i="695"/>
  <c r="LT15" i="695"/>
  <c r="LT16" i="695"/>
  <c r="LT17" i="695"/>
  <c r="LT8" i="695"/>
  <c r="LK18" i="83"/>
  <c r="LK32" i="83" s="1"/>
  <c r="LK19" i="83"/>
  <c r="LK27" i="83" s="1"/>
  <c r="LK21" i="83"/>
  <c r="LK24" i="83" s="1"/>
  <c r="LK26" i="83" s="1"/>
  <c r="LK20" i="83"/>
  <c r="LK23" i="83" s="1"/>
  <c r="LK22" i="83"/>
  <c r="LP20" i="695"/>
  <c r="LP23" i="695" s="1"/>
  <c r="LP18" i="695"/>
  <c r="LP31" i="695" s="1"/>
  <c r="LP19" i="695"/>
  <c r="LP27" i="695" s="1"/>
  <c r="LP21" i="695"/>
  <c r="LP24" i="695" s="1"/>
  <c r="LP26" i="695" s="1"/>
  <c r="LP22" i="695"/>
  <c r="NV25" i="83"/>
  <c r="NV30" i="83"/>
  <c r="NV33" i="83"/>
  <c r="OP18" i="83"/>
  <c r="OP32" i="83" s="1"/>
  <c r="OP19" i="83"/>
  <c r="OP27" i="83" s="1"/>
  <c r="OP20" i="83"/>
  <c r="OP23" i="83" s="1"/>
  <c r="OP21" i="83"/>
  <c r="OP24" i="83" s="1"/>
  <c r="OP26" i="83" s="1"/>
  <c r="OP22" i="83"/>
  <c r="LO28" i="695"/>
  <c r="LO30" i="695"/>
  <c r="RJ19" i="83"/>
  <c r="RJ27" i="83" s="1"/>
  <c r="RJ18" i="83"/>
  <c r="RJ32" i="83" s="1"/>
  <c r="RJ20" i="83"/>
  <c r="RJ23" i="83" s="1"/>
  <c r="RJ21" i="83"/>
  <c r="RJ24" i="83" s="1"/>
  <c r="RJ26" i="83" s="1"/>
  <c r="RJ22" i="83"/>
  <c r="LE29" i="83"/>
  <c r="LE31" i="83"/>
  <c r="KS25" i="83"/>
  <c r="KS30" i="83"/>
  <c r="KS33" i="83"/>
  <c r="LF29" i="83"/>
  <c r="LF31" i="83"/>
  <c r="NL25" i="83"/>
  <c r="NL30" i="83"/>
  <c r="NL33" i="83"/>
  <c r="LK28" i="695"/>
  <c r="LK30" i="695"/>
  <c r="RS29" i="83"/>
  <c r="RS31" i="83"/>
  <c r="LC18" i="83"/>
  <c r="LC32" i="83" s="1"/>
  <c r="LC19" i="83"/>
  <c r="LC27" i="83" s="1"/>
  <c r="LC21" i="83"/>
  <c r="LC24" i="83" s="1"/>
  <c r="LC26" i="83" s="1"/>
  <c r="LC20" i="83"/>
  <c r="LC23" i="83" s="1"/>
  <c r="LC22" i="83"/>
  <c r="NS25" i="83"/>
  <c r="NS30" i="83"/>
  <c r="NS33" i="83"/>
  <c r="NG3" i="83"/>
  <c r="MM9" i="83"/>
  <c r="MM10" i="83"/>
  <c r="MM11" i="83"/>
  <c r="MM12" i="83"/>
  <c r="MM13" i="83"/>
  <c r="MM14" i="83"/>
  <c r="MM15" i="83"/>
  <c r="MM16" i="83"/>
  <c r="MM17" i="83"/>
  <c r="MM7" i="83"/>
  <c r="MM8" i="83"/>
  <c r="OS29" i="83"/>
  <c r="OS31" i="83"/>
  <c r="OI18" i="83"/>
  <c r="OI32" i="83" s="1"/>
  <c r="OI19" i="83"/>
  <c r="OI27" i="83" s="1"/>
  <c r="OI20" i="83"/>
  <c r="OI23" i="83" s="1"/>
  <c r="OI21" i="83"/>
  <c r="OI24" i="83" s="1"/>
  <c r="OI26" i="83" s="1"/>
  <c r="OI22" i="83"/>
  <c r="KY22" i="695"/>
  <c r="OC20" i="83"/>
  <c r="OC23" i="83" s="1"/>
  <c r="LA20" i="83"/>
  <c r="LA23" i="83" s="1"/>
  <c r="LH29" i="83"/>
  <c r="LH31" i="83"/>
  <c r="RO18" i="83"/>
  <c r="RO32" i="83" s="1"/>
  <c r="RO19" i="83"/>
  <c r="RO27" i="83" s="1"/>
  <c r="RO20" i="83"/>
  <c r="RO23" i="83" s="1"/>
  <c r="RO22" i="83"/>
  <c r="RO21" i="83"/>
  <c r="RO24" i="83" s="1"/>
  <c r="RO26" i="83" s="1"/>
  <c r="KR25" i="83"/>
  <c r="KR30" i="83"/>
  <c r="KR33" i="83"/>
  <c r="LT29" i="83"/>
  <c r="LT31" i="83"/>
  <c r="LM28" i="695"/>
  <c r="LM30" i="695"/>
  <c r="RG29" i="83"/>
  <c r="RG31" i="83"/>
  <c r="RS18" i="83"/>
  <c r="RS32" i="83" s="1"/>
  <c r="RS19" i="83"/>
  <c r="RS27" i="83" s="1"/>
  <c r="RS20" i="83"/>
  <c r="RS23" i="83" s="1"/>
  <c r="RS21" i="83"/>
  <c r="RS24" i="83" s="1"/>
  <c r="RS26" i="83" s="1"/>
  <c r="RS22" i="83"/>
  <c r="OR29" i="83"/>
  <c r="OR31" i="83"/>
  <c r="QF3" i="83"/>
  <c r="PL9" i="83"/>
  <c r="PL10" i="83"/>
  <c r="PL11" i="83"/>
  <c r="PL12" i="83"/>
  <c r="PL13" i="83"/>
  <c r="PL14" i="83"/>
  <c r="PL15" i="83"/>
  <c r="PL16" i="83"/>
  <c r="PL17" i="83"/>
  <c r="PL7" i="83"/>
  <c r="PL8" i="83"/>
  <c r="RN18" i="83"/>
  <c r="RN32" i="83" s="1"/>
  <c r="RN19" i="83"/>
  <c r="RN27" i="83" s="1"/>
  <c r="RN20" i="83"/>
  <c r="RN23" i="83" s="1"/>
  <c r="RN22" i="83"/>
  <c r="RN21" i="83"/>
  <c r="RN24" i="83" s="1"/>
  <c r="RN26" i="83" s="1"/>
  <c r="KU29" i="695"/>
  <c r="KU25" i="695"/>
  <c r="KU32" i="695"/>
  <c r="OU29" i="83"/>
  <c r="OU31" i="83"/>
  <c r="KQ25" i="695"/>
  <c r="KQ29" i="695"/>
  <c r="KQ32" i="695"/>
  <c r="MW3" i="83"/>
  <c r="MC9" i="83"/>
  <c r="MC10" i="83"/>
  <c r="MC11" i="83"/>
  <c r="MC12" i="83"/>
  <c r="MC13" i="83"/>
  <c r="MC14" i="83"/>
  <c r="MC15" i="83"/>
  <c r="MC16" i="83"/>
  <c r="MC17" i="83"/>
  <c r="MC7" i="83"/>
  <c r="MC8" i="83"/>
  <c r="LR29" i="83"/>
  <c r="LR31" i="83"/>
  <c r="MX3" i="695"/>
  <c r="MD7" i="695"/>
  <c r="MD9" i="695"/>
  <c r="MD10" i="695"/>
  <c r="MD11" i="695"/>
  <c r="MD12" i="695"/>
  <c r="MD13" i="695"/>
  <c r="MD14" i="695"/>
  <c r="MD15" i="695"/>
  <c r="MD16" i="695"/>
  <c r="MD17" i="695"/>
  <c r="MD8" i="695"/>
  <c r="RP29" i="83"/>
  <c r="RP31" i="83"/>
  <c r="LH20" i="695"/>
  <c r="LH23" i="695" s="1"/>
  <c r="LH18" i="695"/>
  <c r="LH31" i="695" s="1"/>
  <c r="LH19" i="695"/>
  <c r="LH27" i="695" s="1"/>
  <c r="LH21" i="695"/>
  <c r="LH24" i="695" s="1"/>
  <c r="LH26" i="695" s="1"/>
  <c r="LH22" i="695"/>
  <c r="RF29" i="83"/>
  <c r="RF31" i="83"/>
  <c r="KV25" i="83"/>
  <c r="KV30" i="83"/>
  <c r="KV33" i="83"/>
  <c r="RX18" i="83"/>
  <c r="RX32" i="83" s="1"/>
  <c r="RX19" i="83"/>
  <c r="RX27" i="83" s="1"/>
  <c r="RX22" i="83"/>
  <c r="RX20" i="83"/>
  <c r="RX23" i="83" s="1"/>
  <c r="RX21" i="83"/>
  <c r="RX24" i="83" s="1"/>
  <c r="RX26" i="83" s="1"/>
  <c r="LK29" i="83"/>
  <c r="LK31" i="83"/>
  <c r="KU25" i="83"/>
  <c r="KU30" i="83"/>
  <c r="KU33" i="83"/>
  <c r="PQ3" i="83"/>
  <c r="OW9" i="83"/>
  <c r="OW29" i="83" s="1"/>
  <c r="OW10" i="83"/>
  <c r="OW19" i="83" s="1"/>
  <c r="OW27" i="83" s="1"/>
  <c r="OW11" i="83"/>
  <c r="OW12" i="83"/>
  <c r="OW13" i="83"/>
  <c r="OW14" i="83"/>
  <c r="OW15" i="83"/>
  <c r="OW16" i="83"/>
  <c r="OW17" i="83"/>
  <c r="LC28" i="695"/>
  <c r="LC30" i="695"/>
  <c r="RR29" i="83"/>
  <c r="RR31" i="83"/>
  <c r="NC3" i="695"/>
  <c r="MI7" i="695"/>
  <c r="MI9" i="695"/>
  <c r="MI10" i="695"/>
  <c r="MI11" i="695"/>
  <c r="MI12" i="695"/>
  <c r="MI13" i="695"/>
  <c r="MI14" i="695"/>
  <c r="MI15" i="695"/>
  <c r="MI16" i="695"/>
  <c r="MI17" i="695"/>
  <c r="MI8" i="695"/>
  <c r="OH18" i="83"/>
  <c r="OH32" i="83" s="1"/>
  <c r="OH19" i="83"/>
  <c r="OH27" i="83" s="1"/>
  <c r="OH20" i="83"/>
  <c r="OH23" i="83" s="1"/>
  <c r="OH21" i="83"/>
  <c r="OH24" i="83" s="1"/>
  <c r="OH26" i="83" s="1"/>
  <c r="OH22" i="83"/>
  <c r="KE25" i="695"/>
  <c r="KE29" i="695"/>
  <c r="KE32" i="695"/>
  <c r="PS3" i="83"/>
  <c r="OY9" i="83"/>
  <c r="OY10" i="83"/>
  <c r="OY11" i="83"/>
  <c r="OY12" i="83"/>
  <c r="OY13" i="83"/>
  <c r="OY14" i="83"/>
  <c r="OY15" i="83"/>
  <c r="OY16" i="83"/>
  <c r="OY17" i="83"/>
  <c r="OY7" i="83"/>
  <c r="OY8" i="83"/>
  <c r="KH25" i="695"/>
  <c r="KH29" i="695"/>
  <c r="KH32" i="695"/>
  <c r="MY3" i="695"/>
  <c r="ME7" i="695"/>
  <c r="ME9" i="695"/>
  <c r="ME10" i="695"/>
  <c r="ME11" i="695"/>
  <c r="ME12" i="695"/>
  <c r="ME13" i="695"/>
  <c r="ME14" i="695"/>
  <c r="ME15" i="695"/>
  <c r="ME16" i="695"/>
  <c r="ME17" i="695"/>
  <c r="ME8" i="695"/>
  <c r="LA19" i="695"/>
  <c r="LA27" i="695" s="1"/>
  <c r="LA20" i="695"/>
  <c r="LA23" i="695" s="1"/>
  <c r="LA18" i="695"/>
  <c r="LA31" i="695" s="1"/>
  <c r="LA21" i="695"/>
  <c r="LA24" i="695" s="1"/>
  <c r="LA26" i="695" s="1"/>
  <c r="LA22" i="695"/>
  <c r="KS25" i="695"/>
  <c r="KS29" i="695"/>
  <c r="KS32" i="695"/>
  <c r="LN20" i="695"/>
  <c r="LN23" i="695" s="1"/>
  <c r="LN18" i="695"/>
  <c r="LN31" i="695" s="1"/>
  <c r="LN21" i="695"/>
  <c r="LN24" i="695" s="1"/>
  <c r="LN26" i="695" s="1"/>
  <c r="LN19" i="695"/>
  <c r="LN27" i="695" s="1"/>
  <c r="LN22" i="695"/>
  <c r="LC29" i="83"/>
  <c r="LC31" i="83"/>
  <c r="KF25" i="695"/>
  <c r="KF29" i="695"/>
  <c r="KF32" i="695"/>
  <c r="RI19" i="83"/>
  <c r="RI27" i="83" s="1"/>
  <c r="RI18" i="83"/>
  <c r="RI32" i="83" s="1"/>
  <c r="RI20" i="83"/>
  <c r="RI23" i="83" s="1"/>
  <c r="RI21" i="83"/>
  <c r="RI24" i="83" s="1"/>
  <c r="RI26" i="83" s="1"/>
  <c r="RI22" i="83"/>
  <c r="LD28" i="695"/>
  <c r="LD30" i="695"/>
  <c r="OI29" i="83"/>
  <c r="OI31" i="83"/>
  <c r="KY21" i="695"/>
  <c r="KY24" i="695" s="1"/>
  <c r="KY26" i="695" s="1"/>
  <c r="OC21" i="83"/>
  <c r="OC24" i="83" s="1"/>
  <c r="OC26" i="83" s="1"/>
  <c r="LA21" i="83"/>
  <c r="LA24" i="83" s="1"/>
  <c r="LA26" i="83" s="1"/>
  <c r="LQ19" i="695"/>
  <c r="LQ27" i="695" s="1"/>
  <c r="LQ20" i="695"/>
  <c r="LQ23" i="695" s="1"/>
  <c r="LQ18" i="695"/>
  <c r="LQ31" i="695" s="1"/>
  <c r="LQ21" i="695"/>
  <c r="LQ24" i="695" s="1"/>
  <c r="LQ26" i="695" s="1"/>
  <c r="LQ22" i="695"/>
  <c r="RQ18" i="83"/>
  <c r="RQ32" i="83" s="1"/>
  <c r="RQ19" i="83"/>
  <c r="RQ27" i="83" s="1"/>
  <c r="RQ20" i="83"/>
  <c r="RQ23" i="83" s="1"/>
  <c r="RQ21" i="83"/>
  <c r="RQ24" i="83" s="1"/>
  <c r="RQ26" i="83" s="1"/>
  <c r="RQ22" i="83"/>
  <c r="LE18" i="695"/>
  <c r="LE31" i="695" s="1"/>
  <c r="LE21" i="695"/>
  <c r="LE24" i="695" s="1"/>
  <c r="LE26" i="695" s="1"/>
  <c r="LE19" i="695"/>
  <c r="LE27" i="695" s="1"/>
  <c r="LE20" i="695"/>
  <c r="LE23" i="695" s="1"/>
  <c r="LE22" i="695"/>
  <c r="NR25" i="83"/>
  <c r="NR30" i="83"/>
  <c r="NR33" i="83"/>
  <c r="MX3" i="83"/>
  <c r="MD9" i="83"/>
  <c r="MD10" i="83"/>
  <c r="MD11" i="83"/>
  <c r="MD12" i="83"/>
  <c r="MD13" i="83"/>
  <c r="MD14" i="83"/>
  <c r="MD15" i="83"/>
  <c r="MD16" i="83"/>
  <c r="MD17" i="83"/>
  <c r="MD7" i="83"/>
  <c r="MD8" i="83"/>
  <c r="OL18" i="83"/>
  <c r="OL32" i="83" s="1"/>
  <c r="OL19" i="83"/>
  <c r="OL27" i="83" s="1"/>
  <c r="OL21" i="83"/>
  <c r="OL24" i="83" s="1"/>
  <c r="OL26" i="83" s="1"/>
  <c r="OL20" i="83"/>
  <c r="OL23" i="83" s="1"/>
  <c r="OL22" i="83"/>
  <c r="KT25" i="695"/>
  <c r="KT29" i="695"/>
  <c r="KT32" i="695"/>
  <c r="QH3" i="83"/>
  <c r="PN9" i="83"/>
  <c r="PN10" i="83"/>
  <c r="PN11" i="83"/>
  <c r="PN12" i="83"/>
  <c r="PN13" i="83"/>
  <c r="PN14" i="83"/>
  <c r="PN15" i="83"/>
  <c r="PN16" i="83"/>
  <c r="PN17" i="83"/>
  <c r="PN7" i="83"/>
  <c r="PN8" i="83"/>
  <c r="NA3" i="83"/>
  <c r="MG9" i="83"/>
  <c r="MG10" i="83"/>
  <c r="MG11" i="83"/>
  <c r="MG12" i="83"/>
  <c r="MG13" i="83"/>
  <c r="MG14" i="83"/>
  <c r="MG15" i="83"/>
  <c r="MG16" i="83"/>
  <c r="MG17" i="83"/>
  <c r="MG7" i="83"/>
  <c r="MG8" i="83"/>
  <c r="KY25" i="83"/>
  <c r="KY30" i="83"/>
  <c r="KY33" i="83"/>
  <c r="KK25" i="83"/>
  <c r="KK30" i="83"/>
  <c r="KK33" i="83"/>
  <c r="PX3" i="83"/>
  <c r="PD9" i="83"/>
  <c r="PD10" i="83"/>
  <c r="PD11" i="83"/>
  <c r="PD12" i="83"/>
  <c r="PD13" i="83"/>
  <c r="PD14" i="83"/>
  <c r="PD15" i="83"/>
  <c r="PD16" i="83"/>
  <c r="PD17" i="83"/>
  <c r="PD7" i="83"/>
  <c r="PD8" i="83"/>
  <c r="NM25" i="83"/>
  <c r="NM30" i="83"/>
  <c r="NM33" i="83"/>
  <c r="ON29" i="83"/>
  <c r="ON31" i="83"/>
  <c r="KI25" i="695"/>
  <c r="KI29" i="695"/>
  <c r="KI32" i="695"/>
  <c r="NU25" i="83"/>
  <c r="NU30" i="83"/>
  <c r="NU33" i="83"/>
  <c r="OV18" i="83"/>
  <c r="OV32" i="83" s="1"/>
  <c r="OV19" i="83"/>
  <c r="OV27" i="83" s="1"/>
  <c r="OV22" i="83"/>
  <c r="OV20" i="83"/>
  <c r="OV23" i="83" s="1"/>
  <c r="OV21" i="83"/>
  <c r="OV24" i="83" s="1"/>
  <c r="OV26" i="83" s="1"/>
  <c r="LP28" i="695"/>
  <c r="LP30" i="695"/>
  <c r="PT3" i="83"/>
  <c r="OZ9" i="83"/>
  <c r="OZ10" i="83"/>
  <c r="OZ11" i="83"/>
  <c r="OZ12" i="83"/>
  <c r="OZ13" i="83"/>
  <c r="OZ14" i="83"/>
  <c r="OZ15" i="83"/>
  <c r="OZ16" i="83"/>
  <c r="OZ17" i="83"/>
  <c r="OZ7" i="83"/>
  <c r="OZ8" i="83"/>
  <c r="NT25" i="83"/>
  <c r="NT30" i="83"/>
  <c r="NT33" i="83"/>
  <c r="MQ3" i="695"/>
  <c r="LW7" i="695"/>
  <c r="LW9" i="695"/>
  <c r="LW10" i="695"/>
  <c r="LW11" i="695"/>
  <c r="LW12" i="695"/>
  <c r="LW13" i="695"/>
  <c r="LW14" i="695"/>
  <c r="LW15" i="695"/>
  <c r="LW16" i="695"/>
  <c r="LW17" i="695"/>
  <c r="LW8" i="695"/>
  <c r="OP29" i="83"/>
  <c r="OP31" i="83"/>
  <c r="OH29" i="83"/>
  <c r="OH31" i="83"/>
  <c r="MS3" i="83"/>
  <c r="LY9" i="83"/>
  <c r="LY10" i="83"/>
  <c r="LY11" i="83"/>
  <c r="LY12" i="83"/>
  <c r="LY13" i="83"/>
  <c r="LY14" i="83"/>
  <c r="LY15" i="83"/>
  <c r="LY16" i="83"/>
  <c r="LY17" i="83"/>
  <c r="LY7" i="83"/>
  <c r="LY8" i="83"/>
  <c r="KN25" i="83"/>
  <c r="KN30" i="83"/>
  <c r="KN33" i="83"/>
  <c r="KM29" i="695"/>
  <c r="KM25" i="695"/>
  <c r="KM32" i="695"/>
  <c r="MT3" i="83"/>
  <c r="LZ9" i="83"/>
  <c r="LZ10" i="83"/>
  <c r="LZ11" i="83"/>
  <c r="LZ12" i="83"/>
  <c r="LZ13" i="83"/>
  <c r="LZ14" i="83"/>
  <c r="LZ15" i="83"/>
  <c r="LZ16" i="83"/>
  <c r="LZ17" i="83"/>
  <c r="LZ7" i="83"/>
  <c r="LZ8" i="83"/>
  <c r="LQ18" i="83"/>
  <c r="LQ32" i="83" s="1"/>
  <c r="LQ19" i="83"/>
  <c r="LQ27" i="83" s="1"/>
  <c r="LQ21" i="83"/>
  <c r="LQ24" i="83" s="1"/>
  <c r="LQ26" i="83" s="1"/>
  <c r="LQ20" i="83"/>
  <c r="LQ23" i="83" s="1"/>
  <c r="LQ22" i="83"/>
  <c r="OG18" i="83"/>
  <c r="OG32" i="83" s="1"/>
  <c r="OG19" i="83"/>
  <c r="OG27" i="83" s="1"/>
  <c r="OG20" i="83"/>
  <c r="OG23" i="83" s="1"/>
  <c r="OG21" i="83"/>
  <c r="OG24" i="83" s="1"/>
  <c r="OG26" i="83" s="1"/>
  <c r="OG22" i="83"/>
  <c r="MR3" i="695"/>
  <c r="LX7" i="695"/>
  <c r="LX9" i="695"/>
  <c r="LX10" i="695"/>
  <c r="LX11" i="695"/>
  <c r="LX12" i="695"/>
  <c r="LX13" i="695"/>
  <c r="LX14" i="695"/>
  <c r="LX15" i="695"/>
  <c r="LX16" i="695"/>
  <c r="LX17" i="695"/>
  <c r="LX8" i="695"/>
  <c r="RK29" i="83"/>
  <c r="RK31" i="83"/>
  <c r="KY19" i="695"/>
  <c r="KY27" i="695" s="1"/>
  <c r="OC19" i="83"/>
  <c r="OC27" i="83" s="1"/>
  <c r="LA18" i="83"/>
  <c r="LA32" i="83" s="1"/>
  <c r="LP29" i="83"/>
  <c r="LP31" i="83"/>
  <c r="RL19" i="83"/>
  <c r="RL27" i="83" s="1"/>
  <c r="RL20" i="83"/>
  <c r="RL23" i="83" s="1"/>
  <c r="RL18" i="83"/>
  <c r="RL32" i="83" s="1"/>
  <c r="RL21" i="83"/>
  <c r="RL24" i="83" s="1"/>
  <c r="RL26" i="83" s="1"/>
  <c r="RL22" i="83"/>
  <c r="OB25" i="83"/>
  <c r="OB30" i="83"/>
  <c r="OB33" i="83"/>
  <c r="LL29" i="83"/>
  <c r="LL31" i="83"/>
  <c r="RT18" i="83"/>
  <c r="RT32" i="83" s="1"/>
  <c r="RT19" i="83"/>
  <c r="RT27" i="83" s="1"/>
  <c r="RT20" i="83"/>
  <c r="RT23" i="83" s="1"/>
  <c r="RT21" i="83"/>
  <c r="RT24" i="83" s="1"/>
  <c r="RT26" i="83" s="1"/>
  <c r="RT22" i="83"/>
  <c r="LO18" i="83"/>
  <c r="LO32" i="83" s="1"/>
  <c r="LO19" i="83"/>
  <c r="LO27" i="83" s="1"/>
  <c r="LO20" i="83"/>
  <c r="LO23" i="83" s="1"/>
  <c r="LO21" i="83"/>
  <c r="LO24" i="83" s="1"/>
  <c r="LO26" i="83" s="1"/>
  <c r="LO22" i="83"/>
  <c r="RN29" i="83"/>
  <c r="RN31" i="83"/>
  <c r="QC3" i="83"/>
  <c r="PI9" i="83"/>
  <c r="PI10" i="83"/>
  <c r="PI11" i="83"/>
  <c r="PI12" i="83"/>
  <c r="PI13" i="83"/>
  <c r="PI14" i="83"/>
  <c r="PI15" i="83"/>
  <c r="PI16" i="83"/>
  <c r="PI17" i="83"/>
  <c r="PI7" i="83"/>
  <c r="PI8" i="83"/>
  <c r="KW25" i="83"/>
  <c r="KW30" i="83"/>
  <c r="KW33" i="83"/>
  <c r="NF3" i="83"/>
  <c r="ML9" i="83"/>
  <c r="ML10" i="83"/>
  <c r="ML11" i="83"/>
  <c r="ML12" i="83"/>
  <c r="ML13" i="83"/>
  <c r="ML14" i="83"/>
  <c r="ML15" i="83"/>
  <c r="ML16" i="83"/>
  <c r="ML17" i="83"/>
  <c r="ML7" i="83"/>
  <c r="ML8" i="83"/>
  <c r="QA3" i="83"/>
  <c r="PG9" i="83"/>
  <c r="PG10" i="83"/>
  <c r="PG11" i="83"/>
  <c r="PG12" i="83"/>
  <c r="PG13" i="83"/>
  <c r="PG14" i="83"/>
  <c r="PG15" i="83"/>
  <c r="PG16" i="83"/>
  <c r="PG17" i="83"/>
  <c r="PG7" i="83"/>
  <c r="PG8" i="83"/>
  <c r="LG20" i="695"/>
  <c r="LG23" i="695" s="1"/>
  <c r="LG18" i="695"/>
  <c r="LG31" i="695" s="1"/>
  <c r="LG19" i="695"/>
  <c r="LG27" i="695" s="1"/>
  <c r="LG21" i="695"/>
  <c r="LG24" i="695" s="1"/>
  <c r="LG26" i="695" s="1"/>
  <c r="LG22" i="695"/>
  <c r="KM25" i="83"/>
  <c r="KM30" i="83"/>
  <c r="KM33" i="83"/>
  <c r="LH28" i="695"/>
  <c r="LH30" i="695"/>
  <c r="PY3" i="83"/>
  <c r="PE9" i="83"/>
  <c r="PE10" i="83"/>
  <c r="PE11" i="83"/>
  <c r="PE12" i="83"/>
  <c r="PE13" i="83"/>
  <c r="PE14" i="83"/>
  <c r="PE15" i="83"/>
  <c r="PE16" i="83"/>
  <c r="PE17" i="83"/>
  <c r="PE7" i="83"/>
  <c r="PE8" i="83"/>
  <c r="RX29" i="83"/>
  <c r="RX31" i="83"/>
  <c r="MY3" i="83"/>
  <c r="ME9" i="83"/>
  <c r="ME10" i="83"/>
  <c r="ME11" i="83"/>
  <c r="ME12" i="83"/>
  <c r="ME13" i="83"/>
  <c r="ME14" i="83"/>
  <c r="ME15" i="83"/>
  <c r="ME16" i="83"/>
  <c r="ME17" i="83"/>
  <c r="ME7" i="83"/>
  <c r="ME8" i="83"/>
  <c r="ND3" i="695"/>
  <c r="MJ7" i="695"/>
  <c r="MJ9" i="695"/>
  <c r="MJ10" i="695"/>
  <c r="MJ11" i="695"/>
  <c r="MJ12" i="695"/>
  <c r="MJ13" i="695"/>
  <c r="MJ14" i="695"/>
  <c r="MJ15" i="695"/>
  <c r="MJ16" i="695"/>
  <c r="MJ17" i="695"/>
  <c r="MJ8" i="695"/>
  <c r="LB18" i="83"/>
  <c r="LB32" i="83" s="1"/>
  <c r="LB19" i="83"/>
  <c r="LB27" i="83" s="1"/>
  <c r="LB21" i="83"/>
  <c r="LB24" i="83" s="1"/>
  <c r="LB26" i="83" s="1"/>
  <c r="LB20" i="83"/>
  <c r="LB23" i="83" s="1"/>
  <c r="LB22" i="83"/>
  <c r="RJ29" i="83"/>
  <c r="RJ31" i="83"/>
  <c r="LM18" i="695"/>
  <c r="LM31" i="695" s="1"/>
  <c r="LM21" i="695"/>
  <c r="LM24" i="695" s="1"/>
  <c r="LM26" i="695" s="1"/>
  <c r="LM19" i="695"/>
  <c r="LM27" i="695" s="1"/>
  <c r="LM20" i="695"/>
  <c r="LM23" i="695" s="1"/>
  <c r="LM22" i="695"/>
  <c r="NQ25" i="83"/>
  <c r="NQ30" i="83"/>
  <c r="NQ33" i="83"/>
  <c r="RG19" i="83"/>
  <c r="RG27" i="83" s="1"/>
  <c r="RG18" i="83"/>
  <c r="RG32" i="83" s="1"/>
  <c r="RG20" i="83"/>
  <c r="RG23" i="83" s="1"/>
  <c r="RG22" i="83"/>
  <c r="RG21" i="83"/>
  <c r="RG24" i="83" s="1"/>
  <c r="RG26" i="83" s="1"/>
  <c r="LN18" i="83"/>
  <c r="LN32" i="83" s="1"/>
  <c r="LN19" i="83"/>
  <c r="LN27" i="83" s="1"/>
  <c r="LN20" i="83"/>
  <c r="LN23" i="83" s="1"/>
  <c r="LN21" i="83"/>
  <c r="LN24" i="83" s="1"/>
  <c r="LN26" i="83" s="1"/>
  <c r="LN22" i="83"/>
  <c r="KO25" i="695"/>
  <c r="KO29" i="695"/>
  <c r="KO32" i="695"/>
  <c r="LQ29" i="83"/>
  <c r="LQ31" i="83"/>
  <c r="LA28" i="695"/>
  <c r="LA30" i="695"/>
  <c r="QE3" i="83"/>
  <c r="PK9" i="83"/>
  <c r="PK10" i="83"/>
  <c r="PK11" i="83"/>
  <c r="PK12" i="83"/>
  <c r="PK13" i="83"/>
  <c r="PK14" i="83"/>
  <c r="PK15" i="83"/>
  <c r="PK16" i="83"/>
  <c r="PK17" i="83"/>
  <c r="PK7" i="83"/>
  <c r="PK8" i="83"/>
  <c r="LG18" i="83"/>
  <c r="LG32" i="83" s="1"/>
  <c r="LG19" i="83"/>
  <c r="LG27" i="83" s="1"/>
  <c r="LG20" i="83"/>
  <c r="LG23" i="83" s="1"/>
  <c r="LG21" i="83"/>
  <c r="LG24" i="83" s="1"/>
  <c r="LG26" i="83" s="1"/>
  <c r="LG22" i="83"/>
  <c r="LN28" i="695"/>
  <c r="LN30" i="695"/>
  <c r="MQ3" i="83"/>
  <c r="LW9" i="83"/>
  <c r="LW10" i="83"/>
  <c r="LW11" i="83"/>
  <c r="LW12" i="83"/>
  <c r="LW13" i="83"/>
  <c r="LW14" i="83"/>
  <c r="LW15" i="83"/>
  <c r="LW16" i="83"/>
  <c r="LW17" i="83"/>
  <c r="LW7" i="83"/>
  <c r="LW8" i="83"/>
  <c r="RI29" i="83"/>
  <c r="RI31" i="83"/>
  <c r="QG3" i="83"/>
  <c r="PM9" i="83"/>
  <c r="PM10" i="83"/>
  <c r="PM11" i="83"/>
  <c r="PM12" i="83"/>
  <c r="PM13" i="83"/>
  <c r="PM14" i="83"/>
  <c r="PM15" i="83"/>
  <c r="PM16" i="83"/>
  <c r="PM17" i="83"/>
  <c r="PM7" i="83"/>
  <c r="PM8" i="83"/>
  <c r="KY18" i="695"/>
  <c r="KY31" i="695" s="1"/>
  <c r="NX25" i="83"/>
  <c r="NX30" i="83"/>
  <c r="NX33" i="83"/>
  <c r="QB3" i="83"/>
  <c r="PH9" i="83"/>
  <c r="PH10" i="83"/>
  <c r="PH11" i="83"/>
  <c r="PH12" i="83"/>
  <c r="PH13" i="83"/>
  <c r="PH14" i="83"/>
  <c r="PH15" i="83"/>
  <c r="PH16" i="83"/>
  <c r="PH17" i="83"/>
  <c r="PH7" i="83"/>
  <c r="PH8" i="83"/>
  <c r="LD29" i="83"/>
  <c r="LD31" i="83"/>
  <c r="KP25" i="695"/>
  <c r="KP29" i="695"/>
  <c r="KP32" i="695"/>
  <c r="KN29" i="695"/>
  <c r="KN25" i="695"/>
  <c r="KN32" i="695"/>
  <c r="NP25" i="83"/>
  <c r="NP30" i="83"/>
  <c r="NP33" i="83"/>
  <c r="OR18" i="83"/>
  <c r="OR32" i="83" s="1"/>
  <c r="OR19" i="83"/>
  <c r="OR27" i="83" s="1"/>
  <c r="OR20" i="83"/>
  <c r="OR23" i="83" s="1"/>
  <c r="OR21" i="83"/>
  <c r="OR24" i="83" s="1"/>
  <c r="OR26" i="83" s="1"/>
  <c r="OR22" i="83"/>
  <c r="LO29" i="83"/>
  <c r="LO31" i="83"/>
  <c r="OL29" i="83"/>
  <c r="OL31" i="83"/>
  <c r="QI3" i="83"/>
  <c r="PO9" i="83"/>
  <c r="PO10" i="83"/>
  <c r="PO11" i="83"/>
  <c r="PO12" i="83"/>
  <c r="PO13" i="83"/>
  <c r="PO14" i="83"/>
  <c r="PO15" i="83"/>
  <c r="PO16" i="83"/>
  <c r="PO17" i="83"/>
  <c r="PO7" i="83"/>
  <c r="PO8" i="83"/>
  <c r="OT18" i="83"/>
  <c r="OT32" i="83" s="1"/>
  <c r="OT19" i="83"/>
  <c r="OT27" i="83" s="1"/>
  <c r="OT21" i="83"/>
  <c r="OT24" i="83" s="1"/>
  <c r="OT26" i="83" s="1"/>
  <c r="OT20" i="83"/>
  <c r="OT23" i="83" s="1"/>
  <c r="OT22" i="83"/>
  <c r="LH18" i="83"/>
  <c r="LH32" i="83" s="1"/>
  <c r="LH19" i="83"/>
  <c r="LH27" i="83" s="1"/>
  <c r="LH21" i="83"/>
  <c r="LH24" i="83" s="1"/>
  <c r="LH26" i="83" s="1"/>
  <c r="LH20" i="83"/>
  <c r="LH23" i="83" s="1"/>
  <c r="LH22" i="83"/>
  <c r="KJ25" i="695"/>
  <c r="KJ29" i="695"/>
  <c r="KJ32" i="695"/>
  <c r="LP18" i="83"/>
  <c r="LP32" i="83" s="1"/>
  <c r="LP19" i="83"/>
  <c r="LP27" i="83" s="1"/>
  <c r="LP21" i="83"/>
  <c r="LP24" i="83" s="1"/>
  <c r="LP26" i="83" s="1"/>
  <c r="LP20" i="83"/>
  <c r="LP23" i="83" s="1"/>
  <c r="LP22" i="83"/>
  <c r="KR25" i="695"/>
  <c r="KR29" i="695"/>
  <c r="KR32" i="695"/>
  <c r="NK25" i="83"/>
  <c r="NK30" i="83"/>
  <c r="NK33" i="83"/>
  <c r="LB19" i="695"/>
  <c r="LB27" i="695" s="1"/>
  <c r="LB20" i="695"/>
  <c r="LB23" i="695" s="1"/>
  <c r="LB18" i="695"/>
  <c r="LB31" i="695" s="1"/>
  <c r="LB22" i="695"/>
  <c r="LB21" i="695"/>
  <c r="LB24" i="695" s="1"/>
  <c r="LB26" i="695" s="1"/>
  <c r="OJ18" i="83"/>
  <c r="OJ32" i="83" s="1"/>
  <c r="OJ19" i="83"/>
  <c r="OJ27" i="83" s="1"/>
  <c r="OJ20" i="83"/>
  <c r="OJ23" i="83" s="1"/>
  <c r="OJ21" i="83"/>
  <c r="OJ24" i="83" s="1"/>
  <c r="OJ26" i="83" s="1"/>
  <c r="OJ22" i="83"/>
  <c r="LI19" i="695"/>
  <c r="LI27" i="695" s="1"/>
  <c r="LI20" i="695"/>
  <c r="LI23" i="695" s="1"/>
  <c r="LI18" i="695"/>
  <c r="LI31" i="695" s="1"/>
  <c r="LI21" i="695"/>
  <c r="LI24" i="695" s="1"/>
  <c r="LI26" i="695" s="1"/>
  <c r="LI22" i="695"/>
  <c r="KK25" i="695"/>
  <c r="KK29" i="695"/>
  <c r="KK32" i="695"/>
  <c r="MV3" i="695"/>
  <c r="MB7" i="695"/>
  <c r="MB9" i="695"/>
  <c r="MB10" i="695"/>
  <c r="MB11" i="695"/>
  <c r="MB12" i="695"/>
  <c r="MB13" i="695"/>
  <c r="MB14" i="695"/>
  <c r="MB15" i="695"/>
  <c r="MB16" i="695"/>
  <c r="MB17" i="695"/>
  <c r="MB8" i="695"/>
  <c r="PR3" i="83"/>
  <c r="OX9" i="83"/>
  <c r="OX10" i="83"/>
  <c r="OX11" i="83"/>
  <c r="OX12" i="83"/>
  <c r="OX13" i="83"/>
  <c r="OX14" i="83"/>
  <c r="OX15" i="83"/>
  <c r="OX16" i="83"/>
  <c r="OX17" i="83"/>
  <c r="OX7" i="83"/>
  <c r="OX8" i="83"/>
  <c r="OV29" i="83"/>
  <c r="OV31" i="83"/>
  <c r="RH19" i="83"/>
  <c r="RH27" i="83" s="1"/>
  <c r="RH18" i="83"/>
  <c r="RH32" i="83" s="1"/>
  <c r="RH21" i="83"/>
  <c r="RH24" i="83" s="1"/>
  <c r="RH26" i="83" s="1"/>
  <c r="RH22" i="83"/>
  <c r="RH20" i="83"/>
  <c r="RH23" i="83" s="1"/>
  <c r="KG25" i="83"/>
  <c r="KG30" i="83"/>
  <c r="KG33" i="83"/>
  <c r="LR19" i="695"/>
  <c r="LR27" i="695" s="1"/>
  <c r="LR20" i="695"/>
  <c r="LR23" i="695" s="1"/>
  <c r="LR18" i="695"/>
  <c r="LR31" i="695" s="1"/>
  <c r="LR22" i="695"/>
  <c r="LR21" i="695"/>
  <c r="LR24" i="695" s="1"/>
  <c r="LR26" i="695" s="1"/>
  <c r="LB29" i="83"/>
  <c r="LB31" i="83"/>
  <c r="LL18" i="695"/>
  <c r="LL31" i="695" s="1"/>
  <c r="LL19" i="695"/>
  <c r="LL27" i="695" s="1"/>
  <c r="LL20" i="695"/>
  <c r="LL23" i="695" s="1"/>
  <c r="LL21" i="695"/>
  <c r="LL24" i="695" s="1"/>
  <c r="LL26" i="695" s="1"/>
  <c r="LL22" i="695"/>
  <c r="OA25" i="83"/>
  <c r="OA30" i="83"/>
  <c r="OA33" i="83"/>
  <c r="LT18" i="83"/>
  <c r="LT32" i="83" s="1"/>
  <c r="LT19" i="83"/>
  <c r="LT27" i="83" s="1"/>
  <c r="LT20" i="83"/>
  <c r="LT23" i="83" s="1"/>
  <c r="LT21" i="83"/>
  <c r="LT24" i="83" s="1"/>
  <c r="LT26" i="83" s="1"/>
  <c r="LT22" i="83"/>
  <c r="LD18" i="83"/>
  <c r="LD32" i="83" s="1"/>
  <c r="LD19" i="83"/>
  <c r="LD27" i="83" s="1"/>
  <c r="LD20" i="83"/>
  <c r="LD23" i="83" s="1"/>
  <c r="LD21" i="83"/>
  <c r="LD24" i="83" s="1"/>
  <c r="LD26" i="83" s="1"/>
  <c r="LD22" i="83"/>
  <c r="KJ25" i="83"/>
  <c r="KJ30" i="83"/>
  <c r="KJ33" i="83"/>
  <c r="OE18" i="83"/>
  <c r="OE32" i="83" s="1"/>
  <c r="OE19" i="83"/>
  <c r="OE27" i="83" s="1"/>
  <c r="OE20" i="83"/>
  <c r="OE23" i="83" s="1"/>
  <c r="OE22" i="83"/>
  <c r="OE21" i="83"/>
  <c r="OE24" i="83" s="1"/>
  <c r="OE26" i="83" s="1"/>
  <c r="LN29" i="83"/>
  <c r="LN31" i="83"/>
  <c r="KH25" i="83"/>
  <c r="KH30" i="83"/>
  <c r="KH33" i="83"/>
  <c r="MO3" i="695"/>
  <c r="LU7" i="695"/>
  <c r="LU9" i="695"/>
  <c r="LU10" i="695"/>
  <c r="LU11" i="695"/>
  <c r="LU12" i="695"/>
  <c r="LU13" i="695"/>
  <c r="LU14" i="695"/>
  <c r="LU15" i="695"/>
  <c r="LU16" i="695"/>
  <c r="LU17" i="695"/>
  <c r="LU8" i="695"/>
  <c r="LG29" i="83"/>
  <c r="LG31" i="83"/>
  <c r="NB3" i="695"/>
  <c r="MH7" i="695"/>
  <c r="MH9" i="695"/>
  <c r="MH10" i="695"/>
  <c r="MH11" i="695"/>
  <c r="MH12" i="695"/>
  <c r="MH13" i="695"/>
  <c r="MH14" i="695"/>
  <c r="MH15" i="695"/>
  <c r="MH16" i="695"/>
  <c r="MH17" i="695"/>
  <c r="MH8" i="695"/>
  <c r="OG29" i="83"/>
  <c r="OG31" i="83"/>
  <c r="KQ25" i="83"/>
  <c r="KQ30" i="83"/>
  <c r="KQ33" i="83"/>
  <c r="KZ25" i="83"/>
  <c r="KZ30" i="83"/>
  <c r="KZ33" i="83"/>
  <c r="MM8" i="695"/>
  <c r="MM7" i="695"/>
  <c r="PQ8" i="83"/>
  <c r="PQ7" i="83"/>
  <c r="MO8" i="83"/>
  <c r="MO7" i="83"/>
  <c r="MO31" i="83" l="1"/>
  <c r="PQ31" i="83"/>
  <c r="MM28" i="695"/>
  <c r="MM30" i="695"/>
  <c r="ME23" i="695"/>
  <c r="ME24" i="695"/>
  <c r="ME26" i="695" s="1"/>
  <c r="ME28" i="695"/>
  <c r="ME30" i="695"/>
  <c r="LY19" i="695"/>
  <c r="LY27" i="695" s="1"/>
  <c r="LY20" i="695"/>
  <c r="LY21" i="695"/>
  <c r="LY18" i="695"/>
  <c r="LY31" i="695" s="1"/>
  <c r="LY22" i="695"/>
  <c r="MB29" i="83"/>
  <c r="MB31" i="83"/>
  <c r="LS25" i="83"/>
  <c r="LS30" i="83"/>
  <c r="LS33" i="83"/>
  <c r="MH19" i="695"/>
  <c r="MH27" i="695" s="1"/>
  <c r="MH20" i="695"/>
  <c r="MH18" i="695"/>
  <c r="MH31" i="695" s="1"/>
  <c r="MH22" i="695"/>
  <c r="MH21" i="695"/>
  <c r="LU24" i="695"/>
  <c r="LU26" i="695" s="1"/>
  <c r="LU23" i="695"/>
  <c r="LU28" i="695"/>
  <c r="LU30" i="695"/>
  <c r="MB24" i="695"/>
  <c r="MB26" i="695" s="1"/>
  <c r="MB23" i="695"/>
  <c r="MB28" i="695"/>
  <c r="MB30" i="695"/>
  <c r="LI25" i="695"/>
  <c r="LI29" i="695"/>
  <c r="LI32" i="695"/>
  <c r="OT25" i="83"/>
  <c r="OT30" i="83"/>
  <c r="OT33" i="83"/>
  <c r="QY3" i="83"/>
  <c r="QE9" i="83"/>
  <c r="QE10" i="83"/>
  <c r="QE11" i="83"/>
  <c r="QE12" i="83"/>
  <c r="QE13" i="83"/>
  <c r="QE14" i="83"/>
  <c r="QE15" i="83"/>
  <c r="QE16" i="83"/>
  <c r="QE17" i="83"/>
  <c r="QE7" i="83"/>
  <c r="QE8" i="83"/>
  <c r="MY9" i="83"/>
  <c r="MY10" i="83"/>
  <c r="MY11" i="83"/>
  <c r="MY12" i="83"/>
  <c r="MY13" i="83"/>
  <c r="MY14" i="83"/>
  <c r="MY15" i="83"/>
  <c r="MY16" i="83"/>
  <c r="MY17" i="83"/>
  <c r="MY7" i="83"/>
  <c r="MY8" i="83"/>
  <c r="LG25" i="695"/>
  <c r="LG29" i="695"/>
  <c r="LG32" i="695"/>
  <c r="NF9" i="83"/>
  <c r="NF10" i="83"/>
  <c r="NF11" i="83"/>
  <c r="NF12" i="83"/>
  <c r="NF13" i="83"/>
  <c r="NF14" i="83"/>
  <c r="NF15" i="83"/>
  <c r="NF16" i="83"/>
  <c r="NF17" i="83"/>
  <c r="NF7" i="83"/>
  <c r="NF8" i="83"/>
  <c r="NL3" i="695"/>
  <c r="MR7" i="695"/>
  <c r="MR9" i="695"/>
  <c r="MR10" i="695"/>
  <c r="MR11" i="695"/>
  <c r="MR12" i="695"/>
  <c r="MR13" i="695"/>
  <c r="MR14" i="695"/>
  <c r="MR15" i="695"/>
  <c r="MR16" i="695"/>
  <c r="MR17" i="695"/>
  <c r="MR8" i="695"/>
  <c r="MS9" i="83"/>
  <c r="MS10" i="83"/>
  <c r="MS11" i="83"/>
  <c r="MS12" i="83"/>
  <c r="MS13" i="83"/>
  <c r="MS14" i="83"/>
  <c r="MS15" i="83"/>
  <c r="MS16" i="83"/>
  <c r="MS17" i="83"/>
  <c r="MS7" i="83"/>
  <c r="MS8" i="83"/>
  <c r="NK3" i="695"/>
  <c r="MQ7" i="695"/>
  <c r="MQ9" i="695"/>
  <c r="MQ10" i="695"/>
  <c r="MQ11" i="695"/>
  <c r="MQ12" i="695"/>
  <c r="MQ13" i="695"/>
  <c r="MQ14" i="695"/>
  <c r="MQ15" i="695"/>
  <c r="MQ16" i="695"/>
  <c r="MQ17" i="695"/>
  <c r="MQ8" i="695"/>
  <c r="PN18" i="83"/>
  <c r="PN32" i="83" s="1"/>
  <c r="PN19" i="83"/>
  <c r="PN27" i="83" s="1"/>
  <c r="PN20" i="83"/>
  <c r="PN23" i="83" s="1"/>
  <c r="PN21" i="83"/>
  <c r="PN24" i="83" s="1"/>
  <c r="PN26" i="83" s="1"/>
  <c r="PN22" i="83"/>
  <c r="OL25" i="83"/>
  <c r="OL30" i="83"/>
  <c r="OL33" i="83"/>
  <c r="LQ25" i="695"/>
  <c r="LQ29" i="695"/>
  <c r="LQ32" i="695"/>
  <c r="ME20" i="695"/>
  <c r="ME18" i="695"/>
  <c r="ME31" i="695" s="1"/>
  <c r="ME19" i="695"/>
  <c r="ME27" i="695" s="1"/>
  <c r="ME21" i="695"/>
  <c r="ME22" i="695"/>
  <c r="OY29" i="83"/>
  <c r="OY31" i="83"/>
  <c r="OH25" i="83"/>
  <c r="OH30" i="83"/>
  <c r="OH33" i="83"/>
  <c r="LH29" i="695"/>
  <c r="LH25" i="695"/>
  <c r="LH32" i="695"/>
  <c r="RO25" i="83"/>
  <c r="RO30" i="83"/>
  <c r="RO33" i="83"/>
  <c r="MM29" i="83"/>
  <c r="MM31" i="83"/>
  <c r="MK24" i="695"/>
  <c r="MK26" i="695" s="1"/>
  <c r="MK23" i="695"/>
  <c r="MK28" i="695"/>
  <c r="MK30" i="695"/>
  <c r="MF29" i="83"/>
  <c r="MF31" i="83"/>
  <c r="MN18" i="83"/>
  <c r="MN32" i="83" s="1"/>
  <c r="MN19" i="83"/>
  <c r="MN27" i="83" s="1"/>
  <c r="MN21" i="83"/>
  <c r="MN24" i="83" s="1"/>
  <c r="MN26" i="83" s="1"/>
  <c r="MN20" i="83"/>
  <c r="MN23" i="83" s="1"/>
  <c r="MN22" i="83"/>
  <c r="PP18" i="83"/>
  <c r="PP32" i="83" s="1"/>
  <c r="PP19" i="83"/>
  <c r="PP27" i="83" s="1"/>
  <c r="PP20" i="83"/>
  <c r="PP23" i="83" s="1"/>
  <c r="PP21" i="83"/>
  <c r="PP24" i="83" s="1"/>
  <c r="PP26" i="83" s="1"/>
  <c r="PP22" i="83"/>
  <c r="RP25" i="83"/>
  <c r="RP30" i="83"/>
  <c r="RP33" i="83"/>
  <c r="ND9" i="83"/>
  <c r="ND10" i="83"/>
  <c r="ND11" i="83"/>
  <c r="ND12" i="83"/>
  <c r="ND13" i="83"/>
  <c r="ND14" i="83"/>
  <c r="ND15" i="83"/>
  <c r="ND16" i="83"/>
  <c r="ND17" i="83"/>
  <c r="ND7" i="83"/>
  <c r="ND8" i="83"/>
  <c r="PF18" i="83"/>
  <c r="PF32" i="83" s="1"/>
  <c r="PF19" i="83"/>
  <c r="PF27" i="83" s="1"/>
  <c r="PF20" i="83"/>
  <c r="PF23" i="83" s="1"/>
  <c r="PF21" i="83"/>
  <c r="PF24" i="83" s="1"/>
  <c r="PF26" i="83" s="1"/>
  <c r="PF22" i="83"/>
  <c r="MK29" i="83"/>
  <c r="MK31" i="83"/>
  <c r="NU3" i="695"/>
  <c r="NA7" i="695"/>
  <c r="NA9" i="695"/>
  <c r="NA10" i="695"/>
  <c r="NA11" i="695"/>
  <c r="NA12" i="695"/>
  <c r="NA13" i="695"/>
  <c r="NA14" i="695"/>
  <c r="NA15" i="695"/>
  <c r="NA16" i="695"/>
  <c r="NA17" i="695"/>
  <c r="NA8" i="695"/>
  <c r="LV29" i="83"/>
  <c r="LV31" i="83"/>
  <c r="NC9" i="83"/>
  <c r="NC10" i="83"/>
  <c r="NC11" i="83"/>
  <c r="NC12" i="83"/>
  <c r="NC13" i="83"/>
  <c r="NC14" i="83"/>
  <c r="NC15" i="83"/>
  <c r="NC16" i="83"/>
  <c r="NC17" i="83"/>
  <c r="NC7" i="83"/>
  <c r="NC8" i="83"/>
  <c r="OW22" i="83"/>
  <c r="LS22" i="695"/>
  <c r="LS23" i="695"/>
  <c r="OX18" i="83"/>
  <c r="OX32" i="83" s="1"/>
  <c r="OX19" i="83"/>
  <c r="OX27" i="83" s="1"/>
  <c r="OX20" i="83"/>
  <c r="OX23" i="83" s="1"/>
  <c r="OX21" i="83"/>
  <c r="OX24" i="83" s="1"/>
  <c r="OX26" i="83" s="1"/>
  <c r="OX22" i="83"/>
  <c r="NI3" i="695"/>
  <c r="MO7" i="695"/>
  <c r="MO9" i="695"/>
  <c r="MO10" i="695"/>
  <c r="MO11" i="695"/>
  <c r="MO12" i="695"/>
  <c r="MO13" i="695"/>
  <c r="MO14" i="695"/>
  <c r="MO15" i="695"/>
  <c r="MO16" i="695"/>
  <c r="MO17" i="695"/>
  <c r="MO8" i="695"/>
  <c r="OE25" i="83"/>
  <c r="OE30" i="83"/>
  <c r="OE33" i="83"/>
  <c r="LD25" i="83"/>
  <c r="LD30" i="83"/>
  <c r="LD33" i="83"/>
  <c r="NP3" i="695"/>
  <c r="MV7" i="695"/>
  <c r="MV9" i="695"/>
  <c r="MV10" i="695"/>
  <c r="MV11" i="695"/>
  <c r="MV12" i="695"/>
  <c r="MV13" i="695"/>
  <c r="MV14" i="695"/>
  <c r="MV15" i="695"/>
  <c r="MV16" i="695"/>
  <c r="MV17" i="695"/>
  <c r="MV8" i="695"/>
  <c r="MJ18" i="695"/>
  <c r="MJ31" i="695" s="1"/>
  <c r="MJ19" i="695"/>
  <c r="MJ27" i="695" s="1"/>
  <c r="MJ20" i="695"/>
  <c r="MJ21" i="695"/>
  <c r="MJ22" i="695"/>
  <c r="PG18" i="83"/>
  <c r="PG32" i="83" s="1"/>
  <c r="PG19" i="83"/>
  <c r="PG27" i="83" s="1"/>
  <c r="PG20" i="83"/>
  <c r="PG23" i="83" s="1"/>
  <c r="PG21" i="83"/>
  <c r="PG24" i="83" s="1"/>
  <c r="PG26" i="83" s="1"/>
  <c r="PG22" i="83"/>
  <c r="RT25" i="83"/>
  <c r="RT30" i="83"/>
  <c r="RT33" i="83"/>
  <c r="PN29" i="83"/>
  <c r="PN31" i="83"/>
  <c r="MC18" i="83"/>
  <c r="MC32" i="83" s="1"/>
  <c r="MC19" i="83"/>
  <c r="MC27" i="83" s="1"/>
  <c r="MC20" i="83"/>
  <c r="MC23" i="83" s="1"/>
  <c r="MC22" i="83"/>
  <c r="MC21" i="83"/>
  <c r="MC24" i="83" s="1"/>
  <c r="MC26" i="83" s="1"/>
  <c r="NY3" i="695"/>
  <c r="NE7" i="695"/>
  <c r="NE9" i="695"/>
  <c r="NE10" i="695"/>
  <c r="NE11" i="695"/>
  <c r="NE12" i="695"/>
  <c r="NE13" i="695"/>
  <c r="NE14" i="695"/>
  <c r="NE15" i="695"/>
  <c r="NE16" i="695"/>
  <c r="NE17" i="695"/>
  <c r="NE8" i="695"/>
  <c r="LD29" i="695"/>
  <c r="LD25" i="695"/>
  <c r="LD32" i="695"/>
  <c r="LE25" i="83"/>
  <c r="LE30" i="83"/>
  <c r="LE33" i="83"/>
  <c r="MN29" i="83"/>
  <c r="MN31" i="83"/>
  <c r="MF20" i="695"/>
  <c r="MF18" i="695"/>
  <c r="MF31" i="695" s="1"/>
  <c r="MF19" i="695"/>
  <c r="MF27" i="695" s="1"/>
  <c r="MF22" i="695"/>
  <c r="MF21" i="695"/>
  <c r="PP29" i="83"/>
  <c r="PP31" i="83"/>
  <c r="MB18" i="83"/>
  <c r="MB32" i="83" s="1"/>
  <c r="MB19" i="83"/>
  <c r="MB27" i="83" s="1"/>
  <c r="MB22" i="83"/>
  <c r="MB20" i="83"/>
  <c r="MB23" i="83" s="1"/>
  <c r="MB21" i="83"/>
  <c r="MB24" i="83" s="1"/>
  <c r="MB26" i="83" s="1"/>
  <c r="PF29" i="83"/>
  <c r="PF31" i="83"/>
  <c r="MO9" i="83"/>
  <c r="MO29" i="83" s="1"/>
  <c r="MO10" i="83"/>
  <c r="MO11" i="83"/>
  <c r="MO12" i="83"/>
  <c r="MO13" i="83"/>
  <c r="MO14" i="83"/>
  <c r="MO15" i="83"/>
  <c r="MO16" i="83"/>
  <c r="MO17" i="83"/>
  <c r="PB18" i="83"/>
  <c r="PB32" i="83" s="1"/>
  <c r="PB19" i="83"/>
  <c r="PB27" i="83" s="1"/>
  <c r="PB21" i="83"/>
  <c r="PB24" i="83" s="1"/>
  <c r="PB26" i="83" s="1"/>
  <c r="PB20" i="83"/>
  <c r="PB23" i="83" s="1"/>
  <c r="PB22" i="83"/>
  <c r="MA21" i="695"/>
  <c r="MA19" i="695"/>
  <c r="MA27" i="695" s="1"/>
  <c r="MA18" i="695"/>
  <c r="MA31" i="695" s="1"/>
  <c r="MA20" i="695"/>
  <c r="MA22" i="695"/>
  <c r="OM25" i="83"/>
  <c r="OM30" i="83"/>
  <c r="OM33" i="83"/>
  <c r="OW20" i="83"/>
  <c r="OW23" i="83" s="1"/>
  <c r="LS20" i="695"/>
  <c r="LU22" i="83"/>
  <c r="LB25" i="695"/>
  <c r="LB29" i="695"/>
  <c r="LB32" i="695"/>
  <c r="LN25" i="83"/>
  <c r="LN30" i="83"/>
  <c r="LN33" i="83"/>
  <c r="PG29" i="83"/>
  <c r="PG31" i="83"/>
  <c r="PL18" i="83"/>
  <c r="PL32" i="83" s="1"/>
  <c r="PL19" i="83"/>
  <c r="PL27" i="83" s="1"/>
  <c r="PL22" i="83"/>
  <c r="PL21" i="83"/>
  <c r="PL24" i="83" s="1"/>
  <c r="PL26" i="83" s="1"/>
  <c r="PL20" i="83"/>
  <c r="PL23" i="83" s="1"/>
  <c r="LT18" i="695"/>
  <c r="LT31" i="695" s="1"/>
  <c r="LT19" i="695"/>
  <c r="LT27" i="695" s="1"/>
  <c r="LT20" i="695"/>
  <c r="LT22" i="695"/>
  <c r="LT21" i="695"/>
  <c r="MZ9" i="83"/>
  <c r="MZ10" i="83"/>
  <c r="MZ11" i="83"/>
  <c r="MZ12" i="83"/>
  <c r="MZ13" i="83"/>
  <c r="MZ14" i="83"/>
  <c r="MZ15" i="83"/>
  <c r="MZ16" i="83"/>
  <c r="MZ17" i="83"/>
  <c r="MZ7" i="83"/>
  <c r="MZ8" i="83"/>
  <c r="RK25" i="83"/>
  <c r="RK30" i="83"/>
  <c r="RK33" i="83"/>
  <c r="ML20" i="695"/>
  <c r="ML18" i="695"/>
  <c r="ML31" i="695" s="1"/>
  <c r="ML21" i="695"/>
  <c r="ML19" i="695"/>
  <c r="ML27" i="695" s="1"/>
  <c r="ML22" i="695"/>
  <c r="MH18" i="83"/>
  <c r="MH32" i="83" s="1"/>
  <c r="MH19" i="83"/>
  <c r="MH27" i="83" s="1"/>
  <c r="MH21" i="83"/>
  <c r="MH24" i="83" s="1"/>
  <c r="MH26" i="83" s="1"/>
  <c r="MH20" i="83"/>
  <c r="MH23" i="83" s="1"/>
  <c r="MH22" i="83"/>
  <c r="PB29" i="83"/>
  <c r="PB31" i="83"/>
  <c r="MP9" i="83"/>
  <c r="MP10" i="83"/>
  <c r="MP11" i="83"/>
  <c r="MP12" i="83"/>
  <c r="MP13" i="83"/>
  <c r="MP14" i="83"/>
  <c r="MP15" i="83"/>
  <c r="MP16" i="83"/>
  <c r="MP17" i="83"/>
  <c r="MP7" i="83"/>
  <c r="MP8" i="83"/>
  <c r="RH25" i="83"/>
  <c r="RH30" i="83"/>
  <c r="RH33" i="83"/>
  <c r="OX29" i="83"/>
  <c r="OX31" i="83"/>
  <c r="LP25" i="83"/>
  <c r="LP30" i="83"/>
  <c r="LP33" i="83"/>
  <c r="LH25" i="83"/>
  <c r="LH30" i="83"/>
  <c r="LH33" i="83"/>
  <c r="LW29" i="83"/>
  <c r="LW31" i="83"/>
  <c r="MJ24" i="695"/>
  <c r="MJ26" i="695" s="1"/>
  <c r="MJ23" i="695"/>
  <c r="MJ28" i="695"/>
  <c r="MJ30" i="695"/>
  <c r="PE19" i="83"/>
  <c r="PE27" i="83" s="1"/>
  <c r="PE20" i="83"/>
  <c r="PE23" i="83" s="1"/>
  <c r="PE18" i="83"/>
  <c r="PE32" i="83" s="1"/>
  <c r="PE22" i="83"/>
  <c r="PE21" i="83"/>
  <c r="PE24" i="83" s="1"/>
  <c r="PE26" i="83" s="1"/>
  <c r="OG25" i="83"/>
  <c r="OG30" i="83"/>
  <c r="OG33" i="83"/>
  <c r="LZ18" i="83"/>
  <c r="LZ32" i="83" s="1"/>
  <c r="LZ19" i="83"/>
  <c r="LZ27" i="83" s="1"/>
  <c r="LZ21" i="83"/>
  <c r="LZ24" i="83" s="1"/>
  <c r="LZ26" i="83" s="1"/>
  <c r="LZ20" i="83"/>
  <c r="LZ23" i="83" s="1"/>
  <c r="LZ22" i="83"/>
  <c r="OV25" i="83"/>
  <c r="OV30" i="83"/>
  <c r="OV33" i="83"/>
  <c r="PD29" i="83"/>
  <c r="PD31" i="83"/>
  <c r="RB3" i="83"/>
  <c r="QH9" i="83"/>
  <c r="QH10" i="83"/>
  <c r="QH11" i="83"/>
  <c r="QH12" i="83"/>
  <c r="QH13" i="83"/>
  <c r="QH14" i="83"/>
  <c r="QH15" i="83"/>
  <c r="QH16" i="83"/>
  <c r="QH17" i="83"/>
  <c r="QH7" i="83"/>
  <c r="QH8" i="83"/>
  <c r="RI25" i="83"/>
  <c r="RI30" i="83"/>
  <c r="RI33" i="83"/>
  <c r="NS3" i="695"/>
  <c r="MY7" i="695"/>
  <c r="MY9" i="695"/>
  <c r="MY10" i="695"/>
  <c r="MY11" i="695"/>
  <c r="MY12" i="695"/>
  <c r="MY13" i="695"/>
  <c r="MY14" i="695"/>
  <c r="MY15" i="695"/>
  <c r="MY16" i="695"/>
  <c r="MY17" i="695"/>
  <c r="MY8" i="695"/>
  <c r="MI21" i="695"/>
  <c r="MI19" i="695"/>
  <c r="MI27" i="695" s="1"/>
  <c r="MI18" i="695"/>
  <c r="MI31" i="695" s="1"/>
  <c r="MI22" i="695"/>
  <c r="MI20" i="695"/>
  <c r="RX25" i="83"/>
  <c r="RX30" i="83"/>
  <c r="RX33" i="83"/>
  <c r="MD20" i="695"/>
  <c r="MD18" i="695"/>
  <c r="MD31" i="695" s="1"/>
  <c r="MD21" i="695"/>
  <c r="MD19" i="695"/>
  <c r="MD27" i="695" s="1"/>
  <c r="MD22" i="695"/>
  <c r="PL29" i="83"/>
  <c r="PL31" i="83"/>
  <c r="RJ25" i="83"/>
  <c r="RJ30" i="83"/>
  <c r="RJ33" i="83"/>
  <c r="LR25" i="83"/>
  <c r="LR30" i="83"/>
  <c r="LR33" i="83"/>
  <c r="NH9" i="83"/>
  <c r="NH10" i="83"/>
  <c r="NH11" i="83"/>
  <c r="NH12" i="83"/>
  <c r="NH13" i="83"/>
  <c r="NH14" i="83"/>
  <c r="NH15" i="83"/>
  <c r="NH16" i="83"/>
  <c r="NH17" i="83"/>
  <c r="NH7" i="83"/>
  <c r="NH8" i="83"/>
  <c r="MF23" i="695"/>
  <c r="MF24" i="695"/>
  <c r="MF26" i="695" s="1"/>
  <c r="MF28" i="695"/>
  <c r="MF30" i="695"/>
  <c r="RD3" i="83"/>
  <c r="QJ9" i="83"/>
  <c r="QJ10" i="83"/>
  <c r="QJ11" i="83"/>
  <c r="QJ12" i="83"/>
  <c r="QJ13" i="83"/>
  <c r="QJ14" i="83"/>
  <c r="QJ15" i="83"/>
  <c r="QJ16" i="83"/>
  <c r="QJ17" i="83"/>
  <c r="QJ7" i="83"/>
  <c r="QJ8" i="83"/>
  <c r="OU25" i="83"/>
  <c r="OU30" i="83"/>
  <c r="OU33" i="83"/>
  <c r="QT3" i="83"/>
  <c r="PZ9" i="83"/>
  <c r="PZ10" i="83"/>
  <c r="PZ11" i="83"/>
  <c r="PZ12" i="83"/>
  <c r="PZ13" i="83"/>
  <c r="PZ14" i="83"/>
  <c r="PZ15" i="83"/>
  <c r="PZ16" i="83"/>
  <c r="PZ17" i="83"/>
  <c r="PZ7" i="83"/>
  <c r="PZ8" i="83"/>
  <c r="PC18" i="83"/>
  <c r="PC32" i="83" s="1"/>
  <c r="PC19" i="83"/>
  <c r="PC27" i="83" s="1"/>
  <c r="PC20" i="83"/>
  <c r="PC23" i="83" s="1"/>
  <c r="PC22" i="83"/>
  <c r="PC21" i="83"/>
  <c r="PC24" i="83" s="1"/>
  <c r="PC26" i="83" s="1"/>
  <c r="W24" i="27" a="1"/>
  <c r="W24" i="27" s="1"/>
  <c r="X25" i="27"/>
  <c r="MH29" i="83"/>
  <c r="MH31" i="83"/>
  <c r="MA23" i="695"/>
  <c r="MA24" i="695"/>
  <c r="MA26" i="695" s="1"/>
  <c r="MA28" i="695"/>
  <c r="MA30" i="695"/>
  <c r="OS25" i="83"/>
  <c r="OS30" i="83"/>
  <c r="OS33" i="83"/>
  <c r="OW18" i="83"/>
  <c r="OW32" i="83" s="1"/>
  <c r="LS19" i="695"/>
  <c r="LS27" i="695" s="1"/>
  <c r="LU20" i="83"/>
  <c r="LU23" i="83" s="1"/>
  <c r="OI25" i="83"/>
  <c r="OI30" i="83"/>
  <c r="OI33" i="83"/>
  <c r="NV3" i="695"/>
  <c r="NB7" i="695"/>
  <c r="NB9" i="695"/>
  <c r="NB10" i="695"/>
  <c r="NB11" i="695"/>
  <c r="NB12" i="695"/>
  <c r="NB13" i="695"/>
  <c r="NB14" i="695"/>
  <c r="NB15" i="695"/>
  <c r="NB16" i="695"/>
  <c r="NB17" i="695"/>
  <c r="NB8" i="695"/>
  <c r="OJ25" i="83"/>
  <c r="OJ30" i="83"/>
  <c r="OJ33" i="83"/>
  <c r="PO18" i="83"/>
  <c r="PO32" i="83" s="1"/>
  <c r="PO19" i="83"/>
  <c r="PO27" i="83" s="1"/>
  <c r="PO20" i="83"/>
  <c r="PO23" i="83" s="1"/>
  <c r="PO21" i="83"/>
  <c r="PO24" i="83" s="1"/>
  <c r="PO26" i="83" s="1"/>
  <c r="PO22" i="83"/>
  <c r="PH18" i="83"/>
  <c r="PH32" i="83" s="1"/>
  <c r="PH19" i="83"/>
  <c r="PH27" i="83" s="1"/>
  <c r="PH20" i="83"/>
  <c r="PH23" i="83" s="1"/>
  <c r="PH21" i="83"/>
  <c r="PH24" i="83" s="1"/>
  <c r="PH26" i="83" s="1"/>
  <c r="PH22" i="83"/>
  <c r="PM18" i="83"/>
  <c r="PM32" i="83" s="1"/>
  <c r="PM19" i="83"/>
  <c r="PM27" i="83" s="1"/>
  <c r="PM20" i="83"/>
  <c r="PM23" i="83" s="1"/>
  <c r="PM22" i="83"/>
  <c r="PM21" i="83"/>
  <c r="PM24" i="83" s="1"/>
  <c r="PM26" i="83" s="1"/>
  <c r="NX3" i="695"/>
  <c r="ND7" i="695"/>
  <c r="ND9" i="695"/>
  <c r="ND10" i="695"/>
  <c r="ND11" i="695"/>
  <c r="ND12" i="695"/>
  <c r="ND13" i="695"/>
  <c r="ND14" i="695"/>
  <c r="ND15" i="695"/>
  <c r="ND16" i="695"/>
  <c r="ND17" i="695"/>
  <c r="ND8" i="695"/>
  <c r="PE29" i="83"/>
  <c r="PE31" i="83"/>
  <c r="QU3" i="83"/>
  <c r="QA9" i="83"/>
  <c r="QA10" i="83"/>
  <c r="QA11" i="83"/>
  <c r="QA12" i="83"/>
  <c r="QA13" i="83"/>
  <c r="QA14" i="83"/>
  <c r="QA15" i="83"/>
  <c r="QA16" i="83"/>
  <c r="QA17" i="83"/>
  <c r="QA7" i="83"/>
  <c r="QA8" i="83"/>
  <c r="PI18" i="83"/>
  <c r="PI32" i="83" s="1"/>
  <c r="PI20" i="83"/>
  <c r="PI23" i="83" s="1"/>
  <c r="PI19" i="83"/>
  <c r="PI27" i="83" s="1"/>
  <c r="PI21" i="83"/>
  <c r="PI24" i="83" s="1"/>
  <c r="PI26" i="83" s="1"/>
  <c r="PI22" i="83"/>
  <c r="LO25" i="83"/>
  <c r="LO30" i="83"/>
  <c r="LO33" i="83"/>
  <c r="RL25" i="83"/>
  <c r="RL30" i="83"/>
  <c r="RL33" i="83"/>
  <c r="LZ29" i="83"/>
  <c r="LZ31" i="83"/>
  <c r="OZ18" i="83"/>
  <c r="OZ32" i="83" s="1"/>
  <c r="OZ19" i="83"/>
  <c r="OZ27" i="83" s="1"/>
  <c r="OZ20" i="83"/>
  <c r="OZ23" i="83" s="1"/>
  <c r="OZ21" i="83"/>
  <c r="OZ24" i="83" s="1"/>
  <c r="OZ26" i="83" s="1"/>
  <c r="OZ22" i="83"/>
  <c r="MG18" i="83"/>
  <c r="MG32" i="83" s="1"/>
  <c r="MG21" i="83"/>
  <c r="MG24" i="83" s="1"/>
  <c r="MG26" i="83" s="1"/>
  <c r="MG19" i="83"/>
  <c r="MG27" i="83" s="1"/>
  <c r="MG20" i="83"/>
  <c r="MG23" i="83" s="1"/>
  <c r="MG22" i="83"/>
  <c r="MD18" i="83"/>
  <c r="MD32" i="83" s="1"/>
  <c r="MD19" i="83"/>
  <c r="MD27" i="83" s="1"/>
  <c r="MD20" i="83"/>
  <c r="MD23" i="83" s="1"/>
  <c r="MD21" i="83"/>
  <c r="MD24" i="83" s="1"/>
  <c r="MD26" i="83" s="1"/>
  <c r="MD22" i="83"/>
  <c r="LE29" i="695"/>
  <c r="LE25" i="695"/>
  <c r="LE32" i="695"/>
  <c r="QK3" i="83"/>
  <c r="PQ9" i="83"/>
  <c r="PQ18" i="83" s="1"/>
  <c r="PQ32" i="83" s="1"/>
  <c r="PQ10" i="83"/>
  <c r="PQ11" i="83"/>
  <c r="PQ12" i="83"/>
  <c r="PQ13" i="83"/>
  <c r="PQ14" i="83"/>
  <c r="PQ15" i="83"/>
  <c r="PQ16" i="83"/>
  <c r="PQ29" i="83" s="1"/>
  <c r="PQ17" i="83"/>
  <c r="MW9" i="83"/>
  <c r="MW10" i="83"/>
  <c r="MW11" i="83"/>
  <c r="MW12" i="83"/>
  <c r="MW13" i="83"/>
  <c r="MW14" i="83"/>
  <c r="MW15" i="83"/>
  <c r="MW16" i="83"/>
  <c r="MW17" i="83"/>
  <c r="MW7" i="83"/>
  <c r="MW8" i="83"/>
  <c r="LP25" i="695"/>
  <c r="LP29" i="695"/>
  <c r="LP32" i="695"/>
  <c r="LT24" i="695"/>
  <c r="LT26" i="695" s="1"/>
  <c r="LT23" i="695"/>
  <c r="LT28" i="695"/>
  <c r="LT30" i="695"/>
  <c r="LY23" i="695"/>
  <c r="LY28" i="695"/>
  <c r="LY24" i="695"/>
  <c r="LY26" i="695" s="1"/>
  <c r="LY30" i="695"/>
  <c r="LZ23" i="695"/>
  <c r="LZ24" i="695"/>
  <c r="LZ26" i="695" s="1"/>
  <c r="LZ28" i="695"/>
  <c r="LZ30" i="695"/>
  <c r="OF25" i="83"/>
  <c r="OF30" i="83"/>
  <c r="OF33" i="83"/>
  <c r="KZ25" i="695"/>
  <c r="KZ29" i="695"/>
  <c r="KZ32" i="695"/>
  <c r="PA18" i="83"/>
  <c r="PA32" i="83" s="1"/>
  <c r="PA19" i="83"/>
  <c r="PA27" i="83" s="1"/>
  <c r="PA20" i="83"/>
  <c r="PA23" i="83" s="1"/>
  <c r="PA21" i="83"/>
  <c r="PA24" i="83" s="1"/>
  <c r="PA26" i="83" s="1"/>
  <c r="PA22" i="83"/>
  <c r="LF25" i="83"/>
  <c r="LF30" i="83"/>
  <c r="LF33" i="83"/>
  <c r="LX18" i="83"/>
  <c r="LX32" i="83" s="1"/>
  <c r="LX19" i="83"/>
  <c r="LX27" i="83" s="1"/>
  <c r="LX21" i="83"/>
  <c r="LX24" i="83" s="1"/>
  <c r="LX26" i="83" s="1"/>
  <c r="LX20" i="83"/>
  <c r="LX23" i="83" s="1"/>
  <c r="LX22" i="83"/>
  <c r="NT3" i="695"/>
  <c r="MZ7" i="695"/>
  <c r="MZ9" i="695"/>
  <c r="MZ10" i="695"/>
  <c r="MZ11" i="695"/>
  <c r="MZ12" i="695"/>
  <c r="MZ13" i="695"/>
  <c r="MZ14" i="695"/>
  <c r="MZ15" i="695"/>
  <c r="MZ16" i="695"/>
  <c r="MZ17" i="695"/>
  <c r="MZ8" i="695"/>
  <c r="ML24" i="695"/>
  <c r="ML26" i="695" s="1"/>
  <c r="ML23" i="695"/>
  <c r="ML28" i="695"/>
  <c r="ML30" i="695"/>
  <c r="MC18" i="695"/>
  <c r="MC31" i="695" s="1"/>
  <c r="MC21" i="695"/>
  <c r="MC19" i="695"/>
  <c r="MC27" i="695" s="1"/>
  <c r="MC20" i="695"/>
  <c r="MC22" i="695"/>
  <c r="LV20" i="695"/>
  <c r="LV18" i="695"/>
  <c r="LV31" i="695" s="1"/>
  <c r="LV21" i="695"/>
  <c r="LV19" i="695"/>
  <c r="LV27" i="695" s="1"/>
  <c r="LV22" i="695"/>
  <c r="MV9" i="83"/>
  <c r="MV10" i="83"/>
  <c r="MV11" i="83"/>
  <c r="MV12" i="83"/>
  <c r="MV13" i="83"/>
  <c r="MV14" i="83"/>
  <c r="MV15" i="83"/>
  <c r="MV16" i="83"/>
  <c r="MV17" i="83"/>
  <c r="MV7" i="83"/>
  <c r="MV8" i="83"/>
  <c r="PC29" i="83"/>
  <c r="PC31" i="83"/>
  <c r="MA18" i="83"/>
  <c r="MA32" i="83" s="1"/>
  <c r="MA19" i="83"/>
  <c r="MA27" i="83" s="1"/>
  <c r="MA21" i="83"/>
  <c r="MA24" i="83" s="1"/>
  <c r="MA26" i="83" s="1"/>
  <c r="MA20" i="83"/>
  <c r="MA23" i="83" s="1"/>
  <c r="MA22" i="83"/>
  <c r="QP3" i="83"/>
  <c r="PV9" i="83"/>
  <c r="PV10" i="83"/>
  <c r="PV11" i="83"/>
  <c r="PV12" i="83"/>
  <c r="PV13" i="83"/>
  <c r="PV14" i="83"/>
  <c r="PV15" i="83"/>
  <c r="PV16" i="83"/>
  <c r="PV17" i="83"/>
  <c r="PV7" i="83"/>
  <c r="PV8" i="83"/>
  <c r="LO25" i="695"/>
  <c r="LO29" i="695"/>
  <c r="LO32" i="695"/>
  <c r="NO3" i="695"/>
  <c r="MU7" i="695"/>
  <c r="MU9" i="695"/>
  <c r="MU10" i="695"/>
  <c r="MU11" i="695"/>
  <c r="MU12" i="695"/>
  <c r="MU13" i="695"/>
  <c r="MU14" i="695"/>
  <c r="MU15" i="695"/>
  <c r="MU16" i="695"/>
  <c r="MU17" i="695"/>
  <c r="MU8" i="695"/>
  <c r="PJ18" i="83"/>
  <c r="PJ32" i="83" s="1"/>
  <c r="PJ19" i="83"/>
  <c r="PJ27" i="83" s="1"/>
  <c r="PJ21" i="83"/>
  <c r="PJ24" i="83" s="1"/>
  <c r="PJ26" i="83" s="1"/>
  <c r="PJ20" i="83"/>
  <c r="PJ23" i="83" s="1"/>
  <c r="PJ22" i="83"/>
  <c r="LF25" i="695"/>
  <c r="LF29" i="695"/>
  <c r="LF32" i="695"/>
  <c r="B55" i="83" a="1"/>
  <c r="B55" i="83" s="1"/>
  <c r="B57" i="83" a="1"/>
  <c r="B57" i="83" s="1"/>
  <c r="B56" i="83" a="1"/>
  <c r="B56" i="83" s="1"/>
  <c r="LS21" i="695"/>
  <c r="LU19" i="83"/>
  <c r="LU27" i="83" s="1"/>
  <c r="LW18" i="83"/>
  <c r="LW32" i="83" s="1"/>
  <c r="LW19" i="83"/>
  <c r="LW27" i="83" s="1"/>
  <c r="LW20" i="83"/>
  <c r="LW23" i="83" s="1"/>
  <c r="LW21" i="83"/>
  <c r="LW24" i="83" s="1"/>
  <c r="LW26" i="83" s="1"/>
  <c r="LW22" i="83"/>
  <c r="NG3" i="695"/>
  <c r="MM9" i="695"/>
  <c r="MM20" i="695" s="1"/>
  <c r="MM23" i="695" s="1"/>
  <c r="MM10" i="695"/>
  <c r="MM11" i="695"/>
  <c r="MM12" i="695"/>
  <c r="MM13" i="695"/>
  <c r="MM14" i="695"/>
  <c r="MM15" i="695"/>
  <c r="MM16" i="695"/>
  <c r="MM17" i="695"/>
  <c r="QL3" i="83"/>
  <c r="PR9" i="83"/>
  <c r="PR10" i="83"/>
  <c r="PR11" i="83"/>
  <c r="PR12" i="83"/>
  <c r="PR13" i="83"/>
  <c r="PR14" i="83"/>
  <c r="PR15" i="83"/>
  <c r="PR16" i="83"/>
  <c r="PR17" i="83"/>
  <c r="PR7" i="83"/>
  <c r="PR8" i="83"/>
  <c r="PO29" i="83"/>
  <c r="PO31" i="83"/>
  <c r="PH29" i="83"/>
  <c r="PH31" i="83"/>
  <c r="PM29" i="83"/>
  <c r="PM31" i="83"/>
  <c r="MQ9" i="83"/>
  <c r="MQ10" i="83"/>
  <c r="MQ11" i="83"/>
  <c r="MQ12" i="83"/>
  <c r="MQ13" i="83"/>
  <c r="MQ14" i="83"/>
  <c r="MQ15" i="83"/>
  <c r="MQ16" i="83"/>
  <c r="MQ17" i="83"/>
  <c r="MQ7" i="83"/>
  <c r="MQ8" i="83"/>
  <c r="PK18" i="83"/>
  <c r="PK32" i="83" s="1"/>
  <c r="PK19" i="83"/>
  <c r="PK27" i="83" s="1"/>
  <c r="PK20" i="83"/>
  <c r="PK23" i="83" s="1"/>
  <c r="PK22" i="83"/>
  <c r="PK21" i="83"/>
  <c r="PK24" i="83" s="1"/>
  <c r="PK26" i="83" s="1"/>
  <c r="LB25" i="83"/>
  <c r="LB30" i="83"/>
  <c r="LB33" i="83"/>
  <c r="ME18" i="83"/>
  <c r="ME32" i="83" s="1"/>
  <c r="ME19" i="83"/>
  <c r="ME27" i="83" s="1"/>
  <c r="ME20" i="83"/>
  <c r="ME23" i="83" s="1"/>
  <c r="ME21" i="83"/>
  <c r="ME24" i="83" s="1"/>
  <c r="ME26" i="83" s="1"/>
  <c r="ME22" i="83"/>
  <c r="ML18" i="83"/>
  <c r="ML32" i="83" s="1"/>
  <c r="ML19" i="83"/>
  <c r="ML27" i="83" s="1"/>
  <c r="ML20" i="83"/>
  <c r="ML23" i="83" s="1"/>
  <c r="ML21" i="83"/>
  <c r="ML24" i="83" s="1"/>
  <c r="ML26" i="83" s="1"/>
  <c r="ML22" i="83"/>
  <c r="PI29" i="83"/>
  <c r="PI31" i="83"/>
  <c r="LX20" i="695"/>
  <c r="LX18" i="695"/>
  <c r="LX31" i="695" s="1"/>
  <c r="LX19" i="695"/>
  <c r="LX27" i="695" s="1"/>
  <c r="LX21" i="695"/>
  <c r="LX22" i="695"/>
  <c r="LY18" i="83"/>
  <c r="LY32" i="83" s="1"/>
  <c r="LY21" i="83"/>
  <c r="LY24" i="83" s="1"/>
  <c r="LY26" i="83" s="1"/>
  <c r="LY19" i="83"/>
  <c r="LY27" i="83" s="1"/>
  <c r="LY20" i="83"/>
  <c r="LY23" i="83" s="1"/>
  <c r="LY22" i="83"/>
  <c r="LW20" i="695"/>
  <c r="LW18" i="695"/>
  <c r="LW31" i="695" s="1"/>
  <c r="LW19" i="695"/>
  <c r="LW27" i="695" s="1"/>
  <c r="LW21" i="695"/>
  <c r="LW22" i="695"/>
  <c r="OZ29" i="83"/>
  <c r="OZ31" i="83"/>
  <c r="QR3" i="83"/>
  <c r="PX9" i="83"/>
  <c r="PX10" i="83"/>
  <c r="PX11" i="83"/>
  <c r="PX12" i="83"/>
  <c r="PX13" i="83"/>
  <c r="PX14" i="83"/>
  <c r="PX15" i="83"/>
  <c r="PX16" i="83"/>
  <c r="PX17" i="83"/>
  <c r="PX7" i="83"/>
  <c r="PX8" i="83"/>
  <c r="MG29" i="83"/>
  <c r="MG31" i="83"/>
  <c r="MD29" i="83"/>
  <c r="MD31" i="83"/>
  <c r="MI23" i="695"/>
  <c r="MI24" i="695"/>
  <c r="MI26" i="695" s="1"/>
  <c r="MI28" i="695"/>
  <c r="MI30" i="695"/>
  <c r="MD24" i="695"/>
  <c r="MD26" i="695" s="1"/>
  <c r="MD23" i="695"/>
  <c r="MD28" i="695"/>
  <c r="MD30" i="695"/>
  <c r="QZ3" i="83"/>
  <c r="QF9" i="83"/>
  <c r="QF10" i="83"/>
  <c r="QF11" i="83"/>
  <c r="QF12" i="83"/>
  <c r="QF13" i="83"/>
  <c r="QF14" i="83"/>
  <c r="QF15" i="83"/>
  <c r="QF16" i="83"/>
  <c r="QF17" i="83"/>
  <c r="QF7" i="83"/>
  <c r="QF8" i="83"/>
  <c r="LA25" i="83"/>
  <c r="LA30" i="83"/>
  <c r="LA33" i="83"/>
  <c r="NH3" i="695"/>
  <c r="MN7" i="695"/>
  <c r="MN9" i="695"/>
  <c r="MN10" i="695"/>
  <c r="MN11" i="695"/>
  <c r="MN12" i="695"/>
  <c r="MN13" i="695"/>
  <c r="MN14" i="695"/>
  <c r="MN15" i="695"/>
  <c r="MN16" i="695"/>
  <c r="MN17" i="695"/>
  <c r="MN8" i="695"/>
  <c r="NM3" i="695"/>
  <c r="MS7" i="695"/>
  <c r="MS9" i="695"/>
  <c r="MS10" i="695"/>
  <c r="MS11" i="695"/>
  <c r="MS12" i="695"/>
  <c r="MS13" i="695"/>
  <c r="MS14" i="695"/>
  <c r="MS15" i="695"/>
  <c r="MS16" i="695"/>
  <c r="MS17" i="695"/>
  <c r="MS8" i="695"/>
  <c r="NN3" i="695"/>
  <c r="MT7" i="695"/>
  <c r="MT9" i="695"/>
  <c r="MT10" i="695"/>
  <c r="MT11" i="695"/>
  <c r="MT12" i="695"/>
  <c r="MT13" i="695"/>
  <c r="MT14" i="695"/>
  <c r="MT15" i="695"/>
  <c r="MT16" i="695"/>
  <c r="MT17" i="695"/>
  <c r="MT8" i="695"/>
  <c r="PA29" i="83"/>
  <c r="PA31" i="83"/>
  <c r="LX29" i="83"/>
  <c r="LX31" i="83"/>
  <c r="LC29" i="695"/>
  <c r="LC25" i="695"/>
  <c r="LC32" i="695"/>
  <c r="NZ3" i="695"/>
  <c r="NF7" i="695"/>
  <c r="NF9" i="695"/>
  <c r="NF10" i="695"/>
  <c r="NF11" i="695"/>
  <c r="NF12" i="695"/>
  <c r="NF13" i="695"/>
  <c r="NF14" i="695"/>
  <c r="NF15" i="695"/>
  <c r="NF16" i="695"/>
  <c r="NF17" i="695"/>
  <c r="NF8" i="695"/>
  <c r="MJ18" i="83"/>
  <c r="MJ32" i="83" s="1"/>
  <c r="MJ19" i="83"/>
  <c r="MJ27" i="83" s="1"/>
  <c r="MJ21" i="83"/>
  <c r="MJ24" i="83" s="1"/>
  <c r="MJ26" i="83" s="1"/>
  <c r="MJ22" i="83"/>
  <c r="MJ20" i="83"/>
  <c r="MJ23" i="83" s="1"/>
  <c r="RU25" i="83"/>
  <c r="RU30" i="83"/>
  <c r="RU33" i="83"/>
  <c r="MA29" i="83"/>
  <c r="MA31" i="83"/>
  <c r="LK25" i="695"/>
  <c r="LK29" i="695"/>
  <c r="LK32" i="695"/>
  <c r="NB9" i="83"/>
  <c r="NB10" i="83"/>
  <c r="NB11" i="83"/>
  <c r="NB12" i="83"/>
  <c r="NB13" i="83"/>
  <c r="NB14" i="83"/>
  <c r="NB15" i="83"/>
  <c r="NB16" i="83"/>
  <c r="NB17" i="83"/>
  <c r="NB7" i="83"/>
  <c r="NB8" i="83"/>
  <c r="MG19" i="695"/>
  <c r="MG27" i="695" s="1"/>
  <c r="MG20" i="695"/>
  <c r="MG21" i="695"/>
  <c r="MG22" i="695"/>
  <c r="MG18" i="695"/>
  <c r="MG31" i="695" s="1"/>
  <c r="LJ25" i="695"/>
  <c r="LJ29" i="695"/>
  <c r="LJ32" i="695"/>
  <c r="MI18" i="83"/>
  <c r="MI32" i="83" s="1"/>
  <c r="MI19" i="83"/>
  <c r="MI27" i="83" s="1"/>
  <c r="MI21" i="83"/>
  <c r="MI24" i="83" s="1"/>
  <c r="MI26" i="83" s="1"/>
  <c r="MI20" i="83"/>
  <c r="MI23" i="83" s="1"/>
  <c r="MI22" i="83"/>
  <c r="PJ29" i="83"/>
  <c r="PJ31" i="83"/>
  <c r="LU18" i="83"/>
  <c r="LU32" i="83" s="1"/>
  <c r="MH23" i="695"/>
  <c r="MH24" i="695"/>
  <c r="MH26" i="695" s="1"/>
  <c r="MH28" i="695"/>
  <c r="MH30" i="695"/>
  <c r="LG25" i="83"/>
  <c r="LG30" i="83"/>
  <c r="LG33" i="83"/>
  <c r="MC29" i="83"/>
  <c r="MC31" i="83"/>
  <c r="RS25" i="83"/>
  <c r="RS30" i="83"/>
  <c r="RS33" i="83"/>
  <c r="LZ19" i="695"/>
  <c r="LZ27" i="695" s="1"/>
  <c r="LZ20" i="695"/>
  <c r="LZ18" i="695"/>
  <c r="LZ31" i="695" s="1"/>
  <c r="LZ22" i="695"/>
  <c r="LZ21" i="695"/>
  <c r="OQ25" i="83"/>
  <c r="OQ30" i="83"/>
  <c r="OQ33" i="83"/>
  <c r="LU18" i="695"/>
  <c r="LU31" i="695" s="1"/>
  <c r="LU21" i="695"/>
  <c r="LU19" i="695"/>
  <c r="LU27" i="695" s="1"/>
  <c r="LU20" i="695"/>
  <c r="LU22" i="695"/>
  <c r="LT25" i="83"/>
  <c r="LT30" i="83"/>
  <c r="LT33" i="83"/>
  <c r="LL25" i="695"/>
  <c r="LL29" i="695"/>
  <c r="LL32" i="695"/>
  <c r="LR25" i="695"/>
  <c r="LR29" i="695"/>
  <c r="LR32" i="695"/>
  <c r="MB18" i="695"/>
  <c r="MB31" i="695" s="1"/>
  <c r="MB19" i="695"/>
  <c r="MB27" i="695" s="1"/>
  <c r="MB20" i="695"/>
  <c r="MB22" i="695"/>
  <c r="MB21" i="695"/>
  <c r="OR25" i="83"/>
  <c r="OR30" i="83"/>
  <c r="OR33" i="83"/>
  <c r="PK29" i="83"/>
  <c r="PK31" i="83"/>
  <c r="LM25" i="695"/>
  <c r="LM29" i="695"/>
  <c r="LM32" i="695"/>
  <c r="ME29" i="83"/>
  <c r="ME31" i="83"/>
  <c r="QS3" i="83"/>
  <c r="PY9" i="83"/>
  <c r="PY10" i="83"/>
  <c r="PY11" i="83"/>
  <c r="PY12" i="83"/>
  <c r="PY13" i="83"/>
  <c r="PY14" i="83"/>
  <c r="PY15" i="83"/>
  <c r="PY16" i="83"/>
  <c r="PY17" i="83"/>
  <c r="PY7" i="83"/>
  <c r="PY8" i="83"/>
  <c r="ML29" i="83"/>
  <c r="ML31" i="83"/>
  <c r="MT9" i="83"/>
  <c r="MT10" i="83"/>
  <c r="MT11" i="83"/>
  <c r="MT12" i="83"/>
  <c r="MT13" i="83"/>
  <c r="MT14" i="83"/>
  <c r="MT15" i="83"/>
  <c r="MT16" i="83"/>
  <c r="MT17" i="83"/>
  <c r="MT7" i="83"/>
  <c r="MT8" i="83"/>
  <c r="LY29" i="83"/>
  <c r="LY31" i="83"/>
  <c r="LA25" i="695"/>
  <c r="LA29" i="695"/>
  <c r="LA32" i="695"/>
  <c r="NW3" i="695"/>
  <c r="NC7" i="695"/>
  <c r="NC9" i="695"/>
  <c r="NC10" i="695"/>
  <c r="NC11" i="695"/>
  <c r="NC12" i="695"/>
  <c r="NC13" i="695"/>
  <c r="NC14" i="695"/>
  <c r="NC15" i="695"/>
  <c r="NC16" i="695"/>
  <c r="NC17" i="695"/>
  <c r="NC8" i="695"/>
  <c r="NR3" i="695"/>
  <c r="MX7" i="695"/>
  <c r="MX9" i="695"/>
  <c r="MX10" i="695"/>
  <c r="MX11" i="695"/>
  <c r="MX12" i="695"/>
  <c r="MX13" i="695"/>
  <c r="MX14" i="695"/>
  <c r="MX15" i="695"/>
  <c r="MX16" i="695"/>
  <c r="MX17" i="695"/>
  <c r="MX8" i="695"/>
  <c r="OC25" i="83"/>
  <c r="OC30" i="83"/>
  <c r="OC33" i="83"/>
  <c r="LK25" i="83"/>
  <c r="LK30" i="83"/>
  <c r="LK33" i="83"/>
  <c r="MK18" i="695"/>
  <c r="MK31" i="695" s="1"/>
  <c r="MK21" i="695"/>
  <c r="MK19" i="695"/>
  <c r="MK27" i="695" s="1"/>
  <c r="MK20" i="695"/>
  <c r="MK22" i="695"/>
  <c r="RV25" i="83"/>
  <c r="RV30" i="83"/>
  <c r="RV33" i="83"/>
  <c r="RR25" i="83"/>
  <c r="RR30" i="83"/>
  <c r="RR33" i="83"/>
  <c r="MC24" i="695"/>
  <c r="MC26" i="695" s="1"/>
  <c r="MC23" i="695"/>
  <c r="MC28" i="695"/>
  <c r="MC30" i="695"/>
  <c r="LV24" i="695"/>
  <c r="LV26" i="695" s="1"/>
  <c r="LV23" i="695"/>
  <c r="LV28" i="695"/>
  <c r="LV30" i="695"/>
  <c r="MJ29" i="83"/>
  <c r="MJ31" i="83"/>
  <c r="QQ3" i="83"/>
  <c r="PW9" i="83"/>
  <c r="PW10" i="83"/>
  <c r="PW11" i="83"/>
  <c r="PW12" i="83"/>
  <c r="PW13" i="83"/>
  <c r="PW14" i="83"/>
  <c r="PW15" i="83"/>
  <c r="PW16" i="83"/>
  <c r="PW17" i="83"/>
  <c r="PW7" i="83"/>
  <c r="PW8" i="83"/>
  <c r="OO25" i="83"/>
  <c r="OO30" i="83"/>
  <c r="OO33" i="83"/>
  <c r="MI29" i="83"/>
  <c r="MI31" i="83"/>
  <c r="C56" i="83" a="1"/>
  <c r="C56" i="83" s="1"/>
  <c r="C55" i="83" a="1"/>
  <c r="C55" i="83" s="1"/>
  <c r="C57" i="83" a="1"/>
  <c r="C57" i="83" s="1"/>
  <c r="LS28" i="695"/>
  <c r="PD19" i="83"/>
  <c r="PD27" i="83" s="1"/>
  <c r="PD18" i="83"/>
  <c r="PD32" i="83" s="1"/>
  <c r="PD22" i="83"/>
  <c r="PD20" i="83"/>
  <c r="PD23" i="83" s="1"/>
  <c r="PD21" i="83"/>
  <c r="PD24" i="83" s="1"/>
  <c r="PD26" i="83" s="1"/>
  <c r="RQ25" i="83"/>
  <c r="RQ30" i="83"/>
  <c r="RQ33" i="83"/>
  <c r="QM3" i="83"/>
  <c r="PS9" i="83"/>
  <c r="PS10" i="83"/>
  <c r="PS11" i="83"/>
  <c r="PS12" i="83"/>
  <c r="PS13" i="83"/>
  <c r="PS14" i="83"/>
  <c r="PS15" i="83"/>
  <c r="PS16" i="83"/>
  <c r="PS17" i="83"/>
  <c r="PS7" i="83"/>
  <c r="PS8" i="83"/>
  <c r="NG9" i="83"/>
  <c r="NG10" i="83"/>
  <c r="NG11" i="83"/>
  <c r="NG12" i="83"/>
  <c r="NG13" i="83"/>
  <c r="NG14" i="83"/>
  <c r="NG15" i="83"/>
  <c r="NG16" i="83"/>
  <c r="NG17" i="83"/>
  <c r="NG7" i="83"/>
  <c r="NG8" i="83"/>
  <c r="OP25" i="83"/>
  <c r="OP30" i="83"/>
  <c r="OP33" i="83"/>
  <c r="NE9" i="83"/>
  <c r="NE10" i="83"/>
  <c r="NE11" i="83"/>
  <c r="NE12" i="83"/>
  <c r="NE13" i="83"/>
  <c r="NE14" i="83"/>
  <c r="NE15" i="83"/>
  <c r="NE16" i="83"/>
  <c r="NE17" i="83"/>
  <c r="NE7" i="83"/>
  <c r="NE8" i="83"/>
  <c r="RW25" i="83"/>
  <c r="RW30" i="83"/>
  <c r="RW33" i="83"/>
  <c r="RC3" i="83"/>
  <c r="QI9" i="83"/>
  <c r="QI10" i="83"/>
  <c r="QI11" i="83"/>
  <c r="QI12" i="83"/>
  <c r="QI13" i="83"/>
  <c r="QI14" i="83"/>
  <c r="QI15" i="83"/>
  <c r="QI16" i="83"/>
  <c r="QI17" i="83"/>
  <c r="QI7" i="83"/>
  <c r="QI8" i="83"/>
  <c r="QV3" i="83"/>
  <c r="QB9" i="83"/>
  <c r="QB10" i="83"/>
  <c r="QB11" i="83"/>
  <c r="QB12" i="83"/>
  <c r="QB13" i="83"/>
  <c r="QB14" i="83"/>
  <c r="QB15" i="83"/>
  <c r="QB16" i="83"/>
  <c r="QB17" i="83"/>
  <c r="QB7" i="83"/>
  <c r="QB8" i="83"/>
  <c r="RA3" i="83"/>
  <c r="QG9" i="83"/>
  <c r="QG10" i="83"/>
  <c r="QG11" i="83"/>
  <c r="QG12" i="83"/>
  <c r="QG13" i="83"/>
  <c r="QG14" i="83"/>
  <c r="QG15" i="83"/>
  <c r="QG16" i="83"/>
  <c r="QG17" i="83"/>
  <c r="QG7" i="83"/>
  <c r="QG8" i="83"/>
  <c r="RG25" i="83"/>
  <c r="RG30" i="83"/>
  <c r="RG33" i="83"/>
  <c r="QW3" i="83"/>
  <c r="QC9" i="83"/>
  <c r="QC10" i="83"/>
  <c r="QC11" i="83"/>
  <c r="QC12" i="83"/>
  <c r="QC13" i="83"/>
  <c r="QC14" i="83"/>
  <c r="QC15" i="83"/>
  <c r="QC16" i="83"/>
  <c r="QC17" i="83"/>
  <c r="QC7" i="83"/>
  <c r="QC8" i="83"/>
  <c r="LX23" i="695"/>
  <c r="LX24" i="695"/>
  <c r="LX26" i="695" s="1"/>
  <c r="LX28" i="695"/>
  <c r="LX30" i="695"/>
  <c r="LQ25" i="83"/>
  <c r="LQ30" i="83"/>
  <c r="LQ33" i="83"/>
  <c r="LW23" i="695"/>
  <c r="LW24" i="695"/>
  <c r="LW26" i="695" s="1"/>
  <c r="LW28" i="695"/>
  <c r="LW30" i="695"/>
  <c r="QN3" i="83"/>
  <c r="PT9" i="83"/>
  <c r="PT10" i="83"/>
  <c r="PT11" i="83"/>
  <c r="PT12" i="83"/>
  <c r="PT13" i="83"/>
  <c r="PT14" i="83"/>
  <c r="PT15" i="83"/>
  <c r="PT16" i="83"/>
  <c r="PT17" i="83"/>
  <c r="PT7" i="83"/>
  <c r="PT8" i="83"/>
  <c r="NA9" i="83"/>
  <c r="NA10" i="83"/>
  <c r="NA11" i="83"/>
  <c r="NA12" i="83"/>
  <c r="NA13" i="83"/>
  <c r="NA14" i="83"/>
  <c r="NA15" i="83"/>
  <c r="NA16" i="83"/>
  <c r="NA17" i="83"/>
  <c r="NA7" i="83"/>
  <c r="NA8" i="83"/>
  <c r="MX9" i="83"/>
  <c r="MX10" i="83"/>
  <c r="MX11" i="83"/>
  <c r="MX12" i="83"/>
  <c r="MX13" i="83"/>
  <c r="MX14" i="83"/>
  <c r="MX15" i="83"/>
  <c r="MX16" i="83"/>
  <c r="MX17" i="83"/>
  <c r="MX7" i="83"/>
  <c r="MX8" i="83"/>
  <c r="LN25" i="695"/>
  <c r="LN29" i="695"/>
  <c r="LN32" i="695"/>
  <c r="OY18" i="83"/>
  <c r="OY32" i="83" s="1"/>
  <c r="OY19" i="83"/>
  <c r="OY27" i="83" s="1"/>
  <c r="OY20" i="83"/>
  <c r="OY23" i="83" s="1"/>
  <c r="OY21" i="83"/>
  <c r="OY24" i="83" s="1"/>
  <c r="OY26" i="83" s="1"/>
  <c r="OY22" i="83"/>
  <c r="RN25" i="83"/>
  <c r="RN30" i="83"/>
  <c r="RN33" i="83"/>
  <c r="MM18" i="83"/>
  <c r="MM32" i="83" s="1"/>
  <c r="MM19" i="83"/>
  <c r="MM27" i="83" s="1"/>
  <c r="MM20" i="83"/>
  <c r="MM23" i="83" s="1"/>
  <c r="MM21" i="83"/>
  <c r="MM24" i="83" s="1"/>
  <c r="MM26" i="83" s="1"/>
  <c r="MM22" i="83"/>
  <c r="LC25" i="83"/>
  <c r="LC30" i="83"/>
  <c r="LC33" i="83"/>
  <c r="ON25" i="83"/>
  <c r="ON30" i="83"/>
  <c r="ON33" i="83"/>
  <c r="MF18" i="83"/>
  <c r="MF32" i="83" s="1"/>
  <c r="MF19" i="83"/>
  <c r="MF27" i="83" s="1"/>
  <c r="MF21" i="83"/>
  <c r="MF24" i="83" s="1"/>
  <c r="MF26" i="83" s="1"/>
  <c r="MF20" i="83"/>
  <c r="MF23" i="83" s="1"/>
  <c r="MF22" i="83"/>
  <c r="OK25" i="83"/>
  <c r="OK30" i="83"/>
  <c r="OK33" i="83"/>
  <c r="QO3" i="83"/>
  <c r="PU9" i="83"/>
  <c r="PU10" i="83"/>
  <c r="PU11" i="83"/>
  <c r="PU12" i="83"/>
  <c r="PU13" i="83"/>
  <c r="PU14" i="83"/>
  <c r="PU15" i="83"/>
  <c r="PU16" i="83"/>
  <c r="PU17" i="83"/>
  <c r="PU7" i="83"/>
  <c r="PU8" i="83"/>
  <c r="MR9" i="83"/>
  <c r="MR10" i="83"/>
  <c r="MR11" i="83"/>
  <c r="MR12" i="83"/>
  <c r="MR13" i="83"/>
  <c r="MR14" i="83"/>
  <c r="MR15" i="83"/>
  <c r="MR16" i="83"/>
  <c r="MR17" i="83"/>
  <c r="MR7" i="83"/>
  <c r="MR8" i="83"/>
  <c r="OD25" i="83"/>
  <c r="OD30" i="83"/>
  <c r="OD33" i="83"/>
  <c r="NQ3" i="695"/>
  <c r="MW7" i="695"/>
  <c r="MW9" i="695"/>
  <c r="MW10" i="695"/>
  <c r="MW11" i="695"/>
  <c r="MW12" i="695"/>
  <c r="MW13" i="695"/>
  <c r="MW14" i="695"/>
  <c r="MW15" i="695"/>
  <c r="MW16" i="695"/>
  <c r="MW17" i="695"/>
  <c r="MW8" i="695"/>
  <c r="NJ3" i="695"/>
  <c r="MP7" i="695"/>
  <c r="MP9" i="695"/>
  <c r="MP10" i="695"/>
  <c r="MP11" i="695"/>
  <c r="MP12" i="695"/>
  <c r="MP13" i="695"/>
  <c r="MP14" i="695"/>
  <c r="MP15" i="695"/>
  <c r="MP16" i="695"/>
  <c r="MP17" i="695"/>
  <c r="MP8" i="695"/>
  <c r="LM25" i="83"/>
  <c r="LM30" i="83"/>
  <c r="LM33" i="83"/>
  <c r="LJ25" i="83"/>
  <c r="LJ30" i="83"/>
  <c r="LJ33" i="83"/>
  <c r="MK18" i="83"/>
  <c r="MK32" i="83" s="1"/>
  <c r="MK19" i="83"/>
  <c r="MK27" i="83" s="1"/>
  <c r="MK20" i="83"/>
  <c r="MK23" i="83" s="1"/>
  <c r="MK21" i="83"/>
  <c r="MK24" i="83" s="1"/>
  <c r="MK26" i="83" s="1"/>
  <c r="MK22" i="83"/>
  <c r="MU9" i="83"/>
  <c r="MU10" i="83"/>
  <c r="MU11" i="83"/>
  <c r="MU12" i="83"/>
  <c r="MU13" i="83"/>
  <c r="MU14" i="83"/>
  <c r="MU15" i="83"/>
  <c r="MU16" i="83"/>
  <c r="MU17" i="83"/>
  <c r="MU7" i="83"/>
  <c r="MU8" i="83"/>
  <c r="MG23" i="695"/>
  <c r="MG28" i="695"/>
  <c r="MG24" i="695"/>
  <c r="MG26" i="695" s="1"/>
  <c r="MG30" i="695"/>
  <c r="LV18" i="83"/>
  <c r="LV32" i="83" s="1"/>
  <c r="LV19" i="83"/>
  <c r="LV27" i="83" s="1"/>
  <c r="LV20" i="83"/>
  <c r="LV23" i="83" s="1"/>
  <c r="LV21" i="83"/>
  <c r="LV24" i="83" s="1"/>
  <c r="LV26" i="83" s="1"/>
  <c r="LV22" i="83"/>
  <c r="RF25" i="83"/>
  <c r="RF30" i="83"/>
  <c r="RF33" i="83"/>
  <c r="RM25" i="83"/>
  <c r="RM30" i="83"/>
  <c r="RM33" i="83"/>
  <c r="LI25" i="83"/>
  <c r="LI30" i="83"/>
  <c r="LI33" i="83"/>
  <c r="QX3" i="83"/>
  <c r="QD9" i="83"/>
  <c r="QD10" i="83"/>
  <c r="QD11" i="83"/>
  <c r="QD12" i="83"/>
  <c r="QD13" i="83"/>
  <c r="QD14" i="83"/>
  <c r="QD15" i="83"/>
  <c r="QD16" i="83"/>
  <c r="QD17" i="83"/>
  <c r="QD7" i="83"/>
  <c r="QD8" i="83"/>
  <c r="LL25" i="83"/>
  <c r="LL30" i="83"/>
  <c r="LL33" i="83"/>
  <c r="OW21" i="83"/>
  <c r="OW24" i="83" s="1"/>
  <c r="OW26" i="83" s="1"/>
  <c r="QK17" i="83"/>
  <c r="QK16" i="83"/>
  <c r="QK15" i="83"/>
  <c r="QK14" i="83"/>
  <c r="QK13" i="83"/>
  <c r="QK12" i="83"/>
  <c r="QK11" i="83"/>
  <c r="QK10" i="83"/>
  <c r="QK9" i="83"/>
  <c r="QK8" i="83"/>
  <c r="QK7" i="83"/>
  <c r="NG8" i="695"/>
  <c r="NG7" i="695"/>
  <c r="NG28" i="695" l="1"/>
  <c r="NG30" i="695"/>
  <c r="QK29" i="83"/>
  <c r="QK31" i="83"/>
  <c r="QK18" i="83"/>
  <c r="QK32" i="83" s="1"/>
  <c r="QK19" i="83"/>
  <c r="QK27" i="83" s="1"/>
  <c r="QK20" i="83"/>
  <c r="QK23" i="83" s="1"/>
  <c r="QK22" i="83"/>
  <c r="QK21" i="83"/>
  <c r="QK24" i="83" s="1"/>
  <c r="QK26" i="83" s="1"/>
  <c r="MM25" i="695"/>
  <c r="MM29" i="695"/>
  <c r="MM32" i="695"/>
  <c r="MP19" i="695"/>
  <c r="MP27" i="695" s="1"/>
  <c r="MP20" i="695"/>
  <c r="MP23" i="695" s="1"/>
  <c r="MP18" i="695"/>
  <c r="MP31" i="695" s="1"/>
  <c r="MP22" i="695"/>
  <c r="MP21" i="695"/>
  <c r="MP24" i="695" s="1"/>
  <c r="MP26" i="695" s="1"/>
  <c r="MX19" i="695"/>
  <c r="MX27" i="695" s="1"/>
  <c r="MX20" i="695"/>
  <c r="MX23" i="695" s="1"/>
  <c r="MX18" i="695"/>
  <c r="MX31" i="695" s="1"/>
  <c r="MX22" i="695"/>
  <c r="MX21" i="695"/>
  <c r="MX24" i="695" s="1"/>
  <c r="MX26" i="695" s="1"/>
  <c r="NB29" i="83"/>
  <c r="NB31" i="83"/>
  <c r="OA3" i="695"/>
  <c r="NG9" i="695"/>
  <c r="NG23" i="695" s="1"/>
  <c r="NG10" i="695"/>
  <c r="NG11" i="695"/>
  <c r="NG12" i="695"/>
  <c r="NG13" i="695"/>
  <c r="NG14" i="695"/>
  <c r="NG19" i="695" s="1"/>
  <c r="NG27" i="695" s="1"/>
  <c r="NG15" i="695"/>
  <c r="NG16" i="695"/>
  <c r="NG17" i="695"/>
  <c r="PE25" i="83"/>
  <c r="PE30" i="83"/>
  <c r="PE33" i="83"/>
  <c r="RI3" i="83"/>
  <c r="SC3" i="83" s="1"/>
  <c r="QO7" i="83"/>
  <c r="QO8" i="83"/>
  <c r="QO9" i="83"/>
  <c r="QO10" i="83"/>
  <c r="QO11" i="83"/>
  <c r="QO12" i="83"/>
  <c r="QO13" i="83"/>
  <c r="QO14" i="83"/>
  <c r="QO15" i="83"/>
  <c r="QO16" i="83"/>
  <c r="QO17" i="83"/>
  <c r="MX29" i="83"/>
  <c r="MX31" i="83"/>
  <c r="RH3" i="83"/>
  <c r="SB3" i="83" s="1"/>
  <c r="QN7" i="83"/>
  <c r="QN8" i="83"/>
  <c r="QN9" i="83"/>
  <c r="QN10" i="83"/>
  <c r="QN11" i="83"/>
  <c r="QN12" i="83"/>
  <c r="QN13" i="83"/>
  <c r="QN14" i="83"/>
  <c r="QN15" i="83"/>
  <c r="QN16" i="83"/>
  <c r="QN17" i="83"/>
  <c r="QB29" i="83"/>
  <c r="QB31" i="83"/>
  <c r="NG18" i="83"/>
  <c r="NG32" i="83" s="1"/>
  <c r="NG19" i="83"/>
  <c r="NG27" i="83" s="1"/>
  <c r="NG21" i="83"/>
  <c r="NG24" i="83" s="1"/>
  <c r="NG26" i="83" s="1"/>
  <c r="NG20" i="83"/>
  <c r="NG23" i="83" s="1"/>
  <c r="NG22" i="83"/>
  <c r="PW18" i="83"/>
  <c r="PW32" i="83" s="1"/>
  <c r="PW19" i="83"/>
  <c r="PW27" i="83" s="1"/>
  <c r="PW20" i="83"/>
  <c r="PW24" i="83" s="1"/>
  <c r="PW26" i="83" s="1"/>
  <c r="PW21" i="83" a="1"/>
  <c r="PW21" i="83" s="1"/>
  <c r="PW23" i="83" s="1"/>
  <c r="PW22" i="83"/>
  <c r="LV25" i="695"/>
  <c r="LV29" i="695"/>
  <c r="LV32" i="695"/>
  <c r="NF28" i="695"/>
  <c r="NF30" i="695"/>
  <c r="OG3" i="695"/>
  <c r="NM7" i="695"/>
  <c r="NM9" i="695"/>
  <c r="NM10" i="695"/>
  <c r="NM11" i="695"/>
  <c r="NM12" i="695"/>
  <c r="NM13" i="695"/>
  <c r="NM14" i="695"/>
  <c r="NM15" i="695"/>
  <c r="NM16" i="695"/>
  <c r="NM17" i="695"/>
  <c r="NM8" i="695"/>
  <c r="QF18" i="83"/>
  <c r="QF32" i="83" s="1"/>
  <c r="QF19" i="83"/>
  <c r="QF27" i="83" s="1"/>
  <c r="QF20" i="83"/>
  <c r="QF24" i="83" s="1"/>
  <c r="QF26" i="83" s="1"/>
  <c r="QF21" i="83" a="1"/>
  <c r="QF21" i="83" s="1"/>
  <c r="QF23" i="83" s="1"/>
  <c r="QF22" i="83"/>
  <c r="PX18" i="83"/>
  <c r="PX32" i="83" s="1"/>
  <c r="PX19" i="83"/>
  <c r="PX27" i="83" s="1"/>
  <c r="PX20" i="83"/>
  <c r="PX24" i="83" s="1"/>
  <c r="PX26" i="83" s="1"/>
  <c r="PX21" i="83" a="1"/>
  <c r="PX21" i="83" s="1"/>
  <c r="PX23" i="83" s="1"/>
  <c r="PX22" i="83"/>
  <c r="ON3" i="695"/>
  <c r="NT7" i="695"/>
  <c r="NT9" i="695"/>
  <c r="NT10" i="695"/>
  <c r="NT11" i="695"/>
  <c r="NT12" i="695"/>
  <c r="NT13" i="695"/>
  <c r="NT14" i="695"/>
  <c r="NT15" i="695"/>
  <c r="NT16" i="695"/>
  <c r="NT17" i="695"/>
  <c r="NT8" i="695"/>
  <c r="QA29" i="83"/>
  <c r="QA31" i="83"/>
  <c r="OR3" i="695"/>
  <c r="NX7" i="695"/>
  <c r="NX9" i="695"/>
  <c r="NX10" i="695"/>
  <c r="NX11" i="695"/>
  <c r="NX12" i="695"/>
  <c r="NX13" i="695"/>
  <c r="NX14" i="695"/>
  <c r="NX15" i="695"/>
  <c r="NX16" i="695"/>
  <c r="NX17" i="695"/>
  <c r="NX8" i="695"/>
  <c r="PH25" i="83"/>
  <c r="PH30" i="83"/>
  <c r="PH33" i="83"/>
  <c r="RN3" i="83"/>
  <c r="SH3" i="83" s="1"/>
  <c r="QT7" i="83"/>
  <c r="QT8" i="83"/>
  <c r="QT9" i="83"/>
  <c r="QT10" i="83"/>
  <c r="QT11" i="83"/>
  <c r="QT12" i="83"/>
  <c r="QT13" i="83"/>
  <c r="QT14" i="83"/>
  <c r="QT15" i="83"/>
  <c r="QT16" i="83"/>
  <c r="QT17" i="83"/>
  <c r="MH25" i="83"/>
  <c r="MH30" i="83"/>
  <c r="MH33" i="83"/>
  <c r="NE19" i="695"/>
  <c r="NE27" i="695" s="1"/>
  <c r="NE20" i="695"/>
  <c r="NE23" i="695" s="1"/>
  <c r="NE18" i="695"/>
  <c r="NE31" i="695" s="1"/>
  <c r="NE22" i="695"/>
  <c r="NE21" i="695"/>
  <c r="NE24" i="695" s="1"/>
  <c r="NE26" i="695" s="1"/>
  <c r="PG25" i="83"/>
  <c r="PG30" i="83"/>
  <c r="PG33" i="83"/>
  <c r="MV20" i="695"/>
  <c r="MV23" i="695" s="1"/>
  <c r="MV18" i="695"/>
  <c r="MV31" i="695" s="1"/>
  <c r="MV19" i="695"/>
  <c r="MV27" i="695" s="1"/>
  <c r="MV22" i="695"/>
  <c r="MV21" i="695"/>
  <c r="MV24" i="695" s="1"/>
  <c r="MV26" i="695" s="1"/>
  <c r="OX25" i="83"/>
  <c r="OX30" i="83"/>
  <c r="OX33" i="83"/>
  <c r="MR18" i="695"/>
  <c r="MR31" i="695" s="1"/>
  <c r="MR19" i="695"/>
  <c r="MR27" i="695" s="1"/>
  <c r="MR20" i="695"/>
  <c r="MR23" i="695" s="1"/>
  <c r="MR22" i="695"/>
  <c r="MR21" i="695"/>
  <c r="MR24" i="695" s="1"/>
  <c r="MR26" i="695" s="1"/>
  <c r="RS3" i="83"/>
  <c r="SM3" i="83" s="1"/>
  <c r="QY7" i="83"/>
  <c r="QY8" i="83"/>
  <c r="QY9" i="83"/>
  <c r="QY10" i="83"/>
  <c r="QY11" i="83"/>
  <c r="QY12" i="83"/>
  <c r="QY13" i="83"/>
  <c r="QY14" i="83"/>
  <c r="QY15" i="83"/>
  <c r="QY16" i="83"/>
  <c r="QY17" i="83"/>
  <c r="MO22" i="83"/>
  <c r="MS28" i="695"/>
  <c r="MS30" i="695"/>
  <c r="LZ25" i="695"/>
  <c r="LZ29" i="695"/>
  <c r="LZ32" i="695"/>
  <c r="ND29" i="83"/>
  <c r="ND31" i="83"/>
  <c r="MU18" i="83"/>
  <c r="MU32" i="83" s="1"/>
  <c r="MU19" i="83"/>
  <c r="MU27" i="83" s="1"/>
  <c r="MU20" i="83"/>
  <c r="MU23" i="83" s="1"/>
  <c r="MU21" i="83"/>
  <c r="MU24" i="83" s="1"/>
  <c r="MU26" i="83" s="1"/>
  <c r="MU22" i="83"/>
  <c r="MP28" i="695"/>
  <c r="MP30" i="695"/>
  <c r="MM25" i="83"/>
  <c r="MM30" i="83"/>
  <c r="MM33" i="83"/>
  <c r="OY25" i="83"/>
  <c r="OY30" i="83"/>
  <c r="OY33" i="83"/>
  <c r="NG29" i="83"/>
  <c r="NG31" i="83"/>
  <c r="PW29" i="83"/>
  <c r="PW31" i="83"/>
  <c r="MX28" i="695"/>
  <c r="MX30" i="695"/>
  <c r="PY18" i="83"/>
  <c r="PY32" i="83" s="1"/>
  <c r="PY20" i="83"/>
  <c r="PY24" i="83" s="1"/>
  <c r="PY26" i="83" s="1"/>
  <c r="PY19" i="83"/>
  <c r="PY27" i="83" s="1"/>
  <c r="PY21" i="83" a="1"/>
  <c r="PY21" i="83" s="1"/>
  <c r="PY23" i="83" s="1"/>
  <c r="PY22" i="83"/>
  <c r="MJ25" i="83"/>
  <c r="MJ30" i="83"/>
  <c r="MJ33" i="83"/>
  <c r="OT3" i="695"/>
  <c r="NZ7" i="695"/>
  <c r="NZ9" i="695"/>
  <c r="NZ10" i="695"/>
  <c r="NZ11" i="695"/>
  <c r="NZ12" i="695"/>
  <c r="NZ13" i="695"/>
  <c r="NZ14" i="695"/>
  <c r="NZ15" i="695"/>
  <c r="NZ16" i="695"/>
  <c r="NZ17" i="695"/>
  <c r="NZ8" i="695"/>
  <c r="MT20" i="695"/>
  <c r="MT23" i="695" s="1"/>
  <c r="MT18" i="695"/>
  <c r="MT31" i="695" s="1"/>
  <c r="MT21" i="695"/>
  <c r="MT24" i="695" s="1"/>
  <c r="MT26" i="695" s="1"/>
  <c r="MT22" i="695"/>
  <c r="MT19" i="695"/>
  <c r="MT27" i="695" s="1"/>
  <c r="MN20" i="695"/>
  <c r="MN23" i="695" s="1"/>
  <c r="MN18" i="695"/>
  <c r="MN31" i="695" s="1"/>
  <c r="MN19" i="695"/>
  <c r="MN27" i="695" s="1"/>
  <c r="MN21" i="695"/>
  <c r="MN24" i="695" s="1"/>
  <c r="MN26" i="695" s="1"/>
  <c r="MN22" i="695"/>
  <c r="QF29" i="83"/>
  <c r="QF31" i="83"/>
  <c r="PX29" i="83"/>
  <c r="PX31" i="83"/>
  <c r="ML25" i="83"/>
  <c r="ML30" i="83"/>
  <c r="ML33" i="83"/>
  <c r="MQ18" i="83"/>
  <c r="MQ32" i="83" s="1"/>
  <c r="MQ19" i="83"/>
  <c r="MQ27" i="83" s="1"/>
  <c r="MQ21" i="83"/>
  <c r="MQ24" i="83" s="1"/>
  <c r="MQ26" i="83" s="1"/>
  <c r="MQ20" i="83"/>
  <c r="MQ23" i="83" s="1"/>
  <c r="MQ22" i="83"/>
  <c r="PV18" i="83"/>
  <c r="PV32" i="83" s="1"/>
  <c r="PV19" i="83"/>
  <c r="PV27" i="83" s="1"/>
  <c r="PV20" i="83"/>
  <c r="PV24" i="83" s="1"/>
  <c r="PV26" i="83" s="1"/>
  <c r="PV21" i="83" a="1"/>
  <c r="PV21" i="83" s="1"/>
  <c r="PV23" i="83" s="1"/>
  <c r="PV22" i="83"/>
  <c r="MG25" i="83"/>
  <c r="MG30" i="83"/>
  <c r="MG33" i="83"/>
  <c r="MQ21" i="695"/>
  <c r="MQ24" i="695" s="1"/>
  <c r="MQ26" i="695" s="1"/>
  <c r="MQ19" i="695"/>
  <c r="MQ27" i="695" s="1"/>
  <c r="MQ18" i="695"/>
  <c r="MQ31" i="695" s="1"/>
  <c r="MQ22" i="695"/>
  <c r="MQ20" i="695"/>
  <c r="MQ23" i="695" s="1"/>
  <c r="MB29" i="695"/>
  <c r="MB25" i="695"/>
  <c r="MB32" i="695"/>
  <c r="ME25" i="695"/>
  <c r="ME29" i="695"/>
  <c r="ME32" i="695"/>
  <c r="PQ22" i="83"/>
  <c r="MO20" i="83"/>
  <c r="MO23" i="83" s="1"/>
  <c r="MX18" i="83"/>
  <c r="MX32" i="83" s="1"/>
  <c r="MX19" i="83"/>
  <c r="MX27" i="83" s="1"/>
  <c r="MX21" i="83"/>
  <c r="MX24" i="83" s="1"/>
  <c r="MX26" i="83" s="1"/>
  <c r="MX20" i="83"/>
  <c r="MX23" i="83" s="1"/>
  <c r="MX22" i="83"/>
  <c r="MZ28" i="695"/>
  <c r="MZ30" i="695"/>
  <c r="NC29" i="83"/>
  <c r="NC31" i="83"/>
  <c r="NA18" i="83"/>
  <c r="NA32" i="83" s="1"/>
  <c r="NA19" i="83"/>
  <c r="NA27" i="83" s="1"/>
  <c r="NA20" i="83"/>
  <c r="NA23" i="83" s="1"/>
  <c r="NA22" i="83"/>
  <c r="NA21" i="83"/>
  <c r="NA24" i="83" s="1"/>
  <c r="NA26" i="83" s="1"/>
  <c r="RP3" i="83"/>
  <c r="SJ3" i="83" s="1"/>
  <c r="QV7" i="83"/>
  <c r="QV8" i="83"/>
  <c r="QV9" i="83"/>
  <c r="QV10" i="83"/>
  <c r="QV11" i="83"/>
  <c r="QV12" i="83"/>
  <c r="QV13" i="83"/>
  <c r="QV14" i="83"/>
  <c r="QV15" i="83"/>
  <c r="QV16" i="83"/>
  <c r="QV17" i="83"/>
  <c r="NE18" i="83"/>
  <c r="NE32" i="83" s="1"/>
  <c r="NE21" i="83"/>
  <c r="NE24" i="83" s="1"/>
  <c r="NE26" i="83" s="1"/>
  <c r="NE20" i="83"/>
  <c r="NE23" i="83" s="1"/>
  <c r="NE19" i="83"/>
  <c r="NE27" i="83" s="1"/>
  <c r="NE22" i="83"/>
  <c r="OL3" i="695"/>
  <c r="NR7" i="695"/>
  <c r="NR9" i="695"/>
  <c r="NR10" i="695"/>
  <c r="NR11" i="695"/>
  <c r="NR12" i="695"/>
  <c r="NR13" i="695"/>
  <c r="NR14" i="695"/>
  <c r="NR15" i="695"/>
  <c r="NR16" i="695"/>
  <c r="NR17" i="695"/>
  <c r="NR8" i="695"/>
  <c r="PY29" i="83"/>
  <c r="PY31" i="83"/>
  <c r="MI25" i="83"/>
  <c r="MI30" i="83"/>
  <c r="MI33" i="83"/>
  <c r="MQ29" i="83"/>
  <c r="MQ31" i="83"/>
  <c r="PR18" i="83"/>
  <c r="PR32" i="83" s="1"/>
  <c r="PR19" i="83"/>
  <c r="PR27" i="83" s="1"/>
  <c r="PR20" i="83"/>
  <c r="PR24" i="83" s="1"/>
  <c r="PR26" i="83" s="1"/>
  <c r="PR22" i="83"/>
  <c r="PR21" i="83" a="1"/>
  <c r="PR21" i="83" s="1"/>
  <c r="PR23" i="83" s="1"/>
  <c r="LW25" i="83"/>
  <c r="LW30" i="83"/>
  <c r="LW33" i="83"/>
  <c r="MU20" i="695"/>
  <c r="MU23" i="695" s="1"/>
  <c r="MU18" i="695"/>
  <c r="MU31" i="695" s="1"/>
  <c r="MU19" i="695"/>
  <c r="MU27" i="695" s="1"/>
  <c r="MU21" i="695"/>
  <c r="MU24" i="695" s="1"/>
  <c r="MU26" i="695" s="1"/>
  <c r="MU22" i="695"/>
  <c r="PV29" i="83"/>
  <c r="PV31" i="83"/>
  <c r="LX25" i="83"/>
  <c r="LX30" i="83"/>
  <c r="LX33" i="83"/>
  <c r="RO3" i="83"/>
  <c r="SI3" i="83" s="1"/>
  <c r="QU7" i="83"/>
  <c r="QU8" i="83"/>
  <c r="QU9" i="83"/>
  <c r="QU10" i="83"/>
  <c r="QU11" i="83"/>
  <c r="QU12" i="83"/>
  <c r="QU13" i="83"/>
  <c r="QU14" i="83"/>
  <c r="QU15" i="83"/>
  <c r="QU16" i="83"/>
  <c r="QU17" i="83"/>
  <c r="LU25" i="83"/>
  <c r="LU30" i="83"/>
  <c r="LU33" i="83"/>
  <c r="PC25" i="83"/>
  <c r="PC30" i="83"/>
  <c r="PC33" i="83"/>
  <c r="MP18" i="83"/>
  <c r="MP32" i="83" s="1"/>
  <c r="MP19" i="83"/>
  <c r="MP27" i="83" s="1"/>
  <c r="MP21" i="83"/>
  <c r="MP24" i="83" s="1"/>
  <c r="MP26" i="83" s="1"/>
  <c r="MP20" i="83"/>
  <c r="MP23" i="83" s="1"/>
  <c r="MP22" i="83"/>
  <c r="NE28" i="695"/>
  <c r="NE30" i="695"/>
  <c r="MV28" i="695"/>
  <c r="MV30" i="695"/>
  <c r="MO19" i="695"/>
  <c r="MO27" i="695" s="1"/>
  <c r="MO20" i="695"/>
  <c r="MO23" i="695" s="1"/>
  <c r="MO21" i="695"/>
  <c r="MO24" i="695" s="1"/>
  <c r="MO26" i="695" s="1"/>
  <c r="MO18" i="695"/>
  <c r="MO31" i="695" s="1"/>
  <c r="MO22" i="695"/>
  <c r="MN25" i="83"/>
  <c r="MN30" i="83"/>
  <c r="MN33" i="83"/>
  <c r="MK29" i="695"/>
  <c r="MK25" i="695"/>
  <c r="MK32" i="695"/>
  <c r="MR28" i="695"/>
  <c r="MR30" i="695"/>
  <c r="MY18" i="83"/>
  <c r="MY32" i="83" s="1"/>
  <c r="MY19" i="83"/>
  <c r="MY27" i="83" s="1"/>
  <c r="MY21" i="83"/>
  <c r="MY24" i="83" s="1"/>
  <c r="MY26" i="83" s="1"/>
  <c r="MY20" i="83"/>
  <c r="MY23" i="83" s="1"/>
  <c r="MY22" i="83"/>
  <c r="MM22" i="695"/>
  <c r="PQ21" i="83" a="1"/>
  <c r="PQ21" i="83" s="1"/>
  <c r="PQ23" i="83" s="1" a="1"/>
  <c r="PQ23" i="83" s="1"/>
  <c r="MO19" i="83"/>
  <c r="MO27" i="83" s="1"/>
  <c r="QB19" i="83"/>
  <c r="QB27" i="83" s="1"/>
  <c r="QB18" i="83"/>
  <c r="QB32" i="83" s="1"/>
  <c r="QB20" i="83"/>
  <c r="QB24" i="83" s="1"/>
  <c r="QB26" i="83" s="1"/>
  <c r="QB22" i="83"/>
  <c r="QB21" i="83" a="1"/>
  <c r="QB21" i="83" s="1"/>
  <c r="QB23" i="83" s="1"/>
  <c r="RX3" i="83"/>
  <c r="SR3" i="83" s="1"/>
  <c r="RD7" i="83"/>
  <c r="RD8" i="83"/>
  <c r="RD9" i="83"/>
  <c r="RD10" i="83"/>
  <c r="RD11" i="83"/>
  <c r="RD12" i="83"/>
  <c r="RD13" i="83"/>
  <c r="RD14" i="83"/>
  <c r="RD15" i="83"/>
  <c r="RD16" i="83"/>
  <c r="RD17" i="83"/>
  <c r="OM3" i="695"/>
  <c r="NS7" i="695"/>
  <c r="NS9" i="695"/>
  <c r="NS10" i="695"/>
  <c r="NS11" i="695"/>
  <c r="NS12" i="695"/>
  <c r="NS13" i="695"/>
  <c r="NS14" i="695"/>
  <c r="NS15" i="695"/>
  <c r="NS16" i="695"/>
  <c r="NS17" i="695"/>
  <c r="NS8" i="695"/>
  <c r="LV25" i="83"/>
  <c r="LV30" i="83"/>
  <c r="LV33" i="83"/>
  <c r="MW19" i="695"/>
  <c r="MW27" i="695" s="1"/>
  <c r="MW20" i="695"/>
  <c r="MW23" i="695" s="1"/>
  <c r="MW21" i="695"/>
  <c r="MW24" i="695" s="1"/>
  <c r="MW26" i="695" s="1"/>
  <c r="MW18" i="695"/>
  <c r="MW31" i="695" s="1"/>
  <c r="MW22" i="695"/>
  <c r="MR29" i="83"/>
  <c r="MR31" i="83"/>
  <c r="NA29" i="83"/>
  <c r="NA31" i="83"/>
  <c r="LX25" i="695"/>
  <c r="LX29" i="695"/>
  <c r="LX32" i="695"/>
  <c r="QG18" i="83"/>
  <c r="QG32" i="83" s="1"/>
  <c r="QG19" i="83"/>
  <c r="QG27" i="83" s="1"/>
  <c r="QG20" i="83"/>
  <c r="QG24" i="83" s="1"/>
  <c r="QG26" i="83" s="1"/>
  <c r="QG21" i="83" a="1"/>
  <c r="QG21" i="83" s="1"/>
  <c r="QG23" i="83" s="1"/>
  <c r="QG22" i="83"/>
  <c r="QI18" i="83"/>
  <c r="QI32" i="83" s="1"/>
  <c r="QI19" i="83"/>
  <c r="QI27" i="83" s="1"/>
  <c r="QI20" i="83"/>
  <c r="QI24" i="83" s="1"/>
  <c r="QI26" i="83" s="1"/>
  <c r="QI21" i="83" a="1"/>
  <c r="QI21" i="83" s="1"/>
  <c r="QI23" i="83" s="1"/>
  <c r="QI22" i="83"/>
  <c r="NE29" i="83"/>
  <c r="NE31" i="83"/>
  <c r="PS18" i="83"/>
  <c r="PS32" i="83" s="1"/>
  <c r="PS19" i="83"/>
  <c r="PS27" i="83" s="1"/>
  <c r="PS20" i="83"/>
  <c r="PS24" i="83" s="1"/>
  <c r="PS26" i="83" s="1"/>
  <c r="PS22" i="83"/>
  <c r="PS21" i="83" a="1"/>
  <c r="PS21" i="83" s="1"/>
  <c r="PS23" i="83" s="1"/>
  <c r="PD25" i="83"/>
  <c r="PD30" i="83"/>
  <c r="PD33" i="83"/>
  <c r="RK3" i="83"/>
  <c r="SE3" i="83" s="1"/>
  <c r="QQ7" i="83"/>
  <c r="QQ8" i="83"/>
  <c r="QQ9" i="83"/>
  <c r="QQ10" i="83"/>
  <c r="QQ11" i="83"/>
  <c r="QQ12" i="83"/>
  <c r="QQ13" i="83"/>
  <c r="QQ14" i="83"/>
  <c r="QQ15" i="83"/>
  <c r="QQ16" i="83"/>
  <c r="QQ17" i="83"/>
  <c r="NC20" i="695"/>
  <c r="NC23" i="695" s="1"/>
  <c r="NC18" i="695"/>
  <c r="NC31" i="695" s="1"/>
  <c r="NC19" i="695"/>
  <c r="NC27" i="695" s="1"/>
  <c r="NC21" i="695"/>
  <c r="NC24" i="695" s="1"/>
  <c r="NC26" i="695" s="1"/>
  <c r="NC22" i="695"/>
  <c r="MT28" i="695"/>
  <c r="MT30" i="695"/>
  <c r="MN28" i="695"/>
  <c r="MN30" i="695"/>
  <c r="RT3" i="83"/>
  <c r="SN3" i="83" s="1"/>
  <c r="QZ7" i="83"/>
  <c r="QZ8" i="83"/>
  <c r="QZ9" i="83"/>
  <c r="QZ10" i="83"/>
  <c r="QZ11" i="83"/>
  <c r="QZ12" i="83"/>
  <c r="QZ13" i="83"/>
  <c r="QZ14" i="83"/>
  <c r="QZ15" i="83"/>
  <c r="QZ16" i="83"/>
  <c r="QZ17" i="83"/>
  <c r="MI29" i="695"/>
  <c r="MI25" i="695"/>
  <c r="MI32" i="695"/>
  <c r="RL3" i="83"/>
  <c r="SF3" i="83" s="1"/>
  <c r="QR7" i="83"/>
  <c r="QR8" i="83"/>
  <c r="QR9" i="83"/>
  <c r="QR10" i="83"/>
  <c r="QR11" i="83"/>
  <c r="QR12" i="83"/>
  <c r="QR13" i="83"/>
  <c r="QR14" i="83"/>
  <c r="QR15" i="83"/>
  <c r="QR16" i="83"/>
  <c r="QR17" i="83"/>
  <c r="PR29" i="83"/>
  <c r="PR31" i="83"/>
  <c r="ML25" i="695"/>
  <c r="ML29" i="695"/>
  <c r="ML32" i="695"/>
  <c r="PA25" i="83"/>
  <c r="PA30" i="83"/>
  <c r="PA33" i="83"/>
  <c r="LY25" i="695"/>
  <c r="LY29" i="695"/>
  <c r="LY32" i="695"/>
  <c r="MW18" i="83"/>
  <c r="MW32" i="83" s="1"/>
  <c r="MW21" i="83"/>
  <c r="MW24" i="83" s="1"/>
  <c r="MW26" i="83" s="1"/>
  <c r="MW20" i="83"/>
  <c r="MW23" i="83" s="1"/>
  <c r="MW19" i="83"/>
  <c r="MW27" i="83" s="1"/>
  <c r="MW22" i="83"/>
  <c r="PM25" i="83"/>
  <c r="PM30" i="83"/>
  <c r="PM33" i="83"/>
  <c r="NB20" i="695"/>
  <c r="NB23" i="695" s="1"/>
  <c r="NB18" i="695"/>
  <c r="NB31" i="695" s="1"/>
  <c r="NB21" i="695"/>
  <c r="NB24" i="695" s="1"/>
  <c r="NB26" i="695" s="1"/>
  <c r="NB22" i="695"/>
  <c r="NB19" i="695"/>
  <c r="NB27" i="695" s="1"/>
  <c r="MA29" i="695"/>
  <c r="MA25" i="695"/>
  <c r="MA32" i="695"/>
  <c r="MF25" i="695"/>
  <c r="MF29" i="695"/>
  <c r="MF32" i="695"/>
  <c r="QH18" i="83"/>
  <c r="QH32" i="83" s="1"/>
  <c r="QH19" i="83"/>
  <c r="QH27" i="83" s="1"/>
  <c r="QH20" i="83"/>
  <c r="QH24" i="83" s="1"/>
  <c r="QH26" i="83" s="1"/>
  <c r="QH22" i="83"/>
  <c r="QH21" i="83" a="1"/>
  <c r="QH21" i="83" s="1"/>
  <c r="QH23" i="83" s="1"/>
  <c r="MJ29" i="695"/>
  <c r="MJ25" i="695"/>
  <c r="MJ32" i="695"/>
  <c r="MP29" i="83"/>
  <c r="MP31" i="83"/>
  <c r="OW25" i="83"/>
  <c r="OW30" i="83"/>
  <c r="OW33" i="83"/>
  <c r="OS3" i="695"/>
  <c r="NY7" i="695"/>
  <c r="NY9" i="695"/>
  <c r="NY10" i="695"/>
  <c r="NY11" i="695"/>
  <c r="NY12" i="695"/>
  <c r="NY13" i="695"/>
  <c r="NY14" i="695"/>
  <c r="NY15" i="695"/>
  <c r="NY16" i="695"/>
  <c r="NY17" i="695"/>
  <c r="NY8" i="695"/>
  <c r="OJ3" i="695"/>
  <c r="NP7" i="695"/>
  <c r="NP9" i="695"/>
  <c r="NP10" i="695"/>
  <c r="NP11" i="695"/>
  <c r="NP12" i="695"/>
  <c r="NP13" i="695"/>
  <c r="NP14" i="695"/>
  <c r="NP15" i="695"/>
  <c r="NP16" i="695"/>
  <c r="NP17" i="695"/>
  <c r="NP8" i="695"/>
  <c r="LS29" i="695"/>
  <c r="LS25" i="695"/>
  <c r="LS32" i="695"/>
  <c r="NA18" i="695"/>
  <c r="NA31" i="695" s="1"/>
  <c r="NA21" i="695"/>
  <c r="NA24" i="695" s="1"/>
  <c r="NA26" i="695" s="1"/>
  <c r="NA19" i="695"/>
  <c r="NA27" i="695" s="1"/>
  <c r="NA20" i="695"/>
  <c r="NA23" i="695" s="1"/>
  <c r="NA22" i="695"/>
  <c r="PF25" i="83"/>
  <c r="PF30" i="83"/>
  <c r="PF33" i="83"/>
  <c r="MQ28" i="695"/>
  <c r="MQ30" i="695"/>
  <c r="OF3" i="695"/>
  <c r="NL7" i="695"/>
  <c r="NL9" i="695"/>
  <c r="NL10" i="695"/>
  <c r="NL11" i="695"/>
  <c r="NL12" i="695"/>
  <c r="NL13" i="695"/>
  <c r="NL14" i="695"/>
  <c r="NL15" i="695"/>
  <c r="NL16" i="695"/>
  <c r="NL17" i="695"/>
  <c r="NL8" i="695"/>
  <c r="MY29" i="83"/>
  <c r="MY31" i="83"/>
  <c r="MM21" i="695"/>
  <c r="MM24" i="695" s="1"/>
  <c r="MM26" i="695" s="1"/>
  <c r="PQ19" i="83"/>
  <c r="PQ27" i="83" s="1"/>
  <c r="MO21" i="83"/>
  <c r="MO24" i="83" s="1"/>
  <c r="MO26" i="83" s="1"/>
  <c r="OZ25" i="83"/>
  <c r="OZ30" i="83"/>
  <c r="OZ33" i="83"/>
  <c r="MU29" i="83"/>
  <c r="MU31" i="83"/>
  <c r="MR18" i="83"/>
  <c r="MR32" i="83" s="1"/>
  <c r="MR19" i="83"/>
  <c r="MR27" i="83" s="1"/>
  <c r="MR22" i="83"/>
  <c r="MR20" i="83"/>
  <c r="MR23" i="83" s="1"/>
  <c r="MR21" i="83"/>
  <c r="MR24" i="83" s="1"/>
  <c r="MR26" i="83" s="1"/>
  <c r="QD19" i="83"/>
  <c r="QD27" i="83" s="1"/>
  <c r="QD18" i="83"/>
  <c r="QD32" i="83" s="1"/>
  <c r="QD20" i="83"/>
  <c r="QD24" i="83" s="1"/>
  <c r="QD26" i="83" s="1"/>
  <c r="QD21" i="83" a="1"/>
  <c r="QD21" i="83" s="1"/>
  <c r="QD23" i="83" s="1"/>
  <c r="QD22" i="83"/>
  <c r="QD29" i="83"/>
  <c r="QD31" i="83"/>
  <c r="LW25" i="695"/>
  <c r="LW29" i="695"/>
  <c r="LW32" i="695"/>
  <c r="QC19" i="83"/>
  <c r="QC27" i="83" s="1"/>
  <c r="QC18" i="83"/>
  <c r="QC32" i="83" s="1"/>
  <c r="QC20" i="83"/>
  <c r="QC24" i="83" s="1"/>
  <c r="QC26" i="83" s="1"/>
  <c r="QC22" i="83"/>
  <c r="QC21" i="83" a="1"/>
  <c r="QC21" i="83" s="1"/>
  <c r="QC23" i="83" s="1"/>
  <c r="QG29" i="83"/>
  <c r="QG31" i="83"/>
  <c r="QI29" i="83"/>
  <c r="QI31" i="83"/>
  <c r="PS29" i="83"/>
  <c r="PS31" i="83"/>
  <c r="MC29" i="695"/>
  <c r="MC25" i="695"/>
  <c r="MC32" i="695"/>
  <c r="MT18" i="83"/>
  <c r="MT32" i="83" s="1"/>
  <c r="MT19" i="83"/>
  <c r="MT27" i="83" s="1"/>
  <c r="MT20" i="83"/>
  <c r="MT23" i="83" s="1"/>
  <c r="MT21" i="83"/>
  <c r="MT24" i="83" s="1"/>
  <c r="MT26" i="83" s="1"/>
  <c r="MT22" i="83"/>
  <c r="RM3" i="83"/>
  <c r="SG3" i="83" s="1"/>
  <c r="QS7" i="83"/>
  <c r="QS8" i="83"/>
  <c r="QS9" i="83"/>
  <c r="QS10" i="83"/>
  <c r="QS11" i="83"/>
  <c r="QS12" i="83"/>
  <c r="QS13" i="83"/>
  <c r="QS14" i="83"/>
  <c r="QS15" i="83"/>
  <c r="QS16" i="83"/>
  <c r="QS17" i="83"/>
  <c r="OH3" i="695"/>
  <c r="NN7" i="695"/>
  <c r="NN9" i="695"/>
  <c r="NN10" i="695"/>
  <c r="NN11" i="695"/>
  <c r="NN12" i="695"/>
  <c r="NN13" i="695"/>
  <c r="NN14" i="695"/>
  <c r="NN15" i="695"/>
  <c r="NN16" i="695"/>
  <c r="NN17" i="695"/>
  <c r="NN8" i="695"/>
  <c r="OB3" i="695"/>
  <c r="NH7" i="695"/>
  <c r="NH9" i="695"/>
  <c r="NH10" i="695"/>
  <c r="NH11" i="695"/>
  <c r="NH12" i="695"/>
  <c r="NH13" i="695"/>
  <c r="NH14" i="695"/>
  <c r="NH15" i="695"/>
  <c r="NH16" i="695"/>
  <c r="NH17" i="695"/>
  <c r="NH8" i="695"/>
  <c r="LY25" i="83"/>
  <c r="LY30" i="83"/>
  <c r="LY33" i="83"/>
  <c r="MU28" i="695"/>
  <c r="MU30" i="695"/>
  <c r="RJ3" i="83"/>
  <c r="SD3" i="83" s="1"/>
  <c r="QP7" i="83"/>
  <c r="QP8" i="83"/>
  <c r="QP9" i="83"/>
  <c r="QP10" i="83"/>
  <c r="QP11" i="83"/>
  <c r="QP12" i="83"/>
  <c r="QP13" i="83"/>
  <c r="QP14" i="83"/>
  <c r="QP15" i="83"/>
  <c r="QP16" i="83"/>
  <c r="QP17" i="83"/>
  <c r="MV18" i="83"/>
  <c r="MV32" i="83" s="1"/>
  <c r="MV19" i="83"/>
  <c r="MV27" i="83" s="1"/>
  <c r="MV20" i="83"/>
  <c r="MV23" i="83" s="1"/>
  <c r="MV21" i="83"/>
  <c r="MV24" i="83" s="1"/>
  <c r="MV26" i="83" s="1"/>
  <c r="MV22" i="83"/>
  <c r="MW29" i="83"/>
  <c r="MW31" i="83"/>
  <c r="QJ18" i="83"/>
  <c r="QJ32" i="83" s="1"/>
  <c r="QJ19" i="83"/>
  <c r="QJ27" i="83" s="1"/>
  <c r="QJ20" i="83"/>
  <c r="QJ24" i="83" s="1"/>
  <c r="QJ26" i="83" s="1"/>
  <c r="QJ21" i="83" a="1"/>
  <c r="QJ21" i="83" s="1"/>
  <c r="QJ23" i="83" s="1"/>
  <c r="QJ22" i="83"/>
  <c r="NH18" i="83"/>
  <c r="NH32" i="83" s="1"/>
  <c r="NH19" i="83"/>
  <c r="NH27" i="83" s="1"/>
  <c r="NH21" i="83"/>
  <c r="NH24" i="83" s="1"/>
  <c r="NH26" i="83" s="1"/>
  <c r="NH22" i="83"/>
  <c r="NH20" i="83"/>
  <c r="NH23" i="83" s="1"/>
  <c r="MY21" i="695"/>
  <c r="MY24" i="695" s="1"/>
  <c r="MY26" i="695" s="1"/>
  <c r="MY19" i="695"/>
  <c r="MY27" i="695" s="1"/>
  <c r="MY18" i="695"/>
  <c r="MY31" i="695" s="1"/>
  <c r="MY22" i="695"/>
  <c r="MY20" i="695"/>
  <c r="MY23" i="695" s="1"/>
  <c r="QH29" i="83"/>
  <c r="QH31" i="83"/>
  <c r="MZ18" i="83"/>
  <c r="MZ32" i="83" s="1"/>
  <c r="MZ19" i="83"/>
  <c r="MZ27" i="83" s="1"/>
  <c r="MZ22" i="83"/>
  <c r="MZ21" i="83"/>
  <c r="MZ24" i="83" s="1"/>
  <c r="MZ26" i="83" s="1"/>
  <c r="MZ20" i="83"/>
  <c r="MZ23" i="83" s="1"/>
  <c r="PL25" i="83"/>
  <c r="PL30" i="83"/>
  <c r="PL33" i="83"/>
  <c r="MO28" i="695"/>
  <c r="MO30" i="695"/>
  <c r="OE3" i="695"/>
  <c r="NK7" i="695"/>
  <c r="NK9" i="695"/>
  <c r="NK10" i="695"/>
  <c r="NK11" i="695"/>
  <c r="NK12" i="695"/>
  <c r="NK13" i="695"/>
  <c r="NK14" i="695"/>
  <c r="NK15" i="695"/>
  <c r="NK16" i="695"/>
  <c r="NK17" i="695"/>
  <c r="NK8" i="695"/>
  <c r="NF18" i="83"/>
  <c r="NF32" i="83" s="1"/>
  <c r="NF19" i="83"/>
  <c r="NF27" i="83" s="1"/>
  <c r="NF21" i="83"/>
  <c r="NF24" i="83" s="1"/>
  <c r="NF26" i="83" s="1"/>
  <c r="NF20" i="83"/>
  <c r="NF23" i="83" s="1"/>
  <c r="NF22" i="83"/>
  <c r="MM19" i="695"/>
  <c r="MM27" i="695" s="1"/>
  <c r="PQ20" i="83"/>
  <c r="PQ24" i="83" s="1"/>
  <c r="PQ26" i="83" s="1"/>
  <c r="MO18" i="83"/>
  <c r="MO32" i="83" s="1"/>
  <c r="RE3" i="83"/>
  <c r="QA18" i="83"/>
  <c r="QA32" i="83" s="1"/>
  <c r="QA19" i="83"/>
  <c r="QA27" i="83" s="1"/>
  <c r="QA20" i="83"/>
  <c r="QA24" i="83" s="1"/>
  <c r="QA26" i="83" s="1"/>
  <c r="QA22" i="83"/>
  <c r="QA21" i="83" a="1"/>
  <c r="QA21" i="83" s="1"/>
  <c r="QA23" i="83" s="1"/>
  <c r="MW28" i="695"/>
  <c r="MW30" i="695"/>
  <c r="PU18" i="83"/>
  <c r="PU32" i="83" s="1"/>
  <c r="PU19" i="83"/>
  <c r="PU27" i="83" s="1"/>
  <c r="PU20" i="83"/>
  <c r="PU24" i="83" s="1"/>
  <c r="PU26" i="83" s="1"/>
  <c r="PU21" i="83" a="1"/>
  <c r="PU21" i="83" s="1"/>
  <c r="PU23" i="83" s="1"/>
  <c r="PU22" i="83"/>
  <c r="MF25" i="83"/>
  <c r="MF30" i="83"/>
  <c r="MF33" i="83"/>
  <c r="PT19" i="83"/>
  <c r="PT27" i="83" s="1"/>
  <c r="PT18" i="83"/>
  <c r="PT32" i="83" s="1"/>
  <c r="PT22" i="83"/>
  <c r="PT21" i="83" a="1"/>
  <c r="PT21" i="83" s="1"/>
  <c r="PT23" i="83" s="1"/>
  <c r="PT20" i="83"/>
  <c r="PT24" i="83" s="1"/>
  <c r="PT26" i="83" s="1"/>
  <c r="QC29" i="83"/>
  <c r="QC31" i="83"/>
  <c r="NC28" i="695"/>
  <c r="NC30" i="695"/>
  <c r="MT29" i="83"/>
  <c r="MT31" i="83"/>
  <c r="MH25" i="695"/>
  <c r="MH29" i="695"/>
  <c r="MH32" i="695"/>
  <c r="MS18" i="695"/>
  <c r="MS31" i="695" s="1"/>
  <c r="MS21" i="695"/>
  <c r="MS24" i="695" s="1"/>
  <c r="MS26" i="695" s="1"/>
  <c r="MS19" i="695"/>
  <c r="MS27" i="695" s="1"/>
  <c r="MS20" i="695"/>
  <c r="MS23" i="695" s="1"/>
  <c r="MS22" i="695"/>
  <c r="RF3" i="83"/>
  <c r="RZ3" i="83" s="1"/>
  <c r="QL7" i="83"/>
  <c r="QL8" i="83"/>
  <c r="QL9" i="83"/>
  <c r="QL10" i="83"/>
  <c r="QL11" i="83"/>
  <c r="QL12" i="83"/>
  <c r="QL13" i="83"/>
  <c r="QL14" i="83"/>
  <c r="QL15" i="83"/>
  <c r="QL16" i="83"/>
  <c r="QL17" i="83"/>
  <c r="OI3" i="695"/>
  <c r="NO7" i="695"/>
  <c r="NO9" i="695"/>
  <c r="NO10" i="695"/>
  <c r="NO11" i="695"/>
  <c r="NO12" i="695"/>
  <c r="NO13" i="695"/>
  <c r="NO14" i="695"/>
  <c r="NO15" i="695"/>
  <c r="NO16" i="695"/>
  <c r="NO17" i="695"/>
  <c r="NO8" i="695"/>
  <c r="MV29" i="83"/>
  <c r="MV31" i="83"/>
  <c r="MZ18" i="695"/>
  <c r="MZ31" i="695" s="1"/>
  <c r="MZ19" i="695"/>
  <c r="MZ27" i="695" s="1"/>
  <c r="MZ20" i="695"/>
  <c r="MZ23" i="695" s="1"/>
  <c r="MZ21" i="695"/>
  <c r="MZ24" i="695" s="1"/>
  <c r="MZ26" i="695" s="1"/>
  <c r="MZ22" i="695"/>
  <c r="MD25" i="83"/>
  <c r="MD30" i="83"/>
  <c r="MD33" i="83"/>
  <c r="PI25" i="83"/>
  <c r="PI30" i="83"/>
  <c r="PI33" i="83"/>
  <c r="ND20" i="695"/>
  <c r="ND23" i="695" s="1"/>
  <c r="ND18" i="695"/>
  <c r="ND31" i="695" s="1"/>
  <c r="ND19" i="695"/>
  <c r="ND27" i="695" s="1"/>
  <c r="ND21" i="695"/>
  <c r="ND24" i="695" s="1"/>
  <c r="ND26" i="695" s="1"/>
  <c r="ND22" i="695"/>
  <c r="PO25" i="83"/>
  <c r="PO30" i="83"/>
  <c r="PO33" i="83"/>
  <c r="NB28" i="695"/>
  <c r="NB30" i="695"/>
  <c r="PZ18" i="83"/>
  <c r="PZ32" i="83" s="1"/>
  <c r="PZ19" i="83"/>
  <c r="PZ27" i="83" s="1"/>
  <c r="PZ20" i="83"/>
  <c r="PZ24" i="83" s="1"/>
  <c r="PZ26" i="83" s="1"/>
  <c r="PZ21" i="83" a="1"/>
  <c r="PZ21" i="83" s="1"/>
  <c r="PZ23" i="83" s="1"/>
  <c r="PZ22" i="83"/>
  <c r="QJ29" i="83"/>
  <c r="QJ31" i="83"/>
  <c r="NH29" i="83"/>
  <c r="NH31" i="83"/>
  <c r="LZ25" i="83"/>
  <c r="LZ30" i="83"/>
  <c r="LZ33" i="83"/>
  <c r="MZ29" i="83"/>
  <c r="MZ31" i="83"/>
  <c r="PB25" i="83"/>
  <c r="PB30" i="83"/>
  <c r="PB33" i="83"/>
  <c r="MB25" i="83"/>
  <c r="MB30" i="83"/>
  <c r="MB33" i="83"/>
  <c r="OC3" i="695"/>
  <c r="NI7" i="695"/>
  <c r="NI9" i="695"/>
  <c r="NI10" i="695"/>
  <c r="NI11" i="695"/>
  <c r="NI12" i="695"/>
  <c r="NI13" i="695"/>
  <c r="NI14" i="695"/>
  <c r="NI15" i="695"/>
  <c r="NI16" i="695"/>
  <c r="NI17" i="695"/>
  <c r="NI8" i="695"/>
  <c r="NA28" i="695"/>
  <c r="NA30" i="695"/>
  <c r="MS18" i="83"/>
  <c r="MS32" i="83" s="1"/>
  <c r="MS19" i="83"/>
  <c r="MS27" i="83" s="1"/>
  <c r="MS20" i="83"/>
  <c r="MS23" i="83" s="1"/>
  <c r="MS22" i="83"/>
  <c r="MS21" i="83"/>
  <c r="MS24" i="83" s="1"/>
  <c r="MS26" i="83" s="1"/>
  <c r="NF29" i="83"/>
  <c r="NF31" i="83"/>
  <c r="QE19" i="83"/>
  <c r="QE27" i="83" s="1"/>
  <c r="QE20" i="83"/>
  <c r="QE24" i="83" s="1"/>
  <c r="QE26" i="83" s="1"/>
  <c r="QE18" i="83"/>
  <c r="QE32" i="83" s="1"/>
  <c r="QE21" i="83" a="1"/>
  <c r="QE21" i="83" s="1"/>
  <c r="QE23" i="83" s="1"/>
  <c r="QE22" i="83"/>
  <c r="LU25" i="695"/>
  <c r="LU29" i="695"/>
  <c r="LU32" i="695"/>
  <c r="MM18" i="695"/>
  <c r="MM31" i="695" s="1"/>
  <c r="RQ3" i="83"/>
  <c r="SK3" i="83" s="1"/>
  <c r="QW7" i="83"/>
  <c r="QW8" i="83"/>
  <c r="QW9" i="83"/>
  <c r="QW10" i="83"/>
  <c r="QW11" i="83"/>
  <c r="QW12" i="83"/>
  <c r="QW13" i="83"/>
  <c r="QW14" i="83"/>
  <c r="QW15" i="83"/>
  <c r="QW16" i="83"/>
  <c r="QW17" i="83"/>
  <c r="ND28" i="695"/>
  <c r="ND30" i="695"/>
  <c r="MG25" i="695"/>
  <c r="MG29" i="695"/>
  <c r="MG32" i="695"/>
  <c r="OD3" i="695"/>
  <c r="NJ7" i="695"/>
  <c r="NJ9" i="695"/>
  <c r="NJ10" i="695"/>
  <c r="NJ11" i="695"/>
  <c r="NJ12" i="695"/>
  <c r="NJ13" i="695"/>
  <c r="NJ14" i="695"/>
  <c r="NJ15" i="695"/>
  <c r="NJ16" i="695"/>
  <c r="NJ17" i="695"/>
  <c r="NJ8" i="695"/>
  <c r="RR3" i="83"/>
  <c r="SL3" i="83" s="1"/>
  <c r="QX7" i="83"/>
  <c r="QX8" i="83"/>
  <c r="QX9" i="83"/>
  <c r="QX10" i="83"/>
  <c r="QX11" i="83"/>
  <c r="QX12" i="83"/>
  <c r="QX13" i="83"/>
  <c r="QX14" i="83"/>
  <c r="QX15" i="83"/>
  <c r="QX16" i="83"/>
  <c r="QX17" i="83"/>
  <c r="MK25" i="83"/>
  <c r="MK30" i="83"/>
  <c r="MK33" i="83"/>
  <c r="OK3" i="695"/>
  <c r="NQ7" i="695"/>
  <c r="NQ9" i="695"/>
  <c r="NQ10" i="695"/>
  <c r="NQ11" i="695"/>
  <c r="NQ12" i="695"/>
  <c r="NQ13" i="695"/>
  <c r="NQ14" i="695"/>
  <c r="NQ15" i="695"/>
  <c r="NQ16" i="695"/>
  <c r="NQ17" i="695"/>
  <c r="NQ8" i="695"/>
  <c r="PU29" i="83"/>
  <c r="PU31" i="83"/>
  <c r="PT29" i="83"/>
  <c r="PT31" i="83"/>
  <c r="RU3" i="83"/>
  <c r="SO3" i="83" s="1"/>
  <c r="RA7" i="83"/>
  <c r="RA8" i="83"/>
  <c r="RA9" i="83"/>
  <c r="RA10" i="83"/>
  <c r="RA11" i="83"/>
  <c r="RA12" i="83"/>
  <c r="RA13" i="83"/>
  <c r="RA14" i="83"/>
  <c r="RA15" i="83"/>
  <c r="RA16" i="83"/>
  <c r="RA17" i="83"/>
  <c r="RW3" i="83"/>
  <c r="SQ3" i="83" s="1"/>
  <c r="RC7" i="83"/>
  <c r="RC8" i="83"/>
  <c r="RC9" i="83"/>
  <c r="RC10" i="83"/>
  <c r="RC11" i="83"/>
  <c r="RC12" i="83"/>
  <c r="RC13" i="83"/>
  <c r="RC14" i="83"/>
  <c r="RC15" i="83"/>
  <c r="RC16" i="83"/>
  <c r="RC17" i="83"/>
  <c r="RG3" i="83"/>
  <c r="SA3" i="83" s="1"/>
  <c r="QM7" i="83"/>
  <c r="QM8" i="83"/>
  <c r="QM9" i="83"/>
  <c r="QM10" i="83"/>
  <c r="QM11" i="83"/>
  <c r="QM12" i="83"/>
  <c r="QM13" i="83"/>
  <c r="QM14" i="83"/>
  <c r="QM15" i="83"/>
  <c r="QM16" i="83"/>
  <c r="QM17" i="83"/>
  <c r="OQ3" i="695"/>
  <c r="NW7" i="695"/>
  <c r="NW9" i="695"/>
  <c r="NW10" i="695"/>
  <c r="NW11" i="695"/>
  <c r="NW12" i="695"/>
  <c r="NW13" i="695"/>
  <c r="NW14" i="695"/>
  <c r="NW15" i="695"/>
  <c r="NW16" i="695"/>
  <c r="NW17" i="695"/>
  <c r="NW8" i="695"/>
  <c r="NB18" i="83"/>
  <c r="NB32" i="83" s="1"/>
  <c r="NB19" i="83"/>
  <c r="NB27" i="83" s="1"/>
  <c r="NB20" i="83"/>
  <c r="NB23" i="83" s="1"/>
  <c r="NB22" i="83"/>
  <c r="NB21" i="83"/>
  <c r="NB24" i="83" s="1"/>
  <c r="NB26" i="83" s="1"/>
  <c r="NF19" i="695"/>
  <c r="NF27" i="695" s="1"/>
  <c r="NF20" i="695"/>
  <c r="NF23" i="695" s="1"/>
  <c r="NF18" i="695"/>
  <c r="NF31" i="695" s="1"/>
  <c r="NF22" i="695"/>
  <c r="NF21" i="695"/>
  <c r="NF24" i="695" s="1"/>
  <c r="NF26" i="695" s="1"/>
  <c r="MD25" i="695"/>
  <c r="MD29" i="695"/>
  <c r="MD32" i="695"/>
  <c r="ME25" i="83"/>
  <c r="ME30" i="83"/>
  <c r="ME33" i="83"/>
  <c r="PK25" i="83"/>
  <c r="PK30" i="83"/>
  <c r="PK33" i="83"/>
  <c r="PJ25" i="83"/>
  <c r="PJ30" i="83"/>
  <c r="PJ33" i="83"/>
  <c r="MA25" i="83"/>
  <c r="MA30" i="83"/>
  <c r="MA33" i="83"/>
  <c r="LT29" i="695"/>
  <c r="LT25" i="695"/>
  <c r="LT32" i="695"/>
  <c r="OP3" i="695"/>
  <c r="NV7" i="695"/>
  <c r="NV9" i="695"/>
  <c r="NV10" i="695"/>
  <c r="NV11" i="695"/>
  <c r="NV12" i="695"/>
  <c r="NV13" i="695"/>
  <c r="NV14" i="695"/>
  <c r="NV15" i="695"/>
  <c r="NV16" i="695"/>
  <c r="NV17" i="695"/>
  <c r="NV8" i="695"/>
  <c r="W25" i="27" a="1"/>
  <c r="W25" i="27" s="1"/>
  <c r="X26" i="27"/>
  <c r="PZ29" i="83"/>
  <c r="PZ31" i="83"/>
  <c r="MY28" i="695"/>
  <c r="MY30" i="695"/>
  <c r="RV3" i="83"/>
  <c r="SP3" i="83" s="1"/>
  <c r="RB7" i="83"/>
  <c r="RB8" i="83"/>
  <c r="RB9" i="83"/>
  <c r="RB10" i="83"/>
  <c r="RB11" i="83"/>
  <c r="RB12" i="83"/>
  <c r="RB13" i="83"/>
  <c r="RB14" i="83"/>
  <c r="RB15" i="83"/>
  <c r="RB16" i="83"/>
  <c r="RB17" i="83"/>
  <c r="MC25" i="83"/>
  <c r="MC30" i="83"/>
  <c r="MC33" i="83"/>
  <c r="NC18" i="83"/>
  <c r="NC32" i="83" s="1"/>
  <c r="NC19" i="83"/>
  <c r="NC27" i="83" s="1"/>
  <c r="NC20" i="83"/>
  <c r="NC23" i="83" s="1"/>
  <c r="NC22" i="83"/>
  <c r="NC21" i="83"/>
  <c r="NC24" i="83" s="1"/>
  <c r="NC26" i="83" s="1"/>
  <c r="OO3" i="695"/>
  <c r="NU7" i="695"/>
  <c r="NU9" i="695"/>
  <c r="NU10" i="695"/>
  <c r="NU11" i="695"/>
  <c r="NU12" i="695"/>
  <c r="NU13" i="695"/>
  <c r="NU14" i="695"/>
  <c r="NU15" i="695"/>
  <c r="NU16" i="695"/>
  <c r="NU17" i="695"/>
  <c r="NU8" i="695"/>
  <c r="ND18" i="83"/>
  <c r="ND32" i="83" s="1"/>
  <c r="ND19" i="83"/>
  <c r="ND27" i="83" s="1"/>
  <c r="ND20" i="83"/>
  <c r="ND23" i="83" s="1"/>
  <c r="ND22" i="83"/>
  <c r="ND21" i="83"/>
  <c r="ND24" i="83" s="1"/>
  <c r="ND26" i="83" s="1"/>
  <c r="PP25" i="83"/>
  <c r="PP30" i="83"/>
  <c r="PP33" i="83"/>
  <c r="PN25" i="83"/>
  <c r="PN30" i="83"/>
  <c r="PN33" i="83"/>
  <c r="MS29" i="83"/>
  <c r="MS31" i="83"/>
  <c r="QE29" i="83"/>
  <c r="QE31" i="83"/>
  <c r="RE7" i="83"/>
  <c r="RE8" i="83"/>
  <c r="OA8" i="695"/>
  <c r="OA7" i="695"/>
  <c r="OA28" i="695" l="1"/>
  <c r="OA30" i="695"/>
  <c r="RE18" i="83"/>
  <c r="RE32" i="83" s="1"/>
  <c r="RE19" i="83"/>
  <c r="RE27" i="83" s="1"/>
  <c r="RE20" i="83"/>
  <c r="RE23" i="83" s="1"/>
  <c r="RE21" i="83"/>
  <c r="RE24" i="83" s="1"/>
  <c r="RE26" i="83" s="1"/>
  <c r="RE22" i="83"/>
  <c r="RE29" i="83"/>
  <c r="RE31" i="83"/>
  <c r="NG29" i="695"/>
  <c r="NG25" i="695"/>
  <c r="NG32" i="695"/>
  <c r="NB25" i="83"/>
  <c r="NB30" i="83"/>
  <c r="NB33" i="83"/>
  <c r="NH25" i="83"/>
  <c r="NH30" i="83"/>
  <c r="NH33" i="83"/>
  <c r="MW25" i="83"/>
  <c r="MW30" i="83"/>
  <c r="MW33" i="83"/>
  <c r="MP25" i="83"/>
  <c r="MP30" i="83"/>
  <c r="MP33" i="83"/>
  <c r="PJ3" i="695"/>
  <c r="OP7" i="695"/>
  <c r="OP9" i="695"/>
  <c r="OP10" i="695"/>
  <c r="OP11" i="695"/>
  <c r="OP12" i="695"/>
  <c r="OP13" i="695"/>
  <c r="OP14" i="695"/>
  <c r="OP15" i="695"/>
  <c r="OP16" i="695"/>
  <c r="OP17" i="695"/>
  <c r="OP8" i="695"/>
  <c r="PK3" i="695"/>
  <c r="OQ7" i="695"/>
  <c r="OQ9" i="695"/>
  <c r="OQ10" i="695"/>
  <c r="OQ11" i="695"/>
  <c r="OQ12" i="695"/>
  <c r="OQ13" i="695"/>
  <c r="OQ14" i="695"/>
  <c r="OQ15" i="695"/>
  <c r="OQ16" i="695"/>
  <c r="OQ17" i="695"/>
  <c r="OQ8" i="695"/>
  <c r="TK3" i="83"/>
  <c r="SQ9" i="83"/>
  <c r="SQ10" i="83"/>
  <c r="SQ11" i="83"/>
  <c r="SQ12" i="83"/>
  <c r="SQ13" i="83"/>
  <c r="SQ14" i="83"/>
  <c r="SQ15" i="83"/>
  <c r="SQ16" i="83"/>
  <c r="SQ17" i="83"/>
  <c r="SQ7" i="83"/>
  <c r="SQ8" i="83"/>
  <c r="TE3" i="83"/>
  <c r="SK9" i="83"/>
  <c r="SK10" i="83"/>
  <c r="SK11" i="83"/>
  <c r="SK12" i="83"/>
  <c r="SK13" i="83"/>
  <c r="SK14" i="83"/>
  <c r="SK15" i="83"/>
  <c r="SK16" i="83"/>
  <c r="SK17" i="83"/>
  <c r="SK7" i="83"/>
  <c r="SK8" i="83"/>
  <c r="QL29" i="83"/>
  <c r="QL31" i="83"/>
  <c r="OY3" i="695"/>
  <c r="OE7" i="695"/>
  <c r="OE9" i="695"/>
  <c r="OE10" i="695"/>
  <c r="OE11" i="695"/>
  <c r="OE12" i="695"/>
  <c r="OE13" i="695"/>
  <c r="OE14" i="695"/>
  <c r="OE15" i="695"/>
  <c r="OE16" i="695"/>
  <c r="OE17" i="695"/>
  <c r="OE8" i="695"/>
  <c r="QJ25" i="83"/>
  <c r="QJ30" i="83"/>
  <c r="QJ33" i="83"/>
  <c r="MV25" i="83"/>
  <c r="MV30" i="83"/>
  <c r="MV33" i="83"/>
  <c r="NN19" i="695"/>
  <c r="NN27" i="695" s="1"/>
  <c r="NN20" i="695"/>
  <c r="NN18" i="695"/>
  <c r="NN31" i="695" s="1"/>
  <c r="NN22" i="695"/>
  <c r="NN21" i="695"/>
  <c r="PD3" i="695"/>
  <c r="OJ7" i="695"/>
  <c r="OJ9" i="695"/>
  <c r="OJ10" i="695"/>
  <c r="OJ11" i="695"/>
  <c r="OJ12" i="695"/>
  <c r="OJ13" i="695"/>
  <c r="OJ14" i="695"/>
  <c r="OJ15" i="695"/>
  <c r="OJ16" i="695"/>
  <c r="OJ17" i="695"/>
  <c r="OJ8" i="695"/>
  <c r="QZ19" i="83"/>
  <c r="QZ27" i="83" s="1"/>
  <c r="QZ18" i="83"/>
  <c r="QZ32" i="83" s="1"/>
  <c r="QZ21" i="83"/>
  <c r="QZ24" i="83" s="1"/>
  <c r="QZ26" i="83" s="1"/>
  <c r="QZ22" i="83"/>
  <c r="QZ20" i="83"/>
  <c r="QZ23" i="83" s="1"/>
  <c r="QG25" i="83"/>
  <c r="QG30" i="83"/>
  <c r="QG33" i="83"/>
  <c r="RD18" i="83"/>
  <c r="RD32" i="83" s="1"/>
  <c r="RD19" i="83"/>
  <c r="RD27" i="83" s="1"/>
  <c r="RD20" i="83"/>
  <c r="RD23" i="83" s="1"/>
  <c r="RD21" i="83"/>
  <c r="RD24" i="83" s="1"/>
  <c r="RD26" i="83" s="1"/>
  <c r="RD22" i="83"/>
  <c r="NA25" i="83"/>
  <c r="NA30" i="83"/>
  <c r="NA33" i="83"/>
  <c r="MX25" i="83"/>
  <c r="MX30" i="83"/>
  <c r="MX33" i="83"/>
  <c r="QY29" i="83"/>
  <c r="QY31" i="83"/>
  <c r="PA3" i="695"/>
  <c r="OG7" i="695"/>
  <c r="OG9" i="695"/>
  <c r="OG10" i="695"/>
  <c r="OG11" i="695"/>
  <c r="OG12" i="695"/>
  <c r="OG13" i="695"/>
  <c r="OG14" i="695"/>
  <c r="OG15" i="695"/>
  <c r="OG16" i="695"/>
  <c r="OG17" i="695"/>
  <c r="OG8" i="695"/>
  <c r="OU3" i="695"/>
  <c r="OA9" i="695"/>
  <c r="OA23" i="695" s="1"/>
  <c r="OA10" i="695"/>
  <c r="OA21" i="695" s="1"/>
  <c r="OA11" i="695"/>
  <c r="OA12" i="695"/>
  <c r="OA13" i="695"/>
  <c r="OA14" i="695"/>
  <c r="OA15" i="695"/>
  <c r="OA16" i="695"/>
  <c r="OA17" i="695"/>
  <c r="NG22" i="695"/>
  <c r="NO21" i="695"/>
  <c r="NO19" i="695"/>
  <c r="NO27" i="695" s="1"/>
  <c r="NO18" i="695"/>
  <c r="NO31" i="695" s="1"/>
  <c r="NO22" i="695"/>
  <c r="NO20" i="695"/>
  <c r="NU23" i="695"/>
  <c r="NU24" i="695"/>
  <c r="NU26" i="695" s="1"/>
  <c r="NU28" i="695"/>
  <c r="NU30" i="695"/>
  <c r="NQ18" i="695"/>
  <c r="NQ31" i="695" s="1"/>
  <c r="NQ21" i="695"/>
  <c r="NQ19" i="695"/>
  <c r="NQ27" i="695" s="1"/>
  <c r="NQ20" i="695"/>
  <c r="NQ22" i="695"/>
  <c r="QX18" i="83"/>
  <c r="QX32" i="83" s="1"/>
  <c r="QX19" i="83"/>
  <c r="QX27" i="83" s="1"/>
  <c r="QX20" i="83"/>
  <c r="QX23" i="83" s="1"/>
  <c r="QX22" i="83"/>
  <c r="QX21" i="83"/>
  <c r="QX24" i="83" s="1"/>
  <c r="QX26" i="83" s="1"/>
  <c r="ST3" i="83"/>
  <c r="RZ9" i="83"/>
  <c r="RZ10" i="83"/>
  <c r="RZ11" i="83"/>
  <c r="RZ12" i="83"/>
  <c r="RZ13" i="83"/>
  <c r="RZ14" i="83"/>
  <c r="RZ15" i="83"/>
  <c r="RZ16" i="83"/>
  <c r="RZ17" i="83"/>
  <c r="RZ7" i="83"/>
  <c r="RZ8" i="83"/>
  <c r="PT25" i="83"/>
  <c r="PT30" i="83"/>
  <c r="PT33" i="83"/>
  <c r="PU25" i="83"/>
  <c r="PU30" i="83"/>
  <c r="PU33" i="83"/>
  <c r="NF25" i="83"/>
  <c r="NF30" i="83"/>
  <c r="NF33" i="83"/>
  <c r="QD25" i="83"/>
  <c r="QD30" i="83"/>
  <c r="QD33" i="83"/>
  <c r="NY18" i="695"/>
  <c r="NY31" i="695" s="1"/>
  <c r="NY21" i="695"/>
  <c r="NY19" i="695"/>
  <c r="NY27" i="695" s="1"/>
  <c r="NY20" i="695"/>
  <c r="NY22" i="695"/>
  <c r="QR19" i="83"/>
  <c r="QR27" i="83" s="1"/>
  <c r="QR18" i="83"/>
  <c r="QR32" i="83" s="1"/>
  <c r="QR20" i="83"/>
  <c r="QR23" i="83" s="1"/>
  <c r="QR21" i="83"/>
  <c r="QR24" i="83" s="1"/>
  <c r="QR26" i="83" s="1"/>
  <c r="QR22" i="83"/>
  <c r="QZ29" i="83"/>
  <c r="QZ31" i="83"/>
  <c r="RD29" i="83"/>
  <c r="RD31" i="83"/>
  <c r="PQ25" i="83"/>
  <c r="PQ30" i="83"/>
  <c r="PQ33" i="83"/>
  <c r="MU25" i="695"/>
  <c r="MU29" i="695"/>
  <c r="MU32" i="695"/>
  <c r="NR20" i="695"/>
  <c r="NR18" i="695"/>
  <c r="NR31" i="695" s="1"/>
  <c r="NR21" i="695"/>
  <c r="NR19" i="695"/>
  <c r="NR27" i="695" s="1"/>
  <c r="NR22" i="695"/>
  <c r="MN29" i="695"/>
  <c r="MN25" i="695"/>
  <c r="MN32" i="695"/>
  <c r="NZ24" i="695"/>
  <c r="NZ26" i="695" s="1"/>
  <c r="NZ23" i="695"/>
  <c r="NZ28" i="695"/>
  <c r="NZ30" i="695"/>
  <c r="TG3" i="83"/>
  <c r="SM9" i="83"/>
  <c r="SM10" i="83"/>
  <c r="SM11" i="83"/>
  <c r="SM12" i="83"/>
  <c r="SM13" i="83"/>
  <c r="SM14" i="83"/>
  <c r="SM15" i="83"/>
  <c r="SM16" i="83"/>
  <c r="SM17" i="83"/>
  <c r="SM7" i="83"/>
  <c r="SM8" i="83"/>
  <c r="NX18" i="695"/>
  <c r="NX31" i="695" s="1"/>
  <c r="NX19" i="695"/>
  <c r="NX27" i="695" s="1"/>
  <c r="NX20" i="695"/>
  <c r="NX21" i="695"/>
  <c r="NX22" i="695"/>
  <c r="NT23" i="695"/>
  <c r="NT24" i="695"/>
  <c r="NT26" i="695" s="1"/>
  <c r="NT28" i="695"/>
  <c r="NT30" i="695"/>
  <c r="QF25" i="83"/>
  <c r="QF30" i="83"/>
  <c r="QF33" i="83"/>
  <c r="QO18" i="83"/>
  <c r="QO32" i="83" s="1"/>
  <c r="QO19" i="83"/>
  <c r="QO27" i="83" s="1"/>
  <c r="QO20" i="83"/>
  <c r="QO23" i="83" s="1"/>
  <c r="QO21" i="83"/>
  <c r="QO24" i="83" s="1"/>
  <c r="QO26" i="83" s="1"/>
  <c r="QO22" i="83"/>
  <c r="NG18" i="695"/>
  <c r="NG31" i="695" s="1"/>
  <c r="PI3" i="695"/>
  <c r="OO7" i="695"/>
  <c r="OO9" i="695"/>
  <c r="OO10" i="695"/>
  <c r="OO11" i="695"/>
  <c r="OO12" i="695"/>
  <c r="OO13" i="695"/>
  <c r="OO14" i="695"/>
  <c r="OO15" i="695"/>
  <c r="OO16" i="695"/>
  <c r="OO17" i="695"/>
  <c r="OO8" i="695"/>
  <c r="TH3" i="83"/>
  <c r="SN9" i="83"/>
  <c r="SN10" i="83"/>
  <c r="SN11" i="83"/>
  <c r="SN12" i="83"/>
  <c r="SN13" i="83"/>
  <c r="SN14" i="83"/>
  <c r="SN15" i="83"/>
  <c r="SN16" i="83"/>
  <c r="SN17" i="83"/>
  <c r="SN7" i="83"/>
  <c r="SN8" i="83"/>
  <c r="MQ25" i="83"/>
  <c r="MQ30" i="83"/>
  <c r="MQ33" i="83"/>
  <c r="W26" i="27" a="1"/>
  <c r="W26" i="27" s="1"/>
  <c r="X27" i="27"/>
  <c r="QM29" i="83"/>
  <c r="QM31" i="83"/>
  <c r="RA29" i="83"/>
  <c r="RA31" i="83"/>
  <c r="NQ24" i="695"/>
  <c r="NQ26" i="695" s="1"/>
  <c r="NQ23" i="695"/>
  <c r="NQ28" i="695"/>
  <c r="NQ30" i="695"/>
  <c r="TF3" i="83"/>
  <c r="SL9" i="83"/>
  <c r="SL10" i="83"/>
  <c r="SL11" i="83"/>
  <c r="SL12" i="83"/>
  <c r="SL13" i="83"/>
  <c r="SL14" i="83"/>
  <c r="SL15" i="83"/>
  <c r="SL16" i="83"/>
  <c r="SL17" i="83"/>
  <c r="SL7" i="83"/>
  <c r="SL8" i="83"/>
  <c r="NI18" i="695"/>
  <c r="NI31" i="695" s="1"/>
  <c r="NI21" i="695"/>
  <c r="NI19" i="695"/>
  <c r="NI27" i="695" s="1"/>
  <c r="NI20" i="695"/>
  <c r="NI22" i="695"/>
  <c r="MS25" i="695"/>
  <c r="MS29" i="695"/>
  <c r="MS32" i="695"/>
  <c r="PB3" i="695"/>
  <c r="OH7" i="695"/>
  <c r="OH9" i="695"/>
  <c r="OH10" i="695"/>
  <c r="OH11" i="695"/>
  <c r="OH12" i="695"/>
  <c r="OH13" i="695"/>
  <c r="OH14" i="695"/>
  <c r="OH15" i="695"/>
  <c r="OH16" i="695"/>
  <c r="OH17" i="695"/>
  <c r="OH8" i="695"/>
  <c r="NY24" i="695"/>
  <c r="NY26" i="695" s="1"/>
  <c r="NY23" i="695"/>
  <c r="NY28" i="695"/>
  <c r="NY30" i="695"/>
  <c r="SZ3" i="83"/>
  <c r="SF9" i="83"/>
  <c r="SF10" i="83"/>
  <c r="SF11" i="83"/>
  <c r="SF12" i="83"/>
  <c r="SF13" i="83"/>
  <c r="SF14" i="83"/>
  <c r="SF15" i="83"/>
  <c r="SF16" i="83"/>
  <c r="SF17" i="83"/>
  <c r="SF7" i="83"/>
  <c r="SF8" i="83"/>
  <c r="NC25" i="695"/>
  <c r="NC29" i="695"/>
  <c r="NC32" i="695"/>
  <c r="PS25" i="83"/>
  <c r="PS30" i="83"/>
  <c r="PS33" i="83"/>
  <c r="QI25" i="83"/>
  <c r="QI30" i="83"/>
  <c r="QI33" i="83"/>
  <c r="NS20" i="695"/>
  <c r="NS18" i="695"/>
  <c r="NS31" i="695" s="1"/>
  <c r="NS19" i="695"/>
  <c r="NS27" i="695" s="1"/>
  <c r="NS21" i="695"/>
  <c r="NS22" i="695"/>
  <c r="QB25" i="83"/>
  <c r="QB30" i="83"/>
  <c r="QB33" i="83"/>
  <c r="MO25" i="695"/>
  <c r="MO29" i="695"/>
  <c r="MO32" i="695"/>
  <c r="NR24" i="695"/>
  <c r="NR26" i="695" s="1"/>
  <c r="NR23" i="695"/>
  <c r="NR28" i="695"/>
  <c r="NR30" i="695"/>
  <c r="QV18" i="83"/>
  <c r="QV32" i="83" s="1"/>
  <c r="QV19" i="83"/>
  <c r="QV27" i="83" s="1"/>
  <c r="QV20" i="83"/>
  <c r="QV23" i="83" s="1"/>
  <c r="QV21" i="83"/>
  <c r="QV24" i="83" s="1"/>
  <c r="QV26" i="83" s="1"/>
  <c r="QV22" i="83"/>
  <c r="MU25" i="83"/>
  <c r="MU30" i="83"/>
  <c r="MU33" i="83"/>
  <c r="QT18" i="83"/>
  <c r="QT32" i="83" s="1"/>
  <c r="QT19" i="83"/>
  <c r="QT27" i="83" s="1"/>
  <c r="QT20" i="83"/>
  <c r="QT23" i="83" s="1"/>
  <c r="QT21" i="83"/>
  <c r="QT24" i="83" s="1"/>
  <c r="QT26" i="83" s="1"/>
  <c r="QT22" i="83"/>
  <c r="NX24" i="695"/>
  <c r="NX26" i="695" s="1"/>
  <c r="NX23" i="695"/>
  <c r="NX28" i="695"/>
  <c r="NX30" i="695"/>
  <c r="QN18" i="83"/>
  <c r="QN32" i="83" s="1"/>
  <c r="QN19" i="83"/>
  <c r="QN27" i="83" s="1"/>
  <c r="QN20" i="83"/>
  <c r="QN23" i="83" s="1"/>
  <c r="QN21" i="83"/>
  <c r="QN24" i="83" s="1"/>
  <c r="QN26" i="83" s="1"/>
  <c r="QN22" i="83"/>
  <c r="SW3" i="83"/>
  <c r="SC9" i="83"/>
  <c r="SC10" i="83"/>
  <c r="SC11" i="83"/>
  <c r="SC12" i="83"/>
  <c r="SC13" i="83"/>
  <c r="SC14" i="83"/>
  <c r="SC15" i="83"/>
  <c r="SC16" i="83"/>
  <c r="SC17" i="83"/>
  <c r="SC7" i="83"/>
  <c r="SC8" i="83"/>
  <c r="MP25" i="695"/>
  <c r="MP29" i="695"/>
  <c r="MP32" i="695"/>
  <c r="NG21" i="695"/>
  <c r="RA19" i="83"/>
  <c r="RA27" i="83" s="1"/>
  <c r="RA18" i="83"/>
  <c r="RA32" i="83" s="1"/>
  <c r="RA20" i="83"/>
  <c r="RA23" i="83" s="1"/>
  <c r="RA21" i="83"/>
  <c r="RA24" i="83" s="1"/>
  <c r="RA26" i="83" s="1"/>
  <c r="RA22" i="83"/>
  <c r="QX29" i="83"/>
  <c r="QX31" i="83"/>
  <c r="MT25" i="83"/>
  <c r="MT30" i="83"/>
  <c r="MT33" i="83"/>
  <c r="QR29" i="83"/>
  <c r="QR31" i="83"/>
  <c r="TL3" i="83"/>
  <c r="SR9" i="83"/>
  <c r="SR10" i="83"/>
  <c r="SR11" i="83"/>
  <c r="SR12" i="83"/>
  <c r="SR13" i="83"/>
  <c r="SR14" i="83"/>
  <c r="SR15" i="83"/>
  <c r="SR16" i="83"/>
  <c r="SR17" i="83"/>
  <c r="SR7" i="83"/>
  <c r="SR8" i="83"/>
  <c r="PN3" i="695"/>
  <c r="OT7" i="695"/>
  <c r="OT9" i="695"/>
  <c r="OT10" i="695"/>
  <c r="OT11" i="695"/>
  <c r="OT12" i="695"/>
  <c r="OT13" i="695"/>
  <c r="OT14" i="695"/>
  <c r="OT15" i="695"/>
  <c r="OT16" i="695"/>
  <c r="OT17" i="695"/>
  <c r="OT8" i="695"/>
  <c r="RB19" i="83"/>
  <c r="RB27" i="83" s="1"/>
  <c r="RB18" i="83"/>
  <c r="RB32" i="83" s="1"/>
  <c r="RB20" i="83"/>
  <c r="RB23" i="83" s="1"/>
  <c r="RB21" i="83"/>
  <c r="RB24" i="83" s="1"/>
  <c r="RB26" i="83" s="1"/>
  <c r="RB22" i="83"/>
  <c r="SU3" i="83"/>
  <c r="SA9" i="83"/>
  <c r="SA10" i="83"/>
  <c r="SA11" i="83"/>
  <c r="SA12" i="83"/>
  <c r="SA13" i="83"/>
  <c r="SA14" i="83"/>
  <c r="SA15" i="83"/>
  <c r="SA16" i="83"/>
  <c r="SA17" i="83"/>
  <c r="SA7" i="83"/>
  <c r="SA8" i="83"/>
  <c r="TI3" i="83"/>
  <c r="SO9" i="83"/>
  <c r="SO10" i="83"/>
  <c r="SO11" i="83"/>
  <c r="SO12" i="83"/>
  <c r="SO13" i="83"/>
  <c r="SO14" i="83"/>
  <c r="SO15" i="83"/>
  <c r="SO16" i="83"/>
  <c r="SO17" i="83"/>
  <c r="SO7" i="83"/>
  <c r="SO8" i="83"/>
  <c r="PE3" i="695"/>
  <c r="OK7" i="695"/>
  <c r="OK9" i="695"/>
  <c r="OK10" i="695"/>
  <c r="OK11" i="695"/>
  <c r="OK12" i="695"/>
  <c r="OK13" i="695"/>
  <c r="OK14" i="695"/>
  <c r="OK15" i="695"/>
  <c r="OK16" i="695"/>
  <c r="OK17" i="695"/>
  <c r="OK8" i="695"/>
  <c r="NJ20" i="695"/>
  <c r="NJ18" i="695"/>
  <c r="NJ31" i="695" s="1"/>
  <c r="NJ21" i="695"/>
  <c r="NJ22" i="695"/>
  <c r="NJ19" i="695"/>
  <c r="NJ27" i="695" s="1"/>
  <c r="ND25" i="695"/>
  <c r="ND29" i="695"/>
  <c r="ND32" i="695"/>
  <c r="NO23" i="695"/>
  <c r="NO24" i="695"/>
  <c r="NO26" i="695" s="1"/>
  <c r="NO28" i="695"/>
  <c r="NO30" i="695"/>
  <c r="RY3" i="83"/>
  <c r="QP18" i="83"/>
  <c r="QP32" i="83" s="1"/>
  <c r="QP19" i="83"/>
  <c r="QP27" i="83" s="1"/>
  <c r="QP20" i="83"/>
  <c r="QP23" i="83" s="1"/>
  <c r="QP21" i="83"/>
  <c r="QP24" i="83" s="1"/>
  <c r="QP26" i="83" s="1"/>
  <c r="QP22" i="83"/>
  <c r="NH18" i="695"/>
  <c r="NH31" i="695" s="1"/>
  <c r="NH19" i="695"/>
  <c r="NH27" i="695" s="1"/>
  <c r="NH20" i="695"/>
  <c r="NH22" i="695"/>
  <c r="NH21" i="695"/>
  <c r="NL20" i="695"/>
  <c r="NL18" i="695"/>
  <c r="NL31" i="695" s="1"/>
  <c r="NL19" i="695"/>
  <c r="NL27" i="695" s="1"/>
  <c r="NL21" i="695"/>
  <c r="NL22" i="695"/>
  <c r="PM3" i="695"/>
  <c r="OS7" i="695"/>
  <c r="OS9" i="695"/>
  <c r="OS10" i="695"/>
  <c r="OS11" i="695"/>
  <c r="OS12" i="695"/>
  <c r="OS13" i="695"/>
  <c r="OS14" i="695"/>
  <c r="OS15" i="695"/>
  <c r="OS16" i="695"/>
  <c r="OS17" i="695"/>
  <c r="OS8" i="695"/>
  <c r="NB25" i="695"/>
  <c r="NB29" i="695"/>
  <c r="NB32" i="695"/>
  <c r="MY25" i="83"/>
  <c r="MY30" i="83"/>
  <c r="MY33" i="83"/>
  <c r="PF3" i="695"/>
  <c r="OL7" i="695"/>
  <c r="OL9" i="695"/>
  <c r="OL10" i="695"/>
  <c r="OL11" i="695"/>
  <c r="OL12" i="695"/>
  <c r="OL13" i="695"/>
  <c r="OL14" i="695"/>
  <c r="OL15" i="695"/>
  <c r="OL16" i="695"/>
  <c r="OL17" i="695"/>
  <c r="OL8" i="695"/>
  <c r="QV29" i="83"/>
  <c r="QV31" i="83"/>
  <c r="MO25" i="83"/>
  <c r="MO30" i="83"/>
  <c r="MO33" i="83"/>
  <c r="MQ25" i="695"/>
  <c r="MQ29" i="695"/>
  <c r="MQ32" i="695"/>
  <c r="MR25" i="695"/>
  <c r="MR29" i="695"/>
  <c r="MR32" i="695"/>
  <c r="QT29" i="83"/>
  <c r="QT31" i="83"/>
  <c r="PL3" i="695"/>
  <c r="OR7" i="695"/>
  <c r="OR9" i="695"/>
  <c r="OR10" i="695"/>
  <c r="OR11" i="695"/>
  <c r="OR12" i="695"/>
  <c r="OR13" i="695"/>
  <c r="OR14" i="695"/>
  <c r="OR15" i="695"/>
  <c r="OR16" i="695"/>
  <c r="OR17" i="695"/>
  <c r="OR8" i="695"/>
  <c r="PX25" i="83"/>
  <c r="PX30" i="83"/>
  <c r="PX33" i="83"/>
  <c r="NG25" i="83"/>
  <c r="NG30" i="83"/>
  <c r="NG33" i="83"/>
  <c r="QN29" i="83"/>
  <c r="QN31" i="83"/>
  <c r="NN23" i="695"/>
  <c r="NN24" i="695"/>
  <c r="NN26" i="695" s="1"/>
  <c r="NN28" i="695"/>
  <c r="NN30" i="695"/>
  <c r="PH3" i="695"/>
  <c r="ON7" i="695"/>
  <c r="ON9" i="695"/>
  <c r="ON10" i="695"/>
  <c r="ON11" i="695"/>
  <c r="ON12" i="695"/>
  <c r="ON13" i="695"/>
  <c r="ON14" i="695"/>
  <c r="ON15" i="695"/>
  <c r="ON16" i="695"/>
  <c r="ON17" i="695"/>
  <c r="ON8" i="695"/>
  <c r="QO29" i="83"/>
  <c r="QO31" i="83"/>
  <c r="ND25" i="83"/>
  <c r="ND30" i="83"/>
  <c r="ND33" i="83"/>
  <c r="NC25" i="83"/>
  <c r="NC30" i="83"/>
  <c r="NC33" i="83"/>
  <c r="RB29" i="83"/>
  <c r="RB31" i="83"/>
  <c r="NV19" i="695"/>
  <c r="NV27" i="695" s="1"/>
  <c r="NV20" i="695"/>
  <c r="NV18" i="695"/>
  <c r="NV31" i="695" s="1"/>
  <c r="NV21" i="695"/>
  <c r="NV22" i="695"/>
  <c r="NW21" i="695"/>
  <c r="NW19" i="695"/>
  <c r="NW27" i="695" s="1"/>
  <c r="NW18" i="695"/>
  <c r="NW31" i="695" s="1"/>
  <c r="NW22" i="695"/>
  <c r="NW20" i="695"/>
  <c r="NI24" i="695"/>
  <c r="NI26" i="695" s="1"/>
  <c r="NI23" i="695"/>
  <c r="NI28" i="695"/>
  <c r="NI30" i="695"/>
  <c r="MZ29" i="695"/>
  <c r="MZ25" i="695"/>
  <c r="MZ32" i="695"/>
  <c r="PC3" i="695"/>
  <c r="OI7" i="695"/>
  <c r="OI9" i="695"/>
  <c r="OI10" i="695"/>
  <c r="OI11" i="695"/>
  <c r="OI12" i="695"/>
  <c r="OI13" i="695"/>
  <c r="OI14" i="695"/>
  <c r="OI15" i="695"/>
  <c r="OI16" i="695"/>
  <c r="OI17" i="695"/>
  <c r="OI8" i="695"/>
  <c r="NK20" i="695"/>
  <c r="NK18" i="695"/>
  <c r="NK31" i="695" s="1"/>
  <c r="NK19" i="695"/>
  <c r="NK27" i="695" s="1"/>
  <c r="NK21" i="695"/>
  <c r="NK22" i="695"/>
  <c r="MY29" i="695"/>
  <c r="MY25" i="695"/>
  <c r="MY32" i="695"/>
  <c r="QP29" i="83"/>
  <c r="QP31" i="83"/>
  <c r="QS19" i="83"/>
  <c r="QS27" i="83" s="1"/>
  <c r="QS20" i="83"/>
  <c r="QS23" i="83" s="1"/>
  <c r="QS18" i="83"/>
  <c r="QS32" i="83" s="1"/>
  <c r="QS21" i="83"/>
  <c r="QS24" i="83" s="1"/>
  <c r="QS26" i="83" s="1"/>
  <c r="QS22" i="83"/>
  <c r="NP18" i="695"/>
  <c r="NP31" i="695" s="1"/>
  <c r="NP19" i="695"/>
  <c r="NP27" i="695" s="1"/>
  <c r="NP20" i="695"/>
  <c r="NP22" i="695"/>
  <c r="NP21" i="695"/>
  <c r="QH25" i="83"/>
  <c r="QH30" i="83"/>
  <c r="QH33" i="83"/>
  <c r="QQ18" i="83"/>
  <c r="QQ32" i="83" s="1"/>
  <c r="QQ19" i="83"/>
  <c r="QQ27" i="83" s="1"/>
  <c r="QQ20" i="83"/>
  <c r="QQ23" i="83" s="1"/>
  <c r="QQ21" i="83"/>
  <c r="QQ24" i="83" s="1"/>
  <c r="QQ26" i="83" s="1"/>
  <c r="QQ22" i="83"/>
  <c r="NS23" i="695"/>
  <c r="NS24" i="695"/>
  <c r="NS26" i="695" s="1"/>
  <c r="NS28" i="695"/>
  <c r="NS30" i="695"/>
  <c r="QU18" i="83"/>
  <c r="QU32" i="83" s="1"/>
  <c r="QU19" i="83"/>
  <c r="QU27" i="83" s="1"/>
  <c r="QU20" i="83"/>
  <c r="QU23" i="83" s="1"/>
  <c r="QU21" i="83"/>
  <c r="QU24" i="83" s="1"/>
  <c r="QU26" i="83" s="1"/>
  <c r="QU22" i="83"/>
  <c r="PR25" i="83"/>
  <c r="PR30" i="83"/>
  <c r="PR33" i="83"/>
  <c r="TD3" i="83"/>
  <c r="SJ9" i="83"/>
  <c r="SJ10" i="83"/>
  <c r="SJ11" i="83"/>
  <c r="SJ12" i="83"/>
  <c r="SJ13" i="83"/>
  <c r="SJ14" i="83"/>
  <c r="SJ15" i="83"/>
  <c r="SJ16" i="83"/>
  <c r="SJ17" i="83"/>
  <c r="SJ7" i="83"/>
  <c r="SJ8" i="83"/>
  <c r="PV25" i="83"/>
  <c r="PV30" i="83"/>
  <c r="PV33" i="83"/>
  <c r="NE25" i="695"/>
  <c r="NE29" i="695"/>
  <c r="NE32" i="695"/>
  <c r="TB3" i="83"/>
  <c r="SH9" i="83"/>
  <c r="SH10" i="83"/>
  <c r="SH11" i="83"/>
  <c r="SH12" i="83"/>
  <c r="SH13" i="83"/>
  <c r="SH14" i="83"/>
  <c r="SH15" i="83"/>
  <c r="SH16" i="83"/>
  <c r="SH17" i="83"/>
  <c r="SH7" i="83"/>
  <c r="SH8" i="83"/>
  <c r="NM19" i="695"/>
  <c r="NM27" i="695" s="1"/>
  <c r="NM20" i="695"/>
  <c r="NM18" i="695"/>
  <c r="NM31" i="695" s="1"/>
  <c r="NM21" i="695"/>
  <c r="NM22" i="695"/>
  <c r="SV3" i="83"/>
  <c r="SB9" i="83"/>
  <c r="SB10" i="83"/>
  <c r="SB11" i="83"/>
  <c r="SB12" i="83"/>
  <c r="SB13" i="83"/>
  <c r="SB14" i="83"/>
  <c r="SB15" i="83"/>
  <c r="SB16" i="83"/>
  <c r="SB17" i="83"/>
  <c r="SB7" i="83"/>
  <c r="SB8" i="83"/>
  <c r="QM18" i="83"/>
  <c r="QM32" i="83" s="1"/>
  <c r="QM19" i="83"/>
  <c r="QM27" i="83" s="1"/>
  <c r="QM20" i="83"/>
  <c r="QM23" i="83" s="1"/>
  <c r="QM21" i="83"/>
  <c r="QM24" i="83" s="1"/>
  <c r="QM26" i="83" s="1"/>
  <c r="QM22" i="83"/>
  <c r="QK25" i="83"/>
  <c r="QK30" i="83"/>
  <c r="QK33" i="83"/>
  <c r="TJ3" i="83"/>
  <c r="SP9" i="83"/>
  <c r="SP10" i="83"/>
  <c r="SP11" i="83"/>
  <c r="SP12" i="83"/>
  <c r="SP13" i="83"/>
  <c r="SP14" i="83"/>
  <c r="SP15" i="83"/>
  <c r="SP16" i="83"/>
  <c r="SP17" i="83"/>
  <c r="SP7" i="83"/>
  <c r="SP8" i="83"/>
  <c r="NF25" i="695"/>
  <c r="NF29" i="695"/>
  <c r="NF32" i="695"/>
  <c r="RC19" i="83"/>
  <c r="RC27" i="83" s="1"/>
  <c r="RC20" i="83"/>
  <c r="RC23" i="83" s="1"/>
  <c r="RC18" i="83"/>
  <c r="RC32" i="83" s="1"/>
  <c r="RC21" i="83"/>
  <c r="RC24" i="83" s="1"/>
  <c r="RC26" i="83" s="1"/>
  <c r="RC22" i="83"/>
  <c r="NJ24" i="695"/>
  <c r="NJ26" i="695" s="1"/>
  <c r="NJ23" i="695"/>
  <c r="NJ28" i="695"/>
  <c r="NJ30" i="695"/>
  <c r="QW18" i="83"/>
  <c r="QW32" i="83" s="1"/>
  <c r="QW19" i="83"/>
  <c r="QW27" i="83" s="1"/>
  <c r="QW20" i="83"/>
  <c r="QW23" i="83" s="1"/>
  <c r="QW21" i="83"/>
  <c r="QW24" i="83" s="1"/>
  <c r="QW26" i="83" s="1"/>
  <c r="QW22" i="83"/>
  <c r="QE25" i="83"/>
  <c r="QE30" i="83"/>
  <c r="QE33" i="83"/>
  <c r="MS25" i="83"/>
  <c r="MS30" i="83"/>
  <c r="MS33" i="83"/>
  <c r="OW3" i="695"/>
  <c r="OC7" i="695"/>
  <c r="OC9" i="695"/>
  <c r="OC10" i="695"/>
  <c r="OC11" i="695"/>
  <c r="OC12" i="695"/>
  <c r="OC13" i="695"/>
  <c r="OC14" i="695"/>
  <c r="OC15" i="695"/>
  <c r="OC16" i="695"/>
  <c r="OC17" i="695"/>
  <c r="OC8" i="695"/>
  <c r="MZ25" i="83"/>
  <c r="MZ30" i="83"/>
  <c r="MZ33" i="83"/>
  <c r="SX3" i="83"/>
  <c r="SD9" i="83"/>
  <c r="SD10" i="83"/>
  <c r="SD11" i="83"/>
  <c r="SD12" i="83"/>
  <c r="SD13" i="83"/>
  <c r="SD14" i="83"/>
  <c r="SD15" i="83"/>
  <c r="SD16" i="83"/>
  <c r="SD17" i="83"/>
  <c r="SD7" i="83"/>
  <c r="SD8" i="83"/>
  <c r="NH24" i="695"/>
  <c r="NH26" i="695" s="1"/>
  <c r="NH23" i="695"/>
  <c r="NH28" i="695"/>
  <c r="NH30" i="695"/>
  <c r="QS29" i="83"/>
  <c r="QS31" i="83"/>
  <c r="QC25" i="83"/>
  <c r="QC30" i="83"/>
  <c r="QC33" i="83"/>
  <c r="MR25" i="83"/>
  <c r="MR30" i="83"/>
  <c r="MR33" i="83"/>
  <c r="NL23" i="695"/>
  <c r="NL24" i="695"/>
  <c r="NL26" i="695" s="1"/>
  <c r="NL28" i="695"/>
  <c r="NL30" i="695"/>
  <c r="NA25" i="695"/>
  <c r="NA29" i="695"/>
  <c r="NA32" i="695"/>
  <c r="QQ29" i="83"/>
  <c r="QQ31" i="83"/>
  <c r="MW25" i="695"/>
  <c r="MW29" i="695"/>
  <c r="MW32" i="695"/>
  <c r="PG3" i="695"/>
  <c r="OM7" i="695"/>
  <c r="OM9" i="695"/>
  <c r="OM10" i="695"/>
  <c r="OM11" i="695"/>
  <c r="OM12" i="695"/>
  <c r="OM13" i="695"/>
  <c r="OM14" i="695"/>
  <c r="OM15" i="695"/>
  <c r="OM16" i="695"/>
  <c r="OM17" i="695"/>
  <c r="OM8" i="695"/>
  <c r="QU29" i="83"/>
  <c r="QU31" i="83"/>
  <c r="MT25" i="695"/>
  <c r="MT29" i="695"/>
  <c r="MT32" i="695"/>
  <c r="MV25" i="695"/>
  <c r="MV29" i="695"/>
  <c r="MV32" i="695"/>
  <c r="MX25" i="695"/>
  <c r="MX29" i="695"/>
  <c r="MX32" i="695"/>
  <c r="NG24" i="695"/>
  <c r="NG26" i="695" s="1"/>
  <c r="NU19" i="695"/>
  <c r="NU27" i="695" s="1"/>
  <c r="NU20" i="695"/>
  <c r="NU18" i="695"/>
  <c r="NU31" i="695" s="1"/>
  <c r="NU21" i="695"/>
  <c r="NU22" i="695"/>
  <c r="NV23" i="695"/>
  <c r="NV24" i="695"/>
  <c r="NV26" i="695" s="1"/>
  <c r="NV28" i="695"/>
  <c r="NV30" i="695"/>
  <c r="NW23" i="695"/>
  <c r="NW24" i="695"/>
  <c r="NW26" i="695" s="1"/>
  <c r="NW28" i="695"/>
  <c r="NW30" i="695"/>
  <c r="RC29" i="83"/>
  <c r="RC31" i="83"/>
  <c r="OX3" i="695"/>
  <c r="OD7" i="695"/>
  <c r="OD9" i="695"/>
  <c r="OD10" i="695"/>
  <c r="OD11" i="695"/>
  <c r="OD12" i="695"/>
  <c r="OD13" i="695"/>
  <c r="OD14" i="695"/>
  <c r="OD15" i="695"/>
  <c r="OD16" i="695"/>
  <c r="OD17" i="695"/>
  <c r="OD8" i="695"/>
  <c r="QW29" i="83"/>
  <c r="QW31" i="83"/>
  <c r="PZ25" i="83"/>
  <c r="PZ30" i="83"/>
  <c r="PZ33" i="83"/>
  <c r="QL18" i="83"/>
  <c r="QL32" i="83" s="1"/>
  <c r="QL19" i="83"/>
  <c r="QL27" i="83" s="1"/>
  <c r="QL20" i="83"/>
  <c r="QL23" i="83" s="1"/>
  <c r="QL21" i="83"/>
  <c r="QL24" i="83" s="1"/>
  <c r="QL26" i="83" s="1"/>
  <c r="QL22" i="83"/>
  <c r="QA25" i="83"/>
  <c r="QA30" i="83"/>
  <c r="QA33" i="83"/>
  <c r="NK23" i="695"/>
  <c r="NK24" i="695"/>
  <c r="NK26" i="695" s="1"/>
  <c r="NK28" i="695"/>
  <c r="NK30" i="695"/>
  <c r="OV3" i="695"/>
  <c r="OB7" i="695"/>
  <c r="OB9" i="695"/>
  <c r="OB10" i="695"/>
  <c r="OB11" i="695"/>
  <c r="OB12" i="695"/>
  <c r="OB13" i="695"/>
  <c r="OB14" i="695"/>
  <c r="OB15" i="695"/>
  <c r="OB16" i="695"/>
  <c r="OB17" i="695"/>
  <c r="OB8" i="695"/>
  <c r="TA3" i="83"/>
  <c r="SG9" i="83"/>
  <c r="SG10" i="83"/>
  <c r="SG11" i="83"/>
  <c r="SG12" i="83"/>
  <c r="SG13" i="83"/>
  <c r="SG14" i="83"/>
  <c r="SG15" i="83"/>
  <c r="SG16" i="83"/>
  <c r="SG17" i="83"/>
  <c r="SG7" i="83"/>
  <c r="SG8" i="83"/>
  <c r="OZ3" i="695"/>
  <c r="OF7" i="695"/>
  <c r="OF9" i="695"/>
  <c r="OF10" i="695"/>
  <c r="OF11" i="695"/>
  <c r="OF12" i="695"/>
  <c r="OF13" i="695"/>
  <c r="OF14" i="695"/>
  <c r="OF15" i="695"/>
  <c r="OF16" i="695"/>
  <c r="OF17" i="695"/>
  <c r="OF8" i="695"/>
  <c r="NP24" i="695"/>
  <c r="NP26" i="695" s="1"/>
  <c r="NP23" i="695"/>
  <c r="NP28" i="695"/>
  <c r="NP30" i="695"/>
  <c r="SY3" i="83"/>
  <c r="SE9" i="83"/>
  <c r="SE10" i="83"/>
  <c r="SE11" i="83"/>
  <c r="SE12" i="83"/>
  <c r="SE13" i="83"/>
  <c r="SE14" i="83"/>
  <c r="SE15" i="83"/>
  <c r="SE16" i="83"/>
  <c r="SE17" i="83"/>
  <c r="SE7" i="83"/>
  <c r="SE8" i="83"/>
  <c r="TC3" i="83"/>
  <c r="SI9" i="83"/>
  <c r="SI10" i="83"/>
  <c r="SI11" i="83"/>
  <c r="SI12" i="83"/>
  <c r="SI13" i="83"/>
  <c r="SI14" i="83"/>
  <c r="SI15" i="83"/>
  <c r="SI16" i="83"/>
  <c r="SI17" i="83"/>
  <c r="SI7" i="83"/>
  <c r="SI8" i="83"/>
  <c r="NE25" i="83"/>
  <c r="NE30" i="83"/>
  <c r="NE33" i="83"/>
  <c r="NZ20" i="695"/>
  <c r="NZ18" i="695"/>
  <c r="NZ31" i="695" s="1"/>
  <c r="NZ21" i="695"/>
  <c r="NZ19" i="695"/>
  <c r="NZ27" i="695" s="1"/>
  <c r="NZ22" i="695"/>
  <c r="PY25" i="83"/>
  <c r="PY30" i="83"/>
  <c r="PY33" i="83"/>
  <c r="QY19" i="83"/>
  <c r="QY27" i="83" s="1"/>
  <c r="QY18" i="83"/>
  <c r="QY32" i="83" s="1"/>
  <c r="QY20" i="83"/>
  <c r="QY23" i="83" s="1"/>
  <c r="QY21" i="83"/>
  <c r="QY24" i="83" s="1"/>
  <c r="QY26" i="83" s="1"/>
  <c r="QY22" i="83"/>
  <c r="NT20" i="695"/>
  <c r="NT18" i="695"/>
  <c r="NT31" i="695" s="1"/>
  <c r="NT19" i="695"/>
  <c r="NT27" i="695" s="1"/>
  <c r="NT21" i="695"/>
  <c r="NT22" i="695"/>
  <c r="NM23" i="695"/>
  <c r="NM24" i="695"/>
  <c r="NM26" i="695" s="1"/>
  <c r="NM28" i="695"/>
  <c r="NM30" i="695"/>
  <c r="PW25" i="83"/>
  <c r="PW30" i="83"/>
  <c r="PW33" i="83"/>
  <c r="NG20" i="695"/>
  <c r="OU8" i="695"/>
  <c r="OU7" i="695"/>
  <c r="RY8" i="83"/>
  <c r="RY7" i="83"/>
  <c r="RY31" i="83" l="1"/>
  <c r="OU30" i="695"/>
  <c r="OA25" i="695"/>
  <c r="OA29" i="695"/>
  <c r="OA32" i="695"/>
  <c r="SA29" i="83"/>
  <c r="SA31" i="83"/>
  <c r="NY25" i="695"/>
  <c r="NY29" i="695"/>
  <c r="NY32" i="695"/>
  <c r="SD29" i="83"/>
  <c r="SD31" i="83"/>
  <c r="OS23" i="695"/>
  <c r="OS28" i="695"/>
  <c r="OS24" i="695"/>
  <c r="OS26" i="695" s="1"/>
  <c r="OS30" i="695"/>
  <c r="RA25" i="83"/>
  <c r="RA30" i="83"/>
  <c r="RA33" i="83"/>
  <c r="SK18" i="83"/>
  <c r="SK32" i="83" s="1"/>
  <c r="SK20" i="83"/>
  <c r="SK23" i="83" s="1"/>
  <c r="SK21" i="83"/>
  <c r="SK24" i="83" s="1"/>
  <c r="SK26" i="83" s="1"/>
  <c r="SK19" i="83"/>
  <c r="SK27" i="83" s="1"/>
  <c r="SK22" i="83"/>
  <c r="OF24" i="695"/>
  <c r="OF26" i="695" s="1"/>
  <c r="OF23" i="695"/>
  <c r="OF28" i="695"/>
  <c r="OF30" i="695"/>
  <c r="OB23" i="695"/>
  <c r="OB24" i="695"/>
  <c r="OB26" i="695" s="1"/>
  <c r="OB28" i="695"/>
  <c r="OB30" i="695"/>
  <c r="NV25" i="695"/>
  <c r="NV29" i="695"/>
  <c r="NV32" i="695"/>
  <c r="PQ3" i="695"/>
  <c r="OW7" i="695"/>
  <c r="OW9" i="695"/>
  <c r="OW10" i="695"/>
  <c r="OW11" i="695"/>
  <c r="OW12" i="695"/>
  <c r="OW13" i="695"/>
  <c r="OW14" i="695"/>
  <c r="OW15" i="695"/>
  <c r="OW16" i="695"/>
  <c r="OW17" i="695"/>
  <c r="OW8" i="695"/>
  <c r="SP18" i="83"/>
  <c r="SP32" i="83" s="1"/>
  <c r="SP19" i="83"/>
  <c r="SP27" i="83" s="1"/>
  <c r="SP20" i="83"/>
  <c r="SP23" i="83" s="1"/>
  <c r="SP21" i="83"/>
  <c r="SP24" i="83" s="1"/>
  <c r="SP26" i="83" s="1"/>
  <c r="SP22" i="83"/>
  <c r="TV3" i="83"/>
  <c r="TB9" i="83"/>
  <c r="TB10" i="83"/>
  <c r="TB11" i="83"/>
  <c r="TB12" i="83"/>
  <c r="TB13" i="83"/>
  <c r="TB14" i="83"/>
  <c r="TB15" i="83"/>
  <c r="TB16" i="83"/>
  <c r="TB17" i="83"/>
  <c r="TB7" i="83"/>
  <c r="TB8" i="83"/>
  <c r="SJ29" i="83"/>
  <c r="SJ31" i="83"/>
  <c r="QU25" i="83"/>
  <c r="QU30" i="83"/>
  <c r="QU33" i="83"/>
  <c r="QG3" i="695"/>
  <c r="PM7" i="695"/>
  <c r="PM9" i="695"/>
  <c r="PM10" i="695"/>
  <c r="PM11" i="695"/>
  <c r="PM12" i="695"/>
  <c r="PM13" i="695"/>
  <c r="PM14" i="695"/>
  <c r="PM15" i="695"/>
  <c r="PM16" i="695"/>
  <c r="PM17" i="695"/>
  <c r="PM8" i="695"/>
  <c r="SS3" i="83"/>
  <c r="RY9" i="83"/>
  <c r="RY29" i="83" s="1"/>
  <c r="RY10" i="83"/>
  <c r="RY11" i="83"/>
  <c r="RY12" i="83"/>
  <c r="RY13" i="83"/>
  <c r="RY14" i="83"/>
  <c r="RY15" i="83"/>
  <c r="RY16" i="83"/>
  <c r="RY17" i="83"/>
  <c r="PY3" i="695"/>
  <c r="PE7" i="695"/>
  <c r="PE9" i="695"/>
  <c r="PE10" i="695"/>
  <c r="PE11" i="695"/>
  <c r="PE12" i="695"/>
  <c r="PE13" i="695"/>
  <c r="PE14" i="695"/>
  <c r="PE15" i="695"/>
  <c r="PE16" i="695"/>
  <c r="PE17" i="695"/>
  <c r="PE8" i="695"/>
  <c r="TO3" i="83"/>
  <c r="SU9" i="83"/>
  <c r="SU10" i="83"/>
  <c r="SU11" i="83"/>
  <c r="SU12" i="83"/>
  <c r="SU13" i="83"/>
  <c r="SU14" i="83"/>
  <c r="SU15" i="83"/>
  <c r="SU16" i="83"/>
  <c r="SU17" i="83"/>
  <c r="SU7" i="83"/>
  <c r="SU8" i="83"/>
  <c r="OT23" i="695"/>
  <c r="OT24" i="695"/>
  <c r="OT26" i="695" s="1"/>
  <c r="OT28" i="695"/>
  <c r="OT30" i="695"/>
  <c r="SF18" i="83"/>
  <c r="SF32" i="83" s="1"/>
  <c r="SF19" i="83"/>
  <c r="SF27" i="83" s="1"/>
  <c r="SF22" i="83"/>
  <c r="SF21" i="83"/>
  <c r="SF24" i="83" s="1"/>
  <c r="SF26" i="83" s="1"/>
  <c r="SF20" i="83"/>
  <c r="SF23" i="83" s="1"/>
  <c r="OH20" i="695"/>
  <c r="OH18" i="695"/>
  <c r="OH31" i="695" s="1"/>
  <c r="OH21" i="695"/>
  <c r="OH19" i="695"/>
  <c r="OH27" i="695" s="1"/>
  <c r="OH22" i="695"/>
  <c r="W27" i="27" a="1"/>
  <c r="W27" i="27" s="1"/>
  <c r="X28" i="27"/>
  <c r="UB3" i="83"/>
  <c r="TH9" i="83"/>
  <c r="TH10" i="83"/>
  <c r="TH11" i="83"/>
  <c r="TH12" i="83"/>
  <c r="TH13" i="83"/>
  <c r="TH14" i="83"/>
  <c r="TH15" i="83"/>
  <c r="TH16" i="83"/>
  <c r="TH17" i="83"/>
  <c r="TH7" i="83"/>
  <c r="TH8" i="83"/>
  <c r="QO25" i="83"/>
  <c r="QO30" i="83"/>
  <c r="QO33" i="83"/>
  <c r="SM29" i="83"/>
  <c r="SM31" i="83"/>
  <c r="RZ29" i="83"/>
  <c r="RZ31" i="83"/>
  <c r="NU25" i="695"/>
  <c r="NU29" i="695"/>
  <c r="NU32" i="695"/>
  <c r="PO3" i="695"/>
  <c r="OU9" i="695"/>
  <c r="OU24" i="695" s="1"/>
  <c r="OU26" i="695" s="1"/>
  <c r="OU10" i="695"/>
  <c r="OU11" i="695"/>
  <c r="OU12" i="695"/>
  <c r="OU13" i="695"/>
  <c r="OU14" i="695"/>
  <c r="OU15" i="695"/>
  <c r="OU16" i="695"/>
  <c r="OU17" i="695"/>
  <c r="SK29" i="83"/>
  <c r="SK31" i="83"/>
  <c r="OA18" i="695"/>
  <c r="OA31" i="695" s="1"/>
  <c r="OF18" i="695"/>
  <c r="OF31" i="695" s="1"/>
  <c r="OF19" i="695"/>
  <c r="OF27" i="695" s="1"/>
  <c r="OF20" i="695"/>
  <c r="OF22" i="695"/>
  <c r="OF21" i="695"/>
  <c r="NS25" i="695"/>
  <c r="NS29" i="695"/>
  <c r="NS32" i="695"/>
  <c r="OT19" i="695"/>
  <c r="OT27" i="695" s="1"/>
  <c r="OT20" i="695"/>
  <c r="OT18" i="695"/>
  <c r="OT31" i="695" s="1"/>
  <c r="OT22" i="695"/>
  <c r="OT21" i="695"/>
  <c r="UE3" i="83"/>
  <c r="TK9" i="83"/>
  <c r="WM9" i="83"/>
  <c r="TK10" i="83"/>
  <c r="WM10" i="83"/>
  <c r="TK11" i="83"/>
  <c r="WM11" i="83"/>
  <c r="TK12" i="83"/>
  <c r="WM12" i="83"/>
  <c r="TK13" i="83"/>
  <c r="WM13" i="83"/>
  <c r="TK14" i="83"/>
  <c r="WM14" i="83"/>
  <c r="TK15" i="83"/>
  <c r="WM15" i="83"/>
  <c r="WM16" i="83"/>
  <c r="TK16" i="83"/>
  <c r="TK17" i="83"/>
  <c r="WM17" i="83"/>
  <c r="WM7" i="83"/>
  <c r="TK7" i="83"/>
  <c r="TK8" i="83"/>
  <c r="WM8" i="83"/>
  <c r="TZ3" i="83"/>
  <c r="TF9" i="83"/>
  <c r="TF10" i="83"/>
  <c r="TF11" i="83"/>
  <c r="TF12" i="83"/>
  <c r="TF13" i="83"/>
  <c r="TF14" i="83"/>
  <c r="TF15" i="83"/>
  <c r="TF16" i="83"/>
  <c r="TF17" i="83"/>
  <c r="TF7" i="83"/>
  <c r="TF8" i="83"/>
  <c r="RZ18" i="83"/>
  <c r="RZ32" i="83" s="1"/>
  <c r="RZ19" i="83"/>
  <c r="RZ27" i="83" s="1"/>
  <c r="RZ20" i="83"/>
  <c r="RZ23" i="83" s="1"/>
  <c r="RZ21" i="83"/>
  <c r="RZ24" i="83" s="1"/>
  <c r="RZ26" i="83" s="1"/>
  <c r="RZ22" i="83"/>
  <c r="TS3" i="83"/>
  <c r="SY9" i="83"/>
  <c r="SY10" i="83"/>
  <c r="SY11" i="83"/>
  <c r="SY12" i="83"/>
  <c r="SY13" i="83"/>
  <c r="SY14" i="83"/>
  <c r="SY15" i="83"/>
  <c r="SY16" i="83"/>
  <c r="SY17" i="83"/>
  <c r="SY7" i="83"/>
  <c r="SY8" i="83"/>
  <c r="PT3" i="695"/>
  <c r="OZ7" i="695"/>
  <c r="OZ9" i="695"/>
  <c r="OZ10" i="695"/>
  <c r="OZ11" i="695"/>
  <c r="OZ12" i="695"/>
  <c r="OZ13" i="695"/>
  <c r="OZ14" i="695"/>
  <c r="OZ15" i="695"/>
  <c r="OZ16" i="695"/>
  <c r="OZ17" i="695"/>
  <c r="OZ8" i="695"/>
  <c r="PP3" i="695"/>
  <c r="OV7" i="695"/>
  <c r="OV9" i="695"/>
  <c r="OV10" i="695"/>
  <c r="OV11" i="695"/>
  <c r="OV12" i="695"/>
  <c r="OV13" i="695"/>
  <c r="OV14" i="695"/>
  <c r="OV15" i="695"/>
  <c r="OV16" i="695"/>
  <c r="OV17" i="695"/>
  <c r="OV8" i="695"/>
  <c r="NL25" i="695"/>
  <c r="NL29" i="695"/>
  <c r="NL32" i="695"/>
  <c r="TR3" i="83"/>
  <c r="SX9" i="83"/>
  <c r="SX10" i="83"/>
  <c r="SX11" i="83"/>
  <c r="SX12" i="83"/>
  <c r="SX13" i="83"/>
  <c r="SX14" i="83"/>
  <c r="SX15" i="83"/>
  <c r="SX16" i="83"/>
  <c r="SX17" i="83"/>
  <c r="SX7" i="83"/>
  <c r="SX8" i="83"/>
  <c r="QW25" i="83"/>
  <c r="QW30" i="83"/>
  <c r="QW33" i="83"/>
  <c r="SP29" i="83"/>
  <c r="SP31" i="83"/>
  <c r="QM25" i="83"/>
  <c r="QM30" i="83"/>
  <c r="QM33" i="83"/>
  <c r="QQ25" i="83"/>
  <c r="QQ30" i="83"/>
  <c r="QQ33" i="83"/>
  <c r="NN25" i="695"/>
  <c r="NN29" i="695"/>
  <c r="NN32" i="695"/>
  <c r="SO18" i="83"/>
  <c r="SO32" i="83" s="1"/>
  <c r="SO19" i="83"/>
  <c r="SO27" i="83" s="1"/>
  <c r="SO20" i="83"/>
  <c r="SO23" i="83" s="1"/>
  <c r="SO22" i="83"/>
  <c r="SO21" i="83"/>
  <c r="SO24" i="83" s="1"/>
  <c r="SO26" i="83" s="1"/>
  <c r="QH3" i="695"/>
  <c r="PN7" i="695"/>
  <c r="PN9" i="695"/>
  <c r="PN10" i="695"/>
  <c r="PN11" i="695"/>
  <c r="PN12" i="695"/>
  <c r="PN13" i="695"/>
  <c r="PN14" i="695"/>
  <c r="PN15" i="695"/>
  <c r="PN16" i="695"/>
  <c r="PN17" i="695"/>
  <c r="PN8" i="695"/>
  <c r="TQ3" i="83"/>
  <c r="SW9" i="83"/>
  <c r="SW10" i="83"/>
  <c r="SW11" i="83"/>
  <c r="SW12" i="83"/>
  <c r="SW13" i="83"/>
  <c r="SW14" i="83"/>
  <c r="SW15" i="83"/>
  <c r="SW16" i="83"/>
  <c r="SW17" i="83"/>
  <c r="SW7" i="83"/>
  <c r="SW8" i="83"/>
  <c r="NX25" i="695"/>
  <c r="NX29" i="695"/>
  <c r="NX32" i="695"/>
  <c r="SF29" i="83"/>
  <c r="SF31" i="83"/>
  <c r="OO18" i="695"/>
  <c r="OO31" i="695" s="1"/>
  <c r="OO21" i="695"/>
  <c r="OO19" i="695"/>
  <c r="OO27" i="695" s="1"/>
  <c r="OO20" i="695"/>
  <c r="OO22" i="695"/>
  <c r="NT25" i="695"/>
  <c r="NT29" i="695"/>
  <c r="NT32" i="695"/>
  <c r="OG18" i="695"/>
  <c r="OG31" i="695" s="1"/>
  <c r="OG21" i="695"/>
  <c r="OG19" i="695"/>
  <c r="OG27" i="695" s="1"/>
  <c r="OG20" i="695"/>
  <c r="OG22" i="695"/>
  <c r="OE21" i="695"/>
  <c r="OE19" i="695"/>
  <c r="OE27" i="695" s="1"/>
  <c r="OE18" i="695"/>
  <c r="OE31" i="695" s="1"/>
  <c r="OE20" i="695"/>
  <c r="OE22" i="695"/>
  <c r="OQ23" i="695"/>
  <c r="OQ24" i="695"/>
  <c r="OQ26" i="695" s="1"/>
  <c r="OQ28" i="695"/>
  <c r="OQ30" i="695"/>
  <c r="OA20" i="695"/>
  <c r="SE19" i="83"/>
  <c r="SE27" i="83" s="1"/>
  <c r="SE18" i="83"/>
  <c r="SE32" i="83" s="1"/>
  <c r="SE20" i="83"/>
  <c r="SE23" i="83" s="1"/>
  <c r="SE22" i="83"/>
  <c r="SE21" i="83"/>
  <c r="SE24" i="83" s="1"/>
  <c r="SE26" i="83" s="1"/>
  <c r="SD19" i="83"/>
  <c r="SD27" i="83" s="1"/>
  <c r="SD18" i="83"/>
  <c r="SD32" i="83" s="1"/>
  <c r="SD20" i="83"/>
  <c r="SD23" i="83" s="1"/>
  <c r="SD22" i="83"/>
  <c r="SD21" i="83"/>
  <c r="SD24" i="83" s="1"/>
  <c r="SD26" i="83" s="1"/>
  <c r="SC18" i="83"/>
  <c r="SC32" i="83" s="1"/>
  <c r="SC20" i="83"/>
  <c r="SC23" i="83" s="1"/>
  <c r="SC19" i="83"/>
  <c r="SC27" i="83" s="1"/>
  <c r="SC21" i="83"/>
  <c r="SC24" i="83" s="1"/>
  <c r="SC26" i="83" s="1"/>
  <c r="SC22" i="83"/>
  <c r="SN29" i="83"/>
  <c r="SN31" i="83"/>
  <c r="TP3" i="83"/>
  <c r="SV9" i="83"/>
  <c r="SV10" i="83"/>
  <c r="SV11" i="83"/>
  <c r="SV12" i="83"/>
  <c r="SV13" i="83"/>
  <c r="SV14" i="83"/>
  <c r="SV15" i="83"/>
  <c r="SV16" i="83"/>
  <c r="SV17" i="83"/>
  <c r="SV7" i="83"/>
  <c r="SV8" i="83"/>
  <c r="SJ18" i="83"/>
  <c r="SJ32" i="83" s="1"/>
  <c r="SJ19" i="83"/>
  <c r="SJ27" i="83" s="1"/>
  <c r="SJ20" i="83"/>
  <c r="SJ23" i="83" s="1"/>
  <c r="SJ21" i="83"/>
  <c r="SJ24" i="83" s="1"/>
  <c r="SJ26" i="83" s="1"/>
  <c r="SJ22" i="83"/>
  <c r="OQ20" i="695"/>
  <c r="OQ18" i="695"/>
  <c r="OQ31" i="695" s="1"/>
  <c r="OQ19" i="695"/>
  <c r="OQ27" i="695" s="1"/>
  <c r="OQ21" i="695"/>
  <c r="OQ22" i="695"/>
  <c r="OA19" i="695"/>
  <c r="OA27" i="695" s="1"/>
  <c r="SI18" i="83"/>
  <c r="SI32" i="83" s="1"/>
  <c r="SI19" i="83"/>
  <c r="SI27" i="83" s="1"/>
  <c r="SI20" i="83"/>
  <c r="SI23" i="83" s="1"/>
  <c r="SI21" i="83"/>
  <c r="SI24" i="83" s="1"/>
  <c r="SI26" i="83" s="1"/>
  <c r="SI22" i="83"/>
  <c r="SG18" i="83"/>
  <c r="SG32" i="83" s="1"/>
  <c r="SG19" i="83"/>
  <c r="SG27" i="83" s="1"/>
  <c r="SG20" i="83"/>
  <c r="SG23" i="83" s="1"/>
  <c r="SG22" i="83"/>
  <c r="SG21" i="83"/>
  <c r="SG24" i="83" s="1"/>
  <c r="SG26" i="83" s="1"/>
  <c r="OM21" i="695"/>
  <c r="OM19" i="695"/>
  <c r="OM27" i="695" s="1"/>
  <c r="OM18" i="695"/>
  <c r="OM31" i="695" s="1"/>
  <c r="OM20" i="695"/>
  <c r="OM22" i="695"/>
  <c r="TX3" i="83"/>
  <c r="TD9" i="83"/>
  <c r="TD10" i="83"/>
  <c r="TD11" i="83"/>
  <c r="TD12" i="83"/>
  <c r="TD13" i="83"/>
  <c r="TD14" i="83"/>
  <c r="TD15" i="83"/>
  <c r="TD16" i="83"/>
  <c r="TD17" i="83"/>
  <c r="TD7" i="83"/>
  <c r="TD8" i="83"/>
  <c r="ON18" i="695"/>
  <c r="ON31" i="695" s="1"/>
  <c r="ON19" i="695"/>
  <c r="ON27" i="695" s="1"/>
  <c r="ON20" i="695"/>
  <c r="ON22" i="695"/>
  <c r="ON21" i="695"/>
  <c r="OR20" i="695"/>
  <c r="OR18" i="695"/>
  <c r="OR31" i="695" s="1"/>
  <c r="OR19" i="695"/>
  <c r="OR27" i="695" s="1"/>
  <c r="OR22" i="695"/>
  <c r="OR21" i="695"/>
  <c r="SO29" i="83"/>
  <c r="SO31" i="83"/>
  <c r="SR18" i="83"/>
  <c r="SR32" i="83" s="1"/>
  <c r="SR19" i="83"/>
  <c r="SR27" i="83" s="1"/>
  <c r="SR20" i="83"/>
  <c r="SR23" i="83" s="1"/>
  <c r="SR21" i="83"/>
  <c r="SR24" i="83" s="1"/>
  <c r="SR26" i="83" s="1"/>
  <c r="SR22" i="83"/>
  <c r="NR25" i="695"/>
  <c r="NR29" i="695"/>
  <c r="NR32" i="695"/>
  <c r="OH24" i="695"/>
  <c r="OH26" i="695" s="1"/>
  <c r="OH23" i="695"/>
  <c r="OH28" i="695"/>
  <c r="OH30" i="695"/>
  <c r="NQ29" i="695"/>
  <c r="NQ25" i="695"/>
  <c r="NQ32" i="695"/>
  <c r="UA3" i="83"/>
  <c r="TG9" i="83"/>
  <c r="TG10" i="83"/>
  <c r="TG11" i="83"/>
  <c r="TG12" i="83"/>
  <c r="TG13" i="83"/>
  <c r="TG14" i="83"/>
  <c r="TG15" i="83"/>
  <c r="TG16" i="83"/>
  <c r="TG17" i="83"/>
  <c r="TG7" i="83"/>
  <c r="TG8" i="83"/>
  <c r="TN3" i="83"/>
  <c r="ST9" i="83"/>
  <c r="ST10" i="83"/>
  <c r="ST11" i="83"/>
  <c r="ST12" i="83"/>
  <c r="ST13" i="83"/>
  <c r="ST14" i="83"/>
  <c r="ST15" i="83"/>
  <c r="ST16" i="83"/>
  <c r="ST17" i="83"/>
  <c r="ST7" i="83"/>
  <c r="ST8" i="83"/>
  <c r="OJ20" i="695"/>
  <c r="OJ18" i="695"/>
  <c r="OJ31" i="695" s="1"/>
  <c r="OJ19" i="695"/>
  <c r="OJ27" i="695" s="1"/>
  <c r="OJ21" i="695"/>
  <c r="OJ22" i="695"/>
  <c r="TY3" i="83"/>
  <c r="TE9" i="83"/>
  <c r="TE10" i="83"/>
  <c r="TE11" i="83"/>
  <c r="TE12" i="83"/>
  <c r="TE13" i="83"/>
  <c r="TE14" i="83"/>
  <c r="TE15" i="83"/>
  <c r="TE16" i="83"/>
  <c r="TE17" i="83"/>
  <c r="TE7" i="83"/>
  <c r="TE8" i="83"/>
  <c r="QE3" i="695"/>
  <c r="PK7" i="695"/>
  <c r="PK9" i="695"/>
  <c r="PK10" i="695"/>
  <c r="PK11" i="695"/>
  <c r="PK12" i="695"/>
  <c r="PK13" i="695"/>
  <c r="PK14" i="695"/>
  <c r="PK15" i="695"/>
  <c r="PK16" i="695"/>
  <c r="PK17" i="695"/>
  <c r="PK8" i="695"/>
  <c r="RE25" i="83"/>
  <c r="RE30" i="83"/>
  <c r="RE33" i="83"/>
  <c r="NJ25" i="695"/>
  <c r="NJ29" i="695"/>
  <c r="NJ32" i="695"/>
  <c r="SH29" i="83"/>
  <c r="SH31" i="83"/>
  <c r="PW3" i="695"/>
  <c r="PC7" i="695"/>
  <c r="PC9" i="695"/>
  <c r="PC10" i="695"/>
  <c r="PC11" i="695"/>
  <c r="PC12" i="695"/>
  <c r="PC13" i="695"/>
  <c r="PC14" i="695"/>
  <c r="PC15" i="695"/>
  <c r="PC16" i="695"/>
  <c r="PC17" i="695"/>
  <c r="PC8" i="695"/>
  <c r="PZ3" i="695"/>
  <c r="PF7" i="695"/>
  <c r="PF9" i="695"/>
  <c r="PF10" i="695"/>
  <c r="PF11" i="695"/>
  <c r="PF12" i="695"/>
  <c r="PF13" i="695"/>
  <c r="PF14" i="695"/>
  <c r="PF15" i="695"/>
  <c r="PF16" i="695"/>
  <c r="PF17" i="695"/>
  <c r="PF8" i="695"/>
  <c r="QD3" i="695"/>
  <c r="PJ7" i="695"/>
  <c r="PJ9" i="695"/>
  <c r="PJ10" i="695"/>
  <c r="PJ11" i="695"/>
  <c r="PJ12" i="695"/>
  <c r="PJ13" i="695"/>
  <c r="PJ14" i="695"/>
  <c r="PJ15" i="695"/>
  <c r="PJ16" i="695"/>
  <c r="PJ17" i="695"/>
  <c r="PJ8" i="695"/>
  <c r="OC23" i="695"/>
  <c r="OC28" i="695"/>
  <c r="OC24" i="695"/>
  <c r="OC26" i="695" s="1"/>
  <c r="OC30" i="695"/>
  <c r="QS25" i="83"/>
  <c r="QS30" i="83"/>
  <c r="QS33" i="83"/>
  <c r="OK23" i="695"/>
  <c r="OK28" i="695"/>
  <c r="OK24" i="695"/>
  <c r="OK26" i="695" s="1"/>
  <c r="OK30" i="695"/>
  <c r="SC29" i="83"/>
  <c r="SC31" i="83"/>
  <c r="SM19" i="83"/>
  <c r="SM27" i="83" s="1"/>
  <c r="SM18" i="83"/>
  <c r="SM32" i="83" s="1"/>
  <c r="SM20" i="83"/>
  <c r="SM23" i="83" s="1"/>
  <c r="SM22" i="83"/>
  <c r="SM21" i="83"/>
  <c r="SM24" i="83" s="1"/>
  <c r="SM26" i="83" s="1"/>
  <c r="RD25" i="83"/>
  <c r="RD30" i="83"/>
  <c r="RD33" i="83"/>
  <c r="SI29" i="83"/>
  <c r="SI31" i="83"/>
  <c r="SG29" i="83"/>
  <c r="SG31" i="83"/>
  <c r="QL25" i="83"/>
  <c r="QL30" i="83"/>
  <c r="QL33" i="83"/>
  <c r="OD19" i="695"/>
  <c r="OD27" i="695" s="1"/>
  <c r="OD20" i="695"/>
  <c r="OD18" i="695"/>
  <c r="OD31" i="695" s="1"/>
  <c r="OD22" i="695"/>
  <c r="OD21" i="695"/>
  <c r="RC25" i="83"/>
  <c r="RC30" i="83"/>
  <c r="RC33" i="83"/>
  <c r="UD3" i="83"/>
  <c r="TJ9" i="83"/>
  <c r="WL9" i="83"/>
  <c r="TJ10" i="83"/>
  <c r="WL10" i="83"/>
  <c r="TJ11" i="83"/>
  <c r="WL11" i="83"/>
  <c r="TJ12" i="83"/>
  <c r="WL12" i="83"/>
  <c r="TJ13" i="83"/>
  <c r="WL13" i="83"/>
  <c r="TJ14" i="83"/>
  <c r="WL14" i="83"/>
  <c r="TJ15" i="83"/>
  <c r="WL15" i="83"/>
  <c r="TJ16" i="83"/>
  <c r="WL16" i="83"/>
  <c r="TJ17" i="83"/>
  <c r="WL17" i="83"/>
  <c r="TJ7" i="83"/>
  <c r="WL7" i="83"/>
  <c r="WL8" i="83"/>
  <c r="TJ8" i="83"/>
  <c r="OI20" i="695"/>
  <c r="OI18" i="695"/>
  <c r="OI31" i="695" s="1"/>
  <c r="OI19" i="695"/>
  <c r="OI27" i="695" s="1"/>
  <c r="OI21" i="695"/>
  <c r="OI22" i="695"/>
  <c r="OL19" i="695"/>
  <c r="OL27" i="695" s="1"/>
  <c r="OL20" i="695"/>
  <c r="OL18" i="695"/>
  <c r="OL31" i="695" s="1"/>
  <c r="OL22" i="695"/>
  <c r="OL21" i="695"/>
  <c r="RB25" i="83"/>
  <c r="RB30" i="83"/>
  <c r="RB33" i="83"/>
  <c r="SR29" i="83"/>
  <c r="SR31" i="83"/>
  <c r="TT3" i="83"/>
  <c r="SZ9" i="83"/>
  <c r="SZ10" i="83"/>
  <c r="SZ11" i="83"/>
  <c r="SZ12" i="83"/>
  <c r="SZ13" i="83"/>
  <c r="SZ14" i="83"/>
  <c r="SZ15" i="83"/>
  <c r="SZ16" i="83"/>
  <c r="SZ17" i="83"/>
  <c r="SZ7" i="83"/>
  <c r="SZ8" i="83"/>
  <c r="PV3" i="695"/>
  <c r="PB7" i="695"/>
  <c r="PB9" i="695"/>
  <c r="PB10" i="695"/>
  <c r="PB11" i="695"/>
  <c r="PB12" i="695"/>
  <c r="PB13" i="695"/>
  <c r="PB14" i="695"/>
  <c r="PB15" i="695"/>
  <c r="PB16" i="695"/>
  <c r="PB17" i="695"/>
  <c r="PB8" i="695"/>
  <c r="OO24" i="695"/>
  <c r="OO26" i="695" s="1"/>
  <c r="OO23" i="695"/>
  <c r="OO28" i="695"/>
  <c r="OO30" i="695"/>
  <c r="QR25" i="83"/>
  <c r="QR30" i="83"/>
  <c r="QR33" i="83"/>
  <c r="OG24" i="695"/>
  <c r="OG26" i="695" s="1"/>
  <c r="OG23" i="695"/>
  <c r="OG28" i="695"/>
  <c r="OG30" i="695"/>
  <c r="OE23" i="695"/>
  <c r="OE24" i="695"/>
  <c r="OE26" i="695" s="1"/>
  <c r="OE28" i="695"/>
  <c r="OE30" i="695"/>
  <c r="SQ18" i="83"/>
  <c r="SQ32" i="83" s="1"/>
  <c r="SQ19" i="83"/>
  <c r="SQ27" i="83" s="1"/>
  <c r="SQ20" i="83"/>
  <c r="SQ23" i="83" s="1"/>
  <c r="SQ21" i="83"/>
  <c r="SQ24" i="83" s="1"/>
  <c r="SQ26" i="83" s="1"/>
  <c r="SQ22" i="83"/>
  <c r="OP20" i="695"/>
  <c r="OP18" i="695"/>
  <c r="OP31" i="695" s="1"/>
  <c r="OP21" i="695"/>
  <c r="OP19" i="695"/>
  <c r="OP27" i="695" s="1"/>
  <c r="OP22" i="695"/>
  <c r="OB20" i="695"/>
  <c r="OB18" i="695"/>
  <c r="OB31" i="695" s="1"/>
  <c r="OB19" i="695"/>
  <c r="OB27" i="695" s="1"/>
  <c r="OB21" i="695"/>
  <c r="OB22" i="695"/>
  <c r="SE29" i="83"/>
  <c r="SE31" i="83"/>
  <c r="NM25" i="695"/>
  <c r="NM29" i="695"/>
  <c r="NM32" i="695"/>
  <c r="QY25" i="83"/>
  <c r="QY30" i="83"/>
  <c r="QY33" i="83"/>
  <c r="NP29" i="695"/>
  <c r="NP25" i="695"/>
  <c r="NP32" i="695"/>
  <c r="NW25" i="695"/>
  <c r="NW29" i="695"/>
  <c r="NW32" i="695"/>
  <c r="OM23" i="695"/>
  <c r="OM24" i="695"/>
  <c r="OM26" i="695" s="1"/>
  <c r="OM28" i="695"/>
  <c r="OM30" i="695"/>
  <c r="NH29" i="695"/>
  <c r="NH25" i="695"/>
  <c r="NH32" i="695"/>
  <c r="SB18" i="83"/>
  <c r="SB32" i="83" s="1"/>
  <c r="SB19" i="83"/>
  <c r="SB27" i="83" s="1"/>
  <c r="SB20" i="83"/>
  <c r="SB23" i="83" s="1"/>
  <c r="SB21" i="83"/>
  <c r="SB24" i="83" s="1"/>
  <c r="SB26" i="83" s="1"/>
  <c r="SB22" i="83"/>
  <c r="NI29" i="695"/>
  <c r="NI25" i="695"/>
  <c r="NI32" i="695"/>
  <c r="ON24" i="695"/>
  <c r="ON26" i="695" s="1"/>
  <c r="ON23" i="695"/>
  <c r="ON28" i="695"/>
  <c r="ON30" i="695"/>
  <c r="OR23" i="695"/>
  <c r="OR24" i="695"/>
  <c r="OR26" i="695" s="1"/>
  <c r="OR28" i="695"/>
  <c r="OR30" i="695"/>
  <c r="NO29" i="695"/>
  <c r="NO25" i="695"/>
  <c r="NO32" i="695"/>
  <c r="UC3" i="83"/>
  <c r="TI9" i="83"/>
  <c r="TI10" i="83"/>
  <c r="TI11" i="83"/>
  <c r="TI12" i="83"/>
  <c r="TI13" i="83"/>
  <c r="TI14" i="83"/>
  <c r="TI15" i="83"/>
  <c r="TI16" i="83"/>
  <c r="TI17" i="83"/>
  <c r="TI7" i="83"/>
  <c r="TI8" i="83"/>
  <c r="QN25" i="83"/>
  <c r="QN30" i="83"/>
  <c r="QN33" i="83"/>
  <c r="SL19" i="83"/>
  <c r="SL27" i="83" s="1"/>
  <c r="SL18" i="83"/>
  <c r="SL32" i="83" s="1"/>
  <c r="SL20" i="83"/>
  <c r="SL23" i="83" s="1"/>
  <c r="SL22" i="83"/>
  <c r="SL21" i="83"/>
  <c r="SL24" i="83" s="1"/>
  <c r="SL26" i="83" s="1"/>
  <c r="QC3" i="695"/>
  <c r="PI7" i="695"/>
  <c r="PI9" i="695"/>
  <c r="PI10" i="695"/>
  <c r="PI11" i="695"/>
  <c r="PI12" i="695"/>
  <c r="PI13" i="695"/>
  <c r="PI14" i="695"/>
  <c r="PI15" i="695"/>
  <c r="PI16" i="695"/>
  <c r="PI17" i="695"/>
  <c r="PI8" i="695"/>
  <c r="PU3" i="695"/>
  <c r="PA7" i="695"/>
  <c r="PA9" i="695"/>
  <c r="PA10" i="695"/>
  <c r="PA11" i="695"/>
  <c r="PA12" i="695"/>
  <c r="PA13" i="695"/>
  <c r="PA14" i="695"/>
  <c r="PA15" i="695"/>
  <c r="PA16" i="695"/>
  <c r="PA17" i="695"/>
  <c r="PA8" i="695"/>
  <c r="OJ23" i="695"/>
  <c r="OJ24" i="695"/>
  <c r="OJ26" i="695" s="1"/>
  <c r="OJ28" i="695"/>
  <c r="OJ30" i="695"/>
  <c r="PS3" i="695"/>
  <c r="OY7" i="695"/>
  <c r="OY9" i="695"/>
  <c r="OY10" i="695"/>
  <c r="OY11" i="695"/>
  <c r="OY12" i="695"/>
  <c r="OY13" i="695"/>
  <c r="OY14" i="695"/>
  <c r="OY15" i="695"/>
  <c r="OY16" i="695"/>
  <c r="OY17" i="695"/>
  <c r="OY8" i="695"/>
  <c r="SQ29" i="83"/>
  <c r="SQ31" i="83"/>
  <c r="OA24" i="695"/>
  <c r="OA26" i="695" s="1"/>
  <c r="PR3" i="695"/>
  <c r="OX7" i="695"/>
  <c r="OX9" i="695"/>
  <c r="OX10" i="695"/>
  <c r="OX11" i="695"/>
  <c r="OX12" i="695"/>
  <c r="OX13" i="695"/>
  <c r="OX14" i="695"/>
  <c r="OX15" i="695"/>
  <c r="OX16" i="695"/>
  <c r="OX17" i="695"/>
  <c r="OX8" i="695"/>
  <c r="TW3" i="83"/>
  <c r="TC9" i="83"/>
  <c r="TC10" i="83"/>
  <c r="TC11" i="83"/>
  <c r="TC12" i="83"/>
  <c r="TC13" i="83"/>
  <c r="TC14" i="83"/>
  <c r="TC15" i="83"/>
  <c r="TC16" i="83"/>
  <c r="TC17" i="83"/>
  <c r="TC7" i="83"/>
  <c r="TC8" i="83"/>
  <c r="TU3" i="83"/>
  <c r="TA9" i="83"/>
  <c r="TA10" i="83"/>
  <c r="TA11" i="83"/>
  <c r="TA12" i="83"/>
  <c r="TA13" i="83"/>
  <c r="TA14" i="83"/>
  <c r="TA15" i="83"/>
  <c r="TA16" i="83"/>
  <c r="TA17" i="83"/>
  <c r="TA7" i="83"/>
  <c r="TA8" i="83"/>
  <c r="NK25" i="695"/>
  <c r="NK29" i="695"/>
  <c r="NK32" i="695"/>
  <c r="OD23" i="695"/>
  <c r="OD24" i="695"/>
  <c r="OD26" i="695" s="1"/>
  <c r="OD28" i="695"/>
  <c r="OD30" i="695"/>
  <c r="QA3" i="695"/>
  <c r="PG7" i="695"/>
  <c r="PG9" i="695"/>
  <c r="PG10" i="695"/>
  <c r="PG11" i="695"/>
  <c r="PG12" i="695"/>
  <c r="PG13" i="695"/>
  <c r="PG14" i="695"/>
  <c r="PG15" i="695"/>
  <c r="PG16" i="695"/>
  <c r="PG17" i="695"/>
  <c r="PG8" i="695"/>
  <c r="OC19" i="695"/>
  <c r="OC27" i="695" s="1"/>
  <c r="OC20" i="695"/>
  <c r="OC18" i="695"/>
  <c r="OC31" i="695" s="1"/>
  <c r="OC21" i="695"/>
  <c r="OC22" i="695"/>
  <c r="SB29" i="83"/>
  <c r="SB31" i="83"/>
  <c r="SH18" i="83"/>
  <c r="SH32" i="83" s="1"/>
  <c r="SH19" i="83"/>
  <c r="SH27" i="83" s="1"/>
  <c r="SH20" i="83"/>
  <c r="SH23" i="83" s="1"/>
  <c r="SH21" i="83"/>
  <c r="SH24" i="83" s="1"/>
  <c r="SH26" i="83" s="1"/>
  <c r="SH22" i="83"/>
  <c r="OI23" i="695"/>
  <c r="OI24" i="695"/>
  <c r="OI26" i="695" s="1"/>
  <c r="OI28" i="695"/>
  <c r="OI30" i="695"/>
  <c r="QB3" i="695"/>
  <c r="PH7" i="695"/>
  <c r="PH9" i="695"/>
  <c r="PH10" i="695"/>
  <c r="PH11" i="695"/>
  <c r="PH12" i="695"/>
  <c r="PH13" i="695"/>
  <c r="PH14" i="695"/>
  <c r="PH15" i="695"/>
  <c r="PH16" i="695"/>
  <c r="PH17" i="695"/>
  <c r="PH8" i="695"/>
  <c r="QF3" i="695"/>
  <c r="PL7" i="695"/>
  <c r="PL9" i="695"/>
  <c r="PL10" i="695"/>
  <c r="PL11" i="695"/>
  <c r="PL12" i="695"/>
  <c r="PL13" i="695"/>
  <c r="PL14" i="695"/>
  <c r="PL15" i="695"/>
  <c r="PL16" i="695"/>
  <c r="PL17" i="695"/>
  <c r="PL8" i="695"/>
  <c r="OL23" i="695"/>
  <c r="OL24" i="695"/>
  <c r="OL26" i="695" s="1"/>
  <c r="OL28" i="695"/>
  <c r="OL30" i="695"/>
  <c r="OS19" i="695"/>
  <c r="OS27" i="695" s="1"/>
  <c r="OS20" i="695"/>
  <c r="OS21" i="695"/>
  <c r="OS22" i="695"/>
  <c r="OS18" i="695"/>
  <c r="OS31" i="695" s="1"/>
  <c r="QP25" i="83"/>
  <c r="QP30" i="83"/>
  <c r="QP33" i="83"/>
  <c r="OK19" i="695"/>
  <c r="OK27" i="695" s="1"/>
  <c r="OK20" i="695"/>
  <c r="OK21" i="695"/>
  <c r="OK18" i="695"/>
  <c r="OK31" i="695" s="1"/>
  <c r="OK22" i="695"/>
  <c r="SA18" i="83"/>
  <c r="SA32" i="83" s="1"/>
  <c r="SA19" i="83"/>
  <c r="SA27" i="83" s="1"/>
  <c r="SA20" i="83"/>
  <c r="SA23" i="83" s="1"/>
  <c r="SA21" i="83"/>
  <c r="SA24" i="83" s="1"/>
  <c r="SA26" i="83" s="1"/>
  <c r="SA22" i="83"/>
  <c r="UF3" i="83"/>
  <c r="TL9" i="83"/>
  <c r="WN9" i="83"/>
  <c r="TL10" i="83"/>
  <c r="WN10" i="83"/>
  <c r="TL11" i="83"/>
  <c r="WN11" i="83"/>
  <c r="TL12" i="83"/>
  <c r="WN12" i="83"/>
  <c r="TL13" i="83"/>
  <c r="WN13" i="83"/>
  <c r="TL14" i="83"/>
  <c r="WN14" i="83"/>
  <c r="TL15" i="83"/>
  <c r="WN15" i="83"/>
  <c r="TL16" i="83"/>
  <c r="WN16" i="83"/>
  <c r="TL17" i="83"/>
  <c r="WN17" i="83"/>
  <c r="TL7" i="83"/>
  <c r="WN7" i="83"/>
  <c r="TL8" i="83"/>
  <c r="WN8" i="83"/>
  <c r="QT25" i="83"/>
  <c r="QT30" i="83"/>
  <c r="QT33" i="83"/>
  <c r="QV25" i="83"/>
  <c r="QV30" i="83"/>
  <c r="QV33" i="83"/>
  <c r="SL29" i="83"/>
  <c r="SL31" i="83"/>
  <c r="SN19" i="83"/>
  <c r="SN27" i="83" s="1"/>
  <c r="SN18" i="83"/>
  <c r="SN32" i="83" s="1"/>
  <c r="SN20" i="83"/>
  <c r="SN23" i="83" s="1"/>
  <c r="SN22" i="83"/>
  <c r="SN21" i="83"/>
  <c r="SN24" i="83" s="1"/>
  <c r="SN26" i="83" s="1"/>
  <c r="NZ25" i="695"/>
  <c r="NZ29" i="695"/>
  <c r="NZ32" i="695"/>
  <c r="QX25" i="83"/>
  <c r="QX30" i="83"/>
  <c r="QX33" i="83"/>
  <c r="QZ25" i="83"/>
  <c r="QZ30" i="83"/>
  <c r="QZ33" i="83"/>
  <c r="PX3" i="695"/>
  <c r="PD7" i="695"/>
  <c r="PD9" i="695"/>
  <c r="PD10" i="695"/>
  <c r="PD11" i="695"/>
  <c r="PD12" i="695"/>
  <c r="PD13" i="695"/>
  <c r="PD14" i="695"/>
  <c r="PD15" i="695"/>
  <c r="PD16" i="695"/>
  <c r="PD17" i="695"/>
  <c r="PD8" i="695"/>
  <c r="OP24" i="695"/>
  <c r="OP26" i="695" s="1"/>
  <c r="OP23" i="695"/>
  <c r="OP28" i="695"/>
  <c r="OP30" i="695"/>
  <c r="OA22" i="695"/>
  <c r="SS8" i="83"/>
  <c r="SS7" i="83"/>
  <c r="SS31" i="83" l="1"/>
  <c r="SN25" i="83"/>
  <c r="SN30" i="83"/>
  <c r="SN33" i="83"/>
  <c r="PL18" i="695"/>
  <c r="PL31" i="695" s="1"/>
  <c r="PL19" i="695"/>
  <c r="PL27" i="695" s="1"/>
  <c r="PL20" i="695"/>
  <c r="PL21" i="695"/>
  <c r="PL22" i="695"/>
  <c r="PG20" i="695"/>
  <c r="PG18" i="695"/>
  <c r="PG31" i="695" s="1"/>
  <c r="PG19" i="695"/>
  <c r="PG27" i="695" s="1"/>
  <c r="PG21" i="695"/>
  <c r="PG22" i="695"/>
  <c r="TC29" i="83"/>
  <c r="TC31" i="83"/>
  <c r="PI23" i="695"/>
  <c r="PI24" i="695"/>
  <c r="PI26" i="695" s="1"/>
  <c r="PI28" i="695"/>
  <c r="PI30" i="695"/>
  <c r="OE29" i="695"/>
  <c r="OE25" i="695"/>
  <c r="OE32" i="695"/>
  <c r="SZ18" i="83"/>
  <c r="SZ32" i="83" s="1"/>
  <c r="SZ19" i="83"/>
  <c r="SZ27" i="83" s="1"/>
  <c r="SZ20" i="83"/>
  <c r="SZ24" i="83" s="1"/>
  <c r="SZ26" i="83" s="1"/>
  <c r="SZ21" i="83"/>
  <c r="SZ23" i="83" s="1"/>
  <c r="SZ22" i="83"/>
  <c r="PJ23" i="695"/>
  <c r="PJ24" i="695"/>
  <c r="PJ26" i="695" s="1"/>
  <c r="PJ28" i="695"/>
  <c r="PJ30" i="695"/>
  <c r="PC23" i="695"/>
  <c r="PC24" i="695"/>
  <c r="PC26" i="695" s="1"/>
  <c r="PC28" i="695"/>
  <c r="PC30" i="695"/>
  <c r="ST29" i="83"/>
  <c r="ST31" i="83"/>
  <c r="SV19" i="83"/>
  <c r="SV27" i="83" s="1"/>
  <c r="SV18" i="83"/>
  <c r="SV32" i="83" s="1"/>
  <c r="SV20" i="83"/>
  <c r="SV24" i="83" s="1"/>
  <c r="SV26" i="83" s="1"/>
  <c r="SV22" i="83"/>
  <c r="SV21" i="83"/>
  <c r="SV23" i="83" s="1"/>
  <c r="QH2" i="695"/>
  <c r="QH4" i="695"/>
  <c r="RB3" i="695"/>
  <c r="QH7" i="695"/>
  <c r="QH9" i="695"/>
  <c r="QH10" i="695"/>
  <c r="QH11" i="695"/>
  <c r="QH12" i="695"/>
  <c r="QH13" i="695"/>
  <c r="QH14" i="695"/>
  <c r="QH15" i="695"/>
  <c r="QH16" i="695"/>
  <c r="QH17" i="695"/>
  <c r="QH8" i="695"/>
  <c r="WM18" i="83"/>
  <c r="WM32" i="83" s="1"/>
  <c r="WM19" i="83"/>
  <c r="WM27" i="83" s="1"/>
  <c r="WM20" i="83"/>
  <c r="WM24" i="83" s="1"/>
  <c r="WM26" i="83" s="1"/>
  <c r="WM22" i="83"/>
  <c r="WM21" i="83"/>
  <c r="WM23" i="83" s="1"/>
  <c r="PO2" i="695"/>
  <c r="QI3" i="695"/>
  <c r="PO4" i="695"/>
  <c r="PO9" i="695"/>
  <c r="PO10" i="695"/>
  <c r="PO11" i="695"/>
  <c r="PO12" i="695"/>
  <c r="PO13" i="695"/>
  <c r="PO14" i="695"/>
  <c r="PO15" i="695"/>
  <c r="PO16" i="695"/>
  <c r="PO17" i="695"/>
  <c r="SU29" i="83"/>
  <c r="SU31" i="83"/>
  <c r="TM3" i="83"/>
  <c r="SS9" i="83"/>
  <c r="SS29" i="83" s="1"/>
  <c r="SS10" i="83"/>
  <c r="SS11" i="83"/>
  <c r="SS18" i="83" s="1"/>
  <c r="SS32" i="83" s="1"/>
  <c r="SS12" i="83"/>
  <c r="SS13" i="83"/>
  <c r="SS14" i="83"/>
  <c r="SS15" i="83"/>
  <c r="SS16" i="83"/>
  <c r="SS17" i="83"/>
  <c r="SP25" i="83"/>
  <c r="SP30" i="83"/>
  <c r="SP33" i="83"/>
  <c r="OF25" i="695"/>
  <c r="OF29" i="695"/>
  <c r="OF32" i="695"/>
  <c r="OU20" i="695"/>
  <c r="OU23" i="695"/>
  <c r="UZ3" i="83"/>
  <c r="UF9" i="83"/>
  <c r="UF10" i="83"/>
  <c r="UF11" i="83"/>
  <c r="UF12" i="83"/>
  <c r="UF13" i="83"/>
  <c r="UF14" i="83"/>
  <c r="UF15" i="83"/>
  <c r="UF16" i="83"/>
  <c r="UF17" i="83"/>
  <c r="UF7" i="83"/>
  <c r="UF8" i="83"/>
  <c r="OJ25" i="695"/>
  <c r="OJ29" i="695"/>
  <c r="OJ32" i="695"/>
  <c r="QC2" i="695"/>
  <c r="QC4" i="695"/>
  <c r="QW3" i="695"/>
  <c r="QC7" i="695"/>
  <c r="QC9" i="695"/>
  <c r="QC10" i="695"/>
  <c r="QC11" i="695"/>
  <c r="QC12" i="695"/>
  <c r="QC13" i="695"/>
  <c r="QC14" i="695"/>
  <c r="QC15" i="695"/>
  <c r="QC16" i="695"/>
  <c r="QC17" i="695"/>
  <c r="QC8" i="695"/>
  <c r="SZ29" i="83"/>
  <c r="SZ31" i="83"/>
  <c r="UX3" i="83"/>
  <c r="UD9" i="83"/>
  <c r="UD10" i="83"/>
  <c r="UD11" i="83"/>
  <c r="UD12" i="83"/>
  <c r="UD13" i="83"/>
  <c r="UD14" i="83"/>
  <c r="UD15" i="83"/>
  <c r="UD16" i="83"/>
  <c r="UD17" i="83"/>
  <c r="UD7" i="83"/>
  <c r="UD8" i="83"/>
  <c r="QD2" i="695"/>
  <c r="QX3" i="695"/>
  <c r="QD4" i="695"/>
  <c r="QD7" i="695"/>
  <c r="QD9" i="695"/>
  <c r="QD10" i="695"/>
  <c r="QD11" i="695"/>
  <c r="QD12" i="695"/>
  <c r="QD13" i="695"/>
  <c r="QD14" i="695"/>
  <c r="QD15" i="695"/>
  <c r="QD16" i="695"/>
  <c r="QD17" i="695"/>
  <c r="QD8" i="695"/>
  <c r="PW2" i="695"/>
  <c r="QQ3" i="695"/>
  <c r="PW4" i="695"/>
  <c r="PW7" i="695"/>
  <c r="PW9" i="695"/>
  <c r="PW10" i="695"/>
  <c r="PW11" i="695"/>
  <c r="PW12" i="695"/>
  <c r="PW13" i="695"/>
  <c r="PW14" i="695"/>
  <c r="PW15" i="695"/>
  <c r="PW16" i="695"/>
  <c r="PW17" i="695"/>
  <c r="PW8" i="695"/>
  <c r="US3" i="83"/>
  <c r="TY9" i="83"/>
  <c r="TY10" i="83"/>
  <c r="TY11" i="83"/>
  <c r="TY12" i="83"/>
  <c r="TY13" i="83"/>
  <c r="TY14" i="83"/>
  <c r="TY15" i="83"/>
  <c r="TY16" i="83"/>
  <c r="TY17" i="83"/>
  <c r="TY7" i="83"/>
  <c r="TY8" i="83"/>
  <c r="SV29" i="83"/>
  <c r="SV31" i="83"/>
  <c r="SC25" i="83"/>
  <c r="SC30" i="83"/>
  <c r="SC33" i="83"/>
  <c r="OQ25" i="695"/>
  <c r="OQ29" i="695"/>
  <c r="OQ32" i="695"/>
  <c r="SW19" i="83"/>
  <c r="SW27" i="83" s="1"/>
  <c r="SW20" i="83"/>
  <c r="SW24" i="83" s="1"/>
  <c r="SW26" i="83" s="1"/>
  <c r="SW18" i="83"/>
  <c r="SW32" i="83" s="1"/>
  <c r="SW22" i="83"/>
  <c r="SW21" i="83"/>
  <c r="SW23" i="83" s="1"/>
  <c r="OZ23" i="695"/>
  <c r="OZ24" i="695"/>
  <c r="OZ26" i="695" s="1"/>
  <c r="OZ28" i="695"/>
  <c r="OZ30" i="695"/>
  <c r="RZ25" i="83"/>
  <c r="RZ30" i="83"/>
  <c r="RZ33" i="83"/>
  <c r="TK19" i="83"/>
  <c r="TK27" i="83" s="1"/>
  <c r="TK18" i="83"/>
  <c r="TK32" i="83" s="1"/>
  <c r="TK20" i="83"/>
  <c r="TK24" i="83" s="1"/>
  <c r="TK26" i="83" s="1"/>
  <c r="TK22" i="83"/>
  <c r="TK21" i="83"/>
  <c r="TK23" i="83" s="1"/>
  <c r="PM18" i="695"/>
  <c r="PM31" i="695" s="1"/>
  <c r="PM19" i="695"/>
  <c r="PM27" i="695" s="1"/>
  <c r="PM20" i="695"/>
  <c r="PM21" i="695"/>
  <c r="PM22" i="695"/>
  <c r="OU22" i="695"/>
  <c r="RY21" i="83"/>
  <c r="RY24" i="83" s="1"/>
  <c r="RY26" i="83" s="1"/>
  <c r="PD18" i="695"/>
  <c r="PD31" i="695" s="1"/>
  <c r="PD19" i="695"/>
  <c r="PD27" i="695" s="1"/>
  <c r="PD20" i="695"/>
  <c r="PD22" i="695"/>
  <c r="PD21" i="695"/>
  <c r="PL24" i="695"/>
  <c r="PL26" i="695" s="1"/>
  <c r="PL23" i="695"/>
  <c r="PL28" i="695"/>
  <c r="PL30" i="695"/>
  <c r="PG23" i="695"/>
  <c r="PG24" i="695"/>
  <c r="PG26" i="695" s="1"/>
  <c r="PG28" i="695"/>
  <c r="PG30" i="695"/>
  <c r="UQ3" i="83"/>
  <c r="TW9" i="83"/>
  <c r="TW10" i="83"/>
  <c r="TW11" i="83"/>
  <c r="TW12" i="83"/>
  <c r="TW13" i="83"/>
  <c r="TW14" i="83"/>
  <c r="TW15" i="83"/>
  <c r="TW16" i="83"/>
  <c r="TW17" i="83"/>
  <c r="TW7" i="83"/>
  <c r="TW8" i="83"/>
  <c r="OY20" i="695"/>
  <c r="OY18" i="695"/>
  <c r="OY31" i="695" s="1"/>
  <c r="OY19" i="695"/>
  <c r="OY27" i="695" s="1"/>
  <c r="OY21" i="695"/>
  <c r="OY22" i="695"/>
  <c r="PA19" i="695"/>
  <c r="PA27" i="695" s="1"/>
  <c r="PA20" i="695"/>
  <c r="PA21" i="695"/>
  <c r="PA18" i="695"/>
  <c r="PA31" i="695" s="1"/>
  <c r="PA22" i="695"/>
  <c r="TI18" i="83"/>
  <c r="TI32" i="83" s="1"/>
  <c r="TI19" i="83"/>
  <c r="TI27" i="83" s="1"/>
  <c r="TI20" i="83"/>
  <c r="TI24" i="83" s="1"/>
  <c r="TI26" i="83" s="1"/>
  <c r="TI21" i="83"/>
  <c r="TI23" i="83" s="1"/>
  <c r="TI22" i="83"/>
  <c r="SQ25" i="83"/>
  <c r="SQ30" i="83"/>
  <c r="SQ33" i="83"/>
  <c r="OO25" i="695"/>
  <c r="OO29" i="695"/>
  <c r="OO32" i="695"/>
  <c r="PF20" i="695"/>
  <c r="PF18" i="695"/>
  <c r="PF31" i="695" s="1"/>
  <c r="PF21" i="695"/>
  <c r="PF22" i="695"/>
  <c r="PF19" i="695"/>
  <c r="PF27" i="695" s="1"/>
  <c r="PK21" i="695"/>
  <c r="PK19" i="695"/>
  <c r="PK27" i="695" s="1"/>
  <c r="PK18" i="695"/>
  <c r="PK31" i="695" s="1"/>
  <c r="PK22" i="695"/>
  <c r="PK20" i="695"/>
  <c r="UH3" i="83"/>
  <c r="TN9" i="83"/>
  <c r="TN10" i="83"/>
  <c r="TN11" i="83"/>
  <c r="TN12" i="83"/>
  <c r="TN13" i="83"/>
  <c r="TN14" i="83"/>
  <c r="TN15" i="83"/>
  <c r="TN16" i="83"/>
  <c r="TN17" i="83"/>
  <c r="TN7" i="83"/>
  <c r="TN8" i="83"/>
  <c r="TD19" i="83"/>
  <c r="TD27" i="83" s="1"/>
  <c r="TD18" i="83"/>
  <c r="TD32" i="83" s="1"/>
  <c r="TD20" i="83"/>
  <c r="TD24" i="83" s="1"/>
  <c r="TD26" i="83" s="1"/>
  <c r="TD22" i="83"/>
  <c r="TD21" i="83"/>
  <c r="TD23" i="83" s="1"/>
  <c r="SI25" i="83"/>
  <c r="SI30" i="83"/>
  <c r="SI33" i="83"/>
  <c r="SE25" i="83"/>
  <c r="SE30" i="83"/>
  <c r="SE33" i="83"/>
  <c r="SW29" i="83"/>
  <c r="SW31" i="83"/>
  <c r="QN3" i="695"/>
  <c r="PT4" i="695"/>
  <c r="PT2" i="695"/>
  <c r="PT7" i="695"/>
  <c r="PT9" i="695"/>
  <c r="PT10" i="695"/>
  <c r="PT11" i="695"/>
  <c r="PT12" i="695"/>
  <c r="PT13" i="695"/>
  <c r="PT14" i="695"/>
  <c r="PT15" i="695"/>
  <c r="PT16" i="695"/>
  <c r="PT17" i="695"/>
  <c r="PT8" i="695"/>
  <c r="TK29" i="83"/>
  <c r="TK31" i="83"/>
  <c r="UI3" i="83"/>
  <c r="TO9" i="83"/>
  <c r="TO10" i="83"/>
  <c r="TO11" i="83"/>
  <c r="TO12" i="83"/>
  <c r="TO13" i="83"/>
  <c r="TO14" i="83"/>
  <c r="TO15" i="83"/>
  <c r="TO16" i="83"/>
  <c r="TO17" i="83"/>
  <c r="TO7" i="83"/>
  <c r="TO8" i="83"/>
  <c r="TB19" i="83"/>
  <c r="TB27" i="83" s="1"/>
  <c r="TB18" i="83"/>
  <c r="TB32" i="83" s="1"/>
  <c r="TB20" i="83"/>
  <c r="TB24" i="83" s="1"/>
  <c r="TB26" i="83" s="1"/>
  <c r="TB22" i="83"/>
  <c r="TB21" i="83"/>
  <c r="TB23" i="83" s="1"/>
  <c r="OU18" i="695"/>
  <c r="OU31" i="695" s="1"/>
  <c r="RY22" i="83"/>
  <c r="PD24" i="695"/>
  <c r="PD26" i="695" s="1"/>
  <c r="PD23" i="695"/>
  <c r="PD28" i="695"/>
  <c r="PD30" i="695"/>
  <c r="QF4" i="695"/>
  <c r="QZ3" i="695"/>
  <c r="QF2" i="695"/>
  <c r="QF7" i="695"/>
  <c r="QF9" i="695"/>
  <c r="QF10" i="695"/>
  <c r="QF11" i="695"/>
  <c r="QF12" i="695"/>
  <c r="QF13" i="695"/>
  <c r="QF14" i="695"/>
  <c r="QF15" i="695"/>
  <c r="QF16" i="695"/>
  <c r="QF17" i="695"/>
  <c r="QF8" i="695"/>
  <c r="OI25" i="695"/>
  <c r="OI29" i="695"/>
  <c r="OI32" i="695"/>
  <c r="QA2" i="695"/>
  <c r="QU3" i="695"/>
  <c r="QA4" i="695"/>
  <c r="QA7" i="695"/>
  <c r="QA9" i="695"/>
  <c r="QA10" i="695"/>
  <c r="QA11" i="695"/>
  <c r="QA12" i="695"/>
  <c r="QA13" i="695"/>
  <c r="QA14" i="695"/>
  <c r="QA15" i="695"/>
  <c r="QA16" i="695"/>
  <c r="QA17" i="695"/>
  <c r="QA8" i="695"/>
  <c r="TA18" i="83"/>
  <c r="TA32" i="83" s="1"/>
  <c r="TA19" i="83"/>
  <c r="TA27" i="83" s="1"/>
  <c r="TA20" i="83"/>
  <c r="TA24" i="83" s="1"/>
  <c r="TA26" i="83" s="1"/>
  <c r="TA21" i="83"/>
  <c r="TA23" i="83" s="1"/>
  <c r="TA22" i="83"/>
  <c r="OX20" i="695"/>
  <c r="OX18" i="695"/>
  <c r="OX31" i="695" s="1"/>
  <c r="OX21" i="695"/>
  <c r="OX19" i="695"/>
  <c r="OX27" i="695" s="1"/>
  <c r="OX22" i="695"/>
  <c r="TI29" i="83"/>
  <c r="TI31" i="83"/>
  <c r="OG25" i="695"/>
  <c r="OG29" i="695"/>
  <c r="OG32" i="695"/>
  <c r="UN3" i="83"/>
  <c r="TT9" i="83"/>
  <c r="TT10" i="83"/>
  <c r="TT11" i="83"/>
  <c r="TT12" i="83"/>
  <c r="TT13" i="83"/>
  <c r="TT14" i="83"/>
  <c r="TT15" i="83"/>
  <c r="TT16" i="83"/>
  <c r="TT17" i="83"/>
  <c r="TT7" i="83"/>
  <c r="TT8" i="83"/>
  <c r="TJ19" i="83"/>
  <c r="TJ27" i="83" s="1"/>
  <c r="TJ18" i="83"/>
  <c r="TJ32" i="83" s="1"/>
  <c r="TJ20" i="83"/>
  <c r="TJ24" i="83" s="1"/>
  <c r="TJ26" i="83" s="1"/>
  <c r="TJ22" i="83"/>
  <c r="TJ21" i="83"/>
  <c r="TJ23" i="83" s="1"/>
  <c r="TG18" i="83"/>
  <c r="TG32" i="83" s="1"/>
  <c r="TG19" i="83"/>
  <c r="TG27" i="83" s="1"/>
  <c r="TG20" i="83"/>
  <c r="TG24" i="83" s="1"/>
  <c r="TG26" i="83" s="1"/>
  <c r="TG21" i="83"/>
  <c r="TG23" i="83" s="1"/>
  <c r="TG22" i="83"/>
  <c r="SR25" i="83"/>
  <c r="SR30" i="83"/>
  <c r="SR33" i="83"/>
  <c r="TD29" i="83"/>
  <c r="TD31" i="83"/>
  <c r="UJ3" i="83"/>
  <c r="TP9" i="83"/>
  <c r="TP10" i="83"/>
  <c r="TP11" i="83"/>
  <c r="TP12" i="83"/>
  <c r="TP13" i="83"/>
  <c r="TP14" i="83"/>
  <c r="TP15" i="83"/>
  <c r="TP16" i="83"/>
  <c r="TP17" i="83"/>
  <c r="TP7" i="83"/>
  <c r="TP8" i="83"/>
  <c r="SO25" i="83"/>
  <c r="SO30" i="83"/>
  <c r="SO33" i="83"/>
  <c r="OV18" i="695"/>
  <c r="OV31" i="695" s="1"/>
  <c r="OV19" i="695"/>
  <c r="OV27" i="695" s="1"/>
  <c r="OV20" i="695"/>
  <c r="OV21" i="695"/>
  <c r="OV22" i="695"/>
  <c r="SY18" i="83"/>
  <c r="SY32" i="83" s="1"/>
  <c r="SY19" i="83"/>
  <c r="SY27" i="83" s="1"/>
  <c r="SY20" i="83"/>
  <c r="SY24" i="83" s="1"/>
  <c r="SY26" i="83" s="1"/>
  <c r="SY21" i="83"/>
  <c r="SY23" i="83" s="1"/>
  <c r="SY22" i="83"/>
  <c r="WM29" i="83"/>
  <c r="WM31" i="83"/>
  <c r="TH18" i="83"/>
  <c r="TH32" i="83" s="1"/>
  <c r="TH19" i="83"/>
  <c r="TH27" i="83" s="1"/>
  <c r="TH20" i="83"/>
  <c r="TH24" i="83" s="1"/>
  <c r="TH26" i="83" s="1"/>
  <c r="TH21" i="83"/>
  <c r="TH23" i="83" s="1"/>
  <c r="TH22" i="83"/>
  <c r="PE18" i="695"/>
  <c r="PE31" i="695" s="1"/>
  <c r="PE21" i="695"/>
  <c r="PE19" i="695"/>
  <c r="PE27" i="695" s="1"/>
  <c r="PE20" i="695"/>
  <c r="PE22" i="695"/>
  <c r="PM24" i="695"/>
  <c r="PM26" i="695" s="1"/>
  <c r="PM23" i="695"/>
  <c r="PM28" i="695"/>
  <c r="PM30" i="695"/>
  <c r="TB29" i="83"/>
  <c r="TB31" i="83"/>
  <c r="OW18" i="695"/>
  <c r="OW31" i="695" s="1"/>
  <c r="OW21" i="695"/>
  <c r="OW19" i="695"/>
  <c r="OW27" i="695" s="1"/>
  <c r="OW20" i="695"/>
  <c r="OW22" i="695"/>
  <c r="OU19" i="695"/>
  <c r="OU27" i="695" s="1"/>
  <c r="RY20" i="83"/>
  <c r="RY23" i="83" s="1"/>
  <c r="PX4" i="695"/>
  <c r="QR3" i="695"/>
  <c r="PX2" i="695"/>
  <c r="PX7" i="695"/>
  <c r="PX9" i="695"/>
  <c r="PX10" i="695"/>
  <c r="PX11" i="695"/>
  <c r="PX12" i="695"/>
  <c r="PX13" i="695"/>
  <c r="PX14" i="695"/>
  <c r="PX15" i="695"/>
  <c r="PX16" i="695"/>
  <c r="PX17" i="695"/>
  <c r="PX8" i="695"/>
  <c r="TL19" i="83"/>
  <c r="TL27" i="83" s="1"/>
  <c r="TL18" i="83"/>
  <c r="TL32" i="83" s="1"/>
  <c r="TL22" i="83"/>
  <c r="TL20" i="83"/>
  <c r="TL24" i="83" s="1"/>
  <c r="TL26" i="83" s="1"/>
  <c r="TL21" i="83"/>
  <c r="TL23" i="83" s="1"/>
  <c r="SA25" i="83"/>
  <c r="SA30" i="83"/>
  <c r="SA33" i="83"/>
  <c r="PH20" i="695"/>
  <c r="PH18" i="695"/>
  <c r="PH31" i="695" s="1"/>
  <c r="PH19" i="695"/>
  <c r="PH27" i="695" s="1"/>
  <c r="PH22" i="695"/>
  <c r="PH21" i="695"/>
  <c r="TA29" i="83"/>
  <c r="TA31" i="83"/>
  <c r="OY23" i="695"/>
  <c r="OY24" i="695"/>
  <c r="OY26" i="695" s="1"/>
  <c r="OY28" i="695"/>
  <c r="OY30" i="695"/>
  <c r="PA23" i="695"/>
  <c r="PA24" i="695"/>
  <c r="PA26" i="695" s="1"/>
  <c r="PA28" i="695"/>
  <c r="PA30" i="695"/>
  <c r="SL25" i="83"/>
  <c r="SL30" i="83"/>
  <c r="SL33" i="83"/>
  <c r="OR25" i="695"/>
  <c r="OR29" i="695"/>
  <c r="OR32" i="695"/>
  <c r="PB19" i="695"/>
  <c r="PB27" i="695" s="1"/>
  <c r="PB20" i="695"/>
  <c r="PB18" i="695"/>
  <c r="PB31" i="695" s="1"/>
  <c r="PB22" i="695"/>
  <c r="PB21" i="695"/>
  <c r="WL18" i="83"/>
  <c r="WL32" i="83" s="1"/>
  <c r="WL19" i="83"/>
  <c r="WL27" i="83" s="1"/>
  <c r="WL20" i="83"/>
  <c r="WL24" i="83" s="1"/>
  <c r="WL26" i="83" s="1"/>
  <c r="WL21" i="83"/>
  <c r="WL23" i="83" s="1"/>
  <c r="WL22" i="83"/>
  <c r="PF24" i="695"/>
  <c r="PF26" i="695" s="1"/>
  <c r="PF23" i="695"/>
  <c r="PF28" i="695"/>
  <c r="PF30" i="695"/>
  <c r="PK23" i="695"/>
  <c r="PK24" i="695"/>
  <c r="PK26" i="695" s="1"/>
  <c r="PK28" i="695"/>
  <c r="PK30" i="695"/>
  <c r="TG29" i="83"/>
  <c r="TG31" i="83"/>
  <c r="OH25" i="695"/>
  <c r="OH29" i="695"/>
  <c r="OH32" i="695"/>
  <c r="UK3" i="83"/>
  <c r="TQ9" i="83"/>
  <c r="TQ10" i="83"/>
  <c r="TQ11" i="83"/>
  <c r="TQ12" i="83"/>
  <c r="TQ13" i="83"/>
  <c r="TQ14" i="83"/>
  <c r="TQ15" i="83"/>
  <c r="TQ16" i="83"/>
  <c r="TQ17" i="83"/>
  <c r="TQ7" i="83"/>
  <c r="TQ8" i="83"/>
  <c r="SX18" i="83"/>
  <c r="SX32" i="83" s="1"/>
  <c r="SX19" i="83"/>
  <c r="SX27" i="83" s="1"/>
  <c r="SX20" i="83"/>
  <c r="SX24" i="83" s="1"/>
  <c r="SX26" i="83" s="1"/>
  <c r="SX21" i="83"/>
  <c r="SX23" i="83" s="1"/>
  <c r="SX22" i="83"/>
  <c r="SY29" i="83"/>
  <c r="SY31" i="83"/>
  <c r="TF19" i="83"/>
  <c r="TF27" i="83" s="1"/>
  <c r="TF20" i="83"/>
  <c r="TF24" i="83" s="1"/>
  <c r="TF26" i="83" s="1"/>
  <c r="TF18" i="83"/>
  <c r="TF32" i="83" s="1"/>
  <c r="TF21" i="83"/>
  <c r="TF23" i="83" s="1"/>
  <c r="TF22" i="83"/>
  <c r="TH29" i="83"/>
  <c r="TH31" i="83"/>
  <c r="QG4" i="695"/>
  <c r="QG2" i="695"/>
  <c r="RA3" i="695"/>
  <c r="QG7" i="695"/>
  <c r="QG9" i="695"/>
  <c r="QG10" i="695"/>
  <c r="QG11" i="695"/>
  <c r="QG12" i="695"/>
  <c r="QG13" i="695"/>
  <c r="QG14" i="695"/>
  <c r="QG15" i="695"/>
  <c r="QG16" i="695"/>
  <c r="QG17" i="695"/>
  <c r="QG8" i="695"/>
  <c r="OU21" i="695"/>
  <c r="RY19" i="83"/>
  <c r="RY27" i="83" s="1"/>
  <c r="WN29" i="83"/>
  <c r="WN31" i="83"/>
  <c r="OX24" i="695"/>
  <c r="OX26" i="695" s="1"/>
  <c r="OX23" i="695"/>
  <c r="OX28" i="695"/>
  <c r="OX30" i="695"/>
  <c r="PS2" i="695"/>
  <c r="QM3" i="695"/>
  <c r="PS4" i="695"/>
  <c r="PS7" i="695"/>
  <c r="PS9" i="695"/>
  <c r="PS10" i="695"/>
  <c r="PS11" i="695"/>
  <c r="PS12" i="695"/>
  <c r="PS13" i="695"/>
  <c r="PS14" i="695"/>
  <c r="PS15" i="695"/>
  <c r="PS16" i="695"/>
  <c r="PS17" i="695"/>
  <c r="PS8" i="695"/>
  <c r="PU2" i="695"/>
  <c r="PU4" i="695"/>
  <c r="QO3" i="695"/>
  <c r="PU7" i="695"/>
  <c r="PU9" i="695"/>
  <c r="PU10" i="695"/>
  <c r="PU11" i="695"/>
  <c r="PU12" i="695"/>
  <c r="PU13" i="695"/>
  <c r="PU14" i="695"/>
  <c r="PU15" i="695"/>
  <c r="PU16" i="695"/>
  <c r="PU17" i="695"/>
  <c r="PU8" i="695"/>
  <c r="UW3" i="83"/>
  <c r="UC9" i="83"/>
  <c r="UC10" i="83"/>
  <c r="UC11" i="83"/>
  <c r="UC12" i="83"/>
  <c r="UC13" i="83"/>
  <c r="UC14" i="83"/>
  <c r="UC15" i="83"/>
  <c r="UC16" i="83"/>
  <c r="UC17" i="83"/>
  <c r="UC7" i="83"/>
  <c r="UC8" i="83"/>
  <c r="WL29" i="83"/>
  <c r="WL31" i="83"/>
  <c r="OC25" i="695"/>
  <c r="OC29" i="695"/>
  <c r="OC32" i="695"/>
  <c r="PZ2" i="695"/>
  <c r="PZ4" i="695"/>
  <c r="QT3" i="695"/>
  <c r="PZ7" i="695"/>
  <c r="PZ9" i="695"/>
  <c r="PZ10" i="695"/>
  <c r="PZ11" i="695"/>
  <c r="PZ12" i="695"/>
  <c r="PZ13" i="695"/>
  <c r="PZ14" i="695"/>
  <c r="PZ15" i="695"/>
  <c r="PZ16" i="695"/>
  <c r="PZ17" i="695"/>
  <c r="PZ8" i="695"/>
  <c r="QE2" i="695"/>
  <c r="QY3" i="695"/>
  <c r="QE4" i="695"/>
  <c r="QE7" i="695"/>
  <c r="QE9" i="695"/>
  <c r="QE10" i="695"/>
  <c r="QE11" i="695"/>
  <c r="QE12" i="695"/>
  <c r="QE13" i="695"/>
  <c r="QE14" i="695"/>
  <c r="QE15" i="695"/>
  <c r="QE16" i="695"/>
  <c r="QE17" i="695"/>
  <c r="QE8" i="695"/>
  <c r="UR3" i="83"/>
  <c r="TX9" i="83"/>
  <c r="TX10" i="83"/>
  <c r="TX11" i="83"/>
  <c r="TX12" i="83"/>
  <c r="TX13" i="83"/>
  <c r="TX14" i="83"/>
  <c r="TX15" i="83"/>
  <c r="TX16" i="83"/>
  <c r="TX17" i="83"/>
  <c r="TX7" i="83"/>
  <c r="TX8" i="83"/>
  <c r="SG25" i="83"/>
  <c r="SG30" i="83"/>
  <c r="SG33" i="83"/>
  <c r="SJ25" i="83"/>
  <c r="SJ30" i="83"/>
  <c r="SJ33" i="83"/>
  <c r="SD25" i="83"/>
  <c r="SD30" i="83"/>
  <c r="SD33" i="83"/>
  <c r="PN20" i="695"/>
  <c r="PN18" i="695"/>
  <c r="PN31" i="695" s="1"/>
  <c r="PN21" i="695"/>
  <c r="PN22" i="695"/>
  <c r="PN19" i="695"/>
  <c r="PN27" i="695" s="1"/>
  <c r="SX29" i="83"/>
  <c r="SX31" i="83"/>
  <c r="OV24" i="695"/>
  <c r="OV26" i="695" s="1"/>
  <c r="OV23" i="695"/>
  <c r="OV28" i="695"/>
  <c r="OV30" i="695"/>
  <c r="TF29" i="83"/>
  <c r="TF31" i="83"/>
  <c r="PE24" i="695"/>
  <c r="PE26" i="695" s="1"/>
  <c r="PE23" i="695"/>
  <c r="PE28" i="695"/>
  <c r="PE30" i="695"/>
  <c r="UP3" i="83"/>
  <c r="TV9" i="83"/>
  <c r="TV10" i="83"/>
  <c r="TV11" i="83"/>
  <c r="TV12" i="83"/>
  <c r="TV13" i="83"/>
  <c r="TV14" i="83"/>
  <c r="TV15" i="83"/>
  <c r="TV16" i="83"/>
  <c r="TV17" i="83"/>
  <c r="TV7" i="83"/>
  <c r="TV8" i="83"/>
  <c r="OW24" i="695"/>
  <c r="OW26" i="695" s="1"/>
  <c r="OW23" i="695"/>
  <c r="OW28" i="695"/>
  <c r="OW30" i="695"/>
  <c r="OB25" i="695"/>
  <c r="OB29" i="695"/>
  <c r="OB32" i="695"/>
  <c r="SK25" i="83"/>
  <c r="SK30" i="83"/>
  <c r="SK33" i="83"/>
  <c r="OS25" i="695"/>
  <c r="OS29" i="695"/>
  <c r="OS32" i="695"/>
  <c r="RY18" i="83"/>
  <c r="RY32" i="83" s="1"/>
  <c r="WN18" i="83"/>
  <c r="WN32" i="83" s="1"/>
  <c r="WN19" i="83"/>
  <c r="WN27" i="83" s="1"/>
  <c r="WN20" i="83"/>
  <c r="WN24" i="83" s="1"/>
  <c r="WN26" i="83" s="1"/>
  <c r="WN21" i="83"/>
  <c r="WN23" i="83" s="1"/>
  <c r="WN22" i="83"/>
  <c r="TL29" i="83"/>
  <c r="TL31" i="83"/>
  <c r="PH23" i="695"/>
  <c r="PH24" i="695"/>
  <c r="PH26" i="695" s="1"/>
  <c r="PH28" i="695"/>
  <c r="PH30" i="695"/>
  <c r="SH25" i="83"/>
  <c r="SH30" i="83"/>
  <c r="SH33" i="83"/>
  <c r="UO3" i="83"/>
  <c r="TU9" i="83"/>
  <c r="TU10" i="83"/>
  <c r="TU11" i="83"/>
  <c r="TU12" i="83"/>
  <c r="TU13" i="83"/>
  <c r="TU14" i="83"/>
  <c r="TU15" i="83"/>
  <c r="TU16" i="83"/>
  <c r="TU17" i="83"/>
  <c r="TU7" i="83"/>
  <c r="TU8" i="83"/>
  <c r="PR2" i="695"/>
  <c r="PR4" i="695"/>
  <c r="QL3" i="695"/>
  <c r="PR7" i="695"/>
  <c r="PR9" i="695"/>
  <c r="PR10" i="695"/>
  <c r="PR11" i="695"/>
  <c r="PR12" i="695"/>
  <c r="PR13" i="695"/>
  <c r="PR14" i="695"/>
  <c r="PR15" i="695"/>
  <c r="PR16" i="695"/>
  <c r="PR17" i="695"/>
  <c r="PR8" i="695"/>
  <c r="PI19" i="695"/>
  <c r="PI27" i="695" s="1"/>
  <c r="PI20" i="695"/>
  <c r="PI21" i="695"/>
  <c r="PI18" i="695"/>
  <c r="PI31" i="695" s="1"/>
  <c r="PI22" i="695"/>
  <c r="SB25" i="83"/>
  <c r="SB30" i="83"/>
  <c r="SB33" i="83"/>
  <c r="PB23" i="695"/>
  <c r="PB24" i="695"/>
  <c r="PB26" i="695" s="1"/>
  <c r="PB28" i="695"/>
  <c r="PB30" i="695"/>
  <c r="TJ29" i="83"/>
  <c r="TJ31" i="83"/>
  <c r="SM25" i="83"/>
  <c r="SM30" i="83"/>
  <c r="SM33" i="83"/>
  <c r="OK25" i="695"/>
  <c r="OK29" i="695"/>
  <c r="OK32" i="695"/>
  <c r="PJ19" i="695"/>
  <c r="PJ27" i="695" s="1"/>
  <c r="PJ20" i="695"/>
  <c r="PJ18" i="695"/>
  <c r="PJ31" i="695" s="1"/>
  <c r="PJ22" i="695"/>
  <c r="PJ21" i="695"/>
  <c r="PC21" i="695"/>
  <c r="PC19" i="695"/>
  <c r="PC27" i="695" s="1"/>
  <c r="PC18" i="695"/>
  <c r="PC31" i="695" s="1"/>
  <c r="PC22" i="695"/>
  <c r="PC20" i="695"/>
  <c r="TE19" i="83"/>
  <c r="TE27" i="83" s="1"/>
  <c r="TE18" i="83"/>
  <c r="TE32" i="83" s="1"/>
  <c r="TE20" i="83"/>
  <c r="TE24" i="83" s="1"/>
  <c r="TE26" i="83" s="1"/>
  <c r="TE22" i="83"/>
  <c r="TE21" i="83"/>
  <c r="TE23" i="83" s="1"/>
  <c r="UU3" i="83"/>
  <c r="UA9" i="83"/>
  <c r="UA10" i="83"/>
  <c r="UA11" i="83"/>
  <c r="UA12" i="83"/>
  <c r="UA13" i="83"/>
  <c r="UA14" i="83"/>
  <c r="UA15" i="83"/>
  <c r="UA16" i="83"/>
  <c r="UA17" i="83"/>
  <c r="UA7" i="83"/>
  <c r="UA8" i="83"/>
  <c r="PP4" i="695"/>
  <c r="QJ3" i="695"/>
  <c r="PP2" i="695"/>
  <c r="PP7" i="695"/>
  <c r="PP9" i="695"/>
  <c r="PP10" i="695"/>
  <c r="PP11" i="695"/>
  <c r="PP12" i="695"/>
  <c r="PP13" i="695"/>
  <c r="PP14" i="695"/>
  <c r="PP15" i="695"/>
  <c r="PP16" i="695"/>
  <c r="PP17" i="695"/>
  <c r="PP8" i="695"/>
  <c r="UM3" i="83"/>
  <c r="TS9" i="83"/>
  <c r="TS10" i="83"/>
  <c r="TS11" i="83"/>
  <c r="TS12" i="83"/>
  <c r="TS13" i="83"/>
  <c r="TS14" i="83"/>
  <c r="TS15" i="83"/>
  <c r="TS16" i="83"/>
  <c r="TS17" i="83"/>
  <c r="TS7" i="83"/>
  <c r="TS8" i="83"/>
  <c r="UY3" i="83"/>
  <c r="UE9" i="83"/>
  <c r="UE10" i="83"/>
  <c r="UE11" i="83"/>
  <c r="UE12" i="83"/>
  <c r="UE13" i="83"/>
  <c r="UE14" i="83"/>
  <c r="UE15" i="83"/>
  <c r="UE16" i="83"/>
  <c r="UE17" i="83"/>
  <c r="UE7" i="83"/>
  <c r="UE8" i="83"/>
  <c r="UV3" i="83"/>
  <c r="UB9" i="83"/>
  <c r="UB10" i="83"/>
  <c r="UB11" i="83"/>
  <c r="UB12" i="83"/>
  <c r="UB13" i="83"/>
  <c r="UB14" i="83"/>
  <c r="UB15" i="83"/>
  <c r="UB16" i="83"/>
  <c r="UB17" i="83"/>
  <c r="UB7" i="83"/>
  <c r="UB8" i="83"/>
  <c r="SF25" i="83"/>
  <c r="SF30" i="83"/>
  <c r="SF33" i="83"/>
  <c r="OT25" i="695"/>
  <c r="OT29" i="695"/>
  <c r="OT32" i="695"/>
  <c r="PY4" i="695"/>
  <c r="PY2" i="695"/>
  <c r="QS3" i="695"/>
  <c r="PY7" i="695"/>
  <c r="PY9" i="695"/>
  <c r="PY10" i="695"/>
  <c r="PY11" i="695"/>
  <c r="PY12" i="695"/>
  <c r="PY13" i="695"/>
  <c r="PY14" i="695"/>
  <c r="PY15" i="695"/>
  <c r="PY16" i="695"/>
  <c r="PY17" i="695"/>
  <c r="PY8" i="695"/>
  <c r="PQ4" i="695"/>
  <c r="PQ2" i="695"/>
  <c r="QK3" i="695"/>
  <c r="PQ7" i="695"/>
  <c r="PQ9" i="695"/>
  <c r="PQ10" i="695"/>
  <c r="PQ11" i="695"/>
  <c r="PQ12" i="695"/>
  <c r="PQ13" i="695"/>
  <c r="PQ14" i="695"/>
  <c r="PQ15" i="695"/>
  <c r="PQ16" i="695"/>
  <c r="PQ17" i="695"/>
  <c r="PQ8" i="695"/>
  <c r="OU28" i="695"/>
  <c r="OP25" i="695"/>
  <c r="OP29" i="695"/>
  <c r="OP32" i="695"/>
  <c r="OL25" i="695"/>
  <c r="OL29" i="695"/>
  <c r="OL32" i="695"/>
  <c r="QV3" i="695"/>
  <c r="QB4" i="695"/>
  <c r="QB2" i="695"/>
  <c r="QB7" i="695"/>
  <c r="QB9" i="695"/>
  <c r="QB10" i="695"/>
  <c r="QB11" i="695"/>
  <c r="QB12" i="695"/>
  <c r="QB13" i="695"/>
  <c r="QB14" i="695"/>
  <c r="QB15" i="695"/>
  <c r="QB16" i="695"/>
  <c r="QB17" i="695"/>
  <c r="QB8" i="695"/>
  <c r="OD25" i="695"/>
  <c r="OD29" i="695"/>
  <c r="OD32" i="695"/>
  <c r="TC19" i="83"/>
  <c r="TC27" i="83" s="1"/>
  <c r="TC18" i="83"/>
  <c r="TC32" i="83" s="1"/>
  <c r="TC20" i="83"/>
  <c r="TC24" i="83" s="1"/>
  <c r="TC26" i="83" s="1"/>
  <c r="TC22" i="83"/>
  <c r="TC21" i="83"/>
  <c r="TC23" i="83" s="1"/>
  <c r="ON25" i="695"/>
  <c r="ON29" i="695"/>
  <c r="ON32" i="695"/>
  <c r="OM29" i="695"/>
  <c r="OM25" i="695"/>
  <c r="OM32" i="695"/>
  <c r="PV2" i="695"/>
  <c r="QP3" i="695"/>
  <c r="PV4" i="695"/>
  <c r="PV7" i="695"/>
  <c r="PV9" i="695"/>
  <c r="PV10" i="695"/>
  <c r="PV11" i="695"/>
  <c r="PV12" i="695"/>
  <c r="PV13" i="695"/>
  <c r="PV14" i="695"/>
  <c r="PV15" i="695"/>
  <c r="PV16" i="695"/>
  <c r="PV17" i="695"/>
  <c r="PV8" i="695"/>
  <c r="TE29" i="83"/>
  <c r="TE31" i="83"/>
  <c r="ST19" i="83"/>
  <c r="ST27" i="83" s="1"/>
  <c r="ST18" i="83"/>
  <c r="ST32" i="83" s="1"/>
  <c r="ST20" i="83"/>
  <c r="ST24" i="83" s="1"/>
  <c r="ST26" i="83" s="1"/>
  <c r="ST22" i="83"/>
  <c r="ST21" i="83"/>
  <c r="ST23" i="83" s="1"/>
  <c r="PN24" i="695"/>
  <c r="PN26" i="695" s="1"/>
  <c r="PN23" i="695"/>
  <c r="PN28" i="695"/>
  <c r="PN30" i="695"/>
  <c r="UL3" i="83"/>
  <c r="TR9" i="83"/>
  <c r="TR10" i="83"/>
  <c r="TR11" i="83"/>
  <c r="TR12" i="83"/>
  <c r="TR13" i="83"/>
  <c r="TR14" i="83"/>
  <c r="TR15" i="83"/>
  <c r="TR16" i="83"/>
  <c r="TR17" i="83"/>
  <c r="TR7" i="83"/>
  <c r="TR8" i="83"/>
  <c r="OZ20" i="695"/>
  <c r="OZ18" i="695"/>
  <c r="OZ31" i="695" s="1"/>
  <c r="OZ19" i="695"/>
  <c r="OZ27" i="695" s="1"/>
  <c r="OZ21" i="695"/>
  <c r="OZ22" i="695"/>
  <c r="UT3" i="83"/>
  <c r="TZ9" i="83"/>
  <c r="TZ10" i="83"/>
  <c r="TZ11" i="83"/>
  <c r="TZ12" i="83"/>
  <c r="TZ13" i="83"/>
  <c r="TZ14" i="83"/>
  <c r="TZ15" i="83"/>
  <c r="TZ16" i="83"/>
  <c r="TZ17" i="83"/>
  <c r="TZ7" i="83"/>
  <c r="TZ8" i="83"/>
  <c r="W28" i="27" a="1"/>
  <c r="W28" i="27" s="1"/>
  <c r="X29" i="27"/>
  <c r="SU19" i="83"/>
  <c r="SU27" i="83" s="1"/>
  <c r="SU18" i="83"/>
  <c r="SU32" i="83" s="1"/>
  <c r="SU20" i="83"/>
  <c r="SU24" i="83" s="1"/>
  <c r="SU26" i="83" s="1"/>
  <c r="SU22" i="83"/>
  <c r="SU21" i="83"/>
  <c r="SU23" i="83" s="1"/>
  <c r="TM8" i="83"/>
  <c r="TM7" i="83"/>
  <c r="QI8" i="695"/>
  <c r="QI7" i="695"/>
  <c r="PO7" i="695"/>
  <c r="PO8" i="695"/>
  <c r="PO20" i="695" l="1"/>
  <c r="PO23" i="695" s="1"/>
  <c r="PO18" i="695"/>
  <c r="PO31" i="695" s="1"/>
  <c r="PO19" i="695"/>
  <c r="PO27" i="695" s="1"/>
  <c r="PO21" i="695"/>
  <c r="PO24" i="695" s="1"/>
  <c r="PO26" i="695" s="1"/>
  <c r="PO22" i="695"/>
  <c r="PO28" i="695"/>
  <c r="PO30" i="695"/>
  <c r="QI28" i="695"/>
  <c r="QI30" i="695"/>
  <c r="TM31" i="83"/>
  <c r="PQ19" i="695"/>
  <c r="PQ27" i="695" s="1"/>
  <c r="PQ20" i="695"/>
  <c r="PQ23" i="695" s="1"/>
  <c r="PQ18" i="695"/>
  <c r="PQ31" i="695" s="1"/>
  <c r="PQ21" i="695"/>
  <c r="PQ24" i="695" s="1"/>
  <c r="PQ26" i="695" s="1"/>
  <c r="PQ22" i="695"/>
  <c r="OY25" i="695"/>
  <c r="OY29" i="695"/>
  <c r="OY32" i="695"/>
  <c r="PX20" i="695"/>
  <c r="PX23" i="695" s="1"/>
  <c r="PX18" i="695"/>
  <c r="PX31" i="695" s="1"/>
  <c r="PX19" i="695"/>
  <c r="PX27" i="695" s="1"/>
  <c r="PX21" i="695"/>
  <c r="PX24" i="695" s="1"/>
  <c r="PX26" i="695" s="1"/>
  <c r="PX22" i="695"/>
  <c r="TT29" i="83"/>
  <c r="TT31" i="83"/>
  <c r="TD25" i="83"/>
  <c r="TD30" i="83"/>
  <c r="TD33" i="83"/>
  <c r="VB3" i="83"/>
  <c r="UH9" i="83"/>
  <c r="UH10" i="83"/>
  <c r="UH11" i="83"/>
  <c r="UH12" i="83"/>
  <c r="UH13" i="83"/>
  <c r="UH14" i="83"/>
  <c r="UH15" i="83"/>
  <c r="UH16" i="83"/>
  <c r="UH17" i="83"/>
  <c r="UH7" i="83"/>
  <c r="UH8" i="83"/>
  <c r="TW19" i="83"/>
  <c r="TW27" i="83" s="1"/>
  <c r="TW18" i="83"/>
  <c r="TW32" i="83" s="1"/>
  <c r="TW20" i="83"/>
  <c r="TW23" i="83" s="1"/>
  <c r="TW21" i="83"/>
  <c r="TW24" i="83" s="1"/>
  <c r="TW26" i="83" s="1"/>
  <c r="TW22" i="83"/>
  <c r="TK25" i="83"/>
  <c r="TK30" i="83"/>
  <c r="TK33" i="83"/>
  <c r="UF18" i="83"/>
  <c r="UF32" i="83" s="1"/>
  <c r="UF19" i="83"/>
  <c r="UF27" i="83" s="1"/>
  <c r="UF20" i="83"/>
  <c r="UF23" i="83" s="1"/>
  <c r="UF21" i="83"/>
  <c r="UF24" i="83" s="1"/>
  <c r="UF26" i="83" s="1"/>
  <c r="UF22" i="83"/>
  <c r="TX29" i="83"/>
  <c r="TX31" i="83"/>
  <c r="PU18" i="695"/>
  <c r="PU31" i="695" s="1"/>
  <c r="PU19" i="695"/>
  <c r="PU27" i="695" s="1"/>
  <c r="PU20" i="695"/>
  <c r="PU23" i="695" s="1"/>
  <c r="PU21" i="695"/>
  <c r="PU24" i="695" s="1"/>
  <c r="PU26" i="695" s="1"/>
  <c r="PU22" i="695"/>
  <c r="PS28" i="695"/>
  <c r="PS30" i="695"/>
  <c r="TQ18" i="83"/>
  <c r="TQ32" i="83" s="1"/>
  <c r="TQ19" i="83"/>
  <c r="TQ27" i="83" s="1"/>
  <c r="TQ20" i="83"/>
  <c r="TQ23" i="83" s="1"/>
  <c r="TQ21" i="83"/>
  <c r="TQ24" i="83" s="1"/>
  <c r="TQ26" i="83" s="1"/>
  <c r="TQ22" i="83"/>
  <c r="SY25" i="83"/>
  <c r="SY30" i="83"/>
  <c r="SY33" i="83"/>
  <c r="TR29" i="83"/>
  <c r="TR31" i="83"/>
  <c r="PV28" i="695"/>
  <c r="PV30" i="695"/>
  <c r="RM3" i="695"/>
  <c r="QS7" i="695"/>
  <c r="QS9" i="695"/>
  <c r="QS10" i="695"/>
  <c r="QS11" i="695"/>
  <c r="QS12" i="695"/>
  <c r="QS13" i="695"/>
  <c r="QS14" i="695"/>
  <c r="QS15" i="695"/>
  <c r="QS16" i="695"/>
  <c r="QS17" i="695"/>
  <c r="QS8" i="695"/>
  <c r="VS3" i="83"/>
  <c r="UY9" i="83"/>
  <c r="UY10" i="83"/>
  <c r="UY11" i="83"/>
  <c r="UY12" i="83"/>
  <c r="UY13" i="83"/>
  <c r="UY14" i="83"/>
  <c r="UY15" i="83"/>
  <c r="UY16" i="83"/>
  <c r="UY17" i="83"/>
  <c r="UY7" i="83"/>
  <c r="UY8" i="83"/>
  <c r="TU19" i="83"/>
  <c r="TU27" i="83" s="1"/>
  <c r="TU18" i="83"/>
  <c r="TU32" i="83" s="1"/>
  <c r="TU20" i="83"/>
  <c r="TU23" i="83" s="1"/>
  <c r="TU22" i="83"/>
  <c r="TU21" i="83"/>
  <c r="TU24" i="83" s="1"/>
  <c r="TU26" i="83" s="1"/>
  <c r="TV19" i="83"/>
  <c r="TV27" i="83" s="1"/>
  <c r="TV18" i="83"/>
  <c r="TV32" i="83" s="1"/>
  <c r="TV20" i="83"/>
  <c r="TV23" i="83" s="1"/>
  <c r="TV21" i="83"/>
  <c r="TV24" i="83" s="1"/>
  <c r="TV26" i="83" s="1"/>
  <c r="TV22" i="83"/>
  <c r="PZ19" i="695"/>
  <c r="PZ27" i="695" s="1"/>
  <c r="PZ20" i="695"/>
  <c r="PZ23" i="695" s="1"/>
  <c r="PZ18" i="695"/>
  <c r="PZ31" i="695" s="1"/>
  <c r="PZ22" i="695"/>
  <c r="PZ21" i="695"/>
  <c r="PZ24" i="695" s="1"/>
  <c r="PZ26" i="695" s="1"/>
  <c r="TQ29" i="83"/>
  <c r="TQ31" i="83"/>
  <c r="PM25" i="695"/>
  <c r="PM29" i="695"/>
  <c r="PM32" i="695"/>
  <c r="TH25" i="83"/>
  <c r="TH30" i="83"/>
  <c r="TH33" i="83"/>
  <c r="TW29" i="83"/>
  <c r="TW31" i="83"/>
  <c r="TY18" i="83"/>
  <c r="TY32" i="83" s="1"/>
  <c r="TY19" i="83"/>
  <c r="TY27" i="83" s="1"/>
  <c r="TY20" i="83"/>
  <c r="TY23" i="83" s="1"/>
  <c r="TY21" i="83"/>
  <c r="TY24" i="83" s="1"/>
  <c r="TY26" i="83" s="1"/>
  <c r="TY22" i="83"/>
  <c r="RK3" i="695"/>
  <c r="QQ7" i="695"/>
  <c r="QQ9" i="695"/>
  <c r="QQ10" i="695"/>
  <c r="QQ11" i="695"/>
  <c r="QQ12" i="695"/>
  <c r="QQ13" i="695"/>
  <c r="QQ14" i="695"/>
  <c r="QQ15" i="695"/>
  <c r="QQ16" i="695"/>
  <c r="QQ17" i="695"/>
  <c r="QQ8" i="695"/>
  <c r="UD18" i="83"/>
  <c r="UD32" i="83" s="1"/>
  <c r="UD19" i="83"/>
  <c r="UD27" i="83" s="1"/>
  <c r="UD20" i="83"/>
  <c r="UD23" i="83" s="1"/>
  <c r="UD21" i="83"/>
  <c r="UD24" i="83" s="1"/>
  <c r="UD26" i="83" s="1"/>
  <c r="UD22" i="83"/>
  <c r="QC28" i="695"/>
  <c r="QC30" i="695"/>
  <c r="UF29" i="83"/>
  <c r="UF31" i="83"/>
  <c r="QH19" i="695"/>
  <c r="QH27" i="695" s="1"/>
  <c r="QH20" i="695"/>
  <c r="QH23" i="695" s="1"/>
  <c r="QH18" i="695"/>
  <c r="QH31" i="695" s="1"/>
  <c r="QH22" i="695"/>
  <c r="QH21" i="695"/>
  <c r="QH24" i="695" s="1"/>
  <c r="QH26" i="695" s="1"/>
  <c r="PC25" i="695"/>
  <c r="PC29" i="695"/>
  <c r="PC32" i="695"/>
  <c r="PI25" i="695"/>
  <c r="PI29" i="695"/>
  <c r="PI32" i="695"/>
  <c r="SS22" i="83"/>
  <c r="ST25" i="83"/>
  <c r="ST30" i="83"/>
  <c r="ST33" i="83"/>
  <c r="RP3" i="695"/>
  <c r="QV7" i="695"/>
  <c r="QV9" i="695"/>
  <c r="QV10" i="695"/>
  <c r="QV11" i="695"/>
  <c r="QV12" i="695"/>
  <c r="QV13" i="695"/>
  <c r="QV14" i="695"/>
  <c r="QV15" i="695"/>
  <c r="QV16" i="695"/>
  <c r="QV17" i="695"/>
  <c r="QV8" i="695"/>
  <c r="PY28" i="695"/>
  <c r="PY30" i="695"/>
  <c r="PB25" i="695"/>
  <c r="PB29" i="695"/>
  <c r="PB32" i="695"/>
  <c r="TU29" i="83"/>
  <c r="TU31" i="83"/>
  <c r="TV29" i="83"/>
  <c r="TV31" i="83"/>
  <c r="PU28" i="695"/>
  <c r="PU30" i="695"/>
  <c r="RG3" i="695"/>
  <c r="QM7" i="695"/>
  <c r="QM9" i="695"/>
  <c r="QM10" i="695"/>
  <c r="QM11" i="695"/>
  <c r="QM12" i="695"/>
  <c r="QM13" i="695"/>
  <c r="QM14" i="695"/>
  <c r="QM15" i="695"/>
  <c r="QM16" i="695"/>
  <c r="QM17" i="695"/>
  <c r="QM8" i="695"/>
  <c r="RQ3" i="695"/>
  <c r="QW7" i="695"/>
  <c r="QW9" i="695"/>
  <c r="QW10" i="695"/>
  <c r="QW11" i="695"/>
  <c r="QW12" i="695"/>
  <c r="QW13" i="695"/>
  <c r="QW14" i="695"/>
  <c r="QW15" i="695"/>
  <c r="QW16" i="695"/>
  <c r="QW17" i="695"/>
  <c r="QW8" i="695"/>
  <c r="SS21" i="83"/>
  <c r="SS23" i="83" s="1"/>
  <c r="VF3" i="83"/>
  <c r="UL9" i="83"/>
  <c r="UL10" i="83"/>
  <c r="UL11" i="83"/>
  <c r="UL12" i="83"/>
  <c r="UL13" i="83"/>
  <c r="UL14" i="83"/>
  <c r="UL15" i="83"/>
  <c r="UL16" i="83"/>
  <c r="UL17" i="83"/>
  <c r="UL7" i="83"/>
  <c r="UL8" i="83"/>
  <c r="RJ3" i="695"/>
  <c r="QP7" i="695"/>
  <c r="QP9" i="695"/>
  <c r="QP10" i="695"/>
  <c r="QP11" i="695"/>
  <c r="QP12" i="695"/>
  <c r="QP13" i="695"/>
  <c r="QP14" i="695"/>
  <c r="QP15" i="695"/>
  <c r="QP16" i="695"/>
  <c r="QP17" i="695"/>
  <c r="QP8" i="695"/>
  <c r="TC25" i="83"/>
  <c r="TC30" i="83"/>
  <c r="TC33" i="83"/>
  <c r="QB18" i="695"/>
  <c r="QB31" i="695" s="1"/>
  <c r="QB19" i="695"/>
  <c r="QB27" i="695" s="1"/>
  <c r="QB20" i="695"/>
  <c r="QB23" i="695" s="1"/>
  <c r="QB22" i="695"/>
  <c r="QB21" i="695"/>
  <c r="QB24" i="695" s="1"/>
  <c r="QB26" i="695" s="1"/>
  <c r="RE3" i="695"/>
  <c r="QK7" i="695"/>
  <c r="QK9" i="695"/>
  <c r="QK10" i="695"/>
  <c r="QK11" i="695"/>
  <c r="QK12" i="695"/>
  <c r="QK13" i="695"/>
  <c r="QK14" i="695"/>
  <c r="QK15" i="695"/>
  <c r="QK16" i="695"/>
  <c r="QK17" i="695"/>
  <c r="QK8" i="695"/>
  <c r="UB29" i="83"/>
  <c r="UB31" i="83"/>
  <c r="TS29" i="83"/>
  <c r="TS31" i="83"/>
  <c r="PR19" i="695"/>
  <c r="PR27" i="695" s="1"/>
  <c r="PR20" i="695"/>
  <c r="PR23" i="695" s="1"/>
  <c r="PR18" i="695"/>
  <c r="PR31" i="695" s="1"/>
  <c r="PR22" i="695"/>
  <c r="PR21" i="695"/>
  <c r="PR24" i="695" s="1"/>
  <c r="PR26" i="695" s="1"/>
  <c r="PH25" i="695"/>
  <c r="PH29" i="695"/>
  <c r="PH32" i="695"/>
  <c r="QE20" i="695"/>
  <c r="QE23" i="695" s="1"/>
  <c r="QE18" i="695"/>
  <c r="QE31" i="695" s="1"/>
  <c r="QE19" i="695"/>
  <c r="QE27" i="695" s="1"/>
  <c r="QE21" i="695"/>
  <c r="QE24" i="695" s="1"/>
  <c r="QE26" i="695" s="1"/>
  <c r="QE22" i="695"/>
  <c r="PZ28" i="695"/>
  <c r="PZ30" i="695"/>
  <c r="RI3" i="695"/>
  <c r="QO7" i="695"/>
  <c r="QO9" i="695"/>
  <c r="QO10" i="695"/>
  <c r="QO11" i="695"/>
  <c r="QO12" i="695"/>
  <c r="QO13" i="695"/>
  <c r="QO14" i="695"/>
  <c r="QO15" i="695"/>
  <c r="QO16" i="695"/>
  <c r="QO17" i="695"/>
  <c r="QO8" i="695"/>
  <c r="VE3" i="83"/>
  <c r="UK9" i="83"/>
  <c r="UK10" i="83"/>
  <c r="UK11" i="83"/>
  <c r="UK12" i="83"/>
  <c r="UK13" i="83"/>
  <c r="UK14" i="83"/>
  <c r="UK15" i="83"/>
  <c r="UK16" i="83"/>
  <c r="UK17" i="83"/>
  <c r="UK7" i="83"/>
  <c r="UK8" i="83"/>
  <c r="TL25" i="83"/>
  <c r="TL30" i="83"/>
  <c r="TL33" i="83"/>
  <c r="QF20" i="695"/>
  <c r="QF23" i="695" s="1"/>
  <c r="QF18" i="695"/>
  <c r="QF31" i="695" s="1"/>
  <c r="QF19" i="695"/>
  <c r="QF27" i="695" s="1"/>
  <c r="QF21" i="695"/>
  <c r="QF24" i="695" s="1"/>
  <c r="QF26" i="695" s="1"/>
  <c r="QF22" i="695"/>
  <c r="PD25" i="695"/>
  <c r="PD29" i="695"/>
  <c r="PD32" i="695"/>
  <c r="VK3" i="83"/>
  <c r="UQ9" i="83"/>
  <c r="UQ10" i="83"/>
  <c r="UQ11" i="83"/>
  <c r="UQ12" i="83"/>
  <c r="UQ13" i="83"/>
  <c r="UQ14" i="83"/>
  <c r="UQ15" i="83"/>
  <c r="UQ16" i="83"/>
  <c r="UQ17" i="83"/>
  <c r="UQ7" i="83"/>
  <c r="UQ8" i="83"/>
  <c r="OZ25" i="695"/>
  <c r="OZ29" i="695"/>
  <c r="OZ32" i="695"/>
  <c r="QD20" i="695"/>
  <c r="QD23" i="695" s="1"/>
  <c r="QD18" i="695"/>
  <c r="QD31" i="695" s="1"/>
  <c r="QD21" i="695"/>
  <c r="QD24" i="695" s="1"/>
  <c r="QD26" i="695" s="1"/>
  <c r="QD19" i="695"/>
  <c r="QD27" i="695" s="1"/>
  <c r="QD22" i="695"/>
  <c r="VT3" i="83"/>
  <c r="UZ9" i="83"/>
  <c r="UZ10" i="83"/>
  <c r="UZ11" i="83"/>
  <c r="UZ12" i="83"/>
  <c r="UZ13" i="83"/>
  <c r="UZ14" i="83"/>
  <c r="UZ15" i="83"/>
  <c r="UZ16" i="83"/>
  <c r="UZ17" i="83"/>
  <c r="UZ7" i="83"/>
  <c r="UZ8" i="83"/>
  <c r="QH28" i="695"/>
  <c r="QH30" i="695"/>
  <c r="SS20" i="83"/>
  <c r="SS24" i="83" s="1"/>
  <c r="SS26" i="83" s="1"/>
  <c r="SU25" i="83"/>
  <c r="SU30" i="83"/>
  <c r="SU33" i="83"/>
  <c r="TS19" i="83"/>
  <c r="TS27" i="83" s="1"/>
  <c r="TS18" i="83"/>
  <c r="TS32" i="83" s="1"/>
  <c r="TS20" i="83"/>
  <c r="TS23" i="83" s="1"/>
  <c r="TS22" i="83"/>
  <c r="TS21" i="83"/>
  <c r="TS24" i="83" s="1"/>
  <c r="TS26" i="83" s="1"/>
  <c r="RD3" i="695"/>
  <c r="QJ7" i="695"/>
  <c r="QJ9" i="695"/>
  <c r="QJ10" i="695"/>
  <c r="QJ11" i="695"/>
  <c r="QJ12" i="695"/>
  <c r="QJ13" i="695"/>
  <c r="QJ14" i="695"/>
  <c r="QJ15" i="695"/>
  <c r="QJ16" i="695"/>
  <c r="QJ17" i="695"/>
  <c r="QJ8" i="695"/>
  <c r="VL3" i="83"/>
  <c r="UR9" i="83"/>
  <c r="UR10" i="83"/>
  <c r="UR11" i="83"/>
  <c r="UR12" i="83"/>
  <c r="UR13" i="83"/>
  <c r="UR14" i="83"/>
  <c r="UR15" i="83"/>
  <c r="UR16" i="83"/>
  <c r="UR17" i="83"/>
  <c r="UR7" i="83"/>
  <c r="UR8" i="83"/>
  <c r="PL25" i="695"/>
  <c r="PL29" i="695"/>
  <c r="PL32" i="695"/>
  <c r="TY29" i="83"/>
  <c r="TY31" i="83"/>
  <c r="RC3" i="695"/>
  <c r="QI9" i="695"/>
  <c r="QI21" i="695" s="1"/>
  <c r="QI24" i="695" s="1"/>
  <c r="QI26" i="695" s="1"/>
  <c r="QI10" i="695"/>
  <c r="QI22" i="695" s="1"/>
  <c r="QI11" i="695"/>
  <c r="QI12" i="695"/>
  <c r="QI13" i="695"/>
  <c r="QI14" i="695"/>
  <c r="QI15" i="695"/>
  <c r="QI16" i="695"/>
  <c r="QI17" i="695"/>
  <c r="UA18" i="83"/>
  <c r="UA32" i="83" s="1"/>
  <c r="UA19" i="83"/>
  <c r="UA27" i="83" s="1"/>
  <c r="UA20" i="83"/>
  <c r="UA23" i="83" s="1"/>
  <c r="UA22" i="83"/>
  <c r="UA21" i="83"/>
  <c r="UA24" i="83" s="1"/>
  <c r="UA26" i="83" s="1"/>
  <c r="VI3" i="83"/>
  <c r="UO9" i="83"/>
  <c r="UO10" i="83"/>
  <c r="UO11" i="83"/>
  <c r="UO12" i="83"/>
  <c r="UO13" i="83"/>
  <c r="UO14" i="83"/>
  <c r="UO15" i="83"/>
  <c r="UO16" i="83"/>
  <c r="UO17" i="83"/>
  <c r="UO7" i="83"/>
  <c r="UO8" i="83"/>
  <c r="VJ3" i="83"/>
  <c r="UP9" i="83"/>
  <c r="UP10" i="83"/>
  <c r="UP11" i="83"/>
  <c r="UP12" i="83"/>
  <c r="UP13" i="83"/>
  <c r="UP14" i="83"/>
  <c r="UP15" i="83"/>
  <c r="UP16" i="83"/>
  <c r="UP17" i="83"/>
  <c r="UP7" i="83"/>
  <c r="UP8" i="83"/>
  <c r="RN3" i="695"/>
  <c r="QT7" i="695"/>
  <c r="QT9" i="695"/>
  <c r="QT10" i="695"/>
  <c r="QT11" i="695"/>
  <c r="QT12" i="695"/>
  <c r="QT13" i="695"/>
  <c r="QT14" i="695"/>
  <c r="QT15" i="695"/>
  <c r="QT16" i="695"/>
  <c r="QT17" i="695"/>
  <c r="QT8" i="695"/>
  <c r="UC18" i="83"/>
  <c r="UC32" i="83" s="1"/>
  <c r="UC19" i="83"/>
  <c r="UC27" i="83" s="1"/>
  <c r="UC20" i="83"/>
  <c r="UC23" i="83" s="1"/>
  <c r="UC21" i="83"/>
  <c r="UC24" i="83" s="1"/>
  <c r="UC26" i="83" s="1"/>
  <c r="UC22" i="83"/>
  <c r="QG19" i="695"/>
  <c r="QG27" i="695" s="1"/>
  <c r="QG20" i="695"/>
  <c r="QG23" i="695" s="1"/>
  <c r="QG18" i="695"/>
  <c r="QG31" i="695" s="1"/>
  <c r="QG21" i="695"/>
  <c r="QG24" i="695" s="1"/>
  <c r="QG26" i="695" s="1"/>
  <c r="QG22" i="695"/>
  <c r="SX25" i="83"/>
  <c r="SX30" i="83"/>
  <c r="SX33" i="83"/>
  <c r="PK29" i="695"/>
  <c r="PK25" i="695"/>
  <c r="PK32" i="695"/>
  <c r="PA25" i="695"/>
  <c r="PA29" i="695"/>
  <c r="PA32" i="695"/>
  <c r="RL3" i="695"/>
  <c r="QR7" i="695"/>
  <c r="QR9" i="695"/>
  <c r="QR10" i="695"/>
  <c r="QR11" i="695"/>
  <c r="QR12" i="695"/>
  <c r="QR13" i="695"/>
  <c r="QR14" i="695"/>
  <c r="QR15" i="695"/>
  <c r="QR16" i="695"/>
  <c r="QR17" i="695"/>
  <c r="QR8" i="695"/>
  <c r="TP18" i="83"/>
  <c r="TP32" i="83" s="1"/>
  <c r="TP19" i="83"/>
  <c r="TP27" i="83" s="1"/>
  <c r="TP20" i="83"/>
  <c r="TP23" i="83" s="1"/>
  <c r="TP21" i="83"/>
  <c r="TP24" i="83" s="1"/>
  <c r="TP26" i="83" s="1"/>
  <c r="TP22" i="83"/>
  <c r="QA28" i="695"/>
  <c r="QA30" i="695"/>
  <c r="TO19" i="83"/>
  <c r="TO27" i="83" s="1"/>
  <c r="TO20" i="83"/>
  <c r="TO23" i="83" s="1"/>
  <c r="TO18" i="83"/>
  <c r="TO32" i="83" s="1"/>
  <c r="TO21" i="83"/>
  <c r="TO24" i="83" s="1"/>
  <c r="TO26" i="83" s="1"/>
  <c r="TO22" i="83"/>
  <c r="PT28" i="695"/>
  <c r="PT30" i="695"/>
  <c r="SW25" i="83"/>
  <c r="SW30" i="83"/>
  <c r="SW33" i="83"/>
  <c r="VM3" i="83"/>
  <c r="US9" i="83"/>
  <c r="US10" i="83"/>
  <c r="US11" i="83"/>
  <c r="US12" i="83"/>
  <c r="US13" i="83"/>
  <c r="US14" i="83"/>
  <c r="US15" i="83"/>
  <c r="US16" i="83"/>
  <c r="US17" i="83"/>
  <c r="US7" i="83"/>
  <c r="US8" i="83"/>
  <c r="VR3" i="83"/>
  <c r="UX9" i="83"/>
  <c r="UX10" i="83"/>
  <c r="UX11" i="83"/>
  <c r="UX12" i="83"/>
  <c r="UX13" i="83"/>
  <c r="UX14" i="83"/>
  <c r="UX15" i="83"/>
  <c r="UX16" i="83"/>
  <c r="UX17" i="83"/>
  <c r="UX7" i="83"/>
  <c r="UX8" i="83"/>
  <c r="OU29" i="695"/>
  <c r="OU25" i="695"/>
  <c r="OU32" i="695"/>
  <c r="WM25" i="83"/>
  <c r="WM30" i="83"/>
  <c r="WM33" i="83"/>
  <c r="RV3" i="695"/>
  <c r="RB7" i="695"/>
  <c r="RB9" i="695"/>
  <c r="RB10" i="695"/>
  <c r="RB11" i="695"/>
  <c r="RB12" i="695"/>
  <c r="RB13" i="695"/>
  <c r="RB14" i="695"/>
  <c r="RB15" i="695"/>
  <c r="RB16" i="695"/>
  <c r="RB17" i="695"/>
  <c r="RB8" i="695"/>
  <c r="SS19" i="83"/>
  <c r="SS27" i="83" s="1"/>
  <c r="TE25" i="83"/>
  <c r="TE30" i="83"/>
  <c r="TE33" i="83"/>
  <c r="PQ28" i="695"/>
  <c r="PQ30" i="695"/>
  <c r="TI25" i="83"/>
  <c r="TI30" i="83"/>
  <c r="TI33" i="83"/>
  <c r="QB28" i="695"/>
  <c r="QB30" i="695"/>
  <c r="VG3" i="83"/>
  <c r="UM9" i="83"/>
  <c r="UM10" i="83"/>
  <c r="UM11" i="83"/>
  <c r="UM12" i="83"/>
  <c r="UM13" i="83"/>
  <c r="UM14" i="83"/>
  <c r="UM15" i="83"/>
  <c r="UM16" i="83"/>
  <c r="UM17" i="83"/>
  <c r="UM7" i="83"/>
  <c r="UM8" i="83"/>
  <c r="UA29" i="83"/>
  <c r="UA31" i="83"/>
  <c r="PR28" i="695"/>
  <c r="PR30" i="695"/>
  <c r="OV25" i="695"/>
  <c r="OV29" i="695"/>
  <c r="OV32" i="695"/>
  <c r="QE28" i="695"/>
  <c r="QE30" i="695"/>
  <c r="UC29" i="83"/>
  <c r="UC31" i="83"/>
  <c r="TF25" i="83"/>
  <c r="TF30" i="83"/>
  <c r="TF33" i="83"/>
  <c r="TP29" i="83"/>
  <c r="TP31" i="83"/>
  <c r="QF28" i="695"/>
  <c r="QF30" i="695"/>
  <c r="TO29" i="83"/>
  <c r="TO31" i="83"/>
  <c r="TN19" i="83"/>
  <c r="TN27" i="83" s="1"/>
  <c r="TN18" i="83"/>
  <c r="TN32" i="83" s="1"/>
  <c r="TN20" i="83"/>
  <c r="TN23" i="83" s="1"/>
  <c r="TN21" i="83"/>
  <c r="TN24" i="83" s="1"/>
  <c r="TN26" i="83" s="1"/>
  <c r="TN22" i="83"/>
  <c r="PW20" i="695"/>
  <c r="PW23" i="695" s="1"/>
  <c r="PW18" i="695"/>
  <c r="PW31" i="695" s="1"/>
  <c r="PW19" i="695"/>
  <c r="PW27" i="695" s="1"/>
  <c r="PW21" i="695"/>
  <c r="PW24" i="695" s="1"/>
  <c r="PW26" i="695" s="1"/>
  <c r="PW22" i="695"/>
  <c r="QD28" i="695"/>
  <c r="QD30" i="695"/>
  <c r="UG3" i="83"/>
  <c r="TM9" i="83"/>
  <c r="TM29" i="83" s="1"/>
  <c r="TM10" i="83"/>
  <c r="TM11" i="83"/>
  <c r="TM12" i="83"/>
  <c r="TM13" i="83"/>
  <c r="TM20" i="83" s="1"/>
  <c r="TM23" i="83" s="1"/>
  <c r="TM14" i="83"/>
  <c r="TM22" i="83" s="1"/>
  <c r="TM15" i="83"/>
  <c r="TM16" i="83"/>
  <c r="TM17" i="83"/>
  <c r="PJ25" i="695"/>
  <c r="PJ29" i="695"/>
  <c r="PJ32" i="695"/>
  <c r="TR19" i="83"/>
  <c r="TR27" i="83" s="1"/>
  <c r="TR18" i="83"/>
  <c r="TR32" i="83" s="1"/>
  <c r="TR20" i="83"/>
  <c r="TR23" i="83" s="1"/>
  <c r="TR22" i="83"/>
  <c r="TR21" i="83"/>
  <c r="TR24" i="83" s="1"/>
  <c r="TR26" i="83" s="1"/>
  <c r="PP28" i="695"/>
  <c r="PP30" i="695"/>
  <c r="VN3" i="83"/>
  <c r="UT9" i="83"/>
  <c r="UT10" i="83"/>
  <c r="UT11" i="83"/>
  <c r="UT12" i="83"/>
  <c r="UT13" i="83"/>
  <c r="UT14" i="83"/>
  <c r="UT15" i="83"/>
  <c r="UT16" i="83"/>
  <c r="UT17" i="83"/>
  <c r="UT7" i="83"/>
  <c r="UT8" i="83"/>
  <c r="UB18" i="83"/>
  <c r="UB32" i="83" s="1"/>
  <c r="UB19" i="83"/>
  <c r="UB27" i="83" s="1"/>
  <c r="UB22" i="83"/>
  <c r="UB20" i="83"/>
  <c r="UB23" i="83" s="1"/>
  <c r="UB21" i="83"/>
  <c r="UB24" i="83" s="1"/>
  <c r="UB26" i="83" s="1"/>
  <c r="PX28" i="695"/>
  <c r="PX30" i="695"/>
  <c r="VH3" i="83"/>
  <c r="UN9" i="83"/>
  <c r="UN10" i="83"/>
  <c r="UN11" i="83"/>
  <c r="UN12" i="83"/>
  <c r="UN13" i="83"/>
  <c r="UN14" i="83"/>
  <c r="UN15" i="83"/>
  <c r="UN16" i="83"/>
  <c r="UN17" i="83"/>
  <c r="UN7" i="83"/>
  <c r="UN8" i="83"/>
  <c r="PT18" i="695"/>
  <c r="PT31" i="695" s="1"/>
  <c r="PT19" i="695"/>
  <c r="PT27" i="695" s="1"/>
  <c r="PT20" i="695"/>
  <c r="PT23" i="695" s="1"/>
  <c r="PT21" i="695"/>
  <c r="PT24" i="695" s="1"/>
  <c r="PT26" i="695" s="1"/>
  <c r="PT22" i="695"/>
  <c r="W29" i="27" a="1"/>
  <c r="W29" i="27" s="1"/>
  <c r="X30" i="27"/>
  <c r="PN25" i="695"/>
  <c r="PN29" i="695"/>
  <c r="PN32" i="695"/>
  <c r="PY19" i="695"/>
  <c r="PY27" i="695" s="1"/>
  <c r="PY20" i="695"/>
  <c r="PY23" i="695" s="1"/>
  <c r="PY18" i="695"/>
  <c r="PY31" i="695" s="1"/>
  <c r="PY21" i="695"/>
  <c r="PY24" i="695" s="1"/>
  <c r="PY26" i="695" s="1"/>
  <c r="PY22" i="695"/>
  <c r="UE18" i="83"/>
  <c r="UE32" i="83" s="1"/>
  <c r="UE19" i="83"/>
  <c r="UE27" i="83" s="1"/>
  <c r="UE20" i="83"/>
  <c r="UE23" i="83" s="1"/>
  <c r="UE21" i="83"/>
  <c r="UE24" i="83" s="1"/>
  <c r="UE26" i="83" s="1"/>
  <c r="UE22" i="83"/>
  <c r="PP20" i="695"/>
  <c r="PP23" i="695" s="1"/>
  <c r="PP18" i="695"/>
  <c r="PP31" i="695" s="1"/>
  <c r="PP19" i="695"/>
  <c r="PP27" i="695" s="1"/>
  <c r="PP22" i="695"/>
  <c r="PP21" i="695"/>
  <c r="PP24" i="695" s="1"/>
  <c r="PP26" i="695" s="1"/>
  <c r="RF3" i="695"/>
  <c r="QL7" i="695"/>
  <c r="QL9" i="695"/>
  <c r="QL10" i="695"/>
  <c r="QL11" i="695"/>
  <c r="QL12" i="695"/>
  <c r="QL13" i="695"/>
  <c r="QL14" i="695"/>
  <c r="QL15" i="695"/>
  <c r="QL16" i="695"/>
  <c r="QL17" i="695"/>
  <c r="QL8" i="695"/>
  <c r="PS21" i="695"/>
  <c r="PS24" i="695" s="1"/>
  <c r="PS26" i="695" s="1"/>
  <c r="PS19" i="695"/>
  <c r="PS27" i="695" s="1"/>
  <c r="PS18" i="695"/>
  <c r="PS31" i="695" s="1"/>
  <c r="PS22" i="695"/>
  <c r="PS20" i="695"/>
  <c r="PS23" i="695" s="1"/>
  <c r="OX25" i="695"/>
  <c r="OX29" i="695"/>
  <c r="OX32" i="695"/>
  <c r="QG28" i="695"/>
  <c r="QG30" i="695"/>
  <c r="RY25" i="83"/>
  <c r="RY30" i="83"/>
  <c r="RY33" i="83"/>
  <c r="TG25" i="83"/>
  <c r="TG30" i="83"/>
  <c r="TG33" i="83"/>
  <c r="TA25" i="83"/>
  <c r="TA30" i="83"/>
  <c r="TA33" i="83"/>
  <c r="RO3" i="695"/>
  <c r="QU7" i="695"/>
  <c r="QU9" i="695"/>
  <c r="QU10" i="695"/>
  <c r="QU11" i="695"/>
  <c r="QU12" i="695"/>
  <c r="QU13" i="695"/>
  <c r="QU14" i="695"/>
  <c r="QU15" i="695"/>
  <c r="QU16" i="695"/>
  <c r="QU17" i="695"/>
  <c r="QU8" i="695"/>
  <c r="TN29" i="83"/>
  <c r="TN31" i="83"/>
  <c r="TZ29" i="83"/>
  <c r="TZ31" i="83"/>
  <c r="WL25" i="83"/>
  <c r="WL30" i="83"/>
  <c r="WL33" i="83"/>
  <c r="TJ25" i="83"/>
  <c r="TJ30" i="83"/>
  <c r="TJ33" i="83"/>
  <c r="QA21" i="695"/>
  <c r="QA24" i="695" s="1"/>
  <c r="QA26" i="695" s="1"/>
  <c r="QA19" i="695"/>
  <c r="QA27" i="695" s="1"/>
  <c r="QA18" i="695"/>
  <c r="QA31" i="695" s="1"/>
  <c r="QA22" i="695"/>
  <c r="QA20" i="695"/>
  <c r="QA23" i="695" s="1"/>
  <c r="UD29" i="83"/>
  <c r="UD31" i="83"/>
  <c r="VP3" i="83"/>
  <c r="UV9" i="83"/>
  <c r="UV10" i="83"/>
  <c r="UV11" i="83"/>
  <c r="UV12" i="83"/>
  <c r="UV13" i="83"/>
  <c r="UV14" i="83"/>
  <c r="UV15" i="83"/>
  <c r="UV16" i="83"/>
  <c r="UV17" i="83"/>
  <c r="UV7" i="83"/>
  <c r="UV8" i="83"/>
  <c r="TZ18" i="83"/>
  <c r="TZ32" i="83" s="1"/>
  <c r="TZ19" i="83"/>
  <c r="TZ27" i="83" s="1"/>
  <c r="TZ20" i="83"/>
  <c r="TZ23" i="83" s="1"/>
  <c r="TZ22" i="83"/>
  <c r="TZ21" i="83"/>
  <c r="TZ24" i="83" s="1"/>
  <c r="TZ26" i="83" s="1"/>
  <c r="PV20" i="695"/>
  <c r="PV23" i="695" s="1"/>
  <c r="PV18" i="695"/>
  <c r="PV31" i="695" s="1"/>
  <c r="PV21" i="695"/>
  <c r="PV24" i="695" s="1"/>
  <c r="PV26" i="695" s="1"/>
  <c r="PV22" i="695"/>
  <c r="PV19" i="695"/>
  <c r="PV27" i="695" s="1"/>
  <c r="UE29" i="83"/>
  <c r="UE31" i="83"/>
  <c r="VO3" i="83"/>
  <c r="UU9" i="83"/>
  <c r="UU10" i="83"/>
  <c r="UU11" i="83"/>
  <c r="UU12" i="83"/>
  <c r="UU13" i="83"/>
  <c r="UU14" i="83"/>
  <c r="UU15" i="83"/>
  <c r="UU16" i="83"/>
  <c r="UU17" i="83"/>
  <c r="UU7" i="83"/>
  <c r="UU8" i="83"/>
  <c r="WN25" i="83"/>
  <c r="WN30" i="83"/>
  <c r="WN33" i="83"/>
  <c r="OW25" i="695"/>
  <c r="OW29" i="695"/>
  <c r="OW32" i="695"/>
  <c r="PE25" i="695"/>
  <c r="PE29" i="695"/>
  <c r="PE32" i="695"/>
  <c r="TX19" i="83"/>
  <c r="TX27" i="83" s="1"/>
  <c r="TX20" i="83"/>
  <c r="TX23" i="83" s="1"/>
  <c r="TX18" i="83"/>
  <c r="TX32" i="83" s="1"/>
  <c r="TX21" i="83"/>
  <c r="TX24" i="83" s="1"/>
  <c r="TX26" i="83" s="1"/>
  <c r="TX22" i="83"/>
  <c r="RS3" i="695"/>
  <c r="QY7" i="695"/>
  <c r="QY9" i="695"/>
  <c r="QY10" i="695"/>
  <c r="QY11" i="695"/>
  <c r="QY12" i="695"/>
  <c r="QY13" i="695"/>
  <c r="QY14" i="695"/>
  <c r="QY15" i="695"/>
  <c r="QY16" i="695"/>
  <c r="QY17" i="695"/>
  <c r="QY8" i="695"/>
  <c r="VQ3" i="83"/>
  <c r="UW9" i="83"/>
  <c r="UW10" i="83"/>
  <c r="UW11" i="83"/>
  <c r="UW12" i="83"/>
  <c r="UW13" i="83"/>
  <c r="UW14" i="83"/>
  <c r="UW15" i="83"/>
  <c r="UW16" i="83"/>
  <c r="UW17" i="83"/>
  <c r="UW7" i="83"/>
  <c r="UW8" i="83"/>
  <c r="RU3" i="695"/>
  <c r="RA7" i="695"/>
  <c r="RA9" i="695"/>
  <c r="RA10" i="695"/>
  <c r="RA11" i="695"/>
  <c r="RA12" i="695"/>
  <c r="RA13" i="695"/>
  <c r="RA14" i="695"/>
  <c r="RA15" i="695"/>
  <c r="RA16" i="695"/>
  <c r="RA17" i="695"/>
  <c r="RA8" i="695"/>
  <c r="PF25" i="695"/>
  <c r="PF29" i="695"/>
  <c r="PF32" i="695"/>
  <c r="VD3" i="83"/>
  <c r="UJ9" i="83"/>
  <c r="UJ10" i="83"/>
  <c r="UJ11" i="83"/>
  <c r="UJ12" i="83"/>
  <c r="UJ13" i="83"/>
  <c r="UJ14" i="83"/>
  <c r="UJ15" i="83"/>
  <c r="UJ16" i="83"/>
  <c r="UJ17" i="83"/>
  <c r="UJ7" i="83"/>
  <c r="UJ8" i="83"/>
  <c r="TT19" i="83"/>
  <c r="TT27" i="83" s="1"/>
  <c r="TT18" i="83"/>
  <c r="TT32" i="83" s="1"/>
  <c r="TT22" i="83"/>
  <c r="TT20" i="83"/>
  <c r="TT23" i="83" s="1"/>
  <c r="TT21" i="83"/>
  <c r="TT24" i="83" s="1"/>
  <c r="TT26" i="83" s="1"/>
  <c r="RT3" i="695"/>
  <c r="QZ7" i="695"/>
  <c r="QZ9" i="695"/>
  <c r="QZ10" i="695"/>
  <c r="QZ11" i="695"/>
  <c r="QZ12" i="695"/>
  <c r="QZ13" i="695"/>
  <c r="QZ14" i="695"/>
  <c r="QZ15" i="695"/>
  <c r="QZ16" i="695"/>
  <c r="QZ17" i="695"/>
  <c r="QZ8" i="695"/>
  <c r="TB25" i="83"/>
  <c r="TB30" i="83"/>
  <c r="TB33" i="83"/>
  <c r="VC3" i="83"/>
  <c r="UI9" i="83"/>
  <c r="UI10" i="83"/>
  <c r="UI11" i="83"/>
  <c r="UI12" i="83"/>
  <c r="UI13" i="83"/>
  <c r="UI14" i="83"/>
  <c r="UI15" i="83"/>
  <c r="UI16" i="83"/>
  <c r="UI17" i="83"/>
  <c r="UI7" i="83"/>
  <c r="UI8" i="83"/>
  <c r="RH3" i="695"/>
  <c r="QN7" i="695"/>
  <c r="QN9" i="695"/>
  <c r="QN10" i="695"/>
  <c r="QN11" i="695"/>
  <c r="QN12" i="695"/>
  <c r="QN13" i="695"/>
  <c r="QN14" i="695"/>
  <c r="QN15" i="695"/>
  <c r="QN16" i="695"/>
  <c r="QN17" i="695"/>
  <c r="QN8" i="695"/>
  <c r="PG25" i="695"/>
  <c r="PG29" i="695"/>
  <c r="PG32" i="695"/>
  <c r="PW28" i="695"/>
  <c r="PW30" i="695"/>
  <c r="RR3" i="695"/>
  <c r="QX7" i="695"/>
  <c r="QX9" i="695"/>
  <c r="QX10" i="695"/>
  <c r="QX11" i="695"/>
  <c r="QX12" i="695"/>
  <c r="QX13" i="695"/>
  <c r="QX14" i="695"/>
  <c r="QX15" i="695"/>
  <c r="QX16" i="695"/>
  <c r="QX17" i="695"/>
  <c r="QX8" i="695"/>
  <c r="QC18" i="695"/>
  <c r="QC31" i="695" s="1"/>
  <c r="QC19" i="695"/>
  <c r="QC27" i="695" s="1"/>
  <c r="QC20" i="695"/>
  <c r="QC23" i="695" s="1"/>
  <c r="QC22" i="695"/>
  <c r="QC21" i="695"/>
  <c r="QC24" i="695" s="1"/>
  <c r="QC26" i="695" s="1"/>
  <c r="SV25" i="83"/>
  <c r="SV30" i="83"/>
  <c r="SV33" i="83"/>
  <c r="SZ25" i="83"/>
  <c r="SZ30" i="83"/>
  <c r="SZ33" i="83"/>
  <c r="UG8" i="83"/>
  <c r="UG7" i="83"/>
  <c r="UG31" i="83" l="1"/>
  <c r="TM25" i="83"/>
  <c r="TM30" i="83"/>
  <c r="TM33" i="83"/>
  <c r="TX25" i="83"/>
  <c r="TX30" i="83"/>
  <c r="TX33" i="83"/>
  <c r="TZ25" i="83"/>
  <c r="TZ30" i="83"/>
  <c r="TZ33" i="83"/>
  <c r="QU20" i="695"/>
  <c r="QU23" i="695" s="1"/>
  <c r="QU18" i="695"/>
  <c r="QU31" i="695" s="1"/>
  <c r="QU19" i="695"/>
  <c r="QU27" i="695" s="1"/>
  <c r="QU21" i="695"/>
  <c r="QU24" i="695" s="1"/>
  <c r="QU26" i="695" s="1"/>
  <c r="QU22" i="695"/>
  <c r="RJ4" i="695"/>
  <c r="SD3" i="695"/>
  <c r="UY29" i="83"/>
  <c r="UY31" i="83"/>
  <c r="PT25" i="695"/>
  <c r="PT29" i="695"/>
  <c r="PT32" i="695"/>
  <c r="UO29" i="83"/>
  <c r="UO31" i="83"/>
  <c r="UR29" i="83"/>
  <c r="UR31" i="83"/>
  <c r="QN20" i="695"/>
  <c r="QN23" i="695" s="1"/>
  <c r="QN18" i="695"/>
  <c r="QN31" i="695" s="1"/>
  <c r="QN19" i="695"/>
  <c r="QN27" i="695" s="1"/>
  <c r="QN22" i="695"/>
  <c r="QN21" i="695"/>
  <c r="QN24" i="695" s="1"/>
  <c r="QN26" i="695" s="1"/>
  <c r="TT25" i="83"/>
  <c r="TT30" i="83"/>
  <c r="TT33" i="83"/>
  <c r="UW29" i="83"/>
  <c r="UW31" i="83"/>
  <c r="WI3" i="83"/>
  <c r="VO9" i="83"/>
  <c r="VO10" i="83"/>
  <c r="VO11" i="83"/>
  <c r="VO12" i="83"/>
  <c r="VO13" i="83"/>
  <c r="VO14" i="83"/>
  <c r="VO15" i="83"/>
  <c r="VO16" i="83"/>
  <c r="VO17" i="83"/>
  <c r="VO7" i="83"/>
  <c r="VO8" i="83"/>
  <c r="VA3" i="83"/>
  <c r="UG9" i="83"/>
  <c r="UG29" i="83" s="1"/>
  <c r="UG10" i="83"/>
  <c r="UG11" i="83"/>
  <c r="UG12" i="83"/>
  <c r="UG13" i="83"/>
  <c r="UG14" i="83"/>
  <c r="UG19" i="83" s="1"/>
  <c r="UG27" i="83" s="1"/>
  <c r="UG15" i="83"/>
  <c r="UG21" i="83" s="1"/>
  <c r="UG23" i="83" s="1"/>
  <c r="UG16" i="83"/>
  <c r="UG17" i="83"/>
  <c r="RB20" i="695"/>
  <c r="RB23" i="695" s="1"/>
  <c r="RB18" i="695"/>
  <c r="RB31" i="695" s="1"/>
  <c r="RB21" i="695"/>
  <c r="RB24" i="695" s="1"/>
  <c r="RB26" i="695" s="1"/>
  <c r="RB19" i="695"/>
  <c r="RB27" i="695" s="1"/>
  <c r="RB22" i="695"/>
  <c r="TP25" i="83"/>
  <c r="TP30" i="83"/>
  <c r="TP33" i="83"/>
  <c r="UA25" i="83"/>
  <c r="UA30" i="83"/>
  <c r="UA33" i="83"/>
  <c r="QJ28" i="695"/>
  <c r="QJ30" i="695"/>
  <c r="WN3" i="83"/>
  <c r="XH3" i="83" s="1"/>
  <c r="VT9" i="83"/>
  <c r="VT10" i="83"/>
  <c r="VT11" i="83"/>
  <c r="VT12" i="83"/>
  <c r="VT13" i="83"/>
  <c r="VT14" i="83"/>
  <c r="VT15" i="83"/>
  <c r="VT16" i="83"/>
  <c r="VT17" i="83"/>
  <c r="VT7" i="83"/>
  <c r="VT8" i="83"/>
  <c r="UK18" i="83"/>
  <c r="UK32" i="83" s="1"/>
  <c r="UK19" i="83"/>
  <c r="UK27" i="83" s="1"/>
  <c r="UK20" i="83"/>
  <c r="UK24" i="83" s="1"/>
  <c r="UK26" i="83" s="1"/>
  <c r="UK21" i="83"/>
  <c r="UK23" i="83" s="1"/>
  <c r="UK22" i="83"/>
  <c r="QW19" i="695"/>
  <c r="QW27" i="695" s="1"/>
  <c r="QW20" i="695"/>
  <c r="QW23" i="695" s="1"/>
  <c r="QW18" i="695"/>
  <c r="QW31" i="695" s="1"/>
  <c r="QW21" i="695"/>
  <c r="QW24" i="695" s="1"/>
  <c r="QW26" i="695" s="1"/>
  <c r="QW22" i="695"/>
  <c r="SG3" i="695"/>
  <c r="RM4" i="695"/>
  <c r="UF25" i="83"/>
  <c r="UF30" i="83"/>
  <c r="UF33" i="83"/>
  <c r="TW25" i="83"/>
  <c r="TW30" i="83"/>
  <c r="TW33" i="83"/>
  <c r="PX25" i="695"/>
  <c r="PX29" i="695"/>
  <c r="PX32" i="695"/>
  <c r="RR4" i="695"/>
  <c r="SL3" i="695"/>
  <c r="UT29" i="83"/>
  <c r="UT31" i="83"/>
  <c r="TN25" i="83"/>
  <c r="TN30" i="83"/>
  <c r="TN33" i="83"/>
  <c r="TO25" i="83"/>
  <c r="TO30" i="83"/>
  <c r="TO33" i="83"/>
  <c r="TQ25" i="83"/>
  <c r="TQ30" i="83"/>
  <c r="TQ33" i="83"/>
  <c r="QZ18" i="695"/>
  <c r="QZ31" i="695" s="1"/>
  <c r="QZ19" i="695"/>
  <c r="QZ27" i="695" s="1"/>
  <c r="QZ20" i="695"/>
  <c r="QZ23" i="695" s="1"/>
  <c r="QZ21" i="695"/>
  <c r="QZ24" i="695" s="1"/>
  <c r="QZ26" i="695" s="1"/>
  <c r="QZ22" i="695"/>
  <c r="UX29" i="83"/>
  <c r="UX31" i="83"/>
  <c r="QR18" i="695"/>
  <c r="QR31" i="695" s="1"/>
  <c r="QR19" i="695"/>
  <c r="QR27" i="695" s="1"/>
  <c r="QR20" i="695"/>
  <c r="QR23" i="695" s="1"/>
  <c r="QR21" i="695"/>
  <c r="QR24" i="695" s="1"/>
  <c r="QR26" i="695" s="1"/>
  <c r="QR22" i="695"/>
  <c r="WJ3" i="83"/>
  <c r="VP9" i="83"/>
  <c r="VP10" i="83"/>
  <c r="VP11" i="83"/>
  <c r="VP12" i="83"/>
  <c r="VP13" i="83"/>
  <c r="VP14" i="83"/>
  <c r="VP15" i="83"/>
  <c r="VP16" i="83"/>
  <c r="VP17" i="83"/>
  <c r="VP7" i="83"/>
  <c r="VP8" i="83"/>
  <c r="QX28" i="695"/>
  <c r="QX30" i="695"/>
  <c r="QL20" i="695"/>
  <c r="QL23" i="695" s="1"/>
  <c r="QL18" i="695"/>
  <c r="QL31" i="695" s="1"/>
  <c r="QL21" i="695"/>
  <c r="QL24" i="695" s="1"/>
  <c r="QL26" i="695" s="1"/>
  <c r="QL19" i="695"/>
  <c r="QL27" i="695" s="1"/>
  <c r="QL22" i="695"/>
  <c r="PP25" i="695"/>
  <c r="PP29" i="695"/>
  <c r="PP32" i="695"/>
  <c r="WB3" i="83"/>
  <c r="VH9" i="83"/>
  <c r="VH10" i="83"/>
  <c r="VH11" i="83"/>
  <c r="VH12" i="83"/>
  <c r="VH13" i="83"/>
  <c r="VH14" i="83"/>
  <c r="VH15" i="83"/>
  <c r="VH16" i="83"/>
  <c r="VH17" i="83"/>
  <c r="VH7" i="83"/>
  <c r="VH8" i="83"/>
  <c r="UT18" i="83"/>
  <c r="UT32" i="83" s="1"/>
  <c r="UT19" i="83"/>
  <c r="UT27" i="83" s="1"/>
  <c r="UT20" i="83"/>
  <c r="UT24" i="83" s="1"/>
  <c r="UT26" i="83" s="1"/>
  <c r="UT21" i="83"/>
  <c r="UT23" i="83" s="1"/>
  <c r="UT22" i="83"/>
  <c r="TR25" i="83"/>
  <c r="TR30" i="83"/>
  <c r="TR33" i="83"/>
  <c r="UM18" i="83"/>
  <c r="UM32" i="83" s="1"/>
  <c r="UM19" i="83"/>
  <c r="UM27" i="83" s="1"/>
  <c r="UM20" i="83"/>
  <c r="UM24" i="83" s="1"/>
  <c r="UM26" i="83" s="1"/>
  <c r="UM21" i="83"/>
  <c r="UM23" i="83" s="1"/>
  <c r="UM22" i="83"/>
  <c r="WG3" i="83"/>
  <c r="VM9" i="83"/>
  <c r="VM10" i="83"/>
  <c r="VM11" i="83"/>
  <c r="VM12" i="83"/>
  <c r="VM13" i="83"/>
  <c r="VM14" i="83"/>
  <c r="VM15" i="83"/>
  <c r="VM16" i="83"/>
  <c r="VM17" i="83"/>
  <c r="VM7" i="83"/>
  <c r="VM8" i="83"/>
  <c r="WD3" i="83"/>
  <c r="VJ9" i="83"/>
  <c r="VJ10" i="83"/>
  <c r="VJ11" i="83"/>
  <c r="VJ12" i="83"/>
  <c r="VJ13" i="83"/>
  <c r="VJ14" i="83"/>
  <c r="VJ15" i="83"/>
  <c r="VJ16" i="83"/>
  <c r="VJ17" i="83"/>
  <c r="VJ7" i="83"/>
  <c r="VJ8" i="83"/>
  <c r="RX3" i="695"/>
  <c r="RD4" i="695"/>
  <c r="UQ19" i="83"/>
  <c r="UQ27" i="83" s="1"/>
  <c r="UQ18" i="83"/>
  <c r="UQ32" i="83" s="1"/>
  <c r="UQ20" i="83"/>
  <c r="UQ24" i="83" s="1"/>
  <c r="UQ26" i="83" s="1"/>
  <c r="UQ22" i="83"/>
  <c r="UQ21" i="83"/>
  <c r="UQ23" i="83" s="1"/>
  <c r="UK29" i="83"/>
  <c r="UK31" i="83"/>
  <c r="QB25" i="695"/>
  <c r="QB29" i="695"/>
  <c r="QB32" i="695"/>
  <c r="QP28" i="695"/>
  <c r="QP30" i="695"/>
  <c r="QQ28" i="695"/>
  <c r="QQ30" i="695"/>
  <c r="TV25" i="83"/>
  <c r="TV30" i="83"/>
  <c r="TV33" i="83"/>
  <c r="UY19" i="83"/>
  <c r="UY27" i="83" s="1"/>
  <c r="UY18" i="83"/>
  <c r="UY32" i="83" s="1"/>
  <c r="UY20" i="83"/>
  <c r="UY24" i="83" s="1"/>
  <c r="UY26" i="83" s="1"/>
  <c r="UY22" i="83"/>
  <c r="UY21" i="83"/>
  <c r="UY23" i="83" s="1"/>
  <c r="PU25" i="695"/>
  <c r="PU29" i="695"/>
  <c r="PU32" i="695"/>
  <c r="TM21" i="83"/>
  <c r="TM24" i="83" s="1"/>
  <c r="TM26" i="83" s="1"/>
  <c r="QI20" i="695"/>
  <c r="QI23" i="695" s="1"/>
  <c r="RB28" i="695"/>
  <c r="RB30" i="695"/>
  <c r="QT20" i="695"/>
  <c r="QT23" i="695" s="1"/>
  <c r="QT18" i="695"/>
  <c r="QT31" i="695" s="1"/>
  <c r="QT21" i="695"/>
  <c r="QT24" i="695" s="1"/>
  <c r="QT26" i="695" s="1"/>
  <c r="QT19" i="695"/>
  <c r="QT27" i="695" s="1"/>
  <c r="QT22" i="695"/>
  <c r="RH4" i="695"/>
  <c r="SB3" i="695"/>
  <c r="QG25" i="695"/>
  <c r="QG29" i="695"/>
  <c r="QG32" i="695"/>
  <c r="QV20" i="695"/>
  <c r="QV23" i="695" s="1"/>
  <c r="QV18" i="695"/>
  <c r="QV31" i="695" s="1"/>
  <c r="QV19" i="695"/>
  <c r="QV27" i="695" s="1"/>
  <c r="QV22" i="695"/>
  <c r="QV21" i="695"/>
  <c r="QV24" i="695" s="1"/>
  <c r="QV26" i="695" s="1"/>
  <c r="QC25" i="695"/>
  <c r="QC29" i="695"/>
  <c r="QC32" i="695"/>
  <c r="UI18" i="83"/>
  <c r="UI32" i="83" s="1"/>
  <c r="UI19" i="83"/>
  <c r="UI27" i="83" s="1"/>
  <c r="UI20" i="83"/>
  <c r="UI24" i="83" s="1"/>
  <c r="UI26" i="83" s="1"/>
  <c r="UI22" i="83"/>
  <c r="UI21" i="83"/>
  <c r="UI23" i="83" s="1"/>
  <c r="UJ18" i="83"/>
  <c r="UJ32" i="83" s="1"/>
  <c r="UJ19" i="83"/>
  <c r="UJ27" i="83" s="1"/>
  <c r="UJ22" i="83"/>
  <c r="UJ21" i="83"/>
  <c r="UJ23" i="83" s="1"/>
  <c r="UJ20" i="83"/>
  <c r="UJ24" i="83" s="1"/>
  <c r="UJ26" i="83" s="1"/>
  <c r="QU28" i="695"/>
  <c r="QU30" i="695"/>
  <c r="PS29" i="695"/>
  <c r="PS25" i="695"/>
  <c r="PS32" i="695"/>
  <c r="RF4" i="695"/>
  <c r="RZ3" i="695"/>
  <c r="UE25" i="83"/>
  <c r="UE30" i="83"/>
  <c r="UE33" i="83"/>
  <c r="WH3" i="83"/>
  <c r="VN9" i="83"/>
  <c r="VN10" i="83"/>
  <c r="VN11" i="83"/>
  <c r="VN12" i="83"/>
  <c r="VN13" i="83"/>
  <c r="VN14" i="83"/>
  <c r="VN15" i="83"/>
  <c r="VN16" i="83"/>
  <c r="VN17" i="83"/>
  <c r="VN7" i="83"/>
  <c r="VN8" i="83"/>
  <c r="WA3" i="83"/>
  <c r="VG9" i="83"/>
  <c r="VG10" i="83"/>
  <c r="VG11" i="83"/>
  <c r="VG12" i="83"/>
  <c r="VG13" i="83"/>
  <c r="VG14" i="83"/>
  <c r="VG15" i="83"/>
  <c r="VG16" i="83"/>
  <c r="VG17" i="83"/>
  <c r="VG7" i="83"/>
  <c r="VG8" i="83"/>
  <c r="QT28" i="695"/>
  <c r="QT30" i="695"/>
  <c r="RC4" i="695"/>
  <c r="RW3" i="695"/>
  <c r="TS25" i="83"/>
  <c r="TS30" i="83"/>
  <c r="TS33" i="83"/>
  <c r="WE3" i="83"/>
  <c r="VK9" i="83"/>
  <c r="VK10" i="83"/>
  <c r="VK11" i="83"/>
  <c r="VK12" i="83"/>
  <c r="VK13" i="83"/>
  <c r="VK14" i="83"/>
  <c r="VK15" i="83"/>
  <c r="VK16" i="83"/>
  <c r="VK17" i="83"/>
  <c r="VK7" i="83"/>
  <c r="VK8" i="83"/>
  <c r="QF25" i="695"/>
  <c r="QF29" i="695"/>
  <c r="QF32" i="695"/>
  <c r="QO19" i="695"/>
  <c r="QO27" i="695" s="1"/>
  <c r="QO20" i="695"/>
  <c r="QO23" i="695" s="1"/>
  <c r="QO21" i="695"/>
  <c r="QO24" i="695" s="1"/>
  <c r="QO26" i="695" s="1"/>
  <c r="QO18" i="695"/>
  <c r="QO31" i="695" s="1"/>
  <c r="QO22" i="695"/>
  <c r="UL29" i="83"/>
  <c r="UL31" i="83"/>
  <c r="QM20" i="695"/>
  <c r="QM23" i="695" s="1"/>
  <c r="QM18" i="695"/>
  <c r="QM31" i="695" s="1"/>
  <c r="QM19" i="695"/>
  <c r="QM27" i="695" s="1"/>
  <c r="QM21" i="695"/>
  <c r="QM24" i="695" s="1"/>
  <c r="QM26" i="695" s="1"/>
  <c r="QM22" i="695"/>
  <c r="QH25" i="695"/>
  <c r="QH29" i="695"/>
  <c r="QH32" i="695"/>
  <c r="UD25" i="83"/>
  <c r="UD30" i="83"/>
  <c r="UD33" i="83"/>
  <c r="WM3" i="83"/>
  <c r="XG3" i="83" s="1"/>
  <c r="VS9" i="83"/>
  <c r="VS10" i="83"/>
  <c r="VS11" i="83"/>
  <c r="VS12" i="83"/>
  <c r="VS13" i="83"/>
  <c r="VS14" i="83"/>
  <c r="VS15" i="83"/>
  <c r="VS16" i="83"/>
  <c r="VS17" i="83"/>
  <c r="VS7" i="83"/>
  <c r="VS8" i="83"/>
  <c r="UH29" i="83"/>
  <c r="UH31" i="83"/>
  <c r="TM18" i="83"/>
  <c r="TM32" i="83" s="1"/>
  <c r="QI19" i="695"/>
  <c r="QI27" i="695" s="1"/>
  <c r="WK3" i="83"/>
  <c r="VQ9" i="83"/>
  <c r="VQ10" i="83"/>
  <c r="VQ11" i="83"/>
  <c r="VQ12" i="83"/>
  <c r="VQ13" i="83"/>
  <c r="VQ14" i="83"/>
  <c r="VQ15" i="83"/>
  <c r="VQ16" i="83"/>
  <c r="VQ17" i="83"/>
  <c r="VQ7" i="83"/>
  <c r="VQ8" i="83"/>
  <c r="UM29" i="83"/>
  <c r="UM31" i="83"/>
  <c r="UO18" i="83"/>
  <c r="UO32" i="83" s="1"/>
  <c r="UO20" i="83"/>
  <c r="UO24" i="83" s="1"/>
  <c r="UO26" i="83" s="1"/>
  <c r="UO19" i="83"/>
  <c r="UO27" i="83" s="1"/>
  <c r="UO21" i="83"/>
  <c r="UO23" i="83" s="1"/>
  <c r="UO22" i="83"/>
  <c r="QW28" i="695"/>
  <c r="QW30" i="695"/>
  <c r="UH19" i="83"/>
  <c r="UH27" i="83" s="1"/>
  <c r="UH20" i="83"/>
  <c r="UH24" i="83" s="1"/>
  <c r="UH26" i="83" s="1"/>
  <c r="UH22" i="83"/>
  <c r="UH18" i="83"/>
  <c r="UH32" i="83" s="1"/>
  <c r="UH21" i="83"/>
  <c r="UH23" i="83" s="1"/>
  <c r="QI18" i="695"/>
  <c r="QI31" i="695" s="1"/>
  <c r="UI29" i="83"/>
  <c r="UI31" i="83"/>
  <c r="QZ28" i="695"/>
  <c r="QZ30" i="695"/>
  <c r="UJ29" i="83"/>
  <c r="UJ31" i="83"/>
  <c r="RA28" i="695"/>
  <c r="RA30" i="695"/>
  <c r="QY28" i="695"/>
  <c r="QY30" i="695"/>
  <c r="UU18" i="83"/>
  <c r="UU32" i="83" s="1"/>
  <c r="UU19" i="83"/>
  <c r="UU27" i="83" s="1"/>
  <c r="UU20" i="83"/>
  <c r="UU24" i="83" s="1"/>
  <c r="UU26" i="83" s="1"/>
  <c r="UU21" i="83"/>
  <c r="UU23" i="83" s="1"/>
  <c r="UU22" i="83"/>
  <c r="UV18" i="83"/>
  <c r="UV32" i="83" s="1"/>
  <c r="UV19" i="83"/>
  <c r="UV27" i="83" s="1"/>
  <c r="UV20" i="83"/>
  <c r="UV24" i="83" s="1"/>
  <c r="UV26" i="83" s="1"/>
  <c r="UV21" i="83"/>
  <c r="UV23" i="83" s="1"/>
  <c r="UV22" i="83"/>
  <c r="SI3" i="695"/>
  <c r="RO4" i="695"/>
  <c r="UB25" i="83"/>
  <c r="UB30" i="83"/>
  <c r="UB33" i="83"/>
  <c r="WL3" i="83"/>
  <c r="XF3" i="83" s="1"/>
  <c r="VR9" i="83"/>
  <c r="VR10" i="83"/>
  <c r="VR11" i="83"/>
  <c r="VR12" i="83"/>
  <c r="VR13" i="83"/>
  <c r="VR14" i="83"/>
  <c r="VR15" i="83"/>
  <c r="VR16" i="83"/>
  <c r="VR17" i="83"/>
  <c r="VR7" i="83"/>
  <c r="VR8" i="83"/>
  <c r="QR28" i="695"/>
  <c r="QR30" i="695"/>
  <c r="RN4" i="695"/>
  <c r="SH3" i="695"/>
  <c r="WC3" i="83"/>
  <c r="VI9" i="83"/>
  <c r="VI10" i="83"/>
  <c r="VI11" i="83"/>
  <c r="VI12" i="83"/>
  <c r="VI13" i="83"/>
  <c r="VI14" i="83"/>
  <c r="VI15" i="83"/>
  <c r="VI16" i="83"/>
  <c r="VI17" i="83"/>
  <c r="VI7" i="83"/>
  <c r="VI8" i="83"/>
  <c r="WF3" i="83"/>
  <c r="VL9" i="83"/>
  <c r="VL10" i="83"/>
  <c r="VL11" i="83"/>
  <c r="VL12" i="83"/>
  <c r="VL13" i="83"/>
  <c r="VL14" i="83"/>
  <c r="VL15" i="83"/>
  <c r="VL16" i="83"/>
  <c r="VL17" i="83"/>
  <c r="VL7" i="83"/>
  <c r="VL8" i="83"/>
  <c r="UZ19" i="83"/>
  <c r="UZ27" i="83" s="1"/>
  <c r="UZ18" i="83"/>
  <c r="UZ32" i="83" s="1"/>
  <c r="UZ20" i="83"/>
  <c r="UZ24" i="83" s="1"/>
  <c r="UZ26" i="83" s="1"/>
  <c r="UZ22" i="83"/>
  <c r="UZ21" i="83"/>
  <c r="UZ23" i="83" s="1"/>
  <c r="QD25" i="695"/>
  <c r="QD29" i="695"/>
  <c r="QD32" i="695"/>
  <c r="PR25" i="695"/>
  <c r="PR29" i="695"/>
  <c r="PR32" i="695"/>
  <c r="QK28" i="695"/>
  <c r="QK30" i="695"/>
  <c r="QV28" i="695"/>
  <c r="QV30" i="695"/>
  <c r="TY25" i="83"/>
  <c r="TY30" i="83"/>
  <c r="TY33" i="83"/>
  <c r="PZ25" i="695"/>
  <c r="PZ29" i="695"/>
  <c r="PZ32" i="695"/>
  <c r="QS18" i="695"/>
  <c r="QS31" i="695" s="1"/>
  <c r="QS19" i="695"/>
  <c r="QS27" i="695" s="1"/>
  <c r="QS20" i="695"/>
  <c r="QS23" i="695" s="1"/>
  <c r="QS21" i="695"/>
  <c r="QS24" i="695" s="1"/>
  <c r="QS26" i="695" s="1"/>
  <c r="QS22" i="695"/>
  <c r="TM19" i="83"/>
  <c r="TM27" i="83" s="1"/>
  <c r="UX19" i="83"/>
  <c r="UX27" i="83" s="1"/>
  <c r="UX18" i="83"/>
  <c r="UX32" i="83" s="1"/>
  <c r="UX20" i="83"/>
  <c r="UX24" i="83" s="1"/>
  <c r="UX26" i="83" s="1"/>
  <c r="UX22" i="83"/>
  <c r="UX21" i="83"/>
  <c r="UX23" i="83" s="1"/>
  <c r="UR18" i="83"/>
  <c r="UR32" i="83" s="1"/>
  <c r="UR19" i="83"/>
  <c r="UR27" i="83" s="1"/>
  <c r="UR22" i="83"/>
  <c r="UR21" i="83"/>
  <c r="UR23" i="83" s="1"/>
  <c r="UR20" i="83"/>
  <c r="UR24" i="83" s="1"/>
  <c r="UR26" i="83" s="1"/>
  <c r="UQ29" i="83"/>
  <c r="UQ31" i="83"/>
  <c r="RV4" i="695"/>
  <c r="SP3" i="695"/>
  <c r="SO3" i="695"/>
  <c r="RU4" i="695"/>
  <c r="RS4" i="695"/>
  <c r="SM3" i="695"/>
  <c r="UU29" i="83"/>
  <c r="UU31" i="83"/>
  <c r="UN18" i="83"/>
  <c r="UN32" i="83" s="1"/>
  <c r="UN19" i="83"/>
  <c r="UN27" i="83" s="1"/>
  <c r="UN20" i="83"/>
  <c r="UN24" i="83" s="1"/>
  <c r="UN26" i="83" s="1"/>
  <c r="UN21" i="83"/>
  <c r="UN23" i="83" s="1"/>
  <c r="UN22" i="83"/>
  <c r="US18" i="83"/>
  <c r="US32" i="83" s="1"/>
  <c r="US19" i="83"/>
  <c r="US27" i="83" s="1"/>
  <c r="US20" i="83"/>
  <c r="US24" i="83" s="1"/>
  <c r="US26" i="83" s="1"/>
  <c r="US21" i="83"/>
  <c r="US23" i="83" s="1"/>
  <c r="US22" i="83"/>
  <c r="SF3" i="695"/>
  <c r="RL4" i="695"/>
  <c r="UP19" i="83"/>
  <c r="UP27" i="83" s="1"/>
  <c r="UP18" i="83"/>
  <c r="UP32" i="83" s="1"/>
  <c r="UP20" i="83"/>
  <c r="UP24" i="83" s="1"/>
  <c r="UP26" i="83" s="1"/>
  <c r="UP22" i="83"/>
  <c r="UP21" i="83"/>
  <c r="UP23" i="83" s="1"/>
  <c r="QJ18" i="695"/>
  <c r="QJ31" i="695" s="1"/>
  <c r="QJ19" i="695"/>
  <c r="QJ27" i="695" s="1"/>
  <c r="QJ20" i="695"/>
  <c r="QJ23" i="695" s="1"/>
  <c r="QJ22" i="695"/>
  <c r="QJ21" i="695"/>
  <c r="QJ24" i="695" s="1"/>
  <c r="QJ26" i="695" s="1"/>
  <c r="UZ29" i="83"/>
  <c r="UZ31" i="83"/>
  <c r="QO28" i="695"/>
  <c r="QO30" i="695"/>
  <c r="QE25" i="695"/>
  <c r="QE29" i="695"/>
  <c r="QE32" i="695"/>
  <c r="RY3" i="695"/>
  <c r="RE4" i="695"/>
  <c r="VZ3" i="83"/>
  <c r="VF9" i="83"/>
  <c r="VF10" i="83"/>
  <c r="VF11" i="83"/>
  <c r="VF12" i="83"/>
  <c r="VF13" i="83"/>
  <c r="VF14" i="83"/>
  <c r="VF15" i="83"/>
  <c r="VF16" i="83"/>
  <c r="VF17" i="83"/>
  <c r="VF7" i="83"/>
  <c r="VF8" i="83"/>
  <c r="QM28" i="695"/>
  <c r="QM30" i="695"/>
  <c r="RP4" i="695"/>
  <c r="SJ3" i="695"/>
  <c r="TU25" i="83"/>
  <c r="TU30" i="83"/>
  <c r="TU33" i="83"/>
  <c r="VV3" i="83"/>
  <c r="VB9" i="83"/>
  <c r="VB10" i="83"/>
  <c r="VB11" i="83"/>
  <c r="VB12" i="83"/>
  <c r="VB13" i="83"/>
  <c r="VB14" i="83"/>
  <c r="VB15" i="83"/>
  <c r="VB16" i="83"/>
  <c r="VB17" i="83"/>
  <c r="VB7" i="83"/>
  <c r="VB8" i="83"/>
  <c r="QN28" i="695"/>
  <c r="QN30" i="695"/>
  <c r="PY25" i="695"/>
  <c r="PY29" i="695"/>
  <c r="PY32" i="695"/>
  <c r="RK4" i="695"/>
  <c r="SE3" i="695"/>
  <c r="RA18" i="695"/>
  <c r="RA31" i="695" s="1"/>
  <c r="RA19" i="695"/>
  <c r="RA27" i="695" s="1"/>
  <c r="RA20" i="695"/>
  <c r="RA23" i="695" s="1"/>
  <c r="RA21" i="695"/>
  <c r="RA24" i="695" s="1"/>
  <c r="RA26" i="695" s="1"/>
  <c r="RA22" i="695"/>
  <c r="QY21" i="695"/>
  <c r="QY24" i="695" s="1"/>
  <c r="QY26" i="695" s="1"/>
  <c r="QY19" i="695"/>
  <c r="QY27" i="695" s="1"/>
  <c r="QY18" i="695"/>
  <c r="QY31" i="695" s="1"/>
  <c r="QY20" i="695"/>
  <c r="QY23" i="695" s="1"/>
  <c r="QY22" i="695"/>
  <c r="QA29" i="695"/>
  <c r="QA25" i="695"/>
  <c r="QA32" i="695"/>
  <c r="QL28" i="695"/>
  <c r="QL30" i="695"/>
  <c r="VY3" i="83"/>
  <c r="VE9" i="83"/>
  <c r="VE10" i="83"/>
  <c r="VE11" i="83"/>
  <c r="VE12" i="83"/>
  <c r="VE13" i="83"/>
  <c r="VE14" i="83"/>
  <c r="VE15" i="83"/>
  <c r="VE16" i="83"/>
  <c r="VE17" i="83"/>
  <c r="VE7" i="83"/>
  <c r="VE8" i="83"/>
  <c r="QK18" i="695"/>
  <c r="QK31" i="695" s="1"/>
  <c r="QK19" i="695"/>
  <c r="QK27" i="695" s="1"/>
  <c r="QK20" i="695"/>
  <c r="QK23" i="695" s="1"/>
  <c r="QK22" i="695"/>
  <c r="QK21" i="695"/>
  <c r="QK24" i="695" s="1"/>
  <c r="QK26" i="695" s="1"/>
  <c r="UL18" i="83"/>
  <c r="UL32" i="83" s="1"/>
  <c r="UL19" i="83"/>
  <c r="UL27" i="83" s="1"/>
  <c r="UL20" i="83"/>
  <c r="UL24" i="83" s="1"/>
  <c r="UL26" i="83" s="1"/>
  <c r="UL21" i="83"/>
  <c r="UL23" i="83" s="1"/>
  <c r="UL22" i="83"/>
  <c r="SK3" i="695"/>
  <c r="RQ4" i="695"/>
  <c r="SN3" i="695"/>
  <c r="RT4" i="695"/>
  <c r="UV29" i="83"/>
  <c r="UV31" i="83"/>
  <c r="QX19" i="695"/>
  <c r="QX27" i="695" s="1"/>
  <c r="QX20" i="695"/>
  <c r="QX23" i="695" s="1"/>
  <c r="QX18" i="695"/>
  <c r="QX31" i="695" s="1"/>
  <c r="QX22" i="695"/>
  <c r="QX21" i="695"/>
  <c r="QX24" i="695" s="1"/>
  <c r="QX26" i="695" s="1"/>
  <c r="VW3" i="83"/>
  <c r="VC9" i="83"/>
  <c r="VC10" i="83"/>
  <c r="VC11" i="83"/>
  <c r="VC12" i="83"/>
  <c r="VC13" i="83"/>
  <c r="VC14" i="83"/>
  <c r="VC15" i="83"/>
  <c r="VC16" i="83"/>
  <c r="VC17" i="83"/>
  <c r="VC7" i="83"/>
  <c r="VC8" i="83"/>
  <c r="VX3" i="83"/>
  <c r="VD9" i="83"/>
  <c r="VD10" i="83"/>
  <c r="VD11" i="83"/>
  <c r="VD12" i="83"/>
  <c r="VD13" i="83"/>
  <c r="VD14" i="83"/>
  <c r="VD15" i="83"/>
  <c r="VD16" i="83"/>
  <c r="VD17" i="83"/>
  <c r="VD7" i="83"/>
  <c r="VD8" i="83"/>
  <c r="UW18" i="83"/>
  <c r="UW32" i="83" s="1"/>
  <c r="UW20" i="83"/>
  <c r="UW24" i="83" s="1"/>
  <c r="UW26" i="83" s="1"/>
  <c r="UW21" i="83"/>
  <c r="UW23" i="83" s="1"/>
  <c r="UW19" i="83"/>
  <c r="UW27" i="83" s="1"/>
  <c r="UW22" i="83"/>
  <c r="PV25" i="695"/>
  <c r="PV29" i="695"/>
  <c r="PV32" i="695"/>
  <c r="W30" i="27" a="1"/>
  <c r="W30" i="27" s="1"/>
  <c r="X31" i="27"/>
  <c r="UN29" i="83"/>
  <c r="UN31" i="83"/>
  <c r="PW25" i="695"/>
  <c r="PW29" i="695"/>
  <c r="PW32" i="695"/>
  <c r="US29" i="83"/>
  <c r="US31" i="83"/>
  <c r="UC25" i="83"/>
  <c r="UC30" i="83"/>
  <c r="UC33" i="83"/>
  <c r="UP29" i="83"/>
  <c r="UP31" i="83"/>
  <c r="SC3" i="695"/>
  <c r="RI4" i="695"/>
  <c r="QP19" i="695"/>
  <c r="QP27" i="695" s="1"/>
  <c r="QP20" i="695"/>
  <c r="QP23" i="695" s="1"/>
  <c r="QP18" i="695"/>
  <c r="QP31" i="695" s="1"/>
  <c r="QP22" i="695"/>
  <c r="QP21" i="695"/>
  <c r="QP24" i="695" s="1"/>
  <c r="QP26" i="695" s="1"/>
  <c r="SS25" i="83"/>
  <c r="SS30" i="83"/>
  <c r="SS33" i="83"/>
  <c r="SA3" i="695"/>
  <c r="RG4" i="695"/>
  <c r="QQ21" i="695"/>
  <c r="QQ24" i="695" s="1"/>
  <c r="QQ26" i="695" s="1"/>
  <c r="QQ19" i="695"/>
  <c r="QQ27" i="695" s="1"/>
  <c r="QQ18" i="695"/>
  <c r="QQ31" i="695" s="1"/>
  <c r="QQ20" i="695"/>
  <c r="QQ23" i="695" s="1"/>
  <c r="QQ22" i="695"/>
  <c r="QS28" i="695"/>
  <c r="QS30" i="695"/>
  <c r="PQ25" i="695"/>
  <c r="PQ29" i="695"/>
  <c r="PQ32" i="695"/>
  <c r="PO25" i="695"/>
  <c r="PO29" i="695"/>
  <c r="PO32" i="695"/>
  <c r="RC8" i="695"/>
  <c r="RC7" i="695"/>
  <c r="VA8" i="83"/>
  <c r="VA7" i="83"/>
  <c r="VA31" i="83" l="1"/>
  <c r="RC28" i="695"/>
  <c r="RC30" i="695"/>
  <c r="UG25" i="83"/>
  <c r="UG30" i="83"/>
  <c r="UG33" i="83"/>
  <c r="RA25" i="695"/>
  <c r="RA29" i="695"/>
  <c r="RA32" i="695"/>
  <c r="VN29" i="83"/>
  <c r="VN31" i="83"/>
  <c r="QT25" i="695"/>
  <c r="QT29" i="695"/>
  <c r="QT32" i="695"/>
  <c r="QP25" i="695"/>
  <c r="QP29" i="695"/>
  <c r="QP32" i="695"/>
  <c r="UK25" i="83"/>
  <c r="UK30" i="83"/>
  <c r="UK33" i="83"/>
  <c r="SU3" i="695"/>
  <c r="SA7" i="695"/>
  <c r="SA9" i="695"/>
  <c r="SA10" i="695"/>
  <c r="SA11" i="695"/>
  <c r="SA12" i="695"/>
  <c r="SA13" i="695"/>
  <c r="SA14" i="695"/>
  <c r="SA15" i="695"/>
  <c r="SA16" i="695"/>
  <c r="SA17" i="695"/>
  <c r="SA8" i="695"/>
  <c r="QQ29" i="695"/>
  <c r="QQ25" i="695"/>
  <c r="QQ32" i="695"/>
  <c r="WR3" i="83"/>
  <c r="VX9" i="83"/>
  <c r="VX10" i="83"/>
  <c r="VX11" i="83"/>
  <c r="VX12" i="83"/>
  <c r="VX13" i="83"/>
  <c r="VX14" i="83"/>
  <c r="VX15" i="83"/>
  <c r="VX16" i="83"/>
  <c r="VX17" i="83"/>
  <c r="VX7" i="83"/>
  <c r="VX8" i="83"/>
  <c r="QX29" i="695"/>
  <c r="QX25" i="695"/>
  <c r="QX32" i="695"/>
  <c r="VF29" i="83"/>
  <c r="VF31" i="83"/>
  <c r="TJ3" i="695"/>
  <c r="SP7" i="695"/>
  <c r="SP9" i="695"/>
  <c r="SP10" i="695"/>
  <c r="SP11" i="695"/>
  <c r="SP12" i="695"/>
  <c r="SP13" i="695"/>
  <c r="SP14" i="695"/>
  <c r="SP15" i="695"/>
  <c r="SP16" i="695"/>
  <c r="SP17" i="695"/>
  <c r="SP8" i="695"/>
  <c r="WW3" i="83"/>
  <c r="WC9" i="83"/>
  <c r="WC10" i="83"/>
  <c r="WC11" i="83"/>
  <c r="WC12" i="83"/>
  <c r="WC13" i="83"/>
  <c r="WC14" i="83"/>
  <c r="WC15" i="83"/>
  <c r="WC16" i="83"/>
  <c r="WC17" i="83"/>
  <c r="WC7" i="83"/>
  <c r="WC8" i="83"/>
  <c r="XZ3" i="83"/>
  <c r="XF4" i="83"/>
  <c r="WU3" i="83"/>
  <c r="WA9" i="83"/>
  <c r="WA10" i="83"/>
  <c r="WA11" i="83"/>
  <c r="WA12" i="83"/>
  <c r="WA13" i="83"/>
  <c r="WA14" i="83"/>
  <c r="WA15" i="83"/>
  <c r="WA16" i="83"/>
  <c r="WA17" i="83"/>
  <c r="WA7" i="83"/>
  <c r="WA8" i="83"/>
  <c r="ST3" i="695"/>
  <c r="RZ7" i="695"/>
  <c r="RZ9" i="695"/>
  <c r="RZ10" i="695"/>
  <c r="RZ11" i="695"/>
  <c r="RZ12" i="695"/>
  <c r="RZ13" i="695"/>
  <c r="RZ14" i="695"/>
  <c r="RZ15" i="695"/>
  <c r="RZ16" i="695"/>
  <c r="RZ17" i="695"/>
  <c r="RZ8" i="695"/>
  <c r="UJ25" i="83"/>
  <c r="UJ30" i="83"/>
  <c r="UJ33" i="83"/>
  <c r="QV25" i="695"/>
  <c r="QV29" i="695"/>
  <c r="QV32" i="695"/>
  <c r="RD7" i="695"/>
  <c r="RD9" i="695"/>
  <c r="RD10" i="695"/>
  <c r="RD11" i="695"/>
  <c r="RD12" i="695"/>
  <c r="RD13" i="695"/>
  <c r="RD14" i="695"/>
  <c r="RD15" i="695"/>
  <c r="RD16" i="695"/>
  <c r="RD17" i="695"/>
  <c r="RD8" i="695"/>
  <c r="VH29" i="83"/>
  <c r="VH31" i="83"/>
  <c r="XD3" i="83"/>
  <c r="WJ9" i="83"/>
  <c r="WJ10" i="83"/>
  <c r="WJ11" i="83"/>
  <c r="WJ12" i="83"/>
  <c r="WJ13" i="83"/>
  <c r="WJ14" i="83"/>
  <c r="WJ15" i="83"/>
  <c r="WJ16" i="83"/>
  <c r="WJ17" i="83"/>
  <c r="WJ7" i="83"/>
  <c r="WJ8" i="83"/>
  <c r="TF3" i="695"/>
  <c r="SL7" i="695"/>
  <c r="SL9" i="695"/>
  <c r="SL10" i="695"/>
  <c r="SL11" i="695"/>
  <c r="SL12" i="695"/>
  <c r="SL13" i="695"/>
  <c r="SL14" i="695"/>
  <c r="SL15" i="695"/>
  <c r="SL16" i="695"/>
  <c r="SL17" i="695"/>
  <c r="SL8" i="695"/>
  <c r="QW25" i="695"/>
  <c r="QW29" i="695"/>
  <c r="QW32" i="695"/>
  <c r="VT29" i="83"/>
  <c r="VT31" i="83"/>
  <c r="UW25" i="83"/>
  <c r="UW30" i="83"/>
  <c r="UW33" i="83"/>
  <c r="VS29" i="83"/>
  <c r="VS31" i="83"/>
  <c r="VK18" i="83"/>
  <c r="VK32" i="83" s="1"/>
  <c r="VK19" i="83"/>
  <c r="VK27" i="83" s="1"/>
  <c r="VK20" i="83"/>
  <c r="VK24" i="83" s="1"/>
  <c r="VK26" i="83" s="1"/>
  <c r="VK21" i="83"/>
  <c r="VK23" i="83" s="1"/>
  <c r="VK22" i="83"/>
  <c r="YB3" i="83"/>
  <c r="XH4" i="83"/>
  <c r="TD3" i="695"/>
  <c r="SJ7" i="695"/>
  <c r="SJ9" i="695"/>
  <c r="SJ10" i="695"/>
  <c r="SJ11" i="695"/>
  <c r="SJ12" i="695"/>
  <c r="SJ13" i="695"/>
  <c r="SJ14" i="695"/>
  <c r="SJ15" i="695"/>
  <c r="SJ16" i="695"/>
  <c r="SJ17" i="695"/>
  <c r="SJ8" i="695"/>
  <c r="RE7" i="695"/>
  <c r="RE9" i="695"/>
  <c r="RE10" i="695"/>
  <c r="RE11" i="695"/>
  <c r="RE12" i="695"/>
  <c r="RE13" i="695"/>
  <c r="RE14" i="695"/>
  <c r="RE15" i="695"/>
  <c r="RE16" i="695"/>
  <c r="RE17" i="695"/>
  <c r="RE8" i="695"/>
  <c r="UQ25" i="83"/>
  <c r="UQ30" i="83"/>
  <c r="UQ33" i="83"/>
  <c r="UM25" i="83"/>
  <c r="UM30" i="83"/>
  <c r="UM33" i="83"/>
  <c r="VC18" i="83"/>
  <c r="VC32" i="83" s="1"/>
  <c r="VC19" i="83"/>
  <c r="VC27" i="83" s="1"/>
  <c r="VC20" i="83"/>
  <c r="VC24" i="83" s="1"/>
  <c r="VC26" i="83" s="1"/>
  <c r="VC21" i="83"/>
  <c r="VC23" i="83" s="1"/>
  <c r="VC22" i="83"/>
  <c r="UL25" i="83"/>
  <c r="UL30" i="83"/>
  <c r="UL33" i="83"/>
  <c r="UP25" i="83"/>
  <c r="UP30" i="83"/>
  <c r="UP33" i="83"/>
  <c r="US25" i="83"/>
  <c r="US30" i="83"/>
  <c r="US33" i="83"/>
  <c r="RV7" i="695"/>
  <c r="RV9" i="695"/>
  <c r="RV10" i="695"/>
  <c r="RV11" i="695"/>
  <c r="RV12" i="695"/>
  <c r="RV13" i="695"/>
  <c r="RV14" i="695"/>
  <c r="RV15" i="695"/>
  <c r="RV16" i="695"/>
  <c r="RV17" i="695"/>
  <c r="RV8" i="695"/>
  <c r="UX25" i="83"/>
  <c r="UX30" i="83"/>
  <c r="UX33" i="83"/>
  <c r="QS25" i="695"/>
  <c r="QS29" i="695"/>
  <c r="QS32" i="695"/>
  <c r="VL18" i="83"/>
  <c r="VL32" i="83" s="1"/>
  <c r="VL19" i="83"/>
  <c r="VL27" i="83" s="1"/>
  <c r="VL20" i="83"/>
  <c r="VL24" i="83" s="1"/>
  <c r="VL26" i="83" s="1"/>
  <c r="VL21" i="83"/>
  <c r="VL23" i="83" s="1"/>
  <c r="VL22" i="83"/>
  <c r="TB3" i="695"/>
  <c r="SH7" i="695"/>
  <c r="SH9" i="695"/>
  <c r="SH10" i="695"/>
  <c r="SH11" i="695"/>
  <c r="SH12" i="695"/>
  <c r="SH13" i="695"/>
  <c r="SH14" i="695"/>
  <c r="SH15" i="695"/>
  <c r="SH16" i="695"/>
  <c r="SH17" i="695"/>
  <c r="SH8" i="695"/>
  <c r="VQ19" i="83"/>
  <c r="VQ27" i="83" s="1"/>
  <c r="VQ18" i="83"/>
  <c r="VQ32" i="83" s="1"/>
  <c r="VQ20" i="83"/>
  <c r="VQ24" i="83" s="1"/>
  <c r="VQ26" i="83" s="1"/>
  <c r="VQ21" i="83"/>
  <c r="VQ23" i="83" s="1"/>
  <c r="VQ22" i="83"/>
  <c r="VS18" i="83"/>
  <c r="VS32" i="83" s="1"/>
  <c r="VS19" i="83"/>
  <c r="VS27" i="83" s="1"/>
  <c r="VS20" i="83"/>
  <c r="VS24" i="83" s="1"/>
  <c r="VS26" i="83" s="1"/>
  <c r="VS21" i="83"/>
  <c r="VS23" i="83" s="1"/>
  <c r="VS22" i="83"/>
  <c r="SQ3" i="695"/>
  <c r="RW7" i="695"/>
  <c r="RW9" i="695"/>
  <c r="RW10" i="695"/>
  <c r="RW11" i="695"/>
  <c r="RW12" i="695"/>
  <c r="RW13" i="695"/>
  <c r="RW14" i="695"/>
  <c r="RW15" i="695"/>
  <c r="RW16" i="695"/>
  <c r="RW17" i="695"/>
  <c r="RW8" i="695"/>
  <c r="VN19" i="83"/>
  <c r="VN27" i="83" s="1"/>
  <c r="VN18" i="83"/>
  <c r="VN32" i="83" s="1"/>
  <c r="VN20" i="83"/>
  <c r="VN24" i="83" s="1"/>
  <c r="VN26" i="83" s="1"/>
  <c r="VN21" i="83"/>
  <c r="VN23" i="83" s="1"/>
  <c r="VN22" i="83"/>
  <c r="RF7" i="695"/>
  <c r="RF9" i="695"/>
  <c r="RF10" i="695"/>
  <c r="RF11" i="695"/>
  <c r="RF12" i="695"/>
  <c r="RF13" i="695"/>
  <c r="RF14" i="695"/>
  <c r="RF15" i="695"/>
  <c r="RF16" i="695"/>
  <c r="RF17" i="695"/>
  <c r="RF8" i="695"/>
  <c r="SR3" i="695"/>
  <c r="RX7" i="695"/>
  <c r="RX9" i="695"/>
  <c r="RX10" i="695"/>
  <c r="RX11" i="695"/>
  <c r="RX12" i="695"/>
  <c r="RX13" i="695"/>
  <c r="RX14" i="695"/>
  <c r="RX15" i="695"/>
  <c r="RX16" i="695"/>
  <c r="RX17" i="695"/>
  <c r="RX8" i="695"/>
  <c r="XA3" i="83"/>
  <c r="WG9" i="83"/>
  <c r="WG10" i="83"/>
  <c r="WG11" i="83"/>
  <c r="WG12" i="83"/>
  <c r="WG13" i="83"/>
  <c r="WG14" i="83"/>
  <c r="WG15" i="83"/>
  <c r="WG16" i="83"/>
  <c r="WG17" i="83"/>
  <c r="WG7" i="83"/>
  <c r="WG8" i="83"/>
  <c r="RR7" i="695"/>
  <c r="RR9" i="695"/>
  <c r="RR10" i="695"/>
  <c r="RR11" i="695"/>
  <c r="RR12" i="695"/>
  <c r="RR13" i="695"/>
  <c r="RR14" i="695"/>
  <c r="RR15" i="695"/>
  <c r="RR16" i="695"/>
  <c r="RR17" i="695"/>
  <c r="RR8" i="695"/>
  <c r="VU3" i="83"/>
  <c r="VA9" i="83"/>
  <c r="VA29" i="83" s="1"/>
  <c r="VA10" i="83"/>
  <c r="VA21" i="83" s="1"/>
  <c r="VA23" i="83" s="1"/>
  <c r="VA11" i="83"/>
  <c r="VA12" i="83"/>
  <c r="VA13" i="83"/>
  <c r="VA14" i="83"/>
  <c r="VA15" i="83"/>
  <c r="VA16" i="83"/>
  <c r="VA17" i="83"/>
  <c r="SX3" i="695"/>
  <c r="SD7" i="695"/>
  <c r="SD9" i="695"/>
  <c r="SD10" i="695"/>
  <c r="SD11" i="695"/>
  <c r="SD12" i="695"/>
  <c r="SD13" i="695"/>
  <c r="SD14" i="695"/>
  <c r="SD15" i="695"/>
  <c r="SD16" i="695"/>
  <c r="SD17" i="695"/>
  <c r="SD8" i="695"/>
  <c r="UG22" i="83"/>
  <c r="VE18" i="83"/>
  <c r="VE32" i="83" s="1"/>
  <c r="VE19" i="83"/>
  <c r="VE27" i="83" s="1"/>
  <c r="VE20" i="83"/>
  <c r="VE24" i="83" s="1"/>
  <c r="VE26" i="83" s="1"/>
  <c r="VE21" i="83"/>
  <c r="VE23" i="83" s="1"/>
  <c r="VE22" i="83"/>
  <c r="UY25" i="83"/>
  <c r="UY30" i="83"/>
  <c r="UY33" i="83"/>
  <c r="W31" i="27" a="1"/>
  <c r="W31" i="27" s="1"/>
  <c r="X32" i="27"/>
  <c r="QR25" i="695"/>
  <c r="QR29" i="695"/>
  <c r="QR32" i="695"/>
  <c r="WQ3" i="83"/>
  <c r="VW9" i="83"/>
  <c r="VW10" i="83"/>
  <c r="VW11" i="83"/>
  <c r="VW12" i="83"/>
  <c r="VW13" i="83"/>
  <c r="VW14" i="83"/>
  <c r="VW15" i="83"/>
  <c r="VW16" i="83"/>
  <c r="VW17" i="83"/>
  <c r="VW7" i="83"/>
  <c r="VW8" i="83"/>
  <c r="QY29" i="695"/>
  <c r="QY25" i="695"/>
  <c r="QY32" i="695"/>
  <c r="VB18" i="83"/>
  <c r="VB32" i="83" s="1"/>
  <c r="VB19" i="83"/>
  <c r="VB27" i="83" s="1"/>
  <c r="VB20" i="83"/>
  <c r="VB24" i="83" s="1"/>
  <c r="VB26" i="83" s="1"/>
  <c r="VB21" i="83"/>
  <c r="VB23" i="83" s="1"/>
  <c r="VB22" i="83"/>
  <c r="RP7" i="695"/>
  <c r="RP9" i="695"/>
  <c r="RP10" i="695"/>
  <c r="RP11" i="695"/>
  <c r="RP12" i="695"/>
  <c r="RP13" i="695"/>
  <c r="RP14" i="695"/>
  <c r="RP15" i="695"/>
  <c r="RP16" i="695"/>
  <c r="RP17" i="695"/>
  <c r="RP8" i="695"/>
  <c r="SS3" i="695"/>
  <c r="RY7" i="695"/>
  <c r="RY9" i="695"/>
  <c r="RY10" i="695"/>
  <c r="RY11" i="695"/>
  <c r="RY12" i="695"/>
  <c r="RY13" i="695"/>
  <c r="RY14" i="695"/>
  <c r="RY15" i="695"/>
  <c r="RY16" i="695"/>
  <c r="RY17" i="695"/>
  <c r="RY8" i="695"/>
  <c r="TG3" i="695"/>
  <c r="SM7" i="695"/>
  <c r="SM9" i="695"/>
  <c r="SM10" i="695"/>
  <c r="SM11" i="695"/>
  <c r="SM12" i="695"/>
  <c r="SM13" i="695"/>
  <c r="SM14" i="695"/>
  <c r="SM15" i="695"/>
  <c r="SM16" i="695"/>
  <c r="SM17" i="695"/>
  <c r="SM8" i="695"/>
  <c r="UZ25" i="83"/>
  <c r="UZ30" i="83"/>
  <c r="UZ33" i="83"/>
  <c r="WZ3" i="83"/>
  <c r="WF9" i="83"/>
  <c r="WF10" i="83"/>
  <c r="WF11" i="83"/>
  <c r="WF12" i="83"/>
  <c r="WF13" i="83"/>
  <c r="WF14" i="83"/>
  <c r="WF15" i="83"/>
  <c r="WF16" i="83"/>
  <c r="WF17" i="83"/>
  <c r="WF7" i="83"/>
  <c r="WF8" i="83"/>
  <c r="RO7" i="695"/>
  <c r="RO9" i="695"/>
  <c r="RO10" i="695"/>
  <c r="RO11" i="695"/>
  <c r="RO12" i="695"/>
  <c r="RO13" i="695"/>
  <c r="RO14" i="695"/>
  <c r="RO15" i="695"/>
  <c r="RO16" i="695"/>
  <c r="RO17" i="695"/>
  <c r="RO8" i="695"/>
  <c r="UU25" i="83"/>
  <c r="UU30" i="83"/>
  <c r="UU33" i="83"/>
  <c r="XE3" i="83"/>
  <c r="WK9" i="83"/>
  <c r="WK10" i="83"/>
  <c r="WK11" i="83"/>
  <c r="WK12" i="83"/>
  <c r="WK13" i="83"/>
  <c r="WK14" i="83"/>
  <c r="WK15" i="83"/>
  <c r="WK16" i="83"/>
  <c r="WK17" i="83"/>
  <c r="WK7" i="83"/>
  <c r="WK8" i="83"/>
  <c r="XG4" i="83"/>
  <c r="YA3" i="83"/>
  <c r="XB3" i="83"/>
  <c r="WH9" i="83"/>
  <c r="WH10" i="83"/>
  <c r="WH11" i="83"/>
  <c r="WH12" i="83"/>
  <c r="WH13" i="83"/>
  <c r="WH14" i="83"/>
  <c r="WH15" i="83"/>
  <c r="WH16" i="83"/>
  <c r="WH17" i="83"/>
  <c r="WH7" i="83"/>
  <c r="WH8" i="83"/>
  <c r="UI25" i="83"/>
  <c r="UI30" i="83"/>
  <c r="UI33" i="83"/>
  <c r="SV3" i="695"/>
  <c r="SB7" i="695"/>
  <c r="SB9" i="695"/>
  <c r="SB10" i="695"/>
  <c r="SB11" i="695"/>
  <c r="SB12" i="695"/>
  <c r="SB13" i="695"/>
  <c r="SB14" i="695"/>
  <c r="SB15" i="695"/>
  <c r="SB16" i="695"/>
  <c r="SB17" i="695"/>
  <c r="SB8" i="695"/>
  <c r="TA3" i="695"/>
  <c r="SG7" i="695"/>
  <c r="SG9" i="695"/>
  <c r="SG10" i="695"/>
  <c r="SG11" i="695"/>
  <c r="SG12" i="695"/>
  <c r="SG13" i="695"/>
  <c r="SG14" i="695"/>
  <c r="SG15" i="695"/>
  <c r="SG16" i="695"/>
  <c r="SG17" i="695"/>
  <c r="SG8" i="695"/>
  <c r="UG20" i="83"/>
  <c r="UG24" i="83" s="1"/>
  <c r="UG26" i="83" s="1"/>
  <c r="RC9" i="695"/>
  <c r="RC20" i="695" s="1"/>
  <c r="RC23" i="695" s="1"/>
  <c r="RC10" i="695"/>
  <c r="RC11" i="695"/>
  <c r="RC12" i="695"/>
  <c r="RC13" i="695"/>
  <c r="RC22" i="695" s="1"/>
  <c r="RC14" i="695"/>
  <c r="RC15" i="695"/>
  <c r="RC16" i="695"/>
  <c r="RC17" i="695"/>
  <c r="VJ18" i="83"/>
  <c r="VJ32" i="83" s="1"/>
  <c r="VJ19" i="83"/>
  <c r="VJ27" i="83" s="1"/>
  <c r="VJ20" i="83"/>
  <c r="VJ24" i="83" s="1"/>
  <c r="VJ26" i="83" s="1"/>
  <c r="VJ21" i="83"/>
  <c r="VJ23" i="83" s="1"/>
  <c r="VJ22" i="83"/>
  <c r="WV3" i="83"/>
  <c r="WB9" i="83"/>
  <c r="WB10" i="83"/>
  <c r="WB11" i="83"/>
  <c r="WB12" i="83"/>
  <c r="WB13" i="83"/>
  <c r="WB14" i="83"/>
  <c r="WB15" i="83"/>
  <c r="WB16" i="83"/>
  <c r="WB17" i="83"/>
  <c r="WB7" i="83"/>
  <c r="WB8" i="83"/>
  <c r="QZ25" i="695"/>
  <c r="QZ29" i="695"/>
  <c r="QZ32" i="695"/>
  <c r="VO19" i="83"/>
  <c r="VO27" i="83" s="1"/>
  <c r="VO18" i="83"/>
  <c r="VO32" i="83" s="1"/>
  <c r="VO20" i="83"/>
  <c r="VO24" i="83" s="1"/>
  <c r="VO26" i="83" s="1"/>
  <c r="VO22" i="83"/>
  <c r="VO21" i="83"/>
  <c r="VO23" i="83" s="1"/>
  <c r="RG7" i="695"/>
  <c r="RG9" i="695"/>
  <c r="RG10" i="695"/>
  <c r="RG11" i="695"/>
  <c r="RG12" i="695"/>
  <c r="RG13" i="695"/>
  <c r="RG14" i="695"/>
  <c r="RG15" i="695"/>
  <c r="RG16" i="695"/>
  <c r="RG17" i="695"/>
  <c r="RG8" i="695"/>
  <c r="VE29" i="83"/>
  <c r="VE31" i="83"/>
  <c r="UO25" i="83"/>
  <c r="UO30" i="83"/>
  <c r="UO33" i="83"/>
  <c r="VK29" i="83"/>
  <c r="VK31" i="83"/>
  <c r="RT7" i="695"/>
  <c r="RT9" i="695"/>
  <c r="RT10" i="695"/>
  <c r="RT11" i="695"/>
  <c r="RT12" i="695"/>
  <c r="RT13" i="695"/>
  <c r="RT14" i="695"/>
  <c r="RT15" i="695"/>
  <c r="RT16" i="695"/>
  <c r="RT17" i="695"/>
  <c r="RT8" i="695"/>
  <c r="RI7" i="695"/>
  <c r="RI9" i="695"/>
  <c r="RI10" i="695"/>
  <c r="RI11" i="695"/>
  <c r="RI12" i="695"/>
  <c r="RI13" i="695"/>
  <c r="RI14" i="695"/>
  <c r="RI15" i="695"/>
  <c r="RI16" i="695"/>
  <c r="RI17" i="695"/>
  <c r="RI8" i="695"/>
  <c r="VD18" i="83"/>
  <c r="VD32" i="83" s="1"/>
  <c r="VD19" i="83"/>
  <c r="VD27" i="83" s="1"/>
  <c r="VD20" i="83"/>
  <c r="VD24" i="83" s="1"/>
  <c r="VD26" i="83" s="1"/>
  <c r="VD21" i="83"/>
  <c r="VD23" i="83" s="1"/>
  <c r="VD22" i="83"/>
  <c r="TH3" i="695"/>
  <c r="SN7" i="695"/>
  <c r="SN9" i="695"/>
  <c r="SN10" i="695"/>
  <c r="SN11" i="695"/>
  <c r="SN12" i="695"/>
  <c r="SN13" i="695"/>
  <c r="SN14" i="695"/>
  <c r="SN15" i="695"/>
  <c r="SN16" i="695"/>
  <c r="SN17" i="695"/>
  <c r="SN8" i="695"/>
  <c r="WS3" i="83"/>
  <c r="VY9" i="83"/>
  <c r="VY10" i="83"/>
  <c r="VY11" i="83"/>
  <c r="VY12" i="83"/>
  <c r="VY13" i="83"/>
  <c r="VY14" i="83"/>
  <c r="VY15" i="83"/>
  <c r="VY16" i="83"/>
  <c r="VY17" i="83"/>
  <c r="VY7" i="83"/>
  <c r="VY8" i="83"/>
  <c r="SY3" i="695"/>
  <c r="SE7" i="695"/>
  <c r="SE9" i="695"/>
  <c r="SE10" i="695"/>
  <c r="SE11" i="695"/>
  <c r="SE12" i="695"/>
  <c r="SE13" i="695"/>
  <c r="SE14" i="695"/>
  <c r="SE15" i="695"/>
  <c r="SE16" i="695"/>
  <c r="SE17" i="695"/>
  <c r="SE8" i="695"/>
  <c r="VB29" i="83"/>
  <c r="VB31" i="83"/>
  <c r="RS7" i="695"/>
  <c r="RS9" i="695"/>
  <c r="RS10" i="695"/>
  <c r="RS11" i="695"/>
  <c r="RS12" i="695"/>
  <c r="RS13" i="695"/>
  <c r="RS14" i="695"/>
  <c r="RS15" i="695"/>
  <c r="RS16" i="695"/>
  <c r="RS17" i="695"/>
  <c r="RS8" i="695"/>
  <c r="UR25" i="83"/>
  <c r="UR30" i="83"/>
  <c r="UR33" i="83"/>
  <c r="VI19" i="83"/>
  <c r="VI27" i="83" s="1"/>
  <c r="VI20" i="83"/>
  <c r="VI24" i="83" s="1"/>
  <c r="VI26" i="83" s="1"/>
  <c r="VI18" i="83"/>
  <c r="VI32" i="83" s="1"/>
  <c r="VI21" i="83"/>
  <c r="VI23" i="83" s="1"/>
  <c r="VI22" i="83"/>
  <c r="VR19" i="83"/>
  <c r="VR27" i="83" s="1"/>
  <c r="VR20" i="83"/>
  <c r="VR24" i="83" s="1"/>
  <c r="VR26" i="83" s="1"/>
  <c r="VR18" i="83"/>
  <c r="VR32" i="83" s="1"/>
  <c r="VR21" i="83"/>
  <c r="VR23" i="83" s="1"/>
  <c r="VR22" i="83"/>
  <c r="TC3" i="695"/>
  <c r="SI7" i="695"/>
  <c r="SI9" i="695"/>
  <c r="SI10" i="695"/>
  <c r="SI11" i="695"/>
  <c r="SI12" i="695"/>
  <c r="SI13" i="695"/>
  <c r="SI14" i="695"/>
  <c r="SI15" i="695"/>
  <c r="SI16" i="695"/>
  <c r="SI17" i="695"/>
  <c r="SI8" i="695"/>
  <c r="QO25" i="695"/>
  <c r="QO29" i="695"/>
  <c r="QO32" i="695"/>
  <c r="WY3" i="83"/>
  <c r="WE9" i="83"/>
  <c r="WE10" i="83"/>
  <c r="WE11" i="83"/>
  <c r="WE12" i="83"/>
  <c r="WE13" i="83"/>
  <c r="WE14" i="83"/>
  <c r="WE15" i="83"/>
  <c r="WE16" i="83"/>
  <c r="WE17" i="83"/>
  <c r="WE7" i="83"/>
  <c r="WE8" i="83"/>
  <c r="VG19" i="83"/>
  <c r="VG27" i="83" s="1"/>
  <c r="VG18" i="83"/>
  <c r="VG32" i="83" s="1"/>
  <c r="VG20" i="83"/>
  <c r="VG24" i="83" s="1"/>
  <c r="VG26" i="83" s="1"/>
  <c r="VG22" i="83"/>
  <c r="VG21" i="83"/>
  <c r="VG23" i="83" s="1"/>
  <c r="RH7" i="695"/>
  <c r="RH9" i="695"/>
  <c r="RH10" i="695"/>
  <c r="RH11" i="695"/>
  <c r="RH12" i="695"/>
  <c r="RH13" i="695"/>
  <c r="RH14" i="695"/>
  <c r="RH15" i="695"/>
  <c r="RH16" i="695"/>
  <c r="RH17" i="695"/>
  <c r="RH8" i="695"/>
  <c r="QI25" i="695"/>
  <c r="QI29" i="695"/>
  <c r="QI32" i="695"/>
  <c r="WX3" i="83"/>
  <c r="WD9" i="83"/>
  <c r="WD10" i="83"/>
  <c r="WD11" i="83"/>
  <c r="WD12" i="83"/>
  <c r="WD13" i="83"/>
  <c r="WD14" i="83"/>
  <c r="WD15" i="83"/>
  <c r="WD16" i="83"/>
  <c r="WD17" i="83"/>
  <c r="WD7" i="83"/>
  <c r="WD8" i="83"/>
  <c r="VP19" i="83"/>
  <c r="VP27" i="83" s="1"/>
  <c r="VP18" i="83"/>
  <c r="VP32" i="83" s="1"/>
  <c r="VP20" i="83"/>
  <c r="VP24" i="83" s="1"/>
  <c r="VP26" i="83" s="1"/>
  <c r="VP21" i="83"/>
  <c r="VP23" i="83" s="1"/>
  <c r="VP22" i="83"/>
  <c r="XC3" i="83"/>
  <c r="WI9" i="83"/>
  <c r="WI10" i="83"/>
  <c r="WI11" i="83"/>
  <c r="WI12" i="83"/>
  <c r="WI13" i="83"/>
  <c r="WI14" i="83"/>
  <c r="WI15" i="83"/>
  <c r="WI16" i="83"/>
  <c r="WI17" i="83"/>
  <c r="WI7" i="83"/>
  <c r="WI8" i="83"/>
  <c r="UG18" i="83"/>
  <c r="UG32" i="83" s="1"/>
  <c r="VC29" i="83"/>
  <c r="VC31" i="83"/>
  <c r="WT3" i="83"/>
  <c r="VZ9" i="83"/>
  <c r="VZ10" i="83"/>
  <c r="VZ11" i="83"/>
  <c r="VZ12" i="83"/>
  <c r="VZ13" i="83"/>
  <c r="VZ14" i="83"/>
  <c r="VZ15" i="83"/>
  <c r="VZ16" i="83"/>
  <c r="VZ17" i="83"/>
  <c r="VZ7" i="83"/>
  <c r="VZ8" i="83"/>
  <c r="VL29" i="83"/>
  <c r="VL31" i="83"/>
  <c r="VQ29" i="83"/>
  <c r="VQ31" i="83"/>
  <c r="SW3" i="695"/>
  <c r="SC7" i="695"/>
  <c r="SC9" i="695"/>
  <c r="SC10" i="695"/>
  <c r="SC11" i="695"/>
  <c r="SC12" i="695"/>
  <c r="SC13" i="695"/>
  <c r="SC14" i="695"/>
  <c r="SC15" i="695"/>
  <c r="SC16" i="695"/>
  <c r="SC17" i="695"/>
  <c r="SC8" i="695"/>
  <c r="VD29" i="83"/>
  <c r="VD31" i="83"/>
  <c r="RQ7" i="695"/>
  <c r="RQ9" i="695"/>
  <c r="RQ10" i="695"/>
  <c r="RQ11" i="695"/>
  <c r="RQ12" i="695"/>
  <c r="RQ13" i="695"/>
  <c r="RQ14" i="695"/>
  <c r="RQ15" i="695"/>
  <c r="RQ16" i="695"/>
  <c r="RQ17" i="695"/>
  <c r="RQ8" i="695"/>
  <c r="RK7" i="695"/>
  <c r="RK9" i="695"/>
  <c r="RK10" i="695"/>
  <c r="RK11" i="695"/>
  <c r="RK12" i="695"/>
  <c r="RK13" i="695"/>
  <c r="RK14" i="695"/>
  <c r="RK15" i="695"/>
  <c r="RK16" i="695"/>
  <c r="RK17" i="695"/>
  <c r="RK8" i="695"/>
  <c r="QJ25" i="695"/>
  <c r="QJ29" i="695"/>
  <c r="QJ32" i="695"/>
  <c r="RL7" i="695"/>
  <c r="RL9" i="695"/>
  <c r="RL10" i="695"/>
  <c r="RL11" i="695"/>
  <c r="RL12" i="695"/>
  <c r="RL13" i="695"/>
  <c r="RL14" i="695"/>
  <c r="RL15" i="695"/>
  <c r="RL16" i="695"/>
  <c r="RL17" i="695"/>
  <c r="RL8" i="695"/>
  <c r="UN25" i="83"/>
  <c r="UN30" i="83"/>
  <c r="UN33" i="83"/>
  <c r="RU7" i="695"/>
  <c r="RU9" i="695"/>
  <c r="RU10" i="695"/>
  <c r="RU11" i="695"/>
  <c r="RU12" i="695"/>
  <c r="RU13" i="695"/>
  <c r="RU14" i="695"/>
  <c r="RU15" i="695"/>
  <c r="RU16" i="695"/>
  <c r="RU17" i="695"/>
  <c r="RU8" i="695"/>
  <c r="VI29" i="83"/>
  <c r="VI31" i="83"/>
  <c r="VR29" i="83"/>
  <c r="VR31" i="83"/>
  <c r="VG29" i="83"/>
  <c r="VG31" i="83"/>
  <c r="VM18" i="83"/>
  <c r="VM32" i="83" s="1"/>
  <c r="VM19" i="83"/>
  <c r="VM27" i="83" s="1"/>
  <c r="VM20" i="83"/>
  <c r="VM24" i="83" s="1"/>
  <c r="VM26" i="83" s="1"/>
  <c r="VM21" i="83"/>
  <c r="VM23" i="83" s="1"/>
  <c r="VM22" i="83"/>
  <c r="VP29" i="83"/>
  <c r="VP31" i="83"/>
  <c r="RN7" i="695"/>
  <c r="RN9" i="695"/>
  <c r="RN10" i="695"/>
  <c r="RN11" i="695"/>
  <c r="RN12" i="695"/>
  <c r="RN13" i="695"/>
  <c r="RN14" i="695"/>
  <c r="RN15" i="695"/>
  <c r="RN16" i="695"/>
  <c r="RN17" i="695"/>
  <c r="RN8" i="695"/>
  <c r="QL25" i="695"/>
  <c r="QL29" i="695"/>
  <c r="QL32" i="695"/>
  <c r="RJ7" i="695"/>
  <c r="RJ9" i="695"/>
  <c r="RJ10" i="695"/>
  <c r="RJ11" i="695"/>
  <c r="RJ12" i="695"/>
  <c r="RJ13" i="695"/>
  <c r="RJ14" i="695"/>
  <c r="RJ15" i="695"/>
  <c r="RJ16" i="695"/>
  <c r="RJ17" i="695"/>
  <c r="RJ8" i="695"/>
  <c r="UH25" i="83"/>
  <c r="UH30" i="83"/>
  <c r="UH33" i="83"/>
  <c r="VJ29" i="83"/>
  <c r="VJ31" i="83"/>
  <c r="UT25" i="83"/>
  <c r="UT30" i="83"/>
  <c r="UT33" i="83"/>
  <c r="RM7" i="695"/>
  <c r="RM9" i="695"/>
  <c r="RM10" i="695"/>
  <c r="RM11" i="695"/>
  <c r="RM12" i="695"/>
  <c r="RM13" i="695"/>
  <c r="RM14" i="695"/>
  <c r="RM15" i="695"/>
  <c r="RM16" i="695"/>
  <c r="RM17" i="695"/>
  <c r="RM8" i="695"/>
  <c r="VO29" i="83"/>
  <c r="VO31" i="83"/>
  <c r="TE3" i="695"/>
  <c r="SK7" i="695"/>
  <c r="SK9" i="695"/>
  <c r="SK10" i="695"/>
  <c r="SK11" i="695"/>
  <c r="SK12" i="695"/>
  <c r="SK13" i="695"/>
  <c r="SK14" i="695"/>
  <c r="SK15" i="695"/>
  <c r="SK16" i="695"/>
  <c r="SK17" i="695"/>
  <c r="SK8" i="695"/>
  <c r="QK25" i="695"/>
  <c r="QK29" i="695"/>
  <c r="QK32" i="695"/>
  <c r="WP3" i="83"/>
  <c r="VV9" i="83"/>
  <c r="VV10" i="83"/>
  <c r="VV11" i="83"/>
  <c r="VV12" i="83"/>
  <c r="VV13" i="83"/>
  <c r="VV14" i="83"/>
  <c r="VV15" i="83"/>
  <c r="VV16" i="83"/>
  <c r="VV17" i="83"/>
  <c r="VV7" i="83"/>
  <c r="VV8" i="83"/>
  <c r="VF19" i="83"/>
  <c r="VF27" i="83" s="1"/>
  <c r="VF18" i="83"/>
  <c r="VF32" i="83" s="1"/>
  <c r="VF20" i="83"/>
  <c r="VF24" i="83" s="1"/>
  <c r="VF26" i="83" s="1"/>
  <c r="VF21" i="83"/>
  <c r="VF23" i="83" s="1"/>
  <c r="VF22" i="83"/>
  <c r="SZ3" i="695"/>
  <c r="SF7" i="695"/>
  <c r="SF9" i="695"/>
  <c r="SF10" i="695"/>
  <c r="SF11" i="695"/>
  <c r="SF12" i="695"/>
  <c r="SF13" i="695"/>
  <c r="SF14" i="695"/>
  <c r="SF15" i="695"/>
  <c r="SF16" i="695"/>
  <c r="SF17" i="695"/>
  <c r="SF8" i="695"/>
  <c r="TI3" i="695"/>
  <c r="SO7" i="695"/>
  <c r="SO9" i="695"/>
  <c r="SO10" i="695"/>
  <c r="SO11" i="695"/>
  <c r="SO12" i="695"/>
  <c r="SO13" i="695"/>
  <c r="SO14" i="695"/>
  <c r="SO15" i="695"/>
  <c r="SO16" i="695"/>
  <c r="SO17" i="695"/>
  <c r="SO8" i="695"/>
  <c r="UV25" i="83"/>
  <c r="UV30" i="83"/>
  <c r="UV33" i="83"/>
  <c r="QM25" i="695"/>
  <c r="QM29" i="695"/>
  <c r="QM32" i="695"/>
  <c r="VM29" i="83"/>
  <c r="VM31" i="83"/>
  <c r="VH19" i="83"/>
  <c r="VH27" i="83" s="1"/>
  <c r="VH18" i="83"/>
  <c r="VH32" i="83" s="1"/>
  <c r="VH20" i="83"/>
  <c r="VH24" i="83" s="1"/>
  <c r="VH26" i="83" s="1"/>
  <c r="VH22" i="83"/>
  <c r="VH21" i="83"/>
  <c r="VH23" i="83" s="1"/>
  <c r="VT18" i="83"/>
  <c r="VT32" i="83" s="1"/>
  <c r="VT19" i="83"/>
  <c r="VT27" i="83" s="1"/>
  <c r="VT20" i="83"/>
  <c r="VT24" i="83" s="1"/>
  <c r="VT26" i="83" s="1"/>
  <c r="VT21" i="83"/>
  <c r="VT23" i="83" s="1"/>
  <c r="VT22" i="83"/>
  <c r="RB25" i="695"/>
  <c r="RB29" i="695"/>
  <c r="RB32" i="695"/>
  <c r="QN25" i="695"/>
  <c r="QN29" i="695"/>
  <c r="QN32" i="695"/>
  <c r="QU25" i="695"/>
  <c r="QU29" i="695"/>
  <c r="QU32" i="695"/>
  <c r="VU8" i="83"/>
  <c r="VU7" i="83"/>
  <c r="SQ8" i="695"/>
  <c r="SQ7" i="695"/>
  <c r="SQ30" i="695" l="1"/>
  <c r="VU31" i="83"/>
  <c r="RC25" i="695"/>
  <c r="RC29" i="695"/>
  <c r="RC32" i="695"/>
  <c r="VA25" i="83"/>
  <c r="VA30" i="83"/>
  <c r="VA33" i="83"/>
  <c r="VF25" i="83"/>
  <c r="VF30" i="83"/>
  <c r="VF33" i="83"/>
  <c r="XS3" i="83"/>
  <c r="WY4" i="83"/>
  <c r="VJ25" i="83"/>
  <c r="VJ30" i="83"/>
  <c r="VJ33" i="83"/>
  <c r="SM19" i="695"/>
  <c r="SM27" i="695" s="1"/>
  <c r="SM18" i="695"/>
  <c r="SM31" i="695" s="1"/>
  <c r="SM22" i="695"/>
  <c r="SM20" i="695"/>
  <c r="SM23" i="695" s="1"/>
  <c r="SM21" i="695"/>
  <c r="SM24" i="695" s="1"/>
  <c r="SM26" i="695" s="1"/>
  <c r="SF28" i="695"/>
  <c r="SF30" i="695"/>
  <c r="SK28" i="695"/>
  <c r="SK30" i="695"/>
  <c r="VT25" i="83"/>
  <c r="VT30" i="83"/>
  <c r="VT33" i="83"/>
  <c r="TT3" i="695"/>
  <c r="SZ7" i="695"/>
  <c r="SZ9" i="695"/>
  <c r="SZ10" i="695"/>
  <c r="SZ11" i="695"/>
  <c r="SZ12" i="695"/>
  <c r="SZ13" i="695"/>
  <c r="SZ14" i="695"/>
  <c r="SZ15" i="695"/>
  <c r="SZ16" i="695"/>
  <c r="SZ17" i="695"/>
  <c r="SZ8" i="695"/>
  <c r="TY3" i="695"/>
  <c r="TE7" i="695"/>
  <c r="TE9" i="695"/>
  <c r="TE10" i="695"/>
  <c r="TE11" i="695"/>
  <c r="TE12" i="695"/>
  <c r="TE13" i="695"/>
  <c r="TE14" i="695"/>
  <c r="TE15" i="695"/>
  <c r="TE16" i="695"/>
  <c r="TE17" i="695"/>
  <c r="TE8" i="695"/>
  <c r="RJ28" i="695"/>
  <c r="RJ30" i="695"/>
  <c r="RK20" i="695"/>
  <c r="RK23" i="695" s="1"/>
  <c r="RK18" i="695"/>
  <c r="RK31" i="695" s="1"/>
  <c r="RK19" i="695"/>
  <c r="RK27" i="695" s="1"/>
  <c r="RK21" i="695"/>
  <c r="RK24" i="695" s="1"/>
  <c r="RK26" i="695" s="1"/>
  <c r="RK22" i="695"/>
  <c r="SC19" i="695"/>
  <c r="SC27" i="695" s="1"/>
  <c r="SC20" i="695"/>
  <c r="SC23" i="695" s="1"/>
  <c r="SC18" i="695"/>
  <c r="SC31" i="695" s="1"/>
  <c r="SC21" i="695"/>
  <c r="SC24" i="695" s="1"/>
  <c r="SC26" i="695" s="1"/>
  <c r="SC22" i="695"/>
  <c r="VZ19" i="83"/>
  <c r="VZ27" i="83" s="1"/>
  <c r="VZ18" i="83"/>
  <c r="VZ32" i="83" s="1"/>
  <c r="VZ20" i="83"/>
  <c r="VZ24" i="83" s="1"/>
  <c r="VZ26" i="83" s="1"/>
  <c r="VZ21" i="83"/>
  <c r="VZ23" i="83" s="1"/>
  <c r="VZ22" i="83"/>
  <c r="WI29" i="83"/>
  <c r="WI31" i="83"/>
  <c r="WD19" i="83"/>
  <c r="WD27" i="83" s="1"/>
  <c r="WD18" i="83"/>
  <c r="WD32" i="83" s="1"/>
  <c r="WD20" i="83"/>
  <c r="WD24" i="83" s="1"/>
  <c r="WD26" i="83" s="1"/>
  <c r="WD21" i="83"/>
  <c r="WD23" i="83" s="1"/>
  <c r="WD22" i="83"/>
  <c r="WE29" i="83"/>
  <c r="WE31" i="83"/>
  <c r="SI28" i="695"/>
  <c r="SI30" i="695"/>
  <c r="VI25" i="83"/>
  <c r="VI30" i="83"/>
  <c r="VI33" i="83"/>
  <c r="VY19" i="83"/>
  <c r="VY27" i="83" s="1"/>
  <c r="VY18" i="83"/>
  <c r="VY32" i="83" s="1"/>
  <c r="VY20" i="83"/>
  <c r="VY24" i="83" s="1"/>
  <c r="VY26" i="83" s="1"/>
  <c r="VY21" i="83"/>
  <c r="VY23" i="83" s="1"/>
  <c r="VY22" i="83"/>
  <c r="RT20" i="695"/>
  <c r="RT23" i="695" s="1"/>
  <c r="RT18" i="695"/>
  <c r="RT31" i="695" s="1"/>
  <c r="RT19" i="695"/>
  <c r="RT27" i="695" s="1"/>
  <c r="RT22" i="695"/>
  <c r="RT21" i="695"/>
  <c r="RT24" i="695" s="1"/>
  <c r="RT26" i="695" s="1"/>
  <c r="XP3" i="83"/>
  <c r="WV4" i="83"/>
  <c r="SG18" i="695"/>
  <c r="SG31" i="695" s="1"/>
  <c r="SG19" i="695"/>
  <c r="SG27" i="695" s="1"/>
  <c r="SG20" i="695"/>
  <c r="SG23" i="695" s="1"/>
  <c r="SG21" i="695"/>
  <c r="SG24" i="695" s="1"/>
  <c r="SG26" i="695" s="1"/>
  <c r="SG22" i="695"/>
  <c r="XG9" i="83"/>
  <c r="XG10" i="83"/>
  <c r="XG11" i="83"/>
  <c r="XG12" i="83"/>
  <c r="XG13" i="83"/>
  <c r="XG14" i="83"/>
  <c r="XG15" i="83"/>
  <c r="XG16" i="83"/>
  <c r="XG17" i="83"/>
  <c r="XG7" i="83"/>
  <c r="XG8" i="83"/>
  <c r="RO21" i="695"/>
  <c r="RO24" i="695" s="1"/>
  <c r="RO26" i="695" s="1"/>
  <c r="RO19" i="695"/>
  <c r="RO27" i="695" s="1"/>
  <c r="RO18" i="695"/>
  <c r="RO31" i="695" s="1"/>
  <c r="RO22" i="695"/>
  <c r="RO20" i="695"/>
  <c r="RO23" i="695" s="1"/>
  <c r="RY28" i="695"/>
  <c r="RY30" i="695"/>
  <c r="WQ4" i="83"/>
  <c r="XK3" i="83"/>
  <c r="WG19" i="83"/>
  <c r="WG27" i="83" s="1"/>
  <c r="WG18" i="83"/>
  <c r="WG32" i="83" s="1"/>
  <c r="WG20" i="83"/>
  <c r="WG24" i="83" s="1"/>
  <c r="WG26" i="83" s="1"/>
  <c r="WG21" i="83"/>
  <c r="WG23" i="83" s="1"/>
  <c r="WG22" i="83"/>
  <c r="RF19" i="695"/>
  <c r="RF27" i="695" s="1"/>
  <c r="RF20" i="695"/>
  <c r="RF23" i="695" s="1"/>
  <c r="RF18" i="695"/>
  <c r="RF31" i="695" s="1"/>
  <c r="RF22" i="695"/>
  <c r="RF21" i="695"/>
  <c r="RF24" i="695" s="1"/>
  <c r="RF26" i="695" s="1"/>
  <c r="RW21" i="695"/>
  <c r="RW24" i="695" s="1"/>
  <c r="RW26" i="695" s="1"/>
  <c r="RW19" i="695"/>
  <c r="RW27" i="695" s="1"/>
  <c r="RW18" i="695"/>
  <c r="RW31" i="695" s="1"/>
  <c r="RW22" i="695"/>
  <c r="RW20" i="695"/>
  <c r="RW23" i="695" s="1"/>
  <c r="SH28" i="695"/>
  <c r="SH30" i="695"/>
  <c r="WJ19" i="83"/>
  <c r="WJ27" i="83" s="1"/>
  <c r="WJ20" i="83"/>
  <c r="WJ24" i="83" s="1"/>
  <c r="WJ26" i="83" s="1"/>
  <c r="WJ18" i="83"/>
  <c r="WJ32" i="83" s="1"/>
  <c r="WJ21" i="83"/>
  <c r="WJ23" i="83" s="1"/>
  <c r="WJ22" i="83"/>
  <c r="RD28" i="695"/>
  <c r="RD30" i="695"/>
  <c r="YT3" i="83"/>
  <c r="XZ9" i="83"/>
  <c r="XZ10" i="83"/>
  <c r="XZ11" i="83"/>
  <c r="XZ12" i="83"/>
  <c r="XZ13" i="83"/>
  <c r="XZ14" i="83"/>
  <c r="XZ15" i="83"/>
  <c r="XZ16" i="83"/>
  <c r="XZ17" i="83"/>
  <c r="XZ7" i="83"/>
  <c r="XZ8" i="83"/>
  <c r="UD3" i="695"/>
  <c r="TJ7" i="695"/>
  <c r="TJ9" i="695"/>
  <c r="TJ10" i="695"/>
  <c r="TJ11" i="695"/>
  <c r="TJ12" i="695"/>
  <c r="TJ13" i="695"/>
  <c r="TJ14" i="695"/>
  <c r="TJ15" i="695"/>
  <c r="TJ16" i="695"/>
  <c r="TJ17" i="695"/>
  <c r="TJ8" i="695"/>
  <c r="TO3" i="695"/>
  <c r="SU7" i="695"/>
  <c r="SU9" i="695"/>
  <c r="SU10" i="695"/>
  <c r="SU11" i="695"/>
  <c r="SU12" i="695"/>
  <c r="SU13" i="695"/>
  <c r="SU14" i="695"/>
  <c r="SU15" i="695"/>
  <c r="SU16" i="695"/>
  <c r="SU17" i="695"/>
  <c r="SU8" i="695"/>
  <c r="VM25" i="83"/>
  <c r="VM30" i="83"/>
  <c r="VM33" i="83"/>
  <c r="RK28" i="695"/>
  <c r="RK30" i="695"/>
  <c r="VE25" i="83"/>
  <c r="VE30" i="83"/>
  <c r="VE33" i="83"/>
  <c r="SF18" i="695"/>
  <c r="SF31" i="695" s="1"/>
  <c r="SF19" i="695"/>
  <c r="SF27" i="695" s="1"/>
  <c r="SF20" i="695"/>
  <c r="SF23" i="695" s="1"/>
  <c r="SF21" i="695"/>
  <c r="SF24" i="695" s="1"/>
  <c r="SF26" i="695" s="1"/>
  <c r="SF22" i="695"/>
  <c r="RM28" i="695"/>
  <c r="RM30" i="695"/>
  <c r="VV29" i="83"/>
  <c r="VV31" i="83"/>
  <c r="SO18" i="695"/>
  <c r="SO31" i="695" s="1"/>
  <c r="SO19" i="695"/>
  <c r="SO27" i="695" s="1"/>
  <c r="SO20" i="695"/>
  <c r="SO23" i="695" s="1"/>
  <c r="SO21" i="695"/>
  <c r="SO24" i="695" s="1"/>
  <c r="SO26" i="695" s="1"/>
  <c r="SO22" i="695"/>
  <c r="XJ3" i="83"/>
  <c r="WP4" i="83"/>
  <c r="VZ29" i="83"/>
  <c r="VZ31" i="83"/>
  <c r="WD29" i="83"/>
  <c r="WD31" i="83"/>
  <c r="RH28" i="695"/>
  <c r="RH30" i="695"/>
  <c r="TW3" i="695"/>
  <c r="TC7" i="695"/>
  <c r="TC9" i="695"/>
  <c r="TC10" i="695"/>
  <c r="TC11" i="695"/>
  <c r="TC12" i="695"/>
  <c r="TC13" i="695"/>
  <c r="TC14" i="695"/>
  <c r="TC15" i="695"/>
  <c r="TC16" i="695"/>
  <c r="TC17" i="695"/>
  <c r="TC8" i="695"/>
  <c r="RS28" i="695"/>
  <c r="RS30" i="695"/>
  <c r="VY29" i="83"/>
  <c r="VY31" i="83"/>
  <c r="VD25" i="83"/>
  <c r="VD30" i="83"/>
  <c r="VD33" i="83"/>
  <c r="WK18" i="83"/>
  <c r="WK32" i="83" s="1"/>
  <c r="WK19" i="83"/>
  <c r="WK27" i="83" s="1"/>
  <c r="WK20" i="83"/>
  <c r="WK24" i="83" s="1"/>
  <c r="WK26" i="83" s="1"/>
  <c r="WK21" i="83"/>
  <c r="WK23" i="83" s="1"/>
  <c r="WK22" i="83"/>
  <c r="TM3" i="695"/>
  <c r="SS7" i="695"/>
  <c r="SS9" i="695"/>
  <c r="SS10" i="695"/>
  <c r="SS11" i="695"/>
  <c r="SS12" i="695"/>
  <c r="SS13" i="695"/>
  <c r="SS14" i="695"/>
  <c r="SS15" i="695"/>
  <c r="SS16" i="695"/>
  <c r="SS17" i="695"/>
  <c r="SS8" i="695"/>
  <c r="SD28" i="695"/>
  <c r="SD30" i="695"/>
  <c r="WG29" i="83"/>
  <c r="WG31" i="83"/>
  <c r="TV3" i="695"/>
  <c r="TB7" i="695"/>
  <c r="TB9" i="695"/>
  <c r="TB10" i="695"/>
  <c r="TB11" i="695"/>
  <c r="TB12" i="695"/>
  <c r="TB13" i="695"/>
  <c r="TB14" i="695"/>
  <c r="TB15" i="695"/>
  <c r="TB16" i="695"/>
  <c r="TB17" i="695"/>
  <c r="TB8" i="695"/>
  <c r="SJ28" i="695"/>
  <c r="SJ30" i="695"/>
  <c r="WJ29" i="83"/>
  <c r="WJ31" i="83"/>
  <c r="RZ28" i="695"/>
  <c r="RZ30" i="695"/>
  <c r="WC18" i="83"/>
  <c r="WC32" i="83" s="1"/>
  <c r="WC19" i="83"/>
  <c r="WC27" i="83" s="1"/>
  <c r="WC20" i="83"/>
  <c r="WC24" i="83" s="1"/>
  <c r="WC26" i="83" s="1"/>
  <c r="WC21" i="83"/>
  <c r="WC23" i="83" s="1"/>
  <c r="WC22" i="83"/>
  <c r="XL3" i="83"/>
  <c r="WR4" i="83"/>
  <c r="VA22" i="83"/>
  <c r="RL20" i="695"/>
  <c r="RL23" i="695" s="1"/>
  <c r="RL18" i="695"/>
  <c r="RL31" i="695" s="1"/>
  <c r="RL19" i="695"/>
  <c r="RL27" i="695" s="1"/>
  <c r="RL21" i="695"/>
  <c r="RL24" i="695" s="1"/>
  <c r="RL26" i="695" s="1"/>
  <c r="RL22" i="695"/>
  <c r="SC28" i="695"/>
  <c r="SC30" i="695"/>
  <c r="XC4" i="83"/>
  <c r="XW3" i="83"/>
  <c r="RF28" i="695"/>
  <c r="RF30" i="695"/>
  <c r="VC25" i="83"/>
  <c r="VC30" i="83"/>
  <c r="VC33" i="83"/>
  <c r="TN3" i="695"/>
  <c r="ST7" i="695"/>
  <c r="ST9" i="695"/>
  <c r="ST10" i="695"/>
  <c r="ST11" i="695"/>
  <c r="ST12" i="695"/>
  <c r="ST13" i="695"/>
  <c r="ST14" i="695"/>
  <c r="ST15" i="695"/>
  <c r="ST16" i="695"/>
  <c r="ST17" i="695"/>
  <c r="ST8" i="695"/>
  <c r="WC29" i="83"/>
  <c r="WC31" i="83"/>
  <c r="SO28" i="695"/>
  <c r="SO30" i="695"/>
  <c r="RM19" i="695"/>
  <c r="RM27" i="695" s="1"/>
  <c r="RM20" i="695"/>
  <c r="RM23" i="695" s="1"/>
  <c r="RM21" i="695"/>
  <c r="RM24" i="695" s="1"/>
  <c r="RM26" i="695" s="1"/>
  <c r="RM18" i="695"/>
  <c r="RM31" i="695" s="1"/>
  <c r="RM22" i="695"/>
  <c r="RQ18" i="695"/>
  <c r="RQ31" i="695" s="1"/>
  <c r="RQ19" i="695"/>
  <c r="RQ27" i="695" s="1"/>
  <c r="RQ20" i="695"/>
  <c r="RQ23" i="695" s="1"/>
  <c r="RQ22" i="695"/>
  <c r="RQ21" i="695"/>
  <c r="RQ24" i="695" s="1"/>
  <c r="RQ26" i="695" s="1"/>
  <c r="TQ3" i="695"/>
  <c r="SW7" i="695"/>
  <c r="SW9" i="695"/>
  <c r="SW10" i="695"/>
  <c r="SW11" i="695"/>
  <c r="SW12" i="695"/>
  <c r="SW13" i="695"/>
  <c r="SW14" i="695"/>
  <c r="SW15" i="695"/>
  <c r="SW16" i="695"/>
  <c r="SW17" i="695"/>
  <c r="SW8" i="695"/>
  <c r="XN3" i="83"/>
  <c r="WT4" i="83"/>
  <c r="XR3" i="83"/>
  <c r="WX4" i="83"/>
  <c r="VR25" i="83"/>
  <c r="VR30" i="83"/>
  <c r="VR33" i="83"/>
  <c r="WS4" i="83"/>
  <c r="XM3" i="83"/>
  <c r="TU3" i="695"/>
  <c r="TA7" i="695"/>
  <c r="TA9" i="695"/>
  <c r="TA10" i="695"/>
  <c r="TA11" i="695"/>
  <c r="TA12" i="695"/>
  <c r="TA13" i="695"/>
  <c r="TA14" i="695"/>
  <c r="TA15" i="695"/>
  <c r="TA16" i="695"/>
  <c r="TA17" i="695"/>
  <c r="TA8" i="695"/>
  <c r="WH19" i="83"/>
  <c r="WH27" i="83" s="1"/>
  <c r="WH18" i="83"/>
  <c r="WH32" i="83" s="1"/>
  <c r="WH20" i="83"/>
  <c r="WH24" i="83" s="1"/>
  <c r="WH26" i="83" s="1"/>
  <c r="WH21" i="83"/>
  <c r="WH23" i="83" s="1"/>
  <c r="WH22" i="83"/>
  <c r="WF19" i="83"/>
  <c r="WF27" i="83" s="1"/>
  <c r="WF18" i="83"/>
  <c r="WF32" i="83" s="1"/>
  <c r="WF20" i="83"/>
  <c r="WF24" i="83" s="1"/>
  <c r="WF26" i="83" s="1"/>
  <c r="WF21" i="83"/>
  <c r="WF23" i="83" s="1"/>
  <c r="WF22" i="83"/>
  <c r="XA4" i="83"/>
  <c r="XU3" i="83"/>
  <c r="TK3" i="695"/>
  <c r="SQ9" i="695"/>
  <c r="SQ28" i="695" s="1"/>
  <c r="SQ10" i="695"/>
  <c r="SQ11" i="695"/>
  <c r="SQ12" i="695"/>
  <c r="SQ13" i="695"/>
  <c r="SQ14" i="695"/>
  <c r="SQ15" i="695"/>
  <c r="SQ16" i="695"/>
  <c r="SQ21" i="695" s="1"/>
  <c r="SQ24" i="695" s="1"/>
  <c r="SQ26" i="695" s="1"/>
  <c r="SQ17" i="695"/>
  <c r="VL25" i="83"/>
  <c r="VL30" i="83"/>
  <c r="VL33" i="83"/>
  <c r="XH9" i="83"/>
  <c r="XH10" i="83"/>
  <c r="XH11" i="83"/>
  <c r="XH12" i="83"/>
  <c r="XH13" i="83"/>
  <c r="XH14" i="83"/>
  <c r="XH15" i="83"/>
  <c r="XH16" i="83"/>
  <c r="XH17" i="83"/>
  <c r="XH7" i="83"/>
  <c r="XH8" i="83"/>
  <c r="XX3" i="83"/>
  <c r="XD4" i="83"/>
  <c r="WA19" i="83"/>
  <c r="WA27" i="83" s="1"/>
  <c r="WA20" i="83"/>
  <c r="WA24" i="83" s="1"/>
  <c r="WA26" i="83" s="1"/>
  <c r="WA18" i="83"/>
  <c r="WA32" i="83" s="1"/>
  <c r="WA21" i="83"/>
  <c r="WA23" i="83" s="1"/>
  <c r="WA22" i="83"/>
  <c r="RC21" i="695"/>
  <c r="RC24" i="695" s="1"/>
  <c r="RC26" i="695" s="1"/>
  <c r="VA20" i="83"/>
  <c r="VA24" i="83" s="1"/>
  <c r="VA26" i="83" s="1"/>
  <c r="VG25" i="83"/>
  <c r="VG30" i="83"/>
  <c r="VG33" i="83"/>
  <c r="RT28" i="695"/>
  <c r="RT30" i="695"/>
  <c r="SG28" i="695"/>
  <c r="SG30" i="695"/>
  <c r="VQ25" i="83"/>
  <c r="VQ30" i="83"/>
  <c r="VQ33" i="83"/>
  <c r="VH25" i="83"/>
  <c r="VH30" i="83"/>
  <c r="VH33" i="83"/>
  <c r="UC3" i="695"/>
  <c r="TI7" i="695"/>
  <c r="TI9" i="695"/>
  <c r="TI10" i="695"/>
  <c r="TI11" i="695"/>
  <c r="TI12" i="695"/>
  <c r="TI13" i="695"/>
  <c r="TI14" i="695"/>
  <c r="TI15" i="695"/>
  <c r="TI16" i="695"/>
  <c r="TI17" i="695"/>
  <c r="TI8" i="695"/>
  <c r="RN19" i="695"/>
  <c r="RN27" i="695" s="1"/>
  <c r="RN20" i="695"/>
  <c r="RN23" i="695" s="1"/>
  <c r="RN18" i="695"/>
  <c r="RN31" i="695" s="1"/>
  <c r="RN22" i="695"/>
  <c r="RN21" i="695"/>
  <c r="RN24" i="695" s="1"/>
  <c r="RN26" i="695" s="1"/>
  <c r="RU19" i="695"/>
  <c r="RU27" i="695" s="1"/>
  <c r="RU20" i="695"/>
  <c r="RU23" i="695" s="1"/>
  <c r="RU21" i="695"/>
  <c r="RU24" i="695" s="1"/>
  <c r="RU26" i="695" s="1"/>
  <c r="RU18" i="695"/>
  <c r="RU31" i="695" s="1"/>
  <c r="RU22" i="695"/>
  <c r="RL28" i="695"/>
  <c r="RL30" i="695"/>
  <c r="VP25" i="83"/>
  <c r="VP30" i="83"/>
  <c r="VP33" i="83"/>
  <c r="SE21" i="695"/>
  <c r="SE24" i="695" s="1"/>
  <c r="SE26" i="695" s="1"/>
  <c r="SE19" i="695"/>
  <c r="SE27" i="695" s="1"/>
  <c r="SE18" i="695"/>
  <c r="SE31" i="695" s="1"/>
  <c r="SE22" i="695"/>
  <c r="SE20" i="695"/>
  <c r="SE23" i="695" s="1"/>
  <c r="SN18" i="695"/>
  <c r="SN31" i="695" s="1"/>
  <c r="SN19" i="695"/>
  <c r="SN27" i="695" s="1"/>
  <c r="SN20" i="695"/>
  <c r="SN23" i="695" s="1"/>
  <c r="SN22" i="695"/>
  <c r="SN21" i="695"/>
  <c r="SN24" i="695" s="1"/>
  <c r="SN26" i="695" s="1"/>
  <c r="RG28" i="695"/>
  <c r="RG30" i="695"/>
  <c r="SB20" i="695"/>
  <c r="SB23" i="695" s="1"/>
  <c r="SB18" i="695"/>
  <c r="SB31" i="695" s="1"/>
  <c r="SB19" i="695"/>
  <c r="SB27" i="695" s="1"/>
  <c r="SB22" i="695"/>
  <c r="SB21" i="695"/>
  <c r="SB24" i="695" s="1"/>
  <c r="SB26" i="695" s="1"/>
  <c r="WH29" i="83"/>
  <c r="WH31" i="83"/>
  <c r="XE4" i="83"/>
  <c r="XY3" i="83"/>
  <c r="WF29" i="83"/>
  <c r="WF31" i="83"/>
  <c r="SM28" i="695"/>
  <c r="SM30" i="695"/>
  <c r="RP28" i="695"/>
  <c r="RP30" i="695"/>
  <c r="W32" i="27" a="1"/>
  <c r="W32" i="27" s="1"/>
  <c r="X33" i="27"/>
  <c r="WO3" i="83"/>
  <c r="VU9" i="83"/>
  <c r="VU18" i="83" s="1"/>
  <c r="VU32" i="83" s="1"/>
  <c r="VU10" i="83"/>
  <c r="VU22" i="83" s="1"/>
  <c r="VU11" i="83"/>
  <c r="VU12" i="83"/>
  <c r="VU13" i="83"/>
  <c r="VU14" i="83"/>
  <c r="VU15" i="83"/>
  <c r="VU16" i="83"/>
  <c r="VU17" i="83"/>
  <c r="RX18" i="695"/>
  <c r="RX31" i="695" s="1"/>
  <c r="RX19" i="695"/>
  <c r="RX27" i="695" s="1"/>
  <c r="RX20" i="695"/>
  <c r="RX23" i="695" s="1"/>
  <c r="RX21" i="695"/>
  <c r="RX24" i="695" s="1"/>
  <c r="RX26" i="695" s="1"/>
  <c r="RX22" i="695"/>
  <c r="VN25" i="83"/>
  <c r="VN30" i="83"/>
  <c r="VN33" i="83"/>
  <c r="RE19" i="695"/>
  <c r="RE27" i="695" s="1"/>
  <c r="RE20" i="695"/>
  <c r="RE23" i="695" s="1"/>
  <c r="RE21" i="695"/>
  <c r="RE24" i="695" s="1"/>
  <c r="RE26" i="695" s="1"/>
  <c r="RE22" i="695"/>
  <c r="RE18" i="695"/>
  <c r="RE31" i="695" s="1"/>
  <c r="YV3" i="83"/>
  <c r="YB9" i="83"/>
  <c r="YB10" i="83"/>
  <c r="YB11" i="83"/>
  <c r="YB12" i="83"/>
  <c r="YB13" i="83"/>
  <c r="YB14" i="83"/>
  <c r="YB15" i="83"/>
  <c r="YB16" i="83"/>
  <c r="YB17" i="83"/>
  <c r="YB7" i="83"/>
  <c r="YB8" i="83"/>
  <c r="SL19" i="695"/>
  <c r="SL27" i="695" s="1"/>
  <c r="SL20" i="695"/>
  <c r="SL23" i="695" s="1"/>
  <c r="SL18" i="695"/>
  <c r="SL31" i="695" s="1"/>
  <c r="SL22" i="695"/>
  <c r="SL21" i="695"/>
  <c r="SL24" i="695" s="1"/>
  <c r="SL26" i="695" s="1"/>
  <c r="WA29" i="83"/>
  <c r="WA31" i="83"/>
  <c r="WW4" i="83"/>
  <c r="XQ3" i="83"/>
  <c r="RC19" i="695"/>
  <c r="RC27" i="695" s="1"/>
  <c r="VA19" i="83"/>
  <c r="VA27" i="83" s="1"/>
  <c r="RW28" i="695"/>
  <c r="RW30" i="695"/>
  <c r="TX3" i="695"/>
  <c r="TD7" i="695"/>
  <c r="TD9" i="695"/>
  <c r="TD10" i="695"/>
  <c r="TD11" i="695"/>
  <c r="TD12" i="695"/>
  <c r="TD13" i="695"/>
  <c r="TD14" i="695"/>
  <c r="TD15" i="695"/>
  <c r="TD16" i="695"/>
  <c r="TD17" i="695"/>
  <c r="TD8" i="695"/>
  <c r="RQ28" i="695"/>
  <c r="RQ30" i="695"/>
  <c r="RI18" i="695"/>
  <c r="RI31" i="695" s="1"/>
  <c r="RI19" i="695"/>
  <c r="RI27" i="695" s="1"/>
  <c r="RI20" i="695"/>
  <c r="RI23" i="695" s="1"/>
  <c r="RI22" i="695"/>
  <c r="RI21" i="695"/>
  <c r="RI24" i="695" s="1"/>
  <c r="RI26" i="695" s="1"/>
  <c r="VO25" i="83"/>
  <c r="VO30" i="83"/>
  <c r="VO33" i="83"/>
  <c r="WB18" i="83"/>
  <c r="WB32" i="83" s="1"/>
  <c r="WB19" i="83"/>
  <c r="WB27" i="83" s="1"/>
  <c r="WB20" i="83"/>
  <c r="WB24" i="83" s="1"/>
  <c r="WB26" i="83" s="1"/>
  <c r="WB21" i="83"/>
  <c r="WB23" i="83" s="1"/>
  <c r="WB22" i="83"/>
  <c r="UA3" i="695"/>
  <c r="TG7" i="695"/>
  <c r="TG9" i="695"/>
  <c r="TG10" i="695"/>
  <c r="TG11" i="695"/>
  <c r="TG12" i="695"/>
  <c r="TG13" i="695"/>
  <c r="TG14" i="695"/>
  <c r="TG15" i="695"/>
  <c r="TG16" i="695"/>
  <c r="TG17" i="695"/>
  <c r="TG8" i="695"/>
  <c r="VW19" i="83"/>
  <c r="VW27" i="83" s="1"/>
  <c r="VW18" i="83"/>
  <c r="VW32" i="83" s="1"/>
  <c r="VW20" i="83"/>
  <c r="VW24" i="83" s="1"/>
  <c r="VW26" i="83" s="1"/>
  <c r="VW22" i="83"/>
  <c r="VW21" i="83"/>
  <c r="VW23" i="83" s="1"/>
  <c r="RR20" i="695"/>
  <c r="RR23" i="695" s="1"/>
  <c r="RR18" i="695"/>
  <c r="RR31" i="695" s="1"/>
  <c r="RR21" i="695"/>
  <c r="RR24" i="695" s="1"/>
  <c r="RR26" i="695" s="1"/>
  <c r="RR22" i="695"/>
  <c r="RR19" i="695"/>
  <c r="RR27" i="695" s="1"/>
  <c r="VS25" i="83"/>
  <c r="VS30" i="83"/>
  <c r="VS33" i="83"/>
  <c r="RV19" i="695"/>
  <c r="RV27" i="695" s="1"/>
  <c r="RV20" i="695"/>
  <c r="RV23" i="695" s="1"/>
  <c r="RV18" i="695"/>
  <c r="RV31" i="695" s="1"/>
  <c r="RV22" i="695"/>
  <c r="RV21" i="695"/>
  <c r="RV24" i="695" s="1"/>
  <c r="RV26" i="695" s="1"/>
  <c r="SP20" i="695"/>
  <c r="SP23" i="695" s="1"/>
  <c r="SP18" i="695"/>
  <c r="SP31" i="695" s="1"/>
  <c r="SP19" i="695"/>
  <c r="SP27" i="695" s="1"/>
  <c r="SP21" i="695"/>
  <c r="SP24" i="695" s="1"/>
  <c r="SP26" i="695" s="1"/>
  <c r="SP22" i="695"/>
  <c r="SA20" i="695"/>
  <c r="SA23" i="695" s="1"/>
  <c r="SA18" i="695"/>
  <c r="SA31" i="695" s="1"/>
  <c r="SA19" i="695"/>
  <c r="SA27" i="695" s="1"/>
  <c r="SA21" i="695"/>
  <c r="SA24" i="695" s="1"/>
  <c r="SA26" i="695" s="1"/>
  <c r="SA22" i="695"/>
  <c r="RC18" i="695"/>
  <c r="RC31" i="695" s="1"/>
  <c r="VA18" i="83"/>
  <c r="VA32" i="83" s="1"/>
  <c r="RG21" i="695"/>
  <c r="RG24" i="695" s="1"/>
  <c r="RG26" i="695" s="1"/>
  <c r="RG19" i="695"/>
  <c r="RG27" i="695" s="1"/>
  <c r="RG18" i="695"/>
  <c r="RG31" i="695" s="1"/>
  <c r="RG22" i="695"/>
  <c r="RG20" i="695"/>
  <c r="RG23" i="695" s="1"/>
  <c r="WK29" i="83"/>
  <c r="WK31" i="83"/>
  <c r="RO28" i="695"/>
  <c r="RO30" i="695"/>
  <c r="RP18" i="695"/>
  <c r="RP31" i="695" s="1"/>
  <c r="RP19" i="695"/>
  <c r="RP27" i="695" s="1"/>
  <c r="RP20" i="695"/>
  <c r="RP23" i="695" s="1"/>
  <c r="RP22" i="695"/>
  <c r="RP21" i="695"/>
  <c r="RP24" i="695" s="1"/>
  <c r="RP26" i="695" s="1"/>
  <c r="TR3" i="695"/>
  <c r="SX7" i="695"/>
  <c r="SX9" i="695"/>
  <c r="SX10" i="695"/>
  <c r="SX11" i="695"/>
  <c r="SX12" i="695"/>
  <c r="SX13" i="695"/>
  <c r="SX14" i="695"/>
  <c r="SX15" i="695"/>
  <c r="SX16" i="695"/>
  <c r="SX17" i="695"/>
  <c r="SX8" i="695"/>
  <c r="SK19" i="695"/>
  <c r="SK27" i="695" s="1"/>
  <c r="SK20" i="695"/>
  <c r="SK23" i="695" s="1"/>
  <c r="SK18" i="695"/>
  <c r="SK31" i="695" s="1"/>
  <c r="SK21" i="695"/>
  <c r="SK24" i="695" s="1"/>
  <c r="SK26" i="695" s="1"/>
  <c r="SK22" i="695"/>
  <c r="VV19" i="83"/>
  <c r="VV27" i="83" s="1"/>
  <c r="VV18" i="83"/>
  <c r="VV32" i="83" s="1"/>
  <c r="VV20" i="83"/>
  <c r="VV24" i="83" s="1"/>
  <c r="VV26" i="83" s="1"/>
  <c r="VV21" i="83"/>
  <c r="VV23" i="83" s="1"/>
  <c r="VV22" i="83"/>
  <c r="RJ20" i="695"/>
  <c r="RJ23" i="695" s="1"/>
  <c r="RJ18" i="695"/>
  <c r="RJ31" i="695" s="1"/>
  <c r="RJ21" i="695"/>
  <c r="RJ24" i="695" s="1"/>
  <c r="RJ26" i="695" s="1"/>
  <c r="RJ19" i="695"/>
  <c r="RJ27" i="695" s="1"/>
  <c r="RJ22" i="695"/>
  <c r="RN28" i="695"/>
  <c r="RN30" i="695"/>
  <c r="RU28" i="695"/>
  <c r="RU30" i="695"/>
  <c r="SI20" i="695"/>
  <c r="SI23" i="695" s="1"/>
  <c r="SI18" i="695"/>
  <c r="SI31" i="695" s="1"/>
  <c r="SI19" i="695"/>
  <c r="SI27" i="695" s="1"/>
  <c r="SI21" i="695"/>
  <c r="SI24" i="695" s="1"/>
  <c r="SI26" i="695" s="1"/>
  <c r="SI22" i="695"/>
  <c r="SE28" i="695"/>
  <c r="SE30" i="695"/>
  <c r="SN28" i="695"/>
  <c r="SN30" i="695"/>
  <c r="WB29" i="83"/>
  <c r="WB31" i="83"/>
  <c r="SB28" i="695"/>
  <c r="SB30" i="695"/>
  <c r="XV3" i="83"/>
  <c r="XB4" i="83"/>
  <c r="XT3" i="83"/>
  <c r="WZ4" i="83"/>
  <c r="RY18" i="695"/>
  <c r="RY31" i="695" s="1"/>
  <c r="RY19" i="695"/>
  <c r="RY27" i="695" s="1"/>
  <c r="RY20" i="695"/>
  <c r="RY23" i="695" s="1"/>
  <c r="RY21" i="695"/>
  <c r="RY24" i="695" s="1"/>
  <c r="RY26" i="695" s="1"/>
  <c r="RY22" i="695"/>
  <c r="VB25" i="83"/>
  <c r="VB30" i="83"/>
  <c r="VB33" i="83"/>
  <c r="VW29" i="83"/>
  <c r="VW31" i="83"/>
  <c r="RX28" i="695"/>
  <c r="RX30" i="695"/>
  <c r="SH20" i="695"/>
  <c r="SH23" i="695" s="1"/>
  <c r="SH18" i="695"/>
  <c r="SH31" i="695" s="1"/>
  <c r="SH21" i="695"/>
  <c r="SH24" i="695" s="1"/>
  <c r="SH26" i="695" s="1"/>
  <c r="SH22" i="695"/>
  <c r="SH19" i="695"/>
  <c r="SH27" i="695" s="1"/>
  <c r="RE28" i="695"/>
  <c r="RE30" i="695"/>
  <c r="VK25" i="83"/>
  <c r="VK30" i="83"/>
  <c r="VK33" i="83"/>
  <c r="SL28" i="695"/>
  <c r="SL30" i="695"/>
  <c r="RD20" i="695"/>
  <c r="RD23" i="695" s="1"/>
  <c r="RD18" i="695"/>
  <c r="RD31" i="695" s="1"/>
  <c r="RD19" i="695"/>
  <c r="RD27" i="695" s="1"/>
  <c r="RD21" i="695"/>
  <c r="RD24" i="695" s="1"/>
  <c r="RD26" i="695" s="1"/>
  <c r="RD22" i="695"/>
  <c r="XO3" i="83"/>
  <c r="WU4" i="83"/>
  <c r="VX19" i="83"/>
  <c r="VX27" i="83" s="1"/>
  <c r="VX18" i="83"/>
  <c r="VX32" i="83" s="1"/>
  <c r="VX20" i="83"/>
  <c r="VX24" i="83" s="1"/>
  <c r="VX26" i="83" s="1"/>
  <c r="VX21" i="83"/>
  <c r="VX23" i="83" s="1"/>
  <c r="VX22" i="83"/>
  <c r="WI19" i="83"/>
  <c r="WI27" i="83" s="1"/>
  <c r="WI18" i="83"/>
  <c r="WI32" i="83" s="1"/>
  <c r="WI20" i="83"/>
  <c r="WI24" i="83" s="1"/>
  <c r="WI26" i="83" s="1"/>
  <c r="WI21" i="83"/>
  <c r="WI23" i="83" s="1"/>
  <c r="WI22" i="83"/>
  <c r="RH18" i="695"/>
  <c r="RH31" i="695" s="1"/>
  <c r="RH19" i="695"/>
  <c r="RH27" i="695" s="1"/>
  <c r="RH20" i="695"/>
  <c r="RH23" i="695" s="1"/>
  <c r="RH22" i="695"/>
  <c r="RH21" i="695"/>
  <c r="RH24" i="695" s="1"/>
  <c r="RH26" i="695" s="1"/>
  <c r="WE19" i="83"/>
  <c r="WE27" i="83" s="1"/>
  <c r="WE18" i="83"/>
  <c r="WE32" i="83" s="1"/>
  <c r="WE20" i="83"/>
  <c r="WE24" i="83" s="1"/>
  <c r="WE26" i="83" s="1"/>
  <c r="WE22" i="83"/>
  <c r="WE21" i="83"/>
  <c r="WE23" i="83" s="1"/>
  <c r="RS20" i="695"/>
  <c r="RS23" i="695" s="1"/>
  <c r="RS18" i="695"/>
  <c r="RS31" i="695" s="1"/>
  <c r="RS19" i="695"/>
  <c r="RS27" i="695" s="1"/>
  <c r="RS21" i="695"/>
  <c r="RS24" i="695" s="1"/>
  <c r="RS26" i="695" s="1"/>
  <c r="RS22" i="695"/>
  <c r="TS3" i="695"/>
  <c r="SY7" i="695"/>
  <c r="SY9" i="695"/>
  <c r="SY10" i="695"/>
  <c r="SY11" i="695"/>
  <c r="SY12" i="695"/>
  <c r="SY13" i="695"/>
  <c r="SY14" i="695"/>
  <c r="SY15" i="695"/>
  <c r="SY16" i="695"/>
  <c r="SY17" i="695"/>
  <c r="SY8" i="695"/>
  <c r="UB3" i="695"/>
  <c r="TH7" i="695"/>
  <c r="TH9" i="695"/>
  <c r="TH10" i="695"/>
  <c r="TH11" i="695"/>
  <c r="TH12" i="695"/>
  <c r="TH13" i="695"/>
  <c r="TH14" i="695"/>
  <c r="TH15" i="695"/>
  <c r="TH16" i="695"/>
  <c r="TH17" i="695"/>
  <c r="TH8" i="695"/>
  <c r="RI28" i="695"/>
  <c r="RI30" i="695"/>
  <c r="TP3" i="695"/>
  <c r="SV7" i="695"/>
  <c r="SV9" i="695"/>
  <c r="SV10" i="695"/>
  <c r="SV11" i="695"/>
  <c r="SV12" i="695"/>
  <c r="SV13" i="695"/>
  <c r="SV14" i="695"/>
  <c r="SV15" i="695"/>
  <c r="SV16" i="695"/>
  <c r="SV17" i="695"/>
  <c r="SV8" i="695"/>
  <c r="YU3" i="83"/>
  <c r="YA9" i="83"/>
  <c r="YA10" i="83"/>
  <c r="YA11" i="83"/>
  <c r="YA12" i="83"/>
  <c r="YA13" i="83"/>
  <c r="YA14" i="83"/>
  <c r="YA15" i="83"/>
  <c r="YA16" i="83"/>
  <c r="YA17" i="83"/>
  <c r="YA7" i="83"/>
  <c r="YA8" i="83"/>
  <c r="SD19" i="695"/>
  <c r="SD27" i="695" s="1"/>
  <c r="SD20" i="695"/>
  <c r="SD23" i="695" s="1"/>
  <c r="SD18" i="695"/>
  <c r="SD31" i="695" s="1"/>
  <c r="SD22" i="695"/>
  <c r="SD21" i="695"/>
  <c r="SD24" i="695" s="1"/>
  <c r="SD26" i="695" s="1"/>
  <c r="RR28" i="695"/>
  <c r="RR30" i="695"/>
  <c r="TL3" i="695"/>
  <c r="SR7" i="695"/>
  <c r="SR9" i="695"/>
  <c r="SR10" i="695"/>
  <c r="SR11" i="695"/>
  <c r="SR12" i="695"/>
  <c r="SR13" i="695"/>
  <c r="SR14" i="695"/>
  <c r="SR15" i="695"/>
  <c r="SR16" i="695"/>
  <c r="SR17" i="695"/>
  <c r="SR8" i="695"/>
  <c r="RV28" i="695"/>
  <c r="RV30" i="695"/>
  <c r="SJ20" i="695"/>
  <c r="SJ23" i="695" s="1"/>
  <c r="SJ18" i="695"/>
  <c r="SJ31" i="695" s="1"/>
  <c r="SJ19" i="695"/>
  <c r="SJ27" i="695" s="1"/>
  <c r="SJ21" i="695"/>
  <c r="SJ24" i="695" s="1"/>
  <c r="SJ26" i="695" s="1"/>
  <c r="SJ22" i="695"/>
  <c r="TZ3" i="695"/>
  <c r="TF7" i="695"/>
  <c r="TF9" i="695"/>
  <c r="TF10" i="695"/>
  <c r="TF11" i="695"/>
  <c r="TF12" i="695"/>
  <c r="TF13" i="695"/>
  <c r="TF14" i="695"/>
  <c r="TF15" i="695"/>
  <c r="TF16" i="695"/>
  <c r="TF17" i="695"/>
  <c r="TF8" i="695"/>
  <c r="RZ20" i="695"/>
  <c r="RZ23" i="695" s="1"/>
  <c r="RZ18" i="695"/>
  <c r="RZ31" i="695" s="1"/>
  <c r="RZ21" i="695"/>
  <c r="RZ24" i="695" s="1"/>
  <c r="RZ26" i="695" s="1"/>
  <c r="RZ22" i="695"/>
  <c r="RZ19" i="695"/>
  <c r="RZ27" i="695" s="1"/>
  <c r="XF9" i="83"/>
  <c r="XF10" i="83"/>
  <c r="XF11" i="83"/>
  <c r="XF12" i="83"/>
  <c r="XF13" i="83"/>
  <c r="XF14" i="83"/>
  <c r="XF15" i="83"/>
  <c r="XF16" i="83"/>
  <c r="XF17" i="83"/>
  <c r="XF7" i="83"/>
  <c r="XF8" i="83"/>
  <c r="SP28" i="695"/>
  <c r="SP30" i="695"/>
  <c r="VX29" i="83"/>
  <c r="VX31" i="83"/>
  <c r="SA28" i="695"/>
  <c r="SA30" i="695"/>
  <c r="SJ25" i="695" l="1"/>
  <c r="SJ29" i="695"/>
  <c r="SJ32" i="695"/>
  <c r="TH20" i="695"/>
  <c r="TH23" i="695" s="1"/>
  <c r="TH18" i="695"/>
  <c r="TH31" i="695" s="1"/>
  <c r="TH19" i="695"/>
  <c r="TH27" i="695" s="1"/>
  <c r="TH21" i="695"/>
  <c r="TH24" i="695" s="1"/>
  <c r="TH26" i="695" s="1"/>
  <c r="TH22" i="695"/>
  <c r="SI25" i="695"/>
  <c r="SI29" i="695"/>
  <c r="SI32" i="695"/>
  <c r="TL4" i="695"/>
  <c r="TL10" i="695" s="1"/>
  <c r="UF3" i="695"/>
  <c r="TL2" i="695"/>
  <c r="TL7" i="695"/>
  <c r="TL9" i="695"/>
  <c r="TL13" i="695"/>
  <c r="TL14" i="695"/>
  <c r="TL15" i="695"/>
  <c r="TL16" i="695"/>
  <c r="TL17" i="695"/>
  <c r="YA19" i="83"/>
  <c r="YA27" i="83" s="1"/>
  <c r="YA18" i="83"/>
  <c r="YA32" i="83" s="1"/>
  <c r="YA20" i="83"/>
  <c r="YA23" i="83" s="1"/>
  <c r="YA22" i="83"/>
  <c r="YA21" i="83"/>
  <c r="YA24" i="83" s="1"/>
  <c r="YA26" i="83" s="1"/>
  <c r="SY28" i="695"/>
  <c r="SY30" i="695"/>
  <c r="SX28" i="695"/>
  <c r="SX30" i="695"/>
  <c r="RR25" i="695"/>
  <c r="RR29" i="695"/>
  <c r="RR32" i="695"/>
  <c r="TG28" i="695"/>
  <c r="TG30" i="695"/>
  <c r="SL29" i="695"/>
  <c r="SL25" i="695"/>
  <c r="SL32" i="695"/>
  <c r="RX25" i="695"/>
  <c r="RX29" i="695"/>
  <c r="RX32" i="695"/>
  <c r="WX9" i="83"/>
  <c r="WX10" i="83"/>
  <c r="WX11" i="83"/>
  <c r="WX12" i="83"/>
  <c r="WX13" i="83"/>
  <c r="WX14" i="83"/>
  <c r="WX15" i="83"/>
  <c r="WX16" i="83"/>
  <c r="WX17" i="83"/>
  <c r="WX7" i="83"/>
  <c r="WX8" i="83"/>
  <c r="RM25" i="695"/>
  <c r="RM29" i="695"/>
  <c r="RM32" i="695"/>
  <c r="ST28" i="695"/>
  <c r="ST30" i="695"/>
  <c r="XC9" i="83"/>
  <c r="XC10" i="83"/>
  <c r="XC11" i="83"/>
  <c r="XC12" i="83"/>
  <c r="XC13" i="83"/>
  <c r="XC14" i="83"/>
  <c r="XC15" i="83"/>
  <c r="XC16" i="83"/>
  <c r="XC17" i="83"/>
  <c r="XC7" i="83"/>
  <c r="XC8" i="83"/>
  <c r="TB28" i="695"/>
  <c r="TB30" i="695"/>
  <c r="SS28" i="695"/>
  <c r="SS30" i="695"/>
  <c r="TC28" i="695"/>
  <c r="TC30" i="695"/>
  <c r="WP9" i="83"/>
  <c r="WP10" i="83"/>
  <c r="WP11" i="83"/>
  <c r="WP12" i="83"/>
  <c r="WP13" i="83"/>
  <c r="WP14" i="83"/>
  <c r="WP15" i="83"/>
  <c r="WP16" i="83"/>
  <c r="WP17" i="83"/>
  <c r="WP7" i="83"/>
  <c r="WP8" i="83"/>
  <c r="SU19" i="695"/>
  <c r="SU27" i="695" s="1"/>
  <c r="SU18" i="695"/>
  <c r="SU31" i="695" s="1"/>
  <c r="SU22" i="695"/>
  <c r="SU21" i="695"/>
  <c r="SU24" i="695" s="1"/>
  <c r="SU26" i="695" s="1"/>
  <c r="SU20" i="695"/>
  <c r="SU23" i="695" s="1"/>
  <c r="XZ19" i="83"/>
  <c r="XZ27" i="83" s="1"/>
  <c r="XZ18" i="83"/>
  <c r="XZ32" i="83" s="1"/>
  <c r="XZ20" i="83"/>
  <c r="XZ23" i="83" s="1"/>
  <c r="XZ21" i="83"/>
  <c r="XZ24" i="83" s="1"/>
  <c r="XZ26" i="83" s="1"/>
  <c r="XZ22" i="83"/>
  <c r="WG25" i="83"/>
  <c r="WG30" i="83"/>
  <c r="WG33" i="83"/>
  <c r="RO25" i="695"/>
  <c r="RO29" i="695"/>
  <c r="RO32" i="695"/>
  <c r="VZ25" i="83"/>
  <c r="VZ30" i="83"/>
  <c r="VZ33" i="83"/>
  <c r="TE18" i="695"/>
  <c r="TE31" i="695" s="1"/>
  <c r="TE19" i="695"/>
  <c r="TE27" i="695" s="1"/>
  <c r="TE20" i="695"/>
  <c r="TE23" i="695" s="1"/>
  <c r="TE21" i="695"/>
  <c r="TE24" i="695" s="1"/>
  <c r="TE26" i="695" s="1"/>
  <c r="TE22" i="695"/>
  <c r="SM25" i="695"/>
  <c r="SM29" i="695"/>
  <c r="SM32" i="695"/>
  <c r="YM3" i="83"/>
  <c r="XS9" i="83"/>
  <c r="XS10" i="83"/>
  <c r="XS11" i="83"/>
  <c r="XS12" i="83"/>
  <c r="XS13" i="83"/>
  <c r="XS14" i="83"/>
  <c r="XS15" i="83"/>
  <c r="XS16" i="83"/>
  <c r="XS17" i="83"/>
  <c r="XS7" i="83"/>
  <c r="XS8" i="83"/>
  <c r="VU29" i="83"/>
  <c r="WI25" i="83"/>
  <c r="WI30" i="83"/>
  <c r="WI33" i="83"/>
  <c r="YB19" i="83"/>
  <c r="YB27" i="83" s="1"/>
  <c r="YB18" i="83"/>
  <c r="YB32" i="83" s="1"/>
  <c r="YB20" i="83"/>
  <c r="YB23" i="83" s="1"/>
  <c r="YB21" i="83"/>
  <c r="YB24" i="83" s="1"/>
  <c r="YB26" i="83" s="1"/>
  <c r="YB22" i="83"/>
  <c r="SN25" i="695"/>
  <c r="SN29" i="695"/>
  <c r="SN32" i="695"/>
  <c r="TU4" i="695"/>
  <c r="TU9" i="695" s="1"/>
  <c r="TU2" i="695"/>
  <c r="UO3" i="695"/>
  <c r="TU7" i="695"/>
  <c r="TU10" i="695"/>
  <c r="TU13" i="695"/>
  <c r="TU14" i="695"/>
  <c r="TU15" i="695"/>
  <c r="TU16" i="695"/>
  <c r="TU8" i="695"/>
  <c r="TE28" i="695"/>
  <c r="TE30" i="695"/>
  <c r="RZ25" i="695"/>
  <c r="RZ29" i="695"/>
  <c r="RZ32" i="695"/>
  <c r="YA29" i="83"/>
  <c r="YA31" i="83"/>
  <c r="TS2" i="695"/>
  <c r="UM3" i="695"/>
  <c r="TS4" i="695"/>
  <c r="TS12" i="695" s="1"/>
  <c r="TS7" i="695"/>
  <c r="TS9" i="695"/>
  <c r="TS10" i="695"/>
  <c r="TS11" i="695"/>
  <c r="TS13" i="695"/>
  <c r="TS14" i="695"/>
  <c r="TS15" i="695"/>
  <c r="TS16" i="695"/>
  <c r="TS17" i="695"/>
  <c r="TS8" i="695"/>
  <c r="RD25" i="695"/>
  <c r="RD29" i="695"/>
  <c r="RD32" i="695"/>
  <c r="UL3" i="695"/>
  <c r="TR2" i="695"/>
  <c r="TR4" i="695"/>
  <c r="TR11" i="695" s="1"/>
  <c r="TR7" i="695"/>
  <c r="TR9" i="695"/>
  <c r="TR10" i="695"/>
  <c r="TR12" i="695"/>
  <c r="TR15" i="695"/>
  <c r="TR16" i="695"/>
  <c r="TR17" i="695"/>
  <c r="TR8" i="695"/>
  <c r="VW25" i="83"/>
  <c r="VW30" i="83"/>
  <c r="VW33" i="83"/>
  <c r="UA2" i="695"/>
  <c r="UU3" i="695"/>
  <c r="UA4" i="695"/>
  <c r="UA10" i="695" s="1"/>
  <c r="UA15" i="695"/>
  <c r="TD18" i="695"/>
  <c r="TD31" i="695" s="1"/>
  <c r="TD19" i="695"/>
  <c r="TD27" i="695" s="1"/>
  <c r="TD20" i="695"/>
  <c r="TD23" i="695" s="1"/>
  <c r="TD22" i="695"/>
  <c r="TD21" i="695"/>
  <c r="TD24" i="695" s="1"/>
  <c r="TD26" i="695" s="1"/>
  <c r="YK3" i="83"/>
  <c r="XQ9" i="83"/>
  <c r="XQ10" i="83"/>
  <c r="XQ11" i="83"/>
  <c r="XQ12" i="83"/>
  <c r="XQ13" i="83"/>
  <c r="XQ14" i="83"/>
  <c r="XQ15" i="83"/>
  <c r="XQ16" i="83"/>
  <c r="XQ17" i="83"/>
  <c r="XQ7" i="83"/>
  <c r="XQ8" i="83"/>
  <c r="RE25" i="695"/>
  <c r="RE29" i="695"/>
  <c r="RE32" i="695"/>
  <c r="TI19" i="695"/>
  <c r="TI27" i="695" s="1"/>
  <c r="TI20" i="695"/>
  <c r="TI23" i="695" s="1"/>
  <c r="TI18" i="695"/>
  <c r="TI31" i="695" s="1"/>
  <c r="TI21" i="695"/>
  <c r="TI24" i="695" s="1"/>
  <c r="TI26" i="695" s="1"/>
  <c r="TI22" i="695"/>
  <c r="XD9" i="83"/>
  <c r="XD10" i="83"/>
  <c r="XD11" i="83"/>
  <c r="XD12" i="83"/>
  <c r="XD13" i="83"/>
  <c r="XD14" i="83"/>
  <c r="XD15" i="83"/>
  <c r="XD16" i="83"/>
  <c r="XD17" i="83"/>
  <c r="XD7" i="83"/>
  <c r="XD8" i="83"/>
  <c r="TA28" i="695"/>
  <c r="TA30" i="695"/>
  <c r="YL3" i="83"/>
  <c r="XR9" i="83"/>
  <c r="XR10" i="83"/>
  <c r="XR11" i="83"/>
  <c r="XR12" i="83"/>
  <c r="XR13" i="83"/>
  <c r="XR14" i="83"/>
  <c r="XR15" i="83"/>
  <c r="XR16" i="83"/>
  <c r="XR17" i="83"/>
  <c r="XR7" i="83"/>
  <c r="XR8" i="83"/>
  <c r="TN2" i="695"/>
  <c r="TN4" i="695"/>
  <c r="TN10" i="695" s="1"/>
  <c r="UH3" i="695"/>
  <c r="TN7" i="695"/>
  <c r="TN9" i="695"/>
  <c r="TN11" i="695"/>
  <c r="TN12" i="695"/>
  <c r="TN14" i="695"/>
  <c r="TN15" i="695"/>
  <c r="TN16" i="695"/>
  <c r="TN17" i="695"/>
  <c r="WR9" i="83"/>
  <c r="WR10" i="83"/>
  <c r="WR11" i="83"/>
  <c r="WR12" i="83"/>
  <c r="WR13" i="83"/>
  <c r="WR14" i="83"/>
  <c r="WR15" i="83"/>
  <c r="WR16" i="83"/>
  <c r="WR17" i="83"/>
  <c r="WR7" i="83"/>
  <c r="WR8" i="83"/>
  <c r="TV2" i="695"/>
  <c r="TV4" i="695"/>
  <c r="TV9" i="695" s="1"/>
  <c r="UP3" i="695"/>
  <c r="TV14" i="695"/>
  <c r="TM4" i="695"/>
  <c r="TM11" i="695" s="1"/>
  <c r="TM2" i="695"/>
  <c r="UG3" i="695"/>
  <c r="TM7" i="695"/>
  <c r="TM10" i="695"/>
  <c r="TM12" i="695"/>
  <c r="TM13" i="695"/>
  <c r="TM15" i="695"/>
  <c r="TM16" i="695"/>
  <c r="TM17" i="695"/>
  <c r="TM8" i="695"/>
  <c r="TW2" i="695"/>
  <c r="TW4" i="695"/>
  <c r="TW13" i="695" s="1"/>
  <c r="UQ3" i="695"/>
  <c r="TW10" i="695"/>
  <c r="TW12" i="695"/>
  <c r="TW14" i="695"/>
  <c r="TW8" i="695"/>
  <c r="YD3" i="83"/>
  <c r="XJ9" i="83"/>
  <c r="XJ10" i="83"/>
  <c r="XJ11" i="83"/>
  <c r="XJ12" i="83"/>
  <c r="XJ13" i="83"/>
  <c r="XJ14" i="83"/>
  <c r="XJ15" i="83"/>
  <c r="XJ16" i="83"/>
  <c r="XJ17" i="83"/>
  <c r="XJ7" i="83"/>
  <c r="XJ8" i="83"/>
  <c r="XZ29" i="83"/>
  <c r="XZ31" i="83"/>
  <c r="WD25" i="83"/>
  <c r="WD30" i="83"/>
  <c r="WD33" i="83"/>
  <c r="SQ22" i="695"/>
  <c r="TF20" i="695"/>
  <c r="TF23" i="695" s="1"/>
  <c r="TF18" i="695"/>
  <c r="TF31" i="695" s="1"/>
  <c r="TF21" i="695"/>
  <c r="TF24" i="695" s="1"/>
  <c r="TF26" i="695" s="1"/>
  <c r="TF19" i="695"/>
  <c r="TF27" i="695" s="1"/>
  <c r="TF22" i="695"/>
  <c r="WZ9" i="83"/>
  <c r="WZ10" i="83"/>
  <c r="WZ11" i="83"/>
  <c r="WZ12" i="83"/>
  <c r="WZ13" i="83"/>
  <c r="WZ14" i="83"/>
  <c r="WZ15" i="83"/>
  <c r="WZ16" i="83"/>
  <c r="WZ17" i="83"/>
  <c r="WZ7" i="83"/>
  <c r="WZ8" i="83"/>
  <c r="RQ25" i="695"/>
  <c r="RQ29" i="695"/>
  <c r="RQ32" i="695"/>
  <c r="YF3" i="83"/>
  <c r="XL9" i="83"/>
  <c r="XL10" i="83"/>
  <c r="XL11" i="83"/>
  <c r="XL12" i="83"/>
  <c r="XL13" i="83"/>
  <c r="XL14" i="83"/>
  <c r="XL15" i="83"/>
  <c r="XL16" i="83"/>
  <c r="XL17" i="83"/>
  <c r="XL7" i="83"/>
  <c r="XL8" i="83"/>
  <c r="SG25" i="695"/>
  <c r="SG29" i="695"/>
  <c r="SG32" i="695"/>
  <c r="XF29" i="83"/>
  <c r="XF31" i="83"/>
  <c r="ZO3" i="83"/>
  <c r="YU4" i="83"/>
  <c r="WU9" i="83"/>
  <c r="WU10" i="83"/>
  <c r="WU11" i="83"/>
  <c r="WU12" i="83"/>
  <c r="WU13" i="83"/>
  <c r="WU14" i="83"/>
  <c r="WU15" i="83"/>
  <c r="WU16" i="83"/>
  <c r="WU17" i="83"/>
  <c r="WU7" i="83"/>
  <c r="WU8" i="83"/>
  <c r="YN3" i="83"/>
  <c r="XT9" i="83"/>
  <c r="XT10" i="83"/>
  <c r="XT11" i="83"/>
  <c r="XT12" i="83"/>
  <c r="XT13" i="83"/>
  <c r="XT14" i="83"/>
  <c r="XT15" i="83"/>
  <c r="XT16" i="83"/>
  <c r="XT17" i="83"/>
  <c r="XT7" i="83"/>
  <c r="XT8" i="83"/>
  <c r="RJ25" i="695"/>
  <c r="RJ29" i="695"/>
  <c r="RJ32" i="695"/>
  <c r="RG29" i="695"/>
  <c r="RG25" i="695"/>
  <c r="RG32" i="695"/>
  <c r="SP25" i="695"/>
  <c r="SP29" i="695"/>
  <c r="SP32" i="695"/>
  <c r="WB25" i="83"/>
  <c r="WB30" i="83"/>
  <c r="WB33" i="83"/>
  <c r="TD28" i="695"/>
  <c r="TD30" i="695"/>
  <c r="YB29" i="83"/>
  <c r="YB31" i="83"/>
  <c r="TI28" i="695"/>
  <c r="TI30" i="695"/>
  <c r="XH18" i="83"/>
  <c r="XH32" i="83" s="1"/>
  <c r="XH19" i="83"/>
  <c r="XH27" i="83" s="1"/>
  <c r="XH20" i="83"/>
  <c r="XH23" i="83" s="1"/>
  <c r="XH21" i="83"/>
  <c r="XH24" i="83" s="1"/>
  <c r="XH26" i="83" s="1"/>
  <c r="XH22" i="83"/>
  <c r="YO3" i="83"/>
  <c r="XU9" i="83"/>
  <c r="XU10" i="83"/>
  <c r="XU11" i="83"/>
  <c r="XU12" i="83"/>
  <c r="XU13" i="83"/>
  <c r="XU14" i="83"/>
  <c r="XU15" i="83"/>
  <c r="XU16" i="83"/>
  <c r="XU17" i="83"/>
  <c r="XU7" i="83"/>
  <c r="XU8" i="83"/>
  <c r="WH25" i="83"/>
  <c r="WH30" i="83"/>
  <c r="WH33" i="83"/>
  <c r="YG3" i="83"/>
  <c r="XM9" i="83"/>
  <c r="XM10" i="83"/>
  <c r="XM11" i="83"/>
  <c r="XM12" i="83"/>
  <c r="XM13" i="83"/>
  <c r="XM14" i="83"/>
  <c r="XM15" i="83"/>
  <c r="XM16" i="83"/>
  <c r="XM17" i="83"/>
  <c r="XM7" i="83"/>
  <c r="XM8" i="83"/>
  <c r="YH3" i="83"/>
  <c r="XN9" i="83"/>
  <c r="XN10" i="83"/>
  <c r="XN11" i="83"/>
  <c r="XN12" i="83"/>
  <c r="XN13" i="83"/>
  <c r="XN14" i="83"/>
  <c r="XN15" i="83"/>
  <c r="XN16" i="83"/>
  <c r="XN17" i="83"/>
  <c r="XN7" i="83"/>
  <c r="XN8" i="83"/>
  <c r="WK25" i="83"/>
  <c r="WK30" i="83"/>
  <c r="WK33" i="83"/>
  <c r="TO2" i="695"/>
  <c r="TO4" i="695"/>
  <c r="TO15" i="695" s="1"/>
  <c r="UI3" i="695"/>
  <c r="TO12" i="695"/>
  <c r="TO14" i="695"/>
  <c r="ZN3" i="83"/>
  <c r="YT4" i="83"/>
  <c r="RT25" i="695"/>
  <c r="RT29" i="695"/>
  <c r="RT32" i="695"/>
  <c r="US3" i="695"/>
  <c r="TY2" i="695"/>
  <c r="TY4" i="695"/>
  <c r="TY7" i="695"/>
  <c r="TY9" i="695"/>
  <c r="TY10" i="695"/>
  <c r="TY11" i="695"/>
  <c r="TY12" i="695"/>
  <c r="TY13" i="695"/>
  <c r="TY14" i="695"/>
  <c r="TY15" i="695"/>
  <c r="TY16" i="695"/>
  <c r="TY17" i="695"/>
  <c r="TY8" i="695"/>
  <c r="VU21" i="83"/>
  <c r="VU23" i="83" s="1"/>
  <c r="SQ19" i="695"/>
  <c r="SQ27" i="695" s="1"/>
  <c r="WT9" i="83"/>
  <c r="WT10" i="83"/>
  <c r="WT11" i="83"/>
  <c r="WT12" i="83"/>
  <c r="WT13" i="83"/>
  <c r="WT14" i="83"/>
  <c r="WT15" i="83"/>
  <c r="WT16" i="83"/>
  <c r="WT17" i="83"/>
  <c r="WT7" i="83"/>
  <c r="WT8" i="83"/>
  <c r="TF28" i="695"/>
  <c r="TF30" i="695"/>
  <c r="SV18" i="695"/>
  <c r="SV31" i="695" s="1"/>
  <c r="SV19" i="695"/>
  <c r="SV27" i="695" s="1"/>
  <c r="SV20" i="695"/>
  <c r="SV23" i="695" s="1"/>
  <c r="SV22" i="695"/>
  <c r="SV21" i="695"/>
  <c r="SV24" i="695" s="1"/>
  <c r="SV26" i="695" s="1"/>
  <c r="TH28" i="695"/>
  <c r="TH30" i="695"/>
  <c r="YI3" i="83"/>
  <c r="XO9" i="83"/>
  <c r="XO10" i="83"/>
  <c r="XO11" i="83"/>
  <c r="XO12" i="83"/>
  <c r="XO13" i="83"/>
  <c r="XO14" i="83"/>
  <c r="XO15" i="83"/>
  <c r="XO16" i="83"/>
  <c r="XO17" i="83"/>
  <c r="XO7" i="83"/>
  <c r="XO8" i="83"/>
  <c r="XB9" i="83"/>
  <c r="XB10" i="83"/>
  <c r="XB11" i="83"/>
  <c r="XB12" i="83"/>
  <c r="XB13" i="83"/>
  <c r="XB14" i="83"/>
  <c r="XB15" i="83"/>
  <c r="XB16" i="83"/>
  <c r="XB17" i="83"/>
  <c r="XB7" i="83"/>
  <c r="XB8" i="83"/>
  <c r="SK25" i="695"/>
  <c r="SK29" i="695"/>
  <c r="SK32" i="695"/>
  <c r="RP25" i="695"/>
  <c r="RP29" i="695"/>
  <c r="RP32" i="695"/>
  <c r="RI25" i="695"/>
  <c r="RI29" i="695"/>
  <c r="RI32" i="695"/>
  <c r="TX4" i="695"/>
  <c r="TX7" i="695" s="1"/>
  <c r="TX2" i="695"/>
  <c r="UR3" i="695"/>
  <c r="TX13" i="695"/>
  <c r="XI3" i="83"/>
  <c r="WO4" i="83"/>
  <c r="UC4" i="695"/>
  <c r="UC7" i="695" s="1"/>
  <c r="UC2" i="695"/>
  <c r="UW3" i="695"/>
  <c r="XH29" i="83"/>
  <c r="XH31" i="83"/>
  <c r="XA9" i="83"/>
  <c r="XA10" i="83"/>
  <c r="XA11" i="83"/>
  <c r="XA12" i="83"/>
  <c r="XA13" i="83"/>
  <c r="XA14" i="83"/>
  <c r="XA15" i="83"/>
  <c r="XA16" i="83"/>
  <c r="XA17" i="83"/>
  <c r="XA7" i="83"/>
  <c r="XA8" i="83"/>
  <c r="WS9" i="83"/>
  <c r="WS10" i="83"/>
  <c r="WS11" i="83"/>
  <c r="WS12" i="83"/>
  <c r="WS13" i="83"/>
  <c r="WS14" i="83"/>
  <c r="WS15" i="83"/>
  <c r="WS16" i="83"/>
  <c r="WS17" i="83"/>
  <c r="WS7" i="83"/>
  <c r="WS8" i="83"/>
  <c r="SW18" i="695"/>
  <c r="SW31" i="695" s="1"/>
  <c r="SW19" i="695"/>
  <c r="SW27" i="695" s="1"/>
  <c r="SW20" i="695"/>
  <c r="SW23" i="695" s="1"/>
  <c r="SW21" i="695"/>
  <c r="SW24" i="695" s="1"/>
  <c r="SW26" i="695" s="1"/>
  <c r="SW22" i="695"/>
  <c r="WC25" i="83"/>
  <c r="WC30" i="83"/>
  <c r="WC33" i="83"/>
  <c r="SO25" i="695"/>
  <c r="SO29" i="695"/>
  <c r="SO32" i="695"/>
  <c r="TJ19" i="695"/>
  <c r="TJ27" i="695" s="1"/>
  <c r="TJ20" i="695"/>
  <c r="TJ23" i="695" s="1"/>
  <c r="TJ18" i="695"/>
  <c r="TJ31" i="695" s="1"/>
  <c r="TJ22" i="695"/>
  <c r="TJ21" i="695"/>
  <c r="TJ24" i="695" s="1"/>
  <c r="TJ26" i="695" s="1"/>
  <c r="YE3" i="83"/>
  <c r="XK9" i="83"/>
  <c r="XK10" i="83"/>
  <c r="XK11" i="83"/>
  <c r="XK12" i="83"/>
  <c r="XK13" i="83"/>
  <c r="XK14" i="83"/>
  <c r="XK15" i="83"/>
  <c r="XK16" i="83"/>
  <c r="XK17" i="83"/>
  <c r="XK7" i="83"/>
  <c r="XK8" i="83"/>
  <c r="SZ20" i="695"/>
  <c r="SZ23" i="695" s="1"/>
  <c r="SZ18" i="695"/>
  <c r="SZ31" i="695" s="1"/>
  <c r="SZ19" i="695"/>
  <c r="SZ27" i="695" s="1"/>
  <c r="SZ21" i="695"/>
  <c r="SZ24" i="695" s="1"/>
  <c r="SZ26" i="695" s="1"/>
  <c r="SZ22" i="695"/>
  <c r="VU20" i="83"/>
  <c r="VU24" i="83" s="1"/>
  <c r="VU26" i="83" s="1"/>
  <c r="SQ18" i="695"/>
  <c r="SQ31" i="695" s="1"/>
  <c r="WW9" i="83"/>
  <c r="WW10" i="83"/>
  <c r="WW11" i="83"/>
  <c r="WW12" i="83"/>
  <c r="WW13" i="83"/>
  <c r="WW14" i="83"/>
  <c r="WW15" i="83"/>
  <c r="WW16" i="83"/>
  <c r="WW17" i="83"/>
  <c r="WW7" i="83"/>
  <c r="WW8" i="83"/>
  <c r="TK2" i="695"/>
  <c r="TK4" i="695" s="1"/>
  <c r="UE3" i="695"/>
  <c r="UT3" i="695"/>
  <c r="TZ2" i="695"/>
  <c r="TZ4" i="695"/>
  <c r="TZ7" i="695" s="1"/>
  <c r="TZ10" i="695"/>
  <c r="TZ13" i="695"/>
  <c r="TZ15" i="695"/>
  <c r="TZ8" i="695"/>
  <c r="SR20" i="695"/>
  <c r="SR23" i="695" s="1"/>
  <c r="SR18" i="695"/>
  <c r="SR31" i="695" s="1"/>
  <c r="SR19" i="695"/>
  <c r="SR27" i="695" s="1"/>
  <c r="SR21" i="695"/>
  <c r="SR24" i="695" s="1"/>
  <c r="SR26" i="695" s="1"/>
  <c r="SR22" i="695"/>
  <c r="UB4" i="695"/>
  <c r="UB7" i="695" s="1"/>
  <c r="UV3" i="695"/>
  <c r="UB2" i="695"/>
  <c r="UB9" i="695"/>
  <c r="UB10" i="695"/>
  <c r="UB11" i="695"/>
  <c r="UB12" i="695"/>
  <c r="UB13" i="695"/>
  <c r="UB14" i="695"/>
  <c r="UB15" i="695"/>
  <c r="UB17" i="695"/>
  <c r="UB8" i="695"/>
  <c r="SH25" i="695"/>
  <c r="SH29" i="695"/>
  <c r="SH32" i="695"/>
  <c r="YP3" i="83"/>
  <c r="XV9" i="83"/>
  <c r="XV10" i="83"/>
  <c r="XV11" i="83"/>
  <c r="XV12" i="83"/>
  <c r="XV13" i="83"/>
  <c r="XV14" i="83"/>
  <c r="XV15" i="83"/>
  <c r="XV16" i="83"/>
  <c r="XV17" i="83"/>
  <c r="XV7" i="83"/>
  <c r="XV8" i="83"/>
  <c r="VV25" i="83"/>
  <c r="VV30" i="83"/>
  <c r="VV33" i="83"/>
  <c r="ZP3" i="83"/>
  <c r="YV4" i="83"/>
  <c r="W33" i="27" a="1"/>
  <c r="W33" i="27" s="1"/>
  <c r="X34" i="27"/>
  <c r="YS3" i="83"/>
  <c r="XY9" i="83"/>
  <c r="XY10" i="83"/>
  <c r="XY11" i="83"/>
  <c r="XY12" i="83"/>
  <c r="XY13" i="83"/>
  <c r="XY14" i="83"/>
  <c r="XY15" i="83"/>
  <c r="XY16" i="83"/>
  <c r="XY17" i="83"/>
  <c r="XY7" i="83"/>
  <c r="XY8" i="83"/>
  <c r="SB25" i="695"/>
  <c r="SB29" i="695"/>
  <c r="SB32" i="695"/>
  <c r="SE25" i="695"/>
  <c r="SE29" i="695"/>
  <c r="SE32" i="695"/>
  <c r="WA25" i="83"/>
  <c r="WA30" i="83"/>
  <c r="WA33" i="83"/>
  <c r="SF25" i="695"/>
  <c r="SF29" i="695"/>
  <c r="SF32" i="695"/>
  <c r="RW25" i="695"/>
  <c r="RW29" i="695"/>
  <c r="RW32" i="695"/>
  <c r="RF29" i="695"/>
  <c r="RF25" i="695"/>
  <c r="RF32" i="695"/>
  <c r="WQ9" i="83"/>
  <c r="WQ10" i="83"/>
  <c r="WQ11" i="83"/>
  <c r="WQ12" i="83"/>
  <c r="WQ13" i="83"/>
  <c r="WQ14" i="83"/>
  <c r="WQ15" i="83"/>
  <c r="WQ16" i="83"/>
  <c r="WQ17" i="83"/>
  <c r="WQ7" i="83"/>
  <c r="WQ8" i="83"/>
  <c r="XG18" i="83"/>
  <c r="XG32" i="83" s="1"/>
  <c r="XG19" i="83"/>
  <c r="XG27" i="83" s="1"/>
  <c r="XG20" i="83"/>
  <c r="XG23" i="83" s="1"/>
  <c r="XG21" i="83"/>
  <c r="XG24" i="83" s="1"/>
  <c r="XG26" i="83" s="1"/>
  <c r="XG22" i="83"/>
  <c r="WV9" i="83"/>
  <c r="WV10" i="83"/>
  <c r="WV11" i="83"/>
  <c r="WV12" i="83"/>
  <c r="WV13" i="83"/>
  <c r="WV14" i="83"/>
  <c r="WV15" i="83"/>
  <c r="WV16" i="83"/>
  <c r="WV17" i="83"/>
  <c r="WV7" i="83"/>
  <c r="WV8" i="83"/>
  <c r="VY25" i="83"/>
  <c r="VY30" i="83"/>
  <c r="VY33" i="83"/>
  <c r="RK25" i="695"/>
  <c r="RK29" i="695"/>
  <c r="RK32" i="695"/>
  <c r="VU19" i="83"/>
  <c r="VU27" i="83" s="1"/>
  <c r="SQ20" i="695"/>
  <c r="SQ23" i="695" s="1"/>
  <c r="SD29" i="695"/>
  <c r="SD25" i="695"/>
  <c r="SD32" i="695"/>
  <c r="SV28" i="695"/>
  <c r="SV30" i="695"/>
  <c r="SY20" i="695"/>
  <c r="SY23" i="695" s="1"/>
  <c r="SY18" i="695"/>
  <c r="SY31" i="695" s="1"/>
  <c r="SY19" i="695"/>
  <c r="SY27" i="695" s="1"/>
  <c r="SY21" i="695"/>
  <c r="SY24" i="695" s="1"/>
  <c r="SY26" i="695" s="1"/>
  <c r="SY22" i="695"/>
  <c r="RS25" i="695"/>
  <c r="RS29" i="695"/>
  <c r="RS32" i="695"/>
  <c r="RH25" i="695"/>
  <c r="RH29" i="695"/>
  <c r="RH32" i="695"/>
  <c r="SX20" i="695"/>
  <c r="SX23" i="695" s="1"/>
  <c r="SX18" i="695"/>
  <c r="SX31" i="695" s="1"/>
  <c r="SX19" i="695"/>
  <c r="SX27" i="695" s="1"/>
  <c r="SX21" i="695"/>
  <c r="SX24" i="695" s="1"/>
  <c r="SX26" i="695" s="1"/>
  <c r="SX22" i="695"/>
  <c r="SA25" i="695"/>
  <c r="SA29" i="695"/>
  <c r="SA32" i="695"/>
  <c r="TG20" i="695"/>
  <c r="TG23" i="695" s="1"/>
  <c r="TG18" i="695"/>
  <c r="TG31" i="695" s="1"/>
  <c r="TG19" i="695"/>
  <c r="TG27" i="695" s="1"/>
  <c r="TG21" i="695"/>
  <c r="TG24" i="695" s="1"/>
  <c r="TG26" i="695" s="1"/>
  <c r="TG22" i="695"/>
  <c r="XE9" i="83"/>
  <c r="XE10" i="83"/>
  <c r="XE11" i="83"/>
  <c r="XE12" i="83"/>
  <c r="XE13" i="83"/>
  <c r="XE14" i="83"/>
  <c r="XE15" i="83"/>
  <c r="XE16" i="83"/>
  <c r="XE17" i="83"/>
  <c r="XE7" i="83"/>
  <c r="XE8" i="83"/>
  <c r="WF25" i="83"/>
  <c r="WF30" i="83"/>
  <c r="WF33" i="83"/>
  <c r="SW28" i="695"/>
  <c r="SW30" i="695"/>
  <c r="ST19" i="695"/>
  <c r="ST27" i="695" s="1"/>
  <c r="ST20" i="695"/>
  <c r="ST23" i="695" s="1"/>
  <c r="ST18" i="695"/>
  <c r="ST31" i="695" s="1"/>
  <c r="ST22" i="695"/>
  <c r="ST21" i="695"/>
  <c r="ST24" i="695" s="1"/>
  <c r="ST26" i="695" s="1"/>
  <c r="TB19" i="695"/>
  <c r="TB27" i="695" s="1"/>
  <c r="TB20" i="695"/>
  <c r="TB23" i="695" s="1"/>
  <c r="TB18" i="695"/>
  <c r="TB31" i="695" s="1"/>
  <c r="TB22" i="695"/>
  <c r="TB21" i="695"/>
  <c r="TB24" i="695" s="1"/>
  <c r="TB26" i="695" s="1"/>
  <c r="SS19" i="695"/>
  <c r="SS27" i="695" s="1"/>
  <c r="SS20" i="695"/>
  <c r="SS23" i="695" s="1"/>
  <c r="SS18" i="695"/>
  <c r="SS31" i="695" s="1"/>
  <c r="SS21" i="695"/>
  <c r="SS24" i="695" s="1"/>
  <c r="SS26" i="695" s="1"/>
  <c r="SS22" i="695"/>
  <c r="TC19" i="695"/>
  <c r="TC27" i="695" s="1"/>
  <c r="TC18" i="695"/>
  <c r="TC31" i="695" s="1"/>
  <c r="TC20" i="695"/>
  <c r="TC23" i="695" s="1"/>
  <c r="TC22" i="695"/>
  <c r="TC21" i="695"/>
  <c r="TC24" i="695" s="1"/>
  <c r="TC26" i="695" s="1"/>
  <c r="TJ28" i="695"/>
  <c r="TJ30" i="695"/>
  <c r="XG29" i="83"/>
  <c r="XG31" i="83"/>
  <c r="YJ3" i="83"/>
  <c r="XP9" i="83"/>
  <c r="XP10" i="83"/>
  <c r="XP11" i="83"/>
  <c r="XP12" i="83"/>
  <c r="XP13" i="83"/>
  <c r="XP14" i="83"/>
  <c r="XP15" i="83"/>
  <c r="XP16" i="83"/>
  <c r="XP17" i="83"/>
  <c r="XP7" i="83"/>
  <c r="XP8" i="83"/>
  <c r="SZ28" i="695"/>
  <c r="SZ30" i="695"/>
  <c r="XF18" i="83"/>
  <c r="XF32" i="83" s="1"/>
  <c r="XF19" i="83"/>
  <c r="XF27" i="83" s="1"/>
  <c r="XF20" i="83"/>
  <c r="XF23" i="83" s="1"/>
  <c r="XF21" i="83"/>
  <c r="XF24" i="83" s="1"/>
  <c r="XF26" i="83" s="1"/>
  <c r="XF22" i="83"/>
  <c r="RU25" i="695"/>
  <c r="RU29" i="695"/>
  <c r="RU32" i="695"/>
  <c r="YR3" i="83"/>
  <c r="XX9" i="83"/>
  <c r="XX10" i="83"/>
  <c r="XX11" i="83"/>
  <c r="XX12" i="83"/>
  <c r="XX13" i="83"/>
  <c r="XX14" i="83"/>
  <c r="XX15" i="83"/>
  <c r="XX16" i="83"/>
  <c r="XX17" i="83"/>
  <c r="XX7" i="83"/>
  <c r="XX8" i="83"/>
  <c r="SU28" i="695"/>
  <c r="SU30" i="695"/>
  <c r="SR28" i="695"/>
  <c r="SR30" i="695"/>
  <c r="TP4" i="695"/>
  <c r="TP14" i="695" s="1"/>
  <c r="TP2" i="695"/>
  <c r="UJ3" i="695"/>
  <c r="TP7" i="695"/>
  <c r="TP9" i="695"/>
  <c r="TP10" i="695"/>
  <c r="TP11" i="695"/>
  <c r="TP12" i="695"/>
  <c r="TP13" i="695"/>
  <c r="TP15" i="695"/>
  <c r="TP16" i="695"/>
  <c r="TP17" i="695"/>
  <c r="TP8" i="695"/>
  <c r="WE25" i="83"/>
  <c r="WE30" i="83"/>
  <c r="WE33" i="83"/>
  <c r="VX25" i="83"/>
  <c r="VX30" i="83"/>
  <c r="VX33" i="83"/>
  <c r="RY25" i="695"/>
  <c r="RY29" i="695"/>
  <c r="RY32" i="695"/>
  <c r="RV29" i="695"/>
  <c r="RV25" i="695"/>
  <c r="RV32" i="695"/>
  <c r="RN29" i="695"/>
  <c r="RN25" i="695"/>
  <c r="RN32" i="695"/>
  <c r="TA19" i="695"/>
  <c r="TA27" i="695" s="1"/>
  <c r="TA20" i="695"/>
  <c r="TA23" i="695" s="1"/>
  <c r="TA18" i="695"/>
  <c r="TA31" i="695" s="1"/>
  <c r="TA21" i="695"/>
  <c r="TA24" i="695" s="1"/>
  <c r="TA26" i="695" s="1"/>
  <c r="TA22" i="695"/>
  <c r="UK3" i="695"/>
  <c r="TQ2" i="695"/>
  <c r="TQ4" i="695"/>
  <c r="TQ12" i="695" s="1"/>
  <c r="TQ7" i="695"/>
  <c r="TQ9" i="695"/>
  <c r="TQ10" i="695"/>
  <c r="TQ11" i="695"/>
  <c r="TQ13" i="695"/>
  <c r="TQ14" i="695"/>
  <c r="TQ15" i="695"/>
  <c r="TQ16" i="695"/>
  <c r="TQ17" i="695"/>
  <c r="TQ8" i="695"/>
  <c r="YQ3" i="83"/>
  <c r="XW9" i="83"/>
  <c r="XW10" i="83"/>
  <c r="XW11" i="83"/>
  <c r="XW12" i="83"/>
  <c r="XW13" i="83"/>
  <c r="XW14" i="83"/>
  <c r="XW15" i="83"/>
  <c r="XW16" i="83"/>
  <c r="XW17" i="83"/>
  <c r="XW7" i="83"/>
  <c r="XW8" i="83"/>
  <c r="RL25" i="695"/>
  <c r="RL29" i="695"/>
  <c r="RL32" i="695"/>
  <c r="UD2" i="695"/>
  <c r="UD4" i="695"/>
  <c r="UD15" i="695" s="1"/>
  <c r="UX3" i="695"/>
  <c r="UD7" i="695"/>
  <c r="UD9" i="695"/>
  <c r="UD10" i="695"/>
  <c r="UD11" i="695"/>
  <c r="UD12" i="695"/>
  <c r="UD13" i="695"/>
  <c r="UD14" i="695"/>
  <c r="UD16" i="695"/>
  <c r="UD17" i="695"/>
  <c r="UD8" i="695"/>
  <c r="WJ25" i="83"/>
  <c r="WJ30" i="83"/>
  <c r="WJ33" i="83"/>
  <c r="SC25" i="695"/>
  <c r="SC29" i="695"/>
  <c r="SC32" i="695"/>
  <c r="TT4" i="695"/>
  <c r="TT11" i="695" s="1"/>
  <c r="UN3" i="695"/>
  <c r="TT2" i="695"/>
  <c r="TT7" i="695"/>
  <c r="TT9" i="695"/>
  <c r="TT10" i="695"/>
  <c r="TT12" i="695"/>
  <c r="TT13" i="695"/>
  <c r="TT14" i="695"/>
  <c r="TT15" i="695"/>
  <c r="TT16" i="695"/>
  <c r="TT17" i="695"/>
  <c r="TT8" i="695"/>
  <c r="WY9" i="83"/>
  <c r="WY10" i="83"/>
  <c r="WY11" i="83"/>
  <c r="WY12" i="83"/>
  <c r="WY13" i="83"/>
  <c r="WY14" i="83"/>
  <c r="WY15" i="83"/>
  <c r="WY16" i="83"/>
  <c r="WY17" i="83"/>
  <c r="WY7" i="83"/>
  <c r="WY8" i="83"/>
  <c r="UE8" i="695"/>
  <c r="UE7" i="695"/>
  <c r="XI8" i="83"/>
  <c r="XI7" i="83"/>
  <c r="WO8" i="83"/>
  <c r="WO7" i="83"/>
  <c r="TK7" i="695"/>
  <c r="TK8" i="695"/>
  <c r="D45" i="695" l="1"/>
  <c r="E45" i="695"/>
  <c r="TK28" i="695"/>
  <c r="D44" i="695"/>
  <c r="TK30" i="695"/>
  <c r="E44" i="695"/>
  <c r="WO31" i="83"/>
  <c r="XI31" i="83"/>
  <c r="UE30" i="695"/>
  <c r="TX28" i="695"/>
  <c r="TX30" i="695"/>
  <c r="TK13" i="695"/>
  <c r="TK14" i="695"/>
  <c r="TK15" i="695"/>
  <c r="TK16" i="695"/>
  <c r="TK9" i="695"/>
  <c r="TK19" i="695" s="1"/>
  <c r="TK27" i="695" s="1"/>
  <c r="TK17" i="695"/>
  <c r="TK10" i="695"/>
  <c r="TK11" i="695"/>
  <c r="TK12" i="695"/>
  <c r="UB28" i="695"/>
  <c r="UB30" i="695"/>
  <c r="TZ28" i="695"/>
  <c r="TZ30" i="695"/>
  <c r="UC28" i="695"/>
  <c r="UC30" i="695"/>
  <c r="SS25" i="695"/>
  <c r="SS29" i="695"/>
  <c r="SS32" i="695"/>
  <c r="TQ19" i="695"/>
  <c r="TQ27" i="695" s="1"/>
  <c r="TQ20" i="695"/>
  <c r="TQ23" i="695" s="1"/>
  <c r="TQ21" i="695"/>
  <c r="TQ24" i="695" s="1"/>
  <c r="TQ26" i="695" s="1"/>
  <c r="TQ22" i="695"/>
  <c r="TQ18" i="695"/>
  <c r="TQ31" i="695" s="1"/>
  <c r="XG25" i="83"/>
  <c r="XG30" i="83"/>
  <c r="XG33" i="83"/>
  <c r="XY18" i="83"/>
  <c r="XY32" i="83" s="1"/>
  <c r="XY19" i="83"/>
  <c r="XY27" i="83" s="1"/>
  <c r="XY20" i="83"/>
  <c r="XY23" i="83" s="1"/>
  <c r="XY21" i="83"/>
  <c r="XY24" i="83" s="1"/>
  <c r="XY26" i="83" s="1"/>
  <c r="XY22" i="83"/>
  <c r="WW29" i="83"/>
  <c r="WW31" i="83"/>
  <c r="SZ25" i="695"/>
  <c r="SZ29" i="695"/>
  <c r="SZ32" i="695"/>
  <c r="TJ29" i="695"/>
  <c r="TJ25" i="695"/>
  <c r="TJ32" i="695"/>
  <c r="XA18" i="83"/>
  <c r="XA32" i="83" s="1"/>
  <c r="XA20" i="83"/>
  <c r="XA23" i="83" s="1"/>
  <c r="XA19" i="83"/>
  <c r="XA27" i="83" s="1"/>
  <c r="XA21" i="83"/>
  <c r="XA24" i="83" s="1"/>
  <c r="XA26" i="83" s="1"/>
  <c r="XA22" i="83"/>
  <c r="UC15" i="695"/>
  <c r="UW7" i="695"/>
  <c r="UW9" i="695"/>
  <c r="UW10" i="695"/>
  <c r="UW11" i="695"/>
  <c r="UW12" i="695"/>
  <c r="UW13" i="695"/>
  <c r="UW14" i="695"/>
  <c r="UW15" i="695"/>
  <c r="UW16" i="695"/>
  <c r="UW17" i="695"/>
  <c r="UW8" i="695"/>
  <c r="TX15" i="695"/>
  <c r="UR7" i="695"/>
  <c r="UR9" i="695"/>
  <c r="UR10" i="695"/>
  <c r="UR11" i="695"/>
  <c r="UR12" i="695"/>
  <c r="UR13" i="695"/>
  <c r="UR14" i="695"/>
  <c r="UR15" i="695"/>
  <c r="UR16" i="695"/>
  <c r="UR17" i="695"/>
  <c r="UR8" i="695"/>
  <c r="XO29" i="83"/>
  <c r="XO31" i="83"/>
  <c r="VU25" i="83"/>
  <c r="VU30" i="83"/>
  <c r="VU33" i="83"/>
  <c r="ZB3" i="83"/>
  <c r="YH4" i="83"/>
  <c r="XU19" i="83"/>
  <c r="XU27" i="83" s="1"/>
  <c r="XU20" i="83"/>
  <c r="XU23" i="83" s="1"/>
  <c r="XU18" i="83"/>
  <c r="XU32" i="83" s="1"/>
  <c r="XU21" i="83"/>
  <c r="XU24" i="83" s="1"/>
  <c r="XU26" i="83" s="1"/>
  <c r="XU22" i="83"/>
  <c r="WU29" i="83"/>
  <c r="WU31" i="83"/>
  <c r="WZ18" i="83"/>
  <c r="WZ32" i="83" s="1"/>
  <c r="WZ19" i="83"/>
  <c r="WZ27" i="83" s="1"/>
  <c r="WZ20" i="83"/>
  <c r="WZ23" i="83" s="1"/>
  <c r="WZ21" i="83"/>
  <c r="WZ24" i="83" s="1"/>
  <c r="WZ26" i="83" s="1"/>
  <c r="WZ22" i="83"/>
  <c r="TM22" i="695"/>
  <c r="TV16" i="695"/>
  <c r="TV7" i="695"/>
  <c r="YL4" i="83"/>
  <c r="ZF3" i="83"/>
  <c r="UA17" i="695"/>
  <c r="UA9" i="695"/>
  <c r="TR20" i="695"/>
  <c r="TR23" i="695" s="1"/>
  <c r="TU28" i="695"/>
  <c r="TU30" i="695"/>
  <c r="XS19" i="83"/>
  <c r="XS27" i="83" s="1"/>
  <c r="XS18" i="83"/>
  <c r="XS32" i="83" s="1"/>
  <c r="XS20" i="83"/>
  <c r="XS23" i="83" s="1"/>
  <c r="XS22" i="83"/>
  <c r="XS21" i="83"/>
  <c r="XS24" i="83" s="1"/>
  <c r="XS26" i="83" s="1"/>
  <c r="WP29" i="83"/>
  <c r="WP31" i="83"/>
  <c r="XC19" i="83"/>
  <c r="XC27" i="83" s="1"/>
  <c r="XC20" i="83"/>
  <c r="XC23" i="83" s="1"/>
  <c r="XC22" i="83"/>
  <c r="XC18" i="83"/>
  <c r="XC32" i="83" s="1"/>
  <c r="XC21" i="83"/>
  <c r="XC24" i="83" s="1"/>
  <c r="XC26" i="83" s="1"/>
  <c r="WX18" i="83"/>
  <c r="WX32" i="83" s="1"/>
  <c r="WX19" i="83"/>
  <c r="WX27" i="83" s="1"/>
  <c r="WX20" i="83"/>
  <c r="WX23" i="83" s="1"/>
  <c r="WX21" i="83"/>
  <c r="WX24" i="83" s="1"/>
  <c r="WX26" i="83" s="1"/>
  <c r="WX22" i="83"/>
  <c r="UT7" i="695"/>
  <c r="UT9" i="695"/>
  <c r="UT10" i="695"/>
  <c r="UT11" i="695"/>
  <c r="UT12" i="695"/>
  <c r="UT13" i="695"/>
  <c r="UT14" i="695"/>
  <c r="UT15" i="695"/>
  <c r="UT16" i="695"/>
  <c r="UT17" i="695"/>
  <c r="UT8" i="695"/>
  <c r="XL29" i="83"/>
  <c r="XL31" i="83"/>
  <c r="SU25" i="695"/>
  <c r="SU29" i="695"/>
  <c r="SU32" i="695"/>
  <c r="TT28" i="695"/>
  <c r="TT30" i="695"/>
  <c r="TA25" i="695"/>
  <c r="TA29" i="695"/>
  <c r="TA32" i="695"/>
  <c r="XY29" i="83"/>
  <c r="XY31" i="83"/>
  <c r="TZ14" i="695"/>
  <c r="XK19" i="83"/>
  <c r="XK27" i="83" s="1"/>
  <c r="XK18" i="83"/>
  <c r="XK32" i="83" s="1"/>
  <c r="XK20" i="83"/>
  <c r="XK23" i="83" s="1"/>
  <c r="XK22" i="83"/>
  <c r="XK21" i="83"/>
  <c r="XK24" i="83" s="1"/>
  <c r="XK26" i="83" s="1"/>
  <c r="XA29" i="83"/>
  <c r="XA31" i="83"/>
  <c r="UC14" i="695"/>
  <c r="TX14" i="695"/>
  <c r="TY19" i="695"/>
  <c r="TY27" i="695" s="1"/>
  <c r="TY20" i="695"/>
  <c r="TY23" i="695" s="1"/>
  <c r="TY21" i="695"/>
  <c r="TY24" i="695" s="1"/>
  <c r="TY26" i="695" s="1"/>
  <c r="TY18" i="695"/>
  <c r="TY31" i="695" s="1"/>
  <c r="TY22" i="695"/>
  <c r="TO13" i="695"/>
  <c r="XM18" i="83"/>
  <c r="XM32" i="83" s="1"/>
  <c r="XM19" i="83"/>
  <c r="XM27" i="83" s="1"/>
  <c r="XM20" i="83"/>
  <c r="XM23" i="83" s="1"/>
  <c r="XM21" i="83"/>
  <c r="XM24" i="83" s="1"/>
  <c r="XM26" i="83" s="1"/>
  <c r="XM22" i="83"/>
  <c r="XU29" i="83"/>
  <c r="XU31" i="83"/>
  <c r="XL19" i="83"/>
  <c r="XL27" i="83" s="1"/>
  <c r="XL18" i="83"/>
  <c r="XL32" i="83" s="1"/>
  <c r="XL20" i="83"/>
  <c r="XL23" i="83" s="1"/>
  <c r="XL21" i="83"/>
  <c r="XL24" i="83" s="1"/>
  <c r="XL26" i="83" s="1"/>
  <c r="XL22" i="83"/>
  <c r="WZ29" i="83"/>
  <c r="WZ31" i="83"/>
  <c r="YX3" i="83"/>
  <c r="YD4" i="83"/>
  <c r="TW11" i="695"/>
  <c r="TM9" i="695"/>
  <c r="TM18" i="695" s="1"/>
  <c r="TM31" i="695" s="1"/>
  <c r="TV15" i="695"/>
  <c r="UP7" i="695"/>
  <c r="UP9" i="695"/>
  <c r="UP10" i="695"/>
  <c r="UP11" i="695"/>
  <c r="UP12" i="695"/>
  <c r="UP13" i="695"/>
  <c r="UP14" i="695"/>
  <c r="UP15" i="695"/>
  <c r="UP16" i="695"/>
  <c r="UP17" i="695"/>
  <c r="UP8" i="695"/>
  <c r="TN28" i="695"/>
  <c r="TN30" i="695"/>
  <c r="TI25" i="695"/>
  <c r="TI29" i="695"/>
  <c r="TI32" i="695"/>
  <c r="ZE3" i="83"/>
  <c r="YK4" i="83"/>
  <c r="UA16" i="695"/>
  <c r="UA7" i="695"/>
  <c r="TS19" i="695"/>
  <c r="TS27" i="695" s="1"/>
  <c r="TS18" i="695"/>
  <c r="TS31" i="695" s="1"/>
  <c r="TS22" i="695"/>
  <c r="TS20" i="695"/>
  <c r="TS23" i="695" s="1"/>
  <c r="TS21" i="695"/>
  <c r="TS24" i="695" s="1"/>
  <c r="TS26" i="695" s="1"/>
  <c r="UO7" i="695"/>
  <c r="UO9" i="695"/>
  <c r="UO10" i="695"/>
  <c r="UO11" i="695"/>
  <c r="UO12" i="695"/>
  <c r="UO13" i="695"/>
  <c r="UO14" i="695"/>
  <c r="UO15" i="695"/>
  <c r="UO16" i="695"/>
  <c r="UO17" i="695"/>
  <c r="UO8" i="695"/>
  <c r="YB25" i="83"/>
  <c r="YB30" i="83"/>
  <c r="YB33" i="83"/>
  <c r="XS29" i="83"/>
  <c r="XS31" i="83"/>
  <c r="TE25" i="695"/>
  <c r="TE29" i="695"/>
  <c r="TE32" i="695"/>
  <c r="XC29" i="83"/>
  <c r="XC31" i="83"/>
  <c r="WX29" i="83"/>
  <c r="WX31" i="83"/>
  <c r="TL28" i="695"/>
  <c r="TL30" i="695"/>
  <c r="SX25" i="695"/>
  <c r="SX29" i="695"/>
  <c r="SX32" i="695"/>
  <c r="SW25" i="695"/>
  <c r="SW29" i="695"/>
  <c r="SW32" i="695"/>
  <c r="UC13" i="695"/>
  <c r="UN7" i="695"/>
  <c r="UN9" i="695"/>
  <c r="UN10" i="695"/>
  <c r="UN11" i="695"/>
  <c r="UN12" i="695"/>
  <c r="UN13" i="695"/>
  <c r="UN14" i="695"/>
  <c r="UN15" i="695"/>
  <c r="UN16" i="695"/>
  <c r="UN17" i="695"/>
  <c r="UN8" i="695"/>
  <c r="UD20" i="695"/>
  <c r="UD23" i="695" s="1"/>
  <c r="UD18" i="695"/>
  <c r="UD31" i="695" s="1"/>
  <c r="UD21" i="695"/>
  <c r="UD24" i="695" s="1"/>
  <c r="UD26" i="695" s="1"/>
  <c r="UD22" i="695"/>
  <c r="UD19" i="695"/>
  <c r="UD27" i="695" s="1"/>
  <c r="XP29" i="83"/>
  <c r="XP31" i="83"/>
  <c r="XE18" i="83"/>
  <c r="XE32" i="83" s="1"/>
  <c r="XE19" i="83"/>
  <c r="XE27" i="83" s="1"/>
  <c r="XE20" i="83"/>
  <c r="XE23" i="83" s="1"/>
  <c r="XE21" i="83"/>
  <c r="XE24" i="83" s="1"/>
  <c r="XE26" i="83" s="1"/>
  <c r="XE22" i="83"/>
  <c r="SQ25" i="695"/>
  <c r="SQ29" i="695"/>
  <c r="SQ32" i="695"/>
  <c r="WV18" i="83"/>
  <c r="WV32" i="83" s="1"/>
  <c r="WV19" i="83"/>
  <c r="WV27" i="83" s="1"/>
  <c r="WV21" i="83"/>
  <c r="WV24" i="83" s="1"/>
  <c r="WV26" i="83" s="1"/>
  <c r="WV20" i="83"/>
  <c r="WV23" i="83" s="1"/>
  <c r="WV22" i="83"/>
  <c r="WQ18" i="83"/>
  <c r="WQ32" i="83" s="1"/>
  <c r="WQ19" i="83"/>
  <c r="WQ27" i="83" s="1"/>
  <c r="WQ20" i="83"/>
  <c r="WQ23" i="83" s="1"/>
  <c r="WQ21" i="83"/>
  <c r="WQ24" i="83" s="1"/>
  <c r="WQ26" i="83" s="1"/>
  <c r="WQ22" i="83"/>
  <c r="ZM3" i="83"/>
  <c r="YS4" i="83"/>
  <c r="XV18" i="83"/>
  <c r="XV32" i="83" s="1"/>
  <c r="XV19" i="83"/>
  <c r="XV27" i="83" s="1"/>
  <c r="XV20" i="83"/>
  <c r="XV23" i="83" s="1"/>
  <c r="XV21" i="83"/>
  <c r="XV24" i="83" s="1"/>
  <c r="XV26" i="83" s="1"/>
  <c r="XV22" i="83"/>
  <c r="TZ12" i="695"/>
  <c r="UC12" i="695"/>
  <c r="WO9" i="83"/>
  <c r="WO21" i="83" s="1"/>
  <c r="WO24" i="83" s="1"/>
  <c r="WO26" i="83" s="1"/>
  <c r="WO10" i="83"/>
  <c r="WO18" i="83" s="1"/>
  <c r="WO32" i="83" s="1"/>
  <c r="WO11" i="83"/>
  <c r="WO12" i="83"/>
  <c r="WO13" i="83"/>
  <c r="WO14" i="83"/>
  <c r="WO15" i="83"/>
  <c r="WO16" i="83"/>
  <c r="WO17" i="83"/>
  <c r="TX12" i="695"/>
  <c r="TY28" i="695"/>
  <c r="TY30" i="695"/>
  <c r="ZN2" i="83"/>
  <c r="ZN4" i="83"/>
  <c r="AAH3" i="83"/>
  <c r="ZN9" i="83"/>
  <c r="ZN10" i="83"/>
  <c r="ZN11" i="83"/>
  <c r="ZN12" i="83"/>
  <c r="ZN13" i="83"/>
  <c r="ZN14" i="83"/>
  <c r="ZN15" i="83"/>
  <c r="ZN16" i="83"/>
  <c r="ZN17" i="83"/>
  <c r="ZN7" i="83"/>
  <c r="ZN8" i="83"/>
  <c r="TO11" i="695"/>
  <c r="ZI3" i="83"/>
  <c r="YO4" i="83"/>
  <c r="XT19" i="83"/>
  <c r="XT27" i="83" s="1"/>
  <c r="XT18" i="83"/>
  <c r="XT32" i="83" s="1"/>
  <c r="XT20" i="83"/>
  <c r="XT23" i="83" s="1"/>
  <c r="XT21" i="83"/>
  <c r="XT24" i="83" s="1"/>
  <c r="XT26" i="83" s="1"/>
  <c r="XT22" i="83"/>
  <c r="ZO2" i="83"/>
  <c r="AAI3" i="83"/>
  <c r="ZO4" i="83"/>
  <c r="ZO9" i="83"/>
  <c r="ZO10" i="83"/>
  <c r="ZO11" i="83"/>
  <c r="ZO12" i="83"/>
  <c r="ZO13" i="83"/>
  <c r="ZO14" i="83"/>
  <c r="ZO15" i="83"/>
  <c r="ZO16" i="83"/>
  <c r="ZO17" i="83"/>
  <c r="ZO7" i="83"/>
  <c r="ZO8" i="83"/>
  <c r="TW17" i="695"/>
  <c r="TW9" i="695"/>
  <c r="TW20" i="695" s="1"/>
  <c r="TW23" i="695" s="1"/>
  <c r="UG7" i="695"/>
  <c r="UG9" i="695"/>
  <c r="UG10" i="695"/>
  <c r="UG11" i="695"/>
  <c r="UG12" i="695"/>
  <c r="UG13" i="695"/>
  <c r="UG14" i="695"/>
  <c r="UG15" i="695"/>
  <c r="UG16" i="695"/>
  <c r="UG17" i="695"/>
  <c r="UG8" i="695"/>
  <c r="TV13" i="695"/>
  <c r="XD18" i="83"/>
  <c r="XD32" i="83" s="1"/>
  <c r="XD19" i="83"/>
  <c r="XD27" i="83" s="1"/>
  <c r="XD21" i="83"/>
  <c r="XD24" i="83" s="1"/>
  <c r="XD26" i="83" s="1"/>
  <c r="XD20" i="83"/>
  <c r="XD23" i="83" s="1"/>
  <c r="XD22" i="83"/>
  <c r="UA14" i="695"/>
  <c r="UU7" i="695"/>
  <c r="UU9" i="695"/>
  <c r="UU10" i="695"/>
  <c r="UU11" i="695"/>
  <c r="UU12" i="695"/>
  <c r="UU13" i="695"/>
  <c r="UU14" i="695"/>
  <c r="UU15" i="695"/>
  <c r="UU16" i="695"/>
  <c r="UU17" i="695"/>
  <c r="UU8" i="695"/>
  <c r="TS28" i="695"/>
  <c r="TS30" i="695"/>
  <c r="ZG3" i="83"/>
  <c r="YM4" i="83"/>
  <c r="UF7" i="695"/>
  <c r="UF9" i="695"/>
  <c r="UF10" i="695"/>
  <c r="UF11" i="695"/>
  <c r="UF12" i="695"/>
  <c r="UF13" i="695"/>
  <c r="UF14" i="695"/>
  <c r="UF15" i="695"/>
  <c r="UF16" i="695"/>
  <c r="UF17" i="695"/>
  <c r="UF8" i="695"/>
  <c r="TP20" i="695"/>
  <c r="TP23" i="695" s="1"/>
  <c r="TP18" i="695"/>
  <c r="TP31" i="695" s="1"/>
  <c r="TP19" i="695"/>
  <c r="TP27" i="695" s="1"/>
  <c r="TP21" i="695"/>
  <c r="TP24" i="695" s="1"/>
  <c r="TP26" i="695" s="1"/>
  <c r="TP22" i="695"/>
  <c r="XM29" i="83"/>
  <c r="XM31" i="83"/>
  <c r="TW22" i="695"/>
  <c r="WY18" i="83"/>
  <c r="WY32" i="83" s="1"/>
  <c r="WY19" i="83"/>
  <c r="WY27" i="83" s="1"/>
  <c r="WY20" i="83"/>
  <c r="WY23" i="83" s="1"/>
  <c r="WY21" i="83"/>
  <c r="WY24" i="83" s="1"/>
  <c r="WY26" i="83" s="1"/>
  <c r="WY22" i="83"/>
  <c r="XW18" i="83"/>
  <c r="XW32" i="83" s="1"/>
  <c r="XW19" i="83"/>
  <c r="XW27" i="83" s="1"/>
  <c r="XW20" i="83"/>
  <c r="XW23" i="83" s="1"/>
  <c r="XW21" i="83"/>
  <c r="XW24" i="83" s="1"/>
  <c r="XW26" i="83" s="1"/>
  <c r="XW22" i="83"/>
  <c r="TP28" i="695"/>
  <c r="TP30" i="695"/>
  <c r="XX18" i="83"/>
  <c r="XX32" i="83" s="1"/>
  <c r="XX19" i="83"/>
  <c r="XX27" i="83" s="1"/>
  <c r="XX20" i="83"/>
  <c r="XX23" i="83" s="1"/>
  <c r="XX21" i="83"/>
  <c r="XX24" i="83" s="1"/>
  <c r="XX26" i="83" s="1"/>
  <c r="XX22" i="83"/>
  <c r="TC25" i="695"/>
  <c r="TC29" i="695"/>
  <c r="TC32" i="695"/>
  <c r="ST29" i="695"/>
  <c r="ST25" i="695"/>
  <c r="ST32" i="695"/>
  <c r="XE29" i="83"/>
  <c r="XE31" i="83"/>
  <c r="WV29" i="83"/>
  <c r="WV31" i="83"/>
  <c r="WQ29" i="83"/>
  <c r="WQ31" i="83"/>
  <c r="W34" i="27" a="1"/>
  <c r="W34" i="27" s="1"/>
  <c r="X35" i="27"/>
  <c r="XV29" i="83"/>
  <c r="XV31" i="83"/>
  <c r="UB16" i="695"/>
  <c r="SR25" i="695"/>
  <c r="SR29" i="695"/>
  <c r="SR32" i="695"/>
  <c r="TZ11" i="695"/>
  <c r="YY3" i="83"/>
  <c r="YE4" i="83"/>
  <c r="UC11" i="695"/>
  <c r="YC3" i="83"/>
  <c r="XI9" i="83"/>
  <c r="XI22" i="83" s="1"/>
  <c r="XI10" i="83"/>
  <c r="XI11" i="83"/>
  <c r="XI12" i="83"/>
  <c r="XI13" i="83"/>
  <c r="XI14" i="83"/>
  <c r="XI20" i="83" s="1"/>
  <c r="XI23" i="83" s="1"/>
  <c r="XI15" i="83"/>
  <c r="XI16" i="83"/>
  <c r="XI17" i="83"/>
  <c r="TX11" i="695"/>
  <c r="XB19" i="83"/>
  <c r="XB27" i="83" s="1"/>
  <c r="XB18" i="83"/>
  <c r="XB32" i="83" s="1"/>
  <c r="XB20" i="83"/>
  <c r="XB23" i="83" s="1"/>
  <c r="XB21" i="83"/>
  <c r="XB24" i="83" s="1"/>
  <c r="XB26" i="83" s="1"/>
  <c r="XB22" i="83"/>
  <c r="WT19" i="83"/>
  <c r="WT27" i="83" s="1"/>
  <c r="WT20" i="83"/>
  <c r="WT23" i="83" s="1"/>
  <c r="WT18" i="83"/>
  <c r="WT32" i="83" s="1"/>
  <c r="WT21" i="83"/>
  <c r="WT24" i="83" s="1"/>
  <c r="WT26" i="83" s="1"/>
  <c r="WT22" i="83"/>
  <c r="TO8" i="695"/>
  <c r="TO10" i="695"/>
  <c r="ZA3" i="83"/>
  <c r="YG4" i="83"/>
  <c r="XT29" i="83"/>
  <c r="XT31" i="83"/>
  <c r="YZ3" i="83"/>
  <c r="YF4" i="83"/>
  <c r="TW16" i="695"/>
  <c r="TW7" i="695"/>
  <c r="TM14" i="695"/>
  <c r="TV12" i="695"/>
  <c r="WR18" i="83"/>
  <c r="WR32" i="83" s="1"/>
  <c r="WR19" i="83"/>
  <c r="WR27" i="83" s="1"/>
  <c r="WR20" i="83"/>
  <c r="WR23" i="83" s="1"/>
  <c r="WR21" i="83"/>
  <c r="WR24" i="83" s="1"/>
  <c r="WR26" i="83" s="1"/>
  <c r="WR22" i="83"/>
  <c r="TN13" i="695"/>
  <c r="XD29" i="83"/>
  <c r="XD31" i="83"/>
  <c r="TD25" i="695"/>
  <c r="TD29" i="695"/>
  <c r="TD32" i="695"/>
  <c r="UA13" i="695"/>
  <c r="TR14" i="695"/>
  <c r="TU12" i="695"/>
  <c r="TU20" i="695" s="1"/>
  <c r="TU23" i="695" s="1"/>
  <c r="YA25" i="83"/>
  <c r="YA30" i="83"/>
  <c r="YA33" i="83"/>
  <c r="TH25" i="695"/>
  <c r="TH29" i="695"/>
  <c r="TH32" i="695"/>
  <c r="XP18" i="83"/>
  <c r="XP32" i="83" s="1"/>
  <c r="XP19" i="83"/>
  <c r="XP27" i="83" s="1"/>
  <c r="XP20" i="83"/>
  <c r="XP23" i="83" s="1"/>
  <c r="XP21" i="83"/>
  <c r="XP24" i="83" s="1"/>
  <c r="XP26" i="83" s="1"/>
  <c r="XP22" i="83"/>
  <c r="TG25" i="695"/>
  <c r="TG29" i="695"/>
  <c r="TG32" i="695"/>
  <c r="UB18" i="695"/>
  <c r="UB31" i="695" s="1"/>
  <c r="UB19" i="695"/>
  <c r="UB27" i="695" s="1"/>
  <c r="UB20" i="695"/>
  <c r="UB23" i="695" s="1"/>
  <c r="UB22" i="695"/>
  <c r="UB21" i="695"/>
  <c r="UB24" i="695" s="1"/>
  <c r="UB26" i="695" s="1"/>
  <c r="XK29" i="83"/>
  <c r="XK31" i="83"/>
  <c r="ZC3" i="83"/>
  <c r="YI4" i="83"/>
  <c r="TM28" i="695"/>
  <c r="TM30" i="695"/>
  <c r="UH7" i="695"/>
  <c r="UH9" i="695"/>
  <c r="UH10" i="695"/>
  <c r="UH11" i="695"/>
  <c r="UH12" i="695"/>
  <c r="UH13" i="695"/>
  <c r="UH14" i="695"/>
  <c r="UH15" i="695"/>
  <c r="UH16" i="695"/>
  <c r="UH17" i="695"/>
  <c r="UH8" i="695"/>
  <c r="UD28" i="695"/>
  <c r="UD30" i="695"/>
  <c r="UK7" i="695"/>
  <c r="UK9" i="695"/>
  <c r="UK10" i="695"/>
  <c r="UK11" i="695"/>
  <c r="UK12" i="695"/>
  <c r="UK13" i="695"/>
  <c r="UK14" i="695"/>
  <c r="UK15" i="695"/>
  <c r="UK16" i="695"/>
  <c r="UK17" i="695"/>
  <c r="UK8" i="695"/>
  <c r="XX29" i="83"/>
  <c r="XX31" i="83"/>
  <c r="XF25" i="83"/>
  <c r="XF30" i="83"/>
  <c r="XF33" i="83"/>
  <c r="ZD3" i="83"/>
  <c r="YJ4" i="83"/>
  <c r="SY25" i="695"/>
  <c r="SY29" i="695"/>
  <c r="SY32" i="695"/>
  <c r="TZ21" i="695"/>
  <c r="TZ24" i="695" s="1"/>
  <c r="TZ26" i="695" s="1"/>
  <c r="UE9" i="695"/>
  <c r="UE28" i="695" s="1"/>
  <c r="UE10" i="695"/>
  <c r="UE11" i="695"/>
  <c r="UE12" i="695"/>
  <c r="UE13" i="695"/>
  <c r="UE14" i="695"/>
  <c r="UE15" i="695"/>
  <c r="UE16" i="695"/>
  <c r="UE19" i="695" s="1"/>
  <c r="UE27" i="695" s="1"/>
  <c r="UE17" i="695"/>
  <c r="WS18" i="83"/>
  <c r="WS32" i="83" s="1"/>
  <c r="WS20" i="83"/>
  <c r="WS23" i="83" s="1"/>
  <c r="WS19" i="83"/>
  <c r="WS27" i="83" s="1"/>
  <c r="WS21" i="83"/>
  <c r="WS24" i="83" s="1"/>
  <c r="WS26" i="83" s="1"/>
  <c r="WS22" i="83"/>
  <c r="UC8" i="695"/>
  <c r="UC10" i="695"/>
  <c r="TX8" i="695"/>
  <c r="TX10" i="695"/>
  <c r="XB29" i="83"/>
  <c r="XB31" i="83"/>
  <c r="WT29" i="83"/>
  <c r="WT31" i="83"/>
  <c r="TO17" i="695"/>
  <c r="TO9" i="695"/>
  <c r="XN18" i="83"/>
  <c r="XN32" i="83" s="1"/>
  <c r="XN19" i="83"/>
  <c r="XN27" i="83" s="1"/>
  <c r="XN20" i="83"/>
  <c r="XN23" i="83" s="1"/>
  <c r="XN21" i="83"/>
  <c r="XN24" i="83" s="1"/>
  <c r="XN26" i="83" s="1"/>
  <c r="XN22" i="83"/>
  <c r="TW15" i="695"/>
  <c r="UQ7" i="695"/>
  <c r="UQ9" i="695"/>
  <c r="UQ10" i="695"/>
  <c r="UQ11" i="695"/>
  <c r="UQ12" i="695"/>
  <c r="UQ13" i="695"/>
  <c r="UQ14" i="695"/>
  <c r="UQ15" i="695"/>
  <c r="UQ16" i="695"/>
  <c r="UQ17" i="695"/>
  <c r="UQ8" i="695"/>
  <c r="TV11" i="695"/>
  <c r="WR29" i="83"/>
  <c r="WR31" i="83"/>
  <c r="XR19" i="83"/>
  <c r="XR27" i="83" s="1"/>
  <c r="XR18" i="83"/>
  <c r="XR32" i="83" s="1"/>
  <c r="XR20" i="83"/>
  <c r="XR23" i="83" s="1"/>
  <c r="XR21" i="83"/>
  <c r="XR24" i="83" s="1"/>
  <c r="XR26" i="83" s="1"/>
  <c r="XR22" i="83"/>
  <c r="UA12" i="695"/>
  <c r="TR13" i="695"/>
  <c r="TR21" i="695" s="1"/>
  <c r="TR24" i="695" s="1"/>
  <c r="TR26" i="695" s="1"/>
  <c r="UL7" i="695"/>
  <c r="UL9" i="695"/>
  <c r="UL10" i="695"/>
  <c r="UL11" i="695"/>
  <c r="UL12" i="695"/>
  <c r="UL13" i="695"/>
  <c r="UL14" i="695"/>
  <c r="UL15" i="695"/>
  <c r="UL16" i="695"/>
  <c r="UL17" i="695"/>
  <c r="UL8" i="695"/>
  <c r="UM7" i="695"/>
  <c r="UM9" i="695"/>
  <c r="UM10" i="695"/>
  <c r="UM11" i="695"/>
  <c r="UM12" i="695"/>
  <c r="UM13" i="695"/>
  <c r="UM14" i="695"/>
  <c r="UM15" i="695"/>
  <c r="UM16" i="695"/>
  <c r="UM17" i="695"/>
  <c r="UM8" i="695"/>
  <c r="TU11" i="695"/>
  <c r="TL12" i="695"/>
  <c r="WY29" i="83"/>
  <c r="WY31" i="83"/>
  <c r="XW29" i="83"/>
  <c r="XW31" i="83"/>
  <c r="UJ7" i="695"/>
  <c r="UJ9" i="695"/>
  <c r="UJ10" i="695"/>
  <c r="UJ11" i="695"/>
  <c r="UJ12" i="695"/>
  <c r="UJ13" i="695"/>
  <c r="UJ14" i="695"/>
  <c r="UJ15" i="695"/>
  <c r="UJ16" i="695"/>
  <c r="UJ17" i="695"/>
  <c r="UJ8" i="695"/>
  <c r="UX7" i="695"/>
  <c r="UX9" i="695"/>
  <c r="UX10" i="695"/>
  <c r="UX11" i="695"/>
  <c r="UX12" i="695"/>
  <c r="UX13" i="695"/>
  <c r="UX14" i="695"/>
  <c r="UX15" i="695"/>
  <c r="UX16" i="695"/>
  <c r="UX17" i="695"/>
  <c r="UX8" i="695"/>
  <c r="YV9" i="83"/>
  <c r="YV10" i="83"/>
  <c r="YV11" i="83"/>
  <c r="YV12" i="83"/>
  <c r="YV13" i="83"/>
  <c r="YV14" i="83"/>
  <c r="YV15" i="83"/>
  <c r="YV16" i="83"/>
  <c r="YV17" i="83"/>
  <c r="YV7" i="83"/>
  <c r="YV8" i="83"/>
  <c r="YP4" i="83"/>
  <c r="ZJ3" i="83"/>
  <c r="UV7" i="695"/>
  <c r="UV9" i="695"/>
  <c r="UV10" i="695"/>
  <c r="UV11" i="695"/>
  <c r="UV12" i="695"/>
  <c r="UV13" i="695"/>
  <c r="UV14" i="695"/>
  <c r="UV15" i="695"/>
  <c r="UV16" i="695"/>
  <c r="UV17" i="695"/>
  <c r="UV8" i="695"/>
  <c r="TZ17" i="695"/>
  <c r="TZ9" i="695"/>
  <c r="TZ19" i="695" s="1"/>
  <c r="TZ27" i="695" s="1"/>
  <c r="WS29" i="83"/>
  <c r="WS31" i="83"/>
  <c r="UC17" i="695"/>
  <c r="UC9" i="695"/>
  <c r="TX17" i="695"/>
  <c r="TX9" i="695"/>
  <c r="US7" i="695"/>
  <c r="US9" i="695"/>
  <c r="US10" i="695"/>
  <c r="US11" i="695"/>
  <c r="US12" i="695"/>
  <c r="US13" i="695"/>
  <c r="US14" i="695"/>
  <c r="US15" i="695"/>
  <c r="US16" i="695"/>
  <c r="US17" i="695"/>
  <c r="US8" i="695"/>
  <c r="TO16" i="695"/>
  <c r="TO7" i="695"/>
  <c r="XN29" i="83"/>
  <c r="XN31" i="83"/>
  <c r="XH25" i="83"/>
  <c r="XH30" i="83"/>
  <c r="XH33" i="83"/>
  <c r="ZH3" i="83"/>
  <c r="YN4" i="83"/>
  <c r="XJ19" i="83"/>
  <c r="XJ27" i="83" s="1"/>
  <c r="XJ18" i="83"/>
  <c r="XJ32" i="83" s="1"/>
  <c r="XJ20" i="83"/>
  <c r="XJ23" i="83" s="1"/>
  <c r="XJ21" i="83"/>
  <c r="XJ24" i="83" s="1"/>
  <c r="XJ26" i="83" s="1"/>
  <c r="XJ22" i="83"/>
  <c r="TV8" i="695"/>
  <c r="TV10" i="695"/>
  <c r="XR29" i="83"/>
  <c r="XR31" i="83"/>
  <c r="XQ18" i="83"/>
  <c r="XQ32" i="83" s="1"/>
  <c r="XQ19" i="83"/>
  <c r="XQ27" i="83" s="1"/>
  <c r="XQ20" i="83"/>
  <c r="XQ23" i="83" s="1"/>
  <c r="XQ21" i="83"/>
  <c r="XQ24" i="83" s="1"/>
  <c r="XQ26" i="83" s="1"/>
  <c r="XQ22" i="83"/>
  <c r="UA11" i="695"/>
  <c r="TL11" i="695"/>
  <c r="TQ28" i="695"/>
  <c r="TQ30" i="695"/>
  <c r="YT9" i="83"/>
  <c r="YT10" i="83"/>
  <c r="YT11" i="83"/>
  <c r="YT12" i="83"/>
  <c r="YT13" i="83"/>
  <c r="YT14" i="83"/>
  <c r="YT15" i="83"/>
  <c r="YT16" i="83"/>
  <c r="YT17" i="83"/>
  <c r="YT7" i="83"/>
  <c r="YT8" i="83"/>
  <c r="YU9" i="83"/>
  <c r="YU10" i="83"/>
  <c r="YU11" i="83"/>
  <c r="YU12" i="83"/>
  <c r="YU13" i="83"/>
  <c r="YU14" i="83"/>
  <c r="YU15" i="83"/>
  <c r="YU16" i="83"/>
  <c r="YU17" i="83"/>
  <c r="YU7" i="83"/>
  <c r="YU8" i="83"/>
  <c r="TR28" i="695"/>
  <c r="TR30" i="695"/>
  <c r="TT18" i="695"/>
  <c r="TT31" i="695" s="1"/>
  <c r="TT19" i="695"/>
  <c r="TT27" i="695" s="1"/>
  <c r="TT20" i="695"/>
  <c r="TT23" i="695" s="1"/>
  <c r="TT22" i="695"/>
  <c r="TT21" i="695"/>
  <c r="TT24" i="695" s="1"/>
  <c r="TT26" i="695" s="1"/>
  <c r="ZK3" i="83"/>
  <c r="YQ4" i="83"/>
  <c r="ZL3" i="83"/>
  <c r="YR4" i="83"/>
  <c r="TB29" i="695"/>
  <c r="TB25" i="695"/>
  <c r="TB32" i="695"/>
  <c r="ZP2" i="83"/>
  <c r="AAJ3" i="83"/>
  <c r="ZP4" i="83"/>
  <c r="ZP9" i="83"/>
  <c r="ZP10" i="83"/>
  <c r="ZP11" i="83"/>
  <c r="ZP12" i="83"/>
  <c r="ZP13" i="83"/>
  <c r="ZP14" i="83"/>
  <c r="ZP15" i="83"/>
  <c r="ZP16" i="83"/>
  <c r="ZP17" i="83"/>
  <c r="ZP7" i="83"/>
  <c r="ZP8" i="83"/>
  <c r="TZ16" i="695"/>
  <c r="WW18" i="83"/>
  <c r="WW32" i="83" s="1"/>
  <c r="WW19" i="83"/>
  <c r="WW27" i="83" s="1"/>
  <c r="WW20" i="83"/>
  <c r="WW23" i="83" s="1"/>
  <c r="WW21" i="83"/>
  <c r="WW24" i="83" s="1"/>
  <c r="WW26" i="83" s="1"/>
  <c r="WW22" i="83"/>
  <c r="UC16" i="695"/>
  <c r="TX16" i="695"/>
  <c r="XO18" i="83"/>
  <c r="XO32" i="83" s="1"/>
  <c r="XO19" i="83"/>
  <c r="XO27" i="83" s="1"/>
  <c r="XO20" i="83"/>
  <c r="XO23" i="83" s="1"/>
  <c r="XO21" i="83"/>
  <c r="XO24" i="83" s="1"/>
  <c r="XO26" i="83" s="1"/>
  <c r="XO22" i="83"/>
  <c r="SV25" i="695"/>
  <c r="SV29" i="695"/>
  <c r="SV32" i="695"/>
  <c r="UI7" i="695"/>
  <c r="UI9" i="695"/>
  <c r="UI10" i="695"/>
  <c r="UI11" i="695"/>
  <c r="UI12" i="695"/>
  <c r="UI13" i="695"/>
  <c r="UI14" i="695"/>
  <c r="UI15" i="695"/>
  <c r="UI16" i="695"/>
  <c r="UI17" i="695"/>
  <c r="UI8" i="695"/>
  <c r="WU18" i="83"/>
  <c r="WU32" i="83" s="1"/>
  <c r="WU19" i="83"/>
  <c r="WU27" i="83" s="1"/>
  <c r="WU20" i="83"/>
  <c r="WU23" i="83" s="1"/>
  <c r="WU22" i="83"/>
  <c r="WU21" i="83"/>
  <c r="WU24" i="83" s="1"/>
  <c r="WU26" i="83" s="1"/>
  <c r="TF25" i="695"/>
  <c r="TF29" i="695"/>
  <c r="TF32" i="695"/>
  <c r="XJ29" i="83"/>
  <c r="XJ31" i="83"/>
  <c r="TV17" i="695"/>
  <c r="TN8" i="695"/>
  <c r="XQ29" i="83"/>
  <c r="XQ31" i="83"/>
  <c r="UA8" i="695"/>
  <c r="TU17" i="695"/>
  <c r="XZ25" i="83"/>
  <c r="XZ30" i="83"/>
  <c r="XZ33" i="83"/>
  <c r="WP18" i="83"/>
  <c r="WP32" i="83" s="1"/>
  <c r="WP19" i="83"/>
  <c r="WP27" i="83" s="1"/>
  <c r="WP20" i="83"/>
  <c r="WP23" i="83" s="1"/>
  <c r="WP21" i="83"/>
  <c r="WP24" i="83" s="1"/>
  <c r="WP26" i="83" s="1"/>
  <c r="WP22" i="83"/>
  <c r="TL8" i="695"/>
  <c r="TW25" i="695" l="1"/>
  <c r="TW29" i="695"/>
  <c r="TW32" i="695"/>
  <c r="XI25" i="83"/>
  <c r="XI30" i="83"/>
  <c r="XI33" i="83"/>
  <c r="TU25" i="695"/>
  <c r="TU29" i="695"/>
  <c r="TU32" i="695"/>
  <c r="WU25" i="83"/>
  <c r="WU30" i="83"/>
  <c r="WU33" i="83"/>
  <c r="YE9" i="83"/>
  <c r="YE10" i="83"/>
  <c r="YE11" i="83"/>
  <c r="YE12" i="83"/>
  <c r="YE13" i="83"/>
  <c r="YE14" i="83"/>
  <c r="YE15" i="83"/>
  <c r="YE16" i="83"/>
  <c r="YE17" i="83"/>
  <c r="YE7" i="83"/>
  <c r="YE8" i="83"/>
  <c r="YT29" i="83"/>
  <c r="YT31" i="83"/>
  <c r="TU19" i="695"/>
  <c r="TU27" i="695" s="1"/>
  <c r="TO28" i="695"/>
  <c r="TO30" i="695"/>
  <c r="ZJ2" i="83"/>
  <c r="AAD3" i="83"/>
  <c r="ZJ4" i="83"/>
  <c r="ZJ9" i="83"/>
  <c r="ZJ10" i="83"/>
  <c r="ZJ11" i="83"/>
  <c r="ZJ12" i="83"/>
  <c r="ZJ13" i="83"/>
  <c r="ZJ14" i="83"/>
  <c r="ZJ15" i="83"/>
  <c r="ZJ16" i="83"/>
  <c r="ZJ17" i="83"/>
  <c r="ZJ7" i="83"/>
  <c r="ZJ8" i="83"/>
  <c r="UJ18" i="695"/>
  <c r="UJ31" i="695" s="1"/>
  <c r="UJ19" i="695"/>
  <c r="UJ27" i="695" s="1"/>
  <c r="UJ20" i="695"/>
  <c r="UJ23" i="695" s="1"/>
  <c r="UJ22" i="695"/>
  <c r="UJ21" i="695"/>
  <c r="UJ24" i="695" s="1"/>
  <c r="UJ26" i="695" s="1"/>
  <c r="UH28" i="695"/>
  <c r="UH30" i="695"/>
  <c r="YG9" i="83"/>
  <c r="YG10" i="83"/>
  <c r="YG11" i="83"/>
  <c r="YG12" i="83"/>
  <c r="YG13" i="83"/>
  <c r="YG14" i="83"/>
  <c r="YG15" i="83"/>
  <c r="YG16" i="83"/>
  <c r="YG17" i="83"/>
  <c r="YG7" i="83"/>
  <c r="YG8" i="83"/>
  <c r="YW3" i="83"/>
  <c r="YC4" i="83"/>
  <c r="UF28" i="695"/>
  <c r="UF30" i="695"/>
  <c r="ABC3" i="83"/>
  <c r="AAI9" i="83"/>
  <c r="AAI10" i="83"/>
  <c r="AAI11" i="83"/>
  <c r="AAI12" i="83"/>
  <c r="AAI13" i="83"/>
  <c r="AAI14" i="83"/>
  <c r="AAI15" i="83"/>
  <c r="AAI16" i="83"/>
  <c r="AAI17" i="83"/>
  <c r="AAI7" i="83"/>
  <c r="AAI8" i="83"/>
  <c r="ZI4" i="83"/>
  <c r="ZI2" i="83"/>
  <c r="AAC3" i="83"/>
  <c r="ZI9" i="83"/>
  <c r="ZI10" i="83"/>
  <c r="ZI11" i="83"/>
  <c r="ZI12" i="83"/>
  <c r="ZI13" i="83"/>
  <c r="ZI14" i="83"/>
  <c r="ZI15" i="83"/>
  <c r="ZI16" i="83"/>
  <c r="ZI17" i="83"/>
  <c r="ZI7" i="83"/>
  <c r="ZI8" i="83"/>
  <c r="XV25" i="83"/>
  <c r="XV30" i="83"/>
  <c r="XV33" i="83"/>
  <c r="UN28" i="695"/>
  <c r="UN30" i="695"/>
  <c r="UO28" i="695"/>
  <c r="UO30" i="695"/>
  <c r="YK9" i="83"/>
  <c r="YK10" i="83"/>
  <c r="YK11" i="83"/>
  <c r="YK12" i="83"/>
  <c r="YK13" i="83"/>
  <c r="YK14" i="83"/>
  <c r="YK15" i="83"/>
  <c r="YK16" i="83"/>
  <c r="YK17" i="83"/>
  <c r="YK7" i="83"/>
  <c r="YK8" i="83"/>
  <c r="TR22" i="695"/>
  <c r="TV28" i="695"/>
  <c r="TV30" i="695"/>
  <c r="UW28" i="695"/>
  <c r="UW30" i="695"/>
  <c r="UE22" i="695"/>
  <c r="XI19" i="83"/>
  <c r="XI27" i="83" s="1"/>
  <c r="WO20" i="83"/>
  <c r="WO23" i="83" s="1"/>
  <c r="ZH2" i="83"/>
  <c r="AAB3" i="83"/>
  <c r="ZH4" i="83"/>
  <c r="ZH9" i="83"/>
  <c r="ZH10" i="83"/>
  <c r="ZH11" i="83"/>
  <c r="ZH12" i="83"/>
  <c r="ZH13" i="83"/>
  <c r="ZH14" i="83"/>
  <c r="ZH15" i="83"/>
  <c r="ZH16" i="83"/>
  <c r="ZH17" i="83"/>
  <c r="ZH7" i="83"/>
  <c r="ZH8" i="83"/>
  <c r="TW28" i="695"/>
  <c r="TW30" i="695"/>
  <c r="ZN19" i="83"/>
  <c r="ZN27" i="83" s="1"/>
  <c r="ZN18" i="83"/>
  <c r="ZN32" i="83" s="1"/>
  <c r="ZN20" i="83"/>
  <c r="ZN23" i="83" s="1"/>
  <c r="ZN21" i="83"/>
  <c r="ZN24" i="83" s="1"/>
  <c r="ZN26" i="83" s="1"/>
  <c r="ZN22" i="83"/>
  <c r="TS25" i="695"/>
  <c r="TS29" i="695"/>
  <c r="TS32" i="695"/>
  <c r="TQ25" i="695"/>
  <c r="TQ29" i="695"/>
  <c r="TQ32" i="695"/>
  <c r="ZP19" i="83"/>
  <c r="ZP27" i="83" s="1"/>
  <c r="ZP18" i="83"/>
  <c r="ZP32" i="83" s="1"/>
  <c r="ZP21" i="83"/>
  <c r="ZP24" i="83" s="1"/>
  <c r="ZP26" i="83" s="1"/>
  <c r="ZP20" i="83"/>
  <c r="ZP23" i="83" s="1"/>
  <c r="ZP22" i="83"/>
  <c r="TN20" i="695"/>
  <c r="TN23" i="695" s="1"/>
  <c r="TN18" i="695"/>
  <c r="TN31" i="695" s="1"/>
  <c r="TN21" i="695"/>
  <c r="TN24" i="695" s="1"/>
  <c r="TN26" i="695" s="1"/>
  <c r="TN19" i="695"/>
  <c r="TN27" i="695" s="1"/>
  <c r="TN22" i="695"/>
  <c r="ZP29" i="83"/>
  <c r="ZP31" i="83"/>
  <c r="YR9" i="83"/>
  <c r="YR10" i="83"/>
  <c r="YR11" i="83"/>
  <c r="YR12" i="83"/>
  <c r="YR13" i="83"/>
  <c r="YR14" i="83"/>
  <c r="YR15" i="83"/>
  <c r="YR16" i="83"/>
  <c r="YR17" i="83"/>
  <c r="YR7" i="83"/>
  <c r="YR8" i="83"/>
  <c r="TU18" i="695"/>
  <c r="TU31" i="695" s="1"/>
  <c r="YN9" i="83"/>
  <c r="YN10" i="83"/>
  <c r="YN11" i="83"/>
  <c r="YN12" i="83"/>
  <c r="YN13" i="83"/>
  <c r="YN14" i="83"/>
  <c r="YN15" i="83"/>
  <c r="YN16" i="83"/>
  <c r="YN17" i="83"/>
  <c r="YN7" i="83"/>
  <c r="YN8" i="83"/>
  <c r="YP9" i="83"/>
  <c r="YP10" i="83"/>
  <c r="YP11" i="83"/>
  <c r="YP12" i="83"/>
  <c r="YP13" i="83"/>
  <c r="YP14" i="83"/>
  <c r="YP15" i="83"/>
  <c r="YP16" i="83"/>
  <c r="YP17" i="83"/>
  <c r="YP7" i="83"/>
  <c r="YP8" i="83"/>
  <c r="UM20" i="695"/>
  <c r="UM23" i="695" s="1"/>
  <c r="UM18" i="695"/>
  <c r="UM31" i="695" s="1"/>
  <c r="UM19" i="695"/>
  <c r="UM27" i="695" s="1"/>
  <c r="UM21" i="695"/>
  <c r="UM24" i="695" s="1"/>
  <c r="UM26" i="695" s="1"/>
  <c r="UM22" i="695"/>
  <c r="UQ19" i="695"/>
  <c r="UQ27" i="695" s="1"/>
  <c r="UQ18" i="695"/>
  <c r="UQ31" i="695" s="1"/>
  <c r="UQ22" i="695"/>
  <c r="UQ21" i="695"/>
  <c r="UQ24" i="695" s="1"/>
  <c r="UQ26" i="695" s="1"/>
  <c r="UQ20" i="695"/>
  <c r="UQ23" i="695" s="1"/>
  <c r="TX20" i="695"/>
  <c r="TX23" i="695" s="1"/>
  <c r="TX18" i="695"/>
  <c r="TX31" i="695" s="1"/>
  <c r="TX19" i="695"/>
  <c r="TX27" i="695" s="1"/>
  <c r="TX21" i="695"/>
  <c r="TX24" i="695" s="1"/>
  <c r="TX26" i="695" s="1"/>
  <c r="TX22" i="695"/>
  <c r="UK18" i="695"/>
  <c r="UK31" i="695" s="1"/>
  <c r="UK19" i="695"/>
  <c r="UK27" i="695" s="1"/>
  <c r="UK20" i="695"/>
  <c r="UK23" i="695" s="1"/>
  <c r="UK21" i="695"/>
  <c r="UK24" i="695" s="1"/>
  <c r="UK26" i="695" s="1"/>
  <c r="UK22" i="695"/>
  <c r="UB25" i="695"/>
  <c r="UB29" i="695"/>
  <c r="UB32" i="695"/>
  <c r="XP25" i="83"/>
  <c r="XP30" i="83"/>
  <c r="XP33" i="83"/>
  <c r="ZA4" i="83"/>
  <c r="ZA2" i="83"/>
  <c r="ZU3" i="83"/>
  <c r="ZA9" i="83"/>
  <c r="ZA10" i="83"/>
  <c r="ZA11" i="83"/>
  <c r="ZA12" i="83"/>
  <c r="ZA13" i="83"/>
  <c r="ZA14" i="83"/>
  <c r="ZA15" i="83"/>
  <c r="ZA16" i="83"/>
  <c r="ZA17" i="83"/>
  <c r="ZA7" i="83"/>
  <c r="ZA8" i="83"/>
  <c r="YM9" i="83"/>
  <c r="YM10" i="83"/>
  <c r="YM11" i="83"/>
  <c r="YM12" i="83"/>
  <c r="YM13" i="83"/>
  <c r="YM14" i="83"/>
  <c r="YM15" i="83"/>
  <c r="YM16" i="83"/>
  <c r="YM17" i="83"/>
  <c r="YM7" i="83"/>
  <c r="YM8" i="83"/>
  <c r="UG28" i="695"/>
  <c r="UG30" i="695"/>
  <c r="ZY3" i="83"/>
  <c r="ZE4" i="83"/>
  <c r="ZE2" i="83"/>
  <c r="ZE9" i="83"/>
  <c r="ZE10" i="83"/>
  <c r="ZE11" i="83"/>
  <c r="ZE12" i="83"/>
  <c r="ZE13" i="83"/>
  <c r="ZE14" i="83"/>
  <c r="ZE15" i="83"/>
  <c r="ZE16" i="83"/>
  <c r="ZE17" i="83"/>
  <c r="ZE7" i="83"/>
  <c r="ZE8" i="83"/>
  <c r="UP28" i="695"/>
  <c r="UP30" i="695"/>
  <c r="TY25" i="695"/>
  <c r="TY29" i="695"/>
  <c r="TY32" i="695"/>
  <c r="XK25" i="83"/>
  <c r="XK30" i="83"/>
  <c r="XK33" i="83"/>
  <c r="UT20" i="695"/>
  <c r="UT23" i="695" s="1"/>
  <c r="UT18" i="695"/>
  <c r="UT31" i="695" s="1"/>
  <c r="UT21" i="695"/>
  <c r="UT24" i="695" s="1"/>
  <c r="UT26" i="695" s="1"/>
  <c r="UT22" i="695"/>
  <c r="UT19" i="695"/>
  <c r="UT27" i="695" s="1"/>
  <c r="TR18" i="695"/>
  <c r="TR31" i="695" s="1"/>
  <c r="WZ25" i="83"/>
  <c r="WZ30" i="83"/>
  <c r="WZ33" i="83"/>
  <c r="XU25" i="83"/>
  <c r="XU30" i="83"/>
  <c r="XU33" i="83"/>
  <c r="XY25" i="83"/>
  <c r="XY30" i="83"/>
  <c r="XY33" i="83"/>
  <c r="UE21" i="695"/>
  <c r="UE24" i="695" s="1"/>
  <c r="UE26" i="695" s="1"/>
  <c r="XI21" i="83"/>
  <c r="XI24" i="83" s="1"/>
  <c r="XI26" i="83" s="1"/>
  <c r="WO19" i="83"/>
  <c r="WO27" i="83" s="1"/>
  <c r="ZL2" i="83"/>
  <c r="AAF3" i="83"/>
  <c r="ZL4" i="83"/>
  <c r="ZL9" i="83"/>
  <c r="ZL10" i="83"/>
  <c r="ZL11" i="83"/>
  <c r="ZL12" i="83"/>
  <c r="ZL13" i="83"/>
  <c r="ZL14" i="83"/>
  <c r="ZL15" i="83"/>
  <c r="ZL16" i="83"/>
  <c r="ZL17" i="83"/>
  <c r="ZL7" i="83"/>
  <c r="ZL8" i="83"/>
  <c r="US18" i="695"/>
  <c r="US31" i="695" s="1"/>
  <c r="US19" i="695"/>
  <c r="US27" i="695" s="1"/>
  <c r="US20" i="695"/>
  <c r="US23" i="695" s="1"/>
  <c r="US21" i="695"/>
  <c r="US24" i="695" s="1"/>
  <c r="US26" i="695" s="1"/>
  <c r="US22" i="695"/>
  <c r="YJ9" i="83"/>
  <c r="YJ10" i="83"/>
  <c r="YJ11" i="83"/>
  <c r="YJ12" i="83"/>
  <c r="YJ13" i="83"/>
  <c r="YJ14" i="83"/>
  <c r="YJ15" i="83"/>
  <c r="YJ16" i="83"/>
  <c r="YJ17" i="83"/>
  <c r="YJ7" i="83"/>
  <c r="YJ8" i="83"/>
  <c r="XW25" i="83"/>
  <c r="XW30" i="83"/>
  <c r="XW33" i="83"/>
  <c r="TR29" i="695"/>
  <c r="TR25" i="695"/>
  <c r="TR32" i="695"/>
  <c r="YQ9" i="83"/>
  <c r="YQ10" i="83"/>
  <c r="YQ11" i="83"/>
  <c r="YQ12" i="83"/>
  <c r="YQ13" i="83"/>
  <c r="YQ14" i="83"/>
  <c r="YQ15" i="83"/>
  <c r="YQ16" i="83"/>
  <c r="YQ17" i="83"/>
  <c r="YQ7" i="83"/>
  <c r="YQ8" i="83"/>
  <c r="TV20" i="695"/>
  <c r="TV23" i="695" s="1"/>
  <c r="TV18" i="695"/>
  <c r="TV31" i="695" s="1"/>
  <c r="TV21" i="695"/>
  <c r="TV24" i="695" s="1"/>
  <c r="TV26" i="695" s="1"/>
  <c r="TV19" i="695"/>
  <c r="TV27" i="695" s="1"/>
  <c r="TV22" i="695"/>
  <c r="YV29" i="83"/>
  <c r="YV31" i="83"/>
  <c r="UM28" i="695"/>
  <c r="UM30" i="695"/>
  <c r="XR25" i="83"/>
  <c r="XR30" i="83"/>
  <c r="XR33" i="83"/>
  <c r="UQ28" i="695"/>
  <c r="UQ30" i="695"/>
  <c r="UC18" i="695"/>
  <c r="UC31" i="695" s="1"/>
  <c r="UC19" i="695"/>
  <c r="UC27" i="695" s="1"/>
  <c r="UC20" i="695"/>
  <c r="UC23" i="695" s="1"/>
  <c r="UC21" i="695"/>
  <c r="UC24" i="695" s="1"/>
  <c r="UC26" i="695" s="1"/>
  <c r="UC22" i="695"/>
  <c r="TZ22" i="695"/>
  <c r="ZD2" i="83"/>
  <c r="ZX3" i="83"/>
  <c r="ZD4" i="83"/>
  <c r="ZD9" i="83"/>
  <c r="ZD10" i="83"/>
  <c r="ZD11" i="83"/>
  <c r="ZD12" i="83"/>
  <c r="ZD13" i="83"/>
  <c r="ZD14" i="83"/>
  <c r="ZD15" i="83"/>
  <c r="ZD16" i="83"/>
  <c r="ZD17" i="83"/>
  <c r="ZD7" i="83"/>
  <c r="ZD8" i="83"/>
  <c r="UK28" i="695"/>
  <c r="UK30" i="695"/>
  <c r="YI9" i="83"/>
  <c r="YI10" i="83"/>
  <c r="YI11" i="83"/>
  <c r="YI12" i="83"/>
  <c r="YI13" i="83"/>
  <c r="YI14" i="83"/>
  <c r="YI15" i="83"/>
  <c r="YI16" i="83"/>
  <c r="YI17" i="83"/>
  <c r="YI7" i="83"/>
  <c r="YI8" i="83"/>
  <c r="TO20" i="695"/>
  <c r="TO23" i="695" s="1"/>
  <c r="TO18" i="695"/>
  <c r="TO31" i="695" s="1"/>
  <c r="TO19" i="695"/>
  <c r="TO27" i="695" s="1"/>
  <c r="TO21" i="695"/>
  <c r="TO24" i="695" s="1"/>
  <c r="TO26" i="695" s="1"/>
  <c r="TO22" i="695"/>
  <c r="XB25" i="83"/>
  <c r="XB30" i="83"/>
  <c r="XB33" i="83"/>
  <c r="YY2" i="83"/>
  <c r="YY4" i="83"/>
  <c r="ZS3" i="83"/>
  <c r="YY9" i="83"/>
  <c r="YY10" i="83"/>
  <c r="YY11" i="83"/>
  <c r="YY12" i="83"/>
  <c r="YY13" i="83"/>
  <c r="YY14" i="83"/>
  <c r="YY15" i="83"/>
  <c r="YY16" i="83"/>
  <c r="YY17" i="83"/>
  <c r="YY7" i="83"/>
  <c r="YY8" i="83"/>
  <c r="W35" i="27" a="1"/>
  <c r="W35" i="27" s="1"/>
  <c r="X36" i="27"/>
  <c r="XX25" i="83"/>
  <c r="XX30" i="83"/>
  <c r="XX33" i="83"/>
  <c r="TW21" i="695"/>
  <c r="TW24" i="695" s="1"/>
  <c r="TW26" i="695" s="1"/>
  <c r="ZN29" i="83"/>
  <c r="ZN31" i="83"/>
  <c r="YS9" i="83"/>
  <c r="YS10" i="83"/>
  <c r="YS11" i="83"/>
  <c r="YS12" i="83"/>
  <c r="YS13" i="83"/>
  <c r="YS14" i="83"/>
  <c r="YS15" i="83"/>
  <c r="YS16" i="83"/>
  <c r="YS17" i="83"/>
  <c r="YS7" i="83"/>
  <c r="YS8" i="83"/>
  <c r="WV25" i="83"/>
  <c r="WV30" i="83"/>
  <c r="WV33" i="83"/>
  <c r="XL25" i="83"/>
  <c r="XL30" i="83"/>
  <c r="XL33" i="83"/>
  <c r="UT28" i="695"/>
  <c r="UT30" i="695"/>
  <c r="TR19" i="695"/>
  <c r="TR27" i="695" s="1"/>
  <c r="TM21" i="695"/>
  <c r="TM24" i="695" s="1"/>
  <c r="TM26" i="695" s="1"/>
  <c r="YH9" i="83"/>
  <c r="YH10" i="83"/>
  <c r="YH11" i="83"/>
  <c r="YH12" i="83"/>
  <c r="YH13" i="83"/>
  <c r="YH14" i="83"/>
  <c r="YH15" i="83"/>
  <c r="YH16" i="83"/>
  <c r="YH17" i="83"/>
  <c r="YH7" i="83"/>
  <c r="YH8" i="83"/>
  <c r="UE18" i="695"/>
  <c r="UE31" i="695" s="1"/>
  <c r="XI18" i="83"/>
  <c r="XI32" i="83" s="1"/>
  <c r="TK21" i="695"/>
  <c r="TK24" i="695" s="1"/>
  <c r="TK26" i="695" s="1"/>
  <c r="YV18" i="83"/>
  <c r="YV32" i="83" s="1"/>
  <c r="YV19" i="83"/>
  <c r="YV27" i="83" s="1"/>
  <c r="YV20" i="83"/>
  <c r="YV23" i="83" s="1"/>
  <c r="YV21" i="83"/>
  <c r="YV24" i="83" s="1"/>
  <c r="YV26" i="83" s="1"/>
  <c r="YV22" i="83"/>
  <c r="XD25" i="83"/>
  <c r="XD30" i="83"/>
  <c r="XD33" i="83"/>
  <c r="XS25" i="83"/>
  <c r="XS30" i="83"/>
  <c r="XS33" i="83"/>
  <c r="UR18" i="695"/>
  <c r="UR31" i="695" s="1"/>
  <c r="UR19" i="695"/>
  <c r="UR27" i="695" s="1"/>
  <c r="UR20" i="695"/>
  <c r="UR23" i="695" s="1"/>
  <c r="UR22" i="695"/>
  <c r="UR21" i="695"/>
  <c r="UR24" i="695" s="1"/>
  <c r="UR26" i="695" s="1"/>
  <c r="TL18" i="695"/>
  <c r="TL31" i="695" s="1"/>
  <c r="TL19" i="695"/>
  <c r="TL27" i="695" s="1"/>
  <c r="TL20" i="695"/>
  <c r="TL23" i="695" s="1"/>
  <c r="TL22" i="695"/>
  <c r="TL21" i="695"/>
  <c r="TL24" i="695" s="1"/>
  <c r="TL26" i="695" s="1"/>
  <c r="WW25" i="83"/>
  <c r="WW30" i="83"/>
  <c r="WW33" i="83"/>
  <c r="ABD3" i="83"/>
  <c r="AAJ9" i="83"/>
  <c r="AAJ10" i="83"/>
  <c r="AAJ11" i="83"/>
  <c r="AAJ12" i="83"/>
  <c r="AAJ13" i="83"/>
  <c r="AAJ14" i="83"/>
  <c r="AAJ15" i="83"/>
  <c r="AAJ16" i="83"/>
  <c r="AAJ17" i="83"/>
  <c r="AAJ7" i="83"/>
  <c r="AAJ8" i="83"/>
  <c r="ZK2" i="83"/>
  <c r="AAE3" i="83"/>
  <c r="ZK4" i="83"/>
  <c r="ZK9" i="83"/>
  <c r="ZK10" i="83"/>
  <c r="ZK11" i="83"/>
  <c r="ZK12" i="83"/>
  <c r="ZK13" i="83"/>
  <c r="ZK14" i="83"/>
  <c r="ZK15" i="83"/>
  <c r="ZK16" i="83"/>
  <c r="ZK17" i="83"/>
  <c r="ZK7" i="83"/>
  <c r="ZK8" i="83"/>
  <c r="YU18" i="83"/>
  <c r="YU32" i="83" s="1"/>
  <c r="YU19" i="83"/>
  <c r="YU27" i="83" s="1"/>
  <c r="YU20" i="83"/>
  <c r="YU23" i="83" s="1"/>
  <c r="YU21" i="83"/>
  <c r="YU24" i="83" s="1"/>
  <c r="YU26" i="83" s="1"/>
  <c r="YU22" i="83"/>
  <c r="US28" i="695"/>
  <c r="US30" i="695"/>
  <c r="UL20" i="695"/>
  <c r="UL23" i="695" s="1"/>
  <c r="UL18" i="695"/>
  <c r="UL31" i="695" s="1"/>
  <c r="UL21" i="695"/>
  <c r="UL24" i="695" s="1"/>
  <c r="UL26" i="695" s="1"/>
  <c r="UL22" i="695"/>
  <c r="UL19" i="695"/>
  <c r="UL27" i="695" s="1"/>
  <c r="TZ18" i="695"/>
  <c r="TZ31" i="695" s="1"/>
  <c r="ZC2" i="83"/>
  <c r="ZW3" i="83"/>
  <c r="ZC4" i="83"/>
  <c r="ZC9" i="83"/>
  <c r="ZC10" i="83"/>
  <c r="ZC11" i="83"/>
  <c r="ZC12" i="83"/>
  <c r="ZC13" i="83"/>
  <c r="ZC14" i="83"/>
  <c r="ZC15" i="83"/>
  <c r="ZC16" i="83"/>
  <c r="ZC17" i="83"/>
  <c r="ZC7" i="83"/>
  <c r="ZC8" i="83"/>
  <c r="YF9" i="83"/>
  <c r="YF10" i="83"/>
  <c r="YF11" i="83"/>
  <c r="YF12" i="83"/>
  <c r="YF13" i="83"/>
  <c r="YF14" i="83"/>
  <c r="YF15" i="83"/>
  <c r="YF16" i="83"/>
  <c r="YF17" i="83"/>
  <c r="YF7" i="83"/>
  <c r="YF8" i="83"/>
  <c r="TW19" i="695"/>
  <c r="TW27" i="695" s="1"/>
  <c r="ZO19" i="83"/>
  <c r="ZO27" i="83" s="1"/>
  <c r="ZO18" i="83"/>
  <c r="ZO32" i="83" s="1"/>
  <c r="ZO20" i="83"/>
  <c r="ZO23" i="83" s="1"/>
  <c r="ZO22" i="83"/>
  <c r="ZO21" i="83"/>
  <c r="ZO24" i="83" s="1"/>
  <c r="ZO26" i="83" s="1"/>
  <c r="XT25" i="83"/>
  <c r="XT30" i="83"/>
  <c r="XT33" i="83"/>
  <c r="AAG3" i="83"/>
  <c r="ZM4" i="83"/>
  <c r="ZM2" i="83"/>
  <c r="ZM9" i="83"/>
  <c r="ZM10" i="83"/>
  <c r="ZM11" i="83"/>
  <c r="ZM12" i="83"/>
  <c r="ZM13" i="83"/>
  <c r="ZM14" i="83"/>
  <c r="ZM15" i="83"/>
  <c r="ZM16" i="83"/>
  <c r="ZM17" i="83"/>
  <c r="ZM7" i="83"/>
  <c r="ZM8" i="83"/>
  <c r="XE25" i="83"/>
  <c r="XE30" i="83"/>
  <c r="XE33" i="83"/>
  <c r="XC25" i="83"/>
  <c r="XC30" i="83"/>
  <c r="XC33" i="83"/>
  <c r="TM20" i="695"/>
  <c r="TM23" i="695" s="1"/>
  <c r="ZB2" i="83"/>
  <c r="ZB4" i="83"/>
  <c r="ZV3" i="83"/>
  <c r="ZB9" i="83"/>
  <c r="ZB10" i="83"/>
  <c r="ZB11" i="83"/>
  <c r="ZB12" i="83"/>
  <c r="ZB13" i="83"/>
  <c r="ZB14" i="83"/>
  <c r="ZB15" i="83"/>
  <c r="ZB16" i="83"/>
  <c r="ZB17" i="83"/>
  <c r="ZB7" i="83"/>
  <c r="ZB8" i="83"/>
  <c r="UR28" i="695"/>
  <c r="UR30" i="695"/>
  <c r="UE20" i="695"/>
  <c r="UE23" i="695" s="1"/>
  <c r="WO29" i="83"/>
  <c r="TK22" i="695"/>
  <c r="ZG2" i="83"/>
  <c r="ZG4" i="83"/>
  <c r="AAA3" i="83"/>
  <c r="ZG9" i="83"/>
  <c r="ZG10" i="83"/>
  <c r="ZG11" i="83"/>
  <c r="ZG12" i="83"/>
  <c r="ZG13" i="83"/>
  <c r="ZG14" i="83"/>
  <c r="ZG15" i="83"/>
  <c r="ZG16" i="83"/>
  <c r="ZG17" i="83"/>
  <c r="ZG7" i="83"/>
  <c r="ZG8" i="83"/>
  <c r="XO25" i="83"/>
  <c r="XO30" i="83"/>
  <c r="XO33" i="83"/>
  <c r="YU29" i="83"/>
  <c r="YU31" i="83"/>
  <c r="TU22" i="695"/>
  <c r="XQ25" i="83"/>
  <c r="XQ30" i="83"/>
  <c r="XQ33" i="83"/>
  <c r="UV20" i="695"/>
  <c r="UV23" i="695" s="1"/>
  <c r="UV18" i="695"/>
  <c r="UV31" i="695" s="1"/>
  <c r="UV19" i="695"/>
  <c r="UV27" i="695" s="1"/>
  <c r="UV21" i="695"/>
  <c r="UV24" i="695" s="1"/>
  <c r="UV26" i="695" s="1"/>
  <c r="UV22" i="695"/>
  <c r="UX19" i="695"/>
  <c r="UX27" i="695" s="1"/>
  <c r="UX20" i="695"/>
  <c r="UX23" i="695" s="1"/>
  <c r="UX18" i="695"/>
  <c r="UX31" i="695" s="1"/>
  <c r="UX22" i="695"/>
  <c r="UX21" i="695"/>
  <c r="UX24" i="695" s="1"/>
  <c r="UX26" i="695" s="1"/>
  <c r="TZ20" i="695"/>
  <c r="TZ23" i="695" s="1"/>
  <c r="WR25" i="83"/>
  <c r="WR30" i="83"/>
  <c r="WR33" i="83"/>
  <c r="YZ2" i="83"/>
  <c r="ZT3" i="83"/>
  <c r="YZ4" i="83"/>
  <c r="YZ9" i="83"/>
  <c r="YZ10" i="83"/>
  <c r="YZ11" i="83"/>
  <c r="YZ12" i="83"/>
  <c r="YZ13" i="83"/>
  <c r="YZ14" i="83"/>
  <c r="YZ15" i="83"/>
  <c r="YZ16" i="83"/>
  <c r="YZ17" i="83"/>
  <c r="YZ7" i="83"/>
  <c r="YZ8" i="83"/>
  <c r="TW18" i="695"/>
  <c r="TW31" i="695" s="1"/>
  <c r="TP25" i="695"/>
  <c r="TP29" i="695"/>
  <c r="TP32" i="695"/>
  <c r="UU20" i="695"/>
  <c r="UU23" i="695" s="1"/>
  <c r="UU18" i="695"/>
  <c r="UU31" i="695" s="1"/>
  <c r="UU19" i="695"/>
  <c r="UU27" i="695" s="1"/>
  <c r="UU21" i="695"/>
  <c r="UU24" i="695" s="1"/>
  <c r="UU26" i="695" s="1"/>
  <c r="UU22" i="695"/>
  <c r="ZO29" i="83"/>
  <c r="ZO31" i="83"/>
  <c r="ABB3" i="83"/>
  <c r="AAH9" i="83"/>
  <c r="AAH10" i="83"/>
  <c r="AAH11" i="83"/>
  <c r="AAH12" i="83"/>
  <c r="AAH13" i="83"/>
  <c r="AAH14" i="83"/>
  <c r="AAH15" i="83"/>
  <c r="AAH16" i="83"/>
  <c r="AAH17" i="83"/>
  <c r="AAH7" i="83"/>
  <c r="AAH8" i="83"/>
  <c r="UD25" i="695"/>
  <c r="UD29" i="695"/>
  <c r="UD32" i="695"/>
  <c r="YD9" i="83"/>
  <c r="YD10" i="83"/>
  <c r="YD11" i="83"/>
  <c r="YD12" i="83"/>
  <c r="YD13" i="83"/>
  <c r="YD14" i="83"/>
  <c r="YD15" i="83"/>
  <c r="YD16" i="83"/>
  <c r="YD17" i="83"/>
  <c r="YD7" i="83"/>
  <c r="YD8" i="83"/>
  <c r="TM19" i="695"/>
  <c r="TM27" i="695" s="1"/>
  <c r="XA25" i="83"/>
  <c r="XA30" i="83"/>
  <c r="XA33" i="83"/>
  <c r="XI29" i="83"/>
  <c r="E56" i="695" a="1"/>
  <c r="E56" i="695" s="1"/>
  <c r="E55" i="695" a="1"/>
  <c r="E55" i="695" s="1"/>
  <c r="E57" i="695" a="1"/>
  <c r="E57" i="695" s="1"/>
  <c r="TK20" i="695"/>
  <c r="TK23" i="695" s="1"/>
  <c r="XM25" i="83"/>
  <c r="XM30" i="83"/>
  <c r="XM33" i="83"/>
  <c r="UI19" i="695"/>
  <c r="UI27" i="695" s="1"/>
  <c r="UI18" i="695"/>
  <c r="UI31" i="695" s="1"/>
  <c r="UI22" i="695"/>
  <c r="UI20" i="695"/>
  <c r="UI23" i="695" s="1"/>
  <c r="UI21" i="695"/>
  <c r="UI24" i="695" s="1"/>
  <c r="UI26" i="695" s="1"/>
  <c r="TU21" i="695"/>
  <c r="TU24" i="695" s="1"/>
  <c r="TU26" i="695" s="1"/>
  <c r="XJ25" i="83"/>
  <c r="XJ30" i="83"/>
  <c r="XJ33" i="83"/>
  <c r="UL28" i="695"/>
  <c r="UL30" i="695"/>
  <c r="UH19" i="695"/>
  <c r="UH27" i="695" s="1"/>
  <c r="UH20" i="695"/>
  <c r="UH23" i="695" s="1"/>
  <c r="UH18" i="695"/>
  <c r="UH31" i="695" s="1"/>
  <c r="UH22" i="695"/>
  <c r="UH21" i="695"/>
  <c r="UH24" i="695" s="1"/>
  <c r="UH26" i="695" s="1"/>
  <c r="UF20" i="695"/>
  <c r="UF23" i="695" s="1"/>
  <c r="UF18" i="695"/>
  <c r="UF31" i="695" s="1"/>
  <c r="UF19" i="695"/>
  <c r="UF27" i="695" s="1"/>
  <c r="UF21" i="695"/>
  <c r="UF24" i="695" s="1"/>
  <c r="UF26" i="695" s="1"/>
  <c r="UF22" i="695"/>
  <c r="UN20" i="695"/>
  <c r="UN23" i="695" s="1"/>
  <c r="UN18" i="695"/>
  <c r="UN31" i="695" s="1"/>
  <c r="UN19" i="695"/>
  <c r="UN27" i="695" s="1"/>
  <c r="UN21" i="695"/>
  <c r="UN24" i="695" s="1"/>
  <c r="UN26" i="695" s="1"/>
  <c r="UN22" i="695"/>
  <c r="UO19" i="695"/>
  <c r="UO27" i="695" s="1"/>
  <c r="UO20" i="695"/>
  <c r="UO23" i="695" s="1"/>
  <c r="UO18" i="695"/>
  <c r="UO31" i="695" s="1"/>
  <c r="UO21" i="695"/>
  <c r="UO24" i="695" s="1"/>
  <c r="UO26" i="695" s="1"/>
  <c r="UO22" i="695"/>
  <c r="UA28" i="695"/>
  <c r="UA30" i="695"/>
  <c r="ZR3" i="83"/>
  <c r="YX2" i="83"/>
  <c r="YX4" i="83"/>
  <c r="YX9" i="83"/>
  <c r="YX10" i="83"/>
  <c r="YX11" i="83"/>
  <c r="YX12" i="83"/>
  <c r="YX13" i="83"/>
  <c r="YX14" i="83"/>
  <c r="YX15" i="83"/>
  <c r="YX16" i="83"/>
  <c r="YX17" i="83"/>
  <c r="YX7" i="83"/>
  <c r="YX8" i="83"/>
  <c r="WX25" i="83"/>
  <c r="WX30" i="83"/>
  <c r="WX33" i="83"/>
  <c r="ZF2" i="83"/>
  <c r="ZZ3" i="83"/>
  <c r="ZF4" i="83"/>
  <c r="ZF9" i="83"/>
  <c r="ZF10" i="83"/>
  <c r="ZF11" i="83"/>
  <c r="ZF12" i="83"/>
  <c r="ZF13" i="83"/>
  <c r="ZF14" i="83"/>
  <c r="ZF15" i="83"/>
  <c r="ZF16" i="83"/>
  <c r="ZF17" i="83"/>
  <c r="ZF7" i="83"/>
  <c r="ZF8" i="83"/>
  <c r="UW19" i="695"/>
  <c r="UW27" i="695" s="1"/>
  <c r="UW20" i="695"/>
  <c r="UW23" i="695" s="1"/>
  <c r="UW18" i="695"/>
  <c r="UW31" i="695" s="1"/>
  <c r="UW21" i="695"/>
  <c r="UW24" i="695" s="1"/>
  <c r="UW26" i="695" s="1"/>
  <c r="UW22" i="695"/>
  <c r="WO22" i="83"/>
  <c r="TK18" i="695"/>
  <c r="TK31" i="695" s="1"/>
  <c r="UJ28" i="695"/>
  <c r="UJ30" i="695"/>
  <c r="UA19" i="695"/>
  <c r="UA27" i="695" s="1"/>
  <c r="UA18" i="695"/>
  <c r="UA31" i="695" s="1"/>
  <c r="UA22" i="695"/>
  <c r="UA20" i="695"/>
  <c r="UA23" i="695" s="1"/>
  <c r="UA21" i="695"/>
  <c r="UA24" i="695" s="1"/>
  <c r="UA26" i="695" s="1"/>
  <c r="WP25" i="83"/>
  <c r="WP30" i="83"/>
  <c r="WP33" i="83"/>
  <c r="UI28" i="695"/>
  <c r="UI30" i="695"/>
  <c r="TT25" i="695"/>
  <c r="TT29" i="695"/>
  <c r="TT32" i="695"/>
  <c r="YT19" i="83"/>
  <c r="YT27" i="83" s="1"/>
  <c r="YT20" i="83"/>
  <c r="YT23" i="83" s="1"/>
  <c r="YT18" i="83"/>
  <c r="YT32" i="83" s="1"/>
  <c r="YT21" i="83"/>
  <c r="YT24" i="83" s="1"/>
  <c r="YT26" i="83" s="1"/>
  <c r="YT22" i="83"/>
  <c r="UV28" i="695"/>
  <c r="UV30" i="695"/>
  <c r="UX28" i="695"/>
  <c r="UX30" i="695"/>
  <c r="XN25" i="83"/>
  <c r="XN30" i="83"/>
  <c r="XN33" i="83"/>
  <c r="WS25" i="83"/>
  <c r="WS30" i="83"/>
  <c r="WS33" i="83"/>
  <c r="WT25" i="83"/>
  <c r="WT30" i="83"/>
  <c r="WT33" i="83"/>
  <c r="WY25" i="83"/>
  <c r="WY30" i="83"/>
  <c r="WY33" i="83"/>
  <c r="UU28" i="695"/>
  <c r="UU30" i="695"/>
  <c r="UG19" i="695"/>
  <c r="UG27" i="695" s="1"/>
  <c r="UG20" i="695"/>
  <c r="UG23" i="695" s="1"/>
  <c r="UG21" i="695"/>
  <c r="UG24" i="695" s="1"/>
  <c r="UG26" i="695" s="1"/>
  <c r="UG18" i="695"/>
  <c r="UG31" i="695" s="1"/>
  <c r="UG22" i="695"/>
  <c r="YO9" i="83"/>
  <c r="YO10" i="83"/>
  <c r="YO11" i="83"/>
  <c r="YO12" i="83"/>
  <c r="YO13" i="83"/>
  <c r="YO14" i="83"/>
  <c r="YO15" i="83"/>
  <c r="YO16" i="83"/>
  <c r="YO17" i="83"/>
  <c r="YO7" i="83"/>
  <c r="YO8" i="83"/>
  <c r="WQ25" i="83"/>
  <c r="WQ30" i="83"/>
  <c r="WQ33" i="83"/>
  <c r="UP19" i="695"/>
  <c r="UP27" i="695" s="1"/>
  <c r="UP20" i="695"/>
  <c r="UP23" i="695" s="1"/>
  <c r="UP18" i="695"/>
  <c r="UP31" i="695" s="1"/>
  <c r="UP22" i="695"/>
  <c r="UP21" i="695"/>
  <c r="UP24" i="695" s="1"/>
  <c r="UP26" i="695" s="1"/>
  <c r="YL9" i="83"/>
  <c r="YL10" i="83"/>
  <c r="YL11" i="83"/>
  <c r="YL12" i="83"/>
  <c r="YL13" i="83"/>
  <c r="YL14" i="83"/>
  <c r="YL15" i="83"/>
  <c r="YL16" i="83"/>
  <c r="YL17" i="83"/>
  <c r="YL7" i="83"/>
  <c r="YL8" i="83"/>
  <c r="D56" i="695" a="1"/>
  <c r="D56" i="695" s="1"/>
  <c r="D55" i="695" a="1"/>
  <c r="D55" i="695" s="1"/>
  <c r="D57" i="695" a="1"/>
  <c r="D57" i="695" s="1"/>
  <c r="YC8" i="83"/>
  <c r="YC7" i="83"/>
  <c r="YC31" i="83" l="1"/>
  <c r="AAV3" i="83"/>
  <c r="AAB9" i="83"/>
  <c r="AAB10" i="83"/>
  <c r="AAB11" i="83"/>
  <c r="AAB12" i="83"/>
  <c r="AAB13" i="83"/>
  <c r="AAB14" i="83"/>
  <c r="AAB15" i="83"/>
  <c r="AAB16" i="83"/>
  <c r="AAB17" i="83"/>
  <c r="AAB7" i="83"/>
  <c r="AAB8" i="83"/>
  <c r="UP29" i="695"/>
  <c r="UP25" i="695"/>
  <c r="UP32" i="695"/>
  <c r="UW25" i="695"/>
  <c r="UW29" i="695"/>
  <c r="UW32" i="695"/>
  <c r="AAL3" i="83"/>
  <c r="ZR9" i="83"/>
  <c r="ZR10" i="83"/>
  <c r="ZR11" i="83"/>
  <c r="ZR12" i="83"/>
  <c r="ZR13" i="83"/>
  <c r="ZR14" i="83"/>
  <c r="ZR15" i="83"/>
  <c r="ZR16" i="83"/>
  <c r="ZR17" i="83"/>
  <c r="ZR7" i="83"/>
  <c r="ZR8" i="83"/>
  <c r="UX29" i="695"/>
  <c r="UX25" i="695"/>
  <c r="UX32" i="695"/>
  <c r="ZG19" i="83"/>
  <c r="ZG27" i="83" s="1"/>
  <c r="ZG18" i="83"/>
  <c r="ZG32" i="83" s="1"/>
  <c r="ZG20" i="83"/>
  <c r="ZG23" i="83" s="1"/>
  <c r="ZG22" i="83"/>
  <c r="ZG21" i="83"/>
  <c r="ZG24" i="83" s="1"/>
  <c r="ZG26" i="83" s="1"/>
  <c r="UE25" i="695"/>
  <c r="UE29" i="695"/>
  <c r="UE32" i="695"/>
  <c r="ZM18" i="83"/>
  <c r="ZM32" i="83" s="1"/>
  <c r="ZM20" i="83"/>
  <c r="ZM23" i="83" s="1"/>
  <c r="ZM21" i="83"/>
  <c r="ZM24" i="83" s="1"/>
  <c r="ZM26" i="83" s="1"/>
  <c r="ZM19" i="83"/>
  <c r="ZM27" i="83" s="1"/>
  <c r="ZM22" i="83"/>
  <c r="YF29" i="83"/>
  <c r="YF31" i="83"/>
  <c r="YS29" i="83"/>
  <c r="YS31" i="83"/>
  <c r="W36" i="27" a="1"/>
  <c r="W36" i="27" s="1"/>
  <c r="X37" i="27"/>
  <c r="YI19" i="83"/>
  <c r="YI27" i="83" s="1"/>
  <c r="YI18" i="83"/>
  <c r="YI32" i="83" s="1"/>
  <c r="YI20" i="83"/>
  <c r="YI23" i="83" s="1"/>
  <c r="YI22" i="83"/>
  <c r="YI21" i="83"/>
  <c r="YI24" i="83" s="1"/>
  <c r="YI26" i="83" s="1"/>
  <c r="YQ29" i="83"/>
  <c r="YQ31" i="83"/>
  <c r="YJ19" i="83"/>
  <c r="YJ27" i="83" s="1"/>
  <c r="YJ18" i="83"/>
  <c r="YJ32" i="83" s="1"/>
  <c r="YJ20" i="83"/>
  <c r="YJ23" i="83" s="1"/>
  <c r="YJ21" i="83"/>
  <c r="YJ24" i="83" s="1"/>
  <c r="YJ26" i="83" s="1"/>
  <c r="YJ22" i="83"/>
  <c r="ZL18" i="83"/>
  <c r="ZL32" i="83" s="1"/>
  <c r="ZL19" i="83"/>
  <c r="ZL27" i="83" s="1"/>
  <c r="ZL20" i="83"/>
  <c r="ZL23" i="83" s="1"/>
  <c r="ZL21" i="83"/>
  <c r="ZL24" i="83" s="1"/>
  <c r="ZL26" i="83" s="1"/>
  <c r="ZL22" i="83"/>
  <c r="ZE18" i="83"/>
  <c r="ZE32" i="83" s="1"/>
  <c r="ZE20" i="83"/>
  <c r="ZE23" i="83" s="1"/>
  <c r="ZE19" i="83"/>
  <c r="ZE27" i="83" s="1"/>
  <c r="ZE21" i="83"/>
  <c r="ZE24" i="83" s="1"/>
  <c r="ZE26" i="83" s="1"/>
  <c r="ZE22" i="83"/>
  <c r="YM18" i="83"/>
  <c r="YM32" i="83" s="1"/>
  <c r="YM19" i="83"/>
  <c r="YM27" i="83" s="1"/>
  <c r="YM20" i="83"/>
  <c r="YM23" i="83" s="1"/>
  <c r="YM21" i="83"/>
  <c r="YM24" i="83" s="1"/>
  <c r="YM26" i="83" s="1"/>
  <c r="YM22" i="83"/>
  <c r="TX25" i="695"/>
  <c r="TX29" i="695"/>
  <c r="TX32" i="695"/>
  <c r="YT25" i="83"/>
  <c r="YT30" i="83"/>
  <c r="YT33" i="83"/>
  <c r="YH19" i="83"/>
  <c r="YH27" i="83" s="1"/>
  <c r="YH18" i="83"/>
  <c r="YH32" i="83" s="1"/>
  <c r="YH20" i="83"/>
  <c r="YH23" i="83" s="1"/>
  <c r="YH21" i="83"/>
  <c r="YH24" i="83" s="1"/>
  <c r="YH26" i="83" s="1"/>
  <c r="YH22" i="83"/>
  <c r="UF25" i="695"/>
  <c r="UF29" i="695"/>
  <c r="UF32" i="695"/>
  <c r="ZG29" i="83"/>
  <c r="ZG31" i="83"/>
  <c r="TM25" i="695"/>
  <c r="TM29" i="695"/>
  <c r="TM32" i="695"/>
  <c r="ZM29" i="83"/>
  <c r="ZM31" i="83"/>
  <c r="AAY3" i="83"/>
  <c r="AAE9" i="83"/>
  <c r="AAE10" i="83"/>
  <c r="AAE11" i="83"/>
  <c r="AAE12" i="83"/>
  <c r="AAE13" i="83"/>
  <c r="AAE14" i="83"/>
  <c r="AAE15" i="83"/>
  <c r="AAE16" i="83"/>
  <c r="AAE17" i="83"/>
  <c r="AAE7" i="83"/>
  <c r="AAE8" i="83"/>
  <c r="UR25" i="695"/>
  <c r="UR29" i="695"/>
  <c r="UR32" i="695"/>
  <c r="YI29" i="83"/>
  <c r="YI31" i="83"/>
  <c r="AAR3" i="83"/>
  <c r="ZX9" i="83"/>
  <c r="ZX10" i="83"/>
  <c r="ZX11" i="83"/>
  <c r="ZX12" i="83"/>
  <c r="ZX13" i="83"/>
  <c r="ZX14" i="83"/>
  <c r="ZX15" i="83"/>
  <c r="ZX16" i="83"/>
  <c r="ZX17" i="83"/>
  <c r="ZX7" i="83"/>
  <c r="ZX8" i="83"/>
  <c r="YJ29" i="83"/>
  <c r="YJ31" i="83"/>
  <c r="ZL29" i="83"/>
  <c r="ZL31" i="83"/>
  <c r="ZE29" i="83"/>
  <c r="ZE31" i="83"/>
  <c r="YM29" i="83"/>
  <c r="YM31" i="83"/>
  <c r="UK25" i="695"/>
  <c r="UK29" i="695"/>
  <c r="UK32" i="695"/>
  <c r="UQ25" i="695"/>
  <c r="UQ29" i="695"/>
  <c r="UQ32" i="695"/>
  <c r="ZN25" i="83"/>
  <c r="ZN30" i="83"/>
  <c r="ZN33" i="83"/>
  <c r="AAW3" i="83"/>
  <c r="AAC9" i="83"/>
  <c r="AAC10" i="83"/>
  <c r="AAC11" i="83"/>
  <c r="AAC12" i="83"/>
  <c r="AAC13" i="83"/>
  <c r="AAC14" i="83"/>
  <c r="AAC15" i="83"/>
  <c r="AAC16" i="83"/>
  <c r="AAC17" i="83"/>
  <c r="AAC7" i="83"/>
  <c r="AAC8" i="83"/>
  <c r="YE18" i="83"/>
  <c r="YE32" i="83" s="1"/>
  <c r="YE19" i="83"/>
  <c r="YE27" i="83" s="1"/>
  <c r="YE20" i="83"/>
  <c r="YE23" i="83" s="1"/>
  <c r="YE21" i="83"/>
  <c r="YE24" i="83" s="1"/>
  <c r="YE26" i="83" s="1"/>
  <c r="YE22" i="83"/>
  <c r="ZC18" i="83"/>
  <c r="ZC32" i="83" s="1"/>
  <c r="ZC19" i="83"/>
  <c r="ZC27" i="83" s="1"/>
  <c r="ZC20" i="83"/>
  <c r="ZC23" i="83" s="1"/>
  <c r="ZC21" i="83"/>
  <c r="ZC24" i="83" s="1"/>
  <c r="ZC26" i="83" s="1"/>
  <c r="ZC22" i="83"/>
  <c r="YL29" i="83"/>
  <c r="YL31" i="83"/>
  <c r="UG25" i="695"/>
  <c r="UG29" i="695"/>
  <c r="UG32" i="695"/>
  <c r="ZF29" i="83"/>
  <c r="ZF31" i="83"/>
  <c r="YX19" i="83"/>
  <c r="YX27" i="83" s="1"/>
  <c r="YX18" i="83"/>
  <c r="YX32" i="83" s="1"/>
  <c r="YX20" i="83"/>
  <c r="YX23" i="83" s="1"/>
  <c r="YX21" i="83"/>
  <c r="YX24" i="83" s="1"/>
  <c r="YX26" i="83" s="1"/>
  <c r="YX22" i="83"/>
  <c r="YZ19" i="83"/>
  <c r="YZ27" i="83" s="1"/>
  <c r="YZ18" i="83"/>
  <c r="YZ32" i="83" s="1"/>
  <c r="YZ20" i="83"/>
  <c r="YZ23" i="83" s="1"/>
  <c r="YZ21" i="83"/>
  <c r="YZ24" i="83" s="1"/>
  <c r="YZ26" i="83" s="1"/>
  <c r="YZ22" i="83"/>
  <c r="AAU3" i="83"/>
  <c r="AAA9" i="83"/>
  <c r="AAA10" i="83"/>
  <c r="AAA11" i="83"/>
  <c r="AAA12" i="83"/>
  <c r="AAA13" i="83"/>
  <c r="AAA14" i="83"/>
  <c r="AAA15" i="83"/>
  <c r="AAA16" i="83"/>
  <c r="AAA17" i="83"/>
  <c r="AAA7" i="83"/>
  <c r="AAA8" i="83"/>
  <c r="ZB19" i="83"/>
  <c r="ZB27" i="83" s="1"/>
  <c r="ZB20" i="83"/>
  <c r="ZB23" i="83" s="1"/>
  <c r="ZB18" i="83"/>
  <c r="ZB32" i="83" s="1"/>
  <c r="ZB21" i="83"/>
  <c r="ZB24" i="83" s="1"/>
  <c r="ZB26" i="83" s="1"/>
  <c r="ZB22" i="83"/>
  <c r="ZO25" i="83"/>
  <c r="ZO30" i="83"/>
  <c r="ZO33" i="83"/>
  <c r="ZC29" i="83"/>
  <c r="ZC31" i="83"/>
  <c r="AAJ18" i="83"/>
  <c r="AAJ32" i="83" s="1"/>
  <c r="AAJ19" i="83"/>
  <c r="AAJ27" i="83" s="1"/>
  <c r="AAJ20" i="83"/>
  <c r="AAJ23" i="83" s="1"/>
  <c r="AAJ21" i="83"/>
  <c r="AAJ24" i="83" s="1"/>
  <c r="AAJ26" i="83" s="1"/>
  <c r="AAJ22" i="83"/>
  <c r="YH29" i="83"/>
  <c r="YH31" i="83"/>
  <c r="YY29" i="83"/>
  <c r="YY31" i="83"/>
  <c r="ZA19" i="83"/>
  <c r="ZA27" i="83" s="1"/>
  <c r="ZA18" i="83"/>
  <c r="ZA32" i="83" s="1"/>
  <c r="ZA20" i="83"/>
  <c r="ZA23" i="83" s="1"/>
  <c r="ZA21" i="83"/>
  <c r="ZA24" i="83" s="1"/>
  <c r="ZA26" i="83" s="1"/>
  <c r="ZA22" i="83"/>
  <c r="YP19" i="83"/>
  <c r="YP27" i="83" s="1"/>
  <c r="YP18" i="83"/>
  <c r="YP32" i="83" s="1"/>
  <c r="YP20" i="83"/>
  <c r="YP23" i="83" s="1"/>
  <c r="YP21" i="83"/>
  <c r="YP24" i="83" s="1"/>
  <c r="YP26" i="83" s="1"/>
  <c r="YP22" i="83"/>
  <c r="YR29" i="83"/>
  <c r="YR31" i="83"/>
  <c r="TN25" i="695"/>
  <c r="TN29" i="695"/>
  <c r="TN32" i="695"/>
  <c r="ZQ3" i="83"/>
  <c r="YW2" i="83"/>
  <c r="YW4" i="83"/>
  <c r="YW9" i="83"/>
  <c r="YW10" i="83"/>
  <c r="YW11" i="83"/>
  <c r="YW12" i="83"/>
  <c r="YW13" i="83"/>
  <c r="YW14" i="83"/>
  <c r="YW15" i="83"/>
  <c r="YW16" i="83"/>
  <c r="YW17" i="83"/>
  <c r="UJ25" i="695"/>
  <c r="UJ29" i="695"/>
  <c r="UJ32" i="695"/>
  <c r="ZF19" i="83"/>
  <c r="ZF27" i="83" s="1"/>
  <c r="ZF18" i="83"/>
  <c r="ZF32" i="83" s="1"/>
  <c r="ZF20" i="83"/>
  <c r="ZF23" i="83" s="1"/>
  <c r="ZF21" i="83"/>
  <c r="ZF24" i="83" s="1"/>
  <c r="ZF26" i="83" s="1"/>
  <c r="ZF22" i="83"/>
  <c r="YU25" i="83"/>
  <c r="YU30" i="83"/>
  <c r="YU33" i="83"/>
  <c r="YY19" i="83"/>
  <c r="YY27" i="83" s="1"/>
  <c r="YY18" i="83"/>
  <c r="YY32" i="83" s="1"/>
  <c r="YY20" i="83"/>
  <c r="YY23" i="83" s="1"/>
  <c r="YY22" i="83"/>
  <c r="YY21" i="83"/>
  <c r="YY24" i="83" s="1"/>
  <c r="YY26" i="83" s="1"/>
  <c r="AAX3" i="83"/>
  <c r="AAD9" i="83"/>
  <c r="AAD10" i="83"/>
  <c r="AAD11" i="83"/>
  <c r="AAD12" i="83"/>
  <c r="AAD13" i="83"/>
  <c r="AAD14" i="83"/>
  <c r="AAD15" i="83"/>
  <c r="AAD16" i="83"/>
  <c r="AAD17" i="83"/>
  <c r="AAD7" i="83"/>
  <c r="AAD8" i="83"/>
  <c r="YX29" i="83"/>
  <c r="YX31" i="83"/>
  <c r="UN25" i="695"/>
  <c r="UN29" i="695"/>
  <c r="UN32" i="695"/>
  <c r="AAH18" i="83"/>
  <c r="AAH32" i="83" s="1"/>
  <c r="AAH20" i="83"/>
  <c r="AAH23" i="83" s="1"/>
  <c r="AAH19" i="83"/>
  <c r="AAH27" i="83" s="1"/>
  <c r="AAH21" i="83"/>
  <c r="AAH24" i="83" s="1"/>
  <c r="AAH26" i="83" s="1"/>
  <c r="AAH22" i="83"/>
  <c r="YZ29" i="83"/>
  <c r="YZ31" i="83"/>
  <c r="TZ29" i="695"/>
  <c r="TZ25" i="695"/>
  <c r="TZ32" i="695"/>
  <c r="ZB29" i="83"/>
  <c r="ZB31" i="83"/>
  <c r="AAJ29" i="83"/>
  <c r="AAJ31" i="83"/>
  <c r="TL25" i="695"/>
  <c r="TL29" i="695"/>
  <c r="TL32" i="695"/>
  <c r="YV25" i="83"/>
  <c r="YV30" i="83"/>
  <c r="YV33" i="83"/>
  <c r="AAZ3" i="83"/>
  <c r="AAF9" i="83"/>
  <c r="AAF10" i="83"/>
  <c r="AAF11" i="83"/>
  <c r="AAF12" i="83"/>
  <c r="AAF13" i="83"/>
  <c r="AAF14" i="83"/>
  <c r="AAF15" i="83"/>
  <c r="AAF16" i="83"/>
  <c r="AAF17" i="83"/>
  <c r="AAF7" i="83"/>
  <c r="AAF8" i="83"/>
  <c r="ZA29" i="83"/>
  <c r="ZA31" i="83"/>
  <c r="YP29" i="83"/>
  <c r="YP31" i="83"/>
  <c r="WO25" i="83"/>
  <c r="WO30" i="83"/>
  <c r="WO33" i="83"/>
  <c r="YK19" i="83"/>
  <c r="YK27" i="83" s="1"/>
  <c r="YK18" i="83"/>
  <c r="YK32" i="83" s="1"/>
  <c r="YK20" i="83"/>
  <c r="YK23" i="83" s="1"/>
  <c r="YK21" i="83"/>
  <c r="YK24" i="83" s="1"/>
  <c r="YK26" i="83" s="1"/>
  <c r="YK22" i="83"/>
  <c r="AAI18" i="83"/>
  <c r="AAI32" i="83" s="1"/>
  <c r="AAI20" i="83"/>
  <c r="AAI23" i="83" s="1"/>
  <c r="AAI19" i="83"/>
  <c r="AAI27" i="83" s="1"/>
  <c r="AAI21" i="83"/>
  <c r="AAI24" i="83" s="1"/>
  <c r="AAI26" i="83" s="1"/>
  <c r="AAI22" i="83"/>
  <c r="YG18" i="83"/>
  <c r="YG32" i="83" s="1"/>
  <c r="YG19" i="83"/>
  <c r="YG27" i="83" s="1"/>
  <c r="YG20" i="83"/>
  <c r="YG23" i="83" s="1"/>
  <c r="YG21" i="83"/>
  <c r="YG24" i="83" s="1"/>
  <c r="YG26" i="83" s="1"/>
  <c r="YG22" i="83"/>
  <c r="YL19" i="83"/>
  <c r="YL27" i="83" s="1"/>
  <c r="YL20" i="83"/>
  <c r="YL23" i="83" s="1"/>
  <c r="YL18" i="83"/>
  <c r="YL32" i="83" s="1"/>
  <c r="YL21" i="83"/>
  <c r="YL24" i="83" s="1"/>
  <c r="YL26" i="83" s="1"/>
  <c r="YL22" i="83"/>
  <c r="UM25" i="695"/>
  <c r="UM29" i="695"/>
  <c r="UM32" i="695"/>
  <c r="YC9" i="83"/>
  <c r="YC29" i="83" s="1"/>
  <c r="YC10" i="83"/>
  <c r="YC11" i="83"/>
  <c r="YC12" i="83"/>
  <c r="YC13" i="83"/>
  <c r="YC21" i="83" s="1"/>
  <c r="YC24" i="83" s="1"/>
  <c r="YC26" i="83" s="1"/>
  <c r="YC14" i="83"/>
  <c r="YC15" i="83"/>
  <c r="YC16" i="83"/>
  <c r="YC17" i="83"/>
  <c r="YE29" i="83"/>
  <c r="YE31" i="83"/>
  <c r="UA25" i="695"/>
  <c r="UA29" i="695"/>
  <c r="UA32" i="695"/>
  <c r="UH29" i="695"/>
  <c r="UH25" i="695"/>
  <c r="UH32" i="695"/>
  <c r="TK25" i="695"/>
  <c r="TK29" i="695"/>
  <c r="TK32" i="695"/>
  <c r="AAH29" i="83"/>
  <c r="AAH31" i="83"/>
  <c r="ABA3" i="83"/>
  <c r="AAG9" i="83"/>
  <c r="AAG10" i="83"/>
  <c r="AAG11" i="83"/>
  <c r="AAG12" i="83"/>
  <c r="AAG13" i="83"/>
  <c r="AAG14" i="83"/>
  <c r="AAG15" i="83"/>
  <c r="AAG16" i="83"/>
  <c r="AAG17" i="83"/>
  <c r="AAG7" i="83"/>
  <c r="AAG8" i="83"/>
  <c r="UL25" i="695"/>
  <c r="UL29" i="695"/>
  <c r="UL32" i="695"/>
  <c r="ZK18" i="83"/>
  <c r="ZK32" i="83" s="1"/>
  <c r="ZK19" i="83"/>
  <c r="ZK27" i="83" s="1"/>
  <c r="ZK20" i="83"/>
  <c r="ZK23" i="83" s="1"/>
  <c r="ZK21" i="83"/>
  <c r="ZK24" i="83" s="1"/>
  <c r="ZK26" i="83" s="1"/>
  <c r="ZK22" i="83"/>
  <c r="AAM3" i="83"/>
  <c r="ZS9" i="83"/>
  <c r="ZS10" i="83"/>
  <c r="ZS11" i="83"/>
  <c r="ZS12" i="83"/>
  <c r="ZS13" i="83"/>
  <c r="ZS14" i="83"/>
  <c r="ZS15" i="83"/>
  <c r="ZS16" i="83"/>
  <c r="ZS17" i="83"/>
  <c r="ZS7" i="83"/>
  <c r="ZS8" i="83"/>
  <c r="ZD18" i="83"/>
  <c r="ZD32" i="83" s="1"/>
  <c r="ZD19" i="83"/>
  <c r="ZD27" i="83" s="1"/>
  <c r="ZD20" i="83"/>
  <c r="ZD23" i="83" s="1"/>
  <c r="ZD21" i="83"/>
  <c r="ZD24" i="83" s="1"/>
  <c r="ZD26" i="83" s="1"/>
  <c r="ZD22" i="83"/>
  <c r="US25" i="695"/>
  <c r="US29" i="695"/>
  <c r="US32" i="695"/>
  <c r="AAS3" i="83"/>
  <c r="ZY9" i="83"/>
  <c r="ZY10" i="83"/>
  <c r="ZY11" i="83"/>
  <c r="ZY12" i="83"/>
  <c r="ZY13" i="83"/>
  <c r="ZY14" i="83"/>
  <c r="ZY15" i="83"/>
  <c r="ZY16" i="83"/>
  <c r="ZY17" i="83"/>
  <c r="ZY7" i="83"/>
  <c r="ZY8" i="83"/>
  <c r="ZP25" i="83"/>
  <c r="ZP30" i="83"/>
  <c r="ZP33" i="83"/>
  <c r="YK29" i="83"/>
  <c r="YK31" i="83"/>
  <c r="AAI29" i="83"/>
  <c r="AAI31" i="83"/>
  <c r="YG29" i="83"/>
  <c r="YG31" i="83"/>
  <c r="YO18" i="83"/>
  <c r="YO32" i="83" s="1"/>
  <c r="YO19" i="83"/>
  <c r="YO27" i="83" s="1"/>
  <c r="YO20" i="83"/>
  <c r="YO23" i="83" s="1"/>
  <c r="YO21" i="83"/>
  <c r="YO24" i="83" s="1"/>
  <c r="YO26" i="83" s="1"/>
  <c r="YO22" i="83"/>
  <c r="YO29" i="83"/>
  <c r="YO31" i="83"/>
  <c r="AAT3" i="83"/>
  <c r="ZZ9" i="83"/>
  <c r="ZZ10" i="83"/>
  <c r="ZZ11" i="83"/>
  <c r="ZZ12" i="83"/>
  <c r="ZZ13" i="83"/>
  <c r="ZZ14" i="83"/>
  <c r="ZZ15" i="83"/>
  <c r="ZZ16" i="83"/>
  <c r="ZZ17" i="83"/>
  <c r="ZZ7" i="83"/>
  <c r="ZZ8" i="83"/>
  <c r="UO25" i="695"/>
  <c r="UO29" i="695"/>
  <c r="UO32" i="695"/>
  <c r="UI25" i="695"/>
  <c r="UI29" i="695"/>
  <c r="UI32" i="695"/>
  <c r="YD19" i="83"/>
  <c r="YD27" i="83" s="1"/>
  <c r="YD20" i="83"/>
  <c r="YD23" i="83" s="1"/>
  <c r="YD18" i="83"/>
  <c r="YD32" i="83" s="1"/>
  <c r="YD21" i="83"/>
  <c r="YD24" i="83" s="1"/>
  <c r="YD26" i="83" s="1"/>
  <c r="YD22" i="83"/>
  <c r="UU25" i="695"/>
  <c r="UU29" i="695"/>
  <c r="UU32" i="695"/>
  <c r="UV25" i="695"/>
  <c r="UV29" i="695"/>
  <c r="UV32" i="695"/>
  <c r="AAP3" i="83"/>
  <c r="ZV9" i="83"/>
  <c r="ZV10" i="83"/>
  <c r="ZV11" i="83"/>
  <c r="ZV12" i="83"/>
  <c r="ZV13" i="83"/>
  <c r="ZV14" i="83"/>
  <c r="ZV15" i="83"/>
  <c r="ZV16" i="83"/>
  <c r="ZV17" i="83"/>
  <c r="ZV7" i="83"/>
  <c r="ZV8" i="83"/>
  <c r="AAQ3" i="83"/>
  <c r="ZW9" i="83"/>
  <c r="ZW10" i="83"/>
  <c r="ZW11" i="83"/>
  <c r="ZW12" i="83"/>
  <c r="ZW13" i="83"/>
  <c r="ZW14" i="83"/>
  <c r="ZW15" i="83"/>
  <c r="ZW16" i="83"/>
  <c r="ZW17" i="83"/>
  <c r="ZW7" i="83"/>
  <c r="ZW8" i="83"/>
  <c r="ZK29" i="83"/>
  <c r="ZK31" i="83"/>
  <c r="ABD4" i="83"/>
  <c r="ABX3" i="83"/>
  <c r="ZD29" i="83"/>
  <c r="ZD31" i="83"/>
  <c r="UC25" i="695"/>
  <c r="UC29" i="695"/>
  <c r="UC32" i="695"/>
  <c r="TV25" i="695"/>
  <c r="TV29" i="695"/>
  <c r="TV32" i="695"/>
  <c r="AAO3" i="83"/>
  <c r="ZU9" i="83"/>
  <c r="ZU10" i="83"/>
  <c r="ZU11" i="83"/>
  <c r="ZU12" i="83"/>
  <c r="ZU13" i="83"/>
  <c r="ZU14" i="83"/>
  <c r="ZU15" i="83"/>
  <c r="ZU16" i="83"/>
  <c r="ZU17" i="83"/>
  <c r="ZU7" i="83"/>
  <c r="ZU8" i="83"/>
  <c r="YN18" i="83"/>
  <c r="YN32" i="83" s="1"/>
  <c r="YN19" i="83"/>
  <c r="YN27" i="83" s="1"/>
  <c r="YN20" i="83"/>
  <c r="YN23" i="83" s="1"/>
  <c r="YN21" i="83"/>
  <c r="YN24" i="83" s="1"/>
  <c r="YN26" i="83" s="1"/>
  <c r="YN22" i="83"/>
  <c r="ZH19" i="83"/>
  <c r="ZH27" i="83" s="1"/>
  <c r="ZH18" i="83"/>
  <c r="ZH32" i="83" s="1"/>
  <c r="ZH21" i="83"/>
  <c r="ZH24" i="83" s="1"/>
  <c r="ZH26" i="83" s="1"/>
  <c r="ZH20" i="83"/>
  <c r="ZH23" i="83" s="1"/>
  <c r="ZH22" i="83"/>
  <c r="ZI19" i="83"/>
  <c r="ZI27" i="83" s="1"/>
  <c r="ZI18" i="83"/>
  <c r="ZI32" i="83" s="1"/>
  <c r="ZI20" i="83"/>
  <c r="ZI23" i="83" s="1"/>
  <c r="ZI21" i="83"/>
  <c r="ZI24" i="83" s="1"/>
  <c r="ZI26" i="83" s="1"/>
  <c r="ZI22" i="83"/>
  <c r="ZJ20" i="83"/>
  <c r="ZJ23" i="83" s="1"/>
  <c r="ZJ18" i="83"/>
  <c r="ZJ32" i="83" s="1"/>
  <c r="ZJ19" i="83"/>
  <c r="ZJ27" i="83" s="1"/>
  <c r="ZJ21" i="83"/>
  <c r="ZJ24" i="83" s="1"/>
  <c r="ZJ26" i="83" s="1"/>
  <c r="ZJ22" i="83"/>
  <c r="YR19" i="83"/>
  <c r="YR27" i="83" s="1"/>
  <c r="YR18" i="83"/>
  <c r="YR32" i="83" s="1"/>
  <c r="YR20" i="83"/>
  <c r="YR23" i="83" s="1"/>
  <c r="YR21" i="83"/>
  <c r="YR24" i="83" s="1"/>
  <c r="YR26" i="83" s="1"/>
  <c r="YR22" i="83"/>
  <c r="YD29" i="83"/>
  <c r="YD31" i="83"/>
  <c r="ABV3" i="83"/>
  <c r="ABB4" i="83"/>
  <c r="AAN3" i="83"/>
  <c r="ZT9" i="83"/>
  <c r="ZT10" i="83"/>
  <c r="ZT11" i="83"/>
  <c r="ZT12" i="83"/>
  <c r="ZT13" i="83"/>
  <c r="ZT14" i="83"/>
  <c r="ZT15" i="83"/>
  <c r="ZT16" i="83"/>
  <c r="ZT17" i="83"/>
  <c r="ZT7" i="83"/>
  <c r="ZT8" i="83"/>
  <c r="YF18" i="83"/>
  <c r="YF32" i="83" s="1"/>
  <c r="YF19" i="83"/>
  <c r="YF27" i="83" s="1"/>
  <c r="YF20" i="83"/>
  <c r="YF23" i="83" s="1"/>
  <c r="YF21" i="83"/>
  <c r="YF24" i="83" s="1"/>
  <c r="YF26" i="83" s="1"/>
  <c r="YF22" i="83"/>
  <c r="YS19" i="83"/>
  <c r="YS27" i="83" s="1"/>
  <c r="YS18" i="83"/>
  <c r="YS32" i="83" s="1"/>
  <c r="YS20" i="83"/>
  <c r="YS23" i="83" s="1"/>
  <c r="YS21" i="83"/>
  <c r="YS24" i="83" s="1"/>
  <c r="YS26" i="83" s="1"/>
  <c r="YS22" i="83"/>
  <c r="TO25" i="695"/>
  <c r="TO29" i="695"/>
  <c r="TO32" i="695"/>
  <c r="YQ19" i="83"/>
  <c r="YQ27" i="83" s="1"/>
  <c r="YQ18" i="83"/>
  <c r="YQ32" i="83" s="1"/>
  <c r="YQ20" i="83"/>
  <c r="YQ23" i="83" s="1"/>
  <c r="YQ22" i="83"/>
  <c r="YQ21" i="83"/>
  <c r="YQ24" i="83" s="1"/>
  <c r="YQ26" i="83" s="1"/>
  <c r="UT25" i="695"/>
  <c r="UT29" i="695"/>
  <c r="UT32" i="695"/>
  <c r="YN29" i="83"/>
  <c r="YN31" i="83"/>
  <c r="ZH29" i="83"/>
  <c r="ZH31" i="83"/>
  <c r="ZI29" i="83"/>
  <c r="ZI31" i="83"/>
  <c r="ABW3" i="83"/>
  <c r="ABC4" i="83"/>
  <c r="ZJ29" i="83"/>
  <c r="ZJ31" i="83"/>
  <c r="YW7" i="83"/>
  <c r="YW8" i="83"/>
  <c r="ZQ8" i="83"/>
  <c r="ZQ7" i="83"/>
  <c r="ZQ31" i="83" l="1"/>
  <c r="YW18" i="83"/>
  <c r="YW32" i="83" s="1"/>
  <c r="YW19" i="83"/>
  <c r="YW27" i="83" s="1"/>
  <c r="YW20" i="83"/>
  <c r="YW23" i="83" s="1"/>
  <c r="YW21" i="83"/>
  <c r="YW24" i="83" s="1"/>
  <c r="YW26" i="83" s="1"/>
  <c r="YW22" i="83"/>
  <c r="YW29" i="83"/>
  <c r="YW31" i="83"/>
  <c r="ZT29" i="83"/>
  <c r="ZT31" i="83"/>
  <c r="ZJ25" i="83"/>
  <c r="ZJ30" i="83"/>
  <c r="ZJ33" i="83"/>
  <c r="ZU18" i="83"/>
  <c r="ZU32" i="83" s="1"/>
  <c r="ZU19" i="83"/>
  <c r="ZU27" i="83" s="1"/>
  <c r="ZU20" i="83"/>
  <c r="ZU23" i="83" s="1"/>
  <c r="ZU21" i="83"/>
  <c r="ZU24" i="83" s="1"/>
  <c r="ZU26" i="83" s="1"/>
  <c r="ZU22" i="83"/>
  <c r="ZW19" i="83"/>
  <c r="ZW27" i="83" s="1"/>
  <c r="ZW18" i="83"/>
  <c r="ZW32" i="83" s="1"/>
  <c r="ZW20" i="83"/>
  <c r="ZW23" i="83" s="1"/>
  <c r="ZW22" i="83"/>
  <c r="ZW21" i="83"/>
  <c r="ZW24" i="83" s="1"/>
  <c r="ZW26" i="83" s="1"/>
  <c r="ABM3" i="83"/>
  <c r="AAS4" i="83"/>
  <c r="ABU3" i="83"/>
  <c r="ABA4" i="83"/>
  <c r="ABT3" i="83"/>
  <c r="AAZ4" i="83"/>
  <c r="YY25" i="83"/>
  <c r="YY30" i="83"/>
  <c r="YY33" i="83"/>
  <c r="ZF25" i="83"/>
  <c r="ZF30" i="83"/>
  <c r="ZF33" i="83"/>
  <c r="YE25" i="83"/>
  <c r="YE30" i="83"/>
  <c r="YE33" i="83"/>
  <c r="ZX19" i="83"/>
  <c r="ZX27" i="83" s="1"/>
  <c r="ZX18" i="83"/>
  <c r="ZX32" i="83" s="1"/>
  <c r="ZX20" i="83"/>
  <c r="ZX23" i="83" s="1"/>
  <c r="ZX21" i="83"/>
  <c r="ZX24" i="83" s="1"/>
  <c r="ZX26" i="83" s="1"/>
  <c r="ZX22" i="83"/>
  <c r="AAV4" i="83"/>
  <c r="ABP3" i="83"/>
  <c r="AAN4" i="83"/>
  <c r="ABH3" i="83"/>
  <c r="YR25" i="83"/>
  <c r="YR30" i="83"/>
  <c r="YR33" i="83"/>
  <c r="ZU29" i="83"/>
  <c r="ZU31" i="83"/>
  <c r="ZW29" i="83"/>
  <c r="ZW31" i="83"/>
  <c r="YD25" i="83"/>
  <c r="YD30" i="83"/>
  <c r="YD33" i="83"/>
  <c r="ZZ18" i="83"/>
  <c r="ZZ32" i="83" s="1"/>
  <c r="ZZ20" i="83"/>
  <c r="ZZ23" i="83" s="1"/>
  <c r="ZZ19" i="83"/>
  <c r="ZZ27" i="83" s="1"/>
  <c r="ZZ21" i="83"/>
  <c r="ZZ24" i="83" s="1"/>
  <c r="ZZ26" i="83" s="1"/>
  <c r="ZZ22" i="83"/>
  <c r="YO25" i="83"/>
  <c r="YO30" i="83"/>
  <c r="YO33" i="83"/>
  <c r="ZS18" i="83"/>
  <c r="ZS32" i="83" s="1"/>
  <c r="ZS19" i="83"/>
  <c r="ZS27" i="83" s="1"/>
  <c r="ZS20" i="83"/>
  <c r="ZS23" i="83" s="1"/>
  <c r="ZS21" i="83"/>
  <c r="ZS24" i="83" s="1"/>
  <c r="ZS26" i="83" s="1"/>
  <c r="ZS22" i="83"/>
  <c r="YG25" i="83"/>
  <c r="YG30" i="83"/>
  <c r="YG33" i="83"/>
  <c r="AAK3" i="83"/>
  <c r="ZQ9" i="83"/>
  <c r="ZQ29" i="83" s="1"/>
  <c r="ZQ10" i="83"/>
  <c r="ZQ11" i="83"/>
  <c r="ZQ12" i="83"/>
  <c r="ZQ13" i="83"/>
  <c r="ZQ14" i="83"/>
  <c r="ZQ21" i="83" s="1"/>
  <c r="ZQ24" i="83" s="1"/>
  <c r="ZQ26" i="83" s="1"/>
  <c r="ZQ15" i="83"/>
  <c r="ZQ16" i="83"/>
  <c r="ZQ17" i="83"/>
  <c r="YP25" i="83"/>
  <c r="YP30" i="83"/>
  <c r="YP33" i="83"/>
  <c r="ZX29" i="83"/>
  <c r="ZX31" i="83"/>
  <c r="AAE19" i="83"/>
  <c r="AAE27" i="83" s="1"/>
  <c r="AAE18" i="83"/>
  <c r="AAE32" i="83" s="1"/>
  <c r="AAE20" i="83"/>
  <c r="AAE23" i="83" s="1"/>
  <c r="AAE22" i="83"/>
  <c r="AAE21" i="83"/>
  <c r="AAE24" i="83" s="1"/>
  <c r="AAE26" i="83" s="1"/>
  <c r="YH25" i="83"/>
  <c r="YH30" i="83"/>
  <c r="YH33" i="83"/>
  <c r="YC22" i="83"/>
  <c r="ABB9" i="83"/>
  <c r="ABB10" i="83"/>
  <c r="ABB11" i="83"/>
  <c r="ABB12" i="83"/>
  <c r="ABB13" i="83"/>
  <c r="ABB14" i="83"/>
  <c r="ABB15" i="83"/>
  <c r="ABB16" i="83"/>
  <c r="ABB17" i="83"/>
  <c r="ABB7" i="83"/>
  <c r="ABB8" i="83"/>
  <c r="ZI25" i="83"/>
  <c r="ZI30" i="83"/>
  <c r="ZI33" i="83"/>
  <c r="ABI3" i="83"/>
  <c r="AAO4" i="83"/>
  <c r="AAQ4" i="83"/>
  <c r="ABK3" i="83"/>
  <c r="YK25" i="83"/>
  <c r="YK30" i="83"/>
  <c r="YK33" i="83"/>
  <c r="AAH25" i="83"/>
  <c r="AAH30" i="83"/>
  <c r="AAH33" i="83"/>
  <c r="AAD29" i="83"/>
  <c r="AAD31" i="83"/>
  <c r="ZC25" i="83"/>
  <c r="ZC30" i="83"/>
  <c r="ZC33" i="83"/>
  <c r="AAC18" i="83"/>
  <c r="AAC32" i="83" s="1"/>
  <c r="AAC20" i="83"/>
  <c r="AAC23" i="83" s="1"/>
  <c r="AAC19" i="83"/>
  <c r="AAC27" i="83" s="1"/>
  <c r="AAC21" i="83"/>
  <c r="AAC24" i="83" s="1"/>
  <c r="AAC26" i="83" s="1"/>
  <c r="AAC22" i="83"/>
  <c r="ABL3" i="83"/>
  <c r="AAR4" i="83"/>
  <c r="YJ25" i="83"/>
  <c r="YJ30" i="83"/>
  <c r="YJ33" i="83"/>
  <c r="ZR19" i="83"/>
  <c r="ZR27" i="83" s="1"/>
  <c r="ZR20" i="83"/>
  <c r="ZR23" i="83" s="1"/>
  <c r="ZR18" i="83"/>
  <c r="ZR32" i="83" s="1"/>
  <c r="ZR21" i="83"/>
  <c r="ZR24" i="83" s="1"/>
  <c r="ZR26" i="83" s="1"/>
  <c r="ZR22" i="83"/>
  <c r="YC20" i="83"/>
  <c r="YC23" i="83" s="1"/>
  <c r="YZ25" i="83"/>
  <c r="YZ30" i="83"/>
  <c r="YZ33" i="83"/>
  <c r="YF25" i="83"/>
  <c r="YF30" i="83"/>
  <c r="YF33" i="83"/>
  <c r="ACP3" i="83"/>
  <c r="ABV9" i="83"/>
  <c r="ABV10" i="83"/>
  <c r="ABV11" i="83"/>
  <c r="ABV12" i="83"/>
  <c r="ABV13" i="83"/>
  <c r="ABV14" i="83"/>
  <c r="ABV15" i="83"/>
  <c r="ABV16" i="83"/>
  <c r="ABV17" i="83"/>
  <c r="ABV7" i="83"/>
  <c r="ABV8" i="83"/>
  <c r="ACR3" i="83"/>
  <c r="ABX9" i="83"/>
  <c r="ABX10" i="83"/>
  <c r="ABX11" i="83"/>
  <c r="ABX12" i="83"/>
  <c r="ABX13" i="83"/>
  <c r="ABX14" i="83"/>
  <c r="ABX15" i="83"/>
  <c r="ABX16" i="83"/>
  <c r="ABX17" i="83"/>
  <c r="ABX7" i="83"/>
  <c r="ABX8" i="83"/>
  <c r="ZV19" i="83"/>
  <c r="ZV27" i="83" s="1"/>
  <c r="ZV18" i="83"/>
  <c r="ZV32" i="83" s="1"/>
  <c r="ZV20" i="83"/>
  <c r="ZV23" i="83" s="1"/>
  <c r="ZV21" i="83"/>
  <c r="ZV24" i="83" s="1"/>
  <c r="ZV26" i="83" s="1"/>
  <c r="ZV22" i="83"/>
  <c r="ABN3" i="83"/>
  <c r="AAT4" i="83"/>
  <c r="ABG3" i="83"/>
  <c r="AAM4" i="83"/>
  <c r="AAA18" i="83"/>
  <c r="AAA32" i="83" s="1"/>
  <c r="AAA20" i="83"/>
  <c r="AAA23" i="83" s="1"/>
  <c r="AAA19" i="83"/>
  <c r="AAA27" i="83" s="1"/>
  <c r="AAA21" i="83"/>
  <c r="AAA24" i="83" s="1"/>
  <c r="AAA26" i="83" s="1"/>
  <c r="AAA22" i="83"/>
  <c r="AAC29" i="83"/>
  <c r="AAC31" i="83"/>
  <c r="AAY4" i="83"/>
  <c r="ABS3" i="83"/>
  <c r="YM25" i="83"/>
  <c r="YM30" i="83"/>
  <c r="YM33" i="83"/>
  <c r="ZR29" i="83"/>
  <c r="ZR31" i="83"/>
  <c r="YC18" i="83"/>
  <c r="YC32" i="83" s="1"/>
  <c r="ZB25" i="83"/>
  <c r="ZB30" i="83"/>
  <c r="ZB33" i="83"/>
  <c r="ZE25" i="83"/>
  <c r="ZE30" i="83"/>
  <c r="ZE33" i="83"/>
  <c r="YI25" i="83"/>
  <c r="YI30" i="83"/>
  <c r="YI33" i="83"/>
  <c r="ACQ3" i="83"/>
  <c r="ABW9" i="83"/>
  <c r="ABW10" i="83"/>
  <c r="ABW11" i="83"/>
  <c r="ABW12" i="83"/>
  <c r="ABW13" i="83"/>
  <c r="ABW14" i="83"/>
  <c r="ABW15" i="83"/>
  <c r="ABW16" i="83"/>
  <c r="ABW17" i="83"/>
  <c r="ABW7" i="83"/>
  <c r="ABW8" i="83"/>
  <c r="YN25" i="83"/>
  <c r="YN30" i="83"/>
  <c r="YN33" i="83"/>
  <c r="ABD9" i="83"/>
  <c r="ABD10" i="83"/>
  <c r="ABD11" i="83"/>
  <c r="ABD12" i="83"/>
  <c r="ABD13" i="83"/>
  <c r="ABD14" i="83"/>
  <c r="ABD15" i="83"/>
  <c r="ABD16" i="83"/>
  <c r="ABD17" i="83"/>
  <c r="ABD7" i="83"/>
  <c r="ABD8" i="83"/>
  <c r="ZV29" i="83"/>
  <c r="ZV31" i="83"/>
  <c r="ZY19" i="83"/>
  <c r="ZY27" i="83" s="1"/>
  <c r="ZY18" i="83"/>
  <c r="ZY32" i="83" s="1"/>
  <c r="ZY20" i="83"/>
  <c r="ZY23" i="83" s="1"/>
  <c r="ZY21" i="83"/>
  <c r="ZY24" i="83" s="1"/>
  <c r="ZY26" i="83" s="1"/>
  <c r="ZY22" i="83"/>
  <c r="AAG19" i="83"/>
  <c r="AAG27" i="83" s="1"/>
  <c r="AAG18" i="83"/>
  <c r="AAG32" i="83" s="1"/>
  <c r="AAG20" i="83"/>
  <c r="AAG23" i="83" s="1"/>
  <c r="AAG21" i="83"/>
  <c r="AAG24" i="83" s="1"/>
  <c r="AAG26" i="83" s="1"/>
  <c r="AAG22" i="83"/>
  <c r="YL25" i="83"/>
  <c r="YL30" i="83"/>
  <c r="YL33" i="83"/>
  <c r="AAF19" i="83"/>
  <c r="AAF27" i="83" s="1"/>
  <c r="AAF18" i="83"/>
  <c r="AAF32" i="83" s="1"/>
  <c r="AAF20" i="83"/>
  <c r="AAF23" i="83" s="1"/>
  <c r="AAF21" i="83"/>
  <c r="AAF24" i="83" s="1"/>
  <c r="AAF26" i="83" s="1"/>
  <c r="AAF22" i="83"/>
  <c r="ABR3" i="83"/>
  <c r="AAX4" i="83"/>
  <c r="AAA29" i="83"/>
  <c r="AAA31" i="83"/>
  <c r="W37" i="27" a="1"/>
  <c r="W37" i="27" s="1"/>
  <c r="X38" i="27"/>
  <c r="ZG25" i="83"/>
  <c r="ZG30" i="83"/>
  <c r="ZG33" i="83"/>
  <c r="AAB18" i="83"/>
  <c r="AAB32" i="83" s="1"/>
  <c r="AAB19" i="83"/>
  <c r="AAB27" i="83" s="1"/>
  <c r="AAB20" i="83"/>
  <c r="AAB23" i="83" s="1"/>
  <c r="AAB21" i="83"/>
  <c r="AAB24" i="83" s="1"/>
  <c r="AAB26" i="83" s="1"/>
  <c r="AAB22" i="83"/>
  <c r="YC19" i="83"/>
  <c r="YC27" i="83" s="1"/>
  <c r="ZZ29" i="83"/>
  <c r="ZZ31" i="83"/>
  <c r="ZS29" i="83"/>
  <c r="ZS31" i="83"/>
  <c r="AAD19" i="83"/>
  <c r="AAD27" i="83" s="1"/>
  <c r="AAD18" i="83"/>
  <c r="AAD32" i="83" s="1"/>
  <c r="AAD20" i="83"/>
  <c r="AAD23" i="83" s="1"/>
  <c r="AAD21" i="83"/>
  <c r="AAD24" i="83" s="1"/>
  <c r="AAD26" i="83" s="1"/>
  <c r="AAD22" i="83"/>
  <c r="AAE29" i="83"/>
  <c r="AAE31" i="83"/>
  <c r="ZY29" i="83"/>
  <c r="ZY31" i="83"/>
  <c r="ZD25" i="83"/>
  <c r="ZD30" i="83"/>
  <c r="ZD33" i="83"/>
  <c r="AAG29" i="83"/>
  <c r="AAG31" i="83"/>
  <c r="AAF29" i="83"/>
  <c r="AAF31" i="83"/>
  <c r="ZA25" i="83"/>
  <c r="ZA30" i="83"/>
  <c r="ZA33" i="83"/>
  <c r="AAW4" i="83"/>
  <c r="ABQ3" i="83"/>
  <c r="ZL25" i="83"/>
  <c r="ZL30" i="83"/>
  <c r="ZL33" i="83"/>
  <c r="ZM25" i="83"/>
  <c r="ZM30" i="83"/>
  <c r="ZM33" i="83"/>
  <c r="AAL4" i="83"/>
  <c r="ABF3" i="83"/>
  <c r="AAB29" i="83"/>
  <c r="AAB31" i="83"/>
  <c r="ABC9" i="83"/>
  <c r="ABC10" i="83"/>
  <c r="ABC11" i="83"/>
  <c r="ABC12" i="83"/>
  <c r="ABC13" i="83"/>
  <c r="ABC14" i="83"/>
  <c r="ABC15" i="83"/>
  <c r="ABC16" i="83"/>
  <c r="ABC17" i="83"/>
  <c r="ABC7" i="83"/>
  <c r="ABC8" i="83"/>
  <c r="YQ25" i="83"/>
  <c r="YQ30" i="83"/>
  <c r="YQ33" i="83"/>
  <c r="YS25" i="83"/>
  <c r="YS30" i="83"/>
  <c r="YS33" i="83"/>
  <c r="ZT18" i="83"/>
  <c r="ZT32" i="83" s="1"/>
  <c r="ZT19" i="83"/>
  <c r="ZT27" i="83" s="1"/>
  <c r="ZT20" i="83"/>
  <c r="ZT23" i="83" s="1"/>
  <c r="ZT21" i="83"/>
  <c r="ZT24" i="83" s="1"/>
  <c r="ZT26" i="83" s="1"/>
  <c r="ZT22" i="83"/>
  <c r="ZH25" i="83"/>
  <c r="ZH30" i="83"/>
  <c r="ZH33" i="83"/>
  <c r="ABJ3" i="83"/>
  <c r="AAP4" i="83"/>
  <c r="ZK25" i="83"/>
  <c r="ZK30" i="83"/>
  <c r="ZK33" i="83"/>
  <c r="AAI25" i="83"/>
  <c r="AAI30" i="83"/>
  <c r="AAI33" i="83"/>
  <c r="AAJ25" i="83"/>
  <c r="AAJ30" i="83"/>
  <c r="AAJ33" i="83"/>
  <c r="ABO3" i="83"/>
  <c r="AAU4" i="83"/>
  <c r="YX25" i="83"/>
  <c r="YX30" i="83"/>
  <c r="YX33" i="83"/>
  <c r="AAP9" i="83" l="1"/>
  <c r="AAP10" i="83"/>
  <c r="AAP11" i="83"/>
  <c r="AAP12" i="83"/>
  <c r="AAP13" i="83"/>
  <c r="AAP14" i="83"/>
  <c r="AAP15" i="83"/>
  <c r="AAP16" i="83"/>
  <c r="AAP17" i="83"/>
  <c r="AAP7" i="83"/>
  <c r="AAP8" i="83"/>
  <c r="AAL9" i="83"/>
  <c r="AAL10" i="83"/>
  <c r="AAL11" i="83"/>
  <c r="AAL12" i="83"/>
  <c r="AAL13" i="83"/>
  <c r="AAL14" i="83"/>
  <c r="AAL15" i="83"/>
  <c r="AAL16" i="83"/>
  <c r="AAL17" i="83"/>
  <c r="AAL7" i="83"/>
  <c r="AAL8" i="83"/>
  <c r="AAW9" i="83"/>
  <c r="AAW10" i="83"/>
  <c r="AAW11" i="83"/>
  <c r="AAW12" i="83"/>
  <c r="AAW13" i="83"/>
  <c r="AAW14" i="83"/>
  <c r="AAW15" i="83"/>
  <c r="AAW16" i="83"/>
  <c r="AAW17" i="83"/>
  <c r="AAW7" i="83"/>
  <c r="AAW8" i="83"/>
  <c r="ACH3" i="83"/>
  <c r="ABN9" i="83"/>
  <c r="ABN10" i="83"/>
  <c r="ABN11" i="83"/>
  <c r="ABN12" i="83"/>
  <c r="ABN13" i="83"/>
  <c r="ABN14" i="83"/>
  <c r="ABN15" i="83"/>
  <c r="ABN16" i="83"/>
  <c r="ABN17" i="83"/>
  <c r="ABN7" i="83"/>
  <c r="ABN8" i="83"/>
  <c r="ZR25" i="83"/>
  <c r="ZR30" i="83"/>
  <c r="ZR33" i="83"/>
  <c r="AAQ9" i="83"/>
  <c r="AAQ10" i="83"/>
  <c r="AAQ11" i="83"/>
  <c r="AAQ12" i="83"/>
  <c r="AAQ13" i="83"/>
  <c r="AAQ14" i="83"/>
  <c r="AAQ15" i="83"/>
  <c r="AAQ16" i="83"/>
  <c r="AAQ17" i="83"/>
  <c r="AAQ7" i="83"/>
  <c r="AAQ8" i="83"/>
  <c r="ABE3" i="83"/>
  <c r="AAK4" i="83"/>
  <c r="ACO3" i="83"/>
  <c r="ABU9" i="83"/>
  <c r="ABU10" i="83"/>
  <c r="ABU11" i="83"/>
  <c r="ABU12" i="83"/>
  <c r="ABU13" i="83"/>
  <c r="ABU14" i="83"/>
  <c r="ABU15" i="83"/>
  <c r="ABU16" i="83"/>
  <c r="ABU17" i="83"/>
  <c r="ABU7" i="83"/>
  <c r="ABU8" i="83"/>
  <c r="ABW29" i="83"/>
  <c r="ABW31" i="83"/>
  <c r="ACI3" i="83"/>
  <c r="ABO9" i="83"/>
  <c r="ABO10" i="83"/>
  <c r="ABO11" i="83"/>
  <c r="ABO12" i="83"/>
  <c r="ABO13" i="83"/>
  <c r="ABO14" i="83"/>
  <c r="ABO15" i="83"/>
  <c r="ABO16" i="83"/>
  <c r="ABO17" i="83"/>
  <c r="ABO7" i="83"/>
  <c r="ABO8" i="83"/>
  <c r="ZT25" i="83"/>
  <c r="ZT30" i="83"/>
  <c r="ZT33" i="83"/>
  <c r="AAD25" i="83"/>
  <c r="AAD30" i="83"/>
  <c r="AAD33" i="83"/>
  <c r="W38" i="27" a="1"/>
  <c r="W38" i="27" s="1"/>
  <c r="X39" i="27"/>
  <c r="AAF25" i="83"/>
  <c r="AAF30" i="83"/>
  <c r="AAF33" i="83"/>
  <c r="AAG25" i="83"/>
  <c r="AAG30" i="83"/>
  <c r="AAG33" i="83"/>
  <c r="ABW18" i="83"/>
  <c r="ABW32" i="83" s="1"/>
  <c r="ABW19" i="83"/>
  <c r="ABW27" i="83" s="1"/>
  <c r="ABW20" i="83"/>
  <c r="ABW23" i="83" s="1"/>
  <c r="ABW21" i="83"/>
  <c r="ABW24" i="83" s="1"/>
  <c r="ABW26" i="83" s="1"/>
  <c r="ABW22" i="83"/>
  <c r="ACR9" i="83"/>
  <c r="ACR10" i="83"/>
  <c r="ACR11" i="83"/>
  <c r="ACR12" i="83"/>
  <c r="ACR13" i="83"/>
  <c r="ACR14" i="83"/>
  <c r="ACR15" i="83"/>
  <c r="ACR16" i="83"/>
  <c r="ACR17" i="83"/>
  <c r="ACR7" i="83"/>
  <c r="ACR8" i="83"/>
  <c r="AAO9" i="83"/>
  <c r="AAO10" i="83"/>
  <c r="AAO11" i="83"/>
  <c r="AAO12" i="83"/>
  <c r="AAO13" i="83"/>
  <c r="AAO14" i="83"/>
  <c r="AAO15" i="83"/>
  <c r="AAO16" i="83"/>
  <c r="AAO17" i="83"/>
  <c r="AAO7" i="83"/>
  <c r="AAO8" i="83"/>
  <c r="ZX25" i="83"/>
  <c r="ZX30" i="83"/>
  <c r="ZX33" i="83"/>
  <c r="AAS9" i="83"/>
  <c r="AAS10" i="83"/>
  <c r="AAS11" i="83"/>
  <c r="AAS12" i="83"/>
  <c r="AAS13" i="83"/>
  <c r="AAS14" i="83"/>
  <c r="AAS15" i="83"/>
  <c r="AAS16" i="83"/>
  <c r="AAS17" i="83"/>
  <c r="AAS7" i="83"/>
  <c r="AAS8" i="83"/>
  <c r="ZQ22" i="83"/>
  <c r="AAC25" i="83"/>
  <c r="AAC30" i="83"/>
  <c r="AAC33" i="83"/>
  <c r="ABC29" i="83"/>
  <c r="ABC31" i="83"/>
  <c r="AAB25" i="83"/>
  <c r="AAB30" i="83"/>
  <c r="AAB33" i="83"/>
  <c r="ABD19" i="83"/>
  <c r="ABD27" i="83" s="1"/>
  <c r="ABD18" i="83"/>
  <c r="ABD32" i="83" s="1"/>
  <c r="ABD20" i="83"/>
  <c r="ABD23" i="83" s="1"/>
  <c r="ABD21" i="83"/>
  <c r="ABD24" i="83" s="1"/>
  <c r="ABD26" i="83" s="1"/>
  <c r="ABD22" i="83"/>
  <c r="AAA25" i="83"/>
  <c r="AAA30" i="83"/>
  <c r="AAA33" i="83"/>
  <c r="ZV25" i="83"/>
  <c r="ZV30" i="83"/>
  <c r="ZV33" i="83"/>
  <c r="ABV29" i="83"/>
  <c r="ABV31" i="83"/>
  <c r="ACB3" i="83"/>
  <c r="ABH9" i="83"/>
  <c r="ABH10" i="83"/>
  <c r="ABH11" i="83"/>
  <c r="ABH12" i="83"/>
  <c r="ABH13" i="83"/>
  <c r="ABH14" i="83"/>
  <c r="ABH15" i="83"/>
  <c r="ABH16" i="83"/>
  <c r="ABH17" i="83"/>
  <c r="ABH7" i="83"/>
  <c r="ABH8" i="83"/>
  <c r="ZQ20" i="83"/>
  <c r="ZQ23" i="83" s="1"/>
  <c r="ACC3" i="83"/>
  <c r="ABI9" i="83"/>
  <c r="ABI10" i="83"/>
  <c r="ABI11" i="83"/>
  <c r="ABI12" i="83"/>
  <c r="ABI13" i="83"/>
  <c r="ABI14" i="83"/>
  <c r="ABI15" i="83"/>
  <c r="ABI16" i="83"/>
  <c r="ABI17" i="83"/>
  <c r="ABI7" i="83"/>
  <c r="ABI8" i="83"/>
  <c r="ZU25" i="83"/>
  <c r="ZU30" i="83"/>
  <c r="ZU33" i="83"/>
  <c r="ACD3" i="83"/>
  <c r="ABJ9" i="83"/>
  <c r="ABJ10" i="83"/>
  <c r="ABJ11" i="83"/>
  <c r="ABJ12" i="83"/>
  <c r="ABJ13" i="83"/>
  <c r="ABJ14" i="83"/>
  <c r="ABJ15" i="83"/>
  <c r="ABJ16" i="83"/>
  <c r="ABJ17" i="83"/>
  <c r="ABJ7" i="83"/>
  <c r="ABJ8" i="83"/>
  <c r="ABD29" i="83"/>
  <c r="ABD31" i="83"/>
  <c r="ACQ9" i="83"/>
  <c r="ACQ10" i="83"/>
  <c r="ACQ11" i="83"/>
  <c r="ACQ12" i="83"/>
  <c r="ACQ13" i="83"/>
  <c r="ACQ14" i="83"/>
  <c r="ACQ15" i="83"/>
  <c r="ACQ16" i="83"/>
  <c r="ACQ17" i="83"/>
  <c r="ACQ7" i="83"/>
  <c r="ACQ8" i="83"/>
  <c r="ACM3" i="83"/>
  <c r="ABS9" i="83"/>
  <c r="ABS10" i="83"/>
  <c r="ABS11" i="83"/>
  <c r="ABS12" i="83"/>
  <c r="ABS13" i="83"/>
  <c r="ABS14" i="83"/>
  <c r="ABS15" i="83"/>
  <c r="ABS16" i="83"/>
  <c r="ABS17" i="83"/>
  <c r="ABS7" i="83"/>
  <c r="ABS8" i="83"/>
  <c r="YC25" i="83"/>
  <c r="YC30" i="83"/>
  <c r="YC33" i="83"/>
  <c r="AAN9" i="83"/>
  <c r="AAN10" i="83"/>
  <c r="AAN11" i="83"/>
  <c r="AAN12" i="83"/>
  <c r="AAN13" i="83"/>
  <c r="AAN14" i="83"/>
  <c r="AAN15" i="83"/>
  <c r="AAN16" i="83"/>
  <c r="AAN17" i="83"/>
  <c r="AAN7" i="83"/>
  <c r="AAN8" i="83"/>
  <c r="ZQ18" i="83"/>
  <c r="ZQ32" i="83" s="1"/>
  <c r="AAX9" i="83"/>
  <c r="AAX10" i="83"/>
  <c r="AAX11" i="83"/>
  <c r="AAX12" i="83"/>
  <c r="AAX13" i="83"/>
  <c r="AAX14" i="83"/>
  <c r="AAX15" i="83"/>
  <c r="AAX16" i="83"/>
  <c r="AAX17" i="83"/>
  <c r="AAX7" i="83"/>
  <c r="AAX8" i="83"/>
  <c r="AAY9" i="83"/>
  <c r="AAY10" i="83"/>
  <c r="AAY11" i="83"/>
  <c r="AAY12" i="83"/>
  <c r="AAY13" i="83"/>
  <c r="AAY14" i="83"/>
  <c r="AAY15" i="83"/>
  <c r="AAY16" i="83"/>
  <c r="AAY17" i="83"/>
  <c r="AAY7" i="83"/>
  <c r="AAY8" i="83"/>
  <c r="AAM9" i="83"/>
  <c r="AAM10" i="83"/>
  <c r="AAM11" i="83"/>
  <c r="AAM12" i="83"/>
  <c r="AAM13" i="83"/>
  <c r="AAM14" i="83"/>
  <c r="AAM15" i="83"/>
  <c r="AAM16" i="83"/>
  <c r="AAM17" i="83"/>
  <c r="AAM7" i="83"/>
  <c r="AAM8" i="83"/>
  <c r="ACP9" i="83"/>
  <c r="ACP10" i="83"/>
  <c r="ACP11" i="83"/>
  <c r="ACP12" i="83"/>
  <c r="ACP13" i="83"/>
  <c r="ACP14" i="83"/>
  <c r="ACP15" i="83"/>
  <c r="ACP16" i="83"/>
  <c r="ACP17" i="83"/>
  <c r="ACP7" i="83"/>
  <c r="ACP8" i="83"/>
  <c r="AAR9" i="83"/>
  <c r="AAR10" i="83"/>
  <c r="AAR11" i="83"/>
  <c r="AAR12" i="83"/>
  <c r="AAR13" i="83"/>
  <c r="AAR14" i="83"/>
  <c r="AAR15" i="83"/>
  <c r="AAR16" i="83"/>
  <c r="AAR17" i="83"/>
  <c r="AAR7" i="83"/>
  <c r="AAR8" i="83"/>
  <c r="ACJ3" i="83"/>
  <c r="ABP9" i="83"/>
  <c r="ABP10" i="83"/>
  <c r="ABP11" i="83"/>
  <c r="ABP12" i="83"/>
  <c r="ABP13" i="83"/>
  <c r="ABP14" i="83"/>
  <c r="ABP15" i="83"/>
  <c r="ABP16" i="83"/>
  <c r="ABP17" i="83"/>
  <c r="ABP7" i="83"/>
  <c r="ABP8" i="83"/>
  <c r="AAZ9" i="83"/>
  <c r="AAZ10" i="83"/>
  <c r="AAZ11" i="83"/>
  <c r="AAZ12" i="83"/>
  <c r="AAZ13" i="83"/>
  <c r="AAZ14" i="83"/>
  <c r="AAZ15" i="83"/>
  <c r="AAZ16" i="83"/>
  <c r="AAZ17" i="83"/>
  <c r="AAZ7" i="83"/>
  <c r="AAZ8" i="83"/>
  <c r="ZW25" i="83"/>
  <c r="ZW30" i="83"/>
  <c r="ZW33" i="83"/>
  <c r="ZQ19" i="83"/>
  <c r="ZQ27" i="83" s="1"/>
  <c r="ABC19" i="83"/>
  <c r="ABC27" i="83" s="1"/>
  <c r="ABC18" i="83"/>
  <c r="ABC32" i="83" s="1"/>
  <c r="ABC20" i="83"/>
  <c r="ABC23" i="83" s="1"/>
  <c r="ABC22" i="83"/>
  <c r="ABC21" i="83"/>
  <c r="ABC24" i="83" s="1"/>
  <c r="ABC26" i="83" s="1"/>
  <c r="ABV20" i="83"/>
  <c r="ABV23" i="83" s="1"/>
  <c r="ABV18" i="83"/>
  <c r="ABV32" i="83" s="1"/>
  <c r="ABV19" i="83"/>
  <c r="ABV27" i="83" s="1"/>
  <c r="ABV21" i="83"/>
  <c r="ABV24" i="83" s="1"/>
  <c r="ABV26" i="83" s="1"/>
  <c r="ABV22" i="83"/>
  <c r="ACG3" i="83"/>
  <c r="ABM9" i="83"/>
  <c r="ABM10" i="83"/>
  <c r="ABM11" i="83"/>
  <c r="ABM12" i="83"/>
  <c r="ABM13" i="83"/>
  <c r="ABM14" i="83"/>
  <c r="ABM15" i="83"/>
  <c r="ABM16" i="83"/>
  <c r="ABM17" i="83"/>
  <c r="ABM7" i="83"/>
  <c r="ABM8" i="83"/>
  <c r="ACL3" i="83"/>
  <c r="ABR9" i="83"/>
  <c r="ABR10" i="83"/>
  <c r="ABR11" i="83"/>
  <c r="ABR12" i="83"/>
  <c r="ABR13" i="83"/>
  <c r="ABR14" i="83"/>
  <c r="ABR15" i="83"/>
  <c r="ABR16" i="83"/>
  <c r="ABR17" i="83"/>
  <c r="ABR7" i="83"/>
  <c r="ABR8" i="83"/>
  <c r="ZY25" i="83"/>
  <c r="ZY30" i="83"/>
  <c r="ZY33" i="83"/>
  <c r="ACA3" i="83"/>
  <c r="ABG9" i="83"/>
  <c r="ABG10" i="83"/>
  <c r="ABG11" i="83"/>
  <c r="ABG12" i="83"/>
  <c r="ABG13" i="83"/>
  <c r="ABG14" i="83"/>
  <c r="ABG15" i="83"/>
  <c r="ABG16" i="83"/>
  <c r="ABG17" i="83"/>
  <c r="ABG7" i="83"/>
  <c r="ABG8" i="83"/>
  <c r="ABX18" i="83"/>
  <c r="ABX32" i="83" s="1"/>
  <c r="ABX19" i="83"/>
  <c r="ABX27" i="83" s="1"/>
  <c r="ABX20" i="83"/>
  <c r="ABX23" i="83" s="1"/>
  <c r="ABX21" i="83"/>
  <c r="ABX24" i="83" s="1"/>
  <c r="ABX26" i="83" s="1"/>
  <c r="ABX22" i="83"/>
  <c r="ACF3" i="83"/>
  <c r="ABL9" i="83"/>
  <c r="ABL10" i="83"/>
  <c r="ABL11" i="83"/>
  <c r="ABL12" i="83"/>
  <c r="ABL13" i="83"/>
  <c r="ABL14" i="83"/>
  <c r="ABL15" i="83"/>
  <c r="ABL16" i="83"/>
  <c r="ABL17" i="83"/>
  <c r="ABL7" i="83"/>
  <c r="ABL8" i="83"/>
  <c r="ABB19" i="83"/>
  <c r="ABB27" i="83" s="1"/>
  <c r="ABB18" i="83"/>
  <c r="ABB32" i="83" s="1"/>
  <c r="ABB20" i="83"/>
  <c r="ABB23" i="83" s="1"/>
  <c r="ABB21" i="83"/>
  <c r="ABB24" i="83" s="1"/>
  <c r="ABB26" i="83" s="1"/>
  <c r="ABB22" i="83"/>
  <c r="ZS25" i="83"/>
  <c r="ZS30" i="83"/>
  <c r="ZS33" i="83"/>
  <c r="AAV9" i="83"/>
  <c r="AAV10" i="83"/>
  <c r="AAV11" i="83"/>
  <c r="AAV12" i="83"/>
  <c r="AAV13" i="83"/>
  <c r="AAV14" i="83"/>
  <c r="AAV15" i="83"/>
  <c r="AAV16" i="83"/>
  <c r="AAV17" i="83"/>
  <c r="AAV7" i="83"/>
  <c r="AAV8" i="83"/>
  <c r="ACN3" i="83"/>
  <c r="ABT9" i="83"/>
  <c r="ABT10" i="83"/>
  <c r="ABT11" i="83"/>
  <c r="ABT12" i="83"/>
  <c r="ABT13" i="83"/>
  <c r="ABT14" i="83"/>
  <c r="ABT15" i="83"/>
  <c r="ABT16" i="83"/>
  <c r="ABT17" i="83"/>
  <c r="ABT7" i="83"/>
  <c r="ABT8" i="83"/>
  <c r="YW25" i="83"/>
  <c r="YW30" i="83"/>
  <c r="YW33" i="83"/>
  <c r="AAU9" i="83"/>
  <c r="AAU10" i="83"/>
  <c r="AAU11" i="83"/>
  <c r="AAU12" i="83"/>
  <c r="AAU13" i="83"/>
  <c r="AAU14" i="83"/>
  <c r="AAU15" i="83"/>
  <c r="AAU16" i="83"/>
  <c r="AAU17" i="83"/>
  <c r="AAU7" i="83"/>
  <c r="AAU8" i="83"/>
  <c r="ABZ3" i="83"/>
  <c r="ABF9" i="83"/>
  <c r="ABF10" i="83"/>
  <c r="ABF11" i="83"/>
  <c r="ABF12" i="83"/>
  <c r="ABF13" i="83"/>
  <c r="ABF14" i="83"/>
  <c r="ABF15" i="83"/>
  <c r="ABF16" i="83"/>
  <c r="ABF17" i="83"/>
  <c r="ABF7" i="83"/>
  <c r="ABF8" i="83"/>
  <c r="ACK3" i="83"/>
  <c r="ABQ9" i="83"/>
  <c r="ABQ10" i="83"/>
  <c r="ABQ11" i="83"/>
  <c r="ABQ12" i="83"/>
  <c r="ABQ13" i="83"/>
  <c r="ABQ14" i="83"/>
  <c r="ABQ15" i="83"/>
  <c r="ABQ16" i="83"/>
  <c r="ABQ17" i="83"/>
  <c r="ABQ7" i="83"/>
  <c r="ABQ8" i="83"/>
  <c r="AAT9" i="83"/>
  <c r="AAT10" i="83"/>
  <c r="AAT11" i="83"/>
  <c r="AAT12" i="83"/>
  <c r="AAT13" i="83"/>
  <c r="AAT14" i="83"/>
  <c r="AAT15" i="83"/>
  <c r="AAT16" i="83"/>
  <c r="AAT17" i="83"/>
  <c r="AAT7" i="83"/>
  <c r="AAT8" i="83"/>
  <c r="ABX29" i="83"/>
  <c r="ABX31" i="83"/>
  <c r="ACE3" i="83"/>
  <c r="ABK9" i="83"/>
  <c r="ABK10" i="83"/>
  <c r="ABK11" i="83"/>
  <c r="ABK12" i="83"/>
  <c r="ABK13" i="83"/>
  <c r="ABK14" i="83"/>
  <c r="ABK15" i="83"/>
  <c r="ABK16" i="83"/>
  <c r="ABK17" i="83"/>
  <c r="ABK7" i="83"/>
  <c r="ABK8" i="83"/>
  <c r="ABB29" i="83"/>
  <c r="ABB31" i="83"/>
  <c r="AAE25" i="83"/>
  <c r="AAE30" i="83"/>
  <c r="AAE33" i="83"/>
  <c r="ZZ25" i="83"/>
  <c r="ZZ30" i="83"/>
  <c r="ZZ33" i="83"/>
  <c r="ABA9" i="83"/>
  <c r="ABA10" i="83"/>
  <c r="ABA11" i="83"/>
  <c r="ABA12" i="83"/>
  <c r="ABA13" i="83"/>
  <c r="ABA14" i="83"/>
  <c r="ABA15" i="83"/>
  <c r="ABA16" i="83"/>
  <c r="ABA17" i="83"/>
  <c r="ABA7" i="83"/>
  <c r="ABA8" i="83"/>
  <c r="AAK8" i="83"/>
  <c r="AAK7" i="83"/>
  <c r="AAK31" i="83" l="1"/>
  <c r="ABA18" i="83"/>
  <c r="ABA32" i="83" s="1"/>
  <c r="ABA20" i="83"/>
  <c r="ABA23" i="83" s="1"/>
  <c r="ABA19" i="83"/>
  <c r="ABA27" i="83" s="1"/>
  <c r="ABA21" i="83"/>
  <c r="ABA24" i="83" s="1"/>
  <c r="ABA26" i="83" s="1"/>
  <c r="ABA22" i="83"/>
  <c r="ABA29" i="83"/>
  <c r="ABA31" i="83"/>
  <c r="AAT19" i="83"/>
  <c r="AAT27" i="83" s="1"/>
  <c r="AAT18" i="83"/>
  <c r="AAT32" i="83" s="1"/>
  <c r="AAT20" i="83"/>
  <c r="AAT23" i="83" s="1"/>
  <c r="AAT21" i="83"/>
  <c r="AAT24" i="83" s="1"/>
  <c r="AAT26" i="83" s="1"/>
  <c r="AAT22" i="83"/>
  <c r="ABF29" i="83"/>
  <c r="ABF31" i="83"/>
  <c r="ABL19" i="83"/>
  <c r="ABL27" i="83" s="1"/>
  <c r="ABL18" i="83"/>
  <c r="ABL32" i="83" s="1"/>
  <c r="ABL20" i="83"/>
  <c r="ABL23" i="83" s="1"/>
  <c r="ABL21" i="83"/>
  <c r="ABL24" i="83" s="1"/>
  <c r="ABL26" i="83" s="1"/>
  <c r="ABL22" i="83"/>
  <c r="ABR19" i="83"/>
  <c r="ABR27" i="83" s="1"/>
  <c r="ABR18" i="83"/>
  <c r="ABR32" i="83" s="1"/>
  <c r="ABR20" i="83"/>
  <c r="ABR23" i="83" s="1"/>
  <c r="ABR21" i="83"/>
  <c r="ABR24" i="83" s="1"/>
  <c r="ABR26" i="83" s="1"/>
  <c r="ABR22" i="83"/>
  <c r="ACP19" i="83"/>
  <c r="ACP27" i="83" s="1"/>
  <c r="ACP18" i="83"/>
  <c r="ACP32" i="83" s="1"/>
  <c r="ACP20" i="83"/>
  <c r="ACP23" i="83" s="1"/>
  <c r="ACP21" i="83"/>
  <c r="ACP24" i="83" s="1"/>
  <c r="ACP26" i="83" s="1"/>
  <c r="ACP22" i="83"/>
  <c r="ACQ29" i="83"/>
  <c r="ACQ31" i="83"/>
  <c r="ABH18" i="83"/>
  <c r="ABH32" i="83" s="1"/>
  <c r="ABH19" i="83"/>
  <c r="ABH27" i="83" s="1"/>
  <c r="ABH20" i="83"/>
  <c r="ABH23" i="83" s="1"/>
  <c r="ABH21" i="83"/>
  <c r="ABH24" i="83" s="1"/>
  <c r="ABH26" i="83" s="1"/>
  <c r="ABH22" i="83"/>
  <c r="AAO19" i="83"/>
  <c r="AAO27" i="83" s="1"/>
  <c r="AAO18" i="83"/>
  <c r="AAO32" i="83" s="1"/>
  <c r="AAO20" i="83"/>
  <c r="AAO23" i="83" s="1"/>
  <c r="AAO21" i="83"/>
  <c r="AAO24" i="83" s="1"/>
  <c r="AAO26" i="83" s="1"/>
  <c r="AAO22" i="83"/>
  <c r="ABW25" i="83"/>
  <c r="ABW30" i="83"/>
  <c r="ABW33" i="83"/>
  <c r="ABU29" i="83"/>
  <c r="ABU31" i="83"/>
  <c r="AAW29" i="83"/>
  <c r="AAW31" i="83"/>
  <c r="AAX29" i="83"/>
  <c r="AAX31" i="83"/>
  <c r="AAT29" i="83"/>
  <c r="AAT31" i="83"/>
  <c r="ABT19" i="83"/>
  <c r="ABT27" i="83" s="1"/>
  <c r="ABT18" i="83"/>
  <c r="ABT32" i="83" s="1"/>
  <c r="ABT21" i="83"/>
  <c r="ABT24" i="83" s="1"/>
  <c r="ABT26" i="83" s="1"/>
  <c r="ABT20" i="83"/>
  <c r="ABT23" i="83" s="1"/>
  <c r="ABT22" i="83"/>
  <c r="ABL29" i="83"/>
  <c r="ABL31" i="83"/>
  <c r="ABG18" i="83"/>
  <c r="ABG32" i="83" s="1"/>
  <c r="ABG19" i="83"/>
  <c r="ABG27" i="83" s="1"/>
  <c r="ABG20" i="83"/>
  <c r="ABG23" i="83" s="1"/>
  <c r="ABG21" i="83"/>
  <c r="ABG24" i="83" s="1"/>
  <c r="ABG26" i="83" s="1"/>
  <c r="ABG22" i="83"/>
  <c r="ABR29" i="83"/>
  <c r="ABR31" i="83"/>
  <c r="ABP18" i="83"/>
  <c r="ABP32" i="83" s="1"/>
  <c r="ABP20" i="83"/>
  <c r="ABP23" i="83" s="1"/>
  <c r="ABP19" i="83"/>
  <c r="ABP27" i="83" s="1"/>
  <c r="ABP21" i="83"/>
  <c r="ABP24" i="83" s="1"/>
  <c r="ABP26" i="83" s="1"/>
  <c r="ABP22" i="83"/>
  <c r="ACP29" i="83"/>
  <c r="ACP31" i="83"/>
  <c r="AAX20" i="83"/>
  <c r="AAX23" i="83" s="1"/>
  <c r="AAX18" i="83"/>
  <c r="AAX32" i="83" s="1"/>
  <c r="AAX19" i="83"/>
  <c r="AAX27" i="83" s="1"/>
  <c r="AAX21" i="83"/>
  <c r="AAX24" i="83" s="1"/>
  <c r="AAX26" i="83" s="1"/>
  <c r="AAX22" i="83"/>
  <c r="ABH29" i="83"/>
  <c r="ABH31" i="83"/>
  <c r="AAO29" i="83"/>
  <c r="AAO31" i="83"/>
  <c r="W39" i="27" a="1"/>
  <c r="W39" i="27" s="1"/>
  <c r="X40" i="27"/>
  <c r="ABO18" i="83"/>
  <c r="ABO32" i="83" s="1"/>
  <c r="ABO20" i="83"/>
  <c r="ABO23" i="83" s="1"/>
  <c r="ABO19" i="83"/>
  <c r="ABO27" i="83" s="1"/>
  <c r="ABO21" i="83"/>
  <c r="ABO24" i="83" s="1"/>
  <c r="ABO26" i="83" s="1"/>
  <c r="ABO22" i="83"/>
  <c r="ABG29" i="83"/>
  <c r="ABG31" i="83"/>
  <c r="AAU19" i="83"/>
  <c r="AAU27" i="83" s="1"/>
  <c r="AAU18" i="83"/>
  <c r="AAU32" i="83" s="1"/>
  <c r="AAU20" i="83"/>
  <c r="AAU23" i="83" s="1"/>
  <c r="AAU22" i="83"/>
  <c r="AAU21" i="83"/>
  <c r="AAU24" i="83" s="1"/>
  <c r="AAU26" i="83" s="1"/>
  <c r="ACF9" i="83"/>
  <c r="ACF10" i="83"/>
  <c r="ACF11" i="83"/>
  <c r="ACF12" i="83"/>
  <c r="ACF13" i="83"/>
  <c r="ACF14" i="83"/>
  <c r="ACF15" i="83"/>
  <c r="ACF16" i="83"/>
  <c r="ACF17" i="83"/>
  <c r="ACF7" i="83"/>
  <c r="ACF8" i="83"/>
  <c r="ACL9" i="83"/>
  <c r="ACL10" i="83"/>
  <c r="ACL11" i="83"/>
  <c r="ACL12" i="83"/>
  <c r="ACL13" i="83"/>
  <c r="ACL14" i="83"/>
  <c r="ACL15" i="83"/>
  <c r="ACL16" i="83"/>
  <c r="ACL17" i="83"/>
  <c r="ACL7" i="83"/>
  <c r="ACL8" i="83"/>
  <c r="AAM19" i="83"/>
  <c r="AAM27" i="83" s="1"/>
  <c r="AAM18" i="83"/>
  <c r="AAM32" i="83" s="1"/>
  <c r="AAM20" i="83"/>
  <c r="AAM23" i="83" s="1"/>
  <c r="AAM22" i="83"/>
  <c r="AAM21" i="83"/>
  <c r="AAM24" i="83" s="1"/>
  <c r="AAM26" i="83" s="1"/>
  <c r="ABS19" i="83"/>
  <c r="ABS27" i="83" s="1"/>
  <c r="ABS18" i="83"/>
  <c r="ABS32" i="83" s="1"/>
  <c r="ABS20" i="83"/>
  <c r="ABS23" i="83" s="1"/>
  <c r="ABS22" i="83"/>
  <c r="ABS21" i="83"/>
  <c r="ABS24" i="83" s="1"/>
  <c r="ABS26" i="83" s="1"/>
  <c r="ABI18" i="83"/>
  <c r="ABI32" i="83" s="1"/>
  <c r="ABI19" i="83"/>
  <c r="ABI27" i="83" s="1"/>
  <c r="ABI20" i="83"/>
  <c r="ABI23" i="83" s="1"/>
  <c r="ABI21" i="83"/>
  <c r="ABI24" i="83" s="1"/>
  <c r="ABI26" i="83" s="1"/>
  <c r="ABI22" i="83"/>
  <c r="ACB9" i="83"/>
  <c r="ACB10" i="83"/>
  <c r="ACB11" i="83"/>
  <c r="ACB12" i="83"/>
  <c r="ACB13" i="83"/>
  <c r="ACB14" i="83"/>
  <c r="ACB15" i="83"/>
  <c r="ACB16" i="83"/>
  <c r="ACB17" i="83"/>
  <c r="ACB7" i="83"/>
  <c r="ACB8" i="83"/>
  <c r="AAS29" i="83"/>
  <c r="AAS31" i="83"/>
  <c r="ACR19" i="83"/>
  <c r="ACR27" i="83" s="1"/>
  <c r="ACR18" i="83"/>
  <c r="ACR32" i="83" s="1"/>
  <c r="ACR20" i="83"/>
  <c r="ACR23" i="83" s="1"/>
  <c r="ACR21" i="83"/>
  <c r="ACR24" i="83" s="1"/>
  <c r="ACR26" i="83" s="1"/>
  <c r="ACR22" i="83"/>
  <c r="AAK9" i="83"/>
  <c r="AAK29" i="83" s="1"/>
  <c r="AAK10" i="83"/>
  <c r="AAK11" i="83"/>
  <c r="AAK12" i="83"/>
  <c r="AAK13" i="83"/>
  <c r="AAK14" i="83"/>
  <c r="AAK15" i="83"/>
  <c r="AAK16" i="83"/>
  <c r="AAK17" i="83"/>
  <c r="ABN20" i="83"/>
  <c r="ABN23" i="83" s="1"/>
  <c r="ABN19" i="83"/>
  <c r="ABN27" i="83" s="1"/>
  <c r="ABN18" i="83"/>
  <c r="ABN32" i="83" s="1"/>
  <c r="ABN21" i="83"/>
  <c r="ABN24" i="83" s="1"/>
  <c r="ABN26" i="83" s="1"/>
  <c r="ABN22" i="83"/>
  <c r="AAL29" i="83"/>
  <c r="AAL31" i="83"/>
  <c r="AAS18" i="83"/>
  <c r="AAS32" i="83" s="1"/>
  <c r="AAS19" i="83"/>
  <c r="AAS27" i="83" s="1"/>
  <c r="AAS20" i="83"/>
  <c r="AAS23" i="83" s="1"/>
  <c r="AAS21" i="83"/>
  <c r="AAS24" i="83" s="1"/>
  <c r="AAS26" i="83" s="1"/>
  <c r="AAS22" i="83"/>
  <c r="ABO29" i="83"/>
  <c r="ABO31" i="83"/>
  <c r="ACO9" i="83"/>
  <c r="ACO10" i="83"/>
  <c r="ACO11" i="83"/>
  <c r="ACO12" i="83"/>
  <c r="ACO13" i="83"/>
  <c r="ACO14" i="83"/>
  <c r="ACO15" i="83"/>
  <c r="ACO16" i="83"/>
  <c r="ACO17" i="83"/>
  <c r="ACO7" i="83"/>
  <c r="ACO8" i="83"/>
  <c r="AAL19" i="83"/>
  <c r="AAL27" i="83" s="1"/>
  <c r="AAL18" i="83"/>
  <c r="AAL32" i="83" s="1"/>
  <c r="AAL20" i="83"/>
  <c r="AAL23" i="83" s="1"/>
  <c r="AAL21" i="83"/>
  <c r="AAL24" i="83" s="1"/>
  <c r="AAL26" i="83" s="1"/>
  <c r="AAL22" i="83"/>
  <c r="ABK29" i="83"/>
  <c r="ABK31" i="83"/>
  <c r="ABQ29" i="83"/>
  <c r="ABQ31" i="83"/>
  <c r="AAU29" i="83"/>
  <c r="AAU31" i="83"/>
  <c r="ACN9" i="83"/>
  <c r="ACN10" i="83"/>
  <c r="ACN11" i="83"/>
  <c r="ACN12" i="83"/>
  <c r="ACN13" i="83"/>
  <c r="ACN14" i="83"/>
  <c r="ACN15" i="83"/>
  <c r="ACN16" i="83"/>
  <c r="ACN17" i="83"/>
  <c r="ACN7" i="83"/>
  <c r="ACN8" i="83"/>
  <c r="ACA9" i="83"/>
  <c r="ACA10" i="83"/>
  <c r="ACA11" i="83"/>
  <c r="ACA12" i="83"/>
  <c r="ACA13" i="83"/>
  <c r="ACA14" i="83"/>
  <c r="ACA15" i="83"/>
  <c r="ACA16" i="83"/>
  <c r="ACA17" i="83"/>
  <c r="ACA7" i="83"/>
  <c r="ACA8" i="83"/>
  <c r="ABM19" i="83"/>
  <c r="ABM27" i="83" s="1"/>
  <c r="ABM18" i="83"/>
  <c r="ABM32" i="83" s="1"/>
  <c r="ABM20" i="83"/>
  <c r="ABM23" i="83" s="1"/>
  <c r="ABM21" i="83"/>
  <c r="ABM24" i="83" s="1"/>
  <c r="ABM26" i="83" s="1"/>
  <c r="ABM22" i="83"/>
  <c r="ABV25" i="83"/>
  <c r="ABV30" i="83"/>
  <c r="ABV33" i="83"/>
  <c r="ACJ9" i="83"/>
  <c r="ACJ10" i="83"/>
  <c r="ACJ11" i="83"/>
  <c r="ACJ12" i="83"/>
  <c r="ACJ13" i="83"/>
  <c r="ACJ14" i="83"/>
  <c r="ACJ15" i="83"/>
  <c r="ACJ16" i="83"/>
  <c r="ACJ17" i="83"/>
  <c r="ACJ7" i="83"/>
  <c r="ACJ8" i="83"/>
  <c r="AAM29" i="83"/>
  <c r="AAM31" i="83"/>
  <c r="ABS29" i="83"/>
  <c r="ABS31" i="83"/>
  <c r="ABJ19" i="83"/>
  <c r="ABJ27" i="83" s="1"/>
  <c r="ABJ18" i="83"/>
  <c r="ABJ32" i="83" s="1"/>
  <c r="ABJ20" i="83"/>
  <c r="ABJ23" i="83" s="1"/>
  <c r="ABJ21" i="83"/>
  <c r="ABJ24" i="83" s="1"/>
  <c r="ABJ26" i="83" s="1"/>
  <c r="ABJ22" i="83"/>
  <c r="ABI29" i="83"/>
  <c r="ABI31" i="83"/>
  <c r="ACR29" i="83"/>
  <c r="ACR31" i="83"/>
  <c r="ACI9" i="83"/>
  <c r="ACI10" i="83"/>
  <c r="ACI11" i="83"/>
  <c r="ACI12" i="83"/>
  <c r="ACI13" i="83"/>
  <c r="ACI14" i="83"/>
  <c r="ACI15" i="83"/>
  <c r="ACI16" i="83"/>
  <c r="ACI17" i="83"/>
  <c r="ACI7" i="83"/>
  <c r="ACI8" i="83"/>
  <c r="ABY3" i="83"/>
  <c r="ABE9" i="83"/>
  <c r="ABE10" i="83"/>
  <c r="ABE11" i="83"/>
  <c r="ABE12" i="83"/>
  <c r="ABE13" i="83"/>
  <c r="ABE14" i="83"/>
  <c r="ABE15" i="83"/>
  <c r="ABE16" i="83"/>
  <c r="ABE17" i="83"/>
  <c r="ABE7" i="83"/>
  <c r="ABE8" i="83"/>
  <c r="ABN29" i="83"/>
  <c r="ABN31" i="83"/>
  <c r="ACE9" i="83"/>
  <c r="ACE10" i="83"/>
  <c r="ACE11" i="83"/>
  <c r="ACE12" i="83"/>
  <c r="ACE13" i="83"/>
  <c r="ACE14" i="83"/>
  <c r="ACE15" i="83"/>
  <c r="ACE16" i="83"/>
  <c r="ACE17" i="83"/>
  <c r="ACE7" i="83"/>
  <c r="ACE8" i="83"/>
  <c r="AAV19" i="83"/>
  <c r="AAV27" i="83" s="1"/>
  <c r="AAV18" i="83"/>
  <c r="AAV32" i="83" s="1"/>
  <c r="AAV20" i="83"/>
  <c r="AAV23" i="83" s="1"/>
  <c r="AAV21" i="83"/>
  <c r="AAV24" i="83" s="1"/>
  <c r="AAV26" i="83" s="1"/>
  <c r="AAV22" i="83"/>
  <c r="ABB25" i="83"/>
  <c r="ABB30" i="83"/>
  <c r="ABB33" i="83"/>
  <c r="ABM29" i="83"/>
  <c r="ABM31" i="83"/>
  <c r="AAR18" i="83"/>
  <c r="AAR32" i="83" s="1"/>
  <c r="AAR19" i="83"/>
  <c r="AAR27" i="83" s="1"/>
  <c r="AAR20" i="83"/>
  <c r="AAR23" i="83" s="1"/>
  <c r="AAR21" i="83"/>
  <c r="AAR24" i="83" s="1"/>
  <c r="AAR26" i="83" s="1"/>
  <c r="AAR22" i="83"/>
  <c r="AAN19" i="83"/>
  <c r="AAN27" i="83" s="1"/>
  <c r="AAN18" i="83"/>
  <c r="AAN32" i="83" s="1"/>
  <c r="AAN20" i="83"/>
  <c r="AAN23" i="83" s="1"/>
  <c r="AAN21" i="83"/>
  <c r="AAN24" i="83" s="1"/>
  <c r="AAN26" i="83" s="1"/>
  <c r="AAN22" i="83"/>
  <c r="ABJ29" i="83"/>
  <c r="ABJ31" i="83"/>
  <c r="AAQ18" i="83"/>
  <c r="AAQ32" i="83" s="1"/>
  <c r="AAQ19" i="83"/>
  <c r="AAQ27" i="83" s="1"/>
  <c r="AAQ20" i="83"/>
  <c r="AAQ23" i="83" s="1"/>
  <c r="AAQ21" i="83"/>
  <c r="AAQ24" i="83" s="1"/>
  <c r="AAQ26" i="83" s="1"/>
  <c r="AAQ22" i="83"/>
  <c r="AAP19" i="83"/>
  <c r="AAP27" i="83" s="1"/>
  <c r="AAP20" i="83"/>
  <c r="AAP23" i="83" s="1"/>
  <c r="AAP18" i="83"/>
  <c r="AAP32" i="83" s="1"/>
  <c r="AAP21" i="83"/>
  <c r="AAP24" i="83" s="1"/>
  <c r="AAP26" i="83" s="1"/>
  <c r="AAP22" i="83"/>
  <c r="ABK19" i="83"/>
  <c r="ABK27" i="83" s="1"/>
  <c r="ABK18" i="83"/>
  <c r="ABK32" i="83" s="1"/>
  <c r="ABK20" i="83"/>
  <c r="ABK23" i="83" s="1"/>
  <c r="ABK22" i="83"/>
  <c r="ABK21" i="83"/>
  <c r="ABK24" i="83" s="1"/>
  <c r="ABK26" i="83" s="1"/>
  <c r="ABZ9" i="83"/>
  <c r="ABZ10" i="83"/>
  <c r="ABZ11" i="83"/>
  <c r="ABZ12" i="83"/>
  <c r="ABZ13" i="83"/>
  <c r="ABZ14" i="83"/>
  <c r="ABZ15" i="83"/>
  <c r="ABZ16" i="83"/>
  <c r="ABZ17" i="83"/>
  <c r="ABZ7" i="83"/>
  <c r="ABZ8" i="83"/>
  <c r="ABQ18" i="83"/>
  <c r="ABQ32" i="83" s="1"/>
  <c r="ABQ20" i="83"/>
  <c r="ABQ23" i="83" s="1"/>
  <c r="ABQ19" i="83"/>
  <c r="ABQ27" i="83" s="1"/>
  <c r="ABQ21" i="83"/>
  <c r="ABQ24" i="83" s="1"/>
  <c r="ABQ26" i="83" s="1"/>
  <c r="ABQ22" i="83"/>
  <c r="ACK9" i="83"/>
  <c r="ACK10" i="83"/>
  <c r="ACK11" i="83"/>
  <c r="ACK12" i="83"/>
  <c r="ACK13" i="83"/>
  <c r="ACK14" i="83"/>
  <c r="ACK15" i="83"/>
  <c r="ACK16" i="83"/>
  <c r="ACK17" i="83"/>
  <c r="ACK7" i="83"/>
  <c r="ACK8" i="83"/>
  <c r="AAV29" i="83"/>
  <c r="AAV31" i="83"/>
  <c r="ABX25" i="83"/>
  <c r="ABX30" i="83"/>
  <c r="ABX33" i="83"/>
  <c r="AAZ18" i="83"/>
  <c r="AAZ32" i="83" s="1"/>
  <c r="AAZ19" i="83"/>
  <c r="AAZ27" i="83" s="1"/>
  <c r="AAZ20" i="83"/>
  <c r="AAZ23" i="83" s="1"/>
  <c r="AAZ21" i="83"/>
  <c r="AAZ24" i="83" s="1"/>
  <c r="AAZ26" i="83" s="1"/>
  <c r="AAZ22" i="83"/>
  <c r="AAR29" i="83"/>
  <c r="AAR31" i="83"/>
  <c r="AAY18" i="83"/>
  <c r="AAY32" i="83" s="1"/>
  <c r="AAY20" i="83"/>
  <c r="AAY23" i="83" s="1"/>
  <c r="AAY19" i="83"/>
  <c r="AAY27" i="83" s="1"/>
  <c r="AAY21" i="83"/>
  <c r="AAY24" i="83" s="1"/>
  <c r="AAY26" i="83" s="1"/>
  <c r="AAY22" i="83"/>
  <c r="AAN29" i="83"/>
  <c r="AAN31" i="83"/>
  <c r="ACM9" i="83"/>
  <c r="ACM10" i="83"/>
  <c r="ACM11" i="83"/>
  <c r="ACM12" i="83"/>
  <c r="ACM13" i="83"/>
  <c r="ACM14" i="83"/>
  <c r="ACM15" i="83"/>
  <c r="ACM16" i="83"/>
  <c r="ACM17" i="83"/>
  <c r="ACM7" i="83"/>
  <c r="ACM8" i="83"/>
  <c r="ACC9" i="83"/>
  <c r="ACC10" i="83"/>
  <c r="ACC11" i="83"/>
  <c r="ACC12" i="83"/>
  <c r="ACC13" i="83"/>
  <c r="ACC14" i="83"/>
  <c r="ACC15" i="83"/>
  <c r="ACC16" i="83"/>
  <c r="ACC17" i="83"/>
  <c r="ACC7" i="83"/>
  <c r="ACC8" i="83"/>
  <c r="ABD25" i="83"/>
  <c r="ABD30" i="83"/>
  <c r="ABD33" i="83"/>
  <c r="AAQ29" i="83"/>
  <c r="AAQ31" i="83"/>
  <c r="ACH9" i="83"/>
  <c r="ACH10" i="83"/>
  <c r="ACH11" i="83"/>
  <c r="ACH12" i="83"/>
  <c r="ACH13" i="83"/>
  <c r="ACH14" i="83"/>
  <c r="ACH15" i="83"/>
  <c r="ACH16" i="83"/>
  <c r="ACH17" i="83"/>
  <c r="ACH7" i="83"/>
  <c r="ACH8" i="83"/>
  <c r="AAP29" i="83"/>
  <c r="AAP31" i="83"/>
  <c r="ABT29" i="83"/>
  <c r="ABT31" i="83"/>
  <c r="ABP29" i="83"/>
  <c r="ABP31" i="83"/>
  <c r="ABF20" i="83"/>
  <c r="ABF23" i="83" s="1"/>
  <c r="ABF18" i="83"/>
  <c r="ABF32" i="83" s="1"/>
  <c r="ABF19" i="83"/>
  <c r="ABF27" i="83" s="1"/>
  <c r="ABF21" i="83"/>
  <c r="ABF24" i="83" s="1"/>
  <c r="ABF26" i="83" s="1"/>
  <c r="ABF22" i="83"/>
  <c r="ACG9" i="83"/>
  <c r="ACG10" i="83"/>
  <c r="ACG11" i="83"/>
  <c r="ACG12" i="83"/>
  <c r="ACG13" i="83"/>
  <c r="ACG14" i="83"/>
  <c r="ACG15" i="83"/>
  <c r="ACG16" i="83"/>
  <c r="ACG17" i="83"/>
  <c r="ACG7" i="83"/>
  <c r="ACG8" i="83"/>
  <c r="ABC25" i="83"/>
  <c r="ABC30" i="83"/>
  <c r="ABC33" i="83"/>
  <c r="AAZ29" i="83"/>
  <c r="AAZ31" i="83"/>
  <c r="AAY29" i="83"/>
  <c r="AAY31" i="83"/>
  <c r="ACQ19" i="83"/>
  <c r="ACQ27" i="83" s="1"/>
  <c r="ACQ18" i="83"/>
  <c r="ACQ32" i="83" s="1"/>
  <c r="ACQ20" i="83"/>
  <c r="ACQ23" i="83" s="1"/>
  <c r="ACQ21" i="83"/>
  <c r="ACQ24" i="83" s="1"/>
  <c r="ACQ26" i="83" s="1"/>
  <c r="ACQ22" i="83"/>
  <c r="ACD9" i="83"/>
  <c r="ACD10" i="83"/>
  <c r="ACD11" i="83"/>
  <c r="ACD12" i="83"/>
  <c r="ACD13" i="83"/>
  <c r="ACD14" i="83"/>
  <c r="ACD15" i="83"/>
  <c r="ACD16" i="83"/>
  <c r="ACD17" i="83"/>
  <c r="ACD7" i="83"/>
  <c r="ACD8" i="83"/>
  <c r="ZQ25" i="83"/>
  <c r="ZQ30" i="83"/>
  <c r="ZQ33" i="83"/>
  <c r="ABU19" i="83"/>
  <c r="ABU27" i="83" s="1"/>
  <c r="ABU18" i="83"/>
  <c r="ABU32" i="83" s="1"/>
  <c r="ABU20" i="83"/>
  <c r="ABU23" i="83" s="1"/>
  <c r="ABU21" i="83"/>
  <c r="ABU24" i="83" s="1"/>
  <c r="ABU26" i="83" s="1"/>
  <c r="ABU22" i="83"/>
  <c r="AAW19" i="83"/>
  <c r="AAW27" i="83" s="1"/>
  <c r="AAW18" i="83"/>
  <c r="AAW32" i="83" s="1"/>
  <c r="AAW20" i="83"/>
  <c r="AAW23" i="83" s="1"/>
  <c r="AAW21" i="83"/>
  <c r="AAW24" i="83" s="1"/>
  <c r="AAW26" i="83" s="1"/>
  <c r="AAW22" i="83"/>
  <c r="ABY8" i="83"/>
  <c r="ABY7" i="83"/>
  <c r="ABY31" i="83" l="1"/>
  <c r="ACA29" i="83"/>
  <c r="ACA31" i="83"/>
  <c r="ABQ25" i="83"/>
  <c r="ABQ30" i="83"/>
  <c r="ABQ33" i="83"/>
  <c r="AAN25" i="83"/>
  <c r="AAN30" i="83"/>
  <c r="AAN33" i="83"/>
  <c r="ABE29" i="83"/>
  <c r="ABE31" i="83"/>
  <c r="ACO29" i="83"/>
  <c r="ACO31" i="83"/>
  <c r="ACB19" i="83"/>
  <c r="ACB27" i="83" s="1"/>
  <c r="ACB18" i="83"/>
  <c r="ACB32" i="83" s="1"/>
  <c r="ACB21" i="83"/>
  <c r="ACB24" i="83" s="1"/>
  <c r="ACB26" i="83" s="1"/>
  <c r="ACB20" i="83"/>
  <c r="ACB23" i="83" s="1"/>
  <c r="ACB22" i="83"/>
  <c r="ABT25" i="83"/>
  <c r="ABT30" i="83"/>
  <c r="ABT33" i="83"/>
  <c r="AAK22" i="83"/>
  <c r="ABN25" i="83"/>
  <c r="ABN30" i="83"/>
  <c r="ABN33" i="83"/>
  <c r="AAM25" i="83"/>
  <c r="AAM30" i="83"/>
  <c r="AAM33" i="83"/>
  <c r="AAW25" i="83"/>
  <c r="AAW30" i="83"/>
  <c r="AAW33" i="83"/>
  <c r="ACQ25" i="83"/>
  <c r="ACQ30" i="83"/>
  <c r="ACQ33" i="83"/>
  <c r="ACH19" i="83"/>
  <c r="ACH27" i="83" s="1"/>
  <c r="ACH18" i="83"/>
  <c r="ACH32" i="83" s="1"/>
  <c r="ACH20" i="83"/>
  <c r="ACH23" i="83" s="1"/>
  <c r="ACH21" i="83"/>
  <c r="ACH24" i="83" s="1"/>
  <c r="ACH26" i="83" s="1"/>
  <c r="ACH22" i="83"/>
  <c r="ACC19" i="83"/>
  <c r="ACC27" i="83" s="1"/>
  <c r="ACC18" i="83"/>
  <c r="ACC32" i="83" s="1"/>
  <c r="ACC20" i="83"/>
  <c r="ACC23" i="83" s="1"/>
  <c r="ACC21" i="83"/>
  <c r="ACC24" i="83" s="1"/>
  <c r="ACC26" i="83" s="1"/>
  <c r="ACC22" i="83"/>
  <c r="AAQ25" i="83"/>
  <c r="AAQ30" i="83"/>
  <c r="AAQ33" i="83"/>
  <c r="ACN18" i="83"/>
  <c r="ACN32" i="83" s="1"/>
  <c r="ACN19" i="83"/>
  <c r="ACN27" i="83" s="1"/>
  <c r="ACN20" i="83"/>
  <c r="ACN23" i="83" s="1"/>
  <c r="ACN21" i="83"/>
  <c r="ACN24" i="83" s="1"/>
  <c r="ACN26" i="83" s="1"/>
  <c r="ACN22" i="83"/>
  <c r="ACB29" i="83"/>
  <c r="ACB31" i="83"/>
  <c r="AAO25" i="83"/>
  <c r="AAO30" i="83"/>
  <c r="AAO33" i="83"/>
  <c r="AAK21" i="83"/>
  <c r="AAK24" i="83" s="1"/>
  <c r="AAK26" i="83" s="1"/>
  <c r="ABF25" i="83"/>
  <c r="ABF30" i="83"/>
  <c r="ABF33" i="83"/>
  <c r="ACH29" i="83"/>
  <c r="ACH31" i="83"/>
  <c r="ACC29" i="83"/>
  <c r="ACC31" i="83"/>
  <c r="AAZ25" i="83"/>
  <c r="AAZ30" i="83"/>
  <c r="AAZ33" i="83"/>
  <c r="ACK19" i="83"/>
  <c r="ACK27" i="83" s="1"/>
  <c r="ACK18" i="83"/>
  <c r="ACK32" i="83" s="1"/>
  <c r="ACK20" i="83"/>
  <c r="ACK23" i="83" s="1"/>
  <c r="ACK21" i="83"/>
  <c r="ACK24" i="83" s="1"/>
  <c r="ACK26" i="83" s="1"/>
  <c r="ACK22" i="83"/>
  <c r="ABZ19" i="83"/>
  <c r="ABZ27" i="83" s="1"/>
  <c r="ABZ18" i="83"/>
  <c r="ABZ32" i="83" s="1"/>
  <c r="ABZ20" i="83"/>
  <c r="ABZ23" i="83" s="1"/>
  <c r="ABZ21" i="83"/>
  <c r="ABZ24" i="83" s="1"/>
  <c r="ABZ26" i="83" s="1"/>
  <c r="ABZ22" i="83"/>
  <c r="ACE18" i="83"/>
  <c r="ACE32" i="83" s="1"/>
  <c r="ACE20" i="83"/>
  <c r="ACE23" i="83" s="1"/>
  <c r="ACE19" i="83"/>
  <c r="ACE27" i="83" s="1"/>
  <c r="ACE21" i="83"/>
  <c r="ACE24" i="83" s="1"/>
  <c r="ACE26" i="83" s="1"/>
  <c r="ACE22" i="83"/>
  <c r="ABY9" i="83"/>
  <c r="ABY29" i="83" s="1"/>
  <c r="ABY10" i="83"/>
  <c r="ABY11" i="83"/>
  <c r="ABY12" i="83"/>
  <c r="ABY13" i="83"/>
  <c r="ABY14" i="83"/>
  <c r="ABY15" i="83"/>
  <c r="ABY16" i="83"/>
  <c r="ABY17" i="83"/>
  <c r="ACN29" i="83"/>
  <c r="ACN31" i="83"/>
  <c r="ABS25" i="83"/>
  <c r="ABS30" i="83"/>
  <c r="ABS33" i="83"/>
  <c r="ACL18" i="83"/>
  <c r="ACL32" i="83" s="1"/>
  <c r="ACL20" i="83"/>
  <c r="ACL23" i="83" s="1"/>
  <c r="ACL19" i="83"/>
  <c r="ACL27" i="83" s="1"/>
  <c r="ACL21" i="83"/>
  <c r="ACL24" i="83" s="1"/>
  <c r="ACL26" i="83" s="1"/>
  <c r="ACL22" i="83"/>
  <c r="AAU25" i="83"/>
  <c r="AAU30" i="83"/>
  <c r="AAU33" i="83"/>
  <c r="ABO25" i="83"/>
  <c r="ABO30" i="83"/>
  <c r="ABO33" i="83"/>
  <c r="ABG25" i="83"/>
  <c r="ABG30" i="83"/>
  <c r="ABG33" i="83"/>
  <c r="ABR25" i="83"/>
  <c r="ABR30" i="83"/>
  <c r="ABR33" i="83"/>
  <c r="AAK20" i="83"/>
  <c r="AAK23" i="83" s="1"/>
  <c r="ABL25" i="83"/>
  <c r="ABL30" i="83"/>
  <c r="ABL33" i="83"/>
  <c r="ACK29" i="83"/>
  <c r="ACK31" i="83"/>
  <c r="ABZ29" i="83"/>
  <c r="ABZ31" i="83"/>
  <c r="ACE29" i="83"/>
  <c r="ACE31" i="83"/>
  <c r="ACI19" i="83"/>
  <c r="ACI27" i="83" s="1"/>
  <c r="ACI18" i="83"/>
  <c r="ACI32" i="83" s="1"/>
  <c r="ACI20" i="83"/>
  <c r="ACI23" i="83" s="1"/>
  <c r="ACI21" i="83"/>
  <c r="ACI24" i="83" s="1"/>
  <c r="ACI26" i="83" s="1"/>
  <c r="ACI22" i="83"/>
  <c r="ACJ19" i="83"/>
  <c r="ACJ27" i="83" s="1"/>
  <c r="ACJ18" i="83"/>
  <c r="ACJ32" i="83" s="1"/>
  <c r="ACJ20" i="83"/>
  <c r="ACJ23" i="83" s="1"/>
  <c r="ACJ21" i="83"/>
  <c r="ACJ24" i="83" s="1"/>
  <c r="ACJ26" i="83" s="1"/>
  <c r="ACJ22" i="83"/>
  <c r="ABM25" i="83"/>
  <c r="ABM30" i="83"/>
  <c r="ABM33" i="83"/>
  <c r="ACR25" i="83"/>
  <c r="ACR30" i="83"/>
  <c r="ACR33" i="83"/>
  <c r="ACL29" i="83"/>
  <c r="ACL31" i="83"/>
  <c r="AAK19" i="83"/>
  <c r="AAK27" i="83" s="1"/>
  <c r="ABK25" i="83"/>
  <c r="ABK30" i="83"/>
  <c r="ABK33" i="83"/>
  <c r="ACO18" i="83"/>
  <c r="ACO32" i="83" s="1"/>
  <c r="ACO19" i="83"/>
  <c r="ACO27" i="83" s="1"/>
  <c r="ACO20" i="83"/>
  <c r="ACO23" i="83" s="1"/>
  <c r="ACO21" i="83"/>
  <c r="ACO24" i="83" s="1"/>
  <c r="ACO26" i="83" s="1"/>
  <c r="ACO22" i="83"/>
  <c r="ACD20" i="83"/>
  <c r="ACD23" i="83" s="1"/>
  <c r="ACD19" i="83"/>
  <c r="ACD27" i="83" s="1"/>
  <c r="ACD18" i="83"/>
  <c r="ACD32" i="83" s="1"/>
  <c r="ACD21" i="83"/>
  <c r="ACD24" i="83" s="1"/>
  <c r="ACD26" i="83" s="1"/>
  <c r="ACD22" i="83"/>
  <c r="ACG29" i="83"/>
  <c r="ACG31" i="83"/>
  <c r="ACM18" i="83"/>
  <c r="ACM32" i="83" s="1"/>
  <c r="ACM19" i="83"/>
  <c r="ACM27" i="83" s="1"/>
  <c r="ACM20" i="83"/>
  <c r="ACM23" i="83" s="1"/>
  <c r="ACM21" i="83"/>
  <c r="ACM24" i="83" s="1"/>
  <c r="ACM26" i="83" s="1"/>
  <c r="ACM22" i="83"/>
  <c r="AAY25" i="83"/>
  <c r="AAY30" i="83"/>
  <c r="AAY33" i="83"/>
  <c r="ACI29" i="83"/>
  <c r="ACI31" i="83"/>
  <c r="ABJ25" i="83"/>
  <c r="ABJ30" i="83"/>
  <c r="ABJ33" i="83"/>
  <c r="ACJ29" i="83"/>
  <c r="ACJ31" i="83"/>
  <c r="AAL25" i="83"/>
  <c r="AAL30" i="83"/>
  <c r="AAL33" i="83"/>
  <c r="W40" i="27" a="1"/>
  <c r="W40" i="27" s="1"/>
  <c r="X41" i="27"/>
  <c r="ABP25" i="83"/>
  <c r="ABP30" i="83"/>
  <c r="ABP33" i="83"/>
  <c r="AAK18" i="83"/>
  <c r="AAK32" i="83" s="1"/>
  <c r="AAV25" i="83"/>
  <c r="AAV30" i="83"/>
  <c r="AAV33" i="83"/>
  <c r="ACG18" i="83"/>
  <c r="ACG32" i="83" s="1"/>
  <c r="ACG20" i="83"/>
  <c r="ACG23" i="83" s="1"/>
  <c r="ACG19" i="83"/>
  <c r="ACG27" i="83" s="1"/>
  <c r="ACG21" i="83"/>
  <c r="ACG24" i="83" s="1"/>
  <c r="ACG26" i="83" s="1"/>
  <c r="ACG22" i="83"/>
  <c r="ACD29" i="83"/>
  <c r="ACD31" i="83"/>
  <c r="ACM29" i="83"/>
  <c r="ACM31" i="83"/>
  <c r="AAP25" i="83"/>
  <c r="AAP30" i="83"/>
  <c r="AAP33" i="83"/>
  <c r="AAR25" i="83"/>
  <c r="AAR30" i="83"/>
  <c r="AAR33" i="83"/>
  <c r="ABI25" i="83"/>
  <c r="ABI30" i="83"/>
  <c r="ABI33" i="83"/>
  <c r="ACF18" i="83"/>
  <c r="ACF32" i="83" s="1"/>
  <c r="ACF20" i="83"/>
  <c r="ACF23" i="83" s="1"/>
  <c r="ACF19" i="83"/>
  <c r="ACF27" i="83" s="1"/>
  <c r="ACF21" i="83"/>
  <c r="ACF24" i="83" s="1"/>
  <c r="ACF26" i="83" s="1"/>
  <c r="ACF22" i="83"/>
  <c r="ACP25" i="83"/>
  <c r="ACP30" i="83"/>
  <c r="ACP33" i="83"/>
  <c r="ABE19" i="83"/>
  <c r="ABE27" i="83" s="1"/>
  <c r="ABE18" i="83"/>
  <c r="ABE32" i="83" s="1"/>
  <c r="ABE20" i="83"/>
  <c r="ABE23" i="83" s="1"/>
  <c r="ABE21" i="83"/>
  <c r="ABE24" i="83" s="1"/>
  <c r="ABE26" i="83" s="1"/>
  <c r="ABE22" i="83"/>
  <c r="ABU25" i="83"/>
  <c r="ABU30" i="83"/>
  <c r="ABU33" i="83"/>
  <c r="ACA19" i="83"/>
  <c r="ACA27" i="83" s="1"/>
  <c r="ACA18" i="83"/>
  <c r="ACA32" i="83" s="1"/>
  <c r="ACA20" i="83"/>
  <c r="ACA23" i="83" s="1"/>
  <c r="ACA22" i="83"/>
  <c r="ACA21" i="83"/>
  <c r="ACA24" i="83" s="1"/>
  <c r="ACA26" i="83" s="1"/>
  <c r="AAS25" i="83"/>
  <c r="AAS30" i="83"/>
  <c r="AAS33" i="83"/>
  <c r="ACF29" i="83"/>
  <c r="ACF31" i="83"/>
  <c r="AAX25" i="83"/>
  <c r="AAX30" i="83"/>
  <c r="AAX33" i="83"/>
  <c r="ABH25" i="83"/>
  <c r="ABH30" i="83"/>
  <c r="ABH33" i="83"/>
  <c r="AAT25" i="83"/>
  <c r="AAT30" i="83"/>
  <c r="AAT33" i="83"/>
  <c r="ABA25" i="83"/>
  <c r="ABA30" i="83"/>
  <c r="ABA33" i="83"/>
  <c r="ACN25" i="83" l="1"/>
  <c r="ACN30" i="83"/>
  <c r="ACN33" i="83"/>
  <c r="ACM25" i="83"/>
  <c r="ACM30" i="83"/>
  <c r="ACM33" i="83"/>
  <c r="ACB25" i="83"/>
  <c r="ACB30" i="83"/>
  <c r="ACB33" i="83"/>
  <c r="ABY22" i="83"/>
  <c r="ACD25" i="83"/>
  <c r="ACD30" i="83"/>
  <c r="ACD33" i="83"/>
  <c r="ACE25" i="83"/>
  <c r="ACE30" i="83"/>
  <c r="ACE33" i="83"/>
  <c r="ABY21" i="83"/>
  <c r="ABY24" i="83" s="1"/>
  <c r="ABY26" i="83" s="1"/>
  <c r="ACI25" i="83"/>
  <c r="ACI30" i="83"/>
  <c r="ACI33" i="83"/>
  <c r="ACK25" i="83"/>
  <c r="ACK30" i="83"/>
  <c r="ACK33" i="83"/>
  <c r="ABY20" i="83"/>
  <c r="ABY23" i="83" s="1"/>
  <c r="W41" i="27" a="1"/>
  <c r="W41" i="27" s="1"/>
  <c r="X42" i="27"/>
  <c r="ACC25" i="83"/>
  <c r="ACC30" i="83"/>
  <c r="ACC33" i="83"/>
  <c r="ACA25" i="83"/>
  <c r="ACA30" i="83"/>
  <c r="ACA33" i="83"/>
  <c r="ABY19" i="83"/>
  <c r="ABY27" i="83" s="1"/>
  <c r="ABE25" i="83"/>
  <c r="ABE30" i="83"/>
  <c r="ABE33" i="83"/>
  <c r="ACF25" i="83"/>
  <c r="ACF30" i="83"/>
  <c r="ACF33" i="83"/>
  <c r="ACO25" i="83"/>
  <c r="ACO30" i="83"/>
  <c r="ACO33" i="83"/>
  <c r="ACH25" i="83"/>
  <c r="ACH30" i="83"/>
  <c r="ACH33" i="83"/>
  <c r="ABY18" i="83"/>
  <c r="ABY32" i="83" s="1"/>
  <c r="ACJ25" i="83"/>
  <c r="ACJ30" i="83"/>
  <c r="ACJ33" i="83"/>
  <c r="ABZ25" i="83"/>
  <c r="ABZ30" i="83"/>
  <c r="ABZ33" i="83"/>
  <c r="ACG25" i="83"/>
  <c r="ACG30" i="83"/>
  <c r="ACG33" i="83"/>
  <c r="AAK25" i="83"/>
  <c r="AAK30" i="83"/>
  <c r="AAK33" i="83"/>
  <c r="ACL25" i="83"/>
  <c r="ACL30" i="83"/>
  <c r="ACL33" i="83"/>
  <c r="ABY25" i="83" l="1"/>
  <c r="ABY30" i="83"/>
  <c r="ABY33" i="83"/>
  <c r="W42" i="27" a="1"/>
  <c r="W42" i="27" s="1"/>
  <c r="X43" i="27"/>
  <c r="W43" i="27" l="1" a="1"/>
  <c r="W43" i="27" s="1"/>
  <c r="X44" i="27"/>
  <c r="W44" i="27" l="1" a="1"/>
  <c r="W44" i="27" s="1"/>
  <c r="X45" i="27"/>
  <c r="W45" i="27" l="1" a="1"/>
  <c r="W45" i="27" s="1"/>
  <c r="X46" i="27"/>
  <c r="W46" i="27" l="1" a="1"/>
  <c r="W46" i="27" s="1"/>
  <c r="X47" i="27"/>
  <c r="W47" i="27" l="1" a="1"/>
  <c r="W47" i="27" s="1"/>
  <c r="X48" i="27"/>
  <c r="W48" i="27" l="1" a="1"/>
  <c r="W48" i="27" s="1"/>
  <c r="X49" i="27"/>
  <c r="W49" i="27" l="1" a="1"/>
  <c r="W49" i="27" s="1"/>
  <c r="X50" i="27"/>
  <c r="W50" i="27" l="1" a="1"/>
  <c r="W50" i="27" s="1"/>
  <c r="X51" i="27"/>
  <c r="W51" i="27" l="1" a="1"/>
  <c r="W51" i="27" s="1"/>
  <c r="X52" i="27"/>
  <c r="W52" i="27" l="1" a="1"/>
  <c r="W52" i="27" s="1"/>
  <c r="X53" i="27"/>
  <c r="W53" i="27" l="1" a="1"/>
  <c r="W53" i="27" s="1"/>
  <c r="X54" i="27"/>
  <c r="W54" i="27" l="1" a="1"/>
  <c r="W54" i="27" s="1"/>
  <c r="X55" i="27"/>
  <c r="W55" i="27" l="1" a="1"/>
  <c r="W55" i="27" s="1"/>
  <c r="X56" i="27"/>
  <c r="W56" i="27" l="1" a="1"/>
  <c r="W56" i="27" s="1"/>
  <c r="X57" i="27"/>
  <c r="W57" i="27" l="1" a="1"/>
  <c r="W57" i="27" s="1"/>
  <c r="X58" i="27"/>
  <c r="W58" i="27" l="1" a="1"/>
  <c r="W58" i="27" s="1"/>
  <c r="X59" i="27"/>
  <c r="W59" i="27" l="1" a="1"/>
  <c r="W59" i="27" s="1"/>
  <c r="X60" i="27"/>
  <c r="W60" i="27" l="1" a="1"/>
  <c r="W60" i="27" s="1"/>
  <c r="X61" i="27"/>
  <c r="W61" i="27" l="1" a="1"/>
  <c r="W61" i="27" s="1"/>
  <c r="X62" i="27"/>
  <c r="W62" i="27" l="1" a="1"/>
  <c r="W62" i="27" s="1"/>
  <c r="X63" i="27"/>
  <c r="W63" i="27" l="1" a="1"/>
  <c r="W63" i="27" s="1"/>
  <c r="X64" i="27"/>
  <c r="W64" i="27" l="1" a="1"/>
  <c r="W64" i="27" s="1"/>
  <c r="X65" i="27"/>
  <c r="W65" i="27" l="1" a="1"/>
  <c r="W65" i="27" s="1"/>
  <c r="X66" i="27"/>
  <c r="W66" i="27" l="1" a="1"/>
  <c r="W66" i="27" s="1"/>
  <c r="X67" i="27"/>
  <c r="W67" i="27" l="1" a="1"/>
  <c r="W67" i="27" s="1"/>
  <c r="X68" i="27"/>
  <c r="W68" i="27" l="1" a="1"/>
  <c r="W68" i="27" s="1"/>
  <c r="X69" i="27"/>
  <c r="W69" i="27" l="1" a="1"/>
  <c r="W69" i="27" s="1"/>
  <c r="X70" i="27"/>
  <c r="W70" i="27" l="1" a="1"/>
  <c r="W70" i="27" s="1"/>
  <c r="X71" i="27"/>
  <c r="W71" i="27" l="1" a="1"/>
  <c r="W71" i="27" s="1"/>
  <c r="X72" i="27"/>
  <c r="W72" i="27" l="1" a="1"/>
  <c r="W72" i="27" s="1"/>
  <c r="X73" i="27"/>
  <c r="W73" i="27" l="1" a="1"/>
  <c r="W73" i="27" s="1"/>
  <c r="X74" i="27"/>
  <c r="W74" i="27" l="1" a="1"/>
  <c r="W74" i="27" s="1"/>
  <c r="X75" i="27"/>
  <c r="W75" i="27" l="1" a="1"/>
  <c r="W75" i="27" s="1"/>
  <c r="X76" i="27"/>
  <c r="W76" i="27" l="1" a="1"/>
  <c r="W76" i="27" s="1"/>
  <c r="X77" i="27"/>
  <c r="W77" i="27" l="1" a="1"/>
  <c r="W77" i="27" s="1"/>
  <c r="X78" i="27"/>
  <c r="W78" i="27" l="1" a="1"/>
  <c r="W78" i="27" s="1"/>
  <c r="X79" i="27"/>
  <c r="W79" i="27" l="1" a="1"/>
  <c r="W79" i="27" s="1"/>
  <c r="X80" i="27"/>
  <c r="W80" i="27" l="1" a="1"/>
  <c r="W80" i="27" s="1"/>
  <c r="X81" i="27"/>
  <c r="W81" i="27" l="1" a="1"/>
  <c r="W81" i="27" s="1"/>
  <c r="X82" i="27"/>
  <c r="W82" i="27" l="1" a="1"/>
  <c r="W82" i="27" s="1"/>
  <c r="X83" i="27"/>
  <c r="W83" i="27" l="1" a="1"/>
  <c r="W83" i="27" s="1"/>
  <c r="X84" i="27"/>
  <c r="W84" i="27" l="1" a="1"/>
  <c r="W84" i="27" s="1"/>
  <c r="X85" i="27"/>
  <c r="W85" i="27" l="1" a="1"/>
  <c r="W85" i="27" s="1"/>
  <c r="X86" i="27"/>
  <c r="W86" i="27" l="1" a="1"/>
  <c r="W86" i="27" s="1"/>
  <c r="X87" i="27"/>
  <c r="W87" i="27" l="1" a="1"/>
  <c r="W87" i="27" s="1"/>
  <c r="X88" i="27"/>
  <c r="W88" i="27" l="1" a="1"/>
  <c r="W88" i="27" s="1"/>
  <c r="X89" i="27"/>
  <c r="W89" i="27" l="1" a="1"/>
  <c r="W89" i="27" s="1"/>
  <c r="X90" i="27"/>
  <c r="W90" i="27" l="1" a="1"/>
  <c r="W90" i="27" s="1"/>
  <c r="X91" i="27"/>
  <c r="W91" i="27" l="1" a="1"/>
  <c r="W91" i="27" s="1"/>
  <c r="X92" i="27"/>
  <c r="W92" i="27" l="1" a="1"/>
  <c r="W92" i="27" s="1"/>
  <c r="X93" i="27"/>
  <c r="W93" i="27" l="1" a="1"/>
  <c r="W93" i="27" s="1"/>
  <c r="X94" i="27"/>
  <c r="W94" i="27" l="1" a="1"/>
  <c r="W94" i="27" s="1"/>
  <c r="X95" i="27"/>
  <c r="W95" i="27" l="1" a="1"/>
  <c r="W95" i="27" s="1"/>
  <c r="X96" i="27"/>
  <c r="W96" i="27" l="1" a="1"/>
  <c r="W96" i="27" s="1"/>
  <c r="X97" i="27"/>
  <c r="W97" i="27" l="1" a="1"/>
  <c r="W97" i="27" s="1"/>
  <c r="X98" i="27"/>
  <c r="W98" i="27" l="1" a="1"/>
  <c r="W98" i="27" s="1"/>
  <c r="X99" i="27"/>
  <c r="W99" i="27" l="1" a="1"/>
  <c r="W99" i="27" s="1"/>
  <c r="X100" i="27"/>
  <c r="W100" i="27" l="1" a="1"/>
  <c r="W100" i="27" s="1"/>
  <c r="X101" i="27"/>
  <c r="W101" i="27" l="1" a="1"/>
  <c r="W101" i="27" s="1"/>
  <c r="X102" i="27"/>
  <c r="W102" i="27" l="1" a="1"/>
  <c r="W102" i="27" s="1"/>
  <c r="X103" i="27"/>
  <c r="W103" i="27" l="1" a="1"/>
  <c r="W103" i="27" s="1"/>
  <c r="X104" i="27"/>
  <c r="W104" i="27" l="1" a="1"/>
  <c r="W104" i="27" s="1"/>
  <c r="X105" i="27"/>
  <c r="W105" i="27" l="1" a="1"/>
  <c r="W105" i="27" s="1"/>
  <c r="X106" i="27"/>
  <c r="W106" i="27" l="1" a="1"/>
  <c r="W106" i="27" s="1"/>
  <c r="X107" i="27"/>
  <c r="W107" i="27" l="1" a="1"/>
  <c r="W107" i="27" s="1"/>
  <c r="X108" i="27"/>
  <c r="W108" i="27" l="1" a="1"/>
  <c r="W108" i="27" s="1"/>
  <c r="X109" i="27"/>
  <c r="W109" i="27" l="1" a="1"/>
  <c r="W109" i="27" s="1"/>
  <c r="X110" i="27"/>
  <c r="W110" i="27" l="1" a="1"/>
  <c r="W110" i="27" s="1"/>
  <c r="X111" i="27"/>
  <c r="W111" i="27" l="1" a="1"/>
  <c r="W111" i="27" s="1"/>
  <c r="X112" i="27"/>
  <c r="W112" i="27" l="1" a="1"/>
  <c r="W112" i="27" s="1"/>
  <c r="X113" i="27"/>
  <c r="W113" i="27" l="1" a="1"/>
  <c r="W113" i="27" s="1"/>
  <c r="X114" i="27"/>
  <c r="W114" i="27" l="1" a="1"/>
  <c r="W114" i="27" s="1"/>
  <c r="X115" i="27"/>
  <c r="W115" i="27" l="1" a="1"/>
  <c r="W115" i="27" s="1"/>
  <c r="X116" i="27"/>
  <c r="W116" i="27" l="1" a="1"/>
  <c r="W116" i="27" s="1"/>
  <c r="X117" i="27"/>
  <c r="W117" i="27" l="1" a="1"/>
  <c r="W117" i="27" s="1"/>
  <c r="X118" i="27"/>
  <c r="W118" i="27" l="1" a="1"/>
  <c r="W118" i="27" s="1"/>
  <c r="X119" i="27"/>
  <c r="W119" i="27" l="1" a="1"/>
  <c r="W119" i="27" s="1"/>
  <c r="X120" i="27"/>
  <c r="W120" i="27" l="1" a="1"/>
  <c r="W120" i="27" s="1"/>
  <c r="X121" i="27"/>
  <c r="W121" i="27" l="1" a="1"/>
  <c r="W121" i="27" s="1"/>
  <c r="X122" i="27"/>
  <c r="W122" i="27" l="1" a="1"/>
  <c r="W122" i="27" s="1"/>
  <c r="X123" i="27"/>
  <c r="W123" i="27" l="1" a="1"/>
  <c r="W123" i="27" s="1"/>
  <c r="X124" i="27"/>
  <c r="W124" i="27" l="1" a="1"/>
  <c r="W124" i="27" s="1"/>
  <c r="X125" i="27"/>
  <c r="W125" i="27" l="1" a="1"/>
  <c r="W125" i="27" s="1"/>
  <c r="X126" i="27"/>
  <c r="W126" i="27" l="1" a="1"/>
  <c r="W126" i="27" s="1"/>
  <c r="X127" i="27"/>
  <c r="W127" i="27" l="1" a="1"/>
  <c r="W127" i="27" s="1"/>
  <c r="X128" i="27"/>
  <c r="W128" i="27" l="1" a="1"/>
  <c r="W128" i="27" s="1"/>
  <c r="X129" i="27"/>
  <c r="W129" i="27" l="1" a="1"/>
  <c r="W129" i="27" s="1"/>
  <c r="X130" i="27"/>
  <c r="W130" i="27" l="1" a="1"/>
  <c r="W130" i="27" s="1"/>
  <c r="X131" i="27"/>
  <c r="W131" i="27" l="1" a="1"/>
  <c r="W131" i="27" s="1"/>
  <c r="X132" i="27"/>
  <c r="W132" i="27" l="1" a="1"/>
  <c r="W132" i="27" s="1"/>
  <c r="X133" i="27"/>
  <c r="W133" i="27" l="1" a="1"/>
  <c r="W133" i="27" s="1"/>
  <c r="X134" i="27"/>
  <c r="W134" i="27" l="1" a="1"/>
  <c r="W134" i="27" s="1"/>
  <c r="X135" i="27"/>
  <c r="W135" i="27" l="1" a="1"/>
  <c r="W135" i="27" s="1"/>
  <c r="X136" i="27"/>
  <c r="W136" i="27" l="1" a="1"/>
  <c r="W136" i="27" s="1"/>
  <c r="X137" i="27"/>
  <c r="W137" i="27" l="1" a="1"/>
  <c r="W137" i="27" s="1"/>
  <c r="X138" i="27"/>
  <c r="W138" i="27" l="1" a="1"/>
  <c r="W138" i="27" s="1"/>
  <c r="X139" i="27"/>
  <c r="W139" i="27" l="1" a="1"/>
  <c r="W139" i="27" s="1"/>
  <c r="X140" i="27"/>
  <c r="W140" i="27" l="1" a="1"/>
  <c r="W140" i="27" s="1"/>
  <c r="X141" i="27"/>
  <c r="W141" i="27" l="1" a="1"/>
  <c r="W141" i="27" s="1"/>
  <c r="X142" i="27"/>
  <c r="W142" i="27" l="1" a="1"/>
  <c r="W142" i="27" s="1"/>
  <c r="X143" i="27"/>
  <c r="W143" i="27" l="1" a="1"/>
  <c r="W143" i="27" s="1"/>
  <c r="X144" i="27"/>
  <c r="W144" i="27" l="1" a="1"/>
  <c r="W144" i="27" s="1"/>
  <c r="X145" i="27"/>
  <c r="W145" i="27" l="1" a="1"/>
  <c r="W145" i="27" s="1"/>
  <c r="X146" i="27"/>
  <c r="W146" i="27" l="1" a="1"/>
  <c r="W146" i="27" s="1"/>
  <c r="X147" i="27"/>
  <c r="W147" i="27" l="1" a="1"/>
  <c r="W147" i="27" s="1"/>
  <c r="X148" i="27"/>
  <c r="W148" i="27" l="1" a="1"/>
  <c r="W148" i="27" s="1"/>
  <c r="X149" i="27"/>
  <c r="W149" i="27" l="1" a="1"/>
  <c r="W149" i="27" s="1"/>
  <c r="X150" i="27"/>
  <c r="W150" i="27" l="1" a="1"/>
  <c r="W150" i="27" s="1"/>
  <c r="X151" i="27"/>
  <c r="W151" i="27" l="1" a="1"/>
  <c r="W151" i="27" s="1"/>
  <c r="X152" i="27"/>
  <c r="W152" i="27" l="1" a="1"/>
  <c r="W152" i="27" s="1"/>
  <c r="X153" i="27"/>
  <c r="W153" i="27" l="1" a="1"/>
  <c r="W153" i="27" s="1"/>
  <c r="X154" i="27"/>
  <c r="W154" i="27" l="1" a="1"/>
  <c r="W154" i="27" s="1"/>
  <c r="X155" i="27"/>
  <c r="W155" i="27" l="1" a="1"/>
  <c r="W155" i="27" s="1"/>
  <c r="X156" i="27"/>
  <c r="W156" i="27" l="1" a="1"/>
  <c r="W156" i="27" s="1"/>
  <c r="X157" i="27"/>
  <c r="W157" i="27" l="1" a="1"/>
  <c r="W157" i="27" s="1"/>
  <c r="X158" i="27"/>
  <c r="W158" i="27" l="1" a="1"/>
  <c r="W158" i="27" s="1"/>
  <c r="X159" i="27"/>
  <c r="W159" i="27" l="1" a="1"/>
  <c r="W159" i="27" s="1"/>
  <c r="X160" i="27"/>
  <c r="W160" i="27" l="1" a="1"/>
  <c r="W160" i="27" s="1"/>
  <c r="X161" i="27"/>
  <c r="W161" i="27" l="1" a="1"/>
  <c r="W161" i="27" s="1"/>
  <c r="X162" i="27"/>
  <c r="W162" i="27" l="1" a="1"/>
  <c r="W162" i="27" s="1"/>
  <c r="X163" i="27"/>
  <c r="W163" i="27" l="1" a="1"/>
  <c r="W163" i="27" s="1"/>
  <c r="X164" i="27"/>
  <c r="W164" i="27" l="1" a="1"/>
  <c r="W164" i="27" s="1"/>
  <c r="X165" i="27"/>
  <c r="W165" i="27" l="1" a="1"/>
  <c r="W165" i="27" s="1"/>
  <c r="X166" i="27"/>
  <c r="W166" i="27" l="1" a="1"/>
  <c r="W166" i="27" s="1"/>
  <c r="X167" i="27"/>
  <c r="W167" i="27" l="1" a="1"/>
  <c r="W167" i="27" s="1"/>
  <c r="X168" i="27"/>
  <c r="W168" i="27" l="1" a="1"/>
  <c r="W168" i="27" s="1"/>
  <c r="X169" i="27"/>
  <c r="W169" i="27" l="1" a="1"/>
  <c r="W169" i="27" s="1"/>
  <c r="X170" i="27"/>
  <c r="W170" i="27" l="1" a="1"/>
  <c r="W170" i="27" s="1"/>
  <c r="X171" i="27"/>
  <c r="W171" i="27" l="1" a="1"/>
  <c r="W171" i="27" s="1"/>
  <c r="X172" i="27"/>
  <c r="W172" i="27" l="1" a="1"/>
  <c r="W172" i="27" s="1"/>
  <c r="X173" i="27"/>
  <c r="W173" i="27" l="1" a="1"/>
  <c r="W173" i="27" s="1"/>
  <c r="X174" i="27"/>
  <c r="W174" i="27" l="1" a="1"/>
  <c r="W174" i="27" s="1"/>
  <c r="X175" i="27"/>
  <c r="W175" i="27" l="1" a="1"/>
  <c r="W175" i="27" s="1"/>
  <c r="X176" i="27"/>
  <c r="W176" i="27" l="1" a="1"/>
  <c r="W176" i="27" s="1"/>
  <c r="X177" i="27"/>
  <c r="W177" i="27" l="1" a="1"/>
  <c r="W177" i="27" s="1"/>
  <c r="X178" i="27"/>
  <c r="W178" i="27" l="1" a="1"/>
  <c r="W178" i="27" s="1"/>
  <c r="X179" i="27"/>
  <c r="W179" i="27" l="1" a="1"/>
  <c r="W179" i="27" s="1"/>
  <c r="X180" i="27"/>
  <c r="W180" i="27" l="1" a="1"/>
  <c r="W180" i="27" s="1"/>
  <c r="X181" i="27"/>
  <c r="W181" i="27" l="1" a="1"/>
  <c r="W181" i="27" s="1"/>
  <c r="X182" i="27"/>
  <c r="W182" i="27" l="1" a="1"/>
  <c r="W182" i="27" s="1"/>
  <c r="X183" i="27"/>
  <c r="W183" i="27" l="1" a="1"/>
  <c r="W183" i="27" s="1"/>
  <c r="X184" i="27"/>
  <c r="W184" i="27" l="1" a="1"/>
  <c r="W184" i="27" s="1"/>
  <c r="X185" i="27"/>
  <c r="W185" i="27" l="1" a="1"/>
  <c r="W185" i="27" s="1"/>
  <c r="X186" i="27"/>
  <c r="W186" i="27" l="1" a="1"/>
  <c r="W186" i="27" s="1"/>
  <c r="X187" i="27"/>
  <c r="W187" i="27" l="1" a="1"/>
  <c r="W187" i="27" s="1"/>
  <c r="X188" i="27"/>
  <c r="W188" i="27" l="1" a="1"/>
  <c r="W188" i="27" s="1"/>
  <c r="X189" i="27"/>
  <c r="W189" i="27" l="1" a="1"/>
  <c r="W189" i="27" s="1"/>
  <c r="X190" i="27"/>
  <c r="W190" i="27" l="1" a="1"/>
  <c r="W190" i="27" s="1"/>
  <c r="X191" i="27"/>
  <c r="W191" i="27" l="1" a="1"/>
  <c r="W191" i="27" s="1"/>
  <c r="X192" i="27"/>
  <c r="W192" i="27" l="1" a="1"/>
  <c r="W192" i="27" s="1"/>
  <c r="X193" i="27"/>
  <c r="W193" i="27" l="1" a="1"/>
  <c r="W193" i="27" s="1"/>
  <c r="X194" i="27"/>
  <c r="W194" i="27" l="1" a="1"/>
  <c r="W194" i="27" s="1"/>
  <c r="X195" i="27"/>
  <c r="W195" i="27" l="1" a="1"/>
  <c r="W195" i="27" s="1"/>
  <c r="X196" i="27"/>
  <c r="W196" i="27" l="1" a="1"/>
  <c r="W196" i="27" s="1"/>
  <c r="X197" i="27"/>
  <c r="W197" i="27" l="1" a="1"/>
  <c r="W197" i="27" s="1"/>
  <c r="X198" i="27"/>
  <c r="W198" i="27" l="1" a="1"/>
  <c r="W198" i="27" s="1"/>
  <c r="X199" i="27"/>
  <c r="W199" i="27" l="1" a="1"/>
  <c r="W199" i="27" s="1"/>
  <c r="X200" i="27"/>
  <c r="W200" i="27" l="1" a="1"/>
  <c r="W200" i="27" s="1"/>
  <c r="X201" i="27"/>
  <c r="W201" i="27" l="1" a="1"/>
  <c r="W201" i="27" s="1"/>
  <c r="X202" i="27"/>
  <c r="W202" i="27" l="1" a="1"/>
  <c r="W202" i="27" s="1"/>
  <c r="X203" i="27"/>
  <c r="W203" i="27" l="1" a="1"/>
  <c r="W203" i="27" s="1"/>
  <c r="X204" i="27"/>
  <c r="W204" i="27" l="1" a="1"/>
  <c r="W204" i="27" s="1"/>
  <c r="X205" i="27"/>
  <c r="W205" i="27" l="1" a="1"/>
  <c r="W205" i="27" s="1"/>
  <c r="X206" i="27"/>
  <c r="W206" i="27" l="1" a="1"/>
  <c r="W206" i="27" s="1"/>
  <c r="X207" i="27"/>
  <c r="W207" i="27" l="1" a="1"/>
  <c r="W207" i="27" s="1"/>
  <c r="X208" i="27"/>
  <c r="W208" i="27" l="1" a="1"/>
  <c r="W208" i="27" s="1"/>
  <c r="X209" i="27"/>
  <c r="W209" i="27" l="1" a="1"/>
  <c r="W209" i="27" s="1"/>
  <c r="X210" i="27"/>
  <c r="W210" i="27" l="1" a="1"/>
  <c r="W210" i="27" s="1"/>
  <c r="X211" i="27"/>
  <c r="W211" i="27" l="1" a="1"/>
  <c r="W211" i="27" s="1"/>
  <c r="X212" i="27"/>
  <c r="W212" i="27" l="1" a="1"/>
  <c r="W212" i="27" s="1"/>
  <c r="X213" i="27"/>
  <c r="W213" i="27" l="1" a="1"/>
  <c r="W213" i="27" s="1"/>
  <c r="X214" i="27"/>
  <c r="W214" i="27" l="1" a="1"/>
  <c r="W214" i="27" s="1"/>
  <c r="X215" i="27"/>
  <c r="W215" i="27" l="1" a="1"/>
  <c r="W215" i="27" s="1"/>
  <c r="X216" i="27"/>
  <c r="W216" i="27" l="1" a="1"/>
  <c r="W216" i="27" s="1"/>
  <c r="X217" i="27"/>
  <c r="W217" i="27" l="1" a="1"/>
  <c r="W217" i="27" s="1"/>
  <c r="X218" i="27"/>
  <c r="W218" i="27" l="1" a="1"/>
  <c r="W218" i="27" s="1"/>
  <c r="X219" i="27"/>
  <c r="W219" i="27" l="1" a="1"/>
  <c r="W219" i="27" s="1"/>
  <c r="X220" i="27"/>
  <c r="W220" i="27" l="1" a="1"/>
  <c r="W220" i="27" s="1"/>
  <c r="X221" i="27"/>
  <c r="W221" i="27" l="1" a="1"/>
  <c r="W221" i="27" s="1"/>
  <c r="X222" i="27"/>
  <c r="W222" i="27" l="1" a="1"/>
  <c r="W222" i="27" s="1"/>
  <c r="X223" i="27"/>
  <c r="W223" i="27" l="1" a="1"/>
  <c r="W223" i="27" s="1"/>
  <c r="X224" i="27"/>
  <c r="W224" i="27" l="1" a="1"/>
  <c r="W224" i="27" s="1"/>
  <c r="X225" i="27"/>
  <c r="W225" i="27" l="1" a="1"/>
  <c r="W225" i="27" s="1"/>
  <c r="X226" i="27"/>
  <c r="W226" i="27" l="1" a="1"/>
  <c r="W226" i="27" s="1"/>
  <c r="X227" i="27"/>
  <c r="W227" i="27" l="1" a="1"/>
  <c r="W227" i="27" s="1"/>
  <c r="X228" i="27"/>
  <c r="W228" i="27" l="1" a="1"/>
  <c r="W228" i="27" s="1"/>
  <c r="X229" i="27"/>
  <c r="W229" i="27" l="1" a="1"/>
  <c r="W229" i="27" s="1"/>
  <c r="X230" i="27"/>
  <c r="W230" i="27" l="1" a="1"/>
  <c r="W230" i="27" s="1"/>
  <c r="X231" i="27"/>
  <c r="W231" i="27" l="1" a="1"/>
  <c r="W231" i="27" s="1"/>
  <c r="X232" i="27"/>
  <c r="W232" i="27" l="1" a="1"/>
  <c r="W232" i="27" s="1"/>
  <c r="X233" i="27"/>
  <c r="W233" i="27" l="1" a="1"/>
  <c r="W233" i="27" s="1"/>
  <c r="X234" i="27"/>
  <c r="W234" i="27" l="1" a="1"/>
  <c r="W234" i="27" s="1"/>
  <c r="X235" i="27"/>
  <c r="W235" i="27" l="1" a="1"/>
  <c r="W235" i="27" s="1"/>
  <c r="X236" i="27"/>
  <c r="W236" i="27" l="1" a="1"/>
  <c r="W236" i="27" s="1"/>
  <c r="X237" i="27"/>
  <c r="W237" i="27" l="1" a="1"/>
  <c r="W237" i="27" s="1"/>
  <c r="X238" i="27"/>
  <c r="W238" i="27" l="1" a="1"/>
  <c r="W238" i="27" s="1"/>
  <c r="X239" i="27"/>
  <c r="W239" i="27" l="1" a="1"/>
  <c r="W239" i="27" s="1"/>
  <c r="X240" i="27"/>
  <c r="W240" i="27" l="1" a="1"/>
  <c r="W240" i="27" s="1"/>
  <c r="X241" i="27"/>
  <c r="W241" i="27" l="1" a="1"/>
  <c r="W241" i="27" s="1"/>
  <c r="X242" i="27"/>
  <c r="W242" i="27" l="1" a="1"/>
  <c r="W242" i="27" s="1"/>
  <c r="X243" i="27"/>
  <c r="W243" i="27" l="1" a="1"/>
  <c r="W243" i="27" s="1"/>
  <c r="X244" i="27"/>
  <c r="W244" i="27" l="1" a="1"/>
  <c r="W244" i="27" s="1"/>
  <c r="X245" i="27"/>
  <c r="W245" i="27" l="1" a="1"/>
  <c r="W245" i="27" s="1"/>
  <c r="X246" i="27"/>
  <c r="W246" i="27" l="1" a="1"/>
  <c r="W246" i="27" s="1"/>
  <c r="X247" i="27"/>
  <c r="W247" i="27" l="1" a="1"/>
  <c r="W247" i="27" s="1"/>
  <c r="X248" i="27"/>
  <c r="W248" i="27" l="1" a="1"/>
  <c r="W248" i="27" s="1"/>
  <c r="X249" i="27"/>
  <c r="W249" i="27" l="1" a="1"/>
  <c r="W249" i="27" s="1"/>
  <c r="X250" i="27"/>
  <c r="W250" i="27" l="1" a="1"/>
  <c r="W250" i="27" s="1"/>
  <c r="X251" i="27"/>
  <c r="W251" i="27" l="1" a="1"/>
  <c r="W251" i="27" s="1"/>
  <c r="X252" i="27"/>
  <c r="W252" i="27" l="1" a="1"/>
  <c r="W252" i="27" s="1"/>
  <c r="X253" i="27"/>
  <c r="W253" i="27" l="1" a="1"/>
  <c r="W253" i="27" s="1"/>
  <c r="X254" i="27"/>
  <c r="W254" i="27" l="1" a="1"/>
  <c r="W254" i="27" s="1"/>
  <c r="X255" i="27"/>
  <c r="W255" i="27" l="1" a="1"/>
  <c r="W255" i="27" s="1"/>
  <c r="X256" i="27"/>
  <c r="W256" i="27" l="1" a="1"/>
  <c r="W256" i="27" s="1"/>
  <c r="X257" i="27"/>
  <c r="W257" i="27" l="1" a="1"/>
  <c r="W257" i="27" s="1"/>
  <c r="X258" i="27"/>
  <c r="W258" i="27" l="1" a="1"/>
  <c r="W258" i="27" s="1"/>
  <c r="X259" i="27"/>
  <c r="W259" i="27" l="1" a="1"/>
  <c r="W259" i="27" s="1"/>
  <c r="X260" i="27"/>
  <c r="W260" i="27" l="1" a="1"/>
  <c r="W260" i="27" s="1"/>
  <c r="X261" i="27"/>
  <c r="W261" i="27" l="1" a="1"/>
  <c r="W261" i="27" s="1"/>
  <c r="X262" i="27"/>
  <c r="W262" i="27" l="1" a="1"/>
  <c r="W262" i="27" s="1"/>
  <c r="X263" i="27"/>
  <c r="W263" i="27" l="1" a="1"/>
  <c r="W263" i="27" s="1"/>
  <c r="X264" i="27"/>
  <c r="W264" i="27" l="1" a="1"/>
  <c r="W264" i="27" s="1"/>
  <c r="X265" i="27"/>
  <c r="W265" i="27" l="1" a="1"/>
  <c r="W265" i="27" s="1"/>
  <c r="X266" i="27"/>
  <c r="W266" i="27" l="1" a="1"/>
  <c r="W266" i="27" s="1"/>
  <c r="X267" i="27"/>
  <c r="W267" i="27" s="1" a="1"/>
  <c r="W267"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tsccapiq2</author>
  </authors>
  <commentList>
    <comment ref="Q6" authorId="0" shapeId="0" xr:uid="{00000000-0006-0000-1900-000001000000}">
      <text>
        <r>
          <rPr>
            <b/>
            <sz val="9"/>
            <color indexed="81"/>
            <rFont val="Tahoma"/>
            <family val="2"/>
          </rPr>
          <t xml:space="preserve">DSO = 365 / (Sales / average (Receivables of LTM, (Receivables of LTM -4) )
 </t>
        </r>
      </text>
    </comment>
    <comment ref="R6" authorId="0" shapeId="0" xr:uid="{00000000-0006-0000-1900-000002000000}">
      <text>
        <r>
          <rPr>
            <b/>
            <sz val="9"/>
            <color indexed="81"/>
            <rFont val="Tahoma"/>
            <family val="2"/>
          </rPr>
          <t>DIO = 365 / (COGS / average (Inventory of LTM, Inventory of LTM -4) )</t>
        </r>
        <r>
          <rPr>
            <sz val="9"/>
            <color indexed="81"/>
            <rFont val="Tahoma"/>
            <family val="2"/>
          </rPr>
          <t xml:space="preserve">
</t>
        </r>
      </text>
    </comment>
    <comment ref="S6" authorId="0" shapeId="0" xr:uid="{00000000-0006-0000-1900-000003000000}">
      <text>
        <r>
          <rPr>
            <b/>
            <sz val="9"/>
            <color indexed="81"/>
            <rFont val="Tahoma"/>
            <family val="2"/>
          </rPr>
          <t>DIO = 365 / (COGS / average (Payables of LTM, Payables of LTM -4) )</t>
        </r>
        <r>
          <rPr>
            <sz val="9"/>
            <color indexed="81"/>
            <rFont val="Tahoma"/>
            <family val="2"/>
          </rPr>
          <t xml:space="preserve">
</t>
        </r>
      </text>
    </comment>
    <comment ref="U6" authorId="0" shapeId="0" xr:uid="{00000000-0006-0000-1900-000004000000}">
      <text>
        <r>
          <rPr>
            <b/>
            <sz val="9"/>
            <color indexed="81"/>
            <rFont val="Tahoma"/>
            <family val="2"/>
          </rPr>
          <t>ROA = Net Income / average (Assets of LTM, Assets of LTM -4)</t>
        </r>
      </text>
    </comment>
    <comment ref="V6" authorId="0" shapeId="0" xr:uid="{00000000-0006-0000-1900-000005000000}">
      <text>
        <r>
          <rPr>
            <b/>
            <sz val="9"/>
            <color indexed="81"/>
            <rFont val="Tahoma"/>
            <family val="2"/>
          </rPr>
          <t>ROCE = Net Income / average (Capital Employed of LTM, Capital Employed of LTM -4)</t>
        </r>
      </text>
    </comment>
    <comment ref="W6" authorId="0" shapeId="0" xr:uid="{00000000-0006-0000-1900-000006000000}">
      <text>
        <r>
          <rPr>
            <b/>
            <sz val="9"/>
            <color indexed="81"/>
            <rFont val="Tahoma"/>
            <family val="2"/>
          </rPr>
          <t>ROE = Net Income / average (Shareholder Equity of LTM, Shareholder Equity of LTM -4)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<sst xmlns="http://schemas.openxmlformats.org/spreadsheetml/2006/main" count="4130" uniqueCount="2156">
  <si>
    <t>SG&amp;A</t>
  </si>
  <si>
    <t>R&amp;D</t>
  </si>
  <si>
    <t>Total Revenue</t>
  </si>
  <si>
    <t>Cost of Goods Sold</t>
  </si>
  <si>
    <t>Other Expenses</t>
  </si>
  <si>
    <t>Operating Expenses</t>
  </si>
  <si>
    <t>Net Income</t>
  </si>
  <si>
    <t>Return on Capital Employed Calculation</t>
  </si>
  <si>
    <t>Accounts Receivable</t>
  </si>
  <si>
    <t>IQ_Total_Revenue</t>
  </si>
  <si>
    <t>IQ_COGS</t>
  </si>
  <si>
    <t>IQ_TOTAL_OTHER_OPER</t>
  </si>
  <si>
    <t>IQ_SGA_SUPPL</t>
  </si>
  <si>
    <t>IQ_RD_EXP</t>
  </si>
  <si>
    <t>IQ_NI</t>
  </si>
  <si>
    <t xml:space="preserve">IQ_TOTAL_RECEIV
</t>
  </si>
  <si>
    <t>IQ_INVENTORY</t>
  </si>
  <si>
    <t>Inventory</t>
  </si>
  <si>
    <t>IQ_NPPE</t>
  </si>
  <si>
    <t>Net PP&amp;E</t>
  </si>
  <si>
    <t>Other Assets</t>
  </si>
  <si>
    <t>IQ_TOTAL_ASSETS</t>
  </si>
  <si>
    <t>Total Assets</t>
  </si>
  <si>
    <t>Taxes and Other</t>
  </si>
  <si>
    <t>Change</t>
  </si>
  <si>
    <t>Accounts Payable</t>
  </si>
  <si>
    <t xml:space="preserve">IQ_AP
</t>
  </si>
  <si>
    <t>Total Current Liabilities</t>
  </si>
  <si>
    <t xml:space="preserve">IQ_TOTAL_CL
</t>
  </si>
  <si>
    <t>Other Current Liabllities</t>
  </si>
  <si>
    <t>Gross Profit</t>
  </si>
  <si>
    <t>ROCE = Net Income/Capital Employed</t>
  </si>
  <si>
    <t>Capital Employed = Total Assets - Total Current Liabilities</t>
  </si>
  <si>
    <t>Revenue</t>
  </si>
  <si>
    <t>COGS</t>
  </si>
  <si>
    <t>EBIT</t>
  </si>
  <si>
    <t>Total Asset Turnover</t>
  </si>
  <si>
    <t>Fixed Asset Turnover</t>
  </si>
  <si>
    <t>Other OpEx</t>
  </si>
  <si>
    <t>D&amp;A</t>
  </si>
  <si>
    <t>Total OpEx</t>
  </si>
  <si>
    <t>Net Interest Expense</t>
  </si>
  <si>
    <t>EBITDA</t>
  </si>
  <si>
    <t>Income Tax Expense</t>
  </si>
  <si>
    <t>Inventory Turnover</t>
  </si>
  <si>
    <t>Working Capital</t>
  </si>
  <si>
    <t>Accts Receivable Turns</t>
  </si>
  <si>
    <t>Income Statement</t>
  </si>
  <si>
    <t>Turnover</t>
  </si>
  <si>
    <t>Margins</t>
  </si>
  <si>
    <t>EBT</t>
  </si>
  <si>
    <t>Profitability</t>
  </si>
  <si>
    <t>Cash And Collections</t>
  </si>
  <si>
    <t>Cash Flow From Operations</t>
  </si>
  <si>
    <t>Days Sales Outstanding</t>
  </si>
  <si>
    <t>Days Inventory Outstanding</t>
  </si>
  <si>
    <t>Days Payable Outstanding</t>
  </si>
  <si>
    <t>Incremental Growth</t>
  </si>
  <si>
    <t>Quarter</t>
  </si>
  <si>
    <t>Date</t>
  </si>
  <si>
    <t>Name</t>
  </si>
  <si>
    <t>CEO</t>
  </si>
  <si>
    <t>CFO</t>
  </si>
  <si>
    <t>Chairman</t>
  </si>
  <si>
    <t>Market Cap</t>
  </si>
  <si>
    <t>Employees</t>
  </si>
  <si>
    <t>Metric</t>
  </si>
  <si>
    <t>Ranking</t>
  </si>
  <si>
    <t>Leverage</t>
  </si>
  <si>
    <t xml:space="preserve">Ticker </t>
  </si>
  <si>
    <t>Company Name</t>
  </si>
  <si>
    <t>Primary Industry</t>
  </si>
  <si>
    <t>Stock Price Today</t>
  </si>
  <si>
    <t>Stock Price 52 wks ago</t>
  </si>
  <si>
    <t>Today's Date</t>
  </si>
  <si>
    <t>Date -1yr</t>
  </si>
  <si>
    <t>Peer Median</t>
  </si>
  <si>
    <t>Peer Average</t>
  </si>
  <si>
    <t>Peer Max</t>
  </si>
  <si>
    <t>Peer Min</t>
  </si>
  <si>
    <t>Target Ranking</t>
  </si>
  <si>
    <t xml:space="preserve">Metric Leader </t>
  </si>
  <si>
    <t>Peer Group Size</t>
  </si>
  <si>
    <t>Standar Dev</t>
  </si>
  <si>
    <t>Best</t>
  </si>
  <si>
    <t>Worst</t>
  </si>
  <si>
    <t>% Best is Better Than Target</t>
  </si>
  <si>
    <t>% Worst is Worse Than Target</t>
  </si>
  <si>
    <t>(Average - Target) / Target</t>
  </si>
  <si>
    <t>EBITDA Margin</t>
  </si>
  <si>
    <t>SG&amp;A Margin</t>
  </si>
  <si>
    <t>R&amp;D Margin</t>
  </si>
  <si>
    <t>Cash Conversion Cycle</t>
  </si>
  <si>
    <t>CFOP / Revenue</t>
  </si>
  <si>
    <t>Net Income Margin</t>
  </si>
  <si>
    <t>Share Value Analysis</t>
  </si>
  <si>
    <t>beta</t>
  </si>
  <si>
    <t>Glossary and And Analysis Guide</t>
  </si>
  <si>
    <t>How to Use</t>
  </si>
  <si>
    <t>Calculation</t>
  </si>
  <si>
    <t>Parameter</t>
  </si>
  <si>
    <t>EBIT Margin</t>
  </si>
  <si>
    <t>Definition</t>
  </si>
  <si>
    <t>Total Asset Turnover Ratio</t>
  </si>
  <si>
    <t>Leverage Ratio</t>
  </si>
  <si>
    <t>Return on Equity</t>
  </si>
  <si>
    <t>Return on Capital</t>
  </si>
  <si>
    <t>Return on Capital Employed</t>
  </si>
  <si>
    <t>Profit Ratio</t>
  </si>
  <si>
    <t>DuPont Model</t>
  </si>
  <si>
    <t>Weighted Average Cost of Capital (WACC)</t>
  </si>
  <si>
    <t>Net Income (also “bottom line”, “net profit”, “net earnings”) reflects the total gain or loss for a company when considering all revenues and gains, and all expenses and losses.</t>
  </si>
  <si>
    <t>Total dollar value of inventory expressed in terms of the number of days of sales it would require to sell the entire balance of inventory.</t>
  </si>
  <si>
    <t>Cash Conversion Cycle represents the number of days it takes for a company to convert cash spent on product cost (raw material, mfg costs, etc.) back into cash as the result of a sale and the collection of the associated AR.</t>
  </si>
  <si>
    <t>Working capital represents the liquidity available to a business and is the sum of all “current assets” minus all “current liabilities.”  In addition to cash and short-term investments, the major components or working capital are Inventory, Accounts Receivable and Accounts Payable. Current Assets are sometimes referred to as Gross Working Capital and Current Assets minus Current Liabilities are sometimes referred to as Net Working Capital.</t>
  </si>
  <si>
    <t>The ratio of total revenue to total assets.  The capacity of a company’s assets to generate revenue.</t>
  </si>
  <si>
    <t xml:space="preserve">The ratio of Total Assets to Total Equity.  </t>
  </si>
  <si>
    <t>The ratio of total earnings to total revenue.</t>
  </si>
  <si>
    <t>A structured equation to calculate return on equity.</t>
  </si>
  <si>
    <t>Capacity to generate returns on the equity invested in a company.</t>
  </si>
  <si>
    <t>Asset Turnover = Total Revenue / Total Assets</t>
  </si>
  <si>
    <t>Leverage = Total Assets / Total Equity</t>
  </si>
  <si>
    <t>Profit Ratio = Total Earnings / Total Sales</t>
  </si>
  <si>
    <t>Return on Equity = Net Profit / Total Shareholder Equity</t>
  </si>
  <si>
    <t> Return on Capital = Net Profit / [Book Value of Equity + Book Value of Debt – Cash – ST Investments]</t>
  </si>
  <si>
    <t> WACC = [Cost of Equity x (Market Value of Equity / Total Capital) + Cost of Debt x (Market Value of Debt / Total Capital)] / 2</t>
  </si>
  <si>
    <t>EBTIDA provides a gauge of current operational profitability, i.e., how much profit it makes with its present assets and its operations on the products it produces and sells.  EBITDA provides a better measure of cash generated from operations but is NOT a substitute for Cash Flow from Operations [see CFFO definition]. Adding back depreciation and amortization removes non-cash items from the performance measure.  
Adding back interest expense removes the impact of financing decisions (debt vs. equity).  Adding back taxes removes the impact of tax policy and tax jurisdiction.</t>
  </si>
  <si>
    <t>SG&amp;A reflects indirect costs associated with a company’s operations and are assumed NOT to vary directly with revenue.  In some cases companies focus on general and administrative costs [“G&amp;A”] based on the assumption that selling costs vary directly with revenue. 
SG&amp;A costs include various functional groups such as finance, R&amp;D, IT, HR and other administrative areas.</t>
  </si>
  <si>
    <t>Total Asset Turnover ratio reflects the productivity of a company’s assets in terms of generating revenue.  The metric is a ratio of revenue to assets.  
Asset turnover is one components of the “Dupont Model” which is used to deconstruct the levers associated with Return on Equity.</t>
  </si>
  <si>
    <t>Total leverage reflects the capacity of a company’s equity to support assets. If a firm uses debt as part of its total capital financing, the leverage ratio will be greater than 1.0x
Leverage is one components of the “Dupont Model” which is used to deconstruct the levers associated with Return on Equity.</t>
  </si>
  <si>
    <t xml:space="preserve">Cost of Debt reflects the return that debt holders demand in order to provide debt financing to a company.  At debt issuance, the cost of debt is usually the interest rate (or coupon rate) associated with a debt instrument.  This holds true provided the debt trades at par or face value.
If the issued debt instruments (bonds) trade below face value, then the companies cost of debt has gone up.  If the company’s debt instruments trade at a premium to face value then the cost of debt has gone down. </t>
  </si>
  <si>
    <t>WACC represents the “hurdle rate” or minimum rate of return on capital that investors expect.  Finance theory argues that if the return on capital is below the WACC then the firm is destroying value.  When a firm destroys value, the value of equity (stock price x total shares outstanding) and perhaps the market value of debt will drop until the WACC matches the return on capital.
WACC provides a risk-adjusted way to assess the performance of a company in terms of the value delivered to shareholders.</t>
  </si>
  <si>
    <t>Net Income Margin = 
Net Income / Total Revenue</t>
  </si>
  <si>
    <t xml:space="preserve">EBIT Margin =
EBIT / Total Revenue </t>
  </si>
  <si>
    <t>EBITDA =
+ Net Income
+ Interest Expenses
+ Taxes paid
+ Depreciation expense
+ Amortization expense</t>
  </si>
  <si>
    <t>EBITDA Margin =
EBITDA / Total Revenue</t>
  </si>
  <si>
    <t>SG&amp;A Margin=
SG&amp;A / Total Revenue</t>
  </si>
  <si>
    <t>Working Capital =
+ Current Assets
- Current Liabilities</t>
  </si>
  <si>
    <t>DuPont Model = Return on Equity.
ROE = Leverage x Asset Turns x Profit Margin
ROE = [Assets / Equity] x [Revenue / Assets] x [Profit / Revenue]</t>
  </si>
  <si>
    <t xml:space="preserve"> Net Income =
+ Total Revenue
+ Total Gains
-  Product Cost
- Operating expenses
- Total Losses</t>
  </si>
  <si>
    <t>EBIT =
+ Net Income
+ Interest Expenses
+ Taxes Paid</t>
  </si>
  <si>
    <t>SG&amp;A =
+ Sales Costs
+ General and Admin Costs</t>
  </si>
  <si>
    <t xml:space="preserve">Days Inventory Outstanding [“DIO”] provides a measure of how well a company plans and manages its inventory to support sales and its delivery service commitments to customers.  Inventory is a component of working capital. 
Total DIO is often broken into three discrete categories of inventory:  raw material, work in process [“WIP”] inventory, and finished goods inventory.  The “appropriate” level of inventory for each of these categories varies based on lead times, cycle times and required service levels.  However, when DIO is calculated it is usually based on TOTAL inventory.
In “lean” terms, inventory is “waste” as it adds no value to the product or the customer.  However, companies invest working capital in inventory for two reasons:  1) lead-times are greater than zero; and 2) forecasts are not perfect.  Inventory held to manage lead times is sometimes referred to as “cycle stock”; inventory held to manage demand uncertainty is sometimes referred to as “buffer stock.”
Companies with a very high level of DIO (&gt;90 days) may have very long lead times, very volatile demand, and / or customers that demand very short delivery cycles.
Some companies have little or no inventory because they force their suppliers and manufacturing partner to “own” raw material, WIP and FG stock until it is sold the company’s customer.  While this results in close to $0 of inventory on the balance sheet, there is a cost for this service from the suppliers and manufacturer.  That cost ends up in COGS.                                                                                                              Another case where a company could have low/no inventory is in the case of software, where a company holds no physical inventory.  </t>
  </si>
  <si>
    <t>Days Payables Outstanding is a measure of how effectively a company is managing its payment terms to suppliers.  Accounts Payable is a component of working capital.
In general, a high value for DPO is good because payables are essentially an interest free loan from suppliers and can be used to fund AR and inventory.  However, high DPO may indicate that the company has cash flow problems; that the company is incurring late fees; and / or that the company is not taking advantage of early payment discounts.</t>
  </si>
  <si>
    <t>Cash Conversion Cycle is a “net” measure of the working capital requirements for a company to expand sales.  Based on the logic that “you have to make some to sell something, and that you have buy something to make something” CCC measures how long a company has to “use cash” to fund purchases, manufacturing and AR.                                                                                                                                                                       Inventory (balance sheet item that represents an investment in supplies and manufacturing costs) and Accounts Receivable (balance sheet item that represents a loan to customers in lieu of cash) both require working capital or cash.  If inventory and AR go up, all other things being equal, then CCC goes up.
Accounts payable (balance sheet item that represents a loan from suppliers in lieu of giving them cash) reduces the cash requirements for a company.  If AP goes up, all other things being equal, then CCC goes down.
In general, companies want a low CCC which they achieve by minimizing investments in inventory and AR and by maximizing AP.</t>
  </si>
  <si>
    <t>Working capital represents the investment a company must make in operations beyond long term assets such as property, plant and equipment, and intangible assets such as goodwill.
In General, Working Capital requirements will increase as a company grows as increased revenues will mandate increases in Inventory and AR.
However, operating improvements in inventory management and collections can reduce net working capital requirements and increase overall cash flow.</t>
  </si>
  <si>
    <t>Cash Flow from Operations represents the net generation, or consumption, of cash over a given time period.  
CFFO is generally operating income +/- adjustments for changes in working capital (Inventory, AR, AP) and adjustments for non-cash expenses (depreciation or amortization of assets).</t>
  </si>
  <si>
    <t>Also known as profit margin, Profit Ratio reflects the capacity of a company to generate profits from a dollar of revenue.
Profit Ratio is one component of the “Dupont Model” which is used to deconstruct the levers associated with Return on Equity.</t>
  </si>
  <si>
    <t>Capacity to generate returns on the total capital [Equity + Debt] invested in a company.</t>
  </si>
  <si>
    <t>Capital represents one of the “scarce resources” for a company.  ROC (also return on capital employed) reflects the company’s ability to generate profits from the capital that shareholders and debt holders have invested in the company. If a company generates an ROC below “expected” returns then shareholders will be disappointed and the stock price may decline and / or the company’s debt may trade at a discount to PAR value.  ROC uses the depreciated of “net book value” of assets to calculate equity and debt values.  Cash and short term investments are excluded from capital.</t>
  </si>
  <si>
    <t>While the cost of debt is an explicit value (interest on debt as % of debt value) cost of equity must be estimated.  One method for estimating the cost of equity is the Capital Asset Pricing Model [“CAPM”]
CAPM, developed by Jack Treynor, William Sharpe, John Litner, and Jan Mossin, was based on theoretical work completed by Nobel laureates Merton Miller and Harry Markowitz.
CAPM suggests that the expected rate of return for equity is a function of the risk free rate of return [Rf], the overall market rate of return [Rm] and the Beta or the volatility of a company’s stock []
The short-term US treasury debt rate of return is often used as a proxy for the risk-free rate or return.
The overall market rate of return is the return investors would expect when investing in the total market.
Beta reflects the volatility of a stock or how a given stock will go up or go down when the overall market goes up or down.</t>
  </si>
  <si>
    <t>The cost of debt is the return (often expressed as a rate of return) a firm pays to its debt investors, to compensate for the risk they undertake by investing their capital.</t>
  </si>
  <si>
    <t>The cost of equity is the return (often expressed as a rate of return) a firm theoretically pays to its equity investors, i.e., shareholders, to compensate for the risk they undertake by investing their capital.</t>
  </si>
  <si>
    <t>Used to compare SG&amp;A across companies and/or time periods, adjusting for different revenue levels.</t>
  </si>
  <si>
    <t>Used to compare Net Income across companies and/or time periods, adjusting for different revenue levels.</t>
  </si>
  <si>
    <t>Net income provides a broad measure of the value creation of a company.  While comparing Net Income for a single company over multiple quarters or years can highlight general trends, net income is more frequently used in a ratio such as net income per employee or net income as a % of revenue (See Net Income Margin).</t>
  </si>
  <si>
    <t>Used to compare EBITDA across companies and/or time periods, adjusting for different revenue levels.</t>
  </si>
  <si>
    <t>Used to compare EBIT across companies and/or time periods, adjusting for different revenue levels.</t>
  </si>
  <si>
    <t>Cash flow from operations represents a company’s ability to generate, or need to consume, cash.  Since many investors value companies based on the present value of future cash flows, cash generation can be very important.  Additionally, a company that consistently consumes cash will require repeated external funding either in the form of bank debt, corporate debt or some form of equity issuance.
Cash flow can be increased by lowering a company’s working capital requirements (Inventory, AR and AP).
Cash from Operations is reported in a company’s cash flow statements.</t>
  </si>
  <si>
    <t>Equity represents one of the “scarce resources” for a company.  ROE reflects the company’s ability to generate profits from the equity that shareholders have invested in the company. If a company generates an ROE below “expected” returns then shareholders will be disappointed and the stock price may decline.</t>
  </si>
  <si>
    <t>Net Income represented as a % of Total Revenue.</t>
  </si>
  <si>
    <t>Sales, General and Administrative expenses [also “operating expense” or “overhead”] represent the major non-production related costs for a company.  SG&amp;A is a standard item reported on income statements.</t>
  </si>
  <si>
    <t>SG&amp;A represented as a % of Total Revenue.</t>
  </si>
  <si>
    <t>EBITDA represented as a % of Total Revenue.</t>
  </si>
  <si>
    <t>EBIT represented as a % of Total Revenue.</t>
  </si>
  <si>
    <t>Total dollar value of accounts receivable expressed in terms of the number of days of sales  it requires to generate that revenue.</t>
  </si>
  <si>
    <t>Total dollar value of accounts payables expressed in terms of the number of days or purchases required to reach that balance.</t>
  </si>
  <si>
    <t>The weighted average of the cost of debt and the cost of equity.</t>
  </si>
  <si>
    <t>The “DuPont Model”, made famous by financial analysts at DuPont. The modeldetails the three operational metrics that control return on equity:  Asset Turnover, Leverage and Profit.</t>
  </si>
  <si>
    <t xml:space="preserve">“Capital Employed” as shown in the denominator is the sum of shareholders' equity and debt liabilities; it can be simplified as (Total Assets – Current Liabilities).  A higher ROCE indicates more efficient use of capital. ROCE should be higher than the company’s capital cost; otherwise it indicates that the company is not employing its capital effectively and is not generating shareholder value.
</t>
  </si>
  <si>
    <t>Ratio of Net Income to "Capital Employed" (difference between Total Assets and Current Liabilities)</t>
  </si>
  <si>
    <t>Difference between the Return On Equity and the Cost of Equity (in %).</t>
  </si>
  <si>
    <t xml:space="preserve">Any expenses associated with the research and development of a company's goods or services. 
</t>
  </si>
  <si>
    <t xml:space="preserve">R&amp;D expenses are a type of operating expense that can be deducted as such on the business tax return. This type of expense is incurred in the process of finding and creating new products or services.  R&amp;D expenses are usually the highest for industrial, technological, healthcare and pharmaceutical firms. Some companies reinvest a significant portion of their profits back into R&amp;D, as they see this as an investment in their continued growth.  R&amp;D expenses can be evaluated by comparing its margin to those of a firm's peers.
</t>
  </si>
  <si>
    <t>No calculation.  This is typically stated by the firm in its sec filings.</t>
  </si>
  <si>
    <t>R&amp;D represented as a % of Total Revenue.</t>
  </si>
  <si>
    <t>Used to compare R&amp;D across companies and/or time periods, adjusting for different revenue levels.</t>
  </si>
  <si>
    <t>ROCE = Net Income / (Total Assets - Current Liabilities)</t>
  </si>
  <si>
    <t>Cash Conversion Cycle = DIO + DSO - DPO</t>
  </si>
  <si>
    <t>CFFO = EBIT + Depreciation  - Taxes</t>
  </si>
  <si>
    <t xml:space="preserve">Cost of Debt = Interest Expense / Market Value of Debt
</t>
  </si>
  <si>
    <t>R&amp;D Margin= R&amp;D / Total Revenue</t>
  </si>
  <si>
    <t>CFOP Margin</t>
  </si>
  <si>
    <t>Cash Flow From Operations represented as a % of Total Revenue.</t>
  </si>
  <si>
    <t>Used to compare Cash Flow From Operations across companies and/or time periods, adjusting for different revenue levels.</t>
  </si>
  <si>
    <t>CFOP Margin = Cash Flow From Operations / Total Revenue</t>
  </si>
  <si>
    <t>Effective Tax Rate</t>
  </si>
  <si>
    <t>Start Date For Analysis?</t>
  </si>
  <si>
    <t>Year</t>
  </si>
  <si>
    <t>Period</t>
  </si>
  <si>
    <t>Yes</t>
  </si>
  <si>
    <t>Include Values &lt; or equal to 0?</t>
  </si>
  <si>
    <t xml:space="preserve">Entering "No" prevents missing data from being used in </t>
  </si>
  <si>
    <t>peer average, best, and worst calculations</t>
  </si>
  <si>
    <t>and in the graphs below</t>
  </si>
  <si>
    <t>Target Comparison Against Peers (All Data Based on Last Twelve Months)</t>
  </si>
  <si>
    <t>ROCE</t>
  </si>
  <si>
    <t>Days Inv. Outstanding =
Average Inventory / average COGS per day
For Annual Results
DIO = Avg.  Inv. / (Annual COGS / 365); or
DIO = 365 x Avg Inv. / Annual COGS 
For Quarterly Results
DIO = Avg. Inv / (Quarterly COGS / 90); or
DIO = 90 x Avg. Inv. / Quarterly COGS
Note:  Cost of Goods Sold [“COGS”] is used in the calculation for DIO, NOT revenue.  This is because when Inventory is on the balance sheet, it is valued at the cost of that inventory, not at the potential value of the revenue associated with that inventory.</t>
  </si>
  <si>
    <t>Days Payables Outstanding =
Average Accounts Payable / average COGS per day
For Annual Results
DPO = Avg.  AP / (Annual COGS / 365]; or
DPO = 365 x Avg AP / Annual COGS 
For Quarterly Results
DPO = Avg. AP / (Quarterly COGS / 90); or
DPO = 90 x Avg. AP / Quarterly COGS</t>
  </si>
  <si>
    <t>Days Sales Outstanding =
Average Account Receivable / Average Sales per Day
For Annual Results
DSO = Avg. AR / (Annual Sales / 365); or
DSO = 365 x Avg. AR / Annual Sales 
For Quarterly Results
DSO = Avg. AR / (Quarterly Sales / 90); or
DSO = 90 x Avg. AR / Quarterly Sales</t>
  </si>
  <si>
    <t>ROA</t>
  </si>
  <si>
    <t>COGS Margin</t>
  </si>
  <si>
    <t>Include Negative or Zero Values?</t>
  </si>
  <si>
    <t>CFOP / Current Liabilities</t>
  </si>
  <si>
    <t>Stock Price % Change</t>
  </si>
  <si>
    <t>Rev Growth %</t>
  </si>
  <si>
    <t>GM %</t>
  </si>
  <si>
    <t>Net Profit Margin</t>
  </si>
  <si>
    <t>Cash Conversion Cycle (Days)</t>
  </si>
  <si>
    <t>Altman Z</t>
  </si>
  <si>
    <t>DSO (Days)</t>
  </si>
  <si>
    <t>DIO (Days)</t>
  </si>
  <si>
    <t>DPO (Days)</t>
  </si>
  <si>
    <t>Income and Expenses</t>
  </si>
  <si>
    <t>Interest Income</t>
  </si>
  <si>
    <t>Non-Interest Income</t>
  </si>
  <si>
    <t xml:space="preserve">Total Income </t>
  </si>
  <si>
    <t>Interest Expense</t>
  </si>
  <si>
    <t>Provision for Losses</t>
  </si>
  <si>
    <t>Cost of Sales</t>
  </si>
  <si>
    <t>Income</t>
  </si>
  <si>
    <t>IQ_INT_INC_TOTAL</t>
  </si>
  <si>
    <t>IQ_NON_INT_INC</t>
  </si>
  <si>
    <t>Interest Exp</t>
  </si>
  <si>
    <t>IQ_INT_EXP_TOTAL</t>
  </si>
  <si>
    <t>Loss Provision</t>
  </si>
  <si>
    <t>IQ_LL</t>
  </si>
  <si>
    <t>IQ_NON_INT_EXP</t>
  </si>
  <si>
    <t>Total Expenses</t>
  </si>
  <si>
    <t>Profit</t>
  </si>
  <si>
    <t>Investments</t>
  </si>
  <si>
    <t>IQ_TOTAL_INVEST</t>
  </si>
  <si>
    <t>Net Loans</t>
  </si>
  <si>
    <t>IQ_NET_LOANS</t>
  </si>
  <si>
    <t>Industry Specific Metrics</t>
  </si>
  <si>
    <t>Return on Assets</t>
  </si>
  <si>
    <t>Deposits</t>
  </si>
  <si>
    <t>IQ_TOTAL_DEPOSITS</t>
  </si>
  <si>
    <t>Net Interest Income</t>
  </si>
  <si>
    <t>Gross Loans</t>
  </si>
  <si>
    <t>Net Interest Income Margin (NIM)</t>
  </si>
  <si>
    <t>Tier 1 Capital Ratio %</t>
  </si>
  <si>
    <t>Tier 2 Capital Ratio %</t>
  </si>
  <si>
    <t>Total Capital Ratio %</t>
  </si>
  <si>
    <t>Total Loans</t>
  </si>
  <si>
    <t>Non Performing Loans</t>
  </si>
  <si>
    <t>Non Performing Assets</t>
  </si>
  <si>
    <t>Loan portfolio as % total assets</t>
  </si>
  <si>
    <t>%Non Performing Loans</t>
  </si>
  <si>
    <t>Non Performing Assets / Assets</t>
  </si>
  <si>
    <t>Commercial Loans</t>
  </si>
  <si>
    <t>Commercial Mortgage Loans</t>
  </si>
  <si>
    <t>Residential Mortgage Loans</t>
  </si>
  <si>
    <t>Consumer Loans</t>
  </si>
  <si>
    <t>Construction Loans</t>
  </si>
  <si>
    <t>Total Income</t>
  </si>
  <si>
    <t>Net Interest Income Margin</t>
  </si>
  <si>
    <t>EBT Margin</t>
  </si>
  <si>
    <t>Tier 1 Capital Ratio</t>
  </si>
  <si>
    <t>Total Capital Ratio</t>
  </si>
  <si>
    <t>Loans / Assets</t>
  </si>
  <si>
    <t>% OF LOANS NON PERFORMING</t>
  </si>
  <si>
    <t>% OF ASSETS NON PERFORMING</t>
  </si>
  <si>
    <t>Return On Assets</t>
  </si>
  <si>
    <t>ROE</t>
  </si>
  <si>
    <t>Rev Growth</t>
  </si>
  <si>
    <t>Net Interest Income Margin%</t>
  </si>
  <si>
    <t>Tier 1 Ratio</t>
  </si>
  <si>
    <t>Loans as % Assets</t>
  </si>
  <si>
    <t>Altman Z
(LTM)</t>
  </si>
  <si>
    <t>Industry =</t>
  </si>
  <si>
    <t>Chart 1</t>
  </si>
  <si>
    <t>GraphIndustryGM</t>
  </si>
  <si>
    <t>GraphIndustryEBITDA</t>
  </si>
  <si>
    <t>GraphIndustryNI</t>
  </si>
  <si>
    <t>GraphIndustryRD</t>
  </si>
  <si>
    <t>GraphIndustrySGA</t>
  </si>
  <si>
    <t>GraphIndustryDSO</t>
  </si>
  <si>
    <t>GraphIndustryDIO</t>
  </si>
  <si>
    <t>GraphIndustryDPO</t>
  </si>
  <si>
    <t>GraphIndustryCCC</t>
  </si>
  <si>
    <t>GraphIndustryCFOP</t>
  </si>
  <si>
    <t>GraphIndustryTAT</t>
  </si>
  <si>
    <t>GraphIndustryLeverage</t>
  </si>
  <si>
    <t>GraphIndustryROE</t>
  </si>
  <si>
    <t>GraphIndustryEBIT</t>
  </si>
  <si>
    <t>GraphIndustryOpEx</t>
  </si>
  <si>
    <t>GraphIndustryCOGS</t>
  </si>
  <si>
    <t>GraphIndustryROC</t>
  </si>
  <si>
    <t>GraphIndustryROA</t>
  </si>
  <si>
    <t>GraphIndustryCFOPLIAB</t>
  </si>
  <si>
    <t>GraphIndustryTax</t>
  </si>
  <si>
    <t>GraphIndustryRevenuePerEmployee</t>
  </si>
  <si>
    <t>GraphIndustryOpExPerEmployee</t>
  </si>
  <si>
    <t>GraphIndustryRDPerEmployee</t>
  </si>
  <si>
    <t>GraphIndustrySGAPerEmployee</t>
  </si>
  <si>
    <t>NF Peer Comparison Analysis</t>
  </si>
  <si>
    <t>NF Historical Trend Analysis</t>
  </si>
  <si>
    <t>GraphRevenueVsExpensesGrowth</t>
  </si>
  <si>
    <t>GraphProfitMargins</t>
  </si>
  <si>
    <t>GraphExpenseMargins</t>
  </si>
  <si>
    <t>GraphExpenseGrowth</t>
  </si>
  <si>
    <t>GraphAssetTurnover</t>
  </si>
  <si>
    <t>GraphWorkingCapital</t>
  </si>
  <si>
    <t>GraphCashFlow</t>
  </si>
  <si>
    <t>GraphExpenseSummary</t>
  </si>
  <si>
    <t>GraphExpenseDistributionSummary</t>
  </si>
  <si>
    <t>GraphRevenueVsExpenses</t>
  </si>
  <si>
    <t>GraphIncomeVsExpensesGrowth</t>
  </si>
  <si>
    <t>GraphIncomeVsExpenses</t>
  </si>
  <si>
    <t>GraphIncomeComponents</t>
  </si>
  <si>
    <t>GraphIncomeComponentsGrowth</t>
  </si>
  <si>
    <t>GraphCostOfSalesComponents</t>
  </si>
  <si>
    <t>GraphCostOfSalesComponentsGrowth</t>
  </si>
  <si>
    <t>GraphExpenseComponents</t>
  </si>
  <si>
    <t>GraphOperatingExpenseComponents</t>
  </si>
  <si>
    <t>GraphOperatingExpenseComponentsGrowth</t>
  </si>
  <si>
    <t>GraphProfitMarginsGrowth</t>
  </si>
  <si>
    <t>GraphROAROEROCE</t>
  </si>
  <si>
    <t>GraphROAROEROCEGrowth</t>
  </si>
  <si>
    <t>GraphExpenseComponentsGrowth</t>
  </si>
  <si>
    <t>GraphCapitalRatio</t>
  </si>
  <si>
    <t>GraphCapitalRatioGrowth</t>
  </si>
  <si>
    <t>GraphNonPerformingLoansAssets</t>
  </si>
  <si>
    <t>GraphNonPerformingLoansAssetsGrowth</t>
  </si>
  <si>
    <t>GraphLoanComposition</t>
  </si>
  <si>
    <t>GraphLoanCompositionGrowth</t>
  </si>
  <si>
    <t>GraphLoans</t>
  </si>
  <si>
    <t>GraphLoansGrowth</t>
  </si>
  <si>
    <t>GraphNIM</t>
  </si>
  <si>
    <t>GraphNIMGrowth</t>
  </si>
  <si>
    <t>FS Historical Trend Analysis</t>
  </si>
  <si>
    <t>FS Peer Comparison Analysis</t>
  </si>
  <si>
    <t>GraphIndustryNIM</t>
  </si>
  <si>
    <t>GraphIndustryEBT</t>
  </si>
  <si>
    <t>GraphIndustryTierOne</t>
  </si>
  <si>
    <t>GraphIndustryTotalCapitalRatio</t>
  </si>
  <si>
    <t>GraphIndustryNonPerformingLoans</t>
  </si>
  <si>
    <t>GraphIndustryNonPerformingAssets</t>
  </si>
  <si>
    <t>GraphIndustryLoanPercent</t>
  </si>
  <si>
    <t>GraphIndustryROCE</t>
  </si>
  <si>
    <t>Number of Periods</t>
  </si>
  <si>
    <t>End Period</t>
  </si>
  <si>
    <t>Start Period</t>
  </si>
  <si>
    <t>End Period calender month</t>
  </si>
  <si>
    <t>End Period calender quarter</t>
  </si>
  <si>
    <t>End Period calender year</t>
  </si>
  <si>
    <t>Start Period calender month</t>
  </si>
  <si>
    <t>Start Period calender quarter</t>
  </si>
  <si>
    <t>Start Period calender year</t>
  </si>
  <si>
    <t>Quarter Calculation</t>
  </si>
  <si>
    <t>Annual Calculation</t>
  </si>
  <si>
    <t>Financial Decomposition</t>
  </si>
  <si>
    <t>Financial Data</t>
  </si>
  <si>
    <t>Cumulative Growth</t>
  </si>
  <si>
    <t>CIQ Period</t>
  </si>
  <si>
    <t>A/R</t>
  </si>
  <si>
    <t>A/P</t>
  </si>
  <si>
    <t>Other Currrent Liab.</t>
  </si>
  <si>
    <t xml:space="preserve">Total Current Liab. </t>
  </si>
  <si>
    <t>Capital Employed</t>
  </si>
  <si>
    <t>X</t>
  </si>
  <si>
    <t>Peers</t>
  </si>
  <si>
    <t>Ticker Symbol</t>
  </si>
  <si>
    <t>Time Period Type</t>
  </si>
  <si>
    <t>Industry</t>
  </si>
  <si>
    <t>Total Peers</t>
  </si>
  <si>
    <t>Currency</t>
  </si>
  <si>
    <t>Company Ticker</t>
  </si>
  <si>
    <t>Filing Type</t>
  </si>
  <si>
    <t>Conversion</t>
  </si>
  <si>
    <t>L</t>
  </si>
  <si>
    <t>H</t>
  </si>
  <si>
    <t>IQ_TOTAL_REVENUE</t>
  </si>
  <si>
    <t>IQ_GROSS_PROFIT</t>
  </si>
  <si>
    <t>IQ_OTHER_OPER</t>
  </si>
  <si>
    <t>IQ_NET_INTEREST_EXP</t>
  </si>
  <si>
    <t>IQ_INC_TAX</t>
  </si>
  <si>
    <t>IQ_EBITDA</t>
  </si>
  <si>
    <t>IQ_EBIT</t>
  </si>
  <si>
    <t>IQ_EBT</t>
  </si>
  <si>
    <t>IQ_ASSET_TURNS</t>
  </si>
  <si>
    <t>IQ_FIXED_ASSET_TURNS</t>
  </si>
  <si>
    <t>IQ_INVENTORY_TURNS</t>
  </si>
  <si>
    <t>IQ_AR_TURNS</t>
  </si>
  <si>
    <t>IQ_Days_Sales_Out</t>
  </si>
  <si>
    <t>IQ_Days_Inventory_Out</t>
  </si>
  <si>
    <t>IQ_Days_Payable_Out</t>
  </si>
  <si>
    <t>IQ_AR</t>
  </si>
  <si>
    <t>IQ_AP</t>
  </si>
  <si>
    <t>IQ_CASH_OPER</t>
  </si>
  <si>
    <t>IQ_RETURN_ASSETS</t>
  </si>
  <si>
    <t>IQ_RETURN_EQUITY</t>
  </si>
  <si>
    <t>IQ_NET_INT_INC_BNK</t>
  </si>
  <si>
    <t>IQ_GROSS_LOANS</t>
  </si>
  <si>
    <t>IQ_TIER_ONE_RATIO</t>
  </si>
  <si>
    <t>IQ_TOTAL_CAPITAL_RATIO</t>
  </si>
  <si>
    <t>IQ_NON_PERFORMING_LOANS</t>
  </si>
  <si>
    <t>IQ_COMMERCIAL_LOANS</t>
  </si>
  <si>
    <t>IQ_COMMERCIAL_MORT_LOANS</t>
  </si>
  <si>
    <t>IQ_RESIDENTIAL_MORT_LOANS</t>
  </si>
  <si>
    <t>IQ_CONSUMER_LOANS</t>
  </si>
  <si>
    <t>IQ_CONSTRUCTION_LOANS</t>
  </si>
  <si>
    <t>IQ_LASTSALEPRICE</t>
  </si>
  <si>
    <t>Type</t>
  </si>
  <si>
    <t>Relative Period</t>
  </si>
  <si>
    <t>IQ_LTM</t>
  </si>
  <si>
    <t>Prior period</t>
  </si>
  <si>
    <t>Filling type</t>
  </si>
  <si>
    <t>CIQ Neumonics</t>
  </si>
  <si>
    <t>Note: All numbers in USD mn</t>
  </si>
  <si>
    <t>Peer Data</t>
  </si>
  <si>
    <t>Financial Analysis</t>
  </si>
  <si>
    <t>Peer Analysis</t>
  </si>
  <si>
    <t>Summary</t>
  </si>
  <si>
    <t>Most Recent Trading Day</t>
  </si>
  <si>
    <t>Start Date</t>
  </si>
  <si>
    <t>Update Analysis</t>
  </si>
  <si>
    <t>Step 1</t>
  </si>
  <si>
    <t>CIQ Ticker</t>
  </si>
  <si>
    <t>Inputs for Peer Benchmark Analysis</t>
  </si>
  <si>
    <t>Gross Margin</t>
  </si>
  <si>
    <t>OpEx Margin</t>
  </si>
  <si>
    <t>DSO</t>
  </si>
  <si>
    <t>DIO</t>
  </si>
  <si>
    <t>DPO</t>
  </si>
  <si>
    <t>CCC</t>
  </si>
  <si>
    <t>CFOP/Revenue</t>
  </si>
  <si>
    <t>Asset Turnover</t>
  </si>
  <si>
    <t>Net Income Margin (LTM)</t>
  </si>
  <si>
    <t>CFOP to Current Liabilities</t>
  </si>
  <si>
    <t>Revenue per Employee</t>
  </si>
  <si>
    <t>OpEx per Employee</t>
  </si>
  <si>
    <t>SG&amp;A per Employee</t>
  </si>
  <si>
    <t>R&amp;D per Employee</t>
  </si>
  <si>
    <t>Do Not Delete this sheet. This is used for exporting function.</t>
  </si>
  <si>
    <t>Slide #</t>
  </si>
  <si>
    <t>Export</t>
  </si>
  <si>
    <t>Source</t>
  </si>
  <si>
    <t>Worksheet Name/ Slide Num</t>
  </si>
  <si>
    <t>Object</t>
  </si>
  <si>
    <t>Left</t>
  </si>
  <si>
    <t>Top</t>
  </si>
  <si>
    <t>Width</t>
  </si>
  <si>
    <t>Height</t>
  </si>
  <si>
    <t>Slide 1</t>
  </si>
  <si>
    <t>PPT</t>
  </si>
  <si>
    <t>Excel</t>
  </si>
  <si>
    <t>Range</t>
  </si>
  <si>
    <t>SlideSource</t>
  </si>
  <si>
    <t>Historical Analysis</t>
  </si>
  <si>
    <t>Picture</t>
  </si>
  <si>
    <t>Exit</t>
  </si>
  <si>
    <t xml:space="preserve">Share Price Growth Compared to Industry
</t>
  </si>
  <si>
    <t>GraphShareValue</t>
  </si>
  <si>
    <t>Step 2</t>
  </si>
  <si>
    <t>TextROCEChange</t>
  </si>
  <si>
    <t>TextNetIncome</t>
  </si>
  <si>
    <t>TextCapitalEmployed</t>
  </si>
  <si>
    <t>TextGrossProfit</t>
  </si>
  <si>
    <t>TextOpEx</t>
  </si>
  <si>
    <t>TextTaxesAndOther</t>
  </si>
  <si>
    <t>TextTotalAssets</t>
  </si>
  <si>
    <t>TextTotalCurrentLiabilities</t>
  </si>
  <si>
    <t>TextRevenue</t>
  </si>
  <si>
    <t>TextCOGS</t>
  </si>
  <si>
    <t>TextSGA</t>
  </si>
  <si>
    <t>TextRD</t>
  </si>
  <si>
    <t>TextOtherOpEx</t>
  </si>
  <si>
    <t>TextAR</t>
  </si>
  <si>
    <t>TextInventory</t>
  </si>
  <si>
    <t>TextNetPPE</t>
  </si>
  <si>
    <t>TextOtherAssets</t>
  </si>
  <si>
    <t>TextAP</t>
  </si>
  <si>
    <t>TextOtherCurrentLiabilities</t>
  </si>
  <si>
    <t>Increase</t>
  </si>
  <si>
    <t>Decrease</t>
  </si>
  <si>
    <t xml:space="preserve">Green Color </t>
  </si>
  <si>
    <t>IQ_GP</t>
  </si>
  <si>
    <t>Short Name</t>
  </si>
  <si>
    <t>Cost proportion (%)</t>
  </si>
  <si>
    <t>Income and Expenses (%)</t>
  </si>
  <si>
    <t>Share Price</t>
  </si>
  <si>
    <t>Sector</t>
  </si>
  <si>
    <t>Country</t>
  </si>
  <si>
    <t>Do Not Delete this sheet. This is used in Program.</t>
  </si>
  <si>
    <r>
      <t>Cost of Debt (K</t>
    </r>
    <r>
      <rPr>
        <vertAlign val="subscript"/>
        <sz val="10"/>
        <color rgb="FF000000"/>
        <rFont val="Arial"/>
        <family val="2"/>
      </rPr>
      <t>D</t>
    </r>
    <r>
      <rPr>
        <sz val="10"/>
        <color rgb="FF000000"/>
        <rFont val="Arial"/>
        <family val="2"/>
      </rPr>
      <t>)</t>
    </r>
  </si>
  <si>
    <r>
      <t>Cost of Equity (K</t>
    </r>
    <r>
      <rPr>
        <vertAlign val="subscript"/>
        <sz val="10"/>
        <color rgb="FF000000"/>
        <rFont val="Arial"/>
        <family val="2"/>
      </rPr>
      <t>E</t>
    </r>
    <r>
      <rPr>
        <sz val="10"/>
        <color rgb="FF000000"/>
        <rFont val="Arial"/>
        <family val="2"/>
      </rPr>
      <t>)</t>
    </r>
  </si>
  <si>
    <r>
      <t>Cost of Equity = Expected Rate of Return =  Rf + bx (Rm – Rf)
Where,
R</t>
    </r>
    <r>
      <rPr>
        <vertAlign val="subscript"/>
        <sz val="10"/>
        <color theme="1"/>
        <rFont val="Arial"/>
        <family val="2"/>
      </rPr>
      <t>f</t>
    </r>
    <r>
      <rPr>
        <sz val="10"/>
        <color theme="1"/>
        <rFont val="Arial"/>
        <family val="2"/>
      </rPr>
      <t xml:space="preserve"> = Risk Free Rate of Return (typically a 5-year or 10-year US Treasury Bond Rate)
b</t>
    </r>
    <r>
      <rPr>
        <vertAlign val="subscript"/>
        <sz val="10"/>
        <color theme="1"/>
        <rFont val="Arial"/>
        <family val="2"/>
      </rPr>
      <t>x</t>
    </r>
    <r>
      <rPr>
        <sz val="10"/>
        <color theme="1"/>
        <rFont val="Arial"/>
        <family val="2"/>
      </rPr>
      <t xml:space="preserve"> = Market Sensitivty Factor for the Firm
R</t>
    </r>
    <r>
      <rPr>
        <vertAlign val="subscript"/>
        <sz val="10"/>
        <color theme="1"/>
        <rFont val="Arial"/>
        <family val="2"/>
      </rPr>
      <t>m</t>
    </r>
    <r>
      <rPr>
        <sz val="10"/>
        <color theme="1"/>
        <rFont val="Arial"/>
        <family val="2"/>
      </rPr>
      <t xml:space="preserve"> = Market Rate of Return (typically annual growth rate for S&amp;P500 or equivalent market index)
</t>
    </r>
  </si>
  <si>
    <r>
      <t xml:space="preserve">Days Sales Outstanding [“DSO”] provides a measure of how quickly a company collects cash related to its revenues.  When a sale is made [assuming it meets the company’s revenue recognition requirements (See Revenue Recognition)], the revenue becomes a balance sheet asset called “Accounts Receivable.’  It remains “A/R” until cash is collected from the buyer or the A/R is deemed uncollectable.
Since A/R represents an “interest free loan” from the selling entity to the buying entity, companies work to collect cash for A/R quickly.
A/R represents a component of Working Capital for a company [See Working Capital] and is usually looked at as a trend over time.  Monthly and even quarterly DSO may vary significantly.  Normal selling terms require payment in 30, 45 or 60 days and will result in DSO in the same range.
If DSO is getting longer, customers are taking longer to pay their bills, which may be a warning that customers are dissatisfied with the company's product or service, or that sales are being made to customers that are less credit-worthy, or that salespeople have to offer longer payment terms in order to generate sales. 
Average AR is used rather than the period-end balance in order to better reflect the true working capital requirements over period.  If a period-end balance is used, DSO will be </t>
    </r>
    <r>
      <rPr>
        <b/>
        <sz val="10"/>
        <color theme="1"/>
        <rFont val="Arial"/>
        <family val="2"/>
      </rPr>
      <t>OVERSTATED</t>
    </r>
    <r>
      <rPr>
        <sz val="10"/>
        <color theme="1"/>
        <rFont val="Arial"/>
        <family val="2"/>
      </rPr>
      <t xml:space="preserve"> for a fast growing company and</t>
    </r>
    <r>
      <rPr>
        <b/>
        <sz val="10"/>
        <color theme="1"/>
        <rFont val="Arial"/>
        <family val="2"/>
      </rPr>
      <t xml:space="preserve"> UNDERSTATED</t>
    </r>
    <r>
      <rPr>
        <sz val="10"/>
        <color theme="1"/>
        <rFont val="Arial"/>
        <family val="2"/>
      </rPr>
      <t xml:space="preserve"> for a company that is shrinking.  Average AR is usually calculated using the beginning and end value for each quarter of the period analyzed.  Therefore, for quarterly DSO calculations Avg. AR is a “two-point” average of the balance at the beginning and end of the quarter.  For annual DSO calculations, Avg. AR is a “five-point” average using beginning and the end value for the first quarter and the end value for the remaining three quarters.
Cash sales do not generate accounts receivable and thus represent zero days sales outstanding.</t>
    </r>
  </si>
  <si>
    <r>
      <t>E</t>
    </r>
    <r>
      <rPr>
        <sz val="10"/>
        <color rgb="FF000000"/>
        <rFont val="Arial"/>
        <family val="2"/>
      </rPr>
      <t xml:space="preserve">arnings </t>
    </r>
    <r>
      <rPr>
        <b/>
        <sz val="10"/>
        <color rgb="FF000000"/>
        <rFont val="Arial"/>
        <family val="2"/>
      </rPr>
      <t>B</t>
    </r>
    <r>
      <rPr>
        <sz val="10"/>
        <color rgb="FF000000"/>
        <rFont val="Arial"/>
        <family val="2"/>
      </rPr>
      <t xml:space="preserve">efore </t>
    </r>
    <r>
      <rPr>
        <b/>
        <sz val="10"/>
        <color rgb="FF000000"/>
        <rFont val="Arial"/>
        <family val="2"/>
      </rPr>
      <t>I</t>
    </r>
    <r>
      <rPr>
        <sz val="10"/>
        <color rgb="FF000000"/>
        <rFont val="Arial"/>
        <family val="2"/>
      </rPr>
      <t xml:space="preserve">nterest, and </t>
    </r>
    <r>
      <rPr>
        <b/>
        <sz val="10"/>
        <color rgb="FF000000"/>
        <rFont val="Arial"/>
        <family val="2"/>
      </rPr>
      <t>T</t>
    </r>
    <r>
      <rPr>
        <sz val="10"/>
        <color rgb="FF000000"/>
        <rFont val="Arial"/>
        <family val="2"/>
      </rPr>
      <t>axes adds back Interest and Tax expense to Net Income for a company.</t>
    </r>
  </si>
  <si>
    <r>
      <t xml:space="preserve">EBIT provides a gauge of performance for a company </t>
    </r>
    <r>
      <rPr>
        <b/>
        <sz val="10"/>
        <color rgb="FF000000"/>
        <rFont val="Arial"/>
        <family val="2"/>
      </rPr>
      <t xml:space="preserve">BEFORE </t>
    </r>
    <r>
      <rPr>
        <sz val="10"/>
        <color rgb="FF000000"/>
        <rFont val="Arial"/>
        <family val="2"/>
      </rPr>
      <t>the impact of tax and financing strategies.  It is the difference between operating revenue and operating income.  When a firm does not have non-operating income, then operating income is largely synonymous with EBIT.</t>
    </r>
  </si>
  <si>
    <r>
      <t>E</t>
    </r>
    <r>
      <rPr>
        <sz val="10"/>
        <color rgb="FF000000"/>
        <rFont val="Arial"/>
        <family val="2"/>
      </rPr>
      <t xml:space="preserve">arnings </t>
    </r>
    <r>
      <rPr>
        <b/>
        <sz val="10"/>
        <color rgb="FF000000"/>
        <rFont val="Arial"/>
        <family val="2"/>
      </rPr>
      <t>B</t>
    </r>
    <r>
      <rPr>
        <sz val="10"/>
        <color rgb="FF000000"/>
        <rFont val="Arial"/>
        <family val="2"/>
      </rPr>
      <t xml:space="preserve">efore </t>
    </r>
    <r>
      <rPr>
        <b/>
        <sz val="10"/>
        <color rgb="FF000000"/>
        <rFont val="Arial"/>
        <family val="2"/>
      </rPr>
      <t>I</t>
    </r>
    <r>
      <rPr>
        <sz val="10"/>
        <color rgb="FF000000"/>
        <rFont val="Arial"/>
        <family val="2"/>
      </rPr>
      <t xml:space="preserve">nterest, </t>
    </r>
    <r>
      <rPr>
        <b/>
        <sz val="10"/>
        <color rgb="FF000000"/>
        <rFont val="Arial"/>
        <family val="2"/>
      </rPr>
      <t>T</t>
    </r>
    <r>
      <rPr>
        <sz val="10"/>
        <color rgb="FF000000"/>
        <rFont val="Arial"/>
        <family val="2"/>
      </rPr>
      <t xml:space="preserve">axes, </t>
    </r>
    <r>
      <rPr>
        <b/>
        <sz val="10"/>
        <color rgb="FF000000"/>
        <rFont val="Arial"/>
        <family val="2"/>
      </rPr>
      <t>D</t>
    </r>
    <r>
      <rPr>
        <sz val="10"/>
        <color rgb="FF000000"/>
        <rFont val="Arial"/>
        <family val="2"/>
      </rPr>
      <t xml:space="preserve">epreciation, and </t>
    </r>
    <r>
      <rPr>
        <b/>
        <sz val="10"/>
        <color rgb="FF000000"/>
        <rFont val="Arial"/>
        <family val="2"/>
      </rPr>
      <t>A</t>
    </r>
    <r>
      <rPr>
        <sz val="10"/>
        <color rgb="FF000000"/>
        <rFont val="Arial"/>
        <family val="2"/>
      </rPr>
      <t>mortization essentially adds back various cash and non-cash expenses to net income for a company.</t>
    </r>
  </si>
  <si>
    <r>
      <t>ROE - K</t>
    </r>
    <r>
      <rPr>
        <vertAlign val="subscript"/>
        <sz val="10"/>
        <color rgb="FF000000"/>
        <rFont val="Arial"/>
        <family val="2"/>
      </rPr>
      <t>E</t>
    </r>
  </si>
  <si>
    <r>
      <t>ROE - K</t>
    </r>
    <r>
      <rPr>
        <vertAlign val="subscript"/>
        <sz val="10"/>
        <color rgb="FF000000"/>
        <rFont val="Arial"/>
        <family val="2"/>
      </rPr>
      <t>E</t>
    </r>
    <r>
      <rPr>
        <sz val="10"/>
        <color rgb="FF000000"/>
        <rFont val="Arial"/>
        <family val="2"/>
      </rPr>
      <t xml:space="preserve"> is a corporate valuation metric that indicates whether value is being created or destroyed.  If the value is positive (&gt;0), then value is being created.  If the value is negative (&lt;0), then value is being destroyed.  If the value is positive, then it can also be compared to the ROE-K</t>
    </r>
    <r>
      <rPr>
        <vertAlign val="subscript"/>
        <sz val="10"/>
        <color rgb="FF000000"/>
        <rFont val="Arial"/>
        <family val="2"/>
      </rPr>
      <t>E</t>
    </r>
    <r>
      <rPr>
        <sz val="10"/>
        <color rgb="FF000000"/>
        <rFont val="Arial"/>
        <family val="2"/>
      </rPr>
      <t xml:space="preserve"> value of its peers to evaluate how well value is being created.  
This concept of value creation vs destruction is based on the Fruhan mode.  The Fruhan model is based on studies which show that the market tends to reward firms with high ROE-KE values.  This has been observed through graphs where the ROE-K</t>
    </r>
    <r>
      <rPr>
        <vertAlign val="subscript"/>
        <sz val="10"/>
        <color rgb="FF000000"/>
        <rFont val="Arial"/>
        <family val="2"/>
      </rPr>
      <t>E</t>
    </r>
    <r>
      <rPr>
        <sz val="10"/>
        <color rgb="FF000000"/>
        <rFont val="Arial"/>
        <family val="2"/>
      </rPr>
      <t xml:space="preserve"> is plotted on the x-axis and the Market Value to Book Value ratio (MV/BV) on the Y-axis.  Based on historical data, postive ROE-KE values correlate with higher MV/BV ratios.</t>
    </r>
  </si>
  <si>
    <r>
      <t>ROE - K</t>
    </r>
    <r>
      <rPr>
        <vertAlign val="subscript"/>
        <sz val="10"/>
        <color theme="1"/>
        <rFont val="Arial"/>
        <family val="2"/>
      </rPr>
      <t>E</t>
    </r>
  </si>
  <si>
    <t>Target Comparison Against Peers</t>
  </si>
  <si>
    <r>
      <t xml:space="preserve">The Financial Decomposition tree explains the effect of change in value of a parameter on ROCE between the two periods. </t>
    </r>
    <r>
      <rPr>
        <b/>
        <sz val="11"/>
        <color rgb="FF00B050"/>
        <rFont val="Arial"/>
        <family val="2"/>
        <scheme val="minor"/>
      </rPr>
      <t>GREEN</t>
    </r>
    <r>
      <rPr>
        <sz val="11"/>
        <color rgb="FF00B050"/>
        <rFont val="Arial"/>
        <family val="2"/>
        <scheme val="minor"/>
      </rPr>
      <t xml:space="preserve"> </t>
    </r>
    <r>
      <rPr>
        <sz val="11"/>
        <color theme="1"/>
        <rFont val="Arial"/>
        <family val="2"/>
        <scheme val="minor"/>
      </rPr>
      <t xml:space="preserve">represents that the change in parameter value positively affected the ROCE and </t>
    </r>
    <r>
      <rPr>
        <b/>
        <sz val="11"/>
        <color rgb="FFFF0000"/>
        <rFont val="Arial"/>
        <family val="2"/>
        <scheme val="minor"/>
      </rPr>
      <t xml:space="preserve">RED </t>
    </r>
    <r>
      <rPr>
        <sz val="11"/>
        <color theme="1"/>
        <rFont val="Arial"/>
        <family val="2"/>
        <scheme val="minor"/>
      </rPr>
      <t>represents that the change negatively affected the ROCE.</t>
    </r>
  </si>
  <si>
    <r>
      <t xml:space="preserve">The Financial Decomposition tree explains the effect of change in value of a parameter on ROCE between the two periods. </t>
    </r>
    <r>
      <rPr>
        <b/>
        <sz val="11"/>
        <color rgb="FF00B050"/>
        <rFont val="Arial"/>
        <family val="2"/>
        <scheme val="minor"/>
      </rPr>
      <t>GREEN</t>
    </r>
    <r>
      <rPr>
        <sz val="11"/>
        <color theme="1"/>
        <rFont val="Arial"/>
        <family val="2"/>
        <scheme val="minor"/>
      </rPr>
      <t xml:space="preserve"> represents that the change in parameter value positively affected the ROCE and </t>
    </r>
    <r>
      <rPr>
        <b/>
        <sz val="11"/>
        <color rgb="FFFF0000"/>
        <rFont val="Arial"/>
        <family val="2"/>
        <scheme val="minor"/>
      </rPr>
      <t>RED</t>
    </r>
    <r>
      <rPr>
        <sz val="11"/>
        <color theme="1"/>
        <rFont val="Arial"/>
        <family val="2"/>
        <scheme val="minor"/>
      </rPr>
      <t xml:space="preserve"> represents that the change negatively affected the ROCE.</t>
    </r>
  </si>
  <si>
    <t>Currency (Trading)</t>
  </si>
  <si>
    <t>Currency (Filing)</t>
  </si>
  <si>
    <t>Ticker</t>
  </si>
  <si>
    <t>P / BV</t>
  </si>
  <si>
    <t>P / E</t>
  </si>
  <si>
    <t>EV / EBITDA</t>
  </si>
  <si>
    <t>EV / Revenue</t>
  </si>
  <si>
    <t>Forward Multiples</t>
  </si>
  <si>
    <t>EBITDA %</t>
  </si>
  <si>
    <t>EPS Growth %</t>
  </si>
  <si>
    <t>EBIT Growth %</t>
  </si>
  <si>
    <t>EBITDA Growth %</t>
  </si>
  <si>
    <t>Revenue Growth %</t>
  </si>
  <si>
    <t>Diluted EPS (adj.)</t>
  </si>
  <si>
    <t>EPS Estimate</t>
  </si>
  <si>
    <t>EBIT (adj.)</t>
  </si>
  <si>
    <t>EBITDA (adj.)</t>
  </si>
  <si>
    <t>Target Price</t>
  </si>
  <si>
    <t>Recommendation</t>
  </si>
  <si>
    <t>Est. FYE</t>
  </si>
  <si>
    <t>LTM</t>
  </si>
  <si>
    <t>Fiscal Year Ended</t>
  </si>
  <si>
    <t>Key Financial Statistics</t>
  </si>
  <si>
    <t>Estimates</t>
  </si>
  <si>
    <t>Company Snapshot</t>
  </si>
  <si>
    <t>Trading Currency</t>
  </si>
  <si>
    <t>Filing Currency</t>
  </si>
  <si>
    <t>IQ_FY+2</t>
  </si>
  <si>
    <t>IQ_FY+1</t>
  </si>
  <si>
    <t>Total Debt/EBITDA</t>
  </si>
  <si>
    <t>Total Debt / Capital</t>
  </si>
  <si>
    <t>Return on Equity %</t>
  </si>
  <si>
    <t>Return on Capital %</t>
  </si>
  <si>
    <t>EBITDA/Interest Expense</t>
  </si>
  <si>
    <t>EBITDA / Interest Exp</t>
  </si>
  <si>
    <t>IQ_TOTAL_DEBT_EBITDA_CAPEX</t>
  </si>
  <si>
    <t>IQ_NET_DEBT_EBITDA_CAPEX</t>
  </si>
  <si>
    <t>IQ_TOTAL_DEBT_EBITDA</t>
  </si>
  <si>
    <t>IQ_NET_DEBT_EBITDA</t>
  </si>
  <si>
    <t>Credit Ratios</t>
  </si>
  <si>
    <t>Total</t>
  </si>
  <si>
    <t>Adjustments</t>
  </si>
  <si>
    <t>Unsecured Debt</t>
  </si>
  <si>
    <t>Secured Debt</t>
  </si>
  <si>
    <t xml:space="preserve">Debt </t>
  </si>
  <si>
    <t>IQ_UNDRAWN_RC</t>
  </si>
  <si>
    <t>Undrawn Revolving Credit</t>
  </si>
  <si>
    <t>Total Debt</t>
  </si>
  <si>
    <t>IQ_DEBT_ADJ</t>
  </si>
  <si>
    <t>Cash and Cash Equivalents Growth</t>
  </si>
  <si>
    <t>IQ_CAPITAL_LEASES_TOTAL</t>
  </si>
  <si>
    <t>Capital Leases</t>
  </si>
  <si>
    <t>Cash and Cash Equivalents</t>
  </si>
  <si>
    <t>IQ_RC</t>
  </si>
  <si>
    <t>Revolving Credit</t>
  </si>
  <si>
    <t>IQ_SR_BONDS_NOTES</t>
  </si>
  <si>
    <t>Senior Bonds and Notes</t>
  </si>
  <si>
    <t>Cash Position</t>
  </si>
  <si>
    <t>IQ_TERM_LOANS</t>
  </si>
  <si>
    <t>Term Loans</t>
  </si>
  <si>
    <t>Debt Profile</t>
  </si>
  <si>
    <t>IQ_LTD_DUE_AFTER_FIVE</t>
  </si>
  <si>
    <t>IQ_LTD_DUE_CY4</t>
  </si>
  <si>
    <t>IQ_LTD_DUE_CY3</t>
  </si>
  <si>
    <t>Total Capital</t>
  </si>
  <si>
    <t>IQ_LTD_DUE_CY2</t>
  </si>
  <si>
    <t>Total Common Equity</t>
  </si>
  <si>
    <t>IQ_LTD_DUE_CY1</t>
  </si>
  <si>
    <t>IQ_LTD_DUE_CY</t>
  </si>
  <si>
    <t>Capital Breakdown</t>
  </si>
  <si>
    <t>Debt Maturity Schedule (Inc. capital lease)</t>
  </si>
  <si>
    <t>Capital Structure</t>
  </si>
  <si>
    <t>Latest FYE</t>
  </si>
  <si>
    <t>IQ_FY</t>
  </si>
  <si>
    <t>IQ_FY-1</t>
  </si>
  <si>
    <t>IQ_FY-2</t>
  </si>
  <si>
    <t>IQ_FY-3</t>
  </si>
  <si>
    <t>IQ_FY-4</t>
  </si>
  <si>
    <t>IQ_FY-5</t>
  </si>
  <si>
    <t>IQ_FY-6</t>
  </si>
  <si>
    <t>Most Recent Transaction Date</t>
  </si>
  <si>
    <t>No. of Transactions</t>
  </si>
  <si>
    <t>Legal Advisors</t>
  </si>
  <si>
    <t>Financial Advisors</t>
  </si>
  <si>
    <t>Financial and Legal Advisors</t>
  </si>
  <si>
    <t>Copy Range -&gt;</t>
  </si>
  <si>
    <t>Investment Coverage</t>
  </si>
  <si>
    <t>Company Type</t>
  </si>
  <si>
    <t>Transaction Date(s)</t>
  </si>
  <si>
    <t>Relationship Type</t>
  </si>
  <si>
    <t>Investor</t>
  </si>
  <si>
    <t>Private Ownership</t>
  </si>
  <si>
    <t>Key Board Members</t>
  </si>
  <si>
    <t>Key Professionals</t>
  </si>
  <si>
    <t>Key Professional</t>
  </si>
  <si>
    <t>S&amp;P Credit Rating</t>
  </si>
  <si>
    <t>Maturity Date</t>
  </si>
  <si>
    <t>Seniority</t>
  </si>
  <si>
    <t>Security Type</t>
  </si>
  <si>
    <t>ISIN</t>
  </si>
  <si>
    <t>Issue Name</t>
  </si>
  <si>
    <t>Pricing Date</t>
  </si>
  <si>
    <t>Bond Price</t>
  </si>
  <si>
    <t>End Date</t>
  </si>
  <si>
    <t>Total News-&gt;</t>
  </si>
  <si>
    <t>No. of Lines-&gt;</t>
  </si>
  <si>
    <t>Revenue By Geography</t>
  </si>
  <si>
    <t>Revenue By Segments</t>
  </si>
  <si>
    <t>Revenue by Segments and Geography</t>
  </si>
  <si>
    <t>IQ_EPS_EST</t>
  </si>
  <si>
    <t>IQ_DILUT_EPS_EXCL</t>
  </si>
  <si>
    <t>IQ_EBIT_EST</t>
  </si>
  <si>
    <t>IQ_EBITDA_EST</t>
  </si>
  <si>
    <t>IQ_REVENUE_EST</t>
  </si>
  <si>
    <t>IQ_TOTAL_REV</t>
  </si>
  <si>
    <t>IQ_EBITDA_INT</t>
  </si>
  <si>
    <t>IQ_TOTAL_DEBT_CAPITAL</t>
  </si>
  <si>
    <t>IQ_TOTAL_DEBT_EQUITY</t>
  </si>
  <si>
    <t>IQ_RETURN_CAPITAL</t>
  </si>
  <si>
    <t>IQ_TOTAL_CAP</t>
  </si>
  <si>
    <t>IQ_TOTAL_DEBT</t>
  </si>
  <si>
    <t>IQ_TOTAL_EQUITY</t>
  </si>
  <si>
    <t>IQ_TOTAL_COMMON_EQUITY</t>
  </si>
  <si>
    <t>IQ_TOTAL_CL</t>
  </si>
  <si>
    <t>IQ_CASH_EQUIV</t>
  </si>
  <si>
    <t>F</t>
  </si>
  <si>
    <t>IQ_LTM-4</t>
  </si>
  <si>
    <t>Legal</t>
  </si>
  <si>
    <t>Financial</t>
  </si>
  <si>
    <t>Advisor Specialty</t>
  </si>
  <si>
    <t>Advisors</t>
  </si>
  <si>
    <t>TARGET</t>
  </si>
  <si>
    <t>SELLER</t>
  </si>
  <si>
    <t>BUYER</t>
  </si>
  <si>
    <t>TARGET Name</t>
  </si>
  <si>
    <t>BUYER Name</t>
  </si>
  <si>
    <t>SELLER Name</t>
  </si>
  <si>
    <t>VALUE</t>
  </si>
  <si>
    <t>DATE</t>
  </si>
  <si>
    <t>Legal Advisor</t>
  </si>
  <si>
    <t>Financial Advisor</t>
  </si>
  <si>
    <t>Accounting Advisor</t>
  </si>
  <si>
    <t>Num_Legal</t>
  </si>
  <si>
    <t>Num_Financial</t>
  </si>
  <si>
    <t>Currency:</t>
  </si>
  <si>
    <t>Ticker:</t>
  </si>
  <si>
    <t xml:space="preserve">Date: </t>
  </si>
  <si>
    <t>Latest Transaction ID</t>
  </si>
  <si>
    <t>Most Recent Amount Invested (USD in mm)</t>
  </si>
  <si>
    <t>Num_Investors</t>
  </si>
  <si>
    <t>T148</t>
  </si>
  <si>
    <t>LCD Deal Launch News</t>
  </si>
  <si>
    <t>T147</t>
  </si>
  <si>
    <t>LCD Default News</t>
  </si>
  <si>
    <t>T146</t>
  </si>
  <si>
    <t>LCD Credit Defaults Swap News</t>
  </si>
  <si>
    <t>T145</t>
  </si>
  <si>
    <t>LCD Loan Credit Default Swap News</t>
  </si>
  <si>
    <t>T143</t>
  </si>
  <si>
    <t>LCD Debt Exchange News</t>
  </si>
  <si>
    <t>T142</t>
  </si>
  <si>
    <t>LCD Company Buys Back Outstanding Bank Debt News</t>
  </si>
  <si>
    <t>T141</t>
  </si>
  <si>
    <t>LCD Bids Wanted in Competition News</t>
  </si>
  <si>
    <t>T132</t>
  </si>
  <si>
    <t>LCD Ratings News</t>
  </si>
  <si>
    <t>T131</t>
  </si>
  <si>
    <t>LCD Global News</t>
  </si>
  <si>
    <t>T130</t>
  </si>
  <si>
    <t>LCD Price-flex News</t>
  </si>
  <si>
    <t>T129</t>
  </si>
  <si>
    <t>LCD European News</t>
  </si>
  <si>
    <t>T128</t>
  </si>
  <si>
    <t>LCD Communications News</t>
  </si>
  <si>
    <t>T127</t>
  </si>
  <si>
    <t>LCD Amendment News</t>
  </si>
  <si>
    <t>T125</t>
  </si>
  <si>
    <t>LCD Secondary Story News</t>
  </si>
  <si>
    <t>T124</t>
  </si>
  <si>
    <t>LCD CLO News</t>
  </si>
  <si>
    <t>T123</t>
  </si>
  <si>
    <t>LCD Cross-border Deal News</t>
  </si>
  <si>
    <t>T122</t>
  </si>
  <si>
    <t>LCD Covenant-lite News</t>
  </si>
  <si>
    <t>T121</t>
  </si>
  <si>
    <t>LCD High-yield Europe News</t>
  </si>
  <si>
    <t>T120</t>
  </si>
  <si>
    <t>LCD Second-lien News</t>
  </si>
  <si>
    <t>T119</t>
  </si>
  <si>
    <t>LCD Mezzanine Debt News</t>
  </si>
  <si>
    <t>T118</t>
  </si>
  <si>
    <t>LCD Repayment News</t>
  </si>
  <si>
    <t>T117</t>
  </si>
  <si>
    <t>LCD Dividend News</t>
  </si>
  <si>
    <t>T116</t>
  </si>
  <si>
    <t>LCD Repricing News</t>
  </si>
  <si>
    <t>T115</t>
  </si>
  <si>
    <t>LCD Investment Grade Loan News</t>
  </si>
  <si>
    <t>T114</t>
  </si>
  <si>
    <t>LCD Break Price News</t>
  </si>
  <si>
    <t>T113</t>
  </si>
  <si>
    <t>LCD Distressed News</t>
  </si>
  <si>
    <t>T112</t>
  </si>
  <si>
    <t>LCD M&amp;A News</t>
  </si>
  <si>
    <t>T111</t>
  </si>
  <si>
    <t>LCD Sponsored Deal News</t>
  </si>
  <si>
    <t>T110</t>
  </si>
  <si>
    <t>LCD People Story News</t>
  </si>
  <si>
    <t>T109</t>
  </si>
  <si>
    <t>LCD Leveraged Buyout News</t>
  </si>
  <si>
    <t>T108</t>
  </si>
  <si>
    <t>LCD High-Yield Bond Story News</t>
  </si>
  <si>
    <t>T107</t>
  </si>
  <si>
    <t>LCD Middle Market News</t>
  </si>
  <si>
    <t>T106</t>
  </si>
  <si>
    <t>LCD Debtor-in-possession News</t>
  </si>
  <si>
    <t>T105</t>
  </si>
  <si>
    <t>LCD Fallen Angel News</t>
  </si>
  <si>
    <t>T104</t>
  </si>
  <si>
    <t>LCD Trend News</t>
  </si>
  <si>
    <t>T103</t>
  </si>
  <si>
    <t>LCD Institutional Loan News</t>
  </si>
  <si>
    <t>C11</t>
  </si>
  <si>
    <t>LCD News</t>
  </si>
  <si>
    <t>T207</t>
  </si>
  <si>
    <t>No</t>
  </si>
  <si>
    <t>Regulatory Authority – Enforcement Actions</t>
  </si>
  <si>
    <t>T206</t>
  </si>
  <si>
    <t>Regulatory Authority – Compliance</t>
  </si>
  <si>
    <t>T157</t>
  </si>
  <si>
    <t>Investor Activism - Activist Communication</t>
  </si>
  <si>
    <t>T150</t>
  </si>
  <si>
    <t>Auditor Changes</t>
  </si>
  <si>
    <t>T89</t>
  </si>
  <si>
    <t>Bankruptcy - Filing</t>
  </si>
  <si>
    <t>T75</t>
  </si>
  <si>
    <t>Index Constituent Drops</t>
  </si>
  <si>
    <t>T74</t>
  </si>
  <si>
    <t>Debt Defaults</t>
  </si>
  <si>
    <t>T73</t>
  </si>
  <si>
    <t>Impairments/Write Offs</t>
  </si>
  <si>
    <t>T72</t>
  </si>
  <si>
    <t>Credit Rating - S&amp;P - CreditWatch/Outlook Action</t>
  </si>
  <si>
    <t>T70</t>
  </si>
  <si>
    <t>Credit Rating - S&amp;P - Not-Rated Action</t>
  </si>
  <si>
    <t>T69</t>
  </si>
  <si>
    <t>Credit Rating - S&amp;P - Downgrade</t>
  </si>
  <si>
    <t>T61</t>
  </si>
  <si>
    <t>Delayed Earnings Announcements</t>
  </si>
  <si>
    <t>T59</t>
  </si>
  <si>
    <t>Auditor Going Concern Doubts</t>
  </si>
  <si>
    <t>T44</t>
  </si>
  <si>
    <t>Labor-related Announcements</t>
  </si>
  <si>
    <t>T43</t>
  </si>
  <si>
    <t>Restatements of Operating Results</t>
  </si>
  <si>
    <t>T32</t>
  </si>
  <si>
    <t>Business Reorganizations</t>
  </si>
  <si>
    <t>T25</t>
  </si>
  <si>
    <t>Lawsuits &amp; Legal Issues</t>
  </si>
  <si>
    <t>T24</t>
  </si>
  <si>
    <t>Regulatory Agency Inquiries</t>
  </si>
  <si>
    <t>T21</t>
  </si>
  <si>
    <t>Discontinued Operations/Downsizings</t>
  </si>
  <si>
    <t>T12</t>
  </si>
  <si>
    <t>Delistings</t>
  </si>
  <si>
    <t>T11</t>
  </si>
  <si>
    <t>Delayed SEC Filings</t>
  </si>
  <si>
    <t>C5</t>
  </si>
  <si>
    <t>Potential Red Flags/Distress Indicators</t>
  </si>
  <si>
    <t>T234</t>
  </si>
  <si>
    <t>Buyback Transaction Closings</t>
  </si>
  <si>
    <t>T233</t>
  </si>
  <si>
    <t>Buyback Transaction Cancellations</t>
  </si>
  <si>
    <t>T232</t>
  </si>
  <si>
    <t>Buyback Transaction Announcements</t>
  </si>
  <si>
    <t>T151</t>
  </si>
  <si>
    <t>Buyback Update</t>
  </si>
  <si>
    <t>T137</t>
  </si>
  <si>
    <t>Spin-Off/Split-Off</t>
  </si>
  <si>
    <t>T136</t>
  </si>
  <si>
    <t>Public Offering Lead Underwriter Change</t>
  </si>
  <si>
    <t>T135</t>
  </si>
  <si>
    <t>Structured Products Offerings</t>
  </si>
  <si>
    <t>T134</t>
  </si>
  <si>
    <t>Composite Units Offerings</t>
  </si>
  <si>
    <t>T91</t>
  </si>
  <si>
    <t>Bankruptcy - Emergence/Exit</t>
  </si>
  <si>
    <t>T90</t>
  </si>
  <si>
    <t>Bankruptcy - Conclusion</t>
  </si>
  <si>
    <t>T88</t>
  </si>
  <si>
    <t>Derivative/Other Instrument Offerings</t>
  </si>
  <si>
    <t>T87</t>
  </si>
  <si>
    <t>Fixed Income Offerings</t>
  </si>
  <si>
    <t>T86</t>
  </si>
  <si>
    <t>Follow-on Equity Offerings</t>
  </si>
  <si>
    <t>T85</t>
  </si>
  <si>
    <t>IPOs</t>
  </si>
  <si>
    <t>T83</t>
  </si>
  <si>
    <t>Private Placements</t>
  </si>
  <si>
    <t>T82</t>
  </si>
  <si>
    <t>M&amp;A Transaction Cancellations</t>
  </si>
  <si>
    <t>T81</t>
  </si>
  <si>
    <t>M&amp;A Transaction Closings</t>
  </si>
  <si>
    <t>T80</t>
  </si>
  <si>
    <t>M&amp;A Transaction Announcements</t>
  </si>
  <si>
    <t>T42</t>
  </si>
  <si>
    <t>Debt Financing Related</t>
  </si>
  <si>
    <t>T36</t>
  </si>
  <si>
    <t>Buybacks</t>
  </si>
  <si>
    <t>C2</t>
  </si>
  <si>
    <t>Announced/Completed Transactions</t>
  </si>
  <si>
    <t>T152</t>
  </si>
  <si>
    <t>Potential Buyback</t>
  </si>
  <si>
    <t>T99</t>
  </si>
  <si>
    <t>Potential Privatization of Government Entities</t>
  </si>
  <si>
    <t>T93</t>
  </si>
  <si>
    <t>Shelf Registration Filings</t>
  </si>
  <si>
    <t>T65</t>
  </si>
  <si>
    <t>M&amp;A Rumors and Discussions</t>
  </si>
  <si>
    <t>T63</t>
  </si>
  <si>
    <t>Considering Multiple Strategic Alternatives</t>
  </si>
  <si>
    <t>T5</t>
  </si>
  <si>
    <t>Seeking Financing/Partners</t>
  </si>
  <si>
    <t>T3</t>
  </si>
  <si>
    <t>Seeking Acquisitions/Investments</t>
  </si>
  <si>
    <t>T1</t>
  </si>
  <si>
    <t>Seeking to Sell/Divest</t>
  </si>
  <si>
    <t>C3</t>
  </si>
  <si>
    <t>Potential Transactions</t>
  </si>
  <si>
    <t>T71</t>
  </si>
  <si>
    <t>Credit Rating - S&amp;P - New Rating</t>
  </si>
  <si>
    <t>T68</t>
  </si>
  <si>
    <t>Credit Rating - S&amp;P - Upgrade</t>
  </si>
  <si>
    <t>T29</t>
  </si>
  <si>
    <t>Corporate Guidance - New/Confirmed</t>
  </si>
  <si>
    <t>T27</t>
  </si>
  <si>
    <t>Corporate Guidance - Raised</t>
  </si>
  <si>
    <t>T26</t>
  </si>
  <si>
    <t>Corporate Guidance - Lowered</t>
  </si>
  <si>
    <t>C1</t>
  </si>
  <si>
    <t>Company Forecasts and Ratings</t>
  </si>
  <si>
    <t>T216</t>
  </si>
  <si>
    <t>S&amp;P Events</t>
  </si>
  <si>
    <t>T205</t>
  </si>
  <si>
    <t>Regulatory Authority – Regulations</t>
  </si>
  <si>
    <t>T194</t>
  </si>
  <si>
    <t>Special Calls</t>
  </si>
  <si>
    <t>T192</t>
  </si>
  <si>
    <t>Analyst/Investor Day</t>
  </si>
  <si>
    <t>T155</t>
  </si>
  <si>
    <t xml:space="preserve">Bankruptcy – Reorganization </t>
  </si>
  <si>
    <t>T154</t>
  </si>
  <si>
    <t>Bankruptcy – Financing</t>
  </si>
  <si>
    <t>T153</t>
  </si>
  <si>
    <t>Bankruptcy – Asset Sale/Liquidation</t>
  </si>
  <si>
    <t>T149</t>
  </si>
  <si>
    <t>Conferences</t>
  </si>
  <si>
    <t>T144</t>
  </si>
  <si>
    <t>Estimated Earnings Release Date (CIQ Derived)</t>
  </si>
  <si>
    <t>T140</t>
  </si>
  <si>
    <t>Sales/Trading Statement Release Date</t>
  </si>
  <si>
    <t>T139</t>
  </si>
  <si>
    <t>Sales/Trading Statement Calls</t>
  </si>
  <si>
    <t>T138</t>
  </si>
  <si>
    <t>Announcements of Sales/Trading Statement</t>
  </si>
  <si>
    <t>T97</t>
  </si>
  <si>
    <t>Special/Extraordinary Shareholders Meeting</t>
  </si>
  <si>
    <t>T62</t>
  </si>
  <si>
    <t>Annual General Meeting</t>
  </si>
  <si>
    <t>T55</t>
  </si>
  <si>
    <t>Earnings Release Date</t>
  </si>
  <si>
    <t>T52</t>
  </si>
  <si>
    <t>M&amp;A Calls</t>
  </si>
  <si>
    <t>T51</t>
  </si>
  <si>
    <t>Company Conference Presentations</t>
  </si>
  <si>
    <t>T50</t>
  </si>
  <si>
    <t>Shareholder/Analyst Calls</t>
  </si>
  <si>
    <t>T49</t>
  </si>
  <si>
    <t>Guidance/Update Calls</t>
  </si>
  <si>
    <t>T48</t>
  </si>
  <si>
    <t>Earnings Calls</t>
  </si>
  <si>
    <t>T28</t>
  </si>
  <si>
    <t>Announcements of Earnings</t>
  </si>
  <si>
    <t>T7</t>
  </si>
  <si>
    <t>Bankruptcy - Other</t>
  </si>
  <si>
    <t>C6</t>
  </si>
  <si>
    <t>Results Announcements/Corporate Communications</t>
  </si>
  <si>
    <t>T102</t>
  </si>
  <si>
    <t>Executive Changes - CFO</t>
  </si>
  <si>
    <t>T101</t>
  </si>
  <si>
    <t>Executive Changes - CEO</t>
  </si>
  <si>
    <t>T79</t>
  </si>
  <si>
    <t>Fiscal Year End Changes</t>
  </si>
  <si>
    <t>T78</t>
  </si>
  <si>
    <t>Board Meeting</t>
  </si>
  <si>
    <t>T77</t>
  </si>
  <si>
    <t>Changes in Company Bylaws/Rules</t>
  </si>
  <si>
    <t>T76</t>
  </si>
  <si>
    <t>Legal Structure Changes</t>
  </si>
  <si>
    <t>T60</t>
  </si>
  <si>
    <t>Address Changes</t>
  </si>
  <si>
    <t>T56</t>
  </si>
  <si>
    <t>Name Changes</t>
  </si>
  <si>
    <t>T16</t>
  </si>
  <si>
    <t>Executive/Board Changes - Other</t>
  </si>
  <si>
    <t>C8</t>
  </si>
  <si>
    <t>Corporate Structure Related</t>
  </si>
  <si>
    <t>T41</t>
  </si>
  <si>
    <t>Product-Related Announcements</t>
  </si>
  <si>
    <t>T31</t>
  </si>
  <si>
    <t>Business Expansions</t>
  </si>
  <si>
    <t>T23</t>
  </si>
  <si>
    <t>Client Announcements</t>
  </si>
  <si>
    <t>Time</t>
  </si>
  <si>
    <t>Description</t>
  </si>
  <si>
    <t>Headlines</t>
  </si>
  <si>
    <t>S. No.</t>
  </si>
  <si>
    <t>T22</t>
  </si>
  <si>
    <t>Strategic Alliances</t>
  </si>
  <si>
    <t>C7</t>
  </si>
  <si>
    <t>Inc/Exc</t>
  </si>
  <si>
    <t>Customer/Product Related</t>
  </si>
  <si>
    <t>C1,C6,C7,C8</t>
  </si>
  <si>
    <t>News Category-&gt;</t>
  </si>
  <si>
    <t>Bond Trading</t>
  </si>
  <si>
    <t>Chart 6</t>
  </si>
  <si>
    <t>Chart 5</t>
  </si>
  <si>
    <t>Chart 4</t>
  </si>
  <si>
    <t>Chart 3</t>
  </si>
  <si>
    <t>Chart 2</t>
  </si>
  <si>
    <t>Returns</t>
  </si>
  <si>
    <t>Management</t>
  </si>
  <si>
    <t>Inputs for Company Analysis</t>
  </si>
  <si>
    <t>GraphRevenueAndGrowth</t>
  </si>
  <si>
    <t>GraphEBITDAAndGrowth</t>
  </si>
  <si>
    <t>GraphEBITAndGrowth</t>
  </si>
  <si>
    <t>GraphNetProfitAndGrowth</t>
  </si>
  <si>
    <t>GraphReturns</t>
  </si>
  <si>
    <t>Common Sections</t>
  </si>
  <si>
    <t>Additional Sections</t>
  </si>
  <si>
    <t>Company Analysis</t>
  </si>
  <si>
    <t>Company Analysis + Peer Analysis</t>
  </si>
  <si>
    <t>Peer Name</t>
  </si>
  <si>
    <t>NA</t>
  </si>
  <si>
    <t>EBT Growth y/y%</t>
  </si>
  <si>
    <t>Net Interest Margin %</t>
  </si>
  <si>
    <t>EBT Margin %</t>
  </si>
  <si>
    <t>Total Deposits</t>
  </si>
  <si>
    <t>Net Loans Growth y/y%</t>
  </si>
  <si>
    <t>Total Deposits Growth y/y%</t>
  </si>
  <si>
    <t>IQ_NET_INT_MARGIN</t>
  </si>
  <si>
    <t>NII Growth %</t>
  </si>
  <si>
    <t>EBIT %</t>
  </si>
  <si>
    <t>IQ_RETURN_EQUITY_EST</t>
  </si>
  <si>
    <t>LTM-4</t>
  </si>
  <si>
    <t>IQ_PRETAX_INC_EST</t>
  </si>
  <si>
    <t>Capital Adequacy and Portfolio Quality</t>
  </si>
  <si>
    <t>Coverage Ratio</t>
  </si>
  <si>
    <t>IQ_ALLOW_LL</t>
  </si>
  <si>
    <t>Loans / Deposits</t>
  </si>
  <si>
    <t>Capital Adequacy Ratios</t>
  </si>
  <si>
    <t>Total Debt / Equity</t>
  </si>
  <si>
    <t>Tier 2 Ratio</t>
  </si>
  <si>
    <t>GraphGPAndGrowth</t>
  </si>
  <si>
    <t>Key Financials</t>
  </si>
  <si>
    <t xml:space="preserve">Revenues </t>
  </si>
  <si>
    <t>Y-o-Y Growth</t>
  </si>
  <si>
    <t>Gross Margin %</t>
  </si>
  <si>
    <t>IQ_GROSS_MARGIN_EST</t>
  </si>
  <si>
    <t>EBITDA (w.r.t. Consensus Estimate)</t>
  </si>
  <si>
    <t>IQ_EST_ACT_EBITDA</t>
  </si>
  <si>
    <t>EBITDA (adjusted)</t>
  </si>
  <si>
    <t>EBITDA Margin %</t>
  </si>
  <si>
    <t>EBIT (w.r.t. Consensus Estimate)</t>
  </si>
  <si>
    <t>IQ_EST_ACT_EBIT</t>
  </si>
  <si>
    <t>EBIT (adjusted)</t>
  </si>
  <si>
    <t>EBIT Margin %</t>
  </si>
  <si>
    <t>Net Income Excl Extra Items (w.r.t. Consensus Estimate)</t>
  </si>
  <si>
    <t>IQ_EST_ACT_NI</t>
  </si>
  <si>
    <t>Net Income (adjusted)</t>
  </si>
  <si>
    <t>IQ_NI_EST</t>
  </si>
  <si>
    <t>Net Margin %</t>
  </si>
  <si>
    <t>Diluted EPS</t>
  </si>
  <si>
    <t>IQ_DILUT_EPS_INCL</t>
  </si>
  <si>
    <t>IQ_EPS_REPORTED_EST</t>
  </si>
  <si>
    <t>Key Ratios</t>
  </si>
  <si>
    <t>CAGR</t>
  </si>
  <si>
    <t>Profitablity</t>
  </si>
  <si>
    <t>Return on Assets %</t>
  </si>
  <si>
    <t>Margin Analysis</t>
  </si>
  <si>
    <t>SG&amp;A %</t>
  </si>
  <si>
    <t>Levered Free Cash Flow Margin %</t>
  </si>
  <si>
    <t>IQ_LFCF_MARGIN</t>
  </si>
  <si>
    <t>Unlevered Free Cash Flow Margin %</t>
  </si>
  <si>
    <t>IQ_UFCF_MARGIN</t>
  </si>
  <si>
    <t>Accounts Receivable Turnover</t>
  </si>
  <si>
    <t>Short Term Liquidity</t>
  </si>
  <si>
    <t>Current Ratio</t>
  </si>
  <si>
    <t>IQ_CURRENT_RATIO</t>
  </si>
  <si>
    <t>Quick Ratio</t>
  </si>
  <si>
    <t>IQ_QUICK_RATIO</t>
  </si>
  <si>
    <t>Leverage and Coverage</t>
  </si>
  <si>
    <t>Total Debt / EBITDA</t>
  </si>
  <si>
    <t>Net Debt / EBITDA</t>
  </si>
  <si>
    <t>IQ_TR_ANN_DATE_BL</t>
  </si>
  <si>
    <t>IQ_TR_TOTALVALUE</t>
  </si>
  <si>
    <t>IQ_TR_TARGETNAME</t>
  </si>
  <si>
    <t>Target/Issuer Name</t>
  </si>
  <si>
    <t>IQ_TR_BUYERNAME</t>
  </si>
  <si>
    <t>IQ_TR_SELLERNAME</t>
  </si>
  <si>
    <t>IQ_TR_SELLER_ID</t>
  </si>
  <si>
    <t>Buyer/Investor Name(s)</t>
  </si>
  <si>
    <t>CIQ Buyer ID</t>
  </si>
  <si>
    <t>Seller Name(s)</t>
  </si>
  <si>
    <t>CIQ Seller ID</t>
  </si>
  <si>
    <t>Transaction Status</t>
  </si>
  <si>
    <t>Announced/Initial Filing Date</t>
  </si>
  <si>
    <t>Acquisition Count</t>
  </si>
  <si>
    <t>Sell Count</t>
  </si>
  <si>
    <t>CIQ Target ID</t>
  </si>
  <si>
    <t>Target Count</t>
  </si>
  <si>
    <t>M&amp;A Transactions</t>
  </si>
  <si>
    <t>Stake</t>
  </si>
  <si>
    <t>(Median - Target) / Target</t>
  </si>
  <si>
    <t>High Watermark</t>
  </si>
  <si>
    <t>Quartile</t>
  </si>
  <si>
    <t>Incremental</t>
  </si>
  <si>
    <t>Health Indicator</t>
  </si>
  <si>
    <t>Receivables Turnover</t>
  </si>
  <si>
    <t>Cumulative</t>
  </si>
  <si>
    <t>Rough Work</t>
  </si>
  <si>
    <t>Lower Quartile</t>
  </si>
  <si>
    <t>Upper Quartile</t>
  </si>
  <si>
    <r>
      <t></t>
    </r>
    <r>
      <rPr>
        <sz val="14"/>
        <rFont val="Arial"/>
        <family val="2"/>
        <scheme val="minor"/>
      </rPr>
      <t xml:space="preserve"> </t>
    </r>
  </si>
  <si>
    <t>CFO to Net Income</t>
  </si>
  <si>
    <t>Margins and Ratios</t>
  </si>
  <si>
    <t>FCF to Total Debt</t>
  </si>
  <si>
    <t>T22,T23,T31,T41,T16,T32,T56,T76,T77,T78,T79,T101,T102,T7,T11,T28,T43,T48,T49,T50,T51,T52,T55,T61,T62,T89,T90,T91,T97,T138,T139,T140,T144,T153,T154,T155,T192,T194,T205,T216,T26,T27,T29,T68,T69,T70,T71,T72,T1,T3,T5,T42,T11,T74,T103,T104,T105,T106,T107,T108,T109,T110,T111,T112,T113,T114,T115,T116,T117,T118,T119,T120,T121,T122,T123,T124,T125,T127,T128,T129,T130,T131,T132,T141,T142,T143,T145,T146,T147,T148</t>
  </si>
  <si>
    <t>Absolute</t>
  </si>
  <si>
    <t>Normalized</t>
  </si>
  <si>
    <t>Company</t>
  </si>
  <si>
    <t>Peer Group Median</t>
  </si>
  <si>
    <t>Best In Class</t>
  </si>
  <si>
    <t>Chart Type No</t>
  </si>
  <si>
    <t>Chart Types</t>
  </si>
  <si>
    <t>Type of Chart</t>
  </si>
  <si>
    <t></t>
  </si>
  <si>
    <t>All Transactions</t>
  </si>
  <si>
    <t>Start Date:</t>
  </si>
  <si>
    <t>End Date:</t>
  </si>
  <si>
    <t>Frequency:</t>
  </si>
  <si>
    <t>W</t>
  </si>
  <si>
    <t>Date Comparison</t>
  </si>
  <si>
    <t>Filing</t>
  </si>
  <si>
    <t>Trading</t>
  </si>
  <si>
    <t>Estimate Revision Trends</t>
  </si>
  <si>
    <t>ROIC</t>
  </si>
  <si>
    <t>ROCE/ROIC</t>
  </si>
  <si>
    <t>Incremental / Cumulative Growth</t>
  </si>
  <si>
    <t>Revenue Growth</t>
  </si>
  <si>
    <t>Enterprise Value</t>
  </si>
  <si>
    <t>Investor Return Growth</t>
  </si>
  <si>
    <t>EV/Total Capital</t>
  </si>
  <si>
    <t>No. of Months:</t>
  </si>
  <si>
    <t>Date:</t>
  </si>
  <si>
    <t>IQ_SGA</t>
  </si>
  <si>
    <t>IQ_EBITDA_MARGIN</t>
  </si>
  <si>
    <t>No. of months:</t>
  </si>
  <si>
    <t>Transaction Count:</t>
  </si>
  <si>
    <t>No. of Transactions:</t>
  </si>
  <si>
    <t>Net Interest Income Margin %</t>
  </si>
  <si>
    <t>Net Profit Margin %</t>
  </si>
  <si>
    <t>Capital Adequacy</t>
  </si>
  <si>
    <t>Capital Adequacy Ratio</t>
  </si>
  <si>
    <t>IQ_TOTAL_BANK_CAPITAL</t>
  </si>
  <si>
    <t>Asset Quality</t>
  </si>
  <si>
    <t>NPLs to Total Loans</t>
  </si>
  <si>
    <t>Allowance for Loan Loss</t>
  </si>
  <si>
    <t>Earnings</t>
  </si>
  <si>
    <t>Cost to Income Ratio</t>
  </si>
  <si>
    <t>Return on Asset</t>
  </si>
  <si>
    <t>Liquidity</t>
  </si>
  <si>
    <t>Total deposits to Total Assets</t>
  </si>
  <si>
    <t>Total Loans to Total deposits</t>
  </si>
  <si>
    <t>Cumulative / Incremental Growth</t>
  </si>
  <si>
    <t>Selected Index</t>
  </si>
  <si>
    <t>Selected Type</t>
  </si>
  <si>
    <t>IQ_TOTAL_REV_BNK</t>
  </si>
  <si>
    <t>Median</t>
  </si>
  <si>
    <t>Lower Quartile (1st Quartile)</t>
  </si>
  <si>
    <t>Upper Quartile (3rd Quartile)</t>
  </si>
  <si>
    <t>IQ_RETURN_ASSETS_BANK</t>
  </si>
  <si>
    <t>IQ_RETURN_EQUITY_BANK</t>
  </si>
  <si>
    <t>Non-Performing Loans / Total Equity</t>
  </si>
  <si>
    <t>Total Capital to Total Assets</t>
  </si>
  <si>
    <t>IQ_RISK_ADJ_BANK_ASSETS</t>
  </si>
  <si>
    <t>Total Loans to Total Deposits</t>
  </si>
  <si>
    <t>Allowance in Loan Loss</t>
  </si>
  <si>
    <t>Allowance for Loan Loss %</t>
  </si>
  <si>
    <t>NPL to Total Equity</t>
  </si>
  <si>
    <t>(Invalid DataTypeId)</t>
  </si>
  <si>
    <t>Provision for Loan Loss to Net Loans</t>
  </si>
  <si>
    <t>Altman Z Score</t>
  </si>
  <si>
    <t>Total Cash and ST Investments</t>
  </si>
  <si>
    <t>IQ_Z_SCORE</t>
  </si>
  <si>
    <t>Total Cash</t>
  </si>
  <si>
    <t>Key Figures</t>
  </si>
  <si>
    <t>Scatter Plots</t>
  </si>
  <si>
    <t>SGA Margin</t>
  </si>
  <si>
    <t>Row</t>
  </si>
  <si>
    <t>Max Width</t>
  </si>
  <si>
    <t>Max Height</t>
  </si>
  <si>
    <t>GraphTotalDebtByEBITDA</t>
  </si>
  <si>
    <t>GraphTotalCash</t>
  </si>
  <si>
    <t>GraphEBITDA</t>
  </si>
  <si>
    <t>GraphNetIncome</t>
  </si>
  <si>
    <t>GraphEBITDAMargins</t>
  </si>
  <si>
    <t>GraphEBITMargins</t>
  </si>
  <si>
    <t>GraphNetProfitMargins</t>
  </si>
  <si>
    <t>Share Price Growth Compared to Peers</t>
  </si>
  <si>
    <t>Enterprise Value Growth Compared to Peers</t>
  </si>
  <si>
    <t>GraphIndustryRevenueGrowth</t>
  </si>
  <si>
    <t>GraphIndustryROIC</t>
  </si>
  <si>
    <t>GraphSGAVsEBITDAMargin</t>
  </si>
  <si>
    <t>&lt;--Median</t>
  </si>
  <si>
    <t>GraphShareValuePeers</t>
  </si>
  <si>
    <t>GraphEnterpriseValuePeers</t>
  </si>
  <si>
    <t>GraphIndustryInventoryTurnover</t>
  </si>
  <si>
    <t>GraphIndustryReceivableTurnover</t>
  </si>
  <si>
    <t>GraphIndustryCapitalAdequacy</t>
  </si>
  <si>
    <t>GraphIndustryAllowanceLoanLoss</t>
  </si>
  <si>
    <t>GrpahIndustryLTD</t>
  </si>
  <si>
    <t>NM</t>
  </si>
  <si>
    <t>FY Estimates</t>
  </si>
  <si>
    <t>IQ_CASH_ST_INVEST</t>
  </si>
  <si>
    <t>B5:P28</t>
  </si>
  <si>
    <t>B31:O67</t>
  </si>
  <si>
    <t>IQ_INVESTORS_CURR_RECENT_AMOUNT</t>
  </si>
  <si>
    <t>B5:P27</t>
  </si>
  <si>
    <t>GraphEBTMargin</t>
  </si>
  <si>
    <t>GraphCapitalAdequacy</t>
  </si>
  <si>
    <t>GraphAllowanceLoanLoss</t>
  </si>
  <si>
    <t>IQ_TR_CLOSED_DATE</t>
  </si>
  <si>
    <t>M&amp;A Transaction IDs</t>
  </si>
  <si>
    <t>IQ_TRANSACTION_LIST_MA</t>
  </si>
  <si>
    <t>Announced/Initial Filing Date (Fetched)</t>
  </si>
  <si>
    <t>No. of Acquisition deals:</t>
  </si>
  <si>
    <t>No. of Sell deals:</t>
  </si>
  <si>
    <t>Closed/
Registration Effective Date</t>
  </si>
  <si>
    <t>Check
(if not Cancelled)</t>
  </si>
  <si>
    <t>Acquisition No.</t>
  </si>
  <si>
    <t>Sell No.</t>
  </si>
  <si>
    <t>Seller Name(s)
[Fetched from Cap IQ]</t>
  </si>
  <si>
    <t>Acquisition Deals</t>
  </si>
  <si>
    <t>Divestment Deals</t>
  </si>
  <si>
    <t>M&amp;A Deals</t>
  </si>
  <si>
    <t>GraphIndustryFCFByTD</t>
  </si>
  <si>
    <t>GraphLTD</t>
  </si>
  <si>
    <t>GraphGrowthLTD</t>
  </si>
  <si>
    <t>Key Developments</t>
  </si>
  <si>
    <t>NoteBox</t>
  </si>
  <si>
    <t>Key Figures and Ratios</t>
  </si>
  <si>
    <t>Key Financial Trend</t>
  </si>
  <si>
    <t>Max Limit:</t>
  </si>
  <si>
    <t>GraphROCEVsEBITDAMargin</t>
  </si>
  <si>
    <t>GraphIndustryFAT</t>
  </si>
  <si>
    <t>Buyer/Seller Name(s)</t>
  </si>
  <si>
    <t>Revenue, Earnings and Cash ($ million)</t>
  </si>
  <si>
    <t>Total Deposits to Total Assets</t>
  </si>
  <si>
    <t>GraphIndustryTDByTA</t>
  </si>
  <si>
    <t>Total OpEx (Non-Interest Expense)</t>
  </si>
  <si>
    <t>Cost Proportion %</t>
  </si>
  <si>
    <t>Non-Interest Expense</t>
  </si>
  <si>
    <t>Loan Composition</t>
  </si>
  <si>
    <t>GraphExpenseDistribution_Fin</t>
  </si>
  <si>
    <t>GraphExpenseMargins_Fin</t>
  </si>
  <si>
    <t>GraphEBTGrowth_Fin</t>
  </si>
  <si>
    <t>GraphInterestIncomeGrowth_Fin</t>
  </si>
  <si>
    <t>GraphNonInterestIncomeGrowth_Fin</t>
  </si>
  <si>
    <t>Total Loans to Number of Branches</t>
  </si>
  <si>
    <t>Total Deposits to Number of Branches</t>
  </si>
  <si>
    <t>Net Profit to Number of Branches</t>
  </si>
  <si>
    <t>Management Ratios</t>
  </si>
  <si>
    <t>IQ_NUM_BRANCHES</t>
  </si>
  <si>
    <t>Number of Branches</t>
  </si>
  <si>
    <t>Allowance for Loan Loss / Gross Loans</t>
  </si>
  <si>
    <t>Allowance for Loan Loss to Gross Loans</t>
  </si>
  <si>
    <t>Historical Analysis (Loan Analysis)</t>
  </si>
  <si>
    <t>Historical Analysis (Earning Ratios)</t>
  </si>
  <si>
    <t>Historical Analysis (Liquidity Ratios)</t>
  </si>
  <si>
    <t>Historical Analysis (Expense Analysis)</t>
  </si>
  <si>
    <t>NPLs / Total Loans</t>
  </si>
  <si>
    <t>Non Performing Loans / Total Loans</t>
  </si>
  <si>
    <t>Total Capital Growth</t>
  </si>
  <si>
    <t>Tier 2 Capital Ratio</t>
  </si>
  <si>
    <t>GraphIndustryTierTwo</t>
  </si>
  <si>
    <t>Historical Analysis (Capital Adequacy and Asset Quality Ratios)</t>
  </si>
  <si>
    <t>IQ_RD_EXP_FN</t>
  </si>
  <si>
    <t>IQ_DA_EBITDA</t>
  </si>
  <si>
    <t>Total Debt / (EBITDA-CAPEX)</t>
  </si>
  <si>
    <t>Net Debt / (EBITDA-CAPEX)</t>
  </si>
  <si>
    <t>Historical Analysis (Top-Line Analysis)</t>
  </si>
  <si>
    <t>Historical Analysis (Ratio Analysis)</t>
  </si>
  <si>
    <t>Historical Analysis (Profitability Analysis)</t>
  </si>
  <si>
    <t>Graph No.</t>
  </si>
  <si>
    <t>Center Align (Range)</t>
  </si>
  <si>
    <t>Slide Title</t>
  </si>
  <si>
    <t>B31:O62</t>
  </si>
  <si>
    <t>Non Performing Loans %</t>
  </si>
  <si>
    <t>Loan Loss Provision to Net Loans</t>
  </si>
  <si>
    <t>CFOP/Rev %</t>
  </si>
  <si>
    <t>NPL / Total Loans</t>
  </si>
  <si>
    <t>IQ_NON_PERFORMING_ASSETS</t>
  </si>
  <si>
    <t>Fiscal Period Ended:</t>
  </si>
  <si>
    <t>Calendar Period Ended:</t>
  </si>
  <si>
    <t>Fiscal Year Ended:</t>
  </si>
  <si>
    <t>&lt;--Max</t>
  </si>
  <si>
    <t>&lt;--Min</t>
  </si>
  <si>
    <t>Note: News sourced for last 6 months</t>
  </si>
  <si>
    <t>P/E</t>
  </si>
  <si>
    <t>P/BV</t>
  </si>
  <si>
    <t>Profitability Margins</t>
  </si>
  <si>
    <t>Cost Margins</t>
  </si>
  <si>
    <t>Working Capital Cycle</t>
  </si>
  <si>
    <t>Return Ratios</t>
  </si>
  <si>
    <t>Other Ratios</t>
  </si>
  <si>
    <t>% Chg</t>
  </si>
  <si>
    <t>A5:K29</t>
  </si>
  <si>
    <t>Earning Ratios</t>
  </si>
  <si>
    <t>Asset Quality Ratios</t>
  </si>
  <si>
    <t>Liquidity Ratios</t>
  </si>
  <si>
    <t>A5:K28</t>
  </si>
  <si>
    <t>End Period (Fiscal)</t>
  </si>
  <si>
    <t>Ending Fiscal Year</t>
  </si>
  <si>
    <t>Fiscal Periods</t>
  </si>
  <si>
    <t>Calendar Periods</t>
  </si>
  <si>
    <t>Company Year=</t>
  </si>
  <si>
    <t>Company Quarter=</t>
  </si>
  <si>
    <t>Ending Fiscal Month</t>
  </si>
  <si>
    <t>Ending Fiscal Quarter</t>
  </si>
  <si>
    <t>Company Profile</t>
  </si>
  <si>
    <t>Compare:</t>
  </si>
  <si>
    <t>Period:</t>
  </si>
  <si>
    <t>Company Overview</t>
  </si>
  <si>
    <t>SectionRoadMap</t>
  </si>
  <si>
    <t>Operating Performance</t>
  </si>
  <si>
    <t>Turnover Ratios</t>
  </si>
  <si>
    <t>Recent Developments</t>
  </si>
  <si>
    <t>Slide 8</t>
  </si>
  <si>
    <t>Note: Top 10 financial and legal advisors have been extracted by arranging last three years data in descending by most recent transaction date</t>
  </si>
  <si>
    <t>Note: Top 10 acquisition and divestment deals have been extracted by arranging M&amp;A transactions in descending order of announced date; cancelled deals are not shown</t>
  </si>
  <si>
    <t>IQ_FY-7</t>
  </si>
  <si>
    <t>IQ_LTM-8</t>
  </si>
  <si>
    <t>Annual</t>
  </si>
  <si>
    <t>Peer List</t>
  </si>
  <si>
    <t>(For Cumulative Growth)</t>
  </si>
  <si>
    <t>Ownership</t>
  </si>
  <si>
    <t>P</t>
  </si>
  <si>
    <t>Source: S&amp;P Capital IQ</t>
  </si>
  <si>
    <t>Slide 6</t>
  </si>
  <si>
    <t>Slide 7</t>
  </si>
  <si>
    <t>Slide 0</t>
  </si>
  <si>
    <t>Slide 2</t>
  </si>
  <si>
    <t>About A&amp;M’s Insight Center</t>
  </si>
  <si>
    <t>AppendixSectionRoadMap</t>
  </si>
  <si>
    <t>Slide 5</t>
  </si>
  <si>
    <t>B5:C29</t>
  </si>
  <si>
    <t>Slide 9</t>
  </si>
  <si>
    <t>Historical Analysis (Profitability Analysis) (1/2)</t>
  </si>
  <si>
    <t>Historical Analysis (Profitability Analysis) (2/2)</t>
  </si>
  <si>
    <t>Earning Ratios (1/2)</t>
  </si>
  <si>
    <t>Earning Ratios (2/2)</t>
  </si>
  <si>
    <t>Active Professional Affiliation</t>
  </si>
  <si>
    <t>Prior Professional Affiliation</t>
  </si>
  <si>
    <t>Active Board Membership</t>
  </si>
  <si>
    <t>Prior Board Membership</t>
  </si>
  <si>
    <t>Job Functions</t>
  </si>
  <si>
    <t>IQ_INDIVIDUAL_ACTIVE_PRO_AFFILIATIONS</t>
  </si>
  <si>
    <t>IQ_INDIVIDUAL_PRIOR_PRO_AFFILIATIONS</t>
  </si>
  <si>
    <t>IQ_INDIVIDUAL_ACTIVE_BOARD_MEMBERSHIPS</t>
  </si>
  <si>
    <t>IQ_INDIVIDUAL_PRIOR_BOARD_MEMBERSHIPS</t>
  </si>
  <si>
    <t>IQ_INDIVIDUAL_JOB_FUNCTIONS</t>
  </si>
  <si>
    <t>Board Members</t>
  </si>
  <si>
    <t>Title</t>
  </si>
  <si>
    <t>Key Professional Details</t>
  </si>
  <si>
    <t>Key Board Member Details</t>
  </si>
  <si>
    <t>$B$5:$C$16</t>
  </si>
  <si>
    <t>Key Professionals And Key Board Members</t>
  </si>
  <si>
    <t>$B$70:$C$81</t>
  </si>
  <si>
    <t>Slide 10</t>
  </si>
  <si>
    <t>B5:H10</t>
  </si>
  <si>
    <t>Financials</t>
  </si>
  <si>
    <t>Non Financials</t>
  </si>
  <si>
    <r>
      <t>Board Memberships: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NA</t>
    </r>
  </si>
  <si>
    <t>Overview</t>
  </si>
  <si>
    <t>Professionals</t>
  </si>
  <si>
    <t>Input</t>
  </si>
  <si>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NA</t>
    </r>
  </si>
  <si>
    <t>A5:C49</t>
  </si>
  <si>
    <t>Dentons Europe, Association d'Avocats à Responsabilité Professionnelle Individuelle</t>
  </si>
  <si>
    <t>August Debouzy</t>
  </si>
  <si>
    <t>Sidley Austin LLP</t>
  </si>
  <si>
    <t>PricewaterhouseCoopers LLP</t>
  </si>
  <si>
    <t>MUFG Securities Americas Inc.</t>
  </si>
  <si>
    <t>J.P. Morgan Securities LLC</t>
  </si>
  <si>
    <t>Citigroup Global Markets Inc.</t>
  </si>
  <si>
    <t>BNP Paribas Securities Corp.</t>
  </si>
  <si>
    <t>Barclays Capital Inc.</t>
  </si>
  <si>
    <t>Goodwin Procter LLP</t>
  </si>
  <si>
    <t>Freshfields Bruckhaus Deringer US LLP</t>
  </si>
  <si>
    <t>Cleary Gottlieb Steen &amp; Hamilton LLP</t>
  </si>
  <si>
    <t>Wells Fargo Securities, LLC</t>
  </si>
  <si>
    <t>Mizuho Securities USA LLC</t>
  </si>
  <si>
    <t>BofA Securities, Inc.</t>
  </si>
  <si>
    <t>Baker &amp; McKenzie France</t>
  </si>
  <si>
    <t>Accounting</t>
  </si>
  <si>
    <t>B5:E22</t>
  </si>
  <si>
    <t>B5:I9</t>
  </si>
  <si>
    <t>A4:F20</t>
  </si>
  <si>
    <r>
      <t>Job functions:</t>
    </r>
    <r>
      <rPr>
        <sz val="8"/>
        <color rgb="FF767171"/>
        <rFont val="Arial"/>
        <family val="2"/>
      </rPr>
      <t xml:space="preserve"> Chief Executive Officer, Chief Operating Officer(Prior), Member of Executive Committee, Member of the Board of Directors, Other Key Executive(Prior), President, Senior Key Executive(Prior), Unit President(Prior)</t>
    </r>
  </si>
  <si>
    <r>
      <t>Board Memberships:</t>
    </r>
    <r>
      <rPr>
        <sz val="8"/>
        <color rgb="FF767171"/>
        <rFont val="Arial"/>
        <family val="2"/>
      </rPr>
      <t xml:space="preserve"> </t>
    </r>
    <r>
      <rPr>
        <b/>
        <sz val="8"/>
        <color rgb="FF767171"/>
        <rFont val="Arial"/>
        <family val="2"/>
      </rPr>
      <t>[Active]</t>
    </r>
    <r>
      <rPr>
        <sz val="8"/>
        <color rgb="FF767171"/>
        <rFont val="Arial"/>
        <family val="2"/>
      </rPr>
      <t xml:space="preserve"> Agilent Technologies, Inc., Coherent, Inc. </t>
    </r>
    <r>
      <rPr>
        <b/>
        <sz val="8"/>
        <color rgb="FF767171"/>
        <rFont val="Arial"/>
        <family val="2"/>
      </rPr>
      <t>[Prior]</t>
    </r>
    <r>
      <rPr>
        <sz val="8"/>
        <color rgb="FF767171"/>
        <rFont val="Arial"/>
        <family val="2"/>
      </rPr>
      <t xml:space="preserve"> NA</t>
    </r>
  </si>
  <si>
    <r>
      <t>Other Company Affiliations:</t>
    </r>
    <r>
      <rPr>
        <sz val="8"/>
        <color rgb="FF767171"/>
        <rFont val="Arial"/>
        <family val="2"/>
      </rPr>
      <t xml:space="preserve"> </t>
    </r>
    <r>
      <rPr>
        <b/>
        <sz val="8"/>
        <color rgb="FF767171"/>
        <rFont val="Arial"/>
        <family val="2"/>
      </rPr>
      <t>[Prior]</t>
    </r>
    <r>
      <rPr>
        <sz val="8"/>
        <color rgb="FF767171"/>
        <rFont val="Arial"/>
        <family val="2"/>
      </rPr>
      <t xml:space="preserve"> NA</t>
    </r>
  </si>
  <si>
    <r>
      <t>Job functions:</t>
    </r>
    <r>
      <rPr>
        <sz val="8"/>
        <color rgb="FF767171"/>
        <rFont val="Arial"/>
        <family val="2"/>
      </rPr>
      <t xml:space="preserve"> Chief Financial Officer, Senior Key Executive(Prior)</t>
    </r>
  </si>
  <si>
    <r>
      <t>Other Company Affiliations:</t>
    </r>
    <r>
      <rPr>
        <sz val="8"/>
        <color rgb="FF767171"/>
        <rFont val="Arial"/>
        <family val="2"/>
      </rPr>
      <t xml:space="preserve"> </t>
    </r>
    <r>
      <rPr>
        <b/>
        <sz val="8"/>
        <color rgb="FF767171"/>
        <rFont val="Arial"/>
        <family val="2"/>
      </rPr>
      <t>[Prior]</t>
    </r>
    <r>
      <rPr>
        <sz val="8"/>
        <color rgb="FF767171"/>
        <rFont val="Arial"/>
        <family val="2"/>
      </rPr>
      <t xml:space="preserve"> Hologic, Inc.</t>
    </r>
  </si>
  <si>
    <r>
      <t>Job functions:</t>
    </r>
    <r>
      <rPr>
        <sz val="8"/>
        <color rgb="FF767171"/>
        <rFont val="Arial"/>
        <family val="2"/>
      </rPr>
      <t xml:space="preserve"> Assistant Secretary(Prior), Chief Legal Officer, Legal Professional(Prior), Other Key Executive(Prior), Secretary</t>
    </r>
  </si>
  <si>
    <r>
      <t>Job functions:</t>
    </r>
    <r>
      <rPr>
        <sz val="8"/>
        <color rgb="FF767171"/>
        <rFont val="Arial"/>
        <family val="2"/>
      </rPr>
      <t xml:space="preserve"> Senior Key Executive, Unit President(Prior)</t>
    </r>
  </si>
  <si>
    <r>
      <t>Other Company Affiliations:</t>
    </r>
    <r>
      <rPr>
        <sz val="8"/>
        <color rgb="FF767171"/>
        <rFont val="Arial"/>
        <family val="2"/>
      </rPr>
      <t xml:space="preserve"> </t>
    </r>
    <r>
      <rPr>
        <b/>
        <sz val="8"/>
        <color rgb="FF767171"/>
        <rFont val="Arial"/>
        <family val="2"/>
      </rPr>
      <t>[Prior]</t>
    </r>
    <r>
      <rPr>
        <sz val="8"/>
        <color rgb="FF767171"/>
        <rFont val="Arial"/>
        <family val="2"/>
      </rPr>
      <t xml:space="preserve"> Dako A/S</t>
    </r>
  </si>
  <si>
    <r>
      <t>Job functions:</t>
    </r>
    <r>
      <rPr>
        <sz val="8"/>
        <color rgb="FF767171"/>
        <rFont val="Arial"/>
        <family val="2"/>
      </rPr>
      <t xml:space="preserve"> Head of Corporate Development(Prior), Senior Key Executive, Unit President(Prior)</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</si>
  <si>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Luminex Madison </t>
    </r>
    <r>
      <rPr>
        <b/>
        <sz val="8"/>
        <color rgb="FF767171"/>
        <rFont val="Arial"/>
        <family val="2"/>
      </rPr>
      <t>[Prior]</t>
    </r>
    <r>
      <rPr>
        <sz val="8"/>
        <color rgb="FF767171"/>
        <rFont val="Arial"/>
        <family val="2"/>
      </rPr>
      <t xml:space="preserve"> Incyte Corporation</t>
    </r>
  </si>
  <si>
    <r>
      <t>Job functions:</t>
    </r>
    <r>
      <rPr>
        <sz val="8"/>
        <color rgb="FF767171"/>
        <rFont val="Arial"/>
        <family val="2"/>
      </rPr>
      <t xml:space="preserve"> Chief Accounting Officer, Controller, Investor Relations Professional(Prior), Other Key Executive(Prior)</t>
    </r>
  </si>
  <si>
    <r>
      <t>Job functions:</t>
    </r>
    <r>
      <rPr>
        <sz val="8"/>
        <color rgb="FF767171"/>
        <rFont val="Arial"/>
        <family val="2"/>
      </rPr>
      <t xml:space="preserve"> Chief Technology Officer, Senior Key Executive(Prior), Unit Board Member(Prior)</t>
    </r>
  </si>
  <si>
    <r>
      <t>Board Memberships:</t>
    </r>
    <r>
      <rPr>
        <sz val="8"/>
        <color rgb="FF767171"/>
        <rFont val="Arial"/>
        <family val="2"/>
      </rPr>
      <t xml:space="preserve"> </t>
    </r>
    <r>
      <rPr>
        <b/>
        <sz val="8"/>
        <color rgb="FF767171"/>
        <rFont val="Arial"/>
        <family val="2"/>
      </rPr>
      <t>[Active]</t>
    </r>
    <r>
      <rPr>
        <sz val="8"/>
        <color rgb="FF767171"/>
        <rFont val="Arial"/>
        <family val="2"/>
      </rPr>
      <t xml:space="preserve"> Argos Tech, LLC, Materion Corporation </t>
    </r>
    <r>
      <rPr>
        <b/>
        <sz val="8"/>
        <color rgb="FF767171"/>
        <rFont val="Arial"/>
        <family val="2"/>
      </rPr>
      <t>[Prior]</t>
    </r>
    <r>
      <rPr>
        <sz val="8"/>
        <color rgb="FF767171"/>
        <rFont val="Arial"/>
        <family val="2"/>
      </rPr>
      <t xml:space="preserve"> Agilent Technologies, Inc.</t>
    </r>
  </si>
  <si>
    <r>
      <t>Job functions:</t>
    </r>
    <r>
      <rPr>
        <sz val="8"/>
        <color rgb="FF767171"/>
        <rFont val="Arial"/>
        <family val="2"/>
      </rPr>
      <t xml:space="preserve"> Head of Corporate Communications, Head of Human Resources, Human Resources Professional(Prior), Other Key Executive(Prior)</t>
    </r>
  </si>
  <si>
    <r>
      <t>Job functions:</t>
    </r>
    <r>
      <rPr>
        <sz val="8"/>
        <color rgb="FF767171"/>
        <rFont val="Arial"/>
        <family val="2"/>
      </rPr>
      <t xml:space="preserve"> Head of Corporate Development</t>
    </r>
  </si>
  <si>
    <r>
      <t>Job functions:</t>
    </r>
    <r>
      <rPr>
        <sz val="8"/>
        <color rgb="FF767171"/>
        <rFont val="Arial"/>
        <family val="2"/>
      </rPr>
      <t xml:space="preserve"> Chief Information Officer(Prior), Senior Key Executive, Senior Key Executive(Prior)</t>
    </r>
  </si>
  <si>
    <r>
      <t>Job functions:</t>
    </r>
    <r>
      <rPr>
        <sz val="8"/>
        <color rgb="FF767171"/>
        <rFont val="Arial"/>
        <family val="2"/>
      </rPr>
      <t xml:space="preserve"> Chairman of Compensation Committee(Prior), Chairman of Corporate Governance Committee, Chairman of Executive Committee, Chairman of Nominating Committee, Chairman of the Board, Co-Chairman of Compensation Committee(Prior), Member of Compensation Committee(Prior), Member of Corporate Governance Committee, Member of Executive Committee,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</si>
  <si>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Altara Ventures, Bank Pictet &amp; Cie (Asia) Ltd, Far East Orchard Limited, GIC Pte. Ltd., Infiniti Solutions Pte. Ltd., Media Ring Ltd, Mobile FutureWorks, Inc., Omni Mold Ltd., Providential Capital Management Limited, Singapore Telecommunications Limited, Sunningdale Tech Ltd, Yeo Hiap Seng Malaysia Bhd </t>
    </r>
    <r>
      <rPr>
        <b/>
        <sz val="8"/>
        <color rgb="FF767171"/>
        <rFont val="Arial"/>
        <family val="2"/>
      </rPr>
      <t>[Prior]</t>
    </r>
    <r>
      <rPr>
        <sz val="8"/>
        <color rgb="FF767171"/>
        <rFont val="Arial"/>
        <family val="2"/>
      </rPr>
      <t xml:space="preserve"> AAC Technologies Holdings Inc., Accelyst Solutions Pvt. Ltd., BroadVision, Inc., Centre for Effective Leadership (Asia) Pte Ltd., DBS Bank Ltd., DBS Group Holdings Ltd, Digilife Technologies Limited, Far East Hospitality Trust, Innovalues Limited, Intelsat Investments S.A., Metech International Limited, Omni Industries Ltd. (Singapore), Palred Technologies Limited, Razer Inc., SIA Engineering Company Limited, Singapore Airlines Limited, Sunningdale Precision Industries Ltd, Telstra Internet (S) Pte. Ltd., Temasek Holdings (Private) Limited, UMS Holdings Limited, Yeo Hiap Seng Limited, YuuZoo Networks Group Corporation</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</si>
  <si>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Altara Ventures, Altara Ventures, Innovalues Limited, Media Ring Ltd </t>
    </r>
    <r>
      <rPr>
        <b/>
        <sz val="8"/>
        <color rgb="FF767171"/>
        <rFont val="Arial"/>
        <family val="2"/>
      </rPr>
      <t>[Prior]</t>
    </r>
    <r>
      <rPr>
        <sz val="8"/>
        <color rgb="FF767171"/>
        <rFont val="Arial"/>
        <family val="2"/>
      </rPr>
      <t xml:space="preserve"> DBS Group Holdings Ltd, Digilife Technologies Limited, HP Inc., QAD Inc., Sunningdale Precision Industries Ltd, Sunningdale Tech Ltd</t>
    </r>
  </si>
  <si>
    <r>
      <t>Other Boards:</t>
    </r>
    <r>
      <rPr>
        <sz val="8"/>
        <color rgb="FF767171"/>
        <rFont val="Arial"/>
        <family val="2"/>
      </rPr>
      <t xml:space="preserve"> </t>
    </r>
    <r>
      <rPr>
        <b/>
        <sz val="8"/>
        <color rgb="FF767171"/>
        <rFont val="Arial"/>
        <family val="2"/>
      </rPr>
      <t>[Active]</t>
    </r>
    <r>
      <rPr>
        <sz val="8"/>
        <color rgb="FF767171"/>
        <rFont val="Arial"/>
        <family val="2"/>
      </rPr>
      <t xml:space="preserve">  Coherent, Inc. </t>
    </r>
    <r>
      <rPr>
        <b/>
        <sz val="8"/>
        <color rgb="FF767171"/>
        <rFont val="Arial"/>
        <family val="2"/>
      </rPr>
      <t>[Prior]</t>
    </r>
    <r>
      <rPr>
        <sz val="8"/>
        <color rgb="FF767171"/>
        <rFont val="Arial"/>
        <family val="2"/>
      </rPr>
      <t xml:space="preserve"> NA</t>
    </r>
  </si>
  <si>
    <r>
      <t>Job functions:</t>
    </r>
    <r>
      <rPr>
        <sz val="8"/>
        <color rgb="FF767171"/>
        <rFont val="Arial"/>
        <family val="2"/>
      </rPr>
      <t xml:space="preserve"> Chairman of Audit Committee, Chairman of Finance Committee, Member of Audit Committee, Member of Compensation Committee(Prior), Member of Corporate Governance Committee, Member of Finance Committee,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</si>
  <si>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Cerevast Medical, Inc., Keysight Technologies, Inc. </t>
    </r>
    <r>
      <rPr>
        <b/>
        <sz val="8"/>
        <color rgb="FF767171"/>
        <rFont val="Arial"/>
        <family val="2"/>
      </rPr>
      <t>[Prior]</t>
    </r>
    <r>
      <rPr>
        <sz val="8"/>
        <color rgb="FF767171"/>
        <rFont val="Arial"/>
        <family val="2"/>
      </rPr>
      <t xml:space="preserve"> Abbott Laboratories, Agenus Inc., Amylin Pharmaceuticals, LLC, BIOLASE, Inc., Catalent Pharma Solutions, Inc., Envigo RMS, Inc., Genstar Capital, LLC, ICOS Corporation, Talecris Biotherapeutics Holdings Corp.</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</si>
  <si>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Abbott Laboratories, Genstar Capital, LLC, ICOS Corporation, Sandoz Inc.</t>
    </r>
  </si>
  <si>
    <r>
      <t>Job functions:</t>
    </r>
    <r>
      <rPr>
        <sz val="8"/>
        <color rgb="FF767171"/>
        <rFont val="Arial"/>
        <family val="2"/>
      </rPr>
      <t xml:space="preserve"> Chairman of Audit Committee(Prior), Chairman of Finance Committee(Prior), Member of Audit Committee(Prior), Member of Compensation Committee, Member of Corporate Governance Committee, Member of Finance Committee(Prior),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</si>
  <si>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Phathom Pharmaceuticals, Inc. </t>
    </r>
    <r>
      <rPr>
        <b/>
        <sz val="8"/>
        <color rgb="FF767171"/>
        <rFont val="Arial"/>
        <family val="2"/>
      </rPr>
      <t>[Prior]</t>
    </r>
    <r>
      <rPr>
        <sz val="8"/>
        <color rgb="FF767171"/>
        <rFont val="Arial"/>
        <family val="2"/>
      </rPr>
      <t xml:space="preserve"> Avanos Medical, Inc., Financial Engines, Inc.</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</si>
  <si>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Blue Shield of California Life &amp; Health Insurance Company, California Physicians' Service, Inc., The Gap, Inc.</t>
    </r>
  </si>
  <si>
    <r>
      <t>Job functions:</t>
    </r>
    <r>
      <rPr>
        <sz val="8"/>
        <color rgb="FF767171"/>
        <rFont val="Arial"/>
        <family val="2"/>
      </rPr>
      <t xml:space="preserve"> Member of Compensation Committee, Member of Corporate Governance Committee,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</si>
  <si>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Biogen Idec Ltd., California Life Sciences Association, Octave Bioscience, Inc., QB3, Symphony Evolution, Inc., Vir Biotechnology, Inc. </t>
    </r>
    <r>
      <rPr>
        <b/>
        <sz val="8"/>
        <color rgb="FF767171"/>
        <rFont val="Arial"/>
        <family val="2"/>
      </rPr>
      <t>[Prior]</t>
    </r>
    <r>
      <rPr>
        <sz val="8"/>
        <color rgb="FF767171"/>
        <rFont val="Arial"/>
        <family val="2"/>
      </rPr>
      <t xml:space="preserve"> Anadys Pharmaceuticals Inc., Bay Area Bioscience Association, Biogen Inc., Decibel Therapeutics, Inc., Entelos, Inc., Exelixis, Inc., Onyx Pharmaceuticals, Inc.</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</si>
  <si>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Biogen Idec Ltd., Vir Biotechnology, Inc. </t>
    </r>
    <r>
      <rPr>
        <b/>
        <sz val="8"/>
        <color rgb="FF767171"/>
        <rFont val="Arial"/>
        <family val="2"/>
      </rPr>
      <t>[Prior]</t>
    </r>
    <r>
      <rPr>
        <sz val="8"/>
        <color rgb="FF767171"/>
        <rFont val="Arial"/>
        <family val="2"/>
      </rPr>
      <t xml:space="preserve"> Bayer Corporation, Biogen Inc., Exelixis, Inc., X-Ceptor Therapeutics, Inc.</t>
    </r>
  </si>
  <si>
    <r>
      <t>Job functions:</t>
    </r>
    <r>
      <rPr>
        <sz val="8"/>
        <color rgb="FF767171"/>
        <rFont val="Arial"/>
        <family val="2"/>
      </rPr>
      <t xml:space="preserve"> Member of Audit Committee, Member of Corporate Governance Committee, Member of Finance Committee,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</si>
  <si>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Antibe Therapeutics Inc. </t>
    </r>
    <r>
      <rPr>
        <b/>
        <sz val="8"/>
        <color rgb="FF767171"/>
        <rFont val="Arial"/>
        <family val="2"/>
      </rPr>
      <t>[Prior]</t>
    </r>
    <r>
      <rPr>
        <sz val="8"/>
        <color rgb="FF767171"/>
        <rFont val="Arial"/>
        <family val="2"/>
      </rPr>
      <t xml:space="preserve"> GlaxoSmithKline plc, The GI Company, Inc.</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</si>
  <si>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Mass General Brigham Incorporated, The GI Company, Inc.</t>
    </r>
  </si>
  <si>
    <r>
      <t>Job functions:</t>
    </r>
    <r>
      <rPr>
        <sz val="8"/>
        <color rgb="FF767171"/>
        <rFont val="Arial"/>
        <family val="2"/>
      </rPr>
      <t xml:space="preserve"> Member of Audit Committee, Member of Compensation Committee(Prior), Member of Corporate Governance Committee, Member of Finance Committee, Member of Nominating Committee, Member of the Board of Directors</t>
    </r>
  </si>
  <si>
    <r>
      <t>Other Boards:</t>
    </r>
    <r>
      <rPr>
        <sz val="8"/>
        <color rgb="FF767171"/>
        <rFont val="Arial"/>
        <family val="2"/>
      </rPr>
      <t xml:space="preserve"> </t>
    </r>
    <r>
      <rPr>
        <b/>
        <sz val="8"/>
        <color rgb="FF767171"/>
        <rFont val="Arial"/>
        <family val="2"/>
      </rPr>
      <t>[Active]</t>
    </r>
    <r>
      <rPr>
        <sz val="8"/>
        <color rgb="FF767171"/>
        <rFont val="Arial"/>
        <family val="2"/>
      </rPr>
      <t xml:space="preserve">  Cabot Corporation </t>
    </r>
    <r>
      <rPr>
        <b/>
        <sz val="8"/>
        <color rgb="FF767171"/>
        <rFont val="Arial"/>
        <family val="2"/>
      </rPr>
      <t>[Prior]</t>
    </r>
    <r>
      <rPr>
        <sz val="8"/>
        <color rgb="FF767171"/>
        <rFont val="Arial"/>
        <family val="2"/>
      </rPr>
      <t xml:space="preserve"> Bayer Aktiengesellschaft, Shanghai SECCO Petrochemical Co., Ltd</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</si>
  <si>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BP p.l.c.</t>
    </r>
  </si>
  <si>
    <r>
      <t>Other Boards:</t>
    </r>
    <r>
      <rPr>
        <sz val="8"/>
        <color rgb="FF767171"/>
        <rFont val="Arial"/>
        <family val="2"/>
      </rPr>
      <t xml:space="preserve"> </t>
    </r>
    <r>
      <rPr>
        <b/>
        <sz val="8"/>
        <color rgb="FF767171"/>
        <rFont val="Arial"/>
        <family val="2"/>
      </rPr>
      <t>[Active]</t>
    </r>
    <r>
      <rPr>
        <sz val="8"/>
        <color rgb="FF767171"/>
        <rFont val="Arial"/>
        <family val="2"/>
      </rPr>
      <t xml:space="preserve">  California Life Sciences Association, JW (Cayman) Therapeutics Co. Ltd, Lyell Immunopharma, Inc., Sana Biotechnology, Inc. </t>
    </r>
    <r>
      <rPr>
        <b/>
        <sz val="8"/>
        <color rgb="FF767171"/>
        <rFont val="Arial"/>
        <family val="2"/>
      </rPr>
      <t>[Prior]</t>
    </r>
    <r>
      <rPr>
        <sz val="8"/>
        <color rgb="FF767171"/>
        <rFont val="Arial"/>
        <family val="2"/>
      </rPr>
      <t xml:space="preserve"> Avanir Pharmaceuticals, Inc., Celgene Corporation, GRAIL, Inc., Iovance Biotherapeutics, Inc., Juno Therapeutics, Inc.</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</si>
  <si>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GRAIL, Inc. </t>
    </r>
    <r>
      <rPr>
        <b/>
        <sz val="8"/>
        <color rgb="FF767171"/>
        <rFont val="Arial"/>
        <family val="2"/>
      </rPr>
      <t>[Prior]</t>
    </r>
    <r>
      <rPr>
        <sz val="8"/>
        <color rgb="FF767171"/>
        <rFont val="Arial"/>
        <family val="2"/>
      </rPr>
      <t xml:space="preserve"> Dendreon Corporation, Iovance Biotherapeutics, Inc., Juno Therapeutics, Inc.</t>
    </r>
  </si>
  <si>
    <r>
      <t>Other Boards:</t>
    </r>
    <r>
      <rPr>
        <sz val="8"/>
        <color rgb="FF767171"/>
        <rFont val="Arial"/>
        <family val="2"/>
      </rPr>
      <t xml:space="preserve"> </t>
    </r>
    <r>
      <rPr>
        <b/>
        <sz val="8"/>
        <color rgb="FF767171"/>
        <rFont val="Arial"/>
        <family val="2"/>
      </rPr>
      <t>[Active]</t>
    </r>
    <r>
      <rPr>
        <sz val="8"/>
        <color rgb="FF767171"/>
        <rFont val="Arial"/>
        <family val="2"/>
      </rPr>
      <t xml:space="preserve">  Saba Software, Inc., Varian Medical Systems, Inc. </t>
    </r>
    <r>
      <rPr>
        <b/>
        <sz val="8"/>
        <color rgb="FF767171"/>
        <rFont val="Arial"/>
        <family val="2"/>
      </rPr>
      <t>[Prior]</t>
    </r>
    <r>
      <rPr>
        <sz val="8"/>
        <color rgb="FF767171"/>
        <rFont val="Arial"/>
        <family val="2"/>
      </rPr>
      <t xml:space="preserve"> Varex Imaging Corporation</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</si>
  <si>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Varian Medical Systems, Inc.</t>
    </r>
  </si>
  <si>
    <r>
      <t>Other Boards:</t>
    </r>
    <r>
      <rPr>
        <sz val="8"/>
        <color rgb="FF767171"/>
        <rFont val="Arial"/>
        <family val="2"/>
      </rPr>
      <t xml:space="preserve"> </t>
    </r>
    <r>
      <rPr>
        <b/>
        <sz val="8"/>
        <color rgb="FF767171"/>
        <rFont val="Arial"/>
        <family val="2"/>
      </rPr>
      <t>[Prior]</t>
    </r>
    <r>
      <rPr>
        <sz val="8"/>
        <color rgb="FF767171"/>
        <rFont val="Arial"/>
        <family val="2"/>
      </rPr>
      <t xml:space="preserve"> Cotiviti Holdings, Inc.</t>
    </r>
  </si>
  <si>
    <r>
      <t>Other Company Affiliations:</t>
    </r>
    <r>
      <rPr>
        <sz val="8"/>
        <color rgb="FF767171"/>
        <rFont val="Arial"/>
        <family val="2"/>
      </rPr>
      <t xml:space="preserve"> </t>
    </r>
    <r>
      <rPr>
        <b/>
        <sz val="8"/>
        <color rgb="FF767171"/>
        <rFont val="Arial"/>
        <family val="2"/>
      </rPr>
      <t>[Active]</t>
    </r>
    <r>
      <rPr>
        <sz val="8"/>
        <color rgb="FF767171"/>
        <rFont val="Arial"/>
        <family val="2"/>
      </rPr>
      <t xml:space="preserve"> NA </t>
    </r>
    <r>
      <rPr>
        <b/>
        <sz val="8"/>
        <color rgb="FF767171"/>
        <rFont val="Arial"/>
        <family val="2"/>
      </rPr>
      <t>[Prior]</t>
    </r>
    <r>
      <rPr>
        <sz val="8"/>
        <color rgb="FF767171"/>
        <rFont val="Arial"/>
        <family val="2"/>
      </rPr>
      <t xml:space="preserve"> Cisco Systems, Inc., Informative, Inc.</t>
    </r>
  </si>
  <si>
    <t>A51:C164</t>
  </si>
  <si>
    <t>A166:C233</t>
  </si>
  <si>
    <t>A235:C325</t>
  </si>
  <si>
    <t>A327:C417</t>
  </si>
  <si>
    <t>A419:C486</t>
  </si>
  <si>
    <t>A488:C601</t>
  </si>
  <si>
    <t>Short</t>
  </si>
  <si>
    <t>B5:J36</t>
  </si>
  <si>
    <t>$B$5:$J$36</t>
  </si>
  <si>
    <t>Picture!</t>
  </si>
  <si>
    <t>B160:O193</t>
  </si>
  <si>
    <t>NYSE:WMT</t>
  </si>
  <si>
    <t>IQ2667768</t>
  </si>
  <si>
    <t>IQ2667675</t>
  </si>
  <si>
    <t>IQ27580580</t>
  </si>
  <si>
    <t>IQKD1770360180</t>
  </si>
  <si>
    <t>IQKD1771794923</t>
  </si>
  <si>
    <t>IQKD1771773918</t>
  </si>
  <si>
    <t>IQKD1771774328</t>
  </si>
  <si>
    <t>IQKD695535177</t>
  </si>
  <si>
    <t>IQKD1771790482</t>
  </si>
  <si>
    <t>IQKD1763476500</t>
  </si>
  <si>
    <t>IQKD1765987560</t>
  </si>
  <si>
    <t>IQKD1765984616</t>
  </si>
  <si>
    <t>IQKD1765571711</t>
  </si>
  <si>
    <t>IQKD1765215699</t>
  </si>
  <si>
    <t>IQKD1764890654</t>
  </si>
  <si>
    <t>IQKD1764074084</t>
  </si>
  <si>
    <t>IQKD1764706681</t>
  </si>
  <si>
    <t>IQKD1686842798</t>
  </si>
  <si>
    <t>IQKD1765005918</t>
  </si>
  <si>
    <t>IQKD1763257302</t>
  </si>
  <si>
    <t>IQKD1761689706</t>
  </si>
  <si>
    <t>IQKD1761544824</t>
  </si>
  <si>
    <t>IQKD1760485757</t>
  </si>
  <si>
    <t>IQKD1759551469</t>
  </si>
  <si>
    <t>IQKD1673606891</t>
  </si>
  <si>
    <t>IQKD1760278475</t>
  </si>
  <si>
    <t>IQKD1759953930</t>
  </si>
  <si>
    <t>IQKD1759954047</t>
  </si>
  <si>
    <t>IQKD1759303440</t>
  </si>
  <si>
    <t>IQKD1758808352</t>
  </si>
  <si>
    <t>IQKD1758576151</t>
  </si>
  <si>
    <t>IQKD1757438990</t>
  </si>
  <si>
    <t>IQKD1758968542</t>
  </si>
  <si>
    <t>IQKD1758556925</t>
  </si>
  <si>
    <t>IQKD695535095</t>
  </si>
  <si>
    <t>IQKD1674858743</t>
  </si>
  <si>
    <t>IQKD1686972873</t>
  </si>
  <si>
    <t>IQKD1758287627</t>
  </si>
  <si>
    <t>IQKD1673818540</t>
  </si>
  <si>
    <t>IQKD1683394515</t>
  </si>
  <si>
    <t>IQKD1749714864</t>
  </si>
  <si>
    <t>IQKD1686756125</t>
  </si>
  <si>
    <t>IQKD1686458725</t>
  </si>
  <si>
    <t>IQKD1686225304</t>
  </si>
  <si>
    <t>IQKD1685138822</t>
  </si>
  <si>
    <t>IQKD1685686719</t>
  </si>
  <si>
    <t>IQKD1685037506</t>
  </si>
  <si>
    <t>IQKD1685179037</t>
  </si>
  <si>
    <t>IQKD1685062682</t>
  </si>
  <si>
    <t>IQKD1685059765</t>
  </si>
  <si>
    <t>IQKD1685575335</t>
  </si>
  <si>
    <t>IQKD1684950381</t>
  </si>
  <si>
    <t>IQKD1675589583</t>
  </si>
  <si>
    <t>IQKD1684484546</t>
  </si>
  <si>
    <t>IQKD1684572962</t>
  </si>
  <si>
    <t>IQKD1682808546</t>
  </si>
  <si>
    <t>IQKD1683177012</t>
  </si>
  <si>
    <t>Walmart</t>
  </si>
  <si>
    <t>Costco</t>
  </si>
  <si>
    <t>CY2021</t>
  </si>
  <si>
    <t>FY2014</t>
  </si>
  <si>
    <t>FY2022</t>
  </si>
  <si>
    <t>IQKD1771636290</t>
  </si>
  <si>
    <t>IQKD1772279739</t>
  </si>
  <si>
    <t>IQKD1765775946</t>
  </si>
  <si>
    <t>IQKD1772171276</t>
  </si>
  <si>
    <t>IQKD1772620875</t>
  </si>
  <si>
    <t>IQKD1772508372</t>
  </si>
  <si>
    <t>IQKD1773599937</t>
  </si>
  <si>
    <t>IQKD1772311359</t>
  </si>
  <si>
    <t>IQKD1774012487</t>
  </si>
  <si>
    <t>IQKD1773147655</t>
  </si>
  <si>
    <t>IQKD1773881020</t>
  </si>
  <si>
    <t>IQKD1773771047</t>
  </si>
  <si>
    <t>IQKD1773725506</t>
  </si>
  <si>
    <t>IQKD1774555189</t>
  </si>
  <si>
    <t>IQKD1774642406</t>
  </si>
  <si>
    <t>IQKD1775278907</t>
  </si>
  <si>
    <t>IQKD1773597064</t>
  </si>
  <si>
    <t>SVEuTkFTREFRR1M6Q09TVC5JUV9UT1RBTF9FUVVJVFkuSVFfTFRNLTQuMy8yNS8yMDIyLkwuLlVTRC5IAQAAAJFqAQACAAAABTE2MTI5AQgAAAAFAAAAATEBAAAACy0yMTA4ODU1MzEzAwAAAAMxNjACAAAABDEyNzUEAAAAATAHAAAACTMvMjUvMjAyMggAAAAJMi8xNC8yMDIxCQAAAAEwYOOThz8O2gi7dljLTg7aCCpDSVEuTllTRTpXTVQuSVFfQ0xPU0VQUklDRS4zLzI1LzIwMjEuVVNELkgBAAAA38YEAAIAAAAGMTM0LjAxAGDjk4c/DtoIyoTZyU4O2gg3Q0lRLk5ZU0U6V01ULklRX1NSX0JPTkRTX05PVEVTLklRX0ZZLTEuMy8yNS8yMDIyLkwuLlVTRAEAAADfxgQAAgAAAAw0NDc1Ny45NzYyODcBCAAAAAUAAAABMgEAAAALLTIxMDc2ODYyODEDAAAAAzE2MAIAAAAFMjE4MzQEAAAAATAHAAAACTMvMjUvMjAyMggAAAAJMS8zMS8yMDIxCQAAAAEwfsDAhz8O2ghQ4tjJTg7aCDVDSVEuTllTRTpXTVQuSVFfU0VDVVJFRF9ERUJULklRX0ZZLTIuMy8yNS8yMDIyLkwuLlVTRAEAAADfxgQAAgAAAAUyMjc4MgEIAAAABQAAAAEyAQAAAAstMjEwNzY4NjI5MQMAAAADMTYwAgAAAAUyMTgzNwQAAAABMAcAAAAJMy8yNS8yMDIyCAAAAAkxLzMxLzIwMjAJAAAAATB+wMCHPw7aCEWU2MlODtoIPUNJUS5OWVNFOldNVC5JUV9UT1RBTF9DT01NT05fRVFVSVRZLklRX0ZZLTIuMy8yNS8yMDIyLkwuRi5VU0QBAAAA38YE</t>
  </si>
  <si>
    <t>AAIAAAAFNzQ2NjkBCAAAAAUAAAABMQEAAAALLTIxMDc2ODYyOTEDAAAAAzE2MAIAAAAEMTAwNgQAAAABMAcAAAAJMy8yNS8yMDIyCAAAAAkxLzMxLzIwMjAJAAAAATB+wMCHPw7aCFDi2MlODtoIMUNJUS5OWVNFOldNVC5JUV9URVJNX0xPQU5TLklRX0ZZLjMvMjUvMjAyMi5MLi5VU0QBAAAA38YEAAMAAAAAAH7AwIc/DtoIUOLYyU4O2ggzQ0lRLk5ZU0U6V01ULklRX1VORFJBV05fUkMuSVFfRlktNi4zLzI1LzIwMjIuTC4uVVNEAQAAAN/GBAACAAAABTEyMjkyAQgAAAAFAAAAATIBAAAACjE4ODA3MTg3NjIDAAAAAzE2MAIAAAAFMjI1MTYEAAAAATAHAAAACTMvMjUvMjAyMggAAAAJMS8zMS8yMDE2CQAAAAEwfsDAhz8O2ghKu9jJTg7aCD9DSVEuTllTRTpXTVQuSVFfTkVUX0RFQlRfRUJJVERBX0NBUEVYLklRX0ZZLTIuMy8yNS8yMDIyLkwuRi5VU0QBAAAA38YEAAIAAAAIMi41MzUzMDMBCAAAAAUAAAABMQEAAAALLTIxMDc2ODYyOTEDAAAAAzE2MAIAAAAFMjMzMTQEAAAAATAHAAAACTMvMjUvMjAyMggAAAAJMS8zMS8yMDIwCQAAAAEw90fAhz8O2ghFlNjJTg7aCCtDSVEuTllTRTpXTVQuSVFfUkMuSVFfRlktMy4zLzI1LzIwMjIuTC4uVVNEAQAAAN/GBAACAAAAAzIwMAEIAAAABQAAAAEyAQAAAAoyMDg1MTMyOTMwAwAAAAMxNjACAAAABTIxNzA0BAAAAAEwBwAAAAkzLzI1LzIwMjIIAAAACTEvMzEv</t>
  </si>
  <si>
    <t>MjAxOQkAAAABMH7AwIc/DtoISrvYyU4O2gg1Q0lRLk5ZU0U6V01ULklRX1NFQ1VSRURfREVCVC5JUV9GWS01LjMvMjUvMjAyMi5MLi5VU0QBAAAA38YEAAIAAAAENjU2OAEIAAAABQAAAAEyAQAAAAoxOTUxNTQwMzM1AwAAAAMxNjACAAAABTIxODM3BAAAAAEwBwAAAAkzLzI1LzIwMjIIAAAACTEvMzEvMjAxNwkAAAABMH7AwIc/DtoISrvYyU4O2gg3Q0lRLk5ZU0U6V01ULklRX1NSX0JPTkRTX05PVEVTLklRX0ZZLTMuMy8yNS8yMDIyLkwuLlVTRAEAAADfxgQAAgAAAAw0Njc3NC4xOTEwNDYBCAAAAAUAAAABMgEAAAAKMjA4NTEzMjkzMAMAAAADMTYwAgAAAAUyMTgzNAQAAAABMAcAAAAJMy8yNS8yMDIyCAAAAAkxLzMxLzIwMTkJAAAAATB+wMCHPw7aCFDi2MlODtoIPUNJUS5OWVNFOldNVC5JUV9DQVBJVEFMX0xFQVNFU19UT1RBTC5JUV9GWS0yLjMvMjUvMjAyMi5MLi5VU0QBAAAA38YEAAIAAAAFMjI3ODIBCAAAAAUAAAABMgEAAAALLTIxMDc2ODYyOTEDAAAAAzE2MAIAAAAFMjM1MjIEAAAAATAHAAAACTMvMjUvMjAyMggAAAAJMS8zMS8yMDIwCQAAAAEwfsDAhz8O2ghKu9jJTg7aCDNDSVEuTllTRTpXTVQuSVFfVEVSTV9MT0FOUy5JUV9GWS0yLjMvMjUvMjAyMi5MLi5VU0QBAAAA38YEAAMAAAAAAH7AwIc/DtoIUOLYyU4O2ggzQ0lRLk5ZU0U6V01ULklRX1VORFJBV05fUkMuSVFfRlktMS4zLzI1</t>
  </si>
  <si>
    <t>LzIwMjIuTC4uVVNEAQAAAN/GBAACAAAABTE1MDAwAQgAAAAFAAAAATIBAAAACy0yMTA3Njg2MjgxAwAAAAMxNjACAAAABTIyNTE2BAAAAAEwBwAAAAkzLzI1LzIwMjIIAAAACTEvMzEvMjAyMQkAAAABMH7AwIc/DtoISrvYyU4O2gg0Q0lRLk5ZU0U6V01ULklRX1RPVEFMX0RFQlQuSVFfRlktMS4zLzI1LzIwMjIuTC5GLlVTRAEAAADfxgQAAgAAAAU2MzY0MAEIAAAABQAAAAExAQAAAAstMjEwNzY4NjI4MQMAAAADMTYwAgAAAAQ0MTczBAAAAAEwBwAAAAkzLzI1LzIwMjIIAAAACTEvMzEvMjAyMQkAAAABMH7AwIc/DtoIUOLYyU4O2gg5Q0lRLk5ZU0U6V01ULklRX0xURF9EVUVfQUZURVJfRklWRS5JUV9GWS4zLzI1LzIwMjIuTC4uVVNEAQAAAN/GBAACAAAADDI2MzU1LjY0MzA5MQB+wMCHPw7aCFDi2MlODtoIPUNJUS5OWVNFOldNVC5JUV9UT1RBTF9DT01NT05fRVFVSVRZLklRX0ZZLTEuMy8yNS8yMDIyLkwuRi5VU0QBAAAA38YEAAIAAAAFODA5MjUBCAAAAAUAAAABMQEAAAALLTIxMDc2ODYyODEDAAAAAzE2MAIAAAAEMTAwNgQAAAABMAcAAAAJMy8yNS8yMDIyCAAAAAkxLzMxLzIwMjEJAAAAATB+wMCHPw7aCFDi2MlODtoIMkNJUS5OWVNFOldNVC5JUV9UT1RBTF9ERUJULklRX0ZZLjMvMjUvMjAyMi5MLkYuVVNEAQAAAN/GBAACAAAABTU4NDE4AQgAAAAFAAAAATEBAAAACy0yMTA3Njg2MjgyAwAA</t>
  </si>
  <si>
    <t>AAMxNjACAAAABDQxNzMEAAAAATAHAAAACTMvMjUvMjAyMggAAAAJMS8zMS8yMDIyCQAAAAEwfsDAhz8O2ghQ4tjJTg7aCDVDSVEuTllTRTpXTVQuSVFfVU5TRUNVUkVEX0RFQlQuSVFfRlkuMy8yNS8yMDIyLkwuLlVTRAEAAADfxgQAAgAAAAwzOTYzMC45ODQ1MTUBCAAAAAUAAAABMgEAAAALLTIxMDc2ODYyODIDAAAAAzE2MAIAAAAFMjE4MzgEAAAAATAHAAAACTMvMjUvMjAyMggAAAAJMS8zMS8yMDIyCQAAAAEwfsDAhz8O2ghFlNjJTg7aCDJDSVEuTllTRTpXTVQuSVFfUEVSSU9EREFURV9CUy5JUV9GWS00LjMvMjUvMjAyMi4uRgEAAADfxgQABQAAAAkxLzMxLzIwMTgAWxHXyE4O2gj7cEbLTg7aCDhDSVEuTllTRTpXTVQuSVFfRElMVVRfRVBTX0VYQ0wuSVFfRlktMS4zLzI1LzIwMjIuTC5GLlVTRAEAAADfxgQAAgAAAAQ0Ljc1AQgAAAAFAAAAATEBAAAACy0yMTA3Njg2MjgxAwAAAAMxNjACAAAAAzE0MgQAAAABMAcAAAAJMy8yNS8yMDIyCAAAAAkxLzMxLzIwMjEJAAAAATB+wMCHPw7aCNTaVctODtoILENJUS5OWVNFOldNVC5JUV9FQklULklRX0ZZLjMvMjUvMjAyMi5MLkYuVVNEAQAAAN/GBAACAAAABTI1OTQyAQgAAAAFAAAAATEBAAAACy0yMTA3Njg2MjgyAwAAAAMxNjACAAAAAzQwMAQAAAABMAcAAAAJMy8yNS8yMDIyCAAAAAkxLzMxLzIwMjIJAAAAATD2bsCHPw7aCNTaVctODtoIM0NJUS5O</t>
  </si>
  <si>
    <t>WVNFOldNVC5JUV9UT1RBTF9SRVYuSVFfRlktMy4zLzI1LzIwMjIuTC5GLlVTRAEAAADfxgQAAgAAAAY1MTQ0MDUBCAAAAAUAAAABMQEAAAAKMjA4NTEzMjkzMAMAAAADMTYwAgAAAAIyOAQAAAABMAcAAAAJMy8yNS8yMDIyCAAAAAkxLzMxLzIwMTkJAAAAATD2bsCHPw7aCIEFVstODtoIMkNJUS5OWVNFOldNVC5JUV9QRVJJT0REQVRFX0JTLklRX0ZZLTYuMy8yNS8yMDIyLi5GAQAAAN/GBAAFAAAACTEvMzEvMjAxNgBbEdfITg7aCPtwRstODtoIN0NJUS5OWVNFOldNVC5JUV9UT1RBTF9ERVBPU0lUUy5JUV9MVE0uMy8yNS8yMDIyLkwuRi5VU0QBAAAA38YEAAMAAAAAAH7AwIc/DtoIebdUy04O2gg3Q0lRLk5ZU0U6V01ULklRX05VTV9CUkFOQ0hFUy5JUV9MVE0tNC4zLzI1LzIwMjIuTC5GLlVTRAEAAADfxgQAAwAAAAAAtrbLhz8O2ghq9z/LTg7aCDZDSVEuTllTRTpXTVQuSVFfTlVNX0JSQU5DSEVTLklRX0ZZLTYuMy8yNS8yMDIyLkwuRi5VU0QBAAAA38YEAAMAAAAAAH7AwIc/DtoIavc/y04O2gg4Q0lRLk5ZU0U6V01ULklRX1RPVEFMX0RFUE9TSVRTLklRX0ZZLTQuMy8yNS8yMDIyLkwuRi5VU0QBAAAA38YEAAMAAAAAALa2y4c/DtoIyeBUy04O2gg2Q0lRLk5ZU0U6V01ULklRX1RPVEFMX0FTU0VUUy5JUV9GWS0xLjMvMjUvMjAyMi5MLkYuVVNEAQAAAN/GBAACAAAABjI1MjQ5NgEIAAAABQAAAAEx</t>
  </si>
  <si>
    <t>AQAAAAstMjEwNzY4NjI4MQMAAAADMTYwAgAAAAQxMDA3BAAAAAEwBwAAAAkzLzI1LzIwMjIIAAAACTEvMzEvMjAyMQkAAAABMLa2y4c/DtoIgGxAy04O2gg2Q0lRLk5ZU0U6V01ULklRX0lOVF9JTkNfVE9UQUwuSVFfTFRNLjMvMjUvMjAyMi5MLkYuVVNEAQAAAN/GBAADAAAAAAD2bsCHPw7aCKxlVctODtoIN0NJUS5OWVNFOldNVC5JUV9SRVRVUk5fQ0FQSVRBTC5JUV9MVE0uMy8yNS8yMDIyLkwuRi5VU0QBAAAA38YEAAIAAAAHMTAuNzU2MQEIAAAABQAAAAExAQAAAAstMjEwNzY4NjAwOAMAAAADMTYwAgAAAAQ0MzYzBAAAAAEwBwAAAAkzLzI1LzIwMjIIAAAACTEvMzEvMjAyMgkAAAABMPZuwIc/DtoIx7NVy04O2gg2Q0lRLk5ZU0U6V01ULklRX1JFVFVSTl9DQVBJVEFMLklRX0ZZLjMvMjUvMjAyMi5MLkYuVVNEAQAAAN/GBAACAAAABzEwLjc1NjEBCAAAAAUAAAABMQEAAAALLTIxMDc2ODYyODIDAAAAAzE2MAIAAAAENDM2MwQAAAABMAcAAAAJMy8yNS8yMDIyCAAAAAkxLzMxLzIwMjIJAAAAATD2bsCHPw7aCMezVctODtoIN0NJUS5OWVNFOldNVC5JUV9SRVRVUk5fRVFVSVRZLklRX0ZZLTQuMy8yNS8yMDIyLkwuRi5VU0QBAAAA38YEAAIAAAAHMTMuMDQzMQEIAAAABQAAAAExAQAAAAoyMDIzMjQ5NjExAwAAAAMxNjACAAAABDQxMjgEAAAAATAHAAAACTMvMjUvMjAyMggAAAAJMS8zMS8yMDE4CQAA</t>
  </si>
  <si>
    <t>AAEw9m7Ahz8O2gjHs1XLTg7aCDdDSVEuTllTRTpXTVQuSVFfUkVUVVJOX0VRVUlUWS5JUV9GWS01LjMvMjUvMjAyMi5MLkYuVVNEAQAAAN/GBAACAAAABzE3LjQxNDkBCAAAAAUAAAABMQEAAAAKMTk1MTU0MDMzNQMAAAADMTYwAgAAAAQ0MTI4BAAAAAEwBwAAAAkzLzI1LzIwMjIIAAAACTEvMzEvMjAxNwkAAAABMEnhy4c/DtoIx7NVy04O2gg2Q0lRLk5ZU0U6V01ULklRX0RJTFVUX0VQU19FWENMLklRX0ZZLjMvMjUvMjAyMi5MLkYuVVNEAQAAAN/GBAACAAAABDQuODcBCAAAAAUAAAABMQEAAAALLTIxMDc2ODYyODIDAAAAAzE2MAIAAAADMTQyBAAAAAEwBwAAAAkzLzI1LzIwMjIIAAAACTEvMzEvMjAyMgkAAAABMLa2y4c/DtoI1NpVy04O2gg4Q0lRLk5ZU0U6V01ULklRX05FVF9JTlRfTUFSR0lOLklRX0ZZLTQuMy8yNS8yMDIyLkwuRi5VU0QBAAAA38YEAAMAAAAAAPZuwIc/DtoIebdUy04O2ggxQ0lRLk5ZU0U6V01ULklRX05FVF9MT0FOUy5JUV9GWS4zLzI1LzIwMjIuTC5GLlVTRAEAAADfxgQAAwAAAAAAtrbLhz8O2gg5+1TLTg7aCDlDSVEuTllTRTpXTVQuSVFfVE9UQUxfREVQT1NJVFMuSVFfTFRNLTQuMy8yNS8yMDIyLkwuRi5VU0QBAAAA38YEAAMAAAAAAH7AwIc/DtoIebdUy04O2ggtQ0lRLk5ZU0U6V01ULklRX0VCSVQuSVFfTFRNLjMvMjUvMjAyMi5MLkYuVVNEAQAAAN/GBAACAAAABTI1</t>
  </si>
  <si>
    <t>OTQyAQgAAAAFAAAAATEBAAAACy0yMTA3Njg2MDA4AwAAAAMxNjACAAAAAzQwMAQAAAABMAcAAAAJMy8yNS8yMDIyCAAAAAkxLzMxLzIwMjIJAAAAATD2bsCHPw7aCNTaVctODtoIOUNJUS5OWVNFOldNVC5JUV9ORVRfSU5UX0lOQ19CTksuSVFfRlktMS4zLzI1LzIwMjIuTC5GLlVTRAEAAADfxgQAAwAAAAAA9m7Ahz8O2gisZVXLTg7aCDNDSVEuTllTRTpXTVQuSVFfTkVUX0xPQU5TLklRX0ZZLTYuMy8yNS8yMDIyLkwuRi5VU0QBAAAA38YEAAMAAAAAAH7AwIc/DtoI4A5Vy04O2gg4Q0lRLk5ZU0U6V01ULklRX1JFVFVSTl9DQVBJVEFMLklRX0ZZLTMuMy8yNS8yMDIyLkwuRi5VU0QBAAAA38YEAAIAAAAGMTAuMzM0AQgAAAAFAAAAATEBAAAACjIwODUxMzI5MzADAAAAAzE2MAIAAAAENDM2MwQAAAABMAcAAAAJMy8yNS8yMDIyCAAAAAkxLzMxLzIwMTkJAAAAATBUmcCHPw7aCMezVctODtoIMENJUS5OWVNFOldNVC5JUV9FQklUREEuSVFfRlktMy4zLzI1LzIwMjIuTC5GLlVTRAEAAADfxgQAAgAAAAUzMjYzNQEIAAAABQAAAAExAQAAAAoyMDg1MTMyOTMwAwAAAAMxNjACAAAABDQwNTEEAAAAATAHAAAACTMvMjUvMjAyMggAAAAJMS8zMS8yMDE5CQAAAAEw9m7Ahz8O2gjU2lXLTg7aCDlDSVEuTllTRTpXTVQuSVFfRElMVVRfRVBTX0VYQ0wuSVFfTFRNLTQuMy8yNS8yMDIyLkwuRi5VU0QBAAAA38YEAAIA</t>
  </si>
  <si>
    <t>AAAENC43NQEIAAAABQAAAAExAQAAAAstMjEwNzY4NTk3NwMAAAADMTYwAgAAAAMxNDIEAAAAATAHAAAACTMvMjUvMjAyMggAAAAJMS8zMS8yMDIxCQAAAAEwtrbLhz8O2gjHs1XLTg7aCDpDSVEuTllTRTpXTVQuSVFfTkVUX0lOVF9JTkNfQk5LLklRX0xUTS00LjMvMjUvMjAyMi5MLkYuVVNEAQAAAN/GBAADAAAAAAD2bsCHPw7aCFFdVctODtoIM0NJUS5OWVNFOldNVC5JUV9UT1RBTF9SRVYuSVFfRlktMS4zLzI1LzIwMjIuTC5GLlVTRAEAAADfxgQAAgAAAAY1NTkxNTEBCAAAAAUAAAABMQEAAAALLTIxMDc2ODYyODEDAAAAAzE2MAIAAAACMjgEAAAAATAHAAAACTMvMjUvMjAyMggAAAAJMS8zMS8yMDIxCQAAAAEw9m7Ahz8O2giBBVbLTg7aCC1DSVEuTllTRTpXTVQuSVFfRUJULklRX0ZZLTYuMy8yNS8yMDIyLkwuRi5VU0QBAAAA38YEAAIAAAAFMjE2MzgBCAAAAAUAAAABMQEAAAAKMTg4MDcxODc2MgMAAAADMTYwAgAAAAMxMzkEAAAAATAHAAAACTMvMjUvMjAyMggAAAAJMS8zMS8yMDE2CQAAAAEw9m7Ahz8O2ghGNlXLTg7aCDJDSVEuTllTRTpXTVQuSVFfVE9UQUxfUkVWLklRX0xUTS4zLzI1LzIwMjIuTC5GLlVTRAEAAADfxgQAAgAAAAY1NzI3NTQBCAAAAAUAAAABMQEAAAALLTIxMDc2ODYwMDgDAAAAAzE2MAIAAAACMjgEAAAAATAHAAAACTMvMjUvMjAyMggAAAAJMS8zMS8yMDIyCQAAAAEw9m7A</t>
  </si>
  <si>
    <t>hz8O2giBBVbLTg7aCDBDSVEuTllTRTpXTVQuSVFfRUJJVERBLklRX0ZZLTYuMy8yNS8yMDIyLkwuRi5VU0QBAAAA38YEAAIAAAAFMzM1NTkBCAAAAAUAAAABMQEAAAAKMTg4MDcxODc2MgMAAAADMTYwAgAAAAQ0MDUxBAAAAAEwBwAAAAkzLzI1LzIwMjIIAAAACTEvMzEvMjAxNgkAAAABMPZuwIc/DtoI7QFWy04O2ggzQ0lRLk5ZU0U6V01ULklRX05FVF9MT0FOUy5JUV9GWS0yLjMvMjUvMjAyMi5MLkYuVVNEAQAAAN/GBAADAAAAAAC2tsuHPw7aCDn7VMtODtoILUNJUS5OWVNFOldNVC5JUV9FQlQuSVFfRlktMy4zLzI1LzIwMjIuTC5GLlVTRAEAAADfxgQAAgAAAAUxMTQ2MAEIAAAABQAAAAExAQAAAAoyMDg1MTMyOTMwAwAAAAMxNjACAAAAAzEzOQQAAAABMAcAAAAJMy8yNS8yMDIyCAAAAAkxLzMxLzIwMTkJAAAAATD2bsCHPw7aCEY2VctODtoIOENJUS5OWVNFOldNVC5JUV9ORVRfSU5UX01BUkdJTi5JUV9GWS0xLjMvMjUvMjAyMi5MLkYuVVNEAQAAAN/GBAADAAAAAAD2bsCHPw7aCHm3VMtODtoIOENJUS5OWVNFOldNVC5JUV9ORVRfSU5UX0lOQ19CTksuSVFfTFRNLjMvMjUvMjAyMi5MLkYuVVNEAQAAAN/GBAADAAAAAAD2bsCHPw7aCEY2VctODtoILUNJUS5OWVNFOldNVC5JUV9FQlQuSVFfRlktNC4zLzI1LzIwMjIuTC5GLlVTRAEAAADfxgQAAgAAAAUxNTEyMwEIAAAABQAAAAExAQAAAAoyMDIz</t>
  </si>
  <si>
    <t>MjQ5NjExAwAAAAMxNjACAAAAAzEzOQQAAAABMAcAAAAJMy8yNS8yMDIyCAAAAAkxLzMxLzIwMTgJAAAAATD2bsCHPw7aCEY2VctODtoIN0NJUS5OWVNFOldNVC5JUV9SRVRVUk5fRVFVSVRZLklRX0ZZLTIuMy8yNS8yMDIyLkwuRi5VU0QBAAAA38YEAAIAAAAHMTguODYxNAEIAAAABQAAAAExAQAAAAstMjEwNzY4NjI5MQMAAAADMTYwAgAAAAQ0MTI4BAAAAAEwBwAAAAkzLzI1LzIwMjIIAAAACTEvMzEvMjAyMAkAAAABMLa2y4c/DtoIx7NVy04O2gg3Q0lRLk5ZU0U6V01ULklRX05FVF9JTlRfSU5DX0JOSy5JUV9GWS4zLzI1LzIwMjIuTC5GLlVTRAEAAADfxgQAAwAAAAAA9m7Ahz8O2ggVYFXLTg7aCDhDSVEuTllTRTpXTVQuSVFfUkVUVVJOX0VRVUlUWS5JUV9MVE0tNC4zLzI1LzIwMjIuTC5GLlVTRAEAAADfxgQAAgAAAAcxNi4yMTIxAQgAAAAFAAAAATEBAAAACy0yMTA3Njg1OTc3AwAAAAMxNjACAAAABDQxMjgEAAAAATAHAAAACTMvMjUvMjAyMggAAAAJMS8zMS8yMDIxCQAAAAEwVJnAhz8O2gjHs1XLTg7aCDNDSVEuTllTRTpXTVQuSVFfTkVUX0xPQU5TLklRX0ZZLTEuMy8yNS8yMDIyLkwuRi5VU0QBAAAA38YEAAMAAAAAALa2y4c/DtoIOftUy04O2gg3Q0lRLk5ZU0U6V01ULklRX0lOVF9JTkNfVE9UQUwuSVFfRlktNi4zLzI1LzIwMjIuTC5GLlVTRAEAAADfxgQAAwAAAAAAVJnAhz8O2gjTjFXL</t>
  </si>
  <si>
    <t>Tg7aCDVDSVEuTllTRTpXTVQuSVFfTk9OX0lOVF9JTkMuSVFfRlktNi4zLzI1LzIwMjIuTC5GLlVTRAEAAADfxgQAAwAAAAAA9m7Ahz8O2gjHs1XLTg7aCDlDSVEuTllTRTpXTVQuSVFfTkVUX0lOVF9NQVJHSU4uSVFfTFRNLTQuMy8yNS8yMDIyLkwuRi5VU0QBAAAA38YEAAMAAAAAAPZuwIc/DtoIebdUy04O2gg5Q0lRLk5ZU0U6V01ULklRX05FVF9JTlRfSU5DX0JOSy5JUV9GWS0yLjMvMjUvMjAyMi5MLkYuVVNEAQAAAN/GBAADAAAAAAD2bsCHPw7aCKxlVctODtoIOENJUS5OWVNFOldNVC5JUV9ORVRfSU5UX01BUkdJTi5JUV9GWS0yLjMvMjUvMjAyMi5MLkYuVVNEAQAAAN/GBAADAAAAAAD2bsCHPw7aCHm3VMtODtoIOUNJUS5OWVNFOldNVC5JUV9SRVRVUk5fQ0FQSVRBTC5JUV9MVE0tNC4zLzI1LzIwMjIuTC5GLlVTRAEAAADfxgQAAgAAAAcxMS4wMTM0AQgAAAAFAAAAATEBAAAACy0yMTA3Njg1OTc3AwAAAAMxNjACAAAABDQzNjMEAAAAATAHAAAACTMvMjUvMjAyMggAAAAJMS8zMS8yMDIxCQAAAAEwtrbLhz8O2gjHs1XLTg7aCDhDSVEuTllTRTpXTVQuSVFfVE9UQUxfREVQT1NJVFMuSVFfRlktNi4zLzI1LzIwMjIuTC5GLlVTRAEAAADfxgQAAwAAAAAAtrbLhz8O2ghh9FTLTg7aCDdDSVEuTllTRTpXTVQuSVFfUkVUVVJOX0VRVUlUWS5JUV9GWS0zLjMvMjUvMjAyMi5MLkYuVVNEAQAAAN/GBAAC</t>
  </si>
  <si>
    <t>AAAABjguOTQ4MgEIAAAABQAAAAExAQAAAAoyMDg1MTMyOTMwAwAAAAMxNjACAAAABDQxMjgEAAAAATAHAAAACTMvMjUvMjAyMggAAAAJMS8zMS8yMDE5CQAAAAEwVJnAhz8O2gjHs1XLTg7aCDhDSVEuTllTRTpXTVQuSVFfTkVUX0lOVF9NQVJHSU4uSVFfRlktNi4zLzI1LzIwMjIuTC5GLlVTRAEAAADfxgQAAwAAAAAA9m7Ahz8O2gh5t1TLTg7aCDhDSVEuTllTRTpXTVQuSVFfUkVUVVJOX0NBUElUQUwuSVFfRlktMS4zLzI1LzIwMjIuTC5GLlVTRAEAAADfxgQAAgAAAAcxMS4wMTM0AQgAAAAFAAAAATEBAAAACy0yMTA3Njg2MjgxAwAAAAMxNjACAAAABDQzNjMEAAAAATAHAAAACTMvMjUvMjAyMggAAAAJMS8zMS8yMDIxCQAAAAEwtrbLhz8O2gjHs1XLTg7aCC1DSVEuTllTRTpXTVQuSVFfRUJULklRX0ZZLTIuMy8yNS8yMDIyLkwuRi5VU0QBAAAA38YEAAIAAAAFMjAxMTYBCAAAAAUAAAABMQEAAAALLTIxMDc2ODYyOTEDAAAAAzE2MAIAAAADMTM5BAAAAAEwBwAAAAkzLzI1LzIwMjIIAAAACTEvMzEvMjAyMAkAAAABMPZuwIc/DtoIRjZVy04O2gguQ0lRLk5ZU0U6V01ULklRX0VCSVREQS5JUV9GWS4zLzI1LzIwMjIuTC5GLlVTRAEAAADfxgQAAgAAAAUzNjYwMAEIAAAABQAAAAExAQAAAAstMjEwNzY4NjI4MgMAAAADMTYwAgAAAAQ0MDUxBAAAAAEwBwAAAAkzLzI1LzIwMjIIAAAACTEvMzEvMjAyMgkA</t>
  </si>
  <si>
    <t>AAABMPZuwIc/DtoI1NpVy04O2gg1Q0lRLk5ZU0U6V01ULklRX1JFVFVSTl9FUVVJVFkuSVFfRlkuMy8yNS8yMDIyLkwuRi5VU0QBAAAA38YEAAIAAAAHMTUuNTM4NwEIAAAABQAAAAExAQAAAAstMjEwNzY4NjI4MgMAAAADMTYwAgAAAAQ0MTI4BAAAAAEwBwAAAAkzLzI1LzIwMjIIAAAACTEvMzEvMjAyMgkAAAABMLa2y4c/DtoIx7NVy04O2ggrQ0lRLk5ZU0U6V01ULklRX0VCVC5JUV9GWS4zLzI1LzIwMjIuTC5GLlVTRAEAAADfxgQAAgAAAAUxODY5NgEIAAAABQAAAAExAQAAAAstMjEwNzY4NjI4MgMAAAADMTYwAgAAAAMxMzkEAAAAATAHAAAACTMvMjUvMjAyMggAAAAJMS8zMS8yMDIyCQAAAAEw9m7Ahz8O2ghGNlXLTg7aCDlDSVEuTllTRTpXTVQuSVFfTkVUX0lOVF9JTkNfQk5LLklRX0ZZLTYuMy8yNS8yMDIyLkwuRi5VU0QBAAAA38YEAAMAAAAAAPZuwIc/DtoIrGVVy04O2gguQ0lRLk5ZU0U6V01ULklRX0VCVC5JUV9MVE0tNC4zLzI1LzIwMjIuTC5GLlVTRAEAAADfxgQAAgAAAAUyMDU2NAEIAAAABQAAAAExAQAAAAstMjEwNzY4NTk3NwMAAAADMTYwAgAAAAMxMzkEAAAAATAHAAAACTMvMjUvMjAyMggAAAAJMS8zMS8yMDIxCQAAAAEw9m7Ahz8O2ghGNlXLTg7aCDhDSVEuTllTRTpXTVQuSVFfRElMVVRfRVBTX0VYQ0wuSVFfRlktMi4zLzI1LzIwMjIuTC5GLlVTRAEAAADfxgQAAgAAAAQ1LjE5</t>
  </si>
  <si>
    <t>AQgAAAAFAAAAATEBAAAACy0yMTA3Njg2MjkxAwAAAAMxNjACAAAAAzE0MgQAAAABMAcAAAAJMy8yNS8yMDIyCAAAAAkxLzMxLzIwMjAJAAAAATBUmcCHPw7aCNTaVctODtoIOUNJUS5OWVNFOldNVC5JUV9ORVRfSU5UX0lOQ19CTksuSVFfRlktMy4zLzI1LzIwMjIuTC5GLlVTRAEAAADfxgQAAwAAAAAA9m7Ahz8O2gisZVXLTg7aCDdDSVEuTllTRTpXTVQuSVFfSU5UX0lOQ19UT1RBTC5JUV9GWS0xLjMvMjUvMjAyMi5MLkYuVVNEAQAAAN/GBAADAAAAAAB+wMCHPw7aCNOMVctODtoINUNJUS5OWVNFOldNVC5JUV9OT05fSU5UX0lOQy5JUV9GWS0xLjMvMjUvMjAyMi5MLkYuVVNEAQAAAN/GBAADAAAAAAD2bsCHPw7aCNOMVctODtoIOENJUS5OWVNFOldNVC5JUV9ORVRfSU5UX01BUkdJTi5JUV9GWS0zLjMvMjUvMjAyMi5MLkYuVVNEAQAAAN/GBAADAAAAAAD2bsCHPw7aCHm3VMtODtoIMENJUS5OWVNFOldNVC5JUV9FQklUREEuSVFfRlktMi4zLzI1LzIwMjIuTC5GLlVTRAEAAADfxgQAAgAAAAUzMjQ1NQEIAAAABQAAAAExAQAAAAstMjEwNzY4NjI5MQMAAAADMTYwAgAAAAQ0MDUxBAAAAAEwBwAAAAkzLzI1LzIwMjIIAAAACTEvMzEvMjAyMAkAAAABMPZuwIc/DtoI1NpVy04O2gg4Q0lRLk5ZU0U6V01ULklRX0lOVF9JTkNfVE9UQUwuSVFfTFRNLTQuMy8yNS8yMDIyLkwuRi5VU0QBAAAA38YEAAMAAAAA</t>
  </si>
  <si>
    <t>AFSZwIc/DtoIrGVVy04O2gg2Q0lRLk5ZU0U6V01ULklRX05PTl9JTlRfSU5DLklRX0xUTS00LjMvMjUvMjAyMi5MLkYuVVNEAQAAAN/GBAADAAAAAAD2bsCHPw7aCKxlVctODtoINkNJUS5OWVNFOldNVC5JUV9UT1RBTF9ERVBPU0lUUy5JUV9GWS4zLzI1LzIwMjIuTC5GLlVTRAEAAADfxgQAAwAAAAAAtrbLhz8O2gjJ4FTLTg7aCDdDSVEuTllTRTpXTVQuSVFfRElMVVRfRVBTX0VYQ0wuSVFfTFRNLjMvMjUvMjAyMi5MLkYuVVNEAQAAAN/GBAACAAAABDQuODcBCAAAAAUAAAABMQEAAAALLTIxMDc2ODYwMDgDAAAAAzE2MAIAAAADMTQyBAAAAAEwBwAAAAkzLzI1LzIwMjIIAAAACTEvMzEvMjAyMgkAAAABMH7AwIc/DtoIx7NVy04O2ggsQ0lRLk5ZU0U6V01ULklRX0VCVC5JUV9MVE0uMy8yNS8yMDIyLkwuRi5VU0QBAAAA38YEAAIAAAAFMTg2OTYBCAAAAAUAAAABMQEAAAALLTIxMDc2ODYwMDgDAAAAAzE2MAIAAAADMTM5BAAAAAEwBwAAAAkzLzI1LzIwMjIIAAAACTEvMzEvMjAyMgkAAAABMPZuwIc/DtoI4A5Vy04O2ggvQ0lRLk5ZU0U6V01ULklRX0VCSVQuSVFfTFRNLTQuMy8yNS8yMDIyLkwuRi5VU0QBAAAA38YEAAIAAAAFMjY5NDgBCAAAAAUAAAABMQEAAAALLTIxMDc2ODU5NzcDAAAAAzE2MAIAAAADNDAwBAAAAAEwBwAAAAkzLzI1LzIwMjIIAAAACTEvMzEvMjAyMQkAAAABMPZuwIc/DtoI1NpV</t>
  </si>
  <si>
    <t>y04O2gg3Q0lRLk5ZU0U6V01ULklRX0lOVF9JTkNfVE9UQUwuSVFfRlktMi4zLzI1LzIwMjIuTC5GLlVTRAEAAADfxgQAAwAAAAAAVJnAhz8O2gjTjFXLTg7aCDVDSVEuTllTRTpXTVQuSVFfTk9OX0lOVF9JTkMuSVFfRlktMi4zLzI1LzIwMjIuTC5GLlVTRAEAAADfxgQAAwAAAAAA9m7Ahz8O2gjTjFXLTg7aCDhDSVEuTllTRTpXTVQuSVFfUkVUVVJOX0NBUElUQUwuSVFfRlktMi4zLzI1LzIwMjIuTC5GLlVTRAEAAADfxgQAAgAAAAY5LjE2NTcBCAAAAAUAAAABMQEAAAALLTIxMDc2ODYyOTEDAAAAAzE2MAIAAAAENDM2MwQAAAABMAcAAAAJMy8yNS8yMDIyCAAAAAkxLzMxLzIwMjAJAAAAATBUmcCHPw7aCMezVctODtoIOENJUS5OWVNFOldNVC5JUV9UT1RBTF9ERVBPU0lUUy5JUV9GWS0yLjMvMjUvMjAyMi5MLkYuVVNEAQAAAN/GBAADAAAAAAC2tsuHPw7aCMngVMtODtoINENJUS5OWVNFOldNVC5JUV9UT1RBTF9SRVYuSVFfTFRNLTQuMy8yNS8yMDIyLkwuRi5VU0QBAAAA38YEAAIAAAAGNTU5MTUxAQgAAAAFAAAAATEBAAAACy0yMTA3Njg1OTc3AwAAAAMxNjACAAAAAjI4BAAAAAEwBwAAAAkzLzI1LzIwMjIIAAAACTEvMzEvMjAyMQkAAAABMPZuwIc/DtoIgQVWy04O2gg3Q0lRLk5ZU0U6V01ULklRX1JFVFVSTl9FUVVJVFkuSVFfRlktMS4zLzI1LzIwMjIuTC5GLlVTRAEAAADfxgQAAgAAAAcxNi4y</t>
  </si>
  <si>
    <t>MTIxAQgAAAAFAAAAATEBAAAACy0yMTA3Njg2MjgxAwAAAAMxNjACAAAABDQxMjgEAAAAATAHAAAACTMvMjUvMjAyMggAAAAJMS8zMS8yMDIxCQAAAAEwtrbLhz8O2gjHs1XLTg7aCDRDSVEuTllTRTpXTVQuSVFfTkVUX0xPQU5TLklRX0xUTS00LjMvMjUvMjAyMi5MLkYuVVNEAQAAAN/GBAADAAAAAABJ4cuHPw7aCDn7VMtODtoIOENJUS5OWVNFOldNVC5JUV9SRVRVUk5fQ0FQSVRBTC5JUV9GWS02LjMvMjUvMjAyMi5MLkYuVVNEAQAAAN/GBAACAAAABzExLjExNDYBCAAAAAUAAAABMQEAAAAKMTg4MDcxODc2MgMAAAADMTYwAgAAAAQ0MzYzBAAAAAEwBwAAAAkzLzI1LzIwMjIIAAAACTEvMzEvMjAxNgkAAAABMFSZwIc/DtoIx7NVy04O2ggwQ0lRLk5ZU0U6V01ULklRX0VCSVREQS5JUV9GWS00LjMvMjUvMjAyMi5MLkYuVVNEAQAAAN/GBAACAAAABTMxNDY2AQgAAAAFAAAAATEBAAAACjIwMjMyNDk2MTEDAAAAAzE2MAIAAAAENDA1MQQAAAABMAcAAAAJMy8yNS8yMDIyCAAAAAkxLzMxLzIwMTgJAAAAATD2bsCHPw7aCNTaVctODtoIMUNJUS5OWVNFOldNVC5JUV9UT1RBTF9SRVYuSVFfRlkuMy8yNS8yMDIyLkwuRi5VU0QBAAAA38YEAAIAAAAGNTcyNzU0AQgAAAAFAAAAATEBAAAACy0yMTA3Njg2MjgyAwAAAAMxNjACAAAAAjI4BAAAAAEwBwAAAAkzLzI1LzIwMjIIAAAACTEvMzEvMjAyMgkAAAABMPZu</t>
  </si>
  <si>
    <t>wIc/DtoIgQVWy04O2ggzQ0lRLk5ZU0U6V01ULklRX1RPVEFMX1JFVi5JUV9GWS02LjMvMjUvMjAyMi5MLkYuVVNEAQAAAN/GBAACAAAABjQ4MjEzMAEIAAAABQAAAAExAQAAAAoxODgwNzE4NzYyAwAAAAMxNjACAAAAAjI4BAAAAAEwBwAAAAkzLzI1LzIwMjIIAAAACTEvMzEvMjAxNgkAAAABMPZuwIc/DtoIgQVWy04O2ggtQ0lRLk5ZU0U6V01ULklRX0VCVC5JUV9GWS0xLjMvMjUvMjAyMi5MLkYuVVNEAQAAAN/GBAACAAAABTIwNTY0AQgAAAAFAAAAATEBAAAACy0yMTA3Njg2MjgxAwAAAAMxNjACAAAAAzEzOQQAAAABMAcAAAAJMy8yNS8yMDIyCAAAAAkxLzMxLzIwMjEJAAAAATD2bsCHPw7aCEY2VctODtoINkNJUS5OWVNFOldNVC5JUV9ORVRfSU5UX01BUkdJTi5JUV9GWS4zLzI1LzIwMjIuTC5GLlVTRAEAAADfxgQAAwAAAAAA9m7Ahz8O2gh5t1TLTg7aCC9DSVEuTllTRTpXTVQuSVFfRUJJVERBLklRX0xUTS4zLzI1LzIwMjIuTC5GLlVTRAEAAADfxgQAAgAAAAUzNjYwMAEIAAAABQAAAAExAQAAAAstMjEwNzY4NjAwOAMAAAADMTYwAgAAAAQ0MDUxBAAAAAEwBwAAAAkzLzI1LzIwMjIIAAAACTEvMzEvMjAyMgkAAAABMPZuwIc/DtoI1NpVy04O2ggxQ0lRLk5ZU0U6V01ULklRX0VCSVREQS5JUV9MVE0tNC4zLzI1LzIwMjIuTC5GLlVTRAEAAADfxgQAAgAAAAUzODEwMAEIAAAABQAAAAExAQAAAAst</t>
  </si>
  <si>
    <t>MjEwNzY4NTk3NwMAAAADMTYwAgAAAAQ0MDUxBAAAAAEwBwAAAAkzLzI1LzIwMjIIAAAACTEvMzEvMjAyMQkAAAABMPZuwIc/DtoI1NpVy04O2gg4Q0lRLk5ZU0U6V01ULklRX1RPVEFMX0RFUE9TSVRTLklRX0ZZLTMuMy8yNS8yMDIyLkwuRi5VU0QBAAAA38YEAAMAAAAAALa2y4c/DtoIyeBUy04O2gguQ0lRLk5ZU0U6V01ULklRX0VCSVQuSVFfRlktNi4zLzI1LzIwMjIuTC5GLlVTRAEAAADfxgQAAgAAAAUyNDEwNQEIAAAABQAAAAExAQAAAAoxODgwNzE4NzYyAwAAAAMxNjACAAAAAzQwMAQAAAABMAcAAAAJMy8yNS8yMDIyCAAAAAkxLzMxLzIwMTYJAAAAATD2bsCHPw7aCNTaVctODtoINUNJUS5OWVNFOldNVC5JUV9JTlRfSU5DX1RPVEFMLklRX0ZZLjMvMjUvMjAyMi5MLkYuVVNEAQAAAN/GBAADAAAAAAB+wMCHPw7aCKxlVctODtoIM0NJUS5OWVNFOldNVC5JUV9OT05fSU5UX0lOQy5JUV9GWS4zLzI1LzIwMjIuTC5GLlVTRAEAAADfxgQAAwAAAAAA9m7Ahz8O2gjTjFXLTg7aCDhDSVEuTllTRTpXTVQuSVFfVE9UQUxfREVQT1NJVFMuSVFfRlktMS4zLzI1LzIwMjIuTC5GLlVTRAEAAADfxgQAAwAAAAAAtrbLhz8O2gjJ4FTLTg7aCDBDSVEuTllTRTpXTVQuSVFfRUJJVERBLklRX0ZZLTEuMy8yNS8yMDIyLkwuRi5VU0QBAAAA38YEAAIAAAAFMzgxMDABCAAAAAUAAAABMQEAAAALLTIxMDc2ODYyODED</t>
  </si>
  <si>
    <t>AAAAAzE2MAIAAAAENDA1MQQAAAABMAcAAAAJMy8yNS8yMDIyCAAAAAkxLzMxLzIwMjEJAAAAATD2bsCHPw7aCNTaVctODtoINENJUS5OWVNFOldNVC5JUV9OT05fSU5UX0lOQy5JUV9MVE0uMy8yNS8yMDIyLkwuRi5VU0QBAAAA38YEAAMAAAAAAPZuwIc/DtoIrGVVy04O2ggyQ0lRLk5ZU0U6V01ULklRX05FVF9MT0FOUy5JUV9MVE0uMy8yNS8yMDIyLkwuRi5VU0QBAAAA38YEAAMAAAAAAFSZwIc/DtoIYfRUy04O2gg3Q0lRLk5ZU0U6V01ULklRX0lOVF9JTkNfVE9UQUwuSVFfRlktNC4zLzI1LzIwMjIuTC5GLlVTRAEAAADfxgQAAwAAAAAAtrbLhz8O2gjTjFXLTg7aCDVDSVEuTllTRTpXTVQuSVFfTk9OX0lOVF9JTkMuSVFfRlktNC4zLzI1LzIwMjIuTC5GLlVTRAEAAADfxgQAAwAAAAAA9m7Ahz8O2gjTjFXLTg7aCDVDSVEuTllTRTpXTVQuSVFfVE9UQUxfQVNTRVRTLklRX0xUTS4zLzI1LzIwMjIuTC5GLlVTRAEAAADfxgQAAgAAAAYyNDQ4NjABCAAAAAUAAAABMQEAAAALLTIxMDc2ODYwMDgDAAAAAzE2MAIAAAAEMTAwNwQAAAABMAcAAAAJMy8yNS8yMDIyCAAAAAkxLzMxLzIwMjIJAAAAATB+wMCHPw7aCH9FQMtODtoINENJUS5OWVNFOldNVC5JUV9OVU1fQlJBTkNIRVMuSVFfRlkuMy8yNS8yMDIyLkwuRi5VU0QBAAAA38YEAAMAAAAAAFSZwIc/DtoIavc/y04O2ggyQ0lRLk5ZU0U6V01ULklRX1BF</t>
  </si>
  <si>
    <t>UklPRERBVEVfQlMuSVFfRlktMi4zLzI1LzIwMjIuLkYBAAAA38YEAAUAAAAJMS8zMS8yMDIwAFsR18hODtoI+3BGy04O2ggtQ0lRLk5ZU0U6V01ULklRX0VCVC5JUV9GWS01LjMvMjUvMjAyMi5MLkYuVVNEAQAAAN/GBAACAAAABTIwNDk3AQgAAAAFAAAAATEBAAAACjE5NTE1NDAzMzUDAAAAAzE2MAIAAAADMTM5BAAAAAEwBwAAAAkzLzI1LzIwMjIIAAAACTEvMzEvMjAxNwkAAAABMFSZwIc/DtoIRjZVy04O2gguQ0lRLk5ZU0U6V01ULklRX0VCSVQuSVFfRlktMi4zLzI1LzIwMjIuTC5GLlVTRAEAAADfxgQAAgAAAAUyMTQ2OAEIAAAABQAAAAExAQAAAAstMjEwNzY4NjI5MQMAAAADMTYwAgAAAAM0MDAEAAAAATAHAAAACTMvMjUvMjAyMggAAAAJMS8zMS8yMDIwCQAAAAEwVJnAhz8O2gjU2lXLTg7aCDhDSVEuTllTRTpXTVQuSVFfRElMVVRfRVBTX0VYQ0wuSVFfRlktMy4zLzI1LzIwMjIuTC5GLlVTRAEAAADfxgQAAgAAAAQyLjI2AQgAAAAFAAAAATEBAAAACjIwODUxMzI5MzADAAAAAzE2MAIAAAADMTQyBAAAAAEwBwAAAAkzLzI1LzIwMjIIAAAACTEvMzEvMjAxOQkAAAABMLa2y4c/DtoI1NpVy04O2ggzQ0lRLk5ZU0U6V01ULklRX05FVF9MT0FOUy5JUV9GWS00LjMvMjUvMjAyMi5MLkYuVVNEAQAAAN/GBAADAAAAAAB+wMCHPw7aCOAOVctODtoINkNJUS5OWVNFOldNVC5JUV9OVU1fQlJBTkNIRVMu</t>
  </si>
  <si>
    <t>SVFfRlktMS4zLzI1LzIwMjIuTC5GLlVTRAEAAADfxgQAAwAAAAAAtrbLhz8O2ghq9z/LTg7aCDZDSVEuTllTRTpXTVQuSVFfVE9UQUxfQVNTRVRTLklRX0ZZLTMuMy8yNS8yMDIyLkwuRi5VU0QBAAAA38YEAAIAAAAGMjE5Mjk1AQgAAAAFAAAAATEBAAAACjIwODUxMzI5MzADAAAAAzE2MAIAAAAEMTAwNwQAAAABMAcAAAAJMy8yNS8yMDIyCAAAAAkxLzMxLzIwMTkJAAAAATBUmcCHPw7aCIBsQMtODtoINkNJUS5OWVNFOldNVC5JUV9UT1RBTF9BU1NFVFMuSVFfRlktMi4zLzI1LzIwMjIuTC5GLlVTRAEAAADfxgQAAgAAAAYyMzY0OTUBCAAAAAUAAAABMQEAAAALLTIxMDc2ODYyOTEDAAAAAzE2MAIAAAAEMTAwNwQAAAABMAcAAAAJMy8yNS8yMDIyCAAAAAkxLzMxLzIwMjAJAAAAATBUmcCHPw7aCIBsQMtODtoIM0NJUS5OWVNFOldNVC5JUV9ORVRfTE9BTlMuSVFfRlktMy4zLzI1LzIwMjIuTC5GLlVTRAEAAADfxgQAAwAAAAAAtrbLhz8O2gg5+1TLTg7aCDdDSVEuTllTRTpXTVQuSVFfVE9UQUxfQVNTRVRTLklRX0xUTS00LjMvMjUvMjAyMi5MLkYuVVNEAQAAAN/GBAACAAAABjI1MjQ5NgEIAAAABQAAAAExAQAAAAstMjEwNzY4NTk3NwMAAAADMTYwAgAAAAQxMDA3BAAAAAEwBwAAAAkzLzI1LzIwMjIIAAAACTEvMzEvMjAyMQkAAAABMLa2y4c/DtoIgGxAy04O2gg5Q0lRLk5ZU0U6V01ULklRX05FVF9J</t>
  </si>
  <si>
    <t>TlRfSU5DX0JOSy5JUV9GWS00LjMvMjUvMjAyMi5MLkYuVVNEAQAAAN/GBAADAAAAAABUmcCHPw7aCKxlVctODtoIMENJUS5OWVNFOldNVC5JUV9FQklUREEuSVFfRlktNS4zLzI1LzIwMjIuTC5GLlVTRAEAAADfxgQAAgAAAAUzMjg0NAEIAAAABQAAAAExAQAAAAoxOTUxNTQwMzM1AwAAAAMxNjACAAAABDQwNTEEAAAAATAHAAAACTMvMjUvMjAyMggAAAAJMS8zMS8yMDE3CQAAAAEwVJnAhz8O2gjU2lXLTg7aCC5DSVEuTllTRTpXTVQuSVFfRUJJVC5JUV9GWS0zLjMvMjUvMjAyMi5MLkYuVVNEAQAAAN/GBAACAAAABTIxOTU3AQgAAAAFAAAAATEBAAAACjIwODUxMzI5MzADAAAAAzE2MAIAAAADNDAwBAAAAAEwBwAAAAkzLzI1LzIwMjIIAAAACTEvMzEvMjAxOQkAAAABMFSZwIc/DtoI1NpVy04O2ghAQ0lRUkFOR0UuTllTRTpXTVQuSVFfR0VPX1NFR19SRVYuMS4yMC5JUV9GWS0xLjMvMjUvMjAyMi5MLi4uVVNELgMAAADfxgQAAwAAAAAAAAAHAAAAAAAAAAoiTllTRTpXTVQiCE5ZU0U6V01UAQAAABAiSVFfR0VPX1NFR19SRVYiDklRX0dFT19TRUdfUkVWAgAAAAdJUV9GWS0xAzk5OQMAAAALIjMvMjUvMjAyMiIJMy8yNS8yMDIyBAAAAAMiTCIDIkwiBwAAAAUiVVNEIgUiVVNEIggAAAABMQExAAAAAAcAAAAAAAAACiJOWVNFOldNVCIITllTRTpXTVQBAAAAECJJUV9HRU9fU0VHX1JFViIOSVFfR0VPX1NF</t>
  </si>
  <si>
    <t>R19SRVYCAAAAB0lRX0ZZLTEDOTk5AwAAAAsiMy8yNS8yMDIyIgkzLzI1LzIwMjIEAAAAAyJMIgMiTCIHAAAABSJVU0QiBSJVU0QiCAAAAAEyATIAAAAABwAAAAAAAAAKIk5ZU0U6V01UIghOWVNFOldNVAEAAAAQIklRX0dFT19TRUdfUkVWIg5JUV9HRU9fU0VHX1JFVgIAAAAHSVFfRlktMQM5OTkDAAAACyIzLzI1LzIwMjIiCTMvMjUvMjAyMgQAAAADIkwiAyJMIgcAAAAFIlVTRCIFIlVTRCIIAAAAATMBM1SZwIc/DtoIYB5Jy04O2ggzQ0lRLk5ZU0U6V01ULklRX0dFT19TRUdfUkVWLjk5OS4zLzI1LzIwMjIuTC4uLlVTRC4xAQAAAN/GBAACAAAABjQzNjY0OQEGAAAABQAAAAE0AQAAAAstMjEwNzY4NjI4MQIAAAAEMzUxNQMAAAADMTYwBAAAAAEwBgAAAAk5MDA5ODE3NzdbEdfITg7aCGAeSctODtoIM0NJUS5OWVNFOldNVC5JUV9HRU9fU0VHX1JFVi45OTkuMy8yNS8yMDIyLkwuLi5VU0QuMgEAAADfxgQAAgAAAAYxMjI1MDIBBgAAAAUAAAABNAEAAAALLTIxMDc2ODYyODECAAAABDM1MTUDAAAAAzE2MAQAAAABMAYAAAAJOTAwOTgxNzQ2WxHXyE4O2ghgHknLTg7aCDNDSVEuTllTRTpXTVQuSVFfR0VPX1NFR19SRVYuOTk5LjMvMjUvMjAyMi5MLi4uVVNELjMBAAAA38YEAAMAAAAAAFsR18hODtoIYB5Jy04O2ghAQ0lRUkFOR0UuTllTRTpXTVQuSVFfR0VPX1NFR19SRVYuMS4yMC5JUV9GWS0zLjMvMjUv</t>
  </si>
  <si>
    <t>MjAyMi5MLi4uVVNELgMAAADfxgQAAwAAAAAAAAAHAAAAAAAAAAoiTllTRTpXTVQiCE5ZU0U6V01UAQAAABAiSVFfR0VPX1NFR19SRVYiDklRX0dFT19TRUdfUkVWAgAAAAdJUV9GWS0zAzk5NwMAAAALIjMvMjUvMjAyMiIJMy8yNS8yMDIyBAAAAAMiTCIDIkwiBwAAAAUiVVNEIgUiVVNEIggAAAABMQExAAAAAAcAAAAAAAAACiJOWVNFOldNVCIITllTRTpXTVQBAAAAECJJUV9HRU9fU0VHX1JFViIOSVFfR0VPX1NFR19SRVYCAAAAB0lRX0ZZLTMDOTk3AwAAAAsiMy8yNS8yMDIyIgkzLzI1LzIwMjIEAAAAAyJMIgMiTCIHAAAABSJVU0QiBSJVU0QiCAAAAAEyATIAAAAABwAAAAAAAAAKIk5ZU0U6V01UIghOWVNFOldNVAEAAAAQIklRX0dFT19TRUdfUkVWIg5JUV9HRU9fU0VHX1JFVgIAAAAHSVFfRlktMwM5OTcDAAAACyIzLzI1LzIwMjIiCTMvMjUvMjAyMgQAAAADIkwiAyJMIgcAAAAFIlVTRCIFIlVTRCIIAAAAATMBM1SZwIc/DtoIzkxJy04O2ggzQ0lRLk5ZU0U6V01ULklRX0dFT19TRUdfUkVWLjk5Ny4zLzI1LzIwMjIuTC4uLlVTRC4xAQAAAN/GBAACAAAABjM5MjI2NQEGAAAABQAAAAE0AQAAAAoyMDg1MTMyOTMwAgAAAAQzNTE1AwAAAAMxNjAEAAAAATAGAAAACTkwMDk4MTc3N1sR18hODtoIKFdJy04O2ggzQ0lRLk5ZU0U6V01ULklRX0dFT19TRUdfUkVWLjk5Ny4zLzI1LzIwMjIuTC4uLlVTRC4y</t>
  </si>
  <si>
    <t>AQAAAN/GBAACAAAABjEyMjE0MAEGAAAABQAAAAE0AQAAAAoyMDg1MTMyOTMwAgAAAAQzNTE1AwAAAAMxNjAEAAAAATAGAAAACTkwMDk4MTc0NlsR18hODtoIKFdJy04O2ggzQ0lRLk5ZU0U6V01ULklRX0dFT19TRUdfUkVWLjk5Ny4zLzI1LzIwMjIuTC4uLlVTRC4zAQAAAN/GBAADAAAAAABbEdfITg7aCChXSctODtoIQENJUVJBTkdFLk5ZU0U6V01ULklRX0JVU19TRUdfUkVWLjEuMTAuSVFfRlktMi4zLzI1LzIwMjIuTC4uLlVTRC4DAAAA38YEAAcAAAAAAAAABwAAAAAAAAAKIk5ZU0U6V01UIghOWVNFOldNVAEAAAAQIklRX0JVU19TRUdfUkVWIg5JUV9CVVNfU0VHX1JFVgIAAAAHSVFfRlktMgM5OTgDAAAACyIzLzI1LzIwMjIiCTMvMjUvMjAyMgQAAAADIkwiAyJMIgcAAAAFIlVTRCIFIlVTRCIIAAAAATEBMQAAAAAHAAAAAAAAAAoiTllTRTpXTVQiCE5ZU0U6V01UAQAAABAiSVFfQlVTX1NFR19SRVYiDklRX0JVU19TRUdfUkVWAgAAAAdJUV9GWS0yAzk5OAMAAAALIjMvMjUvMjAyMiIJMy8yNS8yMDIyBAAAAAMiTCIDIkwiBwAAAAUiVVNEIgUiVVNEIggAAAABMgEyAAAAAAcAAAAAAAAACiJOWVNFOldNVCIITllTRTpXTVQBAAAAECJJUV9CVVNfU0VHX1JFViIOSVFfQlVTX1NFR19SRVYCAAAAB0lRX0ZZLTIDOTk4AwAAAAsiMy8yNS8yMDIyIgkzLzI1LzIwMjIEAAAAAyJMIgMiTCIHAAAABSJVU0Qi</t>
  </si>
  <si>
    <t>BSJVU0QiCAAAAAEzATMAAAAABwAAAAAAAAAKIk5ZU0U6V01UIghOWVNFOldNVAEAAAAQIklRX0JVU19TRUdfUkVWIg5JUV9CVVNfU0VHX1JFVgIAAAAHSVFfRlktMgM5OTgDAAAACyIzLzI1LzIwMjIiCTMvMjUvMjAyMgQAAAADIkwiAyJMIgcAAAAFIlVTRCIFIlVTRCIIAAAAATQBNAAAAAAHAAAAAAAAAAoiTllTRTpXTVQiCE5ZU0U6V01UAQAAABAiSVFfQlVTX1NFR19SRVYiDklRX0JVU19TRUdfUkVWAgAAAAdJUV9GWS0yAzk5OAMAAAALIjMvMjUvMjAyMiIJMy8yNS8yMDIyBAAAAAMiTCIDIkwiBwAAAAUiVVNEIgUiVVNEIggAAAABNQE1AAAAAAcAAAAAAAAACiJOWVNFOldNVCIITllTRTpXTVQBAAAAECJJUV9CVVNfU0VHX1JFViIOSVFfQlVTX1NFR19SRVYCAAAAB0lRX0ZZLTIDOTk4AwAAAAsiMy8yNS8yMDIyIgkzLzI1LzIwMjIEAAAAAyJMIgMiTCIHAAAABSJVU0QiBSJVU0QiCAAAAAE2ATYAAAAABwAAAAAAAAAKIk5ZU0U6V01UIghOWVNFOldNVAEAAAAQIklRX0JVU19TRUdfUkVWIg5JUV9CVVNfU0VHX1JFVgIAAAAHSVFfRlktMgM5OTgDAAAACyIzLzI1LzIwMjIiCTMvMjUvMjAyMgQAAAADIkwiAyJMIgcAAAAFIlVTRCIFIlVTRCIIAAAAATcBN1SZwIc/DtoISpJJy04O2ggzQ0lRLk5ZU0U6V01ULklRX0JVU19TRUdfUkVWLjk5OC4zLzI1LzIwMjIuTC4uLlVTRC4xAQAAAN/GBAACAAAABjM0</t>
  </si>
  <si>
    <t>MTAwNAEGAAAABQAAAAE0AQAAAAstMjEwNzY4NjI5MQIAAAAEMzUwOAMAAAADMTYwBAAAAAEwBgAAAAk5MDM4MjMyODBbEdfITg7aCEqSSctODtoIM0NJUS5OWVNFOldNVC5JUV9CVVNfU0VHX1JFVi45OTguMy8yNS8yMDIyLkwuLi5VU0QuMgEAAADfxgQAAgAAAAYxMjAxMzABBgAAAAUAAAABNAEAAAALLTIxMDc2ODYyOTECAAAABDM1MDgDAAAAAzE2MAQAAAABMAYAAAAJOTAzODIzMjc3WxHXyE4O2ghKkknLTg7aCDNDSVEuTllTRTpXTVQuSVFfQlVTX1NFR19SRVYuOTk4LjMvMjUvMjAyMi5MLi4uVVNELjMBAAAA38YEAAIAAAAFNTg3OTIBBgAAAAUAAAABNAEAAAALLTIxMDc2ODYyOTECAAAABDM1MDgDAAAAAzE2MAQAAAABMAYAAAAJOTAwOTcxMjg4WxHXyE4O2ghKkknLTg7aCDNDSVEuTllTRTpXTVQuSVFfQlVTX1NFR19SRVYuOTk4LjMvMjUvMjAyMi5MLi4uVVNELjQBAAAA38YEAAMAAAAAAFsR18hODtoISpJJy04O2ggzQ0lRLk5ZU0U6V01ULklRX0JVU19TRUdfUkVWLjk5OC4zLzI1LzIwMjIuTC4uLlVTRC41AQAAAN/GBAADAAAAAABbEdfITg7aCEqSSctODtoIM0NJUS5OWVNFOldNVC5JUV9CVVNfU0VHX1JFVi45OTguMy8yNS8yMDIyLkwuLi5VU0QuNgEAAADfxgQAAwAAAAAAWxHXyE4O2ghKkknLTg7aCDNDSVEuTllTRTpXTVQuSVFfQlVTX1NFR19SRVYuOTk4LjMvMjUvMjAyMi5MLi4uVVNE</t>
  </si>
  <si>
    <t>LjcBAAAA38YEAAMAAAAAAFsR18hODtoISpJJy04O2ghAQ0lRUkFOR0UuTllTRTpXTVQuSVFfR0VPX1NFR19SRVYuMS4yMC5JUV9GWS02LjMvMjUvMjAyMi5MLi4uVVNELgMAAADfxgQAAwAAAAAAAAAHAAAAAAAAAAoiTllTRTpXTVQiCE5ZU0U6V01UAQAAABAiSVFfR0VPX1NFR19SRVYiDklRX0dFT19TRUdfUkVWAgAAAAdJUV9GWS02Azk5NAMAAAALIjMvMjUvMjAyMiIJMy8yNS8yMDIyBAAAAAMiTCIDIkwiBwAAAAUiVVNEIgUiVVNEIggAAAABMQExAAAAAAcAAAAAAAAACiJOWVNFOldNVCIITllTRTpXTVQBAAAAECJJUV9HRU9fU0VHX1JFViIOSVFfR0VPX1NFR19SRVYCAAAAB0lRX0ZZLTYDOTk0AwAAAAsiMy8yNS8yMDIyIgkzLzI1LzIwMjIEAAAAAyJMIgMiTCIHAAAABSJVU0QiBSJVU0QiCAAAAAEyATIAAAAABwAAAAAAAAAKIk5ZU0U6V01UIghOWVNFOldNVAEAAAAQIklRX0dFT19TRUdfUkVWIg5JUV9HRU9fU0VHX1JFVgIAAAAHSVFfRlktNgM5OTQDAAAACyIzLzI1LzIwMjIiCTMvMjUvMjAyMgQAAAADIkwiAyJMIgcAAAAFIlVTRCIFIlVTRCIIAAAAATMBM1SZwIc/DtoIrmpJy04O2ggzQ0lRLk5ZU0U6V01ULklRX0dFT19TRUdfUkVWLjk5NC4zLzI1LzIwMjIuTC4uLlVTRC4xAQAAAN/GBAACAAAABjM1NzU1OQEGAAAABQAAAAE0AQAAAAoxODgwNzE4NzYyAgAAAAQzNTE1AwAAAAMxNjAEAAAA</t>
  </si>
  <si>
    <t>ATAGAAAACTkwMDk4MTc3N1sR18hODtoIrmpJy04O2ggzQ0lRLk5ZU0U6V01ULklRX0dFT19TRUdfUkVWLjk5NC4zLzI1LzIwMjIuTC4uLlVTRC4yAQAAAN/GBAACAAAABjEyNDU3MQEGAAAABQAAAAE0AQAAAAoxODgwNzE4NzYyAgAAAAQzNTE1AwAAAAMxNjAEAAAAATAGAAAACTkwMDk4MTc0NlsR18hODtoIrmpJy04O2ggzQ0lRLk5ZU0U6V01ULklRX0dFT19TRUdfUkVWLjk5NC4zLzI1LzIwMjIuTC4uLlVTRC4zAQAAAN/GBAADAAAAAABbEdfITg7aCK5qSctODtoIQENJUVJBTkdFLk5ZU0U6V01ULklRX0JVU19TRUdfUkVWLjEuMTAuSVFfRlktNC4zLzI1LzIwMjIuTC4uLlVTRC4DAAAA38YEAAcAAAAAAAAABwAAAAAAAAAKIk5ZU0U6V01UIghOWVNFOldNVAEAAAAQIklRX0JVU19TRUdfUkVWIg5JUV9CVVNfU0VHX1JFVgIAAAAHSVFfRlktNAM5OTYDAAAACyIzLzI1LzIwMjIiCTMvMjUvMjAyMgQAAAADIkwiAyJMIgcAAAAFIlVTRCIFIlVTRCIIAAAAATEBMQAAAAAHAAAAAAAAAAoiTllTRTpXTVQiCE5ZU0U6V01UAQAAABAiSVFfQlVTX1NFR19SRVYiDklRX0JVU19TRUdfUkVWAgAAAAdJUV9GWS00Azk5NgMAAAALIjMvMjUvMjAyMiIJMy8yNS8yMDIyBAAAAAMiTCIDIkwiBwAAAAUiVVNEIgUiVVNEIggAAAABMgEyAAAAAAcAAAAAAAAACiJOWVNFOldNVCIITllTRTpXTVQBAAAAECJJUV9CVVNfU0VH</t>
  </si>
  <si>
    <t>X1JFViIOSVFfQlVTX1NFR19SRVYCAAAAB0lRX0ZZLTQDOTk2AwAAAAsiMy8yNS8yMDIyIgkzLzI1LzIwMjIEAAAAAyJMIgMiTCIHAAAABSJVU0QiBSJVU0QiCAAAAAEzATMAAAAABwAAAAAAAAAKIk5ZU0U6V01UIghOWVNFOldNVAEAAAAQIklRX0JVU19TRUdfUkVWIg5JUV9CVVNfU0VHX1JFVgIAAAAHSVFfRlktNAM5OTYDAAAACyIzLzI1LzIwMjIiCTMvMjUvMjAyMgQAAAADIkwiAyJMIgcAAAAFIlVTRCIFIlVTRCIIAAAAATQBNAAAAAAHAAAAAAAAAAoiTllTRTpXTVQiCE5ZU0U6V01UAQAAABAiSVFfQlVTX1NFR19SRVYiDklRX0JVU19TRUdfUkVWAgAAAAdJUV9GWS00Azk5NgMAAAALIjMvMjUvMjAyMiIJMy8yNS8yMDIyBAAAAAMiTCIDIkwiBwAAAAUiVVNEIgUiVVNEIggAAAABNQE1AAAAAAcAAAAAAAAACiJOWVNFOldNVCIITllTRTpXTVQBAAAAECJJUV9CVVNfU0VHX1JFViIOSVFfQlVTX1NFR19SRVYCAAAAB0lRX0ZZLTQDOTk2AwAAAAsiMy8yNS8yMDIyIgkzLzI1LzIwMjIEAAAAAyJMIgMiTCIHAAAABSJVU0QiBSJVU0QiCAAAAAE2ATYAAAAABwAAAAAAAAAKIk5ZU0U6V01UIghOWVNFOldNVAEAAAAQIklRX0JVU19TRUdfUkVWIg5JUV9CVVNfU0VHX1JFVgIAAAAHSVFfRlktNAM5OTYDAAAACyIzLzI1LzIwMjIiCTMvMjUvMjAyMgQAAAADIkwiAyJMIgcAAAAFIlVTRCIFIlVTRCIIAAAAATcB</t>
  </si>
  <si>
    <t>N1SZwIc/DtoISpJJy04O2ggzQ0lRLk5ZU0U6V01ULklRX0JVU19TRUdfUkVWLjk5Ni4zLzI1LzIwMjIuTC4uLlVTRC4xAQAAAN/GBAACAAAABjMxODQ3NwEGAAAABQAAAAE0AQAAAAoyMDIzMjQ5NjExAgAAAAQzNTA4AwAAAAMxNjAEAAAAATAGAAAACTkwMzgyMzI4MFsR18hODtoIVblJy04O2ggzQ0lRLk5ZU0U6V01ULklRX0JVU19TRUdfUkVWLjk5Ni4zLzI1LzIwMjIuTC4uLlVTRC4yAQAAAN/GBAACAAAABjExODA2OAEGAAAABQAAAAE0AQAAAAoyMDIzMjQ5NjExAgAAAAQzNTA4AwAAAAMxNjAEAAAAATAGAAAACTkwMzgyMzI3N1sR18hODtoIVblJy04O2ggzQ0lRLk5ZU0U6V01ULklRX0JVU19TRUdfUkVWLjk5Ni4zLzI1LzIwMjIuTC4uLlVTRC4zAQAAAN/GBAACAAAABTU5MjE2AQYAAAAFAAAAATQBAAAACjIwMjMyNDk2MTECAAAABDM1MDgDAAAAAzE2MAQAAAABMAYAAAAJOTAwOTcxMjg4WxHXyE4O2ghVuUnLTg7aCDNDSVEuTllTRTpXTVQuSVFfQlVTX1NFR19SRVYuOTk2LjMvMjUvMjAyMi5MLi4uVVNELjQBAAAA38YEAAMAAAAAAFsR18hODtoIVblJy04O2ggzQ0lRLk5ZU0U6V01ULklRX0JVU19TRUdfUkVWLjk5Ni4zLzI1LzIwMjIuTC4uLlVTRC41AQAAAN/GBAADAAAAAABbEdfITg7aCFW5SctODtoIM0NJUS5OWVNFOldNVC5JUV9CVVNfU0VHX1JFVi45OTYuMy8yNS8yMDIyLkwuLi5VU0Qu</t>
  </si>
  <si>
    <t>NgEAAADfxgQAAwAAAAAAWxHXyE4O2ghVuUnLTg7aCDNDSVEuTllTRTpXTVQuSVFfQlVTX1NFR19SRVYuOTk2LjMvMjUvMjAyMi5MLi4uVVNELjcBAAAA38YEAAMAAAAAAFsR18hODtoIVblJy04O2ghAQ0lRUkFOR0UuTllTRTpXTVQuSVFfQlVTX1NFR19SRVYuMS4xMC5JUV9GWS01LjMvMjUvMjAyMi5MLi4uVVNELgMAAADfxgQABwAAAAAAAAAHAAAAAAAAAAoiTllTRTpXTVQiCE5ZU0U6V01UAQAAABAiSVFfQlVTX1NFR19SRVYiDklRX0JVU19TRUdfUkVWAgAAAAdJUV9GWS01Azk5NQMAAAALIjMvMjUvMjAyMiIJMy8yNS8yMDIyBAAAAAMiTCIDIkwiBwAAAAUiVVNEIgUiVVNEIggAAAABMQExAAAAAAcAAAAAAAAACiJOWVNFOldNVCIITllTRTpXTVQBAAAAECJJUV9CVVNfU0VHX1JFViIOSVFfQlVTX1NFR19SRVYCAAAAB0lRX0ZZLTUDOTk1AwAAAAsiMy8yNS8yMDIyIgkzLzI1LzIwMjIEAAAAAyJMIgMiTCIHAAAABSJVU0QiBSJVU0QiCAAAAAEyATIAAAAABwAAAAAAAAAKIk5ZU0U6V01UIghOWVNFOldNVAEAAAAQIklRX0JVU19TRUdfUkVWIg5JUV9CVVNfU0VHX1JFVgIAAAAHSVFfRlktNQM5OTUDAAAACyIzLzI1LzIwMjIiCTMvMjUvMjAyMgQAAAADIkwiAyJMIgcAAAAFIlVTRCIFIlVTRCIIAAAAATMBMwAAAAAHAAAAAAAAAAoiTllTRTpXTVQiCE5ZU0U6V01UAQAAABAiSVFfQlVTX1NFR19SRVYi</t>
  </si>
  <si>
    <t>DklRX0JVU19TRUdfUkVWAgAAAAdJUV9GWS01Azk5NQMAAAALIjMvMjUvMjAyMiIJMy8yNS8yMDIyBAAAAAMiTCIDIkwiBwAAAAUiVVNEIgUiVVNEIggAAAABNAE0AAAAAAcAAAAAAAAACiJOWVNFOldNVCIITllTRTpXTVQBAAAAECJJUV9CVVNfU0VHX1JFViIOSVFfQlVTX1NFR19SRVYCAAAAB0lRX0ZZLTUDOTk1AwAAAAsiMy8yNS8yMDIyIgkzLzI1LzIwMjIEAAAAAyJMIgMiTCIHAAAABSJVU0QiBSJVU0QiCAAAAAE1ATUAAAAABwAAAAAAAAAKIk5ZU0U6V01UIghOWVNFOldNVAEAAAAQIklRX0JVU19TRUdfUkVWIg5JUV9CVVNfU0VHX1JFVgIAAAAHSVFfRlktNQM5OTUDAAAACyIzLzI1LzIwMjIiCTMvMjUvMjAyMgQAAAADIkwiAyJMIgcAAAAFIlVTRCIFIlVTRCIIAAAAATYBNgAAAAAHAAAAAAAAAAoiTllTRTpXTVQiCE5ZU0U6V01UAQAAABAiSVFfQlVTX1NFR19SRVYiDklRX0JVU19TRUdfUkVWAgAAAAdJUV9GWS01Azk5NQMAAAALIjMvMjUvMjAyMiIJMy8yNS8yMDIyBAAAAAMiTCIDIkwiBwAAAAUiVVNEIgUiVVNEIggAAAABNwE3VJnAhz8O2ghVuUnLTg7aCDNDSVEuTllTRTpXTVQuSVFfQlVTX1NFR19SRVYuOTk1LjMvMjUvMjAyMi5MLi4uVVNELjEBAAAA38YEAAIAAAAGMzA3ODMzAQYAAAAFAAAAATQBAAAACjE5NTE1NDAzMzUCAAAABDM1MDgDAAAAAzE2MAQAAAABMAYAAAAJOTAzODIzMjgw</t>
  </si>
  <si>
    <t>WxHXyE4O2ghVuUnLTg7aCDNDSVEuTllTRTpXTVQuSVFfQlVTX1NFR19SRVYuOTk1LjMvMjUvMjAyMi5MLi4uVVNELjIBAAAA38YEAAIAAAAGMTE2MTE5AQYAAAAFAAAAATQBAAAACjE5NTE1NDAzMzUCAAAABDM1MDgDAAAAAzE2MAQAAAABMAYAAAAJOTAzODIzMjc3WxHXyE4O2ghVuUnLTg7aCDNDSVEuTllTRTpXTVQuSVFfQlVTX1NFR19SRVYuOTk1LjMvMjUvMjAyMi5MLi4uVVNELjMBAAAA38YEAAIAAAAFNTczNjUBBgAAAAUAAAABNAEAAAAKMTk1MTU0MDMzNQIAAAAEMzUwOAMAAAADMTYwBAAAAAEwBgAAAAk5MDA5NzEyODhbEdfITg7aCFW5SctODtoIM0NJUS5OWVNFOldNVC5JUV9CVVNfU0VHX1JFVi45OTUuMy8yNS8yMDIyLkwuLi5VU0QuNAEAAADfxgQAAwAAAAAAWxHXyE4O2ghVuUnLTg7aCDNDSVEuTllTRTpXTVQuSVFfQlVTX1NFR19SRVYuOTk1LjMvMjUvMjAyMi5MLi4uVVNELjUBAAAA38YEAAMAAAAAAFsR18hODtoIVblJy04O2ggzQ0lRLk5ZU0U6V01ULklRX0JVU19TRUdfUkVWLjk5NS4zLzI1LzIwMjIuTC4uLlVTRC42AQAAAN/GBAADAAAAAABbEdfITg7aCFW5SctODtoIM0NJUS5OWVNFOldNVC5JUV9CVVNfU0VHX1JFVi45OTUuMy8yNS8yMDIyLkwuLi5VU0QuNwEAAADfxgQAAwAAAAAAWxHXyE4O2ghVuUnLTg7aCEBDSVFSQU5HRS5OWVNFOldNVC5JUV9CVVNfU0VHX1JFVi4xLjEw</t>
  </si>
  <si>
    <t>LklRX0ZZLTYuMy8yNS8yMDIyLkwuLi5VU0QuAwAAAN/GBAAHAAAAAAAAAAcAAAAAAAAACiJOWVNFOldNVCIITllTRTpXTVQBAAAAECJJUV9CVVNfU0VHX1JFViIOSVFfQlVTX1NFR19SRVYCAAAAB0lRX0ZZLTYDOTk0AwAAAAsiMy8yNS8yMDIyIgkzLzI1LzIwMjIEAAAAAyJMIgMiTCIHAAAABSJVU0QiBSJVU0QiCAAAAAExATEAAAAABwAAAAAAAAAKIk5ZU0U6V01UIghOWVNFOldNVAEAAAAQIklRX0JVU19TRUdfUkVWIg5JUV9CVVNfU0VHX1JFVgIAAAAHSVFfRlktNgM5OTQDAAAACyIzLzI1LzIwMjIiCTMvMjUvMjAyMgQAAAADIkwiAyJMIgcAAAAFIlVTRCIFIlVTRCIIAAAAATIBMgAAAAAHAAAAAAAAAAoiTllTRTpXTVQiCE5ZU0U6V01UAQAAABAiSVFfQlVTX1NFR19SRVYiDklRX0JVU19TRUdfUkVWAgAAAAdJUV9GWS02Azk5NAMAAAALIjMvMjUvMjAyMiIJMy8yNS8yMDIyBAAAAAMiTCIDIkwiBwAAAAUiVVNEIgUiVVNEIggAAAABMwEzAAAAAAcAAAAAAAAACiJOWVNFOldNVCIITllTRTpXTVQBAAAAECJJUV9CVVNfU0VHX1JFViIOSVFfQlVTX1NFR19SRVYCAAAAB0lRX0ZZLTYDOTk0AwAAAAsiMy8yNS8yMDIyIgkzLzI1LzIwMjIEAAAAAyJMIgMiTCIHAAAABSJVU0QiBSJVU0QiCAAAAAE0ATQAAAAABwAAAAAAAAAKIk5ZU0U6V01UIghOWVNFOldNVAEAAAAQIklRX0JVU19TRUdfUkVWIg5JUV9C</t>
  </si>
  <si>
    <t>VVNfU0VHX1JFVgIAAAAHSVFfRlktNgM5OTQDAAAACyIzLzI1LzIwMjIiCTMvMjUvMjAyMgQAAAADIkwiAyJMIgcAAAAFIlVTRCIFIlVTRCIIAAAAATUBNQAAAAAHAAAAAAAAAAoiTllTRTpXTVQiCE5ZU0U6V01UAQAAABAiSVFfQlVTX1NFR19SRVYiDklRX0JVU19TRUdfUkVWAgAAAAdJUV9GWS02Azk5NAMAAAALIjMvMjUvMjAyMiIJMy8yNS8yMDIyBAAAAAMiTCIDIkwiBwAAAAUiVVNEIgUiVVNEIggAAAABNgE2AAAAAAcAAAAAAAAACiJOWVNFOldNVCIITllTRTpXTVQBAAAAECJJUV9CVVNfU0VHX1JFViIOSVFfQlVTX1NFR19SRVYCAAAAB0lRX0ZZLTYDOTk0AwAAAAsiMy8yNS8yMDIyIgkzLzI1LzIwMjIEAAAAAyJMIgMiTCIHAAAABSJVU0QiBSJVU0QiCAAAAAE3ATdUmcCHPw7aCFW5SctODtoIM0NJUS5OWVNFOldNVC5JUV9CVVNfU0VHX1JFVi45OTQuMy8yNS8yMDIyLkwuLi5VU0QuMQEAAADfxgQAAgAAAAYyOTgzNzgBBgAAAAUAAAABNAEAAAAKMTg4MDcxODc2MgIAAAAEMzUwOAMAAAADMTYwBAAAAAEwBgAAAAk5MDM4MjMyODBbEdfITg7aCFW5SctODtoIM0NJUS5OWVNFOldNVC5JUV9CVVNfU0VHX1JFVi45OTQuMy8yNS8yMDIyLkwuLi5VU0QuMgEAAADfxgQAAgAAAAYxMjM0MDgBBgAAAAUAAAABNAEAAAAKMTg4MDcxODc2MgIAAAAEMzUwOAMAAAADMTYwBAAAAAEwBgAAAAk5MDM4MjMyNzdb</t>
  </si>
  <si>
    <t>EdfITg7aCFW5SctODtoIM0NJUS5OWVNFOldNVC5JUV9CVVNfU0VHX1JFVi45OTQuMy8yNS8yMDIyLkwuLi5VU0QuMwEAAADfxgQAAgAAAAU1NjgyOAEGAAAABQAAAAE0AQAAAAoxODgwNzE4NzYyAgAAAAQzNTA4AwAAAAMxNjAEAAAAATAGAAAACTkwMDk3MTI4OFsR18hODtoIVblJy04O2ggzQ0lRLk5ZU0U6V01ULklRX0JVU19TRUdfUkVWLjk5NC4zLzI1LzIwMjIuTC4uLlVTRC40AQAAAN/GBAADAAAAAABbEdfITg7aCFW5SctODtoIM0NJUS5OWVNFOldNVC5JUV9CVVNfU0VHX1JFVi45OTQuMy8yNS8yMDIyLkwuLi5VU0QuNQEAAADfxgQAAwAAAAAAWxHXyE4O2ghVuUnLTg7aCDNDSVEuTllTRTpXTVQuSVFfQlVTX1NFR19SRVYuOTk0LjMvMjUvMjAyMi5MLi4uVVNELjYBAAAA38YEAAMAAAAAAFsR18hODtoIVblJy04O2ggzQ0lRLk5ZU0U6V01ULklRX0JVU19TRUdfUkVWLjk5NC4zLzI1LzIwMjIuTC4uLlVTRC43AQAAAN/GBAADAAAAAABbEdfITg7aCFW5SctODtoIQENJUVJBTkdFLk5ZU0U6V01ULklRX0dFT19TRUdfUkVWLjEuMjAuSVFfRlktNS4zLzI1LzIwMjIuTC4uLlVTRC4DAAAA38YEAAMAAAAAAAAABwAAAAAAAAAKIk5ZU0U6V01UIghOWVNFOldNVAEAAAAQIklRX0dFT19TRUdfUkVWIg5JUV9HRU9fU0VHX1JFVgIAAAAHSVFfRlktNQM5OTUDAAAACyIzLzI1LzIwMjIiCTMvMjUvMjAyMgQA</t>
  </si>
  <si>
    <t>AAADIkwiAyJMIgcAAAAFIlVTRCIFIlVTRCIIAAAAATEBMQAAAAAHAAAAAAAAAAoiTllTRTpXTVQiCE5ZU0U6V01UAQAAABAiSVFfR0VPX1NFR19SRVYiDklRX0dFT19TRUdfUkVWAgAAAAdJUV9GWS01Azk5NQMAAAALIjMvMjUvMjAyMiIJMy8yNS8yMDIyBAAAAAMiTCIDIkwiBwAAAAUiVVNEIgUiVVNEIggAAAABMgEyAAAAAAcAAAAAAAAACiJOWVNFOldNVCIITllTRTpXTVQBAAAAECJJUV9HRU9fU0VHX1JFViIOSVFfR0VPX1NFR19SRVYCAAAAB0lRX0ZZLTUDOTk1AwAAAAsiMy8yNS8yMDIyIgkzLzI1LzIwMjIEAAAAAyJMIgMiTCIHAAAABSJVU0QiBSJVU0QiCAAAAAEzATNUmcCHPw7aCK5qSctODtoIM0NJUS5OWVNFOldNVC5JUV9HRU9fU0VHX1JFVi45OTUuMy8yNS8yMDIyLkwuLi5VU0QuMQEAAADfxgQAAgAAAAYzNjc3ODQBBgAAAAUAAAABNAEAAAAKMTk1MTU0MDMzNQIAAAAEMzUxNQMAAAADMTYwBAAAAAEwBgAAAAk5MDA5ODE3NzdbEdfITg7aCK5qSctODtoIM0NJUS5OWVNFOldNVC5JUV9HRU9fU0VHX1JFVi45OTUuMy8yNS8yMDIyLkwuLi5VU0QuMgEAAADfxgQAAgAAAAYxMTgwODkBBgAAAAUAAAABNAEAAAAKMTk1MTU0MDMzNQIAAAAEMzUxNQMAAAADMTYwBAAAAAEwBgAAAAk5MDA5ODE3NDZbEdfITg7aCK5qSctODtoIM0NJUS5OWVNFOldNVC5JUV9HRU9fU0VHX1JFVi45OTUuMy8yNS8y</t>
  </si>
  <si>
    <t>MDIyLkwuLi5VU0QuMwEAAADfxgQAAwAAAAAAWxHXyE4O2giuaknLTg7aCD5DSVFSQU5HRS5OWVNFOldNVC5JUV9CVVNfU0VHX1JFVi4xLjEwLklRX0ZZLjMvMjUvMjAyMi5MLi4uVVNELgMAAADfxgQABwAAAAAAAAAHAAAAAAAAAAoiTllTRTpXTVQiCE5ZU0U6V01UAQAAABAiSVFfQlVTX1NFR19SRVYiDklRX0JVU19TRUdfUkVWAgAAAAVJUV9GWQQxMDAwAwAAAAsiMy8yNS8yMDIyIgkzLzI1LzIwMjIEAAAAAyJMIgMiTCIHAAAABSJVU0QiBSJVU0QiCAAAAAExATEAAAAABwAAAAAAAAAKIk5ZU0U6V01UIghOWVNFOldNVAEAAAAQIklRX0JVU19TRUdfUkVWIg5JUV9CVVNfU0VHX1JFVgIAAAAFSVFfRlkEMTAwMAMAAAALIjMvMjUvMjAyMiIJMy8yNS8yMDIyBAAAAAMiTCIDIkwiBwAAAAUiVVNEIgUiVVNEIggAAAABMgEyAAAAAAcAAAAAAAAACiJOWVNFOldNVCIITllTRTpXTVQBAAAAECJJUV9CVVNfU0VHX1JFViIOSVFfQlVTX1NFR19SRVYCAAAABUlRX0ZZBDEwMDADAAAACyIzLzI1LzIwMjIiCTMvMjUvMjAyMgQAAAADIkwiAyJMIgcAAAAFIlVTRCIFIlVTRCIIAAAAATMBMwAAAAAHAAAAAAAAAAoiTllTRTpXTVQiCE5ZU0U6V01UAQAAABAiSVFfQlVTX1NFR19SRVYiDklRX0JVU19TRUdfUkVWAgAAAAVJUV9GWQQxMDAwAwAAAAsiMy8yNS8yMDIyIgkzLzI1LzIwMjIEAAAAAyJMIgMiTCIHAAAABSJV</t>
  </si>
  <si>
    <t>U0QiBSJVU0QiCAAAAAE0ATQAAAAABwAAAAAAAAAKIk5ZU0U6V01UIghOWVNFOldNVAEAAAAQIklRX0JVU19TRUdfUkVWIg5JUV9CVVNfU0VHX1JFVgIAAAAFSVFfRlkEMTAwMAMAAAALIjMvMjUvMjAyMiIJMy8yNS8yMDIyBAAAAAMiTCIDIkwiBwAAAAUiVVNEIgUiVVNEIggAAAABNQE1AAAAAAcAAAAAAAAACiJOWVNFOldNVCIITllTRTpXTVQBAAAAECJJUV9CVVNfU0VHX1JFViIOSVFfQlVTX1NFR19SRVYCAAAABUlRX0ZZBDEwMDADAAAACyIzLzI1LzIwMjIiCTMvMjUvMjAyMgQAAAADIkwiAyJMIgcAAAAFIlVTRCIFIlVTRCIIAAAAATYBNgAAAAAHAAAAAAAAAAoiTllTRTpXTVQiCE5ZU0U6V01UAQAAABAiSVFfQlVTX1NFR19SRVYiDklRX0JVU19TRUdfUkVWAgAAAAVJUV9GWQQxMDAwAwAAAAsiMy8yNS8yMDIyIgkzLzI1LzIwMjIEAAAAAyJMIgMiTCIHAAAABSJVU0QiBSJVU0QiCAAAAAE3ATdUmcCHPw7aCK5qSctODtoINENJUS5OWVNFOldNVC5JUV9CVVNfU0VHX1JFVi4xMDAwLjMvMjUvMjAyMi5MLi4uVVNELjEBAAAA38YEAAIAAAAGMzkzMjQ3AQYAAAAFAAAAATQBAAAACy0yMTA3Njg2MjgyAgAAAAQzNTA4AwAAAAMxNjAEAAAAATAGAAAACTkwMzgyMzI4MFsR18hODtoIrmpJy04O2gg0Q0lRLk5ZU0U6V01ULklRX0JVU19TRUdfUkVWLjEwMDAuMy8yNS8yMDIyLkwuLi5VU0QuMgEAAADfxgQA</t>
  </si>
  <si>
    <t>AgAAAAYxMDA5NTkBBgAAAAUAAAABNAEAAAALLTIxMDc2ODYyODICAAAABDM1MDgDAAAAAzE2MAQAAAABMAYAAAAJOTAzODIzMjc3WxHXyE4O2giuaknLTg7aCDRDSVEuTllTRTpXTVQuSVFfQlVTX1NFR19SRVYuMTAwMC4zLzI1LzIwMjIuTC4uLlVTRC4zAQAAAN/GBAACAAAABTczNTU2AQYAAAAFAAAAATQBAAAACy0yMTA3Njg2MjgyAgAAAAQzNTA4AwAAAAMxNjAEAAAAATAGAAAACTkwMDk3MTI4OFsR18hODtoIrmpJy04O2gg0Q0lRLk5ZU0U6V01ULklRX0JVU19TRUdfUkVWLjEwMDAuMy8yNS8yMDIyLkwuLi5VU0QuNAEAAADfxgQAAwAAAAAAWxHXyE4O2giuaknLTg7aCDRDSVEuTllTRTpXTVQuSVFfQlVTX1NFR19SRVYuMTAwMC4zLzI1LzIwMjIuTC4uLlVTRC41AQAAAN/GBAADAAAAAABbEdfITg7aCK5qSctODtoINENJUS5OWVNFOldNVC5JUV9CVVNfU0VHX1JFVi4xMDAwLjMvMjUvMjAyMi5MLi4uVVNELjYBAAAA38YEAAMAAAAAAFsR18hODtoIrmpJy04O2gg0Q0lRLk5ZU0U6V01ULklRX0JVU19TRUdfUkVWLjEwMDAuMy8yNS8yMDIyLkwuLi5VU0QuNwEAAADfxgQAAwAAAAAAWxHXyE4O2giuaknLTg7aCEBDSVFSQU5HRS5OWVNFOldNVC5JUV9HRU9fU0VHX1JFVi4xLjIwLklRX0ZZLTIuMy8yNS8yMDIyLkwuLi5VU0QuAwAAAN/GBAADAAAAAAAAAAcAAAAAAAAACiJOWVNFOldNVCIITllTRTpX</t>
  </si>
  <si>
    <t>TVQBAAAAECJJUV9HRU9fU0VHX1JFViIOSVFfR0VPX1NFR19SRVYCAAAAB0lRX0ZZLTIDOTk4AwAAAAsiMy8yNS8yMDIyIgkzLzI1LzIwMjIEAAAAAyJMIgMiTCIHAAAABSJVU0QiBSJVU0QiCAAAAAExATEAAAAABwAAAAAAAAAKIk5ZU0U6V01UIghOWVNFOldNVAEAAAAQIklRX0dFT19TRUdfUkVWIg5JUV9HRU9fU0VHX1JFVgIAAAAHSVFfRlktMgM5OTgDAAAACyIzLzI1LzIwMjIiCTMvMjUvMjAyMgQAAAADIkwiAyJMIgcAAAAFIlVTRCIFIlVTRCIIAAAAATIBMgAAAAAHAAAAAAAAAAoiTllTRTpXTVQiCE5ZU0U6V01UAQAAABAiSVFfR0VPX1NFR19SRVYiDklRX0dFT19TRUdfUkVWAgAAAAdJUV9GWS0yAzk5OAMAAAALIjMvMjUvMjAyMiIJMy8yNS8yMDIyBAAAAAMiTCIDIkwiBwAAAAUiVVNEIgUiVVNEIggAAAABMwEzfsDAhz8O2ghgHknLTg7aCDNDSVEuTllTRTpXTVQuSVFfR0VPX1NFR19SRVYuOTk4LjMvMjUvMjAyMi5MLi4uVVNELjEBAAAA38YEAAIAAAAGNDAyNTMyAQYAAAAFAAAAATQBAAAACy0yMTA3Njg2MjkxAgAAAAQzNTE1AwAAAAMxNjAEAAAAATAGAAAACTkwMDk4MTc3N1sR18hODtoIY0tJy04O2ggzQ0lRLk5ZU0U6V01ULklRX0dFT19TRUdfUkVWLjk5OC4zLzI1LzIwMjIuTC4uLlVTRC4yAQAAAN/GBAACAAAABjEyMTQzMgEGAAAABQAAAAE0AQAAAAstMjEwNzY4NjI5MQIAAAAEMzUx</t>
  </si>
  <si>
    <t>NQMAAAADMTYwBAAAAAEwBgAAAAk5MDA5ODE3NDZbEdfITg7aCM5MSctODtoIM0NJUS5OWVNFOldNVC5JUV9HRU9fU0VHX1JFVi45OTguMy8yNS8yMDIyLkwuLi5VU0QuMwEAAADfxgQAAwAAAAAAWxHXyE4O2gjOTEnLTg7aCEBDSVFSQU5HRS5OWVNFOldNVC5JUV9CVVNfU0VHX1JFVi4xLjEwLklRX0ZZLTEuMy8yNS8yMDIyLkwuLi5VU0QuAwAAAN/GBAAHAAAAAAAAAAcAAAAAAAAACiJOWVNFOldNVCIITllTRTpXTVQBAAAAECJJUV9CVVNfU0VHX1JFViIOSVFfQlVTX1NFR19SRVYCAAAAB0lRX0ZZLTEDOTk5AwAAAAsiMy8yNS8yMDIyIgkzLzI1LzIwMjIEAAAAAyJMIgMiTCIHAAAABSJVU0QiBSJVU0QiCAAAAAExATEAAAAABwAAAAAAAAAKIk5ZU0U6V01UIghOWVNFOldNVAEAAAAQIklRX0JVU19TRUdfUkVWIg5JUV9CVVNfU0VHX1JFVgIAAAAHSVFfRlktMQM5OTkDAAAACyIzLzI1LzIwMjIiCTMvMjUvMjAyMgQAAAADIkwiAyJMIgcAAAAFIlVTRCIFIlVTRCIIAAAAATIBMgAAAAAHAAAAAAAAAAoiTllTRTpXTVQiCE5ZU0U6V01UAQAAABAiSVFfQlVTX1NFR19SRVYiDklRX0JVU19TRUdfUkVWAgAAAAdJUV9GWS0xAzk5OQMAAAALIjMvMjUvMjAyMiIJMy8yNS8yMDIyBAAAAAMiTCIDIkwiBwAAAAUiVVNEIgUiVVNEIggAAAABMwEzAAAAAAcAAAAAAAAACiJOWVNFOldNVCIITllTRTpXTVQBAAAAECJJ</t>
  </si>
  <si>
    <t>UV9CVVNfU0VHX1JFViIOSVFfQlVTX1NFR19SRVYCAAAAB0lRX0ZZLTEDOTk5AwAAAAsiMy8yNS8yMDIyIgkzLzI1LzIwMjIEAAAAAyJMIgMiTCIHAAAABSJVU0QiBSJVU0QiCAAAAAE0ATQAAAAABwAAAAAAAAAKIk5ZU0U6V01UIghOWVNFOldNVAEAAAAQIklRX0JVU19TRUdfUkVWIg5JUV9CVVNfU0VHX1JFVgIAAAAHSVFfRlktMQM5OTkDAAAACyIzLzI1LzIwMjIiCTMvMjUvMjAyMgQAAAADIkwiAyJMIgcAAAAFIlVTRCIFIlVTRCIIAAAAATUBNQAAAAAHAAAAAAAAAAoiTllTRTpXTVQiCE5ZU0U6V01UAQAAABAiSVFfQlVTX1NFR19SRVYiDklRX0JVU19TRUdfUkVWAgAAAAdJUV9GWS0xAzk5OQMAAAALIjMvMjUvMjAyMiIJMy8yNS8yMDIyBAAAAAMiTCIDIkwiBwAAAAUiVVNEIgUiVVNEIggAAAABNgE2AAAAAAcAAAAAAAAACiJOWVNFOldNVCIITllTRTpXTVQBAAAAECJJUV9CVVNfU0VHX1JFViIOSVFfQlVTX1NFR19SRVYCAAAAB0lRX0ZZLTEDOTk5AwAAAAsiMy8yNS8yMDIyIgkzLzI1LzIwMjIEAAAAAyJMIgMiTCIHAAAABSJVU0QiBSJVU0QiCAAAAAE3ATd+wMCHPw7aCK5qSctODtoIM0NJUS5OWVNFOldNVC5JUV9CVVNfU0VHX1JFVi45OTkuMy8yNS8yMDIyLkwuLi5VU0QuMQEAAADfxgQAAgAAAAYzNjk5NjMBBgAAAAUAAAABNAEAAAALLTIxMDc2ODYyODECAAAABDM1MDgDAAAAAzE2MAQAAAAB</t>
  </si>
  <si>
    <t>MAYAAAAJOTAzODIzMjgwWxHXyE4O2giuaknLTg7aCDNDSVEuTllTRTpXTVQuSVFfQlVTX1NFR19SRVYuOTk5LjMvMjUvMjAyMi5MLi4uVVNELjIBAAAA38YEAAIAAAAGMTIxMzYwAQYAAAAFAAAAATQBAAAACy0yMTA3Njg2MjgxAgAAAAQzNTA4AwAAAAMxNjAEAAAAATAGAAAACTkwMzgyMzI3N1sR18hODtoISpJJy04O2ggzQ0lRLk5ZU0U6V01ULklRX0JVU19TRUdfUkVWLjk5OS4zLzI1LzIwMjIuTC4uLlVTRC4zAQAAAN/GBAACAAAABTYzOTEwAQYAAAAFAAAAATQBAAAACy0yMTA3Njg2MjgxAgAAAAQzNTA4AwAAAAMxNjAEAAAAATAGAAAACTkwMDk3MTI4OFsR18hODtoISpJJy04O2ggzQ0lRLk5ZU0U6V01ULklRX0JVU19TRUdfUkVWLjk5OS4zLzI1LzIwMjIuTC4uLlVTRC40AQAAAN/GBAADAAAAAABbEdfITg7aCEqSSctODtoIM0NJUS5OWVNFOldNVC5JUV9CVVNfU0VHX1JFVi45OTkuMy8yNS8yMDIyLkwuLi5VU0QuNQEAAADfxgQAAwAAAAAAWxHXyE4O2ghKkknLTg7aCDNDSVEuTllTRTpXTVQuSVFfQlVTX1NFR19SRVYuOTk5LjMvMjUvMjAyMi5MLi4uVVNELjYBAAAA38YEAAMAAAAAAFsR18hODtoISpJJy04O2ggzQ0lRLk5ZU0U6V01ULklRX0JVU19TRUdfUkVWLjk5OS4zLzI1LzIwMjIuTC4uLlVTRC43AQAAAN/GBAADAAAAAABbEdfITg7aCEqSSctODtoIQENJUVJBTkdFLk5ZU0U6V01ULklR</t>
  </si>
  <si>
    <t>X0dFT19TRUdfUkVWLjEuMjAuSVFfRlktNC4zLzI1LzIwMjIuTC4uLlVTRC4DAAAA38YEAAMAAAAAAAAABwAAAAAAAAAKIk5ZU0U6V01UIghOWVNFOldNVAEAAAAQIklRX0dFT19TRUdfUkVWIg5JUV9HRU9fU0VHX1JFVgIAAAAHSVFfRlktNAM5OTYDAAAACyIzLzI1LzIwMjIiCTMvMjUvMjAyMgQAAAADIkwiAyJMIgcAAAAFIlVTRCIFIlVTRCIIAAAAATEBMQAAAAAHAAAAAAAAAAoiTllTRTpXTVQiCE5ZU0U6V01UAQAAABAiSVFfR0VPX1NFR19SRVYiDklRX0dFT19TRUdfUkVWAgAAAAdJUV9GWS00Azk5NgMAAAALIjMvMjUvMjAyMiIJMy8yNS8yMDIyBAAAAAMiTCIDIkwiBwAAAAUiVVNEIgUiVVNEIggAAAABMgEyAAAAAAcAAAAAAAAACiJOWVNFOldNVCIITllTRTpXTVQBAAAAECJJUV9HRU9fU0VHX1JFViIOSVFfR0VPX1NFR19SRVYCAAAAB0lRX0ZZLTQDOTk2AwAAAAsiMy8yNS8yMDIyIgkzLzI1LzIwMjIEAAAAAyJMIgMiTCIHAAAABSJVU0QiBSJVU0QiCAAAAAEzATN+wMCHPw7aCChXSctODtoIM0NJUS5OWVNFOldNVC5JUV9HRU9fU0VHX1JFVi45OTYuMy8yNS8yMDIyLkwuLi5VU0QuMQEAAADfxgQAAgAAAAYzODA1ODABBgAAAAUAAAABNAEAAAAKMjAyMzI0OTYxMQIAAAAEMzUxNQMAAAADMTYwBAAAAAEwBgAAAAk5MDA5ODE3NzdbEdfITg7aCChXSctODtoIM0NJUS5OWVNFOldNVC5JUV9HRU9f</t>
  </si>
  <si>
    <t>U0VHX1JFVi45OTYuMy8yNS8yMDIyLkwuLi5VU0QuMgEAAADfxgQAAgAAAAYxMTk3NjMBBgAAAAUAAAABNAEAAAAKMjAyMzI0OTYxMQIAAAAEMzUxNQMAAAADMTYwBAAAAAEwBgAAAAk5MDA5ODE3NDZbEdfITg7aCChXSctODtoIM0NJUS5OWVNFOldNVC5JUV9HRU9fU0VHX1JFVi45OTYuMy8yNS8yMDIyLkwuLi5VU0QuMwEAAADfxgQAAwAAAAAAWxHXyE4O2ggoV0nLTg7aCEBDSVFSQU5HRS5OWVNFOldNVC5JUV9CVVNfU0VHX1JFVi4xLjEwLklRX0ZZLTMuMy8yNS8yMDIyLkwuLi5VU0QuAwAAAN/GBAAHAAAAAAAAAAcAAAAAAAAACiJOWVNFOldNVCIITllTRTpXTVQBAAAAECJJUV9CVVNfU0VHX1JFViIOSVFfQlVTX1NFR19SRVYCAAAAB0lRX0ZZLTMDOTk3AwAAAAsiMy8yNS8yMDIyIgkzLzI1LzIwMjIEAAAAAyJMIgMiTCIHAAAABSJVU0QiBSJVU0QiCAAAAAExATEAAAAABwAAAAAAAAAKIk5ZU0U6V01UIghOWVNFOldNVAEAAAAQIklRX0JVU19TRUdfUkVWIg5JUV9CVVNfU0VHX1JFVgIAAAAHSVFfRlktMwM5OTcDAAAACyIzLzI1LzIwMjIiCTMvMjUvMjAyMgQAAAADIkwiAyJMIgcAAAAFIlVTRCIFIlVTRCIIAAAAATIBMgAAAAAHAAAAAAAAAAoiTllTRTpXTVQiCE5ZU0U6V01UAQAAABAiSVFfQlVTX1NFR19SRVYiDklRX0JVU19TRUdfUkVWAgAAAAdJUV9GWS0zAzk5NwMAAAALIjMvMjUvMjAyMiIJ</t>
  </si>
  <si>
    <t>My8yNS8yMDIyBAAAAAMiTCIDIkwiBwAAAAUiVVNEIgUiVVNEIggAAAABMwEzAAAAAAcAAAAAAAAACiJOWVNFOldNVCIITllTRTpXTVQBAAAAECJJUV9CVVNfU0VHX1JFViIOSVFfQlVTX1NFR19SRVYCAAAAB0lRX0ZZLTMDOTk3AwAAAAsiMy8yNS8yMDIyIgkzLzI1LzIwMjIEAAAAAyJMIgMiTCIHAAAABSJVU0QiBSJVU0QiCAAAAAE0ATQAAAAABwAAAAAAAAAKIk5ZU0U6V01UIghOWVNFOldNVAEAAAAQIklRX0JVU19TRUdfUkVWIg5JUV9CVVNfU0VHX1JFVgIAAAAHSVFfRlktMwM5OTcDAAAACyIzLzI1LzIwMjIiCTMvMjUvMjAyMgQAAAADIkwiAyJMIgcAAAAFIlVTRCIFIlVTRCIIAAAAATUBNQAAAAAHAAAAAAAAAAoiTllTRTpXTVQiCE5ZU0U6V01UAQAAABAiSVFfQlVTX1NFR19SRVYiDklRX0JVU19TRUdfUkVWAgAAAAdJUV9GWS0zAzk5NwMAAAALIjMvMjUvMjAyMiIJMy8yNS8yMDIyBAAAAAMiTCIDIkwiBwAAAAUiVVNEIgUiVVNEIggAAAABNgE2AAAAAAcAAAAAAAAACiJOWVNFOldNVCIITllTRTpXTVQBAAAAECJJUV9CVVNfU0VHX1JFViIOSVFfQlVTX1NFR19SRVYCAAAAB0lRX0ZZLTMDOTk3AwAAAAsiMy8yNS8yMDIyIgkzLzI1LzIwMjIEAAAAAyJMIgMiTCIHAAAABSJVU0QiBSJVU0QiCAAAAAE3ATd+wMCHPw7aCEqSSctODtoIM0NJUS5OWVNFOldNVC5JUV9CVVNfU0VHX1JFVi45OTcuMy8y</t>
  </si>
  <si>
    <t>NS8yMDIyLkwuLi5VU0QuMQEAAADfxgQAAgAAAAYzMzE2NjYBBgAAAAUAAAABNAEAAAAKMjA4NTEzMjkzMAIAAAAEMzUwOAMAAAADMTYwBAAAAAEwBgAAAAk5MDM4MjMyODBbEdfITg7aCEqSSctODtoIM0NJUS5OWVNFOldNVC5JUV9CVVNfU0VHX1JFVi45OTcuMy8yNS8yMDIyLkwuLi5VU0QuMgEAAADfxgQAAgAAAAYxMjA4MjQBBgAAAAUAAAABNAEAAAAKMjA4NTEzMjkzMAIAAAAEMzUwOAMAAAADMTYwBAAAAAEwBgAAAAk5MDM4MjMyNzdbEdfITg7aCEqSSctODtoIM0NJUS5OWVNFOldNVC5JUV9CVVNfU0VHX1JFVi45OTcuMy8yNS8yMDIyLkwuLi5VU0QuMwEAAADfxgQAAgAAAAU1NzgzOQEGAAAABQAAAAE0AQAAAAoyMDg1MTMyOTMwAgAAAAQzNTA4AwAAAAMxNjAEAAAAATAGAAAACTkwMDk3MTI4OFsR18hODtoISpJJy04O2ggzQ0lRLk5ZU0U6V01ULklRX0JVU19TRUdfUkVWLjk5Ny4zLzI1LzIwMjIuTC4uLlVTRC40AQAAAN/GBAADAAAAAABbEdfITg7aCEqSSctODtoIM0NJUS5OWVNFOldNVC5JUV9CVVNfU0VHX1JFVi45OTcuMy8yNS8yMDIyLkwuLi5VU0QuNQEAAADfxgQAAwAAAAAAWxHXyE4O2ghKkknLTg7aCDNDSVEuTllTRTpXTVQuSVFfQlVTX1NFR19SRVYuOTk3LjMvMjUvMjAyMi5MLi4uVVNELjYBAAAA38YEAAMAAAAAAFsR18hODtoISpJJy04O2ggzQ0lRLk5ZU0U6V01ULklRX0JVU19T</t>
  </si>
  <si>
    <t>RUdfUkVWLjk5Ny4zLzI1LzIwMjIuTC4uLlVTRC43AQAAAN/GBAADAAAAAABbEdfITg7aCEqSSctODtoIPkNJUVJBTkdFLk5ZU0U6V01ULklRX0dFT19TRUdfUkVWLjEuMjAuSVFfRlkuMy8yNS8yMDIyLkwuLi5VU0QuAwAAAN/GBAADAAAAAAAAAAcAAAAAAAAACiJOWVNFOldNVCIITllTRTpXTVQBAAAAECJJUV9HRU9fU0VHX1JFViIOSVFfR0VPX1NFR19SRVYCAAAABUlRX0ZZBDEwMDADAAAACyIzLzI1LzIwMjIiCTMvMjUvMjAyMgQAAAADIkwiAyJMIgcAAAAFIlVTRCIFIlVTRCIIAAAAATEBMQAAAAAHAAAAAAAAAAoiTllTRTpXTVQiCE5ZU0U6V01UAQAAABAiSVFfR0VPX1NFR19SRVYiDklRX0dFT19TRUdfUkVWAgAAAAVJUV9GWQQxMDAwAwAAAAsiMy8yNS8yMDIyIgkzLzI1LzIwMjIEAAAAAyJMIgMiTCIHAAAABSJVU0QiBSJVU0QiCAAAAAEyATIAAAAABwAAAAAAAAAKIk5ZU0U6V01UIghOWVNFOldNVAEAAAAQIklRX0dFT19TRUdfUkVWIg5JUV9HRU9fU0VHX1JFVgIAAAAFSVFfRlkEMTAwMAMAAAALIjMvMjUvMjAyMiIJMy8yNS8yMDIyBAAAAAMiTCIDIkwiBwAAAAUiVVNEIgUiVVNEIggAAAABMwEzfsDAhz8O2gg82kbLTg7aCDRDSVEuTllTRTpXTVQuSVFfR0VPX1NFR19SRVYuMTAwMC4zLzI1LzIwMjIuTC4uLlVTRC4xAQAAAN/GBAACAAAABjQ3MDI5NQEGAAAABQAAAAE0AQAAAAstMjEwNzY4</t>
  </si>
  <si>
    <t>NjI4MgIAAAAEMzUxNQMAAAADMTYwBAAAAAEwBgAAAAk5MDA5ODE3NzdbEdfITg7aCGAeSctODtoINENJUS5OWVNFOldNVC5JUV9HRU9fU0VHX1JFVi4xMDAwLjMvMjUvMjAyMi5MLi4uVVNELjIBAAAA38YEAAIAAAAGMTAyNDU5AQYAAAAFAAAAATQBAAAACy0yMTA3Njg2MjgyAgAAAAQzNTE1AwAAAAMxNjAEAAAAATAGAAAACTkwMDk4MTc0NlsR18hODtoIYB5Jy04O2gg0Q0lRLk5ZU0U6V01ULklRX0dFT19TRUdfUkVWLjEwMDAuMy8yNS8yMDIyLkwuLi5VU0QuMwEAAADfxgQAAwAAAAAAWxHXyE4O2ghgHknLTg7aCDJDSVEuTllTRTpXTVQuSVFfTFREX0RVRV9DWTMuSVFfRlkuMy8yNS8yMDIyLkwuLlVTRAEAAADfxgQAAgAAAAsxMTc5LjE0Mjk1NQBJ4cuHPw7aCFDi2MlODtoINENJUS5OWVNFOldNVC5JUV9UT1RBTF9ERUJULklRX0ZZLTMuMy8yNS8yMDIyLkwuRi5VU0QBAAAA38YEAAIAAAAFNTg0NjEBCAAAAAUAAAABMQEAAAAKMjA4NTEzMjkzMAMAAAADMTYwAgAAAAQ0MTczBAAAAAEwBwAAAAkzLzI1LzIwMjIIAAAACTEvMzEvMjAxOQkAAAABMEnhy4c/DtoIUOLYyU4O2gg3Q0lRLk5ZU0U6V01ULklRX1VOU0VDVVJFRF9ERUJULklRX0ZZLTIuMy8yNS8yMDIyLkwuLlVTRAEAAADfxgQAAgAAAAw1MDM3OS40NDIxNjQBCAAAAAUAAAABMgEAAAALLTIxMDc2ODYyOTEDAAAAAzE2MAIAAAAFMjE4MzgE</t>
  </si>
  <si>
    <t>AAAAATAHAAAACTMvMjUvMjAyMggAAAAJMS8zMS8yMDIwCQAAAAEwSeHLhz8O2ghFlNjJTg7aCDFDSVEuTllTRTpXTVQuSVFfVU5EUkFXTl9SQy5JUV9GWS4zLzI1LzIwMjIuTC4uVVNEAQAAAN/GBAACAAAABTE1MTAwAQgAAAAFAAAAATIBAAAACy0yMTA3Njg2MjgyAwAAAAMxNjACAAAABTIyNTE2BAAAAAEwBwAAAAkzLzI1LzIwMjIIAAAACTEvMzEvMjAyMgkAAAABMEnhy4c/DtoISrvYyU4O2gg1Q0lRLk5ZU0U6V01ULklRX1NFQ1VSRURfREVCVC5JUV9GWS0xLjMvMjUvMjAyMi5MLi5VU0QBAAAA38YEAAIAAAAFMTg3MTMBCAAAAAUAAAABMgEAAAALLTIxMDc2ODYyODEDAAAAAzE2MAIAAAAFMjE4MzcEAAAAATAHAAAACTMvMjUvMjAyMggAAAAJMS8zMS8yMDIxCQAAAAEwSeHLhz8O2ghFlNjJTg7aCDdDSVEuTllTRTpXTVQuSVFfVU5TRUNVUkVEX0RFQlQuSVFfRlktNi4zLzI1LzIwMjIuTC4uVVNEAQAAAN/GBAACAAAADDQzNjY2Ljk5OTg0NwEIAAAABQAAAAEyAQAAAAoxODgwNzE4NzYyAwAAAAMxNjACAAAABTIxODM4BAAAAAEwBwAAAAkzLzI1LzIwMjIIAAAACTEvMzEvMjAxNgkAAAABMEnhy4c/DtoIRZTYyU4O2ggzQ0lRLk5ZU0U6V01ULklRX1VORFJBV05fUkMuSVFfRlktNC4zLzI1LzIwMjIuTC4uVVNEAQAAAN/GBAACAAAABTExNTQzAQgAAAAFAAAAATIBAAAACjIwMjMyNDk2MTEDAAAAAzE2</t>
  </si>
  <si>
    <t>MAIAAAAFMjI1MTYEAAAAATAHAAAACTMvMjUvMjAyMggAAAAJMS8zMS8yMDE4CQAAAAEwSeHLhz8O2ghKu9jJTg7aCD1DSVEuTllTRTpXTVQuSVFfVE9UQUxfQ09NTU9OX0VRVUlUWS5JUV9GWS01LjMvMjUvMjAyMi5MLkYuVVNEAQAAAN/GBAACAAAABTc3Nzk4AQgAAAAFAAAAATEBAAAACjE5NTE1NDAzMzUDAAAAAzE2MAIAAAAEMTAwNgQAAAABMAcAAAAJMy8yNS8yMDIyCAAAAAkxLzMxLzIwMTcJAAAAATBJ4cuHPw7aCFDi2MlODtoINUNJUS5OWVNFOldNVC5JUV9TUl9CT05EU19OT1RFUy5JUV9GWS4zLzI1LzIwMjIuTC4uVVNEAQAAAN/GBAACAAAADDM5MjIwLjk4NDUxNQEIAAAABQAAAAEyAQAAAAstMjEwNzY4NjI4MgMAAAADMTYwAgAAAAUyMTgzNAQAAAABMAcAAAAJMy8yNS8yMDIyCAAAAAkxLzMxLzIwMjIJAAAAATBJ4cuHPw7aCFDi2MlODtoIPUNJUS5OWVNFOldNVC5JUV9DQVBJVEFMX0xFQVNFU19UT1RBTC5JUV9GWS01LjMvMjUvMjAyMi5MLi5VU0QBAAAA38YEAAIAAAAENjU2OAEIAAAABQAAAAEyAQAAAAoxOTUxNTQwMzM1AwAAAAMxNjACAAAABTIzNTIyBAAAAAEwBwAAAAkzLzI1LzIwMjIIAAAACTEvMzEvMjAxNwkAAAABMEnhy4c/DtoISrvYyU4O2gg1Q0lRLk5ZU0U6V01ULklRX1NFQ1VSRURfREVCVC5JUV9GWS02LjMvMjUvMjAyMi5MLi5VU0QBAAAA38YEAAIAAAAENjM2NwEIAAAA</t>
  </si>
  <si>
    <t>BQAAAAEyAQAAAAoxODgwNzE4NzYyAwAAAAMxNjACAAAABTIxODM3BAAAAAEwBwAAAAkzLzI1LzIwMjIIAAAACTEvMzEvMjAxNgkAAAABMEnhy4c/DtoISrvYyU4O2gg3Q0lRLk5ZU0U6V01ULklRX1NSX0JPTkRTX05PVEVTLklRX0ZZLTQuMy8yNS8yMDIyLkwuLlVTRAEAAADfxgQAAgAAAAwzMzc2MC44Mzk3MDcBCAAAAAUAAAABMgEAAAAKMjAyMzI0OTYxMQMAAAADMTYwAgAAAAUyMTgzNAQAAAABMAcAAAAJMy8yNS8yMDIyCAAAAAkxLzMxLzIwMTgJAAAAATBJ4cuHPw7aCFDi2MlODtoIPUNJUS5OWVNFOldNVC5JUV9DQVBJVEFMX0xFQVNFU19UT1RBTC5JUV9GWS0zLjMvMjUvMjAyMi5MLi5VU0QBAAAA38YEAAIAAAAENzQxMgEIAAAABQAAAAEyAQAAAAoyMDg1MTMyOTMwAwAAAAMxNjACAAAABTIzNTIyBAAAAAEwBwAAAAkzLzI1LzIwMjIIAAAACTEvMzEvMjAxOQkAAAABMEnhy4c/DtoISrvYyU4O2gg0Q0lRLk5ZU0U6V01ULklRX1RPVEFMX0RFQlQuSVFfRlktNC4zLzI1LzIwMjIuTC5GLlVTRAEAAADfxgQAAgAAAAU0NjY3MwEIAAAABQAAAAExAQAAAAoyMDIzMjQ5NjExAwAAAAMxNjACAAAABDQxNzMEAAAAATAHAAAACTMvMjUvMjAyMggAAAAJMS8zMS8yMDE4CQAAAAEwSeHLhz8O2ghQ4tjJTg7aCDdDSVEuTllTRTpXTVQuSVFfVU5TRUNVUkVEX0RFQlQuSVFfRlktMy4zLzI1LzIwMjIuTC4uVVNE</t>
  </si>
  <si>
    <t>AQAAAN/GBAACAAAADDUxOTk5LjE5MTA0NgEIAAAABQAAAAEyAQAAAAoyMDg1MTMyOTMwAwAAAAMxNjACAAAABTIxODM4BAAAAAEwBwAAAAkzLzI1LzIwMjIIAAAACTEvMzEvMjAxOQkAAAABMEnhy4c/DtoIRZTYyU4O2ggzQ0lRLk5ZU0U6V01ULklRX1RFUk1fTE9BTlMuSVFfRlktMS4zLzI1LzIwMjIuTC4uVVNEAQAAAN/GBAADAAAAAABJ4cuHPw7aCFDi2MlODtoIK0NJUS5OWVNFOldNVC5JUV9SQy5JUV9GWS01LjMvMjUvMjAyMi5MLi5VU0QBAAAA38YEAAIAAAABMAEIAAAABQAAAAEyAQAAAAoxOTUxNTQwMzM1AwAAAAMxNjACAAAABTIxNzA0BAAAAAEwBwAAAAkzLzI1LzIwMjIIAAAACTEvMzEvMjAxNwkAAAABMEnhy4c/DtoISrvYyU4O2ggrQ0lRLk5ZU0U6V01ULklRX1JDLklRX0ZZLTQuMy8yNS8yMDIyLkwuLlVTRAEAAADfxgQAAgAAAAEwAQgAAAAFAAAAATIBAAAACjIwMjMyNDk2MTEDAAAAAzE2MAIAAAAFMjE3MDQEAAAAATAHAAAACTMvMjUvMjAyMggAAAAJMS8zMS8yMDE4CQAAAAEwSeHLhz8O2ghKu9jJTg7aCDNDSVEuTllTRTpXTVQuSVFfVU5EUkFXTl9SQy5JUV9GWS01LjMvMjUvMjAyMi5MLi5VU0QBAAAA38YEAAIAAAAFMTE0MDEBCAAAAAUAAAABMgEAAAAKMTk1MTU0MDMzNQMAAAADMTYwAgAAAAUyMjUxNgQAAAABMAcAAAAJMy8yNS8yMDIyCAAAAAkxLzMxLzIwMTcJAAAAATBJ4cuH</t>
  </si>
  <si>
    <t>Pw7aCEq72MlODtoIM0NJUS5OWVNFOldNVC5JUV9URVJNX0xPQU5TLklRX0ZZLTUuMy8yNS8yMDIyLkwuLlVTRAEAAADfxgQAAwAAAAAASeHLhz8O2ghQ4tjJTg7aCDdDSVEuTllTRTpXTVQuSVFfVU5TRUNVUkVEX0RFQlQuSVFfRlktNC4zLzI1LzIwMjIuTC4uVVNEAQAAAN/GBAACAAAADDM5MDM5Ljk5OTY5MgEIAAAABQAAAAEyAQAAAAoyMDIzMjQ5NjExAwAAAAMxNjACAAAABTIxODM4BAAAAAEwBwAAAAkzLzI1LzIwMjIIAAAACTEvMzEvMjAxOAkAAAABMEnhy4c/DtoIRZTYyU4O2gg1Q0lRLk5ZU0U6V01ULklRX1NFQ1VSRURfREVCVC5JUV9GWS0zLjMvMjUvMjAyMi5MLi5VU0QBAAAA38YEAAIAAAAENzQxMgEIAAAABQAAAAEyAQAAAAoyMDg1MTMyOTMwAwAAAAMxNjACAAAABTIxODM3BAAAAAEwBwAAAAkzLzI1LzIwMjIIAAAACTEvMzEvMjAxOQkAAAABMEnhy4c/DtoIRZTYyU4O2gg7Q0lRLk5ZU0U6V01ULklRX0NBUElUQUxfTEVBU0VTX1RPVEFMLklRX0ZZLjMvMjUvMjAyMi5MLi5VU0QBAAAA38YEAAIAAAAFMTkyNDYBCAAAAAUAAAABMgEAAAALLTIxMDc2ODYyODIDAAAAAzE2MAIAAAAFMjM1MjIEAAAAATAHAAAACTMvMjUvMjAyMggAAAAJMS8zMS8yMDIyCQAAAAEwSeHLhz8O2ghKu9jJTg7aCDNDSVEuTllTRTpXTVQuSVFfU0VDVVJFRF9ERUJULklRX0ZZLjMvMjUvMjAyMi5MLi5VU0QBAAAA</t>
  </si>
  <si>
    <t>38YEAAIAAAAFMTkyNDYBCAAAAAUAAAABMgEAAAALLTIxMDc2ODYyODIDAAAAAzE2MAIAAAAFMjE4MzcEAAAAATAHAAAACTMvMjUvMjAyMggAAAAJMS8zMS8yMDIyCQAAAAEwSeHLhz8O2ghFlNjJTg7aCDdDSVEuTllTRTpXTVQuSVFfU1JfQk9ORFNfTk9URVMuSVFfRlktNi4zLzI1LzIwMjIuTC4uVVNEAQAAAN/GBAACAAAADDQwODMzLjIyMTEzMgEIAAAABQAAAAEyAQAAAAoxODgwNzE4NzYyAwAAAAMxNjACAAAABTIxODM0BAAAAAEwBwAAAAkzLzI1LzIwMjIIAAAACTEvMzEvMjAxNgkAAAABMEnhy4c/DtoIUOLYyU4O2gg3Q0lRLk5ZU0U6V01ULklRX1NSX0JPTkRTX05PVEVTLklRX0ZZLTUuMy8yNS8yMDIyLkwuLlVTRAEAAADfxgQAAgAAAAwzODY3MC40MzY4MTEBCAAAAAUAAAABMgEAAAAKMTk1MTU0MDMzNQMAAAADMTYwAgAAAAUyMTgzNAQAAAABMAcAAAAJMy8yNS8yMDIyCAAAAAkxLzMxLzIwMTcJAAAAATBJ4cuHPw7aCFDi2MlODtoIPUNJUS5OWVNFOldNVC5JUV9DQVBJVEFMX0xFQVNFU19UT1RBTC5JUV9GWS00LjMvMjUvMjAyMi5MLi5VU0QBAAAA38YEAAIAAAAENzQ0NwEIAAAABQAAAAEyAQAAAAoyMDIzMjQ5NjExAwAAAAMxNjACAAAABTIzNTIyBAAAAAEwBwAAAAkzLzI1LzIwMjIIAAAACTEvMzEvMjAxOAkAAAABMEnhy4c/DtoISrvYyU4O2ggyQ0lRLk5ZU0U6V01ULklRX0xURF9EVUVf</t>
  </si>
  <si>
    <t>Q1kyLklRX0ZZLjMvMjUvMjAyMi5MLi5VU0QBAAAA38YEAAIAAAALMzkxOS42NDc0NjkASeHLhz8O2ghQ4tjJTg7aCDVDSVEuTllTRTpXTVQuSVFfU0VDVVJFRF9ERUJULklRX0ZZLTQuMy8yNS8yMDIyLkwuLlVTRAEAAADfxgQAAgAAAAQ3NDQ3AQgAAAAFAAAAATIBAAAACjIwMjMyNDk2MTEDAAAAAzE2MAIAAAAFMjE4MzcEAAAAATAHAAAACTMvMjUvMjAyMggAAAAJMS8zMS8yMDE4CQAAAAEwSeHLhz8O2ghKu9jJTg7aCCtDSVEuTllTRTpXTVQuSVFfUkMuSVFfRlktMS4zLzI1LzIwMjIuTC4uVVNEAQAAAN/GBAACAAAAATABCAAAAAUAAAABMgEAAAALLTIxMDc2ODYyODEDAAAAAzE2MAIAAAAFMjE3MDQEAAAAATAHAAAACTMvMjUvMjAyMggAAAAJMS8zMS8yMDIxCQAAAAEwSeHLhz8O2ghKu9jJTg7aCDNDSVEuTllTRTpXTVQuSVFfVU5EUkFXTl9SQy5JUV9GWS0yLjMvMjUvMjAyMi5MLi5VU0QBAAAA38YEAAIAAAAFMTUyMDABCAAAAAUAAAABMgEAAAALLTIxMDc2ODYyOTEDAAAAAzE2MAIAAAAFMjI1MTYEAAAAATAHAAAACTMvMjUvMjAyMggAAAAJMS8zMS8yMDIwCQAAAAEwSeHLhz8O2ghKu9jJTg7aCClDSVEuTllTRTpXTVQuSVFfUkMuSVFfRlkuMy8yNS8yMDIyLkwuLlVTRAEAAADfxgQAAgAAAAEwAQgAAAAFAAAAATIBAAAACy0yMTA3Njg2MjgyAwAAAAMxNjACAAAABTIxNzA0BAAAAAEwBwAAAAkz</t>
  </si>
  <si>
    <t>LzI1LzIwMjIIAAAACTEvMzEvMjAyMgkAAAABMEnhy4c/DtoISrvYyU4O2ggrQ0lRLk5ZU0U6V01ULklRX1JDLklRX0ZZLTYuMy8yNS8yMDIyLkwuLlVTRAEAAADfxgQAAgAAAAEwAQgAAAAFAAAAATIBAAAACjE4ODA3MTg3NjIDAAAAAzE2MAIAAAAFMjE3MDQEAAAAATAHAAAACTMvMjUvMjAyMggAAAAJMS8zMS8yMDE2CQAAAAEwSeHLhz8O2ghKu9jJTg7aCD1DSVEuTllTRTpXTVQuSVFfQ0FQSVRBTF9MRUFTRVNfVE9UQUwuSVFfRlktNi4zLzI1LzIwMjIuTC4uVVNEAQAAAN/GBAACAAAABDYzNjcBCAAAAAUAAAABMgEAAAAKMTg4MDcxODc2MgMAAAADMTYwAgAAAAUyMzUyMgQAAAABMAcAAAAJMy8yNS8yMDIyCAAAAAkxLzMxLzIwMTYJAAAAATBJ4cuHPw7aCEq72MlODtoIO0NJUS5OWVNFOldNVC5JUV9UT1RBTF9DT01NT05fRVFVSVRZLklRX0ZZLjMvMjUvMjAyMi5MLkYuVVNEAQAAAN/GBAACAAAABTgzMjUzAQgAAAAFAAAAATEBAAAACy0yMTA3Njg2MjgyAwAAAAMxNjACAAAABDEwMDYEAAAAATAHAAAACTMvMjUvMjAyMggAAAAJMS8zMS8yMDIyCQAAAAEwSeHLhz8O2ghQ4tjJTg7aCDNDSVEuTllTRTpXTVQuSVFfVEVSTV9MT0FOUy5JUV9GWS02LjMvMjUvMjAyMi5MLi5VU0QBAAAA38YEAAMAAAAAAEnhy4c/DtoIUOLYyU4O2gg9Q0lRLk5ZU0U6V01ULklRX1RPVEFMX0NPTU1PTl9FUVVJVFkuSVFf</t>
  </si>
  <si>
    <t>RlktNi4zLzI1LzIwMjIuTC5GLlVTRAEAAADfxgQAAgAAAAU4MDU0NgEIAAAABQAAAAExAQAAAAoxODgwNzE4NzYyAwAAAAMxNjACAAAABDEwMDYEAAAAATAHAAAACTMvMjUvMjAyMggAAAAJMS8zMS8yMDE2CQAAAAEwSeHLhz8O2ghQ4tjJTg7aCDNDSVEuTllTRTpXTVQuSVFfVU5EUkFXTl9SQy5JUV9GWS0zLjMvMjUvMjAyMi5MLi5VU0QBAAAA38YEAAIAAAAFMTI5NzUBCAAAAAUAAAABMgEAAAAKMjA4NTEzMjkzMAMAAAADMTYwAgAAAAUyMjUxNgQAAAABMAcAAAAJMy8yNS8yMDIyCAAAAAkxLzMxLzIwMTkJAAAAATBJ4cuHPw7aCEq72MlODtoIN0NJUS5OWVNFOldNVC5JUV9TUl9CT05EU19OT1RFUy5JUV9GWS0yLjMvMjUvMjAyMi5MLi5VU0QBAAAA38YEAAIAAAAMNDk4MDQuNDQyMTY0AQgAAAAFAAAAATIBAAAACy0yMTA3Njg2MjkxAwAAAAMxNjACAAAABTIxODM0BAAAAAEwBwAAAAkzLzI1LzIwMjIIAAAACTEvMzEvMjAyMAkAAAABMEnhy4c/DtoIUOLYyU4O2gg9Q0lRLk5ZU0U6V01ULklRX0NBUElUQUxfTEVBU0VTX1RPVEFMLklRX0ZZLTEuMy8yNS8yMDIyLkwuLlVTRAEAAADfxgQAAgAAAAUxODcxMwEIAAAABQAAAAEyAQAAAAstMjEwNzY4NjI4MQMAAAADMTYwAgAAAAUyMzUyMgQAAAABMAcAAAAJMy8yNS8yMDIyCAAAAAkxLzMxLzIwMjEJAAAAATBJ4cuHPw7aCEq72MlODtoIMkNJUS5OWVNF</t>
  </si>
  <si>
    <t>OldNVC5JUV9MVERfRFVFX0NZNC5JUV9GWS4zLzI1LzIwMjIuTC4uVVNEAQAAAN/GBAACAAAACzMwMzYuNzcwOTk5AEnhy4c/DtoIUOLYyU4O2ggxQ0lRLk5ZU0U6V01ULklRX0xURF9EVUVfQ1kuSVFfRlkuMy8yNS8yMDIyLkwuLlVTRAEAAADfxgQAAgAAAAQzMzE0AEnhy4c/DtoIyQvZyU4O2ggyQ0lRLk5ZU0U6V01ULklRX0xURF9EVUVfQ1kxLklRX0ZZLjMvMjUvMjAyMi5MLi5VU0QBAAAA38YEAAIAAAALNDYxNS43OTU0ODYASeHLhz8O2ghQ4tjJTg7aCDRDSVEuTllTRTpXTVQuSVFfVE9UQUxfREVCVC5JUV9GWS01LjMvMjUvMjAyMi5MLkYuVVNEAQAAAN/GBAACAAAABTQ2NTY4AQgAAAAFAAAAATEBAAAACjE5NTE1NDAzMzUDAAAAAzE2MAIAAAAENDE3MwQAAAABMAcAAAAJMy8yNS8yMDIyCAAAAAkxLzMxLzIwMTcJAAAAATBJ4cuHPw7aCF8J2clODtoIM0NJUS5OWVNFOldNVC5JUV9URVJNX0xPQU5TLklRX0ZZLTMuMy8yNS8yMDIyLkwuLlVTRAEAAADfxgQAAwAAAAAASeHLhz8O2ghQ4tjJTg7aCD1DSVEuTllTRTpXTVQuSVFfVE9UQUxfQ09NTU9OX0VRVUlUWS5JUV9GWS0zLjMvMjUvMjAyMi5MLkYuVVNEAQAAAN/GBAACAAAABTcyNDk2AQgAAAAFAAAAATEBAAAACjIwODUxMzI5MzADAAAAAzE2MAIAAAAEMTAwNgQAAAABMAcAAAAJMy8yNS8yMDIyCAAAAAkxLzMxLzIwMTkJAAAAATBJ4cuHPw7a</t>
  </si>
  <si>
    <t>CFDi2MlODtoINENJUS5OWVNFOldNVC5JUV9UT1RBTF9ERUJULklRX0ZZLTYuMy8yNS8yMDIyLkwuRi5VU0QBAAAA38YEAAIAAAAFNTA3NzIBCAAAAAUAAAABMQEAAAAKMTg4MDcxODc2MgMAAAADMTYwAgAAAAQ0MTczBAAAAAEwBwAAAAkzLzI1LzIwMjIIAAAACTEvMzEvMjAxNgkAAAABMEnhy4c/DtoIyQvZyU4O2gg3Q0lRLk5ZU0U6V01ULklRX1VOU0VDVVJFRF9ERUJULklRX0ZZLTUuMy8yNS8yMDIyLkwuLlVTRAEAAADfxgQAAgAAAAwzOTc2OS40MzY4MTEBCAAAAAUAAAABMgEAAAAKMTk1MTU0MDMzNQMAAAADMTYwAgAAAAUyMTgzOAQAAAABMAcAAAAJMy8yNS8yMDIyCAAAAAkxLzMxLzIwMTcJAAAAATBJ4cuHPw7aCEWU2MlODtoIM0NJUS5OWVNFOldNVC5JUV9URVJNX0xPQU5TLklRX0ZZLTQuMy8yNS8yMDIyLkwuLlVTRAEAAADfxgQAAwAAAAAASeHLhz8O2ghQ4tjJTg7aCCtDSVEuTllTRTpXTVQuSVFfUkMuSVFfRlktMi4zLzI1LzIwMjIuTC4uVVNEAQAAAN/GBAACAAAAATABCAAAAAUAAAABMgEAAAALLTIxMDc2ODYyOTEDAAAAAzE2MAIAAAAFMjE3MDQEAAAAATAHAAAACTMvMjUvMjAyMggAAAAJMS8zMS8yMDIwCQAAAAEwSeHLhz8O2ghKu9jJTg7aCD1DSVEuTllTRTpXTVQuSVFfVE9UQUxfQ09NTU9OX0VRVUlUWS5JUV9GWS00LjMvMjUvMjAyMi5MLkYuVVNEAQAAAN/GBAACAAAABTc3ODY5</t>
  </si>
  <si>
    <t>AQgAAAAFAAAAATEBAAAACjIwMjMyNDk2MTEDAAAAAzE2MAIAAAAEMTAwNgQAAAABMAcAAAAJMy8yNS8yMDIyCAAAAAkxLzMxLzIwMTgJAAAAATBJ4cuHPw7aCFDi2MlODtoINENJUS5OWVNFOldNVC5JUV9UT1RBTF9ERUJULklRX0ZZLTIuMy8yNS8yMDIyLkwuRi5VU0QBAAAA38YEAAIAAAAFNzMxMjkBCAAAAAUAAAABMQEAAAALLTIxMDc2ODYyOTEDAAAAAzE2MAIAAAAENDE3MwQAAAABMAcAAAAJMy8yNS8yMDIyCAAAAAkxLzMxLzIwMjAJAAAAATBJ4cuHPw7aCFDi2MlODtoIN0NJUS5OWVNFOldNVC5JUV9VTlNFQ1VSRURfREVCVC5JUV9GWS0xLjMvMjUvMjAyMi5MLi5VU0QBAAAA38YEAAIAAAAMNDQ5ODEuOTc2Mjg3AQgAAAAFAAAAATIBAAAACy0yMTA3Njg2MjgxAwAAAAMxNjACAAAABTIxODM4BAAAAAEwBwAAAAkzLzI1LzIwMjIIAAAACTEvMzEvMjAyMQkAAAABMEnhy4c/DtoIRZTYyU4O2gg3Q0lRLk5ZU0U6V01ULklRX0lOVF9JTkNfVE9UQUwuSVFfRlktMy4zLzI1LzIwMjIuTC5GLlVTRAEAAADfxgQAAwAAAAAAtrbLhz8O2gjTjFXLTg7aCDVDSVEuTllTRTpXTVQuSVFfTk9OX0lOVF9JTkMuSVFfRlktMy4zLzI1LzIwMjIuTC5GLlVTRAEAAADfxgQAAwAAAAAAfsDAhz8O2gjTjFXLTg7aCDNDSVEuTllTRTpXTVQuSVFfVE9UQUxfUkVWLklRX0ZZLTIuMy8yNS8yMDIyLkwuRi5VU0QBAAAA38YE</t>
  </si>
  <si>
    <t>AAIAAAAGNTIzOTY0AQgAAAAFAAAAATEBAAAACy0yMTA3Njg2MjkxAwAAAAMxNjACAAAAAjI4BAAAAAEwBwAAAAkzLzI1LzIwMjIIAAAACTEvMzEvMjAyMAkAAAABMH7AwIc/DtoIgQVWy04O2gg1Q0lRLk5ZU0U6V01ULklRX05VTV9CUkFOQ0hFUy5JUV9MVE0uMy8yNS8yMDIyLkwuRi5VU0QBAAAA38YEAAMAAAAAALa2y4c/DtoIP9A/y04O2gg2Q0lRLk5ZU0U6V01ULklRX05VTV9CUkFOQ0hFUy5JUV9GWS0yLjMvMjUvMjAyMi5MLkYuVVNEAQAAAN/GBAADAAAAAAC2tsuHPw7aCD/QP8tODtoINkNJUS5OWVNFOldNVC5JUV9UT1RBTF9BU1NFVFMuSVFfRlktNi4zLzI1LzIwMjIuTC5GLlVTRAEAAADfxgQAAgAAAAYxOTk1ODEBCAAAAAUAAAABMQEAAAAKMTg4MDcxODc2MgMAAAADMTYwAgAAAAQxMDA3BAAAAAEwBwAAAAkzLzI1LzIwMjIIAAAACTEvMzEvMjAxNgkAAAABMLa2y4c/DtoIkJNAy04O2gg4Q0lRLk5ZU0U6V01ULklRX1JFVFVSTl9DQVBJVEFMLklRX0ZZLTQuMy8yNS8yMDIyLkwuRi5VU0QBAAAA38YEAAIAAAAHMTAuMjc5NAEIAAAABQAAAAExAQAAAAoyMDIzMjQ5NjExAwAAAAMxNjACAAAABDQzNjMEAAAAATAHAAAACTMvMjUvMjAyMggAAAAJMS8zMS8yMDE4CQAAAAEwtrbLhz8O2gjHs1XLTg7aCDhDSVEuTllTRTpXTVQuSVFfTkVUX0lOVF9NQVJHSU4uSVFfRlktNS4zLzI1LzIwMjIuTC5G</t>
  </si>
  <si>
    <t>LlVTRAEAAADfxgQAAwAAAAAAfsDAhz8O2gh5t1TLTg7aCCtDSVEuTllTRTpXTVQuSVFfRklTQ0FMX1lfRVNULjEwMDIuMy8yNS8yMDIyAQAAAN/GBAABAAAABDIwMjQAXerWyE4O2ghjskbLTg7aCCtDSVEuTllTRTpXTVQuSVFfRklTQ0FMX1lfRVNULjEwMDEuMy8yNS8yMDIyAQAAAN/GBAABAAAABDIwMjMAXerWyE4O2ghjskbLTg7aCC1DSVEuTllTRTpXTVQuSVFfRUJULklRX0xUTS4zLzI1LzIwMjIuTC4uVVNELkgBAAAA38YEAAIAAAAFMTg2OTYBCAAAAAUAAAABMQEAAAALLTIxMDc2ODYwMDgDAAAAAzE2MAIAAAADMTM5BAAAAAEwBwAAAAkzLzI1LzIwMjIIAAAACTEvMzEvMjAyMgkAAAABMLa2y4c/DtoIw13ZyU4O2gg0Q0lRLk5ZU0U6V01ULklRX1RPVEFMX0FTU0VUUy5JUV9GWS4zLzI1LzIwMjIuTC5GLlVTRAEAAADfxgQAAgAAAAYyNDQ4NjABCAAAAAUAAAABMQEAAAALLTIxMDc2ODYyODIDAAAAAzE2MAIAAAAEMTAwNwQAAAABMAcAAAAJMy8yNS8yMDIyCAAAAAkxLzMxLzIwMjIJAAAAATC2tsuHPw7aCIBsQMtODtoIJ0NJUS5OWVNFOldNVC5JUV9GSVNDQUxfWS4xMDAwLjMvMjUvMjAyMgEAAADfxgQAAQAAAAQyMDIyAGs418hODtoIY7JGy04O2gg/Q0lRLk5ZU0U6V01ULklRX05FVF9ERUJUX0VCSVREQV9DQVBFWC5JUV9GWS01LjMvMjUvMjAyMi5MLkYuVVNEAQAAAN/GBAACAAAACDEuNzg2</t>
  </si>
  <si>
    <t>MzIxAQgAAAAFAAAAATEBAAAACjE5NTE1NDAzMzUDAAAAAzE2MAIAAAAFMjMzMTQEAAAAATAHAAAACTMvMjUvMjAyMggAAAAJMS8zMS8yMDE3CQAAAAEwSeHLhz8O2ghFlNjJTg7aCD9DSVEuTllTRTpXTVQuSVFfTkVUX0RFQlRfRUJJVERBX0NBUEVYLklRX0ZZLTQuMy8yNS8yMDIyLkwuRi5VU0QBAAAA38YEAAIAAAAIMS44NjM5NzMBCAAAAAUAAAABMQEAAAAKMjAyMzI0OTYxMQMAAAADMTYwAgAAAAUyMzMxNAQAAAABMAcAAAAJMy8yNS8yMDIyCAAAAAkxLzMxLzIwMTgJAAAAATBJ4cuHPw7aCEWU2MlODtoIQUNJUS5OWVNFOldNVC5JUV9UT1RBTF9ERUJUX0VCSVREQV9DQVBFWC5JUV9GWS01LjMvMjUvMjAyMi5MLkYuVVNEAQAAAN/GBAACAAAACDIuMDk1Mjk4AQgAAAAFAAAAATEBAAAACjE5NTE1NDAzMzUDAAAAAzE2MAIAAAAFMjMzMTMEAAAAATAHAAAACTMvMjUvMjAyMggAAAAJMS8zMS8yMDE3CQAAAAEwSeHLhz8O2ggnbdjJTg7aCD9DSVEuTllTRTpXTVQuSVFfTkVUX0RFQlRfRUJJVERBX0NBUEVYLklRX0ZZLTYuMy8yNS8yMDIyLkwuRi5VU0QBAAAA38YEAAIAAAAIMS45MDUwMzUBCAAAAAUAAAABMQEAAAAKMTg4MDcxODc2MgMAAAADMTYwAgAAAAUyMzMxNAQAAAABMAcAAAAJMy8yNS8yMDIyCAAAAAkxLzMxLzIwMTYJAAAAATBJ4cuHPw7aCEWU2MlODtoIP0NJUS5OWVNFOldNVC5JUV9ORVRf</t>
  </si>
  <si>
    <t>REVCVF9FQklUREFfQ0FQRVguSVFfRlktMy4zLzI1LzIwMjIuTC5GLlVTRAEAAADfxgQAAgAAAAcyLjI3NjIxAQgAAAAFAAAAATEBAAAACjIwODUxMzI5MzADAAAAAzE2MAIAAAAFMjMzMTQEAAAAATAHAAAACTMvMjUvMjAyMggAAAAJMS8zMS8yMDE5CQAAAAEwSeHLhz8O2ghFlNjJTg7aCD9DSVEuTllTRTpXTVQuSVFfVE9UQUxfREVCVF9FQklUREFfQ0FQRVguSVFfRlkuMy8yNS8yMDIyLkwuRi5VU0QBAAAA38YEAAIAAAAIMi4xOTY5MDgBCAAAAAUAAAABMQEAAAALLTIxMDc2ODYyODIDAAAAAzE2MAIAAAAFMjMzMTMEAAAAATAHAAAACTMvMjUvMjAyMggAAAAJMS8zMS8yMDIyCQAAAAEwSeHLhz8O2ggnbdjJTg7aCCFDSVEuLklRX05JLklRX0xUTS5DWTIwMjEuTC4uVVNELkgFAAAAAAAAAAgAAAAUKEludmFsaWQgSWRlbnRpZmllcilddoaLPw7aCDRG88lODtoIKENJUS4uSVFfVE9UQUxfUkVWLklRX0xUTS5DWTIwMjEuTC4uVVNELkgFAAAAAAAAAAgAAAAUKEludmFsaWQgSWRlbnRpZmllcilddoaLPw7aCDRG88lODtoIOENJUS5OQVNEQVFHUzpDT1NULklRX0VNUExPWUVFUy5DWTIwMjEuMy8yNS8yMDIyLkwuLlVTRC5IAQAAAJFqAQABAAAABjI4ODAwMABddoaLPw7aCKs0YstODtoIM0NJUS5OWVNFOldNVC5JUV9FTVBMT1lFRVMuQ1kyMDIxLjMvMjUvMjAyMi5MLi5VU0QuSAEAAADfxgQAAQAAAAcy</t>
  </si>
  <si>
    <t>MzAwMDAwAF12hos/DtoIirL0yU4O2gg2Q0lRLk5ZU0U6V01ULklRX1RPVEFMX0FTU0VUUy5DWTIwMjEuMy8yNS8yMDIyLkwuLlVTRC5IAQAAAN/GBAACAAAABjI0NDg2MAEIAAAABQAAAAExAQAAAAstMjEwNzY4NjAwOAMAAAADMTYwAgAAAAQxMDA3BAAAAAEwBwAAAAkzLzI1LzIwMjIIAAAACTEvMzEvMjAyMgkAAAABMMeqpIs/DtoIirL0yU4O2gg0Q0lRLk5ZU0U6V01ULklRX1RPVEFMX0FTU0VUUy5JUV9DWS0xLkNZMjAyMS5MLi5VU0QuSAEAAADfxgQAAgAAAAYyNTI0OTYBCAAAAAUAAAABMQEAAAALLTIxMDc2ODU5NzcDAAAAAzE2MAIAAAAEMTAwNwQAAAABMAcAAAAJMy8yNS8yMDIyCAAAAAkxLzMxLzIwMjEJAAAAATBXn4aLPw7aCJGa8slODtoILkNJUS5OQVNEQVFHUzpDT1NULklRX05JLklRX0xUTS5DWTIwMjEuTC4uVVNELkgBAAAAkWoBAAIAAAAENTAwNwEIAAAABQAAAAExAQAAAAstMjEyNzUxNTc3NQMAAAADMTYwAgAAAAIxNQQAAAABMAcAAAAJMy8yNS8yMDIyCAAAAAk4LzI5LzIwMjEJAAAAATBXn4aLPw7aCMRbYstODtoIO0NJUS5OQVNEQVFHUzpDT1NULklRX1RPVEFMX0FTU0VUUy5DWTIwMjEuMy8yNS8yMDIyLkwuLlVTRC5IAQAAAJFqAQACAAAABTY0MTQ5AQgAAAAFAAAAATEBAAAACy0yMTE2NTQ5MDQxAwAAAAMxNjACAAAABDEwMDcEAAAAATAHAAAACTMvMjUvMjAyMggAAAAKMTEv</t>
  </si>
  <si>
    <t>MjEvMjAyMQkAAAABMMeqpIs/DtoIqzRiy04O2gg5Q0lRLk5BU0RBUUdTOkNPU1QuSVFfVE9UQUxfQVNTRVRTLklRX0NZLTEuQ1kyMDIxLkwuLlVTRC5IAQAAAJFqAQACAAAABTYwMjE3AQgAAAAFAAAAATEBAAAACy0yMTE2NTQ5MDM5AwAAAAMxNjACAAAABDEwMDcEAAAAATAHAAAACTMvMjUvMjAyMggAAAAKMTEvMjIvMjAyMAkAAAABMFefhos/DtoI77Vhy04O2ggzQ0lRLk5ZU0U6V01ULklRX0lOVkVOVE9SWS5DWTIwMjEuMy8yNS8yMDIyLkwuLlVTRC5IAQAAAN/GBAACAAAABTU2NTExAQgAAAAFAAAAATEBAAAACy0yMTA3Njg2MDA4AwAAAAMxNjACAAAABDEwNDMEAAAAATAHAAAACTMvMjUvMjAyMggAAAAJMS8zMS8yMDIyCQAAAAEwXXaGiz8O2ggdqvHJTg7aCDFDSVEuTllTRTpXTVQuSVFfSU5WRU5UT1JZLklRX0NZLTEuQ1kyMDIxLkwuLlVTRC5IAQAAAN/GBAACAAAABTQ0OTQ5AQgAAAAFAAAAATEBAAAACy0yMTA3Njg1OTc3AwAAAAMxNjACAAAABDEwNDMEAAAAATAHAAAACTMvMjUvMjAyMggAAAAJMS8zMS8yMDIxCQAAAAEwXXaGiz8O2ggdqvHJTg7aCCxDSVEuTllTRTpXTVQuSVFfQVAuQ1kyMDIxLjMvMjUvMjAyMi5MLi5VU0QuSAEAAADfxgQAAgAAAAU1NTI2MQEIAAAABQAAAAExAQAAAAstMjEwNzY4NjAwOAMAAAADMTYwAgAAAAQxMDE4BAAAAAEwBwAAAAkzLzI1LzIwMjIIAAAACTEvMzEv</t>
  </si>
  <si>
    <t>MjAyMgkAAAABMF12hos/DtoIr9bxyU4O2ggqQ0lRLk5ZU0U6V01ULklRX0FQLklRX0NZLTEuQ1kyMDIxLkwuLlVTRC5IAQAAAN/GBAACAAAABTQ5MTQxAQgAAAAFAAAAATEBAAAACy0yMTA3Njg1OTc3AwAAAAMxNjACAAAABDEwMTgEAAAAATAHAAAACTMvMjUvMjAyMggAAAAJMS8zMS8yMDIxCQAAAAEwXXaGiz8O2giv1vHJTg7aCDFDSVEuTkFTREFRR1M6Q09TVC5JUV9BUC5DWTIwMjEuMy8yNS8yMDIyLkwuLlVTRC5IAQAAAJFqAQACAAAABTE5NTYxAQgAAAAFAAAAATEBAAAACy0yMTE2NTQ5MDQxAwAAAAMxNjACAAAABDEwMTgEAAAAATAHAAAACTMvMjUvMjAyMggAAAAKMTEvMjEvMjAyMQkAAAABMF12hos/DtoIv2dhy04O2ggvQ0lRLk5BU0RBUUdTOkNPU1QuSVFfQVAuSVFfQ1ktMS5DWTIwMjEuTC4uVVNELkgBAAAAkWoBAAIAAAAFMTcwMTQBCAAAAAUAAAABMQEAAAALLTIxMTY1NDkwMzkDAAAAAzE2MAIAAAAEMTAxOAQAAAABMAcAAAAJMy8yNS8yMDIyCAAAAAoxMS8yMi8yMDIwCQAAAAEwXXaGiz8O2gi/Z2HLTg7aCDhDSVEuTkFTREFRR1M6Q09TVC5JUV9DQVNIX09QRVIuQ1kyMDIxLjMvMjUvMjAyMi5MLi5VU0QuSAEAAACRagEAAgAAAAQ5NTY5AQgAAAAFAAAAATEBAAAACy0yMTE2NTQ5MDQxAwAAAAMxNjACAAAABDIwMDYEAAAAATAHAAAACTMvMjUvMjAyMggAAAAKMTEvMjEvMjAyMQkAAAAB</t>
  </si>
  <si>
    <t>MF12hos/DtoI145hy04O2gg4Q0lRLk5BU0RBUUdTOkNPU1QuSVFfVE9UQUxfUkVWLkNZMjAyMS4zLzI1LzIwMjIuTC4uVVNELkgBAAAAkWoBAAIAAAAGMjAzMDg0AQgAAAAFAAAAATEBAAAACy0yMTE2NTQ5MDQxAwAAAAMxNjACAAAAAjI4BAAAAAEwBwAAAAkzLzI1LzIwMjIIAAAACjExLzIxLzIwMjEJAAAAATCjg6SLPw7aCNeOYctODtoIM0NJUS5OWVNFOldNVC5JUV9DQVNIX09QRVIuQ1kyMDIxLjMvMjUvMjAyMi5MLi5VU0QuSAEAAADfxgQAAgAAAAUyNDE4MQEIAAAABQAAAAExAQAAAAstMjEwNzY4NjAwOAMAAAADMTYwAgAAAAQyMDA2BAAAAAEwBwAAAAkzLzI1LzIwMjIIAAAACTEvMzEvMjAyMgkAAAABMF12hos/DtoIU/7xyU4O2ggzQ0lRLk5ZU0U6V01ULklRX1RPVEFMX1JFVi5DWTIwMjEuMy8yNS8yMDIyLkwuLlVTRC5IAQAAAN/GBAACAAAABjU3Mjc1NAEIAAAABQAAAAExAQAAAAstMjEwNzY4NjAwOAMAAAADMTYwAgAAAAIyOAQAAAABMAcAAAAJMy8yNS8yMDIyCAAAAAkxLzMxLzIwMjIJAAAAATDHqqSLPw7aCFP+8clODtoIPUNJUS5OWVNFOldNVC5JUV9UT1RBTF9DT01NT05fRVFVSVRZLkNZMjAyMS4zLzI1LzIwMjIuTC4uVVNELkgBAAAA38YEAAIAAAAFODMyNTMBCAAAAAUAAAABMQEAAAALLTIxMDc2ODYwMDgDAAAAAzE2MAIAAAAEMTAwNgQAAAABMAcAAAAJMy8yNS8yMDIyCAAAAAkx</t>
  </si>
  <si>
    <t>LzMxLzIwMjIJAAAAATBXn4aLPw7aCBj48slODtoIQkNJUS5OQVNEQVFHUzpDT1NULklRX1RPVEFMX0NPTU1PTl9FUVVJVFkuQ1kyMDIxLjMvMjUvMjAyMi5MLi5VU0QuSAEAAACRagEAAgAAAAUxODQ2MwEIAAAABQAAAAExAQAAAAstMjExNjU0OTA0MQMAAAADMTYwAgAAAAQxMDA2BAAAAAEwBwAAAAkzLzI1LzIwMjIIAAAACjExLzIxLzIwMjEJAAAAATBXn4aLPw7aCPHcYctODtoIO0NJUS5OQVNEQVFHUzpDT1NULklRX1RPVEFMX0VRVUlUWS5DWTIwMjEuMy8yNS8yMDIyLkwuLlVTRC5IAQAAAJFqAQACAAAABTE5MDAwAQgAAAAFAAAAATEBAAAACy0yMTE2NTQ5MDQxAwAAAAMxNjACAAAABDEyNzUEAAAAATAHAAAACTMvMjUvMjAyMggAAAAKMTEvMjEvMjAyMQkAAAABMFefhos/DtoICgRiy04O2gg5Q0lRLk5BU0RBUUdTOkNPU1QuSVFfVE9UQUxfRVFVSVRZLklRX0NZLTEuQ1kyMDIxLkwuLlVTRC5IAQAAAJFqAQACAAAABTE1MzA5AQgAAAAFAAAAATEBAAAACy0yMTE2NTQ5MDM5AwAAAAMxNjACAAAABDEyNzUEAAAAATAHAAAACTMvMjUvMjAyMggAAAAKMTEvMjIvMjAyMAkAAAABMFefhos/DtoI8dxhy04O2ggpQ0lRLk5ZU0U6V01ULklRX05JLklRX0xUTS5DWTIwMjEuTC4uVVNELkgBAAAA38YEAAIAAAAFMTM1MTABCAAAAAUAAAABMQEAAAALLTIxMDc2ODU5NzcDAAAAAzE2MAIAAAACMTUEAAAAATAH</t>
  </si>
  <si>
    <t>AAAACTMvMjUvMjAyMggAAAAJMS8zMS8yMDIxCQAAAAEwx6qkiz8O2giUQvXJTg7aCDZDSVEuTllTRTpXTVQuSVFfVE9UQUxfRVFVSVRZLkNZMjAyMS4zLzI1LzIwMjIuTC4uVVNELkgBAAAA38YEAAIAAAAFOTE4OTEBCAAAAAUAAAABMQEAAAALLTIxMDc2ODYwMDgDAAAAAzE2MAIAAAAEMTI3NQQAAAABMAcAAAAJMy8yNS8yMDIyCAAAAAkxLzMxLzIwMjIJAAAAATBXn4aLPw7aCFW788lODtoINENJUS5OWVNFOldNVC5JUV9UT1RBTF9FUVVJVFkuSVFfQ1ktMS5DWTIwMjEuTC4uVVNELkgBAAAA38YEAAIAAAAFODc1MzEBCAAAAAUAAAABMQEAAAALLTIxMDc2ODU5NzcDAAAAAzE2MAIAAAAEMTI3NQQAAAABMAcAAAAJMy8yNS8yMDIyCAAAAAkxLzMxLzIwMjEJAAAAATBXn4aLPw7aCGCU88lODtoIOkNJUS5OQVNEQVFHUzpDT1NULklRX0FTU0VUX1RVUk5TLkNZMjAyMS4zLzI1LzIwMjIuTC4uVVNELkgBAAAAkWoBAAIAAAAIMy4yNjU5MDgBCAAAAAUAAAABMQEAAAALLTIxMTY1NDkwNDEDAAAAAzE2MAIAAAAENDE3NwQAAAABMAcAAAAJMy8yNS8yMDIyCAAAAAoxMS8yMS8yMDIxCQAAAAEwV5+Giz8O2gjXjmHLTg7aCDNDSVEuTllTRTpXTVQuSVFfVE9UQUxfQVNTRVRTLklRX0xUTS5DWTIwMjEuTC4uVVNELkgBAAAA38YEAAIAAAAGMjUyNDk2AQgAAAAFAAAAATEBAAAACy0yMTA3Njg1OTc3AwAAAAMxNjAC</t>
  </si>
  <si>
    <t>AAAABDEwMDcEAAAAATAHAAAACTMvMjUvMjAyMggAAAAJMS8zMS8yMDIxCQAAAAEwV5+Giz8O2gh0TPLJTg7aCDVDSVEuTllTRTpXTVQuSVFfVE9UQUxfQVNTRVRTLklRX0xUTS0xLkNZMjAyMS5MLi5VU0QuSAEAAADfxgQAAgAAAAYyNTA4NjMBCAAAAAUAAAABMQEAAAALLTIxMTgxNDU2NTEDAAAAAzE2MAIAAAAEMTAwNwQAAAABMAcAAAAJMy8yNS8yMDIyCAAAAAoxMC8zMS8yMDIwCQAAAAEwV5+Giz8O2gh0TPLJTg7aCC9DSVEuTllTRTpXTVQuSVFfVE9UQUxfQ0wuSVFfTFRNLkNZMjAyMS5MLi5VU0QuSAEAAADfxgQAAgAAAAU5MjY0NQEIAAAABQAAAAExAQAAAAstMjEwNzY4NTk3NwMAAAADMTYwAgAAAAQxMDA5BAAAAAEwBwAAAAkzLzI1LzIwMjIIAAAACTEvMzEvMjAyMQkAAAABMFefhos/DtoIdEzyyU4O2ggxQ0lRLk5ZU0U6V01ULklRX1RPVEFMX0NMLklRX0xUTS0xLkNZMjAyMS5MLi5VU0QuSAEAAADfxgQAAgAAAAU4ODEyMQEIAAAABQAAAAExAQAAAAstMjExODE0NTY1MQMAAAADMTYwAgAAAAQxMDA5BAAAAAEwBwAAAAkzLzI1LzIwMjIIAAAACjEwLzMxLzIwMjAJAAAAATBXn4aLPw7aCHRM8slODtoINUNJUS5OQVNEQVFHUzpDT1NULklRX0NBU0hfT1BFUi5JUV9MVE0uQ1kyMDIxLkwuLlVTRC5IAQAAAJFqAQACAAAABDg5NTgBCAAAAAUAAAABMQEAAAALLTIxMjc1MTU3NzUDAAAAAzE2MAIA</t>
  </si>
  <si>
    <t>AAAEMjAwNgQAAAABMAcAAAAJMy8yNS8yMDIyCAAAAAk4LzI5LzIwMjEJAAAAATBXn4aLPw7aCAoEYstODtoIMUNJUS5OQVNEQVFHUzpDT1NULklRX05JLkNZMjAyMS4zLzI1LzIwMjIuTC4uVVNELkgBAAAAkWoBAAIAAAAENTE2NQEIAAAABQAAAAExAQAAAAstMjExNjU0OTA0MQMAAAADMTYwAgAAAAIxNQQAAAABMAcAAAAJMy8yNS8yMDIyCAAAAAoxMS8yMS8yMDIxCQAAAAEwo4Okiz8O2ggKBGLLTg7aCDhDSVEuTkFTREFRR1M6Q09TVC5JUV9UT1RBTF9BU1NFVFMuSVFfTFRNLkNZMjAyMS5MLi5VU0QuSAEAAACRagEAAgAAAAU1OTI2OAEIAAAABQAAAAExAQAAAAstMjEyNzUxNTc3NQMAAAADMTYwAgAAAAQxMDA3BAAAAAEwBwAAAAkzLzI1LzIwMjIIAAAACTgvMjkvMjAyMQkAAAABMFefhos/DtoI145hy04O2gg6Q0lRLk5BU0RBUUdTOkNPU1QuSVFfVE9UQUxfQVNTRVRTLklRX0xUTS0xLkNZMjAyMS5MLi5VU0QuSAEAAACRagEAAgAAAAU1NzI3NAEIAAAABQAAAAExAQAAAAstMjE0NzI0NDU1NQMAAAADMTYwAgAAAAQxMDA3BAAAAAEwBwAAAAkzLzI1LzIwMjIIAAAACDUvOS8yMDIxCQAAAAEwV5+Giz8O2gjXjmHLTg7aCDRDSVEuTkFTREFRR1M6Q09TVC5JUV9UT1RBTF9DTC5JUV9MVE0uQ1kyMDIxLkwuLlVTRC5IAQAAAJFqAQACAAAABTI5NDQxAQgAAAAFAAAAATEBAAAACy0yMTI3NTE1Nzc1AwAA</t>
  </si>
  <si>
    <t>AAMxNjACAAAABDEwMDkEAAAAATAHAAAACTMvMjUvMjAyMggAAAAJOC8yOS8yMDIxCQAAAAEwV5+Giz8O2gjXjmHLTg7aCDZDSVEuTkFTREFRR1M6Q09TVC5JUV9UT1RBTF9DTC5JUV9MVE0tMS5DWTIwMjEuTC4uVVNELkgBAAAAkWoBAAIAAAAFMjc5ODIBCAAAAAUAAAABMQEAAAALLTIxNDcyNDQ1NTUDAAAAAzE2MAIAAAAEMTAwOQQAAAABMAcAAAAJMy8yNS8yMDIyCAAAAAg1LzkvMjAyMQkAAAABMFefhos/DtoI145hy04O2ggwQ0lRLk5ZU0U6V01ULklRX0NBU0hfT1BFUi5JUV9MVE0uQ1kyMDIxLkwuLlVTRC5IAQAAAN/GBAACAAAABTM2MDc0AQgAAAAFAAAAATEBAAAACy0yMTA3Njg1OTc3AwAAAAMxNjACAAAABDIwMDYEAAAAATAHAAAACTMvMjUvMjAyMggAAAAJMS8zMS8yMDIxCQAAAAEwV5+Giz8O2ghVu/PJTg7aCCxDSVEuTllTRTpXTVQuSVFfTkkuQ1kyMDIxLjMvMjUvMjAyMi5MLi5VU0QuSAEAAADfxgQAAgAAAAUxMzY3MwEIAAAABQAAAAExAQAAAAstMjEwNzY4NjAwOAMAAAADMTYwAgAAAAIxNQQAAAABMAcAAAAJMy8yNS8yMDIyCAAAAAkxLzMxLzIwMjIJAAAAATCjg6SLPw7aCIoo9MlODtoINUNJUS5OWVNFOldNVC5JUV9BU1NFVF9UVVJOUy5DWTIwMjEuMy8yNS8yMDIyLkwuLlVTRC5IAQAAAN/GBAACAAAACDIuMzAzMTk1AQgAAAAFAAAAATEBAAAACy0yMTA3Njg2MDA4AwAAAAMxNjAC</t>
  </si>
  <si>
    <t>AAAABDQxNzcEAAAAATAHAAAACTMvMjUvMjAyMggAAAAJMS8zMS8yMDIyCQAAAAEwV5+Giz8O2gh0TPLJTg7aCDJDSVEuTllTRTpXTVQuSVFfVE9UQUxfQ0wuQ1kyMDIxLjMvMjUvMjAyMi5MLi5VU0QuSAEAAADfxgQAAgAAAAU4NzM3OQEIAAAABQAAAAExAQAAAAstMjEwNzY4NjAwOAMAAAADMTYwAgAAAAQxMDA5BAAAAAEwBwAAAAkzLzI1LzIwMjIIAAAACTEvMzEvMjAyMgkAAAABMFefhos/DtoIVbvzyU4O2ggwQ0lRLk5ZU0U6V01ULklRX1RPVEFMX0NMLklRX0NZLTEuQ1kyMDIxLkwuLlVTRC5IAQAAAN/GBAACAAAABTkyNjQ1AQgAAAAFAAAAATEBAAAACy0yMTA3Njg1OTc3AwAAAAMxNjACAAAABDEwMDkEAAAAATAHAAAACTMvMjUvMjAyMggAAAAJMS8zMS8yMDIxCQAAAAEwV5+Giz8O2ghVu/PJTg7aCD5DSVEuTkFTREFRR1M6Q09TVC5JUV9JTlZFTlRPUllfVFVSTlMuQ1kyMDIxLjMvMjUvMjAyMi5MLi5VU0QuSAEAAACRagEAAgAAAAkxMS4xMjgyMjIBCAAAAAUAAAABMQEAAAALLTIxMTY1NDkwNDEDAAAAAzE2MAIAAAAENDA4MgQAAAABMAcAAAAJMy8yNS8yMDIyCAAAAAoxMS8yMS8yMDIxCQAAAAEwV5+Giz8O2gjvtWHLTg7aCDdDSVEuTkFTREFRR1M6Q09TVC5JUV9UT1RBTF9DTC5DWTIwMjEuMy8yNS8yMDIyLkwuLlVTRC5IAQAAAJFqAQACAAAABTMzMzQyAQgAAAAFAAAAATEBAAAACy0yMTE2</t>
  </si>
  <si>
    <t>NTQ5MDQxAwAAAAMxNjACAAAABDEwMDkEAAAAATAHAAAACTMvMjUvMjAyMggAAAAKMTEvMjEvMjAyMQkAAAABMFefhos/DtoICgRiy04O2gg1Q0lRLk5BU0RBUUdTOkNPU1QuSVFfVE9UQUxfQ0wuSVFfQ1ktMS5DWTIwMjEuTC4uVVNELkgBAAAAkWoBAAIAAAAFMzI2NjcBCAAAAAUAAAABMQEAAAALLTIxMTY1NDkwMzkDAAAAAzE2MAIAAAAEMTAwOQQAAAABMAcAAAAJMy8yNS8yMDIyCAAAAAoxMS8yMi8yMDIwCQAAAAEwV5+Giz8O2ggKBGLLTg7aCDlDSVEuTllTRTpXTVQuSVFfSU5WRU5UT1JZX1RVUk5TLkNZMjAyMS4zLzI1LzIwMjIuTC4uVVNELkgBAAAA38YEAAIAAAAIOC40NTY1MzQBCAAAAAUAAAABMQEAAAALLTIxMDc2ODYwMDgDAAAAAzE2MAIAAAAENDA4MgQAAAABMAcAAAAJMy8yNS8yMDIyCAAAAAkxLzMxLzIwMjIJAAAAATBXn4aLPw7aCHVz8slODtoIMUNJUS5OWVNFOldNVC5JUV9JTkNfVEFYLkNZMjAyMS4zLzI1LzIwMjIuTC4uVVNELkgBAAAA38YEAAIAAAAENDc1NgEIAAAABQAAAAExAQAAAAstMjEwNzY4NjAwOAMAAAADMTYwAgAAAAI3NQQAAAABMAcAAAAJMy8yNS8yMDIyCAAAAAkxLzMxLzIwMjIJAAAAATBXn4aLPw7aCGzi88lODtoIK0NJUS5OWVNFOldNVC5JUV9FQlQuMjAwMC4zLzI1LzIwMjIuTC4uVVNELkgBAAAA38YEAAIAAAAFMTg2OTYBCAAAAAUAAAABMQEAAAALLTIxMDc2</t>
  </si>
  <si>
    <t>ODYwMDgDAAAAAzE2MAIAAAADMTM5BAAAAAEwBwAAAAkzLzI1LzIwMjIIAAAACTEvMzEvMjAyMgkAAAABMFefhos/DtoIl8HyyU4O2ggyQ0lRLk5ZU0U6V01ULklRX0FSX1RVUk5TLkNZMjAyMS4zLzI1LzIwMjIuTC4uVVNELkgBAAAA38YEAAIAAAAJNzcuNDIwMTEzAQgAAAAFAAAAATEBAAAACy0yMTA3Njg2MDA4AwAAAAMxNjACAAAABDQwMDEEAAAAATAHAAAACTMvMjUvMjAyMggAAAAJMS8zMS8yMDIyCQAAAAEwV5+Giz8O2giXwfLJTg7aCDdDSVEuTkFTREFRR1M6Q09TVC5JUV9BUl9UVVJOUy5DWTIwMjEuMy8yNS8yMDIyLkwuLlVTRC5IAQAAAJFqAQACAAAACjExMy41MTgxNjYBCAAAAAUAAAABMQEAAAALLTIxMTY1NDkwNDEDAAAAAzE2MAIAAAAENDAwMQQAAAABMAcAAAAJMy8yNS8yMDIyCAAAAAoxMS8yMS8yMDIxCQAAAAEwV5+Giz8O2gjvtWHLTg7aCDZDSVEuTkFTREFRR1M6Q09TVC5JUV9JTkNfVEFYLkNZMjAyMS4zLzI1LzIwMjIuTC4uVVNELkgBAAAAkWoBAAIAAAAEMTcxMwEIAAAABQAAAAExAQAAAAstMjExNjU0OTA0MQMAAAADMTYwAgAAAAI3NQQAAAABMAcAAAAJMy8yNS8yMDIyCAAAAAoxMS8yMS8yMDIxCQAAAAEwV5+Giz8O2ggKBGLLTg7aCDBDSVEuTkFTREFRR1M6Q09TVC5JUV9FQlQuMjAwMC4zLzI1LzIwMjIuTC4uVVNELkgBAAAAkWoBAAIAAAAENzQzOAEIAAAABQAAAAExAQAA</t>
  </si>
  <si>
    <t>AAstMjEwODg1NTM0OAMAAAADMTYwAgAAAAMxMzkEAAAAATAHAAAACTMvMjUvMjAyMggAAAAJMi8xMy8yMDIyCQAAAAEwV5+Giz8O2gjvtWHLTg7aCDpDSVEuTllTRTpXTVQuSVFfVElFUl9PTkVfQ0FQSVRBTC5DWTIwMjEuMy8yNS8yMDIyLkwuLlVTRC5IAQAAAN/GBAADAAAAAABXn4aLPw7aCBj48slODtoIOkNJUS5OWVNFOldNVC5JUV9USUVSX1RXT19DQVBJVEFMLkNZMjAyMS4zLzI1LzIwMjIuTC4uVVNELkgBAAAA38YEAAMAAAAAAFefhos/DtoIGPjyyU4O2ggsQ0lRLk5ZU0U6V01ULklRX0dXLkNZMjAyMS4zLzI1LzIwMjIuTC4uVVNELkgBAAAA38YEAAIAAAAFMjkwMTQBCAAAAAUAAAABMQEAAAALLTIxMDc2ODYwMDgDAAAAAzE2MAIAAAAEMTE3MQQAAAABMAcAAAAJMy8yNS8yMDIyCAAAAAkxLzMxLzIwMjIJAAAAATBXn4aLPw7aCBj48slODtoIPkNJUS5OWVNFOldNVC5JUV9SSVNLX0FESl9CQU5LX0FTU0VUUy5DWTIwMjEuMy8yNS8yMDIyLkwuLlVTRC5IAQAAAN/GBAADAAAAAABXn4aLPw7aCBj48slODtoIP0NJUS5OQVNEQVFHUzpDT1NULklRX1RJRVJfT05FX0NBUElUQUwuQ1kyMDIxLjMvMjUvMjAyMi5MLi5VU0QuSAEAAACRagEAAwAAAAAAV5+Giz8O2gjvtWHLTg7aCD9DSVEuTkFTREFRR1M6Q09TVC5JUV9USUVSX1RXT19DQVBJVEFMLkNZMjAyMS4zLzI1LzIwMjIuTC4uVVNELkgBAAAA</t>
  </si>
  <si>
    <t>kWoBAAMAAAAAAFefhos/DtoI8dxhy04O2ggxQ0lRLk5BU0RBUUdTOkNPU1QuSVFfR1cuQ1kyMDIxLjMvMjUvMjAyMi5MLi5VU0QuSAEAAACRagEAAwAAAAAAV5+Giz8O2gjx3GHLTg7aCENDSVEuTkFTREFRR1M6Q09TVC5JUV9SSVNLX0FESl9CQU5LX0FTU0VUUy5DWTIwMjEuMy8yNS8yMDIyLkwuLlVTRC5IAQAAAJFqAQADAAAAAABXn4aLPw7aCPHcYctODtoIN0NJUS5OQVNEQVFHUzpDT1NULklRX0xFVkVSRURfRkNGLklRX0xUTS5DWTIwMjEuTC4uVVNELkgBAAAAkWoBAAIAAAAGNDYxMS41AQgAAAAFAAAAATEBAAAACy0yMTI3NTE1Nzc1AwAAAAMxNjACAAAABDQ0MjIEAAAAATAHAAAACTMvMjUvMjAyMggAAAAJOC8yOS8yMDIxCQAAAAEwV5+Giz8O2gjx3GHLTg7aCDlDSVEuTkFTREFRR1M6Q09TVC5JUV9UT1RBTF9ERUJULkNZMjAyMS4zLzI1LzIwMjIuTC4uVVNELkgBAAAAkWoBAAIAAAAFMTAxMTUBCAAAAAUAAAABMQEAAAALLTIxMTY1NDkwNDEDAAAAAzE2MAIAAAAENDE3MwQAAAABMAcAAAAJMy8yNS8yMDIyCAAAAAoxMS8yMS8yMDIxCQAAAAEwV5+Giz8O2gjx3GHLTg7aCDdDSVEuTkFTREFRR1M6Q09TVC5JUV9UT1RBTF9ERUJULklRX0NZLTEuQ1kyMDIxLkwuLlVTRC5IAQAAAJFqAQACAAAABTEwMTk5AQgAAAAFAAAAATEBAAAACy0yMTE2NTQ5MDM5AwAAAAMxNjACAAAABDQxNzMEAAAAATAH</t>
  </si>
  <si>
    <t>AAAACTMvMjUvMjAyMggAAAAKMTEvMjIvMjAyMAkAAAABMFefhos/DtoI8dxhy04O2ggyQ0lRLk5ZU0U6V01ULklRX0xFVkVSRURfRkNGLklRX0xUTS5DWTIwMjEuTC4uVVNELkgBAAAA38YEAAIAAAAJMTUyNjcuNjI1AQgAAAAFAAAAATEBAAAACy0yMTA3Njg1OTc3AwAAAAMxNjACAAAABDQ0MjIEAAAAATAHAAAACTMvMjUvMjAyMggAAAAJMS8zMS8yMDIxCQAAAAEwV5+Giz8O2ggY+PLJTg7aCDRDSVEuTllTRTpXTVQuSVFfVE9UQUxfREVCVC5DWTIwMjEuMy8yNS8yMDIyLkwuLlVTRC5IAQAAAN/GBAACAAAABTU4NDE4AQgAAAAFAAAAATEBAAAACy0yMTA3Njg2MDA4AwAAAAMxNjACAAAABDQxNzMEAAAAATAHAAAACTMvMjUvMjAyMggAAAAJMS8zMS8yMDIyCQAAAAEwV5+Giz8O2ggY+PLJTg7aCDJDSVEuTllTRTpXTVQuSVFfVE9UQUxfREVCVC5JUV9DWS0xLkNZMjAyMS5MLi5VU0QuSAEAAADfxgQAAgAAAAU2MzY0MAEIAAAABQAAAAExAQAAAAstMjEwNzY4NTk3NwMAAAADMTYwAgAAAAQ0MTczBAAAAAEwBwAAAAkzLzI1LzIwMjIIAAAACTEvMzEvMjAyMQkAAAABMFefhos/DtoIGPjyyU4O2ggwQ0lRLk5ZU0U6V01ULklRX1RPVEFMX1JFVi5JUV9MVE0uQ1kyMDIxLkwuLlVTRC5IAQAAAN/GBAACAAAABjU1OTE1MQEIAAAABQAAAAExAQAAAAstMjEwNzY4NTk3NwMAAAADMTYwAgAAAAIyOAQAAAABMAcA</t>
  </si>
  <si>
    <t>AAAJMy8yNS8yMDIyCAAAAAkxLzMxLzIwMjEJAAAAATBXn4aLPw7aCDRG88lODtoIN0NJUS5OQVNEQVFHUzpDT1NULklRX0FMTE9XX0xMLkNZMjAyMS4zLzI1LzIwMjIuTC4uVVNELkgBAAAAkWoBAAMAAAAAAFefhos/DtoI8dxhy04O2gg6Q0lRLk5BU0RBUUdTOkNPU1QuSVFfVE9UQUxfTE9BTlMuQ1kyMDIxLjMvMjUvMjAyMi5MLi5VU0QuSAEAAACRagEAAwAAAAAAo4Okiz8O2gjx3GHLTg7aCDJDSVEuTllTRTpXTVQuSVFfQUxMT1dfTEwuQ1kyMDIxLjMvMjUvMjAyMi5MLi5VU0QuSAEAAADfxgQAAwAAAAAAV5+Giz8O2gg0RvPJTg7aCDVDSVEuTllTRTpXTVQuSVFfVE9UQUxfTE9BTlMuQ1kyMDIxLjMvMjUvMjAyMi5MLi5VU0QuSAEAAADfxgQAAwAAAAAAo4Okiz8O2ghglPPJTg7aCDVDSVEuTkFTREFRR1M6Q09TVC5JUV9UT1RBTF9SRVYuSVFfTFRNLkNZMjAyMS5MLi5VU0QuSAEAAACRagEAAgAAAAYxOTU5MjkBCAAAAAUAAAABMQEAAAALLTIxMjc1MTU3NzUDAAAAAzE2MAIAAAACMjgEAAAAATAHAAAACTMvMjUvMjAyMggAAAAJOC8yOS8yMDIxCQAAAAEwV5+Giz8O2gjx3GHLTg7aCDhDSVEuTllTRTpXTVQuSVFfVE9UQUxfREVQT1NJVFMuQ1kyMDIxLjMvMjUvMjAyMi5MLi5VU0QuSAEAAADfxgQAAwAAAAAAV5+Giz8O2giKsvTJTg7aCD1DSVEuTkFTREFRR1M6Q09TVC5JUV9UT1RBTF9ERVBPU0lU</t>
  </si>
  <si>
    <t>Uy5DWTIwMjEuMy8yNS8yMDIyLkwuLlVTRC5IAQAAAJFqAQADAAAAAABXn4aLPw7aCKs0YstODtoIPkNJUS5OWVNFOldNVC5JUV9OT05fUEVSRk9STUlOR19MT0FOUy5DWTIwMjEuMy8yNS8yMDIyLkwuLlVTRC5IAQAAAN/GBAADAAAAAACjg6SLPw7aCFW788lODtoIQ0NJUS5OQVNEQVFHUzpDT1NULklRX05PTl9QRVJGT1JNSU5HX0xPQU5TLkNZMjAyMS4zLzI1LzIwMjIuTC4uVVNELkgBAAAAkWoBAAMAAAAAAKODpIs/DtoICgRiy04O2gg5Q0lRLk5BU0RBUUdTOkNPU1QuSVFfRFBTXzFZUl9BTk5fR1JPV1RILklRX0xUTS4xMi8zMS8yMDIxAQAAAJFqAQACAAAABzExLjYzNjMBCAAAAAUAAAABMQEAAAALLTIxMTY1NDkwNDEDAAAAAzE2MAIAAAAENDIwNgQAAAABMAcAAAAKMTIvMzEvMjAyMQgAAAAKMTEvMjEvMjAyMQkAAAABMFefhos/DtoIxFtiy04O2gg0Q0lRLk5ZU0U6V01ULklRX0RQU18xWVJfQU5OX0dST1dUSC5JUV9MVE0uMTIvMzEvMjAyMQEAAADfxgQAAgAAAAYxLjg2MDQBCAAAAAUAAAABMQEAAAALLTIxMTgxNDU2NTQDAAAAAzE2MAIAAAAENDIwNgQAAAABMAcAAAAKMTIvMzEvMjAyMQgAAAAKMTAvMzEvMjAyMQkAAAABMFefhos/DtoIBC/1yU4O2ggtQ0lRLk5ZU0U6V01ULklRX0VCVC5DWTIwMjEuMy8yNS8yMDIyLkwuLlVTRC5IAQAAAN/GBAACAAAABTE4Njk2AQgAAAAFAAAAATEBAAAA</t>
  </si>
  <si>
    <t>Cy0yMTA3Njg2MDA4AwAAAAMxNjACAAAAAzEzOQQAAAABMAcAAAAJMy8yNS8yMDIyCAAAAAkxLzMxLzIwMjIJAAAAATCjg6SLPw7aCGzi88lODtoIMkNJUS5OQVNEQVFHUzpDT1NULklRX0VCVC5DWTIwMjEuMy8yNS8yMDIyLkwuLlVTRC5IAQAAAJFqAQACAAAABDY5NTYBCAAAAAUAAAABMQEAAAALLTIxMTY1NDkwNDEDAAAAAzE2MAIAAAADMTM5BAAAAAEwBwAAAAkzLzI1LzIwMjIIAAAACjExLzIxLzIwMjEJAAAAATCjg6SLPw7aCAoEYstODtoIPENJUS5OQVNEQVFHUzpDT1NULklRX1RPVEFMX1JFVkVOVUUuQ1kyMDIxLjMvMjUvMjAyMi5MLi5VU0QuSAEAAACRagEAAgAAAAYyMDMwODQBCAAAAAUAAAABMQEAAAALLTIxMTY1NDkwNDEDAAAAAzE2MAIAAAACMjgEAAAAATAHAAAACTMvMjUvMjAyMggAAAAKMTEvMjEvMjAyMQkAAAABMKODpIs/DtoIrDBiy04O2gg3Q0lRLk5ZU0U6V01ULklRX1RPVEFMX1JFVkVOVUUuQ1kyMDIxLjMvMjUvMjAyMi5MLi5VU0QuSAEAAADfxgQAAgAAAAY1NzI3NTQBCAAAAAUAAAABMQEAAAALLTIxMDc2ODYwMDgDAAAAAzE2MAIAAAACMjgEAAAAATAHAAAACTMvMjUvMjAyMggAAAAJMS8zMS8yMDIyCQAAAAEwo4Okiz8O2gjJVPTJTg7aCDxDSVEuTllTRTpXTVQuSVFfVE9UQUxfQkFOS19DQVBJVEFMLkNZMjAyMS4zLzI1LzIwMjIuTC4uVVNELkgBAAAA38YEAAMAAAAAAFef</t>
  </si>
  <si>
    <t>hos/DtoIQPP0yU4O2gg6Q0lRLk5ZU0U6V01ULklRX1RPVEFMX0JBTktfQ0FQSVRBTC5JUV9DWS0xLkNZMjAyMS5MLi5VU0QuSAEAAADfxgQAAwAAAAAAV5+Giz8O2ggVLfTJTg7aCEFDSVEuTkFTREFRR1M6Q09TVC5JUV9UT1RBTF9CQU5LX0NBUElUQUwuQ1kyMDIxLjMvMjUvMjAyMi5MLi5VU0QuSAEAAACRagEAAwAAAAAAV5+Giz8O2gjEW2LLTg7aCD9DSVEuTkFTREFRR1M6Q09TVC5JUV9UT1RBTF9CQU5LX0NBUElUQUwuSVFfQ1ktMS5DWTIwMjEuTC4uVVNELkgBAAAAkWoBAAMAAAAAAFefhos/DtoICgRiy04O2gguQ0lRLk5ZU0U6V01ULklRX0NPR1MuQ1kyMDIxLjMvMjUvMjAyMi5MLi5VU0QuSAEAAADfxgQAAgAAAAY0MjkwMDABCAAAAAUAAAABMQEAAAALLTIxMDc2ODYwMDgDAAAAAzE2MAIAAAACMzQEAAAAATAHAAAACTMvMjUvMjAyMggAAAAJMS8zMS8yMDIyCQAAAAEwo4Okiz8O2gjJVPTJTg7aCC5DSVEuTllTRTpXTVQuSVFfRUJJVC5DWTIwMjEuMy8yNS8yMDIyLkwuLlVTRC5IAQAAAN/GBAACAAAABTI1OTQyAQgAAAAFAAAAATEBAAAACy0yMTA3Njg2MDA4AwAAAAMxNjACAAAAAzQwMAQAAAABMAcAAAAJMy8yNS8yMDIyCAAAAAkxLzMxLzIwMjIJAAAAATBXn4aLPw7aCMlU9MlODtoIM0NJUS5OQVNEQVFHUzpDT1NULklRX0NPR1MuQ1kyMDIxLjMvMjUvMjAyMi5MLi5VU0QuSAEAAACRagEA</t>
  </si>
  <si>
    <t>AgAAAAYxNzcxNzgBCAAAAAUAAAABMQEAAAALLTIxMTY1NDkwNDEDAAAAAzE2MAIAAAACMzQEAAAAATAHAAAACTMvMjUvMjAyMggAAAAKMTEvMjEvMjAyMQkAAAABMKODpIs/DtoIrDBiy04O2ggzQ0lRLk5BU0RBUUdTOkNPU1QuSVFfRUJJVC5DWTIwMjEuMy8yNS8yMDIyLkwuLlVTRC5IAQAAAJFqAQACAAAABDc2MDQBCAAAAAUAAAABMQEAAAALLTIxMTY1NDkwNDEDAAAAAzE2MAIAAAADNDAwBAAAAAEwBwAAAAkzLzI1LzIwMjIIAAAACjExLzIxLzIwMjEJAAAAATBXn4aLPw7aCKs0YstODtoIIUNJUS5OWVNFOldNVC5JUV9UT1RBTF9ERUJULkNZMjAyMQEAAADfxgQAAgAAAAU1ODQxOAEIAAAABQAAAAExAQAAAAstMjEwNzY4NjAwOAMAAAADMTYwAgAAAAQ0MTczBAAAAAEwBwAAAAkzLzI1LzIwMjIIAAAACTEvMzEvMjAyMgkAAAABMFefhos/DtoIcYj0yU4O2ggiQ0lRLk5ZU0U6V01ULklRX1BSRUZfRVFVSVRZLkNZMjAyMQEAAADfxgQAAwAAAAAAV5+Giz8O2ghxiPTJTg7aCChDSVEuTllTRTpXTVQuSVFfTUlOT1JJVFlfSU5URVJFU1QuQ1kyMDIxAQAAAN/GBAACAAAABDg2MzgBCAAAAAUAAAABMQEAAAALLTIxMDc2ODYwMDgDAAAAAzE2MAIAAAAEMTA1MgQAAAABMAcAAAAJMy8yNS8yMDIyCAAAAAkxLzMxLzIwMjIJAAAAATBXn4aLPw7aCFuM9MlODtoIIENJUS5OWVNFOldNVC5JUV9TVF9JTlZFU1Qu</t>
  </si>
  <si>
    <t>Q1kyMDIxAQAAAN/GBAADAAAAAABXn4aLPw7aCFuM9MlODtoIIUNJUS5OWVNFOldNVC5JUV9DQVNIX0VRVUlWLkNZMjAyMQEAAADfxgQAAgAAAAUxNDc2MAEIAAAABQAAAAExAQAAAAstMjEwNzY4NjAwOAMAAAADMTYwAgAAAAQxMDk2BAAAAAEwBwAAAAkzLzI1LzIwMjIIAAAACTEvMzEvMjAyMgkAAAABMFefhos/DtoIW4z0yU4O2ggmQ0lRLk5BU0RBUUdTOkNPU1QuSVFfVE9UQUxfREVCVC5DWTIwMjEBAAAAkWoBAAIAAAAFMTAxMTUBCAAAAAUAAAABMQEAAAALLTIxMTY1NDkwNDEDAAAAAzE2MAIAAAAENDE3MwQAAAABMAcAAAAJMy8yNS8yMDIyCAAAAAoxMS8yMS8yMDIxCQAAAAEwV5+Giz8O2girNGLLTg7aCCdDSVEuTkFTREFRR1M6Q09TVC5JUV9QUkVGX0VRVUlUWS5DWTIwMjEBAAAAkWoBAAMAAAAAAFefhos/DtoIqzRiy04O2ggtQ0lRLk5BU0RBUUdTOkNPU1QuSVFfTUlOT1JJVFlfSU5URVJFU1QuQ1kyMDIxAQAAAJFqAQACAAAAAzUzNwEIAAAABQAAAAExAQAAAAstMjExNjU0OTA0MQMAAAADMTYwAgAAAAQxMDUyBAAAAAEwBwAAAAkzLzI1LzIwMjIIAAAACjExLzIxLzIwMjEJAAAAATBXn4aLPw7aCKs0YstODtoIJUNJUS5OQVNEQVFHUzpDT1NULklRX1NUX0lOVkVTVC5DWTIwMjEBAAAAkWoBAAIAAAADNzI1AQgAAAAFAAAAATEBAAAACy0yMTE2NTQ5MDQxAwAAAAMxNjACAAAABDEwNjkEAAAA</t>
  </si>
  <si>
    <t>ATAHAAAACTMvMjUvMjAyMggAAAAKMTEvMjEvMjAyMQkAAAABMFefhos/DtoIqzRiy04O2ggmQ0lRLk5BU0RBUUdTOkNPU1QuSVFfQ0FTSF9FUVVJVi5DWTIwMjEBAAAAkWoBAAIAAAAFMTI3NTEBCAAAAAUAAAABMQEAAAALLTIxMTY1NDkwNDEDAAAAAzE2MAIAAAAEMTA5NgQAAAABMAcAAAAJMy8yNS8yMDIyCAAAAAoxMS8yMS8yMDIxCQAAAAEwV5+Giz8O2girNGLLTg7aCDNDSVEuTllTRTpXTVQuSVFfU0dBX1NVUFBMLkNZMjAyMS4zLzI1LzIwMjIuTC4uVVNELkgBAAAA38YEAAIAAAAGMTE3ODEyAQgAAAAFAAAAATEBAAAACy0yMTA3Njg2MDA4AwAAAAMxNjACAAAAAzEwMgQAAAABMAcAAAAJMy8yNS8yMDIyCAAAAAkxLzMxLzIwMjIJAAAAATCjg6SLPw7aCLuX9MlODtoIOENJUS5OQVNEQVFHUzpDT1NULklRX1NHQV9TVVBQTC5DWTIwMjEuMy8yNS8yMDIyLkwuLlVTRC5IAQAAAJFqAQACAAAABTE4MjI2AQgAAAAFAAAAATEBAAAACy0yMTE2NTQ5MDQxAwAAAAMxNjACAAAAAzEwMgQAAAABMAcAAAAJMy8yNS8yMDIyCAAAAAoxMS8yMS8yMDIxCQAAAAEwo4Okiz8O2girNGLLTg7aCDVDSVEuTkFTREFRR1M6Q09TVC5JUV9SRF9FWFAuQ1kyMDIxLjMvMjUvMjAyMi5MLi5VU0QuSAEAAACRagEAAwAAAAAAo4Okiz8O2girNGLLTg7aCDBDSVEuTllTRTpXTVQuSVFfUkRfRVhQLkNZMjAyMS4zLzI1LzIwMjIu</t>
  </si>
  <si>
    <t>TC4uVVNELkgBAAAA38YEAAMAAAAAAKODpIs/DtoIirL0yU4O2ghBQ0lRLk5BU0RBUUdTOkNPU1QuSVFfVE9UQUxfQkFOS19DQVBJVEFMLkNZMjAyMC4zLzI1LzIwMjIuTC4uVVNELkgBAAAAkWoBAAMAAAAAAFefhos/DtoIxFtiy04O2ghCQ0lRLk5ZU0U6V01ULklRX1RPVEFMX1JFVl8xWVJfQU5OX0dST1dUSC5DWTIwMjEuMy8yNS8yMDIyLkwuLlVTRC5IAQAAAN/GBAACAAAABjIuNDMyNwEIAAAABQAAAAExAQAAAAstMjEwNzY4NjAwOAMAAAADMTYwAgAAAAQ0MTk0BAAAAAEwBwAAAAkzLzI1LzIwMjIIAAAACTEvMzEvMjAyMgkAAAABMFefhos/DtoIQPP0yU4O2ghHQ0lRLk5BU0RBUUdTOkNPU1QuSVFfVE9UQUxfUkVWXzFZUl9BTk5fR1JPV1RILkNZMjAyMS4zLzI1LzIwMjIuTC4uVVNELkgBAAAAkWoBAAIAAAAHMTcuNDM3NwEIAAAABQAAAAExAQAAAAstMjExNjU0OTA0MQMAAAADMTYwAgAAAAQ0MTk0BAAAAAEwBwAAAAkzLzI1LzIwMjIIAAAACjExLzIxLzIwMjEJAAAAATBXn4aLPw7aCMRbYstODtoIQkNJUS5OQVNEQVFHUzpDT1NULklRX1RPVEFMX0NBUElUQUxfUkFUSU8uQ1kyMDIxLjMvMjUvMjAyMi5MLi5VU0QuSAEAAACRagEAAwAAAAAAo4Okiz8O2gjEW2LLTg7aCD1DSVEuTkFTREFRR1M6Q09TVC5JUV9USUVSX09ORV9SQVRJTy5DWTIwMjEuMy8yNS8yMDIyLkwuLlVTRC5IAQAAAJFqAQAD</t>
  </si>
  <si>
    <t>AAAAAACjg6SLPw7aCMRbYstODtoIPUNJUS5OWVNFOldNVC5JUV9UT1RBTF9DQVBJVEFMX1JBVElPLkNZMjAyMS4zLzI1LzIwMjIuTC4uVVNELkgBAAAA38YEAAMAAAAAAKODpIs/DtoIROn0yU4O2gg4Q0lRLk5ZU0U6V01ULklRX1RJRVJfT05FX1JBVElPLkNZMjAyMS4zLzI1LzIwMjIuTC4uVVNELkgBAAAA38YEAAMAAAAAAKODpIs/DtoIROn0yU4O2gg8Q0lRLk5ZU0U6V01ULklRX1RPVEFMX0JBTktfQ0FQSVRBTC5DWTIwMjAuMy8yNS8yMDIyLkwuLlVTRC5IAQAAAN/GBAADAAAAAABXn4aLPw7aCEDz9MlODtoIOENJUS5OQVNEQVFHUzpDT1NULklRX1RPVEFMX0NBUC5DWTIwMjEuMy8yNS8yMDIyLkwuLlVTRC5IAQAAAJFqAQACAAAABTI5MTE1AQgAAAAFAAAAATEBAAAACy0yMTE2NTQ5MDQxAwAAAAMxNjACAAAABDQxNzUEAAAAATAHAAAACTMvMjUvMjAyMggAAAAKMTEvMjEvMjAyMQkAAAABMFefhos/DtoI0oJiy04O2gg2Q0lRLk5BU0RBUUdTOkNPU1QuSVFfVE9UQUxfQ0FQLklRX0NZLTEuQ1kyMDIxLkwuLlVTRC5IAQAAAJFqAQACAAAABTI1NTA4AQgAAAAFAAAAATEBAAAACy0yMTE2NTQ5MDM5AwAAAAMxNjACAAAABDQxNzUEAAAAATAHAAAACTMvMjUvMjAyMggAAAAKMTEvMjIvMjAyMAkAAAABMFefhos/DtoIxFtiy04O2ggzQ0lRLk5ZU0U6V01ULklRX1RPVEFMX0NBUC5DWTIwMjEuMy8yNS8y</t>
  </si>
  <si>
    <t>MDIyLkwuLlVTRC5IAQAAAN/GBAACAAAABjE1MDMwOQEIAAAABQAAAAExAQAAAAstMjEwNzY4NjAwOAMAAAADMTYwAgAAAAQ0MTc1BAAAAAEwBwAAAAkzLzI1LzIwMjIIAAAACTEvMzEvMjAyMgkAAAABMFefhos/DtoIPFj1yU4O2ggxQ0lRLk5ZU0U6V01ULklRX1RPVEFMX0NBUC5JUV9DWS0xLkNZMjAyMS5MLi5VU0QuSAEAAADfxgQAAgAAAAYxNTExNzEBCAAAAAUAAAABMQEAAAALLTIxMDc2ODU5NzcDAAAAAzE2MAIAAAAENDE3NQQAAAABMAcAAAAJMy8yNS8yMDIyCAAAAAkxLzMxLzIwMjEJAAAAATBXn4aLPw7aCJRC9clODtoIQENJUS5OQVNEQVFHUzpDT1NULklRX0ZJWEVEX0FTU0VUX1RVUk5TLkNZMjAyMS4zLzI1LzIwMjIuTC4uVVNELkgBAAAAkWoBAAIAAAAINy44MzE1NTYBCAAAAAUAAAABMQEAAAALLTIxMTY1NDkwNDEDAAAAAzE2MAIAAAAENDA2NgQAAAABMAcAAAAJMy8yNS8yMDIyCAAAAAoxMS8yMS8yMDIxCQAAAAEwV5+Giz8O2gjSgmLLTg7aCDtDSVEuTllTRTpXTVQuSVFfRklYRURfQVNTRVRfVFVSTlMuQ1kyMDIxLjMvMjUvMjAyMi5MLi5VU0QuSAEAAADfxgQAAgAAAAg1LjE0ODk5OAEIAAAABQAAAAExAQAAAAstMjEwNzY4NjAwOAMAAAADMTYwAgAAAAQ0MDY2BAAAAAEwBwAAAAkzLzI1LzIwMjIIAAAACTEvMzEvMjAyMgkAAAABMFefhos/DtoIPFj1yU4O2ggtQ0lRLk5BU0RBUUdT</t>
  </si>
  <si>
    <t>OkNPU1QuSVFfTEFTVFNBTEVQUklDRS4xMi8zMS8yMDIxAQAAAJFqAQACAAAABTU2Ny43AFefhos/DtoIxFtiy04O2ggtQ0lRLk5BU0RBUUdTOkNPU1QuSVFfTEFTVFNBTEVQUklDRS4xMi8zMS8yMDIwAQAAAJFqAQACAAAABjM3Ni43OABXn4aLPw7aCMRbYstODtoIKENJUS5OWVNFOldNVC5JUV9MQVNUU0FMRVBSSUNFLjEyLzMxLzIwMjEBAAAA38YEAAIAAAAGMTQ0LjY5AFefhos/DtoIBC/1yU4O2ggoQ0lRLk5ZU0U6V01ULklRX0xBU1RTQUxFUFJJQ0UuMTIvMzEvMjAyMAEAAADfxgQAAgAAAAYxNDQuMTUAV5+Giz8O2ggEL/XJTg7aCCRDSVEuTllTRTpXTVQuSVFfTUFSS0VUQ0FQLjEyLzMxLzIwMjEBAAAA38YEAAIAAAANNDAxMzUyLjQ3NDA4OAEGAAAABQAAAAExAQAAAAstMjExODE0ODc2NAMAAAADMTYwAgAAAAYxMDAwNTQEAAAAATAHAAAACjEyLzMxLzIwMjFXn4aLPw7aCPB09MlODtoIKUNJUS5OQVNEQVFHUzpDT1NULklRX01BUktFVENBUC4xMi8zMS8yMDIxAQAAAJFqAQACAAAADTI1MTczNi42MjIzMDIBBgAAAAUAAAABMQEAAAALLTIxMTY1NDkxMDgDAAAAAzE2MAIAAAAGMTAwMDU0BAAAAAEwBwAAAAoxMi8zMS8yMDIxV5+Giz8O2girNGLLTg7aCCNDSVEuTkFTREFRR1M6Q09TVC5JUV9URVYuMTIvMzEvMjAyMQEAAACRagEAAgAAAA0yNDg5MTIuNjIyMzAyAQYAAAAFAAAAATEBAAAACy0y</t>
  </si>
  <si>
    <t>MTE2NTQ5MTA4AwAAAAMxNjACAAAABjEwMDA2MAQAAAABMAcAAAAKMTIvMzEvMjAyMVefhos/DtoI0oJiy04O2ggeQ0lRLk5ZU0U6V01ULklRX1RFVi4xMi8zMS8yMDIxAQAAAN/GBAACAAAADTQ1MjIwMi40NzQwODgBBgAAAAUAAAABMQEAAAALLTIxMTgxNDg3NjQDAAAAAzE2MAIAAAAGMTAwMDYwBAAAAAEwBwAAAAoxMi8zMS8yMDIxV5+Giz8O2gg8WPXJTg7aCChDSVEuTkFTREFRR1M6Q09TVC5JUV9URVYuMy8zMS8yMDE3LlVTRC5IAQAAAJFqAQACAAAACjcyOTg0Ljg0ODYBBgAAAAUAAAABMQEAAAAKMTgzMTMyMTI1NAMAAAADMTYwAgAAAAYxMDAwNjAEAAAAATAHAAAACTMvMzEvMjAxN1efhos/DtoIFM5dy04O2ggnQ0lRLk5BU0RBUUdTOkNPU1QuSVFfVEVWLjQvNy8yMDE3LlVTRC5IAQAAAJFqAQACAAAACjc0MjcwLjk0MjgBBgAAAAUAAAABMQEAAAAKMTgzMTMyMTI1NAMAAAADMTYwAgAAAAYxMDAwNjAEAAAAATAHAAAACDQvNy8yMDE3V5+Giz8O2ggUzl3LTg7aCChDSVEuTkFTREFRR1M6Q09TVC5JUV9URVYuNC8xNC8yMDE3LlVTRC5IAQAAAJFqAQACAAAACjczNDg5LjYyOTYBBgAAAAUAAAABMQEAAAAKMTgzMTMyMTI1NAMAAAADMTYwAgAAAAYxMDAwNjAEAAAAATAHAAAACTQvMTQvMjAxN1efhos/DtoIFM5dy04O2ggoQ0lRLk5BU0RBUUdTOkNPU1QuSVFfVEVWLjQvMjEvMjAxNy5VU0QuSAEA</t>
  </si>
  <si>
    <t>AACRagEAAgAAAAo3NDMzNi43ODM4AQYAAAAFAAAAATEBAAAACjE4MzEzMjEyNTQDAAAAAzE2MAIAAAAGMTAwMDYwBAAAAAEwBwAAAAk0LzIxLzIwMTdXn4aLPw7aCBTOXctODtoIKENJUS5OQVNEQVFHUzpDT1NULklRX1RFVi40LzI4LzIwMTcuVVNELkgBAAAAkWoBAAIAAAAKNzcyOTkuNjI4OAEGAAAABQAAAAExAQAAAAoxODMxMzIxMjU0AwAAAAMxNjACAAAABjEwMDA2MAQAAAABMAcAAAAJNC8yOC8yMDE3V5+Giz8O2ggUzl3LTg7aCCdDSVEuTkFTREFRR1M6Q09TVC5JUV9URVYuNS81LzIwMTcuVVNELkgBAAAAkWoBAAIAAAAJNzg0NzUuOTg4AQYAAAAFAAAAATEBAAAACjE4MzEzMjEyNTQDAAAAAzE2MAIAAAAGMTAwMDYwBAAAAAEwBwAAAAg1LzUvMjAxN1efhos/DtoIFM5dy04O2ggoQ0lRLk5BU0RBUUdTOkNPU1QuSVFfVEVWLjUvMTIvMjAxNy5VU0QuSAEAAACRagEAAgAAAAo3NDM4NS4wNjcyAQYAAAAFAAAAATEBAAAACjE4MzEzMjEyNTQDAAAAAzE2MAIAAAAGMTAwMDYwBAAAAAEwBwAAAAk1LzEyLzIwMTdXn4aLPw7aCBTOXctODtoIKENJUS5OQVNEQVFHUzpDT1NULklRX1RFVi41LzE5LzIwMTcuVVNELkgBAAAAkWoBAAIAAAAKNzQ3MTguNjYxNgEGAAAABQAAAAExAQAAAAoxODMxMzIxMjU0AwAAAAMxNjACAAAABjEwMDA2MAQAAAABMAcAAAAJNS8xOS8yMDE3V5+Giz8O2ggUzl3LTg7aCChD</t>
  </si>
  <si>
    <t>SVEuTkFTREFRR1M6Q09TVC5JUV9URVYuNS8yNi8yMDE3LlVTRC5IAQAAAJFqAQACAAAACzc2NTY0LjQ0Njk0AQYAAAAFAAAAATEBAAAACjE4NDQzMTcxNTgDAAAAAzE2MAIAAAAGMTAwMDYwBAAAAAEwBwAAAAk1LzI2LzIwMTdXn4aLPw7aCP6mXctODtoIJ0NJUS5OQVNEQVFHUzpDT1NULklRX1RFVi42LzIvMjAxNy5VU0QuSAEAAACRagEAAgAAAAw3NzkxMy4yMzY3MzkBBgAAAAUAAAABMQEAAAAKMTg0NTU0NTAzNAMAAAADMTYwAgAAAAYxMDAwNjAEAAAAATAHAAAACDYvMi8yMDE3V5+Giz8O2gj+pl3LTg7aCCdDSVEuTkFTREFRR1M6Q09TVC5JUV9URVYuNi85LzIwMTcuVVNELkgBAAAAkWoBAAIAAAAKNzc2NTMuODY0MgEGAAAABQAAAAExAQAAAAoxODQ1NTQ1MDM0AwAAAAMxNjACAAAABjEwMDA2MAQAAAABMAcAAAAINi85LzIwMTdXn4aLPw7aCP6mXctODtoIKENJUS5OQVNEQVFHUzpDT1NULklRX1RFVi42LzE2LzIwMTcuVVNELkgBAAAAkWoBAAIAAAAKNzE4MzMuNzc0OQEGAAAABQAAAAExAQAAAAoxODQ1NTQ1MDM0AwAAAAMxNjACAAAABjEwMDA2MAQAAAABMAcAAAAJNi8xNi8yMDE3V5+Giz8O2gj+pl3LTg7aCChDSVEuTkFTREFRR1M6Q09TVC5JUV9URVYuNi8yMy8yMDE3LlVTRC5IAQAAAJFqAQACAAAACjY3NDU2LjY0NjcBBgAAAAUAAAABMQEAAAAKMTg0NTU0NTAzNAMAAAADMTYwAgAAAAYx</t>
  </si>
  <si>
    <t>MDAwNjAEAAAAATAHAAAACTYvMjMvMjAxN1efhos/DtoI/qZdy04O2ggoQ0lRLk5BU0RBUUdTOkNPU1QuSVFfVEVWLjYvMzAvMjAxNy5VU0QuSAEAAACRagEAAgAAAAo2ODY4NC42OTg3AQYAAAAFAAAAATEBAAAACjE4NDU1NDUwMzQDAAAAAzE2MAIAAAAGMTAwMDYwBAAAAAEwBwAAAAk2LzMwLzIwMTdXn4aLPw7aCP6mXctODtoIJ0NJUS5OQVNEQVFHUzpDT1NULklRX1RFVi43LzcvMjAxNy5VU0QuSAEAAACRagEAAgAAAAo2NjEzMi4xMDQ5AQYAAAAFAAAAATEBAAAACjE4NDU1NDUwMzQDAAAAAzE2MAIAAAAGMTAwMDYwBAAAAAEwBwAAAAg3LzcvMjAxN1efhos/DtoI/qZdy04O2ggoQ0lRLk5BU0RBUUdTOkNPU1QuSVFfVEVWLjcvMTQvMjAxNy5VU0QuSAEAAACRagEAAgAAAAg2NTY0NS4yNwEGAAAABQAAAAExAQAAAAoxODQ1NTQ1MDM0AwAAAAMxNjACAAAABjEwMDA2MAQAAAABMAcAAAAJNy8xNC8yMDE3V5+Giz8O2gj+pl3LTg7aCChDSVEuTkFTREFRR1M6Q09TVC5JUV9URVYuNy8yMS8yMDE3LlVTRC5IAQAAAJFqAQACAAAACjY0NTIyLjQ3OTYBBgAAAAUAAAABMQEAAAAKMTg0NTU0NTAzNAMAAAADMTYwAgAAAAYxMDAwNjAEAAAAATAHAAAACTcvMjEvMjAxN1efhos/DtoI/qZdy04O2ggoQ0lRLk5BU0RBUUdTOkNPU1QuSVFfVEVWLjcvMjgvMjAxNy5VU0QuSAEAAACRagEAAgAAAAo2NTU5Ny4wMjUx</t>
  </si>
  <si>
    <t>AQYAAAAFAAAAATEBAAAACjE4NDU1NDUwMzQDAAAAAzE2MAIAAAAGMTAwMDYwBAAAAAEwBwAAAAk3LzI4LzIwMTdXn4aLPw7aCP6mXctODtoIJ0NJUS5OQVNEQVFHUzpDT1NULklRX1RFVi44LzQvMjAxNy5VU0QuSAEAAACRagEAAgAAAAo2NzE1NC4wMTk2AQYAAAAFAAAAATEBAAAACjE4NDU1NDUwMzQDAAAAAzE2MAIAAAAGMTAwMDYwBAAAAAEwBwAAAAg4LzQvMjAxN1efhos/DtoI/qZdy04O2ggoQ0lRLk5BU0RBUUdTOkNPU1QuSVFfVEVWLjgvMTEvMjAxNy5VU0QuSAEAAACRagEAAgAAAAo2NzI0Ni4xMjM1AQYAAAAFAAAAATEBAAAACjE4NDU1NDUwMzQDAAAAAzE2MAIAAAAGMTAwMDYwBAAAAAEwBwAAAAk4LzExLzIwMTdXn4aLPw7aCP6mXctODtoIKENJUS5OQVNEQVFHUzpDT1NULklRX1RFVi44LzE4LzIwMTcuVVNELkgBAAAAkWoBAAIAAAAKNjc0MzQuNzE3MgEGAAAABQAAAAExAQAAAAoxODQ1NTQ1MDM0AwAAAAMxNjACAAAABjEwMDA2MAQAAAABMAcAAAAJOC8xOC8yMDE3V5+Giz8O2gj+pl3LTg7aCChDSVEuTkFTREFRR1M6Q09TVC5JUV9URVYuOC8yNS8yMDE3LlVTRC5IAQAAAJFqAQACAAAACjY1NDA0LjA0NTUBBgAAAAUAAAABMQEAAAAKMTg0NTU0NTAzNAMAAAADMTYwAgAAAAYxMDAwNjAEAAAAATAHAAAACTgvMjUvMjAxN1efhos/DtoI7n9dy04O2ggnQ0lRLk5BU0RBUUdTOkNPU1QuSVFf</t>
  </si>
  <si>
    <t>VEVWLjkvMS8yMDE3LlVTRC5IAQAAAJFqAQACAAAACjY3OTQzLjQ4MTYBBgAAAAUAAAABMQEAAAAKMTg0NTU0NTAzNAMAAAADMTYwAgAAAAYxMDAwNjAEAAAAATAHAAAACDkvMS8yMDE3V5+Giz8O2gjuf13LTg7aCCdDSVEuTkFTREFRR1M6Q09TVC5JUV9URVYuOS84LzIwMTcuVVNELkgBAAAAkWoBAAIAAAAKNjc1MzUuNTkyOQEGAAAABQAAAAExAQAAAAoxODQ1NTQ1MDM0AwAAAAMxNjACAAAABjEwMDA2MAQAAAABMAcAAAAIOS84LzIwMTdXn4aLPw7aCO5/XctODtoIKENJUS5OQVNEQVFHUzpDT1NULklRX1RFVi45LzE1LzIwMTcuVVNELkgBAAAAkWoBAAIAAAAJNjk3MjQuMTU3AQYAAAAFAAAAATEBAAAACjE4NDU1NDUwMzQDAAAAAzE2MAIAAAAGMTAwMDYwBAAAAAEwBwAAAAk5LzE1LzIwMTdXn4aLPw7aCO5/XctODtoIKENJUS5OQVNEQVFHUzpDT1NULklRX1RFVi45LzIyLzIwMTcuVVNELkgBAAAAkWoBAAIAAAAKNjkyODEuMTgxMQEGAAAABQAAAAExAQAAAAoxODQ1NTQ1MDM0AwAAAAMxNjACAAAABjEwMDA2MAQAAAABMAcAAAAJOS8yMi8yMDE3V5+Giz8O2gjuf13LTg7aCChDSVEuTkFTREFRR1M6Q09TVC5JUV9URVYuOS8yOS8yMDE3LlVTRC5IAQAAAJFqAQACAAAACjcwNTk2Ljk1MTEBBgAAAAUAAAABMQEAAAAKMTg0NTU0NTAzNAMAAAADMTYwAgAAAAYxMDAwNjAEAAAAATAHAAAACTkvMjkvMjAx</t>
  </si>
  <si>
    <t>N1efhos/DtoI7n9dy04O2ggoQ0lRLk5BU0RBUUdTOkNPU1QuSVFfVEVWLjEwLzYvMjAxNy5VU0QuSAEAAACRagEAAgAAAAs2OTg2MS4zNzYzNgEGAAAABQAAAAExAQAAAAoxODYxODMyMjQ1AwAAAAMxNjACAAAABjEwMDA2MAQAAAABMAcAAAAJMTAvNi8yMDE3V5+Giz8O2gjuf13LTg7aCClDSVEuTkFTREFRR1M6Q09TVC5JUV9URVYuMTAvMTMvMjAxNy5VU0QuSAEAAACRagEAAgAAAAo3MTA2OC4wNTk0AQYAAAAFAAAAATEBAAAACjE4NjE4MzIyNDUDAAAAAzE2MAIAAAAGMTAwMDYwBAAAAAEwBwAAAAoxMC8xMy8yMDE3V5+Giz8O2gjuf13LTg7aCClDSVEuTkFTREFRR1M6Q09TVC5JUV9URVYuMTAvMjAvMjAxNy5VU0QuSAEAAACRagEAAgAAAAw3MTgxNS44MTg5NTYBBgAAAAUAAAABMQEAAAAKMTg2MTk1MjIzNAMAAAADMTYwAgAAAAYxMDAwNjAEAAAAATAHAAAACjEwLzIwLzIwMTdXn4aLPw7aCO5/XctODtoIKUNJUS5OQVNEQVFHUzpDT1NULklRX1RFVi4xMC8yNy8yMDE3LlVTRC5IAQAAAJFqAQACAAAADDcyNTE5LjM3MjIyMgEGAAAABQAAAAExAQAAAAoxODYxOTUyMjM0AwAAAAMxNjACAAAABjEwMDA2MAQAAAABMAcAAAAKMTAvMjcvMjAxN1efhos/DtoI7n9dy04O2ggoQ0lRLk5BU0RBUUdTOkNPU1QuSVFfVEVWLjExLzMvMjAxNy5VU0QuSAEAAACRagEAAgAAAAw3NDI5My41NTAwMjIBBgAAAAUA</t>
  </si>
  <si>
    <t>AAABMQEAAAAKMTg2MTk1MjIzNAMAAAADMTYwAgAAAAYxMDAwNjAEAAAAATAHAAAACTExLzMvMjAxN1efhos/DtoI7n9dy04O2ggpQ0lRLk5BU0RBUUdTOkNPU1QuSVFfVEVWLjExLzEwLzIwMTcuVVNELkgBAAAAkWoBAAIAAAAMNzY0NDMuNTM4ODg0AQYAAAAFAAAAATEBAAAACjE4NjE5NTIyMzQDAAAAAzE2MAIAAAAGMTAwMDYwBAAAAAEwBwAAAAoxMS8xMC8yMDE3V5+Giz8O2gjuf13LTg7aCClDSVEuTkFTREFRR1M6Q09TVC5JUV9URVYuMTEvMTcvMjAxNy5VU0QuSAEAAACRagEAAgAAAAw3NjI3Ny40ODI4MzMBBgAAAAUAAAABMQEAAAAKMTg2MTk1MjIzNAMAAAADMTYwAgAAAAYxMDAwNjAEAAAAATAHAAAACjExLzE3LzIwMTdXn4aLPw7aCO5/XctODtoIKUNJUS5OQVNEQVFHUzpDT1NULklRX1RFVi4xMS8yNC8yMDE3LlVTRC5IAQAAAJFqAQACAAAADDc2NTU3LjE1NjE4MQEGAAAABQAAAAExAQAAAAoxODYxOTUyMjM0AwAAAAMxNjACAAAABjEwMDA2MAQAAAABMAcAAAAKMTEvMjQvMjAxN1efhos/DtoI7n9dy04O2ggoQ0lRLk5BU0RBUUdTOkNPU1QuSVFfVEVWLjEyLzEvMjAxNy5VU0QuSAEAAACRagEAAgAAAAw4MjQ2MC44ODU3NTgBBgAAAAUAAAABMQEAAAAKMTg2MTk1MjIzNAMAAAADMTYwAgAAAAYxMDAwNjAEAAAAATAHAAAACTEyLzEvMjAxN1efhos/DtoI7n9dy04O2ggoQ0lRLk5BU0RBUUdT</t>
  </si>
  <si>
    <t>OkNPU1QuSVFfVEVWLjEyLzgvMjAxNy5VU0QuSAEAAACRagEAAgAAAAo4Mzc0NS42MzUyAQYAAAAFAAAAATEBAAAACjE4NjE5NTIyMzQDAAAAAzE2MAIAAAAGMTAwMDYwBAAAAAEwBwAAAAkxMi84LzIwMTdXn4aLPw7aCO5/XctODtoIKUNJUS5OQVNEQVFHUzpDT1NULklRX1RFVi4xMi8xNS8yMDE3LlVTRC5IAQAAAJFqAQACAAAACzg0NTE1LjEyNTA1AQYAAAAFAAAAATEBAAAACjE4Njk3MjA1MjgDAAAAAzE2MAIAAAAGMTAwMDYwBAAAAAEwBwAAAAoxMi8xNS8yMDE3V5+Giz8O2gjuf13LTg7aCClDSVEuTkFTREFRR1M6Q09TVC5JUV9URVYuMTIvMjIvMjAxNy5VU0QuSAEAAACRagEAAgAAAAw4MTgyMS4zMjg3MDQBBgAAAAUAAAABMQEAAAAKMTg3MDE5MDExNwMAAAADMTYwAgAAAAYxMDAwNjAEAAAAATAHAAAACjEyLzIyLzIwMTdXn4aLPw7aCO5/XctODtoIKUNJUS5OQVNEQVFHUzpDT1NULklRX1RFVi4xMi8yOS8yMDE3LlVTRC5IAQAAAJFqAQACAAAACzgxNTk3LjM4NDcxAQYAAAAFAAAAATEBAAAACjE4NzAxOTAxMTcDAAAAAzE2MAIAAAAGMTAwMDYwBAAAAAEwBwAAAAoxMi8yOS8yMDE3V5+Giz8O2gi7e13LTg7aCCdDSVEuTkFTREFRR1M6Q09TVC5JUV9URVYuMS81LzIwMTguVVNELkgBAAAAkWoBAAIAAAALODIzMTMuMTI3MjgBBgAAAAUAAAABMQEAAAAKMTg3MDE5MDExNwMAAAADMTYwAgAAAAYx</t>
  </si>
  <si>
    <t>MDAwNjAEAAAAATAHAAAACDEvNS8yMDE4V5+Giz8O2gi7e13LTg7aCChDSVEuTkFTREFRR1M6Q09TVC5JUV9URVYuMS8xMi8yMDE4LlVTRC5IAQAAAJFqAQACAAAADDg0MTA5LjA3MDI5MgEGAAAABQAAAAExAQAAAAoxODcwMTkwMTE3AwAAAAMxNjACAAAABjEwMDA2MAQAAAABMAcAAAAJMS8xMi8yMDE4V5+Giz8O2ggVeF3LTg7aCChDSVEuTkFTREFRR1M6Q09TVC5JUV9URVYuMS8xOS8yMDE4LlVTRC5IAQAAAJFqAQACAAAADDg0MzA2LjY2NzkzNAEGAAAABQAAAAExAQAAAAoxODcwMTkwMTE3AwAAAAMxNjACAAAABjEwMDA2MAQAAAABMAcAAAAJMS8xOS8yMDE4ZMSGiz8O2ggCUV3LTg7aCChDSVEuTkFTREFRR1M6Q09TVC5JUV9URVYuMS8yNi8yMDE4LlVTRC5IAQAAAJFqAQACAAAACjg3MjEzLjU0ODgBBgAAAAUAAAABMQEAAAAKMTg3MDE5MDExNwMAAAADMTYwAgAAAAYxMDAwNjAEAAAAATAHAAAACTEvMjYvMjAxOGTEhos/DtoIAlFdy04O2ggnQ0lRLk5BU0RBUUdTOkNPU1QuSVFfVEVWLjIvMi8yMDE4LlVTRC5IAQAAAJFqAQACAAAADDgzNzM1LjgzMDMwMgEGAAAABQAAAAExAQAAAAoxODcwMTkwMTE3AwAAAAMxNjACAAAABjEwMDA2MAQAAAABMAcAAAAIMi8yLzIwMThkxIaLPw7aCAJRXctODtoIJ0NJUS5OQVNEQVFHUzpDT1NULklRX1RFVi4yLzkvMjAxOC5VU0QuSAEAAACRagEAAgAAAAw3OTIy</t>
  </si>
  <si>
    <t>Ni4yMTMwMDcBBgAAAAUAAAABMQEAAAAKMTg3MDE5MDExNwMAAAADMTYwAgAAAAYxMDAwNjAEAAAAATAHAAAACDIvOS8yMDE4ZMSGiz8O2ggCUV3LTg7aCChDSVEuTkFTREFRR1M6Q09TVC5JUV9URVYuMi8xNi8yMDE4LlVTRC5IAQAAAJFqAQACAAAADDgzOTg2LjEyMDY0OAEGAAAABQAAAAExAQAAAAoxODcwMTkwMTE3AwAAAAMxNjACAAAABjEwMDA2MAQAAAABMAcAAAAJMi8xNi8yMDE4ZMSGiz8O2ggCUV3LTg7aCChDSVEuTkFTREFRR1M6Q09TVC5JUV9URVYuMi8yMy8yMDE4LlVTRC5IAQAAAJFqAQACAAAADDgzMjE3LjY4NTM3NAEGAAAABQAAAAExAQAAAAoxODcwMTkwMTE3AwAAAAMxNjACAAAABjEwMDA2MAQAAAABMAcAAAAJMi8yMy8yMDE4ZMSGiz8O2ggCUV3LTg7aCCdDSVEuTkFTREFRR1M6Q09TVC5JUV9URVYuMy8yLzIwMTguVVNELkgBAAAAkWoBAAIAAAAMODMwMDYuOTE0NTU2AQYAAAAFAAAAATEBAAAACjE4NzAxOTAxMTcDAAAAAzE2MAIAAAAGMTAwMDYwBAAAAAEwBwAAAAgzLzIvMjAxOGTEhos/DtoIAlFdy04O2ggnQ0lRLk5BU0RBUUdTOkNPU1QuSVFfVEVWLjMvOS8yMDE4LlVTRC5IAQAAAJFqAQACAAAACzgzNzM4LjU1NjE0AQYAAAAFAAAAATEBAAAACjE4NzczMTY0NTQDAAAAAzE2MAIAAAAGMTAwMDYwBAAAAAEwBwAAAAgzLzkvMjAxOGTEhos/DtoIAlFdy04O2ggoQ0lRLk5BU0RB</t>
  </si>
  <si>
    <t>UUdTOkNPU1QuSVFfVEVWLjMvMTYvMjAxOC5VU0QuSAEAAACRagEAAgAAAAw4MjUzNy41MjM5NTYBBgAAAAUAAAABMQEAAAAKMTg3ODQ4MjQ2NAMAAAADMTYwAgAAAAYxMDAwNjAEAAAAATAHAAAACTMvMTYvMjAxOGTEhos/DtoIAlFdy04O2ggoQ0lRLk5BU0RBUUdTOkNPU1QuSVFfVEVWLjMvMjMvMjAxOC5VU0QuSAEAAACRagEAAgAAAAw4MDMzMC4yNTc5ODgBBgAAAAUAAAABMQEAAAAKMTg3ODQ4MjQ2NAMAAAADMTYwAgAAAAYxMDAwNjAEAAAAATAHAAAACTMvMjMvMjAxOGTEhos/DtoIAlFdy04O2ggoQ0lRLk5BU0RBUUdTOkNPU1QuSVFfVEVWLjMvMzAvMjAxOC5VU0QuSAEAAACRagEAAgAAAAw4MzY2MC45MDM4NTIBBgAAAAUAAAABMQEAAAAKMTg3ODQ4MjQ2NAMAAAADMTYwAgAAAAYxMDAwNjAEAAAAATAHAAAACTMvMzAvMjAxOGTEhos/DtoIAlFdy04O2ggnQ0lRLk5BU0RBUUdTOkNPU1QuSVFfVEVWLjQvNi8yMDE4LlVTRC5IAQAAAJFqAQACAAAADDgxNjk5LjM3NzIzNwEGAAAABQAAAAExAQAAAAoxODc4NDgyNDY0AwAAAAMxNjACAAAABjEwMDA2MAQAAAABMAcAAAAINC82LzIwMThkxIaLPw7aCAJRXctODtoIKENJUS5OQVNEQVFHUzpDT1NULklRX1RFVi40LzEzLzIwMTguVVNELkgBAAAAkWoBAAIAAAAMODM4NzEuNTM3NTgzAQYAAAAFAAAAATEBAAAACjE4Nzg0ODI0NjQDAAAAAzE2MAIAAAAG</t>
  </si>
  <si>
    <t>MTAwMDYwBAAAAAEwBwAAAAk0LzEzLzIwMThkxIaLPw7aCAJRXctODtoIKENJUS5OQVNEQVFHUzpDT1NULklRX1RFVi40LzIwLzIwMTguVVNELkgBAAAAkWoBAAIAAAAMODU5MTIuMDUxODQ4AQYAAAAFAAAAATEBAAAACjE4Nzg0ODI0NjQDAAAAAzE2MAIAAAAGMTAwMDYwBAAAAAEwBwAAAAk0LzIwLzIwMThkxIaLPw7aCAJRXctODtoIKENJUS5OQVNEQVFHUzpDT1NULklRX1RFVi40LzI3LzIwMTguVVNELkgBAAAAkWoBAAIAAAAMODcyMzcuMjg5MDY5AQYAAAAFAAAAATEBAAAACjE4Nzg0ODI0NjQDAAAAAzE2MAIAAAAGMTAwMDYwBAAAAAEwBwAAAAk0LzI3LzIwMThkxIaLPw7aCAJRXctODtoIJ0NJUS5OQVNEQVFHUzpDT1NULklRX1RFVi41LzQvMjAxOC5VU0QuSAEAAACRagEAAgAAAAw4NjYyNy4zMjg4OTEBBgAAAAUAAAABMQEAAAAKMTg3ODQ4MjQ2NAMAAAADMTYwAgAAAAYxMDAwNjAEAAAAATAHAAAACDUvNC8yMDE4ZMSGiz8O2ggCUV3LTg7aCChDSVEuTkFTREFRR1M6Q09TVC5JUV9URVYuNS8xMS8yMDE4LlVTRC5IAQAAAJFqAQACAAAADDg2ODc3LjQ1NjQ0NgEGAAAABQAAAAExAQAAAAoxODc4NDgyNDY0AwAAAAMxNjACAAAABjEwMDA2MAQAAAABMAcAAAAJNS8xMS8yMDE4ZMSGiz8O2ggCUV3LTg7aCChDSVEuTkFTREFRR1M6Q09TVC5JUV9URVYuNS8xOC8yMDE4LlVTRC5IAQAAAJFqAQACAAAA</t>
  </si>
  <si>
    <t>DDg4MjgxLjY4MTMxNwEGAAAABQAAAAExAQAAAAoxODc4NDgyNDY0AwAAAAMxNjACAAAABjEwMDA2MAQAAAABMAcAAAAJNS8xOC8yMDE4YcmGiz8O2ggCUV3LTg7aCChDSVEuTkFTREFRR1M6Q09TVC5JUV9URVYuNS8yNS8yMDE4LlVTRC5IAQAAAJFqAQACAAAADDg4MDE4LjM4OTE1MwEGAAAABQAAAAExAQAAAAoxODc4NDgyNDY0AwAAAAMxNjACAAAABjEwMDA2MAQAAAABMAcAAAAJNS8yNS8yMDE4YcmGiz8O2gjzKV3LTg7aCCdDSVEuTkFTREFRR1M6Q09TVC5JUV9URVYuNi8xLzIwMTguVVNELkgBAAAAkWoBAAIAAAALODYyMTMuNjEyMjYBBgAAAAUAAAABMQEAAAAKMTg5MTk4NjY4NwMAAAADMTYwAgAAAAYxMDAwNjAEAAAAATAHAAAACDYvMS8yMDE4YcmGiz8O2gjzKV3LTg7aCCdDSVEuTkFTREFRR1M6Q09TVC5JUV9URVYuNi84LzIwMTguVVNELkgBAAAAkWoBAAIAAAAMODkxMDkuMjI1MDA1AQYAAAAFAAAAATEBAAAACjE4OTI4NTI4MDgDAAAAAzE2MAIAAAAGMTAwMDYwBAAAAAEwBwAAAAg2LzgvMjAxOGHJhos/DtoI8yldy04O2ggoQ0lRLk5BU0RBUUdTOkNPU1QuSVFfVEVWLjYvMTUvMjAxOC5VU0QuSAEAAACRagEAAgAAAAw5MDY3MC40MzI5MDIBBgAAAAUAAAABMQEAAAAKMTg5Mjg1MjgwOAMAAAADMTYwAgAAAAYxMDAwNjAEAAAAATAHAAAACTYvMTUvMjAxOGHJhos/DtoI8yldy04O2ggoQ0lR</t>
  </si>
  <si>
    <t>Lk5BU0RBUUdTOkNPU1QuSVFfVEVWLjYvMjIvMjAxOC5VU0QuSAEAAACRagEAAgAAAAw5MjMyOC4xMTk5MzgBBgAAAAUAAAABMQEAAAAKMTg5Mjg1MjgwOAMAAAADMTYwAgAAAAYxMDAwNjAEAAAAATAHAAAACTYvMjIvMjAxODHLhos/DtoI8yldy04O2ggoQ0lRLk5BU0RBUUdTOkNPU1QuSVFfVEVWLjYvMjkvMjAxOC5VU0QuSAEAAACRagEAAgAAAAw5MTM5OC40MTE4NjUBBgAAAAUAAAABMQEAAAAKMTg5Mjg1MjgwOAMAAAADMTYwAgAAAAYxMDAwNjAEAAAAATAHAAAACTYvMjkvMjAxODHLhos/DtoI8yldy04O2ggnQ0lRLk5BU0RBUUdTOkNPU1QuSVFfVEVWLjcvNi8yMDE4LlVTRC5IAQAAAJFqAQACAAAADDkxNjc5LjA3ODQ1MwEGAAAABQAAAAExAQAAAAoxODkyODUyODA4AwAAAAMxNjACAAAABjEwMDA2MAQAAAABMAcAAAAINy82LzIwMTgxy4aLPw7aCPMpXctODtoIKENJUS5OQVNEQVFHUzpDT1NULklRX1RFVi43LzEzLzIwMTguVVNELkgBAAAAkWoBAAIAAAAMOTQ3MTMuNzg1OTM3AQYAAAAFAAAAATEBAAAACjE4OTI4NTI4MDgDAAAAAzE2MAIAAAAGMTAwMDYwBAAAAAEwBwAAAAk3LzEzLzIwMTgxy4aLPw7aCPMpXctODtoIKENJUS5OQVNEQVFHUzpDT1NULklRX1RFVi43LzIwLzIwMTguVVNELkgBAAAAkWoBAAIAAAAMOTU2NTYuNjUwMjU3AQYAAAAFAAAAATEBAAAACjE4OTI4NTI4MDgDAAAAAzE2</t>
  </si>
  <si>
    <t>MAIAAAAGMTAwMDYwBAAAAAEwBwAAAAk3LzIwLzIwMTgxy4aLPw7aCPMpXctODtoIKENJUS5OQVNEQVFHUzpDT1NULklRX1RFVi43LzI3LzIwMTguVVNELkgBAAAAkWoBAAIAAAAMOTYwNzcuNjUwMTM5AQYAAAAFAAAAATEBAAAACjE4OTI4NTI4MDgDAAAAAzE2MAIAAAAGMTAwMDYwBAAAAAEwBwAAAAk3LzI3LzIwMTgxy4aLPw7aCPMpXctODtoIJ0NJUS5OQVNEQVFHUzpDT1NULklRX1RFVi44LzMvMjAxOC5VU0QuSAEAAACRagEAAgAAAAw5NzEyMS4zNzkwMTQBBgAAAAUAAAABMQEAAAAKMTg5Mjg1MjgwOAMAAAADMTYwAgAAAAYxMDAwNjAEAAAAATAHAAAACDgvMy8yMDE4McuGiz8O2gjzKV3LTg7aCChDSVEuTkFTREFRR1M6Q09TVC5JUV9URVYuOC8xMC8yMDE4LlVTRC5IAQAAAJFqAQACAAAADDk2MzY3LjA4NzU1OAEGAAAABQAAAAExAQAAAAoxODkyODUyODA4AwAAAAMxNjACAAAABjEwMDA2MAQAAAABMAcAAAAJOC8xMC8yMDE4McuGiz8O2gjzKV3LTg7aCChDSVEuTkFTREFRR1M6Q09TVC5JUV9URVYuOC8xNy8yMDE4LlVTRC5IAQAAAJFqAQACAAAADDk4NzIyLjA1NTY0OQEGAAAABQAAAAExAQAAAAoxODkyODUyODA4AwAAAAMxNjACAAAABjEwMDA2MAQAAAABMAcAAAAJOC8xNy8yMDE4McuGiz8O2gjzKV3LTg7aCChDSVEuTkFTREFRR1M6Q09TVC5JUV9URVYuOC8yNC8yMDE4LlVTRC5IAQAAAJFq</t>
  </si>
  <si>
    <t>AQACAAAADTEwMTE3Ny44ODgyOTYBBgAAAAUAAAABMQEAAAAKMTg5Mjg1MjgwOAMAAAADMTYwAgAAAAYxMDAwNjAEAAAAATAHAAAACTgvMjQvMjAxODHLhos/DtoI8yldy04O2ggoQ0lRLk5BU0RBUUdTOkNPU1QuSVFfVEVWLjgvMzEvMjAxOC5VU0QuSAEAAACRagEAAgAAAA0xMDE5ODkuMTkwMTUyAQYAAAAFAAAAATEBAAAACjE4OTI4NTI4MDgDAAAAAzE2MAIAAAAGMTAwMDYwBAAAAAEwBwAAAAk4LzMxLzIwMTgxy4aLPw7aCPMpXctODtoIJ0NJUS5OQVNEQVFHUzpDT1NULklRX1RFVi45LzcvMjAxOC5VU0QuSAEAAACRagEAAgAAAA0xMDU2NDIuMjQxMjE0AQYAAAAFAAAAATEBAAAACjE4OTI4NTI4MDgDAAAAAzE2MAIAAAAGMTAwMDYwBAAAAAEwBwAAAAg5LzcvMjAxODHLhos/DtoI8yldy04O2ggoQ0lRLk5BU0RBUUdTOkNPU1QuSVFfVEVWLjkvMTQvMjAxOC5VU0QuSAEAAACRagEAAgAAAA0xMDI5NzUuOTA4NjI2AQYAAAAFAAAAATEBAAAACjE4OTI4NTI4MDgDAAAAAzE2MAIAAAAGMTAwMDYwBAAAAAEwBwAAAAk5LzE0LzIwMTgxy4aLPw7aCPMpXctODtoIKENJUS5OQVNEQVFHUzpDT1NULklRX1RFVi45LzIxLzIwMTguVVNELkgBAAAAkWoBAAIAAAANMTAyNzA0LjAxMjg2OQEGAAAABQAAAAExAQAAAAoxODkyODUyODA4AwAAAAMxNjACAAAABjEwMDA2MAQAAAABMAcAAAAJOS8yMS8yMDE4McuGiz8O</t>
  </si>
  <si>
    <t>2gjzKV3LTg7aCChDSVEuTkFTREFRR1M6Q09TVC5JUV9URVYuOS8yOC8yMDE4LlVTRC5IAQAAAJFqAQACAAAADTEwMjc1Ni42Mzc4NTQBBgAAAAUAAAABMQEAAAAKMTg5Mjg1MjgwOAMAAAADMTYwAgAAAAYxMDAwNjAEAAAAATAHAAAACTkvMjgvMjAxODHLhos/DtoI4wJdy04O2ggoQ0lRLk5BU0RBUUdTOkNPU1QuSVFfVEVWLjEwLzUvMjAxOC5VU0QuSAEAAACRagEAAgAAAAs5NTQxNi41MTY5OAEGAAAABQAAAAExAQAAAAoxOTEzMTAwOTg0AwAAAAMxNjACAAAABjEwMDA2MAQAAAABMAcAAAAJMTAvNS8yMDE4McuGiz8O2gjjAl3LTg7aCClDSVEuTkFTREFRR1M6Q09TVC5JUV9URVYuMTAvMTIvMjAxOC5VU0QuSAEAAACRagEAAgAAAAs5ODk3OC45OTM1NQEGAAAABQAAAAExAQAAAAoxOTEzMTAwOTg0AwAAAAMxNjACAAAABjEwMDA2MAQAAAABMAcAAAAKMTAvMTIvMjAxODHLhos/DtoI4wJdy04O2ggpQ0lRLk5BU0RBUUdTOkNPU1QuSVFfVEVWLjEwLzE5LzIwMTguVVNELkgBAAAAkWoBAAIAAAAMMTAwMTcwLjg2NzYzAQYAAAAFAAAAATEBAAAACjE5MTMxMDA5ODQDAAAAAzE2MAIAAAAGMTAwMDYwBAAAAAEwBwAAAAoxMC8xOS8yMDE4McuGiz8O2gjjAl3LTg7aCClDSVEuTkFTREFRR1M6Q09TVC5JUV9URVYuMTAvMjYvMjAxOC5VU0QuSAEAAACRagEAAgAAAAw5NTYzMS42ODU1NTkBBgAAAAUAAAABMQEA</t>
  </si>
  <si>
    <t>AAAKMTkxNjA1NjU1NAMAAAADMTYwAgAAAAYxMDAwNjAEAAAAATAHAAAACjEwLzI2LzIwMTgxy4aLPw7aCOMCXctODtoIKENJUS5OQVNEQVFHUzpDT1NULklRX1RFVi4xMS8yLzIwMTguVVNELkgBAAAAkWoBAAIAAAAMMTAwODc3LjAzOTgyAQYAAAAFAAAAATEBAAAACjE5MTYwNTY1NTQDAAAAAzE2MAIAAAAGMTAwMDYwBAAAAAEwBwAAAAkxMS8yLzIwMTgxy4aLPw7aCOMCXctODtoIKENJUS5OQVNEQVFHUzpDT1NULklRX1RFVi4xMS85LzIwMTguVVNELkgBAAAAkWoBAAIAAAAMMTA0MTk4LjY1OTMxAQYAAAAFAAAAATEBAAAACjE5MTYwNTY1NTQDAAAAAzE2MAIAAAAGMTAwMDYwBAAAAAEwBwAAAAkxMS85LzIwMTgxy4aLPw7aCOMCXctODtoIKUNJUS5OQVNEQVFHUzpDT1NULklRX1RFVi4xMS8xNi8yMDE4LlVTRC5IAQAAAJFqAQACAAAADTEwMTI1My44OTkwMjMBBgAAAAUAAAABMQEAAAAKMTkxNjA1NjU1NAMAAAADMTYwAgAAAAYxMDAwNjAEAAAAATAHAAAACjExLzE2LzIwMTgxy4aLPw7aCOMCXctODtoIKUNJUS5OQVNEQVFHUzpDT1NULklRX1RFVi4xMS8yMy8yMDE4LlVTRC5IAQAAAJFqAQACAAAADDk2NDUxLjEzNTIyMgEGAAAABQAAAAExAQAAAAoxOTE2MDU2NTU0AwAAAAMxNjACAAAABjEwMDA2MAQAAAABMAcAAAAKMTEvMjMvMjAxODHLhos/DtoI4wJdy04O2ggpQ0lRLk5BU0RBUUdTOkNPU1Qu</t>
  </si>
  <si>
    <t>SVFfVEVWLjExLzMwLzIwMTguVVNELkgBAAAAkWoBAAIAAAANMTAxMzY3LjgzMzIwMQEGAAAABQAAAAExAQAAAAoxOTE2MDU2NTU0AwAAAAMxNjACAAAABjEwMDA2MAQAAAABMAcAAAAKMTEvMzAvMjAxODHLhos/DtoI4wJdy04O2ggoQ0lRLk5BU0RBUUdTOkNPU1QuSVFfVEVWLjEyLzcvMjAxOC5VU0QuSAEAAACRagEAAgAAAAw5ODU1NC41MzU0MjcBBgAAAAUAAAABMQEAAAAKMTkxNjA1NjU1NAMAAAADMTYwAgAAAAYxMDAwNjAEAAAAATAHAAAACTEyLzcvMjAxODHLhos/DtoI4wJdy04O2ggpQ0lRLk5BU0RBUUdTOkNPU1QuSVFfVEVWLjEyLzE0LzIwMTguVVNELkgBAAAAkWoBAAIAAAALOTAwNTguNDU0NzYBBgAAAAUAAAABMQEAAAAKMTkzNDE4NDk2OQMAAAADMTYwAgAAAAYxMDAwNjAEAAAAATAHAAAACjEyLzE0LzIwMTgxy4aLPw7aCOMCXctODtoIKUNJUS5OQVNEQVFHUzpDT1NULklRX1RFVi4xMi8yMS8yMDE4LlVTRC5IAQAAAJFqAQACAAAACzg0NTIzLjIwNzc4AQYAAAAFAAAAATEBAAAACjE5MzY3MjY0OTUDAAAAAzE2MAIAAAAGMTAwMDYwBAAAAAEwBwAAAAoxMi8yMS8yMDE4McuGiz8O2gjjAl3LTg7aCClDSVEuTkFTREFRR1M6Q09TVC5JUV9URVYuMTIvMjgvMjAxOC5VU0QuSAEAAACRagEAAgAAAAw4NzgzNS42OTYxNzUBBgAAAAUAAAABMQEAAAAKMTkzNjcyNjQ5NQMAAAADMTYwAgAAAAYx</t>
  </si>
  <si>
    <t>MDAwNjAEAAAAATAHAAAACjEyLzI4LzIwMTgxy4aLPw7aCOMCXctODtoIJ0NJUS5OQVNEQVFHUzpDT1NULklRX1RFVi4xLzQvMjAxOS5VU0QuSAEAAACRagEAAgAAAAw4OTY4NS43NTYxODIBBgAAAAUAAAABMQEAAAAKMTkzNjcyNjQ5NQMAAAADMTYwAgAAAAYxMDAwNjAEAAAAATAHAAAACDEvNC8yMDE5McuGiz8O2gjjAl3LTg7aCChDSVEuTkFTREFRR1M6Q09TVC5JUV9URVYuMS8xMS8yMDE5LlVTRC5IAQAAAJFqAQACAAAADDkxNTY2LjY1MDUyMwEGAAAABQAAAAExAQAAAAoxOTM2NzI2NDk1AwAAAAMxNjACAAAABjEwMDA2MAQAAAABMAcAAAAJMS8xMS8yMDE5McuGiz8O2gjjAl3LTg7aCChDSVEuTkFTREFRR1M6Q09TVC5JUV9URVYuMS8xOC8yMDE5LlVTRC5IAQAAAJFqAQACAAAADDkyOTIzLjM2MTE5NgEGAAAABQAAAAExAQAAAAoxOTM2NzI2NDk1AwAAAAMxNjACAAAABjEwMDA2MAQAAAABMAcAAAAJMS8xOC8yMDE5McuGiz8O2gjjAl3LTg7aCChDSVEuTkFTREFRR1M6Q09TVC5JUV9URVYuMS8yNS8yMDE5LlVTRC5IAQAAAJFqAQACAAAADDkwOTMyLjM0NDIzNQEGAAAABQAAAAExAQAAAAoxOTM2NzI2NDk1AwAAAAMxNjACAAAABjEwMDA2MAQAAAABMAcAAAAJMS8yNS8yMDE5McuGiz8O2gjU21zLTg7aCCdDSVEuTkFTREFRR1M6Q09TVC5JUV9URVYuMi8xLzIwMTkuVVNELkgBAAAAkWoBAAIAAAAM</t>
  </si>
  <si>
    <t>OTE0NjAuOTMyODA5AQYAAAAFAAAAATEBAAAACjE5MzY3MjY0OTUDAAAAAzE2MAIAAAAGMTAwMDYwBAAAAAEwBwAAAAgyLzEvMjAxOTHLhos/DtoI1Ntcy04O2ggnQ0lRLk5BU0RBUUdTOkNPU1QuSVFfVEVWLjIvOC8yMDE5LlVTRC5IAQAAAJFqAQACAAAADDkwMzUwLjg5NjgwNAEGAAAABQAAAAExAQAAAAoxOTM2NzI2NDk1AwAAAAMxNjACAAAABjEwMDA2MAQAAAABMAcAAAAIMi84LzIwMTkxy4aLPw7aCNTbXMtODtoIKENJUS5OQVNEQVFHUzpDT1NULklRX1RFVi4yLzE1LzIwMTkuVVNELkgBAAAAkWoBAAIAAAAMOTQxOTEuOTczNzcyAQYAAAAFAAAAATEBAAAACjE5MzY3MjY0OTUDAAAAAzE2MAIAAAAGMTAwMDYwBAAAAAEwBwAAAAkyLzE1LzIwMTkxy4aLPw7aCNTbXMtODtoIKENJUS5OQVNEQVFHUzpDT1NULklRX1RFVi4yLzIyLzIwMTkuVVNELkgBAAAAkWoBAAIAAAAMOTQxMTIuNjg1NDg2AQYAAAAFAAAAATEBAAAACjE5MzY3MjY0OTUDAAAAAzE2MAIAAAAGMTAwMDYwBAAAAAEwBwAAAAkyLzIyLzIwMTkxy4aLPw7aCNTbXMtODtoIJ0NJUS5OQVNEQVFHUzpDT1NULklRX1RFVi4zLzEvMjAxOS5VU0QuSAEAAACRagEAAgAAAAw5NTUwMC4yMzA0OTIBBgAAAAUAAAABMQEAAAAKMTkzNjcyNjQ5NQMAAAADMTYwAgAAAAYxMDAwNjAEAAAAATAHAAAACDMvMS8yMDE5McuGiz8O2gjU21zLTg7aCCdDSVEu</t>
  </si>
  <si>
    <t>TkFTREFRR1M6Q09TVC5JUV9URVYuMy84LzIwMTkuVVNELkgBAAAAkWoBAAIAAAALOTk5MzMuMjkzOTgBBgAAAAUAAAABMQEAAAAKMTk0ODYxMTg2OAMAAAADMTYwAgAAAAYxMDAwNjAEAAAAATAHAAAACDMvOC8yMDE5McuGiz8O2gjU21zLTg7aCChDSVEuTkFTREFRR1M6Q09TVC5JUV9URVYuMy8xNS8yMDE5LlVTRC5IAQAAAJFqAQACAAAADTEwMjQ1MS4wMjgwMzUBBgAAAAUAAAABMQEAAAAKMTk0OTQ5NTc4MQMAAAADMTYwAgAAAAYxMDAwNjAEAAAAATAHAAAACTMvMTUvMjAxOTHLhos/DtoI1Ntcy04O2ggoQ0lRLk5BU0RBUUdTOkNPU1QuSVFfVEVWLjMvMjIvMjAxOS5VU0QuSAEAAACRagEAAgAAAA0xMDQxOTIuOTUzODUyAQYAAAAFAAAAATEBAAAACjE5NDk0OTU3ODEDAAAAAzE2MAIAAAAGMTAwMDYwBAAAAAEwBwAAAAkzLzIyLzIwMTkxy4aLPw7aCNTbXMtODtoIKENJUS5OQVNEQVFHUzpDT1NULklRX1RFVi4zLzI5LzIwMTkuVVNELkgBAAAAkWoBAAIAAAANMTA2MjA3LjYwNTQyOQEGAAAABQAAAAExAQAAAAoxOTQ5NDk1NzgxAwAAAAMxNjACAAAABjEwMDA2MAQAAAABMAcAAAAJMy8yOS8yMDE5McuGiz8O2gjU21zLTg7aCCdDSVEuTkFTREFRR1M6Q09TVC5JUV9URVYuNC81LzIwMTkuVVNELkgBAAAAkWoBAAIAAAANMTA3ODQ4LjM1ODc4OAEGAAAABQAAAAExAQAAAAoxOTQ5NDk1NzgxAwAAAAMx</t>
  </si>
  <si>
    <t>NjACAAAABjEwMDA2MAQAAAABMAcAAAAINC81LzIwMTkxy4aLPw7aCNTbXMtODtoIKENJUS5OQVNEQVFHUzpDT1NULklRX1RFVi40LzEyLzIwMTkuVVNELkgBAAAAkWoBAAIAAAANMTA2MTI0LjAyODE4MQEGAAAABQAAAAExAQAAAAoxOTQ5NDk1NzgxAwAAAAMxNjACAAAABjEwMDA2MAQAAAABMAcAAAAJNC8xMi8yMDE5McuGiz8O2gjU21zLTg7aCChDSVEuTkFTREFRR1M6Q09TVC5JUV9URVYuNC8xOS8yMDE5LlVTRC5IAQAAAJFqAQACAAAADTEwNzgyMS45NjU5NzMBBgAAAAUAAAABMQEAAAAKMTk0OTQ5NTc4MQMAAAADMTYwAgAAAAYxMDAwNjAEAAAAATAHAAAACTQvMTkvMjAxOTHLhos/DtoI1Ntcy04O2ggoQ0lRLk5BU0RBUUdTOkNPU1QuSVFfVEVWLjQvMjYvMjAxOS5VU0QuSAEAAACRagEAAgAAAA0xMDY5NDYuNjA0MjYxAQYAAAAFAAAAATEBAAAACjE5NDk0OTU3ODEDAAAAAzE2MAIAAAAGMTAwMDYwBAAAAAEwBwAAAAk0LzI2LzIwMTkxy4aLPw7aCNTbXMtODtoIJ0NJUS5OQVNEQVFHUzpDT1NULklRX1RFVi41LzMvMjAxOS5VU0QuSAEAAACRagEAAgAAAA0xMDcyOTguNTA4NDY3AQYAAAAFAAAAATEBAAAACjE5NDk0OTU3ODEDAAAAAzE2MAIAAAAGMTAwMDYwBAAAAAEwBwAAAAg1LzMvMjAxOTHLhos/DtoI1Ntcy04O2ggoQ0lRLk5BU0RBUUdTOkNPU1QuSVFfVEVWLjUvMTAvMjAxOS5VU0QuSAEA</t>
  </si>
  <si>
    <t>AACRagEAAgAAAA0xMDgzNTQuMjIxMDg0AQYAAAAFAAAAATEBAAAACjE5NDk0OTU3ODEDAAAAAzE2MAIAAAAGMTAwMDYwBAAAAAEwBwAAAAk1LzEwLzIwMTkxy4aLPw7aCNTbXMtODtoIKENJUS5OQVNEQVFHUzpDT1NULklRX1RFVi41LzE3LzIwMTkuVVNELkgBAAAAkWoBAAIAAAANMTA4OTM5LjI2MTgyNQEGAAAABQAAAAExAQAAAAoxOTQ5NDk1NzgxAwAAAAMxNjACAAAABjEwMDA2MAQAAAABMAcAAAAJNS8xNy8yMDE5McuGiz8O2gjU21zLTg7aCChDSVEuTkFTREFRR1M6Q09TVC5JUV9URVYuNS8yNC8yMDE5LlVTRC5IAQAAAJFqAQACAAAADTEwODQ3Ny4zODc1NTYBBgAAAAUAAAABMQEAAAAKMTk0OTQ5NTc4MQMAAAADMTYwAgAAAAYxMDAwNjAEAAAAATAHAAAACTUvMjQvMjAxOTHLhos/DtoI1Ntcy04O2ggoQ0lRLk5BU0RBUUdTOkNPU1QuSVFfVEVWLjUvMzEvMjAxOS5VU0QuSAEAAACRagEAAgAAAAwxMDQwMzQuOTE5MzgBBgAAAAUAAAABMQEAAAAKMTk2NjQyNTI5MwMAAAADMTYwAgAAAAYxMDAwNjAEAAAAATAHAAAACTUvMzEvMjAxOTHLhos/DtoI0bRcy04O2ggnQ0lRLk5BU0RBUUdTOkNPU1QuSVFfVEVWLjYvNy8yMDE5LlVTRC5IAQAAAJFqAQACAAAADTExMTI1NS40Mjk1MDcBBgAAAAUAAAABMQEAAAAKMTk2NzUxNDY4NQMAAAADMTYwAgAAAAYxMDAwNjAEAAAAATAHAAAACDYvNy8yMDE5McuG</t>
  </si>
  <si>
    <t>iz8O2gjRtFzLTg7aCChDSVEuTkFTREFRR1M6Q09TVC5JUV9URVYuNi8xNC8yMDE5LlVTRC5IAQAAAJFqAQACAAAADTExMzA3Ni4xNTY3MzcBBgAAAAUAAAABMQEAAAAKMTk2NzUxNDY4NQMAAAADMTYwAgAAAAYxMDAwNjAEAAAAATAHAAAACTYvMTQvMjAxOTHLhos/DtoI0bRcy04O2ggoQ0lRLk5BU0RBUUdTOkNPU1QuSVFfVEVWLjYvMjEvMjAxOS5VU0QuSAEAAACRagEAAgAAAAwxMTU3MDYuMDk2MDcBBgAAAAUAAAABMQEAAAAKMTk2NzUxNDY4NQMAAAADMTYwAgAAAAYxMDAwNjAEAAAAATAHAAAACTYvMjEvMjAxOTHLhos/DtoI0bRcy04O2ggoQ0lRLk5BU0RBUUdTOkNPU1QuSVFfVEVWLjYvMjgvMjAxOS5VU0QuSAEAAACRagEAAgAAAA0xMTQ4ODMuNjkwMjkyAQYAAAAFAAAAATEBAAAACjE5Njc1MTQ2ODUDAAAAAzE2MAIAAAAGMTAwMDYwBAAAAAEwBwAAAAk2LzI4LzIwMTkxy4aLPw7aCNG0XMtODtoIJ0NJUS5OQVNEQVFHUzpDT1NULklRX1RFVi43LzUvMjAxOS5VU0QuSAEAAACRagEAAgAAAA0xMTY2MzguNDQ5MTQ0AQYAAAAFAAAAATEBAAAACjE5Njc1MTQ2ODUDAAAAAzE2MAIAAAAGMTAwMDYwBAAAAAEwBwAAAAg3LzUvMjAxOTHLhos/DtoI0bRcy04O2ggoQ0lRLk5BU0RBUUdTOkNPU1QuSVFfVEVWLjcvMTIvMjAxOS5VU0QuSAEAAACRagEAAgAAAA0xMjE1NTkuNjkwMTM1AQYAAAAFAAAAATEB</t>
  </si>
  <si>
    <t>AAAACjE5Njc1MTQ2ODUDAAAAAzE2MAIAAAAGMTAwMDYwBAAAAAEwBwAAAAk3LzEyLzIwMTkxy4aLPw7aCNG0XMtODtoIKENJUS5OQVNEQVFHUzpDT1NULklRX1RFVi43LzE5LzIwMTkuVVNELkgBAAAAkWoBAAIAAAAMMTIyNDcwLjA1Mzc1AQYAAAAFAAAAATEBAAAACjE5Njc1MTQ2ODUDAAAAAzE2MAIAAAAGMTAwMDYwBAAAAAEwBwAAAAk3LzE5LzIwMTkxy4aLPw7aCNG0XMtODtoIKENJUS5OQVNEQVFHUzpDT1NULklRX1RFVi43LzI2LzIwMTkuVVNELkgBAAAAkWoBAAIAAAANMTIyNDA4LjQ4MzI2NAEGAAAABQAAAAExAQAAAAoxOTY3NTE0Njg1AwAAAAMxNjACAAAABjEwMDA2MAQAAAABMAcAAAAJNy8yNi8yMDE5McuGiz8O2gjRtFzLTg7aCCdDSVEuTkFTREFRR1M6Q09TVC5JUV9URVYuOC8yLzIwMTkuVVNELkgBAAAAkWoBAAIAAAANMTE4NTA3LjU1MzE4NQEGAAAABQAAAAExAQAAAAoxOTY3NTE0Njg1AwAAAAMxNjACAAAABjEwMDA2MAQAAAABMAcAAAAIOC8yLzIwMTkxy4aLPw7aCNG0XMtODtoIJ0NJUS5OQVNEQVFHUzpDT1NULklRX1RFVi44LzkvMjAxOS5VU0QuSAEAAACRagEAAgAAAA0xMTkxNDAuODQ5NjEyAQYAAAAFAAAAATEBAAAACjE5Njc1MTQ2ODUDAAAAAzE2MAIAAAAGMTAwMDYwBAAAAAEwBwAAAAg4LzkvMjAxOTHLhos/DtoI0bRcy04O2ggoQ0lRLk5BU0RBUUdTOkNPU1QuSVFfVEVW</t>
  </si>
  <si>
    <t>LjgvMTYvMjAxOS5VU0QuSAEAAACRagEAAgAAAA0xMTkyMTEuMjE1ODgyAQYAAAAFAAAAATEBAAAACjE5Njc1MTQ2ODUDAAAAAzE2MAIAAAAGMTAwMDYwBAAAAAEwBwAAAAk4LzE2LzIwMTkxy4aLPw7aCNG0XMtODtoIKENJUS5OQVNEQVFHUzpDT1NULklRX1RFVi44LzIzLzIwMTkuVVNELkgBAAAAkWoBAAIAAAANMTE5MTcxLjYzNDg1NQEGAAAABQAAAAExAQAAAAoxOTY3NTE0Njg1AwAAAAMxNjACAAAABjEwMDA2MAQAAAABMAcAAAAJOC8yMy8yMDE5McuGiz8O2gjRtFzLTg7aCChDSVEuTkFTREFRR1M6Q09TVC5JUV9URVYuOC8zMC8yMDE5LlVTRC5IAQAAAJFqAQACAAAADTEyODI5Ny4yNjA0NjUBBgAAAAUAAAABMQEAAAAKMTk2NzUxNDY4NQMAAAADMTYwAgAAAAYxMDAwNjAEAAAAATAHAAAACTgvMzAvMjAxOTHLhos/DtoI0bRcy04O2ggnQ0lRLk5BU0RBUUdTOkNPU1QuSVFfVEVWLjkvNi8yMDE5LlVTRC5IAQAAAJFqAQACAAAADTEzMjI1NS4zNjMxMzkBBgAAAAUAAAABMQEAAAAKMTk2NzUxNDY4NQMAAAADMTYwAgAAAAYxMDAwNjAEAAAAATAHAAAACDkvNi8yMDE5McuGiz8O2gjRtFzLTg7aCChDSVEuTkFTREFRR1M6Q09TVC5JUV9URVYuOS8xMy8yMDE5LlVTRC5IAQAAAJFqAQACAAAADTEyNzAzOS40NjMzOTMBBgAAAAUAAAABMQEAAAAKMTk2NzUxNDY4NQMAAAADMTYwAgAAAAYxMDAwNjAEAAAA</t>
  </si>
  <si>
    <t>ATAHAAAACTkvMTMvMjAxOTHLhos/DtoI0bRcy04O2ggoQ0lRLk5BU0RBUUdTOkNPU1QuSVFfVEVWLjkvMjAvMjAxOS5VU0QuSAEAAACRagEAAgAAAA0xMjQ2MDMuMDMxMzAyAQYAAAAFAAAAATEBAAAACjE5Njc1MTQ2ODUDAAAAAzE2MAIAAAAGMTAwMDYwBAAAAAEwBwAAAAk5LzIwLzIwMTkxy4aLPw7aCNG0XMtODtoIKENJUS5OQVNEQVFHUzpDT1NULklRX1RFVi45LzI3LzIwMTkuVVNELkgBAAAAkWoBAAIAAAANMTI0NDIyLjcxNzczNgEGAAAABQAAAAExAQAAAAoxOTY3NTE0Njg1AwAAAAMxNjACAAAABjEwMDA2MAQAAAABMAcAAAAJOS8yNy8yMDE5McuGiz8O2gjRtFzLTg7aCChDSVEuTkFTREFRR1M6Q09TVC5JUV9URVYuMTAvNC8yMDE5LlVTRC5IAQAAAJFqAQACAAAADDEyNTk0NS40MjM3NQEGAAAABQAAAAExAQAAAAoxOTg2OTMzMDU0AwAAAAMxNjACAAAABjEwMDA2MAQAAAABMAcAAAAJMTAvNC8yMDE5McuGiz8O2gjKjVzLTg7aCClDSVEuTkFTREFRR1M6Q09TVC5JUV9URVYuMTAvMTEvMjAxOS5VU0QuSAEAAACRagEAAgAAAAgxMjg5NzMuNAEGAAAABQAAAAExAQAAAAoxOTg3MzgxMDEwAwAAAAMxNjACAAAABjEwMDA2MAQAAAABMAcAAAAKMTAvMTEvMjAxOTHLhos/DtoIyo1cy04O2ggpQ0lRLk5BU0RBUUdTOkNPU1QuSVFfVEVWLjEwLzE4LzIwMTkuVVNELkgBAAAAkWoBAAIAAAALMTMxMjg1</t>
  </si>
  <si>
    <t>LjgyNzUBBgAAAAUAAAABMQEAAAAKMTk4NzM4MTAxMAMAAAADMTYwAgAAAAYxMDAwNjAEAAAAATAHAAAACjEwLzE4LzIwMTkxy4aLPw7aCMqNXMtODtoIKUNJUS5OQVNEQVFHUzpDT1NULklRX1RFVi4xMC8yNS8yMDE5LlVTRC5IAQAAAJFqAQACAAAACzEyODQ4OS44MTI1AQYAAAAFAAAAATEBAAAACjE5ODczODEwMTADAAAAAzE2MAIAAAAGMTAwMDYwBAAAAAEwBwAAAAoxMC8yNS8yMDE5McuGiz8O2gjKjVzLTg7aCChDSVEuTkFTREFRR1M6Q09TVC5JUV9URVYuMTEvMS8yMDE5LlVTRC5IAQAAAJFqAQACAAAADDEyODMwOS41NjYyNQEGAAAABQAAAAExAQAAAAoxOTg3MzgxMDEwAwAAAAMxNjACAAAABjEwMDA2MAQAAAABMAcAAAAJMTEvMS8yMDE50d6Giz8O2gjKjVzLTg7aCChDSVEuTkFTREFRR1M6Q09TVC5JUV9URVYuMTEvOC8yMDE5LlVTRC5IAQAAAJFqAQACAAAACzEzMTE4MC4zMTc1AQYAAAAFAAAAATEBAAAACjE5ODczODEwMTADAAAAAzE2MAIAAAAGMTAwMDYwBAAAAAEwBwAAAAkxMS84LzIwMTnR3oaLPw7aCMqNXMtODtoIKUNJUS5OQVNEQVFHUzpDT1NULklRX1RFVi4xMS8xNS8yMDE5LlVTRC5IAQAAAJFqAQACAAAACzEzMTYzNy41Mjc1AQYAAAAFAAAAATEBAAAACjE5ODczODEwMTADAAAAAzE2MAIAAAAGMTAwMDYwBAAAAAEwBwAAAAoxMS8xNS8yMDE50d6Giz8O2gjKjVzLTg7aCClDSVEu</t>
  </si>
  <si>
    <t>TkFTREFRR1M6Q09TVC5JUV9URVYuMTEvMjIvMjAxOS5VU0QuSAEAAACRagEAAgAAAAwxMjk3MjUuMTU4NzUBBgAAAAUAAAABMQEAAAAKMTk4NzM4MTAxMAMAAAADMTYwAgAAAAYxMDAwNjAEAAAAATAHAAAACjExLzIyLzIwMTnR3oaLPw7aCMqNXMtODtoIKUNJUS5OQVNEQVFHUzpDT1NULklRX1RFVi4xMS8yOS8yMDE5LlVTRC5IAQAAAJFqAQACAAAADTEzMDU5Mi4zOTA4NTcBBgAAAAUAAAABMQEAAAAKMTk4NzM4MTAxMAMAAAADMTYwAgAAAAYxMDAwNjAEAAAAATAHAAAACjExLzI5LzIwMTnR3oaLPw7aCMqNXMtODtoIKENJUS5OQVNEQVFHUzpDT1NULklRX1RFVi4xMi82LzIwMTkuVVNELkgBAAAAkWoBAAIAAAANMTI4NDQzLjEwOTU5MQEGAAAABQAAAAExAQAAAAoxOTg3MzgxMDEwAwAAAAMxNjACAAAABjEwMDA2MAQAAAABMAcAAAAJMTIvNi8yMDE50d6Giz8O2gjKjVzLTg7aCClDSVEuTkFTREFRR1M6Q09TVC5JUV9URVYuMTIvMTMvMjAxOS5VU0QuSAEAAACRagEAAgAAAAwxMjg0NDQuNzQ0ODYBBgAAAAUAAAABMQEAAAAKMTk5NjUxODY4MgMAAAADMTYwAgAAAAYxMDAwNjAEAAAAATAHAAAACjEyLzEzLzIwMTnR3oaLPw7aCMqNXMtODtoIKUNJUS5OQVNEQVFHUzpDT1NULklRX1RFVi4xMi8yMC8yMDE5LlVTRC5IAQAAAJFqAQACAAAADDEyOTc1Mi40MDc3NAEGAAAABQAAAAExAQAAAAoxOTk2NTE4</t>
  </si>
  <si>
    <t>NjgyAwAAAAMxNjACAAAABjEwMDA2MAQAAAABMAcAAAAKMTIvMjAvMjAxOdHehos/DtoIyo1cy04O2ggpQ0lRLk5BU0RBUUdTOkNPU1QuSVFfVEVWLjEyLzI3LzIwMTkuVVNELkgBAAAAkWoBAAIAAAANMTMwMDg2LjMzNTY3NgEGAAAABQAAAAExAQAAAAoxOTk3MTY0OTMxAwAAAAMxNjACAAAABjEwMDA2MAQAAAABMAcAAAAKMTIvMjcvMjAxOdHehos/DtoIyo1cy04O2ggnQ0lRLk5BU0RBUUdTOkNPU1QuSVFfVEVWLjEvMy8yMDIwLlVTRC5IAQAAAJFqAQACAAAADTEyOTAzNC45NTI1MjQBBgAAAAUAAAABMQEAAAAKMTk5NzE2NDkzMQMAAAADMTYwAgAAAAYxMDAwNjAEAAAAATAHAAAACDEvMy8yMDIw0d6Giz8O2gjKjVzLTg7aCChDSVEuTkFTREFRR1M6Q09TVC5JUV9URVYuMS8xMC8yMDIwLlVTRC5IAQAAAJFqAQACAAAADTEzMTQ2OS4wMzcwNDkBBgAAAAUAAAABMQEAAAAKMTk5NzE2NDkzMQMAAAADMTYwAgAAAAYxMDAwNjAEAAAAATAHAAAACTEvMTAvMjAyMNHehos/DtoIyo1cy04O2ggoQ0lRLk5BU0RBUUdTOkNPU1QuSVFfVEVWLjEvMTcvMjAyMC5VU0QuSAEAAACRagEAAgAAAA0xMzQ3NTUuNzEzNzk0AQYAAAAFAAAAATEBAAAACjE5OTcxNjQ5MzEDAAAAAzE2MAIAAAAGMTAwMDYwBAAAAAEwBwAAAAkxLzE3LzIwMjDR3oaLPw7aCKtmXMtODtoIKENJUS5OQVNEQVFHUzpDT1NULklRX1RFVi4xLzI0</t>
  </si>
  <si>
    <t>LzIwMjAuVVNELkgBAAAAkWoBAAIAAAANMTM3MzMxLjE2MDc1OQEGAAAABQAAAAExAQAAAAoxOTk3MTY0OTMxAwAAAAMxNjACAAAABjEwMDA2MAQAAAABMAcAAAAJMS8yNC8yMDIw0d6Giz8O2girZlzLTg7aCChDSVEuTkFTREFRR1M6Q09TVC5JUV9URVYuMS8zMS8yMDIwLlVTRC5IAQAAAJFqAQACAAAADTEzNTEyNi43OTAyMDEBBgAAAAUAAAABMQEAAAAKMTk5NzE2NDkzMQMAAAADMTYwAgAAAAYxMDAwNjAEAAAAATAHAAAACTEvMzEvMjAyMNHehos/DtoIq2Zcy04O2ggnQ0lRLk5BU0RBUUdTOkNPU1QuSVFfVEVWLjIvNy8yMDIwLlVTRC5IAQAAAJFqAQACAAAADTEzODcwOS40NDQ1NTYBBgAAAAUAAAABMQEAAAAKMTk5NzE2NDkzMQMAAAADMTYwAgAAAAYxMDAwNjAEAAAAATAHAAAACDIvNy8yMDIw0d6Giz8O2girZlzLTg7aCChDSVEuTkFTREFRR1M6Q09TVC5JUV9URVYuMi8xNC8yMDIwLlVTRC5IAQAAAJFqAQACAAAADDE0MDc3Ni44NzAyNQEGAAAABQAAAAExAQAAAAoxOTk3MTY0OTMxAwAAAAMxNjACAAAABjEwMDA2MAQAAAABMAcAAAAJMi8xNC8yMDIw0d6Giz8O2girZlzLTg7aCChDSVEuTkFTREFRR1M6Q09TVC5JUV9URVYuMi8yMS8yMDIwLlVTRC5IAQAAAJFqAQACAAAADTE0MjM4NC44NjgwMTIBBgAAAAUAAAABMQEAAAAKMTk5NzE2NDkzMQMAAAADMTYwAgAAAAYxMDAwNjAEAAAAATAHAAAA</t>
  </si>
  <si>
    <t>CTIvMjEvMjAyMNHehos/DtoIq2Zcy04O2ggoQ0lRLk5BU0RBUUdTOkNPU1QuSVFfVEVWLjIvMjgvMjAyMC5VU0QuSAEAAACRagEAAgAAAA0xMjQzNTYuNzM5MjU0AQYAAAAFAAAAATEBAAAACjE5OTcxNjQ5MzEDAAAAAzE2MAIAAAAGMTAwMDYwBAAAAAEwBwAAAAkyLzI4LzIwMjDR3oaLPw7aCKtmXMtODtoIJ0NJUS5OQVNEQVFHUzpDT1NULklRX1RFVi4zLzYvMjAyMC5VU0QuSAEAAACRagEAAgAAAAwxMzcyMDkuNTkzNDgBBgAAAAUAAAABMQEAAAAKMjAxOTgzMDcyMQMAAAADMTYwAgAAAAYxMDAwNjAEAAAAATAHAAAACDMvNi8yMDIw0d6Giz8O2girZlzLTg7aCChDSVEuTkFTREFRR1M6Q09TVC5JUV9URVYuMy8xMy8yMDIwLlVTRC5IAQAAAJFqAQACAAAADTEzMzkyMS4zNzIwOTEBBgAAAAUAAAABMQEAAAAKMjAyMTQ0NDMwMgMAAAADMTYwAgAAAAYxMDAwNjAEAAAAATAHAAAACTMvMTMvMjAyMNHehos/DtoIq2Zcy04O2ggoQ0lRLk5BU0RBUUdTOkNPU1QuSVFfVEVWLjMvMjAvMjAyMC5VU0QuSAEAAACRagEAAgAAAA0xMjg2ODguNjQ5NjU5AQYAAAAFAAAAATEBAAAACjIwMjE0NDQzMDIDAAAAAzE2MAIAAAAGMTAwMDYwBAAAAAEwBwAAAAkzLzIwLzIwMjDR3oaLPw7aCKtmXMtODtoIKENJUS5OQVNEQVFHUzpDT1NULklRX1RFVi4zLzI3LzIwMjAuVVNELkgBAAAAkWoBAAIAAAANMTI1OTk5LjQyNzc1</t>
  </si>
  <si>
    <t>MgEGAAAABQAAAAExAQAAAAoyMDIxNDQ0MzAyAwAAAAMxNjACAAAABjEwMDA2MAQAAAABMAcAAAAJMy8yNy8yMDIw0d6Giz8O2girZlzLTg7aCCdDSVEuTkFTREFRR1M6Q09TVC5JUV9URVYuNC8zLzIwMjAuVVNELkgBAAAAkWoBAAIAAAANMTI3OTA3LjA1MzE0NAEGAAAABQAAAAExAQAAAAoyMDIxNDQ0MzAyAwAAAAMxNjACAAAABjEwMDA2MAQAAAABMAcAAAAINC8zLzIwMjDR3oaLPw7aCKtmXMtODtoIKENJUS5OQVNEQVFHUzpDT1NULklRX1RFVi40LzEwLzIwMjAuVVNELkgBAAAAkWoBAAIAAAANMTMyOTIzLjQwMTM5OQEGAAAABQAAAAExAQAAAAoyMDIxNDQ0MzAyAwAAAAMxNjACAAAABjEwMDA2MAQAAAABMAcAAAAJNC8xMC8yMDIw0d6Giz8O2girZlzLTg7aCChDSVEuTkFTREFRR1M6Q09TVC5JUV9URVYuNC8xNy8yMDIwLlVTRC5IAQAAAJFqAQACAAAADTE0MDgzMi4wOTgzMzkBBgAAAAUAAAABMQEAAAAKMjAyMTQ0NDMwMgMAAAADMTYwAgAAAAYxMDAwNjAEAAAAATAHAAAACTQvMTcvMjAyMNHehos/DtoIq2Zcy04O2ggoQ0lRLk5BU0RBUUdTOkNPU1QuSVFfVEVWLjQvMjQvMjAyMC5VU0QuSAEAAACRagEAAgAAAA0xMzc1NzcuNjU0MDkzAQYAAAAFAAAAATEBAAAACjIwMjE0NDQzMDIDAAAAAzE2MAIAAAAGMTAwMDYwBAAAAAEwBwAAAAk0LzI0LzIwMjDR3oaLPw7aCKtmXMtODtoIJ0NJUS5OQVNE</t>
  </si>
  <si>
    <t>QVFHUzpDT1NULklRX1RFVi41LzEvMjAyMC5VU0QuSAEAAACRagEAAgAAAA0xMzM3NjYuODE5MTA3AQYAAAAFAAAAATEBAAAACjIwMjE0NDQzMDIDAAAAAzE2MAIAAAAGMTAwMDYwBAAAAAEwBwAAAAg1LzEvMjAyMNHehos/DtoIq2Zcy04O2ggnQ0lRLk5BU0RBUUdTOkNPU1QuSVFfVEVWLjUvOC8yMDIwLlVTRC5IAQAAAJFqAQACAAAADTEzNTU0MS45NzA1MTQBBgAAAAUAAAABMQEAAAAKMjAyMTQ0NDMwMgMAAAADMTYwAgAAAAYxMDAwNjAEAAAAATAHAAAACDUvOC8yMDIw0d6Giz8O2ghWP1zLTg7aCChDSVEuTkFTREFRR1M6Q09TVC5JUV9URVYuNS8xNS8yMDIwLlVTRC5IAQAAAJFqAQACAAAADTEzMjU3MC4xMzc0MzcBBgAAAAUAAAABMQEAAAAKMjAyMTQ0NDMwMgMAAAADMTYwAgAAAAYxMDAwNjAEAAAAATAHAAAACTUvMTUvMjAyMNHehos/DtoIVj9cy04O2ggoQ0lRLk5BU0RBUUdTOkNPU1QuSVFfVEVWLjUvMjIvMjAyMC5VU0QuSAEAAACRagEAAgAAAA0xMzM5OTIuMDI0ODgzAQYAAAAFAAAAATEBAAAACjIwMjE0NDQzMDIDAAAAAzE2MAIAAAAGMTAwMDYwBAAAAAEwBwAAAAk1LzIyLzIwMjDR3oaLPw7aCFY/XMtODtoIKENJUS5OQVNEQVFHUzpDT1NULklRX1RFVi41LzI5LzIwMjAuVVNELkgBAAAAkWoBAAIAAAAMMTM2NDUzLjU5OTgxAQYAAAAFAAAAATEBAAAACjIwMzg3ODIzMDADAAAAAzE2MAIA</t>
  </si>
  <si>
    <t>AAAGMTAwMDYwBAAAAAEwBwAAAAk1LzI5LzIwMjDR3oaLPw7aCFY/XMtODtoIJ0NJUS5OQVNEQVFHUzpDT1NULklRX1RFVi42LzUvMjAyMC5VU0QuSAEAAACRagEAAgAAAAwxMzg5MTEuMDU4NzgBBgAAAAUAAAABMQEAAAAKMjAzOTg0MDkzNgMAAAADMTYwAgAAAAYxMDAwNjAEAAAAATAHAAAACDYvNS8yMDIw0d6Giz8O2ghWP1zLTg7aCChDSVEuTkFTREFRR1M6Q09TVC5JUV9URVYuNi8xMi8yMDIwLlVTRC5IAQAAAJFqAQACAAAADTEzMzAyMS4xMzI0NzUBBgAAAAUAAAABMQEAAAAKMjAzOTg0MDkzNgMAAAADMTYwAgAAAAYxMDAwNjAEAAAAATAHAAAACTYvMTIvMjAyMNHehos/DtoIVj9cy04O2ggoQ0lRLk5BU0RBUUdTOkNPU1QuSVFfVEVWLjYvMTkvMjAyMC5VU0QuSAEAAACRagEAAgAAAA0xMzM1NTAuOTYwOTI4AQYAAAAFAAAAATEBAAAACjIwMzk4NDA5MzYDAAAAAzE2MAIAAAAGMTAwMDYwBAAAAAEwBwAAAAk2LzE5LzIwMjDR3oaLPw7aCFY/XMtODtoIKENJUS5OQVNEQVFHUzpDT1NULklRX1RFVi42LzI2LzIwMjAuVVNELkgBAAAAkWoBAAIAAAANMTMyMDc2LjI3MTczNAEGAAAABQAAAAExAQAAAAoyMDM5ODQwOTM2AwAAAAMxNjACAAAABjEwMDA2MAQAAAABMAcAAAAJNi8yNi8yMDIw0d6Giz8O2ghWP1zLTg7aCCdDSVEuTkFTREFRR1M6Q09TVC5JUV9URVYuNy8zLzIwMjAuVVNELkgBAAAAkWoB</t>
  </si>
  <si>
    <t>AAIAAAANMTM2MTI5LjQ1OTQwMQEGAAAABQAAAAExAQAAAAoyMDM5ODQwOTM2AwAAAAMxNjACAAAABjEwMDA2MAQAAAABMAcAAAAINy8zLzIwMjDR3oaLPw7aCFY/XMtODtoIKENJUS5OQVNEQVFHUzpDT1NULklRX1RFVi43LzEwLzIwMjAuVVNELkgBAAAAkWoBAAIAAAANMTQ1MTc2LjI4MDIzOQEGAAAABQAAAAExAQAAAAoyMDM5ODQwOTM2AwAAAAMxNjACAAAABjEwMDA2MAQAAAABMAcAAAAJNy8xMC8yMDIw0d6Giz8O2ghWP1zLTg7aCChDSVEuTkFTREFRR1M6Q09TVC5JUV9URVYuNy8xNy8yMDIwLlVTRC5IAQAAAJFqAQACAAAADTE0NDU0MC40ODYwOTUBBgAAAAUAAAABMQEAAAAKMjAzOTg0MDkzNgMAAAADMTYwAgAAAAYxMDAwNjAEAAAAATAHAAAACTcvMTcvMjAyMNHehos/DtoIVj9cy04O2ggoQ0lRLk5BU0RBUUdTOkNPU1QuSVFfVEVWLjcvMjQvMjAyMC5VU0QuSAEAAACRagEAAgAAAA0xNDQ5NzcuNTk0NTY5AQYAAAAFAAAAATEBAAAACjIwMzk4NDA5MzYDAAAAAzE2MAIAAAAGMTAwMDYwBAAAAAEwBwAAAAk3LzI0LzIwMjDR3oaLPw7aCFY/XMtODtoIKENJUS5OQVNEQVFHUzpDT1NULklRX1RFVi43LzMxLzIwMjAuVVNELkgBAAAAkWoBAAIAAAANMTQ0ODY3LjIxMzY0MQEGAAAABQAAAAExAQAAAAoyMDM5ODQwOTM2AwAAAAMxNjACAAAABjEwMDA2MAQAAAABMAcAAAAJNy8zMS8yMDIw0d6Giz8O</t>
  </si>
  <si>
    <t>2ghWP1zLTg7aCCdDSVEuTkFTREFRR1M6Q09TVC5JUV9URVYuOC83LzIwMjAuVVNELkgBAAAAkWoBAAIAAAANMTUxNjU3Ljg0ODMxNwEGAAAABQAAAAExAQAAAAoyMDM5ODQwOTM2AwAAAAMxNjACAAAABjEwMDA2MAQAAAABMAcAAAAIOC83LzIwMjDR3oaLPw7aCFY/XMtODtoIKENJUS5OQVNEQVFHUzpDT1NULklRX1RFVi44LzE0LzIwMjAuVVNELkgBAAAAkWoBAAIAAAANMTQ5NjEzLjU5MzUzNQEGAAAABQAAAAExAQAAAAoyMDM5ODQwOTM2AwAAAAMxNjACAAAABjEwMDA2MAQAAAABMAcAAAAJOC8xNC8yMDIw0d6Giz8O2ghWP1zLTg7aCChDSVEuTkFTREFRR1M6Q09TVC5JUV9URVYuOC8yMS8yMDIwLlVTRC5IAQAAAJFqAQACAAAADTE1MzI5MS40ODYwNDcBBgAAAAUAAAABMQEAAAAKMjAzOTg0MDkzNgMAAAADMTYwAgAAAAYxMDAwNjAEAAAAATAHAAAACTgvMjEvMjAyMNHehos/DtoI1zhcy04O2ggoQ0lRLk5BU0RBUUdTOkNPU1QuSVFfVEVWLjgvMjgvMjAyMC5VU0QuSAEAAACRagEAAgAAAA0xNTQ5NTEuNjE1MjAxAQYAAAAFAAAAATEBAAAACjIwMzk4NDA5MzYDAAAAAzE2MAIAAAAGMTAwMDYwBAAAAAEwBwAAAAk4LzI4LzIwMjDR3oaLPw7aCNc4XMtODtoIJ0NJUS5OQVNEQVFHUzpDT1NULklRX1RFVi45LzQvMjAyMC5VU0QuSAEAAACRagEAAgAAAA0xNTQxNTYuODcyNTIxAQYAAAAFAAAAATEBAAAA</t>
  </si>
  <si>
    <t>CjIwMzk4NDA5MzYDAAAAAzE2MAIAAAAGMTAwMDYwBAAAAAEwBwAAAAg5LzQvMjAyMNHehos/DtoI0ihcy04O2ggoQ0lRLk5BU0RBUUdTOkNPU1QuSVFfVEVWLjkvMTEvMjAyMC5VU0QuSAEAAACRagEAAgAAAA0xNTA4NzEuOTM2MTExAQYAAAAFAAAAATEBAAAACjIwMzk4NDA5MzYDAAAAAzE2MAIAAAAGMTAwMDYwBAAAAAEwBwAAAAk5LzExLzIwMjDR3oaLPw7aCNIoXMtODtoIKENJUS5OQVNEQVFHUzpDT1NULklRX1RFVi45LzE4LzIwMjAuVVNELkgBAAAAkWoBAAIAAAANMTQ5NDcyLjMwNTk0NwEGAAAABQAAAAExAQAAAAoyMDM5ODQwOTM2AwAAAAMxNjACAAAABjEwMDA2MAQAAAABMAcAAAAJOS8xOC8yMDIw0d6Giz8O2gjSKFzLTg7aCChDSVEuTkFTREFRR1M6Q09TVC5JUV9URVYuOS8yNS8yMDIwLlVTRC5IAQAAAJFqAQACAAAACzE0ODQ0OC4xMzc5AQYAAAAFAAAAATEBAAAACjIwNjE5NzQzODQDAAAAAzE2MAIAAAAGMTAwMDYwBAAAAAEwBwAAAAk5LzI1LzIwMjDR3oaLPw7aCNIoXMtODtoIKENJUS5OQVNEQVFHUzpDT1NULklRX1RFVi4xMC8yLzIwMjAuVVNELkgBAAAAkWoBAAIAAAAMMTUzOTMyLjkzNzU1AQYAAAAFAAAAATEBAAAACjIwNjE5NzQzODQDAAAAAzE2MAIAAAAGMTAwMDYwBAAAAAEwBwAAAAkxMC8yLzIwMjDR3oaLPw7aCNv5W8tODtoIKENJUS5OQVNEQVFHUzpDT1NULklRX1RFVi4x</t>
  </si>
  <si>
    <t>MC85LzIwMjAuVVNELkgBAAAAkWoBAAIAAAANMTYxMjE4LjEwNjg1NQEGAAAABQAAAAExAQAAAAoyMDY0MjY5NjcyAwAAAAMxNjACAAAABjEwMDA2MAQAAAABMAcAAAAJMTAvOS8yMDIw0d6Giz8O2gjb+VvLTg7aCClDSVEuTkFTREFRR1M6Q09TVC5JUV9URVYuMTAvMTYvMjAyMC5VU0QuSAEAAACRagEAAgAAAA0xNjY1NDguMTQxNDIxAQYAAAAFAAAAATEBAAAACjIwNjQyNjk2NzIDAAAAAzE2MAIAAAAGMTAwMDYwBAAAAAEwBwAAAAoxMC8xNi8yMDIw0d6Giz8O2gjb+VvLTg7aCClDSVEuTkFTREFRR1M6Q09TVC5JUV9URVYuMTAvMjMvMjAyMC5VU0QuSAEAAACRagEAAgAAAA0xNjM0ODYuMDE4OTE0AQYAAAAFAAAAATEBAAAACjIwNjQyNjk2NzIDAAAAAzE2MAIAAAAGMTAwMDYwBAAAAAEwBwAAAAoxMC8yMy8yMDIw0d6Giz8O2gjb+VvLTg7aCClDSVEuTkFTREFRR1M6Q09TVC5JUV9URVYuMTAvMzAvMjAyMC5VU0QuSAEAAACRagEAAgAAAA0xNTU5OTMuOTY3MDE1AQYAAAAFAAAAATEBAAAACjIwNjQyNjk2NzIDAAAAAzE2MAIAAAAGMTAwMDYwBAAAAAEwBwAAAAoxMC8zMC8yMDIw0d6Giz8O2gjb+VvLTg7aCChDSVEuTkFTREFRR1M6Q09TVC5JUV9URVYuMTEvNi8yMDIwLlVTRC5IAQAAAJFqAQACAAAADTE2ODM2Ni4wMDA4OTIBBgAAAAUAAAABMQEAAAAKMjA2NDI2OTY3MgMAAAADMTYwAgAAAAYxMDAw</t>
  </si>
  <si>
    <t>NjAEAAAAATAHAAAACTExLzYvMjAyMNHehos/DtoI2/lby04O2ggpQ0lRLk5BU0RBUUdTOkNPU1QuSVFfVEVWLjExLzEzLzIwMjAuVVNELkgBAAAAkWoBAAIAAAANMTY1MzU2LjgyNTc0OAEGAAAABQAAAAExAQAAAAoyMDY0MjY5NjcyAwAAAAMxNjACAAAABjEwMDA2MAQAAAABMAcAAAAKMTEvMTMvMjAyMNHehos/DtoI2/lby04O2ggpQ0lRLk5BU0RBUUdTOkNPU1QuSVFfVEVWLjExLzIwLzIwMjAuVVNELkgBAAAAkWoBAAIAAAAMMTY2MzYyLjgyNTY1AQYAAAAFAAAAATEBAAAACjIwNjQyNjk2NzIDAAAAAzE2MAIAAAAGMTAwMDYwBAAAAAEwBwAAAAoxMS8yMC8yMDIw0d6Giz8O2gjb+VvLTg7aCClDSVEuTkFTREFRR1M6Q09TVC5JUV9URVYuMTEvMjcvMjAyMC5VU0QuSAEAAACRagEAAgAAAA0xNjk1NzAuNTUzNDA2AQYAAAAFAAAAATEBAAAACjIwNjQyNjk2NzIDAAAAAzE2MAIAAAAGMTAwMDYwBAAAAAEwBwAAAAoxMS8yNy8yMDIw0d6Giz8O2gjb+VvLTg7aCChDSVEuTkFTREFRR1M6Q09TVC5JUV9URVYuMTIvNC8yMDIwLlVTRC5IAQAAAJFqAQACAAAADTE2Mjk2OS43ODIxMjIBBgAAAAUAAAABMQEAAAAKMjA2NDI2OTY3MgMAAAADMTYwAgAAAAYxMDAwNjAEAAAAATAHAAAACTEyLzQvMjAyMNHehos/DtoI2/lby04O2ggpQ0lRLk5BU0RBUUdTOkNPU1QuSVFfVEVWLjEyLzExLzIwMjAuVVNELkgBAAAA</t>
  </si>
  <si>
    <t>kWoBAAIAAAALMTYyMzc3LjQyMDUBBgAAAAUAAAABMQEAAAAKMjA3NDkxMjM0OQMAAAADMTYwAgAAAAYxMDAwNjAEAAAAATAHAAAACjEyLzExLzIwMjDR3oaLPw7aCNv5W8tODtoIKUNJUS5OQVNEQVFHUzpDT1NULklRX1RFVi4xMi8xOC8yMDIwLlVTRC5IAQAAAJFqAQACAAAADTE1ODc4OS41NjkwNDMBBgAAAAUAAAABMQEAAAAKMjA3NTE5NDQ5NwMAAAADMTYwAgAAAAYxMDAwNjAEAAAAATAHAAAACjEyLzE4LzIwMjDR3oaLPw7aCNv5W8tODtoIKUNJUS5OQVNEQVFHUzpDT1NULklRX1RFVi4xMi8yNS8yMDIwLlVTRC5IAQAAAJFqAQACAAAADTE1NzcxNy42MTczODgBBgAAAAUAAAABMQEAAAAKMjA3NTE5NDQ5NwMAAAADMTYwAgAAAAYxMDAwNjAEAAAAATAHAAAACjEyLzI1LzIwMjDR3oaLPw7aCNv5W8tODtoIJ0NJUS5OQVNEQVFHUzpDT1NULklRX1RFVi4xLzEvMjAyMS5VU0QuSAEAAACRagEAAgAAAA0xNjMxMjEuNjcxMTgyAQYAAAAFAAAAATEBAAAACjIwNzUxOTQ0OTcDAAAAAzE2MAIAAAAGMTAwMDYwBAAAAAEwBwAAAAgxLzEvMjAyMdHehos/DtoI2/lby04O2ggnQ0lRLk5BU0RBUUdTOkNPU1QuSVFfVEVWLjEvOC8yMDIxLlVTRC5IAQAAAJFqAQACAAAADTE2MDA5MS44NTc0MTYBBgAAAAUAAAABMQEAAAAKMjA3NTE5NDQ5NwMAAAADMTYwAgAAAAYxMDAwNjAEAAAAATAHAAAACDEvOC8yMDIx0d6G</t>
  </si>
  <si>
    <t>iz8O2gjb+VvLTg7aCChDSVEuTkFTREFRR1M6Q09TVC5JUV9URVYuMS8xNS8yMDIxLlVTRC5IAQAAAJFqAQACAAAADTE1NjY0NS42NjU3MzQBBgAAAAUAAAABMQEAAAAKMjA3NTE5NDQ5NwMAAAADMTYwAgAAAAYxMDAwNjAEAAAAATAHAAAACTEvMTUvMjAyMdHehos/DtoIt/dby04O2ggoQ0lRLk5BU0RBUUdTOkNPU1QuSVFfVEVWLjEvMjIvMjAyMS5VU0QuSAEAAACRagEAAgAAAA0xNTY3MDcuNjc5NDY2AQYAAAAFAAAAATEBAAAACjIwNzUxOTQ0OTcDAAAAAzE2MAIAAAAGMTAwMDYwBAAAAAEwBwAAAAkxLzIyLzIwMjHR3oaLPw7aCKnQW8tODtoIKENJUS5OQVNEQVFHUzpDT1NULklRX1RFVi4xLzI5LzIwMjEuVVNELkgBAAAAkWoBAAIAAAANMTUyMzM1LjcxMTM1NgEGAAAABQAAAAExAQAAAAoyMDc1MTk0NDk3AwAAAAMxNjACAAAABjEwMDA2MAQAAAABMAcAAAAJMS8yOS8yMDIx0d6Giz8O2gip0FvLTg7aCCdDSVEuTkFTREFRR1M6Q09TVC5JUV9URVYuMi81LzIwMjEuVVNELkgBAAAAkWoBAAIAAAANMTUzNTQ5LjQwODY4MwEGAAAABQAAAAExAQAAAAoyMDc1MTk0NDk3AwAAAAMxNjACAAAABjEwMDA2MAQAAAABMAcAAAAIMi81LzIwMjHR3oaLPw7aCKnQW8tODtoIKENJUS5OQVNEQVFHUzpDT1NULklRX1RFVi4yLzEyLzIwMjEuVVNELkgBAAAAkWoBAAIAAAANMTUyNDc3LjQ1NzAyOQEGAAAABQAAAAEx</t>
  </si>
  <si>
    <t>AQAAAAoyMDc1MTk0NDk3AwAAAAMxNjACAAAABjEwMDA2MAQAAAABMAcAAAAJMi8xMi8yMDIx0d6Giz8O2gip0FvLTg7aCChDSVEuTkFTREFRR1M6Q09TVC5JUV9URVYuMi8xOS8yMDIxLlVTRC5IAQAAAJFqAQACAAAADTE1MzM3Mi4yMjY1OTIBBgAAAAUAAAABMQEAAAAKMjA3NTE5NDQ5NwMAAAADMTYwAgAAAAYxMDAwNjAEAAAAATAHAAAACTIvMTkvMjAyMdHehos/DtoIqdBby04O2ggoQ0lRLk5BU0RBUUdTOkNPU1QuSVFfVEVWLjIvMjYvMjAyMS5VU0QuSAEAAACRagEAAgAAAA0xNDI4NDMuMTgwNzk5AQYAAAAFAAAAATEBAAAACjIwNzUxOTQ0OTcDAAAAAzE2MAIAAAAGMTAwMDYwBAAAAAEwBwAAAAkyLzI2LzIwMjHR3oaLPw7aCKnQW8tODtoIJ0NJUS5OQVNEQVFHUzpDT1NULklRX1RFVi4zLzUvMjAyMS5VU0QuSAEAAACRagEAAgAAAAwxNDE5NTMuOTY3MjgBBgAAAAUAAAABMQEAAAAKMjA4MzA4NDE0NQMAAAADMTYwAgAAAAYxMDAwNjAEAAAAATAHAAAACDMvNS8yMDIx0d6Giz8O2gip0FvLTg7aCChDSVEuTkFTREFRR1M6Q09TVC5JUV9URVYuMy8xMi8yMDIxLlVTRC5IAQAAAJFqAQACAAAADTE0ODAzMS42Mzc1NjQBBgAAAAUAAAABMQEAAAAKMjA4Mzk1NzQ5NQMAAAADMTYwAgAAAAYxMDAwNjAEAAAAATAHAAAACTMvMTIvMjAyMdHehos/DtoIqdBby04O2ggoQ0lRLk5BU0RBUUdTOkNPU1QuSVFf</t>
  </si>
  <si>
    <t>VEVWLjMvMTkvMjAyMS5VU0QuSAEAAACRagEAAgAAAA0xNDcwNDQuNzg3MjI0AQYAAAAFAAAAATEBAAAACjIwODM5NTc0OTUDAAAAAzE2MAIAAAAGMTAwMDYwBAAAAAEwBwAAAAkzLzE5LzIwMjHR3oaLPw7aCKnQW8tODtoIKENJUS5OQVNEQVFHUzpDT1NULklRX1RFVi4zLzI2LzIwMjEuVVNELkgBAAAAkWoBAAIAAAANMTU3MjcxLjc0Mjk5NQEGAAAABQAAAAExAQAAAAoyMDgzOTU3NDk1AwAAAAMxNjACAAAABjEwMDA2MAQAAAABMAcAAAAJMy8yNi8yMDIx0d6Giz8O2gip0FvLTg7aCCdDSVEuTkFTREFRR1M6Q09TVC5JUV9URVYuNC8yLzIwMjEuVVNELkgBAAAAkWoBAAIAAAANMTU4NTYzLjk0MTY0NwEGAAAABQAAAAExAQAAAAoyMDgzOTU3NDk1AwAAAAMxNjACAAAABjEwMDA2MAQAAAABMAcAAAAINC8yLzIwMjHR3oaLPw7aCKnQW8tODtoIJ0NJUS5OQVNEQVFHUzpDT1NULklRX1RFVi40LzkvMjAyMS5VU0QuSAEAAACRagEAAgAAAA0xNjIyMjMuNjk2MDQ5AQYAAAAFAAAAATEBAAAACjIwODM5NTc0OTUDAAAAAzE2MAIAAAAGMTAwMDYwBAAAAAEwBwAAAAg0LzkvMjAyMdHehos/DtoIqdBby04O2ggoQ0lRLk5BU0RBUUdTOkNPU1QuSVFfVEVWLjQvMTYvMjAyMS5VU0QuSAEAAACRagEAAgAAAA0xNjU1NDcuMTI0Nzc1AQYAAAAFAAAAATEBAAAACjIwODM5NTc0OTUDAAAAAzE2MAIAAAAGMTAwMDYwBAAA</t>
  </si>
  <si>
    <t>AAEwBwAAAAk0LzE2LzIwMjHR3oaLPw7aCKnQW8tODtoIKENJUS5OQVNEQVFHUzpDT1NULklRX1RFVi40LzIzLzIwMjEuVVNELkgBAAAAkWoBAAIAAAANMTY2NjgwLjAxMTI2NAEGAAAABQAAAAExAQAAAAoyMDgzOTU3NDk1AwAAAAMxNjACAAAABjEwMDA2MAQAAAABMAcAAAAJNC8yMy8yMDIx0d6Giz8O2gip0FvLTg7aCChDSVEuTkFTREFRR1M6Q09TVC5JUV9URVYuNC8zMC8yMDIxLlVTRC5IAQAAAJFqAQACAAAADDE2NjE1My4zOTYwNgEGAAAABQAAAAExAQAAAAoyMDgzOTU3NDk1AwAAAAMxNjACAAAABjEwMDA2MAQAAAABMAcAAAAJNC8zMC8yMDIx0d6Giz8O2gip0FvLTg7aCCdDSVEuTkFTREFRR1M6Q09TVC5JUV9URVYuNS83LzIwMjEuVVNELkgBAAAAkWoBAAIAAAANMTcxNTY1LjU4NDI1MQEGAAAABQAAAAExAQAAAAoyMDgzOTU3NDk1AwAAAAMxNjACAAAABjEwMDA2MAQAAAABMAcAAAAINS83LzIwMjHR3oaLPw7aCKnQW8tODtoIKENJUS5OQVNEQVFHUzpDT1NULklRX1RFVi41LzE0LzIwMjEuVVNELkgBAAAAkWoBAAIAAAANMTcxNjA5LjgzNzYyOQEGAAAABQAAAAExAQAAAAoyMDgzOTU3NDk1AwAAAAMxNjACAAAABjEwMDA2MAQAAAABMAcAAAAJNS8xNC8yMDIx0d6Giz8O2gip0FvLTg7aCChDSVEuTkFTREFRR1M6Q09TVC5JUV9URVYuNS8yMS8yMDIxLlVTRC5IAQAAAJFqAQACAAAADTE2OTk3</t>
  </si>
  <si>
    <t>Mi40NjI2MjUBBgAAAAUAAAABMQEAAAAKMjA4Mzk1NzQ5NQMAAAADMTYwAgAAAAYxMDAwNjAEAAAAATAHAAAACTUvMjEvMjAyMdHehos/DtoIqdBby04O2ggoQ0lRLk5BU0RBUUdTOkNPU1QuSVFfVEVWLjUvMjgvMjAyMS5VU0QuSAEAAACRagEAAgAAAAwxNjY4NDIuNjc2MDcBBgAAAAUAAAABMQEAAAAKMjEwMDM4Nzc3NwMAAAADMTYwAgAAAAYxMDAwNjAEAAAAATAHAAAACTUvMjgvMjAyMdHehos/DtoI1stby04O2ggnQ0lRLk5BU0RBUUdTOkNPU1QuSVFfVEVWLjYvNC8yMDIxLlVTRC5IAQAAAJFqAQACAAAADTE3MDkwNC42MTQxNDQBBgAAAAUAAAABMQEAAAALLTIxNDcyNDU4ODMDAAAAAzE2MAIAAAAGMTAwMDYwBAAAAAEwBwAAAAg2LzQvMjAyMdHehos/DtoI1stby04O2ggoQ0lRLk5BU0RBUUdTOkNPU1QuSVFfVEVWLjYvMTEvMjAyMS5VU0QuSAEAAACRagEAAgAAAA0xNjgzODkuMjQxMDE2AQYAAAAFAAAAATEBAAAACy0yMTQ3MjQ1ODgzAwAAAAMxNjACAAAABjEwMDA2MAQAAAABMAcAAAAJNi8xMS8yMDIx0d6Giz8O2ghKpFvLTg7aCChDSVEuTkFTREFRR1M6Q09TVC5JUV9URVYuNi8xOC8yMDIxLlVTRC5IAQAAAJFqAQACAAAADDE2Nzk2OS4yNzUzOAEGAAAABQAAAAExAQAAAAstMjE0NzI0NTg4MwMAAAADMTYwAgAAAAYxMDAwNjAEAAAAATAHAAAACTYvMTgvMjAyMdHehos/DtoISqRby04O2ggo</t>
  </si>
  <si>
    <t>Q0lRLk5BU0RBUUdTOkNPU1QuSVFfVEVWLjYvMjUvMjAyMS5VU0QuSAEAAACRagEAAgAAAAwxNzM5OTQuNjc3MDkBBgAAAAUAAAABMQEAAAALLTIxNDcyNDU4ODMDAAAAAzE2MAIAAAAGMTAwMDYwBAAAAAEwBwAAAAk2LzI1LzIwMjHR3oaLPw7aCEqkW8tODtoIJ0NJUS5OQVNEQVFHUzpDT1NULklRX1RFVi43LzIvMjAyMS5VU0QuSAEAAACRagEAAgAAAA0xNzU5NTMuMDQzMTYzAQYAAAAFAAAAATEBAAAACy0yMTQ3MjQ1ODgzAwAAAAMxNjACAAAABjEwMDA2MAQAAAABMAcAAAAINy8yLzIwMjHR3oaLPw7aCEqkW8tODtoIJ0NJUS5OQVNEQVFHUzpDT1NULklRX1RFVi43LzkvMjAyMS5VU0QuSAEAAACRagEAAgAAAA0xODE4OTAuMDMxMDU1AQYAAAAFAAAAATEBAAAACy0yMTQ3MjQ1ODgzAwAAAAMxNjACAAAABjEwMDA2MAQAAAABMAcAAAAINy85LzIwMjHR3oaLPw7aCEqkW8tODtoIKENJUS5OQVNEQVFHUzpDT1NULklRX1RFVi43LzE2LzIwMjEuVVNELkgBAAAAkWoBAAIAAAANMTgxMDA1Ljg5Mjg3MwEGAAAABQAAAAExAQAAAAstMjE0NzI0NTg4MwMAAAADMTYwAgAAAAYxMDAwNjAEAAAAATAHAAAACTcvMTYvMjAyMdHehos/DtoISqRby04O2ggoQ0lRLk5BU0RBUUdTOkNPU1QuSVFfVEVWLjcvMjMvMjAyMS5VU0QuSAEAAACRagEAAgAAAA0xODY3NzkuMzE1MjAyAQYAAAAFAAAAATEBAAAACy0yMTQ3MjQ1</t>
  </si>
  <si>
    <t>ODgzAwAAAAMxNjACAAAABjEwMDA2MAQAAAABMAcAAAAJNy8yMy8yMDIx0d6Giz8O2ghKpFvLTg7aCChDSVEuTkFTREFRR1M6Q09TVC5JUV9URVYuNy8zMC8yMDIxLlVTRC5IAQAAAJFqAQACAAAADTE4OTU1OS45Mjk3ODQBBgAAAAUAAAABMQEAAAALLTIxNDcyNDU4ODMDAAAAAzE2MAIAAAAGMTAwMDYwBAAAAAEwBwAAAAk3LzMwLzIwMjHR3oaLPw7aCEqkW8tODtoIJ0NJUS5OQVNEQVFHUzpDT1NULklRX1RFVi44LzYvMjAyMS5VU0QuSAEAAACRagEAAgAAAA0xOTM5NDAuODM0NDc2AQYAAAAFAAAAATEBAAAACy0yMTQ3MjQ1ODgzAwAAAAMxNjACAAAABjEwMDA2MAQAAAABMAcAAAAIOC82LzIwMjHR3oaLPw7aCEqkW8tODtoIKENJUS5OQVNEQVFHUzpDT1NULklRX1RFVi44LzEzLzIwMjEuVVNELkgBAAAAkWoBAAIAAAANMTk3NTYxLjM4MDMzMQEGAAAABQAAAAExAQAAAAstMjE0NzI0NTg4MwMAAAADMTYwAgAAAAYxMDAwNjAEAAAAATAHAAAACTgvMTMvMjAyMdHehos/DtoISqRby04O2ggoQ0lRLk5BU0RBUUdTOkNPU1QuSVFfVEVWLjgvMjAvMjAyMS5VU0QuSAEAAACRagEAAgAAAA0yMDI0OTkuMjkyMDc4AQYAAAAFAAAAATEBAAAACy0yMTQ3MjQ1ODgzAwAAAAMxNjACAAAABjEwMDA2MAQAAAABMAcAAAAJOC8yMC8yMDIx0d6Giz8O2ghKpFvLTg7aCChDSVEuTkFTREFRR1M6Q09TVC5JUV9URVYuOC8y</t>
  </si>
  <si>
    <t>Ny8yMDIxLlVTRC5IAQAAAJFqAQACAAAADDE5ODY3NS4zOTQ0NAEGAAAABQAAAAExAQAAAAstMjE0NzI0NTg4MwMAAAADMTYwAgAAAAYxMDAwNjAEAAAAATAHAAAACTgvMjcvMjAyMdHehos/DtoISqRby04O2ggnQ0lRLk5BU0RBUUdTOkNPU1QuSVFfVEVWLjkvMy8yMDIxLlVTRC5IAQAAAJFqAQACAAAADTIwNDA3My4wNTgwNDIBBgAAAAUAAAABMQEAAAALLTIxNDcyNDU4ODMDAAAAAzE2MAIAAAAGMTAwMDYwBAAAAAEwBwAAAAg5LzMvMjAyMdHehos/DtoISqRby04O2ggoQ0lRLk5BU0RBUUdTOkNPU1QuSVFfVEVWLjkvMTAvMjAyMS5VU0QuSAEAAACRagEAAgAAAA0yMDUyMjYuODU4MzY5AQYAAAAFAAAAATEBAAAACy0yMTQ3MjQ1ODgzAwAAAAMxNjACAAAABjEwMDA2MAQAAAABMAcAAAAJOS8xMC8yMDIx0d6Giz8O2ghKpFvLTg7aCChDSVEuTkFTREFRR1M6Q09TVC5JUV9URVYuOS8xNy8yMDIxLlVTRC5IAQAAAJFqAQACAAAADTIwMjcyOS4xNjgwMDUBBgAAAAUAAAABMQEAAAALLTIxNDcyNDU4ODMDAAAAAzE2MAIAAAAGMTAwMDYwBAAAAAEwBwAAAAk5LzE3LzIwMjHR3oaLPw7aCEqkW8tODtoIKENJUS5OQVNEQVFHUzpDT1NULklRX1RFVi45LzI0LzIwMjEuVVNELkgBAAAAkWoBAAIAAAAMMjA1MTM1LjY0Mzc1AQYAAAAFAAAAATEBAAAACy0yMTI4OTQ4ODY1AwAAAAMxNjACAAAABjEwMDA2MAQAAAAB</t>
  </si>
  <si>
    <t>MAcAAAAJOS8yNC8yMDIx0d6Giz8O2ghKpFvLTg7aCChDSVEuTkFTREFRR1M6Q09TVC5JUV9URVYuMTAvMS8yMDIxLlVTRC5IAQAAAJFqAQACAAAADDE5NjU1NS40MDIyNQEGAAAABQAAAAExAQAAAAstMjEyODk0ODg2NQMAAAADMTYwAgAAAAYxMDAwNjAEAAAAATAHAAAACTEwLzEvMjAyMdHehos/DtoISqRby04O2ggoQ0lRLk5BU0RBUUdTOkNPU1QuSVFfVEVWLjEwLzgvMjAyMS5VU0QuSAEAAACRagEAAgAAAAoxOTkzODQuMDg5AQYAAAAFAAAAATEBAAAACy0yMTI3NTE1Nzc3AwAAAAMxNjACAAAABjEwMDA2MAQAAAABMAcAAAAJMTAvOC8yMDIxxPWGiz8O2ghKpFvLTg7aCClDSVEuTkFTREFRR1M6Q09TVC5JUV9URVYuMTAvMTUvMjAyMS5VU0QuSAEAAACRagEAAgAAAA0xOTk2MjIuNjczODU4AQYAAAAFAAAAATEBAAAACy0yMTI3NTE1Nzc3AwAAAAMxNjACAAAABjEwMDA2MAQAAAABMAcAAAAKMTAvMTUvMjAyMcT1hos/DtoIO31by04O2ggpQ0lRLk5BU0RBUUdTOkNPU1QuSVFfVEVWLjEwLzIyLzIwMjEuVVNELkgBAAAAkWoBAAIAAAANMjEyNzAwLjY1ODY2MwEGAAAABQAAAAExAQAAAAstMjEyNzUxNTc3NwMAAAADMTYwAgAAAAYxMDAwNjAEAAAAATAHAAAACjEwLzIyLzIwMjHE9YaLPw7aCDt9W8tODtoIKUNJUS5OQVNEQVFHUzpDT1NULklRX1RFVi4xMC8yOS8yMDIxLlVTRC5IAQAAAJFqAQACAAAA</t>
  </si>
  <si>
    <t>DTIxNjkyMC4wNzYwNTgBBgAAAAUAAAABMQEAAAALLTIxMjc1MTU3NzcDAAAAAzE2MAIAAAAGMTAwMDYwBAAAAAEwBwAAAAoxMC8yOS8yMDIxxPWGiz8O2gg7fVvLTg7aCChDSVEuTkFTREFRR1M6Q09TVC5JUV9URVYuMTEvNS8yMDIxLlVTRC5IAQAAAJFqAQACAAAACzIyNjQ1NC42MzM5AQYAAAAFAAAAATEBAAAACy0yMTI3NTE1Nzc3AwAAAAMxNjACAAAABjEwMDA2MAQAAAABMAcAAAAJMTEvNS8yMDIxxPWGiz8O2gg7fVvLTg7aCClDSVEuTkFTREFRR1M6Q09TVC5JUV9URVYuMTEvMTIvMjAyMS5VU0QuSAEAAACRagEAAgAAAA0yMjgyNDQuMDIwMzM0AQYAAAAFAAAAATEBAAAACy0yMTI3NTE1Nzc3AwAAAAMxNjACAAAABjEwMDA2MAQAAAABMAcAAAAKMTEvMTIvMjAyMcT1hos/DtoIO31by04O2ggpQ0lRLk5BU0RBUUdTOkNPU1QuSVFfVEVWLjExLzE5LzIwMjEuVVNELkgBAAAAkWoBAAIAAAANMjM1NTg3LjEzMjA3MwEGAAAABQAAAAExAQAAAAstMjEyNzUxNTc3NwMAAAADMTYwAgAAAAYxMDAwNjAEAAAAATAHAAAACjExLzE5LzIwMjHE9YaLPw7aCDt9W8tODtoIKUNJUS5OQVNEQVFHUzpDT1NULklRX1RFVi4xMS8yNi8yMDIxLlVTRC5IAQAAAJFqAQACAAAADTI0MTAzOS4yMzc5MDEBBgAAAAUAAAABMQEAAAALLTIxMjc1MTU3NzcDAAAAAzE2MAIAAAAGMTAwMDYwBAAAAAEwBwAAAAoxMS8yNi8yMDIx</t>
  </si>
  <si>
    <t>xPWGiz8O2gg7fVvLTg7aCChDSVEuTkFTREFRR1M6Q09TVC5JUV9URVYuMTIvMy8yMDIxLlVTRC5IAQAAAJFqAQACAAAADTIzMzQzOS44NjgzNTIBBgAAAAUAAAABMQEAAAALLTIxMjc1MTU3NzcDAAAAAzE2MAIAAAAGMTAwMDYwBAAAAAEwBwAAAAkxMi8zLzIwMjHE9YaLPw7aCDt9W8tODtoIKUNJUS5OQVNEQVFHUzpDT1NULklRX1RFVi4xMi8xMC8yMDIxLlVTRC5IAQAAAJFqAQACAAAADDI0NDk3NS43ODc4OAEGAAAABQAAAAExAQAAAAstMjExNzMyNzgwNAMAAAADMTYwAgAAAAYxMDAwNjAEAAAAATAHAAAACjEyLzEwLzIwMjHE9YaLPw7aCDt9W8tODtoIKUNJUS5OQVNEQVFHUzpDT1NULklRX1RFVi4xMi8xNy8yMDIxLlVTRC5IAQAAAJFqAQACAAAADDI0MDAwNC44OTI3NAEGAAAABQAAAAExAQAAAAstMjExNzMyNzgwNAMAAAADMTYwAgAAAAYxMDAwNjAEAAAAATAHAAAACjEyLzE3LzIwMjHE9YaLPw7aCDt9W8tODtoIKUNJUS5OQVNEQVFHUzpDT1NULklRX1RFVi4xMi8yNC8yMDIxLlVTRC5IAQAAAJFqAQACAAAADTI0MTIyNy45MzczMTkBBgAAAAUAAAABMQEAAAALLTIxMTY1NDkxMDgDAAAAAzE2MAIAAAAGMTAwMDYwBAAAAAEwBwAAAAoxMi8yNC8yMDIxxPWGiz8O2gg7fVvLTg7aCClDSVEuTkFTREFRR1M6Q09TVC5JUV9URVYuMTIvMzEvMjAyMS5VU0QuSAEAAACRagEAAgAAAA0yNDg5MTIuNjIy</t>
  </si>
  <si>
    <t>MzAyAQYAAAAFAAAAATEBAAAACy0yMTE2NTQ5MTA4AwAAAAMxNjACAAAABjEwMDA2MAQAAAABMAcAAAAKMTIvMzEvMjAyMcT1hos/DtoIO31by04O2ggnQ0lRLk5BU0RBUUdTOkNPU1QuSVFfVEVWLjEvNy8yMDIyLlVTRC5IAQAAAJFqAQACAAAADTIzNDkzNS42MzAzNDMBBgAAAAUAAAABMQEAAAALLTIxMTY1NDkxMDgDAAAAAzE2MAIAAAAGMTAwMDYwBAAAAAEwBwAAAAgxLzcvMjAyMsT1hos/DtoIO31by04O2ggoQ0lRLk5BU0RBUUdTOkNPU1QuSVFfVEVWLjEvMTQvMjAyMi5VU0QuSAEAAACRagEAAgAAAA0yMjAyMTguMTA2MTMzAQYAAAAFAAAAATEBAAAACy0yMTE2NTQ5MTA4AwAAAAMxNjACAAAABjEwMDA2MAQAAAABMAcAAAAJMS8xNC8yMDIyxPWGiz8O2gg7fVvLTg7aCChDSVEuTkFTREFRR1M6Q09TVC5JUV9URVYuMS8yMS8yMDIyLlVTRC5IAQAAAJFqAQACAAAADTIxMDczNy41MTk1ODIBBgAAAAUAAAABMQEAAAALLTIxMTY1NDkxMDgDAAAAAzE2MAIAAAAGMTAwMDYwBAAAAAEwBwAAAAkxLzIxLzIwMjLE9YaLPw7aCDt9W8tODtoIKENJUS5OQVNEQVFHUzpDT1NULklRX1RFVi4xLzI4LzIwMjIuVVNELkgBAAAAkWoBAAIAAAAMMjE1NTM1LjQ1OTA4AQYAAAAFAAAAATEBAAAACy0yMTE2NTQ5MTA4AwAAAAMxNjACAAAABjEwMDA2MAQAAAABMAcAAAAJMS8yOC8yMDIyxPWGiz8O2gg7fVvLTg7aCCdD</t>
  </si>
  <si>
    <t>SVEuTkFTREFRR1M6Q09TVC5JUV9URVYuMi80LzIwMjIuVVNELkgBAAAAkWoBAAIAAAANMjI3NjU4LjkwMzI0OAEGAAAABQAAAAExAQAAAAstMjExNjU0OTEwOAMAAAADMTYwAgAAAAYxMDAwNjAEAAAAATAHAAAACDIvNC8yMDIyxPWGiz8O2gg7fVvLTg7aCChDSVEuTkFTREFRR1M6Q09TVC5JUV9URVYuMi8xMS8yMDIyLlVTRC5IAQAAAJFqAQACAAAADTIyMzE4MC4yMzUxMzkBBgAAAAUAAAABMQEAAAALLTIxMTY1NDkxMDgDAAAAAzE2MAIAAAAGMTAwMDYwBAAAAAEwBwAAAAkyLzExLzIwMjLE9YaLPw7aCC1WW8tODtoIKENJUS5OQVNEQVFHUzpDT1NULklRX1RFVi4yLzE4LzIwMjIuVVNELkgBAAAAkWoBAAIAAAANMjI0NTEwLjUzMjU5NwEGAAAABQAAAAExAQAAAAstMjExNjU0OTEwOAMAAAADMTYwAgAAAAYxMDAwNjAEAAAAATAHAAAACTIvMTgvMjAyMsT1hos/DtoILVZby04O2ggoQ0lRLk5BU0RBUUdTOkNPU1QuSVFfVEVWLjIvMjUvMjAyMi5VU0QuSAEAAACRagEAAgAAAAwyMjY2NDcuODc3MTgBBgAAAAUAAAABMQEAAAALLTIxMTY1NDkxMDgDAAAAAzE2MAIAAAAGMTAwMDYwBAAAAAEwBwAAAAkyLzI1LzIwMjLE9YaLPw7aCC1WW8tODtoIJ0NJUS5OQVNEQVFHUzpDT1NULklRX1RFVi4zLzQvMjAyMi5VU0QuSAEAAACRagEAAgAAAAsyMzA0NTEuMTE0NQEGAAAABQAAAAExAQAAAAstMjEwOTY2NzI3</t>
  </si>
  <si>
    <t>NQMAAAADMTYwAgAAAAYxMDAwNjAEAAAAATAHAAAACDMvNC8yMDIyxPWGiz8O2ggtVlvLTg7aCChDSVEuTkFTREFRR1M6Q09TVC5JUV9URVYuMy8xMS8yMDIyLlVTRC5IAQAAAJFqAQACAAAADTIzMTI3My4zNTUwMzEBBgAAAAUAAAABMQEAAAALLTIxMDg4NTU5MTkDAAAAAzE2MAIAAAAGMTAwMDYwBAAAAAEwBwAAAAkzLzExLzIwMjLE9YaLPw7aCC1WW8tODtoIKENJUS5OQVNEQVFHUzpDT1NULklRX1RFVi4zLzE4LzIwMjIuVVNELkgBAAAAkWoBAAIAAAANMjQ2MzExLjk1NTE5MQEGAAAABQAAAAExAQAAAAstMjEwODg1NTkxOQMAAAADMTYwAgAAAAYxMDAwNjAEAAAAATAHAAAACTMvMTgvMjAyMsT1hos/DtoILVZby04O2ggoQ0lRLk5BU0RBUUdTOkNPU1QuSVFfVEVWLjMvMjUvMjAyMi5VU0QuSAEAAACRagEAAgAAAA0yNDQ4NzUuOTA4NDkxAQYAAAAFAAAAATEBAAAACy0yMTA4ODU1OTE5AwAAAAMxNjACAAAABjEwMDA2MAQAAAABMAcAAAAJMy8yNC8yMDIyxPWGiz8O2ggtVlvLTg7aCD5DSVEuTkFTREFRR1M6Q09TVC5JUV9ORVRfSU5UX0lOQ19CTksuQ1kyMDIxLjMvMjUvMjAyMi5MLi5VU0QuSAEAAACRagEAAwAAAAAAo4Okiz8O2gjkQ17LTg7aCDpDSVEuTkFTREFRR1M6Q09TVC5JUV9HUk9TU19MT0FOUy5DWTIwMjEuMy8yNS8yMDIyLkwuLlVTRC5IAQAAAJFqAQADAAAAAACjg6SLPw7aCIh0YMtO</t>
  </si>
  <si>
    <t>DtoIOENJUS5OQVNEQVFHUzpDT1NULklRX0dST1NTX0xPQU5TLklRX0NZLTEuQ1kyMDIxLkwuLlVTRC5IAQAAAJFqAQADAAAAAACjg6SLPw7aCORDXstODtoIOUNJUS5OWVNFOldNVC5JUV9ORVRfSU5UX0lOQ19CTksuQ1kyMDIxLjMvMjUvMjAyMi5MLi5VU0QuSAEAAADfxgQAAwAAAAAAo4Okiz8O2gj9PObJTg7aCDVDSVEuTllTRTpXTVQuSVFfR1JPU1NfTE9BTlMuQ1kyMDIxLjMvMjUvMjAyMi5MLi5VU0QuSAEAAADfxgQAAwAAAAAAo4Okiz8O2gjcQ+/JTg7aCDNDSVEuTllTRTpXTVQuSVFfR1JPU1NfTE9BTlMuSVFfQ1ktMS5DWTIwMjEuTC4uVVNELkgBAAAA38YEAAMAAAAAAKODpIs/DtoIllDmyU4O2gg2Q0lRLk5ZU0U6V01ULklRX0dST1NTX01BUkdJTi5DWTIwMjEuMy8yNS8yMDIyLkwuLlVTRC5IAQAAAN/GBAACAAAABzI1LjA5ODcBCAAAAAUAAAABMQEAAAALLTIxMDc2ODYwMDgDAAAAAzE2MAIAAAAENDA3NAQAAAABMAcAAAAJMy8yNS8yMDIyCAAAAAkxLzMxLzIwMjIJAAAAATCjg6SLPw7aCNi758lODtoIO0NJUS5OQVNEQVFHUzpDT1NULklRX0dST1NTX01BUkdJTi5DWTIwMjEuMy8yNS8yMDIyLkwuLlVTRC5IAQAAAJFqAQACAAAABzEyLjc1NjIBCAAAAAUAAAABMQEAAAALLTIxMTY1NDkwNDEDAAAAAzE2MAIAAAAENDA3NAQAAAABMAcAAAAJMy8yNS8yMDIyCAAAAAoxMS8yMS8yMDIxCQAA</t>
  </si>
  <si>
    <t>AAEwo4Okiz8O2gi7l17LTg7aCDdDSVEuTllTRTpXTVQuSVFfRUJJVERBX01BUkdJTi5DWTIwMjEuMy8yNS8yMDIyLkwuLlVTRC5IAQAAAN/GBAACAAAABjYuMzkwMQEIAAAABQAAAAExAQAAAAstMjEwNzY4NjAwOAMAAAADMTYwAgAAAAQ0MDQ3BAAAAAEwBwAAAAkzLzI1LzIwMjIIAAAACTEvMzEvMjAyMgkAAAABMKODpIs/DtoINcfpyU4O2ggxQ0lRLk5ZU0U6V01ULklRX0lOVF9JTkNfVE9UQUwuLjMvMjUvMjAyMi5MLi5VU0QuSAEAAADfxgQAAwAAAAAAo4Okiz8O2gj35+rJTg7aCC9DSVEuTllTRTpXTVQuSVFfTk9OX0lOVF9JTkMuLjMvMjUvMjAyMi5MLi5VU0QuSAEAAADfxgQAAwAAAAAAo4Okiz8O2gj35+rJTg7aCDZDSVEuTkFTREFRR1M6Q09TVC5JUV9JTlRfSU5DX1RPVEFMLi4zLzI1LzIwMjIuTC4uVVNELkgBAAAAkWoBAAMAAAAAAKODpIs/DtoIXGJfy04O2gg0Q0lRLk5BU0RBUUdTOkNPU1QuSVFfTk9OX0lOVF9JTkMuLjMvMjUvMjAyMi5MLi5VU0QuSAEAAACRagEAAwAAAAAAo4Okiz8O2ghcYl/LTg7aCDxDSVEuTkFTREFRR1M6Q09TVC5JUV9FQklUREFfTUFSR0lOLkNZMjAyMS4zLzI1LzIwMjIuTC4uVVNELkgBAAAAkWoBAAIAAAAFNC42MzUBCAAAAAUAAAABMQEAAAALLTIxMTY1NDkwNDEDAAAAAzE2MAIAAAAENDA0NwQAAAABMAcAAAAJMy8yNS8yMDIyCAAAAAoxMS8yMS8yMDIxCQAA</t>
  </si>
  <si>
    <t>AAEwo4Okiz8O2gg3FF/LTg7aCDpDSVEuTkFTREFRR1M6Q09TVC5JUV9FQklUX01BUkdJTi5DWTIwMjEuMy8yNS8yMDIyLkwuLlVTRC5IAQAAAJFqAQACAAAABjMuNzQ0MgEIAAAABQAAAAExAQAAAAstMjExNjU0OTA0MQMAAAADMTYwAgAAAAQ0MDUzBAAAAAEwBwAAAAkzLzI1LzIwMjIIAAAACjExLzIxLzIwMjEJAAAAATCjg6SLPw7aCFxiX8tODtoIN0NJUS5OWVNFOldNVC5JUV9JTlRfSU5DX1RPVEFMLkNZMjAyMS4zLzI1LzIwMjIuTC4uVVNELkgBAAAA38YEAAMAAAAAAKODpIs/DtoILoTryU4O2gg1Q0lRLk5ZU0U6V01ULklRX05PTl9JTlRfSU5DLkNZMjAyMS4zLzI1LzIwMjIuTC4uVVNELkgBAAAA38YEAAMAAAAAAKODpIs/DtoILoTryU4O2gg8Q0lRLk5BU0RBUUdTOkNPU1QuSVFfSU5UX0lOQ19UT1RBTC5DWTIwMjEuMy8yNS8yMDIyLkwuLlVTRC5IAQAAAJFqAQADAAAAAACjg6SLPw7aCFxiX8tODtoIOkNJUS5OQVNEQVFHUzpDT1NULklRX05PTl9JTlRfSU5DLkNZMjAyMS4zLzI1LzIwMjIuTC4uVVNELkgBAAAAkWoBAAMAAAAAAKODpIs/DtoIXGJfy04O2gg1Q0lRLk5ZU0U6V01ULklRX0VCSVRfTUFSR0lOLkNZMjAyMS4zLzI1LzIwMjIuTC4uVVNELkgBAAAA38YEAAIAAAAGNC41MjkzAQgAAAAFAAAAATEBAAAACy0yMTA3Njg2MDA4AwAAAAMxNjACAAAABDQwNTMEAAAAATAHAAAACTMvMjUv</t>
  </si>
  <si>
    <t>MjAyMggAAAAJMS8zMS8yMDIyCQAAAAEwo4Okiz8O2gj35+rJTg7aCDNDSVEuTllTRTpXTVQuSVFfTklfTUFSR0lOLkNZMjAyMS4zLzI1LzIwMjIuTC4uVVNELkgBAAAA38YEAAIAAAAGMi4zODcyAQgAAAAFAAAAATEBAAAACy0yMTA3Njg2MDA4AwAAAAMxNjACAAAABDQwOTQEAAAAATAHAAAACTMvMjUvMjAyMggAAAAJMS8zMS8yMDIyCQAAAAEwo4Okiz8O2gguhOvJTg7aCDhDSVEuTkFTREFRR1M6Q09TVC5JUV9OSV9NQVJHSU4uQ1kyMDIxLjMvMjUvMjAyMi5MLi5VU0QuSAEAAACRagEAAgAAAAYyLjU0MzIBCAAAAAUAAAABMQEAAAALLTIxMTY1NDkwNDEDAAAAAzE2MAIAAAAENDA5NAQAAAABMAcAAAAJMy8yNS8yMDIyCAAAAAoxMS8yMS8yMDIxCQAAAAEwo4Okiz8O2ghcYl/LTg7aCDVDSVEuTkFTREFRR1M6Q09TVC5JUV9FQklUREEuQ1kyMDIxLjMvMjUvMjAyMi5MLi5VU0QuSAEAAACRagEAAgAAAAQ5NDEzAQgAAAAFAAAAATEBAAAACy0yMTE2NTQ5MDQxAwAAAAMxNjACAAAABDQwNTEEAAAAATAHAAAACTMvMjUvMjAyMggAAAAKMTEvMjEvMjAyMQkAAAABMKODpIs/DtoIiHRgy04O2ggwQ0lRLk5ZU0U6V01ULklRX0VCSVREQS5DWTIwMjEuMy8yNS8yMDIyLkwuLlVTRC5IAQAAAN/GBAACAAAABTM2NjAwAQgAAAAFAAAAATEBAAAACy0yMTA3Njg2MDA4AwAAAAMxNjACAAAABDQwNTEEAAAAATAHAAAA</t>
  </si>
  <si>
    <t>CTMvMjUvMjAyMggAAAAJMS8zMS8yMDIyCQAAAAEwo4Okiz8O2gi25u7JTg7aCDRDSVEuTllTRTpXTVQuSVFfU0dBX01BUkdJTi5DWTIwMjEuMy8yNS8yMDIyLkwuLlVTRC5IAQAAAN/GBAACAAAABzIwLjU2OTMBCAAAAAUAAAABMQEAAAALLTIxMDc2ODYwMDgDAAAAAzE2MAIAAAAENDM3NQQAAAABMAcAAAAJMy8yNS8yMDIyCAAAAAkxLzMxLzIwMjIJAAAAATCjg6SLPw7aCNxD78lODtoIOUNJUS5OQVNEQVFHUzpDT1NULklRX1NHQV9NQVJHSU4uQ1kyMDIxLjMvMjUvMjAyMi5MLi5VU0QuSAEAAACRagEAAgAAAAY4Ljk3NDYBCAAAAAUAAAABMQEAAAALLTIxMTY1NDkwNDEDAAAAAzE2MAIAAAAENDM3NQQAAAABMAcAAAAJMy8yNS8yMDIyCAAAAAoxMS8yMS8yMDIxCQAAAAEwo4Okiz8O2gh3nWDLTg7aCCxDSVEuTllTRTpXTVQuSVFfQVIuQ1kyMDIxLjMvMjUvMjAyMi5MLi5VU0QuSAEAAADfxgQAAgAAAAQ4MjgwAQgAAAAFAAAAATEBAAAACy0yMTA3Njg2MDA4AwAAAAMxNjACAAAABDEwMjEEAAAAATAHAAAACTMvMjUvMjAyMggAAAAJMS8zMS8yMDIyCQAAAAEwx6qkiz8O2gi7VPHJTg7aCCpDSVEuTllTRTpXTVQuSVFfQVIuSVFfQ1ktMS5DWTIwMjEuTC4uVVNELkgBAAAA38YEAAIAAAAENjUxNgEIAAAABQAAAAExAQAAAAstMjEwNzY4NTk3NwMAAAADMTYwAgAAAAQxMDIxBAAAAAEwBwAAAAkzLzI1LzIw</t>
  </si>
  <si>
    <t>MjIIAAAACTEvMzEvMjAyMQkAAAABMMeqpIs/DtoIu1TxyU4O2gg/Q0lRLk5ZU0U6V01ULklRX05PTl9QRVJGT1JNSU5HX0FTU0VUUy5DWTIwMjEuMy8yNS8yMDIyLkwuLlVTRC5IAQAAAN/GBAADAAAAAADHqqSLPw7aCLtU8clODtoIMUNJUS5OQVNEQVFHUzpDT1NULklRX0FSLkNZMjAyMS4zLzI1LzIwMjIuTC4uVVNELkgBAAAAkWoBAAIAAAAEMTkzMgEIAAAABQAAAAExAQAAAAstMjExNjU0OTA0MQMAAAADMTYwAgAAAAQxMDIxBAAAAAEwBwAAAAkzLzI1LzIwMjIIAAAACjExLzIxLzIwMjEJAAAAATDHqqSLPw7aCK9AYctODtoIL0NJUS5OQVNEQVFHUzpDT1NULklRX0FSLklRX0NZLTEuQ1kyMDIxLkwuLlVTRC5IAQAAAJFqAQACAAAABDE2NDYBCAAAAAUAAAABMQEAAAALLTIxMTY1NDkwMzkDAAAAAzE2MAIAAAAEMTAyMQQAAAABMAcAAAAJMy8yNS8yMDIyCAAAAAoxMS8yMi8yMDIwCQAAAAEwx6qkiz8O2givQGHLTg7aCERDSVEuTkFTREFRR1M6Q09TVC5JUV9OT05fUEVSRk9STUlOR19BU1NFVFMuQ1kyMDIxLjMvMjUvMjAyMi5MLi5VU0QuSAEAAACRagEAAwAAAAAAx6qkiz8O2givQGHLTg7aCDhDSVEuTkFTREFRR1M6Q09TVC5JUV9JTlZFTlRPUlkuQ1kyMDIxLjMvMjUvMjAyMi5MLi5VU0QuSAEAAACRagEAAgAAAAUxNjk0MgEIAAAABQAAAAExAQAAAAstMjExNjU0OTA0MQMAAAADMTYwAgAAAAQx</t>
  </si>
  <si>
    <t>MDQzBAAAAAEwBwAAAAkzLzI1LzIwMjIIAAAACjExLzIxLzIwMjEJAAAAATDHqqSLPw7aCL9nYctODtoINkNJUS5OQVNEQVFHUzpDT1NULklRX0lOVkVOVE9SWS5JUV9DWS0xLkNZMjAyMS5MLi5VU0QuSAEAAACRagEAAgAAAAUxNDkwMQEIAAAABQAAAAExAQAAAAstMjExNjU0OTAzOQMAAAADMTYwAgAAAAQxMDQzBAAAAAEwBwAAAAkzLzI1LzIwMjIIAAAACjExLzIyLzIwMjAJAAAAATDHqqSLPw7aCL9nYctODtoIMENJUS5OWVNFOldNVC5JUV9FUFNfRVNULkZZMjAyMy4xMC8yOC8yMDIxLi5GLlVTRAEAAADfxgQAAgAAAAc2LjU3ODg3AQ4AAAAFAAAAATMBAAAABzI2NjMyMjICAAAACjEwMDIwODI3NjIDAAAABjEwMDE3MwQAAAABMgYAAAABMAcAAAADMTYwCAAAAAEwCQAAAAExCgAAAAEwCwAAAAsxMjU5MjE2OTQwNwwAAAABMQ0AAAAKMTAvMjkvMjAyMRAAAAAKMTAvMjgvMjAyMceqpIs/DtoIKwlXy04O2gguQ0lRLk5ZU0U6V01ULklRX0VQU19FU1QuRlkyMDIzLjkvMi8yMDIxLi5GLlVTRAEAAADfxgQAAgAAAAc2LjU1MDc0AQ4AAAAFAAAAATMBAAAABzI2NjMyMjICAAAACjEwMDIwODI3NjIDAAAABjEwMDE3MwQAAAABMgYAAAABMAcAAAADMTYwCAAAAAEwCQAAAAExCgAAAAEwCwAAAAsxMjUzMDk1NTc1NQwAAAABMQ0AAAAIOS8zLzIwMjEQAAAACDkvMi8yMDIxx6qkiz8O2gix3FbLTg7aCC9DSVEu</t>
  </si>
  <si>
    <t>TllTRTpXTVQuSVFfRVBTX0VTVC5GWTIwMjMuOS8zMC8yMDIxLi5GLlVTRAEAAADfxgQAAgAAAAc2LjU2MDQzAQ4AAAAFAAAAATMBAAAABzI2NjMyMjICAAAACjEwMDIwODI3NjIDAAAABjEwMDE3MwQAAAABMgYAAAABMAcAAAADMTYwCAAAAAEwCQAAAAExCgAAAAEwCwAAAAsxMjU1OTkzNzExNAwAAAABMQ0AAAAJMTAvMS8yMDIxEAAAAAk5LzMwLzIwMjHHqqSLPw7aCCsJV8tODtoIL0NJUS5OWVNFOldNVC5JUV9FUFNfRVNULkZZMjAyMy4xLzIwLzIwMjIuLkYuVVNEAQAAAN/GBAACAAAABzYuNjg2NzgBDgAAAAUAAAABMwEAAAAHMjY2MzIyMgIAAAAKMTAwMjA4Mjc2MgMAAAAGMTAwMTczBAAAAAEyBgAAAAEwBwAAAAMxNjAIAAAAATAJAAAAATEKAAAAATALAAAACzEyNzEwOTcyNzg5DAAAAAExDQAAAAkxLzIxLzIwMjIQAAAACTEvMjAvMjAyMseqpIs/DtoI5ENey04O2gguQ0lRLk5ZU0U6V01ULklRX0VQU19FU1QuRlkyMDIzLjYvMy8yMDIxLi5GLlVTRAEAAADfxgQAAgAAAAc2LjIxOTcxAQ4AAAAFAAAAATMBAAAABzI2NjMyMjICAAAACjEwMDIwODI3NjIDAAAABjEwMDE3MwQAAAABMgYAAAABMAcAAAADMTYwCAAAAAEwCQAAAAExCgAAAAEwCwAAAAsxMjQyNjc5MjQ3MgwAAAABMQ0AAAAINi80LzIwMjEQAAAACDYvMy8yMDIxx6qkiz8O2giUjlbLTg7aCC9DSVEuTllTRTpXTVQuSVFfRVBTX0VTVC5G</t>
  </si>
  <si>
    <t>WTIwMjMuMTIvOS8yMDIxLi5GLlVTRAEAAADfxgQAAgAAAAc2LjY3NTEyAQ4AAAAFAAAAATMBAAAABzI2NjMyMjICAAAACjEwMDIwODI3NjIDAAAABjEwMDE3MwQAAAABMgYAAAABMAcAAAADMTYwCAAAAAEwCQAAAAExCgAAAAEwCwAAAAsxMjY3MDk2MDYwNwwAAAABMQ0AAAAKMTIvMTAvMjAyMRAAAAAJMTIvOS8yMDIxx6qkiz8O2gjlMlfLTg7aCC9DSVEuTllTRTpXTVQuSVFfRVBTX0VTVC5GWTIwMjMuMy8xMC8yMDIyLi5GLlVTRAEAAADfxgQAAgAAAAY2LjczMzkBDgAAAAUAAAABMwEAAAAHMjY2MzIyMgIAAAAKMTAwMjA4Mjc2MgMAAAAGMTAwMTczBAAAAAEyBgAAAAEwBwAAAAMxNjAIAAAAATAJAAAAATEKAAAAATALAAAACzEyNzcxMDcyNjIyDAAAAAExDQAAAAkzLzExLzIwMjIQAAAACTMvMTAvMjAyMseqpIs/DtoIWpxgy04O2ggwQ0lRLk5ZU0U6V01ULklRX0VQU19FU1QuRlkyMDIzLjExLzExLzIwMjEuLkYuVVNEAQAAAN/GBAACAAAABjYuNTc2NQEOAAAABQAAAAEzAQAAAAcyNjYzMjIyAgAAAAoxMDAyMDgyNzYyAwAAAAYxMDAxNzMEAAAAATIGAAAAATAHAAAAAzE2MAgAAAABMAkAAAABMQoAAAABMAsAAAALMTI2NDgwMzc4NDUMAAAAATENAAAACjExLzEyLzIwMjEQAAAACjExLzExLzIwMjHHqqSLPw7aCOUyV8tODtoIL0NJUS5OWVNFOldNVC5JUV9FUFNfRVNULkZZMjAyMy42LzE3LzIwMjEu</t>
  </si>
  <si>
    <t>LkYuVVNEAQAAAN/GBAACAAAABzYuMjI4MzEBDgAAAAUAAAABMwEAAAAHMjY2MzIyMgIAAAAKMTAwMjA4Mjc2MgMAAAAGMTAwMTczBAAAAAEyBgAAAAEwBwAAAAMxNjAIAAAAATAJAAAAATEKAAAAATALAAAACzEyNDM4NzI3MDY0DAAAAAExDQAAAAk2LzE4LzIwMjEQAAAACTYvMTcvMjAyMceqpIs/DtoIq7VWy04O2ggvQ0lRLk5ZU0U6V01ULklRX0VQU19FU1QuRlkyMDIzLjUvMTMvMjAyMS4uRi5VU0QBAAAA38YEAAIAAAAHNS44ODMwMgEOAAAABQAAAAEzAQAAAAcyNjYzMjIyAgAAAAoxMDAyMDgyNzYyAwAAAAYxMDAxNzMEAAAAATIGAAAAATAHAAAAAzE2MAgAAAABMAkAAAABMQoAAAABMAsAAAALMTIzODU1NDU2ODMMAAAAATENAAAACTUvMTQvMjAyMRAAAAAJNS8xMy8yMDIxx6qkiz8O2giUjlbLTg7aCC9DSVEuTllTRTpXTVQuSVFfRVBTX0VTVC5GWTIwMjMuMTEvNC8yMDIxLi5GLlVTRAEAAADfxgQAAgAAAAc2LjU3ODQ4AQ4AAAAFAAAAATMBAAAABzI2NjMyMjICAAAACjEwMDIwODI3NjIDAAAABjEwMDE3MwQAAAABMgYAAAABMAcAAAADMTYwCAAAAAEwCQAAAAExCgAAAAEwCwAAAAsxMjY0MTQyOTY1OQwAAAABMQ0AAAAJMTEvNS8yMDIxEAAAAAkxMS80LzIwMjHHqqSLPw7aCOUyV8tODtoILkNJUS5OWVNFOldNVC5JUV9FUFNfRVNULkZZMjAyMy4zLzMvMjAyMi4uRi5VU0QBAAAA38YEAAIAAAAG</t>
  </si>
  <si>
    <t>Ni43MzM5AQ4AAAAFAAAAATMBAAAABzI2NjMyMjICAAAACjEwMDIwODI3NjIDAAAABjEwMDE3MwQAAAABMgYAAAABMAcAAAADMTYwCAAAAAEwCQAAAAExCgAAAAEwCwAAAAsxMjc3MTA3MjYyMgwAAAABMQ0AAAAIMy80LzIwMjIQAAAACDMvMy8yMDIyx6qkiz8O2giIdGDLTg7aCC9DSVEuTllTRTpXTVQuSVFfRVBTX0VTVC5GWTIwMjMuNS8yMC8yMDIxLi5GLlVTRAEAAADfxgQAAgAAAAc2LjIyNDU2AQ4AAAAFAAAAATMBAAAABzI2NjMyMjICAAAACjEwMDIwODI3NjIDAAAABjEwMDE3MwQAAAABMgYAAAABMAcAAAADMTYwCAAAAAEwCQAAAAExCgAAAAEwCwAAAAsxMjM5NzA2OTE3NQwAAAABMQ0AAAAJNS8yMS8yMDIxEAAAAAk1LzIwLzIwMjHHqqSLPw7aCJSOVstODtoIMENJUS5OWVNFOldNVC5JUV9FUFNfRVNULkZZMjAyMy4xMC8xNC8yMDIxLi5GLlVTRAEAAADfxgQAAgAAAAc2LjU2MDQzAQ4AAAAFAAAAATMBAAAABzI2NjMyMjICAAAACjEwMDIwODI3NjIDAAAABjEwMDE3MwQAAAABMgYAAAABMAcAAAADMTYwCAAAAAEwCQAAAAExCgAAAAEwCwAAAAsxMjU1OTkzNzExNAwAAAABMQ0AAAAKMTAvMTUvMjAyMRAAAAAKMTAvMTQvMjAyMceqpIs/DtoIKwlXy04O2ggvQ0lRLk5ZU0U6V01ULklRX0VQU19FU1QuRlkyMDIzLjIvMTcvMjAyMi4uRi5VU0QBAAAA38YEAAIAAAAHNi43MTAyOAEOAAAABQAAAAEz</t>
  </si>
  <si>
    <t>AQAAAAcyNjYzMjIyAgAAAAoxMDAyMDgyNzYyAwAAAAYxMDAxNzMEAAAAATIGAAAAATAHAAAAAzE2MAgAAAABMAkAAAABMQoAAAABMAsAAAALMTI3NTY0NTkxOTcMAAAAATENAAAACTIvMTgvMjAyMhAAAAAJMi8xNy8yMDIyx6qkiz8O2ghcYl/LTg7aCC9DSVEuTllTRTpXTVQuSVFfRVBTX0VTVC5GWTIwMjMuNi8xMC8yMDIxLi5GLlVTRAEAAADfxgQAAgAAAAY2LjIyODIBDgAAAAUAAAABMwEAAAAHMjY2MzIyMgIAAAAKMTAwMjA4Mjc2MgMAAAAGMTAwMTczBAAAAAEyBgAAAAEwBwAAAAMxNjAIAAAAATAJAAAAATEKAAAAATALAAAACzEyNDMzMzk1MDQ0DAAAAAExDQAAAAk2LzExLzIwMjEQAAAACTYvMTAvMjAyMceqpIs/DtoIq7VWy04O2ggvQ0lRLk5ZU0U6V01ULklRX0VQU19FU1QuRlkyMDIzLjgvMTIvMjAyMS4uRi5VU0QBAAAA38YEAAIAAAAHNi4yOTU2NgEOAAAABQAAAAEzAQAAAAcyNjYzMjIyAgAAAAoxMDAyMDgyNzYyAwAAAAYxMDAxNzMEAAAAATIGAAAAATAHAAAAAzE2MAgAAAABMAkAAAABMQoAAAABMAsAAAALMTI1MTUzNzcxMjIMAAAAATENAAAACTgvMTMvMjAyMRAAAAAJOC8xMi8yMDIxx6qkiz8O2gix3FbLTg7aCC5DSVEuTllTRTpXTVQuSVFfRVBTX0VTVC5GWTIwMjMuOS85LzIwMjEuLkYuVVNEAQAAAN/GBAACAAAABzYuNTU2MDYBDgAAAAUAAAABMwEAAAAHMjY2MzIyMgIAAAAKMTAw</t>
  </si>
  <si>
    <t>MjA4Mjc2MgMAAAAGMTAwMTczBAAAAAEyBgAAAAEwBwAAAAMxNjAIAAAAATAJAAAAATEKAAAAATALAAAACzEyNTQ0ODYwMDE4DAAAAAExDQAAAAk5LzEwLzIwMjEQAAAACDkvOS8yMDIxx6qkiz8O2gix3FbLTg7aCC5DSVEuTllTRTpXTVQuSVFfRVBTX0VTVC5GWTIwMjMuMS82LzIwMjIuLkYuVVNEAQAAAN/GBAACAAAABzYuNjkzNTYBDgAAAAUAAAABMwEAAAAHMjY2MzIyMgIAAAAKMTAwMjA4Mjc2MgMAAAAGMTAwMTczBAAAAAEyBgAAAAEwBwAAAAMxNjAIAAAAATAJAAAAATEKAAAAATALAAAACzEyNjg2MzcwOTY1DAAAAAExDQAAAAgxLzcvMjAyMhAAAAAIMS82LzIwMjLHqqSLPw7aCE9lV8tODtoIL0NJUS5OWVNFOldNVC5JUV9FUFNfRVNULkZZMjAyMy40LzI5LzIwMjEuLkYuVVNEAQAAAN/GBAACAAAABzUuODc4MTIBDgAAAAUAAAABMwEAAAAHMjY2MzIyMgIAAAAKMTAwMjA4Mjc2MgMAAAAGMTAwMTczBAAAAAEyBgAAAAEwBwAAAAMxNjAIAAAAATAJAAAAATEKAAAAATALAAAACzEyMzk0MDYzMjI4DAAAAAExDQAAAAk0LzMwLzIwMjEQAAAACTQvMjkvMjAyMceqpIs/DtoIlI5Wy04O2ggvQ0lRLk5ZU0U6V01ULklRX0VQU19FU1QuRlkyMDIzLjEyLzIvMjAyMS4uRi5VU0QBAAAA38YEAAIAAAAHNi42NzUxMgEOAAAABQAAAAEzAQAAAAcyNjYzMjIyAgAAAAoxMDAyMDgyNzYyAwAAAAYxMDAxNzMEAAAA</t>
  </si>
  <si>
    <t>ATIGAAAAATAHAAAAAzE2MAgAAAABMAkAAAABMQoAAAABMAsAAAALMTI2NzA5NjA2MDcMAAAAATENAAAACTEyLzMvMjAyMRAAAAAJMTIvMi8yMDIxx6qkiz8O2gjlMlfLTg7aCC9DSVEuTllTRTpXTVQuSVFfRVBTX0VTVC5GWTIwMjMuNC8xNS8yMDIxLi5GLlVTRAEAAADfxgQAAgAAAAc1Ljg3ODEyAQ4AAAAFAAAAATMBAAAABzI2NjMyMjICAAAACjEwMDIwODI3NjIDAAAABjEwMDE3MwQAAAABMgYAAAABMAcAAAADMTYwCAAAAAEwCQAAAAExCgAAAAEwCwAAAAsxMjM5NDA2MzIyOAwAAAABMQ0AAAAJNC8xNi8yMDIxEAAAAAk0LzE1LzIwMjHHqqSLPw7aCLJnVstODtoIMENJUS5OWVNFOldNVC5JUV9FUFNfRVNULkZZMjAyMy4xMS8xOC8yMDIxLi5GLlVTRAEAAADfxgQAAgAAAAc2LjY3MTk0AQ4AAAAFAAAAATMBAAAABzI2NjMyMjICAAAACjEwMDIwODI3NjIDAAAABjEwMDE3MwQAAAABMgYAAAABMAcAAAADMTYwCAAAAAEwCQAAAAExCgAAAAEwCwAAAAsxMjY1Nzk2MTEwMgwAAAABMQ0AAAAKMTEvMTkvMjAyMRAAAAAKMTEvMTgvMjAyMceqpIs/DtoI5TJXy04O2gguQ0lRLk5ZU0U6V01ULklRX0VQU19FU1QuRlkyMDIzLjUvNi8yMDIxLi5GLlVTRAEAAADfxgQAAgAAAAc1Ljg3ODEyAQ4AAAAFAAAAATMBAAAABzI2NjMyMjICAAAACjEwMDIwODI3NjIDAAAABjEwMDE3MwQAAAABMgYAAAABMAcAAAADMTYw</t>
  </si>
  <si>
    <t>CAAAAAEwCQAAAAExCgAAAAEwCwAAAAsxMjM5NDA2MzIyOAwAAAABMQ0AAAAINS83LzIwMjEQAAAACDUvNi8yMDIxx6qkiz8O2giUjlbLTg7aCC9DSVEuTllTRTpXTVQuSVFfRVBTX0VTVC5GWTIwMjMuMTAvNy8yMDIxLi5GLlVTRAEAAADfxgQAAgAAAAc2LjU2MDQzAQ4AAAAFAAAAATMBAAAABzI2NjMyMjICAAAACjEwMDIwODI3NjIDAAAABjEwMDE3MwQAAAABMgYAAAABMAcAAAADMTYwCAAAAAEwCQAAAAExCgAAAAEwCwAAAAsxMjU1OTkzNzExNAwAAAABMQ0AAAAJMTAvOC8yMDIxEAAAAAkxMC83LzIwMjHHqqSLPw7aCCsJV8tODtoILkNJUS5OWVNFOldNVC5JUV9FUFNfRVNULkZZMjAyMy4yLzMvMjAyMi4uRi5VU0QBAAAA38YEAAIAAAAGNi42OTA3AQ4AAAAFAAAAATMBAAAABzI2NjMyMjICAAAACjEwMDIwODI3NjIDAAAABjEwMDE3MwQAAAABMgYAAAABMAcAAAADMTYwCAAAAAEwCQAAAAExCgAAAAEwCwAAAAsxMjczMzc2MjQxMwwAAAABMQ0AAAAIMi80LzIwMjIQAAAACDIvMy8yMDIyx6qkiz8O2ggvEF/LTg7aCC9DSVEuTllTRTpXTVQuSVFfRVBTX0VTVC5GWTIwMjMuNS8yNy8yMDIxLi5GLlVTRAEAAADfxgQAAgAAAAc2LjIyOTExAQ4AAAAFAAAAATMBAAAABzI2NjMyMjICAAAACjEwMDIwODI3NjIDAAAABjEwMDE3MwQAAAABMgYAAAABMAcAAAADMTYwCAAAAAEwCQAAAAExCgAAAAEwCwAAAAsx</t>
  </si>
  <si>
    <t>MjQxODAxMzQ1NQwAAAABMQ0AAAAJNS8yOC8yMDIxEAAAAAk1LzI3LzIwMjHHqqSLPw7aCJSOVstODtoILkNJUS5OWVNFOldNVC5JUV9FUFNfRVNULkZZMjAyMy40LzgvMjAyMS4uRi5VU0QBAAAA38YEAAIAAAAHNS44NzgxMgEOAAAABQAAAAEzAQAAAAcyNjYzMjIyAgAAAAoxMDAyMDgyNzYyAwAAAAYxMDAxNzMEAAAAATIGAAAAATAHAAAAAzE2MAgAAAABMAkAAAABMQoAAAABMAsAAAALMTIzOTQwNjMyMjgMAAAAATENAAAACDQvOS8yMDIxEAAAAAg0LzgvMjAyMceqpIs/DtoIsmdWy04O2ggvQ0lRLk5ZU0U6V01ULklRX0VQU19FU1QuRlkyMDIzLjIvMTAvMjAyMi4uRi5VU0QBAAAA38YEAAIAAAAHNi42OTIzNgEOAAAABQAAAAEzAQAAAAcyNjYzMjIyAgAAAAoxMDAyMDgyNzYyAwAAAAYxMDAxNzMEAAAAATIGAAAAATAHAAAAAzE2MAgAAAABMAkAAAABMQoAAAABMAsAAAALMTI3NDA3ODg0NjkMAAAAATENAAAACTIvMTEvMjAyMhAAAAAJMi8xMC8yMDIyx6qkiz8O2ghcYl/LTg7aCDBDSVEuTllTRTpXTVQuSVFfRVBTX0VTVC5GWTIwMjMuMTIvMzAvMjAyMS4uRi5VU0QBAAAA38YEAAIAAAAHNi42OTM1NgEOAAAABQAAAAEzAQAAAAcyNjYzMjIyAgAAAAoxMDAyMDgyNzYyAwAAAAYxMDAxNzMEAAAAATIGAAAAATAHAAAAAzE2MAgAAAABMAkAAAABMQoAAAABMAsAAAALMTI2ODYzNzA5NjUMAAAAATENAAAA</t>
  </si>
  <si>
    <t>CjEyLzMxLzIwMjEQAAAACjEyLzMwLzIwMjHHqqSLPw7aCE9lV8tODtoIL0NJUS5OWVNFOldNVC5JUV9FUFNfRVNULkZZMjAyMy4yLzI0LzIwMjIuLkYuVVNEAQAAAN/GBAACAAAABzYuNzMzNDEBDgAAAAUAAAABMwEAAAAHMjY2MzIyMgIAAAAKMTAwMjA4Mjc2MgMAAAAGMTAwMTczBAAAAAEyBgAAAAEwBwAAAAMxNjAIAAAAATAJAAAAATEKAAAAATALAAAACzEyNzU5NDk0MzA4DAAAAAExDQAAAAkyLzI1LzIwMjIQAAAACTIvMjQvMjAyMseqpIs/DtoInP5fy04O2ggvQ0lRLk5ZU0U6V01ULklRX0VQU19FU1QuRlkyMDIzLjQvMjIvMjAyMS4uRi5VU0QBAAAA38YEAAIAAAAHNS44NzgxMgEOAAAABQAAAAEzAQAAAAcyNjYzMjIyAgAAAAoxMDAyMDgyNzYyAwAAAAYxMDAxNzMEAAAAATIGAAAAATAHAAAAAzE2MAgAAAABMAkAAAABMQoAAAABMAsAAAALMTIzOTQwNjMyMjgMAAAAATENAAAACTQvMjMvMjAyMRAAAAAJNC8yMi8yMDIxx6qkiz8O2giUjlbLTg7aCC9DSVEuTllTRTpXTVQuSVFfRVBTX0VTVC5GWTIwMjMuNy8yMi8yMDIxLi5GLlVTRAEAAADfxgQAAgAAAAY2LjI1NzQBDgAAAAUAAAABMwEAAAAHMjY2MzIyMgIAAAAKMTAwMjA4Mjc2MgMAAAAGMTAwMTczBAAAAAEyBgAAAAEwBwAAAAMxNjAIAAAAATAJAAAAATEKAAAAATALAAAACzEyNDY0NDUxNjY1DAAAAAExDQAAAAk3LzIzLzIwMjEQAAAACTcv</t>
  </si>
  <si>
    <t>MjIvMjAyMceqpIs/DtoIq7VWy04O2ggvQ0lRLk5ZU0U6V01ULklRX0VQU19FU1QuRlkyMDIzLjEvMTMvMjAyMi4uRi5VU0QBAAAA38YEAAIAAAAHNi42OTUyNwEOAAAABQAAAAEzAQAAAAcyNjYzMjIyAgAAAAoxMDAyMDgyNzYyAwAAAAYxMDAxNzMEAAAAATIGAAAAATAHAAAAAzE2MAgAAAABMAkAAAABMQoAAAABMAsAAAALMTI3MDEzMzcwNTgMAAAAATENAAAACTEvMTQvMjAyMhAAAAAJMS8xMy8yMDIyx6qkiz8O2gi7dljLTg7aCC5DSVEuTllTRTpXTVQuSVFfRVBTX0VTVC5GWTIwMjMuNC8xLzIwMjEuLkYuVVNEAQAAAN/GBAACAAAABzUuODc3NzkBDgAAAAUAAAABMwEAAAAHMjY2MzIyMgIAAAAKMTAwMjA4Mjc2MgMAAAAGMTAwMTczBAAAAAEyBgAAAAEwBwAAAAMxNjAIAAAAATAJAAAAATEKAAAAATALAAAACzEyMzk1NTg4OTQzDAAAAAExDQAAAAg0LzIvMjAyMRAAAAAINC8xLzIwMjHHqqSLPw7aCLJnVstODtoIL0NJUS5OWVNFOldNVC5JUV9FUFNfRVNULkZZMjAyMy45LzIzLzIwMjEuLkYuVVNEAQAAAN/GBAACAAAABzYuNTYwNDMBDgAAAAUAAAABMwEAAAAHMjY2MzIyMgIAAAAKMTAwMjA4Mjc2MgMAAAAGMTAwMTczBAAAAAEyBgAAAAEwBwAAAAMxNjAIAAAAATAJAAAAATEKAAAAATALAAAACzEyNTU5OTM3MTE0DAAAAAExDQAAAAk5LzI0LzIwMjEQAAAACTkvMjMvMjAyMceqpIs/DtoIKwlXy04O</t>
  </si>
  <si>
    <t>2ggvQ0lRLk5ZU0U6V01ULklRX0VQU19FU1QuRlkyMDIzLjEvMjcvMjAyMi4uRi5VU0QBAAAA38YEAAIAAAAHNi42ODc3NgEOAAAABQAAAAEzAQAAAAcyNjYzMjIyAgAAAAoxMDAyMDgyNzYyAwAAAAYxMDAxNzMEAAAAATIGAAAAATAHAAAAAzE2MAgAAAABMAkAAAABMQoAAAABMAsAAAALMTI3MjE4ODYxMjQMAAAAATENAAAACTEvMjgvMjAyMhAAAAAJMS8yNy8yMDIyx6qkiz8O2gjkQ17LTg7aCC9DSVEuTllTRTpXTVQuSVFfRVBTX0VTVC5GWTIwMjMuOC8yNi8yMDIxLi5GLlVTRAEAAADfxgQAAgAAAAc2LjU1MDc0AQ4AAAAFAAAAATMBAAAABzI2NjMyMjICAAAACjEwMDIwODI3NjIDAAAABjEwMDE3MwQAAAABMgYAAAABMAcAAAADMTYwCAAAAAEwCQAAAAExCgAAAAEwCwAAAAsxMjUzMDk1NTc1NQwAAAABMQ0AAAAJOC8yNy8yMDIxEAAAAAk4LzI2LzIwMjHHqqSLPw7aCLHcVstODtoILkNJUS5OWVNFOldNVC5JUV9FUFNfRVNULkZZMjAyMy43LzgvMjAyMS4uRi5VU0QBAAAA38YEAAIAAAAHNi4yNTEzNAEOAAAABQAAAAEzAQAAAAcyNjYzMjIyAgAAAAoxMDAyMDgyNzYyAwAAAAYxMDAxNzMEAAAAATIGAAAAATAHAAAAAzE2MAgAAAABMAkAAAABMQoAAAABMAsAAAALMTI0NTY0MDc0NTUMAAAAATENAAAACDcvOS8yMDIxEAAAAAg3LzgvMjAyMceqpIs/DtoIq7VWy04O2ggvQ0lRLk5ZU0U6V01ULklRX0VQ</t>
  </si>
  <si>
    <t>U19FU1QuRlkyMDIzLjgvMTkvMjAyMS4uRi5VU0QBAAAA38YEAAIAAAAHNi41MzY2OAEOAAAABQAAAAEzAQAAAAcyNjYzMjIyAgAAAAoxMDAyMDgyNzYyAwAAAAYxMDAxNzMEAAAAATIGAAAAATAHAAAAAzE2MAgAAAABMAkAAAABMQoAAAABMAsAAAALMTI1MjUyNzM5NzkMAAAAATENAAAACTgvMjAvMjAyMRAAAAAJOC8xOS8yMDIxx6qkiz8O2gix3FbLTg7aCC5DSVEuTllTRTpXTVQuSVFfRVBTX0VTVC5GWTIwMjMuNy8xLzIwMjEuLkYuVVNEAQAAAN/GBAACAAAABzYuMjQwNzQBDgAAAAUAAAABMwEAAAAHMjY2MzIyMgIAAAAKMTAwMjA4Mjc2MgMAAAAGMTAwMTczBAAAAAEyBgAAAAEwBwAAAAMxNjAIAAAAATAJAAAAATEKAAAAATALAAAACzEyNDQ0NzIxODM4DAAAAAExDQAAAAg3LzIvMjAyMRAAAAAINy8xLzIwMjHHqqSLPw7aCKu1VstODtoIL0NJUS5OWVNFOldNVC5JUV9FUFNfRVNULkZZMjAyMy43LzI5LzIwMjEuLkYuVVNEAQAAAN/GBAACAAAABjYuMjU3NAEOAAAABQAAAAEzAQAAAAcyNjYzMjIyAgAAAAoxMDAyMDgyNzYyAwAAAAYxMDAxNzMEAAAAATIGAAAAATAHAAAAAzE2MAgAAAABMAkAAAABMQoAAAABMAsAAAALMTI0NjQ0NTE2NjUMAAAAATENAAAACTcvMzAvMjAyMRAAAAAJNy8yOS8yMDIxx6qkiz8O2gix3FbLTg7aCC9DSVEuTllTRTpXTVQuSVFfRVBTX0VTVC5GWTIwMjMuNy8xNS8yMDIx</t>
  </si>
  <si>
    <t>Li5GLlVTRAEAAADfxgQAAgAAAAY2LjI1NzQBDgAAAAUAAAABMwEAAAAHMjY2MzIyMgIAAAAKMTAwMjA4Mjc2MgMAAAAGMTAwMTczBAAAAAEyBgAAAAEwBwAAAAMxNjAIAAAAATAJAAAAATEKAAAAATALAAAACzEyNDY0NDUxNjY1DAAAAAExDQAAAAk3LzE2LzIwMjEQAAAACTcvMTUvMjAyMceqpIs/DtoIq7VWy04O2ggwQ0lRLk5ZU0U6V01ULklRX0VQU19FU1QuRlkyMDIzLjEyLzIzLzIwMjEuLkYuVVNEAQAAAN/GBAACAAAABzYuNjkzNTYBDgAAAAUAAAABMwEAAAAHMjY2MzIyMgIAAAAKMTAwMjA4Mjc2MgMAAAAGMTAwMTczBAAAAAEyBgAAAAEwBwAAAAMxNjAIAAAAATAJAAAAATEKAAAAATALAAAACzEyNjg2MzcwOTY1DAAAAAExDQAAAAoxMi8yNC8yMDIxEAAAAAoxMi8yMy8yMDIxx6qkiz8O2ghPZVfLTg7aCC9DSVEuTllTRTpXTVQuSVFfRVBTX0VTVC5GWTIwMjMuMy8yNS8yMDIxLi5GLlVTRAEAAADfxgQAAgAAAAc1Ljg3Nzc5AQ4AAAAFAAAAATMBAAAABzI2NjMyMjICAAAACjEwMDIwODI3NjIDAAAABjEwMDE3MwQAAAABMgYAAAABMAcAAAADMTYwCAAAAAEwCQAAAAExCgAAAAEwCwAAAAsxMjM5NTU4ODk0MwwAAAABMQ0AAAAJMy8yNi8yMDIxEAAAAAkzLzI1LzIwMjHHqqSLPw7aCLJnVstODtoIL0NJUS5OWVNFOldNVC5JUV9FUFNfRVNULkZZMjAyMy45LzE2LzIwMjEuLkYuVVNEAQAAAN/GBAAC</t>
  </si>
  <si>
    <t>AAAABzYuNTU2MDYBDgAAAAUAAAABMwEAAAAHMjY2MzIyMgIAAAAKMTAwMjA4Mjc2MgMAAAAGMTAwMTczBAAAAAEyBgAAAAEwBwAAAAMxNjAIAAAAATAJAAAAATEKAAAAATALAAAACzEyNTQ0ODYwMDE4DAAAAAExDQAAAAk5LzE3LzIwMjEQAAAACTkvMTYvMjAyMceqpIs/DtoIKwlXy04O2ggwQ0lRLk5ZU0U6V01ULklRX0VQU19FU1QuRlkyMDIzLjEwLzIxLzIwMjEuLkYuVVNEAQAAAN/GBAACAAAABzYuNTc4ODcBDgAAAAUAAAABMwEAAAAHMjY2MzIyMgIAAAAKMTAwMjA4Mjc2MgMAAAAGMTAwMTczBAAAAAEyBgAAAAEwBwAAAAMxNjAIAAAAATAJAAAAATEKAAAAATALAAAACzEyNTkyMTY5NDA3DAAAAAExDQAAAAoxMC8yMi8yMDIxEAAAAAoxMC8yMS8yMDIxx6qkiz8O2ggrCVfLTg7aCDBDSVEuTllTRTpXTVQuSVFfRVBTX0VTVC5GWTIwMjMuMTIvMTYvMjAyMS4uRi5VU0QBAAAA38YEAAIAAAAHNi42ODgyNQEOAAAABQAAAAEzAQAAAAcyNjYzMjIyAgAAAAoxMDAyMDgyNzYyAwAAAAYxMDAxNzMEAAAAATIGAAAAATAHAAAAAzE2MAgAAAABMAkAAAABMQoAAAABMAsAAAALMTI2ODIxOTI4ODMMAAAAATENAAAACjEyLzE3LzIwMjEQAAAACjEyLzE2LzIwMjHHqqSLPw7aCOUyV8tODtoIL0NJUS5OWVNFOldNVC5JUV9FUFNfRVNULkZZMjAyMy4zLzE3LzIwMjIuLkYuVVNEAQAAAN/GBAACAAAABzYuNzU4ODYB</t>
  </si>
  <si>
    <t>DgAAAAUAAAABMwEAAAAHMjY2MzIyMgIAAAAKMTAwMjA4Mjc2MgMAAAAGMTAwMTczBAAAAAEyBgAAAAEwBwAAAAMxNjAIAAAAATAJAAAAATEKAAAAATALAAAACzEyNzk0NDcxOTczDAAAAAExDQAAAAkzLzE4LzIwMjIQAAAACTMvMTcvMjAyMseqpIs/DtoImfJgy04O2gguQ0lRLk5ZU0U6V01ULklRX0VQU19FU1QuRlkyMDIzLjgvNS8yMDIxLi5GLlVTRAEAAADfxgQAAgAAAAc2LjI1NTA5AQ4AAAAFAAAAATMBAAAABzI2NjMyMjICAAAACjEwMDIwODI3NjIDAAAABjEwMDE3MwQAAAABMgYAAAABMAcAAAADMTYwCAAAAAEwCQAAAAExCgAAAAEwCwAAAAsxMjUwMzc1Nzg0NQwAAAABMQ0AAAAIOC82LzIwMjEQAAAACDgvNS8yMDIxx6qkiz8O2gix3FbLTg7aCDBDSVEuTllTRTpXTVQuSVFfRVBTX0VTVC5GWTIwMjMuMTEvMjUvMjAyMS4uRi5VU0QBAAAA38YEAAIAAAAGNi42ODMxAQ4AAAAFAAAAATMBAAAABzI2NjMyMjICAAAACjEwMDIwODI3NjIDAAAABjEwMDE3MwQAAAABMgYAAAABMAcAAAADMTYwCAAAAAEwCQAAAAExCgAAAAEwCwAAAAsxMjY2MjA0ODMwMQwAAAABMQ0AAAAKMTEvMjYvMjAyMRAAAAAKMTEvMjUvMjAyMceqpIs/DtoI5TJXy04O2ggvQ0lRLk5ZU0U6V01ULklRX0VQU19FU1QuRlkyMDIzLjYvMjQvMjAyMS4uRi5VU0QBAAAA38YEAAIAAAAHNi4yNDA3NAEOAAAABQAAAAEzAQAAAAcyNjYz</t>
  </si>
  <si>
    <t>MjIyAgAAAAoxMDAyMDgyNzYyAwAAAAYxMDAxNzMEAAAAATIGAAAAATAHAAAAAzE2MAgAAAABMAkAAAABMQoAAAABMAsAAAALMTI0NDQ3MjE4MzgMAAAAATENAAAACTYvMjUvMjAyMRAAAAAJNi8yNC8yMDIxx6qkiz8O2girtVbLTg7aCDJDSVEuTkFTREFRR1M6Q09TVC5JUV9MQVNUU0FMRVBSSUNFLjMvMzEvMjAxNy5VU0QuSAEAAACRagEAAgAAAAYxNjcuNjkA7aaZxU4O2ggtVlvLTg7aCDFDSVEuTkFTREFRR1M6Q09TVC5JUV9MQVNUU0FMRVBSSUNFLjQvNy8yMDE3LlVTRC5IAQAAAJFqAQACAAAABjE3MC42MgCBW6DFTg7aCC1WW8tODtoIMkNJUS5OQVNEQVFHUzpDT1NULklRX0xBU1RTQUxFUFJJQ0UuNC8xNC8yMDE3LlVTRC5IAQAAAJFqAQACAAAABjE2OC44NACBW6DFTg7aCC1WW8tODtoIMkNJUS5OQVNEQVFHUzpDT1NULklRX0xBU1RTQUxFUFJJQ0UuNC8yMS8yMDE3LlVTRC5IAQAAAJFqAQACAAAABjE3MC43NwCBW6DFTg7aCC1WW8tODtoIMkNJUS5OQVNEQVFHUzpDT1NULklRX0xBU1RTQUxFUFJJQ0UuNC8yOC8yMDE3LlVTRC5IAQAAAJFqAQACAAAABjE3Ny41MgCBW6DFTg7aCC1WW8tODtoIMUNJUS5OQVNEQVFHUzpDT1NULklRX0xBU1RTQUxFUFJJQ0UuNS81LzIwMTcuVVNELkgBAAAAkWoBAAIAAAAFMTgwLjIAgVugxU4O2ggtVlvLTg7aCDJDSVEuTkFTREFRR1M6Q09TVC5JUV9MQVNUU0FM</t>
  </si>
  <si>
    <t>RVBSSUNFLjUvMTIvMjAxNy5VU0QuSAEAAACRagEAAgAAAAYxNzAuODgAgVugxU4O2ggtVlvLTg7aCDJDSVEuTkFTREFRR1M6Q09TVC5JUV9MQVNUU0FMRVBSSUNFLjUvMTkvMjAxNy5VU0QuSAEAAACRagEAAgAAAAYxNzEuNjQAgVugxU4O2ggtVlvLTg7aCDJDSVEuTkFTREFRR1M6Q09TVC5JUV9MQVNUU0FMRVBSSUNFLjUvMjYvMjAxNy5VU0QuSAEAAACRagEAAgAAAAYxNzcuODYAgVugxU4O2ggtVlvLTg7aCDFDSVEuTkFTREFRR1M6Q09TVC5JUV9MQVNUU0FMRVBSSUNFLjYvMi8yMDE3LlVTRC5IAQAAAJFqAQACAAAABjE4MC45NwCBW6DFTg7aCC1WW8tODtoIMUNJUS5OQVNEQVFHUzpDT1NULklRX0xBU1RTQUxFUFJJQ0UuNi85LzIwMTcuVVNELkgBAAAAkWoBAAIAAAAGMTgwLjM4AIFboMVODtoILVZby04O2ggyQ0lRLk5BU0RBUUdTOkNPU1QuSVFfTEFTVFNBTEVQUklDRS42LzE2LzIwMTcuVVNELkgBAAAAkWoBAAIAAAAGMTY3LjExAIFboMVODtoIOC9by04O2ggyQ0lRLk5BU0RBUUdTOkNPU1QuSVFfTEFTVFNBTEVQUklDRS42LzIzLzIwMTcuVVNELkgBAAAAkWoBAAIAAAAGMTU3LjEzAIFboMVODtoIOC9by04O2ggyQ0lRLk5BU0RBUUdTOkNPU1QuSVFfTEFTVFNBTEVQUklDRS42LzMwLzIwMTcuVVNELkgBAAAAkWoBAAIAAAAGMTU5LjkzAIFboMVODtoIOC9by04O2ggxQ0lRLk5BU0RBUUdTOkNP</t>
  </si>
  <si>
    <t>U1QuSVFfTEFTVFNBTEVQUklDRS43LzcvMjAxNy5VU0QuSAEAAACRagEAAgAAAAYxNTQuMTEAgVugxU4O2gg4L1vLTg7aCDJDSVEuTkFTREFRR1M6Q09TVC5JUV9MQVNUU0FMRVBSSUNFLjcvMTQvMjAxNy5VU0QuSAEAAACRagEAAgAAAAMxNTMAgVugxU4O2gg4L1vLTg7aCDJDSVEuTkFTREFRR1M6Q09TVC5JUV9MQVNUU0FMRVBSSUNFLjcvMjEvMjAxNy5VU0QuSAEAAACRagEAAgAAAAYxNTAuNDQAgVugxU4O2gg4L1vLTg7aCDJDSVEuTkFTREFRR1M6Q09TVC5JUV9MQVNUU0FMRVBSSUNFLjcvMjgvMjAxNy5VU0QuSAEAAACRagEAAgAAAAYxNTIuODkAgVugxU4O2gg4L1vLTg7aCDFDSVEuTkFTREFRR1M6Q09TVC5JUV9MQVNUU0FMRVBSSUNFLjgvNC8yMDE3LlVTRC5IAQAAAJFqAQACAAAABjE1Ni40NACBW6DFTg7aCDgvW8tODtoIMkNJUS5OQVNEQVFHUzpDT1NULklRX0xBU1RTQUxFUFJJQ0UuOC8xMS8yMDE3LlVTRC5IAQAAAJFqAQACAAAABjE1Ni42NQCBW6DFTg7aCDgvW8tODtoIMkNJUS5OQVNEQVFHUzpDT1NULklRX0xBU1RTQUxFUFJJQ0UuOC8xOC8yMDE3LlVTRC5IAQAAAJFqAQACAAAABjE1Ny4wOACBW6DFTg7aCDgvW8tODtoIMkNJUS5OQVNEQVFHUzpDT1NULklRX0xBU1RTQUxFUFJJQ0UuOC8yNS8yMDE3LlVTRC5IAQAAAJFqAQACAAAABjE1Mi40NQCBW6DFTg7aCDgvW8tODtoIMUNJUS5O</t>
  </si>
  <si>
    <t>QVNEQVFHUzpDT1NULklRX0xBU1RTQUxFUFJJQ0UuOS8xLzIwMTcuVVNELkgBAAAAkWoBAAIAAAAGMTU4LjI0AIFboMVODtoIOC9by04O2ggxQ0lRLk5BU0RBUUdTOkNPU1QuSVFfTEFTVFNBTEVQUklDRS45LzgvMjAxNy5VU0QuSAEAAACRagEAAgAAAAYxNTcuMzEAgVugxU4O2gg4L1vLTg7aCDJDSVEuTkFTREFRR1M6Q09TVC5JUV9MQVNUU0FMRVBSSUNFLjkvMTUvMjAxNy5VU0QuSAEAAACRagEAAgAAAAUxNjIuMwCBW6DFTg7aCDgvW8tODtoIMkNJUS5OQVNEQVFHUzpDT1NULklRX0xBU1RTQUxFUFJJQ0UuOS8yMi8yMDE3LlVTRC5IAQAAAJFqAQACAAAABjE2MS4yOQCBW6DFTg7aCLUIW8tODtoIMkNJUS5OQVNEQVFHUzpDT1NULklRX0xBU1RTQUxFUFJJQ0UuOS8yOS8yMDE3LlVTRC5IAQAAAJFqAQACAAAABjE2NC4yOQCBW6DFTg7aCLUIW8tODtoIMkNJUS5OQVNEQVFHUzpDT1NULklRX0xBU1RTQUxFUFJJQ0UuMTAvNi8yMDE3LlVTRC5IAQAAAJFqAQACAAAABjE1Ny4wOQCBW6DFTg7aCLUIW8tODtoIM0NJUS5OQVNEQVFHUzpDT1NULklRX0xBU1RTQUxFUFJJQ0UuMTAvMTMvMjAxNy5VU0QuSAEAAACRagEAAgAAAAYxNTkuODUAgVugxU4O2gi1CFvLTg7aCDNDSVEuTkFTREFRR1M6Q09TVC5JUV9MQVNUU0FMRVBSSUNFLjEwLzIwLzIwMTcuVVNELkgBAAAAkWoBAAIAAAAGMTYwLjc3AIFboMVODtoI</t>
  </si>
  <si>
    <t>tQhby04O2ggzQ0lRLk5BU0RBUUdTOkNPU1QuSVFfTEFTVFNBTEVQUklDRS4xMC8yNy8yMDE3LlVTRC5IAQAAAJFqAQACAAAABjE2Mi4zOACBW6DFTg7aCLUIW8tODtoIMkNJUS5OQVNEQVFHUzpDT1NULklRX0xBU1RTQUxFUFJJQ0UuMTEvMy8yMDE3LlVTRC5IAQAAAJFqAQACAAAABjE2Ni40NACBW6DFTg7aCLUIW8tODtoIM0NJUS5OQVNEQVFHUzpDT1NULklRX0xBU1RTQUxFUFJJQ0UuMTEvMTAvMjAxNy5VU0QuSAEAAACRagEAAgAAAAYxNzEuMzYAgVugxU4O2gi1CFvLTg7aCDNDSVEuTkFTREFRR1M6Q09TVC5JUV9MQVNUU0FMRVBSSUNFLjExLzE3LzIwMTcuVVNELkgBAAAAkWoBAAIAAAAGMTcwLjk4AIFboMVODtoItQhby04O2ggzQ0lRLk5BU0RBUUdTOkNPU1QuSVFfTEFTVFNBTEVQUklDRS4xMS8yNC8yMDE3LlVTRC5IAQAAAJFqAQACAAAABjE3MS42MgCBW6DFTg7aCLUIW8tODtoIMkNJUS5OQVNEQVFHUzpDT1NULklRX0xBU1RTQUxFUFJJQ0UuMTIvMS8yMDE3LlVTRC5IAQAAAJFqAQACAAAABjE4NS4xMwCBW6DFTg7aCLUIW8tODtoIMkNJUS5OQVNEQVFHUzpDT1NULklRX0xBU1RTQUxFUFJJQ0UuMTIvOC8yMDE3LlVTRC5IAQAAAJFqAQACAAAABjE4OC4wNwCBW6DFTg7aCLUIW8tODtoIM0NJUS5OQVNEQVFHUzpDT1NULklRX0xBU1RTQUxFUFJJQ0UuMTIvMTUvMjAxNy5VU0QuSAEAAACRagEA</t>
  </si>
  <si>
    <t>AgAAAAYxOTIuNzMAgVugxU4O2gi1CFvLTg7aCDNDSVEuTkFTREFRR1M6Q09TVC5JUV9MQVNUU0FMRVBSSUNFLjEyLzIyLzIwMTcuVVNELkgBAAAAkWoBAAIAAAAGMTg2LjYzAIFboMVODtoIo+Fay04O2ggzQ0lRLk5BU0RBUUdTOkNPU1QuSVFfTEFTVFNBTEVQUklDRS4xMi8yOS8yMDE3LlVTRC5IAQAAAJFqAQACAAAABjE4Ni4xMgCBW6DFTg7aCKPhWstODtoIMUNJUS5OQVNEQVFHUzpDT1NULklRX0xBU1RTQUxFUFJJQ0UuMS81LzIwMTguVVNELkgBAAAAkWoBAAIAAAAGMTg3Ljc1AIFboMVODtoIo+Fay04O2ggyQ0lRLk5BU0RBUUdTOkNPU1QuSVFfTEFTVFNBTEVQUklDRS4xLzEyLzIwMTguVVNELkgBAAAAkWoBAAIAAAAGMTkxLjg0AIFboMVODtoIo+Fay04O2ggyQ0lRLk5BU0RBUUdTOkNPU1QuSVFfTEFTVFNBTEVQUklDRS4xLzE5LzIwMTguVVNELkgBAAAAkWoBAAIAAAAGMTkyLjI5AIFboMVODtoIo+Fay04O2ggyQ0lRLk5BU0RBUUdTOkNPU1QuSVFfTEFTVFNBTEVQUklDRS4xLzI2LzIwMTguVVNELkgBAAAAkWoBAAIAAAAGMTk4LjkxAIFboMVODtoIo+Fay04O2ggxQ0lRLk5BU0RBUUdTOkNPU1QuSVFfTEFTVFNBTEVQUklDRS4yLzIvMjAxOC5VU0QuSAEAAACRagEAAgAAAAYxOTAuOTkAgVugxU4O2gij4VrLTg7aCDFDSVEuTkFTREFRR1M6Q09TVC5JUV9MQVNUU0FMRVBSSUNFLjIvOS8yMDE4</t>
  </si>
  <si>
    <t>LlVTRC5IAQAAAJFqAQACAAAABjE4MC43MgCBW6DFTg7aCKPhWstODtoIMkNJUS5OQVNEQVFHUzpDT1NULklRX0xBU1RTQUxFUFJJQ0UuMi8xNi8yMDE4LlVTRC5IAQAAAJFqAQACAAAABjE5MS41NgCBW6DFTg7aCKPhWstODtoIMkNJUS5OQVNEQVFHUzpDT1NULklRX0xBU1RTQUxFUFJJQ0UuMi8yMy8yMDE4LlVTRC5IAQAAAJFqAQACAAAABjE4OS44MQCBW6DFTg7aCKPhWstODtoIMUNJUS5OQVNEQVFHUzpDT1NULklRX0xBU1RTQUxFUFJJQ0UuMy8yLzIwMTguVVNELkgBAAAAkWoBAAIAAAAGMTg5LjMzAIFboMVODtoIo+Fay04O2ggxQ0lRLk5BU0RBUUdTOkNPU1QuSVFfTEFTVFNBTEVQUklDRS4zLzkvMjAxOC5VU0QuSAEAAACRagEAAgAAAAYxODguNTgAgVugxU4O2gij4VrLTg7aCDJDSVEuTkFTREFRR1M6Q09TVC5JUV9MQVNUU0FMRVBSSUNFLjMvMTYvMjAxOC5VU0QuSAEAAACRagEAAgAAAAYxODUuODcAgVugxU4O2gij4VrLTg7aCDJDSVEuTkFTREFRR1M6Q09TVC5JUV9MQVNUU0FMRVBSSUNFLjMvMjMvMjAxOC5VU0QuSAEAAACRagEAAgAAAAYxODAuODQAgVugxU4O2gij4VrLTg7aCDJDSVEuTkFTREFRR1M6Q09TVC5JUV9MQVNUU0FMRVBSSUNFLjMvMzAvMjAxOC5VU0QuSAEAAACRagEAAgAAAAYxODguNDMAgVugxU4O2gij4VrLTg7aCDFDSVEuTkFTREFRR1M6Q09TVC5JUV9MQVNUU0FMRVBS</t>
  </si>
  <si>
    <t>SUNFLjQvNi8yMDE4LlVTRC5IAQAAAJFqAQACAAAABjE4My45NgCBW6DFTg7aCKPhWstODtoIMkNJUS5OQVNEQVFHUzpDT1NULklRX0xBU1RTQUxFUFJJQ0UuNC8xMy8yMDE4LlVTRC5IAQAAAJFqAQACAAAABjE4OC45MQCBW6DFTg7aCKPhWstODtoIMkNJUS5OQVNEQVFHUzpDT1NULklRX0xBU1RTQUxFUFJJQ0UuNC8yMC8yMDE4LlVTRC5IAQAAAJFqAQACAAAABjE5My41NgCBW6DFTg7aCJO6WstODtoIMkNJUS5OQVNEQVFHUzpDT1NULklRX0xBU1RTQUxFUFJJQ0UuNC8yNy8yMDE4LlVTRC5IAQAAAJFqAQACAAAABjE5Ni41OACBW6DFTg7aCJO6WstODtoIMUNJUS5OQVNEQVFHUzpDT1NULklRX0xBU1RTQUxFUFJJQ0UuNS80LzIwMTguVVNELkgBAAAAkWoBAAIAAAAGMTk1LjE5AIFboMVODtoIk7pay04O2ggyQ0lRLk5BU0RBUUdTOkNPU1QuSVFfTEFTVFNBTEVQUklDRS41LzExLzIwMTguVVNELkgBAAAAkWoBAAIAAAAGMTk1Ljc2AIFboMVODtoIk7pay04O2ggyQ0lRLk5BU0RBUUdTOkNPU1QuSVFfTEFTVFNBTEVQUklDRS41LzE4LzIwMTguVVNELkgBAAAAkWoBAAIAAAAGMTk4Ljk2AIFboMVODtoIk7pay04O2ggyQ0lRLk5BU0RBUUdTOkNPU1QuSVFfTEFTVFNBTEVQUklDRS41LzI1LzIwMTguVVNELkgBAAAAkWoBAAIAAAAGMTk4LjM2AIFboMVODtoIk7pay04O2ggxQ0lRLk5BU0RBUUdTOkNPU1Qu</t>
  </si>
  <si>
    <t>SVFfTEFTVFNBTEVQUklDRS42LzEvMjAxOC5VU0QuSAEAAACRagEAAgAAAAYxOTcuMTMAgVugxU4O2giTulrLTg7aCDFDSVEuTkFTREFRR1M6Q09TVC5JUV9MQVNUU0FMRVBSSUNFLjYvOC8yMDE4LlVTRC5IAQAAAJFqAQACAAAABjIwMy43NgCBW6DFTg7aCJO6WstODtoIMkNJUS5OQVNEQVFHUzpDT1NULklRX0xBU1RTQUxFUFJJQ0UuNi8xNS8yMDE4LlVTRC5IAQAAAJFqAQACAAAABjIwNy4zMgCBW6DFTg7aCJO6WstODtoIMkNJUS5OQVNEQVFHUzpDT1NULklRX0xBU1RTQUxFUFJJQ0UuNi8yMi8yMDE4LlVTRC5IAQAAAJFqAQACAAAABTIxMS4xAIFboMVODtoIk7pay04O2ggyQ0lRLk5BU0RBUUdTOkNPU1QuSVFfTEFTVFNBTEVQUklDRS42LzI5LzIwMTguVVNELkgBAAAAkWoBAAIAAAAGMjA4Ljk4AIFboMVODtoIk7pay04O2ggxQ0lRLk5BU0RBUUdTOkNPU1QuSVFfTEFTVFNBTEVQUklDRS43LzYvMjAxOC5VU0QuSAEAAACRagEAAgAAAAYyMDkuNjIAgVugxU4O2giTulrLTg7aCDJDSVEuTkFTREFRR1M6Q09TVC5JUV9MQVNUU0FMRVBSSUNFLjcvMTMvMjAxOC5VU0QuSAEAAACRagEAAgAAAAYyMTYuNTQAgVugxU4O2giTulrLTg7aCDJDSVEuTkFTREFRR1M6Q09TVC5JUV9MQVNUU0FMRVBSSUNFLjcvMjAvMjAxOC5VU0QuSAEAAACRagEAAgAAAAYyMTguNjkAgVugxU4O2giTulrLTg7aCDJDSVEuTkFT</t>
  </si>
  <si>
    <t>REFRR1M6Q09TVC5JUV9MQVNUU0FMRVBSSUNFLjcvMjcvMjAxOC5VU0QuSAEAAACRagEAAgAAAAYyMTkuNjUAgVugxU4O2giTulrLTg7aCDFDSVEuTkFTREFRR1M6Q09TVC5JUV9MQVNUU0FMRVBSSUNFLjgvMy8yMDE4LlVTRC5IAQAAAJFqAQACAAAABjIyMi4wMwCBW6DFTg7aCJO6WstODtoIMkNJUS5OQVNEQVFHUzpDT1NULklRX0xBU1RTQUxFUFJJQ0UuOC8xMC8yMDE4LlVTRC5IAQAAAJFqAQACAAAABjIyMC4zMQCBW6DFTg7aCJO6WstODtoIMkNJUS5OQVNEQVFHUzpDT1NULklRX0xBU1RTQUxFUFJJQ0UuOC8xNy8yMDE4LlVTRC5IAQAAAJFqAQACAAAABjIyNS42OACBW6DFTg7aCIeTWstODtoIMkNJUS5OQVNEQVFHUzpDT1NULklRX0xBU1RTQUxFUFJJQ0UuOC8yNC8yMDE4LlVTRC5IAQAAAJFqAQACAAAABjIzMS4yOACBW6DFTg7aCIeTWstODtoIMkNJUS5OQVNEQVFHUzpDT1NULklRX0xBU1RTQUxFUFJJQ0UuOC8zMS8yMDE4LlVTRC5IAQAAAJFqAQACAAAABjIzMy4xMwCBW6DFTg7aCIeTWstODtoIMUNJUS5OQVNEQVFHUzpDT1NULklRX0xBU1RTQUxFUFJJQ0UuOS83LzIwMTguVVNELkgBAAAAkWoBAAIAAAAGMjQxLjQ2AIFboMVODtoIh5Nay04O2ggyQ0lRLk5BU0RBUUdTOkNPU1QuSVFfTEFTVFNBTEVQUklDRS45LzE0LzIwMTguVVNELkgBAAAAkWoBAAIAAAAGMjM1LjM4AIFboMVODtoIh5Na</t>
  </si>
  <si>
    <t>y04O2ggyQ0lRLk5BU0RBUUdTOkNPU1QuSVFfTEFTVFNBTEVQUklDRS45LzIxLzIwMTguVVNELkgBAAAAkWoBAAIAAAAGMjM0Ljc2AIFboMVODtoIh5Nay04O2ggyQ0lRLk5BU0RBUUdTOkNPU1QuSVFfTEFTVFNBTEVQUklDRS45LzI4LzIwMTguVVNELkgBAAAAkWoBAAIAAAAGMjM0Ljg4AIFboMVODtoIh5Nay04O2ggyQ0lRLk5BU0RBUUdTOkNPU1QuSVFfTEFTVFNBTEVQUklDRS4xMC81LzIwMTguVVNELkgBAAAAkWoBAAIAAAAGMjE4LjgyAIFboMVODtoIh5Nay04O2ggzQ0lRLk5BU0RBUUdTOkNPU1QuSVFfTEFTVFNBTEVQUklDRS4xMC8xMi8yMDE4LlVTRC5IAQAAAJFqAQACAAAABjIyNi45NQCBW6DFTg7aCIeTWstODtoIM0NJUS5OQVNEQVFHUzpDT1NULklRX0xBU1RTQUxFUFJJQ0UuMTAvMTkvMjAxOC5VU0QuSAEAAACRagEAAgAAAAYyMjkuNjcAgVugxU4O2giHk1rLTg7aCDNDSVEuTkFTREFRR1M6Q09TVC5JUV9MQVNUU0FMRVBSSUNFLjEwLzI2LzIwMTguVVNELkgBAAAAkWoBAAIAAAAGMjE4LjE5AIFboMVODtoIh5Nay04O2ggyQ0lRLk5BU0RBUUdTOkNPU1QuSVFfTEFTVFNBTEVQUklDRS4xMS8yLzIwMTguVVNELkgBAAAAkWoBAAIAAAAGMjMwLjE2AIFboMVODtoIh5Nay04O2ggyQ0lRLk5BU0RBUUdTOkNPU1QuSVFfTEFTVFNBTEVQUklDRS4xMS85LzIwMTguVVNELkgBAAAAkWoBAAIAAAAG</t>
  </si>
  <si>
    <t>MjM3Ljc0AIFboMVODtoIh5Nay04O2ggzQ0lRLk5BU0RBUUdTOkNPU1QuSVFfTEFTVFNBTEVQUklDRS4xMS8xNi8yMDE4LlVTRC5IAQAAAJFqAQACAAAABjIzMS4wMgCBW6DFTg7aCIeTWstODtoIM0NJUS5OQVNEQVFHUzpDT1NULklRX0xBU1RTQUxFUFJJQ0UuMTEvMjMvMjAxOC5VU0QuSAEAAACRagEAAgAAAAYyMjAuMDYAgVugxU4O2giHk1rLTg7aCDNDSVEuTkFTREFRR1M6Q09TVC5JUV9MQVNUU0FMRVBSSUNFLjExLzMwLzIwMTguVVNELkgBAAAAkWoBAAIAAAAGMjMxLjI4AIFboMVODtoIh5Nay04O2ggyQ0lRLk5BU0RBUUdTOkNPU1QuSVFfTEFTVFNBTEVQUklDRS4xMi83LzIwMTguVVNELkgBAAAAkWoBAAIAAAAGMjI0Ljg2AIFboMVODtoIh5Nay04O2ggzQ0lRLk5BU0RBUUdTOkNPU1QuSVFfTEFTVFNBTEVQUklDRS4xMi8xNC8yMDE4LlVTRC5IAQAAAJFqAQACAAAABjIwNy4wNgCBW6DFTg7aCJhsWstODtoIM0NJUS5OQVNEQVFHUzpDT1NULklRX0xBU1RTQUxFUFJJQ0UuMTIvMjEvMjAxOC5VU0QuSAEAAACRagEAAgAAAAYxOTQuNTIAgVugxU4O2giYbFrLTg7aCDNDSVEuTkFTREFRR1M6Q09TVC5JUV9MQVNUU0FMRVBSSUNFLjEyLzI4LzIwMTguVVNELkgBAAAAkWoBAAIAAAAGMjAyLjA0AIFboMVODtoImGxay04O2ggxQ0lRLk5BU0RBUUdTOkNPU1QuSVFfTEFTVFNBTEVQUklDRS4xLzQvMjAx</t>
  </si>
  <si>
    <t>OS5VU0QuSAEAAACRagEAAgAAAAYyMDYuMjQAgVugxU4O2giYbFrLTg7aCDJDSVEuTkFTREFRR1M6Q09TVC5JUV9MQVNUU0FMRVBSSUNFLjEvMTEvMjAxOS5VU0QuSAEAAACRagEAAgAAAAYyMTAuNTEAgVugxU4O2giYbFrLTg7aCDJDSVEuTkFTREFRR1M6Q09TVC5JUV9MQVNUU0FMRVBSSUNFLjEvMTgvMjAxOS5VU0QuSAEAAACRagEAAgAAAAYyMTMuNTkAgVugxU4O2giYbFrLTg7aCDJDSVEuTkFTREFRR1M6Q09TVC5JUV9MQVNUU0FMRVBSSUNFLjEvMjUvMjAxOS5VU0QuSAEAAACRagEAAgAAAAYyMDkuMDcAgVugxU4O2giYbFrLTg7aCDFDSVEuTkFTREFRR1M6Q09TVC5JUV9MQVNUU0FMRVBSSUNFLjIvMS8yMDE5LlVTRC5IAQAAAJFqAQACAAAABjIxMC4yNwCBW6DFTg7aCJhsWstODtoIMUNJUS5OQVNEQVFHUzpDT1NULklRX0xBU1RTQUxFUFJJQ0UuMi84LzIwMTkuVVNELkgBAAAAkWoBAAIAAAAGMjA3Ljc1AIFboMVODtoImGxay04O2ggyQ0lRLk5BU0RBUUdTOkNPU1QuSVFfTEFTVFNBTEVQUklDRS4yLzE1LzIwMTkuVVNELkgBAAAAkWoBAAIAAAAGMjE2LjQ3AIFboMVODtoImGxay04O2ggyQ0lRLk5BU0RBUUdTOkNPU1QuSVFfTEFTVFNBTEVQUklDRS4yLzIyLzIwMTkuVVNELkgBAAAAkWoBAAIAAAAGMjE2LjI5AIFboMVODtoImGxay04O2ggxQ0lRLk5BU0RBUUdTOkNPU1QuSVFfTEFTVFNBTEVQ</t>
  </si>
  <si>
    <t>UklDRS4zLzEvMjAxOS5VU0QuSAEAAACRagEAAgAAAAYyMTkuNDQAgVugxU4O2giYbFrLTg7aCDFDSVEuTkFTREFRR1M6Q09TVC5JUV9MQVNUU0FMRVBSSUNFLjMvOC8yMDE5LlVTRC5IAQAAAJFqAQACAAAABjIyNy44MgCBW6DFTg7aCJhsWstODtoIMkNJUS5OQVNEQVFHUzpDT1NULklRX0xBU1RTQUxFUFJJQ0UuMy8xNS8yMDE5LlVTRC5IAQAAAJFqAQACAAAABTIzMy42AIFboMVODtoImGxay04O2ggyQ0lRLk5BU0RBUUdTOkNPU1QuSVFfTEFTVFNBTEVQUklDRS4zLzIyLzIwMTkuVVNELkgBAAAAkWoBAAIAAAAGMjM3LjU2AIFboMVODtoImGxay04O2ggyQ0lRLk5BU0RBUUdTOkNPU1QuSVFfTEFTVFNBTEVQUklDRS4zLzI5LzIwMTkuVVNELkgBAAAAkWoBAAIAAAAGMjQyLjE0AIFboMVODtoImGxay04O2ggxQ0lRLk5BU0RBUUdTOkNPU1QuSVFfTEFTVFNBTEVQUklDRS40LzUvMjAxOS5VU0QuSAEAAACRagEAAgAAAAYyNDUuODcAgVugxU4O2giYbFrLTg7aCDJDSVEuTkFTREFRR1M6Q09TVC5JUV9MQVNUU0FMRVBSSUNFLjQvMTIvMjAxOS5VU0QuSAEAAACRagEAAgAAAAYyNDEuOTUAgVugxU4O2giYbFrLTg7aCDJDSVEuTkFTREFRR1M6Q09TVC5JUV9MQVNUU0FMRVBSSUNFLjQvMTkvMjAxOS5VU0QuSAEAAACRagEAAgAAAAYyNDUuODEAgVugxU4O2gjCRFrLTg7aCDJDSVEuTkFTREFRR1M6Q09TVC5J</t>
  </si>
  <si>
    <t>UV9MQVNUU0FMRVBSSUNFLjQvMjYvMjAxOS5VU0QuSAEAAACRagEAAgAAAAYyNDMuODIAgVugxU4O2gjCRFrLTg7aCDFDSVEuTkFTREFRR1M6Q09TVC5JUV9MQVNUU0FMRVBSSUNFLjUvMy8yMDE5LlVTRC5IAQAAAJFqAQACAAAABjI0NC42MgD+LKDFTg7aCMJEWstODtoIMkNJUS5OQVNEQVFHUzpDT1NULklRX0xBU1RTQUxFUFJJQ0UuNS8xMC8yMDE5LlVTRC5IAQAAAJFqAQACAAAABjI0Ny4wMgD+LKDFTg7aCMJEWstODtoIMkNJUS5OQVNEQVFHUzpDT1NULklRX0xBU1RTQUxFUFJJQ0UuNS8xNy8yMDE5LlVTRC5IAQAAAJFqAQACAAAABjI0OC4zNQD+LKDFTg7aCMJEWstODtoIMkNJUS5OQVNEQVFHUzpDT1NULklRX0xBU1RTQUxFUFJJQ0UuNS8yNC8yMDE5LlVTRC5IAQAAAJFqAQACAAAABTI0Ny4zAP4soMVODtoIwkRay04O2ggyQ0lRLk5BU0RBUUdTOkNPU1QuSVFfTEFTVFNBTEVQUklDRS41LzMxLzIwMTkuVVNELkgBAAAAkWoBAAIAAAAGMjM5LjU4AP4soMVODtoIwkRay04O2ggxQ0lRLk5BU0RBUUdTOkNPU1QuSVFfTEFTVFNBTEVQUklDRS42LzcvMjAxOS5VU0QuSAEAAACRagEAAgAAAAYyNTYuMDEA/iygxU4O2gjCRFrLTg7aCDJDSVEuTkFTREFRR1M6Q09TVC5JUV9MQVNUU0FMRVBSSUNFLjYvMTQvMjAxOS5VU0QuSAEAAACRagEAAgAAAAYyNjAuMTUA/iygxU4O2gjCRFrLTg7aCDJDSVEuTkFT</t>
  </si>
  <si>
    <t>REFRR1M6Q09TVC5JUV9MQVNUU0FMRVBSSUNFLjYvMjEvMjAxOS5VU0QuSAEAAACRagEAAgAAAAYyNjYuMTMA/iygxU4O2gjCRFrLTg7aCDJDSVEuTkFTREFRR1M6Q09TVC5JUV9MQVNUU0FMRVBSSUNFLjYvMjgvMjAxOS5VU0QuSAEAAACRagEAAgAAAAYyNjQuMjYA/iygxU4O2gjCRFrLTg7aCDFDSVEuTkFTREFRR1M6Q09TVC5JUV9MQVNUU0FMRVBSSUNFLjcvNS8yMDE5LlVTRC5IAQAAAJFqAQACAAAABjI2OC4yNQD+LKDFTg7aCMJEWstODtoIMkNJUS5OQVNEQVFHUzpDT1NULklRX0xBU1RTQUxFUFJJQ0UuNy8xMi8yMDE5LlVTRC5IAQAAAJFqAQACAAAABjI3OS40NAD+LKDFTg7aCMJEWstODtoIMkNJUS5OQVNEQVFHUzpDT1NULklRX0xBU1RTQUxFUFJJQ0UuNy8xOS8yMDE5LlVTRC5IAQAAAJFqAQACAAAABjI4MS41MQD+LKDFTg7aCMJEWstODtoIMkNJUS5OQVNEQVFHUzpDT1NULklRX0xBU1RTQUxFUFJJQ0UuNy8yNi8yMDE5LlVTRC5IAQAAAJFqAQACAAAABjI4MS4zNwD+LKDFTg7aCMJEWstODtoIMUNJUS5OQVNEQVFHUzpDT1NULklRX0xBU1RTQUxFUFJJQ0UuOC8yLzIwMTkuVVNELkgBAAAAkWoBAAIAAAAFMjcyLjUA/iygxU4O2gjCRFrLTg7aCDFDSVEuTkFTREFRR1M6Q09TVC5JUV9MQVNUU0FMRVBSSUNFLjgvOS8yMDE5LlVTRC5IAQAAAJFqAQACAAAABjI3My45NAD+LKDFTg7aCMJEWstO</t>
  </si>
  <si>
    <t>DtoIMkNJUS5OQVNEQVFHUzpDT1NULklRX0xBU1RTQUxFUFJJQ0UuOC8xNi8yMDE5LlVTRC5IAQAAAJFqAQACAAAABTI3NC4xAP4soMVODtoISkBay04O2ggyQ0lRLk5BU0RBUUdTOkNPU1QuSVFfTEFTVFNBTEVQUklDRS44LzIzLzIwMTkuVVNELkgBAAAAkWoBAAIAAAAGMjc0LjAxAP4soMVODtoIqz1ay04O2ggyQ0lRLk5BU0RBUUdTOkNPU1QuSVFfTEFTVFNBTEVQUklDRS44LzMwLzIwMTkuVVNELkgBAAAAkWoBAAIAAAAGMjk0Ljc2AP4soMVODtoInBZay04O2ggxQ0lRLk5BU0RBUUdTOkNPU1QuSVFfTEFTVFNBTEVQUklDRS45LzYvMjAxOS5VU0QuSAEAAACRagEAAgAAAAYzMDMuNzYA/iygxU4O2gicFlrLTg7aCDJDSVEuTkFTREFRR1M6Q09TVC5JUV9MQVNUU0FMRVBSSUNFLjkvMTMvMjAxOS5VU0QuSAEAAACRagEAAgAAAAUyOTEuOQD+LKDFTg7aCJwWWstODtoIMkNJUS5OQVNEQVFHUzpDT1NULklRX0xBU1RTQUxFUFJJQ0UuOS8yMC8yMDE5LlVTRC5IAQAAAJFqAQACAAAABjI4Ni4zNgD+LKDFTg7aCJwWWstODtoIMkNJUS5OQVNEQVFHUzpDT1NULklRX0xBU1RTQUxFUFJJQ0UuOS8yNy8yMDE5LlVTRC5IAQAAAJFqAQACAAAABjI4NS45NQD+LKDFTg7aCJwWWstODtoIMkNJUS5OQVNEQVFHUzpDT1NULklRX0xBU1RTQUxFUFJJQ0UuMTAvNC8yMDE5LlVTRC5IAQAAAJFqAQACAAAABjI5MS42NwD+</t>
  </si>
  <si>
    <t>LKDFTg7aCJwWWstODtoIM0NJUS5OQVNEQVFHUzpDT1NULklRX0xBU1RTQUxFUFJJQ0UuMTAvMTEvMjAxOS5VU0QuSAEAAACRagEAAgAAAAUyOTcuNgDRFZ/FTg7aCJwWWstODtoIM0NJUS5OQVNEQVFHUzpDT1NULklRX0xBU1RTQUxFUFJJQ0UuMTAvMTgvMjAxOS5VU0QuSAEAAACRagEAAgAAAAYzMDIuODYA0RWfxU4O2gicFlrLTg7aCDNDSVEuTkFTREFRR1M6Q09TVC5JUV9MQVNUU0FMRVBSSUNFLjEwLzI1LzIwMTkuVVNELkgBAAAAkWoBAAIAAAAFMjk2LjUA0RWfxU4O2gicFlrLTg7aCDJDSVEuTkFTREFRR1M6Q09TVC5JUV9MQVNUU0FMRVBSSUNFLjExLzEvMjAxOS5VU0QuSAEAAACRagEAAgAAAAYyOTYuMDkA0RWfxU4O2gicFlrLTg7aCDJDSVEuTkFTREFRR1M6Q09TVC5JUV9MQVNUU0FMRVBSSUNFLjExLzgvMjAxOS5VU0QuSAEAAACRagEAAgAAAAYzMDIuNjIA0RWfxU4O2gicFlrLTg7aCDNDSVEuTkFTREFRR1M6Q09TVC5JUV9MQVNUU0FMRVBSSUNFLjExLzE1LzIwMTkuVVNELkgBAAAAkWoBAAIAAAAGMzAzLjY2ANEVn8VODtoInBZay04O2ggzQ0lRLk5BU0RBUUdTOkNPU1QuSVFfTEFTVFNBTEVQUklDRS4xMS8yMi8yMDE5LlVTRC5IAQAAAJFqAQACAAAABjI5OS4zMQDRFZ/FTg7aCJwWWstODtoIM0NJUS5OQVNEQVFHUzpDT1NULklRX0xBU1RTQUxFUFJJQ0UuMTEvMjkvMjAxOS5VU0QuSAEA</t>
  </si>
  <si>
    <t>AACRagEAAgAAAAYyOTkuODEA0RWfxU4O2gicFlrLTg7aCDJDSVEuTkFTREFRR1M6Q09TVC5JUV9MQVNUU0FMRVBSSUNFLjEyLzYvMjAxOS5VU0QuSAEAAACRagEAAgAAAAcyOTQuOTQ1ANEVn8VODtoInBZay04O2ggzQ0lRLk5BU0RBUUdTOkNPU1QuSVFfTEFTVFNBTEVQUklDRS4xMi8xMy8yMDE5LlVTRC5IAQAAAJFqAQACAAAABjI5MS44NwDRFZ/FTg7aCJwWWstODtoIM0NJUS5OQVNEQVFHUzpDT1NULklRX0xBU1RTQUxFUFJJQ0UuMTIvMjAvMjAxOS5VU0QuSAEAAACRagEAAgAAAAYyOTQuODMA0RWfxU4O2gicFlrLTg7aCDNDSVEuTkFTREFRR1M6Q09TVC5JUV9MQVNUU0FMRVBSSUNFLjEyLzI3LzIwMTkuVVNELkgBAAAAkWoBAAIAAAAGMjk0LjExANEVn8VODtoInBZay04O2ggxQ0lRLk5BU0RBUUdTOkNPU1QuSVFfTEFTVFNBTEVQUklDRS4xLzMvMjAyMC5VU0QuSAEAAACRagEAAgAAAAYyOTEuNzMA0RWfxU4O2giN71nLTg7aCDJDSVEuTkFTREFRR1M6Q09TVC5JUV9MQVNUU0FMRVBSSUNFLjEvMTAvMjAyMC5VU0QuSAEAAACRagEAAgAAAAYyOTcuMjQA0RWfxU4O2giN71nLTg7aCDJDSVEuTkFTREFRR1M6Q09TVC5JUV9MQVNUU0FMRVBSSUNFLjEvMTcvMjAyMC5VU0QuSAEAAACRagEAAgAAAAYzMDQuNjgA0RWfxU4O2giN71nLTg7aCDJDSVEuTkFTREFRR1M6Q09TVC5JUV9MQVNUU0FMRVBSSUNF</t>
  </si>
  <si>
    <t>LjEvMjQvMjAyMC5VU0QuSAEAAACRagEAAgAAAAYzMTAuNTEAUQKfxU4O2giN71nLTg7aCDJDSVEuTkFTREFRR1M6Q09TVC5JUV9MQVNUU0FMRVBSSUNFLjEvMzEvMjAyMC5VU0QuSAEAAACRagEAAgAAAAYzMDUuNTIAUQKfxU4O2giN71nLTg7aCDFDSVEuTkFTREFRR1M6Q09TVC5JUV9MQVNUU0FMRVBSSUNFLjIvNy8yMDIwLlVTRC5IAQAAAJFqAQACAAAABjMxMy42MwBRAp/FTg7aCI3vWctODtoIMkNJUS5OQVNEQVFHUzpDT1NULklRX0xBU1RTQUxFUFJJQ0UuMi8xNC8yMDIwLlVTRC5IAQAAAJFqAQACAAAABjMxOC4zMQBRAp/FTg7aCI3vWctODtoIMkNJUS5OQVNEQVFHUzpDT1NULklRX0xBU1RTQUxFUFJJQ0UuMi8yMS8yMDIwLlVTRC5IAQAAAJFqAQACAAAABjMyMS45NQBRAp/FTg7aCI3vWctODtoIMkNJUS5OQVNEQVFHUzpDT1NULklRX0xBU1RTQUxFUFJJQ0UuMi8yOC8yMDIwLlVTRC5IAQAAAJFqAQACAAAABjI4MS4xNABRAp/FTg7aCI3vWctODtoIMUNJUS5OQVNEQVFHUzpDT1NULklRX0xBU1RTQUxFUFJJQ0UuMy82LzIwMjAuVVNELkgBAAAAkWoBAAIAAAAGMzExLjM0AFECn8VODtoIje9Zy04O2ggyQ0lRLk5BU0RBUUdTOkNPU1QuSVFfTEFTVFNBTEVQUklDRS4zLzEzLzIwMjAuVVNELkgBAAAAkWoBAAIAAAAGMzAyLjI3AFULycVODtoIje9Zy04O2ggyQ0lRLk5BU0RBUUdTOkNPU1QuSVFf</t>
  </si>
  <si>
    <t>TEFTVFNBTEVQUklDRS4zLzIwLzIwMjAuVVNELkgBAAAAkWoBAAIAAAAGMjkwLjQyAFULycVODtoIje9Zy04O2ggyQ0lRLk5BU0RBUUdTOkNPU1QuSVFfTEFTVFNBTEVQUklDRS4zLzI3LzIwMjAuVVNELkgBAAAAkWoBAAIAAAAGMjg0LjMzAFULycVODtoIje9Zy04O2ggxQ0lRLk5BU0RBUUdTOkNPU1QuSVFfTEFTVFNBTEVQUklDRS40LzMvMjAyMC5VU0QuSAEAAACRagEAAgAAAAYyODguNjUAVQvJxU4O2giN71nLTg7aCDJDSVEuTkFTREFRR1M6Q09TVC5JUV9MQVNUU0FMRVBSSUNFLjQvMTAvMjAyMC5VU0QuSAEAAACRagEAAgAAAAYzMDAuMDEAVQvJxU4O2giN71nLTg7aCDJDSVEuTkFTREFRR1M6Q09TVC5JUV9MQVNUU0FMRVBSSUNFLjQvMTcvMjAyMC5VU0QuSAEAAACRagEAAgAAAAYzMTcuOTIAVQvJxU4O2giN71nLTg7aCDJDSVEuTkFTREFRR1M6Q09TVC5JUV9MQVNUU0FMRVBSSUNFLjQvMjQvMjAyMC5VU0QuSAEAAACRagEAAgAAAAYzMTAuNTUAVQvJxU4O2giN71nLTg7aCDFDSVEuTkFTREFRR1M6Q09TVC5JUV9MQVNUU0FMRVBSSUNFLjUvMS8yMDIwLlVTRC5IAQAAAJFqAQACAAAABjMwMS45MgBVC8nFTg7aCLLIWctODtoIMUNJUS5OQVNEQVFHUzpDT1NULklRX0xBU1RTQUxFUFJJQ0UuNS84LzIwMjAuVVNELkgBAAAAkWoBAAIAAAAGMzA1Ljk0AFULycVODtoIsshZy04O2ggyQ0lRLk5BU0RB</t>
  </si>
  <si>
    <t>UUdTOkNPU1QuSVFfTEFTVFNBTEVQUklDRS41LzE1LzIwMjAuVVNELkgBAAAAkWoBAAIAAAAGMjk5LjIxAFULycVODtoIsshZy04O2ggyQ0lRLk5BU0RBUUdTOkNPU1QuSVFfTEFTVFNBTEVQUklDRS41LzIyLzIwMjAuVVNELkgBAAAAkWoBAAIAAAAGMzAyLjQzAFULycVODtoIsshZy04O2ggyQ0lRLk5BU0RBUUdTOkNPU1QuSVFfTEFTVFNBTEVQUklDRS41LzI5LzIwMjAuVVNELkgBAAAAkWoBAAIAAAAGMzA4LjQ3AFULycVODtoIsshZy04O2ggxQ0lRLk5BU0RBUUdTOkNPU1QuSVFfTEFTVFNBTEVQUklDRS42LzUvMjAyMC5VU0QuSAEAAACRagEAAgAAAAYzMTIuMDQAVQvJxU4O2giyyFnLTg7aCDJDSVEuTkFTREFRR1M6Q09TVC5JUV9MQVNUU0FMRVBSSUNFLjYvMTIvMjAyMC5VU0QuSAEAAACRagEAAgAAAAUyOTguNwBVC8nFTg7aCLLIWctODtoIMkNJUS5OQVNEQVFHUzpDT1NULklRX0xBU1RTQUxFUFJJQ0UuNi8xOS8yMDIwLlVTRC5IAQAAAJFqAQACAAAABTI5OS45AFULycVODtoIsshZy04O2ggyQ0lRLk5BU0RBUUdTOkNPU1QuSVFfTEFTVFNBTEVQUklDRS42LzI2LzIwMjAuVVNELkgBAAAAkWoBAAIAAAAGMjk2LjU2AFULycVODtoIsshZy04O2ggxQ0lRLk5BU0RBUUdTOkNPU1QuSVFfTEFTVFNBTEVQUklDRS43LzMvMjAyMC5VU0QuSAEAAACRagEAAgAAAAYzMDUuNzQAVQvJxU4O2giyyFnLTg7a</t>
  </si>
  <si>
    <t>CDJDSVEuTkFTREFRR1M6Q09TVC5JUV9MQVNUU0FMRVBSSUNFLjcvMTAvMjAyMC5VU0QuSAEAAACRagEAAgAAAAYzMjYuMjMAVQvJxU4O2giyyFnLTg7aCDJDSVEuTkFTREFRR1M6Q09TVC5JUV9MQVNUU0FMRVBSSUNFLjcvMTcvMjAyMC5VU0QuSAEAAACRagEAAgAAAAYzMjQuNzkAVQvJxU4O2giyyFnLTg7aCDJDSVEuTkFTREFRR1M6Q09TVC5JUV9MQVNUU0FMRVBSSUNFLjcvMjQvMjAyMC5VU0QuSAEAAACRagEAAgAAAAYzMjUuNzgAVQvJxU4O2giyyFnLTg7aCDJDSVEuTkFTREFRR1M6Q09TVC5JUV9MQVNUU0FMRVBSSUNFLjcvMzEvMjAyMC5VU0QuSAEAAACRagEAAgAAAAYzMjUuNTMAVQvJxU4O2giyyFnLTg7aCDFDSVEuTkFTREFRR1M6Q09TVC5JUV9MQVNUU0FMRVBSSUNFLjgvNy8yMDIwLlVTRC5IAQAAAJFqAQACAAAABjM0MC45MQBVC8nFTg7aCLLIWctODtoIMkNJUS5OQVNEQVFHUzpDT1NULklRX0xBU1RTQUxFUFJJQ0UuOC8xNC8yMDIwLlVTRC5IAQAAAJFqAQACAAAABjMzNi4yOABVC8nFTg7aCLLIWctODtoIMkNJUS5OQVNEQVFHUzpDT1NULklRX0xBU1RTQUxFUFJJQ0UuOC8yMS8yMDIwLlVTRC5IAQAAAJFqAQACAAAABjM0NC42MQBVC8nFTg7aCLLIWctODtoIMkNJUS5OQVNEQVFHUzpDT1NULklRX0xBU1RTQUxFUFJJQ0UuOC8yOC8yMDIwLlVTRC5IAQAAAJFqAQACAAAABjM0OC4zNwBV</t>
  </si>
  <si>
    <t>C8nFTg7aCHCeWctODtoIMUNJUS5OQVNEQVFHUzpDT1NULklRX0xBU1RTQUxFUFJJQ0UuOS80LzIwMjAuVVNELkgBAAAAkWoBAAIAAAAGMzQ2LjU3AFULycVODtoIcJ5Zy04O2ggyQ0lRLk5BU0RBUUdTOkNPU1QuSVFfTEFTVFNBTEVQUklDRS45LzExLzIwMjAuVVNELkgBAAAAkWoBAAIAAAAGMzM5LjEzAFULycVODtoIcJ5Zy04O2ggyQ0lRLk5BU0RBUUdTOkNPU1QuSVFfTEFTVFNBTEVQUklDRS45LzE4LzIwMjAuVVNELkgBAAAAkWoBAAIAAAAGMzM1Ljk2AFULycVODtoIcJ5Zy04O2ggyQ0lRLk5BU0RBUUdTOkNPU1QuSVFfTEFTVFNBTEVQUklDRS45LzI1LzIwMjAuVVNELkgBAAAAkWoBAAIAAAAGMzQyLjU4AFULycVODtoIcJ5Zy04O2ggyQ0lRLk5BU0RBUUdTOkNPU1QuSVFfTEFTVFNBTEVQUklDRS4xMC8yLzIwMjAuVVNELkgBAAAAkWoBAAIAAAAGMzU1LjAxAFULycVODtoIcJ5Zy04O2ggyQ0lRLk5BU0RBUUdTOkNPU1QuSVFfTEFTVFNBTEVQUklDRS4xMC85LzIwMjAuVVNELkgBAAAAkWoBAAIAAAAGMzY5LjQ2AFULycVODtoIcJ5Zy04O2ggzQ0lRLk5BU0RBUUdTOkNPU1QuSVFfTEFTVFNBTEVQUklDRS4xMC8xNi8yMDIwLlVTRC5IAQAAAJFqAQACAAAABjM4MS41NABVC8nFTg7aCHCeWctODtoIM0NJUS5OQVNEQVFHUzpDT1NULklRX0xBU1RTQUxFUFJJQ0UuMTAvMjMvMjAyMC5VU0QuSAEAAACR</t>
  </si>
  <si>
    <t>agEAAgAAAAUzNzQuNgBVC8nFTg7aCHCeWctODtoIM0NJUS5OQVNEQVFHUzpDT1NULklRX0xBU1RTQUxFUFJJQ0UuMTAvMzAvMjAyMC5VU0QuSAEAAACRagEAAgAAAAYzNTcuNjIAVQvJxU4O2ghwnlnLTg7aCDJDSVEuTkFTREFRR1M6Q09TVC5JUV9MQVNUU0FMRVBSSUNFLjExLzYvMjAyMC5VU0QuSAEAAACRagEAAgAAAAYzODUuNjYAVQvJxU4O2ghwnlnLTg7aCDNDSVEuTkFTREFRR1M6Q09TVC5JUV9MQVNUU0FMRVBSSUNFLjExLzEzLzIwMjAuVVNELkgBAAAAkWoBAAIAAAAGMzc4Ljg0AFULycVODtoIcJ5Zy04O2ggzQ0lRLk5BU0RBUUdTOkNPU1QuSVFfTEFTVFNBTEVQUklDRS4xMS8yMC8yMDIwLlVTRC5IAQAAAJFqAQACAAAABjM4MS4xMgBVC8nFTg7aCHCeWctODtoIM0NJUS5OQVNEQVFHUzpDT1NULklRX0xBU1RTQUxFUFJJQ0UuMTEvMjcvMjAyMC5VU0QuSAEAAACRagEAAgAAAAYzODguMzkAVQvJxU4O2ghwnlnLTg7aCDJDSVEuTkFTREFRR1M6Q09TVC5JUV9MQVNUU0FMRVBSSUNFLjEyLzQvMjAyMC5VU0QuSAEAAACRagEAAgAAAAYzNzMuNDMAVQvJxU4O2ghwnlnLTg7aCDNDSVEuTkFTREFRR1M6Q09TVC5JUV9MQVNUU0FMRVBSSUNFLjEyLzExLzIwMjAuVVNELkgBAAAAkWoBAAIAAAAFMzc1LjEAVQvJxU4O2ghwnlnLTg7aCDNDSVEuTkFTREFRR1M6Q09TVC5JUV9MQVNUU0FMRVBSSUNFLjEy</t>
  </si>
  <si>
    <t>LzE4LzIwMjAuVVNELkgBAAAAkWoBAAIAAAADMzY3AFULycVODtoIcJ5Zy04O2ggzQ0lRLk5BU0RBUUdTOkNPU1QuSVFfTEFTVFNBTEVQUklDRS4xMi8yNS8yMDIwLlVTRC5IAQAAAJFqAQACAAAABjM2NC41OABVC8nFTg7aCHCeWctODtoIMUNJUS5OQVNEQVFHUzpDT1NULklRX0xBU1RTQUxFUFJJQ0UuMS8xLzIwMjEuVVNELkgBAAAAkWoBAAIAAAAGMzc2Ljc4AFULycVODtoIE5JZy04O2ggxQ0lRLk5BU0RBUUdTOkNPU1QuSVFfTEFTVFNBTEVQUklDRS4xLzgvMjAyMS5VU0QuSAEAAACRagEAAgAAAAYzNjkuOTQAVQvJxU4O2ggTklnLTg7aCDJDSVEuTkFTREFRR1M6Q09TVC5JUV9MQVNUU0FMRVBSSUNFLjEvMTUvMjAyMS5VU0QuSAEAAACRagEAAgAAAAYzNjIuMTYAVQvJxU4O2ggKaVnLTg7aCDJDSVEuTkFTREFRR1M6Q09TVC5JUV9MQVNUU0FMRVBSSUNFLjEvMjIvMjAyMS5VU0QuSAEAAACRagEAAgAAAAUzNjIuMwBVC8nFTg7aCAppWctODtoIMkNJUS5OQVNEQVFHUzpDT1NULklRX0xBU1RTQUxFUFJJQ0UuMS8yOS8yMDIxLlVTRC5IAQAAAJFqAQACAAAABjM1Mi40MwBVC8nFTg7aCAppWctODtoIMUNJUS5OQVNEQVFHUzpDT1NULklRX0xBU1RTQUxFUFJJQ0UuMi81LzIwMjEuVVNELkgBAAAAkWoBAAIAAAAGMzU1LjE3AFULycVODtoICmlZy04O2ggyQ0lRLk5BU0RBUUdTOkNPU1QuSVFfTEFTVFNB</t>
  </si>
  <si>
    <t>TEVQUklDRS4yLzEyLzIwMjEuVVNELkgBAAAAkWoBAAIAAAAGMzUyLjc1AFULycVODtoICmlZy04O2ggyQ0lRLk5BU0RBUUdTOkNPU1QuSVFfTEFTVFNBTEVQUklDRS4yLzE5LzIwMjEuVVNELkgBAAAAkWoBAAIAAAAGMzU0Ljc3AFULycVODtoICmlZy04O2ggyQ0lRLk5BU0RBUUdTOkNPU1QuSVFfTEFTVFNBTEVQUklDRS4yLzI2LzIwMjEuVVNELkgBAAAAkWoBAAIAAAADMzMxAFULycVODtoICmlZy04O2ggxQ0lRLk5BU0RBUUdTOkNPU1QuSVFfTEFTVFNBTEVQUklDRS4zLzUvMjAyMS5VU0QuSAEAAACRagEAAgAAAAYzMTcuMzIAVQvJxU4O2ggKaVnLTg7aCDJDSVEuTkFTREFRR1M6Q09TVC5JUV9MQVNUU0FMRVBSSUNFLjMvMTIvMjAyMS5VU0QuSAEAAACRagEAAgAAAAYzMzEuMTQAVQvJxU4O2ggKaVnLTg7aCDJDSVEuTkFTREFRR1M6Q09TVC5JUV9MQVNUU0FMRVBSSUNFLjMvMTkvMjAyMS5VU0QuSAEAAACRagEAAgAAAAYzMjguOTEAVQvJxU4O2ggKaVnLTg7aCDJDSVEuTkFTREFRR1M6Q09TVC5JUV9MQVNUU0FMRVBSSUNFLjMvMjYvMjAyMS5VU0QuSAEAAACRagEAAgAAAAYzNTIuMDIAVQvJxU4O2ggKaVnLTg7aCDFDSVEuTkFTREFRR1M6Q09TVC5JUV9MQVNUU0FMRVBSSUNFLjQvMi8yMDIxLlVTRC5IAQAAAJFqAQACAAAABjM1NC45NABVC8nFTg7aCAppWctODtoIMUNJUS5OQVNEQVFHUzpDT1NU</t>
  </si>
  <si>
    <t>LklRX0xBU1RTQUxFUFJJQ0UuNC85LzIwMjEuVVNELkgBAAAAkWoBAAIAAAAGMzYzLjIxAFULycVODtoICmlZy04O2ggyQ0lRLk5BU0RBUUdTOkNPU1QuSVFfTEFTVFNBTEVQUklDRS40LzE2LzIwMjEuVVNELkgBAAAAkWoBAAIAAAAGMzcwLjcyAFULycVODtoICmlZy04O2ggyQ0lRLk5BU0RBUUdTOkNPU1QuSVFfTEFTVFNBTEVQUklDRS40LzIzLzIwMjEuVVNELkgBAAAAkWoBAAIAAAAGMzczLjI4AFULycVODtoICmlZy04O2ggyQ0lRLk5BU0RBUUdTOkNPU1QuSVFfTEFTVFNBTEVQUklDRS40LzMwLzIwMjEuVVNELkgBAAAAkWoBAAIAAAAGMzcyLjA5AFULycVODtoICmlZy04O2ggxQ0lRLk5BU0RBUUdTOkNPU1QuSVFfTEFTVFNBTEVQUklDRS41LzcvMjAyMS5VU0QuSAEAAACRagEAAgAAAAYzODQuMzIAVQvJxU4O2ggKaVnLTg7aCDJDSVEuTkFTREFRR1M6Q09TVC5JUV9MQVNUU0FMRVBSSUNFLjUvMTQvMjAyMS5VU0QuSAEAAACRagEAAgAAAAYzODQuNDIAVQvJxU4O2ggPQlnLTg7aCDJDSVEuTkFTREFRR1M6Q09TVC5JUV9MQVNUU0FMRVBSSUNFLjUvMjEvMjAyMS5VU0QuSAEAAACRagEAAgAAAAYzODAuNzIAVQvJxU4O2ggPQlnLTg7aCDJDSVEuTkFTREFRR1M6Q09TVC5JUV9MQVNUU0FMRVBSSUNFLjUvMjgvMjAyMS5VU0QuSAEAAACRagEAAgAAAAYzNzguMjcAVQvJxU4O2ggPQlnLTg7aCDFDSVEu</t>
  </si>
  <si>
    <t>TkFTREFRR1M6Q09TVC5JUV9MQVNUU0FMRVBSSUNFLjYvNC8yMDIxLlVTRC5IAQAAAJFqAQACAAAABjM4Ny41MgBVC8nFTg7aCA9CWctODtoIMkNJUS5OQVNEQVFHUzpDT1NULklRX0xBU1RTQUxFUFJJQ0UuNi8xMS8yMDIxLlVTRC5IAQAAAJFqAQACAAAABjM4MS44MwBVC8nFTg7aCA9CWctODtoIMkNJUS5OQVNEQVFHUzpDT1NULklRX0xBU1RTQUxFUFJJQ0UuNi8xOC8yMDIxLlVTRC5IAQAAAJFqAQACAAAABjM4MC44OABVC8nFTg7aCA9CWctODtoIMkNJUS5OQVNEQVFHUzpDT1NULklRX0xBU1RTQUxFUFJJQ0UuNi8yNS8yMDIxLlVTRC5IAQAAAJFqAQACAAAABjM5NC41MQBVC8nFTg7aCA9CWctODtoIMUNJUS5OQVNEQVFHUzpDT1NULklRX0xBU1RTQUxFUFJJQ0UuNy8yLzIwMjEuVVNELkgBAAAAkWoBAAIAAAAGMzk4Ljk0AFULycVODtoID0JZy04O2ggxQ0lRLk5BU0RBUUdTOkNPU1QuSVFfTEFTVFNBTEVQUklDRS43LzkvMjAyMS5VU0QuSAEAAACRagEAAgAAAAY0MTIuMzcAVQvJxU4O2ggPQlnLTg7aCDJDSVEuTkFTREFRR1M6Q09TVC5JUV9MQVNUU0FMRVBSSUNFLjcvMTYvMjAyMS5VU0QuSAEAAACRagEAAgAAAAY0MTAuMzcAVQvJxU4O2ggPQlnLTg7aCDJDSVEuTkFTREFRR1M6Q09TVC5JUV9MQVNUU0FMRVBSSUNFLjcvMjMvMjAyMS5VU0QuSAEAAACRagEAAgAAAAY0MjMuNDMAVQvJxU4O2ggP</t>
  </si>
  <si>
    <t>QlnLTg7aCDJDSVEuTkFTREFRR1M6Q09TVC5JUV9MQVNUU0FMRVBSSUNFLjcvMzAvMjAyMS5VU0QuSAEAAACRagEAAgAAAAY0MjkuNzIAVQvJxU4O2ggPQlnLTg7aCDFDSVEuTkFTREFRR1M6Q09TVC5JUV9MQVNUU0FMRVBSSUNFLjgvNi8yMDIxLlVTRC5IAQAAAJFqAQACAAAABjQzOS42MwBVC8nFTg7aCA9CWctODtoIMkNJUS5OQVNEQVFHUzpDT1NULklRX0xBU1RTQUxFUFJJQ0UuOC8xMy8yMDIxLlVTRC5IAQAAAJFqAQACAAAABjQ0Ny44MgBVC8nFTg7aCA9CWctODtoIMkNJUS5OQVNEQVFHUzpDT1NULklRX0xBU1RTQUxFUFJJQ0UuOC8yMC8yMDIxLlVTRC5IAQAAAJFqAQACAAAABjQ1OC45OQBVC8nFTg7aCA9CWctODtoIMkNJUS5OQVNEQVFHUzpDT1NULklRX0xBU1RTQUxFUFJJQ0UuOC8yNy8yMDIxLlVTRC5IAQAAAJFqAQACAAAABjQ1MC4zNABVC8nFTg7aCA9CWctODtoIMUNJUS5OQVNEQVFHUzpDT1NULklRX0xBU1RTQUxFUFJJQ0UuOS8zLzIwMjEuVVNELkgBAAAAkWoBAAIAAAAGNDYyLjU1AFULycVODtoID0JZy04O2ggyQ0lRLk5BU0RBUUdTOkNPU1QuSVFfTEFTVFNBTEVQUklDRS45LzEwLzIwMjEuVVNELkgBAAAAkWoBAAIAAAAGNDY1LjE2AFULycVODtoID0JZy04O2ggyQ0lRLk5BU0RBUUdTOkNPU1QuSVFfTEFTVFNBTEVQUklDRS45LzE3LzIwMjEuVVNELkgBAAAAkWoBAAIAAAAGNDU5</t>
  </si>
  <si>
    <t>LjUxAFULycVODtoI7xpZy04O2ggyQ0lRLk5BU0RBUUdTOkNPU1QuSVFfTEFTVFNBTEVQUklDRS45LzI0LzIwMjEuVVNELkgBAAAAkWoBAAIAAAAGNDY3Ljc1AFULycVODtoI7xpZy04O2ggyQ0lRLk5BU0RBUUdTOkNPU1QuSVFfTEFTVFNBTEVQUklDRS4xMC8xLzIwMjEuVVNELkgBAAAAkWoBAAIAAAAGNDQ4LjMzAFULycVODtoI7xpZy04O2ggyQ0lRLk5BU0RBUUdTOkNPU1QuSVFfTEFTVFNBTEVQUklDRS4xMC84LzIwMjEuVVNELkgBAAAAkWoBAAIAAAAGNDUxLjg1AFULycVODtoI7xpZy04O2ggzQ0lRLk5BU0RBUUdTOkNPU1QuSVFfTEFTVFNBTEVQUklDRS4xMC8xNS8yMDIxLlVTRC5IAQAAAJFqAQACAAAABjQ1Mi4zOQBVC8nFTg7aCO8aWctODtoIM0NJUS5OQVNEQVFHUzpDT1NULklRX0xBU1RTQUxFUFJJQ0UuMTAvMjIvMjAyMS5VU0QuSAEAAACRagEAAgAAAAY0ODEuOTkAVQvJxU4O2gjvGlnLTg7aCDNDSVEuTkFTREFRR1M6Q09TVC5JUV9MQVNUU0FMRVBSSUNFLjEwLzI5LzIwMjEuVVNELkgBAAAAkWoBAAIAAAAGNDkxLjU0AFULycVODtoI7xpZy04O2ggyQ0lRLk5BU0RBUUdTOkNPU1QuSVFfTEFTVFNBTEVQUklDRS4xMS81LzIwMjEuVVNELkgBAAAAkWoBAAIAAAAGNTEzLjEyAFULycVODtoI7xpZy04O2ggzQ0lRLk5BU0RBUUdTOkNPU1QuSVFfTEFTVFNBTEVQUklDRS4xMS8xMi8yMDIxLlVT</t>
  </si>
  <si>
    <t>RC5IAQAAAJFqAQACAAAABjUxNy4xNwBVC8nFTg7aCO8aWctODtoIM0NJUS5OQVNEQVFHUzpDT1NULklRX0xBU1RTQUxFUFJJQ0UuMTEvMTkvMjAyMS5VU0QuSAEAAACRagEAAgAAAAY1MzMuNzkAVQvJxU4O2gjvGlnLTg7aCDNDSVEuTkFTREFRR1M6Q09TVC5JUV9MQVNUU0FMRVBSSUNFLjExLzI2LzIwMjEuVVNELkgBAAAAkWoBAAIAAAAGNTQ2LjEzAFULycVODtoI7xpZy04O2ggyQ0lRLk5BU0RBUUdTOkNPU1QuSVFfTEFTVFNBTEVQUklDRS4xMi8zLzIwMjEuVVNELkgBAAAAkWoBAAIAAAAGNTI4LjkzAFULycVODtoI7xpZy04O2ggzQ0lRLk5BU0RBUUdTOkNPU1QuSVFfTEFTVFNBTEVQUklDRS4xMi8xMC8yMDIxLlVTRC5IAQAAAJFqAQACAAAABjU1OC44MgBVC8nFTg7aCO8aWctODtoIM0NJUS5OQVNEQVFHUzpDT1NULklRX0xBU1RTQUxFUFJJQ0UuMTIvMTcvMjAyMS5VU0QuSAEAAACRagEAAgAAAAY1NDcuNjEAVQvJxU4O2gjvGlnLTg7aCDNDSVEuTkFTREFRR1M6Q09TVC5JUV9MQVNUU0FMRVBSSUNFLjEyLzI0LzIwMjEuVVNELkgBAAAAkWoBAAIAAAAGNTUwLjM3AFULycVODtoI7xpZy04O2ggzQ0lRLk5BU0RBUUdTOkNPU1QuSVFfTEFTVFNBTEVQUklDRS4xMi8zMS8yMDIxLlVTRC5IAQAAAJFqAQACAAAABTU2Ny43AFULycVODtoI7xpZy04O2ggxQ0lRLk5BU0RBUUdTOkNPU1QuSVFfTEFTVFNB</t>
  </si>
  <si>
    <t>TEVQUklDRS4xLzcvMjAyMi5VU0QuSAEAAACRagEAAgAAAAY1MzYuMTgAVQvJxU4O2gjvGlnLTg7aCDJDSVEuTkFTREFRR1M6Q09TVC5JUV9MQVNUU0FMRVBSSUNFLjEvMTQvMjAyMi5VU0QuSAEAAACRagEAAgAAAAY1MDIuOTkAVQvJxU4O2gjp81jLTg7aCDJDSVEuTkFTREFRR1M6Q09TVC5JUV9MQVNUU0FMRVBSSUNFLjEvMjEvMjAyMi5VU0QuSAEAAACRagEAAgAAAAY0ODEuNjEAVQvJxU4O2gjp81jLTg7aCDJDSVEuTkFTREFRR1M6Q09TVC5JUV9MQVNUU0FMRVBSSUNFLjEvMjgvMjAyMi5VU0QuSAEAAACRagEAAgAAAAY0OTIuNDMAVQvJxU4O2gjp81jLTg7aCDFDSVEuTkFTREFRR1M6Q09TVC5JUV9MQVNUU0FMRVBSSUNFLjIvNC8yMDIyLlVTRC5IAQAAAJFqAQACAAAABjUxOS43NwBVC8nFTg7aCOnzWMtODtoIMkNJUS5OQVNEQVFHUzpDT1NULklRX0xBU1RTQUxFUFJJQ0UuMi8xMS8yMDIyLlVTRC5IAQAAAJFqAQACAAAABjUwOS42NwBVC8nFTg7aCOnzWMtODtoIMkNJUS5OQVNEQVFHUzpDT1NULklRX0xBU1RTQUxFUFJJQ0UuMi8xOC8yMDIyLlVTRC5IAQAAAJFqAQACAAAABjUxMi42NwBVC8nFTg7aCOnzWMtODtoIMkNJUS5OQVNEQVFHUzpDT1NULklRX0xBU1RTQUxFUFJJQ0UuMi8yNS8yMDIyLlVTRC5IAQAAAJFqAQACAAAABjUxNy40OQBVC8nFTg7aCOnzWMtODtoIMUNJUS5OQVNEQVFHUzpD</t>
  </si>
  <si>
    <t>T1NULklRX0xBU1RTQUxFUFJJQ0UuMy80LzIwMjIuVVNELkgBAAAAkWoBAAIAAAAFNTI1LjUAVQvJxU4O2gjp81jLTg7aCDJDSVEuTkFTREFRR1M6Q09TVC5JUV9MQVNUU0FMRVBSSUNFLjMvMTEvMjAyMi5VU0QuSAEAAACRagEAAgAAAAY1MjcuNDIAVQvJxU4O2gjp81jLTg7aCDJDSVEuTkFTREFRR1M6Q09TVC5JUV9MQVNUU0FMRVBSSUNFLjMvMTgvMjAyMi5VU0QuSAEAAACRagEAAgAAAAY1NjEuMzUAVQvJxU4O2gjp81jLTg7aCDJDSVEuTkFTREFRR1M6Q09TVC5JUV9MQVNUU0FMRVBSSUNFLjMvMjUvMjAyMi5VU0QuSAEAAACRagEAAgAAAAY1NTcuNjEAVQvJxU4O2gjp81jLTg7aCDNDSVEuTllTRTpXTVQuSVFfSU5WRU5UT1JZLkZZMjAxMy4zLzI1LzIwMjIuTC4uVVNELkgBAAAA38YEAAIAAAAFNDM4MDMBCAAAAAUAAAABMQEAAAAKMTcyNjQ4OTM4MQMAAAADMTYwAgAAAAQxMDQzBAAAAAEwBwAAAAkzLzI1LzIwMjIIAAAACTEvMzEvMjAxMwkAAAABMIfknsVODtoI6ZvkyU4O2ggpQ0lRLk5ZU0U6V01ULklRX05JLklRX0xUTS5GWTIwMTMuTC4uVVNELkgBAAAA38YEAAIAAAAFMTY5OTkBCAAAAAUAAAABMQEAAAAKMTcyNjQ5NTg0OAMAAAADMTYwAgAAAAIxNQQAAAABMAcAAAAJMy8yNS8yMDIyCAAAAAkxLzMxLzIwMTMJAAAAATBJ5MjFTg7aCO7q5MlODtoIMkNJUS5OWVNFOldNVC5JUV9UT1RBTF9D</t>
  </si>
  <si>
    <t>TC5GWTIwMTMuMy8yNS8yMDIyLkwuLlVTRC5IAQAAAN/GBAACAAAABTcxODE4AQgAAAAFAAAAATEBAAAACjE3MjY0ODkzODEDAAAAAzE2MAIAAAAEMTAwOQQAAAABMAcAAAAJMy8yNS8yMDIyCAAAAAkxLzMxLzIwMTMJAAAAATCH5J7FTg7aCO7q5MlODtoILENJUS5OWVNFOldNVC5JUV9BUi5GWTIwMTYuMy8yNS8yMDIyLkwuLlVTRC5IAQAAAN/GBAACAAAABDU2MjQBCAAAAAUAAAABMQEAAAAKMTg4MDcxODc2MgMAAAADMTYwAgAAAAQxMDIxBAAAAAEwBwAAAAkzLzI1LzIwMjIIAAAACTEvMzEvMjAxNgkAAAABMIfknsVODtoIllDmyU4O2gg0Q0lRLk5ZU0U6V01ULklRX0NBU0hfRVFVSVYuRlkyMDE2LjMvMjUvMjAyMi5MLi5VU0QuSAEAAADfxgQAAgAAAAQ4NzA1AQgAAAAFAAAAATEBAAAACjE4ODA3MTg3NjIDAAAAAzE2MAIAAAAEMTA5NgQAAAABMAcAAAAJMy8yNS8yMDIyCAAAAAkxLzMxLzIwMTYJAAAAATCH5J7FTg7aCJZQ5slODtoILENJUS5OWVNFOldNVC5JUV9BUi5GWTIwMTMuMy8yNS8yMDIyLkwuLlVTRC5IAQAAAN/GBAACAAAABDY3NjgBCAAAAAUAAAABMQEAAAAKMTcyNjQ4OTM4MQMAAAADMTYwAgAAAAQxMDIxBAAAAAEwBwAAAAkzLzI1LzIwMjIIAAAACTEvMzEvMjAxMwkAAAABMIfknsVODtoI6ZvkyU4O2gg6Q0lRLk5ZU0U6V01ULklRX0RBWVNfUEFZQUJMRV9PVVQuRlkyMDE2LjMvMjUv</t>
  </si>
  <si>
    <t>MjAyMi5MLi5VU0QuSAEAAADfxgQAAgAAAAgzOC45NDg0MgEIAAAABQAAAAExAQAAAAoxODgwNzE4NzYyAwAAAAMxNjACAAAABDQxODMEAAAAATAHAAAACTMvMjUvMjAyMggAAAAJMS8zMS8yMDE2CQAAAAEwh+SexU4O2giWUObJTg7aCDpDSVEuTllTRTpXTVQuSVFfREFZU19QQVlBQkxFX09VVC5GWTIwMTMuMy8yNS8yMDIyLkwuLlVTRC5IAQAAAN/GBAACAAAACDM4LjQ1OTI4AQgAAAAFAAAAATEBAAAACjE3MjY0ODkzODEDAAAAAzE2MAIAAAAENDE4MwQAAAABMAcAAAAJMy8yNS8yMDIyCAAAAAkxLzMxLzIwMTMJAAAAATCH5J7FTg7aCOmb5MlODtoILkNJUS5OWVNFOldNVC5JUV9DT0dTLkZZMjAxNi4zLzI1LzIwMjIuTC4uVVNELkgBAAAA38YEAAIAAAAGMzYwOTg0AQgAAAAFAAAAATEBAAAACjE4ODA3MTg3NjIDAAAAAzE2MAIAAAACMzQEAAAAATAHAAAACTMvMjUvMjAyMggAAAAJMS8zMS8yMDE2CQAAAAEwh+SexU4O2giaFOfJTg7aCClDSVEuTllTRTpXTVQuSVFfTkkuSVFfTFRNLkZZMjAxNi5MLi5VU0QuSAEAAADfxgQAAgAAAAUxNDY5NAEIAAAABQAAAAExAQAAAAoxODgwNzE5NzI4AwAAAAMxNjACAAAAAjE1BAAAAAEwBwAAAAkzLzI1LzIwMjIIAAAACTEvMzEvMjAxNgkAAAABMIfknsVODtoIbJ/myU4O2ggyQ0lRLk5ZU0U6V01ULklRX1RPVEFMX0NMLkZZMjAxNi4zLzI1LzIwMjIuTC4uVVNE</t>
  </si>
  <si>
    <t>LkgBAAAA38YEAAIAAAAFNjQ2MTkBCAAAAAUAAAABMQEAAAAKMTg4MDcxODc2MgMAAAADMTYwAgAAAAQxMDA5BAAAAAEwBwAAAAkzLzI1LzIwMjIIAAAACTEvMzEvMjAxNgkAAAABMIfknsVODtoIbJ/myU4O2ggzQ0lRLk5ZU0U6V01ULklRX1RPVEFMX0NBUC5GWTIwMTYuMy8yNS8yMDIyLkwuLlVTRC5IAQAAAN/GBAACAAAABjEzNDM4MwEIAAAABQAAAAExAQAAAAoxODgwNzE4NzYyAwAAAAMxNjACAAAABDQxNzUEAAAAATAHAAAACTMvMjUvMjAyMggAAAAJMS8zMS8yMDE2CQAAAAEwh+SexU4O2ghYeObJTg7aCDJDSVEuTllTRTpXTVQuSVFfQVJfVFVSTlMuRlkyMDEzLjMvMjUvMjAyMi5MLi5VU0QuSAEAAADfxgQAAgAAAAk3My43NzQyNjIBCAAAAAUAAAABMQEAAAAKMTcyNjQ4OTM4MQMAAAADMTYwAgAAAAQ0MDAxBAAAAAEwBwAAAAkzLzI1LzIwMjIIAAAACTEvMzEvMjAxMwkAAAABMIfknsVODtoI9MPkyU4O2gg3Q0lRLk5ZU0U6V01ULklRX1RPVEFMX1JFVkVOVUUuRlkyMDEzLjMvMjUvMjAyMi5MLi5VU0QuSAEAAADfxgQAAgAAAAY0Njg2NTEBCAAAAAUAAAABMQEAAAAKMTcyNjQ4OTM4MQMAAAADMTYwAgAAAAIyOAQAAAABMAcAAAAJMy8yNS8yMDIyCAAAAAkxLzMxLzIwMTMJAAAAATCH5J7FTg7aCGg85clODtoIMkNJUS5OWVNFOldNVC5JUV9BUl9UVVJOUy5GWTIwMTYuMy8yNS8yMDIyLkwuLlVT</t>
  </si>
  <si>
    <t>RC5IAQAAAN/GBAACAAAACTc3Ljc1MDM2MgEIAAAABQAAAAExAQAAAAoxODgwNzE4NzYyAwAAAAMxNjACAAAABDQwMDEEAAAAATAHAAAACTMvMjUvMjAyMggAAAAJMS8zMS8yMDE2CQAAAAEwh+SexU4O2ghYeObJTg7aCDJDSVEuTkFTREFRR1M6Q09TVC5JUV9UT1RBTF9ERVBPU0lUUy4yMDAwLi5MLi5VU0QuSAEAAACRagEAAwAAAAAAh+SexU4O2ggt9V3LTg7aCDpDSVEuTllTRTpXTVQuSVFfTkVUX0lOVEVSRVNUX0VYUC5GWTIwMTYuMy8yNS8yMDIyLkwuLlVTRC5IAQAAAN/GBAACAAAABS0yNDY3AQgAAAAFAAAAATEBAAAACjE4ODA3MTg3NjIDAAAAAzE2MAIAAAADMzY4BAAAAAEwBwAAAAkzLzI1LzIwMjIIAAAACTEvMzEvMjAxNgkAAAABMIfknsVODtoIku3myU4O2gg1Q0lRLk5ZU0U6V01ULklRX0FTU0VUX1RVUk5TLkZZMjAxMy4zLzI1LzIwMjIuTC4uVVNELkgBAAAA38YEAAIAAAAIMi4zNjM4NzMBCAAAAAUAAAABMQEAAAAKMTcyNjQ4OTM4MQMAAAADMTYwAgAAAAQ0MTc3BAAAAAEwBwAAAAkzLzI1LzIwMjIIAAAACTEvMzEvMjAxMwkAAAABMIfknsVODtoI9MPkyU4O2ggzQ0lRLk5ZU0U6V01ULklRX0NBU0hfT1BFUi5GWTIwMTMuMy8yNS8yMDIyLkwuLlVTRC5IAQAAAN/GBAACAAAABTI1NTkxAQgAAAAFAAAAATEBAAAACjE3MjY0ODkzODEDAAAAAzE2MAIAAAAEMjAwNgQAAAABMAcAAAAJMy8y</t>
  </si>
  <si>
    <t>NS8yMDIyCAAAAAkxLzMxLzIwMTMJAAAAATCH5J7FTg7aCOmb5MlODtoILUNJUS5OWVNFOldNVC5JUV9TR0EuRlkyMDEzLjMvMjUvMjAyMi5MLi5VU0QuSAEAAADfxgQAAgAAAAU4ODYyOQEIAAAABQAAAAExAQAAAAoxNzI2NDg5MzgxAwAAAAMxNjACAAAAAjIzBAAAAAEwBwAAAAkzLzI1LzIwMjIIAAAACTEvMzEvMjAxMwkAAAABMIfknsVODtoIaDzlyU4O2gg4Q0lRLk5ZU0U6V01ULklRX0RBWVNfU0FMRVNfT1VULkZZMjAxMy4zLzI1LzIwMjIuTC4uVVNELkgBAAAA38YEAAIAAAAINC45NjA3NjQBCAAAAAUAAAABMQEAAAAKMTcyNjQ4OTM4MQMAAAADMTYwAgAAAAQ0MDQyBAAAAAEwBwAAAAkzLzI1LzIwMjIIAAAACTEvMzEvMjAxMwkAAAABMIfknsVODtoI6ZvkyU4O2gg7Q0lRLk5ZU0U6V01ULklRX0ZJWEVEX0FTU0VUX1RVUk5TLkZZMjAxMy4zLzI1LzIwMjIuTC4uVVNELkgBAAAA38YEAAIAAAAINC4wOTI5MzIBCAAAAAUAAAABMQEAAAAKMTcyNjQ4OTM4MQMAAAADMTYwAgAAAAQ0MDY2BAAAAAEwBwAAAAkzLzI1LzIwMjIIAAAACTEvMzEvMjAxMwkAAAABMIfknsVODtoI9MPkyU4O2ggzQ0lRLk5ZU0U6V01ULklRX0RBX0VCSVREQS5GWTIwMTMuMy8yNS8yMDIyLkwuLlVTRC5IAQAAAN/GBAACAAAABDg0NzgBCAAAAAUAAAABMQEAAAAKMTcyNjQ4OTM4MQMAAAADMTYwAgAAAAQyMjA2BAAAAAEwBwAA</t>
  </si>
  <si>
    <t>AAkzLzI1LzIwMjIIAAAACTEvMzEvMjAxMwkAAAABMIfknsVODtoIaDzlyU4O2ggwQ0lRLk5ZU0U6V01ULklRX0VCSVREQS5GWTIwMTYuMy8yNS8yMDIyLkwuLlVTRC5IAQAAAN/GBAACAAAABTMzNTU5AQgAAAAFAAAAATEBAAAACjE4ODA3MTg3NjIDAAAAAzE2MAIAAAAENDA1MQQAAAABMAcAAAAJMy8yNS8yMDIyCAAAAAkxLzMxLzIwMTYJAAAAATCH5J7FTg7aCGzG5slODtoIN0NJUS5OWVNFOldNVC5JUV9UT1RBTF9SRVZFTlVFLkZZMjAxNi4zLzI1LzIwMjIuTC4uVVNELkgBAAAA38YEAAIAAAAGNDgyMTMwAQgAAAAFAAAAATEBAAAACjE4ODA3MTg3NjIDAAAAAzE2MAIAAAACMjgEAAAAATAHAAAACTMvMjUvMjAyMggAAAAJMS8zMS8yMDE2CQAAAAEwh+SexU4O2giaFOfJTg7aCDNDSVEuTllTRTpXTVQuSVFfSU5WRU5UT1JZLkZZMjAxNi4zLzI1LzIwMjIuTC4uVVNELkgBAAAA38YEAAIAAAAFNDQ0NjkBCAAAAAUAAAABMQEAAAAKMTg4MDcxODc2MgMAAAADMTYwAgAAAAQxMDQzBAAAAAEwBwAAAAkzLzI1LzIwMjIIAAAACTEvMzEvMjAxNgkAAAABMIfknsVODtoIllDmyU4O2ggvQ0lRLk5BU0RBUUdTOkNPU1QuSVFfR1JPU1NfTE9BTlMuMjAwMC4uTC4uVVNELkgBAAAAkWoBAAMAAAAAAIfknsVODtoILfVdy04O2gg7Q0lRLk5ZU0U6V01ULklRX0ZJWEVEX0FTU0VUX1RVUk5TLkZZMjAxNi4zLzI1LzIw</t>
  </si>
  <si>
    <t>MjIuTC4uVVNELkgBAAAA38YEAAIAAAAINC4xMzU0MTkBCAAAAAUAAAABMQEAAAAKMTg4MDcxODc2MgMAAAADMTYwAgAAAAQ0MDY2BAAAAAEwBwAAAAkzLzI1LzIwMjIIAAAACTEvMzEvMjAxNgkAAAABMIfknsVODtoIWHjmyU4O2gg5Q0lRLk5ZU0U6V01ULklRX0lOVkVOVE9SWV9UVVJOUy5GWTIwMTMuMy8yNS8yMDIyLkwuLlVTRC5IAQAAAN/GBAACAAAACDguMzM2NzEzAQgAAAAFAAAAATEBAAAACjE3MjY0ODkzODEDAAAAAzE2MAIAAAAENDA4MgQAAAABMAcAAAAJMy8yNS8yMDIyCAAAAAkxLzMxLzIwMTMJAAAAATCH5J7FTg7aCPTD5MlODtoIM0NJUS5OWVNFOldNVC5JUV9UT1RBTF9DQVAuRlkyMDEzLjMvMjUvMjAyMi5MLi5VU0QuSAEAAADfxgQAAgAAAAYxMzY0ODgBCAAAAAUAAAABMQEAAAAKMTcyNjQ4OTM4MQMAAAADMTYwAgAAAAQ0MTc1BAAAAAEwBwAAAAkzLzI1LzIwMjIIAAAACTEvMzEvMjAxMwkAAAABMIfknsVODtoI9MPkyU4O2gg4Q0lRLk5ZU0U6V01ULklRX0RBWVNfU0FMRVNfT1VULkZZMjAxNi4zLzI1LzIwMjIuTC4uVVNELkgBAAAA38YEAAIAAAAINC42OTQyNjUBCAAAAAUAAAABMQEAAAAKMTg4MDcxODc2MgMAAAADMTYwAgAAAAQ0MDQyBAAAAAEwBwAAAAkzLzI1LzIwMjIIAAAACTEvMzEvMjAxNgkAAAABMIfknsVODtoIWHjmyU4O2ggzQ0lRLk5ZU0U6V01ULklRX1JEX0VYUF9G</t>
  </si>
  <si>
    <t>Ti5GWTIwMTYuMy8yNS8yMDIyLkwuLlVTRC5IAQAAAN/GBAADAAAAAACH5J7FTg7aCJLt5slODtoILkNJUS5OWVNFOldNVC5JUV9FQklULkZZMjAxMy4zLzI1LzIwMjIuTC4uVVNELkgBAAAA38YEAAIAAAAFMjc3MjUBCAAAAAUAAAABMQEAAAAKMTcyNjQ4OTM4MQMAAAADMTYwAgAAAAM0MDAEAAAAATAHAAAACTMvMjUvMjAyMggAAAAJMS8zMS8yMDEzCQAAAAEwh+SexU4O2giyEuXJTg7aCDxDSVEuTllTRTpXTVQuSVFfREFZU19JTlZFTlRPUllfT1VULkZZMjAxNi4zLzI1LzIwMjIuTC4uVVNELkgBAAAA38YEAAIAAAAJNDUuMzAzNDM1AQgAAAAFAAAAATEBAAAACjE4ODA3MTg3NjIDAAAAAzE2MAIAAAAENDAzNQQAAAABMAcAAAAJMy8yNS8yMDIyCAAAAAkxLzMxLzIwMTYJAAAAATCH5J7FTg7aCFh45slODtoINkNJUS5OWVNFOldNVC5JUV9HUk9TU19QUk9GSVQuRlkyMDEzLjMvMjUvMjAyMi5MLi5VU0QuSAEAAADfxgQAAgAAAAYxMTYzNTQBCAAAAAUAAAABMQEAAAAKMTcyNjQ4OTM4MQMAAAADMTYwAgAAAAIxMAQAAAABMAcAAAAJMy8yNS8yMDIyCAAAAAkxLzMxLzIwMTMJAAAAATCH5J7FTg7aCGg85clODtoIOkNJUS5OQVNEQVFHUzpDT1NULklRX0VCSVRfTUFSR0lOLklRX0xUTS4zLzI1LzIwMjIuTC4uVVNELkgBAAAAkWoBAAIAAAAGMy44NDE3AQgAAAAFAAAAATEBAAAACy0yMTA4ODU1MzQ4AwAA</t>
  </si>
  <si>
    <t>AAMxNjACAAAABDQwNTMEAAAAATAHAAAACTMvMjUvMjAyMggAAAAJMi8xMy8yMDIyCQAAAAEwh+SexU4O2gjkQ17LTg7aCDRDSVEuTllTRTpXTVQuSVFfT1RIRVJfT1BFUi5GWTIwMTYuMy8yNS8yMDIyLkwuLlVTRC5IAQAAAN/GBAADAAAAAACH5J7FTg7aCJLt5slODtoILENJUS5OWVNFOldNVC5JUV9BUC5GWTIwMTYuMy8yNS8yMDIyLkwuLlVTRC5IAQAAAN/GBAACAAAABTM4NDg3AQgAAAAFAAAAATEBAAAACjE4ODA3MTg3NjIDAAAAAzE2MAIAAAAEMTAxOAQAAAABMAcAAAAJMy8yNS8yMDIyCAAAAAkxLzMxLzIwMTYJAAAAATCH5J7FTg7aCJZQ5slODtoIM0NJUS5OWVNFOldNVC5JUV9DQVNIX09QRVIuRlkyMDE2LjMvMjUvMjAyMi5MLi5VU0QuSAEAAADfxgQAAgAAAAUyNzU1MgEIAAAABQAAAAExAQAAAAoxODgwNzE4NzYyAwAAAAMxNjACAAAABDIwMDYEAAAAATAHAAAACTMvMjUvMjAyMggAAAAJMS8zMS8yMDE2CQAAAAEwh+SexU4O2giWUObJTg7aCDJDSVEuTllTRTpXTVQuSVFfQVJfVFVSTlMuRlkyMDE3LjMvMjUvMjAyMi5MLi5VU0QuSAEAAADfxgQAAgAAAAk4NC44MDE5ODkBCAAAAAUAAAABMQEAAAAKMTk1MTU0MDMzNQMAAAADMTYwAgAAAAQ0MDAxBAAAAAEwBwAAAAkzLzI1LzIwMjIIAAAACTEvMzEvMjAxNwkAAAABMIfknsVODtoI2K/oyU4O2gg6Q0lRLk5ZU0U6V01ULklRX05FVF9JTlRF</t>
  </si>
  <si>
    <t>UkVTVF9FWFAuRlkyMDE3LjMvMjUvMjAyMi5MLi5VU0QuSAEAAADfxgQAAgAAAAUtMjI2NwEIAAAABQAAAAExAQAAAAoxOTUxNTQwMzM1AwAAAAMxNjACAAAAAzM2OAQAAAABMAcAAAAJMy8yNS8yMDIyCAAAAAkxLzMxLzIwMTcJAAAAATCH5J7FTg7aCN796MlODtoILENJUS5OWVNFOldNVC5JUV9BUC5GWTIwMTcuMy8yNS8yMDIyLkwuLlVTRC5IAQAAAN/GBAACAAAABTQxNDMzAQgAAAAFAAAAATEBAAAACjE5NTE1NDAzMzUDAAAAAzE2MAIAAAAEMTAxOAQAAAABMAcAAAAJMy8yNS8yMDIyCAAAAAkxLzMxLzIwMTcJAAAAATCH5J7FTg7aCLWI6MlODtoIN0NJUS5OWVNFOldNVC5JUV9UT1RBTF9SRVZFTlVFLkZZMjAxNy4zLzI1LzIwMjIuTC4uVVNELkgBAAAA38YEAAIAAAAGNDg1ODczAQgAAAAFAAAAATEBAAAACjE5NTE1NDAzMzUDAAAAAzE2MAIAAAACMjgEAAAAATAHAAAACTMvMjUvMjAyMggAAAAJMS8zMS8yMDE3CQAAAAEwh+SexU4O2gjxJOnJTg7aCDhDSVEuTllTRTpXTVQuSVFfREFZU19TQUxFU19PVVQuRlkyMDE3LjMvMjUvMjAyMi5MLi5VU0QuSAEAAADfxgQAAgAAAAg0LjMxNTg3MgEIAAAABQAAAAExAQAAAAoxOTUxNTQwMzM1AwAAAAMxNjACAAAABDQwNDIEAAAAATAHAAAACTMvMjUvMjAyMggAAAAJMS8zMS8yMDE3CQAAAAEwh+SexU4O2gjYr+jJTg7aCDNDSVEuTllTRTpXTVQuSVFfSU5W</t>
  </si>
  <si>
    <t>RU5UT1JZLkZZMjAxNy4zLzI1LzIwMjIuTC4uVVNELkgBAAAA38YEAAIAAAAFNDMwNDYBCAAAAAUAAAABMQEAAAAKMTk1MTU0MDMzNQMAAAADMTYwAgAAAAQxMDQzBAAAAAEwBwAAAAkzLzI1LzIwMjIIAAAACTEvMzEvMjAxNwkAAAABMIfknsVODtoItYjoyU4O2ggsQ0lRLk5ZU0U6V01ULklRX0FSLkZZMjAxNy4zLzI1LzIwMjIuTC4uVVNELkgBAAAA38YEAAIAAAAENTgzNQEIAAAABQAAAAExAQAAAAoxOTUxNTQwMzM1AwAAAAMxNjACAAAABDEwMjEEAAAAATAHAAAACTMvMjUvMjAyMggAAAAJMS8zMS8yMDE3CQAAAAEwh+SexU4O2gi1iOjJTg7aCDNDSVEuTllTRTpXTVQuSVFfQ0FTSF9PUEVSLkZZMjAxNy4zLzI1LzIwMjIuTC4uVVNELkgBAAAA38YEAAIAAAAFMzE2NzMBCAAAAAUAAAABMQEAAAAKMTk1MTU0MDMzNQMAAAADMTYwAgAAAAQyMDA2BAAAAAEwBwAAAAkzLzI1LzIwMjIIAAAACTEvMzEvMjAxNwkAAAABMIfknsVODtoItYjoyU4O2ggwQ0lRLk5ZU0U6V01ULklRX0VCSVREQS5GWTIwMTcuMy8yNS8yMDIyLkwuLlVTRC5IAQAAAN/GBAACAAAABTMyODQ0AQgAAAAFAAAAATEBAAAACjE5NTE1NDAzMzUDAAAAAzE2MAIAAAAENDA1MQQAAAABMAcAAAAJMy8yNS8yMDIyCAAAAAkxLzMxLzIwMTcJAAAAATCH5J7FTg7aCN796MlODtoILUNJUS5OWVNFOldNVC5JUV9TR0EuRlkyMDE3LjMvMjUvMjAy</t>
  </si>
  <si>
    <t>Mi5MLi5VU0QuSAEAAADfxgQAAgAAAAYxMDE4NTMBCAAAAAUAAAABMQEAAAAKMTk1MTU0MDMzNQMAAAADMTYwAgAAAAIyMwQAAAABMAcAAAAJMy8yNS8yMDIyCAAAAAkxLzMxLzIwMTcJAAAAATCH5J7FTg7aCPEk6clODtoIKUNJUS5OWVNFOldNVC5JUV9OSS5JUV9MVE0uRlkyMDE3LkwuLlVTRC5IAQAAAN/GBAACAAAABTEzNjQzAQgAAAAFAAAAATEBAAAACjE5NTE1NDEwMTEDAAAAAzE2MAIAAAACMTUEAAAAATAHAAAACTMvMjUvMjAyMggAAAAJMS8zMS8yMDE3CQAAAAEwh+SexU4O2gjq1ujJTg7aCDNDSVEuTllTRTpXTVQuSVFfVE9UQUxfQ0FQLkZZMjAxNy4zLzI1LzIwMjIuTC4uVVNELkgBAAAA38YEAAIAAAAGMTI3MTAzAQgAAAAFAAAAATEBAAAACjE5NTE1NDAzMzUDAAAAAzE2MAIAAAAENDE3NQQAAAABMAcAAAAJMy8yNS8yMDIyCAAAAAkxLzMxLzIwMTcJAAAAATCH5J7FTg7aCNiv6MlODtoIOUNJUS5OWVNFOldNVC5JUV9JTlZFTlRPUllfVFVSTlMuRlkyMDE3LjMvMjUvMjAyMi5MLi5VU0QuSAEAAADfxgQAAgAAAAg4LjI1NTg2NAEIAAAABQAAAAExAQAAAAoxOTUxNTQwMzM1AwAAAAMxNjACAAAABDQwODIEAAAAATAHAAAACTMvMjUvMjAyMggAAAAJMS8zMS8yMDE3CQAAAAEwh+SexU4O2gjYr+jJTg7aCDZDSVEuTllTRTpXTVQuSVFfR1JPU1NfUFJPRklULkZZMjAxNy4zLzI1LzIwMjIuTC4u</t>
  </si>
  <si>
    <t>VVNELkgBAAAA38YEAAIAAAAGMTI0NjE3AQgAAAAFAAAAATEBAAAACjE5NTE1NDAzMzUDAAAAAzE2MAIAAAACMTAEAAAAATAHAAAACTMvMjUvMjAyMggAAAAJMS8zMS8yMDE3CQAAAAEwh+SexU4O2gjxJOnJTg7aCDJDSVEuTkFTREFRR1M6Q09TVC5JUV9CQVNJQ19FUFNfRVhDTC4yMDAwLi5MLi5VU0QuSAEAAACRagEAAgAAAAkxMi40MzU3ODIBCAAAAAUAAAABMQEAAAALLTIxMDg4NTUzNDgDAAAAAzE2MAIAAAAEMzA2NAQAAAABMAcAAAAJMy8yNS8yMDIyCAAAAAkyLzEzLzIwMjIJAAAAATCH5J7FTg7aCORDXstODtoIM0NJUS5OWVNFOldNVC5JUV9SRF9FWFBfRk4uRlkyMDE3LjMvMjUvMjAyMi5MLi5VU0QuSAEAAADfxgQAAwAAAAAAh+SexU4O2gjxJOnJTg7aCDRDSVEuTllTRTpXTVQuSVFfQ0FTSF9FUVVJVi5GWTIwMTcuMy8yNS8yMDIyLkwuLlVTRC5IAQAAAN/GBAACAAAABDY4NjcBCAAAAAUAAAABMQEAAAAKMTk1MTU0MDMzNQMAAAADMTYwAgAAAAQxMDk2BAAAAAEwBwAAAAkzLzI1LzIwMjIIAAAACTEvMzEvMjAxNwkAAAABMIfknsVODtoItYjoyU4O2gg1Q0lRLk5ZU0U6V01ULklRX0FTU0VUX1RVUk5TLkZZMjAxNy4zLzI1LzIwMjIuTC4uVVNELkgBAAAA38YEAAIAAAAIMi40MzkwODQBCAAAAAUAAAABMQEAAAAKMTk1MTU0MDMzNQMAAAADMTYwAgAAAAQ0MTc3BAAAAAEwBwAAAAkzLzI1LzIw</t>
  </si>
  <si>
    <t>MjIIAAAACTEvMzEvMjAxNwkAAAABMIfknsVODtoI2K/oyU4O2gg8Q0lRLk5ZU0U6V01ULklRX0RBWVNfSU5WRU5UT1JZX09VVC5GWTIwMTcuMy8yNS8yMDIyLkwuLlVTRC5IAQAAAN/GBAACAAAACTQ0LjMzMjExNgEIAAAABQAAAAExAQAAAAoxOTUxNTQwMzM1AwAAAAMxNjACAAAABDQwMzUEAAAAATAHAAAACTMvMjUvMjAyMggAAAAJMS8zMS8yMDE3CQAAAAEwh+SexU4O2gi1iOjJTg7aCC5DSVEuTllTRTpXTVQuSVFfRUJJVC5GWTIwMTcuMy8yNS8yMDIyLkwuLlVTRC5IAQAAAN/GBAACAAAABTIyNzY0AQgAAAAFAAAAATEBAAAACjE5NTE1NDAzMzUDAAAAAzE2MAIAAAADNDAwBAAAAAEwBwAAAAkzLzI1LzIwMjIIAAAACTEvMzEvMjAxNwkAAAABMIfknsVODtoI3v3oyU4O2ggzQ0lRLk5ZU0U6V01ULklRX0RBX0VCSVREQS5GWTIwMTcuMy8yNS8yMDIyLkwuLlVTRC5IAQAAAN/GBAACAAAABTEwMDgwAQgAAAAFAAAAATEBAAAACjE5NTE1NDAzMzUDAAAAAzE2MAIAAAAEMjIwNgQAAAABMAcAAAAJMy8yNS8yMDIyCAAAAAkxLzMxLzIwMTcJAAAAATCH5J7FTg7aCPEk6clODtoILkNJUS5OWVNFOldNVC5JUV9DT0dTLkZZMjAxNy4zLzI1LzIwMjIuTC4uVVNELkgBAAAA38YEAAIAAAAGMzYxMjU2AQgAAAAFAAAAATEBAAAACjE5NTE1NDAzMzUDAAAAAzE2MAIAAAACMzQEAAAAATAHAAAACTMvMjUvMjAyMggA</t>
  </si>
  <si>
    <t>AAAJMS8zMS8yMDE3CQAAAAEwh+SexU4O2gjxJOnJTg7aCDJDSVEuTllTRTpXTVQuSVFfVE9UQUxfQ0wuRlkyMDE3LjMvMjUvMjAyMi5MLi5VU0QuSAEAAADfxgQAAgAAAAU2NjkyOAEIAAAABQAAAAExAQAAAAoxOTUxNTQwMzM1AwAAAAMxNjACAAAABDEwMDkEAAAAATAHAAAACTMvMjUvMjAyMggAAAAJMS8zMS8yMDE3CQAAAAEwh+SexU4O2gjq1ujJTg7aCDRDSVEuTllTRTpXTVQuSVFfT1RIRVJfT1BFUi5GWTIwMTcuMy8yNS8yMDIyLkwuLlVTRC5IAQAAAN/GBAADAAAAAACH5J7FTg7aCPEk6clODtoIO0NJUS5OWVNFOldNVC5JUV9GSVhFRF9BU1NFVF9UVVJOUy5GWTIwMTcuMy8yNS8yMDIyLkwuLlVTRC5IAQAAAN/GBAACAAAACDQuMjEyMjcyAQgAAAAFAAAAATEBAAAACjE5NTE1NDAzMzUDAAAAAzE2MAIAAAAENDA2NgQAAAABMAcAAAAJMy8yNS8yMDIyCAAAAAkxLzMxLzIwMTcJAAAAATCH5J7FTg7aCNiv6MlODtoIOkNJUS5OWVNFOldNVC5JUV9EQVlTX1BBWUFCTEVfT1VULkZZMjAxNy4zLzI1LzIwMjIuTC4uVVNELkgBAAAA38YEAAIAAAAJNDAuNjQ0NjY2AQgAAAAFAAAAATEBAAAACjE5NTE1NDAzMzUDAAAAAzE2MAIAAAAENDE4MwQAAAABMAcAAAAJMy8yNS8yMDIyCAAAAAkxLzMxLzIwMTcJAAAAATCH5J7FTg7aCLWI6MlODtoIKUNJUS5OWVNFOldNVC5JUV9OSS5JUV9MVE0uRlkyMDE4Lkwu</t>
  </si>
  <si>
    <t>LlVTRC5IAQAAAN/GBAACAAAABDk4NjIBCAAAAAUAAAABMQEAAAAKMjAyMzI1MTAxMAMAAAADMTYwAgAAAAIxNQQAAAABMAcAAAAJMy8yNS8yMDIyCAAAAAkxLzMxLzIwMTgJAAAAATCH5J7FTg7aCFk76slODtoIM0NJUS5OWVNFOldNVC5JUV9EQV9FQklUREEuRlkyMDE4LjMvMjUvMjAyMi5MLi5VU0QuSAEAAADfxgQAAgAAAAUxMDUyOQEIAAAABQAAAAExAQAAAAoyMDIzMjQ5NjExAwAAAAMxNjACAAAABDIyMDYEAAAAATAHAAAACTMvMjUvMjAyMggAAAAJMS8zMS8yMDE4CQAAAAEwh+SexU4O2gjDaurJTg7aCC5DSVEuTllTRTpXTVQuSVFfQ09HUy5GWTIwMTguMy8yNS8yMDIyLkwuLlVTRC5IAQAAAN/GBAACAAAABjM3MzM5NgEIAAAABQAAAAExAQAAAAoyMDIzMjQ5NjExAwAAAAMxNjACAAAAAjM0BAAAAAEwBwAAAAkzLzI1LzIwMjIIAAAACTEvMzEvMjAxOAkAAAABMIfknsVODtoIw2rqyU4O2gg7Q0lRLk5ZU0U6V01ULklRX0ZJWEVEX0FTU0VUX1RVUk5TLkZZMjAxOC4zLzI1LzIwMjIuTC4uVVNELkgBAAAA38YEAAIAAAAINC4zNjk4ODQBCAAAAAUAAAABMQEAAAAKMjAyMzI0OTYxMQMAAAADMTYwAgAAAAQ0MDY2BAAAAAEwBwAAAAkzLzI1LzIwMjIIAAAACTEvMzEvMjAxOAkAAAABMIfknsVODtoI9BDqyU4O2ggyQ0lRLk5ZU0U6V01ULklRX1RPVEFMX0NMLkZZMjAxOC4zLzI1LzIwMjIuTC4uVVNE</t>
  </si>
  <si>
    <t>LkgBAAAA38YEAAIAAAAFNzg1MjEBCAAAAAUAAAABMQEAAAAKMjAyMzI0OTYxMQMAAAADMTYwAgAAAAQxMDA5BAAAAAEwBwAAAAkzLzI1LzIwMjIIAAAACTEvMzEvMjAxOAkAAAABMIfknsVODtoIWTvqyU4O2ggsQ0lRLk5ZU0U6V01ULklRX0FSLkZZMjAxOC4zLzI1LzIwMjIuTC4uVVNELkgBAAAA38YEAAIAAAAENTYxNAEIAAAABQAAAAExAQAAAAoyMDIzMjQ5NjExAwAAAAMxNjACAAAABDEwMjEEAAAAATAHAAAACTMvMjUvMjAyMggAAAAJMS8zMS8yMDE4CQAAAAEwh+SexU4O2gj0EOrJTg7aCDJDSVEuTllTRTpXTVQuSVFfQVJfVFVSTlMuRlkyMDE4LjMvMjUvMjAyMi5MLi5VU0QuSAEAAADfxgQAAgAAAAg4Ny40MDM3OQEIAAAABQAAAAExAQAAAAoyMDIzMjQ5NjExAwAAAAMxNjACAAAABDQwMDEEAAAAATAHAAAACTMvMjUvMjAyMggAAAAJMS8zMS8yMDE4CQAAAAEwh+SexU4O2gj0EOrJTg7aCDZDSVEuTllTRTpXTVQuSVFfR1JPU1NfUFJPRklULkZZMjAxOC4zLzI1LzIwMjIuTC4uVVNELkgBAAAA38YEAAIAAAAGMTI2OTQ3AQgAAAAFAAAAATEBAAAACjIwMjMyNDk2MTEDAAAAAzE2MAIAAAACMTAEAAAAATAHAAAACTMvMjUvMjAyMggAAAAJMS8zMS8yMDE4CQAAAAEwh+SexU4O2gjDaurJTg7aCDxDSVEuTllTRTpXTVQuSVFfREFZU19JTlZFTlRPUllfT1VULkZZMjAxOC4zLzI1LzIwMjIuTC4uVVNE</t>
  </si>
  <si>
    <t>LkgBAAAA38YEAAIAAAAJNDIuNDM4MTg1AQgAAAAFAAAAATEBAAAACjIwMjMyNDk2MTEDAAAAAzE2MAIAAAAENDAzNQQAAAABMAcAAAAJMy8yNS8yMDIyCAAAAAkxLzMxLzIwMTgJAAAAATCH5J7FTg7aCPQQ6slODtoIM0NJUS5OWVNFOldNVC5JUV9UT1RBTF9DQVAuRlkyMDE4LjMvMjUvMjAyMi5MLi5VU0QuSAEAAADfxgQAAgAAAAYxMjc0OTUBCAAAAAUAAAABMQEAAAAKMjAyMzI0OTYxMQMAAAADMTYwAgAAAAQ0MTc1BAAAAAEwBwAAAAkzLzI1LzIwMjIIAAAACTEvMzEvMjAxOAkAAAABMIfknsVODtoI9BDqyU4O2gg0Q0lRLk5ZU0U6V01ULklRX09USEVSX09QRVIuRlkyMDE4LjMvMjUvMjAyMi5MLi5VU0QuSAEAAADfxgQAAwAAAAAAh+SexU4O2gjDaurJTg7aCDdDSVEuTllTRTpXTVQuSVFfVE9UQUxfUkVWRU5VRS5GWTIwMTguMy8yNS8yMDIyLkwuLlVTRC5IAQAAAN/GBAACAAAABjUwMDM0MwEIAAAABQAAAAExAQAAAAoyMDIzMjQ5NjExAwAAAAMxNjACAAAAAjI4BAAAAAEwBwAAAAkzLzI1LzIwMjIIAAAACTEvMzEvMjAxOAkAAAABMIfknsVODtoIw2rqyU4O2gg6Q0lRLk5ZU0U6V01ULklRX05FVF9JTlRFUkVTVF9FWFAuRlkyMDE4LjMvMjUvMjAyMi5MLi5VU0QuSAEAAADfxgQAAgAAAAUtMjE3OAEIAAAABQAAAAExAQAAAAoyMDIzMjQ5NjExAwAAAAMxNjACAAAAAzM2OAQAAAABMAcAAAAJMy8y</t>
  </si>
  <si>
    <t>NS8yMDIyCAAAAAkxLzMxLzIwMTgJAAAAATCH5J7FTg7aCMNq6slODtoINUNJUS5OWVNFOldNVC5JUV9BU1NFVF9UVVJOUy5GWTIwMTguMy8yNS8yMDIyLkwuLlVTRC5IAQAAAN/GBAACAAAACDIuNDgwOTU1AQgAAAAFAAAAATEBAAAACjIwMjMyNDk2MTEDAAAAAzE2MAIAAAAENDE3NwQAAAABMAcAAAAJMy8yNS8yMDIyCAAAAAkxLzMxLzIwMTgJAAAAATCH5J7FTg7aCPQQ6slODtoILkNJUS5OWVNFOldNVC5JUV9FQklULkZZMjAxOC4zLzI1LzIwMjIuTC4uVVNELkgBAAAA38YEAAIAAAAFMjA5MzcBCAAAAAUAAAABMQEAAAAKMjAyMzI0OTYxMQMAAAADMTYwAgAAAAM0MDAEAAAAATAHAAAACTMvMjUvMjAyMggAAAAJMS8zMS8yMDE4CQAAAAEwh+SexU4O2ghZO+rJTg7aCDNDSVEuTllTRTpXTVQuSVFfUkRfRVhQX0ZOLkZZMjAxOC4zLzI1LzIwMjIuTC4uVVNELkgBAAAA38YEAAMAAAAAAIfknsVODtoIw2rqyU4O2gg5Q0lRLk5ZU0U6V01ULklRX0lOVkVOVE9SWV9UVVJOUy5GWTIwMTguMy8yNS8yMDIyLkwuLlVTRC5IAQAAAN/GBAACAAAABzguNjAwNzIBCAAAAAUAAAABMQEAAAAKMjAyMzI0OTYxMQMAAAADMTYwAgAAAAQ0MDgyBAAAAAEwBwAAAAkzLzI1LzIwMjIIAAAACTEvMzEvMjAxOAkAAAABMIfknsVODtoI9BDqyU4O2gg4Q0lRLk5ZU0U6V01ULklRX0RBWVNfU0FMRVNfT1VULkZZMjAxOC4zLzI1</t>
  </si>
  <si>
    <t>LzIwMjIuTC4uVVNELkgBAAAA38YEAAIAAAAINC4xNzU5NjUBCAAAAAUAAAABMQEAAAAKMjAyMzI0OTYxMQMAAAADMTYwAgAAAAQ0MDQyBAAAAAEwBwAAAAkzLzI1LzIwMjIIAAAACTEvMzEvMjAxOAkAAAABMIfknsVODtoI9BDqyU4O2gg0Q0lRLk5ZU0U6V01ULklRX0NBU0hfRVFVSVYuRlkyMDE4LjMvMjUvMjAyMi5MLi5VU0QuSAEAAADfxgQAAgAAAAQ2NzU2AQgAAAAFAAAAATEBAAAACjIwMjMyNDk2MTEDAAAAAzE2MAIAAAAEMTA5NgQAAAABMAcAAAAJMy8yNS8yMDIyCAAAAAkxLzMxLzIwMTgJAAAAATCH5J7FTg7aCDju6clODtoIMENJUS5OWVNFOldNVC5JUV9FQklUREEuRlkyMDE4LjMvMjUvMjAyMi5MLi5VU0QuSAEAAADfxgQAAgAAAAUzMTQ2NgEIAAAABQAAAAExAQAAAAoyMDIzMjQ5NjExAwAAAAMxNjACAAAABDQwNTEEAAAAATAHAAAACTMvMjUvMjAyMggAAAAJMS8zMS8yMDE4CQAAAAEwh+SexU4O2ghZO+rJTg7aCCxDSVEuTllTRTpXTVQuSVFfQVAuRlkyMDE4LjMvMjUvMjAyMi5MLi5VU0QuSAEAAADfxgQAAgAAAAU0NjA5MgEIAAAABQAAAAExAQAAAAoyMDIzMjQ5NjExAwAAAAMxNjACAAAABDEwMTgEAAAAATAHAAAACTMvMjUvMjAyMggAAAAJMS8zMS8yMDE4CQAAAAEwh+SexU4O2gj0EOrJTg7aCC1DSVEuTllTRTpXTVQuSVFfU0dBLkZZMjAxOC4zLzI1LzIwMjIuTC4uVVNELkgBAAAA</t>
  </si>
  <si>
    <t>38YEAAIAAAAGMTA2MDEwAQgAAAAFAAAAATEBAAAACjIwMjMyNDk2MTEDAAAAAzE2MAIAAAACMjMEAAAAATAHAAAACTMvMjUvMjAyMggAAAAJMS8zMS8yMDE4CQAAAAEwh+SexU4O2gjDaurJTg7aCDpDSVEuTllTRTpXTVQuSVFfREFZU19QQVlBQkxFX09VVC5GWTIwMTguMy8yNS8yMDIyLkwuLlVTRC5IAQAAAN/GBAACAAAACDQyLjY5NDA1AQgAAAAFAAAAATEBAAAACjIwMjMyNDk2MTEDAAAAAzE2MAIAAAAENDE4MwQAAAABMAcAAAAJMy8yNS8yMDIyCAAAAAkxLzMxLzIwMTgJAAAAATCH5J7FTg7aCPQQ6slODtoIM0NJUS5OWVNFOldNVC5JUV9DQVNIX09QRVIuRlkyMDE4LjMvMjUvMjAyMi5MLi5VU0QuSAEAAADfxgQAAgAAAAUyODMzNwEIAAAABQAAAAExAQAAAAoyMDIzMjQ5NjExAwAAAAMxNjACAAAABDIwMDYEAAAAATAHAAAACTMvMjUvMjAyMggAAAAJMS8zMS8yMDE4CQAAAAEwh+SexU4O2gg47unJTg7aCDNDSVEuTllTRTpXTVQuSVFfSU5WRU5UT1JZLkZZMjAxOC4zLzI1LzIwMjIuTC4uVVNELkgBAAAA38YEAAIAAAAFNDM3ODMBCAAAAAUAAAABMQEAAAAKMjAyMzI0OTYxMQMAAAADMTYwAgAAAAQxMDQzBAAAAAEwBwAAAAkzLzI1LzIwMjIIAAAACTEvMzEvMjAxOAkAAAABMIfknsVODtoI9BDqyU4O2ggtQ0lRLk5ZU0U6V01ULklRX1NHQS5GWTIwMTkuMy8yNS8yMDIyLkwuLlVTRC5IAQAAAN/G</t>
  </si>
  <si>
    <t>BAACAAAABjEwNzE0NwEIAAAABQAAAAExAQAAAAoyMDg1MTMyOTMwAwAAAAMxNjACAAAAAjIzBAAAAAEwBwAAAAkzLzI1LzIwMjIIAAAACTEvMzEvMjAxOQkAAAABMIfknsVODtoILoTryU4O2ggzQ0lRLk5ZU0U6V01ULklRX0lOVkVOVE9SWS5GWTIwMTkuMy8yNS8yMDIyLkwuLlVTRC5IAQAAAN/GBAACAAAABTQ0MjY5AQgAAAAFAAAAATEBAAAACjIwODUxMzI5MzADAAAAAzE2MAIAAAAEMTA0MwQAAAABMAcAAAAJMy8yNS8yMDIyCAAAAAkxLzMxLzIwMTkJAAAAATCH5J7FTg7aCBQP68lODtoIMkNJUS5OWVNFOldNVC5JUV9BUl9UVVJOUy5GWTIwMTkuMy8yNS8yMDIyLkwuLlVTRC5IAQAAAN/GBAACAAAACTg2LjQ3NjQyMgEIAAAABQAAAAExAQAAAAoyMDg1MTMyOTMwAwAAAAMxNjACAAAABDQwMDEEAAAAATAHAAAACTMvMjUvMjAyMggAAAAJMS8zMS8yMDE5CQAAAAEwh+SexU4O2ggZNuvJTg7aCCxDSVEuTllTRTpXTVQuSVFfQVIuRlkyMDE5LjMvMjUvMjAyMi5MLi5VU0QuSAEAAADfxgQAAgAAAAQ2MjgzAQgAAAAFAAAAATEBAAAACjIwODUxMzI5MzADAAAAAzE2MAIAAAAEMTAyMQQAAAABMAcAAAAJMy8yNS8yMDIyCAAAAAkxLzMxLzIwMTkJAAAAATCH5J7FTg7aCBQP68lODtoIM0NJUS5OWVNFOldNVC5JUV9SRF9FWFBfRk4uRlkyMDE5LjMvMjUvMjAyMi5MLi5VU0QuSAEAAADfxgQAAwAAAAAAh+Se</t>
  </si>
  <si>
    <t>xU4O2gguhOvJTg7aCDVDSVEuTllTRTpXTVQuSVFfQVNTRVRfVFVSTlMuRlkyMDE5LjMvMjUvMjAyMi5MLi5VU0QuSAEAAADfxgQAAgAAAAgyLjQyNzQ4NgEIAAAABQAAAAExAQAAAAoyMDg1MTMyOTMwAwAAAAMxNjACAAAABDQxNzcEAAAAATAHAAAACTMvMjUvMjAyMggAAAAJMS8zMS8yMDE5CQAAAAEwh+SexU4O2ggZNuvJTg7aCDpDSVEuTllTRTpXTVQuSVFfTkVUX0lOVEVSRVNUX0VYUC5GWTIwMTkuMy8yNS8yMDIyLkwuLlVTRC5IAQAAAN/GBAACAAAABS0yMTI5AQgAAAAFAAAAATEBAAAACjIwODUxMzI5MzADAAAAAzE2MAIAAAADMzY4BAAAAAEwBwAAAAkzLzI1LzIwMjIIAAAACTEvMzEvMjAxOQkAAAABMFECn8VODtoILV3ryU4O2gg4Q0lRLk5ZU0U6V01ULklRX0RBWVNfU0FMRVNfT1VULkZZMjAxOS4zLzI1LzIwMjIuTC4uVVNELkgBAAAA38YEAAIAAAAINC4yMjA0OTUBCAAAAAUAAAABMQEAAAAKMjA4NTEzMjkzMAMAAAADMTYwAgAAAAQ0MDQyBAAAAAEwBwAAAAkzLzI1LzIwMjIIAAAACTEvMzEvMjAxOQkAAAABMFECn8VODtoIGTbryU4O2gg5Q0lRLk5ZU0U6V01ULklRX0lOVkVOVE9SWV9UVVJOUy5GWTIwMTkuMy8yNS8yMDIyLkwuLlVTRC5IAQAAAN/GBAACAAAACDguNzUxNjY5AQgAAAAFAAAAATEBAAAACjIwODUxMzI5MzADAAAAAzE2MAIAAAAENDA4MgQAAAABMAcAAAAJMy8yNS8yMDIy</t>
  </si>
  <si>
    <t>CAAAAAkxLzMxLzIwMTkJAAAAATBRAp/FTg7aCBk268lODtoIMENJUS5OWVNFOldNVC5JUV9FQklUREEuRlkyMDE5LjMvMjUvMjAyMi5MLi5VU0QuSAEAAADfxgQAAgAAAAUzMjYzNQEIAAAABQAAAAExAQAAAAoyMDg1MTMyOTMwAwAAAAMxNjACAAAABDQwNTEEAAAAATAHAAAACTMvMjUvMjAyMggAAAAJMS8zMS8yMDE5CQAAAAEwUQKfxU4O2ggtXevJTg7aCClDSVEuTllTRTpXTVQuSVFfTkkuSVFfTFRNLkZZMjAxOS5MLi5VU0QuSAEAAADfxgQAAgAAAAQ2NjcwAQgAAAAFAAAAATEBAAAACjIwODUxMzM5OTIDAAAAAzE2MAIAAAACMTUEAAAAATAHAAAACTMvMjUvMjAyMggAAAAJMS8zMS8yMDE5CQAAAAEwUQKfxU4O2ggZNuvJTg7aCDNDSVEuTllTRTpXTVQuSVFfVE9UQUxfQ0FQLkZZMjAxOS4zLzI1LzIwMjIuTC4uVVNELkgBAAAA38YEAAIAAAAGMTM4MDk1AQgAAAAFAAAAATEBAAAACjIwODUxMzI5MzADAAAAAzE2MAIAAAAENDE3NQQAAAABMAcAAAAJMy8yNS8yMDIyCAAAAAkxLzMxLzIwMTkJAAAAATBRAp/FTg7aCBk268lODtoIMkNJUS5OWVNFOldNVC5JUV9UT1RBTF9DTC5GWTIwMTkuMy8yNS8yMDIyLkwuLlVTRC5IAQAAAN/GBAACAAAABTc3NDc3AQgAAAAFAAAAATEBAAAACjIwODUxMzI5MzADAAAAAzE2MAIAAAAEMTAwOQQAAAABMAcAAAAJMy8yNS8yMDIyCAAAAAkxLzMxLzIwMTkJAAAAATBR</t>
  </si>
  <si>
    <t>Ap/FTg7aCBk268lODtoILENJUS5OWVNFOldNVC5JUV9BUC5GWTIwMTkuMy8yNS8yMDIyLkwuLlVTRC5IAQAAAN/GBAACAAAABTQ3MDYwAQgAAAAFAAAAATEBAAAACjIwODUxMzI5MzADAAAAAzE2MAIAAAAEMTAxOAQAAAABMAcAAAAJMy8yNS8yMDIyCAAAAAkxLzMxLzIwMTkJAAAAATBRAp/FTg7aCBQP68lODtoINkNJUS5OWVNFOldNVC5JUV9HUk9TU19QUk9GSVQuRlkyMDE5LjMvMjUvMjAyMi5MLi5VU0QuSAEAAADfxgQAAgAAAAYxMjkxMDQBCAAAAAUAAAABMQEAAAAKMjA4NTEzMjkzMAMAAAADMTYwAgAAAAIxMAQAAAABMAcAAAAJMy8yNS8yMDIyCAAAAAkxLzMxLzIwMTkJAAAAATBRAp/FTg7aCC6E68lODtoINENJUS5OWVNFOldNVC5JUV9DQVNIX0VRVUlWLkZZMjAxOS4zLzI1LzIwMjIuTC4uVVNELkgBAAAA38YEAAIAAAAENzcyMgEIAAAABQAAAAExAQAAAAoyMDg1MTMyOTMwAwAAAAMxNjACAAAABDEwOTYEAAAAATAHAAAACTMvMjUvMjAyMggAAAAJMS8zMS8yMDE5CQAAAAEwUQKfxU4O2ggUD+vJTg7aCDtDSVEuTllTRTpXTVQuSVFfRklYRURfQVNTRVRfVFVSTlMuRlkyMDE5LjMvMjUvMjAyMi5MLi5VU0QuSAEAAADfxgQAAgAAAAc0LjU0Nzk3AQgAAAAFAAAAATEBAAAACjIwODUxMzI5MzADAAAAAzE2MAIAAAAENDA2NgQAAAABMAcAAAAJMy8yNS8yMDIyCAAAAAkxLzMxLzIwMTkJAAAAATBR</t>
  </si>
  <si>
    <t>Ap/FTg7aCBk268lODtoIOkNJUS5OWVNFOldNVC5JUV9EQVlTX1BBWUFCTEVfT1VULkZZMjAxOS4zLzI1LzIwMjIuTC4uVVNELkgBAAAA38YEAAIAAAAJNDQuMDY2MDg1AQgAAAAFAAAAATEBAAAACjIwODUxMzI5MzADAAAAAzE2MAIAAAAENDE4MwQAAAABMAcAAAAJMy8yNS8yMDIyCAAAAAkxLzMxLzIwMTkJAAAAATBRAp/FTg7aCBQP68lODtoIM0NJUS5OWVNFOldNVC5JUV9DQVNIX09QRVIuRlkyMDE5LjMvMjUvMjAyMi5MLi5VU0QuSAEAAADfxgQAAgAAAAUyNzc1MwEIAAAABQAAAAExAQAAAAoyMDg1MTMyOTMwAwAAAAMxNjACAAAABDIwMDYEAAAAATAHAAAACTMvMjUvMjAyMggAAAAJMS8zMS8yMDE5CQAAAAEwUQKfxU4O2ggUD+vJTg7aCDRDSVEuTllTRTpXTVQuSVFfT1RIRVJfT1BFUi5GWTIwMTkuMy8yNS8yMDIyLkwuLlVTRC5IAQAAAN/GBAADAAAAAABRAp/FTg7aCC1d68lODtoIPENJUS5OWVNFOldNVC5JUV9EQVlTX0lOVkVOVE9SWV9PVVQuRlkyMDE5LjMvMjUvMjAyMi5MLi5VU0QuSAEAAADfxgQAAgAAAAk0MS43MDU5OTUBCAAAAAUAAAABMQEAAAAKMjA4NTEzMjkzMAMAAAADMTYwAgAAAAQ0MDM1BAAAAAEwBwAAAAkzLzI1LzIwMjIIAAAACTEvMzEvMjAxOQkAAAABMFECn8VODtoIFA/ryU4O2gg3Q0lRLk5ZU0U6V01ULklRX1RPVEFMX1JFVkVOVUUuRlkyMDE5LjMvMjUvMjAyMi5MLi5V</t>
  </si>
  <si>
    <t>U0QuSAEAAADfxgQAAgAAAAY1MTQ0MDUBCAAAAAUAAAABMQEAAAAKMjA4NTEzMjkzMAMAAAADMTYwAgAAAAIyOAQAAAABMAcAAAAJMy8yNS8yMDIyCAAAAAkxLzMxLzIwMTkJAAAAATBRAp/FTg7aCC6E68lODtoIM0NJUS5OWVNFOldNVC5JUV9EQV9FQklUREEuRlkyMDE5LjMvMjUvMjAyMi5MLi5VU0QuSAEAAADfxgQAAgAAAAUxMDY3OAEIAAAABQAAAAExAQAAAAoyMDg1MTMyOTMwAwAAAAMxNjACAAAABDIyMDYEAAAAATAHAAAACTMvMjUvMjAyMggAAAAJMS8zMS8yMDE5CQAAAAEwUQKfxU4O2gguhOvJTg7aCC5DSVEuTllTRTpXTVQuSVFfQ09HUy5GWTIwMTkuMy8yNS8yMDIyLkwuLlVTRC5IAQAAAN/GBAACAAAABjM4NTMwMQEIAAAABQAAAAExAQAAAAoyMDg1MTMyOTMwAwAAAAMxNjACAAAAAjM0BAAAAAEwBwAAAAkzLzI1LzIwMjIIAAAACTEvMzEvMjAxOQkAAAABMFECn8VODtoILoTryU4O2gguQ0lRLk5ZU0U6V01ULklRX0VCSVQuRlkyMDE5LjMvMjUvMjAyMi5MLi5VU0QuSAEAAADfxgQAAgAAAAUyMTk1NwEIAAAABQAAAAExAQAAAAoyMDg1MTMyOTMwAwAAAAMxNjACAAAAAzQwMAQAAAABMAcAAAAJMy8yNS8yMDIyCAAAAAkxLzMxLzIwMTkJAAAAATBRAp/FTg7aCC1d68lODtoIOkNJUS5OWVNFOldNVC5JUV9ORVRfSU5URVJFU1RfRVhQLkZZMjAyMC4zLzI1LzIwMjIuTC4uVVNELkgBAAAA38YE</t>
  </si>
  <si>
    <t>AAIAAAAFLTI0MTABCAAAAAUAAAABMQEAAAALLTIxMDc2ODYyOTEDAAAAAzE2MAIAAAADMzY4BAAAAAEwBwAAAAkzLzI1LzIwMjIIAAAACTEvMzEvMjAyMAkAAAABMFECn8VODtoIuzHtyU4O2ggsQ0lRLk5ZU0U6V01ULklRX0FQLkZZMjAyMC4zLzI1LzIwMjIuTC4uVVNELkgBAAAA38YEAAIAAAAFNDY5NzMBCAAAAAUAAAABMQEAAAALLTIxMDc2ODYyOTEDAAAAAzE2MAIAAAAEMTAxOAQAAAABMAcAAAAJMy8yNS8yMDIyCAAAAAkxLzMxLzIwMjAJAAAAATBRAp/FTg7aCHaf7MlODtoIM0NJUS5OWVNFOldNVC5JUV9SRF9FWFBfRk4uRlkyMDIwLjMvMjUvMjAyMi5MLi5VU0QuSAEAAADfxgQAAwAAAAAAUQKfxU4O2gi7Me3JTg7aCDJDSVEuTllTRTpXTVQuSVFfQVJfVFVSTlMuRlkyMDIwLjMvMjUvMjAyMi5MLi5VU0QuSAEAAADfxgQAAgAAAAk4My4zODcyODQBCAAAAAUAAAABMQEAAAALLTIxMDc2ODYyOTEDAAAAAzE2MAIAAAAENDAwMQQAAAABMAcAAAAJMy8yNS8yMDIyCAAAAAkxLzMxLzIwMjAJAAAAATBRAp/FTg7aCFHK7MlODtoIKUNJUS5OWVNFOldNVC5JUV9OSS5JUV9MVE0uRlkyMDIwLkwuLlVTRC5IAQAAAN/GBAACAAAABTE0ODgxAQgAAAAFAAAAATEBAAAACy0yMTA3Njg1OTg5AwAAAAMxNjACAAAAAjE1BAAAAAEwBwAAAAkzLzI1LzIwMjIIAAAACTEvMzEvMjAyMAkAAAABMFECn8VODtoImPbs</t>
  </si>
  <si>
    <t>yU4O2gg4Q0lRLk5ZU0U6V01ULklRX0RBWVNfU0FMRVNfT1VULkZZMjAyMC4zLzI1LzIwMjIuTC4uVVNELkgBAAAA38YEAAIAAAAHNC4zNzcwOAEIAAAABQAAAAExAQAAAAstMjEwNzY4NjI5MQMAAAADMTYwAgAAAAQ0MDQyBAAAAAEwBwAAAAkzLzI1LzIwMjIIAAAACTEvMzEvMjAyMAkAAAABMFECn8VODtoIUcrsyU4O2gg1Q0lRLk5ZU0U6V01ULklRX0FTU0VUX1RVUk5TLkZZMjAyMC4zLzI1LzIwMjIuTC4uVVNELkgBAAAA38YEAAIAAAAIMi4yOTkxNDYBCAAAAAUAAAABMQEAAAALLTIxMDc2ODYyOTEDAAAAAzE2MAIAAAAENDE3NwQAAAABMAcAAAAJMy8yNS8yMDIyCAAAAAkxLzMxLzIwMjAJAAAAATBRAp/FTg7aCNbd7MlODtoIPENJUS5OWVNFOldNVC5JUV9EQVlTX0lOVkVOVE9SWV9PVVQuRlkyMDIwLjMvMjUvMjAyMi5MLi5VU0QuSAEAAADfxgQAAgAAAAk0MS4wMjQxNzUBCAAAAAUAAAABMQEAAAALLTIxMDc2ODYyOTEDAAAAAzE2MAIAAAAENDAzNQQAAAABMAcAAAAJMy8yNS8yMDIyCAAAAAkxLzMxLzIwMjAJAAAAATBRAp/FTg7aCFHK7MlODtoIN0NJUS5OWVNFOldNVC5JUV9UT1RBTF9SRVZFTlVFLkZZMjAyMC4zLzI1LzIwMjIuTC4uVVNELkgBAAAA38YEAAIAAAAGNTIzOTY0AQgAAAAFAAAAATEBAAAACy0yMTA3Njg2MjkxAwAAAAMxNjACAAAAAjI4BAAAAAEwBwAAAAkzLzI1LzIwMjIIAAAA</t>
  </si>
  <si>
    <t>CTEvMzEvMjAyMAkAAAABMFECn8VODtoIuzHtyU4O2gg5Q0lRLk5ZU0U6V01ULklRX0lOVkVOVE9SWV9UVVJOUy5GWTIwMjAuMy8yNS8yMDIyLkwuLlVTRC5IAQAAAN/GBAACAAAACDguODk3MTE4AQgAAAAFAAAAATEBAAAACy0yMTA3Njg2MjkxAwAAAAMxNjACAAAABDQwODIEAAAAATAHAAAACTMvMjUvMjAyMggAAAAJMS8zMS8yMDIwCQAAAAEwUQKfxU4O2ghRyuzJTg7aCC5DSVEuTllTRTpXTVQuSVFfQ09HUy5GWTIwMjAuMy8yNS8yMDIyLkwuLlVTRC5IAQAAAN/GBAACAAAABjM5NDYwNQEIAAAABQAAAAExAQAAAAstMjEwNzY4NjI5MQMAAAADMTYwAgAAAAIzNAQAAAABMAcAAAAJMy8yNS8yMDIyCAAAAAkxLzMxLzIwMjAJAAAAATBRAp/FTg7aCLsx7clODtoILENJUS5OWVNFOldNVC5JUV9BUi5GWTIwMjAuMy8yNS8yMDIyLkwuLlVTRC5IAQAAAN/GBAACAAAABDYyODQBCAAAAAUAAAABMQEAAAALLTIxMDc2ODYyOTEDAAAAAzE2MAIAAAAEMTAyMQQAAAABMAcAAAAJMy8yNS8yMDIyCAAAAAkxLzMxLzIwMjAJAAAAATBRAp/FTg7aCHaf7MlODtoIOkNJUS5OWVNFOldNVC5JUV9EQVlTX1BBWUFCTEVfT1VULkZZMjAyMC4zLzI1LzIwMjIuTC4uVVNELkgBAAAA38YEAAIAAAAINDMuNDcwNzcBCAAAAAUAAAABMQEAAAALLTIxMDc2ODYyOTEDAAAAAzE2MAIAAAAENDE4MwQAAAABMAcAAAAJMy8yNS8yMDIy</t>
  </si>
  <si>
    <t>CAAAAAkxLzMxLzIwMjAJAAAAATBRAp/FTg7aCHaf7MlODtoINkNJUS5OWVNFOldNVC5JUV9HUk9TU19QUk9GSVQuRlkyMDIwLjMvMjUvMjAyMi5MLi5VU0QuSAEAAADfxgQAAgAAAAYxMjkzNTkBCAAAAAUAAAABMQEAAAALLTIxMDc2ODYyOTEDAAAAAzE2MAIAAAACMTAEAAAAATAHAAAACTMvMjUvMjAyMggAAAAJMS8zMS8yMDIwCQAAAAEwUQKfxU4O2gi7Me3JTg7aCDJDSVEuTllTRTpXTVQuSVFfVE9UQUxfQ0wuRlkyMDIwLjMvMjUvMjAyMi5MLi5VU0QuSAEAAADfxgQAAgAAAAU3Nzc5MAEIAAAABQAAAAExAQAAAAstMjEwNzY4NjI5MQMAAAADMTYwAgAAAAQxMDA5BAAAAAEwBwAAAAkzLzI1LzIwMjIIAAAACTEvMzEvMjAyMAkAAAABMFECn8VODtoImPbsyU4O2ggwQ0lRLk5ZU0U6V01ULklRX0VCSVREQS5GWTIwMjAuMy8yNS8yMDIyLkwuLlVTRC5IAQAAAN/GBAACAAAABTMyNDU1AQgAAAAFAAAAATEBAAAACy0yMTA3Njg2MjkxAwAAAAMxNjACAAAABDQwNTEEAAAAATAHAAAACTMvMjUvMjAyMggAAAAJMS8zMS8yMDIwCQAAAAEwUQKfxU4O2gg0Cu3JTg7aCDNDSVEuTllTRTpXTVQuSVFfVE9UQUxfQ0FQLkZZMjAyMC4zLzI1LzIwMjIuTC4uVVNELkgBAAAA38YEAAIAAAAGMTU0NjgxAQgAAAAFAAAAATEBAAAACy0yMTA3Njg2MjkxAwAAAAMxNjACAAAABDQxNzUEAAAAATAHAAAACTMvMjUvMjAyMggA</t>
  </si>
  <si>
    <t>AAAJMS8zMS8yMDIwCQAAAAEwUQKfxU4O2ggW4+zJTg7aCC1DSVEuTllTRTpXTVQuSVFfU0dBLkZZMjAyMC4zLzI1LzIwMjIuTC4uVVNELkgBAAAA38YEAAIAAAAGMTA3ODkxAQgAAAAFAAAAATEBAAAACy0yMTA3Njg2MjkxAwAAAAMxNjACAAAAAjIzBAAAAAEwBwAAAAkzLzI1LzIwMjIIAAAACTEvMzEvMjAyMAkAAAABMFECn8VODtoIuzHtyU4O2gg7Q0lRLk5ZU0U6V01ULklRX0ZJWEVEX0FTU0VUX1RVUk5TLkZZMjAyMC4zLzI1LzIwMjIuTC4uVVNELkgBAAAA38YEAAIAAAAHNC4zOTQ4NgEIAAAABQAAAAExAQAAAAstMjEwNzY4NjI5MQMAAAADMTYwAgAAAAQ0MDY2BAAAAAEwBwAAAAkzLzI1LzIwMjIIAAAACTEvMzEvMjAyMAkAAAABMFECn8VODtoIUcrsyU4O2ggzQ0lRLk5ZU0U6V01ULklRX0NBU0hfT1BFUi5GWTIwMjAuMy8yNS8yMDIyLkwuLlVTRC5IAQAAAN/GBAACAAAABTI1MjU1AQgAAAAFAAAAATEBAAAACy0yMTA3Njg2MjkxAwAAAAMxNjACAAAABDIwMDYEAAAAATAHAAAACTMvMjUvMjAyMggAAAAJMS8zMS8yMDIwCQAAAAEwUQKfxU4O2gh2n+zJTg7aCDRDSVEuTllTRTpXTVQuSVFfT1RIRVJfT1BFUi5GWTIwMjAuMy8yNS8yMDIyLkwuLlVTRC5IAQAAAN/GBAADAAAAAABRAp/FTg7aCLsx7clODtoIM0NJUS5OWVNFOldNVC5JUV9JTlZFTlRPUlkuRlkyMDIwLjMvMjUvMjAyMi5MLi5VU0Qu</t>
  </si>
  <si>
    <t>SAEAAADfxgQAAgAAAAU0NDQzNQEIAAAABQAAAAExAQAAAAstMjEwNzY4NjI5MQMAAAADMTYwAgAAAAQxMDQzBAAAAAEwBwAAAAkzLzI1LzIwMjIIAAAACTEvMzEvMjAyMAkAAAABMFECn8VODtoIdp/syU4O2ggzQ0lRLk5ZU0U6V01ULklRX0RBX0VCSVREQS5GWTIwMjAuMy8yNS8yMDIyLkwuLlVTRC5IAQAAAN/GBAACAAAABTEwOTg3AQgAAAAFAAAAATEBAAAACy0yMTA3Njg2MjkxAwAAAAMxNjACAAAABDIyMDYEAAAAATAHAAAACTMvMjUvMjAyMggAAAAJMS8zMS8yMDIwCQAAAAEwUQKfxU4O2gi7Me3JTg7aCDRDSVEuTllTRTpXTVQuSVFfQ0FTSF9FUVVJVi5GWTIwMjAuMy8yNS8yMDIyLkwuLlVTRC5IAQAAAN/GBAACAAAABDk0NjUBCAAAAAUAAAABMQEAAAALLTIxMDc2ODYyOTEDAAAAAzE2MAIAAAAEMTA5NgQAAAABMAcAAAAJMy8yNS8yMDIyCAAAAAkxLzMxLzIwMjAJAAAAATBRAp/FTg7aCHaf7MlODtoILkNJUS5OWVNFOldNVC5JUV9FQklULkZZMjAyMC4zLzI1LzIwMjIuTC4uVVNELkgBAAAA38YEAAIAAAAFMjE0NjgBCAAAAAUAAAABMQEAAAALLTIxMDc2ODYyOTEDAAAAAzE2MAIAAAADNDAwBAAAAAEwBwAAAAkzLzI1LzIwMjIIAAAACTEvMzEvMjAyMAkAAAABMFECn8VODtoINArtyU4O2gg0Q0lRLk5ZU0U6V01ULklRX0NBU0hfRVFVSVYuRlkyMDIxLjMvMjUvMjAyMi5MLi5VU0QuSAEAAADf</t>
  </si>
  <si>
    <t>xgQAAgAAAAUxNzc0MQEIAAAABQAAAAExAQAAAAstMjEwNzY4NjI4MQMAAAADMTYwAgAAAAQxMDk2BAAAAAEwBwAAAAkzLzI1LzIwMjIIAAAACTEvMzEvMjAyMQkAAAABMFECn8VODtoIhkruyU4O2ggwQ0lRLk5ZU0U6V01ULklRX0VCSVREQS5GWTIwMjEuMy8yNS8yMDIyLkwuLlVTRC5IAQAAAN/GBAACAAAABTM4MTAwAQgAAAAFAAAAATEBAAAACy0yMTA3Njg2MjgxAwAAAAMxNjACAAAABDQwNTEEAAAAATAHAAAACTMvMjUvMjAyMggAAAAJMS8zMS8yMDIxCQAAAAEwUQKfxU4O2ginv+7JTg7aCDJDSVEuTllTRTpXTVQuSVFfQVJfVFVSTlMuRlkyMDIxLjMvMjUvMjAyMi5MLi5VU0QuSAEAAADfxgQAAgAAAAk4Ny4zNjczNDMBCAAAAAUAAAABMQEAAAALLTIxMDc2ODYyODEDAAAAAzE2MAIAAAAENDAwMQQAAAABMAcAAAAJMy8yNS8yMDIyCAAAAAkxLzMxLzIwMjEJAAAAATBRAp/FTg7aCIdx7slODtoILENJUS5OWVNFOldNVC5JUV9BUi5GWTIwMjEuMy8yNS8yMDIyLkwuLlVTRC5IAQAAAN/GBAACAAAABDY1MTYBCAAAAAUAAAABMQEAAAALLTIxMDc2ODYyODEDAAAAAzE2MAIAAAAEMTAyMQQAAAABMAcAAAAJMy8yNS8yMDIyCAAAAAkxLzMxLzIwMjEJAAAAATBRAp/FTg7aCIZK7slODtoIOkNJUS5OWVNFOldNVC5JUV9ORVRfSU5URVJFU1RfRVhQLkZZMjAyMS4zLzI1LzIwMjIuTC4uVVNELkgBAAAA38YE</t>
  </si>
  <si>
    <t>AAIAAAAFLTIxOTQBCAAAAAUAAAABMQEAAAALLTIxMDc2ODYyODEDAAAAAzE2MAIAAAADMzY4BAAAAAEwBwAAAAkzLzI1LzIwMjIIAAAACTEvMzEvMjAyMQkAAAABMFECn8VODtoItubuyU4O2ggpQ0lRLk5ZU0U6V01ULklRX05JLklRX0xUTS5GWTIwMjEuTC4uVVNELkgBAAAA38YEAAIAAAAFMTM1MTABCAAAAAUAAAABMQEAAAALLTIxMDc2ODU5NzcDAAAAAzE2MAIAAAACMTUEAAAAATAHAAAACTMvMjUvMjAyMggAAAAJMS8zMS8yMDIxCQAAAAEwUQKfxU4O2ginv+7JTg7aCDJDSVEuTllTRTpXTVQuSVFfVE9UQUxfQ0wuRlkyMDIxLjMvMjUvMjAyMi5MLi5VU0QuSAEAAADfxgQAAgAAAAU5MjY0NQEIAAAABQAAAAExAQAAAAstMjEwNzY4NjI4MQMAAAADMTYwAgAAAAQxMDA5BAAAAAEwBwAAAAkzLzI1LzIwMjIIAAAACTEvMzEvMjAyMQkAAAABMFECn8VODtoImZjuyU4O2gg0Q0lRLk5ZU0U6V01ULklRX09USEVSX09QRVIuRlkyMDIxLjMvMjUvMjAyMi5MLi5VU0QuSAEAAADfxgQAAwAAAAAAUQKfxU4O2gi25u7JTg7aCDxDSVEuTllTRTpXTVQuSVFfREFZU19JTlZFTlRPUllfT1VULkZZMjAyMS4zLzI1LzIwMjIuTC4uVVNELkgBAAAA38YEAAIAAAAJMzguOTE2NDE0AQgAAAAFAAAAATEBAAAACy0yMTA3Njg2MjgxAwAAAAMxNjACAAAABDQwMzUEAAAAATAHAAAACTMvMjUvMjAyMggAAAAJMS8zMS8yMDIx</t>
  </si>
  <si>
    <t>CQAAAAEwUQKfxU4O2giHce7JTg7aCDNDSVEuTllTRTpXTVQuSVFfSU5WRU5UT1JZLkZZMjAyMS4zLzI1LzIwMjIuTC4uVVNELkgBAAAA38YEAAIAAAAFNDQ5NDkBCAAAAAUAAAABMQEAAAALLTIxMDc2ODYyODEDAAAAAzE2MAIAAAAEMTA0MwQAAAABMAcAAAAJMy8yNS8yMDIyCAAAAAkxLzMxLzIwMjEJAAAAATBRAp/FTg7aCIdx7slODtoILUNJUS5OWVNFOldNVC5JUV9TR0EuRlkyMDIxLjMvMjUvMjAyMi5MLi5VU0QuSAEAAADfxgQAAgAAAAYxMTE4ODgBCAAAAAUAAAABMQEAAAALLTIxMDc2ODYyODEDAAAAAzE2MAIAAAACMjMEAAAAATAHAAAACTMvMjUvMjAyMggAAAAJMS8zMS8yMDIxCQAAAAEwUQKfxU4O2gi25u7JTg7aCDhDSVEuTllTRTpXTVQuSVFfREFZU19TQUxFU19PVVQuRlkyMDIxLjMvMjUvMjAyMi5MLi5VU0QuSAEAAADfxgQAAgAAAAc0LjE4ODg3AQgAAAAFAAAAATEBAAAACy0yMTA3Njg2MjgxAwAAAAMxNjACAAAABDQwNDIEAAAAATAHAAAACTMvMjUvMjAyMggAAAAJMS8zMS8yMDIxCQAAAAEwUQKfxU4O2giHce7JTg7aCDVDSVEuTllTRTpXTVQuSVFfQVNTRVRfVFVSTlMuRlkyMDIxLjMvMjUvMjAyMi5MLi5VU0QuSAEAAADfxgQAAgAAAAgyLjI4Njk1OAEIAAAABQAAAAExAQAAAAstMjEwNzY4NjI4MQMAAAADMTYwAgAAAAQ0MTc3BAAAAAEwBwAAAAkzLzI1LzIwMjIIAAAACTEvMzEv</t>
  </si>
  <si>
    <t>MjAyMQkAAAABMFECn8VODtoImZjuyU4O2gg3Q0lRLk5ZU0U6V01ULklRX1RPVEFMX1JFVkVOVUUuRlkyMDIxLjMvMjUvMjAyMi5MLi5VU0QuSAEAAADfxgQAAgAAAAY1NTkxNTEBCAAAAAUAAAABMQEAAAALLTIxMDc2ODYyODEDAAAAAzE2MAIAAAACMjgEAAAAATAHAAAACTMvMjUvMjAyMggAAAAJMS8zMS8yMDIxCQAAAAEwUQKfxU4O2gi25u7JTg7aCDpDSVEuTllTRTpXTVQuSVFfREFZU19QQVlBQkxFX09VVC5GWTIwMjEuMy8yNS8yMDIyLkwuLlVTRC5IAQAAAN/GBAACAAAACTQxLjc5NTczNgEIAAAABQAAAAExAQAAAAstMjEwNzY4NjI4MQMAAAADMTYwAgAAAAQ0MTgzBAAAAAEwBwAAAAkzLzI1LzIwMjIIAAAACTEvMzEvMjAyMQkAAAABMFECn8VODtoIh3HuyU4O2ggzQ0lRLk5ZU0U6V01ULklRX1JEX0VYUF9GTi5GWTIwMjEuMy8yNS8yMDIyLkwuLlVTRC5IAQAAAN/GBAADAAAAAABRAp/FTg7aCLbm7slODtoIM0NJUS5OWVNFOldNVC5JUV9EQV9FQklUREEuRlkyMDIxLjMvMjUvMjAyMi5MLi5VU0QuSAEAAADfxgQAAgAAAAUxMTE1MgEIAAAABQAAAAExAQAAAAstMjEwNzY4NjI4MQMAAAADMTYwAgAAAAQyMjA2BAAAAAEwBwAAAAkzLzI1LzIwMjIIAAAACTEvMzEvMjAyMQkAAAABMFECn8VODtoItubuyU4O2gguQ0lRLk5ZU0U6V01ULklRX0NPR1MuRlkyMDIxLjMvMjUvMjAyMi5MLi5VU0QuSAEA</t>
  </si>
  <si>
    <t>AADfxgQAAgAAAAY0MjAzMTUBCAAAAAUAAAABMQEAAAALLTIxMDc2ODYyODEDAAAAAzE2MAIAAAACMzQEAAAAATAHAAAACTMvMjUvMjAyMggAAAAJMS8zMS8yMDIxCQAAAAEwUQKfxU4O2gi25u7JTg7aCDlDSVEuTllTRTpXTVQuSVFfSU5WRU5UT1JZX1RVUk5TLkZZMjAyMS4zLzI1LzIwMjIuTC4uVVNELkgBAAAA38YEAAIAAAAIOS40MDQ3MDMBCAAAAAUAAAABMQEAAAALLTIxMDc2ODYyODEDAAAAAzE2MAIAAAAENDA4MgQAAAABMAcAAAAJMy8yNS8yMDIyCAAAAAkxLzMxLzIwMjEJAAAAATBRAp/FTg7aCIdx7slODtoIM0NJUS5OWVNFOldNVC5JUV9UT1RBTF9DQVAuRlkyMDIxLjMvMjUvMjAyMi5MLi5VU0QuSAEAAADfxgQAAgAAAAYxNTExNzEBCAAAAAUAAAABMQEAAAALLTIxMDc2ODYyODEDAAAAAzE2MAIAAAAENDE3NQQAAAABMAcAAAAJMy8yNS8yMDIyCAAAAAkxLzMxLzIwMjEJAAAAATBRAp/FTg7aCJmY7slODtoILkNJUS5OWVNFOldNVC5JUV9FQklULkZZMjAyMS4zLzI1LzIwMjIuTC4uVVNELkgBAAAA38YEAAIAAAAFMjY5NDgBCAAAAAUAAAABMQEAAAALLTIxMDc2ODYyODEDAAAAAzE2MAIAAAADNDAwBAAAAAEwBwAAAAkzLzI1LzIwMjIIAAAACTEvMzEvMjAyMQkAAAABMFECn8VODtoIp7/uyU4O2gg2Q0lRLk5ZU0U6V01ULklRX0dST1NTX1BST0ZJVC5GWTIwMjEuMy8yNS8yMDIyLkwuLlVT</t>
  </si>
  <si>
    <t>RC5IAQAAAN/GBAACAAAABjEzODgzNgEIAAAABQAAAAExAQAAAAstMjEwNzY4NjI4MQMAAAADMTYwAgAAAAIxMAQAAAABMAcAAAAJMy8yNS8yMDIyCAAAAAkxLzMxLzIwMjEJAAAAATBRAp/FTg7aCLbm7slODtoIM0NJUS5OWVNFOldNVC5JUV9DQVNIX09QRVIuRlkyMDIxLjMvMjUvMjAyMi5MLi5VU0QuSAEAAADfxgQAAgAAAAUzNjA3NAEIAAAABQAAAAExAQAAAAstMjEwNzY4NjI4MQMAAAADMTYwAgAAAAQyMDA2BAAAAAEwBwAAAAkzLzI1LzIwMjIIAAAACTEvMzEvMjAyMQkAAAABMFECn8VODtoIhkruyU4O2ggsQ0lRLk5ZU0U6V01ULklRX0FQLkZZMjAyMS4zLzI1LzIwMjIuTC4uVVNELkgBAAAA38YEAAIAAAAFNDkxNDEBCAAAAAUAAAABMQEAAAALLTIxMDc2ODYyODEDAAAAAzE2MAIAAAAEMTAxOAQAAAABMAcAAAAJMy8yNS8yMDIyCAAAAAkxLzMxLzIwMjEJAAAAATBRAp/FTg7aCIZK7slODtoIO0NJUS5OWVNFOldNVC5JUV9GSVhFRF9BU1NFVF9UVVJOUy5GWTIwMjEuMy8yNS8yMDIyLkwuLlVTRC5IAQAAAN/GBAACAAAACDQuNzIwNjI1AQgAAAAFAAAAATEBAAAACy0yMTA3Njg2MjgxAwAAAAMxNjACAAAABDQwNjYEAAAAATAHAAAACTMvMjUvMjAyMggAAAAJMS8zMS8yMDIxCQAAAAEwUQKfxU4O2giHce7JTg7aCDNDSVEuTllTRTpXTVQuSVFfREFfRUJJVERBLkZZMjAyMi4zLzI1LzIwMjIuTC4u</t>
  </si>
  <si>
    <t>VVNELkgBAAAA38YEAAIAAAAFMTA2NTgBCAAAAAUAAAABMQEAAAALLTIxMDc2ODYyODIDAAAAAzE2MAIAAAAEMjIwNgQAAAABMAcAAAAJMy8yNS8yMDIyCAAAAAkxLzMxLzIwMjIJAAAAATBRAp/FTg7aCFk48MlODtoIOUNJUS5OWVNFOldNVC5JUV9JTlZFTlRPUllfVFVSTlMuRlkyMDIyLjMvMjUvMjAyMi5MLi5VU0QuSAEAAADfxgQAAgAAAAg4LjQ1NjUzNAEIAAAABQAAAAExAQAAAAstMjEwNzY4NjI4MgMAAAADMTYwAgAAAAQ0MDgyBAAAAAEwBwAAAAkzLzI1LzIwMjIIAAAACTEvMzEvMjAyMgkAAAABMFECn8VODtoIWxHwyU4O2gguQ0lRLk5ZU0U6V01ULklRX0VCSVQuRlkyMDIyLjMvMjUvMjAyMi5MLi5VU0QuSAEAAADfxgQAAgAAAAUyNTk0MgEIAAAABQAAAAExAQAAAAstMjEwNzY4NjI4MgMAAAADMTYwAgAAAAM0MDAEAAAAATAHAAAACTMvMjUvMjAyMggAAAAJMS8zMS8yMDIyCQAAAAEwUQKfxU4O2ghZOPDJTg7aCDtDSVEuTllTRTpXTVQuSVFfRklYRURfQVNTRVRfVFVSTlMuRlkyMDIyLjMvMjUvMjAyMi5MLi5VU0QuSAEAAADfxgQAAgAAAAg1LjE0ODk5OAEIAAAABQAAAAExAQAAAAstMjEwNzY4NjI4MgMAAAADMTYwAgAAAAQ0MDY2BAAAAAEwBwAAAAkzLzI1LzIwMjIIAAAACTEvMzEvMjAyMgkAAAABMFECn8VODtoIWxHwyU4O2gg2Q0lRLk5ZU0U6V01ULklRX0dST1NTX1BST0ZJVC5GWTIw</t>
  </si>
  <si>
    <t>MjIuMy8yNS8yMDIyLkwuLlVTRC5IAQAAAN/GBAACAAAABjE0Mzc1NAEIAAAABQAAAAExAQAAAAstMjEwNzY4NjI4MgMAAAADMTYwAgAAAAIxMAQAAAABMAcAAAAJMy8yNS8yMDIyCAAAAAkxLzMxLzIwMjIJAAAAATBRAp/FTg7aCGlf8MlODtoINUNJUS5OWVNFOldNVC5JUV9BU1NFVF9UVVJOUy5GWTIwMjIuMy8yNS8yMDIyLkwuLlVTRC5IAQAAAN/GBAACAAAACDIuMzAzMTk1AQgAAAAFAAAAATEBAAAACy0yMTA3Njg2MjgyAwAAAAMxNjACAAAABDQxNzcEAAAAATAHAAAACTMvMjUvMjAyMggAAAAJMS8zMS8yMDIyCQAAAAEwUQKfxU4O2ghbEfDJTg7aCDNDSVEuTllTRTpXTVQuSVFfUkRfRVhQX0ZOLkZZMjAyMi4zLzI1LzIwMjIuTC4uVVNELkgBAAAA38YEAAMAAAAAAFECn8VODtoIWTjwyU4O2gguQ0lRLk5ZU0U6V01ULklRX0NPR1MuRlkyMDIyLjMvMjUvMjAyMi5MLi5VU0QuSAEAAADfxgQAAgAAAAY0MjkwMDABCAAAAAUAAAABMQEAAAALLTIxMDc2ODYyODIDAAAAAzE2MAIAAAACMzQEAAAAATAHAAAACTMvMjUvMjAyMggAAAAJMS8zMS8yMDIyCQAAAAEwUQKfxU4O2ghpX/DJTg7aCDpDSVEuTllTRTpXTVQuSVFfTkVUX0lOVEVSRVNUX0VYUC5GWTIwMjIuMy8yNS8yMDIyLkwuLlVTRC5IAQAAAN/GBAACAAAABS0xODM2AQgAAAAFAAAAATEBAAAACy0yMTA3Njg2MjgyAwAAAAMxNjACAAAAAzM2OAQA</t>
  </si>
  <si>
    <t>AAABMAcAAAAJMy8yNS8yMDIyCAAAAAkxLzMxLzIwMjIJAAAAATBRAp/FTg7aCFk48MlODtoIKUNJUS5OWVNFOldNVC5JUV9OSS5JUV9MVE0uRlkyMDIyLkwuLlVTRC5IAQAAAN/GBAACAAAABTEzNjczAQgAAAAFAAAAATEBAAAACy0yMTA3Njg2MDA4AwAAAAMxNjACAAAAAjE1BAAAAAEwBwAAAAkzLzI1LzIwMjIIAAAACTEvMzEvMjAyMgkAAAABMFECn8VODtoIWxHwyU4O2gg0Q0lRLk5ZU0U6V01ULklRX0NBU0hfRVFVSVYuRlkyMDIyLjMvMjUvMjAyMi5MLi5VU0QuSAEAAADfxgQAAgAAAAUxNDc2MAEIAAAABQAAAAExAQAAAAstMjEwNzY4NjI4MgMAAAADMTYwAgAAAAQxMDk2BAAAAAEwBwAAAAkzLzI1LzIwMjIIAAAACTEvMzEvMjAyMgkAAAABMFECn8VODtoIQurvyU4O2ggsQ0lRLk5ZU0U6V01ULklRX0FSLkZZMjAyMi4zLzI1LzIwMjIuTC4uVVNELkgBAAAA38YEAAIAAAAEODI4MAEIAAAABQAAAAExAQAAAAstMjEwNzY4NjI4MgMAAAADMTYwAgAAAAQxMDIxBAAAAAEwBwAAAAkzLzI1LzIwMjIIAAAACTEvMzEvMjAyMgkAAAABMFECn8VODtoIQurvyU4O2gg0Q0lRLk5ZU0U6V01ULklRX09USEVSX09QRVIuRlkyMDIyLjMvMjUvMjAyMi5MLi5VU0QuSAEAAADfxgQAAwAAAAAAUQKfxU4O2ghZOPDJTg7aCDNDSVEuTllTRTpXTVQuSVFfSU5WRU5UT1JZLkZZMjAyMi4zLzI1LzIwMjIuTC4uVVNELkgB</t>
  </si>
  <si>
    <t>AAAA38YEAAIAAAAFNTY1MTEBCAAAAAUAAAABMQEAAAALLTIxMDc2ODYyODIDAAAAAzE2MAIAAAAEMTA0MwQAAAABMAcAAAAJMy8yNS8yMDIyCAAAAAkxLzMxLzIwMjIJAAAAATBRAp/FTg7aCELq78lODtoIM0NJUS5OWVNFOldNVC5JUV9DQVNIX09QRVIuRlkyMDIyLjMvMjUvMjAyMi5MLi5VU0QuSAEAAADfxgQAAgAAAAUyNDE4MQEIAAAABQAAAAExAQAAAAstMjEwNzY4NjI4MgMAAAADMTYwAgAAAAQyMDA2BAAAAAEwBwAAAAkzLzI1LzIwMjIIAAAACTEvMzEvMjAyMgkAAAABMFECn8VODtoIQurvyU4O2ggwQ0lRLk5ZU0U6V01ULklRX0VCSVREQS5GWTIwMjIuMy8yNS8yMDIyLkwuLlVTRC5IAQAAAN/GBAACAAAABTM2NjAwAQgAAAAFAAAAATEBAAAACy0yMTA3Njg2MjgyAwAAAAMxNjACAAAABDQwNTEEAAAAATAHAAAACTMvMjUvMjAyMggAAAAJMS8zMS8yMDIyCQAAAAEwUQKfxU4O2ghZOPDJTg7aCDdDSVEuTllTRTpXTVQuSVFfVE9UQUxfUkVWRU5VRS5GWTIwMjIuMy8yNS8yMDIyLkwuLlVTRC5IAQAAAN/GBAACAAAABjU3Mjc1NAEIAAAABQAAAAExAQAAAAstMjEwNzY4NjI4MgMAAAADMTYwAgAAAAIyOAQAAAABMAcAAAAJMy8yNS8yMDIyCAAAAAkxLzMxLzIwMjIJAAAAATBRAp/FTg7aCGlf8MlODtoILENJUS5OWVNFOldNVC5JUV9BUC5GWTIwMjIuMy8yNS8yMDIyLkwuLlVTRC5IAQAAAN/GBAAC</t>
  </si>
  <si>
    <t>AAAABTU1MjYxAQgAAAAFAAAAATEBAAAACy0yMTA3Njg2MjgyAwAAAAMxNjACAAAABDEwMTgEAAAAATAHAAAACTMvMjUvMjAyMggAAAAJMS8zMS8yMDIyCQAAAAEwUQKfxU4O2ghC6u/JTg7aCDhDSVEuTllTRTpXTVQuSVFfREFZU19TQUxFU19PVVQuRlkyMDIyLjMvMjUvMjAyMi5MLi5VU0QuSAEAAADfxgQAAgAAAAc0LjcxNDM0AQgAAAAFAAAAATEBAAAACy0yMTA3Njg2MjgyAwAAAAMxNjACAAAABDQwNDIEAAAAATAHAAAACTMvMjUvMjAyMggAAAAJMS8zMS8yMDIyCQAAAAEwUQKfxU4O2ghC6u/JTg7aCC1DSVEuTllTRTpXTVQuSVFfU0dBLkZZMjAyMi4zLzI1LzIwMjIuTC4uVVNELkgBAAAA38YEAAIAAAAGMTE3ODEyAQgAAAAFAAAAATEBAAAACy0yMTA3Njg2MjgyAwAAAAMxNjACAAAAAjIzBAAAAAEwBwAAAAkzLzI1LzIwMjIIAAAACTEvMzEvMjAyMgkAAAABMFECn8VODtoIWTjwyU4O2ggyQ0lRLk5ZU0U6V01ULklRX0FSX1RVUk5TLkZZMjAyMi4zLzI1LzIwMjIuTC4uVVNELkgBAAAA38YEAAIAAAAJNzcuNDIwMTEzAQgAAAAFAAAAATEBAAAACy0yMTA3Njg2MjgyAwAAAAMxNjACAAAABDQwMDEEAAAAATAHAAAACTMvMjUvMjAyMggAAAAJMS8zMS8yMDIyCQAAAAEwUQKfxU4O2ghC6u/JTg7aCDpDSVEuTllTRTpXTVQuSVFfREFZU19QQVlBQkxFX09VVC5GWTIwMjIuMy8yNS8yMDIyLkwuLlVTRC5I</t>
  </si>
  <si>
    <t>AQAAAN/GBAACAAAACTQzLjI0Nzc1NQEIAAAABQAAAAExAQAAAAstMjEwNzY4NjI4MgMAAAADMTYwAgAAAAQ0MTgzBAAAAAEwBwAAAAkzLzI1LzIwMjIIAAAACTEvMzEvMjAyMgkAAAABMFECn8VODtoIQurvyU4O2gg8Q0lRLk5ZU0U6V01ULklRX0RBWVNfSU5WRU5UT1JZX09VVC5GWTIwMjIuMy8yNS8yMDIyLkwuLlVTRC5IAQAAAN/GBAACAAAACTQzLjE2MTYxNQEIAAAABQAAAAExAQAAAAstMjEwNzY4NjI4MgMAAAADMTYwAgAAAAQ0MDM1BAAAAAEwBwAAAAkzLzI1LzIwMjIIAAAACTEvMzEvMjAyMgkAAAABMFECn8VODtoIQurvyU4O2ggyQ0lRLk5ZU0U6V01ULklRX1RPVEFMX0NMLkZZMjAyMi4zLzI1LzIwMjIuTC4uVVNELkgBAAAA38YEAAIAAAAFODczNzkBCAAAAAUAAAABMQEAAAALLTIxMDc2ODYyODIDAAAAAzE2MAIAAAAEMTAwOQQAAAABMAcAAAAJMy8yNS8yMDIyCAAAAAkxLzMxLzIwMjIJAAAAATBRAp/FTg7aCFsR8MlODtoIM0NJUS5OWVNFOldNVC5JUV9UT1RBTF9DQVAuRlkyMDIyLjMvMjUvMjAyMi5MLi5VU0QuSAEAAADfxgQAAgAAAAYxNTAzMDkBCAAAAAUAAAABMQEAAAALLTIxMDc2ODYyODIDAAAAAzE2MAIAAAAENDE3NQQAAAABMAcAAAAJMy8yNS8yMDIyCAAAAAkxLzMxLzIwMjIJAAAAATBRAp/FTg7aCFsR8MlODtoINENJUS5OWVNFOldNVC5JUV9FU1RfQUNUX05JLkZZMjAxNi4z</t>
  </si>
  <si>
    <t>LzI1LzIwMjIuTC4uVVNELkgBAAAA38YEAAIAAAAIMTQ3NjYuMDMBDgAAAAUAAAABMwEAAAABMAIAAAAKMTAwMDIwNzQ5MAMAAAAGMTAwMjU2BAAAAAEyBgAAAAEwBwAAAAMxNjAIAAAAATAJAAAAATEKAAAAATALAAAACjkzMDI2OTA4MDQMAAAAATENAAAACTMvMjYvMjAyMhAAAAAJMS8zMS8yMDE2UQKfxU4O2ghsn+bJTg7aCDZDSVEuTllTRTpXTVQuSVFfRVNUX0FDVF9FQklULkZZMjAxNi4zLzI1LzIwMjIuTC4uVVNELkgBAAAA38YEAAIAAAAJMjQ4NDMuNTYxAQ4AAAAFAAAAATMBAAAAATACAAAACjEwMDAyMDc0OTADAAAABjEwMDIyMQQAAAABMgYAAAABMAcAAAADMTYwCAAAAAEwCQAAAAExCgAAAAEwCwAAAAo5MzAyNjkwODA3DAAAAAExDQAAAAkzLzI2LzIwMjIQAAAACTEvMzEvMjAxNlECn8VODtoIbMbmyU4O2gg4Q0lRLk5ZU0U6V01ULklRX0VTVF9BQ1RfRUJJVERBLkZZMjAxNi4zLzI1LzIwMjIuTC4uVVNELkgBAAAA38YEAAIAAAAJMzQyOTcuNTYxAQ4AAAAFAAAAATMBAAAAATACAAAACjEwMDAyMDc0OTADAAAABjEwMDE5MwQAAAABMgYAAAABMAcAAAADMTYwCAAAAAEwCQAAAAExCgAAAAEwCwAAAAo5MzAyNjkwODA4DAAAAAExDQAAAAkzLzI2LzIwMjIQAAAACTEvMzEvMjAxNlECn8VODtoIbMbmyU4O2gg4Q0lRLk5ZU0U6V01ULklRX0VTVF9BQ1RfRUJJVERBLkZZMjAxMy4zLzI1LzIwMjIu</t>
  </si>
  <si>
    <t>TC4uVVNELkgBAAAA38YEAAIAAAAFMzYzMDIBDgAAAAUAAAABMwEAAAABMAIAAAAGMjY0MzUzAwAAAAYxMDAxOTMEAAAAATIGAAAAATAHAAAAAzE2MAgAAAABMAkAAAABMQoAAAABMAsAAAAKMTg0NDIyNDkxOAwAAAABMQ0AAAAJMy8yNi8yMDIyEAAAAAkxLzMxLzIwMTNRAp/FTg7aCLIS5clODtoINkNJUS5OWVNFOldNVC5JUV9FU1RfQUNUX0VCSVQuRlkyMDEzLjMvMjUvMjAyMi5MLi5VU0QuSAEAAADfxgQAAgAAAAUyNzgwMQEOAAAABQAAAAEzAQAAAAEwAgAAAAYyNjQzNTMDAAAABjEwMDIyMQQAAAABMgYAAAABMAcAAAADMTYwCAAAAAEwCQAAAAExCgAAAAEwCwAAAAoxODQ0MjI0OTE5DAAAAAExDQAAAAkzLzI2LzIwMjIQAAAACTEvMzEvMjAxM1ECn8VODtoIshLlyU4O2gg4Q0lRLk5ZU0U6V01ULklRX0VTVF9BQ1RfRUJJVERBLkZZMjAxNy4zLzI1LzIwMjIuTC4uVVNELkgBAAAA38YEAAIAAAAIMzI2NzguMjQBDgAAAAUAAAABMwEAAAABMAIAAAAKMTAwMDIwNzQ5MQMAAAAGMTAwMTkzBAAAAAEyBgAAAAEwBwAAAAMxNjAIAAAAATAJAAAAATEKAAAAATALAAAACzEwOTQxNzA3MTQxDAAAAAExDQAAAAkzLzI2LzIwMjIQAAAACTEvMzEvMjAxN1ECn8VODtoI3v3oyU4O2gg2Q0lRLk5ZU0U6V01ULklRX0VTVF9BQ1RfRUJJVC5GWTIwMTcuMy8yNS8yMDIyLkwuLlVTRC5IAQAAAN/GBAACAAAABzIyNjA4</t>
  </si>
  <si>
    <t>LjQBDgAAAAUAAAABMwEAAAABMAIAAAAKMTAwMDIwNzQ5MQMAAAAGMTAwMjIxBAAAAAEyBgAAAAEwBwAAAAMxNjAIAAAAATAJAAAAATEKAAAAATALAAAACzEwMDEzNjgzMzA0DAAAAAExDQAAAAkzLzI2LzIwMjIQAAAACTEvMzEvMjAxN1ECn8VODtoI3v3oyU4O2gg0Q0lRLk5ZU0U6V01ULklRX0VTVF9BQ1RfTkkuRlkyMDE3LjMvMjUvMjAyMi5MLi5VU0QuSAEAAADfxgQAAgAAAAgxMzQ0My44NAEOAAAABQAAAAEzAQAAAAEwAgAAAAoxMDAwMjA3NDkxAwAAAAYxMDAyNTYEAAAAATIGAAAAATAHAAAAAzE2MAgAAAABMAkAAAABMQoAAAABMAsAAAALMTAwMTM2ODMzMDcMAAAAATENAAAACTMvMjYvMjAyMhAAAAAJMS8zMS8yMDE3UQKfxU4O2gjq1ujJTg7aCDhDSVEuTllTRTpXTVQuSVFfRVNUX0FDVF9FQklUREEuRlkyMDE4LjMvMjUvMjAyMi5MLi5VU0QuSAEAAADfxgQAAgAAAAczMzA0Mi45AQ4AAAAFAAAAATMBAAAAATACAAAACjEwMDAyMDc0OTIDAAAABjEwMDE5MwQAAAABMgYAAAABMAcAAAADMTYwCAAAAAEwCQAAAAExCgAAAAEwCwAAAAsxMDc1NDQ3NTc0MAwAAAABMQ0AAAAJMy8yNi8yMDIyEAAAAAkxLzMxLzIwMThRAp/FTg7aCFk76slODtoINkNJUS5OWVNFOldNVC5JUV9FU1RfQUNUX0VCSVQuRlkyMDE4LjMvMjUvMjAyMi5MLi5VU0QuSAEAAADfxgQAAgAAAAcyMjUxMy45AQ4AAAAFAAAAATMB</t>
  </si>
  <si>
    <t>AAAAATACAAAACjEwMDAyMDc0OTIDAAAABjEwMDIyMQQAAAABMgYAAAABMAcAAAADMTYwCAAAAAEwCQAAAAExCgAAAAEwCwAAAAsxMDc1NDQ3NTc0MQwAAAABMQ0AAAAJMy8yNi8yMDIyEAAAAAkxLzMxLzIwMThRAp/FTg7aCFk76slODtoINENJUS5OWVNFOldNVC5JUV9FU1RfQUNUX05JLkZZMjAxOC4zLzI1LzIwMjIuTC4uVVNELkgBAAAA38YEAAIAAAAHMTMzMDQuMgEOAAAABQAAAAEzAQAAAAEwAgAAAAoxMDAwMjA3NDkyAwAAAAYxMDAyNTYEAAAAATIGAAAAATAHAAAAAzE2MAgAAAABMAkAAAABMQoAAAABMAsAAAALMTA3NTQzMDQ0NzMMAAAAATENAAAACTMvMjYvMjAyMhAAAAAJMS8zMS8yMDE4UQKfxU4O2ghZO+rJTg7aCDhDSVEuTllTRTpXTVQuSVFfRVNUX0FDVF9FQklUREEuRlkyMDE5LjMvMjUvMjAyMi5MLi5VU0QuSAEAAADfxgQAAgAAAAUzMjYzNQEOAAAABQAAAAEzAQAAAAEwAgAAAAoxMDAwMjA3NDkzAwAAAAYxMDAxOTMEAAAAATIGAAAAATAHAAAAAzE2MAgAAAABMAkAAAABMQoAAAABMAsAAAALMTEzMTkxOTIxMzIMAAAAATENAAAACTMvMjYvMjAyMhAAAAAJMS8zMS8yMDE5UQKfxU4O2ggtXevJTg7aCDRDSVEuTllTRTpXTVQuSVFfRVNUX0FDVF9OSS5GWTIwMTkuMy8yNS8yMDIyLkwuLlVTRC5IAQAAAN/GBAACAAAACDE0NDU5Ljk1AQ4AAAAFAAAAATMBAAAAATACAAAACjEwMDAyMDc0</t>
  </si>
  <si>
    <t>OTMDAAAABjEwMDI1NgQAAAABMgYAAAABMAcAAAADMTYwCAAAAAEwCQAAAAExCgAAAAEwCwAAAAsxMTMxOTE5MjEzNgwAAAABMQ0AAAAJMy8yNi8yMDIyEAAAAAkxLzMxLzIwMTlRAp/FTg7aCC1d68lODtoINkNJUS5OWVNFOldNVC5JUV9FU1RfQUNUX0VCSVQuRlkyMDE5LjMvMjUvMjAyMi5MLi5VU0QuSAEAAADfxgQAAgAAAAUyMTk1NwEOAAAABQAAAAEzAQAAAAEwAgAAAAoxMDAwMjA3NDkzAwAAAAYxMDAyMjEEAAAAATIGAAAAATAHAAAAAzE2MAgAAAABMAkAAAABMQoAAAABMAsAAAALMTEzMTkxOTIxMzMMAAAAATENAAAACTMvMjYvMjAyMhAAAAAJMS8zMS8yMDE5UQKfxU4O2ggtXevJTg7aCDZDSVEuTllTRTpXTVQuSVFfRVNUX0FDVF9FQklULkZZMjAyMC4zLzI1LzIwMjIuTC4uVVNELkgBAAAA38YEAAIAAAAFMjE0MDcBDgAAAAUAAAABMwEAAAABMAIAAAAKMTAwMTc0MjQ4NAMAAAAGMTAwMjIxBAAAAAEyBgAAAAEwBwAAAAMxNjAIAAAAATAJAAAAATEKAAAAATALAAAACzExNzk1MzMxNjcwDAAAAAExDQAAAAkzLzI2LzIwMjIQAAAACTEvMzEvMjAyMFECn8VODtoINArtyU4O2gg4Q0lRLk5ZU0U6V01ULklRX0VTVF9BQ1RfRUJJVERBLkZZMjAyMC4zLzI1LzIwMjIuTC4uVVNELkgBAAAA38YEAAIAAAAFMzIzOTQBDgAAAAUAAAABMwEAAAABMAIAAAAKMTAwMTc0MjQ4NAMAAAAGMTAwMTkzBAAAAAEy</t>
  </si>
  <si>
    <t>BgAAAAEwBwAAAAMxNjAIAAAAATAJAAAAATEKAAAAATALAAAACzExNzk1MzMxNjY5DAAAAAExDQAAAAkzLzI2LzIwMjIQAAAACTEvMzEvMjAyMFECn8VODtoINArtyU4O2gg0Q0lRLk5ZU0U6V01ULklRX0VTVF9BQ1RfTkkuRlkyMDIwLjMvMjUvMjAyMi5MLi5VU0QuSAEAAADfxgQAAgAAAAgxNDEzOS4yNAEOAAAABQAAAAEzAQAAAAEwAgAAAAoxMDAxNzQyNDg0AwAAAAYxMDAyNTYEAAAAATIGAAAAATAHAAAAAzE2MAgAAAABMAkAAAABMQoAAAABMAsAAAALMTE3OTUzMzE2NzMMAAAAATENAAAACTMvMjYvMjAyMhAAAAAJMS8zMS8yMDIwUQKfxU4O2gg0Cu3JTg7aCDZDSVEuTllTRTpXTVQuSVFfRVNUX0FDVF9FQklULkZZMjAyMS4zLzI1LzIwMjIuTC4uVVNELkgBAAAA38YEAAIAAAAFMjMxODABDgAAAAUAAAABMwEAAAABMAIAAAAKMTAwMTgxODU5MwMAAAAGMTAwMjIxBAAAAAEyBgAAAAEwBwAAAAMxNjAIAAAAATAJAAAAATEKAAAAATALAAAACzEyMjYzMDMzNTUwDAAAAAExDQAAAAkzLzI2LzIwMjIQAAAACTEvMzEvMjAyMVECn8VODtoIp7/uyU4O2gg4Q0lRLk5ZU0U6V01ULklRX0VTVF9BQ1RfRUJJVERBLkZZMjAyMS4zLzI1LzIwMjIuTC4uVVNELkgBAAAA38YEAAIAAAAFMzQzMzIBDgAAAAUAAAABMwEAAAABMAIAAAAKMTAwMTgxODU5MwMAAAAGMTAwMTkzBAAAAAEyBgAAAAEwBwAAAAMxNjAIAAAA</t>
  </si>
  <si>
    <t>ATAJAAAAATEKAAAAATALAAAACzEyMjYzMDMzNTQ5DAAAAAExDQAAAAkzLzI2LzIwMjIQAAAACTEvMzEvMjAyMVECn8VODtoIp7/uyU4O2gg0Q0lRLk5ZU0U6V01ULklRX0VTVF9BQ1RfTkkuRlkyMDIxLjMvMjUvMjAyMi5MLi5VU0QuSAEAAADfxgQAAgAAAAgxNTYwMS41NgEOAAAABQAAAAEzAQAAAAEwAgAAAAoxMDAxODE4NTkzAwAAAAYxMDAyNTYEAAAAATIGAAAAATAHAAAAAzE2MAgAAAABMAkAAAABMQoAAAABMAsAAAALMTIyNjMwMzM1NTMMAAAAATENAAAACTMvMjYvMjAyMhAAAAAJMS8zMS8yMDIxUQKfxU4O2ginv+7JTg7aCDRDSVEuTllTRTpXTVQuSVFfRVNUX0FDVF9OSS5GWTIwMjIuMy8yNS8yMDIyLkwuLlVTRC5IAQAAAN/GBAACAAAABzE4MTIwLjMBDgAAAAUAAAABMwEAAAABMAIAAAAKMTAwMjA4Mjc2MQMAAAAGMTAwMjU2BAAAAAEyBgAAAAEwBwAAAAMxNjAIAAAAATAJAAAAATEKAAAAATALAAAACzEyNzU1MTg1MTA5DAAAAAExDQAAAAkzLzI2LzIwMjIQAAAACTEvMzEvMjAyMlECn8VODtoIWxHwyU4O2gg4Q0lRLk5ZU0U6V01ULklRX0VTVF9BQ1RfRUJJVERBLkZZMjAyMi4zLzI1LzIwMjIuTC4uVVNELkgBAAAA38YEAAIAAAAFMzY3MDgBDgAAAAUAAAABMwEAAAABMAIAAAAKMTAwMjA4Mjc2MQMAAAAGMTAwMTkzBAAAAAEyBgAAAAEwBwAAAAMxNjAIAAAAATAJAAAAATEKAAAAATALAAAA</t>
  </si>
  <si>
    <t>CzEyNzU1MTg1MTA1DAAAAAExDQAAAAkzLzI2LzIwMjIQAAAACTEvMzEvMjAyMlECn8VODtoIWTjwyU4O2gg2Q0lRLk5ZU0U6V01ULklRX0VTVF9BQ1RfRUJJVC5GWTIwMjIuMy8yNS8yMDIyLkwuLlVTRC5IAQAAAN/GBAACAAAABTI2MDUwAQ4AAAAFAAAAATMBAAAAATACAAAACjEwMDIwODI3NjEDAAAABjEwMDIyMQQAAAABMgYAAAABMAcAAAADMTYwCAAAAAEwCQAAAAExCgAAAAEwCwAAAAsxMjc1NTE4NTEwNgwAAAABMQ0AAAAJMy8yNi8yMDIyEAAAAAkxLzMxLzIwMjJRAp/FTg7aCFk48MlODtoIJ0NJUS5OQVNEQVFHUzpDT1NULklRX0JFVEFfNVlSLjMvMjUvMjAyMgEAAACRagEAAgAAABAwLjY2MTc0OTQxNzI4MjE4AIFboMVODtoI5ENey04O2ggiQ0lRLk5ZU0U6V01ULklRX0JFVEFfNVlSLjMvMjUvMjAyMgEAAADfxgQAAgAAABAwLjUzNTAzNzA1MDAyODA3AF3q1shODtoIyoTZyU4O2ggnQ0lRLjAuSVFfTUtUQ0FQX0VCVF9FWENMLjIwMDAuMy8yNS8yMDIyAQAAAG8QkwADAAAAAk5NAQcAAAAFAAAAATEBAAAACy0yMTI1MzYyMjQ2AwAAAAEwAgAAAAYxMDAwNjUEAAAAATAHAAAACTMvMjUvMjAyMggAAAAJMy8yNS8yMDIyXerWyE4O2gh4ZdvJTg7aCC5DSVEuTllTRTpXTVQuSVFfTUtUQ0FQX0VCVF9FWENMLjIwMDAuMy8yNS8yMDIyAQAAAN/GBAACAAAADzE2LjM5MDg3MDUyODc5NgEHAAAABQAA</t>
  </si>
  <si>
    <t>AAExAQAAAAstMjEwNzY4NjAwOAMAAAABMAIAAAAGMTAwMDY1BAAAAAEwBwAAAAkzLzI0LzIwMjIIAAAACTMvMjQvMjAyMl3q1shODtoIeGXbyU4O2ggnQ0lRLk5BU0RBUUdTOkNPU1QuSVFfUEJWLjIwMDAuMy8yNS8yMDIyAQAAAJFqAQACAAAAEDEyLjc0MDY3NTk4MjkwNjkBBwAAAAUAAAABMQEAAAALLTIxMDg4NTUzNDgDAAAAATACAAAABjEwMDA2NwQAAAABMAcAAAAJMy8yNC8yMDIyCAAAAAkzLzI0LzIwMjK2jsjFTg7aCFmMV8tODtoIM0NJUS5OQVNEQVFHUzpDT1NULklRX01LVENBUF9FQlRfRVhDTC4yMDAwLjMvMjUvMjAyMgEAAACRagEAAgAAABAzMC42NDg5Nzg4NzM4Njk0AQcAAAAFAAAAATEBAAAACy0yMTA4ODU1MzQ4AwAAAAEwAgAAAAYxMDAwNjUEAAAAATAHAAAACTMvMjQvMjAyMggAAAAJMy8yNC8yMDIyto7IxU4O2ghZjFfLTg7aCC1DSVEuTllTRTpXTVQuSVFfUEVfRVhDTF9GV0QuSVFfRlkrMi4zLzI1LzIwMjIBAAAA38YEAAIAAAAQMTkuNjg2MzUyNTU5NzkwOQENAAAABQAAAAE5AQAAAAcyNjYzMjIyAgAAAAoxMDAyMDgyNzYzAwAAAAYxMDAzMDkEAAAAATIGAAAAATAHAAAAAzE2MAgAAAABMAkAAAABMQoAAAABMAsAAAALMTI3OTkxNDgyMzMMAAAAATENAAAACTMvMjYvMjAyMgDF1shODtoIwK1Fy04O2ggzQ0lRLk5ZU0U6V01ULklRX1RFVl9UT1RBTF9SRVZfRldELklRX0ZZKzIu</t>
  </si>
  <si>
    <t>My8yNS8yMDIyAQAAAN/GBAACAAAAETAuNzMyNjI1MzYzMzQ5NjU4AQ0AAAAFAAAAATkBAAAABzI2NjMyMjICAAAACjEwMDIwODI3NjMDAAAABjEwMDMwNwQAAAABMgYAAAABMAcAAAADMTYwCAAAAAEwCQAAAAExCgAAAAEwCwAAAAsxMjc5NTc4MDc3MwwAAAABMQ0AAAAJMy8yNi8yMDIyAMXWyE4O2gjArUXLTg7aCC1DSVEuTllTRTpXTVQuSVFfUEVfRVhDTF9GV0QuSVFfRlkrMS4zLzI1LzIwMjIBAAAA38YEAAIAAAAQMjEuMTMyMjYxOTQ5NTAwNAENAAAABQAAAAE5AQAAAAcyNjYzMjIyAgAAAAoxMDAyMDgyNzYyAwAAAAYxMDAzMDkEAAAAATIGAAAAATAHAAAAAzE2MAgAAAABMAkAAAABMQoAAAABMAsAAAALMTI3OTkxNDgyMzkMAAAAATENAAAACTMvMjYvMjAyMgDF1shODtoIwK1Fy04O2ggzQ0lRLk5ZU0U6V01ULklRX1RFVl9UT1RBTF9SRVZfRldELklRX0ZZKzEuMy8yNS8yMDIyAQAAAN/GBAACAAAAETAuNzU2MjQwNTMxNTM5NTc4AQ0AAAAFAAAAATkBAAAABzI2NjMyMjICAAAACjEwMDIwODI3NjIDAAAABjEwMDMwNwQAAAABMgYAAAABMAcAAAADMTYwCAAAAAEwCQAAAAExCgAAAAEwCwAAAAsxMjc5NTc4MDE4NwwAAAABMQ0AAAAJMy8yNi8yMDIyAMXWyE4O2gjArUXLTg7aCClDSVEuTllTRTpXTVQuSVFfUEJWX0ZXRC5JUV9GWSsyLjMvMjUvMjAyMgEAAADfxgQAAgAAABA0LjE2MTMxODAxMDAw</t>
  </si>
  <si>
    <t>MjU1AQ0AAAAFAAAAATkBAAAABzI2NjMyMjICAAAACjEwMDIwODI3NjMDAAAABjExMjE3MwQAAAABMgYAAAABMAcAAAADMTYwCAAAAAEwCQAAAAExCgAAAAEwCwAAAAsxMjc5MjIxMzEwMgwAAAABMQ0AAAAJMy8yNi8yMDIyAMXWyE4O2gjArUXLTg7aCDBDSVEuTllTRTpXTVQuSVFfVEVWX0VCSVREQV9GV0QuSVFfRlkrMi4zLzI1LzIwMjIBAAAA38YEAAIAAAAQMTEuMTY0OTQ1NzYwMzQzOAENAAAABQAAAAE5AQAAAAcyNjYzMjIyAgAAAAoxMDAyMDgyNzYzAwAAAAYxMDAzMDgEAAAAATIGAAAAATAHAAAAAzE2MAgAAAABMAkAAAABMQoAAAABMAsAAAALMTI3OTU3ODAzNTMMAAAAATENAAAACTMvMjYvMjAyMgDF1shODtoIwK1Fy04O2ggqQ0lRLklRVFIxNzY1NDcxMDM1LklRX1RSX1NFTExfRklOX0FEVklTT1JTAQAAADvzOmkDAAAAAAC2jsjFTg7aCAEZVstODtoIKkNJUS5JUVRSMTc2NTQ3MTAzNS5JUV9UUl9TRUxMX0xFR19BRFZJU09SUwEAAAA78zppAwAAAAAAto7IxU4O2giAQFbLTg7aCCNDSVEuSVFUUjE3NjU0NzEwMzUuSVFfVFJfU0VMTEVSTkFNRQEAAAA78zppAwAAAExGb3VuZGF0aW9uIENhcGl0YWwsIExMQzsgQ29yZSBJbm5vdmF0aW9uIENhcGl0YWwgTExDOyBPYnZpb3VzIFZlbnR1cmVzLCBMLlAuALaOyMVODtoIARlWy04O2ggpQ0lRLklRVFIxNzY1NDcxMDM1LklRX1RSX0JVWV9GSU5f</t>
  </si>
  <si>
    <t>QURWSVNPUlMBAAAAO/M6aQMAAAAAALaOyMVODtoIARlWy04O2ggpQ0lRLklRVFIxNzY1NDcxMDM1LklRX1RSX0JVWV9MRUdfQURWSVNPUlMBAAAAO/M6aQMAAAAAALaOyMVODtoIgEBWy04O2ggoQ0lRLklRVFIxNzY1NDcxMDM1LklRX1RSX1RPVEFMVkFMVUUuLlVTRAEAAAA78zppAgAAAAAAto7IxU4O2ggBGVbLTg7aCClDSVEuSVFUUjE3NjU0NzEwMzUuSVFfVFJfQlVZX0FDQ19BRFZJU09SUwEAAAA78zppAwAAAAAAto7IxU4O2ggBGVbLTg7aCCxDSVEuSVFUUjE3NjU0NzEwMzUuSVFfVFJfVEFSR0VUX0ZJTl9BRFZJU09SUwEAAAA78zppAwAAAAAAto7IxU4O2ggBGVbLTg7aCCxDSVEuSVFUUjE3NjU0NzEwMzUuSVFfVFJfVEFSR0VUX0xFR19BRFZJU09SUwEAAAA78zppAwAAAAAAto7IxU4O2giAQFbLTg7aCCJDSVEuSVFUUjE3NjU0NzEwMzUuSVFfVFJfQlVZRVJOQU1FAQAAADvzOmkDAAAABUhhemVsALaOyMVODtoIARlWy04O2ggjQ0lRLklRVFIxNzY1NDcxMDM1LklRX1RSX1RBUkdFVE5BTUUBAAAAO/M6aQMAAAART25lIEZpbmFuY2UsIEluYy4Ato7IxU4O2ggBGVbLTg7aCCxDSVEuSVFUUjE3NjU0NzEwMzUuSVFfVFJfVEFSR0VUX0FDQ19BRFZJU09SUwEAAAA78zppAwAAAAAAto7IxU4O2ggBGVbLTg7aCCpDSVEuSVFUUjE3NjU0NzEwMzUuSVFfVFJfU0VMTF9BQ0NfQURWSVNPUlMBAAAAO/M6</t>
  </si>
  <si>
    <t>aQMAAAAAALaOyMVODtoIARlWy04O2gg4Q0lRLk5ZU0U6V01ULklRX0RJTFVUX0VQU19FWENMLklRX0ZZLTUuMy8yNS8yMDIyLkwuRi5VU0QBAAAA38YEAAIAAAAENC4zOAEIAAAABQAAAAExAQAAAAoxOTUxNTQwMzM1AwAAAAMxNjACAAAAAzE0MgQAAAABMAcAAAAJMy8yNS8yMDIyCAAAAAkxLzMxLzIwMTcJAAAAATC2jsjFTg7aCLiws8tODtoIQUNJUS5OWVNFOldNVC5JUV9UT1RBTF9ERUJUX0VCSVREQV9DQVBFWC5JUV9GWS0xLjMvMjUvMjAyMi5MLkYuVVNEAQAAAN/GBAACAAAACDIuMDM3MTk3AQgAAAAFAAAAATEBAAAACy0yMTA3Njg2MjgxAwAAAAMxNjACAAAABTIzMzEzBAAAAAEwBwAAAAkzLzI1LzIwMjIIAAAACTEvMzEvMjAyMQkAAAABMLaOyMVODtoIeclDy04O2gg5Q0lRLk5ZU0U6V01ULklRX05FVF9ERUJUX0VCSVREQS5JUV9GWS0yLjMvMjUvMjAyMi5MLkYuVVNEAQAAAN/GBAACAAAACDEuNzc3NTI5AQgAAAAFAAAAATEBAAAACy0yMTA3Njg2MjkxAwAAAAMxNjACAAAABDQxOTMEAAAAATAHAAAACTMvMjUvMjAyMggAAAAJMS8zMS8yMDIwCQAAAAEwto7IxU4O2gg89EPLTg7aCDpDSVEuTllTRTpXTVQuSVFfVE9UQUxfREVCVF9DQVBJVEFMLklRX0ZZLjMvMjUvMjAyMi5MLkYuVVNEAQAAAN/GBAACAAAABzM4Ljg2NTIBCAAAAAUAAAABMQEAAAALLTIxMDc2ODYyODIDAAAAAzE2MAIAAAAE</t>
  </si>
  <si>
    <t>NDE4NgQAAAABMAcAAAAJMy8yNS8yMDIyCAAAAAkxLzMxLzIwMjIJAAAAATDBpjHGTg7aCGaiQ8tODtoIO0NJUS5OWVNFOldNVC5JUV9UT1RBTF9ERUJUX0VRVUlUWS5JUV9GWS0yLjMvMjUvMjAyMi5MLkYuVVNEAQAAAN/GBAACAAAABzg5LjY3MTYBCAAAAAUAAAABMQEAAAALLTIxMDc2ODYyOTEDAAAAAzE2MAIAAAAENDAzNAQAAAABMAcAAAAJMy8yNS8yMDIyCAAAAAkxLzMxLzIwMjAJAAAAATDluMjFTg7aCHnJQ8tODtoIQUNJUS5OWVNFOldNVC5JUV9UT1RBTF9ERUJUX0VCSVREQV9DQVBFWC5JUV9GWS00LjMvMjUvMjAyMi5MLkYuVVNEAQAAAN/GBAACAAAACDIuMTc5NDUzAQgAAAAFAAAAATEBAAAACjIwMjMyNDk2MTEDAAAAAzE2MAIAAAAFMjMzMTMEAAAAATAHAAAACTMvMjUvMjAyMggAAAAJMS8zMS8yMDE4CQAAAAEwto7IxU4O2gh5yUPLTg7aCDxDSVEuTllTRTpXTVQuSVFfVE9UQUxfREVCVF9DQVBJVEFMLklRX0ZZLTQuMy8yNS8yMDIyLkwuRi5VU0QBAAAA38YEAAIAAAAHMzYuNjA3NwEIAAAABQAAAAExAQAAAAoyMDIzMjQ5NjExAwAAAAMxNjACAAAABDQxODYEAAAAATAHAAAACTMvMjUvMjAyMggAAAAJMS8zMS8yMDE4CQAAAAEw5bjIxU4O2gh5yUPLTg7aCCtDSVEuTllTRTpXTVQuSVFfTkkuSVFfRlktMy4zLzI1LzIwMjIuTC4uVVNEAQAAAN/GBAACAAAABDY2NzABCAAAAAUAAAABMQEA</t>
  </si>
  <si>
    <t>AAAKMjA4NTEzMjkzMAMAAAADMTYwAgAAAAIxNQQAAAABMAcAAAAJMy8yNS8yMDIyCAAAAAkxLzMxLzIwMTkJAAAAATC2jsjFTg7aCOn7QstODtoINUNJUS5OWVNFOldNVC5JUV9RVUlDS19SQVRJTy5JUV9GWS00LjMvMjUvMjAyMi5MLkYuVVNEAQAAAN/GBAACAAAACDAuMTU3NTM3AQgAAAAFAAAAATEBAAAACjIwMjMyNDk2MTEDAAAAAzE2MAIAAAAENDEyMQQAAAABMAcAAAAJMy8yNS8yMDIyCAAAAAkxLzMxLzIwMTgJAAAAATC2jsjFTg7aCKOqQctODtoINUNJUS5OWVNFOldNVC5JUV9MRkNGX01BUkdJTi5JUV9GWS02LjMvMjUvMjAyMi5MLkYuVVNEAQAAAN/GBAACAAAABjMuMDE1OAEIAAAABQAAAAExAQAAAAoxODgwNzE4NzYyAwAAAAMxNjACAAAABDQ0MzYEAAAAATAHAAAACTMvMjUvMjAyMggAAAAJMS8zMS8yMDE2CQAAAAEwto7IxU4O2ghbfkLLTg7aCDlDSVEuTllTRTpXTVQuSVFfTkVUX0RFQlRfRUJJVERBLklRX0ZZLTQuMy8yNS8yMDIyLkwuRi5VU0QBAAAA38YEAAIAAAAIMS4yNjg1NzUBCAAAAAUAAAABMQEAAAAKMjAyMzI0OTYxMQMAAAADMTYwAgAAAAQ0MTkzBAAAAAEwBwAAAAkzLzI1LzIwMjIIAAAACTEvMzEvMjAxOAkAAAABMLaOyMVODtoIPexDy04O2gg2Q0lRLk5ZU0U6V01ULklRX1JFVFVSTl9FUVVJVFkuSVFfTFRNLjMvMjUvMjAyMi5MLkYuVVNEAQAAAN/GBAACAAAABzE1LjUz</t>
  </si>
  <si>
    <t>ODcBCAAAAAUAAAABMQEAAAALLTIxMDc2ODYwMDgDAAAAAzE2MAIAAAAENDEyOAQAAAABMAcAAAAJMy8yNS8yMDIyCAAAAAkxLzMxLzIwMjIJAAAAATDluMjFTg7aCLiws8tODtoIOUNJUS5OWVNFOldNVC5JUV9JTlZFTlRPUllfVFVSTlMuSVFfRlktNi4zLzI1LzIwMjIuTC5GLlVTRAEAAADfxgQAAgAAAAg4LjA1Njc3OQEIAAAABQAAAAExAQAAAAoxODgwNzE4NzYyAwAAAAMxNjACAAAABDQwODIEAAAAATAHAAAACTMvMjUvMjAyMggAAAAJMS8zMS8yMDE2CQAAAAEwto7IxU4O2gi00UHLTg7aCDVDSVEuTllTRTpXTVQuSVFfUkVUVVJOX0FTU0VUUy5JUV9GWS4zLzI1LzIwMjIuTC5GLlVTRAEAAADfxgQAAgAAAAY2LjUxOTkBCAAAAAUAAAABMQEAAAALLTIxMDc2ODYyODIDAAAAAzE2MAIAAAAENDE3OAQAAAABMAcAAAAJMy8yNS8yMDIyCAAAAAkxLzMxLzIwMjIJAAAAATC2jsjFTg7aCHjNQstODtoIO0NJUS5OWVNFOldNVC5JUV9UT1RBTF9ERUJUX0VCSVREQS5JUV9GWS0xLjMvMjUvMjAyMi5MLkYuVVNEAQAAAN/GBAACAAAACDEuNTMzMzgzAQgAAAAFAAAAATEBAAAACy0yMTA3Njg2MjgxAwAAAAMxNjACAAAABDQxOTIEAAAAATAHAAAACTMvMjUvMjAyMggAAAAJMS8zMS8yMDIxCQAAAAEwwaYxxk4O2gh5yUPLTg7aCDVDSVEuTllTRTpXTVQuSVFfQVNTRVRfVFVSTlMuSVFfRlktMS4zLzI1LzIwMjIu</t>
  </si>
  <si>
    <t>TC5GLlVTRAEAAADfxgQAAgAAAAgyLjI4Njk1OAEIAAAABQAAAAExAQAAAAstMjEwNzY4NjI4MQMAAAADMTYwAgAAAAQ0MTc3BAAAAAEwBwAAAAkzLzI1LzIwMjIIAAAACTEvMzEvMjAyMQkAAAABMLaOyMVODtoIDCJCy04O2gg4Q0lRLk5ZU0U6V01ULklRX0NBU0hfU1RfSU5WRVNULklRX0ZZLTYuMy8yNS8yMDIyLkwuRi5VU0QBAAAA38YEAAIAAAAEODcwNQEIAAAABQAAAAExAQAAAAoxODgwNzE4NzYyAwAAAAMxNjACAAAABDEwMDIEAAAAATAHAAAACTMvMjUvMjAyMggAAAAJMS8zMS8yMDE2CQAAAAEwto7IxU4O2ghrOUHLTg7aCDdDSVEuTllTRTpXTVQuSVFfQ1VSUkVOVF9SQVRJTy5JUV9GWS0zLjMvMjUvMjAyMi5MLkYuVVNEAQAAAN/GBAACAAAACDAuNzk4OTA4AQgAAAAFAAAAATEBAAAACjIwODUxMzI5MzADAAAAAzE2MAIAAAAENDAzMAQAAAABMAcAAAAJMy8yNS8yMDIyCAAAAAkxLzMxLzIwMTkJAAAAATC2jsjFTg7aCKOqQctODtoIOENJUS5OWVNFOldNVC5JUV9ORVRfREVCVF9FQklUREEuSVFfTFRNLjMvMjUvMjAyMi5MLkYuVVNEAQAAAN/GBAACAAAABzEuMDk5NzgBCAAAAAUAAAABMQEAAAALLTIxMDc2ODYwMDgDAAAAAzE2MAIAAAAENDE5MwQAAAABMAcAAAAJMy8yNS8yMDIyCAAAAAkxLzMxLzIwMjIJAAAAATC2jsjFTg7aCGs5QctODtoIOUNJUS5OWVNFOldNVC5JUV9JTlZFTlRPUllf</t>
  </si>
  <si>
    <t>VFVSTlMuSVFfRlktMi4zLzI1LzIwMjIuTC5GLlVTRAEAAADfxgQAAgAAAAg4Ljg5NzExOAEIAAAABQAAAAExAQAAAAstMjEwNzY4NjI5MQMAAAADMTYwAgAAAAQ0MDgyBAAAAAEwBwAAAAkzLzI1LzIwMjIIAAAACTEvMzEvMjAyMAkAAAABMLaOyMVODtoItNFBy04O2gg3Q0lRLk5ZU0U6V01ULklRX0VCSVREQV9NQVJHSU4uSVFfRlktNi4zLzI1LzIwMjIuTC5GLlVTRAEAAADfxgQAAgAAAAY2Ljk2MDUBCAAAAAUAAAABMQEAAAAKMTg4MDcxODc2MgMAAAADMTYwAgAAAAQ0MDQ3BAAAAAEwBwAAAAkzLzI1LzIwMjIIAAAACTEvMzEvMjAxNgkAAAABMLaOyMVODtoIW35Cy04O2ggrQ0lRLk5ZU0U6V01ULklRX0dQLklRX0ZZLTIuMy8yNS8yMDIyLkwuLlVTRAEAAADfxgQAAgAAAAYxMjkzNTkBCAAAAAUAAAABMQEAAAALLTIxMDc2ODYyOTEDAAAAAzE2MAIAAAACMTAEAAAAATAHAAAACTMvMjUvMjAyMggAAAAJMS8zMS8yMDIwCQAAAAEwto7IxU4O2gh5e0PLTg7aCDtDSVEuTllTRTpXTVQuSVFfVE9UQUxfREVCVF9FQklUREEuSVFfRlktNS4zLzI1LzIwMjIuTC5GLlVTRAEAAADfxgQAAgAAAAgxLjQxNzg1NAEIAAAABQAAAAExAQAAAAoxOTUxNTQwMzM1AwAAAAMxNjACAAAABDQxOTIEAAAAATAHAAAACTMvMjUvMjAyMggAAAAJMS8zMS8yMDE3CQAAAAEwto7IxU4O2gh5yUPLTg7aCDVDSVEuTllTRTpXTVQu</t>
  </si>
  <si>
    <t>SVFfQVNTRVRfVFVSTlMuSVFfRlktNS4zLzI1LzIwMjIuTC5GLlVTRAEAAADfxgQAAgAAAAgyLjQzOTA4NAEIAAAABQAAAAExAQAAAAoxOTUxNTQwMzM1AwAAAAMxNjACAAAABDQxNzcEAAAAATAHAAAACTMvMjUvMjAyMggAAAAJMS8zMS8yMDE3CQAAAAEwto7IxU4O2giLNULLTg7aCC9DSVEuTllTRTpXTVQuSVFfRUJJVERBLklRX0ZZLTUuMy8yNS8yMDIyLkwuLlVTRAEAAADfxgQAAgAAAAUzMjg0NAEIAAAABQAAAAExAQAAAAoxOTUxNTQwMzM1AwAAAAMxNjACAAAABDQwNTEEAAAAATAHAAAACTMvMjUvMjAyMggAAAAJMS8zMS8yMDE3CQAAAAEwto7IxU4O2gh5e0PLTg7aCDdDSVEuTllTRTpXTVQuSVFfQ1VSUkVOVF9SQVRJTy5JUV9GWS02LjMvMjUvMjAyMi5MLkYuVVNEAQAAAN/GBAACAAAACDAuOTMyMjE4AQgAAAAFAAAAATEBAAAACjE4ODA3MTg3NjIDAAAAAzE2MAIAAAAENDAzMAQAAAABMAcAAAAJMy8yNS8yMDIyCAAAAAkxLzMxLzIwMTYJAAAAATC2jsjFTg7aCDK+QctODtoINUNJUS5OWVNFOldNVC5JUV9FQklUREFfTUFSR0lOLklRX0ZZLjMvMjUvMjAyMi5MLkYuVVNEAQAAAN/GBAACAAAABjYuMzkwMQEIAAAABQAAAAExAQAAAAstMjEwNzY4NjI4MgMAAAADMTYwAgAAAAQ0MDQ3BAAAAAEwBwAAAAkzLzI1LzIwMjIIAAAACTEvMzEvMjAyMgkAAAABMLaOyMVODtoI9VZCy04O2ggvQ0lRLk5Z</t>
  </si>
  <si>
    <t>U0U6V01ULklRX0VCSVREQS5JUV9GWS02LjMvMjUvMjAyMi5MLi5VU0QBAAAA38YEAAIAAAAFMzM1NTkBCAAAAAUAAAABMQEAAAAKMTg4MDcxODc2MgMAAAADMTYwAgAAAAQ0MDUxBAAAAAEwBwAAAAkzLzI1LzIwMjIIAAAACTEvMzEvMjAxNgkAAAABMLaOyMVODtoIeXtDy04O2ggyQ0lRLk5ZU0U6V01ULklRX0FSX1RVUk5TLklRX0ZZLTMuMy8yNS8yMDIyLkwuRi5VU0QBAAAA38YEAAIAAAAJODYuNDc2NDIyAQgAAAAFAAAAATEBAAAACjIwODUxMzI5MzADAAAAAzE2MAIAAAAENDAwMQQAAAABMAcAAAAJMy8yNS8yMDIyCAAAAAkxLzMxLzIwMTkJAAAAATC2jsjFTg7aCDrlQctODtoIK0NJUS5OWVNFOldNVC5JUV9HUC5JUV9GWS01LjMvMjUvMjAyMi5MLi5VU0QBAAAA38YEAAIAAAAGMTI0NjE3AQgAAAAFAAAAATEBAAAACjE5NTE1NDAzMzUDAAAAAzE2MAIAAAACMTAEAAAAATAHAAAACTMvMjUvMjAyMggAAAAJMS8zMS8yMDE3CQAAAAEwto7IxU4O2gh5e0PLTg7aCDVDSVEuTllTRTpXTVQuSVFfVE9UQUxfTE9BTlMuSVFfRlktMi4zLzI1LzIwMjIuTC5GLlVTRAEAAADfxgQAAwAAAAAAwaYxxk4O2gitSETLTg7aCDdDSVEuTllTRTpXTVQuSVFfRElMVVRfRVBTX0lOQ0wuSVFfRlktNS4zLzI1LzIwMjIuTC4uVVNEAQAAAN/GBAACAAAABDQuMzgBCAAAAAUAAAABMQEAAAAKMTk1MTU0MDMzNQMAAAADMTYw</t>
  </si>
  <si>
    <t>AgAAAAE4BAAAAAEwBwAAAAkzLzI1LzIwMjIIAAAACTEvMzEvMjAxNwkAAAABMLaOyMVODtoIPsRAy04O2ggtQ0lRLk5ZU0U6V01ULklRX05JLklRX0xUTS00LjMvMjUvMjAyMi5MLkYuVVNEAQAAAN/GBAACAAAABTEzNTEwAQgAAAAFAAAAATEBAAAACy0yMTA3Njg1OTc3AwAAAAMxNjACAAAAAjE1BAAAAAEwBwAAAAkzLzI1LzIwMjIIAAAACTEvMzEvMjAyMQkAAAABMLaOyMVODtoIP9A/y04O2gg8Q0lRLk5ZU0U6V01ULklRX1JFVFVSTl9BU1NFVFNfQkFOSy5JUV9GWS0xLjMvMjUvMjAyMi5MLkYuVVNEAQAAAN/GBAACAAAABjYuODg4NgEIAAAABQAAAAExAQAAAAstMjEwNzY4NjI4MQMAAAADMTYwAgAAAAQ0MTc4BAAAAAEwBwAAAAkzLzI1LzIwMjIIAAAACTEvMzEvMjAyMQkAAAABMLaOyMVODtoI7GU/y04O2gg+Q0lRLk5ZU0U6V01ULklRX05PTl9QRVJGT1JNSU5HX0xPQU5TLklRX0ZZLTQuMy8yNS8yMDIyLkwuRi5VU0QBAAAA38YEAAMAAAAAAOW4yMVODtoIUWlEy04O2gg1Q0lRLk5ZU0U6V01ULklRX1RPVEFMX0xPQU5TLklRX0ZZLTQuMy8yNS8yMDIyLkwuRi5VU0QBAAAA38YEAAMAAAAAAMGmMcZODtoIUWlEy04O2ggrQ0lRLk5ZU0U6V01ULklRX05JLklRX0ZZLTQuMy8yNS8yMDIyLkwuLlVTRAEAAADfxgQAAgAAAAQ5ODYyAQgAAAAFAAAAATEBAAAACjIwMjMyNDk2MTEDAAAAAzE2MAIAAAAC</t>
  </si>
  <si>
    <t>MTUEAAAAATAHAAAACTMvMjUvMjAyMggAAAAJMS8zMS8yMDE4CQAAAAEwto7IxU4O2gjp+0LLTg7aCDhDSVEuTllTRTpXTVQuSVFfRElMVVRfRVBTX0VYQ0wuSVFfTFRNLTQuMy8yNS8yMDIyLkwuLlVTRAEAAADfxgQAAgAAAAQ0Ljc1AQgAAAAFAAAAATEBAAAACy0yMTA3Njg1OTc3AwAAAAMxNjACAAAAAzE0MgQAAAABMAcAAAAJMy8yNS8yMDIyCAAAAAkxLzMxLzIwMjEJAAAAATC2jsjFTg7aCD7EQMtODtoINkNJUS5OWVNFOldNVC5JUV9OVU1fQlJBTkNIRVMuSVFfRlktNC4zLzI1LzIwMjIuTC5GLlVTRAEAAADfxgQAAwAAAAAAwaYxxk4O2gg/0D/LTg7aCDJDSVEuTllTRTpXTVQuSVFfTkVUX0xPQU5TLklRX0ZZLTUuMy8yNS8yMDIyLkwuLlVTRAEAAADfxgQAAwAAAAAAto7IxU4O2gg+xEDLTg7aCDhDSVEuTllTRTpXTVQuSVFfVE9UQUxfREVQT1NJVFMuSVFfRlktNS4zLzI1LzIwMjIuTC5GLlVTRAEAAADfxgQAAwAAAAAAwaYxxk4O2gi4sLPLTg7aCDZDSVEuTllTRTpXTVQuSVFfVE9UQUxfQVNTRVRTLklRX0ZZLTUuMy8yNS8yMDIyLkwuRi5VU0QBAAAA38YEAAIAAAAGMTk4ODI1AQgAAAAFAAAAATEBAAAACjE5NTE1NDAzMzUDAAAAAzE2MAIAAAAEMTAwNwQAAAABMAcAAAAJMy8yNS8yMDIyCAAAAAkxLzMxLzIwMTcJAAAAATC2jsjFTg7aCJCTQMtODtoIPENJUS5OWVNFOldNVC5JUV9SRVRVUk5f</t>
  </si>
  <si>
    <t>RVFVSVRZX0JBTksuSVFfRlktNi4zLzI1LzIwMjIuTC5GLlVTRAEAAADfxgQAAgAAAAcxNy43ODg0AQgAAAAFAAAAATEBAAAACjE4ODA3MTg3NjIDAAAAAzE2MAIAAAAENDEyOAQAAAABMAcAAAAJMy8yNS8yMDIyCAAAAAkxLzMxLzIwMTYJAAAAATC2jsjFTg7aCACNP8tODtoIPkNJUS5OWVNFOldNVC5JUV9OT05fUEVSRk9STUlOR19MT0FOUy5JUV9GWS02LjMvMjUvMjAyMi5MLkYuVVNEAQAAAN/GBAADAAAAAADBpjHGTg7aCK1VRMtODtoINUNJUS5OWVNFOldNVC5JUV9UT1RBTF9MT0FOUy5JUV9GWS02LjMvMjUvMjAyMi5MLkYuVVNEAQAAAN/GBAADAAAAAADBpjHGTg7aCK1VRMtODtoIK0NJUS5OWVNFOldNVC5JUV9OSS5JUV9GWS02LjMvMjUvMjAyMi5MLi5VU0QBAAAA38YEAAIAAAAFMTQ2OTQBCAAAAAUAAAABMQEAAAAKMTg4MDcxODc2MgMAAAADMTYwAgAAAAIxNQQAAAABMAcAAAAJMy8yNS8yMDIyCAAAAAkxLzMxLzIwMTYJAAAAATDluMjFTg7aCOn7QstODtoINUNJUS5OWVNFOldNVC5JUV9UT1RBTF9MT0FOUy5JUV9GWS01LjMvMjUvMjAyMi5MLkYuVVNEAQAAAN/GBAADAAAAAADBpjHGTg7aCFFpRMtODtoIMkNJUS5OWVNFOldNVC5JUV9BTExPV19MTC5JUV9GWS0xLjMvMjUvMjAyMi5MLkYuVVNEAQAAAN/GBAADAAAAAADBpjHGTg7aCBdGRMtODtoINUNJUS5OWVNFOldNVC5JUV9HUk9TU19M</t>
  </si>
  <si>
    <t>T0FOUy5JUV9GWS0xLjMvMjUvMjAyMi5MLkYuVVNEAQAAAN/GBAADAAAAAAC2jsjFTg7aCGEeQMtODtoILENJUS5OWVNFOldNVC5JUV9OSS5JUV9MVE0tNC4zLzI1LzIwMjIuTC4uVVNEAQAAAN/GBAACAAAABTEzNTEwAQgAAAAFAAAAATEBAAAACy0yMTA3Njg1OTc3AwAAAAMxNjACAAAAAjE1BAAAAAEwBwAAAAkzLzI1LzIwMjIIAAAACTEvMzEvMjAyMQkAAAABMMGmMcZODtoI6ftCy04O2gg3Q0lRLk5ZU0U6V01ULklRX0RJTFVUX0VQU19JTkNMLklRX0ZZLTQuMy8yNS8yMDIyLkwuLlVTRAEAAADfxgQAAgAAAAQzLjI4AQgAAAAFAAAAATEBAAAACjIwMjMyNDk2MTEDAAAAAzE2MAIAAAABOAQAAAABMAcAAAAJMy8yNS8yMDIyCAAAAAkxLzMxLzIwMTgJAAAAATC2jsjFTg7aCD7EQMtODtoIOkNJUS5OWVNFOldNVC5JUV9UT1RBTF9PUEVSX0VYUEVOLklRX0ZZLTIuMy8yNS8yMDIyLkwuRi5VU0QBAAAA38YEAAIAAAAGNTAyNDk2AQgAAAAFAAAAATEBAAAACy0yMTA3Njg2MjkxAwAAAAMxNjACAAAAAzM3MwQAAAABMAcAAAAJMy8yNS8yMDIyCAAAAAkxLzMxLzIwMjAJAAAAATC2jsjFTg7aCLKoP8tODtoILENJUS5OWVNFOldNVC5JUV9MTC5JUV9GWS0yLjMvMjUvMjAyMi5MLkYuVVNEAQAAAN/GBAADAAAAAADluMjFTg7aCGEeQMtODtoIOkNJUS5OWVNFOldNVC5JUV9USUVSX09ORV9DQVBJVEFMLklRX0ZZ</t>
  </si>
  <si>
    <t>LTQuMy8yNS8yMDIyLkwuRi5VU0QBAAAA38YEAAMAAAAAALaOyMVODtoIkJNAy04O2gg6Q0lRLk5ZU0U6V01ULklRX1RJRVJfVFdPX0NBUElUQUwuSVFfRlktNC4zLzI1LzIwMjIuTC5GLlVTRAEAAADfxgQAAwAAAAAAto7IxU4O2giQk0DLTg7aCCxDSVEuTllTRTpXTVQuSVFfR1cuSVFfRlktNC4zLzI1LzIwMjIuTC5GLlVTRAEAAADfxgQAAgAAAAUxODI0MgEIAAAABQAAAAExAQAAAAoyMDIzMjQ5NjExAwAAAAMxNjACAAAABDExNzEEAAAAATAHAAAACTMvMjUvMjAyMggAAAAJMS8zMS8yMDE4CQAAAAEwto7IxU4O2giQk0DLTg7aCD5DSVEuTllTRTpXTVQuSVFfUklTS19BREpfQkFOS19BU1NFVFMuSVFfRlktNC4zLzI1LzIwMjIuTC5GLlVTRAEAAADfxgQAAwAAAAAAto7IxU4O2giQk0DLTg7aCDZDSVEuTllTRTpXTVQuSVFfVE9UQUxfUkVWX0JOSy5JUV9GWS01LjMvMjUvMjAyMi5MLi5VU0QBAAAA38YEAAMAAAAAALaOyMVODtoIWBJBy04O2gg6Q0lRLk5ZU0U6V01ULklRX1RPVEFMX09QRVJfRVhQRU4uSVFfRlktMy4zLzI1LzIwMjIuTC5GLlVTRAEAAADfxgQAAgAAAAY0OTI0NDgBCAAAAAUAAAABMQEAAAAKMjA4NTEzMjkzMAMAAAADMTYwAgAAAAMzNzMEAAAAATAHAAAACTMvMjUvMjAyMggAAAAJMS8zMS8yMDE5CQAAAAEwto7IxU4O2giyqD/LTg7aCCxDSVEuTllTRTpXTVQuSVFfTEwuSVFfRlkt</t>
  </si>
  <si>
    <t>My4zLzI1LzIwMjIuTC5GLlVTRAEAAADfxgQAAwAAAAAAwaYxxk4O2ghhHkDLTg7aCDpDSVEuTllTRTpXTVQuSVFfVElFUl9PTkVfQ0FQSVRBTC5JUV9GWS01LjMvMjUvMjAyMi5MLkYuVVNEAQAAAN/GBAADAAAAAAC2jsjFTg7aCJCTQMtODtoIOkNJUS5OWVNFOldNVC5JUV9USUVSX1RXT19DQVBJVEFMLklRX0ZZLTUuMy8yNS8yMDIyLkwuRi5VU0QBAAAA38YEAAMAAAAAALaOyMVODtoIkJNAy04O2ggsQ0lRLk5ZU0U6V01ULklRX0dXLklRX0ZZLTUuMy8yNS8yMDIyLkwuRi5VU0QBAAAA38YEAAIAAAAFMTcwMzcBCAAAAAUAAAABMQEAAAAKMTk1MTU0MDMzNQMAAAADMTYwAgAAAAQxMTcxBAAAAAEwBwAAAAkzLzI1LzIwMjIIAAAACTEvMzEvMjAxNwkAAAABMLaOyMVODtoIkJNAy04O2gg+Q0lRLk5ZU0U6V01ULklRX1JJU0tfQURKX0JBTktfQVNTRVRTLklRX0ZZLTUuMy8yNS8yMDIyLkwuRi5VU0QBAAAA38YEAAMAAAAAALaOyMVODtoIkJNAy04O2gg2Q0lRLk5ZU0U6V01ULklRX1RPVEFMX1JFVl9CTksuSVFfRlktNi4zLzI1LzIwMjIuTC4uVVNEAQAAAN/GBAADAAAAAAC2jsjFTg7aCFgSQctODtoIPkNJUS5OWVNFOldNVC5JUV9OT05fUEVSRk9STUlOR19MT0FOUy5JUV9GWS01LjMvMjUvMjAyMi5MLkYuVVNEAQAAAN/GBAADAAAAAADluMjFTg7aCK1VRMtODtoIM0NJUS5OWVNFOldNVC5JUV9UT1RB</t>
  </si>
  <si>
    <t>TF9SRVYuSVFfRlktNS4zLzI1LzIwMjIuTC5GLlVTRAEAAADfxgQAAgAAAAY0ODU4NzMBCAAAAAUAAAABMQEAAAAKMTk1MTU0MDMzNQMAAAADMTYwAgAAAAIyOAQAAAABMAcAAAAJMy8yNS8yMDIyCAAAAAkxLzMxLzIwMTcJAAAAATC2jsjFTg7aCLiws8tODtoIMkNJUS5OWVNFOldNVC5JUV9BTExPV19MTC5JUV9GWS0zLjMvMjUvMjAyMi5MLkYuVVNEAQAAAN/GBAADAAAAAADBpjHGTg7aCBstRMtODtoIPkNJUS5OWVNFOldNVC5JUV9OT05fUEVSRk9STUlOR19MT0FOUy5JUV9GWS0zLjMvMjUvMjAyMi5MLkYuVVNEAQAAAN/GBAADAAAAAADluMjFTg7aCK1IRMtODtoIPkNJUS5OWVNFOldNVC5JUV9OT05fUEVSRk9STUlOR19MT0FOUy5JUV9GWS0yLjMvMjUvMjAyMi5MLkYuVVNEAQAAAN/GBAADAAAAAADBpjHGTg7aCK1IRMtODtoIMUNJUS5OWVNFOldNVC5JUV9QRVJJT0REQVRFX0JTLklRX0xUTS4zLzI1LzIwMjIuLkYBAAAA38YEAAUAAAAJMS8zMS8yMDIyAFsR18hODtoI3ftFy04O2gg7Q0lRLk5ZU0U6V01ULklRX1RPVEFMX0RFQlRfRUJJVERBLklRX0ZZLTMuMy8yNS8yMDIyLkwuRi5VU0QBAAAA38YEAAIAAAAIMS43OTEzNTgBCAAAAAUAAAABMQEAAAAKMjA4NTEzMjkzMAMAAAADMTYwAgAAAAQ0MTkyBAAAAAEwBwAAAAkzLzI1LzIwMjIIAAAACTEvMzEvMjAxOQkAAAABMOW4yMVODtoIPexDy04O</t>
  </si>
  <si>
    <t>2ggyQ0lRLk5ZU0U6V01ULklRX0NBU0hfRVFVSVYuSVFfRlkuMy8yNS8yMDIyLkwuRi5VU0QBAAAA38YEAAIAAAAFMTQ3NjABCAAAAAUAAAABMQEAAAALLTIxMDc2ODYyODIDAAAAAzE2MAIAAAAEMTA5NgQAAAABMAcAAAAJMy8yNS8yMDIyCAAAAAkxLzMxLzIwMjIJAAAAATDBpjHGTg7aCK1VRMtODtoIO0NJUS5OWVNFOldNVC5JUV9UT1RBTF9ERUJUX0VRVUlUWS5JUV9GWS0xLjMvMjUvMjAyMi5MLkYuVVNEAQAAAN/GBAACAAAABzcyLjcwNTYBCAAAAAUAAAABMQEAAAALLTIxMDc2ODYyODEDAAAAAzE2MAIAAAAENDAzNAQAAAABMAcAAAAJMy8yNS8yMDIyCAAAAAkxLzMxLzIwMjEJAAAAATC2jsjFTg7aCHnJQ8tODtoIQUNJUS5OWVNFOldNVC5JUV9UT1RBTF9ERUJUX0VCSVREQV9DQVBFWC5JUV9GWS0zLjMvMjUvMjAyMi5MLkYuVVNEAQAAAN/GBAACAAAACDIuNjIyNjI3AQgAAAAFAAAAATEBAAAACjIwODUxMzI5MzADAAAAAzE2MAIAAAAFMjMzMTMEAAAAATAHAAAACTMvMjUvMjAyMggAAAAJMS8zMS8yMDE5CQAAAAEwto7IxU4O2gh5yUPLTg7aCDtDSVEuTllTRTpXTVQuSVFfVE9UQUxfREVCVF9FQklUREEuSVFfRlktNi4zLzI1LzIwMjIuTC5GLlVTRAEAAADfxgQAAgAAAAgxLjUxMjkxNwEIAAAABQAAAAExAQAAAAoxODgwNzE4NzYyAwAAAAMxNjACAAAABDQxOTIEAAAAATAHAAAACTMvMjUvMjAy</t>
  </si>
  <si>
    <t>MggAAAAJMS8zMS8yMDE2CQAAAAEw5bjIxU4O2gh5yUPLTg7aCDtDSVEuTllTRTpXTVQuSVFfVE9UQUxfREVCVF9FUVVJVFkuSVFfRlktNS4zLzI1LzIwMjIuTC5GLlVTRAEAAADfxgQAAgAAAAc1Ny44MjMzAQgAAAAFAAAAATEBAAAACjE5NTE1NDAzMzUDAAAAAzE2MAIAAAAENDAzNAQAAAABMAcAAAAJMy8yNS8yMDIyCAAAAAkxLzMxLzIwMTcJAAAAATC2jsjFTg7aCHnJQ8tODtoIO0NJUS5OWVNFOldNVC5JUV9UT1RBTF9ERUJUX0VRVUlUWS5JUV9GWS02LjMvMjUvMjAyMi5MLkYuVVNEAQAAAN/GBAACAAAABjYwLjcyNAEIAAAABQAAAAExAQAAAAoxODgwNzE4NzYyAwAAAAMxNjACAAAABDQwMzQEAAAAATAHAAAACTMvMjUvMjAyMggAAAAJMS8zMS8yMDE2CQAAAAEwto7IxU4O2gh5yUPLTg7aCDRDSVEuTllTRTpXTVQuSVFfTEZDRl9NQVJHSU4uSVFfTFRNLjMvMjUvMjAyMi5MLkYuVVNEAQAAAN/GBAACAAAABjIuNTM1MwEIAAAABQAAAAExAQAAAAstMjEwNzY4NjAwOAMAAAADMTYwAgAAAAQ0NDM2BAAAAAEwBwAAAAkzLzI1LzIwMjIIAAAACTEvMzEvMjAyMgkAAAABMLaOyMVODtoI9VZCy04O2ggxQ0lRLk5ZU0U6V01ULklRX0FSX1RVUk5TLklRX0xUTS4zLzI1LzIwMjIuTC5GLlVTRAEAAADfxgQAAgAAAAk3Ny40MjAxMTMBCAAAAAUAAAABMQEAAAALLTIxMDc2ODYwMDgDAAAAAzE2MAIAAAAENDAw</t>
  </si>
  <si>
    <t>MQQAAAABMAcAAAAJMy8yNS8yMDIyCAAAAAkxLzMxLzIwMjIJAAAAATC2jsjFTg7aCOr6QctODtoIOUNJUS5OWVNFOldNVC5JUV9UT1RBTF9ERUJUX0VCSVREQS5JUV9GWS4zLzI1LzIwMjIuTC5GLlVTRAEAAADfxgQAAgAAAAgxLjQ3MTU5NwEIAAAABQAAAAExAQAAAAstMjEwNzY4NjI4MgMAAAADMTYwAgAAAAQ0MTkyBAAAAAEwBwAAAAkzLzI1LzIwMjIIAAAACTEvMzEvMjAyMgkAAAABMLaOyMVODtoIeclDy04O2ggyQ0lRLk5ZU0U6V01ULklRX0FSX1RVUk5TLklRX0ZZLTQuMy8yNS8yMDIyLkwuRi5VU0QBAAAA38YEAAIAAAAIODcuNDAzNzkBCAAAAAUAAAABMQEAAAAKMjAyMzI0OTYxMQMAAAADMTYwAgAAAAQ0MDAxBAAAAAEwBwAAAAkzLzI1LzIwMjIIAAAACTEvMzEvMjAxOAkAAAABMLaOyMVODtoI6vpBy04O2ggrQ0lRLk5ZU0U6V01ULklRX0dQLklRX0xUTS4zLzI1LzIwMjIuTC5GLlVTRAEAAADfxgQAAgAAAAYxNDM3NTQBCAAAAAUAAAABMQEAAAALLTIxMDc2ODYwMDgDAAAAAzE2MAIAAAACMTAEAAAAATAHAAAACTMvMjUvMjAyMggAAAAJMS8zMS8yMDIyCQAAAAEwto7IxU4O2ghRVEPLTg7aCD1DSVEuTllTRTpXTVQuSVFfVE9UQUxfREVCVF9DQVBJVEFMLklRX0xUTS00LjMvMjUvMjAyMi5MLkYuVVNEAQAAAN/GBAACAAAABjQyLjA5OAEIAAAABQAAAAExAQAAAAstMjEwNzY4NTk3NwMAAAAD</t>
  </si>
  <si>
    <t>MTYwAgAAAAQ0MTg2BAAAAAEwBwAAAAkzLzI1LzIwMjIIAAAACTEvMzEvMjAyMQkAAAABMLaOyMVODtoId2BBy04O2gg2Q0lRLk5ZU0U6V01ULklRX1VGQ0ZfTUFSR0lOLklRX0xUTS00LjMvMjUvMjAyMi5MLkYuVVNEAQAAAN/GBAACAAAABjIuOTg5MgEIAAAABQAAAAExAQAAAAstMjEwNzY4NTk3NwMAAAADMTYwAgAAAAQ0NDM3BAAAAAEwBwAAAAkzLzI1LzIwMjIIAAAACTEvMzEvMjAyMQkAAAABMLaOyMVODtoIDCJCy04O2gg5Q0lRLk5ZU0U6V01ULklRX0lOVkVOVE9SWV9UVVJOUy5JUV9GWS0xLjMvMjUvMjAyMi5MLkYuVVNEAQAAAN/GBAACAAAACDkuNDA0NzAzAQgAAAAFAAAAATEBAAAACy0yMTA3Njg2MjgxAwAAAAMxNjACAAAABDQwODIEAAAAATAHAAAACTMvMjUvMjAyMggAAAAJMS8zMS8yMDIxCQAAAAEwto7IxU4O2gg65UHLTg7aCDhDSVEuTllTRTpXTVQuSVFfUkVUVVJOX0NBUElUQUwuSVFfRlktNS4zLzI1LzIwMjIuTC5GLlVTRAEAAADfxgQAAgAAAAYxMC44ODIBCAAAAAUAAAABMQEAAAAKMTk1MTU0MDMzNQMAAAADMTYwAgAAAAQ0MzYzBAAAAAEwBwAAAAkzLzI1LzIwMjIIAAAACTEvMzEvMjAxNwkAAAABMIW2yMVODtoIuLCzy04O2ggrQ0lRLk5ZU0U6V01ULklRX0dQLklRX0ZZLTEuMy8yNS8yMDIyLkwuLlVTRAEAAADfxgQAAgAAAAYxMzg4MzYBCAAAAAUAAAABMQEAAAALLTIxMDc2</t>
  </si>
  <si>
    <t>ODYyODEDAAAAAzE2MAIAAAACMTAEAAAAATAHAAAACTMvMjUvMjAyMggAAAAJMS8zMS8yMDIxCQAAAAEwto7IxU4O2gh5e0PLTg7aCDlDSVEuTllTRTpXTVQuSVFfTkVUX0RFQlRfRUJJVERBLklRX0ZZLTYuMy8yNS8yMDIyLkwuRi5VU0QBAAAA38YEAAIAAAAIMS4yNTM1MjMBCAAAAAUAAAABMQEAAAAKMTg4MDcxODc2MgMAAAADMTYwAgAAAAQ0MTkzBAAAAAEwBwAAAAkzLzI1LzIwMjIIAAAACTEvMzEvMjAxNgkAAAABMOW4yMVODtoIPexDy04O2ggwQ0lRLk5ZU0U6V01ULklRX0FSX1RVUk5TLklRX0ZZLjMvMjUvMjAyMi5MLkYuVVNEAQAAAN/GBAACAAAACTc3LjQyMDExMwEIAAAABQAAAAExAQAAAAstMjEwNzY4NjI4MgMAAAADMTYwAgAAAAQ0MDAxBAAAAAEwBwAAAAkzLzI1LzIwMjIIAAAACTEvMzEvMjAyMgkAAAABMLaOyMVODtoIp/JBy04O2gg1Q0lRLk5ZU0U6V01ULklRX1RPVEFMX1JFVkVOVUUuSVFfTFRNLjMvMjUvMjAyMi5MLi5VU0QBAAAA38YEAAIAAAAGNTcyNzU0AQgAAAAFAAAAATEBAAAACy0yMTA3Njg2MDA4AwAAAAMxNjACAAAAAjI4BAAAAAEwBwAAAAkzLzI1LzIwMjIIAAAACTEvMzEvMjAyMgkAAAABMLaOyMVODtoIeXtDy04O2gg8Q0lRLk5ZU0U6V01ULklRX1RPVEFMX0RFQlRfQ0FQSVRBTC5JUV9GWS0zLjMvMjUvMjAyMi5MLkYuVVNEAQAAAN/GBAACAAAABzQyLjMzMzkBCAAA</t>
  </si>
  <si>
    <t>AAUAAAABMQEAAAAKMjA4NTEzMjkzMAMAAAADMTYwAgAAAAQ0MTg2BAAAAAEwBwAAAAkzLzI1LzIwMjIIAAAACTEvMzEvMjAxOQkAAAABMOW4yMVODtoIZqJDy04O2gg1Q0lRLk5ZU0U6V01ULklRX1VGQ0ZfTUFSR0lOLklRX0ZZLTMuMy8yNS8yMDIyLkwuRi5VU0QBAAAA38YEAAIAAAAGMi43ODk4AQgAAAAFAAAAATEBAAAACjIwODUxMzI5MzADAAAAAzE2MAIAAAAENDQzNwQAAAABMAcAAAAJMy8yNS8yMDIyCAAAAAkxLzMxLzIwMTkJAAAAATC2jsjFTg7aCBFJQstODtoIN0NJUS5OWVNFOldNVC5JUV9ORVRfREVCVF9FQklUREEuSVFfRlkuMy8yNS8yMDIyLkwuRi5VU0QBAAAA38YEAAIAAAAHMS4wOTk3OAEIAAAABQAAAAExAQAAAAstMjEwNzY4NjI4MgMAAAADMTYwAgAAAAQ0MTkzBAAAAAEwBwAAAAkzLzI1LzIwMjIIAAAACTEvMzEvMjAyMgkAAAABMMGmMcZODtoIeclDy04O2gg5Q0lRLk5ZU0U6V01ULklRX0lOVkVOVE9SWV9UVVJOUy5JUV9GWS00LjMvMjUvMjAyMi5MLkYuVVNEAQAAAN/GBAACAAAABzguNjAwNzIBCAAAAAUAAAABMQEAAAAKMjAyMzI0OTYxMQMAAAADMTYwAgAAAAQ0MDgyBAAAAAEwBwAAAAkzLzI1LzIwMjIIAAAACTEvMzEvMjAxOAkAAAABMLaOyMVODtoItNFBy04O2gg5Q0lRLk5ZU0U6V01ULklRX05FVF9ERUJUX0VCSVREQS5JUV9GWS0xLjMvMjUvMjAyMi5MLkYuVVNEAQAA</t>
  </si>
  <si>
    <t>AN/GBAACAAAABzEuMTA1OTIBCAAAAAUAAAABMQEAAAALLTIxMDc2ODYyODEDAAAAAzE2MAIAAAAENDE5MwQAAAABMAcAAAAJMy8yNS8yMDIyCAAAAAkxLzMxLzIwMjEJAAAAATDluMjFTg7aCDz0Q8tODtoIO0NJUS5OWVNFOldNVC5JUV9GSVhFRF9BU1NFVF9UVVJOUy5JUV9GWS0xLjMvMjUvMjAyMi5MLkYuVVNEAQAAAN/GBAACAAAACDQuNzIwNjI1AQgAAAAFAAAAATEBAAAACy0yMTA3Njg2MjgxAwAAAAMxNjACAAAABDQwNjYEAAAAATAHAAAACTMvMjUvMjAyMggAAAAJMS8zMS8yMDIxCQAAAAEwto7IxU4O2giIDkLLTg7aCDhDSVEuTllTRTpXTVQuSVFfRElMVVRfRVBTX0VYQ0wuSVFfRlktNC4zLzI1LzIwMjIuTC5GLlVTRAEAAADfxgQAAgAAAAQzLjI4AQgAAAAFAAAAATEBAAAACjIwMjMyNDk2MTEDAAAAAzE2MAIAAAADMTQyBAAAAAEwBwAAAAkzLzI1LzIwMjIIAAAACTEvMzEvMjAxOAkAAAABMMGmMcZODtoIuLCzy04O2gg2Q0lRLk5ZU0U6V01ULklRX1RPVEFMX1JFVkVOVUUuSVFfRlktMS4zLzI1LzIwMjIuTC4uVVNEAQAAAN/GBAACAAAABjU1OTE1MQEIAAAABQAAAAExAQAAAAstMjEwNzY4NjI4MQMAAAADMTYwAgAAAAIyOAQAAAABMAcAAAAJMy8yNS8yMDIyCAAAAAkxLzMxLzIwMjEJAAAAATC2jsjFTg7aCGaiQ8tODtoILkNJUS5OWVNFOldNVC5JUV9aX1NDT1JFLklRX0xUTS00LjMvMjUv</t>
  </si>
  <si>
    <t>MjAyMi5MLkYBAAAA38YEAAIAAAAINC40MDYwNTIBCAAAAAUAAAABMQEAAAALLTIxMDc2ODU5NzcDAAAAAzE2MAIAAAAGMTAwMTIzBAAAAAEwBwAAAAkzLzI1LzIwMjIIAAAACTEvMzEvMjAyMQkAAAABMFsR18hODtoI3ftFy04O2ggtQ0lRLk5ZU0U6V01ULklRX1pfU0NPUkUuSVFfRlktNS4zLzI1LzIwMjIuTC5GAQAAAN/GBAACAAAACDQuNTAxMDY3AQgAAAAFAAAAATEBAAAACjE5NTE1NDAzMzUDAAAAAzE2MAIAAAAGMTAwMTIzBAAAAAEwBwAAAAkzLzI1LzIwMjIIAAAACTEvMzEvMjAxNwkAAAABMFsR18hODtoI3ftFy04O2gg3Q0lRLk5ZU0U6V01ULklRX0NBU0hfU1RfSU5WRVNULklRX0ZZLTIuMy8yNS8yMDIyLkwuLlVTRAEAAADfxgQAAgAAAAQ5NDY1AQgAAAAFAAAAATEBAAAACy0yMTA3Njg2MjkxAwAAAAMxNjACAAAABDEwMDIEAAAAATAHAAAACTMvMjUvMjAyMggAAAAJMS8zMS8yMDIwCQAAAAEwto7IxU4O2giL+T7LTg7aCC1DSVEuTllTRTpXTVQuSVFfTEwuSVFfTFRNLTQuMy8yNS8yMDIyLkwuRi5VU0QBAAAA38YEAAMAAAAAAMGmMcZODtoIavc/y04O2ggtQ0lRLk5ZU0U6V01ULklRX0xMLklRX0xUTS04LjMvMjUvMjAyMi5MLkYuVVNEAQAAAN/GBAADAAAAAAC2jsjFTg7aCGr3P8tODtoIMkNJUS5OWVNFOldNVC5JUV9ORVRfTE9BTlMuSVFfRlktMy4zLzI1LzIwMjIuTC4uVVNEAQAAAN/G</t>
  </si>
  <si>
    <t>BAADAAAAAAC2jsjFTg7aCD7EQMtODtoILENJUS5OWVNFOldNVC5JUV9MTC5JUV9GWS02LjMvMjUvMjAyMi5MLkYuVVNEAQAAAN/GBAADAAAAAADluMjFTg7aCGr3P8tODtoILENJUS5OWVNFOldNVC5JUV9MTC5JUV9GWS03LjMvMjUvMjAyMi5MLkYuVVNEAQAAAN/GBAADAAAAAAC2jsjFTg7aCGr3P8tODtoIOUNJUS5OWVNFOldNVC5JUV9UT1RBTF9PUEVSX0VYUEVOLklRX0xUTS4zLzI1LzIwMjIuTC5GLlVTRAEAAADfxgQAAgAAAAY1NDY4MTIBCAAAAAUAAAABMQEAAAALLTIxMDc2ODYwMDgDAAAAAzE2MAIAAAADMzczBAAAAAEwBwAAAAkzLzI1LzIwMjIIAAAACTEvMzEvMjAyMgkAAAABMLaOyMVODtoIHZU/y04O2ggrQ0lRLk5ZU0U6V01ULklRX0xMLklRX0xUTS4zLzI1LzIwMjIuTC5GLlVTRAEAAADfxgQAAwAAAAAAwaYxxk4O2ghq9z/LTg7aCDxDSVEuTllTRTpXTVQuSVFfVE9UQUxfQkFOS19DQVBJVEFMLklRX0ZZLTIuMy8yNS8yMDIyLkwuRi5VU0QBAAAA38YEAAMAAAAAALaOyMVODtoIgGxAy04O2ggsQ0lRLk5ZU0U6V01ULklRX0VCVC5JUV9GWS0zLjMvMjUvMjAyMi5MLi5VU0QBAAAA38YEAAIAAAAFMTE0NjABCAAAAAUAAAABMQEAAAAKMjA4NTEzMjkzMAMAAAADMTYwAgAAAAMxMzkEAAAAATAHAAAACTMvMjUvMjAyMggAAAAJMS8zMS8yMDE5CQAAAAEwto7IxU4O2ghQ60DLTg7aCCxDSVEu</t>
  </si>
  <si>
    <t>TllTRTpXTVQuSVFfTEwuSVFfRlktMS4zLzI1LzIwMjIuTC5GLlVTRAEAAADfxgQAAwAAAAAA5bjIxU4O2ghq9z/LTg7aCDJDSVEuTllTRTpXTVQuSVFfQUxMT1dfTEwuSVFfRlktNC4zLzI1LzIwMjIuTC5GLlVTRAEAAADfxgQAAwAAAAAA5bjIxU4O2ggbLUTLTg7aCDVDSVEuTllTRTpXTVQuSVFfR1JPU1NfTE9BTlMuSVFfRlktNC4zLzI1LzIwMjIuTC5GLlVTRAEAAADfxgQAAwAAAAAAto7IxU4O2ghhHkDLTg7aCDxDSVEuTllTRTpXTVQuSVFfUkVUVVJOX0FTU0VUU19CQU5LLklRX0ZZLTMuMy8yNS8yMDIyLkwuRi5VU0QBAAAA38YEAAIAAAAGNi40NzU5AQgAAAAFAAAAATEBAAAACjIwODUxMzI5MzADAAAAAzE2MAIAAAAENDE3OAQAAAABMAcAAAAJMy8yNS8yMDIyCAAAAAkxLzMxLzIwMTkJAAAAATC2jsjFTg7aCLKoP8tODtoIPENJUS5OWVNFOldNVC5JUV9UT1RBTF9CQU5LX0NBUElUQUwuSVFfRlktNC4zLzI1LzIwMjIuTC5GLlVTRAEAAADfxgQAAwAAAAAAto7IxU4O2gh/RUDLTg7aCDZDSVEuTllTRTpXTVQuSVFfVE9UQUxfQVNTRVRTLklRX0ZZLTQuMy8yNS8yMDIyLkwuRi5VU0QBAAAA38YEAAIAAAAGMjA0NTIyAQgAAAAFAAAAATEBAAAACjIwMjMyNDk2MTEDAAAAAzE2MAIAAAAEMTAwNwQAAAABMAcAAAAJMy8yNS8yMDIyCAAAAAkxLzMxLzIwMTgJAAAAATDluMjFTg7aCH9FQMtODtoILUNJ</t>
  </si>
  <si>
    <t>US5OWVNFOldNVC5JUV9FQlQuSVFfTFRNLTQuMy8yNS8yMDIyLkwuLlVTRAEAAADfxgQAAgAAAAUyMDU2NAEIAAAABQAAAAExAQAAAAstMjEwNzY4NTk3NwMAAAADMTYwAgAAAAMxMzkEAAAAATAHAAAACTMvMjUvMjAyMggAAAAJMS8zMS8yMDIxCQAAAAEwto7IxU4O2ghQ60DLTg7aCD1DSVEuTllTRTpXTVQuSVFfUkVUVVJOX0VRVUlUWV9CQU5LLklRX0xUTS00LjMvMjUvMjAyMi5MLkYuVVNEAQAAAN/GBAACAAAABzE2LjIxMjEBCAAAAAUAAAABMQEAAAALLTIxMDc2ODU5NzcDAAAAAzE2MAIAAAAENDEyOAQAAAABMAcAAAAJMy8yNS8yMDIyCAAAAAkxLzMxLzIwMjEJAAAAATC2jsjFTg7aCDUdP8tODtoIP0NJUS5OWVNFOldNVC5JUV9OT05fUEVSRk9STUlOR19MT0FOUy5JUV9MVE0tNC4zLzI1LzIwMjIuTC5GLlVTRAEAAADfxgQAAwAAAAAAto7IxU4O2ghhHkDLTg7aCDZDSVEuTllTRTpXTVQuSVFfVE9UQUxfTE9BTlMuSVFfTFRNLTQuMy8yNS8yMDIyLkwuRi5VU0QBAAAA38YEAAMAAAAAAOW4yMVODtoIYR5Ay04O2ggqQ0lRLk5ZU0U6V01ULklRX0VCVC5JUV9GWS4zLzI1LzIwMjIuTC4uVVNEAQAAAN/GBAACAAAABTE4Njk2AQgAAAAFAAAAATEBAAAACy0yMTA3Njg2MjgyAwAAAAMxNjACAAAAAzEzOQQAAAABMAcAAAAJMy8yNS8yMDIyCAAAAAkxLzMxLzIwMjIJAAAAATC2jsjFTg7aCFDrQMtODtoI</t>
  </si>
  <si>
    <t>K0NJUS5OWVNFOldNVC5JUV9OSS5JUV9GWS0yLjMvMjUvMjAyMi5MLi5VU0QBAAAA38YEAAIAAAAFMTQ4ODEBCAAAAAUAAAABMQEAAAALLTIxMDc2ODYyOTEDAAAAAzE2MAIAAAACMTUEAAAAATAHAAAACTMvMjUvMjAyMggAAAAJMS8zMS8yMDIwCQAAAAEwto7IxU4O2gjp+0LLTg7aCCxDSVEuTllTRTpXTVQuSVFfTkkuSVFfRlktNS4zLzI1LzIwMjIuTC5GLlVTRAEAAADfxgQAAgAAAAUxMzY0MwEIAAAABQAAAAExAQAAAAoxOTUxNTQwMzM1AwAAAAMxNjACAAAAAjE1BAAAAAEwBwAAAAkzLzI1LzIwMjIIAAAACTEvMzEvMjAxNwkAAAABMLaOyMVODtoIP9A/y04O2gg2Q0lRLk5ZU0U6V01ULklRX05VTV9CUkFOQ0hFUy5JUV9GWS01LjMvMjUvMjAyMi5MLkYuVVNEAQAAAN/GBAADAAAAAADBpjHGTg7aCGr3P8tODtoIOENJUS5OWVNFOldNVC5JUV9ORVRfSU5UX0lOQ19CTksuSVFfRlktNC4zLzI1LzIwMjIuTC4uVVNEAQAAAN/GBAADAAAAAAC2jsjFTg7aCFgSQctODtoIK0NJUS5OWVNFOldNVC5JUV9OSS5JUV9MVE0uMy8yNS8yMDIyLkwuRi5VU0QBAAAA38YEAAIAAAAFMTM2NzMBCAAAAAUAAAABMQEAAAALLTIxMDc2ODYwMDgDAAAAAzE2MAIAAAACMTUEAAAAATAHAAAACTMvMjUvMjAyMggAAAAJMS8zMS8yMDIyCQAAAAEwto7IxU4O2gg/0D/LTg7aCDZDSVEuTllTRTpXTVQuSVFfRElMVVRfRVBTX0VY</t>
  </si>
  <si>
    <t>Q0wuSVFfTFRNLjMvMjUvMjAyMi5MLi5VU0QBAAAA38YEAAIAAAAENC44NwEIAAAABQAAAAExAQAAAAstMjEwNzY4NjAwOAMAAAADMTYwAgAAAAMxNDIEAAAAATAHAAAACTMvMjUvMjAyMggAAAAJMS8zMS8yMDIyCQAAAAEwto7IxU4O2gg+xEDLTg7aCDhDSVEuTllTRTpXTVQuSVFfTkVUX0lOVF9JTkNfQk5LLklRX0ZZLTUuMy8yNS8yMDIyLkwuLlVTRAEAAADfxgQAAwAAAAAAto7IxU4O2ghYEkHLTg7aCDVDSVEuTllTRTpXTVQuSVFfVE9UQUxfTE9BTlMuSVFfRlktMy4zLzI1LzIwMjIuTC5GLlVTRAEAAADfxgQAAwAAAAAA5bjIxU4O2gitSETLTg7aCC5DSVEuTllTRTpXTVQuSVFfRUJJVC5JUV9GWS0xLjMvMjUvMjAyMi5MLkYuVVNEAQAAAN/GBAACAAAABTI2OTQ4AQgAAAAFAAAAATEBAAAACy0yMTA3Njg2MjgxAwAAAAMxNjACAAAAAzQwMAQAAAABMAcAAAAJMy8yNS8yMDIyCAAAAAkxLzMxLzIwMjEJAAAAATC2jsjFTg7aCLiws8tODtoIOUNJUS5OWVNFOldNVC5JUV9JTlZFTlRPUllfVFVSTlMuSVFfRlktMy4zLzI1LzIwMjIuTC5GLlVTRAEAAADfxgQAAgAAAAg4Ljc1MTY2OQEIAAAABQAAAAExAQAAAAoyMDg1MTMyOTMwAwAAAAMxNjACAAAABDQwODIEAAAAATAHAAAACTMvMjUvMjAyMggAAAAJMS8zMS8yMDE5CQAAAAEwto7IxU4O2gi00UHLTg7aCC1DSVEuTllTRTpXTVQuSVFfWl9TQ09SRS5J</t>
  </si>
  <si>
    <t>UV9GWS0xLjMvMjUvMjAyMi5MLkYBAAAA38YEAAIAAAAINC40MDYwNTIBCAAAAAUAAAABMQEAAAALLTIxMDc2ODYyODEDAAAAAzE2MAIAAAAGMTAwMTIzBAAAAAEwBwAAAAkzLzI1LzIwMjIIAAAACTEvMzEvMjAyMQkAAAABMFsR18hODtoI3ftFy04O2gg3Q0lRLk5ZU0U6V01ULklRX0NBU0hfU1RfSU5WRVNULklRX0ZZLTMuMy8yNS8yMDIyLkwuLlVTRAEAAADfxgQAAgAAAAQ3NzIyAQgAAAAFAAAAATEBAAAACjIwODUxMzI5MzADAAAAAzE2MAIAAAAEMTAwMgQAAAABMAcAAAAJMy8yNS8yMDIyCAAAAAkxLzMxLzIwMTkJAAAAATC2jsjFTg7aCILSPstODtoINkNJUS5OWVNFOldNVC5JUV9UT1RBTF9SRVZfQk5LLklRX0ZZLTIuMy8yNS8yMDIyLkwuLlVTRAEAAADfxgQAAwAAAAAAto7IxU4O2ghQ60DLTg7aCDVDSVEuTllTRTpXTVQuSVFfVE9UQUxfTE9BTlMuSVFfRlktMS4zLzI1LzIwMjIuTC5GLlVTRAEAAADfxgQAAwAAAAAAwaYxxk4O2gitVUTLTg7aCClDSVEuTllTRTpXTVQuSVFfTkkuSVFfRlkuMy8yNS8yMDIyLkwuLlVTRAEAAADfxgQAAgAAAAUxMzY3MwEIAAAABQAAAAExAQAAAAstMjEwNzY4NjI4MgMAAAADMTYwAgAAAAIxNQQAAAABMAcAAAAJMy8yNS8yMDIyCAAAAAkxLzMxLzIwMjIJAAAAATDBpjHGTg7aCOn7QstODtoIPENJUS5OWVNFOldNVC5JUV9OT05fUEVSRk9STUlOR19MT0FOUy5J</t>
  </si>
  <si>
    <t>UV9GWS4zLzI1LzIwMjIuTC5GLlVTRAEAAADfxgQAAwAAAAAAwaYxxk4O2gitVUTLTg7aCDNDSVEuTllTRTpXTVQuSVFfVE9UQUxfTE9BTlMuSVFfRlkuMy8yNS8yMDIyLkwuRi5VU0QBAAAA38YEAAMAAAAAAMGmMcZODtoIrVVEy04O2gg0Q0lRLk5ZU0U6V01ULklRX0NBU0hfRVFVSVYuSVFfRlktNC4zLzI1LzIwMjIuTC5GLlVTRAEAAADfxgQAAgAAAAQ2NzU2AQgAAAAFAAAAATEBAAAACjIwMjMyNDk2MTEDAAAAAzE2MAIAAAAEMTA5NgQAAAABMAcAAAAJMy8yNS8yMDIyCAAAAAkxLzMxLzIwMTgJAAAAATDBpjHGTg7aCFFpRMtODtoINENJUS5OWVNFOldNVC5JUV9FQklUREFfSU5ULklRX0ZZLTUuMy8yNS8yMDIyLkwuRi5VU0QBAAAA38YEAAIAAAAJMTMuODc1NzkyAQgAAAAFAAAAATEBAAAACjE5NTE1NDAzMzUDAAAAAzE2MAIAAAAENDE5MAQAAAABMAcAAAAJMy8yNS8yMDIyCAAAAAkxLzMxLzIwMTcJAAAAATC2jsjFTg7aCHnJQ8tODtoIQUNJUS5OWVNFOldNVC5JUV9UT1RBTF9ERUJUX0VCSVREQV9DQVBFWC5JUV9GWS0yLjMvMjUvMjAyMi5MLkYuVVNEAQAAAN/GBAACAAAACDIuOTEyMjI5AQgAAAAFAAAAATEBAAAACy0yMTA3Njg2MjkxAwAAAAMxNjACAAAABTIzMzEzBAAAAAEwBwAAAAkzLzI1LzIwMjIIAAAACTEvMzEvMjAyMAkAAAABMLaOyMVODtoIeclDy04O2gg0Q0lRLk5ZU0U6V01ULklR</t>
  </si>
  <si>
    <t>X0NBU0hfRVFVSVYuSVFfRlktNS4zLzI1LzIwMjIuTC5GLlVTRAEAAADfxgQAAgAAAAQ2ODY3AQgAAAAFAAAAATEBAAAACjE5NTE1NDAzMzUDAAAAAzE2MAIAAAAEMTA5NgQAAAABMAcAAAAJMy8yNS8yMDIyCAAAAAkxLzMxLzIwMTcJAAAAATDBpjHGTg7aCFFpRMtODtoIM0NJUS5OWVNFOldNVC5JUV9VRkNGX01BUkdJTi5JUV9GWS4zLzI1LzIwMjIuTC5GLlVTRAEAAADfxgQAAgAAAAYyLjc1MjkBCAAAAAUAAAABMQEAAAALLTIxMDc2ODYyODIDAAAAAzE2MAIAAAAENDQzNwQAAAABMAcAAAAJMy8yNS8yMDIyCAAAAAkxLzMxLzIwMjIJAAAAATC2jsjFTg7aCAwiQstODtoIN0NJUS5OWVNFOldNVC5JUV9SRVRVUk5fQVNTRVRTLklRX0ZZLTIuMy8yNS8yMDIyLkwuRi5VU0QBAAAA38YEAAIAAAAGNS44ODc1AQgAAAAFAAAAATEBAAAACy0yMTA3Njg2MjkxAwAAAAMxNjACAAAABDQxNzgEAAAAATAHAAAACTMvMjUvMjAyMggAAAAJMS8zMS8yMDIwCQAAAAEwto7IxU4O2giSvULLTg7aCDVDSVEuTllTRTpXTVQuSVFfQVNTRVRfVFVSTlMuSVFfRlktMi4zLzI1LzIwMjIuTC5GLlVTRAEAAADfxgQAAgAAAAgyLjI5OTE0NgEIAAAABQAAAAExAQAAAAstMjEwNzY4NjI5MQMAAAADMTYwAgAAAAQ0MTc3BAAAAAEwBwAAAAkzLzI1LzIwMjIIAAAACTEvMzEvMjAyMAkAAAABMLaOyMVODtoIiA5Cy04O2gg7Q0lRLk5Z</t>
  </si>
  <si>
    <t>U0U6V01ULklRX1RPVEFMX0RFQlRfQ0FQSVRBTC5JUV9MVE0uMy8yNS8yMDIyLkwuRi5VU0QBAAAA38YEAAIAAAAHMzguODY1MgEIAAAABQAAAAExAQAAAAstMjEwNzY4NjAwOAMAAAADMTYwAgAAAAQ0MTg2BAAAAAEwBwAAAAkzLzI1LzIwMjIIAAAACTEvMzEvMjAyMgkAAAABMLaOyMVODtoId2BBy04O2gg7Q0lRLk5ZU0U6V01ULklRX0ZJWEVEX0FTU0VUX1RVUk5TLklRX0ZZLTIuMy8yNS8yMDIyLkwuRi5VU0QBAAAA38YEAAIAAAAHNC4zOTQ4NgEIAAAABQAAAAExAQAAAAstMjEwNzY4NjI5MQMAAAADMTYwAgAAAAQ0MDY2BAAAAAEwBwAAAAkzLzI1LzIwMjIIAAAACTEvMzEvMjAyMAkAAAABMLaOyMVODtoIiA5Cy04O2ggrQ0lRLk5ZU0U6V01ULklRX0dQLklRX0ZZLTYuMy8yNS8yMDIyLkwuLlVTRAEAAADfxgQAAgAAAAYxMjExNDYBCAAAAAUAAAABMQEAAAAKMTg4MDcxODc2MgMAAAADMTYwAgAAAAIxMAQAAAABMAcAAAAJMy8yNS8yMDIyCAAAAAkxLzMxLzIwMTYJAAAAATC2jsjFTg7aCHl7Q8tODtoINUNJUS5OWVNFOldNVC5JUV9MRkNGX01BUkdJTi5JUV9GWS01LjMvMjUvMjAyMi5MLkYuVVNEAQAAAN/GBAACAAAABjMuNjg2MQEIAAAABQAAAAExAQAAAAoxOTUxNTQwMzM1AwAAAAMxNjACAAAABDQ0MzYEAAAAATAHAAAACTMvMjUvMjAyMggAAAAJMS8zMS8yMDE3CQAAAAEwto7IxU4O2ghbfkLL</t>
  </si>
  <si>
    <t>Tg7aCC9DSVEuTllTRTpXTVQuSVFfRUJJVERBLklRX0ZZLTIuMy8yNS8yMDIyLkwuLlVTRAEAAADfxgQAAgAAAAUzMjQ1NQEIAAAABQAAAAExAQAAAAstMjEwNzY4NjI5MQMAAAADMTYwAgAAAAQ0MDUxBAAAAAEwBwAAAAkzLzI1LzIwMjIIAAAACTEvMzEvMjAyMAkAAAABMLaOyMVODtoIUVRDy04O2ggzQ0lRLk5ZU0U6V01ULklRX0FSX1RVUk5TLklRX0xUTS00LjMvMjUvMjAyMi5MLkYuVVNEAQAAAN/GBAACAAAACTg3LjM2NzM0MwEIAAAABQAAAAExAQAAAAstMjEwNzY4NTk3NwMAAAADMTYwAgAAAAQ0MDAxBAAAAAEwBwAAAAkzLzI1LzIwMjIIAAAACTEvMzEvMjAyMQkAAAABMLaOyMVODtoIp/JBy04O2gg3Q0lRLk5ZU0U6V01ULklRX1JFVFVSTl9BU1NFVFMuSVFfRlktMy4zLzI1LzIwMjIuTC5GLlVTRAEAAADfxgQAAgAAAAY2LjQ3NTkBCAAAAAUAAAABMQEAAAAKMjA4NTEzMjkzMAMAAAADMTYwAgAAAAQ0MTc4BAAAAAEwBwAAAAkzLzI1LzIwMjIIAAAACTEvMzEvMjAxOQkAAAABMLaOyMVODtoIkr1Cy04O2gg7Q0lRLk5ZU0U6V01ULklRX1RPVEFMX0RFQlRfRUJJVERBLklRX0ZZLTQuMy8yNS8yMDIyLkwuRi5VU0QBAAAA38YEAAIAAAAIMS40ODMyODMBCAAAAAUAAAABMQEAAAAKMjAyMzI0OTYxMQMAAAADMTYwAgAAAAQ0MTkyBAAAAAEwBwAAAAkzLzI1LzIwMjIIAAAACTEvMzEvMjAxOAkAAAAB</t>
  </si>
  <si>
    <t>MOW4yMVODtoIeclDy04O2gg6Q0lRLk5ZU0U6V01ULklRX0ZJWEVEX0FTU0VUX1RVUk5TLklRX0xUTS4zLzI1LzIwMjIuTC5GLlVTRAEAAADfxgQAAgAAAAg1LjE0ODk5OAEIAAAABQAAAAExAQAAAAstMjEwNzY4NjAwOAMAAAADMTYwAgAAAAQ0MDY2BAAAAAEwBwAAAAkzLzI1LzIwMjIIAAAACTEvMzEvMjAyMgkAAAABMLaOyMVODtoI6vpBy04O2gg3Q0lRLk5ZU0U6V01ULklRX1JFVFVSTl9BU1NFVFMuSVFfRlktNC4zLzI1LzIwMjIuTC5GLlVTRAEAAADfxgQAAgAAAAY2LjQ4ODUBCAAAAAUAAAABMQEAAAAKMjAyMzI0OTYxMQMAAAADMTYwAgAAAAQ0MTc4BAAAAAEwBwAAAAkzLzI1LzIwMjIIAAAACTEvMzEvMjAxOAkAAAABMLaOyMVODtoIkr1Cy04O2gg2Q0lRLk5ZU0U6V01ULklRX1RPVEFMX1JFVkVOVUUuSVFfRlktNi4zLzI1LzIwMjIuTC4uVVNEAQAAAN/GBAACAAAABjQ4MjEzMAEIAAAABQAAAAExAQAAAAoxODgwNzE4NzYyAwAAAAMxNjACAAAAAjI4BAAAAAEwBwAAAAkzLzI1LzIwMjIIAAAACTEvMzEvMjAxNgkAAAABMLaOyMVODtoIZqJDy04O2gg1Q0lRLk5ZU0U6V01ULklRX0xGQ0ZfTUFSR0lOLklRX0ZZLTEuMy8yNS8yMDIyLkwuRi5VU0QBAAAA38YEAAIAAAAGMi43MzA1AQgAAAAFAAAAATEBAAAACy0yMTA3Njg2MjgxAwAAAAMxNjACAAAABDQ0MzYEAAAAATAHAAAACTMvMjUvMjAyMggA</t>
  </si>
  <si>
    <t>AAAJMS8zMS8yMDIxCQAAAAEwto7IxU4O2gj1VkLLTg7aCDpDSVEuTllTRTpXTVQuSVFfVE9UQUxfREVCVF9FQklUREEuSVFfTFRNLjMvMjUvMjAyMi5MLkYuVVNEAQAAAN/GBAACAAAACDEuNDcxNTk3AQgAAAAFAAAAATEBAAAACy0yMTA3Njg2MDA4AwAAAAMxNjACAAAABDQxOTIEAAAAATAHAAAACTMvMjUvMjAyMggAAAAJMS8zMS8yMDIyCQAAAAEwto7IxU4O2gh3YEHLTg7aCDJDSVEuTllTRTpXTVQuSVFfQVJfVFVSTlMuSVFfRlktMi4zLzI1LzIwMjIuTC5GLlVTRAEAAADfxgQAAgAAAAk4My4zODcyODQBCAAAAAUAAAABMQEAAAALLTIxMDc2ODYyOTEDAAAAAzE2MAIAAAAENDAwMQQAAAABMAcAAAAJMy8yNS8yMDIyCAAAAAkxLzMxLzIwMjAJAAAAATC2jsjFTg7aCJbrQctODtoIK0NJUS5OWVNFOldNVC5JUV9HUC5JUV9GWS00LjMvMjUvMjAyMi5MLi5VU0QBAAAA38YEAAIAAAAGMTI2OTQ3AQgAAAAFAAAAATEBAAAACjIwMjMyNDk2MTEDAAAAAzE2MAIAAAACMTAEAAAAATAHAAAACTMvMjUvMjAyMggAAAAJMS8zMS8yMDE4CQAAAAEwto7IxU4O2gh5e0PLTg7aCDxDSVEuTllTRTpXTVQuSVFfVE9UQUxfREVCVF9FQklUREEuSVFfTFRNLTQuMy8yNS8yMDIyLkwuRi5VU0QBAAAA38YEAAIAAAAIMS41MzMzODMBCAAAAAUAAAABMQEAAAALLTIxMDc2ODU5NzcDAAAAAzE2MAIAAAAENDE5MgQAAAABMAcA</t>
  </si>
  <si>
    <t>AAAJMy8yNS8yMDIyCAAAAAkxLzMxLzIwMjEJAAAAATC2jsjFTg7aCHdgQctODtoINkNJUS5OWVNFOldNVC5JUV9BU1NFVF9UVVJOUy5JUV9MVE0tNC4zLzI1LzIwMjIuTC5GLlVTRAEAAADfxgQAAgAAAAgyLjI4Njk1OAEIAAAABQAAAAExAQAAAAstMjEwNzY4NTk3NwMAAAADMTYwAgAAAAQ0MTc3BAAAAAEwBwAAAAkzLzI1LzIwMjIIAAAACTEvMzEvMjAyMQkAAAABMLaOyMVODtoIDCJCy04O2gg4Q0lRLk5ZU0U6V01ULklRX0RJTFVUX0VQU19JTkNMLklRX0ZZLTEuMy8yNS8yMDIyLkwuRi5VU0QBAAAA38YEAAIAAAAENC43NQEIAAAABQAAAAExAQAAAAstMjEwNzY4NjI4MQMAAAADMTYwAgAAAAE4BAAAAAEwBwAAAAkzLzI1LzIwMjIIAAAACTEvMzEvMjAyMQkAAAABMLaOyMVODtoIIthCy04O2ggtQ0lRLk5ZU0U6V01ULklRX1pfU0NPUkUuSVFfRlktMi4zLzI1LzIwMjIuTC5GAQAAAN/GBAACAAAACDQuMTQ5NTQ5AQgAAAAFAAAAATEBAAAACy0yMTA3Njg2MjkxAwAAAAMxNjACAAAABjEwMDEyMwQAAAABMAcAAAAJMy8yNS8yMDIyCAAAAAkxLzMxLzIwMjAJAAAAATBbEdfITg7aCN37RctODtoIMkNJUS5OWVNFOldNVC5JUV9BTExPV19MTC5JUV9GWS01LjMvMjUvMjAyMi5MLkYuVVNEAQAAAN/GBAADAAAAAADluMjFTg7aCK4lRMtODtoINUNJUS5OWVNFOldNVC5JUV9HUk9TU19MT0FOUy5JUV9GWS01</t>
  </si>
  <si>
    <t>LjMvMjUvMjAyMi5MLkYuVVNEAQAAAN/GBAADAAAAAAC2jsjFTg7aCH9FQMtODtoIOUNJUS5OWVNFOldNVC5JUV9USUVSX09ORV9DQVBJVEFMLklRX0xUTS4zLzI1LzIwMjIuTC5GLlVTRAEAAADfxgQAAwAAAAAAto7IxU4O2giQk0DLTg7aCDlDSVEuTllTRTpXTVQuSVFfVElFUl9UV09fQ0FQSVRBTC5JUV9MVE0uMy8yNS8yMDIyLkwuRi5VU0QBAAAA38YEAAMAAAAAALaOyMVODtoIkJNAy04O2ggrQ0lRLk5ZU0U6V01ULklRX0dXLklRX0xUTS4zLzI1LzIwMjIuTC5GLlVTRAEAAADfxgQAAgAAAAUyOTAxNAEIAAAABQAAAAExAQAAAAstMjEwNzY4NjAwOAMAAAADMTYwAgAAAAQxMTcxBAAAAAEwBwAAAAkzLzI1LzIwMjIIAAAACTEvMzEvMjAyMgkAAAABMLaOyMVODtoIkJNAy04O2gg9Q0lRLk5ZU0U6V01ULklRX1JJU0tfQURKX0JBTktfQVNTRVRTLklRX0xUTS4zLzI1LzIwMjIuTC5GLlVTRAEAAADfxgQAAwAAAAAAto7IxU4O2giQk0DLTg7aCDpDSVEuTllTRTpXTVQuSVFfVE9UQUxfT1BFUl9FWFBFTi5JUV9GWS02LjMvMjUvMjAyMi5MLkYuVVNEAQAAAN/GBAACAAAABjQ1ODAyNQEIAAAABQAAAAExAQAAAAoxODgwNzE4NzYyAwAAAAMxNjACAAAAAzM3MwQAAAABMAcAAAAJMy8yNS8yMDIyCAAAAAkxLzMxLzIwMTYJAAAAATC2jsjFTg7aCD/QP8tODtoIOENJUS5OWVNFOldNVC5JUV9USUVSX09ORV9D</t>
  </si>
  <si>
    <t>QVBJVEFMLklRX0ZZLjMvMjUvMjAyMi5MLkYuVVNEAQAAAN/GBAADAAAAAAC2jsjFTg7aCIBsQMtODtoIOENJUS5OWVNFOldNVC5JUV9USUVSX1RXT19DQVBJVEFMLklRX0ZZLjMvMjUvMjAyMi5MLkYuVVNEAQAAAN/GBAADAAAAAAC2jsjFTg7aCIBsQMtODtoIKkNJUS5OWVNFOldNVC5JUV9HVy5JUV9GWS4zLzI1LzIwMjIuTC5GLlVTRAEAAADfxgQAAgAAAAUyOTAxNAEIAAAABQAAAAExAQAAAAstMjEwNzY4NjI4MgMAAAADMTYwAgAAAAQxMTcxBAAAAAEwBwAAAAkzLzI1LzIwMjIIAAAACTEvMzEvMjAyMgkAAAABMLaOyMVODtoIgGxAy04O2gg8Q0lRLk5ZU0U6V01ULklRX1JJU0tfQURKX0JBTktfQVNTRVRTLklRX0ZZLjMvMjUvMjAyMi5MLkYuVVNEAQAAAN/GBAADAAAAAAC2jsjFTg7aCIBsQMtODtoILENJUS5OWVNFOldNVC5JUV9FQlQuSVFfRlktNS4zLzI1LzIwMjIuTC4uVVNEAQAAAN/GBAACAAAABTIwNDk3AQgAAAAFAAAAATEBAAAACjE5NTE1NDAzMzUDAAAAAzE2MAIAAAADMTM5BAAAAAEwBwAAAAkzLzI1LzIwMjIIAAAACTEvMzEvMjAxNwkAAAABMLaOyMVODtoIUOtAy04O2gg3Q0lRLk5ZU0U6V01ULklRX0NBU0hfU1RfSU5WRVNULklRX0ZZLTQuMy8yNS8yMDIyLkwuLlVTRAEAAADfxgQAAgAAAAQ2NzU2AQgAAAAFAAAAATEBAAAACjIwMjMyNDk2MTEDAAAAAzE2MAIAAAAEMTAwMgQAAAAB</t>
  </si>
  <si>
    <t>MAcAAAAJMy8yNS8yMDIyCAAAAAkxLzMxLzIwMTgJAAAAATC2jsjFTg7aCILSPstODtoIM0NJUS5OWVNFOldNVC5JUV9BTExPV19MTC5JUV9MVE0tNC4zLzI1LzIwMjIuTC5GLlVTRAEAAADfxgQAAwAAAAAAto7IxU4O2ghhHkDLTg7aCDZDSVEuTllTRTpXTVQuSVFfR1JPU1NfTE9BTlMuSVFfTFRNLTQuMy8yNS8yMDIyLkwuRi5VU0QBAAAA38YEAAMAAAAAALaOyMVODtoIYR5Ay04O2ggrQ0lRLk5ZU0U6V01ULklRX05JLklRX0ZZLTUuMy8yNS8yMDIyLkwuLlVTRAEAAADfxgQAAgAAAAUxMzY0MwEIAAAABQAAAAExAQAAAAoxOTUxNTQwMzM1AwAAAAMxNjACAAAAAjE1BAAAAAEwBwAAAAkzLzI1LzIwMjIIAAAACTEvMzEvMjAxNwkAAAABMMGmMcZODtoI6ftCy04O2gg6Q0lRLk5ZU0U6V01ULklRX1RPVEFMX0JBTktfQ0FQSVRBTC5JUV9GWS4zLzI1LzIwMjIuTC5GLlVTRAEAAADfxgQAAwAAAAAAto7IxU4O2giAbEDLTg7aCDhDSVEuTllTRTpXTVQuSVFfVE9UQUxfT1BFUl9FWFBFTi5JUV9GWS4zLzI1LzIwMjIuTC5GLlVTRAEAAADfxgQAAgAAAAY1NDY4MTIBCAAAAAUAAAABMQEAAAALLTIxMDc2ODYyODIDAAAAAzE2MAIAAAADMzczBAAAAAEwBwAAAAkzLzI1LzIwMjIIAAAACTEvMzEvMjAyMgkAAAABMLaOyMVODtoIsqg/y04O2ggqQ0lRLk5ZU0U6V01ULklRX0xMLklRX0ZZLjMvMjUvMjAyMi5MLkYu</t>
  </si>
  <si>
    <t>VVNEAQAAAN/GBAADAAAAAADluMjFTg7aCGr3P8tODtoIOkNJUS5OWVNFOldNVC5JUV9USUVSX09ORV9DQVBJVEFMLklRX0ZZLTIuMy8yNS8yMDIyLkwuRi5VU0QBAAAA38YEAAMAAAAAALaOyMVODtoInLpAy04O2gg6Q0lRLk5ZU0U6V01ULklRX1RJRVJfVFdPX0NBUElUQUwuSVFfRlktMi4zLzI1LzIwMjIuTC5GLlVTRAEAAADfxgQAAwAAAAAAto7IxU4O2gicukDLTg7aCCxDSVEuTllTRTpXTVQuSVFfR1cuSVFfRlktMi4zLzI1LzIwMjIuTC5GLlVTRAEAAADfxgQAAgAAAAUzMTA3MwEIAAAABQAAAAExAQAAAAstMjEwNzY4NjI5MQMAAAADMTYwAgAAAAQxMTcxBAAAAAEwBwAAAAkzLzI1LzIwMjIIAAAACTEvMzEvMjAyMAkAAAABMLaOyMVODtoIRr9Ay04O2gg+Q0lRLk5ZU0U6V01ULklRX1JJU0tfQURKX0JBTktfQVNTRVRTLklRX0ZZLTIuMy8yNS8yMDIyLkwuRi5VU0QBAAAA38YEAAMAAAAAALaOyMVODtoIRr9Ay04O2gg2Q0lRLk5ZU0U6V01ULklRX1RPVEFMX1JFVl9CTksuSVFfRlktMy4zLzI1LzIwMjIuTC4uVVNEAQAAAN/GBAADAAAAAAC2jsjFTg7aCFDrQMtODtoIPENJUS5OWVNFOldNVC5JUV9SRVRVUk5fQVNTRVRTX0JBTksuSVFfRlktNC4zLzI1LzIwMjIuTC5GLlVTRAEAAADfxgQAAgAAAAY2LjQ4ODUBCAAAAAUAAAABMQEAAAAKMjAyMzI0OTYxMQMAAAADMTYwAgAAAAQ0MTc4BAAAAAEw</t>
  </si>
  <si>
    <t>BwAAAAkzLzI1LzIwMjIIAAAACTEvMzEvMjAxOAkAAAABMLaOyMVODtoIsqg/y04O2gg8Q0lRLk5ZU0U6V01ULklRX1RPVEFMX0JBTktfQ0FQSVRBTC5JUV9GWS01LjMvMjUvMjAyMi5MLkYuVVNEAQAAAN/GBAADAAAAAAC2jsjFTg7aCJCTQMtODtoIN0NJUS5OWVNFOldNVC5JUV9ORVRfSU5UX0lOQ19CTksuSVFfTFRNLjMvMjUvMjAyMi5MLi5VU0QBAAAA38YEAAMAAAAAALaOyMVODtoIWBJBy04O2gg3Q0lRLk5ZU0U6V01ULklRX0RJTFVUX0VQU19FWENMLklRX0ZZLTUuMy8yNS8yMDIyLkwuLlVTRAEAAADfxgQAAgAAAAQ0LjM4AQgAAAAFAAAAATEBAAAACjE5NTE1NDAzMzUDAAAAAzE2MAIAAAADMTQyBAAAAAEwBwAAAAkzLzI1LzIwMjIIAAAACTEvMzEvMjAxNwkAAAABMLaOyMVODtoIPsRAy04O2gg1Q0lRLk5ZU0U6V01ULklRX0NBU0hfU1RfSU5WRVNULklRX0ZZLjMvMjUvMjAyMi5MLi5VU0QBAAAA38YEAAIAAAAFMTQ3NjABCAAAAAUAAAABMQEAAAALLTIxMDc2ODYyODIDAAAAAzE2MAIAAAAEMTAwMgQAAAABMAcAAAAJMy8yNS8yMDIyCAAAAAkxLzMxLzIwMjIJAAAAATC2jsjFTg7aCILSPstODtoILENJUS5OWVNFOldNVC5JUV9OSS5JUV9GWS02LjMvMjUvMjAyMi5MLkYuVVNEAQAAAN/GBAACAAAABTE0Njk0AQgAAAAFAAAAATEBAAAACjE4ODA3MTg3NjIDAAAAAzE2MAIAAAACMTUEAAAAATAH</t>
  </si>
  <si>
    <t>AAAACTMvMjUvMjAyMggAAAAJMS8zMS8yMDE2CQAAAAEwto7IxU4O2gg/0D/LTg7aCDdDSVEuTllTRTpXTVQuSVFfRElMVVRfRVBTX0VYQ0wuSVFfRlktNi4zLzI1LzIwMjIuTC4uVVNEAQAAAN/GBAACAAAABDQuNTcBCAAAAAUAAAABMQEAAAAKMTg4MDcxODc2MgMAAAADMTYwAgAAAAMxNDIEAAAAATAHAAAACTMvMjUvMjAyMggAAAAJMS8zMS8yMDE2CQAAAAEwto7IxU4O2gg+xEDLTg7aCDRDSVEuTllTRTpXTVQuSVFfRUJJVERBX0lOVC5JUV9GWS0xLjMvMjUvMjAyMi5MLkYuVVNEAQAAAN/GBAACAAAACTE3LjkyNzg2MQEIAAAABQAAAAExAQAAAAstMjEwNzY4NjI4MQMAAAADMTYwAgAAAAQ0MTkwBAAAAAEwBwAAAAkzLzI1LzIwMjIIAAAACTEvMzEvMjAyMQkAAAABMLaOyMVODtoIZqJDy04O2ggzQ0lRLk5ZU0U6V01ULklRX0NBU0hfRVFVSVYuSVFfTFRNLjMvMjUvMjAyMi5MLkYuVVNEAQAAAN/GBAACAAAABTE0NzYwAQgAAAAFAAAAATEBAAAACy0yMTA3Njg2MDA4AwAAAAMxNjACAAAABDEwOTYEAAAAATAHAAAACTMvMjUvMjAyMggAAAAJMS8zMS8yMDIyCQAAAAEwto7IxU4O2ghYEkHLTg7aCDpDSVEuTllTRTpXTVQuSVFfSU5WRU5UT1JZX1RVUk5TLklRX0xUTS00LjMvMjUvMjAyMi5MLkYuVVNEAQAAAN/GBAACAAAACDkuNDA0NzAzAQgAAAAFAAAAATEBAAAACy0yMTA3Njg1OTc3AwAAAAMxNjAC</t>
  </si>
  <si>
    <t>AAAABDQwODIEAAAAATAHAAAACTMvMjUvMjAyMggAAAAJMS8zMS8yMDIxCQAAAAEwto7IxU4O2ggyvkHLTg7aCDlDSVEuTllTRTpXTVQuSVFfQ0FTSF9TVF9JTlZFU1QuSVFfTFRNLTQuMy8yNS8yMDIyLkwuRi5VU0QBAAAA38YEAAIAAAAFMTc3NDEBCAAAAAUAAAABMQEAAAALLTIxMDc2ODU5NzcDAAAAAzE2MAIAAAAEMTAwMgQAAAABMAcAAAAJMy8yNS8yMDIyCAAAAAkxLzMxLzIwMjEJAAAAATC2jsjFTg7aCFgSQctODtoIN0NJUS5OWVNFOldNVC5JUV9SRVRVUk5fQVNTRVRTLklRX0ZZLTUuMy8yNS8yMDIyLkwuRi5VU0QBAAAA38YEAAIAAAAGNy4xNDIyAQgAAAAFAAAAATEBAAAACjE5NTE1NDAzMzUDAAAAAzE2MAIAAAAENDE3OAQAAAABMAcAAAAJMy8yNS8yMDIyCAAAAAkxLzMxLzIwMTcJAAAAATC2jsjFTg7aCCLYQstODtoIN0NJUS5OWVNFOldNVC5JUV9FQklUREFfTUFSR0lOLklRX0ZZLTEuMy8yNS8yMDIyLkwuRi5VU0QBAAAA38YEAAIAAAAGNi44MTM5AQgAAAAFAAAAATEBAAAACy0yMTA3Njg2MjgxAwAAAAMxNjACAAAABDQwNDcEAAAAATAHAAAACTMvMjUvMjAyMggAAAAJMS8zMS8yMDIxCQAAAAEwto7IxU4O2ghbfkLLTg7aCDtDSVEuTllTRTpXTVQuSVFfVElFUl9PTkVfQ0FQSVRBTC5JUV9MVE0tNC4zLzI1LzIwMjIuTC5GLlVTRAEAAADfxgQAAwAAAAAAto7IxU4O2giAbEDLTg7aCDtD</t>
  </si>
  <si>
    <t>SVEuTllTRTpXTVQuSVFfVElFUl9UV09fQ0FQSVRBTC5JUV9MVE0tNC4zLzI1LzIwMjIuTC5GLlVTRAEAAADfxgQAAwAAAAAAto7IxU4O2giAbEDLTg7aCC1DSVEuTllTRTpXTVQuSVFfR1cuSVFfTFRNLTQuMy8yNS8yMDIyLkwuRi5VU0QBAAAA38YEAAIAAAAFMjg5ODMBCAAAAAUAAAABMQEAAAALLTIxMDc2ODU5NzcDAAAAAzE2MAIAAAAEMTE3MQQAAAABMAcAAAAJMy8yNS8yMDIyCAAAAAkxLzMxLzIwMjEJAAAAATC2jsjFTg7aCIBsQMtODtoIP0NJUS5OWVNFOldNVC5JUV9SSVNLX0FESl9CQU5LX0FTU0VUUy5JUV9MVE0tNC4zLzI1LzIwMjIuTC5GLlVTRAEAAADfxgQAAwAAAAAAto7IxU4O2giAbEDLTg7aCDpDSVEuTllTRTpXTVQuSVFfVElFUl9PTkVfQ0FQSVRBTC5JUV9GWS0xLjMvMjUvMjAyMi5MLkYuVVNEAQAAAN/GBAADAAAAAACFtsjFTg7aCIBsQMtODtoIOkNJUS5OWVNFOldNVC5JUV9USUVSX1RXT19DQVBJVEFMLklRX0ZZLTEuMy8yNS8yMDIyLkwuRi5VU0QBAAAA38YEAAMAAAAAAIW2yMVODtoIgGxAy04O2ggsQ0lRLk5ZU0U6V01ULklRX0dXLklRX0ZZLTEuMy8yNS8yMDIyLkwuRi5VU0QBAAAA38YEAAIAAAAFMjg5ODMBCAAAAAUAAAABMQEAAAALLTIxMDc2ODYyODEDAAAAAzE2MAIAAAAEMTE3MQQAAAABMAcAAAAJMy8yNS8yMDIyCAAAAAkxLzMxLzIwMjEJAAAAATCFtsjFTg7aCIBs</t>
  </si>
  <si>
    <t>QMtODtoIPkNJUS5OWVNFOldNVC5JUV9SSVNLX0FESl9CQU5LX0FTU0VUUy5JUV9GWS0xLjMvMjUvMjAyMi5MLkYuVVNEAQAAAN/GBAADAAAAAACFtsjFTg7aCIBsQMtODtoIPENJUS5OWVNFOldNVC5JUV9SRVRVUk5fRVFVSVRZX0JBTksuSVFfRlktMi4zLzI1LzIwMjIuTC5GLlVTRAEAAADfxgQAAgAAAAcxOC44NjE0AQgAAAAFAAAAATEBAAAACy0yMTA3Njg2MjkxAwAAAAMxNjACAAAABDQxMjgEAAAAATAHAAAACTMvMjUvMjAyMggAAAAJMS8zMS8yMDIwCQAAAAEwhbbIxU4O2ggIUz/LTg7aCCtDSVEuTllTRTpXTVQuSVFfTkkuSVFfRlktMS4zLzI1LzIwMjIuTC4uVVNEAQAAAN/GBAACAAAABTEzNTEwAQgAAAAFAAAAATEBAAAACy0yMTA3Njg2MjgxAwAAAAMxNjACAAAAAjE1BAAAAAEwBwAAAAkzLzI1LzIwMjIIAAAACTEvMzEvMjAyMQkAAAABMMGmMcZODtoI6ftCy04O2gg0Q0lRLk5ZU0U6V01ULklRX0NBU0hfRVFVSVYuSVFfRlktMi4zLzI1LzIwMjIuTC5GLlVTRAEAAADfxgQAAgAAAAQ5NDY1AQgAAAAFAAAAATEBAAAACy0yMTA3Njg2MjkxAwAAAAMxNjACAAAABDEwOTYEAAAAATAHAAAACTMvMjUvMjAyMggAAAAJMS8zMS8yMDIwCQAAAAEwwaYxxk4O2ghRaUTLTg7aCC5DSVEuTllTRTpXTVQuSVFfRUJJVC5JUV9GWS01LjMvMjUvMjAyMi5MLkYuVVNEAQAAAN/GBAACAAAABTIyNzY0AQgAAAAF</t>
  </si>
  <si>
    <t>AAAAATEBAAAACjE5NTE1NDAzMzUDAAAAAzE2MAIAAAADNDAwBAAAAAEwBwAAAAkzLzI1LzIwMjIIAAAACTEvMzEvMjAxNwkAAAABMIW2yMVODtoIuLCzy04O2ggzQ0lRLk5ZU0U6V01ULklRX1BFUklPRERBVEVfQlMuSVFfTFRNLTQuMy8yNS8yMDIyLi5GAQAAAN/GBAAFAAAACTEvMzEvMjAyMQBd6tbITg7aCNXURctODtoINENJUS5OWVNFOldNVC5JUV9FQklUREFfSU5ULklRX0ZZLTQuMy8yNS8yMDIyLkwuRi5VU0QBAAAA38YEAAIAAAAJMTMuNTA0NzIxAQgAAAAFAAAAATEBAAAACjIwMjMyNDk2MTEDAAAAAzE2MAIAAAAENDE5MAQAAAABMAcAAAAJMy8yNS8yMDIyCAAAAAkxLzMxLzIwMTgJAAAAATCFtsjFTg7aCGaiQ8tODtoIPENJUS5OWVNFOldNVC5JUV9UT1RBTF9ERUJUX0NBUElUQUwuSVFfRlktNi4zLzI1LzIwMjIuTC5GLlVTRAEAAADfxgQAAgAAAAczNy43ODE1AQgAAAAFAAAAATEBAAAACjE4ODA3MTg3NjIDAAAAAzE2MAIAAAAENDE4NgQAAAABMAcAAAAJMy8yNS8yMDIyCAAAAAkxLzMxLzIwMTYJAAAAATDluMjFTg7aCHnJQ8tODtoINENJUS5OWVNFOldNVC5JUV9FQklUREFfSU5ULklRX0ZZLTIuMy8yNS8yMDIyLkwuRi5VU0QBAAAA38YEAAIAAAAJMTMuNzgwNjg0AQgAAAAFAAAAATEBAAAACy0yMTA3Njg2MjkxAwAAAAMxNjACAAAABDQxOTAEAAAAATAHAAAACTMvMjUvMjAyMggAAAAJ</t>
  </si>
  <si>
    <t>MS8zMS8yMDIwCQAAAAEw5bjIxU4O2ghmokPLTg7aCDZDSVEuTllTRTpXTVQuSVFfVE9UQUxfUkVWRU5VRS5JUV9GWS00LjMvMjUvMjAyMi5MLi5VU0QBAAAA38YEAAIAAAAGNTAwMzQzAQgAAAAFAAAAATEBAAAACjIwMjMyNDk2MTEDAAAAAzE2MAIAAAACMjgEAAAAATAHAAAACTMvMjUvMjAyMggAAAAJMS8zMS8yMDE4CQAAAAEw5bjIxU4O2ghmokPLTg7aCDpDSVEuTllTRTpXTVQuSVFfVE9UQUxfREVCVF9FUVVJVFkuSVFfTFRNLjMvMjUvMjAyMi5MLkYuVVNEAQAAAN/GBAACAAAABzYzLjU3MzEBCAAAAAUAAAABMQEAAAALLTIxMDc2ODYwMDgDAAAAAzE2MAIAAAAENDAzNAQAAAABMAcAAAAJMy8yNS8yMDIyCAAAAAkxLzMxLzIwMjIJAAAAATDluMjFTg7aCIeHQctODtoIO0NJUS5OWVNFOldNVC5JUV9UT1RBTF9ERUJUX0VCSVREQS5JUV9GWS0yLjMvMjUvMjAyMi5MLkYuVVNEAQAAAN/GBAACAAAACDIuMDQxNzk2AQgAAAAFAAAAATEBAAAACy0yMTA3Njg2MjkxAwAAAAMxNjACAAAABDQxOTIEAAAAATAHAAAACTMvMjUvMjAyMggAAAAJMS8zMS8yMDIwCQAAAAEw5bjIxU4O2gg97EPLTg7aCClDSVEuTllTRTpXTVQuSVFfR1AuSVFfRlkuMy8yNS8yMDIyLkwuLlVTRAEAAADfxgQAAgAAAAYxNDM3NTQBCAAAAAUAAAABMQEAAAALLTIxMDc2ODYyODIDAAAAAzE2MAIAAAACMTAEAAAAATAHAAAACTMvMjUv</t>
  </si>
  <si>
    <t>MjAyMggAAAAJMS8zMS8yMDIyCQAAAAEw5bjIxU4O2gh5e0PLTg7aCDNDSVEuTllTRTpXTVQuSVFfQVNTRVRfVFVSTlMuSVFfRlkuMy8yNS8yMDIyLkwuRi5VU0QBAAAA38YEAAIAAAAIMi4zMDMxOTUBCAAAAAUAAAABMQEAAAALLTIxMDc2ODYyODIDAAAAAzE2MAIAAAAENDE3NwQAAAABMAcAAAAJMy8yNS8yMDIyCAAAAAkxLzMxLzIwMjIJAAAAATDluMjFTg7aCAwiQstODtoIOENJUS5OWVNFOldNVC5JUV9ESUxVVF9FUFNfSU5DTC5JUV9GWS0yLjMvMjUvMjAyMi5MLkYuVVNEAQAAAN/GBAACAAAABDUuMTkBCAAAAAUAAAABMQEAAAALLTIxMDc2ODYyOTEDAAAAAzE2MAIAAAABOAQAAAABMAcAAAAJMy8yNS8yMDIyCAAAAAkxLzMxLzIwMjAJAAAAATDluMjFTg7aCAbuQstODtoINkNJUS5OWVNFOldNVC5JUV9UT1RBTF9SRVZFTlVFLklRX0ZZLTIuMy8yNS8yMDIyLkwuLlVTRAEAAADfxgQAAgAAAAY1MjM5NjQBCAAAAAUAAAABMQEAAAALLTIxMDc2ODYyOTEDAAAAAzE2MAIAAAACMjgEAAAAATAHAAAACTMvMjUvMjAyMggAAAAJMS8zMS8yMDIwCQAAAAEw5bjIxU4O2ghmokPLTg7aCDVDSVEuTllTRTpXTVQuSVFfUVVJQ0tfUkFUSU8uSVFfRlktMy4zLzI1LzIwMjIuTC5GLlVTRAEAAADfxgQAAgAAAAgwLjE4MDc2MwEIAAAABQAAAAExAQAAAAoyMDg1MTMyOTMwAwAAAAMxNjACAAAABDQxMjEEAAAAATAH</t>
  </si>
  <si>
    <t>AAAACTMvMjUvMjAyMggAAAAJMS8zMS8yMDE5CQAAAAEw5bjIxU4O2gijqkHLTg7aCDdDSVEuTllTRTpXTVQuSVFfRUJJVERBX01BUkdJTi5JUV9GWS0zLjMvMjUvMjAyMi5MLkYuVVNEAQAAAN/GBAACAAAABjYuMzQ0MgEIAAAABQAAAAExAQAAAAoyMDg1MTMyOTMwAwAAAAMxNjACAAAABDQwNDcEAAAAATAHAAAACTMvMjUvMjAyMggAAAAJMS8zMS8yMDE5CQAAAAEw5bjIxU4O2ghbfkLLTg7aCDlDSVEuTllTRTpXTVQuSVFfTkVUX0RFQlRfRUJJVERBLklRX0ZZLTUuMy8yNS8yMDIyLkwuRi5VU0QBAAAA38YEAAIAAAAIMS4yMDg3NzQBCAAAAAUAAAABMQEAAAAKMTk1MTU0MDMzNQMAAAADMTYwAgAAAAQ0MTkzBAAAAAEwBwAAAAkzLzI1LzIwMjIIAAAACTEvMzEvMjAxNwkAAAABMOW4yMVODtoIPexDy04O2gg7Q0lRLk5ZU0U6V01ULklRX0ZJWEVEX0FTU0VUX1RVUk5TLklRX0ZZLTUuMy8yNS8yMDIyLkwuRi5VU0QBAAAA38YEAAIAAAAINC4yMTIyNzIBCAAAAAUAAAABMQEAAAAKMTk1MTU0MDMzNQMAAAADMTYwAgAAAAQ0MDY2BAAAAAEwBwAAAAkzLzI1LzIwMjIIAAAACTEvMzEvMjAxNwkAAAABMOW4yMVODtoIiA5Cy04O2gg2Q0lRLk5ZU0U6V01ULklRX1RPVEFMX1JFVkVOVUUuSVFfRlktNS4zLzI1LzIwMjIuTC4uVVNEAQAAAN/GBAACAAAABjQ4NTg3MwEIAAAABQAAAAExAQAAAAoxOTUxNTQwMzM1</t>
  </si>
  <si>
    <t>AwAAAAMxNjACAAAAAjI4BAAAAAEwBwAAAAkzLzI1LzIwMjIIAAAACTEvMzEvMjAxNwkAAAABMOW4yMVODtoIZqJDy04O2gg8Q0lRLk5ZU0U6V01ULklRX1RPVEFMX0RFQlRfQ0FQSVRBTC5JUV9GWS0yLjMvMjUvMjAyMi5MLkYuVVNEAQAAAN/GBAACAAAABzQ3LjI3NzIBCAAAAAUAAAABMQEAAAALLTIxMDc2ODYyOTEDAAAAAzE2MAIAAAAENDE4NgQAAAABMAcAAAAJMy8yNS8yMDIyCAAAAAkxLzMxLzIwMjAJAAAAATDBpjHGTg7aCGaiQ8tODtoIO0NJUS5OWVNFOldNVC5JUV9GSVhFRF9BU1NFVF9UVVJOUy5JUV9GWS02LjMvMjUvMjAyMi5MLkYuVVNEAQAAAN/GBAACAAAACDQuMTM1NDE5AQgAAAAFAAAAATEBAAAACjE4ODA3MTg3NjIDAAAAAzE2MAIAAAAENDA2NgQAAAABMAcAAAAJMy8yNS8yMDIyCAAAAAkxLzMxLzIwMTYJAAAAATDluMjFTg7aCOr6QctODtoIN0NJUS5OWVNFOldNVC5JUV9ESUxVVF9FUFNfSU5DTC5JUV9MVE0uMy8yNS8yMDIyLkwuRi5VU0QBAAAA38YEAAIAAAAENC44NwEIAAAABQAAAAExAQAAAAstMjEwNzY4NjAwOAMAAAADMTYwAgAAAAE4BAAAAAEwBwAAAAkzLzI1LzIwMjIIAAAACTEvMzEvMjAyMgkAAAABMOW4yMVODtoIuutCy04O2gg2Q0lRLk5ZU0U6V01ULklRX0NBU0hfU1RfSU5WRVNULklRX0ZZLjMvMjUvMjAyMi5MLkYuVVNEAQAAAN/GBAACAAAABTE0NzYwAQgAAAAF</t>
  </si>
  <si>
    <t>AAAAATEBAAAACy0yMTA3Njg2MjgyAwAAAAMxNjACAAAABDEwMDIEAAAAATAHAAAACTMvMjUvMjAyMggAAAAJMS8zMS8yMDIyCQAAAAEw5bjIxU4O2ghYEkHLTg7aCDZDSVEuTllTRTpXTVQuSVFfUVVJQ0tfUkFUSU8uSVFfTFRNLTQuMy8yNS8yMDIyLkwuRi5VU0QBAAAA38YEAAIAAAAIMC4yNjE4MjcBCAAAAAUAAAABMQEAAAALLTIxMDc2ODU5NzcDAAAAAzE2MAIAAAAENDEyMQQAAAABMAcAAAAJMy8yNS8yMDIyCAAAAAkxLzMxLzIwMjEJAAAAATDluMjFTg7aCIeHQctODtoIOENJUS5OWVNFOldNVC5JUV9FQklUREFfTUFSR0lOLklRX0xUTS00LjMvMjUvMjAyMi5MLkYuVVNEAQAAAN/GBAACAAAABjYuODEzOQEIAAAABQAAAAExAQAAAAstMjEwNzY4NTk3NwMAAAADMTYwAgAAAAQ0MDQ3BAAAAAEwBwAAAAkzLzI1LzIwMjIIAAAACTEvMzEvMjAyMQkAAAABMOW4yMVODtoI9VZCy04O2ggrQ0lRLk5ZU0U6V01ULklRX0dQLklRX0ZZLTMuMy8yNS8yMDIyLkwuLlVTRAEAAADfxgQAAgAAAAYxMjkxMDQBCAAAAAUAAAABMQEAAAAKMjA4NTEzMjkzMAMAAAADMTYwAgAAAAIxMAQAAAABMAcAAAAJMy8yNS8yMDIyCAAAAAkxLzMxLzIwMTkJAAAAATDluMjFTg7aCHl7Q8tODtoIOUNJUS5OWVNFOldNVC5JUV9GSVhFRF9BU1NFVF9UVVJOUy5JUV9GWS4zLzI1LzIwMjIuTC5GLlVTRAEAAADfxgQAAgAAAAg1LjE0</t>
  </si>
  <si>
    <t>ODk5OAEIAAAABQAAAAExAQAAAAstMjEwNzY4NjI4MgMAAAADMTYwAgAAAAQ0MDY2BAAAAAEwBwAAAAkzLzI1LzIwMjIIAAAACTEvMzEvMjAyMgkAAAABMOW4yMVODtoI6vpBy04O2gg2Q0lRLk5ZU0U6V01ULklRX1JFVFVSTl9BU1NFVFMuSVFfTFRNLjMvMjUvMjAyMi5MLkYuVVNEAQAAAN/GBAACAAAABjYuNTE5OQEIAAAABQAAAAExAQAAAAstMjEwNzY4NjAwOAMAAAADMTYwAgAAAAQ0MTc4BAAAAAEwBwAAAAkzLzI1LzIwMjIIAAAACTEvMzEvMjAyMgkAAAABMOW4yMVODtoInqlCy04O2gg0Q0lRLk5ZU0U6V01ULklRX1RPVEFMX1JFVkVOVUUuSVFfRlkuMy8yNS8yMDIyLkwuLlVTRAEAAADfxgQAAgAAAAY1NzI3NTQBCAAAAAUAAAABMQEAAAALLTIxMDc2ODYyODIDAAAAAzE2MAIAAAACMjgEAAAAATAHAAAACTMvMjUvMjAyMggAAAAJMS8zMS8yMDIyCQAAAAEw5bjIxU4O2gh5e0PLTg7aCDxDSVEuTllTRTpXTVQuSVFfVE9UQUxfREVCVF9DQVBJVEFMLklRX0ZZLTUuMy8yNS8yMDIyLkwuRi5VU0QBAAAA38YEAAIAAAAGMzYuNjM4AQgAAAAFAAAAATEBAAAACjE5NTE1NDAzMzUDAAAAAzE2MAIAAAAENDE4NgQAAAABMAcAAAAJMy8yNS8yMDIyCAAAAAkxLzMxLzIwMTcJAAAAATDluMjFTg7aCHnJQ8tODtoINUNJUS5OWVNFOldNVC5JUV9VRkNGX01BUkdJTi5JUV9GWS01LjMvMjUvMjAyMi5MLkYuVVNE</t>
  </si>
  <si>
    <t>AQAAAN/GBAACAAAABjMuOTkwNgEIAAAABQAAAAExAQAAAAoxOTUxNTQwMzM1AwAAAAMxNjACAAAABDQ0MzcEAAAAATAHAAAACTMvMjUvMjAyMggAAAAJMS8zMS8yMDE3CQAAAAEw5bjIxU4O2giLNULLTg7aCC1DSVEuTllTRTpXTVQuSVFfWl9TQ09SRS5JUV9GWS02LjMvMjUvMjAyMi5MLkYBAAAA38YEAAIAAAAINC41OTQwNDcBCAAAAAUAAAABMQEAAAAKMTg4MDcxODc2MgMAAAADMTYwAgAAAAYxMDAxMjMEAAAAATAHAAAACTMvMjUvMjAyMggAAAAJMS8zMS8yMDE2CQAAAAEwWxHXyE4O2gjd+0XLTg7aCCtDSVEuTllTRTpXTVQuSVFfWl9TQ09SRS5JUV9GWS4zLzI1LzIwMjIuTC5GAQAAAN/GBAACAAAACDQuNzA3MTkxAQgAAAAFAAAAATEBAAAACy0yMTA3Njg2MjgyAwAAAAMxNjACAAAABjEwMDEyMwQAAAABMAcAAAAJMy8yNS8yMDIyCAAAAAkxLzMxLzIwMjIJAAAAATBbEdfITg7aCN37RctODtoIPENJUS5OWVNFOldNVC5JUV9SRVRVUk5fRVFVSVRZX0JBTksuSVFfRlktMy4zLzI1LzIwMjIuTC5GLlVTRAEAAADfxgQAAgAAAAY4Ljk0ODIBCAAAAAUAAAABMQEAAAAKMjA4NTEzMjkzMAMAAAADMTYwAgAAAAQ0MTI4BAAAAAEwBwAAAAkzLzI1LzIwMjIIAAAACTEvMzEvMjAxOQkAAAABMOW4yMVODtoIKjM/y04O2ggsQ0lRLk5ZU0U6V01ULklRX05JLklRX0ZZLTEuMy8yNS8yMDIyLkwuRi5VU0QBAAAA</t>
  </si>
  <si>
    <t>38YEAAIAAAAFMTM1MTABCAAAAAUAAAABMQEAAAALLTIxMDc2ODYyODEDAAAAAzE2MAIAAAACMTUEAAAAATAHAAAACTMvMjUvMjAyMggAAAAJMS8zMS8yMDIxCQAAAAEw5bjIxU4O2giyqD/LTg7aCDdDSVEuTllTRTpXTVQuSVFfRElMVVRfRVBTX0VYQ0wuSVFfRlktMS4zLzI1LzIwMjIuTC4uVVNEAQAAAN/GBAACAAAABDQuNzUBCAAAAAUAAAABMQEAAAALLTIxMDc2ODYyODEDAAAAAzE2MAIAAAADMTQyBAAAAAEwBwAAAAkzLzI1LzIwMjIIAAAACTEvMzEvMjAyMQkAAAABMOW4yMVODtoIPsRAy04O2gg2Q0lRLk5ZU0U6V01ULklRX1RPVEFMX1JFVl9CTksuSVFfRlktMS4zLzI1LzIwMjIuTC4uVVNEAQAAAN/GBAADAAAAAADluMjFTg7aCFDrQMtODtoIK0NJUS5OWVNFOldNVC5JUV9FQlQuSVFfTFRNLjMvMjUvMjAyMi5MLi5VU0QBAAAA38YEAAIAAAAFMTg2OTYBCAAAAAUAAAABMQEAAAALLTIxMDc2ODYwMDgDAAAAAzE2MAIAAAADMTM5BAAAAAEwBwAAAAkzLzI1LzIwMjIIAAAACTEvMzEvMjAyMgkAAAABMOW4yMVODtoIUOtAy04O2ggyQ0lRLk5ZU0U6V01ULklRX05FVF9MT0FOUy5JUV9GWS0yLjMvMjUvMjAyMi5MLi5VU0QBAAAA38YEAAMAAAAAAOW4yMVODtoIPsRAy04O2ggsQ0lRLk5ZU0U6V01ULklRX05JLklRX0ZZLTMuMy8yNS8yMDIyLkwuRi5VU0QBAAAA38YEAAIAAAAENjY3MAEIAAAABQAA</t>
  </si>
  <si>
    <t>AAExAQAAAAoyMDg1MTMyOTMwAwAAAAMxNjACAAAAAjE1BAAAAAEwBwAAAAkzLzI1LzIwMjIIAAAACTEvMzEvMjAxOQkAAAABMOW4yMVODtoIP9A/y04O2gg3Q0lRLk5ZU0U6V01ULklRX0RJTFVUX0VQU19FWENMLklRX0ZZLTMuMy8yNS8yMDIyLkwuLlVTRAEAAADfxgQAAgAAAAQyLjI2AQgAAAAFAAAAATEBAAAACjIwODUxMzI5MzADAAAAAzE2MAIAAAADMTQyBAAAAAEwBwAAAAkzLzI1LzIwMjIIAAAACTEvMzEvMjAxOQkAAAABMOW4yMVODtoIPsRAy04O2gg4Q0lRLk5ZU0U6V01ULklRX05FVF9JTlRfSU5DX0JOSy5JUV9GWS0yLjMvMjUvMjAyMi5MLi5VU0QBAAAA38YEAAMAAAAAAOW4yMVODtoIWBJBy04O2gg6Q0lRLk5ZU0U6V01ULklRX1RPVEFMX09QRVJfRVhQRU4uSVFfRlktMS4zLzI1LzIwMjIuTC5GLlVTRAEAAADfxgQAAgAAAAY1MzIyMDMBCAAAAAUAAAABMQEAAAALLTIxMDc2ODYyODEDAAAAAzE2MAIAAAADMzczBAAAAAEwBwAAAAkzLzI1LzIwMjIIAAAACTEvMzEvMjAyMQkAAAABMOW4yMVODtoIsqg/y04O2gg6Q0lRLk5ZU0U6V01ULklRX1RJRVJfT05FX0NBUElUQUwuSVFfRlktMy4zLzI1LzIwMjIuTC5GLlVTRAEAAADfxgQAAwAAAAAA5bjIxU4O2giQk0DLTg7aCDpDSVEuTllTRTpXTVQuSVFfVElFUl9UV09fQ0FQSVRBTC5JUV9GWS0zLjMvMjUvMjAyMi5MLkYuVVNEAQAAAN/GBAAD</t>
  </si>
  <si>
    <t>AAAAAADluMjFTg7aCJCTQMtODtoILENJUS5OWVNFOldNVC5JUV9HVy5JUV9GWS0zLjMvMjUvMjAyMi5MLkYuVVNEAQAAAN/GBAACAAAABTMxMTgxAQgAAAAFAAAAATEBAAAACjIwODUxMzI5MzADAAAAAzE2MAIAAAAEMTE3MQQAAAABMAcAAAAJMy8yNS8yMDIyCAAAAAkxLzMxLzIwMTkJAAAAATDluMjFTg7aCJCTQMtODtoIPkNJUS5OWVNFOldNVC5JUV9SSVNLX0FESl9CQU5LX0FTU0VUUy5JUV9GWS0zLjMvMjUvMjAyMi5MLkYuVVNEAQAAAN/GBAADAAAAAADluMjFTg7aCJy6QMtODtoINkNJUS5OWVNFOldNVC5JUV9UT1RBTF9SRVZfQk5LLklRX0ZZLTQuMy8yNS8yMDIyLkwuLlVTRAEAAADfxgQAAwAAAAAA5bjIxU4O2ghYEkHLTg7aCDhDSVEuTllTRTpXTVQuSVFfQ0FTSF9TVF9JTlZFU1QuSVFfTFRNLTQuMy8yNS8yMDIyLkwuLlVTRAEAAADfxgQAAgAAAAUxNzc0MQEIAAAABQAAAAExAQAAAAstMjEwNzY4NTk3NwMAAAADMTYwAgAAAAQxMDAyBAAAAAEwBwAAAAkzLzI1LzIwMjIIAAAACTEvMzEvMjAyMQkAAAABMOW4yMVODtoIgtI+y04O2ggsQ0lRLk5ZU0U6V01ULklRX0xMLklRX0ZZLTQuMy8yNS8yMDIyLkwuRi5VU0QBAAAA38YEAAMAAAAAAMGmMcZODtoIYR5Ay04O2ggsQ0lRLk5ZU0U6V01ULklRX0xMLklRX0ZZLTUuMy8yNS8yMDIyLkwuRi5VU0QBAAAA38YEAAMAAAAAAMGmMcZODtoIYR5A</t>
  </si>
  <si>
    <t>y04O2gg3Q0lRLk5ZU0U6V01ULklRX0RJTFVUX0VQU19JTkNMLklRX0ZZLTIuMy8yNS8yMDIyLkwuLlVTRAEAAADfxgQAAgAAAAQ1LjE5AQgAAAAFAAAAATEBAAAACy0yMTA3Njg2MjkxAwAAAAMxNjACAAAAATgEAAAAATAHAAAACTMvMjUvMjAyMggAAAAJMS8zMS8yMDIwCQAAAAEw5bjIxU4O2gg+xEDLTg7aCDdDSVEuTllTRTpXTVQuSVFfRElMVVRfRVBTX0lOQ0wuSVFfRlktMy4zLzI1LzIwMjIuTC4uVVNEAQAAAN/GBAACAAAABDIuMjYBCAAAAAUAAAABMQEAAAAKMjA4NTEzMjkzMAMAAAADMTYwAgAAAAE4BAAAAAEwBwAAAAkzLzI1LzIwMjIIAAAACTEvMzEvMjAxOQkAAAABMOW4yMVODtoIPsRAy04O2gg3Q0lRLk5ZU0U6V01ULklRX0lOVkVOVE9SWV9UVVJOUy5JUV9GWS4zLzI1LzIwMjIuTC5GLlVTRAEAAADfxgQAAgAAAAg4LjQ1NjUzNAEIAAAABQAAAAExAQAAAAstMjEwNzY4NjI4MgMAAAADMTYwAgAAAAQ0MDgyBAAAAAEwBwAAAAkzLzI1LzIwMjIIAAAACTEvMzEvMjAyMgkAAAABMOW4yMVODtoIMr5By04O2gg1Q0lRLk5ZU0U6V01ULklRX1VGQ0ZfTUFSR0lOLklRX0ZZLTEuMy8yNS8yMDIyLkwuRi5VU0QBAAAA38YEAAIAAAAGMi45ODkyAQgAAAAFAAAAATEBAAAACy0yMTA3Njg2MjgxAwAAAAMxNjACAAAABDQ0MzcEAAAAATAHAAAACTMvMjUvMjAyMggAAAAJMS8zMS8yMDIxCQAAAAEw5bjI</t>
  </si>
  <si>
    <t>xU4O2ghSTULLTg7aCDhDSVEuTllTRTpXTVQuSVFfQ0FTSF9TVF9JTlZFU1QuSVFfRlktMi4zLzI1LzIwMjIuTC5GLlVTRAEAAADfxgQAAgAAAAQ5NDY1AQgAAAAFAAAAATEBAAAACy0yMTA3Njg2MjkxAwAAAAMxNjACAAAABDEwMDIEAAAAATAHAAAACTMvMjUvMjAyMggAAAAJMS8zMS8yMDIwCQAAAAEw5bjIxU4O2ghYEkHLTg7aCENDSVFSQU5HRS5OWVNFOldNVC5JUV9CVVNfU0VHX05BTUUuMS4xMC4uMy8yNS8yMDIyLkwuLi4uU0VHTUVOVCBOQU1FAwAAAN/GBAAHAAAAAAAAAAYAAAAAAAAACiJOWVNFOldNVCIITllTRTpXTVQBAAAAESJJUV9CVVNfU0VHX05BTUUiD0lRX0JVU19TRUdfTkFNRQIAAAAGSVFfTFRNBDIwMDADAAAACyIzLzI1LzIwMjIiCTMvMjUvMjAyMgQAAAADIkwiAyJMIggAAAABMQExAAAAAAYAAAAAAAAACiJOWVNFOldNVCIITllTRTpXTVQBAAAAESJJUV9CVVNfU0VHX05BTUUiD0lRX0JVU19TRUdfTkFNRQIAAAAGSVFfTFRNBDIwMDADAAAACyIzLzI1LzIwMjIiCTMvMjUvMjAyMgQAAAADIkwiAyJMIggAAAABMgEyAAAAAAYAAAAAAAAACiJOWVNFOldNVCIITllTRTpXTVQBAAAAESJJUV9CVVNfU0VHX05BTUUiD0lRX0JVU19TRUdfTkFNRQIAAAAGSVFfTFRNBDIwMDADAAAACyIzLzI1LzIwMjIiCTMvMjUvMjAyMgQAAAADIkwiAyJMIggAAAABMwEzAAAAAAYAAAAAAAAACiJOWVNF</t>
  </si>
  <si>
    <t>OldNVCIITllTRTpXTVQBAAAAESJJUV9CVVNfU0VHX05BTUUiD0lRX0JVU19TRUdfTkFNRQIAAAAGSVFfTFRNBDIwMDADAAAACyIzLzI1LzIwMjIiCTMvMjUvMjAyMgQAAAADIkwiAyJMIggAAAABNAE0AAAAAAYAAAAAAAAACiJOWVNFOldNVCIITllTRTpXTVQBAAAAESJJUV9CVVNfU0VHX05BTUUiD0lRX0JVU19TRUdfTkFNRQIAAAAGSVFfTFRNBDIwMDADAAAACyIzLzI1LzIwMjIiCTMvMjUvMjAyMgQAAAADIkwiAyJMIggAAAABNQE1AAAAAAYAAAAAAAAACiJOWVNFOldNVCIITllTRTpXTVQBAAAAESJJUV9CVVNfU0VHX05BTUUiD0lRX0JVU19TRUdfTkFNRQIAAAAGSVFfTFRNBDIwMDADAAAACyIzLzI1LzIwMjIiCTMvMjUvMjAyMgQAAAADIkwiAyJMIggAAAABNgE2AAAAAAYAAAAAAAAACiJOWVNFOldNVCIITllTRTpXTVQBAAAAESJJUV9CVVNfU0VHX05BTUUiD0lRX0JVU19TRUdfTkFNRQIAAAAGSVFfTFRNBDIwMDADAAAACyIzLzI1LzIwMjIiCTMvMjUvMjAyMgQAAAADIkwiAyJMIggAAAABNwE3WxHXyE4O2ghDLUXLTg7aCDxDSVEuTllTRTpXTVQuSVFfUkVUVVJOX0FTU0VUU19CQU5LLklRX0ZZLTIuMy8yNS8yMDIyLkwuRi5VU0QBAAAA38YEAAIAAAAGNS44ODc1AQgAAAAFAAAAATEBAAAACy0yMTA3Njg2MjkxAwAAAAMxNjACAAAABDQxNzgEAAAAATAHAAAACTMvMjUvMjAyMggAAAAJMS8zMS8y</t>
  </si>
  <si>
    <t>MDIwCQAAAAEw5bjIxU4O2gjsZT/LTg7aCDRDSVEuTllTRTpXTVQuSVFfVE9UQUxfTE9BTlMuSVFfTFRNLjMvMjUvMjAyMi5MLkYuVVNEAQAAAN/GBAADAAAAAADBpjHGTg7aCGEeQMtODtoIPENJUS5OWVNFOldNVC5JUV9SRVRVUk5fRVFVSVRZX0JBTksuSVFfRlktMS4zLzI1LzIwMjIuTC5GLlVTRAEAAADfxgQAAgAAAAcxNi4yMTIxAQgAAAAFAAAAATEBAAAACy0yMTA3Njg2MjgxAwAAAAMxNjACAAAABDQxMjgEAAAAATAHAAAACTMvMjUvMjAyMggAAAAJMS8zMS8yMDIxCQAAAAEw5bjIxU4O2ggIUz/LTg7aCDBDSVEuTllTRTpXTVQuSVFfQUxMT1dfTEwuSVFfRlkuMy8yNS8yMDIyLkwuRi5VU0QBAAAA38YEAAMAAAAAAMGmMcZODtoIBPlDy04O2ggyQ0lRLk5ZU0U6V01ULklRX0FMTE9XX0xMLklRX0ZZLTIuMy8yNS8yMDIyLkwuRi5VU0QBAAAA38YEAAMAAAAAAOW4yMVODtoItkBEy04O2gg3Q0lRLk5ZU0U6V01ULklRX05FVF9JTlRfTUFSR0lOLklRX0xUTS4zLzI1LzIwMjIuTC5GLlVTRAEAAADfxgQAAwAAAAAA5bjIxU4O2gi4sLPLTg7aCD9DSVEuTllTRTpXTVQuSVFfTkVUX0RFQlRfRUJJVERBX0NBUEVYLklRX0ZZLTEuMy8yNS8yMDIyLkwuRi5VU0QBAAAA38YEAAIAAAAIMS40NjkyODUBCAAAAAUAAAABMQEAAAALLTIxMDc2ODYyODEDAAAAAzE2MAIAAAAFMjMzMTQEAAAAATAHAAAACTMvMjUv</t>
  </si>
  <si>
    <t>MjAyMggAAAAJMS8zMS8yMDIxCQAAAAEw5bjIxU4O2gh5yUPLTg7aCDhDSVEuTllTRTpXTVQuSVFfQ0FTSF9TVF9JTlZFU1QuSVFfRlktNS4zLzI1LzIwMjIuTC5GLlVTRAEAAADfxgQAAgAAAAQ2ODY3AQgAAAAFAAAAATEBAAAACjE5NTE1NDAzMzUDAAAAAzE2MAIAAAAEMTAwMgQAAAABMAcAAAAJMy8yNS8yMDIyCAAAAAkxLzMxLzIwMTcJAAAAATDluMjFTg7aCGs5QctODtoIOENJUS5OWVNFOldNVC5JUV9ESUxVVF9FUFNfSU5DTC5JUV9GWS00LjMvMjUvMjAyMi5MLkYuVVNEAQAAAN/GBAACAAAABDMuMjgBCAAAAAUAAAABMQEAAAAKMjAyMzI0OTYxMQMAAAADMTYwAgAAAAE4BAAAAAEwBwAAAAkzLzI1LzIwMjIIAAAACTEvMzEvMjAxOAkAAAABMOW4yMVODtoIBu5Cy04O2ggyQ0lRLk5ZU0U6V01ULklRX0FSX1RVUk5TLklRX0ZZLTYuMy8yNS8yMDIyLkwuRi5VU0QBAAAA38YEAAIAAAAJNzcuNzUwMzYyAQgAAAAFAAAAATEBAAAACjE4ODA3MTg3NjIDAAAAAzE2MAIAAAAENDAwMQQAAAABMAcAAAAJMy8yNS8yMDIyCAAAAAkxLzMxLzIwMTYJAAAAATDluMjFTg7aCOr6QctODtoINENJUS5OWVNFOldNVC5JUV9DQVNIX0VRVUlWLklRX0ZZLTYuMy8yNS8yMDIyLkwuRi5VU0QBAAAA38YEAAIAAAAEODcwNQEIAAAABQAAAAExAQAAAAoxODgwNzE4NzYyAwAAAAMxNjACAAAABDEwOTYEAAAAATAHAAAACTMv</t>
  </si>
  <si>
    <t>MjUvMjAyMggAAAAJMS8zMS8yMDE2CQAAAAEwSeTIxU4O2giAQFbLTg7aCDtDSVEuTllTRTpXTVQuSVFfVE9UQUxfREVCVF9FUVVJVFkuSVFfRlktNC4zLzI1LzIwMjIuTC5GLlVTRAEAAADfxgQAAgAAAAc1Ny43NDc4AQgAAAAFAAAAATEBAAAACjIwMjMyNDk2MTEDAAAAAzE2MAIAAAAENDAzNAQAAAABMAcAAAAJMy8yNS8yMDIyCAAAAAkxLzMxLzIwMTgJAAAAATDluMjFTg7aCHnJQ8tODtoINENJUS5OWVNFOldNVC5JUV9VRkNGX01BUkdJTi5JUV9MVE0uMy8yNS8yMDIyLkwuRi5VU0QBAAAA38YEAAIAAAAGMi43NTI5AQgAAAAFAAAAATEBAAAACy0yMTA3Njg2MDA4AwAAAAMxNjACAAAABDQ0MzcEAAAAATAHAAAACTMvMjUvMjAyMggAAAAJMS8zMS8yMDIyCQAAAAEw5bjIxU4O2giLNULLTg7aCDhDSVEuTllTRTpXTVQuSVFfQ0FTSF9TVF9JTlZFU1QuSVFfRlktNC4zLzI1LzIwMjIuTC5GLlVTRAEAAADfxgQAAgAAAAQ2NzU2AQgAAAAFAAAAATEBAAAACjIwMjMyNDk2MTEDAAAAAzE2MAIAAAAEMTAwMgQAAAABMAcAAAAJMy8yNS8yMDIyCAAAAAkxLzMxLzIwMTgJAAAAATDluMjFTg7aCGs5QctODtoIN0NJUS5OWVNFOldNVC5JUV9DVVJSRU5UX1JBVElPLklRX0ZZLTEuMy8yNS8yMDIyLkwuRi5VU0QBAAAA38YEAAIAAAAIMC45NzIxNzMBCAAAAAUAAAABMQEAAAALLTIxMDc2ODYyODEDAAAAAzE2MAIA</t>
  </si>
  <si>
    <t>AAAENDAzMAQAAAABMAcAAAAJMy8yNS8yMDIyCAAAAAkxLzMxLzIwMjEJAAAAATDluMjFTg7aCKOqQctODtoINUNJUS5OWVNFOldNVC5JUV9BU1NFVF9UVVJOUy5JUV9GWS0zLjMvMjUvMjAyMi5MLkYuVVNEAQAAAN/GBAACAAAACDIuNDI3NDg2AQgAAAAFAAAAATEBAAAACjIwODUxMzI5MzADAAAAAzE2MAIAAAAENDE3NwQAAAABMAcAAAAJMy8yNS8yMDIyCAAAAAkxLzMxLzIwMTkJAAAAATDluMjFTg7aCIgOQstODtoIOENJUS5OWVNFOldNVC5JUV9ESUxVVF9FUFNfSU5DTC5JUV9GWS01LjMvMjUvMjAyMi5MLkYuVVNEAQAAAN/GBAACAAAABDQuMzgBCAAAAAUAAAABMQEAAAAKMTk1MTU0MDMzNQMAAAADMTYwAgAAAAE4BAAAAAEwBwAAAAkzLzI1LzIwMjIIAAAACTEvMzEvMjAxNwkAAAABMOW4yMVODtoIBu5Cy04O2gg5Q0lRLk5ZU0U6V01ULklRX1RPVEFMX0RFQlRfRVFVSVRZLklRX0ZZLjMvMjUvMjAyMi5MLkYuVVNEAQAAAN/GBAACAAAABzYzLjU3MzEBCAAAAAUAAAABMQEAAAALLTIxMDc2ODYyODIDAAAAAzE2MAIAAAAENDAzNAQAAAABMAcAAAAJMy8yNS8yMDIyCAAAAAkxLzMxLzIwMjIJAAAAATDBpjHGTg7aCHnJQ8tODtoINUNJUS5OWVNFOldNVC5JUV9BU1NFVF9UVVJOUy5JUV9GWS00LjMvMjUvMjAyMi5MLkYuVVNEAQAAAN/GBAACAAAACDIuNDgwOTU1AQgAAAAFAAAAATEBAAAACjIwMjMy</t>
  </si>
  <si>
    <t>NDk2MTEDAAAAAzE2MAIAAAAENDE3NwQAAAABMAcAAAAJMy8yNS8yMDIyCAAAAAkxLzMxLzIwMTgJAAAAATDluMjFTg7aCIs1QstODtoIOENJUS5OWVNFOldNVC5JUV9ESUxVVF9FUFNfSU5DTC5JUV9GWS02LjMvMjUvMjAyMi5MLkYuVVNEAQAAAN/GBAACAAAABDQuNTcBCAAAAAUAAAABMQEAAAAKMTg4MDcxODc2MgMAAAADMTYwAgAAAAE4BAAAAAEwBwAAAAkzLzI1LzIwMjIIAAAACTEvMzEvMjAxNgkAAAABMOW4yMVODtoIBu5Cy04O2ggqQ0lRLk5ZU0U6V01ULklRX05JLklRX0xUTS4zLzI1LzIwMjIuTC4uVVNEAQAAAN/GBAACAAAABTEzNjczAQgAAAAFAAAAATEBAAAACy0yMTA3Njg2MDA4AwAAAAMxNjACAAAAAjE1BAAAAAEwBwAAAAkzLzI1LzIwMjIIAAAACTEvMzEvMjAyMgkAAAABMMGmMcZODtoI6ftCy04O2gg3Q0lRLk5ZU0U6V01ULklRX0NVUlJFTlRfUkFUSU8uSVFfRlktNS4zLzI1LzIwMjIuTC5GLlVTRAEAAADfxgQAAgAAAAgwLjg2MTk1NgEIAAAABQAAAAExAQAAAAoxOTUxNTQwMzM1AwAAAAMxNjACAAAABDQwMzAEAAAAATAHAAAACTMvMjUvMjAyMggAAAAJMS8zMS8yMDE3CQAAAAEw5bjIxU4O2ggyvkHLTg7aCDdDSVEuTllTRTpXTVQuSVFfVE9UQUxfUkVWRU5VRS5JUV9MVE0tNC4zLzI1LzIwMjIuTC4uVVNEAQAAAN/GBAACAAAABjU1OTE1MQEIAAAABQAAAAExAQAAAAstMjEwNzY4</t>
  </si>
  <si>
    <t>NTk3NwMAAAADMTYwAgAAAAIyOAQAAAABMAcAAAAJMy8yNS8yMDIyCAAAAAkxLzMxLzIwMjEJAAAAATDluMjFTg7aCHl7Q8tODtoINENJUS5OWVNFOldNVC5JUV9BU1NFVF9UVVJOUy5JUV9MVE0uMy8yNS8yMDIyLkwuRi5VU0QBAAAA38YEAAIAAAAIMi4zMDMxOTUBCAAAAAUAAAABMQEAAAALLTIxMDc2ODYwMDgDAAAAAzE2MAIAAAAENDE3NwQAAAABMAcAAAAJMy8yNS8yMDIyCAAAAAkxLzMxLzIwMjIJAAAAATDluMjFTg7aCAwiQstODtoIN0NJUS5OWVNFOldNVC5JUV9SRVRVUk5fQVNTRVRTLklRX0ZZLTYuMy8yNS8yMDIyLkwuRi5VU0QBAAAA38YEAAIAAAAGNy40NzU0AQgAAAAFAAAAATEBAAAACjE4ODA3MTg3NjIDAAAAAzE2MAIAAAAENDE3OAQAAAABMAcAAAAJMy8yNS8yMDIyCAAAAAkxLzMxLzIwMTYJAAAAATDluMjFTg7aCCLYQstODtoIO0NJUS5OWVNFOldNVC5JUV9UT1RBTF9ERUJUX0VRVUlUWS5JUV9GWS0zLjMvMjUvMjAyMi5MLkYuVVNEAQAAAN/GBAACAAAABzczLjQxMjEBCAAAAAUAAAABMQEAAAAKMjA4NTEzMjkzMAMAAAADMTYwAgAAAAQ0MDM0BAAAAAEwBwAAAAkzLzI1LzIwMjIIAAAACTEvMzEvMjAxOQkAAAABMMGmMcZODtoIeclDy04O2gg1Q0lRLk5ZU0U6V01ULklRX0xGQ0ZfTUFSR0lOLklRX0ZZLTMuMy8yNS8yMDIyLkwuRi5VU0QBAAAA38YEAAIAAAAGMi41MDQ4AQgAAAAF</t>
  </si>
  <si>
    <t>AAAAATEBAAAACjIwODUxMzI5MzADAAAAAzE2MAIAAAAENDQzNgQAAAABMAcAAAAJMy8yNS8yMDIyCAAAAAkxLzMxLzIwMTkJAAAAATDluMjFTg7aCPVWQstODtoILUNJUS5OWVNFOldNVC5JUV9aX1NDT1JFLklRX0ZZLTMuMy8yNS8yMDIyLkwuRgEAAADfxgQAAgAAAAg0LjI2NTI4MwEIAAAABQAAAAExAQAAAAoyMDg1MTMyOTMwAwAAAAMxNjACAAAABjEwMDEyMwQAAAABMAcAAAAJMy8yNS8yMDIyCAAAAAkxLzMxLzIwMTkJAAAAATBbEdfITg7aCN37RctODtoIQ0NJUVJBTkdFLk5ZU0U6V01ULklRX0dFT19TRUdfTkFNRS4xLjIwLi4zLzI1LzIwMjIuTC4uLi5TRUdNRU5UIE5BTUUDAAAA38YEAAMAAAAAAAAABgAAAAAAAAAKIk5ZU0U6V01UIghOWVNFOldNVAEAAAARIklRX0dFT19TRUdfTkFNRSIPSVFfR0VPX1NFR19OQU1FAgAAAAZJUV9MVE0EMjAwMAMAAAALIjMvMjUvMjAyMiIJMy8yNS8yMDIyBAAAAAMiTCIDIkwiCAAAAAExATEAAAAABgAAAAAAAAAKIk5ZU0U6V01UIghOWVNFOldNVAEAAAARIklRX0dFT19TRUdfTkFNRSIPSVFfR0VPX1NFR19OQU1FAgAAAAZJUV9MVE0EMjAwMAMAAAALIjMvMjUvMjAyMiIJMy8yNS8yMDIyBAAAAAMiTCIDIkwiCAAAAAEyATIAAAAABgAAAAAAAAAKIk5ZU0U6V01UIghOWVNFOldNVAEAAAARIklRX0dFT19TRUdfTkFNRSIPSVFfR0VPX1NFR19OQU1FAgAAAAZJ</t>
  </si>
  <si>
    <t>UV9MVE0EMjAwMAMAAAALIjMvMjUvMjAyMiIJMy8yNS8yMDIyBAAAAAMiTCIDIkwiCAAAAAEzATNbEdfITg7aCEMtRctODtoIOkNJUS5OWVNFOldNVC5JUV9SRVRVUk5fQVNTRVRTX0JBTksuSVFfRlkuMy8yNS8yMDIyLkwuRi5VU0QBAAAA38YEAAIAAAAGNi41MTk5AQgAAAAFAAAAATEBAAAACy0yMTA3Njg2MjgyAwAAAAMxNjACAAAABDQxNzgEAAAAATAHAAAACTMvMjUvMjAyMggAAAAJMS8zMS8yMDIyCQAAAAEw5bjIxU4O2gh2eT/LTg7aCDxDSVEuTllTRTpXTVQuSVFfVE9UQUxfQkFOS19DQVBJVEFMLklRX0ZZLTEuMy8yNS8yMDIyLkwuRi5VU0QBAAAA38YEAAMAAAAAAOW4yMVODtoIgGxAy04O2ggsQ0lRLk5ZU0U6V01ULklRX0VCVC5JUV9GWS00LjMvMjUvMjAyMi5MLi5VU0QBAAAA38YEAAIAAAAFMTUxMjMBCAAAAAUAAAABMQEAAAAKMjAyMzI0OTYxMQMAAAADMTYwAgAAAAMxMzkEAAAAATAHAAAACTMvMjUvMjAyMggAAAAJMS8zMS8yMDE4CQAAAAEw5bjIxU4O2ghQ60DLTg7aCDhDSVEuTllTRTpXTVQuSVFfTkVUX0lOVF9JTkNfQk5LLklRX0ZZLTYuMy8yNS8yMDIyLkwuLlVTRAEAAADfxgQAAwAAAAAA5bjIxU4O2ghYEkHLTg7aCDZDSVEuTllTRTpXTVQuSVFfRElMVVRfRVBTX0lOQ0wuSVFfTFRNLjMvMjUvMjAyMi5MLi5VU0QBAAAA38YEAAIAAAAENC44NwEIAAAABQAAAAExAQAAAAstMjEw</t>
  </si>
  <si>
    <t>NzY4NjAwOAMAAAADMTYwAgAAAAE4BAAAAAEwBwAAAAkzLzI1LzIwMjIIAAAACTEvMzEvMjAyMgkAAAABMOW4yMVODtoIPsRAy04O2gg2Q0lRLk5ZU0U6V01ULklRX05FVF9JTlRfSU5DX0JOSy5JUV9GWS4zLzI1LzIwMjIuTC4uVVNEAQAAAN/GBAADAAAAAADluMjFTg7aCFgSQctODtoIPENJUS5OWVNFOldNVC5JUV9SRVRVUk5fRVFVSVRZX0JBTksuSVFfRlktNS4zLzI1LzIwMjIuTC5GLlVTRAEAAADfxgQAAgAAAAcxNy40MTQ5AQgAAAAFAAAAATEBAAAACjE5NTE1NDAzMzUDAAAAAzE2MAIAAAAENDEyOAQAAAABMAcAAAAJMy8yNS8yMDIyCAAAAAkxLzMxLzIwMTcJAAAAATDluMjFTg7aCCozP8tODtoIPENJUS5OWVNFOldNVC5JUV9UT1RBTF9CQU5LX0NBUElUQUwuSVFfRlktMy4zLzI1LzIwMjIuTC5GLlVTRAEAAADfxgQAAwAAAAAA5bjIxU4O2gh/RUDLTg7aCCxDSVEuTllTRTpXTVQuSVFfRUJULklRX0ZZLTYuMy8yNS8yMDIyLkwuLlVTRAEAAADfxgQAAgAAAAUyMTYzOAEIAAAABQAAAAExAQAAAAoxODgwNzE4NzYyAwAAAAMxNjACAAAAAzEzOQQAAAABMAcAAAAJMy8yNS8yMDIyCAAAAAkxLzMxLzIwMTYJAAAAATDluMjFTg7aCFDrQMtODtoIN0NJUS5OWVNFOldNVC5JUV9UT1RBTF9SRVZfQk5LLklRX0xUTS00LjMvMjUvMjAyMi5MLi5VU0QBAAAA38YEAAMAAAAAAOW4yMVODtoIUOtAy04O2gg1</t>
  </si>
  <si>
    <t>Q0lRLk5ZU0U6V01ULklRX0RJTFVUX0VQU19JTkNMLklRX0ZZLjMvMjUvMjAyMi5MLi5VU0QBAAAA38YEAAIAAAAENC44NwEIAAAABQAAAAExAQAAAAstMjEwNzY4NjI4MgMAAAADMTYwAgAAAAE4BAAAAAEwBwAAAAkzLzI1LzIwMjIIAAAACTEvMzEvMjAyMgkAAAABMOW4yMVODtoIPsRAy04O2ggsQ0lRLk5ZU0U6V01ULklRX05JLklRX0ZZLTQuMy8yNS8yMDIyLkwuRi5VU0QBAAAA38YEAAIAAAAEOTg2MgEIAAAABQAAAAExAQAAAAoyMDIzMjQ5NjExAwAAAAMxNjACAAAAAjE1BAAAAAEwBwAAAAkzLzI1LzIwMjIIAAAACTEvMzEvMjAxOAkAAAABMOW4yMVODtoIP9A/y04O2gg4Q0lRLk5ZU0U6V01ULklRX05FVF9JTlRfSU5DX0JOSy5JUV9GWS0zLjMvMjUvMjAyMi5MLi5VU0QBAAAA38YEAAMAAAAAAOW4yMVODtoIWBJBy04O2gg1Q0lRLk5ZU0U6V01ULklRX0dST1NTX0xPQU5TLklRX0ZZLTIuMy8yNS8yMDIyLkwuRi5VU0QBAAAA38YEAAMAAAAAAOW4yMVODtoIYR5Ay04O2ggwQ0lRLk5ZU0U6V01ULklRX05FVF9MT0FOUy5JUV9GWS4zLzI1LzIwMjIuTC4uVVNEAQAAAN/GBAADAAAAAADluMjFTg7aCD7EQMtODtoIM0NJUS5OWVNFOldNVC5JUV9ORVRfTE9BTlMuSVFfRlktNS4zLzI1LzIwMjIuTC5GLlVTRAEAAADfxgQAAwAAAAAAwaYxxk4O2gi4sLPLTg7aCDJDSVEuTllTRTpXTVQuSVFfTkVUX0xP</t>
  </si>
  <si>
    <t>QU5TLklRX0ZZLTEuMy8yNS8yMDIyLkwuLlVTRAEAAADfxgQAAwAAAAAA5bjIxU4O2gg+xEDLTg7aCDtDSVEuTllTRTpXTVQuSVFfVE9UQUxfUkVWXzFZUl9BTk5fR1JPV1RILklRX0xUTS4zLzI1LzIwMjIuTAEAAADfxgQAAgAAAAYyLjQzMjcBCAAAAAUAAAABMQEAAAALLTIxMDc2ODYwMDgDAAAAAzE2MAIAAAAENDE5NAQAAAABMAcAAAAJMy8yNS8yMDIyCAAAAAkxLzMxLzIwMjIJAAAAATBbEdfITg7aCFFpRMtODtoINUNJUS5OWVNFOldNVC5JUV9RVUlDS19SQVRJTy5JUV9GWS0yLjMvMjUvMjAyMi5MLkYuVVNEAQAAAN/GBAACAAAACDAuMjAyNDU1AQgAAAAFAAAAATEBAAAACy0yMTA3Njg2MjkxAwAAAAMxNjACAAAABDQxMjEEAAAAATAHAAAACTMvMjUvMjAyMggAAAAJMS8zMS8yMDIwCQAAAAEw5bjIxU4O2gijqkHLTg7aCC1DSVEuTllTRTpXTVQuSVFfR1AuSVFfTFRNLTQuMy8yNS8yMDIyLkwuRi5VU0QBAAAA38YEAAIAAAAGMTM4ODM2AQgAAAAFAAAAATEBAAAACy0yMTA3Njg1OTc3AwAAAAMxNjACAAAAAjEwBAAAAAEwBwAAAAkzLzI1LzIwMjIIAAAACTEvMzEvMjAyMQkAAAABMOW4yMVODtoIUVRDy04O2gg1Q0lRLk5ZU0U6V01ULklRX1VGQ0ZfTUFSR0lOLklRX0ZZLTIuMy8yNS8yMDIyLkwuRi5VU0QBAAAA38YEAAIAAAAGMy4xMDg4AQgAAAAFAAAAATEBAAAACy0yMTA3Njg2MjkxAwAAAAMx</t>
  </si>
  <si>
    <t>NjACAAAABDQ0MzcEAAAAATAHAAAACTMvMjUvMjAyMggAAAAJMS8zMS8yMDIwCQAAAAEw5bjIxU4O2ghSTULLTg7aCC5DSVEuTllTRTpXTVQuSVFfU0dBLklRX0xUTS00LjMvMjUvMjAyMi5MLkYuVVNEAQAAAN/GBAACAAAABjExMTg4OAEIAAAABQAAAAExAQAAAAstMjEwNzY4NTk3NwMAAAADMTYwAgAAAAIyMwQAAAABMAcAAAAJMy8yNS8yMDIyCAAAAAkxLzMxLzIwMjEJAAAAATDluMjFTg7aCHl7Q8tODtoILUNJUS5OWVNFOldNVC5JUV9TR0EuSVFfRlktMy4zLzI1LzIwMjIuTC5GLlVTRAEAAADfxgQAAgAAAAYxMDcxNDcBCAAAAAUAAAABMQEAAAAKMjA4NTEzMjkzMAMAAAADMTYwAgAAAAIyMwQAAAABMAcAAAAJMy8yNS8yMDIyCAAAAAkxLzMxLzIwMTkJAAAAATDluMjFTg7aCGaiQ8tODtoINENJUS5OWVNFOldNVC5JUV9HUk9TU19MT0FOUy5JUV9GWS0zLjMvMjUvMjAyMi5MLi5VU0QBAAAA38YEAAMAAAAAAEnkyMVODtoIgEBWy04O2gg0Q0lRLk5ZU0U6V01ULklRX0dST1NTX0xPQU5TLklRX0ZZLTQuMy8yNS8yMDIyLkwuLlVTRAEAAADfxgQAAwAAAAAASeTIxU4O2giAQFbLTg7aCCtDSVEuTllTRTpXTVQuSVFfU0dBLklRX0ZZLjMvMjUvMjAyMi5MLkYuVVNEAQAAAN/GBAACAAAABjExNzgxMgEIAAAABQAAAAExAQAAAAstMjEwNzY4NjI4MgMAAAADMTYwAgAAAAIyMwQAAAABMAcAAAAJMy8yNS8y</t>
  </si>
  <si>
    <t>MDIyCAAAAAkxLzMxLzIwMjIJAAAAATDluMjFTg7aCHl7Q8tODtoILUNJUS5OWVNFOldNVC5JUV9TR0EuSVFfRlktNS4zLzI1LzIwMjIuTC5GLlVTRAEAAADfxgQAAgAAAAYxMDE4NTMBCAAAAAUAAAABMQEAAAAKMTk1MTU0MDMzNQMAAAADMTYwAgAAAAIyMwQAAAABMAcAAAAJMy8yNS8yMDIyCAAAAAkxLzMxLzIwMTcJAAAAATDluMjFTg7aCGaiQ8tODtoINENJUS5OWVNFOldNVC5JUV9HUk9TU19MT0FOUy5JUV9GWS0xLjMvMjUvMjAyMi5MLi5VU0QBAAAA38YEAAMAAAAAAEnkyMVODtoIgEBWy04O2gg0Q0lRLk5ZU0U6V01ULklRX0dST1NTX0xPQU5TLklRX0ZZLTIuMy8yNS8yMDIyLkwuLlVTRAEAAADfxgQAAwAAAAAASeTIxU4O2giAQFbLTg7aCC1DSVEuTllTRTpXTVQuSVFfU0dBLklRX0ZZLTIuMy8yNS8yMDIyLkwuRi5VU0QBAAAA38YEAAIAAAAGMTA3ODkxAQgAAAAFAAAAATEBAAAACy0yMTA3Njg2MjkxAwAAAAMxNjACAAAAAjIzBAAAAAEwBwAAAAkzLzI1LzIwMjIIAAAACTEvMzEvMjAyMAkAAAABMOW4yMVODtoIZqJDy04O2gg0Q0lRLk5ZU0U6V01ULklRX0dST1NTX0xPQU5TLklRX0ZZLTUuMy8yNS8yMDIyLkwuLlVTRAEAAADfxgQAAwAAAAAASeTIxU4O2giAQFbLTg7aCDRDSVEuTllTRTpXTVQuSVFfR1JPU1NfTE9BTlMuSVFfRlktNi4zLzI1LzIwMjIuTC4uVVNEAQAAAN/GBAADAAAAAADl</t>
  </si>
  <si>
    <t>uMjFTg7aCIBAVstODtoINENJUS5OWVNFOldNVC5JUV9HUk9TU19MT0FOUy5JUV9GWS03LjMvMjUvMjAyMi5MLi5VU0QBAAAA38YEAAMAAAAAAOW4yMVODtoIgEBWy04O2ggzQ0lRLk5ZU0U6V01ULklRX0dST1NTX0xPQU5TLklRX0xUTS4zLzI1LzIwMjIuTC4uVVNEAQAAAN/GBAADAAAAAADluMjFTg7aCIBAVstODtoINUNJUS5OWVNFOldNVC5JUV9HUk9TU19MT0FOUy5JUV9MVE0tNC4zLzI1LzIwMjIuTC4uVVNEAQAAAN/GBAADAAAAAABJ5MjFTg7aCIBAVstODtoILUNJUS5OWVNFOldNVC5JUV9TR0EuSVFfRlktNC4zLzI1LzIwMjIuTC5GLlVTRAEAAADfxgQAAgAAAAYxMDYwMTABCAAAAAUAAAABMQEAAAAKMjAyMzI0OTYxMQMAAAADMTYwAgAAAAIyMwQAAAABMAcAAAAJMy8yNS8yMDIyCAAAAAkxLzMxLzIwMTgJAAAAATBJ5MjFTg7aCGaiQ8tODtoILUNJUS5OWVNFOldNVC5JUV9TR0EuSVFfRlktNi4zLzI1LzIwMjIuTC5GLlVTRAEAAADfxgQAAgAAAAU5NzA0MQEIAAAABQAAAAExAQAAAAoxODgwNzE4NzYyAwAAAAMxNjACAAAAAjIzBAAAAAEwBwAAAAkzLzI1LzIwMjIIAAAACTEvMzEvMjAxNgkAAAABMEnkyMVODtoIZqJDy04O2ggyQ0lRLk5ZU0U6V01ULklRX0dST1NTX0xPQU5TLklRX0ZZLjMvMjUvMjAyMi5MLi5VU0QBAAAA38YEAAMAAAAAAEnkyMVODtoIgEBWy04O2gg1Q0lRLk5ZU0U6V01U</t>
  </si>
  <si>
    <t>LklRX0VCSVRfTUFSR0lOLklRX0xUTS4zLzI1LzIwMjIuTC4uVVNELkgBAAAA38YEAAIAAAAGNC41MjkzAQgAAAAFAAAAATEBAAAACy0yMTA3Njg2MDA4AwAAAAMxNjACAAAABDQwNTMEAAAAATAHAAAACTMvMjUvMjAyMggAAAAJMS8zMS8yMDIyCQAAAAEwSeTIxU4O2gjKhNnJTg7aCDVDSVEuTllTRTpXTVQuSVFfR1JPU1NfTE9BTlMuSVFfTFRNLTguMy8yNS8yMDIyLkwuLlVTRAEAAADfxgQAAwAAAAAASeTIxU4O2giAQFbLTg7aCC1DSVEuTllTRTpXTVQuSVFfU0dBLklRX0ZZLTEuMy8yNS8yMDIyLkwuRi5VU0QBAAAA38YEAAIAAAAGMTExODg4AQgAAAAFAAAAATEBAAAACy0yMTA3Njg2MjgxAwAAAAMxNjACAAAAAjIzBAAAAAEwBwAAAAkzLzI1LzIwMjIIAAAACTEvMzEvMjAyMQkAAAABMEnkyMVODtoIZqJDy04O2ggsQ0lRLk5ZU0U6V01ULklRX1NHQS5JUV9MVE0uMy8yNS8yMDIyLkwuRi5VU0QBAAAA38YEAAIAAAAGMTE3ODEyAQgAAAAFAAAAATEBAAAACy0yMTA3Njg2MDA4AwAAAAMxNjACAAAAAjIzBAAAAAEwBwAAAAkzLzI1LzIwMjIIAAAACTEvMzEvMjAyMgkAAAABMEnkyMVODtoIeXtDy04O2ggtQ0lRLk5ZU0U6V01ULklRX0JBU0lDX0VQU19FWENMLjIwMDAuLkwuLlVTRC5IAQAAAN/GBAACAAAACDQuODk3MjA2AQgAAAAFAAAAATEBAAAACy0yMTA3Njg2MDA4AwAAAAMxNjACAAAABDMwNjQE</t>
  </si>
  <si>
    <t>AAAAATAHAAAACTMvMjUvMjAyMggAAAAJMS8zMS8yMDIyCQAAAAEwSeTIxU4O2gjKhNnJTg7aCCpDSVEuTllTRTpXTVQuSVFfR1JPU1NfTE9BTlMuMjAwMC4uTC4uVVNELkgBAAAA38YEAAMAAAAAAEnkyMVODtoI+jXbyU4O2ggzQ0lRLjAuSVFfVE9UQUxfQkFOS19DQVBJVEFMLjEwMDAuMy8yNS8yMDIyLkwuLlVTRC5IAQAAAG8QkwADAAAAAABJ5MjFTg7aCHhl28lODtoILUNJUS5OWVNFOldNVC5JUV9UT1RBTF9ERVBPU0lUUy4yMDAwLi5MLi5VU0QuSAEAAADfxgQAAwAAAAAASeTIxU4O2gj6NdvJTg7aCDpDSVEuTllTRTpXTVQuSVFfVE9UQUxfQkFOS19DQVBJVEFMLjEwMDAuMy8yNS8yMDIyLkwuLlVTRC5IAQAAAN/GBAADAAAAAABJ5MjFTg7aCPo128lODtoIKkNJUS5OQVNEQVFHUzpDT1NULklRX1RPVEFMX1JFVi4yMDAwLi4uLlVTRAEAAACRagEAAgAAAAYyMTAyMTkBCAAAAAUAAAABMQEAAAALLTIxMDg4NTUzNDgDAAAAAzE2MAIAAAACMjgEAAAAATAHAAAACTMvMjUvMjAyMggAAAAJMi8xMy8yMDIyCQAAAAEwSeTIxU4O2ghPZVfLTg7aCCNDSVEuTkFTREFRR1M6Q09TVC5JUV9OSS4yMDAwLi4uLlVTRAEAAACRagEAAgAAAAQ1NTEzAQgAAAAFAAAAATEBAAAACy0yMTA4ODU1MzQ4AwAAAAMxNjACAAAAAjE1BAAAAAEwBwAAAAkzLzI1LzIwMjIIAAAACTIvMTMvMjAyMgkAAAABMEnkyMVODtoIT2VX</t>
  </si>
  <si>
    <t>y04O2gg5Q0lRLk5ZU0U6V01ULklRX0lOVkVOVE9SWV9UVVJOUy5GWTIwMTUuMy8yNS8yMDIyLkwuLlVTRC5IAQAAAN/GBAACAAAACDguMTEzMTEyAQgAAAAFAAAAATEBAAAACjE4MzQyNjU2NjgDAAAAAzE2MAIAAAAENDA4MgQAAAABMAcAAAAJMy8yNS8yMDIyCAAAAAkxLzMxLzIwMTUJAAAAATBJ5MjFTg7aCB7j58lODtoILkNJUS5OWVNFOldNVC5JUV9DT0dTLkZZMjAxNC4zLzI1LzIwMjIuTC4uVVNELkgBAAAA38YEAAIAAAAGMzU4MDY5AQgAAAAFAAAAATEBAAAACjE3ODMwMDc2NjcDAAAAAzE2MAIAAAACMzQEAAAAATAHAAAACTMvMjUvMjAyMggAAAAJMS8zMS8yMDE0CQAAAAEwSeTIxU4O2ggDYN3JTg7aCD5DSVEuTkFTREFRR1M6Q09TVC5JUV9ORVRfSU5UX0lOQ19CTksuSVFfTFRNLjMvMjUvMjAyMi5MLi5VU0QuSAEAAACRagEAAwAAAAAASeTIxU4O2gi7dljLTg7aCDpDSVEuTkFTREFRR1M6Q09TVC5JUV9HUk9TU19MT0FOUy5JUV9MVE0uMy8yNS8yMDIyLkwuLlVTRC5IAQAAAJFqAQADAAAAAABJ5MjFTg7aCLt2WMtODtoIN0NJUS5OWVNFOldNVC5JUV9UT1RBTF9SRVZFTlVFLkZZMjAxNC4zLzI1LzIwMjIuTC4uVVNELkgBAAAA38YEAAIAAAAGNDc2Mjk0AQgAAAAFAAAAATEBAAAACjE3ODMwMDc2NjcDAAAAAzE2MAIAAAACMjgEAAAAATAHAAAACTMvMjUvMjAyMggAAAAJMS8zMS8yMDE0CQAA</t>
  </si>
  <si>
    <t>AAEwSeTIxU4O2ggDYN3JTg7aCDdDSVEuTkFTREFRR1M6Q09TVC5JUV9BTExPV19MTC5JUV9MVE0uMy8yNS8yMDIyLkwuLlVTRC5IAQAAAJFqAQADAAAAAABJ5MjFTg7aCKdPWMtODtoIOkNJUS5OQVNEQVFHUzpDT1NULklRX1RPVEFMX0xPQU5TLklRX0xUTS4zLzI1LzIwMjIuTC4uVVNELkgBAAAAkWoBAAMAAAAAAEnkyMVODtoIp09Yy04O2gg9Q0lRLk5BU0RBUUdTOkNPU1QuSVFfVE9UQUxfREVQT1NJVFMuSVFfTFRNLjMvMjUvMjAyMi5MLi5VU0QuSAEAAACRagEAAwAAAAAASeTIxU4O2ginT1jLTg7aCDlDSVEuTkFTREFRR1M6Q09TVC5JUV9TR0FfTUFSR0lOLklRX0xUTS4zLzI1LzIwMjIuTC4uVVNELkgBAAAAkWoBAAIAAAAGOC43NzY1AQgAAAAFAAAAATEBAAAACy0yMTA4ODU1MzQ4AwAAAAMxNjACAAAABDQzNzUEAAAAATAHAAAACTMvMjUvMjAyMggAAAAJMi8xMy8yMDIyCQAAAAEwSeTIxU4O2giFAVjLTg7aCDRDSVEuTllTRTpXTVQuSVFfQ0FTSF9FUVVJVi5GWTIwMTQuMy8yNS8yMDIyLkwuLlVTRC5IAQAAAN/GBAACAAAABDcyODEBCAAAAAUAAAABMQEAAAAKMTc4MzAwNzY2NwMAAAADMTYwAgAAAAQxMDk2BAAAAAEwBwAAAAkzLzI1LzIwMjIIAAAACTEvMzEvMjAxNAkAAAABMEnkyMVODtoI1hHdyU4O2ggyQ0lRLk5ZU0U6V01ULklRX0FSX1RVUk5TLkZZMjAxNS4zLzI1LzIwMjIuTC4uVVNE</t>
  </si>
  <si>
    <t>LkgBAAAA38YEAAIAAAAJNzIuMTg4OTI2AQgAAAAFAAAAATEBAAAACjE4MzQyNjU2NjgDAAAAAzE2MAIAAAAENDAwMQQAAAABMAcAAAAJMy8yNS8yMDIyCAAAAAkxLzMxLzIwMTUJAAAAATBJ5MjFTg7aCB7j58lODtoIOENJUS5OWVNFOldNVC5JUV9EQVlTX1NBTEVTX09VVC5GWTIwMTQuMy8yNS8yMDIyLkwuLlVTRC5IAQAAAN/GBAACAAAABzUuMTUxNjEBCAAAAAUAAAABMQEAAAAKMTc4MzAwNzY2NwMAAAADMTYwAgAAAAQ0MDQyBAAAAAEwBwAAAAkzLzI1LzIwMjIIAAAACTEvMzEvMjAxNAkAAAABMEnkyMVODtoI1hHdyU4O2gg8Q0lRLk5BU0RBUUdTOkNPU1QuSVFfVE9UQUxfUkVWRU5VRS5JUV9MVE0uMy8yNS8yMDIyLkwuLlVTRC5IAQAAAJFqAQACAAAABjIxMDIxOQEIAAAABQAAAAExAQAAAAstMjEwODg1NTM0OAMAAAADMTYwAgAAAAIyOAQAAAABMAcAAAAJMy8yNS8yMDIyCAAAAAkyLzEzLzIwMjIJAAAAATBJ5MjFTg7aCLt2WMtODtoIM0NJUS5OQVNEQVFHUzpDT1NULklRX0NPR1MuSVFfTFRNLjMvMjUvMjAyMi5MLi5VU0QuSAEAAACRagEAAgAAAAYxODM2MTcBCAAAAAUAAAABMQEAAAALLTIxMDg4NTUzNDgDAAAAAzE2MAIAAAACMzQEAAAAATAHAAAACTMvMjUvMjAyMggAAAAJMi8xMy8yMDIyCQAAAAEwSeTIxU4O2giFAVjLTg7aCDVDSVEuTkFTREFRR1M6Q09TVC5JUV9FQklUREEuSVFfTFRN</t>
  </si>
  <si>
    <t>LjMvMjUvMjAyMi5MLi5VU0QuSAEAAACRagEAAgAAAAQ5OTA1AQgAAAAFAAAAATEBAAAACy0yMTA4ODU1MzQ4AwAAAAMxNjACAAAABDQwNTEEAAAAATAHAAAACTMvMjUvMjAyMggAAAAJMi8xMy8yMDIyCQAAAAEwSeTIxU4O2giFAVjLTg7aCDhDSVEuTkFTREFRR1M6Q09TVC5JUV9JTlZFTlRPUlkuSVFfTFRNLjMvMjUvMjAyMi5MLi5VU0QuSAEAAACRagEAAgAAAAUxNjQ4NQEIAAAABQAAAAExAQAAAAstMjEwODg1NTM0OAMAAAADMTYwAgAAAAQxMDQzBAAAAAEwBwAAAAkzLzI1LzIwMjIIAAAACTIvMTMvMjAyMgkAAAABMEnkyMVODtoIedpXy04O2gg6Q0lRLk5BU0RBUUdTOkNPU1QuSVFfSU5WRU5UT1JZLklRX0xUTS00LjMvMjUvMjAyMi5MLi5VU0QuSAEAAACRagEAAgAAAAUxMzg2NQEIAAAABQAAAAExAQAAAAstMjEwODg1NTMxMwMAAAADMTYwAgAAAAQxMDQzBAAAAAEwBwAAAAkzLzI1LzIwMjIIAAAACTIvMTQvMjAyMQkAAAABMEnkyMVODtoIedpXy04O2gg3Q0lRLk5ZU0U6V01ULklRX1RPVEFMX1JFVkVOVUUuRlkyMDE1LjMvMjUvMjAyMi5MLi5VU0QuSAEAAADfxgQAAgAAAAY0ODU2NTEBCAAAAAUAAAABMQEAAAAKMTgzNDI2NTY2OAMAAAADMTYwAgAAAAIyOAQAAAABMAcAAAAJMy8yNS8yMDIyCAAAAAkxLzMxLzIwMTUJAAAAATBJ5MjFTg7aCJBh6MlODtoIMUNJUS5OQVNEQVFHUzpDT1NULklR</t>
  </si>
  <si>
    <t>X0xMLklRX0xUTS4zLzI1LzIwMjIuTC4uVVNELkgBAAAAkWoBAAMAAAAAAEnkyMVODtoIp09Yy04O2gg4Q0lRLk5BU0RBUUdTOkNPU1QuSVFfTkVUX0xPQU5TLklRX0xUTS4zLzI1LzIwMjIuTC4uVVNELkgBAAAAkWoBAAMAAAAAAEnkyMVODtoIp09Yy04O2gg8Q0lRLk5ZU0U6V01ULklRX0RBWVNfSU5WRU5UT1JZX09VVC5GWTIwMTUuMy8yNS8yMDIyLkwuLlVTRC5IAQAAAN/GBAACAAAACTQ0Ljk4ODgwNQEIAAAABQAAAAExAQAAAAoxODM0MjY1NjY4AwAAAAMxNjACAAAABDQwMzUEAAAAATAHAAAACTMvMjUvMjAyMggAAAAJMS8zMS8yMDE1CQAAAAEwSeTIxU4O2gge4+fJTg7aCDNDSVEuTllTRTpXTVQuSVFfUkRfRVhQX0ZOLkZZMjAxNC4zLzI1LzIwMjIuTC4uVVNELkgBAAAA38YEAAMAAAAAAEnkyMVODtoIA2DdyU4O2gg6Q0lRLk5ZU0U6V01ULklRX0RBWVNfUEFZQUJMRV9PVVQuRlkyMDE1LjMvMjUvMjAyMi5MLi5VU0QuSAEAAADfxgQAAgAAAAgzNy44NzM4NgEIAAAABQAAAAExAQAAAAoxODM0MjY1NjY4AwAAAAMxNjACAAAABDQxODMEAAAAATAHAAAACTMvMjUvMjAyMggAAAAJMS8zMS8yMDE1CQAAAAEwSeTIxU4O2gge4+fJTg7aCDpDSVEuTllTRTpXTVQuSVFfREFZU19QQVlBQkxFX09VVC5GWTIwMTQuMy8yNS8yMDIyLkwuLlVTRC5IAQAAAN/GBAACAAAACTM4LjM2NDc4NQEIAAAABQAAAAEx</t>
  </si>
  <si>
    <t>AQAAAAoxNzgzMDA3NjY3AwAAAAMxNjACAAAABDQxODMEAAAAATAHAAAACTMvMjUvMjAyMggAAAAJMS8zMS8yMDE0CQAAAAEwSeTIxU4O2gjWEd3JTg7aCDNDSVEuTllTRTpXTVQuSVFfSU5WRU5UT1JZLkZZMjAxNS4zLzI1LzIwMjIuTC4uVVNELkgBAAAA38YEAAIAAAAFNDUxNDEBCAAAAAUAAAABMQEAAAAKMTgzNDI2NTY2OAMAAAADMTYwAgAAAAQxMDQzBAAAAAEwBwAAAAkzLzI1LzIwMjIIAAAACTEvMzEvMjAxNQkAAAABMEnkyMVODtoIHuPnyU4O2gg4Q0lRLk5BU0RBUUdTOkNPU1QuSVFfQ0FTSF9PUEVSLklRX0xUTS4zLzI1LzIwMjIuTC4uVVNELkgBAAAAkWoBAAIAAAAEOTkzMgEIAAAABQAAAAExAQAAAAstMjEwODg1NTM0OAMAAAADMTYwAgAAAAQyMDA2BAAAAAEwBwAAAAkzLzI1LzIwMjIIAAAACTIvMTMvMjAyMgkAAAABMEnkyMVODtoIp09Yy04O2gg4Q0lRLk5BU0RBUUdTOkNPU1QuSVFfVE9UQUxfUkVWLklRX0xUTS4zLzI1LzIwMjIuTC4uVVNELkgBAAAAkWoBAAIAAAAGMjEwMjE5AQgAAAAFAAAAATEBAAAACy0yMTA4ODU1MzQ4AwAAAAMxNjACAAAAAjI4BAAAAAEwBwAAAAkzLzI1LzIwMjIIAAAACTIvMTMvMjAyMgkAAAABMEnkyMVODtoIhQFYy04O2gg2Q0lRLk5BU0RBUUdTOkNPU1QuSVFfWl9TQ09SRS5JUV9MVE0uMy8yNS8yMDIyLkwuLlVTRC5IAQAAAJFqAQACAAAACDYuNzcxNjE3</t>
  </si>
  <si>
    <t>AQgAAAAFAAAAATEBAAAACy0yMTA4ODU1MzQ4AwAAAAMxNjACAAAABjEwMDEyMwQAAAABMAcAAAAJMy8yNS8yMDIyCAAAAAkyLzEzLzIwMjIJAAAAATBJ5MjFTg7aCJYoWMtODtoILkNJUS5OWVNFOldNVC5JUV9FQklULkZZMjAxNC4zLzI1LzIwMjIuTC4uVVNELkgBAAAA38YEAAIAAAAFMjY4NzIBCAAAAAUAAAABMQEAAAAKMTc4MzAwNzY2NwMAAAADMTYwAgAAAAM0MDAEAAAAATAHAAAACTMvMjUvMjAyMggAAAAJMS8zMS8yMDE0CQAAAAEwSeTIxU4O2gjmON3JTg7aCDFDSVEuTkFTREFRR1M6Q09TVC5JUV9BUC5JUV9MVE0uMy8yNS8yMDIyLkwuLlVTRC5IAQAAAJFqAQACAAAABTE3MDg5AQgAAAAFAAAAATEBAAAACy0yMTA4ODU1MzQ4AwAAAAMxNjACAAAABDEwMTgEAAAAATAHAAAACTMvMjUvMjAyMggAAAAJMi8xMy8yMDIyCQAAAAEwSeTIxU4O2gh52lfLTg7aCDNDSVEuTkFTREFRR1M6Q09TVC5JUV9BUC5JUV9MVE0tNC4zLzI1LzIwMjIuTC4uVVNELkgBAAAAkWoBAAIAAAAFMTQzODMBCAAAAAUAAAABMQEAAAALLTIxMDg4NTUzMTMDAAAAAzE2MAIAAAAEMTAxOAQAAAABMAcAAAAJMy8yNS8yMDIyCAAAAAkyLzE0LzIwMjEJAAAAATBJ5MjFTg7aCHnaV8tODtoILENJUS5OWVNFOldNVC5JUV9BUi5GWTIwMTQuMy8yNS8yMDIyLkwuLlVTRC5IAQAAAN/GBAACAAAABDY2NzcBCAAAAAUAAAABMQEAAAAK</t>
  </si>
  <si>
    <t>MTc4MzAwNzY2NwMAAAADMTYwAgAAAAQxMDIxBAAAAAEwBwAAAAkzLzI1LzIwMjIIAAAACTEvMzEvMjAxNAkAAAABMEnkyMVODtoI1hHdyU4O2ggzQ0lRLk5ZU0U6V01ULklRX0NBU0hfT1BFUi5GWTIwMTUuMy8yNS8yMDIyLkwuLlVTRC5IAQAAAN/GBAACAAAABTI4NTY0AQgAAAAFAAAAATEBAAAACjE4MzQyNjU2NjgDAAAAAzE2MAIAAAAEMjAwNgQAAAABMAcAAAAJMy8yNS8yMDIyCAAAAAkxLzMxLzIwMTUJAAAAATBJ5MjFTg7aCNi758lODtoINkNJUS5OWVNFOldNVC5JUV9HUk9TU19QUk9GSVQuRlkyMDE0LjMvMjUvMjAyMi5MLi5VU0QuSAEAAADfxgQAAgAAAAYxMTgyMjUBCAAAAAUAAAABMQEAAAAKMTc4MzAwNzY2NwMAAAADMTYwAgAAAAIxMAQAAAABMAcAAAAJMy8yNS8yMDIyCAAAAAkxLzMxLzIwMTQJAAAAATBJ5MjFTg7aCANg3clODtoIOkNJUS5OQVNEQVFHUzpDT1NULklRX0FTU0VUX1RVUk5TLklRX0xUTS4zLzI1LzIwMjIuTC4uVVNELkgBAAAAkWoBAAIAAAAIMy41NjMxNTQBCAAAAAUAAAABMQEAAAALLTIxMDg4NTUzNDgDAAAAAzE2MAIAAAAENDE3NwQAAAABMAcAAAAJMy8yNS8yMDIyCAAAAAkyLzEzLzIwMjIJAAAAATBJ5MjFTg7aCGWzV8tODtoIKUNJUS5OWVNFOldNVC5JUV9OSS5JUV9MVE0uRlkyMDE0LkwuLlVTRC5IAQAAAN/GBAACAAAABTE2MDIyAQgAAAAFAAAAATEBAAAACjE3</t>
  </si>
  <si>
    <t>ODMwMTAxNjEDAAAAAzE2MAIAAAACMTUEAAAAATAHAAAACTMvMjUvMjAyMggAAAAJMS8zMS8yMDE0CQAAAAEwSeTIxU4O2gjmON3JTg7aCD9DSVEuTkFTREFRR1M6Q09TVC5JUV9USUVSX09ORV9DQVBJVEFMLklRX0xUTS4zLzI1LzIwMjIuTC4uVVNELkgBAAAAkWoBAAMAAAAAAEnkyMVODtoIp09Yy04O2gg/Q0lRLk5BU0RBUUdTOkNPU1QuSVFfVElFUl9UV09fQ0FQSVRBTC5JUV9MVE0uMy8yNS8yMDIyLkwuLlVTRC5IAQAAAJFqAQADAAAAAABJ5MjFTg7aCKdPWMtODtoIMUNJUS5OQVNEQVFHUzpDT1NULklRX0dXLklRX0xUTS4zLzI1LzIwMjIuTC4uVVNELkgBAAAAkWoBAAMAAAAAAEnkyMVODtoIu3ZYy04O2ghDQ0lRLk5BU0RBUUdTOkNPU1QuSVFfUklTS19BREpfQkFOS19BU1NFVFMuSVFfTFRNLjMvMjUvMjAyMi5MLi5VU0QuSAEAAACRagEAAwAAAAAASeTIxU4O2gi7dljLTg7aCDRDSVEuTllTRTpXTVQuSVFfT1RIRVJfT1BFUi5GWTIwMTUuMy8yNS8yMDIyLkwuLlVTRC5IAQAAAN/GBAADAAAAAABJ5MjFTg7aCJQ66MlODtoIM0NJUS5OWVNFOldNVC5JUV9SRF9FWFBfRk4uRlkyMDE1LjMvMjUvMjAyMi5MLi5VU0QuSAEAAADfxgQAAwAAAAAASeTIxU4O2giUOujJTg7aCDpDSVEuTllTRTpXTVQuSVFfTkVUX0lOVEVSRVNUX0VYUC5GWTIwMTQuMy8yNS8yMDIyLkwuLlVTRC5IAQAAAN/GBAACAAAA</t>
  </si>
  <si>
    <t>BS0yMjE2AQgAAAAFAAAAATEBAAAACjE3ODMwMDc2NjcDAAAAAzE2MAIAAAADMzY4BAAAAAEwBwAAAAkzLzI1LzIwMjIIAAAACTEvMzEvMjAxNAkAAAABMEnkyMVODtoIA2DdyU4O2gguQ0lRLk5ZU0U6V01ULklRX0NPR1MuRlkyMDE1LjMvMjUvMjAyMi5MLi5VU0QuSAEAAADfxgQAAgAAAAYzNjUwODYBCAAAAAUAAAABMQEAAAAKMTgzNDI2NTY2OAMAAAADMTYwAgAAAAIzNAQAAAABMAcAAAAJMy8yNS8yMDIyCAAAAAkxLzMxLzIwMTUJAAAAATBJ5MjFTg7aCJBh6MlODtoIQENJUS5OQVNEQVFHUzpDT1NULklRX0ZJWEVEX0FTU0VUX1RVUk5TLklRX0xUTS4zLzI1LzIwMjIuTC4uVVNELkgBAAAAkWoBAAIAAAAHOC4wMzc0MwEIAAAABQAAAAExAQAAAAstMjEwODg1NTM0OAMAAAADMTYwAgAAAAQ0MDY2BAAAAAEwBwAAAAkzLzI1LzIwMjIIAAAACTIvMTMvMjAyMgkAAAABMEnkyMVODtoIZbNXy04O2ggsQ0lRLk5ZU0U6V01ULklRX0FSLkZZMjAxNS4zLzI1LzIwMjIuTC4uVVNELkgBAAAA38YEAAIAAAAENjc3OAEIAAAABQAAAAExAQAAAAoxODM0MjY1NjY4AwAAAAMxNjACAAAABDEwMjEEAAAAATAHAAAACTMvMjUvMjAyMggAAAAJMS8zMS8yMDE1CQAAAAEwSeTIxU4O2gge4+fJTg7aCDBDSVEuTllTRTpXTVQuSVFfRUJJVERBLkZZMjAxNS4zLzI1LzIwMjIuTC4uVVNELkgBAAAA38YEAAIAAAAFMzYzMjAB</t>
  </si>
  <si>
    <t>CAAAAAUAAAABMQEAAAAKMTgzNDI2NTY2OAMAAAADMTYwAgAAAAQ0MDUxBAAAAAEwBwAAAAkzLzI1LzIwMjIIAAAACTEvMzEvMjAxNQkAAAABMEnkyMVODtoIlDroyU4O2ggyQ0lRLk5ZU0U6V01ULklRX1RPVEFMX0NMLkZZMjAxNC4zLzI1LzIwMjIuTC4uVVNELkgBAAAA38YEAAIAAAAFNjkzNDUBCAAAAAUAAAABMQEAAAAKMTc4MzAwNzY2NwMAAAADMTYwAgAAAAQxMDA5BAAAAAEwBwAAAAkzLzI1LzIwMjIIAAAACTEvMzEvMjAxNAkAAAABMEnkyMVODtoI5jjdyU4O2ggyQ0lRLk5ZU0U6V01ULklRX0FSX1RVUk5TLkZZMjAxNC4zLzI1LzIwMjIuTC4uVVNELkgBAAAA38YEAAIAAAAJNzAuODUwNzI1AQgAAAAFAAAAATEBAAAACjE3ODMwMDc2NjcDAAAAAzE2MAIAAAAENDAwMQQAAAABMAcAAAAJMy8yNS8yMDIyCAAAAAkxLzMxLzIwMTQJAAAAATBJ5MjFTg7aCNYR3clODtoIM0NJUS5OWVNFOldNVC5JUV9JTlZFTlRPUlkuRlkyMDE0LjMvMjUvMjAyMi5MLi5VU0QuSAEAAADfxgQAAgAAAAU0NDg1OAEIAAAABQAAAAExAQAAAAoxNzgzMDA3NjY3AwAAAAMxNjACAAAABDEwNDMEAAAAATAHAAAACTMvMjUvMjAyMggAAAAJMS8zMS8yMDE0CQAAAAEwSeTIxU4O2gjWEd3JTg7aCDlDSVEuTllTRTpXTVQuSVFfSU5WRU5UT1JZX1RVUk5TLkZZMjAxNC4zLzI1LzIwMjIuTC4uVVNELkgBAAAA38YEAAIAAAAHOC4w</t>
  </si>
  <si>
    <t>NzcyNgEIAAAABQAAAAExAQAAAAoxNzgzMDA3NjY3AwAAAAMxNjACAAAABDQwODIEAAAAATAHAAAACTMvMjUvMjAyMggAAAAJMS8zMS8yMDE0CQAAAAEwSeTIxU4O2gjWEd3JTg7aCDhDSVEuTllTRTpXTVQuSVFfREFZU19TQUxFU19PVVQuRlkyMDE1LjMvMjUvMjAyMi5MLi5VU0QuSAEAAADfxgQAAgAAAAc1LjA1NTk4AQgAAAAFAAAAATEBAAAACjE4MzQyNjU2NjgDAAAAAzE2MAIAAAAENDA0MgQAAAABMAcAAAAJMy8yNS8yMDIyCAAAAAkxLzMxLzIwMTUJAAAAATBJ5MjFTg7aCB7j58lODtoIMkNJUS5OQVNEQVFHUzpDT1NULklRX0VCVC5JUV9MVE0uMy8yNS8yMDIyLkwuLlVTRC5IAQAAAJFqAQACAAAABDc0MzgBCAAAAAUAAAABMQEAAAALLTIxMDg4NTUzNDgDAAAAAzE2MAIAAAADMTM5BAAAAAEwBwAAAAkzLzI1LzIwMjIIAAAACTIvMTMvMjAyMgkAAAABMEnkyMVODtoIFM5dy04O2gg/Q0lRLk5BU0RBUUdTOkNPU1QuSVFfVE9UQUxfQkFOS19DQVBJVEFMLjEwMDAuMy8yNS8yMDIyLkwuLlVTRC5IAQAAAJFqAQADAAAAAABJ5MjFTg7aCOnzWMtODtoILENJUS5OWVNFOldNVC5JUV9BUC5GWTIwMTQuMy8yNS8yMDIyLkwuLlVTRC5IAQAAAN/GBAACAAAABTM3NDE1AQgAAAAFAAAAATEBAAAACjE3ODMwMDc2NjcDAAAAAzE2MAIAAAAEMTAxOAQAAAABMAcAAAAJMy8yNS8yMDIyCAAAAAkxLzMxLzIwMTQJ</t>
  </si>
  <si>
    <t>AAAAATBJ5MjFTg7aCNYR3clODtoILkNJUS5OWVNFOldNVC5JUV9FQklULkZZMjAxNS4zLzI1LzIwMjIuTC4uVVNELkgBAAAA38YEAAIAAAAFMjcxNDcBCAAAAAUAAAABMQEAAAAKMTgzNDI2NTY2OAMAAAADMTYwAgAAAAM0MDAEAAAAATAHAAAACTMvMjUvMjAyMggAAAAJMS8zMS8yMDE1CQAAAAEwSeTIxU4O2giUOujJTg7aCDtDSVEuTllTRTpXTVQuSVFfRklYRURfQVNTRVRfVFVSTlMuRlkyMDE1LjMvMjUvMjAyMi5MLi5VU0QuSAEAAADfxgQAAgAAAAg0LjE0MDkxNwEIAAAABQAAAAExAQAAAAoxODM0MjY1NjY4AwAAAAMxNjACAAAABDQwNjYEAAAAATAHAAAACTMvMjUvMjAyMggAAAAJMS8zMS8yMDE1CQAAAAEwSeTIxU4O2gge4+fJTg7aCDVDSVEuTllTRTpXTVQuSVFfQVNTRVRfVFVSTlMuRlkyMDE0LjMvMjUvMjAyMi5MLi5VU0QuSAEAAADfxgQAAgAAAAgyLjMzNTU5OAEIAAAABQAAAAExAQAAAAoxNzgzMDA3NjY3AwAAAAMxNjACAAAABDQxNzcEAAAAATAHAAAACTMvMjUvMjAyMggAAAAJMS8zMS8yMDE0CQAAAAEwSeTIxU4O2gjWEd3JTg7aCDhDSVEuTkFTREFRR1M6Q09TVC5JUV9BUi5JUV9MVE0uMy8yNS8yMDIyLkwuLlVTRC5ILi4uLlVTRAEAAACRagEAAgAAAAQyMjMyAQgAAAAFAAAAATEBAAAACy0yMTA4ODU1MzQ4AwAAAAMxNjACAAAABDEwMjEEAAAAATAHAAAACTMvMjUvMjAyMggAAAAJ</t>
  </si>
  <si>
    <t>Mi8xMy8yMDIyCQAAAAEwSeTIxU4O2gh52lfLTg7aCDZDSVEuTkFTREFRR1M6Q09TVC5JUV9SRVZFTlVFLklRX0xUTS4zLzI1LzIwMjIuTC4uVVNELkgBAAAAkWoBAAIAAAAGMjEwMjE5AQgAAAAFAAAAATEBAAAACy0yMTA4ODU1MzQ4AwAAAAMxNjACAAAAAzExMgQAAAABMAcAAAAJMy8yNS8yMDIyCAAAAAkyLzEzLzIwMjIJAAAAATBJ5MjFTg7aCIUBWMtODtoIMUNJUS5OQVNEQVFHUzpDT1NULklRX0FSLklRX0xUTS4zLzI1LzIwMjIuTC4uVVNELkgBAAAAkWoBAAIAAAAEMjIzMgEIAAAABQAAAAExAQAAAAstMjEwODg1NTM0OAMAAAADMTYwAgAAAAQxMDIxBAAAAAEwBwAAAAkzLzI1LzIwMjIIAAAACTIvMTMvMjAyMgkAAAABMEnkyMVODtoIedpXy04O2ggzQ0lRLk5BU0RBUUdTOkNPU1QuSVFfQVIuSVFfTFRNLTQuMy8yNS8yMDIyLkwuLlVTRC5IAQAAAJFqAQACAAAABDE5MzQBCAAAAAUAAAABMQEAAAALLTIxMDg4NTUzMTMDAAAAAzE2MAIAAAAEMTAyMQQAAAABMAcAAAAJMy8yNS8yMDIyCAAAAAkyLzE0LzIwMjEJAAAAATBJ5MjFTg7aCHnaV8tODtoILENJUS5OWVNFOldNVC5JUV9BUC5GWTIwMTUuMy8yNS8yMDIyLkwuLlVTRC5IAQAAAN/GBAACAAAABTM4NDEwAQgAAAAFAAAAATEBAAAACjE4MzQyNjU2NjgDAAAAAzE2MAIAAAAEMTAxOAQAAAABMAcAAAAJMy8yNS8yMDIyCAAAAAkxLzMxLzIwMTUJ</t>
  </si>
  <si>
    <t>AAAAATBJ5MjFTg7aCB7j58lODtoIPENJUS5OQVNEQVFHUzpDT1NULklRX0VCSVREQV9NQVJHSU4uSVFfTFRNLjMvMjUvMjAyMi5MLi5VU0QuSAEAAACRagEAAgAAAAY0LjcxMTcBCAAAAAUAAAABMQEAAAALLTIxMDg4NTUzNDgDAAAAAzE2MAIAAAAENDA0NwQAAAABMAcAAAAJMy8yNS8yMDIyCAAAAAkyLzEzLzIwMjIJAAAAATBJ5MjFTg7aCJYoWMtODtoIPUNJUS5OQVNEQVFHUzpDT1NULklRX1RJRVJfT05FX1JBVElPLklRX0xUTS4zLzI1LzIwMjIuTC4uVVNELkgBAAAAkWoBAAMAAAAAAEnkyMVODtoIp09Yy04O2gg2Q0lRLk5ZU0U6V01ULklRX0dST1NTX1BST0ZJVC5GWTIwMTUuMy8yNS8yMDIyLkwuLlVTRC5IAQAAAN/GBAACAAAABjEyMDU2NQEIAAAABQAAAAExAQAAAAoxODM0MjY1NjY4AwAAAAMxNjACAAAAAjEwBAAAAAEwBwAAAAkzLzI1LzIwMjIIAAAACTEvMzEvMjAxNQkAAAABMEnkyMVODtoIlDroyU4O2ghJQ0lRLk5BU0RBUUdTOkNPU1QuSVFfTk9OX1BFUkZfTE9BTlNfVE9UQUxfTE9BTlMuSVFfTFRNLjMvMjUvMjAyMi5MLi5VU0QuSAEAAACRagEAAwAAAAAASeTIxU4O2ginT1jLTg7aCDNDSVEuTllTRTpXTVQuSVFfREFfRUJJVERBLkZZMjAxNS4zLzI1LzIwMjIuTC4uVVNELkgBAAAA38YEAAIAAAAEOTE3MwEIAAAABQAAAAExAQAAAAoxODM0MjY1NjY4AwAAAAMxNjACAAAABDIyMDYE</t>
  </si>
  <si>
    <t>AAAAATAHAAAACTMvMjUvMjAyMggAAAAJMS8zMS8yMDE1CQAAAAEwSeTIxU4O2giUOujJTg7aCENDSVEuTkFTREFRR1M6Q09TVC5JUV9OT05fUEVSRk9STUlOR19MT0FOUy5JUV9MVE0uMy8yNS8yMDIyLkwuLlVTRC5IAQAAAJFqAQADAAAAAABJ5MjFTg7aCKdPWMtODtoINENJUS5OWVNFOldNVC5JUV9DQVNIX0VRVUlWLkZZMjAxNS4zLzI1LzIwMjIuTC4uVVNELkgBAAAA38YEAAIAAAAEOTEzNQEIAAAABQAAAAExAQAAAAoxODM0MjY1NjY4AwAAAAMxNjACAAAABDEwOTYEAAAAATAHAAAACTMvMjUvMjAyMggAAAAJMS8zMS8yMDE1CQAAAAEwSeTIxU4O2gjYu+fJTg7aCDNDSVEuTllTRTpXTVQuSVFfQ0FTSF9PUEVSLkZZMjAxNC4zLzI1LzIwMjIuTC4uVVNELkgBAAAA38YEAAIAAAAFMjMyNTcBCAAAAAUAAAABMQEAAAAKMTc4MzAwNzY2NwMAAAADMTYwAgAAAAQyMDA2BAAAAAEwBwAAAAkzLzI1LzIwMjIIAAAACTEvMzEvMjAxNAkAAAABMEnkyMVODtoI1hHdyU4O2ggtQ0lRLk5ZU0U6V01ULklRX1NHQS5GWTIwMTQuMy8yNS8yMDIyLkwuLlVTRC5IAQAAAN/GBAACAAAABTkxMzUzAQgAAAAFAAAAATEBAAAACjE3ODMwMDc2NjcDAAAAAzE2MAIAAAACMjMEAAAAATAHAAAACTMvMjUvMjAyMggAAAAJMS8zMS8yMDE0CQAAAAEwSeTIxU4O2ggDYN3JTg7aCEJDSVEuTkFTREFRR1M6Q09TVC5JUV9UT1RBTF9D</t>
  </si>
  <si>
    <t>QVBJVEFMX1JBVElPLklRX0xUTS4zLzI1LzIwMjIuTC4uVVNELkgBAAAAkWoBAAMAAAAAAEnkyMVODtoIp09Yy04O2ggpQ0lRLk5ZU0U6V01ULklRX05JLklRX0xUTS5GWTIwMTUuTC4uVVNELkgBAAAA38YEAAIAAAAFMTYzNjMBCAAAAAUAAAABMQEAAAAKMTgzNDI2OTYzMgMAAAADMTYwAgAAAAIxNQQAAAABMAcAAAAJMy8yNS8yMDIyCAAAAAkxLzMxLzIwMTUJAAAAATBJ5MjFTg7aCAER6MlODtoIMkNJUS5OWVNFOldNVC5JUV9UT1RBTF9DTC5GWTIwMTUuMy8yNS8yMDIyLkwuLlVTRC5IAQAAAN/GBAACAAAABTY1MjUzAQgAAAAFAAAAATEBAAAACjE4MzQyNjU2NjgDAAAAAzE2MAIAAAAEMTAwOQQAAAABMAcAAAAJMy8yNS8yMDIyCAAAAAkxLzMxLzIwMTUJAAAAATBJ5MjFTg7aCAER6MlODtoIO0NJUS5OWVNFOldNVC5JUV9GSVhFRF9BU1NFVF9UVVJOUy5GWTIwMTQuMy8yNS8yMDIyLkwuLlVTRC5IAQAAAN/GBAACAAAACDQuMDYwNjg1AQgAAAAFAAAAATEBAAAACjE3ODMwMDc2NjcDAAAAAzE2MAIAAAAENDA2NgQAAAABMAcAAAAJMy8yNS8yMDIyCAAAAAkxLzMxLzIwMTQJAAAAATBJ5MjFTg7aCNYR3clODtoIM0NJUS5OWVNFOldNVC5JUV9UT1RBTF9DQVAuRlkyMDE1LjMvMjUvMjAyMi5MLi5VU0QuSAEAAADfxgQAAgAAAAYxMzY3MTMBCAAAAAUAAAABMQEAAAAKMTgzNDI2NTY2OAMAAAADMTYwAgAA</t>
  </si>
  <si>
    <t>AAQ0MTc1BAAAAAEwBwAAAAkzLzI1LzIwMjIIAAAACTEvMzEvMjAxNQkAAAABMEnkyMVODtoIHuPnyU4O2gg1Q0lRLk5ZU0U6V01ULklRX0FTU0VUX1RVUk5TLkZZMjAxNS4zLzI1LzIwMjIuTC4uVVNELkgBAAAA38YEAAIAAAAIMi4zNzkyMzYBCAAAAAUAAAABMQEAAAAKMTgzNDI2NTY2OAMAAAADMTYwAgAAAAQ0MTc3BAAAAAEwBwAAAAkzLzI1LzIwMjIIAAAACTEvMzEvMjAxNQkAAAABMEnkyMVODtoIHuPnyU4O2ggzQ0lRLk5ZU0U6V01ULklRX1RPVEFMX0NBUC5GWTIwMTQuMy8yNS8yMDIyLkwuLlVTRC5IAQAAAN/GBAACAAAABjEzOTQ3MwEIAAAABQAAAAExAQAAAAoxNzgzMDA3NjY3AwAAAAMxNjACAAAABDQxNzUEAAAAATAHAAAACTMvMjUvMjAyMggAAAAJMS8zMS8yMDE0CQAAAAEwSeTIxU4O2gjWEd3JTg7aCDRDSVEuTllTRTpXTVQuSVFfT1RIRVJfT1BFUi5GWTIwMTQuMy8yNS8yMDIyLkwuLlVTRC5IAQAAAN/GBAADAAAAAABJ5MjFTg7aCANg3clODtoIM0NJUS5OWVNFOldNVC5JUV9EQV9FQklUREEuRlkyMDE0LjMvMjUvMjAyMi5MLi5VU0QuSAEAAADfxgQAAgAAAAQ4ODcwAQgAAAAFAAAAATEBAAAACjE3ODMwMDc2NjcDAAAAAzE2MAIAAAAEMjIwNgQAAAABMAcAAAAJMy8yNS8yMDIyCAAAAAkxLzMxLzIwMTQJAAAAATBJ5MjFTg7aCANg3clODtoIOENJUS5OQVNEQVFHUzpDT1NULklRX05J</t>
  </si>
  <si>
    <t>X01BUkdJTi5JUV9MVE0uMy8yNS8yMDIyLkwuLlVTRC5IAQAAAJFqAQACAAAABjIuNjIyNQEIAAAABQAAAAExAQAAAAstMjEwODg1NTM0OAMAAAADMTYwAgAAAAQ0MDk0BAAAAAEwBwAAAAkzLzI1LzIwMjIIAAAACTIvMTMvMjAyMgkAAAABMEnkyMVODtoIu3ZYy04O2ghHQ0lRLk5BU0RBUUdTOkNPU1QuSVFfVE9UQUxfUkVWXzFZUl9BTk5fR1JPV1RILklRX0xUTS4zLzI1LzIwMjIuTC4uVVNELkgBAAAAkWoBAAIAAAAHMTcuNjg2NgEIAAAABQAAAAExAQAAAAstMjEwODg1NTM0OAMAAAADMTYwAgAAAAQ0MTk0BAAAAAEwBwAAAAkzLzI1LzIwMjIIAAAACTIvMTMvMjAyMgkAAAABMEnkyMVODtoIlihYy04O2ghAQ0lRLk5BU0RBUUdTOkNPU1QuSVFfVE9UQUxfUkVWXzFZUl9BTk5fR1JPV1RILklRX0xUTS4zLzI1LzIwMjIuTAEAAACRagEAAgAAAAcxNy42ODY2AQgAAAAFAAAAATEBAAAACy0yMTA4ODU1MzQ4AwAAAAMxNjACAAAABDQxOTQEAAAAATAHAAAACTMvMjUvMjAyMggAAAAJMi8xMy8yMDIyCQAAAAEwSeTIxU4O2gi7dljLTg7aCDlDSVEuTkFTREFRR1M6Q09TVC5JUV9UT1RBTF9BU1NFVFMuMjAwMC4zLzI1LzIwMjIuTC4uVVNELkgBAAAAkWoBAAIAAAAFNjMwNzgBCAAAAAUAAAABMQEAAAALLTIxMDg4NTUzNDgDAAAAAzE2MAIAAAAEMTAwNwQAAAABMAcAAAAJMy8yNS8yMDIyCAAAAAkyLzEzLzIw</t>
  </si>
  <si>
    <t>MjIJAAAAATBJ5MjFTg7aCGWzV8tODtoIQENJUS5OQVNEQVFHUzpDT1NULklRX1RPVEFMX0NPTU1PTl9FUVVJVFkuMjAwMC4zLzI1LzIwMjIuTC4uVVNELkgBAAAAkWoBAAIAAAAFMTk0MTgBCAAAAAUAAAABMQEAAAALLTIxMDg4NTUzNDgDAAAAAzE2MAIAAAAEMTAwNgQAAAABMAcAAAAJMy8yNS8yMDIyCAAAAAkyLzEzLzIwMjIJAAAAATBJ5MjFTg7aCGWzV8tODtoIJkNJUS5OQVNEQVFHUzpDT1NULklRX1RPVEFMX0FTU0VUUy4yMDAwAQAAAJFqAQACAAAABTYzMDc4AQgAAAAFAAAAATEBAAAACy0yMTA4ODU1MzQ4AwAAAAMxNjACAAAABDEwMDcEAAAAATAHAAAACTMvMjUvMjAyMggAAAAJMi8xMy8yMDIyCQAAAAEwSeTIxU4O2ginT1jLTg7aCC1DSVEuTkFTREFRR1M6Q09TVC5JUV9UT1RBTF9DT01NT05fRVFVSVRZLjIwMDABAAAAkWoBAAIAAAAFMTk0MTgBCAAAAAUAAAABMQEAAAALLTIxMDg4NTUzNDgDAAAAAzE2MAIAAAAEMTAwNgQAAAABMAcAAAAJMy8yNS8yMDIyCAAAAAkyLzEzLzIwMjIJAAAAATBJ5MjFTg7aCKdPWMtODtoIOkNJUS5OWVNFOldNVC5JUV9ORVRfSU5URVJFU1RfRVhQLkZZMjAxNS4zLzI1LzIwMjIuTC4uVVNELkgBAAAA38YEAAIAAAAFLTIzNDgBCAAAAAUAAAABMQEAAAAKMTgzNDI2NTY2OAMAAAADMTYwAgAAAAMzNjgEAAAAATAHAAAACTMvMjUvMjAyMggAAAAJMS8zMS8yMDE1</t>
  </si>
  <si>
    <t>CQAAAAEwSeTIxU4O2giUOujJTg7aCDxDSVEuTllTRTpXTVQuSVFfREFZU19JTlZFTlRPUllfT1VULkZZMjAxNC4zLzI1LzIwMjIuTC4uVVNELkgBAAAA38YEAAIAAAAINDUuMTg4NDYBCAAAAAUAAAABMQEAAAAKMTc4MzAwNzY2NwMAAAADMTYwAgAAAAQ0MDM1BAAAAAEwBwAAAAkzLzI1LzIwMjIIAAAACTEvMzEvMjAxNAkAAAABMEnkyMVODtoI1hHdyU4O2ggwQ0lRLk5ZU0U6V01ULklRX0VCSVREQS5GWTIwMTQuMy8yNS8yMDIyLkwuLlVTRC5IAQAAAN/GBAACAAAABTM1NzQyAQgAAAAFAAAAATEBAAAACjE3ODMwMDc2NjcDAAAAAzE2MAIAAAAENDA1MQQAAAABMAcAAAAJMy8yNS8yMDIyCAAAAAkxLzMxLzIwMTQJAAAAATBJ5MjFTg7aCOY43clODtoINUNJUS5OQVNEQVFHUzpDT1NULklRX1JEX0VYUC5JUV9MVE0uMy8yNS8yMDIyLkwuLlVTRC5IAQAAAJFqAQADAAAAAABJ5MjFTg7aCIUBWMtODtoIO0NJUS5OQVNEQVFHUzpDT1NULklRX0dST1NTX01BUkdJTi5JUV9MVE0uMy8yNS8yMDIyLkwuLlVTRC5IAQAAAJFqAQACAAAABzEyLjY1NDQBCAAAAAUAAAABMQEAAAALLTIxMDg4NTUzNDgDAAAAAzE2MAIAAAAENDA3NAQAAAABMAcAAAAJMy8yNS8yMDIyCAAAAAkyLzEzLzIwMjIJAAAAATBJ5MjFTg7aCJYoWMtODtoILUNJUS5OWVNFOldNVC5JUV9TR0EuRlkyMDE1LjMvMjUvMjAyMi5MLi5VU0QuSAEA</t>
  </si>
  <si>
    <t>AADfxgQAAgAAAAU5MzQxOAEIAAAABQAAAAExAQAAAAoxODM0MjY1NjY4AwAAAAMxNjACAAAAAjIzBAAAAAEwBwAAAAkzLzI1LzIwMjIIAAAACTEvMzEvMjAxNQkAAAABMEnkyMVODtoIlDroyU4O2ggwQ0lRLk5ZU0U6V01ULklRX0VCSVREQS5GWTIwMTMuMy8yNS8yMDIyLkwuLlVTRC5IAQAAAN/GBAACAAAABTM2MjAzAQgAAAAFAAAAATEBAAAACjE3MjY0ODkzODEDAAAAAzE2MAIAAAAENDA1MQQAAAABMAcAAAAJMy8yNS8yMDIyCAAAAAkxLzMxLzIwMTMJAAAAATBJ5MjFTg7aCLIS5clODtoILkNJUS5OWVNFOldNVC5JUV9FQklULkZZMjAxNi4zLzI1LzIwMjIuTC4uVVNELkgBAAAA38YEAAIAAAAFMjQxMDUBCAAAAAUAAAABMQEAAAAKMTg4MDcxODc2MgMAAAADMTYwAgAAAAM0MDAEAAAAATAHAAAACTMvMjUvMjAyMggAAAAJMS8zMS8yMDE2CQAAAAEwSeTIxU4O2ghsxubJTg7aCDRDSVEuTllTRTpXTVQuSVFfT1RIRVJfT1BFUi5GWTIwMTMuMy8yNS8yMDIyLkwuLlVTRC5IAQAAAN/GBAADAAAAAABJ5MjFTg7aCLIS5clODtoILUNJUS5OWVNFOldNVC5JUV9TR0EuRlkyMDE2LjMvMjUvMjAyMi5MLi5VU0QuSAEAAADfxgQAAgAAAAU5NzA0MQEIAAAABQAAAAExAQAAAAoxODgwNzE4NzYyAwAAAAMxNjACAAAAAjIzBAAAAAEwBwAAAAkzLzI1LzIwMjIIAAAACTEvMzEvMjAxNgkAAAABMEnkyMVODtoIku3m</t>
  </si>
  <si>
    <t>yU4O2gg2Q0lRLk5ZU0U6V01ULklRX0dST1NTX1BST0ZJVC5GWTIwMTYuMy8yNS8yMDIyLkwuLlVTRC5IAQAAAN/GBAACAAAABjEyMTE0NgEIAAAABQAAAAExAQAAAAoxODgwNzE4NzYyAwAAAAMxNjACAAAAAjEwBAAAAAEwBwAAAAkzLzI1LzIwMjIIAAAACTEvMzEvMjAxNgkAAAABMEnkyMVODtoIku3myU4O2gg5Q0lRLk5ZU0U6V01ULklRX0lOVkVOVE9SWV9UVVJOUy5GWTIwMTYuMy8yNS8yMDIyLkwuLlVTRC5IAQAAAN/GBAACAAAACDguMDU2Nzc5AQgAAAAFAAAAATEBAAAACjE4ODA3MTg3NjIDAAAAAzE2MAIAAAAENDA4MgQAAAABMAcAAAAJMy8yNS8yMDIyCAAAAAkxLzMxLzIwMTYJAAAAATBJ5MjFTg7aCFh45slODtoINENJUS5OWVNFOldNVC5JUV9DQVNIX0VRVUlWLkZZMjAxMy4zLzI1LzIwMjIuTC4uVVNELkgBAAAA38YEAAIAAAAENzc4MQEIAAAABQAAAAExAQAAAAoxNzI2NDg5MzgxAwAAAAMxNjACAAAABDEwOTYEAAAAATAHAAAACTMvMjUvMjAyMggAAAAJMS8zMS8yMDEzCQAAAAEwSeTIxU4O2gjpm+TJTg7aCDpDSVEuTllTRTpXTVQuSVFfTkVUX0lOVEVSRVNUX0VYUC5GWTIwMTMuMy8yNS8yMDIyLkwuLlVTRC5IAQAAAN/GBAACAAAABS0yMDYzAQgAAAAFAAAAATEBAAAACjE3MjY0ODkzODEDAAAAAzE2MAIAAAADMzY4BAAAAAEwBwAAAAkzLzI1LzIwMjIIAAAACTEvMzEvMjAxMwkAAAAB</t>
  </si>
  <si>
    <t>MEnkyMVODtoIshLlyU4O2ggsQ0lRLk5ZU0U6V01ULklRX0FQLkZZMjAxMy4zLzI1LzIwMjIuTC4uVVNELkgBAAAA38YEAAIAAAAFMzgwODABCAAAAAUAAAABMQEAAAAKMTcyNjQ4OTM4MQMAAAADMTYwAgAAAAQxMDE4BAAAAAEwBwAAAAkzLzI1LzIwMjIIAAAACTEvMzEvMjAxMwkAAAABMEnkyMVODtoI6ZvkyU4O2gg8Q0lRLk5ZU0U6V01ULklRX0RBWVNfSU5WRU5UT1JZX09VVC5GWTIwMTMuMy8yNS8yMDIyLkwuLlVTRC5IAQAAAN/GBAACAAAACTQzLjkwMjA2NgEIAAAABQAAAAExAQAAAAoxNzI2NDg5MzgxAwAAAAMxNjACAAAABDQwMzUEAAAAATAHAAAACTMvMjUvMjAyMggAAAAJMS8zMS8yMDEzCQAAAAEwSeTIxU4O2gjpm+TJTg7aCDNDSVEuTllTRTpXTVQuSVFfREFfRUJJVERBLkZZMjAxNi4zLzI1LzIwMjIuTC4uVVNELkgBAAAA38YEAAIAAAAEOTQ1NAEIAAAABQAAAAExAQAAAAoxODgwNzE4NzYyAwAAAAMxNjACAAAABDIyMDYEAAAAATAHAAAACTMvMjUvMjAyMggAAAAJMS8zMS8yMDE2CQAAAAEwSeTIxU4O2giS7ebJTg7aCDNDSVEuTllTRTpXTVQuSVFfUkRfRVhQX0ZOLkZZMjAxMy4zLzI1LzIwMjIuTC4uVVNELkgBAAAA38YEAAMAAAAAAEnkyMVODtoIaDzlyU4O2gg1Q0lRLk5ZU0U6V01ULklRX0FTU0VUX1RVUk5TLkZZMjAxNi4zLzI1LzIwMjIuTC4uVVNELkgBAAAA38YEAAIAAAAIMi4z</t>
  </si>
  <si>
    <t>OTIyODMBCAAAAAUAAAABMQEAAAAKMTg4MDcxODc2MgMAAAADMTYwAgAAAAQ0MTc3BAAAAAEwBwAAAAkzLzI1LzIwMjIIAAAACTEvMzEvMjAxNgkAAAABMEnkyMVODtoIWHjmyU4O2gguQ0lRLk5ZU0U6V01ULklRX0NPR1MuRlkyMDEzLjMvMjUvMjAyMi5MLi5VU0QuSAEAAADfxgQAAgAAAAYzNTIyOTcBCAAAAAUAAAABMQEAAAAKMTcyNjQ4OTM4MQMAAAADMTYwAgAAAAIzNAQAAAABMAcAAAAJMy8yNS8yMDIyCAAAAAkxLzMxLzIwMTMJAAAAATBJ5MjFTg7aCGg85clODtoIJ0NJUS5OWVNFOldNVC5JUV9NQVJLRVRDQVAuMy8yNS8yMDIyLlVTRAEAAADfxgQAAgAAAAwzOTMwMzYuNjg0NDEBBgAAAAUAAAABMQEAAAALLTIxMDc2ODYwMTADAAAAAzE2MAIAAAAGMTAwMDU0BAAAAAEwBwAAAAkzLzI0LzIwMjJJ5MjFTg7aCL1MPstODtoIK0NJUS5OWVNFOldNVC5JUV9MQVNUU0FMRVBSSUNFLjMvMjUvMjAyMi5VU0QBAAAA38YEAAIAAAAFMTQzLjgASeTIxU4O2gi9TD7LTg7aCC5DSVEuTkFTREFRR1M6Q09TVC5JUV9NQVJLRVRDQVAuMy8yNS8yMDIyLlVTRC5IAQAAAJFqAQACAAAADTI0NzM2Ny45MDg0OTIBBgAAAAUAAAABMQEAAAALLTIxMDg4NTU5MTkDAAAAAzE2MAIAAAAGMTAwMDU0BAAAAAEwBwAAAAkzLzI0LzIwMjJVC8nFTg7aCE9lV8tODtoILENJUS5OQVNEQVFHUzpDT1NULklRX0xBU1RTQUxFUFJJ</t>
  </si>
  <si>
    <t>Q0UuMy8yNS8yMDIxAQAAAJFqAQACAAAABjM0Ni4zNABVC8nFTg7aCJYoWMtODtoIL0NJUS5OQVNEQVFHUzpDT1NULklRX0NMT1NFUFJJQ0UuMy8yNS8yMDIyLlVTRC5IAQAAAJFqAQACAAAABjU1OC4xMQBVC8nFTg7aCLt2WMtODtoILENJUS5OQVNEQVFHUzpDT1NULklRX0xBU1RTQUxFUFJJQ0UuMy8yNS8yMDIyAQAAAJFqAQACAAAABjU1Ny42MQBVC8nFTg7aCJYoWMtODtoIL0NJUS5OQVNEQVFHUzpDT1NULklRX0NMT1NFUFJJQ0UuMy8yNS8yMDIxLlVTRC5IAQAAAJFqAQACAAAABjM0Ni4zNABVC8nFTg7aCLt2WMtODtoIMENJUS5OWVNFOldNVC5JUV9FUFNfRVNULklRX0ZZKzEuMy8yNS8yMDIyLi5GLlVTRAEAAADfxgQAAgAAAAc2Ljc1ODg2AQ4AAAAFAAAAATMBAAAABzI2NjMyMjICAAAACjEwMDIwODI3NjIDAAAABjEwMDE3MwQAAAABMgYAAAABMAcAAAADMTYwCAAAAAEwCQAAAAExCgAAAAEwCwAAAAsxMjc5OTE0ODIzOQwAAAABMQ0AAAAJMy8yNi8yMDIyEAAAAAkzLzI1LzIwMjJVC8nFTg7aCLCDPstODtoIM0NJUS5OWVNFOldNVC5JUV9FQklUREFfRVNULklRX0ZZKzEuMy8yNS8yMDIyLi5GLlVTRAEAAADfxgQAAgAAAAszODAxOC45MDU0MwEOAAAABQAAAAEzAQAAAAEwAgAAAAoxMDAyMDgyNzYyAwAAAAYxMDAxODcEAAAAATIGAAAAATAHAAAAAzE2MAgAAAABMAkAAAABMQoAAAABMAsAAAAL</t>
  </si>
  <si>
    <t>MTI3OTU3ODA4MzMMAAAAATENAAAACTMvMjYvMjAyMhAAAAAJMy8yNS8yMDIyVQvJxU4O2giPqz7LTg7aCDdDSVEuTllTRTpXTVQuSVFfRVNUX0FDVF9FQklUREEuSVFfRlktNS4zLzI1LzIwMjIuTC4uVVNEAQAAAN/GBAACAAAACDMyNjc4LjI0AQ4AAAAFAAAAATMBAAAAATACAAAACjEwMDAyMDc0OTEDAAAABjEwMDE5MwQAAAABMgYAAAABMAcAAAADMTYwCAAAAAEwCQAAAAExCgAAAAEwCwAAAAsxMDk0MTcwNzE0MQwAAAABMQ0AAAAJMy8yNi8yMDIyEAAAAAkxLzMxLzIwMTdVC8nFTg7aCHl7Q8tODtoIM0NJUS5OWVNFOldNVC5JUV9FU1RfQUNUX05JLklRX0ZZLTQuMy8yNS8yMDIyLkwuLlVTRAEAAADfxgQAAgAAAAcxMzMwNC4yAQ4AAAAFAAAAATMBAAAAATACAAAACjEwMDAyMDc0OTIDAAAABjEwMDI1NgQAAAABMgYAAAABMAcAAAADMTYwCAAAAAEwCQAAAAExCgAAAAEwCwAAAAsxMDc1NDMwNDQ3MwwAAAABMQ0AAAAJMy8yNi8yMDIyEAAAAAkxLzMxLzIwMThVC8nFTg7aCOn7QstODtoINUNJUS5OWVNFOldNVC5JUV9FU1RfQUNUX0VCSVREQS5JUV9GWS4zLzI1LzIwMjIuTC4uVVNEAQAAAN/GBAACAAAABTM2NzA4AQ4AAAAFAAAAATMBAAAAATACAAAACjEwMDIwODI3NjEDAAAABjEwMDE5MwQAAAABMgYAAAABMAcAAAADMTYwCAAAAAEwCQAAAAExCgAAAAEwCwAAAAsxMjc1NTE4NTEwNQwAAAABMQ0A</t>
  </si>
  <si>
    <t>AAAJMy8yNi8yMDIyEAAAAAkxLzMxLzIwMjJVC8nFTg7aCFFUQ8tODtoINUNJUS5OWVNFOldNVC5JUV9FU1RfQUNUX0VCSVQuSVFfRlktMS4zLzI1LzIwMjIuTC4uVVNEAQAAAN/GBAACAAAABTIzMTgwAQ4AAAAFAAAAATMBAAAAATACAAAACjEwMDE4MTg1OTMDAAAABjEwMDIyMQQAAAABMgYAAAABMAcAAAADMTYwCAAAAAEwCQAAAAExCgAAAAEwCwAAAAsxMjI2MzAzMzU1MAwAAAABMQ0AAAAJMy8yNi8yMDIyEAAAAAkxLzMxLzIwMjFVC8nFTg7aCOn7QstODtoINUNJUS5OWVNFOldNVC5JUV9FU1RfQUNUX0VCSVQuSVFfRlktMi4zLzI1LzIwMjIuTC4uVVNEAQAAAN/GBAACAAAABTIxNDA3AQ4AAAAFAAAAATMBAAAAATACAAAACjEwMDE3NDI0ODQDAAAABjEwMDIyMQQAAAABMgYAAAABMAcAAAADMTYwCAAAAAEwCQAAAAExCgAAAAEwCwAAAAsxMTc5NTMzMTY3MAwAAAABMQ0AAAAJMy8yNi8yMDIyEAAAAAkxLzMxLzIwMjBVC8nFTg7aCOn7QstODtoIMUNJUS5OWVNFOldNVC5JUV9FUFNfRVNULklRX0ZZKzIuMy8yNS8yMDIyLkwuRi5VU0QBAAAA38YEAAIAAAAHNy4yNTUyOAEOAAAABQAAAAEzAQAAAAcyNjYzMjIyAgAAAAoxMDAyMDgyNzYzAwAAAAYxMDAxNzMEAAAAATIGAAAAATAHAAAAAzE2MAgAAAABMAkAAAABMQoAAAABMAsAAAALMTI3OTkxNDgyMzMMAAAAATENAAAACTMvMjYvMjAyMhAAAAAJMy8y</t>
  </si>
  <si>
    <t>NS8yMDIyVQvJxU4O2ggi2ELLTg7aCDRDSVEuTllTRTpXTVQuSVFfUkVWRU5VRV9FU1QuSVFfRlkrMi4zLzI1LzIwMjIuLkYuVVNEAQAAAN/GBAACAAAADDYwNzg1OC42Nzc0MgEOAAAABQAAAAEzAQAAAAEwAgAAAAoxMDAyMDgyNzYzAwAAAAYxMDAxODAEAAAAATIGAAAAATAHAAAAAzE2MAgAAAABMAkAAAABMQoAAAABMAsAAAALMTI3OTU3ODA3NzMMAAAAATENAAAACTMvMjYvMjAyMhAAAAAJMy8yNS8yMDIyVQvJxU4O2giPqz7LTg7aCDdDSVEuTllTRTpXTVQuSVFfUFJFVEFYX0lOQ19FU1QuSVFfRlkrMi4zLzI1LzIwMjIuLkYuVVNEAQAAAN/GBAACAAAACzI2NjA4LjU5NjkxAQ4AAAAFAAAAATMBAAAAATACAAAACjEwMDIwODI3NjMDAAAABjEwMDIyOQQAAAABMgYAAAABMAcAAAADMTYwCAAAAAEwCQAAAAExCgAAAAEwCwAAAAsxMjc5NDQ3MjU0NQwAAAABMQ0AAAAJMy8yNi8yMDIyEAAAAAkzLzI1LzIwMjJVC8nFTg7aCLCDPstODtoIMENJUS5OWVNFOldNVC5JUV9OSV9FU1QuSVFfRlkrMS4zLzI1LzIwMjIuTC5GLlVTRAEAAADfxgQAAgAAAAsxODU3NS4wNjAxNwEOAAAABQAAAAEzAQAAAAEwAgAAAAoxMDAyMDgyNzYyAwAAAAYxMDAyNTAEAAAAATIGAAAAATAHAAAAAzE2MAgAAAABMAkAAAABMQoAAAABMAsAAAALMTI3OTQ0Njk2MDcMAAAAATENAAAACTMvMjYvMjAyMhAAAAAJMy8yNS8yMDIyVQvJ</t>
  </si>
  <si>
    <t>xU4O2gjp+0LLTg7aCDpDSVEuTllTRTpXTVQuSVFfRVBTX1JFUE9SVEVEX0VTVC5JUV9GWSsyLjMvMjUvMjAyMi5MLkYuVVNEAQAAAN/GBAACAAAABzcuMjUzNTcBDgAAAAUAAAABMwEAAAAHMjY2MzIyMgIAAAAKMTAwMjA4Mjc2MwMAAAAGMTAwMjc4BAAAAAEyBgAAAAEwBwAAAAMxNjAIAAAAATAJAAAAATEKAAAAATALAAAACzEyNzk1NzgwNDQ5DAAAAAExDQAAAAkzLzI2LzIwMjIQAAAACTMvMjUvMjAyMlULycVODtoIBu5Cy04O2ggxQ0lRLk5ZU0U6V01ULklRX0VQU19FU1QuSVFfRlkrMS4zLzI1LzIwMjIuTC5GLlVTRAEAAADfxgQAAgAAAAc2Ljc1ODg2AQ4AAAAFAAAAATMBAAAABzI2NjMyMjICAAAACjEwMDIwODI3NjIDAAAABjEwMDE3MwQAAAABMgYAAAABMAcAAAADMTYwCAAAAAEwCQAAAAExCgAAAAEwCwAAAAsxMjc5OTE0ODIzOQwAAAABMQ0AAAAJMy8yNi8yMDIyEAAAAAkzLzI1LzIwMjJVC8nFTg7aCCLYQstODtoIMkNJUS5OWVNFOldNVC5JUV9FQklUX0VTVC5JUV9GWSsxLjMvMjUvMjAyMi5MLkYuVVNEAQAAAN/GBAACAAAACzI3MDQ5LjU2ODQzAQ4AAAAFAAAAATMBAAAAATACAAAACjEwMDIwODI3NjIDAAAABjEwMDIxNQQAAAABMgYAAAABMAcAAAADMTYwCAAAAAEwCQAAAAExCgAAAAEwCwAAAAsxMjc5NTc4MDgyNwwAAAABMQ0AAAAJMy8yNi8yMDIyEAAAAAkzLzI1LzIwMjJVC8nFTg7a</t>
  </si>
  <si>
    <t>COn7QstODtoIN0NJUS5OWVNFOldNVC5JUV9FU1RfQUNUX0VCSVREQS5JUV9GWS0yLjMvMjUvMjAyMi5MLi5VU0QBAAAA38YEAAIAAAAFMzIzOTQBDgAAAAUAAAABMwEAAAABMAIAAAAKMTAwMTc0MjQ4NAMAAAAGMTAwMTkzBAAAAAEyBgAAAAEwBwAAAAMxNjAIAAAAATAJAAAAATEKAAAAATALAAAACzExNzk1MzMxNjY5DAAAAAExDQAAAAkzLzI2LzIwMjIQAAAACTEvMzEvMjAyMFULycVODtoIUVRDy04O2gg3Q0lRLk5ZU0U6V01ULklRX0VTVF9BQ1RfRUJJVERBLklRX0ZZLTMuMy8yNS8yMDIyLkwuLlVTRAEAAADfxgQAAgAAAAUzMjYzNQEOAAAABQAAAAEzAQAAAAEwAgAAAAoxMDAwMjA3NDkzAwAAAAYxMDAxOTMEAAAAATIGAAAAATAHAAAAAzE2MAgAAAABMAkAAAABMQoAAAABMAsAAAALMTEzMTkxOTIxMzIMAAAAATENAAAACTMvMjYvMjAyMhAAAAAJMS8zMS8yMDE5VQvJxU4O2ghRVEPLTg7aCDFDSVEuTllTRTpXTVQuSVFfUFJJQ0VfVEFSR0VUX0NJUS4uMy8yNS8yMDIyLi4uVVNEAQAAAN/GBAACAAAACTE2NC4zNjM2NAEOAAAABQAAAAE3AQAAAAcyNjYzMjIyAgAAAAYyNjQzOTgDAAAABjEwMDE2MQQAAAADMjU1BgAAAAEwBwAAAAMxNjAIAAAAATAJAAAAATEKAAAAATALAAAACzEyNzk2NTczNjI5DAAAAAE4DQAAAAkzLzI2LzIwMjIQAAAACTMvMjUvMjAyMlULycVODtoIvUw+y04O2gg3Q0lRLk5Z</t>
  </si>
  <si>
    <t>U0U6V01ULklRX1BSRVRBWF9JTkNfRVNULklRX0ZZKzEuMy8yNS8yMDIyLkwuLlVTRAEAAADfxgQAAgAAAAoyNTI4My4xNjU0AQ4AAAAFAAAAATMBAAAAATACAAAACjEwMDIwODI3NjIDAAAABjEwMDIyOQQAAAABMgYAAAABMAcAAAADMTYwCAAAAAEwCQAAAAExCgAAAAEwCwAAAAsxMjc5NDQ3MjU5OQwAAAABMQ0AAAAJMy8yNi8yMDIyEAAAAAkzLzI1LzIwMjJVC8nFTg7aCFDrQMtODtoIL0NJUS5OWVNFOldNVC5JUV9OSV9FU1QuSVFfRlkrMS4zLzI1LzIwMjIuTC4uVVNEAQAAAN/GBAACAAAACzE4NTc1LjA2MDE3AQ4AAAAFAAAAATMBAAAAATACAAAACjEwMDIwODI3NjIDAAAABjEwMDI1MAQAAAABMgYAAAABMAcAAAADMTYwCAAAAAEwCQAAAAExCgAAAAEwCwAAAAsxMjc5NDQ2OTYwNwwAAAABMQ0AAAAJMy8yNi8yMDIyEAAAAAkzLzI1LzIwMjJVC8nFTg7aCFDrQMtODtoIMENJUS5OWVNFOldNVC5JUV9FUFNfRVNULklRX0ZZKzEuMy8yNS8yMDIyLkwuLlVTRAEAAADfxgQAAgAAAAc2Ljc1ODg2AQ4AAAAFAAAAATMBAAAABzI2NjMyMjICAAAACjEwMDIwODI3NjIDAAAABjEwMDE3MwQAAAABMgYAAAABMAcAAAADMTYwCAAAAAEwCQAAAAExCgAAAAEwCwAAAAsxMjc5OTE0ODIzOQwAAAABMQ0AAAAJMy8yNi8yMDIyEAAAAAkzLzI1LzIwMjJVC8nFTg7aCD7EQMtODtoINUNJUS5OWVNFOldNVC5JUV9FU1Rf</t>
  </si>
  <si>
    <t>QUNUX0VCSVQuSVFfRlktNi4zLzI1LzIwMjIuTC4uVVNEAQAAAN/GBAACAAAACTI0ODQzLjU2MQEOAAAABQAAAAEzAQAAAAEwAgAAAAoxMDAwMjA3NDkwAwAAAAYxMDAyMjEEAAAAATIGAAAAATAHAAAAAzE2MAgAAAABMAkAAAABMQoAAAABMAsAAAAKOTMwMjY5MDgwNwwAAAABMQ0AAAAJMy8yNi8yMDIyEAAAAAkxLzMxLzIwMTZVC8nFTg7aCDwtQ8tODtoIMkNJUS5OWVNFOldNVC5JUV9FU1RfQUNUX05JLklRX0xUTS4zLzI1LzIwMjIuTC4uVVNEAQAAAN/GBAADAAAAAABVC8nFTg7aCOn7QstODtoIMUNJUS5OWVNFOldNVC5JUV9FQklUX0VTVC5JUV9GWSsxLjMvMjUvMjAyMi4uRi5VU0QBAAAA38YEAAIAAAALMjcwNDkuNTY4NDMBDgAAAAUAAAABMwEAAAABMAIAAAAKMTAwMjA4Mjc2MgMAAAAGMTAwMjE1BAAAAAEyBgAAAAEwBwAAAAMxNjAIAAAAATAJAAAAATEKAAAAATALAAAACzEyNzk1NzgwODI3DAAAAAExDQAAAAkzLzI2LzIwMjIQAAAACTMvMjUvMjAyMlULycVODtoIj6s+y04O2gg6Q0lRLk5ZU0U6V01ULklRX1JFVFVSTl9FUVVJVFlfRVNULklRX0ZZKzIuMy8yNS8yMDIyLi5GLlVTRAEAAADfxgQAAgAAAAcyMS44ODM3AQ4AAAAFAAAAATMBAAAAATACAAAACjEwMDIwODI3NjMDAAAABjEwNDExMQQAAAABMgYAAAABMAcAAAABMAgAAAABMAkAAAABMQoAAAABMAsAAAALMTI3OTIxOTQ3NDMMAAAA</t>
  </si>
  <si>
    <t>ATENAAAACTMvMjYvMjAyMhAAAAAJMy8yNS8yMDIyVQvJxU4O2giwgz7LTg7aCDhDSVEuTllTRTpXTVQuSVFfRVNUX0FDVF9FQklUREEuSVFfTFRNLTQuMy8yNS8yMDIyLkwuLlVTRAEAAADfxgQAAwAAAAAAVQvJxU4O2ghRVEPLTg7aCDRDSVEuTllTRTpXTVQuSVFfRVNUX0FDVF9FQklULklRX0xUTS4zLzI1LzIwMjIuTC4uVVNEAQAAAN/GBAADAAAAAABVC8nFTg7aCDwtQ8tODtoINUNJUS5OWVNFOldNVC5JUV9FU1RfQUNUX0VCSVQuSVFfRlktNS4zLzI1LzIwMjIuTC4uVVNEAQAAAN/GBAACAAAABzIyNjA4LjQBDgAAAAUAAAABMwEAAAABMAIAAAAKMTAwMDIwNzQ5MQMAAAAGMTAwMjIxBAAAAAEyBgAAAAEwBwAAAAMxNjAIAAAAATAJAAAAATEKAAAAATALAAAACzEwMDEzNjgzMzA0DAAAAAExDQAAAAkzLzI2LzIwMjIQAAAACTEvMzEvMjAxN1ULycVODtoIPC1Dy04O2gg1Q0lRLk5ZU0U6V01ULklRX1JFVkVOVUVfRVNULklRX0ZZKzEuMy8yNS8yMDIyLkwuRi5VU0QBAAAA38YEAAIAAAAMNTg4ODc3LjAzODI0AQ4AAAAFAAAAATMBAAAAATACAAAACjEwMDIwODI3NjIDAAAABjEwMDE4MAQAAAABMgYAAAABMAcAAAADMTYwCAAAAAEwCQAAAAExCgAAAAEwCwAAAAsxMjc5NTc4MDE4NwwAAAABMQ0AAAAJMy8yNi8yMDIyEAAAAAkzLzI1LzIwMjJVC8nFTg7aCHl7Q8tODtoIOkNJUS5OWVNFOldNVC5JUV9H</t>
  </si>
  <si>
    <t>Uk9TU19NQVJHSU5fRVNULklRX0ZZKzIuMy8yNS8yMDIyLkwuRi5VU0QBAAAA38YEAAIAAAAHMjQuNjIxNQEOAAAABQAAAAEzAQAAAAEwAgAAAAoxMDAyMDgyNzYzAwAAAAYxMDUyOTMEAAAAATIGAAAAATAHAAAAATAIAAAAATAJAAAAATEKAAAAATALAAAACzEyNzk1NzgwNDAxDAAAAAExDQAAAAkzLzI2LzIwMjIQAAAACTMvMjUvMjAyMlULycVODtoIeXtDy04O2gg0Q0lRLk5ZU0U6V01ULklRX1JFVkVOVUVfRVNULklRX0ZZKzIuMy8yNS8yMDIyLkwuLlVTRAEAAADfxgQAAgAAAAw2MDc4NTguNjc3NDIBDgAAAAUAAAABMwEAAAABMAIAAAAKMTAwMjA4Mjc2MwMAAAAGMTAwMTgwBAAAAAEyBgAAAAEwBwAAAAMxNjAIAAAAATAJAAAAATEKAAAAATALAAAACzEyNzk1NzgwNzczDAAAAAExDQAAAAkzLzI2LzIwMjIQAAAACTMvMjUvMjAyMlULycVODtoIUOtAy04O2ggxQ0lRLk5ZU0U6V01ULklRX0VCSVRfRVNULklRX0ZZKzIuMy8yNS8yMDIyLi5GLlVTRAEAAADfxgQAAgAAAAsyODQ0NC42MTYxOAEOAAAABQAAAAEzAQAAAAEwAgAAAAoxMDAyMDgyNzYzAwAAAAYxMDAyMTUEAAAAATIGAAAAATAHAAAAAzE2MAgAAAABMAkAAAABMQoAAAABMAsAAAALMTI3OTU3ODAzODMMAAAAATENAAAACTMvMjYvMjAyMhAAAAAJMy8yNS8yMDIyVQvJxU4O2giPqz7LTg7aCDNDSVEuTllTRTpXTVQuSVFfRUJJVERBX0VTVC5J</t>
  </si>
  <si>
    <t>UV9GWSsyLjMvMjUvMjAyMi4uRi5VU0QBAAAA38YEAAIAAAALMzk4ODYuNjg1ODgBDgAAAAUAAAABMwEAAAABMAIAAAAKMTAwMjA4Mjc2MwMAAAAGMTAwMTg3BAAAAAEyBgAAAAEwBwAAAAMxNjAIAAAAATAJAAAAATEKAAAAATALAAAACzEyNzk1NzgwMzUzDAAAAAExDQAAAAkzLzI2LzIwMjIQAAAACTMvMjUvMjAyMlULycVODtoIj6s+y04O2gg2Q0lRLk5ZU0U6V01ULklRX0VTVF9BQ1RfRUJJVERBLklRX0xUTS4zLzI1LzIwMjIuTC4uVVNEAQAAAN/GBAADAAAAAABVC8nFTg7aCDwtQ8tODtoIOkNJUS5OWVNFOldNVC5JUV9FUFNfUkVQT1JURURfRVNULklRX0ZZKzEuMy8yNS8yMDIyLkwuRi5VU0QBAAAA38YEAAIAAAAHNi43NjEzMwEOAAAABQAAAAEzAQAAAAcyNjYzMjIyAgAAAAoxMDAyMDgyNzYyAwAAAAYxMDAyNzgEAAAAATIGAAAAATAHAAAAAzE2MAgAAAABMAkAAAABMQoAAAABMAsAAAALMTI3OTU3ODA0NTUMAAAAATENAAAACTMvMjYvMjAyMhAAAAAJMy8yNS8yMDIyVQvJxU4O2ggG7kLLTg7aCDNDSVEuTllTRTpXTVQuSVFfRVNUX0FDVF9OSS5JUV9GWS0yLjMvMjUvMjAyMi5MLi5VU0QBAAAA38YEAAIAAAAIMTQxMzkuMjQBDgAAAAUAAAABMwEAAAABMAIAAAAKMTAwMTc0MjQ4NAMAAAAGMTAwMjU2BAAAAAEyBgAAAAEwBwAAAAMxNjAIAAAAATAJAAAAATEKAAAAATALAAAACzExNzk1MzMxNjcz</t>
  </si>
  <si>
    <t>DAAAAAExDQAAAAkzLzI2LzIwMjIQAAAACTEvMzEvMjAyMFULycVODtoIBu5Cy04O2gg3Q0lRLk5ZU0U6V01ULklRX1BSRVRBWF9JTkNfRVNULklRX0ZZKzIuMy8yNS8yMDIyLkwuLlVTRAEAAADfxgQAAgAAAAsyNjYwOC41OTY5MQEOAAAABQAAAAEzAQAAAAEwAgAAAAoxMDAyMDgyNzYzAwAAAAYxMDAyMjkEAAAAATIGAAAAATAHAAAAAzE2MAgAAAABMAkAAAABMQoAAAABMAsAAAALMTI3OTQ0NzI1NDUMAAAAATENAAAACTMvMjYvMjAyMhAAAAAJMy8yNS8yMDIyVQvJxU4O2ghQ60DLTg7aCDlDSVEuTllTRTpXTVQuSVFfRVBTX1JFUE9SVEVEX0VTVC5JUV9GWSsyLjMvMjUvMjAyMi5MLi5VU0QBAAAA38YEAAIAAAAHNy4yNTM1NwEOAAAABQAAAAEzAQAAAAcyNjYzMjIyAgAAAAoxMDAyMDgyNzYzAwAAAAYxMDAyNzgEAAAAATIGAAAAATAHAAAAAzE2MAgAAAABMAkAAAABMQoAAAABMAsAAAALMTI3OTU3ODA0NDkMAAAAATENAAAACTMvMjYvMjAyMhAAAAAJMy8yNS8yMDIyVQvJxU4O2gg+xEDLTg7aCDRDSVEuTllTRTpXTVQuSVFfUkVWRU5VRV9FU1QuSVFfRlkrMS4zLzI1LzIwMjIuLkYuVVNEAQAAAN/GBAACAAAADDU4ODg3Ny4wMzgyNAEOAAAABQAAAAEzAQAAAAEwAgAAAAoxMDAyMDgyNzYyAwAAAAYxMDAxODAEAAAAATIGAAAAATAHAAAAAzE2MAgAAAABMAkAAAABMQoAAAABMAsAAAALMTI3OTU3ODAx</t>
  </si>
  <si>
    <t>ODcMAAAAATENAAAACTMvMjYvMjAyMhAAAAAJMy8yNS8yMDIyVQvJxU4O2giPqz7LTg7aCDJDSVEuTllTRTpXTVQuSVFfRUJJVF9FU1QuSVFfRlkrMi4zLzI1LzIwMjIuTC5GLlVTRAEAAADfxgQAAgAAAAsyODQ0NC42MTYxOAEOAAAABQAAAAEzAQAAAAEwAgAAAAoxMDAyMDgyNzYzAwAAAAYxMDAyMTUEAAAAATIGAAAAATAHAAAAAzE2MAgAAAABMAkAAAABMQoAAAABMAsAAAALMTI3OTU3ODAzODMMAAAAATENAAAACTMvMjYvMjAyMhAAAAAJMy8yNS8yMDIyVQvJxU4O2gjp+0LLTg7aCDBDSVEuTllTRTpXTVQuSVFfRVBTX0VTVC5JUV9GWSsyLjMvMjUvMjAyMi4uRi5VU0QBAAAA38YEAAIAAAAHNy4yNTUyOAEOAAAABQAAAAEzAQAAAAcyNjYzMjIyAgAAAAoxMDAyMDgyNzYzAwAAAAYxMDAxNzMEAAAAATIGAAAAATAHAAAAAzE2MAgAAAABMAkAAAABMQoAAAABMAsAAAALMTI3OTkxNDgyMzMMAAAAATENAAAACTMvMjYvMjAyMhAAAAAJMy8yNS8yMDIywaYxxk4O2giwgz7LTg7aCDVDSVEuTllTRTpXTVQuSVFfUkVWRU5VRV9FU1QuSVFfRlkrMi4zLzI1LzIwMjIuTC5GLlVTRAEAAADfxgQAAgAAAAw2MDc4NTguNjc3NDIBDgAAAAUAAAABMwEAAAABMAIAAAAKMTAwMjA4Mjc2MwMAAAAGMTAwMTgwBAAAAAEyBgAAAAEwBwAAAAMxNjAIAAAAATAJAAAAATEKAAAAATALAAAACzEyNzk1NzgwNzczDAAAAAExDQAA</t>
  </si>
  <si>
    <t>AAkzLzI2LzIwMjIQAAAACTMvMjUvMjAyMlULycVODtoIeXtDy04O2ggzQ0lRLk5ZU0U6V01ULklRX0VTVF9BQ1RfTkkuSVFfRlktMy4zLzI1LzIwMjIuTC4uVVNEAQAAAN/GBAACAAAACDE0NDU5Ljk1AQ4AAAAFAAAAATMBAAAAATACAAAACjEwMDAyMDc0OTMDAAAABjEwMDI1NgQAAAABMgYAAAABMAcAAAADMTYwCAAAAAEwCQAAAAExCgAAAAEwCwAAAAsxMTMxOTE5MjEzNgwAAAABMQ0AAAAJMy8yNi8yMDIyEAAAAAkxLzMxLzIwMTlVC8nFTg7aCOn7QstODtoIN0NJUS5OWVNFOldNVC5JUV9FU1RfQUNUX0VCSVREQS5JUV9GWS02LjMvMjUvMjAyMi5MLi5VU0QBAAAA38YEAAIAAAAJMzQyOTcuNTYxAQ4AAAAFAAAAATMBAAAAATACAAAACjEwMDAyMDc0OTADAAAABjEwMDE5MwQAAAABMgYAAAABMAcAAAADMTYwCAAAAAEwCQAAAAExCgAAAAEwCwAAAAo5MzAyNjkwODA4DAAAAAExDQAAAAkzLzI2LzIwMjIQAAAACTEvMzEvMjAxNlULycVODtoIeXtDy04O2gg1Q0lRLk5ZU0U6V01ULklRX0VTVF9BQ1RfRUJJVC5JUV9GWS0zLjMvMjUvMjAyMi5MLi5VU0QBAAAA38YEAAIAAAAFMjE5NTcBDgAAAAUAAAABMwEAAAABMAIAAAAKMTAwMDIwNzQ5MwMAAAAGMTAwMjIxBAAAAAEyBgAAAAEwBwAAAAMxNjAIAAAAATAJAAAAATEKAAAAATALAAAACzExMzE5MTkyMTMzDAAAAAExDQAAAAkzLzI2LzIwMjIQAAAACTEv</t>
  </si>
  <si>
    <t>MzEvMjAxOVULycVODtoI6ftCy04O2ggwQ0lRLk5ZU0U6V01ULklRX0VQU19FU1QuSVFfRlkrMi4zLzI1LzIwMjIuTC4uVVNEAQAAAN/GBAACAAAABzcuMjU1MjgBDgAAAAUAAAABMwEAAAAHMjY2MzIyMgIAAAAKMTAwMjA4Mjc2MwMAAAAGMTAwMTczBAAAAAEyBgAAAAEwBwAAAAMxNjAIAAAAATAJAAAAATEKAAAAATALAAAACzEyNzk5MTQ4MjMzDAAAAAExDQAAAAkzLzI2LzIwMjIQAAAACTMvMjUvMjAyMlULycVODtoIkJNAy04O2gg0Q0lRLk5ZU0U6V01ULklRX0VCSVREQV9FU1QuSVFfRlkrMi4zLzI1LzIwMjIuTC5GLlVTRAEAAADfxgQAAgAAAAszOTg4Ni42ODU4OAEOAAAABQAAAAEzAQAAAAEwAgAAAAoxMDAyMDgyNzYzAwAAAAYxMDAxODcEAAAAATIGAAAAATAHAAAAAzE2MAgAAAABMAkAAAABMQoAAAABMAsAAAALMTI3OTU3ODAzNTMMAAAAATENAAAACTMvMjYvMjAyMhAAAAAJMy8yNS8yMDIyVQvJxU4O2gg8LUPLTg7aCDhDSVEuTllTRTpXTVQuSVFfRVNUX0FDVF9FQklUREEuRlkyMDE1LjMvMjUvMjAyMi5MLi5VU0QuSAEAAADfxgQAAgAAAAgzNjcwMi42NQEOAAAABQAAAAEzAQAAAAEwAgAAAAc0NTA2NzQwAwAAAAYxMDAxOTMEAAAAATIGAAAAATAHAAAAAzE2MAgAAAABMAkAAAABMQoAAAABMAsAAAAKODYxNzAwMjE4MAwAAAABMQ0AAAAJMy8yNi8yMDIyEAAAAAkxLzMxLzIwMTVVC8nFTg7a</t>
  </si>
  <si>
    <t>CJQ66MlODtoINkNJUS5OWVNFOldNVC5JUV9FU1RfQUNUX0VCSVQuRlkyMDE1LjMvMjUvMjAyMi5MLi5VU0QuSAEAAADfxgQAAgAAAAgyNzUyOS42NQEOAAAABQAAAAEzAQAAAAEwAgAAAAc0NTA2NzQwAwAAAAYxMDAyMjEEAAAAATIGAAAAATAHAAAAAzE2MAgAAAABMAkAAAABMQoAAAABMAsAAAAKODYxNzAwMjE4MQwAAAABMQ0AAAAJMy8yNi8yMDIyEAAAAAkxLzMxLzIwMTVVC8nFTg7aCAER6MlODtoIOENJUS5OWVNFOldNVC5JUV9FU1RfQUNUX0VCSVREQS5GWTIwMTQuMy8yNS8yMDIyLkwuLlVTRC5IAQAAAN/GBAACAAAACzM2NzIwLjEzNjA0AQ4AAAAFAAAAATMBAAAAATACAAAABzQwNDAyMTUDAAAABjEwMDE5MwQAAAABMgYAAAABMAcAAAADMTYwCAAAAAEwCQAAAAExCgAAAAEwCwAAAAo1Njc0MDcwODU1DAAAAAExDQAAAAkzLzI2LzIwMjIQAAAACTEvMzEvMjAxNFULycVODtoI5jjdyU4O2gg0Q0lRLk5ZU0U6V01ULklRX0VTVF9BQ1RfTkkuRlkyMDE0LjMvMjUvMjAyMi5MLi5VU0QuSAEAAADfxgQAAgAAAAgxNjc3Ni4xMwEOAAAABQAAAAEzAQAAAAEwAgAAAAc0MDQwMjE1AwAAAAYxMDAyNTYEAAAAATIGAAAAATAHAAAAAzE2MAgAAAABMAkAAAABMQoAAAABMAsAAAAKNTY3NDA3MDcwMAwAAAABMQ0AAAAJMy8yNi8yMDIyEAAAAAkxLzMxLzIwMTRVC8nFTg7aCOY43clODtoINkNJUS5OWVNFOldN</t>
  </si>
  <si>
    <t>VC5JUV9FU1RfQUNUX0VCSVQuRlkyMDE0LjMvMjUvMjAyMi5MLi5VU0QuSAEAAADfxgQAAgAAAAsyNzg1MC4xMzYwNAEOAAAABQAAAAEzAQAAAAEwAgAAAAc0MDQwMjE1AwAAAAYxMDAyMjEEAAAAATIGAAAAATAHAAAAAzE2MAgAAAABMAkAAAABMQoAAAABMAsAAAAKNTY3NDA3MDY5NwwAAAABMQ0AAAAJMy8yNi8yMDIyEAAAAAkxLzMxLzIwMTRVC8nFTg7aCOY43clODtoINENJUS5OWVNFOldNVC5JUV9FU1RfQUNUX05JLkZZMjAxNS4zLzI1LzIwMjIuTC4uVVNELkgBAAAA38YEAAIAAAAIMTY0NDIuMDEBDgAAAAUAAAABMwEAAAABMAIAAAAHNDUwNjc0MAMAAAAGMTAwMjU2BAAAAAEyBgAAAAEwBwAAAAMxNjAIAAAAATAJAAAAATEKAAAAATALAAAACjg2MTY5MjIxMTIMAAAAATENAAAACTMvMjYvMjAyMhAAAAAJMS8zMS8yMDE1VQvJxU4O2ggBEejJTg7aCDRDSVEuTllTRTpXTVQuSVFfRVNUX0FDVF9OSS5GWTIwMTMuMy8yNS8yMDIyLkwuLlVTRC5IAQAAAN/GBAACAAAABTE2OTk5AQ4AAAAFAAAAATMBAAAAATACAAAABjI2NDM1MwMAAAAGMTAwMjU2BAAAAAEyBgAAAAEwBwAAAAMxNjAIAAAAATAJAAAAATEKAAAAATALAAAACjE4NDQyMjQ5MjIMAAAAATENAAAACTMvMjYvMjAyMhAAAAAJMS8zMS8yMDEzVQvJxU4O2giaA+XJTg7aCClDSVEuTllTRTpXTVQuSVFfUEJWX0ZXRC5JUV9GWSsxLjMvMjUvMjAy</t>
  </si>
  <si>
    <t>MgEAAADfxgQAAgAAABA0LjUyMjgwNDk2ODcyMDY3AQ0AAAAFAAAAATkBAAAABzI2NjMyMjICAAAACjEwMDIwODI3NjIDAAAABjExMjE3MwQAAAABMgYAAAABMAcAAAADMTYwCAAAAAEwCQAAAAExCgAAAAEwCwAAAAsxMjc5MjIwMTE0MgwAAAABMQ0AAAAJMy8yNi8yMDIyAMXWyE4O2gjArUXLTg7aCDBDSVEuTllTRTpXTVQuSVFfVEVWX0VCSVREQV9GV0QuSVFfRlkrMS4zLzI1LzIwMjIBAAAA38YEAAIAAAAQMTEuNzEzNDUzNTkyOTc2NgENAAAABQAAAAE5AQAAAAcyNjYzMjIyAgAAAAoxMDAyMDgyNzYyAwAAAAYxMDAzMDgEAAAAATIGAAAAATAHAAAAAzE2MAgAAAABMAkAAAABMQoAAAABMAsAAAALMTI3OTU3ODA4MzMMAAAAATENAAAACTMvMjYvMjAyMgDF1shODtoIwK1Fy04O2ggbQ0lRLjAuSVFfUEJWLjIwMDAuMy8yNS8yMDIyAQAAAG8QkwADAAAAAABd6tbITg7aCPtwRstODtoIIkNJUS5OWVNFOldNVC5JUV9QQlYuMjAwMC4zLzI1LzIwMjIBAAAA38YEAAIAAAAQNC43MzY4MDk5MDEzMDIzNwEHAAAABQAAAAExAQAAAAstMjEwNzY4NjAwOAMAAAABMAIAAAAGMTAwMDY3BAAAAAEwBwAAAAkzLzI0LzIwMjIIAAAACTMvMjQvMjAyMl3q1shODtoIvUw+y04O2gjWA0NJUVJBTkdFLk5ZU0U6V01ULklRX0tFWV9ERVZfSUQuOS8yNS8yMDIxLjMvMjQvMjAyMi5UMjIsVDIzLFQzMSxUNDEsVDE2LFQzMixU</t>
  </si>
  <si>
    <t>NTYsVDc2LFQ3NyxUNzgsVDc5LFQxMDEsVDEwMixUNyxUMTEsVDI4LFQ0MyxUNDgsVDQ5LFQ1MCxUNTEsVDUyLFQ1NSxUNjEsVDYyLFQ4OSxUOTAsVDkxLFQ5NyxUMTM4LFQxMzksVDE0MCxUMTQ0LFQxNTMsVDE1NCxUMTU1LFQxOTIsVDE5NCxUMjA1LFQyMTYsVDI2LFQyNyxUMjksVDY4LFQ2OSxUNzAsVDcxLFQ3MixUMSxUMyxUNSxUNDIsVDExLFQ3NCxUMTAzLFQxMDQsVDEwNSxUMTA2LFQxMDcsVDEwOCxUMTA5LFQxMTAsVDExMSxUMTEyLFQxMTMsVDExNCxUMTE1LFQxMTYsVDExNyxUMTE4LFQxMTksVDEyMCxUMTIxLFQxMjIsVDEyMyxUMTI0LFQxMjUsVDEyNyxUMTI4LFQxMjksVDEzMCxUMTMxLFQxMzIsVDE0MSxUMTQyLFQxNDMsVDE0NSxUMTQ2LFQxNDcsVDE0OC4uLi5LRVkgREVWIElEBAAAAN/GBABHAAAAAwAAAA5JUUtEMTc3NTI3ODkwNwMAAAAOSVFLRDE3NzM1OTcwNjQDAAAADklRS0QxNzc0NTU1MTg5AwAAAA5JUUtEMTc3NDY0MjQwNgMAAAAOSVFLRDE3NzIzMTEzNTkDAAAADklRS0QxNzc0MDEyNDg3AwAAAA5JUUtEMTc3MzE0NzY1NQMAAAAOSVFLRDE3NzM4ODEwMjADAAAADklRS0QxNzczNzcxMDQ3AwAAAA5JUUtEMTc3MzU5OTkzNwMAAAAOSVFLRDE3NzI1MDgzNzIDAAAADklRS0QxNzcxNjM2MjkwAwAAAA5JUUtEMTc3MjI3OTczOQMAAAAOSVFLRDE3NjU3NzU5NDYDAAAADklRS0Qx</t>
  </si>
  <si>
    <t>NzcyMTcxMjc2AwAAAA5JUUtEMTc3MDM2MDE4MAMAAAAOSVFLRDE3NzE3OTQ5MjMDAAAADklRS0QxNzcxNzczOTE4AwAAAA5JUUtEMTc3MTc3NDMyOAMAAAANSVFLRDY5NTUzNTE3NwMAAAAOSVFLRDE3NzE3OTA0ODIDAAAADklRS0QxNzcyNjIwODc1AwAAAA5JUUtEMTc2MzQ3NjUwMAMAAAAOSVFLRDE3NjU5ODc1NjADAAAADklRS0QxNzY1OTg0NjE2AwAAAA5JUUtEMTc3MzcyNTUwNgMAAAAOSVFLRDE3NjU1NzE3MTEDAAAADklRS0QxNzY1MjE1Njk5AwAAAA5JUUtEMTc2NDg5MDY1NAMAAAAOSVFLRDE3NjQwNzQwODQDAAAADklRS0QxNzY0NzA2NjgxAwAAAA5JUUtEMTY4Njg0Mjc5OAMAAAAOSVFLRDE3NjUwMDU5MTgDAAAADklRS0QxNzYzMjU3MzAyAwAAAA5JUUtEMTc2MTY4OTcwNgMAAAAOSVFLRDE3NjE1NDQ4MjQDAAAADklRS0QxNzYwNDg1NzU3AwAAAA5JUUtEMTc1OTU1MTQ2OQMAAAAOSVFLRDE2NzM2MDY4OTEDAAAADklRS0QxNzYwMjc4NDc1AwAAAA5JUUtEMTc1OTk1MzkzMAMAAAAOSVFLRDE3NTk5NTQwNDcDAAAADklRS0QxNzU5MzAzNDQwAwAAAA5JUUtEMTc1ODgwODM1MgMAAAAOSVFLRDE3NTg1NzYxNTEDAAAADklRS0QxNzU3NDM4OTkwAwAAAA5JUUtEMTc1ODk2ODU0MgMAAAAOSVFLRDE3NTg1NTY5MjUDAAAADUlRS0Q2OTU1MzUwOTUDAAAADklRS0QxNjc0ODU4NzQzAwAAAA5JUUtE</t>
  </si>
  <si>
    <t>MTY4Njk3Mjg3MwMAAAAOSVFLRDE3NTgyODc2MjcDAAAADklRS0QxNjczODE4NTQwAwAAAA5JUUtEMTY4MzM5NDUxNQMAAAAOSVFLRDE3NDk3MTQ4NjQDAAAADklRS0QxNjg2NzU2MTI1AwAAAA5JUUtEMTY4NjQ1ODcyNQMAAAAOSVFLRDE2ODYyMjUzMDQDAAAADklRS0QxNjg1MTM4ODIyAwAAAA5JUUtEMTY4NTY4NjcxOQMAAAAOSVFLRDE2ODUwMzc1MDYDAAAADklRS0QxNjg1MTc5MDM3AwAAAA5JUUtEMTY4NTA2MjY4MgMAAAAOSVFLRDE2ODUwNTk3NjUDAAAADklRS0QxNjg1NTc1MzM1AwAAAA5JUUtEMTY4NDk1MDM4MQMAAAAOSVFLRDE2NzU1ODk1ODMDAAAADklRS0QxNjg0NDg0NTQ2AwAAAA5JUUtEMTY4NDU3Mjk2MgMAAAAOSVFLRDE2ODI4MDg1NDYDAAAADklRS0QxNjgzMTc3MDEyeF/XyE4O2ghDLUXLTg7aCChDSVEuTkFTREFRR1M6Q09TVC5JUV9OSS5JUV9MVE0uLkwuLlVTRC5IAQAAAJFqAQACAAAABDU1MTMBCAAAAAUAAAABMQEAAAALLTIxMDg4NTUzNDgDAAAAAzE2MAIAAAACMTUEAAAAATAHAAAACTMvMjUvMjAyMggAAAAJMi8xMy8yMDIyCQAAAAEwvH8xxk4O2gh1c/LJTg7aCCNDSVEuTllTRTpXTVQuSVFfTkkuSVFfTFRNLi5MLi5VU0QuSAEAAADfxgQAAgAAAAUxMzY3MwEIAAAABQAAAAExAQAAAAstMjEwNzY4NjAwOAMAAAADMTYwAgAAAAIxNQQAAAABMAcAAAAJMy8yNS8yMDIyCAAA</t>
  </si>
  <si>
    <t>AAkxLzMxLzIwMjIJAAAAATC8fzHGTg7aCHVz8slODtoIJkNJUS4wLklRX0JBU0lDX0VQU19FWENMLjIwMDAuLkwuLlVTRC5IAQAAAG8QkwACAAAACS0wLjAwNDQyNgEIAAAABQAAAAExAQAAAAstMjEyNTM2MjI0NgMAAAADMTYwAgAAAAQzMDY0BAAAAAEwBwAAAAkzLzI1LzIwMjIIAAAACTkvMzAvMjAyMQkAAAABMMGmMcZODtoIyoTZyU4O2gg8Q0lRLk5ZU0U6V01ULklRX1RPVEFMX0JBTktfQ0FQSVRBTC5JUV9GWS02LjMvMjUvMjAyMi5MLkYuVVNEAQAAAN/GBAADAAAAAADBpjHGTg7aCFFpRMtODtoINENJUS5OWVNFOldNVC5JUV9DQVNIX0VRVUlWLklRX0ZZLTMuMy8yNS8yMDIyLkwuRi5VU0QBAAAA38YEAAIAAAAENzcyMgEIAAAABQAAAAExAQAAAAoyMDg1MTMyOTMwAwAAAAMxNjACAAAABDEwOTYEAAAAATAHAAAACTMvMjUvMjAyMggAAAAJMS8zMS8yMDE5CQAAAAEwwaYxxk4O2ghRaUTLTg7aCDNDSVEuTllTRTpXTVQuSVFfVE9UQUxfUkVWLklRX0ZZLTQuMy8yNS8yMDIyLkwuRi5VU0QBAAAA38YEAAIAAAAGNTAwMzQzAQgAAAAFAAAAATEBAAAACjIwMjMyNDk2MTEDAAAAAzE2MAIAAAACMjgEAAAAATAHAAAACTMvMjUvMjAyMggAAAAJMS8zMS8yMDE4CQAAAAEwwaYxxk4O2gi4sLPLTg7aCD1DSVEuTllTRTpXTVQuSVFfTkVUX0RFQlRfRUJJVERBX0NBUEVYLklRX0ZZLjMvMjUvMjAyMi5MLkYu</t>
  </si>
  <si>
    <t>VVNEAQAAAN/GBAACAAAACDEuNjQxODMzAQgAAAAFAAAAATEBAAAACy0yMTA3Njg2MjgyAwAAAAMxNjACAAAABTIzMzE0BAAAAAEwBwAAAAkzLzI1LzIwMjIIAAAACTEvMzEvMjAyMgkAAAABMMGmMcZODtoIeclDy04O2gg5Q0lRLk5ZU0U6V01ULklRX05FVF9ERUJUX0VCSVREQS5JUV9GWS0zLjMvMjUvMjAyMi5MLkYuVVNEAQAAAN/GBAACAAAACDEuNTU0NzQxAQgAAAAFAAAAATEBAAAACjIwODUxMzI5MzADAAAAAzE2MAIAAAAENDE5MwQAAAABMAcAAAAJMy8yNS8yMDIyCAAAAAkxLzMxLzIwMTkJAAAAATDBpjHGTg7aCDz0Q8tODtoIMkNJUS5OWVNFOldNVC5JUV9FQklUREFfSU5ULklRX0ZZLjMvMjUvMjAyMi5MLkYuVVNEAQAAAN/GBAACAAAACTE5LjkwODIyNAEIAAAABQAAAAExAQAAAAstMjEwNzY4NjI4MgMAAAADMTYwAgAAAAQ0MTkwBAAAAAEwBwAAAAkzLzI1LzIwMjIIAAAACTEvMzEvMjAyMgkAAAABMMGmMcZODtoIZqJDy04O2gg0Q0lRLk5ZU0U6V01ULklRX0NBU0hfRVFVSVYuSVFfRlktMS4zLzI1LzIwMjIuTC5GLlVTRAEAAADfxgQAAgAAAAUxNzc0MQEIAAAABQAAAAExAQAAAAstMjEwNzY4NjI4MQMAAAADMTYwAgAAAAQxMDk2BAAAAAEwBwAAAAkzLzI1LzIwMjIIAAAACTEvMzEvMjAyMQkAAAABMMGmMcZODtoIrVVEy04O2gg3Q0lRLk5ZU0U6V01ULklRX0VCSVREQV9NQVJHSU4uSVFf</t>
  </si>
  <si>
    <t>RlktNC4zLzI1LzIwMjIuTC5GLlVTRAEAAADfxgQAAgAAAAY2LjI4ODgBCAAAAAUAAAABMQEAAAAKMjAyMzI0OTYxMQMAAAADMTYwAgAAAAQ0MDQ3BAAAAAEwBwAAAAkzLzI1LzIwMjIIAAAACTEvMzEvMjAxOAkAAAABMMGmMcZODtoIW35Cy04O2gg1Q0lRLk5ZU0U6V01ULklRX0NVUlJFTlRfUkFUSU8uSVFfRlkuMy8yNS8yMDIyLkwuRi5VU0QBAAAA38YEAAIAAAAIMC45Mjc3OTcBCAAAAAUAAAABMQEAAAALLTIxMDc2ODYyODIDAAAAAzE2MAIAAAAENDAzMAQAAAABMAcAAAAJMy8yNS8yMDIyCAAAAAkxLzMxLzIwMjIJAAAAATDBpjHGTg7aCKOqQctODtoINUNJUS5OWVNFOldNVC5JUV9MRkNGX01BUkdJTi5JUV9GWS00LjMvMjUvMjAyMi5MLkYuVVNEAQAAAN/GBAACAAAABjMuMjk3NAEIAAAABQAAAAExAQAAAAoyMDIzMjQ5NjExAwAAAAMxNjACAAAABDQ0MzYEAAAAATAHAAAACTMvMjUvMjAyMggAAAAJMS8zMS8yMDE4CQAAAAEwwaYxxk4O2ghbfkLLTg7aCC1DSVEuTllTRTpXTVQuSVFfRUJJVERBLklRX0ZZLjMvMjUvMjAyMi5MLi5VU0QBAAAA38YEAAIAAAAFMzY2MDABCAAAAAUAAAABMQEAAAALLTIxMDc2ODYyODIDAAAAAzE2MAIAAAAENDA1MQQAAAABMAcAAAAJMy8yNS8yMDIyCAAAAAkxLzMxLzIwMjIJAAAAATDBpjHGTg7aCFFUQ8tODtoIMkNJUS5OWVNFOldNVC5JUV9BUl9UVVJOUy5JUV9G</t>
  </si>
  <si>
    <t>WS01LjMvMjUvMjAyMi5MLkYuVVNEAQAAAN/GBAACAAAACTg0LjgwMTk4OQEIAAAABQAAAAExAQAAAAoxOTUxNTQwMzM1AwAAAAMxNjACAAAABDQwMDEEAAAAATAHAAAACTMvMjUvMjAyMggAAAAJMS8zMS8yMDE3CQAAAAEwwaYxxk4O2gjq+kHLTg7aCDhDSVEuTllTRTpXTVQuSVFfRElMVVRfRVBTX0lOQ0wuSVFfRlktMy4zLzI1LzIwMjIuTC5GLlVTRAEAAADfxgQAAgAAAAQyLjI2AQgAAAAFAAAAATEBAAAACjIwODUxMzI5MzADAAAAAzE2MAIAAAABOAQAAAABMAcAAAAJMy8yNS8yMDIyCAAAAAkxLzMxLzIwMTkJAAAAATDBpjHGTg7aCAbuQstODtoINkNJUS5OWVNFOldNVC5JUV9UT1RBTF9SRVZFTlVFLklRX0ZZLTMuMy8yNS8yMDIyLkwuLlVTRAEAAADfxgQAAgAAAAY1MTQ0MDUBCAAAAAUAAAABMQEAAAAKMjA4NTEzMjkzMAMAAAADMTYwAgAAAAIyOAQAAAABMAcAAAAJMy8yNS8yMDIyCAAAAAkxLzMxLzIwMTkJAAAAATDBpjHGTg7aCGaiQ8tODtoIPENJUS5OWVNFOldNVC5JUV9UT1RBTF9ERUJUX0VRVUlUWS5JUV9MVE0tNC4zLzI1LzIwMjIuTC5GLlVTRAEAAADfxgQAAgAAAAc3Mi43MDU2AQgAAAAFAAAAATEBAAAACy0yMTA3Njg1OTc3AwAAAAMxNjACAAAABDQwMzQEAAAAATAHAAAACTMvMjUvMjAyMggAAAAJMS8zMS8yMDIxCQAAAAEwwaYxxk4O2giHh0HLTg7aCDZDSVEuTllTRTpXTVQuSVFf</t>
  </si>
  <si>
    <t>TEZDRl9NQVJHSU4uSVFfTFRNLTQuMy8yNS8yMDIyLkwuRi5VU0QBAAAA38YEAAIAAAAGMi43MzA1AQgAAAAFAAAAATEBAAAACy0yMTA3Njg1OTc3AwAAAAMxNjACAAAABDQ0MzYEAAAAATAHAAAACTMvMjUvMjAyMggAAAAJMS8zMS8yMDIxCQAAAAEwwaYxxk4O2gj1VkLLTg7aCDVDSVEuTllTRTpXTVQuSVFfUVVJQ0tfUkFUSU8uSVFfRlktNi4zLzI1LzIwMjIuTC5GLlVTRAEAAADfxgQAAgAAAAgwLjIyMTc0NQEIAAAABQAAAAExAQAAAAoxODgwNzE4NzYyAwAAAAMxNjACAAAABDQxMjEEAAAAATAHAAAACTMvMjUvMjAyMggAAAAJMS8zMS8yMDE2CQAAAAEwwaYxxk4O2giHh0HLTg7aCDNDSVEuTllTRTpXTVQuSVFfTEZDRl9NQVJHSU4uSVFfRlkuMy8yNS8yMDIyLkwuRi5VU0QBAAAA38YEAAIAAAAGMi41MzUzAQgAAAAFAAAAATEBAAAACy0yMTA3Njg2MjgyAwAAAAMxNjACAAAABDQ0MzYEAAAAATAHAAAACTMvMjUvMjAyMggAAAAJMS8zMS8yMDIyCQAAAAEwwaYxxk4O2gj1VkLLTg7aCC9DSVEuTllTRTpXTVQuSVFfRUJJVERBLklRX0ZZLTQuMy8yNS8yMDIyLkwuLlVTRAEAAADfxgQAAgAAAAUzMTQ2NgEIAAAABQAAAAExAQAAAAoyMDIzMjQ5NjExAwAAAAMxNjACAAAABDQwNTEEAAAAATAHAAAACTMvMjUvMjAyMggAAAAJMS8zMS8yMDE4CQAAAAEwwaYxxk4O2gg8LUPLTg7aCDJDSVEuTllTRTpXTVQu</t>
  </si>
  <si>
    <t>SVFfQVJfVFVSTlMuSVFfRlktMS4zLzI1LzIwMjIuTC5GLlVTRAEAAADfxgQAAgAAAAk4Ny4zNjczNDMBCAAAAAUAAAABMQEAAAALLTIxMDc2ODYyODEDAAAAAzE2MAIAAAAENDAwMQQAAAABMAcAAAAJMy8yNS8yMDIyCAAAAAkxLzMxLzIwMjEJAAAAATDBpjHGTg7aCJbrQctODtoIOUNJUS5OWVNFOldNVC5JUV9ESUxVVF9FUFNfSU5DTC5JUV9MVE0tNC4zLzI1LzIwMjIuTC5GLlVTRAEAAADfxgQAAgAAAAQ0Ljc1AQgAAAAFAAAAATEBAAAACy0yMTA3Njg1OTc3AwAAAAMxNjACAAAAATgEAAAAATAHAAAACTMvMjUvMjAyMggAAAAJMS8zMS8yMDIxCQAAAAEwwaYxxk4O2ggi2ELLTg7aCDhDSVEuTllTRTpXTVQuSVFfQ0FTSF9TVF9JTlZFU1QuSVFfRlktMS4zLzI1LzIwMjIuTC5GLlVTRAEAAADfxgQAAgAAAAUxNzc0MQEIAAAABQAAAAExAQAAAAstMjEwNzY4NjI4MQMAAAADMTYwAgAAAAQxMDAyBAAAAAEwBwAAAAkzLzI1LzIwMjIIAAAACTEvMzEvMjAyMQkAAAABMMGmMcZODtoIWBJBy04O2ggzQ0lRLk5ZU0U6V01ULklRX1FVSUNLX1JBVElPLklRX0ZZLjMvMjUvMjAyMi5MLkYuVVNEAQAAAN/GBAACAAAACDAuMjYzNjc4AQgAAAAFAAAAATEBAAAACy0yMTA3Njg2MjgyAwAAAAMxNjACAAAABDQxMjEEAAAAATAHAAAACTMvMjUvMjAyMggAAAAJMS8zMS8yMDIyCQAAAAEwwaYxxk4O2giHh0HLTg7aCDVD</t>
  </si>
  <si>
    <t>SVEuTllTRTpXTVQuSVFfVUZDRl9NQVJHSU4uSVFfRlktNC4zLzI1LzIwMjIuTC5GLlVTRAEAAADfxgQAAgAAAAYzLjU4ODQBCAAAAAUAAAABMQEAAAAKMjAyMzI0OTYxMQMAAAADMTYwAgAAAAQ0NDM3BAAAAAEwBwAAAAkzLzI1LzIwMjIIAAAACTEvMzEvMjAxOAkAAAABMMGmMcZODtoIizVCy04O2gg2Q0lRLk5ZU0U6V01ULklRX0RJTFVUX0VQU19JTkNMLklRX0ZZLjMvMjUvMjAyMi5MLkYuVVNEAQAAAN/GBAACAAAABDQuODcBCAAAAAUAAAABMQEAAAALLTIxMDc2ODYyODIDAAAAAzE2MAIAAAABOAQAAAABMAcAAAAJMy8yNS8yMDIyCAAAAAkxLzMxLzIwMjIJAAAAATDBpjHGTg7aCCLYQstODtoIOENJUS5OWVNFOldNVC5JUV9DVVJSRU5UX1JBVElPLklRX0xUTS00LjMvMjUvMjAyMi5MLkYuVVNEAQAAAN/GBAACAAAACDAuOTcyMTczAQgAAAAFAAAAATEBAAAACy0yMTA3Njg1OTc3AwAAAAMxNjACAAAABDQwMzAEAAAAATAHAAAACTMvMjUvMjAyMggAAAAJMS8zMS8yMDIxCQAAAAEwwaYxxk4O2gijqkHLTg7aCCpDSVEuTllTRTpXTVQuSVFfTkkuSVFfRlkuMy8yNS8yMDIyLkwuRi5VU0QBAAAA38YEAAIAAAAFMTM2NzMBCAAAAAUAAAABMQEAAAALLTIxMDc2ODYyODIDAAAAAzE2MAIAAAACMTUEAAAAATAHAAAACTMvMjUvMjAyMggAAAAJMS8zMS8yMDIyCQAAAAEwwaYxxk4O2giyqD/LTg7aCDVDSVEu</t>
  </si>
  <si>
    <t>TllTRTpXTVQuSVFfRElMVVRfRVBTX0VYQ0wuSVFfRlkuMy8yNS8yMDIyLkwuLlVTRAEAAADfxgQAAgAAAAQ0Ljg3AQgAAAAFAAAAATEBAAAACy0yMTA3Njg2MjgyAwAAAAMxNjACAAAAAzE0MgQAAAABMAcAAAAJMy8yNS8yMDIyCAAAAAkxLzMxLzIwMjIJAAAAATDBpjHGTg7aCD7EQMtODtoIOUNJUS5OWVNFOldNVC5JUV9ORVRfSU5UX0lOQ19CTksuSVFfTFRNLTQuMy8yNS8yMDIyLkwuLlVTRAEAAADfxgQAAwAAAAAAwaYxxk4O2ghYEkHLTg7aCDFDSVEuTllTRTpXTVQuSVFfQUxMT1dfTEwuSVFfTFRNLjMvMjUvMjAyMi5MLkYuVVNEAQAAAN/GBAADAAAAAADBpjHGTg7aCGr3P8tODtoINENJUS5OWVNFOldNVC5JUV9HUk9TU19MT0FOUy5JUV9MVE0uMy8yNS8yMDIyLkwuRi5VU0QBAAAA38YEAAMAAAAAAMGmMcZODtoIavc/y04O2ggyQ0lRLk5ZU0U6V01ULklRX05FVF9MT0FOUy5JUV9GWS00LjMvMjUvMjAyMi5MLi5VU0QBAAAA38YEAAMAAAAAAMGmMcZODtoIPsRAy04O2gg7Q0lRLk5ZU0U6V01ULklRX1RPVEFMX09QRVJfRVhQRU4uSVFfTFRNLTQuMy8yNS8yMDIyLkwuRi5VU0QBAAAA38YEAAIAAAAGNTMyMjAzAQgAAAAFAAAAATEBAAAACy0yMTA3Njg1OTc3AwAAAAMxNjACAAAAAzM3MwQAAAABMAcAAAAJMy8yNS8yMDIyCAAAAAkxLzMxLzIwMjEJAAAAATDBpjHGTg7aCB2VP8tODtoIN0NJUS5O</t>
  </si>
  <si>
    <t>WVNFOldNVC5JUV9ESUxVVF9FUFNfRVhDTC5JUV9GWS0yLjMvMjUvMjAyMi5MLi5VU0QBAAAA38YEAAIAAAAENS4xOQEIAAAABQAAAAExAQAAAAstMjEwNzY4NjI5MQMAAAADMTYwAgAAAAMxNDIEAAAAATAHAAAACTMvMjUvMjAyMggAAAAJMS8zMS8yMDIwCQAAAAEwwaYxxk4O2ghGv0DLTg7aCDhDSVEuTllTRTpXTVQuSVFfTkVUX0lOVF9JTkNfQk5LLklRX0ZZLTEuMy8yNS8yMDIyLkwuLlVTRAEAAADfxgQAAwAAAAAAwaYxxk4O2ghYEkHLTg7aCDNDSVEuTllTRTpXTVQuSVFfR1JPU1NfTE9BTlMuSVFfRlkuMy8yNS8yMDIyLkwuRi5VU0QBAAAA38YEAAMAAAAAAMGmMcZODtoIYR5Ay04O2ggyQ0lRLk5ZU0U6V01ULklRX05FVF9MT0FOUy5JUV9GWS02LjMvMjUvMjAyMi5MLi5VU0QBAAAA38YEAAMAAAAAAMGmMcZODtoIPsRAy04O2gg2Q0lRLk5ZU0U6V01ULklRX0NBU0hfU1RfSU5WRVNULklRX0xUTS4zLzI1LzIwMjIuTC4uVVNEAQAAAN/GBAACAAAABTE0NzYwAQgAAAAFAAAAATEBAAAACy0yMTA3Njg2MDA4AwAAAAMxNjACAAAABDEwMDIEAAAAATAHAAAACTMvMjUvMjAyMggAAAAJMS8zMS8yMDIyCQAAAAEwwaYxxk4O2giC0j7LTg7aCDdDSVEuTllTRTpXTVQuSVFfRElMVVRfRVBTX0lOQ0wuSVFfRlktMS4zLzI1LzIwMjIuTC4uVVNEAQAAAN/GBAACAAAABDQuNzUBCAAAAAUAAAABMQEAAAALLTIx</t>
  </si>
  <si>
    <t>MDc2ODYyODEDAAAAAzE2MAIAAAABOAQAAAABMAcAAAAJMy8yNS8yMDIyCAAAAAkxLzMxLzIwMjEJAAAAATDBpjHGTg7aCD7EQMtODtoIOkNJUS5OWVNFOldNVC5JUV9SRVRVUk5fRVFVSVRZX0JBTksuSVFfRlkuMy8yNS8yMDIyLkwuRi5VU0QBAAAA38YEAAIAAAAHMTUuNTM4NwEIAAAABQAAAAExAQAAAAstMjEwNzY4NjI4MgMAAAADMTYwAgAAAAQ0MTI4BAAAAAEwBwAAAAkzLzI1LzIwMjIIAAAACTEvMzEvMjAyMgkAAAABMMGmMcZODtoI7GU/y04O2gg7Q0lRLk5ZU0U6V01ULklRX1RPVEFMX0JBTktfQ0FQSVRBTC5JUV9MVE0uMy8yNS8yMDIyLkwuRi5VU0QBAAAA38YEAAMAAAAAAMGmMcZODtoIf0VAy04O2ggsQ0lRLk5ZU0U6V01ULklRX0VCVC5JUV9GWS0xLjMvMjUvMjAyMi5MLi5VU0QBAAAA38YEAAIAAAAFMjA1NjQBCAAAAAUAAAABMQEAAAALLTIxMDc2ODYyODEDAAAAAzE2MAIAAAADMTM5BAAAAAEwBwAAAAkzLzI1LzIwMjIIAAAACTEvMzEvMjAyMQkAAAABMMGmMcZODtoIUOtAy04O2gg7Q0lRLk5ZU0U6V01ULklRX1JFVFVSTl9BU1NFVFNfQkFOSy5JUV9MVE0uMy8yNS8yMDIyLkwuRi5VU0QBAAAA38YEAAIAAAAGNi41MTk5AQgAAAAFAAAAATEBAAAACy0yMTA3Njg2MDA4AwAAAAMxNjACAAAABDQxNzgEAAAAATAHAAAACTMvMjUvMjAyMggAAAAJMS8zMS8yMDIyCQAAAAEwwaYxxk4O2gjR</t>
  </si>
  <si>
    <t>hz/LTg7aCD5DSVEuTllTRTpXTVQuSVFfTk9OX1BFUkZPUk1JTkdfTE9BTlMuSVFfRlktMS4zLzI1LzIwMjIuTC5GLlVTRAEAAADfxgQAAwAAAAAAwaYxxk4O2giJVETLTg7aCCxDSVEuTllTRTpXTVQuSVFfRUJULklRX0ZZLTIuMy8yNS8yMDIyLkwuLlVTRAEAAADfxgQAAgAAAAUyMDExNgEIAAAABQAAAAExAQAAAAstMjEwNzY4NjI5MQMAAAADMTYwAgAAAAMxMzkEAAAAATAHAAAACTMvMjUvMjAyMggAAAAJMS8zMS8yMDIwCQAAAAEwwaYxxk4O2ghQ60DLTg7aCDRDSVEuTllTRTpXTVQuSVFfRUJJVERBX0lOVC5JUV9GWS02LjMvMjUvMjAyMi5MLkYuVVNEAQAAAN/GBAACAAAACTEzLjE3MDcyMgEIAAAABQAAAAExAQAAAAoxODgwNzE4NzYyAwAAAAMxNjACAAAABDQxOTAEAAAAATAHAAAACTMvMjUvMjAyMggAAAAJMS8zMS8yMDE2CQAAAAEwwaYxxk4O2gh5yUPLTg7aCDVDSVEuTllTRTpXTVQuSVFfQ0FTSF9FUVVJVi5JUV9MVE0tNC4zLzI1LzIwMjIuTC5GLlVTRAEAAADfxgQAAgAAAAUxNzc0MQEIAAAABQAAAAExAQAAAAstMjEwNzY4NTk3NwMAAAADMTYwAgAAAAQxMDk2BAAAAAEwBwAAAAkzLzI1LzIwMjIIAAAACTEvMzEvMjAyMQkAAAABMMGmMcZODtoIWBJBy04O2gg1Q0lRLk5ZU0U6V01ULklRX1VGQ0ZfTUFSR0lOLklRX0ZZLTYuMy8yNS8yMDIyLkwuRi5VU0QBAAAA38YEAAIAAAAGMy4zNDYx</t>
  </si>
  <si>
    <t>AQgAAAAFAAAAATEBAAAACjE4ODA3MTg3NjIDAAAAAzE2MAIAAAAENDQzNwQAAAABMAcAAAAJMy8yNS8yMDIyCAAAAAkxLzMxLzIwMTYJAAAAATDBpjHGTg7aCIs1QstODtoIPENJUS5OWVNFOldNVC5JUV9UT1RBTF9ERUJUX0NBUElUQUwuSVFfRlktMS4zLzI1LzIwMjIuTC5GLlVTRAEAAADfxgQAAgAAAAY0Mi4wOTgBCAAAAAUAAAABMQEAAAALLTIxMDc2ODYyODEDAAAAAzE2MAIAAAAENDE4NgQAAAABMAcAAAAJMy8yNS8yMDIyCAAAAAkxLzMxLzIwMjEJAAAAATDBpjHGTg7aCGaiQ8tODtoINUNJUS5OWVNFOldNVC5JUV9BU1NFVF9UVVJOUy5JUV9GWS02LjMvMjUvMjAyMi5MLkYuVVNEAQAAAN/GBAACAAAACDIuMzkyMjgzAQgAAAAFAAAAATEBAAAACjE4ODA3MTg3NjIDAAAAAzE2MAIAAAAENDE3NwQAAAABMAcAAAAJMy8yNS8yMDIyCAAAAAkxLzMxLzIwMTYJAAAAATDBpjHGTg7aCIs1QstODtoIOkNJUS5OWVNFOldNVC5JUV9UT1RBTF9PUEVSX0VYUEVOLklRX0ZZLTUuMy8yNS8yMDIyLkwuRi5VU0QBAAAA38YEAAIAAAAGNDYzMTA5AQgAAAAFAAAAATEBAAAACjE5NTE1NDAzMzUDAAAAAzE2MAIAAAADMzczBAAAAAEwBwAAAAkzLzI1LzIwMjIIAAAACTEvMzEvMjAxNwkAAAABMMGmMcZODtoIsqg/y04O2gg3Q0lRLk5ZU0U6V01ULklRX0lOVF9JTkNfVE9UQUwuSVFfRlktNS4zLzI1LzIwMjIuTC5G</t>
  </si>
  <si>
    <t>LlVTRAEAAADfxgQAAwAAAAAAwaYxxk4O2gi4sLPLTg7aCDpDSVEuTllTRTpXTVQuSVFfVE9UQUxfT1BFUl9FWFBFTi5JUV9GWS00LjMvMjUvMjAyMi5MLkYuVVNEAQAAAN/GBAACAAAABjQ3OTQwNgEIAAAABQAAAAExAQAAAAoyMDIzMjQ5NjExAwAAAAMxNjACAAAAAzM3MwQAAAABMAcAAAAJMy8yNS8yMDIyCAAAAAkxLzMxLzIwMTgJAAAAATDBpjHGTg7aCLKoP8tODtoIMUNJUS5OWVNFOldNVC5JUV9ORVRfTE9BTlMuSVFfTFRNLjMvMjUvMjAyMi5MLi5VU0QBAAAA38YEAAMAAAAAAMGmMcZODtoIPsRAy04O2ggyQ0lRLk5ZU0U6V01ULklRX0FMTE9XX0xMLklRX0ZZLTYuMy8yNS8yMDIyLkwuRi5VU0QBAAAA38YEAAMAAAAAAMGmMcZODtoIrVVEy04O2gguQ0lRLk5ZU0U6V01ULklRX0VCSVQuSVFfRlktNC4zLzI1LzIwMjIuTC5GLlVTRAEAAADfxgQAAgAAAAUyMDkzNwEIAAAABQAAAAExAQAAAAoyMDIzMjQ5NjExAwAAAAMxNjACAAAAAzQwMAQAAAABMAcAAAAJMy8yNS8yMDIyCAAAAAkxLzMxLzIwMTgJAAAAATDBpjHGTg7aCLiws8tODtoIOUNJUS5OWVNFOldNVC5JUV9ORVRfSU5UX0lOQ19CTksuSVFfRlktNS4zLzI1LzIwMjIuTC5GLlVTRAEAAADfxgQAAwAAAAAAwaYxxk4O2gi4sLPLTg7aCDRDSVEuTllTRTpXTVQuSVFfRUJJVERBX0lOVC5JUV9GWS0zLjMvMjUvMjAyMi5MLkYuVVNEAQAAAN/G</t>
  </si>
  <si>
    <t>BAACAAAACTEzLjkxMDkxMgEIAAAABQAAAAExAQAAAAoyMDg1MTMyOTMwAwAAAAMxNjACAAAABDQxOTAEAAAAATAHAAAACTMvMjUvMjAyMggAAAAJMS8zMS8yMDE5CQAAAAEwwaYxxk4O2ghmokPLTg7aCC9DSVEuTllTRTpXTVQuSVFfRUJJVERBLklRX0ZZLTEuMy8yNS8yMDIyLkwuLlVTRAEAAADfxgQAAgAAAAUzODEwMAEIAAAABQAAAAExAQAAAAstMjEwNzY4NjI4MQMAAAADMTYwAgAAAAQ0MDUxBAAAAAEwBwAAAAkzLzI1LzIwMjIIAAAACTEvMzEvMjAyMQkAAAABMMGmMcZODtoIUVRDy04O2gg3Q0lRLk5ZU0U6V01ULklRX0NVUlJFTlRfUkFUSU8uSVFfRlktMi4zLzI1LzIwMjIuTC5GLlVTRAEAAADfxgQAAgAAAAgwLjc5NDUyMwEIAAAABQAAAAExAQAAAAstMjEwNzY4NjI5MQMAAAADMTYwAgAAAAQ0MDMwBAAAAAEwBwAAAAkzLzI1LzIwMjIIAAAACTEvMzEvMjAyMAkAAAABMMGmMcZODtoIo6pBy04O2gg7Q0lRLk5ZU0U6V01ULklRX0ZJWEVEX0FTU0VUX1RVUk5TLklRX0ZZLTQuMy8yNS8yMDIyLkwuRi5VU0QBAAAA38YEAAIAAAAINC4zNjk4ODQBCAAAAAUAAAABMQEAAAAKMjAyMzI0OTYxMQMAAAADMTYwAgAAAAQ0MDY2BAAAAAEwBwAAAAkzLzI1LzIwMjIIAAAACTEvMzEvMjAxOAkAAAABMMGmMcZODtoIiA5Cy04O2ggwQ0lRLk5ZU0U6V01ULklRX0VCSVREQS5JUV9MVE0tNC4zLzI1LzIwMjIu</t>
  </si>
  <si>
    <t>TC4uVVNEAQAAAN/GBAACAAAABTM4MTAwAQgAAAAFAAAAATEBAAAACy0yMTA3Njg1OTc3AwAAAAMxNjACAAAABDQwNTEEAAAAATAHAAAACTMvMjUvMjAyMggAAAAJMS8zMS8yMDIxCQAAAAEwwaYxxk4O2ghRVEPLTg7aCDhDSVEuTllTRTpXTVQuSVFfSU5WRU5UT1JZX1RVUk5TLklRX0xUTS4zLzI1LzIwMjIuTC5GLlVTRAEAAADfxgQAAgAAAAg4LjQ1NjUzNAEIAAAABQAAAAExAQAAAAstMjEwNzY4NjAwOAMAAAADMTYwAgAAAAQ0MDgyBAAAAAEwBwAAAAkzLzI1LzIwMjIIAAAACTEvMzEvMjAyMgkAAAABMMGmMcZODtoIMr5By04O2gg3Q0lRLk5ZU0U6V01ULklRX0VCSVREQV9NQVJHSU4uSVFfRlktMi4zLzI1LzIwMjIuTC5GLlVTRAEAAADfxgQAAgAAAAY2LjE5NDEBCAAAAAUAAAABMQEAAAALLTIxMDc2ODYyOTEDAAAAAzE2MAIAAAAENDA0NwQAAAABMAcAAAAJMy8yNS8yMDIyCAAAAAkxLzMxLzIwMjAJAAAAATDBpjHGTg7aCFt+QstODtoIO0NJUS5OWVNFOldNVC5JUV9GSVhFRF9BU1NFVF9UVVJOUy5JUV9GWS0zLjMvMjUvMjAyMi5MLkYuVVNEAQAAAN/GBAACAAAABzQuNTQ3OTcBCAAAAAUAAAABMQEAAAAKMjA4NTEzMjkzMAMAAAADMTYwAgAAAAQ0MDY2BAAAAAEwBwAAAAkzLzI1LzIwMjIIAAAACTEvMzEvMjAxOQkAAAABMMGmMcZODtoIiA5Cy04O2gg3Q0lRLk5ZU0U6V01ULklRX0NBU0hfU1Rf</t>
  </si>
  <si>
    <t>SU5WRVNULklRX0xUTS4zLzI1LzIwMjIuTC5GLlVTRAEAAADfxgQAAgAAAAUxNDc2MAEIAAAABQAAAAExAQAAAAstMjEwNzY4NjAwOAMAAAADMTYwAgAAAAQxMDAyBAAAAAEwBwAAAAkzLzI1LzIwMjIIAAAACTEvMzEvMjAyMgkAAAABMMGmMcZODtoIWBJBy04O2gg1Q0lRLk5ZU0U6V01ULklRX1FVSUNLX1JBVElPLklRX0ZZLTUuMy8yNS8yMDIyLkwuRi5VU0QBAAAA38YEAAIAAAAIMC4xODk3ODYBCAAAAAUAAAABMQEAAAAKMTk1MTU0MDMzNQMAAAADMTYwAgAAAAQ0MTIxBAAAAAEwBwAAAAkzLzI1LzIwMjIIAAAACTEvMzEvMjAxNwkAAAABMMGmMcZODtoIh4dBy04O2gg3Q0lRLk5ZU0U6V01ULklRX0VCSVREQV9NQVJHSU4uSVFfRlktNS4zLzI1LzIwMjIuTC5GLlVTRAEAAADfxgQAAgAAAAY2Ljc1OTcBCAAAAAUAAAABMQEAAAAKMTk1MTU0MDMzNQMAAAADMTYwAgAAAAQ0MDQ3BAAAAAEwBwAAAAkzLzI1LzIwMjIIAAAACTEvMzEvMjAxNwkAAAABMMGmMcZODtoIW35Cy04O2ggvQ0lRLk5ZU0U6V01ULklRX0VCSVREQS5JUV9GWS0zLjMvMjUvMjAyMi5MLi5VU0QBAAAA38YEAAIAAAAFMzI2MzUBCAAAAAUAAAABMQEAAAAKMjA4NTEzMjkzMAMAAAADMTYwAgAAAAQ0MDUxBAAAAAEwBwAAAAkzLzI1LzIwMjIIAAAACTEvMzEvMjAxOQkAAAABMMGmMcZODtoIUVRDy04O2gg3Q0lRLk5ZU0U6V01ULklRX0NV</t>
  </si>
  <si>
    <t>UlJFTlRfUkFUSU8uSVFfRlktNC4zLzI1LzIwMjIuTC5GLlVTRAEAAADfxgQAAgAAAAgwLjc1OTg0NwEIAAAABQAAAAExAQAAAAoyMDIzMjQ5NjExAwAAAAMxNjACAAAABDQwMzAEAAAAATAHAAAACTMvMjUvMjAyMggAAAAJMS8zMS8yMDE4CQAAAAEwwaYxxk4O2ggyvkHLTg7aCDZDSVEuTllTRTpXTVQuSVFfRUJJVERBX01BUkdJTi5JUV9MVE0uMy8yNS8yMDIyLkwuRi5VU0QBAAAA38YEAAIAAAAGNi4zOTAxAQgAAAAFAAAAATEBAAAACy0yMTA3Njg2MDA4AwAAAAMxNjACAAAABDQwNDcEAAAAATAHAAAACTMvMjUvMjAyMggAAAAJMS8zMS8yMDIyCQAAAAEwwaYxxk4O2gj1VkLLTg7aCDpDSVEuTllTRTpXTVQuSVFfTkVUX0RFQlRfRUJJVERBLklRX0xUTS00LjMvMjUvMjAyMi5MLkYuVVNEAQAAAN/GBAACAAAABzEuMTA1OTIBCAAAAAUAAAABMQEAAAALLTIxMDc2ODU5NzcDAAAAAzE2MAIAAAAENDE5MwQAAAABMAcAAAAJMy8yNS8yMDIyCAAAAAkxLzMxLzIwMjEJAAAAATDBpjHGTg7aCGs5QctODtoIPENJUS5OWVNFOldNVC5JUV9GSVhFRF9BU1NFVF9UVVJOUy5JUV9MVE0tNC4zLzI1LzIwMjIuTC5GLlVTRAEAAADfxgQAAgAAAAg0LjcyMDYyNQEIAAAABQAAAAExAQAAAAstMjEwNzY4NTk3NwMAAAADMTYwAgAAAAQ0MDY2BAAAAAEwBwAAAAkzLzI1LzIwMjIIAAAACTEvMzEvMjAyMQkAAAABMMGmMcZO</t>
  </si>
  <si>
    <t>DtoI6vpBy04O2gg2Q0lRLk5ZU0U6V01ULklRX0NVUlJFTlRfUkFUSU8uSVFfTFRNLjMvMjUvMjAyMi5MLkYuVVNEAQAAAN/GBAACAAAACDAuOTI3Nzk3AQgAAAAFAAAAATEBAAAACy0yMTA3Njg2MDA4AwAAAAMxNjACAAAABDQwMzAEAAAAATAHAAAACTMvMjUvMjAyMggAAAAJMS8zMS8yMDIyCQAAAAEwwaYxxk4O2ggyvkHLTg7aCDVDSVEuTllTRTpXTVQuSVFfTEZDRl9NQVJHSU4uSVFfRlktMi4zLzI1LzIwMjIuTC5GLlVTRAEAAADfxgQAAgAAAAYyLjc5ODgBCAAAAAUAAAABMQEAAAALLTIxMDc2ODYyOTEDAAAAAzE2MAIAAAAENDQzNgQAAAABMAcAAAAJMy8yNS8yMDIyCAAAAAkxLzMxLzIwMjAJAAAAATDBpjHGTg7aCPVWQstODtoILkNJUS5OWVNFOldNVC5JUV9FQklUREEuSVFfTFRNLjMvMjUvMjAyMi5MLi5VU0QBAAAA38YEAAIAAAAFMzY2MDABCAAAAAUAAAABMQEAAAALLTIxMDc2ODYwMDgDAAAAAzE2MAIAAAAENDA1MQQAAAABMAcAAAAJMy8yNS8yMDIyCAAAAAkxLzMxLzIwMjIJAAAAATDBpjHGTg7aCDwtQ8tODtoIOUNJUS5OWVNFOldNVC5JUV9JTlZFTlRPUllfVFVSTlMuSVFfRlktNS4zLzI1LzIwMjIuTC5GLlVTRAEAAADfxgQAAgAAAAg4LjI1NTg2NAEIAAAABQAAAAExAQAAAAoxOTUxNTQwMzM1AwAAAAMxNjACAAAABDQwODIEAAAAATAHAAAACTMvMjUvMjAyMggAAAAJMS8zMS8yMDE3</t>
  </si>
  <si>
    <t>CQAAAAEwwaYxxk4O2gi00UHLTg7aCDhDSVEuTllTRTpXTVQuSVFfUkVUVVJOX0FTU0VUUy5JUV9MVE0tNC4zLzI1LzIwMjIuTC5GLlVTRAEAAADfxgQAAgAAAAY2Ljg4ODYBCAAAAAUAAAABMQEAAAALLTIxMDc2ODU5NzcDAAAAAzE2MAIAAAAENDE3OAQAAAABMAcAAAAJMy8yNS8yMDIyCAAAAAkxLzMxLzIwMjEJAAAAATDBpjHGTg7aCCLYQstODtoILENJUS5OWVNFOldNVC5JUV9aX1NDT1JFLklRX0xUTS4zLzI1LzIwMjIuTC5GAQAAAN/GBAACAAAACDQuNzA3MTkxAQgAAAAFAAAAATEBAAAACy0yMTA3Njg2MDA4AwAAAAMxNjACAAAABjEwMDEyMwQAAAABMAcAAAAJMy8yNS8yMDIyCAAAAAkxLzMxLzIwMjIJAAAAATBbEdfITg7aCN37RctODtoILUNJUS5OWVNFOldNVC5JUV9aX1NDT1JFLklRX0ZZLTQuMy8yNS8yMDIyLkwuRgEAAADfxgQAAgAAAAg0LjQ1MDcxNgEIAAAABQAAAAExAQAAAAoyMDIzMjQ5NjExAwAAAAMxNjACAAAABjEwMDEyMwQAAAABMAcAAAAJMy8yNS8yMDIyCAAAAAkxLzMxLzIwMTgJAAAAATBbEdfITg7aCN37RctODtoIPUNJUS5OWVNFOldNVC5JUV9SRVRVUk5fQVNTRVRTX0JBTksuSVFfTFRNLTQuMy8yNS8yMDIyLkwuRi5VU0QBAAAA38YEAAIAAAAGNi44ODg2AQgAAAAFAAAAATEBAAAACy0yMTA3Njg1OTc3AwAAAAMxNjACAAAABDQxNzgEAAAAATAHAAAACTMvMjUvMjAyMggA</t>
  </si>
  <si>
    <t>AAAJMS8zMS8yMDIxCQAAAAEwwaYxxk4O2gh2eT/LTg7aCDxDSVEuTllTRTpXTVQuSVFfUkVUVVJOX0VRVUlUWV9CQU5LLklRX0ZZLTQuMy8yNS8yMDIyLkwuRi5VU0QBAAAA38YEAAIAAAAHMTMuMDQzMQEIAAAABQAAAAExAQAAAAoyMDIzMjQ5NjExAwAAAAMxNjACAAAABDQxMjgEAAAAATAHAAAACTMvMjUvMjAyMggAAAAJMS8zMS8yMDE4CQAAAAEwwaYxxk4O2ggqMz/LTg7aCDVDSVEuTllTRTpXTVQuSVFfR1JPU1NfTE9BTlMuSVFfRlktNi4zLzI1LzIwMjIuTC5GLlVTRAEAAADfxgQAAwAAAAAAwaYxxk4O2gh/RUDLTg7aCCxDSVEuTllTRTpXTVQuSVFfTkkuSVFfRlktMi4zLzI1LzIwMjIuTC5GLlVTRAEAAADfxgQAAgAAAAUxNDg4MQEIAAAABQAAAAExAQAAAAstMjEwNzY4NjI5MQMAAAADMTYwAgAAAAIxNQQAAAABMAcAAAAJMy8yNS8yMDIyCAAAAAkxLzMxLzIwMjAJAAAAATDBpjHGTg7aCLKoP8tODtoIOENJUS5OWVNFOldNVC5JUV9ESUxVVF9FUFNfSU5DTC5JUV9MVE0tNC4zLzI1LzIwMjIuTC4uVVNEAQAAAN/GBAACAAAABDQuNzUBCAAAAAUAAAABMQEAAAALLTIxMDc2ODU5NzcDAAAAAzE2MAIAAAABOAQAAAABMAcAAAAJMy8yNS8yMDIyCAAAAAkxLzMxLzIwMjEJAAAAATDBpjHGTg7aCD7EQMtODtoIN0NJUS5OWVNFOldNVC5JUV9DQVNIX1NUX0lOVkVTVC5JUV9GWS0xLjMvMjUvMjAyMi5M</t>
  </si>
  <si>
    <t>Li5VU0QBAAAA38YEAAIAAAAFMTc3NDEBCAAAAAUAAAABMQEAAAALLTIxMDc2ODYyODEDAAAAAzE2MAIAAAAEMTAwMgQAAAABMAcAAAAJMy8yNS8yMDIyCAAAAAkxLzMxLzIwMjEJAAAAATDBpjHGTg7aCIv5PstODtoIO0NJUS5OWVNFOldNVC5JUV9SRVRVUk5fRVFVSVRZX0JBTksuSVFfTFRNLjMvMjUvMjAyMi5MLkYuVVNEAQAAAN/GBAACAAAABzE1LjUzODcBCAAAAAUAAAABMQEAAAALLTIxMDc2ODYwMDgDAAAAAzE2MAIAAAAENDEyOAQAAAABMAcAAAAJMy8yNS8yMDIyCAAAAAkxLzMxLzIwMjIJAAAAATDBpjHGTg7aCKEmP8tODtoIPUNJUS5OWVNFOldNVC5JUV9OT05fUEVSRk9STUlOR19MT0FOUy5JUV9MVE0uMy8yNS8yMDIyLkwuRi5VU0QBAAAA38YEAAMAAAAAAMGmMcZODtoIYR5Ay04O2gg3Q0lRLk5ZU0U6V01ULklRX0NBU0hfU1RfSU5WRVNULklRX0ZZLTYuMy8yNS8yMDIyLkwuLlVTRAEAAADfxgQAAgAAAAQ4NzA1AQgAAAAFAAAAATEBAAAACjE4ODA3MTg3NjIDAAAAAzE2MAIAAAAEMTAwMgQAAAABMAcAAAAJMy8yNS8yMDIyCAAAAAkxLzMxLzIwMTYJAAAAATDBpjHGTg7aCILSPstODtoIM0NJUS5OWVNFOldNVC5JUV9ORVRfTE9BTlMuSVFfTFRNLTQuMy8yNS8yMDIyLkwuLlVTRAEAAADfxgQAAwAAAAAAwaYxxk4O2gg+xEDLTg7aCDpDSVEuTllTRTpXTVQuSVFfVElFUl9PTkVfQ0FQSVRB</t>
  </si>
  <si>
    <t>TC5JUV9GWS02LjMvMjUvMjAyMi5MLkYuVVNEAQAAAN/GBAADAAAAAADBpjHGTg7aCJCTQMtODtoIOkNJUS5OWVNFOldNVC5JUV9USUVSX1RXT19DQVBJVEFMLklRX0ZZLTYuMy8yNS8yMDIyLkwuRi5VU0QBAAAA38YEAAMAAAAAAMGmMcZODtoIkJNAy04O2ggsQ0lRLk5ZU0U6V01ULklRX0dXLklRX0ZZLTYuMy8yNS8yMDIyLkwuRi5VU0QBAAAA38YEAAIAAAAFMTY2OTUBCAAAAAUAAAABMQEAAAAKMTg4MDcxODc2MgMAAAADMTYwAgAAAAQxMTcxBAAAAAEwBwAAAAkzLzI1LzIwMjIIAAAACTEvMzEvMjAxNgkAAAABMMGmMcZODtoIkJNAy04O2gg+Q0lRLk5ZU0U6V01ULklRX1JJU0tfQURKX0JBTktfQVNTRVRTLklRX0ZZLTYuMy8yNS8yMDIyLkwuRi5VU0QBAAAA38YEAAMAAAAAAMGmMcZODtoIkJNAy04O2gg8Q0lRLk5ZU0U6V01ULklRX1JFVFVSTl9BU1NFVFNfQkFOSy5JUV9GWS01LjMvMjUvMjAyMi5MLkYuVVNEAQAAAN/GBAACAAAABjcuMTQyMgEIAAAABQAAAAExAQAAAAoxOTUxNTQwMzM1AwAAAAMxNjACAAAABDQxNzgEAAAAATAHAAAACTMvMjUvMjAyMggAAAAJMS8zMS8yMDE3CQAAAAEwwaYxxk4O2giyqD/LTg7aCDxDSVEuTllTRTpXTVQuSVFfUkVUVVJOX0FTU0VUU19CQU5LLklRX0ZZLTYuMy8yNS8yMDIyLkwuRi5VU0QBAAAA38YEAAIAAAAGNy40NzU0AQgAAAAFAAAAATEBAAAACjE4ODA3</t>
  </si>
  <si>
    <t>MTg3NjIDAAAAAzE2MAIAAAAENDE3OAQAAAABMAcAAAAJMy8yNS8yMDIyCAAAAAkxLzMxLzIwMTYJAAAAATDBpjHGTg7aCB2VP8tODtoIPUNJUS5OWVNFOldNVC5JUV9UT1RBTF9CQU5LX0NBUElUQUwuSVFfTFRNLTQuMy8yNS8yMDIyLkwuRi5VU0QBAAAA38YEAAMAAAAAAMGmMcZODtoIgGxAy04O2gg1Q0lRLk5ZU0U6V01ULklRX1RPVEFMX1JFVl9CTksuSVFfTFRNLjMvMjUvMjAyMi5MLi5VU0QBAAAA38YEAAMAAAAAAMGmMcZODtoIUOtAy04O2gg4Q0lRLk5ZU0U6V01ULklRX0NBU0hfU1RfSU5WRVNULklRX0ZZLTMuMy8yNS8yMDIyLkwuRi5VU0QBAAAA38YEAAIAAAAENzcyMgEIAAAABQAAAAExAQAAAAoyMDg1MTMyOTMwAwAAAAMxNjACAAAABDEwMDIEAAAAATAHAAAACTMvMjUvMjAyMggAAAAJMS8zMS8yMDE5CQAAAAEwwaYxxk4O2ghYEkHLTg7aCDdDSVEuTllTRTpXTVQuSVFfUkVUVVJOX0FTU0VUUy5JUV9GWS0xLjMvMjUvMjAyMi5MLkYuVVNEAQAAAN/GBAACAAAABjYuODg4NgEIAAAABQAAAAExAQAAAAstMjEwNzY4NjI4MQMAAAADMTYwAgAAAAQ0MTc4BAAAAAEwBwAAAAkzLzI1LzIwMjIIAAAACTEvMzEvMjAyMQkAAAABMMGmMcZODtoIeM1Cy04O2gg0Q0lRLk5ZU0U6V01ULklRX1FVSUNLX1JBVElPLklRX0xUTS4zLzI1LzIwMjIuTC5GLlVTRAEAAADfxgQAAgAAAAgwLjI2MzY3OAEIAAAA</t>
  </si>
  <si>
    <t>BQAAAAExAQAAAAstMjEwNzY4NjAwOAMAAAADMTYwAgAAAAQ0MTIxBAAAAAEwBwAAAAkzLzI1LzIwMjIIAAAACTEvMzEvMjAyMgkAAAABMMGmMcZODtoIh4dBy04O2gg1Q0lRLk5ZU0U6V01ULklRX1FVSUNLX1JBVElPLklRX0ZZLTEuMy8yNS8yMDIyLkwuRi5VU0QBAAAA38YEAAIAAAAIMC4yNjE4MjcBCAAAAAUAAAABMQEAAAALLTIxMDc2ODYyODEDAAAAAzE2MAIAAAAENDEyMQQAAAABMAcAAAAJMy8yNS8yMDIyCAAAAAkxLzMxLzIwMjEJAAAAATDBpjHGTg7aCKOqQctODtoINENJUS5OWVNFOldNVC5JUV9UT1RBTF9SRVZfQk5LLklRX0ZZLjMvMjUvMjAyMi5MLi5VU0QBAAAA38YEAAMAAAAAAMGmMcZODtoIUOtAy04O2gg3Q0lRLk5ZU0U6V01ULklRX0RJTFVUX0VQU19JTkNMLklRX0ZZLTYuMy8yNS8yMDIyLkwuLlVTRAEAAADfxgQAAgAAAAQ0LjU3AQgAAAAFAAAAATEBAAAACjE4ODA3MTg3NjIDAAAAAzE2MAIAAAABOAQAAAABMAcAAAAJMy8yNS8yMDIyCAAAAAkxLzMxLzIwMTYJAAAAATDBpjHGTg7aCD7EQMtODtoIN0NJUS5OWVNFOldNVC5JUV9DQVNIX1NUX0lOVkVTVC5JUV9GWS01LjMvMjUvMjAyMi5MLi5VU0QBAAAA38YEAAIAAAAENjg2NwEIAAAABQAAAAExAQAAAAoxOTUxNTQwMzM1AwAAAAMxNjACAAAABDEwMDIEAAAAATAHAAAACTMvMjUvMjAyMggAAAAJMS8zMS8yMDE3CQAAAAEwwaYx</t>
  </si>
  <si>
    <t>xk4O2giC0j7LTg7aCDdDSVEuTllTRTpXTVQuSVFfRElMVVRfRVBTX0VYQ0wuSVFfRlktNC4zLzI1LzIwMjIuTC4uVVNEAQAAAN/GBAACAAAABDMuMjgBCAAAAAUAAAABMQEAAAAKMjAyMzI0OTYxMQMAAAADMTYwAgAAAAMxNDIEAAAAATAHAAAACTMvMjUvMjAyMggAAAAJMS8zMS8yMDE4CQAAAAEwwaYxxk4O2gg+xEDLTg7aCDVDSVEuTllTRTpXTVQuSVFfR1JPU1NfTE9BTlMuSVFfRlktMy4zLzI1LzIwMjIuTC5GLlVTRAEAAADfxgQAAwAAAAAAwaYxxk4O2ghhHkDLTg7aCDVDSVEuTllTRTpXTVQuSVFfTk9OX0lOVF9JTkMuSVFfRlktNS4zLzI1LzIwMjIuTC5GLlVTRAEAAADfxgQAAwAAAAAAwaYxxk4O2gi4sLPLTg7aCDdDSVEuTllTRTpXTVQuSVFfUFJFVEFYX0lOQ19FU1QuSVFfRlkrMS4zLzI1LzIwMjIuLkYuVVNEAQAAAN/GBAACAAAACjI1MjgzLjE2NTQBDgAAAAUAAAABMwEAAAABMAIAAAAKMTAwMjA4Mjc2MgMAAAAGMTAwMjI5BAAAAAEyBgAAAAEwBwAAAAMxNjAIAAAAATAJAAAAATEKAAAAATALAAAACzEyNzk0NDcyNTk5DAAAAAExDQAAAAkzLzI2LzIwMjIQAAAACTMvMjUvMjAyMsGmMcZODtoIsIM+y04O2gg1Q0lRLk5ZU0U6V01ULklRX0VTVF9BQ1RfRUJJVC5JUV9GWS00LjMvMjUvMjAyMi5MLi5VU0QBAAAA38YEAAIAAAAHMjI1MTMuOQEOAAAABQAAAAEzAQAAAAEwAgAAAAoxMDAwMjA3</t>
  </si>
  <si>
    <t>NDkyAwAAAAYxMDAyMjEEAAAAATIGAAAAATAHAAAAAzE2MAgAAAABMAkAAAABMQoAAAABMAsAAAALMTA3NTQ0NzU3NDEMAAAAATENAAAACTMvMjYvMjAyMhAAAAAJMS8zMS8yMDE4waYxxk4O2gg8LUPLTg7aCDNDSVEuTllTRTpXTVQuSVFfRVNUX0FDVF9OSS5JUV9GWS02LjMvMjUvMjAyMi5MLi5VU0QBAAAA38YEAAIAAAAIMTQ3NjYuMDMBDgAAAAUAAAABMwEAAAABMAIAAAAKMTAwMDIwNzQ5MAMAAAAGMTAwMjU2BAAAAAEyBgAAAAEwBwAAAAMxNjAIAAAAATAJAAAAATEKAAAAATALAAAACjkzMDI2OTA4MDQMAAAAATENAAAACTMvMjYvMjAyMhAAAAAJMS8zMS8yMDE2waYxxk4O2gjp+0LLTg7aCDNDSVEuTllTRTpXTVQuSVFfRVNUX0FDVF9FQklULklRX0ZZLjMvMjUvMjAyMi5MLi5VU0QBAAAA38YEAAIAAAAFMjYwNTABDgAAAAUAAAABMwEAAAABMAIAAAAKMTAwMjA4Mjc2MQMAAAAGMTAwMjIxBAAAAAEyBgAAAAEwBwAAAAMxNjAIAAAAATAJAAAAATEKAAAAATALAAAACzEyNzU1MTg1MTA2DAAAAAExDQAAAAkzLzI2LzIwMjIQAAAACTEvMzEvMjAyMsGmMcZODtoI6ftCy04O2gg3Q0lRLk5ZU0U6V01ULklRX0VTVF9BQ1RfRUJJVERBLklRX0ZZLTQuMy8yNS8yMDIyLkwuLlVTRAEAAADfxgQAAgAAAAczMzA0Mi45AQ4AAAAFAAAAATMBAAAAATACAAAACjEwMDAyMDc0OTIDAAAABjEwMDE5MwQAAAABMgYA</t>
  </si>
  <si>
    <t>AAABMAcAAAADMTYwCAAAAAEwCQAAAAExCgAAAAEwCwAAAAsxMDc1NDQ3NTc0MAwAAAABMQ0AAAAJMy8yNi8yMDIyEAAAAAkxLzMxLzIwMTjBpjHGTg7aCDwtQ8tODtoINENJUS5OWVNFOldNVC5JUV9FU1RfQUNUX05JLklRX0xUTS00LjMvMjUvMjAyMi5MLi5VU0QBAAAA38YEAAMAAAAAAMGmMcZODtoI6ftCy04O2gg6Q0lRLk5ZU0U6V01ULklRX1JFVFVSTl9FUVVJVFlfRVNULklRX0ZZKzEuMy8yNS8yMDIyLi5GLlVTRAEAAADfxgQAAgAAAAgyMC40MTI2OAEOAAAABQAAAAEzAQAAAAEwAgAAAAoxMDAyMDgyNzYyAwAAAAYxMDQxMTEEAAAAATIGAAAAATAHAAAAATAIAAAAATAJAAAAATEKAAAAATALAAAACzEyNzkyMzU5NDMxDAAAAAExDQAAAAkzLzI2LzIwMjIQAAAACTMvMjUvMjAyMsGmMcZODtoIsIM+y04O2ggzQ0lRLk5ZU0U6V01ULklRX0VTVF9BQ1RfTkkuSVFfRlktNS4zLzI1LzIwMjIuTC4uVVNEAQAAAN/GBAACAAAACDEzNDQzLjg0AQ4AAAAFAAAAATMBAAAAATACAAAACjEwMDAyMDc0OTEDAAAABjEwMDI1NgQAAAABMgYAAAABMAcAAAADMTYwCAAAAAEwCQAAAAExCgAAAAEwCwAAAAsxMDAxMzY4MzMwNwwAAAABMQ0AAAAJMy8yNi8yMDIyEAAAAAkxLzMxLzIwMTfBpjHGTg7aCOn7QstODtoINENJUS5OWVNFOldNVC5JUV9FQklUREFfRVNULklRX0ZZKzEuMy8yNS8yMDIyLkwuRi5VU0QBAAAA</t>
  </si>
  <si>
    <t>38YEAAIAAAALMzgwMTguOTA1NDMBDgAAAAUAAAABMwEAAAABMAIAAAAKMTAwMjA4Mjc2MgMAAAAGMTAwMTg3BAAAAAEyBgAAAAEwBwAAAAMxNjAIAAAAATAJAAAAATEKAAAAATALAAAACzEyNzk1NzgwODMzDAAAAAExDQAAAAkzLzI2LzIwMjIQAAAACTMvMjUvMjAyMsGmMcZODtoIPC1Dy04O2ggwQ0lRLk5ZU0U6V01ULklRX05JX0VTVC5JUV9GWSsyLjMvMjUvMjAyMi5MLkYuVVNEAQAAAN/GBAACAAAACjE5NTY0LjczNDMBDgAAAAUAAAABMwEAAAABMAIAAAAKMTAwMjA4Mjc2MwMAAAAGMTAwMjUwBAAAAAEyBgAAAAEwBwAAAAMxNjAIAAAAATAJAAAAATEKAAAAATALAAAACzEyNzk0NDcxOTQzDAAAAAExDQAAAAkzLzI2LzIwMjIQAAAACTMvMjUvMjAyMsGmMcZODtoIBu5Cy04O2gg2Q0lRLk5ZU0U6V01ULklRX0VTVF9BQ1RfRUJJVC5JUV9MVE0tNC4zLzI1LzIwMjIuTC4uVVNEAQAAAN/GBAADAAAAAADBpjHGTg7aCDwtQ8tODtoIN0NJUS5OWVNFOldNVC5JUV9FU1RfQUNUX0VCSVREQS5JUV9GWS0xLjMvMjUvMjAyMi5MLi5VU0QBAAAA38YEAAIAAAAFMzQzMzIBDgAAAAUAAAABMwEAAAABMAIAAAAKMTAwMTgxODU5MwMAAAAGMTAwMTkzBAAAAAEyBgAAAAEwBwAAAAMxNjAIAAAAATAJAAAAATEKAAAAATALAAAACzEyMjYzMDMzNTQ5DAAAAAExDQAAAAkzLzI2LzIwMjIQAAAACTEvMzEvMjAyMcGmMcZO</t>
  </si>
  <si>
    <t>DtoIUVRDy04O2ggxQ0lRLk5ZU0U6V01ULklRX0VTVF9BQ1RfTkkuSVFfRlkuMy8yNS8yMDIyLkwuLlVTRAEAAADfxgQAAgAAAAcxODEyMC4zAQ4AAAAFAAAAATMBAAAAATACAAAACjEwMDIwODI3NjEDAAAABjEwMDI1NgQAAAABMgYAAAABMAcAAAADMTYwCAAAAAEwCQAAAAExCgAAAAEwCwAAAAsxMjc1NTE4NTEwOQwAAAABMQ0AAAAJMy8yNi8yMDIyEAAAAAkxLzMxLzIwMjLBpjHGTg7aCOn7QstODtoIM0NJUS5OWVNFOldNVC5JUV9FU1RfQUNUX05JLklRX0ZZLTEuMy8yNS8yMDIyLkwuLlVTRAEAAADfxgQAAgAAAAgxNTYwMS41NgEOAAAABQAAAAEzAQAAAAEwAgAAAAoxMDAxODE4NTkzAwAAAAYxMDAyNTYEAAAAATIGAAAAATAHAAAAAzE2MAgAAAABMAkAAAABMQoAAAABMAsAAAALMTIyNjMwMzM1NTMMAAAAATENAAAACTMvMjYvMjAyMhAAAAAJMS8zMS8yMDIxwaYxxk4O2gjp+0LLTg7aCDpDSVEuTllTRTpXTVQuSVFfR1JPU1NfTUFSR0lOX0VTVC5JUV9GWSsxLjMvMjUvMjAyMi5MLkYuVVNEAQAAAN/GBAACAAAACDI0LjY2NTcxAQ4AAAAFAAAAATMBAAAAATACAAAACjEwMDIwODI3NjIDAAAABjEwNTI5MwQAAAABMgYAAAABMAcAAAABMAgAAAABMAkAAAABMQoAAAABMAsAAAALMTI3OTU3ODAzNDcMAAAAATENAAAACTMvMjYvMjAyMhAAAAAJMy8yNS8yMDIywaYxxk4O2ghRVEPLTg7aCDlDSVEuTllT</t>
  </si>
  <si>
    <t>RTpXTVQuSVFfRVBTX1JFUE9SVEVEX0VTVC5JUV9GWSsxLjMvMjUvMjAyMi5MLi5VU0QBAAAA38YEAAIAAAAHNi43NjEzMwEOAAAABQAAAAEzAQAAAAcyNjYzMjIyAgAAAAoxMDAyMDgyNzYyAwAAAAYxMDAyNzgEAAAAATIGAAAAATAHAAAAAzE2MAgAAAABMAkAAAABMQoAAAABMAsAAAALMTI3OTU3ODA0NTUMAAAAATENAAAACTMvMjYvMjAyMhAAAAAJMy8yNS8yMDIywaYxxk4O2gg+xEDLTg7aCC9DSVEuTllTRTpXTVQuSVFfTklfRVNULklRX0ZZKzIuMy8yNS8yMDIyLkwuLlVTRAEAAADfxgQAAgAAAAoxOTU2NC43MzQzAQ4AAAAFAAAAATMBAAAAATACAAAACjEwMDIwODI3NjMDAAAABjEwMDI1MAQAAAABMgYAAAABMAcAAAADMTYwCAAAAAEwCQAAAAExCgAAAAEwCwAAAAsxMjc5NDQ3MTk0MwwAAAABMQ0AAAAJMy8yNi8yMDIyEAAAAAkzLzI1LzIwMjLBpjHGTg7aCFDrQMtODtoINENJUS5OWVNFOldNVC5JUV9SRVZFTlVFX0VTVC5JUV9GWSsxLjMvMjUvMjAyMi5MLi5VU0QBAAAA38YEAAIAAAAMNTg4ODc3LjAzODI0AQ4AAAAFAAAAATMBAAAAATACAAAACjEwMDIwODI3NjIDAAAABjEwMDE4MAQAAAABMgYAAAABMAcAAAADMTYwCAAAAAEwCQAAAAExCgAAAAEwCwAAAAsxMjc5NTc4MDE4NwwAAAABMQ0AAAAJMy8yNi8yMDIyEAAAAAkzLzI1LzIwMjLBpjHGTg7aCFDrQMtODtoIJENJUS5OWVNFOldNVC5J</t>
  </si>
  <si>
    <t>UV9MQVNUU0FMRVBSSUNFLi5VU0QuSAEAAADfxgQAAgAAAAUxNDMuOAAy/j3GTg7aCMqE2clODtoIHkNJUS5OWVNFOldNVC5JUV9MQVNUU0FMRVBSSUNFLgEAAADfxgQAAgAAAAUxNDMuOAA1IpjHTg7aCKsg9clODtoII0NJUS5OQVNEQVFHUzpDT1NULklRX0xBU1RTQUxFUFJJQ0UuAQAAAJFqAQACAAAABjU1Ny42MQA1IpjHTg7aCKsg9clODtoILUNJUS5OWVNFOldNVC5JUV9FQklULklRX0ZZLTMuMy8yNS8yMDIyLkwuLlVTRAEAAADfxgQAAgAAAAUyMTk1NwEIAAAABQAAAAExAQAAAAoyMDg1MTMyOTMwAwAAAAMxNjACAAAAAzQwMAQAAAABMAcAAAAJMy8yNS8yMDIyCAAAAAkxLzMxLzIwMTkJAAAAATA3SZjHTg7aCOn7QstODtoILUNJUS5OWVNFOldNVC5JUV9FQklULklRX0ZZLTUuMy8yNS8yMDIyLkwuLlVTRAEAAADfxgQAAgAAAAUyMjc2NAEIAAAABQAAAAExAQAAAAoxOTUxNTQwMzM1AwAAAAMxNjACAAAAAzQwMAQAAAABMAcAAAAJMy8yNS8yMDIyCAAAAAkxLzMxLzIwMTcJAAAAATD7TZjHTg7aCDwtQ8tODtoILENJUS5OWVNFOldNVC5JUV9FQklULklRX0xUTS4zLzI1LzIwMjIuTC4uVVNEAQAAAN/GBAACAAAABTI1OTQyAQgAAAAFAAAAATEBAAAACy0yMTA3Njg2MDA4AwAAAAMxNjACAAAAAzQwMAQAAAABMAcAAAAJMy8yNS8yMDIyCAAAAAkxLzMxLzIwMjIJAAAAATD7TZjHTg7aCDwtQ8tODtoI</t>
  </si>
  <si>
    <t>LUNJUS5OWVNFOldNVC5JUV9FQklULklRX0ZZLTYuMy8yNS8yMDIyLkwuLlVTRAEAAADfxgQAAgAAAAUyNDEwNQEIAAAABQAAAAExAQAAAAoxODgwNzE4NzYyAwAAAAMxNjACAAAAAzQwMAQAAAABMAcAAAAJMy8yNS8yMDIyCAAAAAkxLzMxLzIwMTYJAAAAATD7TZjHTg7aCDwtQ8tODtoILUNJUS5OWVNFOldNVC5JUV9FQklULklRX0ZZLTIuMy8yNS8yMDIyLkwuLlVTRAEAAADfxgQAAgAAAAUyMTQ2OAEIAAAABQAAAAExAQAAAAstMjEwNzY4NjI5MQMAAAADMTYwAgAAAAM0MDAEAAAAATAHAAAACTMvMjUvMjAyMggAAAAJMS8zMS8yMDIwCQAAAAEw+02Yx04O2gjp+0LLTg7aCC1DSVEuTllTRTpXTVQuSVFfRUJJVC5JUV9GWS0xLjMvMjUvMjAyMi5MLi5VU0QBAAAA38YEAAIAAAAFMjY5NDgBCAAAAAUAAAABMQEAAAALLTIxMDc2ODYyODEDAAAAAzE2MAIAAAADNDAwBAAAAAEwBwAAAAkzLzI1LzIwMjIIAAAACTEvMzEvMjAyMQkAAAABMPtNmMdODtoI6ftCy04O2gguQ0lRLk5ZU0U6V01ULklRX0VCSVQuSVFfTFRNLTQuMy8yNS8yMDIyLkwuLlVTRAEAAADfxgQAAgAAAAUyNjk0OAEIAAAABQAAAAExAQAAAAstMjEwNzY4NTk3NwMAAAADMTYwAgAAAAM0MDAEAAAAATAHAAAACTMvMjUvMjAyMggAAAAJMS8zMS8yMDIxCQAAAAEw+02Yx04O2gg8LUPLTg7aCCtDSVEuTllTRTpXTVQuSVFfRUJJVC5JUV9GWS4z</t>
  </si>
  <si>
    <t>LzI1LzIwMjIuTC4uVVNEAQAAAN/GBAACAAAABTI1OTQyAQgAAAAFAAAAATEBAAAACy0yMTA3Njg2MjgyAwAAAAMxNjACAAAAAzQwMAQAAAABMAcAAAAJMy8yNS8yMDIyCAAAAAkxLzMxLzIwMjIJAAAAATD7TZjHTg7aCDwtQ8tODtoILUNJUS5OWVNFOldNVC5JUV9FQklULklRX0ZZLTQuMy8yNS8yMDIyLkwuLlVTRAEAAADfxgQAAgAAAAUyMDkzNwEIAAAABQAAAAExAQAAAAoyMDIzMjQ5NjExAwAAAAMxNjACAAAAAzQwMAQAAAABMAcAAAAJMy8yNS8yMDIyCAAAAAkxLzMxLzIwMTgJAAAAATD7TZjHTg7aCDwtQ8tODtoIMUNJUS5OWVNFOldNVC5JUV9JTkNfVEFYLklRX0xUTS4zLzI1LzIwMjIuTC4uVVNELkgBAAAA38YEAAIAAAAENDc1NgEIAAAABQAAAAExAQAAAAstMjEwNzY4NjAwOAMAAAADMTYwAgAAAAI3NQQAAAABMAcAAAAJMy8yNS8yMDIyCAAAAAkxLzMxLzIwMjIJAAAAATDtTpjHTg7aCMNd2clODtoINkNJUS5OQVNEQVFHUzpDT1NULklRX0lOQ19UQVguSVFfTFRNLjMvMjUvMjAyMi5MLi5VU0QuSAEAAACRagEAAgAAAAQxODQ2AQgAAAAFAAAAATEBAAAACy0yMTA4ODU1MzQ4AwAAAAMxNjACAAAAAjc1BAAAAAEwBwAAAAkzLzI1LzIwMjIIAAAACTIvMTMvMjAyMgkAAAABMO1OmMdODtoIFM5dy04O2ggcQ0lRLk5ZU0U6V01ULklRX1FVSUNLX0NPTVAuMQEAAADfxgQAAwAAAA1OYXNkYXFHUzpD</t>
  </si>
  <si>
    <t>T1NUAADF1shODtoIO1RFy04O2ggcQ0lRLk5ZU0U6V01ULklRX1FVSUNLX0NPTVAuMgEAAADfxgQAAwAAAAhOWVNFOlRHVAAAxdbITg7aCDtURctODtoIHENJUS5OWVNFOldNVC5JUV9RVUlDS19DT01QLjMBAAAA38YEAAMAAAAHTllTRTpCSgAAxdbITg7aCDtURctODtoIHENJUS5OWVNFOldNVC5JUV9RVUlDS19DT01QLjQBAAAA38YEAAMAAAAHTllTRTpLUgAAxdbITg7aCDtURctODtoIHENJUS5OWVNFOldNVC5JUV9RVUlDS19DT01QLjUBAAAA38YEAAMAAAAITllTRTpCQlkAAMXWyE4O2gg7VEXLTg7aCBxDSVEuTllTRTpXTVQuSVFfUVVJQ0tfQ09NUC42AQAAAN/GBAADAAAADU5hc2RhcUdTOlBTTVQAAMXWyE4O2gg7VEXLTg7aCBxDSVEuTllTRTpXTVQuSVFfUVVJQ0tfQ09NUC43AQAAAN/GBAADAAAACUVOWFRQQTpDQQAAxdbITg7aCDtURctODtoIHENJUS5OWVNFOldNVC5JUV9RVUlDS19DT01QLjgBAAAA38YEAAMAAAAITFNFOk9LRVkAAMXWyE4O2gg7VEXLTg7aCBxDSVEuTllTRTpXTVQuSVFfUVVJQ0tfQ09NUC45AQAAAN/GBAADAAAADUJNVjpTT1JJQU5BIEIAAMXWyE4O2gg7VEXLTg7aCB1DSVEuTllTRTpXTVQuSVFfUVVJQ0tfQ09NUC4xMAEAAADfxgQAAwAAAAhJRFg6TVBQQQAAxdbITg7aCDtURctODtoIIENJUS5OWVNFOldNVC5JUV9TUF9JU1NVRVJfUkFUSU5HAQAAAN/GBAADAAAAAkFB</t>
  </si>
  <si>
    <t>AADF1shODtoInoZFy04O2ghKQ0lRUkFOR0UuTllTRTpXTVQuSVFfRklYRURfSU5DT01FX0xJU1QuMS4xMDAwLi4uLi5GSVhFRCBJTkNPTUUgSURFTlRJRklFUlMDAAAA38YEACsAAAAAAAAAAwAAAAAAAAAKIk5ZU0U6V01UIghOWVNFOldNVAEAAAAWIklRX0ZJWEVEX0lOQ09NRV9MSVNUIhRJUV9GSVhFRF9JTkNPTUVfTElTVAIAAAABMQExAAAAAAMAAAAAAAAACiJOWVNFOldNVCIITllTRTpXTVQBAAAAFiJJUV9GSVhFRF9JTkNPTUVfTElTVCIUSVFfRklYRURfSU5DT01FX0xJU1QCAAAAATIBMgAAAAADAAAAAAAAAAoiTllTRTpXTVQiCE5ZU0U6V01UAQAAABYiSVFfRklYRURfSU5DT01FX0xJU1QiFElRX0ZJWEVEX0lOQ09NRV9MSVNUAgAAAAEzATMAAAAAAwAAAAAAAAAKIk5ZU0U6V01UIghOWVNFOldNVAEAAAAWIklRX0ZJWEVEX0lOQ09NRV9MSVNUIhRJUV9GSVhFRF9JTkNPTUVfTElTVAIAAAABNAE0AAAAAAMAAAAAAAAACiJOWVNFOldNVCIITllTRTpXTVQBAAAAFiJJUV9GSVhFRF9JTkNPTUVfTElTVCIUSVFfRklYRURfSU5DT01FX0xJU1QCAAAAATUBNQAAAAADAAAAAAAAAAoiTllTRTpXTVQiCE5ZU0U6V01UAQAAABYiSVFfRklYRURfSU5DT01FX0xJU1QiFElRX0ZJWEVEX0lOQ09NRV9MSVNUAgAAAAE2ATYAAAAAAwAAAAAAAAAKIk5ZU0U6V01UIghOWVNFOldNVAEAAAAWIklRX0ZJWEVEX0lO</t>
  </si>
  <si>
    <t>Q09NRV9MSVNUIhRJUV9GSVhFRF9JTkNPTUVfTElTVAIAAAABNwE3AAAAAAMAAAAAAAAACiJOWVNFOldNVCIITllTRTpXTVQBAAAAFiJJUV9GSVhFRF9JTkNPTUVfTElTVCIUSVFfRklYRURfSU5DT01FX0xJU1QCAAAAATgBOAAAAAADAAAAAAAAAAoiTllTRTpXTVQiCE5ZU0U6V01UAQAAABYiSVFfRklYRURfSU5DT01FX0xJU1QiFElRX0ZJWEVEX0lOQ09NRV9MSVNUAgAAAAE5ATkAAAAAAwAAAAAAAAAKIk5ZU0U6V01UIghOWVNFOldNVAEAAAAWIklRX0ZJWEVEX0lOQ09NRV9MSVNUIhRJUV9GSVhFRF9JTkNPTUVfTElTVAIAAAACMTACMTAAAAAAAwAAAAAAAAAKIk5ZU0U6V01UIghOWVNFOldNVAEAAAAWIklRX0ZJWEVEX0lOQ09NRV9MSVNUIhRJUV9GSVhFRF9JTkNPTUVfTElTVAIAAAACMTECMTEAAAAAAwAAAAAAAAAKIk5ZU0U6V01UIghOWVNFOldNVAEAAAAWIklRX0ZJWEVEX0lOQ09NRV9MSVNUIhRJUV9GSVhFRF9JTkNPTUVfTElTVAIAAAACMTICMTIAAAAAAwAAAAAAAAAKIk5ZU0U6V01UIghOWVNFOldNVAEAAAAWIklRX0ZJWEVEX0lOQ09NRV9MSVNUIhRJUV9GSVhFRF9JTkNPTUVfTElTVAIAAAACMTMCMTMAAAAAAwAAAAAAAAAKIk5ZU0U6V01UIghOWVNFOldNVAEAAAAWIklRX0ZJWEVEX0lOQ09NRV9MSVNUIhRJUV9GSVhFRF9JTkNPTUVfTElTVAIAAAACMTQCMTQAAAAAAwAAAAAAAAAKIk5Z</t>
  </si>
  <si>
    <t>U0U6V01UIghOWVNFOldNVAEAAAAWIklRX0ZJWEVEX0lOQ09NRV9MSVNUIhRJUV9GSVhFRF9JTkNPTUVfTElTVAIAAAACMTUCMTUAAAAAAwAAAAAAAAAKIk5ZU0U6V01UIghOWVNFOldNVAEAAAAWIklRX0ZJWEVEX0lOQ09NRV9MSVNUIhRJUV9GSVhFRF9JTkNPTUVfTElTVAIAAAACMTYCMTYAAAAAAwAAAAAAAAAKIk5ZU0U6V01UIghOWVNFOldNVAEAAAAWIklRX0ZJWEVEX0lOQ09NRV9MSVNUIhRJUV9GSVhFRF9JTkNPTUVfTElTVAIAAAACMTcCMTcAAAAAAwAAAAAAAAAKIk5ZU0U6V01UIghOWVNFOldNVAEAAAAWIklRX0ZJWEVEX0lOQ09NRV9MSVNUIhRJUV9GSVhFRF9JTkNPTUVfTElTVAIAAAACMTgCMTgAAAAAAwAAAAAAAAAKIk5ZU0U6V01UIghOWVNFOldNVAEAAAAWIklRX0ZJWEVEX0lOQ09NRV9MSVNUIhRJUV9GSVhFRF9JTkNPTUVfTElTVAIAAAACMTkCMTkAAAAAAwAAAAAAAAAKIk5ZU0U6V01UIghOWVNFOldNVAEAAAAWIklRX0ZJWEVEX0lOQ09NRV9MSVNUIhRJUV9GSVhFRF9JTkNPTUVfTElTVAIAAAACMjACMjAAAAAAAwAAAAAAAAAKIk5ZU0U6V01UIghOWVNFOldNVAEAAAAWIklRX0ZJWEVEX0lOQ09NRV9MSVNUIhRJUV9GSVhFRF9JTkNPTUVfTElTVAIAAAACMjECMjEAAAAAAwAAAAAAAAAKIk5ZU0U6V01UIghOWVNFOldNVAEAAAAWIklRX0ZJWEVEX0lOQ09NRV9MSVNUIhRJUV9GSVhF</t>
  </si>
  <si>
    <t>RF9JTkNPTUVfTElTVAIAAAACMjICMjIAAAAAAwAAAAAAAAAKIk5ZU0U6V01UIghOWVNFOldNVAEAAAAWIklRX0ZJWEVEX0lOQ09NRV9MSVNUIhRJUV9GSVhFRF9JTkNPTUVfTElTVAIAAAACMjMCMjMAAAAAAwAAAAAAAAAKIk5ZU0U6V01UIghOWVNFOldNVAEAAAAWIklRX0ZJWEVEX0lOQ09NRV9MSVNUIhRJUV9GSVhFRF9JTkNPTUVfTElTVAIAAAACMjQCMjQAAAAAAwAAAAAAAAAKIk5ZU0U6V01UIghOWVNFOldNVAEAAAAWIklRX0ZJWEVEX0lOQ09NRV9MSVNUIhRJUV9GSVhFRF9JTkNPTUVfTElTVAIAAAACMjUCMjUAAAAAAwAAAAAAAAAKIk5ZU0U6V01UIghOWVNFOldNVAEAAAAWIklRX0ZJWEVEX0lOQ09NRV9MSVNUIhRJUV9GSVhFRF9JTkNPTUVfTElTVAIAAAACMjYCMjYAAAAAAwAAAAAAAAAKIk5ZU0U6V01UIghOWVNFOldNVAEAAAAWIklRX0ZJWEVEX0lOQ09NRV9MSVNUIhRJUV9GSVhFRF9JTkNPTUVfTElTVAIAAAACMjcCMjcAAAAAAwAAAAAAAAAKIk5ZU0U6V01UIghOWVNFOldNVAEAAAAWIklRX0ZJWEVEX0lOQ09NRV9MSVNUIhRJUV9GSVhFRF9JTkNPTUVfTElTVAIAAAACMjgCMjgAAAAAAwAAAAAAAAAKIk5ZU0U6V01UIghOWVNFOldNVAEAAAAWIklRX0ZJWEVEX0lOQ09NRV9MSVNUIhRJUV9GSVhFRF9JTkNPTUVfTElTVAIAAAACMjkCMjkAAAAAAwAAAAAAAAAKIk5ZU0U6V01UIghOWVNF</t>
  </si>
  <si>
    <t>OldNVAEAAAAWIklRX0ZJWEVEX0lOQ09NRV9MSVNUIhRJUV9GSVhFRF9JTkNPTUVfTElTVAIAAAACMzACMzAAAAAAAwAAAAAAAAAKIk5ZU0U6V01UIghOWVNFOldNVAEAAAAWIklRX0ZJWEVEX0lOQ09NRV9MSVNUIhRJUV9GSVhFRF9JTkNPTUVfTElTVAIAAAACMzECMzEAAAAAAwAAAAAAAAAKIk5ZU0U6V01UIghOWVNFOldNVAEAAAAWIklRX0ZJWEVEX0lOQ09NRV9MSVNUIhRJUV9GSVhFRF9JTkNPTUVfTElTVAIAAAACMzICMzIAAAAAAwAAAAAAAAAKIk5ZU0U6V01UIghOWVNFOldNVAEAAAAWIklRX0ZJWEVEX0lOQ09NRV9MSVNUIhRJUV9GSVhFRF9JTkNPTUVfTElTVAIAAAACMzMCMzMAAAAAAwAAAAAAAAAKIk5ZU0U6V01UIghOWVNFOldNVAEAAAAWIklRX0ZJWEVEX0lOQ09NRV9MSVNUIhRJUV9GSVhFRF9JTkNPTUVfTElTVAIAAAACMzQCMzQAAAAAAwAAAAAAAAAKIk5ZU0U6V01UIghOWVNFOldNVAEAAAAWIklRX0ZJWEVEX0lOQ09NRV9MSVNUIhRJUV9GSVhFRF9JTkNPTUVfTElTVAIAAAACMzUCMzUAAAAAAwAAAAAAAAAKIk5ZU0U6V01UIghOWVNFOldNVAEAAAAWIklRX0ZJWEVEX0lOQ09NRV9MSVNUIhRJUV9GSVhFRF9JTkNPTUVfTElTVAIAAAACMzYCMzYAAAAAAwAAAAAAAAAKIk5ZU0U6V01UIghOWVNFOldNVAEAAAAWIklRX0ZJWEVEX0lOQ09NRV9MSVNUIhRJUV9GSVhFRF9JTkNPTUVfTElT</t>
  </si>
  <si>
    <t>VAIAAAACMzcCMzcAAAAAAwAAAAAAAAAKIk5ZU0U6V01UIghOWVNFOldNVAEAAAAWIklRX0ZJWEVEX0lOQ09NRV9MSVNUIhRJUV9GSVhFRF9JTkNPTUVfTElTVAIAAAACMzgCMzgAAAAAAwAAAAAAAAAKIk5ZU0U6V01UIghOWVNFOldNVAEAAAAWIklRX0ZJWEVEX0lOQ09NRV9MSVNUIhRJUV9GSVhFRF9JTkNPTUVfTElTVAIAAAACMzkCMzkAAAAAAwAAAAAAAAAKIk5ZU0U6V01UIghOWVNFOldNVAEAAAAWIklRX0ZJWEVEX0lOQ09NRV9MSVNUIhRJUV9GSVhFRF9JTkNPTUVfTElTVAIAAAACNDACNDAAAAAAAwAAAAAAAAAKIk5ZU0U6V01UIghOWVNFOldNVAEAAAAWIklRX0ZJWEVEX0lOQ09NRV9MSVNUIhRJUV9GSVhFRF9JTkNPTUVfTElTVAIAAAACNDECNDEAAAAAAwAAAAAAAAAKIk5ZU0U6V01UIghOWVNFOldNVAEAAAAWIklRX0ZJWEVEX0lOQ09NRV9MSVNUIhRJUV9GSVhFRF9JTkNPTUVfTElTVAIAAAACNDICNDIAAAAAAwAAAAAAAAAKIk5ZU0U6V01UIghOWVNFOldNVAEAAAAWIklRX0ZJWEVEX0lOQ09NRV9MSVNUIhRJUV9GSVhFRF9JTkNPTUVfTElTVAIAAAACNDMCNDMAxdbITg7aCEMtRctODtoIHENJUS5OWVNFOldNVC5JUV9DT01QQU5ZX05BTUUBAAAA38YEAAMAAAAMV2FsbWFydCBJbmMuAADF1shODtoIyoTZyU4O2ggcQ0lRLk5ZU0U6V01ULklRX0NPVU5UUllfTkFNRQEAAADfxgQAAwAAAA1V</t>
  </si>
  <si>
    <t>bml0ZWQgU3RhdGVzAADF1shODtoInoZFy04O2ggZQ0lRLk5ZU0U6V01ULklRX0VNUExPWUVFUwEAAADfxgQAAQAAAAcyMzAwMDAwAADF1shODtoInoZFy04O2ggfQ0lRLk5ZU0U6V01ULklRX0NPTVBBTllfU1RSRUVUMgEAAADfxgQAAwAAAAAAAMXWyE4O2gjArUXLTg7aCCRDSVEuTllTRTpXTVQuSVFfQlVTSU5FU1NfREVTQ1JJUFRJT04BAAAA38YEAAMAAACEDldhbG1hcnQgSW5jLiBlbmdhZ2VzIGluIHRoZSBvcGVyYXRpb24gb2YgcmV0YWlsLCB3aG9sZXNhbGUsIGFuZCBvdGhlciB1bml0cyB3b3JsZHdpZGUuIFRoZSBjb21wYW55IG9wZXJhdGVzIHRocm91Z2ggdGhyZWUgc2VnbWVudHM6IFdhbG1hcnQgVS5TLiwgV2FsbWFydCBJbnRlcm5hdGlvbmFsLCBhbmQgU2FtJ3MgQ2x1Yi4gSXQgb3BlcmF0ZXMgc3VwZXJjZW50ZXJzLCBzdXBlcm1hcmtldHMsIGh5cGVybWFya2V0cywgd2FyZWhvdXNlIGNsdWJzLCBjYXNoIGFuZCBjYXJyeSBzdG9yZXMsIGFuZCBkaXNjb3VudCBzdG9yZXM7IG1lbWJlcnNoaXAtb25seSB3YXJlaG91c2UgY2x1YnM7IGVjb21tZXJjZSB3ZWJzaXRlcywgc3VjaCBhcyB3YWxtYXJ0LmNvbSwgd2FsbWFydC5jb20ubXgsIHdhbG1hcnQuY2EsIGZsaXBrYXJ0LmNvbSwgYW5kIHNhbXNjbHViLmNvbTsgYW5kIG1vYmlsZSBjb21tZXJjZSBhcHBsaWNhdGlvbnMuIFRoZSBjb21w</t>
  </si>
  <si>
    <t>YW55IG9mZmVycyBncm9jZXJ5IGFuZCBjb25zdW1hYmxlcywgd2hpY2ggaW5jbHVkZXMgZGFpcnksIG1lYXQsIGJha2VyeSwgZGVsaSwgcHJvZHVjZSwgZHJ5LCBjaGlsbGVkIG9yIGZyb3plbiBwYWNrYWdlZCBmb29kcywgYWxjb2hvbGljIGFuZCBub25hbGNvaG9saWMgYmV2ZXJhZ2VzLCBmbG9yYWwsIHNuYWNrIGZvb2RzLCBjYW5keSwgb3RoZXIgZ3JvY2VyeSBpdGVtcywgaGVhbHRoIGFuZCBiZWF1dHkgYWlkcywgcGFwZXIgZ29vZHMsIGxhdW5kcnkgYW5kIGhvbWUgY2FyZSwgYmFieSBjYXJlLCBwZXQgc3VwcGxpZXMsIGFuZCBvdGhlciBjb25zdW1hYmxlIGl0ZW1zOyBhbmQgaGVhbHRoIGFuZCB3ZWxsbmVzcyBwcm9kdWN0cyBjb3ZlcmluZyBwaGFybWFjeSwgb3Zlci10aGUtY291bnRlciBkcnVncyBhbmQgb3RoZXIgbWVkaWNhbCBwcm9kdWN0cywgYW5kIG9wdGljYWwgYW5kIGhlYXJpbmcgc2VydmljZXMuIEl0IGFsc28gcHJvdmlkZXMgZ2Fzb2xpbmUgc3RhdGlvbnMgYW5kIHRvYmFjY287IGhvbWUgaW1wcm92ZW1lbnQsIG91dGRvb3IgbGl2aW5nLCBnYXJkZW5pbmcsIGZ1cm5pdHVyZSwgYXBwYXJlbCwgamV3ZWxyeSwgdG9vbHMgYW5kIHBvd2VyIGVxdWlwbWVudCwgaG91c2V3YXJlcywgdG95cywgc2Vhc29uYWwgaXRlbXMsIG1hdHRyZXNzZXMsIGFuZCB0aXJlIGFuZCBiYXR0ZXJ5IGNl</t>
  </si>
  <si>
    <t>bnRlcnM7IGFuZCBjb25zdW1lciBlbGVjdHJvbmljcyBhbmQgYWNjZXNzb3JpZXMsIHNvZnR3YXJlLCB2aWRlbyBnYW1lcywgb2ZmaWNlIHN1cHBsaWVzLCBhcHBsaWFuY2VzLCBhbmQgdGhpcmQtcGFydHkgZ2lmdCBjYXJkcy4gSW4gYWRkaXRpb24sIHRoZSBjb21wYW55IG9mZmVycyBmdWVsIGFuZCBmaW5hbmNpYWwgc2VydmljZXMgYW5kIHJlbGF0ZWQgcHJvZHVjdHMsIGluY2x1ZGluZyBtb25leSBvcmRlcnMsIHByZXBhaWQgY2FyZHMsIG1vbmV5IHRyYW5zZmVycywgYW5kIGNoZWNrIGNhc2hpbmcgYW5kIGJpbGwgcGF5bWVudCwgYXMgd2VsbCBhcyB2YXJpb3VzIHR5cGVzIG9mIGluc3RhbGxtZW50IGxlbmRpbmcuIEl0IG9wZXJhdGVzIGFwcHJveGltYXRlbHkgMTAsNTAwIHN0b3JlcyBhbmQgdmFyaW91cyBlLWNvbW1lcmNlIHdlYnNpdGVzIHVuZGVyIDQ2IGJhbm5lcnMgaW4gMjQgY291bnRyaWVzLiBUaGUgY29tcGFueSB3YXMgZm9ybWVybHkga25vd24gYXMgV2FsLU1hcnQgU3RvcmVzLCBJbmMuIGFuZCBjaGFuZ2VkIGl0cyBuYW1lIHRvIFdhbG1hcnQgSW5jLiBpbiBGZWJydWFyeSAyMDE4LiBUaGUgY29tcGFueSB3YXMgZm91bmRlZCBpbiAxOTQ1IGFuZCBpcyBiYXNlZCBpbiBCZW50b252aWxsZSwgQXJrYW5zYXMuAADF1shODtoIO1RFy04O2ggfQ0lRLk5ZU0U6V01ULklRX0NPTVBBTllf</t>
  </si>
  <si>
    <t>U1RSRUVUMQEAAADfxgQAAwAAABk3MDIgU291dGggV2VzdCA4dGggU3RyZWV0AADF1shODtoInoZFy04O2ggUQ0lRLk5ZU0U6V01ULklRX0NJVFkBAAAA38YEAAMAAAALQmVudG9udmlsbGUAAMXWyE4O2gg7VEXLTg7aCBVDSVEuTllTRTpXTVQuSVFfU1RBVEUBAAAA38YEAAMAAAACQVIAAMXWyE4O2gg7VEXLTg7aCBtDSVEuTllTRTpXTVQuSVFfQ09NUEFOWV9aSVABAAAA38YEAAMAAAAFNzI3MTYAAMXWyE4O2gg7VEXLTg7aCB1DSVEuTllTRTpXTVQuSVFfQ09NUEFOWV9QSE9ORQEAAADfxgQAAwAAAAw0NzkgMjczIDQwMDAAAMXWyE4O2giehkXLTg7aCB9DSVEuTllTRTpXTVQuSVFfQ09NUEFOWV9XRUJTSVRFAQAAAN/GBAADAAAAFXd3dy5zdG9jay53YWxtYXJ0LmNvbQAAxdbITg7aCDtURctODtoIGkNJUS5OWVNFOldNVC5JUV9DT01QQU5ZX0lEAQAAAN/GBAADAAAACElRMzEzMDU1AADF1shODtoIY7JGy04O2ggsQ0lRLk5ZU0U6V01ULklRX1RSQU5TQUNUSU9OX0xJU1RfSU5DTF9TVUJTLjEBAAAA38YEAAMAAAAOSVFUUjE3NjU0NzEwMzUAXerWyE4O2ghjskbLTg7aCCVDSVEuTllTRTpXTVQuSVFfVFJBTlNBQ1RJT05fTElTVF9NQS4xAQAAAN/GBAADAAAADklRVFIxNzU3NDAyNTE3AF3q1shODtoIY7JGy04O2gglQ0lRLk5ZU0U6V01ULklRX1RSQU5TQUNUSU9OX0xJU1RfTUEuMgEAAADfxgQAAwAA</t>
  </si>
  <si>
    <t>AA1JUVRSNzE0NzQ0MTg4AF3q1shODtoIY7JGy04O2gglQ0lRLk5ZU0U6V01ULklRX1RSQU5TQUNUSU9OX0xJU1RfTUEuMwEAAADfxgQAAwAAAA1JUVRSNzA4OTg4NTQyAF3q1shODtoIPNpGy04O2gglQ0lRLk5ZU0U6V01ULklRX1RSQU5TQUNUSU9OX0xJU1RfTUEuNAEAAADfxgQAAwAAAA1JUVRSNzA0MTIzNDk5AF3q1shODtoIPNpGy04O2gglQ0lRLk5ZU0U6V01ULklRX1RSQU5TQUNUSU9OX0xJU1RfTUEuNQEAAADfxgQAAwAAAA1JUVRSNjk1NjQwODgyAF3q1shODtoIPNpGy04O2gglQ0lRLk5ZU0U6V01ULklRX1RSQU5TQUNUSU9OX0xJU1RfTUEuNgEAAADfxgQAAwAAAA1JUVRSNjk1MDg0MzM3AF3q1shODtoIY7JGy04O2gglQ0lRLk5ZU0U6V01ULklRX1RSQU5TQUNUSU9OX0xJU1RfTUEuNwEAAADfxgQAAwAAAA1JUVRSNjk1MTE3OTgzAF3q1shODtoIY7JGy04O2gglQ0lRLk5ZU0U6V01ULklRX1RSQU5TQUNUSU9OX0xJU1RfTUEuOAEAAADfxgQAAwAAAA1JUVRSNjk0MjIwNTE5AF3q1shODtoIPNpGy04O2gglQ0lRLk5ZU0U6V01ULklRX1RSQU5TQUNUSU9OX0xJU1RfTUEuOQEAAADfxgQAAwAAAA1JUVRSNjkxNTk3OTgyAF3q1shODtoIPNpGy04O2ggmQ0lRLk5ZU0U6V01ULklRX1RSQU5TQUNUSU9OX0xJU1RfTUEuMTABAAAA38YEAAMAAAANSVFUUjY5MDU3OTEyNwBd6tbITg7aCDzaRstODtoI</t>
  </si>
  <si>
    <t>JkNJUS5OWVNFOldNVC5JUV9UUkFOU0FDVElPTl9MSVNUX01BLjExAQAAAN/GBAADAAAADUlRVFI2ODUyMzQ0NTkAXerWyE4O2gg82kbLTg7aCCZDSVEuTllTRTpXTVQuSVFfVFJBTlNBQ1RJT05fTElTVF9NQS4xMgEAAADfxgQAAwAAAA1JUVRSNjY0ODczOTE4AF3q1shODtoIY7JGy04O2ggmQ0lRLk5ZU0U6V01ULklRX1RSQU5TQUNUSU9OX0xJU1RfTUEuMTMBAAAA38YEAAMAAAANSVFUUjYwNDI4Mzk1NABd6tbITg7aCGOyRstODtoIJkNJUS5OWVNFOldNVC5JUV9UUkFOU0FDVElPTl9MSVNUX01BLjE0AQAAAN/GBAADAAAADUlRVFI1OTQwOTgxOTkAXerWyE4O2gg82kbLTg7aCCZDSVEuTllTRTpXTVQuSVFfVFJBTlNBQ1RJT05fTElTVF9NQS4xNQEAAADfxgQAAwAAAA1JUVRSNTg2NjY1OTM0AF3q1shODtoIY7JGy04O2ggmQ0lRLk5ZU0U6V01ULklRX1RSQU5TQUNUSU9OX0xJU1RfTUEuMTYBAAAA38YEAAMAAAANSVFUUjU4NDk3NDA5NgBd6tbITg7aCGOyRstODtoIJkNJUS5OWVNFOldNVC5JUV9UUkFOU0FDVElPTl9MSVNUX01BLjE3AQAAAN/GBAADAAAADUlRVFI1Nzk0MzYyMTYAXerWyE4O2ghjskbLTg7aCCZDSVEuTllTRTpXTVQuSVFfVFJBTlNBQ1RJT05fTElTVF9NQS4xOAEAAADfxgQAAwAAAA1JUVRSNTY5NzU2NTA4AF3q1shODtoIPNpGy04O2ggmQ0lRLk5ZU0U6V01ULklRX1RSQU5TQUNU</t>
  </si>
  <si>
    <t>SU9OX0xJU1RfTUEuMTkBAAAA38YEAAMAAAANSVFUUjY2ODAxMzEwOQBd6tbITg7aCGOyRstODtoIJkNJUS5OWVNFOldNVC5JUV9UUkFOU0FDVElPTl9MSVNUX01BLjIwAQAAAN/GBAADAAAADUlRVFI1NjM0ODMxMDMAXerWyE4O2gg82kbLTg7aCB9DSVEuTllTRTpXTVQuSVFfSU5EVVNUUllfU0VDVE9SAQAAAN/GBAADAAAAEENvbnN1bWVyIFN0YXBsZXMAXerWyE4O2gjArUXLTg7aCCBDSVEuTllTRTpXTVQuSVFfUFJJTUFSWV9JTkRVU1RSWQEAAADfxgQAAwAAAB5IeXBlcm1hcmtldHMgYW5kIFN1cGVyIENlbnRlcnMAXerWyE4O2gjArUXLTg7aCCJDSVEuTllTRTpXTVQuSVFfTkVYVF9FQVJOSU5HU19EQVRFAQAAAN/GBAAFAAAACTUvMTcvMjAyMgBd6tbITg7aCMCtRctODtoIPUNJUVJBTkdFLk5ZU0U6V01ULklRX0lOVkVTVE9SU19BTExfSUQuMS4xMDAwLi4uLi5JTlZFU1RPUlMgSUQDAAAA38YEABIAAAAAAAAAAwAAAAAAAAAKIk5ZU0U6V01UIghOWVNFOldNVAEAAAAVIklRX0lOVkVTVE9SU19BTExfSUQiE0lRX0lOVkVTVE9SU19BTExfSUQCAAAAATEBMQAAAAADAAAAAAAAAAoiTllTRTpXTVQiCE5ZU0U6V01UAQAAABUiSVFfSU5WRVNUT1JTX0FMTF9JRCITSVFfSU5WRVNUT1JTX0FMTF9JRAIAAAABMgEyAAAAAAMAAAAAAAAACiJOWVNFOldNVCIITllTRTpXTVQBAAAAFSJJUV9JTlZFU1RPUlNf</t>
  </si>
  <si>
    <t>QUxMX0lEIhNJUV9JTlZFU1RPUlNfQUxMX0lEAgAAAAEzATMAAAAAAwAAAAAAAAAKIk5ZU0U6V01UIghOWVNFOldNVAEAAAAVIklRX0lOVkVTVE9SU19BTExfSUQiE0lRX0lOVkVTVE9SU19BTExfSUQCAAAAATQBNAAAAAADAAAAAAAAAAoiTllTRTpXTVQiCE5ZU0U6V01UAQAAABUiSVFfSU5WRVNUT1JTX0FMTF9JRCITSVFfSU5WRVNUT1JTX0FMTF9JRAIAAAABNQE1AAAAAAMAAAAAAAAACiJOWVNFOldNVCIITllTRTpXTVQBAAAAFSJJUV9JTlZFU1RPUlNfQUxMX0lEIhNJUV9JTlZFU1RPUlNfQUxMX0lEAgAAAAE2ATYAAAAAAwAAAAAAAAAKIk5ZU0U6V01UIghOWVNFOldNVAEAAAAVIklRX0lOVkVTVE9SU19BTExfSUQiE0lRX0lOVkVTVE9SU19BTExfSUQCAAAAATcBNwAAAAADAAAAAAAAAAoiTllTRTpXTVQiCE5ZU0U6V01UAQAAABUiSVFfSU5WRVNUT1JTX0FMTF9JRCITSVFfSU5WRVNUT1JTX0FMTF9JRAIAAAABOAE4AAAAAAMAAAAAAAAACiJOWVNFOldNVCIITllTRTpXTVQBAAAAFSJJUV9JTlZFU1RPUlNfQUxMX0lEIhNJUV9JTlZFU1RPUlNfQUxMX0lEAgAAAAE5ATkAAAAAAwAAAAAAAAAKIk5ZU0U6V01UIghOWVNFOldNVAEAAAAVIklRX0lOVkVTVE9SU19BTExfSUQiE0lRX0lOVkVTVE9SU19BTExfSUQCAAAAAjEwAjEwAAAAAAMAAAAAAAAACiJOWVNFOldNVCIITllTRTpXTVQBAAAAFSJJUV9J</t>
  </si>
  <si>
    <t>TlZFU1RPUlNfQUxMX0lEIhNJUV9JTlZFU1RPUlNfQUxMX0lEAgAAAAIxMQIxMQAAAAADAAAAAAAAAAoiTllTRTpXTVQiCE5ZU0U6V01UAQAAABUiSVFfSU5WRVNUT1JTX0FMTF9JRCITSVFfSU5WRVNUT1JTX0FMTF9JRAIAAAACMTICMTIAAAAAAwAAAAAAAAAKIk5ZU0U6V01UIghOWVNFOldNVAEAAAAVIklRX0lOVkVTVE9SU19BTExfSUQiE0lRX0lOVkVTVE9SU19BTExfSUQCAAAAAjEzAjEzAAAAAAMAAAAAAAAACiJOWVNFOldNVCIITllTRTpXTVQBAAAAFSJJUV9JTlZFU1RPUlNfQUxMX0lEIhNJUV9JTlZFU1RPUlNfQUxMX0lEAgAAAAIxNAIxNAAAAAADAAAAAAAAAAoiTllTRTpXTVQiCE5ZU0U6V01UAQAAABUiSVFfSU5WRVNUT1JTX0FMTF9JRCITSVFfSU5WRVNUT1JTX0FMTF9JRAIAAAACMTUCMTUAAAAAAwAAAAAAAAAKIk5ZU0U6V01UIghOWVNFOldNVAEAAAAVIklRX0lOVkVTVE9SU19BTExfSUQiE0lRX0lOVkVTVE9SU19BTExfSUQCAAAAAjE2AjE2AAAAAAMAAAAAAAAACiJOWVNFOldNVCIITllTRTpXTVQBAAAAFSJJUV9JTlZFU1RPUlNfQUxMX0lEIhNJUV9JTlZFU1RPUlNfQUxMX0lEAgAAAAIxNwIxNwAAAAADAAAAAAAAAAoiTllTRTpXTVQiCE5ZU0U6V01UAQAAABUiSVFfSU5WRVNUT1JTX0FMTF9JRCITSVFfSU5WRVNUT1JTX0FMTF9JRAIAAAACMTgCMThd6tbITg7aCDtURctODtoIPkNJ</t>
  </si>
  <si>
    <t>UVJBTkdFLk5ZU0U6V01ULklRX0lOVkVTVE9SU19DVVJSX0lELjEuMTAwMC4uLi4uSU5WRVNUT1JTIElEAwAAAN/GBAANAAAAAAAAAAMAAAAAAAAACiJOWVNFOldNVCIITllTRTpXTVQBAAAAFiJJUV9JTlZFU1RPUlNfQ1VSUl9JRCIUSVFfSU5WRVNUT1JTX0NVUlJfSUQCAAAAATEBMQAAAAADAAAAAAAAAAoiTllTRTpXTVQiCE5ZU0U6V01UAQAAABYiSVFfSU5WRVNUT1JTX0NVUlJfSUQiFElRX0lOVkVTVE9SU19DVVJSX0lEAgAAAAEyATIAAAAAAwAAAAAAAAAKIk5ZU0U6V01UIghOWVNFOldNVAEAAAAWIklRX0lOVkVTVE9SU19DVVJSX0lEIhRJUV9JTlZFU1RPUlNfQ1VSUl9JRAIAAAABMwEzAAAAAAMAAAAAAAAACiJOWVNFOldNVCIITllTRTpXTVQBAAAAFiJJUV9JTlZFU1RPUlNfQ1VSUl9JRCIUSVFfSU5WRVNUT1JTX0NVUlJfSUQCAAAAATQBNAAAAAADAAAAAAAAAAoiTllTRTpXTVQiCE5ZU0U6V01UAQAAABYiSVFfSU5WRVNUT1JTX0NVUlJfSUQiFElRX0lOVkVTVE9SU19DVVJSX0lEAgAAAAE1ATUAAAAAAwAAAAAAAAAKIk5ZU0U6V01UIghOWVNFOldNVAEAAAAWIklRX0lOVkVTVE9SU19DVVJSX0lEIhRJUV9JTlZFU1RPUlNfQ1VSUl9JRAIAAAABNgE2AAAAAAMAAAAAAAAACiJOWVNFOldNVCIITllTRTpXTVQBAAAAFiJJUV9JTlZFU1RPUlNfQ1VSUl9JRCIUSVFfSU5WRVNUT1JTX0NVUlJfSUQC</t>
  </si>
  <si>
    <t>AAAAATcBNwAAAAADAAAAAAAAAAoiTllTRTpXTVQiCE5ZU0U6V01UAQAAABYiSVFfSU5WRVNUT1JTX0NVUlJfSUQiFElRX0lOVkVTVE9SU19DVVJSX0lEAgAAAAE4ATgAAAAAAwAAAAAAAAAKIk5ZU0U6V01UIghOWVNFOldNVAEAAAAWIklRX0lOVkVTVE9SU19DVVJSX0lEIhRJUV9JTlZFU1RPUlNfQ1VSUl9JRAIAAAABOQE5AAAAAAMAAAAAAAAACiJOWVNFOldNVCIITllTRTpXTVQBAAAAFiJJUV9JTlZFU1RPUlNfQ1VSUl9JRCIUSVFfSU5WRVNUT1JTX0NVUlJfSUQCAAAAAjEwAjEwAAAAAAMAAAAAAAAACiJOWVNFOldNVCIITllTRTpXTVQBAAAAFiJJUV9JTlZFU1RPUlNfQ1VSUl9JRCIUSVFfSU5WRVNUT1JTX0NVUlJfSUQCAAAAAjExAjExAAAAAAMAAAAAAAAACiJOWVNFOldNVCIITllTRTpXTVQBAAAAFiJJUV9JTlZFU1RPUlNfQ1VSUl9JRCIUSVFfSU5WRVNUT1JTX0NVUlJfSUQCAAAAAjEyAjEyAAAAAAMAAAAAAAAACiJOWVNFOldNVCIITllTRTpXTVQBAAAAFiJJUV9JTlZFU1RPUlNfQ1VSUl9JRCIUSVFfSU5WRVNUT1JTX0NVUlJfSUQCAAAAAjEzAjEzXerWyE4O2gg7VEXLTg7aCFBDSVFSQU5HRS5OWVNFOldNVC5JUV9JTlZFU1RPUlNfQ1VSUl9UUkFOU0FDVElPTl9JRC4xLjEwMDAuLi4uLklOVkVTVE9SUyBUUkFOUyBJRAMAAADfxgQADQAAAAAAAAADAAAAAAAAAAoiTllTRTpXTVQiCE5ZU0U6</t>
  </si>
  <si>
    <t>V01UAQAAACIiSVFfSU5WRVNUT1JTX0NVUlJfVFJBTlNBQ1RJT05fSUQiIElRX0lOVkVTVE9SU19DVVJSX1RSQU5TQUNUSU9OX0lEAgAAAAExATEAAAAAAwAAAAAAAAAKIk5ZU0U6V01UIghOWVNFOldNVAEAAAAiIklRX0lOVkVTVE9SU19DVVJSX1RSQU5TQUNUSU9OX0lEIiBJUV9JTlZFU1RPUlNfQ1VSUl9UUkFOU0FDVElPTl9JRAIAAAABMgEyAAAAAAMAAAAAAAAACiJOWVNFOldNVCIITllTRTpXTVQBAAAAIiJJUV9JTlZFU1RPUlNfQ1VSUl9UUkFOU0FDVElPTl9JRCIgSVFfSU5WRVNUT1JTX0NVUlJfVFJBTlNBQ1RJT05fSUQCAAAAATMBMwAAAAADAAAAAAAAAAoiTllTRTpXTVQiCE5ZU0U6V01UAQAAACIiSVFfSU5WRVNUT1JTX0NVUlJfVFJBTlNBQ1RJT05fSUQiIElRX0lOVkVTVE9SU19DVVJSX1RSQU5TQUNUSU9OX0lEAgAAAAE0ATQAAAAAAwAAAAAAAAAKIk5ZU0U6V01UIghOWVNFOldNVAEAAAAiIklRX0lOVkVTVE9SU19DVVJSX1RSQU5TQUNUSU9OX0lEIiBJUV9JTlZFU1RPUlNfQ1VSUl9UUkFOU0FDVElPTl9JRAIAAAABNQE1AAAAAAMAAAAAAAAACiJOWVNFOldNVCIITllTRTpXTVQBAAAAIiJJUV9JTlZFU1RPUlNfQ1VSUl9UUkFOU0FDVElPTl9JRCIgSVFfSU5WRVNUT1JTX0NVUlJfVFJBTlNBQ1RJT05fSUQCAAAAATYBNgAAAAADAAAAAAAAAAoiTllTRTpXTVQiCE5ZU0U6V01UAQAAACIi</t>
  </si>
  <si>
    <t>SVFfSU5WRVNUT1JTX0NVUlJfVFJBTlNBQ1RJT05fSUQiIElRX0lOVkVTVE9SU19DVVJSX1RSQU5TQUNUSU9OX0lEAgAAAAE3ATcAAAAAAwAAAAAAAAAKIk5ZU0U6V01UIghOWVNFOldNVAEAAAAiIklRX0lOVkVTVE9SU19DVVJSX1RSQU5TQUNUSU9OX0lEIiBJUV9JTlZFU1RPUlNfQ1VSUl9UUkFOU0FDVElPTl9JRAIAAAABOAE4AAAAAAMAAAAAAAAACiJOWVNFOldNVCIITllTRTpXTVQBAAAAIiJJUV9JTlZFU1RPUlNfQ1VSUl9UUkFOU0FDVElPTl9JRCIgSVFfSU5WRVNUT1JTX0NVUlJfVFJBTlNBQ1RJT05fSUQCAAAAATkBOQAAAAADAAAAAAAAAAoiTllTRTpXTVQiCE5ZU0U6V01UAQAAACIiSVFfSU5WRVNUT1JTX0NVUlJfVFJBTlNBQ1RJT05fSUQiIElRX0lOVkVTVE9SU19DVVJSX1RSQU5TQUNUSU9OX0lEAgAAAAIxMAIxMAAAAAADAAAAAAAAAAoiTllTRTpXTVQiCE5ZU0U6V01UAQAAACIiSVFfSU5WRVNUT1JTX0NVUlJfVFJBTlNBQ1RJT05fSUQiIElRX0lOVkVTVE9SU19DVVJSX1RSQU5TQUNUSU9OX0lEAgAAAAIxMQIxMQAAAAADAAAAAAAAAAoiTllTRTpXTVQiCE5ZU0U6V01UAQAAACIiSVFfSU5WRVNUT1JTX0NVUlJfVFJBTlNBQ1RJT05fSUQiIElRX0lOVkVTVE9SU19DVVJSX1RSQU5TQUNUSU9OX0lEAgAAAAIxMgIxMgAAAAADAAAAAAAAAAoiTllTRTpXTVQiCE5ZU0U6V01UAQAAACIiSVFf</t>
  </si>
  <si>
    <t>SU5WRVNUT1JTX0NVUlJfVFJBTlNBQ1RJT05fSUQiIElRX0lOVkVTVE9SU19DVVJSX1RSQU5TQUNUSU9OX0lEAgAAAAIxMwIxM13q1shODtoIO1RFy04O2ghUQ0lRUkFOR0UuTllTRTpXTVQuSVFfSU5WRVNUT1JTX0NVUlJfVFJBTlNBQ1RJT05fREFURS4xLjEwMDAuLi4uLklOVkVTVE9SUyBUUkFOUyBEQVRFAwAAAN/GBAANAAAAAAAAAAMAAAAAAAAACiJOWVNFOldNVCIITllTRTpXTVQBAAAAJCJJUV9JTlZFU1RPUlNfQ1VSUl9UUkFOU0FDVElPTl9EQVRFIiJJUV9JTlZFU1RPUlNfQ1VSUl9UUkFOU0FDVElPTl9EQVRFAgAAAAExATEAAAAAAwAAAAAAAAAKIk5ZU0U6V01UIghOWVNFOldNVAEAAAAkIklRX0lOVkVTVE9SU19DVVJSX1RSQU5TQUNUSU9OX0RBVEUiIklRX0lOVkVTVE9SU19DVVJSX1RSQU5TQUNUSU9OX0RBVEUCAAAAATIBMgAAAAADAAAAAAAAAAoiTllTRTpXTVQiCE5ZU0U6V01UAQAAACQiSVFfSU5WRVNUT1JTX0NVUlJfVFJBTlNBQ1RJT05fREFURSIiSVFfSU5WRVNUT1JTX0NVUlJfVFJBTlNBQ1RJT05fREFURQIAAAABMwEzAAAAAAMAAAAAAAAACiJOWVNFOldNVCIITllTRTpXTVQBAAAAJCJJUV9JTlZFU1RPUlNfQ1VSUl9UUkFOU0FDVElPTl9EQVRFIiJJUV9JTlZFU1RPUlNfQ1VSUl9UUkFOU0FDVElPTl9EQVRFAgAAAAE0ATQAAAAAAwAAAAAAAAAKIk5ZU0U6V01UIghOWVNFOldN</t>
  </si>
  <si>
    <t>VAEAAAAkIklRX0lOVkVTVE9SU19DVVJSX1RSQU5TQUNUSU9OX0RBVEUiIklRX0lOVkVTVE9SU19DVVJSX1RSQU5TQUNUSU9OX0RBVEUCAAAAATUBNQAAAAADAAAAAAAAAAoiTllTRTpXTVQiCE5ZU0U6V01UAQAAACQiSVFfSU5WRVNUT1JTX0NVUlJfVFJBTlNBQ1RJT05fREFURSIiSVFfSU5WRVNUT1JTX0NVUlJfVFJBTlNBQ1RJT05fREFURQIAAAABNgE2AAAAAAMAAAAAAAAACiJOWVNFOldNVCIITllTRTpXTVQBAAAAJCJJUV9JTlZFU1RPUlNfQ1VSUl9UUkFOU0FDVElPTl9EQVRFIiJJUV9JTlZFU1RPUlNfQ1VSUl9UUkFOU0FDVElPTl9EQVRFAgAAAAE3ATcAAAAAAwAAAAAAAAAKIk5ZU0U6V01UIghOWVNFOldNVAEAAAAkIklRX0lOVkVTVE9SU19DVVJSX1RSQU5TQUNUSU9OX0RBVEUiIklRX0lOVkVTVE9SU19DVVJSX1RSQU5TQUNUSU9OX0RBVEUCAAAAATgBOAAAAAADAAAAAAAAAAoiTllTRTpXTVQiCE5ZU0U6V01UAQAAACQiSVFfSU5WRVNUT1JTX0NVUlJfVFJBTlNBQ1RJT05fREFURSIiSVFfSU5WRVNUT1JTX0NVUlJfVFJBTlNBQ1RJT05fREFURQIAAAABOQE5AAAAAAMAAAAAAAAACiJOWVNFOldNVCIITllTRTpXTVQBAAAAJCJJUV9JTlZFU1RPUlNfQ1VSUl9UUkFOU0FDVElPTl9EQVRFIiJJUV9JTlZFU1RPUlNfQ1VSUl9UUkFOU0FDVElPTl9EQVRFAgAAAAIxMAIxMAAAAAADAAAAAAAAAAoi</t>
  </si>
  <si>
    <t>TllTRTpXTVQiCE5ZU0U6V01UAQAAACQiSVFfSU5WRVNUT1JTX0NVUlJfVFJBTlNBQ1RJT05fREFURSIiSVFfSU5WRVNUT1JTX0NVUlJfVFJBTlNBQ1RJT05fREFURQIAAAACMTECMTEAAAAAAwAAAAAAAAAKIk5ZU0U6V01UIghOWVNFOldNVAEAAAAkIklRX0lOVkVTVE9SU19DVVJSX1RSQU5TQUNUSU9OX0RBVEUiIklRX0lOVkVTVE9SU19DVVJSX1RSQU5TQUNUSU9OX0RBVEUCAAAAAjEyAjEyAAAAAAMAAAAAAAAACiJOWVNFOldNVCIITllTRTpXTVQBAAAAJCJJUV9JTlZFU1RPUlNfQ1VSUl9UUkFOU0FDVElPTl9EQVRFIiJJUV9JTlZFU1RPUlNfQ1VSUl9UUkFOU0FDVElPTl9EQVRFAgAAAAIxMwIxM13q1shODtoIO1RFy04O2ghTQ0lRUkFOR0UuTllTRTpXTVQuSVFfSU5WRVNUT1JTX0NVUlJfUkVDRU5UX0FNT1VOVC4xLjEwMDAuLi4uLklOVkVTVE9SUyBMQVNUIElOViBBTVQDAAAA38YEAA0AAAAAAAAAAwAAAAAAAAAKIk5ZU0U6V01UIghOWVNFOldNVAEAAAAhIklRX0lOVkVTVE9SU19DVVJSX1JFQ0VOVF9BTU9VTlQiH0lRX0lOVkVTVE9SU19DVVJSX1JFQ0VOVF9BTU9VTlQCAAAAATEBMQAAAAADAAAAAAAAAAoiTllTRTpXTVQiCE5ZU0U6V01UAQAAACEiSVFfSU5WRVNUT1JTX0NVUlJfUkVDRU5UX0FNT1VOVCIfSVFfSU5WRVNUT1JTX0NVUlJfUkVDRU5UX0FNT1VOVAIAAAABMgEyAAAAAAMAAAAA</t>
  </si>
  <si>
    <t>AAAACiJOWVNFOldNVCIITllTRTpXTVQBAAAAISJJUV9JTlZFU1RPUlNfQ1VSUl9SRUNFTlRfQU1PVU5UIh9JUV9JTlZFU1RPUlNfQ1VSUl9SRUNFTlRfQU1PVU5UAgAAAAEzATMAAAAAAwAAAAAAAAAKIk5ZU0U6V01UIghOWVNFOldNVAEAAAAhIklRX0lOVkVTVE9SU19DVVJSX1JFQ0VOVF9BTU9VTlQiH0lRX0lOVkVTVE9SU19DVVJSX1JFQ0VOVF9BTU9VTlQCAAAAATQBNAAAAAADAAAAAAAAAAoiTllTRTpXTVQiCE5ZU0U6V01UAQAAACEiSVFfSU5WRVNUT1JTX0NVUlJfUkVDRU5UX0FNT1VOVCIfSVFfSU5WRVNUT1JTX0NVUlJfUkVDRU5UX0FNT1VOVAIAAAABNQE1AAAAAAMAAAAAAAAACiJOWVNFOldNVCIITllTRTpXTVQBAAAAISJJUV9JTlZFU1RPUlNfQ1VSUl9SRUNFTlRfQU1PVU5UIh9JUV9JTlZFU1RPUlNfQ1VSUl9SRUNFTlRfQU1PVU5UAgAAAAE2ATYAAAAAAwAAAAAAAAAKIk5ZU0U6V01UIghOWVNFOldNVAEAAAAhIklRX0lOVkVTVE9SU19DVVJSX1JFQ0VOVF9BTU9VTlQiH0lRX0lOVkVTVE9SU19DVVJSX1JFQ0VOVF9BTU9VTlQCAAAAATcBNwAAAAADAAAAAAAAAAoiTllTRTpXTVQiCE5ZU0U6V01UAQAAACEiSVFfSU5WRVNUT1JTX0NVUlJfUkVDRU5UX0FNT1VOVCIfSVFfSU5WRVNUT1JTX0NVUlJfUkVDRU5UX0FNT1VOVAIAAAABOAE4AAAAAAMAAAAAAAAACiJOWVNFOldNVCIITllTRTpX</t>
  </si>
  <si>
    <t>TVQBAAAAISJJUV9JTlZFU1RPUlNfQ1VSUl9SRUNFTlRfQU1PVU5UIh9JUV9JTlZFU1RPUlNfQ1VSUl9SRUNFTlRfQU1PVU5UAgAAAAE5ATkAAAAAAwAAAAAAAAAKIk5ZU0U6V01UIghOWVNFOldNVAEAAAAhIklRX0lOVkVTVE9SU19DVVJSX1JFQ0VOVF9BTU9VTlQiH0lRX0lOVkVTVE9SU19DVVJSX1JFQ0VOVF9BTU9VTlQCAAAAAjEwAjEwAAAAAAMAAAAAAAAACiJOWVNFOldNVCIITllTRTpXTVQBAAAAISJJUV9JTlZFU1RPUlNfQ1VSUl9SRUNFTlRfQU1PVU5UIh9JUV9JTlZFU1RPUlNfQ1VSUl9SRUNFTlRfQU1PVU5UAgAAAAIxMQIxMQAAAAADAAAAAAAAAAoiTllTRTpXTVQiCE5ZU0U6V01UAQAAACEiSVFfSU5WRVNUT1JTX0NVUlJfUkVDRU5UX0FNT1VOVCIfSVFfSU5WRVNUT1JTX0NVUlJfUkVDRU5UX0FNT1VOVAIAAAACMTICMTIAAAAAAwAAAAAAAAAKIk5ZU0U6V01UIghOWVNFOldNVAEAAAAhIklRX0lOVkVTVE9SU19DVVJSX1JFQ0VOVF9BTU9VTlQiH0lRX0lOVkVTVE9SU19DVVJSX1JFQ0VOVF9BTU9VTlQCAAAAAjEzAjEzXerWyE4O2gg7VEXLTg7aCB9DSVEuTllTRTpXTVQuSVFfSU5WRVNUT1JTX0FMTC4xAQAAAN/GBAADAAAAJEFCIFRydXN0ICYgSW52ZXN0bWVudCBTZXJ2aWNlcyBHcm91cABd6tbITg7aCMyeRstODtoIH0NJUS5OWVNFOldNVC5JUV9JTlZFU1RPUlNfQUxMLjIBAAAA38YE</t>
  </si>
  <si>
    <t>AAMAAABUQW1lcmljYW4gRmVkZXJhdGlvbiBvZiBMYWJvciBhbmQgQ29uZ3Jlc3Mgb2YgSW5kdXN0cmlhbCBPcmdhbml6YXRpb25zLCBFbmRvd21lbnQgQXJtAF3q1shODtoIzJ5Gy04O2ggfQ0lRLk5ZU0U6V01ULklRX0lOVkVTVE9SU19BTEwuMwEAAADfxgQAAwAAABVBcyBZb3UgU293IEZvdW5kYXRpb24AXerWyE4O2gjcmkbLTg7aCB9DSVEuTllTRTpXTVQuSVFfSU5WRVNUT1JTX0FMTC40AQAAAN/GBAADAAAALEVtcGxveWVlcycgUmV0aXJlbWVudCBTeXN0ZW0gb2YgUmhvZGUgSXNsYW5kAF3q1shODtoI+3BGy04O2ggjQ0lRLk5ZU0U6V01ULklRX0lOVkVTVE9SU19BTExfUkVMLjEBAAAA38YEAAMAAAASQ3VycmVudCBJbnZlc3RtZW50AF3q1shODtoIzJ5Gy04O2gglQ0lRLk5ZU0U6V01ULklRX0lOVkVTVE9SU19BTExfQ09WRVIuMQEAAADfxgQAAwAAAAAAXerWyE4O2ghjskbLTg7aCCNDSVEuTllTRTpXTVQuSVFfSU5WRVNUT1JTX0FMTF9SRUwuMgEAAADfxgQAAwAAABBQcmlvciBJbnZlc3RtZW50AF3q1shODtoIzJ5Gy04O2gglQ0lRLk5ZU0U6V01ULklRX0lOVkVTVE9SU19BTExfQ09WRVIuMgEAAADfxgQAAwAAAAAAXerWyE4O2gj7cEbLTg7aCCNDSVEuTllTRTpXTVQuSVFfSU5WRVNUT1JTX0FMTF9SRUwuMwEAAADfxgQAAwAAABJDdXJyZW50IEludmVzdG1lbnQAXerWyE4O2gj7cEbLTg7a</t>
  </si>
  <si>
    <t>CCVDSVEuTllTRTpXTVQuSVFfSU5WRVNUT1JTX0FMTF9DT1ZFUi4zAQAAAN/GBAADAAAAAABd6tbITg7aCGOyRstODtoII0NJUS5OWVNFOldNVC5JUV9JTlZFU1RPUlNfQUxMX1JFTC40AQAAAN/GBAADAAAAEkN1cnJlbnQgSW52ZXN0bWVudABd6tbITg7aCAmYRstODtoIJUNJUS5OWVNFOldNVC5JUV9JTlZFU1RPUlNfQUxMX0NPVkVSLjQBAAAA38YEAAMAAAAAAF3q1shODtoIzJ5Gy04O2ggeQ0lRLk5ZU0U6V01ULklRX0ZJU0NBTF9ZLklRX0ZZAQAAAN/GBAABAAAABDIwMjIAWxHXyE4O2gj7cEbLTg7aCCBDSVEuTllTRTpXTVQuSVFfRklTQ0FMX1kuSVFfRlktNgEAAADfxgQAAQAAAAQyMDE2AFsR18hODtoI9UlGy04O2gggQ0lRLk5ZU0U6V01ULklRX0ZJU0NBTF9ZLklRX0ZZLTUBAAAA38YEAAEAAAAEMjAxNwBbEdfITg7aCPVJRstODtoIIENJUS5OWVNFOldNVC5JUV9GSVNDQUxfWS5JUV9GWS00AQAAAN/GBAABAAAABDIwMTgAWxHXyE4O2gj7cEbLTg7aCCBDSVEuTllTRTpXTVQuSVFfRklTQ0FMX1kuSVFfRlktMwEAAADfxgQAAQAAAAQyMDE5AFsR18hODtoI+3BGy04O2gggQ0lRLk5ZU0U6V01ULklRX0ZJU0NBTF9ZLklRX0ZZLTIBAAAA38YEAAEAAAAEMjAyMABbEdfITg7aCPtwRstODtoIIENJUS5OWVNFOldNVC5JUV9GSVNDQUxfWS5JUV9GWS0xAQAAAN/GBAABAAAABDIwMjEAWxHXyE4O2gj7</t>
  </si>
  <si>
    <t>cEbLTg7aCBlDSVEuTllTRTpXTVQuSVFfTkkuRlkyMDEzAQAAAN/GBAACAAAABTE2OTk5AQgAAAAFAAAAATEBAAAACjE3MjY0ODkzODEDAAAAAzE2MAIAAAACMTUEAAAAATAHAAAACTMvMjUvMjAyMggAAAAJMS8zMS8yMDEzCQAAAAEwWxHXyE4O2giaFOfJTg7aCCNDSVEuTllTRTpXTVQuSVFfVE9UQUxfQVNTRVRTLkZZMjAxMwEAAADfxgQAAgAAAAYyMDMxMDUBCAAAAAUAAAABMQEAAAAKMTcyNjQ4OTM4MQMAAAADMTYwAgAAAAQxMDA3BAAAAAEwBwAAAAkzLzI1LzIwMjIIAAAACTEvMzEvMjAxMwkAAAABMFsR18hODtoImhTnyU4O2ggrQ0lRLk5ZU0U6V01ULklRX1RPVEFMX0FTU0VUUy5JUV9GWS0xLkZZMjAxMwEAAADfxgQAAgAAAAYxOTM0MDYBCAAAAAUAAAABMQEAAAAKMTY2NDgxMzc4OAMAAAADMTYwAgAAAAQxMDA3BAAAAAEwBwAAAAkzLzI1LzIwMjIIAAAACTEvMzEvMjAxMgkAAAABMFsR18hODtoImhTnyU4O2ggfQ0lRLk5ZU0U6V01ULklRX1RPVEFMX0NMLkZZMjAxMwEAAADfxgQAAgAAAAU3MTgxOAEIAAAABQAAAAExAQAAAAoxNzI2NDg5MzgxAwAAAAMxNjACAAAABDEwMDkEAAAAATAHAAAACTMvMjUvMjAyMggAAAAJMS8zMS8yMDEzCQAAAAEwWxHXyE4O2giaFOfJTg7aCCdDSVEuTllTRTpXTVQuSVFfVE9UQUxfQ0wuSVFfRlktMS5GWTIwMTMBAAAA38YEAAIAAAAFNjIzMDABCAAAAAUAAAAB</t>
  </si>
  <si>
    <t>MQEAAAAKMTY2NDgxMzc4OAMAAAADMTYwAgAAAAQxMDA5BAAAAAEwBwAAAAkzLzI1LzIwMjIIAAAACTEvMzEvMjAxMgkAAAABMFsR18hODtoImhTnyU4O2ggZQ0lRLk5ZU0U6V01ULklRX05JLkZZMjAxNAEAAADfxgQAAgAAAAUxNjAyMgEIAAAABQAAAAExAQAAAAoxNzgzMDA3NjY3AwAAAAMxNjACAAAAAjE1BAAAAAEwBwAAAAkzLzI1LzIwMjIIAAAACTEvMzEvMjAxNAkAAAABMFsR18hODtoIaDzlyU4O2ggjQ0lRLk5ZU0U6V01ULklRX1RPVEFMX0FTU0VUUy5GWTIwMTQBAAAA38YEAAIAAAAGMjA0NzUxAQgAAAAFAAAAATEBAAAACjE3ODMwMDc2NjcDAAAAAzE2MAIAAAAEMTAwNwQAAAABMAcAAAAJMy8yNS8yMDIyCAAAAAkxLzMxLzIwMTQJAAAAATBbEdfITg7aCGg85clODtoIK0NJUS5OWVNFOldNVC5JUV9UT1RBTF9BU1NFVFMuSVFfRlktMS5GWTIwMTQBAAAA38YEAAIAAAAGMjAzMTA1AQgAAAAFAAAAATEBAAAACjE3MjY0ODkzODEDAAAAAzE2MAIAAAAEMTAwNwQAAAABMAcAAAAJMy8yNS8yMDIyCAAAAAkxLzMxLzIwMTMJAAAAATBbEdfITg7aCGg85clODtoIH0NJUS5OWVNFOldNVC5JUV9UT1RBTF9DTC5GWTIwMTQBAAAA38YEAAIAAAAFNjkzNDUBCAAAAAUAAAABMQEAAAAKMTc4MzAwNzY2NwMAAAADMTYwAgAAAAQxMDA5BAAAAAEwBwAAAAkzLzI1LzIwMjIIAAAACTEvMzEvMjAxNAkAAAABMFsR</t>
  </si>
  <si>
    <t>18hODtoIQmPlyU4O2ggnQ0lRLk5ZU0U6V01ULklRX1RPVEFMX0NMLklRX0ZZLTEuRlkyMDE0AQAAAN/GBAACAAAABTcxODE4AQgAAAAFAAAAATEBAAAACjE3MjY0ODkzODEDAAAAAzE2MAIAAAAEMTAwOQQAAAABMAcAAAAJMy8yNS8yMDIyCAAAAAkxLzMxLzIwMTMJAAAAATBbEdfITg7aCEJj5clODtoIGUNJUS5OWVNFOldNVC5JUV9OSS5GWTIwMTUBAAAA38YEAAIAAAAFMTYzNjMBCAAAAAUAAAABMQEAAAAKMTgzNDI2NTY2OAMAAAADMTYwAgAAAAIxNQQAAAABMAcAAAAJMy8yNS8yMDIyCAAAAAkxLzMxLzIwMTUJAAAAATBbEdfITg7aCDXH6clODtoII0NJUS5OWVNFOldNVC5JUV9UT1RBTF9BU1NFVFMuRlkyMDE1AQAAAN/GBAACAAAABjIwMzQ5MAEIAAAABQAAAAExAQAAAAoxODM0MjY1NjY4AwAAAAMxNjACAAAABDEwMDcEAAAAATAHAAAACTMvMjUvMjAyMggAAAAJMS8zMS8yMDE1CQAAAAEwWxHXyE4O2gg1x+nJTg7aCCtDSVEuTllTRTpXTVQuSVFfVE9UQUxfQVNTRVRTLklRX0ZZLTEuRlkyMDE1AQAAAN/GBAACAAAABjIwNDc1MQEIAAAABQAAAAExAQAAAAoxNzgzMDA3NjY3AwAAAAMxNjACAAAABDEwMDcEAAAAATAHAAAACTMvMjUvMjAyMggAAAAJMS8zMS8yMDE0CQAAAAEwWxHXyE4O2gg1x+nJTg7aCB9DSVEuTllTRTpXTVQuSVFfVE9UQUxfQ0wuRlkyMDE1AQAAAN/GBAACAAAABTY1MjUzAQgA</t>
  </si>
  <si>
    <t>AAAFAAAAATEBAAAACjE4MzQyNjU2NjgDAAAAAzE2MAIAAAAEMTAwOQQAAAABMAcAAAAJMy8yNS8yMDIyCAAAAAkxLzMxLzIwMTUJAAAAATBbEdfITg7aCDXH6clODtoIJ0NJUS5OWVNFOldNVC5JUV9UT1RBTF9DTC5JUV9GWS0xLkZZMjAxNQEAAADfxgQAAgAAAAU2OTM0NQEIAAAABQAAAAExAQAAAAoxNzgzMDA3NjY3AwAAAAMxNjACAAAABDEwMDkEAAAAATAHAAAACTMvMjUvMjAyMggAAAAJMS8zMS8yMDE0CQAAAAEwWxHXyE4O2gg1x+nJTg7aCBlDSVEuTllTRTpXTVQuSVFfTkkuRlkyMDE2AQAAAN/GBAACAAAABTE0Njk0AQgAAAAFAAAAATEBAAAACjE4ODA3MTg3NjIDAAAAAzE2MAIAAAACMTUEAAAAATAHAAAACTMvMjUvMjAyMggAAAAJMS8zMS8yMDE2CQAAAAEwWxHXyE4O2gj35+rJTg7aCCNDSVEuTllTRTpXTVQuSVFfVE9UQUxfQVNTRVRTLkZZMjAxNgEAAADfxgQAAgAAAAYxOTk1ODEBCAAAAAUAAAABMQEAAAAKMTg4MDcxODc2MgMAAAADMTYwAgAAAAQxMDA3BAAAAAEwBwAAAAkzLzI1LzIwMjIIAAAACTEvMzEvMjAxNgkAAAABMFsR18hODtoI9+fqyU4O2ggrQ0lRLk5ZU0U6V01ULklRX1RPVEFMX0FTU0VUUy5JUV9GWS0xLkZZMjAxNgEAAADfxgQAAgAAAAYyMDM0OTABCAAAAAUAAAABMQEAAAAKMTgzNDI2NTY2OAMAAAADMTYwAgAAAAQxMDA3BAAAAAEwBwAAAAkzLzI1LzIwMjIIAAAACTEv</t>
  </si>
  <si>
    <t>MzEvMjAxNQkAAAABMFsR18hODtoI9+fqyU4O2ggfQ0lRLk5ZU0U6V01ULklRX1RPVEFMX0NMLkZZMjAxNgEAAADfxgQAAgAAAAU2NDYxOQEIAAAABQAAAAExAQAAAAoxODgwNzE4NzYyAwAAAAMxNjACAAAABDEwMDkEAAAAATAHAAAACTMvMjUvMjAyMggAAAAJMS8zMS8yMDE2CQAAAAEwWxHXyE4O2gj35+rJTg7aCCdDSVEuTllTRTpXTVQuSVFfVE9UQUxfQ0wuSVFfRlktMS5GWTIwMTYBAAAA38YEAAIAAAAFNjUyNTMBCAAAAAUAAAABMQEAAAAKMTgzNDI2NTY2OAMAAAADMTYwAgAAAAQxMDA5BAAAAAEwBwAAAAkzLzI1LzIwMjIIAAAACTEvMzEvMjAxNQkAAAABMFsR18hODtoI9+fqyU4O2ggZQ0lRLk5ZU0U6V01ULklRX05JLkZZMjAxNwEAAADfxgQAAgAAAAUxMzY0MwEIAAAABQAAAAExAQAAAAoxOTUxNTQwMzM1AwAAAAMxNjACAAAAAjE1BAAAAAEwBwAAAAkzLzI1LzIwMjIIAAAACTEvMzEvMjAxNwkAAAABMFsR18hODtoILoTryU4O2ggjQ0lRLk5ZU0U6V01ULklRX1RPVEFMX0FTU0VUUy5GWTIwMTcBAAAA38YEAAIAAAAGMTk4ODI1AQgAAAAFAAAAATEBAAAACjE5NTE1NDAzMzUDAAAAAzE2MAIAAAAEMTAwNwQAAAABMAcAAAAJMy8yNS8yMDIyCAAAAAkxLzMxLzIwMTcJAAAAATBbEdfITg7aCC6E68lODtoIK0NJUS5OWVNFOldNVC5JUV9UT1RBTF9BU1NFVFMuSVFfRlktMS5GWTIwMTcBAAAA38YE</t>
  </si>
  <si>
    <t>AAIAAAAGMTk5NTgxAQgAAAAFAAAAATEBAAAACjE4ODA3MTg3NjIDAAAAAzE2MAIAAAAEMTAwNwQAAAABMAcAAAAJMy8yNS8yMDIyCAAAAAkxLzMxLzIwMTYJAAAAATBbEdfITg7aCC6E68lODtoIH0NJUS5OWVNFOldNVC5JUV9UT1RBTF9DTC5GWTIwMTcBAAAA38YEAAIAAAAFNjY5MjgBCAAAAAUAAAABMQEAAAAKMTk1MTU0MDMzNQMAAAADMTYwAgAAAAQxMDA5BAAAAAEwBwAAAAkzLzI1LzIwMjIIAAAACTEvMzEvMjAxNwkAAAABMFsR18hODtoILoTryU4O2ggnQ0lRLk5ZU0U6V01ULklRX1RPVEFMX0NMLklRX0ZZLTEuRlkyMDE3AQAAAN/GBAACAAAABTY0NjE5AQgAAAAFAAAAATEBAAAACjE4ODA3MTg3NjIDAAAAAzE2MAIAAAAEMTAwOQQAAAABMAcAAAAJMy8yNS8yMDIyCAAAAAkxLzMxLzIwMTYJAAAAATBbEdfITg7aCC6E68lODtoIGUNJUS5OWVNFOldNVC5JUV9OSS5GWTIwMTgBAAAA38YEAAIAAAAEOTg2MgEIAAAABQAAAAExAQAAAAoyMDIzMjQ5NjExAwAAAAMxNjACAAAAAjE1BAAAAAEwBwAAAAkzLzI1LzIwMjIIAAAACTEvMzEvMjAxOAkAAAABMFsR18hODtoIuzHtyU4O2ggjQ0lRLk5ZU0U6V01ULklRX1RPVEFMX0FTU0VUUy5GWTIwMTgBAAAA38YEAAIAAAAGMjA0NTIyAQgAAAAFAAAAATEBAAAACjIwMjMyNDk2MTEDAAAAAzE2MAIAAAAEMTAwNwQAAAABMAcAAAAJMy8yNS8yMDIyCAAAAAkx</t>
  </si>
  <si>
    <t>LzMxLzIwMTgJAAAAATBbEdfITg7aCMJY7clODtoIK0NJUS5OWVNFOldNVC5JUV9UT1RBTF9BU1NFVFMuSVFfRlktMS5GWTIwMTgBAAAA38YEAAIAAAAGMTk4ODI1AQgAAAAFAAAAATEBAAAACjE5NTE1NDAzMzUDAAAAAzE2MAIAAAAEMTAwNwQAAAABMAcAAAAJMy8yNS8yMDIyCAAAAAkxLzMxLzIwMTcJAAAAATBbEdfITg7aCMJY7clODtoIH0NJUS5OWVNFOldNVC5JUV9UT1RBTF9DTC5GWTIwMTgBAAAA38YEAAIAAAAFNzg1MjEBCAAAAAUAAAABMQEAAAAKMjAyMzI0OTYxMQMAAAADMTYwAgAAAAQxMDA5BAAAAAEwBwAAAAkzLzI1LzIwMjIIAAAACTEvMzEvMjAxOAkAAAABMFsR18hODtoIwljtyU4O2ggnQ0lRLk5ZU0U6V01ULklRX1RPVEFMX0NMLklRX0ZZLTEuRlkyMDE4AQAAAN/GBAACAAAABTY2OTI4AQgAAAAFAAAAATEBAAAACjE5NTE1NDAzMzUDAAAAAzE2MAIAAAAEMTAwOQQAAAABMAcAAAAJMy8yNS8yMDIyCAAAAAkxLzMxLzIwMTcJAAAAATBbEdfITg7aCMJY7clODtoIGUNJUS5OWVNFOldNVC5JUV9OSS5GWTIwMTkBAAAA38YEAAIAAAAENjY3MAEIAAAABQAAAAExAQAAAAoyMDg1MTMyOTMwAwAAAAMxNjACAAAAAjE1BAAAAAEwBwAAAAkzLzI1LzIwMjIIAAAACTEvMzEvMjAxOQkAAAABMFsR18hODtoItubuyU4O2ggjQ0lRLk5ZU0U6V01ULklRX1RPVEFMX0FTU0VUUy5GWTIwMTkBAAAA38YE</t>
  </si>
  <si>
    <t>AAIAAAAGMjE5Mjk1AQgAAAAFAAAAATEBAAAACjIwODUxMzI5MzADAAAAAzE2MAIAAAAEMTAwNwQAAAABMAcAAAAJMy8yNS8yMDIyCAAAAAkxLzMxLzIwMTkJAAAAATBbEdfITg7aCMMN78lODtoIK0NJUS5OWVNFOldNVC5JUV9UT1RBTF9BU1NFVFMuSVFfRlktMS5GWTIwMTkBAAAA38YEAAIAAAAGMjA0NTIyAQgAAAAFAAAAATEBAAAACjIwMjMyNDk2MTEDAAAAAzE2MAIAAAAEMTAwNwQAAAABMAcAAAAJMy8yNS8yMDIyCAAAAAkxLzMxLzIwMTgJAAAAATBbEdfITg7aCFoQ78lODtoIH0NJUS5OWVNFOldNVC5JUV9UT1RBTF9DTC5GWTIwMTkBAAAA38YEAAIAAAAFNzc0NzcBCAAAAAUAAAABMQEAAAAKMjA4NTEzMjkzMAMAAAADMTYwAgAAAAQxMDA5BAAAAAEwBwAAAAkzLzI1LzIwMjIIAAAACTEvMzEvMjAxOQkAAAABMFsR18hODtoIWhDvyU4O2ggnQ0lRLk5ZU0U6V01ULklRX1RPVEFMX0NMLklRX0ZZLTEuRlkyMDE5AQAAAN/GBAACAAAABTc4NTIxAQgAAAAFAAAAATEBAAAACjIwMjMyNDk2MTEDAAAAAzE2MAIAAAAEMTAwOQQAAAABMAcAAAAJMy8yNS8yMDIyCAAAAAkxLzMxLzIwMTgJAAAAATBbEdfITg7aCFoQ78lODtoIGUNJUS5OWVNFOldNVC5JUV9OSS5GWTIwMjABAAAA38YEAAIAAAAFMTQ4ODEBCAAAAAUAAAABMQEAAAALLTIxMDc2ODYyOTEDAAAAAzE2MAIAAAACMTUEAAAAATAHAAAACTMvMjUv</t>
  </si>
  <si>
    <t>MjAyMggAAAAJMS8zMS8yMDIwCQAAAAEwWxHXyE4O2ggiLe/JTg7aCCNDSVEuTllTRTpXTVQuSVFfVE9UQUxfQVNTRVRTLkZZMjAyMAEAAADfxgQAAgAAAAYyMzY0OTUBCAAAAAUAAAABMQEAAAALLTIxMDc2ODYyOTEDAAAAAzE2MAIAAAAEMTAwNwQAAAABMAcAAAAJMy8yNS8yMDIyCAAAAAkxLzMxLzIwMjAJAAAAATBbEdfITg7aCNxD78lODtoIK0NJUS5OWVNFOldNVC5JUV9UT1RBTF9BU1NFVFMuSVFfRlktMS5GWTIwMjABAAAA38YEAAIAAAAGMjE5Mjk1AQgAAAAFAAAAATEBAAAACjIwODUxMzI5MzADAAAAAzE2MAIAAAAEMTAwNwQAAAABMAcAAAAJMy8yNS8yMDIyCAAAAAkxLzMxLzIwMTkJAAAAATBbEdfITg7aCNxD78lODtoIH0NJUS5OWVNFOldNVC5JUV9UT1RBTF9DTC5GWTIwMjABAAAA38YEAAIAAAAFNzc3OTABCAAAAAUAAAABMQEAAAALLTIxMDc2ODYyOTEDAAAAAzE2MAIAAAAEMTAwOQQAAAABMAcAAAAJMy8yNS8yMDIyCAAAAAkxLzMxLzIwMjAJAAAAATBbEdfITg7aCNxD78lODtoIJ0NJUS5OWVNFOldNVC5JUV9UT1RBTF9DTC5JUV9GWS0xLkZZMjAyMAEAAADfxgQAAgAAAAU3NzQ3NwEIAAAABQAAAAExAQAAAAoyMDg1MTMyOTMwAwAAAAMxNjACAAAABDEwMDkEAAAAATAHAAAACTMvMjUvMjAyMggAAAAJMS8zMS8yMDE5CQAAAAEwWxHXyE4O2gjcQ+/JTg7aCBlDSVEuTllTRTpXTVQuSVFf</t>
  </si>
  <si>
    <t>TkkuRlkyMDIxAQAAAN/GBAACAAAABTEzNTEwAQgAAAAFAAAAATEBAAAACy0yMTA3Njg2MjgxAwAAAAMxNjACAAAAAjE1BAAAAAEwBwAAAAkzLzI1LzIwMjIIAAAACTEvMzEvMjAyMQkAAAABMFsR18hODtoImIbwyU4O2ggjQ0lRLk5ZU0U6V01ULklRX1RPVEFMX0FTU0VUUy5GWTIwMjEBAAAA38YEAAIAAAAGMjUyNDk2AQgAAAAFAAAAATEBAAAACy0yMTA3Njg2MjgxAwAAAAMxNjACAAAABDEwMDcEAAAAATAHAAAACTMvMjUvMjAyMggAAAAJMS8zMS8yMDIxCQAAAAEwWxHXyE4O2giYhvDJTg7aCCtDSVEuTllTRTpXTVQuSVFfVE9UQUxfQVNTRVRTLklRX0ZZLTEuRlkyMDIxAQAAAN/GBAACAAAABjIzNjQ5NQEIAAAABQAAAAExAQAAAAstMjEwNzY4NjI5MQMAAAADMTYwAgAAAAQxMDA3BAAAAAEwBwAAAAkzLzI1LzIwMjIIAAAACTEvMzEvMjAyMAkAAAABMFsR18hODtoImIbwyU4O2ggfQ0lRLk5ZU0U6V01ULklRX1RPVEFMX0NMLkZZMjAyMQEAAADfxgQAAgAAAAU5MjY0NQEIAAAABQAAAAExAQAAAAstMjEwNzY4NjI4MQMAAAADMTYwAgAAAAQxMDA5BAAAAAEwBwAAAAkzLzI1LzIwMjIIAAAACTEvMzEvMjAyMQkAAAABMFsR18hODtoImIbwyU4O2ggnQ0lRLk5ZU0U6V01ULklRX1RPVEFMX0NMLklRX0ZZLTEuRlkyMDIxAQAAAN/GBAACAAAABTc3NzkwAQgAAAAFAAAAATEBAAAACy0yMTA3Njg2MjkxAwAA</t>
  </si>
  <si>
    <t>AAMxNjACAAAABDEwMDkEAAAAATAHAAAACTMvMjUvMjAyMggAAAAJMS8zMS8yMDIwCQAAAAEwWxHXyE4O2giYhvDJTg7aCBlDSVEuTllTRTpXTVQuSVFfTkkuRlkyMDIyAQAAAN/GBAACAAAABTEzNjczAQgAAAAFAAAAATEBAAAACy0yMTA3Njg2MjgyAwAAAAMxNjACAAAAAjE1BAAAAAEwBwAAAAkzLzI1LzIwMjIIAAAACTEvMzEvMjAyMgkAAAABMFsR18hODtoIu1TxyU4O2ggjQ0lRLk5ZU0U6V01ULklRX1RPVEFMX0FTU0VUUy5GWTIwMjIBAAAA38YEAAIAAAAGMjQ0ODYwAQgAAAAFAAAAATEBAAAACy0yMTA3Njg2MjgyAwAAAAMxNjACAAAABDEwMDcEAAAAATAHAAAACTMvMjUvMjAyMggAAAAJMS8zMS8yMDIyCQAAAAEwWxHXyE4O2gi7VPHJTg7aCCtDSVEuTllTRTpXTVQuSVFfVE9UQUxfQVNTRVRTLklRX0ZZLTEuRlkyMDIyAQAAAN/GBAACAAAABjI1MjQ5NgEIAAAABQAAAAExAQAAAAstMjEwNzY4NjI4MQMAAAADMTYwAgAAAAQxMDA3BAAAAAEwBwAAAAkzLzI1LzIwMjIIAAAACTEvMzEvMjAyMQkAAAABMFsR18hODtoIu1TxyU4O2ggfQ0lRLk5ZU0U6V01ULklRX1RPVEFMX0NMLkZZMjAyMgEAAADfxgQAAgAAAAU4NzM3OQEIAAAABQAAAAExAQAAAAstMjEwNzY4NjI4MgMAAAADMTYwAgAAAAQxMDA5BAAAAAEwBwAAAAkzLzI1LzIwMjIIAAAACTEvMzEvMjAyMgkAAAABMFsR18hODtoIu1TxyU4O2ggn</t>
  </si>
  <si>
    <t>Q0lRLk5ZU0U6V01ULklRX1RPVEFMX0NMLklRX0ZZLTEuRlkyMDIyAQAAAN/GBAACAAAABTkyNjQ1AQgAAAAFAAAAATEBAAAACy0yMTA3Njg2MjgxAwAAAAMxNjACAAAABDEwMDkEAAAAATAHAAAACTMvMjUvMjAyMggAAAAJMS8zMS8yMDIxCQAAAAEwWxHXyE4O2gi7VPHJTg7aCEFDSVFSQU5HRS5OWVNFOldNVC5JUV9QUk9GRVNTSU9OQUxfSUQuMS4xMC4uLi4uUFJPRkVTU0lPTkFMIENJUSBJRAMAAADfxgQACgAAAAAAAAADAAAAAAAAAAoiTllTRTpXTVQiCE5ZU0U6V01UAQAAABQiSVFfUFJPRkVTU0lPTkFMX0lEIhJJUV9QUk9GRVNTSU9OQUxfSUQCAAAAATEBMQAAAAADAAAAAAAAAAoiTllTRTpXTVQiCE5ZU0U6V01UAQAAABQiSVFfUFJPRkVTU0lPTkFMX0lEIhJJUV9QUk9GRVNTSU9OQUxfSUQCAAAAATIBMgAAAAADAAAAAAAAAAoiTllTRTpXTVQiCE5ZU0U6V01UAQAAABQiSVFfUFJPRkVTU0lPTkFMX0lEIhJJUV9QUk9GRVNTSU9OQUxfSUQCAAAAATMBMwAAAAADAAAAAAAAAAoiTllTRTpXTVQiCE5ZU0U6V01UAQAAABQiSVFfUFJPRkVTU0lPTkFMX0lEIhJJUV9QUk9GRVNTSU9OQUxfSUQCAAAAATQBNAAAAAADAAAAAAAAAAoiTllTRTpXTVQiCE5ZU0U6V01UAQAAABQiSVFfUFJPRkVTU0lPTkFMX0lEIhJJUV9QUk9GRVNTSU9OQUxfSUQCAAAAATUBNQAAAAADAAAAAAAAAAoiTllTRTpXTVQiCE5Z</t>
  </si>
  <si>
    <t>U0U6V01UAQAAABQiSVFfUFJPRkVTU0lPTkFMX0lEIhJJUV9QUk9GRVNTSU9OQUxfSUQCAAAAATYBNgAAAAADAAAAAAAAAAoiTllTRTpXTVQiCE5ZU0U6V01UAQAAABQiSVFfUFJPRkVTU0lPTkFMX0lEIhJJUV9QUk9GRVNTSU9OQUxfSUQCAAAAATcBNwAAAAADAAAAAAAAAAoiTllTRTpXTVQiCE5ZU0U6V01UAQAAABQiSVFfUFJPRkVTU0lPTkFMX0lEIhJJUV9QUk9GRVNTSU9OQUxfSUQCAAAAATgBOAAAAAADAAAAAAAAAAoiTllTRTpXTVQiCE5ZU0U6V01UAQAAABQiSVFfUFJPRkVTU0lPTkFMX0lEIhJJUV9QUk9GRVNTSU9OQUxfSUQCAAAAATkBOQAAAAADAAAAAAAAAAoiTllTRTpXTVQiCE5ZU0U6V01UAQAAABQiSVFfUFJPRkVTU0lPTkFMX0lEIhJJUV9QUk9GRVNTSU9OQUxfSUQCAAAAAjEwAjEwazjXyE4O2ghDLUXLTg7aCC9DSVFSQU5HRS5OWVNFOldNVC5JUV9QUk9GRVNTSU9OQUwuMS4xMC4uLi4uTkFNRQMAAADfxgQACgAAAAAAAAADAAAAAAAAAAoiTllTRTpXTVQiCE5ZU0U6V01UAQAAABEiSVFfUFJPRkVTU0lPTkFMIg9JUV9QUk9GRVNTSU9OQUwCAAAAATEBMQAAAAADAAAAAAAAAAoiTllTRTpXTVQiCE5ZU0U6V01UAQAAABEiSVFfUFJPRkVTU0lPTkFMIg9JUV9QUk9GRVNTSU9OQUwCAAAAATIBMgAAAAADAAAAAAAAAAoiTllTRTpXTVQiCE5ZU0U6V01UAQAAABEiSVFfUFJPRkVTU0lPTkFM</t>
  </si>
  <si>
    <t>Ig9JUV9QUk9GRVNTSU9OQUwCAAAAATMBMwAAAAADAAAAAAAAAAoiTllTRTpXTVQiCE5ZU0U6V01UAQAAABEiSVFfUFJPRkVTU0lPTkFMIg9JUV9QUk9GRVNTSU9OQUwCAAAAATQBNAAAAAADAAAAAAAAAAoiTllTRTpXTVQiCE5ZU0U6V01UAQAAABEiSVFfUFJPRkVTU0lPTkFMIg9JUV9QUk9GRVNTSU9OQUwCAAAAATUBNQAAAAADAAAAAAAAAAoiTllTRTpXTVQiCE5ZU0U6V01UAQAAABEiSVFfUFJPRkVTU0lPTkFMIg9JUV9QUk9GRVNTSU9OQUwCAAAAATYBNgAAAAADAAAAAAAAAAoiTllTRTpXTVQiCE5ZU0U6V01UAQAAABEiSVFfUFJPRkVTU0lPTkFMIg9JUV9QUk9GRVNTSU9OQUwCAAAAATcBNwAAAAADAAAAAAAAAAoiTllTRTpXTVQiCE5ZU0U6V01UAQAAABEiSVFfUFJPRkVTU0lPTkFMIg9JUV9QUk9GRVNTSU9OQUwCAAAAATgBOAAAAAADAAAAAAAAAAoiTllTRTpXTVQiCE5ZU0U6V01UAQAAABEiSVFfUFJPRkVTU0lPTkFMIg9JUV9QUk9GRVNTSU9OQUwCAAAAATkBOQAAAAADAAAAAAAAAAoiTllTRTpXTVQiCE5ZU0U6V01UAQAAABEiSVFfUFJPRkVTU0lPTkFMIg9JUV9QUk9GRVNTSU9OQUwCAAAAAjEwAjEwazjXyE4O2ghDLUXLTg7aCDZDSVFSQU5HRS5OWVNFOldNVC5JUV9QUk9GRVNTSU9OQUxfVElUTEUuMS4xMC4uLi4uVElUTEUDAAAA38YEAAoAAAAAAAAAAwAAAAAAAAAKIk5ZU0U6V01UIghO</t>
  </si>
  <si>
    <t>WVNFOldNVAEAAAAXIklRX1BST0ZFU1NJT05BTF9USVRMRSIVSVFfUFJPRkVTU0lPTkFMX1RJVExFAgAAAAExATEAAAAAAwAAAAAAAAAKIk5ZU0U6V01UIghOWVNFOldNVAEAAAAXIklRX1BST0ZFU1NJT05BTF9USVRMRSIVSVFfUFJPRkVTU0lPTkFMX1RJVExFAgAAAAEyATIAAAAAAwAAAAAAAAAKIk5ZU0U6V01UIghOWVNFOldNVAEAAAAXIklRX1BST0ZFU1NJT05BTF9USVRMRSIVSVFfUFJPRkVTU0lPTkFMX1RJVExFAgAAAAEzATMAAAAAAwAAAAAAAAAKIk5ZU0U6V01UIghOWVNFOldNVAEAAAAXIklRX1BST0ZFU1NJT05BTF9USVRMRSIVSVFfUFJPRkVTU0lPTkFMX1RJVExFAgAAAAE0ATQAAAAAAwAAAAAAAAAKIk5ZU0U6V01UIghOWVNFOldNVAEAAAAXIklRX1BST0ZFU1NJT05BTF9USVRMRSIVSVFfUFJPRkVTU0lPTkFMX1RJVExFAgAAAAE1ATUAAAAAAwAAAAAAAAAKIk5ZU0U6V01UIghOWVNFOldNVAEAAAAXIklRX1BST0ZFU1NJT05BTF9USVRMRSIVSVFfUFJPRkVTU0lPTkFMX1RJVExFAgAAAAE2ATYAAAAAAwAAAAAAAAAKIk5ZU0U6V01UIghOWVNFOldNVAEAAAAXIklRX1BST0ZFU1NJT05BTF9USVRMRSIVSVFfUFJPRkVTU0lPTkFMX1RJVExFAgAAAAE3ATcAAAAAAwAAAAAAAAAKIk5ZU0U6V01UIghOWVNFOldNVAEAAAAXIklRX1BST0ZFU1NJT05BTF9USVRMRSIVSVFfUFJPRkVTU0lPTkFM</t>
  </si>
  <si>
    <t>X1RJVExFAgAAAAE4ATgAAAAAAwAAAAAAAAAKIk5ZU0U6V01UIghOWVNFOldNVAEAAAAXIklRX1BST0ZFU1NJT05BTF9USVRMRSIVSVFfUFJPRkVTU0lPTkFMX1RJVExFAgAAAAE5ATkAAAAAAwAAAAAAAAAKIk5ZU0U6V01UIghOWVNFOldNVAEAAAAXIklRX1BST0ZFU1NJT05BTF9USVRMRSIVSVFfUFJPRkVTU0lPTkFMX1RJVExFAgAAAAIxMAIxMGs418hODtoIQy1Fy04O2ghNQ0lRUkFOR0UuTllTRTpXTVQuSVFfUFJPRkVTU0lPTkFMX0JBQ0tHUk9VTkQuMS4xMC4uLi4uUFJPRkVTU0lPTkFMIEJBQ0tHUk9VTkQDAAAA38YEAAoAAAAAAAAAAwAAAAAAAAAKIk5ZU0U6V01UIghOWVNFOldNVAEAAAAcIklRX1BST0ZFU1NJT05BTF9CQUNLR1JPVU5EIhpJUV9QUk9GRVNTSU9OQUxfQkFDS0dST1VORAIAAAABMQExAAAAAAMAAAAAAAAACiJOWVNFOldNVCIITllTRTpXTVQBAAAAHCJJUV9QUk9GRVNTSU9OQUxfQkFDS0dST1VORCIaSVFfUFJPRkVTU0lPTkFMX0JBQ0tHUk9VTkQCAAAAATIBMgAAAAADAAAAAAAAAAoiTllTRTpXTVQiCE5ZU0U6V01UAQAAABwiSVFfUFJPRkVTU0lPTkFMX0JBQ0tHUk9VTkQiGklRX1BST0ZFU1NJT05BTF9CQUNLR1JPVU5EAgAAAAEzATMAAAAAAwAAAAAAAAAKIk5ZU0U6V01UIghOWVNFOldNVAEAAAAcIklRX1BST0ZFU1NJT05BTF9CQUNLR1JPVU5EIhpJUV9QUk9GRVNTSU9O</t>
  </si>
  <si>
    <t>QUxfQkFDS0dST1VORAIAAAABNAE0AAAAAAMAAAAAAAAACiJOWVNFOldNVCIITllTRTpXTVQBAAAAHCJJUV9QUk9GRVNTSU9OQUxfQkFDS0dST1VORCIaSVFfUFJPRkVTU0lPTkFMX0JBQ0tHUk9VTkQCAAAAATUBNQAAAAADAAAAAAAAAAoiTllTRTpXTVQiCE5ZU0U6V01UAQAAABwiSVFfUFJPRkVTU0lPTkFMX0JBQ0tHUk9VTkQiGklRX1BST0ZFU1NJT05BTF9CQUNLR1JPVU5EAgAAAAE2ATYAAAAAAwAAAAAAAAAKIk5ZU0U6V01UIghOWVNFOldNVAEAAAAcIklRX1BST0ZFU1NJT05BTF9CQUNLR1JPVU5EIhpJUV9QUk9GRVNTSU9OQUxfQkFDS0dST1VORAIAAAABNwE3AAAAAAMAAAAAAAAACiJOWVNFOldNVCIITllTRTpXTVQBAAAAHCJJUV9QUk9GRVNTSU9OQUxfQkFDS0dST1VORCIaSVFfUFJPRkVTU0lPTkFMX0JBQ0tHUk9VTkQCAAAAATgBOAAAAAADAAAAAAAAAAoiTllTRTpXTVQiCE5ZU0U6V01UAQAAABwiSVFfUFJPRkVTU0lPTkFMX0JBQ0tHUk9VTkQiGklRX1BST0ZFU1NJT05BTF9CQUNLR1JPVU5EAgAAAAE5ATkAAAAAAwAAAAAAAAAKIk5ZU0U6V01UIghOWVNFOldNVAEAAAAcIklRX1BST0ZFU1NJT05BTF9CQUNLR1JPVU5EIhpJUV9QUk9GRVNTSU9OQUxfQkFDS0dST1VORAIAAAACMTACMTBrONfITg7aCEMtRctODtoIQUNJUVJBTkdFLk5ZU0U6V01ULklRX0JPQVJEX01FTUJFUl9JRC4xLjEw</t>
  </si>
  <si>
    <t>Li4uLi5CT0FSRCBNRU1CRVIgQ0lRIElEAwAAAN/GBAAKAAAAAAAAAAMAAAAAAAAACiJOWVNFOldNVCIITllTRTpXTVQBAAAAFCJJUV9CT0FSRF9NRU1CRVJfSUQiEklRX0JPQVJEX01FTUJFUl9JRAIAAAABMQExAAAAAAMAAAAAAAAACiJOWVNFOldNVCIITllTRTpXTVQBAAAAFCJJUV9CT0FSRF9NRU1CRVJfSUQiEklRX0JPQVJEX01FTUJFUl9JRAIAAAABMgEyAAAAAAMAAAAAAAAACiJOWVNFOldNVCIITllTRTpXTVQBAAAAFCJJUV9CT0FSRF9NRU1CRVJfSUQiEklRX0JPQVJEX01FTUJFUl9JRAIAAAABMwEzAAAAAAMAAAAAAAAACiJOWVNFOldNVCIITllTRTpXTVQBAAAAFCJJUV9CT0FSRF9NRU1CRVJfSUQiEklRX0JPQVJEX01FTUJFUl9JRAIAAAABNAE0AAAAAAMAAAAAAAAACiJOWVNFOldNVCIITllTRTpXTVQBAAAAFCJJUV9CT0FSRF9NRU1CRVJfSUQiEklRX0JPQVJEX01FTUJFUl9JRAIAAAABNQE1AAAAAAMAAAAAAAAACiJOWVNFOldNVCIITllTRTpXTVQBAAAAFCJJUV9CT0FSRF9NRU1CRVJfSUQiEklRX0JPQVJEX01FTUJFUl9JRAIAAAABNgE2AAAAAAMAAAAAAAAACiJOWVNFOldNVCIITllTRTpXTVQBAAAAFCJJUV9CT0FSRF9NRU1CRVJfSUQiEklRX0JPQVJEX01FTUJFUl9JRAIAAAABNwE3AAAAAAMAAAAAAAAACiJOWVNFOldNVCIITllTRTpXTVQBAAAAFCJJUV9CT0FSRF9NRU1CRVJfSUQi</t>
  </si>
  <si>
    <t>EklRX0JPQVJEX01FTUJFUl9JRAIAAAABOAE4AAAAAAMAAAAAAAAACiJOWVNFOldNVCIITllTRTpXTVQBAAAAFCJJUV9CT0FSRF9NRU1CRVJfSUQiEklRX0JPQVJEX01FTUJFUl9JRAIAAAABOQE5AAAAAAMAAAAAAAAACiJOWVNFOldNVCIITllTRTpXTVQBAAAAFCJJUV9CT0FSRF9NRU1CRVJfSUQiEklRX0JPQVJEX01FTUJFUl9JRAIAAAACMTACMTBrONfITg7aCEMtRctODtoIL0NJUVJBTkdFLk5ZU0U6V01ULklRX0JPQVJEX01FTUJFUi4xLjEwLi4uLi5OQU1FAwAAAN/GBAAKAAAAAAAAAAMAAAAAAAAACiJOWVNFOldNVCIITllTRTpXTVQBAAAAESJJUV9CT0FSRF9NRU1CRVIiD0lRX0JPQVJEX01FTUJFUgIAAAABMQExAAAAAAMAAAAAAAAACiJOWVNFOldNVCIITllTRTpXTVQBAAAAESJJUV9CT0FSRF9NRU1CRVIiD0lRX0JPQVJEX01FTUJFUgIAAAABMgEyAAAAAAMAAAAAAAAACiJOWVNFOldNVCIITllTRTpXTVQBAAAAESJJUV9CT0FSRF9NRU1CRVIiD0lRX0JPQVJEX01FTUJFUgIAAAABMwEzAAAAAAMAAAAAAAAACiJOWVNFOldNVCIITllTRTpXTVQBAAAAESJJUV9CT0FSRF9NRU1CRVIiD0lRX0JPQVJEX01FTUJFUgIAAAABNAE0AAAAAAMAAAAAAAAACiJOWVNFOldNVCIITllTRTpXTVQBAAAAESJJUV9CT0FSRF9NRU1CRVIiD0lRX0JPQVJEX01FTUJFUgIAAAABNQE1AAAAAAMAAAAAAAAACiJOWVNF</t>
  </si>
  <si>
    <t>OldNVCIITllTRTpXTVQBAAAAESJJUV9CT0FSRF9NRU1CRVIiD0lRX0JPQVJEX01FTUJFUgIAAAABNgE2AAAAAAMAAAAAAAAACiJOWVNFOldNVCIITllTRTpXTVQBAAAAESJJUV9CT0FSRF9NRU1CRVIiD0lRX0JPQVJEX01FTUJFUgIAAAABNwE3AAAAAAMAAAAAAAAACiJOWVNFOldNVCIITllTRTpXTVQBAAAAESJJUV9CT0FSRF9NRU1CRVIiD0lRX0JPQVJEX01FTUJFUgIAAAABOAE4AAAAAAMAAAAAAAAACiJOWVNFOldNVCIITllTRTpXTVQBAAAAESJJUV9CT0FSRF9NRU1CRVIiD0lRX0JPQVJEX01FTUJFUgIAAAABOQE5AAAAAAMAAAAAAAAACiJOWVNFOldNVCIITllTRTpXTVQBAAAAESJJUV9CT0FSRF9NRU1CRVIiD0lRX0JPQVJEX01FTUJFUgIAAAACMTACMTBrONfITg7aCEMtRctODtoINkNJUVJBTkdFLk5ZU0U6V01ULklRX0JPQVJEX01FTUJFUl9USVRMRS4xLjEwLi4uLi5USVRMRQMAAADfxgQACgAAAAAAAAADAAAAAAAAAAoiTllTRTpXTVQiCE5ZU0U6V01UAQAAABciSVFfQk9BUkRfTUVNQkVSX1RJVExFIhVJUV9CT0FSRF9NRU1CRVJfVElUTEUCAAAAATEBMQAAAAADAAAAAAAAAAoiTllTRTpXTVQiCE5ZU0U6V01UAQAAABciSVFfQk9BUkRfTUVNQkVSX1RJVExFIhVJUV9CT0FSRF9NRU1CRVJfVElUTEUCAAAAATIBMgAAAAADAAAAAAAAAAoiTllTRTpXTVQiCE5ZU0U6V01UAQAAABciSVFfQk9B</t>
  </si>
  <si>
    <t>UkRfTUVNQkVSX1RJVExFIhVJUV9CT0FSRF9NRU1CRVJfVElUTEUCAAAAATMBMwAAAAADAAAAAAAAAAoiTllTRTpXTVQiCE5ZU0U6V01UAQAAABciSVFfQk9BUkRfTUVNQkVSX1RJVExFIhVJUV9CT0FSRF9NRU1CRVJfVElUTEUCAAAAATQBNAAAAAADAAAAAAAAAAoiTllTRTpXTVQiCE5ZU0U6V01UAQAAABciSVFfQk9BUkRfTUVNQkVSX1RJVExFIhVJUV9CT0FSRF9NRU1CRVJfVElUTEUCAAAAATUBNQAAAAADAAAAAAAAAAoiTllTRTpXTVQiCE5ZU0U6V01UAQAAABciSVFfQk9BUkRfTUVNQkVSX1RJVExFIhVJUV9CT0FSRF9NRU1CRVJfVElUTEUCAAAAATYBNgAAAAADAAAAAAAAAAoiTllTRTpXTVQiCE5ZU0U6V01UAQAAABciSVFfQk9BUkRfTUVNQkVSX1RJVExFIhVJUV9CT0FSRF9NRU1CRVJfVElUTEUCAAAAATcBNwAAAAADAAAAAAAAAAoiTllTRTpXTVQiCE5ZU0U6V01UAQAAABciSVFfQk9BUkRfTUVNQkVSX1RJVExFIhVJUV9CT0FSRF9NRU1CRVJfVElUTEUCAAAAATgBOAAAAAADAAAAAAAAAAoiTllTRTpXTVQiCE5ZU0U6V01UAQAAABciSVFfQk9BUkRfTUVNQkVSX1RJVExFIhVJUV9CT0FSRF9NRU1CRVJfVElUTEUCAAAAATkBOQAAAAADAAAAAAAAAAoiTllTRTpXTVQiCE5ZU0U6V01UAQAAABciSVFfQk9BUkRfTUVNQkVSX1RJVExFIhVJUV9CT0FSRF9NRU1CRVJfVElUTEUCAAAAAjEwAjEwazjX</t>
  </si>
  <si>
    <t>yE4O2ghDLUXLTg7aCE1DSVFSQU5HRS5OWVNFOldNVC5JUV9CT0FSRF9NRU1CRVJfQkFDS0dST1VORC4xLjEwLi4uLi5CT0FSRCBNRU1CRVIgQkFDS0dST1VORAMAAADfxgQACgAAAAAAAAADAAAAAAAAAAoiTllTRTpXTVQiCE5ZU0U6V01UAQAAABwiSVFfQk9BUkRfTUVNQkVSX0JBQ0tHUk9VTkQiGklRX0JPQVJEX01FTUJFUl9CQUNLR1JPVU5EAgAAAAExATEAAAAAAwAAAAAAAAAKIk5ZU0U6V01UIghOWVNFOldNVAEAAAAcIklRX0JPQVJEX01FTUJFUl9CQUNLR1JPVU5EIhpJUV9CT0FSRF9NRU1CRVJfQkFDS0dST1VORAIAAAABMgEyAAAAAAMAAAAAAAAACiJOWVNFOldNVCIITllTRTpXTVQBAAAAHCJJUV9CT0FSRF9NRU1CRVJfQkFDS0dST1VORCIaSVFfQk9BUkRfTUVNQkVSX0JBQ0tHUk9VTkQCAAAAATMBMwAAAAADAAAAAAAAAAoiTllTRTpXTVQiCE5ZU0U6V01UAQAAABwiSVFfQk9BUkRfTUVNQkVSX0JBQ0tHUk9VTkQiGklRX0JPQVJEX01FTUJFUl9CQUNLR1JPVU5EAgAAAAE0ATQAAAAAAwAAAAAAAAAKIk5ZU0U6V01UIghOWVNFOldNVAEAAAAcIklRX0JPQVJEX01FTUJFUl9CQUNLR1JPVU5EIhpJUV9CT0FSRF9NRU1CRVJfQkFDS0dST1VORAIAAAABNQE1AAAAAAMAAAAAAAAACiJOWVNFOldNVCIITllTRTpXTVQBAAAAHCJJUV9CT0FSRF9NRU1CRVJfQkFDS0dST1VORCIaSVFfQk9BUkRfTUVN</t>
  </si>
  <si>
    <t>QkVSX0JBQ0tHUk9VTkQCAAAAATYBNgAAAAADAAAAAAAAAAoiTllTRTpXTVQiCE5ZU0U6V01UAQAAABwiSVFfQk9BUkRfTUVNQkVSX0JBQ0tHUk9VTkQiGklRX0JPQVJEX01FTUJFUl9CQUNLR1JPVU5EAgAAAAE3ATcAAAAAAwAAAAAAAAAKIk5ZU0U6V01UIghOWVNFOldNVAEAAAAcIklRX0JPQVJEX01FTUJFUl9CQUNLR1JPVU5EIhpJUV9CT0FSRF9NRU1CRVJfQkFDS0dST1VORAIAAAABOAE4AAAAAAMAAAAAAAAACiJOWVNFOldNVCIITllTRTpXTVQBAAAAHCJJUV9CT0FSRF9NRU1CRVJfQkFDS0dST1VORCIaSVFfQk9BUkRfTUVNQkVSX0JBQ0tHUk9VTkQCAAAAATkBOQAAAAADAAAAAAAAAAoiTllTRTpXTVQiCE5ZU0U6V01UAQAAABwiSVFfQk9BUkRfTUVNQkVSX0JBQ0tHUk9VTkQiGklRX0JPQVJEX01FTUJFUl9CQUNLR1JPVU5EAgAAAAIxMAIxMGs418hODtoIQy1Fy04O2ggeQ0lRLk5ZU0U6V01ULklRX0FWR19CUk9LRVJfUkVDAQAAAN/GBAADAAAACk91dHBlcmZvcm0AazjXyE4O2gjArUXLTg7aCCFDSVEuTllTRTpXTVQuSVFfQVZHX0JST0tFUl9SRUNfTk8BAAAA38YEAAIAAAAHMS43NTY3NgEOAAAABQAAAAE4AQAAAAcyNjYzMjIyAgAAAAYyNjQzOTgDAAAABjEwMDE2MAQAAAADMjU1BgAAAAEwBwAAAAEwCAAAAAEwCQAAAAExCgAAAAEwCwAAAAsxMjc5OTE0ODM3MAwAAAABOA0AAAAJMy8yNi8y</t>
  </si>
  <si>
    <t>MDIyEAAAAAkzLzI1LzIwMjJrONfITg7aCMCtRctODtoIQENJUVJBTkdFLk5ZU0U6V01ULklRX0lOREVYX01FTUJFUl9JRC4xLjMuLi4uLklOREVYIE1FTUJFUlNISVAgSUQEAAAA38YEAAMAAAADAAAACUlRMjY2Nzc2OAMAAAAJSVEyNjY3Njc1AwAAAApJUTI3NTgwNTgweF/XyE4O2ghDLUXLTg7aCBFDSVEuLklRX1BCVi4yMDAwLgUAAAABAAAACAAAABQoSW52YWxpZCBJZGVudGlmaWVyKQbG5cpODtoIBsblyk4O2ggaQ0lRLi5JUV9QQlYuMjAwMC4zLzI1LzIwMjIFAAAAAAAAAAgAAAAUKEludmFsaWQgSWRlbnRpZmllciniBqDKTg7aCL1MPstODtoIJkNJUS4uSVFfTUtUQ0FQX0VCVF9FWENMLjIwMDAuMy8yNS8yMDIyBQAAAAAAAAAIAAAAFChJbnZhbGlkIElkZW50aWZpZXIp4gagyk4O2gi9TD7LTg7aCCVDSVEuTkFTREFRR1M6Q09TVC5JUV9QUklNQVJZX0lORFVTVFJZAQAAAJFqAQADAAAAHkh5cGVybWFya2V0cyBhbmQgU3VwZXIgQ2VudGVycwDiBqDKTg7aCFmMV8tODtoINUNJUS5JUTMxMzg5NjY2Ni5JUV9JTkRJVklEVUFMX1BSSU9SX0JPQVJEX01FTUJFUlNISVBTAQAAAH8mrBIDAAAAAADiBqDKTg7aCO2QRMtODtoIK0NJUS5JUTU4NjkyMjY4My5JUV9JTkRJVklEVUFMX0pPQl9GVU5DVElPTlMBAAAAAnRPAgMAAABYIEhlYWQgb2YgSW52ZXN0b3IgUmVsYXRpb25zLCBJbnZlc3RvciBSZWxh</t>
  </si>
  <si>
    <t>dGlvbnMgUHJvZmVzc2lvbmFsLCBPdGhlciBLZXkgRXhlY3V0aXZlKFByaW9yKQDiBqDKTg7aCO2QRMtODtoINENJUS5JUTIxOTU4NTE1LklRX0lORElWSURVQUxfQUNUSVZFX1BST19BRkZJTElBVElPTlMBAAAAcg9PAQMAAAAMV2FsbWFydCBJbmMuACFJ6MpODtoIFt9Ey04O2gg0Q0lRLklRMjc4MzA1MzYyLklRX0lORElWSURVQUxfUFJJT1JfUFJPX0FGRklMSUFUSU9OUwEAAAB9kgIAAwAAAFVBbWVyaWNhbiBBaXJsaW5lcyBHcm91cCBJbmMuLCBBbWVyaWNhbiBBaXJsaW5lcywgSW5jLiwgQVQmVCBDb3JwLiwgV2FyYnVyZyBQaW5jdXMgTExDAOIGoMpODtoI7ZBEy04O2gg1Q0lRLklRNDI4MzM5NzM2LklRX0lORElWSURVQUxfQUNUSVZFX1BST19BRkZJTElBVElPTlMBAAAANj5MAgMAAAAAAOIGoMpODtoI7ZBEy04O2gg0Q0lRLklRMjY3NDQ3MTYwLklRX0lORElWSURVQUxfUFJJT1JfUFJPX0FGRklMSUFUSU9OUwEAAADw3fYGAwAAAD5BU0RBIEdyb3VwIExpbWl0ZWQsIEFzZGEgU3RvcmVzIExpbWl0ZWQsIFdhbC1NYXJ0LmNvbSBVU0EsIExMQwDiBqDKTg7aCO2QRMtODtoIM0NJUS5JUTIxOTU4NTE1LklRX0lORElWSURVQUxfUFJJT1JfUFJPX0FGRklMSUFUSU9OUwEAAAByD08BAwAAAHtTYW0ncyBXZXN0LCBJbmMuLCBXYWwtTWFydCBDYW5hZGEgQ29ycC4sIFdhbC1NYXJ0IGRlIE3DqXhpY28s</t>
  </si>
  <si>
    <t>IFMuQS5CLiBkZSBDLlYuLCBXYWwtTWFydCBJbnRlcm5hdGlvbmFsLCBXYWwtTWFydC5jb20gVVNBLCBMTEMAIUnoyk4O2ggkBkXLTg7aCDRDSVEuSVE0MjgzMzk3MzYuSVFfSU5ESVZJRFVBTF9QUklPUl9QUk9fQUZGSUxJQVRJT05TAQAAADY+TAIDAAAAM01vcmdhbiBTdGFubGV5LCBUaGUgQXBvbGxvIFRoZWF0ZXIgRm91bmRhdGlvbiwgSW5jLgDiBqDKTg7aCO2QRMtODtoIIkNJUS5OWVNFOldNVC5JUV9MQVNUU0FMRVBSSUNFLi5VU0QBAAAA38YEAAIAAAAFMTQzLjgA4gagyk4O2gjiBqDKTg7aCB5DSVEuTllTRTpXTVQuSVFfTUFSS0VUQ0FQLi5VU0QBAAAA38YEAAIAAAAMMzkzMDM2LjY4NDQxAQYAAAAFAAAAATEBAAAACy0yMTA3Njg2MDEwAwAAAAMxNjACAAAABjEwMDA1NAQAAAABMAcAAAAJMy8yNC8yMDIy4gagyk4O2gjiBqDKTg7aCClDSVEuTkFTREFRR1M6Q09TVC5JUV9MQVNUU0FMRVBSSUNFLi5VU0QuSAEAAACRagEAAgAAAAY1NTcuNjEA4gagyk4O2ggt9V3LTg7aCBhDSVEuSVFUMjYxMzgxMDE3LklRX0lTSU4BAAAA38YEAAMAAAAOSV9YUzEwNTQ1Mjg0NTcA4gagyk4O2gjt61LLTg7aCBhDSVEuSVFUNDM0MjIxNjkzLklRX0lTSU4BAAAA38YEAAMAAAAOSV9YUzE2NDU2ODM4NTIA4gagyk4O2ghe+FLLTg7aCBhDSVEuSVFUNTQwNTkxNTg4LklRX0lTSU4BAAAA38YEAAMAAAAOSV9VUzkz</t>
  </si>
  <si>
    <t>MTE0MkRVNDgA4gagyk4O2gj4C1PLTg7aCBhDSVEuSVFUMjM1NTE4MzQ1LklRX0lTSU4BAAAA38YEAAMAAAAOSV9VUzkzMTE0MkRIMzcA4gagyk4O2gh6H1PLTg7aCBhDSVEuSVFUNTcxMzgwNDExLklRX0lTSU4BAAAA38YEAAMAAAAOSV9VUzkzMTE0MkVLNTYA4gagyk4O2gj9MlPLTg7aCCFDSVEuTkFTREFRR1M6Q09TVC5JUV9DT01QQU5ZX05BTUUBAAAAkWoBAAMAAAAcQ29zdGNvIFdob2xlc2FsZSBDb3Jwb3JhdGlvbgDiBqDKTg7aCFmMV8tODtoIHkNJUS5OQVNEQVFHUzpDT1NULklRX0VNUExPWUVFUwEAAACRagEAAQAAAAYyODgwMDAA4gagyk4O2ghPZVfLTg7aCB5DSVEuSVFUMjM1NTE4MzQ1LklRX0lTU1VFX05BTUUBAAAA38YEAAMAAAAbR0xPQkFMIE5UIDIuNTUwIEFwci0xMS0yMDIzAOIGoMpODtoI+AtTy04O2ggeQ0lRLklRVDI2MTM4MTAxOC5JUV9JU1NVRV9OQU1FAQAAAN/GBAADAAAAH0VVUiQgR0xPQkFMIE5UIDIuNTUwIEFwci04LTIwMjYA4gagyk4O2ghRaUTLTg7aCB5DSVEuSVFUNTcxMzgwNDExLklRX0lTU1VFX05BTUUBAAAA38YEAAMAAAAbR0xPQkFMIE5UIDMuNDAwIEp1bi0yNi0yMDIzAOIGoMpODtoI/TJTy04O2ggeQ0lRLklRVDYxMDgxOTI5MC5JUV9JU1NVRV9OQU1FAQAAAN/GBAADAAAAGkdMT0JBTCBOVCAzLjA1MCBKdWwtOC0yMDI2AOIGoMpODtoIUWlEy04O2ggfQ0lR</t>
  </si>
  <si>
    <t>LklRVDE2ODE0MTA3NDguSVFfSVNTVUVfTkFNRQEAAADfxgQAAwAAAA1TUiBHTEJMIE5UIDI2AOIGoMpODtoIUWlEy04O2ggeQ0lRLklRVDI2MjE3NTIwMC5JUV9JU1NVRV9OQU1FAQAAAN/GBAADAAAAG0dMT0JBTCBOVCAzLjMwMCBBcHItMjItMjAyNADiBqDKTg7aCFFpRMtODtoIHkNJUS5JUVQ2MTA4MTkyODkuSVFfSVNTVUVfTkFNRQEAAADfxgQAAwAAABpHTE9CQUwgTlQgMi44NTAgSnVsLTgtMjAyNADiBqDKTg7aCFFpRMtODtoIHkNJUS5JUVQ1Mjk1MjcxMTkuSVFfSVNTVUVfTkFNRQEAAADfxgQAAwAAABxKUFkkIFNSIE5UIDAuMjk4IEp1bC0xOC0yMDI0AOIGoMpODtoIUWlEy04O2ggeQ0lRLklRVDU0MDU5MTU4OC5JUV9JU1NVRV9OQU1FAQAAAN/GBAADAAAAFE5UIDIuMzUwIERlYy0xNS0yMDIyAOIGoMpODtoIXvhSy04O2ggdQ0lRLklRVDE0MjAyMDY5LklRX0lTU1VFX05BTUUBAAAA38YEAAMAAAAVREVCIDYuNzUwIE9jdC0xNS0yMDIzAOIGoMpODtoIUWlEy04O2ggeQ0lRLklRVDI2MTM4MTAxNy5JUV9JU1NVRV9OQU1FAQAAAN/GBAADAAAAH0VVUiQgR0xPQkFMIE5UIDEuOTAwIEFwci04LTIwMjIA4gagyk4O2gjt61LLTg7aCB5DSVEuSVFUNTcxMzgwNDA1LklRX0lTU1VFX05BTUUBAAAA38YEAAMAAAAbR0xPQkFMIE5UIDMuNTUwIEp1bi0yNi0yMDI1AOIGoMpODtoIUWlEy04O2ggeQ0lR</t>
  </si>
  <si>
    <t>LklRVDU0MDU5MjU2NC5JUV9JU1NVRV9OQU1FAQAAAN/GBAADAAAAFE5UIDIuNjUwIERlYy0xNS0yMDI0AOIGoMpODtoIUWlEy04O2ggeQ0lRLklRVDQzNDIyMTY5My5JUV9JU1NVRV9OQU1FAQAAAN/GBAADAAAAHEpQWSQgU1IgTlQgMC4xODMgSnVsLTE1LTIwMjIA4gagyk4O2ghe+FLLTg7aCCFDSVEuSVFUMjYxMzgxMDE3LklRX1NFQ1VSSVRZX1RZUEUBAAAA38YEAAMAAAAaRm9yZWlnbiBDdXJyZW5jeSBEZWJlbnR1cmUA4gagyk4O2ghc8VLLTg7aCCJDSVEuSVFUMjYxMzgxMDE3LklRX1NFQ1VSSVRZX0xFVkVMAQAAAN/GBAADAAAAEFNlbmlvciBVbnNlY3VyZWQA4gagyk4O2ghc8VLLTg7aCCFDSVEuSVFUMjYxMzgxMDE3LklRX01BVFVSSVRZX0RBVEUBAAAA38YEAAUAAAAINC84LzIwMjIA4gagyk4O2ghc8VLLTg7aCBtDSVEuSVFUMjYxMzgxMDE3LklRX0FNVF9PVVQBAAAA38YEAAIAAAALMTE3My42Mjc4OTEA4gagyk4O2gjt61LLTg7aCCFDSVEuSVFUNDM0MjIxNjkzLklRX1NFQ1VSSVRZX1RZUEUBAAAA38YEAAMAAAAaRm9yZWlnbiBDdXJyZW5jeSBEZWJlbnR1cmUA4gagyk4O2ghe+FLLTg7aCBtDSVEuSVFUNDM0MjIxNjkzLklRX0FNVF9PVVQBAAAA38YEAAIAAAAJNjEzLjQ5Njk0AOIGoMpODtoIXvhSy04O2ggiQ0lRLklRVDQzNDIyMTY5My5JUV9TRUNVUklUWV9MRVZFTAEAAADfxgQAAwAA</t>
  </si>
  <si>
    <t>ABBTZW5pb3IgVW5zZWN1cmVkAOIGoMpODtoIXvhSy04O2gghQ0lRLklRVDQzNDIyMTY5My5JUV9NQVRVUklUWV9EQVRFAQAAAN/GBAAFAAAACTcvMTUvMjAyMgDiBqDKTg7aCF74UstODtoIIUNJUS5JUVQ1NDA1OTE1ODguSVFfU0VDVVJJVFlfVFlQRQEAAADfxgQAAwAAABRDb3Jwb3JhdGUgRGViZW50dXJlcwDiBqDKTg7aCPgLU8tODtoIIkNJUS5JUVQ1NDA1OTE1ODguSVFfU0VDVVJJVFlfTEVWRUwBAAAA38YEAAMAAAAQU2VuaW9yIFVuc2VjdXJlZADiBqDKTg7aCPgLU8tODtoIG0NJUS5JUVQ1NDA1OTE1ODguSVFfQU1UX09VVAEAAADfxgQAAgAAAAQxMjUwAOIGoMpODtoI+AtTy04O2gghQ0lRLklRVDU0MDU5MTU4OC5JUV9NQVRVUklUWV9EQVRFAQAAAN/GBAAFAAAACjEyLzE1LzIwMjIA4gagyk4O2gj4C1PLTg7aCCFDSVEuSVFUMjM1NTE4MzQ1LklRX1NFQ1VSSVRZX1RZUEUBAAAA38YEAAMAAAAUQ29ycG9yYXRlIERlYmVudHVyZXMA4gagyk4O2gh6H1PLTg7aCCJDSVEuSVFUMjM1NTE4MzQ1LklRX1NFQ1VSSVRZX0xFVkVMAQAAAN/GBAADAAAAEFNlbmlvciBVbnNlY3VyZWQA4gagyk4O2gh6H1PLTg7aCBtDSVEuSVFUMjM1NTE4MzQ1LklRX0FNVF9PVVQBAAAA38YEAAIAAAAEMTc1MADiBqDKTg7aCP0yU8tODtoIIUNJUS5JUVQyMzU1MTgzNDUuSVFfTUFUVVJJVFlfREFURQEAAADfxgQABQAA</t>
  </si>
  <si>
    <t>AAk0LzExLzIwMjMA4gagyk4O2gj9MlPLTg7aCCFDSVEuSVFUNTcxMzgwNDExLklRX1NFQ1VSSVRZX1RZUEUBAAAA38YEAAMAAAAUQ29ycG9yYXRlIERlYmVudHVyZXMA4gagyk4O2gj9MlPLTg7aCCFDSVEuSVFUNTcxMzgwNDExLklRX01BVFVSSVRZX0RBVEUBAAAA38YEAAUAAAAJNi8yNi8yMDIzAOIGoMpODtoI/TJTy04O2ggiQ0lRLklRVDU3MTM4MDQxMS5JUV9TRUNVUklUWV9MRVZFTAEAAADfxgQAAwAAABBTZW5pb3IgVW5zZWN1cmVkAOIGoMpODtoI/TJTy04O2ggbQ0lRLklRVDU3MTM4MDQxMS5JUV9BTVRfT1VUAQAAAN/GBAACAAAACDIyODAuMTU0AOIGoMpODtoI/TJTy04O2ggjQ0lRLklRVDI2MTM4MTAxNy5JUV9TUF9JU1NVRV9SQVRJTkcBAAAA38YEAAMAAAAAAOIGoMpODtoIjrVSy04O2ggjQ0lRLklRVDQzNDIyMTY5My5JUV9TUF9JU1NVRV9SQVRJTkcBAAAA38YEAAMAAAAAAOIGoMpODtoIXvhSy04O2ggjQ0lRLklRVDU0MDU5MTU4OC5JUV9TUF9JU1NVRV9SQVRJTkcBAAAA38YEAAMAAAACQUEA4gagyk4O2ghe+FLLTg7aCCNDSVEuSVFUMjM1NTE4MzQ1LklRX1NQX0lTU1VFX1JBVElORwEAAADfxgQAAwAAAAJBQQDiBqDKTg7aCHofU8tODtoII0NJUS5JUVQ1NzEzODA0MTEuSVFfU1BfSVNTVUVfUkFUSU5HAQAAAN/GBAADAAAAAkFBAOIGoMpODtoI/TJTy04O2ggyQ0lRLk5ZU0U6V01U</t>
  </si>
  <si>
    <t>LklRX1RPVEFMX1JFVl8xWVJfQU5OX0dST1dUSC5JUV9MVE0uLkwBAAAA38YEAAIAAAAGMi40MzI3AQgAAAAFAAAAATEBAAAACy0yMTA3Njg2MDA4AwAAAAMxNjACAAAABDQxOTQEAAAAATAHAAAACTMvMjUvMjAyMggAAAAJMS8zMS8yMDIyCQAAAAEw4gagyk4O2gjiBqDKTg7aCDNDSVEuTllTRTpXTVQuSVFfVE9UQUxfQkFOS19DQVBJVEFMLklRX0ZZLTYuLkwuRi5VU0QBAAAA38YEAAMAAAAAAAMuoMpODtoIAy6gyk4O2ggrQ0lRLk5ZU0U6V01ULklRX0NBU0hfRVFVSVYuSVFfRlktNS4uTC5GLlVTRAEAAADfxgQAAgAAAAQ2ODY3AQgAAAAFAAAAATEBAAAACjE5NTE1NDAzMzUDAAAAAzE2MAIAAAAEMTA5NgQAAAABMAcAAAAJMy8yNS8yMDIyCAAAAAkxLzMxLzIwMTcJAAAAATADLqDKTg7aCAMuoMpODtoIK0NJUS5OWVNFOldNVC5JUV9DQVNIX0VRVUlWLklRX0ZZLTQuLkwuRi5VU0QBAAAA38YEAAIAAAAENjc1NgEIAAAABQAAAAExAQAAAAoyMDIzMjQ5NjExAwAAAAMxNjACAAAABDEwOTYEAAAAATAHAAAACTMvMjUvMjAyMggAAAAJMS8zMS8yMDE4CQAAAAEwAy6gyk4O2ggDLqDKTg7aCCtDSVEuTllTRTpXTVQuSVFfQ0FTSF9FUVVJVi5JUV9GWS0zLi5MLkYuVVNEAQAAAN/GBAACAAAABDc3MjIBCAAAAAUAAAABMQEAAAAKMjA4NTEzMjkzMAMAAAADMTYwAgAAAAQxMDk2BAAAAAEwBwAAAAkzLzI1LzIw</t>
  </si>
  <si>
    <t>MjIIAAAACTEvMzEvMjAxOQkAAAABMAMuoMpODtoIAy6gyk4O2ggrQ0lRLk5ZU0U6V01ULklRX0NBU0hfRVFVSVYuSVFfRlktMi4uTC5GLlVTRAEAAADfxgQAAgAAAAQ5NDY1AQgAAAAFAAAAATEBAAAACy0yMTA3Njg2MjkxAwAAAAMxNjACAAAABDEwOTYEAAAAATAHAAAACTMvMjUvMjAyMggAAAAJMS8zMS8yMDIwCQAAAAEwAy6gyk4O2ggDLqDKTg7aCCtDSVEuTllTRTpXTVQuSVFfQ0FTSF9FUVVJVi5JUV9GWS0xLi5MLkYuVVNEAQAAAN/GBAACAAAABTE3NzQxAQgAAAAFAAAAATEBAAAACy0yMTA3Njg2MjgxAwAAAAMxNjACAAAABDEwOTYEAAAAATAHAAAACTMvMjUvMjAyMggAAAAJMS8zMS8yMDIxCQAAAAEwAy6gyk4O2ggDLqDKTg7aCClDSVEuTllTRTpXTVQuSVFfQ0FTSF9FUVVJVi5JUV9GWS4uTC5GLlVTRAEAAADfxgQAAgAAAAUxNDc2MAEIAAAABQAAAAExAQAAAAstMjEwNzY4NjI4MgMAAAADMTYwAgAAAAQxMDk2BAAAAAEwBwAAAAkzLzI1LzIwMjIIAAAACTEvMzEvMjAyMgkAAAABMAMuoMpODtoIAy6gyk4O2gg1Q0lRLk5ZU0U6V01ULklRX05PTl9QRVJGT1JNSU5HX0xPQU5TLklRX0ZZLTYuLkwuRi5VU0QBAAAA38YEAAMAAAAAAAMuoMpODtoIAy6gyk4O2gg1Q0lRLk5ZU0U6V01ULklRX05PTl9QRVJGT1JNSU5HX0xPQU5TLklRX0ZZLTUuLkwuRi5VU0QBAAAA38YEAAMAAAAAAAMuoMpODtoI</t>
  </si>
  <si>
    <t>Ay6gyk4O2gg1Q0lRLk5ZU0U6V01ULklRX05PTl9QRVJGT1JNSU5HX0xPQU5TLklRX0ZZLTQuLkwuRi5VU0QBAAAA38YEAAMAAAAAAAMuoMpODtoIAy6gyk4O2gg1Q0lRLk5ZU0U6V01ULklRX05PTl9QRVJGT1JNSU5HX0xPQU5TLklRX0ZZLTMuLkwuRi5VU0QBAAAA38YEAAMAAAAAAAMuoMpODtoIAy6gyk4O2gg1Q0lRLk5ZU0U6V01ULklRX05PTl9QRVJGT1JNSU5HX0xPQU5TLklRX0ZZLTIuLkwuRi5VU0QBAAAA38YEAAMAAAAAAAMuoMpODtoIAy6gyk4O2gg1Q0lRLk5ZU0U6V01ULklRX05PTl9QRVJGT1JNSU5HX0xPQU5TLklRX0ZZLTEuLkwuRi5VU0QBAAAA38YEAAMAAAAAAAMuoMpODtoIAy6gyk4O2ggzQ0lRLk5ZU0U6V01ULklRX05PTl9QRVJGT1JNSU5HX0xPQU5TLklRX0ZZLi5MLkYuVVNEAQAAAN/GBAADAAAAAAADLqDKTg7aCAMuoMpODtoIKUNJUS5OWVNFOldNVC5JUV9BTExPV19MTC5JUV9GWS02Li5MLkYuVVNEAQAAAN/GBAADAAAAAAADLqDKTg7aCAMuoMpODtoIKUNJUS5OWVNFOldNVC5JUV9BTExPV19MTC5JUV9GWS01Li5MLkYuVVNEAQAAAN/GBAADAAAAAAADLqDKTg7aCAMuoMpODtoIKUNJUS5OWVNFOldNVC5JUV9BTExPV19MTC5JUV9GWS00Li5MLkYuVVNEAQAAAN/GBAADAAAAAAADLqDKTg7aCAMuoMpODtoIKUNJUS5OWVNFOldNVC5JUV9BTExPV19MTC5JUV9GWS0zLi5MLkYu</t>
  </si>
  <si>
    <t>VVNEAQAAAN/GBAADAAAAAAADLqDKTg7aCAMuoMpODtoIKUNJUS5OWVNFOldNVC5JUV9BTExPV19MTC5JUV9GWS0yLi5MLkYuVVNEAQAAAN/GBAADAAAAAAADLqDKTg7aCAMuoMpODtoIKUNJUS5OWVNFOldNVC5JUV9BTExPV19MTC5JUV9GWS0xLi5MLkYuVVNEAQAAAN/GBAADAAAAAAADLqDKTg7aCAMuoMpODtoIJ0NJUS5OWVNFOldNVC5JUV9BTExPV19MTC5JUV9GWS4uTC5GLlVTRAEAAADfxgQAAwAAAAAAAy6gyk4O2ggDLqDKTg7aCCxDSVEuTllTRTpXTVQuSVFfVE9UQUxfTE9BTlMuSVFfRlktNi4uTC5GLlVTRAEAAADfxgQAAwAAAAAAEVWgyk4O2ggRVaDKTg7aCCxDSVEuTllTRTpXTVQuSVFfVE9UQUxfTE9BTlMuSVFfRlktNS4uTC5GLlVTRAEAAADfxgQAAwAAAAAAEVWgyk4O2ggRVaDKTg7aCCxDSVEuTllTRTpXTVQuSVFfVE9UQUxfTE9BTlMuSVFfRlktNC4uTC5GLlVTRAEAAADfxgQAAwAAAAAAEVWgyk4O2ggRVaDKTg7aCCxDSVEuTllTRTpXTVQuSVFfVE9UQUxfTE9BTlMuSVFfRlktMy4uTC5GLlVTRAEAAADfxgQAAwAAAAAAEVWgyk4O2ggRVaDKTg7aCCxDSVEuTllTRTpXTVQuSVFfVE9UQUxfTE9BTlMuSVFfRlktMi4uTC5GLlVTRAEAAADfxgQAAwAAAAAAEVWgyk4O2ggRVaDKTg7aCCxDSVEuTllTRTpXTVQuSVFfVE9UQUxfTE9BTlMuSVFfRlktMS4uTC5GLlVTRAEAAADfxgQAAwAAAAAA</t>
  </si>
  <si>
    <t>EVWgyk4O2ggRVaDKTg7aCCpDSVEuTllTRTpXTVQuSVFfVE9UQUxfTE9BTlMuSVFfRlkuLkwuRi5VU0QBAAAA38YEAAMAAAAAABFVoMpODtoIEVWgyk4O2ggwQ0lRLk5ZU0U6V01ULklRX05FVF9ERUJUX0VCSVREQS5JUV9GWS02Li5MLkYuVVNEAQAAAN/GBAACAAAACDEuMjUzNTIzAQgAAAAFAAAAATEBAAAACjE4ODA3MTg3NjIDAAAAAzE2MAIAAAAENDE5MwQAAAABMAcAAAAJMy8yNS8yMDIyCAAAAAkxLzMxLzIwMTYJAAAAATADLqDKTg7aCAMuoMpODtoIMENJUS5OWVNFOldNVC5JUV9ORVRfREVCVF9FQklUREEuSVFfRlktNS4uTC5GLlVTRAEAAADfxgQAAgAAAAgxLjIwODc3NAEIAAAABQAAAAExAQAAAAoxOTUxNTQwMzM1AwAAAAMxNjACAAAABDQxOTMEAAAAATAHAAAACTMvMjUvMjAyMggAAAAJMS8zMS8yMDE3CQAAAAEwAy6gyk4O2ggDLqDKTg7aCDBDSVEuTllTRTpXTVQuSVFfTkVUX0RFQlRfRUJJVERBLklRX0ZZLTQuLkwuRi5VU0QBAAAA38YEAAIAAAAIMS4yNjg1NzUBCAAAAAUAAAABMQEAAAAKMjAyMzI0OTYxMQMAAAADMTYwAgAAAAQ0MTkzBAAAAAEwBwAAAAkzLzI1LzIwMjIIAAAACTEvMzEvMjAxOAkAAAABMAMuoMpODtoIAy6gyk4O2ggwQ0lRLk5ZU0U6V01ULklRX05FVF9ERUJUX0VCSVREQS5JUV9GWS0zLi5MLkYuVVNEAQAAAN/GBAACAAAACDEuNTU0NzQxAQgAAAAFAAAAATEBAAAA</t>
  </si>
  <si>
    <t>CjIwODUxMzI5MzADAAAAAzE2MAIAAAAENDE5MwQAAAABMAcAAAAJMy8yNS8yMDIyCAAAAAkxLzMxLzIwMTkJAAAAATADLqDKTg7aCAMuoMpODtoIMENJUS5OWVNFOldNVC5JUV9ORVRfREVCVF9FQklUREEuSVFfRlktMi4uTC5GLlVTRAEAAADfxgQAAgAAAAgxLjc3NzUyOQEIAAAABQAAAAExAQAAAAstMjEwNzY4NjI5MQMAAAADMTYwAgAAAAQ0MTkzBAAAAAEwBwAAAAkzLzI1LzIwMjIIAAAACTEvMzEvMjAyMAkAAAABMAMuoMpODtoIAy6gyk4O2ggwQ0lRLk5ZU0U6V01ULklRX05FVF9ERUJUX0VCSVREQS5JUV9GWS0xLi5MLkYuVVNEAQAAAN/GBAACAAAABzEuMTA1OTIBCAAAAAUAAAABMQEAAAALLTIxMDc2ODYyODEDAAAAAzE2MAIAAAAENDE5MwQAAAABMAcAAAAJMy8yNS8yMDIyCAAAAAkxLzMxLzIwMjEJAAAAATADLqDKTg7aCAMuoMpODtoILkNJUS5OWVNFOldNVC5JUV9ORVRfREVCVF9FQklUREEuSVFfRlkuLkwuRi5VU0QBAAAA38YEAAIAAAAHMS4wOTk3OAEIAAAABQAAAAExAQAAAAstMjEwNzY4NjI4MgMAAAADMTYwAgAAAAQ0MTkzBAAAAAEwBwAAAAkzLzI1LzIwMjIIAAAACTEvMzEvMjAyMgkAAAABMAMuoMpODtoIAy6gyk4O2ggyQ0lRLk5ZU0U6V01ULklRX1RPVEFMX0RFQlRfRUJJVERBLklRX0ZZLTYuLkwuRi5VU0QBAAAA38YEAAIAAAAIMS41MTI5MTcBCAAAAAUAAAABMQEAAAAKMTg4</t>
  </si>
  <si>
    <t>MDcxODc2MgMAAAADMTYwAgAAAAQ0MTkyBAAAAAEwBwAAAAkzLzI1LzIwMjIIAAAACTEvMzEvMjAxNgkAAAABMAMuoMpODtoIAy6gyk4O2ggyQ0lRLk5ZU0U6V01ULklRX1RPVEFMX0RFQlRfRUJJVERBLklRX0ZZLTUuLkwuRi5VU0QBAAAA38YEAAIAAAAIMS40MTc4NTQBCAAAAAUAAAABMQEAAAAKMTk1MTU0MDMzNQMAAAADMTYwAgAAAAQ0MTkyBAAAAAEwBwAAAAkzLzI1LzIwMjIIAAAACTEvMzEvMjAxNwkAAAABMAMuoMpODtoIAy6gyk4O2ggyQ0lRLk5ZU0U6V01ULklRX1RPVEFMX0RFQlRfRUJJVERBLklRX0ZZLTQuLkwuRi5VU0QBAAAA38YEAAIAAAAIMS40ODMyODMBCAAAAAUAAAABMQEAAAAKMjAyMzI0OTYxMQMAAAADMTYwAgAAAAQ0MTkyBAAAAAEwBwAAAAkzLzI1LzIwMjIIAAAACTEvMzEvMjAxOAkAAAABMAMuoMpODtoIAy6gyk4O2ggyQ0lRLk5ZU0U6V01ULklRX1RPVEFMX0RFQlRfRUJJVERBLklRX0ZZLTMuLkwuRi5VU0QBAAAA38YEAAIAAAAIMS43OTEzNTgBCAAAAAUAAAABMQEAAAAKMjA4NTEzMjkzMAMAAAADMTYwAgAAAAQ0MTkyBAAAAAEwBwAAAAkzLzI1LzIwMjIIAAAACTEvMzEvMjAxOQkAAAABMAMuoMpODtoIAy6gyk4O2ggyQ0lRLk5ZU0U6V01ULklRX1RPVEFMX0RFQlRfRUJJVERBLklRX0ZZLTIuLkwuRi5VU0QBAAAA38YEAAIAAAAIMi4wNDE3OTYBCAAAAAUAAAABMQEAAAAL</t>
  </si>
  <si>
    <t>LTIxMDc2ODYyOTEDAAAAAzE2MAIAAAAENDE5MgQAAAABMAcAAAAJMy8yNS8yMDIyCAAAAAkxLzMxLzIwMjAJAAAAATADLqDKTg7aCAMuoMpODtoIMkNJUS5OWVNFOldNVC5JUV9UT1RBTF9ERUJUX0VCSVREQS5JUV9GWS0xLi5MLkYuVVNEAQAAAN/GBAACAAAACDEuNTMzMzgzAQgAAAAFAAAAATEBAAAACy0yMTA3Njg2MjgxAwAAAAMxNjACAAAABDQxOTIEAAAAATAHAAAACTMvMjUvMjAyMggAAAAJMS8zMS8yMDIxCQAAAAEwAy6gyk4O2ggDLqDKTg7aCDBDSVEuTllTRTpXTVQuSVFfVE9UQUxfREVCVF9FQklUREEuSVFfRlkuLkwuRi5VU0QBAAAA38YEAAIAAAAIMS40NzE1OTcBCAAAAAUAAAABMQEAAAALLTIxMDc2ODYyODIDAAAAAzE2MAIAAAAENDE5MgQAAAABMAcAAAAJMy8yNS8yMDIyCAAAAAkxLzMxLzIwMjIJAAAAATADLqDKTg7aCAMuoMpODtoINkNJUS5OWVNFOldNVC5JUV9ORVRfREVCVF9FQklUREFfQ0FQRVguSVFfRlktMS4uTC5GLlVTRAEAAADfxgQAAgAAAAgxLjQ2OTI4NQEIAAAABQAAAAExAQAAAAstMjEwNzY4NjI4MQMAAAADMTYwAgAAAAUyMzMxNAQAAAABMAcAAAAJMy8yNS8yMDIyCAAAAAkxLzMxLzIwMjEJAAAAATDiBqDKTg7aCOIGoMpODtoINENJUS5OWVNFOldNVC5JUV9ORVRfREVCVF9FQklUREFfQ0FQRVguSVFfRlkuLkwuRi5VU0QBAAAA38YEAAIAAAAIMS42NDE4MzMBCAAA</t>
  </si>
  <si>
    <t>AAUAAAABMQEAAAALLTIxMDc2ODYyODIDAAAAAzE2MAIAAAAFMjMzMTQEAAAAATAHAAAACTMvMjUvMjAyMggAAAAJMS8zMS8yMDIyCQAAAAEw4gagyk4O2gjiBqDKTg7aCDhDSVEuTllTRTpXTVQuSVFfVE9UQUxfREVCVF9FQklUREFfQ0FQRVguSVFfRlktNC4uTC5GLlVTRAEAAADfxgQAAgAAAAgyLjE3OTQ1MwEIAAAABQAAAAExAQAAAAoyMDIzMjQ5NjExAwAAAAMxNjACAAAABTIzMzEzBAAAAAEwBwAAAAkzLzI1LzIwMjIIAAAACTEvMzEvMjAxOAkAAAABMOIGoMpODtoI4gagyk4O2gg4Q0lRLk5ZU0U6V01ULklRX1RPVEFMX0RFQlRfRUJJVERBX0NBUEVYLklRX0ZZLTMuLkwuRi5VU0QBAAAA38YEAAIAAAAIMi42MjI2MjcBCAAAAAUAAAABMQEAAAAKMjA4NTEzMjkzMAMAAAADMTYwAgAAAAUyMzMxMwQAAAABMAcAAAAJMy8yNS8yMDIyCAAAAAkxLzMxLzIwMTkJAAAAATDiBqDKTg7aCOIGoMpODtoIOENJUS5OWVNFOldNVC5JUV9UT1RBTF9ERUJUX0VCSVREQV9DQVBFWC5JUV9GWS0yLi5MLkYuVVNEAQAAAN/GBAACAAAACDIuOTEyMjI5AQgAAAAFAAAAATEBAAAACy0yMTA3Njg2MjkxAwAAAAMxNjACAAAABTIzMzEzBAAAAAEwBwAAAAkzLzI1LzIwMjIIAAAACTEvMzEvMjAyMAkAAAABMOIGoMpODtoI4gagyk4O2gg4Q0lRLk5ZU0U6V01ULklRX1RPVEFMX0RFQlRfRUJJVERBX0NBUEVYLklRX0ZZLTEu</t>
  </si>
  <si>
    <t>LkwuRi5VU0QBAAAA38YEAAIAAAAIMi4wMzcxOTcBCAAAAAUAAAABMQEAAAALLTIxMDc2ODYyODEDAAAAAzE2MAIAAAAFMjMzMTMEAAAAATAHAAAACTMvMjUvMjAyMggAAAAJMS8zMS8yMDIxCQAAAAEw4gagyk4O2gjiBqDKTg7aCDJDSVEuTllTRTpXTVQuSVFfVE9UQUxfREVCVF9FUVVJVFkuSVFfRlktNi4uTC5GLlVTRAEAAADfxgQAAgAAAAY2MC43MjQBCAAAAAUAAAABMQEAAAAKMTg4MDcxODc2MgMAAAADMTYwAgAAAAQ0MDM0BAAAAAEwBwAAAAkzLzI1LzIwMjIIAAAACTEvMzEvMjAxNgkAAAABMAMuoMpODtoIAy6gyk4O2ggyQ0lRLk5ZU0U6V01ULklRX1RPVEFMX0RFQlRfRVFVSVRZLklRX0ZZLTUuLkwuRi5VU0QBAAAA38YEAAIAAAAHNTcuODIzMwEIAAAABQAAAAExAQAAAAoxOTUxNTQwMzM1AwAAAAMxNjACAAAABDQwMzQEAAAAATAHAAAACTMvMjUvMjAyMggAAAAJMS8zMS8yMDE3CQAAAAEwAy6gyk4O2ggDLqDKTg7aCDJDSVEuTllTRTpXTVQuSVFfVE9UQUxfREVCVF9FUVVJVFkuSVFfRlktNC4uTC5GLlVTRAEAAADfxgQAAgAAAAc1Ny43NDc4AQgAAAAFAAAAATEBAAAACjIwMjMyNDk2MTEDAAAAAzE2MAIAAAAENDAzNAQAAAABMAcAAAAJMy8yNS8yMDIyCAAAAAkxLzMxLzIwMTgJAAAAATADLqDKTg7aCAMuoMpODtoIMkNJUS5OWVNFOldNVC5JUV9UT1RBTF9ERUJUX0VRVUlUWS5JUV9GWS0z</t>
  </si>
  <si>
    <t>Li5MLkYuVVNEAQAAAN/GBAACAAAABzczLjQxMjEBCAAAAAUAAAABMQEAAAAKMjA4NTEzMjkzMAMAAAADMTYwAgAAAAQ0MDM0BAAAAAEwBwAAAAkzLzI1LzIwMjIIAAAACTEvMzEvMjAxOQkAAAABMAMuoMpODtoIAy6gyk4O2ggyQ0lRLk5ZU0U6V01ULklRX1RPVEFMX0RFQlRfRVFVSVRZLklRX0ZZLTIuLkwuRi5VU0QBAAAA38YEAAIAAAAHODkuNjcxNgEIAAAABQAAAAExAQAAAAstMjEwNzY4NjI5MQMAAAADMTYwAgAAAAQ0MDM0BAAAAAEwBwAAAAkzLzI1LzIwMjIIAAAACTEvMzEvMjAyMAkAAAABMAMuoMpODtoIAy6gyk4O2ggyQ0lRLk5ZU0U6V01ULklRX1RPVEFMX0RFQlRfRVFVSVRZLklRX0ZZLTEuLkwuRi5VU0QBAAAA38YEAAIAAAAHNzIuNzA1NgEIAAAABQAAAAExAQAAAAstMjEwNzY4NjI4MQMAAAADMTYwAgAAAAQ0MDM0BAAAAAEwBwAAAAkzLzI1LzIwMjIIAAAACTEvMzEvMjAyMQkAAAABMAMuoMpODtoIAy6gyk4O2ggwQ0lRLk5ZU0U6V01ULklRX1RPVEFMX0RFQlRfRVFVSVRZLklRX0ZZLi5MLkYuVVNEAQAAAN/GBAACAAAABzYzLjU3MzEBCAAAAAUAAAABMQEAAAALLTIxMDc2ODYyODIDAAAAAzE2MAIAAAAENDAzNAQAAAABMAcAAAAJMy8yNS8yMDIyCAAAAAkxLzMxLzIwMjIJAAAAATADLqDKTg7aCAMuoMpODtoIM0NJUS5OWVNFOldNVC5JUV9UT1RBTF9ERUJUX0NBUElUQUwuSVFfRlkt</t>
  </si>
  <si>
    <t>Ni4uTC5GLlVTRAEAAADfxgQAAgAAAAczNy43ODE1AQgAAAAFAAAAATEBAAAACjE4ODA3MTg3NjIDAAAAAzE2MAIAAAAENDE4NgQAAAABMAcAAAAJMy8yNS8yMDIyCAAAAAkxLzMxLzIwMTYJAAAAATADLqDKTg7aCAMuoMpODtoIM0NJUS5OWVNFOldNVC5JUV9UT1RBTF9ERUJUX0NBUElUQUwuSVFfRlktNS4uTC5GLlVTRAEAAADfxgQAAgAAAAYzNi42MzgBCAAAAAUAAAABMQEAAAAKMTk1MTU0MDMzNQMAAAADMTYwAgAAAAQ0MTg2BAAAAAEwBwAAAAkzLzI1LzIwMjIIAAAACTEvMzEvMjAxNwkAAAABMAMuoMpODtoIAy6gyk4O2ggzQ0lRLk5ZU0U6V01ULklRX1RPVEFMX0RFQlRfQ0FQSVRBTC5JUV9GWS00Li5MLkYuVVNEAQAAAN/GBAACAAAABzM2LjYwNzcBCAAAAAUAAAABMQEAAAAKMjAyMzI0OTYxMQMAAAADMTYwAgAAAAQ0MTg2BAAAAAEwBwAAAAkzLzI1LzIwMjIIAAAACTEvMzEvMjAxOAkAAAABMAMuoMpODtoIAy6gyk4O2ggzQ0lRLk5ZU0U6V01ULklRX1RPVEFMX0RFQlRfQ0FQSVRBTC5JUV9GWS0zLi5MLkYuVVNEAQAAAN/GBAACAAAABzQyLjMzMzkBCAAAAAUAAAABMQEAAAAKMjA4NTEzMjkzMAMAAAADMTYwAgAAAAQ0MTg2BAAAAAEwBwAAAAkzLzI1LzIwMjIIAAAACTEvMzEvMjAxOQkAAAABMAMuoMpODtoIAy6gyk4O2ggzQ0lRLk5ZU0U6V01ULklRX1RPVEFMX0RFQlRfQ0FQSVRBTC5JUV9G</t>
  </si>
  <si>
    <t>WS0yLi5MLkYuVVNEAQAAAN/GBAACAAAABzQ3LjI3NzIBCAAAAAUAAAABMQEAAAALLTIxMDc2ODYyOTEDAAAAAzE2MAIAAAAENDE4NgQAAAABMAcAAAAJMy8yNS8yMDIyCAAAAAkxLzMxLzIwMjAJAAAAATADLqDKTg7aCAMuoMpODtoIM0NJUS5OWVNFOldNVC5JUV9UT1RBTF9ERUJUX0NBUElUQUwuSVFfRlktMS4uTC5GLlVTRAEAAADfxgQAAgAAAAY0Mi4wOTgBCAAAAAUAAAABMQEAAAALLTIxMDc2ODYyODEDAAAAAzE2MAIAAAAENDE4NgQAAAABMAcAAAAJMy8yNS8yMDIyCAAAAAkxLzMxLzIwMjEJAAAAATADLqDKTg7aCAMuoMpODtoIMUNJUS5OWVNFOldNVC5JUV9UT1RBTF9ERUJUX0NBUElUQUwuSVFfRlkuLkwuRi5VU0QBAAAA38YEAAIAAAAHMzguODY1MgEIAAAABQAAAAExAQAAAAstMjEwNzY4NjI4MgMAAAADMTYwAgAAAAQ0MTg2BAAAAAEwBwAAAAkzLzI1LzIwMjIIAAAACTEvMzEvMjAyMgkAAAABMAMuoMpODtoIAy6gyk4O2ggrQ0lRLk5ZU0U6V01ULklRX0VCSVREQV9JTlQuSVFfRlktNi4uTC5GLlVTRAEAAADfxgQAAgAAAAkxMy4xNzA3MjIBCAAAAAUAAAABMQEAAAAKMTg4MDcxODc2MgMAAAADMTYwAgAAAAQ0MTkwBAAAAAEwBwAAAAkzLzI1LzIwMjIIAAAACTEvMzEvMjAxNgkAAAABMOIGoMpODtoI4gagyk4O2ggrQ0lRLk5ZU0U6V01ULklRX0VCSVREQV9JTlQuSVFfRlktNS4uTC5GLlVT</t>
  </si>
  <si>
    <t>RAEAAADfxgQAAgAAAAkxMy44NzU3OTIBCAAAAAUAAAABMQEAAAAKMTk1MTU0MDMzNQMAAAADMTYwAgAAAAQ0MTkwBAAAAAEwBwAAAAkzLzI1LzIwMjIIAAAACTEvMzEvMjAxNwkAAAABMOIGoMpODtoI4gagyk4O2ggrQ0lRLk5ZU0U6V01ULklRX0VCSVREQV9JTlQuSVFfRlktNC4uTC5GLlVTRAEAAADfxgQAAgAAAAkxMy41MDQ3MjEBCAAAAAUAAAABMQEAAAAKMjAyMzI0OTYxMQMAAAADMTYwAgAAAAQ0MTkwBAAAAAEwBwAAAAkzLzI1LzIwMjIIAAAACTEvMzEvMjAxOAkAAAABMOIGoMpODtoI4gagyk4O2ggrQ0lRLk5ZU0U6V01ULklRX0VCSVREQV9JTlQuSVFfRlktMy4uTC5GLlVTRAEAAADfxgQAAgAAAAkxMy45MTA5MTIBCAAAAAUAAAABMQEAAAAKMjA4NTEzMjkzMAMAAAADMTYwAgAAAAQ0MTkwBAAAAAEwBwAAAAkzLzI1LzIwMjIIAAAACTEvMzEvMjAxOQkAAAABMOIGoMpODtoI4gagyk4O2ggrQ0lRLk5ZU0U6V01ULklRX0VCSVREQV9JTlQuSVFfRlktMi4uTC5GLlVTRAEAAADfxgQAAgAAAAkxMy43ODA2ODQBCAAAAAUAAAABMQEAAAALLTIxMDc2ODYyOTEDAAAAAzE2MAIAAAAENDE5MAQAAAABMAcAAAAJMy8yNS8yMDIyCAAAAAkxLzMxLzIwMjAJAAAAATDiBqDKTg7aCOIGoMpODtoIK0NJUS5OWVNFOldNVC5JUV9FQklUREFfSU5ULklRX0ZZLTEuLkwuRi5VU0QBAAAA38YEAAIAAAAJMTcuOTI3</t>
  </si>
  <si>
    <t>ODYxAQgAAAAFAAAAATEBAAAACy0yMTA3Njg2MjgxAwAAAAMxNjACAAAABDQxOTAEAAAAATAHAAAACTMvMjUvMjAyMggAAAAJMS8zMS8yMDIxCQAAAAEw4gagyk4O2gjiBqDKTg7aCClDSVEuTllTRTpXTVQuSVFfRUJJVERBX0lOVC5JUV9GWS4uTC5GLlVTRAEAAADfxgQAAgAAAAkxOS45MDgyMjQBCAAAAAUAAAABMQEAAAALLTIxMDc2ODYyODIDAAAAAzE2MAIAAAAENDE5MAQAAAABMAcAAAAJMy8yNS8yMDIyCAAAAAkxLzMxLzIwMjIJAAAAATDiBqDKTg7aCOIGoMpODtoILUNJUS5OWVNFOldNVC5JUV9UT1RBTF9SRVZFTlVFLklRX0ZZLTYuLkwuLlVTRAEAAADfxgQAAgAAAAY0ODIxMzABCAAAAAUAAAABMQEAAAAKMTg4MDcxODc2MgMAAAADMTYwAgAAAAIyOAQAAAABMAcAAAAJMy8yNS8yMDIyCAAAAAkxLzMxLzIwMTYJAAAAATDiBqDKTg7aCOIGoMpODtoILUNJUS5OWVNFOldNVC5JUV9UT1RBTF9SRVZFTlVFLklRX0ZZLTUuLkwuLlVTRAEAAADfxgQAAgAAAAY0ODU4NzMBCAAAAAUAAAABMQEAAAAKMTk1MTU0MDMzNQMAAAADMTYwAgAAAAIyOAQAAAABMAcAAAAJMy8yNS8yMDIyCAAAAAkxLzMxLzIwMTcJAAAAATDiBqDKTg7aCOIGoMpODtoILUNJUS5OWVNFOldNVC5JUV9UT1RBTF9SRVZFTlVFLklRX0ZZLTQuLkwuLlVTRAEAAADfxgQAAgAAAAY1MDAzNDMBCAAAAAUAAAABMQEAAAAKMjAyMzI0OTYx</t>
  </si>
  <si>
    <t>MQMAAAADMTYwAgAAAAIyOAQAAAABMAcAAAAJMy8yNS8yMDIyCAAAAAkxLzMxLzIwMTgJAAAAATDiBqDKTg7aCOIGoMpODtoILUNJUS5OWVNFOldNVC5JUV9UT1RBTF9SRVZFTlVFLklRX0ZZLTMuLkwuLlVTRAEAAADfxgQAAgAAAAY1MTQ0MDUBCAAAAAUAAAABMQEAAAAKMjA4NTEzMjkzMAMAAAADMTYwAgAAAAIyOAQAAAABMAcAAAAJMy8yNS8yMDIyCAAAAAkxLzMxLzIwMTkJAAAAATDiBqDKTg7aCOIGoMpODtoILUNJUS5OWVNFOldNVC5JUV9UT1RBTF9SRVZFTlVFLklRX0ZZLTIuLkwuLlVTRAEAAADfxgQAAgAAAAY1MjM5NjQBCAAAAAUAAAABMQEAAAALLTIxMDc2ODYyOTEDAAAAAzE2MAIAAAACMjgEAAAAATAHAAAACTMvMjUvMjAyMggAAAAJMS8zMS8yMDIwCQAAAAEw4gagyk4O2gjiBqDKTg7aCC1DSVEuTllTRTpXTVQuSVFfVE9UQUxfUkVWRU5VRS5JUV9GWS0xLi5MLi5VU0QBAAAA38YEAAIAAAAGNTU5MTUxAQgAAAAFAAAAATEBAAAACy0yMTA3Njg2MjgxAwAAAAMxNjACAAAAAjI4BAAAAAEwBwAAAAkzLzI1LzIwMjIIAAAACTEvMzEvMjAyMQkAAAABMOIGoMpODtoI4gagyk4O2ggrQ0lRLk5ZU0U6V01ULklRX1RPVEFMX1JFVkVOVUUuSVFfRlkuLkwuLlVTRAEAAADfxgQAAgAAAAY1NzI3NTQBCAAAAAUAAAABMQEAAAALLTIxMDc2ODYyODIDAAAAAzE2MAIAAAACMjgEAAAAATAHAAAACTMvMjUv</t>
  </si>
  <si>
    <t>MjAyMggAAAAJMS8zMS8yMDIyCQAAAAEw4gagyk4O2gjiBqDKTg7aCC5DSVEuTllTRTpXTVQuSVFfVE9UQUxfUkVWRU5VRS5JUV9MVE0tNC4uTC4uVVNEAQAAAN/GBAACAAAABjU1OTE1MQEIAAAABQAAAAExAQAAAAstMjEwNzY4NTk3NwMAAAADMTYwAgAAAAIyOAQAAAABMAcAAAAJMy8yNS8yMDIyCAAAAAkxLzMxLzIwMjEJAAAAATDiBqDKTg7aCOIGoMpODtoILENJUS5OWVNFOldNVC5JUV9UT1RBTF9SRVZFTlVFLklRX0xUTS4uTC4uVVNEAQAAAN/GBAACAAAABjU3Mjc1NAEIAAAABQAAAAExAQAAAAstMjEwNzY4NjAwOAMAAAADMTYwAgAAAAIyOAQAAAABMAcAAAAJMy8yNS8yMDIyCAAAAAkxLzMxLzIwMjIJAAAAATDiBqDKTg7aCOIGoMpODtoIIkNJUS5OWVNFOldNVC5JUV9HUC5JUV9GWS02Li5MLi5VU0QBAAAA38YEAAIAAAAGMTIxMTQ2AQgAAAAFAAAAATEBAAAACjE4ODA3MTg3NjIDAAAAAzE2MAIAAAACMTAEAAAAATAHAAAACTMvMjUvMjAyMggAAAAJMS8zMS8yMDE2CQAAAAEw4gagyk4O2gjiBqDKTg7aCCJDSVEuTllTRTpXTVQuSVFfR1AuSVFfRlktNS4uTC4uVVNEAQAAAN/GBAACAAAABjEyNDYxNwEIAAAABQAAAAExAQAAAAoxOTUxNTQwMzM1AwAAAAMxNjACAAAAAjEwBAAAAAEwBwAAAAkzLzI1LzIwMjIIAAAACTEvMzEvMjAxNwkAAAABMOIGoMpODtoI4gagyk4O2ggiQ0lRLk5ZU0U6V01U</t>
  </si>
  <si>
    <t>LklRX0dQLklRX0ZZLTQuLkwuLlVTRAEAAADfxgQAAgAAAAYxMjY5NDcBCAAAAAUAAAABMQEAAAAKMjAyMzI0OTYxMQMAAAADMTYwAgAAAAIxMAQAAAABMAcAAAAJMy8yNS8yMDIyCAAAAAkxLzMxLzIwMTgJAAAAATDiBqDKTg7aCOIGoMpODtoIIkNJUS5OWVNFOldNVC5JUV9HUC5JUV9GWS0zLi5MLi5VU0QBAAAA38YEAAIAAAAGMTI5MTA0AQgAAAAFAAAAATEBAAAACjIwODUxMzI5MzADAAAAAzE2MAIAAAACMTAEAAAAATAHAAAACTMvMjUvMjAyMggAAAAJMS8zMS8yMDE5CQAAAAEw4gagyk4O2gjiBqDKTg7aCCJDSVEuTllTRTpXTVQuSVFfR1AuSVFfRlktMi4uTC4uVVNEAQAAAN/GBAACAAAABjEyOTM1OQEIAAAABQAAAAExAQAAAAstMjEwNzY4NjI5MQMAAAADMTYwAgAAAAIxMAQAAAABMAcAAAAJMy8yNS8yMDIyCAAAAAkxLzMxLzIwMjAJAAAAATDiBqDKTg7aCOIGoMpODtoIIkNJUS5OWVNFOldNVC5JUV9HUC5JUV9GWS0xLi5MLi5VU0QBAAAA38YEAAIAAAAGMTM4ODM2AQgAAAAFAAAAATEBAAAACy0yMTA3Njg2MjgxAwAAAAMxNjACAAAAAjEwBAAAAAEwBwAAAAkzLzI1LzIwMjIIAAAACTEvMzEvMjAyMQkAAAABMOIGoMpODtoI4gagyk4O2gggQ0lRLk5ZU0U6V01ULklRX0dQLklRX0ZZLi5MLi5VU0QBAAAA38YEAAIAAAAGMTQzNzU0AQgAAAAFAAAAATEBAAAACy0yMTA3Njg2MjgyAwAAAAMxNjAC</t>
  </si>
  <si>
    <t>AAAAAjEwBAAAAAEwBwAAAAkzLzI1LzIwMjIIAAAACTEvMzEvMjAyMgkAAAABMOIGoMpODtoI4gagyk4O2ggkQ0lRLk5ZU0U6V01ULklRX0dQLklRX0xUTS00Li5MLkYuVVNEAQAAAN/GBAACAAAABjEzODgzNgEIAAAABQAAAAExAQAAAAstMjEwNzY4NTk3NwMAAAADMTYwAgAAAAIxMAQAAAABMAcAAAAJMy8yNS8yMDIyCAAAAAkxLzMxLzIwMjEJAAAAATDiBqDKTg7aCOIGoMpODtoIIkNJUS5OWVNFOldNVC5JUV9HUC5JUV9MVE0uLkwuRi5VU0QBAAAA38YEAAIAAAAGMTQzNzU0AQgAAAAFAAAAATEBAAAACy0yMTA3Njg2MDA4AwAAAAMxNjACAAAAAjEwBAAAAAEwBwAAAAkzLzI1LzIwMjIIAAAACTEvMzEvMjAyMgkAAAABMOIGoMpODtoI4gagyk4O2ggvQ0lRLk5ZU0U6V01ULklRX0RJTFVUX0VQU19JTkNMLklRX0ZZLTYuLkwuRi5VU0QBAAAA38YEAAIAAAAENC41NwEIAAAABQAAAAExAQAAAAoxODgwNzE4NzYyAwAAAAMxNjACAAAAATgEAAAAATAHAAAACTMvMjUvMjAyMggAAAAJMS8zMS8yMDE2CQAAAAEw4gagyk4O2gjiBqDKTg7aCC9DSVEuTllTRTpXTVQuSVFfRElMVVRfRVBTX0lOQ0wuSVFfRlktNS4uTC5GLlVTRAEAAADfxgQAAgAAAAQ0LjM4AQgAAAAFAAAAATEBAAAACjE5NTE1NDAzMzUDAAAAAzE2MAIAAAABOAQAAAABMAcAAAAJMy8yNS8yMDIyCAAAAAkxLzMxLzIwMTcJAAAAATDiBqDKTg7a</t>
  </si>
  <si>
    <t>COIGoMpODtoIL0NJUS5OWVNFOldNVC5JUV9ESUxVVF9FUFNfSU5DTC5JUV9GWS00Li5MLkYuVVNEAQAAAN/GBAACAAAABDMuMjgBCAAAAAUAAAABMQEAAAAKMjAyMzI0OTYxMQMAAAADMTYwAgAAAAE4BAAAAAEwBwAAAAkzLzI1LzIwMjIIAAAACTEvMzEvMjAxOAkAAAABMOIGoMpODtoI4gagyk4O2ggvQ0lRLk5ZU0U6V01ULklRX0RJTFVUX0VQU19JTkNMLklRX0ZZLTMuLkwuRi5VU0QBAAAA38YEAAIAAAAEMi4yNgEIAAAABQAAAAExAQAAAAoyMDg1MTMyOTMwAwAAAAMxNjACAAAAATgEAAAAATAHAAAACTMvMjUvMjAyMggAAAAJMS8zMS8yMDE5CQAAAAEw4gagyk4O2gjiBqDKTg7aCC9DSVEuTllTRTpXTVQuSVFfRElMVVRfRVBTX0lOQ0wuSVFfRlktMi4uTC5GLlVTRAEAAADfxgQAAgAAAAQ1LjE5AQgAAAAFAAAAATEBAAAACy0yMTA3Njg2MjkxAwAAAAMxNjACAAAAATgEAAAAATAHAAAACTMvMjUvMjAyMggAAAAJMS8zMS8yMDIwCQAAAAEw4gagyk4O2gjiBqDKTg7aCC9DSVEuTllTRTpXTVQuSVFfRElMVVRfRVBTX0lOQ0wuSVFfRlktMS4uTC5GLlVTRAEAAADfxgQAAgAAAAQ0Ljc1AQgAAAAFAAAAATEBAAAACy0yMTA3Njg2MjgxAwAAAAMxNjACAAAAATgEAAAAATAHAAAACTMvMjUvMjAyMggAAAAJMS8zMS8yMDIxCQAAAAEw4gagyk4O2gjiBqDKTg7aCC1DSVEuTllTRTpXTVQuSVFfRElMVVRfRVBT</t>
  </si>
  <si>
    <t>X0lOQ0wuSVFfRlkuLkwuRi5VU0QBAAAA38YEAAIAAAAENC44NwEIAAAABQAAAAExAQAAAAstMjEwNzY4NjI4MgMAAAADMTYwAgAAAAE4BAAAAAEwBwAAAAkzLzI1LzIwMjIIAAAACTEvMzEvMjAyMgkAAAABMOIGoMpODtoI4gagyk4O2ggwQ0lRLk5ZU0U6V01ULklRX0RJTFVUX0VQU19JTkNMLklRX0xUTS00Li5MLkYuVVNEAQAAAN/GBAACAAAABDQuNzUBCAAAAAUAAAABMQEAAAALLTIxMDc2ODU5NzcDAAAAAzE2MAIAAAABOAQAAAABMAcAAAAJMy8yNS8yMDIyCAAAAAkxLzMxLzIwMjEJAAAAATDiBqDKTg7aCOIGoMpODtoILkNJUS5OWVNFOldNVC5JUV9ESUxVVF9FUFNfSU5DTC5JUV9MVE0uLkwuRi5VU0QBAAAA38YEAAIAAAAENC44NwEIAAAABQAAAAExAQAAAAstMjEwNzY4NjAwOAMAAAADMTYwAgAAAAE4BAAAAAEwBwAAAAkzLzI1LzIwMjIIAAAACTEvMzEvMjAyMgkAAAABMOIGoMpODtoI4gagyk4O2ggvQ0lRLk5ZU0U6V01ULklRX0RJTFVUX0VQU19FWENMLklRX0ZZLTUuLkwuRi5VU0QBAAAA38YEAAIAAAAENC4zOAEIAAAABQAAAAExAQAAAAoxOTUxNTQwMzM1AwAAAAMxNjACAAAAAzE0MgQAAAABMAcAAAAJMy8yNS8yMDIyCAAAAAkxLzMxLzIwMTcJAAAAATARVaDKTg7aCBFVoMpODtoIL0NJUS5OWVNFOldNVC5JUV9ESUxVVF9FUFNfRVhDTC5JUV9GWS00Li5MLkYuVVNEAQAAAN/GBAACAAAA</t>
  </si>
  <si>
    <t>BDMuMjgBCAAAAAUAAAABMQEAAAAKMjAyMzI0OTYxMQMAAAADMTYwAgAAAAMxNDIEAAAAATAHAAAACTMvMjUvMjAyMggAAAAJMS8zMS8yMDE4CQAAAAEwEVWgyk4O2ggRVaDKTg7aCC5DSVEuTllTRTpXTVQuSVFfUkVUVVJOX0FTU0VUUy5JUV9GWS02Li5MLkYuVVNEAQAAAN/GBAACAAAABjcuNDc1NAEIAAAABQAAAAExAQAAAAoxODgwNzE4NzYyAwAAAAMxNjACAAAABDQxNzgEAAAAATAHAAAACTMvMjUvMjAyMggAAAAJMS8zMS8yMDE2CQAAAAEw4gagyk4O2gjiBqDKTg7aCC5DSVEuTllTRTpXTVQuSVFfUkVUVVJOX0FTU0VUUy5JUV9GWS01Li5MLkYuVVNEAQAAAN/GBAACAAAABjcuMTQyMgEIAAAABQAAAAExAQAAAAoxOTUxNTQwMzM1AwAAAAMxNjACAAAABDQxNzgEAAAAATAHAAAACTMvMjUvMjAyMggAAAAJMS8zMS8yMDE3CQAAAAEw4gagyk4O2gjiBqDKTg7aCC5DSVEuTllTRTpXTVQuSVFfUkVUVVJOX0FTU0VUUy5JUV9GWS00Li5MLkYuVVNEAQAAAN/GBAACAAAABjYuNDg4NQEIAAAABQAAAAExAQAAAAoyMDIzMjQ5NjExAwAAAAMxNjACAAAABDQxNzgEAAAAATAHAAAACTMvMjUvMjAyMggAAAAJMS8zMS8yMDE4CQAAAAEw4gagyk4O2gjiBqDKTg7aCC5DSVEuTllTRTpXTVQuSVFfUkVUVVJOX0FTU0VUUy5JUV9GWS0zLi5MLkYuVVNEAQAAAN/GBAACAAAABjYuNDc1OQEIAAAABQAAAAExAQAAAAoy</t>
  </si>
  <si>
    <t>MDg1MTMyOTMwAwAAAAMxNjACAAAABDQxNzgEAAAAATAHAAAACTMvMjUvMjAyMggAAAAJMS8zMS8yMDE5CQAAAAEw4gagyk4O2gjiBqDKTg7aCC5DSVEuTllTRTpXTVQuSVFfUkVUVVJOX0FTU0VUUy5JUV9GWS0yLi5MLkYuVVNEAQAAAN/GBAACAAAABjUuODg3NQEIAAAABQAAAAExAQAAAAstMjEwNzY4NjI5MQMAAAADMTYwAgAAAAQ0MTc4BAAAAAEwBwAAAAkzLzI1LzIwMjIIAAAACTEvMzEvMjAyMAkAAAABMOIGoMpODtoI4gagyk4O2gguQ0lRLk5ZU0U6V01ULklRX1JFVFVSTl9BU1NFVFMuSVFfRlktMS4uTC5GLlVTRAEAAADfxgQAAgAAAAY2Ljg4ODYBCAAAAAUAAAABMQEAAAALLTIxMDc2ODYyODEDAAAAAzE2MAIAAAAENDE3OAQAAAABMAcAAAAJMy8yNS8yMDIyCAAAAAkxLzMxLzIwMjEJAAAAATDiBqDKTg7aCOIGoMpODtoILENJUS5OWVNFOldNVC5JUV9SRVRVUk5fQVNTRVRTLklRX0ZZLi5MLkYuVVNEAQAAAN/GBAACAAAABjYuNTE5OQEIAAAABQAAAAExAQAAAAstMjEwNzY4NjI4MgMAAAADMTYwAgAAAAQ0MTc4BAAAAAEwBwAAAAkzLzI1LzIwMjIIAAAACTEvMzEvMjAyMgkAAAABMOIGoMpODtoI4gagyk4O2ggvQ0lRLk5ZU0U6V01ULklRX1JFVFVSTl9BU1NFVFMuSVFfTFRNLTQuLkwuRi5VU0QBAAAA38YEAAIAAAAGNi44ODg2AQgAAAAFAAAAATEBAAAACy0yMTA3Njg1OTc3AwAAAAMxNjAC</t>
  </si>
  <si>
    <t>AAAABDQxNzgEAAAAATAHAAAACTMvMjUvMjAyMggAAAAJMS8zMS8yMDIxCQAAAAEw4gagyk4O2gjiBqDKTg7aCC1DSVEuTllTRTpXTVQuSVFfUkVUVVJOX0FTU0VUUy5JUV9MVE0uLkwuRi5VU0QBAAAA38YEAAIAAAAGNi41MTk5AQgAAAAFAAAAATEBAAAACy0yMTA3Njg2MDA4AwAAAAMxNjACAAAABDQxNzgEAAAAATAHAAAACTMvMjUvMjAyMggAAAAJMS8zMS8yMDIyCQAAAAEw4gagyk4O2gjiBqDKTg7aCC9DSVEuTllTRTpXTVQuSVFfUkVUVVJOX0NBUElUQUwuSVFfRlktNS4uTC5GLlVTRAEAAADfxgQAAgAAAAYxMC44ODIBCAAAAAUAAAABMQEAAAAKMTk1MTU0MDMzNQMAAAADMTYwAgAAAAQ0MzYzBAAAAAEwBwAAAAkzLzI1LzIwMjIIAAAACTEvMzEvMjAxNwkAAAABMBFVoMpODtoIEVWgyk4O2ggtQ0lRLk5ZU0U6V01ULklRX1JFVFVSTl9FUVVJVFkuSVFfTFRNLi5MLkYuVVNEAQAAAN/GBAACAAAABzE1LjUzODcBCAAAAAUAAAABMQEAAAALLTIxMDc2ODYwMDgDAAAAAzE2MAIAAAAENDEyOAQAAAABMAcAAAAJMy8yNS8yMDIyCAAAAAkxLzMxLzIwMjIJAAAAATARVaDKTg7aCBFVoMpODtoIJENJUS5OWVNFOldNVC5JUV9TR0EuSVFfRlktNi4uTC5GLlVTRAEAAADfxgQAAgAAAAU5NzA0MQEIAAAABQAAAAExAQAAAAoxODgwNzE4NzYyAwAAAAMxNjACAAAAAjIzBAAAAAEwBwAAAAkzLzI1LzIwMjIIAAAA</t>
  </si>
  <si>
    <t>CTEvMzEvMjAxNgkAAAABMOIGoMpODtoI4gagyk4O2ggkQ0lRLk5ZU0U6V01ULklRX1NHQS5JUV9GWS01Li5MLkYuVVNEAQAAAN/GBAACAAAABjEwMTg1MwEIAAAABQAAAAExAQAAAAoxOTUxNTQwMzM1AwAAAAMxNjACAAAAAjIzBAAAAAEwBwAAAAkzLzI1LzIwMjIIAAAACTEvMzEvMjAxNwkAAAABMOIGoMpODtoI4gagyk4O2ggkQ0lRLk5ZU0U6V01ULklRX1NHQS5JUV9GWS00Li5MLkYuVVNEAQAAAN/GBAACAAAABjEwNjAxMAEIAAAABQAAAAExAQAAAAoyMDIzMjQ5NjExAwAAAAMxNjACAAAAAjIzBAAAAAEwBwAAAAkzLzI1LzIwMjIIAAAACTEvMzEvMjAxOAkAAAABMOIGoMpODtoI4gagyk4O2ggkQ0lRLk5ZU0U6V01ULklRX1NHQS5JUV9GWS0zLi5MLkYuVVNEAQAAAN/GBAACAAAABjEwNzE0NwEIAAAABQAAAAExAQAAAAoyMDg1MTMyOTMwAwAAAAMxNjACAAAAAjIzBAAAAAEwBwAAAAkzLzI1LzIwMjIIAAAACTEvMzEvMjAxOQkAAAABMOIGoMpODtoI4gagyk4O2ggkQ0lRLk5ZU0U6V01ULklRX1NHQS5JUV9GWS0yLi5MLkYuVVNEAQAAAN/GBAACAAAABjEwNzg5MQEIAAAABQAAAAExAQAAAAstMjEwNzY4NjI5MQMAAAADMTYwAgAAAAIyMwQAAAABMAcAAAAJMy8yNS8yMDIyCAAAAAkxLzMxLzIwMjAJAAAAATDiBqDKTg7aCOIGoMpODtoIJENJUS5OWVNFOldNVC5JUV9TR0EuSVFfRlktMS4uTC5GLlVT</t>
  </si>
  <si>
    <t>RAEAAADfxgQAAgAAAAYxMTE4ODgBCAAAAAUAAAABMQEAAAALLTIxMDc2ODYyODEDAAAAAzE2MAIAAAACMjMEAAAAATAHAAAACTMvMjUvMjAyMggAAAAJMS8zMS8yMDIxCQAAAAEw4gagyk4O2gjiBqDKTg7aCCJDSVEuTllTRTpXTVQuSVFfU0dBLklRX0ZZLi5MLkYuVVNEAQAAAN/GBAACAAAABjExNzgxMgEIAAAABQAAAAExAQAAAAstMjEwNzY4NjI4MgMAAAADMTYwAgAAAAIyMwQAAAABMAcAAAAJMy8yNS8yMDIyCAAAAAkxLzMxLzIwMjIJAAAAATDiBqDKTg7aCOIGoMpODtoIJUNJUS5OWVNFOldNVC5JUV9TR0EuSVFfTFRNLTQuLkwuRi5VU0QBAAAA38YEAAIAAAAGMTExODg4AQgAAAAFAAAAATEBAAAACy0yMTA3Njg1OTc3AwAAAAMxNjACAAAAAjIzBAAAAAEwBwAAAAkzLzI1LzIwMjIIAAAACTEvMzEvMjAyMQkAAAABMOIGoMpODtoI4gagyk4O2ggjQ0lRLk5ZU0U6V01ULklRX1NHQS5JUV9MVE0uLkwuRi5VU0QBAAAA38YEAAIAAAAGMTE3ODEyAQgAAAAFAAAAATEBAAAACy0yMTA3Njg2MDA4AwAAAAMxNjACAAAAAjIzBAAAAAEwBwAAAAkzLzI1LzIwMjIIAAAACTEvMzEvMjAyMgkAAAABMOIGoMpODtoI4gagyk4O2gguQ0lRLk5ZU0U6V01ULklRX0VCSVREQV9NQVJHSU4uSVFfRlktNi4uTC5GLlVTRAEAAADfxgQAAgAAAAY2Ljk2MDUBCAAAAAUAAAABMQEAAAAKMTg4MDcxODc2MgMAAAADMTYwAgAA</t>
  </si>
  <si>
    <t>AAQ0MDQ3BAAAAAEwBwAAAAkzLzI1LzIwMjIIAAAACTEvMzEvMjAxNgkAAAABMOIGoMpODtoI4gagyk4O2gguQ0lRLk5ZU0U6V01ULklRX0VCSVREQV9NQVJHSU4uSVFfRlktNS4uTC5GLlVTRAEAAADfxgQAAgAAAAY2Ljc1OTcBCAAAAAUAAAABMQEAAAAKMTk1MTU0MDMzNQMAAAADMTYwAgAAAAQ0MDQ3BAAAAAEwBwAAAAkzLzI1LzIwMjIIAAAACTEvMzEvMjAxNwkAAAABMOIGoMpODtoI4gagyk4O2gguQ0lRLk5ZU0U6V01ULklRX0VCSVREQV9NQVJHSU4uSVFfRlktNC4uTC5GLlVTRAEAAADfxgQAAgAAAAY2LjI4ODgBCAAAAAUAAAABMQEAAAAKMjAyMzI0OTYxMQMAAAADMTYwAgAAAAQ0MDQ3BAAAAAEwBwAAAAkzLzI1LzIwMjIIAAAACTEvMzEvMjAxOAkAAAABMOIGoMpODtoI4gagyk4O2gguQ0lRLk5ZU0U6V01ULklRX0VCSVREQV9NQVJHSU4uSVFfRlktMy4uTC5GLlVTRAEAAADfxgQAAgAAAAY2LjM0NDIBCAAAAAUAAAABMQEAAAAKMjA4NTEzMjkzMAMAAAADMTYwAgAAAAQ0MDQ3BAAAAAEwBwAAAAkzLzI1LzIwMjIIAAAACTEvMzEvMjAxOQkAAAABMOIGoMpODtoI4gagyk4O2gguQ0lRLk5ZU0U6V01ULklRX0VCSVREQV9NQVJHSU4uSVFfRlktMi4uTC5GLlVTRAEAAADfxgQAAgAAAAY2LjE5NDEBCAAAAAUAAAABMQEAAAALLTIxMDc2ODYyOTEDAAAAAzE2MAIAAAAENDA0NwQAAAABMAcAAAAJMy8y</t>
  </si>
  <si>
    <t>NS8yMDIyCAAAAAkxLzMxLzIwMjAJAAAAATDiBqDKTg7aCOIGoMpODtoILkNJUS5OWVNFOldNVC5JUV9FQklUREFfTUFSR0lOLklRX0ZZLTEuLkwuRi5VU0QBAAAA38YEAAIAAAAGNi44MTM5AQgAAAAFAAAAATEBAAAACy0yMTA3Njg2MjgxAwAAAAMxNjACAAAABDQwNDcEAAAAATAHAAAACTMvMjUvMjAyMggAAAAJMS8zMS8yMDIxCQAAAAEwAy6gyk4O2ggDLqDKTg7aCCxDSVEuTllTRTpXTVQuSVFfRUJJVERBX01BUkdJTi5JUV9GWS4uTC5GLlVTRAEAAADfxgQAAgAAAAY2LjM5MDEBCAAAAAUAAAABMQEAAAALLTIxMDc2ODYyODIDAAAAAzE2MAIAAAAENDA0NwQAAAABMAcAAAAJMy8yNS8yMDIyCAAAAAkxLzMxLzIwMjIJAAAAATADLqDKTg7aCAMuoMpODtoIL0NJUS5OWVNFOldNVC5JUV9FQklUREFfTUFSR0lOLklRX0xUTS00Li5MLkYuVVNEAQAAAN/GBAACAAAABjYuODEzOQEIAAAABQAAAAExAQAAAAstMjEwNzY4NTk3NwMAAAADMTYwAgAAAAQ0MDQ3BAAAAAEwBwAAAAkzLzI1LzIwMjIIAAAACTEvMzEvMjAyMQkAAAABMAMuoMpODtoIAy6gyk4O2ggtQ0lRLk5ZU0U6V01ULklRX0VCSVREQV9NQVJHSU4uSVFfTFRNLi5MLkYuVVNEAQAAAN/GBAACAAAABjYuMzkwMQEIAAAABQAAAAExAQAAAAstMjEwNzY4NjAwOAMAAAADMTYwAgAAAAQ0MDQ3BAAAAAEwBwAAAAkzLzI1LzIwMjIIAAAACTEvMzEvMjAy</t>
  </si>
  <si>
    <t>MgkAAAABMAMuoMpODtoIAy6gyk4O2ggsQ0lRLk5ZU0U6V01ULklRX0xGQ0ZfTUFSR0lOLklRX0ZZLTYuLkwuRi5VU0QBAAAA38YEAAIAAAAGMy4wMTU4AQgAAAAFAAAAATEBAAAACjE4ODA3MTg3NjIDAAAAAzE2MAIAAAAENDQzNgQAAAABMAcAAAAJMy8yNS8yMDIyCAAAAAkxLzMxLzIwMTYJAAAAATADLqDKTg7aCAMuoMpODtoILENJUS5OWVNFOldNVC5JUV9MRkNGX01BUkdJTi5JUV9GWS01Li5MLkYuVVNEAQAAAN/GBAACAAAABjMuNjg2MQEIAAAABQAAAAExAQAAAAoxOTUxNTQwMzM1AwAAAAMxNjACAAAABDQ0MzYEAAAAATAHAAAACTMvMjUvMjAyMggAAAAJMS8zMS8yMDE3CQAAAAEwAy6gyk4O2ggDLqDKTg7aCCxDSVEuTllTRTpXTVQuSVFfTEZDRl9NQVJHSU4uSVFfRlktNC4uTC5GLlVTRAEAAADfxgQAAgAAAAYzLjI5NzQBCAAAAAUAAAABMQEAAAAKMjAyMzI0OTYxMQMAAAADMTYwAgAAAAQ0NDM2BAAAAAEwBwAAAAkzLzI1LzIwMjIIAAAACTEvMzEvMjAxOAkAAAABMAMuoMpODtoIAy6gyk4O2ggsQ0lRLk5ZU0U6V01ULklRX0xGQ0ZfTUFSR0lOLklRX0ZZLTMuLkwuRi5VU0QBAAAA38YEAAIAAAAGMi41MDQ4AQgAAAAFAAAAATEBAAAACjIwODUxMzI5MzADAAAAAzE2MAIAAAAENDQzNgQAAAABMAcAAAAJMy8yNS8yMDIyCAAAAAkxLzMxLzIwMTkJAAAAATADLqDKTg7aCAMuoMpODtoILENJUS5O</t>
  </si>
  <si>
    <t>WVNFOldNVC5JUV9MRkNGX01BUkdJTi5JUV9GWS0yLi5MLkYuVVNEAQAAAN/GBAACAAAABjIuNzk4OAEIAAAABQAAAAExAQAAAAstMjEwNzY4NjI5MQMAAAADMTYwAgAAAAQ0NDM2BAAAAAEwBwAAAAkzLzI1LzIwMjIIAAAACTEvMzEvMjAyMAkAAAABMAMuoMpODtoIAy6gyk4O2ggsQ0lRLk5ZU0U6V01ULklRX0xGQ0ZfTUFSR0lOLklRX0ZZLTEuLkwuRi5VU0QBAAAA38YEAAIAAAAGMi43MzA1AQgAAAAFAAAAATEBAAAACy0yMTA3Njg2MjgxAwAAAAMxNjACAAAABDQ0MzYEAAAAATAHAAAACTMvMjUvMjAyMggAAAAJMS8zMS8yMDIxCQAAAAEwAy6gyk4O2ggDLqDKTg7aCCpDSVEuTllTRTpXTVQuSVFfTEZDRl9NQVJHSU4uSVFfRlkuLkwuRi5VU0QBAAAA38YEAAIAAAAGMi41MzUzAQgAAAAFAAAAATEBAAAACy0yMTA3Njg2MjgyAwAAAAMxNjACAAAABDQ0MzYEAAAAATAHAAAACTMvMjUvMjAyMggAAAAJMS8zMS8yMDIyCQAAAAEwAy6gyk4O2ggDLqDKTg7aCC1DSVEuTllTRTpXTVQuSVFfTEZDRl9NQVJHSU4uSVFfTFRNLTQuLkwuRi5VU0QBAAAA38YEAAIAAAAGMi43MzA1AQgAAAAFAAAAATEBAAAACy0yMTA3Njg1OTc3AwAAAAMxNjACAAAABDQ0MzYEAAAAATAHAAAACTMvMjUvMjAyMggAAAAJMS8zMS8yMDIxCQAAAAEwAy6gyk4O2ggDLqDKTg7aCCtDSVEuTllTRTpXTVQuSVFfTEZDRl9NQVJHSU4uSVFf</t>
  </si>
  <si>
    <t>TFRNLi5MLkYuVVNEAQAAAN/GBAACAAAABjIuNTM1MwEIAAAABQAAAAExAQAAAAstMjEwNzY4NjAwOAMAAAADMTYwAgAAAAQ0NDM2BAAAAAEwBwAAAAkzLzI1LzIwMjIIAAAACTEvMzEvMjAyMgkAAAABMAMuoMpODtoIAy6gyk4O2ggsQ0lRLk5ZU0U6V01ULklRX1VGQ0ZfTUFSR0lOLklRX0ZZLTYuLkwuRi5VU0QBAAAA38YEAAIAAAAGMy4zNDYxAQgAAAAFAAAAATEBAAAACjE4ODA3MTg3NjIDAAAAAzE2MAIAAAAENDQzNwQAAAABMAcAAAAJMy8yNS8yMDIyCAAAAAkxLzMxLzIwMTYJAAAAATADLqDKTg7aCAMuoMpODtoILENJUS5OWVNFOldNVC5JUV9VRkNGX01BUkdJTi5JUV9GWS01Li5MLkYuVVNEAQAAAN/GBAACAAAABjMuOTkwNgEIAAAABQAAAAExAQAAAAoxOTUxNTQwMzM1AwAAAAMxNjACAAAABDQ0MzcEAAAAATAHAAAACTMvMjUvMjAyMggAAAAJMS8zMS8yMDE3CQAAAAEwAy6gyk4O2ggDLqDKTg7aCCxDSVEuTllTRTpXTVQuSVFfVUZDRl9NQVJHSU4uSVFfRlktNC4uTC5GLlVTRAEAAADfxgQAAgAAAAYzLjU4ODQBCAAAAAUAAAABMQEAAAAKMjAyMzI0OTYxMQMAAAADMTYwAgAAAAQ0NDM3BAAAAAEwBwAAAAkzLzI1LzIwMjIIAAAACTEvMzEvMjAxOAkAAAABMAMuoMpODtoIAy6gyk4O2ggsQ0lRLk5ZU0U6V01ULklRX1VGQ0ZfTUFSR0lOLklRX0ZZLTMuLkwuRi5VU0QBAAAA38YEAAIAAAAGMi43</t>
  </si>
  <si>
    <t>ODk4AQgAAAAFAAAAATEBAAAACjIwODUxMzI5MzADAAAAAzE2MAIAAAAENDQzNwQAAAABMAcAAAAJMy8yNS8yMDIyCAAAAAkxLzMxLzIwMTkJAAAAATADLqDKTg7aCAMuoMpODtoILENJUS5OWVNFOldNVC5JUV9VRkNGX01BUkdJTi5JUV9GWS0yLi5MLkYuVVNEAQAAAN/GBAACAAAABjMuMTA4OAEIAAAABQAAAAExAQAAAAstMjEwNzY4NjI5MQMAAAADMTYwAgAAAAQ0NDM3BAAAAAEwBwAAAAkzLzI1LzIwMjIIAAAACTEvMzEvMjAyMAkAAAABMAMuoMpODtoIAy6gyk4O2ggsQ0lRLk5ZU0U6V01ULklRX1VGQ0ZfTUFSR0lOLklRX0ZZLTEuLkwuRi5VU0QBAAAA38YEAAIAAAAGMi45ODkyAQgAAAAFAAAAATEBAAAACy0yMTA3Njg2MjgxAwAAAAMxNjACAAAABDQ0MzcEAAAAATAHAAAACTMvMjUvMjAyMggAAAAJMS8zMS8yMDIxCQAAAAEwAy6gyk4O2ggDLqDKTg7aCCpDSVEuTllTRTpXTVQuSVFfVUZDRl9NQVJHSU4uSVFfRlkuLkwuRi5VU0QBAAAA38YEAAIAAAAGMi43NTI5AQgAAAAFAAAAATEBAAAACy0yMTA3Njg2MjgyAwAAAAMxNjACAAAABDQ0MzcEAAAAATAHAAAACTMvMjUvMjAyMggAAAAJMS8zMS8yMDIyCQAAAAEwAy6gyk4O2ggDLqDKTg7aCC1DSVEuTllTRTpXTVQuSVFfVUZDRl9NQVJHSU4uSVFfTFRNLTQuLkwuRi5VU0QBAAAA38YEAAIAAAAGMi45ODkyAQgAAAAFAAAAATEBAAAACy0yMTA3Njg1</t>
  </si>
  <si>
    <t>OTc3AwAAAAMxNjACAAAABDQ0MzcEAAAAATAHAAAACTMvMjUvMjAyMggAAAAJMS8zMS8yMDIxCQAAAAEwAy6gyk4O2ggDLqDKTg7aCCtDSVEuTllTRTpXTVQuSVFfVUZDRl9NQVJHSU4uSVFfTFRNLi5MLkYuVVNEAQAAAN/GBAACAAAABjIuNzUyOQEIAAAABQAAAAExAQAAAAstMjEwNzY4NjAwOAMAAAADMTYwAgAAAAQ0NDM3BAAAAAEwBwAAAAkzLzI1LzIwMjIIAAAACTEvMzEvMjAyMgkAAAABMAMuoMpODtoIAy6gyk4O2ggsQ0lRLk5ZU0U6V01ULklRX0FTU0VUX1RVUk5TLklRX0ZZLTYuLkwuRi5VU0QBAAAA38YEAAIAAAAIMi4zOTIyODMBCAAAAAUAAAABMQEAAAAKMTg4MDcxODc2MgMAAAADMTYwAgAAAAQ0MTc3BAAAAAEwBwAAAAkzLzI1LzIwMjIIAAAACTEvMzEvMjAxNgkAAAABMAMuoMpODtoIAy6gyk4O2ggsQ0lRLk5ZU0U6V01ULklRX0FTU0VUX1RVUk5TLklRX0ZZLTUuLkwuRi5VU0QBAAAA38YEAAIAAAAIMi40MzkwODQBCAAAAAUAAAABMQEAAAAKMTk1MTU0MDMzNQMAAAADMTYwAgAAAAQ0MTc3BAAAAAEwBwAAAAkzLzI1LzIwMjIIAAAACTEvMzEvMjAxNwkAAAABMAMuoMpODtoIAy6gyk4O2ggsQ0lRLk5ZU0U6V01ULklRX0FTU0VUX1RVUk5TLklRX0ZZLTQuLkwuRi5VU0QBAAAA38YEAAIAAAAIMi40ODA5NTUBCAAAAAUAAAABMQEAAAAKMjAyMzI0OTYxMQMAAAADMTYwAgAAAAQ0MTc3BAAA</t>
  </si>
  <si>
    <t>AAEwBwAAAAkzLzI1LzIwMjIIAAAACTEvMzEvMjAxOAkAAAABMAMuoMpODtoIAy6gyk4O2ggsQ0lRLk5ZU0U6V01ULklRX0FTU0VUX1RVUk5TLklRX0ZZLTMuLkwuRi5VU0QBAAAA38YEAAIAAAAIMi40Mjc0ODYBCAAAAAUAAAABMQEAAAAKMjA4NTEzMjkzMAMAAAADMTYwAgAAAAQ0MTc3BAAAAAEwBwAAAAkzLzI1LzIwMjIIAAAACTEvMzEvMjAxOQkAAAABMAMuoMpODtoIAy6gyk4O2ggsQ0lRLk5ZU0U6V01ULklRX0FTU0VUX1RVUk5TLklRX0ZZLTIuLkwuRi5VU0QBAAAA38YEAAIAAAAIMi4yOTkxNDYBCAAAAAUAAAABMQEAAAALLTIxMDc2ODYyOTEDAAAAAzE2MAIAAAAENDE3NwQAAAABMAcAAAAJMy8yNS8yMDIyCAAAAAkxLzMxLzIwMjAJAAAAATADLqDKTg7aCAMuoMpODtoILENJUS5OWVNFOldNVC5JUV9BU1NFVF9UVVJOUy5JUV9GWS0xLi5MLkYuVVNEAQAAAN/GBAACAAAACDIuMjg2OTU4AQgAAAAFAAAAATEBAAAACy0yMTA3Njg2MjgxAwAAAAMxNjACAAAABDQxNzcEAAAAATAHAAAACTMvMjUvMjAyMggAAAAJMS8zMS8yMDIxCQAAAAEwAy6gyk4O2ggDLqDKTg7aCCpDSVEuTllTRTpXTVQuSVFfQVNTRVRfVFVSTlMuSVFfRlkuLkwuRi5VU0QBAAAA38YEAAIAAAAIMi4zMDMxOTUBCAAAAAUAAAABMQEAAAALLTIxMDc2ODYyODIDAAAAAzE2MAIAAAAENDE3NwQAAAABMAcAAAAJMy8yNS8yMDIyCAAA</t>
  </si>
  <si>
    <t>AAkxLzMxLzIwMjIJAAAAATADLqDKTg7aCAMuoMpODtoILUNJUS5OWVNFOldNVC5JUV9BU1NFVF9UVVJOUy5JUV9MVE0tNC4uTC5GLlVTRAEAAADfxgQAAgAAAAgyLjI4Njk1OAEIAAAABQAAAAExAQAAAAstMjEwNzY4NTk3NwMAAAADMTYwAgAAAAQ0MTc3BAAAAAEwBwAAAAkzLzI1LzIwMjIIAAAACTEvMzEvMjAyMQkAAAABMAMuoMpODtoIAy6gyk4O2ggrQ0lRLk5ZU0U6V01ULklRX0FTU0VUX1RVUk5TLklRX0xUTS4uTC5GLlVTRAEAAADfxgQAAgAAAAgyLjMwMzE5NQEIAAAABQAAAAExAQAAAAstMjEwNzY4NjAwOAMAAAADMTYwAgAAAAQ0MTc3BAAAAAEwBwAAAAkzLzI1LzIwMjIIAAAACTEvMzEvMjAyMgkAAAABMAMuoMpODtoIAy6gyk4O2ggyQ0lRLk5ZU0U6V01ULklRX0ZJWEVEX0FTU0VUX1RVUk5TLklRX0ZZLTYuLkwuRi5VU0QBAAAA38YEAAIAAAAINC4xMzU0MTkBCAAAAAUAAAABMQEAAAAKMTg4MDcxODc2MgMAAAADMTYwAgAAAAQ0MDY2BAAAAAEwBwAAAAkzLzI1LzIwMjIIAAAACTEvMzEvMjAxNgkAAAABMAMuoMpODtoIAy6gyk4O2ggyQ0lRLk5ZU0U6V01ULklRX0ZJWEVEX0FTU0VUX1RVUk5TLklRX0ZZLTUuLkwuRi5VU0QBAAAA38YEAAIAAAAINC4yMTIyNzIBCAAAAAUAAAABMQEAAAAKMTk1MTU0MDMzNQMAAAADMTYwAgAAAAQ0MDY2BAAAAAEwBwAAAAkzLzI1LzIwMjIIAAAACTEvMzEv</t>
  </si>
  <si>
    <t>MjAxNwkAAAABMAMuoMpODtoIAy6gyk4O2ggyQ0lRLk5ZU0U6V01ULklRX0ZJWEVEX0FTU0VUX1RVUk5TLklRX0ZZLTQuLkwuRi5VU0QBAAAA38YEAAIAAAAINC4zNjk4ODQBCAAAAAUAAAABMQEAAAAKMjAyMzI0OTYxMQMAAAADMTYwAgAAAAQ0MDY2BAAAAAEwBwAAAAkzLzI1LzIwMjIIAAAACTEvMzEvMjAxOAkAAAABMAMuoMpODtoIAy6gyk4O2ggyQ0lRLk5ZU0U6V01ULklRX0ZJWEVEX0FTU0VUX1RVUk5TLklRX0ZZLTMuLkwuRi5VU0QBAAAA38YEAAIAAAAHNC41NDc5NwEIAAAABQAAAAExAQAAAAoyMDg1MTMyOTMwAwAAAAMxNjACAAAABDQwNjYEAAAAATAHAAAACTMvMjUvMjAyMggAAAAJMS8zMS8yMDE5CQAAAAEwAy6gyk4O2ggDLqDKTg7aCDJDSVEuTllTRTpXTVQuSVFfRklYRURfQVNTRVRfVFVSTlMuSVFfRlktMi4uTC5GLlVTRAEAAADfxgQAAgAAAAc0LjM5NDg2AQgAAAAFAAAAATEBAAAACy0yMTA3Njg2MjkxAwAAAAMxNjACAAAABDQwNjYEAAAAATAHAAAACTMvMjUvMjAyMggAAAAJMS8zMS8yMDIwCQAAAAEwAy6gyk4O2ggDLqDKTg7aCDJDSVEuTllTRTpXTVQuSVFfRklYRURfQVNTRVRfVFVSTlMuSVFfRlktMS4uTC5GLlVTRAEAAADfxgQAAgAAAAg0LjcyMDYyNQEIAAAABQAAAAExAQAAAAstMjEwNzY4NjI4MQMAAAADMTYwAgAAAAQ0MDY2BAAAAAEwBwAAAAkzLzI1LzIwMjIIAAAACTEv</t>
  </si>
  <si>
    <t>MzEvMjAyMQkAAAABMAMuoMpODtoIAy6gyk4O2ggwQ0lRLk5ZU0U6V01ULklRX0ZJWEVEX0FTU0VUX1RVUk5TLklRX0ZZLi5MLkYuVVNEAQAAAN/GBAACAAAACDUuMTQ4OTk4AQgAAAAFAAAAATEBAAAACy0yMTA3Njg2MjgyAwAAAAMxNjACAAAABDQwNjYEAAAAATAHAAAACTMvMjUvMjAyMggAAAAJMS8zMS8yMDIyCQAAAAEwAy6gyk4O2ggDLqDKTg7aCDNDSVEuTllTRTpXTVQuSVFfRklYRURfQVNTRVRfVFVSTlMuSVFfTFRNLTQuLkwuRi5VU0QBAAAA38YEAAIAAAAINC43MjA2MjUBCAAAAAUAAAABMQEAAAALLTIxMDc2ODU5NzcDAAAAAzE2MAIAAAAENDA2NgQAAAABMAcAAAAJMy8yNS8yMDIyCAAAAAkxLzMxLzIwMjEJAAAAATADLqDKTg7aCAMuoMpODtoIMUNJUS5OWVNFOldNVC5JUV9GSVhFRF9BU1NFVF9UVVJOUy5JUV9MVE0uLkwuRi5VU0QBAAAA38YEAAIAAAAINS4xNDg5OTgBCAAAAAUAAAABMQEAAAALLTIxMDc2ODYwMDgDAAAAAzE2MAIAAAAENDA2NgQAAAABMAcAAAAJMy8yNS8yMDIyCAAAAAkxLzMxLzIwMjIJAAAAATADLqDKTg7aCAMuoMpODtoIKUNJUS5OWVNFOldNVC5JUV9BUl9UVVJOUy5JUV9GWS02Li5MLkYuVVNEAQAAAN/GBAACAAAACTc3Ljc1MDM2MgEIAAAABQAAAAExAQAAAAoxODgwNzE4NzYyAwAAAAMxNjACAAAABDQwMDEEAAAAATAHAAAACTMvMjUvMjAyMggAAAAJMS8zMS8y</t>
  </si>
  <si>
    <t>MDE2CQAAAAEwAy6gyk4O2ggDLqDKTg7aCClDSVEuTllTRTpXTVQuSVFfQVJfVFVSTlMuSVFfRlktNS4uTC5GLlVTRAEAAADfxgQAAgAAAAk4NC44MDE5ODkBCAAAAAUAAAABMQEAAAAKMTk1MTU0MDMzNQMAAAADMTYwAgAAAAQ0MDAxBAAAAAEwBwAAAAkzLzI1LzIwMjIIAAAACTEvMzEvMjAxNwkAAAABMAMuoMpODtoIAy6gyk4O2ggpQ0lRLk5ZU0U6V01ULklRX0FSX1RVUk5TLklRX0ZZLTQuLkwuRi5VU0QBAAAA38YEAAIAAAAIODcuNDAzNzkBCAAAAAUAAAABMQEAAAAKMjAyMzI0OTYxMQMAAAADMTYwAgAAAAQ0MDAxBAAAAAEwBwAAAAkzLzI1LzIwMjIIAAAACTEvMzEvMjAxOAkAAAABMAMuoMpODtoIAy6gyk4O2ggpQ0lRLk5ZU0U6V01ULklRX0FSX1RVUk5TLklRX0ZZLTMuLkwuRi5VU0QBAAAA38YEAAIAAAAJODYuNDc2NDIyAQgAAAAFAAAAATEBAAAACjIwODUxMzI5MzADAAAAAzE2MAIAAAAENDAwMQQAAAABMAcAAAAJMy8yNS8yMDIyCAAAAAkxLzMxLzIwMTkJAAAAATADLqDKTg7aCAMuoMpODtoIKUNJUS5OWVNFOldNVC5JUV9BUl9UVVJOUy5JUV9GWS0yLi5MLkYuVVNEAQAAAN/GBAACAAAACTgzLjM4NzI4NAEIAAAABQAAAAExAQAAAAstMjEwNzY4NjI5MQMAAAADMTYwAgAAAAQ0MDAxBAAAAAEwBwAAAAkzLzI1LzIwMjIIAAAACTEvMzEvMjAyMAkAAAABMAMuoMpODtoIAy6gyk4O2ggpQ0lR</t>
  </si>
  <si>
    <t>Lk5ZU0U6V01ULklRX0FSX1RVUk5TLklRX0ZZLTEuLkwuRi5VU0QBAAAA38YEAAIAAAAJODcuMzY3MzQzAQgAAAAFAAAAATEBAAAACy0yMTA3Njg2MjgxAwAAAAMxNjACAAAABDQwMDEEAAAAATAHAAAACTMvMjUvMjAyMggAAAAJMS8zMS8yMDIxCQAAAAEwAy6gyk4O2ggDLqDKTg7aCCdDSVEuTllTRTpXTVQuSVFfQVJfVFVSTlMuSVFfRlkuLkwuRi5VU0QBAAAA38YEAAIAAAAJNzcuNDIwMTEzAQgAAAAFAAAAATEBAAAACy0yMTA3Njg2MjgyAwAAAAMxNjACAAAABDQwMDEEAAAAATAHAAAACTMvMjUvMjAyMggAAAAJMS8zMS8yMDIyCQAAAAEwAy6gyk4O2ggDLqDKTg7aCCpDSVEuTllTRTpXTVQuSVFfQVJfVFVSTlMuSVFfTFRNLTQuLkwuRi5VU0QBAAAA38YEAAIAAAAJODcuMzY3MzQzAQgAAAAFAAAAATEBAAAACy0yMTA3Njg1OTc3AwAAAAMxNjACAAAABDQwMDEEAAAAATAHAAAACTMvMjUvMjAyMggAAAAJMS8zMS8yMDIxCQAAAAEwAy6gyk4O2ggDLqDKTg7aCChDSVEuTllTRTpXTVQuSVFfQVJfVFVSTlMuSVFfTFRNLi5MLkYuVVNEAQAAAN/GBAACAAAACTc3LjQyMDExMwEIAAAABQAAAAExAQAAAAstMjEwNzY4NjAwOAMAAAADMTYwAgAAAAQ0MDAxBAAAAAEwBwAAAAkzLzI1LzIwMjIIAAAACTEvMzEvMjAyMgkAAAABMAMuoMpODtoIAy6gyk4O2ggwQ0lRLk5ZU0U6V01ULklRX0lOVkVOVE9SWV9UVVJO</t>
  </si>
  <si>
    <t>Uy5JUV9GWS02Li5MLkYuVVNEAQAAAN/GBAACAAAACDguMDU2Nzc5AQgAAAAFAAAAATEBAAAACjE4ODA3MTg3NjIDAAAAAzE2MAIAAAAENDA4MgQAAAABMAcAAAAJMy8yNS8yMDIyCAAAAAkxLzMxLzIwMTYJAAAAATADLqDKTg7aCAMuoMpODtoIMENJUS5OWVNFOldNVC5JUV9JTlZFTlRPUllfVFVSTlMuSVFfRlktNS4uTC5GLlVTRAEAAADfxgQAAgAAAAg4LjI1NTg2NAEIAAAABQAAAAExAQAAAAoxOTUxNTQwMzM1AwAAAAMxNjACAAAABDQwODIEAAAAATAHAAAACTMvMjUvMjAyMggAAAAJMS8zMS8yMDE3CQAAAAEwAy6gyk4O2ggDLqDKTg7aCDBDSVEuTllTRTpXTVQuSVFfSU5WRU5UT1JZX1RVUk5TLklRX0ZZLTQuLkwuRi5VU0QBAAAA38YEAAIAAAAHOC42MDA3MgEIAAAABQAAAAExAQAAAAoyMDIzMjQ5NjExAwAAAAMxNjACAAAABDQwODIEAAAAATAHAAAACTMvMjUvMjAyMggAAAAJMS8zMS8yMDE4CQAAAAEwAy6gyk4O2ggDLqDKTg7aCDBDSVEuTllTRTpXTVQuSVFfSU5WRU5UT1JZX1RVUk5TLklRX0ZZLTMuLkwuRi5VU0QBAAAA38YEAAIAAAAIOC43NTE2NjkBCAAAAAUAAAABMQEAAAAKMjA4NTEzMjkzMAMAAAADMTYwAgAAAAQ0MDgyBAAAAAEwBwAAAAkzLzI1LzIwMjIIAAAACTEvMzEvMjAxOQkAAAABMAMuoMpODtoIAy6gyk4O2ggwQ0lRLk5ZU0U6V01ULklRX0lOVkVOVE9SWV9UVVJOUy5JUV9G</t>
  </si>
  <si>
    <t>WS0yLi5MLkYuVVNEAQAAAN/GBAACAAAACDguODk3MTE4AQgAAAAFAAAAATEBAAAACy0yMTA3Njg2MjkxAwAAAAMxNjACAAAABDQwODIEAAAAATAHAAAACTMvMjUvMjAyMggAAAAJMS8zMS8yMDIwCQAAAAEwAy6gyk4O2ggDLqDKTg7aCDBDSVEuTllTRTpXTVQuSVFfSU5WRU5UT1JZX1RVUk5TLklRX0ZZLTEuLkwuRi5VU0QBAAAA38YEAAIAAAAIOS40MDQ3MDMBCAAAAAUAAAABMQEAAAALLTIxMDc2ODYyODEDAAAAAzE2MAIAAAAENDA4MgQAAAABMAcAAAAJMy8yNS8yMDIyCAAAAAkxLzMxLzIwMjEJAAAAATADLqDKTg7aCAMuoMpODtoILkNJUS5OWVNFOldNVC5JUV9JTlZFTlRPUllfVFVSTlMuSVFfRlkuLkwuRi5VU0QBAAAA38YEAAIAAAAIOC40NTY1MzQBCAAAAAUAAAABMQEAAAALLTIxMDc2ODYyODIDAAAAAzE2MAIAAAAENDA4MgQAAAABMAcAAAAJMy8yNS8yMDIyCAAAAAkxLzMxLzIwMjIJAAAAATADLqDKTg7aCAMuoMpODtoIMUNJUS5OWVNFOldNVC5JUV9JTlZFTlRPUllfVFVSTlMuSVFfTFRNLTQuLkwuRi5VU0QBAAAA38YEAAIAAAAIOS40MDQ3MDMBCAAAAAUAAAABMQEAAAALLTIxMDc2ODU5NzcDAAAAAzE2MAIAAAAENDA4MgQAAAABMAcAAAAJMy8yNS8yMDIyCAAAAAkxLzMxLzIwMjEJAAAAATADLqDKTg7aCAMuoMpODtoIL0NJUS5OWVNFOldNVC5JUV9JTlZFTlRPUllfVFVSTlMuSVFfTFRN</t>
  </si>
  <si>
    <t>Li5MLkYuVVNEAQAAAN/GBAACAAAACDguNDU2NTM0AQgAAAAFAAAAATEBAAAACy0yMTA3Njg2MDA4AwAAAAMxNjACAAAABDQwODIEAAAAATAHAAAACTMvMjUvMjAyMggAAAAJMS8zMS8yMDIyCQAAAAEwAy6gyk4O2ggDLqDKTg7aCC5DSVEuTllTRTpXTVQuSVFfQ1VSUkVOVF9SQVRJTy5JUV9GWS02Li5MLkYuVVNEAQAAAN/GBAACAAAACDAuOTMyMjE4AQgAAAAFAAAAATEBAAAACjE4ODA3MTg3NjIDAAAAAzE2MAIAAAAENDAzMAQAAAABMAcAAAAJMy8yNS8yMDIyCAAAAAkxLzMxLzIwMTYJAAAAATADLqDKTg7aCAMuoMpODtoILkNJUS5OWVNFOldNVC5JUV9DVVJSRU5UX1JBVElPLklRX0ZZLTUuLkwuRi5VU0QBAAAA38YEAAIAAAAIMC44NjE5NTYBCAAAAAUAAAABMQEAAAAKMTk1MTU0MDMzNQMAAAADMTYwAgAAAAQ0MDMwBAAAAAEwBwAAAAkzLzI1LzIwMjIIAAAACTEvMzEvMjAxNwkAAAABMAMuoMpODtoIAy6gyk4O2gguQ0lRLk5ZU0U6V01ULklRX0NVUlJFTlRfUkFUSU8uSVFfRlktNC4uTC5GLlVTRAEAAADfxgQAAgAAAAgwLjc1OTg0NwEIAAAABQAAAAExAQAAAAoyMDIzMjQ5NjExAwAAAAMxNjACAAAABDQwMzAEAAAAATAHAAAACTMvMjUvMjAyMggAAAAJMS8zMS8yMDE4CQAAAAEwAy6gyk4O2ggDLqDKTg7aCC5DSVEuTllTRTpXTVQuSVFfQ1VSUkVOVF9SQVRJTy5JUV9GWS0zLi5MLkYuVVNEAQAA</t>
  </si>
  <si>
    <t>AN/GBAACAAAACDAuNzk4OTA4AQgAAAAFAAAAATEBAAAACjIwODUxMzI5MzADAAAAAzE2MAIAAAAENDAzMAQAAAABMAcAAAAJMy8yNS8yMDIyCAAAAAkxLzMxLzIwMTkJAAAAATADLqDKTg7aCAMuoMpODtoILkNJUS5OWVNFOldNVC5JUV9DVVJSRU5UX1JBVElPLklRX0ZZLTIuLkwuRi5VU0QBAAAA38YEAAIAAAAIMC43OTQ1MjMBCAAAAAUAAAABMQEAAAALLTIxMDc2ODYyOTEDAAAAAzE2MAIAAAAENDAzMAQAAAABMAcAAAAJMy8yNS8yMDIyCAAAAAkxLzMxLzIwMjAJAAAAATADLqDKTg7aCAMuoMpODtoILkNJUS5OWVNFOldNVC5JUV9DVVJSRU5UX1JBVElPLklRX0ZZLTEuLkwuRi5VU0QBAAAA38YEAAIAAAAIMC45NzIxNzMBCAAAAAUAAAABMQEAAAALLTIxMDc2ODYyODEDAAAAAzE2MAIAAAAENDAzMAQAAAABMAcAAAAJMy8yNS8yMDIyCAAAAAkxLzMxLzIwMjEJAAAAATADLqDKTg7aCAMuoMpODtoILENJUS5OWVNFOldNVC5JUV9DVVJSRU5UX1JBVElPLklRX0ZZLi5MLkYuVVNEAQAAAN/GBAACAAAACDAuOTI3Nzk3AQgAAAAFAAAAATEBAAAACy0yMTA3Njg2MjgyAwAAAAMxNjACAAAABDQwMzAEAAAAATAHAAAACTMvMjUvMjAyMggAAAAJMS8zMS8yMDIyCQAAAAEwAy6gyk4O2ggDLqDKTg7aCC9DSVEuTllTRTpXTVQuSVFfQ1VSUkVOVF9SQVRJTy5JUV9MVE0tNC4uTC5GLlVTRAEAAADfxgQAAgAAAAgw</t>
  </si>
  <si>
    <t>Ljk3MjE3MwEIAAAABQAAAAExAQAAAAstMjEwNzY4NTk3NwMAAAADMTYwAgAAAAQ0MDMwBAAAAAEwBwAAAAkzLzI1LzIwMjIIAAAACTEvMzEvMjAyMQkAAAABMAMuoMpODtoIAy6gyk4O2ggtQ0lRLk5ZU0U6V01ULklRX0NVUlJFTlRfUkFUSU8uSVFfTFRNLi5MLkYuVVNEAQAAAN/GBAACAAAACDAuOTI3Nzk3AQgAAAAFAAAAATEBAAAACy0yMTA3Njg2MDA4AwAAAAMxNjACAAAABDQwMzAEAAAAATAHAAAACTMvMjUvMjAyMggAAAAJMS8zMS8yMDIyCQAAAAEwAy6gyk4O2ggDLqDKTg7aCCxDSVEuTllTRTpXTVQuSVFfUVVJQ0tfUkFUSU8uSVFfRlktNi4uTC5GLlVTRAEAAADfxgQAAgAAAAgwLjIyMTc0NQEIAAAABQAAAAExAQAAAAoxODgwNzE4NzYyAwAAAAMxNjACAAAABDQxMjEEAAAAATAHAAAACTMvMjUvMjAyMggAAAAJMS8zMS8yMDE2CQAAAAEwAy6gyk4O2ggDLqDKTg7aCCxDSVEuTllTRTpXTVQuSVFfUVVJQ0tfUkFUSU8uSVFfRlktNS4uTC5GLlVTRAEAAADfxgQAAgAAAAgwLjE4OTc4NgEIAAAABQAAAAExAQAAAAoxOTUxNTQwMzM1AwAAAAMxNjACAAAABDQxMjEEAAAAATAHAAAACTMvMjUvMjAyMggAAAAJMS8zMS8yMDE3CQAAAAEwAy6gyk4O2ggDLqDKTg7aCCxDSVEuTllTRTpXTVQuSVFfUVVJQ0tfUkFUSU8uSVFfRlktNC4uTC5GLlVTRAEAAADfxgQAAgAAAAgwLjE1NzUzNwEIAAAABQAAAAEx</t>
  </si>
  <si>
    <t>AQAAAAoyMDIzMjQ5NjExAwAAAAMxNjACAAAABDQxMjEEAAAAATAHAAAACTMvMjUvMjAyMggAAAAJMS8zMS8yMDE4CQAAAAEwAy6gyk4O2ggDLqDKTg7aCCxDSVEuTllTRTpXTVQuSVFfUVVJQ0tfUkFUSU8uSVFfRlktMy4uTC5GLlVTRAEAAADfxgQAAgAAAAgwLjE4MDc2MwEIAAAABQAAAAExAQAAAAoyMDg1MTMyOTMwAwAAAAMxNjACAAAABDQxMjEEAAAAATAHAAAACTMvMjUvMjAyMggAAAAJMS8zMS8yMDE5CQAAAAEwAy6gyk4O2ggDLqDKTg7aCCxDSVEuTllTRTpXTVQuSVFfUVVJQ0tfUkFUSU8uSVFfRlktMi4uTC5GLlVTRAEAAADfxgQAAgAAAAgwLjIwMjQ1NQEIAAAABQAAAAExAQAAAAstMjEwNzY4NjI5MQMAAAADMTYwAgAAAAQ0MTIxBAAAAAEwBwAAAAkzLzI1LzIwMjIIAAAACTEvMzEvMjAyMAkAAAABMAMuoMpODtoIAy6gyk4O2ggsQ0lRLk5ZU0U6V01ULklRX1FVSUNLX1JBVElPLklRX0ZZLTEuLkwuRi5VU0QBAAAA38YEAAIAAAAIMC4yNjE4MjcBCAAAAAUAAAABMQEAAAALLTIxMDc2ODYyODEDAAAAAzE2MAIAAAAENDEyMQQAAAABMAcAAAAJMy8yNS8yMDIyCAAAAAkxLzMxLzIwMjEJAAAAATADLqDKTg7aCAMuoMpODtoIKkNJUS5OWVNFOldNVC5JUV9RVUlDS19SQVRJTy5JUV9GWS4uTC5GLlVTRAEAAADfxgQAAgAAAAgwLjI2MzY3OAEIAAAABQAAAAExAQAAAAstMjEwNzY4NjI4MgMAAAAD</t>
  </si>
  <si>
    <t>MTYwAgAAAAQ0MTIxBAAAAAEwBwAAAAkzLzI1LzIwMjIIAAAACTEvMzEvMjAyMgkAAAABMAMuoMpODtoIAy6gyk4O2ggtQ0lRLk5ZU0U6V01ULklRX1FVSUNLX1JBVElPLklRX0xUTS00Li5MLkYuVVNEAQAAAN/GBAACAAAACDAuMjYxODI3AQgAAAAFAAAAATEBAAAACy0yMTA3Njg1OTc3AwAAAAMxNjACAAAABDQxMjEEAAAAATAHAAAACTMvMjUvMjAyMggAAAAJMS8zMS8yMDIxCQAAAAEwAy6gyk4O2ggDLqDKTg7aCCtDSVEuTllTRTpXTVQuSVFfUVVJQ0tfUkFUSU8uSVFfTFRNLi5MLkYuVVNEAQAAAN/GBAACAAAACDAuMjYzNjc4AQgAAAAFAAAAATEBAAAACy0yMTA3Njg2MDA4AwAAAAMxNjACAAAABDQxMjEEAAAAATAHAAAACTMvMjUvMjAyMggAAAAJMS8zMS8yMDIyCQAAAAEwAy6gyk4O2ggDLqDKTg7aCDNDSVEuTllTRTpXTVQuSVFfVE9UQUxfREVCVF9FUVVJVFkuSVFfTFRNLTQuLkwuRi5VU0QBAAAA38YEAAIAAAAHNzIuNzA1NgEIAAAABQAAAAExAQAAAAstMjEwNzY4NTk3NwMAAAADMTYwAgAAAAQ0MDM0BAAAAAEwBwAAAAkzLzI1LzIwMjIIAAAACTEvMzEvMjAyMQkAAAABMAMuoMpODtoIAy6gyk4O2ggxQ0lRLk5ZU0U6V01ULklRX1RPVEFMX0RFQlRfRVFVSVRZLklRX0xUTS4uTC5GLlVTRAEAAADfxgQAAgAAAAc2My41NzMxAQgAAAAFAAAAATEBAAAACy0yMTA3Njg2MDA4AwAAAAMxNjACAAAA</t>
  </si>
  <si>
    <t>BDQwMzQEAAAAATAHAAAACTMvMjUvMjAyMggAAAAJMS8zMS8yMDIyCQAAAAEwAy6gyk4O2ggDLqDKTg7aCDRDSVEuTllTRTpXTVQuSVFfVE9UQUxfREVCVF9DQVBJVEFMLklRX0xUTS00Li5MLkYuVVNEAQAAAN/GBAACAAAABjQyLjA5OAEIAAAABQAAAAExAQAAAAstMjEwNzY4NTk3NwMAAAADMTYwAgAAAAQ0MTg2BAAAAAEwBwAAAAkzLzI1LzIwMjIIAAAACTEvMzEvMjAyMQkAAAABMAMuoMpODtoIAy6gyk4O2ggyQ0lRLk5ZU0U6V01ULklRX1RPVEFMX0RFQlRfQ0FQSVRBTC5JUV9MVE0uLkwuRi5VU0QBAAAA38YEAAIAAAAHMzguODY1MgEIAAAABQAAAAExAQAAAAstMjEwNzY4NjAwOAMAAAADMTYwAgAAAAQ0MTg2BAAAAAEwBwAAAAkzLzI1LzIwMjIIAAAACTEvMzEvMjAyMgkAAAABMAMuoMpODtoIAy6gyk4O2ggzQ0lRLk5ZU0U6V01ULklRX1RPVEFMX0RFQlRfRUJJVERBLklRX0xUTS00Li5MLkYuVVNEAQAAAN/GBAACAAAACDEuNTMzMzgzAQgAAAAFAAAAATEBAAAACy0yMTA3Njg1OTc3AwAAAAMxNjACAAAABDQxOTIEAAAAATAHAAAACTMvMjUvMjAyMggAAAAJMS8zMS8yMDIxCQAAAAEwAy6gyk4O2ggDLqDKTg7aCDFDSVEuTllTRTpXTVQuSVFfVE9UQUxfREVCVF9FQklUREEuSVFfTFRNLi5MLkYuVVNEAQAAAN/GBAACAAAACDEuNDcxNTk3AQgAAAAFAAAAATEBAAAACy0yMTA3Njg2MDA4AwAAAAMx</t>
  </si>
  <si>
    <t>NjACAAAABDQxOTIEAAAAATAHAAAACTMvMjUvMjAyMggAAAAJMS8zMS8yMDIyCQAAAAEwAy6gyk4O2ggDLqDKTg7aCDFDSVEuTllTRTpXTVQuSVFfTkVUX0RFQlRfRUJJVERBLklRX0xUTS00Li5MLkYuVVNEAQAAAN/GBAACAAAABzEuMTA1OTIBCAAAAAUAAAABMQEAAAALLTIxMDc2ODU5NzcDAAAAAzE2MAIAAAAENDE5MwQAAAABMAcAAAAJMy8yNS8yMDIyCAAAAAkxLzMxLzIwMjEJAAAAATADLqDKTg7aCAMuoMpODtoIL0NJUS5OWVNFOldNVC5JUV9ORVRfREVCVF9FQklUREEuSVFfTFRNLi5MLkYuVVNEAQAAAN/GBAACAAAABzEuMDk5NzgBCAAAAAUAAAABMQEAAAALLTIxMDc2ODYwMDgDAAAAAzE2MAIAAAAENDE5MwQAAAABMAcAAAAJMy8yNS8yMDIyCAAAAAkxLzMxLzIwMjIJAAAAATADLqDKTg7aCAMuoMpODtoIJkNJUS5OWVNFOldNVC5JUV9FQklUREEuSVFfRlktNi4uTC4uVVNEAQAAAN/GBAACAAAABTMzNTU5AQgAAAAFAAAAATEBAAAACjE4ODA3MTg3NjIDAAAAAzE2MAIAAAAENDA1MQQAAAABMAcAAAAJMy8yNS8yMDIyCAAAAAkxLzMxLzIwMTYJAAAAATADLqDKTg7aCAMuoMpODtoIJkNJUS5OWVNFOldNVC5JUV9FQklUREEuSVFfRlktNS4uTC4uVVNEAQAAAN/GBAACAAAABTMyODQ0AQgAAAAFAAAAATEBAAAACjE5NTE1NDAzMzUDAAAAAzE2MAIAAAAENDA1MQQAAAABMAcAAAAJMy8yNS8yMDIy</t>
  </si>
  <si>
    <t>CAAAAAkxLzMxLzIwMTcJAAAAATADLqDKTg7aCAMuoMpODtoIJkNJUS5OWVNFOldNVC5JUV9FQklUREEuSVFfRlktNC4uTC4uVVNEAQAAAN/GBAACAAAABTMxNDY2AQgAAAAFAAAAATEBAAAACjIwMjMyNDk2MTEDAAAAAzE2MAIAAAAENDA1MQQAAAABMAcAAAAJMy8yNS8yMDIyCAAAAAkxLzMxLzIwMTgJAAAAATADLqDKTg7aCAMuoMpODtoIJkNJUS5OWVNFOldNVC5JUV9FQklUREEuSVFfRlktMy4uTC4uVVNEAQAAAN/GBAACAAAABTMyNjM1AQgAAAAFAAAAATEBAAAACjIwODUxMzI5MzADAAAAAzE2MAIAAAAENDA1MQQAAAABMAcAAAAJMy8yNS8yMDIyCAAAAAkxLzMxLzIwMTkJAAAAATADLqDKTg7aCAMuoMpODtoIJkNJUS5OWVNFOldNVC5JUV9FQklUREEuSVFfRlktMi4uTC4uVVNEAQAAAN/GBAACAAAABTMyNDU1AQgAAAAFAAAAATEBAAAACy0yMTA3Njg2MjkxAwAAAAMxNjACAAAABDQwNTEEAAAAATAHAAAACTMvMjUvMjAyMggAAAAJMS8zMS8yMDIwCQAAAAEwAy6gyk4O2ggDLqDKTg7aCCZDSVEuTllTRTpXTVQuSVFfRUJJVERBLklRX0ZZLTEuLkwuLlVTRAEAAADfxgQAAgAAAAUzODEwMAEIAAAABQAAAAExAQAAAAstMjEwNzY4NjI4MQMAAAADMTYwAgAAAAQ0MDUxBAAAAAEwBwAAAAkzLzI1LzIwMjIIAAAACTEvMzEvMjAyMQkAAAABMAMuoMpODtoIAy6gyk4O2ggkQ0lRLk5ZU0U6V01ULklRX0VC</t>
  </si>
  <si>
    <t>SVREQS5JUV9GWS4uTC4uVVNEAQAAAN/GBAACAAAABTM2NjAwAQgAAAAFAAAAATEBAAAACy0yMTA3Njg2MjgyAwAAAAMxNjACAAAABDQwNTEEAAAAATAHAAAACTMvMjUvMjAyMggAAAAJMS8zMS8yMDIyCQAAAAEwAy6gyk4O2ggDLqDKTg7aCCdDSVEuTllTRTpXTVQuSVFfRUJJVERBLklRX0xUTS00Li5MLi5VU0QBAAAA38YEAAIAAAAFMzgxMDABCAAAAAUAAAABMQEAAAALLTIxMDc2ODU5NzcDAAAAAzE2MAIAAAAENDA1MQQAAAABMAcAAAAJMy8yNS8yMDIyCAAAAAkxLzMxLzIwMjEJAAAAATADLqDKTg7aCAMuoMpODtoIJUNJUS5OWVNFOldNVC5JUV9FQklUREEuSVFfTFRNLi5MLi5VU0QBAAAA38YEAAIAAAAFMzY2MDABCAAAAAUAAAABMQEAAAALLTIxMDc2ODYwMDgDAAAAAzE2MAIAAAAENDA1MQQAAAABMAcAAAAJMy8yNS8yMDIyCAAAAAkxLzMxLzIwMjIJAAAAATADLqDKTg7aCAMuoMpODtoIIkNJUS5OWVNFOldNVC5JUV9OSS5JUV9GWS02Li5MLi5VU0QBAAAA38YEAAIAAAAFMTQ2OTQBCAAAAAUAAAABMQEAAAAKMTg4MDcxODc2MgMAAAADMTYwAgAAAAIxNQQAAAABMAcAAAAJMy8yNS8yMDIyCAAAAAkxLzMxLzIwMTYJAAAAATADLqDKTg7aCAMuoMpODtoIIkNJUS5OWVNFOldNVC5JUV9OSS5JUV9GWS01Li5MLi5VU0QBAAAA38YEAAIAAAAFMTM2NDMBCAAAAAUAAAABMQEAAAAKMTk1MTU0MDMzNQMA</t>
  </si>
  <si>
    <t>AAADMTYwAgAAAAIxNQQAAAABMAcAAAAJMy8yNS8yMDIyCAAAAAkxLzMxLzIwMTcJAAAAATADLqDKTg7aCAMuoMpODtoIIkNJUS5OWVNFOldNVC5JUV9OSS5JUV9GWS00Li5MLi5VU0QBAAAA38YEAAIAAAAEOTg2MgEIAAAABQAAAAExAQAAAAoyMDIzMjQ5NjExAwAAAAMxNjACAAAAAjE1BAAAAAEwBwAAAAkzLzI1LzIwMjIIAAAACTEvMzEvMjAxOAkAAAABMAMuoMpODtoIAy6gyk4O2ggiQ0lRLk5ZU0U6V01ULklRX05JLklRX0ZZLTMuLkwuLlVTRAEAAADfxgQAAgAAAAQ2NjcwAQgAAAAFAAAAATEBAAAACjIwODUxMzI5MzADAAAAAzE2MAIAAAACMTUEAAAAATAHAAAACTMvMjUvMjAyMggAAAAJMS8zMS8yMDE5CQAAAAEwAy6gyk4O2ggDLqDKTg7aCCJDSVEuTllTRTpXTVQuSVFfTkkuSVFfRlktMi4uTC4uVVNEAQAAAN/GBAACAAAABTE0ODgxAQgAAAAFAAAAATEBAAAACy0yMTA3Njg2MjkxAwAAAAMxNjACAAAAAjE1BAAAAAEwBwAAAAkzLzI1LzIwMjIIAAAACTEvMzEvMjAyMAkAAAABMAMuoMpODtoIAy6gyk4O2ggiQ0lRLk5ZU0U6V01ULklRX05JLklRX0ZZLTEuLkwuLlVTRAEAAADfxgQAAgAAAAUxMzUxMAEIAAAABQAAAAExAQAAAAstMjEwNzY4NjI4MQMAAAADMTYwAgAAAAIxNQQAAAABMAcAAAAJMy8yNS8yMDIyCAAAAAkxLzMxLzIwMjEJAAAAATADLqDKTg7aCAMuoMpODtoIIENJUS5OWVNFOldN</t>
  </si>
  <si>
    <t>VC5JUV9OSS5JUV9GWS4uTC4uVVNEAQAAAN/GBAACAAAABTEzNjczAQgAAAAFAAAAATEBAAAACy0yMTA3Njg2MjgyAwAAAAMxNjACAAAAAjE1BAAAAAEwBwAAAAkzLzI1LzIwMjIIAAAACTEvMzEvMjAyMgkAAAABMAMuoMpODtoIAy6gyk4O2ggjQ0lRLk5ZU0U6V01ULklRX05JLklRX0xUTS00Li5MLi5VU0QBAAAA38YEAAIAAAAFMTM1MTABCAAAAAUAAAABMQEAAAALLTIxMDc2ODU5NzcDAAAAAzE2MAIAAAACMTUEAAAAATAHAAAACTMvMjUvMjAyMggAAAAJMS8zMS8yMDIxCQAAAAEwAy6gyk4O2ggDLqDKTg7aCCFDSVEuTllTRTpXTVQuSVFfTkkuSVFfTFRNLi5MLi5VU0QBAAAA38YEAAIAAAAFMTM2NzMBCAAAAAUAAAABMQEAAAALLTIxMDc2ODYwMDgDAAAAAzE2MAIAAAACMTUEAAAAATAHAAAACTMvMjUvMjAyMggAAAAJMS8zMS8yMDIyCQAAAAEwAy6gyk4O2ggDLqDKTg7aCC9DSVEuTllTRTpXTVQuSVFfQ0FTSF9TVF9JTlZFU1QuSVFfRlktNi4uTC5GLlVTRAEAAADfxgQAAgAAAAQ4NzA1AQgAAAAFAAAAATEBAAAACjE4ODA3MTg3NjIDAAAAAzE2MAIAAAAEMTAwMgQAAAABMAcAAAAJMy8yNS8yMDIyCAAAAAkxLzMxLzIwMTYJAAAAATADLqDKTg7aCAMuoMpODtoIL0NJUS5OWVNFOldNVC5JUV9DQVNIX1NUX0lOVkVTVC5JUV9GWS01Li5MLkYuVVNEAQAAAN/GBAACAAAABDY4NjcBCAAAAAUAAAABMQEA</t>
  </si>
  <si>
    <t>AAAKMTk1MTU0MDMzNQMAAAADMTYwAgAAAAQxMDAyBAAAAAEwBwAAAAkzLzI1LzIwMjIIAAAACTEvMzEvMjAxNwkAAAABMAMuoMpODtoIAy6gyk4O2ggvQ0lRLk5ZU0U6V01ULklRX0NBU0hfU1RfSU5WRVNULklRX0ZZLTQuLkwuRi5VU0QBAAAA38YEAAIAAAAENjc1NgEIAAAABQAAAAExAQAAAAoyMDIzMjQ5NjExAwAAAAMxNjACAAAABDEwMDIEAAAAATAHAAAACTMvMjUvMjAyMggAAAAJMS8zMS8yMDE4CQAAAAEwAy6gyk4O2ggDLqDKTg7aCC9DSVEuTllTRTpXTVQuSVFfQ0FTSF9TVF9JTlZFU1QuSVFfRlktMy4uTC5GLlVTRAEAAADfxgQAAgAAAAQ3NzIyAQgAAAAFAAAAATEBAAAACjIwODUxMzI5MzADAAAAAzE2MAIAAAAEMTAwMgQAAAABMAcAAAAJMy8yNS8yMDIyCAAAAAkxLzMxLzIwMTkJAAAAATADLqDKTg7aCAMuoMpODtoIL0NJUS5OWVNFOldNVC5JUV9DQVNIX1NUX0lOVkVTVC5JUV9GWS0yLi5MLkYuVVNEAQAAAN/GBAACAAAABDk0NjUBCAAAAAUAAAABMQEAAAALLTIxMDc2ODYyOTEDAAAAAzE2MAIAAAAEMTAwMgQAAAABMAcAAAAJMy8yNS8yMDIyCAAAAAkxLzMxLzIwMjAJAAAAATADLqDKTg7aCAMuoMpODtoIL0NJUS5OWVNFOldNVC5JUV9DQVNIX1NUX0lOVkVTVC5JUV9GWS0xLi5MLkYuVVNEAQAAAN/GBAACAAAABTE3NzQxAQgAAAAFAAAAATEBAAAACy0yMTA3Njg2MjgxAwAAAAMxNjAC</t>
  </si>
  <si>
    <t>AAAABDEwMDIEAAAAATAHAAAACTMvMjUvMjAyMggAAAAJMS8zMS8yMDIxCQAAAAEwAy6gyk4O2ggDLqDKTg7aCC1DSVEuTllTRTpXTVQuSVFfQ0FTSF9TVF9JTlZFU1QuSVFfRlkuLkwuRi5VU0QBAAAA38YEAAIAAAAFMTQ3NjABCAAAAAUAAAABMQEAAAALLTIxMDc2ODYyODIDAAAAAzE2MAIAAAAEMTAwMgQAAAABMAcAAAAJMy8yNS8yMDIyCAAAAAkxLzMxLzIwMjIJAAAAATADLqDKTg7aCAMuoMpODtoIMENJUS5OWVNFOldNVC5JUV9DQVNIX1NUX0lOVkVTVC5JUV9MVE0tNC4uTC5GLlVTRAEAAADfxgQAAgAAAAUxNzc0MQEIAAAABQAAAAExAQAAAAstMjEwNzY4NTk3NwMAAAADMTYwAgAAAAQxMDAyBAAAAAEwBwAAAAkzLzI1LzIwMjIIAAAACTEvMzEvMjAyMQkAAAABMAMuoMpODtoIAy6gyk4O2gguQ0lRLk5ZU0U6V01ULklRX0NBU0hfU1RfSU5WRVNULklRX0xUTS4uTC5GLlVTRAEAAADfxgQAAgAAAAUxNDc2MAEIAAAABQAAAAExAQAAAAstMjEwNzY4NjAwOAMAAAADMTYwAgAAAAQxMDAyBAAAAAEwBwAAAAkzLzI1LzIwMjIIAAAACTEvMzEvMjAyMgkAAAABMAMuoMpODtoIAy6gyk4O2ggrQ0lRLk5ZU0U6V01ULklRX0NBU0hfRVFVSVYuSVFfRlktNi4uTC5GLlVTRAEAAADfxgQAAgAAAAQ4NzA1AQgAAAAFAAAAATEBAAAACjE4ODA3MTg3NjIDAAAAAzE2MAIAAAAEMTA5NgQAAAABMAcAAAAJMy8yNS8y</t>
  </si>
  <si>
    <t>MDIyCAAAAAkxLzMxLzIwMTYJAAAAATADLqDKTg7aCAMuoMpODtoILENJUS5OWVNFOldNVC5JUV9DQVNIX0VRVUlWLklRX0xUTS00Li5MLkYuVVNEAQAAAN/GBAACAAAABTE3NzQxAQgAAAAFAAAAATEBAAAACy0yMTA3Njg1OTc3AwAAAAMxNjACAAAABDEwOTYEAAAAATAHAAAACTMvMjUvMjAyMggAAAAJMS8zMS8yMDIxCQAAAAEwAy6gyk4O2ggDLqDKTg7aCCpDSVEuTllTRTpXTVQuSVFfQ0FTSF9FUVVJVi5JUV9MVE0uLkwuRi5VU0QBAAAA38YEAAIAAAAFMTQ3NjABCAAAAAUAAAABMQEAAAALLTIxMDc2ODYwMDgDAAAAAzE2MAIAAAAEMTA5NgQAAAABMAcAAAAJMy8yNS8yMDIyCAAAAAkxLzMxLzIwMjIJAAAAATADLqDKTg7aCAMuoMpODtoIL0NJUS5OWVNFOldNVC5JUV9ORVRfSU5UX0lOQ19CTksuSVFfRlktNi4uTC4uVVNEAQAAAN/GBAADAAAAAAADLqDKTg7aCAMuoMpODtoIL0NJUS5OWVNFOldNVC5JUV9ORVRfSU5UX0lOQ19CTksuSVFfRlktNS4uTC4uVVNEAQAAAN/GBAADAAAAAAADLqDKTg7aCAMuoMpODtoIL0NJUS5OWVNFOldNVC5JUV9ORVRfSU5UX0lOQ19CTksuSVFfRlktNC4uTC4uVVNEAQAAAN/GBAADAAAAAAADLqDKTg7aCAMuoMpODtoIL0NJUS5OWVNFOldNVC5JUV9ORVRfSU5UX0lOQ19CTksuSVFfRlktMy4uTC4uVVNEAQAAAN/GBAADAAAAAAADLqDKTg7aCAMuoMpODtoIL0NJUS5O</t>
  </si>
  <si>
    <t>WVNFOldNVC5JUV9ORVRfSU5UX0lOQ19CTksuSVFfRlktMi4uTC4uVVNEAQAAAN/GBAADAAAAAAADLqDKTg7aCAMuoMpODtoIL0NJUS5OWVNFOldNVC5JUV9ORVRfSU5UX0lOQ19CTksuSVFfRlktMS4uTC4uVVNEAQAAAN/GBAADAAAAAAADLqDKTg7aCAMuoMpODtoILUNJUS5OWVNFOldNVC5JUV9ORVRfSU5UX0lOQ19CTksuSVFfRlkuLkwuLlVTRAEAAADfxgQAAwAAAAAAAy6gyk4O2ggDLqDKTg7aCDBDSVEuTllTRTpXTVQuSVFfTkVUX0lOVF9JTkNfQk5LLklRX0xUTS00Li5MLi5VU0QBAAAA38YEAAMAAAAAAAMuoMpODtoIAy6gyk4O2gguQ0lRLk5ZU0U6V01ULklRX05FVF9JTlRfSU5DX0JOSy5JUV9MVE0uLkwuLlVTRAEAAADfxgQAAwAAAAAAAy6gyk4O2ggDLqDKTg7aCC1DSVEuTllTRTpXTVQuSVFfVE9UQUxfUkVWX0JOSy5JUV9GWS02Li5MLi5VU0QBAAAA38YEAAMAAAAAAAMuoMpODtoIAy6gyk4O2ggtQ0lRLk5ZU0U6V01ULklRX1RPVEFMX1JFVl9CTksuSVFfRlktNS4uTC4uVVNEAQAAAN/GBAADAAAAAAADLqDKTg7aCAMuoMpODtoILUNJUS5OWVNFOldNVC5JUV9UT1RBTF9SRVZfQk5LLklRX0ZZLTQuLkwuLlVTRAEAAADfxgQAAwAAAAAAAy6gyk4O2ggDLqDKTg7aCC1DSVEuTllTRTpXTVQuSVFfVE9UQUxfUkVWX0JOSy5JUV9GWS0zLi5MLi5VU0QBAAAA38YEAAMAAAAAAAMuoMpODtoIAy6g</t>
  </si>
  <si>
    <t>yk4O2ggtQ0lRLk5ZU0U6V01ULklRX1RPVEFMX1JFVl9CTksuSVFfRlktMi4uTC4uVVNEAQAAAN/GBAADAAAAAAADLqDKTg7aCAMuoMpODtoILUNJUS5OWVNFOldNVC5JUV9UT1RBTF9SRVZfQk5LLklRX0ZZLTEuLkwuLlVTRAEAAADfxgQAAwAAAAAAAy6gyk4O2ggDLqDKTg7aCCtDSVEuTllTRTpXTVQuSVFfVE9UQUxfUkVWX0JOSy5JUV9GWS4uTC4uVVNEAQAAAN/GBAADAAAAAAADLqDKTg7aCAMuoMpODtoILkNJUS5OWVNFOldNVC5JUV9UT1RBTF9SRVZfQk5LLklRX0xUTS00Li5MLi5VU0QBAAAA38YEAAMAAAAAAAMuoMpODtoIAy6gyk4O2ggsQ0lRLk5ZU0U6V01ULklRX1RPVEFMX1JFVl9CTksuSVFfTFRNLi5MLi5VU0QBAAAA38YEAAMAAAAAAAMuoMpODtoIAy6gyk4O2ggjQ0lRLk5ZU0U6V01ULklRX0VCVC5JUV9GWS02Li5MLi5VU0QBAAAA38YEAAIAAAAFMjE2MzgBCAAAAAUAAAABMQEAAAAKMTg4MDcxODc2MgMAAAADMTYwAgAAAAMxMzkEAAAAATAHAAAACTMvMjUvMjAyMggAAAAJMS8zMS8yMDE2CQAAAAEwAy6gyk4O2ggDLqDKTg7aCCNDSVEuTllTRTpXTVQuSVFfRUJULklRX0ZZLTUuLkwuLlVTRAEAAADfxgQAAgAAAAUyMDQ5NwEIAAAABQAAAAExAQAAAAoxOTUxNTQwMzM1AwAAAAMxNjACAAAAAzEzOQQAAAABMAcAAAAJMy8yNS8yMDIyCAAAAAkxLzMxLzIwMTcJAAAAATADLqDKTg7aCAMu</t>
  </si>
  <si>
    <t>oMpODtoII0NJUS5OWVNFOldNVC5JUV9FQlQuSVFfRlktNC4uTC4uVVNEAQAAAN/GBAACAAAABTE1MTIzAQgAAAAFAAAAATEBAAAACjIwMjMyNDk2MTEDAAAAAzE2MAIAAAADMTM5BAAAAAEwBwAAAAkzLzI1LzIwMjIIAAAACTEvMzEvMjAxOAkAAAABMAMuoMpODtoIAy6gyk4O2ggjQ0lRLk5ZU0U6V01ULklRX0VCVC5JUV9GWS0zLi5MLi5VU0QBAAAA38YEAAIAAAAFMTE0NjABCAAAAAUAAAABMQEAAAAKMjA4NTEzMjkzMAMAAAADMTYwAgAAAAMxMzkEAAAAATAHAAAACTMvMjUvMjAyMggAAAAJMS8zMS8yMDE5CQAAAAEwAy6gyk4O2ggDLqDKTg7aCCNDSVEuTllTRTpXTVQuSVFfRUJULklRX0ZZLTIuLkwuLlVTRAEAAADfxgQAAgAAAAUyMDExNgEIAAAABQAAAAExAQAAAAstMjEwNzY4NjI5MQMAAAADMTYwAgAAAAMxMzkEAAAAATAHAAAACTMvMjUvMjAyMggAAAAJMS8zMS8yMDIwCQAAAAEwAy6gyk4O2ggDLqDKTg7aCCNDSVEuTllTRTpXTVQuSVFfRUJULklRX0ZZLTEuLkwuLlVTRAEAAADfxgQAAgAAAAUyMDU2NAEIAAAABQAAAAExAQAAAAstMjEwNzY4NjI4MQMAAAADMTYwAgAAAAMxMzkEAAAAATAHAAAACTMvMjUvMjAyMggAAAAJMS8zMS8yMDIxCQAAAAEwAy6gyk4O2ggDLqDKTg7aCCFDSVEuTllTRTpXTVQuSVFfRUJULklRX0ZZLi5MLi5VU0QBAAAA38YEAAIAAAAFMTg2OTYBCAAAAAUAAAABMQEA</t>
  </si>
  <si>
    <t>AAALLTIxMDc2ODYyODIDAAAAAzE2MAIAAAADMTM5BAAAAAEwBwAAAAkzLzI1LzIwMjIIAAAACTEvMzEvMjAyMgkAAAABMAMuoMpODtoIAy6gyk4O2ggkQ0lRLk5ZU0U6V01ULklRX0VCVC5JUV9MVE0tNC4uTC4uVVNEAQAAAN/GBAACAAAABTIwNTY0AQgAAAAFAAAAATEBAAAACy0yMTA3Njg1OTc3AwAAAAMxNjACAAAAAzEzOQQAAAABMAcAAAAJMy8yNS8yMDIyCAAAAAkxLzMxLzIwMjEJAAAAATADLqDKTg7aCAMuoMpODtoIIkNJUS5OWVNFOldNVC5JUV9FQlQuSVFfTFRNLi5MLi5VU0QBAAAA38YEAAIAAAAFMTg2OTYBCAAAAAUAAAABMQEAAAALLTIxMDc2ODYwMDgDAAAAAzE2MAIAAAADMTM5BAAAAAEwBwAAAAkzLzI1LzIwMjIIAAAACTEvMzEvMjAyMgkAAAABMAMuoMpODtoIAy6gyk4O2ggpQ0lRLk5ZU0U6V01ULklRX05FVF9MT0FOUy5JUV9GWS02Li5MLi5VU0QBAAAA38YEAAMAAAAAAAMuoMpODtoIAy6gyk4O2ggpQ0lRLk5ZU0U6V01ULklRX05FVF9MT0FOUy5JUV9GWS01Li5MLi5VU0QBAAAA38YEAAMAAAAAAAMuoMpODtoIAy6gyk4O2ggpQ0lRLk5ZU0U6V01ULklRX05FVF9MT0FOUy5JUV9GWS00Li5MLi5VU0QBAAAA38YEAAMAAAAAAAMuoMpODtoIAy6gyk4O2ggpQ0lRLk5ZU0U6V01ULklRX05FVF9MT0FOUy5JUV9GWS0zLi5MLi5VU0QBAAAA38YEAAMAAAAAAAMuoMpODtoIAy6gyk4O2ggp</t>
  </si>
  <si>
    <t>Q0lRLk5ZU0U6V01ULklRX05FVF9MT0FOUy5JUV9GWS0yLi5MLi5VU0QBAAAA38YEAAMAAAAAAAMuoMpODtoIAy6gyk4O2ggpQ0lRLk5ZU0U6V01ULklRX05FVF9MT0FOUy5JUV9GWS0xLi5MLi5VU0QBAAAA38YEAAMAAAAAAAMuoMpODtoIAy6gyk4O2ggnQ0lRLk5ZU0U6V01ULklRX05FVF9MT0FOUy5JUV9GWS4uTC4uVVNEAQAAAN/GBAADAAAAAAADLqDKTg7aCAMuoMpODtoIKkNJUS5OWVNFOldNVC5JUV9ORVRfTE9BTlMuSVFfTFRNLTQuLkwuLlVTRAEAAADfxgQAAwAAAAAAAy6gyk4O2ggDLqDKTg7aCChDSVEuTllTRTpXTVQuSVFfTkVUX0xPQU5TLklRX0xUTS4uTC4uVVNEAQAAAN/GBAADAAAAAAADLqDKTg7aCAMuoMpODtoILkNJUS5OWVNFOldNVC5JUV9ESUxVVF9FUFNfSU5DTC5JUV9GWS02Li5MLi5VU0QBAAAA38YEAAIAAAAENC41NwEIAAAABQAAAAExAQAAAAoxODgwNzE4NzYyAwAAAAMxNjACAAAAATgEAAAAATAHAAAACTMvMjUvMjAyMggAAAAJMS8zMS8yMDE2CQAAAAEwAy6gyk4O2ggDLqDKTg7aCC5DSVEuTllTRTpXTVQuSVFfRElMVVRfRVBTX0lOQ0wuSVFfRlktNS4uTC4uVVNEAQAAAN/GBAACAAAABDQuMzgBCAAAAAUAAAABMQEAAAAKMTk1MTU0MDMzNQMAAAADMTYwAgAAAAE4BAAAAAEwBwAAAAkzLzI1LzIwMjIIAAAACTEvMzEvMjAxNwkAAAABMAMuoMpODtoIAy6gyk4O2gguQ0lR</t>
  </si>
  <si>
    <t>Lk5ZU0U6V01ULklRX0RJTFVUX0VQU19JTkNMLklRX0ZZLTQuLkwuLlVTRAEAAADfxgQAAgAAAAQzLjI4AQgAAAAFAAAAATEBAAAACjIwMjMyNDk2MTEDAAAAAzE2MAIAAAABOAQAAAABMAcAAAAJMy8yNS8yMDIyCAAAAAkxLzMxLzIwMTgJAAAAATADLqDKTg7aCAMuoMpODtoILkNJUS5OWVNFOldNVC5JUV9ESUxVVF9FUFNfSU5DTC5JUV9GWS0zLi5MLi5VU0QBAAAA38YEAAIAAAAEMi4yNgEIAAAABQAAAAExAQAAAAoyMDg1MTMyOTMwAwAAAAMxNjACAAAAATgEAAAAATAHAAAACTMvMjUvMjAyMggAAAAJMS8zMS8yMDE5CQAAAAEwAy6gyk4O2ggDLqDKTg7aCC5DSVEuTllTRTpXTVQuSVFfRElMVVRfRVBTX0lOQ0wuSVFfRlktMi4uTC4uVVNEAQAAAN/GBAACAAAABDUuMTkBCAAAAAUAAAABMQEAAAALLTIxMDc2ODYyOTEDAAAAAzE2MAIAAAABOAQAAAABMAcAAAAJMy8yNS8yMDIyCAAAAAkxLzMxLzIwMjAJAAAAATADLqDKTg7aCAMuoMpODtoILkNJUS5OWVNFOldNVC5JUV9ESUxVVF9FUFNfSU5DTC5JUV9GWS0xLi5MLi5VU0QBAAAA38YEAAIAAAAENC43NQEIAAAABQAAAAExAQAAAAstMjEwNzY4NjI4MQMAAAADMTYwAgAAAAE4BAAAAAEwBwAAAAkzLzI1LzIwMjIIAAAACTEvMzEvMjAyMQkAAAABMAMuoMpODtoIAy6gyk4O2ggsQ0lRLk5ZU0U6V01ULklRX0RJTFVUX0VQU19JTkNMLklRX0ZZLi5MLi5V</t>
  </si>
  <si>
    <t>U0QBAAAA38YEAAIAAAAENC44NwEIAAAABQAAAAExAQAAAAstMjEwNzY4NjI4MgMAAAADMTYwAgAAAAE4BAAAAAEwBwAAAAkzLzI1LzIwMjIIAAAACTEvMzEvMjAyMgkAAAABMAMuoMpODtoIAy6gyk4O2ggvQ0lRLk5ZU0U6V01ULklRX0RJTFVUX0VQU19JTkNMLklRX0xUTS00Li5MLi5VU0QBAAAA38YEAAIAAAAENC43NQEIAAAABQAAAAExAQAAAAstMjEwNzY4NTk3NwMAAAADMTYwAgAAAAE4BAAAAAEwBwAAAAkzLzI1LzIwMjIIAAAACTEvMzEvMjAyMQkAAAABMAMuoMpODtoIAy6gyk4O2ggtQ0lRLk5ZU0U6V01ULklRX0RJTFVUX0VQU19JTkNMLklRX0xUTS4uTC4uVVNEAQAAAN/GBAACAAAABDQuODcBCAAAAAUAAAABMQEAAAALLTIxMDc2ODYwMDgDAAAAAzE2MAIAAAABOAQAAAABMAcAAAAJMy8yNS8yMDIyCAAAAAkxLzMxLzIwMjIJAAAAATADLqDKTg7aCAMuoMpODtoILkNJUS5OWVNFOldNVC5JUV9ESUxVVF9FUFNfRVhDTC5JUV9GWS02Li5MLi5VU0QBAAAA38YEAAIAAAAENC41NwEIAAAABQAAAAExAQAAAAoxODgwNzE4NzYyAwAAAAMxNjACAAAAAzE0MgQAAAABMAcAAAAJMy8yNS8yMDIyCAAAAAkxLzMxLzIwMTYJAAAAATADLqDKTg7aCAMuoMpODtoILkNJUS5OWVNFOldNVC5JUV9ESUxVVF9FUFNfRVhDTC5JUV9GWS01Li5MLi5VU0QBAAAA38YEAAIAAAAENC4zOAEIAAAABQAAAAExAQAAAAox</t>
  </si>
  <si>
    <t>OTUxNTQwMzM1AwAAAAMxNjACAAAAAzE0MgQAAAABMAcAAAAJMy8yNS8yMDIyCAAAAAkxLzMxLzIwMTcJAAAAATADLqDKTg7aCAMuoMpODtoILkNJUS5OWVNFOldNVC5JUV9ESUxVVF9FUFNfRVhDTC5JUV9GWS00Li5MLi5VU0QBAAAA38YEAAIAAAAEMy4yOAEIAAAABQAAAAExAQAAAAoyMDIzMjQ5NjExAwAAAAMxNjACAAAAAzE0MgQAAAABMAcAAAAJMy8yNS8yMDIyCAAAAAkxLzMxLzIwMTgJAAAAATADLqDKTg7aCAMuoMpODtoILkNJUS5OWVNFOldNVC5JUV9ESUxVVF9FUFNfRVhDTC5JUV9GWS0zLi5MLi5VU0QBAAAA38YEAAIAAAAEMi4yNgEIAAAABQAAAAExAQAAAAoyMDg1MTMyOTMwAwAAAAMxNjACAAAAAzE0MgQAAAABMAcAAAAJMy8yNS8yMDIyCAAAAAkxLzMxLzIwMTkJAAAAATADLqDKTg7aCAMuoMpODtoILkNJUS5OWVNFOldNVC5JUV9ESUxVVF9FUFNfRVhDTC5JUV9GWS0yLi5MLi5VU0QBAAAA38YEAAIAAAAENS4xOQEIAAAABQAAAAExAQAAAAstMjEwNzY4NjI5MQMAAAADMTYwAgAAAAMxNDIEAAAAATAHAAAACTMvMjUvMjAyMggAAAAJMS8zMS8yMDIwCQAAAAEwAy6gyk4O2ggDLqDKTg7aCC5DSVEuTllTRTpXTVQuSVFfRElMVVRfRVBTX0VYQ0wuSVFfRlktMS4uTC4uVVNEAQAAAN/GBAACAAAABDQuNzUBCAAAAAUAAAABMQEAAAALLTIxMDc2ODYyODEDAAAAAzE2MAIAAAADMTQyBAAAAAEw</t>
  </si>
  <si>
    <t>BwAAAAkzLzI1LzIwMjIIAAAACTEvMzEvMjAyMQkAAAABMAMuoMpODtoIAy6gyk4O2ggsQ0lRLk5ZU0U6V01ULklRX0RJTFVUX0VQU19FWENMLklRX0ZZLi5MLi5VU0QBAAAA38YEAAIAAAAENC44NwEIAAAABQAAAAExAQAAAAstMjEwNzY4NjI4MgMAAAADMTYwAgAAAAMxNDIEAAAAATAHAAAACTMvMjUvMjAyMggAAAAJMS8zMS8yMDIyCQAAAAEwAy6gyk4O2ggDLqDKTg7aCC9DSVEuTllTRTpXTVQuSVFfRElMVVRfRVBTX0VYQ0wuSVFfTFRNLTQuLkwuLlVTRAEAAADfxgQAAgAAAAQ0Ljc1AQgAAAAFAAAAATEBAAAACy0yMTA3Njg1OTc3AwAAAAMxNjACAAAAAzE0MgQAAAABMAcAAAAJMy8yNS8yMDIyCAAAAAkxLzMxLzIwMjEJAAAAATADLqDKTg7aCAMuoMpODtoILUNJUS5OWVNFOldNVC5JUV9ESUxVVF9FUFNfRVhDTC5JUV9MVE0uLkwuLlVTRAEAAADfxgQAAgAAAAQ0Ljg3AQgAAAAFAAAAATEBAAAACy0yMTA3Njg2MDA4AwAAAAMxNjACAAAAAzE0MgQAAAABMAcAAAAJMy8yNS8yMDIyCAAAAAkxLzMxLzIwMjIJAAAAATADLqDKTg7aCAMuoMpODtoIMUNJUS5OWVNFOldNVC5JUV9USUVSX09ORV9DQVBJVEFMLklRX0ZZLTYuLkwuRi5VU0QBAAAA38YEAAMAAAAAAAMuoMpODtoIAy6gyk4O2ggxQ0lRLk5ZU0U6V01ULklRX1RJRVJfT05FX0NBUElUQUwuSVFfRlktNS4uTC5GLlVTRAEAAADfxgQAAwAAAAAA</t>
  </si>
  <si>
    <t>Ay6gyk4O2ggDLqDKTg7aCDFDSVEuTllTRTpXTVQuSVFfVElFUl9PTkVfQ0FQSVRBTC5JUV9GWS00Li5MLkYuVVNEAQAAAN/GBAADAAAAAAADLqDKTg7aCAMuoMpODtoIMUNJUS5OWVNFOldNVC5JUV9USUVSX09ORV9DQVBJVEFMLklRX0ZZLTMuLkwuRi5VU0QBAAAA38YEAAMAAAAAAAMuoMpODtoIAy6gyk4O2ggxQ0lRLk5ZU0U6V01ULklRX1RJRVJfT05FX0NBUElUQUwuSVFfRlktMi4uTC5GLlVTRAEAAADfxgQAAwAAAAAAAy6gyk4O2ggDLqDKTg7aCDFDSVEuTllTRTpXTVQuSVFfVElFUl9PTkVfQ0FQSVRBTC5JUV9GWS0xLi5MLkYuVVNEAQAAAN/GBAADAAAAAAADLqDKTg7aCAMuoMpODtoIL0NJUS5OWVNFOldNVC5JUV9USUVSX09ORV9DQVBJVEFMLklRX0ZZLi5MLkYuVVNEAQAAAN/GBAADAAAAAAADLqDKTg7aCAMuoMpODtoIMkNJUS5OWVNFOldNVC5JUV9USUVSX09ORV9DQVBJVEFMLklRX0xUTS00Li5MLkYuVVNEAQAAAN/GBAADAAAAAAADLqDKTg7aCAMuoMpODtoIMENJUS5OWVNFOldNVC5JUV9USUVSX09ORV9DQVBJVEFMLklRX0xUTS4uTC5GLlVTRAEAAADfxgQAAwAAAAAAAy6gyk4O2ggDLqDKTg7aCDNDSVEuTllTRTpXTVQuSVFfVE9UQUxfQkFOS19DQVBJVEFMLklRX0ZZLTUuLkwuRi5VU0QBAAAA38YEAAMAAAAAAAMuoMpODtoIAy6gyk4O2ggzQ0lRLk5ZU0U6V01ULklRX1RPVEFMX0JB</t>
  </si>
  <si>
    <t>TktfQ0FQSVRBTC5JUV9GWS00Li5MLkYuVVNEAQAAAN/GBAADAAAAAAADLqDKTg7aCAMuoMpODtoIM0NJUS5OWVNFOldNVC5JUV9UT1RBTF9CQU5LX0NBUElUQUwuSVFfRlktMy4uTC5GLlVTRAEAAADfxgQAAwAAAAAAAy6gyk4O2ggDLqDKTg7aCDNDSVEuTllTRTpXTVQuSVFfVE9UQUxfQkFOS19DQVBJVEFMLklRX0ZZLTIuLkwuRi5VU0QBAAAA38YEAAMAAAAAAAMuoMpODtoIAy6gyk4O2ggzQ0lRLk5ZU0U6V01ULklRX1RPVEFMX0JBTktfQ0FQSVRBTC5JUV9GWS0xLi5MLkYuVVNEAQAAAN/GBAADAAAAAAADLqDKTg7aCAMuoMpODtoIMUNJUS5OWVNFOldNVC5JUV9UT1RBTF9CQU5LX0NBUElUQUwuSVFfRlkuLkwuRi5VU0QBAAAA38YEAAMAAAAAAAMuoMpODtoIAy6gyk4O2gg0Q0lRLk5ZU0U6V01ULklRX1RPVEFMX0JBTktfQ0FQSVRBTC5JUV9MVE0tNC4uTC5GLlVTRAEAAADfxgQAAwAAAAAAAy6gyk4O2ggDLqDKTg7aCDJDSVEuTllTRTpXTVQuSVFfVE9UQUxfQkFOS19DQVBJVEFMLklRX0xUTS4uTC5GLlVTRAEAAADfxgQAAwAAAAAAAy6gyk4O2ggDLqDKTg7aCDZDSVEuTllTRTpXTVQuSVFfTk9OX1BFUkZPUk1JTkdfTE9BTlMuSVFfTFRNLTQuLkwuRi5VU0QBAAAA38YEAAMAAAAAAAMuoMpODtoIAy6gyk4O2gg0Q0lRLk5ZU0U6V01ULklRX05PTl9QRVJGT1JNSU5HX0xPQU5TLklRX0xUTS4uTC5G</t>
  </si>
  <si>
    <t>LlVTRAEAAADfxgQAAwAAAAAAAy6gyk4O2ggDLqDKTg7aCCpDSVEuTllTRTpXTVQuSVFfQUxMT1dfTEwuSVFfTFRNLTQuLkwuRi5VU0QBAAAA38YEAAMAAAAAAAMuoMpODtoIAy6gyk4O2ggoQ0lRLk5ZU0U6V01ULklRX0FMTE9XX0xMLklRX0xUTS4uTC5GLlVTRAEAAADfxgQAAwAAAAAAAy6gyk4O2ggDLqDKTg7aCCNDSVEuTllTRTpXTVQuSVFfTEwuSVFfRlktNi4uTC5GLlVTRAEAAADfxgQAAwAAAAAAAy6gyk4O2ggDLqDKTg7aCCNDSVEuTllTRTpXTVQuSVFfTEwuSVFfRlktNS4uTC5GLlVTRAEAAADfxgQAAwAAAAAAAy6gyk4O2ggDLqDKTg7aCCNDSVEuTllTRTpXTVQuSVFfTEwuSVFfRlktNC4uTC5GLlVTRAEAAADfxgQAAwAAAAAAAy6gyk4O2ggDLqDKTg7aCCNDSVEuTllTRTpXTVQuSVFfTEwuSVFfRlktMy4uTC5GLlVTRAEAAADfxgQAAwAAAAAAAy6gyk4O2ggDLqDKTg7aCCNDSVEuTllTRTpXTVQuSVFfTEwuSVFfRlktMi4uTC5GLlVTRAEAAADfxgQAAwAAAAAAAy6gyk4O2ggDLqDKTg7aCCNDSVEuTllTRTpXTVQuSVFfTEwuSVFfRlktMS4uTC5GLlVTRAEAAADfxgQAAwAAAAAAAy6gyk4O2ggDLqDKTg7aCCFDSVEuTllTRTpXTVQuSVFfTEwuSVFfRlkuLkwuRi5VU0QBAAAA38YEAAMAAAAAAAMuoMpODtoIAy6gyk4O2ggkQ0lRLk5ZU0U6V01ULklRX0xMLklRX0xUTS00Li5MLkYuVVNEAQAAAN/G</t>
  </si>
  <si>
    <t>BAADAAAAAAADLqDKTg7aCAMuoMpODtoIIkNJUS5OWVNFOldNVC5JUV9MTC5JUV9MVE0uLkwuRi5VU0QBAAAA38YEAAMAAAAAAAMuoMpODtoIAy6gyk4O2ggtQ0lRLk5ZU0U6V01ULklRX1RPVEFMX0xPQU5TLklRX0xUTS00Li5MLkYuVVNEAQAAAN/GBAADAAAAAAARVaDKTg7aCBFVoMpODtoIK0NJUS5OWVNFOldNVC5JUV9UT1RBTF9MT0FOUy5JUV9MVE0uLkwuRi5VU0QBAAAA38YEAAMAAAAAABFVoMpODtoIEVWgyk4O2ggvQ0lRLk5ZU0U6V01ULklRX1RPVEFMX0RFUE9TSVRTLklRX0ZZLTUuLkwuRi5VU0QBAAAA38YEAAMAAAAAABFVoMpODtoIEVWgyk4O2ggjQ0lRLk5ZU0U6V01ULklRX05JLklRX0ZZLTYuLkwuRi5VU0QBAAAA38YEAAIAAAAFMTQ2OTQBCAAAAAUAAAABMQEAAAAKMTg4MDcxODc2MgMAAAADMTYwAgAAAAIxNQQAAAABMAcAAAAJMy8yNS8yMDIyCAAAAAkxLzMxLzIwMTYJAAAAATADLqDKTg7aCAMuoMpODtoII0NJUS5OWVNFOldNVC5JUV9OSS5JUV9GWS01Li5MLkYuVVNEAQAAAN/GBAACAAAABTEzNjQzAQgAAAAFAAAAATEBAAAACjE5NTE1NDAzMzUDAAAAAzE2MAIAAAACMTUEAAAAATAHAAAACTMvMjUvMjAyMggAAAAJMS8zMS8yMDE3CQAAAAEwAy6gyk4O2ggDLqDKTg7aCCNDSVEuTllTRTpXTVQuSVFfTkkuSVFfRlktNC4uTC5GLlVTRAEAAADfxgQAAgAAAAQ5ODYyAQgAAAAFAAAA</t>
  </si>
  <si>
    <t>ATEBAAAACjIwMjMyNDk2MTEDAAAAAzE2MAIAAAACMTUEAAAAATAHAAAACTMvMjUvMjAyMggAAAAJMS8zMS8yMDE4CQAAAAEwAy6gyk4O2ggDLqDKTg7aCCNDSVEuTllTRTpXTVQuSVFfTkkuSVFfRlktMy4uTC5GLlVTRAEAAADfxgQAAgAAAAQ2NjcwAQgAAAAFAAAAATEBAAAACjIwODUxMzI5MzADAAAAAzE2MAIAAAACMTUEAAAAATAHAAAACTMvMjUvMjAyMggAAAAJMS8zMS8yMDE5CQAAAAEwAy6gyk4O2ggDLqDKTg7aCCNDSVEuTllTRTpXTVQuSVFfTkkuSVFfRlktMi4uTC5GLlVTRAEAAADfxgQAAgAAAAUxNDg4MQEIAAAABQAAAAExAQAAAAstMjEwNzY4NjI5MQMAAAADMTYwAgAAAAIxNQQAAAABMAcAAAAJMy8yNS8yMDIyCAAAAAkxLzMxLzIwMjAJAAAAATADLqDKTg7aCAMuoMpODtoII0NJUS5OWVNFOldNVC5JUV9OSS5JUV9GWS0xLi5MLkYuVVNEAQAAAN/GBAACAAAABTEzNTEwAQgAAAAFAAAAATEBAAAACy0yMTA3Njg2MjgxAwAAAAMxNjACAAAAAjE1BAAAAAEwBwAAAAkzLzI1LzIwMjIIAAAACTEvMzEvMjAyMQkAAAABMAMuoMpODtoIAy6gyk4O2gghQ0lRLk5ZU0U6V01ULklRX05JLklRX0ZZLi5MLkYuVVNEAQAAAN/GBAACAAAABTEzNjczAQgAAAAFAAAAATEBAAAACy0yMTA3Njg2MjgyAwAAAAMxNjACAAAAAjE1BAAAAAEwBwAAAAkzLzI1LzIwMjIIAAAACTEvMzEvMjAyMgkAAAABMAMuoMpO</t>
  </si>
  <si>
    <t>DtoIAy6gyk4O2ggkQ0lRLk5ZU0U6V01ULklRX05JLklRX0xUTS00Li5MLkYuVVNEAQAAAN/GBAACAAAABTEzNTEwAQgAAAAFAAAAATEBAAAACy0yMTA3Njg1OTc3AwAAAAMxNjACAAAAAjE1BAAAAAEwBwAAAAkzLzI1LzIwMjIIAAAACTEvMzEvMjAyMQkAAAABMAMuoMpODtoIAy6gyk4O2ggiQ0lRLk5ZU0U6V01ULklRX05JLklRX0xUTS4uTC5GLlVTRAEAAADfxgQAAgAAAAUxMzY3MwEIAAAABQAAAAExAQAAAAstMjEwNzY4NjAwOAMAAAADMTYwAgAAAAIxNQQAAAABMAcAAAAJMy8yNS8yMDIyCAAAAAkxLzMxLzIwMjIJAAAAATADLqDKTg7aCAMuoMpODtoIMUNJUS5OWVNFOldNVC5JUV9UT1RBTF9PUEVSX0VYUEVOLklRX0ZZLTYuLkwuRi5VU0QBAAAA38YEAAIAAAAGNDU4MDI1AQgAAAAFAAAAATEBAAAACjE4ODA3MTg3NjIDAAAAAzE2MAIAAAADMzczBAAAAAEwBwAAAAkzLzI1LzIwMjIIAAAACTEvMzEvMjAxNgkAAAABMAMuoMpODtoIAy6gyk4O2ggxQ0lRLk5ZU0U6V01ULklRX1RPVEFMX09QRVJfRVhQRU4uSVFfRlktNS4uTC5GLlVTRAEAAADfxgQAAgAAAAY0NjMxMDkBCAAAAAUAAAABMQEAAAAKMTk1MTU0MDMzNQMAAAADMTYwAgAAAAMzNzMEAAAAATAHAAAACTMvMjUvMjAyMggAAAAJMS8zMS8yMDE3CQAAAAEwAy6gyk4O2ggDLqDKTg7aCDFDSVEuTllTRTpXTVQuSVFfVE9UQUxfT1BFUl9FWFBF</t>
  </si>
  <si>
    <t>Ti5JUV9GWS00Li5MLkYuVVNEAQAAAN/GBAACAAAABjQ3OTQwNgEIAAAABQAAAAExAQAAAAoyMDIzMjQ5NjExAwAAAAMxNjACAAAAAzM3MwQAAAABMAcAAAAJMy8yNS8yMDIyCAAAAAkxLzMxLzIwMTgJAAAAATADLqDKTg7aCAMuoMpODtoIMUNJUS5OWVNFOldNVC5JUV9UT1RBTF9PUEVSX0VYUEVOLklRX0ZZLTMuLkwuRi5VU0QBAAAA38YEAAIAAAAGNDkyNDQ4AQgAAAAFAAAAATEBAAAACjIwODUxMzI5MzADAAAAAzE2MAIAAAADMzczBAAAAAEwBwAAAAkzLzI1LzIwMjIIAAAACTEvMzEvMjAxOQkAAAABMAMuoMpODtoIAy6gyk4O2ggxQ0lRLk5ZU0U6V01ULklRX1RPVEFMX09QRVJfRVhQRU4uSVFfRlktMi4uTC5GLlVTRAEAAADfxgQAAgAAAAY1MDI0OTYBCAAAAAUAAAABMQEAAAALLTIxMDc2ODYyOTEDAAAAAzE2MAIAAAADMzczBAAAAAEwBwAAAAkzLzI1LzIwMjIIAAAACTEvMzEvMjAyMAkAAAABMAMuoMpODtoIAy6gyk4O2ggxQ0lRLk5ZU0U6V01ULklRX1RPVEFMX09QRVJfRVhQRU4uSVFfRlktMS4uTC5GLlVTRAEAAADfxgQAAgAAAAY1MzIyMDMBCAAAAAUAAAABMQEAAAALLTIxMDc2ODYyODEDAAAAAzE2MAIAAAADMzczBAAAAAEwBwAAAAkzLzI1LzIwMjIIAAAACTEvMzEvMjAyMQkAAAABMAMuoMpODtoIAy6gyk4O2ggvQ0lRLk5ZU0U6V01ULklRX1RPVEFMX09QRVJfRVhQRU4uSVFfRlkuLkwu</t>
  </si>
  <si>
    <t>Ri5VU0QBAAAA38YEAAIAAAAGNTQ2ODEyAQgAAAAFAAAAATEBAAAACy0yMTA3Njg2MjgyAwAAAAMxNjACAAAAAzM3MwQAAAABMAcAAAAJMy8yNS8yMDIyCAAAAAkxLzMxLzIwMjIJAAAAATADLqDKTg7aCAMuoMpODtoIMkNJUS5OWVNFOldNVC5JUV9UT1RBTF9PUEVSX0VYUEVOLklRX0xUTS00Li5MLkYuVVNEAQAAAN/GBAACAAAABjUzMjIwMwEIAAAABQAAAAExAQAAAAstMjEwNzY4NTk3NwMAAAADMTYwAgAAAAMzNzMEAAAAATAHAAAACTMvMjUvMjAyMggAAAAJMS8zMS8yMDIxCQAAAAEwAy6gyk4O2ggDLqDKTg7aCDBDSVEuTllTRTpXTVQuSVFfVE9UQUxfT1BFUl9FWFBFTi5JUV9MVE0uLkwuRi5VU0QBAAAA38YEAAIAAAAGNTQ2ODEyAQgAAAAFAAAAATEBAAAACy0yMTA3Njg2MDA4AwAAAAMxNjACAAAAAzM3MwQAAAABMAcAAAAJMy8yNS8yMDIyCAAAAAkxLzMxLzIwMjIJAAAAATADLqDKTg7aCAMuoMpODtoIM0NJUS5OWVNFOldNVC5JUV9SRVRVUk5fQVNTRVRTX0JBTksuSVFfRlktNi4uTC5GLlVTRAEAAADfxgQAAgAAAAY3LjQ3NTQBCAAAAAUAAAABMQEAAAAKMTg4MDcxODc2MgMAAAADMTYwAgAAAAQ0MTc4BAAAAAEwBwAAAAkzLzI1LzIwMjIIAAAACTEvMzEvMjAxNgkAAAABMAMuoMpODtoIAy6gyk4O2ggzQ0lRLk5ZU0U6V01ULklRX1JFVFVSTl9BU1NFVFNfQkFOSy5JUV9GWS01Li5MLkYuVVNE</t>
  </si>
  <si>
    <t>AQAAAN/GBAACAAAABjcuMTQyMgEIAAAABQAAAAExAQAAAAoxOTUxNTQwMzM1AwAAAAMxNjACAAAABDQxNzgEAAAAATAHAAAACTMvMjUvMjAyMggAAAAJMS8zMS8yMDE3CQAAAAEwAy6gyk4O2ggDLqDKTg7aCDNDSVEuTllTRTpXTVQuSVFfUkVUVVJOX0FTU0VUU19CQU5LLklRX0ZZLTQuLkwuRi5VU0QBAAAA38YEAAIAAAAGNi40ODg1AQgAAAAFAAAAATEBAAAACjIwMjMyNDk2MTEDAAAAAzE2MAIAAAAENDE3OAQAAAABMAcAAAAJMy8yNS8yMDIyCAAAAAkxLzMxLzIwMTgJAAAAATADLqDKTg7aCAMuoMpODtoIM0NJUS5OWVNFOldNVC5JUV9SRVRVUk5fQVNTRVRTX0JBTksuSVFfRlktMy4uTC5GLlVTRAEAAADfxgQAAgAAAAY2LjQ3NTkBCAAAAAUAAAABMQEAAAAKMjA4NTEzMjkzMAMAAAADMTYwAgAAAAQ0MTc4BAAAAAEwBwAAAAkzLzI1LzIwMjIIAAAACTEvMzEvMjAxOQkAAAABMAMuoMpODtoIAy6gyk4O2ggzQ0lRLk5ZU0U6V01ULklRX1JFVFVSTl9BU1NFVFNfQkFOSy5JUV9GWS0yLi5MLkYuVVNEAQAAAN/GBAACAAAABjUuODg3NQEIAAAABQAAAAExAQAAAAstMjEwNzY4NjI5MQMAAAADMTYwAgAAAAQ0MTc4BAAAAAEwBwAAAAkzLzI1LzIwMjIIAAAACTEvMzEvMjAyMAkAAAABMAMuoMpODtoIAy6gyk4O2ggzQ0lRLk5ZU0U6V01ULklRX1JFVFVSTl9BU1NFVFNfQkFOSy5JUV9GWS0xLi5MLkYuVVNE</t>
  </si>
  <si>
    <t>AQAAAN/GBAACAAAABjYuODg4NgEIAAAABQAAAAExAQAAAAstMjEwNzY4NjI4MQMAAAADMTYwAgAAAAQ0MTc4BAAAAAEwBwAAAAkzLzI1LzIwMjIIAAAACTEvMzEvMjAyMQkAAAABMAMuoMpODtoIAy6gyk4O2ggxQ0lRLk5ZU0U6V01ULklRX1JFVFVSTl9BU1NFVFNfQkFOSy5JUV9GWS4uTC5GLlVTRAEAAADfxgQAAgAAAAY2LjUxOTkBCAAAAAUAAAABMQEAAAALLTIxMDc2ODYyODIDAAAAAzE2MAIAAAAENDE3OAQAAAABMAcAAAAJMy8yNS8yMDIyCAAAAAkxLzMxLzIwMjIJAAAAATADLqDKTg7aCAMuoMpODtoINENJUS5OWVNFOldNVC5JUV9SRVRVUk5fQVNTRVRTX0JBTksuSVFfTFRNLTQuLkwuRi5VU0QBAAAA38YEAAIAAAAGNi44ODg2AQgAAAAFAAAAATEBAAAACy0yMTA3Njg1OTc3AwAAAAMxNjACAAAABDQxNzgEAAAAATAHAAAACTMvMjUvMjAyMggAAAAJMS8zMS8yMDIxCQAAAAEwAy6gyk4O2ggDLqDKTg7aCDJDSVEuTllTRTpXTVQuSVFfUkVUVVJOX0FTU0VUU19CQU5LLklRX0xUTS4uTC5GLlVTRAEAAADfxgQAAgAAAAY2LjUxOTkBCAAAAAUAAAABMQEAAAALLTIxMDc2ODYwMDgDAAAAAzE2MAIAAAAENDE3OAQAAAABMAcAAAAJMy8yNS8yMDIyCAAAAAkxLzMxLzIwMjIJAAAAATARVaDKTg7aCBFVoMpODtoIM0NJUS5OWVNFOldNVC5JUV9SRVRVUk5fRVFVSVRZX0JBTksuSVFfRlktNi4uTC5GLlVT</t>
  </si>
  <si>
    <t>RAEAAADfxgQAAgAAAAcxNy43ODg0AQgAAAAFAAAAATEBAAAACjE4ODA3MTg3NjIDAAAAAzE2MAIAAAAENDEyOAQAAAABMAcAAAAJMy8yNS8yMDIyCAAAAAkxLzMxLzIwMTYJAAAAATARVaDKTg7aCBFVoMpODtoIM0NJUS5OWVNFOldNVC5JUV9SRVRVUk5fRVFVSVRZX0JBTksuSVFfRlktNS4uTC5GLlVTRAEAAADfxgQAAgAAAAcxNy40MTQ5AQgAAAAFAAAAATEBAAAACjE5NTE1NDAzMzUDAAAAAzE2MAIAAAAENDEyOAQAAAABMAcAAAAJMy8yNS8yMDIyCAAAAAkxLzMxLzIwMTcJAAAAATARVaDKTg7aCBFVoMpODtoIM0NJUS5OWVNFOldNVC5JUV9SRVRVUk5fRVFVSVRZX0JBTksuSVFfRlktNC4uTC5GLlVTRAEAAADfxgQAAgAAAAcxMy4wNDMxAQgAAAAFAAAAATEBAAAACjIwMjMyNDk2MTEDAAAAAzE2MAIAAAAENDEyOAQAAAABMAcAAAAJMy8yNS8yMDIyCAAAAAkxLzMxLzIwMTgJAAAAATARVaDKTg7aCBFVoMpODtoIM0NJUS5OWVNFOldNVC5JUV9SRVRVUk5fRVFVSVRZX0JBTksuSVFfRlktMy4uTC5GLlVTRAEAAADfxgQAAgAAAAY4Ljk0ODIBCAAAAAUAAAABMQEAAAAKMjA4NTEzMjkzMAMAAAADMTYwAgAAAAQ0MTI4BAAAAAEwBwAAAAkzLzI1LzIwMjIIAAAACTEvMzEvMjAxOQkAAAABMBFVoMpODtoIEVWgyk4O2ggzQ0lRLk5ZU0U6V01ULklRX1JFVFVSTl9FUVVJVFlfQkFOSy5JUV9GWS0yLi5MLkYu</t>
  </si>
  <si>
    <t>VVNEAQAAAN/GBAACAAAABzE4Ljg2MTQBCAAAAAUAAAABMQEAAAALLTIxMDc2ODYyOTEDAAAAAzE2MAIAAAAENDEyOAQAAAABMAcAAAAJMy8yNS8yMDIyCAAAAAkxLzMxLzIwMjAJAAAAATARVaDKTg7aCBFVoMpODtoIM0NJUS5OWVNFOldNVC5JUV9SRVRVUk5fRVFVSVRZX0JBTksuSVFfRlktMS4uTC5GLlVTRAEAAADfxgQAAgAAAAcxNi4yMTIxAQgAAAAFAAAAATEBAAAACy0yMTA3Njg2MjgxAwAAAAMxNjACAAAABDQxMjgEAAAAATAHAAAACTMvMjUvMjAyMggAAAAJMS8zMS8yMDIxCQAAAAEwEVWgyk4O2ggRVaDKTg7aCDFDSVEuTllTRTpXTVQuSVFfUkVUVVJOX0VRVUlUWV9CQU5LLklRX0ZZLi5MLkYuVVNEAQAAAN/GBAACAAAABzE1LjUzODcBCAAAAAUAAAABMQEAAAALLTIxMDc2ODYyODIDAAAAAzE2MAIAAAAENDEyOAQAAAABMAcAAAAJMy8yNS8yMDIyCAAAAAkxLzMxLzIwMjIJAAAAATARVaDKTg7aCBFVoMpODtoINENJUS5OWVNFOldNVC5JUV9SRVRVUk5fRVFVSVRZX0JBTksuSVFfTFRNLTQuLkwuRi5VU0QBAAAA38YEAAIAAAAHMTYuMjEyMQEIAAAABQAAAAExAQAAAAstMjEwNzY4NTk3NwMAAAADMTYwAgAAAAQ0MTI4BAAAAAEwBwAAAAkzLzI1LzIwMjIIAAAACTEvMzEvMjAyMQkAAAABMBFVoMpODtoIEVWgyk4O2ggyQ0lRLk5ZU0U6V01ULklRX1JFVFVSTl9FUVVJVFlfQkFOSy5JUV9MVE0u</t>
  </si>
  <si>
    <t>LkwuRi5VU0QBAAAA38YEAAIAAAAHMTUuNTM4NwEIAAAABQAAAAExAQAAAAstMjEwNzY4NjAwOAMAAAADMTYwAgAAAAQ0MTI4BAAAAAEwBwAAAAkzLzI1LzIwMjIIAAAACTEvMzEvMjAyMgkAAAABMBFVoMpODtoIEVWgyk4O2gguQ0lRLk5ZU0U6V01ULklRX0NBU0hfU1RfSU5WRVNULklRX0ZZLTYuLkwuLlVTRAEAAADfxgQAAgAAAAQ4NzA1AQgAAAAFAAAAATEBAAAACjE4ODA3MTg3NjIDAAAAAzE2MAIAAAAEMTAwMgQAAAABMAcAAAAJMy8yNS8yMDIyCAAAAAkxLzMxLzIwMTYJAAAAATARVaDKTg7aCBFVoMpODtoILkNJUS5OWVNFOldNVC5JUV9DQVNIX1NUX0lOVkVTVC5JUV9GWS01Li5MLi5VU0QBAAAA38YEAAIAAAAENjg2NwEIAAAABQAAAAExAQAAAAoxOTUxNTQwMzM1AwAAAAMxNjACAAAABDEwMDIEAAAAATAHAAAACTMvMjUvMjAyMggAAAAJMS8zMS8yMDE3CQAAAAEwEVWgyk4O2ggRVaDKTg7aCC5DSVEuTllTRTpXTVQuSVFfQ0FTSF9TVF9JTlZFU1QuSVFfRlktNC4uTC4uVVNEAQAAAN/GBAACAAAABDY3NTYBCAAAAAUAAAABMQEAAAAKMjAyMzI0OTYxMQMAAAADMTYwAgAAAAQxMDAyBAAAAAEwBwAAAAkzLzI1LzIwMjIIAAAACTEvMzEvMjAxOAkAAAABMBFVoMpODtoIEVWgyk4O2gguQ0lRLk5ZU0U6V01ULklRX0NBU0hfU1RfSU5WRVNULklRX0ZZLTMuLkwuLlVTRAEAAADfxgQAAgAAAAQ3NzIy</t>
  </si>
  <si>
    <t>AQgAAAAFAAAAATEBAAAACjIwODUxMzI5MzADAAAAAzE2MAIAAAAEMTAwMgQAAAABMAcAAAAJMy8yNS8yMDIyCAAAAAkxLzMxLzIwMTkJAAAAATARVaDKTg7aCBFVoMpODtoILkNJUS5OWVNFOldNVC5JUV9DQVNIX1NUX0lOVkVTVC5JUV9GWS0yLi5MLi5VU0QBAAAA38YEAAIAAAAEOTQ2NQEIAAAABQAAAAExAQAAAAstMjEwNzY4NjI5MQMAAAADMTYwAgAAAAQxMDAyBAAAAAEwBwAAAAkzLzI1LzIwMjIIAAAACTEvMzEvMjAyMAkAAAABMBFVoMpODtoIEVWgyk4O2gguQ0lRLk5ZU0U6V01ULklRX0NBU0hfU1RfSU5WRVNULklRX0ZZLTEuLkwuLlVTRAEAAADfxgQAAgAAAAUxNzc0MQEIAAAABQAAAAExAQAAAAstMjEwNzY4NjI4MQMAAAADMTYwAgAAAAQxMDAyBAAAAAEwBwAAAAkzLzI1LzIwMjIIAAAACTEvMzEvMjAyMQkAAAABMBFVoMpODtoIEVWgyk4O2ggsQ0lRLk5ZU0U6V01ULklRX0NBU0hfU1RfSU5WRVNULklRX0ZZLi5MLi5VU0QBAAAA38YEAAIAAAAFMTQ3NjABCAAAAAUAAAABMQEAAAALLTIxMDc2ODYyODIDAAAAAzE2MAIAAAAEMTAwMgQAAAABMAcAAAAJMy8yNS8yMDIyCAAAAAkxLzMxLzIwMjIJAAAAATARVaDKTg7aCBFVoMpODtoIL0NJUS5OWVNFOldNVC5JUV9DQVNIX1NUX0lOVkVTVC5JUV9MVE0tNC4uTC4uVVNEAQAAAN/GBAACAAAABTE3NzQxAQgAAAAFAAAAATEBAAAACy0yMTA3Njg1</t>
  </si>
  <si>
    <t>OTc3AwAAAAMxNjACAAAABDEwMDIEAAAAATAHAAAACTMvMjUvMjAyMggAAAAJMS8zMS8yMDIxCQAAAAEwEVWgyk4O2ggRVaDKTg7aCC1DSVEuTllTRTpXTVQuSVFfQ0FTSF9TVF9JTlZFU1QuSVFfTFRNLi5MLi5VU0QBAAAA38YEAAIAAAAFMTQ3NjABCAAAAAUAAAABMQEAAAALLTIxMDc2ODYwMDgDAAAAAzE2MAIAAAAEMTAwMgQAAAABMAcAAAAJMy8yNS8yMDIyCAAAAAkxLzMxLzIwMjIJAAAAATARVaDKTg7aCBFVoMpODtoIKENJUS5OWVNFOldNVC5JUV9UT1RBTF9SRVYuSVFfRlktMy4uLi5VU0QBAAAA38YEAAIAAAAGNTE0NDA1AQgAAAAFAAAAATEBAAAACjIwODUxMzI5MzADAAAAAzE2MAIAAAACMjgEAAAAATAHAAAACTMvMjUvMjAyMggAAAAJMS8zMS8yMDE5CQAAAAEwEVWgyk4O2giC0j7LTg7aCChDSVEuTllTRTpXTVQuSVFfVE9UQUxfUkVWLklRX0ZZLTEuLi4uVVNEAQAAAN/GBAACAAAABjU1OTE1MQEIAAAABQAAAAExAQAAAAstMjEwNzY4NjI4MQMAAAADMTYwAgAAAAIyOAQAAAABMAcAAAAJMy8yNS8yMDIyCAAAAAkxLzMxLzIwMjEJAAAAATARVaDKTg7aCILSPstODtoIKENJUS5OWVNFOldNVC5JUV9UT1RBTF9SRVYuSVFfRlktMi4uLi5VU0QBAAAA38YEAAIAAAAGNTIzOTY0AQgAAAAFAAAAATEBAAAACy0yMTA3Njg2MjkxAwAAAAMxNjACAAAAAjI4BAAAAAEwBwAAAAkzLzI1LzIwMjIIAAAA</t>
  </si>
  <si>
    <t>CTEvMzEvMjAyMAkAAAABMBFVoMpODtoIgtI+y04O2ggpQ0lRLk5ZU0U6V01ULklRX1RPVEFMX1JFVi5JUV9MVE0tNC4uLi5VU0QBAAAA38YEAAIAAAAGNTU5MTUxAQgAAAAFAAAAATEBAAAACy0yMTA3Njg1OTc3AwAAAAMxNjACAAAAAjI4BAAAAAEwBwAAAAkzLzI1LzIwMjIIAAAACTEvMzEvMjAyMQkAAAABMBFVoMpODtoIgtI+y04O2ggmQ0lRLk5ZU0U6V01ULklRX1RPVEFMX1JFVi5JUV9GWS4uLi5VU0QBAAAA38YEAAIAAAAGNTcyNzU0AQgAAAAFAAAAATEBAAAACy0yMTA3Njg2MjgyAwAAAAMxNjACAAAAAjI4BAAAAAEwBwAAAAkzLzI1LzIwMjIIAAAACTEvMzEvMjAyMgkAAAABMBFVoMpODtoIgtI+y04O2ggoQ0lRLk5ZU0U6V01ULklRX1RPVEFMX1JFVi5JUV9GWS02Li4uLlVTRAEAAADfxgQAAgAAAAY0ODIxMzABCAAAAAUAAAABMQEAAAAKMTg4MDcxODc2MgMAAAADMTYwAgAAAAIyOAQAAAABMAcAAAAJMy8yNS8yMDIyCAAAAAkxLzMxLzIwMTYJAAAAATARVaDKTg7aCILSPstODtoIJ0NJUS5OWVNFOldNVC5JUV9UT1RBTF9SRVYuSVFfTFRNLi4uLlVTRAEAAADfxgQAAgAAAAY1NzI3NTQBCAAAAAUAAAABMQEAAAALLTIxMDc2ODYwMDgDAAAAAzE2MAIAAAACMjgEAAAAATAHAAAACTMvMjUvMjAyMggAAAAJMS8zMS8yMDIyCQAAAAEwEVWgyk4O2giPqz7LTg7aCChDSVEuTllTRTpXTVQuSVFfVE9U</t>
  </si>
  <si>
    <t>QUxfUkVWLklRX0ZZLTUuLi4uVVNEAQAAAN/GBAACAAAABjQ4NTg3MwEIAAAABQAAAAExAQAAAAoxOTUxNTQwMzM1AwAAAAMxNjACAAAAAjI4BAAAAAEwBwAAAAkzLzI1LzIwMjIIAAAACTEvMzEvMjAxNwkAAAABMBFVoMpODtoIj6s+y04O2ggoQ0lRLk5ZU0U6V01ULklRX1RPVEFMX1JFVi5JUV9GWS00Li4uLlVTRAEAAADfxgQAAgAAAAY1MDAzNDMBCAAAAAUAAAABMQEAAAAKMjAyMzI0OTYxMQMAAAADMTYwAgAAAAIyOAQAAAABMAcAAAAJMy8yNS8yMDIyCAAAAAkxLzMxLzIwMTgJAAAAATARVaDKTg7aCI+rPstODtoIKkNJUS5OWVNFOldNVC5JUV9UT1RBTF9SRVYuSVFfRlktNS4uTC5GLlVTRAEAAADfxgQAAgAAAAY0ODU4NzMBCAAAAAUAAAABMQEAAAAKMTk1MTU0MDMzNQMAAAADMTYwAgAAAAIyOAQAAAABMAcAAAAJMy8yNS8yMDIyCAAAAAkxLzMxLzIwMTcJAAAAATARVaDKTg7aCBFVoMpODtoIKkNJUS5OWVNFOldNVC5JUV9UT1RBTF9SRVYuSVFfRlktNC4uTC5GLlVTRAEAAADfxgQAAgAAAAY1MDAzNDMBCAAAAAUAAAABMQEAAAAKMjAyMzI0OTYxMQMAAAADMTYwAgAAAAIyOAQAAAABMAcAAAAJMy8yNS8yMDIyCAAAAAkxLzMxLzIwMTgJAAAAATARVaDKTg7aCBFVoMpODtoIJUNJUS5OWVNFOldNVC5JUV9FQklULklRX0ZZLTUuLkwuRi5VU0QBAAAA38YEAAIAAAAFMjI3NjQBCAAAAAUAAAABMQEA</t>
  </si>
  <si>
    <t>AAAKMTk1MTU0MDMzNQMAAAADMTYwAgAAAAM0MDAEAAAAATAHAAAACTMvMjUvMjAyMggAAAAJMS8zMS8yMDE3CQAAAAEwEVWgyk4O2ggRVaDKTg7aCCVDSVEuTllTRTpXTVQuSVFfRUJJVC5JUV9GWS00Li5MLkYuVVNEAQAAAN/GBAACAAAABTIwOTM3AQgAAAAFAAAAATEBAAAACjIwMjMyNDk2MTEDAAAAAzE2MAIAAAADNDAwBAAAAAEwBwAAAAkzLzI1LzIwMjIIAAAACTEvMzEvMjAxOAkAAAABMBFVoMpODtoIEVWgyk4O2gglQ0lRLk5ZU0U6V01ULklRX0VCSVQuSVFfRlktMS4uTC5GLlVTRAEAAADfxgQAAgAAAAUyNjk0OAEIAAAABQAAAAExAQAAAAstMjEwNzY4NjI4MQMAAAADMTYwAgAAAAM0MDAEAAAAATAHAAAACTMvMjUvMjAyMggAAAAJMS8zMS8yMDIxCQAAAAEwEVWgyk4O2ggRVaDKTg7aCC5DSVEuTllTRTpXTVQuSVFfSU5UX0lOQ19UT1RBTC5JUV9GWS01Li5MLkYuVVNEAQAAAN/GBAADAAAAAAARVaDKTg7aCBFVoMpODtoIMENJUS5OWVNFOldNVC5JUV9ORVRfSU5UX0lOQ19CTksuSVFfRlktNS4uTC5GLlVTRAEAAADfxgQAAwAAAAAAEVWgyk4O2ggRVaDKTg7aCCpDSVEuTllTRTpXTVQuSVFfTkVUX0xPQU5TLklRX0ZZLTUuLkwuRi5VU0QBAAAA38YEAAMAAAAAABFVoMpODtoIEVWgyk4O2gguQ0lRLk5ZU0U6V01ULklRX05FVF9JTlRfTUFSR0lOLklRX0xUTS4uTC5GLlVTRAEAAADfxgQAAwAA</t>
  </si>
  <si>
    <t>AAAAEVWgyk4O2ggRVaDKTg7aCCNDSVEuSVFUUjI1Njk2Mzg3Ny5JUV9UUl9DTE9TRURfREFURQEAAAAl9VAPBQAAAAk4LzMxLzIwMDUAEVWgyk4O2gjtkETLTg7aCCNDSVEuSVFUUjcxMzc3NjUwMS5JUV9UUl9DTE9TRURfREFURQEAAAB1XYsqBQAAAAg2LzQvMjAyMQARVaDKTg7aCO2QRMtODtoIJ0NJUS5JUVRSMjU2OTYzODc3LklRX1RSX1RPVEFMVkFMVUUuLlVTRAEAAAAl9VAPAgAAAAAAEVWgyk4O2gjtkETLTg7aCCNDSVEuSVFUUjY2NTczMDk4OS5JUV9UUl9DTE9TRURfREFURQEAAACtP64nBQAAAAg2LzUvMjAyMAARVaDKTg7aCO2QRMtODtoIIUNJUS5JUVRSMTc2NTQ3MTAzNS5JUV9UUl9BTk5fREFURQEAAAA78zppBQAAAAkxLzI2LzIwMjIBBgAAAAUAAAACNTQBAAAABjYwMDkwNwIAAAAKMTc2NTQ3MTAzNQMAAAAKMTc2NTQ3MTAzNQQAAAADMTYwBgAAAARUcnVlEVWgyk4O2ghjskbLTg7aCCdDSVEuSVFUUjY2NTczMDk4OS5JUV9UUl9UT1RBTFZBTFVFLi5VU0QBAAAArT+uJwIAAAAAABFVoMpODtoI7ZBEy04O2ggnQ0lRLklRVFI3MTM3NzY1MDEuSVFfVFJfVE9UQUxWQUxVRS4uVVNEAQAAAHVdiyoCAAAAAAARVaDKTg7aCO2QRMtODtoILENJUS5OWVNFOldNVC5JUV9SRVZFTlVFX0VTVC5JUV9GWSsxLi5MLkYuVVNEAQAAAN/GBAACAAAADDU4ODg3Ny4wMzgyNAEOAAAABQAAAAEzAQAAAAEw</t>
  </si>
  <si>
    <t>AgAAAAoxMDAyMDgyNzYyAwAAAAYxMDAxODAEAAAAATIGAAAAATAHAAAAAzE2MAgAAAABMAkAAAABMQoAAAABMAsAAAALMTI3OTU3ODAxODcMAAAAATENAAAACTMvMjYvMjAyMhAAAAAJMy8yNS8yMDIyEVWgyk4O2ggRVaDKTg7aCCxDSVEuTllTRTpXTVQuSVFfUkVWRU5VRV9FU1QuSVFfRlkrMi4uTC5GLlVTRAEAAADfxgQAAgAAAAw2MDc4NTguNjc3NDIBDgAAAAUAAAABMwEAAAABMAIAAAAKMTAwMjA4Mjc2MwMAAAAGMTAwMTgwBAAAAAEyBgAAAAEwBwAAAAMxNjAIAAAAATAJAAAAATEKAAAAATALAAAACzEyNzk1NzgwNzczDAAAAAExDQAAAAkzLzI2LzIwMjIQAAAACTMvMjUvMjAyMhFVoMpODtoIEVWgyk4O2ggxQ0lRLk5ZU0U6V01ULklRX0dST1NTX01BUkdJTl9FU1QuSVFfRlkrMS4uTC5GLlVTRAEAAADfxgQAAgAAAAgyNC42NjU3MQEOAAAABQAAAAEzAQAAAAEwAgAAAAoxMDAyMDgyNzYyAwAAAAYxMDUyOTMEAAAAATIGAAAAATAHAAAAATAIAAAAATAJAAAAATEKAAAAATALAAAACzEyNzk1NzgwMzQ3DAAAAAExDQAAAAkzLzI2LzIwMjIQAAAACTMvMjUvMjAyMhFVoMpODtoIEVWgyk4O2ggxQ0lRLk5ZU0U6V01ULklRX0dST1NTX01BUkdJTl9FU1QuSVFfRlkrMi4uTC5GLlVTRAEAAADfxgQAAgAAAAcyNC42MjE1AQ4AAAAFAAAAATMBAAAAATACAAAACjEwMDIwODI3NjMDAAAABjEwNTI5MwQAAAAB</t>
  </si>
  <si>
    <t>MgYAAAABMAcAAAABMAgAAAABMAkAAAABMQoAAAABMAsAAAALMTI3OTU3ODA0MDEMAAAAATENAAAACTMvMjYvMjAyMhAAAAAJMy8yNS8yMDIyEVWgyk4O2ggRVaDKTg7aCC5DSVEuTllTRTpXTVQuSVFfRVNUX0FDVF9FQklUREEuSVFfRlktNi4uTC4uVVNEAQAAAN/GBAACAAAACTM0Mjk3LjU2MQEOAAAABQAAAAEzAQAAAAEwAgAAAAoxMDAwMjA3NDkwAwAAAAYxMDAxOTMEAAAAATIGAAAAATAHAAAAAzE2MAgAAAABMAkAAAABMQoAAAABMAsAAAAKOTMwMjY5MDgwOAwAAAABMQ0AAAAJMy8yNi8yMDIyEAAAAAkxLzMxLzIwMTYRVaDKTg7aCBFVoMpODtoILkNJUS5OWVNFOldNVC5JUV9FU1RfQUNUX0VCSVREQS5JUV9GWS01Li5MLi5VU0QBAAAA38YEAAIAAAAIMzI2NzguMjQBDgAAAAUAAAABMwEAAAABMAIAAAAKMTAwMDIwNzQ5MQMAAAAGMTAwMTkzBAAAAAEyBgAAAAEwBwAAAAMxNjAIAAAAATAJAAAAATEKAAAAATALAAAACzEwOTQxNzA3MTQxDAAAAAExDQAAAAkzLzI2LzIwMjIQAAAACTEvMzEvMjAxNxFVoMpODtoIEVWgyk4O2gguQ0lRLk5ZU0U6V01ULklRX0VTVF9BQ1RfRUJJVERBLklRX0ZZLTQuLkwuLlVTRAEAAADfxgQAAgAAAAczMzA0Mi45AQ4AAAAFAAAAATMBAAAAATACAAAACjEwMDAyMDc0OTIDAAAABjEwMDE5MwQAAAABMgYAAAABMAcAAAADMTYwCAAAAAEwCQAAAAExCgAAAAEwCwAAAAsx</t>
  </si>
  <si>
    <t>MDc1NDQ3NTc0MAwAAAABMQ0AAAAJMy8yNi8yMDIyEAAAAAkxLzMxLzIwMTgRVaDKTg7aCBFVoMpODtoILkNJUS5OWVNFOldNVC5JUV9FU1RfQUNUX0VCSVREQS5JUV9GWS0zLi5MLi5VU0QBAAAA38YEAAIAAAAFMzI2MzUBDgAAAAUAAAABMwEAAAABMAIAAAAKMTAwMDIwNzQ5MwMAAAAGMTAwMTkzBAAAAAEyBgAAAAEwBwAAAAMxNjAIAAAAATAJAAAAATEKAAAAATALAAAACzExMzE5MTkyMTMyDAAAAAExDQAAAAkzLzI2LzIwMjIQAAAACTEvMzEvMjAxORFVoMpODtoIEVWgyk4O2gguQ0lRLk5ZU0U6V01ULklRX0VTVF9BQ1RfRUJJVERBLklRX0ZZLTIuLkwuLlVTRAEAAADfxgQAAgAAAAUzMjM5NAEOAAAABQAAAAEzAQAAAAEwAgAAAAoxMDAxNzQyNDg0AwAAAAYxMDAxOTMEAAAAATIGAAAAATAHAAAAAzE2MAgAAAABMAkAAAABMQoAAAABMAsAAAALMTE3OTUzMzE2NjkMAAAAATENAAAACTMvMjYvMjAyMhAAAAAJMS8zMS8yMDIwEVWgyk4O2ggRVaDKTg7aCC5DSVEuTllTRTpXTVQuSVFfRVNUX0FDVF9FQklUREEuSVFfRlktMS4uTC4uVVNEAQAAAN/GBAACAAAABTM0MzMyAQ4AAAAFAAAAATMBAAAAATACAAAACjEwMDE4MTg1OTMDAAAABjEwMDE5MwQAAAABMgYAAAABMAcAAAADMTYwCAAAAAEwCQAAAAExCgAAAAEwCwAAAAsxMjI2MzAzMzU0OQwAAAABMQ0AAAAJMy8yNi8yMDIyEAAAAAkxLzMxLzIwMjER</t>
  </si>
  <si>
    <t>VaDKTg7aCBFVoMpODtoILENJUS5OWVNFOldNVC5JUV9FU1RfQUNUX0VCSVREQS5JUV9GWS4uTC4uVVNEAQAAAN/GBAACAAAABTM2NzA4AQ4AAAAFAAAAATMBAAAAATACAAAACjEwMDIwODI3NjEDAAAABjEwMDE5MwQAAAABMgYAAAABMAcAAAADMTYwCAAAAAEwCQAAAAExCgAAAAEwCwAAAAsxMjc1NTE4NTEwNQwAAAABMQ0AAAAJMy8yNi8yMDIyEAAAAAkxLzMxLzIwMjIRVaDKTg7aCBFVoMpODtoIL0NJUS5OWVNFOldNVC5JUV9FU1RfQUNUX0VCSVREQS5JUV9MVE0tNC4uTC4uVVNEAQAAAN/GBAADAAAAAAARVaDKTg7aCBFVoMpODtoILUNJUS5OWVNFOldNVC5JUV9FU1RfQUNUX0VCSVREQS5JUV9MVE0uLkwuLlVTRAEAAADfxgQAAwAAAAAAEVWgyk4O2ggRVaDKTg7aCCtDSVEuTllTRTpXTVQuSVFfRUJJVERBX0VTVC5JUV9GWSsxLi5MLkYuVVNEAQAAAN/GBAACAAAACzM4MDE4LjkwNTQzAQ4AAAAFAAAAATMBAAAAATACAAAACjEwMDIwODI3NjIDAAAABjEwMDE4NwQAAAABMgYAAAABMAcAAAADMTYwCAAAAAEwCQAAAAExCgAAAAEwCwAAAAsxMjc5NTc4MDgzMwwAAAABMQ0AAAAJMy8yNi8yMDIyEAAAAAkzLzI1LzIwMjIRVaDKTg7aCBFVoMpODtoIK0NJUS5OWVNFOldNVC5JUV9FQklUREFfRVNULklRX0ZZKzIuLkwuRi5VU0QBAAAA38YEAAIAAAALMzk4ODYuNjg1ODgBDgAAAAUAAAABMwEAAAABMAIA</t>
  </si>
  <si>
    <t>AAAKMTAwMjA4Mjc2MwMAAAAGMTAwMTg3BAAAAAEyBgAAAAEwBwAAAAMxNjAIAAAAATAJAAAAATEKAAAAATALAAAACzEyNzk1NzgwMzUzDAAAAAExDQAAAAkzLzI2LzIwMjIQAAAACTMvMjUvMjAyMhFVoMpODtoIEVWgyk4O2ggsQ0lRLk5ZU0U6V01ULklRX0VTVF9BQ1RfRUJJVC5JUV9GWS02Li5MLi5VU0QBAAAA38YEAAIAAAAJMjQ4NDMuNTYxAQ4AAAAFAAAAATMBAAAAATACAAAACjEwMDAyMDc0OTADAAAABjEwMDIyMQQAAAABMgYAAAABMAcAAAADMTYwCAAAAAEwCQAAAAExCgAAAAEwCwAAAAo5MzAyNjkwODA3DAAAAAExDQAAAAkzLzI2LzIwMjIQAAAACTEvMzEvMjAxNhFVoMpODtoIEVWgyk4O2ggsQ0lRLk5ZU0U6V01ULklRX0VTVF9BQ1RfRUJJVC5JUV9GWS01Li5MLi5VU0QBAAAA38YEAAIAAAAHMjI2MDguNAEOAAAABQAAAAEzAQAAAAEwAgAAAAoxMDAwMjA3NDkxAwAAAAYxMDAyMjEEAAAAATIGAAAAATAHAAAAAzE2MAgAAAABMAkAAAABMQoAAAABMAsAAAALMTAwMTM2ODMzMDQMAAAAATENAAAACTMvMjYvMjAyMhAAAAAJMS8zMS8yMDE3EVWgyk4O2ggRVaDKTg7aCCxDSVEuTllTRTpXTVQuSVFfRVNUX0FDVF9FQklULklRX0ZZLTQuLkwuLlVTRAEAAADfxgQAAgAAAAcyMjUxMy45AQ4AAAAFAAAAATMBAAAAATACAAAACjEwMDAyMDc0OTIDAAAABjEwMDIyMQQAAAABMgYAAAABMAcAAAADMTYw</t>
  </si>
  <si>
    <t>CAAAAAEwCQAAAAExCgAAAAEwCwAAAAsxMDc1NDQ3NTc0MQwAAAABMQ0AAAAJMy8yNi8yMDIyEAAAAAkxLzMxLzIwMTgRVaDKTg7aCBFVoMpODtoILENJUS5OWVNFOldNVC5JUV9FU1RfQUNUX0VCSVQuSVFfRlktMy4uTC4uVVNEAQAAAN/GBAACAAAABTIxOTU3AQ4AAAAFAAAAATMBAAAAATACAAAACjEwMDAyMDc0OTMDAAAABjEwMDIyMQQAAAABMgYAAAABMAcAAAADMTYwCAAAAAEwCQAAAAExCgAAAAEwCwAAAAsxMTMxOTE5MjEzMwwAAAABMQ0AAAAJMy8yNi8yMDIyEAAAAAkxLzMxLzIwMTkRVaDKTg7aCBFVoMpODtoILENJUS5OWVNFOldNVC5JUV9FU1RfQUNUX0VCSVQuSVFfRlktMi4uTC4uVVNEAQAAAN/GBAACAAAABTIxNDA3AQ4AAAAFAAAAATMBAAAAATACAAAACjEwMDE3NDI0ODQDAAAABjEwMDIyMQQAAAABMgYAAAABMAcAAAADMTYwCAAAAAEwCQAAAAExCgAAAAEwCwAAAAsxMTc5NTMzMTY3MAwAAAABMQ0AAAAJMy8yNi8yMDIyEAAAAAkxLzMxLzIwMjARVaDKTg7aCBFVoMpODtoILENJUS5OWVNFOldNVC5JUV9FU1RfQUNUX0VCSVQuSVFfRlktMS4uTC4uVVNEAQAAAN/GBAACAAAABTIzMTgwAQ4AAAAFAAAAATMBAAAAATACAAAACjEwMDE4MTg1OTMDAAAABjEwMDIyMQQAAAABMgYAAAABMAcAAAADMTYwCAAAAAEwCQAAAAExCgAAAAEwCwAAAAsxMjI2MzAzMzU1MAwAAAABMQ0AAAAJMy8yNi8y</t>
  </si>
  <si>
    <t>MDIyEAAAAAkxLzMxLzIwMjERVaDKTg7aCBFVoMpODtoIKkNJUS5OWVNFOldNVC5JUV9FU1RfQUNUX0VCSVQuSVFfRlkuLkwuLlVTRAEAAADfxgQAAgAAAAUyNjA1MAEOAAAABQAAAAEzAQAAAAEwAgAAAAoxMDAyMDgyNzYxAwAAAAYxMDAyMjEEAAAAATIGAAAAATAHAAAAAzE2MAgAAAABMAkAAAABMQoAAAABMAsAAAALMTI3NTUxODUxMDYMAAAAATENAAAACTMvMjYvMjAyMhAAAAAJMS8zMS8yMDIyEVWgyk4O2ggRVaDKTg7aCC1DSVEuTllTRTpXTVQuSVFfRVNUX0FDVF9FQklULklRX0xUTS00Li5MLi5VU0QBAAAA38YEAAMAAAAAABFVoMpODtoIEVWgyk4O2ggrQ0lRLk5ZU0U6V01ULklRX0VTVF9BQ1RfRUJJVC5JUV9MVE0uLkwuLlVTRAEAAADfxgQAAwAAAAAAEVWgyk4O2ggRVaDKTg7aCClDSVEuTllTRTpXTVQuSVFfRUJJVF9FU1QuSVFfRlkrMS4uTC5GLlVTRAEAAADfxgQAAgAAAAsyNzA0OS41Njg0MwEOAAAABQAAAAEzAQAAAAEwAgAAAAoxMDAyMDgyNzYyAwAAAAYxMDAyMTUEAAAAATIGAAAAATAHAAAAAzE2MAgAAAABMAkAAAABMQoAAAABMAsAAAALMTI3OTU3ODA4MjcMAAAAATENAAAACTMvMjYvMjAyMhAAAAAJMy8yNS8yMDIyEVWgyk4O2ggRVaDKTg7aCClDSVEuTllTRTpXTVQuSVFfRUJJVF9FU1QuSVFfRlkrMi4uTC5GLlVTRAEAAADfxgQAAgAAAAsyODQ0NC42MTYxOAEOAAAABQAAAAEz</t>
  </si>
  <si>
    <t>AQAAAAEwAgAAAAoxMDAyMDgyNzYzAwAAAAYxMDAyMTUEAAAAATIGAAAAATAHAAAAAzE2MAgAAAABMAkAAAABMQoAAAABMAsAAAALMTI3OTU3ODAzODMMAAAAATENAAAACTMvMjYvMjAyMhAAAAAJMy8yNS8yMDIyEVWgyk4O2ggRVaDKTg7aCCpDSVEuTllTRTpXTVQuSVFfRVNUX0FDVF9OSS5JUV9GWS02Li5MLi5VU0QBAAAA38YEAAIAAAAIMTQ3NjYuMDMBDgAAAAUAAAABMwEAAAABMAIAAAAKMTAwMDIwNzQ5MAMAAAAGMTAwMjU2BAAAAAEyBgAAAAEwBwAAAAMxNjAIAAAAATAJAAAAATEKAAAAATALAAAACjkzMDI2OTA4MDQMAAAAATENAAAACTMvMjYvMjAyMhAAAAAJMS8zMS8yMDE2EVWgyk4O2ggRVaDKTg7aCCpDSVEuTllTRTpXTVQuSVFfRVNUX0FDVF9OSS5JUV9GWS01Li5MLi5VU0QBAAAA38YEAAIAAAAIMTM0NDMuODQBDgAAAAUAAAABMwEAAAABMAIAAAAKMTAwMDIwNzQ5MQMAAAAGMTAwMjU2BAAAAAEyBgAAAAEwBwAAAAMxNjAIAAAAATAJAAAAATEKAAAAATALAAAACzEwMDEzNjgzMzA3DAAAAAExDQAAAAkzLzI2LzIwMjIQAAAACTEvMzEvMjAxNxFVoMpODtoIEVWgyk4O2ggqQ0lRLk5ZU0U6V01ULklRX0VTVF9BQ1RfTkkuSVFfRlktNC4uTC4uVVNEAQAAAN/GBAACAAAABzEzMzA0LjIBDgAAAAUAAAABMwEAAAABMAIAAAAKMTAwMDIwNzQ5MgMAAAAGMTAwMjU2BAAAAAEyBgAAAAEwBwAAAAMx</t>
  </si>
  <si>
    <t>NjAIAAAAATAJAAAAATEKAAAAATALAAAACzEwNzU0MzA0NDczDAAAAAExDQAAAAkzLzI2LzIwMjIQAAAACTEvMzEvMjAxOBFVoMpODtoIEVWgyk4O2ggqQ0lRLk5ZU0U6V01ULklRX0VTVF9BQ1RfTkkuSVFfRlktMy4uTC4uVVNEAQAAAN/GBAACAAAACDE0NDU5Ljk1AQ4AAAAFAAAAATMBAAAAATACAAAACjEwMDAyMDc0OTMDAAAABjEwMDI1NgQAAAABMgYAAAABMAcAAAADMTYwCAAAAAEwCQAAAAExCgAAAAEwCwAAAAsxMTMxOTE5MjEzNgwAAAABMQ0AAAAJMy8yNi8yMDIyEAAAAAkxLzMxLzIwMTkRVaDKTg7aCBFVoMpODtoIKkNJUS5OWVNFOldNVC5JUV9FU1RfQUNUX05JLklRX0ZZLTIuLkwuLlVTRAEAAADfxgQAAgAAAAgxNDEzOS4yNAEOAAAABQAAAAEzAQAAAAEwAgAAAAoxMDAxNzQyNDg0AwAAAAYxMDAyNTYEAAAAATIGAAAAATAHAAAAAzE2MAgAAAABMAkAAAABMQoAAAABMAsAAAALMTE3OTUzMzE2NzMMAAAAATENAAAACTMvMjYvMjAyMhAAAAAJMS8zMS8yMDIwEVWgyk4O2ggRVaDKTg7aCCpDSVEuTllTRTpXTVQuSVFfRVNUX0FDVF9OSS5JUV9GWS0xLi5MLi5VU0QBAAAA38YEAAIAAAAIMTU2MDEuNTYBDgAAAAUAAAABMwEAAAABMAIAAAAKMTAwMTgxODU5MwMAAAAGMTAwMjU2BAAAAAEyBgAAAAEwBwAAAAMxNjAIAAAAATAJAAAAATEKAAAAATALAAAACzEyMjYzMDMzNTUzDAAAAAExDQAAAAkz</t>
  </si>
  <si>
    <t>LzI2LzIwMjIQAAAACTEvMzEvMjAyMRFVoMpODtoIEVWgyk4O2ggoQ0lRLk5ZU0U6V01ULklRX0VTVF9BQ1RfTkkuSVFfRlkuLkwuLlVTRAEAAADfxgQAAgAAAAcxODEyMC4zAQ4AAAAFAAAAATMBAAAAATACAAAACjEwMDIwODI3NjEDAAAABjEwMDI1NgQAAAABMgYAAAABMAcAAAADMTYwCAAAAAEwCQAAAAExCgAAAAEwCwAAAAsxMjc1NTE4NTEwOQwAAAABMQ0AAAAJMy8yNi8yMDIyEAAAAAkxLzMxLzIwMjIRVaDKTg7aCBFVoMpODtoIK0NJUS5OWVNFOldNVC5JUV9FU1RfQUNUX05JLklRX0xUTS00Li5MLi5VU0QBAAAA38YEAAMAAAAAABFVoMpODtoIEVWgyk4O2ggpQ0lRLk5ZU0U6V01ULklRX0VTVF9BQ1RfTkkuSVFfTFRNLi5MLi5VU0QBAAAA38YEAAMAAAAAABFVoMpODtoIEVWgyk4O2ggnQ0lRLk5ZU0U6V01ULklRX05JX0VTVC5JUV9GWSsxLi5MLkYuVVNEAQAAAN/GBAACAAAACzE4NTc1LjA2MDE3AQ4AAAAFAAAAATMBAAAAATACAAAACjEwMDIwODI3NjIDAAAABjEwMDI1MAQAAAABMgYAAAABMAcAAAADMTYwCAAAAAEwCQAAAAExCgAAAAEwCwAAAAsxMjc5NDQ2OTYwNwwAAAABMQ0AAAAJMy8yNi8yMDIyEAAAAAkzLzI1LzIwMjIRVaDKTg7aCBFVoMpODtoIJ0NJUS5OWVNFOldNVC5JUV9OSV9FU1QuSVFfRlkrMi4uTC5GLlVTRAEAAADfxgQAAgAAAAoxOTU2NC43MzQzAQ4AAAAFAAAAATMBAAAA</t>
  </si>
  <si>
    <t>ATACAAAACjEwMDIwODI3NjMDAAAABjEwMDI1MAQAAAABMgYAAAABMAcAAAADMTYwCAAAAAEwCQAAAAExCgAAAAEwCwAAAAsxMjc5NDQ3MTk0MwwAAAABMQ0AAAAJMy8yNi8yMDIyEAAAAAkzLzI1LzIwMjIRVaDKTg7aCBFVoMpODtoIMUNJUS5OWVNFOldNVC5JUV9FUFNfUkVQT1JURURfRVNULklRX0ZZKzEuLkwuRi5VU0QBAAAA38YEAAIAAAAHNi43NjEzMwEOAAAABQAAAAEzAQAAAAcyNjYzMjIyAgAAAAoxMDAyMDgyNzYyAwAAAAYxMDAyNzgEAAAAATIGAAAAATAHAAAAAzE2MAgAAAABMAkAAAABMQoAAAABMAsAAAALMTI3OTU3ODA0NTUMAAAAATENAAAACTMvMjYvMjAyMhAAAAAJMy8yNS8yMDIyEVWgyk4O2ggRVaDKTg7aCDFDSVEuTllTRTpXTVQuSVFfRVBTX1JFUE9SVEVEX0VTVC5JUV9GWSsyLi5MLkYuVVNEAQAAAN/GBAACAAAABzcuMjUzNTcBDgAAAAUAAAABMwEAAAAHMjY2MzIyMgIAAAAKMTAwMjA4Mjc2MwMAAAAGMTAwMjc4BAAAAAEyBgAAAAEwBwAAAAMxNjAIAAAAATAJAAAAATEKAAAAATALAAAACzEyNzk1NzgwNDQ5DAAAAAExDQAAAAkzLzI2LzIwMjIQAAAACTMvMjUvMjAyMhFVoMpODtoIEVWgyk4O2ggoQ0lRLk5ZU0U6V01ULklRX0VQU19FU1QuSVFfRlkrMS4uTC5GLlVTRAEAAADfxgQAAgAAAAc2Ljc1ODg2AQ4AAAAFAAAAATMBAAAABzI2NjMyMjICAAAACjEwMDIwODI3NjIDAAAA</t>
  </si>
  <si>
    <t>BjEwMDE3MwQAAAABMgYAAAABMAcAAAADMTYwCAAAAAEwCQAAAAExCgAAAAEwCwAAAAsxMjc5OTE0ODIzOQwAAAABMQ0AAAAJMy8yNi8yMDIyEAAAAAkzLzI1LzIwMjIRVaDKTg7aCBFVoMpODtoIKENJUS5OWVNFOldNVC5JUV9FUFNfRVNULklRX0ZZKzIuLkwuRi5VU0QBAAAA38YEAAIAAAAHNy4yNTUyOAEOAAAABQAAAAEzAQAAAAcyNjYzMjIyAgAAAAoxMDAyMDgyNzYzAwAAAAYxMDAxNzMEAAAAATIGAAAAATAHAAAAAzE2MAgAAAABMAkAAAABMQoAAAABMAsAAAALMTI3OTkxNDgyMzMMAAAAATENAAAACTMvMjYvMjAyMhAAAAAJMy8yNS8yMDIyEVWgyk4O2ggRVaDKTg7aCCtDSVEuTllTRTpXTVQuSVFfUkVWRU5VRV9FU1QuSVFfRlkrMS4uTC4uVVNEAQAAAN/GBAACAAAADDU4ODg3Ny4wMzgyNAEOAAAABQAAAAEzAQAAAAEwAgAAAAoxMDAyMDgyNzYyAwAAAAYxMDAxODAEAAAAATIGAAAAATAHAAAAAzE2MAgAAAABMAkAAAABMQoAAAABMAsAAAALMTI3OTU3ODAxODcMAAAAATENAAAACTMvMjYvMjAyMhAAAAAJMy8yNS8yMDIyEVWgyk4O2ggRVaDKTg7aCCtDSVEuTllTRTpXTVQuSVFfUkVWRU5VRV9FU1QuSVFfRlkrMi4uTC4uVVNEAQAAAN/GBAACAAAADDYwNzg1OC42Nzc0MgEOAAAABQAAAAEzAQAAAAEwAgAAAAoxMDAyMDgyNzYzAwAAAAYxMDAxODAEAAAAATIGAAAAATAHAAAAAzE2MAgAAAABMAkA</t>
  </si>
  <si>
    <t>AAABMQoAAAABMAsAAAALMTI3OTU3ODA3NzMMAAAAATENAAAACTMvMjYvMjAyMhAAAAAJMy8yNS8yMDIyEVWgyk4O2ggRVaDKTg7aCC5DSVEuTllTRTpXTVQuSVFfUFJFVEFYX0lOQ19FU1QuSVFfRlkrMS4uTC4uVVNEAQAAAN/GBAACAAAACjI1MjgzLjE2NTQBDgAAAAUAAAABMwEAAAABMAIAAAAKMTAwMjA4Mjc2MgMAAAAGMTAwMjI5BAAAAAEyBgAAAAEwBwAAAAMxNjAIAAAAATAJAAAAATEKAAAAATALAAAACzEyNzk0NDcyNTk5DAAAAAExDQAAAAkzLzI2LzIwMjIQAAAACTMvMjUvMjAyMhFVoMpODtoIEVWgyk4O2gguQ0lRLk5ZU0U6V01ULklRX1BSRVRBWF9JTkNfRVNULklRX0ZZKzIuLkwuLlVTRAEAAADfxgQAAgAAAAsyNjYwOC41OTY5MQEOAAAABQAAAAEzAQAAAAEwAgAAAAoxMDAyMDgyNzYzAwAAAAYxMDAyMjkEAAAAATIGAAAAATAHAAAAAzE2MAgAAAABMAkAAAABMQoAAAABMAsAAAALMTI3OTQ0NzI1NDUMAAAAATENAAAACTMvMjYvMjAyMhAAAAAJMy8yNS8yMDIyEVWgyk4O2ggRVaDKTg7aCCZDSVEuTllTRTpXTVQuSVFfTklfRVNULklRX0ZZKzEuLkwuLlVTRAEAAADfxgQAAgAAAAsxODU3NS4wNjAxNwEOAAAABQAAAAEzAQAAAAEwAgAAAAoxMDAyMDgyNzYyAwAAAAYxMDAyNTAEAAAAATIGAAAAATAHAAAAAzE2MAgAAAABMAkAAAABMQoAAAABMAsAAAALMTI3OTQ0Njk2MDcMAAAAATENAAAA</t>
  </si>
  <si>
    <t>CTMvMjYvMjAyMhAAAAAJMy8yNS8yMDIyEVWgyk4O2ggRVaDKTg7aCCZDSVEuTllTRTpXTVQuSVFfTklfRVNULklRX0ZZKzIuLkwuLlVTRAEAAADfxgQAAgAAAAoxOTU2NC43MzQzAQ4AAAAFAAAAATMBAAAAATACAAAACjEwMDIwODI3NjMDAAAABjEwMDI1MAQAAAABMgYAAAABMAcAAAADMTYwCAAAAAEwCQAAAAExCgAAAAEwCwAAAAsxMjc5NDQ3MTk0MwwAAAABMQ0AAAAJMy8yNi8yMDIyEAAAAAkzLzI1LzIwMjIRVaDKTg7aCBFVoMpODtoIMENJUS5OWVNFOldNVC5JUV9FUFNfUkVQT1JURURfRVNULklRX0ZZKzEuLkwuLlVTRAEAAADfxgQAAgAAAAc2Ljc2MTMzAQ4AAAAFAAAAATMBAAAABzI2NjMyMjICAAAACjEwMDIwODI3NjIDAAAABjEwMDI3OAQAAAABMgYAAAABMAcAAAADMTYwCAAAAAEwCQAAAAExCgAAAAEwCwAAAAsxMjc5NTc4MDQ1NQwAAAABMQ0AAAAJMy8yNi8yMDIyEAAAAAkzLzI1LzIwMjIRVaDKTg7aCBFVoMpODtoIMENJUS5OWVNFOldNVC5JUV9FUFNfUkVQT1JURURfRVNULklRX0ZZKzIuLkwuLlVTRAEAAADfxgQAAgAAAAc3LjI1MzU3AQ4AAAAFAAAAATMBAAAABzI2NjMyMjICAAAACjEwMDIwODI3NjMDAAAABjEwMDI3OAQAAAABMgYAAAABMAcAAAADMTYwCAAAAAEwCQAAAAExCgAAAAEwCwAAAAsxMjc5NTc4MDQ0OQwAAAABMQ0AAAAJMy8yNi8yMDIyEAAAAAkzLzI1LzIwMjIRVaDK</t>
  </si>
  <si>
    <t>Tg7aCBFVoMpODtoIJ0NJUS5OWVNFOldNVC5JUV9FUFNfRVNULklRX0ZZKzEuLkwuLlVTRAEAAADfxgQAAgAAAAc2Ljc1ODg2AQ4AAAAFAAAAATMBAAAABzI2NjMyMjICAAAACjEwMDIwODI3NjIDAAAABjEwMDE3MwQAAAABMgYAAAABMAcAAAADMTYwCAAAAAEwCQAAAAExCgAAAAEwCwAAAAsxMjc5OTE0ODIzOQwAAAABMQ0AAAAJMy8yNi8yMDIyEAAAAAkzLzI1LzIwMjIRVaDKTg7aCBFVoMpODtoIJ0NJUS5OWVNFOldNVC5JUV9FUFNfRVNULklRX0ZZKzIuLkwuLlVTRAEAAADfxgQAAgAAAAc3LjI1NTI4AQ4AAAAFAAAAATMBAAAABzI2NjMyMjICAAAACjEwMDIwODI3NjMDAAAABjEwMDE3MwQAAAABMgYAAAABMAcAAAADMTYwCAAAAAEwCQAAAAExCgAAAAEwCwAAAAsxMjc5OTE0ODIzMwwAAAABMQ0AAAAJMy8yNi8yMDIyEAAAAAkzLzI1LzIwMjIRVaDKTg7aCBFVoMpODtoIK0NJUS5OWVNFOldNVC5JUV9SRVZFTlVFX0VTVC5JUV9GWSsxLi4uRi5VU0QBAAAA38YEAAIAAAAMNTg4ODc3LjAzODI0AQ4AAAAFAAAAATMBAAAAATACAAAACjEwMDIwODI3NjIDAAAABjEwMDE4MAQAAAABMgYAAAABMAcAAAADMTYwCAAAAAEwCQAAAAExCgAAAAEwCwAAAAsxMjc5NTc4MDE4NwwAAAABMQ0AAAAJMy8yNi8yMDIyEAAAAAkzLzI1LzIwMjIRVaDKTg7aCBFVoMpODtoIK0NJUS5OWVNFOldNVC5JUV9SRVZFTlVFX0VT</t>
  </si>
  <si>
    <t>VC5JUV9GWSsyLi4uRi5VU0QBAAAA38YEAAIAAAAMNjA3ODU4LjY3NzQyAQ4AAAAFAAAAATMBAAAAATACAAAACjEwMDIwODI3NjMDAAAABjEwMDE4MAQAAAABMgYAAAABMAcAAAADMTYwCAAAAAEwCQAAAAExCgAAAAEwCwAAAAsxMjc5NTc4MDc3MwwAAAABMQ0AAAAJMy8yNi8yMDIyEAAAAAkzLzI1LzIwMjIRVaDKTg7aCBFVoMpODtoIKkNJUS5OWVNFOldNVC5JUV9FQklUREFfRVNULklRX0ZZKzEuLi5GLlVTRAEAAADfxgQAAgAAAAszODAxOC45MDU0MwEOAAAABQAAAAEzAQAAAAEwAgAAAAoxMDAyMDgyNzYyAwAAAAYxMDAxODcEAAAAATIGAAAAATAHAAAAAzE2MAgAAAABMAkAAAABMQoAAAABMAsAAAALMTI3OTU3ODA4MzMMAAAAATENAAAACTMvMjYvMjAyMhAAAAAJMy8yNS8yMDIyEVWgyk4O2ggRVaDKTg7aCCpDSVEuTllTRTpXTVQuSVFfRUJJVERBX0VTVC5JUV9GWSsyLi4uRi5VU0QBAAAA38YEAAIAAAALMzk4ODYuNjg1ODgBDgAAAAUAAAABMwEAAAABMAIAAAAKMTAwMjA4Mjc2MwMAAAAGMTAwMTg3BAAAAAEyBgAAAAEwBwAAAAMxNjAIAAAAATAJAAAAATEKAAAAATALAAAACzEyNzk1NzgwMzUzDAAAAAExDQAAAAkzLzI2LzIwMjIQAAAACTMvMjUvMjAyMhFVoMpODtoIEVWgyk4O2ggoQ0lRLk5ZU0U6V01ULklRX0VCSVRfRVNULklRX0ZZKzEuLi5GLlVTRAEAAADfxgQAAgAAAAsyNzA0OS41Njg0</t>
  </si>
  <si>
    <t>MwEOAAAABQAAAAEzAQAAAAEwAgAAAAoxMDAyMDgyNzYyAwAAAAYxMDAyMTUEAAAAATIGAAAAATAHAAAAAzE2MAgAAAABMAkAAAABMQoAAAABMAsAAAALMTI3OTU3ODA4MjcMAAAAATENAAAACTMvMjYvMjAyMhAAAAAJMy8yNS8yMDIyEVWgyk4O2ggRVaDKTg7aCChDSVEuTllTRTpXTVQuSVFfRUJJVF9FU1QuSVFfRlkrMi4uLkYuVVNEAQAAAN/GBAACAAAACzI4NDQ0LjYxNjE4AQ4AAAAFAAAAATMBAAAAATACAAAACjEwMDIwODI3NjMDAAAABjEwMDIxNQQAAAABMgYAAAABMAcAAAADMTYwCAAAAAEwCQAAAAExCgAAAAEwCwAAAAsxMjc5NTc4MDM4MwwAAAABMQ0AAAAJMy8yNi8yMDIyEAAAAAkzLzI1LzIwMjIRVaDKTg7aCBFVoMpODtoIJ0NJUS5OWVNFOldNVC5JUV9FUFNfRVNULklRX0ZZKzEuLi5GLlVTRAEAAADfxgQAAgAAAAc2Ljc1ODg2AQ4AAAAFAAAAATMBAAAABzI2NjMyMjICAAAACjEwMDIwODI3NjIDAAAABjEwMDE3MwQAAAABMgYAAAABMAcAAAADMTYwCAAAAAEwCQAAAAExCgAAAAEwCwAAAAsxMjc5OTE0ODIzOQwAAAABMQ0AAAAJMy8yNi8yMDIyEAAAAAkzLzI1LzIwMjIRVaDKTg7aCBFVoMpODtoIJ0NJUS5OWVNFOldNVC5JUV9FUFNfRVNULklRX0ZZKzIuLi5GLlVTRAEAAADfxgQAAgAAAAc3LjI1NTI4AQ4AAAAFAAAAATMBAAAABzI2NjMyMjICAAAACjEwMDIwODI3NjMDAAAABjEwMDE3</t>
  </si>
  <si>
    <t>MwQAAAABMgYAAAABMAcAAAADMTYwCAAAAAEwCQAAAAExCgAAAAEwCwAAAAsxMjc5OTE0ODIzMwwAAAABMQ0AAAAJMy8yNi8yMDIyEAAAAAkzLzI1LzIwMjIRVaDKTg7aCBFVoMpODtoIMUNJUS5OWVNFOldNVC5JUV9SRVRVUk5fRVFVSVRZX0VTVC5JUV9GWSsxLi4uRi5VU0QBAAAA38YEAAIAAAAIMjAuNDEyNjgBDgAAAAUAAAABMwEAAAABMAIAAAAKMTAwMjA4Mjc2MgMAAAAGMTA0MTExBAAAAAEyBgAAAAEwBwAAAAEwCAAAAAEwCQAAAAExCgAAAAEwCwAAAAsxMjc5MjM1OTQzMQwAAAABMQ0AAAAJMy8yNi8yMDIyEAAAAAkzLzI1LzIwMjIRVaDKTg7aCBFVoMpODtoIMUNJUS5OWVNFOldNVC5JUV9SRVRVUk5fRVFVSVRZX0VTVC5JUV9GWSsyLi4uRi5VU0QBAAAA38YEAAIAAAAHMjEuODgzNwEOAAAABQAAAAEzAQAAAAEwAgAAAAoxMDAyMDgyNzYzAwAAAAYxMDQxMTEEAAAAATIGAAAAATAHAAAAATAIAAAAATAJAAAAATEKAAAAATALAAAACzEyNzkyMTk0NzQzDAAAAAExDQAAAAkzLzI2LzIwMjIQAAAACTMvMjUvMjAyMhFVoMpODtoIEVWgyk4O2gguQ0lRLk5ZU0U6V01ULklRX1BSRVRBWF9JTkNfRVNULklRX0ZZKzEuLi5GLlVTRAEAAADfxgQAAgAAAAoyNTI4My4xNjU0AQ4AAAAFAAAAATMBAAAAATACAAAACjEwMDIwODI3NjIDAAAABjEwMDIyOQQAAAABMgYAAAABMAcAAAADMTYwCAAAAAEwCQAAAAEx</t>
  </si>
  <si>
    <t>CgAAAAEwCwAAAAsxMjc5NDQ3MjU5OQwAAAABMQ0AAAAJMy8yNi8yMDIyEAAAAAkzLzI1LzIwMjIRVaDKTg7aCBFVoMpODtoILkNJUS5OWVNFOldNVC5JUV9QUkVUQVhfSU5DX0VTVC5JUV9GWSsyLi4uRi5VU0QBAAAA38YEAAIAAAALMjY2MDguNTk2OTEBDgAAAAUAAAABMwEAAAABMAIAAAAKMTAwMjA4Mjc2MwMAAAAGMTAwMjI5BAAAAAEyBgAAAAEwBwAAAAMxNjAIAAAAATAJAAAAATEKAAAAATALAAAACzEyNzk0NDcyNTQ1DAAAAAExDQAAAAkzLzI2LzIwMjIQAAAACTMvMjUvMjAyMhFVoMpODtoIEVWgyk4O2ggoQ0lRLk5ZU0U6V01ULklRX1BSSUNFX1RBUkdFVF9DSVEuLi4uLlVTRAEAAADfxgQAAgAAAAkxNjQuMzYzNjQBDgAAAAUAAAABNwEAAAAHMjY2MzIyMgIAAAAGMjY0Mzk4AwAAAAYxMDAxNjEEAAAAAzI1NQYAAAABMAcAAAADMTYwCAAAAAEwCQAAAAExCgAAAAEwCwAAAAsxMjc5NjU3MzYyOQwAAAABOA0AAAAJMy8yNi8yMDIyEAAAAAkzLzI1LzIwMjIRVaDKTg7aCBFVoMpODtoIHENJUS4uSVFfVFJBTlNBQ1RJT05fTElTVF9NQS4FAAAAAQAAAAgAAAAUKEludmFsaWQgSWRlbnRpZmllcikGxuXKTg7aCAbG5cpODtoIEkNJUS4uSVFfQ09NUEFOWV9JRAUAAAABAAAACAAAABQoSW52YWxpZCBJZGVudGlmaWVyKQbG5cpODtoIBsblyk4O2ggaQ0lRLi5JUV9GSVNDQUxfWV9FU1QuMTAwMS4FAAAA</t>
  </si>
  <si>
    <t>AQAAAAgAAAAUKEludmFsaWQgSWRlbnRpZmllcikGxuXKTg7aCAbG5cpODtoIGkNJUS4uSVFfRklTQ0FMX1lfRVNULjEwMDIuBQAAAAEAAAAIAAAAFChJbnZhbGlkIElkZW50aWZpZXIpBsblyk4O2ggGxuXKTg7aCBZDSVEuLklRX0ZJU0NBTF9ZLjEwMDAuBQAAAAEAAAAIAAAAFChJbnZhbGlkIElkZW50aWZpZXIpBsblyk4O2ggGxuXKTg7aCCNDSVEuLklRX1RSQU5TQUNUSU9OX0xJU1RfSU5DTF9TVUJTLgUAAAABAAAACAAAABQoSW52YWxpZCBJZGVudGlmaWVyKQbG5cpODtoIBsblyk4O2ggWQ0lRLi5JUV9JTlZFU1RPUlNfQUxMLgUAAAABAAAACAAAABQoSW52YWxpZCBJZGVudGlmaWVyKQbG5cpODtoIBsblyk4O2ggaQ0lRLi5JUV9JTlZFU1RPUlNfQUxMX1JFTC4FAAAAAQAAAAgAAAAUKEludmFsaWQgSWRlbnRpZmllcikGxuXKTg7aCAbG5cpODtoIHENJUS4uSVFfSU5WRVNUT1JTX0FMTF9DT1ZFUi4FAAAAAQAAAAgAAAAUKEludmFsaWQgSWRlbnRpZmllcikGxuXKTg7aCAbG5cpODtoIIUNJUS4uSVFfUEVSSU9EREFURV9CUy5JUV9GWS02Li4uRgUAAAABAAAACAAAABQoSW52YWxpZCBJZGVudGlmaWVyKQQi6MpODtoIBCLoyk4O2gghQ0lRLi5JUV9QRVJJT0REQVRFX0JTLklRX0ZZLTUuLi5GBQAAAAEAAAAIAAAAFChJbnZhbGlkIElkZW50aWZpZXIpBCLoyk4O2ggEIujKTg7aCCFDSVEuLklRX1BF</t>
  </si>
  <si>
    <t>UklPRERBVEVfQlMuSVFfRlktNC4uLkYFAAAAAQAAAAgAAAAUKEludmFsaWQgSWRlbnRpZmllcikEIujKTg7aCAQi6MpODtoIIUNJUS4uSVFfUEVSSU9EREFURV9CUy5JUV9GWS0zLi4uRgUAAAABAAAACAAAABQoSW52YWxpZCBJZGVudGlmaWVyKQQi6MpODtoIBCLoyk4O2gghQ0lRLi5JUV9QRVJJT0REQVRFX0JTLklRX0ZZLTIuLi5GBQAAAAEAAAAIAAAAFChJbnZhbGlkIElkZW50aWZpZXIpBCLoyk4O2ggEIujKTg7aCCFDSVEuLklRX1BFUklPRERBVEVfQlMuSVFfRlktMS4uLkYFAAAAAQAAAAgAAAAUKEludmFsaWQgSWRlbnRpZmllcikEIujKTg7aCAQi6MpODtoIH0NJUS4uSVFfUEVSSU9EREFURV9CUy5JUV9GWS4uLkYFAAAAAQAAAAgAAAAUKEludmFsaWQgSWRlbnRpZmllcikEIujKTg7aCAQi6MpODtoIFkNJUS4uSVFfRklTQ0FMX1kuSVFfRlkFAAAAAQAAAAgAAAAUKEludmFsaWQgSWRlbnRpZmllcikEIujKTg7aCAQi6MpODtoIGENJUS4uSVFfRklTQ0FMX1kuSVFfRlktMQUAAAABAAAACAAAABQoSW52YWxpZCBJZGVudGlmaWVyKQQi6MpODtoIBCLoyk4O2ggYQ0lRLi5JUV9GSVNDQUxfWS5JUV9GWS00BQAAAAEAAAAIAAAAFChJbnZhbGlkIElkZW50aWZpZXIpBCLoyk4O2ggEIujKTg7aCBhDSVEuLklRX0ZJU0NBTF9ZLklRX0ZZLTMFAAAAAQAAAAgAAAAUKEludmFsaWQgSWRlbnRpZmllcikE</t>
  </si>
  <si>
    <t>IujKTg7aCAQi6MpODtoIGENJUS4uSVFfRklTQ0FMX1kuSVFfRlktMgUAAAABAAAACAAAABQoSW52YWxpZCBJZGVudGlmaWVyKQQi6MpODtoIBCLoyk4O2ggYQ0lRLi5JUV9GSVNDQUxfWS5JUV9GWS02BQAAAAEAAAAIAAAAFChJbnZhbGlkIElkZW50aWZpZXIpBCLoyk4O2ggEIujKTg7aCBhDSVEuLklRX0ZJU0NBTF9ZLklRX0ZZLTUFAAAAAQAAAAgAAAAUKEludmFsaWQgSWRlbnRpZmllcikEIujKTg7aCAQi6MpODtoIHENJUS4uSVFfWl9TQ09SRS5JUV9GWS0xLi5MLkYFAAAAAQAAAAgAAAAUKEludmFsaWQgSWRlbnRpZmllcikEIujKTg7aCAQi6MpODtoIGkNJUS4uSVFfWl9TQ09SRS5JUV9GWS4uTC5GBQAAAAEAAAAIAAAAFChJbnZhbGlkIElkZW50aWZpZXIpBCLoyk4O2ggEIujKTg7aCB1DSVEuLklRX1pfU0NPUkUuSVFfTFRNLTQuLkwuRgUAAAABAAAACAAAABQoSW52YWxpZCBJZGVudGlmaWVyKQQi6MpODtoIBCLoyk4O2ggbQ0lRLi5JUV9aX1NDT1JFLklRX0xUTS4uTC5GBQAAAAEAAAAIAAAAFChJbnZhbGlkIElkZW50aWZpZXIpBCLoyk4O2ggEIujKTg7aCCBDSVEuLklRX1BFUklPRERBVEVfQlMuSVFfTFRNLi4uRgUAAAABAAAACAAAABQoSW52YWxpZCBJZGVudGlmaWVyKQQi6MpODtoIBCLoyk4O2ggcQ0lRLi5JUV9aX1NDT1JFLklRX0ZZLTYuLkwuRgUAAAABAAAACAAAABQoSW52YWxpZCBJ</t>
  </si>
  <si>
    <t>ZGVudGlmaWVyKQQi6MpODtoIBCLoyk4O2ggcQ0lRLi5JUV9aX1NDT1JFLklRX0ZZLTUuLkwuRgUAAAABAAAACAAAABQoSW52YWxpZCBJZGVudGlmaWVyKQQi6MpODtoIBCLoyk4O2ggcQ0lRLi5JUV9aX1NDT1JFLklRX0ZZLTQuLkwuRgUAAAABAAAACAAAABQoSW52YWxpZCBJZGVudGlmaWVyKQQi6MpODtoIBCLoyk4O2ggcQ0lRLi5JUV9aX1NDT1JFLklRX0ZZLTMuLkwuRgUAAAABAAAACAAAABQoSW52YWxpZCBJZGVudGlmaWVyKQQi6MpODtoIBCLoyk4O2ggcQ0lRLi5JUV9aX1NDT1JFLklRX0ZZLTIuLkwuRgUAAAABAAAACAAAABQoSW52YWxpZCBJZGVudGlmaWVyKQQi6MpODtoIBCLoyk4O2ggiQ0lRLi5JUV9QRVJJT0REQVRFX0JTLklRX0xUTS00Li4uRgUAAAABAAAACAAAABQoSW52YWxpZCBJZGVudGlmaWVyKQQi6MpODtoIBCLoyk4O2ggcQ0lRLi5JUV9QRV9FWENMX0ZXRC5JUV9GWSsxLgUAAAABAAAACAAAABQoSW52YWxpZCBJZGVudGlmaWVyKQQi6MpODtoIBCLoyk4O2ggcQ0lRLi5JUV9QRV9FWENMX0ZXRC5JUV9GWSsyLgUAAAABAAAACAAAABQoSW52YWxpZCBJZGVudGlmaWVyKQQi6MpODtoIBCLoyk4O2ggYQ0lRLi5JUV9QQlZfRldELklRX0ZZKzEuBQAAAAEAAAAIAAAAFChJbnZhbGlkIElkZW50aWZpZXIpBCLoyk4O2ggEIujKTg7aCBhDSVEuLklRX1BCVl9GV0QuSVFfRlkrMi4FAAAA</t>
  </si>
  <si>
    <t>AQAAAAgAAAAUKEludmFsaWQgSWRlbnRpZmllcikEIujKTg7aCAQi6MpODtoIFkNJUS4uSVFfQVZHX0JST0tFUl9SRUMFAAAAAQAAAAgAAAAUKEludmFsaWQgSWRlbnRpZmllcikEIujKTg7aCAQi6MpODtoIIkNJUS4uSVFfVEVWX1RPVEFMX1JFVl9GV0QuSVFfRlkrMS4FAAAAAQAAAAgAAAAUKEludmFsaWQgSWRlbnRpZmllcikEIujKTg7aCAQi6MpODtoIIkNJUS4uSVFfVEVWX1RPVEFMX1JFVl9GV0QuSVFfRlkrMi4FAAAAAQAAAAgAAAAUKEludmFsaWQgSWRlbnRpZmllcikEIujKTg7aCAQi6MpODtoIH0NJUS4uSVFfVEVWX0VCSVREQV9GV0QuSVFfRlkrMS4FAAAAAQAAAAgAAAAUKEludmFsaWQgSWRlbnRpZmllcikEIujKTg7aCAQi6MpODtoIH0NJUS4uSVFfVEVWX0VCSVREQV9GV0QuSVFfRlkrMi4FAAAAAQAAAAgAAAAUKEludmFsaWQgSWRlbnRpZmllcikEIujKTg7aCAQi6MpODtoIGkNJUS4uSVFfTkVYVF9FQVJOSU5HU19EQVRFBQAAAAEAAAAIAAAAFChJbnZhbGlkIElkZW50aWZpZXIpBCLoyk4O2ggEIujKTg7aCBdDSVEuLklRX0lORFVTVFJZX1NFQ1RPUgUAAAABAAAACAAAABQoSW52YWxpZCBJZGVudGlmaWVyKQQi6MpODtoIBCLoyk4O2ggXQ0lRLi5JUV9DT01QQU5ZX1NUUkVFVDIFAAAAAQAAAAgAAAAUKEludmFsaWQgSWRlbnRpZmllcikEIujKTg7aCAQi6MpODtoIHENJUS4uSVFfQlVT</t>
  </si>
  <si>
    <t>SU5FU1NfREVTQ1JJUFRJT04FAAAAAQAAAAgAAAAUKEludmFsaWQgSWRlbnRpZmllcikEIujKTg7aCAQi6MpODtoIF0NJUS4uSVFfQ09NUEFOWV9TVFJFRVQxBQAAAAEAAAAIAAAAFChJbnZhbGlkIElkZW50aWZpZXIpBCLoyk4O2ggEIujKTg7aCBFDSVEuLklRX0VNUExPWUVFUwUAAAABAAAACAAAABQoSW52YWxpZCBJZGVudGlmaWVyKQQi6MpODtoIBCLoyk4O2ggYQ0lRLi5JUV9TUF9JU1NVRVJfUkFUSU5HBQAAAAEAAAAIAAAAFChJbnZhbGlkIElkZW50aWZpZXIpBCLoyk4O2ggEIujKTg7aCBRDSVEuLklRX0NPVU5UUllfTkFNRQUAAAABAAAACAAAABQoSW52YWxpZCBJZGVudGlmaWVyKQQi6MpODtoIBCLoyk4O2ggVQ0lRLi5JUV9DT01QQU5ZX1BIT05FBQAAAAEAAAAIAAAAFChJbnZhbGlkIElkZW50aWZpZXIpBCLoyk4O2ggEIujKTg7aCAxDSVEuLklRX0NJVFkFAAAAAQAAAAgAAAAUKEludmFsaWQgSWRlbnRpZmllcikEIujKTg7aCAQi6MpODtoIF0NJUS4uSVFfQ09NUEFOWV9XRUJTSVRFBQAAAAEAAAAIAAAAFChJbnZhbGlkIElkZW50aWZpZXIpBCLoyk4O2ggEIujKTg7aCBRDSVEuLklRX1FVSUNLX0NPTVAuOAUAAAABAAAACAAAABQoSW52YWxpZCBJZGVudGlmaWVyKQQi6MpODtoIBCLoyk4O2ggUQ0lRLi5JUV9RVUlDS19DT01QLjkFAAAAAQAAAAgAAAAUKEludmFsaWQgSWRlbnRpZmllcikE</t>
  </si>
  <si>
    <t>IujKTg7aCAQi6MpODtoIFUNJUS4uSVFfUVVJQ0tfQ09NUC4xMAUAAAABAAAACAAAABQoSW52YWxpZCBJZGVudGlmaWVyKQQi6MpODtoIBCLoyk4O2ggUQ0lRLi5JUV9RVUlDS19DT01QLjQFAAAAAQAAAAgAAAAUKEludmFsaWQgSWRlbnRpZmllcikEIujKTg7aCAQi6MpODtoIFENJUS4uSVFfUVVJQ0tfQ09NUC41BQAAAAEAAAAIAAAAFChJbnZhbGlkIElkZW50aWZpZXIpBCLoyk4O2ggEIujKTg7aCBRDSVEuLklRX1FVSUNLX0NPTVAuNgUAAAABAAAACAAAABQoSW52YWxpZCBJZGVudGlmaWVyKQQi6MpODtoIBCLoyk4O2ggUQ0lRLi5JUV9RVUlDS19DT01QLjcFAAAAAQAAAAgAAAAUKEludmFsaWQgSWRlbnRpZmllcikEIujKTg7aCAQi6MpODtoIFENJUS4uSVFfUVVJQ0tfQ09NUC4xBQAAAAEAAAAIAAAAFChJbnZhbGlkIElkZW50aWZpZXIpBCLoyk4O2ggEIujKTg7aCEtDSVFSQU5HRS4uSVFfSU5WRVNUT1JTX0NVUlJfUkVDRU5UX0FNT1VOVC4xLjEwMDAuLi4uLklOVkVTVE9SUyBMQVNUIElOViBBTVQFAAAAAQAAAAgAAAAUKEludmFsaWQgSWRlbnRpZmllcikEIujKTg7aCAQi6MpODtoINkNJUVJBTkdFLi5JUV9JTlZFU1RPUlNfQ1VSUl9JRC4xLjEwMDAuLi4uLklOVkVTVE9SUyBJRAUAAAABAAAACAAAABQoSW52YWxpZCBJZGVudGlmaWVyKQQi6MpODtoIBCLoyk4O2ghMQ0lRUkFOR0UuLklRX0lO</t>
  </si>
  <si>
    <t>VkVTVE9SU19DVVJSX1RSQU5TQUNUSU9OX0RBVEUuMS4xMDAwLi4uLi5JTlZFU1RPUlMgVFJBTlMgREFURQUAAAABAAAACAAAABQoSW52YWxpZCBJZGVudGlmaWVyKQQi6MpODtoIBCLoyk4O2ggUQ0lRLi5JUV9RVUlDS19DT01QLjIFAAAAAQAAAAgAAAAUKEludmFsaWQgSWRlbnRpZmllcikEIujKTg7aCAQi6MpODtoINUNJUVJBTkdFLi5JUV9JTlZFU1RPUlNfQUxMX0lELjEuMTAwMC4uLi4uSU5WRVNUT1JTIElEBQAAAAEAAAAIAAAAFChJbnZhbGlkIElkZW50aWZpZXIpBCLoyk4O2ggEIujKTg7aCBRDSVEuLklRX1FVSUNLX0NPTVAuMwUAAAABAAAACAAAABQoSW52YWxpZCBJZGVudGlmaWVyKQQi6MpODtoIBCLoyk4O2ghIQ0lRUkFOR0UuLklRX0lOVkVTVE9SU19DVVJSX1RSQU5TQUNUSU9OX0lELjEuMTAwMC4uLi4uSU5WRVNUT1JTIFRSQU5TIElEBQAAAAEAAAAIAAAAFChJbnZhbGlkIElkZW50aWZpZXIpBCLoyk4O2ggEIujKTg7aCEJDSVFSQU5HRS4uSVFfRklYRURfSU5DT01FX0xJU1QuMS4xMDAwLi4uLi5GSVhFRCBJTkNPTUUgSURFTlRJRklFUlMFAAAAAQAAAAgAAAAUKEludmFsaWQgSWRlbnRpZmllcikEIujKTg7aCAQi6MpODtoIMkNJUVJBTkdFLi5JUV9CVVNfU0VHX05BTUUuMS4xMC4uLkwuLi4uU0VHTUVOVCBOQU1FBQAAAAEAAAAIAAAAFChJbnZhbGlkIElkZW50aWZpZXIpBCLoyk4O</t>
  </si>
  <si>
    <t>2ggEIujKTg7aCDJDSVFSQU5HRS4uSVFfR0VPX1NFR19OQU1FLjEuMjAuLi5MLi4uLlNFR01FTlQgTkFNRQUAAAABAAAACAAAABQoSW52YWxpZCBJZGVudGlmaWVyKQQi6MpODtoIBCLoyk4O2gg5Q0lRUkFOR0UuLklRX1BST0ZFU1NJT05BTF9JRC4xLjEwLi4uLi5QUk9GRVNTSU9OQUwgQ0lRIElEBQAAAAEAAAAIAAAAFChJbnZhbGlkIElkZW50aWZpZXIpBCLoyk4O2ggEIujKTg7aCCdDSVFSQU5HRS4uSVFfUFJPRkVTU0lPTkFMLjEuMTAuLi4uLk5BTUUFAAAAAQAAAAgAAAAUKEludmFsaWQgSWRlbnRpZmllcikEIujKTg7aCAQi6MpODtoILkNJUVJBTkdFLi5JUV9QUk9GRVNTSU9OQUxfVElUTEUuMS4xMC4uLi4uVElUTEUFAAAAAQAAAAgAAAAUKEludmFsaWQgSWRlbnRpZmllcikEIujKTg7aCAQi6MpODtoIRUNJUVJBTkdFLi5JUV9QUk9GRVNTSU9OQUxfQkFDS0dST1VORC4xLjEwLi4uLi5QUk9GRVNTSU9OQUwgQkFDS0dST1VORAUAAAABAAAACAAAABQoSW52YWxpZCBJZGVudGlmaWVyKQQi6MpODtoIBCLoyk4O2ggnQ0lRUkFOR0UuLklRX0JPQVJEX01FTUJFUi4xLjEwLi4uLi5OQU1FBQAAAAEAAAAIAAAAFChJbnZhbGlkIElkZW50aWZpZXIpBCLoyk4O2ggEIujKTg7aCEVDSVFSQU5HRS4uSVFfQk9BUkRfTUVNQkVSX0JBQ0tHUk9VTkQuMS4xMC4uLi4uQk9BUkQgTUVNQkVSIEJBQ0tHUk9VTkQF</t>
  </si>
  <si>
    <t>AAAAAQAAAAgAAAAUKEludmFsaWQgSWRlbnRpZmllcikEIujKTg7aCAQi6MpODtoIOUNJUVJBTkdFLi5JUV9CT0FSRF9NRU1CRVJfSUQuMS4xMC4uLi4uQk9BUkQgTUVNQkVSIENJUSBJRAUAAAABAAAACAAAABQoSW52YWxpZCBJZGVudGlmaWVyKQQi6MpODtoIBCLoyk4O2gguQ0lRUkFOR0UuLklRX0JPQVJEX01FTUJFUl9USVRMRS4xLjEwLi4uLi5USVRMRQUAAAABAAAACAAAABQoSW52YWxpZCBJZGVudGlmaWVyKQQi6MpODtoIBCLoyk4O2gi8A0NJUVJBTkdFLi5JUV9LRVlfREVWX0lELi4uVDIyLFQyMyxUMzEsVDQxLFQxNixUMzIsVDU2LFQ3NixUNzcsVDc4LFQ3OSxUMTAxLFQxMDIsVDcsVDExLFQyOCxUNDMsVDQ4LFQ0OSxUNTAsVDUxLFQ1MixUNTUsVDYxLFQ2MixUODksVDkwLFQ5MSxUOTcsVDEzOCxUMTM5LFQxNDAsVDE0NCxUMTUzLFQxNTQsVDE1NSxUMTkyLFQxOTQsVDIwNSxUMjE2LFQyNixUMjcsVDI5LFQ2OCxUNjksVDcwLFQ3MSxUNzIsVDEsVDMsVDUsVDQyLFQxMSxUNzQsVDEwMyxUMTA0LFQxMDUsVDEwNixUMTA3LFQxMDgsVDEwOSxUMTEwLFQxMTEsVDExMixUMTEzLFQxMTQsVDExNSxUMTE2LFQxMTcsVDExOCxUMTE5LFQxMjAsVDEyMSxUMTIyLFQxMjMsVDEyNCxUMTI1LFQxMjcsVDEyOCxUMTI5LFQxMzAsVDEzMSxUMTMyLFQxNDEsVDE0MixUMTQzLFQxNDUsVDE0NixUMTQ3LFQx</t>
  </si>
  <si>
    <t>NDguLi4uS0VZIERFViBJRAUAAAABAAAACAAAABQoSW52YWxpZCBJZGVudGlmaWVyKQQi6MpODtoIBCLoyk4O2gg4Q0lRUkFOR0UuLklRX0lOREVYX01FTUJFUl9JRC4xLjMuLi4uLklOREVYIE1FTUJFUlNISVAgSUQFAAAAAQAAAAgAAAAUKEludmFsaWQgSWRlbnRpZmllcikEIujKTg7aCAQi6MpODtoIOENJUS5OWVNFOldNVC5JUV9JTlZFU1RPUlNfQ1VSUl9SRUNFTlRfQU1PVU5ULklRMjU3MDY0OTc2AQAAAN/GBAADAAAAAAAEIujKTg7aCCQGRctODtoIL0NJUS5OWVNFOldNVC5JUV9JTlZFU1RPUlNfQUxMX1NUQUtFLklRMjQ3NzcxNzg1AQAAAN/GBAADAAAAB1Vua25vd24ABCLoyk4O2ggkBkXLTg7aCC9DSVEuTllTRTpXTVQuSVFfSU5WRVNUT1JTX0FMTF9TVEFLRS5JUTI1NzA2NDk3NgEAAADfxgQAAwAAAAdVbmtub3duAAQi6MpODtoIJAZFy04O2gg3Q0lRLk5ZU0U6V01ULklRX0lOVkVTVE9SU19DVVJSX1JFQ0VOVF9BTU9VTlQuSVEyNDM0ODM2NgEAAADfxgQAAgAAAAAABCLoyk4O2ggW30TLTg7aCC5DSVEuTllTRTpXTVQuSVFfSU5WRVNUT1JTX0FMTF9TVEFLRS5JUTI0MzQ4MzY2AQAAAN/GBAADAAAACE1pbm9yaXR5AAQi6MpODtoIFt9Ey04O2gg2Q0lRLk5ZU0U6V01ULklRX0lOVkVTVE9SU19DVVJSX1JFQ0VOVF9BTU9VTlQuSVEzNTM0ODMxAQAAAN/GBAACAAAAAAAhSejKTg7aCPq3RMtO</t>
  </si>
  <si>
    <t>DtoILUNJUS5OWVNFOldNVC5JUV9JTlZFU1RPUlNfQUxMX1NUQUtFLklRMzUzNDgzMQEAAADfxgQAAwAAAAhNaW5vcml0eQAhSejKTg7aCPq3RMtODtoIOENJUS5OWVNFOldNVC5JUV9JTlZFU1RPUlNfQ1VSUl9SRUNFTlRfQU1PVU5ULklRMjQ3NzcxNzg1AQAAAN/GBAACAAAAAAAhSejKTg7aCO2QRMtODtoIJENJUS5OWVNFOldNVC5JUV9MQVRFU1RfVFJBTlNBQ1RJT04uMgEAAADfxgQAAwAAAA1JUVRSMzE4MjE4NDc1ACFJ6MpODtoI+rdEy04O2ggrQ0lRLklRMzEzODk3MjQyLklRX0lORElWSURVQUxfSk9CX0ZVTkNUSU9OUwEAAAAE0QsHAwAAAGEgQ2hpZWYgRmluYW5jaWFsIE9mZmljZXIsIEZpbmFuY2UgYW5kIEFjY291bnRpbmcgUHJvZmVzc2lvbmFsKFByaW9yKSwgU2VuaW9yIEtleSBFeGVjdXRpdmUoUHJpb3IpACFJ6MpODtoIJAZFy04O2gg2Q0lRLklRMjY3NDQ3MTYwLklRX0lORElWSURVQUxfQUNUSVZFX0JPQVJEX01FTUJFUlNISVBTAQAAAPDd9gYDAAAAHFdhbC1NYXJ0IFN0b3JlcyAoVUspIExpbWl0ZWQAIUnoyk4O2ggkBkXLTg7aCDVDSVEuSVE2MDE1OTE4NjUuSVFfSU5ESVZJRFVBTF9BQ1RJVkVfUFJPX0FGRklMSUFUSU9OUwEAAAA4kNsjAwAAAB5TYW0ncyBXZXN0LCBJbmMuLCBXYWxtYXJ0IEluYy4AIUnoyk4O2ggkBkXLTg7aCDVDSVEuSVE2NTAxMzc3ODMuSVFfSU5ESVZJRFVB</t>
  </si>
  <si>
    <t>TF9QUklPUl9CT0FSRF9NRU1CRVJTSElQUwEAAAAlvacmAwAAACNXYWwtTWFydCBkZSBNw6l4aWNvLCBTLkEuQi4gZGUgQy5WLgAhSejKTg7aCCQGRctODtoINENJUS5JUTU1Mjg1ODUxNC5JUV9JTkRJVklEVUFMX1BSSU9SX1BST19BRkZJTElBVElPTlMBAAAAkfPzIAMAAAAAACFJ6MpODtoIJAZFy04O2ggsQ0lRLklRMTY3Nzk1ODQ2Ny5JUV9JTkRJVklEVUFMX0pPQl9GVU5DVElPTlMBAAAAqVTkBwMAAAAZIENoaWVmIENvbXBsaWFuY2UgT2ZmaWNlcgAhSejKTg7aCCQGRctODtoINUNJUS5JUTIxOTU4NTE1LklRX0lORElWSURVQUxfQUNUSVZFX0JPQVJEX01FTUJFUlNISVBTAQAAAHIPTwEDAAAADFdhbG1hcnQgSW5jLgAhSejKTg7aCCQGRctODtoINUNJUS5JUTIxNDg3OTY4OS5JUV9JTkRJVklEVUFMX0FDVElWRV9QUk9fQUZGSUxJQVRJT05TAQAAACiWkAADAAAAAAAhSejKTg7aCCQGRctODtoINUNJUS5JUTI3ODMwNTM2Mi5JUV9JTkRJVklEVUFMX1BSSU9SX0JPQVJEX01FTUJFUlNISVBTAQAAAH2SAgADAAAAkAFBbWVyaWNhbiBBaXJsaW5lcyBHcm91cCBJbmMuLCBBVCZUIENvcnAuLCBFeHByZXNzSmV0IEhvbGRpbmdzIEluYy4sIE9yYml0eiwgSW5jLiwgUVVBTENPTU0gSW5jb3Jwb3JhdGVkLCBVUyBBaXJ3YXlzIEdyb3VwLCBJbmMuLCBVUyBBaXJ3YXlzIEluYy4AIUnoyk4O2ggkBkXLTg7a</t>
  </si>
  <si>
    <t>CDFDSVEuSVEzMTMwNTguSVFfSU5ESVZJRFVBTF9QUklPUl9QUk9fQUZGSUxJQVRJT05TAQAAAOHGBAADAAAAAAAhSejKTg7aCCQGRctODtoIK0NJUS5JUTE5NjAxMDAxNC5JUV9JTkRJVklEVUFMX0pPQl9GVU5DVElPTlMBAAAAGoK4AQMAAAD8ASBNZW1iZXIgb2YgQ29tcGVuc2F0aW9uIENvbW1pdHRlZSwgTWVtYmVyIG9mIENvbXBlbnNhdGlvbiBDb21taXR0ZWUoUHJpb3IpLCBNZW1iZXIgb2YgQ29ycG9yYXRlIEdvdmVybmFuY2UgQ29tbWl0dGVlKFByaW9yKSwgTWVtYmVyIG9mIE5vbWluYXRpbmcgQ29tbWl0dGVlKFByaW9yKSwgTWVtYmVyIG9mIFN0cmF0ZWd5L1N0cmF0ZWdpYyBQbGFubmluZyBDb21taXR0ZWUoUHJpb3IpLCBNZW1iZXIgb2YgdGhlIEJvYXJkIG9mIERpcmVjdG9ycwAhSejKTg7aCCQGRctODtoINkNJUS5JUTQyODMzOTczNi5JUV9JTkRJVklEVUFMX0FDVElWRV9CT0FSRF9NRU1CRVJTSElQUwEAAAA2PkwCAwAAAGNDdW1taW5zIEluYy4sIFN0LiBWaW5jZW50J3MgTWVkaWNhbCBDZW50ZXIgSW5jLiwgVGhlIE1vdW50IFNpbmFpIEhvc3BpdGFsLCBXYWxtYXJ0IEluYy4sIFlhaG9vIEluYy4AIUnoyk4O2ggkBkXLTg7aCDZDSVEuSVE2NTAxMzc3ODMuSVFfSU5ESVZJRFVBTF9BQ1RJVkVfQk9BUkRfTUVNQkVSU0hJUFMBAAAAJb2nJgMAAAASQVNEQSBHcm91cCBMaW1pdGVkACFJ</t>
  </si>
  <si>
    <t>6MpODtoIJAZFy04O2gg2Q0lRLklRMjc4MzA1MzYyLklRX0lORElWSURVQUxfQUNUSVZFX0JPQVJEX01FTUJFUlNISVBTAQAAAH2SAgADAAAAjAFBbWVyaWNhbiBBaXJsaW5lcywgSW5jLiwgRW5MaW5rIE1pZHN0cmVhbSBQYXJ0bmVycywgTFAsIEVuTGluayBNaWRzdHJlYW0sIExMQywgR2VuZXJhbCBFbGVjdHJpYyBDb21wYW55LCBUaGUgT25ld29ybGQgQWxsaWFuY2UsIFdhbG1hcnQgSW5jLgAhSejKTg7aCCQGRctODtoINUNJUS5JUTYxNTgxNDAxMS5JUV9JTkRJVklEVUFMX0FDVElWRV9QUk9fQUZGSUxJQVRJT05TAQAAAHeTtCQDAAAADFdhbG1hcnQgSW5jLgAhSejKTg7aCCQGRctODtoINUNJUS5JUTI2NzQ0NzE2MC5JUV9JTkRJVklEVUFMX1BSSU9SX0JPQVJEX01FTUJFUlNISVBTAQAAAPDd9gYDAAAAAAAhSejKTg7aCCQGRctODtoINENJUS5JUTYwMTU5MTg2NS5JUV9JTkRJVklEVUFMX1BSSU9SX1BST19BRkZJTElBVElPTlMBAAAAOJDbIwMAAAAAACFJ6MpODtoIJAZFy04O2ggrQ0lRLklRNjUwMTM3NzgzLklRX0lORElWSURVQUxfSk9CX0ZVTkNUSU9OUwEAAAAlvacmAwAAAGEgQ2hpZWYgT3BlcmF0aW5nIE9mZmljZXIsIEZpbmFuY2UgYW5kIEFjY291bnRpbmcgUHJvZmVzc2lvbmFsKFByaW9yKSwgU2VuaW9yIEtleSBFeGVjdXRpdmUoUHJpb3IpACFJ6MpODtoIJAZFy04O2gg2Q0lRLklR</t>
  </si>
  <si>
    <t>NTUyODU4NTE0LklRX0lORElWSURVQUxfQUNUSVZFX0JPQVJEX01FTUJFUlNISVBTAQAAAJHz8yADAAAAAAAhSejKTg7aCCQGRctODtoINENJUS5JUTQzOTI4MjAyLklRX0lORElWSURVQUxfQUNUSVZFX1BST19BRkZJTElBVElPTlMBAAAA8MVIAAMAAAAtRFQgQ2FwaXRhbCBQYXJ0bmVycywgTWFkcm9uZSBDYXBpdGFsIFBhcnRuZXJzACFJ6MpODtoIJAZFy04O2gg0Q0lRLklRMjE5NTg1MTUuSVFfSU5ESVZJRFVBTF9QUklPUl9CT0FSRF9NRU1CRVJTSElQUwEAAAByD08BAwAAAD5NYXNzbWFydCBIb2xkaW5ncyBMaW1pdGVkLCBXYWwtTWFydCBkZSBNw6l4aWNvLCBTLkEuQi4gZGUgQy5WLgAhSejKTg7aCCQGRctODtoINENJUS5JUTIxNDg3OTY4OS5JUV9JTkRJVklEVUFMX1BSSU9SX1BST19BRkZJTElBVElPTlMBAAAAKJaQAAMAAAAIS1BNRyBMTFAAIUnoyk4O2ggkBkXLTg7aCCtDSVEuSVEyNzgzMDUzNjIuSVFfSU5ESVZJRFVBTF9KT0JfRlVOQ1RJT05TAQAAAH2SAgADAAAA/wIgQ2hhaXJtYW4gb2YgQ29ycG9yYXRlIEdvdmVybmFuY2UgQ29tbWl0dGVlLCBDaGFpcm1hbiBvZiBGaW5hbmNlIENvbW1pdHRlZShQcmlvciksIENoYWlybWFuIG9mIE5vbWluYXRpbmcgQ29tbWl0dGVlLCBDaGFpcm1hbiBvZiBTdHJhdGVneS9TdHJhdGVnaWMgUGxhbm5pbmcgQ29tbWl0dGVlKFByaW9yKSwgTGVhZCBE</t>
  </si>
  <si>
    <t>aXJlY3RvciwgTWVtYmVyIG9mIEF1ZGl0IENvbW1pdHRlZSwgTWVtYmVyIG9mIENvcnBvcmF0ZSBHb3Zlcm5hbmNlIENvbW1pdHRlZSwgTWVtYmVyIG9mIEV4ZWN1dGl2ZSBDb21taXR0ZWUsIE1lbWJlciBvZiBGaW5hbmNlIENvbW1pdHRlZSwgTWVtYmVyIG9mIE5vbWluYXRpbmcgQ29tbWl0dGVlLCBNZW1iZXIgb2YgdGhlIEJvYXJkIG9mIERpcmVjdG9ycwAhSejKTg7aCCQGRctODtoIM0NJUS5JUTMxMzA1OC5JUV9JTkRJVklEVUFMX0FDVElWRV9CT0FSRF9NRU1CRVJTSElQUwEAAADhxgQAAwAAAAxXYWxtYXJ0IEluYy4AIUnoyk4O2ggkBkXLTg7aCDVDSVEuSVEzMzE1NjcxOTguSVFfSU5ESVZJRFVBTF9BQ1RJVkVfUFJPX0FGRklMSUFUSU9OUwEAAABfUMMTAwAAAAAAIUnoyk4O2ggkBkXLTg7aCDVDSVEuSVE0MjgzMzk3MzYuSVFfSU5ESVZJRFVBTF9QUklPUl9CT0FSRF9NRU1CRVJTSElQUwEAAAA2PkwCAwAAAFdUaGUgQXBvbGxvIFRoZWF0ZXIgRm91bmRhdGlvbiwgSW5jLiwgVGhlIEhhcnZhcmQgQnVzaW5lc3MgU2Nob29sIENsdWIgb2YgTmV3IFlvcmssIEluYy4AIUnoyk4O2ggkBkXLTg7aCDRDSVEuSVE2MTU4MTQwMTEuSVFfSU5ESVZJRFVBTF9QUklPUl9QUk9fQUZGSUxJQVRJT05TAQAAAHeTtCQDAAAAAAAhSejKTg7aCBbfRMtODtoIK0NJUS5JUTI2NzQ0NzE2MC5JUV9JTkRJVklEVUFM</t>
  </si>
  <si>
    <t>X0pPQl9GVU5DVElPTlMBAAAA8N32BgMAAABRIE9wZXJhdGlvbnMgUHJvZmVzc2lvbmFsKFByaW9yKSwgT3RoZXIgS2V5IEV4ZWN1dGl2ZShQcmlvciksIFNlbmlvciBLZXkgRXhlY3V0aXZlACFJ6MpODtoIFt9Ey04O2gg2Q0lRLklRNjAxNTkxODY1LklRX0lORElWSURVQUxfQUNUSVZFX0JPQVJEX01FTUJFUlNISVBTAQAAADiQ2yMDAAAAAAAhSejKTg7aCBbfRMtODtoINUNJUS5JUTU4NjkyMjY4My5JUV9JTkRJVklEVUFMX0FDVElWRV9QUk9fQUZGSUxJQVRJT05TAQAAAAJ0TwIDAAAADFdhbG1hcnQgSW5jLgAhSejKTg7aCBbfRMtODtoINUNJUS5JUTU1Mjg1ODUxNC5JUV9JTkRJVklEVUFMX1BSSU9SX0JPQVJEX01FTUJFUlNISVBTAQAAAJHz8yADAAAAAAAhSejKTg7aCBbfRMtODtoIM0NJUS5JUTQzOTI4MjAyLklRX0lORElWSURVQUxfUFJJT1JfUFJPX0FGRklMSUFUSU9OUwEAAADwxUgAAwAAAEFQZW5pbnN1bGEgQ2FwaXRhbCBNYW5hZ2VtZW50LCBJbmMuLCBUaGUgR29sZG1hbiBTYWNocyBHcm91cCwgSW5jLgAhSejKTg7aCBbfRMtODtoIKkNJUS5JUTIxOTU4NTE1LklRX0lORElWSURVQUxfSk9CX0ZVTkNUSU9OUwEAAAByD08BAwAAAIoBIENoaWVmIEV4ZWN1dGl2ZSBPZmZpY2VyLCBNZW1iZXIgb2YgdGhlIEJvYXJkIG9mIERpcmVjdG9ycywgUHJlc2lkZW50LCBTZW5pb3IgS2V5IEV4ZWN1</t>
  </si>
  <si>
    <t>dGl2ZShQcmlvciksIFVuaXQgQ0VPKFByaW9yKSwgVW5pdCBQcmVzaWRlbnQoUHJpb3IpACFJ6MpODtoIFt9Ey04O2gg2Q0lRLklRMjE0ODc5Njg5LklRX0lORElWSURVQUxfQUNUSVZFX0JPQVJEX01FTUJFUlNISVBTAQAAACiWkAADAAAAvQFKLlAuIE1vcmdhbiBTZWN1cml0aWVzIHBsYywgSlBNb3JnYW4gQ2hhc2UgJiBDby4sIEpQTW9yZ2FuIENoYXNlIEJhbmssIERlYXJib3JuLCBKUE1vcmdhbiBDaGFzZSBCYW5rLCBOYXRpb25hbCBBc3NvY2lhdGlvbiwgUmVsYXRpdml0eSBPREEgTExDLCBVbml0ZWRIZWFsdGggR3JvdXAgSW5jb3Jwb3JhdGVkLCBXYWxtYXJ0IEluYy4AIUnoyk4O2ggW30TLTg7aCDVDSVEuSVE1NTMwNjk5NTguSVFfSU5ESVZJRFVBTF9BQ1RJVkVfUFJPX0FGRklMSUFUSU9OUwEAAADN1ZkBAwAAADJMYWRpZXMgV2hvIExhdW5jaCwgTC5MLkMuLCBOZXh0ZG9vciBIb2xkaW5ncywgSW5jLgAhSejKTg7aCBbfRMtODtoIMkNJUS5JUTMxMzA1OC5JUV9JTkRJVklEVUFMX1BSSU9SX0JPQVJEX01FTUJFUlNISVBTAQAAAOHGBAADAAAAG0hvcGUgRW50ZXJwcmlzZSBDb3Jwb3JhdGlvbgAhSejKTg7aCBbfRMtODtoINENJUS5JUTMzMTU2NzE5OC5JUV9JTkRJVklEVUFMX1BSSU9SX1BST19BRkZJTElBVElPTlMBAAAAX1DDEwMAAAAAACFJ6MpODtoIFt9Ey04O2ggrQ0lRLklRNDI4MzM5</t>
  </si>
  <si>
    <t>NzM2LklRX0lORElWSURVQUxfSk9CX0ZVTkNUSU9OUwEAAAA2PkwCAwAAAKoBIE1lbWJlciBvZiBDb21wZW5zYXRpb24gQ29tbWl0dGVlLCBNZW1iZXIgb2YgQ29ycG9yYXRlIEdvdmVybmFuY2UgQ29tbWl0dGVlLCBNZW1iZXIgb2YgRmluYW5jZSBDb21taXR0ZWUsIE1lbWJlciBvZiBOb21pbmF0aW5nIENvbW1pdHRlZSwgTWVtYmVyIG9mIHRoZSBCb2FyZCBvZiBEaXJlY3RvcnMAIUnoyk4O2ggW30TLTg7aCDZDSVEuSVE2MTU4MTQwMTEuSVFfSU5ESVZJRFVBTF9BQ1RJVkVfQk9BUkRfTUVNQkVSU0hJUFMBAAAAd5O0JAMAAAAiRmxpcGthcnQgT25saW5lIFNlcnZpY2VzIFB2dC4gTHRkLgAhSejKTg7aCBbfRMtODtoINUNJUS5JUTMxMzg5NjY2Ni5JUV9JTkRJVklEVUFMX0FDVElWRV9QUk9fQUZGSUxJQVRJT05TAQAAAH8mrBIDAAAADFdhbG1hcnQgSW5jLgAhSejKTg7aCBbfRMtODtoINUNJUS5JUTYwMTU5MTg2NS5JUV9JTkRJVklEVUFMX1BSSU9SX0JPQVJEX01FTUJFUlNISVBTAQAAADiQ2yMDAAAAAAAhSejKTg7aCBbfRMtODtoINENJUS5JUTU4NjkyMjY4My5JUV9JTkRJVklEVUFMX1BSSU9SX1BST19BRkZJTElBVElPTlMBAAAAAnRPAgMAAAB+QnJvd24gQnJvdGhlcnMgSGFycmltYW4gJiBDby4sIFJlc2VhcmNoIERpdmlzaW9uLCBKZWZmZXJpZXMgTExDLCBSZXNlYXJjaCBEaXZpc2lvbiwg</t>
  </si>
  <si>
    <t>VGhlIEJ1Y2tpbmdoYW0gUmVzZWFyY2ggR3JvdXAgSW5jb3Jwb3JhdGVkACFJ6MpODtoIFt9Ey04O2ggrQ0lRLklRNTUyODU4NTE0LklRX0lORElWSURVQUxfSk9CX0ZVTkNUSU9OUwEAAACR8/MgAwAAAB8gQ2hpZWYgTGVnYWwgT2ZmaWNlciwgU2VjcmV0YXJ5ACFJ6MpODtoIFt9Ey04O2gg1Q0lRLklRNDM5MjgyMDIuSVFfSU5ESVZJRFVBTF9BQ1RJVkVfQk9BUkRfTUVNQkVSU0hJUFMBAAAA8MVIAAMAAAA+ZUhhcm1vbnksIEluYy4sIE91dGNvbWUgU29mdHdhcmUsIEluYy4sIFNlaXl1IEdLLCBXYWxtYXJ0IEluYy4AIUnoyk4O2ggW30TLTg7aCDVDSVEuSVExMDIyNjQ0NTIuSVFfSU5ESVZJRFVBTF9BQ1RJVkVfUFJPX0FGRklMSUFUSU9OUwEAAAD91AIAAwAAAA5IaWdobGluZSBHcm91cAAhSejKTg7aCBbfRMtODtoINUNJUS5JUTIxNDg3OTY4OS5JUV9JTkRJVklEVUFMX1BSSU9SX0JPQVJEX01FTUJFUlNISVBTAQAAACiWkAADAAAAoAFBbGNvYSBDb3Jwb3JhdGlvbiwgQlQgQW1lcmljYXMgSW5jLiwgQ2hhc2UgQmFuayBVU0EsIE4uQS4sIEZpbmFuY2lhbCBBY2NvdW50aW5nIEZvdW5kYXRpb24gSW5jLiwgS1BNRyBJbnRlcm5hdGlvbmFsIENvb3BlcmF0aXZlLCBLUE1HIExMUCwgVGhlIENodWJiIENvcnBvcmF0aW9uACFJ6MpODtoIFt9Ey04O2gg0Q0lRLklRNTUzMDY5OTU4LklRX0lORElWSURV</t>
  </si>
  <si>
    <t>QUxfUFJJT1JfUFJPX0FGRklMSUFUSU9OUwEAAADN1ZkBAwAAADlCbG9jaywgSW5jLiwgR29sZG1hbiBTYWNocyBHcm91cCwgSW5jLiwgUmVzZWFyY2ggRGl2aXNpb24AIUnoyk4O2ggW30TLTg7aCChDSVEuSVEzMTMwNTguSVFfSU5ESVZJRFVBTF9KT0JfRlVOQ1RJT05TAQAAAOHGBAADAAAApAEgQ2hhaXJtYW4gb2YgdGhlIEJvYXJkKFByaW9yKSwgTWVtYmVyIG9mIENvbXBlbnNhdGlvbiBDb21taXR0ZWUoUHJpb3IpLCBNZW1iZXIgb2YgRXhlY3V0aXZlIENvbW1pdHRlZSwgTWVtYmVyIG9mIEZpbmFuY2UgQ29tbWl0dGVlLCBNZW1iZXIgb2YgdGhlIEJvYXJkIG9mIERpcmVjdG9ycwAhSejKTg7aCBbfRMtODtoINkNJUS5JUTMzMTU2NzE5OC5JUV9JTkRJVklEVUFMX0FDVElWRV9CT0FSRF9NRU1CRVJTSElQUwEAAABfUMMTAwAAAAxXYWxtYXJ0IEluYy4AIUnoyk4O2ggW30TLTg7aCDRDSVEuSVExMDIyNjQ0NTIuSVFfSU5ESVZJRFVBTF9QUklPUl9QUk9fQUZGSUxJQVRJT05TAQAAAP3UAgADAAAAogFCYWJjb2NrIEdyYWR1YXRlIFNjaG9vbCBvZiBNYW5hZ2VtZW50LCBXYWtlIEZvcmVzdCBVbml2ZXJzaXR5LCBDYWxsb3dheSBTY2hvb2wgb2YgQnVzaW5lc3MgYW5kIEFjY291bnRhbmN5LCBXYWtlIEZvcmVzdCBVbml2ZXJzaXR5LCBGcml0by1MYXksIEluYy4sIFBlcHNpQ28sIEluYy4AIUnoyk4O</t>
  </si>
  <si>
    <t>2gj6t0TLTg7aCDVDSVEuSVEzMzE1NjcxOTguSVFfSU5ESVZJRFVBTF9QUklPUl9CT0FSRF9NRU1CRVJTSElQUwEAAABfUMMTAwAAAAAAIUnoyk4O2ggW30TLTg7aCDdDSVEuSVExNjc3OTU4NDY3LklRX0lORElWSURVQUxfQUNUSVZFX0JPQVJEX01FTUJFUlNISVBTAQAAAKlU5AcDAAAAAAAhSejKTg7aCBbfRMtODtoIK0NJUS5JUTU1MzA2OTk1OC5JUV9JTkRJVklEVUFMX0pPQl9GVU5DVElPTlMBAAAAzdWZAQMAAAB4IENoYWlybWFuIG9mIEZpbmFuY2UgQ29tbWl0dGVlLCBNZW1iZXIgb2YgQXVkaXQgQ29tbWl0dGVlLCBNZW1iZXIgb2YgRmluYW5jZSBDb21taXR0ZWUsIE1lbWJlciBvZiB0aGUgQm9hcmQgb2YgRGlyZWN0b3JzACFJ6MpODtoIFt9Ey04O2gg1Q0lRLklRMzEzODk3MjQyLklRX0lORElWSURVQUxfUFJJT1JfQk9BUkRfTUVNQkVSU0hJUFMBAAAABNELBwMAAAAjV2FsLU1hcnQgZGUgTcOpeGljbywgUy5BLkIuIGRlIEMuVi4AIUnoyk4O2ggW30TLTg7aCCtDSVEuSVEzMTM4OTY2NjYuSVFfSU5ESVZJRFVBTF9KT0JfRlVOQ1RJT05TAQAAAH8mrBIDAAAAUSBNYXJrZXRpbmcgUHJvZmVzc2lvbmFsKFByaW9yKSwgU2VuaW9yIEtleSBFeGVjdXRpdmUsIFNlbmlvciBLZXkgRXhlY3V0aXZlKFByaW9yKQAhSejKTg7aCPq3RMtODtoINkNJUS5JUTE2Nzc5NTg0NjcuSVFfSU5ESVZJRFVBTF9Q</t>
  </si>
  <si>
    <t>UklPUl9CT0FSRF9NRU1CRVJTSElQUwEAAACpVOQHAwAAAAAAIUnoyk4O2gj6t0TLTg7aCDVDSVEuSVExOTYwMTAwMTQuSVFfSU5ESVZJRFVBTF9QUklPUl9CT0FSRF9NRU1CRVJTSElQUwEAAAAagrgBAwAAADdBbGlwaENvbSwgSW5jLiwgQWx0YWJhIEluYy4sIE5ldyBZb3JrIENpdHkgQmFsbGV0LCBJbmMuACFJ6MpODtoI+rdEy04O2gg1Q0lRLklRMzEzODk3MjQyLklRX0lORElWSURVQUxfQUNUSVZFX1BST19BRkZJTElBVElPTlMBAAAABNELBwMAAAAMV2FsbWFydCBJbmMuACFJ6MpODtoI+rdEy04O2gg1Q0lRLklRNjE1ODE0MDExLklRX0lORElWSURVQUxfUFJJT1JfQk9BUkRfTUVNQkVSU0hJUFMBAAAAd5O0JAMAAAAAACFJ6MpODtoI+rdEy04O2gg0Q0lRLklRMzEzODk2NjY2LklRX0lORElWSURVQUxfUFJJT1JfUFJPX0FGRklMSUFUSU9OUwEAAAB/JqwSAwAAACdTYW0ncyBXZXN0LCBJbmMuLCBXYWwtTWFydC5jb20gVVNBLCBMTEMAIUnoyk4O2gj6t0TLTg7aCCtDSVEuSVE2MDE1OTE4NjUuSVFfSU5ESVZJRFVBTF9KT0JfRlVOQ1RJT05TAQAAADiQ2yMDAAAAFSBTZW5pb3IgS2V5IEV4ZWN1dGl2ZQAhSejKTg7aCPq3RMtODtoINkNJUS5JUTU4NjkyMjY4My5JUV9JTkRJVklEVUFMX0FDVElWRV9CT0FSRF9NRU1CRVJTSElQUwEAAAACdE8CAwAAAAAAIUnoyk4O2gj6t0TLTg7aCDZDSVEuSVEx</t>
  </si>
  <si>
    <t>Njc3OTU4NDY3LklRX0lORElWSURVQUxfQUNUSVZFX1BST19BRkZJTElBVElPTlMBAAAAqVTkBwMAAAAMV2FsbWFydCBJbmMuACFJ6MpODtoI+rdEy04O2gg0Q0lRLklRNDM5MjgyMDIuSVFfSU5ESVZJRFVBTF9QUklPUl9CT0FSRF9NRU1CRVJTSElQUwEAAADwxUgAAwAAAFU5OUJpbGwgQ29ycG9yYXRpb24sIEJhaWR1LCBJbmMuLCBCaW9TcGFjZSwgSW5jLiwgQ3VpbCwgSW5jLiwgSHlhdHQgSG90ZWxzIENvcnBvcmF0aW9uACFJ6MpODtoI+rdEy04O2ggrQ0lRLklRMjE0ODc5Njg5LklRX0lORElWSURVQUxfSk9CX0ZVTkNUSU9OUwEAAAAolpAAAwAAALUBIENoYWlybWFuIG9mIEF1ZGl0IENvbW1pdHRlZSwgTWVtYmVyIG9mIEF1ZGl0IENvbW1pdHRlZSwgTWVtYmVyIG9mIEZpbmFuY2UgQ29tbWl0dGVlKFByaW9yKSwgTWVtYmVyIG9mIFN0cmF0ZWd5L1N0cmF0ZWdpYyBQbGFubmluZyBDb21taXR0ZWUoUHJpb3IpLCBNZW1iZXIgb2YgdGhlIEJvYXJkIG9mIERpcmVjdG9ycwAhSejKTg7aCPq3RMtODtoINkNJUS5JUTU1MzA2OTk1OC5JUV9JTkRJVklEVUFMX0FDVElWRV9CT0FSRF9NRU1CRVJTSElQUwEAAADN1ZkBAwAAAKUBQW50aGVtaXMgR3JvdXAgU0EsIERvbWEgSG9sZGluZ3MgSW5jLiwgRHJhZ29uZWVyIEdyb3d0aCBPcHBvcnR1bml0aWVzIENvcnAuIElJSSwgSWxsdW1pbmF0ZSBWZW50dXJl</t>
  </si>
  <si>
    <t>cywgTmV4dGRvb3IgSG9sZGluZ3MsIEluYy4sIFNsYWNrIFRlY2hub2xvZ2llcywgSW5jLiwgV2FsbWFydCBJbmMuACFJ6MpODtoI+rdEy04O2gg1Q0lRLklRMTk2MDEwMDE0LklRX0lORElWSURVQUxfQUNUSVZFX1BST19BRkZJTElBVElPTlMBAAAAGoK4AQMAAAAMU3Vuc2hpbmUgSW5jACFJ6MpODtoI+rdEy04O2gg2Q0lRLklRMTk2MDEwMDE0LklRX0lORElWSURVQUxfQUNUSVZFX0JPQVJEX01FTUJFUlNISVBTAQAAABqCuAEDAAAAbEx1Y2lsZSBQYWNrYXJkIENoaWxkcmVuJ3MgSG9zcGl0YWwgU3RhbmZvcmQsIE1haXNvbmV0dGUgSW5jLiwgU2FuIEZyYW5jaXNjbyBCYWxsZXQgQXNzb2NpYXRpb24sIFdhbG1hcnQgSW5jLgAhSejKTg7aCPq3RMtODtoINUNJUS5JUTU1Mjg1ODUxNC5JUV9JTkRJVklEVUFMX0FDVElWRV9QUk9fQUZGSUxJQVRJT05TAQAAAJHz8yADAAAADFdhbG1hcnQgSW5jLgAhSejKTg7aCPq3RMtODtoIMkNJUS5JUTMxMzA1OC5JUV9JTkRJVklEVUFMX0FDVElWRV9QUk9fQUZGSUxJQVRJT05TAQAAAOHGBAADAAAAH0dyZWVuZXIgQ2FwaXRhbCBNYW5hZ2VtZW50LCBMTEMAIUnoyk4O2gj6t0TLTg7aCDRDSVEuSVEzMTM4OTcyNDIuSVFfSU5ESVZJRFVBTF9QUklPUl9QUk9fQUZGSUxJQVRJT05TAQAAAATRCwcDAAAAEFNhbSdzIFdlc3QsIEluYy4AIUnoyk4O2gj6t0TLTg7aCCtD</t>
  </si>
  <si>
    <t>SVEuSVE2MTU4MTQwMTEuSVFfSU5ESVZJRFVBTF9KT0JfRlVOQ1RJT05TAQAAAHeTtCQDAAAAGSBDaGllZiBUZWNobm9sb2d5IE9mZmljZXIAIUnoyk4O2gj6t0TLTg7aCDZDSVEuSVEzMTM4OTY2NjYuSVFfSU5ESVZJRFVBTF9BQ1RJVkVfQk9BUkRfTUVNQkVSU0hJUFMBAAAAfyasEgMAAAAAACFJ6MpODtoI+rdEy04O2gg1Q0lRLklRNjUwMTM3NzgzLklRX0lORElWSURVQUxfQUNUSVZFX1BST19BRkZJTElBVElPTlMBAAAAJb2nJgMAAAAfU2FsbGluZyBHcm91cCBBL1MsIFdhbG1hcnQgSW5jLgAhSejKTg7aCPq3RMtODtoINUNJUS5JUTU4NjkyMjY4My5JUV9JTkRJVklEVUFMX1BSSU9SX0JPQVJEX01FTUJFUlNISVBTAQAAAAJ0TwIDAAAAAAAhSejKTg7aCPq3RMtODtoINUNJUS5JUTE2Nzc5NTg0NjcuSVFfSU5ESVZJRFVBTF9QUklPUl9QUk9fQUZGSUxJQVRJT05TAQAAAKlU5AcDAAAAEFdoaXRlICYgQ2FzZSBMTFAAIUnoyk4O2gj6t0TLTg7aCCpDSVEuSVE0MzkyODIwMi5JUV9JTkRJVklEVUFMX0pPQl9GVU5DVElPTlMBAAAA8MVIAAMAAADgAiBDaGFpcm1hbiBvZiBUZWNobm9sb2d5L1NjaWVuY2UvUiZEIENvbW1pdHRlZShQcmlvciksIENoYWlybWFuIG9mIHRoZSBCb2FyZCwgTWVtYmVyIG9mIENvbXBlbnNhdGlvbiBDb21taXR0ZWUoUHJpb3IpLCBNZW1iZXIgb2YgRXhlY3V0aXZlIENvbW1p</t>
  </si>
  <si>
    <t>dHRlZSwgTWVtYmVyIG9mIFN0b2NrIE9wdGlvbnMgQ29tbWl0dGVlKFByaW9yKSwgTWVtYmVyIG9mIFN0cmF0ZWd5L1N0cmF0ZWdpYyBQbGFubmluZyBDb21taXR0ZWUoUHJpb3IpLCBNZW1iZXIgb2YgVGVjaG5vbG9neS9TY2llbmNlL1ImRCBDb21taXR0ZWUoUHJpb3IpLCBNZW1iZXIgb2YgdGhlIEJvYXJkIG9mIERpcmVjdG9ycywgVmljZSBDaGFpcm1hbihQcmlvcikAIUnoyk4O2gj6t0TLTg7aCDZDSVEuSVExMDIyNjQ0NTIuSVFfSU5ESVZJRFVBTF9BQ1RJVkVfQk9BUkRfTUVNQkVSU0hJUFMBAAAA/dQCAAMAAACOAUNhdGFseXN0IFBhcnRuZXJzIEFjcXVpc2l0aW9uIENvcnAuLCBDaGljay1maWwtQSwgSW5jLiwgVmVydGl2IEdyb3VwIENvcnBvcmF0aW9uLCBWZXJ0aXYgSG9sZGluZyBDb3Jwb3JhdGlvbiwgVmVydGl2IEhvbGRpbmdzIENvLCBXYWxtYXJ0IEluYy4AIUnoyk4O2gj6t0TLTg7aCDVDSVEuSVEyNzgzMDUzNjIuSVFfSU5ESVZJRFVBTF9BQ1RJVkVfUFJPX0FGRklMSUFUSU9OUwEAAAB9kgIAAwAAAAAAIUnoyk4O2gj6t0TLTg7aCDVDSVEuSVE1NTMwNjk5NTguSVFfSU5ESVZJRFVBTF9QUklPUl9CT0FSRF9NRU1CRVJTSElQUwEAAADN1ZkBAwAAAG1EcmFnb25lZXIgR3Jvd3RoIE9wcG9ydHVuaXRpZXMgQ29ycC4sIERyYWdvbmVlciBHcm93dGggT3Bwb3J0dW5pdGllcyBDb3JwLiBJ</t>
  </si>
  <si>
    <t>SSwgTW9kZWwgTiwgSW5jLiwgTmV3IFJlbGljLCBJbmMuACFJ6MpODtoI+rdEy04O2gg0Q0lRLklRMTk2MDEwMDE0LklRX0lORElWSURVQUxfUFJJT1JfUFJPX0FGRklMSUFUSU9OUwEAAAAagrgBAwAAADZBbHBoYWJldCBJbmMuLCBBbHRhYmEgSW5jLiwgVGVjaE5ldCwgWWFob28hIFVLIExpbWl0ZWQAIUnoyk4O2gj6t0TLTg7aCCtDSVEuSVEzMzE1NjcxOTguSVFfSU5ESVZJRFVBTF9KT0JfRlVOQ1RJT05TAQAAAF9QwxMDAAAAfSBNZW1iZXIgb2YgRmluYW5jZSBDb21taXR0ZWUoUHJpb3IpLCBNZW1iZXIgb2YgU3RyYXRlZ3kvU3RyYXRlZ2ljIFBsYW5uaW5nIENvbW1pdHRlZShQcmlvciksIE1lbWJlciBvZiB0aGUgQm9hcmQgb2YgRGlyZWN0b3JzACFJ6MpODtoI+rdEy04O2gg0Q0lRLklRNjUwMTM3NzgzLklRX0lORElWSURVQUxfUFJJT1JfUFJPX0FGRklMSUFUSU9OUwEAAAAlvacmAwAAAAAAIUnoyk4O2gjtkETLTg7aCDVDSVEuSVExMDIyNjQ0NTIuSVFfSU5ESVZJRFVBTF9QUklPUl9CT0FSRF9NRU1CRVJTSElQUwEAAAD91AIAAwAAAKUCQW1lcmljYW4gRXhwcmVzcyBDb21wYW55LCBCdXNpbmVzcyBDb3VuY2lsIG9mIE5ldyBZb3JrIFN0YXRlIEluYy4sIERlZmVuc2UgQnVzaW5lc3MgQm9hcmQsIEV4eG9uIE1vYmlsIENvcnBvcmF0aW9uLCBGcml0by1MYXksIEluYy4sIEdyb2NlcnkgTWFu</t>
  </si>
  <si>
    <t>dWZhY3R1cmVycyBBc3NvY2lhdGlvbiwgR1MgQWNxdWlzaXRpb24gSG9sZGluZ3MgQ29ycCwgR1MgQWNxdWlzaXRpb24gSG9sZGluZ3MgQ29ycCBJSSwgSm9obnNvbiAmIEpvaG5zb24sIE1hcnJpb3R0IEludGVybmF0aW9uYWwsIEluYy4sIFBlcHNpQ28sIEluYy4AIUnoyk4O2gjtkETLTg7aCCtDSVEuSVExMDIyNjQ0NTIuSVFfSU5ESVZJRFVBTF9KT0JfRlVOQ1RJT05TAQAAAP3UAgADAAAAiAMgQ2hhaXJtYW4gb2YgQ29tcGVuc2F0aW9uIENvbW1pdHRlZSwgQ2hhaXJtYW4gb2YgRmluYW5jZSBDb21taXR0ZWUsIENoYWlybWFuIG9mIFN0cmF0ZWd5L1N0cmF0ZWdpYyBQbGFubmluZyBDb21taXR0ZWUsIE1lbWJlciBvZiBDb21wZW5zYXRpb24gQ29tbWl0dGVlLCBNZW1iZXIgb2YgQ29tcGVuc2F0aW9uIENvbW1pdHRlZShQcmlvciksIE1lbWJlciBvZiBDb3Jwb3JhdGUgR292ZXJuYW5jZSBDb21taXR0ZWUsIE1lbWJlciBvZiBGaW5hbmNlIENvbW1pdHRlZShQcmlvciksIE1lbWJlciBvZiBOb21pbmF0aW5nIENvbW1pdHRlZSwgTWVtYmVyIG9mIFN0cmF0ZWd5L1N0cmF0ZWdpYyBQbGFubmluZyBDb21taXR0ZWUoUHJpb3IpLCBNZW1iZXIgb2YgdGhlIEJvYXJkIG9mIERpcmVjdG9ycwAhSejKTg7aCO2QRMtODtoINkNJUS5JUTMxMzg5NzI0Mi5JUV9JTkRJVklEVUFMX0FDVElWRV9CT0FSRF9NRU1C</t>
  </si>
  <si>
    <t>RVJTSElQUwEAAAAE0QsHAwAAAApBZG9iZSBJbmMuACFJ6MpODtoI7ZBEy04O2gg1Q0lRLklRMjY3NDQ3MTYwLklRX0lORElWSURVQUxfQUNUSVZFX1BST19BRkZJTElBVElPTlMBAAAA8N32BgMAAAAkV2FsLU1hcnQgSW50ZXJuYXRpb25hbCwgV2FsbWFydCBJbmMuACFJ6MpODtoI7ZBEy04O2ggeQ0lRLklRMjQzNDgzNjYuSVFfQ09NUEFOWV9UWVBFAQAAAM6GcwEDAAAAF1ByaXZhdGUgSW52ZXN0bWVudCBGaXJtACFJ6MpODtoIJAZFy04O2ggdQ0lRLklRMzUzNDgzMS5JUV9DT01QQU5ZX1RZUEUBAAAA7+81AAMAAAAXUHJpdmF0ZSBJbnZlc3RtZW50IEZpcm0AIUnoyk4O2ggW30TLTg7aCB9DSVEuSVEyNDc3NzE3ODUuSVFfQ09NUEFOWV9UWVBFAQAAAImyxA4DAAAAIUZvdW5kYXRpb24vQ2hhcml0YWJsZSBJbnN0aXR1dGlvbgAhSejKTg7aCPq3RMtODtoIH0NJUS5JUTI1NzA2NDk3Ni5JUV9DT01QQU5ZX1RZUEUBAAAAEIBSDwMAAAAXUHJpdmF0ZSBJbnZlc3RtZW50IEZpcm0AIUnoyk4O2gjtkETLTg7aCB5DSVEuSVFUUjcwODk4ODU0Mi5JUV9UUl9TVEFUVVMBAAAAfk5CKgMAAAAJQW5ub3VuY2VkACFJ6MpODtoIg7pIy04O2gghQ0lRLklRVFI3MDg5ODg1NDIuSVFfVFJfQlVZRVJOQU1FAQAAAH5OQioDAAAADkF0YWNhZMOjbyBTLkEuACFJ6MpODtoIg7pIy04O2ggiQ0lRLklRVFI3MDQxMjM0OTku</t>
  </si>
  <si>
    <t>SVFfVFJfVEFSR0VUTkFNRQEAAABrEvgpAwAAAAxQYXBlckcsIEluYy4AIUnoyk4O2ggFQUjLTg7aCCFDSVEuSVFUUjcxNDc0NDE4OC5JUV9UUl9CVVlFUk5BTUUBAAAAfCGaKgMAAAAMV2FsbWFydCBJbmMuACFJ6MpODtoIuX1Hy04O2ggjQ0lRLklRVFIxNzU3NDAyNTE3LklRX1RSX1NFTExFUk5BTUUBAAAAldW/aAMAAAAHQm90bW9jawAhSejKTg7aCEIBR8tODtoIJENJUS5JUVRSMTc1NzQwMjUxNy5JUV9UUl9DTE9TRURfREFURQEAAACV1b9oBQAAAAAAIUnoyk4O2ghCAUfLTg7aCCJDSVEuSVFUUjE3NTc0MDI1MTcuSVFfVFJfQlVZRVJOQU1FAQAAAJXVv2gDAAAADFdhbG1hcnQgSW5jLgAhSejKTg7aCEIBR8tODtoIIkNJUS5JUVRSMTc1NzQwMjUxNy5JUV9UUl9UQVJHRVRfSUQBAAAAldW/aAMAAAAMSVExNzU3NDAyNDkzACFJ6MpODtoIQgFHy04O2gghQ0lRLklRVFI3MDg5ODg1NDIuSVFfVFJfU0VMTEVSX0lEAQAAAH5OQioDAAAAEUlRMTg2MTM7IElRMzEzMDU1ACFJ6MpODtoIg7pIy04O2ggiQ0lRLklRVFI3MDg5ODg1NDIuSVFfVFJfU0VMTEVSTkFNRQEAAAB+TkIqAwAAAC5BZHZlbnQgSW50ZXJuYXRpb25hbCBDb3Jwb3JhdGlvbjsgV2FsbWFydCBJbmMuACFJ6MpODtoIg7pIy04O2gggQ0lRLklRVFI3MDQxMjM0OTkuSVFfVFJfQlVZRVJfSUQBAAAAaxL4KQMAAAAISVEzMTMwNTUAIUnoyk4O</t>
  </si>
  <si>
    <t>2ggFQUjLTg7aCCFDSVEuSVFUUjcxNDc0NDE4OC5JUV9UUl9TRUxMRVJfSUQBAAAAfCGaKgMAAAAAACFJ6MpODtoIuX1Hy04O2ggjQ0lRLklRVFIxNzU3NDAyNTE3LklRX1RSX1RBUkdFVE5BTUUBAAAAldW/aAMAAAAZQ2VydGFpbiBBc3NldHMgb2YgQm90bW9jawAhSejKTg7aCEIBR8tODtoIKENJUS5JUVRSMTc1NzQwMjUxNy5JUV9UUl9UT1RBTFZBTFVFLi5VU0QBAAAAldW/aAIAAAAAACFJ6MpODtoIQgFHy04O2ggfQ0lRLklRVFIxNzU3NDAyNTE3LklRX1RSX1NUQVRVUwEAAACV1b9oAwAAAAlBbm5vdW5jZWQAIUnoyk4O2ghCAUfLTg7aCCNDSVEuSVFUUjcwODk4ODU0Mi5JUV9UUl9DTE9TRURfREFURQEAAAB+TkIqBQAAAAAAIUnoyk4O2giDukjLTg7aCCFDSVEuSVFUUjcwODk4ODU0Mi5JUV9UUl9UQVJHRVRfSUQBAAAAfk5CKgMAAAALSVE2NDg5MTQ3MDAAIUnoyk4O2giDukjLTg7aCB5DSVEuSVFUUjcwNDEyMzQ5OS5JUV9UUl9TVEFUVVMBAAAAaxL4KQMAAAAGQ2xvc2VkACFJ6MpODtoIBUFIy04O2ggjQ0lRLklRVFI3MDQxMjM0OTkuSVFfVFJfQU5OX0RBVEVfQkwBAAAAaxL4KQUAAAAIMi80LzIwMjEAIUnoyk4O2ggFQUjLTg7aCCJDSVEuSVFUUjcxNDc0NDE4OC5JUV9UUl9TRUxMRVJOQU1FAQAAAHwhmioDAAAAAAAhSejKTg7aCLl9R8tODtoIIUNJUS5JUVRSMTc1NzQwMjUxNy5JUV9UUl9C</t>
  </si>
  <si>
    <t>VVlFUl9JRAEAAACV1b9oAwAAAAhJUTMxMzA1NQAhSejKTg7aCEIBR8tODtoII0NJUS5JUVRSNzE0NzQ0MTg4LklRX1RSX0FOTl9EQVRFX0JMAQAAAHwhmioFAAAACTUvMTMvMjAyMQAhSejKTg7aCLl9R8tODtoIIENJUS5JUVRSNzE0NzQ0MTg4LklRX1RSX0JVWUVSX0lEAQAAAHwhmioDAAAACElRMzEzMDU1ACFJ6MpODtoIuX1Hy04O2gghQ0lRLklRVFI3MDQxMjM0OTkuSVFfVFJfU0VMTEVSX0lEAQAAAGsS+CkDAAAAH0lRMjM5NTc7IElRMjY3NTAxODU7IElROTgxMTkwODYAIUnoyk4O2ggMaEjLTg7aCCJDSVEuSVFUUjcwNDEyMzQ5OS5JUV9UUl9TRUxMRVJOQU1FAQAAAGsS+CkDAAAAOVdJIEhhcnBlciBHcm91cDsgS0xQIEVudGVycHJpc2VzOyBXYXZlbWFrZXIgUGFydG5lcnMsIExMQwAhSejKTg7aCAVBSMtODtoII0NJUS5JUVRSNzA4OTg4NTQyLklRX1RSX0FOTl9EQVRFX0JMAQAAAH5OQioFAAAACTMvMjQvMjAyMQAhSejKTg7aCJ3hSMtODtoIIUNJUS5JUVRSNzA0MTIzNDk5LklRX1RSX1RBUkdFVF9JRAEAAABrEvgpAwAAAApJUTgyMjcxNjc4ACFJ6MpODtoIDGhIy04O2ggjQ0lRLklRVFI3MDQxMjM0OTkuSVFfVFJfQ0xPU0VEX0RBVEUBAAAAaxL4KQUAAAAIMi80LzIwMjEAIUnoyk4O2ggMaEjLTg7aCCJDSVEuSVFUUjE3NTc0MDI1MTcuSVFfVFJfU0VMTEVSX0lEAQAAAJXVv2gDAAAAC0lR</t>
  </si>
  <si>
    <t>NjM5NTc0OTI4ACFJ6MpODtoIQgFHy04O2ggnQ0lRLklRVFI3MDQxMjM0OTkuSVFfVFJfVE9UQUxWQUxVRS4uVVNEAQAAAGsS+CkCAAAAAAAhSejKTg7aCAxoSMtODtoIIkNJUS5JUVRSNzA4OTg4NTQyLklRX1RSX1RBUkdFVE5BTUUBAAAAfk5CKgMAAAAVR3J1cG8gQmlnIEJyYXNpbCBTLkEuACFJ6MpODtoIneFIy04O2ggnQ0lRLklRVFI3MDg5ODg1NDIuSVFfVFJfVE9UQUxWQUxVRS4uVVNEAQAAAH5OQioCAAAACzE5MTcuMTgxOTc1AQYAAAAFAAAAAjU0AQAAAAYxMDA1MDQCAAAACTcwODk4ODU0MgMAAAAJNzA4OTg4NTQyBAAAAAMxNjAGAAAABUZhbHNlIUnoyk4O2gid4UjLTg7aCCFDSVEuSVFUUjcwNDEyMzQ5OS5JUV9UUl9CVVlFUk5BTUUBAAAAaxL4KQMAAAAMV2FsbWFydCBJbmMuACFJ6MpODtoIDGhIy04O2ggeQ0lRLklRVFI3MTQ3NDQxODguSVFfVFJfU1RBVFVTAQAAAHwhmioDAAAABkNsb3NlZAAhSejKTg7aCLl9R8tODtoIIUNJUS5JUVRSNzE0NzQ0MTg4LklRX1RSX1RBUkdFVF9JRAEAAAB8IZoqAwAAAAtJUTM4NDIyMDkwMgAhSejKTg7aCLl9R8tODtoIJENJUS5JUVRSMTc1NzQwMjUxNy5JUV9UUl9BTk5fREFURV9CTAEAAACV1b9oBQAAAAkxMS8yLzIwMjEAIUnoyk4O2ghCAUfLTg7aCCJDSVEuSVFUUjcxNDc0NDE4OC5JUV9UUl9UQVJHRVROQU1FAQAAAHwhmioDAAAAG1plZWtpdCBP</t>
  </si>
  <si>
    <t>bmxpbmUgU2hvcHBpbmcgTHRkLgAhSejKTg7aCMekR8tODtoII0NJUS5JUVRSNzE0NzQ0MTg4LklRX1RSX0NMT1NFRF9EQVRFAQAAAHwhmioFAAAACTUvMjAvMjAyMQAhSejKTg7aCMekR8tODtoIIENJUS5JUVRSNzA4OTg4NTQyLklRX1RSX0JVWUVSX0lEAQAAAH5OQioDAAAAC0lRMjIzMTY0OTUxACFJ6MpODtoIneFIy04O2ggnQ0lRLklRVFI3MTQ3NDQxODguSVFfVFJfVE9UQUxWQUxVRS4uVVNEAQAAAHwhmioCAAAAAAAhSejKTg7aCMekR8tODtoIJ0NJUS5JUVRSNjk1NjQwODgyLklRX1RSX1RPVEFMVkFMVUUuLlVTRAEAAAAyo3YpAgAAAAAAIUnoyk4O2gjQCknLTg7aCCNDSVEuSVFUUjY5NTY0MDg4Mi5JUV9UUl9DTE9TRURfREFURQEAAAAyo3YpBQAAAAAAIUnoyk4O2gjQCknLTg7aCCBDSVEuSVFUUjY5NTY0MDg4Mi5JUV9UUl9CVVlFUl9JRAEAAAAyo3YpAwAAAAhJUTMxMzA1NQAhSejKTg7aCNAKSctODtoIIUNJUS5JUVRSNjk1NjQwODgyLklRX1RSX0JVWUVSTkFNRQEAAAAyo3YpAwAAAAxXYWxtYXJ0IEluYy4AIUnoyk4O2ghgHknLTg7aCCFDSVEuSVFUUjY5NTY0MDg4Mi5JUV9UUl9TRUxMRVJfSUQBAAAAMqN2KQMAAAAxSVEzNjU0NzM3MDsgSVExMzA0MTEyNzE7IElRMTQwMDUzNzU2OyBJUTI2MTQ3ODU1NgAhSejKTg7aCNAKSctODtoIHkNJUS5JUVRSNjk1NjQwODgyLklRX1RSX1NUQVRV</t>
  </si>
  <si>
    <t>UwEAAAAyo3YpAwAAAAlBbm5vdW5jZWQAIUnoyk4O2ghgHknLTg7aCCJDSVEuSVFUUjY5NTY0MDg4Mi5JUV9UUl9TRUxMRVJOQU1FAQAAADKjdikDAAAAUkZsb29kZ2F0ZSBGdW5kLCBMUDsgTW9yYWRvIFZlbnR1cmUgUGFydG5lcnM7IFR1ZXNkYXkgQ2FwaXRhbDsgVmlzaW9ubmFpcmUgVmVudHVyZXMAIUnoyk4O2ghgHknLTg7aCCJDSVEuSVFUUjY5NTY0MDg4Mi5JUV9UUl9UQVJHRVROQU1FAQAAADKjdikDAAAAFFdhbG1hcnQuY29tIFVTQSwgTExDACFJ6MpODtoIYB5Jy04O2ggjQ0lRLklRVFI2OTU2NDA4ODIuSVFfVFJfQU5OX0RBVEVfQkwBAAAAMqN2KQUAAAAKMTEvMjAvMjAyMAAhSejKTg7aCGAeSctODtoIIUNJUS5JUVRSNjk1NjQwODgyLklRX1RSX1RBUkdFVF9JRAEAAAAyo3YpAwAAAAtJUTU1MDA2NjY1NQAhSejKTg7aCGAeSctODtoIIUNJUS5JUVRSNjk1MDg0MzM3LklRX1RSX1NFTExFUl9JRAEAAAAxJW4pAwAAAAhJUTMxMzA1NQAhSejKTg7aCJAvR8tODtoII0NJUS5JUVRSNjk1MDg0MzM3LklRX1RSX0FOTl9EQVRFX0JMAQAAADElbikFAAAACjExLzE1LzIwMjAAIUnoyk4O2giQL0fLTg7aCCdDSVEuSVFUUjY5NTA4NDMzNy5JUV9UUl9UT1RBTFZBTFVFLi5VU0QBAAAAMSVuKQIAAAAAACFJ6MpODtoIkC9Hy04O2gghQ0lRLklRVFI2OTUwODQzMzcuSVFfVFJfVEFSR0VUX0lEAQAAADEl</t>
  </si>
  <si>
    <t>bikDAAAACElRODc0NTQ1ACFJ6MpODtoIkC9Hy04O2gggQ0lRLklRVFI2OTUwODQzMzcuSVFfVFJfQlVZRVJfSUQBAAAAMSVuKQMAAAAUSVEyMTQwMTsgSVE0MTU4Nzg0NzEAIUnoyk4O2giQL0fLTg7aCCNDSVEuSVFUUjY5NTA4NDMzNy5JUV9UUl9DTE9TRURfREFURQEAAAAxJW4pBQAAAAgzLzEvMjAyMQAhSejKTg7aCJAvR8tODtoIIUNJUS5JUVRSNjk1MDg0MzM3LklRX1RSX0JVWUVSTkFNRQEAAAAxJW4pAwAAACJLS1IgJiBDby4gSW5jLjsgS0tSIEFzaWFuIEZ1bmQgSUlJACFJ6MpODtoIkC9Hy04O2ggeQ0lRLklRVFI2OTUwODQzMzcuSVFfVFJfU1RBVFVTAQAAADElbikDAAAABkNsb3NlZAAhSejKTg7aCKFWR8tODtoIIkNJUS5JUVRSNjk1MDg0MzM3LklRX1RSX1NFTExFUk5BTUUBAAAAMSVuKQMAAAAMV2FsbWFydCBJbmMuACFJ6MpODtoIkC9Hy04O2ggiQ0lRLklRVFI2OTUwODQzMzcuSVFfVFJfVEFSR0VUTkFNRQEAAAAxJW4pAwAAAAhTZWl5dSBHSwAhSejKTg7aCKFWR8tODtoIIUNJUS5JUVRSNjk1MTE3OTgzLklRX1RSX1RBUkdFVF9JRAEAAACfqG4pAwAAAAhJUTg3NDU0NQAhSejKTg7aCMekR8tODtoIIkNJUS5JUVRSNjk1MTE3OTgzLklRX1RSX1NFTExFUk5BTUUBAAAAn6huKQMAAAAMV2FsbWFydCBJbmMuACFJ6MpODtoIx6RHy04O2ggiQ0lRLklRVFI2OTUxMTc5ODMuSVFfVFJfVEFS</t>
  </si>
  <si>
    <t>R0VUTkFNRQEAAACfqG4pAwAAAAhTZWl5dSBHSwAhSejKTg7aCMekR8tODtoIIENJUS5JUVRSNjk1MTE3OTgzLklRX1RSX0JVWUVSX0lEAQAAAJ+obikDAAAACUlRNDAxODIzMQAhSejKTg7aCMekR8tODtoIHkNJUS5JUVRSNjk1MTE3OTgzLklRX1RSX1NUQVRVUwEAAACfqG4pAwAAAAZDbG9zZWQAIUnoyk4O2gjHpEfLTg7aCCNDSVEuSVFUUjY5NTExNzk4My5JUV9UUl9BTk5fREFURV9CTAEAAACfqG4pBQAAAAoxMS8xNS8yMDIwACFJ6MpODtoIx6RHy04O2ggjQ0lRLklRVFI2OTUxMTc5ODMuSVFfVFJfQ0xPU0VEX0RBVEUBAAAAn6huKQUAAAAIMy8xLzIwMjEAIUnoyk4O2gjHpEfLTg7aCCFDSVEuSVFUUjY5NTExNzk4My5JUV9UUl9TRUxMRVJfSUQBAAAAn6huKQMAAAAISVEzMTMwNTUAIUnoyk4O2gjHpEfLTg7aCCFDSVEuSVFUUjY5NTExNzk4My5JUV9UUl9CVVlFUk5BTUUBAAAAn6huKQMAAAAnUmFrdXRlbiwgSW5jLiAobmthOlJha3V0ZW4gR3JvdXAsIEluYy4pACFJ6MpODtoIx6RHy04O2ggnQ0lRLklRVFI2OTUxMTc5ODMuSVFfVFJfVE9UQUxWQUxVRS4uVVNEAQAAAJ+obikCAAAAAAAhSejKTg7aCMekR8tODtoIJ0NJUS5JUVRSNjk0MjIwNTE5LklRX1RSX1RPVEFMVkFMVUUuLlVTRAEAAADn9mApAgAAAAAAIUnoyk4O2ggMaEjLTg7aCCFDSVEuSVFUUjY5NDIyMDUxOS5JUV9UUl9TRUxMRVJf</t>
  </si>
  <si>
    <t>SUQBAAAA5/ZgKQMAAAAISVEzMTMwNTUAIUnoyk4O2ggMaEjLTg7aCCNDSVEuSVFUUjY5NDIyMDUxOS5JUV9UUl9DTE9TRURfREFURQEAAADn9mApBQAAAAkxMS82LzIwMjAAIUnoyk4O2ggMaEjLTg7aCCJDSVEuSVFUUjY5NDIyMDUxOS5JUV9UUl9TRUxMRVJOQU1FAQAAAOf2YCkDAAAADFdhbG1hcnQgSW5jLgAhSejKTg7aCAxoSMtODtoIIUNJUS5JUVRSNjk0MjIwNTE5LklRX1RSX0JVWUVSTkFNRQEAAADn9mApAwAAABZHcnVwbyBkZSBOYXJ2w6FleiBTLkEuACFJ6MpODtoIDGhIy04O2ggeQ0lRLklRVFI2OTQyMjA1MTkuSVFfVFJfU1RBVFVTAQAAAOf2YCkDAAAABkNsb3NlZAAhSejKTg7aCAxoSMtODtoIIENJUS5JUVRSNjk0MjIwNTE5LklRX1RSX0JVWUVSX0lEAQAAAOf2YCkDAAAAC0lRMjE2MDc2NzEwACFJ6MpODtoIDGhIy04O2gghQ0lRLklRVFI2OTQyMjA1MTkuSVFfVFJfVEFSR0VUX0lEAQAAAOf2YCkDAAAACUlRNTUwMzE3NwAhSejKTg7aCAxoSMtODtoIIkNJUS5JUVRSNjk0MjIwNTE5LklRX1RSX1RBUkdFVE5BTUUBAAAA5/ZgKQMAAAAXV2FsbWFydCBBcmdlbnRpbmEgUy5SLkwAIUnoyk4O2ggMaEjLTg7aCCNDSVEuSVFUUjY5NDIyMDUxOS5JUV9UUl9BTk5fREFURV9CTAEAAADn9mApBQAAAAkxMS82LzIwMjAAJXDoyk4O2ggkj0jLTg7aCCFDSVEuSVFUUjY5MTU5Nzk4Mi5JUV9UUl9T</t>
  </si>
  <si>
    <t>RUxMRVJfSUQBAAAAnvI4KQMAAAAISVEzMTMwNTUAJXDoyk4O2gid4UjLTg7aCB5DSVEuSVFUUjY5MTU5Nzk4Mi5JUV9UUl9TVEFUVVMBAAAAnvI4KQMAAAAGQ2xvc2VkACVw6MpODtoIneFIy04O2gghQ0lRLklRVFI2OTE1OTc5ODIuSVFfVFJfVEFSR0VUX0lEAQAAAJ7yOCkDAAAACUlROTY4Njg0MgAlcOjKTg7aCJ3hSMtODtoII0NJUS5JUVRSNjkxNTk3OTgyLklRX1RSX0NMT1NFRF9EQVRFAQAAAJ7yOCkFAAAACjEwLzEzLzIwMjAAJXDoyk4O2gid4UjLTg7aCCJDSVEuSVFUUjY5MTU5Nzk4Mi5JUV9UUl9TRUxMRVJOQU1FAQAAAJ7yOCkDAAAADFdhbG1hcnQgSW5jLgAlcOjKTg7aCJ3hSMtODtoIIkNJUS5JUVRSNjkxNTk3OTgyLklRX1RSX1RBUkdFVE5BTUUBAAAAnvI4KQMAAAARU2hvZWJ1eS5jb20sIEluYy4AJXDoyk4O2gid4UjLTg7aCCBDSVEuSVFUUjY5MTU5Nzk4Mi5JUV9UUl9CVVlFUl9JRAEAAACe8jgpAwAAAAtJUTI0NzMxNDQwMwAlcOjKTg7aCJ3hSMtODtoII0NJUS5JUVRSNjkxNTk3OTgyLklRX1RSX0FOTl9EQVRFX0JMAQAAAJ7yOCkFAAAACjEwLzEzLzIwMjAAJXDoyk4O2gid4UjLTg7aCCdDSVEuSVFUUjY5MTU5Nzk4Mi5JUV9UUl9UT1RBTFZBTFVFLi5VU0QBAAAAnvI4KQIAAAAAACVw6MpODtoIneFIy04O2gghQ0lRLklRVFI2OTE1OTc5ODIuSVFfVFJfQlVZRVJOQU1FAQAAAJ7y</t>
  </si>
  <si>
    <t>OCkDAAAAGkNyaXRpY2FsUG9pbnQgQ2FwaXRhbCwgTExDACVw6MpODtoIqQhJy04O2ggiQ0lRLklRVFI2OTA1NzkxMjcuSVFfVFJfU0VMTEVSTkFNRQEAAAC3ZikpAwAAAAxXYWxtYXJ0IEluYy4AJXDoyk4O2ggqtkjLTg7aCCFDSVEuSVFUUjY5MDU3OTEyNy5JUV9UUl9UQVJHRVRfSUQBAAAAt2YpKQMAAAAJSVE1NDYzNjE3ACVw6MpODtoIJI9Iy04O2ggiQ0lRLklRVFI2OTA1NzkxMjcuSVFfVFJfVEFSR0VUTkFNRQEAAAC3ZikpAwAAABJBU0RBIEdyb3VwIExpbWl0ZWQAJXDoyk4O2giDukjLTg7aCB5DSVEuSVFUUjY5MDU3OTEyNy5JUV9UUl9TVEFUVVMBAAAAt2YpKQMAAAAGQ2xvc2VkACVw6MpODtoIg7pIy04O2ggjQ0lRLklRVFI2OTA1NzkxMjcuSVFfVFJfQU5OX0RBVEVfQkwBAAAAt2YpKQUAAAAJMTAvMi8yMDIwACVw6MpODtoIg7pIy04O2gggQ0lRLklRVFI2OTA1NzkxMjcuSVFfVFJfQlVZRVJfSUQBAAAAt2YpKQMAAAAJSVE1NzIxOTUyACVw6MpODtoIg7pIy04O2ggnQ0lRLklRVFI2OTA1NzkxMjcuSVFfVFJfVE9UQUxWQUxVRS4uVVNEAQAAALdmKSkCAAAAAAAlcOjKTg7aCIO6SMtODtoII0NJUS5JUVRSNjkwNTc5MTI3LklRX1RSX0NMT1NFRF9EQVRFAQAAALdmKSkFAAAACTIvMTYvMjAyMQAlcOjKTg7aCIO6SMtODtoIIUNJUS5JUVRSNjkwNTc5MTI3LklRX1RSX0JVWUVSTkFNRQEAAAC3</t>
  </si>
  <si>
    <t>ZikpAwAAAA9URFIgQ2FwaXRhbCBMTFAAJXDoyk4O2giDukjLTg7aCCFDSVEuSVFUUjY5MDU3OTEyNy5JUV9UUl9TRUxMRVJfSUQBAAAAt2YpKQMAAAAISVEzMTMwNTUAJXDoyk4O2giDukjLTg7aCB5DSVEuSVFUUjY4NTIzNDQ1OS5JUV9UUl9TVEFUVVMBAAAAG9nXKAMAAAAGQ2xvc2VkACVw6MpODtoI7hlIy04O2ggjQ0lRLklRVFI2ODUyMzQ0NTkuSVFfVFJfQ0xPU0VEX0RBVEUBAAAAG9nXKAUAAAAKMTAvMzEvMjAyMAAlcOjKTg7aCAVBSMtODtoIIkNJUS5JUVRSNjg1MjM0NDU5LklRX1RSX1NFTExFUk5BTUUBAAAAG9nXKAMAAAAMV2FsbWFydCBJbmMuACVw6MpODtoIBUFIy04O2ggjQ0lRLklRVFI2ODUyMzQ0NTkuSVFfVFJfQU5OX0RBVEVfQkwBAAAAG9nXKAUAAAAJOC8yNS8yMDIwACVw6MpODtoIBUFIy04O2gghQ0lRLklRVFI2ODUyMzQ0NTkuSVFfVFJfQlVZRVJOQU1FAQAAABvZ1ygDAAAAG0RlbHRhIEdhbGlsIEluZHVzdHJpZXMgTHRkLgAlcOjKTg7aCAVBSMtODtoIIUNJUS5JUVRSNjg1MjM0NDU5LklRX1RSX1NFTExFUl9JRAEAAAAb2dcoAwAAAAhJUTMxMzA1NQAlcOjKTg7aCAVBSMtODtoIIENJUS5JUVRSNjg1MjM0NDU5LklRX1RSX0JVWUVSX0lEAQAAABvZ1ygDAAAACElRMzk4ODA2ACVw6MpODtoIBUFIy04O2ggiQ0lRLklRVFI2ODUyMzQ0NTkuSVFfVFJfVEFSR0VUTkFNRQEAAAAb</t>
  </si>
  <si>
    <t>2dcoAwAAAA1CYXJlV2ViLCBJbmMuACVw6MpODtoIBUFIy04O2gghQ0lRLklRVFI2ODUyMzQ0NTkuSVFfVFJfVEFSR0VUX0lEAQAAABvZ1ygDAAAACUlROTY3MzkwOQAlcOjKTg7aCAVBSMtODtoIJ0NJUS5JUVRSNjg1MjM0NDU5LklRX1RSX1RPVEFMVkFMVUUuLlVTRAEAAAAb2dcoAgAAAAAAJXDoyk4O2ggFQUjLTg7aCCJDSVEuSVFUUjY2NDg3MzkxOC5JUV9UUl9UQVJHRVROQU1FAQAAAL4roScDAAAAClZVRFUsIEluYy4AJXDoyk4O2gjfy0fLTg7aCCdDSVEuSVFUUjY2NDg3MzkxOC5JUV9UUl9UT1RBTFZBTFVFLi5VU0QBAAAAviuhJwIAAAAAACVw6MpODtoI38tHy04O2gghQ0lRLklRVFI2NjQ4NzM5MTguSVFfVFJfVEFSR0VUX0lEAQAAAL4roScDAAAACklRMzQxMDQ2NjUAJXDoyk4O2gjfy0fLTg7aCCFDSVEuSVFUUjY2NDg3MzkxOC5JUV9UUl9CVVlFUk5BTUUBAAAAviuhJwMAAAATRmFuZGFuZ28gTWVkaWEsIExMQwAlcOjKTg7aCN/LR8tODtoIIENJUS5JUVRSNjY0ODczOTE4LklRX1RSX0JVWUVSX0lEAQAAAL4roScDAAAACElRMTgzMzA4ACVw6MpODtoI5vJHy04O2gghQ0lRLklRVFI2NjQ4NzM5MTguSVFfVFJfU0VMTEVSX0lEAQAAAL4roScDAAAACElRMzEzMDU1ACVw6MpODtoI38tHy04O2ggeQ0lRLklRVFI2NjQ4NzM5MTguSVFfVFJfU1RBVFVTAQAAAL4roScDAAAACUVmZmVjdGl2ZQAl</t>
  </si>
  <si>
    <t>cOjKTg7aCObyR8tODtoII0NJUS5JUVRSNjY0ODczOTE4LklRX1RSX0FOTl9EQVRFX0JMAQAAAL4roScFAAAACTQvMjAvMjAyMAAlcOjKTg7aCObyR8tODtoII0NJUS5JUVRSNjY0ODczOTE4LklRX1RSX0NMT1NFRF9EQVRFAQAAAL4roScFAAAAAAAlcOjKTg7aCObyR8tODtoIIkNJUS5JUVRSNjY0ODczOTE4LklRX1RSX1NFTExFUk5BTUUBAAAAviuhJwMAAAAMV2FsbWFydCBJbmMuACVw6MpODtoI5vJHy04O2ggnQ0lRLklRVFI2MDQyODM5NTQuSVFfVFJfVE9UQUxWQUxVRS4uVVNEAQAAADKkBCQCAAAAAAAlcOjKTg7aCDzaRstODtoII0NJUS5JUVRSNjA0MjgzOTU0LklRX1RSX0NMT1NFRF9EQVRFAQAAADKkBCQFAAAACTIvMjUvMjAxOQAlcOjKTg7aCDzaRstODtoIIENJUS5JUVRSNjA0MjgzOTU0LklRX1RSX0JVWUVSX0lEAQAAADKkBCQDAAAACElRMzEzMDU1ACVw6MpODtoIPNpGy04O2gghQ0lRLklRVFI2MDQyODM5NTQuSVFfVFJfQlVZRVJOQU1FAQAAADKkBCQDAAAADFdhbG1hcnQgSW5jLgAlcOjKTg7aCDzaRstODtoIIkNJUS5JUVRSNjA0MjgzOTU0LklRX1RSX1NFTExFUk5BTUUBAAAAMqQEJAMAAAAAACVw6MpODtoIPNpGy04O2ggiQ0lRLklRVFI2MDQyODM5NTQuSVFfVFJfVEFSR0VUTkFNRQEAAAAypAQkAwAAAA5Bc3BlY3RpdmEgTHRkLgAlcOjKTg7aCDzaRstODtoIHkNJUS5JUVRSNjA0</t>
  </si>
  <si>
    <t>MjgzOTU0LklRX1RSX1NUQVRVUwEAAAAypAQkAwAAAAZDbG9zZWQAJXDoyk4O2gg82kbLTg7aCCFDSVEuSVFUUjYwNDI4Mzk1NC5JUV9UUl9TRUxMRVJfSUQBAAAAMqQEJAMAAAAAACVw6MpODtoIPNpGy04O2ggjQ0lRLklRVFI2MDQyODM5NTQuSVFfVFJfQU5OX0RBVEVfQkwBAAAAMqQEJAUAAAAJMi8yNS8yMDE5ACVw6MpODtoIPNpGy04O2gghQ0lRLklRVFI2MDQyODM5NTQuSVFfVFJfVEFSR0VUX0lEAQAAADKkBCQDAAAAC0lRNDA5NzIzMDY1ACVw6MpODtoIQgFHy04O2gghQ0lRLklRVFI1OTQwOTgxOTkuSVFfVFJfVEFSR0VUX0lEAQAAABc4aSMDAAAACElRODg5MTIwACVw6MpODtoI5vJHy04O2ggjQ0lRLklRVFI1OTQwOTgxOTkuSVFfVFJfQ0xPU0VEX0RBVEUBAAAAFzhpIwUAAAAKMTIvMzEvMjAxOAAlcOjKTg7aCObyR8tODtoIJ0NJUS5JUVRSNTk0MDk4MTk5LklRX1RSX1RPVEFMVkFMVUUuLlVTRAEAAAAXOGkjAgAAAAAAJXDoyk4O2gjm8kfLTg7aCB5DSVEuSVFUUjU5NDA5ODE5OS5JUV9UUl9TVEFUVVMBAAAAFzhpIwMAAAAGQ2xvc2VkACVw6MpODtoI5vJHy04O2ggiQ0lRLklRVFI1OTQwOTgxOTkuSVFfVFJfU0VMTEVSTkFNRQEAAAAXOGkjAwAAADxQb2xhcmlzIFZlbnR1cmUgUGFydG5lcnMsIEluYy47IFNhaW50cyBDYXBpdGFsIFNlcnZpY2VzLCBMTEMAJXDoyk4O2gjm8kfLTg7aCCFD</t>
  </si>
  <si>
    <t>SVEuSVFUUjU5NDA5ODE5OS5JUV9UUl9CVVlFUk5BTUUBAAAAFzhpIwMAAAAMV2FsbWFydCBJbmMuACVw6MpODtoI5vJHy04O2ggiQ0lRLklRVFI1OTQwOTgxOTkuSVFfVFJfVEFSR0VUTkFNRQEAAAAXOGkjAwAAAAxBcnQuY29tIEluYy4AJXDoyk4O2gjm8kfLTg7aCCBDSVEuSVFUUjU5NDA5ODE5OS5JUV9UUl9CVVlFUl9JRAEAAAAXOGkjAwAAAAhJUTMxMzA1NQAlcOjKTg7aCO4ZSMtODtoIIUNJUS5JUVRSNTk0MDk4MTk5LklRX1RSX1NFTExFUl9JRAEAAAAXOGkjAwAAABFJUTIyNDcxOyBJUTgyMzU5MAAlcOjKTg7aCObyR8tODtoII0NJUS5JUVRSNTk0MDk4MTk5LklRX1RSX0FOTl9EQVRFX0JMAQAAABc4aSMFAAAACTEyLzYvMjAxOAAlcOjKTg7aCO4ZSMtODtoIIUNJUS5JUVRSNTg2NjY1OTM0LklRX1RSX0JVWUVSTkFNRQEAAADOz/ciAwAAAAxXYWxtYXJ0IEluYy4AJXDoyk4O2gihVkfLTg7aCCFDSVEuSVFUUjU4NjY2NTkzNC5JUV9UUl9UQVJHRVRfSUQBAAAAzs/3IgMAAAAJSVE5NjczOTA5ACVw6MpODtoIoVZHy04O2ggiQ0lRLklRVFI1ODY2NjU5MzQuSVFfVFJfVEFSR0VUTkFNRQEAAADOz/ciAwAAAA1CYXJlV2ViLCBJbmMuACVw6MpODtoIoVZHy04O2ggjQ0lRLklRVFI1ODY2NjU5MzQuSVFfVFJfQU5OX0RBVEVfQkwBAAAAzs/3IgUAAAAKMTAvMTIvMjAxOAAlcOjKTg7aCKFWR8tODtoI</t>
  </si>
  <si>
    <t>J0NJUS5JUVRSNTg2NjY1OTM0LklRX1RSX1RPVEFMVkFMVUUuLlVTRAEAAADOz/ciAgAAAAAAJXDoyk4O2gihVkfLTg7aCCJDSVEuSVFUUjU4NjY2NTkzNC5JUV9UUl9TRUxMRVJOQU1FAQAAAM7P9yIDAAAAAAAlcOjKTg7aCKFWR8tODtoIHkNJUS5JUVRSNTg2NjY1OTM0LklRX1RSX1NUQVRVUwEAAADOz/ciAwAAAAZDbG9zZWQAJXDoyk4O2gihVkfLTg7aCCBDSVEuSVFUUjU4NjY2NTkzNC5JUV9UUl9CVVlFUl9JRAEAAADOz/ciAwAAAAhJUTMxMzA1NQAlcOjKTg7aCKFWR8tODtoIIUNJUS5JUVRSNTg2NjY1OTM0LklRX1RSX1NFTExFUl9JRAEAAADOz/ciAwAAAAAAJXDoyk4O2gihVkfLTg7aCCNDSVEuSVFUUjU4NjY2NTkzNC5JUV9UUl9DTE9TRURfREFURQEAAADOz/ciBQAAAAoxMC8xMi8yMDE4ACVw6MpODtoIoVZHy04O2ggnQ0lRLklRVFI1ODQ5NzQwOTYuSVFfVFJfVE9UQUxWQUxVRS4uVVNEAQAAABD/3SICAAAAAAAlcOjKTg7aCKFWR8tODtoIIUNJUS5JUVRSNTg0OTc0MDk2LklRX1RSX0JVWUVSTkFNRQEAAAAQ/90iAwAAAAxXYWxtYXJ0IEluYy4AJXDoyk4O2gihVkfLTg7aCCBDSVEuSVFUUjU4NDk3NDA5Ni5JUV9UUl9CVVlFUl9JRAEAAAAQ/90iAwAAAAhJUTMxMzA1NQAlcOjKTg7aCKFWR8tODtoII0NJUS5JUVRSNTg0OTc0MDk2LklRX1RSX0NMT1NFRF9EQVRFAQAAABD/3SIFAAAACjEy</t>
  </si>
  <si>
    <t>LzMxLzIwMTgAJXDoyk4O2gi5fUfLTg7aCB5DSVEuSVFUUjU4NDk3NDA5Ni5JUV9UUl9TVEFUVVMBAAAAEP/dIgMAAAAGQ2xvc2VkACVw6MpODtoIuX1Hy04O2gghQ0lRLklRVFI1ODQ5NzQwOTYuSVFfVFJfU0VMTEVSX0lEAQAAABD/3SIDAAAAF0lRMjYyNTUxNTY7IElRMjg1NTUxODg0ACVw6MpODtoIuX1Hy04O2gghQ0lRLklRVFI1ODQ5NzQwOTYuSVFfVFJfVEFSR0VUX0lEAQAAABD/3SIDAAAAC0lRMjc0MTA4NzUwACVw6MpODtoIuX1Hy04O2ggiQ0lRLklRVFI1ODQ5NzQwOTYuSVFfVFJfVEFSR0VUTkFNRQEAAAAQ/90iAwAAABRFTE9RVUlJIERlc2lnbiwgSW5jLgAlcOjKTg7aCLl9R8tODtoIIkNJUS5JUVRSNTg0OTc0MDk2LklRX1RSX1NFTExFUk5BTUUBAAAAEP/dIgMAAAAbR3JleWNyb2Z0IExQOyBGSiBMYWJzLCBJbmMuACVw6MpODtoIuX1Hy04O2ggjQ0lRLklRVFI1ODQ5NzQwOTYuSVFfVFJfQU5OX0RBVEVfQkwBAAAAEP/dIgUAAAAJMTAvMi8yMDE4ACVw6MpODtoIuX1Hy04O2ggiQ0lRLklRVFI1Nzk0MzYyMTYuSVFfVFJfVEFSR0VUTkFNRQEAAAC4fokiAwAAAB4xMiBXYWxtYXJ0IHN0b3JlcyBpbiBBcmdlbnRpbmEAJXDoyk4O2ghCAUfLTg7aCCFDSVEuSVFUUjU3OTQzNjIxNi5JUV9UUl9CVVlFUk5BTUUBAAAAuH6JIgMAAAAyRGlzdHJpYnVpZG9yYSBJbnRlcm5hY2lvbmFsIGRlIEFs</t>
  </si>
  <si>
    <t>aW1lbnRhY2nDs24sIFMuQS4AJXDoyk4O2ghCAUfLTg7aCCBDSVEuSVFUUjU3OTQzNjIxNi5JUV9UUl9CVVlFUl9JRAEAAAC4fokiAwAAAApJUTEzNTE0OTcwACVw6MpODtoITihHy04O2ggnQ0lRLklRVFI1Nzk0MzYyMTYuSVFfVFJfVE9UQUxWQUxVRS4uVVNEAQAAALh+iSICAAAAAAAlcOjKTg7aCEIBR8tODtoII0NJUS5JUVRSNTc5NDM2MjE2LklRX1RSX0FOTl9EQVRFX0JMAQAAALh+iSIFAAAACTgvMzAvMjAxOAAlcOjKTg7aCBYrR8tODtoII0NJUS5JUVRSNTc5NDM2MjE2LklRX1RSX0NMT1NFRF9EQVRFAQAAALh+iSIFAAAACTgvMzAvMjAxOAAlcOjKTg7aCJAvR8tODtoIIUNJUS5JUVRSNTc5NDM2MjE2LklRX1RSX1NFTExFUl9JRAEAAAC4fokiAwAAAAhJUTMxMzA1NQAlcOjKTg7aCJAvR8tODtoIHkNJUS5JUVRSNTc5NDM2MjE2LklRX1RSX1NUQVRVUwEAAAC4fokiAwAAAAZDbG9zZWQAJXDoyk4O2giQL0fLTg7aCCFDSVEuSVFUUjU3OTQzNjIxNi5JUV9UUl9UQVJHRVRfSUQBAAAAuH6JIgMAAAALSVE1Nzk0MzYwNDQAJXDoyk4O2giQL0fLTg7aCCJDSVEuSVFUUjU3OTQzNjIxNi5JUV9UUl9TRUxMRVJOQU1FAQAAALh+iSIDAAAADFdhbG1hcnQgSW5jLgAlcOjKTg7aCJAvR8tODtoII0NJUS5JUVRSNTY5NzU2NTA4LklRX1RSX0NMT1NFRF9EQVRFAQAAAFzL9SEFAAAACDgvMS8yMDE4ACVw6MpO</t>
  </si>
  <si>
    <t>DtoI7hlIy04O2ggjQ0lRLklRVFI1Njk3NTY1MDguSVFfVFJfQU5OX0RBVEVfQkwBAAAAXMv1IQUAAAAINi80LzIwMTgAJXDoyk4O2gjuGUjLTg7aCCFDSVEuSVFUUjU2OTc1NjUwOC5JUV9UUl9UQVJHRVRfSUQBAAAAXMv1IQMAAAALSVE1Njk3ODI0MjgAJXDoyk4O2gjuGUjLTg7aCCBDSVEuSVFUUjU2OTc1NjUwOC5JUV9UUl9CVVlFUl9JRAEAAABcy/UhAwAAAAdJUTE4NjEzACVw6MpODtoI7hlIy04O2gghQ0lRLklRVFI1Njk3NTY1MDguSVFfVFJfQlVZRVJOQU1FAQAAAFzL9SEDAAAAIEFkdmVudCBJbnRlcm5hdGlvbmFsIENvcnBvcmF0aW9uACVw6MpODtoI7hlIy04O2gghQ0lRLklRVFI1Njk3NTY1MDguSVFfVFJfU0VMTEVSX0lEAQAAAFzL9SEDAAAACElRMzEzMDU1ACVw6MpODtoI7hlIy04O2ggiQ0lRLklRVFI1Njk3NTY1MDguSVFfVFJfU0VMTEVSTkFNRQEAAABcy/UhAwAAAAxXYWxtYXJ0IEluYy4AJXDoyk4O2gjuGUjLTg7aCB5DSVEuSVFUUjU2OTc1NjUwOC5JUV9UUl9TVEFUVVMBAAAAXMv1IQMAAAAGQ2xvc2VkACVw6MpODtoI7hlIy04O2ggnQ0lRLklRVFI1Njk3NTY1MDguSVFfVFJfVE9UQUxWQUxVRS4uVVNEAQAAAFzL9SECAAAAAzI1MAEGAAAABQAAAAI1NAEAAAAGMTAwNTA0AgAAAAk1Njk3NTY1MDgDAAAACTU2OTc1NjUwOAQAAAADMTYwBgAAAAVGYWxzZSVw6MpODtoI7hlIy04O</t>
  </si>
  <si>
    <t>2ggiQ0lRLklRVFI1Njk3NTY1MDguSVFfVFJfVEFSR0VUTkFNRQEAAABcy/UhAwAAACFXTVMgU3VwZXJtZXJjYWRvcyBkbyBCcmFzaWwgTHRkYS4AJXDoyk4O2gjuGUjLTg7aCB5DSVEuSVFUUjY2ODAxMzEwOS5JUV9UUl9TVEFUVVMBAAAANRLRJwMAAAAGQ2xvc2VkACVw6MpODtoI38tHy04O2ggiQ0lRLklRVFI2NjgwMTMxMDkuSVFfVFJfVEFSR0VUTkFNRQEAAAA1EtEnAwAAABRXYWxtYXJ0IEJyYXNpbCBMdGRhLgAlcOjKTg7aCN/LR8tODtoIIUNJUS5JUVRSNjY4MDEzMTA5LklRX1RSX1NFTExFUl9JRAEAAAA1EtEnAwAAAAhJUTMxMzA1NQAlcOjKTg7aCN/LR8tODtoIIkNJUS5JUVRSNjY4MDEzMTA5LklRX1RSX1NFTExFUk5BTUUBAAAANRLRJwMAAAAMV2FsbWFydCBJbmMuACVw6MpODtoI38tHy04O2gghQ0lRLklRVFI2NjgwMTMxMDkuSVFfVFJfQlVZRVJOQU1FAQAAADUS0ScDAAAAIEFkdmVudCBJbnRlcm5hdGlvbmFsIENvcnBvcmF0aW9uACVw6MpODtoI38tHy04O2gggQ0lRLklRVFI2NjgwMTMxMDkuSVFfVFJfQlVZRVJfSUQBAAAANRLRJwMAAAAHSVExODYxMwAlcOjKTg7aCN/LR8tODtoIIUNJUS5JUVRSNjY4MDEzMTA5LklRX1RSX1RBUkdFVF9JRAEAAAA1EtEnAwAAAAlJUTU0OTA1MzgAJXDoyk4O2gjfy0fLTg7aCCNDSVEuSVFUUjY2ODAxMzEwOS5JUV9UUl9BTk5fREFURV9CTAEAAAA1</t>
  </si>
  <si>
    <t>EtEnBQAAAAg2LzQvMjAxOABEl+jKTg7aCN/LR8tODtoII0NJUS5JUVRSNjY4MDEzMTA5LklRX1RSX0NMT1NFRF9EQVRFAQAAADUS0ScFAAAACDYvNC8yMDE4AESX6MpODtoI38tHy04O2ggnQ0lRLklRVFI2NjgwMTMxMDkuSVFfVFJfVE9UQUxWQUxVRS4uVVNEAQAAADUS0ScCAAAAAABEl+jKTg7aCN/LR8tODtoIIkNJUS5JUVRSNTYzNDgzMTAzLklRX1RSX1NFTExFUk5BTUUBAAAA3xGWIQMAAACMB0FjY2VsIFBhcnRuZXJzOyBlQmF5IEluYy47IEZpZGVsaXR5IEludmVzdG1lbnRzOyBUaGUgVmFuZ3VhcmQgR3JvdXAsIEluYy47IFNvZmluYSBTb2Npw6l0w6kgQW5vbnltZTsgTmFzcGVycyBMaW1pdGVkOyBNb3JnYW4gU3RhbmxleSBJbnZlc3RtZW50IE1hbmFnZW1lbnQgSW5jLjsgU3RyYXRlZ2ljIEFkdmlzZXJzIExMQzsgUWF0YXIgSW52ZXN0bWVudCBBdXRob3JpdHk7IE1vcmdhbiBTdGFubGV5IEluc3RpdHV0aW9uYWwgRnVuZCwgSW5jLiAtIFNtYWxsIENvbXBhbnkgR3Jvd3RoIFBvcnRmb2xpbyAobmthOk1vcmdhbiBTdGFubGV5IEluc3RpdHV0aW9uYWwgRnVuZCwgSW5jLiAtIEluY2VwdGlvbiBQb3J0Zm9saW8pOyBNb3JnYW4gU3RhbmxleSBJbnN0aXR1dGlvbmFsIEZ1bmQgVHJ1c3QgLSBNaWQgQ2FwIEdyb3d0aCBQb3J0Zm9saW8gKG5rYTpNb3JnYW4gU3RhbmxleSBJbnN0aXR1dGlvbmFs</t>
  </si>
  <si>
    <t>IEZ1bmQgVHJ1c3QgLSBEaXNjb3ZlcnkgUG9ydGZvbGlvKTsgSGVsaW9uIFZlbnR1cmUgUGFydG5lcnMsIExMQzsgTW9yZ2FuIFN0YW5sZXkgSW5zdGl0dXRpb25hbCBGdW5kLCBJbmMuIC0gSW50ZXJuYXRpb25hbCBPcHBvcnR1bml0eSBQb3J0Zm9saW87IEZpZGVsaXR5IFJ1dGxhbmQgU3F1YXJlIFRydXN0IElJIC0gU3RyYXRlZ2ljIEFkdmlzZXJzIEdyb3d0aCBGdW5kOyBTdGVhZHZpZXcgQ2FwaXRhbCBNYW5hZ2VtZW50IExMQzsgSW52ZXJzaW9uZXMgTW9iaWxpYXJpYXMgWSBEZXNhcnJvbGxvIFMuQS47IERTVCBHbG9iYWw7IE1vcmdhbiBTdGFubGV5IEluc3RpdHV0aW9uYWwgRnVuZCwgSW5jLiAtIEdsb2JhbCBEaXNjb3ZlcnkgUG9ydGZvbGlvOyBDLlkuQy4sIFMuQS47IFNvZnRCYW5rIFZpc2lvbiBGdW5kIEwuUC47IFNvZnRCYW5rIEludmVzdG1lbnQgQWR2aXNlcnMgKFVLKSBMaW1pdGVkAESX6MpODtoIJI9Iy04O2gghQ0lRLklRVFI1NjM0ODMxMDMuSVFfVFJfU0VMTEVSX0lEAQAAAN8RliEDAAAA9AFJUTE4NTYxOyBJUTI3ODYyOyBJUTE2Mzg5NDsgSVE0MTcyMjI7IElRODc0NTI2OyBJUTg4MjMxMDsgSVE0MDMyMDc2OyBJUTIyNTcxOTU3OyBJUTI3ODY5MjUwOyBJUTI4MTEzNTA5OyBJUTI4MTE1ODA2OyBJUTI4NDYxNzI5OyBJUTEwNDg2OTcxMTsgSVExMDY4MzY3OTY7IElRMTA4NDUx</t>
  </si>
  <si>
    <t>MTkzOyBJUTEyODI1MDkzNjsgSVExMjg0MTAwODM7IElRMTI4NTM2NTcyOyBJUTEyOTA2NzAxMjsgSVE0MjEzNDM4MDc7IElRNDMxMjkxODMwAESX6MpODtoIJI9Iy04O2gggQ0lRLklRVFI1NjM0ODMxMDMuSVFfVFJfQlVZRVJfSUQBAAAA3xGWIQMAAAAISVEzMTMwNTUARJfoyk4O2ggkj0jLTg7aCCdDSVEuSVFUUjU2MzQ4MzEwMy5JUV9UUl9UT1RBTFZBTFVFLi5VU0QBAAAA3xGWIQIAAAAFMTYwMDABBgAAAAUAAAACNTQBAAAABjEwMDUwNAIAAAAJNTYzNDgzMTAzAwAAAAk1NjM0ODMxMDMEAAAAAzE2MAYAAAAFRmFsc2VEl+jKTg7aCCSPSMtODtoIIkNJUS5JUVRSNTYzNDgzMTAzLklRX1RSX1RBUkdFVE5BTUUBAAAA3xGWIQMAAAAYRmxpcGthcnQgUHJpdmF0ZSBMaW1pdGVkAESX6MpODtoIJI9Iy04O2gghQ0lRLklRVFI1NjM0ODMxMDMuSVFfVFJfVEFSR0VUX0lEAQAAAN8RliEDAAAAC0lRMzA5NDUyODkyAESX6MpODtoIJI9Iy04O2gghQ0lRLklRVFI1NjM0ODMxMDMuSVFfVFJfQlVZRVJOQU1FAQAAAN8RliEDAAAADFdhbG1hcnQgSW5jLgBEl+jKTg7aCCSPSMtODtoII0NJUS5JUVRSNTYzNDgzMTAzLklRX1RSX0FOTl9EQVRFX0JMAQAAAN8RliEFAAAACDUvOC8yMDE4AESX6MpODtoIJI9Iy04O2ggjQ0lRLklRVFI1NjM0ODMxMDMuSVFfVFJfQ0xPU0VEX0RBVEUBAAAA3xGWIQUAAAAJOC8xOC8y</t>
  </si>
  <si>
    <t>MDE4AESX6MpODtoIJI9Iy04O2ggeQ0lRLklRVFI1NjM0ODMxMDMuSVFfVFJfU1RBVFVTAQAAAN8RliEDAAAABkNsb3NlZABEl+jKTg7aCCSPSMtODtoIN0NJUS5OWVNFOldNVC5JUV9ESUxVVF9FUFNfRVhDTC5JUV9GWS00LjMvMjUvMjAyMi4uRi5VU0QBAAAA38YEAAIAAAAEMy4yOAEIAAAABQAAAAExAQAAAAoyMDIzMjQ5NjExAwAAAAMxNjACAAAAAzE0MgQAAAABMAcAAAAJMy8yNS8yMDIyCAAAAAkxLzMxLzIwMTgJAAAAATA7xIbLTg7aCDvEhstODtoIMkNJUS5OWVNFOldNVC5JUV9ORVRfTE9BTlMuSVFfRlktNS4zLzI1LzIwMjIuLkYuVVNEAQAAAN/GBAADAAAAAAA7xIbLTg7aCDvEhstODtoIN0NJUS5OWVNFOldNVC5JUV9UT1RBTF9ERVBPU0lUUy5JUV9GWS01LjMvMjUvMjAyMi4uRi5VU0QBAAAA38YEAAMAAAAAADvEhstODtoIO8SGy04O2gg2Q0lRLk5ZU0U6V01ULklRX05FVF9JTlRfTUFSR0lOLklRX0xUTS4zLzI1LzIwMjIuLkYuVVNEAQAAAN/GBAADAAAAAAA7xIbLTg7aCDvEhstODtoINkNJUS5OWVNFOldNVC5JUV9JTlRfSU5DX1RPVEFMLklRX0ZZLTUuMy8yNS8yMDIyLi5GLlVTRAEAAADfxgQAAwAAAAAAO8SGy04O2gg7xIbLTg7aCDhDSVEuTllTRTpXTVQuSVFfTkVUX0lOVF9JTkNfQk5LLklRX0ZZLTUuMy8yNS8yMDIyLi5GLlVTRAEAAADfxgQAAwAAAAAAO8SGy04O2gg7xIbLTg7a</t>
  </si>
  <si>
    <t>CDdDSVEuTllTRTpXTVQuSVFfRElMVVRfRVBTX0VYQ0wuSVFfRlktNS4zLzI1LzIwMjIuLkYuVVNEAQAAAN/GBAACAAAABDQuMzgBCAAAAAUAAAABMQEAAAAKMTk1MTU0MDMzNQMAAAADMTYwAgAAAAMxNDIEAAAAATAHAAAACTMvMjUvMjAyMggAAAAJMS8zMS8yMDE3CQAAAAEwO8SGy04O2gg7xIbLTg7aCDdDSVEuTllTRTpXTVQuSVFfUkVUVVJOX0NBUElUQUwuSVFfRlktNS4zLzI1LzIwMjIuLkYuVVNEAQAAAN/GBAACAAAABjEwLjg4MgEIAAAABQAAAAExAQAAAAoxOTUxNTQwMzM1AwAAAAMxNjACAAAABDQzNjMEAAAAATAHAAAACTMvMjUvMjAyMggAAAAJMS8zMS8yMDE3CQAAAAEwO8SGy04O2gg7xIbLTg7aCDVDSVEuTllTRTpXTVQuSVFfUkVUVVJOX0VRVUlUWS5JUV9MVE0uMy8yNS8yMDIyLi5GLlVTRAEAAADfxgQAAgAAAAcxNS41Mzg3AQgAAAAFAAAAATEBAAAACy0yMTA3Njg2MDA4AwAAAAMxNjACAAAABDQxMjgEAAAAATAHAAAACTMvMjUvMjAyMggAAAAJMS8zMS8yMDIyCQAAAAEwO8SGy04O2gg7xIbLTg7aCC1DSVEuTllTRTpXTVQuSVFfRUJJVC5JUV9GWS01LjMvMjUvMjAyMi4uRi5VU0QBAAAA38YEAAIAAAAFMjI3NjQBCAAAAAUAAAABMQEAAAAKMTk1MTU0MDMzNQMAAAADMTYwAgAAAAM0MDAEAAAAATAHAAAACTMvMjUvMjAyMggAAAAJMS8zMS8yMDE3CQAAAAEwO8SGy04O2gg7xIbLTg7a</t>
  </si>
  <si>
    <t>CC1DSVEuTllTRTpXTVQuSVFfRUJJVC5JUV9GWS00LjMvMjUvMjAyMi4uRi5VU0QBAAAA38YEAAIAAAAFMjA5MzcBCAAAAAUAAAABMQEAAAAKMjAyMzI0OTYxMQMAAAADMTYwAgAAAAM0MDAEAAAAATAHAAAACTMvMjUvMjAyMggAAAAJMS8zMS8yMDE4CQAAAAEwO8SGy04O2gg7xIbLTg7aCC1DSVEuTllTRTpXTVQuSVFfRUJJVC5JUV9GWS0xLjMvMjUvMjAyMi4uRi5VU0QBAAAA38YEAAIAAAAFMjY5NDgBCAAAAAUAAAABMQEAAAALLTIxMDc2ODYyODEDAAAAAzE2MAIAAAADNDAwBAAAAAEwBwAAAAkzLzI1LzIwMjIIAAAACTEvMzEvMjAyMQkAAAABMDvEhstODtoIO8SGy04O2ggyQ0lRLk5ZU0U6V01ULklRX1RPVEFMX1JFVi5JUV9GWS01LjMvMjUvMjAyMi4uRi5VU0QBAAAA38YEAAIAAAAGNDg1ODczAQgAAAAFAAAAATEBAAAACjE5NTE1NDAzMzUDAAAAAzE2MAIAAAACMjgEAAAAATAHAAAACTMvMjUvMjAyMggAAAAJMS8zMS8yMDE3CQAAAAEwO8SGy04O2gg7xIbLTg7aCDJDSVEuTllTRTpXTVQuSVFfVE9UQUxfUkVWLklRX0ZZLTQuMy8yNS8yMDIyLi5GLlVTRAEAAADfxgQAAgAAAAY1MDAzNDMBCAAAAAUAAAABMQEAAAAKMjAyMzI0OTYxMQMAAAADMTYwAgAAAAIyOAQAAAABMAcAAAAJMy8yNS8yMDIyCAAAAAkxLzMxLzIwMTgJAAAAATA7xIbLTg7aCDvEhstODtoIKENJUS5JUVRSNzE0NzQ0MTg4LklR</t>
  </si>
  <si>
    <t>X1RSX0JVWV9GSU5fQURWSVNPUlMBAAAAfCGaKgMAAAAAADvEhstODtoIL52zy04O2ggoQ0lRLklRVFI3MTQ3NDQxODguSVFfVFJfQlVZX0xFR19BRFZJU09SUwEAAAB8IZoqAwAAABdNb3JyaXNvbiAmIEZvZXJzdGVyIExMUAA7xIbLTg7aCC+ds8tODtoIKUNJUS5JUVRSMTc1NzQwMjUxNy5JUV9UUl9CVVlfRklOX0FEVklTT1JTAQAAAJXVv2gDAAAAAAA7xIbLTg7aCC+ds8tODtoIKUNJUS5JUVRSNzA4OTg4NTQyLklRX1RSX1NFTExfRklOX0FEVklTT1JTAQAAAH5OQioDAAAAAAA7xIbLTg7aCC+ds8tODtoIKUNJUS5JUVRSMTc1NzQwMjUxNy5JUV9UUl9CVVlfTEVHX0FEVklTT1JTAQAAAJXVv2gDAAAAAAA7xIbLTg7aCC+ds8tODtoIKENJUS5JUVRSNzA0MTIzNDk5LklRX1RSX0JVWV9GSU5fQURWSVNPUlMBAAAAaxL4KQMAAAAAADvEhstODtoIL52zy04O2ggoQ0lRLklRVFI2OTU2NDA4ODIuSVFfVFJfQlVZX0xFR19BRFZJU09SUwEAAAAyo3YpAwAAAAAAO8SGy04O2ggvnbPLTg7aCClDSVEuSVFUUjcwODk4ODU0Mi5JUV9UUl9TRUxMX0xFR19BRFZJU09SUwEAAAB+TkIqAwAAAAAAO8SGy04O2gipibPLTg7aCChDSVEuSVFUUjY5NTY0MDg4Mi5JUV9UUl9CVVlfRklOX0FEVklTT1JTAQAAADKjdikDAAAAAAA7xIbLTg7aCKmJs8tODtoIKENJUS5JUVRSNzA0MTIzNDk5LklRX1RSX0JVWV9MRUdfQURW</t>
  </si>
  <si>
    <t>SVNPUlMBAAAAaxL4KQMAAAAAADvEhstODtoIL52zy04O2ggpQ0lRLklRVFI2OTUwODQzMzcuSVFfVFJfU0VMTF9GSU5fQURWSVNPUlMBAAAAMSVuKQMAAAAAADvEhstODtoIqYmzy04O2ggpQ0lRLklRVFI2OTUwODQzMzcuSVFfVFJfU0VMTF9MRUdfQURWSVNPUlMBAAAAMSVuKQMAAAAAADvEhstODtoIqYmzy04O2ggpQ0lRLklRVFI2OTUxMTc5ODMuSVFfVFJfU0VMTF9GSU5fQURWSVNPUlMBAAAAn6huKQMAAAAAADvEhstODtoIqYmzy04O2ggpQ0lRLklRVFI2OTUxMTc5ODMuSVFfVFJfU0VMTF9MRUdfQURWSVNPUlMBAAAAn6huKQMAAAAAADvEhstODtoIqYmzy04O2ggpQ0lRLklRVFI2OTQyMjA1MTkuSVFfVFJfU0VMTF9GSU5fQURWSVNPUlMBAAAA5/ZgKQMAAAAXQ2l0aWdyb3VwIEluYy4gKE5ZU0U6QykAO8SGy04O2gipibPLTg7aCClDSVEuSVFUUjY5NDIyMDUxOS5JUV9UUl9TRUxMX0xFR19BRFZJU09SUwEAAADn9mApAwAAABpNYXJ2YWwsIE8nRmFycmVsbCAmIE1haXJhbAA7xIbLTg7aCBp2s8tODtoIKUNJUS5JUVRSNjkxNTk3OTgyLklRX1RSX1NFTExfRklOX0FEVklTT1JTAQAAAJ7yOCkDAAAAAAA7xIbLTg7aCKmJs8tODtoIKUNJUS5JUVRSNjkxNTk3OTgyLklRX1RSX1NFTExfTEVHX0FEVklTT1JTAQAAAJ7yOCkDAAAAAAA7xIbLTg7aCBp2s8tODtoIKUNJUS5JUVRSNjkwNTc5MTI3LklR</t>
  </si>
  <si>
    <t>X1RSX1NFTExfTEVHX0FEVklTT1JTAQAAALdmKSkDAAAAEVNsYXVnaHRlciBhbmQgTWF5ADvEhstODtoIGnazy04O2ggpQ0lRLklRVFI2OTA1NzkxMjcuSVFfVFJfU0VMTF9GSU5fQURWSVNPUlMBAAAAt2YpKQMAAAAhUm90aHNjaGlsZCAmIENvIFNDQSAoRU5YVFBBOlJPVEgpADvEhstODtoIGnazy04O2ggpQ0lRLklRVFI2NjQ4NzM5MTguSVFfVFJfU0VMTF9GSU5fQURWSVNPUlMBAAAAviuhJwMAAAAXQ2VudGVydmlldyBQYXJ0bmVycyBMTEMAO8SGy04O2ggadrPLTg7aCClDSVEuSVFUUjY4NTIzNDQ1OS5JUV9UUl9TRUxMX0ZJTl9BRFZJU09SUwEAAAAb2dcoAwAAAAAAO8SGy04O2ggadrPLTg7aCClDSVEuSVFUUjY2NDg3MzkxOC5JUV9UUl9TRUxMX0xFR19BRFZJU09SUwEAAAC+K6EnAwAAABFQYXVsIEhhc3RpbmdzIExMUAA7xIbLTg7aCJFis8tODtoIKUNJUS5JUVRSNjg1MjM0NDU5LklRX1RSX1NFTExfTEVHX0FEVklTT1JTAQAAABvZ1ygDAAAAAAA7xIbLTg7aCBp2s8tODtoIKENJUS5JUVRSNjA0MjgzOTU0LklRX1RSX0JVWV9GSU5fQURWSVNPUlMBAAAAMqQEJAMAAAAAADvEhstODtoIGnazy04O2ggoQ0lRLklRVFI2MDQyODM5NTQuSVFfVFJfQlVZX0xFR19BRFZJU09SUwEAAAAypAQkAwAAAAAAO8SGy04O2giRYrPLTg7aCChDSVEuSVFUUjU5NDA5ODE5OS5JUV9UUl9CVVlfRklOX0FEVklT</t>
  </si>
  <si>
    <t>T1JTAQAAABc4aSMDAAAAAAA7xIbLTg7aCJFis8tODtoIKENJUS5JUVRSNTk0MDk4MTk5LklRX1RSX0JVWV9MRUdfQURWSVNPUlMBAAAAFzhpIwMAAAAXTW9ycmlzb24gJiBGb2Vyc3RlciBMTFAAO8SGy04O2giRYrPLTg7aCChDSVEuSVFUUjU4NjY2NTkzNC5JUV9UUl9CVVlfTEVHX0FEVklTT1JTAQAAAM7P9yIDAAAAF01vcnJpc29uICYgRm9lcnN0ZXIgTExQADvEhstODtoIkWKzy04O2ggoQ0lRLklRVFI1ODY2NjU5MzQuSVFfVFJfQlVZX0ZJTl9BRFZJU09SUwEAAADOz/ciAwAAAAAAO8SGy04O2giRYrPLTg7aCChDSVEuSVFUUjU4NDk3NDA5Ni5JUV9UUl9CVVlfRklOX0FEVklTT1JTAQAAABD/3SIDAAAAAAA7xIbLTg7aCJFis8tODtoIKENJUS5JUVRSNTg0OTc0MDk2LklRX1RSX0JVWV9MRUdfQURWSVNPUlMBAAAAEP/dIgMAAAAXTW9ycmlzb24gJiBGb2Vyc3RlciBMTFAAO8SGy04O2giRYrPLTg7aCClDSVEuSVFUUjU3OTQzNjIxNi5JUV9UUl9TRUxMX0xFR19BRFZJU09SUwEAAAC4fokiAwAAAAAAO8SGy04O2gigRLPLTg7aCClDSVEuSVFUUjU3OTQzNjIxNi5JUV9UUl9TRUxMX0ZJTl9BRFZJU09SUwEAAAC4fokiAwAAAAAAO8SGy04O2gigRLPLTg7aCClDSVEuSVFUUjU2OTc1NjUwOC5JUV9UUl9TRUxMX0ZJTl9BRFZJU09SUwEAAABcy/UhAwAAABdHb2xkbWFuIFNhY2hzICYgQ28uIExMQwA7</t>
  </si>
  <si>
    <t>xIbLTg7aCKBEs8tODtoIKUNJUS5JUVRSNTY5NzU2NTA4LklRX1RSX1NFTExfTEVHX0FEVklTT1JTAQAAAFzL9SEDAAAAKFNrYWRkZW4sIEFycHMsIFNsYXRlLCBNZWFnaGVyICYgRmxvbSBMTFAAO8SGy04O2gigRLPLTg7aCClDSVEuSVFUUjY2ODAxMzEwOS5JUV9UUl9TRUxMX0ZJTl9BRFZJU09SUwEAAAA1EtEnAwAAACdUaGUgR29sZG1hbiBTYWNocyBHcm91cCwgSW5jLiAoTllTRTpHUykAO8SGy04O2gigRLPLTg7aCChDSVEuSVFUUjU2MzQ4MzEwMy5JUV9UUl9CVVlfTEVHX0FEVklTT1JTAQAAAN8RliEDAAAAaEdpYnNvbiwgRHVubiAmIENydXRjaGVyIExMUDsgSG9nYW4gTG92ZWxscyBVUyBMTFA7IFNoYXJkdWwgQW1hcmNoYW5kIE1hbmdhbGRhcyAmIENvOyBXb25nUGFydG5lcnNoaXAgTExQADvEhstODtoIoESzy04O2ggoQ0lRLklRVFI1NjM0ODMxMDMuSVFfVFJfQlVZX0ZJTl9BRFZJU09SUwEAAADfEZYhAwAAADFCYXJjbGF5cyBDYXBpdGFsIEluYy47IEouUC4gTW9yZ2FuIFNlY3VyaXRpZXMgTExDADvEhstODtoIoESzy04O2ggpQ0lRLklRVFI2NjgwMTMxMDkuSVFfVFJfU0VMTF9MRUdfQURWSVNPUlMBAAAANRLRJwMAAAAAADvEhstODtoIoESzy04O2ggnQ0lRLklRVFIzMTgyMTg0NzUuSVFfVFJfVE9UQUxWQUxVRS4uVVNEAQAAAOug9xICAAAACjUxNi45MjUzOTEBBgAAAAUAAAACNTQB</t>
  </si>
  <si>
    <t>AAAABjEwMDUwNAIAAAAJMzE4MjE4NDc1AwAAAAkzMTgyMTg0NzUEAAAAAzE2MAYAAAAFRmFsc2U7xIbLTg7aCKBEs8tODtoII0NJUS5JUVRSMzE4MjE4NDc1LklRX1RSX0NMT1NFRF9EQVRFAQAAAOug9xIFAAAAAAA7xIbLTg7aCKBEs8tODtoI</t>
  </si>
  <si>
    <t>BAABTANVU0QBSP////8BUCoNAAA7Q0lRLk5BU0RBUUdTOkNPU1QuSVFfVE9UQUxfRVFVSVRZLklRX0xUTS4zLzI1LzIwMjIuTC4uVVNELkgBAAAAkWoBAAIAAAAFMTk5NzYBCAAAAAUAAAABMQEAAAALLTIxMDg4NTUzNDgDAAAAAzE2MAIAAAAEMTI3NQQAAAABMAcAAAAJMy8yNS8yMDIyCAAAAAkyLzEzLzIwMjIJAAAAATB+wMCHPw7aCLt2WMtODtoILUNJUS5OWVNFOldNVC5JUV9FQlQuRlkyMDE0LjMvMjUvMjAyMi5MLi5VU0QuSAEAAADfxgQAAgAAAAUyNDY1NgEIAAAABQAAAAExAQAAAAoxNzgzMDA3NjY3AwAAAAMxNjACAAAAAzEzOQQAAAABMAcAAAAJMy8yNS8yMDIyCAAAAAkxLzMxLzIwMTQJAAAAATBbwVeIPw7aCOHIphpPDtoIN0NJUS5OQVNEQVFHUzpDT1NULklRX1RPVEFMX0NMLklRX0xUTS4zLzI1LzIwMjIuTC4uVVNELkgBAAAAkWoBAAIAAAAFMzE1NDUBCAAAAAUAAAABMQEAAAALLTIxMDg4NTUzNDgDAAAAAzE2MAIAAAAEMTAwOQQAAAABMAcAAAAJMy8yNS8yMDIyCAAAAAkyLzEzLzIwMjIJAAAAATCXrcuHPw7aCKdPWMtODtoIOUNJUS5OQVNEQVFHUzpDT1NULklRX1RPVEFMX0NMLklRX0xUTS00LjMvMjUvMjAyMi5MLi5VU0QuSAEAAACRagEAAgAAAAUyNjU2NAEIAAAABQAAAAExAQAAAAstMjEwODg1NTMxMwMAAAADMTYwAgAAAAQxMDA5BAAAAAEwBwAAAAkzLzI1LzIwMjIIAAAACTIv</t>
  </si>
  <si>
    <t>MTQvMjAyMQkAAAABMJety4c/DtoIp09Yy04O2ggsQ0lRLk5ZU0U6V01ULklRX05JLkZZMjAxNC4zLzI1LzIwMjIuTC4uVVNELkgBAAAA38YEAAIAAAAFMTYwMjIBCAAAAAUAAAABMQEAAAAKMTc4MzAwNzY2NwMAAAADMTYwAgAAAAIxNQQAAAABMAcAAAAJMy8yNS8yMDIyCAAAAAkxLzMxLzIwMTQJAAAAATBbwVeIPw7aCOHIphpPDtoINkNJUS5OWVNFOldNVC5JUV9UT1RBTF9BU1NFVFMuRlkyMDE1LjMvMjUvMjAyMi5MLi5VU0QuSAEAAADfxgQAAgAAAAYyMDM0OTABCAAAAAUAAAABMQEAAAAKMTgzNDI2NTY2OAMAAAADMTYwAgAAAAQxMDA3BAAAAAEwBwAAAAkzLzI1LzIwMjIIAAAACTEvMzEvMjAxNQkAAAABMFvBV4g/DtoIwWinGk8O2gg7Q0lRLk5BU0RBUUdTOkNPU1QuSVFfVE9UQUxfQVNTRVRTLklRX0xUTS4zLzI1LzIwMjIuTC4uVVNELkgBAAAAkWoBAAIAAAAFNjMwNzgBCAAAAAUAAAABMQEAAAALLTIxMDg4NTUzNDgDAAAAAzE2MAIAAAAEMTAwNwQAAAABMAcAAAAJMy8yNS8yMDIyCAAAAAkyLzEzLzIwMjIJAAAAATCXrcuHPw7aCLt2WMtODtoIMUNJUS5OWVNFOldNVC5JUV9JTkNfVEFYLkZZMjAxNS4zLzI1LzIwMjIuTC4uVVNELkgBAAAA38YEAAIAAAAENzk4NQEIAAAABQAAAAExAQAAAAoxODM0MjY1NjY4AwAAAAMxNjACAAAAAjc1BAAAAAEwBwAAAAkzLzI1LzIwMjIIAAAACTEvMzEvMjAx</t>
  </si>
  <si>
    <t>NQkAAAABMFvBV4g/DtoIno+nGk8O2ggsQ0lRLk5ZU0U6V01ULklRX05JLkZZMjAxNS4zLzI1LzIwMjIuTC4uVVNELkgBAAAA38YEAAIAAAAFMTYzNjMBCAAAAAUAAAABMQEAAAAKMTgzNDI2NTY2OAMAAAADMTYwAgAAAAIxNQQAAAABMAcAAAAJMy8yNS8yMDIyCAAAAAkxLzMxLzIwMTUJAAAAATBbwVeIPw7aCJ6PpxpPDtoINkNJUS5OWVNFOldNVC5JUV9UT1RBTF9FUVVJVFkuRlkyMDE1LjMvMjUvMjAyMi5MLi5VU0QuSAEAAADfxgQAAgAAAAU4NTkzNwEIAAAABQAAAAExAQAAAAoxODM0MjY1NjY4AwAAAAMxNjACAAAABDEyNzUEAAAAATAHAAAACTMvMjUvMjAyMggAAAAJMS8zMS8yMDE1CQAAAAEwW8FXiD8O2giej6caTw7aCDFDSVEuTkFTREFRR1M6Q09TVC5JUV9OSS5JUV9MVE0uMy8yNS8yMDIyLkwuLlVTRC5IAQAAAJFqAQACAAAABDU1MTMBCAAAAAUAAAABMQEAAAALLTIxMDg4NTUzNDgDAAAAAzE2MAIAAAACMTUEAAAAATAHAAAACTMvMjUvMjAyMggAAAAJMi8xMy8yMDIyCQAAAAEwl63Lhz8O2gi7dljLTg7aCD1DSVEuTkFTREFRR1M6Q09TVC5JUV9UT1RBTF9BU1NFVFMuSVFfTFRNLTQuMy8yNS8yMDIyLkwuLlVTRC5IAQAAAJFqAQACAAAABTU0OTE4AQgAAAAFAAAAATEBAAAACy0yMTA4ODU1MzEzAwAAAAMxNjACAAAABDEwMDcEAAAAATAHAAAACTMvMjUvMjAyMggAAAAJMi8xNC8yMDIxCQAA</t>
  </si>
  <si>
    <t>AAEwl63Lhz8O2gi7dljLTg7aCC1DSVEuTllTRTpXTVQuSVFfRUJULkZZMjAxNS4zLzI1LzIwMjIuTC4uVVNELkgBAAAA38YEAAIAAAAFMjQ3OTkBCAAAAAUAAAABMQEAAAAKMTgzNDI2NTY2OAMAAAADMTYwAgAAAAMxMzkEAAAAATAHAAAACTMvMjUvMjAyMggAAAAJMS8zMS8yMDE1CQAAAAEwW8FXiD8O2giej6caTw7aCDZDSVEuTllTRTpXTVQuSVFfVE9UQUxfQVNTRVRTLkZZMjAxNC4zLzI1LzIwMjIuTC4uVVNELkgBAAAA38YEAAIAAAAGMjA0NzUxAQgAAAAFAAAAATEBAAAACjE3ODMwMDc2NjcDAAAAAzE2MAIAAAAEMTAwNwQAAAABMAcAAAAJMy8yNS8yMDIyCAAAAAkxLzMxLzIwMTQJAAAAATBbwVeIPw7aCOahphpPDtoIMUNJUS5OWVNFOldNVC5JUV9JTkNfVEFYLkZZMjAxNC4zLzI1LzIwMjIuTC4uVVNELkgBAAAA38YEAAIAAAAEODEwNQEIAAAABQAAAAExAQAAAAoxNzgzMDA3NjY3AwAAAAMxNjACAAAAAjc1BAAAAAEwBwAAAAkzLzI1LzIwMjIIAAAACTEvMzEvMjAxNAkAAAABMFvBV4g/DtoI4cimGk8O2gg2Q0lRLk5ZU0U6V01ULklRX1RPVEFMX0VRVUlUWS5GWTIwMTQuMy8yNS8yMDIyLkwuLlVTRC5IAQAAAN/GBAACAAAABTgyODMwAQgAAAAFAAAAATEBAAAACjE3ODMwMDc2NjcDAAAAAzE2MAIAAAAEMTI3NQQAAAABMAcAAAAJMy8yNS8yMDIyCAAAAAkxLzMxLzIwMTQJAAAAATBbwVeIPw7a</t>
  </si>
  <si>
    <t>COahphpPDtoINkNJUS5OWVNFOldNVC5JUV9OVU1fQlJBTkNIRVMuRlkyMDE1LjMvMjUvMjAyMi5MLi5VU0QuSAEAAADfxgQAAwAAAAAAW8FXiD8O2gjHQKcaTw7aCEBDSVEuTllTRTpXTVQuSVFfUkVTSURFTlRJQUxfTU9SVF9MT0FOUy5GWTIwMTUuMy8yNS8yMDIyLkwuLlVTRC5IAQAAAN/GBAADAAAAAABbwVeIPw7aCMFopxpPDtoIOUNJUS5OWVNFOldNVC5JUV9ORVRfSU5UX0lOQ19CTksuRlkyMDE1LjMvMjUvMjAyMi5MLi5VU0QuSAEAAADfxgQAAwAAAAAAW8FXiD8O2gjBaKcaTw7aCCxDSVEuTllTRTpXTVQuSVFfTEwuRlkyMDE1LjMvMjUvMjAyMi5MLi5VU0QuSAEAAADfxgQAAwAAAAAAW8FXiD8O2giej6caTw7aCDhDSVEuTllTRTpXTVQuSVFfRElMVVRfRVBTX0lOQ0wuRlkyMDEzLjMvMjUvMjAyMi5MLi5VU0QuSAEAAADfxgQAAgAAAAQ1LjAyAQgAAAAFAAAAATEBAAAACjE3MjY0ODkzODEDAAAAAzE2MAIAAAABOAQAAAABMAcAAAAJMy8yNS8yMDIyCAAAAAkxLzMxLzIwMTMJAAAAATBbwVeIPw7aCODvphpPDtoIOENJUS5OWVNFOldNVC5JUV9DT05TVU1FUl9MT0FOUy5GWTIwMTMuMy8yNS8yMDIyLkwuLlVTRC5IAQAAAN/GBAADAAAAAABbwVeIPw7aCODvphpPDtoINUNJUS5OWVNFOldNVC5JUV9HUk9TU19MT0FOUy5GWTIwMTMuMy8yNS8yMDIyLkwuLlVTRC5IAQAAAN/GBAADAAAAAABbwVeI</t>
  </si>
  <si>
    <t>Pw7aCEoWpxpPDtoIM0NJUS5OWVNFOldNVC5JUV9TR0FfU1VQUEwuRlkyMDEzLjMvMjUvMjAyMi5MLi5VU0QuSAEAAADfxgQAAgAAAAU4ODYyOQEIAAAABQAAAAExAQAAAAoxNzI2NDg5MzgxAwAAAAMxNjACAAAAAzEwMgQAAAABMAcAAAAJMy8yNS8yMDIyCAAAAAkxLzMxLzIwMTMJAAAAATBbwVeIPw7aCF0/pxpPDtoIMkNJUS5OWVNFOldNVC5JUV9BTExPV19MTC5GWTIwMTYuMy8yNS8yMDIyLkwuLlVTRC5IAQAAAN/GBAADAAAAAABbwVeIPw7aCErFpxpPDtoIP0NJUS5OWVNFOldNVC5JUV9DT01NRVJDSUFMX01PUlRfTE9BTlMuRlkyMDE2LjMvMjUvMjAyMi5MLi5VU0QuSAEAAADfxgQAAwAAAAAAW8FXiD8O2ggI06caTw7aCDxDSVEuTllTRTpXTVQuSVFfUkVUVVJOX0VRVUlUWV9CQU5LLkZZMjAxNi4zLzI1LzIwMjIuTC4uVVNELkgBAAAA38YEAAIAAAAHMTcuNzg4NAEIAAAABQAAAAExAQAAAAoxODgwNzE4NzYyAwAAAAMxNjACAAAABDQxMjgEAAAAATAHAAAACTMvMjUvMjAyMggAAAAJMS8zMS8yMDE2CQAAAAEwW8FXiD8O2gjt46caTw7aCDdDSVEuTllTRTpXTVQuSVFfSU5UX0VYUF9UT1RBTC5GWTIwMTYuMy8yNS8yMDIyLkwuLlVTRC5IAQAAAN/GBAADAAAAAABbwVeIPw7aCO3jpxpPDtoIMkNJUS5OWVNFOldNVC5JUV9BTExPV19MTC5GWTIwMTUuMy8yNS8yMDIyLkwuLlVTRC5IAQAAAN/GBAAD</t>
  </si>
  <si>
    <t>AAAAAABbwVeIPw7aCMdApxpPDtoIP0NJUS5OWVNFOldNVC5JUV9DT01NRVJDSUFMX01PUlRfTE9BTlMuRlkyMDE1LjMvMjUvMjAyMi5MLi5VU0QuSAEAAADfxgQAAwAAAAAAW8FXiD8O2gjBaKcaTw7aCDxDSVEuTllTRTpXTVQuSVFfUkVUVVJOX0VRVUlUWV9CQU5LLkZZMjAxNS4zLzI1LzIwMjIuTC4uVVNELkgBAAAA38YEAAIAAAAHMTkuOTI1NgEIAAAABQAAAAExAQAAAAoxODM0MjY1NjY4AwAAAAMxNjACAAAABDQxMjgEAAAAATAHAAAACTMvMjUvMjAyMggAAAAJMS8zMS8yMDE1CQAAAAEwW8FXiD8O2gjBaKcaTw7aCDdDSVEuTllTRTpXTVQuSVFfSU5UX0VYUF9UT1RBTC5GWTIwMTUuMy8yNS8yMDIyLkwuLlVTRC5IAQAAAN/GBAADAAAAAABbwVeIPw7aCJ6PpxpPDtoINkNJUS5OWVNFOldNVC5JUV9OVU1fQlJBTkNIRVMuRlkyMDEzLjMvMjUvMjAyMi5MLi5VU0QuSAEAAADfxgQAAwAAAAAAW8FXiD8O2gjg76YaTw7aCEBDSVEuTllTRTpXTVQuSVFfUkVTSURFTlRJQUxfTU9SVF9MT0FOUy5GWTIwMTMuMy8yNS8yMDIyLkwuLlVTRC5IAQAAAN/GBAADAAAAAABbwVeIPw7aCEoWpxpPDtoIOUNJUS5OWVNFOldNVC5JUV9ORVRfSU5UX0lOQ19CTksuRlkyMDEzLjMvMjUvMjAyMi5MLi5VU0QuSAEAAADfxgQAAwAAAAAAW8FXiD8O2ghKFqcaTw7aCCxDSVEuTllTRTpXTVQuSVFfTEwuRlkyMDEzLjMvMjUv</t>
  </si>
  <si>
    <t>MjAyMi5MLi5VU0QuSAEAAADfxgQAAwAAAAAAW8FXiD8O2gjHQKcaTw7aCD9DSVEuTllTRTpXTVQuSVFfTk9OX1BFUkZPUk1JTkdfQVNTRVRTLkZZMjAxNi4zLzI1LzIwMjIuTC4uVVNELkgBAAAA38YEAAMAAAAAAFvBV4g/DtoIHMenGk8O2gg6Q0lRLk5ZU0U6V01ULklRX0NPTU1FUkNJQUxfTE9BTlMuRlkyMDE2LjMvMjUvMjAyMi5MLi5VU0QuSAEAAADfxgQAAwAAAAAAW8FXiD8O2ggI06caTw7aCDxDSVEuTllTRTpXTVQuSVFfUkVUVVJOX0FTU0VUU19CQU5LLkZZMjAxNi4zLzI1LzIwMjIuTC4uVVNELkgBAAAA38YEAAIAAAAGNy40NzU0AQgAAAAFAAAAATEBAAAACjE4ODA3MTg3NjIDAAAAAzE2MAIAAAAENDE3OAQAAAABMAcAAAAJMy8yNS8yMDIyCAAAAAkxLzMxLzIwMTYJAAAAATBbwVeIPw7aCO3jpxpPDtoINUNJUS5OWVNFOldNVC5JUV9OT05fSU5UX0lOQy5GWTIwMTYuMy8yNS8yMDIyLkwuLlVTRC5IAQAAAN/GBAADAAAAAABbwVeIPw7aCO3jpxpPDtoIP0NJUS5OWVNFOldNVC5JUV9OT05fUEVSRk9STUlOR19BU1NFVFMuRlkyMDE1LjMvMjUvMjAyMi5MLi5VU0QuSAEAAADfxgQAAwAAAAAAW8FXiD8O2gjHQKcaTw7aCDpDSVEuTllTRTpXTVQuSVFfQ09NTUVSQ0lBTF9MT0FOUy5GWTIwMTUuMy8yNS8yMDIyLkwuLlVTRC5IAQAAAN/GBAADAAAAAABbwVeIPw7aCMFopxpPDtoIPENJUS5OWVNF</t>
  </si>
  <si>
    <t>OldNVC5JUV9SRVRVUk5fQVNTRVRTX0JBTksuRlkyMDE1LjMvMjUvMjAyMi5MLi5VU0QuSAEAAADfxgQAAgAAAAY4LjMxMjEBCAAAAAUAAAABMQEAAAAKMTgzNDI2NTY2OAMAAAADMTYwAgAAAAQ0MTc4BAAAAAEwBwAAAAkzLzI1LzIwMjIIAAAACTEvMzEvMjAxNQkAAAABMFvBV4g/DtoIwWinGk8O2gg1Q0lRLk5ZU0U6V01ULklRX05PTl9JTlRfSU5DLkZZMjAxNS4zLzI1LzIwMjIuTC4uVVNELkgBAAAA38YEAAMAAAAAAFvBV4g/DtoIno+nGk8O2ggyQ0lRLk5ZU0U6V01ULklRX0FMTE9XX0xMLkZZMjAxMy4zLzI1LzIwMjIuTC4uVVNELkgBAAAA38YEAAMAAAAAAFvBV4g/DtoI4O+mGk8O2gg/Q0lRLk5ZU0U6V01ULklRX0NPTU1FUkNJQUxfTU9SVF9MT0FOUy5GWTIwMTMuMy8yNS8yMDIyLkwuLlVTRC5IAQAAAN/GBAADAAAAAABbwVeIPw7aCEoWpxpPDtoIPENJUS5OWVNFOldNVC5JUV9SRVRVUk5fRVFVSVRZX0JBTksuRlkyMDEzLjMvMjUvMjAyMi5MLi5VU0QuSAEAAADfxgQAAgAAAAcyMi4zNTA0AQgAAAAFAAAAATEBAAAACjE3MjY0ODkzODEDAAAAAzE2MAIAAAAENDEyOAQAAAABMAcAAAAJMy8yNS8yMDIyCAAAAAkxLzMxLzIwMTMJAAAAATBbwVeIPw7aCEoWpxpPDtoIN0NJUS5OWVNFOldNVC5JUV9JTlRfRVhQX1RPVEFMLkZZMjAxMy4zLzI1LzIwMjIuTC4uVVNELkgBAAAA38YEAAMAAAAAAFvB</t>
  </si>
  <si>
    <t>V4g/DtoIx0CnGk8O2gg+Q0lRLk5ZU0U6V01ULklRX05PTl9QRVJGT1JNSU5HX0xPQU5TLkZZMjAxNi4zLzI1LzIwMjIuTC4uVVNELkgBAAAA38YEAAMAAAAAAFvBV4g/DtoIHMenGk8O2gg6Q0lRLk5ZU0U6V01ULklRX1RJRVJfT05FX0NBUElUQUwuRlkyMDE2LjMvMjUvMjAyMi5MLi5VU0QuSAEAAADfxgQAAwAAAAAAW8FXiD8O2ggI06caTw7aCDpDSVEuTllTRTpXTVQuSVFfVElFUl9UV09fQ0FQSVRBTC5GWTIwMTYuMy8yNS8yMDIyLkwuLlVTRC5IAQAAAN/GBAADAAAAAABbwVeIPw7aCAjTpxpPDtoILENJUS5OWVNFOldNVC5JUV9HVy5GWTIwMTYuMy8yNS8yMDIyLkwuLlVTRC5IAQAAAN/GBAACAAAABTE2Njk1AQgAAAAFAAAAATEBAAAACjE4ODA3MTg3NjIDAAAAAzE2MAIAAAAEMTE3MQQAAAABMAcAAAAJMy8yNS8yMDIyCAAAAAkxLzMxLzIwMTYJAAAAATBbwVeIPw7aCAjTpxpPDtoIPkNJUS5OWVNFOldNVC5JUV9SSVNLX0FESl9CQU5LX0FTU0VUUy5GWTIwMTYuMy8yNS8yMDIyLkwuLlVTRC5IAQAAAN/GBAADAAAAAABbwVeIPw7aCO3jpxpPDtoILUNJUS5OWVNFOldNVC5JUV9FQlQuRlkyMDE2LjMvMjUvMjAyMi5MLi5VU0QuSAEAAADfxgQAAgAAAAUyMTYzOAEIAAAABQAAAAExAQAAAAoxODgwNzE4NzYyAwAAAAMxNjACAAAAAzEzOQQAAAABMAcAAAAJMy8yNS8yMDIyCAAAAAkxLzMxLzIwMTYJ</t>
  </si>
  <si>
    <t>AAAAATBbwVeIPw7aCO3jpxpPDtoIN0NJUS5OWVNFOldNVC5JUV9JTlRfSU5DX1RPVEFMLkZZMjAxNi4zLzI1LzIwMjIuTC4uVVNELkgBAAAA38YEAAMAAAAAAFvBV4g/DtoI7eOnGk8O2gg+Q0lRLk5ZU0U6V01ULklRX05PTl9QRVJGT1JNSU5HX0xPQU5TLkZZMjAxNS4zLzI1LzIwMjIuTC4uVVNELkgBAAAA38YEAAMAAAAAAFvBV4g/DtoIx0CnGk8O2gg6Q0lRLk5ZU0U6V01ULklRX1RJRVJfT05FX0NBUElUQUwuRlkyMDE1LjMvMjUvMjAyMi5MLi5VU0QuSAEAAADfxgQAAwAAAAAAW8FXiD8O2gjBaKcaTw7aCDpDSVEuTllTRTpXTVQuSVFfVElFUl9UV09fQ0FQSVRBTC5GWTIwMTUuMy8yNS8yMDIyLkwuLlVTRC5IAQAAAN/GBAADAAAAAABbwVeIPw7aCMFopxpPDtoILENJUS5OWVNFOldNVC5JUV9HVy5GWTIwMTUuMy8yNS8yMDIyLkwuLlVTRC5IAQAAAN/GBAACAAAABTE4MTAyAQgAAAAFAAAAATEBAAAACjE4MzQyNjU2NjgDAAAAAzE2MAIAAAAEMTE3MQQAAAABMAcAAAAJMy8yNS8yMDIyCAAAAAkxLzMxLzIwMTUJAAAAATBbwVeIPw7aCMFopxpPDtoIPkNJUS5OWVNFOldNVC5JUV9SSVNLX0FESl9CQU5LX0FTU0VUUy5GWTIwMTUuMy8yNS8yMDIyLkwuLlVTRC5IAQAAAN/GBAADAAAAAABbwVeIPw7aCMFopxpPDtoIN0NJUS5OWVNFOldNVC5JUV9JTlRfSU5DX1RPVEFMLkZZMjAxNS4zLzI1LzIwMjIu</t>
  </si>
  <si>
    <t>TC4uVVNELkgBAAAA38YEAAMAAAAAAFvBV4g/DtoIno+nGk8O2gg/Q0lRLk5ZU0U6V01ULklRX05PTl9QRVJGT1JNSU5HX0FTU0VUUy5GWTIwMTMuMy8yNS8yMDIyLkwuLlVTRC5IAQAAAN/GBAADAAAAAABbwVeIPw7aCODvphpPDtoIOkNJUS5OWVNFOldNVC5JUV9DT01NRVJDSUFMX0xPQU5TLkZZMjAxMy4zLzI1LzIwMjIuTC4uVVNELkgBAAAA38YEAAMAAAAAAFvBV4g/DtoIShanGk8O2gg8Q0lRLk5ZU0U6V01ULklRX1JFVFVSTl9BU1NFVFNfQkFOSy5GWTIwMTMuMy8yNS8yMDIyLkwuLlVTRC5IAQAAAN/GBAACAAAABjguNzQwMgEIAAAABQAAAAExAQAAAAoxNzI2NDg5MzgxAwAAAAMxNjACAAAABDQxNzgEAAAAATAHAAAACTMvMjUvMjAyMggAAAAJMS8zMS8yMDEzCQAAAAEwW8FXiD8O2ghKFqcaTw7aCDVDSVEuTllTRTpXTVQuSVFfTk9OX0lOVF9JTkMuRlkyMDEzLjMvMjUvMjAyMi5MLi5VU0QuSAEAAADfxgQAAwAAAAAAW8FXiD8O2gjHQKcaTw7aCDZDSVEuTllTRTpXTVQuSVFfVE9UQUxfQVNTRVRTLkZZMjAxNi4zLzI1LzIwMjIuTC4uVVNELkgBAAAA38YEAAIAAAAGMTk5NTgxAQgAAAAFAAAAATEBAAAACjE4ODA3MTg3NjIDAAAAAzE2MAIAAAAEMTAwNwQAAAABMAcAAAAJMy8yNS8yMDIyCAAAAAkxLzMxLzIwMTYJAAAAATBbwVeIPw7aCMPPpxpPDtoIPUNJUS5OWVNFOldNVC5JUV9UT1RBTF9D</t>
  </si>
  <si>
    <t>QVBJVEFMX1JBVElPLkZZMjAxNi4zLzI1LzIwMjIuTC4uVVNELkgBAAAA38YEAAMAAAAAAFvBV4g/DtoI7eOnGk8O2ggsQ0lRLk5ZU0U6V01ULklRX05JLkZZMjAxNi4zLzI1LzIwMjIuTC4uVVNELkgBAAAA38YEAAIAAAAFMTQ2OTQBCAAAAAUAAAABMQEAAAAKMTg4MDcxODc2MgMAAAADMTYwAgAAAAIxNQQAAAABMAcAAAAJMy8yNS8yMDIyCAAAAAkxLzMxLzIwMTYJAAAAATBbwVeIPw7aCO3jpxpPDtoIN0NJUS5OWVNFOldNVC5JUV9UT1RBTF9SRVZfQk5LLkZZMjAxNi4zLzI1LzIwMjIuTC4uVVNELkgBAAAA38YEAAMAAAAAAFvBV4g/DtoI7eOnGk8O2gg9Q0lRLk5ZU0U6V01ULklRX1RPVEFMX0NBUElUQUxfUkFUSU8uRlkyMDE1LjMvMjUvMjAyMi5MLi5VU0QuSAEAAADfxgQAAwAAAAAAW8FXiD8O2gjBaKcaTw7aCDdDSVEuTllTRTpXTVQuSVFfVE9UQUxfUkVWX0JOSy5GWTIwMTUuMy8yNS8yMDIyLkwuLlVTRC5IAQAAAN/GBAADAAAAAABbwVeIPw7aCJ6PpxpPDtoIPkNJUS5OWVNFOldNVC5JUV9OT05fUEVSRk9STUlOR19MT0FOUy5GWTIwMTMuMy8yNS8yMDIyLkwuLlVTRC5IAQAAAN/GBAADAAAAAABbwVeIPw7aCODvphpPDtoIOkNJUS5OWVNFOldNVC5JUV9USUVSX09ORV9DQVBJVEFMLkZZMjAxMy4zLzI1LzIwMjIuTC4uVVNELkgBAAAA38YEAAMAAAAAAFvBV4g/DtoIShanGk8O2gg6Q0lRLk5Z</t>
  </si>
  <si>
    <t>U0U6V01ULklRX1RJRVJfVFdPX0NBUElUQUwuRlkyMDEzLjMvMjUvMjAyMi5MLi5VU0QuSAEAAADfxgQAAwAAAAAAW8FXiD8O2ghKFqcaTw7aCCxDSVEuTllTRTpXTVQuSVFfR1cuRlkyMDEzLjMvMjUvMjAyMi5MLi5VU0QuSAEAAADfxgQAAgAAAAUyMDQ5NwEIAAAABQAAAAExAQAAAAoxNzI2NDg5MzgxAwAAAAMxNjACAAAABDExNzEEAAAAATAHAAAACTMvMjUvMjAyMggAAAAJMS8zMS8yMDEzCQAAAAEwW8FXiD8O2ghKFqcaTw7aCD5DSVEuTllTRTpXTVQuSVFfUklTS19BREpfQkFOS19BU1NFVFMuRlkyMDEzLjMvMjUvMjAyMi5MLi5VU0QuSAEAAADfxgQAAwAAAAAAW8FXiD8O2ghKFqcaTw7aCC1DSVEuTllTRTpXTVQuSVFfRUJULkZZMjAxMy4zLzI1LzIwMjIuTC4uVVNELkgBAAAA38YEAAIAAAAFMjU2NjIBCAAAAAUAAAABMQEAAAAKMTcyNjQ4OTM4MQMAAAADMTYwAgAAAAMxMzkEAAAAATAHAAAACTMvMjUvMjAyMggAAAAJMS8zMS8yMDEzCQAAAAEwW8FXiD8O2ghKFqcaTw7aCDdDSVEuTllTRTpXTVQuSVFfSU5UX0lOQ19UT1RBTC5GWTIwMTMuMy8yNS8yMDIyLkwuLlVTRC5IAQAAAN/GBAADAAAAAABbwVeIPw7aCMdApxpPDtoIOENJUS5OWVNFOldNVC5JUV9UT1RBTF9ERVBPU0lUUy5GWTIwMTYuMy8yNS8yMDIyLkwuLlVTRC5IAQAAAN/GBAADAAAAAABbwVeIPw7aCGfRpxpPDtoIOENJUS5OWVNF</t>
  </si>
  <si>
    <t>OldNVC5JUV9USUVSX09ORV9SQVRJTy5GWTIwMTYuMy8yNS8yMDIyLkwuLlVTRC5IAQAAAN/GBAADAAAAAABbwVeIPw7aCO3jpxpPDtoIMUNJUS5OWVNFOldNVC5JUV9JTkNfVEFYLkZZMjAxNi4zLzI1LzIwMjIuTC4uVVNELkgBAAAA38YEAAIAAAAENjU1OAEIAAAABQAAAAExAQAAAAoxODgwNzE4NzYyAwAAAAMxNjACAAAAAjc1BAAAAAEwBwAAAAkzLzI1LzIwMjIIAAAACTEvMzEvMjAxNgkAAAABMFvBV4g/DtoI7eOnGk8O2gg4Q0lRLk5ZU0U6V01ULklRX1RPVEFMX0RFUE9TSVRTLkZZMjAxNS4zLzI1LzIwMjIuTC4uVVNELkgBAAAA38YEAAMAAAAAAFvBV4g/DtoIwWinGk8O2gg4Q0lRLk5ZU0U6V01ULklRX1RJRVJfT05FX1JBVElPLkZZMjAxNS4zLzI1LzIwMjIuTC4uVVNELkgBAAAA38YEAAMAAAAAAFvBV4g/DtoIwWinGk8O2gg2Q0lRLk5ZU0U6V01ULklRX1RPVEFMX0FTU0VUUy5GWTIwMTMuMy8yNS8yMDIyLkwuLlVTRC5IAQAAAN/GBAACAAAABjIwMzEwNQEIAAAABQAAAAExAQAAAAoxNzI2NDg5MzgxAwAAAAMxNjACAAAABDEwMDcEAAAAATAHAAAACTMvMjUvMjAyMggAAAAJMS8zMS8yMDEzCQAAAAEwW8FXiD8O2gjg76YaTw7aCD1DSVEuTllTRTpXTVQuSVFfVE9UQUxfQ0FQSVRBTF9SQVRJTy5GWTIwMTMuMy8yNS8yMDIyLkwuLlVTRC5IAQAAAN/GBAADAAAAAABbwVeIPw7aCEoWpxpPDtoI</t>
  </si>
  <si>
    <t>LENJUS5OWVNFOldNVC5JUV9OSS5GWTIwMTMuMy8yNS8yMDIyLkwuLlVTRC5IAQAAAN/GBAACAAAABTE2OTk5AQgAAAAFAAAAATEBAAAACjE3MjY0ODkzODEDAAAAAzE2MAIAAAACMTUEAAAAATAHAAAACTMvMjUvMjAyMggAAAAJMS8zMS8yMDEzCQAAAAEwW8FXiD8O2ghKFqcaTw7aCDdDSVEuTllTRTpXTVQuSVFfVE9UQUxfUkVWX0JOSy5GWTIwMTMuMy8yNS8yMDIyLkwuLlVTRC5IAQAAAN/GBAADAAAAAABbwVeIPw7aCMdApxpPDtoIOENJUS5OWVNFOldNVC5JUV9ESUxVVF9FUFNfRVhDTC5GWTIwMTYuMy8yNS8yMDIyLkwuLlVTRC5IAQAAAN/GBAACAAAABDQuNTcBCAAAAAUAAAABMQEAAAAKMTg4MDcxODc2MgMAAAADMTYwAgAAAAMxNDIEAAAAATAHAAAACTMvMjUvMjAyMggAAAAJMS8zMS8yMDE2CQAAAAEwW8FXiD8O2giej6caTw7aCDxDSVEuTllTRTpXTVQuSVFfQ09OU1RSVUNUSU9OX0xPQU5TLkZZMjAxNi4zLzI1LzIwMjIuTC4uVVNELkgBAAAA38YEAAMAAAAAAFvBV4g/DtoICNOnGk8O2ggzQ0lRLk5ZU0U6V01ULklRX05FVF9MT0FOUy5GWTIwMTYuMy8yNS8yMDIyLkwuLlVTRC5IAQAAAN/GBAADAAAAAABbwVeIPw7aCO3jpxpPDtoINUNJUS5OWVNFOldNVC5JUV9OT05fSU5UX0VYUC5GWTIwMTYuMy8yNS8yMDIyLkwuLlVTRC5IAQAAAN/GBAADAAAAAABbwVeIPw7aCO3jpxpPDtoIOENJUS5O</t>
  </si>
  <si>
    <t>WVNFOldNVC5JUV9ESUxVVF9FUFNfRVhDTC5GWTIwMTUuMy8yNS8yMDIyLkwuLlVTRC5IAQAAAN/GBAACAAAACDQuOTYyMTE4AQgAAAAFAAAAATEBAAAACjE4MzQyNjU2NjgDAAAAAzE2MAIAAAADMTQyBAAAAAEwBwAAAAkzLzI1LzIwMjIIAAAACTEvMzEvMjAxNQkAAAABMFvBV4g/DtoIx0CnGk8O2gg8Q0lRLk5ZU0U6V01ULklRX0NPTlNUUlVDVElPTl9MT0FOUy5GWTIwMTUuMy8yNS8yMDIyLkwuLlVTRC5IAQAAAN/GBAADAAAAAABbwVeIPw7aCMFopxpPDtoIM0NJUS5OWVNFOldNVC5JUV9ORVRfTE9BTlMuRlkyMDE1LjMvMjUvMjAyMi5MLi5VU0QuSAEAAADfxgQAAwAAAAAAW8FXiD8O2gjBaKcaTw7aCDVDSVEuTllTRTpXTVQuSVFfTk9OX0lOVF9FWFAuRlkyMDE1LjMvMjUvMjAyMi5MLi5VU0QuSAEAAADfxgQAAwAAAAAAW8FXiD8O2giej6caTw7aCDhDSVEuTllTRTpXTVQuSVFfVE9UQUxfREVQT1NJVFMuRlkyMDEzLjMvMjUvMjAyMi5MLi5VU0QuSAEAAADfxgQAAwAAAAAAW8FXiD8O2gjg76YaTw7aCDhDSVEuTllTRTpXTVQuSVFfVElFUl9PTkVfUkFUSU8uRlkyMDEzLjMvMjUvMjAyMi5MLi5VU0QuSAEAAADfxgQAAwAAAAAAW8FXiD8O2ghKFqcaTw7aCDFDSVEuTllTRTpXTVQuSVFfSU5DX1RBWC5GWTIwMTMuMy8yNS8yMDIyLkwuLlVTRC5IAQAAAN/GBAACAAAABDc5NTgBCAAAAAUAAAABMQEA</t>
  </si>
  <si>
    <t>AAAKMTcyNjQ4OTM4MQMAAAADMTYwAgAAAAI3NQQAAAABMAcAAAAJMy8yNS8yMDIyCAAAAAkxLzMxLzIwMTMJAAAAATBbwVeIPw7aCEoWpxpPDtoIOENJUS5OWVNFOldNVC5JUV9ESUxVVF9FUFNfSU5DTC5GWTIwMTYuMy8yNS8yMDIyLkwuLlVTRC5IAQAAAN/GBAACAAAABDQuNTcBCAAAAAUAAAABMQEAAAAKMTg4MDcxODc2MgMAAAADMTYwAgAAAAE4BAAAAAEwBwAAAAkzLzI1LzIwMjIIAAAACTEvMzEvMjAxNgkAAAABMFvBV4g/DtoIVbenGk8O2gg4Q0lRLk5ZU0U6V01ULklRX0NPTlNVTUVSX0xPQU5TLkZZMjAxNi4zLzI1LzIwMjIuTC4uVVNELkgBAAAA38YEAAMAAAAAAFvBV4g/DtoICNOnGk8O2gg1Q0lRLk5ZU0U6V01ULklRX0dST1NTX0xPQU5TLkZZMjAxNi4zLzI1LzIwMjIuTC4uVVNELkgBAAAA38YEAAMAAAAAAFvBV4g/DtoI7eOnGk8O2ggzQ0lRLk5ZU0U6V01ULklRX1NHQV9TVVBQTC5GWTIwMTYuMy8yNS8yMDIyLkwuLlVTRC5IAQAAAN/GBAACAAAABTk3MDQxAQgAAAAFAAAAATEBAAAACjE4ODA3MTg3NjIDAAAAAzE2MAIAAAADMTAyBAAAAAEwBwAAAAkzLzI1LzIwMjIIAAAACTEvMzEvMjAxNgkAAAABMFvBV4g/DtoI7eOnGk8O2gg4Q0lRLk5ZU0U6V01ULklRX0RJTFVUX0VQU19JTkNMLkZZMjAxNS4zLzI1LzIwMjIuTC4uVVNELkgBAAAA38YEAAIAAAAENS4wNQEIAAAABQAAAAExAQAA</t>
  </si>
  <si>
    <t>AAoxODM0MjY1NjY4AwAAAAMxNjACAAAAATgEAAAAATAHAAAACTMvMjUvMjAyMggAAAAJMS8zMS8yMDE1CQAAAAEwW8FXiD8O2gjHQKcaTw7aCDhDSVEuTllTRTpXTVQuSVFfQ09OU1VNRVJfTE9BTlMuRlkyMDE1LjMvMjUvMjAyMi5MLi5VU0QuSAEAAADfxgQAAwAAAAAAW8FXiD8O2gjBaKcaTw7aCDVDSVEuTllTRTpXTVQuSVFfR1JPU1NfTE9BTlMuRlkyMDE1LjMvMjUvMjAyMi5MLi5VU0QuSAEAAADfxgQAAwAAAAAAW8FXiD8O2gjBaKcaTw7aCDNDSVEuTllTRTpXTVQuSVFfU0dBX1NVUFBMLkZZMjAxNS4zLzI1LzIwMjIuTC4uVVNELkgBAAAA38YEAAIAAAAFOTM0MTgBCAAAAAUAAAABMQEAAAAKMTgzNDI2NTY2OAMAAAADMTYwAgAAAAMxMDIEAAAAATAHAAAACTMvMjUvMjAyMggAAAAJMS8zMS8yMDE1CQAAAAEwW8FXiD8O2giej6caTw7aCDhDSVEuTllTRTpXTVQuSVFfRElMVVRfRVBTX0VYQ0wuRlkyMDEzLjMvMjUvMjAyMi5MLi5VU0QuSAEAAADfxgQAAgAAAAg1LjAwNDY1NgEIAAAABQAAAAExAQAAAAoxNzI2NDg5MzgxAwAAAAMxNjACAAAAAzE0MgQAAAABMAcAAAAJMy8yNS8yMDIyCAAAAAkxLzMxLzIwMTMJAAAAATBbwVeIPw7aCODvphpPDtoIPENJUS5OWVNFOldNVC5JUV9DT05TVFJVQ1RJT05fTE9BTlMuRlkyMDEzLjMvMjUvMjAyMi5MLi5VU0QuSAEAAADfxgQAAwAAAAAAW8FXiD8O2gjg</t>
  </si>
  <si>
    <t>76YaTw7aCDNDSVEuTllTRTpXTVQuSVFfTkVUX0xPQU5TLkZZMjAxMy4zLzI1LzIwMjIuTC4uVVNELkgBAAAA38YEAAMAAAAAAFvBV4g/DtoIShanGk8O2gg1Q0lRLk5ZU0U6V01ULklRX05PTl9JTlRfRVhQLkZZMjAxMy4zLzI1LzIwMjIuTC4uVVNELkgBAAAA38YEAAMAAAAAAFvBV4g/DtoIShanGk8O2gg2Q0lRLk5ZU0U6V01ULklRX05VTV9CUkFOQ0hFUy5GWTIwMTYuMy8yNS8yMDIyLkwuLlVTRC5IAQAAAN/GBAADAAAAAABbwVeIPw7aCFW3pxpPDtoIQENJUS5OWVNFOldNVC5JUV9SRVNJREVOVElBTF9NT1JUX0xPQU5TLkZZMjAxNi4zLzI1LzIwMjIuTC4uVVNELkgBAAAA38YEAAMAAAAAAFvBV4g/DtoICNOnGk8O2gg5Q0lRLk5ZU0U6V01ULklRX05FVF9JTlRfSU5DX0JOSy5GWTIwMTYuMy8yNS8yMDIyLkwuLlVTRC5IAQAAAN/GBAADAAAAAABbwVeIPw7aCO3jpxpPDtoILENJUS5OWVNFOldNVC5JUV9MTC5GWTIwMTYuMy8yNS8yMDIyLkwuLlVTRC5IAQAAAN/GBAADAAAAAABbwVeIPw7aCO3jpxpPDtoILUNJUS5OWVNFOldNVC5JUV9FQlQuRlkyMDE3LjMvMjUvMjAyMi5MLi5VU0QuSAEAAADfxgQAAgAAAAUyMDQ5NwEIAAAABQAAAAExAQAAAAoxOTUxNTQwMzM1AwAAAAMxNjACAAAAAzEzOQQAAAABMAcAAAAJMy8yNS8yMDIyCAAAAAkxLzMxLzIwMTcJAAAAATBbwVeIPw7aCF81qBpPDtoINkNJ</t>
  </si>
  <si>
    <t>US5OWVNFOldNVC5JUV9UT1RBTF9FUVVJVFkuRlkyMDE3LjMvMjUvMjAyMi5MLi5VU0QuSAEAAADfxgQAAgAAAAU4MDUzNQEIAAAABQAAAAExAQAAAAoxOTUxNTQwMzM1AwAAAAMxNjACAAAABDEyNzUEAAAAATAHAAAACTMvMjUvMjAyMggAAAAJMS8zMS8yMDE3CQAAAAEwW8FXiD8O2gigDqgaTw7aCDZDSVEuTllTRTpXTVQuSVFfVE9UQUxfQVNTRVRTLkZZMjAxNy4zLzI1LzIwMjIuTC4uVVNELkgBAAAA38YEAAIAAAAGMTk4ODI1AQgAAAAFAAAAATEBAAAACjE5NTE1NDAzMzUDAAAAAzE2MAIAAAAEMTAwNwQAAAABMAcAAAAJMy8yNS8yMDIyCAAAAAkxLzMxLzIwMTcJAAAAATBbwVeIPw7aCKAOqBpPDtoINkNJUS5OWVNFOldNVC5JUV9UT1RBTF9FUVVJVFkuRlkyMDE2LjMvMjUvMjAyMi5MLi5VU0QuSAEAAADfxgQAAgAAAAU4MzYxMQEIAAAABQAAAAExAQAAAAoxODgwNzE4NzYyAwAAAAMxNjACAAAABDEyNzUEAAAAATAHAAAACTMvMjUvMjAyMggAAAAJMS8zMS8yMDE2CQAAAAEwW8FXiD8O2ggcx6caTw7aCCxDSVEuTllTRTpXTVQuSVFfTkkuRlkyMDE3LjMvMjUvMjAyMi5MLi5VU0QuSAEAAADfxgQAAgAAAAUxMzY0MwEIAAAABQAAAAExAQAAAAoxOTUxNTQwMzM1AwAAAAMxNjACAAAAAjE1BAAAAAEwBwAAAAkzLzI1LzIwMjIIAAAACTEvMzEvMjAxNwkAAAABMFvBV4g/DtoIXzWoGk8O2gg2Q0lRLk5Z</t>
  </si>
  <si>
    <t>U0U6V01ULklRX1RPVEFMX0VRVUlUWS5GWTIwMTMuMy8yNS8yMDIyLkwuLlVTRC5IAQAAAN/GBAACAAAABTgyMjU3AQgAAAAFAAAAATEBAAAACjE3MjY0ODkzODEDAAAAAzE2MAIAAAAEMTI3NQQAAAABMAcAAAAJMy8yNS8yMDIyCAAAAAkxLzMxLzIwMTMJAAAAATBbwVeIPw7aCMdApxpPDtoIMUNJUS5OWVNFOldNVC5JUV9JTkNfVEFYLkZZMjAxNy4zLzI1LzIwMjIuTC4uVVNELkgBAAAA38YEAAIAAAAENjIwNAEIAAAABQAAAAExAQAAAAoxOTUxNTQwMzM1AwAAAAMxNjACAAAAAjc1BAAAAAEwBwAAAAkzLzI1LzIwMjIIAAAACTEvMzEvMjAxNwkAAAABMFvBV4g/DtoIXzWoGk8O2gg/Q0lRLk5ZU0U6V01ULklRX05PTl9QRVJGT1JNSU5HX0FTU0VUUy5GWTIwMTcuMy8yNS8yMDIyLkwuLlVTRC5IAQAAAN/GBAADAAAAAABbwVeIPw7aCKAOqBpPDtoIOkNJUS5OWVNFOldNVC5JUV9DT01NRVJDSUFMX0xPQU5TLkZZMjAxNy4zLzI1LzIwMjIuTC4uVVNELkgBAAAA38YEAAMAAAAAAFvBV4g/DtoIoA6oGk8O2gg8Q0lRLk5ZU0U6V01ULklRX1JFVFVSTl9BU1NFVFNfQkFOSy5GWTIwMTcuMy8yNS8yMDIyLkwuLlVTRC5IAQAAAN/GBAACAAAABjcuMTQyMgEIAAAABQAAAAExAQAAAAoxOTUxNTQwMzM1AwAAAAMxNjACAAAABDQxNzgEAAAAATAHAAAACTMvMjUvMjAyMggAAAAJMS8zMS8yMDE3CQAAAAEwW8FXiD8O</t>
  </si>
  <si>
    <t>2ghfNagaTw7aCDVDSVEuTllTRTpXTVQuSVFfTk9OX0lOVF9JTkMuRlkyMDE3LjMvMjUvMjAyMi5MLi5VU0QuSAEAAADfxgQAAwAAAAAAW8FXiD8O2ghfXKgaTw7aCDhDSVEuTllTRTpXTVQuSVFfVE9UQUxfREVQT1NJVFMuRlkyMDE3LjMvMjUvMjAyMi5MLi5VU0QuSAEAAADfxgQAAwAAAAAAW8FXiD8O2gigDqgaTw7aCDZDSVEuTllTRTpXTVQuSVFfTlVNX0JSQU5DSEVTLkZZMjAxNy4zLzI1LzIwMjIuTC4uVVNELkgBAAAA38YEAAMAAAAAAFvBV4g/DtoIoA6oGk8O2ggyQ0lRLk5ZU0U6V01ULklRX0FMTE9XX0xMLkZZMjAxNy4zLzI1LzIwMjIuTC4uVVNELkgBAAAA38YEAAMAAAAAAFvBV4g/DtoIoA6oGk8O2gg+Q0lRLk5ZU0U6V01ULklRX05PTl9QRVJGT1JNSU5HX0xPQU5TLkZZMjAxNy4zLzI1LzIwMjIuTC4uVVNELkgBAAAA38YEAAMAAAAAAFvBV4g/DtoIoA6oGk8O2gg6Q0lRLk5ZU0U6V01ULklRX1RJRVJfT05FX0NBUElUQUwuRlkyMDE3LjMvMjUvMjAyMi5MLi5VU0QuSAEAAADfxgQAAwAAAAAAW8FXiD8O2ghfNagaTw7aCDpDSVEuTllTRTpXTVQuSVFfVElFUl9UV09fQ0FQSVRBTC5GWTIwMTcuMy8yNS8yMDIyLkwuLlVTRC5IAQAAAN/GBAADAAAAAABbwVeIPw7aCF81qBpPDtoILENJUS5OWVNFOldNVC5JUV9HVy5GWTIwMTcuMy8yNS8yMDIyLkwuLlVTRC5IAQAAAN/GBAACAAAABTE3MDM3</t>
  </si>
  <si>
    <t>AQgAAAAFAAAAATEBAAAACjE5NTE1NDAzMzUDAAAAAzE2MAIAAAAEMTE3MQQAAAABMAcAAAAJMy8yNS8yMDIyCAAAAAkxLzMxLzIwMTcJAAAAATBbwVeIPw7aCF81qBpPDtoIPkNJUS5OWVNFOldNVC5JUV9SSVNLX0FESl9CQU5LX0FTU0VUUy5GWTIwMTcuMy8yNS8yMDIyLkwuLlVTRC5IAQAAAN/GBAADAAAAAABbwVeIPw7aCF81qBpPDtoIN0NJUS5OWVNFOldNVC5JUV9JTlRfSU5DX1RPVEFMLkZZMjAxNy4zLzI1LzIwMjIuTC4uVVNELkgBAAAA38YEAAMAAAAAAFvBV4g/DtoIX1yoGk8O2ghAQ0lRLk5ZU0U6V01ULklRX1JFU0lERU5USUFMX01PUlRfTE9BTlMuRlkyMDE3LjMvMjUvMjAyMi5MLi5VU0QuSAEAAADfxgQAAwAAAAAAW8FXiD8O2gigDqgaTw7aCDxDSVEuTllTRTpXTVQuSVFfUkVUVVJOX0VRVUlUWV9CQU5LLkZZMjAxNy4zLzI1LzIwMjIuTC4uVVNELkgBAAAA38YEAAIAAAAHMTcuNDE0OQEIAAAABQAAAAExAQAAAAoxOTUxNTQwMzM1AwAAAAMxNjACAAAABDQxMjgEAAAAATAHAAAACTMvMjUvMjAyMggAAAAJMS8zMS8yMDE3CQAAAAEwW8FXiD8O2ghfNagaTw7aCD1DSVEuTllTRTpXTVQuSVFfVE9UQUxfQ0FQSVRBTF9SQVRJTy5GWTIwMTcuMy8yNS8yMDIyLkwuLlVTRC5IAQAAAN/GBAADAAAAAABbwVeIPw7aCF81qBpPDtoIN0NJUS5OWVNFOldNVC5JUV9UT1RBTF9SRVZfQk5LLkZZMjAx</t>
  </si>
  <si>
    <t>Ny4zLzI1LzIwMjIuTC4uVVNELkgBAAAA38YEAAMAAAAAAFvBV4g/DtoIX1yoGk8O2gg4Q0lRLk5ZU0U6V01ULklRX1RJRVJfT05FX1JBVElPLkZZMjAxNy4zLzI1LzIwMjIuTC4uVVNELkgBAAAA38YEAAMAAAAAAFvBV4g/DtoIXzWoGk8O2gg4Q0lRLk5ZU0U6V01ULklRX0RJTFVUX0VQU19FWENMLkZZMjAxNy4zLzI1LzIwMjIuTC4uVVNELkgBAAAA38YEAAIAAAAENC4zOAEIAAAABQAAAAExAQAAAAoxOTUxNTQwMzM1AwAAAAMxNjACAAAAAzE0MgQAAAABMAcAAAAJMy8yNS8yMDIyCAAAAAkxLzMxLzIwMTcJAAAAATBbwVeIPw7aCKAOqBpPDtoIPENJUS5OWVNFOldNVC5JUV9DT05TVFJVQ1RJT05fTE9BTlMuRlkyMDE3LjMvMjUvMjAyMi5MLi5VU0QuSAEAAADfxgQAAwAAAAAAW8FXiD8O2gigDqgaTw7aCDNDSVEuTllTRTpXTVQuSVFfTkVUX0xPQU5TLkZZMjAxNy4zLzI1LzIwMjIuTC4uVVNELkgBAAAA38YEAAMAAAAAAFvBV4g/DtoIXzWoGk8O2gg1Q0lRLk5ZU0U6V01ULklRX05PTl9JTlRfRVhQLkZZMjAxNy4zLzI1LzIwMjIuTC4uVVNELkgBAAAA38YEAAMAAAAAAFvBV4g/DtoIXzWoGk8O2gg5Q0lRLk5ZU0U6V01ULklRX05FVF9JTlRfSU5DX0JOSy5GWTIwMTcuMy8yNS8yMDIyLkwuLlVTRC5IAQAAAN/GBAADAAAAAABbwVeIPw7aCF81qBpPDtoIN0NJUS5OWVNFOldNVC5JUV9JTlRfRVhQX1RP</t>
  </si>
  <si>
    <t>VEFMLkZZMjAxNy4zLzI1LzIwMjIuTC4uVVNELkgBAAAA38YEAAMAAAAAAFvBV4g/DtoIXzWoGk8O2gg4Q0lRLk5ZU0U6V01ULklRX0RJTFVUX0VQU19JTkNMLkZZMjAxNy4zLzI1LzIwMjIuTC4uVVNELkgBAAAA38YEAAIAAAAENC4zOAEIAAAABQAAAAExAQAAAAoxOTUxNTQwMzM1AwAAAAMxNjACAAAAATgEAAAAATAHAAAACTMvMjUvMjAyMggAAAAJMS8zMS8yMDE3CQAAAAEwW8FXiD8O2gigDqgaTw7aCDhDSVEuTllTRTpXTVQuSVFfQ09OU1VNRVJfTE9BTlMuRlkyMDE3LjMvMjUvMjAyMi5MLi5VU0QuSAEAAADfxgQAAwAAAAAAW8FXiD8O2gigDqgaTw7aCDVDSVEuTllTRTpXTVQuSVFfR1JPU1NfTE9BTlMuRlkyMDE3LjMvMjUvMjAyMi5MLi5VU0QuSAEAAADfxgQAAwAAAAAAW8FXiD8O2ghfNagaTw7aCDNDSVEuTllTRTpXTVQuSVFfU0dBX1NVUFBMLkZZMjAxNy4zLzI1LzIwMjIuTC4uVVNELkgBAAAA38YEAAIAAAAGMTAxODUzAQgAAAAFAAAAATEBAAAACjE5NTE1NDAzMzUDAAAAAzE2MAIAAAADMTAyBAAAAAEwBwAAAAkzLzI1LzIwMjIIAAAACTEvMzEvMjAxNwkAAAABMFvBV4g/DtoIXzWoGk8O2ggsQ0lRLk5ZU0U6V01ULklRX0xMLkZZMjAxNy4zLzI1LzIwMjIuTC4uVVNELkgBAAAA38YEAAMAAAAAAFvBV4g/DtoIXzWoGk8O2gg/Q0lRLk5ZU0U6V01ULklRX0NPTU1FUkNJQUxfTU9SVF9MT0FO</t>
  </si>
  <si>
    <t>Uy5GWTIwMTcuMy8yNS8yMDIyLkwuLlVTRC5IAQAAAN/GBAADAAAAAABbwVeIPw7aCKAOqBpPDtoINkNJUS5OWVNFOldNVC5JUV9UT1RBTF9BU1NFVFMuRlkyMDE4LjMvMjUvMjAyMi5MLi5VU0QuSAEAAADfxgQAAgAAAAYyMDQ1MjIBCAAAAAUAAAABMQEAAAAKMjAyMzI0OTYxMQMAAAADMTYwAgAAAAQxMDA3BAAAAAEwBwAAAAkzLzI1LzIwMjIIAAAACTEvMzEvMjAxOAkAAAABMFvBV4g/DtoIX1yoGk8O2ggsQ0lRLk5ZU0U6V01ULklRX05JLkZZMjAxOC4zLzI1LzIwMjIuTC4uVVNELkgBAAAA38YEAAIAAAAEOTg2MgEIAAAABQAAAAExAQAAAAoyMDIzMjQ5NjExAwAAAAMxNjACAAAAAjE1BAAAAAEwBwAAAAkzLzI1LzIwMjIIAAAACTEvMzEvMjAxOAkAAAABMFvBV4g/DtoIlYOoGk8O2gg2Q0lRLk5ZU0U6V01ULklRX1RPVEFMX0VRVUlUWS5GWTIwMTguMy8yNS8yMDIyLkwuLlVTRC5IAQAAAN/GBAACAAAABTgwODIyAQgAAAAFAAAAATEBAAAACjIwMjMyNDk2MTEDAAAAAzE2MAIAAAAEMTI3NQQAAAABMAcAAAAJMy8yNS8yMDIyCAAAAAkxLzMxLzIwMTgJAAAAATBbwVeIPw7aCF9cqBpPDtoILUNJUS5OWVNFOldNVC5JUV9FQlQuRlkyMDE4LjMvMjUvMjAyMi5MLi5VU0QuSAEAAADfxgQAAgAAAAUxNTEyMwEIAAAABQAAAAExAQAAAAoyMDIzMjQ5NjExAwAAAAMxNjACAAAAAzEzOQQAAAABMAcAAAAJMy8y</t>
  </si>
  <si>
    <t>NS8yMDIyCAAAAAkxLzMxLzIwMTgJAAAAATBbwVeIPw7aCJWDqBpPDtoIMUNJUS5OWVNFOldNVC5JUV9JTkNfVEFYLkZZMjAxOC4zLzI1LzIwMjIuTC4uVVNELkgBAAAA38YEAAIAAAAENDYwMAEIAAAABQAAAAExAQAAAAoyMDIzMjQ5NjExAwAAAAMxNjACAAAAAjc1BAAAAAEwBwAAAAkzLzI1LzIwMjIIAAAACTEvMzEvMjAxOAkAAAABMFvBV4g/DtoIlYOoGk8O2gg+Q0lRLk5ZU0U6V01ULklRX05PTl9QRVJGT1JNSU5HX0xPQU5TLkZZMjAxOC4zLzI1LzIwMjIuTC4uVVNELkgBAAAA38YEAAMAAAAAAFvBV4g/DtoIX1yoGk8O2gg6Q0lRLk5ZU0U6V01ULklRX1RJRVJfT05FX0NBUElUQUwuRlkyMDE4LjMvMjUvMjAyMi5MLi5VU0QuSAEAAADfxgQAAwAAAAAAW8FXiD8O2giVg6gaTw7aCDpDSVEuTllTRTpXTVQuSVFfVElFUl9UV09fQ0FQSVRBTC5GWTIwMTguMy8yNS8yMDIyLkwuLlVTRC5IAQAAAN/GBAADAAAAAABbwVeIPw7aCJWDqBpPDtoILENJUS5OWVNFOldNVC5JUV9HVy5GWTIwMTguMy8yNS8yMDIyLkwuLlVTRC5IAQAAAN/GBAACAAAABTE4MjQyAQgAAAAFAAAAATEBAAAACjIwMjMyNDk2MTEDAAAAAzE2MAIAAAAEMTE3MQQAAAABMAcAAAAJMy8yNS8yMDIyCAAAAAkxLzMxLzIwMTgJAAAAATBbwVeIPw7aCJWDqBpPDtoIPkNJUS5OWVNFOldNVC5JUV9SSVNLX0FESl9CQU5LX0FTU0VUUy5GWTIw</t>
  </si>
  <si>
    <t>MTguMy8yNS8yMDIyLkwuLlVTRC5IAQAAAN/GBAADAAAAAABbwVeIPw7aCJWDqBpPDtoIN0NJUS5OWVNFOldNVC5JUV9JTlRfSU5DX1RPVEFMLkZZMjAxOC4zLzI1LzIwMjIuTC4uVVNELkgBAAAA38YEAAMAAAAAAFvBV4g/DtoIfaqoGk8O2gg3Q0lRLk5ZU0U6V01ULklRX1RPVEFMX1JFVl9CTksuRlkyMDE4LjMvMjUvMjAyMi5MLi5VU0QuSAEAAADfxgQAAwAAAAAAW8FXiD8O2gh9qqgaTw7aCDhDSVEuTllTRTpXTVQuSVFfVE9UQUxfREVQT1NJVFMuRlkyMDE4LjMvMjUvMjAyMi5MLi5VU0QuSAEAAADfxgQAAwAAAAAAW8FXiD8O2ghfXKgaTw7aCDhDSVEuTllTRTpXTVQuSVFfVElFUl9PTkVfUkFUSU8uRlkyMDE4LjMvMjUvMjAyMi5MLi5VU0QuSAEAAADfxgQAAwAAAAAAW8FXiD8O2giVg6gaTw7aCCxDSVEuTllTRTpXTVQuSVFfTEwuRlkyMDE4LjMvMjUvMjAyMi5MLi5VU0QuSAEAAADfxgQAAwAAAAAAW8FXiD8O2gh9qqgaTw7aCDVDSVEuTllTRTpXTVQuSVFfTk9OX0lOVF9JTkMuRlkyMDE4LjMvMjUvMjAyMi5MLi5VU0QuSAEAAADfxgQAAwAAAAAAW8FXiD8O2gh9qqgaTw7aCDhDSVEuTllTRTpXTVQuSVFfRElMVVRfRVBTX0VYQ0wuRlkyMDE4LjMvMjUvMjAyMi5MLi5VU0QuSAEAAADfxgQAAgAAAAQzLjI4AQgAAAAFAAAAATEBAAAACjIwMjMyNDk2MTEDAAAAAzE2MAIAAAADMTQyBAAAAAEwBwAA</t>
  </si>
  <si>
    <t>AAkzLzI1LzIwMjIIAAAACTEvMzEvMjAxOAkAAAABMFvBV4g/DtoIX1yoGk8O2gg8Q0lRLk5ZU0U6V01ULklRX0NPTlNUUlVDVElPTl9MT0FOUy5GWTIwMTguMy8yNS8yMDIyLkwuLlVTRC5IAQAAAN/GBAADAAAAAABbwVeIPw7aCF9cqBpPDtoIM0NJUS5OWVNFOldNVC5JUV9ORVRfTE9BTlMuRlkyMDE4LjMvMjUvMjAyMi5MLi5VU0QuSAEAAADfxgQAAwAAAAAAW8FXiD8O2giVg6gaTw7aCDVDSVEuTllTRTpXTVQuSVFfTk9OX0lOVF9FWFAuRlkyMDE4LjMvMjUvMjAyMi5MLi5VU0QuSAEAAADfxgQAAwAAAAAAW8FXiD8O2giVg6gaTw7aCDpDSVEuTllTRTpXTVQuSVFfQ09NTUVSQ0lBTF9MT0FOUy5GWTIwMTguMy8yNS8yMDIyLkwuLlVTRC5IAQAAAN/GBAADAAAAAABbwVeIPw7aCJWDqBpPDtoIOENJUS5OWVNFOldNVC5JUV9ESUxVVF9FUFNfSU5DTC5GWTIwMTguMy8yNS8yMDIyLkwuLlVTRC5IAQAAAN/GBAACAAAABDMuMjgBCAAAAAUAAAABMQEAAAAKMjAyMzI0OTYxMQMAAAADMTYwAgAAAAE4BAAAAAEwBwAAAAkzLzI1LzIwMjIIAAAACTEvMzEvMjAxOAkAAAABMFvBV4g/DtoIX1yoGk8O2gg4Q0lRLk5ZU0U6V01ULklRX0NPTlNVTUVSX0xPQU5TLkZZMjAxOC4zLzI1LzIwMjIuTC4uVVNELkgBAAAA38YEAAMAAAAAAFvBV4g/DtoIX1yoGk8O2gg1Q0lRLk5ZU0U6V01ULklRX0dST1NTX0xPQU5TLkZZ</t>
  </si>
  <si>
    <t>MjAxOC4zLzI1LzIwMjIuTC4uVVNELkgBAAAA38YEAAMAAAAAAFvBV4g/DtoIlYOoGk8O2ggzQ0lRLk5ZU0U6V01ULklRX1NHQV9TVVBQTC5GWTIwMTguMy8yNS8yMDIyLkwuLlVTRC5IAQAAAN/GBAACAAAABjEwNjAxMAEIAAAABQAAAAExAQAAAAoyMDIzMjQ5NjExAwAAAAMxNjACAAAAAzEwMgQAAAABMAcAAAAJMy8yNS8yMDIyCAAAAAkxLzMxLzIwMTgJAAAAATBbwVeIPw7aCH2qqBpPDtoIPENJUS5OWVNFOldNVC5JUV9SRVRVUk5fQVNTRVRTX0JBTksuRlkyMDE4LjMvMjUvMjAyMi5MLi5VU0QuSAEAAADfxgQAAgAAAAY2LjQ4ODUBCAAAAAUAAAABMQEAAAAKMjAyMzI0OTYxMQMAAAADMTYwAgAAAAQ0MTc4BAAAAAEwBwAAAAkzLzI1LzIwMjIIAAAACTEvMzEvMjAxOAkAAAABMFvBV4g/DtoIlYOoGk8O2gg2Q0lRLk5ZU0U6V01ULklRX05VTV9CUkFOQ0hFUy5GWTIwMTguMy8yNS8yMDIyLkwuLlVTRC5IAQAAAN/GBAADAAAAAABbwVeIPw7aCF9cqBpPDtoIQENJUS5OWVNFOldNVC5JUV9SRVNJREVOVElBTF9NT1JUX0xPQU5TLkZZMjAxOC4zLzI1LzIwMjIuTC4uVVNELkgBAAAA38YEAAMAAAAAAFvBV4g/DtoIlYOoGk8O2gg5Q0lRLk5ZU0U6V01ULklRX05FVF9JTlRfSU5DX0JOSy5GWTIwMTguMy8yNS8yMDIyLkwuLlVTRC5IAQAAAN/GBAADAAAAAABbwVeIPw7aCJWDqBpPDtoIMkNJUS5OWVNFOldN</t>
  </si>
  <si>
    <t>VC5JUV9BTExPV19MTC5GWTIwMTguMy8yNS8yMDIyLkwuLlVTRC5IAQAAAN/GBAADAAAAAABbwVeIPw7aCF9cqBpPDtoIP0NJUS5OWVNFOldNVC5JUV9DT01NRVJDSUFMX01PUlRfTE9BTlMuRlkyMDE4LjMvMjUvMjAyMi5MLi5VU0QuSAEAAADfxgQAAwAAAAAAW8FXiD8O2giVg6gaTw7aCDxDSVEuTllTRTpXTVQuSVFfUkVUVVJOX0VRVUlUWV9CQU5LLkZZMjAxOC4zLzI1LzIwMjIuTC4uVVNELkgBAAAA38YEAAIAAAAHMTMuMDQzMQEIAAAABQAAAAExAQAAAAoyMDIzMjQ5NjExAwAAAAMxNjACAAAABDQxMjgEAAAAATAHAAAACTMvMjUvMjAyMggAAAAJMS8zMS8yMDE4CQAAAAEwW8FXiD8O2giVg6gaTw7aCDdDSVEuTllTRTpXTVQuSVFfSU5UX0VYUF9UT1RBTC5GWTIwMTguMy8yNS8yMDIyLkwuLlVTRC5IAQAAAN/GBAADAAAAAABbwVeIPw7aCH2qqBpPDtoIP0NJUS5OWVNFOldNVC5JUV9OT05fUEVSRk9STUlOR19BU1NFVFMuRlkyMDE4LjMvMjUvMjAyMi5MLi5VU0QuSAEAAADfxgQAAwAAAAAAW8FXiD8O2ghfXKgaTw7aCD1DSVEuTllTRTpXTVQuSVFfVE9UQUxfQ0FQSVRBTF9SQVRJTy5GWTIwMTguMy8yNS8yMDIyLkwuLlVTRC5IAQAAAN/GBAADAAAAAABbwVeIPw7aCJWDqBpPDtoINkNJUS5OWVNFOldNVC5JUV9UT1RBTF9FUVVJVFkuRlkyMDE5LjMvMjUvMjAyMi5MLi5VU0QuSAEAAADfxgQAAgAA</t>
  </si>
  <si>
    <t>AAU3OTYzNAEIAAAABQAAAAExAQAAAAoyMDg1MTMyOTMwAwAAAAMxNjACAAAABDEyNzUEAAAAATAHAAAACTMvMjUvMjAyMggAAAAJMS8zMS8yMDE5CQAAAAEwXuhXiD8O2gh9qqgaTw7aCCxDSVEuTllTRTpXTVQuSVFfTkkuRlkyMDE5LjMvMjUvMjAyMi5MLi5VU0QuSAEAAADfxgQAAgAAAAQ2NjcwAQgAAAAFAAAAATEBAAAACjIwODUxMzI5MzADAAAAAzE2MAIAAAACMTUEAAAAATAHAAAACTMvMjUvMjAyMggAAAAJMS8zMS8yMDE5CQAAAAEwW8FXiD8O2gjb2agaTw7aCDZDSVEuTllTRTpXTVQuSVFfVE9UQUxfQVNTRVRTLkZZMjAxOS4zLzI1LzIwMjIuTC4uVVNELkgBAAAA38YEAAIAAAAGMjE5Mjk1AQgAAAAFAAAAATEBAAAACjIwODUxMzI5MzADAAAAAzE2MAIAAAAEMTAwNwQAAAABMAcAAAAJMy8yNS8yMDIyCAAAAAkxLzMxLzIwMTkJAAAAATBbwVeIPw7aCH2qqBpPDtoILUNJUS5OWVNFOldNVC5JUV9FQlQuRlkyMDE5LjMvMjUvMjAyMi5MLi5VU0QuSAEAAADfxgQAAgAAAAUxMTQ2MAEIAAAABQAAAAExAQAAAAoyMDg1MTMyOTMwAwAAAAMxNjACAAAAAzEzOQQAAAABMAcAAAAJMy8yNS8yMDIyCAAAAAkxLzMxLzIwMTkJAAAAATBbwVeIPw7aCNvZqBpPDtoIMUNJUS5OWVNFOldNVC5JUV9JTkNfVEFYLkZZMjAxOS4zLzI1LzIwMjIuTC4uVVNELkgBAAAA38YEAAIAAAAENDI4MQEIAAAABQAAAAExAQAA</t>
  </si>
  <si>
    <t>AAoyMDg1MTMyOTMwAwAAAAMxNjACAAAAAjc1BAAAAAEwBwAAAAkzLzI1LzIwMjIIAAAACTEvMzEvMjAxOQkAAAABMFvBV4g/DtoI29moGk8O2gg/Q0lRLk5ZU0U6V01ULklRX05PTl9QRVJGT1JNSU5HX0FTU0VUUy5GWTIwMTkuMy8yNS8yMDIyLkwuLlVTRC5IAQAAAN/GBAADAAAAAABbwVeIPw7aCH2qqBpPDtoIPENJUS5OWVNFOldNVC5JUV9SRVRVUk5fQVNTRVRTX0JBTksuRlkyMDE5LjMvMjUvMjAyMi5MLi5VU0QuSAEAAADfxgQAAgAAAAY2LjQ3NTkBCAAAAAUAAAABMQEAAAAKMjA4NTEzMjkzMAMAAAADMTYwAgAAAAQ0MTc4BAAAAAEwBwAAAAkzLzI1LzIwMjIIAAAACTEvMzEvMjAxOQkAAAABMFvBV4g/DtoI29moGk8O2ggzQ0lRLk5ZU0U6V01ULklRX1NHQV9TVVBQTC5GWTIwMTkuMy8yNS8yMDIyLkwuLlVTRC5IAQAAAN/GBAACAAAABjEwNzE0NwEIAAAABQAAAAExAQAAAAoyMDg1MTMyOTMwAwAAAAMxNjACAAAAAzEwMgQAAAABMAcAAAAJMy8yNS8yMDIyCAAAAAkxLzMxLzIwMTkJAAAAATBbwVeIPw7aCNvZqBpPDtoIPkNJUS5OWVNFOldNVC5JUV9OT05fUEVSRk9STUlOR19MT0FOUy5GWTIwMTkuMy8yNS8yMDIyLkwuLlVTRC5IAQAAAN/GBAADAAAAAABbwVeIPw7aCH2qqBpPDtoIOkNJUS5OWVNFOldNVC5JUV9USUVSX09ORV9DQVBJVEFMLkZZMjAxOS4zLzI1LzIwMjIuTC4uVVNELkgBAAAA</t>
  </si>
  <si>
    <t>38YEAAMAAAAAAFvBV4g/DtoI29moGk8O2gg6Q0lRLk5ZU0U6V01ULklRX1RJRVJfVFdPX0NBUElUQUwuRlkyMDE5LjMvMjUvMjAyMi5MLi5VU0QuSAEAAADfxgQAAwAAAAAAW8FXiD8O2gjb2agaTw7aCCxDSVEuTllTRTpXTVQuSVFfR1cuRlkyMDE5LjMvMjUvMjAyMi5MLi5VU0QuSAEAAADfxgQAAgAAAAUzMTE4MQEIAAAABQAAAAExAQAAAAoyMDg1MTMyOTMwAwAAAAMxNjACAAAABDExNzEEAAAAATAHAAAACTMvMjUvMjAyMggAAAAJMS8zMS8yMDE5CQAAAAEwW8FXiD8O2gjb2agaTw7aCD5DSVEuTllTRTpXTVQuSVFfUklTS19BREpfQkFOS19BU1NFVFMuRlkyMDE5LjMvMjUvMjAyMi5MLi5VU0QuSAEAAADfxgQAAwAAAAAAW8FXiD8O2gjb2agaTw7aCDdDSVEuTllTRTpXTVQuSVFfSU5UX0lOQ19UT1RBTC5GWTIwMTkuMy8yNS8yMDIyLkwuLlVTRC5IAQAAAN/GBAADAAAAAABbwVeIPw7aCMoBqRpPDtoIPUNJUS5OWVNFOldNVC5JUV9UT1RBTF9DQVBJVEFMX1JBVElPLkZZMjAxOS4zLzI1LzIwMjIuTC4uVVNELkgBAAAA38YEAAMAAAAAAFvBV4g/DtoI29moGk8O2gg3Q0lRLk5ZU0U6V01ULklRX1RPVEFMX1JFVl9CTksuRlkyMDE5LjMvMjUvMjAyMi5MLi5VU0QuSAEAAADfxgQAAwAAAAAAW8FXiD8O2gjKAakaTw7aCDhDSVEuTllTRTpXTVQuSVFfVElFUl9PTkVfUkFUSU8uRlkyMDE5LjMvMjUvMjAy</t>
  </si>
  <si>
    <t>Mi5MLi5VU0QuSAEAAADfxgQAAwAAAAAAW8FXiD8O2gjb2agaTw7aCDVDSVEuTllTRTpXTVQuSVFfR1JPU1NfTE9BTlMuRlkyMDE5LjMvMjUvMjAyMi5MLi5VU0QuSAEAAADfxgQAAwAAAAAAW8FXiD8O2gjb2agaTw7aCDhDSVEuTllTRTpXTVQuSVFfVE9UQUxfREVQT1NJVFMuRlkyMDE5LjMvMjUvMjAyMi5MLi5VU0QuSAEAAADfxgQAAwAAAAAAW8FXiD8O2gh9qqgaTw7aCDhDSVEuTllTRTpXTVQuSVFfRElMVVRfRVBTX0lOQ0wuRlkyMDE5LjMvMjUvMjAyMi5MLi5VU0QuSAEAAADfxgQAAgAAAAQyLjI2AQgAAAAFAAAAATEBAAAACjIwODUxMzI5MzADAAAAAzE2MAIAAAABOAQAAAABMAcAAAAJMy8yNS8yMDIyCAAAAAkxLzMxLzIwMTkJAAAAATBbwVeIPw7aCH2qqBpPDtoIOENJUS5OWVNFOldNVC5JUV9ESUxVVF9FUFNfRVhDTC5GWTIwMTkuMy8yNS8yMDIyLkwuLlVTRC5IAQAAAN/GBAACAAAABDIuMjYBCAAAAAUAAAABMQEAAAAKMjA4NTEzMjkzMAMAAAADMTYwAgAAAAMxNDIEAAAAATAHAAAACTMvMjUvMjAyMggAAAAJMS8zMS8yMDE5CQAAAAEwW8FXiD8O2gh9qqgaTw7aCDxDSVEuTllTRTpXTVQuSVFfQ09OU1RSVUNUSU9OX0xPQU5TLkZZMjAxOS4zLzI1LzIwMjIuTC4uVVNELkgBAAAA38YEAAMAAAAAAFvBV4g/DtoIzdGoGk8O2ggzQ0lRLk5ZU0U6V01ULklRX05FVF9MT0FOUy5GWTIwMTkuMy8y</t>
  </si>
  <si>
    <t>NS8yMDIyLkwuLlVTRC5IAQAAAN/GBAADAAAAAABbwVeIPw7aCNvZqBpPDtoINUNJUS5OWVNFOldNVC5JUV9OT05fSU5UX0VYUC5GWTIwMTkuMy8yNS8yMDIyLkwuLlVTRC5IAQAAAN/GBAADAAAAAABbwVeIPw7aCNvZqBpPDtoIOENJUS5OWVNFOldNVC5JUV9DT05TVU1FUl9MT0FOUy5GWTIwMTkuMy8yNS8yMDIyLkwuLlVTRC5IAQAAAN/GBAADAAAAAABbwVeIPw7aCBrUqBpPDtoINkNJUS5OWVNFOldNVC5JUV9OVU1fQlJBTkNIRVMuRlkyMDE5LjMvMjUvMjAyMi5MLi5VU0QuSAEAAADfxgQAAwAAAAAAW8FXiD8O2gh9qqgaTw7aCEBDSVEuTllTRTpXTVQuSVFfUkVTSURFTlRJQUxfTU9SVF9MT0FOUy5GWTIwMTkuMy8yNS8yMDIyLkwuLlVTRC5IAQAAAN/GBAADAAAAAABbwVeIPw7aCBrUqBpPDtoIOUNJUS5OWVNFOldNVC5JUV9ORVRfSU5UX0lOQ19CTksuRlkyMDE5LjMvMjUvMjAyMi5MLi5VU0QuSAEAAADfxgQAAwAAAAAAXuhXiD8O2gjb2agaTw7aCCxDSVEuTllTRTpXTVQuSVFfTEwuRlkyMDE5LjMvMjUvMjAyMi5MLi5VU0QuSAEAAADfxgQAAwAAAAAAXuhXiD8O2gjKAakaTw7aCDVDSVEuTllTRTpXTVQuSVFfTk9OX0lOVF9JTkMuRlkyMDE5LjMvMjUvMjAyMi5MLi5VU0QuSAEAAADfxgQAAwAAAAAAXuhXiD8O2gjKAakaTw7aCDJDSVEuTllTRTpXTVQuSVFfQUxMT1dfTEwuRlkyMDE5LjMvMjUv</t>
  </si>
  <si>
    <t>MjAyMi5MLi5VU0QuSAEAAADfxgQAAwAAAAAAXuhXiD8O2gh9qqgaTw7aCD9DSVEuTllTRTpXTVQuSVFfQ09NTUVSQ0lBTF9NT1JUX0xPQU5TLkZZMjAxOS4zLzI1LzIwMjIuTC4uVVNELkgBAAAA38YEAAMAAAAAAF7oV4g/DtoI29moGk8O2gg8Q0lRLk5ZU0U6V01ULklRX1JFVFVSTl9FUVVJVFlfQkFOSy5GWTIwMTkuMy8yNS8yMDIyLkwuLlVTRC5IAQAAAN/GBAACAAAABjguOTQ4MgEIAAAABQAAAAExAQAAAAoyMDg1MTMyOTMwAwAAAAMxNjACAAAABDQxMjgEAAAAATAHAAAACTMvMjUvMjAyMggAAAAJMS8zMS8yMDE5CQAAAAEwXuhXiD8O2gjb2agaTw7aCDdDSVEuTllTRTpXTVQuSVFfSU5UX0VYUF9UT1RBTC5GWTIwMTkuMy8yNS8yMDIyLkwuLlVTRC5IAQAAAN/GBAADAAAAAABe6FeIPw7aCMoBqRpPDtoIOkNJUS5OWVNFOldNVC5JUV9DT01NRVJDSUFMX0xPQU5TLkZZMjAxOS4zLzI1LzIwMjIuTC4uVVNELkgBAAAA38YEAAMAAAAAAF7oV4g/DtoI29moGk8O2gg2Q0lRLk5ZU0U6V01ULklRX1RPVEFMX0FTU0VUUy5GWTIwMjAuMy8yNS8yMDIyLkwuLlVTRC5IAQAAAN/GBAACAAAABjIzNjQ5NQEIAAAABQAAAAExAQAAAAstMjEwNzY4NjI5MQMAAAADMTYwAgAAAAQxMDA3BAAAAAEwBwAAAAkzLzI1LzIwMjIIAAAACTEvMzEvMjAyMAkAAAABMF7oV4g/DtoIygGpGk8O2ggtQ0lRLk5ZU0U6V01ULklR</t>
  </si>
  <si>
    <t>X0VCVC5GWTIwMjAuMy8yNS8yMDIyLkwuLlVTRC5IAQAAAN/GBAACAAAABTIwMTE2AQgAAAAFAAAAATEBAAAACy0yMTA3Njg2MjkxAwAAAAMxNjACAAAAAzEzOQQAAAABMAcAAAAJMy8yNS8yMDIyCAAAAAkxLzMxLzIwMjAJAAAAATBe6FeIPw7aCNMoqRpPDtoILENJUS5OWVNFOldNVC5JUV9OSS5GWTIwMjAuMy8yNS8yMDIyLkwuLlVTRC5IAQAAAN/GBAACAAAABTE0ODgxAQgAAAAFAAAAATEBAAAACy0yMTA3Njg2MjkxAwAAAAMxNjACAAAAAjE1BAAAAAEwBwAAAAkzLzI1LzIwMjIIAAAACTEvMzEvMjAyMAkAAAABMF7oV4g/DtoI0yipGk8O2ggxQ0lRLk5ZU0U6V01ULklRX0lOQ19UQVguRlkyMDIwLjMvMjUvMjAyMi5MLi5VU0QuSAEAAADfxgQAAgAAAAQ0OTE1AQgAAAAFAAAAATEBAAAACy0yMTA3Njg2MjkxAwAAAAMxNjACAAAAAjc1BAAAAAEwBwAAAAkzLzI1LzIwMjIIAAAACTEvMzEvMjAyMAkAAAABMF7oV4g/DtoI0yipGk8O2gg2Q0lRLk5ZU0U6V01ULklRX1RPVEFMX0VRVUlUWS5GWTIwMjAuMy8yNS8yMDIyLkwuLlVTRC5IAQAAAN/GBAACAAAABTgxNTUyAQgAAAAFAAAAATEBAAAACy0yMTA3Njg2MjkxAwAAAAMxNjACAAAABDEyNzUEAAAAATAHAAAACTMvMjUvMjAyMggAAAAJMS8zMS8yMDIwCQAAAAEwXuhXiD8O2gjKAakaTw7aCDJDSVEuTllTRTpXTVQuSVFfQUxMT1dfTEwuRlkyMDIwLjMv</t>
  </si>
  <si>
    <t>MjUvMjAyMi5MLi5VU0QuSAEAAADfxgQAAwAAAAAAXuhXiD8O2gjKAakaTw7aCD9DSVEuTllTRTpXTVQuSVFfQ09NTUVSQ0lBTF9NT1JUX0xPQU5TLkZZMjAyMC4zLzI1LzIwMjIuTC4uVVNELkgBAAAA38YEAAMAAAAAAF7oV4g/DtoI0yipGk8O2gg8Q0lRLk5ZU0U6V01ULklRX1JFVFVSTl9FUVVJVFlfQkFOSy5GWTIwMjAuMy8yNS8yMDIyLkwuLlVTRC5IAQAAAN/GBAACAAAABzE4Ljg2MTQBCAAAAAUAAAABMQEAAAALLTIxMDc2ODYyOTEDAAAAAzE2MAIAAAAENDEyOAQAAAABMAcAAAAJMy8yNS8yMDIyCAAAAAkxLzMxLzIwMjAJAAAAATBe6FeIPw7aCNMoqRpPDtoIN0NJUS5OWVNFOldNVC5JUV9JTlRfRVhQX1RPVEFMLkZZMjAyMC4zLzI1LzIwMjIuTC4uVVNELkgBAAAA38YEAAMAAAAAAF7oV4g/DtoIx0+pGk8O2gg+Q0lRLk5ZU0U6V01ULklRX05PTl9QRVJGT1JNSU5HX0xPQU5TLkZZMjAyMC4zLzI1LzIwMjIuTC4uVVNELkgBAAAA38YEAAMAAAAAAF7oV4g/DtoIygGpGk8O2gg3Q0lRLk5ZU0U6V01ULklRX0lOVF9JTkNfVE9UQUwuRlkyMDIwLjMvMjUvMjAyMi5MLi5VU0QuSAEAAADfxgQAAwAAAAAAXuhXiD8O2gjHT6kaTw7aCDNDSVEuTllTRTpXTVQuSVFfTkVUX0xPQU5TLkZZMjAyMC4zLzI1LzIwMjIuTC4uVVNELkgBAAAA38YEAAMAAAAAAF7oV4g/DtoI0yipGk8O2ggzQ0lRLk5ZU0U6V01U</t>
  </si>
  <si>
    <t>LklRX1NHQV9TVVBQTC5GWTIwMjAuMy8yNS8yMDIyLkwuLlVTRC5IAQAAAN/GBAACAAAABjEwNzg5MQEIAAAABQAAAAExAQAAAAstMjEwNzY4NjI5MQMAAAADMTYwAgAAAAMxMDIEAAAAATAHAAAACTMvMjUvMjAyMggAAAAJMS8zMS8yMDIwCQAAAAEwXuhXiD8O2gjHT6kaTw7aCD9DSVEuTllTRTpXTVQuSVFfTk9OX1BFUkZPUk1JTkdfQVNTRVRTLkZZMjAyMC4zLzI1LzIwMjIuTC4uVVNELkgBAAAA38YEAAMAAAAAAF7oV4g/DtoIygGpGk8O2gg6Q0lRLk5ZU0U6V01ULklRX0NPTU1FUkNJQUxfTE9BTlMuRlkyMDIwLjMvMjUvMjAyMi5MLi5VU0QuSAEAAADfxgQAAwAAAAAAXuhXiD8O2gjTKKkaTw7aCDxDSVEuTllTRTpXTVQuSVFfUkVUVVJOX0FTU0VUU19CQU5LLkZZMjAyMC4zLzI1LzIwMjIuTC4uVVNELkgBAAAA38YEAAIAAAAGNS44ODc1AQgAAAAFAAAAATEBAAAACy0yMTA3Njg2MjkxAwAAAAMxNjACAAAABDQxNzgEAAAAATAHAAAACTMvMjUvMjAyMggAAAAJMS8zMS8yMDIwCQAAAAEwXuhXiD8O2gjTKKkaTw7aCDVDSVEuTllTRTpXTVQuSVFfTk9OX0lOVF9JTkMuRlkyMDIwLjMvMjUvMjAyMi5MLi5VU0QuSAEAAADfxgQAAwAAAAAAXuhXiD8O2gjHT6kaTw7aCDpDSVEuTllTRTpXTVQuSVFfVElFUl9PTkVfQ0FQSVRBTC5GWTIwMjAuMy8yNS8yMDIyLkwuLlVTRC5IAQAAAN/GBAADAAAAAABe6FeI</t>
  </si>
  <si>
    <t>Pw7aCNMoqRpPDtoIOkNJUS5OWVNFOldNVC5JUV9USUVSX1RXT19DQVBJVEFMLkZZMjAyMC4zLzI1LzIwMjIuTC4uVVNELkgBAAAA38YEAAMAAAAAAF7oV4g/DtoI0yipGk8O2ggsQ0lRLk5ZU0U6V01ULklRX0dXLkZZMjAyMC4zLzI1LzIwMjIuTC4uVVNELkgBAAAA38YEAAIAAAAFMzEwNzMBCAAAAAUAAAABMQEAAAALLTIxMDc2ODYyOTEDAAAAAzE2MAIAAAAEMTE3MQQAAAABMAcAAAAJMy8yNS8yMDIyCAAAAAkxLzMxLzIwMjAJAAAAATBe6FeIPw7aCNMoqRpPDtoIPkNJUS5OWVNFOldNVC5JUV9SSVNLX0FESl9CQU5LX0FTU0VUUy5GWTIwMjAuMy8yNS8yMDIyLkwuLlVTRC5IAQAAAN/GBAADAAAAAABe6FeIPw7aCNMoqRpPDtoINUNJUS5OWVNFOldNVC5JUV9OT05fSU5UX0VYUC5GWTIwMjAuMy8yNS8yMDIyLkwuLlVTRC5IAQAAAN/GBAADAAAAAABe6FeIPw7aCMdPqRpPDtoIPUNJUS5OWVNFOldNVC5JUV9UT1RBTF9DQVBJVEFMX1JBVElPLkZZMjAyMC4zLzI1LzIwMjIuTC4uVVNELkgBAAAA38YEAAMAAAAAAF7oV4g/DtoI0yipGk8O2gg3Q0lRLk5ZU0U6V01ULklRX1RPVEFMX1JFVl9CTksuRlkyMDIwLjMvMjUvMjAyMi5MLi5VU0QuSAEAAADfxgQAAwAAAAAAXuhXiD8O2gjHT6kaTw7aCDxDSVEuTllTRTpXTVQuSVFfQ09OU1RSVUNUSU9OX0xPQU5TLkZZMjAyMC4zLzI1LzIwMjIuTC4uVVNELkgB</t>
  </si>
  <si>
    <t>AAAA38YEAAMAAAAAAF7oV4g/DtoIygGpGk8O2gg4Q0lRLk5ZU0U6V01ULklRX0RJTFVUX0VQU19JTkNMLkZZMjAyMC4zLzI1LzIwMjIuTC4uVVNELkgBAAAA38YEAAIAAAAENS4xOQEIAAAABQAAAAExAQAAAAstMjEwNzY4NjI5MQMAAAADMTYwAgAAAAE4BAAAAAEwBwAAAAkzLzI1LzIwMjIIAAAACTEvMzEvMjAyMAkAAAABMF7oV4g/DtoIygGpGk8O2gg4Q0lRLk5ZU0U6V01ULklRX1RPVEFMX0RFUE9TSVRTLkZZMjAyMC4zLzI1LzIwMjIuTC4uVVNELkgBAAAA38YEAAMAAAAAAF7oV4g/DtoIygGpGk8O2gg4Q0lRLk5ZU0U6V01ULklRX1RJRVJfT05FX1JBVElPLkZZMjAyMC4zLzI1LzIwMjIuTC4uVVNELkgBAAAA38YEAAMAAAAAAF7oV4g/DtoI0yipGk8O2gg4Q0lRLk5ZU0U6V01ULklRX0RJTFVUX0VQU19FWENMLkZZMjAyMC4zLzI1LzIwMjIuTC4uVVNELkgBAAAA38YEAAIAAAAENS4xOQEIAAAABQAAAAExAQAAAAstMjEwNzY4NjI5MQMAAAADMTYwAgAAAAMxNDIEAAAAATAHAAAACTMvMjUvMjAyMggAAAAJMS8zMS8yMDIwCQAAAAEwXuhXiD8O2gjKAakaTw7aCDhDSVEuTllTRTpXTVQuSVFfQ09OU1VNRVJfTE9BTlMuRlkyMDIwLjMvMjUvMjAyMi5MLi5VU0QuSAEAAADfxgQAAwAAAAAAXuhXiD8O2gjTKKkaTw7aCDZDSVEuTllTRTpXTVQuSVFfTlVNX0JSQU5DSEVTLkZZMjAyMC4zLzI1LzIwMjIu</t>
  </si>
  <si>
    <t>TC4uVVNELkgBAAAA38YEAAMAAAAAAF7oV4g/DtoIygGpGk8O2ghAQ0lRLk5ZU0U6V01ULklRX1JFU0lERU5USUFMX01PUlRfTE9BTlMuRlkyMDIwLjMvMjUvMjAyMi5MLi5VU0QuSAEAAADfxgQAAwAAAAAAXuhXiD8O2gjTKKkaTw7aCDlDSVEuTllTRTpXTVQuSVFfTkVUX0lOVF9JTkNfQk5LLkZZMjAyMC4zLzI1LzIwMjIuTC4uVVNELkgBAAAA38YEAAMAAAAAAF7oV4g/DtoI0yipGk8O2ggsQ0lRLk5ZU0U6V01ULklRX0xMLkZZMjAyMC4zLzI1LzIwMjIuTC4uVVNELkgBAAAA38YEAAMAAAAAAF7oV4g/DtoIx0+pGk8O2gg1Q0lRLk5ZU0U6V01ULklRX0dST1NTX0xPQU5TLkZZMjAyMC4zLzI1LzIwMjIuTC4uVVNELkgBAAAA38YEAAMAAAAAAF7oV4g/DtoI0yipGk8O2ggsQ0lRLk5ZU0U6V01ULklRX05JLkZZMjAyMS4zLzI1LzIwMjIuTC4uVVNELkgBAAAA38YEAAIAAAAFMTM1MTABCAAAAAUAAAABMQEAAAALLTIxMDc2ODYyODEDAAAAAzE2MAIAAAACMTUEAAAAATAHAAAACTMvMjUvMjAyMggAAAAJMS8zMS8yMDIxCQAAAAEwXuhXiD8O2gjqnakaTw7aCDFDSVEuTllTRTpXTVQuSVFfSU5DX1RBWC5GWTIwMjEuMy8yNS8yMDIyLkwuLlVTRC5IAQAAAN/GBAACAAAABDY4NTgBCAAAAAUAAAABMQEAAAALLTIxMDc2ODYyODEDAAAAAzE2MAIAAAACNzUEAAAAATAHAAAACTMvMjUvMjAyMggAAAAJMS8zMS8y</t>
  </si>
  <si>
    <t>MDIxCQAAAAEwXuhXiD8O2gjqnakaTw7aCDZDSVEuTllTRTpXTVQuSVFfVE9UQUxfQVNTRVRTLkZZMjAyMS4zLzI1LzIwMjIuTC4uVVNELkgBAAAA38YEAAIAAAAGMjUyNDk2AQgAAAAFAAAAATEBAAAACy0yMTA3Njg2MjgxAwAAAAMxNjACAAAABDEwMDcEAAAAATAHAAAACTMvMjUvMjAyMggAAAAJMS8zMS8yMDIxCQAAAAEwXuhXiD8O2gjqdqkaTw7aCC1DSVEuTllTRTpXTVQuSVFfRUJULkZZMjAyMS4zLzI1LzIwMjIuTC4uVVNELkgBAAAA38YEAAIAAAAFMjA1NjQBCAAAAAUAAAABMQEAAAALLTIxMDc2ODYyODEDAAAAAzE2MAIAAAADMTM5BAAAAAEwBwAAAAkzLzI1LzIwMjIIAAAACTEvMzEvMjAyMQkAAAABMF7oV4g/DtoI6p2pGk8O2gg2Q0lRLk5ZU0U6V01ULklRX1RPVEFMX0VRVUlUWS5GWTIwMjEuMy8yNS8yMDIyLkwuLlVTRC5IAQAAAN/GBAACAAAABTg3NTMxAQgAAAAFAAAAATEBAAAACy0yMTA3Njg2MjgxAwAAAAMxNjACAAAABDEyNzUEAAAAATAHAAAACTMvMjUvMjAyMggAAAAJMS8zMS8yMDIxCQAAAAEwXuhXiD8O2gjHT6kaTw7aCDJDSVEuTllTRTpXTVQuSVFfQUxMT1dfTEwuRlkyMDIxLjMvMjUvMjAyMi5MLi5VU0QuSAEAAADfxgQAAwAAAAAAXuhXiD8O2gjHT6kaTw7aCD9DSVEuTllTRTpXTVQuSVFfQ09NTUVSQ0lBTF9NT1JUX0xPQU5TLkZZMjAyMS4zLzI1LzIwMjIuTC4uVVNELkgB</t>
  </si>
  <si>
    <t>AAAA38YEAAMAAAAAAF7oV4g/DtoI6napGk8O2gg8Q0lRLk5ZU0U6V01ULklRX1JFVFVSTl9FUVVJVFlfQkFOSy5GWTIwMjEuMy8yNS8yMDIyLkwuLlVTRC5IAQAAAN/GBAACAAAABzE2LjIxMjEBCAAAAAUAAAABMQEAAAALLTIxMDc2ODYyODEDAAAAAzE2MAIAAAAENDEyOAQAAAABMAcAAAAJMy8yNS8yMDIyCAAAAAkxLzMxLzIwMjEJAAAAATBe6FeIPw7aCOp2qRpPDtoIN0NJUS5OWVNFOldNVC5JUV9JTlRfRVhQX1RPVEFMLkZZMjAyMS4zLzI1LzIwMjIuTC4uVVNELkgBAAAA38YEAAMAAAAAAF7oV4g/DtoI6p2pGk8O2gg/Q0lRLk5ZU0U6V01ULklRX05PTl9QRVJGT1JNSU5HX0FTU0VUUy5GWTIwMjEuMy8yNS8yMDIyLkwuLlVTRC5IAQAAAN/GBAADAAAAAABe6FeIPw7aCMdPqRpPDtoIOkNJUS5OWVNFOldNVC5JUV9DT01NRVJDSUFMX0xPQU5TLkZZMjAyMS4zLzI1LzIwMjIuTC4uVVNELkgBAAAA38YEAAMAAAAAAF7oV4g/DtoI6napGk8O2gg8Q0lRLk5ZU0U6V01ULklRX1JFVFVSTl9BU1NFVFNfQkFOSy5GWTIwMjEuMy8yNS8yMDIyLkwuLlVTRC5IAQAAAN/GBAACAAAABjYuODg4NgEIAAAABQAAAAExAQAAAAstMjEwNzY4NjI4MQMAAAADMTYwAgAAAAQ0MTc4BAAAAAEwBwAAAAkzLzI1LzIwMjIIAAAACTEvMzEvMjAyMQkAAAABMF7oV4g/DtoI6napGk8O2gg1Q0lRLk5ZU0U6V01ULklRX05PTl9J</t>
  </si>
  <si>
    <t>TlRfSU5DLkZZMjAyMS4zLzI1LzIwMjIuTC4uVVNELkgBAAAA38YEAAMAAAAAAF7oV4g/DtoI6p2pGk8O2ghAQ0lRLk5ZU0U6V01ULklRX1JFU0lERU5USUFMX01PUlRfTE9BTlMuRlkyMDIxLjMvMjUvMjAyMi5MLi5VU0QuSAEAAADfxgQAAwAAAAAAXuhXiD8O2gjqdqkaTw7aCD5DSVEuTllTRTpXTVQuSVFfTk9OX1BFUkZPUk1JTkdfTE9BTlMuRlkyMDIxLjMvMjUvMjAyMi5MLi5VU0QuSAEAAADfxgQAAwAAAAAAXuhXiD8O2gjHT6kaTw7aCDpDSVEuTllTRTpXTVQuSVFfVElFUl9PTkVfQ0FQSVRBTC5GWTIwMjEuMy8yNS8yMDIyLkwuLlVTRC5IAQAAAN/GBAADAAAAAABe6FeIPw7aCOp2qRpPDtoIOkNJUS5OWVNFOldNVC5JUV9USUVSX1RXT19DQVBJVEFMLkZZMjAyMS4zLzI1LzIwMjIuTC4uVVNELkgBAAAA38YEAAMAAAAAAF7oV4g/DtoI6napGk8O2ggsQ0lRLk5ZU0U6V01ULklRX0dXLkZZMjAyMS4zLzI1LzIwMjIuTC4uVVNELkgBAAAA38YEAAIAAAAFMjg5ODMBCAAAAAUAAAABMQEAAAALLTIxMDc2ODYyODEDAAAAAzE2MAIAAAAEMTE3MQQAAAABMAcAAAAJMy8yNS8yMDIyCAAAAAkxLzMxLzIwMjEJAAAAATBe6FeIPw7aCOp2qRpPDtoIPkNJUS5OWVNFOldNVC5JUV9SSVNLX0FESl9CQU5LX0FTU0VUUy5GWTIwMjEuMy8yNS8yMDIyLkwuLlVTRC5IAQAAAN/GBAADAAAAAABe6FeIPw7aCOp2qRpP</t>
  </si>
  <si>
    <t>DtoIN0NJUS5OWVNFOldNVC5JUV9JTlRfSU5DX1RPVEFMLkZZMjAyMS4zLzI1LzIwMjIuTC4uVVNELkgBAAAA38YEAAMAAAAAAF7oV4g/DtoI6p2pGk8O2gg9Q0lRLk5ZU0U6V01ULklRX1RPVEFMX0NBUElUQUxfUkFUSU8uRlkyMDIxLjMvMjUvMjAyMi5MLi5VU0QuSAEAAADfxgQAAwAAAAAAXuhXiD8O2gjqdqkaTw7aCDhDSVEuTllTRTpXTVQuSVFfVElFUl9PTkVfUkFUSU8uRlkyMDIxLjMvMjUvMjAyMi5MLi5VU0QuSAEAAADfxgQAAwAAAAAAXuhXiD8O2gjqdqkaTw7aCDhDSVEuTllTRTpXTVQuSVFfRElMVVRfRVBTX0VYQ0wuRlkyMDIxLjMvMjUvMjAyMi5MLi5VU0QuSAEAAADfxgQAAgAAAAQ0Ljc1AQgAAAAFAAAAATEBAAAACy0yMTA3Njg2MjgxAwAAAAMxNjACAAAAAzE0MgQAAAABMAcAAAAJMy8yNS8yMDIyCAAAAAkxLzMxLzIwMjEJAAAAATBe6FeIPw7aCMdPqRpPDtoIM0NJUS5OWVNFOldNVC5JUV9ORVRfTE9BTlMuRlkyMDIxLjMvMjUvMjAyMi5MLi5VU0QuSAEAAADfxgQAAwAAAAAAXuhXiD8O2gjqdqkaTw7aCDZDSVEuTllTRTpXTVQuSVFfTlVNX0JSQU5DSEVTLkZZMjAyMS4zLzI1LzIwMjIuTC4uVVNELkgBAAAA38YEAAMAAAAAAF7oV4g/DtoIx0+pGk8O2gg3Q0lRLk5ZU0U6V01ULklRX1RPVEFMX1JFVl9CTksuRlkyMDIxLjMvMjUvMjAyMi5MLi5VU0QuSAEAAADfxgQAAwAAAAAAXuhX</t>
  </si>
  <si>
    <t>iD8O2gjqnakaTw7aCDVDSVEuTllTRTpXTVQuSVFfTk9OX0lOVF9FWFAuRlkyMDIxLjMvMjUvMjAyMi5MLi5VU0QuSAEAAADfxgQAAwAAAAAAXuhXiD8O2gjqnakaTw7aCDlDSVEuTllTRTpXTVQuSVFfTkVUX0lOVF9JTkNfQk5LLkZZMjAyMS4zLzI1LzIwMjIuTC4uVVNELkgBAAAA38YEAAMAAAAAAF7oV4g/DtoI6napGk8O2gg4Q0lRLk5ZU0U6V01ULklRX1RPVEFMX0RFUE9TSVRTLkZZMjAyMS4zLzI1LzIwMjIuTC4uVVNELkgBAAAA38YEAAMAAAAAAF7oV4g/DtoI6napGk8O2gg8Q0lRLk5ZU0U6V01ULklRX0NPTlNUUlVDVElPTl9MT0FOUy5GWTIwMjEuMy8yNS8yMDIyLkwuLlVTRC5IAQAAAN/GBAADAAAAAABe6FeIPw7aCOp2qRpPDtoILENJUS5OWVNFOldNVC5JUV9MTC5GWTIwMjEuMy8yNS8yMDIyLkwuLlVTRC5IAQAAAN/GBAADAAAAAABe6FeIPw7aCOqdqRpPDtoIOENJUS5OWVNFOldNVC5JUV9ESUxVVF9FUFNfSU5DTC5GWTIwMjEuMy8yNS8yMDIyLkwuLlVTRC5IAQAAAN/GBAACAAAABDQuNzUBCAAAAAUAAAABMQEAAAALLTIxMDc2ODYyODEDAAAAAzE2MAIAAAABOAQAAAABMAcAAAAJMy8yNS8yMDIyCAAAAAkxLzMxLzIwMjEJAAAAATBe6FeIPw7aCMdPqRpPDtoIOENJUS5OWVNFOldNVC5JUV9DT05TVU1FUl9MT0FOUy5GWTIwMjEuMy8yNS8yMDIyLkwuLlVTRC5IAQAAAN/GBAADAAAAAABe</t>
  </si>
  <si>
    <t>6FeIPw7aCOp2qRpPDtoINUNJUS5OWVNFOldNVC5JUV9HUk9TU19MT0FOUy5GWTIwMjEuMy8yNS8yMDIyLkwuLlVTRC5IAQAAAN/GBAADAAAAAABe6FeIPw7aCOp2qRpPDtoIM0NJUS5OWVNFOldNVC5JUV9TR0FfU1VQUEwuRlkyMDIxLjMvMjUvMjAyMi5MLi5VU0QuSAEAAADfxgQAAgAAAAYxMTE4ODgBCAAAAAUAAAABMQEAAAALLTIxMDc2ODYyODEDAAAAAzE2MAIAAAADMTAyBAAAAAEwBwAAAAkzLzI1LzIwMjIIAAAACTEvMzEvMjAyMQkAAAABMF7oV4g/DtoI6p2pGk8O2ggtQ0lRLk5ZU0U6V01ULklRX0VCVC5GWTIwMjIuMy8yNS8yMDIyLkwuLlVTRC5IAQAAAN/GBAACAAAABTE4Njk2AQgAAAAFAAAAATEBAAAACy0yMTA3Njg2MjgyAwAAAAMxNjACAAAAAzEzOQQAAAABMAcAAAAJMy8yNS8yMDIyCAAAAAkxLzMxLzIwMjIJAAAAATBe6FeIPw7aCArsqRpPDtoILENJUS5OWVNFOldNVC5JUV9OSS5GWTIwMjIuMy8yNS8yMDIyLkwuLlVTRC5IAQAAAN/GBAACAAAABTEzNjczAQgAAAAFAAAAATEBAAAACy0yMTA3Njg2MjgyAwAAAAMxNjACAAAAAjE1BAAAAAEwBwAAAAkzLzI1LzIwMjIIAAAACTEvMzEvMjAyMgkAAAABMF7oV4g/DtoICuypGk8O2ggxQ0lRLk5ZU0U6V01ULklRX0lOQ19UQVguRlkyMDIyLjMvMjUvMjAyMi5MLi5VU0QuSAEAAADfxgQAAgAAAAQ0NzU2AQgAAAAFAAAAATEBAAAACy0yMTA3</t>
  </si>
  <si>
    <t>Njg2MjgyAwAAAAMxNjACAAAAAjc1BAAAAAEwBwAAAAkzLzI1LzIwMjIIAAAACTEvMzEvMjAyMgkAAAABMF7oV4g/DtoICuypGk8O2gg2Q0lRLk5ZU0U6V01ULklRX1RPVEFMX0VRVUlUWS5GWTIwMjIuMy8yNS8yMDIyLkwuLlVTRC5IAQAAAN/GBAACAAAABTkxODkxAQgAAAAFAAAAATEBAAAACy0yMTA3Njg2MjgyAwAAAAMxNjACAAAABDEyNzUEAAAAATAHAAAACTMvMjUvMjAyMggAAAAJMS8zMS8yMDIyCQAAAAEwXuhXiD8O2ggKxakaTw7aCDZDSVEuTllTRTpXTVQuSVFfVE9UQUxfQVNTRVRTLkZZMjAyMi4zLzI1LzIwMjIuTC4uVVNELkgBAAAA38YEAAIAAAAGMjQ0ODYwAQgAAAAFAAAAATEBAAAACy0yMTA3Njg2MjgyAwAAAAMxNjACAAAABDEwMDcEAAAAATAHAAAACTMvMjUvMjAyMggAAAAJMS8zMS8yMDIyCQAAAAEwXuhXiD8O2ggKxakaTw7aCD1DSVEuTllTRTpXTVQuSVFfVE9UQUxfQ0FQSVRBTF9SQVRJTy5GWTIwMjIuMy8yNS8yMDIyLkwuLlVTRC5IAQAAAN/GBAADAAAAAABe6FeIPw7aCArFqRpPDtoIN0NJUS5OWVNFOldNVC5JUV9UT1RBTF9SRVZfQk5LLkZZMjAyMi4zLzI1LzIwMjIuTC4uVVNELkgBAAAA38YEAAMAAAAAAF7oV4g/DtoICuypGk8O2gg1Q0lRLk5ZU0U6V01ULklRX05PTl9JTlRfRVhQLkZZMjAyMi4zLzI1LzIwMjIuTC4uVVNELkgBAAAA38YEAAMAAAAAAF7oV4g/DtoICuyp</t>
  </si>
  <si>
    <t>Gk8O2gg4Q0lRLk5ZU0U6V01ULklRX1RPVEFMX0RFUE9TSVRTLkZZMjAyMi4zLzI1LzIwMjIuTC4uVVNELkgBAAAA38YEAAMAAAAAAF7oV4g/DtoICsWpGk8O2gg4Q0lRLk5ZU0U6V01ULklRX1RJRVJfT05FX1JBVElPLkZZMjAyMi4zLzI1LzIwMjIuTC4uVVNELkgBAAAA38YEAAMAAAAAAF7oV4g/DtoICsWpGk8O2ggzQ0lRLk5ZU0U6V01ULklRX05FVF9MT0FOUy5GWTIwMjIuMy8yNS8yMDIyLkwuLlVTRC5IAQAAAN/GBAADAAAAAABe6FeIPw7aCArFqRpPDtoILENJUS5OWVNFOldNVC5JUV9MTC5GWTIwMjIuMy8yNS8yMDIyLkwuLlVTRC5IAQAAAN/GBAADAAAAAABe6FeIPw7aCArsqRpPDtoIOENJUS5OWVNFOldNVC5JUV9ESUxVVF9FUFNfRVhDTC5GWTIwMjIuMy8yNS8yMDIyLkwuLlVTRC5IAQAAAN/GBAACAAAABDQuODcBCAAAAAUAAAABMQEAAAALLTIxMDc2ODYyODIDAAAAAzE2MAIAAAADMTQyBAAAAAEwBwAAAAkzLzI1LzIwMjIIAAAACTEvMzEvMjAyMgkAAAABMF7oV4g/DtoI6p2pGk8O2gg8Q0lRLk5ZU0U6V01ULklRX0NPTlNUUlVDVElPTl9MT0FOUy5GWTIwMjIuMy8yNS8yMDIyLkwuLlVTRC5IAQAAAN/GBAADAAAAAABe6FeIPw7aCArFqRpPDtoIM0NJUS5OWVNFOldNVC5JUV9TR0FfU1VQUEwuRlkyMDIyLjMvMjUvMjAyMi5MLi5VU0QuSAEAAADfxgQAAgAAAAYxMTc4MTIBCAAAAAUAAAAB</t>
  </si>
  <si>
    <t>MQEAAAALLTIxMDc2ODYyODIDAAAAAzE2MAIAAAADMTAyBAAAAAEwBwAAAAkzLzI1LzIwMjIIAAAACTEvMzEvMjAyMgkAAAABMF7oV4g/DtoICuypGk8O2gg4Q0lRLk5ZU0U6V01ULklRX0RJTFVUX0VQU19JTkNMLkZZMjAyMi4zLzI1LzIwMjIuTC4uVVNELkgBAAAA38YEAAIAAAAENC44NwEIAAAABQAAAAExAQAAAAstMjEwNzY4NjI4MgMAAAADMTYwAgAAAAE4BAAAAAEwBwAAAAkzLzI1LzIwMjIIAAAACTEvMzEvMjAyMgkAAAABMF7oV4g/DtoI6p2pGk8O2gg4Q0lRLk5ZU0U6V01ULklRX0NPTlNVTUVSX0xPQU5TLkZZMjAyMi4zLzI1LzIwMjIuTC4uVVNELkgBAAAA38YEAAMAAAAAAF7oV4g/DtoICsWpGk8O2gg1Q0lRLk5ZU0U6V01ULklRX0dST1NTX0xPQU5TLkZZMjAyMi4zLzI1LzIwMjIuTC4uVVNELkgBAAAA38YEAAMAAAAAAF7oV4g/DtoICsWpGk8O2gg+Q0lRLk5ZU0U6V01ULklRX05PTl9QRVJGT1JNSU5HX0xPQU5TLkZZMjAyMi4zLzI1LzIwMjIuTC4uVVNELkgBAAAA38YEAAMAAAAAAF7oV4g/DtoICsWpGk8O2gg2Q0lRLk5ZU0U6V01ULklRX05VTV9CUkFOQ0hFUy5GWTIwMjIuMy8yNS8yMDIyLkwuLlVTRC5IAQAAAN/GBAADAAAAAABe6FeIPw7aCOqdqRpPDtoIQENJUS5OWVNFOldNVC5JUV9SRVNJREVOVElBTF9NT1JUX0xPQU5TLkZZMjAyMi4zLzI1LzIwMjIuTC4uVVNELkgBAAAA38YE</t>
  </si>
  <si>
    <t>AAMAAAAAAF7oV4g/DtoICsWpGk8O2gg5Q0lRLk5ZU0U6V01ULklRX05FVF9JTlRfSU5DX0JOSy5GWTIwMjIuMy8yNS8yMDIyLkwuLlVTRC5IAQAAAN/GBAADAAAAAABe6FeIPw7aCArFqRpPDtoIMkNJUS5OWVNFOldNVC5JUV9BTExPV19MTC5GWTIwMjIuMy8yNS8yMDIyLkwuLlVTRC5IAQAAAN/GBAADAAAAAABe6FeIPw7aCOqdqRpPDtoIP0NJUS5OWVNFOldNVC5JUV9DT01NRVJDSUFMX01PUlRfTE9BTlMuRlkyMDIyLjMvMjUvMjAyMi5MLi5VU0QuSAEAAADfxgQAAwAAAAAAXuhXiD8O2ggKxakaTw7aCDxDSVEuTllTRTpXTVQuSVFfUkVUVVJOX0VRVUlUWV9CQU5LLkZZMjAyMi4zLzI1LzIwMjIuTC4uVVNELkgBAAAA38YEAAIAAAAHMTUuNTM4NwEIAAAABQAAAAExAQAAAAstMjEwNzY4NjI4MgMAAAADMTYwAgAAAAQ0MTI4BAAAAAEwBwAAAAkzLzI1LzIwMjIIAAAACTEvMzEvMjAyMgkAAAABMF7oV4g/DtoICuypGk8O2gg3Q0lRLk5ZU0U6V01ULklRX0lOVF9FWFBfVE9UQUwuRlkyMDIyLjMvMjUvMjAyMi5MLi5VU0QuSAEAAADfxgQAAwAAAAAAXuhXiD8O2ggK7KkaTw7aCDVDSVEuTllTRTpXTVQuSVFfTk9OX0lOVF9JTkMuRlkyMDIyLjMvMjUvMjAyMi5MLi5VU0QuSAEAAADfxgQAAwAAAAAAXuhXiD8O2ggK7KkaTw7aCDdDSVEuTllTRTpXTVQuSVFfSU5UX0lOQ19UT1RBTC5GWTIwMjIuMy8yNS8y</t>
  </si>
  <si>
    <t>MDIyLkwuLlVTRC5IAQAAAN/GBAADAAAAAABe6FeIPw7aCArsqRpPDtoIP0NJUS5OWVNFOldNVC5JUV9OT05fUEVSRk9STUlOR19BU1NFVFMuRlkyMDIyLjMvMjUvMjAyMi5MLi5VU0QuSAEAAADfxgQAAwAAAAAAXuhXiD8O2ggKxakaTw7aCDpDSVEuTllTRTpXTVQuSVFfQ09NTUVSQ0lBTF9MT0FOUy5GWTIwMjIuMy8yNS8yMDIyLkwuLlVTRC5IAQAAAN/GBAADAAAAAABe6FeIPw7aCArFqRpPDtoIPENJUS5OWVNFOldNVC5JUV9SRVRVUk5fQVNTRVRTX0JBTksuRlkyMDIyLjMvMjUvMjAyMi5MLi5VU0QuSAEAAADfxgQAAgAAAAY2LjUxOTkBCAAAAAUAAAABMQEAAAALLTIxMDc2ODYyODIDAAAAAzE2MAIAAAAENDE3OAQAAAABMAcAAAAJMy8yNS8yMDIyCAAAAAkxLzMxLzIwMjIJAAAAATBe6FeIPw7aCArsqRpPDtoIOkNJUS5OWVNFOldNVC5JUV9USUVSX09ORV9DQVBJVEFMLkZZMjAyMi4zLzI1LzIwMjIuTC4uVVNELkgBAAAA38YEAAMAAAAAAF7oV4g/DtoICsWpGk8O2gg6Q0lRLk5ZU0U6V01ULklRX1RJRVJfVFdPX0NBUElUQUwuRlkyMDIyLjMvMjUvMjAyMi5MLi5VU0QuSAEAAADfxgQAAwAAAAAAXuhXiD8O2ggKxakaTw7aCCxDSVEuTllTRTpXTVQuSVFfR1cuRlkyMDIyLjMvMjUvMjAyMi5MLi5VU0QuSAEAAADfxgQAAgAAAAUyOTAxNAEIAAAABQAAAAExAQAAAAstMjEwNzY4NjI4MgMAAAADMTYw</t>
  </si>
  <si>
    <t>AgAAAAQxMTcxBAAAAAEwBwAAAAkzLzI1LzIwMjIIAAAACTEvMzEvMjAyMgkAAAABMF7oV4g/DtoICsWpGk8O2gg+Q0lRLk5ZU0U6V01ULklRX1JJU0tfQURKX0JBTktfQVNTRVRTLkZZMjAyMi4zLzI1LzIwMjIuTC4uVVNELkgBAAAA38YEAAMAAAAAAF7oV4g/DtoICsWpGk8O2gg4Q0lRLk5ZU0U6V01ULklRX0RJTFVUX0VQU19FWENMLklRX0ZZLTYuMy8yNS8yMDIyLkwuRi5VU0QBAAAA38YEAAIAAAAENC41NwEIAAAABQAAAAExAQAAAAoxODgwNzE4NzYyAwAAAAMxNjACAAAAAzE0MgQAAAABMAcAAAAJMy8yNS8yMDIyCAAAAAkxLzMxLzIwMTYJAAAAATD2bsCHPw7aCNTaVctODtoIN0NJUS5OWVNFOldNVC5JUV9SRVRVUk5fRVFVSVRZLklRX0ZZLTYuMy8yNS8yMDIyLkwuRi5VU0QBAAAA38YEAAIAAAAHMTcuNzg4NAEIAAAABQAAAAExAQAAAAoxODgwNzE4NzYyAwAAAAMxNjACAAAABDQxMjgEAAAAATAHAAAACTMvMjUvMjAyMggAAAAJMS8zMS8yMDE2CQAAAAEw9m7Ahz8O2gjHs1XLTg7aCDJDSVEuTllTRTpXTVQuSVFfUEVSSU9EREFURV9CUy5JUV9GWS0xLjMvMjUvMjAyMi4uRgEAAADfxgQABQAAAAkxLzMxLzIwMjEAWxHXyE4O2gj7cEbLTg7aCDJDSVEuTllTRTpXTVQuSVFfUEVSSU9EREFURV9CUy5JUV9GWS01LjMvMjUvMjAyMi4uRgEAAADfxgQABQAAAAkxLzMxLzIwMTcAWxHXyE4O2gj7cEbL</t>
  </si>
  <si>
    <t>Tg7aCDBDSVEuTllTRTpXTVQuSVFfUEVSSU9EREFURV9CUy5JUV9GWS4zLzI1LzIwMjIuLkYBAAAA38YEAAUAAAAJMS8zMS8yMDIyAFsR18hODtoI+3BGy04O2ggyQ0lRLk5ZU0U6V01ULklRX1BFUklPRERBVEVfQlMuSVFfRlktMy4zLzI1LzIwMjIuLkYBAAAA38YEAAUAAAAJMS8zMS8yMDE5AFsR18hODtoI+3BGy04O2gg2Q0lRLk5ZU0U6V01ULklRX05VTV9CUkFOQ0hFUy5JUV9GWS0zLjMvMjUvMjAyMi5MLkYuVVNEAQAAAN/GBAADAAAAAAB+wMCHPw7aCD/QP8tODtoIOENJUS5OWVNFOldNVC5JUV9ESUxVVF9FUFNfSU5DTC5GWTIwMTQuMy8yNS8yMDIyLkwuLlVTRC5IAQAAAN/GBAACAAAABDQuODgBCAAAAAUAAAABMQEAAAAKMTc4MzAwNzY2NwMAAAADMTYwAgAAAAE4BAAAAAEwBwAAAAkzLzI1LzIwMjIIAAAACTEvMzEvMjAxNAkAAAABMFvBV4g/DtoI5qGmGk8O2gg4Q0lRLk5ZU0U6V01ULklRX0NPTlNVTUVSX0xPQU5TLkZZMjAxNC4zLzI1LzIwMjIuTC4uVVNELkgBAAAA38YEAAMAAAAAAFvBV4g/DtoI5qGmGk8O2gg1Q0lRLk5ZU0U6V01ULklRX0dST1NTX0xPQU5TLkZZMjAxNC4zLzI1LzIwMjIuTC4uVVNELkgBAAAA38YEAAMAAAAAAFvBV4g/DtoI4cimGk8O2ggzQ0lRLk5ZU0U6V01ULklRX1NHQV9TVVBQTC5GWTIwMTQuMy8yNS8yMDIyLkwuLlVTRC5IAQAAAN/GBAACAAAABTkxMzUzAQgA</t>
  </si>
  <si>
    <t>AAAFAAAAATEBAAAACjE3ODMwMDc2NjcDAAAAAzE2MAIAAAADMTAyBAAAAAEwBwAAAAkzLzI1LzIwMjIIAAAACTEvMzEvMjAxNAkAAAABMFvBV4g/DtoI4cimGk8O2gg6Q0lRLk5ZU0U6V01ULklRX1RJRVJfT05FX0NBUElUQUwuRlkyMDE0LjMvMjUvMjAyMi5MLi5VU0QuSAEAAADfxgQAAwAAAAAAW8FXiD8O2gjmoaYaTw7aCDpDSVEuTllTRTpXTVQuSVFfVElFUl9UV09fQ0FQSVRBTC5GWTIwMTQuMy8yNS8yMDIyLkwuLlVTRC5IAQAAAN/GBAADAAAAAABbwVeIPw7aCOahphpPDtoILENJUS5OWVNFOldNVC5JUV9HVy5GWTIwMTQuMy8yNS8yMDIyLkwuLlVTRC5IAQAAAN/GBAACAAAABTE5NTEwAQgAAAAFAAAAATEBAAAACjE3ODMwMDc2NjcDAAAAAzE2MAIAAAAEMTE3MQQAAAABMAcAAAAJMy8yNS8yMDIyCAAAAAkxLzMxLzIwMTQJAAAAATBbwVeIPw7aCOahphpPDtoIPkNJUS5OWVNFOldNVC5JUV9SSVNLX0FESl9CQU5LX0FTU0VUUy5GWTIwMTQuMy8yNS8yMDIyLkwuLlVTRC5IAQAAAN/GBAADAAAAAABbwVeIPw7aCOHIphpPDtoINkNJUS5OWVNFOldNVC5JUV9OVU1fQlJBTkNIRVMuRlkyMDE0LjMvMjUvMjAyMi5MLi5VU0QuSAEAAADfxgQAAwAAAAAAW8FXiD8O2gjmoaYaTw7aCEBDSVEuTllTRTpXTVQuSVFfUkVTSURFTlRJQUxfTU9SVF9MT0FOUy5GWTIwMTQuMy8yNS8yMDIyLkwuLlVTRC5IAQAA</t>
  </si>
  <si>
    <t>AN/GBAADAAAAAABbwVeIPw7aCOahphpPDtoIOUNJUS5OWVNFOldNVC5JUV9ORVRfSU5UX0lOQ19CTksuRlkyMDE0LjMvMjUvMjAyMi5MLi5VU0QuSAEAAADfxgQAAwAAAAAAW8FXiD8O2gjhyKYaTw7aCCxDSVEuTllTRTpXTVQuSVFfTEwuRlkyMDE0LjMvMjUvMjAyMi5MLi5VU0QuSAEAAADfxgQAAwAAAAAAW8FXiD8O2gjhyKYaTw7aCD5DSVEuTllTRTpXTVQuSVFfTk9OX1BFUkZPUk1JTkdfTE9BTlMuRlkyMDE0LjMvMjUvMjAyMi5MLi5VU0QuSAEAAADfxgQAAwAAAAAAW8FXiD8O2gjmoaYaTw7aCDJDSVEuTllTRTpXTVQuSVFfQUxMT1dfTEwuRlkyMDE0LjMvMjUvMjAyMi5MLi5VU0QuSAEAAADfxgQAAwAAAAAAW8FXiD8O2gjmoaYaTw7aCD9DSVEuTllTRTpXTVQuSVFfQ09NTUVSQ0lBTF9NT1JUX0xPQU5TLkZZMjAxNC4zLzI1LzIwMjIuTC4uVVNELkgBAAAA38YEAAMAAAAAAFvBV4g/DtoI5qGmGk8O2gg8Q0lRLk5ZU0U6V01ULklRX1JFVFVSTl9FUVVJVFlfQkFOSy5GWTIwMTQuMy8yNS8yMDIyLkwuLlVTRC5IAQAAAN/GBAACAAAABzIwLjA1MTIBCAAAAAUAAAABMQEAAAAKMTc4MzAwNzY2NwMAAAADMTYwAgAAAAQ0MTI4BAAAAAEwBwAAAAkzLzI1LzIwMjIIAAAACTEvMzEvMjAxNAkAAAABMFvBV4g/DtoI4cimGk8O2gg3Q0lRLk5ZU0U6V01ULklRX0lOVF9FWFBfVE9UQUwuRlkyMDE0LjMvMjUv</t>
  </si>
  <si>
    <t>MjAyMi5MLi5VU0QuSAEAAADfxgQAAwAAAAAAW8FXiD8O2gjhyKYaTw7aCD9DSVEuTllTRTpXTVQuSVFfTk9OX1BFUkZPUk1JTkdfQVNTRVRTLkZZMjAxNC4zLzI1LzIwMjIuTC4uVVNELkgBAAAA38YEAAMAAAAAAFvBV4g/DtoI5qGmGk8O2gg6Q0lRLk5ZU0U6V01ULklRX0NPTU1FUkNJQUxfTE9BTlMuRlkyMDE0LjMvMjUvMjAyMi5MLi5VU0QuSAEAAADfxgQAAwAAAAAAW8FXiD8O2gjmoaYaTw7aCDxDSVEuTllTRTpXTVQuSVFfUkVUVVJOX0FTU0VUU19CQU5LLkZZMjAxNC4zLzI1LzIwMjIuTC4uVVNELkgBAAAA38YEAAIAAAAGOC4yMzU3AQgAAAAFAAAAATEBAAAACjE3ODMwMDc2NjcDAAAAAzE2MAIAAAAENDE3OAQAAAABMAcAAAAJMy8yNS8yMDIyCAAAAAkxLzMxLzIwMTQJAAAAATBbwVeIPw7aCOHIphpPDtoINUNJUS5OWVNFOldNVC5JUV9OT05fSU5UX0lOQy5GWTIwMTQuMy8yNS8yMDIyLkwuLlVTRC5IAQAAAN/GBAADAAAAAABbwVeIPw7aCOHIphpPDtoIPUNJUS5OWVNFOldNVC5JUV9UT1RBTF9DQVBJVEFMX1JBVElPLkZZMjAxNC4zLzI1LzIwMjIuTC4uVVNELkgBAAAA38YEAAMAAAAAAFvBV4g/DtoI4cimGk8O2gg4Q0lRLk5ZU0U6V01ULklRX1RPVEFMX0RFUE9TSVRTLkZZMjAxNC4zLzI1LzIwMjIuTC4uVVNELkgBAAAA38YEAAMAAAAAAFvBV4g/DtoI5qGmGk8O2gg4Q0lRLk5ZU0U6V01U</t>
  </si>
  <si>
    <t>LklRX1RJRVJfT05FX1JBVElPLkZZMjAxNC4zLzI1LzIwMjIuTC4uVVNELkgBAAAA38YEAAMAAAAAAFvBV4g/DtoI4cimGk8O2gg3Q0lRLk5ZU0U6V01ULklRX0lOVF9JTkNfVE9UQUwuRlkyMDE0LjMvMjUvMjAyMi5MLi5VU0QuSAEAAADfxgQAAwAAAAAAW8FXiD8O2gjg76YaTw7aCDdDSVEuTllTRTpXTVQuSVFfVE9UQUxfUkVWX0JOSy5GWTIwMTQuMy8yNS8yMDIyLkwuLlVTRC5IAQAAAN/GBAADAAAAAABbwVeIPw7aCODvphpPDtoIOENJUS5OWVNFOldNVC5JUV9ESUxVVF9FUFNfRVhDTC5GWTIwMTQuMy8yNS8yMDIyLkwuLlVTRC5IAQAAAN/GBAACAAAACDQuODM2MTM3AQgAAAAFAAAAATEBAAAACjE3ODMwMDc2NjcDAAAAAzE2MAIAAAADMTQyBAAAAAEwBwAAAAkzLzI1LzIwMjIIAAAACTEvMzEvMjAxNAkAAAABMFvBV4g/DtoI5qGmGk8O2gg8Q0lRLk5ZU0U6V01ULklRX0NPTlNUUlVDVElPTl9MT0FOUy5GWTIwMTQuMy8yNS8yMDIyLkwuLlVTRC5IAQAAAN/GBAADAAAAAABbwVeIPw7aCOahphpPDtoIM0NJUS5OWVNFOldNVC5JUV9ORVRfTE9BTlMuRlkyMDE0LjMvMjUvMjAyMi5MLi5VU0QuSAEAAADfxgQAAwAAAAAAW8FXiD8O2gjhyKYaTw7aCDVDSVEuTllTRTpXTVQuSVFfTk9OX0lOVF9FWFAuRlkyMDE0LjMvMjUvMjAyMi5MLi5VU0QuSAEAAADfxgQAAwAAAAAAW8FXiD8O2gjhyKYaTw7aCD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</si>
</sst>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164" formatCode="_-&quot;£&quot;* #,##0.00_-;\-&quot;£&quot;* #,##0.00_-;_-&quot;£&quot;* &quot;-&quot;??_-;_-@_-"/>
    <numFmt numFmtId="165" formatCode="_-* #,##0.00_-;\-* #,##0.00_-;_-* &quot;-&quot;??_-;_-@_-"/>
    <numFmt numFmtId="166" formatCode="0.0%"/>
    <numFmt numFmtId="167" formatCode="&quot;£&quot;#,##0.0"/>
    <numFmt numFmtId="168" formatCode="0.0"/>
    <numFmt numFmtId="169" formatCode="0\ &quot;Days&quot;"/>
    <numFmt numFmtId="170" formatCode="[$-14009]d\ mmmm\ yyyy;@"/>
    <numFmt numFmtId="171" formatCode="#,##0.0"/>
    <numFmt numFmtId="172" formatCode="[$-409]mmmm\ d\,\ yyyy;@"/>
    <numFmt numFmtId="173" formatCode="_(* #,##0.0_);_(* \(#,##0.0\);_(* &quot;-&quot;??_);_(@_)"/>
    <numFmt numFmtId="174" formatCode="0.000%"/>
    <numFmt numFmtId="175" formatCode="_(* #,##0_);_(* \(#,##0\);_(* &quot;-&quot;??_);_(@_)"/>
    <numFmt numFmtId="176" formatCode="[$-409]mmm\-yy;@"/>
    <numFmt numFmtId="177" formatCode="0.00\x"/>
    <numFmt numFmtId="178" formatCode="0.0%_);[Red]\(0.0%\)"/>
    <numFmt numFmtId="179" formatCode="0.0%;\(0.0%\)"/>
    <numFmt numFmtId="180" formatCode="#,##0.0_);\(#,##0.0\)"/>
    <numFmt numFmtId="181" formatCode="[$-409]mmm\ yy;@"/>
    <numFmt numFmtId="182" formatCode="mm/dd/yy;@"/>
    <numFmt numFmtId="183" formatCode="0.0\x"/>
    <numFmt numFmtId="184" formatCode="[$-409]mmm\ yyyy;@"/>
    <numFmt numFmtId="185" formatCode="mmm\ yyyy"/>
    <numFmt numFmtId="186" formatCode="mmm\ yy"/>
    <numFmt numFmtId="187" formatCode="0.000"/>
    <numFmt numFmtId="188" formatCode="0.0;[Red]\(0.0\)"/>
    <numFmt numFmtId="189" formatCode="0.0%;[Red]\(0.0%\)"/>
    <numFmt numFmtId="190" formatCode="#,##0.0_);[Red]\(#,##0.0\)"/>
    <numFmt numFmtId="191" formatCode="0.0_);[Red]\(0.0\)"/>
    <numFmt numFmtId="192" formatCode="#,##0;[Red]\(#,##0\)"/>
    <numFmt numFmtId="193" formatCode="[$-14009]dd\-mm\-yyyy;@"/>
    <numFmt numFmtId="194" formatCode="[$-14009]dd\-mm\-yy;@"/>
    <numFmt numFmtId="195" formatCode="#,##0.0;[Red]\(#,##0.0\)"/>
    <numFmt numFmtId="196" formatCode="m/d/yy;@"/>
    <numFmt numFmtId="197" formatCode="#,##0_ ;[Red]\(#,##0\ \)"/>
    <numFmt numFmtId="198" formatCode="[$-409]mmm\-dd\-yyyy;@"/>
    <numFmt numFmtId="199" formatCode="dd\ mmm\ yyyy"/>
    <numFmt numFmtId="200" formatCode="0%;[Red]0%"/>
    <numFmt numFmtId="201" formatCode="0.0\x;[Red]\(0.0\x\)"/>
    <numFmt numFmtId="202" formatCode="0.00;[Red]\(0.00\)"/>
    <numFmt numFmtId="203" formatCode="_-* #,##0.0_-;\-* #,##0.0_-;_-* &quot;-&quot;??_-;_-@_-"/>
  </numFmts>
  <fonts count="168" x14ac:knownFonts="1">
    <font>
      <sz val="11"/>
      <color theme="1"/>
      <name val="Arial"/>
      <family val="2"/>
      <scheme val="minor"/>
    </font>
    <font>
      <sz val="11"/>
      <color theme="1"/>
      <name val="Arial"/>
      <family val="2"/>
      <scheme val="minor"/>
    </font>
    <font>
      <b/>
      <sz val="11"/>
      <color theme="1"/>
      <name val="Arial"/>
      <family val="2"/>
      <scheme val="minor"/>
    </font>
    <font>
      <sz val="10"/>
      <color indexed="8"/>
      <name val="Arial"/>
      <family val="2"/>
    </font>
    <font>
      <b/>
      <sz val="8"/>
      <color indexed="8"/>
      <name val="Arial"/>
      <family val="2"/>
    </font>
    <font>
      <i/>
      <sz val="8"/>
      <color indexed="8"/>
      <name val="Arial"/>
      <family val="2"/>
    </font>
    <font>
      <sz val="8"/>
      <color indexed="8"/>
      <name val="Arial"/>
      <family val="2"/>
    </font>
    <font>
      <b/>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65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sz val="11"/>
      <color theme="0"/>
      <name val="Arial"/>
      <family val="2"/>
      <scheme val="minor"/>
    </font>
    <font>
      <sz val="10"/>
      <name val="Arial"/>
      <family val="2"/>
      <scheme val="minor"/>
    </font>
    <font>
      <sz val="10"/>
      <color theme="1"/>
      <name val="Arial"/>
      <family val="2"/>
      <scheme val="minor"/>
    </font>
    <font>
      <b/>
      <sz val="12"/>
      <color theme="0"/>
      <name val="Arial"/>
      <family val="2"/>
      <scheme val="minor"/>
    </font>
    <font>
      <b/>
      <sz val="12"/>
      <color rgb="FFFFFFFF"/>
      <name val="Arial"/>
      <family val="2"/>
      <scheme val="minor"/>
    </font>
    <font>
      <sz val="12"/>
      <color theme="1"/>
      <name val="Arial"/>
      <family val="2"/>
      <scheme val="minor"/>
    </font>
    <font>
      <u/>
      <sz val="11"/>
      <color theme="10"/>
      <name val="Arial"/>
      <family val="2"/>
      <scheme val="minor"/>
    </font>
    <font>
      <b/>
      <sz val="24"/>
      <color theme="0"/>
      <name val="Arial"/>
      <family val="2"/>
      <scheme val="minor"/>
    </font>
    <font>
      <sz val="24"/>
      <color theme="1"/>
      <name val="Arial"/>
      <family val="2"/>
      <scheme val="minor"/>
    </font>
    <font>
      <sz val="9"/>
      <color indexed="81"/>
      <name val="Tahoma"/>
      <family val="2"/>
    </font>
    <font>
      <b/>
      <sz val="9"/>
      <color indexed="81"/>
      <name val="Tahoma"/>
      <family val="2"/>
    </font>
    <font>
      <b/>
      <sz val="24"/>
      <color theme="0"/>
      <name val="Arial"/>
      <family val="2"/>
    </font>
    <font>
      <b/>
      <sz val="12"/>
      <color theme="0"/>
      <name val="Arial"/>
      <family val="2"/>
    </font>
    <font>
      <sz val="24"/>
      <color theme="0"/>
      <name val="Arial"/>
      <family val="2"/>
    </font>
    <font>
      <sz val="10"/>
      <color theme="0"/>
      <name val="Arial"/>
      <family val="2"/>
    </font>
    <font>
      <b/>
      <sz val="10"/>
      <color theme="0"/>
      <name val="Arial"/>
      <family val="2"/>
    </font>
    <font>
      <b/>
      <sz val="12"/>
      <color rgb="FF002060"/>
      <name val="Arial"/>
      <family val="2"/>
    </font>
    <font>
      <sz val="10"/>
      <name val="Arial"/>
      <family val="2"/>
    </font>
    <font>
      <sz val="10"/>
      <color theme="1"/>
      <name val="Arial"/>
      <family val="2"/>
    </font>
    <font>
      <sz val="10"/>
      <color theme="1" tint="0.499984740745262"/>
      <name val="Arial"/>
      <family val="2"/>
    </font>
    <font>
      <b/>
      <sz val="10"/>
      <color rgb="FF0000FF"/>
      <name val="Arial"/>
      <family val="2"/>
    </font>
    <font>
      <sz val="11"/>
      <color theme="1"/>
      <name val="Arial"/>
      <family val="2"/>
    </font>
    <font>
      <b/>
      <sz val="10"/>
      <color theme="1"/>
      <name val="Arial"/>
      <family val="2"/>
    </font>
    <font>
      <sz val="9"/>
      <color theme="1"/>
      <name val="Arial"/>
      <family val="2"/>
    </font>
    <font>
      <b/>
      <sz val="9"/>
      <color theme="1"/>
      <name val="Arial"/>
      <family val="2"/>
    </font>
    <font>
      <sz val="11"/>
      <name val="Arial"/>
      <family val="2"/>
    </font>
    <font>
      <b/>
      <sz val="10"/>
      <name val="Arial"/>
      <family val="2"/>
    </font>
    <font>
      <b/>
      <sz val="10"/>
      <color rgb="FF002060"/>
      <name val="Arial"/>
      <family val="2"/>
    </font>
    <font>
      <sz val="8"/>
      <color theme="1"/>
      <name val="Arial"/>
      <family val="2"/>
    </font>
    <font>
      <sz val="18"/>
      <color rgb="FFFF0000"/>
      <name val="Arial"/>
      <family val="2"/>
      <scheme val="minor"/>
    </font>
    <font>
      <i/>
      <sz val="11"/>
      <color theme="1"/>
      <name val="Arial"/>
      <family val="2"/>
      <scheme val="minor"/>
    </font>
    <font>
      <sz val="9"/>
      <name val="Arial"/>
      <family val="2"/>
    </font>
    <font>
      <b/>
      <sz val="10"/>
      <name val="Arial"/>
      <family val="2"/>
      <scheme val="minor"/>
    </font>
    <font>
      <b/>
      <sz val="10"/>
      <color theme="0"/>
      <name val="Arial"/>
      <family val="2"/>
      <scheme val="minor"/>
    </font>
    <font>
      <sz val="10"/>
      <color theme="0"/>
      <name val="Arial"/>
      <family val="2"/>
      <scheme val="minor"/>
    </font>
    <font>
      <sz val="10"/>
      <color rgb="FF000000"/>
      <name val="Arial"/>
      <family val="2"/>
    </font>
    <font>
      <vertAlign val="subscript"/>
      <sz val="10"/>
      <color rgb="FF000000"/>
      <name val="Arial"/>
      <family val="2"/>
    </font>
    <font>
      <vertAlign val="subscript"/>
      <sz val="10"/>
      <color theme="1"/>
      <name val="Arial"/>
      <family val="2"/>
    </font>
    <font>
      <b/>
      <sz val="10"/>
      <color rgb="FF000000"/>
      <name val="Arial"/>
      <family val="2"/>
    </font>
    <font>
      <b/>
      <sz val="10"/>
      <color rgb="FFFFFFFF"/>
      <name val="Arial"/>
      <family val="2"/>
    </font>
    <font>
      <b/>
      <sz val="10"/>
      <color theme="1"/>
      <name val="Arial"/>
      <family val="2"/>
      <scheme val="minor"/>
    </font>
    <font>
      <sz val="11"/>
      <color rgb="FF00B050"/>
      <name val="Arial"/>
      <family val="2"/>
      <scheme val="minor"/>
    </font>
    <font>
      <b/>
      <sz val="11"/>
      <color rgb="FF00B050"/>
      <name val="Arial"/>
      <family val="2"/>
      <scheme val="minor"/>
    </font>
    <font>
      <b/>
      <sz val="11"/>
      <color rgb="FFFF0000"/>
      <name val="Arial"/>
      <family val="2"/>
      <scheme val="minor"/>
    </font>
    <font>
      <b/>
      <sz val="9"/>
      <name val="Arial"/>
      <family val="2"/>
    </font>
    <font>
      <i/>
      <sz val="9"/>
      <color theme="1"/>
      <name val="Arial"/>
      <family val="2"/>
    </font>
    <font>
      <b/>
      <sz val="9"/>
      <color theme="0"/>
      <name val="Arial"/>
      <family val="2"/>
    </font>
    <font>
      <sz val="9"/>
      <color rgb="FFFF0000"/>
      <name val="Arial"/>
      <family val="2"/>
    </font>
    <font>
      <b/>
      <sz val="9"/>
      <color rgb="FF002060"/>
      <name val="Arial"/>
      <family val="2"/>
    </font>
    <font>
      <b/>
      <i/>
      <sz val="9"/>
      <color rgb="FF002060"/>
      <name val="Arial"/>
      <family val="2"/>
    </font>
    <font>
      <sz val="10"/>
      <color rgb="FFFF0000"/>
      <name val="Arial"/>
      <family val="2"/>
    </font>
    <font>
      <b/>
      <u val="singleAccounting"/>
      <sz val="9"/>
      <color rgb="FF002060"/>
      <name val="Arial"/>
      <family val="2"/>
    </font>
    <font>
      <sz val="8"/>
      <name val="Arial"/>
      <family val="2"/>
    </font>
    <font>
      <u/>
      <sz val="9"/>
      <color theme="10"/>
      <name val="Arial"/>
      <family val="2"/>
    </font>
    <font>
      <sz val="9"/>
      <color theme="0" tint="-0.499984740745262"/>
      <name val="Arial"/>
      <family val="2"/>
    </font>
    <font>
      <b/>
      <sz val="9"/>
      <color rgb="FF333333"/>
      <name val="Arial"/>
      <family val="2"/>
    </font>
    <font>
      <sz val="9"/>
      <color rgb="FF002060"/>
      <name val="Arial"/>
      <family val="2"/>
    </font>
    <font>
      <b/>
      <sz val="9"/>
      <color rgb="FF0000FF"/>
      <name val="Arial"/>
      <family val="2"/>
    </font>
    <font>
      <sz val="9"/>
      <color rgb="FF333333"/>
      <name val="Arial"/>
      <family val="2"/>
    </font>
    <font>
      <sz val="9"/>
      <color rgb="FF0000FF"/>
      <name val="Arial"/>
      <family val="2"/>
    </font>
    <font>
      <i/>
      <sz val="10"/>
      <name val="Arial"/>
      <family val="2"/>
    </font>
    <font>
      <i/>
      <sz val="10"/>
      <color theme="1"/>
      <name val="Arial"/>
      <family val="2"/>
    </font>
    <font>
      <i/>
      <sz val="9"/>
      <name val="Arial"/>
      <family val="2"/>
    </font>
    <font>
      <b/>
      <u val="singleAccounting"/>
      <sz val="10"/>
      <color theme="0"/>
      <name val="Arial"/>
      <family val="2"/>
    </font>
    <font>
      <b/>
      <u val="singleAccounting"/>
      <sz val="10"/>
      <color theme="1"/>
      <name val="Arial"/>
      <family val="2"/>
    </font>
    <font>
      <sz val="10"/>
      <color rgb="FF333333"/>
      <name val="Arial"/>
      <family val="2"/>
    </font>
    <font>
      <b/>
      <sz val="10"/>
      <color rgb="FF333333"/>
      <name val="Arial"/>
      <family val="2"/>
    </font>
    <font>
      <b/>
      <sz val="10"/>
      <color rgb="FFFF0000"/>
      <name val="Arial"/>
      <family val="2"/>
    </font>
    <font>
      <sz val="10"/>
      <color rgb="FF333333"/>
      <name val="Arial"/>
      <family val="2"/>
      <scheme val="minor"/>
    </font>
    <font>
      <b/>
      <sz val="8"/>
      <color theme="0"/>
      <name val="Arial"/>
      <family val="2"/>
    </font>
    <font>
      <b/>
      <sz val="10"/>
      <color rgb="FF333333"/>
      <name val="Arial"/>
      <family val="2"/>
      <scheme val="minor"/>
    </font>
    <font>
      <sz val="10"/>
      <color rgb="FF008000"/>
      <name val="Arial"/>
      <family val="2"/>
    </font>
    <font>
      <i/>
      <sz val="8"/>
      <color theme="0"/>
      <name val="Arial"/>
      <family val="2"/>
    </font>
    <font>
      <i/>
      <sz val="8"/>
      <name val="Arial"/>
      <family val="2"/>
    </font>
    <font>
      <sz val="8"/>
      <color theme="0"/>
      <name val="Arial"/>
      <family val="2"/>
    </font>
    <font>
      <b/>
      <sz val="15"/>
      <color theme="0"/>
      <name val="Arial"/>
      <family val="2"/>
    </font>
    <font>
      <sz val="11"/>
      <name val="Arial"/>
      <family val="2"/>
      <scheme val="minor"/>
    </font>
    <font>
      <b/>
      <sz val="8"/>
      <color indexed="9"/>
      <name val="Arial"/>
      <family val="2"/>
    </font>
    <font>
      <b/>
      <u/>
      <sz val="10"/>
      <name val="Arial"/>
      <family val="2"/>
    </font>
    <font>
      <sz val="11"/>
      <color rgb="FFFF3B3B"/>
      <name val="Wingdings"/>
      <charset val="2"/>
    </font>
    <font>
      <sz val="14"/>
      <color rgb="FFFF0000"/>
      <name val="Wingdings 2"/>
      <family val="1"/>
      <charset val="2"/>
    </font>
    <font>
      <sz val="14"/>
      <name val="Wingdings 2"/>
      <family val="1"/>
      <charset val="2"/>
    </font>
    <font>
      <sz val="14"/>
      <name val="Arial"/>
      <family val="2"/>
      <scheme val="minor"/>
    </font>
    <font>
      <sz val="11"/>
      <color rgb="FFFF0000"/>
      <name val="Calibri"/>
      <family val="2"/>
    </font>
    <font>
      <sz val="10"/>
      <color theme="0" tint="-0.499984740745262"/>
      <name val="Arial"/>
      <family val="2"/>
      <scheme val="minor"/>
    </font>
    <font>
      <sz val="9"/>
      <name val="Arial"/>
      <family val="2"/>
      <scheme val="minor"/>
    </font>
    <font>
      <b/>
      <sz val="12"/>
      <name val="Arial"/>
      <family val="2"/>
    </font>
    <font>
      <b/>
      <u/>
      <sz val="10"/>
      <color rgb="FFFF0000"/>
      <name val="Arial"/>
      <family val="2"/>
    </font>
    <font>
      <sz val="14"/>
      <color rgb="FFCCFF66"/>
      <name val="Arial"/>
      <family val="2"/>
      <scheme val="minor"/>
    </font>
    <font>
      <sz val="14"/>
      <color rgb="FF00B050"/>
      <name val="Arial"/>
      <family val="2"/>
    </font>
    <font>
      <sz val="10"/>
      <name val="Wingdings 2"/>
      <family val="1"/>
      <charset val="2"/>
    </font>
    <font>
      <sz val="9"/>
      <color theme="0"/>
      <name val="Arial"/>
      <family val="2"/>
    </font>
    <font>
      <i/>
      <sz val="11"/>
      <name val="Arial"/>
      <family val="2"/>
      <scheme val="minor"/>
    </font>
    <font>
      <b/>
      <sz val="10"/>
      <color rgb="FFFF0000"/>
      <name val="Calibri"/>
      <family val="2"/>
    </font>
    <font>
      <sz val="11"/>
      <color theme="1"/>
      <name val="Calibri"/>
      <family val="2"/>
    </font>
    <font>
      <sz val="10"/>
      <name val="Calibri"/>
      <family val="2"/>
    </font>
    <font>
      <sz val="10"/>
      <color theme="1"/>
      <name val="Calibri"/>
      <family val="2"/>
    </font>
    <font>
      <b/>
      <sz val="11"/>
      <color theme="1"/>
      <name val="Calibri"/>
      <family val="2"/>
    </font>
    <font>
      <i/>
      <sz val="10"/>
      <name val="Calibri"/>
      <family val="2"/>
    </font>
    <font>
      <b/>
      <sz val="10"/>
      <color theme="0"/>
      <name val="Calibri"/>
      <family val="2"/>
    </font>
    <font>
      <b/>
      <sz val="9"/>
      <color theme="1"/>
      <name val="Calibri"/>
      <family val="2"/>
    </font>
    <font>
      <b/>
      <sz val="10"/>
      <name val="Calibri"/>
      <family val="2"/>
    </font>
    <font>
      <sz val="9"/>
      <color theme="1"/>
      <name val="Calibri"/>
      <family val="2"/>
    </font>
    <font>
      <sz val="10"/>
      <color rgb="FF3333FF"/>
      <name val="Calibri"/>
      <family val="2"/>
    </font>
    <font>
      <sz val="10"/>
      <color theme="3" tint="0.39997558519241921"/>
      <name val="Calibri"/>
      <family val="2"/>
    </font>
    <font>
      <b/>
      <sz val="10"/>
      <color theme="1"/>
      <name val="Calibri"/>
      <family val="2"/>
    </font>
    <font>
      <b/>
      <sz val="10"/>
      <color rgb="FF333333"/>
      <name val="Calibri"/>
      <family val="2"/>
    </font>
    <font>
      <sz val="10"/>
      <color rgb="FF333333"/>
      <name val="Calibri"/>
      <family val="2"/>
    </font>
    <font>
      <b/>
      <sz val="9"/>
      <color theme="1"/>
      <name val="Arial"/>
      <family val="2"/>
      <scheme val="minor"/>
    </font>
    <font>
      <b/>
      <sz val="9"/>
      <color rgb="FF333333"/>
      <name val="Arial"/>
      <family val="2"/>
      <scheme val="minor"/>
    </font>
    <font>
      <sz val="9"/>
      <color rgb="FF333333"/>
      <name val="Arial"/>
      <family val="2"/>
      <scheme val="minor"/>
    </font>
    <font>
      <sz val="10"/>
      <color theme="1"/>
      <name val="Arial"/>
      <family val="2"/>
      <scheme val="major"/>
    </font>
    <font>
      <sz val="10"/>
      <color rgb="FF0000FF"/>
      <name val="Calibri"/>
      <family val="2"/>
    </font>
    <font>
      <b/>
      <sz val="10"/>
      <color rgb="FF0000FF"/>
      <name val="Arial"/>
      <family val="2"/>
      <scheme val="minor"/>
    </font>
    <font>
      <sz val="10"/>
      <color rgb="FF008000"/>
      <name val="Arial"/>
      <family val="2"/>
      <scheme val="minor"/>
    </font>
    <font>
      <b/>
      <u/>
      <sz val="10"/>
      <color theme="1"/>
      <name val="Arial"/>
      <family val="2"/>
    </font>
    <font>
      <b/>
      <sz val="12"/>
      <color theme="6"/>
      <name val="Arial"/>
      <family val="2"/>
    </font>
    <font>
      <sz val="11"/>
      <color theme="6"/>
      <name val="Arial"/>
      <family val="2"/>
      <scheme val="minor"/>
    </font>
    <font>
      <b/>
      <sz val="11"/>
      <color theme="6"/>
      <name val="Arial"/>
      <family val="2"/>
      <scheme val="minor"/>
    </font>
    <font>
      <sz val="8"/>
      <color theme="1"/>
      <name val="Arial"/>
      <family val="2"/>
      <scheme val="minor"/>
    </font>
    <font>
      <b/>
      <sz val="10"/>
      <color theme="1" tint="-0.249977111117893"/>
      <name val="Arial"/>
      <family val="2"/>
    </font>
    <font>
      <sz val="14"/>
      <color theme="1"/>
      <name val="Wingdings 2"/>
      <family val="1"/>
      <charset val="2"/>
    </font>
    <font>
      <sz val="11"/>
      <color rgb="FF000000"/>
      <name val="Calibri"/>
      <family val="2"/>
    </font>
    <font>
      <sz val="8"/>
      <color rgb="FF000000"/>
      <name val="Segoe UI"/>
      <family val="2"/>
    </font>
    <font>
      <b/>
      <sz val="12"/>
      <color theme="6" tint="-0.499984740745262"/>
      <name val="Arial"/>
      <family val="2"/>
    </font>
    <font>
      <b/>
      <sz val="10"/>
      <color theme="6" tint="-0.499984740745262"/>
      <name val="Arial"/>
      <family val="2"/>
    </font>
    <font>
      <b/>
      <sz val="10"/>
      <color theme="6" tint="-0.499984740745262"/>
      <name val="Arial"/>
      <family val="2"/>
      <scheme val="minor"/>
    </font>
    <font>
      <sz val="10"/>
      <color theme="1" tint="-0.499984740745262"/>
      <name val="Arial"/>
      <family val="2"/>
    </font>
    <font>
      <b/>
      <sz val="10"/>
      <color theme="1" tint="-0.499984740745262"/>
      <name val="Arial"/>
      <family val="2"/>
    </font>
    <font>
      <i/>
      <sz val="10"/>
      <color theme="1" tint="-0.499984740745262"/>
      <name val="Arial"/>
      <family val="2"/>
      <scheme val="minor"/>
    </font>
    <font>
      <b/>
      <sz val="10"/>
      <color theme="1" tint="-0.499984740745262"/>
      <name val="Arial"/>
      <family val="2"/>
      <scheme val="minor"/>
    </font>
    <font>
      <i/>
      <sz val="10"/>
      <color theme="1" tint="-0.499984740745262"/>
      <name val="Arial"/>
      <family val="2"/>
    </font>
    <font>
      <sz val="9"/>
      <color theme="1" tint="-0.499984740745262"/>
      <name val="Arial"/>
      <family val="2"/>
    </font>
    <font>
      <b/>
      <sz val="9"/>
      <color theme="1" tint="-0.499984740745262"/>
      <name val="Arial"/>
      <family val="2"/>
    </font>
    <font>
      <i/>
      <sz val="9"/>
      <color theme="1" tint="-0.499984740745262"/>
      <name val="Arial"/>
      <family val="2"/>
    </font>
    <font>
      <b/>
      <u val="singleAccounting"/>
      <sz val="9"/>
      <color theme="1" tint="-0.499984740745262"/>
      <name val="Arial"/>
      <family val="2"/>
    </font>
    <font>
      <b/>
      <sz val="9"/>
      <color rgb="FF5E8AB4"/>
      <name val="Arial"/>
      <family val="2"/>
    </font>
    <font>
      <b/>
      <sz val="8"/>
      <color rgb="FF5E8AB4"/>
      <name val="Arial"/>
      <family val="2"/>
    </font>
    <font>
      <sz val="9"/>
      <color rgb="FF5E8AB4"/>
      <name val="Arial"/>
      <family val="2"/>
    </font>
    <font>
      <b/>
      <sz val="10"/>
      <color rgb="FF5E8AB4"/>
      <name val="Arial"/>
      <family val="2"/>
    </font>
    <font>
      <b/>
      <sz val="12"/>
      <color rgb="FF5E8AB4"/>
      <name val="Arial"/>
      <family val="2"/>
    </font>
    <font>
      <sz val="11"/>
      <color rgb="FF5E8AB4"/>
      <name val="Arial"/>
      <family val="2"/>
      <scheme val="minor"/>
    </font>
    <font>
      <sz val="10"/>
      <color rgb="FF5E8AB4"/>
      <name val="Arial"/>
      <family val="2"/>
    </font>
    <font>
      <sz val="11"/>
      <color rgb="FF5E8AB4"/>
      <name val="Arial"/>
      <family val="2"/>
    </font>
    <font>
      <sz val="8"/>
      <color rgb="FF767171"/>
      <name val="Arial"/>
      <family val="2"/>
    </font>
    <font>
      <sz val="8"/>
      <name val="Arial"/>
      <family val="2"/>
      <scheme val="minor"/>
    </font>
    <font>
      <b/>
      <sz val="8"/>
      <color rgb="FF767171"/>
      <name val="Arial"/>
      <family val="2"/>
    </font>
  </fonts>
  <fills count="56">
    <fill>
      <patternFill patternType="none"/>
    </fill>
    <fill>
      <patternFill patternType="gray125"/>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34998626667073579"/>
        <bgColor indexed="64"/>
      </patternFill>
    </fill>
    <fill>
      <patternFill patternType="solid">
        <fgColor theme="4"/>
        <bgColor indexed="64"/>
      </patternFill>
    </fill>
    <fill>
      <patternFill patternType="solid">
        <fgColor rgb="FF5E8AB4"/>
        <bgColor indexed="64"/>
      </patternFill>
    </fill>
    <fill>
      <patternFill patternType="solid">
        <fgColor rgb="FFFFFFCC"/>
        <bgColor indexed="64"/>
      </patternFill>
    </fill>
    <fill>
      <patternFill patternType="solid">
        <fgColor rgb="FF002B49"/>
        <bgColor indexed="64"/>
      </patternFill>
    </fill>
    <fill>
      <patternFill patternType="solid">
        <fgColor rgb="FFFFFFFF"/>
        <bgColor indexed="64"/>
      </patternFill>
    </fill>
    <fill>
      <patternFill patternType="solid">
        <fgColor theme="1" tint="0.34998626667073579"/>
        <bgColor indexed="64"/>
      </patternFill>
    </fill>
    <fill>
      <patternFill patternType="solid">
        <fgColor indexed="55"/>
        <bgColor indexed="64"/>
      </patternFill>
    </fill>
    <fill>
      <patternFill patternType="solid">
        <fgColor rgb="FFFFFF00"/>
        <bgColor indexed="64"/>
      </patternFill>
    </fill>
    <fill>
      <patternFill patternType="solid">
        <fgColor rgb="FFDCE6F1"/>
        <bgColor indexed="64"/>
      </patternFill>
    </fill>
    <fill>
      <patternFill patternType="solid">
        <fgColor theme="4" tint="9.9978637043366805E-2"/>
        <bgColor indexed="64"/>
      </patternFill>
    </fill>
    <fill>
      <patternFill patternType="solid">
        <fgColor rgb="FFD8E4BC"/>
        <bgColor indexed="64"/>
      </patternFill>
    </fill>
    <fill>
      <patternFill patternType="solid">
        <fgColor rgb="FFF2DCDB"/>
        <bgColor indexed="64"/>
      </patternFill>
    </fill>
    <fill>
      <patternFill patternType="solid">
        <fgColor theme="3" tint="0.79998168889431442"/>
        <bgColor indexed="64"/>
      </patternFill>
    </fill>
    <fill>
      <patternFill patternType="solid">
        <fgColor rgb="FFEEECE1"/>
        <bgColor indexed="64"/>
      </patternFill>
    </fill>
    <fill>
      <patternFill patternType="solid">
        <fgColor rgb="FFC00000"/>
        <bgColor indexed="64"/>
      </patternFill>
    </fill>
    <fill>
      <patternFill patternType="solid">
        <fgColor theme="6"/>
        <bgColor indexed="64"/>
      </patternFill>
    </fill>
    <fill>
      <patternFill patternType="solid">
        <fgColor theme="6" tint="-0.499984740745262"/>
        <bgColor indexed="64"/>
      </patternFill>
    </fill>
    <fill>
      <patternFill patternType="solid">
        <fgColor theme="7" tint="0.79998168889431442"/>
        <bgColor indexed="64"/>
      </patternFill>
    </fill>
  </fills>
  <borders count="1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style="medium">
        <color theme="0" tint="-0.249977111117893"/>
      </top>
      <bottom/>
      <diagonal/>
    </border>
    <border>
      <left style="medium">
        <color theme="0" tint="-0.249977111117893"/>
      </left>
      <right/>
      <top/>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medium">
        <color theme="3"/>
      </bottom>
      <diagonal/>
    </border>
    <border>
      <left/>
      <right/>
      <top style="thin">
        <color theme="0" tint="-0.24994659260841701"/>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499984740745262"/>
      </right>
      <top style="thin">
        <color theme="0" tint="-0.14996795556505021"/>
      </top>
      <bottom style="thin">
        <color theme="0" tint="-0.14996795556505021"/>
      </bottom>
      <diagonal/>
    </border>
    <border>
      <left style="thin">
        <color theme="0" tint="-0.24994659260841701"/>
      </left>
      <right style="thin">
        <color theme="0" tint="-0.24994659260841701"/>
      </right>
      <top/>
      <bottom style="thin">
        <color theme="0" tint="-0.14996795556505021"/>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249977111117893"/>
      </left>
      <right style="thin">
        <color theme="0" tint="-0.249977111117893"/>
      </right>
      <top/>
      <bottom/>
      <diagonal/>
    </border>
    <border>
      <left style="thin">
        <color theme="0" tint="-0.14996795556505021"/>
      </left>
      <right style="thin">
        <color theme="0" tint="-0.249977111117893"/>
      </right>
      <top style="thin">
        <color theme="0" tint="-0.14996795556505021"/>
      </top>
      <bottom style="thin">
        <color theme="0" tint="-0.14996795556505021"/>
      </bottom>
      <diagonal/>
    </border>
    <border>
      <left style="thin">
        <color theme="0" tint="-0.249977111117893"/>
      </left>
      <right style="thin">
        <color theme="0" tint="-0.249977111117893"/>
      </right>
      <top style="thin">
        <color theme="0" tint="-0.14996795556505021"/>
      </top>
      <bottom style="thin">
        <color theme="0" tint="-0.14996795556505021"/>
      </bottom>
      <diagonal/>
    </border>
    <border>
      <left style="thin">
        <color theme="0" tint="-0.249977111117893"/>
      </left>
      <right style="thin">
        <color theme="1" tint="0.499984740745262"/>
      </right>
      <top/>
      <bottom/>
      <diagonal/>
    </border>
    <border>
      <left style="thin">
        <color theme="0" tint="-0.249977111117893"/>
      </left>
      <right style="thin">
        <color theme="1" tint="0.499984740745262"/>
      </right>
      <top style="thin">
        <color theme="0" tint="-0.14996795556505021"/>
      </top>
      <bottom style="thin">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4"/>
      </right>
      <top/>
      <bottom/>
      <diagonal/>
    </border>
    <border>
      <left style="thin">
        <color theme="4"/>
      </left>
      <right style="thin">
        <color theme="4"/>
      </right>
      <top/>
      <bottom/>
      <diagonal/>
    </border>
    <border>
      <left/>
      <right/>
      <top style="thin">
        <color theme="0" tint="-0.14996795556505021"/>
      </top>
      <bottom style="thin">
        <color theme="0" tint="-0.14996795556505021"/>
      </bottom>
      <diagonal/>
    </border>
    <border>
      <left style="thin">
        <color theme="1" tint="0.499984740745262"/>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theme="3"/>
      </top>
      <bottom/>
      <diagonal/>
    </border>
    <border>
      <left/>
      <right style="thin">
        <color theme="3"/>
      </right>
      <top style="thin">
        <color theme="3"/>
      </top>
      <bottom/>
      <diagonal/>
    </border>
    <border>
      <left/>
      <right style="thin">
        <color theme="3"/>
      </right>
      <top/>
      <bottom/>
      <diagonal/>
    </border>
    <border>
      <left/>
      <right/>
      <top/>
      <bottom style="thin">
        <color theme="3"/>
      </bottom>
      <diagonal/>
    </border>
    <border>
      <left/>
      <right style="thin">
        <color theme="3"/>
      </right>
      <top/>
      <bottom style="thin">
        <color theme="3"/>
      </bottom>
      <diagonal/>
    </border>
    <border>
      <left style="thin">
        <color theme="3"/>
      </left>
      <right style="thin">
        <color theme="3"/>
      </right>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499984740745262"/>
      </left>
      <right/>
      <top/>
      <bottom/>
      <diagonal/>
    </border>
    <border>
      <left style="thin">
        <color theme="0" tint="-0.499984740745262"/>
      </left>
      <right/>
      <top/>
      <bottom style="thin">
        <color theme="1" tint="0.499984740745262"/>
      </bottom>
      <diagonal/>
    </border>
    <border>
      <left/>
      <right style="thin">
        <color theme="1" tint="0.499984740745262"/>
      </right>
      <top style="thin">
        <color theme="0" tint="-0.499984740745262"/>
      </top>
      <bottom/>
      <diagonal/>
    </border>
    <border>
      <left style="thin">
        <color theme="0" tint="-0.14996795556505021"/>
      </left>
      <right style="thin">
        <color theme="0" tint="-0.249977111117893"/>
      </right>
      <top style="thin">
        <color theme="0" tint="-0.14996795556505021"/>
      </top>
      <bottom/>
      <diagonal/>
    </border>
    <border>
      <left style="thin">
        <color theme="0" tint="-0.249977111117893"/>
      </left>
      <right style="thin">
        <color theme="0" tint="-0.249977111117893"/>
      </right>
      <top style="thin">
        <color theme="0" tint="-0.14996795556505021"/>
      </top>
      <bottom/>
      <diagonal/>
    </border>
    <border>
      <left style="thin">
        <color theme="0" tint="-0.249977111117893"/>
      </left>
      <right style="thin">
        <color theme="1" tint="0.499984740745262"/>
      </right>
      <top style="thin">
        <color theme="0" tint="-0.14996795556505021"/>
      </top>
      <bottom/>
      <diagonal/>
    </border>
    <border>
      <left/>
      <right/>
      <top style="thin">
        <color theme="0" tint="-0.499984740745262"/>
      </top>
      <bottom/>
      <diagonal/>
    </border>
    <border>
      <left style="thin">
        <color theme="0" tint="-0.499984740745262"/>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1" tint="0.499984740745262"/>
      </right>
      <top style="thin">
        <color theme="0" tint="-0.14996795556505021"/>
      </top>
      <bottom/>
      <diagonal/>
    </border>
    <border>
      <left style="thin">
        <color theme="1" tint="0.499984740745262"/>
      </left>
      <right style="thin">
        <color theme="0" tint="-0.14996795556505021"/>
      </right>
      <top style="thin">
        <color theme="0" tint="-0.14996795556505021"/>
      </top>
      <bottom/>
      <diagonal/>
    </border>
    <border>
      <left style="thin">
        <color theme="0" tint="-0.499984740745262"/>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0" tint="-0.24994659260841701"/>
      </left>
      <right style="thin">
        <color theme="0" tint="-0.24994659260841701"/>
      </right>
      <top/>
      <bottom/>
      <diagonal/>
    </border>
    <border>
      <left style="thin">
        <color theme="0" tint="-0.14996795556505021"/>
      </left>
      <right style="thin">
        <color theme="0" tint="-0.14993743705557422"/>
      </right>
      <top style="thin">
        <color theme="0" tint="-0.14993743705557422"/>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diagonal/>
    </border>
    <border>
      <left/>
      <right style="thin">
        <color theme="0" tint="-0.14993743705557422"/>
      </right>
      <top style="thin">
        <color theme="1" tint="0.499984740745262"/>
      </top>
      <bottom/>
      <diagonal/>
    </border>
    <border>
      <left/>
      <right style="thin">
        <color theme="0" tint="-0.14993743705557422"/>
      </right>
      <top/>
      <bottom/>
      <diagonal/>
    </border>
    <border>
      <left/>
      <right style="thin">
        <color theme="0" tint="-0.14993743705557422"/>
      </right>
      <top/>
      <bottom style="thin">
        <color theme="1" tint="0.499984740745262"/>
      </bottom>
      <diagonal/>
    </border>
    <border>
      <left/>
      <right style="thin">
        <color theme="0" tint="-0.14996795556505021"/>
      </right>
      <top style="thin">
        <color theme="0" tint="-0.14996795556505021"/>
      </top>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1" tint="0.499984740745262"/>
      </bottom>
      <diagonal/>
    </border>
    <border>
      <left style="thin">
        <color theme="0" tint="-0.249977111117893"/>
      </left>
      <right style="thin">
        <color theme="0" tint="-0.249977111117893"/>
      </right>
      <top style="thin">
        <color theme="0" tint="-0.249977111117893"/>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6795556505021"/>
      </left>
      <right style="thin">
        <color theme="0" tint="-0.14996795556505021"/>
      </right>
      <top/>
      <bottom style="thin">
        <color theme="3"/>
      </bottom>
      <diagonal/>
    </border>
    <border>
      <left style="thin">
        <color theme="0" tint="-0.14996795556505021"/>
      </left>
      <right style="thin">
        <color theme="4"/>
      </right>
      <top/>
      <bottom style="thin">
        <color theme="3"/>
      </bottom>
      <diagonal/>
    </border>
    <border>
      <left style="thin">
        <color theme="3"/>
      </left>
      <right/>
      <top/>
      <bottom/>
      <diagonal/>
    </border>
    <border>
      <left style="thin">
        <color theme="3"/>
      </left>
      <right/>
      <top style="thin">
        <color theme="3"/>
      </top>
      <bottom/>
      <diagonal/>
    </border>
    <border>
      <left style="thin">
        <color theme="3"/>
      </left>
      <right/>
      <top/>
      <bottom style="thin">
        <color theme="3"/>
      </bottom>
      <diagonal/>
    </border>
    <border>
      <left/>
      <right/>
      <top/>
      <bottom style="thin">
        <color rgb="FF002060"/>
      </bottom>
      <diagonal/>
    </border>
    <border>
      <left/>
      <right/>
      <top style="thin">
        <color theme="0" tint="-0.34998626667073579"/>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right/>
      <top/>
      <bottom style="thin">
        <color theme="1"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1" tint="0.34998626667073579"/>
      </top>
      <bottom/>
      <diagonal/>
    </border>
    <border>
      <left style="thin">
        <color theme="1" tint="0.34998626667073579"/>
      </left>
      <right style="thin">
        <color theme="0" tint="-0.14996795556505021"/>
      </right>
      <top style="thin">
        <color theme="1" tint="0.34998626667073579"/>
      </top>
      <bottom/>
      <diagonal/>
    </border>
    <border>
      <left style="thin">
        <color theme="1" tint="0.34998626667073579"/>
      </left>
      <right style="thin">
        <color theme="1" tint="0.34998626667073579"/>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0" tint="-0.34998626667073579"/>
      </left>
      <right style="thin">
        <color theme="0" tint="-0.34998626667073579"/>
      </right>
      <top/>
      <bottom style="thin">
        <color theme="0" tint="-0.34998626667073579"/>
      </bottom>
      <diagonal/>
    </border>
    <border>
      <left/>
      <right/>
      <top/>
      <bottom style="thin">
        <color auto="1"/>
      </bottom>
      <diagonal/>
    </border>
    <border>
      <left style="thin">
        <color indexed="64"/>
      </left>
      <right style="thin">
        <color indexed="64"/>
      </right>
      <top/>
      <bottom style="thin">
        <color indexed="64"/>
      </bottom>
      <diagonal/>
    </border>
    <border>
      <left/>
      <right/>
      <top style="thin">
        <color rgb="FF00206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theme="0" tint="-0.24994659260841701"/>
      </left>
      <right style="thin">
        <color theme="0" tint="-0.24994659260841701"/>
      </right>
      <top/>
      <bottom style="thin">
        <color theme="0" tint="-0.34998626667073579"/>
      </bottom>
      <diagonal/>
    </border>
    <border>
      <left style="thin">
        <color rgb="FF002B49"/>
      </left>
      <right/>
      <top style="thin">
        <color rgb="FF002B49"/>
      </top>
      <bottom/>
      <diagonal/>
    </border>
    <border>
      <left/>
      <right/>
      <top style="thin">
        <color rgb="FF002B49"/>
      </top>
      <bottom/>
      <diagonal/>
    </border>
    <border>
      <left style="thin">
        <color theme="0" tint="-0.14996795556505021"/>
      </left>
      <right style="thin">
        <color theme="1" tint="0.34998626667073579"/>
      </right>
      <top style="thin">
        <color rgb="FF002B49"/>
      </top>
      <bottom/>
      <diagonal/>
    </border>
    <border>
      <left style="thin">
        <color theme="1" tint="0.34998626667073579"/>
      </left>
      <right style="thin">
        <color theme="1" tint="0.34998626667073579"/>
      </right>
      <top style="thin">
        <color rgb="FF002B49"/>
      </top>
      <bottom/>
      <diagonal/>
    </border>
    <border>
      <left style="thin">
        <color theme="1" tint="0.34998626667073579"/>
      </left>
      <right/>
      <top style="thin">
        <color rgb="FF002B49"/>
      </top>
      <bottom/>
      <diagonal/>
    </border>
    <border>
      <left style="dashed">
        <color theme="0" tint="-0.14996795556505021"/>
      </left>
      <right style="dashed">
        <color theme="0" tint="-0.14996795556505021"/>
      </right>
      <top style="thin">
        <color rgb="FF002B49"/>
      </top>
      <bottom/>
      <diagonal/>
    </border>
    <border>
      <left/>
      <right style="thin">
        <color theme="1" tint="0.34998626667073579"/>
      </right>
      <top style="thin">
        <color rgb="FF002B49"/>
      </top>
      <bottom/>
      <diagonal/>
    </border>
    <border>
      <left style="thin">
        <color theme="1" tint="0.34998626667073579"/>
      </left>
      <right style="thin">
        <color rgb="FF002B49"/>
      </right>
      <top style="thin">
        <color rgb="FF002B49"/>
      </top>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right/>
      <top style="thin">
        <color theme="1" tint="0.34998626667073579"/>
      </top>
      <bottom style="thin">
        <color theme="1" tint="0.34998626667073579"/>
      </bottom>
      <diagonal/>
    </border>
    <border>
      <left style="thin">
        <color theme="0" tint="-0.34998626667073579"/>
      </left>
      <right style="thin">
        <color theme="0" tint="-0.34998626667073579"/>
      </right>
      <top/>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theme="0" tint="-0.24994659260841701"/>
      </top>
      <bottom style="thin">
        <color theme="0" tint="-0.24994659260841701"/>
      </bottom>
      <diagonal/>
    </border>
    <border>
      <left style="thin">
        <color theme="0" tint="-0.14996795556505021"/>
      </left>
      <right style="thin">
        <color rgb="FF002B49"/>
      </right>
      <top style="thin">
        <color rgb="FF002B49"/>
      </top>
      <bottom/>
      <diagonal/>
    </border>
    <border>
      <left/>
      <right/>
      <top/>
      <bottom style="medium">
        <color rgb="FF002B49"/>
      </bottom>
      <diagonal/>
    </border>
    <border>
      <left style="thin">
        <color theme="0" tint="-0.34998626667073579"/>
      </left>
      <right/>
      <top/>
      <bottom/>
      <diagonal/>
    </border>
    <border>
      <left/>
      <right/>
      <top style="thin">
        <color theme="0" tint="-0.14996795556505021"/>
      </top>
      <bottom/>
      <diagonal/>
    </border>
    <border>
      <left/>
      <right/>
      <top style="thin">
        <color rgb="FFD9D9D9"/>
      </top>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rgb="FFD9D9D9"/>
      </right>
      <top style="thin">
        <color rgb="FFD9D9D9"/>
      </top>
      <bottom/>
      <diagonal/>
    </border>
    <border>
      <left/>
      <right style="thin">
        <color rgb="FFD9D9D9"/>
      </right>
      <top/>
      <bottom/>
      <diagonal/>
    </border>
    <border>
      <left/>
      <right style="thin">
        <color theme="0" tint="-0.14996795556505021"/>
      </right>
      <top/>
      <bottom/>
      <diagonal/>
    </border>
    <border>
      <left/>
      <right/>
      <top/>
      <bottom style="medium">
        <color theme="6" tint="-0.499984740745262"/>
      </bottom>
      <diagonal/>
    </border>
    <border>
      <left style="thin">
        <color rgb="FF5E8AB4"/>
      </left>
      <right/>
      <top/>
      <bottom/>
      <diagonal/>
    </border>
    <border>
      <left/>
      <right/>
      <top/>
      <bottom style="medium">
        <color rgb="FF5E8AB4"/>
      </bottom>
      <diagonal/>
    </border>
    <border>
      <left style="thin">
        <color rgb="FF5E8AB4"/>
      </left>
      <right/>
      <top style="thin">
        <color rgb="FF5E8AB4"/>
      </top>
      <bottom/>
      <diagonal/>
    </border>
    <border>
      <left/>
      <right/>
      <top style="thin">
        <color rgb="FF5E8AB4"/>
      </top>
      <bottom/>
      <diagonal/>
    </border>
    <border>
      <left style="thin">
        <color theme="0" tint="-0.14996795556505021"/>
      </left>
      <right style="thin">
        <color theme="1" tint="0.34998626667073579"/>
      </right>
      <top style="thin">
        <color rgb="FF5E8AB4"/>
      </top>
      <bottom/>
      <diagonal/>
    </border>
    <border>
      <left style="thin">
        <color theme="1" tint="0.34998626667073579"/>
      </left>
      <right style="thin">
        <color theme="1" tint="0.34998626667073579"/>
      </right>
      <top style="thin">
        <color rgb="FF5E8AB4"/>
      </top>
      <bottom/>
      <diagonal/>
    </border>
    <border>
      <left style="thin">
        <color theme="1" tint="0.34998626667073579"/>
      </left>
      <right/>
      <top style="thin">
        <color rgb="FF5E8AB4"/>
      </top>
      <bottom/>
      <diagonal/>
    </border>
    <border>
      <left style="dashed">
        <color theme="0" tint="-0.14996795556505021"/>
      </left>
      <right style="dashed">
        <color theme="0" tint="-0.14996795556505021"/>
      </right>
      <top style="thin">
        <color rgb="FF5E8AB4"/>
      </top>
      <bottom/>
      <diagonal/>
    </border>
    <border>
      <left/>
      <right style="thin">
        <color theme="1" tint="0.34998626667073579"/>
      </right>
      <top style="thin">
        <color rgb="FF5E8AB4"/>
      </top>
      <bottom/>
      <diagonal/>
    </border>
    <border>
      <left style="thin">
        <color theme="1" tint="0.34998626667073579"/>
      </left>
      <right style="thin">
        <color rgb="FF5E8AB4"/>
      </right>
      <top style="thin">
        <color rgb="FF5E8AB4"/>
      </top>
      <bottom/>
      <diagonal/>
    </border>
    <border>
      <left style="thin">
        <color rgb="FF5E8AB4"/>
      </left>
      <right style="thin">
        <color theme="0" tint="-0.34998626667073579"/>
      </right>
      <top style="thin">
        <color rgb="FF5E8AB4"/>
      </top>
      <bottom/>
      <diagonal/>
    </border>
    <border>
      <left style="thin">
        <color theme="0" tint="-0.34998626667073579"/>
      </left>
      <right style="thin">
        <color theme="0" tint="-0.34998626667073579"/>
      </right>
      <top style="thin">
        <color rgb="FF5E8AB4"/>
      </top>
      <bottom/>
      <diagonal/>
    </border>
    <border>
      <left style="thin">
        <color theme="0" tint="-0.34998626667073579"/>
      </left>
      <right style="thin">
        <color rgb="FF5E8AB4"/>
      </right>
      <top style="thin">
        <color rgb="FF5E8AB4"/>
      </top>
      <bottom/>
      <diagonal/>
    </border>
    <border>
      <left style="thin">
        <color rgb="FF5E8AB4"/>
      </left>
      <right style="thin">
        <color theme="0" tint="-0.14996795556505021"/>
      </right>
      <top style="thin">
        <color rgb="FF5E8AB4"/>
      </top>
      <bottom/>
      <diagonal/>
    </border>
    <border>
      <left/>
      <right style="thin">
        <color rgb="FF5E8AB4"/>
      </right>
      <top style="thin">
        <color rgb="FF5E8AB4"/>
      </top>
      <bottom/>
      <diagonal/>
    </border>
    <border>
      <left style="thin">
        <color theme="0" tint="-0.14996795556505021"/>
      </left>
      <right/>
      <top style="thin">
        <color rgb="FF5E8AB4"/>
      </top>
      <bottom/>
      <diagonal/>
    </border>
    <border>
      <left style="thin">
        <color theme="0" tint="-0.14996795556505021"/>
      </left>
      <right style="thin">
        <color theme="0" tint="-0.14996795556505021"/>
      </right>
      <top style="thin">
        <color rgb="FF5E8AB4"/>
      </top>
      <bottom/>
      <diagonal/>
    </border>
    <border>
      <left style="thin">
        <color theme="0" tint="-0.14996795556505021"/>
      </left>
      <right style="thin">
        <color rgb="FF5E8AB4"/>
      </right>
      <top style="thin">
        <color rgb="FF5E8AB4"/>
      </top>
      <bottom/>
      <diagonal/>
    </border>
    <border>
      <left style="thin">
        <color rgb="FF5E8AB4"/>
      </left>
      <right style="thin">
        <color theme="0"/>
      </right>
      <top style="thin">
        <color rgb="FF5E8AB4"/>
      </top>
      <bottom/>
      <diagonal/>
    </border>
    <border>
      <left style="thin">
        <color theme="0"/>
      </left>
      <right style="thin">
        <color theme="0"/>
      </right>
      <top style="thin">
        <color rgb="FF5E8AB4"/>
      </top>
      <bottom/>
      <diagonal/>
    </border>
    <border>
      <left style="thin">
        <color theme="0"/>
      </left>
      <right style="thin">
        <color rgb="FF5E8AB4"/>
      </right>
      <top style="thin">
        <color rgb="FF5E8AB4"/>
      </top>
      <bottom/>
      <diagonal/>
    </border>
    <border>
      <left style="thin">
        <color rgb="FF5E8AB4"/>
      </left>
      <right style="thin">
        <color theme="0" tint="-4.9989318521683403E-2"/>
      </right>
      <top style="thin">
        <color rgb="FF5E8AB4"/>
      </top>
      <bottom/>
      <diagonal/>
    </border>
    <border>
      <left style="thin">
        <color theme="0" tint="-4.9989318521683403E-2"/>
      </left>
      <right/>
      <top style="thin">
        <color rgb="FF5E8AB4"/>
      </top>
      <bottom/>
      <diagonal/>
    </border>
    <border>
      <left/>
      <right style="thin">
        <color theme="0" tint="-4.9989318521683403E-2"/>
      </right>
      <top style="thin">
        <color rgb="FF5E8AB4"/>
      </top>
      <bottom/>
      <diagonal/>
    </border>
    <border>
      <left style="thin">
        <color theme="0" tint="-4.9989318521683403E-2"/>
      </left>
      <right style="thin">
        <color theme="0" tint="-4.9989318521683403E-2"/>
      </right>
      <top style="thin">
        <color rgb="FF5E8AB4"/>
      </top>
      <bottom/>
      <diagonal/>
    </border>
    <border>
      <left style="thin">
        <color theme="0" tint="-4.9989318521683403E-2"/>
      </left>
      <right style="thin">
        <color rgb="FF5E8AB4"/>
      </right>
      <top style="thin">
        <color rgb="FF5E8AB4"/>
      </top>
      <bottom/>
      <diagonal/>
    </border>
    <border>
      <left style="thin">
        <color rgb="FF5E8AB4"/>
      </left>
      <right style="thin">
        <color theme="0" tint="-0.14996795556505021"/>
      </right>
      <top style="thin">
        <color rgb="FF5E8AB4"/>
      </top>
      <bottom style="thin">
        <color theme="0" tint="-0.34998626667073579"/>
      </bottom>
      <diagonal/>
    </border>
    <border>
      <left/>
      <right/>
      <top style="thin">
        <color rgb="FF5E8AB4"/>
      </top>
      <bottom style="thin">
        <color theme="0" tint="-0.34998626667073579"/>
      </bottom>
      <diagonal/>
    </border>
    <border>
      <left style="thin">
        <color theme="0" tint="-0.14996795556505021"/>
      </left>
      <right style="thin">
        <color theme="1" tint="0.34998626667073579"/>
      </right>
      <top style="thin">
        <color rgb="FF5E8AB4"/>
      </top>
      <bottom style="thin">
        <color theme="0" tint="-0.34998626667073579"/>
      </bottom>
      <diagonal/>
    </border>
    <border>
      <left style="thin">
        <color theme="1" tint="0.34998626667073579"/>
      </left>
      <right style="thin">
        <color theme="1" tint="0.34998626667073579"/>
      </right>
      <top style="thin">
        <color rgb="FF5E8AB4"/>
      </top>
      <bottom style="thin">
        <color theme="0" tint="-0.34998626667073579"/>
      </bottom>
      <diagonal/>
    </border>
    <border>
      <left style="thin">
        <color theme="1" tint="0.34998626667073579"/>
      </left>
      <right style="thin">
        <color rgb="FF5E8AB4"/>
      </right>
      <top style="thin">
        <color rgb="FF5E8AB4"/>
      </top>
      <bottom style="thin">
        <color theme="0" tint="-0.34998626667073579"/>
      </bottom>
      <diagonal/>
    </border>
    <border>
      <left style="thin">
        <color theme="0" tint="-0.14996795556505021"/>
      </left>
      <right/>
      <top style="thin">
        <color rgb="FF5E8AB4"/>
      </top>
      <bottom style="thin">
        <color theme="0" tint="-0.34998626667073579"/>
      </bottom>
      <diagonal/>
    </border>
    <border>
      <left/>
      <right style="thin">
        <color rgb="FF5E8AB4"/>
      </right>
      <top style="thin">
        <color rgb="FF5E8AB4"/>
      </top>
      <bottom style="thin">
        <color theme="0" tint="-0.34998626667073579"/>
      </bottom>
      <diagonal/>
    </border>
  </borders>
  <cellStyleXfs count="47">
    <xf numFmtId="0" fontId="0" fillId="0" borderId="0"/>
    <xf numFmtId="9" fontId="1" fillId="0" borderId="0" applyFont="0" applyFill="0" applyBorder="0" applyAlignment="0" applyProtection="0"/>
    <xf numFmtId="164" fontId="1" fillId="0" borderId="0" applyFont="0" applyFill="0" applyBorder="0" applyAlignment="0" applyProtection="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4" applyNumberFormat="0" applyAlignment="0" applyProtection="0"/>
    <xf numFmtId="0" fontId="15" fillId="7" borderId="5" applyNumberFormat="0" applyAlignment="0" applyProtection="0"/>
    <xf numFmtId="0" fontId="16" fillId="7" borderId="4" applyNumberFormat="0" applyAlignment="0" applyProtection="0"/>
    <xf numFmtId="0" fontId="17" fillId="0" borderId="6" applyNumberFormat="0" applyFill="0" applyAlignment="0" applyProtection="0"/>
    <xf numFmtId="0" fontId="18" fillId="8" borderId="7" applyNumberFormat="0" applyAlignment="0" applyProtection="0"/>
    <xf numFmtId="0" fontId="19" fillId="0" borderId="0" applyNumberFormat="0" applyFill="0" applyBorder="0" applyAlignment="0" applyProtection="0"/>
    <xf numFmtId="0" fontId="1" fillId="9" borderId="8" applyNumberFormat="0" applyFont="0" applyAlignment="0" applyProtection="0"/>
    <xf numFmtId="0" fontId="20" fillId="0" borderId="0" applyNumberFormat="0" applyFill="0" applyBorder="0" applyAlignment="0" applyProtection="0"/>
    <xf numFmtId="0" fontId="2" fillId="0" borderId="9" applyNumberFormat="0" applyFill="0" applyAlignment="0" applyProtection="0"/>
    <xf numFmtId="0" fontId="2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33" borderId="0" applyNumberFormat="0" applyBorder="0" applyAlignment="0" applyProtection="0"/>
    <xf numFmtId="165" fontId="1" fillId="0" borderId="0" applyFont="0" applyFill="0" applyBorder="0" applyAlignment="0" applyProtection="0"/>
    <xf numFmtId="0" fontId="27" fillId="0" borderId="0" applyNumberFormat="0" applyFill="0" applyBorder="0" applyAlignment="0" applyProtection="0"/>
    <xf numFmtId="0" fontId="1" fillId="0" borderId="0"/>
  </cellStyleXfs>
  <cellXfs count="1526">
    <xf numFmtId="0" fontId="0" fillId="0" borderId="0" xfId="0"/>
    <xf numFmtId="0" fontId="0" fillId="0" borderId="0" xfId="0"/>
    <xf numFmtId="0" fontId="22" fillId="0" borderId="0" xfId="0" applyFont="1"/>
    <xf numFmtId="0" fontId="22" fillId="0" borderId="0" xfId="0" applyFont="1" applyAlignment="1">
      <alignment horizontal="center"/>
    </xf>
    <xf numFmtId="0" fontId="23" fillId="0" borderId="0" xfId="0" applyFont="1" applyAlignment="1">
      <alignment horizontal="left"/>
    </xf>
    <xf numFmtId="0" fontId="23" fillId="0" borderId="0" xfId="0" applyFont="1"/>
    <xf numFmtId="0" fontId="23" fillId="0" borderId="0" xfId="0" applyFont="1" applyBorder="1"/>
    <xf numFmtId="0" fontId="0" fillId="0" borderId="0" xfId="0" applyFont="1"/>
    <xf numFmtId="0" fontId="0" fillId="0" borderId="0" xfId="0" applyFont="1" applyAlignment="1">
      <alignment horizontal="center"/>
    </xf>
    <xf numFmtId="0" fontId="23" fillId="0" borderId="0" xfId="0" applyFont="1" applyAlignment="1">
      <alignment vertical="center"/>
    </xf>
    <xf numFmtId="2" fontId="0" fillId="0" borderId="0" xfId="0" applyNumberFormat="1" applyFont="1"/>
    <xf numFmtId="0" fontId="23" fillId="0" borderId="0" xfId="0" applyFont="1" applyAlignment="1">
      <alignment vertical="center" wrapText="1"/>
    </xf>
    <xf numFmtId="0" fontId="26" fillId="0" borderId="0" xfId="0" applyFont="1" applyAlignment="1">
      <alignment vertical="center"/>
    </xf>
    <xf numFmtId="0" fontId="25" fillId="36" borderId="0" xfId="0" applyFont="1" applyFill="1" applyBorder="1" applyAlignment="1">
      <alignment horizontal="center" vertical="center"/>
    </xf>
    <xf numFmtId="0" fontId="25" fillId="36" borderId="0" xfId="0" applyFont="1" applyFill="1" applyBorder="1" applyAlignment="1">
      <alignment horizontal="center" vertical="center" wrapText="1"/>
    </xf>
    <xf numFmtId="0" fontId="24" fillId="36" borderId="0" xfId="0" applyFont="1" applyFill="1" applyBorder="1" applyAlignment="1">
      <alignment horizontal="center" vertical="center"/>
    </xf>
    <xf numFmtId="0" fontId="23" fillId="36" borderId="0" xfId="0" applyFont="1" applyFill="1" applyAlignment="1">
      <alignment vertical="center"/>
    </xf>
    <xf numFmtId="0" fontId="29" fillId="0" borderId="0" xfId="0" applyFont="1"/>
    <xf numFmtId="0" fontId="33" fillId="34" borderId="0" xfId="0" applyFont="1" applyFill="1" applyBorder="1" applyAlignment="1">
      <alignment vertical="center"/>
    </xf>
    <xf numFmtId="0" fontId="39" fillId="0" borderId="0" xfId="0" applyFont="1"/>
    <xf numFmtId="0" fontId="35" fillId="34" borderId="0" xfId="0" applyFont="1" applyFill="1" applyBorder="1" applyAlignment="1">
      <alignment horizontal="center" vertical="center"/>
    </xf>
    <xf numFmtId="0" fontId="35" fillId="0" borderId="0" xfId="0" applyFont="1" applyFill="1" applyBorder="1" applyAlignment="1">
      <alignment horizontal="center" vertical="center"/>
    </xf>
    <xf numFmtId="0" fontId="35" fillId="0" borderId="0" xfId="0" applyFont="1" applyFill="1" applyBorder="1" applyAlignment="1">
      <alignment horizontal="center" vertical="center" wrapText="1"/>
    </xf>
    <xf numFmtId="0" fontId="42" fillId="0" borderId="0" xfId="0" applyFont="1"/>
    <xf numFmtId="0" fontId="43" fillId="0" borderId="0" xfId="0" applyFont="1" applyAlignment="1">
      <alignment vertical="center"/>
    </xf>
    <xf numFmtId="0" fontId="39" fillId="0" borderId="0" xfId="0" applyFont="1" applyAlignment="1">
      <alignment vertical="center"/>
    </xf>
    <xf numFmtId="0" fontId="39" fillId="0" borderId="0" xfId="0" applyFont="1" applyAlignment="1">
      <alignment horizontal="left"/>
    </xf>
    <xf numFmtId="0" fontId="39" fillId="0" borderId="0" xfId="0" applyFont="1" applyAlignment="1">
      <alignment horizontal="left" vertical="center"/>
    </xf>
    <xf numFmtId="0" fontId="39" fillId="0" borderId="0" xfId="0" applyFont="1" applyAlignment="1">
      <alignment horizontal="center" vertical="center"/>
    </xf>
    <xf numFmtId="0" fontId="39" fillId="0" borderId="0" xfId="0" applyFont="1" applyBorder="1"/>
    <xf numFmtId="0" fontId="35" fillId="34" borderId="0" xfId="0" applyFont="1" applyFill="1" applyBorder="1" applyAlignment="1">
      <alignment vertical="center"/>
    </xf>
    <xf numFmtId="0" fontId="35" fillId="34" borderId="0" xfId="0" applyFont="1" applyFill="1" applyBorder="1" applyAlignment="1">
      <alignment horizontal="left" vertical="center"/>
    </xf>
    <xf numFmtId="0" fontId="39" fillId="0" borderId="0" xfId="0" applyFont="1" applyBorder="1" applyAlignment="1">
      <alignment horizontal="left"/>
    </xf>
    <xf numFmtId="0" fontId="36" fillId="0" borderId="0" xfId="0" applyFont="1" applyFill="1" applyBorder="1" applyAlignment="1">
      <alignment horizontal="left" vertical="center"/>
    </xf>
    <xf numFmtId="0" fontId="36" fillId="0" borderId="0" xfId="0" applyFont="1" applyFill="1" applyBorder="1" applyAlignment="1">
      <alignment horizontal="right" vertical="center"/>
    </xf>
    <xf numFmtId="0" fontId="36" fillId="0" borderId="0" xfId="0" applyFont="1" applyFill="1" applyBorder="1" applyAlignment="1">
      <alignment horizontal="center" vertical="center"/>
    </xf>
    <xf numFmtId="0" fontId="39" fillId="0" borderId="0" xfId="0" applyFont="1" applyAlignment="1">
      <alignment horizontal="right" vertical="center"/>
    </xf>
    <xf numFmtId="0" fontId="36" fillId="34" borderId="0" xfId="0" applyFont="1" applyFill="1" applyBorder="1" applyAlignment="1">
      <alignment horizontal="center" vertical="center"/>
    </xf>
    <xf numFmtId="0" fontId="36" fillId="38" borderId="0" xfId="0" applyFont="1" applyFill="1" applyAlignment="1">
      <alignment horizontal="left" vertical="center"/>
    </xf>
    <xf numFmtId="0" fontId="36" fillId="38" borderId="0" xfId="0" applyFont="1" applyFill="1" applyAlignment="1">
      <alignment horizontal="center" vertical="center"/>
    </xf>
    <xf numFmtId="0" fontId="36" fillId="38" borderId="0" xfId="0" applyFont="1" applyFill="1" applyBorder="1" applyAlignment="1">
      <alignment horizontal="center" vertical="center"/>
    </xf>
    <xf numFmtId="0" fontId="36" fillId="38" borderId="0" xfId="0" applyFont="1" applyFill="1" applyAlignment="1">
      <alignment horizontal="right" vertical="center"/>
    </xf>
    <xf numFmtId="0" fontId="36" fillId="38" borderId="0" xfId="0" applyFont="1" applyFill="1" applyBorder="1" applyAlignment="1">
      <alignment horizontal="left" vertical="center"/>
    </xf>
    <xf numFmtId="0" fontId="36" fillId="38" borderId="0" xfId="0" applyFont="1" applyFill="1" applyBorder="1" applyAlignment="1">
      <alignment horizontal="right" vertical="center"/>
    </xf>
    <xf numFmtId="14" fontId="38" fillId="0" borderId="0" xfId="0" applyNumberFormat="1" applyFont="1" applyFill="1" applyBorder="1" applyAlignment="1">
      <alignment horizontal="center" vertical="center"/>
    </xf>
    <xf numFmtId="0" fontId="38" fillId="0" borderId="0" xfId="0" applyFont="1" applyFill="1" applyBorder="1" applyAlignment="1">
      <alignment horizontal="center" vertical="center"/>
    </xf>
    <xf numFmtId="0" fontId="39" fillId="0" borderId="0" xfId="0" applyFont="1" applyAlignment="1">
      <alignment horizontal="center" vertical="center"/>
    </xf>
    <xf numFmtId="168" fontId="39" fillId="0" borderId="0" xfId="0" applyNumberFormat="1" applyFont="1" applyAlignment="1">
      <alignment horizontal="center" vertical="center"/>
    </xf>
    <xf numFmtId="0" fontId="39" fillId="0" borderId="0" xfId="0" applyFont="1" applyAlignment="1">
      <alignment vertical="center"/>
    </xf>
    <xf numFmtId="168" fontId="39" fillId="0" borderId="0" xfId="0" applyNumberFormat="1" applyFont="1" applyAlignment="1">
      <alignment vertical="center"/>
    </xf>
    <xf numFmtId="0" fontId="39" fillId="0" borderId="0" xfId="0" applyFont="1" applyAlignment="1">
      <alignment horizontal="left" vertical="center"/>
    </xf>
    <xf numFmtId="0" fontId="38" fillId="0" borderId="0" xfId="0" applyFont="1" applyFill="1" applyBorder="1" applyAlignment="1">
      <alignment horizontal="right" vertical="center"/>
    </xf>
    <xf numFmtId="168" fontId="39" fillId="35" borderId="10" xfId="0" applyNumberFormat="1" applyFont="1" applyFill="1" applyBorder="1" applyAlignment="1">
      <alignment horizontal="center" vertical="center"/>
    </xf>
    <xf numFmtId="168" fontId="39" fillId="35" borderId="10" xfId="0" applyNumberFormat="1" applyFont="1" applyFill="1" applyBorder="1" applyAlignment="1">
      <alignment horizontal="right" vertical="center"/>
    </xf>
    <xf numFmtId="2" fontId="39" fillId="0" borderId="0" xfId="0" applyNumberFormat="1" applyFont="1" applyAlignment="1">
      <alignment horizontal="center" vertical="center"/>
    </xf>
    <xf numFmtId="0" fontId="39" fillId="0" borderId="0" xfId="0" applyFont="1" applyFill="1" applyAlignment="1">
      <alignment vertical="center"/>
    </xf>
    <xf numFmtId="14" fontId="39" fillId="0" borderId="0" xfId="0" applyNumberFormat="1" applyFont="1" applyFill="1" applyAlignment="1">
      <alignment vertical="center"/>
    </xf>
    <xf numFmtId="0" fontId="39" fillId="0" borderId="0" xfId="0" applyFont="1" applyFill="1" applyAlignment="1">
      <alignment vertical="center" wrapText="1"/>
    </xf>
    <xf numFmtId="168" fontId="39" fillId="0" borderId="0" xfId="0" applyNumberFormat="1" applyFont="1" applyFill="1" applyAlignment="1">
      <alignment vertical="center"/>
    </xf>
    <xf numFmtId="168" fontId="39" fillId="0" borderId="0" xfId="0" applyNumberFormat="1" applyFont="1" applyFill="1" applyAlignment="1">
      <alignment horizontal="center" vertical="center"/>
    </xf>
    <xf numFmtId="0" fontId="36" fillId="38" borderId="28" xfId="0" applyFont="1" applyFill="1" applyBorder="1" applyAlignment="1">
      <alignment horizontal="left" vertical="center" wrapText="1"/>
    </xf>
    <xf numFmtId="0" fontId="36" fillId="38" borderId="28" xfId="0" applyFont="1" applyFill="1" applyBorder="1" applyAlignment="1">
      <alignment horizontal="center" vertical="center" wrapText="1"/>
    </xf>
    <xf numFmtId="168" fontId="36" fillId="38" borderId="28" xfId="0" applyNumberFormat="1" applyFont="1" applyFill="1" applyBorder="1" applyAlignment="1">
      <alignment horizontal="center" vertical="center" wrapText="1"/>
    </xf>
    <xf numFmtId="0" fontId="36" fillId="38" borderId="0" xfId="0" applyFont="1" applyFill="1" applyBorder="1" applyAlignment="1">
      <alignment horizontal="center" vertical="center" wrapText="1"/>
    </xf>
    <xf numFmtId="0" fontId="36" fillId="38" borderId="31" xfId="0" applyFont="1" applyFill="1" applyBorder="1" applyAlignment="1">
      <alignment horizontal="center" vertical="center" wrapText="1"/>
    </xf>
    <xf numFmtId="0" fontId="36" fillId="38" borderId="24" xfId="0" applyFont="1" applyFill="1" applyBorder="1" applyAlignment="1">
      <alignment horizontal="right" vertical="center" wrapText="1"/>
    </xf>
    <xf numFmtId="0" fontId="39" fillId="35" borderId="30" xfId="0" applyFont="1" applyFill="1" applyBorder="1" applyAlignment="1">
      <alignment vertical="center" wrapText="1"/>
    </xf>
    <xf numFmtId="0" fontId="39" fillId="0" borderId="30" xfId="0" applyFont="1" applyBorder="1" applyAlignment="1">
      <alignment vertical="center" wrapText="1"/>
    </xf>
    <xf numFmtId="0" fontId="39" fillId="0" borderId="30" xfId="0" applyFont="1" applyFill="1" applyBorder="1" applyAlignment="1">
      <alignment vertical="center"/>
    </xf>
    <xf numFmtId="166" fontId="39" fillId="35" borderId="30" xfId="1" applyNumberFormat="1" applyFont="1" applyFill="1" applyBorder="1" applyAlignment="1">
      <alignment horizontal="center" vertical="center"/>
    </xf>
    <xf numFmtId="168" fontId="39" fillId="35" borderId="30" xfId="1" applyNumberFormat="1" applyFont="1" applyFill="1" applyBorder="1" applyAlignment="1">
      <alignment horizontal="center" vertical="center"/>
    </xf>
    <xf numFmtId="168" fontId="39" fillId="35" borderId="32" xfId="1" applyNumberFormat="1" applyFont="1" applyFill="1" applyBorder="1" applyAlignment="1">
      <alignment horizontal="center" vertical="center"/>
    </xf>
    <xf numFmtId="166" fontId="39" fillId="35" borderId="21" xfId="1" applyNumberFormat="1" applyFont="1" applyFill="1" applyBorder="1" applyAlignment="1">
      <alignment horizontal="right" vertical="center"/>
    </xf>
    <xf numFmtId="166" fontId="39" fillId="35" borderId="22" xfId="1" applyNumberFormat="1" applyFont="1" applyFill="1" applyBorder="1" applyAlignment="1">
      <alignment horizontal="right" vertical="center"/>
    </xf>
    <xf numFmtId="166" fontId="39" fillId="35" borderId="23" xfId="1" applyNumberFormat="1" applyFont="1" applyFill="1" applyBorder="1" applyAlignment="1">
      <alignment horizontal="right" vertical="center"/>
    </xf>
    <xf numFmtId="168" fontId="39" fillId="35" borderId="21" xfId="1" applyNumberFormat="1" applyFont="1" applyFill="1" applyBorder="1" applyAlignment="1">
      <alignment horizontal="right" vertical="center"/>
    </xf>
    <xf numFmtId="168" fontId="39" fillId="35" borderId="22" xfId="1" applyNumberFormat="1" applyFont="1" applyFill="1" applyBorder="1" applyAlignment="1">
      <alignment horizontal="right" vertical="center"/>
    </xf>
    <xf numFmtId="168" fontId="39" fillId="35" borderId="23" xfId="1" applyNumberFormat="1" applyFont="1" applyFill="1" applyBorder="1" applyAlignment="1">
      <alignment horizontal="right" vertical="center"/>
    </xf>
    <xf numFmtId="3" fontId="39" fillId="35" borderId="21" xfId="1" applyNumberFormat="1" applyFont="1" applyFill="1" applyBorder="1" applyAlignment="1">
      <alignment horizontal="right" vertical="center"/>
    </xf>
    <xf numFmtId="3" fontId="39" fillId="35" borderId="22" xfId="1" applyNumberFormat="1" applyFont="1" applyFill="1" applyBorder="1" applyAlignment="1">
      <alignment horizontal="right" vertical="center"/>
    </xf>
    <xf numFmtId="3" fontId="39" fillId="35" borderId="23" xfId="1" applyNumberFormat="1" applyFont="1" applyFill="1" applyBorder="1" applyAlignment="1">
      <alignment horizontal="right" vertical="center"/>
    </xf>
    <xf numFmtId="0" fontId="38" fillId="0" borderId="30" xfId="0" applyFont="1" applyBorder="1" applyAlignment="1">
      <alignment horizontal="left" vertical="center" wrapText="1"/>
    </xf>
    <xf numFmtId="0" fontId="39" fillId="0" borderId="30" xfId="0" applyFont="1" applyBorder="1" applyAlignment="1">
      <alignment horizontal="center" vertical="center"/>
    </xf>
    <xf numFmtId="166" fontId="39" fillId="36" borderId="30" xfId="1" applyNumberFormat="1" applyFont="1" applyFill="1" applyBorder="1" applyAlignment="1">
      <alignment horizontal="center" vertical="center"/>
    </xf>
    <xf numFmtId="168" fontId="39" fillId="36" borderId="30" xfId="1" applyNumberFormat="1" applyFont="1" applyFill="1" applyBorder="1" applyAlignment="1">
      <alignment horizontal="center" vertical="center"/>
    </xf>
    <xf numFmtId="168" fontId="39" fillId="36" borderId="32" xfId="1" applyNumberFormat="1" applyFont="1" applyFill="1" applyBorder="1" applyAlignment="1">
      <alignment horizontal="center" vertical="center"/>
    </xf>
    <xf numFmtId="166" fontId="39" fillId="36" borderId="21" xfId="1" applyNumberFormat="1" applyFont="1" applyFill="1" applyBorder="1" applyAlignment="1">
      <alignment horizontal="right" vertical="center"/>
    </xf>
    <xf numFmtId="166" fontId="39" fillId="36" borderId="22" xfId="1" applyNumberFormat="1" applyFont="1" applyFill="1" applyBorder="1" applyAlignment="1">
      <alignment horizontal="right" vertical="center"/>
    </xf>
    <xf numFmtId="166" fontId="39" fillId="36" borderId="23" xfId="1" applyNumberFormat="1" applyFont="1" applyFill="1" applyBorder="1" applyAlignment="1">
      <alignment horizontal="right" vertical="center"/>
    </xf>
    <xf numFmtId="168" fontId="39" fillId="36" borderId="21" xfId="1" applyNumberFormat="1" applyFont="1" applyFill="1" applyBorder="1" applyAlignment="1">
      <alignment horizontal="right" vertical="center"/>
    </xf>
    <xf numFmtId="168" fontId="39" fillId="36" borderId="22" xfId="1" applyNumberFormat="1" applyFont="1" applyFill="1" applyBorder="1" applyAlignment="1">
      <alignment horizontal="right" vertical="center"/>
    </xf>
    <xf numFmtId="168" fontId="39" fillId="36" borderId="23" xfId="1" applyNumberFormat="1" applyFont="1" applyFill="1" applyBorder="1" applyAlignment="1">
      <alignment horizontal="right" vertical="center"/>
    </xf>
    <xf numFmtId="3" fontId="39" fillId="36" borderId="21" xfId="1" applyNumberFormat="1" applyFont="1" applyFill="1" applyBorder="1" applyAlignment="1">
      <alignment horizontal="right" vertical="center"/>
    </xf>
    <xf numFmtId="3" fontId="39" fillId="36" borderId="22" xfId="1" applyNumberFormat="1" applyFont="1" applyFill="1" applyBorder="1" applyAlignment="1">
      <alignment horizontal="right" vertical="center"/>
    </xf>
    <xf numFmtId="3" fontId="39" fillId="36" borderId="23" xfId="1" applyNumberFormat="1" applyFont="1" applyFill="1" applyBorder="1" applyAlignment="1">
      <alignment horizontal="right" vertical="center"/>
    </xf>
    <xf numFmtId="0" fontId="39" fillId="0" borderId="30" xfId="0" applyFont="1" applyFill="1" applyBorder="1" applyAlignment="1">
      <alignment horizontal="right" vertical="center"/>
    </xf>
    <xf numFmtId="2" fontId="39" fillId="0" borderId="30" xfId="0" applyNumberFormat="1" applyFont="1" applyBorder="1" applyAlignment="1">
      <alignment horizontal="center" vertical="center"/>
    </xf>
    <xf numFmtId="0" fontId="39" fillId="0" borderId="0" xfId="0" applyFont="1" applyAlignment="1">
      <alignment horizontal="center" vertical="center" wrapText="1"/>
    </xf>
    <xf numFmtId="0" fontId="35" fillId="34" borderId="0" xfId="0" applyFont="1" applyFill="1" applyAlignment="1">
      <alignment vertical="center"/>
    </xf>
    <xf numFmtId="0" fontId="44" fillId="35" borderId="0" xfId="0" applyFont="1" applyFill="1" applyBorder="1" applyAlignment="1">
      <alignment horizontal="left" vertical="center"/>
    </xf>
    <xf numFmtId="0" fontId="44" fillId="35" borderId="0" xfId="0" applyFont="1" applyFill="1" applyBorder="1" applyAlignment="1">
      <alignment vertical="center"/>
    </xf>
    <xf numFmtId="2" fontId="44" fillId="35" borderId="0" xfId="0" applyNumberFormat="1" applyFont="1" applyFill="1" applyBorder="1" applyAlignment="1">
      <alignment vertical="center"/>
    </xf>
    <xf numFmtId="166" fontId="44" fillId="35" borderId="0" xfId="1" applyNumberFormat="1" applyFont="1" applyFill="1" applyBorder="1" applyAlignment="1">
      <alignment vertical="center"/>
    </xf>
    <xf numFmtId="2" fontId="44" fillId="35" borderId="20" xfId="0" applyNumberFormat="1" applyFont="1" applyFill="1" applyBorder="1" applyAlignment="1">
      <alignment vertical="center"/>
    </xf>
    <xf numFmtId="0" fontId="44" fillId="0" borderId="0" xfId="0" applyFont="1"/>
    <xf numFmtId="166" fontId="44" fillId="35" borderId="19" xfId="1" applyNumberFormat="1" applyFont="1" applyFill="1" applyBorder="1" applyAlignment="1">
      <alignment horizontal="right" vertical="center"/>
    </xf>
    <xf numFmtId="166" fontId="44" fillId="35" borderId="0" xfId="1" applyNumberFormat="1" applyFont="1" applyFill="1" applyBorder="1" applyAlignment="1">
      <alignment horizontal="right" vertical="center"/>
    </xf>
    <xf numFmtId="166" fontId="44" fillId="35" borderId="20" xfId="1" applyNumberFormat="1" applyFont="1" applyFill="1" applyBorder="1" applyAlignment="1">
      <alignment horizontal="right" vertical="center"/>
    </xf>
    <xf numFmtId="168" fontId="44" fillId="35" borderId="19" xfId="1" applyNumberFormat="1" applyFont="1" applyFill="1" applyBorder="1" applyAlignment="1">
      <alignment horizontal="right" vertical="center"/>
    </xf>
    <xf numFmtId="168" fontId="44" fillId="35" borderId="0" xfId="1" applyNumberFormat="1" applyFont="1" applyFill="1" applyBorder="1" applyAlignment="1">
      <alignment horizontal="right" vertical="center"/>
    </xf>
    <xf numFmtId="168" fontId="44" fillId="35" borderId="20" xfId="1" applyNumberFormat="1" applyFont="1" applyFill="1" applyBorder="1" applyAlignment="1">
      <alignment horizontal="right" vertical="center"/>
    </xf>
    <xf numFmtId="3" fontId="44" fillId="35" borderId="19" xfId="1" applyNumberFormat="1" applyFont="1" applyFill="1" applyBorder="1" applyAlignment="1">
      <alignment horizontal="right" vertical="center"/>
    </xf>
    <xf numFmtId="3" fontId="44" fillId="35" borderId="0" xfId="1" applyNumberFormat="1" applyFont="1" applyFill="1" applyBorder="1" applyAlignment="1">
      <alignment horizontal="right" vertical="center"/>
    </xf>
    <xf numFmtId="3" fontId="44" fillId="35" borderId="20" xfId="1" applyNumberFormat="1" applyFont="1" applyFill="1" applyBorder="1" applyAlignment="1">
      <alignment horizontal="right" vertical="center"/>
    </xf>
    <xf numFmtId="2" fontId="44" fillId="35" borderId="0" xfId="1" applyNumberFormat="1" applyFont="1" applyFill="1" applyBorder="1" applyAlignment="1">
      <alignment vertical="center"/>
    </xf>
    <xf numFmtId="166" fontId="44" fillId="35" borderId="20" xfId="1" applyNumberFormat="1" applyFont="1" applyFill="1" applyBorder="1" applyAlignment="1">
      <alignment vertical="center"/>
    </xf>
    <xf numFmtId="1" fontId="44" fillId="35" borderId="0" xfId="0" applyNumberFormat="1" applyFont="1" applyFill="1" applyBorder="1" applyAlignment="1">
      <alignment vertical="center"/>
    </xf>
    <xf numFmtId="0" fontId="44" fillId="35" borderId="20" xfId="0" applyFont="1" applyFill="1" applyBorder="1" applyAlignment="1">
      <alignment vertical="center"/>
    </xf>
    <xf numFmtId="0" fontId="44" fillId="35" borderId="0" xfId="0" applyFont="1" applyFill="1" applyAlignment="1">
      <alignment vertical="center"/>
    </xf>
    <xf numFmtId="0" fontId="44" fillId="35" borderId="19" xfId="0" applyFont="1" applyFill="1" applyBorder="1" applyAlignment="1">
      <alignment horizontal="right" vertical="center"/>
    </xf>
    <xf numFmtId="0" fontId="44" fillId="35" borderId="0" xfId="0" applyFont="1" applyFill="1" applyBorder="1" applyAlignment="1">
      <alignment horizontal="right" vertical="center"/>
    </xf>
    <xf numFmtId="0" fontId="44" fillId="35" borderId="20" xfId="0" applyFont="1" applyFill="1" applyBorder="1" applyAlignment="1">
      <alignment horizontal="right" vertical="center"/>
    </xf>
    <xf numFmtId="3" fontId="44" fillId="35" borderId="19" xfId="0" applyNumberFormat="1" applyFont="1" applyFill="1" applyBorder="1" applyAlignment="1">
      <alignment horizontal="right" vertical="center"/>
    </xf>
    <xf numFmtId="3" fontId="44" fillId="35" borderId="0" xfId="0" applyNumberFormat="1" applyFont="1" applyFill="1" applyBorder="1" applyAlignment="1">
      <alignment horizontal="right" vertical="center"/>
    </xf>
    <xf numFmtId="3" fontId="44" fillId="35" borderId="20" xfId="0" applyNumberFormat="1" applyFont="1" applyFill="1" applyBorder="1" applyAlignment="1">
      <alignment horizontal="right" vertical="center"/>
    </xf>
    <xf numFmtId="0" fontId="44" fillId="35" borderId="26" xfId="0" applyFont="1" applyFill="1" applyBorder="1" applyAlignment="1">
      <alignment horizontal="left" vertical="center"/>
    </xf>
    <xf numFmtId="0" fontId="44" fillId="35" borderId="26" xfId="0" applyFont="1" applyFill="1" applyBorder="1" applyAlignment="1">
      <alignment horizontal="center" vertical="center" wrapText="1"/>
    </xf>
    <xf numFmtId="0" fontId="44" fillId="35" borderId="26" xfId="0" applyFont="1" applyFill="1" applyBorder="1" applyAlignment="1">
      <alignment horizontal="right" vertical="center" wrapText="1"/>
    </xf>
    <xf numFmtId="0" fontId="44" fillId="35" borderId="27" xfId="0" applyFont="1" applyFill="1" applyBorder="1" applyAlignment="1">
      <alignment horizontal="right" vertical="center" wrapText="1"/>
    </xf>
    <xf numFmtId="0" fontId="44" fillId="35" borderId="0" xfId="0" applyFont="1" applyFill="1" applyAlignment="1">
      <alignment horizontal="right" vertical="center" wrapText="1"/>
    </xf>
    <xf numFmtId="3" fontId="44" fillId="35" borderId="26" xfId="0" applyNumberFormat="1" applyFont="1" applyFill="1" applyBorder="1" applyAlignment="1">
      <alignment horizontal="right" vertical="center" wrapText="1"/>
    </xf>
    <xf numFmtId="3" fontId="44" fillId="35" borderId="27" xfId="0" applyNumberFormat="1" applyFont="1" applyFill="1" applyBorder="1" applyAlignment="1">
      <alignment horizontal="right" vertical="center" wrapText="1"/>
    </xf>
    <xf numFmtId="0" fontId="46" fillId="0" borderId="0" xfId="0" applyFont="1"/>
    <xf numFmtId="2" fontId="42" fillId="0" borderId="0" xfId="0" applyNumberFormat="1" applyFont="1"/>
    <xf numFmtId="0" fontId="39" fillId="36" borderId="0" xfId="0" applyFont="1" applyFill="1" applyAlignment="1">
      <alignment horizontal="center" vertical="center"/>
    </xf>
    <xf numFmtId="0" fontId="39" fillId="0" borderId="14" xfId="0" applyFont="1" applyBorder="1"/>
    <xf numFmtId="0" fontId="38" fillId="0" borderId="0" xfId="0" applyFont="1" applyBorder="1"/>
    <xf numFmtId="0" fontId="38" fillId="0" borderId="0" xfId="0" applyFont="1" applyBorder="1" applyAlignment="1">
      <alignment horizontal="center"/>
    </xf>
    <xf numFmtId="0" fontId="38" fillId="0" borderId="0" xfId="0" applyFont="1" applyFill="1" applyBorder="1" applyAlignment="1">
      <alignment vertical="center"/>
    </xf>
    <xf numFmtId="0" fontId="38" fillId="0" borderId="0" xfId="0" applyFont="1" applyFill="1" applyBorder="1" applyAlignment="1">
      <alignment horizontal="left" vertical="center"/>
    </xf>
    <xf numFmtId="0" fontId="39" fillId="0" borderId="0" xfId="0" applyFont="1" applyBorder="1" applyAlignment="1">
      <alignment vertical="center"/>
    </xf>
    <xf numFmtId="0" fontId="39" fillId="36" borderId="0" xfId="0" applyFont="1" applyFill="1" applyBorder="1" applyAlignment="1">
      <alignment horizontal="center" vertical="center"/>
    </xf>
    <xf numFmtId="0" fontId="35" fillId="0" borderId="0" xfId="0" applyFont="1" applyFill="1" applyBorder="1" applyAlignment="1">
      <alignment vertical="center"/>
    </xf>
    <xf numFmtId="0" fontId="39" fillId="0" borderId="34" xfId="0" applyFont="1" applyFill="1" applyBorder="1" applyAlignment="1">
      <alignment vertical="top" wrapText="1"/>
    </xf>
    <xf numFmtId="3" fontId="39" fillId="0" borderId="34" xfId="0" applyNumberFormat="1" applyFont="1" applyFill="1" applyBorder="1" applyAlignment="1">
      <alignment horizontal="left" vertical="top"/>
    </xf>
    <xf numFmtId="3" fontId="39" fillId="0" borderId="34" xfId="0" applyNumberFormat="1" applyFont="1" applyFill="1" applyBorder="1" applyAlignment="1">
      <alignment horizontal="right" vertical="top"/>
    </xf>
    <xf numFmtId="0" fontId="39" fillId="0" borderId="34" xfId="0" applyFont="1" applyFill="1" applyBorder="1" applyAlignment="1">
      <alignment horizontal="left" vertical="top" wrapText="1"/>
    </xf>
    <xf numFmtId="170" fontId="36" fillId="36" borderId="14" xfId="0" applyNumberFormat="1" applyFont="1" applyFill="1" applyBorder="1" applyAlignment="1">
      <alignment vertical="center"/>
    </xf>
    <xf numFmtId="0" fontId="35" fillId="36" borderId="0" xfId="0" applyFont="1" applyFill="1" applyAlignment="1">
      <alignment vertical="center"/>
    </xf>
    <xf numFmtId="0" fontId="38" fillId="36" borderId="0" xfId="0" applyFont="1" applyFill="1" applyAlignment="1">
      <alignment vertical="center"/>
    </xf>
    <xf numFmtId="0" fontId="38" fillId="36" borderId="0" xfId="0" applyFont="1" applyFill="1" applyAlignment="1">
      <alignment horizontal="center" vertical="center"/>
    </xf>
    <xf numFmtId="0" fontId="39" fillId="36" borderId="14" xfId="0" applyFont="1" applyFill="1" applyBorder="1" applyAlignment="1">
      <alignment vertical="center"/>
    </xf>
    <xf numFmtId="0" fontId="39" fillId="0" borderId="14" xfId="0" applyFont="1" applyFill="1" applyBorder="1" applyAlignment="1">
      <alignment vertical="center"/>
    </xf>
    <xf numFmtId="0" fontId="39" fillId="0" borderId="0" xfId="0" applyFont="1" applyFill="1" applyBorder="1" applyAlignment="1">
      <alignment vertical="center"/>
    </xf>
    <xf numFmtId="0" fontId="35" fillId="34" borderId="0" xfId="0" applyFont="1" applyFill="1"/>
    <xf numFmtId="0" fontId="39" fillId="35" borderId="0" xfId="0" applyFont="1" applyFill="1" applyAlignment="1">
      <alignment vertical="center"/>
    </xf>
    <xf numFmtId="9" fontId="39" fillId="0" borderId="0" xfId="1" applyFont="1" applyAlignment="1">
      <alignment vertical="center"/>
    </xf>
    <xf numFmtId="168" fontId="39" fillId="0" borderId="0" xfId="0" applyNumberFormat="1" applyFont="1" applyBorder="1" applyAlignment="1">
      <alignment vertical="center"/>
    </xf>
    <xf numFmtId="0" fontId="39" fillId="0" borderId="18" xfId="0" applyFont="1" applyBorder="1" applyAlignment="1">
      <alignment horizontal="left" vertical="center"/>
    </xf>
    <xf numFmtId="0" fontId="39" fillId="0" borderId="18" xfId="0" applyFont="1" applyBorder="1" applyAlignment="1">
      <alignment horizontal="left" vertical="center" indent="1"/>
    </xf>
    <xf numFmtId="0" fontId="35" fillId="0" borderId="0" xfId="0" applyFont="1" applyFill="1" applyAlignment="1">
      <alignment vertical="center"/>
    </xf>
    <xf numFmtId="0" fontId="39" fillId="0" borderId="0" xfId="0" applyFont="1" applyFill="1" applyAlignment="1">
      <alignment vertical="center"/>
    </xf>
    <xf numFmtId="3" fontId="39" fillId="0" borderId="18" xfId="0" applyNumberFormat="1" applyFont="1" applyBorder="1" applyAlignment="1">
      <alignment horizontal="right" vertical="center"/>
    </xf>
    <xf numFmtId="167" fontId="39" fillId="0" borderId="0" xfId="0" applyNumberFormat="1" applyFont="1" applyAlignment="1">
      <alignment vertical="center"/>
    </xf>
    <xf numFmtId="9" fontId="39" fillId="0" borderId="0" xfId="1" applyFont="1" applyAlignment="1">
      <alignment horizontal="right" vertical="center"/>
    </xf>
    <xf numFmtId="0" fontId="43" fillId="0" borderId="18" xfId="0" applyFont="1" applyFill="1" applyBorder="1" applyAlignment="1">
      <alignment horizontal="left" vertical="center"/>
    </xf>
    <xf numFmtId="167" fontId="39" fillId="0" borderId="0" xfId="0" applyNumberFormat="1" applyFont="1" applyBorder="1" applyAlignment="1">
      <alignment horizontal="right" vertical="center"/>
    </xf>
    <xf numFmtId="9" fontId="39" fillId="0" borderId="0" xfId="1" applyFont="1" applyBorder="1" applyAlignment="1">
      <alignment horizontal="right" vertical="center"/>
    </xf>
    <xf numFmtId="166" fontId="39" fillId="0" borderId="0" xfId="1" applyNumberFormat="1" applyFont="1" applyAlignment="1">
      <alignment vertical="center"/>
    </xf>
    <xf numFmtId="0" fontId="43" fillId="0" borderId="18" xfId="0" applyFont="1" applyBorder="1" applyAlignment="1">
      <alignment horizontal="left" vertical="center"/>
    </xf>
    <xf numFmtId="0" fontId="39" fillId="0" borderId="0" xfId="0" applyFont="1" applyBorder="1" applyAlignment="1">
      <alignment horizontal="left" vertical="center"/>
    </xf>
    <xf numFmtId="168" fontId="39" fillId="0" borderId="0" xfId="0" applyNumberFormat="1" applyFont="1" applyAlignment="1">
      <alignment horizontal="right" vertical="center"/>
    </xf>
    <xf numFmtId="166" fontId="39" fillId="0" borderId="0" xfId="1" applyNumberFormat="1" applyFont="1" applyBorder="1" applyAlignment="1">
      <alignment horizontal="right" vertical="center"/>
    </xf>
    <xf numFmtId="166" fontId="39" fillId="0" borderId="0" xfId="1" applyNumberFormat="1" applyFont="1" applyBorder="1" applyAlignment="1">
      <alignment vertical="center"/>
    </xf>
    <xf numFmtId="10" fontId="43" fillId="0" borderId="0" xfId="1" applyNumberFormat="1" applyFont="1" applyAlignment="1">
      <alignment vertical="center"/>
    </xf>
    <xf numFmtId="0" fontId="39" fillId="0" borderId="18" xfId="0" applyFont="1" applyFill="1" applyBorder="1" applyAlignment="1">
      <alignment horizontal="left" vertical="center" indent="1"/>
    </xf>
    <xf numFmtId="0" fontId="37" fillId="0" borderId="17" xfId="0" applyFont="1" applyBorder="1" applyAlignment="1">
      <alignment horizontal="left" vertical="center"/>
    </xf>
    <xf numFmtId="0" fontId="0" fillId="0" borderId="17" xfId="0" applyBorder="1" applyAlignment="1">
      <alignment vertical="center"/>
    </xf>
    <xf numFmtId="3" fontId="39" fillId="0" borderId="0" xfId="0" applyNumberFormat="1" applyFont="1" applyBorder="1" applyAlignment="1">
      <alignment horizontal="right" vertical="center"/>
    </xf>
    <xf numFmtId="3" fontId="39" fillId="0" borderId="0" xfId="0" applyNumberFormat="1" applyFont="1" applyAlignment="1">
      <alignment horizontal="right" vertical="center"/>
    </xf>
    <xf numFmtId="171" fontId="39" fillId="0" borderId="0" xfId="0" applyNumberFormat="1" applyFont="1" applyBorder="1" applyAlignment="1">
      <alignment horizontal="right" vertical="center"/>
    </xf>
    <xf numFmtId="166" fontId="39" fillId="0" borderId="0" xfId="1" applyNumberFormat="1" applyFont="1" applyAlignment="1">
      <alignment horizontal="right" vertical="center"/>
    </xf>
    <xf numFmtId="166" fontId="39" fillId="0" borderId="18" xfId="1" applyNumberFormat="1" applyFont="1" applyBorder="1" applyAlignment="1">
      <alignment horizontal="right" vertical="center"/>
    </xf>
    <xf numFmtId="166" fontId="39" fillId="0" borderId="0" xfId="1" applyNumberFormat="1" applyFont="1" applyFill="1" applyBorder="1" applyAlignment="1">
      <alignment horizontal="right" vertical="center"/>
    </xf>
    <xf numFmtId="166" fontId="39" fillId="0" borderId="18" xfId="1" applyNumberFormat="1" applyFont="1" applyFill="1" applyBorder="1" applyAlignment="1">
      <alignment horizontal="right" vertical="center"/>
    </xf>
    <xf numFmtId="0" fontId="39" fillId="0" borderId="0" xfId="0" applyFont="1" applyFill="1" applyAlignment="1">
      <alignment horizontal="left" vertical="center"/>
    </xf>
    <xf numFmtId="166" fontId="39" fillId="0" borderId="0" xfId="1" applyNumberFormat="1" applyFont="1" applyFill="1" applyAlignment="1">
      <alignment horizontal="right" vertical="center"/>
    </xf>
    <xf numFmtId="0" fontId="43" fillId="37" borderId="0" xfId="0" applyFont="1" applyFill="1" applyAlignment="1">
      <alignment vertical="center"/>
    </xf>
    <xf numFmtId="0" fontId="39" fillId="37" borderId="0" xfId="0" applyFont="1" applyFill="1" applyAlignment="1">
      <alignment vertical="center"/>
    </xf>
    <xf numFmtId="3" fontId="39" fillId="0" borderId="0" xfId="0" applyNumberFormat="1" applyFont="1" applyAlignment="1">
      <alignment vertical="center"/>
    </xf>
    <xf numFmtId="9" fontId="39" fillId="0" borderId="0" xfId="1" applyNumberFormat="1" applyFont="1" applyAlignment="1">
      <alignment horizontal="right" vertical="center"/>
    </xf>
    <xf numFmtId="3" fontId="39" fillId="0" borderId="0" xfId="0" applyNumberFormat="1" applyFont="1" applyBorder="1" applyAlignment="1">
      <alignment vertical="center"/>
    </xf>
    <xf numFmtId="9" fontId="39" fillId="0" borderId="0" xfId="1" applyNumberFormat="1" applyFont="1" applyBorder="1" applyAlignment="1">
      <alignment horizontal="right" vertical="center"/>
    </xf>
    <xf numFmtId="0" fontId="39" fillId="0" borderId="18" xfId="0" applyFont="1" applyBorder="1" applyAlignment="1">
      <alignment vertical="center"/>
    </xf>
    <xf numFmtId="3" fontId="39" fillId="0" borderId="18" xfId="0" applyNumberFormat="1" applyFont="1" applyBorder="1" applyAlignment="1">
      <alignment vertical="center"/>
    </xf>
    <xf numFmtId="9" fontId="39" fillId="0" borderId="18" xfId="1" applyNumberFormat="1" applyFont="1" applyBorder="1" applyAlignment="1">
      <alignment horizontal="right" vertical="center"/>
    </xf>
    <xf numFmtId="167" fontId="39" fillId="0" borderId="18" xfId="0" applyNumberFormat="1" applyFont="1" applyBorder="1" applyAlignment="1">
      <alignment horizontal="right" vertical="center"/>
    </xf>
    <xf numFmtId="167" fontId="39" fillId="0" borderId="0" xfId="0" applyNumberFormat="1" applyFont="1" applyBorder="1" applyAlignment="1">
      <alignment vertical="center"/>
    </xf>
    <xf numFmtId="3" fontId="43" fillId="0" borderId="18" xfId="0" applyNumberFormat="1" applyFont="1" applyBorder="1" applyAlignment="1">
      <alignment vertical="center"/>
    </xf>
    <xf numFmtId="0" fontId="43" fillId="0" borderId="18" xfId="0" applyFont="1" applyBorder="1" applyAlignment="1">
      <alignment vertical="center"/>
    </xf>
    <xf numFmtId="9" fontId="39" fillId="0" borderId="0" xfId="0" applyNumberFormat="1" applyFont="1" applyAlignment="1">
      <alignment horizontal="right" vertical="center"/>
    </xf>
    <xf numFmtId="3" fontId="43" fillId="0" borderId="0" xfId="0" applyNumberFormat="1" applyFont="1" applyAlignment="1">
      <alignment vertical="center"/>
    </xf>
    <xf numFmtId="9" fontId="43" fillId="0" borderId="0" xfId="1" applyNumberFormat="1" applyFont="1" applyBorder="1" applyAlignment="1">
      <alignment horizontal="right" vertical="center"/>
    </xf>
    <xf numFmtId="9" fontId="43" fillId="0" borderId="0" xfId="1" applyNumberFormat="1" applyFont="1" applyAlignment="1">
      <alignment horizontal="right" vertical="center"/>
    </xf>
    <xf numFmtId="0" fontId="37" fillId="0" borderId="0" xfId="0" applyFont="1" applyBorder="1" applyAlignment="1">
      <alignment horizontal="left" vertical="center"/>
    </xf>
    <xf numFmtId="0" fontId="0" fillId="0" borderId="0" xfId="0" applyBorder="1" applyAlignment="1">
      <alignment vertical="center"/>
    </xf>
    <xf numFmtId="9" fontId="39" fillId="0" borderId="18" xfId="1" applyFont="1" applyBorder="1" applyAlignment="1">
      <alignment horizontal="right" vertical="center"/>
    </xf>
    <xf numFmtId="3" fontId="43" fillId="0" borderId="0" xfId="0" applyNumberFormat="1" applyFont="1" applyAlignment="1">
      <alignment horizontal="right" vertical="center"/>
    </xf>
    <xf numFmtId="10" fontId="39" fillId="0" borderId="0" xfId="1" applyNumberFormat="1" applyFont="1" applyAlignment="1">
      <alignment vertical="center"/>
    </xf>
    <xf numFmtId="3" fontId="39" fillId="0" borderId="0" xfId="1" applyNumberFormat="1" applyFont="1" applyBorder="1" applyAlignment="1">
      <alignment horizontal="right" vertical="center"/>
    </xf>
    <xf numFmtId="0" fontId="28" fillId="0" borderId="0" xfId="0" applyFont="1" applyFill="1" applyBorder="1" applyAlignment="1">
      <alignment vertical="center"/>
    </xf>
    <xf numFmtId="0" fontId="43" fillId="0" borderId="0" xfId="0" applyFont="1" applyAlignment="1"/>
    <xf numFmtId="0" fontId="43" fillId="0" borderId="0" xfId="0" applyFont="1" applyAlignment="1">
      <alignment vertical="center"/>
    </xf>
    <xf numFmtId="0" fontId="39" fillId="35" borderId="10" xfId="0" applyFont="1" applyFill="1" applyBorder="1" applyAlignment="1">
      <alignment vertical="center" wrapText="1"/>
    </xf>
    <xf numFmtId="0" fontId="39" fillId="35" borderId="10" xfId="0" applyFont="1" applyFill="1" applyBorder="1" applyAlignment="1">
      <alignment horizontal="center" vertical="center"/>
    </xf>
    <xf numFmtId="166" fontId="39" fillId="35" borderId="10" xfId="1" applyNumberFormat="1" applyFont="1" applyFill="1" applyBorder="1" applyAlignment="1">
      <alignment horizontal="center" vertical="center"/>
    </xf>
    <xf numFmtId="168" fontId="39" fillId="35" borderId="10" xfId="1" applyNumberFormat="1" applyFont="1" applyFill="1" applyBorder="1" applyAlignment="1">
      <alignment horizontal="center" vertical="center"/>
    </xf>
    <xf numFmtId="10" fontId="39" fillId="35" borderId="10" xfId="1" applyNumberFormat="1" applyFont="1" applyFill="1" applyBorder="1" applyAlignment="1">
      <alignment horizontal="center" vertical="center"/>
    </xf>
    <xf numFmtId="0" fontId="39" fillId="0" borderId="10" xfId="0" applyFont="1" applyBorder="1" applyAlignment="1">
      <alignment vertical="center" wrapText="1"/>
    </xf>
    <xf numFmtId="0" fontId="39" fillId="0" borderId="10" xfId="0" applyFont="1" applyBorder="1" applyAlignment="1">
      <alignment horizontal="center" vertical="center"/>
    </xf>
    <xf numFmtId="166" fontId="39" fillId="36" borderId="10" xfId="1" applyNumberFormat="1" applyFont="1" applyFill="1" applyBorder="1" applyAlignment="1">
      <alignment horizontal="center" vertical="center"/>
    </xf>
    <xf numFmtId="168" fontId="39" fillId="36" borderId="10" xfId="1" applyNumberFormat="1" applyFont="1" applyFill="1" applyBorder="1" applyAlignment="1">
      <alignment horizontal="center" vertical="center"/>
    </xf>
    <xf numFmtId="10" fontId="39" fillId="36" borderId="10" xfId="1" applyNumberFormat="1" applyFont="1" applyFill="1" applyBorder="1" applyAlignment="1">
      <alignment horizontal="center" vertical="center"/>
    </xf>
    <xf numFmtId="9" fontId="39" fillId="0" borderId="0" xfId="1" applyFont="1" applyFill="1" applyAlignment="1">
      <alignment vertical="center"/>
    </xf>
    <xf numFmtId="168" fontId="36" fillId="38" borderId="10" xfId="0" applyNumberFormat="1" applyFont="1" applyFill="1" applyBorder="1" applyAlignment="1">
      <alignment horizontal="center" vertical="center" wrapText="1"/>
    </xf>
    <xf numFmtId="0" fontId="36" fillId="38" borderId="11" xfId="0" applyFont="1" applyFill="1" applyBorder="1" applyAlignment="1">
      <alignment horizontal="center" vertical="center" wrapText="1"/>
    </xf>
    <xf numFmtId="0" fontId="39" fillId="0" borderId="0" xfId="0" applyFont="1" applyFill="1" applyBorder="1" applyAlignment="1">
      <alignment horizontal="left" vertical="center"/>
    </xf>
    <xf numFmtId="0" fontId="49" fillId="35" borderId="26" xfId="0" applyFont="1" applyFill="1" applyBorder="1" applyAlignment="1">
      <alignment horizontal="right" vertical="center" wrapText="1"/>
    </xf>
    <xf numFmtId="0" fontId="43" fillId="0" borderId="0" xfId="0" applyFont="1" applyFill="1" applyAlignment="1">
      <alignment horizontal="center" vertical="center"/>
    </xf>
    <xf numFmtId="14" fontId="39" fillId="0" borderId="0" xfId="0" applyNumberFormat="1" applyFont="1" applyAlignment="1">
      <alignment vertical="center"/>
    </xf>
    <xf numFmtId="0" fontId="44" fillId="0" borderId="0" xfId="0" applyFont="1" applyBorder="1" applyAlignment="1">
      <alignment horizontal="left" vertical="center"/>
    </xf>
    <xf numFmtId="0" fontId="44" fillId="0" borderId="18" xfId="0" applyFont="1" applyBorder="1" applyAlignment="1">
      <alignment horizontal="left" vertical="center"/>
    </xf>
    <xf numFmtId="0" fontId="44" fillId="0" borderId="0" xfId="0" applyFont="1" applyAlignment="1">
      <alignment horizontal="left" vertical="center"/>
    </xf>
    <xf numFmtId="166" fontId="39" fillId="0" borderId="0" xfId="0" applyNumberFormat="1" applyFont="1" applyAlignment="1">
      <alignment vertical="center"/>
    </xf>
    <xf numFmtId="0" fontId="39" fillId="0" borderId="0" xfId="0" applyFont="1" applyFill="1" applyBorder="1" applyAlignment="1">
      <alignment horizontal="left" vertical="center"/>
    </xf>
    <xf numFmtId="14" fontId="39" fillId="0" borderId="0" xfId="0" applyNumberFormat="1" applyFont="1" applyAlignment="1">
      <alignment horizontal="center" vertical="center"/>
    </xf>
    <xf numFmtId="168" fontId="39" fillId="0" borderId="0" xfId="0" applyNumberFormat="1" applyFont="1" applyAlignment="1">
      <alignment horizontal="right" vertical="center"/>
    </xf>
    <xf numFmtId="0" fontId="39" fillId="0" borderId="0" xfId="0" applyFont="1" applyFill="1" applyAlignment="1">
      <alignment horizontal="center" vertical="center"/>
    </xf>
    <xf numFmtId="0" fontId="39" fillId="0" borderId="0" xfId="0" applyFont="1" applyFill="1" applyAlignment="1">
      <alignment horizontal="left" vertical="center"/>
    </xf>
    <xf numFmtId="0" fontId="35" fillId="0" borderId="0" xfId="0" applyFont="1" applyFill="1" applyBorder="1" applyAlignment="1">
      <alignment horizontal="left" vertical="center"/>
    </xf>
    <xf numFmtId="0" fontId="33" fillId="0" borderId="0" xfId="0" applyFont="1" applyFill="1" applyBorder="1" applyAlignment="1">
      <alignment vertical="center"/>
    </xf>
    <xf numFmtId="166" fontId="39" fillId="35" borderId="38" xfId="1" applyNumberFormat="1" applyFont="1" applyFill="1" applyBorder="1" applyAlignment="1">
      <alignment horizontal="right" vertical="center"/>
    </xf>
    <xf numFmtId="166" fontId="39" fillId="35" borderId="39" xfId="1" applyNumberFormat="1" applyFont="1" applyFill="1" applyBorder="1" applyAlignment="1">
      <alignment horizontal="right" vertical="center"/>
    </xf>
    <xf numFmtId="166" fontId="39" fillId="35" borderId="37" xfId="1" applyNumberFormat="1" applyFont="1" applyFill="1" applyBorder="1" applyAlignment="1">
      <alignment horizontal="right" vertical="center"/>
    </xf>
    <xf numFmtId="0" fontId="43" fillId="0" borderId="0" xfId="0" applyFont="1" applyAlignment="1">
      <alignment horizontal="center" vertical="center"/>
    </xf>
    <xf numFmtId="3" fontId="38" fillId="36" borderId="0" xfId="2" applyNumberFormat="1" applyFont="1" applyFill="1" applyBorder="1" applyAlignment="1">
      <alignment horizontal="right"/>
    </xf>
    <xf numFmtId="0" fontId="51" fillId="0" borderId="0" xfId="0" applyFont="1"/>
    <xf numFmtId="0" fontId="38" fillId="0" borderId="0" xfId="0" applyFont="1" applyFill="1"/>
    <xf numFmtId="14" fontId="39" fillId="0" borderId="0" xfId="0" applyNumberFormat="1" applyFont="1" applyAlignment="1">
      <alignment horizontal="right"/>
    </xf>
    <xf numFmtId="0" fontId="39" fillId="0" borderId="0" xfId="0" applyFont="1" applyAlignment="1">
      <alignment horizontal="center"/>
    </xf>
    <xf numFmtId="0" fontId="38" fillId="0" borderId="0" xfId="0" applyFont="1" applyFill="1" applyAlignment="1">
      <alignment horizontal="center"/>
    </xf>
    <xf numFmtId="14" fontId="39" fillId="0" borderId="0" xfId="0" applyNumberFormat="1" applyFont="1"/>
    <xf numFmtId="14" fontId="39" fillId="0" borderId="0" xfId="0" applyNumberFormat="1" applyFont="1" applyAlignment="1">
      <alignment horizontal="center"/>
    </xf>
    <xf numFmtId="1" fontId="39" fillId="0" borderId="0" xfId="0" applyNumberFormat="1" applyFont="1" applyAlignment="1">
      <alignment horizontal="center"/>
    </xf>
    <xf numFmtId="2" fontId="39" fillId="0" borderId="0" xfId="0" applyNumberFormat="1" applyFont="1" applyFill="1"/>
    <xf numFmtId="9" fontId="39" fillId="0" borderId="0" xfId="1" applyFont="1" applyAlignment="1">
      <alignment horizontal="center"/>
    </xf>
    <xf numFmtId="0" fontId="47" fillId="2" borderId="0" xfId="0" applyFont="1" applyFill="1" applyAlignment="1">
      <alignment horizontal="center" vertical="top" wrapText="1"/>
    </xf>
    <xf numFmtId="0" fontId="47" fillId="0" borderId="0" xfId="0" applyFont="1" applyAlignment="1">
      <alignment horizontal="center" vertical="center"/>
    </xf>
    <xf numFmtId="0" fontId="35" fillId="38" borderId="0" xfId="0" applyFont="1" applyFill="1" applyAlignment="1">
      <alignment horizontal="center" vertical="center"/>
    </xf>
    <xf numFmtId="0" fontId="35" fillId="38" borderId="0" xfId="0" applyFont="1" applyFill="1" applyAlignment="1">
      <alignment horizontal="center" vertical="center" wrapText="1"/>
    </xf>
    <xf numFmtId="0" fontId="36" fillId="38" borderId="0" xfId="0" applyFont="1" applyFill="1" applyAlignment="1">
      <alignment horizontal="center" vertical="center" wrapText="1"/>
    </xf>
    <xf numFmtId="2" fontId="38" fillId="40" borderId="40" xfId="0" applyNumberFormat="1" applyFont="1" applyFill="1" applyBorder="1"/>
    <xf numFmtId="2" fontId="38" fillId="40" borderId="41" xfId="0" applyNumberFormat="1" applyFont="1" applyFill="1" applyBorder="1"/>
    <xf numFmtId="2" fontId="38" fillId="40" borderId="0" xfId="0" applyNumberFormat="1" applyFont="1" applyFill="1" applyBorder="1"/>
    <xf numFmtId="2" fontId="38" fillId="40" borderId="42" xfId="0" applyNumberFormat="1" applyFont="1" applyFill="1" applyBorder="1"/>
    <xf numFmtId="2" fontId="38" fillId="40" borderId="43" xfId="0" applyNumberFormat="1" applyFont="1" applyFill="1" applyBorder="1"/>
    <xf numFmtId="2" fontId="38" fillId="40" borderId="44" xfId="0" applyNumberFormat="1" applyFont="1" applyFill="1" applyBorder="1"/>
    <xf numFmtId="0" fontId="39" fillId="35" borderId="29" xfId="0" applyFont="1" applyFill="1" applyBorder="1" applyAlignment="1">
      <alignment vertical="center"/>
    </xf>
    <xf numFmtId="0" fontId="39" fillId="35" borderId="10" xfId="0" applyFont="1" applyFill="1" applyBorder="1" applyAlignment="1">
      <alignment vertical="center"/>
    </xf>
    <xf numFmtId="0" fontId="39" fillId="0" borderId="10" xfId="0" applyFont="1" applyBorder="1" applyAlignment="1">
      <alignment vertical="center"/>
    </xf>
    <xf numFmtId="0" fontId="39" fillId="0" borderId="33" xfId="0" applyFont="1" applyFill="1" applyBorder="1" applyAlignment="1">
      <alignment horizontal="left" vertical="center"/>
    </xf>
    <xf numFmtId="0" fontId="39" fillId="0" borderId="46" xfId="0" applyFont="1" applyFill="1" applyBorder="1" applyAlignment="1">
      <alignment horizontal="left" vertical="center"/>
    </xf>
    <xf numFmtId="0" fontId="38" fillId="0" borderId="10" xfId="0" applyFont="1" applyBorder="1" applyAlignment="1">
      <alignment horizontal="left" vertical="center"/>
    </xf>
    <xf numFmtId="166" fontId="39" fillId="35" borderId="48" xfId="1" applyNumberFormat="1" applyFont="1" applyFill="1" applyBorder="1" applyAlignment="1">
      <alignment horizontal="right" vertical="center"/>
    </xf>
    <xf numFmtId="166" fontId="39" fillId="36" borderId="48" xfId="1" applyNumberFormat="1" applyFont="1" applyFill="1" applyBorder="1" applyAlignment="1">
      <alignment horizontal="right" vertical="center"/>
    </xf>
    <xf numFmtId="166" fontId="44" fillId="35" borderId="49" xfId="1" applyNumberFormat="1" applyFont="1" applyFill="1" applyBorder="1" applyAlignment="1">
      <alignment horizontal="right" vertical="center"/>
    </xf>
    <xf numFmtId="0" fontId="44" fillId="35" borderId="49" xfId="0" applyFont="1" applyFill="1" applyBorder="1" applyAlignment="1">
      <alignment horizontal="right" vertical="center"/>
    </xf>
    <xf numFmtId="0" fontId="39" fillId="35" borderId="52" xfId="0" applyFont="1" applyFill="1" applyBorder="1" applyAlignment="1">
      <alignment vertical="center"/>
    </xf>
    <xf numFmtId="0" fontId="38" fillId="0" borderId="53" xfId="0" applyFont="1" applyBorder="1" applyAlignment="1">
      <alignment horizontal="left" vertical="center" wrapText="1"/>
    </xf>
    <xf numFmtId="0" fontId="39" fillId="0" borderId="53" xfId="0" applyFont="1" applyBorder="1" applyAlignment="1">
      <alignment vertical="center" wrapText="1"/>
    </xf>
    <xf numFmtId="0" fontId="39" fillId="0" borderId="53" xfId="0" applyFont="1" applyFill="1" applyBorder="1" applyAlignment="1">
      <alignment horizontal="right" vertical="center"/>
    </xf>
    <xf numFmtId="0" fontId="39" fillId="0" borderId="53" xfId="0" applyFont="1" applyBorder="1" applyAlignment="1">
      <alignment horizontal="center" vertical="center"/>
    </xf>
    <xf numFmtId="166" fontId="39" fillId="36" borderId="53" xfId="1" applyNumberFormat="1" applyFont="1" applyFill="1" applyBorder="1" applyAlignment="1">
      <alignment horizontal="center" vertical="center"/>
    </xf>
    <xf numFmtId="168" fontId="39" fillId="36" borderId="53" xfId="1" applyNumberFormat="1" applyFont="1" applyFill="1" applyBorder="1" applyAlignment="1">
      <alignment horizontal="center" vertical="center"/>
    </xf>
    <xf numFmtId="168" fontId="39" fillId="36" borderId="54" xfId="1" applyNumberFormat="1" applyFont="1" applyFill="1" applyBorder="1" applyAlignment="1">
      <alignment horizontal="center" vertical="center"/>
    </xf>
    <xf numFmtId="0" fontId="44" fillId="35" borderId="55" xfId="0" applyFont="1" applyFill="1" applyBorder="1" applyAlignment="1">
      <alignment horizontal="left" vertical="center"/>
    </xf>
    <xf numFmtId="0" fontId="45" fillId="35" borderId="55" xfId="0" applyFont="1" applyFill="1" applyBorder="1" applyAlignment="1">
      <alignment vertical="center"/>
    </xf>
    <xf numFmtId="0" fontId="44" fillId="35" borderId="55" xfId="0" applyFont="1" applyFill="1" applyBorder="1" applyAlignment="1">
      <alignment vertical="center"/>
    </xf>
    <xf numFmtId="2" fontId="44" fillId="35" borderId="55" xfId="0" applyNumberFormat="1" applyFont="1" applyFill="1" applyBorder="1" applyAlignment="1">
      <alignment vertical="center"/>
    </xf>
    <xf numFmtId="166" fontId="44" fillId="35" borderId="55" xfId="1" applyNumberFormat="1" applyFont="1" applyFill="1" applyBorder="1" applyAlignment="1">
      <alignment vertical="center"/>
    </xf>
    <xf numFmtId="2" fontId="44" fillId="35" borderId="51" xfId="0" applyNumberFormat="1" applyFont="1" applyFill="1" applyBorder="1" applyAlignment="1">
      <alignment vertical="center"/>
    </xf>
    <xf numFmtId="166" fontId="39" fillId="36" borderId="56" xfId="1" applyNumberFormat="1" applyFont="1" applyFill="1" applyBorder="1" applyAlignment="1">
      <alignment horizontal="right" vertical="center"/>
    </xf>
    <xf numFmtId="166" fontId="39" fillId="36" borderId="57" xfId="1" applyNumberFormat="1" applyFont="1" applyFill="1" applyBorder="1" applyAlignment="1">
      <alignment horizontal="right" vertical="center"/>
    </xf>
    <xf numFmtId="166" fontId="39" fillId="36" borderId="58" xfId="1" applyNumberFormat="1" applyFont="1" applyFill="1" applyBorder="1" applyAlignment="1">
      <alignment horizontal="right" vertical="center"/>
    </xf>
    <xf numFmtId="166" fontId="39" fillId="36" borderId="59" xfId="1" applyNumberFormat="1" applyFont="1" applyFill="1" applyBorder="1" applyAlignment="1">
      <alignment horizontal="right" vertical="center"/>
    </xf>
    <xf numFmtId="168" fontId="39" fillId="36" borderId="59" xfId="1" applyNumberFormat="1" applyFont="1" applyFill="1" applyBorder="1" applyAlignment="1">
      <alignment horizontal="right" vertical="center"/>
    </xf>
    <xf numFmtId="168" fontId="39" fillId="36" borderId="57" xfId="1" applyNumberFormat="1" applyFont="1" applyFill="1" applyBorder="1" applyAlignment="1">
      <alignment horizontal="right" vertical="center"/>
    </xf>
    <xf numFmtId="168" fontId="39" fillId="36" borderId="58" xfId="1" applyNumberFormat="1" applyFont="1" applyFill="1" applyBorder="1" applyAlignment="1">
      <alignment horizontal="right" vertical="center"/>
    </xf>
    <xf numFmtId="3" fontId="39" fillId="36" borderId="59" xfId="1" applyNumberFormat="1" applyFont="1" applyFill="1" applyBorder="1" applyAlignment="1">
      <alignment horizontal="right" vertical="center"/>
    </xf>
    <xf numFmtId="3" fontId="39" fillId="36" borderId="57" xfId="1" applyNumberFormat="1" applyFont="1" applyFill="1" applyBorder="1" applyAlignment="1">
      <alignment horizontal="right" vertical="center"/>
    </xf>
    <xf numFmtId="3" fontId="39" fillId="36" borderId="58" xfId="1" applyNumberFormat="1" applyFont="1" applyFill="1" applyBorder="1" applyAlignment="1">
      <alignment horizontal="right" vertical="center"/>
    </xf>
    <xf numFmtId="168" fontId="44" fillId="35" borderId="61" xfId="1" applyNumberFormat="1" applyFont="1" applyFill="1" applyBorder="1" applyAlignment="1">
      <alignment horizontal="right" vertical="center"/>
    </xf>
    <xf numFmtId="168" fontId="44" fillId="35" borderId="55" xfId="1" applyNumberFormat="1" applyFont="1" applyFill="1" applyBorder="1" applyAlignment="1">
      <alignment horizontal="right" vertical="center"/>
    </xf>
    <xf numFmtId="168" fontId="44" fillId="35" borderId="51" xfId="1" applyNumberFormat="1" applyFont="1" applyFill="1" applyBorder="1" applyAlignment="1">
      <alignment horizontal="right" vertical="center"/>
    </xf>
    <xf numFmtId="3" fontId="44" fillId="35" borderId="61" xfId="1" applyNumberFormat="1" applyFont="1" applyFill="1" applyBorder="1" applyAlignment="1">
      <alignment horizontal="right" vertical="center"/>
    </xf>
    <xf numFmtId="3" fontId="44" fillId="35" borderId="55" xfId="1" applyNumberFormat="1" applyFont="1" applyFill="1" applyBorder="1" applyAlignment="1">
      <alignment horizontal="right" vertical="center"/>
    </xf>
    <xf numFmtId="3" fontId="44" fillId="35" borderId="51" xfId="1" applyNumberFormat="1" applyFont="1" applyFill="1" applyBorder="1" applyAlignment="1">
      <alignment horizontal="right" vertical="center"/>
    </xf>
    <xf numFmtId="0" fontId="39" fillId="0" borderId="12" xfId="0" applyFont="1" applyBorder="1" applyAlignment="1">
      <alignment vertical="center" wrapText="1"/>
    </xf>
    <xf numFmtId="0" fontId="38" fillId="0" borderId="12" xfId="0" applyFont="1" applyBorder="1" applyAlignment="1">
      <alignment horizontal="left" vertical="center"/>
    </xf>
    <xf numFmtId="0" fontId="39" fillId="0" borderId="12" xfId="0" applyFont="1" applyBorder="1" applyAlignment="1">
      <alignment vertical="center"/>
    </xf>
    <xf numFmtId="0" fontId="39" fillId="0" borderId="12" xfId="0" applyFont="1" applyBorder="1" applyAlignment="1">
      <alignment horizontal="center" vertical="center"/>
    </xf>
    <xf numFmtId="166" fontId="39" fillId="36" borderId="12" xfId="1" applyNumberFormat="1" applyFont="1" applyFill="1" applyBorder="1" applyAlignment="1">
      <alignment horizontal="center" vertical="center"/>
    </xf>
    <xf numFmtId="168" fontId="39" fillId="36" borderId="12" xfId="1" applyNumberFormat="1" applyFont="1" applyFill="1" applyBorder="1" applyAlignment="1">
      <alignment horizontal="center" vertical="center"/>
    </xf>
    <xf numFmtId="10" fontId="39" fillId="36" borderId="12" xfId="1" applyNumberFormat="1" applyFont="1" applyFill="1" applyBorder="1" applyAlignment="1">
      <alignment horizontal="center" vertical="center"/>
    </xf>
    <xf numFmtId="166" fontId="39" fillId="36" borderId="39" xfId="1" applyNumberFormat="1" applyFont="1" applyFill="1" applyBorder="1" applyAlignment="1">
      <alignment horizontal="right" vertical="center"/>
    </xf>
    <xf numFmtId="0" fontId="36" fillId="38" borderId="65" xfId="0" applyFont="1" applyFill="1" applyBorder="1" applyAlignment="1">
      <alignment horizontal="right" vertical="center" wrapText="1"/>
    </xf>
    <xf numFmtId="166" fontId="39" fillId="35" borderId="66" xfId="1" applyNumberFormat="1" applyFont="1" applyFill="1" applyBorder="1" applyAlignment="1">
      <alignment horizontal="right" vertical="center"/>
    </xf>
    <xf numFmtId="166" fontId="39" fillId="36" borderId="67" xfId="1" applyNumberFormat="1" applyFont="1" applyFill="1" applyBorder="1" applyAlignment="1">
      <alignment horizontal="right" vertical="center"/>
    </xf>
    <xf numFmtId="166" fontId="39" fillId="36" borderId="68" xfId="1" applyNumberFormat="1" applyFont="1" applyFill="1" applyBorder="1" applyAlignment="1">
      <alignment horizontal="right" vertical="center"/>
    </xf>
    <xf numFmtId="166" fontId="44" fillId="35" borderId="70" xfId="1" applyNumberFormat="1" applyFont="1" applyFill="1" applyBorder="1" applyAlignment="1">
      <alignment horizontal="right" vertical="center"/>
    </xf>
    <xf numFmtId="0" fontId="44" fillId="35" borderId="70" xfId="0" applyFont="1" applyFill="1" applyBorder="1" applyAlignment="1">
      <alignment horizontal="right" vertical="center"/>
    </xf>
    <xf numFmtId="0" fontId="44" fillId="35" borderId="71" xfId="0" applyFont="1" applyFill="1" applyBorder="1" applyAlignment="1">
      <alignment horizontal="right" vertical="center" wrapText="1"/>
    </xf>
    <xf numFmtId="166" fontId="39" fillId="36" borderId="72" xfId="1" applyNumberFormat="1" applyFont="1" applyFill="1" applyBorder="1" applyAlignment="1">
      <alignment horizontal="right" vertical="center"/>
    </xf>
    <xf numFmtId="9" fontId="44" fillId="35" borderId="19" xfId="1" applyFont="1" applyFill="1" applyBorder="1" applyAlignment="1">
      <alignment horizontal="right" vertical="center"/>
    </xf>
    <xf numFmtId="9" fontId="44" fillId="35" borderId="0" xfId="1" applyFont="1" applyFill="1" applyBorder="1" applyAlignment="1">
      <alignment horizontal="right" vertical="center"/>
    </xf>
    <xf numFmtId="9" fontId="44" fillId="35" borderId="20" xfId="1" applyFont="1" applyFill="1" applyBorder="1" applyAlignment="1">
      <alignment horizontal="right" vertical="center"/>
    </xf>
    <xf numFmtId="0" fontId="44" fillId="35" borderId="50" xfId="0" applyFont="1" applyFill="1" applyBorder="1" applyAlignment="1">
      <alignment horizontal="right" vertical="top" wrapText="1"/>
    </xf>
    <xf numFmtId="0" fontId="44" fillId="35" borderId="26" xfId="0" applyFont="1" applyFill="1" applyBorder="1" applyAlignment="1">
      <alignment horizontal="right" vertical="top" wrapText="1"/>
    </xf>
    <xf numFmtId="0" fontId="44" fillId="35" borderId="27" xfId="0" applyFont="1" applyFill="1" applyBorder="1" applyAlignment="1">
      <alignment horizontal="right" vertical="top" wrapText="1"/>
    </xf>
    <xf numFmtId="0" fontId="44" fillId="35" borderId="25" xfId="0" applyFont="1" applyFill="1" applyBorder="1" applyAlignment="1">
      <alignment horizontal="right" vertical="top" wrapText="1"/>
    </xf>
    <xf numFmtId="3" fontId="44" fillId="35" borderId="25" xfId="0" applyNumberFormat="1" applyFont="1" applyFill="1" applyBorder="1" applyAlignment="1">
      <alignment horizontal="right" vertical="top" wrapText="1"/>
    </xf>
    <xf numFmtId="3" fontId="44" fillId="35" borderId="26" xfId="0" applyNumberFormat="1" applyFont="1" applyFill="1" applyBorder="1" applyAlignment="1">
      <alignment horizontal="right" vertical="top" wrapText="1"/>
    </xf>
    <xf numFmtId="3" fontId="44" fillId="35" borderId="27" xfId="0" applyNumberFormat="1" applyFont="1" applyFill="1" applyBorder="1" applyAlignment="1">
      <alignment horizontal="right" vertical="top" wrapText="1"/>
    </xf>
    <xf numFmtId="0" fontId="50" fillId="0" borderId="0" xfId="0" applyFont="1" applyFill="1"/>
    <xf numFmtId="0" fontId="44" fillId="0" borderId="0" xfId="0" applyFont="1" applyFill="1" applyAlignment="1">
      <alignment vertical="center"/>
    </xf>
    <xf numFmtId="0" fontId="44" fillId="0" borderId="0" xfId="0" applyFont="1" applyFill="1" applyAlignment="1">
      <alignment horizontal="right" vertical="center" wrapText="1"/>
    </xf>
    <xf numFmtId="166" fontId="44" fillId="35" borderId="73" xfId="1" applyNumberFormat="1" applyFont="1" applyFill="1" applyBorder="1" applyAlignment="1">
      <alignment vertical="center"/>
    </xf>
    <xf numFmtId="0" fontId="44" fillId="35" borderId="74" xfId="0" applyFont="1" applyFill="1" applyBorder="1" applyAlignment="1">
      <alignment vertical="center"/>
    </xf>
    <xf numFmtId="0" fontId="49" fillId="35" borderId="75" xfId="0" applyFont="1" applyFill="1" applyBorder="1" applyAlignment="1">
      <alignment horizontal="right" vertical="center" wrapText="1"/>
    </xf>
    <xf numFmtId="0" fontId="49" fillId="35" borderId="25" xfId="0" applyFont="1" applyFill="1" applyBorder="1" applyAlignment="1">
      <alignment horizontal="left" vertical="top" wrapText="1"/>
    </xf>
    <xf numFmtId="0" fontId="49" fillId="35" borderId="26" xfId="0" applyFont="1" applyFill="1" applyBorder="1" applyAlignment="1">
      <alignment horizontal="left" vertical="top" wrapText="1"/>
    </xf>
    <xf numFmtId="0" fontId="49" fillId="35" borderId="27" xfId="0" applyFont="1" applyFill="1" applyBorder="1" applyAlignment="1">
      <alignment horizontal="left" vertical="top" wrapText="1"/>
    </xf>
    <xf numFmtId="9" fontId="39" fillId="0" borderId="21" xfId="1" applyFont="1" applyFill="1" applyBorder="1" applyAlignment="1">
      <alignment horizontal="right" vertical="center"/>
    </xf>
    <xf numFmtId="166" fontId="39" fillId="0" borderId="21" xfId="1" applyNumberFormat="1" applyFont="1" applyFill="1" applyBorder="1" applyAlignment="1">
      <alignment horizontal="right" vertical="center"/>
    </xf>
    <xf numFmtId="0" fontId="40" fillId="36" borderId="0" xfId="0" applyFont="1" applyFill="1" applyBorder="1" applyAlignment="1">
      <alignment horizontal="left"/>
    </xf>
    <xf numFmtId="173" fontId="39" fillId="35" borderId="21" xfId="44" applyNumberFormat="1" applyFont="1" applyFill="1" applyBorder="1" applyAlignment="1">
      <alignment horizontal="right" vertical="center"/>
    </xf>
    <xf numFmtId="173" fontId="39" fillId="35" borderId="22" xfId="44" applyNumberFormat="1" applyFont="1" applyFill="1" applyBorder="1" applyAlignment="1">
      <alignment horizontal="right" vertical="center"/>
    </xf>
    <xf numFmtId="173" fontId="39" fillId="35" borderId="23" xfId="44" applyNumberFormat="1" applyFont="1" applyFill="1" applyBorder="1" applyAlignment="1">
      <alignment horizontal="right" vertical="center"/>
    </xf>
    <xf numFmtId="173" fontId="39" fillId="36" borderId="21" xfId="44" applyNumberFormat="1" applyFont="1" applyFill="1" applyBorder="1" applyAlignment="1">
      <alignment horizontal="right" vertical="center"/>
    </xf>
    <xf numFmtId="173" fontId="39" fillId="36" borderId="22" xfId="44" applyNumberFormat="1" applyFont="1" applyFill="1" applyBorder="1" applyAlignment="1">
      <alignment horizontal="right" vertical="center"/>
    </xf>
    <xf numFmtId="173" fontId="39" fillId="36" borderId="23" xfId="44" applyNumberFormat="1" applyFont="1" applyFill="1" applyBorder="1" applyAlignment="1">
      <alignment horizontal="right" vertical="center"/>
    </xf>
    <xf numFmtId="173" fontId="39" fillId="36" borderId="59" xfId="44" applyNumberFormat="1" applyFont="1" applyFill="1" applyBorder="1" applyAlignment="1">
      <alignment horizontal="right" vertical="center"/>
    </xf>
    <xf numFmtId="173" fontId="39" fillId="36" borderId="57" xfId="44" applyNumberFormat="1" applyFont="1" applyFill="1" applyBorder="1" applyAlignment="1">
      <alignment horizontal="right" vertical="center"/>
    </xf>
    <xf numFmtId="173" fontId="39" fillId="36" borderId="58" xfId="44" applyNumberFormat="1" applyFont="1" applyFill="1" applyBorder="1" applyAlignment="1">
      <alignment horizontal="right" vertical="center"/>
    </xf>
    <xf numFmtId="173" fontId="44" fillId="35" borderId="62" xfId="44" applyNumberFormat="1" applyFont="1" applyFill="1" applyBorder="1" applyAlignment="1">
      <alignment horizontal="right" vertical="center"/>
    </xf>
    <xf numFmtId="173" fontId="44" fillId="35" borderId="63" xfId="44" applyNumberFormat="1" applyFont="1" applyFill="1" applyBorder="1" applyAlignment="1">
      <alignment horizontal="right" vertical="center"/>
    </xf>
    <xf numFmtId="173" fontId="44" fillId="35" borderId="64" xfId="44" applyNumberFormat="1" applyFont="1" applyFill="1" applyBorder="1" applyAlignment="1">
      <alignment horizontal="right" vertical="center"/>
    </xf>
    <xf numFmtId="173" fontId="44" fillId="35" borderId="19" xfId="44" applyNumberFormat="1" applyFont="1" applyFill="1" applyBorder="1" applyAlignment="1">
      <alignment horizontal="right" vertical="center"/>
    </xf>
    <xf numFmtId="173" fontId="44" fillId="35" borderId="0" xfId="44" applyNumberFormat="1" applyFont="1" applyFill="1" applyBorder="1" applyAlignment="1">
      <alignment horizontal="right" vertical="center"/>
    </xf>
    <xf numFmtId="173" fontId="44" fillId="35" borderId="20" xfId="44" applyNumberFormat="1" applyFont="1" applyFill="1" applyBorder="1" applyAlignment="1">
      <alignment horizontal="right" vertical="center"/>
    </xf>
    <xf numFmtId="4" fontId="39" fillId="0" borderId="34" xfId="0" applyNumberFormat="1" applyFont="1" applyFill="1" applyBorder="1" applyAlignment="1">
      <alignment horizontal="right" vertical="top"/>
    </xf>
    <xf numFmtId="174" fontId="39" fillId="35" borderId="10" xfId="1" applyNumberFormat="1" applyFont="1" applyFill="1" applyBorder="1" applyAlignment="1">
      <alignment horizontal="center" vertical="center"/>
    </xf>
    <xf numFmtId="0" fontId="39" fillId="36" borderId="0" xfId="0" applyFont="1" applyFill="1" applyBorder="1" applyAlignment="1">
      <alignment vertical="center"/>
    </xf>
    <xf numFmtId="175" fontId="39" fillId="0" borderId="0" xfId="44" applyNumberFormat="1" applyFont="1" applyBorder="1" applyAlignment="1">
      <alignment horizontal="right" vertical="center"/>
    </xf>
    <xf numFmtId="0" fontId="39" fillId="0" borderId="0" xfId="0" applyFont="1" applyAlignment="1">
      <alignment vertical="center" wrapText="1"/>
    </xf>
    <xf numFmtId="0" fontId="56" fillId="0" borderId="78" xfId="0" applyFont="1" applyBorder="1" applyAlignment="1">
      <alignment vertical="top"/>
    </xf>
    <xf numFmtId="0" fontId="56" fillId="0" borderId="78" xfId="0" applyFont="1" applyBorder="1" applyAlignment="1">
      <alignment vertical="top" wrapText="1"/>
    </xf>
    <xf numFmtId="0" fontId="39" fillId="0" borderId="78" xfId="0" applyFont="1" applyBorder="1" applyAlignment="1">
      <alignment horizontal="left" vertical="top" wrapText="1"/>
    </xf>
    <xf numFmtId="0" fontId="39" fillId="0" borderId="78" xfId="0" applyFont="1" applyBorder="1" applyAlignment="1">
      <alignment vertical="top" wrapText="1"/>
    </xf>
    <xf numFmtId="0" fontId="59" fillId="0" borderId="78" xfId="0" applyFont="1" applyBorder="1" applyAlignment="1">
      <alignment vertical="top" wrapText="1"/>
    </xf>
    <xf numFmtId="0" fontId="56" fillId="0" borderId="77" xfId="0" applyFont="1" applyBorder="1" applyAlignment="1">
      <alignment vertical="top"/>
    </xf>
    <xf numFmtId="0" fontId="56" fillId="0" borderId="77" xfId="0" applyFont="1" applyBorder="1" applyAlignment="1">
      <alignment vertical="top" wrapText="1"/>
    </xf>
    <xf numFmtId="0" fontId="39" fillId="0" borderId="77" xfId="0" applyFont="1" applyBorder="1" applyAlignment="1">
      <alignment horizontal="left" vertical="top" wrapText="1"/>
    </xf>
    <xf numFmtId="0" fontId="60" fillId="38" borderId="79" xfId="0" applyFont="1" applyFill="1" applyBorder="1" applyAlignment="1">
      <alignment horizontal="left" vertical="center"/>
    </xf>
    <xf numFmtId="0" fontId="60" fillId="38" borderId="79" xfId="0" applyFont="1" applyFill="1" applyBorder="1" applyAlignment="1">
      <alignment horizontal="left" vertical="center" wrapText="1"/>
    </xf>
    <xf numFmtId="0" fontId="36" fillId="38" borderId="80" xfId="0" applyFont="1" applyFill="1" applyBorder="1" applyAlignment="1">
      <alignment vertical="center"/>
    </xf>
    <xf numFmtId="172" fontId="43" fillId="0" borderId="0" xfId="0" applyNumberFormat="1" applyFont="1" applyFill="1" applyBorder="1" applyAlignment="1">
      <alignment horizontal="left" vertical="center"/>
    </xf>
    <xf numFmtId="0" fontId="0" fillId="0" borderId="0" xfId="0" applyAlignment="1">
      <alignment wrapText="1"/>
    </xf>
    <xf numFmtId="0" fontId="44" fillId="0" borderId="0" xfId="0" applyFont="1"/>
    <xf numFmtId="0" fontId="44" fillId="0" borderId="0" xfId="0" applyFont="1" applyFill="1"/>
    <xf numFmtId="0" fontId="52" fillId="0" borderId="0" xfId="0" applyFont="1" applyFill="1"/>
    <xf numFmtId="0" fontId="52" fillId="0" borderId="0" xfId="0" applyFont="1"/>
    <xf numFmtId="0" fontId="68" fillId="0" borderId="0" xfId="0" applyFont="1" applyFill="1"/>
    <xf numFmtId="0" fontId="44" fillId="0" borderId="0" xfId="0" applyFont="1"/>
    <xf numFmtId="0" fontId="52" fillId="0" borderId="0" xfId="0" applyFont="1" applyFill="1"/>
    <xf numFmtId="0" fontId="71" fillId="0" borderId="0" xfId="0" applyFont="1"/>
    <xf numFmtId="0" fontId="73" fillId="0" borderId="0" xfId="0" applyFont="1" applyFill="1" applyAlignment="1">
      <alignment vertical="top" wrapText="1"/>
    </xf>
    <xf numFmtId="0" fontId="44" fillId="0" borderId="0" xfId="0" applyFont="1" applyFill="1" applyAlignment="1">
      <alignment vertical="top" wrapText="1"/>
    </xf>
    <xf numFmtId="0" fontId="65" fillId="0" borderId="0" xfId="0" applyFont="1" applyFill="1" applyAlignment="1">
      <alignment vertical="center"/>
    </xf>
    <xf numFmtId="0" fontId="74" fillId="0" borderId="0" xfId="0" applyFont="1" applyFill="1" applyAlignment="1">
      <alignment vertical="center"/>
    </xf>
    <xf numFmtId="0" fontId="75" fillId="0" borderId="0" xfId="0" applyFont="1" applyFill="1"/>
    <xf numFmtId="0" fontId="75" fillId="0" borderId="0" xfId="0" applyFont="1"/>
    <xf numFmtId="0" fontId="52" fillId="0" borderId="0" xfId="0" applyFont="1"/>
    <xf numFmtId="0" fontId="65" fillId="0" borderId="0" xfId="0" applyFont="1" applyFill="1" applyAlignment="1"/>
    <xf numFmtId="0" fontId="44" fillId="0" borderId="0" xfId="0" applyFont="1" applyAlignment="1"/>
    <xf numFmtId="3" fontId="45" fillId="0" borderId="0" xfId="0" applyNumberFormat="1" applyFont="1" applyFill="1" applyAlignment="1">
      <alignment horizontal="left"/>
    </xf>
    <xf numFmtId="0" fontId="76" fillId="0" borderId="0" xfId="0" applyFont="1" applyFill="1" applyBorder="1" applyAlignment="1">
      <alignment horizontal="center"/>
    </xf>
    <xf numFmtId="0" fontId="78" fillId="0" borderId="0" xfId="0" applyFont="1" applyFill="1" applyBorder="1" applyAlignment="1">
      <alignment horizontal="center"/>
    </xf>
    <xf numFmtId="0" fontId="38" fillId="0" borderId="0" xfId="0" applyFont="1" applyAlignment="1">
      <alignment horizontal="right"/>
    </xf>
    <xf numFmtId="0" fontId="38" fillId="0" borderId="0" xfId="0" applyFont="1"/>
    <xf numFmtId="0" fontId="38" fillId="0" borderId="0" xfId="0" applyFont="1" applyBorder="1"/>
    <xf numFmtId="175" fontId="43" fillId="0" borderId="34" xfId="0" applyNumberFormat="1" applyFont="1" applyBorder="1" applyAlignment="1">
      <alignment horizontal="right" vertical="center"/>
    </xf>
    <xf numFmtId="0" fontId="0" fillId="0" borderId="0" xfId="0"/>
    <xf numFmtId="0" fontId="47" fillId="0" borderId="0" xfId="0" applyFont="1" applyFill="1" applyBorder="1" applyAlignment="1">
      <alignment horizontal="centerContinuous"/>
    </xf>
    <xf numFmtId="0" fontId="71" fillId="0" borderId="0" xfId="0" applyFont="1"/>
    <xf numFmtId="0" fontId="38" fillId="0" borderId="0" xfId="0" applyFont="1" applyFill="1" applyBorder="1" applyAlignment="1">
      <alignment horizontal="centerContinuous"/>
    </xf>
    <xf numFmtId="0" fontId="52" fillId="0" borderId="0" xfId="0" applyFont="1" applyBorder="1" applyAlignment="1">
      <alignment horizontal="right"/>
    </xf>
    <xf numFmtId="0" fontId="47" fillId="0" borderId="0" xfId="0" applyFont="1"/>
    <xf numFmtId="1" fontId="38" fillId="0" borderId="0" xfId="0" applyNumberFormat="1" applyFont="1"/>
    <xf numFmtId="0" fontId="38" fillId="0" borderId="0" xfId="0" applyFont="1" applyAlignment="1">
      <alignment horizontal="left"/>
    </xf>
    <xf numFmtId="184" fontId="52" fillId="0" borderId="0" xfId="0" applyNumberFormat="1" applyFont="1" applyFill="1" applyBorder="1" applyAlignment="1">
      <alignment horizontal="left" vertical="center" wrapText="1"/>
    </xf>
    <xf numFmtId="17" fontId="38" fillId="0" borderId="0" xfId="0" applyNumberFormat="1" applyFont="1"/>
    <xf numFmtId="0" fontId="52" fillId="0" borderId="0" xfId="0" applyFont="1" applyBorder="1"/>
    <xf numFmtId="0" fontId="38" fillId="0" borderId="0" xfId="0" applyFont="1" applyFill="1" applyBorder="1" applyAlignment="1"/>
    <xf numFmtId="0" fontId="52" fillId="2" borderId="0" xfId="0" applyFont="1" applyFill="1"/>
    <xf numFmtId="0" fontId="79" fillId="2" borderId="0" xfId="0" applyFont="1" applyFill="1" applyBorder="1" applyAlignment="1">
      <alignment horizontal="right" vertical="center"/>
    </xf>
    <xf numFmtId="0" fontId="79" fillId="2" borderId="0" xfId="0" applyFont="1" applyFill="1" applyBorder="1" applyAlignment="1">
      <alignment horizontal="left" vertical="center"/>
    </xf>
    <xf numFmtId="14" fontId="79" fillId="2" borderId="0" xfId="0" applyNumberFormat="1" applyFont="1" applyFill="1" applyBorder="1" applyAlignment="1">
      <alignment horizontal="right" vertical="center"/>
    </xf>
    <xf numFmtId="0" fontId="86" fillId="0" borderId="0" xfId="0" applyFont="1" applyFill="1" applyBorder="1" applyAlignment="1">
      <alignment horizontal="right" vertical="center"/>
    </xf>
    <xf numFmtId="0" fontId="87" fillId="0" borderId="0" xfId="0" applyFont="1" applyFill="1" applyBorder="1" applyAlignment="1">
      <alignment horizontal="right" vertical="center"/>
    </xf>
    <xf numFmtId="0" fontId="0" fillId="0" borderId="0" xfId="0"/>
    <xf numFmtId="0" fontId="22" fillId="0" borderId="0" xfId="0" applyFont="1"/>
    <xf numFmtId="0" fontId="52" fillId="2" borderId="0" xfId="0" applyFont="1" applyFill="1" applyAlignment="1">
      <alignment vertical="center"/>
    </xf>
    <xf numFmtId="0" fontId="54" fillId="0" borderId="0" xfId="0" applyFont="1" applyFill="1" applyAlignment="1">
      <alignment horizontal="left"/>
    </xf>
    <xf numFmtId="168" fontId="38" fillId="0" borderId="0" xfId="0" applyNumberFormat="1" applyFont="1"/>
    <xf numFmtId="14" fontId="38" fillId="0" borderId="0" xfId="0" applyNumberFormat="1" applyFont="1" applyAlignment="1">
      <alignment horizontal="left"/>
    </xf>
    <xf numFmtId="14" fontId="38" fillId="0" borderId="0" xfId="0" applyNumberFormat="1" applyFont="1"/>
    <xf numFmtId="0" fontId="6" fillId="0" borderId="0" xfId="0" applyFont="1" applyAlignment="1">
      <alignment horizontal="left" vertical="top" wrapText="1"/>
    </xf>
    <xf numFmtId="0" fontId="6" fillId="0" borderId="0" xfId="0" applyFont="1" applyAlignment="1">
      <alignment vertical="top" wrapText="1"/>
    </xf>
    <xf numFmtId="14" fontId="0" fillId="0" borderId="0" xfId="0" applyNumberFormat="1" applyBorder="1"/>
    <xf numFmtId="175" fontId="3" fillId="0" borderId="0" xfId="0" applyNumberFormat="1" applyFont="1" applyBorder="1" applyAlignment="1">
      <alignment horizontal="center" vertical="center" wrapText="1"/>
    </xf>
    <xf numFmtId="14" fontId="35" fillId="0" borderId="0" xfId="0" applyNumberFormat="1" applyFont="1" applyBorder="1" applyAlignment="1">
      <alignment vertical="center" wrapText="1"/>
    </xf>
    <xf numFmtId="0" fontId="35" fillId="0" borderId="0" xfId="0" applyFont="1" applyAlignment="1">
      <alignment vertical="center"/>
    </xf>
    <xf numFmtId="1" fontId="35" fillId="0" borderId="0" xfId="0" applyNumberFormat="1" applyFont="1" applyAlignment="1">
      <alignment vertical="center"/>
    </xf>
    <xf numFmtId="14" fontId="71" fillId="0" borderId="0" xfId="0" applyNumberFormat="1" applyFont="1"/>
    <xf numFmtId="14" fontId="47" fillId="0" borderId="0" xfId="0" applyNumberFormat="1" applyFont="1"/>
    <xf numFmtId="0" fontId="88" fillId="0" borderId="0" xfId="0" applyFont="1"/>
    <xf numFmtId="0" fontId="89" fillId="0" borderId="0" xfId="0" applyFont="1" applyFill="1" applyBorder="1" applyAlignment="1">
      <alignment horizontal="right" vertical="center"/>
    </xf>
    <xf numFmtId="0" fontId="89" fillId="0" borderId="0" xfId="0" applyFont="1" applyFill="1" applyBorder="1" applyAlignment="1">
      <alignment horizontal="left" vertical="center"/>
    </xf>
    <xf numFmtId="0" fontId="73" fillId="0" borderId="0" xfId="0" applyFont="1"/>
    <xf numFmtId="0" fontId="52" fillId="0" borderId="0" xfId="0" applyFont="1" applyFill="1" applyAlignment="1">
      <alignment vertical="center"/>
    </xf>
    <xf numFmtId="0" fontId="33" fillId="41" borderId="0" xfId="0" applyFont="1" applyFill="1" applyBorder="1" applyAlignment="1">
      <alignment vertical="center"/>
    </xf>
    <xf numFmtId="0" fontId="47" fillId="0" borderId="0" xfId="0" applyNumberFormat="1" applyFont="1" applyFill="1" applyBorder="1" applyAlignment="1">
      <alignment horizontal="left" vertical="center"/>
    </xf>
    <xf numFmtId="175" fontId="65" fillId="0" borderId="84" xfId="0" applyNumberFormat="1" applyFont="1" applyFill="1" applyBorder="1" applyAlignment="1">
      <alignment horizontal="right" vertical="center" wrapText="1"/>
    </xf>
    <xf numFmtId="176" fontId="65" fillId="0" borderId="84" xfId="0" applyNumberFormat="1" applyFont="1" applyFill="1" applyBorder="1" applyAlignment="1">
      <alignment vertical="center"/>
    </xf>
    <xf numFmtId="175" fontId="38" fillId="0" borderId="0" xfId="0" applyNumberFormat="1" applyFont="1" applyAlignment="1">
      <alignment horizontal="right"/>
    </xf>
    <xf numFmtId="0" fontId="38" fillId="0" borderId="0" xfId="0" applyFont="1" applyAlignment="1">
      <alignment wrapText="1"/>
    </xf>
    <xf numFmtId="1" fontId="47" fillId="0" borderId="0" xfId="0" applyNumberFormat="1" applyFont="1" applyAlignment="1">
      <alignment horizontal="right"/>
    </xf>
    <xf numFmtId="176" fontId="65" fillId="0" borderId="84" xfId="0" applyNumberFormat="1" applyFont="1" applyFill="1" applyBorder="1" applyAlignment="1">
      <alignment horizontal="right" vertical="center" wrapText="1"/>
    </xf>
    <xf numFmtId="176" fontId="83" fillId="0" borderId="84" xfId="0" applyNumberFormat="1" applyFont="1" applyFill="1" applyBorder="1" applyAlignment="1">
      <alignment vertical="center"/>
    </xf>
    <xf numFmtId="14" fontId="85" fillId="0" borderId="102" xfId="0" applyNumberFormat="1" applyFont="1" applyFill="1" applyBorder="1" applyAlignment="1">
      <alignment horizontal="centerContinuous" vertical="center"/>
    </xf>
    <xf numFmtId="14" fontId="43" fillId="0" borderId="102" xfId="0" applyNumberFormat="1" applyFont="1" applyFill="1" applyBorder="1" applyAlignment="1">
      <alignment horizontal="left" vertical="center"/>
    </xf>
    <xf numFmtId="175" fontId="65" fillId="0" borderId="0" xfId="0" applyNumberFormat="1" applyFont="1" applyFill="1" applyBorder="1" applyAlignment="1">
      <alignment horizontal="right" vertical="center" wrapText="1"/>
    </xf>
    <xf numFmtId="176" fontId="65" fillId="0" borderId="0" xfId="0" applyNumberFormat="1" applyFont="1" applyFill="1" applyBorder="1" applyAlignment="1">
      <alignment vertical="center"/>
    </xf>
    <xf numFmtId="176" fontId="38" fillId="0" borderId="0" xfId="0" applyNumberFormat="1" applyFont="1"/>
    <xf numFmtId="175" fontId="38" fillId="0" borderId="0" xfId="0" applyNumberFormat="1" applyFont="1"/>
    <xf numFmtId="176" fontId="52" fillId="0" borderId="0" xfId="0" applyNumberFormat="1" applyFont="1" applyFill="1" applyBorder="1" applyAlignment="1">
      <alignment vertical="center"/>
    </xf>
    <xf numFmtId="0" fontId="0" fillId="0" borderId="0" xfId="0"/>
    <xf numFmtId="0" fontId="1" fillId="0" borderId="0" xfId="0" applyFont="1" applyFill="1"/>
    <xf numFmtId="0" fontId="92" fillId="0" borderId="0" xfId="0" applyNumberFormat="1" applyFont="1" applyAlignment="1">
      <alignment horizontal="left" vertical="justify"/>
    </xf>
    <xf numFmtId="0" fontId="92" fillId="0" borderId="0" xfId="0" applyNumberFormat="1" applyFont="1" applyAlignment="1">
      <alignment horizontal="right" vertical="center"/>
    </xf>
    <xf numFmtId="0" fontId="92" fillId="0" borderId="0" xfId="0" applyNumberFormat="1" applyFont="1" applyAlignment="1">
      <alignment vertical="center"/>
    </xf>
    <xf numFmtId="14" fontId="92" fillId="0" borderId="0" xfId="0" applyNumberFormat="1" applyFont="1" applyAlignment="1">
      <alignment horizontal="center" vertical="center"/>
    </xf>
    <xf numFmtId="0" fontId="73" fillId="0" borderId="0" xfId="0" applyNumberFormat="1" applyFont="1" applyBorder="1" applyAlignment="1">
      <alignment horizontal="left" vertical="top" wrapText="1"/>
    </xf>
    <xf numFmtId="14" fontId="73" fillId="0" borderId="0" xfId="0" applyNumberFormat="1" applyFont="1" applyFill="1" applyBorder="1" applyAlignment="1">
      <alignment horizontal="center"/>
    </xf>
    <xf numFmtId="0" fontId="73" fillId="0" borderId="0" xfId="0" applyNumberFormat="1" applyFont="1" applyFill="1" applyBorder="1" applyAlignment="1">
      <alignment horizontal="center"/>
    </xf>
    <xf numFmtId="14" fontId="6" fillId="0" borderId="0" xfId="0" applyNumberFormat="1" applyFont="1" applyFill="1" applyBorder="1" applyAlignment="1">
      <alignment horizontal="center" vertical="top" wrapText="1"/>
    </xf>
    <xf numFmtId="0" fontId="0" fillId="0" borderId="0" xfId="0" applyNumberFormat="1" applyAlignment="1">
      <alignment vertical="center"/>
    </xf>
    <xf numFmtId="14" fontId="6" fillId="0" borderId="103" xfId="0" applyNumberFormat="1" applyFont="1" applyFill="1" applyBorder="1" applyAlignment="1">
      <alignment horizontal="center" vertical="top" wrapText="1"/>
    </xf>
    <xf numFmtId="4" fontId="6" fillId="0" borderId="103" xfId="0" applyNumberFormat="1" applyFont="1" applyFill="1" applyBorder="1" applyAlignment="1">
      <alignment horizontal="center" vertical="top" wrapText="1"/>
    </xf>
    <xf numFmtId="0" fontId="6" fillId="0" borderId="103" xfId="0" applyNumberFormat="1" applyFont="1" applyFill="1" applyBorder="1" applyAlignment="1">
      <alignment horizontal="center" vertical="top" wrapText="1"/>
    </xf>
    <xf numFmtId="0" fontId="6" fillId="0" borderId="103" xfId="0" applyNumberFormat="1" applyFont="1" applyFill="1" applyBorder="1" applyAlignment="1">
      <alignment horizontal="left" vertical="top" wrapText="1"/>
    </xf>
    <xf numFmtId="0" fontId="73" fillId="0" borderId="0" xfId="0" applyNumberFormat="1" applyFont="1" applyAlignment="1"/>
    <xf numFmtId="0" fontId="4" fillId="0" borderId="0" xfId="0" applyNumberFormat="1" applyFont="1" applyFill="1" applyBorder="1" applyAlignment="1">
      <alignment horizontal="center" vertical="top" wrapText="1"/>
    </xf>
    <xf numFmtId="0" fontId="21" fillId="0" borderId="0" xfId="0" applyFont="1"/>
    <xf numFmtId="0" fontId="93" fillId="0" borderId="0" xfId="0" applyNumberFormat="1" applyFont="1" applyFill="1" applyAlignment="1"/>
    <xf numFmtId="0" fontId="52" fillId="0" borderId="100" xfId="0" applyNumberFormat="1" applyFont="1" applyBorder="1" applyAlignment="1">
      <alignment horizontal="center" vertical="center"/>
    </xf>
    <xf numFmtId="0" fontId="94" fillId="0" borderId="0" xfId="0" applyNumberFormat="1" applyFont="1" applyFill="1" applyAlignment="1"/>
    <xf numFmtId="0" fontId="95" fillId="0" borderId="0" xfId="0" applyNumberFormat="1" applyFont="1" applyBorder="1" applyAlignment="1">
      <alignment horizontal="center" vertical="center" wrapText="1"/>
    </xf>
    <xf numFmtId="0" fontId="93" fillId="0" borderId="0" xfId="0" applyNumberFormat="1" applyFont="1" applyFill="1" applyBorder="1" applyAlignment="1"/>
    <xf numFmtId="14" fontId="93" fillId="0" borderId="0" xfId="0" applyNumberFormat="1" applyFont="1" applyFill="1" applyBorder="1" applyAlignment="1"/>
    <xf numFmtId="0" fontId="93" fillId="43" borderId="105" xfId="0" applyNumberFormat="1" applyFont="1" applyFill="1" applyBorder="1" applyAlignment="1"/>
    <xf numFmtId="0" fontId="96" fillId="43" borderId="105" xfId="0" applyNumberFormat="1" applyFont="1" applyFill="1" applyBorder="1" applyAlignment="1"/>
    <xf numFmtId="0" fontId="5" fillId="0" borderId="0" xfId="0" applyNumberFormat="1" applyFont="1" applyFill="1" applyAlignment="1"/>
    <xf numFmtId="0" fontId="52" fillId="0" borderId="0" xfId="0" applyNumberFormat="1" applyFont="1" applyBorder="1" applyAlignment="1">
      <alignment horizontal="center" vertical="center"/>
    </xf>
    <xf numFmtId="0" fontId="94" fillId="0" borderId="0" xfId="0" applyNumberFormat="1" applyFont="1" applyFill="1" applyAlignment="1">
      <alignment horizontal="center"/>
    </xf>
    <xf numFmtId="0" fontId="73" fillId="0" borderId="0" xfId="0" applyNumberFormat="1" applyFont="1" applyFill="1" applyAlignment="1">
      <alignment horizontal="center"/>
    </xf>
    <xf numFmtId="0" fontId="73" fillId="0" borderId="0" xfId="0" applyNumberFormat="1" applyFont="1" applyBorder="1" applyAlignment="1">
      <alignment horizontal="center" vertical="center" wrapText="1"/>
    </xf>
    <xf numFmtId="0" fontId="5" fillId="0" borderId="0" xfId="0" applyNumberFormat="1" applyFont="1" applyFill="1" applyBorder="1" applyAlignment="1"/>
    <xf numFmtId="0" fontId="1" fillId="0" borderId="0" xfId="0" applyFont="1"/>
    <xf numFmtId="0" fontId="0" fillId="0" borderId="0" xfId="0" applyNumberFormat="1" applyAlignment="1">
      <alignment vertical="center" wrapText="1"/>
    </xf>
    <xf numFmtId="14" fontId="0" fillId="0" borderId="0" xfId="0" applyNumberFormat="1" applyAlignment="1">
      <alignment horizontal="left" vertical="center"/>
    </xf>
    <xf numFmtId="0" fontId="98" fillId="0" borderId="0" xfId="0" applyNumberFormat="1" applyFont="1" applyFill="1" applyBorder="1" applyAlignment="1">
      <alignment horizontal="center" vertical="top" wrapText="1"/>
    </xf>
    <xf numFmtId="14" fontId="98" fillId="0" borderId="0" xfId="0" applyNumberFormat="1" applyFont="1" applyFill="1" applyBorder="1" applyAlignment="1">
      <alignment horizontal="center" vertical="top" wrapText="1"/>
    </xf>
    <xf numFmtId="0" fontId="97" fillId="0" borderId="0" xfId="0" applyNumberFormat="1" applyFont="1" applyFill="1" applyAlignment="1">
      <alignment vertical="center"/>
    </xf>
    <xf numFmtId="0" fontId="98" fillId="0" borderId="0" xfId="0" applyNumberFormat="1" applyFont="1" applyFill="1" applyBorder="1" applyAlignment="1">
      <alignment horizontal="centerContinuous" vertical="top" wrapText="1"/>
    </xf>
    <xf numFmtId="0" fontId="97" fillId="0" borderId="0" xfId="0" applyFont="1"/>
    <xf numFmtId="0" fontId="97" fillId="0" borderId="0" xfId="0" applyNumberFormat="1" applyFont="1" applyAlignment="1">
      <alignment vertical="center"/>
    </xf>
    <xf numFmtId="0" fontId="97" fillId="0" borderId="0" xfId="0" applyNumberFormat="1" applyFont="1" applyAlignment="1">
      <alignment horizontal="center" vertical="center"/>
    </xf>
    <xf numFmtId="0" fontId="73" fillId="0" borderId="107" xfId="0" applyNumberFormat="1" applyFont="1" applyBorder="1" applyAlignment="1">
      <alignment horizontal="center"/>
    </xf>
    <xf numFmtId="0" fontId="73" fillId="0" borderId="101" xfId="0" applyNumberFormat="1" applyFont="1" applyBorder="1" applyAlignment="1">
      <alignment horizontal="right"/>
    </xf>
    <xf numFmtId="0" fontId="47" fillId="0" borderId="0" xfId="0" applyNumberFormat="1" applyFont="1" applyAlignment="1">
      <alignment vertical="center"/>
    </xf>
    <xf numFmtId="14" fontId="97" fillId="0" borderId="0" xfId="0" applyNumberFormat="1" applyFont="1" applyFill="1" applyAlignment="1">
      <alignment vertical="center"/>
    </xf>
    <xf numFmtId="0" fontId="73" fillId="0" borderId="109" xfId="0" applyNumberFormat="1" applyFont="1" applyBorder="1" applyAlignment="1">
      <alignment horizontal="center" vertical="center"/>
    </xf>
    <xf numFmtId="0" fontId="73" fillId="0" borderId="110" xfId="0" applyNumberFormat="1" applyFont="1" applyBorder="1" applyAlignment="1">
      <alignment horizontal="right"/>
    </xf>
    <xf numFmtId="14" fontId="73" fillId="0" borderId="111" xfId="0" applyNumberFormat="1" applyFont="1" applyBorder="1" applyAlignment="1">
      <alignment horizontal="center"/>
    </xf>
    <xf numFmtId="0" fontId="73" fillId="0" borderId="112" xfId="0" applyNumberFormat="1" applyFont="1" applyBorder="1" applyAlignment="1">
      <alignment horizontal="right"/>
    </xf>
    <xf numFmtId="0" fontId="21" fillId="0" borderId="0" xfId="0" applyFont="1" applyFill="1"/>
    <xf numFmtId="0" fontId="2" fillId="0" borderId="0" xfId="0" applyFont="1"/>
    <xf numFmtId="0" fontId="0" fillId="0" borderId="0" xfId="0"/>
    <xf numFmtId="0" fontId="0" fillId="0" borderId="0" xfId="0" applyAlignment="1">
      <alignment vertical="center"/>
    </xf>
    <xf numFmtId="0" fontId="22" fillId="0" borderId="0" xfId="0" applyFont="1"/>
    <xf numFmtId="0" fontId="38" fillId="0" borderId="0" xfId="0" applyFont="1"/>
    <xf numFmtId="0" fontId="81" fillId="0" borderId="0" xfId="0" applyFont="1" applyAlignment="1">
      <alignment vertical="center"/>
    </xf>
    <xf numFmtId="0" fontId="38" fillId="0" borderId="0" xfId="0" applyFont="1" applyFill="1" applyBorder="1" applyAlignment="1">
      <alignment vertical="center"/>
    </xf>
    <xf numFmtId="0" fontId="81" fillId="44" borderId="0" xfId="0" applyFont="1" applyFill="1" applyAlignment="1">
      <alignment vertical="center"/>
    </xf>
    <xf numFmtId="0" fontId="47" fillId="44" borderId="0" xfId="0" applyFont="1" applyFill="1" applyBorder="1" applyAlignment="1">
      <alignment vertical="center"/>
    </xf>
    <xf numFmtId="0" fontId="81" fillId="0" borderId="0" xfId="0" applyFont="1" applyAlignment="1">
      <alignment vertical="center"/>
    </xf>
    <xf numFmtId="0" fontId="38" fillId="0" borderId="0" xfId="0" applyFont="1" applyAlignment="1">
      <alignment vertical="center"/>
    </xf>
    <xf numFmtId="0" fontId="0" fillId="0" borderId="0" xfId="0" applyAlignment="1">
      <alignment horizontal="left" vertical="center"/>
    </xf>
    <xf numFmtId="0" fontId="47" fillId="0" borderId="0" xfId="0" applyFont="1"/>
    <xf numFmtId="0" fontId="53" fillId="0" borderId="0" xfId="0" applyFont="1"/>
    <xf numFmtId="14" fontId="22" fillId="0" borderId="0" xfId="0" applyNumberFormat="1" applyFont="1"/>
    <xf numFmtId="0" fontId="23" fillId="0" borderId="113" xfId="0" applyFont="1" applyBorder="1"/>
    <xf numFmtId="0" fontId="23" fillId="0" borderId="114" xfId="0" applyFont="1" applyBorder="1"/>
    <xf numFmtId="0" fontId="23" fillId="0" borderId="111" xfId="0" applyFont="1" applyBorder="1"/>
    <xf numFmtId="0" fontId="23" fillId="0" borderId="108" xfId="0" applyFont="1" applyBorder="1"/>
    <xf numFmtId="0" fontId="23" fillId="0" borderId="100" xfId="0" applyFont="1" applyBorder="1"/>
    <xf numFmtId="0" fontId="23" fillId="0" borderId="107" xfId="0" applyFont="1" applyBorder="1"/>
    <xf numFmtId="0" fontId="55" fillId="0" borderId="0" xfId="0" applyFont="1"/>
    <xf numFmtId="0" fontId="37" fillId="0" borderId="0" xfId="0" applyFont="1" applyBorder="1" applyAlignment="1">
      <alignment horizontal="left" vertical="center" readingOrder="1"/>
    </xf>
    <xf numFmtId="0" fontId="0" fillId="0" borderId="0" xfId="0" applyBorder="1"/>
    <xf numFmtId="0" fontId="19" fillId="0" borderId="0" xfId="0" applyFont="1"/>
    <xf numFmtId="175" fontId="44" fillId="0" borderId="34" xfId="0" applyNumberFormat="1" applyFont="1" applyBorder="1" applyAlignment="1">
      <alignment horizontal="right" vertical="center"/>
    </xf>
    <xf numFmtId="175" fontId="44" fillId="0" borderId="34" xfId="0" applyNumberFormat="1" applyFont="1" applyFill="1" applyBorder="1" applyAlignment="1">
      <alignment horizontal="right" vertical="center"/>
    </xf>
    <xf numFmtId="165" fontId="44" fillId="0" borderId="34" xfId="0" applyNumberFormat="1" applyFont="1" applyFill="1" applyBorder="1" applyAlignment="1">
      <alignment horizontal="right" vertical="center"/>
    </xf>
    <xf numFmtId="178" fontId="52" fillId="0" borderId="34" xfId="0" applyNumberFormat="1" applyFont="1" applyBorder="1" applyAlignment="1">
      <alignment horizontal="right" vertical="center"/>
    </xf>
    <xf numFmtId="37" fontId="44" fillId="0" borderId="92" xfId="0" applyNumberFormat="1" applyFont="1" applyBorder="1" applyAlignment="1">
      <alignment horizontal="right" vertical="center"/>
    </xf>
    <xf numFmtId="37" fontId="44" fillId="0" borderId="92" xfId="0" applyNumberFormat="1" applyFont="1" applyFill="1" applyBorder="1" applyAlignment="1">
      <alignment horizontal="right" vertical="center"/>
    </xf>
    <xf numFmtId="39" fontId="44" fillId="0" borderId="92" xfId="0" applyNumberFormat="1" applyFont="1" applyFill="1" applyBorder="1" applyAlignment="1">
      <alignment horizontal="right" vertical="center"/>
    </xf>
    <xf numFmtId="179" fontId="52" fillId="0" borderId="92" xfId="0" applyNumberFormat="1" applyFont="1" applyFill="1" applyBorder="1" applyAlignment="1">
      <alignment horizontal="right" vertical="center"/>
    </xf>
    <xf numFmtId="166" fontId="52" fillId="0" borderId="92" xfId="0" applyNumberFormat="1" applyFont="1" applyFill="1" applyBorder="1" applyAlignment="1">
      <alignment horizontal="right" vertical="center"/>
    </xf>
    <xf numFmtId="0" fontId="44" fillId="0" borderId="93" xfId="0" applyFont="1" applyBorder="1" applyAlignment="1">
      <alignment vertical="center"/>
    </xf>
    <xf numFmtId="0" fontId="52" fillId="0" borderId="93" xfId="0" applyFont="1" applyFill="1" applyBorder="1" applyAlignment="1">
      <alignment vertical="center"/>
    </xf>
    <xf numFmtId="176" fontId="67" fillId="41" borderId="116" xfId="0" applyNumberFormat="1" applyFont="1" applyFill="1" applyBorder="1" applyAlignment="1">
      <alignment horizontal="left"/>
    </xf>
    <xf numFmtId="176" fontId="67" fillId="41" borderId="117" xfId="0" applyNumberFormat="1" applyFont="1" applyFill="1" applyBorder="1" applyAlignment="1">
      <alignment horizontal="center"/>
    </xf>
    <xf numFmtId="14" fontId="67" fillId="41" borderId="118" xfId="0" applyNumberFormat="1" applyFont="1" applyFill="1" applyBorder="1" applyAlignment="1">
      <alignment horizontal="centerContinuous" vertical="center"/>
    </xf>
    <xf numFmtId="14" fontId="67" fillId="41" borderId="119" xfId="0" applyNumberFormat="1" applyFont="1" applyFill="1" applyBorder="1" applyAlignment="1">
      <alignment horizontal="centerContinuous" vertical="center"/>
    </xf>
    <xf numFmtId="14" fontId="67" fillId="41" borderId="120" xfId="0" applyNumberFormat="1" applyFont="1" applyFill="1" applyBorder="1" applyAlignment="1">
      <alignment horizontal="centerContinuous" vertical="center"/>
    </xf>
    <xf numFmtId="14" fontId="67" fillId="41" borderId="121" xfId="0" applyNumberFormat="1" applyFont="1" applyFill="1" applyBorder="1" applyAlignment="1">
      <alignment horizontal="centerContinuous" vertical="center"/>
    </xf>
    <xf numFmtId="14" fontId="67" fillId="41" borderId="122" xfId="0" applyNumberFormat="1" applyFont="1" applyFill="1" applyBorder="1" applyAlignment="1">
      <alignment horizontal="centerContinuous" vertical="center"/>
    </xf>
    <xf numFmtId="14" fontId="67" fillId="41" borderId="123" xfId="0" applyNumberFormat="1" applyFont="1" applyFill="1" applyBorder="1" applyAlignment="1">
      <alignment horizontal="centerContinuous" vertical="center"/>
    </xf>
    <xf numFmtId="14" fontId="67" fillId="41" borderId="117" xfId="0" applyNumberFormat="1" applyFont="1" applyFill="1" applyBorder="1" applyAlignment="1">
      <alignment horizontal="centerContinuous" vertical="center"/>
    </xf>
    <xf numFmtId="0" fontId="35" fillId="0" borderId="0" xfId="0" applyFont="1" applyAlignment="1">
      <alignment vertical="center"/>
    </xf>
    <xf numFmtId="187" fontId="38" fillId="0" borderId="0" xfId="0" applyNumberFormat="1" applyFont="1"/>
    <xf numFmtId="3" fontId="39" fillId="0" borderId="16" xfId="2" applyNumberFormat="1" applyFont="1" applyFill="1" applyBorder="1" applyAlignment="1">
      <alignment horizontal="right" vertical="center"/>
    </xf>
    <xf numFmtId="37" fontId="39" fillId="0" borderId="16" xfId="44" applyNumberFormat="1" applyFont="1" applyFill="1" applyBorder="1" applyAlignment="1">
      <alignment horizontal="right" vertical="center"/>
    </xf>
    <xf numFmtId="0" fontId="38" fillId="0" borderId="0" xfId="0" applyFont="1" applyFill="1"/>
    <xf numFmtId="0" fontId="38" fillId="0" borderId="0" xfId="0" applyFont="1" applyFill="1" applyBorder="1"/>
    <xf numFmtId="0" fontId="38" fillId="0" borderId="0" xfId="0" applyFont="1" applyBorder="1"/>
    <xf numFmtId="0" fontId="38" fillId="0" borderId="0" xfId="0" applyFont="1" applyBorder="1" applyAlignment="1">
      <alignment horizontal="right"/>
    </xf>
    <xf numFmtId="0" fontId="38" fillId="0" borderId="0" xfId="0" applyFont="1" applyAlignment="1">
      <alignment horizontal="right"/>
    </xf>
    <xf numFmtId="0" fontId="99" fillId="0" borderId="0" xfId="0" applyFont="1" applyFill="1"/>
    <xf numFmtId="38" fontId="43" fillId="0" borderId="34" xfId="0" applyNumberFormat="1" applyFont="1" applyBorder="1" applyAlignment="1">
      <alignment horizontal="right" vertical="center"/>
    </xf>
    <xf numFmtId="188" fontId="39" fillId="0" borderId="34" xfId="0" applyNumberFormat="1" applyFont="1" applyBorder="1" applyAlignment="1">
      <alignment horizontal="right" vertical="center"/>
    </xf>
    <xf numFmtId="188" fontId="43" fillId="0" borderId="34" xfId="0" applyNumberFormat="1" applyFont="1" applyBorder="1" applyAlignment="1">
      <alignment horizontal="right" vertical="center"/>
    </xf>
    <xf numFmtId="0" fontId="38" fillId="0" borderId="0" xfId="0" applyFont="1" applyFill="1" applyAlignment="1">
      <alignment vertical="center"/>
    </xf>
    <xf numFmtId="0" fontId="39" fillId="0" borderId="0" xfId="0" applyFont="1" applyBorder="1" applyAlignment="1">
      <alignment vertical="center"/>
    </xf>
    <xf numFmtId="38" fontId="38" fillId="0" borderId="0" xfId="0" applyNumberFormat="1" applyFont="1" applyBorder="1" applyAlignment="1">
      <alignment horizontal="right" vertical="center"/>
    </xf>
    <xf numFmtId="183" fontId="39" fillId="0" borderId="34" xfId="0" applyNumberFormat="1" applyFont="1" applyBorder="1" applyAlignment="1">
      <alignment horizontal="right" vertical="center"/>
    </xf>
    <xf numFmtId="177" fontId="39" fillId="0" borderId="34" xfId="0" applyNumberFormat="1" applyFont="1" applyBorder="1" applyAlignment="1">
      <alignment horizontal="right" vertical="center"/>
    </xf>
    <xf numFmtId="0" fontId="0" fillId="0" borderId="0" xfId="0"/>
    <xf numFmtId="0" fontId="42" fillId="0" borderId="0" xfId="0" applyFont="1" applyFill="1"/>
    <xf numFmtId="187" fontId="39" fillId="0" borderId="0" xfId="1" applyNumberFormat="1" applyFont="1" applyAlignment="1">
      <alignment vertical="center"/>
    </xf>
    <xf numFmtId="0" fontId="27" fillId="0" borderId="0" xfId="45"/>
    <xf numFmtId="0" fontId="42" fillId="0" borderId="0" xfId="0" applyFont="1" applyBorder="1"/>
    <xf numFmtId="1" fontId="42" fillId="2" borderId="128" xfId="0" applyNumberFormat="1" applyFont="1" applyFill="1" applyBorder="1" applyAlignment="1">
      <alignment horizontal="center"/>
    </xf>
    <xf numFmtId="0" fontId="100" fillId="0" borderId="0" xfId="0" applyFont="1"/>
    <xf numFmtId="0" fontId="97" fillId="0" borderId="0" xfId="45" quotePrefix="1" applyFont="1" applyFill="1"/>
    <xf numFmtId="0" fontId="38" fillId="0" borderId="0" xfId="0" applyFont="1" applyFill="1" applyAlignment="1">
      <alignment horizontal="center" vertical="center"/>
    </xf>
    <xf numFmtId="1" fontId="42" fillId="0" borderId="128" xfId="0" applyNumberFormat="1" applyFont="1" applyFill="1" applyBorder="1" applyAlignment="1">
      <alignment horizontal="center"/>
    </xf>
    <xf numFmtId="0" fontId="38" fillId="0" borderId="0" xfId="0" applyFont="1" applyFill="1" applyBorder="1" applyAlignment="1">
      <alignment horizontal="left"/>
    </xf>
    <xf numFmtId="0" fontId="43" fillId="0" borderId="0" xfId="0" applyFont="1"/>
    <xf numFmtId="0" fontId="41" fillId="40" borderId="16" xfId="0" applyFont="1" applyFill="1" applyBorder="1" applyAlignment="1">
      <alignment horizontal="center"/>
    </xf>
    <xf numFmtId="0" fontId="101" fillId="0" borderId="0" xfId="0" applyFont="1" applyFill="1" applyAlignment="1">
      <alignment horizontal="center" vertical="center"/>
    </xf>
    <xf numFmtId="0" fontId="102" fillId="0" borderId="22" xfId="0" applyFont="1" applyFill="1" applyBorder="1" applyAlignment="1">
      <alignment horizontal="center" vertical="center"/>
    </xf>
    <xf numFmtId="0" fontId="33" fillId="0" borderId="0" xfId="0" applyFont="1" applyFill="1" applyBorder="1" applyAlignment="1">
      <alignment horizontal="right" vertical="center"/>
    </xf>
    <xf numFmtId="168" fontId="39" fillId="0" borderId="0" xfId="1" applyNumberFormat="1" applyFont="1" applyFill="1" applyBorder="1" applyAlignment="1">
      <alignment horizontal="right" vertical="center"/>
    </xf>
    <xf numFmtId="10" fontId="39" fillId="35" borderId="21" xfId="1" applyNumberFormat="1" applyFont="1" applyFill="1" applyBorder="1" applyAlignment="1">
      <alignment horizontal="right" vertical="center"/>
    </xf>
    <xf numFmtId="0" fontId="38" fillId="0" borderId="0" xfId="45" quotePrefix="1" applyFont="1" applyFill="1"/>
    <xf numFmtId="0" fontId="44" fillId="35" borderId="0" xfId="0" applyFont="1" applyFill="1" applyBorder="1" applyAlignment="1">
      <alignment horizontal="center" vertical="center" wrapText="1"/>
    </xf>
    <xf numFmtId="0" fontId="44" fillId="35" borderId="0" xfId="0" applyFont="1" applyFill="1" applyBorder="1" applyAlignment="1">
      <alignment horizontal="right" vertical="center" wrapText="1"/>
    </xf>
    <xf numFmtId="0" fontId="44" fillId="35" borderId="0" xfId="0" applyFont="1" applyFill="1" applyBorder="1" applyAlignment="1">
      <alignment horizontal="right" vertical="top" wrapText="1"/>
    </xf>
    <xf numFmtId="0" fontId="44" fillId="35" borderId="20" xfId="0" applyFont="1" applyFill="1" applyBorder="1" applyAlignment="1">
      <alignment horizontal="right" vertical="top" wrapText="1"/>
    </xf>
    <xf numFmtId="0" fontId="104" fillId="0" borderId="0" xfId="0" applyFont="1" applyFill="1"/>
    <xf numFmtId="1" fontId="44" fillId="35" borderId="61" xfId="1" applyNumberFormat="1" applyFont="1" applyFill="1" applyBorder="1" applyAlignment="1">
      <alignment horizontal="right" vertical="center"/>
    </xf>
    <xf numFmtId="1" fontId="44" fillId="35" borderId="55" xfId="1" applyNumberFormat="1" applyFont="1" applyFill="1" applyBorder="1" applyAlignment="1">
      <alignment horizontal="right" vertical="center"/>
    </xf>
    <xf numFmtId="1" fontId="44" fillId="35" borderId="51" xfId="1" applyNumberFormat="1" applyFont="1" applyFill="1" applyBorder="1" applyAlignment="1">
      <alignment horizontal="right" vertical="center"/>
    </xf>
    <xf numFmtId="1" fontId="44" fillId="35" borderId="19" xfId="1" applyNumberFormat="1" applyFont="1" applyFill="1" applyBorder="1" applyAlignment="1">
      <alignment horizontal="right" vertical="center"/>
    </xf>
    <xf numFmtId="1" fontId="44" fillId="35" borderId="0" xfId="1" applyNumberFormat="1" applyFont="1" applyFill="1" applyBorder="1" applyAlignment="1">
      <alignment horizontal="right" vertical="center"/>
    </xf>
    <xf numFmtId="1" fontId="44" fillId="35" borderId="20" xfId="1" applyNumberFormat="1" applyFont="1" applyFill="1" applyBorder="1" applyAlignment="1">
      <alignment horizontal="right" vertical="center"/>
    </xf>
    <xf numFmtId="1" fontId="44" fillId="35" borderId="19" xfId="0" applyNumberFormat="1" applyFont="1" applyFill="1" applyBorder="1" applyAlignment="1">
      <alignment horizontal="right" vertical="center"/>
    </xf>
    <xf numFmtId="1" fontId="44" fillId="35" borderId="0" xfId="0" applyNumberFormat="1" applyFont="1" applyFill="1" applyBorder="1" applyAlignment="1">
      <alignment horizontal="right" vertical="center"/>
    </xf>
    <xf numFmtId="1" fontId="44" fillId="35" borderId="20" xfId="0" applyNumberFormat="1" applyFont="1" applyFill="1" applyBorder="1" applyAlignment="1">
      <alignment horizontal="right" vertical="center"/>
    </xf>
    <xf numFmtId="1" fontId="44" fillId="35" borderId="25" xfId="0" applyNumberFormat="1" applyFont="1" applyFill="1" applyBorder="1" applyAlignment="1">
      <alignment horizontal="right" vertical="top" wrapText="1"/>
    </xf>
    <xf numFmtId="1" fontId="44" fillId="35" borderId="26" xfId="0" applyNumberFormat="1" applyFont="1" applyFill="1" applyBorder="1" applyAlignment="1">
      <alignment horizontal="right" vertical="top" wrapText="1"/>
    </xf>
    <xf numFmtId="1" fontId="44" fillId="35" borderId="27" xfId="0" applyNumberFormat="1" applyFont="1" applyFill="1" applyBorder="1" applyAlignment="1">
      <alignment horizontal="right" vertical="top" wrapText="1"/>
    </xf>
    <xf numFmtId="0" fontId="52" fillId="0" borderId="108" xfId="0" applyNumberFormat="1" applyFont="1" applyBorder="1" applyAlignment="1">
      <alignment horizontal="center" vertical="center"/>
    </xf>
    <xf numFmtId="0" fontId="52" fillId="0" borderId="107" xfId="0" applyNumberFormat="1" applyFont="1" applyBorder="1" applyAlignment="1">
      <alignment horizontal="center" vertical="center"/>
    </xf>
    <xf numFmtId="0" fontId="22" fillId="0" borderId="0" xfId="0" applyFont="1" applyFill="1" applyBorder="1" applyAlignment="1">
      <alignment vertical="center"/>
    </xf>
    <xf numFmtId="0" fontId="23" fillId="0" borderId="0" xfId="0" applyFont="1"/>
    <xf numFmtId="0" fontId="0" fillId="0" borderId="0" xfId="0" applyBorder="1" applyAlignment="1">
      <alignment vertical="center"/>
    </xf>
    <xf numFmtId="0" fontId="61" fillId="0" borderId="84" xfId="0" applyFont="1" applyFill="1" applyBorder="1" applyAlignment="1">
      <alignment horizontal="center" vertical="center"/>
    </xf>
    <xf numFmtId="14" fontId="105" fillId="0" borderId="0" xfId="0" applyNumberFormat="1" applyFont="1" applyFill="1" applyBorder="1" applyAlignment="1">
      <alignment horizontal="right" vertical="center"/>
    </xf>
    <xf numFmtId="39" fontId="105" fillId="0" borderId="0" xfId="0" applyNumberFormat="1" applyFont="1" applyFill="1" applyBorder="1" applyAlignment="1">
      <alignment horizontal="right" vertical="center"/>
    </xf>
    <xf numFmtId="14" fontId="0" fillId="0" borderId="0" xfId="0" applyNumberFormat="1"/>
    <xf numFmtId="0" fontId="54" fillId="0" borderId="0" xfId="0" applyFont="1" applyFill="1" applyBorder="1" applyAlignment="1">
      <alignment horizontal="right" vertical="center" readingOrder="1"/>
    </xf>
    <xf numFmtId="166" fontId="106" fillId="0" borderId="0" xfId="0" applyNumberFormat="1" applyFont="1" applyFill="1" applyBorder="1" applyAlignment="1">
      <alignment vertical="center" readingOrder="1"/>
    </xf>
    <xf numFmtId="37" fontId="105" fillId="0" borderId="0" xfId="0" applyNumberFormat="1" applyFont="1" applyFill="1" applyBorder="1" applyAlignment="1">
      <alignment horizontal="right" vertical="center"/>
    </xf>
    <xf numFmtId="166" fontId="0" fillId="0" borderId="0" xfId="0" applyNumberFormat="1" applyAlignment="1">
      <alignment vertical="center"/>
    </xf>
    <xf numFmtId="171" fontId="39" fillId="35" borderId="21" xfId="1" applyNumberFormat="1" applyFont="1" applyFill="1" applyBorder="1" applyAlignment="1">
      <alignment horizontal="right" vertical="center"/>
    </xf>
    <xf numFmtId="171" fontId="44" fillId="35" borderId="61" xfId="1" applyNumberFormat="1" applyFont="1" applyFill="1" applyBorder="1" applyAlignment="1">
      <alignment horizontal="right" vertical="center"/>
    </xf>
    <xf numFmtId="171" fontId="44" fillId="35" borderId="55" xfId="1" applyNumberFormat="1" applyFont="1" applyFill="1" applyBorder="1" applyAlignment="1">
      <alignment horizontal="right" vertical="center"/>
    </xf>
    <xf numFmtId="171" fontId="44" fillId="35" borderId="51" xfId="1" applyNumberFormat="1" applyFont="1" applyFill="1" applyBorder="1" applyAlignment="1">
      <alignment horizontal="right" vertical="center"/>
    </xf>
    <xf numFmtId="171" fontId="44" fillId="35" borderId="19" xfId="1" applyNumberFormat="1" applyFont="1" applyFill="1" applyBorder="1" applyAlignment="1">
      <alignment horizontal="right" vertical="center"/>
    </xf>
    <xf numFmtId="171" fontId="44" fillId="35" borderId="0" xfId="1" applyNumberFormat="1" applyFont="1" applyFill="1" applyBorder="1" applyAlignment="1">
      <alignment horizontal="right" vertical="center"/>
    </xf>
    <xf numFmtId="171" fontId="44" fillId="35" borderId="20" xfId="1" applyNumberFormat="1" applyFont="1" applyFill="1" applyBorder="1" applyAlignment="1">
      <alignment horizontal="right" vertical="center"/>
    </xf>
    <xf numFmtId="190" fontId="39" fillId="35" borderId="21" xfId="1" applyNumberFormat="1" applyFont="1" applyFill="1" applyBorder="1" applyAlignment="1">
      <alignment horizontal="right" vertical="center"/>
    </xf>
    <xf numFmtId="191" fontId="39" fillId="35" borderId="21" xfId="1" applyNumberFormat="1" applyFont="1" applyFill="1" applyBorder="1" applyAlignment="1">
      <alignment horizontal="right" vertical="center"/>
    </xf>
    <xf numFmtId="0" fontId="0" fillId="0" borderId="0" xfId="0" applyFont="1" applyFill="1"/>
    <xf numFmtId="0" fontId="82" fillId="0" borderId="0" xfId="0" applyFont="1" applyAlignment="1">
      <alignment horizontal="left" vertical="center"/>
    </xf>
    <xf numFmtId="0" fontId="82" fillId="0" borderId="0" xfId="0" applyFont="1" applyFill="1" applyAlignment="1">
      <alignment horizontal="left" vertical="center"/>
    </xf>
    <xf numFmtId="192" fontId="43" fillId="0" borderId="34" xfId="0" applyNumberFormat="1" applyFont="1" applyFill="1" applyBorder="1" applyAlignment="1">
      <alignment horizontal="right" vertical="center"/>
    </xf>
    <xf numFmtId="2" fontId="38" fillId="0" borderId="0" xfId="0" applyNumberFormat="1" applyFont="1" applyFill="1" applyBorder="1"/>
    <xf numFmtId="2" fontId="47" fillId="0" borderId="0" xfId="0" applyNumberFormat="1" applyFont="1" applyFill="1" applyBorder="1"/>
    <xf numFmtId="14" fontId="38" fillId="0" borderId="0" xfId="0" applyNumberFormat="1" applyFont="1" applyFill="1" applyBorder="1"/>
    <xf numFmtId="0" fontId="97" fillId="0" borderId="0" xfId="0" applyFont="1" applyFill="1" applyBorder="1"/>
    <xf numFmtId="1" fontId="38" fillId="0" borderId="0" xfId="0" applyNumberFormat="1" applyFont="1" applyFill="1" applyBorder="1"/>
    <xf numFmtId="0" fontId="107" fillId="0" borderId="0" xfId="0" applyFont="1" applyFill="1" applyBorder="1" applyAlignment="1">
      <alignment vertical="center"/>
    </xf>
    <xf numFmtId="0" fontId="47" fillId="0" borderId="0" xfId="0" applyNumberFormat="1" applyFont="1" applyFill="1" applyBorder="1" applyAlignment="1">
      <alignment horizontal="left" vertical="center" wrapText="1"/>
    </xf>
    <xf numFmtId="2" fontId="38" fillId="0" borderId="0" xfId="0" applyNumberFormat="1" applyFont="1" applyFill="1" applyBorder="1" applyAlignment="1">
      <alignment wrapText="1"/>
    </xf>
    <xf numFmtId="14" fontId="38" fillId="0" borderId="0" xfId="0" applyNumberFormat="1" applyFont="1" applyFill="1" applyBorder="1" applyAlignment="1">
      <alignment wrapText="1"/>
    </xf>
    <xf numFmtId="2" fontId="38" fillId="0" borderId="0" xfId="0" applyNumberFormat="1" applyFont="1" applyFill="1" applyBorder="1" applyAlignment="1">
      <alignment horizontal="right" wrapText="1"/>
    </xf>
    <xf numFmtId="0" fontId="38" fillId="0" borderId="0" xfId="0" applyFont="1" applyFill="1" applyBorder="1" applyAlignment="1">
      <alignment wrapText="1"/>
    </xf>
    <xf numFmtId="0" fontId="47" fillId="0" borderId="105" xfId="0" applyNumberFormat="1" applyFont="1" applyFill="1" applyBorder="1" applyAlignment="1">
      <alignment horizontal="left" vertical="center" wrapText="1"/>
    </xf>
    <xf numFmtId="1" fontId="38" fillId="0" borderId="0" xfId="0" applyNumberFormat="1" applyFont="1" applyFill="1" applyBorder="1" applyAlignment="1">
      <alignment wrapText="1"/>
    </xf>
    <xf numFmtId="1" fontId="47" fillId="0" borderId="105" xfId="0" applyNumberFormat="1" applyFont="1" applyFill="1" applyBorder="1" applyAlignment="1">
      <alignment horizontal="left" vertical="center" wrapText="1"/>
    </xf>
    <xf numFmtId="2" fontId="47" fillId="0" borderId="0" xfId="0" applyNumberFormat="1" applyFont="1" applyFill="1" applyBorder="1" applyAlignment="1">
      <alignment horizontal="right"/>
    </xf>
    <xf numFmtId="1" fontId="47" fillId="0" borderId="0" xfId="0" applyNumberFormat="1" applyFont="1" applyFill="1" applyBorder="1" applyAlignment="1">
      <alignment horizontal="left"/>
    </xf>
    <xf numFmtId="14" fontId="47" fillId="0" borderId="0" xfId="0" applyNumberFormat="1" applyFont="1" applyFill="1" applyBorder="1"/>
    <xf numFmtId="193" fontId="39" fillId="0" borderId="0" xfId="0" applyNumberFormat="1" applyFont="1" applyAlignment="1">
      <alignment horizontal="center" vertical="center"/>
    </xf>
    <xf numFmtId="194" fontId="39" fillId="0" borderId="0" xfId="0" applyNumberFormat="1" applyFont="1" applyAlignment="1">
      <alignment horizontal="center" vertical="center"/>
    </xf>
    <xf numFmtId="0" fontId="39" fillId="0" borderId="34" xfId="0" applyFont="1" applyBorder="1" applyAlignment="1">
      <alignment horizontal="left" vertical="center" wrapText="1"/>
    </xf>
    <xf numFmtId="0" fontId="38" fillId="0" borderId="0" xfId="0" applyFont="1" applyFill="1"/>
    <xf numFmtId="0" fontId="38" fillId="0" borderId="0" xfId="0" applyFont="1" applyFill="1" applyBorder="1"/>
    <xf numFmtId="0" fontId="38" fillId="0" borderId="0" xfId="0" applyFont="1" applyBorder="1"/>
    <xf numFmtId="0" fontId="38" fillId="0" borderId="0" xfId="0" applyFont="1" applyBorder="1" applyAlignment="1">
      <alignment horizontal="right"/>
    </xf>
    <xf numFmtId="0" fontId="38" fillId="0" borderId="0" xfId="0" applyFont="1" applyAlignment="1">
      <alignment horizontal="right"/>
    </xf>
    <xf numFmtId="0" fontId="38" fillId="0" borderId="0" xfId="0" applyFont="1" applyAlignment="1">
      <alignment horizontal="left"/>
    </xf>
    <xf numFmtId="0" fontId="99" fillId="0" borderId="0" xfId="0" applyFont="1" applyFill="1"/>
    <xf numFmtId="192" fontId="43" fillId="0" borderId="34" xfId="0" applyNumberFormat="1" applyFont="1" applyBorder="1" applyAlignment="1">
      <alignment horizontal="right" vertical="center"/>
    </xf>
    <xf numFmtId="0" fontId="71" fillId="0" borderId="0" xfId="0" applyFont="1" applyFill="1"/>
    <xf numFmtId="0" fontId="39" fillId="0" borderId="34" xfId="0" applyFont="1" applyFill="1" applyBorder="1" applyAlignment="1">
      <alignment vertical="center"/>
    </xf>
    <xf numFmtId="0" fontId="39" fillId="0" borderId="34" xfId="0" applyFont="1" applyBorder="1" applyAlignment="1">
      <alignment horizontal="left"/>
    </xf>
    <xf numFmtId="0" fontId="39" fillId="0" borderId="0" xfId="0" applyFont="1" applyBorder="1" applyAlignment="1">
      <alignment vertical="center"/>
    </xf>
    <xf numFmtId="175" fontId="39" fillId="0" borderId="0" xfId="0" applyNumberFormat="1" applyFont="1" applyBorder="1" applyAlignment="1">
      <alignment horizontal="right" vertical="center"/>
    </xf>
    <xf numFmtId="38" fontId="38" fillId="0" borderId="0" xfId="0" applyNumberFormat="1" applyFont="1" applyBorder="1" applyAlignment="1">
      <alignment horizontal="right" vertical="center"/>
    </xf>
    <xf numFmtId="0" fontId="38" fillId="0" borderId="0" xfId="0" applyFont="1" applyBorder="1" applyAlignment="1">
      <alignment vertical="center"/>
    </xf>
    <xf numFmtId="0" fontId="38" fillId="0" borderId="0" xfId="0" applyFont="1" applyBorder="1" applyAlignment="1">
      <alignment horizontal="right" vertical="center"/>
    </xf>
    <xf numFmtId="0" fontId="38" fillId="0" borderId="0" xfId="0" applyFont="1" applyFill="1" applyAlignment="1">
      <alignment vertical="center"/>
    </xf>
    <xf numFmtId="0" fontId="108" fillId="0" borderId="0" xfId="0" applyFont="1" applyFill="1"/>
    <xf numFmtId="0" fontId="47" fillId="0" borderId="0" xfId="0" applyFont="1" applyFill="1"/>
    <xf numFmtId="0" fontId="38" fillId="0" borderId="0" xfId="0" applyFont="1" applyFill="1" applyAlignment="1"/>
    <xf numFmtId="0" fontId="39" fillId="0" borderId="34" xfId="0" applyFont="1" applyBorder="1" applyAlignment="1">
      <alignment vertical="center"/>
    </xf>
    <xf numFmtId="0" fontId="47" fillId="0" borderId="0" xfId="0" applyFont="1" applyFill="1" applyAlignment="1">
      <alignment vertical="center"/>
    </xf>
    <xf numFmtId="0" fontId="39" fillId="0" borderId="34" xfId="0" applyFont="1" applyBorder="1"/>
    <xf numFmtId="189" fontId="39" fillId="0" borderId="34" xfId="0" applyNumberFormat="1" applyFont="1" applyBorder="1" applyAlignment="1">
      <alignment horizontal="right" vertical="center"/>
    </xf>
    <xf numFmtId="179" fontId="38" fillId="0" borderId="0" xfId="0" applyNumberFormat="1" applyFont="1" applyBorder="1" applyAlignment="1">
      <alignment horizontal="right" vertical="center"/>
    </xf>
    <xf numFmtId="0" fontId="38" fillId="0" borderId="0" xfId="0" applyFont="1" applyFill="1" applyBorder="1" applyAlignment="1">
      <alignment horizontal="right" vertical="center"/>
    </xf>
    <xf numFmtId="37" fontId="38" fillId="0" borderId="0" xfId="0" applyNumberFormat="1" applyFont="1" applyFill="1" applyBorder="1" applyAlignment="1">
      <alignment horizontal="center"/>
    </xf>
    <xf numFmtId="0" fontId="39" fillId="0" borderId="0" xfId="0" applyFont="1" applyFill="1"/>
    <xf numFmtId="0" fontId="38" fillId="0" borderId="0" xfId="0" applyFont="1"/>
    <xf numFmtId="196" fontId="38" fillId="0" borderId="0" xfId="0" applyNumberFormat="1" applyFont="1" applyFill="1" applyBorder="1"/>
    <xf numFmtId="0" fontId="43" fillId="0" borderId="18" xfId="0" applyFont="1" applyFill="1" applyBorder="1" applyAlignment="1">
      <alignment horizontal="left" vertical="center" indent="1"/>
    </xf>
    <xf numFmtId="0" fontId="43" fillId="0" borderId="18" xfId="0" applyFont="1" applyBorder="1" applyAlignment="1">
      <alignment horizontal="left" vertical="center" indent="1"/>
    </xf>
    <xf numFmtId="190" fontId="39" fillId="0" borderId="0" xfId="0" applyNumberFormat="1" applyFont="1" applyBorder="1" applyAlignment="1">
      <alignment horizontal="right" vertical="center"/>
    </xf>
    <xf numFmtId="14" fontId="38" fillId="0" borderId="0" xfId="0" applyNumberFormat="1" applyFont="1" applyFill="1"/>
    <xf numFmtId="166" fontId="44" fillId="35" borderId="132" xfId="1" applyNumberFormat="1" applyFont="1" applyFill="1" applyBorder="1" applyAlignment="1">
      <alignment vertical="center"/>
    </xf>
    <xf numFmtId="166" fontId="44" fillId="35" borderId="133" xfId="1" applyNumberFormat="1" applyFont="1" applyFill="1" applyBorder="1" applyAlignment="1">
      <alignment vertical="center"/>
    </xf>
    <xf numFmtId="0" fontId="39" fillId="35" borderId="60" xfId="0" applyFont="1" applyFill="1" applyBorder="1" applyAlignment="1">
      <alignment vertical="center"/>
    </xf>
    <xf numFmtId="0" fontId="39" fillId="35" borderId="55" xfId="0" applyFont="1" applyFill="1" applyBorder="1" applyAlignment="1">
      <alignment vertical="center"/>
    </xf>
    <xf numFmtId="0" fontId="39" fillId="35" borderId="131" xfId="0" applyFont="1" applyFill="1" applyBorder="1" applyAlignment="1">
      <alignment vertical="center"/>
    </xf>
    <xf numFmtId="0" fontId="39" fillId="35" borderId="132" xfId="0" applyFont="1" applyFill="1" applyBorder="1" applyAlignment="1">
      <alignment vertical="center"/>
    </xf>
    <xf numFmtId="0" fontId="109" fillId="0" borderId="0" xfId="0" applyFont="1"/>
    <xf numFmtId="0" fontId="27" fillId="0" borderId="0" xfId="45" applyFill="1"/>
    <xf numFmtId="9" fontId="44" fillId="35" borderId="60" xfId="1" applyNumberFormat="1" applyFont="1" applyFill="1" applyBorder="1" applyAlignment="1">
      <alignment horizontal="right" vertical="center"/>
    </xf>
    <xf numFmtId="9" fontId="44" fillId="35" borderId="55" xfId="1" applyNumberFormat="1" applyFont="1" applyFill="1" applyBorder="1" applyAlignment="1">
      <alignment horizontal="right" vertical="center"/>
    </xf>
    <xf numFmtId="9" fontId="44" fillId="35" borderId="51" xfId="1" applyNumberFormat="1" applyFont="1" applyFill="1" applyBorder="1" applyAlignment="1">
      <alignment horizontal="right" vertical="center"/>
    </xf>
    <xf numFmtId="9" fontId="44" fillId="35" borderId="61" xfId="1" applyNumberFormat="1" applyFont="1" applyFill="1" applyBorder="1" applyAlignment="1">
      <alignment horizontal="right" vertical="center"/>
    </xf>
    <xf numFmtId="9" fontId="44" fillId="35" borderId="19" xfId="1" applyNumberFormat="1" applyFont="1" applyFill="1" applyBorder="1" applyAlignment="1">
      <alignment horizontal="right" vertical="center"/>
    </xf>
    <xf numFmtId="9" fontId="44" fillId="35" borderId="0" xfId="1" applyNumberFormat="1" applyFont="1" applyFill="1" applyBorder="1" applyAlignment="1">
      <alignment horizontal="right" vertical="center"/>
    </xf>
    <xf numFmtId="9" fontId="44" fillId="35" borderId="20" xfId="1" applyNumberFormat="1" applyFont="1" applyFill="1" applyBorder="1" applyAlignment="1">
      <alignment horizontal="right" vertical="center"/>
    </xf>
    <xf numFmtId="9" fontId="44" fillId="35" borderId="49" xfId="1" applyNumberFormat="1" applyFont="1" applyFill="1" applyBorder="1" applyAlignment="1">
      <alignment horizontal="right" vertical="center"/>
    </xf>
    <xf numFmtId="0" fontId="36" fillId="0" borderId="0" xfId="0" applyFont="1" applyFill="1" applyBorder="1" applyAlignment="1">
      <alignment horizontal="centerContinuous"/>
    </xf>
    <xf numFmtId="9" fontId="44" fillId="35" borderId="62" xfId="1" applyNumberFormat="1" applyFont="1" applyFill="1" applyBorder="1" applyAlignment="1">
      <alignment horizontal="right" vertical="center"/>
    </xf>
    <xf numFmtId="9" fontId="44" fillId="35" borderId="63" xfId="1" applyNumberFormat="1" applyFont="1" applyFill="1" applyBorder="1" applyAlignment="1">
      <alignment horizontal="right" vertical="center"/>
    </xf>
    <xf numFmtId="9" fontId="44" fillId="35" borderId="64" xfId="1" applyNumberFormat="1" applyFont="1" applyFill="1" applyBorder="1" applyAlignment="1">
      <alignment horizontal="right" vertical="center"/>
    </xf>
    <xf numFmtId="9" fontId="44" fillId="35" borderId="69" xfId="1" applyNumberFormat="1" applyFont="1" applyFill="1" applyBorder="1" applyAlignment="1">
      <alignment horizontal="right" vertical="center"/>
    </xf>
    <xf numFmtId="9" fontId="44" fillId="35" borderId="70" xfId="1" applyNumberFormat="1" applyFont="1" applyFill="1" applyBorder="1" applyAlignment="1">
      <alignment horizontal="right" vertical="center"/>
    </xf>
    <xf numFmtId="9" fontId="44" fillId="35" borderId="25" xfId="0" applyNumberFormat="1" applyFont="1" applyFill="1" applyBorder="1" applyAlignment="1">
      <alignment horizontal="right" vertical="top" wrapText="1"/>
    </xf>
    <xf numFmtId="9" fontId="44" fillId="35" borderId="26" xfId="0" applyNumberFormat="1" applyFont="1" applyFill="1" applyBorder="1" applyAlignment="1">
      <alignment horizontal="right" vertical="top" wrapText="1"/>
    </xf>
    <xf numFmtId="9" fontId="44" fillId="35" borderId="27" xfId="0" applyNumberFormat="1" applyFont="1" applyFill="1" applyBorder="1" applyAlignment="1">
      <alignment horizontal="right" vertical="top" wrapText="1"/>
    </xf>
    <xf numFmtId="1" fontId="39" fillId="0" borderId="0" xfId="0" applyNumberFormat="1" applyFont="1" applyAlignment="1">
      <alignment vertical="center"/>
    </xf>
    <xf numFmtId="171" fontId="44" fillId="35" borderId="62" xfId="1" applyNumberFormat="1" applyFont="1" applyFill="1" applyBorder="1" applyAlignment="1">
      <alignment horizontal="right" vertical="center"/>
    </xf>
    <xf numFmtId="171" fontId="44" fillId="35" borderId="63" xfId="1" applyNumberFormat="1" applyFont="1" applyFill="1" applyBorder="1" applyAlignment="1">
      <alignment horizontal="right" vertical="center"/>
    </xf>
    <xf numFmtId="171" fontId="44" fillId="35" borderId="69" xfId="1" applyNumberFormat="1" applyFont="1" applyFill="1" applyBorder="1" applyAlignment="1">
      <alignment horizontal="right" vertical="center"/>
    </xf>
    <xf numFmtId="171" fontId="44" fillId="35" borderId="64" xfId="1" applyNumberFormat="1" applyFont="1" applyFill="1" applyBorder="1" applyAlignment="1">
      <alignment horizontal="right" vertical="center"/>
    </xf>
    <xf numFmtId="192" fontId="39" fillId="0" borderId="34" xfId="0" applyNumberFormat="1" applyFont="1" applyBorder="1" applyAlignment="1">
      <alignment horizontal="right" vertical="center"/>
    </xf>
    <xf numFmtId="168" fontId="39" fillId="0" borderId="0" xfId="0" applyNumberFormat="1" applyFont="1"/>
    <xf numFmtId="10" fontId="39" fillId="0" borderId="0" xfId="1" applyNumberFormat="1" applyFont="1"/>
    <xf numFmtId="10" fontId="39" fillId="35" borderId="22" xfId="1" applyNumberFormat="1" applyFont="1" applyFill="1" applyBorder="1" applyAlignment="1">
      <alignment horizontal="right" vertical="center"/>
    </xf>
    <xf numFmtId="0" fontId="82" fillId="0" borderId="0" xfId="0" applyFont="1"/>
    <xf numFmtId="0" fontId="110" fillId="0" borderId="0" xfId="0" applyFont="1" applyFill="1" applyBorder="1" applyAlignment="1">
      <alignment horizontal="center" vertical="center"/>
    </xf>
    <xf numFmtId="0" fontId="39" fillId="0" borderId="16" xfId="0" applyFont="1" applyBorder="1" applyAlignment="1">
      <alignment horizontal="center" vertical="center"/>
    </xf>
    <xf numFmtId="166" fontId="38" fillId="0" borderId="16" xfId="1" applyNumberFormat="1" applyFont="1" applyBorder="1" applyAlignment="1">
      <alignment vertical="center"/>
    </xf>
    <xf numFmtId="0" fontId="43" fillId="0" borderId="16" xfId="0" applyFont="1" applyBorder="1" applyAlignment="1">
      <alignment horizontal="center" vertical="center"/>
    </xf>
    <xf numFmtId="0" fontId="43" fillId="0" borderId="16" xfId="0" applyFont="1" applyBorder="1" applyAlignment="1">
      <alignment vertical="center"/>
    </xf>
    <xf numFmtId="0" fontId="43" fillId="0" borderId="33" xfId="0" applyFont="1" applyBorder="1" applyAlignment="1">
      <alignment horizontal="centerContinuous" vertical="center"/>
    </xf>
    <xf numFmtId="0" fontId="39" fillId="0" borderId="138" xfId="0" applyFont="1" applyBorder="1" applyAlignment="1">
      <alignment horizontal="centerContinuous" vertical="center"/>
    </xf>
    <xf numFmtId="0" fontId="39" fillId="0" borderId="46" xfId="0" applyFont="1" applyBorder="1" applyAlignment="1">
      <alignment horizontal="centerContinuous" vertical="center"/>
    </xf>
    <xf numFmtId="10" fontId="38" fillId="0" borderId="0" xfId="1" applyNumberFormat="1" applyFont="1" applyFill="1"/>
    <xf numFmtId="0" fontId="35" fillId="0" borderId="0" xfId="0" applyFont="1" applyFill="1"/>
    <xf numFmtId="2" fontId="71" fillId="0" borderId="0" xfId="0" applyNumberFormat="1" applyFont="1" applyFill="1"/>
    <xf numFmtId="0" fontId="111" fillId="0" borderId="0" xfId="0" applyFont="1" applyAlignment="1">
      <alignment horizontal="center" vertical="top"/>
    </xf>
    <xf numFmtId="195" fontId="43" fillId="0" borderId="34" xfId="0" applyNumberFormat="1" applyFont="1" applyBorder="1" applyAlignment="1">
      <alignment horizontal="right" vertical="center"/>
    </xf>
    <xf numFmtId="189" fontId="39" fillId="0" borderId="85" xfId="0" applyNumberFormat="1" applyFont="1" applyBorder="1" applyAlignment="1">
      <alignment horizontal="right" vertical="center"/>
    </xf>
    <xf numFmtId="189" fontId="39" fillId="0" borderId="136" xfId="0" applyNumberFormat="1" applyFont="1" applyBorder="1" applyAlignment="1">
      <alignment horizontal="right" vertical="center"/>
    </xf>
    <xf numFmtId="166" fontId="39" fillId="0" borderId="34" xfId="1" applyNumberFormat="1" applyFont="1" applyBorder="1" applyAlignment="1">
      <alignment horizontal="right" vertical="center"/>
    </xf>
    <xf numFmtId="14" fontId="97" fillId="0" borderId="0" xfId="0" applyNumberFormat="1" applyFont="1" applyFill="1" applyBorder="1"/>
    <xf numFmtId="14" fontId="1" fillId="0" borderId="0" xfId="0" applyNumberFormat="1" applyFont="1"/>
    <xf numFmtId="14" fontId="97" fillId="0" borderId="0" xfId="0" applyNumberFormat="1" applyFont="1" applyAlignment="1">
      <alignment vertical="center"/>
    </xf>
    <xf numFmtId="14" fontId="98" fillId="0" borderId="0" xfId="0" applyNumberFormat="1" applyFont="1" applyFill="1" applyBorder="1" applyAlignment="1">
      <alignment horizontal="centerContinuous" vertical="top" wrapText="1"/>
    </xf>
    <xf numFmtId="14" fontId="5" fillId="0" borderId="0" xfId="0" applyNumberFormat="1" applyFont="1" applyFill="1" applyBorder="1" applyAlignment="1"/>
    <xf numFmtId="14" fontId="93" fillId="43" borderId="104" xfId="0" applyNumberFormat="1" applyFont="1" applyFill="1" applyBorder="1" applyAlignment="1"/>
    <xf numFmtId="2" fontId="6" fillId="0" borderId="103" xfId="0" applyNumberFormat="1" applyFont="1" applyFill="1" applyBorder="1" applyAlignment="1">
      <alignment horizontal="center" vertical="top" wrapText="1"/>
    </xf>
    <xf numFmtId="2" fontId="0" fillId="0" borderId="0" xfId="0" applyNumberFormat="1"/>
    <xf numFmtId="2" fontId="1" fillId="0" borderId="0" xfId="0" applyNumberFormat="1" applyFont="1" applyFill="1"/>
    <xf numFmtId="2" fontId="97" fillId="0" borderId="0" xfId="0" applyNumberFormat="1" applyFont="1" applyFill="1" applyAlignment="1">
      <alignment vertical="center"/>
    </xf>
    <xf numFmtId="2" fontId="5" fillId="0" borderId="0" xfId="0" applyNumberFormat="1" applyFont="1" applyFill="1" applyBorder="1" applyAlignment="1"/>
    <xf numFmtId="2" fontId="93" fillId="0" borderId="0" xfId="0" applyNumberFormat="1" applyFont="1" applyFill="1" applyBorder="1" applyAlignment="1"/>
    <xf numFmtId="2" fontId="4" fillId="0" borderId="0" xfId="0" applyNumberFormat="1" applyFont="1" applyFill="1" applyBorder="1" applyAlignment="1">
      <alignment horizontal="center" vertical="top" wrapText="1"/>
    </xf>
    <xf numFmtId="2" fontId="6" fillId="0" borderId="103" xfId="0" applyNumberFormat="1" applyFont="1" applyFill="1" applyBorder="1" applyAlignment="1">
      <alignment horizontal="left" vertical="top" wrapText="1"/>
    </xf>
    <xf numFmtId="2" fontId="39" fillId="0" borderId="34" xfId="0" applyNumberFormat="1" applyFont="1" applyBorder="1" applyAlignment="1">
      <alignment horizontal="right" vertical="center"/>
    </xf>
    <xf numFmtId="0" fontId="3" fillId="0" borderId="0" xfId="0" applyFont="1" applyFill="1" applyBorder="1" applyAlignment="1">
      <alignment vertical="center" wrapText="1"/>
    </xf>
    <xf numFmtId="0" fontId="3" fillId="0" borderId="0" xfId="0" applyFont="1" applyFill="1" applyBorder="1" applyAlignment="1">
      <alignment horizontal="right" vertical="center" wrapText="1"/>
    </xf>
    <xf numFmtId="3" fontId="3" fillId="0" borderId="0" xfId="0" applyNumberFormat="1" applyFont="1" applyFill="1" applyBorder="1" applyAlignment="1">
      <alignment horizontal="right" vertical="center" wrapText="1"/>
    </xf>
    <xf numFmtId="14" fontId="3" fillId="0" borderId="0" xfId="0" applyNumberFormat="1" applyFont="1" applyFill="1" applyBorder="1" applyAlignment="1">
      <alignment horizontal="right" vertical="center" wrapText="1"/>
    </xf>
    <xf numFmtId="0" fontId="112" fillId="2" borderId="0" xfId="0" applyFont="1" applyFill="1" applyBorder="1" applyAlignment="1">
      <alignment horizontal="left" vertical="center"/>
    </xf>
    <xf numFmtId="0" fontId="112" fillId="2" borderId="0" xfId="0" applyFont="1" applyFill="1" applyBorder="1" applyAlignment="1">
      <alignment horizontal="right" vertical="center"/>
    </xf>
    <xf numFmtId="0" fontId="35" fillId="0" borderId="0" xfId="0" applyFont="1"/>
    <xf numFmtId="189" fontId="38" fillId="0" borderId="0" xfId="0" applyNumberFormat="1" applyFont="1" applyFill="1"/>
    <xf numFmtId="166" fontId="38" fillId="0" borderId="0" xfId="1" applyNumberFormat="1" applyFont="1" applyFill="1"/>
    <xf numFmtId="38" fontId="42" fillId="0" borderId="0" xfId="0" applyNumberFormat="1" applyFont="1"/>
    <xf numFmtId="38" fontId="0" fillId="0" borderId="0" xfId="0" applyNumberFormat="1"/>
    <xf numFmtId="14" fontId="38" fillId="0" borderId="0" xfId="0" applyNumberFormat="1" applyFont="1" applyFill="1" applyBorder="1" applyAlignment="1">
      <alignment horizontal="left"/>
    </xf>
    <xf numFmtId="1" fontId="38" fillId="0" borderId="0" xfId="0" applyNumberFormat="1" applyFont="1" applyFill="1" applyBorder="1" applyAlignment="1">
      <alignment horizontal="left"/>
    </xf>
    <xf numFmtId="1" fontId="47" fillId="0" borderId="0" xfId="0" applyNumberFormat="1" applyFont="1" applyFill="1" applyBorder="1" applyAlignment="1">
      <alignment horizontal="left" vertical="center"/>
    </xf>
    <xf numFmtId="0" fontId="113" fillId="0" borderId="0" xfId="0" applyFont="1" applyFill="1" applyBorder="1"/>
    <xf numFmtId="197" fontId="42" fillId="0" borderId="0" xfId="0" applyNumberFormat="1" applyFont="1"/>
    <xf numFmtId="197" fontId="37" fillId="0" borderId="0" xfId="0" applyNumberFormat="1" applyFont="1" applyBorder="1" applyAlignment="1">
      <alignment horizontal="left" vertical="center" readingOrder="1"/>
    </xf>
    <xf numFmtId="197" fontId="39" fillId="0" borderId="34" xfId="0" applyNumberFormat="1" applyFont="1" applyBorder="1" applyAlignment="1">
      <alignment horizontal="left" vertical="center" wrapText="1"/>
    </xf>
    <xf numFmtId="197" fontId="0" fillId="0" borderId="0" xfId="0" applyNumberFormat="1"/>
    <xf numFmtId="0" fontId="33" fillId="0" borderId="13" xfId="0" applyFont="1" applyFill="1" applyBorder="1" applyAlignment="1">
      <alignment vertical="center"/>
    </xf>
    <xf numFmtId="0" fontId="114" fillId="0" borderId="0" xfId="0" applyFont="1" applyAlignment="1">
      <alignment vertical="center"/>
    </xf>
    <xf numFmtId="0" fontId="115" fillId="0" borderId="0" xfId="0" applyFont="1"/>
    <xf numFmtId="0" fontId="115" fillId="0" borderId="0" xfId="0" applyFont="1" applyAlignment="1">
      <alignment horizontal="right"/>
    </xf>
    <xf numFmtId="0" fontId="115" fillId="0" borderId="0" xfId="0" applyFont="1" applyFill="1"/>
    <xf numFmtId="0" fontId="115" fillId="0" borderId="0" xfId="0" applyFont="1" applyAlignment="1">
      <alignment horizontal="left"/>
    </xf>
    <xf numFmtId="0" fontId="116" fillId="0" borderId="0" xfId="0" applyFont="1" applyFill="1" applyAlignment="1">
      <alignment horizontal="right"/>
    </xf>
    <xf numFmtId="1" fontId="117" fillId="36" borderId="15" xfId="0" applyNumberFormat="1" applyFont="1" applyFill="1" applyBorder="1" applyAlignment="1">
      <alignment horizontal="center"/>
    </xf>
    <xf numFmtId="0" fontId="118" fillId="0" borderId="0" xfId="0" applyFont="1"/>
    <xf numFmtId="0" fontId="118" fillId="0" borderId="0" xfId="0" applyFont="1" applyAlignment="1">
      <alignment horizontal="center"/>
    </xf>
    <xf numFmtId="0" fontId="118" fillId="0" borderId="0" xfId="0" applyFont="1" applyAlignment="1">
      <alignment horizontal="right"/>
    </xf>
    <xf numFmtId="1" fontId="115" fillId="0" borderId="0" xfId="0" applyNumberFormat="1" applyFont="1"/>
    <xf numFmtId="0" fontId="115" fillId="0" borderId="0" xfId="0" applyFont="1" applyAlignment="1">
      <alignment horizontal="center"/>
    </xf>
    <xf numFmtId="170" fontId="115" fillId="0" borderId="0" xfId="0" applyNumberFormat="1" applyFont="1"/>
    <xf numFmtId="0" fontId="116" fillId="0" borderId="0" xfId="0" applyFont="1" applyAlignment="1">
      <alignment vertical="center"/>
    </xf>
    <xf numFmtId="0" fontId="116" fillId="0" borderId="0" xfId="0" applyFont="1"/>
    <xf numFmtId="0" fontId="116" fillId="0" borderId="0" xfId="0" applyFont="1" applyFill="1"/>
    <xf numFmtId="0" fontId="117" fillId="0" borderId="0" xfId="0" applyFont="1"/>
    <xf numFmtId="0" fontId="116" fillId="0" borderId="0" xfId="0" applyFont="1" applyFill="1" applyAlignment="1">
      <alignment vertical="center"/>
    </xf>
    <xf numFmtId="0" fontId="119" fillId="46" borderId="0" xfId="0" applyFont="1" applyFill="1" applyAlignment="1">
      <alignment horizontal="center" vertical="center"/>
    </xf>
    <xf numFmtId="0" fontId="121" fillId="0" borderId="0" xfId="0" applyFont="1" applyAlignment="1">
      <alignment vertical="center"/>
    </xf>
    <xf numFmtId="0" fontId="122" fillId="0" borderId="0" xfId="0" applyFont="1"/>
    <xf numFmtId="0" fontId="116" fillId="0" borderId="0" xfId="0" applyFont="1" applyAlignment="1">
      <alignment horizontal="center" vertical="center"/>
    </xf>
    <xf numFmtId="4" fontId="116" fillId="0" borderId="0" xfId="0" applyNumberFormat="1" applyFont="1" applyAlignment="1">
      <alignment vertical="center"/>
    </xf>
    <xf numFmtId="0" fontId="123" fillId="0" borderId="0" xfId="0" applyFont="1" applyAlignment="1">
      <alignment vertical="center"/>
    </xf>
    <xf numFmtId="0" fontId="116" fillId="0" borderId="85" xfId="0" applyFont="1" applyFill="1" applyBorder="1"/>
    <xf numFmtId="0" fontId="116" fillId="0" borderId="85" xfId="0" applyFont="1" applyFill="1" applyBorder="1" applyAlignment="1">
      <alignment horizontal="center"/>
    </xf>
    <xf numFmtId="1" fontId="116" fillId="0" borderId="85" xfId="0" applyNumberFormat="1" applyFont="1" applyFill="1" applyBorder="1"/>
    <xf numFmtId="0" fontId="116" fillId="0" borderId="0" xfId="0" applyFont="1" applyFill="1" applyBorder="1"/>
    <xf numFmtId="1" fontId="116" fillId="0" borderId="0" xfId="0" applyNumberFormat="1" applyFont="1" applyFill="1" applyBorder="1"/>
    <xf numFmtId="0" fontId="116" fillId="0" borderId="0" xfId="0" applyFont="1" applyFill="1" applyAlignment="1">
      <alignment horizontal="left"/>
    </xf>
    <xf numFmtId="2" fontId="124" fillId="0" borderId="0" xfId="0" applyNumberFormat="1" applyFont="1" applyFill="1" applyBorder="1"/>
    <xf numFmtId="1" fontId="116" fillId="0" borderId="0" xfId="0" applyNumberFormat="1" applyFont="1" applyFill="1"/>
    <xf numFmtId="1" fontId="125" fillId="0" borderId="0" xfId="0" applyNumberFormat="1" applyFont="1" applyFill="1" applyBorder="1"/>
    <xf numFmtId="0" fontId="115" fillId="0" borderId="0" xfId="0" applyFont="1" applyAlignment="1">
      <alignment vertical="center"/>
    </xf>
    <xf numFmtId="0" fontId="116" fillId="0" borderId="55" xfId="0" applyFont="1" applyBorder="1" applyAlignment="1">
      <alignment vertical="center"/>
    </xf>
    <xf numFmtId="0" fontId="116" fillId="0" borderId="55" xfId="0" applyFont="1" applyBorder="1" applyAlignment="1">
      <alignment horizontal="center" vertical="center"/>
    </xf>
    <xf numFmtId="4" fontId="116" fillId="0" borderId="55" xfId="0" applyNumberFormat="1" applyFont="1" applyBorder="1" applyAlignment="1">
      <alignment vertical="center"/>
    </xf>
    <xf numFmtId="0" fontId="116" fillId="0" borderId="0" xfId="0" applyFont="1" applyFill="1" applyBorder="1" applyAlignment="1">
      <alignment vertical="center"/>
    </xf>
    <xf numFmtId="4" fontId="116" fillId="0" borderId="0" xfId="0" applyNumberFormat="1" applyFont="1" applyFill="1" applyBorder="1" applyAlignment="1">
      <alignment vertical="center"/>
    </xf>
    <xf numFmtId="0" fontId="116" fillId="0" borderId="0" xfId="0" applyFont="1" applyBorder="1" applyAlignment="1">
      <alignment vertical="center"/>
    </xf>
    <xf numFmtId="0" fontId="116" fillId="0" borderId="0" xfId="0" applyFont="1" applyBorder="1" applyAlignment="1">
      <alignment horizontal="center" vertical="center"/>
    </xf>
    <xf numFmtId="4" fontId="124" fillId="0" borderId="0" xfId="0" applyNumberFormat="1" applyFont="1" applyFill="1" applyBorder="1" applyAlignment="1">
      <alignment vertical="center"/>
    </xf>
    <xf numFmtId="0" fontId="116" fillId="0" borderId="0" xfId="0" applyNumberFormat="1" applyFont="1" applyFill="1" applyAlignment="1">
      <alignment vertical="center"/>
    </xf>
    <xf numFmtId="0" fontId="116" fillId="0" borderId="55" xfId="0" applyFont="1" applyFill="1" applyBorder="1" applyAlignment="1">
      <alignment vertical="center"/>
    </xf>
    <xf numFmtId="4" fontId="125" fillId="0" borderId="0" xfId="0" applyNumberFormat="1" applyFont="1" applyFill="1" applyBorder="1" applyAlignment="1">
      <alignment vertical="center"/>
    </xf>
    <xf numFmtId="0" fontId="122" fillId="0" borderId="0" xfId="0" applyFont="1" applyFill="1" applyAlignment="1">
      <alignment vertical="center"/>
    </xf>
    <xf numFmtId="1" fontId="125" fillId="0" borderId="85" xfId="0" applyNumberFormat="1" applyFont="1" applyFill="1" applyBorder="1"/>
    <xf numFmtId="0" fontId="116" fillId="0" borderId="0" xfId="0" applyFont="1" applyFill="1" applyBorder="1" applyAlignment="1">
      <alignment horizontal="center"/>
    </xf>
    <xf numFmtId="1" fontId="116" fillId="0" borderId="0" xfId="0" applyNumberFormat="1" applyFont="1" applyFill="1" applyAlignment="1">
      <alignment horizontal="left"/>
    </xf>
    <xf numFmtId="2" fontId="116" fillId="0" borderId="0" xfId="0" applyNumberFormat="1" applyFont="1" applyFill="1" applyBorder="1"/>
    <xf numFmtId="4" fontId="116" fillId="0" borderId="55" xfId="0" applyNumberFormat="1" applyFont="1" applyFill="1" applyBorder="1" applyAlignment="1">
      <alignment vertical="center"/>
    </xf>
    <xf numFmtId="9" fontId="116" fillId="0" borderId="0" xfId="0" applyNumberFormat="1" applyFont="1" applyFill="1" applyAlignment="1">
      <alignment horizontal="left" vertical="center"/>
    </xf>
    <xf numFmtId="0" fontId="116" fillId="0" borderId="0" xfId="0" applyFont="1" applyFill="1" applyAlignment="1">
      <alignment horizontal="left" vertical="center"/>
    </xf>
    <xf numFmtId="1" fontId="116" fillId="0" borderId="0" xfId="0" applyNumberFormat="1" applyFont="1" applyFill="1" applyAlignment="1">
      <alignment vertical="center"/>
    </xf>
    <xf numFmtId="14" fontId="116" fillId="0" borderId="0" xfId="0" applyNumberFormat="1" applyFont="1" applyFill="1"/>
    <xf numFmtId="2" fontId="124" fillId="0" borderId="0" xfId="0" applyNumberFormat="1" applyFont="1" applyFill="1"/>
    <xf numFmtId="1" fontId="116" fillId="0" borderId="0" xfId="0" applyNumberFormat="1" applyFont="1" applyAlignment="1">
      <alignment vertical="center"/>
    </xf>
    <xf numFmtId="1" fontId="124" fillId="0" borderId="0" xfId="0" applyNumberFormat="1" applyFont="1" applyFill="1"/>
    <xf numFmtId="2" fontId="116" fillId="0" borderId="0" xfId="0" applyNumberFormat="1" applyFont="1" applyFill="1"/>
    <xf numFmtId="4" fontId="116" fillId="0" borderId="0" xfId="0" applyNumberFormat="1" applyFont="1" applyFill="1" applyAlignment="1">
      <alignment vertical="center"/>
    </xf>
    <xf numFmtId="0" fontId="120" fillId="47" borderId="0" xfId="0" applyFont="1" applyFill="1" applyAlignment="1">
      <alignment vertical="center"/>
    </xf>
    <xf numFmtId="0" fontId="120" fillId="47" borderId="0" xfId="0" applyFont="1" applyFill="1" applyAlignment="1">
      <alignment horizontal="center" vertical="center"/>
    </xf>
    <xf numFmtId="0" fontId="120" fillId="47" borderId="0" xfId="0" applyFont="1" applyFill="1" applyBorder="1" applyAlignment="1">
      <alignment horizontal="right" vertical="center"/>
    </xf>
    <xf numFmtId="0" fontId="116" fillId="48" borderId="0" xfId="0" applyFont="1" applyFill="1" applyAlignment="1">
      <alignment vertical="center"/>
    </xf>
    <xf numFmtId="0" fontId="116" fillId="48" borderId="0" xfId="0" applyFont="1" applyFill="1" applyAlignment="1">
      <alignment horizontal="center" vertical="center"/>
    </xf>
    <xf numFmtId="4" fontId="116" fillId="48" borderId="0" xfId="0" applyNumberFormat="1" applyFont="1" applyFill="1" applyAlignment="1">
      <alignment vertical="center"/>
    </xf>
    <xf numFmtId="0" fontId="116" fillId="49" borderId="0" xfId="0" applyFont="1" applyFill="1" applyAlignment="1">
      <alignment vertical="center"/>
    </xf>
    <xf numFmtId="0" fontId="116" fillId="49" borderId="0" xfId="0" applyFont="1" applyFill="1" applyAlignment="1">
      <alignment horizontal="center" vertical="center"/>
    </xf>
    <xf numFmtId="4" fontId="116" fillId="49" borderId="0" xfId="0" applyNumberFormat="1" applyFont="1" applyFill="1" applyAlignment="1">
      <alignment vertical="center"/>
    </xf>
    <xf numFmtId="0" fontId="124" fillId="0" borderId="0" xfId="0" applyNumberFormat="1" applyFont="1" applyFill="1" applyBorder="1" applyAlignment="1">
      <alignment vertical="center"/>
    </xf>
    <xf numFmtId="0" fontId="124" fillId="0" borderId="0" xfId="0" applyNumberFormat="1" applyFont="1" applyFill="1" applyBorder="1"/>
    <xf numFmtId="0" fontId="116" fillId="0" borderId="0" xfId="0" applyNumberFormat="1" applyFont="1" applyFill="1" applyBorder="1" applyAlignment="1">
      <alignment vertical="center"/>
    </xf>
    <xf numFmtId="0" fontId="122" fillId="0" borderId="0" xfId="0" applyNumberFormat="1" applyFont="1" applyFill="1" applyAlignment="1">
      <alignment vertical="center"/>
    </xf>
    <xf numFmtId="0" fontId="116" fillId="0" borderId="0" xfId="0" applyFont="1" applyFill="1" applyAlignment="1">
      <alignment wrapText="1"/>
    </xf>
    <xf numFmtId="0" fontId="116" fillId="0" borderId="0" xfId="0" applyFont="1" applyFill="1" applyAlignment="1">
      <alignment vertical="top" wrapText="1"/>
    </xf>
    <xf numFmtId="0" fontId="116" fillId="0" borderId="0" xfId="0" applyNumberFormat="1" applyFont="1" applyAlignment="1">
      <alignment vertical="center"/>
    </xf>
    <xf numFmtId="0" fontId="116" fillId="0" borderId="0" xfId="0" applyNumberFormat="1" applyFont="1" applyFill="1"/>
    <xf numFmtId="0" fontId="116" fillId="46" borderId="0" xfId="0" applyFont="1" applyFill="1" applyAlignment="1">
      <alignment horizontal="left" vertical="center"/>
    </xf>
    <xf numFmtId="2" fontId="38" fillId="50" borderId="82" xfId="0" applyNumberFormat="1" applyFont="1" applyFill="1" applyBorder="1"/>
    <xf numFmtId="2" fontId="38" fillId="50" borderId="41" xfId="0" applyNumberFormat="1" applyFont="1" applyFill="1" applyBorder="1"/>
    <xf numFmtId="2" fontId="47" fillId="50" borderId="42" xfId="0" applyNumberFormat="1" applyFont="1" applyFill="1" applyBorder="1"/>
    <xf numFmtId="2" fontId="38" fillId="50" borderId="83" xfId="0" applyNumberFormat="1" applyFont="1" applyFill="1" applyBorder="1"/>
    <xf numFmtId="2" fontId="38" fillId="50" borderId="44" xfId="0" applyNumberFormat="1" applyFont="1" applyFill="1" applyBorder="1"/>
    <xf numFmtId="14" fontId="72" fillId="50" borderId="125" xfId="0" applyNumberFormat="1" applyFont="1" applyFill="1" applyBorder="1" applyAlignment="1">
      <alignment horizontal="centerContinuous" vertical="center"/>
    </xf>
    <xf numFmtId="181" fontId="65" fillId="50" borderId="115" xfId="0" applyNumberFormat="1" applyFont="1" applyFill="1" applyBorder="1" applyAlignment="1">
      <alignment horizontal="center" vertical="center"/>
    </xf>
    <xf numFmtId="0" fontId="52" fillId="50" borderId="0" xfId="0" applyFont="1" applyFill="1" applyAlignment="1">
      <alignment horizontal="left" vertical="center"/>
    </xf>
    <xf numFmtId="0" fontId="52" fillId="50" borderId="0" xfId="0" applyFont="1" applyFill="1" applyAlignment="1">
      <alignment vertical="center"/>
    </xf>
    <xf numFmtId="0" fontId="38" fillId="50" borderId="0" xfId="0" applyFont="1" applyFill="1"/>
    <xf numFmtId="192" fontId="43" fillId="51" borderId="34" xfId="0" applyNumberFormat="1" applyFont="1" applyFill="1" applyBorder="1" applyAlignment="1">
      <alignment horizontal="right" vertical="center"/>
    </xf>
    <xf numFmtId="188" fontId="43" fillId="51" borderId="34" xfId="0" applyNumberFormat="1" applyFont="1" applyFill="1" applyBorder="1" applyAlignment="1">
      <alignment horizontal="right" vertical="center"/>
    </xf>
    <xf numFmtId="0" fontId="117" fillId="0" borderId="0" xfId="0" applyFont="1" applyFill="1" applyBorder="1" applyAlignment="1">
      <alignment vertical="center"/>
    </xf>
    <xf numFmtId="0" fontId="128" fillId="50" borderId="0" xfId="0" applyFont="1" applyFill="1" applyBorder="1" applyAlignment="1">
      <alignment horizontal="right" vertical="center"/>
    </xf>
    <xf numFmtId="0" fontId="128" fillId="50" borderId="0" xfId="0" applyFont="1" applyFill="1" applyBorder="1" applyAlignment="1">
      <alignment horizontal="left" vertical="center"/>
    </xf>
    <xf numFmtId="0" fontId="66" fillId="50" borderId="124" xfId="0" applyFont="1" applyFill="1" applyBorder="1" applyAlignment="1">
      <alignment vertical="center"/>
    </xf>
    <xf numFmtId="186" fontId="69" fillId="50" borderId="125" xfId="0" applyNumberFormat="1" applyFont="1" applyFill="1" applyBorder="1" applyAlignment="1">
      <alignment horizontal="centerContinuous" vertical="center"/>
    </xf>
    <xf numFmtId="14" fontId="115" fillId="0" borderId="0" xfId="0" applyNumberFormat="1" applyFont="1"/>
    <xf numFmtId="0" fontId="79" fillId="50" borderId="0" xfId="0" applyFont="1" applyFill="1" applyBorder="1" applyAlignment="1">
      <alignment horizontal="left" vertical="center"/>
    </xf>
    <xf numFmtId="14" fontId="79" fillId="50" borderId="0" xfId="0" applyNumberFormat="1" applyFont="1" applyFill="1" applyBorder="1" applyAlignment="1">
      <alignment horizontal="right" vertical="center"/>
    </xf>
    <xf numFmtId="0" fontId="79" fillId="50" borderId="0" xfId="0" applyFont="1" applyFill="1" applyBorder="1" applyAlignment="1">
      <alignment horizontal="right" vertical="center"/>
    </xf>
    <xf numFmtId="0" fontId="44" fillId="50" borderId="0" xfId="0" applyFont="1" applyFill="1" applyAlignment="1">
      <alignment horizontal="left"/>
    </xf>
    <xf numFmtId="0" fontId="52" fillId="50" borderId="0" xfId="0" applyFont="1" applyFill="1"/>
    <xf numFmtId="185" fontId="79" fillId="50" borderId="0" xfId="0" applyNumberFormat="1" applyFont="1" applyFill="1" applyBorder="1" applyAlignment="1">
      <alignment horizontal="right" vertical="center"/>
    </xf>
    <xf numFmtId="176" fontId="65" fillId="50" borderId="104" xfId="0" applyNumberFormat="1" applyFont="1" applyFill="1" applyBorder="1" applyAlignment="1">
      <alignment horizontal="right" vertical="center" wrapText="1"/>
    </xf>
    <xf numFmtId="0" fontId="36" fillId="0" borderId="0" xfId="0" applyFont="1" applyFill="1" applyBorder="1" applyAlignment="1">
      <alignment horizontal="center"/>
    </xf>
    <xf numFmtId="0" fontId="38" fillId="0" borderId="0" xfId="0" applyFont="1" applyFill="1" applyBorder="1" applyAlignment="1">
      <alignment horizontal="center"/>
    </xf>
    <xf numFmtId="0" fontId="43" fillId="50" borderId="0" xfId="0" applyFont="1" applyFill="1" applyBorder="1" applyAlignment="1">
      <alignment vertical="center"/>
    </xf>
    <xf numFmtId="3" fontId="39" fillId="50" borderId="0" xfId="0" applyNumberFormat="1" applyFont="1" applyFill="1" applyBorder="1" applyAlignment="1">
      <alignment horizontal="right" vertical="center"/>
    </xf>
    <xf numFmtId="2" fontId="44" fillId="0" borderId="0" xfId="0" applyNumberFormat="1" applyFont="1"/>
    <xf numFmtId="9" fontId="128" fillId="50" borderId="0" xfId="0" applyNumberFormat="1" applyFont="1" applyFill="1" applyBorder="1" applyAlignment="1">
      <alignment horizontal="left" vertical="center"/>
    </xf>
    <xf numFmtId="0" fontId="129" fillId="50" borderId="0" xfId="0" applyFont="1" applyFill="1" applyBorder="1" applyAlignment="1">
      <alignment vertical="center"/>
    </xf>
    <xf numFmtId="0" fontId="130" fillId="50" borderId="0" xfId="0" applyFont="1" applyFill="1" applyBorder="1" applyAlignment="1">
      <alignment vertical="center"/>
    </xf>
    <xf numFmtId="14" fontId="129" fillId="50" borderId="0" xfId="0" applyNumberFormat="1" applyFont="1" applyFill="1" applyBorder="1" applyAlignment="1">
      <alignment horizontal="left" vertical="center" indent="1"/>
    </xf>
    <xf numFmtId="0" fontId="131" fillId="50" borderId="0" xfId="0" applyFont="1" applyFill="1" applyBorder="1" applyAlignment="1">
      <alignment horizontal="right" vertical="center"/>
    </xf>
    <xf numFmtId="0" fontId="131" fillId="50" borderId="0" xfId="0" applyFont="1" applyFill="1" applyBorder="1" applyAlignment="1">
      <alignment horizontal="center" vertical="center"/>
    </xf>
    <xf numFmtId="0" fontId="131" fillId="50" borderId="0" xfId="0" applyFont="1" applyFill="1" applyBorder="1" applyAlignment="1">
      <alignment horizontal="left" vertical="center"/>
    </xf>
    <xf numFmtId="195" fontId="43" fillId="51" borderId="34" xfId="0" applyNumberFormat="1" applyFont="1" applyFill="1" applyBorder="1" applyAlignment="1">
      <alignment horizontal="right" vertical="center"/>
    </xf>
    <xf numFmtId="9" fontId="131" fillId="50" borderId="0" xfId="0" applyNumberFormat="1" applyFont="1" applyFill="1" applyBorder="1" applyAlignment="1">
      <alignment horizontal="left" vertical="center"/>
    </xf>
    <xf numFmtId="0" fontId="130" fillId="50" borderId="0" xfId="0" applyFont="1" applyFill="1" applyBorder="1" applyAlignment="1">
      <alignment horizontal="right" vertical="center"/>
    </xf>
    <xf numFmtId="0" fontId="132" fillId="0" borderId="99" xfId="0" applyFont="1" applyBorder="1" applyAlignment="1">
      <alignment horizontal="left" vertical="center" wrapText="1"/>
    </xf>
    <xf numFmtId="175" fontId="39" fillId="0" borderId="85" xfId="0" applyNumberFormat="1" applyFont="1" applyBorder="1" applyAlignment="1">
      <alignment horizontal="right" vertical="center"/>
    </xf>
    <xf numFmtId="0" fontId="39" fillId="0" borderId="85" xfId="0" applyFont="1" applyFill="1" applyBorder="1"/>
    <xf numFmtId="0" fontId="43" fillId="0" borderId="34" xfId="0" applyFont="1" applyBorder="1" applyAlignment="1">
      <alignment horizontal="left"/>
    </xf>
    <xf numFmtId="188" fontId="39" fillId="51" borderId="34" xfId="0" applyNumberFormat="1" applyFont="1" applyFill="1" applyBorder="1" applyAlignment="1">
      <alignment horizontal="right" vertical="center"/>
    </xf>
    <xf numFmtId="0" fontId="36" fillId="41" borderId="139" xfId="0" applyFont="1" applyFill="1" applyBorder="1" applyAlignment="1">
      <alignment horizontal="center" vertical="center"/>
    </xf>
    <xf numFmtId="199" fontId="42" fillId="0" borderId="0" xfId="0" applyNumberFormat="1" applyFont="1"/>
    <xf numFmtId="199" fontId="0" fillId="0" borderId="0" xfId="0" applyNumberFormat="1"/>
    <xf numFmtId="199" fontId="37" fillId="0" borderId="0" xfId="0" applyNumberFormat="1" applyFont="1" applyBorder="1" applyAlignment="1">
      <alignment horizontal="left" vertical="center" readingOrder="1"/>
    </xf>
    <xf numFmtId="199" fontId="39" fillId="0" borderId="34" xfId="0" applyNumberFormat="1" applyFont="1" applyBorder="1" applyAlignment="1">
      <alignment horizontal="left" vertical="center" wrapText="1"/>
    </xf>
    <xf numFmtId="0" fontId="133" fillId="0" borderId="0" xfId="0" applyFont="1" applyFill="1" applyAlignment="1">
      <alignment vertical="center"/>
    </xf>
    <xf numFmtId="0" fontId="33" fillId="41" borderId="0" xfId="0" applyFont="1" applyFill="1" applyBorder="1" applyAlignment="1">
      <alignment horizontal="right" vertical="center"/>
    </xf>
    <xf numFmtId="0" fontId="35" fillId="41" borderId="0" xfId="0" applyFont="1" applyFill="1" applyBorder="1"/>
    <xf numFmtId="0" fontId="35" fillId="41" borderId="0" xfId="0" applyFont="1" applyFill="1"/>
    <xf numFmtId="0" fontId="39" fillId="50" borderId="22" xfId="0" applyFont="1" applyFill="1" applyBorder="1"/>
    <xf numFmtId="166" fontId="39" fillId="50" borderId="22" xfId="0" applyNumberFormat="1" applyFont="1" applyFill="1" applyBorder="1" applyAlignment="1">
      <alignment horizontal="right"/>
    </xf>
    <xf numFmtId="166" fontId="39" fillId="50" borderId="22" xfId="0" applyNumberFormat="1" applyFont="1" applyFill="1" applyBorder="1" applyAlignment="1">
      <alignment horizontal="center"/>
    </xf>
    <xf numFmtId="0" fontId="39" fillId="50" borderId="22" xfId="0" applyFont="1" applyFill="1" applyBorder="1" applyAlignment="1">
      <alignment horizontal="center"/>
    </xf>
    <xf numFmtId="0" fontId="35" fillId="41" borderId="0" xfId="0" applyFont="1" applyFill="1" applyBorder="1" applyAlignment="1">
      <alignment vertical="center"/>
    </xf>
    <xf numFmtId="0" fontId="35" fillId="41" borderId="0" xfId="0" applyFont="1" applyFill="1" applyBorder="1" applyAlignment="1">
      <alignment horizontal="center" vertical="center"/>
    </xf>
    <xf numFmtId="0" fontId="35" fillId="41" borderId="0" xfId="0" applyFont="1" applyFill="1" applyBorder="1" applyAlignment="1">
      <alignment horizontal="left" vertical="center"/>
    </xf>
    <xf numFmtId="0" fontId="35" fillId="41" borderId="0" xfId="0" applyFont="1" applyFill="1" applyAlignment="1">
      <alignment vertical="center"/>
    </xf>
    <xf numFmtId="0" fontId="33" fillId="41" borderId="0" xfId="0" applyFont="1" applyFill="1" applyBorder="1" applyAlignment="1">
      <alignment horizontal="left" vertical="center"/>
    </xf>
    <xf numFmtId="0" fontId="36" fillId="41" borderId="0" xfId="0" applyFont="1" applyFill="1" applyBorder="1" applyAlignment="1">
      <alignment horizontal="right" vertical="center"/>
    </xf>
    <xf numFmtId="166" fontId="39" fillId="50" borderId="0" xfId="1" applyNumberFormat="1" applyFont="1" applyFill="1" applyAlignment="1">
      <alignment vertical="center"/>
    </xf>
    <xf numFmtId="0" fontId="43" fillId="50" borderId="0" xfId="0" applyFont="1" applyFill="1" applyAlignment="1">
      <alignment vertical="center"/>
    </xf>
    <xf numFmtId="3" fontId="39" fillId="50" borderId="0" xfId="0" applyNumberFormat="1" applyFont="1" applyFill="1" applyAlignment="1">
      <alignment vertical="center"/>
    </xf>
    <xf numFmtId="9" fontId="39" fillId="50" borderId="0" xfId="1" applyFont="1" applyFill="1" applyAlignment="1">
      <alignment horizontal="right" vertical="center"/>
    </xf>
    <xf numFmtId="168" fontId="39" fillId="50" borderId="0" xfId="0" applyNumberFormat="1" applyFont="1" applyFill="1" applyAlignment="1">
      <alignment vertical="center"/>
    </xf>
    <xf numFmtId="0" fontId="37" fillId="0" borderId="140" xfId="0" applyFont="1" applyBorder="1" applyAlignment="1">
      <alignment horizontal="left" vertical="center"/>
    </xf>
    <xf numFmtId="0" fontId="0" fillId="0" borderId="140" xfId="0" applyBorder="1" applyAlignment="1">
      <alignment vertical="center"/>
    </xf>
    <xf numFmtId="0" fontId="48" fillId="0" borderId="140" xfId="0" applyFont="1" applyBorder="1" applyAlignment="1">
      <alignment horizontal="left" vertical="center"/>
    </xf>
    <xf numFmtId="0" fontId="39" fillId="0" borderId="140" xfId="0" applyFont="1" applyBorder="1" applyAlignment="1">
      <alignment vertical="center"/>
    </xf>
    <xf numFmtId="0" fontId="129" fillId="50" borderId="0" xfId="0" applyFont="1" applyFill="1" applyBorder="1" applyAlignment="1">
      <alignment horizontal="left" vertical="center"/>
    </xf>
    <xf numFmtId="0" fontId="45" fillId="50" borderId="0" xfId="0" applyFont="1" applyFill="1" applyAlignment="1">
      <alignment horizontal="left" vertical="center"/>
    </xf>
    <xf numFmtId="3" fontId="39" fillId="50" borderId="0" xfId="0" applyNumberFormat="1" applyFont="1" applyFill="1" applyAlignment="1">
      <alignment horizontal="right" vertical="center"/>
    </xf>
    <xf numFmtId="168" fontId="39" fillId="50" borderId="0" xfId="0" applyNumberFormat="1" applyFont="1" applyFill="1" applyAlignment="1">
      <alignment horizontal="right" vertical="center"/>
    </xf>
    <xf numFmtId="166" fontId="39" fillId="50" borderId="0" xfId="1" applyNumberFormat="1" applyFont="1" applyFill="1" applyAlignment="1">
      <alignment horizontal="right" vertical="center"/>
    </xf>
    <xf numFmtId="166" fontId="39" fillId="50" borderId="0" xfId="1" applyNumberFormat="1" applyFont="1" applyFill="1" applyBorder="1" applyAlignment="1">
      <alignment horizontal="right" vertical="center"/>
    </xf>
    <xf numFmtId="166" fontId="39" fillId="50" borderId="0" xfId="1" applyNumberFormat="1" applyFont="1" applyFill="1" applyBorder="1" applyAlignment="1">
      <alignment vertical="center"/>
    </xf>
    <xf numFmtId="3" fontId="39" fillId="50" borderId="0" xfId="0" applyNumberFormat="1" applyFont="1" applyFill="1" applyBorder="1" applyAlignment="1">
      <alignment vertical="center"/>
    </xf>
    <xf numFmtId="0" fontId="38" fillId="50" borderId="0" xfId="0" applyFont="1" applyFill="1" applyAlignment="1">
      <alignment horizontal="center" vertical="top" wrapText="1"/>
    </xf>
    <xf numFmtId="0" fontId="47" fillId="50" borderId="0" xfId="0" applyFont="1" applyFill="1" applyAlignment="1">
      <alignment horizontal="center" vertical="top" wrapText="1"/>
    </xf>
    <xf numFmtId="0" fontId="47" fillId="50" borderId="0" xfId="0" applyFont="1" applyFill="1" applyAlignment="1">
      <alignment horizontal="center" vertical="center" wrapText="1"/>
    </xf>
    <xf numFmtId="0" fontId="36" fillId="41" borderId="0" xfId="0" applyFont="1" applyFill="1" applyBorder="1"/>
    <xf numFmtId="0" fontId="35" fillId="41" borderId="0" xfId="0" applyFont="1" applyFill="1" applyBorder="1" applyAlignment="1">
      <alignment horizontal="center"/>
    </xf>
    <xf numFmtId="0" fontId="35" fillId="41" borderId="0" xfId="0" applyFont="1" applyFill="1" applyBorder="1" applyAlignment="1">
      <alignment horizontal="left"/>
    </xf>
    <xf numFmtId="0" fontId="36" fillId="41" borderId="0" xfId="0" applyFont="1" applyFill="1" applyBorder="1" applyAlignment="1">
      <alignment vertical="center"/>
    </xf>
    <xf numFmtId="0" fontId="53" fillId="50" borderId="0" xfId="0" applyFont="1" applyFill="1"/>
    <xf numFmtId="0" fontId="53" fillId="50" borderId="0" xfId="0" applyFont="1" applyFill="1" applyBorder="1" applyAlignment="1">
      <alignment horizontal="left" vertical="center"/>
    </xf>
    <xf numFmtId="14" fontId="53" fillId="50" borderId="0" xfId="0" applyNumberFormat="1" applyFont="1" applyFill="1" applyBorder="1" applyAlignment="1">
      <alignment horizontal="center" vertical="center"/>
    </xf>
    <xf numFmtId="0" fontId="53" fillId="50" borderId="0" xfId="0" applyFont="1" applyFill="1" applyBorder="1" applyAlignment="1">
      <alignment horizontal="center" vertical="center"/>
    </xf>
    <xf numFmtId="0" fontId="53" fillId="50" borderId="0" xfId="0" applyFont="1" applyFill="1" applyBorder="1" applyAlignment="1">
      <alignment horizontal="right" vertical="center"/>
    </xf>
    <xf numFmtId="0" fontId="47" fillId="50" borderId="0" xfId="0" applyFont="1" applyFill="1"/>
    <xf numFmtId="0" fontId="22" fillId="50" borderId="0" xfId="0" applyFont="1" applyFill="1" applyBorder="1" applyAlignment="1">
      <alignment horizontal="right" vertical="center"/>
    </xf>
    <xf numFmtId="0" fontId="47" fillId="50" borderId="0" xfId="0" applyFont="1" applyFill="1" applyAlignment="1">
      <alignment vertical="center"/>
    </xf>
    <xf numFmtId="0" fontId="53" fillId="50" borderId="0" xfId="0" applyFont="1" applyFill="1" applyAlignment="1">
      <alignment horizontal="center"/>
    </xf>
    <xf numFmtId="0" fontId="53" fillId="50" borderId="0" xfId="0" applyFont="1" applyFill="1" applyAlignment="1">
      <alignment horizontal="right"/>
    </xf>
    <xf numFmtId="0" fontId="61" fillId="0" borderId="0" xfId="0" applyFont="1" applyAlignment="1">
      <alignment horizontal="right"/>
    </xf>
    <xf numFmtId="0" fontId="134" fillId="0" borderId="0" xfId="0" applyFont="1" applyAlignment="1">
      <alignment horizontal="left"/>
    </xf>
    <xf numFmtId="0" fontId="135" fillId="0" borderId="0" xfId="0" applyFont="1"/>
    <xf numFmtId="14" fontId="23" fillId="0" borderId="0" xfId="0" applyNumberFormat="1" applyFont="1"/>
    <xf numFmtId="0" fontId="22" fillId="0" borderId="0" xfId="0" applyNumberFormat="1" applyFont="1" applyFill="1" applyAlignment="1">
      <alignment vertical="center"/>
    </xf>
    <xf numFmtId="14" fontId="134" fillId="0" borderId="0" xfId="0" applyNumberFormat="1" applyFont="1" applyAlignment="1">
      <alignment horizontal="left"/>
    </xf>
    <xf numFmtId="0" fontId="61" fillId="0" borderId="103" xfId="0" applyFont="1" applyBorder="1"/>
    <xf numFmtId="14" fontId="61" fillId="0" borderId="103" xfId="0" applyNumberFormat="1" applyFont="1" applyBorder="1"/>
    <xf numFmtId="0" fontId="61" fillId="45" borderId="103" xfId="0" applyFont="1" applyFill="1" applyBorder="1"/>
    <xf numFmtId="0" fontId="61" fillId="0" borderId="0" xfId="0" applyFont="1"/>
    <xf numFmtId="14" fontId="135" fillId="0" borderId="0" xfId="0" applyNumberFormat="1" applyFont="1" applyAlignment="1">
      <alignment horizontal="right"/>
    </xf>
    <xf numFmtId="4" fontId="135" fillId="0" borderId="0" xfId="0" applyNumberFormat="1" applyFont="1" applyAlignment="1">
      <alignment horizontal="right"/>
    </xf>
    <xf numFmtId="0" fontId="135" fillId="45" borderId="0" xfId="0" applyFont="1" applyFill="1"/>
    <xf numFmtId="0" fontId="89" fillId="50" borderId="0" xfId="0" applyFont="1" applyFill="1" applyBorder="1" applyAlignment="1">
      <alignment horizontal="right" vertical="center"/>
    </xf>
    <xf numFmtId="0" fontId="89" fillId="50" borderId="0" xfId="0" applyFont="1" applyFill="1" applyBorder="1" applyAlignment="1">
      <alignment horizontal="left" vertical="center"/>
    </xf>
    <xf numFmtId="14" fontId="91" fillId="50" borderId="0" xfId="0" applyNumberFormat="1" applyFont="1" applyFill="1" applyBorder="1" applyAlignment="1">
      <alignment horizontal="right" vertical="center"/>
    </xf>
    <xf numFmtId="195" fontId="39" fillId="0" borderId="34" xfId="0" applyNumberFormat="1" applyFont="1" applyBorder="1" applyAlignment="1">
      <alignment horizontal="right" vertical="center"/>
    </xf>
    <xf numFmtId="195" fontId="39" fillId="51" borderId="34" xfId="0" applyNumberFormat="1" applyFont="1" applyFill="1" applyBorder="1" applyAlignment="1">
      <alignment horizontal="right" vertical="center"/>
    </xf>
    <xf numFmtId="200" fontId="38" fillId="0" borderId="0" xfId="0" applyNumberFormat="1" applyFont="1" applyFill="1" applyBorder="1"/>
    <xf numFmtId="189" fontId="39" fillId="51" borderId="34" xfId="1" applyNumberFormat="1" applyFont="1" applyFill="1" applyBorder="1" applyAlignment="1">
      <alignment horizontal="right" vertical="center"/>
    </xf>
    <xf numFmtId="189" fontId="39" fillId="0" borderId="34" xfId="1" applyNumberFormat="1" applyFont="1" applyBorder="1" applyAlignment="1">
      <alignment horizontal="right" vertical="center"/>
    </xf>
    <xf numFmtId="0" fontId="116" fillId="0" borderId="0" xfId="0" applyFont="1" applyFill="1" applyAlignment="1">
      <alignment vertical="center" wrapText="1"/>
    </xf>
    <xf numFmtId="201" fontId="39" fillId="0" borderId="34" xfId="44" applyNumberFormat="1" applyFont="1" applyBorder="1" applyAlignment="1">
      <alignment horizontal="right" vertical="center"/>
    </xf>
    <xf numFmtId="201" fontId="39" fillId="0" borderId="0" xfId="1" applyNumberFormat="1" applyFont="1" applyBorder="1" applyAlignment="1">
      <alignment horizontal="right" vertical="center"/>
    </xf>
    <xf numFmtId="0" fontId="44" fillId="36" borderId="0" xfId="0" applyFont="1" applyFill="1" applyBorder="1" applyAlignment="1">
      <alignment horizontal="right" vertical="center"/>
    </xf>
    <xf numFmtId="0" fontId="44" fillId="36" borderId="0" xfId="0" applyFont="1" applyFill="1" applyAlignment="1">
      <alignment vertical="center"/>
    </xf>
    <xf numFmtId="0" fontId="44" fillId="0" borderId="0" xfId="0" applyFont="1" applyAlignment="1">
      <alignment horizontal="right" vertical="center"/>
    </xf>
    <xf numFmtId="3" fontId="82" fillId="0" borderId="0" xfId="0" applyNumberFormat="1" applyFont="1" applyAlignment="1">
      <alignment horizontal="right" vertical="center"/>
    </xf>
    <xf numFmtId="3" fontId="44" fillId="0" borderId="0" xfId="0" applyNumberFormat="1" applyFont="1" applyAlignment="1">
      <alignment horizontal="left" vertical="center"/>
    </xf>
    <xf numFmtId="0" fontId="43" fillId="0" borderId="0" xfId="0" applyFont="1" applyAlignment="1">
      <alignment horizontal="left"/>
    </xf>
    <xf numFmtId="0" fontId="43" fillId="0" borderId="0" xfId="0" applyFont="1" applyAlignment="1">
      <alignment horizontal="center"/>
    </xf>
    <xf numFmtId="192" fontId="82" fillId="0" borderId="34" xfId="0" applyNumberFormat="1" applyFont="1" applyBorder="1" applyAlignment="1">
      <alignment horizontal="right" vertical="center"/>
    </xf>
    <xf numFmtId="0" fontId="47" fillId="0" borderId="141" xfId="0" applyNumberFormat="1" applyFont="1" applyFill="1" applyBorder="1" applyAlignment="1">
      <alignment horizontal="right" vertical="center" wrapText="1"/>
    </xf>
    <xf numFmtId="166" fontId="38" fillId="0" borderId="141" xfId="1" applyNumberFormat="1" applyFont="1" applyFill="1" applyBorder="1" applyAlignment="1">
      <alignment horizontal="right"/>
    </xf>
    <xf numFmtId="166" fontId="38" fillId="0" borderId="0" xfId="1" applyNumberFormat="1" applyFont="1" applyFill="1" applyBorder="1" applyAlignment="1">
      <alignment horizontal="right"/>
    </xf>
    <xf numFmtId="202" fontId="44" fillId="0" borderId="34" xfId="0" applyNumberFormat="1" applyFont="1" applyFill="1" applyBorder="1" applyAlignment="1">
      <alignment horizontal="right" vertical="center"/>
    </xf>
    <xf numFmtId="192" fontId="44" fillId="0" borderId="34" xfId="0" applyNumberFormat="1" applyFont="1" applyBorder="1" applyAlignment="1">
      <alignment horizontal="right" vertical="center"/>
    </xf>
    <xf numFmtId="192" fontId="44" fillId="0" borderId="34" xfId="0" applyNumberFormat="1" applyFont="1" applyFill="1" applyBorder="1" applyAlignment="1">
      <alignment horizontal="right" vertical="center"/>
    </xf>
    <xf numFmtId="3" fontId="124" fillId="0" borderId="0" xfId="0" applyNumberFormat="1" applyFont="1" applyFill="1" applyBorder="1" applyAlignment="1">
      <alignment vertical="center"/>
    </xf>
    <xf numFmtId="0" fontId="39" fillId="0" borderId="85" xfId="0" applyFont="1" applyBorder="1" applyAlignment="1">
      <alignment horizontal="left" vertical="center" wrapText="1"/>
    </xf>
    <xf numFmtId="199" fontId="39" fillId="0" borderId="85" xfId="0" applyNumberFormat="1" applyFont="1" applyBorder="1" applyAlignment="1">
      <alignment horizontal="left" vertical="center" wrapText="1"/>
    </xf>
    <xf numFmtId="197" fontId="39" fillId="0" borderId="85" xfId="0" applyNumberFormat="1" applyFont="1" applyBorder="1" applyAlignment="1">
      <alignment horizontal="left" vertical="center" wrapText="1"/>
    </xf>
    <xf numFmtId="168" fontId="88" fillId="38" borderId="10" xfId="0" applyNumberFormat="1" applyFont="1" applyFill="1" applyBorder="1" applyAlignment="1">
      <alignment horizontal="center" vertical="center" wrapText="1"/>
    </xf>
    <xf numFmtId="188" fontId="44" fillId="35" borderId="55" xfId="44" applyNumberFormat="1" applyFont="1" applyFill="1" applyBorder="1" applyAlignment="1">
      <alignment vertical="center"/>
    </xf>
    <xf numFmtId="188" fontId="44" fillId="35" borderId="0" xfId="44" applyNumberFormat="1" applyFont="1" applyFill="1" applyBorder="1" applyAlignment="1">
      <alignment vertical="center"/>
    </xf>
    <xf numFmtId="188" fontId="44" fillId="35" borderId="132" xfId="44" applyNumberFormat="1" applyFont="1" applyFill="1" applyBorder="1" applyAlignment="1">
      <alignment vertical="center"/>
    </xf>
    <xf numFmtId="0" fontId="38" fillId="0" borderId="142" xfId="0" applyFont="1" applyFill="1" applyBorder="1"/>
    <xf numFmtId="166" fontId="38" fillId="0" borderId="142" xfId="1" applyNumberFormat="1" applyFont="1" applyFill="1" applyBorder="1" applyAlignment="1">
      <alignment horizontal="right"/>
    </xf>
    <xf numFmtId="166" fontId="38" fillId="0" borderId="142" xfId="0" applyNumberFormat="1" applyFont="1" applyFill="1" applyBorder="1" applyAlignment="1">
      <alignment horizontal="center"/>
    </xf>
    <xf numFmtId="0" fontId="38" fillId="0" borderId="142" xfId="0" applyFont="1" applyFill="1" applyBorder="1" applyAlignment="1">
      <alignment horizontal="center"/>
    </xf>
    <xf numFmtId="0" fontId="102" fillId="0" borderId="142" xfId="0" applyFont="1" applyFill="1" applyBorder="1" applyAlignment="1">
      <alignment horizontal="center" vertical="center"/>
    </xf>
    <xf numFmtId="0" fontId="71" fillId="0" borderId="0" xfId="0" applyFont="1" applyFill="1" applyBorder="1"/>
    <xf numFmtId="166" fontId="38" fillId="0" borderId="0" xfId="0" applyNumberFormat="1" applyFont="1" applyFill="1" applyBorder="1" applyAlignment="1">
      <alignment horizontal="center"/>
    </xf>
    <xf numFmtId="0" fontId="102" fillId="0" borderId="0" xfId="0" applyFont="1" applyFill="1" applyBorder="1" applyAlignment="1">
      <alignment horizontal="center" vertical="center"/>
    </xf>
    <xf numFmtId="168" fontId="88" fillId="38" borderId="28" xfId="0" applyNumberFormat="1" applyFont="1" applyFill="1" applyBorder="1" applyAlignment="1">
      <alignment horizontal="center" vertical="center" wrapText="1"/>
    </xf>
    <xf numFmtId="0" fontId="116" fillId="0" borderId="0" xfId="0" applyFont="1" applyAlignment="1">
      <alignment vertical="top"/>
    </xf>
    <xf numFmtId="0" fontId="119" fillId="46" borderId="0" xfId="0" applyFont="1" applyFill="1" applyAlignment="1">
      <alignment horizontal="center" vertical="top"/>
    </xf>
    <xf numFmtId="0" fontId="120" fillId="47" borderId="0" xfId="0" applyFont="1" applyFill="1" applyAlignment="1">
      <alignment vertical="top"/>
    </xf>
    <xf numFmtId="0" fontId="116" fillId="48" borderId="0" xfId="0" applyFont="1" applyFill="1" applyAlignment="1">
      <alignment vertical="top"/>
    </xf>
    <xf numFmtId="0" fontId="116" fillId="49" borderId="0" xfId="0" applyFont="1" applyFill="1" applyAlignment="1">
      <alignment vertical="top"/>
    </xf>
    <xf numFmtId="0" fontId="116" fillId="0" borderId="85" xfId="0" applyFont="1" applyFill="1" applyBorder="1" applyAlignment="1">
      <alignment vertical="top"/>
    </xf>
    <xf numFmtId="0" fontId="116" fillId="0" borderId="0" xfId="0" applyFont="1" applyFill="1" applyBorder="1" applyAlignment="1">
      <alignment vertical="top"/>
    </xf>
    <xf numFmtId="0" fontId="116" fillId="0" borderId="0" xfId="0" applyFont="1" applyFill="1" applyAlignment="1">
      <alignment vertical="top"/>
    </xf>
    <xf numFmtId="0" fontId="116" fillId="46" borderId="0" xfId="0" applyFont="1" applyFill="1" applyAlignment="1">
      <alignment horizontal="left" vertical="top"/>
    </xf>
    <xf numFmtId="0" fontId="102" fillId="0" borderId="57" xfId="0" applyFont="1" applyFill="1" applyBorder="1" applyAlignment="1">
      <alignment horizontal="center" vertical="center"/>
    </xf>
    <xf numFmtId="0" fontId="38" fillId="0" borderId="143" xfId="0" applyFont="1" applyFill="1" applyBorder="1"/>
    <xf numFmtId="166" fontId="38" fillId="0" borderId="143" xfId="1" applyNumberFormat="1" applyFont="1" applyFill="1" applyBorder="1" applyAlignment="1">
      <alignment horizontal="right"/>
    </xf>
    <xf numFmtId="166" fontId="38" fillId="0" borderId="143" xfId="1" applyNumberFormat="1" applyFont="1" applyFill="1" applyBorder="1" applyAlignment="1">
      <alignment horizontal="center"/>
    </xf>
    <xf numFmtId="0" fontId="38" fillId="0" borderId="143" xfId="0" applyFont="1" applyFill="1" applyBorder="1" applyAlignment="1">
      <alignment horizontal="center"/>
    </xf>
    <xf numFmtId="1" fontId="42" fillId="0" borderId="143" xfId="0" applyNumberFormat="1" applyFont="1" applyFill="1" applyBorder="1" applyAlignment="1">
      <alignment horizontal="center"/>
    </xf>
    <xf numFmtId="0" fontId="35" fillId="38" borderId="0" xfId="0" applyFont="1" applyFill="1" applyBorder="1" applyAlignment="1">
      <alignment horizontal="left" vertical="center"/>
    </xf>
    <xf numFmtId="203" fontId="39" fillId="35" borderId="10" xfId="44" applyNumberFormat="1" applyFont="1" applyFill="1" applyBorder="1" applyAlignment="1">
      <alignment horizontal="center" vertical="center"/>
    </xf>
    <xf numFmtId="203" fontId="39" fillId="36" borderId="10" xfId="44" applyNumberFormat="1" applyFont="1" applyFill="1" applyBorder="1" applyAlignment="1">
      <alignment horizontal="center" vertical="center"/>
    </xf>
    <xf numFmtId="203" fontId="39" fillId="36" borderId="76" xfId="44" applyNumberFormat="1" applyFont="1" applyFill="1" applyBorder="1" applyAlignment="1">
      <alignment horizontal="center" vertical="center"/>
    </xf>
    <xf numFmtId="203" fontId="44" fillId="35" borderId="73" xfId="44" applyNumberFormat="1" applyFont="1" applyFill="1" applyBorder="1" applyAlignment="1">
      <alignment vertical="center"/>
    </xf>
    <xf numFmtId="203" fontId="44" fillId="35" borderId="74" xfId="44" applyNumberFormat="1" applyFont="1" applyFill="1" applyBorder="1" applyAlignment="1">
      <alignment vertical="center"/>
    </xf>
    <xf numFmtId="188" fontId="39" fillId="35" borderId="30" xfId="1" applyNumberFormat="1" applyFont="1" applyFill="1" applyBorder="1" applyAlignment="1">
      <alignment horizontal="center" vertical="center"/>
    </xf>
    <xf numFmtId="188" fontId="39" fillId="36" borderId="30" xfId="1" applyNumberFormat="1" applyFont="1" applyFill="1" applyBorder="1" applyAlignment="1">
      <alignment horizontal="center" vertical="center"/>
    </xf>
    <xf numFmtId="188" fontId="39" fillId="36" borderId="53" xfId="1" applyNumberFormat="1" applyFont="1" applyFill="1" applyBorder="1" applyAlignment="1">
      <alignment horizontal="center" vertical="center"/>
    </xf>
    <xf numFmtId="188" fontId="44" fillId="35" borderId="55" xfId="0" applyNumberFormat="1" applyFont="1" applyFill="1" applyBorder="1" applyAlignment="1">
      <alignment vertical="center"/>
    </xf>
    <xf numFmtId="188" fontId="44" fillId="35" borderId="0" xfId="0" applyNumberFormat="1" applyFont="1" applyFill="1" applyBorder="1" applyAlignment="1">
      <alignment vertical="center"/>
    </xf>
    <xf numFmtId="188" fontId="44" fillId="35" borderId="0" xfId="1" applyNumberFormat="1" applyFont="1" applyFill="1" applyBorder="1" applyAlignment="1">
      <alignment vertical="center"/>
    </xf>
    <xf numFmtId="193" fontId="38" fillId="0" borderId="0" xfId="0" applyNumberFormat="1" applyFont="1" applyFill="1" applyAlignment="1">
      <alignment vertical="center"/>
    </xf>
    <xf numFmtId="193" fontId="116" fillId="0" borderId="0" xfId="0" applyNumberFormat="1" applyFont="1"/>
    <xf numFmtId="3" fontId="39" fillId="0" borderId="0" xfId="0" applyNumberFormat="1" applyFont="1" applyFill="1"/>
    <xf numFmtId="3" fontId="39" fillId="0" borderId="0" xfId="0" applyNumberFormat="1" applyFont="1" applyAlignment="1">
      <alignment horizontal="center"/>
    </xf>
    <xf numFmtId="3" fontId="39" fillId="0" borderId="0" xfId="0" applyNumberFormat="1" applyFont="1"/>
    <xf numFmtId="0" fontId="0" fillId="0" borderId="0" xfId="0" applyFill="1" applyBorder="1"/>
    <xf numFmtId="9" fontId="116" fillId="0" borderId="0" xfId="0" applyNumberFormat="1" applyFont="1" applyFill="1" applyAlignment="1">
      <alignment horizontal="left" vertical="center" wrapText="1"/>
    </xf>
    <xf numFmtId="0" fontId="44" fillId="0" borderId="0" xfId="0" applyFont="1" applyFill="1" applyBorder="1"/>
    <xf numFmtId="0" fontId="52" fillId="0" borderId="0" xfId="0" applyFont="1" applyFill="1" applyBorder="1"/>
    <xf numFmtId="0" fontId="68" fillId="0" borderId="0" xfId="0" applyFont="1" applyFill="1" applyBorder="1"/>
    <xf numFmtId="0" fontId="69" fillId="0" borderId="0" xfId="0" applyFont="1" applyFill="1" applyBorder="1"/>
    <xf numFmtId="14" fontId="44" fillId="0" borderId="0" xfId="0" applyNumberFormat="1" applyFont="1" applyFill="1"/>
    <xf numFmtId="177" fontId="44" fillId="0" borderId="0" xfId="0" applyNumberFormat="1" applyFont="1" applyFill="1" applyAlignment="1">
      <alignment horizontal="right"/>
    </xf>
    <xf numFmtId="0" fontId="44" fillId="0" borderId="0" xfId="0" applyFont="1" applyFill="1" applyBorder="1" applyAlignment="1">
      <alignment vertical="center"/>
    </xf>
    <xf numFmtId="14" fontId="44" fillId="0" borderId="0" xfId="0" applyNumberFormat="1" applyFont="1" applyFill="1" applyBorder="1"/>
    <xf numFmtId="174" fontId="44" fillId="0" borderId="0" xfId="0" applyNumberFormat="1" applyFont="1" applyFill="1" applyBorder="1"/>
    <xf numFmtId="3" fontId="42" fillId="0" borderId="0" xfId="0" applyNumberFormat="1" applyFont="1"/>
    <xf numFmtId="192" fontId="39" fillId="0" borderId="34" xfId="1" applyNumberFormat="1" applyFont="1" applyFill="1" applyBorder="1" applyAlignment="1">
      <alignment horizontal="right" vertical="top"/>
    </xf>
    <xf numFmtId="195" fontId="39" fillId="0" borderId="34" xfId="1" applyNumberFormat="1" applyFont="1" applyFill="1" applyBorder="1" applyAlignment="1">
      <alignment horizontal="right" vertical="top"/>
    </xf>
    <xf numFmtId="168" fontId="39" fillId="0" borderId="34" xfId="0" applyNumberFormat="1" applyFont="1" applyFill="1" applyBorder="1" applyAlignment="1">
      <alignment horizontal="right" vertical="top"/>
    </xf>
    <xf numFmtId="0" fontId="36" fillId="0" borderId="0" xfId="0" applyFont="1" applyFill="1" applyBorder="1" applyAlignment="1">
      <alignment vertical="top"/>
    </xf>
    <xf numFmtId="0" fontId="35" fillId="0" borderId="0" xfId="0" applyFont="1" applyFill="1" applyBorder="1" applyAlignment="1">
      <alignment vertical="top"/>
    </xf>
    <xf numFmtId="0" fontId="35" fillId="0" borderId="0" xfId="0" applyFont="1" applyFill="1" applyBorder="1" applyAlignment="1">
      <alignment horizontal="center" vertical="top"/>
    </xf>
    <xf numFmtId="0" fontId="41" fillId="0" borderId="0" xfId="0" applyFont="1" applyFill="1" applyBorder="1" applyAlignment="1">
      <alignment horizontal="center" vertical="top"/>
    </xf>
    <xf numFmtId="3" fontId="39" fillId="0" borderId="0" xfId="2" applyNumberFormat="1" applyFont="1" applyFill="1" applyBorder="1" applyAlignment="1">
      <alignment horizontal="right" vertical="top"/>
    </xf>
    <xf numFmtId="37" fontId="39" fillId="0" borderId="0" xfId="44" applyNumberFormat="1" applyFont="1" applyFill="1" applyBorder="1" applyAlignment="1">
      <alignment horizontal="right" vertical="top"/>
    </xf>
    <xf numFmtId="0" fontId="39" fillId="0" borderId="0" xfId="0" applyFont="1" applyFill="1" applyBorder="1" applyAlignment="1">
      <alignment vertical="top"/>
    </xf>
    <xf numFmtId="0" fontId="39" fillId="0" borderId="0" xfId="0" applyFont="1" applyFill="1" applyBorder="1" applyAlignment="1">
      <alignment horizontal="left" vertical="top"/>
    </xf>
    <xf numFmtId="0" fontId="39" fillId="0" borderId="0" xfId="0" applyFont="1" applyBorder="1" applyAlignment="1">
      <alignment vertical="top"/>
    </xf>
    <xf numFmtId="0" fontId="38" fillId="0" borderId="0" xfId="0" applyFont="1" applyBorder="1" applyAlignment="1">
      <alignment vertical="top"/>
    </xf>
    <xf numFmtId="0" fontId="38" fillId="0" borderId="0" xfId="0" applyFont="1" applyBorder="1" applyAlignment="1">
      <alignment horizontal="center" vertical="top"/>
    </xf>
    <xf numFmtId="0" fontId="39" fillId="0" borderId="0" xfId="0" applyFont="1" applyBorder="1" applyAlignment="1">
      <alignment horizontal="left" vertical="top"/>
    </xf>
    <xf numFmtId="0" fontId="39" fillId="0" borderId="0" xfId="0" applyFont="1" applyAlignment="1">
      <alignment vertical="top"/>
    </xf>
    <xf numFmtId="0" fontId="38" fillId="0" borderId="0" xfId="0" applyFont="1" applyAlignment="1">
      <alignment vertical="top"/>
    </xf>
    <xf numFmtId="0" fontId="38" fillId="0" borderId="0" xfId="0" applyFont="1" applyAlignment="1">
      <alignment horizontal="center" vertical="top"/>
    </xf>
    <xf numFmtId="0" fontId="39" fillId="0" borderId="0" xfId="0" applyFont="1" applyAlignment="1">
      <alignment horizontal="left" vertical="top"/>
    </xf>
    <xf numFmtId="0" fontId="61" fillId="0" borderId="0" xfId="46" applyFont="1"/>
    <xf numFmtId="200" fontId="38" fillId="0" borderId="0" xfId="0" applyNumberFormat="1" applyFont="1" applyFill="1"/>
    <xf numFmtId="0" fontId="115" fillId="0" borderId="0" xfId="0" applyNumberFormat="1" applyFont="1"/>
    <xf numFmtId="0" fontId="38" fillId="0" borderId="0" xfId="0" applyNumberFormat="1" applyFont="1" applyFill="1" applyBorder="1" applyAlignment="1"/>
    <xf numFmtId="0" fontId="35" fillId="52" borderId="0" xfId="0" applyFont="1" applyFill="1" applyAlignment="1">
      <alignment vertical="center"/>
    </xf>
    <xf numFmtId="0" fontId="39" fillId="0" borderId="30" xfId="0" applyFont="1" applyFill="1" applyBorder="1" applyAlignment="1">
      <alignment horizontal="center" vertical="center"/>
    </xf>
    <xf numFmtId="15" fontId="39" fillId="0" borderId="0" xfId="0" applyNumberFormat="1" applyFont="1" applyAlignment="1">
      <alignment horizontal="center"/>
    </xf>
    <xf numFmtId="0" fontId="43" fillId="0" borderId="0" xfId="0" applyNumberFormat="1" applyFont="1" applyAlignment="1">
      <alignment horizontal="center"/>
    </xf>
    <xf numFmtId="9" fontId="39" fillId="0" borderId="0" xfId="1" applyNumberFormat="1" applyFont="1" applyAlignment="1">
      <alignment horizontal="center"/>
    </xf>
    <xf numFmtId="1" fontId="42" fillId="0" borderId="0" xfId="0" applyNumberFormat="1" applyFont="1"/>
    <xf numFmtId="180" fontId="44" fillId="36" borderId="0" xfId="0" applyNumberFormat="1" applyFont="1" applyFill="1" applyAlignment="1">
      <alignment horizontal="right" vertical="center"/>
    </xf>
    <xf numFmtId="39" fontId="44" fillId="36" borderId="0" xfId="0" applyNumberFormat="1" applyFont="1" applyFill="1" applyAlignment="1">
      <alignment horizontal="right" vertical="center"/>
    </xf>
    <xf numFmtId="0" fontId="39" fillId="0" borderId="0" xfId="0" applyFont="1" applyFill="1" applyBorder="1" applyAlignment="1">
      <alignment horizontal="center" vertical="center"/>
    </xf>
    <xf numFmtId="37" fontId="44" fillId="36" borderId="0" xfId="0" applyNumberFormat="1" applyFont="1" applyFill="1" applyAlignment="1">
      <alignment horizontal="right" vertical="center"/>
    </xf>
    <xf numFmtId="179" fontId="44" fillId="0" borderId="92" xfId="0" applyNumberFormat="1" applyFont="1" applyFill="1" applyBorder="1" applyAlignment="1">
      <alignment horizontal="right" vertical="center"/>
    </xf>
    <xf numFmtId="189" fontId="44" fillId="0" borderId="34" xfId="0" applyNumberFormat="1" applyFont="1" applyBorder="1" applyAlignment="1">
      <alignment horizontal="right" vertical="center"/>
    </xf>
    <xf numFmtId="166" fontId="44" fillId="0" borderId="92" xfId="0" applyNumberFormat="1" applyFont="1" applyFill="1" applyBorder="1" applyAlignment="1">
      <alignment horizontal="right" vertical="center"/>
    </xf>
    <xf numFmtId="0" fontId="39" fillId="0" borderId="99" xfId="0" applyFont="1" applyBorder="1" applyAlignment="1">
      <alignment vertical="center" wrapText="1"/>
    </xf>
    <xf numFmtId="0" fontId="39" fillId="0" borderId="34" xfId="0" applyFont="1" applyBorder="1" applyAlignment="1">
      <alignment vertical="center" wrapText="1"/>
    </xf>
    <xf numFmtId="0" fontId="43" fillId="0" borderId="0" xfId="0" applyFont="1" applyFill="1" applyBorder="1" applyAlignment="1">
      <alignment horizontal="left" vertical="center"/>
    </xf>
    <xf numFmtId="189" fontId="39" fillId="51" borderId="34" xfId="0" applyNumberFormat="1" applyFont="1" applyFill="1" applyBorder="1" applyAlignment="1">
      <alignment horizontal="right" vertical="center"/>
    </xf>
    <xf numFmtId="0" fontId="39" fillId="0" borderId="85" xfId="0" applyFont="1" applyBorder="1" applyAlignment="1">
      <alignment horizontal="left"/>
    </xf>
    <xf numFmtId="179" fontId="39" fillId="0" borderId="85" xfId="0" applyNumberFormat="1" applyFont="1" applyBorder="1" applyAlignment="1">
      <alignment horizontal="right" vertical="center"/>
    </xf>
    <xf numFmtId="0" fontId="39" fillId="0" borderId="85" xfId="0" applyFont="1" applyFill="1" applyBorder="1" applyAlignment="1">
      <alignment horizontal="right" vertical="center"/>
    </xf>
    <xf numFmtId="37" fontId="39" fillId="0" borderId="85" xfId="0" applyNumberFormat="1" applyFont="1" applyFill="1" applyBorder="1" applyAlignment="1">
      <alignment horizontal="center"/>
    </xf>
    <xf numFmtId="0" fontId="136" fillId="0" borderId="85" xfId="0" applyFont="1" applyFill="1" applyBorder="1"/>
    <xf numFmtId="0" fontId="39" fillId="0" borderId="136" xfId="0" applyFont="1" applyBorder="1" applyAlignment="1">
      <alignment horizontal="right"/>
    </xf>
    <xf numFmtId="0" fontId="39" fillId="0" borderId="136" xfId="0" applyFont="1" applyFill="1" applyBorder="1" applyAlignment="1">
      <alignment horizontal="right" vertical="center"/>
    </xf>
    <xf numFmtId="0" fontId="39" fillId="0" borderId="136" xfId="0" applyFont="1" applyFill="1" applyBorder="1"/>
    <xf numFmtId="189" fontId="39" fillId="0" borderId="34" xfId="0" applyNumberFormat="1" applyFont="1" applyFill="1" applyBorder="1"/>
    <xf numFmtId="0" fontId="39" fillId="0" borderId="85" xfId="0" applyFont="1" applyBorder="1" applyAlignment="1">
      <alignment vertical="center"/>
    </xf>
    <xf numFmtId="189" fontId="39" fillId="0" borderId="85" xfId="0" applyNumberFormat="1" applyFont="1" applyBorder="1" applyAlignment="1">
      <alignment horizontal="right"/>
    </xf>
    <xf numFmtId="189" fontId="39" fillId="0" borderId="85" xfId="0" applyNumberFormat="1" applyFont="1" applyFill="1" applyBorder="1" applyAlignment="1">
      <alignment vertical="center"/>
    </xf>
    <xf numFmtId="0" fontId="39" fillId="0" borderId="136" xfId="0" applyFont="1" applyBorder="1" applyAlignment="1">
      <alignment horizontal="left"/>
    </xf>
    <xf numFmtId="189" fontId="39" fillId="0" borderId="136" xfId="0" applyNumberFormat="1" applyFont="1" applyBorder="1" applyAlignment="1">
      <alignment horizontal="right"/>
    </xf>
    <xf numFmtId="189" fontId="39" fillId="0" borderId="136" xfId="0" applyNumberFormat="1" applyFont="1" applyFill="1" applyBorder="1" applyAlignment="1">
      <alignment horizontal="right" vertical="center"/>
    </xf>
    <xf numFmtId="189" fontId="39" fillId="0" borderId="136" xfId="0" applyNumberFormat="1" applyFont="1" applyFill="1" applyBorder="1"/>
    <xf numFmtId="189" fontId="39" fillId="0" borderId="34" xfId="0" applyNumberFormat="1" applyFont="1" applyBorder="1" applyAlignment="1">
      <alignment horizontal="right"/>
    </xf>
    <xf numFmtId="0" fontId="39" fillId="0" borderId="34" xfId="0" applyFont="1" applyBorder="1" applyAlignment="1">
      <alignment horizontal="left" vertical="center"/>
    </xf>
    <xf numFmtId="183" fontId="39" fillId="0" borderId="34" xfId="0" applyNumberFormat="1" applyFont="1" applyFill="1" applyBorder="1"/>
    <xf numFmtId="0" fontId="39" fillId="0" borderId="34" xfId="0" applyFont="1" applyFill="1" applyBorder="1"/>
    <xf numFmtId="0" fontId="39" fillId="0" borderId="34" xfId="0" applyFont="1" applyBorder="1" applyAlignment="1">
      <alignment horizontal="right"/>
    </xf>
    <xf numFmtId="2" fontId="39" fillId="0" borderId="34" xfId="0" applyNumberFormat="1" applyFont="1" applyFill="1" applyBorder="1"/>
    <xf numFmtId="192" fontId="39" fillId="0" borderId="34" xfId="0" applyNumberFormat="1" applyFont="1" applyFill="1" applyBorder="1"/>
    <xf numFmtId="38" fontId="39" fillId="0" borderId="34" xfId="0" applyNumberFormat="1" applyFont="1" applyFill="1" applyBorder="1"/>
    <xf numFmtId="178" fontId="82" fillId="0" borderId="34" xfId="0" applyNumberFormat="1" applyFont="1" applyBorder="1" applyAlignment="1">
      <alignment horizontal="right" vertical="center"/>
    </xf>
    <xf numFmtId="189" fontId="82" fillId="0" borderId="34" xfId="0" applyNumberFormat="1" applyFont="1" applyBorder="1" applyAlignment="1">
      <alignment horizontal="right" vertical="center"/>
    </xf>
    <xf numFmtId="189" fontId="82" fillId="51" borderId="34" xfId="0" applyNumberFormat="1" applyFont="1" applyFill="1" applyBorder="1" applyAlignment="1">
      <alignment horizontal="right" vertical="center"/>
    </xf>
    <xf numFmtId="0" fontId="39" fillId="0" borderId="134" xfId="0" applyFont="1" applyBorder="1" applyAlignment="1">
      <alignment horizontal="left"/>
    </xf>
    <xf numFmtId="178" fontId="39" fillId="0" borderId="134" xfId="0" applyNumberFormat="1" applyFont="1" applyBorder="1" applyAlignment="1">
      <alignment horizontal="right" vertical="center"/>
    </xf>
    <xf numFmtId="0" fontId="39" fillId="0" borderId="134" xfId="0" applyFont="1" applyFill="1" applyBorder="1"/>
    <xf numFmtId="178" fontId="39" fillId="0" borderId="134" xfId="0" applyNumberFormat="1" applyFont="1" applyFill="1" applyBorder="1" applyAlignment="1">
      <alignment horizontal="right" vertical="center"/>
    </xf>
    <xf numFmtId="178" fontId="39" fillId="0" borderId="34" xfId="0" applyNumberFormat="1" applyFont="1" applyBorder="1" applyAlignment="1">
      <alignment horizontal="right" vertical="center"/>
    </xf>
    <xf numFmtId="178" fontId="82" fillId="0" borderId="134" xfId="0" applyNumberFormat="1" applyFont="1" applyBorder="1" applyAlignment="1">
      <alignment horizontal="right" vertical="center"/>
    </xf>
    <xf numFmtId="178" fontId="82" fillId="0" borderId="134" xfId="0" applyNumberFormat="1" applyFont="1" applyFill="1" applyBorder="1" applyAlignment="1">
      <alignment horizontal="right" vertical="center"/>
    </xf>
    <xf numFmtId="188" fontId="39" fillId="0" borderId="34" xfId="0" applyNumberFormat="1" applyFont="1" applyFill="1" applyBorder="1"/>
    <xf numFmtId="188" fontId="43" fillId="0" borderId="34" xfId="0" applyNumberFormat="1" applyFont="1" applyFill="1" applyBorder="1"/>
    <xf numFmtId="176" fontId="45" fillId="50" borderId="34" xfId="0" applyNumberFormat="1" applyFont="1" applyFill="1" applyBorder="1" applyAlignment="1">
      <alignment horizontal="right" vertical="center" wrapText="1"/>
    </xf>
    <xf numFmtId="0" fontId="43" fillId="50" borderId="34" xfId="0" applyNumberFormat="1" applyFont="1" applyFill="1" applyBorder="1" applyAlignment="1">
      <alignment horizontal="right" vertical="center" wrapText="1"/>
    </xf>
    <xf numFmtId="37" fontId="39" fillId="0" borderId="34" xfId="0" applyNumberFormat="1" applyFont="1" applyBorder="1"/>
    <xf numFmtId="176" fontId="43" fillId="0" borderId="34" xfId="0" applyNumberFormat="1" applyFont="1" applyFill="1" applyBorder="1" applyAlignment="1">
      <alignment horizontal="right" vertical="center" wrapText="1"/>
    </xf>
    <xf numFmtId="175" fontId="43" fillId="0" borderId="34" xfId="0" applyNumberFormat="1" applyFont="1" applyFill="1" applyBorder="1" applyAlignment="1">
      <alignment horizontal="right" vertical="center" wrapText="1"/>
    </xf>
    <xf numFmtId="175" fontId="39" fillId="0" borderId="34" xfId="0" applyNumberFormat="1" applyFont="1" applyBorder="1" applyAlignment="1">
      <alignment horizontal="right"/>
    </xf>
    <xf numFmtId="0" fontId="82" fillId="0" borderId="34" xfId="0" applyFont="1" applyBorder="1"/>
    <xf numFmtId="175" fontId="82" fillId="0" borderId="34" xfId="0" applyNumberFormat="1" applyFont="1" applyBorder="1" applyAlignment="1">
      <alignment horizontal="right"/>
    </xf>
    <xf numFmtId="192" fontId="82" fillId="0" borderId="34" xfId="0" applyNumberFormat="1" applyFont="1" applyBorder="1" applyAlignment="1">
      <alignment horizontal="right"/>
    </xf>
    <xf numFmtId="175" fontId="43" fillId="0" borderId="34" xfId="0" applyNumberFormat="1" applyFont="1" applyBorder="1" applyAlignment="1"/>
    <xf numFmtId="176" fontId="39" fillId="0" borderId="34" xfId="0" applyNumberFormat="1" applyFont="1" applyFill="1" applyBorder="1" applyAlignment="1">
      <alignment horizontal="right" vertical="center" wrapText="1"/>
    </xf>
    <xf numFmtId="1" fontId="39" fillId="0" borderId="34" xfId="0" applyNumberFormat="1" applyFont="1" applyFill="1" applyBorder="1" applyAlignment="1">
      <alignment horizontal="right" vertical="center" wrapText="1"/>
    </xf>
    <xf numFmtId="38" fontId="39" fillId="0" borderId="34" xfId="0" applyNumberFormat="1" applyFont="1" applyBorder="1" applyAlignment="1">
      <alignment horizontal="right"/>
    </xf>
    <xf numFmtId="38" fontId="82" fillId="0" borderId="34" xfId="0" applyNumberFormat="1" applyFont="1" applyBorder="1" applyAlignment="1">
      <alignment horizontal="right"/>
    </xf>
    <xf numFmtId="183" fontId="39" fillId="0" borderId="34" xfId="0" applyNumberFormat="1" applyFont="1" applyBorder="1" applyAlignment="1">
      <alignment horizontal="right"/>
    </xf>
    <xf numFmtId="166" fontId="39" fillId="0" borderId="34" xfId="0" applyNumberFormat="1" applyFont="1" applyBorder="1" applyAlignment="1">
      <alignment horizontal="right"/>
    </xf>
    <xf numFmtId="183" fontId="39" fillId="0" borderId="34" xfId="0" applyNumberFormat="1" applyFont="1" applyFill="1" applyBorder="1" applyAlignment="1">
      <alignment horizontal="right" vertical="center" wrapText="1"/>
    </xf>
    <xf numFmtId="17" fontId="39" fillId="0" borderId="0" xfId="0" applyNumberFormat="1" applyFont="1"/>
    <xf numFmtId="184" fontId="44" fillId="0" borderId="0" xfId="0" applyNumberFormat="1" applyFont="1" applyFill="1" applyBorder="1" applyAlignment="1">
      <alignment horizontal="left" vertical="center" wrapText="1"/>
    </xf>
    <xf numFmtId="1" fontId="39" fillId="0" borderId="0" xfId="0" applyNumberFormat="1" applyFont="1"/>
    <xf numFmtId="0" fontId="39" fillId="0" borderId="98" xfId="0" applyFont="1" applyBorder="1"/>
    <xf numFmtId="0" fontId="39" fillId="0" borderId="91" xfId="0" applyFont="1" applyBorder="1"/>
    <xf numFmtId="0" fontId="39" fillId="0" borderId="103" xfId="0" applyFont="1" applyBorder="1"/>
    <xf numFmtId="37" fontId="39" fillId="0" borderId="97" xfId="0" applyNumberFormat="1" applyFont="1" applyBorder="1"/>
    <xf numFmtId="37" fontId="39" fillId="0" borderId="96" xfId="0" applyNumberFormat="1" applyFont="1" applyBorder="1"/>
    <xf numFmtId="0" fontId="39" fillId="0" borderId="88" xfId="0" applyFont="1" applyBorder="1"/>
    <xf numFmtId="0" fontId="39" fillId="0" borderId="87" xfId="0" applyFont="1" applyBorder="1"/>
    <xf numFmtId="0" fontId="39" fillId="0" borderId="97" xfId="0" applyFont="1" applyBorder="1"/>
    <xf numFmtId="179" fontId="39" fillId="0" borderId="86" xfId="0" applyNumberFormat="1" applyFont="1" applyBorder="1"/>
    <xf numFmtId="0" fontId="39" fillId="0" borderId="99" xfId="0" applyNumberFormat="1" applyFont="1" applyBorder="1" applyAlignment="1">
      <alignment horizontal="left" vertical="center" wrapText="1"/>
    </xf>
    <xf numFmtId="0" fontId="39" fillId="0" borderId="99" xfId="0" applyFont="1" applyBorder="1" applyAlignment="1">
      <alignment horizontal="center" vertical="center" wrapText="1"/>
    </xf>
    <xf numFmtId="3" fontId="39" fillId="0" borderId="99" xfId="0" applyNumberFormat="1" applyFont="1" applyBorder="1" applyAlignment="1">
      <alignment horizontal="center" vertical="center" wrapText="1"/>
    </xf>
    <xf numFmtId="0" fontId="39" fillId="0" borderId="34" xfId="0" applyFont="1" applyBorder="1" applyAlignment="1">
      <alignment horizontal="center" vertical="center" wrapText="1"/>
    </xf>
    <xf numFmtId="0" fontId="79" fillId="53" borderId="0" xfId="0" applyFont="1" applyFill="1" applyBorder="1" applyAlignment="1">
      <alignment horizontal="left" vertical="center"/>
    </xf>
    <xf numFmtId="0" fontId="39" fillId="0" borderId="99" xfId="0" applyFont="1" applyFill="1" applyBorder="1" applyAlignment="1">
      <alignment vertical="top" wrapText="1"/>
    </xf>
    <xf numFmtId="0" fontId="39" fillId="0" borderId="99" xfId="0" applyFont="1" applyFill="1" applyBorder="1" applyAlignment="1">
      <alignment horizontal="left" vertical="top" wrapText="1"/>
    </xf>
    <xf numFmtId="4" fontId="39" fillId="0" borderId="99" xfId="0" applyNumberFormat="1" applyFont="1" applyFill="1" applyBorder="1" applyAlignment="1">
      <alignment horizontal="right" vertical="top"/>
    </xf>
    <xf numFmtId="3" fontId="39" fillId="0" borderId="99" xfId="0" applyNumberFormat="1" applyFont="1" applyFill="1" applyBorder="1" applyAlignment="1">
      <alignment horizontal="right" vertical="top"/>
    </xf>
    <xf numFmtId="192" fontId="39" fillId="0" borderId="99" xfId="0" applyNumberFormat="1" applyFont="1" applyFill="1" applyBorder="1" applyAlignment="1">
      <alignment horizontal="right" vertical="top"/>
    </xf>
    <xf numFmtId="195" fontId="39" fillId="0" borderId="99" xfId="1" applyNumberFormat="1" applyFont="1" applyFill="1" applyBorder="1" applyAlignment="1">
      <alignment horizontal="right" vertical="top"/>
    </xf>
    <xf numFmtId="168" fontId="39" fillId="0" borderId="99" xfId="0" applyNumberFormat="1" applyFont="1" applyFill="1" applyBorder="1" applyAlignment="1">
      <alignment horizontal="right" vertical="top"/>
    </xf>
    <xf numFmtId="10" fontId="39" fillId="0" borderId="128" xfId="0" applyNumberFormat="1" applyFont="1" applyFill="1" applyBorder="1" applyAlignment="1">
      <alignment horizontal="right"/>
    </xf>
    <xf numFmtId="10" fontId="39" fillId="0" borderId="129" xfId="0" applyNumberFormat="1" applyFont="1" applyFill="1" applyBorder="1" applyAlignment="1">
      <alignment horizontal="right"/>
    </xf>
    <xf numFmtId="10" fontId="39" fillId="0" borderId="128" xfId="0" applyNumberFormat="1" applyFont="1" applyFill="1" applyBorder="1" applyAlignment="1">
      <alignment horizontal="center"/>
    </xf>
    <xf numFmtId="10" fontId="39" fillId="0" borderId="130" xfId="0" applyNumberFormat="1" applyFont="1" applyFill="1" applyBorder="1" applyAlignment="1">
      <alignment horizontal="right"/>
    </xf>
    <xf numFmtId="0" fontId="39" fillId="0" borderId="128" xfId="0" applyFont="1" applyFill="1" applyBorder="1" applyAlignment="1">
      <alignment horizontal="center"/>
    </xf>
    <xf numFmtId="169" fontId="39" fillId="0" borderId="128" xfId="0" applyNumberFormat="1" applyFont="1" applyFill="1" applyBorder="1" applyAlignment="1">
      <alignment horizontal="right"/>
    </xf>
    <xf numFmtId="169" fontId="39" fillId="0" borderId="130" xfId="0" applyNumberFormat="1" applyFont="1" applyFill="1" applyBorder="1" applyAlignment="1">
      <alignment horizontal="right"/>
    </xf>
    <xf numFmtId="169" fontId="39" fillId="0" borderId="130" xfId="0" applyNumberFormat="1" applyFont="1" applyFill="1" applyBorder="1" applyAlignment="1">
      <alignment horizontal="center"/>
    </xf>
    <xf numFmtId="202" fontId="39" fillId="0" borderId="128" xfId="0" applyNumberFormat="1" applyFont="1" applyFill="1" applyBorder="1" applyAlignment="1">
      <alignment horizontal="right"/>
    </xf>
    <xf numFmtId="202" fontId="39" fillId="0" borderId="129" xfId="0" applyNumberFormat="1" applyFont="1" applyFill="1" applyBorder="1" applyAlignment="1">
      <alignment horizontal="right"/>
    </xf>
    <xf numFmtId="202" fontId="39" fillId="0" borderId="128" xfId="0" applyNumberFormat="1" applyFont="1" applyFill="1" applyBorder="1" applyAlignment="1">
      <alignment horizontal="center"/>
    </xf>
    <xf numFmtId="202" fontId="39" fillId="0" borderId="130" xfId="0" applyNumberFormat="1" applyFont="1" applyFill="1" applyBorder="1" applyAlignment="1">
      <alignment horizontal="right"/>
    </xf>
    <xf numFmtId="2" fontId="39" fillId="0" borderId="144" xfId="0" applyNumberFormat="1" applyFont="1" applyFill="1" applyBorder="1" applyAlignment="1">
      <alignment horizontal="right"/>
    </xf>
    <xf numFmtId="2" fontId="39" fillId="0" borderId="145" xfId="0" applyNumberFormat="1" applyFont="1" applyFill="1" applyBorder="1" applyAlignment="1">
      <alignment horizontal="right"/>
    </xf>
    <xf numFmtId="2" fontId="39" fillId="0" borderId="144" xfId="0" applyNumberFormat="1" applyFont="1" applyFill="1" applyBorder="1" applyAlignment="1">
      <alignment horizontal="center"/>
    </xf>
    <xf numFmtId="2" fontId="39" fillId="0" borderId="146" xfId="0" applyNumberFormat="1" applyFont="1" applyFill="1" applyBorder="1" applyAlignment="1">
      <alignment horizontal="right"/>
    </xf>
    <xf numFmtId="0" fontId="39" fillId="0" borderId="144" xfId="0" applyFont="1" applyFill="1" applyBorder="1" applyAlignment="1">
      <alignment horizontal="center"/>
    </xf>
    <xf numFmtId="10" fontId="39" fillId="35" borderId="128" xfId="0" applyNumberFormat="1" applyFont="1" applyFill="1" applyBorder="1" applyAlignment="1">
      <alignment horizontal="right"/>
    </xf>
    <xf numFmtId="10" fontId="39" fillId="35" borderId="129" xfId="0" applyNumberFormat="1" applyFont="1" applyFill="1" applyBorder="1" applyAlignment="1">
      <alignment horizontal="right"/>
    </xf>
    <xf numFmtId="10" fontId="39" fillId="35" borderId="128" xfId="0" applyNumberFormat="1" applyFont="1" applyFill="1" applyBorder="1" applyAlignment="1">
      <alignment horizontal="center"/>
    </xf>
    <xf numFmtId="10" fontId="39" fillId="35" borderId="130" xfId="0" applyNumberFormat="1" applyFont="1" applyFill="1" applyBorder="1" applyAlignment="1">
      <alignment horizontal="right"/>
    </xf>
    <xf numFmtId="0" fontId="39" fillId="35" borderId="128" xfId="0" applyFont="1" applyFill="1" applyBorder="1" applyAlignment="1">
      <alignment horizontal="center"/>
    </xf>
    <xf numFmtId="0" fontId="102" fillId="35" borderId="22" xfId="0" applyFont="1" applyFill="1" applyBorder="1" applyAlignment="1">
      <alignment horizontal="center" vertical="center"/>
    </xf>
    <xf numFmtId="0" fontId="39" fillId="42" borderId="99" xfId="0" applyFont="1" applyFill="1" applyBorder="1" applyAlignment="1">
      <alignment horizontal="left" vertical="center" wrapText="1"/>
    </xf>
    <xf numFmtId="198" fontId="39" fillId="42" borderId="99" xfId="0" applyNumberFormat="1" applyFont="1" applyFill="1" applyBorder="1" applyAlignment="1">
      <alignment horizontal="right" vertical="center" wrapText="1"/>
    </xf>
    <xf numFmtId="38" fontId="39" fillId="42" borderId="99" xfId="0" applyNumberFormat="1" applyFont="1" applyFill="1" applyBorder="1" applyAlignment="1">
      <alignment horizontal="right" vertical="center" wrapText="1"/>
    </xf>
    <xf numFmtId="0" fontId="39" fillId="0" borderId="99" xfId="0" applyFont="1" applyFill="1" applyBorder="1" applyAlignment="1">
      <alignment vertical="center" wrapText="1"/>
    </xf>
    <xf numFmtId="0" fontId="39" fillId="0" borderId="99" xfId="0" applyFont="1" applyFill="1" applyBorder="1" applyAlignment="1">
      <alignment horizontal="right" vertical="center" wrapText="1"/>
    </xf>
    <xf numFmtId="3" fontId="39" fillId="0" borderId="99" xfId="0" applyNumberFormat="1" applyFont="1" applyFill="1" applyBorder="1" applyAlignment="1">
      <alignment horizontal="right" vertical="center" wrapText="1"/>
    </xf>
    <xf numFmtId="14" fontId="39" fillId="0" borderId="99" xfId="0" applyNumberFormat="1" applyFont="1" applyFill="1" applyBorder="1" applyAlignment="1">
      <alignment horizontal="right" vertical="center" wrapText="1"/>
    </xf>
    <xf numFmtId="0" fontId="39" fillId="36" borderId="99" xfId="0" applyFont="1" applyFill="1" applyBorder="1" applyAlignment="1">
      <alignment vertical="center" wrapText="1"/>
    </xf>
    <xf numFmtId="0" fontId="39" fillId="36" borderId="99" xfId="0" applyFont="1" applyFill="1" applyBorder="1" applyAlignment="1">
      <alignment horizontal="right" vertical="center" wrapText="1"/>
    </xf>
    <xf numFmtId="3" fontId="39" fillId="36" borderId="99" xfId="0" applyNumberFormat="1" applyFont="1" applyFill="1" applyBorder="1" applyAlignment="1">
      <alignment horizontal="right" vertical="center" wrapText="1"/>
    </xf>
    <xf numFmtId="14" fontId="39" fillId="36" borderId="99" xfId="0" applyNumberFormat="1" applyFont="1" applyFill="1" applyBorder="1" applyAlignment="1">
      <alignment horizontal="right" vertical="center" wrapText="1"/>
    </xf>
    <xf numFmtId="0" fontId="49" fillId="0" borderId="137" xfId="0" applyFont="1" applyBorder="1"/>
    <xf numFmtId="0" fontId="49" fillId="0" borderId="99" xfId="0" applyFont="1" applyBorder="1"/>
    <xf numFmtId="0" fontId="49" fillId="0" borderId="135" xfId="0" applyFont="1" applyBorder="1" applyAlignment="1">
      <alignment horizontal="left"/>
    </xf>
    <xf numFmtId="0" fontId="49" fillId="0" borderId="0" xfId="0" applyFont="1"/>
    <xf numFmtId="0" fontId="73" fillId="0" borderId="0" xfId="0" applyFont="1" applyFill="1"/>
    <xf numFmtId="176" fontId="65" fillId="50" borderId="92" xfId="0" applyNumberFormat="1" applyFont="1" applyFill="1" applyBorder="1" applyAlignment="1">
      <alignment horizontal="right" vertical="center" wrapText="1"/>
    </xf>
    <xf numFmtId="0" fontId="39" fillId="36" borderId="0" xfId="0" applyFont="1" applyFill="1" applyAlignment="1">
      <alignment horizontal="left" vertical="center"/>
    </xf>
    <xf numFmtId="3" fontId="39" fillId="36" borderId="16" xfId="2" applyNumberFormat="1" applyFont="1" applyFill="1" applyBorder="1" applyAlignment="1">
      <alignment horizontal="right" vertical="center"/>
    </xf>
    <xf numFmtId="0" fontId="140" fillId="0" borderId="0" xfId="0" applyFont="1"/>
    <xf numFmtId="0" fontId="39" fillId="0" borderId="34" xfId="0" applyFont="1" applyBorder="1" applyAlignment="1"/>
    <xf numFmtId="192" fontId="43" fillId="0" borderId="34" xfId="0" applyNumberFormat="1" applyFont="1" applyFill="1" applyBorder="1"/>
    <xf numFmtId="0" fontId="39" fillId="0" borderId="134" xfId="0" applyFont="1" applyBorder="1" applyAlignment="1"/>
    <xf numFmtId="0" fontId="39" fillId="0" borderId="34" xfId="0" applyFont="1" applyFill="1" applyBorder="1" applyAlignment="1"/>
    <xf numFmtId="178" fontId="82" fillId="0" borderId="34" xfId="0" applyNumberFormat="1" applyFont="1" applyFill="1" applyBorder="1" applyAlignment="1">
      <alignment horizontal="right" vertical="center"/>
    </xf>
    <xf numFmtId="0" fontId="39" fillId="0" borderId="134" xfId="0" applyFont="1" applyFill="1" applyBorder="1" applyAlignment="1"/>
    <xf numFmtId="0" fontId="39" fillId="0" borderId="34" xfId="0" applyFont="1" applyFill="1" applyBorder="1" applyAlignment="1">
      <alignment horizontal="left"/>
    </xf>
    <xf numFmtId="178" fontId="39" fillId="0" borderId="34" xfId="0" applyNumberFormat="1" applyFont="1" applyFill="1" applyBorder="1" applyAlignment="1">
      <alignment horizontal="right" vertical="center"/>
    </xf>
    <xf numFmtId="189" fontId="39" fillId="0" borderId="34" xfId="0" applyNumberFormat="1" applyFont="1" applyFill="1" applyBorder="1" applyAlignment="1">
      <alignment horizontal="right" vertical="center"/>
    </xf>
    <xf numFmtId="0" fontId="39" fillId="0" borderId="134" xfId="0" applyFont="1" applyFill="1" applyBorder="1" applyAlignment="1">
      <alignment horizontal="left"/>
    </xf>
    <xf numFmtId="0" fontId="82" fillId="0" borderId="34" xfId="0" applyFont="1" applyBorder="1" applyAlignment="1">
      <alignment horizontal="left"/>
    </xf>
    <xf numFmtId="189" fontId="82" fillId="0" borderId="34" xfId="0" applyNumberFormat="1" applyFont="1" applyFill="1" applyBorder="1"/>
    <xf numFmtId="195" fontId="39" fillId="0" borderId="34" xfId="0" applyNumberFormat="1" applyFont="1" applyFill="1" applyBorder="1"/>
    <xf numFmtId="201" fontId="39" fillId="0" borderId="34" xfId="0" applyNumberFormat="1" applyFont="1" applyFill="1" applyBorder="1"/>
    <xf numFmtId="0" fontId="39" fillId="0" borderId="0" xfId="0" applyFont="1" applyAlignment="1">
      <alignment horizontal="right"/>
    </xf>
    <xf numFmtId="192" fontId="39" fillId="0" borderId="34" xfId="0" applyNumberFormat="1" applyFont="1" applyBorder="1" applyAlignment="1">
      <alignment horizontal="right"/>
    </xf>
    <xf numFmtId="166" fontId="39" fillId="0" borderId="34" xfId="1" applyNumberFormat="1" applyFont="1" applyBorder="1" applyAlignment="1">
      <alignment horizontal="right"/>
    </xf>
    <xf numFmtId="177" fontId="39" fillId="0" borderId="34" xfId="0" applyNumberFormat="1" applyFont="1" applyBorder="1" applyAlignment="1">
      <alignment horizontal="right"/>
    </xf>
    <xf numFmtId="176" fontId="45" fillId="0" borderId="34" xfId="0" applyNumberFormat="1" applyFont="1" applyFill="1" applyBorder="1" applyAlignment="1">
      <alignment horizontal="right" vertical="center" wrapText="1"/>
    </xf>
    <xf numFmtId="175" fontId="45" fillId="0" borderId="34" xfId="0" applyNumberFormat="1" applyFont="1" applyFill="1" applyBorder="1" applyAlignment="1">
      <alignment horizontal="right" vertical="center" wrapText="1"/>
    </xf>
    <xf numFmtId="0" fontId="142" fillId="50" borderId="22" xfId="0" applyFont="1" applyFill="1" applyBorder="1" applyAlignment="1">
      <alignment horizontal="center" vertical="center"/>
    </xf>
    <xf numFmtId="0" fontId="39" fillId="0" borderId="22" xfId="0" applyFont="1" applyFill="1" applyBorder="1"/>
    <xf numFmtId="166" fontId="39" fillId="0" borderId="22" xfId="0" applyNumberFormat="1" applyFont="1" applyFill="1" applyBorder="1" applyAlignment="1">
      <alignment horizontal="right"/>
    </xf>
    <xf numFmtId="166" fontId="39" fillId="0" borderId="22" xfId="0" applyNumberFormat="1" applyFont="1" applyFill="1" applyBorder="1" applyAlignment="1">
      <alignment horizontal="center"/>
    </xf>
    <xf numFmtId="0" fontId="39" fillId="0" borderId="22" xfId="0" applyFont="1" applyFill="1" applyBorder="1" applyAlignment="1">
      <alignment horizontal="center"/>
    </xf>
    <xf numFmtId="0" fontId="142" fillId="0" borderId="22" xfId="0" applyFont="1" applyFill="1" applyBorder="1" applyAlignment="1">
      <alignment horizontal="center" vertical="center"/>
    </xf>
    <xf numFmtId="0" fontId="39" fillId="36" borderId="22" xfId="0" applyFont="1" applyFill="1" applyBorder="1"/>
    <xf numFmtId="166" fontId="39" fillId="36" borderId="22" xfId="0" applyNumberFormat="1" applyFont="1" applyFill="1" applyBorder="1" applyAlignment="1">
      <alignment horizontal="right"/>
    </xf>
    <xf numFmtId="166" fontId="39" fillId="36" borderId="22" xfId="0" applyNumberFormat="1" applyFont="1" applyFill="1" applyBorder="1" applyAlignment="1">
      <alignment horizontal="center"/>
    </xf>
    <xf numFmtId="0" fontId="39" fillId="36" borderId="22" xfId="0" applyFont="1" applyFill="1" applyBorder="1" applyAlignment="1">
      <alignment horizontal="center"/>
    </xf>
    <xf numFmtId="0" fontId="142" fillId="36" borderId="22" xfId="0" applyFont="1" applyFill="1" applyBorder="1" applyAlignment="1">
      <alignment horizontal="center" vertical="center"/>
    </xf>
    <xf numFmtId="166" fontId="39" fillId="36" borderId="22" xfId="1" applyNumberFormat="1" applyFont="1" applyFill="1" applyBorder="1" applyAlignment="1">
      <alignment horizontal="right"/>
    </xf>
    <xf numFmtId="166" fontId="39" fillId="36" borderId="22" xfId="1" applyNumberFormat="1" applyFont="1" applyFill="1" applyBorder="1" applyAlignment="1">
      <alignment horizontal="left"/>
    </xf>
    <xf numFmtId="166" fontId="39" fillId="0" borderId="22" xfId="1" applyNumberFormat="1" applyFont="1" applyFill="1" applyBorder="1" applyAlignment="1">
      <alignment horizontal="right"/>
    </xf>
    <xf numFmtId="166" fontId="39" fillId="0" borderId="22" xfId="1" applyNumberFormat="1" applyFont="1" applyFill="1" applyBorder="1" applyAlignment="1">
      <alignment horizontal="left"/>
    </xf>
    <xf numFmtId="166" fontId="39" fillId="50" borderId="22" xfId="1" applyNumberFormat="1" applyFont="1" applyFill="1" applyBorder="1" applyAlignment="1">
      <alignment horizontal="right"/>
    </xf>
    <xf numFmtId="166" fontId="39" fillId="50" borderId="22" xfId="1" applyNumberFormat="1" applyFont="1" applyFill="1" applyBorder="1" applyAlignment="1">
      <alignment horizontal="left"/>
    </xf>
    <xf numFmtId="166" fontId="39" fillId="0" borderId="22" xfId="1" applyNumberFormat="1" applyFont="1" applyFill="1" applyBorder="1" applyAlignment="1">
      <alignment horizontal="center"/>
    </xf>
    <xf numFmtId="189" fontId="39" fillId="0" borderId="22" xfId="0" applyNumberFormat="1" applyFont="1" applyFill="1" applyBorder="1" applyAlignment="1">
      <alignment horizontal="right"/>
    </xf>
    <xf numFmtId="189" fontId="39" fillId="0" borderId="22" xfId="0" applyNumberFormat="1" applyFont="1" applyFill="1" applyBorder="1" applyAlignment="1">
      <alignment horizontal="center"/>
    </xf>
    <xf numFmtId="195" fontId="39" fillId="0" borderId="22" xfId="44" applyNumberFormat="1" applyFont="1" applyFill="1" applyBorder="1" applyAlignment="1">
      <alignment horizontal="right"/>
    </xf>
    <xf numFmtId="195" fontId="39" fillId="0" borderId="22" xfId="44" applyNumberFormat="1" applyFont="1" applyFill="1" applyBorder="1" applyAlignment="1">
      <alignment horizontal="center"/>
    </xf>
    <xf numFmtId="2" fontId="141" fillId="50" borderId="81" xfId="0" applyNumberFormat="1" applyFont="1" applyFill="1" applyBorder="1"/>
    <xf numFmtId="1" fontId="39" fillId="0" borderId="0" xfId="0" applyNumberFormat="1" applyFont="1" applyBorder="1" applyAlignment="1">
      <alignment horizontal="right" vertical="center"/>
    </xf>
    <xf numFmtId="0" fontId="33" fillId="38" borderId="13" xfId="0" applyFont="1" applyFill="1" applyBorder="1" applyAlignment="1">
      <alignment vertical="center"/>
    </xf>
    <xf numFmtId="0" fontId="35" fillId="38" borderId="13" xfId="0" applyFont="1" applyFill="1" applyBorder="1" applyAlignment="1">
      <alignment vertical="center"/>
    </xf>
    <xf numFmtId="0" fontId="35" fillId="38" borderId="13" xfId="0" applyFont="1" applyFill="1" applyBorder="1" applyAlignment="1">
      <alignment horizontal="center" vertical="center"/>
    </xf>
    <xf numFmtId="0" fontId="35" fillId="38" borderId="13" xfId="0" applyFont="1" applyFill="1" applyBorder="1" applyAlignment="1">
      <alignment horizontal="left" vertical="center"/>
    </xf>
    <xf numFmtId="0" fontId="145" fillId="0" borderId="149" xfId="0" applyFont="1" applyBorder="1" applyAlignment="1">
      <alignment horizontal="left" vertical="center" readingOrder="1"/>
    </xf>
    <xf numFmtId="0" fontId="138" fillId="0" borderId="149" xfId="0" applyFont="1" applyBorder="1"/>
    <xf numFmtId="0" fontId="146" fillId="40" borderId="0" xfId="0" applyFont="1" applyFill="1" applyBorder="1" applyAlignment="1">
      <alignment horizontal="center" vertical="center"/>
    </xf>
    <xf numFmtId="0" fontId="146" fillId="40" borderId="49" xfId="0" applyNumberFormat="1" applyFont="1" applyFill="1" applyBorder="1" applyAlignment="1">
      <alignment horizontal="center" vertical="center"/>
    </xf>
    <xf numFmtId="0" fontId="146" fillId="40" borderId="74" xfId="0" applyNumberFormat="1" applyFont="1" applyFill="1" applyBorder="1" applyAlignment="1">
      <alignment horizontal="center" vertical="center"/>
    </xf>
    <xf numFmtId="0" fontId="147" fillId="40" borderId="74" xfId="0" applyNumberFormat="1" applyFont="1" applyFill="1" applyBorder="1" applyAlignment="1">
      <alignment horizontal="center" vertical="center"/>
    </xf>
    <xf numFmtId="0" fontId="147" fillId="40" borderId="0" xfId="0" applyNumberFormat="1" applyFont="1" applyFill="1" applyBorder="1" applyAlignment="1">
      <alignment horizontal="center" vertical="center"/>
    </xf>
    <xf numFmtId="0" fontId="146" fillId="40" borderId="0" xfId="0" applyNumberFormat="1" applyFont="1" applyFill="1" applyBorder="1" applyAlignment="1">
      <alignment horizontal="center" vertical="center"/>
    </xf>
    <xf numFmtId="0" fontId="146" fillId="40" borderId="74" xfId="0" applyFont="1" applyFill="1" applyBorder="1" applyAlignment="1">
      <alignment horizontal="center" vertical="center"/>
    </xf>
    <xf numFmtId="0" fontId="146" fillId="40" borderId="0" xfId="0" applyFont="1" applyFill="1" applyBorder="1" applyAlignment="1">
      <alignment horizontal="left" vertical="center"/>
    </xf>
    <xf numFmtId="0" fontId="146" fillId="40" borderId="16" xfId="0" applyFont="1" applyFill="1" applyBorder="1" applyAlignment="1">
      <alignment horizontal="left" vertical="center"/>
    </xf>
    <xf numFmtId="0" fontId="77" fillId="38" borderId="0" xfId="0" applyFont="1" applyFill="1" applyAlignment="1">
      <alignment vertical="center"/>
    </xf>
    <xf numFmtId="0" fontId="52" fillId="38" borderId="0" xfId="0" applyFont="1" applyFill="1" applyAlignment="1">
      <alignment horizontal="left" vertical="center"/>
    </xf>
    <xf numFmtId="0" fontId="80" fillId="38" borderId="0" xfId="0" applyFont="1" applyFill="1" applyBorder="1" applyAlignment="1">
      <alignment horizontal="center" vertical="center"/>
    </xf>
    <xf numFmtId="182" fontId="44" fillId="38" borderId="0" xfId="0" applyNumberFormat="1" applyFont="1" applyFill="1" applyAlignment="1">
      <alignment horizontal="left" vertical="center"/>
    </xf>
    <xf numFmtId="0" fontId="79" fillId="38" borderId="0" xfId="0" applyFont="1" applyFill="1" applyBorder="1" applyAlignment="1">
      <alignment horizontal="center" vertical="center"/>
    </xf>
    <xf numFmtId="0" fontId="44" fillId="38" borderId="0" xfId="0" applyFont="1" applyFill="1" applyAlignment="1">
      <alignment horizontal="left" vertical="center"/>
    </xf>
    <xf numFmtId="0" fontId="44" fillId="38" borderId="0" xfId="0" applyFont="1" applyFill="1" applyAlignment="1">
      <alignment horizontal="center" vertical="center"/>
    </xf>
    <xf numFmtId="0" fontId="44" fillId="38" borderId="0" xfId="0" applyFont="1" applyFill="1" applyAlignment="1">
      <alignment vertical="center"/>
    </xf>
    <xf numFmtId="0" fontId="33" fillId="38" borderId="13" xfId="0" applyFont="1" applyFill="1" applyBorder="1" applyAlignment="1">
      <alignment horizontal="right" vertical="center"/>
    </xf>
    <xf numFmtId="0" fontId="126" fillId="38" borderId="0" xfId="0" applyFont="1" applyFill="1" applyBorder="1" applyAlignment="1">
      <alignment vertical="center"/>
    </xf>
    <xf numFmtId="0" fontId="127" fillId="38" borderId="0" xfId="0" applyFont="1" applyFill="1" applyBorder="1" applyAlignment="1">
      <alignment vertical="center"/>
    </xf>
    <xf numFmtId="14" fontId="126" fillId="38" borderId="0" xfId="0" applyNumberFormat="1" applyFont="1" applyFill="1" applyBorder="1" applyAlignment="1">
      <alignment horizontal="left" vertical="center" indent="1"/>
    </xf>
    <xf numFmtId="0" fontId="128" fillId="38" borderId="0" xfId="0" applyFont="1" applyFill="1" applyBorder="1" applyAlignment="1">
      <alignment horizontal="right" vertical="center"/>
    </xf>
    <xf numFmtId="0" fontId="128" fillId="38" borderId="0" xfId="0" applyFont="1" applyFill="1" applyBorder="1" applyAlignment="1">
      <alignment horizontal="left" vertical="center"/>
    </xf>
    <xf numFmtId="0" fontId="126" fillId="38" borderId="0" xfId="0" applyFont="1" applyFill="1" applyBorder="1" applyAlignment="1">
      <alignment horizontal="left" vertical="center" indent="1"/>
    </xf>
    <xf numFmtId="0" fontId="128" fillId="38" borderId="0" xfId="0" applyFont="1" applyFill="1" applyBorder="1" applyAlignment="1">
      <alignment horizontal="center" vertical="center"/>
    </xf>
    <xf numFmtId="0" fontId="127" fillId="38" borderId="0" xfId="0" applyFont="1" applyFill="1" applyBorder="1" applyAlignment="1">
      <alignment horizontal="right" vertical="center"/>
    </xf>
    <xf numFmtId="0" fontId="39" fillId="50" borderId="0" xfId="0" applyFont="1" applyFill="1" applyBorder="1" applyAlignment="1">
      <alignment horizontal="left"/>
    </xf>
    <xf numFmtId="184" fontId="43" fillId="50" borderId="150" xfId="0" applyNumberFormat="1" applyFont="1" applyFill="1" applyBorder="1" applyAlignment="1">
      <alignment horizontal="center" vertical="center" wrapText="1"/>
    </xf>
    <xf numFmtId="0" fontId="33" fillId="38" borderId="0" xfId="0" applyFont="1" applyFill="1" applyBorder="1" applyAlignment="1">
      <alignment vertical="center"/>
    </xf>
    <xf numFmtId="0" fontId="32" fillId="38" borderId="0" xfId="0" applyFont="1" applyFill="1" applyBorder="1" applyAlignment="1">
      <alignment vertical="center"/>
    </xf>
    <xf numFmtId="0" fontId="34" fillId="38" borderId="0" xfId="0" applyFont="1" applyFill="1" applyBorder="1"/>
    <xf numFmtId="0" fontId="34" fillId="38" borderId="0" xfId="0" applyFont="1" applyFill="1" applyBorder="1" applyAlignment="1">
      <alignment horizontal="center"/>
    </xf>
    <xf numFmtId="0" fontId="34" fillId="38" borderId="0" xfId="0" applyFont="1" applyFill="1" applyBorder="1" applyAlignment="1">
      <alignment horizontal="left"/>
    </xf>
    <xf numFmtId="0" fontId="35" fillId="38" borderId="0" xfId="0" applyFont="1" applyFill="1" applyBorder="1" applyAlignment="1">
      <alignment horizontal="right" vertical="center"/>
    </xf>
    <xf numFmtId="0" fontId="33" fillId="38" borderId="0" xfId="0" applyFont="1" applyFill="1" applyBorder="1" applyAlignment="1">
      <alignment horizontal="right" vertical="center"/>
    </xf>
    <xf numFmtId="0" fontId="79" fillId="38" borderId="0" xfId="0" applyFont="1" applyFill="1" applyBorder="1" applyAlignment="1">
      <alignment horizontal="left" vertical="center"/>
    </xf>
    <xf numFmtId="14" fontId="79" fillId="38" borderId="0" xfId="0" applyNumberFormat="1" applyFont="1" applyFill="1" applyBorder="1" applyAlignment="1">
      <alignment horizontal="right" vertical="center"/>
    </xf>
    <xf numFmtId="0" fontId="79" fillId="38" borderId="0" xfId="0" applyFont="1" applyFill="1" applyBorder="1" applyAlignment="1">
      <alignment horizontal="right" vertical="center"/>
    </xf>
    <xf numFmtId="0" fontId="44" fillId="38" borderId="0" xfId="0" applyFont="1" applyFill="1" applyAlignment="1">
      <alignment horizontal="left"/>
    </xf>
    <xf numFmtId="0" fontId="38" fillId="38" borderId="0" xfId="0" applyFont="1" applyFill="1"/>
    <xf numFmtId="0" fontId="52" fillId="38" borderId="0" xfId="0" applyFont="1" applyFill="1"/>
    <xf numFmtId="185" fontId="79" fillId="38" borderId="0" xfId="0" applyNumberFormat="1" applyFont="1" applyFill="1" applyBorder="1" applyAlignment="1">
      <alignment horizontal="right" vertical="center"/>
    </xf>
    <xf numFmtId="176" fontId="45" fillId="50" borderId="99" xfId="0" applyNumberFormat="1" applyFont="1" applyFill="1" applyBorder="1" applyAlignment="1">
      <alignment horizontal="right" vertical="center" wrapText="1"/>
    </xf>
    <xf numFmtId="0" fontId="43" fillId="50" borderId="99" xfId="0" applyNumberFormat="1" applyFont="1" applyFill="1" applyBorder="1" applyAlignment="1">
      <alignment horizontal="right" vertical="center" wrapText="1"/>
    </xf>
    <xf numFmtId="176" fontId="66" fillId="50" borderId="135" xfId="0" applyNumberFormat="1" applyFont="1" applyFill="1" applyBorder="1" applyAlignment="1">
      <alignment vertical="center"/>
    </xf>
    <xf numFmtId="176" fontId="65" fillId="50" borderId="137" xfId="0" applyNumberFormat="1" applyFont="1" applyFill="1" applyBorder="1" applyAlignment="1">
      <alignment horizontal="right" vertical="center" wrapText="1"/>
    </xf>
    <xf numFmtId="14" fontId="79" fillId="38" borderId="0" xfId="0" applyNumberFormat="1" applyFont="1" applyFill="1" applyBorder="1" applyAlignment="1">
      <alignment horizontal="left" vertical="center"/>
    </xf>
    <xf numFmtId="0" fontId="86" fillId="38" borderId="0" xfId="0" applyFont="1" applyFill="1" applyBorder="1" applyAlignment="1">
      <alignment horizontal="right" vertical="center"/>
    </xf>
    <xf numFmtId="14" fontId="86" fillId="38" borderId="0" xfId="0" applyNumberFormat="1" applyFont="1" applyFill="1" applyBorder="1" applyAlignment="1">
      <alignment horizontal="right" vertical="center"/>
    </xf>
    <xf numFmtId="14" fontId="38" fillId="38" borderId="0" xfId="0" applyNumberFormat="1" applyFont="1" applyFill="1"/>
    <xf numFmtId="0" fontId="33" fillId="38" borderId="13" xfId="0" applyFont="1" applyFill="1" applyBorder="1" applyAlignment="1">
      <alignment vertical="center" wrapText="1"/>
    </xf>
    <xf numFmtId="14" fontId="33" fillId="38" borderId="13" xfId="0" applyNumberFormat="1" applyFont="1" applyFill="1" applyBorder="1" applyAlignment="1">
      <alignment horizontal="right" vertical="center"/>
    </xf>
    <xf numFmtId="0" fontId="39" fillId="38" borderId="0" xfId="0" applyFont="1" applyFill="1"/>
    <xf numFmtId="199" fontId="39" fillId="38" borderId="0" xfId="0" applyNumberFormat="1" applyFont="1" applyFill="1"/>
    <xf numFmtId="197" fontId="39" fillId="38" borderId="0" xfId="0" applyNumberFormat="1" applyFont="1" applyFill="1"/>
    <xf numFmtId="38" fontId="39" fillId="38" borderId="0" xfId="0" applyNumberFormat="1" applyFont="1" applyFill="1"/>
    <xf numFmtId="199" fontId="33" fillId="38" borderId="13" xfId="0" applyNumberFormat="1" applyFont="1" applyFill="1" applyBorder="1" applyAlignment="1">
      <alignment vertical="center"/>
    </xf>
    <xf numFmtId="197" fontId="33" fillId="38" borderId="13" xfId="0" applyNumberFormat="1" applyFont="1" applyFill="1" applyBorder="1" applyAlignment="1">
      <alignment vertical="center"/>
    </xf>
    <xf numFmtId="38" fontId="33" fillId="38" borderId="13" xfId="0" applyNumberFormat="1" applyFont="1" applyFill="1" applyBorder="1" applyAlignment="1">
      <alignment vertical="center"/>
    </xf>
    <xf numFmtId="0" fontId="52" fillId="38" borderId="0" xfId="0" applyFont="1" applyFill="1" applyAlignment="1">
      <alignment vertical="center"/>
    </xf>
    <xf numFmtId="14" fontId="52" fillId="38" borderId="0" xfId="0" applyNumberFormat="1" applyFont="1" applyFill="1" applyAlignment="1">
      <alignment vertical="center"/>
    </xf>
    <xf numFmtId="172" fontId="149" fillId="55" borderId="47" xfId="0" applyNumberFormat="1" applyFont="1" applyFill="1" applyBorder="1" applyAlignment="1">
      <alignment horizontal="left" vertical="center" wrapText="1"/>
    </xf>
    <xf numFmtId="3" fontId="148" fillId="55" borderId="47" xfId="2" applyNumberFormat="1" applyFont="1" applyFill="1" applyBorder="1" applyAlignment="1">
      <alignment horizontal="right" vertical="center"/>
    </xf>
    <xf numFmtId="37" fontId="148" fillId="55" borderId="47" xfId="44" applyNumberFormat="1" applyFont="1" applyFill="1" applyBorder="1" applyAlignment="1">
      <alignment horizontal="right" vertical="center"/>
    </xf>
    <xf numFmtId="0" fontId="148" fillId="36" borderId="0" xfId="0" applyFont="1" applyFill="1" applyBorder="1" applyAlignment="1">
      <alignment horizontal="left" vertical="center"/>
    </xf>
    <xf numFmtId="0" fontId="148" fillId="36" borderId="0" xfId="0" applyFont="1" applyFill="1" applyAlignment="1">
      <alignment horizontal="left" vertical="center"/>
    </xf>
    <xf numFmtId="0" fontId="148" fillId="36" borderId="49" xfId="0" applyFont="1" applyFill="1" applyBorder="1" applyAlignment="1">
      <alignment horizontal="left" vertical="center" indent="2"/>
    </xf>
    <xf numFmtId="0" fontId="148" fillId="0" borderId="0" xfId="0" applyNumberFormat="1" applyFont="1" applyFill="1" applyBorder="1" applyAlignment="1">
      <alignment horizontal="left" vertical="center"/>
    </xf>
    <xf numFmtId="0" fontId="150" fillId="0" borderId="0" xfId="0" applyFont="1" applyAlignment="1">
      <alignment horizontal="left" vertical="center" indent="1"/>
    </xf>
    <xf numFmtId="0" fontId="149" fillId="36" borderId="0" xfId="0" applyFont="1" applyFill="1" applyAlignment="1">
      <alignment horizontal="left" vertical="center"/>
    </xf>
    <xf numFmtId="0" fontId="151" fillId="0" borderId="0" xfId="0" applyFont="1" applyAlignment="1">
      <alignment horizontal="left" vertical="center"/>
    </xf>
    <xf numFmtId="0" fontId="152" fillId="36" borderId="0" xfId="0" applyFont="1" applyFill="1" applyBorder="1" applyAlignment="1">
      <alignment horizontal="left" vertical="center" indent="1"/>
    </xf>
    <xf numFmtId="0" fontId="152" fillId="0" borderId="0" xfId="0" applyNumberFormat="1" applyFont="1" applyFill="1" applyBorder="1" applyAlignment="1">
      <alignment horizontal="left" vertical="center" indent="1"/>
    </xf>
    <xf numFmtId="0" fontId="153" fillId="36" borderId="0" xfId="0" applyFont="1" applyFill="1" applyBorder="1" applyAlignment="1">
      <alignment horizontal="left" vertical="center"/>
    </xf>
    <xf numFmtId="0" fontId="153" fillId="36" borderId="0" xfId="0" applyFont="1" applyFill="1" applyAlignment="1">
      <alignment vertical="center"/>
    </xf>
    <xf numFmtId="0" fontId="153" fillId="0" borderId="0" xfId="0" applyFont="1" applyFill="1" applyAlignment="1">
      <alignment vertical="center"/>
    </xf>
    <xf numFmtId="0" fontId="155" fillId="50" borderId="124" xfId="0" applyFont="1" applyFill="1" applyBorder="1" applyAlignment="1">
      <alignment vertical="center" wrapText="1"/>
    </xf>
    <xf numFmtId="14" fontId="156" fillId="50" borderId="125" xfId="0" applyNumberFormat="1" applyFont="1" applyFill="1" applyBorder="1" applyAlignment="1">
      <alignment horizontal="centerContinuous" vertical="center"/>
    </xf>
    <xf numFmtId="0" fontId="148" fillId="35" borderId="128" xfId="0" applyFont="1" applyFill="1" applyBorder="1"/>
    <xf numFmtId="0" fontId="148" fillId="0" borderId="128" xfId="0" applyFont="1" applyFill="1" applyBorder="1"/>
    <xf numFmtId="0" fontId="148" fillId="0" borderId="144" xfId="0" applyFont="1" applyFill="1" applyBorder="1"/>
    <xf numFmtId="176" fontId="152" fillId="50" borderId="99" xfId="0" applyNumberFormat="1" applyFont="1" applyFill="1" applyBorder="1" applyAlignment="1">
      <alignment vertical="center"/>
    </xf>
    <xf numFmtId="184" fontId="148" fillId="50" borderId="99" xfId="0" applyNumberFormat="1" applyFont="1" applyFill="1" applyBorder="1" applyAlignment="1">
      <alignment horizontal="center" vertical="center" wrapText="1"/>
    </xf>
    <xf numFmtId="184" fontId="149" fillId="50" borderId="99" xfId="0" applyNumberFormat="1" applyFont="1" applyFill="1" applyBorder="1" applyAlignment="1">
      <alignment horizontal="center" vertical="center" wrapText="1"/>
    </xf>
    <xf numFmtId="0" fontId="148" fillId="0" borderId="34" xfId="0" applyFont="1" applyFill="1" applyBorder="1"/>
    <xf numFmtId="176" fontId="149" fillId="0" borderId="136" xfId="0" applyNumberFormat="1" applyFont="1" applyFill="1" applyBorder="1" applyAlignment="1">
      <alignment horizontal="left" vertical="center"/>
    </xf>
    <xf numFmtId="0" fontId="148" fillId="0" borderId="34" xfId="0" applyFont="1" applyBorder="1" applyAlignment="1">
      <alignment vertical="center"/>
    </xf>
    <xf numFmtId="0" fontId="148" fillId="0" borderId="85" xfId="0" applyFont="1" applyBorder="1" applyAlignment="1">
      <alignment vertical="center"/>
    </xf>
    <xf numFmtId="0" fontId="148" fillId="0" borderId="34" xfId="0" applyFont="1" applyBorder="1" applyAlignment="1">
      <alignment horizontal="left" vertical="center"/>
    </xf>
    <xf numFmtId="0" fontId="148" fillId="0" borderId="34" xfId="0" applyFont="1" applyBorder="1"/>
    <xf numFmtId="176" fontId="152" fillId="50" borderId="141" xfId="0" applyNumberFormat="1" applyFont="1" applyFill="1" applyBorder="1" applyAlignment="1">
      <alignment vertical="center"/>
    </xf>
    <xf numFmtId="0" fontId="149" fillId="0" borderId="34" xfId="0" applyFont="1" applyFill="1" applyBorder="1" applyAlignment="1">
      <alignment vertical="center"/>
    </xf>
    <xf numFmtId="0" fontId="152" fillId="0" borderId="34" xfId="0" applyFont="1" applyBorder="1" applyAlignment="1">
      <alignment horizontal="left" vertical="center" indent="1"/>
    </xf>
    <xf numFmtId="0" fontId="148" fillId="0" borderId="134" xfId="0" applyFont="1" applyBorder="1" applyAlignment="1">
      <alignment vertical="center"/>
    </xf>
    <xf numFmtId="0" fontId="148" fillId="0" borderId="34" xfId="0" applyFont="1" applyBorder="1" applyAlignment="1">
      <alignment horizontal="left" vertical="center" indent="1"/>
    </xf>
    <xf numFmtId="0" fontId="148" fillId="0" borderId="34" xfId="0" applyFont="1" applyFill="1" applyBorder="1" applyAlignment="1">
      <alignment vertical="center"/>
    </xf>
    <xf numFmtId="184" fontId="149" fillId="50" borderId="127" xfId="0" applyNumberFormat="1" applyFont="1" applyFill="1" applyBorder="1" applyAlignment="1">
      <alignment horizontal="center" vertical="center" wrapText="1"/>
    </xf>
    <xf numFmtId="0" fontId="153" fillId="0" borderId="93" xfId="0" applyFont="1" applyBorder="1" applyAlignment="1">
      <alignment vertical="center"/>
    </xf>
    <xf numFmtId="0" fontId="153" fillId="0" borderId="93" xfId="0" applyFont="1" applyFill="1" applyBorder="1" applyAlignment="1">
      <alignment vertical="center"/>
    </xf>
    <xf numFmtId="176" fontId="155" fillId="50" borderId="99" xfId="0" applyNumberFormat="1" applyFont="1" applyFill="1" applyBorder="1" applyAlignment="1">
      <alignment vertical="center"/>
    </xf>
    <xf numFmtId="176" fontId="154" fillId="50" borderId="99" xfId="0" applyNumberFormat="1" applyFont="1" applyFill="1" applyBorder="1" applyAlignment="1">
      <alignment horizontal="right" vertical="center" wrapText="1"/>
    </xf>
    <xf numFmtId="0" fontId="149" fillId="50" borderId="99" xfId="0" applyNumberFormat="1" applyFont="1" applyFill="1" applyBorder="1" applyAlignment="1">
      <alignment horizontal="right" vertical="center" wrapText="1"/>
    </xf>
    <xf numFmtId="176" fontId="149" fillId="0" borderId="34" xfId="0" applyNumberFormat="1" applyFont="1" applyFill="1" applyBorder="1" applyAlignment="1">
      <alignment vertical="center"/>
    </xf>
    <xf numFmtId="0" fontId="152" fillId="0" borderId="34" xfId="0" applyFont="1" applyBorder="1"/>
    <xf numFmtId="0" fontId="149" fillId="0" borderId="34" xfId="0" applyFont="1" applyBorder="1"/>
    <xf numFmtId="176" fontId="148" fillId="0" borderId="34" xfId="0" applyNumberFormat="1" applyFont="1" applyFill="1" applyBorder="1" applyAlignment="1">
      <alignment vertical="center"/>
    </xf>
    <xf numFmtId="0" fontId="152" fillId="0" borderId="34" xfId="0" applyFont="1" applyBorder="1" applyAlignment="1"/>
    <xf numFmtId="0" fontId="148" fillId="50" borderId="99" xfId="0" applyFont="1" applyFill="1" applyBorder="1" applyAlignment="1">
      <alignment horizontal="left"/>
    </xf>
    <xf numFmtId="0" fontId="148" fillId="0" borderId="134" xfId="0" applyFont="1" applyBorder="1" applyAlignment="1">
      <alignment horizontal="left" vertical="center" indent="1"/>
    </xf>
    <xf numFmtId="0" fontId="152" fillId="0" borderId="34" xfId="0" applyFont="1" applyFill="1" applyBorder="1" applyAlignment="1">
      <alignment horizontal="left" vertical="center" indent="1"/>
    </xf>
    <xf numFmtId="0" fontId="148" fillId="0" borderId="134" xfId="0" applyFont="1" applyFill="1" applyBorder="1" applyAlignment="1">
      <alignment vertical="center"/>
    </xf>
    <xf numFmtId="0" fontId="148" fillId="0" borderId="34" xfId="0" applyFont="1" applyFill="1" applyBorder="1" applyAlignment="1">
      <alignment horizontal="left" vertical="center" indent="1"/>
    </xf>
    <xf numFmtId="184" fontId="148" fillId="50" borderId="127" xfId="0" applyNumberFormat="1" applyFont="1" applyFill="1" applyBorder="1" applyAlignment="1">
      <alignment horizontal="center" vertical="center" wrapText="1"/>
    </xf>
    <xf numFmtId="176" fontId="155" fillId="50" borderId="34" xfId="0" applyNumberFormat="1" applyFont="1" applyFill="1" applyBorder="1" applyAlignment="1">
      <alignment vertical="center"/>
    </xf>
    <xf numFmtId="0" fontId="149" fillId="50" borderId="34" xfId="0" applyNumberFormat="1" applyFont="1" applyFill="1" applyBorder="1" applyAlignment="1">
      <alignment horizontal="right" vertical="center" wrapText="1"/>
    </xf>
    <xf numFmtId="176" fontId="154" fillId="50" borderId="34" xfId="0" applyNumberFormat="1" applyFont="1" applyFill="1" applyBorder="1" applyAlignment="1">
      <alignment horizontal="right" vertical="center" wrapText="1"/>
    </xf>
    <xf numFmtId="176" fontId="155" fillId="50" borderId="93" xfId="0" applyNumberFormat="1" applyFont="1" applyFill="1" applyBorder="1" applyAlignment="1">
      <alignment vertical="center"/>
    </xf>
    <xf numFmtId="0" fontId="148" fillId="0" borderId="98" xfId="0" applyFont="1" applyBorder="1"/>
    <xf numFmtId="0" fontId="148" fillId="0" borderId="88" xfId="0" applyFont="1" applyBorder="1"/>
    <xf numFmtId="0" fontId="148" fillId="50" borderId="22" xfId="0" applyFont="1" applyFill="1" applyBorder="1"/>
    <xf numFmtId="0" fontId="148" fillId="0" borderId="22" xfId="0" applyFont="1" applyFill="1" applyBorder="1"/>
    <xf numFmtId="0" fontId="148" fillId="36" borderId="22" xfId="0" applyFont="1" applyFill="1" applyBorder="1"/>
    <xf numFmtId="0" fontId="149" fillId="0" borderId="0" xfId="0" applyFont="1" applyAlignment="1"/>
    <xf numFmtId="0" fontId="35" fillId="38" borderId="0" xfId="0" applyFont="1" applyFill="1" applyBorder="1"/>
    <xf numFmtId="0" fontId="35" fillId="38" borderId="0" xfId="0" applyFont="1" applyFill="1"/>
    <xf numFmtId="0" fontId="33" fillId="38" borderId="0" xfId="0" applyFont="1" applyFill="1" applyAlignment="1">
      <alignment horizontal="right" vertical="center"/>
    </xf>
    <xf numFmtId="0" fontId="139" fillId="0" borderId="149" xfId="0" applyFont="1" applyBorder="1"/>
    <xf numFmtId="1" fontId="39" fillId="0" borderId="0" xfId="2" applyNumberFormat="1" applyFont="1" applyAlignment="1">
      <alignment horizontal="center"/>
    </xf>
    <xf numFmtId="176" fontId="157" fillId="0" borderId="151" xfId="0" applyNumberFormat="1" applyFont="1" applyBorder="1" applyAlignment="1">
      <alignment horizontal="left"/>
    </xf>
    <xf numFmtId="176" fontId="157" fillId="0" borderId="151" xfId="0" applyNumberFormat="1" applyFont="1" applyBorder="1" applyAlignment="1">
      <alignment horizontal="centerContinuous"/>
    </xf>
    <xf numFmtId="176" fontId="69" fillId="0" borderId="151" xfId="0" applyNumberFormat="1" applyFont="1" applyBorder="1" applyAlignment="1">
      <alignment horizontal="centerContinuous"/>
    </xf>
    <xf numFmtId="176" fontId="70" fillId="0" borderId="151" xfId="0" applyNumberFormat="1" applyFont="1" applyBorder="1" applyAlignment="1">
      <alignment horizontal="right"/>
    </xf>
    <xf numFmtId="176" fontId="69" fillId="0" borderId="151" xfId="0" applyNumberFormat="1" applyFont="1" applyBorder="1" applyAlignment="1">
      <alignment horizontal="left"/>
    </xf>
    <xf numFmtId="176" fontId="157" fillId="0" borderId="151" xfId="0" applyNumberFormat="1" applyFont="1" applyFill="1" applyBorder="1" applyAlignment="1">
      <alignment horizontal="left"/>
    </xf>
    <xf numFmtId="176" fontId="158" fillId="0" borderId="151" xfId="0" applyNumberFormat="1" applyFont="1" applyFill="1" applyBorder="1" applyAlignment="1">
      <alignment horizontal="right"/>
    </xf>
    <xf numFmtId="0" fontId="157" fillId="0" borderId="0" xfId="0" applyFont="1" applyFill="1" applyAlignment="1"/>
    <xf numFmtId="0" fontId="157" fillId="0" borderId="0" xfId="0" applyFont="1" applyFill="1" applyAlignment="1">
      <alignment horizontal="right"/>
    </xf>
    <xf numFmtId="0" fontId="159" fillId="0" borderId="0" xfId="0" applyFont="1" applyFill="1" applyAlignment="1"/>
    <xf numFmtId="0" fontId="157" fillId="0" borderId="0" xfId="0" applyNumberFormat="1" applyFont="1" applyFill="1" applyAlignment="1">
      <alignment horizontal="right"/>
    </xf>
    <xf numFmtId="176" fontId="67" fillId="39" borderId="152" xfId="0" applyNumberFormat="1" applyFont="1" applyFill="1" applyBorder="1" applyAlignment="1">
      <alignment horizontal="left"/>
    </xf>
    <xf numFmtId="176" fontId="67" fillId="39" borderId="153" xfId="0" applyNumberFormat="1" applyFont="1" applyFill="1" applyBorder="1" applyAlignment="1">
      <alignment horizontal="center"/>
    </xf>
    <xf numFmtId="14" fontId="67" fillId="39" borderId="154" xfId="0" applyNumberFormat="1" applyFont="1" applyFill="1" applyBorder="1" applyAlignment="1">
      <alignment horizontal="centerContinuous" vertical="center"/>
    </xf>
    <xf numFmtId="14" fontId="67" fillId="39" borderId="155" xfId="0" applyNumberFormat="1" applyFont="1" applyFill="1" applyBorder="1" applyAlignment="1">
      <alignment horizontal="centerContinuous" vertical="center"/>
    </xf>
    <xf numFmtId="14" fontId="67" fillId="39" borderId="156" xfId="0" applyNumberFormat="1" applyFont="1" applyFill="1" applyBorder="1" applyAlignment="1">
      <alignment horizontal="centerContinuous" vertical="center"/>
    </xf>
    <xf numFmtId="14" fontId="67" fillId="39" borderId="157" xfId="0" applyNumberFormat="1" applyFont="1" applyFill="1" applyBorder="1" applyAlignment="1">
      <alignment horizontal="centerContinuous" vertical="center"/>
    </xf>
    <xf numFmtId="14" fontId="67" fillId="39" borderId="158" xfId="0" applyNumberFormat="1" applyFont="1" applyFill="1" applyBorder="1" applyAlignment="1">
      <alignment horizontal="centerContinuous" vertical="center"/>
    </xf>
    <xf numFmtId="14" fontId="67" fillId="39" borderId="159" xfId="0" applyNumberFormat="1" applyFont="1" applyFill="1" applyBorder="1" applyAlignment="1">
      <alignment horizontal="centerContinuous" vertical="center"/>
    </xf>
    <xf numFmtId="0" fontId="160" fillId="0" borderId="0" xfId="0" applyFont="1" applyFill="1" applyBorder="1" applyAlignment="1">
      <alignment horizontal="left" vertical="center"/>
    </xf>
    <xf numFmtId="176" fontId="36" fillId="39" borderId="160" xfId="0" applyNumberFormat="1" applyFont="1" applyFill="1" applyBorder="1" applyAlignment="1">
      <alignment vertical="center" wrapText="1"/>
    </xf>
    <xf numFmtId="0" fontId="38" fillId="39" borderId="161" xfId="0" applyFont="1" applyFill="1" applyBorder="1" applyAlignment="1">
      <alignment horizontal="right"/>
    </xf>
    <xf numFmtId="176" fontId="36" fillId="39" borderId="161" xfId="0" applyNumberFormat="1" applyFont="1" applyFill="1" applyBorder="1" applyAlignment="1">
      <alignment horizontal="centerContinuous" vertical="center" wrapText="1"/>
    </xf>
    <xf numFmtId="0" fontId="38" fillId="39" borderId="161" xfId="0" applyFont="1" applyFill="1" applyBorder="1"/>
    <xf numFmtId="14" fontId="36" fillId="39" borderId="161" xfId="0" applyNumberFormat="1" applyFont="1" applyFill="1" applyBorder="1" applyAlignment="1">
      <alignment horizontal="centerContinuous" vertical="center"/>
    </xf>
    <xf numFmtId="14" fontId="36" fillId="39" borderId="162" xfId="0" applyNumberFormat="1" applyFont="1" applyFill="1" applyBorder="1" applyAlignment="1">
      <alignment horizontal="centerContinuous" vertical="center"/>
    </xf>
    <xf numFmtId="0" fontId="161" fillId="0" borderId="151" xfId="0" applyFont="1" applyBorder="1" applyAlignment="1">
      <alignment horizontal="left" vertical="center" readingOrder="1"/>
    </xf>
    <xf numFmtId="0" fontId="162" fillId="0" borderId="151" xfId="0" applyFont="1" applyBorder="1"/>
    <xf numFmtId="176" fontId="65" fillId="2" borderId="100" xfId="0" applyNumberFormat="1" applyFont="1" applyFill="1" applyBorder="1" applyAlignment="1">
      <alignment horizontal="right" vertical="center" wrapText="1"/>
    </xf>
    <xf numFmtId="14" fontId="36" fillId="39" borderId="163" xfId="0" applyNumberFormat="1" applyFont="1" applyFill="1" applyBorder="1" applyAlignment="1">
      <alignment horizontal="left" vertical="center"/>
    </xf>
    <xf numFmtId="14" fontId="84" fillId="39" borderId="153" xfId="0" applyNumberFormat="1" applyFont="1" applyFill="1" applyBorder="1" applyAlignment="1">
      <alignment horizontal="centerContinuous" vertical="center"/>
    </xf>
    <xf numFmtId="14" fontId="36" fillId="39" borderId="153" xfId="0" applyNumberFormat="1" applyFont="1" applyFill="1" applyBorder="1" applyAlignment="1">
      <alignment vertical="center"/>
    </xf>
    <xf numFmtId="14" fontId="36" fillId="39" borderId="164" xfId="0" applyNumberFormat="1" applyFont="1" applyFill="1" applyBorder="1" applyAlignment="1">
      <alignment vertical="center"/>
    </xf>
    <xf numFmtId="14" fontId="84" fillId="39" borderId="153" xfId="0" applyNumberFormat="1" applyFont="1" applyFill="1" applyBorder="1" applyAlignment="1">
      <alignment horizontal="center" vertical="center"/>
    </xf>
    <xf numFmtId="14" fontId="84" fillId="54" borderId="153" xfId="0" applyNumberFormat="1" applyFont="1" applyFill="1" applyBorder="1" applyAlignment="1">
      <alignment horizontal="center" vertical="center"/>
    </xf>
    <xf numFmtId="0" fontId="161" fillId="0" borderId="151" xfId="0" applyFont="1" applyBorder="1" applyAlignment="1">
      <alignment horizontal="left" vertical="top"/>
    </xf>
    <xf numFmtId="0" fontId="138" fillId="0" borderId="151" xfId="0" applyFont="1" applyBorder="1" applyAlignment="1">
      <alignment vertical="top"/>
    </xf>
    <xf numFmtId="0" fontId="137" fillId="0" borderId="151" xfId="0" applyFont="1" applyBorder="1" applyAlignment="1">
      <alignment horizontal="left" vertical="top"/>
    </xf>
    <xf numFmtId="0" fontId="162" fillId="0" borderId="151" xfId="0" applyFont="1" applyBorder="1" applyAlignment="1">
      <alignment vertical="top"/>
    </xf>
    <xf numFmtId="0" fontId="138" fillId="0" borderId="151" xfId="0" applyFont="1" applyBorder="1"/>
    <xf numFmtId="0" fontId="137" fillId="0" borderId="151" xfId="0" applyFont="1" applyBorder="1" applyAlignment="1">
      <alignment horizontal="left" vertical="center" readingOrder="1"/>
    </xf>
    <xf numFmtId="0" fontId="161" fillId="0" borderId="151" xfId="0" applyFont="1" applyFill="1" applyBorder="1" applyAlignment="1">
      <alignment horizontal="left" vertical="center" readingOrder="1"/>
    </xf>
    <xf numFmtId="0" fontId="36" fillId="39" borderId="152" xfId="0" applyFont="1" applyFill="1" applyBorder="1" applyAlignment="1">
      <alignment horizontal="left" vertical="center" wrapText="1"/>
    </xf>
    <xf numFmtId="0" fontId="36" fillId="39" borderId="166" xfId="0" applyFont="1" applyFill="1" applyBorder="1" applyAlignment="1">
      <alignment horizontal="center" vertical="center" wrapText="1"/>
    </xf>
    <xf numFmtId="0" fontId="36" fillId="39" borderId="153" xfId="0" applyFont="1" applyFill="1" applyBorder="1" applyAlignment="1">
      <alignment horizontal="center" vertical="center" wrapText="1"/>
    </xf>
    <xf numFmtId="0" fontId="36" fillId="39" borderId="167" xfId="0" applyFont="1" applyFill="1" applyBorder="1" applyAlignment="1">
      <alignment horizontal="center" vertical="center" wrapText="1"/>
    </xf>
    <xf numFmtId="0" fontId="36" fillId="39" borderId="168" xfId="0" applyFont="1" applyFill="1" applyBorder="1" applyAlignment="1">
      <alignment horizontal="left" vertical="center" wrapText="1"/>
    </xf>
    <xf numFmtId="0" fontId="36" fillId="39" borderId="169" xfId="0" applyFont="1" applyFill="1" applyBorder="1" applyAlignment="1">
      <alignment horizontal="left" vertical="center" wrapText="1"/>
    </xf>
    <xf numFmtId="0" fontId="36" fillId="39" borderId="169" xfId="0" applyFont="1" applyFill="1" applyBorder="1" applyAlignment="1">
      <alignment horizontal="center" vertical="center" wrapText="1"/>
    </xf>
    <xf numFmtId="0" fontId="36" fillId="39" borderId="170" xfId="0" applyFont="1" applyFill="1" applyBorder="1" applyAlignment="1">
      <alignment horizontal="center" vertical="center" wrapText="1"/>
    </xf>
    <xf numFmtId="0" fontId="36" fillId="39" borderId="163" xfId="0" applyNumberFormat="1" applyFont="1" applyFill="1" applyBorder="1" applyAlignment="1">
      <alignment horizontal="left" vertical="center" wrapText="1"/>
    </xf>
    <xf numFmtId="0" fontId="36" fillId="39" borderId="166" xfId="0" applyNumberFormat="1" applyFont="1" applyFill="1" applyBorder="1" applyAlignment="1">
      <alignment horizontal="center" vertical="center" wrapText="1"/>
    </xf>
    <xf numFmtId="14" fontId="36" fillId="39" borderId="167" xfId="0" applyNumberFormat="1" applyFont="1" applyFill="1" applyBorder="1" applyAlignment="1">
      <alignment horizontal="center" vertical="center" wrapText="1"/>
    </xf>
    <xf numFmtId="0" fontId="36" fillId="39" borderId="168" xfId="0" applyNumberFormat="1" applyFont="1" applyFill="1" applyBorder="1" applyAlignment="1">
      <alignment horizontal="left" vertical="center" wrapText="1"/>
    </xf>
    <xf numFmtId="199" fontId="36" fillId="39" borderId="169" xfId="0" applyNumberFormat="1" applyFont="1" applyFill="1" applyBorder="1" applyAlignment="1">
      <alignment horizontal="center" vertical="center" wrapText="1"/>
    </xf>
    <xf numFmtId="199" fontId="36" fillId="39" borderId="169" xfId="0" applyNumberFormat="1" applyFont="1" applyFill="1" applyBorder="1" applyAlignment="1">
      <alignment horizontal="left" vertical="center" wrapText="1"/>
    </xf>
    <xf numFmtId="197" fontId="36" fillId="39" borderId="169" xfId="0" applyNumberFormat="1" applyFont="1" applyFill="1" applyBorder="1" applyAlignment="1">
      <alignment horizontal="center" vertical="center" wrapText="1"/>
    </xf>
    <xf numFmtId="0" fontId="36" fillId="39" borderId="169" xfId="0" applyNumberFormat="1" applyFont="1" applyFill="1" applyBorder="1" applyAlignment="1">
      <alignment horizontal="left" vertical="center" wrapText="1"/>
    </xf>
    <xf numFmtId="0" fontId="36" fillId="39" borderId="170" xfId="0" applyNumberFormat="1" applyFont="1" applyFill="1" applyBorder="1" applyAlignment="1">
      <alignment horizontal="left" vertical="center" wrapText="1"/>
    </xf>
    <xf numFmtId="0" fontId="160" fillId="50" borderId="99" xfId="0" applyNumberFormat="1" applyFont="1" applyFill="1" applyBorder="1" applyAlignment="1">
      <alignment horizontal="right" vertical="center" wrapText="1"/>
    </xf>
    <xf numFmtId="184" fontId="160" fillId="50" borderId="99" xfId="0" applyNumberFormat="1" applyFont="1" applyFill="1" applyBorder="1" applyAlignment="1">
      <alignment horizontal="center" vertical="center" wrapText="1"/>
    </xf>
    <xf numFmtId="0" fontId="163" fillId="50" borderId="99" xfId="0" applyFont="1" applyFill="1" applyBorder="1"/>
    <xf numFmtId="2" fontId="160" fillId="50" borderId="99" xfId="0" applyNumberFormat="1" applyFont="1" applyFill="1" applyBorder="1" applyAlignment="1">
      <alignment horizontal="right" vertical="center" wrapText="1"/>
    </xf>
    <xf numFmtId="0" fontId="163" fillId="50" borderId="0" xfId="0" applyFont="1" applyFill="1" applyBorder="1"/>
    <xf numFmtId="184" fontId="160" fillId="50" borderId="127" xfId="0" applyNumberFormat="1" applyFont="1" applyFill="1" applyBorder="1" applyAlignment="1">
      <alignment horizontal="center" vertical="center" wrapText="1"/>
    </xf>
    <xf numFmtId="181" fontId="157" fillId="50" borderId="115" xfId="0" applyNumberFormat="1" applyFont="1" applyFill="1" applyBorder="1" applyAlignment="1">
      <alignment horizontal="center" vertical="center"/>
    </xf>
    <xf numFmtId="0" fontId="36" fillId="39" borderId="167" xfId="0" applyNumberFormat="1" applyFont="1" applyFill="1" applyBorder="1" applyAlignment="1">
      <alignment horizontal="center" vertical="center" wrapText="1"/>
    </xf>
    <xf numFmtId="0" fontId="36" fillId="39" borderId="171" xfId="0" applyFont="1" applyFill="1" applyBorder="1" applyAlignment="1">
      <alignment horizontal="left" vertical="center" wrapText="1"/>
    </xf>
    <xf numFmtId="0" fontId="36" fillId="39" borderId="172" xfId="0" applyFont="1" applyFill="1" applyBorder="1" applyAlignment="1">
      <alignment horizontal="left" vertical="center" wrapText="1"/>
    </xf>
    <xf numFmtId="0" fontId="36" fillId="39" borderId="173" xfId="0" applyFont="1" applyFill="1" applyBorder="1" applyAlignment="1">
      <alignment horizontal="left" vertical="center" wrapText="1"/>
    </xf>
    <xf numFmtId="0" fontId="36" fillId="39" borderId="174" xfId="0" applyFont="1" applyFill="1" applyBorder="1" applyAlignment="1">
      <alignment horizontal="center" vertical="center" wrapText="1"/>
    </xf>
    <xf numFmtId="0" fontId="36" fillId="39" borderId="175" xfId="0" applyFont="1" applyFill="1" applyBorder="1" applyAlignment="1">
      <alignment horizontal="center" vertical="center" wrapText="1"/>
    </xf>
    <xf numFmtId="0" fontId="42" fillId="0" borderId="151" xfId="0" applyFont="1" applyBorder="1"/>
    <xf numFmtId="0" fontId="164" fillId="0" borderId="151" xfId="0" applyFont="1" applyBorder="1"/>
    <xf numFmtId="14" fontId="36" fillId="39" borderId="176" xfId="0" applyNumberFormat="1" applyFont="1" applyFill="1" applyBorder="1" applyAlignment="1">
      <alignment horizontal="left" vertical="center"/>
    </xf>
    <xf numFmtId="14" fontId="84" fillId="39" borderId="177" xfId="0" applyNumberFormat="1" applyFont="1" applyFill="1" applyBorder="1" applyAlignment="1">
      <alignment horizontal="centerContinuous" vertical="center"/>
    </xf>
    <xf numFmtId="14" fontId="36" fillId="39" borderId="176" xfId="0" applyNumberFormat="1" applyFont="1" applyFill="1" applyBorder="1" applyAlignment="1">
      <alignment horizontal="left" vertical="center" wrapText="1"/>
    </xf>
    <xf numFmtId="14" fontId="84" fillId="39" borderId="177" xfId="0" applyNumberFormat="1" applyFont="1" applyFill="1" applyBorder="1" applyAlignment="1">
      <alignment horizontal="center" vertical="center"/>
    </xf>
    <xf numFmtId="14" fontId="36" fillId="39" borderId="95" xfId="0" applyNumberFormat="1" applyFont="1" applyFill="1" applyBorder="1" applyAlignment="1">
      <alignment horizontal="left" vertical="center"/>
    </xf>
    <xf numFmtId="14" fontId="84" fillId="39" borderId="94" xfId="0" applyNumberFormat="1" applyFont="1" applyFill="1" applyBorder="1" applyAlignment="1">
      <alignment horizontal="centerContinuous" vertical="center"/>
    </xf>
    <xf numFmtId="14" fontId="36" fillId="39" borderId="126" xfId="0" applyNumberFormat="1" applyFont="1" applyFill="1" applyBorder="1" applyAlignment="1">
      <alignment vertical="center"/>
    </xf>
    <xf numFmtId="14" fontId="36" fillId="39" borderId="87" xfId="0" applyNumberFormat="1" applyFont="1" applyFill="1" applyBorder="1" applyAlignment="1">
      <alignment vertical="center"/>
    </xf>
    <xf numFmtId="0" fontId="160" fillId="50" borderId="34" xfId="0" applyNumberFormat="1" applyFont="1" applyFill="1" applyBorder="1" applyAlignment="1">
      <alignment horizontal="right" vertical="center" wrapText="1"/>
    </xf>
    <xf numFmtId="176" fontId="36" fillId="39" borderId="163" xfId="0" applyNumberFormat="1" applyFont="1" applyFill="1" applyBorder="1" applyAlignment="1">
      <alignment vertical="center" wrapText="1"/>
    </xf>
    <xf numFmtId="0" fontId="38" fillId="39" borderId="166" xfId="0" applyFont="1" applyFill="1" applyBorder="1" applyAlignment="1">
      <alignment vertical="center"/>
    </xf>
    <xf numFmtId="176" fontId="36" fillId="39" borderId="166" xfId="0" applyNumberFormat="1" applyFont="1" applyFill="1" applyBorder="1" applyAlignment="1">
      <alignment horizontal="centerContinuous" vertical="center" wrapText="1"/>
    </xf>
    <xf numFmtId="0" fontId="38" fillId="39" borderId="166" xfId="0" applyFont="1" applyFill="1" applyBorder="1"/>
    <xf numFmtId="14" fontId="36" fillId="39" borderId="166" xfId="0" applyNumberFormat="1" applyFont="1" applyFill="1" applyBorder="1" applyAlignment="1">
      <alignment horizontal="centerContinuous" vertical="center"/>
    </xf>
    <xf numFmtId="14" fontId="36" fillId="39" borderId="167" xfId="0" applyNumberFormat="1" applyFont="1" applyFill="1" applyBorder="1" applyAlignment="1">
      <alignment horizontal="centerContinuous" vertical="center"/>
    </xf>
    <xf numFmtId="0" fontId="38" fillId="39" borderId="166" xfId="0" applyFont="1" applyFill="1" applyBorder="1" applyAlignment="1">
      <alignment horizontal="right"/>
    </xf>
    <xf numFmtId="0" fontId="163" fillId="50" borderId="0" xfId="0" applyFont="1" applyFill="1"/>
    <xf numFmtId="0" fontId="160" fillId="0" borderId="0" xfId="0" applyFont="1" applyFill="1" applyBorder="1" applyAlignment="1">
      <alignment horizontal="left" vertical="top"/>
    </xf>
    <xf numFmtId="0" fontId="47" fillId="0" borderId="0" xfId="0" applyFont="1" applyFill="1" applyBorder="1" applyAlignment="1">
      <alignment horizontal="center" vertical="top"/>
    </xf>
    <xf numFmtId="0" fontId="36" fillId="39" borderId="34" xfId="0" applyFont="1" applyFill="1" applyBorder="1" applyAlignment="1">
      <alignment vertical="top"/>
    </xf>
    <xf numFmtId="0" fontId="166" fillId="0" borderId="0" xfId="0" applyFont="1" applyAlignment="1">
      <alignment wrapText="1"/>
    </xf>
    <xf numFmtId="0" fontId="36" fillId="39" borderId="160" xfId="0" applyFont="1" applyFill="1" applyBorder="1" applyAlignment="1">
      <alignment horizontal="left" vertical="center"/>
    </xf>
    <xf numFmtId="0" fontId="36" fillId="39" borderId="162" xfId="0" applyFont="1" applyFill="1" applyBorder="1" applyAlignment="1">
      <alignment horizontal="left" vertical="center"/>
    </xf>
    <xf numFmtId="0" fontId="39" fillId="0" borderId="99" xfId="0" applyFont="1" applyBorder="1" applyAlignment="1">
      <alignment vertical="center"/>
    </xf>
    <xf numFmtId="0" fontId="39" fillId="0" borderId="34" xfId="0" applyFont="1" applyBorder="1" applyAlignment="1">
      <alignment wrapText="1"/>
    </xf>
    <xf numFmtId="0" fontId="0" fillId="0" borderId="92" xfId="0" applyBorder="1" applyAlignment="1">
      <alignment vertical="top" wrapText="1"/>
    </xf>
    <xf numFmtId="0" fontId="167" fillId="0" borderId="93" xfId="0" applyFont="1" applyBorder="1" applyAlignment="1">
      <alignment vertical="top" wrapText="1"/>
    </xf>
    <xf numFmtId="0" fontId="157" fillId="0" borderId="0" xfId="0" applyFont="1" applyFill="1" applyAlignment="1">
      <alignment horizontal="right" wrapText="1"/>
    </xf>
    <xf numFmtId="0" fontId="49" fillId="0" borderId="0" xfId="0" applyFont="1" applyFill="1" applyAlignment="1">
      <alignment horizontal="left" vertical="top" wrapText="1"/>
    </xf>
    <xf numFmtId="176" fontId="157" fillId="0" borderId="151" xfId="0" applyNumberFormat="1" applyFont="1" applyBorder="1" applyAlignment="1">
      <alignment horizontal="center"/>
    </xf>
    <xf numFmtId="0" fontId="157" fillId="0" borderId="0" xfId="0" applyFont="1" applyFill="1" applyAlignment="1">
      <alignment horizontal="left" wrapText="1"/>
    </xf>
    <xf numFmtId="0" fontId="0" fillId="0" borderId="0" xfId="0" applyAlignment="1">
      <alignment horizontal="left" wrapText="1"/>
    </xf>
    <xf numFmtId="0" fontId="44" fillId="0" borderId="0" xfId="0" applyFont="1" applyFill="1" applyAlignment="1">
      <alignment horizontal="left" vertical="top" wrapText="1"/>
    </xf>
    <xf numFmtId="0" fontId="0" fillId="0" borderId="0" xfId="0" applyAlignment="1">
      <alignment horizontal="left" vertical="top"/>
    </xf>
    <xf numFmtId="0" fontId="39" fillId="0" borderId="0" xfId="0" applyFont="1" applyFill="1" applyAlignment="1">
      <alignment horizontal="left" vertical="top" wrapText="1"/>
    </xf>
    <xf numFmtId="0" fontId="0" fillId="0" borderId="0" xfId="0" applyAlignment="1">
      <alignment horizontal="left" vertical="top" wrapText="1"/>
    </xf>
    <xf numFmtId="0" fontId="165" fillId="0" borderId="93" xfId="0" applyFont="1" applyBorder="1" applyAlignment="1">
      <alignment vertical="top" wrapText="1"/>
    </xf>
    <xf numFmtId="0" fontId="0" fillId="0" borderId="92" xfId="0" applyBorder="1" applyAlignment="1">
      <alignment vertical="top" wrapText="1"/>
    </xf>
    <xf numFmtId="0" fontId="167" fillId="0" borderId="93" xfId="0" applyFont="1" applyBorder="1" applyAlignment="1">
      <alignment vertical="top" wrapText="1"/>
    </xf>
    <xf numFmtId="14" fontId="36" fillId="39" borderId="165" xfId="0" applyNumberFormat="1" applyFont="1" applyFill="1" applyBorder="1" applyAlignment="1">
      <alignment horizontal="center" vertical="center"/>
    </xf>
    <xf numFmtId="14" fontId="36" fillId="39" borderId="153" xfId="0" applyNumberFormat="1" applyFont="1" applyFill="1" applyBorder="1" applyAlignment="1">
      <alignment horizontal="center" vertical="center"/>
    </xf>
    <xf numFmtId="14" fontId="36" fillId="39" borderId="164" xfId="0" applyNumberFormat="1" applyFont="1" applyFill="1" applyBorder="1" applyAlignment="1">
      <alignment horizontal="center" vertical="center"/>
    </xf>
    <xf numFmtId="14" fontId="36" fillId="39" borderId="178" xfId="0" applyNumberFormat="1" applyFont="1" applyFill="1" applyBorder="1" applyAlignment="1">
      <alignment horizontal="center" vertical="center"/>
    </xf>
    <xf numFmtId="14" fontId="36" fillId="39" borderId="179" xfId="0" applyNumberFormat="1" applyFont="1" applyFill="1" applyBorder="1" applyAlignment="1">
      <alignment horizontal="center" vertical="center"/>
    </xf>
    <xf numFmtId="14" fontId="36" fillId="39" borderId="180" xfId="0" applyNumberFormat="1" applyFont="1" applyFill="1" applyBorder="1" applyAlignment="1">
      <alignment horizontal="center" vertical="center"/>
    </xf>
    <xf numFmtId="14" fontId="36" fillId="39" borderId="181" xfId="0" applyNumberFormat="1" applyFont="1" applyFill="1" applyBorder="1" applyAlignment="1">
      <alignment horizontal="center" vertical="center"/>
    </xf>
    <xf numFmtId="14" fontId="36" fillId="39" borderId="177" xfId="0" applyNumberFormat="1" applyFont="1" applyFill="1" applyBorder="1" applyAlignment="1">
      <alignment horizontal="center" vertical="center"/>
    </xf>
    <xf numFmtId="14" fontId="36" fillId="39" borderId="182" xfId="0" applyNumberFormat="1" applyFont="1" applyFill="1" applyBorder="1" applyAlignment="1">
      <alignment horizontal="center" vertical="center"/>
    </xf>
    <xf numFmtId="0" fontId="148" fillId="35" borderId="147" xfId="0" applyFont="1" applyFill="1" applyBorder="1" applyAlignment="1">
      <alignment horizontal="center" vertical="center" textRotation="90" wrapText="1"/>
    </xf>
    <xf numFmtId="0" fontId="148" fillId="0" borderId="147" xfId="0" applyFont="1" applyBorder="1" applyAlignment="1">
      <alignment horizontal="center" vertical="center" textRotation="90" wrapText="1"/>
    </xf>
    <xf numFmtId="0" fontId="148" fillId="0" borderId="148" xfId="0" applyFont="1" applyBorder="1" applyAlignment="1">
      <alignment horizontal="center" vertical="center" textRotation="90" wrapText="1"/>
    </xf>
    <xf numFmtId="0" fontId="148" fillId="50" borderId="147" xfId="0" applyFont="1" applyFill="1" applyBorder="1" applyAlignment="1">
      <alignment horizontal="center" vertical="center" textRotation="90" wrapText="1"/>
    </xf>
    <xf numFmtId="0" fontId="148" fillId="50" borderId="148" xfId="0" applyFont="1" applyFill="1" applyBorder="1" applyAlignment="1">
      <alignment horizontal="center" vertical="center" textRotation="90" wrapText="1"/>
    </xf>
    <xf numFmtId="0" fontId="90" fillId="39" borderId="90" xfId="0" applyNumberFormat="1" applyFont="1" applyFill="1" applyBorder="1" applyAlignment="1">
      <alignment horizontal="left" vertical="top" wrapText="1"/>
    </xf>
    <xf numFmtId="0" fontId="90" fillId="39" borderId="94" xfId="0" applyNumberFormat="1" applyFont="1" applyFill="1" applyBorder="1" applyAlignment="1">
      <alignment horizontal="left" vertical="top" wrapText="1"/>
    </xf>
    <xf numFmtId="0" fontId="90" fillId="39" borderId="89" xfId="0" applyNumberFormat="1" applyFont="1" applyFill="1" applyBorder="1" applyAlignment="1">
      <alignment horizontal="left" vertical="top" wrapText="1"/>
    </xf>
    <xf numFmtId="0" fontId="43" fillId="50" borderId="35" xfId="0" applyFont="1" applyFill="1" applyBorder="1" applyAlignment="1">
      <alignment horizontal="center" vertical="center"/>
    </xf>
    <xf numFmtId="0" fontId="43" fillId="50" borderId="36" xfId="0" applyFont="1" applyFill="1" applyBorder="1" applyAlignment="1">
      <alignment horizontal="center" vertical="center"/>
    </xf>
    <xf numFmtId="0" fontId="43" fillId="50" borderId="45" xfId="0" applyFont="1" applyFill="1" applyBorder="1" applyAlignment="1">
      <alignment horizontal="center" vertical="center"/>
    </xf>
    <xf numFmtId="0" fontId="43" fillId="50" borderId="81" xfId="0" applyFont="1" applyFill="1" applyBorder="1" applyAlignment="1">
      <alignment horizontal="center" vertical="center"/>
    </xf>
    <xf numFmtId="0" fontId="43" fillId="50" borderId="0" xfId="0" applyFont="1" applyFill="1" applyBorder="1" applyAlignment="1">
      <alignment horizontal="center" vertical="center"/>
    </xf>
    <xf numFmtId="0" fontId="43" fillId="50" borderId="42" xfId="0" applyFont="1" applyFill="1" applyBorder="1" applyAlignment="1">
      <alignment horizontal="center" vertical="center"/>
    </xf>
    <xf numFmtId="0" fontId="52" fillId="0" borderId="106" xfId="0" applyNumberFormat="1" applyFont="1" applyBorder="1" applyAlignment="1">
      <alignment horizontal="center" vertical="center"/>
    </xf>
    <xf numFmtId="0" fontId="52" fillId="0" borderId="105" xfId="0" applyNumberFormat="1" applyFont="1" applyBorder="1" applyAlignment="1">
      <alignment horizontal="center" vertical="center"/>
    </xf>
    <xf numFmtId="0" fontId="52" fillId="0" borderId="104" xfId="0" applyNumberFormat="1" applyFont="1" applyBorder="1" applyAlignment="1">
      <alignment horizontal="center" vertical="center"/>
    </xf>
    <xf numFmtId="0" fontId="54" fillId="0" borderId="0" xfId="0" applyFont="1" applyFill="1" applyBorder="1" applyAlignment="1">
      <alignment horizontal="center" vertical="center" readingOrder="1"/>
    </xf>
  </cellXfs>
  <cellStyles count="47">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44" builtinId="3"/>
    <cellStyle name="Currency" xfId="2"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5" builtinId="8"/>
    <cellStyle name="Input" xfId="11" builtinId="20" customBuiltin="1"/>
    <cellStyle name="Linked Cell" xfId="14" builtinId="24" customBuiltin="1"/>
    <cellStyle name="Neutral" xfId="10" builtinId="28" customBuiltin="1"/>
    <cellStyle name="Normal" xfId="0" builtinId="0"/>
    <cellStyle name="Normal 31" xfId="46" xr:uid="{00000000-0005-0000-0000-000028000000}"/>
    <cellStyle name="Note" xfId="17" builtinId="10" customBuiltin="1"/>
    <cellStyle name="Output" xfId="12" builtinId="21" customBuiltin="1"/>
    <cellStyle name="Percent" xfId="1" builtinId="5"/>
    <cellStyle name="Title" xfId="3" builtinId="15" customBuiltin="1"/>
    <cellStyle name="Total" xfId="19" builtinId="25" customBuiltin="1"/>
    <cellStyle name="Warning Text" xfId="16" builtinId="11" customBuiltin="1"/>
  </cellStyles>
  <dxfs count="389">
    <dxf>
      <font>
        <color rgb="FFCC0000"/>
      </font>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theme="0"/>
      </font>
      <fill>
        <patternFill>
          <bgColor rgb="FF008000"/>
        </patternFill>
      </fill>
    </dxf>
    <dxf>
      <font>
        <b/>
        <i val="0"/>
        <color theme="0"/>
      </font>
      <fill>
        <patternFill>
          <bgColor rgb="FFFF0000"/>
        </patternFill>
      </fill>
    </dxf>
    <dxf>
      <font>
        <b/>
        <i val="0"/>
        <color rgb="FFFF0000"/>
      </font>
    </dxf>
    <dxf>
      <font>
        <b/>
        <i val="0"/>
        <color rgb="FF009600"/>
      </font>
    </dxf>
    <dxf>
      <font>
        <b/>
        <i val="0"/>
        <color rgb="FF009600"/>
      </font>
    </dxf>
    <dxf>
      <font>
        <b/>
        <i val="0"/>
        <color rgb="FFFF0000"/>
      </font>
    </dxf>
    <dxf>
      <font>
        <b/>
        <i val="0"/>
        <color rgb="FF009600"/>
      </font>
    </dxf>
    <dxf>
      <font>
        <b/>
        <i val="0"/>
        <color rgb="FFFF0000"/>
      </font>
    </dxf>
    <dxf>
      <font>
        <b/>
        <i val="0"/>
        <color rgb="FFFF0000"/>
      </font>
    </dxf>
    <dxf>
      <font>
        <b/>
        <i val="0"/>
        <color rgb="FF009600"/>
      </font>
    </dxf>
    <dxf>
      <font>
        <b/>
        <i val="0"/>
        <color rgb="FF009600"/>
      </font>
    </dxf>
    <dxf>
      <font>
        <b/>
        <i val="0"/>
        <color rgb="FFFF0000"/>
      </font>
    </dxf>
    <dxf>
      <font>
        <b/>
        <i val="0"/>
        <color rgb="FF009600"/>
      </font>
    </dxf>
    <dxf>
      <font>
        <b/>
        <i val="0"/>
        <color rgb="FFFF0000"/>
      </font>
    </dxf>
    <dxf>
      <font>
        <b/>
        <i val="0"/>
        <color rgb="FFFF0000"/>
      </font>
    </dxf>
    <dxf>
      <font>
        <b/>
        <i val="0"/>
        <color rgb="FF009600"/>
      </font>
    </dxf>
    <dxf>
      <font>
        <b val="0"/>
        <i val="0"/>
        <color rgb="FFFF0000"/>
      </font>
    </dxf>
    <dxf>
      <font>
        <color rgb="FFFFB125"/>
      </font>
    </dxf>
    <dxf>
      <font>
        <color rgb="FFFFFF00"/>
      </font>
    </dxf>
    <dxf>
      <font>
        <color rgb="FF00B050"/>
      </font>
    </dxf>
    <dxf>
      <font>
        <color theme="0"/>
      </font>
      <fill>
        <patternFill patternType="none">
          <bgColor auto="1"/>
        </patternFill>
      </fill>
    </dxf>
    <dxf>
      <font>
        <color theme="0"/>
      </font>
      <fill>
        <patternFill patternType="none">
          <bgColor auto="1"/>
        </patternFill>
      </fill>
    </dxf>
    <dxf>
      <font>
        <color theme="3" tint="0.79998168889431442"/>
      </font>
      <fill>
        <patternFill patternType="solid">
          <bgColor theme="3" tint="0.79998168889431442"/>
        </patternFill>
      </fill>
    </dxf>
    <dxf>
      <font>
        <b val="0"/>
        <i val="0"/>
        <color rgb="FFFF0000"/>
      </font>
    </dxf>
    <dxf>
      <font>
        <color rgb="FFFFB125"/>
      </font>
    </dxf>
    <dxf>
      <font>
        <color rgb="FFFFFF00"/>
      </font>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989494"/>
      <color rgb="FF5E8AB4"/>
      <color rgb="FF7F7F7F"/>
      <color rgb="FF767171"/>
      <color rgb="FFECECEC"/>
      <color rgb="FF9EB8D1"/>
      <color rgb="FF9EC6CC"/>
      <color rgb="FF0000FF"/>
      <color rgb="FFFFFFCC"/>
      <color rgb="FF002B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28.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34.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35.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52.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53.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54.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55.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themeOverride" Target="../theme/themeOverride23.xml"/></Relationships>
</file>

<file path=xl/charts/_rels/chart59.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67.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74.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75.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76.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77.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78.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79.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80.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_rels/chart81.xml.rels><?xml version="1.0" encoding="UTF-8" standalone="yes"?>
<Relationships xmlns="http://schemas.openxmlformats.org/package/2006/relationships"><Relationship Id="rId1" Type="http://schemas.openxmlformats.org/officeDocument/2006/relationships/themeOverride" Target="../theme/themeOverride31.xml"/></Relationships>
</file>

<file path=xl/charts/_rels/chart82.xml.rels><?xml version="1.0" encoding="UTF-8" standalone="yes"?>
<Relationships xmlns="http://schemas.openxmlformats.org/package/2006/relationships"><Relationship Id="rId1" Type="http://schemas.openxmlformats.org/officeDocument/2006/relationships/themeOverride" Target="../theme/themeOverride32.xml"/></Relationships>
</file>

<file path=xl/charts/_rels/chart83.xml.rels><?xml version="1.0" encoding="UTF-8" standalone="yes"?>
<Relationships xmlns="http://schemas.openxmlformats.org/package/2006/relationships"><Relationship Id="rId1" Type="http://schemas.openxmlformats.org/officeDocument/2006/relationships/themeOverride" Target="../theme/themeOverride33.xml"/></Relationships>
</file>

<file path=xl/charts/_rels/chart84.xml.rels><?xml version="1.0" encoding="UTF-8" standalone="yes"?>
<Relationships xmlns="http://schemas.openxmlformats.org/package/2006/relationships"><Relationship Id="rId1" Type="http://schemas.openxmlformats.org/officeDocument/2006/relationships/themeOverride" Target="../theme/themeOverride34.xml"/></Relationships>
</file>

<file path=xl/charts/_rels/chart85.xml.rels><?xml version="1.0" encoding="UTF-8" standalone="yes"?>
<Relationships xmlns="http://schemas.openxmlformats.org/package/2006/relationships"><Relationship Id="rId1" Type="http://schemas.openxmlformats.org/officeDocument/2006/relationships/themeOverride" Target="../theme/themeOverride35.xml"/></Relationships>
</file>

<file path=xl/charts/_rels/chart86.xml.rels><?xml version="1.0" encoding="UTF-8" standalone="yes"?>
<Relationships xmlns="http://schemas.openxmlformats.org/package/2006/relationships"><Relationship Id="rId1" Type="http://schemas.openxmlformats.org/officeDocument/2006/relationships/themeOverride" Target="../theme/themeOverride36.xml"/></Relationships>
</file>

<file path=xl/charts/_rels/chart87.xml.rels><?xml version="1.0" encoding="UTF-8" standalone="yes"?>
<Relationships xmlns="http://schemas.openxmlformats.org/package/2006/relationships"><Relationship Id="rId1" Type="http://schemas.openxmlformats.org/officeDocument/2006/relationships/themeOverride" Target="../theme/themeOverride37.xml"/></Relationships>
</file>

<file path=xl/charts/_rels/chart88.xml.rels><?xml version="1.0" encoding="UTF-8" standalone="yes"?>
<Relationships xmlns="http://schemas.openxmlformats.org/package/2006/relationships"><Relationship Id="rId1" Type="http://schemas.openxmlformats.org/officeDocument/2006/relationships/themeOverride" Target="../theme/themeOverride38.xml"/></Relationships>
</file>

<file path=xl/charts/_rels/chart89.xml.rels><?xml version="1.0" encoding="UTF-8" standalone="yes"?>
<Relationships xmlns="http://schemas.openxmlformats.org/package/2006/relationships"><Relationship Id="rId1" Type="http://schemas.openxmlformats.org/officeDocument/2006/relationships/themeOverride" Target="../theme/themeOverride39.xml"/></Relationships>
</file>

<file path=xl/charts/_rels/chart90.xml.rels><?xml version="1.0" encoding="UTF-8" standalone="yes"?>
<Relationships xmlns="http://schemas.openxmlformats.org/package/2006/relationships"><Relationship Id="rId1" Type="http://schemas.openxmlformats.org/officeDocument/2006/relationships/themeOverride" Target="../theme/themeOverride40.xml"/></Relationships>
</file>

<file path=xl/charts/_rels/chart91.xml.rels><?xml version="1.0" encoding="UTF-8" standalone="yes"?>
<Relationships xmlns="http://schemas.openxmlformats.org/package/2006/relationships"><Relationship Id="rId1" Type="http://schemas.openxmlformats.org/officeDocument/2006/relationships/themeOverride" Target="../theme/themeOverride41.xml"/></Relationships>
</file>

<file path=xl/charts/_rels/chart92.xml.rels><?xml version="1.0" encoding="UTF-8" standalone="yes"?>
<Relationships xmlns="http://schemas.openxmlformats.org/package/2006/relationships"><Relationship Id="rId1" Type="http://schemas.openxmlformats.org/officeDocument/2006/relationships/themeOverride" Target="../theme/themeOverride42.xml"/></Relationships>
</file>

<file path=xl/charts/_rels/chart93.xml.rels><?xml version="1.0" encoding="UTF-8" standalone="yes"?>
<Relationships xmlns="http://schemas.openxmlformats.org/package/2006/relationships"><Relationship Id="rId1" Type="http://schemas.openxmlformats.org/officeDocument/2006/relationships/themeOverride" Target="../theme/themeOverride43.xml"/></Relationships>
</file>

<file path=xl/charts/_rels/chart94.xml.rels><?xml version="1.0" encoding="UTF-8" standalone="yes"?>
<Relationships xmlns="http://schemas.openxmlformats.org/package/2006/relationships"><Relationship Id="rId1" Type="http://schemas.openxmlformats.org/officeDocument/2006/relationships/themeOverride" Target="../theme/themeOverride44.xml"/></Relationships>
</file>

<file path=xl/charts/_rels/chart95.xml.rels><?xml version="1.0" encoding="UTF-8" standalone="yes"?>
<Relationships xmlns="http://schemas.openxmlformats.org/package/2006/relationships"><Relationship Id="rId1" Type="http://schemas.openxmlformats.org/officeDocument/2006/relationships/themeOverride" Target="../theme/themeOverride45.xml"/></Relationships>
</file>

<file path=xl/charts/_rels/chart96.xml.rels><?xml version="1.0" encoding="UTF-8" standalone="yes"?>
<Relationships xmlns="http://schemas.openxmlformats.org/package/2006/relationships"><Relationship Id="rId1" Type="http://schemas.openxmlformats.org/officeDocument/2006/relationships/themeOverride" Target="../theme/themeOverride46.xml"/></Relationships>
</file>

<file path=xl/charts/_rels/chart97.xml.rels><?xml version="1.0" encoding="UTF-8" standalone="yes"?>
<Relationships xmlns="http://schemas.openxmlformats.org/package/2006/relationships"><Relationship Id="rId1" Type="http://schemas.openxmlformats.org/officeDocument/2006/relationships/themeOverride" Target="../theme/themeOverride47.xml"/></Relationships>
</file>

<file path=xl/charts/_rels/chart98.xml.rels><?xml version="1.0" encoding="UTF-8" standalone="yes"?>
<Relationships xmlns="http://schemas.openxmlformats.org/package/2006/relationships"><Relationship Id="rId1" Type="http://schemas.openxmlformats.org/officeDocument/2006/relationships/themeOverride" Target="../theme/themeOverride48.xml"/></Relationships>
</file>

<file path=xl/charts/_rels/chart99.xml.rels><?xml version="1.0" encoding="UTF-8" standalone="yes"?>
<Relationships xmlns="http://schemas.openxmlformats.org/package/2006/relationships"><Relationship Id="rId1" Type="http://schemas.openxmlformats.org/officeDocument/2006/relationships/themeOverride" Target="../theme/themeOverride49.xml"/></Relationships>
</file>

<file path=xl/charts/_rels/chart100.xml.rels><?xml version="1.0" encoding="UTF-8" standalone="yes"?>
<Relationships xmlns="http://schemas.openxmlformats.org/package/2006/relationships"><Relationship Id="rId1" Type="http://schemas.openxmlformats.org/officeDocument/2006/relationships/themeOverride" Target="../theme/themeOverride50.xml"/></Relationships>
</file>

<file path=xl/charts/_rels/chart101.xml.rels><?xml version="1.0" encoding="UTF-8" standalone="yes"?>
<Relationships xmlns="http://schemas.openxmlformats.org/package/2006/relationships"><Relationship Id="rId1" Type="http://schemas.openxmlformats.org/officeDocument/2006/relationships/themeOverride" Target="../theme/themeOverride51.xml"/></Relationships>
</file>

<file path=xl/charts/_rels/chart102.xml.rels><?xml version="1.0" encoding="UTF-8" standalone="yes"?>
<Relationships xmlns="http://schemas.openxmlformats.org/package/2006/relationships"><Relationship Id="rId1" Type="http://schemas.openxmlformats.org/officeDocument/2006/relationships/themeOverride" Target="../theme/themeOverride52.xml"/></Relationships>
</file>

<file path=xl/charts/_rels/chart103.xml.rels><?xml version="1.0" encoding="UTF-8" standalone="yes"?>
<Relationships xmlns="http://schemas.openxmlformats.org/package/2006/relationships"><Relationship Id="rId1" Type="http://schemas.openxmlformats.org/officeDocument/2006/relationships/themeOverride" Target="../theme/themeOverride53.xml"/></Relationships>
</file>

<file path=xl/charts/_rels/chart104.xml.rels><?xml version="1.0" encoding="UTF-8" standalone="yes"?>
<Relationships xmlns="http://schemas.openxmlformats.org/package/2006/relationships"><Relationship Id="rId1" Type="http://schemas.openxmlformats.org/officeDocument/2006/relationships/themeOverride" Target="../theme/themeOverride54.xml"/></Relationships>
</file>

<file path=xl/charts/_rels/chart105.xml.rels><?xml version="1.0" encoding="UTF-8" standalone="yes"?>
<Relationships xmlns="http://schemas.openxmlformats.org/package/2006/relationships"><Relationship Id="rId1" Type="http://schemas.openxmlformats.org/officeDocument/2006/relationships/themeOverride" Target="../theme/themeOverride55.xml"/></Relationships>
</file>

<file path=xl/charts/_rels/chart106.xml.rels><?xml version="1.0" encoding="UTF-8" standalone="yes"?>
<Relationships xmlns="http://schemas.openxmlformats.org/package/2006/relationships"><Relationship Id="rId1" Type="http://schemas.openxmlformats.org/officeDocument/2006/relationships/themeOverride" Target="../theme/themeOverride56.xml"/></Relationships>
</file>

<file path=xl/charts/_rels/chart107.xml.rels><?xml version="1.0" encoding="UTF-8" standalone="yes"?>
<Relationships xmlns="http://schemas.openxmlformats.org/package/2006/relationships"><Relationship Id="rId1" Type="http://schemas.openxmlformats.org/officeDocument/2006/relationships/themeOverride" Target="../theme/themeOverride57.xml"/></Relationships>
</file>

<file path=xl/charts/_rels/chart108.xml.rels><?xml version="1.0" encoding="UTF-8" standalone="yes"?>
<Relationships xmlns="http://schemas.openxmlformats.org/package/2006/relationships"><Relationship Id="rId1" Type="http://schemas.openxmlformats.org/officeDocument/2006/relationships/themeOverride" Target="../theme/themeOverride58.xml"/></Relationships>
</file>

<file path=xl/charts/_rels/chart109.xml.rels><?xml version="1.0" encoding="UTF-8" standalone="yes"?>
<Relationships xmlns="http://schemas.openxmlformats.org/package/2006/relationships"><Relationship Id="rId1" Type="http://schemas.openxmlformats.org/officeDocument/2006/relationships/themeOverride" Target="../theme/themeOverride59.xml"/></Relationships>
</file>

<file path=xl/charts/_rels/chart110.xml.rels><?xml version="1.0" encoding="UTF-8" standalone="yes"?>
<Relationships xmlns="http://schemas.openxmlformats.org/package/2006/relationships"><Relationship Id="rId1" Type="http://schemas.openxmlformats.org/officeDocument/2006/relationships/themeOverride" Target="../theme/themeOverride60.xml"/></Relationships>
</file>

<file path=xl/charts/_rels/chart111.xml.rels><?xml version="1.0" encoding="UTF-8" standalone="yes"?>
<Relationships xmlns="http://schemas.openxmlformats.org/package/2006/relationships"><Relationship Id="rId1" Type="http://schemas.openxmlformats.org/officeDocument/2006/relationships/themeOverride" Target="../theme/themeOverride61.xml"/></Relationships>
</file>

<file path=xl/charts/_rels/chart112.xml.rels><?xml version="1.0" encoding="UTF-8" standalone="yes"?>
<Relationships xmlns="http://schemas.openxmlformats.org/package/2006/relationships"><Relationship Id="rId1" Type="http://schemas.openxmlformats.org/officeDocument/2006/relationships/themeOverride" Target="../theme/themeOverride62.xml"/></Relationships>
</file>

<file path=xl/charts/_rels/chart113.xml.rels><?xml version="1.0" encoding="UTF-8" standalone="yes"?>
<Relationships xmlns="http://schemas.openxmlformats.org/package/2006/relationships"><Relationship Id="rId1" Type="http://schemas.openxmlformats.org/officeDocument/2006/relationships/themeOverride" Target="../theme/themeOverride63.xml"/></Relationships>
</file>

<file path=xl/charts/_rels/chart114.xml.rels><?xml version="1.0" encoding="UTF-8" standalone="yes"?>
<Relationships xmlns="http://schemas.openxmlformats.org/package/2006/relationships"><Relationship Id="rId1" Type="http://schemas.openxmlformats.org/officeDocument/2006/relationships/themeOverride" Target="../theme/themeOverride64.xml"/></Relationships>
</file>

<file path=xl/charts/_rels/chart115.xml.rels><?xml version="1.0" encoding="UTF-8" standalone="yes"?>
<Relationships xmlns="http://schemas.openxmlformats.org/package/2006/relationships"><Relationship Id="rId1" Type="http://schemas.openxmlformats.org/officeDocument/2006/relationships/themeOverride" Target="../theme/themeOverride65.xml"/></Relationships>
</file>

<file path=xl/charts/_rels/chart116.xml.rels><?xml version="1.0" encoding="UTF-8" standalone="yes"?>
<Relationships xmlns="http://schemas.openxmlformats.org/package/2006/relationships"><Relationship Id="rId1" Type="http://schemas.openxmlformats.org/officeDocument/2006/relationships/themeOverride" Target="../theme/themeOverride66.xml"/></Relationships>
</file>

<file path=xl/charts/_rels/chart117.xml.rels><?xml version="1.0" encoding="UTF-8" standalone="yes"?>
<Relationships xmlns="http://schemas.openxmlformats.org/package/2006/relationships"><Relationship Id="rId1" Type="http://schemas.openxmlformats.org/officeDocument/2006/relationships/themeOverride" Target="../theme/themeOverride67.xml"/></Relationships>
</file>

<file path=xl/charts/_rels/chart118.xml.rels><?xml version="1.0" encoding="UTF-8" standalone="yes"?>
<Relationships xmlns="http://schemas.openxmlformats.org/package/2006/relationships"><Relationship Id="rId1" Type="http://schemas.openxmlformats.org/officeDocument/2006/relationships/themeOverride" Target="../theme/themeOverride68.xml"/></Relationships>
</file>

<file path=xl/charts/_rels/chart119.xml.rels><?xml version="1.0" encoding="UTF-8" standalone="yes"?>
<Relationships xmlns="http://schemas.openxmlformats.org/package/2006/relationships"><Relationship Id="rId1" Type="http://schemas.openxmlformats.org/officeDocument/2006/relationships/themeOverride" Target="../theme/themeOverride6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97024160605387E-2"/>
          <c:y val="0.1594785464811162"/>
          <c:w val="0.88000538094628356"/>
          <c:h val="0.55249597350657809"/>
        </c:manualLayout>
      </c:layout>
      <c:lineChart>
        <c:grouping val="standard"/>
        <c:varyColors val="0"/>
        <c:ser>
          <c:idx val="0"/>
          <c:order val="0"/>
          <c:tx>
            <c:strRef>
              <c:f>'CIQ Revision'!$C$7</c:f>
              <c:strCache>
                <c:ptCount val="1"/>
                <c:pt idx="0">
                  <c:v>EPS FY 23E</c:v>
                </c:pt>
              </c:strCache>
            </c:strRef>
          </c:tx>
          <c:spPr>
            <a:ln w="22225">
              <a:solidFill>
                <a:schemeClr val="accent3">
                  <a:lumMod val="50000"/>
                </a:schemeClr>
              </a:solidFill>
            </a:ln>
          </c:spPr>
          <c:marker>
            <c:symbol val="none"/>
          </c:marker>
          <c:cat>
            <c:numRef>
              <c:f>'CIQ Revision'!$B$8:$B$59</c:f>
              <c:numCache>
                <c:formatCode>m/d/yyyy</c:formatCode>
                <c:ptCount val="52"/>
                <c:pt idx="0">
                  <c:v>44280</c:v>
                </c:pt>
                <c:pt idx="1">
                  <c:v>44287</c:v>
                </c:pt>
                <c:pt idx="2">
                  <c:v>44294</c:v>
                </c:pt>
                <c:pt idx="3">
                  <c:v>44301</c:v>
                </c:pt>
                <c:pt idx="4">
                  <c:v>44308</c:v>
                </c:pt>
                <c:pt idx="5">
                  <c:v>44315</c:v>
                </c:pt>
                <c:pt idx="6">
                  <c:v>44322</c:v>
                </c:pt>
                <c:pt idx="7">
                  <c:v>44329</c:v>
                </c:pt>
                <c:pt idx="8">
                  <c:v>44336</c:v>
                </c:pt>
                <c:pt idx="9">
                  <c:v>44343</c:v>
                </c:pt>
                <c:pt idx="10">
                  <c:v>44350</c:v>
                </c:pt>
                <c:pt idx="11">
                  <c:v>44357</c:v>
                </c:pt>
                <c:pt idx="12">
                  <c:v>44364</c:v>
                </c:pt>
                <c:pt idx="13">
                  <c:v>44371</c:v>
                </c:pt>
                <c:pt idx="14">
                  <c:v>44378</c:v>
                </c:pt>
                <c:pt idx="15">
                  <c:v>44385</c:v>
                </c:pt>
                <c:pt idx="16">
                  <c:v>44392</c:v>
                </c:pt>
                <c:pt idx="17">
                  <c:v>44399</c:v>
                </c:pt>
                <c:pt idx="18">
                  <c:v>44406</c:v>
                </c:pt>
                <c:pt idx="19">
                  <c:v>44413</c:v>
                </c:pt>
                <c:pt idx="20">
                  <c:v>44420</c:v>
                </c:pt>
                <c:pt idx="21">
                  <c:v>44427</c:v>
                </c:pt>
                <c:pt idx="22">
                  <c:v>44434</c:v>
                </c:pt>
                <c:pt idx="23">
                  <c:v>44441</c:v>
                </c:pt>
                <c:pt idx="24">
                  <c:v>44448</c:v>
                </c:pt>
                <c:pt idx="25">
                  <c:v>44455</c:v>
                </c:pt>
                <c:pt idx="26">
                  <c:v>44462</c:v>
                </c:pt>
                <c:pt idx="27">
                  <c:v>44469</c:v>
                </c:pt>
                <c:pt idx="28">
                  <c:v>44476</c:v>
                </c:pt>
                <c:pt idx="29">
                  <c:v>44483</c:v>
                </c:pt>
                <c:pt idx="30">
                  <c:v>44490</c:v>
                </c:pt>
                <c:pt idx="31">
                  <c:v>44497</c:v>
                </c:pt>
                <c:pt idx="32">
                  <c:v>44504</c:v>
                </c:pt>
                <c:pt idx="33">
                  <c:v>44511</c:v>
                </c:pt>
                <c:pt idx="34">
                  <c:v>44518</c:v>
                </c:pt>
                <c:pt idx="35">
                  <c:v>44525</c:v>
                </c:pt>
                <c:pt idx="36">
                  <c:v>44532</c:v>
                </c:pt>
                <c:pt idx="37">
                  <c:v>44539</c:v>
                </c:pt>
                <c:pt idx="38">
                  <c:v>44546</c:v>
                </c:pt>
                <c:pt idx="39">
                  <c:v>44553</c:v>
                </c:pt>
                <c:pt idx="40">
                  <c:v>44560</c:v>
                </c:pt>
                <c:pt idx="41">
                  <c:v>44567</c:v>
                </c:pt>
                <c:pt idx="42">
                  <c:v>44574</c:v>
                </c:pt>
                <c:pt idx="43">
                  <c:v>44581</c:v>
                </c:pt>
                <c:pt idx="44">
                  <c:v>44588</c:v>
                </c:pt>
                <c:pt idx="45">
                  <c:v>44595</c:v>
                </c:pt>
                <c:pt idx="46">
                  <c:v>44602</c:v>
                </c:pt>
                <c:pt idx="47">
                  <c:v>44609</c:v>
                </c:pt>
                <c:pt idx="48">
                  <c:v>44616</c:v>
                </c:pt>
                <c:pt idx="49">
                  <c:v>44623</c:v>
                </c:pt>
                <c:pt idx="50">
                  <c:v>44630</c:v>
                </c:pt>
                <c:pt idx="51">
                  <c:v>44637</c:v>
                </c:pt>
              </c:numCache>
            </c:numRef>
          </c:cat>
          <c:val>
            <c:numRef>
              <c:f>'CIQ Revision'!$C$8:$C$59</c:f>
              <c:numCache>
                <c:formatCode>#,##0.00_);\(#,##0.00\)</c:formatCode>
                <c:ptCount val="52"/>
                <c:pt idx="0">
                  <c:v>5.8777900000000001</c:v>
                </c:pt>
                <c:pt idx="1">
                  <c:v>5.8777900000000001</c:v>
                </c:pt>
                <c:pt idx="2">
                  <c:v>5.87812</c:v>
                </c:pt>
                <c:pt idx="3">
                  <c:v>5.87812</c:v>
                </c:pt>
                <c:pt idx="4">
                  <c:v>5.87812</c:v>
                </c:pt>
                <c:pt idx="5">
                  <c:v>5.87812</c:v>
                </c:pt>
                <c:pt idx="6">
                  <c:v>5.87812</c:v>
                </c:pt>
                <c:pt idx="7">
                  <c:v>5.8830200000000001</c:v>
                </c:pt>
                <c:pt idx="8">
                  <c:v>6.2245600000000003</c:v>
                </c:pt>
                <c:pt idx="9">
                  <c:v>6.2291100000000004</c:v>
                </c:pt>
                <c:pt idx="10">
                  <c:v>6.2197100000000001</c:v>
                </c:pt>
                <c:pt idx="11">
                  <c:v>6.2282000000000002</c:v>
                </c:pt>
                <c:pt idx="12">
                  <c:v>6.2283099999999996</c:v>
                </c:pt>
                <c:pt idx="13">
                  <c:v>6.2407399999999997</c:v>
                </c:pt>
                <c:pt idx="14">
                  <c:v>6.2407399999999997</c:v>
                </c:pt>
                <c:pt idx="15">
                  <c:v>6.2513399999999999</c:v>
                </c:pt>
                <c:pt idx="16">
                  <c:v>6.2573999999999996</c:v>
                </c:pt>
                <c:pt idx="17">
                  <c:v>6.2573999999999996</c:v>
                </c:pt>
                <c:pt idx="18">
                  <c:v>6.2573999999999996</c:v>
                </c:pt>
                <c:pt idx="19">
                  <c:v>6.25509</c:v>
                </c:pt>
                <c:pt idx="20">
                  <c:v>6.2956599999999998</c:v>
                </c:pt>
                <c:pt idx="21">
                  <c:v>6.5366799999999996</c:v>
                </c:pt>
                <c:pt idx="22">
                  <c:v>6.5507400000000002</c:v>
                </c:pt>
                <c:pt idx="23">
                  <c:v>6.5507400000000002</c:v>
                </c:pt>
                <c:pt idx="24">
                  <c:v>6.5560600000000004</c:v>
                </c:pt>
                <c:pt idx="25">
                  <c:v>6.5560600000000004</c:v>
                </c:pt>
                <c:pt idx="26">
                  <c:v>6.5604300000000002</c:v>
                </c:pt>
                <c:pt idx="27">
                  <c:v>6.5604300000000002</c:v>
                </c:pt>
                <c:pt idx="28">
                  <c:v>6.5604300000000002</c:v>
                </c:pt>
                <c:pt idx="29">
                  <c:v>6.5604300000000002</c:v>
                </c:pt>
                <c:pt idx="30">
                  <c:v>6.5788700000000002</c:v>
                </c:pt>
                <c:pt idx="31">
                  <c:v>6.5788700000000002</c:v>
                </c:pt>
                <c:pt idx="32">
                  <c:v>6.5784799999999999</c:v>
                </c:pt>
                <c:pt idx="33">
                  <c:v>6.5765000000000002</c:v>
                </c:pt>
                <c:pt idx="34">
                  <c:v>6.6719400000000002</c:v>
                </c:pt>
                <c:pt idx="35">
                  <c:v>6.6830999999999996</c:v>
                </c:pt>
                <c:pt idx="36">
                  <c:v>6.6751199999999997</c:v>
                </c:pt>
                <c:pt idx="37">
                  <c:v>6.6751199999999997</c:v>
                </c:pt>
                <c:pt idx="38">
                  <c:v>6.68825</c:v>
                </c:pt>
                <c:pt idx="39">
                  <c:v>6.6935599999999997</c:v>
                </c:pt>
                <c:pt idx="40">
                  <c:v>6.6935599999999997</c:v>
                </c:pt>
                <c:pt idx="41">
                  <c:v>6.6935599999999997</c:v>
                </c:pt>
                <c:pt idx="42">
                  <c:v>6.6952699999999998</c:v>
                </c:pt>
                <c:pt idx="43">
                  <c:v>6.6867799999999997</c:v>
                </c:pt>
                <c:pt idx="44">
                  <c:v>6.6877599999999999</c:v>
                </c:pt>
                <c:pt idx="45">
                  <c:v>6.6906999999999996</c:v>
                </c:pt>
                <c:pt idx="46">
                  <c:v>6.6923599999999999</c:v>
                </c:pt>
                <c:pt idx="47">
                  <c:v>6.71028</c:v>
                </c:pt>
                <c:pt idx="48">
                  <c:v>6.7334100000000001</c:v>
                </c:pt>
                <c:pt idx="49">
                  <c:v>6.7339000000000002</c:v>
                </c:pt>
                <c:pt idx="50">
                  <c:v>6.7339000000000002</c:v>
                </c:pt>
                <c:pt idx="51">
                  <c:v>6.7588600000000003</c:v>
                </c:pt>
              </c:numCache>
            </c:numRef>
          </c:val>
          <c:smooth val="0"/>
          <c:extLst>
            <c:ext xmlns:c16="http://schemas.microsoft.com/office/drawing/2014/chart" uri="{C3380CC4-5D6E-409C-BE32-E72D297353CC}">
              <c16:uniqueId val="{00000000-0B55-4869-9EE7-F4BBC07E8C14}"/>
            </c:ext>
          </c:extLst>
        </c:ser>
        <c:dLbls>
          <c:showLegendKey val="0"/>
          <c:showVal val="0"/>
          <c:showCatName val="0"/>
          <c:showSerName val="0"/>
          <c:showPercent val="0"/>
          <c:showBubbleSize val="0"/>
        </c:dLbls>
        <c:smooth val="0"/>
        <c:axId val="749364736"/>
        <c:axId val="190449920"/>
      </c:lineChart>
      <c:dateAx>
        <c:axId val="749364736"/>
        <c:scaling>
          <c:orientation val="minMax"/>
        </c:scaling>
        <c:delete val="0"/>
        <c:axPos val="b"/>
        <c:numFmt formatCode="[$-409]mmm\ yy;@" sourceLinked="0"/>
        <c:majorTickMark val="none"/>
        <c:minorTickMark val="none"/>
        <c:tickLblPos val="low"/>
        <c:txPr>
          <a:bodyPr rot="0" vert="horz"/>
          <a:lstStyle/>
          <a:p>
            <a:pPr>
              <a:defRPr/>
            </a:pPr>
            <a:endParaRPr lang="en-US"/>
          </a:p>
        </c:txPr>
        <c:crossAx val="190449920"/>
        <c:crosses val="autoZero"/>
        <c:auto val="1"/>
        <c:lblOffset val="100"/>
        <c:baseTimeUnit val="days"/>
        <c:majorUnit val="3"/>
        <c:majorTimeUnit val="months"/>
      </c:dateAx>
      <c:valAx>
        <c:axId val="190449920"/>
        <c:scaling>
          <c:orientation val="minMax"/>
          <c:max val="4.4398119999999999"/>
          <c:min val="3.540788"/>
        </c:scaling>
        <c:delete val="0"/>
        <c:axPos val="l"/>
        <c:numFmt formatCode="#,##0.00" sourceLinked="0"/>
        <c:majorTickMark val="none"/>
        <c:minorTickMark val="none"/>
        <c:tickLblPos val="nextTo"/>
        <c:crossAx val="749364736"/>
        <c:crosses val="autoZero"/>
        <c:crossBetween val="between"/>
        <c:majorUnit val="0.25686399999999987"/>
      </c:valAx>
      <c:spPr>
        <a:noFill/>
      </c:spPr>
    </c:plotArea>
    <c:legend>
      <c:legendPos val="t"/>
      <c:layout>
        <c:manualLayout>
          <c:xMode val="edge"/>
          <c:yMode val="edge"/>
          <c:x val="9.1332239720034999E-2"/>
          <c:y val="0"/>
          <c:w val="0.83939566929133869"/>
          <c:h val="0.13501460340892418"/>
        </c:manualLayout>
      </c:layout>
      <c:overlay val="0"/>
    </c:legend>
    <c:plotVisOnly val="1"/>
    <c:dispBlanksAs val="gap"/>
    <c:showDLblsOverMax val="0"/>
  </c:chart>
  <c:spPr>
    <a:noFill/>
    <a:ln>
      <a:noFill/>
    </a:ln>
    <a:effectLst>
      <a:glow rad="63500">
        <a:srgbClr val="002060">
          <a:alpha val="40000"/>
        </a:srgbClr>
      </a:glow>
      <a:softEdge rad="12700"/>
    </a:effectLst>
  </c:spPr>
  <c:txPr>
    <a:bodyPr/>
    <a:lstStyle/>
    <a:p>
      <a:pPr>
        <a:defRPr sz="8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02535408009335"/>
          <c:y val="7.9207879624812447E-2"/>
          <c:w val="0.49615893659566462"/>
          <c:h val="0.8085809575733699"/>
        </c:manualLayout>
      </c:layout>
      <c:pieChart>
        <c:varyColors val="1"/>
        <c:ser>
          <c:idx val="0"/>
          <c:order val="0"/>
          <c:tx>
            <c:strRef>
              <c:f>'CIQ Segments'!$B$23</c:f>
              <c:strCache>
                <c:ptCount val="1"/>
                <c:pt idx="0">
                  <c:v>Revenue By Geography</c:v>
                </c:pt>
              </c:strCache>
            </c:strRef>
          </c:tx>
          <c:spPr>
            <a:solidFill>
              <a:schemeClr val="accent3">
                <a:lumMod val="50000"/>
              </a:schemeClr>
            </a:solidFill>
          </c:spPr>
          <c:dPt>
            <c:idx val="0"/>
            <c:bubble3D val="0"/>
            <c:extLst>
              <c:ext xmlns:c16="http://schemas.microsoft.com/office/drawing/2014/chart" uri="{C3380CC4-5D6E-409C-BE32-E72D297353CC}">
                <c16:uniqueId val="{00000001-017E-4D51-812B-8D27778365DF}"/>
              </c:ext>
            </c:extLst>
          </c:dPt>
          <c:dPt>
            <c:idx val="1"/>
            <c:bubble3D val="0"/>
            <c:spPr>
              <a:solidFill>
                <a:schemeClr val="accent3">
                  <a:lumMod val="75000"/>
                </a:schemeClr>
              </a:solidFill>
            </c:spPr>
            <c:extLst>
              <c:ext xmlns:c16="http://schemas.microsoft.com/office/drawing/2014/chart" uri="{C3380CC4-5D6E-409C-BE32-E72D297353CC}">
                <c16:uniqueId val="{00000003-017E-4D51-812B-8D27778365DF}"/>
              </c:ext>
            </c:extLst>
          </c:dPt>
          <c:dPt>
            <c:idx val="2"/>
            <c:bubble3D val="0"/>
            <c:spPr>
              <a:solidFill>
                <a:schemeClr val="accent3"/>
              </a:solidFill>
            </c:spPr>
            <c:extLst>
              <c:ext xmlns:c16="http://schemas.microsoft.com/office/drawing/2014/chart" uri="{C3380CC4-5D6E-409C-BE32-E72D297353CC}">
                <c16:uniqueId val="{00000005-017E-4D51-812B-8D27778365DF}"/>
              </c:ext>
            </c:extLst>
          </c:dPt>
          <c:dPt>
            <c:idx val="3"/>
            <c:bubble3D val="0"/>
            <c:spPr>
              <a:solidFill>
                <a:schemeClr val="accent3">
                  <a:lumMod val="60000"/>
                  <a:lumOff val="40000"/>
                </a:schemeClr>
              </a:solidFill>
            </c:spPr>
            <c:extLst>
              <c:ext xmlns:c16="http://schemas.microsoft.com/office/drawing/2014/chart" uri="{C3380CC4-5D6E-409C-BE32-E72D297353CC}">
                <c16:uniqueId val="{00000007-017E-4D51-812B-8D27778365DF}"/>
              </c:ext>
            </c:extLst>
          </c:dPt>
          <c:dPt>
            <c:idx val="4"/>
            <c:bubble3D val="0"/>
            <c:spPr>
              <a:solidFill>
                <a:schemeClr val="accent3">
                  <a:lumMod val="40000"/>
                  <a:lumOff val="60000"/>
                </a:schemeClr>
              </a:solidFill>
            </c:spPr>
            <c:extLst>
              <c:ext xmlns:c16="http://schemas.microsoft.com/office/drawing/2014/chart" uri="{C3380CC4-5D6E-409C-BE32-E72D297353CC}">
                <c16:uniqueId val="{00000009-017E-4D51-812B-8D27778365DF}"/>
              </c:ext>
            </c:extLst>
          </c:dPt>
          <c:dPt>
            <c:idx val="5"/>
            <c:bubble3D val="0"/>
            <c:spPr>
              <a:solidFill>
                <a:schemeClr val="accent3">
                  <a:lumMod val="20000"/>
                  <a:lumOff val="80000"/>
                </a:schemeClr>
              </a:solidFill>
            </c:spPr>
            <c:extLst>
              <c:ext xmlns:c16="http://schemas.microsoft.com/office/drawing/2014/chart" uri="{C3380CC4-5D6E-409C-BE32-E72D297353CC}">
                <c16:uniqueId val="{0000000B-017E-4D51-812B-8D27778365DF}"/>
              </c:ext>
            </c:extLst>
          </c:dPt>
          <c:dPt>
            <c:idx val="6"/>
            <c:bubble3D val="0"/>
            <c:extLst>
              <c:ext xmlns:c16="http://schemas.microsoft.com/office/drawing/2014/chart" uri="{C3380CC4-5D6E-409C-BE32-E72D297353CC}">
                <c16:uniqueId val="{0000000D-017E-4D51-812B-8D27778365DF}"/>
              </c:ext>
            </c:extLst>
          </c:dPt>
          <c:dLbls>
            <c:dLbl>
              <c:idx val="0"/>
              <c:delete val="1"/>
              <c:extLst>
                <c:ext xmlns:c15="http://schemas.microsoft.com/office/drawing/2012/chart" uri="{CE6537A1-D6FC-4f65-9D91-7224C49458BB}"/>
                <c:ext xmlns:c16="http://schemas.microsoft.com/office/drawing/2014/chart" uri="{C3380CC4-5D6E-409C-BE32-E72D297353CC}">
                  <c16:uniqueId val="{00000001-017E-4D51-812B-8D27778365DF}"/>
                </c:ext>
              </c:extLst>
            </c:dLbl>
            <c:dLbl>
              <c:idx val="1"/>
              <c:delete val="1"/>
              <c:extLst>
                <c:ext xmlns:c15="http://schemas.microsoft.com/office/drawing/2012/chart" uri="{CE6537A1-D6FC-4f65-9D91-7224C49458BB}"/>
                <c:ext xmlns:c16="http://schemas.microsoft.com/office/drawing/2014/chart" uri="{C3380CC4-5D6E-409C-BE32-E72D297353CC}">
                  <c16:uniqueId val="{00000003-017E-4D51-812B-8D27778365DF}"/>
                </c:ext>
              </c:extLst>
            </c:dLbl>
            <c:dLbl>
              <c:idx val="2"/>
              <c:delete val="1"/>
              <c:extLst>
                <c:ext xmlns:c15="http://schemas.microsoft.com/office/drawing/2012/chart" uri="{CE6537A1-D6FC-4f65-9D91-7224C49458BB}"/>
                <c:ext xmlns:c16="http://schemas.microsoft.com/office/drawing/2014/chart" uri="{C3380CC4-5D6E-409C-BE32-E72D297353CC}">
                  <c16:uniqueId val="{00000005-017E-4D51-812B-8D27778365DF}"/>
                </c:ext>
              </c:extLst>
            </c:dLbl>
            <c:dLbl>
              <c:idx val="3"/>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17E-4D51-812B-8D27778365DF}"/>
                </c:ext>
              </c:extLst>
            </c:dLbl>
            <c:dLbl>
              <c:idx val="4"/>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017E-4D51-812B-8D27778365DF}"/>
                </c:ext>
              </c:extLst>
            </c:dLbl>
            <c:dLbl>
              <c:idx val="5"/>
              <c:spPr>
                <a:noFill/>
                <a:ln>
                  <a:noFill/>
                </a:ln>
                <a:effectLst/>
              </c:spPr>
              <c:txPr>
                <a:bodyPr wrap="square" lIns="38100" tIns="19050" rIns="38100" bIns="19050" anchor="ctr">
                  <a:noAutofit/>
                </a:bodyPr>
                <a:lstStyle/>
                <a:p>
                  <a:pPr>
                    <a:defRPr>
                      <a:solidFill>
                        <a:sysClr val="windowText" lastClr="000000"/>
                      </a:solidFill>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4450151970281367"/>
                      <c:h val="0.21948084937976764"/>
                    </c:manualLayout>
                  </c15:layout>
                </c:ext>
                <c:ext xmlns:c16="http://schemas.microsoft.com/office/drawing/2014/chart" uri="{C3380CC4-5D6E-409C-BE32-E72D297353CC}">
                  <c16:uniqueId val="{0000000B-017E-4D51-812B-8D27778365DF}"/>
                </c:ext>
              </c:extLst>
            </c:dLbl>
            <c:dLbl>
              <c:idx val="6"/>
              <c:delete val="1"/>
              <c:extLst>
                <c:ext xmlns:c15="http://schemas.microsoft.com/office/drawing/2012/chart" uri="{CE6537A1-D6FC-4f65-9D91-7224C49458BB}">
                  <c15:layout>
                    <c:manualLayout>
                      <c:w val="0.24123803097621516"/>
                      <c:h val="0.18599987264644122"/>
                    </c:manualLayout>
                  </c15:layout>
                </c:ext>
                <c:ext xmlns:c16="http://schemas.microsoft.com/office/drawing/2014/chart" uri="{C3380CC4-5D6E-409C-BE32-E72D297353CC}">
                  <c16:uniqueId val="{0000000D-017E-4D51-812B-8D27778365DF}"/>
                </c:ext>
              </c:extLst>
            </c:dLbl>
            <c:dLbl>
              <c:idx val="7"/>
              <c:delete val="1"/>
              <c:extLst>
                <c:ext xmlns:c15="http://schemas.microsoft.com/office/drawing/2012/chart" uri="{CE6537A1-D6FC-4f65-9D91-7224C49458BB}">
                  <c15:layout>
                    <c:manualLayout>
                      <c:w val="0.21242883706483484"/>
                      <c:h val="0.18599987264644122"/>
                    </c:manualLayout>
                  </c15:layout>
                </c:ext>
                <c:ext xmlns:c16="http://schemas.microsoft.com/office/drawing/2014/chart" uri="{C3380CC4-5D6E-409C-BE32-E72D297353CC}">
                  <c16:uniqueId val="{0000000C-B705-46D6-9B56-AD4CEB7041A5}"/>
                </c:ext>
              </c:extLst>
            </c:dLbl>
            <c:dLbl>
              <c:idx val="8"/>
              <c:delete val="1"/>
              <c:extLst>
                <c:ext xmlns:c15="http://schemas.microsoft.com/office/drawing/2012/chart" uri="{CE6537A1-D6FC-4f65-9D91-7224C49458BB}">
                  <c15:layout>
                    <c:manualLayout>
                      <c:w val="0.22095608359051469"/>
                      <c:h val="0.26595668198789318"/>
                    </c:manualLayout>
                  </c15:layout>
                </c:ext>
                <c:ext xmlns:c16="http://schemas.microsoft.com/office/drawing/2014/chart" uri="{C3380CC4-5D6E-409C-BE32-E72D297353CC}">
                  <c16:uniqueId val="{0000000D-B705-46D6-9B56-AD4CEB7041A5}"/>
                </c:ext>
              </c:extLst>
            </c:dLbl>
            <c:dLbl>
              <c:idx val="9"/>
              <c:delete val="1"/>
              <c:extLst>
                <c:ext xmlns:c15="http://schemas.microsoft.com/office/drawing/2012/chart" uri="{CE6537A1-D6FC-4f65-9D91-7224C49458BB}"/>
                <c:ext xmlns:c16="http://schemas.microsoft.com/office/drawing/2014/chart" uri="{C3380CC4-5D6E-409C-BE32-E72D297353CC}">
                  <c16:uniqueId val="{0000000E-B705-46D6-9B56-AD4CEB7041A5}"/>
                </c:ext>
              </c:extLst>
            </c:dLbl>
            <c:dLbl>
              <c:idx val="10"/>
              <c:delete val="1"/>
              <c:extLst>
                <c:ext xmlns:c15="http://schemas.microsoft.com/office/drawing/2012/chart" uri="{CE6537A1-D6FC-4f65-9D91-7224C49458BB}"/>
                <c:ext xmlns:c16="http://schemas.microsoft.com/office/drawing/2014/chart" uri="{C3380CC4-5D6E-409C-BE32-E72D297353CC}">
                  <c16:uniqueId val="{0000000C-B498-400B-AAF8-EE09C9F6A181}"/>
                </c:ext>
              </c:extLst>
            </c:dLbl>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'CIQ Segments'!$B$26:$B$45</c:f>
              <c:strCache>
                <c:ptCount val="3"/>
                <c:pt idx="0">
                  <c:v>U.S.</c:v>
                </c:pt>
                <c:pt idx="1">
                  <c:v>Non-U.S.</c:v>
                </c:pt>
                <c:pt idx="2">
                  <c:v>United States and Puerto Rico</c:v>
                </c:pt>
              </c:strCache>
            </c:strRef>
          </c:cat>
          <c:val>
            <c:numRef>
              <c:f>'CIQ Segments'!$I$26:$I$45</c:f>
              <c:numCache>
                <c:formatCode>_(* #,##0_);_(* \(#,##0\);_(* "-"??_);_(@_)</c:formatCode>
                <c:ptCount val="11"/>
                <c:pt idx="0">
                  <c:v>470295</c:v>
                </c:pt>
                <c:pt idx="1">
                  <c:v>102459</c:v>
                </c:pt>
                <c:pt idx="2">
                  <c:v>0</c:v>
                </c:pt>
              </c:numCache>
            </c:numRef>
          </c:val>
          <c:extLst>
            <c:ext xmlns:c16="http://schemas.microsoft.com/office/drawing/2014/chart" uri="{C3380CC4-5D6E-409C-BE32-E72D297353CC}">
              <c16:uniqueId val="{0000000E-017E-4D51-812B-8D27778365DF}"/>
            </c:ext>
          </c:extLst>
        </c:ser>
        <c:dLbls>
          <c:dLblPos val="outEnd"/>
          <c:showLegendKey val="0"/>
          <c:showVal val="0"/>
          <c:showCatName val="1"/>
          <c:showSerName val="0"/>
          <c:showPercent val="1"/>
          <c:showBubbleSize val="0"/>
          <c:showLeaderLines val="1"/>
        </c:dLbls>
        <c:firstSliceAng val="135"/>
      </c:pieChart>
    </c:plotArea>
    <c:plotVisOnly val="1"/>
    <c:dispBlanksAs val="gap"/>
    <c:showDLblsOverMax val="0"/>
  </c:chart>
  <c:spPr>
    <a:noFill/>
    <a:ln>
      <a:noFill/>
    </a:ln>
  </c:spPr>
  <c:txPr>
    <a:bodyPr/>
    <a:lstStyle/>
    <a:p>
      <a:pPr>
        <a:defRPr sz="8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1"/>
                </a:solidFill>
              </a:defRPr>
            </a:pPr>
            <a:r>
              <a:rPr lang="en-US">
                <a:solidFill>
                  <a:schemeClr val="tx1"/>
                </a:solidFill>
              </a:rPr>
              <a:t>Total Loans to Total Deposits</a:t>
            </a:r>
          </a:p>
        </c:rich>
      </c:tx>
      <c:layout>
        <c:manualLayout>
          <c:xMode val="edge"/>
          <c:yMode val="edge"/>
          <c:x val="3.1577727634623256E-3"/>
          <c:y val="0"/>
        </c:manualLayout>
      </c:layout>
      <c:overlay val="1"/>
    </c:title>
    <c:autoTitleDeleted val="0"/>
    <c:plotArea>
      <c:layout>
        <c:manualLayout>
          <c:layoutTarget val="inner"/>
          <c:xMode val="edge"/>
          <c:yMode val="edge"/>
          <c:x val="0.11779202684314576"/>
          <c:y val="0.17586278277715287"/>
          <c:w val="0.84123845410971487"/>
          <c:h val="0.55473143982002249"/>
        </c:manualLayout>
      </c:layout>
      <c:lineChart>
        <c:grouping val="standard"/>
        <c:varyColors val="0"/>
        <c:ser>
          <c:idx val="0"/>
          <c:order val="0"/>
          <c:tx>
            <c:strRef>
              <c:f>'Key Financials_H'!$B$67</c:f>
              <c:strCache>
                <c:ptCount val="1"/>
                <c:pt idx="0">
                  <c:v>Total Loans to Total Deposits</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trendlineType val="linear"/>
            <c:dispRSqr val="0"/>
            <c:dispEq val="0"/>
          </c:trendline>
          <c:cat>
            <c:strRef>
              <c:f>'Key Financials_H'!$U$75:$U$81</c:f>
              <c:strCache>
                <c:ptCount val="7"/>
                <c:pt idx="0">
                  <c:v>FY2017</c:v>
                </c:pt>
                <c:pt idx="1">
                  <c:v>FY2018</c:v>
                </c:pt>
                <c:pt idx="2">
                  <c:v>FY2019</c:v>
                </c:pt>
                <c:pt idx="3">
                  <c:v>FY2020</c:v>
                </c:pt>
                <c:pt idx="4">
                  <c:v>FY2021</c:v>
                </c:pt>
                <c:pt idx="5">
                  <c:v>FY2022</c:v>
                </c:pt>
                <c:pt idx="6">
                  <c:v>LTM Q4'22</c:v>
                </c:pt>
              </c:strCache>
            </c:strRef>
          </c:cat>
          <c:val>
            <c:numRef>
              <c:f>('Key Financials_H'!$F$67:$K$67,'Key Financials_H'!$N$67)</c:f>
              <c:numCache>
                <c:formatCode>0.0%;[Red]\(0.0%\)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749661184"/>
        <c:axId val="706717952"/>
      </c:lineChart>
      <c:catAx>
        <c:axId val="749661184"/>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06717952"/>
        <c:crosses val="autoZero"/>
        <c:auto val="1"/>
        <c:lblAlgn val="ctr"/>
        <c:lblOffset val="100"/>
        <c:noMultiLvlLbl val="1"/>
      </c:catAx>
      <c:valAx>
        <c:axId val="706717952"/>
        <c:scaling>
          <c:orientation val="minMax"/>
        </c:scaling>
        <c:delete val="0"/>
        <c:axPos val="l"/>
        <c:majorGridlines>
          <c:spPr>
            <a:ln>
              <a:solidFill>
                <a:srgbClr val="D9D9D9"/>
              </a:solidFill>
            </a:ln>
          </c:spPr>
        </c:majorGridlines>
        <c:numFmt formatCode="0%" sourceLinked="0"/>
        <c:majorTickMark val="out"/>
        <c:minorTickMark val="none"/>
        <c:tickLblPos val="nextTo"/>
        <c:crossAx val="749661184"/>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rgbClr val="D9D9D9"/>
          </a:solidFill>
        </a:ln>
      </c:spPr>
    </c:plotArea>
    <c:plotVisOnly val="1"/>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1"/>
                </a:solidFill>
              </a:defRPr>
            </a:pPr>
            <a:r>
              <a:rPr lang="en-US">
                <a:solidFill>
                  <a:schemeClr val="tx1"/>
                </a:solidFill>
              </a:rPr>
              <a:t>Net Loans (USD million)</a:t>
            </a:r>
          </a:p>
        </c:rich>
      </c:tx>
      <c:layout>
        <c:manualLayout>
          <c:xMode val="edge"/>
          <c:yMode val="edge"/>
          <c:x val="3.1577727634623256E-3"/>
          <c:y val="0"/>
        </c:manualLayout>
      </c:layout>
      <c:overlay val="1"/>
    </c:title>
    <c:autoTitleDeleted val="0"/>
    <c:plotArea>
      <c:layout>
        <c:manualLayout>
          <c:layoutTarget val="inner"/>
          <c:xMode val="edge"/>
          <c:yMode val="edge"/>
          <c:x val="0.11779202684314576"/>
          <c:y val="0.17586278277715287"/>
          <c:w val="0.84123845410971487"/>
          <c:h val="0.54977112235970504"/>
        </c:manualLayout>
      </c:layout>
      <c:lineChart>
        <c:grouping val="standard"/>
        <c:varyColors val="0"/>
        <c:ser>
          <c:idx val="0"/>
          <c:order val="0"/>
          <c:tx>
            <c:strRef>
              <c:f>'Key Financials_H'!$V$71</c:f>
              <c:strCache>
                <c:ptCount val="1"/>
                <c:pt idx="0">
                  <c:v>Net Loans (USD million)</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trendlineType val="linear"/>
            <c:dispRSqr val="0"/>
            <c:dispEq val="0"/>
          </c:trendline>
          <c:cat>
            <c:strRef>
              <c:f>'Key Financials_H'!$U$75:$U$81</c:f>
              <c:strCache>
                <c:ptCount val="7"/>
                <c:pt idx="0">
                  <c:v>FY2017</c:v>
                </c:pt>
                <c:pt idx="1">
                  <c:v>FY2018</c:v>
                </c:pt>
                <c:pt idx="2">
                  <c:v>FY2019</c:v>
                </c:pt>
                <c:pt idx="3">
                  <c:v>FY2020</c:v>
                </c:pt>
                <c:pt idx="4">
                  <c:v>FY2021</c:v>
                </c:pt>
                <c:pt idx="5">
                  <c:v>FY2022</c:v>
                </c:pt>
                <c:pt idx="6">
                  <c:v>LTM Q4'22</c:v>
                </c:pt>
              </c:strCache>
            </c:strRef>
          </c:cat>
          <c:val>
            <c:numRef>
              <c:f>('Key Financials_H'!$F$68:$K$68,'Key Financials_H'!$N$68)</c:f>
              <c:numCache>
                <c:formatCode>#,##0;[Red]\(#,##0\)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65117696"/>
        <c:axId val="706720256"/>
      </c:lineChart>
      <c:catAx>
        <c:axId val="865117696"/>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06720256"/>
        <c:crosses val="autoZero"/>
        <c:auto val="1"/>
        <c:lblAlgn val="ctr"/>
        <c:lblOffset val="100"/>
        <c:noMultiLvlLbl val="1"/>
      </c:catAx>
      <c:valAx>
        <c:axId val="706720256"/>
        <c:scaling>
          <c:orientation val="minMax"/>
        </c:scaling>
        <c:delete val="0"/>
        <c:axPos val="l"/>
        <c:majorGridlines>
          <c:spPr>
            <a:ln>
              <a:solidFill>
                <a:srgbClr val="D9D9D9"/>
              </a:solidFill>
            </a:ln>
          </c:spPr>
        </c:majorGridlines>
        <c:numFmt formatCode="#,##0" sourceLinked="0"/>
        <c:majorTickMark val="out"/>
        <c:minorTickMark val="none"/>
        <c:tickLblPos val="nextTo"/>
        <c:crossAx val="865117696"/>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rgbClr val="D9D9D9"/>
          </a:solidFill>
        </a:ln>
      </c:spPr>
    </c:plotArea>
    <c:plotVisOnly val="1"/>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1"/>
                </a:solidFill>
              </a:defRPr>
            </a:pPr>
            <a:r>
              <a:rPr lang="en-US">
                <a:solidFill>
                  <a:schemeClr val="tx1"/>
                </a:solidFill>
              </a:rPr>
              <a:t>EBT (USD million)</a:t>
            </a:r>
          </a:p>
        </c:rich>
      </c:tx>
      <c:layout>
        <c:manualLayout>
          <c:xMode val="edge"/>
          <c:yMode val="edge"/>
          <c:x val="3.1577727634623256E-3"/>
          <c:y val="0"/>
        </c:manualLayout>
      </c:layout>
      <c:overlay val="1"/>
    </c:title>
    <c:autoTitleDeleted val="0"/>
    <c:plotArea>
      <c:layout>
        <c:manualLayout>
          <c:layoutTarget val="inner"/>
          <c:xMode val="edge"/>
          <c:yMode val="edge"/>
          <c:x val="0.11779202684314576"/>
          <c:y val="0.17586278277715287"/>
          <c:w val="0.84123845410971487"/>
          <c:h val="0.55473143982002249"/>
        </c:manualLayout>
      </c:layout>
      <c:lineChart>
        <c:grouping val="standard"/>
        <c:varyColors val="0"/>
        <c:ser>
          <c:idx val="0"/>
          <c:order val="0"/>
          <c:tx>
            <c:strRef>
              <c:f>'Key Financials_H'!$V$72</c:f>
              <c:strCache>
                <c:ptCount val="1"/>
                <c:pt idx="0">
                  <c:v>EBT (USD million)</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trendlineType val="linear"/>
            <c:dispRSqr val="0"/>
            <c:dispEq val="0"/>
          </c:trendline>
          <c:cat>
            <c:strRef>
              <c:f>'Key Financials_H'!$U$75:$U$81</c:f>
              <c:strCache>
                <c:ptCount val="7"/>
                <c:pt idx="0">
                  <c:v>FY2017</c:v>
                </c:pt>
                <c:pt idx="1">
                  <c:v>FY2018</c:v>
                </c:pt>
                <c:pt idx="2">
                  <c:v>FY2019</c:v>
                </c:pt>
                <c:pt idx="3">
                  <c:v>FY2020</c:v>
                </c:pt>
                <c:pt idx="4">
                  <c:v>FY2021</c:v>
                </c:pt>
                <c:pt idx="5">
                  <c:v>FY2022</c:v>
                </c:pt>
                <c:pt idx="6">
                  <c:v>LTM Q4'22</c:v>
                </c:pt>
              </c:strCache>
            </c:strRef>
          </c:cat>
          <c:val>
            <c:numRef>
              <c:f>('Key Financials_H'!$F$69:$K$69,'Key Financials_H'!$N$69)</c:f>
              <c:numCache>
                <c:formatCode>#,##0;[Red]\(#,##0\)</c:formatCode>
                <c:ptCount val="7"/>
                <c:pt idx="0">
                  <c:v>20497</c:v>
                </c:pt>
                <c:pt idx="1">
                  <c:v>15123</c:v>
                </c:pt>
                <c:pt idx="2">
                  <c:v>11460</c:v>
                </c:pt>
                <c:pt idx="3">
                  <c:v>20116</c:v>
                </c:pt>
                <c:pt idx="4">
                  <c:v>20564</c:v>
                </c:pt>
                <c:pt idx="5">
                  <c:v>18696</c:v>
                </c:pt>
                <c:pt idx="6">
                  <c:v>18696</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65119232"/>
        <c:axId val="706722560"/>
      </c:lineChart>
      <c:catAx>
        <c:axId val="865119232"/>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06722560"/>
        <c:crosses val="autoZero"/>
        <c:auto val="1"/>
        <c:lblAlgn val="ctr"/>
        <c:lblOffset val="100"/>
        <c:noMultiLvlLbl val="1"/>
      </c:catAx>
      <c:valAx>
        <c:axId val="706722560"/>
        <c:scaling>
          <c:orientation val="minMax"/>
        </c:scaling>
        <c:delete val="0"/>
        <c:axPos val="l"/>
        <c:majorGridlines>
          <c:spPr>
            <a:ln>
              <a:solidFill>
                <a:srgbClr val="D9D9D9"/>
              </a:solidFill>
            </a:ln>
          </c:spPr>
        </c:majorGridlines>
        <c:numFmt formatCode="#,##0" sourceLinked="0"/>
        <c:majorTickMark val="out"/>
        <c:minorTickMark val="none"/>
        <c:tickLblPos val="nextTo"/>
        <c:crossAx val="865119232"/>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rgbClr val="D9D9D9"/>
          </a:solidFill>
        </a:ln>
      </c:spPr>
    </c:plotArea>
    <c:plotVisOnly val="1"/>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1"/>
                </a:solidFill>
              </a:defRPr>
            </a:pPr>
            <a:r>
              <a:rPr lang="en-US">
                <a:solidFill>
                  <a:schemeClr val="tx1"/>
                </a:solidFill>
              </a:rPr>
              <a:t>Net Interest Income (USD million)</a:t>
            </a:r>
          </a:p>
        </c:rich>
      </c:tx>
      <c:layout>
        <c:manualLayout>
          <c:xMode val="edge"/>
          <c:yMode val="edge"/>
          <c:x val="3.1577727634623256E-3"/>
          <c:y val="0"/>
        </c:manualLayout>
      </c:layout>
      <c:overlay val="1"/>
    </c:title>
    <c:autoTitleDeleted val="0"/>
    <c:plotArea>
      <c:layout>
        <c:manualLayout>
          <c:layoutTarget val="inner"/>
          <c:xMode val="edge"/>
          <c:yMode val="edge"/>
          <c:x val="0.11779202684314576"/>
          <c:y val="0.17586278277715287"/>
          <c:w val="0.84123845410971487"/>
          <c:h val="0.54977112235970504"/>
        </c:manualLayout>
      </c:layout>
      <c:lineChart>
        <c:grouping val="standard"/>
        <c:varyColors val="0"/>
        <c:ser>
          <c:idx val="0"/>
          <c:order val="0"/>
          <c:tx>
            <c:strRef>
              <c:f>'Key Financials_H'!$V$73</c:f>
              <c:strCache>
                <c:ptCount val="1"/>
                <c:pt idx="0">
                  <c:v>Net Interest Income (USD million)</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trendlineType val="linear"/>
            <c:dispRSqr val="0"/>
            <c:dispEq val="0"/>
          </c:trendline>
          <c:cat>
            <c:strRef>
              <c:f>'Key Financials_H'!$U$75:$U$81</c:f>
              <c:strCache>
                <c:ptCount val="7"/>
                <c:pt idx="0">
                  <c:v>FY2017</c:v>
                </c:pt>
                <c:pt idx="1">
                  <c:v>FY2018</c:v>
                </c:pt>
                <c:pt idx="2">
                  <c:v>FY2019</c:v>
                </c:pt>
                <c:pt idx="3">
                  <c:v>FY2020</c:v>
                </c:pt>
                <c:pt idx="4">
                  <c:v>FY2021</c:v>
                </c:pt>
                <c:pt idx="5">
                  <c:v>FY2022</c:v>
                </c:pt>
                <c:pt idx="6">
                  <c:v>LTM Q4'22</c:v>
                </c:pt>
              </c:strCache>
            </c:strRef>
          </c:cat>
          <c:val>
            <c:numRef>
              <c:f>('Key Financials_H'!$F$70:$K$70,'Key Financials_H'!$N$70)</c:f>
              <c:numCache>
                <c:formatCode>#,##0;[Red]\(#,##0\)</c:formatCode>
                <c:ptCount val="7"/>
                <c:pt idx="0">
                  <c:v>13643</c:v>
                </c:pt>
                <c:pt idx="1">
                  <c:v>9862</c:v>
                </c:pt>
                <c:pt idx="2">
                  <c:v>6670</c:v>
                </c:pt>
                <c:pt idx="3">
                  <c:v>14881</c:v>
                </c:pt>
                <c:pt idx="4">
                  <c:v>13510</c:v>
                </c:pt>
                <c:pt idx="5">
                  <c:v>13673</c:v>
                </c:pt>
                <c:pt idx="6">
                  <c:v>0</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74725376"/>
        <c:axId val="750158976"/>
      </c:lineChart>
      <c:catAx>
        <c:axId val="874725376"/>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50158976"/>
        <c:crosses val="autoZero"/>
        <c:auto val="1"/>
        <c:lblAlgn val="ctr"/>
        <c:lblOffset val="100"/>
        <c:noMultiLvlLbl val="1"/>
      </c:catAx>
      <c:valAx>
        <c:axId val="750158976"/>
        <c:scaling>
          <c:orientation val="minMax"/>
        </c:scaling>
        <c:delete val="0"/>
        <c:axPos val="l"/>
        <c:majorGridlines>
          <c:spPr>
            <a:ln>
              <a:solidFill>
                <a:srgbClr val="D9D9D9"/>
              </a:solidFill>
            </a:ln>
          </c:spPr>
        </c:majorGridlines>
        <c:numFmt formatCode="#,##0" sourceLinked="0"/>
        <c:majorTickMark val="out"/>
        <c:minorTickMark val="none"/>
        <c:tickLblPos val="nextTo"/>
        <c:crossAx val="874725376"/>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rgbClr val="D9D9D9"/>
          </a:solidFill>
        </a:ln>
      </c:spPr>
    </c:plotArea>
    <c:plotVisOnly val="1"/>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 Financials'!$B$71</c:f>
          <c:strCache>
            <c:ptCount val="1"/>
            <c:pt idx="0">
              <c:v>Total Debt/EBITDA</c:v>
            </c:pt>
          </c:strCache>
        </c:strRef>
      </c:tx>
      <c:layout>
        <c:manualLayout>
          <c:xMode val="edge"/>
          <c:yMode val="edge"/>
          <c:x val="3.1577727634623256E-3"/>
          <c:y val="0"/>
        </c:manualLayout>
      </c:layout>
      <c:overlay val="1"/>
      <c:txPr>
        <a:bodyPr/>
        <a:lstStyle/>
        <a:p>
          <a:pPr>
            <a:defRPr sz="1000"/>
          </a:pPr>
          <a:endParaRPr lang="en-US"/>
        </a:p>
      </c:txPr>
    </c:title>
    <c:autoTitleDeleted val="0"/>
    <c:plotArea>
      <c:layout>
        <c:manualLayout>
          <c:layoutTarget val="inner"/>
          <c:xMode val="edge"/>
          <c:yMode val="edge"/>
          <c:x val="0.11779202684314576"/>
          <c:y val="0.17586278277715287"/>
          <c:w val="0.84123845410971487"/>
          <c:h val="0.55969175728033993"/>
        </c:manualLayout>
      </c:layout>
      <c:lineChart>
        <c:grouping val="standard"/>
        <c:varyColors val="0"/>
        <c:ser>
          <c:idx val="0"/>
          <c:order val="0"/>
          <c:tx>
            <c:strRef>
              <c:f>'Key Financials'!$B$59</c:f>
              <c:strCache>
                <c:ptCount val="1"/>
                <c:pt idx="0">
                  <c:v>Total Debt / EBITDA</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spPr>
              <a:ln>
                <a:solidFill>
                  <a:schemeClr val="tx1"/>
                </a:solidFill>
              </a:ln>
            </c:spPr>
            <c:trendlineType val="linear"/>
            <c:dispRSqr val="0"/>
            <c:dispEq val="0"/>
          </c:trendline>
          <c:cat>
            <c:strRef>
              <c:f>'Key Financials'!$B$83:$B$89</c:f>
              <c:strCache>
                <c:ptCount val="7"/>
                <c:pt idx="0">
                  <c:v>FY2017</c:v>
                </c:pt>
                <c:pt idx="1">
                  <c:v>FY2018</c:v>
                </c:pt>
                <c:pt idx="2">
                  <c:v>FY2019</c:v>
                </c:pt>
                <c:pt idx="3">
                  <c:v>FY2020</c:v>
                </c:pt>
                <c:pt idx="4">
                  <c:v>FY2021</c:v>
                </c:pt>
                <c:pt idx="5">
                  <c:v>FY2022</c:v>
                </c:pt>
                <c:pt idx="6">
                  <c:v>LTM Q4'22</c:v>
                </c:pt>
              </c:strCache>
            </c:strRef>
          </c:cat>
          <c:val>
            <c:numRef>
              <c:f>('Key Financials'!$F$71:$K$71,'Key Financials'!$N$71)</c:f>
              <c:numCache>
                <c:formatCode>0.0\x</c:formatCode>
                <c:ptCount val="7"/>
                <c:pt idx="0">
                  <c:v>1.4178500000000001</c:v>
                </c:pt>
                <c:pt idx="1">
                  <c:v>1.4832799999999999</c:v>
                </c:pt>
                <c:pt idx="2">
                  <c:v>1.7913600000000001</c:v>
                </c:pt>
                <c:pt idx="3">
                  <c:v>2.0417999999999998</c:v>
                </c:pt>
                <c:pt idx="4">
                  <c:v>1.53338</c:v>
                </c:pt>
                <c:pt idx="5">
                  <c:v>1.4716</c:v>
                </c:pt>
                <c:pt idx="6">
                  <c:v>1.4716</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74512896"/>
        <c:axId val="750161856"/>
      </c:lineChart>
      <c:catAx>
        <c:axId val="874512896"/>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50161856"/>
        <c:crosses val="autoZero"/>
        <c:auto val="1"/>
        <c:lblAlgn val="ctr"/>
        <c:lblOffset val="100"/>
        <c:noMultiLvlLbl val="1"/>
      </c:catAx>
      <c:valAx>
        <c:axId val="750161856"/>
        <c:scaling>
          <c:orientation val="minMax"/>
        </c:scaling>
        <c:delete val="0"/>
        <c:axPos val="l"/>
        <c:majorGridlines>
          <c:spPr>
            <a:ln>
              <a:solidFill>
                <a:srgbClr val="D9D9D9"/>
              </a:solidFill>
            </a:ln>
          </c:spPr>
        </c:majorGridlines>
        <c:numFmt formatCode="0.0\x" sourceLinked="0"/>
        <c:majorTickMark val="out"/>
        <c:minorTickMark val="none"/>
        <c:tickLblPos val="nextTo"/>
        <c:crossAx val="874512896"/>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plotVisOnly val="1"/>
    <c:dispBlanksAs val="gap"/>
    <c:showDLblsOverMax val="0"/>
  </c:chart>
  <c:spPr>
    <a:solidFill>
      <a:schemeClr val="bg1"/>
    </a:solid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 Financials'!$C$79</c:f>
          <c:strCache>
            <c:ptCount val="1"/>
            <c:pt idx="0">
              <c:v>Total Cash (USD million)</c:v>
            </c:pt>
          </c:strCache>
        </c:strRef>
      </c:tx>
      <c:layout>
        <c:manualLayout>
          <c:xMode val="edge"/>
          <c:yMode val="edge"/>
          <c:x val="3.1577727634623256E-3"/>
          <c:y val="0"/>
        </c:manualLayout>
      </c:layout>
      <c:overlay val="1"/>
      <c:txPr>
        <a:bodyPr/>
        <a:lstStyle/>
        <a:p>
          <a:pPr>
            <a:defRPr sz="1000"/>
          </a:pPr>
          <a:endParaRPr lang="en-US"/>
        </a:p>
      </c:txPr>
    </c:title>
    <c:autoTitleDeleted val="0"/>
    <c:plotArea>
      <c:layout>
        <c:manualLayout>
          <c:layoutTarget val="inner"/>
          <c:xMode val="edge"/>
          <c:yMode val="edge"/>
          <c:x val="0.11779202684314576"/>
          <c:y val="0.17586278277715287"/>
          <c:w val="0.84123845410971487"/>
          <c:h val="0.55969175728033993"/>
        </c:manualLayout>
      </c:layout>
      <c:lineChart>
        <c:grouping val="standard"/>
        <c:varyColors val="0"/>
        <c:ser>
          <c:idx val="0"/>
          <c:order val="0"/>
          <c:tx>
            <c:strRef>
              <c:f>'Key Financials'!$B$72</c:f>
              <c:strCache>
                <c:ptCount val="1"/>
                <c:pt idx="0">
                  <c:v>Total Cash</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spPr>
              <a:ln>
                <a:solidFill>
                  <a:schemeClr val="tx1"/>
                </a:solidFill>
              </a:ln>
            </c:spPr>
            <c:trendlineType val="linear"/>
            <c:dispRSqr val="0"/>
            <c:dispEq val="0"/>
          </c:trendline>
          <c:cat>
            <c:strRef>
              <c:f>'Key Financials'!$B$83:$B$89</c:f>
              <c:strCache>
                <c:ptCount val="7"/>
                <c:pt idx="0">
                  <c:v>FY2017</c:v>
                </c:pt>
                <c:pt idx="1">
                  <c:v>FY2018</c:v>
                </c:pt>
                <c:pt idx="2">
                  <c:v>FY2019</c:v>
                </c:pt>
                <c:pt idx="3">
                  <c:v>FY2020</c:v>
                </c:pt>
                <c:pt idx="4">
                  <c:v>FY2021</c:v>
                </c:pt>
                <c:pt idx="5">
                  <c:v>FY2022</c:v>
                </c:pt>
                <c:pt idx="6">
                  <c:v>LTM Q4'22</c:v>
                </c:pt>
              </c:strCache>
            </c:strRef>
          </c:cat>
          <c:val>
            <c:numRef>
              <c:f>('Key Financials'!$F$72:$K$72,'Key Financials'!$N$72)</c:f>
              <c:numCache>
                <c:formatCode>#,##0;[Red]\(#,##0\)</c:formatCode>
                <c:ptCount val="7"/>
                <c:pt idx="0">
                  <c:v>6867</c:v>
                </c:pt>
                <c:pt idx="1">
                  <c:v>6756</c:v>
                </c:pt>
                <c:pt idx="2">
                  <c:v>7722</c:v>
                </c:pt>
                <c:pt idx="3">
                  <c:v>9465</c:v>
                </c:pt>
                <c:pt idx="4">
                  <c:v>17741</c:v>
                </c:pt>
                <c:pt idx="5">
                  <c:v>14760</c:v>
                </c:pt>
                <c:pt idx="6">
                  <c:v>14760</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74514432"/>
        <c:axId val="750164160"/>
      </c:lineChart>
      <c:catAx>
        <c:axId val="874514432"/>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750164160"/>
        <c:crosses val="autoZero"/>
        <c:auto val="1"/>
        <c:lblAlgn val="ctr"/>
        <c:lblOffset val="100"/>
        <c:noMultiLvlLbl val="1"/>
      </c:catAx>
      <c:valAx>
        <c:axId val="750164160"/>
        <c:scaling>
          <c:orientation val="minMax"/>
        </c:scaling>
        <c:delete val="0"/>
        <c:axPos val="l"/>
        <c:majorGridlines>
          <c:spPr>
            <a:ln>
              <a:solidFill>
                <a:srgbClr val="D9D9D9"/>
              </a:solidFill>
            </a:ln>
          </c:spPr>
        </c:majorGridlines>
        <c:numFmt formatCode="#,##0" sourceLinked="0"/>
        <c:majorTickMark val="out"/>
        <c:minorTickMark val="none"/>
        <c:tickLblPos val="nextTo"/>
        <c:crossAx val="874514432"/>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plotVisOnly val="1"/>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 Financials'!$C$81</c:f>
          <c:strCache>
            <c:ptCount val="1"/>
            <c:pt idx="0">
              <c:v>Net Income (USD million)</c:v>
            </c:pt>
          </c:strCache>
        </c:strRef>
      </c:tx>
      <c:layout>
        <c:manualLayout>
          <c:xMode val="edge"/>
          <c:yMode val="edge"/>
          <c:x val="1.4969912056704416E-3"/>
          <c:y val="0"/>
        </c:manualLayout>
      </c:layout>
      <c:overlay val="1"/>
      <c:txPr>
        <a:bodyPr/>
        <a:lstStyle/>
        <a:p>
          <a:pPr>
            <a:defRPr sz="1000"/>
          </a:pPr>
          <a:endParaRPr lang="en-US"/>
        </a:p>
      </c:txPr>
    </c:title>
    <c:autoTitleDeleted val="0"/>
    <c:plotArea>
      <c:layout>
        <c:manualLayout>
          <c:layoutTarget val="inner"/>
          <c:xMode val="edge"/>
          <c:yMode val="edge"/>
          <c:x val="0.11779202684314576"/>
          <c:y val="0.17586278277715287"/>
          <c:w val="0.84123845410971487"/>
          <c:h val="0.55473143982002249"/>
        </c:manualLayout>
      </c:layout>
      <c:lineChart>
        <c:grouping val="standard"/>
        <c:varyColors val="0"/>
        <c:ser>
          <c:idx val="0"/>
          <c:order val="0"/>
          <c:tx>
            <c:strRef>
              <c:f>'Key Financials'!$B$74</c:f>
              <c:strCache>
                <c:ptCount val="1"/>
                <c:pt idx="0">
                  <c:v>Net Income</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spPr>
              <a:ln>
                <a:solidFill>
                  <a:schemeClr val="tx1"/>
                </a:solidFill>
              </a:ln>
            </c:spPr>
            <c:trendlineType val="linear"/>
            <c:dispRSqr val="0"/>
            <c:dispEq val="0"/>
          </c:trendline>
          <c:cat>
            <c:strRef>
              <c:f>'Key Financials'!$B$83:$B$89</c:f>
              <c:strCache>
                <c:ptCount val="7"/>
                <c:pt idx="0">
                  <c:v>FY2017</c:v>
                </c:pt>
                <c:pt idx="1">
                  <c:v>FY2018</c:v>
                </c:pt>
                <c:pt idx="2">
                  <c:v>FY2019</c:v>
                </c:pt>
                <c:pt idx="3">
                  <c:v>FY2020</c:v>
                </c:pt>
                <c:pt idx="4">
                  <c:v>FY2021</c:v>
                </c:pt>
                <c:pt idx="5">
                  <c:v>FY2022</c:v>
                </c:pt>
                <c:pt idx="6">
                  <c:v>LTM Q4'22</c:v>
                </c:pt>
              </c:strCache>
            </c:strRef>
          </c:cat>
          <c:val>
            <c:numRef>
              <c:f>('Key Financials'!$F$74:$K$74,'Key Financials'!$N$74)</c:f>
              <c:numCache>
                <c:formatCode>#,##0;[Red]\(#,##0\)</c:formatCode>
                <c:ptCount val="7"/>
                <c:pt idx="0">
                  <c:v>13643</c:v>
                </c:pt>
                <c:pt idx="1">
                  <c:v>9862</c:v>
                </c:pt>
                <c:pt idx="2">
                  <c:v>6670</c:v>
                </c:pt>
                <c:pt idx="3">
                  <c:v>14881</c:v>
                </c:pt>
                <c:pt idx="4">
                  <c:v>13510</c:v>
                </c:pt>
                <c:pt idx="5">
                  <c:v>13673</c:v>
                </c:pt>
                <c:pt idx="6">
                  <c:v>13673</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73992192"/>
        <c:axId val="874119744"/>
      </c:lineChart>
      <c:catAx>
        <c:axId val="873992192"/>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874119744"/>
        <c:crosses val="autoZero"/>
        <c:auto val="1"/>
        <c:lblAlgn val="ctr"/>
        <c:lblOffset val="100"/>
        <c:noMultiLvlLbl val="1"/>
      </c:catAx>
      <c:valAx>
        <c:axId val="874119744"/>
        <c:scaling>
          <c:orientation val="minMax"/>
        </c:scaling>
        <c:delete val="0"/>
        <c:axPos val="l"/>
        <c:majorGridlines>
          <c:spPr>
            <a:ln>
              <a:solidFill>
                <a:srgbClr val="D9D9D9"/>
              </a:solidFill>
            </a:ln>
          </c:spPr>
        </c:majorGridlines>
        <c:numFmt formatCode="#,##0" sourceLinked="0"/>
        <c:majorTickMark val="out"/>
        <c:minorTickMark val="none"/>
        <c:tickLblPos val="nextTo"/>
        <c:crossAx val="873992192"/>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plotVisOnly val="1"/>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 Financials'!$C$80</c:f>
          <c:strCache>
            <c:ptCount val="1"/>
            <c:pt idx="0">
              <c:v>EBITDA (USD million)</c:v>
            </c:pt>
          </c:strCache>
        </c:strRef>
      </c:tx>
      <c:layout>
        <c:manualLayout>
          <c:xMode val="edge"/>
          <c:yMode val="edge"/>
          <c:x val="1.4969912056704416E-3"/>
          <c:y val="0"/>
        </c:manualLayout>
      </c:layout>
      <c:overlay val="0"/>
      <c:txPr>
        <a:bodyPr/>
        <a:lstStyle/>
        <a:p>
          <a:pPr>
            <a:defRPr sz="1000"/>
          </a:pPr>
          <a:endParaRPr lang="en-US"/>
        </a:p>
      </c:txPr>
    </c:title>
    <c:autoTitleDeleted val="0"/>
    <c:plotArea>
      <c:layout>
        <c:manualLayout>
          <c:layoutTarget val="inner"/>
          <c:xMode val="edge"/>
          <c:yMode val="edge"/>
          <c:x val="0.11932802276690584"/>
          <c:y val="0.17586278277715287"/>
          <c:w val="0.83970245818595479"/>
          <c:h val="0.55473143982002249"/>
        </c:manualLayout>
      </c:layout>
      <c:lineChart>
        <c:grouping val="standard"/>
        <c:varyColors val="0"/>
        <c:ser>
          <c:idx val="0"/>
          <c:order val="0"/>
          <c:tx>
            <c:strRef>
              <c:f>'Key Financials'!$B$73</c:f>
              <c:strCache>
                <c:ptCount val="1"/>
                <c:pt idx="0">
                  <c:v>EBITDA</c:v>
                </c:pt>
              </c:strCache>
            </c:strRef>
          </c:tx>
          <c:spPr>
            <a:ln w="22225">
              <a:solidFill>
                <a:schemeClr val="accent3">
                  <a:lumMod val="50000"/>
                </a:schemeClr>
              </a:solidFill>
            </a:ln>
          </c:spPr>
          <c:marker>
            <c:symbol val="square"/>
            <c:size val="4"/>
            <c:spPr>
              <a:solidFill>
                <a:schemeClr val="accent3">
                  <a:lumMod val="50000"/>
                </a:schemeClr>
              </a:solidFill>
              <a:ln>
                <a:noFill/>
              </a:ln>
            </c:spPr>
          </c:marker>
          <c:trendline>
            <c:spPr>
              <a:ln>
                <a:solidFill>
                  <a:schemeClr val="tx1"/>
                </a:solidFill>
              </a:ln>
            </c:spPr>
            <c:trendlineType val="linear"/>
            <c:dispRSqr val="0"/>
            <c:dispEq val="0"/>
          </c:trendline>
          <c:cat>
            <c:strRef>
              <c:f>'Key Financials'!$B$83:$B$89</c:f>
              <c:strCache>
                <c:ptCount val="7"/>
                <c:pt idx="0">
                  <c:v>FY2017</c:v>
                </c:pt>
                <c:pt idx="1">
                  <c:v>FY2018</c:v>
                </c:pt>
                <c:pt idx="2">
                  <c:v>FY2019</c:v>
                </c:pt>
                <c:pt idx="3">
                  <c:v>FY2020</c:v>
                </c:pt>
                <c:pt idx="4">
                  <c:v>FY2021</c:v>
                </c:pt>
                <c:pt idx="5">
                  <c:v>FY2022</c:v>
                </c:pt>
                <c:pt idx="6">
                  <c:v>LTM Q4'22</c:v>
                </c:pt>
              </c:strCache>
            </c:strRef>
          </c:cat>
          <c:val>
            <c:numRef>
              <c:f>('Key Financials'!$F$73:$K$73,'Key Financials'!$N$73)</c:f>
              <c:numCache>
                <c:formatCode>#,##0;[Red]\(#,##0\)</c:formatCode>
                <c:ptCount val="7"/>
                <c:pt idx="0">
                  <c:v>32844</c:v>
                </c:pt>
                <c:pt idx="1">
                  <c:v>31466</c:v>
                </c:pt>
                <c:pt idx="2">
                  <c:v>32635</c:v>
                </c:pt>
                <c:pt idx="3">
                  <c:v>32455</c:v>
                </c:pt>
                <c:pt idx="4">
                  <c:v>38100</c:v>
                </c:pt>
                <c:pt idx="5">
                  <c:v>36600</c:v>
                </c:pt>
                <c:pt idx="6">
                  <c:v>36600</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73995776"/>
        <c:axId val="874122048"/>
      </c:lineChart>
      <c:catAx>
        <c:axId val="873995776"/>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2700000" vert="horz"/>
          <a:lstStyle/>
          <a:p>
            <a:pPr>
              <a:defRPr/>
            </a:pPr>
            <a:endParaRPr lang="en-US"/>
          </a:p>
        </c:txPr>
        <c:crossAx val="874122048"/>
        <c:crosses val="autoZero"/>
        <c:auto val="1"/>
        <c:lblAlgn val="ctr"/>
        <c:lblOffset val="100"/>
        <c:noMultiLvlLbl val="1"/>
      </c:catAx>
      <c:valAx>
        <c:axId val="874122048"/>
        <c:scaling>
          <c:orientation val="minMax"/>
        </c:scaling>
        <c:delete val="0"/>
        <c:axPos val="l"/>
        <c:majorGridlines>
          <c:spPr>
            <a:ln>
              <a:solidFill>
                <a:srgbClr val="D9D9D9"/>
              </a:solidFill>
            </a:ln>
          </c:spPr>
        </c:majorGridlines>
        <c:numFmt formatCode="#,##0" sourceLinked="0"/>
        <c:majorTickMark val="out"/>
        <c:minorTickMark val="none"/>
        <c:tickLblPos val="nextTo"/>
        <c:crossAx val="873995776"/>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plotVisOnly val="1"/>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 Growth In Income and Expenses </a:t>
            </a:r>
          </a:p>
        </c:rich>
      </c:tx>
      <c:layout>
        <c:manualLayout>
          <c:xMode val="edge"/>
          <c:yMode val="edge"/>
          <c:x val="3.4300603695620364E-4"/>
          <c:y val="1.8122734658167726E-4"/>
        </c:manualLayout>
      </c:layout>
      <c:overlay val="1"/>
    </c:title>
    <c:autoTitleDeleted val="0"/>
    <c:plotArea>
      <c:layout>
        <c:manualLayout>
          <c:layoutTarget val="inner"/>
          <c:xMode val="edge"/>
          <c:yMode val="edge"/>
          <c:x val="0.16936880907689508"/>
          <c:y val="0.14632936507936509"/>
          <c:w val="0.79309828539473803"/>
          <c:h val="0.53519403824521938"/>
        </c:manualLayout>
      </c:layout>
      <c:lineChart>
        <c:grouping val="standard"/>
        <c:varyColors val="0"/>
        <c:ser>
          <c:idx val="1"/>
          <c:order val="0"/>
          <c:tx>
            <c:v>Total Income</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Data_H'!$D$233:$M$233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Total Expenses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Data_H'!$D$245:$M$245</c:f>
              <c:numCache>
                <c:formatCode>0%</c:formatCode>
                <c:ptCount val="10"/>
                <c:pt idx="0">
                  <c:v>5.7473969057003353E-2</c:v>
                </c:pt>
                <c:pt idx="1">
                  <c:v>-2.1283235551117215E-2</c:v>
                </c:pt>
                <c:pt idx="2">
                  <c:v>0.10199841104931859</c:v>
                </c:pt>
                <c:pt idx="3">
                  <c:v>7.1525792840615221E-2</c:v>
                </c:pt>
                <c:pt idx="4">
                  <c:v>0.27713845928314884</c:v>
                </c:pt>
                <c:pt idx="5">
                  <c:v>0.32366659906712636</c:v>
                </c:pt>
                <c:pt idx="6">
                  <c:v>-1.2310344827586206</c:v>
                </c:pt>
                <c:pt idx="7">
                  <c:v>9.2130905181103423E-2</c:v>
                </c:pt>
                <c:pt idx="8">
                  <c:v>-1.2065136935603257E-2</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75347968"/>
        <c:axId val="874126080"/>
      </c:lineChart>
      <c:catAx>
        <c:axId val="87534796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4126080"/>
        <c:crosses val="autoZero"/>
        <c:auto val="1"/>
        <c:lblAlgn val="ctr"/>
        <c:lblOffset val="100"/>
        <c:noMultiLvlLbl val="0"/>
      </c:catAx>
      <c:valAx>
        <c:axId val="874126080"/>
        <c:scaling>
          <c:orientation val="minMax"/>
        </c:scaling>
        <c:delete val="0"/>
        <c:axPos val="l"/>
        <c:majorGridlines>
          <c:spPr>
            <a:ln>
              <a:solidFill>
                <a:schemeClr val="bg1">
                  <a:lumMod val="85000"/>
                </a:schemeClr>
              </a:solidFill>
            </a:ln>
          </c:spPr>
        </c:majorGridlines>
        <c:title>
          <c:tx>
            <c:strRef>
              <c:f>'Financial Analysis_H'!$AB$11</c:f>
              <c:strCache>
                <c:ptCount val="1"/>
                <c:pt idx="0">
                  <c:v>Incremental % Growth</c:v>
                </c:pt>
              </c:strCache>
            </c:strRef>
          </c:tx>
          <c:layout>
            <c:manualLayout>
              <c:xMode val="edge"/>
              <c:yMode val="edge"/>
              <c:x val="6.7887958700422037E-5"/>
              <c:y val="0.14623351479213245"/>
            </c:manualLayout>
          </c:layout>
          <c:overlay val="0"/>
          <c:txPr>
            <a:bodyPr rot="-5400000" vert="horz"/>
            <a:lstStyle/>
            <a:p>
              <a:pPr>
                <a:defRPr>
                  <a:solidFill>
                    <a:srgbClr val="767171"/>
                  </a:solidFill>
                </a:defRPr>
              </a:pPr>
              <a:endParaRPr lang="en-US"/>
            </a:p>
          </c:txPr>
        </c:title>
        <c:numFmt formatCode="0%" sourceLinked="0"/>
        <c:majorTickMark val="out"/>
        <c:minorTickMark val="none"/>
        <c:tickLblPos val="nextTo"/>
        <c:txPr>
          <a:bodyPr/>
          <a:lstStyle/>
          <a:p>
            <a:pPr>
              <a:defRPr>
                <a:solidFill>
                  <a:srgbClr val="767171"/>
                </a:solidFill>
              </a:defRPr>
            </a:pPr>
            <a:endParaRPr lang="en-US"/>
          </a:p>
        </c:txPr>
        <c:crossAx val="87534796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pPr>
            <a:r>
              <a:rPr lang="en-IN" sz="1000" b="1"/>
              <a:t>Income and Expenses </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6369226398246611"/>
          <c:y val="0.14632950973720876"/>
          <c:w val="0.79877492761858371"/>
          <c:h val="0.53519409610835678"/>
        </c:manualLayout>
      </c:layout>
      <c:lineChart>
        <c:grouping val="standard"/>
        <c:varyColors val="0"/>
        <c:ser>
          <c:idx val="1"/>
          <c:order val="0"/>
          <c:tx>
            <c:v>Total Income </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Data_H'!$D$18:$M$18</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Total Expenses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Data_H'!$D$30:$M$30</c:f>
              <c:numCache>
                <c:formatCode>#,##0</c:formatCode>
                <c:ptCount val="10"/>
                <c:pt idx="0">
                  <c:v>-16022</c:v>
                </c:pt>
                <c:pt idx="1">
                  <c:v>-16363</c:v>
                </c:pt>
                <c:pt idx="2">
                  <c:v>-14694</c:v>
                </c:pt>
                <c:pt idx="3">
                  <c:v>-13643</c:v>
                </c:pt>
                <c:pt idx="4">
                  <c:v>-9862</c:v>
                </c:pt>
                <c:pt idx="5">
                  <c:v>-6670</c:v>
                </c:pt>
                <c:pt idx="6">
                  <c:v>-14881</c:v>
                </c:pt>
                <c:pt idx="7">
                  <c:v>-13510</c:v>
                </c:pt>
                <c:pt idx="8">
                  <c:v>-13673</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75351040"/>
        <c:axId val="874177088"/>
      </c:lineChart>
      <c:catAx>
        <c:axId val="8753510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874177088"/>
        <c:crosses val="autoZero"/>
        <c:auto val="1"/>
        <c:lblAlgn val="ctr"/>
        <c:lblOffset val="100"/>
        <c:noMultiLvlLbl val="0"/>
      </c:catAx>
      <c:valAx>
        <c:axId val="874177088"/>
        <c:scaling>
          <c:orientation val="minMax"/>
        </c:scaling>
        <c:delete val="0"/>
        <c:axPos val="l"/>
        <c:majorGridlines>
          <c:spPr>
            <a:ln>
              <a:solidFill>
                <a:schemeClr val="bg1">
                  <a:lumMod val="85000"/>
                </a:schemeClr>
              </a:solidFill>
            </a:ln>
          </c:spPr>
        </c:majorGridlines>
        <c:title>
          <c:tx>
            <c:strRef>
              <c:f>'Financial Analysis_H'!$AB$13</c:f>
              <c:strCache>
                <c:ptCount val="1"/>
                <c:pt idx="0">
                  <c:v>USD million</c:v>
                </c:pt>
              </c:strCache>
            </c:strRef>
          </c:tx>
          <c:layout>
            <c:manualLayout>
              <c:xMode val="edge"/>
              <c:yMode val="edge"/>
              <c:x val="6.7887958700422037E-5"/>
              <c:y val="0.24397014030653574"/>
            </c:manualLayout>
          </c:layout>
          <c:overlay val="0"/>
          <c:txPr>
            <a:bodyPr rot="-5400000" vert="horz"/>
            <a:lstStyle/>
            <a:p>
              <a:pPr>
                <a:defRPr/>
              </a:pPr>
              <a:endParaRPr lang="en-US"/>
            </a:p>
          </c:txPr>
        </c:title>
        <c:numFmt formatCode="#,##0" sourceLinked="0"/>
        <c:majorTickMark val="out"/>
        <c:minorTickMark val="none"/>
        <c:tickLblPos val="nextTo"/>
        <c:crossAx val="87535104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Expense Distribution Summary</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24455515869794625"/>
          <c:y val="0.1406111273127896"/>
          <c:w val="0.74875440827628503"/>
          <c:h val="0.53492757849713235"/>
        </c:manualLayout>
      </c:layout>
      <c:barChart>
        <c:barDir val="col"/>
        <c:grouping val="percentStacked"/>
        <c:varyColors val="0"/>
        <c:ser>
          <c:idx val="2"/>
          <c:order val="0"/>
          <c:tx>
            <c:v>Loss Provision</c:v>
          </c:tx>
          <c:spPr>
            <a:solidFill>
              <a:srgbClr val="5E8AB4"/>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Data_H'!$D$113:$M$113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94AF-4F59-A238-91A8AD986BDC}"/>
            </c:ext>
          </c:extLst>
        </c:ser>
        <c:ser>
          <c:idx val="0"/>
          <c:order val="1"/>
          <c:tx>
            <c:v>Non-Int. Exp.</c:v>
          </c:tx>
          <c:spPr>
            <a:solidFill>
              <a:srgbClr val="5E8AB4">
                <a:lumMod val="75000"/>
              </a:srgbClr>
            </a:solidFill>
            <a:ln>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Data_H'!$D$114:$M$114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5C8F-4647-96C1-E65E821CB885}"/>
            </c:ext>
          </c:extLst>
        </c:ser>
        <c:ser>
          <c:idx val="1"/>
          <c:order val="2"/>
          <c:tx>
            <c:v>Int. Expense</c:v>
          </c:tx>
          <c:spPr>
            <a:solidFill>
              <a:srgbClr val="5E8AB4">
                <a:lumMod val="50000"/>
              </a:srgb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Data_H'!$D$112:$M$112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gapWidth val="150"/>
        <c:overlap val="100"/>
        <c:axId val="875351552"/>
        <c:axId val="874126656"/>
      </c:barChart>
      <c:catAx>
        <c:axId val="87535155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874126656"/>
        <c:crosses val="autoZero"/>
        <c:auto val="1"/>
        <c:lblAlgn val="ctr"/>
        <c:lblOffset val="100"/>
        <c:noMultiLvlLbl val="0"/>
      </c:catAx>
      <c:valAx>
        <c:axId val="874126656"/>
        <c:scaling>
          <c:orientation val="minMax"/>
        </c:scaling>
        <c:delete val="0"/>
        <c:axPos val="l"/>
        <c:majorGridlines>
          <c:spPr>
            <a:ln>
              <a:solidFill>
                <a:schemeClr val="bg1">
                  <a:lumMod val="85000"/>
                </a:schemeClr>
              </a:solidFill>
            </a:ln>
          </c:spPr>
        </c:majorGridlines>
        <c:title>
          <c:tx>
            <c:rich>
              <a:bodyPr rot="-5400000" vert="horz"/>
              <a:lstStyle/>
              <a:p>
                <a:pPr>
                  <a:defRPr>
                    <a:solidFill>
                      <a:srgbClr val="767171"/>
                    </a:solidFill>
                  </a:defRPr>
                </a:pPr>
                <a:r>
                  <a:rPr lang="en-IN">
                    <a:solidFill>
                      <a:srgbClr val="767171"/>
                    </a:solidFill>
                  </a:rPr>
                  <a:t>% of Total Expenses</a:t>
                </a:r>
              </a:p>
            </c:rich>
          </c:tx>
          <c:layout>
            <c:manualLayout>
              <c:xMode val="edge"/>
              <c:yMode val="edge"/>
              <c:x val="6.0975730178197241E-5"/>
              <c:y val="0.1508262856031885"/>
            </c:manualLayout>
          </c:layout>
          <c:overlay val="0"/>
        </c:title>
        <c:numFmt formatCode="0%" sourceLinked="0"/>
        <c:majorTickMark val="out"/>
        <c:minorTickMark val="none"/>
        <c:tickLblPos val="nextTo"/>
        <c:txPr>
          <a:bodyPr/>
          <a:lstStyle/>
          <a:p>
            <a:pPr>
              <a:defRPr>
                <a:solidFill>
                  <a:srgbClr val="767171"/>
                </a:solidFill>
              </a:defRPr>
            </a:pPr>
            <a:endParaRPr lang="en-US"/>
          </a:p>
        </c:txPr>
        <c:crossAx val="875351552"/>
        <c:crosses val="autoZero"/>
        <c:crossBetween val="between"/>
        <c:minorUnit val="0.2"/>
      </c:valAx>
      <c:dTable>
        <c:showHorzBorder val="1"/>
        <c:showVertBorder val="1"/>
        <c:showOutline val="1"/>
        <c:showKeys val="1"/>
        <c:txPr>
          <a:bodyPr/>
          <a:lstStyle/>
          <a:p>
            <a:pPr rtl="0">
              <a:defRPr sz="800">
                <a:solidFill>
                  <a:srgbClr val="767171"/>
                </a:solidFill>
              </a:defRPr>
            </a:pPr>
            <a:endParaRPr lang="en-US"/>
          </a:p>
        </c:txPr>
      </c:dTable>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pPr>
            <a:r>
              <a:rPr lang="en-IN" sz="1000" b="1"/>
              <a:t>Expense Components </a:t>
            </a:r>
          </a:p>
        </c:rich>
      </c:tx>
      <c:layout>
        <c:manualLayout>
          <c:xMode val="edge"/>
          <c:yMode val="edge"/>
          <c:x val="6.273591006465425E-4"/>
          <c:y val="0"/>
        </c:manualLayout>
      </c:layout>
      <c:overlay val="0"/>
    </c:title>
    <c:autoTitleDeleted val="0"/>
    <c:plotArea>
      <c:layout>
        <c:manualLayout>
          <c:layoutTarget val="inner"/>
          <c:xMode val="edge"/>
          <c:yMode val="edge"/>
          <c:x val="0.21496762002687808"/>
          <c:y val="0.14189835066912931"/>
          <c:w val="0.77929530715877016"/>
          <c:h val="0.53518599526910993"/>
        </c:manualLayout>
      </c:layout>
      <c:barChart>
        <c:barDir val="col"/>
        <c:grouping val="stacked"/>
        <c:varyColors val="0"/>
        <c:ser>
          <c:idx val="3"/>
          <c:order val="0"/>
          <c:tx>
            <c:v>Loss Provision</c:v>
          </c:tx>
          <c:spPr>
            <a:solidFill>
              <a:srgbClr val="5E8AB4"/>
            </a:solidFill>
            <a:ln w="38100">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Data_H'!$D$21:$M$21</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0A2-44A4-83EE-23DA96833F15}"/>
            </c:ext>
          </c:extLst>
        </c:ser>
        <c:ser>
          <c:idx val="0"/>
          <c:order val="1"/>
          <c:tx>
            <c:v>Non-Int. Exp.</c:v>
          </c:tx>
          <c:spPr>
            <a:solidFill>
              <a:srgbClr val="5E8AB4">
                <a:lumMod val="75000"/>
              </a:srgb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Data_H'!$D$26:$M$26</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12D4-4C0E-9F1C-96A2F84D49B8}"/>
            </c:ext>
          </c:extLst>
        </c:ser>
        <c:ser>
          <c:idx val="2"/>
          <c:order val="2"/>
          <c:tx>
            <c:v>Int. Expense</c:v>
          </c:tx>
          <c:spPr>
            <a:solidFill>
              <a:srgbClr val="5E8AB4">
                <a:lumMod val="50000"/>
              </a:srgbClr>
            </a:solidFill>
            <a:ln w="38100">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Data_H'!$D$20:$M$20</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F0A2-44A4-83EE-23DA96833F15}"/>
            </c:ext>
          </c:extLst>
        </c:ser>
        <c:dLbls>
          <c:showLegendKey val="0"/>
          <c:showVal val="0"/>
          <c:showCatName val="0"/>
          <c:showSerName val="0"/>
          <c:showPercent val="0"/>
          <c:showBubbleSize val="0"/>
        </c:dLbls>
        <c:gapWidth val="150"/>
        <c:overlap val="100"/>
        <c:axId val="875203072"/>
        <c:axId val="874179968"/>
      </c:barChart>
      <c:catAx>
        <c:axId val="87520307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nextTo"/>
        <c:spPr>
          <a:ln>
            <a:solidFill>
              <a:schemeClr val="bg1">
                <a:lumMod val="50000"/>
              </a:schemeClr>
            </a:solidFill>
          </a:ln>
        </c:spPr>
        <c:crossAx val="874179968"/>
        <c:crossesAt val="-0.2"/>
        <c:auto val="1"/>
        <c:lblAlgn val="ctr"/>
        <c:lblOffset val="100"/>
        <c:noMultiLvlLbl val="0"/>
      </c:catAx>
      <c:valAx>
        <c:axId val="874179968"/>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7.4972992935702447E-4"/>
              <c:y val="0.21471476945011503"/>
            </c:manualLayout>
          </c:layout>
          <c:overlay val="0"/>
          <c:spPr>
            <a:ln>
              <a:noFill/>
            </a:ln>
          </c:spPr>
          <c:txPr>
            <a:bodyPr rot="-5400000" vert="horz"/>
            <a:lstStyle/>
            <a:p>
              <a:pPr>
                <a:defRPr/>
              </a:pPr>
              <a:endParaRPr lang="en-US"/>
            </a:p>
          </c:txPr>
        </c:title>
        <c:numFmt formatCode="#,##0;[Red]\(#,##0\)" sourceLinked="0"/>
        <c:majorTickMark val="out"/>
        <c:minorTickMark val="none"/>
        <c:tickLblPos val="nextTo"/>
        <c:crossAx val="875203072"/>
        <c:crosses val="autoZero"/>
        <c:crossBetween val="between"/>
      </c:valAx>
      <c:dTable>
        <c:showHorzBorder val="1"/>
        <c:showVertBorder val="1"/>
        <c:showOutline val="1"/>
        <c:showKeys val="1"/>
        <c:txPr>
          <a:bodyPr/>
          <a:lstStyle/>
          <a:p>
            <a:pPr rtl="0">
              <a:defRPr sz="800"/>
            </a:pPr>
            <a:endParaRPr lang="en-US"/>
          </a:p>
        </c:txPr>
      </c:dTable>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Expense Margins</a:t>
            </a:r>
          </a:p>
        </c:rich>
      </c:tx>
      <c:layout>
        <c:manualLayout>
          <c:xMode val="edge"/>
          <c:yMode val="edge"/>
          <c:x val="6.5110551927347689E-4"/>
          <c:y val="1.8122734658167726E-4"/>
        </c:manualLayout>
      </c:layout>
      <c:overlay val="1"/>
    </c:title>
    <c:autoTitleDeleted val="0"/>
    <c:plotArea>
      <c:layout>
        <c:manualLayout>
          <c:xMode val="edge"/>
          <c:yMode val="edge"/>
          <c:x val="8.2673783045160598E-2"/>
          <c:y val="0.12048054178412884"/>
          <c:w val="0.9173262169548394"/>
          <c:h val="0.74791565406176075"/>
        </c:manualLayout>
      </c:layout>
      <c:lineChart>
        <c:grouping val="standard"/>
        <c:varyColors val="0"/>
        <c:ser>
          <c:idx val="1"/>
          <c:order val="0"/>
          <c:tx>
            <c:v>Interest Expense</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Data_H'!$D$82:$M$82</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Provision for Losses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Data_H'!$D$83:$M$83</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0"/>
          <c:order val="2"/>
          <c:tx>
            <c:v>Non-Interest Expense</c:v>
          </c:tx>
          <c:spPr>
            <a:ln w="22225">
              <a:solidFill>
                <a:srgbClr val="5E8AB4"/>
              </a:solidFill>
            </a:ln>
          </c:spPr>
          <c:marker>
            <c:symbol val="diamond"/>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Data_H'!$D$88:$M$88</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849B-4E11-92A6-D8BBA5AE7C74}"/>
            </c:ext>
          </c:extLst>
        </c:ser>
        <c:dLbls>
          <c:showLegendKey val="0"/>
          <c:showVal val="0"/>
          <c:showCatName val="0"/>
          <c:showSerName val="0"/>
          <c:showPercent val="0"/>
          <c:showBubbleSize val="0"/>
        </c:dLbls>
        <c:marker val="1"/>
        <c:smooth val="0"/>
        <c:axId val="875924480"/>
        <c:axId val="874183424"/>
      </c:lineChart>
      <c:catAx>
        <c:axId val="87592448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4183424"/>
        <c:crosses val="autoZero"/>
        <c:auto val="1"/>
        <c:lblAlgn val="ctr"/>
        <c:lblOffset val="100"/>
        <c:noMultiLvlLbl val="0"/>
      </c:catAx>
      <c:valAx>
        <c:axId val="874183424"/>
        <c:scaling>
          <c:orientation val="minMax"/>
        </c:scaling>
        <c:delete val="0"/>
        <c:axPos val="l"/>
        <c:majorGridlines>
          <c:spPr>
            <a:ln>
              <a:solidFill>
                <a:schemeClr val="bg1">
                  <a:lumMod val="85000"/>
                </a:schemeClr>
              </a:solidFill>
            </a:ln>
          </c:spPr>
        </c:majorGridlines>
        <c:title>
          <c:tx>
            <c:rich>
              <a:bodyPr rot="-5400000" vert="horz"/>
              <a:lstStyle/>
              <a:p>
                <a:pPr>
                  <a:defRPr>
                    <a:solidFill>
                      <a:srgbClr val="767171"/>
                    </a:solidFill>
                  </a:defRPr>
                </a:pPr>
                <a:r>
                  <a:rPr lang="en-US">
                    <a:solidFill>
                      <a:srgbClr val="767171"/>
                    </a:solidFill>
                  </a:rPr>
                  <a:t>% of Total Income</a:t>
                </a:r>
              </a:p>
            </c:rich>
          </c:tx>
          <c:layout>
            <c:manualLayout>
              <c:xMode val="edge"/>
              <c:yMode val="edge"/>
              <c:x val="6.7779840074592846E-5"/>
              <c:y val="0.2695065460567429"/>
            </c:manualLayout>
          </c:layout>
          <c:overlay val="0"/>
        </c:title>
        <c:numFmt formatCode="0%" sourceLinked="0"/>
        <c:majorTickMark val="out"/>
        <c:minorTickMark val="none"/>
        <c:tickLblPos val="nextTo"/>
        <c:txPr>
          <a:bodyPr/>
          <a:lstStyle/>
          <a:p>
            <a:pPr>
              <a:defRPr>
                <a:solidFill>
                  <a:srgbClr val="767171"/>
                </a:solidFill>
              </a:defRPr>
            </a:pPr>
            <a:endParaRPr lang="en-US"/>
          </a:p>
        </c:txPr>
        <c:crossAx val="87592448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a:pPr>
            <a:r>
              <a:rPr lang="en-IN"/>
              <a:t>Return on Assets, Equity and Capital Employed</a:t>
            </a:r>
          </a:p>
        </c:rich>
      </c:tx>
      <c:layout>
        <c:manualLayout>
          <c:xMode val="edge"/>
          <c:yMode val="edge"/>
          <c:x val="1.1227764397130976E-3"/>
          <c:y val="1.8122734658167726E-4"/>
        </c:manualLayout>
      </c:layout>
      <c:overlay val="1"/>
    </c:title>
    <c:autoTitleDeleted val="0"/>
    <c:plotArea>
      <c:layout>
        <c:manualLayout>
          <c:layoutTarget val="inner"/>
          <c:xMode val="edge"/>
          <c:yMode val="edge"/>
          <c:x val="0.12319733589254041"/>
          <c:y val="0.14632936507936509"/>
          <c:w val="0.83917146800595488"/>
          <c:h val="0.54511467316585427"/>
        </c:manualLayout>
      </c:layout>
      <c:lineChart>
        <c:grouping val="standard"/>
        <c:varyColors val="0"/>
        <c:ser>
          <c:idx val="1"/>
          <c:order val="0"/>
          <c:tx>
            <c:v>Return on Assets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Data_H'!$D$38:$M$38</c:f>
              <c:numCache>
                <c:formatCode>0.0%</c:formatCode>
                <c:ptCount val="10"/>
                <c:pt idx="0">
                  <c:v>8.2357E-2</c:v>
                </c:pt>
                <c:pt idx="1">
                  <c:v>8.3120999999999987E-2</c:v>
                </c:pt>
                <c:pt idx="2">
                  <c:v>7.4754000000000001E-2</c:v>
                </c:pt>
                <c:pt idx="3">
                  <c:v>7.1421999999999999E-2</c:v>
                </c:pt>
                <c:pt idx="4">
                  <c:v>6.4884999999999998E-2</c:v>
                </c:pt>
                <c:pt idx="5">
                  <c:v>6.4758999999999997E-2</c:v>
                </c:pt>
                <c:pt idx="6">
                  <c:v>5.8875000000000004E-2</c:v>
                </c:pt>
                <c:pt idx="7">
                  <c:v>6.8886000000000003E-2</c:v>
                </c:pt>
                <c:pt idx="8">
                  <c:v>6.5198999999999993E-2</c:v>
                </c:pt>
                <c:pt idx="9">
                  <c:v>0</c:v>
                </c:pt>
              </c:numCache>
            </c:numRef>
          </c:val>
          <c:smooth val="0"/>
          <c:extLst>
            <c:ext xmlns:c16="http://schemas.microsoft.com/office/drawing/2014/chart" uri="{C3380CC4-5D6E-409C-BE32-E72D297353CC}">
              <c16:uniqueId val="{00000000-94AF-4F59-A238-91A8AD986BDC}"/>
            </c:ext>
          </c:extLst>
        </c:ser>
        <c:ser>
          <c:idx val="2"/>
          <c:order val="1"/>
          <c:tx>
            <c:v>Return on Equity</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Data_H'!$D$39:$M$39</c:f>
              <c:numCache>
                <c:formatCode>0.0%</c:formatCode>
                <c:ptCount val="10"/>
                <c:pt idx="0">
                  <c:v>0.20051200000000002</c:v>
                </c:pt>
                <c:pt idx="1">
                  <c:v>0.19925599999999999</c:v>
                </c:pt>
                <c:pt idx="2">
                  <c:v>0.17788399999999999</c:v>
                </c:pt>
                <c:pt idx="3">
                  <c:v>0.174149</c:v>
                </c:pt>
                <c:pt idx="4">
                  <c:v>0.13043100000000002</c:v>
                </c:pt>
                <c:pt idx="5">
                  <c:v>8.9482000000000006E-2</c:v>
                </c:pt>
                <c:pt idx="6">
                  <c:v>0.188614</c:v>
                </c:pt>
                <c:pt idx="7">
                  <c:v>0.16212099999999999</c:v>
                </c:pt>
                <c:pt idx="8">
                  <c:v>0.155387</c:v>
                </c:pt>
                <c:pt idx="9">
                  <c:v>0</c:v>
                </c:pt>
              </c:numCache>
            </c:numRef>
          </c:val>
          <c:smooth val="0"/>
          <c:extLst>
            <c:ext xmlns:c16="http://schemas.microsoft.com/office/drawing/2014/chart" uri="{C3380CC4-5D6E-409C-BE32-E72D297353CC}">
              <c16:uniqueId val="{00000001-94AF-4F59-A238-91A8AD986BDC}"/>
            </c:ext>
          </c:extLst>
        </c:ser>
        <c:ser>
          <c:idx val="3"/>
          <c:order val="2"/>
          <c:tx>
            <c:v>Return on Capital Employed</c:v>
          </c:tx>
          <c:spPr>
            <a:ln w="22225">
              <a:solidFill>
                <a:srgbClr val="5E8AB4"/>
              </a:solidFill>
              <a:prstDash val="solid"/>
            </a:ln>
          </c:spPr>
          <c:marker>
            <c:symbol val="triangle"/>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Data_H'!$D$40:$M$40</c:f>
              <c:numCache>
                <c:formatCode>0.0%</c:formatCode>
                <c:ptCount val="10"/>
                <c:pt idx="0">
                  <c:v>0.12015313487793081</c:v>
                </c:pt>
                <c:pt idx="1">
                  <c:v>0.11959377729377327</c:v>
                </c:pt>
                <c:pt idx="2">
                  <c:v>0.10756993986068764</c:v>
                </c:pt>
                <c:pt idx="3">
                  <c:v>0.10224875308683612</c:v>
                </c:pt>
                <c:pt idx="4">
                  <c:v>7.6479848622323557E-2</c:v>
                </c:pt>
                <c:pt idx="5">
                  <c:v>4.980975957643035E-2</c:v>
                </c:pt>
                <c:pt idx="6">
                  <c:v>9.903401736306372E-2</c:v>
                </c:pt>
                <c:pt idx="7">
                  <c:v>8.4820251384371978E-2</c:v>
                </c:pt>
                <c:pt idx="8">
                  <c:v>8.6174731826604317E-2</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76164096"/>
        <c:axId val="875119744"/>
      </c:lineChart>
      <c:catAx>
        <c:axId val="87616409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875119744"/>
        <c:crosses val="autoZero"/>
        <c:auto val="1"/>
        <c:lblAlgn val="ctr"/>
        <c:lblOffset val="100"/>
        <c:noMultiLvlLbl val="0"/>
      </c:catAx>
      <c:valAx>
        <c:axId val="87511974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crossAx val="87616409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1484780969627502E-2"/>
          <c:y val="0.8755097928358555"/>
          <c:w val="0.98564402378796567"/>
          <c:h val="0.11915222032677324"/>
        </c:manualLayout>
      </c:layout>
      <c:overlay val="0"/>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Growth In Expense Components</a:t>
            </a:r>
          </a:p>
        </c:rich>
      </c:tx>
      <c:layout>
        <c:manualLayout>
          <c:xMode val="edge"/>
          <c:yMode val="edge"/>
          <c:x val="3.4300603695620364E-4"/>
          <c:y val="1.8122734658167726E-4"/>
        </c:manualLayout>
      </c:layout>
      <c:overlay val="1"/>
    </c:title>
    <c:autoTitleDeleted val="0"/>
    <c:plotArea>
      <c:layout>
        <c:manualLayout>
          <c:layoutTarget val="inner"/>
          <c:xMode val="edge"/>
          <c:yMode val="edge"/>
          <c:x val="0.15791415248351687"/>
          <c:y val="0.14632936507936509"/>
          <c:w val="0.80455303911753295"/>
          <c:h val="0.53519403824521938"/>
        </c:manualLayout>
      </c:layout>
      <c:lineChart>
        <c:grouping val="standard"/>
        <c:varyColors val="0"/>
        <c:ser>
          <c:idx val="1"/>
          <c:order val="0"/>
          <c:tx>
            <c:v>Interest Expense</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Data_H'!$D$235:$M$235</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Provision for Losses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Data_H'!$D$236:$M$236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0"/>
          <c:order val="2"/>
          <c:tx>
            <c:v>Non-Interest Expense</c:v>
          </c:tx>
          <c:spPr>
            <a:ln w="22225">
              <a:solidFill>
                <a:srgbClr val="5E8AB4"/>
              </a:solidFill>
            </a:ln>
          </c:spPr>
          <c:marker>
            <c:symbol val="diamond"/>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Data_H'!$D$241:$M$241</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AAD1-49D5-9CCD-3D7735EFFF08}"/>
            </c:ext>
          </c:extLst>
        </c:ser>
        <c:dLbls>
          <c:showLegendKey val="0"/>
          <c:showVal val="0"/>
          <c:showCatName val="0"/>
          <c:showSerName val="0"/>
          <c:showPercent val="0"/>
          <c:showBubbleSize val="0"/>
        </c:dLbls>
        <c:marker val="1"/>
        <c:smooth val="0"/>
        <c:axId val="876166144"/>
        <c:axId val="875122048"/>
      </c:lineChart>
      <c:catAx>
        <c:axId val="87616614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5122048"/>
        <c:crosses val="autoZero"/>
        <c:auto val="1"/>
        <c:lblAlgn val="ctr"/>
        <c:lblOffset val="100"/>
        <c:noMultiLvlLbl val="0"/>
      </c:catAx>
      <c:valAx>
        <c:axId val="875122048"/>
        <c:scaling>
          <c:orientation val="minMax"/>
        </c:scaling>
        <c:delete val="0"/>
        <c:axPos val="l"/>
        <c:majorGridlines>
          <c:spPr>
            <a:ln>
              <a:solidFill>
                <a:schemeClr val="bg1">
                  <a:lumMod val="85000"/>
                </a:schemeClr>
              </a:solidFill>
            </a:ln>
          </c:spPr>
        </c:majorGridlines>
        <c:title>
          <c:tx>
            <c:strRef>
              <c:f>'Financial Analysis_H'!$AB$11</c:f>
              <c:strCache>
                <c:ptCount val="1"/>
                <c:pt idx="0">
                  <c:v>Incremental % Growth</c:v>
                </c:pt>
              </c:strCache>
            </c:strRef>
          </c:tx>
          <c:layout>
            <c:manualLayout>
              <c:xMode val="edge"/>
              <c:yMode val="edge"/>
              <c:x val="6.7887958700422037E-5"/>
              <c:y val="0.14623351479213245"/>
            </c:manualLayout>
          </c:layout>
          <c:overlay val="0"/>
          <c:txPr>
            <a:bodyPr rot="-5400000" vert="horz"/>
            <a:lstStyle/>
            <a:p>
              <a:pPr>
                <a:defRPr>
                  <a:solidFill>
                    <a:srgbClr val="767171"/>
                  </a:solidFill>
                </a:defRPr>
              </a:pPr>
              <a:endParaRPr lang="en-US"/>
            </a:p>
          </c:txPr>
        </c:title>
        <c:numFmt formatCode="0%" sourceLinked="0"/>
        <c:majorTickMark val="out"/>
        <c:minorTickMark val="none"/>
        <c:tickLblPos val="nextTo"/>
        <c:txPr>
          <a:bodyPr/>
          <a:lstStyle/>
          <a:p>
            <a:pPr>
              <a:defRPr>
                <a:solidFill>
                  <a:srgbClr val="767171"/>
                </a:solidFill>
              </a:defRPr>
            </a:pPr>
            <a:endParaRPr lang="en-US"/>
          </a:p>
        </c:txPr>
        <c:crossAx val="876166144"/>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Capital Ratio</a:t>
            </a:r>
          </a:p>
        </c:rich>
      </c:tx>
      <c:layout>
        <c:manualLayout>
          <c:xMode val="edge"/>
          <c:yMode val="edge"/>
          <c:x val="6.5110551927347689E-4"/>
          <c:y val="1.8122734658167726E-4"/>
        </c:manualLayout>
      </c:layout>
      <c:overlay val="1"/>
    </c:title>
    <c:autoTitleDeleted val="0"/>
    <c:plotArea>
      <c:layout>
        <c:manualLayout>
          <c:xMode val="edge"/>
          <c:yMode val="edge"/>
          <c:x val="5.7129413742815938E-2"/>
          <c:y val="0.13023085713912952"/>
          <c:w val="0.94287058625718401"/>
          <c:h val="0.76419734915679638"/>
        </c:manualLayout>
      </c:layout>
      <c:lineChart>
        <c:grouping val="standard"/>
        <c:varyColors val="0"/>
        <c:ser>
          <c:idx val="1"/>
          <c:order val="0"/>
          <c:tx>
            <c:v>Tier 1 Capital Ratio %</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Data_H'!$D$47:$M$47</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Tier 2 Capital Ratio %</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Data_H'!$D$48:$M$48</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Total Capital Ratio %</c:v>
          </c:tx>
          <c:spPr>
            <a:ln w="22225">
              <a:solidFill>
                <a:srgbClr val="5E8AB4"/>
              </a:solidFill>
              <a:prstDash val="solid"/>
            </a:ln>
          </c:spPr>
          <c:marker>
            <c:symbol val="triangle"/>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Data_H'!$D$49:$M$49</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76393472"/>
        <c:axId val="875124352"/>
      </c:lineChart>
      <c:catAx>
        <c:axId val="87639347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5124352"/>
        <c:crosses val="autoZero"/>
        <c:auto val="1"/>
        <c:lblAlgn val="ctr"/>
        <c:lblOffset val="100"/>
        <c:noMultiLvlLbl val="0"/>
      </c:catAx>
      <c:valAx>
        <c:axId val="87512435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76393472"/>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Non Performing Loans /</a:t>
            </a:r>
            <a:r>
              <a:rPr lang="en-IN" sz="1000" b="1" baseline="0">
                <a:solidFill>
                  <a:srgbClr val="767171"/>
                </a:solidFill>
              </a:rPr>
              <a:t> Total Loans</a:t>
            </a:r>
            <a:endParaRPr lang="en-IN" sz="1000" b="1">
              <a:solidFill>
                <a:srgbClr val="767171"/>
              </a:solidFill>
            </a:endParaRPr>
          </a:p>
        </c:rich>
      </c:tx>
      <c:layout>
        <c:manualLayout>
          <c:xMode val="edge"/>
          <c:yMode val="edge"/>
          <c:x val="6.5110551927347689E-4"/>
          <c:y val="1.8122734658167726E-4"/>
        </c:manualLayout>
      </c:layout>
      <c:overlay val="1"/>
    </c:title>
    <c:autoTitleDeleted val="0"/>
    <c:plotArea>
      <c:layout>
        <c:manualLayout>
          <c:xMode val="edge"/>
          <c:yMode val="edge"/>
          <c:x val="7.6122620383903675E-2"/>
          <c:y val="0.13023091023546027"/>
          <c:w val="0.92387737961609628"/>
          <c:h val="0.76419766072715767"/>
        </c:manualLayout>
      </c:layout>
      <c:lineChart>
        <c:grouping val="standard"/>
        <c:varyColors val="0"/>
        <c:ser>
          <c:idx val="1"/>
          <c:order val="0"/>
          <c:tx>
            <c:v>Non Performing Loans / Assets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Data_H'!$D$62:$M$62</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6395520"/>
        <c:axId val="875290624"/>
      </c:lineChart>
      <c:catAx>
        <c:axId val="87639552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5290624"/>
        <c:crosses val="autoZero"/>
        <c:auto val="1"/>
        <c:lblAlgn val="ctr"/>
        <c:lblOffset val="100"/>
        <c:noMultiLvlLbl val="0"/>
      </c:catAx>
      <c:valAx>
        <c:axId val="87529062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7639552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1484780969627502E-2"/>
          <c:y val="0.89060018069675884"/>
          <c:w val="0.98564402378796567"/>
          <c:h val="0.10355816054613476"/>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a:lstStyle/>
          <a:p>
            <a:pPr>
              <a:defRPr sz="1000"/>
            </a:pPr>
            <a:r>
              <a:rPr lang="en-US" sz="1000"/>
              <a:t>Loan Composition</a:t>
            </a:r>
          </a:p>
        </c:rich>
      </c:tx>
      <c:layout>
        <c:manualLayout>
          <c:xMode val="edge"/>
          <c:yMode val="edge"/>
          <c:x val="3.0808346628713218E-3"/>
          <c:y val="5.9523809523809529E-4"/>
        </c:manualLayout>
      </c:layout>
      <c:overlay val="0"/>
    </c:title>
    <c:autoTitleDeleted val="0"/>
    <c:plotArea>
      <c:layout>
        <c:manualLayout>
          <c:xMode val="edge"/>
          <c:yMode val="edge"/>
          <c:x val="7.0699660851169327E-2"/>
          <c:y val="0.11534988170319672"/>
          <c:w val="0.90310788874146564"/>
          <c:h val="0.72947520904266239"/>
        </c:manualLayout>
      </c:layout>
      <c:barChart>
        <c:barDir val="col"/>
        <c:grouping val="stacked"/>
        <c:varyColors val="0"/>
        <c:ser>
          <c:idx val="0"/>
          <c:order val="0"/>
          <c:tx>
            <c:v>Commercial Loans</c:v>
          </c:tx>
          <c:spPr>
            <a:solidFill>
              <a:schemeClr val="accent3">
                <a:lumMod val="50000"/>
              </a:schemeClr>
            </a:solidFill>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Data_H'!$D$105:$M$105</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C1DB-441F-9F66-6113FC0C24E6}"/>
            </c:ext>
          </c:extLst>
        </c:ser>
        <c:ser>
          <c:idx val="1"/>
          <c:order val="1"/>
          <c:tx>
            <c:v>Commercial Mortgage Loans</c:v>
          </c:tx>
          <c:spPr>
            <a:solidFill>
              <a:schemeClr val="accent3">
                <a:lumMod val="75000"/>
              </a:schemeClr>
            </a:solidFill>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Data_H'!$D$106:$M$106</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C1DB-441F-9F66-6113FC0C24E6}"/>
            </c:ext>
          </c:extLst>
        </c:ser>
        <c:ser>
          <c:idx val="2"/>
          <c:order val="2"/>
          <c:tx>
            <c:v>Residential Mortgage Loans</c:v>
          </c:tx>
          <c:spPr>
            <a:solidFill>
              <a:schemeClr val="accent3"/>
            </a:solidFill>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Data_H'!$D$107:$M$107</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1DB-441F-9F66-6113FC0C24E6}"/>
            </c:ext>
          </c:extLst>
        </c:ser>
        <c:ser>
          <c:idx val="3"/>
          <c:order val="3"/>
          <c:tx>
            <c:v>Consumer Loans</c:v>
          </c:tx>
          <c:spPr>
            <a:solidFill>
              <a:schemeClr val="accent3">
                <a:lumMod val="60000"/>
                <a:lumOff val="40000"/>
              </a:schemeClr>
            </a:solidFill>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Data_H'!$D$108:$M$108</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C1DB-441F-9F66-6113FC0C24E6}"/>
            </c:ext>
          </c:extLst>
        </c:ser>
        <c:ser>
          <c:idx val="4"/>
          <c:order val="4"/>
          <c:tx>
            <c:v>Construction Loans</c:v>
          </c:tx>
          <c:spPr>
            <a:solidFill>
              <a:schemeClr val="accent3">
                <a:lumMod val="40000"/>
                <a:lumOff val="60000"/>
              </a:schemeClr>
            </a:solidFill>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Data_H'!$D$109:$M$109</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C1DB-441F-9F66-6113FC0C24E6}"/>
            </c:ext>
          </c:extLst>
        </c:ser>
        <c:dLbls>
          <c:showLegendKey val="0"/>
          <c:showVal val="0"/>
          <c:showCatName val="0"/>
          <c:showSerName val="0"/>
          <c:showPercent val="0"/>
          <c:showBubbleSize val="0"/>
        </c:dLbls>
        <c:gapWidth val="150"/>
        <c:overlap val="100"/>
        <c:axId val="875003904"/>
        <c:axId val="875291200"/>
      </c:barChart>
      <c:catAx>
        <c:axId val="875003904"/>
        <c:scaling>
          <c:orientation val="minMax"/>
        </c:scaling>
        <c:delete val="0"/>
        <c:axPos val="b"/>
        <c:numFmt formatCode="General" sourceLinked="0"/>
        <c:majorTickMark val="out"/>
        <c:minorTickMark val="none"/>
        <c:tickLblPos val="low"/>
        <c:spPr>
          <a:ln>
            <a:solidFill>
              <a:schemeClr val="bg1">
                <a:lumMod val="50000"/>
              </a:schemeClr>
            </a:solidFill>
          </a:ln>
        </c:spPr>
        <c:txPr>
          <a:bodyPr rot="-3000000"/>
          <a:lstStyle/>
          <a:p>
            <a:pPr>
              <a:defRPr/>
            </a:pPr>
            <a:endParaRPr lang="en-US"/>
          </a:p>
        </c:txPr>
        <c:crossAx val="875291200"/>
        <c:crossesAt val="-0.5"/>
        <c:auto val="1"/>
        <c:lblAlgn val="ctr"/>
        <c:lblOffset val="100"/>
        <c:noMultiLvlLbl val="0"/>
      </c:catAx>
      <c:valAx>
        <c:axId val="875291200"/>
        <c:scaling>
          <c:orientation val="minMax"/>
        </c:scaling>
        <c:delete val="0"/>
        <c:axPos val="l"/>
        <c:majorGridlines>
          <c:spPr>
            <a:ln>
              <a:solidFill>
                <a:schemeClr val="bg1">
                  <a:lumMod val="85000"/>
                </a:schemeClr>
              </a:solidFill>
            </a:ln>
          </c:spPr>
        </c:majorGridlines>
        <c:title>
          <c:tx>
            <c:rich>
              <a:bodyPr rot="-5400000" vert="horz"/>
              <a:lstStyle/>
              <a:p>
                <a:pPr>
                  <a:defRPr b="0"/>
                </a:pPr>
                <a:r>
                  <a:rPr lang="en-US" b="0"/>
                  <a:t>% of Total Loans</a:t>
                </a:r>
              </a:p>
            </c:rich>
          </c:tx>
          <c:layout>
            <c:manualLayout>
              <c:xMode val="edge"/>
              <c:yMode val="edge"/>
              <c:x val="0"/>
              <c:y val="0.20254649881727746"/>
            </c:manualLayout>
          </c:layout>
          <c:overlay val="0"/>
        </c:title>
        <c:numFmt formatCode="0%" sourceLinked="0"/>
        <c:majorTickMark val="out"/>
        <c:minorTickMark val="none"/>
        <c:tickLblPos val="nextTo"/>
        <c:crossAx val="875003904"/>
        <c:crosses val="autoZero"/>
        <c:crossBetween val="between"/>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egendEntry>
        <c:idx val="0"/>
        <c:delete val="1"/>
      </c:legendEntry>
      <c:legendEntry>
        <c:idx val="2"/>
        <c:delete val="1"/>
      </c:legendEntry>
      <c:legendEntry>
        <c:idx val="3"/>
        <c:delete val="1"/>
      </c:legendEntry>
      <c:legendEntry>
        <c:idx val="4"/>
        <c:delete val="1"/>
      </c:legendEntry>
      <c:layout>
        <c:manualLayout>
          <c:xMode val="edge"/>
          <c:yMode val="edge"/>
          <c:x val="1.1480482840181057E-2"/>
          <c:y val="0.84917657026112547"/>
          <c:w val="0.98564939644977367"/>
          <c:h val="0.11365258860640536"/>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Growth In Loan Composition</a:t>
            </a:r>
          </a:p>
        </c:rich>
      </c:tx>
      <c:layout>
        <c:manualLayout>
          <c:xMode val="edge"/>
          <c:yMode val="edge"/>
          <c:x val="3.4300603695620364E-4"/>
          <c:y val="1.8122734658167726E-4"/>
        </c:manualLayout>
      </c:layout>
      <c:overlay val="1"/>
    </c:title>
    <c:autoTitleDeleted val="0"/>
    <c:plotArea>
      <c:layout>
        <c:manualLayout>
          <c:layoutTarget val="inner"/>
          <c:xMode val="edge"/>
          <c:yMode val="edge"/>
          <c:x val="0.15275459532537766"/>
          <c:y val="0.14136904761904762"/>
          <c:w val="0.80961420857311772"/>
          <c:h val="0.5153527684039495"/>
        </c:manualLayout>
      </c:layout>
      <c:lineChart>
        <c:grouping val="standard"/>
        <c:varyColors val="0"/>
        <c:ser>
          <c:idx val="1"/>
          <c:order val="0"/>
          <c:tx>
            <c:v>Commercial Loans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Data_H'!$D$278:$M$278</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Commercial Mortgage Loans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Data_H'!$D$279:$M$279</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Residential Mortgage Loans</c:v>
          </c:tx>
          <c:spPr>
            <a:ln w="22225">
              <a:solidFill>
                <a:srgbClr val="5E8AB4"/>
              </a:solidFill>
              <a:prstDash val="solid"/>
            </a:ln>
          </c:spPr>
          <c:marker>
            <c:symbol val="triangle"/>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Data_H'!$D$280:$M$280</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ser>
          <c:idx val="0"/>
          <c:order val="3"/>
          <c:tx>
            <c:v>Consumer Loans</c:v>
          </c:tx>
          <c:spPr>
            <a:ln w="22225">
              <a:solidFill>
                <a:srgbClr val="5E8AB4">
                  <a:lumMod val="60000"/>
                  <a:lumOff val="40000"/>
                </a:srgbClr>
              </a:solidFill>
            </a:ln>
          </c:spPr>
          <c:marker>
            <c:symbol val="diamond"/>
            <c:size val="4"/>
            <c:spPr>
              <a:solidFill>
                <a:srgbClr val="5E8AB4">
                  <a:lumMod val="60000"/>
                  <a:lumOff val="4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Data_H'!$D$281:$M$281</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B82E-46EF-BF04-FC6821557B3B}"/>
            </c:ext>
          </c:extLst>
        </c:ser>
        <c:ser>
          <c:idx val="4"/>
          <c:order val="4"/>
          <c:tx>
            <c:v>Construction Loans</c:v>
          </c:tx>
          <c:spPr>
            <a:ln w="22225">
              <a:solidFill>
                <a:srgbClr val="5E8AB4">
                  <a:lumMod val="40000"/>
                  <a:lumOff val="60000"/>
                </a:srgbClr>
              </a:solidFill>
            </a:ln>
          </c:spPr>
          <c:marker>
            <c:symbol val="star"/>
            <c:size val="4"/>
            <c:spPr>
              <a:solidFill>
                <a:srgbClr val="5E8AB4">
                  <a:lumMod val="40000"/>
                  <a:lumOff val="6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Data_H'!$D$282:$M$282</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B82E-46EF-BF04-FC6821557B3B}"/>
            </c:ext>
          </c:extLst>
        </c:ser>
        <c:dLbls>
          <c:showLegendKey val="0"/>
          <c:showVal val="0"/>
          <c:showCatName val="0"/>
          <c:showSerName val="0"/>
          <c:showPercent val="0"/>
          <c:showBubbleSize val="0"/>
        </c:dLbls>
        <c:marker val="1"/>
        <c:smooth val="0"/>
        <c:axId val="875006976"/>
        <c:axId val="875294656"/>
      </c:lineChart>
      <c:catAx>
        <c:axId val="8750069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5294656"/>
        <c:crosses val="autoZero"/>
        <c:auto val="1"/>
        <c:lblAlgn val="ctr"/>
        <c:lblOffset val="100"/>
        <c:noMultiLvlLbl val="0"/>
      </c:catAx>
      <c:valAx>
        <c:axId val="875294656"/>
        <c:scaling>
          <c:orientation val="minMax"/>
        </c:scaling>
        <c:delete val="0"/>
        <c:axPos val="l"/>
        <c:majorGridlines>
          <c:spPr>
            <a:ln>
              <a:solidFill>
                <a:schemeClr val="bg1">
                  <a:lumMod val="85000"/>
                </a:schemeClr>
              </a:solidFill>
            </a:ln>
          </c:spPr>
        </c:majorGridlines>
        <c:title>
          <c:tx>
            <c:strRef>
              <c:f>'Financial Analysis_H'!$AB$11</c:f>
              <c:strCache>
                <c:ptCount val="1"/>
                <c:pt idx="0">
                  <c:v>Incremental % Growth</c:v>
                </c:pt>
              </c:strCache>
            </c:strRef>
          </c:tx>
          <c:layout>
            <c:manualLayout>
              <c:xMode val="edge"/>
              <c:yMode val="edge"/>
              <c:x val="1.7292734180448959E-3"/>
              <c:y val="0.15304299822768844"/>
            </c:manualLayout>
          </c:layout>
          <c:overlay val="0"/>
          <c:txPr>
            <a:bodyPr rot="-5400000" vert="horz"/>
            <a:lstStyle/>
            <a:p>
              <a:pPr>
                <a:defRPr>
                  <a:solidFill>
                    <a:srgbClr val="767171"/>
                  </a:solidFill>
                </a:defRPr>
              </a:pPr>
              <a:endParaRPr lang="en-US"/>
            </a:p>
          </c:txPr>
        </c:title>
        <c:numFmt formatCode="0%" sourceLinked="0"/>
        <c:majorTickMark val="out"/>
        <c:minorTickMark val="none"/>
        <c:tickLblPos val="nextTo"/>
        <c:txPr>
          <a:bodyPr/>
          <a:lstStyle/>
          <a:p>
            <a:pPr>
              <a:defRPr>
                <a:solidFill>
                  <a:srgbClr val="767171"/>
                </a:solidFill>
              </a:defRPr>
            </a:pPr>
            <a:endParaRPr lang="en-US"/>
          </a:p>
        </c:txPr>
        <c:crossAx val="87500697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egendEntry>
        <c:idx val="0"/>
        <c:delete val="1"/>
      </c:legendEntry>
      <c:legendEntry>
        <c:idx val="1"/>
        <c:delete val="1"/>
      </c:legendEntry>
      <c:legendEntry>
        <c:idx val="2"/>
        <c:delete val="1"/>
      </c:legendEntry>
      <c:legendEntry>
        <c:idx val="4"/>
        <c:delete val="1"/>
      </c:legendEntry>
      <c:layout>
        <c:manualLayout>
          <c:xMode val="edge"/>
          <c:yMode val="edge"/>
          <c:x val="1.1484780969627502E-2"/>
          <c:y val="0.84399866434489912"/>
          <c:w val="0.98564402378796567"/>
          <c:h val="0.11365258860640536"/>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a:solidFill>
                  <a:srgbClr val="767171"/>
                </a:solidFill>
              </a:defRPr>
            </a:pPr>
            <a:r>
              <a:rPr lang="en-US" sz="1000">
                <a:solidFill>
                  <a:srgbClr val="767171"/>
                </a:solidFill>
              </a:rPr>
              <a:t>Loans</a:t>
            </a:r>
          </a:p>
        </c:rich>
      </c:tx>
      <c:layout>
        <c:manualLayout>
          <c:xMode val="edge"/>
          <c:yMode val="edge"/>
          <c:x val="2.7778672039223298E-3"/>
          <c:y val="1.1904761904761906E-3"/>
        </c:manualLayout>
      </c:layout>
      <c:overlay val="0"/>
    </c:title>
    <c:autoTitleDeleted val="0"/>
    <c:plotArea>
      <c:layout>
        <c:manualLayout>
          <c:xMode val="edge"/>
          <c:yMode val="edge"/>
          <c:x val="7.1807708240252149E-2"/>
          <c:y val="0.12031011999699925"/>
          <c:w val="0.87569620201672305"/>
          <c:h val="0.76419766072715767"/>
        </c:manualLayout>
      </c:layout>
      <c:barChart>
        <c:barDir val="col"/>
        <c:grouping val="clustered"/>
        <c:varyColors val="0"/>
        <c:ser>
          <c:idx val="0"/>
          <c:order val="0"/>
          <c:tx>
            <c:v>Total Loans</c:v>
          </c:tx>
          <c:spPr>
            <a:solidFill>
              <a:srgbClr val="5E8AB4">
                <a:lumMod val="50000"/>
              </a:srgb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Data_H'!$D$53:$M$53</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6B52-401B-A5A2-ECF14918FE76}"/>
            </c:ext>
          </c:extLst>
        </c:ser>
        <c:dLbls>
          <c:showLegendKey val="0"/>
          <c:showVal val="0"/>
          <c:showCatName val="0"/>
          <c:showSerName val="0"/>
          <c:showPercent val="0"/>
          <c:showBubbleSize val="0"/>
        </c:dLbls>
        <c:gapWidth val="150"/>
        <c:axId val="42938368"/>
        <c:axId val="875296960"/>
      </c:barChart>
      <c:lineChart>
        <c:grouping val="standard"/>
        <c:varyColors val="0"/>
        <c:ser>
          <c:idx val="1"/>
          <c:order val="1"/>
          <c:tx>
            <c:v>%Non Performing Loans</c:v>
          </c:tx>
          <c:spPr>
            <a:ln w="22225">
              <a:solidFill>
                <a:srgbClr val="5E8AB4"/>
              </a:solidFill>
            </a:ln>
          </c:spPr>
          <c:marker>
            <c:symbol val="square"/>
            <c:size val="4"/>
            <c:spPr>
              <a:solidFill>
                <a:srgbClr val="5E8AB4"/>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Data_H'!$D$61:$M$61</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6B52-401B-A5A2-ECF14918FE76}"/>
            </c:ext>
          </c:extLst>
        </c:ser>
        <c:dLbls>
          <c:showLegendKey val="0"/>
          <c:showVal val="0"/>
          <c:showCatName val="0"/>
          <c:showSerName val="0"/>
          <c:showPercent val="0"/>
          <c:showBubbleSize val="0"/>
        </c:dLbls>
        <c:marker val="1"/>
        <c:smooth val="0"/>
        <c:axId val="42939392"/>
        <c:axId val="875297536"/>
      </c:lineChart>
      <c:catAx>
        <c:axId val="42938368"/>
        <c:scaling>
          <c:orientation val="minMax"/>
        </c:scaling>
        <c:delete val="0"/>
        <c:axPos val="b"/>
        <c:numFmt formatCode="General" sourceLinked="0"/>
        <c:majorTickMark val="out"/>
        <c:minorTickMark val="none"/>
        <c:tickLblPos val="low"/>
        <c:spPr>
          <a:ln>
            <a:solidFill>
              <a:sysClr val="window" lastClr="FFFFFF">
                <a:lumMod val="50000"/>
              </a:sysClr>
            </a:solidFill>
          </a:ln>
        </c:spPr>
        <c:txPr>
          <a:bodyPr rot="-3000000"/>
          <a:lstStyle/>
          <a:p>
            <a:pPr>
              <a:defRPr>
                <a:solidFill>
                  <a:srgbClr val="767171"/>
                </a:solidFill>
              </a:defRPr>
            </a:pPr>
            <a:endParaRPr lang="en-US"/>
          </a:p>
        </c:txPr>
        <c:crossAx val="875296960"/>
        <c:crossesAt val="-0.5"/>
        <c:auto val="1"/>
        <c:lblAlgn val="ctr"/>
        <c:lblOffset val="100"/>
        <c:noMultiLvlLbl val="0"/>
      </c:catAx>
      <c:valAx>
        <c:axId val="875296960"/>
        <c:scaling>
          <c:orientation val="minMax"/>
        </c:scaling>
        <c:delete val="0"/>
        <c:axPos val="l"/>
        <c:majorGridlines>
          <c:spPr>
            <a:ln>
              <a:solidFill>
                <a:schemeClr val="bg1">
                  <a:lumMod val="85000"/>
                </a:schemeClr>
              </a:solidFill>
            </a:ln>
          </c:spPr>
        </c:majorGridlines>
        <c:title>
          <c:tx>
            <c:strRef>
              <c:f>'Financial Analysis_H'!$AB$13</c:f>
              <c:strCache>
                <c:ptCount val="1"/>
                <c:pt idx="0">
                  <c:v>USD million</c:v>
                </c:pt>
              </c:strCache>
            </c:strRef>
          </c:tx>
          <c:layout>
            <c:manualLayout>
              <c:xMode val="edge"/>
              <c:yMode val="edge"/>
              <c:x val="0"/>
              <c:y val="0.27015367292051456"/>
            </c:manualLayout>
          </c:layout>
          <c:overlay val="0"/>
          <c:txPr>
            <a:bodyPr rot="-5400000" vert="horz"/>
            <a:lstStyle/>
            <a:p>
              <a:pPr>
                <a:defRPr b="0">
                  <a:solidFill>
                    <a:srgbClr val="767171"/>
                  </a:solidFill>
                </a:defRPr>
              </a:pPr>
              <a:endParaRPr lang="en-US"/>
            </a:p>
          </c:txPr>
        </c:title>
        <c:numFmt formatCode="#,##0" sourceLinked="0"/>
        <c:majorTickMark val="out"/>
        <c:minorTickMark val="none"/>
        <c:tickLblPos val="nextTo"/>
        <c:txPr>
          <a:bodyPr/>
          <a:lstStyle/>
          <a:p>
            <a:pPr>
              <a:defRPr>
                <a:solidFill>
                  <a:srgbClr val="767171"/>
                </a:solidFill>
              </a:defRPr>
            </a:pPr>
            <a:endParaRPr lang="en-US"/>
          </a:p>
        </c:txPr>
        <c:crossAx val="42938368"/>
        <c:crosses val="autoZero"/>
        <c:crossBetween val="between"/>
      </c:valAx>
      <c:valAx>
        <c:axId val="875297536"/>
        <c:scaling>
          <c:orientation val="minMax"/>
        </c:scaling>
        <c:delete val="0"/>
        <c:axPos val="r"/>
        <c:numFmt formatCode="0.0%" sourceLinked="0"/>
        <c:majorTickMark val="out"/>
        <c:minorTickMark val="none"/>
        <c:tickLblPos val="nextTo"/>
        <c:txPr>
          <a:bodyPr/>
          <a:lstStyle/>
          <a:p>
            <a:pPr>
              <a:defRPr>
                <a:solidFill>
                  <a:srgbClr val="767171"/>
                </a:solidFill>
              </a:defRPr>
            </a:pPr>
            <a:endParaRPr lang="en-US"/>
          </a:p>
        </c:txPr>
        <c:crossAx val="42939392"/>
        <c:crosses val="max"/>
        <c:crossBetween val="between"/>
      </c:valAx>
      <c:catAx>
        <c:axId val="42939392"/>
        <c:scaling>
          <c:orientation val="minMax"/>
        </c:scaling>
        <c:delete val="1"/>
        <c:axPos val="b"/>
        <c:numFmt formatCode="General" sourceLinked="1"/>
        <c:majorTickMark val="out"/>
        <c:minorTickMark val="none"/>
        <c:tickLblPos val="nextTo"/>
        <c:crossAx val="875297536"/>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1480482840181057E-2"/>
          <c:y val="0.88542227266945217"/>
          <c:w val="0.98564939644977367"/>
          <c:h val="0.1087360685734414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a:pPr>
            <a:r>
              <a:rPr lang="en-IN"/>
              <a:t>Growth In Loans</a:t>
            </a:r>
          </a:p>
        </c:rich>
      </c:tx>
      <c:layout>
        <c:manualLayout>
          <c:xMode val="edge"/>
          <c:yMode val="edge"/>
          <c:x val="3.4300603695620364E-4"/>
          <c:y val="1.8122734658167726E-4"/>
        </c:manualLayout>
      </c:layout>
      <c:overlay val="1"/>
    </c:title>
    <c:autoTitleDeleted val="0"/>
    <c:plotArea>
      <c:layout>
        <c:manualLayout>
          <c:layoutTarget val="inner"/>
          <c:xMode val="edge"/>
          <c:yMode val="edge"/>
          <c:x val="0.17008412256922981"/>
          <c:y val="0.14632936507936509"/>
          <c:w val="0.79228462361908514"/>
          <c:h val="0.55007517156233898"/>
        </c:manualLayout>
      </c:layout>
      <c:lineChart>
        <c:grouping val="standard"/>
        <c:varyColors val="0"/>
        <c:ser>
          <c:idx val="1"/>
          <c:order val="0"/>
          <c:tx>
            <c:v>Total Loans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Data_H'!$D$266:$M$266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Non Performing Loans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Data_H'!$D$269:$M$269</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42941440"/>
        <c:axId val="42517056"/>
      </c:lineChart>
      <c:catAx>
        <c:axId val="429414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42517056"/>
        <c:crosses val="autoZero"/>
        <c:auto val="1"/>
        <c:lblAlgn val="ctr"/>
        <c:lblOffset val="100"/>
        <c:noMultiLvlLbl val="0"/>
      </c:catAx>
      <c:valAx>
        <c:axId val="42517056"/>
        <c:scaling>
          <c:orientation val="minMax"/>
        </c:scaling>
        <c:delete val="0"/>
        <c:axPos val="l"/>
        <c:majorGridlines>
          <c:spPr>
            <a:ln>
              <a:solidFill>
                <a:schemeClr val="bg1">
                  <a:lumMod val="85000"/>
                </a:schemeClr>
              </a:solidFill>
            </a:ln>
          </c:spPr>
        </c:majorGridlines>
        <c:title>
          <c:tx>
            <c:strRef>
              <c:f>'Financial Analysis_H'!$AB$11</c:f>
              <c:strCache>
                <c:ptCount val="1"/>
                <c:pt idx="0">
                  <c:v>Incremental % Growth</c:v>
                </c:pt>
              </c:strCache>
            </c:strRef>
          </c:tx>
          <c:layout>
            <c:manualLayout>
              <c:xMode val="edge"/>
              <c:yMode val="edge"/>
              <c:x val="2.8299574392227633E-3"/>
              <c:y val="0.19066249531308585"/>
            </c:manualLayout>
          </c:layout>
          <c:overlay val="0"/>
          <c:txPr>
            <a:bodyPr rot="-5400000" vert="horz"/>
            <a:lstStyle/>
            <a:p>
              <a:pPr>
                <a:defRPr/>
              </a:pPr>
              <a:endParaRPr lang="en-US"/>
            </a:p>
          </c:txPr>
        </c:title>
        <c:numFmt formatCode="0%" sourceLinked="0"/>
        <c:majorTickMark val="out"/>
        <c:minorTickMark val="none"/>
        <c:tickLblPos val="nextTo"/>
        <c:crossAx val="4294144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1484780969627502E-2"/>
          <c:y val="0.88024400575848372"/>
          <c:w val="0.98564402378796567"/>
          <c:h val="0.11365258860640536"/>
        </c:manualLayout>
      </c:layout>
      <c:overlay val="0"/>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pPr>
            <a:r>
              <a:rPr lang="en-IN" sz="1000" b="1"/>
              <a:t>Net Interest Income Margin (NIM)</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1457002088860294"/>
          <c:y val="0.14632920604074426"/>
          <c:w val="0.84781286632175512"/>
          <c:h val="0.54511467738343189"/>
        </c:manualLayout>
      </c:layout>
      <c:lineChart>
        <c:grouping val="standard"/>
        <c:varyColors val="0"/>
        <c:ser>
          <c:idx val="1"/>
          <c:order val="0"/>
          <c:tx>
            <c:v>Net Interest Income Margin (NIM)</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Data_H'!$D$45:$M$45</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42723840"/>
        <c:axId val="42518784"/>
      </c:lineChart>
      <c:catAx>
        <c:axId val="427238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42518784"/>
        <c:crosses val="autoZero"/>
        <c:auto val="1"/>
        <c:lblAlgn val="ctr"/>
        <c:lblOffset val="100"/>
        <c:noMultiLvlLbl val="0"/>
      </c:catAx>
      <c:valAx>
        <c:axId val="4251878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crossAx val="4272384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Capital Adequacy Ratio</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7259398450167687"/>
          <c:y val="0.15625"/>
          <c:w val="0.78978896928993436"/>
          <c:h val="0.55007517156233898"/>
        </c:manualLayout>
      </c:layout>
      <c:lineChart>
        <c:grouping val="standard"/>
        <c:varyColors val="0"/>
        <c:ser>
          <c:idx val="1"/>
          <c:order val="0"/>
          <c:tx>
            <c:strRef>
              <c:f>'Financial Data_H'!$A$50</c:f>
              <c:strCache>
                <c:ptCount val="1"/>
                <c:pt idx="0">
                  <c:v>Capital Adequacy Ratio</c:v>
                </c:pt>
              </c:strCache>
            </c:strRef>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Data_H'!$D$50:$M$50</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6624896"/>
        <c:axId val="42521088"/>
      </c:lineChart>
      <c:catAx>
        <c:axId val="87662489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42521088"/>
        <c:crosses val="autoZero"/>
        <c:auto val="1"/>
        <c:lblAlgn val="ctr"/>
        <c:lblOffset val="100"/>
        <c:noMultiLvlLbl val="0"/>
      </c:catAx>
      <c:valAx>
        <c:axId val="4252108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7662489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Allowance for Loan Loss / Gross Loans</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6318833452816139"/>
          <c:y val="0.15625"/>
          <c:w val="0.79918046592490355"/>
          <c:h val="0.55007517156233898"/>
        </c:manualLayout>
      </c:layout>
      <c:lineChart>
        <c:grouping val="standard"/>
        <c:varyColors val="0"/>
        <c:ser>
          <c:idx val="1"/>
          <c:order val="0"/>
          <c:tx>
            <c:v>Allowance for Loan Loss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Data_H'!$D$64:$M$64</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6717056"/>
        <c:axId val="42523392"/>
      </c:lineChart>
      <c:catAx>
        <c:axId val="87671705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42523392"/>
        <c:crosses val="autoZero"/>
        <c:auto val="1"/>
        <c:lblAlgn val="ctr"/>
        <c:lblOffset val="100"/>
        <c:noMultiLvlLbl val="0"/>
      </c:catAx>
      <c:valAx>
        <c:axId val="42523392"/>
        <c:scaling>
          <c:orientation val="minMax"/>
        </c:scaling>
        <c:delete val="0"/>
        <c:axPos val="l"/>
        <c:majorGridlines>
          <c:spPr>
            <a:ln>
              <a:solidFill>
                <a:schemeClr val="bg1">
                  <a:lumMod val="85000"/>
                </a:schemeClr>
              </a:solidFill>
            </a:ln>
          </c:spPr>
        </c:majorGridlines>
        <c:title>
          <c:tx>
            <c:rich>
              <a:bodyPr rot="-5400000" vert="horz"/>
              <a:lstStyle/>
              <a:p>
                <a:pPr>
                  <a:defRPr>
                    <a:solidFill>
                      <a:srgbClr val="767171"/>
                    </a:solidFill>
                  </a:defRPr>
                </a:pPr>
                <a:r>
                  <a:rPr lang="en-US">
                    <a:solidFill>
                      <a:srgbClr val="767171"/>
                    </a:solidFill>
                  </a:rPr>
                  <a:t>% of Gross Loans</a:t>
                </a:r>
              </a:p>
            </c:rich>
          </c:tx>
          <c:layout>
            <c:manualLayout>
              <c:xMode val="edge"/>
              <c:yMode val="edge"/>
              <c:x val="7.9615048118984873E-5"/>
              <c:y val="0.23560440361621465"/>
            </c:manualLayout>
          </c:layout>
          <c:overlay val="0"/>
        </c:title>
        <c:numFmt formatCode="0%" sourceLinked="0"/>
        <c:majorTickMark val="out"/>
        <c:minorTickMark val="none"/>
        <c:tickLblPos val="nextTo"/>
        <c:txPr>
          <a:bodyPr/>
          <a:lstStyle/>
          <a:p>
            <a:pPr>
              <a:defRPr>
                <a:solidFill>
                  <a:srgbClr val="767171"/>
                </a:solidFill>
              </a:defRPr>
            </a:pPr>
            <a:endParaRPr lang="en-US"/>
          </a:p>
        </c:txPr>
        <c:crossAx val="87671705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Total Loans to Total Deposits</a:t>
            </a:r>
          </a:p>
        </c:rich>
      </c:tx>
      <c:layout>
        <c:manualLayout>
          <c:xMode val="edge"/>
          <c:yMode val="edge"/>
          <c:x val="6.5110551927347689E-4"/>
          <c:y val="1.8122734658167726E-4"/>
        </c:manualLayout>
      </c:layout>
      <c:overlay val="1"/>
    </c:title>
    <c:autoTitleDeleted val="0"/>
    <c:plotArea>
      <c:layout>
        <c:manualLayout>
          <c:xMode val="edge"/>
          <c:yMode val="edge"/>
          <c:x val="4.5530736167882627E-2"/>
          <c:y val="0.12031007094546524"/>
          <c:w val="0.95446926383211739"/>
          <c:h val="0.76419734915679638"/>
        </c:manualLayout>
      </c:layout>
      <c:lineChart>
        <c:grouping val="standard"/>
        <c:varyColors val="0"/>
        <c:ser>
          <c:idx val="1"/>
          <c:order val="0"/>
          <c:tx>
            <c:v>Total Loans to Total Deposits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Data_H'!$D$66:$M$66</c:f>
              <c:numCache>
                <c:formatCode>0.0%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6719104"/>
        <c:axId val="876986944"/>
      </c:lineChart>
      <c:catAx>
        <c:axId val="87671910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6986944"/>
        <c:crosses val="autoZero"/>
        <c:auto val="1"/>
        <c:lblAlgn val="ctr"/>
        <c:lblOffset val="100"/>
        <c:noMultiLvlLbl val="0"/>
      </c:catAx>
      <c:valAx>
        <c:axId val="87698694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76719104"/>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a:pPr>
            <a:r>
              <a:rPr lang="en-IN"/>
              <a:t>Growth In Total Loans and Total Deposits</a:t>
            </a:r>
          </a:p>
        </c:rich>
      </c:tx>
      <c:layout>
        <c:manualLayout>
          <c:xMode val="edge"/>
          <c:yMode val="edge"/>
          <c:x val="3.4300603695620364E-4"/>
          <c:y val="1.8122734658167726E-4"/>
        </c:manualLayout>
      </c:layout>
      <c:overlay val="1"/>
    </c:title>
    <c:autoTitleDeleted val="0"/>
    <c:plotArea>
      <c:layout>
        <c:manualLayout>
          <c:layoutTarget val="inner"/>
          <c:xMode val="edge"/>
          <c:yMode val="edge"/>
          <c:x val="0.15268525809273842"/>
          <c:y val="0.14632936507936509"/>
          <c:w val="0.80968361463133964"/>
          <c:h val="0.55007517156233898"/>
        </c:manualLayout>
      </c:layout>
      <c:lineChart>
        <c:grouping val="standard"/>
        <c:varyColors val="0"/>
        <c:ser>
          <c:idx val="1"/>
          <c:order val="0"/>
          <c:tx>
            <c:v>Total Loans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Data_H'!$D$266:$M$266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Total Deposits</c:v>
          </c:tx>
          <c:spPr>
            <a:ln w="22225">
              <a:solidFill>
                <a:srgbClr val="5E8AB4">
                  <a:lumMod val="75000"/>
                </a:srgbClr>
              </a:solidFill>
            </a:ln>
          </c:spPr>
          <c:marker>
            <c:symbol val="circle"/>
            <c:size val="4"/>
            <c:spPr>
              <a:solidFill>
                <a:srgbClr val="5E8AB4">
                  <a:lumMod val="75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Data_H'!$D$267:$M$267</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76913664"/>
        <c:axId val="875298112"/>
      </c:lineChart>
      <c:catAx>
        <c:axId val="87691366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pPr>
            <a:endParaRPr lang="en-US"/>
          </a:p>
        </c:txPr>
        <c:crossAx val="875298112"/>
        <c:crosses val="autoZero"/>
        <c:auto val="1"/>
        <c:lblAlgn val="ctr"/>
        <c:lblOffset val="100"/>
        <c:noMultiLvlLbl val="0"/>
      </c:catAx>
      <c:valAx>
        <c:axId val="875298112"/>
        <c:scaling>
          <c:orientation val="minMax"/>
        </c:scaling>
        <c:delete val="0"/>
        <c:axPos val="l"/>
        <c:majorGridlines>
          <c:spPr>
            <a:ln>
              <a:solidFill>
                <a:schemeClr val="bg1">
                  <a:lumMod val="85000"/>
                </a:schemeClr>
              </a:solidFill>
            </a:ln>
          </c:spPr>
        </c:majorGridlines>
        <c:title>
          <c:tx>
            <c:strRef>
              <c:f>'Financial Analysis_H'!$AB$11</c:f>
              <c:strCache>
                <c:ptCount val="1"/>
                <c:pt idx="0">
                  <c:v>Incremental % Growth</c:v>
                </c:pt>
              </c:strCache>
            </c:strRef>
          </c:tx>
          <c:layout>
            <c:manualLayout>
              <c:xMode val="edge"/>
              <c:yMode val="edge"/>
              <c:x val="9.0759937336835797E-4"/>
              <c:y val="0.15097995563054617"/>
            </c:manualLayout>
          </c:layout>
          <c:overlay val="0"/>
          <c:txPr>
            <a:bodyPr rot="-5400000" vert="horz"/>
            <a:lstStyle/>
            <a:p>
              <a:pPr>
                <a:defRPr/>
              </a:pPr>
              <a:endParaRPr lang="en-US"/>
            </a:p>
          </c:txPr>
        </c:title>
        <c:numFmt formatCode="0%" sourceLinked="0"/>
        <c:majorTickMark val="out"/>
        <c:minorTickMark val="none"/>
        <c:tickLblPos val="nextTo"/>
        <c:crossAx val="876913664"/>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egendEntry>
        <c:idx val="1"/>
        <c:delete val="1"/>
      </c:legendEntry>
      <c:layout>
        <c:manualLayout>
          <c:xMode val="edge"/>
          <c:yMode val="edge"/>
          <c:x val="1.1484780969627502E-2"/>
          <c:y val="0.88024400575848372"/>
          <c:w val="0.98564402378796567"/>
          <c:h val="0.11365258860640536"/>
        </c:manualLayout>
      </c:layout>
      <c:overlay val="0"/>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pPr>
            <a:r>
              <a:rPr lang="en-IN" sz="1000" b="1"/>
              <a:t>EBT Margin</a:t>
            </a:r>
          </a:p>
        </c:rich>
      </c:tx>
      <c:layout>
        <c:manualLayout>
          <c:xMode val="edge"/>
          <c:yMode val="edge"/>
          <c:x val="9.7163263764072131E-4"/>
          <c:y val="0"/>
        </c:manualLayout>
      </c:layout>
      <c:overlay val="0"/>
    </c:title>
    <c:autoTitleDeleted val="0"/>
    <c:plotArea>
      <c:layout>
        <c:manualLayout>
          <c:layoutTarget val="inner"/>
          <c:xMode val="edge"/>
          <c:yMode val="edge"/>
          <c:x val="0.1255071785533019"/>
          <c:y val="0.15128968253968253"/>
          <c:w val="0.83686162534519337"/>
          <c:h val="0.55721237970253712"/>
        </c:manualLayout>
      </c:layout>
      <c:lineChart>
        <c:grouping val="standard"/>
        <c:varyColors val="0"/>
        <c:ser>
          <c:idx val="5"/>
          <c:order val="0"/>
          <c:tx>
            <c:v>EBT Margin</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Data_H'!$D$96:$M$96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84D8-4475-9988-2AE728F87BEF}"/>
            </c:ext>
          </c:extLst>
        </c:ser>
        <c:dLbls>
          <c:showLegendKey val="0"/>
          <c:showVal val="0"/>
          <c:showCatName val="0"/>
          <c:showSerName val="0"/>
          <c:showPercent val="0"/>
          <c:showBubbleSize val="0"/>
        </c:dLbls>
        <c:marker val="1"/>
        <c:smooth val="0"/>
        <c:axId val="876914176"/>
        <c:axId val="42523968"/>
      </c:lineChart>
      <c:catAx>
        <c:axId val="8769141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50000"/>
              </a:schemeClr>
            </a:solidFill>
          </a:ln>
        </c:spPr>
        <c:txPr>
          <a:bodyPr rot="-2700000" vert="horz"/>
          <a:lstStyle/>
          <a:p>
            <a:pPr>
              <a:defRPr/>
            </a:pPr>
            <a:endParaRPr lang="en-US"/>
          </a:p>
        </c:txPr>
        <c:crossAx val="42523968"/>
        <c:crosses val="autoZero"/>
        <c:auto val="1"/>
        <c:lblAlgn val="ctr"/>
        <c:lblOffset val="100"/>
        <c:noMultiLvlLbl val="0"/>
      </c:catAx>
      <c:valAx>
        <c:axId val="42523968"/>
        <c:scaling>
          <c:orientation val="minMax"/>
        </c:scaling>
        <c:delete val="0"/>
        <c:axPos val="l"/>
        <c:majorGridlines>
          <c:spPr>
            <a:ln w="9525">
              <a:solidFill>
                <a:sysClr val="window" lastClr="FFFFFF">
                  <a:lumMod val="85000"/>
                </a:sysClr>
              </a:solidFill>
            </a:ln>
          </c:spPr>
        </c:majorGridlines>
        <c:numFmt formatCode="0%" sourceLinked="0"/>
        <c:majorTickMark val="out"/>
        <c:minorTickMark val="none"/>
        <c:tickLblPos val="nextTo"/>
        <c:crossAx val="876914176"/>
        <c:crosses val="autoZero"/>
        <c:crossBetween val="midCat"/>
        <c:minorUnit val="1.0000000000000002E-2"/>
      </c:valAx>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5" l="0.5" r="0.5" t="0.5" header="0.3" footer="0.3"/>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EBT and EBT Growth</a:t>
            </a:r>
          </a:p>
        </c:rich>
      </c:tx>
      <c:layout>
        <c:manualLayout>
          <c:xMode val="edge"/>
          <c:yMode val="edge"/>
          <c:x val="1.4296453438903171E-4"/>
          <c:y val="0"/>
        </c:manualLayout>
      </c:layout>
      <c:overlay val="0"/>
    </c:title>
    <c:autoTitleDeleted val="0"/>
    <c:plotArea>
      <c:layout>
        <c:manualLayout>
          <c:layoutTarget val="inner"/>
          <c:xMode val="edge"/>
          <c:yMode val="edge"/>
          <c:x val="0.16252408810954189"/>
          <c:y val="0.15128984898046216"/>
          <c:w val="0.6825472479497281"/>
          <c:h val="0.55721239484671969"/>
        </c:manualLayout>
      </c:layout>
      <c:barChart>
        <c:barDir val="col"/>
        <c:grouping val="clustered"/>
        <c:varyColors val="0"/>
        <c:ser>
          <c:idx val="1"/>
          <c:order val="0"/>
          <c:tx>
            <c:v>EBT</c:v>
          </c:tx>
          <c:spPr>
            <a:solidFill>
              <a:schemeClr val="accent3">
                <a:lumMod val="50000"/>
              </a:scheme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Data_H'!$D$34:$M$34</c:f>
              <c:numCache>
                <c:formatCode>#,##0</c:formatCode>
                <c:ptCount val="10"/>
                <c:pt idx="0">
                  <c:v>24656</c:v>
                </c:pt>
                <c:pt idx="1">
                  <c:v>24799</c:v>
                </c:pt>
                <c:pt idx="2">
                  <c:v>21638</c:v>
                </c:pt>
                <c:pt idx="3">
                  <c:v>20497</c:v>
                </c:pt>
                <c:pt idx="4">
                  <c:v>15123</c:v>
                </c:pt>
                <c:pt idx="5">
                  <c:v>11460</c:v>
                </c:pt>
                <c:pt idx="6">
                  <c:v>20116</c:v>
                </c:pt>
                <c:pt idx="7">
                  <c:v>20564</c:v>
                </c:pt>
                <c:pt idx="8">
                  <c:v>18696</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6915200"/>
        <c:axId val="876990400"/>
      </c:barChart>
      <c:lineChart>
        <c:grouping val="standard"/>
        <c:varyColors val="0"/>
        <c:ser>
          <c:idx val="2"/>
          <c:order val="1"/>
          <c:tx>
            <c:v>EBT Growth</c:v>
          </c:tx>
          <c:spPr>
            <a:ln w="22225">
              <a:solidFill>
                <a:schemeClr val="accent3"/>
              </a:solidFill>
            </a:ln>
          </c:spPr>
          <c:marker>
            <c:symbol val="square"/>
            <c:size val="4"/>
            <c:spPr>
              <a:solidFill>
                <a:schemeClr val="accent3"/>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Data_H'!$D$193:$M$193</c:f>
              <c:numCache>
                <c:formatCode>0%</c:formatCode>
                <c:ptCount val="10"/>
                <c:pt idx="0">
                  <c:v>-3.9201932818954094E-2</c:v>
                </c:pt>
                <c:pt idx="1">
                  <c:v>5.7998053212199871E-3</c:v>
                </c:pt>
                <c:pt idx="2">
                  <c:v>-0.12746481712972296</c:v>
                </c:pt>
                <c:pt idx="3">
                  <c:v>-5.2731306035677973E-2</c:v>
                </c:pt>
                <c:pt idx="4">
                  <c:v>-0.26218470995755477</c:v>
                </c:pt>
                <c:pt idx="5">
                  <c:v>-0.2422138464590359</c:v>
                </c:pt>
                <c:pt idx="6">
                  <c:v>0.7553228621291449</c:v>
                </c:pt>
                <c:pt idx="7">
                  <c:v>2.2270829190693973E-2</c:v>
                </c:pt>
                <c:pt idx="8">
                  <c:v>-9.0838358296051358E-2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6623872"/>
        <c:axId val="876990976"/>
      </c:lineChart>
      <c:catAx>
        <c:axId val="8769152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crossAx val="876990400"/>
        <c:crossesAt val="-0.5"/>
        <c:auto val="1"/>
        <c:lblAlgn val="ctr"/>
        <c:lblOffset val="100"/>
        <c:noMultiLvlLbl val="0"/>
      </c:catAx>
      <c:valAx>
        <c:axId val="876990400"/>
        <c:scaling>
          <c:orientation val="minMax"/>
        </c:scaling>
        <c:delete val="0"/>
        <c:axPos val="l"/>
        <c:majorGridlines>
          <c:spPr>
            <a:ln>
              <a:solidFill>
                <a:schemeClr val="bg1">
                  <a:lumMod val="85000"/>
                </a:schemeClr>
              </a:solidFill>
            </a:ln>
          </c:spPr>
        </c:majorGridlines>
        <c:title>
          <c:tx>
            <c:strRef>
              <c:f>'Financial Analysis_H'!$AB$13</c:f>
              <c:strCache>
                <c:ptCount val="1"/>
                <c:pt idx="0">
                  <c:v>USD million</c:v>
                </c:pt>
              </c:strCache>
            </c:strRef>
          </c:tx>
          <c:layout>
            <c:manualLayout>
              <c:xMode val="edge"/>
              <c:yMode val="edge"/>
              <c:x val="3.0095349255157998E-3"/>
              <c:y val="0.23455615501765983"/>
            </c:manualLayout>
          </c:layout>
          <c:overlay val="0"/>
          <c:txPr>
            <a:bodyPr rot="-5400000" vert="horz"/>
            <a:lstStyle/>
            <a:p>
              <a:pPr>
                <a:defRPr/>
              </a:pPr>
              <a:endParaRPr lang="en-US"/>
            </a:p>
          </c:txPr>
        </c:title>
        <c:numFmt formatCode="#,##0" sourceLinked="1"/>
        <c:majorTickMark val="out"/>
        <c:minorTickMark val="none"/>
        <c:tickLblPos val="nextTo"/>
        <c:crossAx val="876915200"/>
        <c:crosses val="autoZero"/>
        <c:crossBetween val="between"/>
      </c:valAx>
      <c:valAx>
        <c:axId val="876990976"/>
        <c:scaling>
          <c:orientation val="minMax"/>
        </c:scaling>
        <c:delete val="0"/>
        <c:axPos val="r"/>
        <c:title>
          <c:tx>
            <c:rich>
              <a:bodyPr rot="-5400000" vert="horz"/>
              <a:lstStyle/>
              <a:p>
                <a:pPr>
                  <a:defRPr/>
                </a:pPr>
                <a:r>
                  <a:rPr lang="en-US"/>
                  <a:t>Incremental % Growth</a:t>
                </a:r>
              </a:p>
            </c:rich>
          </c:tx>
          <c:layout>
            <c:manualLayout>
              <c:xMode val="edge"/>
              <c:yMode val="edge"/>
              <c:x val="0.96060838423277717"/>
              <c:y val="0.18389353246934331"/>
            </c:manualLayout>
          </c:layout>
          <c:overlay val="0"/>
        </c:title>
        <c:numFmt formatCode="0%" sourceLinked="0"/>
        <c:majorTickMark val="out"/>
        <c:minorTickMark val="none"/>
        <c:tickLblPos val="nextTo"/>
        <c:crossAx val="876623872"/>
        <c:crosses val="max"/>
        <c:crossBetween val="between"/>
      </c:valAx>
      <c:catAx>
        <c:axId val="876623872"/>
        <c:scaling>
          <c:orientation val="minMax"/>
        </c:scaling>
        <c:delete val="1"/>
        <c:axPos val="b"/>
        <c:numFmt formatCode="General" sourceLinked="1"/>
        <c:majorTickMark val="out"/>
        <c:minorTickMark val="none"/>
        <c:tickLblPos val="nextTo"/>
        <c:crossAx val="876990976"/>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1480482840181057E-2"/>
          <c:y val="0.89577772350716289"/>
          <c:w val="0.98564939644977367"/>
          <c:h val="9.8380212408301124E-2"/>
        </c:manualLayout>
      </c:layout>
      <c:overlay val="0"/>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Interest Income and</a:t>
            </a:r>
            <a:r>
              <a:rPr lang="en-US" sz="1000" b="1" baseline="0"/>
              <a:t> </a:t>
            </a:r>
            <a:r>
              <a:rPr lang="en-US" sz="1000" b="1"/>
              <a:t>Growth</a:t>
            </a:r>
          </a:p>
        </c:rich>
      </c:tx>
      <c:layout>
        <c:manualLayout>
          <c:xMode val="edge"/>
          <c:yMode val="edge"/>
          <c:x val="1.4296453438903171E-4"/>
          <c:y val="0"/>
        </c:manualLayout>
      </c:layout>
      <c:overlay val="0"/>
    </c:title>
    <c:autoTitleDeleted val="0"/>
    <c:plotArea>
      <c:layout>
        <c:manualLayout>
          <c:layoutTarget val="inner"/>
          <c:xMode val="edge"/>
          <c:yMode val="edge"/>
          <c:x val="0.16252401439510783"/>
          <c:y val="0.13430097858138104"/>
          <c:w val="0.6911063307808174"/>
          <c:h val="0.58412195003402356"/>
        </c:manualLayout>
      </c:layout>
      <c:barChart>
        <c:barDir val="col"/>
        <c:grouping val="clustered"/>
        <c:varyColors val="0"/>
        <c:ser>
          <c:idx val="1"/>
          <c:order val="0"/>
          <c:tx>
            <c:v>Interest Income</c:v>
          </c:tx>
          <c:spPr>
            <a:solidFill>
              <a:schemeClr val="accent3">
                <a:lumMod val="50000"/>
              </a:scheme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Data_H'!$D$16:$M$16</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7047808"/>
        <c:axId val="876992704"/>
      </c:barChart>
      <c:lineChart>
        <c:grouping val="standard"/>
        <c:varyColors val="0"/>
        <c:ser>
          <c:idx val="2"/>
          <c:order val="1"/>
          <c:tx>
            <c:v>Interest Income Growth</c:v>
          </c:tx>
          <c:spPr>
            <a:ln w="22225">
              <a:solidFill>
                <a:schemeClr val="accent3"/>
              </a:solidFill>
            </a:ln>
          </c:spPr>
          <c:marker>
            <c:symbol val="square"/>
            <c:size val="4"/>
            <c:spPr>
              <a:solidFill>
                <a:schemeClr val="accent3"/>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Data_H'!$D$175:$M$175</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7048832"/>
        <c:axId val="876993280"/>
      </c:lineChart>
      <c:catAx>
        <c:axId val="87704780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crossAx val="876992704"/>
        <c:crossesAt val="-0.5"/>
        <c:auto val="1"/>
        <c:lblAlgn val="ctr"/>
        <c:lblOffset val="100"/>
        <c:noMultiLvlLbl val="0"/>
      </c:catAx>
      <c:valAx>
        <c:axId val="876992704"/>
        <c:scaling>
          <c:orientation val="minMax"/>
        </c:scaling>
        <c:delete val="0"/>
        <c:axPos val="l"/>
        <c:majorGridlines>
          <c:spPr>
            <a:ln>
              <a:solidFill>
                <a:schemeClr val="bg1">
                  <a:lumMod val="85000"/>
                </a:schemeClr>
              </a:solidFill>
            </a:ln>
          </c:spPr>
        </c:majorGridlines>
        <c:title>
          <c:tx>
            <c:strRef>
              <c:f>'Financial Analysis_H'!$AB$13</c:f>
              <c:strCache>
                <c:ptCount val="1"/>
                <c:pt idx="0">
                  <c:v>USD million</c:v>
                </c:pt>
              </c:strCache>
            </c:strRef>
          </c:tx>
          <c:layout>
            <c:manualLayout>
              <c:xMode val="edge"/>
              <c:yMode val="edge"/>
              <c:x val="3.0095349255158002E-3"/>
              <c:y val="0.26027631962671333"/>
            </c:manualLayout>
          </c:layout>
          <c:overlay val="0"/>
          <c:txPr>
            <a:bodyPr rot="-5400000" vert="horz"/>
            <a:lstStyle/>
            <a:p>
              <a:pPr>
                <a:defRPr/>
              </a:pPr>
              <a:endParaRPr lang="en-US"/>
            </a:p>
          </c:txPr>
        </c:title>
        <c:numFmt formatCode="#,##0" sourceLinked="1"/>
        <c:majorTickMark val="out"/>
        <c:minorTickMark val="none"/>
        <c:tickLblPos val="nextTo"/>
        <c:crossAx val="877047808"/>
        <c:crosses val="autoZero"/>
        <c:crossBetween val="between"/>
      </c:valAx>
      <c:valAx>
        <c:axId val="876993280"/>
        <c:scaling>
          <c:orientation val="minMax"/>
        </c:scaling>
        <c:delete val="0"/>
        <c:axPos val="r"/>
        <c:title>
          <c:tx>
            <c:rich>
              <a:bodyPr rot="-5400000" vert="horz"/>
              <a:lstStyle/>
              <a:p>
                <a:pPr>
                  <a:defRPr/>
                </a:pPr>
                <a:r>
                  <a:rPr lang="en-US"/>
                  <a:t>Incremental % Growth</a:t>
                </a:r>
              </a:p>
            </c:rich>
          </c:tx>
          <c:layout>
            <c:manualLayout>
              <c:xMode val="edge"/>
              <c:yMode val="edge"/>
              <c:x val="0.95976044231584456"/>
              <c:y val="0.19225681280580667"/>
            </c:manualLayout>
          </c:layout>
          <c:overlay val="0"/>
        </c:title>
        <c:numFmt formatCode="0%" sourceLinked="0"/>
        <c:majorTickMark val="out"/>
        <c:minorTickMark val="none"/>
        <c:tickLblPos val="nextTo"/>
        <c:crossAx val="877048832"/>
        <c:crosses val="max"/>
        <c:crossBetween val="between"/>
      </c:valAx>
      <c:catAx>
        <c:axId val="877048832"/>
        <c:scaling>
          <c:orientation val="minMax"/>
        </c:scaling>
        <c:delete val="1"/>
        <c:axPos val="b"/>
        <c:numFmt formatCode="General" sourceLinked="1"/>
        <c:majorTickMark val="out"/>
        <c:minorTickMark val="none"/>
        <c:tickLblPos val="nextTo"/>
        <c:crossAx val="876993280"/>
        <c:crosses val="autoZero"/>
        <c:auto val="1"/>
        <c:lblAlgn val="ctr"/>
        <c:lblOffset val="100"/>
        <c:noMultiLvlLbl val="0"/>
      </c:catAx>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Non-Interest Income and Growth</a:t>
            </a:r>
          </a:p>
        </c:rich>
      </c:tx>
      <c:layout>
        <c:manualLayout>
          <c:xMode val="edge"/>
          <c:yMode val="edge"/>
          <c:x val="1.4296453438903171E-4"/>
          <c:y val="0"/>
        </c:manualLayout>
      </c:layout>
      <c:overlay val="0"/>
    </c:title>
    <c:autoTitleDeleted val="0"/>
    <c:plotArea>
      <c:layout>
        <c:manualLayout>
          <c:layoutTarget val="inner"/>
          <c:xMode val="edge"/>
          <c:yMode val="edge"/>
          <c:x val="0.16252405949256346"/>
          <c:y val="0.13430081656459608"/>
          <c:w val="0.6911063307808174"/>
          <c:h val="0.58412190663667052"/>
        </c:manualLayout>
      </c:layout>
      <c:barChart>
        <c:barDir val="col"/>
        <c:grouping val="clustered"/>
        <c:varyColors val="0"/>
        <c:ser>
          <c:idx val="1"/>
          <c:order val="0"/>
          <c:tx>
            <c:v>Non-Interest Income</c:v>
          </c:tx>
          <c:spPr>
            <a:solidFill>
              <a:schemeClr val="accent3">
                <a:lumMod val="50000"/>
              </a:schemeClr>
            </a:solidFill>
            <a:ln w="22225">
              <a:noFill/>
            </a:ln>
          </c:spPr>
          <c:invertIfNegative val="0"/>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Data_H'!$D$17:$M$17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7049856"/>
        <c:axId val="877445696"/>
      </c:barChart>
      <c:lineChart>
        <c:grouping val="standard"/>
        <c:varyColors val="0"/>
        <c:ser>
          <c:idx val="2"/>
          <c:order val="1"/>
          <c:tx>
            <c:v>Non-Interest Income Growth</c:v>
          </c:tx>
          <c:spPr>
            <a:ln w="22225">
              <a:solidFill>
                <a:schemeClr val="accent3"/>
              </a:solidFill>
            </a:ln>
          </c:spPr>
          <c:marker>
            <c:symbol val="square"/>
            <c:size val="4"/>
            <c:spPr>
              <a:solidFill>
                <a:schemeClr val="accent3"/>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Data_H'!$D$176:$M$176</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7050880"/>
        <c:axId val="877446272"/>
      </c:lineChart>
      <c:catAx>
        <c:axId val="87704985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crossAx val="877445696"/>
        <c:crossesAt val="-0.5"/>
        <c:auto val="1"/>
        <c:lblAlgn val="ctr"/>
        <c:lblOffset val="100"/>
        <c:noMultiLvlLbl val="0"/>
      </c:catAx>
      <c:valAx>
        <c:axId val="877445696"/>
        <c:scaling>
          <c:orientation val="minMax"/>
        </c:scaling>
        <c:delete val="0"/>
        <c:axPos val="l"/>
        <c:majorGridlines>
          <c:spPr>
            <a:ln>
              <a:solidFill>
                <a:schemeClr val="bg1">
                  <a:lumMod val="85000"/>
                </a:schemeClr>
              </a:solidFill>
            </a:ln>
          </c:spPr>
        </c:majorGridlines>
        <c:title>
          <c:tx>
            <c:strRef>
              <c:f>'Financial Analysis_H'!$AB$13</c:f>
              <c:strCache>
                <c:ptCount val="1"/>
                <c:pt idx="0">
                  <c:v>USD million</c:v>
                </c:pt>
              </c:strCache>
            </c:strRef>
          </c:tx>
          <c:layout>
            <c:manualLayout>
              <c:xMode val="edge"/>
              <c:yMode val="edge"/>
              <c:x val="3.0095349255158002E-3"/>
              <c:y val="0.26027631962671333"/>
            </c:manualLayout>
          </c:layout>
          <c:overlay val="0"/>
          <c:txPr>
            <a:bodyPr rot="-5400000" vert="horz"/>
            <a:lstStyle/>
            <a:p>
              <a:pPr>
                <a:defRPr/>
              </a:pPr>
              <a:endParaRPr lang="en-US"/>
            </a:p>
          </c:txPr>
        </c:title>
        <c:numFmt formatCode="#,##0" sourceLinked="1"/>
        <c:majorTickMark val="out"/>
        <c:minorTickMark val="none"/>
        <c:tickLblPos val="nextTo"/>
        <c:crossAx val="877049856"/>
        <c:crosses val="autoZero"/>
        <c:crossBetween val="between"/>
      </c:valAx>
      <c:valAx>
        <c:axId val="877446272"/>
        <c:scaling>
          <c:orientation val="minMax"/>
        </c:scaling>
        <c:delete val="0"/>
        <c:axPos val="r"/>
        <c:title>
          <c:tx>
            <c:rich>
              <a:bodyPr rot="-5400000" vert="horz"/>
              <a:lstStyle/>
              <a:p>
                <a:pPr>
                  <a:defRPr/>
                </a:pPr>
                <a:r>
                  <a:rPr lang="en-US"/>
                  <a:t>Incremental % Growth</a:t>
                </a:r>
              </a:p>
            </c:rich>
          </c:tx>
          <c:layout>
            <c:manualLayout>
              <c:xMode val="edge"/>
              <c:yMode val="edge"/>
              <c:x val="0.95976044231584456"/>
              <c:y val="0.19225681280580667"/>
            </c:manualLayout>
          </c:layout>
          <c:overlay val="0"/>
        </c:title>
        <c:numFmt formatCode="0%" sourceLinked="0"/>
        <c:majorTickMark val="out"/>
        <c:minorTickMark val="none"/>
        <c:tickLblPos val="nextTo"/>
        <c:crossAx val="877050880"/>
        <c:crosses val="max"/>
        <c:crossBetween val="between"/>
      </c:valAx>
      <c:catAx>
        <c:axId val="877050880"/>
        <c:scaling>
          <c:orientation val="minMax"/>
        </c:scaling>
        <c:delete val="1"/>
        <c:axPos val="b"/>
        <c:numFmt formatCode="General" sourceLinked="1"/>
        <c:majorTickMark val="out"/>
        <c:minorTickMark val="none"/>
        <c:tickLblPos val="nextTo"/>
        <c:crossAx val="877446272"/>
        <c:crosses val="autoZero"/>
        <c:auto val="1"/>
        <c:lblAlgn val="ctr"/>
        <c:lblOffset val="100"/>
        <c:noMultiLvlLbl val="0"/>
      </c:catAx>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Total Loans / Number of Branches</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3810681960466004"/>
          <c:y val="0.15625"/>
          <c:w val="0.82427606854933022"/>
          <c:h val="0.55007517156233898"/>
        </c:manualLayout>
      </c:layout>
      <c:lineChart>
        <c:grouping val="standard"/>
        <c:varyColors val="0"/>
        <c:ser>
          <c:idx val="1"/>
          <c:order val="0"/>
          <c:tx>
            <c:v>Total Loans / Number of Branches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Data_H'!$D$100:$M$100</c:f>
              <c:numCache>
                <c:formatCode>0.0\x;[Red]\(0.0\x\)</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7180416"/>
        <c:axId val="877449728"/>
      </c:lineChart>
      <c:catAx>
        <c:axId val="87718041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7449728"/>
        <c:crosses val="autoZero"/>
        <c:auto val="1"/>
        <c:lblAlgn val="ctr"/>
        <c:lblOffset val="100"/>
        <c:noMultiLvlLbl val="0"/>
      </c:catAx>
      <c:valAx>
        <c:axId val="877449728"/>
        <c:scaling>
          <c:orientation val="minMax"/>
        </c:scaling>
        <c:delete val="0"/>
        <c:axPos val="l"/>
        <c:majorGridlines>
          <c:spPr>
            <a:ln>
              <a:solidFill>
                <a:schemeClr val="bg1">
                  <a:lumMod val="85000"/>
                </a:schemeClr>
              </a:solidFill>
            </a:ln>
          </c:spPr>
        </c:majorGridlines>
        <c:numFmt formatCode="0.0\x" sourceLinked="0"/>
        <c:majorTickMark val="out"/>
        <c:minorTickMark val="none"/>
        <c:tickLblPos val="nextTo"/>
        <c:txPr>
          <a:bodyPr/>
          <a:lstStyle/>
          <a:p>
            <a:pPr>
              <a:defRPr>
                <a:solidFill>
                  <a:srgbClr val="767171"/>
                </a:solidFill>
              </a:defRPr>
            </a:pPr>
            <a:endParaRPr lang="en-US"/>
          </a:p>
        </c:txPr>
        <c:crossAx val="87718041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Total Deposits / Number of Branches</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3810681960466004"/>
          <c:y val="0.15625"/>
          <c:w val="0.82426205195506919"/>
          <c:h val="0.55007517156233898"/>
        </c:manualLayout>
      </c:layout>
      <c:lineChart>
        <c:grouping val="standard"/>
        <c:varyColors val="0"/>
        <c:ser>
          <c:idx val="1"/>
          <c:order val="0"/>
          <c:tx>
            <c:v>Total Deposits / Number of Branches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Data_H'!$D$101:$M$101</c:f>
              <c:numCache>
                <c:formatCode>0.0\x;[Red]\(0.0\x\)</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7182464"/>
        <c:axId val="877452608"/>
      </c:lineChart>
      <c:catAx>
        <c:axId val="87718246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7452608"/>
        <c:crosses val="autoZero"/>
        <c:auto val="1"/>
        <c:lblAlgn val="ctr"/>
        <c:lblOffset val="100"/>
        <c:noMultiLvlLbl val="0"/>
      </c:catAx>
      <c:valAx>
        <c:axId val="877452608"/>
        <c:scaling>
          <c:orientation val="minMax"/>
        </c:scaling>
        <c:delete val="0"/>
        <c:axPos val="l"/>
        <c:majorGridlines>
          <c:spPr>
            <a:ln>
              <a:solidFill>
                <a:schemeClr val="bg1">
                  <a:lumMod val="85000"/>
                </a:schemeClr>
              </a:solidFill>
            </a:ln>
          </c:spPr>
        </c:majorGridlines>
        <c:numFmt formatCode="0.0\x" sourceLinked="0"/>
        <c:majorTickMark val="out"/>
        <c:minorTickMark val="none"/>
        <c:tickLblPos val="nextTo"/>
        <c:txPr>
          <a:bodyPr/>
          <a:lstStyle/>
          <a:p>
            <a:pPr>
              <a:defRPr>
                <a:solidFill>
                  <a:srgbClr val="767171"/>
                </a:solidFill>
              </a:defRPr>
            </a:pPr>
            <a:endParaRPr lang="en-US"/>
          </a:p>
        </c:txPr>
        <c:crossAx val="877182464"/>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Net Profit / Number of Branches</a:t>
            </a:r>
          </a:p>
        </c:rich>
      </c:tx>
      <c:layout>
        <c:manualLayout>
          <c:xMode val="edge"/>
          <c:yMode val="edge"/>
          <c:x val="6.5110551927347689E-4"/>
          <c:y val="1.8122734658167726E-4"/>
        </c:manualLayout>
      </c:layout>
      <c:overlay val="1"/>
    </c:title>
    <c:autoTitleDeleted val="0"/>
    <c:plotArea>
      <c:layout>
        <c:manualLayout>
          <c:layoutTarget val="inner"/>
          <c:xMode val="edge"/>
          <c:yMode val="edge"/>
          <c:x val="0.13810681960466004"/>
          <c:y val="0.15625"/>
          <c:w val="0.82427606854933022"/>
          <c:h val="0.55007517156233898"/>
        </c:manualLayout>
      </c:layout>
      <c:lineChart>
        <c:grouping val="standard"/>
        <c:varyColors val="0"/>
        <c:ser>
          <c:idx val="1"/>
          <c:order val="0"/>
          <c:tx>
            <c:v>Net Profit / Number of Branches</c:v>
          </c:tx>
          <c:spPr>
            <a:ln w="22225">
              <a:solidFill>
                <a:srgbClr val="5E8AB4">
                  <a:lumMod val="50000"/>
                </a:srgbClr>
              </a:solidFill>
            </a:ln>
          </c:spPr>
          <c:marker>
            <c:symbol val="square"/>
            <c:size val="4"/>
            <c:spPr>
              <a:solidFill>
                <a:srgbClr val="5E8AB4">
                  <a:lumMod val="50000"/>
                </a:srgbClr>
              </a:solidFill>
              <a:ln>
                <a:noFill/>
              </a:ln>
            </c:spPr>
          </c:marker>
          <c:cat>
            <c:strRef>
              <c:f>'Financial Data_H'!$D$10:$M$10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Data_H'!$D$102:$M$102</c:f>
              <c:numCache>
                <c:formatCode>0.0\x;[Red]\(0.0\x\)</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77557248"/>
        <c:axId val="877225088"/>
      </c:lineChart>
      <c:catAx>
        <c:axId val="8775572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77225088"/>
        <c:crosses val="autoZero"/>
        <c:auto val="1"/>
        <c:lblAlgn val="ctr"/>
        <c:lblOffset val="100"/>
        <c:noMultiLvlLbl val="0"/>
      </c:catAx>
      <c:valAx>
        <c:axId val="877225088"/>
        <c:scaling>
          <c:orientation val="minMax"/>
        </c:scaling>
        <c:delete val="0"/>
        <c:axPos val="l"/>
        <c:majorGridlines>
          <c:spPr>
            <a:ln>
              <a:solidFill>
                <a:schemeClr val="bg1">
                  <a:lumMod val="85000"/>
                </a:schemeClr>
              </a:solidFill>
            </a:ln>
          </c:spPr>
        </c:majorGridlines>
        <c:numFmt formatCode="0.0\x" sourceLinked="0"/>
        <c:majorTickMark val="out"/>
        <c:minorTickMark val="none"/>
        <c:tickLblPos val="nextTo"/>
        <c:txPr>
          <a:bodyPr/>
          <a:lstStyle/>
          <a:p>
            <a:pPr>
              <a:defRPr>
                <a:solidFill>
                  <a:srgbClr val="767171"/>
                </a:solidFill>
              </a:defRPr>
            </a:pPr>
            <a:endParaRPr lang="en-US"/>
          </a:p>
        </c:txPr>
        <c:crossAx val="8775572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 Growth in Revenue and Expenses </a:t>
            </a:r>
          </a:p>
        </c:rich>
      </c:tx>
      <c:layout>
        <c:manualLayout>
          <c:xMode val="edge"/>
          <c:yMode val="edge"/>
          <c:x val="4.2560208210778988E-4"/>
          <c:y val="0"/>
        </c:manualLayout>
      </c:layout>
      <c:overlay val="0"/>
    </c:title>
    <c:autoTitleDeleted val="0"/>
    <c:plotArea>
      <c:layout>
        <c:manualLayout>
          <c:layoutTarget val="inner"/>
          <c:xMode val="edge"/>
          <c:yMode val="edge"/>
          <c:x val="0.17635879762295686"/>
          <c:y val="0.15128968253968253"/>
          <c:w val="0.78254993097646086"/>
          <c:h val="0.5746352018497688"/>
        </c:manualLayout>
      </c:layout>
      <c:lineChart>
        <c:grouping val="standard"/>
        <c:varyColors val="0"/>
        <c:ser>
          <c:idx val="0"/>
          <c:order val="0"/>
          <c:tx>
            <c:v>Revenue</c:v>
          </c:tx>
          <c:spPr>
            <a:ln w="22225">
              <a:solidFill>
                <a:schemeClr val="accent3">
                  <a:lumMod val="50000"/>
                </a:schemeClr>
              </a:solidFill>
            </a:ln>
          </c:spPr>
          <c:marker>
            <c:symbol val="circl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Data'!$D$193:$M$193</c:f>
              <c:numCache>
                <c:formatCode>0.0%</c:formatCode>
                <c:ptCount val="10"/>
                <c:pt idx="0">
                  <c:v>1.6308511024194977E-2</c:v>
                </c:pt>
                <c:pt idx="1">
                  <c:v>1.9645429083717199E-2</c:v>
                </c:pt>
                <c:pt idx="2">
                  <c:v>-7.2500622875274635E-3</c:v>
                </c:pt>
                <c:pt idx="3">
                  <c:v>7.7634662850268599E-3</c:v>
                </c:pt>
                <c:pt idx="4">
                  <c:v>2.9781444945489871E-2</c:v>
                </c:pt>
                <c:pt idx="5">
                  <c:v>2.8104720161968889E-2</c:v>
                </c:pt>
                <c:pt idx="6">
                  <c:v>1.8582634305654107E-2</c:v>
                </c:pt>
                <c:pt idx="7">
                  <c:v>6.7155377086975443E-2</c:v>
                </c:pt>
                <c:pt idx="8">
                  <c:v>2.4327954345069579E-2</c:v>
                </c:pt>
                <c:pt idx="9">
                  <c:v>0</c:v>
                </c:pt>
              </c:numCache>
            </c:numRef>
          </c:val>
          <c:smooth val="0"/>
          <c:extLst>
            <c:ext xmlns:c16="http://schemas.microsoft.com/office/drawing/2014/chart" uri="{C3380CC4-5D6E-409C-BE32-E72D297353CC}">
              <c16:uniqueId val="{00000000-07CB-4B6E-AC55-8D1B43BF7733}"/>
            </c:ext>
          </c:extLst>
        </c:ser>
        <c:ser>
          <c:idx val="1"/>
          <c:order val="1"/>
          <c:tx>
            <c:v>COGS</c:v>
          </c:tx>
          <c:spPr>
            <a:ln w="22225">
              <a:solidFill>
                <a:schemeClr val="accent3">
                  <a:lumMod val="75000"/>
                </a:schemeClr>
              </a:solidFill>
            </a:ln>
          </c:spPr>
          <c:marker>
            <c:symbol val="squar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Data'!$D$194:$M$194</c:f>
              <c:numCache>
                <c:formatCode>0.0%</c:formatCode>
                <c:ptCount val="10"/>
                <c:pt idx="0">
                  <c:v>1.6383903354272106E-2</c:v>
                </c:pt>
                <c:pt idx="1">
                  <c:v>1.9596781625887748E-2</c:v>
                </c:pt>
                <c:pt idx="2">
                  <c:v>-1.12357088466827E-2</c:v>
                </c:pt>
                <c:pt idx="3">
                  <c:v>7.534959998227068E-4</c:v>
                </c:pt>
                <c:pt idx="4">
                  <c:v>3.3604978187213502E-2</c:v>
                </c:pt>
                <c:pt idx="5">
                  <c:v>3.1883041060964769E-2</c:v>
                </c:pt>
                <c:pt idx="6">
                  <c:v>2.4147354925110498E-2</c:v>
                </c:pt>
                <c:pt idx="7">
                  <c:v>6.5153761356293E-2</c:v>
                </c:pt>
                <c:pt idx="8">
                  <c:v>2.0663074122979193E-2</c:v>
                </c:pt>
                <c:pt idx="9">
                  <c:v>0</c:v>
                </c:pt>
              </c:numCache>
            </c:numRef>
          </c:val>
          <c:smooth val="0"/>
          <c:extLst>
            <c:ext xmlns:c16="http://schemas.microsoft.com/office/drawing/2014/chart" uri="{C3380CC4-5D6E-409C-BE32-E72D297353CC}">
              <c16:uniqueId val="{00000001-07CB-4B6E-AC55-8D1B43BF7733}"/>
            </c:ext>
          </c:extLst>
        </c:ser>
        <c:ser>
          <c:idx val="2"/>
          <c:order val="2"/>
          <c:tx>
            <c:v>Total OpEx</c:v>
          </c:tx>
          <c:spPr>
            <a:ln w="22225">
              <a:solidFill>
                <a:schemeClr val="accent3">
                  <a:lumMod val="60000"/>
                  <a:lumOff val="40000"/>
                </a:schemeClr>
              </a:solidFill>
            </a:ln>
          </c:spPr>
          <c:marker>
            <c:symbol val="triangle"/>
            <c:size val="4"/>
            <c:spPr>
              <a:solidFill>
                <a:schemeClr val="accent3">
                  <a:lumMod val="60000"/>
                  <a:lumOff val="40000"/>
                </a:schemeClr>
              </a:solidFill>
              <a:ln w="22225">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Data'!$D$201:$M$201</c:f>
              <c:numCache>
                <c:formatCode>0.0%</c:formatCode>
                <c:ptCount val="10"/>
                <c:pt idx="0">
                  <c:v>3.2088314951548291E-2</c:v>
                </c:pt>
                <c:pt idx="1">
                  <c:v>2.3627311096255349E-2</c:v>
                </c:pt>
                <c:pt idx="2">
                  <c:v>3.8054020333167626E-2</c:v>
                </c:pt>
                <c:pt idx="3">
                  <c:v>5.1063430207990985E-2</c:v>
                </c:pt>
                <c:pt idx="4">
                  <c:v>4.114961628831533E-2</c:v>
                </c:pt>
                <c:pt idx="5">
                  <c:v>1.1034932511862982E-2</c:v>
                </c:pt>
                <c:pt idx="6">
                  <c:v>8.936982813494589E-3</c:v>
                </c:pt>
                <c:pt idx="7">
                  <c:v>3.5010683221453925E-2</c:v>
                </c:pt>
                <c:pt idx="8">
                  <c:v>4.4131989596879063E-2</c:v>
                </c:pt>
                <c:pt idx="9">
                  <c:v>0</c:v>
                </c:pt>
              </c:numCache>
            </c:numRef>
          </c:val>
          <c:smooth val="0"/>
          <c:extLst>
            <c:ext xmlns:c16="http://schemas.microsoft.com/office/drawing/2014/chart" uri="{C3380CC4-5D6E-409C-BE32-E72D297353CC}">
              <c16:uniqueId val="{00000002-07CB-4B6E-AC55-8D1B43BF7733}"/>
            </c:ext>
          </c:extLst>
        </c:ser>
        <c:dLbls>
          <c:showLegendKey val="0"/>
          <c:showVal val="0"/>
          <c:showCatName val="0"/>
          <c:showSerName val="0"/>
          <c:showPercent val="0"/>
          <c:showBubbleSize val="0"/>
        </c:dLbls>
        <c:marker val="1"/>
        <c:smooth val="0"/>
        <c:axId val="878144000"/>
        <c:axId val="877629376"/>
      </c:lineChart>
      <c:catAx>
        <c:axId val="8781440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7629376"/>
        <c:crossesAt val="-0.5"/>
        <c:auto val="1"/>
        <c:lblAlgn val="ctr"/>
        <c:lblOffset val="100"/>
        <c:noMultiLvlLbl val="0"/>
      </c:catAx>
      <c:valAx>
        <c:axId val="87762937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8144000"/>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91049382716049387"/>
          <c:w val="0.98432405317281157"/>
          <c:h val="8.2304526748971193E-2"/>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Net Profit Margin</a:t>
            </a:r>
          </a:p>
        </c:rich>
      </c:tx>
      <c:layout>
        <c:manualLayout>
          <c:xMode val="edge"/>
          <c:yMode val="edge"/>
          <c:x val="9.7163263764072131E-4"/>
          <c:y val="0"/>
        </c:manualLayout>
      </c:layout>
      <c:overlay val="0"/>
    </c:title>
    <c:autoTitleDeleted val="0"/>
    <c:plotArea>
      <c:layout>
        <c:manualLayout>
          <c:layoutTarget val="inner"/>
          <c:xMode val="edge"/>
          <c:yMode val="edge"/>
          <c:x val="0.15996164999176268"/>
          <c:y val="0.14136904761904762"/>
          <c:w val="0.7989472182230043"/>
          <c:h val="0.55721237970253712"/>
        </c:manualLayout>
      </c:layout>
      <c:lineChart>
        <c:grouping val="standard"/>
        <c:varyColors val="0"/>
        <c:ser>
          <c:idx val="5"/>
          <c:order val="0"/>
          <c:tx>
            <c:v>Net Profit Margin</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Data'!$D$83:$M$83</c:f>
              <c:numCache>
                <c:formatCode>0.0%</c:formatCode>
                <c:ptCount val="10"/>
                <c:pt idx="0">
                  <c:v>3.363888690598664E-2</c:v>
                </c:pt>
                <c:pt idx="1">
                  <c:v>3.369291940096901E-2</c:v>
                </c:pt>
                <c:pt idx="2">
                  <c:v>3.0477257171302344E-2</c:v>
                </c:pt>
                <c:pt idx="3">
                  <c:v>2.8079354069890691E-2</c:v>
                </c:pt>
                <c:pt idx="4">
                  <c:v>1.9710478611672393E-2</c:v>
                </c:pt>
                <c:pt idx="5">
                  <c:v>1.2966436951429322E-2</c:v>
                </c:pt>
                <c:pt idx="6">
                  <c:v>2.8400806162255422E-2</c:v>
                </c:pt>
                <c:pt idx="7">
                  <c:v>2.4161630758059986E-2</c:v>
                </c:pt>
                <c:pt idx="8">
                  <c:v>2.3872378019184501E-2</c:v>
                </c:pt>
                <c:pt idx="9">
                  <c:v>0</c:v>
                </c:pt>
              </c:numCache>
            </c:numRef>
          </c:val>
          <c:smooth val="0"/>
          <c:extLst>
            <c:ext xmlns:c16="http://schemas.microsoft.com/office/drawing/2014/chart" uri="{C3380CC4-5D6E-409C-BE32-E72D297353CC}">
              <c16:uniqueId val="{00000002-84D8-4475-9988-2AE728F87BEF}"/>
            </c:ext>
          </c:extLst>
        </c:ser>
        <c:dLbls>
          <c:showLegendKey val="0"/>
          <c:showVal val="0"/>
          <c:showCatName val="0"/>
          <c:showSerName val="0"/>
          <c:showPercent val="0"/>
          <c:showBubbleSize val="0"/>
        </c:dLbls>
        <c:marker val="1"/>
        <c:smooth val="0"/>
        <c:axId val="875417600"/>
        <c:axId val="877632256"/>
      </c:lineChart>
      <c:catAx>
        <c:axId val="8754176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7632256"/>
        <c:crosses val="autoZero"/>
        <c:auto val="1"/>
        <c:lblAlgn val="ctr"/>
        <c:lblOffset val="100"/>
        <c:noMultiLvlLbl val="0"/>
      </c:catAx>
      <c:valAx>
        <c:axId val="877632256"/>
        <c:scaling>
          <c:orientation val="minMax"/>
        </c:scaling>
        <c:delete val="0"/>
        <c:axPos val="l"/>
        <c:majorGridlines>
          <c:spPr>
            <a:ln w="9525">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5417600"/>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5" l="0.5" r="0.5" t="0.5" header="0.3" footer="0.3"/>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Expense Margins</a:t>
            </a:r>
          </a:p>
        </c:rich>
      </c:tx>
      <c:layout>
        <c:manualLayout>
          <c:xMode val="edge"/>
          <c:yMode val="edge"/>
          <c:x val="2.5742573276280696E-3"/>
          <c:y val="0"/>
        </c:manualLayout>
      </c:layout>
      <c:overlay val="0"/>
    </c:title>
    <c:autoTitleDeleted val="0"/>
    <c:plotArea>
      <c:layout>
        <c:manualLayout>
          <c:layoutTarget val="inner"/>
          <c:xMode val="edge"/>
          <c:yMode val="edge"/>
          <c:x val="0.16094975994817803"/>
          <c:y val="0.17609118304656363"/>
          <c:w val="0.79795901640963052"/>
          <c:h val="0.53052153203071839"/>
        </c:manualLayout>
      </c:layout>
      <c:lineChart>
        <c:grouping val="standard"/>
        <c:varyColors val="0"/>
        <c:ser>
          <c:idx val="1"/>
          <c:order val="0"/>
          <c:tx>
            <c:v>COGS</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Data'!$D$71:$M$71</c:f>
              <c:numCache>
                <c:formatCode>0.0%</c:formatCode>
                <c:ptCount val="10"/>
                <c:pt idx="0">
                  <c:v>0.7517814627100069</c:v>
                </c:pt>
                <c:pt idx="1">
                  <c:v>0.75174559508783056</c:v>
                </c:pt>
                <c:pt idx="2">
                  <c:v>0.74872752162279888</c:v>
                </c:pt>
                <c:pt idx="3">
                  <c:v>0.74351939704408354</c:v>
                </c:pt>
                <c:pt idx="4">
                  <c:v>0.74628005188440727</c:v>
                </c:pt>
                <c:pt idx="5">
                  <c:v>0.7490226572447779</c:v>
                </c:pt>
                <c:pt idx="6">
                  <c:v>0.75311471780504002</c:v>
                </c:pt>
                <c:pt idx="7">
                  <c:v>0.75170213412834819</c:v>
                </c:pt>
                <c:pt idx="8">
                  <c:v>0.7490126651232466</c:v>
                </c:pt>
                <c:pt idx="9">
                  <c:v>#N/A</c:v>
                </c:pt>
              </c:numCache>
            </c:numRef>
          </c:val>
          <c:smooth val="0"/>
          <c:extLst>
            <c:ext xmlns:c16="http://schemas.microsoft.com/office/drawing/2014/chart" uri="{C3380CC4-5D6E-409C-BE32-E72D297353CC}">
              <c16:uniqueId val="{00000000-0AE9-4588-BBB6-27B2C1149CB3}"/>
            </c:ext>
          </c:extLst>
        </c:ser>
        <c:ser>
          <c:idx val="2"/>
          <c:order val="1"/>
          <c:tx>
            <c:v>SG&amp;A</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Data'!$D$74:$M$74</c:f>
              <c:numCache>
                <c:formatCode>0.0%</c:formatCode>
                <c:ptCount val="10"/>
                <c:pt idx="0">
                  <c:v>0.1917996027663586</c:v>
                </c:pt>
                <c:pt idx="1">
                  <c:v>0.19235623935706916</c:v>
                </c:pt>
                <c:pt idx="2">
                  <c:v>0.20127558957127745</c:v>
                </c:pt>
                <c:pt idx="3">
                  <c:v>0.20962885363047545</c:v>
                </c:pt>
                <c:pt idx="4">
                  <c:v>0.21187465398736466</c:v>
                </c:pt>
                <c:pt idx="5">
                  <c:v>0.20829307646698614</c:v>
                </c:pt>
                <c:pt idx="6">
                  <c:v>0.20591300165660237</c:v>
                </c:pt>
                <c:pt idx="7">
                  <c:v>0.20010337100353928</c:v>
                </c:pt>
                <c:pt idx="8">
                  <c:v>0.20569389301515137</c:v>
                </c:pt>
                <c:pt idx="9">
                  <c:v>#N/A</c:v>
                </c:pt>
              </c:numCache>
            </c:numRef>
          </c:val>
          <c:smooth val="0"/>
          <c:extLst>
            <c:ext xmlns:c16="http://schemas.microsoft.com/office/drawing/2014/chart" uri="{C3380CC4-5D6E-409C-BE32-E72D297353CC}">
              <c16:uniqueId val="{00000001-0AE9-4588-BBB6-27B2C1149CB3}"/>
            </c:ext>
          </c:extLst>
        </c:ser>
        <c:ser>
          <c:idx val="3"/>
          <c:order val="2"/>
          <c:tx>
            <c:v>R&amp;D</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Data'!$D$75:$M$75</c:f>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2-0AE9-4588-BBB6-27B2C1149CB3}"/>
            </c:ext>
          </c:extLst>
        </c:ser>
        <c:ser>
          <c:idx val="0"/>
          <c:order val="3"/>
          <c:tx>
            <c:v>D&amp;A</c:v>
          </c:tx>
          <c:spPr>
            <a:ln w="22225">
              <a:solidFill>
                <a:schemeClr val="accent3">
                  <a:lumMod val="40000"/>
                  <a:lumOff val="60000"/>
                </a:schemeClr>
              </a:solidFill>
            </a:ln>
          </c:spPr>
          <c:marker>
            <c:symbol val="diamond"/>
            <c:size val="4"/>
            <c:spPr>
              <a:solidFill>
                <a:schemeClr val="accent3">
                  <a:lumMod val="40000"/>
                  <a:lumOff val="6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Data'!$D$76:$M$76</c:f>
              <c:numCache>
                <c:formatCode>0.0%</c:formatCode>
                <c:ptCount val="10"/>
                <c:pt idx="0">
                  <c:v>1.8622951370372082E-2</c:v>
                </c:pt>
                <c:pt idx="1">
                  <c:v>1.8888049237003528E-2</c:v>
                </c:pt>
                <c:pt idx="2">
                  <c:v>1.9608819198141579E-2</c:v>
                </c:pt>
                <c:pt idx="3">
                  <c:v>2.074616206292591E-2</c:v>
                </c:pt>
                <c:pt idx="4">
                  <c:v>2.1043564115017097E-2</c:v>
                </c:pt>
                <c:pt idx="5">
                  <c:v>2.0757963083562564E-2</c:v>
                </c:pt>
                <c:pt idx="6">
                  <c:v>2.0968997870082679E-2</c:v>
                </c:pt>
                <c:pt idx="7">
                  <c:v>1.99445230358168E-2</c:v>
                </c:pt>
                <c:pt idx="8">
                  <c:v>1.8608337960101546E-2</c:v>
                </c:pt>
                <c:pt idx="9">
                  <c:v>#N/A</c:v>
                </c:pt>
              </c:numCache>
            </c:numRef>
          </c:val>
          <c:smooth val="0"/>
          <c:extLst>
            <c:ext xmlns:c16="http://schemas.microsoft.com/office/drawing/2014/chart" uri="{C3380CC4-5D6E-409C-BE32-E72D297353CC}">
              <c16:uniqueId val="{00000003-0AE9-4588-BBB6-27B2C1149CB3}"/>
            </c:ext>
          </c:extLst>
        </c:ser>
        <c:ser>
          <c:idx val="4"/>
          <c:order val="4"/>
          <c:tx>
            <c:v>Other OpEx</c:v>
          </c:tx>
          <c:spPr>
            <a:ln w="22225">
              <a:solidFill>
                <a:schemeClr val="accent3">
                  <a:lumMod val="20000"/>
                  <a:lumOff val="80000"/>
                </a:schemeClr>
              </a:solidFill>
            </a:ln>
          </c:spPr>
          <c:marker>
            <c:symbol val="x"/>
            <c:size val="4"/>
            <c:spPr>
              <a:solidFill>
                <a:schemeClr val="accent3">
                  <a:lumMod val="20000"/>
                  <a:lumOff val="80000"/>
                </a:schemeClr>
              </a:solidFill>
              <a:ln w="38100">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Data'!$D$77:$M$77</c:f>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4-0AE9-4588-BBB6-27B2C1149CB3}"/>
            </c:ext>
          </c:extLst>
        </c:ser>
        <c:dLbls>
          <c:showLegendKey val="0"/>
          <c:showVal val="0"/>
          <c:showCatName val="0"/>
          <c:showSerName val="0"/>
          <c:showPercent val="0"/>
          <c:showBubbleSize val="0"/>
        </c:dLbls>
        <c:marker val="1"/>
        <c:smooth val="0"/>
        <c:axId val="875419136"/>
        <c:axId val="875659840"/>
      </c:lineChart>
      <c:catAx>
        <c:axId val="87541913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5659840"/>
        <c:crosses val="autoZero"/>
        <c:auto val="1"/>
        <c:lblAlgn val="ctr"/>
        <c:lblOffset val="100"/>
        <c:noMultiLvlLbl val="0"/>
      </c:catAx>
      <c:valAx>
        <c:axId val="875659840"/>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Percent of Revenue</a:t>
                </a:r>
              </a:p>
            </c:rich>
          </c:tx>
          <c:layout>
            <c:manualLayout>
              <c:xMode val="edge"/>
              <c:yMode val="edge"/>
              <c:x val="4.8195659873281078E-3"/>
              <c:y val="0.21223479877515311"/>
            </c:manualLayout>
          </c:layout>
          <c:overlay val="0"/>
          <c:spPr>
            <a:ln>
              <a:noFill/>
            </a:ln>
          </c:spPr>
        </c:title>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5419136"/>
        <c:crosses val="autoZero"/>
        <c:crossBetween val="midCat"/>
      </c:valAx>
      <c:spPr>
        <a:gradFill>
          <a:gsLst>
            <a:gs pos="0">
              <a:schemeClr val="bg1">
                <a:lumMod val="95000"/>
              </a:schemeClr>
            </a:gs>
            <a:gs pos="50000">
              <a:schemeClr val="bg1"/>
            </a:gs>
          </a:gsLst>
          <a:lin ang="16200000" scaled="0"/>
        </a:gradFill>
      </c:spPr>
    </c:plotArea>
    <c:legend>
      <c:legendPos val="b"/>
      <c:legendEntry>
        <c:idx val="4"/>
        <c:delete val="1"/>
      </c:legendEntry>
      <c:layout>
        <c:manualLayout>
          <c:xMode val="edge"/>
          <c:yMode val="edge"/>
          <c:x val="1.2540757461750689E-2"/>
          <c:y val="0.88991769547325106"/>
          <c:w val="0.98432405317281157"/>
          <c:h val="0.102880658436214"/>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Growth in Expense Components</a:t>
            </a:r>
          </a:p>
        </c:rich>
      </c:tx>
      <c:layout>
        <c:manualLayout>
          <c:xMode val="edge"/>
          <c:yMode val="edge"/>
          <c:x val="2.5742573276280696E-3"/>
          <c:y val="0"/>
        </c:manualLayout>
      </c:layout>
      <c:overlay val="0"/>
    </c:title>
    <c:autoTitleDeleted val="0"/>
    <c:plotArea>
      <c:layout>
        <c:manualLayout>
          <c:layoutTarget val="inner"/>
          <c:xMode val="edge"/>
          <c:yMode val="edge"/>
          <c:x val="0.16094975994817803"/>
          <c:y val="0.17609126984126985"/>
          <c:w val="0.79795901640963052"/>
          <c:h val="0.53052157542807155"/>
        </c:manualLayout>
      </c:layout>
      <c:lineChart>
        <c:grouping val="standard"/>
        <c:varyColors val="0"/>
        <c:ser>
          <c:idx val="1"/>
          <c:order val="0"/>
          <c:tx>
            <c:v>COGS</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Data'!$D$194:$M$194</c:f>
              <c:numCache>
                <c:formatCode>0.0%</c:formatCode>
                <c:ptCount val="10"/>
                <c:pt idx="0">
                  <c:v>1.6383903354272106E-2</c:v>
                </c:pt>
                <c:pt idx="1">
                  <c:v>1.9596781625887748E-2</c:v>
                </c:pt>
                <c:pt idx="2">
                  <c:v>-1.12357088466827E-2</c:v>
                </c:pt>
                <c:pt idx="3">
                  <c:v>7.534959998227068E-4</c:v>
                </c:pt>
                <c:pt idx="4">
                  <c:v>3.3604978187213502E-2</c:v>
                </c:pt>
                <c:pt idx="5">
                  <c:v>3.1883041060964769E-2</c:v>
                </c:pt>
                <c:pt idx="6">
                  <c:v>2.4147354925110498E-2</c:v>
                </c:pt>
                <c:pt idx="7">
                  <c:v>6.5153761356293E-2</c:v>
                </c:pt>
                <c:pt idx="8">
                  <c:v>2.0663074122979193E-2</c:v>
                </c:pt>
                <c:pt idx="9">
                  <c:v>0</c:v>
                </c:pt>
              </c:numCache>
            </c:numRef>
          </c:val>
          <c:smooth val="0"/>
          <c:extLst>
            <c:ext xmlns:c16="http://schemas.microsoft.com/office/drawing/2014/chart" uri="{C3380CC4-5D6E-409C-BE32-E72D297353CC}">
              <c16:uniqueId val="{00000000-0AE9-4588-BBB6-27B2C1149CB3}"/>
            </c:ext>
          </c:extLst>
        </c:ser>
        <c:ser>
          <c:idx val="2"/>
          <c:order val="1"/>
          <c:tx>
            <c:v>SG&amp;A</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Data'!$D$197:$M$197</c:f>
              <c:numCache>
                <c:formatCode>0.0%</c:formatCode>
                <c:ptCount val="10"/>
                <c:pt idx="0">
                  <c:v>3.0734861049994924E-2</c:v>
                </c:pt>
                <c:pt idx="1">
                  <c:v>2.260462163256817E-2</c:v>
                </c:pt>
                <c:pt idx="2">
                  <c:v>3.8782675715600845E-2</c:v>
                </c:pt>
                <c:pt idx="3">
                  <c:v>4.9587287847404703E-2</c:v>
                </c:pt>
                <c:pt idx="4">
                  <c:v>4.0813721736227701E-2</c:v>
                </c:pt>
                <c:pt idx="5">
                  <c:v>1.0725403263843034E-2</c:v>
                </c:pt>
                <c:pt idx="6">
                  <c:v>6.9437315090483164E-3</c:v>
                </c:pt>
                <c:pt idx="7">
                  <c:v>3.7046648932719133E-2</c:v>
                </c:pt>
                <c:pt idx="8">
                  <c:v>5.2945802945802943E-2</c:v>
                </c:pt>
                <c:pt idx="9">
                  <c:v>#N/A</c:v>
                </c:pt>
              </c:numCache>
            </c:numRef>
          </c:val>
          <c:smooth val="0"/>
          <c:extLst>
            <c:ext xmlns:c16="http://schemas.microsoft.com/office/drawing/2014/chart" uri="{C3380CC4-5D6E-409C-BE32-E72D297353CC}">
              <c16:uniqueId val="{00000001-0AE9-4588-BBB6-27B2C1149CB3}"/>
            </c:ext>
          </c:extLst>
        </c:ser>
        <c:ser>
          <c:idx val="3"/>
          <c:order val="2"/>
          <c:tx>
            <c:v>R&amp;D</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Data'!$D$198:$M$198</c:f>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2-0AE9-4588-BBB6-27B2C1149CB3}"/>
            </c:ext>
          </c:extLst>
        </c:ser>
        <c:ser>
          <c:idx val="0"/>
          <c:order val="3"/>
          <c:tx>
            <c:v>D&amp;A</c:v>
          </c:tx>
          <c:spPr>
            <a:ln w="22225">
              <a:solidFill>
                <a:schemeClr val="accent3">
                  <a:lumMod val="40000"/>
                  <a:lumOff val="60000"/>
                </a:schemeClr>
              </a:solidFill>
            </a:ln>
          </c:spPr>
          <c:marker>
            <c:symbol val="diamond"/>
            <c:size val="4"/>
            <c:spPr>
              <a:solidFill>
                <a:schemeClr val="accent3">
                  <a:lumMod val="40000"/>
                  <a:lumOff val="6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Data'!$D$199:$M$199</c:f>
              <c:numCache>
                <c:formatCode>0.0%</c:formatCode>
                <c:ptCount val="10"/>
                <c:pt idx="0">
                  <c:v>4.6237320122670442E-2</c:v>
                </c:pt>
                <c:pt idx="1">
                  <c:v>3.4160090191657271E-2</c:v>
                </c:pt>
                <c:pt idx="2">
                  <c:v>3.0633380573421999E-2</c:v>
                </c:pt>
                <c:pt idx="3">
                  <c:v>6.6215358578379527E-2</c:v>
                </c:pt>
                <c:pt idx="4">
                  <c:v>4.4543650793650795E-2</c:v>
                </c:pt>
                <c:pt idx="5">
                  <c:v>1.4151391395194226E-2</c:v>
                </c:pt>
                <c:pt idx="6">
                  <c:v>2.8938003371417869E-2</c:v>
                </c:pt>
                <c:pt idx="7">
                  <c:v>1.5017748247929371E-2</c:v>
                </c:pt>
                <c:pt idx="8">
                  <c:v>-4.4296987087517933E-2</c:v>
                </c:pt>
                <c:pt idx="9">
                  <c:v>#N/A</c:v>
                </c:pt>
              </c:numCache>
            </c:numRef>
          </c:val>
          <c:smooth val="0"/>
          <c:extLst>
            <c:ext xmlns:c16="http://schemas.microsoft.com/office/drawing/2014/chart" uri="{C3380CC4-5D6E-409C-BE32-E72D297353CC}">
              <c16:uniqueId val="{00000003-0AE9-4588-BBB6-27B2C1149CB3}"/>
            </c:ext>
          </c:extLst>
        </c:ser>
        <c:ser>
          <c:idx val="4"/>
          <c:order val="4"/>
          <c:tx>
            <c:v>Other OpEx</c:v>
          </c:tx>
          <c:spPr>
            <a:ln w="22225">
              <a:solidFill>
                <a:schemeClr val="accent3">
                  <a:lumMod val="20000"/>
                  <a:lumOff val="80000"/>
                </a:schemeClr>
              </a:solidFill>
            </a:ln>
          </c:spPr>
          <c:marker>
            <c:symbol val="x"/>
            <c:size val="4"/>
            <c:spPr>
              <a:solidFill>
                <a:schemeClr val="accent3">
                  <a:lumMod val="20000"/>
                  <a:lumOff val="80000"/>
                </a:schemeClr>
              </a:solidFill>
              <a:ln w="38100">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Data'!$D$200:$M$200</c:f>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4-0AE9-4588-BBB6-27B2C1149CB3}"/>
            </c:ext>
          </c:extLst>
        </c:ser>
        <c:dLbls>
          <c:showLegendKey val="0"/>
          <c:showVal val="0"/>
          <c:showCatName val="0"/>
          <c:showSerName val="0"/>
          <c:showPercent val="0"/>
          <c:showBubbleSize val="0"/>
        </c:dLbls>
        <c:marker val="1"/>
        <c:smooth val="0"/>
        <c:axId val="875420672"/>
        <c:axId val="875662144"/>
      </c:lineChart>
      <c:catAx>
        <c:axId val="87542067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5662144"/>
        <c:crosses val="autoZero"/>
        <c:auto val="1"/>
        <c:lblAlgn val="ctr"/>
        <c:lblOffset val="100"/>
        <c:noMultiLvlLbl val="0"/>
      </c:catAx>
      <c:valAx>
        <c:axId val="87566214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5420672"/>
        <c:crosses val="autoZero"/>
        <c:crossBetween val="midCat"/>
      </c:valAx>
      <c:spPr>
        <a:gradFill>
          <a:gsLst>
            <a:gs pos="0">
              <a:schemeClr val="bg1">
                <a:lumMod val="95000"/>
              </a:schemeClr>
            </a:gs>
            <a:gs pos="50000">
              <a:schemeClr val="bg1"/>
            </a:gs>
          </a:gsLst>
          <a:lin ang="16200000" scaled="0"/>
        </a:gradFill>
      </c:spPr>
    </c:plotArea>
    <c:legend>
      <c:legendPos val="b"/>
      <c:legendEntry>
        <c:idx val="4"/>
        <c:delete val="1"/>
      </c:legendEntry>
      <c:layout>
        <c:manualLayout>
          <c:xMode val="edge"/>
          <c:yMode val="edge"/>
          <c:x val="1.2540757461750689E-2"/>
          <c:y val="0.88991769547325106"/>
          <c:w val="0.98432405317281157"/>
          <c:h val="0.102880658436214"/>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Asset Turnover</a:t>
            </a:r>
          </a:p>
        </c:rich>
      </c:tx>
      <c:layout>
        <c:manualLayout>
          <c:xMode val="edge"/>
          <c:yMode val="edge"/>
          <c:x val="9.8104696539402214E-5"/>
          <c:y val="0"/>
        </c:manualLayout>
      </c:layout>
      <c:overlay val="0"/>
    </c:title>
    <c:autoTitleDeleted val="0"/>
    <c:plotArea>
      <c:layout>
        <c:manualLayout>
          <c:layoutTarget val="inner"/>
          <c:xMode val="edge"/>
          <c:yMode val="edge"/>
          <c:x val="0.10955536596300181"/>
          <c:y val="0.15128965360811381"/>
          <c:w val="0.84935341039480672"/>
          <c:h val="0.50809233336573667"/>
        </c:manualLayout>
      </c:layout>
      <c:lineChart>
        <c:grouping val="standard"/>
        <c:varyColors val="0"/>
        <c:ser>
          <c:idx val="1"/>
          <c:order val="0"/>
          <c:tx>
            <c:v>Total Asset Turnover</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Data'!$D$51:$M$51</c:f>
              <c:numCache>
                <c:formatCode>#,##0.0</c:formatCode>
                <c:ptCount val="10"/>
                <c:pt idx="0">
                  <c:v>2.3355999999999999</c:v>
                </c:pt>
                <c:pt idx="1">
                  <c:v>2.3792399999999998</c:v>
                </c:pt>
                <c:pt idx="2">
                  <c:v>2.39228</c:v>
                </c:pt>
                <c:pt idx="3">
                  <c:v>2.4390800000000001</c:v>
                </c:pt>
                <c:pt idx="4">
                  <c:v>2.4809600000000001</c:v>
                </c:pt>
                <c:pt idx="5">
                  <c:v>2.4274900000000001</c:v>
                </c:pt>
                <c:pt idx="6">
                  <c:v>2.29915</c:v>
                </c:pt>
                <c:pt idx="7">
                  <c:v>2.2869600000000001</c:v>
                </c:pt>
                <c:pt idx="8">
                  <c:v>2.3031999999999999</c:v>
                </c:pt>
                <c:pt idx="9">
                  <c:v>0</c:v>
                </c:pt>
              </c:numCache>
            </c:numRef>
          </c:val>
          <c:smooth val="0"/>
          <c:extLst>
            <c:ext xmlns:c16="http://schemas.microsoft.com/office/drawing/2014/chart" uri="{C3380CC4-5D6E-409C-BE32-E72D297353CC}">
              <c16:uniqueId val="{00000000-A402-4F88-9A1B-C9E25A1983C3}"/>
            </c:ext>
          </c:extLst>
        </c:ser>
        <c:ser>
          <c:idx val="2"/>
          <c:order val="1"/>
          <c:tx>
            <c:v>Fixed Asset Turnover</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Data'!$D$52:$M$52</c:f>
              <c:numCache>
                <c:formatCode>#,##0.0</c:formatCode>
                <c:ptCount val="10"/>
                <c:pt idx="0">
                  <c:v>4.0606900000000001</c:v>
                </c:pt>
                <c:pt idx="1">
                  <c:v>4.1409200000000004</c:v>
                </c:pt>
                <c:pt idx="2">
                  <c:v>4.1354199999999999</c:v>
                </c:pt>
                <c:pt idx="3">
                  <c:v>4.2122700000000002</c:v>
                </c:pt>
                <c:pt idx="4">
                  <c:v>4.3698800000000002</c:v>
                </c:pt>
                <c:pt idx="5">
                  <c:v>4.5479700000000003</c:v>
                </c:pt>
                <c:pt idx="6">
                  <c:v>4.3948600000000004</c:v>
                </c:pt>
                <c:pt idx="7">
                  <c:v>4.7206299999999999</c:v>
                </c:pt>
                <c:pt idx="8">
                  <c:v>5.149</c:v>
                </c:pt>
                <c:pt idx="9">
                  <c:v>0</c:v>
                </c:pt>
              </c:numCache>
            </c:numRef>
          </c:val>
          <c:smooth val="0"/>
          <c:extLst>
            <c:ext xmlns:c16="http://schemas.microsoft.com/office/drawing/2014/chart" uri="{C3380CC4-5D6E-409C-BE32-E72D297353CC}">
              <c16:uniqueId val="{00000001-A402-4F88-9A1B-C9E25A1983C3}"/>
            </c:ext>
          </c:extLst>
        </c:ser>
        <c:ser>
          <c:idx val="3"/>
          <c:order val="2"/>
          <c:tx>
            <c:v>Inventory Turnover</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Data'!$D$53:$M$53</c:f>
              <c:numCache>
                <c:formatCode>#,##0.0</c:formatCode>
                <c:ptCount val="10"/>
                <c:pt idx="0">
                  <c:v>8.0772600000000008</c:v>
                </c:pt>
                <c:pt idx="1">
                  <c:v>8.1131100000000007</c:v>
                </c:pt>
                <c:pt idx="2">
                  <c:v>8.0567799999999998</c:v>
                </c:pt>
                <c:pt idx="3">
                  <c:v>8.2558600000000002</c:v>
                </c:pt>
                <c:pt idx="4">
                  <c:v>8.6007200000000008</c:v>
                </c:pt>
                <c:pt idx="5">
                  <c:v>8.7516700000000007</c:v>
                </c:pt>
                <c:pt idx="6">
                  <c:v>8.8971199999999993</c:v>
                </c:pt>
                <c:pt idx="7">
                  <c:v>9.4047000000000001</c:v>
                </c:pt>
                <c:pt idx="8">
                  <c:v>8.4565300000000008</c:v>
                </c:pt>
                <c:pt idx="9">
                  <c:v>0</c:v>
                </c:pt>
              </c:numCache>
            </c:numRef>
          </c:val>
          <c:smooth val="0"/>
          <c:extLst>
            <c:ext xmlns:c16="http://schemas.microsoft.com/office/drawing/2014/chart" uri="{C3380CC4-5D6E-409C-BE32-E72D297353CC}">
              <c16:uniqueId val="{00000002-A402-4F88-9A1B-C9E25A1983C3}"/>
            </c:ext>
          </c:extLst>
        </c:ser>
        <c:ser>
          <c:idx val="4"/>
          <c:order val="3"/>
          <c:tx>
            <c:v>Accounts Receivable Turnover</c:v>
          </c:tx>
          <c:spPr>
            <a:ln w="22225">
              <a:solidFill>
                <a:schemeClr val="accent3">
                  <a:lumMod val="40000"/>
                  <a:lumOff val="60000"/>
                </a:schemeClr>
              </a:solidFill>
            </a:ln>
          </c:spPr>
          <c:marker>
            <c:symbol val="diamond"/>
            <c:size val="4"/>
            <c:spPr>
              <a:solidFill>
                <a:schemeClr val="accent3">
                  <a:lumMod val="40000"/>
                  <a:lumOff val="6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Data'!$D$54:$M$54</c:f>
              <c:numCache>
                <c:formatCode>#,##0.0</c:formatCode>
                <c:ptCount val="10"/>
                <c:pt idx="0">
                  <c:v>70.850729999999999</c:v>
                </c:pt>
                <c:pt idx="1">
                  <c:v>72.188929999999999</c:v>
                </c:pt>
                <c:pt idx="2">
                  <c:v>77.750360000000001</c:v>
                </c:pt>
                <c:pt idx="3">
                  <c:v>84.801990000000004</c:v>
                </c:pt>
                <c:pt idx="4">
                  <c:v>87.403790000000001</c:v>
                </c:pt>
                <c:pt idx="5">
                  <c:v>86.476420000000005</c:v>
                </c:pt>
                <c:pt idx="6">
                  <c:v>83.387280000000004</c:v>
                </c:pt>
                <c:pt idx="7">
                  <c:v>87.367339999999999</c:v>
                </c:pt>
                <c:pt idx="8">
                  <c:v>77.420109999999994</c:v>
                </c:pt>
                <c:pt idx="9">
                  <c:v>0</c:v>
                </c:pt>
              </c:numCache>
            </c:numRef>
          </c:val>
          <c:smooth val="0"/>
          <c:extLst>
            <c:ext xmlns:c16="http://schemas.microsoft.com/office/drawing/2014/chart" uri="{C3380CC4-5D6E-409C-BE32-E72D297353CC}">
              <c16:uniqueId val="{00000003-A402-4F88-9A1B-C9E25A1983C3}"/>
            </c:ext>
          </c:extLst>
        </c:ser>
        <c:dLbls>
          <c:showLegendKey val="0"/>
          <c:showVal val="0"/>
          <c:showCatName val="0"/>
          <c:showSerName val="0"/>
          <c:showPercent val="0"/>
          <c:showBubbleSize val="0"/>
        </c:dLbls>
        <c:marker val="1"/>
        <c:smooth val="0"/>
        <c:axId val="878715392"/>
        <c:axId val="875665024"/>
      </c:lineChart>
      <c:catAx>
        <c:axId val="87871539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a:pPr>
            <a:endParaRPr lang="en-US"/>
          </a:p>
        </c:txPr>
        <c:crossAx val="875665024"/>
        <c:crosses val="autoZero"/>
        <c:auto val="1"/>
        <c:lblAlgn val="ctr"/>
        <c:lblOffset val="100"/>
        <c:noMultiLvlLbl val="0"/>
      </c:catAx>
      <c:valAx>
        <c:axId val="87566502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crossAx val="878715392"/>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84362139917695478"/>
          <c:w val="0.98432405317281157"/>
          <c:h val="0.14917695473251028"/>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Working Capital Components</a:t>
            </a:r>
          </a:p>
        </c:rich>
      </c:tx>
      <c:layout>
        <c:manualLayout>
          <c:xMode val="edge"/>
          <c:yMode val="edge"/>
          <c:x val="9.8104696539402214E-5"/>
          <c:y val="0"/>
        </c:manualLayout>
      </c:layout>
      <c:overlay val="0"/>
    </c:title>
    <c:autoTitleDeleted val="0"/>
    <c:plotArea>
      <c:layout>
        <c:manualLayout>
          <c:xMode val="edge"/>
          <c:yMode val="edge"/>
          <c:x val="2.0855674643378383E-2"/>
          <c:y val="0.12544068565503386"/>
          <c:w val="0.97914432535662166"/>
          <c:h val="0.71566985839732999"/>
        </c:manualLayout>
      </c:layout>
      <c:lineChart>
        <c:grouping val="standard"/>
        <c:varyColors val="0"/>
        <c:ser>
          <c:idx val="1"/>
          <c:order val="0"/>
          <c:tx>
            <c:v>Days Sales Outstanding</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Data'!$D$57:$M$57</c:f>
              <c:numCache>
                <c:formatCode>#,##0</c:formatCode>
                <c:ptCount val="10"/>
                <c:pt idx="0">
                  <c:v>5.1516099999999998</c:v>
                </c:pt>
                <c:pt idx="1">
                  <c:v>5.0559799999999999</c:v>
                </c:pt>
                <c:pt idx="2">
                  <c:v>4.6942700000000004</c:v>
                </c:pt>
                <c:pt idx="3">
                  <c:v>4.3158700000000003</c:v>
                </c:pt>
                <c:pt idx="4">
                  <c:v>4.1759700000000004</c:v>
                </c:pt>
                <c:pt idx="5">
                  <c:v>4.2205000000000004</c:v>
                </c:pt>
                <c:pt idx="6">
                  <c:v>4.3770800000000003</c:v>
                </c:pt>
                <c:pt idx="7">
                  <c:v>4.1888699999999996</c:v>
                </c:pt>
                <c:pt idx="8">
                  <c:v>4.71434</c:v>
                </c:pt>
                <c:pt idx="9">
                  <c:v>0</c:v>
                </c:pt>
              </c:numCache>
            </c:numRef>
          </c:val>
          <c:smooth val="0"/>
          <c:extLst>
            <c:ext xmlns:c16="http://schemas.microsoft.com/office/drawing/2014/chart" uri="{C3380CC4-5D6E-409C-BE32-E72D297353CC}">
              <c16:uniqueId val="{00000000-A402-4F88-9A1B-C9E25A1983C3}"/>
            </c:ext>
          </c:extLst>
        </c:ser>
        <c:ser>
          <c:idx val="2"/>
          <c:order val="1"/>
          <c:tx>
            <c:v>Days Inventory Outstanding</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Data'!$D$58:$M$58</c:f>
              <c:numCache>
                <c:formatCode>#,##0</c:formatCode>
                <c:ptCount val="10"/>
                <c:pt idx="0">
                  <c:v>45.188459999999999</c:v>
                </c:pt>
                <c:pt idx="1">
                  <c:v>44.988810000000001</c:v>
                </c:pt>
                <c:pt idx="2">
                  <c:v>45.303440000000002</c:v>
                </c:pt>
                <c:pt idx="3">
                  <c:v>44.332120000000003</c:v>
                </c:pt>
                <c:pt idx="4">
                  <c:v>42.438189999999999</c:v>
                </c:pt>
                <c:pt idx="5">
                  <c:v>41.706000000000003</c:v>
                </c:pt>
                <c:pt idx="6">
                  <c:v>41.024180000000001</c:v>
                </c:pt>
                <c:pt idx="7">
                  <c:v>38.916409999999999</c:v>
                </c:pt>
                <c:pt idx="8">
                  <c:v>43.161619999999999</c:v>
                </c:pt>
                <c:pt idx="9">
                  <c:v>0</c:v>
                </c:pt>
              </c:numCache>
            </c:numRef>
          </c:val>
          <c:smooth val="0"/>
          <c:extLst>
            <c:ext xmlns:c16="http://schemas.microsoft.com/office/drawing/2014/chart" uri="{C3380CC4-5D6E-409C-BE32-E72D297353CC}">
              <c16:uniqueId val="{00000001-A402-4F88-9A1B-C9E25A1983C3}"/>
            </c:ext>
          </c:extLst>
        </c:ser>
        <c:ser>
          <c:idx val="3"/>
          <c:order val="2"/>
          <c:tx>
            <c:v>Days Payable Outstanding</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Data'!$D$59:$M$59</c:f>
              <c:numCache>
                <c:formatCode>#,##0</c:formatCode>
                <c:ptCount val="10"/>
                <c:pt idx="0">
                  <c:v>38.364789999999999</c:v>
                </c:pt>
                <c:pt idx="1">
                  <c:v>37.873860000000001</c:v>
                </c:pt>
                <c:pt idx="2">
                  <c:v>38.948419999999999</c:v>
                </c:pt>
                <c:pt idx="3">
                  <c:v>40.644669999999998</c:v>
                </c:pt>
                <c:pt idx="4">
                  <c:v>42.694049999999997</c:v>
                </c:pt>
                <c:pt idx="5">
                  <c:v>44.066090000000003</c:v>
                </c:pt>
                <c:pt idx="6">
                  <c:v>43.470770000000002</c:v>
                </c:pt>
                <c:pt idx="7">
                  <c:v>41.795740000000002</c:v>
                </c:pt>
                <c:pt idx="8">
                  <c:v>43.24776</c:v>
                </c:pt>
                <c:pt idx="9">
                  <c:v>0</c:v>
                </c:pt>
              </c:numCache>
            </c:numRef>
          </c:val>
          <c:smooth val="0"/>
          <c:extLst>
            <c:ext xmlns:c16="http://schemas.microsoft.com/office/drawing/2014/chart" uri="{C3380CC4-5D6E-409C-BE32-E72D297353CC}">
              <c16:uniqueId val="{00000002-A402-4F88-9A1B-C9E25A1983C3}"/>
            </c:ext>
          </c:extLst>
        </c:ser>
        <c:dLbls>
          <c:showLegendKey val="0"/>
          <c:showVal val="0"/>
          <c:showCatName val="0"/>
          <c:showSerName val="0"/>
          <c:showPercent val="0"/>
          <c:showBubbleSize val="0"/>
        </c:dLbls>
        <c:marker val="1"/>
        <c:smooth val="0"/>
        <c:axId val="878716928"/>
        <c:axId val="876249088"/>
      </c:lineChart>
      <c:catAx>
        <c:axId val="87871692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6249088"/>
        <c:crosses val="autoZero"/>
        <c:auto val="1"/>
        <c:lblAlgn val="ctr"/>
        <c:lblOffset val="100"/>
        <c:noMultiLvlLbl val="0"/>
      </c:catAx>
      <c:valAx>
        <c:axId val="87624908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871692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83847736625514402"/>
          <c:w val="0.98432405317281157"/>
          <c:h val="0.15432098765432098"/>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Cash Flow and Collections (% of Revenue)</a:t>
            </a:r>
          </a:p>
        </c:rich>
      </c:tx>
      <c:layout>
        <c:manualLayout>
          <c:xMode val="edge"/>
          <c:yMode val="edge"/>
          <c:x val="2.7769072502077784E-3"/>
          <c:y val="0"/>
        </c:manualLayout>
      </c:layout>
      <c:overlay val="0"/>
    </c:title>
    <c:autoTitleDeleted val="0"/>
    <c:plotArea>
      <c:layout>
        <c:manualLayout>
          <c:xMode val="edge"/>
          <c:yMode val="edge"/>
          <c:x val="4.0115611959340297E-2"/>
          <c:y val="0.12544068565503386"/>
          <c:w val="0.95988438804065968"/>
          <c:h val="0.72081389131914064"/>
        </c:manualLayout>
      </c:layout>
      <c:lineChart>
        <c:grouping val="standard"/>
        <c:varyColors val="0"/>
        <c:ser>
          <c:idx val="1"/>
          <c:order val="0"/>
          <c:tx>
            <c:v>Accounts Receivable</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Data'!$D$99:$M$99</c:f>
              <c:numCache>
                <c:formatCode>0.0%</c:formatCode>
                <c:ptCount val="10"/>
                <c:pt idx="0">
                  <c:v>1.4018652344980202E-2</c:v>
                </c:pt>
                <c:pt idx="1">
                  <c:v>1.3956524335376639E-2</c:v>
                </c:pt>
                <c:pt idx="2">
                  <c:v>1.1664903656690104E-2</c:v>
                </c:pt>
                <c:pt idx="3">
                  <c:v>1.2009311075116337E-2</c:v>
                </c:pt>
                <c:pt idx="4">
                  <c:v>1.1220302872229651E-2</c:v>
                </c:pt>
                <c:pt idx="5">
                  <c:v>1.2214111449149989E-2</c:v>
                </c:pt>
                <c:pt idx="6">
                  <c:v>1.1993190371857608E-2</c:v>
                </c:pt>
                <c:pt idx="7">
                  <c:v>1.1653381644672011E-2</c:v>
                </c:pt>
                <c:pt idx="8">
                  <c:v>1.4456468221959166E-2</c:v>
                </c:pt>
                <c:pt idx="9">
                  <c:v>0</c:v>
                </c:pt>
              </c:numCache>
            </c:numRef>
          </c:val>
          <c:smooth val="0"/>
          <c:extLst>
            <c:ext xmlns:c16="http://schemas.microsoft.com/office/drawing/2014/chart" uri="{C3380CC4-5D6E-409C-BE32-E72D297353CC}">
              <c16:uniqueId val="{00000000-0EFB-4EB7-B5B4-130A3D9933D5}"/>
            </c:ext>
          </c:extLst>
        </c:ser>
        <c:ser>
          <c:idx val="2"/>
          <c:order val="1"/>
          <c:tx>
            <c:v>Accounts Payable</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Data'!$D$100:$M$100</c:f>
              <c:numCache>
                <c:formatCode>0.0%</c:formatCode>
                <c:ptCount val="10"/>
                <c:pt idx="0">
                  <c:v>7.8554422268598809E-2</c:v>
                </c:pt>
                <c:pt idx="1">
                  <c:v>7.9089716689556902E-2</c:v>
                </c:pt>
                <c:pt idx="2">
                  <c:v>7.9827017609358467E-2</c:v>
                </c:pt>
                <c:pt idx="3">
                  <c:v>8.5275370312818372E-2</c:v>
                </c:pt>
                <c:pt idx="4">
                  <c:v>9.2120805127682406E-2</c:v>
                </c:pt>
                <c:pt idx="5">
                  <c:v>9.1484336272003572E-2</c:v>
                </c:pt>
                <c:pt idx="6">
                  <c:v>8.9649288882442307E-2</c:v>
                </c:pt>
                <c:pt idx="7">
                  <c:v>8.7885025690734697E-2</c:v>
                </c:pt>
                <c:pt idx="8">
                  <c:v>9.6482957779430611E-2</c:v>
                </c:pt>
                <c:pt idx="9">
                  <c:v>0</c:v>
                </c:pt>
              </c:numCache>
            </c:numRef>
          </c:val>
          <c:smooth val="0"/>
          <c:extLst>
            <c:ext xmlns:c16="http://schemas.microsoft.com/office/drawing/2014/chart" uri="{C3380CC4-5D6E-409C-BE32-E72D297353CC}">
              <c16:uniqueId val="{00000001-0EFB-4EB7-B5B4-130A3D9933D5}"/>
            </c:ext>
          </c:extLst>
        </c:ser>
        <c:ser>
          <c:idx val="3"/>
          <c:order val="2"/>
          <c:tx>
            <c:v>Cash Flow From Operations</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Data'!$D$101:$M$101</c:f>
              <c:numCache>
                <c:formatCode>0.0%</c:formatCode>
                <c:ptCount val="10"/>
                <c:pt idx="0">
                  <c:v>4.8829084557017302E-2</c:v>
                </c:pt>
                <c:pt idx="1">
                  <c:v>5.8815898659737138E-2</c:v>
                </c:pt>
                <c:pt idx="2">
                  <c:v>5.7146412793230045E-2</c:v>
                </c:pt>
                <c:pt idx="3">
                  <c:v>6.5187816569350424E-2</c:v>
                </c:pt>
                <c:pt idx="4">
                  <c:v>5.6635148288274241E-2</c:v>
                </c:pt>
                <c:pt idx="5">
                  <c:v>5.3951652880512437E-2</c:v>
                </c:pt>
                <c:pt idx="6">
                  <c:v>4.8199876327381271E-2</c:v>
                </c:pt>
                <c:pt idx="7">
                  <c:v>6.4515667503053736E-2</c:v>
                </c:pt>
                <c:pt idx="8">
                  <c:v>4.221882343903316E-2</c:v>
                </c:pt>
                <c:pt idx="9">
                  <c:v>0</c:v>
                </c:pt>
              </c:numCache>
            </c:numRef>
          </c:val>
          <c:smooth val="0"/>
          <c:extLst>
            <c:ext xmlns:c16="http://schemas.microsoft.com/office/drawing/2014/chart" uri="{C3380CC4-5D6E-409C-BE32-E72D297353CC}">
              <c16:uniqueId val="{00000002-0EFB-4EB7-B5B4-130A3D9933D5}"/>
            </c:ext>
          </c:extLst>
        </c:ser>
        <c:dLbls>
          <c:showLegendKey val="0"/>
          <c:showVal val="0"/>
          <c:showCatName val="0"/>
          <c:showSerName val="0"/>
          <c:showPercent val="0"/>
          <c:showBubbleSize val="0"/>
        </c:dLbls>
        <c:marker val="1"/>
        <c:smooth val="0"/>
        <c:axId val="878718464"/>
        <c:axId val="876251392"/>
      </c:lineChart>
      <c:catAx>
        <c:axId val="87871846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a:pPr>
            <a:endParaRPr lang="en-US"/>
          </a:p>
        </c:txPr>
        <c:crossAx val="876251392"/>
        <c:crosses val="autoZero"/>
        <c:auto val="1"/>
        <c:lblAlgn val="ctr"/>
        <c:lblOffset val="100"/>
        <c:noMultiLvlLbl val="0"/>
      </c:catAx>
      <c:valAx>
        <c:axId val="87625139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crossAx val="878718464"/>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4362139917695478"/>
          <c:w val="0.98432405317281157"/>
          <c:h val="0.14917695473251028"/>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Expense Summary</a:t>
            </a:r>
          </a:p>
        </c:rich>
      </c:tx>
      <c:layout>
        <c:manualLayout>
          <c:xMode val="edge"/>
          <c:yMode val="edge"/>
          <c:x val="6.273591006465425E-4"/>
          <c:y val="0"/>
        </c:manualLayout>
      </c:layout>
      <c:overlay val="0"/>
    </c:title>
    <c:autoTitleDeleted val="0"/>
    <c:plotArea>
      <c:layout>
        <c:manualLayout>
          <c:layoutTarget val="inner"/>
          <c:xMode val="edge"/>
          <c:yMode val="edge"/>
          <c:x val="0.22435489158663294"/>
          <c:y val="0.14366595379281294"/>
          <c:w val="0.76707715429476508"/>
          <c:h val="0.38417258027931694"/>
        </c:manualLayout>
      </c:layout>
      <c:barChart>
        <c:barDir val="col"/>
        <c:grouping val="stacked"/>
        <c:varyColors val="0"/>
        <c:ser>
          <c:idx val="4"/>
          <c:order val="0"/>
          <c:tx>
            <c:v>Other OpEx</c:v>
          </c:tx>
          <c:spPr>
            <a:solidFill>
              <a:schemeClr val="accent3">
                <a:lumMod val="20000"/>
                <a:lumOff val="80000"/>
              </a:schemeClr>
            </a:solidFill>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Data'!$D$22:$M$22</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F0A2-44A4-83EE-23DA96833F15}"/>
            </c:ext>
          </c:extLst>
        </c:ser>
        <c:ser>
          <c:idx val="0"/>
          <c:order val="1"/>
          <c:tx>
            <c:v>D&amp;A</c:v>
          </c:tx>
          <c:spPr>
            <a:solidFill>
              <a:schemeClr val="accent3">
                <a:lumMod val="40000"/>
                <a:lumOff val="60000"/>
              </a:schemeClr>
            </a:solidFill>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Data'!$D$21:$M$21</c:f>
              <c:numCache>
                <c:formatCode>#,##0</c:formatCode>
                <c:ptCount val="10"/>
                <c:pt idx="0">
                  <c:v>8870</c:v>
                </c:pt>
                <c:pt idx="1">
                  <c:v>9173</c:v>
                </c:pt>
                <c:pt idx="2">
                  <c:v>9454</c:v>
                </c:pt>
                <c:pt idx="3">
                  <c:v>10080</c:v>
                </c:pt>
                <c:pt idx="4">
                  <c:v>10529</c:v>
                </c:pt>
                <c:pt idx="5">
                  <c:v>10678</c:v>
                </c:pt>
                <c:pt idx="6">
                  <c:v>10987</c:v>
                </c:pt>
                <c:pt idx="7">
                  <c:v>11152</c:v>
                </c:pt>
                <c:pt idx="8">
                  <c:v>10658</c:v>
                </c:pt>
                <c:pt idx="9">
                  <c:v>0</c:v>
                </c:pt>
              </c:numCache>
            </c:numRef>
          </c:val>
          <c:extLst>
            <c:ext xmlns:c16="http://schemas.microsoft.com/office/drawing/2014/chart" uri="{C3380CC4-5D6E-409C-BE32-E72D297353CC}">
              <c16:uniqueId val="{00000003-F0A2-44A4-83EE-23DA96833F15}"/>
            </c:ext>
          </c:extLst>
        </c:ser>
        <c:ser>
          <c:idx val="3"/>
          <c:order val="2"/>
          <c:tx>
            <c:v>R&amp;D</c:v>
          </c:tx>
          <c:spPr>
            <a:solidFill>
              <a:schemeClr val="accent3">
                <a:lumMod val="60000"/>
                <a:lumOff val="40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Data'!$D$20:$M$20</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0A2-44A4-83EE-23DA96833F15}"/>
            </c:ext>
          </c:extLst>
        </c:ser>
        <c:ser>
          <c:idx val="2"/>
          <c:order val="3"/>
          <c:tx>
            <c:v>SG&amp;A</c:v>
          </c:tx>
          <c:spPr>
            <a:solidFill>
              <a:schemeClr val="accent3">
                <a:lumMod val="75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Data'!$D$19:$M$19</c:f>
              <c:numCache>
                <c:formatCode>#,##0</c:formatCode>
                <c:ptCount val="10"/>
                <c:pt idx="0">
                  <c:v>91353</c:v>
                </c:pt>
                <c:pt idx="1">
                  <c:v>93418</c:v>
                </c:pt>
                <c:pt idx="2">
                  <c:v>97041</c:v>
                </c:pt>
                <c:pt idx="3">
                  <c:v>101853</c:v>
                </c:pt>
                <c:pt idx="4">
                  <c:v>106010</c:v>
                </c:pt>
                <c:pt idx="5">
                  <c:v>107147</c:v>
                </c:pt>
                <c:pt idx="6">
                  <c:v>107891</c:v>
                </c:pt>
                <c:pt idx="7">
                  <c:v>111888</c:v>
                </c:pt>
                <c:pt idx="8">
                  <c:v>117812</c:v>
                </c:pt>
                <c:pt idx="9">
                  <c:v>0</c:v>
                </c:pt>
              </c:numCache>
            </c:numRef>
          </c:val>
          <c:extLst>
            <c:ext xmlns:c16="http://schemas.microsoft.com/office/drawing/2014/chart" uri="{C3380CC4-5D6E-409C-BE32-E72D297353CC}">
              <c16:uniqueId val="{00000001-F0A2-44A4-83EE-23DA96833F15}"/>
            </c:ext>
          </c:extLst>
        </c:ser>
        <c:ser>
          <c:idx val="1"/>
          <c:order val="4"/>
          <c:tx>
            <c:v>COGS</c:v>
          </c:tx>
          <c:spPr>
            <a:solidFill>
              <a:schemeClr val="accent3">
                <a:lumMod val="50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Data'!$D$16:$M$16</c:f>
              <c:numCache>
                <c:formatCode>#,##0</c:formatCode>
                <c:ptCount val="10"/>
                <c:pt idx="0">
                  <c:v>358069</c:v>
                </c:pt>
                <c:pt idx="1">
                  <c:v>365086</c:v>
                </c:pt>
                <c:pt idx="2">
                  <c:v>360984</c:v>
                </c:pt>
                <c:pt idx="3">
                  <c:v>361256</c:v>
                </c:pt>
                <c:pt idx="4">
                  <c:v>373396</c:v>
                </c:pt>
                <c:pt idx="5">
                  <c:v>385301</c:v>
                </c:pt>
                <c:pt idx="6">
                  <c:v>394605</c:v>
                </c:pt>
                <c:pt idx="7">
                  <c:v>420315</c:v>
                </c:pt>
                <c:pt idx="8">
                  <c:v>429000</c:v>
                </c:pt>
                <c:pt idx="9">
                  <c:v>0</c:v>
                </c:pt>
              </c:numCache>
            </c:numRef>
          </c:val>
          <c:extLst>
            <c:ext xmlns:c16="http://schemas.microsoft.com/office/drawing/2014/chart" uri="{C3380CC4-5D6E-409C-BE32-E72D297353CC}">
              <c16:uniqueId val="{00000000-F0A2-44A4-83EE-23DA96833F15}"/>
            </c:ext>
          </c:extLst>
        </c:ser>
        <c:dLbls>
          <c:showLegendKey val="0"/>
          <c:showVal val="1"/>
          <c:showCatName val="0"/>
          <c:showSerName val="0"/>
          <c:showPercent val="0"/>
          <c:showBubbleSize val="0"/>
        </c:dLbls>
        <c:gapWidth val="150"/>
        <c:overlap val="100"/>
        <c:axId val="878880256"/>
        <c:axId val="876253696"/>
      </c:barChart>
      <c:catAx>
        <c:axId val="87888025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nextTo"/>
        <c:spPr>
          <a:ln>
            <a:solidFill>
              <a:schemeClr val="bg1">
                <a:lumMod val="65000"/>
              </a:schemeClr>
            </a:solidFill>
          </a:ln>
        </c:spPr>
        <c:crossAx val="876253696"/>
        <c:crossesAt val="-0.2"/>
        <c:auto val="1"/>
        <c:lblAlgn val="ctr"/>
        <c:lblOffset val="100"/>
        <c:noMultiLvlLbl val="0"/>
      </c:catAx>
      <c:valAx>
        <c:axId val="876253696"/>
        <c:scaling>
          <c:orientation val="minMax"/>
        </c:scaling>
        <c:delete val="0"/>
        <c:axPos val="l"/>
        <c:majorGridlines>
          <c:spPr>
            <a:ln w="9525">
              <a:solidFill>
                <a:schemeClr val="bg1">
                  <a:lumMod val="85000"/>
                </a:schemeClr>
              </a:solidFill>
            </a:ln>
          </c:spPr>
        </c:majorGridlines>
        <c:title>
          <c:tx>
            <c:strRef>
              <c:f>'Financial Analysis'!$AJ$9</c:f>
              <c:strCache>
                <c:ptCount val="1"/>
                <c:pt idx="0">
                  <c:v>USD million</c:v>
                </c:pt>
              </c:strCache>
            </c:strRef>
          </c:tx>
          <c:layout>
            <c:manualLayout>
              <c:xMode val="edge"/>
              <c:yMode val="edge"/>
              <c:x val="7.4972992935702643E-4"/>
              <c:y val="0.14784234146657591"/>
            </c:manualLayout>
          </c:layout>
          <c:overlay val="0"/>
          <c:spPr>
            <a:ln>
              <a:noFill/>
            </a:ln>
          </c:spPr>
          <c:txPr>
            <a:bodyPr rot="-5400000" vert="horz"/>
            <a:lstStyle/>
            <a:p>
              <a:pPr>
                <a:defRPr/>
              </a:pPr>
              <a:endParaRPr lang="en-US"/>
            </a:p>
          </c:txPr>
        </c:title>
        <c:numFmt formatCode="#,##0" sourceLinked="0"/>
        <c:majorTickMark val="out"/>
        <c:minorTickMark val="none"/>
        <c:tickLblPos val="nextTo"/>
        <c:spPr>
          <a:ln w="6350">
            <a:solidFill>
              <a:schemeClr val="bg1">
                <a:lumMod val="65000"/>
              </a:schemeClr>
            </a:solidFill>
          </a:ln>
        </c:spPr>
        <c:txPr>
          <a:bodyPr/>
          <a:lstStyle/>
          <a:p>
            <a:pPr>
              <a:defRPr sz="900"/>
            </a:pPr>
            <a:endParaRPr lang="en-US"/>
          </a:p>
        </c:txPr>
        <c:crossAx val="878880256"/>
        <c:crosses val="autoZero"/>
        <c:crossBetween val="between"/>
      </c:valAx>
      <c:dTable>
        <c:showHorzBorder val="1"/>
        <c:showVertBorder val="1"/>
        <c:showOutline val="1"/>
        <c:showKeys val="1"/>
        <c:spPr>
          <a:ln w="6350">
            <a:solidFill>
              <a:schemeClr val="bg1">
                <a:lumMod val="65000"/>
              </a:schemeClr>
            </a:solidFill>
          </a:ln>
        </c:spPr>
        <c:txPr>
          <a:bodyPr/>
          <a:lstStyle/>
          <a:p>
            <a:pPr rtl="0">
              <a:defRPr sz="900"/>
            </a:pPr>
            <a:endParaRPr lang="en-US"/>
          </a:p>
        </c:txPr>
      </c:dTable>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Expense Distribution Summary</a:t>
            </a:r>
          </a:p>
        </c:rich>
      </c:tx>
      <c:layout>
        <c:manualLayout>
          <c:xMode val="edge"/>
          <c:yMode val="edge"/>
          <c:x val="2.7619643849484559E-3"/>
          <c:y val="0"/>
        </c:manualLayout>
      </c:layout>
      <c:overlay val="0"/>
    </c:title>
    <c:autoTitleDeleted val="0"/>
    <c:plotArea>
      <c:layout>
        <c:manualLayout>
          <c:layoutTarget val="inner"/>
          <c:xMode val="edge"/>
          <c:yMode val="edge"/>
          <c:x val="0.22435489158663294"/>
          <c:y val="0.14366602612173479"/>
          <c:w val="0.76407502532838023"/>
          <c:h val="0.39216243802857975"/>
        </c:manualLayout>
      </c:layout>
      <c:barChart>
        <c:barDir val="col"/>
        <c:grouping val="percentStacked"/>
        <c:varyColors val="0"/>
        <c:ser>
          <c:idx val="4"/>
          <c:order val="0"/>
          <c:tx>
            <c:v>Other OpEx</c:v>
          </c:tx>
          <c:spPr>
            <a:solidFill>
              <a:schemeClr val="accent3">
                <a:lumMod val="20000"/>
                <a:lumOff val="80000"/>
              </a:schemeClr>
            </a:solidFill>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Data'!$D$110:$M$110</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FA6D-407A-804D-935CD59B1C0D}"/>
            </c:ext>
          </c:extLst>
        </c:ser>
        <c:ser>
          <c:idx val="0"/>
          <c:order val="1"/>
          <c:tx>
            <c:v>D&amp;A</c:v>
          </c:tx>
          <c:spPr>
            <a:solidFill>
              <a:schemeClr val="accent3">
                <a:lumMod val="40000"/>
                <a:lumOff val="60000"/>
              </a:schemeClr>
            </a:solidFill>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Data'!$D$109:$M$109</c:f>
              <c:numCache>
                <c:formatCode>0.0%</c:formatCode>
                <c:ptCount val="10"/>
                <c:pt idx="0">
                  <c:v>1.9354472694264793E-2</c:v>
                </c:pt>
                <c:pt idx="1">
                  <c:v>1.9613964338635426E-2</c:v>
                </c:pt>
                <c:pt idx="2">
                  <c:v>2.0223368322427316E-2</c:v>
                </c:pt>
                <c:pt idx="3">
                  <c:v>2.1302270340181197E-2</c:v>
                </c:pt>
                <c:pt idx="4">
                  <c:v>2.1490605896700581E-2</c:v>
                </c:pt>
                <c:pt idx="5">
                  <c:v>2.1223311854286997E-2</c:v>
                </c:pt>
                <c:pt idx="6">
                  <c:v>2.1397008274860123E-2</c:v>
                </c:pt>
                <c:pt idx="7">
                  <c:v>2.0524334919159667E-2</c:v>
                </c:pt>
                <c:pt idx="8">
                  <c:v>1.9118517588390407E-2</c:v>
                </c:pt>
                <c:pt idx="9">
                  <c:v>0</c:v>
                </c:pt>
              </c:numCache>
            </c:numRef>
          </c:val>
          <c:extLst>
            <c:ext xmlns:c16="http://schemas.microsoft.com/office/drawing/2014/chart" uri="{C3380CC4-5D6E-409C-BE32-E72D297353CC}">
              <c16:uniqueId val="{00000003-FA6D-407A-804D-935CD59B1C0D}"/>
            </c:ext>
          </c:extLst>
        </c:ser>
        <c:ser>
          <c:idx val="3"/>
          <c:order val="2"/>
          <c:tx>
            <c:v>R&amp;D</c:v>
          </c:tx>
          <c:spPr>
            <a:solidFill>
              <a:schemeClr val="accent3">
                <a:lumMod val="60000"/>
                <a:lumOff val="40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Data'!$D$108:$M$108</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A6D-407A-804D-935CD59B1C0D}"/>
            </c:ext>
          </c:extLst>
        </c:ser>
        <c:ser>
          <c:idx val="2"/>
          <c:order val="3"/>
          <c:tx>
            <c:v>SG&amp;A</c:v>
          </c:tx>
          <c:spPr>
            <a:solidFill>
              <a:schemeClr val="accent3">
                <a:lumMod val="75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Data'!$D$107:$M$107</c:f>
              <c:numCache>
                <c:formatCode>0.0%</c:formatCode>
                <c:ptCount val="10"/>
                <c:pt idx="0">
                  <c:v>0.19933361263124821</c:v>
                </c:pt>
                <c:pt idx="1">
                  <c:v>0.19974897204694694</c:v>
                </c:pt>
                <c:pt idx="2">
                  <c:v>0.2075836561642341</c:v>
                </c:pt>
                <c:pt idx="3">
                  <c:v>0.2152480298569916</c:v>
                </c:pt>
                <c:pt idx="4">
                  <c:v>0.21637564166675172</c:v>
                </c:pt>
                <c:pt idx="5">
                  <c:v>0.21296255808684106</c:v>
                </c:pt>
                <c:pt idx="6">
                  <c:v>0.2101160116303753</c:v>
                </c:pt>
                <c:pt idx="7">
                  <c:v>0.20592062279725043</c:v>
                </c:pt>
                <c:pt idx="8">
                  <c:v>0.21133334529212333</c:v>
                </c:pt>
                <c:pt idx="9">
                  <c:v>0</c:v>
                </c:pt>
              </c:numCache>
            </c:numRef>
          </c:val>
          <c:extLst>
            <c:ext xmlns:c16="http://schemas.microsoft.com/office/drawing/2014/chart" uri="{C3380CC4-5D6E-409C-BE32-E72D297353CC}">
              <c16:uniqueId val="{00000001-FA6D-407A-804D-935CD59B1C0D}"/>
            </c:ext>
          </c:extLst>
        </c:ser>
        <c:ser>
          <c:idx val="1"/>
          <c:order val="4"/>
          <c:tx>
            <c:v>COGS</c:v>
          </c:tx>
          <c:spPr>
            <a:solidFill>
              <a:schemeClr val="accent3">
                <a:lumMod val="50000"/>
              </a:schemeClr>
            </a:solidFill>
            <a:ln w="38100">
              <a:noFill/>
            </a:ln>
          </c:spPr>
          <c:invertIfNegative val="0"/>
          <c:dLbls>
            <c:delete val="1"/>
          </c:dLbls>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Data'!$D$106:$M$106</c:f>
              <c:numCache>
                <c:formatCode>0.0%</c:formatCode>
                <c:ptCount val="10"/>
                <c:pt idx="0">
                  <c:v>0.78131191467448702</c:v>
                </c:pt>
                <c:pt idx="1">
                  <c:v>0.78063706361441765</c:v>
                </c:pt>
                <c:pt idx="2">
                  <c:v>0.77219297551333854</c:v>
                </c:pt>
                <c:pt idx="3">
                  <c:v>0.76344969980282718</c:v>
                </c:pt>
                <c:pt idx="4">
                  <c:v>0.76213375243654768</c:v>
                </c:pt>
                <c:pt idx="5">
                  <c:v>0.76581413005887189</c:v>
                </c:pt>
                <c:pt idx="6">
                  <c:v>0.76848698009476457</c:v>
                </c:pt>
                <c:pt idx="7">
                  <c:v>0.77355504228358996</c:v>
                </c:pt>
                <c:pt idx="8">
                  <c:v>0.76954813711948622</c:v>
                </c:pt>
                <c:pt idx="9">
                  <c:v>0</c:v>
                </c:pt>
              </c:numCache>
            </c:numRef>
          </c:val>
          <c:extLst>
            <c:ext xmlns:c16="http://schemas.microsoft.com/office/drawing/2014/chart" uri="{C3380CC4-5D6E-409C-BE32-E72D297353CC}">
              <c16:uniqueId val="{00000000-FA6D-407A-804D-935CD59B1C0D}"/>
            </c:ext>
          </c:extLst>
        </c:ser>
        <c:dLbls>
          <c:showLegendKey val="0"/>
          <c:showVal val="1"/>
          <c:showCatName val="0"/>
          <c:showSerName val="0"/>
          <c:showPercent val="0"/>
          <c:showBubbleSize val="0"/>
        </c:dLbls>
        <c:gapWidth val="150"/>
        <c:overlap val="100"/>
        <c:axId val="878456832"/>
        <c:axId val="876256000"/>
      </c:barChart>
      <c:catAx>
        <c:axId val="878456832"/>
        <c:scaling>
          <c:orientation val="minMax"/>
        </c:scaling>
        <c:delete val="0"/>
        <c:axPos val="b"/>
        <c:majorGridlines>
          <c:spPr>
            <a:ln>
              <a:solidFill>
                <a:schemeClr val="bg1">
                  <a:lumMod val="85000"/>
                </a:schemeClr>
              </a:solidFill>
            </a:ln>
          </c:spPr>
        </c:majorGridlines>
        <c:numFmt formatCode="#,##0" sourceLinked="0"/>
        <c:majorTickMark val="out"/>
        <c:minorTickMark val="none"/>
        <c:tickLblPos val="nextTo"/>
        <c:spPr>
          <a:ln w="6350">
            <a:solidFill>
              <a:schemeClr val="bg1">
                <a:lumMod val="65000"/>
              </a:schemeClr>
            </a:solidFill>
          </a:ln>
        </c:spPr>
        <c:crossAx val="876256000"/>
        <c:crossesAt val="0"/>
        <c:auto val="1"/>
        <c:lblAlgn val="ctr"/>
        <c:lblOffset val="100"/>
        <c:noMultiLvlLbl val="0"/>
      </c:catAx>
      <c:valAx>
        <c:axId val="876256000"/>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 of Total Expenses</a:t>
                </a:r>
              </a:p>
            </c:rich>
          </c:tx>
          <c:layout>
            <c:manualLayout>
              <c:xMode val="edge"/>
              <c:yMode val="edge"/>
              <c:x val="5.1298610247082154E-4"/>
              <c:y val="0.12134409124785325"/>
            </c:manualLayout>
          </c:layout>
          <c:overlay val="0"/>
          <c:spPr>
            <a:ln>
              <a:noFill/>
            </a:ln>
          </c:spPr>
        </c:title>
        <c:numFmt formatCode="0%" sourceLinked="0"/>
        <c:majorTickMark val="out"/>
        <c:minorTickMark val="none"/>
        <c:tickLblPos val="nextTo"/>
        <c:spPr>
          <a:ln w="6350">
            <a:solidFill>
              <a:schemeClr val="bg1">
                <a:lumMod val="65000"/>
              </a:schemeClr>
            </a:solidFill>
          </a:ln>
        </c:spPr>
        <c:txPr>
          <a:bodyPr/>
          <a:lstStyle/>
          <a:p>
            <a:pPr>
              <a:defRPr sz="900"/>
            </a:pPr>
            <a:endParaRPr lang="en-US"/>
          </a:p>
        </c:txPr>
        <c:crossAx val="878456832"/>
        <c:crosses val="autoZero"/>
        <c:crossBetween val="between"/>
        <c:majorUnit val="0.2"/>
      </c:valAx>
      <c:dTable>
        <c:showHorzBorder val="1"/>
        <c:showVertBorder val="1"/>
        <c:showOutline val="1"/>
        <c:showKeys val="1"/>
        <c:spPr>
          <a:ln>
            <a:solidFill>
              <a:schemeClr val="bg1">
                <a:lumMod val="65000"/>
              </a:schemeClr>
            </a:solidFill>
          </a:ln>
        </c:spPr>
        <c:txPr>
          <a:bodyPr/>
          <a:lstStyle/>
          <a:p>
            <a:pPr rtl="0">
              <a:defRPr sz="900"/>
            </a:pPr>
            <a:endParaRPr lang="en-US"/>
          </a:p>
        </c:txPr>
      </c:dTable>
      <c:spPr>
        <a:gradFill>
          <a:gsLst>
            <a:gs pos="0">
              <a:schemeClr val="bg1">
                <a:lumMod val="95000"/>
              </a:schemeClr>
            </a:gs>
            <a:gs pos="50000">
              <a:schemeClr val="bg1"/>
            </a:gs>
          </a:gsLst>
          <a:lin ang="16200000" scaled="0"/>
        </a:gradFill>
      </c:spPr>
    </c:plotArea>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Revenue and Expenses </a:t>
            </a:r>
          </a:p>
        </c:rich>
      </c:tx>
      <c:layout>
        <c:manualLayout>
          <c:xMode val="edge"/>
          <c:yMode val="edge"/>
          <c:x val="1.4915883830536654E-4"/>
          <c:y val="0"/>
        </c:manualLayout>
      </c:layout>
      <c:overlay val="0"/>
    </c:title>
    <c:autoTitleDeleted val="0"/>
    <c:plotArea>
      <c:layout>
        <c:manualLayout>
          <c:layoutTarget val="inner"/>
          <c:xMode val="edge"/>
          <c:yMode val="edge"/>
          <c:x val="0.18774698873701737"/>
          <c:y val="0.15128965360811381"/>
          <c:w val="0.77116178762079124"/>
          <c:h val="0.57463505719192509"/>
        </c:manualLayout>
      </c:layout>
      <c:lineChart>
        <c:grouping val="standard"/>
        <c:varyColors val="0"/>
        <c:ser>
          <c:idx val="0"/>
          <c:order val="0"/>
          <c:tx>
            <c:v>Revenue</c:v>
          </c:tx>
          <c:spPr>
            <a:ln w="22225">
              <a:solidFill>
                <a:schemeClr val="accent3">
                  <a:lumMod val="50000"/>
                </a:schemeClr>
              </a:solidFill>
            </a:ln>
          </c:spPr>
          <c:marker>
            <c:symbol val="circl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Data'!$D$15:$M$15</c:f>
              <c:numCache>
                <c:formatCode>#,##0</c:formatCode>
                <c:ptCount val="10"/>
                <c:pt idx="0">
                  <c:v>476294</c:v>
                </c:pt>
                <c:pt idx="1">
                  <c:v>485651</c:v>
                </c:pt>
                <c:pt idx="2">
                  <c:v>482130</c:v>
                </c:pt>
                <c:pt idx="3">
                  <c:v>485873</c:v>
                </c:pt>
                <c:pt idx="4">
                  <c:v>500343</c:v>
                </c:pt>
                <c:pt idx="5">
                  <c:v>514405</c:v>
                </c:pt>
                <c:pt idx="6">
                  <c:v>523964</c:v>
                </c:pt>
                <c:pt idx="7">
                  <c:v>559151</c:v>
                </c:pt>
                <c:pt idx="8">
                  <c:v>572754</c:v>
                </c:pt>
                <c:pt idx="9">
                  <c:v>0</c:v>
                </c:pt>
              </c:numCache>
            </c:numRef>
          </c:val>
          <c:smooth val="0"/>
          <c:extLst>
            <c:ext xmlns:c16="http://schemas.microsoft.com/office/drawing/2014/chart" uri="{C3380CC4-5D6E-409C-BE32-E72D297353CC}">
              <c16:uniqueId val="{00000000-B025-40EE-9B9E-9AC7FD6E3B38}"/>
            </c:ext>
          </c:extLst>
        </c:ser>
        <c:ser>
          <c:idx val="1"/>
          <c:order val="1"/>
          <c:tx>
            <c:v>COGS</c:v>
          </c:tx>
          <c:spPr>
            <a:ln w="22225">
              <a:solidFill>
                <a:schemeClr val="accent3">
                  <a:lumMod val="75000"/>
                </a:schemeClr>
              </a:solidFill>
            </a:ln>
          </c:spPr>
          <c:marker>
            <c:symbol val="squar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Data'!$D$16:$M$16</c:f>
              <c:numCache>
                <c:formatCode>#,##0</c:formatCode>
                <c:ptCount val="10"/>
                <c:pt idx="0">
                  <c:v>358069</c:v>
                </c:pt>
                <c:pt idx="1">
                  <c:v>365086</c:v>
                </c:pt>
                <c:pt idx="2">
                  <c:v>360984</c:v>
                </c:pt>
                <c:pt idx="3">
                  <c:v>361256</c:v>
                </c:pt>
                <c:pt idx="4">
                  <c:v>373396</c:v>
                </c:pt>
                <c:pt idx="5">
                  <c:v>385301</c:v>
                </c:pt>
                <c:pt idx="6">
                  <c:v>394605</c:v>
                </c:pt>
                <c:pt idx="7">
                  <c:v>420315</c:v>
                </c:pt>
                <c:pt idx="8">
                  <c:v>429000</c:v>
                </c:pt>
                <c:pt idx="9">
                  <c:v>0</c:v>
                </c:pt>
              </c:numCache>
            </c:numRef>
          </c:val>
          <c:smooth val="0"/>
          <c:extLst>
            <c:ext xmlns:c16="http://schemas.microsoft.com/office/drawing/2014/chart" uri="{C3380CC4-5D6E-409C-BE32-E72D297353CC}">
              <c16:uniqueId val="{00000001-B025-40EE-9B9E-9AC7FD6E3B38}"/>
            </c:ext>
          </c:extLst>
        </c:ser>
        <c:ser>
          <c:idx val="2"/>
          <c:order val="2"/>
          <c:tx>
            <c:v>Total OpEx</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Data'!$D$23:$M$23</c:f>
              <c:numCache>
                <c:formatCode>#,##0</c:formatCode>
                <c:ptCount val="10"/>
                <c:pt idx="0">
                  <c:v>100223</c:v>
                </c:pt>
                <c:pt idx="1">
                  <c:v>102591</c:v>
                </c:pt>
                <c:pt idx="2">
                  <c:v>106495</c:v>
                </c:pt>
                <c:pt idx="3">
                  <c:v>111933</c:v>
                </c:pt>
                <c:pt idx="4">
                  <c:v>116539</c:v>
                </c:pt>
                <c:pt idx="5">
                  <c:v>117825</c:v>
                </c:pt>
                <c:pt idx="6">
                  <c:v>118878</c:v>
                </c:pt>
                <c:pt idx="7">
                  <c:v>123040</c:v>
                </c:pt>
                <c:pt idx="8">
                  <c:v>128470</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8881792"/>
        <c:axId val="876602496"/>
      </c:lineChart>
      <c:catAx>
        <c:axId val="87888179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76602496"/>
        <c:crossesAt val="-0.5"/>
        <c:auto val="1"/>
        <c:lblAlgn val="ctr"/>
        <c:lblOffset val="100"/>
        <c:noMultiLvlLbl val="0"/>
      </c:catAx>
      <c:valAx>
        <c:axId val="876602496"/>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095349255157998E-3"/>
              <c:y val="0.28085245131395614"/>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txPr>
          <a:bodyPr/>
          <a:lstStyle/>
          <a:p>
            <a:pPr>
              <a:defRPr sz="900"/>
            </a:pPr>
            <a:endParaRPr lang="en-US"/>
          </a:p>
        </c:txPr>
        <c:crossAx val="878881792"/>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91049382716049387"/>
          <c:w val="0.98432405317281157"/>
          <c:h val="8.2304526748971193E-2"/>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Revenue and Revenue Growth</a:t>
            </a:r>
          </a:p>
        </c:rich>
      </c:tx>
      <c:layout>
        <c:manualLayout>
          <c:xMode val="edge"/>
          <c:yMode val="edge"/>
          <c:x val="1.4296453438903171E-4"/>
          <c:y val="0"/>
        </c:manualLayout>
      </c:layout>
      <c:overlay val="0"/>
    </c:title>
    <c:autoTitleDeleted val="0"/>
    <c:plotArea>
      <c:layout>
        <c:manualLayout>
          <c:xMode val="edge"/>
          <c:yMode val="edge"/>
          <c:x val="4.3173038753902944E-2"/>
          <c:y val="0.11837229837011114"/>
          <c:w val="0.92376280984064352"/>
          <c:h val="0.79684350798742765"/>
        </c:manualLayout>
      </c:layout>
      <c:barChart>
        <c:barDir val="col"/>
        <c:grouping val="clustered"/>
        <c:varyColors val="0"/>
        <c:ser>
          <c:idx val="1"/>
          <c:order val="0"/>
          <c:tx>
            <c:v>Revenue</c:v>
          </c:tx>
          <c:spPr>
            <a:solidFill>
              <a:schemeClr val="accent3">
                <a:lumMod val="50000"/>
              </a:schemeClr>
            </a:solidFill>
            <a:ln w="22225">
              <a:noFill/>
            </a:ln>
          </c:spPr>
          <c:invertIfNegative val="0"/>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Data'!$D$15:$M$15</c:f>
              <c:numCache>
                <c:formatCode>#,##0</c:formatCode>
                <c:ptCount val="10"/>
                <c:pt idx="0">
                  <c:v>476294</c:v>
                </c:pt>
                <c:pt idx="1">
                  <c:v>485651</c:v>
                </c:pt>
                <c:pt idx="2">
                  <c:v>482130</c:v>
                </c:pt>
                <c:pt idx="3">
                  <c:v>485873</c:v>
                </c:pt>
                <c:pt idx="4">
                  <c:v>500343</c:v>
                </c:pt>
                <c:pt idx="5">
                  <c:v>514405</c:v>
                </c:pt>
                <c:pt idx="6">
                  <c:v>523964</c:v>
                </c:pt>
                <c:pt idx="7">
                  <c:v>559151</c:v>
                </c:pt>
                <c:pt idx="8">
                  <c:v>572754</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9632384"/>
        <c:axId val="876605376"/>
      </c:barChart>
      <c:lineChart>
        <c:grouping val="standard"/>
        <c:varyColors val="0"/>
        <c:ser>
          <c:idx val="2"/>
          <c:order val="1"/>
          <c:tx>
            <c:v>Revenue Growth</c:v>
          </c:tx>
          <c:spPr>
            <a:ln w="22225">
              <a:solidFill>
                <a:schemeClr val="accent3"/>
              </a:solidFill>
            </a:ln>
          </c:spPr>
          <c:marker>
            <c:symbol val="square"/>
            <c:size val="4"/>
            <c:spPr>
              <a:solidFill>
                <a:schemeClr val="accent3"/>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Data'!$D$115:$M$115</c:f>
              <c:numCache>
                <c:formatCode>0.0%</c:formatCode>
                <c:ptCount val="10"/>
                <c:pt idx="0">
                  <c:v>1.6308511024194977E-2</c:v>
                </c:pt>
                <c:pt idx="1">
                  <c:v>1.9645429083717199E-2</c:v>
                </c:pt>
                <c:pt idx="2">
                  <c:v>-7.2500622875274635E-3</c:v>
                </c:pt>
                <c:pt idx="3">
                  <c:v>7.7634662850268599E-3</c:v>
                </c:pt>
                <c:pt idx="4">
                  <c:v>2.9781444945489871E-2</c:v>
                </c:pt>
                <c:pt idx="5">
                  <c:v>2.8104720161968889E-2</c:v>
                </c:pt>
                <c:pt idx="6">
                  <c:v>1.8582634305654107E-2</c:v>
                </c:pt>
                <c:pt idx="7">
                  <c:v>6.7155377086975443E-2</c:v>
                </c:pt>
                <c:pt idx="8">
                  <c:v>2.4327954345069579E-2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9633408"/>
        <c:axId val="876605952"/>
      </c:lineChart>
      <c:catAx>
        <c:axId val="87963238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a:lstStyle/>
          <a:p>
            <a:pPr>
              <a:defRPr sz="900"/>
            </a:pPr>
            <a:endParaRPr lang="en-US"/>
          </a:p>
        </c:txPr>
        <c:crossAx val="876605376"/>
        <c:crossesAt val="-0.5"/>
        <c:auto val="1"/>
        <c:lblAlgn val="ctr"/>
        <c:lblOffset val="100"/>
        <c:noMultiLvlLbl val="0"/>
      </c:catAx>
      <c:valAx>
        <c:axId val="876605376"/>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095349255157998E-3"/>
              <c:y val="0.23455615501765983"/>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txPr>
          <a:bodyPr/>
          <a:lstStyle/>
          <a:p>
            <a:pPr>
              <a:defRPr sz="900"/>
            </a:pPr>
            <a:endParaRPr lang="en-US"/>
          </a:p>
        </c:txPr>
        <c:crossAx val="879632384"/>
        <c:crosses val="autoZero"/>
        <c:crossBetween val="between"/>
      </c:valAx>
      <c:valAx>
        <c:axId val="876605952"/>
        <c:scaling>
          <c:orientation val="minMax"/>
        </c:scaling>
        <c:delete val="0"/>
        <c:axPos val="r"/>
        <c:title>
          <c:tx>
            <c:rich>
              <a:bodyPr rot="-5400000" vert="horz"/>
              <a:lstStyle/>
              <a:p>
                <a:pPr>
                  <a:defRPr/>
                </a:pPr>
                <a:r>
                  <a:rPr lang="en-US"/>
                  <a:t>Incremental % Growth</a:t>
                </a:r>
              </a:p>
            </c:rich>
          </c:tx>
          <c:overlay val="0"/>
        </c:title>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9633408"/>
        <c:crosses val="max"/>
        <c:crossBetween val="between"/>
      </c:valAx>
      <c:catAx>
        <c:axId val="879633408"/>
        <c:scaling>
          <c:orientation val="minMax"/>
        </c:scaling>
        <c:delete val="1"/>
        <c:axPos val="b"/>
        <c:numFmt formatCode="General" sourceLinked="1"/>
        <c:majorTickMark val="out"/>
        <c:minorTickMark val="none"/>
        <c:tickLblPos val="nextTo"/>
        <c:crossAx val="876605952"/>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91563786008230452"/>
          <c:w val="0.98432405317281157"/>
          <c:h val="7.716049382716049E-2"/>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Gross Profit and Gross Profit Growth</a:t>
            </a:r>
          </a:p>
        </c:rich>
      </c:tx>
      <c:layout>
        <c:manualLayout>
          <c:xMode val="edge"/>
          <c:yMode val="edge"/>
          <c:x val="3.5976508232102593E-4"/>
          <c:y val="0"/>
        </c:manualLayout>
      </c:layout>
      <c:overlay val="0"/>
    </c:title>
    <c:autoTitleDeleted val="0"/>
    <c:plotArea>
      <c:layout>
        <c:manualLayout>
          <c:layoutTarget val="inner"/>
          <c:xMode val="edge"/>
          <c:yMode val="edge"/>
          <c:x val="0.17570857244372909"/>
          <c:y val="0.14422142544681915"/>
          <c:w val="0.67760071343673756"/>
          <c:h val="0.58412190663667041"/>
        </c:manualLayout>
      </c:layout>
      <c:barChart>
        <c:barDir val="col"/>
        <c:grouping val="clustered"/>
        <c:varyColors val="0"/>
        <c:ser>
          <c:idx val="1"/>
          <c:order val="0"/>
          <c:tx>
            <c:v>Gross Profit</c:v>
          </c:tx>
          <c:spPr>
            <a:solidFill>
              <a:schemeClr val="accent3">
                <a:lumMod val="50000"/>
              </a:schemeClr>
            </a:solidFill>
            <a:ln w="22225">
              <a:noFill/>
            </a:ln>
          </c:spPr>
          <c:invertIfNegative val="0"/>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Data'!$D$17:$M$17</c:f>
              <c:numCache>
                <c:formatCode>#,##0</c:formatCode>
                <c:ptCount val="10"/>
                <c:pt idx="0">
                  <c:v>118225</c:v>
                </c:pt>
                <c:pt idx="1">
                  <c:v>120565</c:v>
                </c:pt>
                <c:pt idx="2">
                  <c:v>121146</c:v>
                </c:pt>
                <c:pt idx="3">
                  <c:v>124617</c:v>
                </c:pt>
                <c:pt idx="4">
                  <c:v>126947</c:v>
                </c:pt>
                <c:pt idx="5">
                  <c:v>129104</c:v>
                </c:pt>
                <c:pt idx="6">
                  <c:v>129359</c:v>
                </c:pt>
                <c:pt idx="7">
                  <c:v>138836</c:v>
                </c:pt>
                <c:pt idx="8">
                  <c:v>143754</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9634432"/>
        <c:axId val="876607680"/>
      </c:barChart>
      <c:lineChart>
        <c:grouping val="standard"/>
        <c:varyColors val="0"/>
        <c:ser>
          <c:idx val="2"/>
          <c:order val="1"/>
          <c:tx>
            <c:v>Gross Profit Growth</c:v>
          </c:tx>
          <c:spPr>
            <a:ln w="22225">
              <a:solidFill>
                <a:schemeClr val="accent3"/>
              </a:solidFill>
            </a:ln>
          </c:spPr>
          <c:marker>
            <c:symbol val="square"/>
            <c:size val="4"/>
            <c:spPr>
              <a:solidFill>
                <a:schemeClr val="accent3"/>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Data'!$D$117:$M$117</c:f>
              <c:numCache>
                <c:formatCode>0.0%</c:formatCode>
                <c:ptCount val="10"/>
                <c:pt idx="0">
                  <c:v>1.6080237894700655E-2</c:v>
                </c:pt>
                <c:pt idx="1">
                  <c:v>1.9792768027067035E-2</c:v>
                </c:pt>
                <c:pt idx="2">
                  <c:v>4.8189773151412103E-3</c:v>
                </c:pt>
                <c:pt idx="3">
                  <c:v>2.8651379327423111E-2</c:v>
                </c:pt>
                <c:pt idx="4">
                  <c:v>1.8697288491939301E-2</c:v>
                </c:pt>
                <c:pt idx="5">
                  <c:v>1.6991342843863975E-2</c:v>
                </c:pt>
                <c:pt idx="6">
                  <c:v>1.9751518155905318E-3</c:v>
                </c:pt>
                <c:pt idx="7">
                  <c:v>7.3261234239596781E-2</c:v>
                </c:pt>
                <c:pt idx="8">
                  <c:v>3.5423089112333973E-2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9635456"/>
        <c:axId val="876608256"/>
      </c:lineChart>
      <c:catAx>
        <c:axId val="87963443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crossAx val="876607680"/>
        <c:crossesAt val="-0.5"/>
        <c:auto val="1"/>
        <c:lblAlgn val="ctr"/>
        <c:lblOffset val="100"/>
        <c:noMultiLvlLbl val="0"/>
      </c:catAx>
      <c:valAx>
        <c:axId val="876607680"/>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095349255157998E-3"/>
              <c:y val="0.24998825378309192"/>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crossAx val="879634432"/>
        <c:crosses val="autoZero"/>
        <c:crossBetween val="between"/>
      </c:valAx>
      <c:valAx>
        <c:axId val="876608256"/>
        <c:scaling>
          <c:orientation val="minMax"/>
        </c:scaling>
        <c:delete val="0"/>
        <c:axPos val="r"/>
        <c:title>
          <c:tx>
            <c:rich>
              <a:bodyPr rot="-5400000" vert="horz"/>
              <a:lstStyle/>
              <a:p>
                <a:pPr>
                  <a:defRPr/>
                </a:pPr>
                <a:r>
                  <a:rPr lang="en-US"/>
                  <a:t>Incremental % Growth</a:t>
                </a:r>
              </a:p>
            </c:rich>
          </c:tx>
          <c:layout>
            <c:manualLayout>
              <c:xMode val="edge"/>
              <c:yMode val="edge"/>
              <c:x val="0.95400066267448902"/>
              <c:y val="0.18707583427071614"/>
            </c:manualLayout>
          </c:layout>
          <c:overlay val="0"/>
        </c:title>
        <c:numFmt formatCode="0%" sourceLinked="0"/>
        <c:majorTickMark val="out"/>
        <c:minorTickMark val="none"/>
        <c:tickLblPos val="nextTo"/>
        <c:spPr>
          <a:ln>
            <a:solidFill>
              <a:schemeClr val="bg1">
                <a:lumMod val="65000"/>
              </a:schemeClr>
            </a:solidFill>
          </a:ln>
        </c:spPr>
        <c:crossAx val="879635456"/>
        <c:crosses val="max"/>
        <c:crossBetween val="between"/>
      </c:valAx>
      <c:catAx>
        <c:axId val="879635456"/>
        <c:scaling>
          <c:orientation val="minMax"/>
        </c:scaling>
        <c:delete val="1"/>
        <c:axPos val="b"/>
        <c:numFmt formatCode="General" sourceLinked="1"/>
        <c:majorTickMark val="out"/>
        <c:minorTickMark val="none"/>
        <c:tickLblPos val="nextTo"/>
        <c:crossAx val="876608256"/>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91563786008230452"/>
          <c:w val="0.98432405317281157"/>
          <c:h val="7.716049382716049E-2"/>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EBITDA and EBITDA Growth</a:t>
            </a:r>
          </a:p>
        </c:rich>
      </c:tx>
      <c:layout>
        <c:manualLayout>
          <c:xMode val="edge"/>
          <c:yMode val="edge"/>
          <c:x val="1.4915883830536654E-4"/>
          <c:y val="0"/>
        </c:manualLayout>
      </c:layout>
      <c:overlay val="0"/>
    </c:title>
    <c:autoTitleDeleted val="0"/>
    <c:plotArea>
      <c:layout>
        <c:manualLayout>
          <c:xMode val="edge"/>
          <c:yMode val="edge"/>
          <c:x val="5.7295709086025645E-2"/>
          <c:y val="0.11551999287126147"/>
          <c:w val="0.88769085156680472"/>
          <c:h val="0.76993373513496"/>
        </c:manualLayout>
      </c:layout>
      <c:barChart>
        <c:barDir val="col"/>
        <c:grouping val="clustered"/>
        <c:varyColors val="0"/>
        <c:ser>
          <c:idx val="1"/>
          <c:order val="0"/>
          <c:tx>
            <c:v>EBITDA</c:v>
          </c:tx>
          <c:spPr>
            <a:solidFill>
              <a:schemeClr val="accent3">
                <a:lumMod val="50000"/>
              </a:schemeClr>
            </a:solidFill>
            <a:ln w="22225">
              <a:noFill/>
            </a:ln>
          </c:spPr>
          <c:invertIfNegative val="0"/>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Data'!$D$32:$M$32</c:f>
              <c:numCache>
                <c:formatCode>#,##0</c:formatCode>
                <c:ptCount val="10"/>
                <c:pt idx="0">
                  <c:v>35742</c:v>
                </c:pt>
                <c:pt idx="1">
                  <c:v>36320</c:v>
                </c:pt>
                <c:pt idx="2">
                  <c:v>33559</c:v>
                </c:pt>
                <c:pt idx="3">
                  <c:v>32844</c:v>
                </c:pt>
                <c:pt idx="4">
                  <c:v>31466</c:v>
                </c:pt>
                <c:pt idx="5">
                  <c:v>32635</c:v>
                </c:pt>
                <c:pt idx="6">
                  <c:v>32455</c:v>
                </c:pt>
                <c:pt idx="7">
                  <c:v>38100</c:v>
                </c:pt>
                <c:pt idx="8">
                  <c:v>36600</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80140288"/>
        <c:axId val="879772224"/>
      </c:barChart>
      <c:lineChart>
        <c:grouping val="standard"/>
        <c:varyColors val="0"/>
        <c:ser>
          <c:idx val="2"/>
          <c:order val="1"/>
          <c:tx>
            <c:v>EBITDA Growth</c:v>
          </c:tx>
          <c:spPr>
            <a:ln w="22225">
              <a:solidFill>
                <a:schemeClr val="accent3"/>
              </a:solidFill>
            </a:ln>
          </c:spPr>
          <c:marker>
            <c:symbol val="square"/>
            <c:size val="4"/>
            <c:spPr>
              <a:solidFill>
                <a:schemeClr val="accent3"/>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Data'!$D$132:$M$132</c:f>
              <c:numCache>
                <c:formatCode>0.0%</c:formatCode>
                <c:ptCount val="10"/>
                <c:pt idx="0">
                  <c:v>-1.2733751346573488E-2</c:v>
                </c:pt>
                <c:pt idx="1">
                  <c:v>1.6171450954059651E-2</c:v>
                </c:pt>
                <c:pt idx="2">
                  <c:v>-7.6018722466960356E-2</c:v>
                </c:pt>
                <c:pt idx="3">
                  <c:v>-2.1305760004767721E-2</c:v>
                </c:pt>
                <c:pt idx="4">
                  <c:v>-4.1955912799902573E-2</c:v>
                </c:pt>
                <c:pt idx="5">
                  <c:v>3.7151210830737941E-2</c:v>
                </c:pt>
                <c:pt idx="6">
                  <c:v>-5.5155507890301825E-3</c:v>
                </c:pt>
                <c:pt idx="7">
                  <c:v>0.17393313819134185</c:v>
                </c:pt>
                <c:pt idx="8">
                  <c:v>-3.937007874015748E-2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80141312"/>
        <c:axId val="879772800"/>
      </c:lineChart>
      <c:catAx>
        <c:axId val="88014028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a:lstStyle/>
          <a:p>
            <a:pPr>
              <a:defRPr sz="900"/>
            </a:pPr>
            <a:endParaRPr lang="en-US"/>
          </a:p>
        </c:txPr>
        <c:crossAx val="879772224"/>
        <c:crossesAt val="-0.5"/>
        <c:auto val="1"/>
        <c:lblAlgn val="ctr"/>
        <c:lblOffset val="100"/>
        <c:noMultiLvlLbl val="0"/>
      </c:catAx>
      <c:valAx>
        <c:axId val="879772224"/>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208907295165982E-3"/>
              <c:y val="0.27534104533229642"/>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txPr>
          <a:bodyPr/>
          <a:lstStyle/>
          <a:p>
            <a:pPr>
              <a:defRPr sz="900"/>
            </a:pPr>
            <a:endParaRPr lang="en-US"/>
          </a:p>
        </c:txPr>
        <c:crossAx val="880140288"/>
        <c:crosses val="autoZero"/>
        <c:crossBetween val="between"/>
      </c:valAx>
      <c:valAx>
        <c:axId val="879772800"/>
        <c:scaling>
          <c:orientation val="minMax"/>
        </c:scaling>
        <c:delete val="0"/>
        <c:axPos val="r"/>
        <c:title>
          <c:tx>
            <c:rich>
              <a:bodyPr rot="-5400000" vert="horz"/>
              <a:lstStyle/>
              <a:p>
                <a:pPr>
                  <a:defRPr/>
                </a:pPr>
                <a:r>
                  <a:rPr lang="en-US"/>
                  <a:t>Incremental % Growth</a:t>
                </a:r>
              </a:p>
            </c:rich>
          </c:tx>
          <c:layout>
            <c:manualLayout>
              <c:xMode val="edge"/>
              <c:yMode val="edge"/>
              <c:x val="0.95400060357297367"/>
              <c:y val="0.19699646919135105"/>
            </c:manualLayout>
          </c:layout>
          <c:overlay val="0"/>
        </c:title>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80141312"/>
        <c:crosses val="max"/>
        <c:crossBetween val="between"/>
      </c:valAx>
      <c:catAx>
        <c:axId val="880141312"/>
        <c:scaling>
          <c:orientation val="minMax"/>
        </c:scaling>
        <c:delete val="1"/>
        <c:axPos val="b"/>
        <c:numFmt formatCode="General" sourceLinked="1"/>
        <c:majorTickMark val="out"/>
        <c:minorTickMark val="none"/>
        <c:tickLblPos val="nextTo"/>
        <c:crossAx val="879772800"/>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EBIT and EBIT Growth</a:t>
            </a:r>
          </a:p>
        </c:rich>
      </c:tx>
      <c:layout>
        <c:manualLayout>
          <c:xMode val="edge"/>
          <c:yMode val="edge"/>
          <c:x val="1.1075412658231058E-4"/>
          <c:y val="0"/>
        </c:manualLayout>
      </c:layout>
      <c:overlay val="0"/>
    </c:title>
    <c:autoTitleDeleted val="0"/>
    <c:plotArea>
      <c:layout>
        <c:manualLayout>
          <c:xMode val="edge"/>
          <c:yMode val="edge"/>
          <c:x val="5.729595595133001E-2"/>
          <c:y val="0.11551999287126147"/>
          <c:w val="0.88769085156680472"/>
          <c:h val="0.76993373513496"/>
        </c:manualLayout>
      </c:layout>
      <c:barChart>
        <c:barDir val="col"/>
        <c:grouping val="clustered"/>
        <c:varyColors val="0"/>
        <c:ser>
          <c:idx val="1"/>
          <c:order val="0"/>
          <c:tx>
            <c:v>EBIT</c:v>
          </c:tx>
          <c:spPr>
            <a:solidFill>
              <a:schemeClr val="accent3">
                <a:lumMod val="50000"/>
              </a:schemeClr>
            </a:solidFill>
            <a:ln w="22225">
              <a:noFill/>
            </a:ln>
          </c:spPr>
          <c:invertIfNegative val="0"/>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Data'!$D$35:$M$35</c:f>
              <c:numCache>
                <c:formatCode>#,##0</c:formatCode>
                <c:ptCount val="10"/>
                <c:pt idx="0">
                  <c:v>26872</c:v>
                </c:pt>
                <c:pt idx="1">
                  <c:v>27147</c:v>
                </c:pt>
                <c:pt idx="2">
                  <c:v>24105</c:v>
                </c:pt>
                <c:pt idx="3">
                  <c:v>22764</c:v>
                </c:pt>
                <c:pt idx="4">
                  <c:v>20937</c:v>
                </c:pt>
                <c:pt idx="5">
                  <c:v>21957</c:v>
                </c:pt>
                <c:pt idx="6">
                  <c:v>21468</c:v>
                </c:pt>
                <c:pt idx="7">
                  <c:v>26948</c:v>
                </c:pt>
                <c:pt idx="8">
                  <c:v>25942</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80142848"/>
        <c:axId val="879774528"/>
      </c:barChart>
      <c:lineChart>
        <c:grouping val="standard"/>
        <c:varyColors val="0"/>
        <c:ser>
          <c:idx val="2"/>
          <c:order val="1"/>
          <c:tx>
            <c:v>EBIT Growth</c:v>
          </c:tx>
          <c:spPr>
            <a:ln w="22225">
              <a:solidFill>
                <a:schemeClr val="accent3"/>
              </a:solidFill>
            </a:ln>
          </c:spPr>
          <c:marker>
            <c:symbol val="square"/>
            <c:size val="4"/>
            <c:spPr>
              <a:solidFill>
                <a:schemeClr val="accent3"/>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Data'!$D$135:$M$135</c:f>
              <c:numCache>
                <c:formatCode>0.0%</c:formatCode>
                <c:ptCount val="10"/>
                <c:pt idx="0">
                  <c:v>-3.0766456266907122E-2</c:v>
                </c:pt>
                <c:pt idx="1">
                  <c:v>1.0233700506103007E-2</c:v>
                </c:pt>
                <c:pt idx="2">
                  <c:v>-0.11205658083766162</c:v>
                </c:pt>
                <c:pt idx="3">
                  <c:v>-5.5631611698817675E-2</c:v>
                </c:pt>
                <c:pt idx="4">
                  <c:v>-8.0258302583025826E-2</c:v>
                </c:pt>
                <c:pt idx="5">
                  <c:v>4.8717581315374694E-2</c:v>
                </c:pt>
                <c:pt idx="6">
                  <c:v>-2.2270802022134172E-2</c:v>
                </c:pt>
                <c:pt idx="7">
                  <c:v>0.25526364822060743</c:v>
                </c:pt>
                <c:pt idx="8">
                  <c:v>-3.7331156301024196E-2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80143872"/>
        <c:axId val="879775104"/>
      </c:lineChart>
      <c:catAx>
        <c:axId val="8801428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a:lstStyle/>
          <a:p>
            <a:pPr>
              <a:defRPr sz="900"/>
            </a:pPr>
            <a:endParaRPr lang="en-US"/>
          </a:p>
        </c:txPr>
        <c:crossAx val="879774528"/>
        <c:crossesAt val="-0.5"/>
        <c:auto val="1"/>
        <c:lblAlgn val="ctr"/>
        <c:lblOffset val="100"/>
        <c:noMultiLvlLbl val="0"/>
      </c:catAx>
      <c:valAx>
        <c:axId val="879774528"/>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095349255157998E-3"/>
              <c:y val="0.29114051715757755"/>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txPr>
          <a:bodyPr/>
          <a:lstStyle/>
          <a:p>
            <a:pPr>
              <a:defRPr sz="900"/>
            </a:pPr>
            <a:endParaRPr lang="en-US"/>
          </a:p>
        </c:txPr>
        <c:crossAx val="880142848"/>
        <c:crosses val="autoZero"/>
        <c:crossBetween val="between"/>
      </c:valAx>
      <c:valAx>
        <c:axId val="879775104"/>
        <c:scaling>
          <c:orientation val="minMax"/>
        </c:scaling>
        <c:delete val="0"/>
        <c:axPos val="r"/>
        <c:title>
          <c:tx>
            <c:rich>
              <a:bodyPr rot="-5400000" vert="horz"/>
              <a:lstStyle/>
              <a:p>
                <a:pPr>
                  <a:defRPr/>
                </a:pPr>
                <a:r>
                  <a:rPr lang="en-US"/>
                  <a:t>Incremental % Growth</a:t>
                </a:r>
              </a:p>
            </c:rich>
          </c:tx>
          <c:layout>
            <c:manualLayout>
              <c:xMode val="edge"/>
              <c:yMode val="edge"/>
              <c:x val="0.95400066267448902"/>
              <c:y val="0.12755202474690663"/>
            </c:manualLayout>
          </c:layout>
          <c:overlay val="0"/>
        </c:title>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80143872"/>
        <c:crosses val="max"/>
        <c:crossBetween val="between"/>
      </c:valAx>
      <c:catAx>
        <c:axId val="880143872"/>
        <c:scaling>
          <c:orientation val="minMax"/>
        </c:scaling>
        <c:delete val="1"/>
        <c:axPos val="b"/>
        <c:numFmt formatCode="General" sourceLinked="1"/>
        <c:majorTickMark val="out"/>
        <c:minorTickMark val="none"/>
        <c:tickLblPos val="nextTo"/>
        <c:crossAx val="879775104"/>
        <c:crosses val="autoZero"/>
        <c:auto val="1"/>
        <c:lblAlgn val="ctr"/>
        <c:lblOffset val="100"/>
        <c:noMultiLvlLbl val="0"/>
      </c:cat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Net Profit and Net Profit Growth</a:t>
            </a:r>
          </a:p>
        </c:rich>
      </c:tx>
      <c:layout>
        <c:manualLayout>
          <c:xMode val="edge"/>
          <c:yMode val="edge"/>
          <c:x val="3.3820899383194561E-4"/>
          <c:y val="0"/>
        </c:manualLayout>
      </c:layout>
      <c:overlay val="0"/>
    </c:title>
    <c:autoTitleDeleted val="0"/>
    <c:plotArea>
      <c:layout>
        <c:manualLayout>
          <c:xMode val="edge"/>
          <c:yMode val="edge"/>
          <c:x val="5.7295709086025645E-2"/>
          <c:y val="0.11551999287126147"/>
          <c:w val="0.88769085156680472"/>
          <c:h val="0.76993373513496"/>
        </c:manualLayout>
      </c:layout>
      <c:barChart>
        <c:barDir val="col"/>
        <c:grouping val="clustered"/>
        <c:varyColors val="0"/>
        <c:ser>
          <c:idx val="1"/>
          <c:order val="0"/>
          <c:tx>
            <c:v>Net Profit</c:v>
          </c:tx>
          <c:spPr>
            <a:solidFill>
              <a:schemeClr val="accent3">
                <a:lumMod val="50000"/>
              </a:schemeClr>
            </a:solidFill>
            <a:ln w="22225">
              <a:noFill/>
            </a:ln>
          </c:spPr>
          <c:invertIfNegative val="0"/>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Data'!$D$39:$M$39</c:f>
              <c:numCache>
                <c:formatCode>#,##0</c:formatCode>
                <c:ptCount val="10"/>
                <c:pt idx="0">
                  <c:v>16022</c:v>
                </c:pt>
                <c:pt idx="1">
                  <c:v>16363</c:v>
                </c:pt>
                <c:pt idx="2">
                  <c:v>14694</c:v>
                </c:pt>
                <c:pt idx="3">
                  <c:v>13643</c:v>
                </c:pt>
                <c:pt idx="4">
                  <c:v>9862</c:v>
                </c:pt>
                <c:pt idx="5">
                  <c:v>6670</c:v>
                </c:pt>
                <c:pt idx="6">
                  <c:v>14881</c:v>
                </c:pt>
                <c:pt idx="7">
                  <c:v>13510</c:v>
                </c:pt>
                <c:pt idx="8">
                  <c:v>13673</c:v>
                </c:pt>
                <c:pt idx="9">
                  <c:v>0</c:v>
                </c:pt>
              </c:numCache>
            </c:numRef>
          </c:val>
          <c:extLst>
            <c:ext xmlns:c16="http://schemas.microsoft.com/office/drawing/2014/chart" uri="{C3380CC4-5D6E-409C-BE32-E72D297353CC}">
              <c16:uniqueId val="{00000001-B025-40EE-9B9E-9AC7FD6E3B38}"/>
            </c:ext>
          </c:extLst>
        </c:ser>
        <c:dLbls>
          <c:showLegendKey val="0"/>
          <c:showVal val="0"/>
          <c:showCatName val="0"/>
          <c:showSerName val="0"/>
          <c:showPercent val="0"/>
          <c:showBubbleSize val="0"/>
        </c:dLbls>
        <c:gapWidth val="150"/>
        <c:axId val="879944704"/>
        <c:axId val="879776832"/>
      </c:barChart>
      <c:lineChart>
        <c:grouping val="standard"/>
        <c:varyColors val="0"/>
        <c:ser>
          <c:idx val="2"/>
          <c:order val="1"/>
          <c:tx>
            <c:v>Net Profit Growth</c:v>
          </c:tx>
          <c:spPr>
            <a:ln w="22225">
              <a:solidFill>
                <a:schemeClr val="accent3"/>
              </a:solidFill>
            </a:ln>
          </c:spPr>
          <c:marker>
            <c:symbol val="square"/>
            <c:size val="4"/>
            <c:spPr>
              <a:solidFill>
                <a:schemeClr val="accent3"/>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Data'!$D$139:$M$139</c:f>
              <c:numCache>
                <c:formatCode>0.0%</c:formatCode>
                <c:ptCount val="10"/>
                <c:pt idx="0">
                  <c:v>-5.7473969057003353E-2</c:v>
                </c:pt>
                <c:pt idx="1">
                  <c:v>2.1283235551117215E-2</c:v>
                </c:pt>
                <c:pt idx="2">
                  <c:v>-0.10199841104931859</c:v>
                </c:pt>
                <c:pt idx="3">
                  <c:v>-7.1525792840615221E-2</c:v>
                </c:pt>
                <c:pt idx="4">
                  <c:v>-0.27713845928314884</c:v>
                </c:pt>
                <c:pt idx="5">
                  <c:v>-0.32366659906712636</c:v>
                </c:pt>
                <c:pt idx="6">
                  <c:v>1.2310344827586206</c:v>
                </c:pt>
                <c:pt idx="7">
                  <c:v>-9.2130905181103423E-2</c:v>
                </c:pt>
                <c:pt idx="8">
                  <c:v>1.2065136935603257E-2</c:v>
                </c:pt>
                <c:pt idx="9">
                  <c:v>0</c:v>
                </c:pt>
              </c:numCache>
            </c:numRef>
          </c:val>
          <c:smooth val="0"/>
          <c:extLst>
            <c:ext xmlns:c16="http://schemas.microsoft.com/office/drawing/2014/chart" uri="{C3380CC4-5D6E-409C-BE32-E72D297353CC}">
              <c16:uniqueId val="{00000002-B025-40EE-9B9E-9AC7FD6E3B38}"/>
            </c:ext>
          </c:extLst>
        </c:ser>
        <c:dLbls>
          <c:showLegendKey val="0"/>
          <c:showVal val="0"/>
          <c:showCatName val="0"/>
          <c:showSerName val="0"/>
          <c:showPercent val="0"/>
          <c:showBubbleSize val="0"/>
        </c:dLbls>
        <c:marker val="1"/>
        <c:smooth val="0"/>
        <c:axId val="879945216"/>
        <c:axId val="879777408"/>
      </c:lineChart>
      <c:catAx>
        <c:axId val="87994470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a:lstStyle/>
          <a:p>
            <a:pPr>
              <a:defRPr sz="900"/>
            </a:pPr>
            <a:endParaRPr lang="en-US"/>
          </a:p>
        </c:txPr>
        <c:crossAx val="879776832"/>
        <c:crossesAt val="-0.5"/>
        <c:auto val="1"/>
        <c:lblAlgn val="ctr"/>
        <c:lblOffset val="100"/>
        <c:noMultiLvlLbl val="0"/>
      </c:catAx>
      <c:valAx>
        <c:axId val="879776832"/>
        <c:scaling>
          <c:orientation val="minMax"/>
        </c:scaling>
        <c:delete val="0"/>
        <c:axPos val="l"/>
        <c:majorGridlines>
          <c:spPr>
            <a:ln>
              <a:solidFill>
                <a:schemeClr val="bg1">
                  <a:lumMod val="85000"/>
                </a:schemeClr>
              </a:solidFill>
            </a:ln>
          </c:spPr>
        </c:majorGridlines>
        <c:title>
          <c:tx>
            <c:strRef>
              <c:f>'Financial Analysis'!$AJ$9</c:f>
              <c:strCache>
                <c:ptCount val="1"/>
                <c:pt idx="0">
                  <c:v>USD million</c:v>
                </c:pt>
              </c:strCache>
            </c:strRef>
          </c:tx>
          <c:layout>
            <c:manualLayout>
              <c:xMode val="edge"/>
              <c:yMode val="edge"/>
              <c:x val="3.0095349255157998E-3"/>
              <c:y val="0.27570841839214544"/>
            </c:manualLayout>
          </c:layout>
          <c:overlay val="0"/>
          <c:txPr>
            <a:bodyPr rot="-5400000" vert="horz"/>
            <a:lstStyle/>
            <a:p>
              <a:pPr>
                <a:defRPr/>
              </a:pPr>
              <a:endParaRPr lang="en-US"/>
            </a:p>
          </c:txPr>
        </c:title>
        <c:numFmt formatCode="#,##0" sourceLinked="1"/>
        <c:majorTickMark val="out"/>
        <c:minorTickMark val="none"/>
        <c:tickLblPos val="nextTo"/>
        <c:spPr>
          <a:ln>
            <a:solidFill>
              <a:schemeClr val="bg1">
                <a:lumMod val="65000"/>
              </a:schemeClr>
            </a:solidFill>
          </a:ln>
        </c:spPr>
        <c:txPr>
          <a:bodyPr/>
          <a:lstStyle/>
          <a:p>
            <a:pPr>
              <a:defRPr sz="900"/>
            </a:pPr>
            <a:endParaRPr lang="en-US"/>
          </a:p>
        </c:txPr>
        <c:crossAx val="879944704"/>
        <c:crosses val="autoZero"/>
        <c:crossBetween val="between"/>
      </c:valAx>
      <c:valAx>
        <c:axId val="879777408"/>
        <c:scaling>
          <c:orientation val="minMax"/>
        </c:scaling>
        <c:delete val="0"/>
        <c:axPos val="r"/>
        <c:title>
          <c:tx>
            <c:rich>
              <a:bodyPr rot="-5400000" vert="horz"/>
              <a:lstStyle/>
              <a:p>
                <a:pPr>
                  <a:defRPr/>
                </a:pPr>
                <a:r>
                  <a:rPr lang="en-US"/>
                  <a:t>Incremental % Growth</a:t>
                </a:r>
              </a:p>
            </c:rich>
          </c:tx>
          <c:layout>
            <c:manualLayout>
              <c:xMode val="edge"/>
              <c:yMode val="edge"/>
              <c:x val="0.95400066267448902"/>
              <c:y val="0.12755202474690663"/>
            </c:manualLayout>
          </c:layout>
          <c:overlay val="0"/>
        </c:title>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9945216"/>
        <c:crosses val="max"/>
        <c:crossBetween val="between"/>
      </c:valAx>
      <c:catAx>
        <c:axId val="879945216"/>
        <c:scaling>
          <c:orientation val="minMax"/>
        </c:scaling>
        <c:delete val="1"/>
        <c:axPos val="b"/>
        <c:numFmt formatCode="General" sourceLinked="1"/>
        <c:majorTickMark val="out"/>
        <c:minorTickMark val="none"/>
        <c:tickLblPos val="nextTo"/>
        <c:crossAx val="879777408"/>
        <c:crosses val="autoZero"/>
        <c:auto val="1"/>
        <c:lblAlgn val="ctr"/>
        <c:lblOffset val="100"/>
        <c:noMultiLvlLbl val="0"/>
      </c:catAx>
      <c:spPr>
        <a:gradFill>
          <a:gsLst>
            <a:gs pos="0">
              <a:srgbClr val="F8F8F8">
                <a:lumMod val="95000"/>
              </a:srgbClr>
            </a:gs>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Return Ratios</a:t>
            </a:r>
          </a:p>
        </c:rich>
      </c:tx>
      <c:layout>
        <c:manualLayout>
          <c:xMode val="edge"/>
          <c:yMode val="edge"/>
          <c:x val="2.7769072502077784E-3"/>
          <c:y val="0"/>
        </c:manualLayout>
      </c:layout>
      <c:overlay val="0"/>
    </c:title>
    <c:autoTitleDeleted val="0"/>
    <c:plotArea>
      <c:layout>
        <c:manualLayout>
          <c:layoutTarget val="inner"/>
          <c:xMode val="edge"/>
          <c:yMode val="edge"/>
          <c:x val="0.12881530327896371"/>
          <c:y val="0.15128965360811381"/>
          <c:w val="0.83009347307884485"/>
          <c:h val="0.50294830044392602"/>
        </c:manualLayout>
      </c:layout>
      <c:lineChart>
        <c:grouping val="standard"/>
        <c:varyColors val="0"/>
        <c:ser>
          <c:idx val="1"/>
          <c:order val="0"/>
          <c:tx>
            <c:v>Return on Assets</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Data'!$D$44:$M$44</c:f>
              <c:numCache>
                <c:formatCode>0.0%</c:formatCode>
                <c:ptCount val="10"/>
                <c:pt idx="0">
                  <c:v>7.8251144072556428E-2</c:v>
                </c:pt>
                <c:pt idx="1">
                  <c:v>8.041181384834635E-2</c:v>
                </c:pt>
                <c:pt idx="2">
                  <c:v>7.36242427886422E-2</c:v>
                </c:pt>
                <c:pt idx="3">
                  <c:v>6.8618131522695844E-2</c:v>
                </c:pt>
                <c:pt idx="4">
                  <c:v>4.8219751420385093E-2</c:v>
                </c:pt>
                <c:pt idx="5">
                  <c:v>3.0415650151622245E-2</c:v>
                </c:pt>
                <c:pt idx="6">
                  <c:v>6.2923106196748346E-2</c:v>
                </c:pt>
                <c:pt idx="7">
                  <c:v>5.3505798111653256E-2</c:v>
                </c:pt>
                <c:pt idx="8">
                  <c:v>5.5840071877807727E-2</c:v>
                </c:pt>
                <c:pt idx="9">
                  <c:v>0</c:v>
                </c:pt>
              </c:numCache>
            </c:numRef>
          </c:val>
          <c:smooth val="0"/>
          <c:extLst>
            <c:ext xmlns:c16="http://schemas.microsoft.com/office/drawing/2014/chart" uri="{C3380CC4-5D6E-409C-BE32-E72D297353CC}">
              <c16:uniqueId val="{00000000-0EFB-4EB7-B5B4-130A3D9933D5}"/>
            </c:ext>
          </c:extLst>
        </c:ser>
        <c:ser>
          <c:idx val="2"/>
          <c:order val="1"/>
          <c:tx>
            <c:v>Return on Capital</c:v>
          </c:tx>
          <c:spPr>
            <a:ln w="22225">
              <a:solidFill>
                <a:schemeClr val="accent3">
                  <a:lumMod val="75000"/>
                </a:schemeClr>
              </a:solidFill>
            </a:ln>
          </c:spPr>
          <c:marker>
            <c:symbol val="circle"/>
            <c:size val="4"/>
            <c:spPr>
              <a:solidFill>
                <a:schemeClr val="accent3">
                  <a:lumMod val="75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Data'!$D$45:$M$45</c:f>
              <c:numCache>
                <c:formatCode>0.0%</c:formatCode>
                <c:ptCount val="10"/>
                <c:pt idx="0">
                  <c:v>0.11832562811101428</c:v>
                </c:pt>
                <c:pt idx="1">
                  <c:v>0.11836917757185124</c:v>
                </c:pt>
                <c:pt idx="2">
                  <c:v>0.10887509076628978</c:v>
                </c:pt>
                <c:pt idx="3">
                  <c:v>0.10343677263319105</c:v>
                </c:pt>
                <c:pt idx="4">
                  <c:v>7.8269220085554883E-2</c:v>
                </c:pt>
                <c:pt idx="5">
                  <c:v>4.7032111579630227E-2</c:v>
                </c:pt>
                <c:pt idx="6">
                  <c:v>9.3765161778141842E-2</c:v>
                </c:pt>
                <c:pt idx="7">
                  <c:v>8.4516205716573561E-2</c:v>
                </c:pt>
                <c:pt idx="8">
                  <c:v>8.6823172319200406E-2</c:v>
                </c:pt>
                <c:pt idx="9">
                  <c:v>0</c:v>
                </c:pt>
              </c:numCache>
            </c:numRef>
          </c:val>
          <c:smooth val="0"/>
          <c:extLst>
            <c:ext xmlns:c16="http://schemas.microsoft.com/office/drawing/2014/chart" uri="{C3380CC4-5D6E-409C-BE32-E72D297353CC}">
              <c16:uniqueId val="{00000001-0EFB-4EB7-B5B4-130A3D9933D5}"/>
            </c:ext>
          </c:extLst>
        </c:ser>
        <c:ser>
          <c:idx val="3"/>
          <c:order val="2"/>
          <c:tx>
            <c:v>Return on Equity</c:v>
          </c:tx>
          <c:spPr>
            <a:ln w="22225">
              <a:solidFill>
                <a:schemeClr val="accent3">
                  <a:lumMod val="60000"/>
                  <a:lumOff val="40000"/>
                </a:schemeClr>
              </a:solidFill>
            </a:ln>
          </c:spPr>
          <c:marker>
            <c:symbol val="triangle"/>
            <c:size val="4"/>
            <c:spPr>
              <a:solidFill>
                <a:schemeClr val="accent3">
                  <a:lumMod val="60000"/>
                  <a:lumOff val="4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Data'!$D$46:$M$46</c:f>
              <c:numCache>
                <c:formatCode>0.0%</c:formatCode>
                <c:ptCount val="10"/>
                <c:pt idx="0">
                  <c:v>0.19343233128093687</c:v>
                </c:pt>
                <c:pt idx="1">
                  <c:v>0.19040692600393311</c:v>
                </c:pt>
                <c:pt idx="2">
                  <c:v>0.17574242623578237</c:v>
                </c:pt>
                <c:pt idx="3">
                  <c:v>0.16940460669274229</c:v>
                </c:pt>
                <c:pt idx="4">
                  <c:v>0.12202123184281508</c:v>
                </c:pt>
                <c:pt idx="5">
                  <c:v>8.3758193736343772E-2</c:v>
                </c:pt>
                <c:pt idx="6">
                  <c:v>0.18247253286246812</c:v>
                </c:pt>
                <c:pt idx="7">
                  <c:v>0.15434531765888657</c:v>
                </c:pt>
                <c:pt idx="8">
                  <c:v>0.14879585595977843</c:v>
                </c:pt>
                <c:pt idx="9">
                  <c:v>0</c:v>
                </c:pt>
              </c:numCache>
            </c:numRef>
          </c:val>
          <c:smooth val="0"/>
          <c:extLst>
            <c:ext xmlns:c16="http://schemas.microsoft.com/office/drawing/2014/chart" uri="{C3380CC4-5D6E-409C-BE32-E72D297353CC}">
              <c16:uniqueId val="{00000002-0EFB-4EB7-B5B4-130A3D9933D5}"/>
            </c:ext>
          </c:extLst>
        </c:ser>
        <c:dLbls>
          <c:showLegendKey val="0"/>
          <c:showVal val="0"/>
          <c:showCatName val="0"/>
          <c:showSerName val="0"/>
          <c:showPercent val="0"/>
          <c:showBubbleSize val="0"/>
        </c:dLbls>
        <c:marker val="1"/>
        <c:smooth val="0"/>
        <c:axId val="879945728"/>
        <c:axId val="880173056"/>
      </c:lineChart>
      <c:catAx>
        <c:axId val="87994572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80173056"/>
        <c:crosses val="autoZero"/>
        <c:auto val="1"/>
        <c:lblAlgn val="ctr"/>
        <c:lblOffset val="100"/>
        <c:noMultiLvlLbl val="0"/>
      </c:catAx>
      <c:valAx>
        <c:axId val="88017305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79945728"/>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3847736625514402"/>
          <c:w val="0.98432405317281157"/>
          <c:h val="0.11290909238197078"/>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lang="en-US" sz="1000" b="1" i="0" u="none" strike="noStrike" kern="1200" baseline="0">
                <a:solidFill>
                  <a:srgbClr val="767171"/>
                </a:solidFill>
                <a:latin typeface="Arial" panose="020B0604020202020204" pitchFamily="34" charset="0"/>
                <a:ea typeface="+mn-ea"/>
                <a:cs typeface="Arial" panose="020B0604020202020204" pitchFamily="34" charset="0"/>
              </a:defRPr>
            </a:pPr>
            <a:r>
              <a:rPr lang="en-US" sz="1000" b="1" i="0" u="none" strike="noStrike" kern="1200" baseline="0">
                <a:solidFill>
                  <a:srgbClr val="767171"/>
                </a:solidFill>
                <a:latin typeface="Arial" panose="020B0604020202020204" pitchFamily="34" charset="0"/>
                <a:ea typeface="+mn-ea"/>
                <a:cs typeface="Arial" panose="020B0604020202020204" pitchFamily="34" charset="0"/>
              </a:rPr>
              <a:t>Receivables Growth vs Sales Growth</a:t>
            </a:r>
          </a:p>
        </c:rich>
      </c:tx>
      <c:layout>
        <c:manualLayout>
          <c:xMode val="edge"/>
          <c:yMode val="edge"/>
          <c:x val="1.222723852520694E-3"/>
          <c:y val="0"/>
        </c:manualLayout>
      </c:layout>
      <c:overlay val="0"/>
    </c:title>
    <c:autoTitleDeleted val="0"/>
    <c:plotArea>
      <c:layout>
        <c:manualLayout>
          <c:layoutTarget val="inner"/>
          <c:xMode val="edge"/>
          <c:yMode val="edge"/>
          <c:x val="0.1699679963819421"/>
          <c:y val="0.17609126984126985"/>
          <c:w val="0.78894077997586642"/>
          <c:h val="0.49527012248468943"/>
        </c:manualLayout>
      </c:layout>
      <c:lineChart>
        <c:grouping val="standard"/>
        <c:varyColors val="0"/>
        <c:ser>
          <c:idx val="1"/>
          <c:order val="0"/>
          <c:tx>
            <c:v>Receivables Growth</c:v>
          </c:tx>
          <c:spPr>
            <a:ln w="22225">
              <a:solidFill>
                <a:srgbClr val="5E8AB4">
                  <a:lumMod val="50000"/>
                </a:srgbClr>
              </a:solidFill>
            </a:ln>
          </c:spPr>
          <c:marker>
            <c:symbol val="square"/>
            <c:size val="4"/>
            <c:spPr>
              <a:solidFill>
                <a:srgbClr val="5E8AB4">
                  <a:lumMod val="50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Data'!$D$99:$M$99</c:f>
              <c:numCache>
                <c:formatCode>0.0%</c:formatCode>
                <c:ptCount val="10"/>
                <c:pt idx="0">
                  <c:v>1.4018652344980202E-2</c:v>
                </c:pt>
                <c:pt idx="1">
                  <c:v>1.3956524335376639E-2</c:v>
                </c:pt>
                <c:pt idx="2">
                  <c:v>1.1664903656690104E-2</c:v>
                </c:pt>
                <c:pt idx="3">
                  <c:v>1.2009311075116337E-2</c:v>
                </c:pt>
                <c:pt idx="4">
                  <c:v>1.1220302872229651E-2</c:v>
                </c:pt>
                <c:pt idx="5">
                  <c:v>1.2214111449149989E-2</c:v>
                </c:pt>
                <c:pt idx="6">
                  <c:v>1.1993190371857608E-2</c:v>
                </c:pt>
                <c:pt idx="7">
                  <c:v>1.1653381644672011E-2</c:v>
                </c:pt>
                <c:pt idx="8">
                  <c:v>1.4456468221959166E-2</c:v>
                </c:pt>
                <c:pt idx="9">
                  <c:v>0</c:v>
                </c:pt>
              </c:numCache>
            </c:numRef>
          </c:val>
          <c:smooth val="0"/>
          <c:extLst>
            <c:ext xmlns:c16="http://schemas.microsoft.com/office/drawing/2014/chart" uri="{C3380CC4-5D6E-409C-BE32-E72D297353CC}">
              <c16:uniqueId val="{00000000-94AF-4F59-A238-91A8AD986BDC}"/>
            </c:ext>
          </c:extLst>
        </c:ser>
        <c:ser>
          <c:idx val="2"/>
          <c:order val="1"/>
          <c:tx>
            <c:v>Sales Growth</c:v>
          </c:tx>
          <c:spPr>
            <a:ln w="22225">
              <a:solidFill>
                <a:srgbClr val="5E8AB4">
                  <a:lumMod val="75000"/>
                </a:srgbClr>
              </a:solidFill>
            </a:ln>
          </c:spPr>
          <c:marker>
            <c:symbol val="circle"/>
            <c:size val="4"/>
            <c:spPr>
              <a:solidFill>
                <a:srgbClr val="5E8AB4">
                  <a:lumMod val="75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Data'!$D$115:$M$115</c:f>
              <c:numCache>
                <c:formatCode>0.0%</c:formatCode>
                <c:ptCount val="10"/>
                <c:pt idx="0">
                  <c:v>1.6308511024194977E-2</c:v>
                </c:pt>
                <c:pt idx="1">
                  <c:v>1.9645429083717199E-2</c:v>
                </c:pt>
                <c:pt idx="2">
                  <c:v>-7.2500622875274635E-3</c:v>
                </c:pt>
                <c:pt idx="3">
                  <c:v>7.7634662850268599E-3</c:v>
                </c:pt>
                <c:pt idx="4">
                  <c:v>2.9781444945489871E-2</c:v>
                </c:pt>
                <c:pt idx="5">
                  <c:v>2.8104720161968889E-2</c:v>
                </c:pt>
                <c:pt idx="6">
                  <c:v>1.8582634305654107E-2</c:v>
                </c:pt>
                <c:pt idx="7">
                  <c:v>6.7155377086975443E-2</c:v>
                </c:pt>
                <c:pt idx="8">
                  <c:v>2.4327954345069579E-2</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80575488"/>
        <c:axId val="880176512"/>
      </c:lineChart>
      <c:catAx>
        <c:axId val="88057548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65000"/>
              </a:sysClr>
            </a:solidFill>
          </a:ln>
        </c:spPr>
        <c:txPr>
          <a:bodyPr rot="-2700000" vert="horz"/>
          <a:lstStyle/>
          <a:p>
            <a:pPr>
              <a:defRPr sz="900">
                <a:solidFill>
                  <a:srgbClr val="767171"/>
                </a:solidFill>
              </a:defRPr>
            </a:pPr>
            <a:endParaRPr lang="en-US"/>
          </a:p>
        </c:txPr>
        <c:crossAx val="880176512"/>
        <c:crosses val="autoZero"/>
        <c:auto val="1"/>
        <c:lblAlgn val="ctr"/>
        <c:lblOffset val="100"/>
        <c:noMultiLvlLbl val="0"/>
      </c:catAx>
      <c:valAx>
        <c:axId val="880176512"/>
        <c:scaling>
          <c:orientation val="minMax"/>
        </c:scaling>
        <c:delete val="0"/>
        <c:axPos val="l"/>
        <c:majorGridlines>
          <c:spPr>
            <a:ln>
              <a:solidFill>
                <a:schemeClr val="bg1">
                  <a:lumMod val="85000"/>
                </a:schemeClr>
              </a:solidFill>
            </a:ln>
          </c:spPr>
        </c:majorGridlines>
        <c:title>
          <c:tx>
            <c:rich>
              <a:bodyPr rot="-5400000" vert="horz"/>
              <a:lstStyle/>
              <a:p>
                <a:pPr>
                  <a:defRPr>
                    <a:solidFill>
                      <a:srgbClr val="767171"/>
                    </a:solidFill>
                  </a:defRPr>
                </a:pPr>
                <a:r>
                  <a:rPr lang="en-US">
                    <a:solidFill>
                      <a:srgbClr val="767171"/>
                    </a:solidFill>
                  </a:rPr>
                  <a:t>Incremental</a:t>
                </a:r>
                <a:r>
                  <a:rPr lang="en-US" baseline="0">
                    <a:solidFill>
                      <a:srgbClr val="767171"/>
                    </a:solidFill>
                  </a:rPr>
                  <a:t> </a:t>
                </a:r>
                <a:r>
                  <a:rPr lang="en-US">
                    <a:solidFill>
                      <a:srgbClr val="767171"/>
                    </a:solidFill>
                  </a:rPr>
                  <a:t>% Growth</a:t>
                </a:r>
              </a:p>
            </c:rich>
          </c:tx>
          <c:layout>
            <c:manualLayout>
              <c:xMode val="edge"/>
              <c:yMode val="edge"/>
              <c:x val="5.9247673047644011E-6"/>
              <c:y val="0.16291362017247843"/>
            </c:manualLayout>
          </c:layout>
          <c:overlay val="0"/>
        </c:title>
        <c:numFmt formatCode="0%" sourceLinked="0"/>
        <c:majorTickMark val="out"/>
        <c:minorTickMark val="none"/>
        <c:tickLblPos val="nextTo"/>
        <c:spPr>
          <a:ln>
            <a:solidFill>
              <a:sysClr val="window" lastClr="FFFFFF">
                <a:lumMod val="65000"/>
              </a:sysClr>
            </a:solidFill>
          </a:ln>
        </c:spPr>
        <c:txPr>
          <a:bodyPr/>
          <a:lstStyle/>
          <a:p>
            <a:pPr>
              <a:defRPr sz="900">
                <a:solidFill>
                  <a:srgbClr val="767171"/>
                </a:solidFill>
              </a:defRPr>
            </a:pPr>
            <a:endParaRPr lang="en-US"/>
          </a:p>
        </c:txPr>
        <c:crossAx val="88057548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85905349794238683"/>
          <c:w val="0.98432405317281157"/>
          <c:h val="0.11863800589741097"/>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lang="en-US" sz="1000" b="1" i="0" u="none" strike="noStrike" kern="1200" baseline="0">
                <a:solidFill>
                  <a:srgbClr val="767171"/>
                </a:solidFill>
                <a:latin typeface="Arial" panose="020B0604020202020204" pitchFamily="34" charset="0"/>
                <a:ea typeface="+mn-ea"/>
                <a:cs typeface="Arial" panose="020B0604020202020204" pitchFamily="34" charset="0"/>
              </a:defRPr>
            </a:pPr>
            <a:r>
              <a:rPr lang="en-US" sz="1000" b="1" i="0" u="none" strike="noStrike" kern="1200" baseline="0">
                <a:solidFill>
                  <a:srgbClr val="767171"/>
                </a:solidFill>
                <a:latin typeface="Arial" panose="020B0604020202020204" pitchFamily="34" charset="0"/>
                <a:ea typeface="+mn-ea"/>
                <a:cs typeface="Arial" panose="020B0604020202020204" pitchFamily="34" charset="0"/>
              </a:rPr>
              <a:t>CFO Growth vs CFO to Net Income</a:t>
            </a:r>
          </a:p>
        </c:rich>
      </c:tx>
      <c:layout>
        <c:manualLayout>
          <c:xMode val="edge"/>
          <c:yMode val="edge"/>
          <c:x val="8.7785302232254838E-4"/>
          <c:y val="0"/>
        </c:manualLayout>
      </c:layout>
      <c:overlay val="0"/>
    </c:title>
    <c:autoTitleDeleted val="0"/>
    <c:plotArea>
      <c:layout>
        <c:manualLayout>
          <c:layoutTarget val="inner"/>
          <c:xMode val="edge"/>
          <c:yMode val="edge"/>
          <c:x val="0.15502203025976155"/>
          <c:y val="0.16617063492063491"/>
          <c:w val="0.73416210953314809"/>
          <c:h val="0.48534948756405449"/>
        </c:manualLayout>
      </c:layout>
      <c:lineChart>
        <c:grouping val="standard"/>
        <c:varyColors val="0"/>
        <c:ser>
          <c:idx val="1"/>
          <c:order val="0"/>
          <c:tx>
            <c:v>CFO Growth</c:v>
          </c:tx>
          <c:spPr>
            <a:ln w="22225">
              <a:solidFill>
                <a:srgbClr val="5E8AB4">
                  <a:lumMod val="50000"/>
                </a:srgbClr>
              </a:solidFill>
            </a:ln>
          </c:spPr>
          <c:marker>
            <c:symbol val="square"/>
            <c:size val="4"/>
            <c:spPr>
              <a:solidFill>
                <a:srgbClr val="5E8AB4">
                  <a:lumMod val="50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Data'!$D$146:$M$146</c:f>
              <c:numCache>
                <c:formatCode>0.0%</c:formatCode>
                <c:ptCount val="10"/>
                <c:pt idx="0">
                  <c:v>-9.1203938884764177E-2</c:v>
                </c:pt>
                <c:pt idx="1">
                  <c:v>0.22818936234252052</c:v>
                </c:pt>
                <c:pt idx="2">
                  <c:v>-3.5429211595014706E-2</c:v>
                </c:pt>
                <c:pt idx="3">
                  <c:v>0.14957171893147503</c:v>
                </c:pt>
                <c:pt idx="4">
                  <c:v>-0.10532630316042055</c:v>
                </c:pt>
                <c:pt idx="5">
                  <c:v>-2.0609097646186965E-2</c:v>
                </c:pt>
                <c:pt idx="6">
                  <c:v>-9.0008287392353975E-2</c:v>
                </c:pt>
                <c:pt idx="7">
                  <c:v>0.42839041773906156</c:v>
                </c:pt>
                <c:pt idx="8">
                  <c:v>-0.32968342850806676</c:v>
                </c:pt>
                <c:pt idx="9">
                  <c:v>0</c:v>
                </c:pt>
              </c:numCache>
            </c:numRef>
          </c:val>
          <c:smooth val="0"/>
          <c:extLst>
            <c:ext xmlns:c16="http://schemas.microsoft.com/office/drawing/2014/chart" uri="{C3380CC4-5D6E-409C-BE32-E72D297353CC}">
              <c16:uniqueId val="{00000000-94AF-4F59-A238-91A8AD986BDC}"/>
            </c:ext>
          </c:extLst>
        </c:ser>
        <c:dLbls>
          <c:showLegendKey val="0"/>
          <c:showVal val="0"/>
          <c:showCatName val="0"/>
          <c:showSerName val="0"/>
          <c:showPercent val="0"/>
          <c:showBubbleSize val="0"/>
        </c:dLbls>
        <c:marker val="1"/>
        <c:smooth val="0"/>
        <c:axId val="880577536"/>
        <c:axId val="880177664"/>
      </c:lineChart>
      <c:lineChart>
        <c:grouping val="standard"/>
        <c:varyColors val="0"/>
        <c:ser>
          <c:idx val="2"/>
          <c:order val="1"/>
          <c:tx>
            <c:v>CFO to Net Income</c:v>
          </c:tx>
          <c:spPr>
            <a:ln w="22225">
              <a:solidFill>
                <a:srgbClr val="5E8AB4">
                  <a:lumMod val="75000"/>
                </a:srgbClr>
              </a:solidFill>
            </a:ln>
          </c:spPr>
          <c:marker>
            <c:symbol val="circle"/>
            <c:size val="4"/>
            <c:spPr>
              <a:solidFill>
                <a:srgbClr val="5E8AB4">
                  <a:lumMod val="75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Data'!$D$102:$M$102</c:f>
              <c:numCache>
                <c:formatCode>0.0</c:formatCode>
                <c:ptCount val="10"/>
                <c:pt idx="0">
                  <c:v>1.4515665959305954</c:v>
                </c:pt>
                <c:pt idx="1">
                  <c:v>1.7456456639980444</c:v>
                </c:pt>
                <c:pt idx="2">
                  <c:v>1.875051041241323</c:v>
                </c:pt>
                <c:pt idx="3">
                  <c:v>2.3215568423367294</c:v>
                </c:pt>
                <c:pt idx="4">
                  <c:v>2.8733522612046238</c:v>
                </c:pt>
                <c:pt idx="5">
                  <c:v>4.160869565217391</c:v>
                </c:pt>
                <c:pt idx="6">
                  <c:v>1.6971305691821785</c:v>
                </c:pt>
                <c:pt idx="7">
                  <c:v>2.6701702442635087</c:v>
                </c:pt>
                <c:pt idx="8">
                  <c:v>1.7685219044832883</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80578048"/>
        <c:axId val="880178240"/>
      </c:lineChart>
      <c:catAx>
        <c:axId val="88057753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65000"/>
              </a:sysClr>
            </a:solidFill>
          </a:ln>
        </c:spPr>
        <c:txPr>
          <a:bodyPr rot="-2700000" vert="horz"/>
          <a:lstStyle/>
          <a:p>
            <a:pPr>
              <a:defRPr sz="900">
                <a:solidFill>
                  <a:srgbClr val="767171"/>
                </a:solidFill>
              </a:defRPr>
            </a:pPr>
            <a:endParaRPr lang="en-US"/>
          </a:p>
        </c:txPr>
        <c:crossAx val="880177664"/>
        <c:crosses val="autoZero"/>
        <c:auto val="1"/>
        <c:lblAlgn val="ctr"/>
        <c:lblOffset val="100"/>
        <c:noMultiLvlLbl val="0"/>
      </c:catAx>
      <c:valAx>
        <c:axId val="880177664"/>
        <c:scaling>
          <c:orientation val="minMax"/>
        </c:scaling>
        <c:delete val="0"/>
        <c:axPos val="l"/>
        <c:majorGridlines>
          <c:spPr>
            <a:ln>
              <a:solidFill>
                <a:schemeClr val="bg1">
                  <a:lumMod val="85000"/>
                </a:schemeClr>
              </a:solidFill>
            </a:ln>
          </c:spPr>
        </c:majorGridlines>
        <c:title>
          <c:tx>
            <c:rich>
              <a:bodyPr rot="-5400000" vert="horz"/>
              <a:lstStyle/>
              <a:p>
                <a:pPr>
                  <a:defRPr>
                    <a:solidFill>
                      <a:srgbClr val="767171"/>
                    </a:solidFill>
                  </a:defRPr>
                </a:pPr>
                <a:r>
                  <a:rPr lang="en-US">
                    <a:solidFill>
                      <a:srgbClr val="767171"/>
                    </a:solidFill>
                  </a:rPr>
                  <a:t>Incremental % Growth</a:t>
                </a:r>
              </a:p>
            </c:rich>
          </c:tx>
          <c:layout>
            <c:manualLayout>
              <c:xMode val="edge"/>
              <c:yMode val="edge"/>
              <c:x val="5.9247673047644011E-6"/>
              <c:y val="0.1678739376327959"/>
            </c:manualLayout>
          </c:layout>
          <c:overlay val="0"/>
        </c:title>
        <c:numFmt formatCode="0%" sourceLinked="0"/>
        <c:majorTickMark val="out"/>
        <c:minorTickMark val="none"/>
        <c:tickLblPos val="nextTo"/>
        <c:spPr>
          <a:ln>
            <a:solidFill>
              <a:sysClr val="window" lastClr="FFFFFF">
                <a:lumMod val="65000"/>
              </a:sysClr>
            </a:solidFill>
          </a:ln>
        </c:spPr>
        <c:txPr>
          <a:bodyPr/>
          <a:lstStyle/>
          <a:p>
            <a:pPr>
              <a:defRPr sz="900">
                <a:solidFill>
                  <a:srgbClr val="767171"/>
                </a:solidFill>
              </a:defRPr>
            </a:pPr>
            <a:endParaRPr lang="en-US"/>
          </a:p>
        </c:txPr>
        <c:crossAx val="880577536"/>
        <c:crosses val="autoZero"/>
        <c:crossBetween val="midCat"/>
      </c:valAx>
      <c:valAx>
        <c:axId val="880178240"/>
        <c:scaling>
          <c:orientation val="minMax"/>
        </c:scaling>
        <c:delete val="0"/>
        <c:axPos val="r"/>
        <c:numFmt formatCode="0.0" sourceLinked="1"/>
        <c:majorTickMark val="out"/>
        <c:minorTickMark val="none"/>
        <c:tickLblPos val="nextTo"/>
        <c:spPr>
          <a:ln>
            <a:solidFill>
              <a:sysClr val="window" lastClr="FFFFFF">
                <a:lumMod val="65000"/>
              </a:sysClr>
            </a:solidFill>
          </a:ln>
        </c:spPr>
        <c:txPr>
          <a:bodyPr/>
          <a:lstStyle/>
          <a:p>
            <a:pPr>
              <a:defRPr sz="900">
                <a:solidFill>
                  <a:srgbClr val="767171"/>
                </a:solidFill>
              </a:defRPr>
            </a:pPr>
            <a:endParaRPr lang="en-US"/>
          </a:p>
        </c:txPr>
        <c:crossAx val="880578048"/>
        <c:crosses val="max"/>
        <c:crossBetween val="between"/>
      </c:valAx>
      <c:catAx>
        <c:axId val="880578048"/>
        <c:scaling>
          <c:orientation val="minMax"/>
        </c:scaling>
        <c:delete val="1"/>
        <c:axPos val="b"/>
        <c:numFmt formatCode="General" sourceLinked="1"/>
        <c:majorTickMark val="out"/>
        <c:minorTickMark val="none"/>
        <c:tickLblPos val="nextTo"/>
        <c:crossAx val="880178240"/>
        <c:crosses val="autoZero"/>
        <c:auto val="1"/>
        <c:lblAlgn val="ctr"/>
        <c:lblOffset val="100"/>
        <c:noMultiLvlLbl val="0"/>
      </c:cat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83847736625514402"/>
          <c:w val="0.98432405317281157"/>
          <c:h val="0.11863800589741097"/>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ln>
                  <a:noFill/>
                </a:ln>
                <a:solidFill>
                  <a:srgbClr val="767171"/>
                </a:solidFill>
              </a:defRPr>
            </a:pPr>
            <a:r>
              <a:rPr lang="en-IN">
                <a:ln>
                  <a:noFill/>
                </a:ln>
                <a:solidFill>
                  <a:srgbClr val="767171"/>
                </a:solidFill>
              </a:rPr>
              <a:t>Inventory</a:t>
            </a:r>
            <a:r>
              <a:rPr lang="en-IN" baseline="0">
                <a:ln>
                  <a:noFill/>
                </a:ln>
                <a:solidFill>
                  <a:srgbClr val="767171"/>
                </a:solidFill>
              </a:rPr>
              <a:t> Growth vs Sales Growth</a:t>
            </a:r>
            <a:endParaRPr lang="en-IN">
              <a:ln>
                <a:noFill/>
              </a:ln>
              <a:solidFill>
                <a:srgbClr val="767171"/>
              </a:solidFill>
            </a:endParaRPr>
          </a:p>
        </c:rich>
      </c:tx>
      <c:layout>
        <c:manualLayout>
          <c:xMode val="edge"/>
          <c:yMode val="edge"/>
          <c:x val="2.5052493438320203E-3"/>
          <c:y val="0"/>
        </c:manualLayout>
      </c:layout>
      <c:overlay val="0"/>
      <c:spPr>
        <a:noFill/>
      </c:spPr>
    </c:title>
    <c:autoTitleDeleted val="0"/>
    <c:plotArea>
      <c:layout>
        <c:manualLayout>
          <c:layoutTarget val="inner"/>
          <c:xMode val="edge"/>
          <c:yMode val="edge"/>
          <c:x val="0.17830118110236218"/>
          <c:y val="0.17708333333333334"/>
          <c:w val="0.78060759476171571"/>
          <c:h val="0.51511139232595926"/>
        </c:manualLayout>
      </c:layout>
      <c:lineChart>
        <c:grouping val="standard"/>
        <c:varyColors val="0"/>
        <c:ser>
          <c:idx val="1"/>
          <c:order val="0"/>
          <c:tx>
            <c:v>Inventory Growth</c:v>
          </c:tx>
          <c:spPr>
            <a:ln w="22225">
              <a:solidFill>
                <a:srgbClr val="5E8AB4">
                  <a:lumMod val="50000"/>
                </a:srgbClr>
              </a:solidFill>
            </a:ln>
          </c:spPr>
          <c:marker>
            <c:symbol val="square"/>
            <c:size val="4"/>
            <c:spPr>
              <a:solidFill>
                <a:srgbClr val="5E8AB4">
                  <a:lumMod val="50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Data'!$D$149:$M$149</c:f>
              <c:numCache>
                <c:formatCode>0.0%</c:formatCode>
                <c:ptCount val="10"/>
                <c:pt idx="0">
                  <c:v>2.4085108325913752E-2</c:v>
                </c:pt>
                <c:pt idx="1">
                  <c:v>6.3087966471978242E-3</c:v>
                </c:pt>
                <c:pt idx="2">
                  <c:v>-1.488668837642055E-2</c:v>
                </c:pt>
                <c:pt idx="3">
                  <c:v>-3.1999820099395088E-2</c:v>
                </c:pt>
                <c:pt idx="4">
                  <c:v>1.7121219160897646E-2</c:v>
                </c:pt>
                <c:pt idx="5">
                  <c:v>1.1100198707260809E-2</c:v>
                </c:pt>
                <c:pt idx="6">
                  <c:v>3.7498023447559239E-3</c:v>
                </c:pt>
                <c:pt idx="7">
                  <c:v>1.1567458084843029E-2</c:v>
                </c:pt>
                <c:pt idx="8">
                  <c:v>0.25722485483548019</c:v>
                </c:pt>
                <c:pt idx="9">
                  <c:v>0</c:v>
                </c:pt>
              </c:numCache>
            </c:numRef>
          </c:val>
          <c:smooth val="0"/>
          <c:extLst>
            <c:ext xmlns:c16="http://schemas.microsoft.com/office/drawing/2014/chart" uri="{C3380CC4-5D6E-409C-BE32-E72D297353CC}">
              <c16:uniqueId val="{00000000-94AF-4F59-A238-91A8AD986BDC}"/>
            </c:ext>
          </c:extLst>
        </c:ser>
        <c:ser>
          <c:idx val="2"/>
          <c:order val="1"/>
          <c:tx>
            <c:v>Sales Growth</c:v>
          </c:tx>
          <c:spPr>
            <a:ln w="22225">
              <a:solidFill>
                <a:srgbClr val="5E8AB4">
                  <a:lumMod val="75000"/>
                </a:srgbClr>
              </a:solidFill>
            </a:ln>
          </c:spPr>
          <c:marker>
            <c:symbol val="circle"/>
            <c:size val="4"/>
            <c:spPr>
              <a:solidFill>
                <a:srgbClr val="5E8AB4">
                  <a:lumMod val="75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Data'!$D$115:$M$115</c:f>
              <c:numCache>
                <c:formatCode>0.0%</c:formatCode>
                <c:ptCount val="10"/>
                <c:pt idx="0">
                  <c:v>1.6308511024194977E-2</c:v>
                </c:pt>
                <c:pt idx="1">
                  <c:v>1.9645429083717199E-2</c:v>
                </c:pt>
                <c:pt idx="2">
                  <c:v>-7.2500622875274635E-3</c:v>
                </c:pt>
                <c:pt idx="3">
                  <c:v>7.7634662850268599E-3</c:v>
                </c:pt>
                <c:pt idx="4">
                  <c:v>2.9781444945489871E-2</c:v>
                </c:pt>
                <c:pt idx="5">
                  <c:v>2.8104720161968889E-2</c:v>
                </c:pt>
                <c:pt idx="6">
                  <c:v>1.8582634305654107E-2</c:v>
                </c:pt>
                <c:pt idx="7">
                  <c:v>6.7155377086975443E-2</c:v>
                </c:pt>
                <c:pt idx="8">
                  <c:v>2.4327954345069579E-2</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80383488"/>
        <c:axId val="880179968"/>
      </c:lineChart>
      <c:catAx>
        <c:axId val="88038348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65000"/>
              </a:sysClr>
            </a:solidFill>
          </a:ln>
        </c:spPr>
        <c:txPr>
          <a:bodyPr rot="-2700000" vert="horz"/>
          <a:lstStyle/>
          <a:p>
            <a:pPr>
              <a:defRPr sz="900">
                <a:solidFill>
                  <a:srgbClr val="767171"/>
                </a:solidFill>
              </a:defRPr>
            </a:pPr>
            <a:endParaRPr lang="en-US"/>
          </a:p>
        </c:txPr>
        <c:crossAx val="880179968"/>
        <c:crosses val="autoZero"/>
        <c:auto val="1"/>
        <c:lblAlgn val="ctr"/>
        <c:lblOffset val="100"/>
        <c:noMultiLvlLbl val="0"/>
      </c:catAx>
      <c:valAx>
        <c:axId val="880179968"/>
        <c:scaling>
          <c:orientation val="minMax"/>
        </c:scaling>
        <c:delete val="0"/>
        <c:axPos val="l"/>
        <c:majorGridlines>
          <c:spPr>
            <a:ln>
              <a:solidFill>
                <a:schemeClr val="bg1">
                  <a:lumMod val="85000"/>
                </a:schemeClr>
              </a:solidFill>
            </a:ln>
          </c:spPr>
        </c:majorGridlines>
        <c:title>
          <c:tx>
            <c:rich>
              <a:bodyPr rot="-5400000" vert="horz"/>
              <a:lstStyle/>
              <a:p>
                <a:pPr>
                  <a:defRPr baseline="0">
                    <a:solidFill>
                      <a:srgbClr val="767171"/>
                    </a:solidFill>
                  </a:defRPr>
                </a:pPr>
                <a:r>
                  <a:rPr lang="en-IN" baseline="0">
                    <a:solidFill>
                      <a:srgbClr val="767171"/>
                    </a:solidFill>
                  </a:rPr>
                  <a:t>Incremental % Growth</a:t>
                </a:r>
              </a:p>
            </c:rich>
          </c:tx>
          <c:layout>
            <c:manualLayout>
              <c:xMode val="edge"/>
              <c:yMode val="edge"/>
              <c:x val="5.9247673047644011E-6"/>
              <c:y val="0.17283425509311337"/>
            </c:manualLayout>
          </c:layout>
          <c:overlay val="0"/>
        </c:title>
        <c:numFmt formatCode="0%" sourceLinked="0"/>
        <c:majorTickMark val="out"/>
        <c:minorTickMark val="none"/>
        <c:tickLblPos val="nextTo"/>
        <c:spPr>
          <a:ln>
            <a:solidFill>
              <a:sysClr val="window" lastClr="FFFFFF">
                <a:lumMod val="65000"/>
              </a:sysClr>
            </a:solidFill>
          </a:ln>
        </c:spPr>
        <c:txPr>
          <a:bodyPr/>
          <a:lstStyle/>
          <a:p>
            <a:pPr>
              <a:defRPr sz="900">
                <a:solidFill>
                  <a:srgbClr val="767171"/>
                </a:solidFill>
              </a:defRPr>
            </a:pPr>
            <a:endParaRPr lang="en-US"/>
          </a:p>
        </c:txPr>
        <c:crossAx val="88038348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87962962962962965"/>
          <c:w val="0.98432405317281157"/>
          <c:h val="0.1131687242798353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699679963819421"/>
          <c:y val="0.16617063492063491"/>
          <c:w val="0.78894077997586642"/>
          <c:h val="0.52999234470691159"/>
        </c:manualLayout>
      </c:layout>
      <c:lineChart>
        <c:grouping val="standard"/>
        <c:varyColors val="0"/>
        <c:ser>
          <c:idx val="1"/>
          <c:order val="0"/>
          <c:tx>
            <c:v>COGS</c:v>
          </c:tx>
          <c:spPr>
            <a:ln w="22225">
              <a:solidFill>
                <a:srgbClr val="5E8AB4">
                  <a:lumMod val="50000"/>
                </a:srgbClr>
              </a:solidFill>
            </a:ln>
          </c:spPr>
          <c:marker>
            <c:symbol val="square"/>
            <c:size val="4"/>
            <c:spPr>
              <a:solidFill>
                <a:srgbClr val="5E8AB4">
                  <a:lumMod val="50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Data'!$D$116:$M$116</c:f>
              <c:numCache>
                <c:formatCode>0.0%</c:formatCode>
                <c:ptCount val="10"/>
                <c:pt idx="0">
                  <c:v>1.6383903354272106E-2</c:v>
                </c:pt>
                <c:pt idx="1">
                  <c:v>1.9596781625887748E-2</c:v>
                </c:pt>
                <c:pt idx="2">
                  <c:v>-1.12357088466827E-2</c:v>
                </c:pt>
                <c:pt idx="3">
                  <c:v>7.534959998227068E-4</c:v>
                </c:pt>
                <c:pt idx="4">
                  <c:v>3.3604978187213502E-2</c:v>
                </c:pt>
                <c:pt idx="5">
                  <c:v>3.1883041060964769E-2</c:v>
                </c:pt>
                <c:pt idx="6">
                  <c:v>2.4147354925110498E-2</c:v>
                </c:pt>
                <c:pt idx="7">
                  <c:v>6.5153761356293E-2</c:v>
                </c:pt>
                <c:pt idx="8">
                  <c:v>2.0663074122979193E-2</c:v>
                </c:pt>
                <c:pt idx="9">
                  <c:v>0</c:v>
                </c:pt>
              </c:numCache>
            </c:numRef>
          </c:val>
          <c:smooth val="0"/>
          <c:extLst>
            <c:ext xmlns:c16="http://schemas.microsoft.com/office/drawing/2014/chart" uri="{C3380CC4-5D6E-409C-BE32-E72D297353CC}">
              <c16:uniqueId val="{00000000-94AF-4F59-A238-91A8AD986BDC}"/>
            </c:ext>
          </c:extLst>
        </c:ser>
        <c:ser>
          <c:idx val="2"/>
          <c:order val="1"/>
          <c:tx>
            <c:v>Payables Growth</c:v>
          </c:tx>
          <c:spPr>
            <a:ln w="22225">
              <a:solidFill>
                <a:srgbClr val="5E8AB4">
                  <a:lumMod val="75000"/>
                </a:srgbClr>
              </a:solidFill>
            </a:ln>
          </c:spPr>
          <c:marker>
            <c:symbol val="circle"/>
            <c:size val="4"/>
            <c:spPr>
              <a:solidFill>
                <a:srgbClr val="5E8AB4">
                  <a:lumMod val="75000"/>
                </a:srgb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Data'!$D$145:$M$145</c:f>
              <c:numCache>
                <c:formatCode>0.0%</c:formatCode>
                <c:ptCount val="10"/>
                <c:pt idx="0">
                  <c:v>-1.7463235294117647E-2</c:v>
                </c:pt>
                <c:pt idx="1">
                  <c:v>2.6593612187625282E-2</c:v>
                </c:pt>
                <c:pt idx="2">
                  <c:v>2.0046862796146837E-3</c:v>
                </c:pt>
                <c:pt idx="3">
                  <c:v>7.6545326993530283E-2</c:v>
                </c:pt>
                <c:pt idx="4">
                  <c:v>0.1124466005358048</c:v>
                </c:pt>
                <c:pt idx="5">
                  <c:v>2.1001475310249068E-2</c:v>
                </c:pt>
                <c:pt idx="6">
                  <c:v>-1.8487037824054399E-3</c:v>
                </c:pt>
                <c:pt idx="7">
                  <c:v>4.6154173674238394E-2</c:v>
                </c:pt>
                <c:pt idx="8">
                  <c:v>0.12453959015893043</c:v>
                </c:pt>
                <c:pt idx="9">
                  <c:v>0</c:v>
                </c:pt>
              </c:numCache>
            </c:numRef>
          </c:val>
          <c:smooth val="0"/>
          <c:extLst>
            <c:ext xmlns:c16="http://schemas.microsoft.com/office/drawing/2014/chart" uri="{C3380CC4-5D6E-409C-BE32-E72D297353CC}">
              <c16:uniqueId val="{00000001-94AF-4F59-A238-91A8AD986BDC}"/>
            </c:ext>
          </c:extLst>
        </c:ser>
        <c:dLbls>
          <c:showLegendKey val="0"/>
          <c:showVal val="0"/>
          <c:showCatName val="0"/>
          <c:showSerName val="0"/>
          <c:showPercent val="0"/>
          <c:showBubbleSize val="0"/>
        </c:dLbls>
        <c:marker val="1"/>
        <c:smooth val="0"/>
        <c:axId val="880473600"/>
        <c:axId val="880607808"/>
      </c:lineChart>
      <c:catAx>
        <c:axId val="8804736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65000"/>
              </a:sysClr>
            </a:solidFill>
          </a:ln>
        </c:spPr>
        <c:txPr>
          <a:bodyPr rot="-2700000" vert="horz"/>
          <a:lstStyle/>
          <a:p>
            <a:pPr>
              <a:defRPr/>
            </a:pPr>
            <a:endParaRPr lang="en-US"/>
          </a:p>
        </c:txPr>
        <c:crossAx val="880607808"/>
        <c:crosses val="autoZero"/>
        <c:auto val="1"/>
        <c:lblAlgn val="ctr"/>
        <c:lblOffset val="100"/>
        <c:noMultiLvlLbl val="0"/>
      </c:catAx>
      <c:valAx>
        <c:axId val="880607808"/>
        <c:scaling>
          <c:orientation val="minMax"/>
        </c:scaling>
        <c:delete val="0"/>
        <c:axPos val="l"/>
        <c:majorGridlines>
          <c:spPr>
            <a:ln>
              <a:solidFill>
                <a:schemeClr val="bg1">
                  <a:lumMod val="85000"/>
                </a:schemeClr>
              </a:solidFill>
            </a:ln>
          </c:spPr>
        </c:majorGridlines>
        <c:title>
          <c:tx>
            <c:rich>
              <a:bodyPr rot="-5400000" vert="horz"/>
              <a:lstStyle/>
              <a:p>
                <a:pPr>
                  <a:defRPr/>
                </a:pPr>
                <a:r>
                  <a:rPr lang="en-IN"/>
                  <a:t>Incremental % Growth</a:t>
                </a:r>
              </a:p>
            </c:rich>
          </c:tx>
          <c:layout>
            <c:manualLayout>
              <c:xMode val="edge"/>
              <c:yMode val="edge"/>
              <c:x val="5.9247673047644011E-6"/>
              <c:y val="0.16291362017247843"/>
            </c:manualLayout>
          </c:layout>
          <c:overlay val="0"/>
        </c:title>
        <c:numFmt formatCode="0%" sourceLinked="0"/>
        <c:majorTickMark val="out"/>
        <c:minorTickMark val="none"/>
        <c:tickLblPos val="nextTo"/>
        <c:spPr>
          <a:ln>
            <a:solidFill>
              <a:sysClr val="window" lastClr="FFFFFF">
                <a:lumMod val="65000"/>
              </a:sysClr>
            </a:solidFill>
          </a:ln>
        </c:spPr>
        <c:crossAx val="8804736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0020576131687247"/>
          <c:w val="0.98432405317281157"/>
          <c:h val="9.2592592592592587E-2"/>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1000" b="0">
          <a:solidFill>
            <a:srgbClr val="76717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2"/>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EBIT Margin</a:t>
            </a:r>
          </a:p>
        </c:rich>
      </c:tx>
      <c:layout>
        <c:manualLayout>
          <c:xMode val="edge"/>
          <c:yMode val="edge"/>
          <c:x val="9.7163263764072131E-4"/>
          <c:y val="0"/>
        </c:manualLayout>
      </c:layout>
      <c:overlay val="0"/>
    </c:title>
    <c:autoTitleDeleted val="0"/>
    <c:plotArea>
      <c:layout>
        <c:manualLayout>
          <c:layoutTarget val="inner"/>
          <c:xMode val="edge"/>
          <c:yMode val="edge"/>
          <c:x val="0.15996164999176268"/>
          <c:y val="0.14136904761904762"/>
          <c:w val="0.7989472182230043"/>
          <c:h val="0.55721237970253712"/>
        </c:manualLayout>
      </c:layout>
      <c:lineChart>
        <c:grouping val="standard"/>
        <c:varyColors val="0"/>
        <c:ser>
          <c:idx val="5"/>
          <c:order val="0"/>
          <c:tx>
            <c:v>EBIT Margin</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Data'!$D$90:$M$90</c:f>
              <c:numCache>
                <c:formatCode>0.0%</c:formatCode>
                <c:ptCount val="10"/>
                <c:pt idx="0">
                  <c:v>5.6418934523634563E-2</c:v>
                </c:pt>
                <c:pt idx="1">
                  <c:v>5.5898165555100264E-2</c:v>
                </c:pt>
                <c:pt idx="2">
                  <c:v>4.9996888805923713E-2</c:v>
                </c:pt>
                <c:pt idx="3">
                  <c:v>4.6851749325441013E-2</c:v>
                </c:pt>
                <c:pt idx="4">
                  <c:v>4.1845294128228037E-2</c:v>
                </c:pt>
                <c:pt idx="5">
                  <c:v>4.268426628823592E-2</c:v>
                </c:pt>
                <c:pt idx="6">
                  <c:v>4.0972280538357594E-2</c:v>
                </c:pt>
                <c:pt idx="7">
                  <c:v>4.8194494868112552E-2</c:v>
                </c:pt>
                <c:pt idx="8">
                  <c:v>4.5293441861602016E-2</c:v>
                </c:pt>
                <c:pt idx="9">
                  <c:v>0</c:v>
                </c:pt>
              </c:numCache>
            </c:numRef>
          </c:val>
          <c:smooth val="0"/>
          <c:extLst>
            <c:ext xmlns:c16="http://schemas.microsoft.com/office/drawing/2014/chart" uri="{C3380CC4-5D6E-409C-BE32-E72D297353CC}">
              <c16:uniqueId val="{00000002-84D8-4475-9988-2AE728F87BEF}"/>
            </c:ext>
          </c:extLst>
        </c:ser>
        <c:dLbls>
          <c:showLegendKey val="0"/>
          <c:showVal val="0"/>
          <c:showCatName val="0"/>
          <c:showSerName val="0"/>
          <c:showPercent val="0"/>
          <c:showBubbleSize val="0"/>
        </c:dLbls>
        <c:marker val="1"/>
        <c:smooth val="0"/>
        <c:axId val="880474624"/>
        <c:axId val="880608960"/>
      </c:lineChart>
      <c:catAx>
        <c:axId val="88047462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80608960"/>
        <c:crosses val="autoZero"/>
        <c:auto val="1"/>
        <c:lblAlgn val="ctr"/>
        <c:lblOffset val="100"/>
        <c:noMultiLvlLbl val="0"/>
      </c:catAx>
      <c:valAx>
        <c:axId val="880608960"/>
        <c:scaling>
          <c:orientation val="minMax"/>
        </c:scaling>
        <c:delete val="0"/>
        <c:axPos val="l"/>
        <c:majorGridlines>
          <c:spPr>
            <a:ln w="9525">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80474624"/>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5" l="0.5" r="0.5" t="0.5" header="0.3" footer="0.3"/>
    <c:pageSetup orientation="landscape"/>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pPr>
            <a:r>
              <a:rPr lang="en-US" sz="1000" b="1"/>
              <a:t>EBITDA Margin</a:t>
            </a:r>
          </a:p>
        </c:rich>
      </c:tx>
      <c:layout>
        <c:manualLayout>
          <c:xMode val="edge"/>
          <c:yMode val="edge"/>
          <c:x val="9.7163263764072131E-4"/>
          <c:y val="0"/>
        </c:manualLayout>
      </c:layout>
      <c:overlay val="0"/>
    </c:title>
    <c:autoTitleDeleted val="0"/>
    <c:plotArea>
      <c:layout>
        <c:manualLayout>
          <c:layoutTarget val="inner"/>
          <c:xMode val="edge"/>
          <c:yMode val="edge"/>
          <c:x val="0.15996164999176268"/>
          <c:y val="0.14136904761904762"/>
          <c:w val="0.7989472182230043"/>
          <c:h val="0.55721237970253712"/>
        </c:manualLayout>
      </c:layout>
      <c:lineChart>
        <c:grouping val="standard"/>
        <c:varyColors val="0"/>
        <c:ser>
          <c:idx val="5"/>
          <c:order val="0"/>
          <c:tx>
            <c:v>EBITDA Margin</c:v>
          </c:tx>
          <c:spPr>
            <a:ln w="22225">
              <a:solidFill>
                <a:schemeClr val="accent3">
                  <a:lumMod val="50000"/>
                </a:schemeClr>
              </a:solidFill>
            </a:ln>
          </c:spPr>
          <c:marker>
            <c:symbol val="square"/>
            <c:size val="4"/>
            <c:spPr>
              <a:solidFill>
                <a:schemeClr val="accent3">
                  <a:lumMod val="50000"/>
                </a:schemeClr>
              </a:solidFill>
              <a:ln>
                <a:noFill/>
              </a:ln>
            </c:spPr>
          </c:marker>
          <c:cat>
            <c:strRef>
              <c:f>'Financial Data'!$D$10:$M$10</c:f>
              <c:strCache>
                <c:ptCount val="9"/>
                <c:pt idx="0">
                  <c:v>FY2014</c:v>
                </c:pt>
                <c:pt idx="1">
                  <c:v>FY2015</c:v>
                </c:pt>
                <c:pt idx="2">
                  <c:v>FY2016</c:v>
                </c:pt>
                <c:pt idx="3">
                  <c:v>FY2017</c:v>
                </c:pt>
                <c:pt idx="4">
                  <c:v>FY2018</c:v>
                </c:pt>
                <c:pt idx="5">
                  <c:v>FY2019</c:v>
                </c:pt>
                <c:pt idx="6">
                  <c:v>FY2020</c:v>
                </c:pt>
                <c:pt idx="7">
                  <c:v>FY2021</c:v>
                </c:pt>
                <c:pt idx="8">
                  <c:v>FY2022</c:v>
                </c:pt>
              </c:strCache>
            </c:strRef>
          </c:cat>
          <c:val>
            <c:numRef>
              <c:f>'Financial Data'!$D$87:$M$87</c:f>
              <c:numCache>
                <c:formatCode>0.0%</c:formatCode>
                <c:ptCount val="10"/>
                <c:pt idx="0">
                  <c:v>7.5041885894006649E-2</c:v>
                </c:pt>
                <c:pt idx="1">
                  <c:v>7.4786214792103789E-2</c:v>
                </c:pt>
                <c:pt idx="2">
                  <c:v>6.9605708004065292E-2</c:v>
                </c:pt>
                <c:pt idx="3">
                  <c:v>6.7597911388366919E-2</c:v>
                </c:pt>
                <c:pt idx="4">
                  <c:v>6.2888858243245138E-2</c:v>
                </c:pt>
                <c:pt idx="5">
                  <c:v>6.3442229371798484E-2</c:v>
                </c:pt>
                <c:pt idx="6">
                  <c:v>6.1941278408440277E-2</c:v>
                </c:pt>
                <c:pt idx="7">
                  <c:v>6.8139017903929344E-2</c:v>
                </c:pt>
                <c:pt idx="8">
                  <c:v>6.3901779821703558E-2</c:v>
                </c:pt>
                <c:pt idx="9">
                  <c:v>0</c:v>
                </c:pt>
              </c:numCache>
            </c:numRef>
          </c:val>
          <c:smooth val="0"/>
          <c:extLst>
            <c:ext xmlns:c16="http://schemas.microsoft.com/office/drawing/2014/chart" uri="{C3380CC4-5D6E-409C-BE32-E72D297353CC}">
              <c16:uniqueId val="{00000002-84D8-4475-9988-2AE728F87BEF}"/>
            </c:ext>
          </c:extLst>
        </c:ser>
        <c:dLbls>
          <c:showLegendKey val="0"/>
          <c:showVal val="0"/>
          <c:showCatName val="0"/>
          <c:showSerName val="0"/>
          <c:showPercent val="0"/>
          <c:showBubbleSize val="0"/>
        </c:dLbls>
        <c:marker val="1"/>
        <c:smooth val="0"/>
        <c:axId val="880475648"/>
        <c:axId val="880610112"/>
      </c:lineChart>
      <c:catAx>
        <c:axId val="8804756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65000"/>
              </a:schemeClr>
            </a:solidFill>
          </a:ln>
        </c:spPr>
        <c:txPr>
          <a:bodyPr rot="-2700000" vert="horz"/>
          <a:lstStyle/>
          <a:p>
            <a:pPr>
              <a:defRPr sz="900"/>
            </a:pPr>
            <a:endParaRPr lang="en-US"/>
          </a:p>
        </c:txPr>
        <c:crossAx val="880610112"/>
        <c:crosses val="autoZero"/>
        <c:auto val="1"/>
        <c:lblAlgn val="ctr"/>
        <c:lblOffset val="100"/>
        <c:noMultiLvlLbl val="0"/>
      </c:catAx>
      <c:valAx>
        <c:axId val="880610112"/>
        <c:scaling>
          <c:orientation val="minMax"/>
        </c:scaling>
        <c:delete val="0"/>
        <c:axPos val="l"/>
        <c:majorGridlines>
          <c:spPr>
            <a:ln w="9525">
              <a:solidFill>
                <a:schemeClr val="bg1">
                  <a:lumMod val="85000"/>
                </a:schemeClr>
              </a:solidFill>
            </a:ln>
          </c:spPr>
        </c:majorGridlines>
        <c:numFmt formatCode="0%" sourceLinked="0"/>
        <c:majorTickMark val="out"/>
        <c:minorTickMark val="none"/>
        <c:tickLblPos val="nextTo"/>
        <c:spPr>
          <a:ln>
            <a:solidFill>
              <a:schemeClr val="bg1">
                <a:lumMod val="65000"/>
              </a:schemeClr>
            </a:solidFill>
          </a:ln>
        </c:spPr>
        <c:txPr>
          <a:bodyPr/>
          <a:lstStyle/>
          <a:p>
            <a:pPr>
              <a:defRPr sz="900"/>
            </a:pPr>
            <a:endParaRPr lang="en-US"/>
          </a:p>
        </c:txPr>
        <c:crossAx val="880475648"/>
        <c:crosses val="autoZero"/>
        <c:crossBetween val="midCat"/>
      </c:valAx>
      <c:spPr>
        <a:gradFill>
          <a:gsLst>
            <a:gs pos="0">
              <a:schemeClr val="bg1">
                <a:lumMod val="95000"/>
              </a:schemeClr>
            </a:gs>
            <a:gs pos="50000">
              <a:schemeClr val="bg1"/>
            </a:gs>
          </a:gsLst>
          <a:lin ang="16200000" scaled="0"/>
        </a:gradFill>
      </c:spPr>
    </c:plotArea>
    <c:legend>
      <c:legendPos val="b"/>
      <c:layout>
        <c:manualLayout>
          <c:xMode val="edge"/>
          <c:yMode val="edge"/>
          <c:x val="1.2540757461750689E-2"/>
          <c:y val="0.8847736625514403"/>
          <c:w val="0.98432405317281157"/>
          <c:h val="0.10802469135802469"/>
        </c:manualLayout>
      </c:layout>
      <c:overlay val="0"/>
      <c:txPr>
        <a:bodyPr/>
        <a:lstStyle/>
        <a:p>
          <a:pPr>
            <a:defRPr>
              <a:solidFill>
                <a:srgbClr val="767171"/>
              </a:solidFill>
            </a:defRPr>
          </a:pPr>
          <a:endParaRPr lang="en-US"/>
        </a:p>
      </c:txPr>
    </c:legend>
    <c:plotVisOnly val="1"/>
    <c:dispBlanksAs val="gap"/>
    <c:showDLblsOverMax val="0"/>
  </c:chart>
  <c:spPr>
    <a:noFill/>
  </c:spPr>
  <c:txPr>
    <a:bodyPr/>
    <a:lstStyle/>
    <a:p>
      <a:pPr>
        <a:defRPr sz="900" b="0">
          <a:latin typeface="Arial" panose="020B0604020202020204" pitchFamily="34" charset="0"/>
          <a:cs typeface="Arial" panose="020B0604020202020204" pitchFamily="34" charset="0"/>
        </a:defRPr>
      </a:pPr>
      <a:endParaRPr lang="en-US"/>
    </a:p>
  </c:txPr>
  <c:printSettings>
    <c:headerFooter/>
    <c:pageMargins b="0.5" l="0.5" r="0.5" t="0.5" header="0.3" footer="0.3"/>
    <c:pageSetup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Structure'!$T$2</c:f>
          <c:strCache>
            <c:ptCount val="1"/>
            <c:pt idx="0">
              <c:v> Debt Maturity Schedule (USD million)</c:v>
            </c:pt>
          </c:strCache>
        </c:strRef>
      </c:tx>
      <c:layout>
        <c:manualLayout>
          <c:xMode val="edge"/>
          <c:yMode val="edge"/>
          <c:x val="1.8780322914181201E-3"/>
          <c:y val="0"/>
        </c:manualLayout>
      </c:layout>
      <c:overlay val="1"/>
      <c:txPr>
        <a:bodyPr/>
        <a:lstStyle/>
        <a:p>
          <a:pPr>
            <a:defRPr sz="1000"/>
          </a:pPr>
          <a:endParaRPr lang="en-US"/>
        </a:p>
      </c:txPr>
    </c:title>
    <c:autoTitleDeleted val="0"/>
    <c:plotArea>
      <c:layout>
        <c:manualLayout>
          <c:layoutTarget val="inner"/>
          <c:xMode val="edge"/>
          <c:yMode val="edge"/>
          <c:x val="2.4361634956260411E-2"/>
          <c:y val="8.4325396825396831E-2"/>
          <c:w val="0.9450826461478965"/>
          <c:h val="0.75467910261217352"/>
        </c:manualLayout>
      </c:layout>
      <c:barChart>
        <c:barDir val="col"/>
        <c:grouping val="stacked"/>
        <c:varyColors val="0"/>
        <c:ser>
          <c:idx val="3"/>
          <c:order val="0"/>
          <c:tx>
            <c:strRef>
              <c:f>'Capital Structure'!$T$4</c:f>
              <c:strCache>
                <c:ptCount val="1"/>
                <c:pt idx="0">
                  <c:v>Debt Maturity Schedule (Inc. capital lease)</c:v>
                </c:pt>
              </c:strCache>
            </c:strRef>
          </c:tx>
          <c:spPr>
            <a:solidFill>
              <a:schemeClr val="accent3">
                <a:lumMod val="50000"/>
              </a:schemeClr>
            </a:solidFill>
          </c:spPr>
          <c:invertIfNegative val="0"/>
          <c:dLbls>
            <c:numFmt formatCode="#,##0" sourceLinked="0"/>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'Capital Structure'!$T$6:$T$11</c:f>
              <c:strCache>
                <c:ptCount val="6"/>
                <c:pt idx="0">
                  <c:v>Jan 2023</c:v>
                </c:pt>
                <c:pt idx="1">
                  <c:v>Jan 2024</c:v>
                </c:pt>
                <c:pt idx="2">
                  <c:v>Jan 2025</c:v>
                </c:pt>
                <c:pt idx="3">
                  <c:v>Jan 2026</c:v>
                </c:pt>
                <c:pt idx="4">
                  <c:v>Jan 2027</c:v>
                </c:pt>
                <c:pt idx="5">
                  <c:v>Beyond Jan 2027</c:v>
                </c:pt>
              </c:strCache>
            </c:strRef>
          </c:cat>
          <c:val>
            <c:numRef>
              <c:f>'Capital Structure'!$W$6:$W$11</c:f>
              <c:numCache>
                <c:formatCode>0</c:formatCode>
                <c:ptCount val="6"/>
                <c:pt idx="0">
                  <c:v>3314</c:v>
                </c:pt>
                <c:pt idx="1">
                  <c:v>4615.7954900000004</c:v>
                </c:pt>
                <c:pt idx="2">
                  <c:v>3919.6474699999999</c:v>
                </c:pt>
                <c:pt idx="3">
                  <c:v>1179.1429599999999</c:v>
                </c:pt>
                <c:pt idx="4">
                  <c:v>3036.7710000000002</c:v>
                </c:pt>
                <c:pt idx="5" formatCode="General">
                  <c:v>26355.643090000001</c:v>
                </c:pt>
              </c:numCache>
            </c:numRef>
          </c:val>
          <c:extLst>
            <c:ext xmlns:c16="http://schemas.microsoft.com/office/drawing/2014/chart" uri="{C3380CC4-5D6E-409C-BE32-E72D297353CC}">
              <c16:uniqueId val="{00000000-B29D-4FCB-9AE4-EBBB837B0AA5}"/>
            </c:ext>
          </c:extLst>
        </c:ser>
        <c:dLbls>
          <c:dLblPos val="inBase"/>
          <c:showLegendKey val="0"/>
          <c:showVal val="1"/>
          <c:showCatName val="0"/>
          <c:showSerName val="0"/>
          <c:showPercent val="0"/>
          <c:showBubbleSize val="0"/>
        </c:dLbls>
        <c:gapWidth val="75"/>
        <c:overlap val="100"/>
        <c:axId val="881460736"/>
        <c:axId val="881277696"/>
      </c:barChart>
      <c:catAx>
        <c:axId val="881460736"/>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low"/>
        <c:txPr>
          <a:bodyPr rot="0" vert="horz" anchor="ctr" anchorCtr="1"/>
          <a:lstStyle/>
          <a:p>
            <a:pPr>
              <a:defRPr sz="900"/>
            </a:pPr>
            <a:endParaRPr lang="en-US"/>
          </a:p>
        </c:txPr>
        <c:crossAx val="881277696"/>
        <c:crosses val="autoZero"/>
        <c:auto val="0"/>
        <c:lblAlgn val="ctr"/>
        <c:lblOffset val="100"/>
        <c:noMultiLvlLbl val="0"/>
      </c:catAx>
      <c:valAx>
        <c:axId val="881277696"/>
        <c:scaling>
          <c:orientation val="minMax"/>
        </c:scaling>
        <c:delete val="0"/>
        <c:axPos val="l"/>
        <c:majorGridlines>
          <c:spPr>
            <a:ln>
              <a:solidFill>
                <a:schemeClr val="bg1">
                  <a:lumMod val="85000"/>
                </a:schemeClr>
              </a:solidFill>
            </a:ln>
          </c:spPr>
        </c:majorGridlines>
        <c:numFmt formatCode="#,##0.0" sourceLinked="0"/>
        <c:majorTickMark val="none"/>
        <c:minorTickMark val="none"/>
        <c:tickLblPos val="none"/>
        <c:spPr>
          <a:ln>
            <a:solidFill>
              <a:schemeClr val="bg1">
                <a:lumMod val="85000"/>
              </a:schemeClr>
            </a:solidFill>
          </a:ln>
        </c:spPr>
        <c:crossAx val="881460736"/>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a:ln>
      <a:noFill/>
    </a:ln>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Structure'!$T$1</c:f>
          <c:strCache>
            <c:ptCount val="1"/>
            <c:pt idx="0">
              <c:v> Debt Profile (USD million, as of January 2022)</c:v>
            </c:pt>
          </c:strCache>
        </c:strRef>
      </c:tx>
      <c:layout>
        <c:manualLayout>
          <c:xMode val="edge"/>
          <c:yMode val="edge"/>
          <c:x val="1.8780322914181201E-3"/>
          <c:y val="0"/>
        </c:manualLayout>
      </c:layout>
      <c:overlay val="1"/>
      <c:txPr>
        <a:bodyPr/>
        <a:lstStyle/>
        <a:p>
          <a:pPr>
            <a:defRPr sz="1000"/>
          </a:pPr>
          <a:endParaRPr lang="en-US"/>
        </a:p>
      </c:txPr>
    </c:title>
    <c:autoTitleDeleted val="0"/>
    <c:plotArea>
      <c:layout>
        <c:manualLayout>
          <c:layoutTarget val="inner"/>
          <c:xMode val="edge"/>
          <c:yMode val="edge"/>
          <c:x val="2.4361634956260411E-2"/>
          <c:y val="8.4325396825396831E-2"/>
          <c:w val="0.9450826461478965"/>
          <c:h val="0.75467910261217352"/>
        </c:manualLayout>
      </c:layout>
      <c:barChart>
        <c:barDir val="col"/>
        <c:grouping val="stacked"/>
        <c:varyColors val="0"/>
        <c:ser>
          <c:idx val="3"/>
          <c:order val="0"/>
          <c:tx>
            <c:strRef>
              <c:f>'Capital Structure'!$B$11</c:f>
              <c:strCache>
                <c:ptCount val="1"/>
                <c:pt idx="0">
                  <c:v>Debt Profile</c:v>
                </c:pt>
              </c:strCache>
            </c:strRef>
          </c:tx>
          <c:spPr>
            <a:solidFill>
              <a:schemeClr val="accent3">
                <a:lumMod val="50000"/>
              </a:schemeClr>
            </a:solidFill>
          </c:spPr>
          <c:invertIfNegative val="0"/>
          <c:dLbls>
            <c:numFmt formatCode="#,##0" sourceLinked="0"/>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'Capital Structure'!$B$13:$B$16</c:f>
              <c:strCache>
                <c:ptCount val="4"/>
                <c:pt idx="0">
                  <c:v>Term Loans</c:v>
                </c:pt>
                <c:pt idx="1">
                  <c:v>Senior Bonds and Notes</c:v>
                </c:pt>
                <c:pt idx="2">
                  <c:v>Revolving Credit</c:v>
                </c:pt>
                <c:pt idx="3">
                  <c:v>Capital Leases</c:v>
                </c:pt>
              </c:strCache>
            </c:strRef>
          </c:cat>
          <c:val>
            <c:numRef>
              <c:f>'Capital Structure'!$J$13:$J$16</c:f>
              <c:numCache>
                <c:formatCode>#,##0;[Red]\(#,##0\)</c:formatCode>
                <c:ptCount val="4"/>
                <c:pt idx="0">
                  <c:v>0</c:v>
                </c:pt>
                <c:pt idx="1">
                  <c:v>39220.984519999998</c:v>
                </c:pt>
                <c:pt idx="2">
                  <c:v>0</c:v>
                </c:pt>
                <c:pt idx="3">
                  <c:v>19246</c:v>
                </c:pt>
              </c:numCache>
            </c:numRef>
          </c:val>
          <c:extLst>
            <c:ext xmlns:c16="http://schemas.microsoft.com/office/drawing/2014/chart" uri="{C3380CC4-5D6E-409C-BE32-E72D297353CC}">
              <c16:uniqueId val="{00000000-B29D-4FCB-9AE4-EBBB837B0AA5}"/>
            </c:ext>
          </c:extLst>
        </c:ser>
        <c:dLbls>
          <c:dLblPos val="inBase"/>
          <c:showLegendKey val="0"/>
          <c:showVal val="1"/>
          <c:showCatName val="0"/>
          <c:showSerName val="0"/>
          <c:showPercent val="0"/>
          <c:showBubbleSize val="0"/>
        </c:dLbls>
        <c:gapWidth val="75"/>
        <c:overlap val="100"/>
        <c:axId val="879493632"/>
        <c:axId val="42762816"/>
      </c:barChart>
      <c:catAx>
        <c:axId val="879493632"/>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low"/>
        <c:txPr>
          <a:bodyPr rot="0" vert="horz" anchor="ctr" anchorCtr="1"/>
          <a:lstStyle/>
          <a:p>
            <a:pPr>
              <a:defRPr sz="900"/>
            </a:pPr>
            <a:endParaRPr lang="en-US"/>
          </a:p>
        </c:txPr>
        <c:crossAx val="42762816"/>
        <c:crosses val="autoZero"/>
        <c:auto val="0"/>
        <c:lblAlgn val="ctr"/>
        <c:lblOffset val="100"/>
        <c:noMultiLvlLbl val="0"/>
      </c:catAx>
      <c:valAx>
        <c:axId val="42762816"/>
        <c:scaling>
          <c:orientation val="minMax"/>
        </c:scaling>
        <c:delete val="0"/>
        <c:axPos val="l"/>
        <c:majorGridlines>
          <c:spPr>
            <a:ln>
              <a:solidFill>
                <a:schemeClr val="bg1">
                  <a:lumMod val="85000"/>
                </a:schemeClr>
              </a:solidFill>
            </a:ln>
          </c:spPr>
        </c:majorGridlines>
        <c:numFmt formatCode="#,##0.0" sourceLinked="0"/>
        <c:majorTickMark val="none"/>
        <c:minorTickMark val="none"/>
        <c:tickLblPos val="none"/>
        <c:spPr>
          <a:ln>
            <a:solidFill>
              <a:schemeClr val="bg1">
                <a:lumMod val="85000"/>
              </a:schemeClr>
            </a:solidFill>
          </a:ln>
        </c:spPr>
        <c:crossAx val="879493632"/>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noFill/>
    <a:ln>
      <a:noFill/>
    </a:ln>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Structure'!$B$40</c:f>
          <c:strCache>
            <c:ptCount val="1"/>
            <c:pt idx="0">
              <c:v>Total Debt/EBITDA</c:v>
            </c:pt>
          </c:strCache>
        </c:strRef>
      </c:tx>
      <c:layout>
        <c:manualLayout>
          <c:xMode val="edge"/>
          <c:yMode val="edge"/>
          <c:x val="3.1577727634623256E-3"/>
          <c:y val="0"/>
        </c:manualLayout>
      </c:layout>
      <c:overlay val="1"/>
      <c:txPr>
        <a:bodyPr/>
        <a:lstStyle/>
        <a:p>
          <a:pPr>
            <a:defRPr sz="1000"/>
          </a:pPr>
          <a:endParaRPr lang="en-US"/>
        </a:p>
      </c:txPr>
    </c:title>
    <c:autoTitleDeleted val="0"/>
    <c:plotArea>
      <c:layout>
        <c:manualLayout>
          <c:layoutTarget val="inner"/>
          <c:xMode val="edge"/>
          <c:yMode val="edge"/>
          <c:x val="9.2710577371241443E-2"/>
          <c:y val="0.14610107056240229"/>
          <c:w val="0.86631996903321618"/>
          <c:h val="0.67377905886764144"/>
        </c:manualLayout>
      </c:layout>
      <c:lineChart>
        <c:grouping val="standard"/>
        <c:varyColors val="0"/>
        <c:ser>
          <c:idx val="0"/>
          <c:order val="0"/>
          <c:tx>
            <c:strRef>
              <c:f>'Capital Structure'!$B$31</c:f>
              <c:strCache>
                <c:ptCount val="1"/>
                <c:pt idx="0">
                  <c:v>Total Debt / EBITDA</c:v>
                </c:pt>
              </c:strCache>
            </c:strRef>
          </c:tx>
          <c:spPr>
            <a:ln w="22225">
              <a:solidFill>
                <a:schemeClr val="accent3">
                  <a:lumMod val="50000"/>
                </a:schemeClr>
              </a:solidFill>
            </a:ln>
          </c:spPr>
          <c:marker>
            <c:symbol val="square"/>
            <c:size val="4"/>
            <c:spPr>
              <a:solidFill>
                <a:schemeClr val="accent3">
                  <a:lumMod val="50000"/>
                </a:schemeClr>
              </a:solidFill>
              <a:ln>
                <a:noFill/>
              </a:ln>
            </c:spPr>
          </c:marker>
          <c:cat>
            <c:strRef>
              <c:f>'Capital Structure'!$V$28:$V$33</c:f>
              <c:strCache>
                <c:ptCount val="6"/>
                <c:pt idx="0">
                  <c:v>FY2017</c:v>
                </c:pt>
                <c:pt idx="1">
                  <c:v>FY2018</c:v>
                </c:pt>
                <c:pt idx="2">
                  <c:v>FY2019</c:v>
                </c:pt>
                <c:pt idx="3">
                  <c:v>FY2020</c:v>
                </c:pt>
                <c:pt idx="4">
                  <c:v>FY2021</c:v>
                </c:pt>
                <c:pt idx="5">
                  <c:v>FY2022</c:v>
                </c:pt>
              </c:strCache>
            </c:strRef>
          </c:cat>
          <c:val>
            <c:numRef>
              <c:f>'Capital Structure'!$E$31:$J$31</c:f>
              <c:numCache>
                <c:formatCode>0.0\x</c:formatCode>
                <c:ptCount val="6"/>
                <c:pt idx="0">
                  <c:v>1.4178500000000001</c:v>
                </c:pt>
                <c:pt idx="1">
                  <c:v>1.4832799999999999</c:v>
                </c:pt>
                <c:pt idx="2">
                  <c:v>1.7913600000000001</c:v>
                </c:pt>
                <c:pt idx="3">
                  <c:v>2.0417999999999998</c:v>
                </c:pt>
                <c:pt idx="4">
                  <c:v>1.53338</c:v>
                </c:pt>
                <c:pt idx="5">
                  <c:v>1.4716</c:v>
                </c:pt>
              </c:numCache>
            </c:numRef>
          </c:val>
          <c:smooth val="0"/>
          <c:extLst>
            <c:ext xmlns:c16="http://schemas.microsoft.com/office/drawing/2014/chart" uri="{C3380CC4-5D6E-409C-BE32-E72D297353CC}">
              <c16:uniqueId val="{00000003-813D-42D7-8840-E350E6FB3D9B}"/>
            </c:ext>
          </c:extLst>
        </c:ser>
        <c:dLbls>
          <c:showLegendKey val="0"/>
          <c:showVal val="0"/>
          <c:showCatName val="0"/>
          <c:showSerName val="0"/>
          <c:showPercent val="0"/>
          <c:showBubbleSize val="0"/>
        </c:dLbls>
        <c:marker val="1"/>
        <c:smooth val="0"/>
        <c:axId val="881696768"/>
        <c:axId val="42767424"/>
      </c:lineChart>
      <c:catAx>
        <c:axId val="881696768"/>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42767424"/>
        <c:crosses val="autoZero"/>
        <c:auto val="1"/>
        <c:lblAlgn val="ctr"/>
        <c:lblOffset val="100"/>
        <c:noMultiLvlLbl val="1"/>
      </c:catAx>
      <c:valAx>
        <c:axId val="42767424"/>
        <c:scaling>
          <c:orientation val="minMax"/>
        </c:scaling>
        <c:delete val="0"/>
        <c:axPos val="l"/>
        <c:majorGridlines>
          <c:spPr>
            <a:ln>
              <a:solidFill>
                <a:srgbClr val="D9D9D9"/>
              </a:solidFill>
            </a:ln>
          </c:spPr>
        </c:majorGridlines>
        <c:numFmt formatCode="0.0\x" sourceLinked="0"/>
        <c:majorTickMark val="out"/>
        <c:minorTickMark val="none"/>
        <c:tickLblPos val="nextTo"/>
        <c:crossAx val="881696768"/>
        <c:crosses val="autoZero"/>
        <c:crossBetween val="between"/>
      </c:val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legend>
      <c:legendPos val="b"/>
      <c:layout>
        <c:manualLayout>
          <c:xMode val="edge"/>
          <c:yMode val="edge"/>
          <c:x val="0.31088167449723414"/>
          <c:y val="0.92088527996500436"/>
          <c:w val="0.37823640414022741"/>
          <c:h val="7.9114720034995631E-2"/>
        </c:manualLayout>
      </c:layout>
      <c:overlay val="0"/>
    </c:legend>
    <c:plotVisOnly val="0"/>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Structure'!$L$43</c:f>
          <c:strCache>
            <c:ptCount val="1"/>
            <c:pt idx="0">
              <c:v>EBITDA/Interest Expense</c:v>
            </c:pt>
          </c:strCache>
        </c:strRef>
      </c:tx>
      <c:layout>
        <c:manualLayout>
          <c:xMode val="edge"/>
          <c:yMode val="edge"/>
          <c:x val="2.8345750825725189E-3"/>
          <c:y val="0"/>
        </c:manualLayout>
      </c:layout>
      <c:overlay val="1"/>
      <c:txPr>
        <a:bodyPr/>
        <a:lstStyle/>
        <a:p>
          <a:pPr>
            <a:defRPr sz="1000"/>
          </a:pPr>
          <a:endParaRPr lang="en-US"/>
        </a:p>
      </c:txPr>
    </c:title>
    <c:autoTitleDeleted val="0"/>
    <c:plotArea>
      <c:layout>
        <c:manualLayout>
          <c:layoutTarget val="inner"/>
          <c:xMode val="edge"/>
          <c:yMode val="edge"/>
          <c:x val="0.10240158457428777"/>
          <c:y val="0.14102797262829925"/>
          <c:w val="0.85033099700009285"/>
          <c:h val="0.66518521122359708"/>
        </c:manualLayout>
      </c:layout>
      <c:lineChart>
        <c:grouping val="standard"/>
        <c:varyColors val="0"/>
        <c:ser>
          <c:idx val="0"/>
          <c:order val="0"/>
          <c:tx>
            <c:strRef>
              <c:f>'Capital Structure'!$B$36</c:f>
              <c:strCache>
                <c:ptCount val="1"/>
                <c:pt idx="0">
                  <c:v>EBITDA / Interest Exp</c:v>
                </c:pt>
              </c:strCache>
            </c:strRef>
          </c:tx>
          <c:spPr>
            <a:ln w="22225">
              <a:solidFill>
                <a:schemeClr val="accent3">
                  <a:lumMod val="50000"/>
                </a:schemeClr>
              </a:solidFill>
            </a:ln>
          </c:spPr>
          <c:marker>
            <c:symbol val="square"/>
            <c:size val="4"/>
            <c:spPr>
              <a:solidFill>
                <a:schemeClr val="accent3">
                  <a:lumMod val="50000"/>
                </a:schemeClr>
              </a:solidFill>
              <a:ln>
                <a:noFill/>
              </a:ln>
            </c:spPr>
          </c:marker>
          <c:cat>
            <c:strRef>
              <c:f>'Capital Structure'!$V$28:$V$33</c:f>
              <c:strCache>
                <c:ptCount val="6"/>
                <c:pt idx="0">
                  <c:v>FY2017</c:v>
                </c:pt>
                <c:pt idx="1">
                  <c:v>FY2018</c:v>
                </c:pt>
                <c:pt idx="2">
                  <c:v>FY2019</c:v>
                </c:pt>
                <c:pt idx="3">
                  <c:v>FY2020</c:v>
                </c:pt>
                <c:pt idx="4">
                  <c:v>FY2021</c:v>
                </c:pt>
                <c:pt idx="5">
                  <c:v>FY2022</c:v>
                </c:pt>
              </c:strCache>
            </c:strRef>
          </c:cat>
          <c:val>
            <c:numRef>
              <c:f>'Capital Structure'!$E$36:$J$36</c:f>
              <c:numCache>
                <c:formatCode>0.0\x</c:formatCode>
                <c:ptCount val="6"/>
                <c:pt idx="0">
                  <c:v>13.87579</c:v>
                </c:pt>
                <c:pt idx="1">
                  <c:v>13.504720000000001</c:v>
                </c:pt>
                <c:pt idx="2">
                  <c:v>13.910909999999999</c:v>
                </c:pt>
                <c:pt idx="3">
                  <c:v>13.78068</c:v>
                </c:pt>
                <c:pt idx="4">
                  <c:v>17.927859999999999</c:v>
                </c:pt>
                <c:pt idx="5">
                  <c:v>19.90822</c:v>
                </c:pt>
              </c:numCache>
            </c:numRef>
          </c:val>
          <c:smooth val="0"/>
          <c:extLst>
            <c:ext xmlns:c16="http://schemas.microsoft.com/office/drawing/2014/chart" uri="{C3380CC4-5D6E-409C-BE32-E72D297353CC}">
              <c16:uniqueId val="{00000003-BBB4-4427-B906-6FFA34CA9462}"/>
            </c:ext>
          </c:extLst>
        </c:ser>
        <c:dLbls>
          <c:showLegendKey val="0"/>
          <c:showVal val="0"/>
          <c:showCatName val="0"/>
          <c:showSerName val="0"/>
          <c:showPercent val="0"/>
          <c:showBubbleSize val="0"/>
        </c:dLbls>
        <c:marker val="1"/>
        <c:smooth val="0"/>
        <c:axId val="881697792"/>
        <c:axId val="42769152"/>
      </c:lineChart>
      <c:catAx>
        <c:axId val="881697792"/>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42769152"/>
        <c:crosses val="autoZero"/>
        <c:auto val="0"/>
        <c:lblAlgn val="ctr"/>
        <c:lblOffset val="100"/>
        <c:noMultiLvlLbl val="0"/>
      </c:catAx>
      <c:valAx>
        <c:axId val="42769152"/>
        <c:scaling>
          <c:orientation val="minMax"/>
        </c:scaling>
        <c:delete val="0"/>
        <c:axPos val="l"/>
        <c:majorGridlines>
          <c:spPr>
            <a:ln>
              <a:solidFill>
                <a:srgbClr val="D9D9D9"/>
              </a:solidFill>
            </a:ln>
          </c:spPr>
        </c:majorGridlines>
        <c:numFmt formatCode="0.0\x" sourceLinked="0"/>
        <c:majorTickMark val="out"/>
        <c:minorTickMark val="none"/>
        <c:tickLblPos val="nextTo"/>
        <c:crossAx val="881697792"/>
        <c:crosses val="autoZero"/>
        <c:crossBetween val="between"/>
      </c:valAx>
      <c:spPr>
        <a:gradFill>
          <a:gsLst>
            <a:gs pos="0">
              <a:schemeClr val="bg1">
                <a:lumMod val="95000"/>
              </a:schemeClr>
            </a:gs>
            <a:gs pos="0">
              <a:schemeClr val="bg1">
                <a:lumMod val="95000"/>
              </a:schemeClr>
            </a:gs>
            <a:gs pos="50000">
              <a:schemeClr val="bg1"/>
            </a:gs>
          </a:gsLst>
          <a:lin ang="16200000" scaled="0"/>
        </a:gradFill>
      </c:spPr>
    </c:plotArea>
    <c:legend>
      <c:legendPos val="b"/>
      <c:layout>
        <c:manualLayout>
          <c:xMode val="edge"/>
          <c:yMode val="edge"/>
          <c:x val="0.28924886787571419"/>
          <c:y val="0.92088527996500436"/>
          <c:w val="0.42150226424857162"/>
          <c:h val="7.9114720034995631E-2"/>
        </c:manualLayout>
      </c:layout>
      <c:overlay val="0"/>
    </c:legend>
    <c:plotVisOnly val="0"/>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9"/>
    </mc:Choice>
    <mc:Fallback>
      <c:style val="19"/>
    </mc:Fallback>
  </mc:AlternateContent>
  <c:chart>
    <c:title>
      <c:tx>
        <c:strRef>
          <c:f>'Capital Structure'!$L$62</c:f>
          <c:strCache>
            <c:ptCount val="1"/>
            <c:pt idx="0">
              <c:v>Total Cash (USD million) and Cash Growth</c:v>
            </c:pt>
          </c:strCache>
        </c:strRef>
      </c:tx>
      <c:layout>
        <c:manualLayout>
          <c:xMode val="edge"/>
          <c:yMode val="edge"/>
          <c:x val="2.9061806399677532E-3"/>
          <c:y val="0"/>
        </c:manualLayout>
      </c:layout>
      <c:overlay val="1"/>
      <c:txPr>
        <a:bodyPr/>
        <a:lstStyle/>
        <a:p>
          <a:pPr>
            <a:defRPr sz="1000"/>
          </a:pPr>
          <a:endParaRPr lang="en-US"/>
        </a:p>
      </c:txPr>
    </c:title>
    <c:autoTitleDeleted val="0"/>
    <c:plotArea>
      <c:layout>
        <c:manualLayout>
          <c:layoutTarget val="inner"/>
          <c:xMode val="edge"/>
          <c:yMode val="edge"/>
          <c:x val="0.11333924959920459"/>
          <c:y val="0.12848218739345432"/>
          <c:w val="0.77175275865029291"/>
          <c:h val="0.67576792225450855"/>
        </c:manualLayout>
      </c:layout>
      <c:barChart>
        <c:barDir val="col"/>
        <c:grouping val="clustered"/>
        <c:varyColors val="0"/>
        <c:ser>
          <c:idx val="1"/>
          <c:order val="0"/>
          <c:tx>
            <c:strRef>
              <c:f>'Capital Structure'!$T$16</c:f>
              <c:strCache>
                <c:ptCount val="1"/>
                <c:pt idx="0">
                  <c:v>Cash and Cash Equivalents</c:v>
                </c:pt>
              </c:strCache>
            </c:strRef>
          </c:tx>
          <c:spPr>
            <a:solidFill>
              <a:schemeClr val="accent3">
                <a:lumMod val="50000"/>
              </a:schemeClr>
            </a:solidFill>
          </c:spPr>
          <c:invertIfNegative val="0"/>
          <c:cat>
            <c:strRef>
              <c:f>'Capital Structure'!$V$28:$V$33</c:f>
              <c:strCache>
                <c:ptCount val="6"/>
                <c:pt idx="0">
                  <c:v>FY2017</c:v>
                </c:pt>
                <c:pt idx="1">
                  <c:v>FY2018</c:v>
                </c:pt>
                <c:pt idx="2">
                  <c:v>FY2019</c:v>
                </c:pt>
                <c:pt idx="3">
                  <c:v>FY2020</c:v>
                </c:pt>
                <c:pt idx="4">
                  <c:v>FY2021</c:v>
                </c:pt>
                <c:pt idx="5">
                  <c:v>FY2022</c:v>
                </c:pt>
              </c:strCache>
            </c:strRef>
          </c:cat>
          <c:val>
            <c:numRef>
              <c:f>'Capital Structure'!$W$16:$AB$16</c:f>
              <c:numCache>
                <c:formatCode>#,##0_);\(#,##0\)</c:formatCode>
                <c:ptCount val="6"/>
                <c:pt idx="0">
                  <c:v>6867</c:v>
                </c:pt>
                <c:pt idx="1">
                  <c:v>6756</c:v>
                </c:pt>
                <c:pt idx="2">
                  <c:v>7722</c:v>
                </c:pt>
                <c:pt idx="3">
                  <c:v>9465</c:v>
                </c:pt>
                <c:pt idx="4">
                  <c:v>17741</c:v>
                </c:pt>
                <c:pt idx="5">
                  <c:v>14760</c:v>
                </c:pt>
              </c:numCache>
            </c:numRef>
          </c:val>
          <c:extLst>
            <c:ext xmlns:c16="http://schemas.microsoft.com/office/drawing/2014/chart" uri="{C3380CC4-5D6E-409C-BE32-E72D297353CC}">
              <c16:uniqueId val="{00000000-6D7B-47EE-8703-A803DD80D9CA}"/>
            </c:ext>
          </c:extLst>
        </c:ser>
        <c:dLbls>
          <c:showLegendKey val="0"/>
          <c:showVal val="0"/>
          <c:showCatName val="0"/>
          <c:showSerName val="0"/>
          <c:showPercent val="0"/>
          <c:showBubbleSize val="0"/>
        </c:dLbls>
        <c:gapWidth val="150"/>
        <c:axId val="881698304"/>
        <c:axId val="882000448"/>
      </c:barChart>
      <c:lineChart>
        <c:grouping val="standard"/>
        <c:varyColors val="0"/>
        <c:ser>
          <c:idx val="0"/>
          <c:order val="1"/>
          <c:tx>
            <c:strRef>
              <c:f>'Capital Structure'!$T$17</c:f>
              <c:strCache>
                <c:ptCount val="1"/>
                <c:pt idx="0">
                  <c:v>Cash and Cash Equivalents Growth</c:v>
                </c:pt>
              </c:strCache>
            </c:strRef>
          </c:tx>
          <c:spPr>
            <a:ln w="22225">
              <a:solidFill>
                <a:schemeClr val="accent3"/>
              </a:solidFill>
            </a:ln>
            <a:effectLst/>
          </c:spPr>
          <c:marker>
            <c:symbol val="square"/>
            <c:size val="4"/>
            <c:spPr>
              <a:solidFill>
                <a:schemeClr val="accent3"/>
              </a:solidFill>
              <a:ln>
                <a:noFill/>
              </a:ln>
              <a:effectLst/>
            </c:spPr>
          </c:marker>
          <c:cat>
            <c:strRef>
              <c:f>'Capital Structure'!$V$28:$V$33</c:f>
              <c:strCache>
                <c:ptCount val="6"/>
                <c:pt idx="0">
                  <c:v>FY2017</c:v>
                </c:pt>
                <c:pt idx="1">
                  <c:v>FY2018</c:v>
                </c:pt>
                <c:pt idx="2">
                  <c:v>FY2019</c:v>
                </c:pt>
                <c:pt idx="3">
                  <c:v>FY2020</c:v>
                </c:pt>
                <c:pt idx="4">
                  <c:v>FY2021</c:v>
                </c:pt>
                <c:pt idx="5">
                  <c:v>FY2022</c:v>
                </c:pt>
              </c:strCache>
            </c:strRef>
          </c:cat>
          <c:val>
            <c:numRef>
              <c:f>'Capital Structure'!$W$17:$AB$17</c:f>
              <c:numCache>
                <c:formatCode>0.0%;\(0.0%\)</c:formatCode>
                <c:ptCount val="6"/>
                <c:pt idx="0">
                  <c:v>-0.21114302125215392</c:v>
                </c:pt>
                <c:pt idx="1">
                  <c:v>-1.616426387068589E-2</c:v>
                </c:pt>
                <c:pt idx="2">
                  <c:v>0.14298401420959148</c:v>
                </c:pt>
                <c:pt idx="3">
                  <c:v>0.22571872571872573</c:v>
                </c:pt>
                <c:pt idx="4">
                  <c:v>0.87437929212889598</c:v>
                </c:pt>
                <c:pt idx="5">
                  <c:v>-0.16802885970351164</c:v>
                </c:pt>
              </c:numCache>
            </c:numRef>
          </c:val>
          <c:smooth val="0"/>
          <c:extLst>
            <c:ext xmlns:c16="http://schemas.microsoft.com/office/drawing/2014/chart" uri="{C3380CC4-5D6E-409C-BE32-E72D297353CC}">
              <c16:uniqueId val="{00000003-6D7B-47EE-8703-A803DD80D9CA}"/>
            </c:ext>
          </c:extLst>
        </c:ser>
        <c:dLbls>
          <c:showLegendKey val="0"/>
          <c:showVal val="0"/>
          <c:showCatName val="0"/>
          <c:showSerName val="0"/>
          <c:showPercent val="0"/>
          <c:showBubbleSize val="0"/>
        </c:dLbls>
        <c:marker val="1"/>
        <c:smooth val="0"/>
        <c:axId val="881699328"/>
        <c:axId val="882001024"/>
      </c:lineChart>
      <c:catAx>
        <c:axId val="881698304"/>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000448"/>
        <c:crosses val="autoZero"/>
        <c:auto val="0"/>
        <c:lblAlgn val="ctr"/>
        <c:lblOffset val="100"/>
        <c:noMultiLvlLbl val="0"/>
      </c:catAx>
      <c:valAx>
        <c:axId val="882000448"/>
        <c:scaling>
          <c:orientation val="minMax"/>
        </c:scaling>
        <c:delete val="0"/>
        <c:axPos val="l"/>
        <c:majorGridlines>
          <c:spPr>
            <a:ln>
              <a:solidFill>
                <a:srgbClr val="D9D9D9"/>
              </a:solidFill>
            </a:ln>
          </c:spPr>
        </c:majorGridlines>
        <c:numFmt formatCode="#,##0" sourceLinked="0"/>
        <c:majorTickMark val="out"/>
        <c:minorTickMark val="none"/>
        <c:tickLblPos val="nextTo"/>
        <c:spPr>
          <a:ln>
            <a:solidFill>
              <a:schemeClr val="tx1"/>
            </a:solidFill>
          </a:ln>
        </c:spPr>
        <c:crossAx val="881698304"/>
        <c:crosses val="autoZero"/>
        <c:crossBetween val="between"/>
      </c:valAx>
      <c:valAx>
        <c:axId val="882001024"/>
        <c:scaling>
          <c:orientation val="minMax"/>
        </c:scaling>
        <c:delete val="0"/>
        <c:axPos val="r"/>
        <c:numFmt formatCode="0%" sourceLinked="0"/>
        <c:majorTickMark val="out"/>
        <c:minorTickMark val="none"/>
        <c:tickLblPos val="nextTo"/>
        <c:spPr>
          <a:ln>
            <a:solidFill>
              <a:schemeClr val="tx1"/>
            </a:solidFill>
          </a:ln>
        </c:spPr>
        <c:crossAx val="881699328"/>
        <c:crosses val="max"/>
        <c:crossBetween val="between"/>
      </c:valAx>
      <c:catAx>
        <c:axId val="881699328"/>
        <c:scaling>
          <c:orientation val="minMax"/>
        </c:scaling>
        <c:delete val="1"/>
        <c:axPos val="b"/>
        <c:numFmt formatCode="General" sourceLinked="1"/>
        <c:majorTickMark val="out"/>
        <c:minorTickMark val="none"/>
        <c:tickLblPos val="none"/>
        <c:crossAx val="882001024"/>
        <c:crosses val="autoZero"/>
        <c:auto val="0"/>
        <c:lblAlgn val="ctr"/>
        <c:lblOffset val="100"/>
        <c:noMultiLvlLbl val="0"/>
      </c:catAx>
      <c:spPr>
        <a:gradFill>
          <a:gsLst>
            <a:gs pos="0">
              <a:schemeClr val="bg1">
                <a:lumMod val="95000"/>
              </a:schemeClr>
            </a:gs>
            <a:gs pos="0">
              <a:schemeClr val="bg1">
                <a:lumMod val="95000"/>
              </a:schemeClr>
            </a:gs>
            <a:gs pos="50000">
              <a:schemeClr val="bg1"/>
            </a:gs>
          </a:gsLst>
          <a:lin ang="16200000" scaled="0"/>
        </a:gradFill>
        <a:ln>
          <a:solidFill>
            <a:srgbClr val="D9D9D9"/>
          </a:solidFill>
        </a:ln>
      </c:spPr>
    </c:plotArea>
    <c:legend>
      <c:legendPos val="b"/>
      <c:layout>
        <c:manualLayout>
          <c:xMode val="edge"/>
          <c:yMode val="edge"/>
          <c:x val="5.0708602169649789E-3"/>
          <c:y val="0.91232907229188942"/>
          <c:w val="0.99492903454959303"/>
          <c:h val="8.736876640419948E-2"/>
        </c:manualLayout>
      </c:layout>
      <c:overlay val="0"/>
    </c:legend>
    <c:plotVisOnly val="0"/>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9"/>
    </mc:Choice>
    <mc:Fallback>
      <c:style val="19"/>
    </mc:Fallback>
  </mc:AlternateContent>
  <c:chart>
    <c:title>
      <c:tx>
        <c:strRef>
          <c:f>'Capital Structure'!$B$59</c:f>
          <c:strCache>
            <c:ptCount val="1"/>
            <c:pt idx="0">
              <c:v>Total Debt (USD million) and Debt/Capital</c:v>
            </c:pt>
          </c:strCache>
        </c:strRef>
      </c:tx>
      <c:layout>
        <c:manualLayout>
          <c:xMode val="edge"/>
          <c:yMode val="edge"/>
          <c:x val="1.6070451824154572E-3"/>
          <c:y val="0"/>
        </c:manualLayout>
      </c:layout>
      <c:overlay val="1"/>
      <c:txPr>
        <a:bodyPr/>
        <a:lstStyle/>
        <a:p>
          <a:pPr>
            <a:defRPr sz="1000" b="1"/>
          </a:pPr>
          <a:endParaRPr lang="en-US"/>
        </a:p>
      </c:txPr>
    </c:title>
    <c:autoTitleDeleted val="0"/>
    <c:plotArea>
      <c:layout>
        <c:manualLayout>
          <c:layoutTarget val="inner"/>
          <c:xMode val="edge"/>
          <c:yMode val="edge"/>
          <c:x val="0.1133777586826277"/>
          <c:y val="0.12331510342711929"/>
          <c:w val="0.78754370990528177"/>
          <c:h val="0.68093500622084357"/>
        </c:manualLayout>
      </c:layout>
      <c:barChart>
        <c:barDir val="col"/>
        <c:grouping val="clustered"/>
        <c:varyColors val="0"/>
        <c:ser>
          <c:idx val="1"/>
          <c:order val="0"/>
          <c:tx>
            <c:strRef>
              <c:f>'Capital Structure'!$B$7</c:f>
              <c:strCache>
                <c:ptCount val="1"/>
                <c:pt idx="0">
                  <c:v>Total Debt</c:v>
                </c:pt>
              </c:strCache>
            </c:strRef>
          </c:tx>
          <c:spPr>
            <a:solidFill>
              <a:schemeClr val="accent3">
                <a:lumMod val="50000"/>
              </a:schemeClr>
            </a:solidFill>
          </c:spPr>
          <c:invertIfNegative val="0"/>
          <c:cat>
            <c:strRef>
              <c:f>'Capital Structure'!$V$28:$V$33</c:f>
              <c:strCache>
                <c:ptCount val="6"/>
                <c:pt idx="0">
                  <c:v>FY2017</c:v>
                </c:pt>
                <c:pt idx="1">
                  <c:v>FY2018</c:v>
                </c:pt>
                <c:pt idx="2">
                  <c:v>FY2019</c:v>
                </c:pt>
                <c:pt idx="3">
                  <c:v>FY2020</c:v>
                </c:pt>
                <c:pt idx="4">
                  <c:v>FY2021</c:v>
                </c:pt>
                <c:pt idx="5">
                  <c:v>FY2022</c:v>
                </c:pt>
              </c:strCache>
            </c:strRef>
          </c:cat>
          <c:val>
            <c:numRef>
              <c:f>'Capital Structure'!$E$7:$J$7</c:f>
              <c:numCache>
                <c:formatCode>#,##0;[Red]\(#,##0\)</c:formatCode>
                <c:ptCount val="6"/>
                <c:pt idx="0" formatCode="#,##0_);\(#,##0\)">
                  <c:v>46568</c:v>
                </c:pt>
                <c:pt idx="1">
                  <c:v>46673</c:v>
                </c:pt>
                <c:pt idx="2">
                  <c:v>58461</c:v>
                </c:pt>
                <c:pt idx="3">
                  <c:v>73129</c:v>
                </c:pt>
                <c:pt idx="4">
                  <c:v>63640</c:v>
                </c:pt>
                <c:pt idx="5">
                  <c:v>58418</c:v>
                </c:pt>
              </c:numCache>
            </c:numRef>
          </c:val>
          <c:extLst>
            <c:ext xmlns:c16="http://schemas.microsoft.com/office/drawing/2014/chart" uri="{C3380CC4-5D6E-409C-BE32-E72D297353CC}">
              <c16:uniqueId val="{00000000-2241-4A34-BBFD-731F88CB6621}"/>
            </c:ext>
          </c:extLst>
        </c:ser>
        <c:dLbls>
          <c:showLegendKey val="0"/>
          <c:showVal val="0"/>
          <c:showCatName val="0"/>
          <c:showSerName val="0"/>
          <c:showPercent val="0"/>
          <c:showBubbleSize val="0"/>
        </c:dLbls>
        <c:gapWidth val="150"/>
        <c:axId val="881700352"/>
        <c:axId val="882003328"/>
      </c:barChart>
      <c:lineChart>
        <c:grouping val="standard"/>
        <c:varyColors val="0"/>
        <c:ser>
          <c:idx val="0"/>
          <c:order val="1"/>
          <c:tx>
            <c:strRef>
              <c:f>'Capital Structure'!$B$35</c:f>
              <c:strCache>
                <c:ptCount val="1"/>
                <c:pt idx="0">
                  <c:v>Total Debt / Capital</c:v>
                </c:pt>
              </c:strCache>
            </c:strRef>
          </c:tx>
          <c:spPr>
            <a:ln w="22225">
              <a:solidFill>
                <a:schemeClr val="accent3"/>
              </a:solidFill>
            </a:ln>
            <a:effectLst/>
          </c:spPr>
          <c:marker>
            <c:symbol val="square"/>
            <c:size val="4"/>
            <c:spPr>
              <a:solidFill>
                <a:schemeClr val="accent3"/>
              </a:solidFill>
              <a:ln>
                <a:noFill/>
              </a:ln>
              <a:effectLst/>
            </c:spPr>
          </c:marker>
          <c:cat>
            <c:strRef>
              <c:f>'Capital Structure'!$V$28:$V$33</c:f>
              <c:strCache>
                <c:ptCount val="6"/>
                <c:pt idx="0">
                  <c:v>FY2017</c:v>
                </c:pt>
                <c:pt idx="1">
                  <c:v>FY2018</c:v>
                </c:pt>
                <c:pt idx="2">
                  <c:v>FY2019</c:v>
                </c:pt>
                <c:pt idx="3">
                  <c:v>FY2020</c:v>
                </c:pt>
                <c:pt idx="4">
                  <c:v>FY2021</c:v>
                </c:pt>
                <c:pt idx="5">
                  <c:v>FY2022</c:v>
                </c:pt>
              </c:strCache>
            </c:strRef>
          </c:cat>
          <c:val>
            <c:numRef>
              <c:f>'Capital Structure'!$E$35:$J$35</c:f>
              <c:numCache>
                <c:formatCode>0.0%</c:formatCode>
                <c:ptCount val="6"/>
                <c:pt idx="0">
                  <c:v>0.36637999999999998</c:v>
                </c:pt>
                <c:pt idx="1">
                  <c:v>0.36607699999999999</c:v>
                </c:pt>
                <c:pt idx="2">
                  <c:v>0.42333900000000002</c:v>
                </c:pt>
                <c:pt idx="3">
                  <c:v>0.47277200000000003</c:v>
                </c:pt>
                <c:pt idx="4">
                  <c:v>0.42097999999999997</c:v>
                </c:pt>
                <c:pt idx="5">
                  <c:v>0.388652</c:v>
                </c:pt>
              </c:numCache>
            </c:numRef>
          </c:val>
          <c:smooth val="0"/>
          <c:extLst>
            <c:ext xmlns:c16="http://schemas.microsoft.com/office/drawing/2014/chart" uri="{C3380CC4-5D6E-409C-BE32-E72D297353CC}">
              <c16:uniqueId val="{00000004-2241-4A34-BBFD-731F88CB6621}"/>
            </c:ext>
          </c:extLst>
        </c:ser>
        <c:dLbls>
          <c:showLegendKey val="0"/>
          <c:showVal val="0"/>
          <c:showCatName val="0"/>
          <c:showSerName val="0"/>
          <c:showPercent val="0"/>
          <c:showBubbleSize val="0"/>
        </c:dLbls>
        <c:marker val="1"/>
        <c:smooth val="0"/>
        <c:axId val="882053632"/>
        <c:axId val="882003904"/>
      </c:lineChart>
      <c:catAx>
        <c:axId val="881700352"/>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003328"/>
        <c:crosses val="autoZero"/>
        <c:auto val="0"/>
        <c:lblAlgn val="ctr"/>
        <c:lblOffset val="100"/>
        <c:noMultiLvlLbl val="0"/>
      </c:catAx>
      <c:valAx>
        <c:axId val="882003328"/>
        <c:scaling>
          <c:orientation val="minMax"/>
        </c:scaling>
        <c:delete val="0"/>
        <c:axPos val="l"/>
        <c:majorGridlines>
          <c:spPr>
            <a:ln>
              <a:solidFill>
                <a:srgbClr val="D9D9D9"/>
              </a:solidFill>
            </a:ln>
          </c:spPr>
        </c:majorGridlines>
        <c:numFmt formatCode="#,##0" sourceLinked="0"/>
        <c:majorTickMark val="out"/>
        <c:minorTickMark val="none"/>
        <c:tickLblPos val="nextTo"/>
        <c:spPr>
          <a:ln>
            <a:solidFill>
              <a:schemeClr val="tx1"/>
            </a:solidFill>
          </a:ln>
        </c:spPr>
        <c:crossAx val="881700352"/>
        <c:crosses val="autoZero"/>
        <c:crossBetween val="between"/>
      </c:valAx>
      <c:valAx>
        <c:axId val="882003904"/>
        <c:scaling>
          <c:orientation val="minMax"/>
        </c:scaling>
        <c:delete val="0"/>
        <c:axPos val="r"/>
        <c:numFmt formatCode="0%" sourceLinked="0"/>
        <c:majorTickMark val="out"/>
        <c:minorTickMark val="none"/>
        <c:tickLblPos val="nextTo"/>
        <c:spPr>
          <a:ln>
            <a:solidFill>
              <a:schemeClr val="tx1"/>
            </a:solidFill>
          </a:ln>
        </c:spPr>
        <c:crossAx val="882053632"/>
        <c:crosses val="max"/>
        <c:crossBetween val="between"/>
      </c:valAx>
      <c:catAx>
        <c:axId val="882053632"/>
        <c:scaling>
          <c:orientation val="minMax"/>
        </c:scaling>
        <c:delete val="1"/>
        <c:axPos val="b"/>
        <c:numFmt formatCode="General" sourceLinked="1"/>
        <c:majorTickMark val="out"/>
        <c:minorTickMark val="none"/>
        <c:tickLblPos val="none"/>
        <c:crossAx val="882003904"/>
        <c:crosses val="autoZero"/>
        <c:auto val="0"/>
        <c:lblAlgn val="ctr"/>
        <c:lblOffset val="100"/>
        <c:noMultiLvlLbl val="0"/>
      </c:catAx>
      <c:spPr>
        <a:gradFill>
          <a:gsLst>
            <a:gs pos="0">
              <a:schemeClr val="bg1">
                <a:lumMod val="95000"/>
              </a:schemeClr>
            </a:gs>
            <a:gs pos="0">
              <a:schemeClr val="bg1">
                <a:lumMod val="95000"/>
              </a:schemeClr>
            </a:gs>
            <a:gs pos="50000">
              <a:schemeClr val="bg1"/>
            </a:gs>
          </a:gsLst>
          <a:lin ang="16200000" scaled="0"/>
        </a:gradFill>
      </c:spPr>
    </c:plotArea>
    <c:legend>
      <c:legendPos val="b"/>
      <c:layout>
        <c:manualLayout>
          <c:xMode val="edge"/>
          <c:yMode val="edge"/>
          <c:x val="0.20570961632283569"/>
          <c:y val="0.91847682598966462"/>
          <c:w val="0.58858076735432863"/>
          <c:h val="8.1523174010335334E-2"/>
        </c:manualLayout>
      </c:layout>
      <c:overlay val="0"/>
    </c:legend>
    <c:plotVisOnly val="0"/>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Structure_H'!$T$2</c:f>
          <c:strCache>
            <c:ptCount val="1"/>
            <c:pt idx="0">
              <c:v>Debt Maturity Schedule (USD million)</c:v>
            </c:pt>
          </c:strCache>
        </c:strRef>
      </c:tx>
      <c:layout>
        <c:manualLayout>
          <c:xMode val="edge"/>
          <c:yMode val="edge"/>
          <c:x val="1.8780322914181201E-3"/>
          <c:y val="0"/>
        </c:manualLayout>
      </c:layout>
      <c:overlay val="1"/>
      <c:txPr>
        <a:bodyPr/>
        <a:lstStyle/>
        <a:p>
          <a:pPr>
            <a:defRPr sz="1000"/>
          </a:pPr>
          <a:endParaRPr lang="en-US"/>
        </a:p>
      </c:txPr>
    </c:title>
    <c:autoTitleDeleted val="0"/>
    <c:plotArea>
      <c:layout>
        <c:manualLayout>
          <c:layoutTarget val="inner"/>
          <c:xMode val="edge"/>
          <c:yMode val="edge"/>
          <c:x val="2.4361634956260411E-2"/>
          <c:y val="8.4325396825396831E-2"/>
          <c:w val="0.9450826461478965"/>
          <c:h val="0.75467910261217352"/>
        </c:manualLayout>
      </c:layout>
      <c:barChart>
        <c:barDir val="col"/>
        <c:grouping val="stacked"/>
        <c:varyColors val="0"/>
        <c:ser>
          <c:idx val="3"/>
          <c:order val="0"/>
          <c:tx>
            <c:strRef>
              <c:f>'Capital Structure_H'!$T$4</c:f>
              <c:strCache>
                <c:ptCount val="1"/>
                <c:pt idx="0">
                  <c:v>Debt Maturity Schedule (Inc. capital lease)</c:v>
                </c:pt>
              </c:strCache>
            </c:strRef>
          </c:tx>
          <c:spPr>
            <a:solidFill>
              <a:schemeClr val="accent3">
                <a:lumMod val="50000"/>
              </a:schemeClr>
            </a:solidFill>
          </c:spPr>
          <c:invertIfNegative val="0"/>
          <c:dLbls>
            <c:numFmt formatCode="#,##0" sourceLinked="0"/>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'Capital Structure_H'!$T$6:$T$11</c:f>
              <c:strCache>
                <c:ptCount val="6"/>
                <c:pt idx="0">
                  <c:v>Jan 2023</c:v>
                </c:pt>
                <c:pt idx="1">
                  <c:v>Jan 2024</c:v>
                </c:pt>
                <c:pt idx="2">
                  <c:v>Jan 2025</c:v>
                </c:pt>
                <c:pt idx="3">
                  <c:v>Jan 2026</c:v>
                </c:pt>
                <c:pt idx="4">
                  <c:v>Jan 2027</c:v>
                </c:pt>
                <c:pt idx="5">
                  <c:v>Beyond Jan 2027</c:v>
                </c:pt>
              </c:strCache>
            </c:strRef>
          </c:cat>
          <c:val>
            <c:numRef>
              <c:f>'Capital Structure_H'!$W$6:$W$11</c:f>
              <c:numCache>
                <c:formatCode>0</c:formatCode>
                <c:ptCount val="6"/>
                <c:pt idx="0">
                  <c:v>3314</c:v>
                </c:pt>
                <c:pt idx="1">
                  <c:v>4615.7954900000004</c:v>
                </c:pt>
                <c:pt idx="2">
                  <c:v>3919.6474699999999</c:v>
                </c:pt>
                <c:pt idx="3">
                  <c:v>1179.1429599999999</c:v>
                </c:pt>
                <c:pt idx="4">
                  <c:v>3036.7710000000002</c:v>
                </c:pt>
                <c:pt idx="5">
                  <c:v>26355.643090000001</c:v>
                </c:pt>
              </c:numCache>
            </c:numRef>
          </c:val>
          <c:extLst>
            <c:ext xmlns:c16="http://schemas.microsoft.com/office/drawing/2014/chart" uri="{C3380CC4-5D6E-409C-BE32-E72D297353CC}">
              <c16:uniqueId val="{00000000-B29D-4FCB-9AE4-EBBB837B0AA5}"/>
            </c:ext>
          </c:extLst>
        </c:ser>
        <c:dLbls>
          <c:dLblPos val="inBase"/>
          <c:showLegendKey val="0"/>
          <c:showVal val="1"/>
          <c:showCatName val="0"/>
          <c:showSerName val="0"/>
          <c:showPercent val="0"/>
          <c:showBubbleSize val="0"/>
        </c:dLbls>
        <c:gapWidth val="75"/>
        <c:overlap val="100"/>
        <c:axId val="878350848"/>
        <c:axId val="882006208"/>
      </c:barChart>
      <c:catAx>
        <c:axId val="878350848"/>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low"/>
        <c:txPr>
          <a:bodyPr rot="0" vert="horz" anchor="ctr" anchorCtr="1"/>
          <a:lstStyle/>
          <a:p>
            <a:pPr>
              <a:defRPr sz="900"/>
            </a:pPr>
            <a:endParaRPr lang="en-US"/>
          </a:p>
        </c:txPr>
        <c:crossAx val="882006208"/>
        <c:crosses val="autoZero"/>
        <c:auto val="0"/>
        <c:lblAlgn val="ctr"/>
        <c:lblOffset val="100"/>
        <c:noMultiLvlLbl val="0"/>
      </c:catAx>
      <c:valAx>
        <c:axId val="882006208"/>
        <c:scaling>
          <c:orientation val="minMax"/>
        </c:scaling>
        <c:delete val="0"/>
        <c:axPos val="l"/>
        <c:majorGridlines>
          <c:spPr>
            <a:ln>
              <a:solidFill>
                <a:schemeClr val="bg1">
                  <a:lumMod val="85000"/>
                </a:schemeClr>
              </a:solidFill>
            </a:ln>
          </c:spPr>
        </c:majorGridlines>
        <c:numFmt formatCode="#,##0.0" sourceLinked="0"/>
        <c:majorTickMark val="none"/>
        <c:minorTickMark val="none"/>
        <c:tickLblPos val="none"/>
        <c:spPr>
          <a:ln>
            <a:solidFill>
              <a:schemeClr val="bg1">
                <a:lumMod val="85000"/>
              </a:schemeClr>
            </a:solidFill>
          </a:ln>
        </c:spPr>
        <c:crossAx val="878350848"/>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ln>
      <a:noFill/>
    </a:ln>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Structure_H'!$T$1</c:f>
          <c:strCache>
            <c:ptCount val="1"/>
            <c:pt idx="0">
              <c:v>Debt Profile (USD million, as of January 2022)</c:v>
            </c:pt>
          </c:strCache>
        </c:strRef>
      </c:tx>
      <c:layout>
        <c:manualLayout>
          <c:xMode val="edge"/>
          <c:yMode val="edge"/>
          <c:x val="1.8780322914181201E-3"/>
          <c:y val="0"/>
        </c:manualLayout>
      </c:layout>
      <c:overlay val="1"/>
      <c:txPr>
        <a:bodyPr/>
        <a:lstStyle/>
        <a:p>
          <a:pPr>
            <a:defRPr sz="1000"/>
          </a:pPr>
          <a:endParaRPr lang="en-US"/>
        </a:p>
      </c:txPr>
    </c:title>
    <c:autoTitleDeleted val="0"/>
    <c:plotArea>
      <c:layout>
        <c:manualLayout>
          <c:layoutTarget val="inner"/>
          <c:xMode val="edge"/>
          <c:yMode val="edge"/>
          <c:x val="2.4361634956260411E-2"/>
          <c:y val="8.4325396825396831E-2"/>
          <c:w val="0.9450826461478965"/>
          <c:h val="0.75467910261217352"/>
        </c:manualLayout>
      </c:layout>
      <c:barChart>
        <c:barDir val="col"/>
        <c:grouping val="stacked"/>
        <c:varyColors val="0"/>
        <c:ser>
          <c:idx val="3"/>
          <c:order val="0"/>
          <c:tx>
            <c:strRef>
              <c:f>'Capital Structure_H'!$B$11</c:f>
              <c:strCache>
                <c:ptCount val="1"/>
                <c:pt idx="0">
                  <c:v>Debt Profile</c:v>
                </c:pt>
              </c:strCache>
            </c:strRef>
          </c:tx>
          <c:spPr>
            <a:solidFill>
              <a:schemeClr val="accent3">
                <a:lumMod val="50000"/>
              </a:schemeClr>
            </a:solidFill>
          </c:spPr>
          <c:invertIfNegative val="0"/>
          <c:dLbls>
            <c:numFmt formatCode="#,##0" sourceLinked="0"/>
            <c:spPr>
              <a:noFill/>
              <a:ln>
                <a:noFill/>
              </a:ln>
              <a:effectLst/>
            </c:spPr>
            <c:txPr>
              <a:bodyPr/>
              <a:lstStyle/>
              <a:p>
                <a:pPr>
                  <a:defRPr>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'Capital Structure_H'!$B$13:$B$16</c:f>
              <c:strCache>
                <c:ptCount val="4"/>
                <c:pt idx="0">
                  <c:v>Term Loans</c:v>
                </c:pt>
                <c:pt idx="1">
                  <c:v>Senior Bonds and Notes</c:v>
                </c:pt>
                <c:pt idx="2">
                  <c:v>Revolving Credit</c:v>
                </c:pt>
                <c:pt idx="3">
                  <c:v>Capital Leases</c:v>
                </c:pt>
              </c:strCache>
            </c:strRef>
          </c:cat>
          <c:val>
            <c:numRef>
              <c:f>'Capital Structure_H'!$J$13:$J$16</c:f>
              <c:numCache>
                <c:formatCode>#,##0;[Red]\(#,##0\)</c:formatCode>
                <c:ptCount val="4"/>
                <c:pt idx="0">
                  <c:v>0</c:v>
                </c:pt>
                <c:pt idx="1">
                  <c:v>39220.984519999998</c:v>
                </c:pt>
                <c:pt idx="2">
                  <c:v>0</c:v>
                </c:pt>
                <c:pt idx="3">
                  <c:v>19246</c:v>
                </c:pt>
              </c:numCache>
            </c:numRef>
          </c:val>
          <c:extLst>
            <c:ext xmlns:c16="http://schemas.microsoft.com/office/drawing/2014/chart" uri="{C3380CC4-5D6E-409C-BE32-E72D297353CC}">
              <c16:uniqueId val="{00000000-B29D-4FCB-9AE4-EBBB837B0AA5}"/>
            </c:ext>
          </c:extLst>
        </c:ser>
        <c:dLbls>
          <c:dLblPos val="inBase"/>
          <c:showLegendKey val="0"/>
          <c:showVal val="1"/>
          <c:showCatName val="0"/>
          <c:showSerName val="0"/>
          <c:showPercent val="0"/>
          <c:showBubbleSize val="0"/>
        </c:dLbls>
        <c:gapWidth val="75"/>
        <c:overlap val="100"/>
        <c:axId val="878351872"/>
        <c:axId val="882163712"/>
      </c:barChart>
      <c:catAx>
        <c:axId val="878351872"/>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low"/>
        <c:txPr>
          <a:bodyPr rot="0" vert="horz" anchor="ctr" anchorCtr="1"/>
          <a:lstStyle/>
          <a:p>
            <a:pPr>
              <a:defRPr sz="900"/>
            </a:pPr>
            <a:endParaRPr lang="en-US"/>
          </a:p>
        </c:txPr>
        <c:crossAx val="882163712"/>
        <c:crosses val="autoZero"/>
        <c:auto val="0"/>
        <c:lblAlgn val="ctr"/>
        <c:lblOffset val="100"/>
        <c:noMultiLvlLbl val="0"/>
      </c:catAx>
      <c:valAx>
        <c:axId val="882163712"/>
        <c:scaling>
          <c:orientation val="minMax"/>
        </c:scaling>
        <c:delete val="0"/>
        <c:axPos val="l"/>
        <c:majorGridlines>
          <c:spPr>
            <a:ln>
              <a:solidFill>
                <a:schemeClr val="bg1">
                  <a:lumMod val="85000"/>
                </a:schemeClr>
              </a:solidFill>
            </a:ln>
          </c:spPr>
        </c:majorGridlines>
        <c:numFmt formatCode="#,##0.0" sourceLinked="0"/>
        <c:majorTickMark val="none"/>
        <c:minorTickMark val="none"/>
        <c:tickLblPos val="none"/>
        <c:spPr>
          <a:ln>
            <a:solidFill>
              <a:schemeClr val="bg1">
                <a:lumMod val="85000"/>
              </a:schemeClr>
            </a:solidFill>
          </a:ln>
        </c:spPr>
        <c:crossAx val="878351872"/>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chemeClr val="bg1">
              <a:lumMod val="85000"/>
            </a:schemeClr>
          </a:solidFill>
        </a:ln>
      </c:spPr>
    </c:plotArea>
    <c:plotVisOnly val="1"/>
    <c:dispBlanksAs val="gap"/>
    <c:showDLblsOverMax val="0"/>
  </c:chart>
  <c:spPr>
    <a:ln>
      <a:noFill/>
    </a:ln>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Structure_H'!$B$40</c:f>
          <c:strCache>
            <c:ptCount val="1"/>
            <c:pt idx="0">
              <c:v>Capital Adequacy Ratios</c:v>
            </c:pt>
          </c:strCache>
        </c:strRef>
      </c:tx>
      <c:layout>
        <c:manualLayout>
          <c:xMode val="edge"/>
          <c:yMode val="edge"/>
          <c:x val="3.1577727634623256E-3"/>
          <c:y val="0"/>
        </c:manualLayout>
      </c:layout>
      <c:overlay val="1"/>
      <c:txPr>
        <a:bodyPr/>
        <a:lstStyle/>
        <a:p>
          <a:pPr>
            <a:defRPr sz="1000"/>
          </a:pPr>
          <a:endParaRPr lang="en-US"/>
        </a:p>
      </c:txPr>
    </c:title>
    <c:autoTitleDeleted val="0"/>
    <c:plotArea>
      <c:layout>
        <c:manualLayout>
          <c:layoutTarget val="inner"/>
          <c:xMode val="edge"/>
          <c:yMode val="edge"/>
          <c:x val="0.11970279136753866"/>
          <c:y val="0.14610107056240229"/>
          <c:w val="0.82956912836825591"/>
          <c:h val="0.67322631944469069"/>
        </c:manualLayout>
      </c:layout>
      <c:lineChart>
        <c:grouping val="standard"/>
        <c:varyColors val="0"/>
        <c:ser>
          <c:idx val="0"/>
          <c:order val="0"/>
          <c:tx>
            <c:strRef>
              <c:f>'Capital Structure_H'!$B$30</c:f>
              <c:strCache>
                <c:ptCount val="1"/>
                <c:pt idx="0">
                  <c:v>Tier 1 Ratio</c:v>
                </c:pt>
              </c:strCache>
            </c:strRef>
          </c:tx>
          <c:spPr>
            <a:ln w="22225">
              <a:solidFill>
                <a:schemeClr val="accent3">
                  <a:lumMod val="50000"/>
                </a:schemeClr>
              </a:solidFill>
            </a:ln>
          </c:spPr>
          <c:marker>
            <c:symbol val="square"/>
            <c:size val="4"/>
            <c:spPr>
              <a:solidFill>
                <a:schemeClr val="accent3">
                  <a:lumMod val="50000"/>
                </a:schemeClr>
              </a:solidFill>
              <a:ln>
                <a:noFill/>
              </a:ln>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Structure_H'!$E$30:$J$30</c:f>
              <c:numCache>
                <c:formatCode>0.0%;[Red]\(0.0%\)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813D-42D7-8840-E350E6FB3D9B}"/>
            </c:ext>
          </c:extLst>
        </c:ser>
        <c:ser>
          <c:idx val="1"/>
          <c:order val="1"/>
          <c:tx>
            <c:strRef>
              <c:f>'Capital Structure_H'!$B$31</c:f>
              <c:strCache>
                <c:ptCount val="1"/>
                <c:pt idx="0">
                  <c:v>Tier 2 Ratio</c:v>
                </c:pt>
              </c:strCache>
            </c:strRef>
          </c:tx>
          <c:spPr>
            <a:ln w="22225">
              <a:solidFill>
                <a:schemeClr val="accent3">
                  <a:lumMod val="75000"/>
                </a:schemeClr>
              </a:solidFill>
            </a:ln>
          </c:spPr>
          <c:marker>
            <c:symbol val="diamond"/>
            <c:size val="4"/>
            <c:spPr>
              <a:solidFill>
                <a:schemeClr val="accent3">
                  <a:lumMod val="75000"/>
                </a:schemeClr>
              </a:solidFill>
              <a:ln>
                <a:noFill/>
              </a:ln>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Structure_H'!$E$31:$J$31</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170-4CA3-8E1F-8EF849943876}"/>
            </c:ext>
          </c:extLst>
        </c:ser>
        <c:ser>
          <c:idx val="2"/>
          <c:order val="2"/>
          <c:tx>
            <c:strRef>
              <c:f>'Capital Structure_H'!$B$32</c:f>
              <c:strCache>
                <c:ptCount val="1"/>
                <c:pt idx="0">
                  <c:v>Total Capital Ratio</c:v>
                </c:pt>
              </c:strCache>
            </c:strRef>
          </c:tx>
          <c:spPr>
            <a:ln w="22225">
              <a:solidFill>
                <a:schemeClr val="accent3"/>
              </a:solidFill>
            </a:ln>
          </c:spPr>
          <c:marker>
            <c:symbol val="circle"/>
            <c:size val="4"/>
            <c:spPr>
              <a:solidFill>
                <a:schemeClr val="accent3"/>
              </a:solidFill>
              <a:ln>
                <a:noFill/>
              </a:ln>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Structure_H'!$E$32:$J$32</c:f>
              <c:numCache>
                <c:formatCode>0.0%;[Red]\(0.0%\)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F170-4CA3-8E1F-8EF849943876}"/>
            </c:ext>
          </c:extLst>
        </c:ser>
        <c:dLbls>
          <c:showLegendKey val="0"/>
          <c:showVal val="0"/>
          <c:showCatName val="0"/>
          <c:showSerName val="0"/>
          <c:showPercent val="0"/>
          <c:showBubbleSize val="0"/>
        </c:dLbls>
        <c:marker val="1"/>
        <c:smooth val="0"/>
        <c:axId val="878352896"/>
        <c:axId val="882164288"/>
      </c:lineChart>
      <c:catAx>
        <c:axId val="878352896"/>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164288"/>
        <c:crosses val="autoZero"/>
        <c:auto val="1"/>
        <c:lblAlgn val="ctr"/>
        <c:lblOffset val="100"/>
        <c:noMultiLvlLbl val="1"/>
      </c:catAx>
      <c:valAx>
        <c:axId val="882164288"/>
        <c:scaling>
          <c:orientation val="minMax"/>
        </c:scaling>
        <c:delete val="0"/>
        <c:axPos val="l"/>
        <c:majorGridlines>
          <c:spPr>
            <a:ln>
              <a:solidFill>
                <a:srgbClr val="D9D9D9"/>
              </a:solidFill>
            </a:ln>
          </c:spPr>
        </c:majorGridlines>
        <c:numFmt formatCode="0.0%;[Red]\(0.0%\)" sourceLinked="1"/>
        <c:majorTickMark val="out"/>
        <c:minorTickMark val="none"/>
        <c:tickLblPos val="nextTo"/>
        <c:crossAx val="878352896"/>
        <c:crosses val="autoZero"/>
        <c:crossBetween val="between"/>
      </c:valAx>
      <c:spPr>
        <a:gradFill>
          <a:gsLst>
            <a:gs pos="0">
              <a:srgbClr val="F8F8F8">
                <a:lumMod val="95000"/>
              </a:srgbClr>
            </a:gs>
            <a:gs pos="0">
              <a:schemeClr val="bg1">
                <a:lumMod val="95000"/>
              </a:schemeClr>
            </a:gs>
            <a:gs pos="50000">
              <a:schemeClr val="bg1"/>
            </a:gs>
          </a:gsLst>
          <a:lin ang="16200000" scaled="0"/>
        </a:gradFill>
        <a:ln>
          <a:solidFill>
            <a:srgbClr val="D9D9D9"/>
          </a:solidFill>
        </a:ln>
      </c:spPr>
    </c:plotArea>
    <c:legend>
      <c:legendPos val="b"/>
      <c:layout>
        <c:manualLayout>
          <c:xMode val="edge"/>
          <c:yMode val="edge"/>
          <c:x val="6.8902575101362894E-3"/>
          <c:y val="0.93271114548181477"/>
          <c:w val="0.99310976862553113"/>
          <c:h val="6.703356917672261E-2"/>
        </c:manualLayout>
      </c:layout>
      <c:overlay val="0"/>
    </c:legend>
    <c:plotVisOnly val="0"/>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'Capital Structure_H'!$L$43</c:f>
          <c:strCache>
            <c:ptCount val="1"/>
            <c:pt idx="0">
              <c:v>Total Debt / Equity</c:v>
            </c:pt>
          </c:strCache>
        </c:strRef>
      </c:tx>
      <c:layout>
        <c:manualLayout>
          <c:xMode val="edge"/>
          <c:yMode val="edge"/>
          <c:x val="2.8345750825725189E-3"/>
          <c:y val="0"/>
        </c:manualLayout>
      </c:layout>
      <c:overlay val="1"/>
      <c:txPr>
        <a:bodyPr/>
        <a:lstStyle/>
        <a:p>
          <a:pPr>
            <a:defRPr sz="1000"/>
          </a:pPr>
          <a:endParaRPr lang="en-US"/>
        </a:p>
      </c:txPr>
    </c:title>
    <c:autoTitleDeleted val="0"/>
    <c:plotArea>
      <c:layout>
        <c:manualLayout>
          <c:layoutTarget val="inner"/>
          <c:xMode val="edge"/>
          <c:yMode val="edge"/>
          <c:x val="0.10240170317310787"/>
          <c:y val="0.15094870953630796"/>
          <c:w val="0.85956538405483163"/>
          <c:h val="0.67463775566278217"/>
        </c:manualLayout>
      </c:layout>
      <c:lineChart>
        <c:grouping val="standard"/>
        <c:varyColors val="0"/>
        <c:ser>
          <c:idx val="0"/>
          <c:order val="0"/>
          <c:tx>
            <c:strRef>
              <c:f>'Capital Structure_H'!$B$33</c:f>
              <c:strCache>
                <c:ptCount val="1"/>
                <c:pt idx="0">
                  <c:v>Total Debt / Equity</c:v>
                </c:pt>
              </c:strCache>
            </c:strRef>
          </c:tx>
          <c:spPr>
            <a:ln w="22225">
              <a:solidFill>
                <a:schemeClr val="accent3">
                  <a:lumMod val="50000"/>
                </a:schemeClr>
              </a:solidFill>
            </a:ln>
          </c:spPr>
          <c:marker>
            <c:symbol val="square"/>
            <c:size val="4"/>
            <c:spPr>
              <a:solidFill>
                <a:schemeClr val="accent3">
                  <a:lumMod val="50000"/>
                </a:schemeClr>
              </a:solidFill>
              <a:ln>
                <a:noFill/>
              </a:ln>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Structure_H'!$E$33:$J$33</c:f>
              <c:numCache>
                <c:formatCode>0.0\x</c:formatCode>
                <c:ptCount val="6"/>
                <c:pt idx="0">
                  <c:v>0.59857579886372403</c:v>
                </c:pt>
                <c:pt idx="1">
                  <c:v>0.59937844328294954</c:v>
                </c:pt>
                <c:pt idx="2">
                  <c:v>0.80640311189582869</c:v>
                </c:pt>
                <c:pt idx="3">
                  <c:v>0.97937564451110903</c:v>
                </c:pt>
                <c:pt idx="4">
                  <c:v>0.78640716713005865</c:v>
                </c:pt>
                <c:pt idx="5">
                  <c:v>0.70169243150396987</c:v>
                </c:pt>
              </c:numCache>
            </c:numRef>
          </c:val>
          <c:smooth val="0"/>
          <c:extLst>
            <c:ext xmlns:c16="http://schemas.microsoft.com/office/drawing/2014/chart" uri="{C3380CC4-5D6E-409C-BE32-E72D297353CC}">
              <c16:uniqueId val="{00000003-BBB4-4427-B906-6FFA34CA9462}"/>
            </c:ext>
          </c:extLst>
        </c:ser>
        <c:dLbls>
          <c:showLegendKey val="0"/>
          <c:showVal val="0"/>
          <c:showCatName val="0"/>
          <c:showSerName val="0"/>
          <c:showPercent val="0"/>
          <c:showBubbleSize val="0"/>
        </c:dLbls>
        <c:marker val="1"/>
        <c:smooth val="0"/>
        <c:axId val="878353920"/>
        <c:axId val="882166592"/>
      </c:lineChart>
      <c:catAx>
        <c:axId val="878353920"/>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166592"/>
        <c:crosses val="autoZero"/>
        <c:auto val="0"/>
        <c:lblAlgn val="ctr"/>
        <c:lblOffset val="100"/>
        <c:noMultiLvlLbl val="0"/>
      </c:catAx>
      <c:valAx>
        <c:axId val="882166592"/>
        <c:scaling>
          <c:orientation val="minMax"/>
        </c:scaling>
        <c:delete val="0"/>
        <c:axPos val="l"/>
        <c:majorGridlines>
          <c:spPr>
            <a:ln>
              <a:solidFill>
                <a:srgbClr val="D9D9D9"/>
              </a:solidFill>
            </a:ln>
          </c:spPr>
        </c:majorGridlines>
        <c:numFmt formatCode="0.0\x" sourceLinked="0"/>
        <c:majorTickMark val="out"/>
        <c:minorTickMark val="none"/>
        <c:tickLblPos val="nextTo"/>
        <c:crossAx val="878353920"/>
        <c:crosses val="autoZero"/>
        <c:crossBetween val="between"/>
      </c:valAx>
      <c:spPr>
        <a:gradFill>
          <a:gsLst>
            <a:gs pos="0">
              <a:srgbClr val="ECECEC"/>
            </a:gs>
            <a:gs pos="0">
              <a:schemeClr val="bg1">
                <a:lumMod val="95000"/>
              </a:schemeClr>
            </a:gs>
            <a:gs pos="50000">
              <a:schemeClr val="bg1"/>
            </a:gs>
          </a:gsLst>
          <a:lin ang="16200000" scaled="0"/>
        </a:gradFill>
      </c:spPr>
    </c:plotArea>
    <c:legend>
      <c:legendPos val="b"/>
      <c:layout>
        <c:manualLayout>
          <c:xMode val="edge"/>
          <c:yMode val="edge"/>
          <c:x val="0.32499002664170362"/>
          <c:y val="0.92088527996500436"/>
          <c:w val="0.35001969985128834"/>
          <c:h val="7.9114720034995631E-2"/>
        </c:manualLayout>
      </c:layout>
      <c:overlay val="0"/>
    </c:legend>
    <c:plotVisOnly val="0"/>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9"/>
    </mc:Choice>
    <mc:Fallback>
      <c:style val="19"/>
    </mc:Fallback>
  </mc:AlternateContent>
  <c:chart>
    <c:title>
      <c:tx>
        <c:strRef>
          <c:f>'Capital Structure_H'!$L$62</c:f>
          <c:strCache>
            <c:ptCount val="1"/>
            <c:pt idx="0">
              <c:v>Loans / Deposits</c:v>
            </c:pt>
          </c:strCache>
        </c:strRef>
      </c:tx>
      <c:layout>
        <c:manualLayout>
          <c:xMode val="edge"/>
          <c:yMode val="edge"/>
          <c:x val="2.9061806399677532E-3"/>
          <c:y val="0"/>
        </c:manualLayout>
      </c:layout>
      <c:overlay val="1"/>
      <c:txPr>
        <a:bodyPr/>
        <a:lstStyle/>
        <a:p>
          <a:pPr>
            <a:defRPr sz="1000"/>
          </a:pPr>
          <a:endParaRPr lang="en-US"/>
        </a:p>
      </c:txPr>
    </c:title>
    <c:autoTitleDeleted val="0"/>
    <c:plotArea>
      <c:layout>
        <c:manualLayout>
          <c:layoutTarget val="inner"/>
          <c:xMode val="edge"/>
          <c:yMode val="edge"/>
          <c:x val="0.11807740313499189"/>
          <c:y val="0.13840301212348458"/>
          <c:w val="0.8438894423603307"/>
          <c:h val="0.67576792225450855"/>
        </c:manualLayout>
      </c:layout>
      <c:lineChart>
        <c:grouping val="standard"/>
        <c:varyColors val="0"/>
        <c:ser>
          <c:idx val="1"/>
          <c:order val="0"/>
          <c:tx>
            <c:strRef>
              <c:f>'Capital Structure_H'!$B$36</c:f>
              <c:strCache>
                <c:ptCount val="1"/>
                <c:pt idx="0">
                  <c:v>Loans / Deposits</c:v>
                </c:pt>
              </c:strCache>
            </c:strRef>
          </c:tx>
          <c:spPr>
            <a:ln w="22225">
              <a:solidFill>
                <a:schemeClr val="accent3">
                  <a:lumMod val="50000"/>
                </a:schemeClr>
              </a:solidFill>
            </a:ln>
            <a:effectLst/>
          </c:spPr>
          <c:marker>
            <c:symbol val="square"/>
            <c:size val="4"/>
            <c:spPr>
              <a:solidFill>
                <a:schemeClr val="accent3">
                  <a:lumMod val="50000"/>
                </a:schemeClr>
              </a:solidFill>
              <a:ln>
                <a:noFill/>
              </a:ln>
              <a:effectLst/>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Structure_H'!$E$36:$J$36</c:f>
              <c:numCache>
                <c:formatCode>0.00\x</c:formatCode>
                <c:ptCount val="6"/>
                <c:pt idx="0" formatCode="0.0\x">
                  <c:v>0</c:v>
                </c:pt>
                <c:pt idx="1">
                  <c:v>0</c:v>
                </c:pt>
                <c:pt idx="2">
                  <c:v>0</c:v>
                </c:pt>
                <c:pt idx="3">
                  <c:v>0</c:v>
                </c:pt>
                <c:pt idx="4">
                  <c:v>0</c:v>
                </c:pt>
                <c:pt idx="5">
                  <c:v>0</c:v>
                </c:pt>
              </c:numCache>
            </c:numRef>
          </c:val>
          <c:smooth val="0"/>
          <c:extLst>
            <c:ext xmlns:c16="http://schemas.microsoft.com/office/drawing/2014/chart" uri="{C3380CC4-5D6E-409C-BE32-E72D297353CC}">
              <c16:uniqueId val="{00000000-6D7B-47EE-8703-A803DD80D9CA}"/>
            </c:ext>
          </c:extLst>
        </c:ser>
        <c:dLbls>
          <c:showLegendKey val="0"/>
          <c:showVal val="0"/>
          <c:showCatName val="0"/>
          <c:showSerName val="0"/>
          <c:showPercent val="0"/>
          <c:showBubbleSize val="0"/>
        </c:dLbls>
        <c:marker val="1"/>
        <c:smooth val="0"/>
        <c:axId val="882992640"/>
        <c:axId val="882168320"/>
      </c:lineChart>
      <c:catAx>
        <c:axId val="882992640"/>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168320"/>
        <c:crosses val="autoZero"/>
        <c:auto val="0"/>
        <c:lblAlgn val="ctr"/>
        <c:lblOffset val="100"/>
        <c:noMultiLvlLbl val="0"/>
      </c:catAx>
      <c:valAx>
        <c:axId val="882168320"/>
        <c:scaling>
          <c:orientation val="minMax"/>
        </c:scaling>
        <c:delete val="0"/>
        <c:axPos val="l"/>
        <c:majorGridlines>
          <c:spPr>
            <a:ln>
              <a:solidFill>
                <a:srgbClr val="D9D9D9"/>
              </a:solidFill>
            </a:ln>
          </c:spPr>
        </c:majorGridlines>
        <c:numFmt formatCode="0.0\x" sourceLinked="1"/>
        <c:majorTickMark val="out"/>
        <c:minorTickMark val="none"/>
        <c:tickLblPos val="nextTo"/>
        <c:spPr>
          <a:ln>
            <a:solidFill>
              <a:schemeClr val="tx1"/>
            </a:solidFill>
          </a:ln>
        </c:spPr>
        <c:crossAx val="882992640"/>
        <c:crosses val="autoZero"/>
        <c:crossBetween val="between"/>
      </c:valAx>
      <c:spPr>
        <a:gradFill>
          <a:gsLst>
            <a:gs pos="0">
              <a:srgbClr val="F8F8F8">
                <a:lumMod val="95000"/>
              </a:srgbClr>
            </a:gs>
            <a:gs pos="0">
              <a:schemeClr val="bg1">
                <a:lumMod val="95000"/>
              </a:schemeClr>
            </a:gs>
            <a:gs pos="50000">
              <a:schemeClr val="bg1"/>
            </a:gs>
          </a:gsLst>
          <a:lin ang="16200000" scaled="0"/>
        </a:gradFill>
      </c:spPr>
    </c:plotArea>
    <c:legend>
      <c:legendPos val="b"/>
      <c:layout>
        <c:manualLayout>
          <c:xMode val="edge"/>
          <c:yMode val="edge"/>
          <c:x val="0.32875225388022883"/>
          <c:y val="0.91592496250468691"/>
          <c:w val="0.34249524537423792"/>
          <c:h val="7.9114720034995631E-2"/>
        </c:manualLayout>
      </c:layout>
      <c:overlay val="0"/>
    </c:legend>
    <c:plotVisOnly val="0"/>
    <c:dispBlanksAs val="gap"/>
    <c:showDLblsOverMax val="0"/>
  </c:chart>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9"/>
    </mc:Choice>
    <mc:Fallback>
      <c:style val="19"/>
    </mc:Fallback>
  </mc:AlternateContent>
  <c:chart>
    <c:title>
      <c:tx>
        <c:strRef>
          <c:f>'Capital Structure_H'!$B$59</c:f>
          <c:strCache>
            <c:ptCount val="1"/>
            <c:pt idx="0">
              <c:v>NPL / Total Loans and Coverage Ratio</c:v>
            </c:pt>
          </c:strCache>
        </c:strRef>
      </c:tx>
      <c:layout>
        <c:manualLayout>
          <c:xMode val="edge"/>
          <c:yMode val="edge"/>
          <c:x val="1.6070451824154572E-3"/>
          <c:y val="0"/>
        </c:manualLayout>
      </c:layout>
      <c:overlay val="1"/>
      <c:txPr>
        <a:bodyPr/>
        <a:lstStyle/>
        <a:p>
          <a:pPr>
            <a:defRPr sz="1000" b="1"/>
          </a:pPr>
          <a:endParaRPr lang="en-US"/>
        </a:p>
      </c:txPr>
    </c:title>
    <c:autoTitleDeleted val="0"/>
    <c:plotArea>
      <c:layout>
        <c:manualLayout>
          <c:layoutTarget val="inner"/>
          <c:xMode val="edge"/>
          <c:yMode val="edge"/>
          <c:x val="0.11017524474226274"/>
          <c:y val="0.14315632420947383"/>
          <c:w val="0.77806414955197267"/>
          <c:h val="0.68093500622084357"/>
        </c:manualLayout>
      </c:layout>
      <c:lineChart>
        <c:grouping val="standard"/>
        <c:varyColors val="0"/>
        <c:ser>
          <c:idx val="1"/>
          <c:order val="0"/>
          <c:tx>
            <c:strRef>
              <c:f>'Capital Structure_H'!$B$34</c:f>
              <c:strCache>
                <c:ptCount val="1"/>
                <c:pt idx="0">
                  <c:v>NPL / Total Loans</c:v>
                </c:pt>
              </c:strCache>
            </c:strRef>
          </c:tx>
          <c:spPr>
            <a:ln w="22225">
              <a:solidFill>
                <a:schemeClr val="accent3">
                  <a:lumMod val="50000"/>
                </a:schemeClr>
              </a:solidFill>
            </a:ln>
            <a:effectLst/>
          </c:spPr>
          <c:marker>
            <c:symbol val="square"/>
            <c:size val="4"/>
            <c:spPr>
              <a:solidFill>
                <a:schemeClr val="accent3">
                  <a:lumMod val="50000"/>
                </a:schemeClr>
              </a:solidFill>
              <a:ln>
                <a:noFill/>
              </a:ln>
              <a:effectLst/>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Structure_H'!$E$34:$J$34</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241-4A34-BBFD-731F88CB6621}"/>
            </c:ext>
          </c:extLst>
        </c:ser>
        <c:dLbls>
          <c:showLegendKey val="0"/>
          <c:showVal val="0"/>
          <c:showCatName val="0"/>
          <c:showSerName val="0"/>
          <c:showPercent val="0"/>
          <c:showBubbleSize val="0"/>
        </c:dLbls>
        <c:marker val="1"/>
        <c:smooth val="0"/>
        <c:axId val="882993664"/>
        <c:axId val="882170048"/>
      </c:lineChart>
      <c:lineChart>
        <c:grouping val="standard"/>
        <c:varyColors val="0"/>
        <c:ser>
          <c:idx val="0"/>
          <c:order val="1"/>
          <c:tx>
            <c:strRef>
              <c:f>'Capital Structure_H'!$B$35</c:f>
              <c:strCache>
                <c:ptCount val="1"/>
                <c:pt idx="0">
                  <c:v>Coverage Ratio</c:v>
                </c:pt>
              </c:strCache>
            </c:strRef>
          </c:tx>
          <c:spPr>
            <a:ln w="22225">
              <a:solidFill>
                <a:schemeClr val="accent3">
                  <a:lumMod val="75000"/>
                </a:schemeClr>
              </a:solidFill>
            </a:ln>
            <a:effectLst/>
          </c:spPr>
          <c:marker>
            <c:symbol val="diamond"/>
            <c:size val="4"/>
            <c:spPr>
              <a:solidFill>
                <a:schemeClr val="accent3">
                  <a:lumMod val="75000"/>
                </a:schemeClr>
              </a:solidFill>
              <a:ln>
                <a:noFill/>
              </a:ln>
              <a:effectLst/>
            </c:spPr>
          </c:marker>
          <c:cat>
            <c:strRef>
              <c:f>'Capital Structure_H'!$V$28:$V$33</c:f>
              <c:strCache>
                <c:ptCount val="6"/>
                <c:pt idx="0">
                  <c:v>FY2017</c:v>
                </c:pt>
                <c:pt idx="1">
                  <c:v>FY2018</c:v>
                </c:pt>
                <c:pt idx="2">
                  <c:v>FY2019</c:v>
                </c:pt>
                <c:pt idx="3">
                  <c:v>FY2020</c:v>
                </c:pt>
                <c:pt idx="4">
                  <c:v>FY2021</c:v>
                </c:pt>
                <c:pt idx="5">
                  <c:v>FY2022</c:v>
                </c:pt>
              </c:strCache>
            </c:strRef>
          </c:cat>
          <c:val>
            <c:numRef>
              <c:f>'Capital Structure_H'!$E$35:$J$35</c:f>
              <c:numCache>
                <c:formatCode>0.0\x</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2241-4A34-BBFD-731F88CB6621}"/>
            </c:ext>
          </c:extLst>
        </c:ser>
        <c:dLbls>
          <c:showLegendKey val="0"/>
          <c:showVal val="0"/>
          <c:showCatName val="0"/>
          <c:showSerName val="0"/>
          <c:showPercent val="0"/>
          <c:showBubbleSize val="0"/>
        </c:dLbls>
        <c:marker val="1"/>
        <c:smooth val="0"/>
        <c:axId val="882994688"/>
        <c:axId val="882170624"/>
      </c:lineChart>
      <c:catAx>
        <c:axId val="882993664"/>
        <c:scaling>
          <c:orientation val="minMax"/>
        </c:scaling>
        <c:delete val="0"/>
        <c:axPos val="b"/>
        <c:majorGridlines>
          <c:spPr>
            <a:ln>
              <a:solidFill>
                <a:srgbClr val="D9D9D9"/>
              </a:solidFill>
            </a:ln>
          </c:spPr>
        </c:majorGridlines>
        <c:numFmt formatCode="General" sourceLinked="1"/>
        <c:majorTickMark val="out"/>
        <c:minorTickMark val="none"/>
        <c:tickLblPos val="low"/>
        <c:spPr>
          <a:ln>
            <a:solidFill>
              <a:schemeClr val="bg1">
                <a:lumMod val="50000"/>
              </a:schemeClr>
            </a:solidFill>
          </a:ln>
        </c:spPr>
        <c:txPr>
          <a:bodyPr rot="0" vert="horz"/>
          <a:lstStyle/>
          <a:p>
            <a:pPr>
              <a:defRPr/>
            </a:pPr>
            <a:endParaRPr lang="en-US"/>
          </a:p>
        </c:txPr>
        <c:crossAx val="882170048"/>
        <c:crosses val="autoZero"/>
        <c:auto val="0"/>
        <c:lblAlgn val="ctr"/>
        <c:lblOffset val="100"/>
        <c:noMultiLvlLbl val="0"/>
      </c:catAx>
      <c:valAx>
        <c:axId val="882170048"/>
        <c:scaling>
          <c:orientation val="minMax"/>
        </c:scaling>
        <c:delete val="0"/>
        <c:axPos val="l"/>
        <c:majorGridlines>
          <c:spPr>
            <a:ln>
              <a:solidFill>
                <a:srgbClr val="D9D9D9"/>
              </a:solidFill>
            </a:ln>
          </c:spPr>
        </c:majorGridlines>
        <c:numFmt formatCode="0.0%" sourceLinked="1"/>
        <c:majorTickMark val="out"/>
        <c:minorTickMark val="none"/>
        <c:tickLblPos val="nextTo"/>
        <c:spPr>
          <a:ln>
            <a:solidFill>
              <a:schemeClr val="tx1"/>
            </a:solidFill>
          </a:ln>
        </c:spPr>
        <c:crossAx val="882993664"/>
        <c:crosses val="autoZero"/>
        <c:crossBetween val="between"/>
      </c:valAx>
      <c:valAx>
        <c:axId val="882170624"/>
        <c:scaling>
          <c:orientation val="minMax"/>
        </c:scaling>
        <c:delete val="0"/>
        <c:axPos val="r"/>
        <c:numFmt formatCode="0.0\x" sourceLinked="1"/>
        <c:majorTickMark val="out"/>
        <c:minorTickMark val="none"/>
        <c:tickLblPos val="nextTo"/>
        <c:spPr>
          <a:ln>
            <a:solidFill>
              <a:schemeClr val="tx1"/>
            </a:solidFill>
          </a:ln>
        </c:spPr>
        <c:crossAx val="882994688"/>
        <c:crosses val="max"/>
        <c:crossBetween val="between"/>
      </c:valAx>
      <c:catAx>
        <c:axId val="882994688"/>
        <c:scaling>
          <c:orientation val="minMax"/>
        </c:scaling>
        <c:delete val="1"/>
        <c:axPos val="b"/>
        <c:numFmt formatCode="General" sourceLinked="1"/>
        <c:majorTickMark val="out"/>
        <c:minorTickMark val="none"/>
        <c:tickLblPos val="none"/>
        <c:crossAx val="882170624"/>
        <c:crosses val="autoZero"/>
        <c:auto val="0"/>
        <c:lblAlgn val="ctr"/>
        <c:lblOffset val="100"/>
        <c:noMultiLvlLbl val="0"/>
      </c:catAx>
      <c:spPr>
        <a:gradFill>
          <a:gsLst>
            <a:gs pos="0">
              <a:srgbClr val="F8F8F8">
                <a:lumMod val="95000"/>
              </a:srgbClr>
            </a:gs>
            <a:gs pos="0">
              <a:schemeClr val="bg1">
                <a:lumMod val="95000"/>
              </a:schemeClr>
            </a:gs>
            <a:gs pos="50000">
              <a:schemeClr val="bg1"/>
            </a:gs>
          </a:gsLst>
          <a:lin ang="16200000" scaled="0"/>
        </a:gradFill>
      </c:spPr>
    </c:plotArea>
    <c:legend>
      <c:legendPos val="b"/>
      <c:layout>
        <c:manualLayout>
          <c:xMode val="edge"/>
          <c:yMode val="edge"/>
          <c:x val="0.20570961632283569"/>
          <c:y val="0.91847682598966462"/>
          <c:w val="0.58858076735432863"/>
          <c:h val="8.1523174010335334E-2"/>
        </c:manualLayout>
      </c:layout>
      <c:overlay val="0"/>
    </c:legend>
    <c:plotVisOnly val="0"/>
    <c:dispBlanksAs val="gap"/>
    <c:showDLblsOverMax val="0"/>
  </c:chart>
  <c:spPr>
    <a:noFill/>
  </c:spPr>
  <c:txPr>
    <a:bodyPr/>
    <a:lstStyle/>
    <a:p>
      <a:pPr>
        <a:defRPr sz="9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000"/>
            </a:pPr>
            <a:r>
              <a:rPr lang="en-IN" sz="1000"/>
              <a:t>Bond Price</a:t>
            </a:r>
          </a:p>
        </c:rich>
      </c:tx>
      <c:layout>
        <c:manualLayout>
          <c:xMode val="edge"/>
          <c:yMode val="edge"/>
          <c:x val="0.44872460164447409"/>
          <c:y val="0"/>
        </c:manualLayout>
      </c:layout>
      <c:overlay val="1"/>
    </c:title>
    <c:autoTitleDeleted val="0"/>
    <c:plotArea>
      <c:layout>
        <c:manualLayout>
          <c:layoutTarget val="inner"/>
          <c:xMode val="edge"/>
          <c:yMode val="edge"/>
          <c:x val="5.2590857492927794E-2"/>
          <c:y val="0.10274646848919167"/>
          <c:w val="0.93102758608263214"/>
          <c:h val="0.56858817762019409"/>
        </c:manualLayout>
      </c:layout>
      <c:lineChart>
        <c:grouping val="standard"/>
        <c:varyColors val="0"/>
        <c:ser>
          <c:idx val="1"/>
          <c:order val="0"/>
          <c:tx>
            <c:strRef>
              <c:f>'Bond Prices'!$M$4</c:f>
              <c:strCache>
                <c:ptCount val="1"/>
                <c:pt idx="0">
                  <c:v>EUR$ GLOBAL NT 1.900 Apr-8-2022</c:v>
                </c:pt>
              </c:strCache>
            </c:strRef>
          </c:tx>
          <c:spPr>
            <a:ln w="22225">
              <a:solidFill>
                <a:schemeClr val="accent3">
                  <a:lumMod val="40000"/>
                  <a:lumOff val="60000"/>
                </a:schemeClr>
              </a:solidFill>
            </a:ln>
          </c:spPr>
          <c:marker>
            <c:symbol val="none"/>
          </c:marker>
          <c:dPt>
            <c:idx val="57"/>
            <c:bubble3D val="0"/>
            <c:extLst>
              <c:ext xmlns:c16="http://schemas.microsoft.com/office/drawing/2014/chart" uri="{C3380CC4-5D6E-409C-BE32-E72D297353CC}">
                <c16:uniqueId val="{00000000-C5E1-416E-BB48-46A65BF54441}"/>
              </c:ext>
            </c:extLst>
          </c:dPt>
          <c:dPt>
            <c:idx val="60"/>
            <c:bubble3D val="0"/>
            <c:extLst>
              <c:ext xmlns:c16="http://schemas.microsoft.com/office/drawing/2014/chart" uri="{C3380CC4-5D6E-409C-BE32-E72D297353CC}">
                <c16:uniqueId val="{00000001-C5E1-416E-BB48-46A65BF54441}"/>
              </c:ext>
            </c:extLst>
          </c:dPt>
          <c:dPt>
            <c:idx val="61"/>
            <c:bubble3D val="0"/>
            <c:extLst>
              <c:ext xmlns:c16="http://schemas.microsoft.com/office/drawing/2014/chart" uri="{C3380CC4-5D6E-409C-BE32-E72D297353CC}">
                <c16:uniqueId val="{00000002-C5E1-416E-BB48-46A65BF54441}"/>
              </c:ext>
            </c:extLst>
          </c:dPt>
          <c:dPt>
            <c:idx val="62"/>
            <c:bubble3D val="0"/>
            <c:extLst>
              <c:ext xmlns:c16="http://schemas.microsoft.com/office/drawing/2014/chart" uri="{C3380CC4-5D6E-409C-BE32-E72D297353CC}">
                <c16:uniqueId val="{00000003-C5E1-416E-BB48-46A65BF54441}"/>
              </c:ext>
            </c:extLst>
          </c:dPt>
          <c:dPt>
            <c:idx val="65"/>
            <c:bubble3D val="0"/>
            <c:extLst>
              <c:ext xmlns:c16="http://schemas.microsoft.com/office/drawing/2014/chart" uri="{C3380CC4-5D6E-409C-BE32-E72D297353CC}">
                <c16:uniqueId val="{00000004-C5E1-416E-BB48-46A65BF54441}"/>
              </c:ext>
            </c:extLst>
          </c:dPt>
          <c:dPt>
            <c:idx val="79"/>
            <c:bubble3D val="0"/>
            <c:extLst>
              <c:ext xmlns:c16="http://schemas.microsoft.com/office/drawing/2014/chart" uri="{C3380CC4-5D6E-409C-BE32-E72D297353CC}">
                <c16:uniqueId val="{00000005-C5E1-416E-BB48-46A65BF54441}"/>
              </c:ext>
            </c:extLst>
          </c:dPt>
          <c:dPt>
            <c:idx val="113"/>
            <c:bubble3D val="0"/>
            <c:extLst>
              <c:ext xmlns:c16="http://schemas.microsoft.com/office/drawing/2014/chart" uri="{C3380CC4-5D6E-409C-BE32-E72D297353CC}">
                <c16:uniqueId val="{00000006-C5E1-416E-BB48-46A65BF54441}"/>
              </c:ext>
            </c:extLst>
          </c:dPt>
          <c:dPt>
            <c:idx val="161"/>
            <c:bubble3D val="0"/>
            <c:extLst>
              <c:ext xmlns:c16="http://schemas.microsoft.com/office/drawing/2014/chart" uri="{C3380CC4-5D6E-409C-BE32-E72D297353CC}">
                <c16:uniqueId val="{00000007-C5E1-416E-BB48-46A65BF54441}"/>
              </c:ext>
            </c:extLst>
          </c:dPt>
          <c:dPt>
            <c:idx val="165"/>
            <c:bubble3D val="0"/>
            <c:extLst>
              <c:ext xmlns:c16="http://schemas.microsoft.com/office/drawing/2014/chart" uri="{C3380CC4-5D6E-409C-BE32-E72D297353CC}">
                <c16:uniqueId val="{00000008-C5E1-416E-BB48-46A65BF54441}"/>
              </c:ext>
            </c:extLst>
          </c:dPt>
          <c:dPt>
            <c:idx val="167"/>
            <c:bubble3D val="0"/>
            <c:extLst>
              <c:ext xmlns:c16="http://schemas.microsoft.com/office/drawing/2014/chart" uri="{C3380CC4-5D6E-409C-BE32-E72D297353CC}">
                <c16:uniqueId val="{00000009-C5E1-416E-BB48-46A65BF54441}"/>
              </c:ext>
            </c:extLst>
          </c:dPt>
          <c:dPt>
            <c:idx val="169"/>
            <c:bubble3D val="0"/>
            <c:extLst>
              <c:ext xmlns:c16="http://schemas.microsoft.com/office/drawing/2014/chart" uri="{C3380CC4-5D6E-409C-BE32-E72D297353CC}">
                <c16:uniqueId val="{0000000A-C5E1-416E-BB48-46A65BF54441}"/>
              </c:ext>
            </c:extLst>
          </c:dPt>
          <c:dPt>
            <c:idx val="170"/>
            <c:bubble3D val="0"/>
            <c:extLst>
              <c:ext xmlns:c16="http://schemas.microsoft.com/office/drawing/2014/chart" uri="{C3380CC4-5D6E-409C-BE32-E72D297353CC}">
                <c16:uniqueId val="{0000000B-C5E1-416E-BB48-46A65BF54441}"/>
              </c:ext>
            </c:extLst>
          </c:dPt>
          <c:dPt>
            <c:idx val="173"/>
            <c:bubble3D val="0"/>
            <c:extLst>
              <c:ext xmlns:c16="http://schemas.microsoft.com/office/drawing/2014/chart" uri="{C3380CC4-5D6E-409C-BE32-E72D297353CC}">
                <c16:uniqueId val="{0000000C-C5E1-416E-BB48-46A65BF54441}"/>
              </c:ext>
            </c:extLst>
          </c:dPt>
          <c:dPt>
            <c:idx val="174"/>
            <c:bubble3D val="0"/>
            <c:extLst>
              <c:ext xmlns:c16="http://schemas.microsoft.com/office/drawing/2014/chart" uri="{C3380CC4-5D6E-409C-BE32-E72D297353CC}">
                <c16:uniqueId val="{0000000D-C5E1-416E-BB48-46A65BF54441}"/>
              </c:ext>
            </c:extLst>
          </c:dPt>
          <c:dPt>
            <c:idx val="175"/>
            <c:bubble3D val="0"/>
            <c:extLst>
              <c:ext xmlns:c16="http://schemas.microsoft.com/office/drawing/2014/chart" uri="{C3380CC4-5D6E-409C-BE32-E72D297353CC}">
                <c16:uniqueId val="{0000000E-C5E1-416E-BB48-46A65BF54441}"/>
              </c:ext>
            </c:extLst>
          </c:dPt>
          <c:dPt>
            <c:idx val="176"/>
            <c:bubble3D val="0"/>
            <c:extLst>
              <c:ext xmlns:c16="http://schemas.microsoft.com/office/drawing/2014/chart" uri="{C3380CC4-5D6E-409C-BE32-E72D297353CC}">
                <c16:uniqueId val="{0000000F-C5E1-416E-BB48-46A65BF54441}"/>
              </c:ext>
            </c:extLst>
          </c:dPt>
          <c:dPt>
            <c:idx val="177"/>
            <c:bubble3D val="0"/>
            <c:extLst>
              <c:ext xmlns:c16="http://schemas.microsoft.com/office/drawing/2014/chart" uri="{C3380CC4-5D6E-409C-BE32-E72D297353CC}">
                <c16:uniqueId val="{00000010-C5E1-416E-BB48-46A65BF54441}"/>
              </c:ext>
            </c:extLst>
          </c:dPt>
          <c:dPt>
            <c:idx val="179"/>
            <c:bubble3D val="0"/>
            <c:extLst>
              <c:ext xmlns:c16="http://schemas.microsoft.com/office/drawing/2014/chart" uri="{C3380CC4-5D6E-409C-BE32-E72D297353CC}">
                <c16:uniqueId val="{00000011-C5E1-416E-BB48-46A65BF54441}"/>
              </c:ext>
            </c:extLst>
          </c:dPt>
          <c:dPt>
            <c:idx val="180"/>
            <c:bubble3D val="0"/>
            <c:extLst>
              <c:ext xmlns:c16="http://schemas.microsoft.com/office/drawing/2014/chart" uri="{C3380CC4-5D6E-409C-BE32-E72D297353CC}">
                <c16:uniqueId val="{00000012-C5E1-416E-BB48-46A65BF54441}"/>
              </c:ext>
            </c:extLst>
          </c:dPt>
          <c:dPt>
            <c:idx val="183"/>
            <c:bubble3D val="0"/>
            <c:extLst>
              <c:ext xmlns:c16="http://schemas.microsoft.com/office/drawing/2014/chart" uri="{C3380CC4-5D6E-409C-BE32-E72D297353CC}">
                <c16:uniqueId val="{00000013-C5E1-416E-BB48-46A65BF54441}"/>
              </c:ext>
            </c:extLst>
          </c:dPt>
          <c:dPt>
            <c:idx val="185"/>
            <c:bubble3D val="0"/>
            <c:extLst>
              <c:ext xmlns:c16="http://schemas.microsoft.com/office/drawing/2014/chart" uri="{C3380CC4-5D6E-409C-BE32-E72D297353CC}">
                <c16:uniqueId val="{00000014-C5E1-416E-BB48-46A65BF54441}"/>
              </c:ext>
            </c:extLst>
          </c:dPt>
          <c:dPt>
            <c:idx val="186"/>
            <c:bubble3D val="0"/>
            <c:extLst>
              <c:ext xmlns:c16="http://schemas.microsoft.com/office/drawing/2014/chart" uri="{C3380CC4-5D6E-409C-BE32-E72D297353CC}">
                <c16:uniqueId val="{00000015-C5E1-416E-BB48-46A65BF54441}"/>
              </c:ext>
            </c:extLst>
          </c:dPt>
          <c:dPt>
            <c:idx val="187"/>
            <c:bubble3D val="0"/>
            <c:extLst>
              <c:ext xmlns:c16="http://schemas.microsoft.com/office/drawing/2014/chart" uri="{C3380CC4-5D6E-409C-BE32-E72D297353CC}">
                <c16:uniqueId val="{00000016-C5E1-416E-BB48-46A65BF54441}"/>
              </c:ext>
            </c:extLst>
          </c:dPt>
          <c:dPt>
            <c:idx val="188"/>
            <c:bubble3D val="0"/>
            <c:extLst>
              <c:ext xmlns:c16="http://schemas.microsoft.com/office/drawing/2014/chart" uri="{C3380CC4-5D6E-409C-BE32-E72D297353CC}">
                <c16:uniqueId val="{00000017-C5E1-416E-BB48-46A65BF54441}"/>
              </c:ext>
            </c:extLst>
          </c:dPt>
          <c:dPt>
            <c:idx val="190"/>
            <c:bubble3D val="0"/>
            <c:extLst>
              <c:ext xmlns:c16="http://schemas.microsoft.com/office/drawing/2014/chart" uri="{C3380CC4-5D6E-409C-BE32-E72D297353CC}">
                <c16:uniqueId val="{00000018-C5E1-416E-BB48-46A65BF54441}"/>
              </c:ext>
            </c:extLst>
          </c:dPt>
          <c:dPt>
            <c:idx val="191"/>
            <c:bubble3D val="0"/>
            <c:extLst>
              <c:ext xmlns:c16="http://schemas.microsoft.com/office/drawing/2014/chart" uri="{C3380CC4-5D6E-409C-BE32-E72D297353CC}">
                <c16:uniqueId val="{00000019-C5E1-416E-BB48-46A65BF54441}"/>
              </c:ext>
            </c:extLst>
          </c:dPt>
          <c:dPt>
            <c:idx val="194"/>
            <c:bubble3D val="0"/>
            <c:extLst>
              <c:ext xmlns:c16="http://schemas.microsoft.com/office/drawing/2014/chart" uri="{C3380CC4-5D6E-409C-BE32-E72D297353CC}">
                <c16:uniqueId val="{0000001A-C5E1-416E-BB48-46A65BF54441}"/>
              </c:ext>
            </c:extLst>
          </c:dPt>
          <c:dPt>
            <c:idx val="213"/>
            <c:bubble3D val="0"/>
            <c:extLst>
              <c:ext xmlns:c16="http://schemas.microsoft.com/office/drawing/2014/chart" uri="{C3380CC4-5D6E-409C-BE32-E72D297353CC}">
                <c16:uniqueId val="{0000001B-C5E1-416E-BB48-46A65BF54441}"/>
              </c:ext>
            </c:extLst>
          </c:dPt>
          <c:dPt>
            <c:idx val="222"/>
            <c:bubble3D val="0"/>
            <c:extLst>
              <c:ext xmlns:c16="http://schemas.microsoft.com/office/drawing/2014/chart" uri="{C3380CC4-5D6E-409C-BE32-E72D297353CC}">
                <c16:uniqueId val="{0000001C-C5E1-416E-BB48-46A65BF54441}"/>
              </c:ext>
            </c:extLst>
          </c:dPt>
          <c:dPt>
            <c:idx val="225"/>
            <c:bubble3D val="0"/>
            <c:extLst>
              <c:ext xmlns:c16="http://schemas.microsoft.com/office/drawing/2014/chart" uri="{C3380CC4-5D6E-409C-BE32-E72D297353CC}">
                <c16:uniqueId val="{0000001D-C5E1-416E-BB48-46A65BF54441}"/>
              </c:ext>
            </c:extLst>
          </c:dPt>
          <c:dPt>
            <c:idx val="234"/>
            <c:bubble3D val="0"/>
            <c:extLst>
              <c:ext xmlns:c16="http://schemas.microsoft.com/office/drawing/2014/chart" uri="{C3380CC4-5D6E-409C-BE32-E72D297353CC}">
                <c16:uniqueId val="{0000001E-C5E1-416E-BB48-46A65BF54441}"/>
              </c:ext>
            </c:extLst>
          </c:dPt>
          <c:dPt>
            <c:idx val="239"/>
            <c:bubble3D val="0"/>
            <c:extLst>
              <c:ext xmlns:c16="http://schemas.microsoft.com/office/drawing/2014/chart" uri="{C3380CC4-5D6E-409C-BE32-E72D297353CC}">
                <c16:uniqueId val="{0000001F-C5E1-416E-BB48-46A65BF54441}"/>
              </c:ext>
            </c:extLst>
          </c:dPt>
          <c:dPt>
            <c:idx val="241"/>
            <c:bubble3D val="0"/>
            <c:extLst>
              <c:ext xmlns:c16="http://schemas.microsoft.com/office/drawing/2014/chart" uri="{C3380CC4-5D6E-409C-BE32-E72D297353CC}">
                <c16:uniqueId val="{00000020-C5E1-416E-BB48-46A65BF54441}"/>
              </c:ext>
            </c:extLst>
          </c:dPt>
          <c:dPt>
            <c:idx val="244"/>
            <c:bubble3D val="0"/>
            <c:extLst>
              <c:ext xmlns:c16="http://schemas.microsoft.com/office/drawing/2014/chart" uri="{C3380CC4-5D6E-409C-BE32-E72D297353CC}">
                <c16:uniqueId val="{00000021-C5E1-416E-BB48-46A65BF54441}"/>
              </c:ext>
            </c:extLst>
          </c:dPt>
          <c:dPt>
            <c:idx val="245"/>
            <c:bubble3D val="0"/>
            <c:extLst>
              <c:ext xmlns:c16="http://schemas.microsoft.com/office/drawing/2014/chart" uri="{C3380CC4-5D6E-409C-BE32-E72D297353CC}">
                <c16:uniqueId val="{00000022-C5E1-416E-BB48-46A65BF54441}"/>
              </c:ext>
            </c:extLst>
          </c:dPt>
          <c:dPt>
            <c:idx val="246"/>
            <c:bubble3D val="0"/>
            <c:extLst>
              <c:ext xmlns:c16="http://schemas.microsoft.com/office/drawing/2014/chart" uri="{C3380CC4-5D6E-409C-BE32-E72D297353CC}">
                <c16:uniqueId val="{00000023-C5E1-416E-BB48-46A65BF54441}"/>
              </c:ext>
            </c:extLst>
          </c:dPt>
          <c:dPt>
            <c:idx val="247"/>
            <c:bubble3D val="0"/>
            <c:extLst>
              <c:ext xmlns:c16="http://schemas.microsoft.com/office/drawing/2014/chart" uri="{C3380CC4-5D6E-409C-BE32-E72D297353CC}">
                <c16:uniqueId val="{00000024-C5E1-416E-BB48-46A65BF54441}"/>
              </c:ext>
            </c:extLst>
          </c:dPt>
          <c:dPt>
            <c:idx val="248"/>
            <c:bubble3D val="0"/>
            <c:extLst>
              <c:ext xmlns:c16="http://schemas.microsoft.com/office/drawing/2014/chart" uri="{C3380CC4-5D6E-409C-BE32-E72D297353CC}">
                <c16:uniqueId val="{00000025-C5E1-416E-BB48-46A65BF54441}"/>
              </c:ext>
            </c:extLst>
          </c:dPt>
          <c:dPt>
            <c:idx val="250"/>
            <c:bubble3D val="0"/>
            <c:extLst>
              <c:ext xmlns:c16="http://schemas.microsoft.com/office/drawing/2014/chart" uri="{C3380CC4-5D6E-409C-BE32-E72D297353CC}">
                <c16:uniqueId val="{00000026-C5E1-416E-BB48-46A65BF54441}"/>
              </c:ext>
            </c:extLst>
          </c:dPt>
          <c:dPt>
            <c:idx val="251"/>
            <c:bubble3D val="0"/>
            <c:extLst>
              <c:ext xmlns:c16="http://schemas.microsoft.com/office/drawing/2014/chart" uri="{C3380CC4-5D6E-409C-BE32-E72D297353CC}">
                <c16:uniqueId val="{00000027-C5E1-416E-BB48-46A65BF54441}"/>
              </c:ext>
            </c:extLst>
          </c:dPt>
          <c:dPt>
            <c:idx val="252"/>
            <c:bubble3D val="0"/>
            <c:extLst>
              <c:ext xmlns:c16="http://schemas.microsoft.com/office/drawing/2014/chart" uri="{C3380CC4-5D6E-409C-BE32-E72D297353CC}">
                <c16:uniqueId val="{00000028-C5E1-416E-BB48-46A65BF54441}"/>
              </c:ext>
            </c:extLst>
          </c:dPt>
          <c:dPt>
            <c:idx val="253"/>
            <c:bubble3D val="0"/>
            <c:extLst>
              <c:ext xmlns:c16="http://schemas.microsoft.com/office/drawing/2014/chart" uri="{C3380CC4-5D6E-409C-BE32-E72D297353CC}">
                <c16:uniqueId val="{00000029-C5E1-416E-BB48-46A65BF54441}"/>
              </c:ext>
            </c:extLst>
          </c:dPt>
          <c:dPt>
            <c:idx val="259"/>
            <c:bubble3D val="0"/>
            <c:extLst>
              <c:ext xmlns:c16="http://schemas.microsoft.com/office/drawing/2014/chart" uri="{C3380CC4-5D6E-409C-BE32-E72D297353CC}">
                <c16:uniqueId val="{0000002A-C5E1-416E-BB48-46A65BF54441}"/>
              </c:ext>
            </c:extLst>
          </c:dPt>
          <c:cat>
            <c:numRef>
              <c:f>'Bond Prices'!$L$5:$L$266</c:f>
              <c:numCache>
                <c:formatCode>m/d/yyyy</c:formatCode>
                <c:ptCount val="262"/>
                <c:pt idx="0">
                  <c:v>44279</c:v>
                </c:pt>
                <c:pt idx="1">
                  <c:v>44280</c:v>
                </c:pt>
                <c:pt idx="2">
                  <c:v>44281</c:v>
                </c:pt>
                <c:pt idx="3">
                  <c:v>44284</c:v>
                </c:pt>
                <c:pt idx="4">
                  <c:v>44285</c:v>
                </c:pt>
                <c:pt idx="5">
                  <c:v>44286</c:v>
                </c:pt>
                <c:pt idx="6">
                  <c:v>44287</c:v>
                </c:pt>
                <c:pt idx="7">
                  <c:v>44288</c:v>
                </c:pt>
                <c:pt idx="8">
                  <c:v>44291</c:v>
                </c:pt>
                <c:pt idx="9">
                  <c:v>44292</c:v>
                </c:pt>
                <c:pt idx="10">
                  <c:v>44293</c:v>
                </c:pt>
                <c:pt idx="11">
                  <c:v>44294</c:v>
                </c:pt>
                <c:pt idx="12">
                  <c:v>44295</c:v>
                </c:pt>
                <c:pt idx="13">
                  <c:v>44298</c:v>
                </c:pt>
                <c:pt idx="14">
                  <c:v>44299</c:v>
                </c:pt>
                <c:pt idx="15">
                  <c:v>44300</c:v>
                </c:pt>
                <c:pt idx="16">
                  <c:v>44301</c:v>
                </c:pt>
                <c:pt idx="17">
                  <c:v>44302</c:v>
                </c:pt>
                <c:pt idx="18">
                  <c:v>44305</c:v>
                </c:pt>
                <c:pt idx="19">
                  <c:v>44306</c:v>
                </c:pt>
                <c:pt idx="20">
                  <c:v>44307</c:v>
                </c:pt>
                <c:pt idx="21">
                  <c:v>44308</c:v>
                </c:pt>
                <c:pt idx="22">
                  <c:v>44309</c:v>
                </c:pt>
                <c:pt idx="23">
                  <c:v>44312</c:v>
                </c:pt>
                <c:pt idx="24">
                  <c:v>44313</c:v>
                </c:pt>
                <c:pt idx="25">
                  <c:v>44314</c:v>
                </c:pt>
                <c:pt idx="26">
                  <c:v>44315</c:v>
                </c:pt>
                <c:pt idx="27">
                  <c:v>44316</c:v>
                </c:pt>
                <c:pt idx="28">
                  <c:v>44319</c:v>
                </c:pt>
                <c:pt idx="29">
                  <c:v>44320</c:v>
                </c:pt>
                <c:pt idx="30">
                  <c:v>44321</c:v>
                </c:pt>
                <c:pt idx="31">
                  <c:v>44322</c:v>
                </c:pt>
                <c:pt idx="32">
                  <c:v>44323</c:v>
                </c:pt>
                <c:pt idx="33">
                  <c:v>44326</c:v>
                </c:pt>
                <c:pt idx="34">
                  <c:v>44327</c:v>
                </c:pt>
                <c:pt idx="35">
                  <c:v>44328</c:v>
                </c:pt>
                <c:pt idx="36">
                  <c:v>44329</c:v>
                </c:pt>
                <c:pt idx="37">
                  <c:v>44330</c:v>
                </c:pt>
                <c:pt idx="38">
                  <c:v>44333</c:v>
                </c:pt>
                <c:pt idx="39">
                  <c:v>44334</c:v>
                </c:pt>
                <c:pt idx="40">
                  <c:v>44335</c:v>
                </c:pt>
                <c:pt idx="41">
                  <c:v>44336</c:v>
                </c:pt>
                <c:pt idx="42">
                  <c:v>44337</c:v>
                </c:pt>
                <c:pt idx="43">
                  <c:v>44340</c:v>
                </c:pt>
                <c:pt idx="44">
                  <c:v>44341</c:v>
                </c:pt>
                <c:pt idx="45">
                  <c:v>44342</c:v>
                </c:pt>
                <c:pt idx="46">
                  <c:v>44343</c:v>
                </c:pt>
                <c:pt idx="47">
                  <c:v>44344</c:v>
                </c:pt>
                <c:pt idx="48">
                  <c:v>44347</c:v>
                </c:pt>
                <c:pt idx="49">
                  <c:v>44348</c:v>
                </c:pt>
                <c:pt idx="50">
                  <c:v>44349</c:v>
                </c:pt>
                <c:pt idx="51">
                  <c:v>44350</c:v>
                </c:pt>
                <c:pt idx="52">
                  <c:v>44351</c:v>
                </c:pt>
                <c:pt idx="53">
                  <c:v>44354</c:v>
                </c:pt>
                <c:pt idx="54">
                  <c:v>44355</c:v>
                </c:pt>
                <c:pt idx="55">
                  <c:v>44356</c:v>
                </c:pt>
                <c:pt idx="56">
                  <c:v>44357</c:v>
                </c:pt>
                <c:pt idx="57">
                  <c:v>44358</c:v>
                </c:pt>
                <c:pt idx="58">
                  <c:v>44361</c:v>
                </c:pt>
                <c:pt idx="59">
                  <c:v>44362</c:v>
                </c:pt>
                <c:pt idx="60">
                  <c:v>44363</c:v>
                </c:pt>
                <c:pt idx="61">
                  <c:v>44364</c:v>
                </c:pt>
                <c:pt idx="62">
                  <c:v>44365</c:v>
                </c:pt>
                <c:pt idx="63">
                  <c:v>44368</c:v>
                </c:pt>
                <c:pt idx="64">
                  <c:v>44369</c:v>
                </c:pt>
                <c:pt idx="65">
                  <c:v>44370</c:v>
                </c:pt>
                <c:pt idx="66">
                  <c:v>44371</c:v>
                </c:pt>
                <c:pt idx="67">
                  <c:v>44372</c:v>
                </c:pt>
                <c:pt idx="68">
                  <c:v>44375</c:v>
                </c:pt>
                <c:pt idx="69">
                  <c:v>44376</c:v>
                </c:pt>
                <c:pt idx="70">
                  <c:v>44377</c:v>
                </c:pt>
                <c:pt idx="71">
                  <c:v>44378</c:v>
                </c:pt>
                <c:pt idx="72">
                  <c:v>44379</c:v>
                </c:pt>
                <c:pt idx="73">
                  <c:v>44382</c:v>
                </c:pt>
                <c:pt idx="74">
                  <c:v>44383</c:v>
                </c:pt>
                <c:pt idx="75">
                  <c:v>44384</c:v>
                </c:pt>
                <c:pt idx="76">
                  <c:v>44385</c:v>
                </c:pt>
                <c:pt idx="77">
                  <c:v>44386</c:v>
                </c:pt>
                <c:pt idx="78">
                  <c:v>44389</c:v>
                </c:pt>
                <c:pt idx="79">
                  <c:v>44390</c:v>
                </c:pt>
                <c:pt idx="80">
                  <c:v>44391</c:v>
                </c:pt>
                <c:pt idx="81">
                  <c:v>44392</c:v>
                </c:pt>
                <c:pt idx="82">
                  <c:v>44393</c:v>
                </c:pt>
                <c:pt idx="83">
                  <c:v>44396</c:v>
                </c:pt>
                <c:pt idx="84">
                  <c:v>44397</c:v>
                </c:pt>
                <c:pt idx="85">
                  <c:v>44398</c:v>
                </c:pt>
                <c:pt idx="86">
                  <c:v>44399</c:v>
                </c:pt>
                <c:pt idx="87">
                  <c:v>44400</c:v>
                </c:pt>
                <c:pt idx="88">
                  <c:v>44403</c:v>
                </c:pt>
                <c:pt idx="89">
                  <c:v>44404</c:v>
                </c:pt>
                <c:pt idx="90">
                  <c:v>44405</c:v>
                </c:pt>
                <c:pt idx="91">
                  <c:v>44406</c:v>
                </c:pt>
                <c:pt idx="92">
                  <c:v>44407</c:v>
                </c:pt>
                <c:pt idx="93">
                  <c:v>44410</c:v>
                </c:pt>
                <c:pt idx="94">
                  <c:v>44411</c:v>
                </c:pt>
                <c:pt idx="95">
                  <c:v>44412</c:v>
                </c:pt>
                <c:pt idx="96">
                  <c:v>44413</c:v>
                </c:pt>
                <c:pt idx="97">
                  <c:v>44414</c:v>
                </c:pt>
                <c:pt idx="98">
                  <c:v>44417</c:v>
                </c:pt>
                <c:pt idx="99">
                  <c:v>44418</c:v>
                </c:pt>
                <c:pt idx="100">
                  <c:v>44419</c:v>
                </c:pt>
                <c:pt idx="101">
                  <c:v>44420</c:v>
                </c:pt>
                <c:pt idx="102">
                  <c:v>44421</c:v>
                </c:pt>
                <c:pt idx="103">
                  <c:v>44424</c:v>
                </c:pt>
                <c:pt idx="104">
                  <c:v>44425</c:v>
                </c:pt>
                <c:pt idx="105">
                  <c:v>44426</c:v>
                </c:pt>
                <c:pt idx="106">
                  <c:v>44427</c:v>
                </c:pt>
                <c:pt idx="107">
                  <c:v>44428</c:v>
                </c:pt>
                <c:pt idx="108">
                  <c:v>44431</c:v>
                </c:pt>
                <c:pt idx="109">
                  <c:v>44432</c:v>
                </c:pt>
                <c:pt idx="110">
                  <c:v>44433</c:v>
                </c:pt>
                <c:pt idx="111">
                  <c:v>44434</c:v>
                </c:pt>
                <c:pt idx="112">
                  <c:v>44435</c:v>
                </c:pt>
                <c:pt idx="113">
                  <c:v>44438</c:v>
                </c:pt>
                <c:pt idx="114">
                  <c:v>44439</c:v>
                </c:pt>
                <c:pt idx="115">
                  <c:v>44440</c:v>
                </c:pt>
                <c:pt idx="116">
                  <c:v>44441</c:v>
                </c:pt>
                <c:pt idx="117">
                  <c:v>44442</c:v>
                </c:pt>
                <c:pt idx="118">
                  <c:v>44445</c:v>
                </c:pt>
                <c:pt idx="119">
                  <c:v>44446</c:v>
                </c:pt>
                <c:pt idx="120">
                  <c:v>44447</c:v>
                </c:pt>
                <c:pt idx="121">
                  <c:v>44448</c:v>
                </c:pt>
                <c:pt idx="122">
                  <c:v>44449</c:v>
                </c:pt>
                <c:pt idx="123">
                  <c:v>44452</c:v>
                </c:pt>
                <c:pt idx="124">
                  <c:v>44453</c:v>
                </c:pt>
                <c:pt idx="125">
                  <c:v>44454</c:v>
                </c:pt>
                <c:pt idx="126">
                  <c:v>44455</c:v>
                </c:pt>
                <c:pt idx="127">
                  <c:v>44456</c:v>
                </c:pt>
                <c:pt idx="128">
                  <c:v>44459</c:v>
                </c:pt>
                <c:pt idx="129">
                  <c:v>44460</c:v>
                </c:pt>
                <c:pt idx="130">
                  <c:v>44461</c:v>
                </c:pt>
                <c:pt idx="131">
                  <c:v>44462</c:v>
                </c:pt>
                <c:pt idx="132">
                  <c:v>44463</c:v>
                </c:pt>
                <c:pt idx="133">
                  <c:v>44466</c:v>
                </c:pt>
                <c:pt idx="134">
                  <c:v>44467</c:v>
                </c:pt>
                <c:pt idx="135">
                  <c:v>44468</c:v>
                </c:pt>
                <c:pt idx="136">
                  <c:v>44469</c:v>
                </c:pt>
                <c:pt idx="137">
                  <c:v>44470</c:v>
                </c:pt>
                <c:pt idx="138">
                  <c:v>44473</c:v>
                </c:pt>
                <c:pt idx="139">
                  <c:v>44474</c:v>
                </c:pt>
                <c:pt idx="140">
                  <c:v>44475</c:v>
                </c:pt>
                <c:pt idx="141">
                  <c:v>44476</c:v>
                </c:pt>
                <c:pt idx="142">
                  <c:v>44477</c:v>
                </c:pt>
                <c:pt idx="143">
                  <c:v>44480</c:v>
                </c:pt>
                <c:pt idx="144">
                  <c:v>44481</c:v>
                </c:pt>
                <c:pt idx="145">
                  <c:v>44482</c:v>
                </c:pt>
                <c:pt idx="146">
                  <c:v>44483</c:v>
                </c:pt>
                <c:pt idx="147">
                  <c:v>44484</c:v>
                </c:pt>
                <c:pt idx="148">
                  <c:v>44487</c:v>
                </c:pt>
                <c:pt idx="149">
                  <c:v>44488</c:v>
                </c:pt>
                <c:pt idx="150">
                  <c:v>44489</c:v>
                </c:pt>
                <c:pt idx="151">
                  <c:v>44490</c:v>
                </c:pt>
                <c:pt idx="152">
                  <c:v>44491</c:v>
                </c:pt>
                <c:pt idx="153">
                  <c:v>44494</c:v>
                </c:pt>
                <c:pt idx="154">
                  <c:v>44495</c:v>
                </c:pt>
                <c:pt idx="155">
                  <c:v>44496</c:v>
                </c:pt>
                <c:pt idx="156">
                  <c:v>44497</c:v>
                </c:pt>
                <c:pt idx="157">
                  <c:v>44498</c:v>
                </c:pt>
                <c:pt idx="158">
                  <c:v>44501</c:v>
                </c:pt>
                <c:pt idx="159">
                  <c:v>44502</c:v>
                </c:pt>
                <c:pt idx="160">
                  <c:v>44503</c:v>
                </c:pt>
                <c:pt idx="161">
                  <c:v>44504</c:v>
                </c:pt>
                <c:pt idx="162">
                  <c:v>44505</c:v>
                </c:pt>
                <c:pt idx="163">
                  <c:v>44508</c:v>
                </c:pt>
                <c:pt idx="164">
                  <c:v>44509</c:v>
                </c:pt>
                <c:pt idx="165">
                  <c:v>44510</c:v>
                </c:pt>
                <c:pt idx="166">
                  <c:v>44511</c:v>
                </c:pt>
                <c:pt idx="167">
                  <c:v>44512</c:v>
                </c:pt>
                <c:pt idx="168">
                  <c:v>44515</c:v>
                </c:pt>
                <c:pt idx="169">
                  <c:v>44516</c:v>
                </c:pt>
                <c:pt idx="170">
                  <c:v>44517</c:v>
                </c:pt>
                <c:pt idx="171">
                  <c:v>44518</c:v>
                </c:pt>
                <c:pt idx="172">
                  <c:v>44519</c:v>
                </c:pt>
                <c:pt idx="173">
                  <c:v>44522</c:v>
                </c:pt>
                <c:pt idx="174">
                  <c:v>44523</c:v>
                </c:pt>
                <c:pt idx="175">
                  <c:v>44524</c:v>
                </c:pt>
                <c:pt idx="176">
                  <c:v>44525</c:v>
                </c:pt>
                <c:pt idx="177">
                  <c:v>44526</c:v>
                </c:pt>
                <c:pt idx="178">
                  <c:v>44529</c:v>
                </c:pt>
                <c:pt idx="179">
                  <c:v>44530</c:v>
                </c:pt>
                <c:pt idx="180">
                  <c:v>44531</c:v>
                </c:pt>
                <c:pt idx="181">
                  <c:v>44532</c:v>
                </c:pt>
                <c:pt idx="182">
                  <c:v>44533</c:v>
                </c:pt>
                <c:pt idx="183">
                  <c:v>44536</c:v>
                </c:pt>
                <c:pt idx="184">
                  <c:v>44537</c:v>
                </c:pt>
                <c:pt idx="185">
                  <c:v>44538</c:v>
                </c:pt>
                <c:pt idx="186">
                  <c:v>44539</c:v>
                </c:pt>
                <c:pt idx="187">
                  <c:v>44540</c:v>
                </c:pt>
                <c:pt idx="188">
                  <c:v>44543</c:v>
                </c:pt>
                <c:pt idx="189">
                  <c:v>44544</c:v>
                </c:pt>
                <c:pt idx="190">
                  <c:v>44545</c:v>
                </c:pt>
                <c:pt idx="191">
                  <c:v>44546</c:v>
                </c:pt>
                <c:pt idx="192">
                  <c:v>44547</c:v>
                </c:pt>
                <c:pt idx="193">
                  <c:v>44550</c:v>
                </c:pt>
                <c:pt idx="194">
                  <c:v>44551</c:v>
                </c:pt>
                <c:pt idx="195">
                  <c:v>44552</c:v>
                </c:pt>
                <c:pt idx="196">
                  <c:v>44553</c:v>
                </c:pt>
                <c:pt idx="197">
                  <c:v>44554</c:v>
                </c:pt>
                <c:pt idx="198">
                  <c:v>44557</c:v>
                </c:pt>
                <c:pt idx="199">
                  <c:v>44558</c:v>
                </c:pt>
                <c:pt idx="200">
                  <c:v>44559</c:v>
                </c:pt>
                <c:pt idx="201">
                  <c:v>44560</c:v>
                </c:pt>
                <c:pt idx="202">
                  <c:v>44561</c:v>
                </c:pt>
                <c:pt idx="203">
                  <c:v>44564</c:v>
                </c:pt>
                <c:pt idx="204">
                  <c:v>44565</c:v>
                </c:pt>
                <c:pt idx="205">
                  <c:v>44566</c:v>
                </c:pt>
                <c:pt idx="206">
                  <c:v>44567</c:v>
                </c:pt>
                <c:pt idx="207">
                  <c:v>44568</c:v>
                </c:pt>
                <c:pt idx="208">
                  <c:v>44571</c:v>
                </c:pt>
                <c:pt idx="209">
                  <c:v>44572</c:v>
                </c:pt>
                <c:pt idx="210">
                  <c:v>44573</c:v>
                </c:pt>
                <c:pt idx="211">
                  <c:v>44574</c:v>
                </c:pt>
                <c:pt idx="212">
                  <c:v>44575</c:v>
                </c:pt>
                <c:pt idx="213">
                  <c:v>44578</c:v>
                </c:pt>
                <c:pt idx="214">
                  <c:v>44579</c:v>
                </c:pt>
                <c:pt idx="215">
                  <c:v>44580</c:v>
                </c:pt>
                <c:pt idx="216">
                  <c:v>44581</c:v>
                </c:pt>
                <c:pt idx="217">
                  <c:v>44582</c:v>
                </c:pt>
                <c:pt idx="218">
                  <c:v>44585</c:v>
                </c:pt>
                <c:pt idx="219">
                  <c:v>44586</c:v>
                </c:pt>
                <c:pt idx="220">
                  <c:v>44587</c:v>
                </c:pt>
                <c:pt idx="221">
                  <c:v>44588</c:v>
                </c:pt>
                <c:pt idx="222">
                  <c:v>44589</c:v>
                </c:pt>
                <c:pt idx="223">
                  <c:v>44592</c:v>
                </c:pt>
                <c:pt idx="224">
                  <c:v>44593</c:v>
                </c:pt>
                <c:pt idx="225">
                  <c:v>44594</c:v>
                </c:pt>
                <c:pt idx="226">
                  <c:v>44595</c:v>
                </c:pt>
                <c:pt idx="227">
                  <c:v>44596</c:v>
                </c:pt>
                <c:pt idx="228">
                  <c:v>44599</c:v>
                </c:pt>
                <c:pt idx="229">
                  <c:v>44600</c:v>
                </c:pt>
                <c:pt idx="230">
                  <c:v>44601</c:v>
                </c:pt>
                <c:pt idx="231">
                  <c:v>44602</c:v>
                </c:pt>
                <c:pt idx="232">
                  <c:v>44603</c:v>
                </c:pt>
                <c:pt idx="233">
                  <c:v>44606</c:v>
                </c:pt>
                <c:pt idx="234">
                  <c:v>44607</c:v>
                </c:pt>
                <c:pt idx="235">
                  <c:v>44608</c:v>
                </c:pt>
                <c:pt idx="236">
                  <c:v>44609</c:v>
                </c:pt>
                <c:pt idx="237">
                  <c:v>44610</c:v>
                </c:pt>
                <c:pt idx="238">
                  <c:v>44613</c:v>
                </c:pt>
                <c:pt idx="239">
                  <c:v>44614</c:v>
                </c:pt>
                <c:pt idx="240">
                  <c:v>44615</c:v>
                </c:pt>
                <c:pt idx="241">
                  <c:v>44616</c:v>
                </c:pt>
                <c:pt idx="242">
                  <c:v>44617</c:v>
                </c:pt>
                <c:pt idx="243">
                  <c:v>44620</c:v>
                </c:pt>
                <c:pt idx="244">
                  <c:v>44621</c:v>
                </c:pt>
                <c:pt idx="245">
                  <c:v>44622</c:v>
                </c:pt>
                <c:pt idx="246">
                  <c:v>44623</c:v>
                </c:pt>
                <c:pt idx="247">
                  <c:v>44624</c:v>
                </c:pt>
                <c:pt idx="248">
                  <c:v>44627</c:v>
                </c:pt>
                <c:pt idx="249">
                  <c:v>44628</c:v>
                </c:pt>
                <c:pt idx="250">
                  <c:v>44629</c:v>
                </c:pt>
                <c:pt idx="251">
                  <c:v>44630</c:v>
                </c:pt>
                <c:pt idx="252">
                  <c:v>44631</c:v>
                </c:pt>
                <c:pt idx="253">
                  <c:v>44634</c:v>
                </c:pt>
                <c:pt idx="254">
                  <c:v>44635</c:v>
                </c:pt>
                <c:pt idx="255">
                  <c:v>44636</c:v>
                </c:pt>
                <c:pt idx="256">
                  <c:v>44637</c:v>
                </c:pt>
                <c:pt idx="257">
                  <c:v>44638</c:v>
                </c:pt>
                <c:pt idx="258">
                  <c:v>44641</c:v>
                </c:pt>
                <c:pt idx="259">
                  <c:v>44642</c:v>
                </c:pt>
                <c:pt idx="260">
                  <c:v>44643</c:v>
                </c:pt>
                <c:pt idx="261">
                  <c:v>44644</c:v>
                </c:pt>
              </c:numCache>
            </c:numRef>
          </c:cat>
          <c:val>
            <c:numRef>
              <c:f>'Bond Prices'!$M$5:$M$266</c:f>
              <c:numCache>
                <c:formatCode>0.0</c:formatCode>
                <c:ptCount val="262"/>
                <c:pt idx="0">
                  <c:v>101.84</c:v>
                </c:pt>
                <c:pt idx="1">
                  <c:v>101.818</c:v>
                </c:pt>
                <c:pt idx="2">
                  <c:v>101.818</c:v>
                </c:pt>
                <c:pt idx="3">
                  <c:v>101.812</c:v>
                </c:pt>
                <c:pt idx="4">
                  <c:v>101.79600000000001</c:v>
                </c:pt>
                <c:pt idx="5">
                  <c:v>101.77500000000001</c:v>
                </c:pt>
                <c:pt idx="6">
                  <c:v>101.773</c:v>
                </c:pt>
                <c:pt idx="7">
                  <c:v>101.773</c:v>
                </c:pt>
                <c:pt idx="8">
                  <c:v>101.773</c:v>
                </c:pt>
                <c:pt idx="9">
                  <c:v>101.773</c:v>
                </c:pt>
                <c:pt idx="10">
                  <c:v>101.765</c:v>
                </c:pt>
                <c:pt idx="11">
                  <c:v>101.753</c:v>
                </c:pt>
                <c:pt idx="12">
                  <c:v>101.73399999999999</c:v>
                </c:pt>
                <c:pt idx="13">
                  <c:v>101.73099999999999</c:v>
                </c:pt>
                <c:pt idx="14">
                  <c:v>101.723</c:v>
                </c:pt>
                <c:pt idx="15">
                  <c:v>101.705</c:v>
                </c:pt>
                <c:pt idx="16">
                  <c:v>101.70099999999999</c:v>
                </c:pt>
                <c:pt idx="17">
                  <c:v>101.69</c:v>
                </c:pt>
                <c:pt idx="18">
                  <c:v>101.67400000000001</c:v>
                </c:pt>
                <c:pt idx="19">
                  <c:v>101.67700000000001</c:v>
                </c:pt>
                <c:pt idx="20">
                  <c:v>101.67400000000001</c:v>
                </c:pt>
                <c:pt idx="21">
                  <c:v>101.649</c:v>
                </c:pt>
                <c:pt idx="22">
                  <c:v>101.65300000000001</c:v>
                </c:pt>
                <c:pt idx="23">
                  <c:v>101.64400000000001</c:v>
                </c:pt>
                <c:pt idx="24">
                  <c:v>101.649</c:v>
                </c:pt>
                <c:pt idx="25">
                  <c:v>101.64</c:v>
                </c:pt>
                <c:pt idx="26">
                  <c:v>101.608</c:v>
                </c:pt>
                <c:pt idx="27">
                  <c:v>101.602</c:v>
                </c:pt>
                <c:pt idx="28">
                  <c:v>101.58199999999999</c:v>
                </c:pt>
                <c:pt idx="29">
                  <c:v>101.575</c:v>
                </c:pt>
                <c:pt idx="30">
                  <c:v>101.58199999999999</c:v>
                </c:pt>
                <c:pt idx="31">
                  <c:v>101.568</c:v>
                </c:pt>
                <c:pt idx="32">
                  <c:v>101.56399999999999</c:v>
                </c:pt>
                <c:pt idx="33">
                  <c:v>101.54300000000001</c:v>
                </c:pt>
                <c:pt idx="34">
                  <c:v>101.542</c:v>
                </c:pt>
                <c:pt idx="35">
                  <c:v>101.544</c:v>
                </c:pt>
                <c:pt idx="36">
                  <c:v>101.51300000000001</c:v>
                </c:pt>
                <c:pt idx="37">
                  <c:v>101.514</c:v>
                </c:pt>
                <c:pt idx="38">
                  <c:v>101.505</c:v>
                </c:pt>
                <c:pt idx="39">
                  <c:v>101.501</c:v>
                </c:pt>
                <c:pt idx="40">
                  <c:v>101.48399999999999</c:v>
                </c:pt>
                <c:pt idx="41">
                  <c:v>101.46599999999999</c:v>
                </c:pt>
                <c:pt idx="42">
                  <c:v>101.46</c:v>
                </c:pt>
                <c:pt idx="43">
                  <c:v>101.452</c:v>
                </c:pt>
                <c:pt idx="44">
                  <c:v>101.455</c:v>
                </c:pt>
                <c:pt idx="45">
                  <c:v>101.43899999999999</c:v>
                </c:pt>
                <c:pt idx="46">
                  <c:v>101.423</c:v>
                </c:pt>
                <c:pt idx="47">
                  <c:v>101.42100000000001</c:v>
                </c:pt>
                <c:pt idx="48">
                  <c:v>101.41500000000001</c:v>
                </c:pt>
                <c:pt idx="49">
                  <c:v>101.408</c:v>
                </c:pt>
                <c:pt idx="50">
                  <c:v>101.40600000000001</c:v>
                </c:pt>
                <c:pt idx="51">
                  <c:v>101.38500000000001</c:v>
                </c:pt>
                <c:pt idx="52">
                  <c:v>101.384</c:v>
                </c:pt>
                <c:pt idx="53">
                  <c:v>101.376</c:v>
                </c:pt>
                <c:pt idx="54">
                  <c:v>101.374</c:v>
                </c:pt>
                <c:pt idx="55">
                  <c:v>101.366</c:v>
                </c:pt>
                <c:pt idx="56">
                  <c:v>101.34399999999999</c:v>
                </c:pt>
                <c:pt idx="57">
                  <c:v>101.339</c:v>
                </c:pt>
                <c:pt idx="58">
                  <c:v>101.333</c:v>
                </c:pt>
                <c:pt idx="59">
                  <c:v>101.319</c:v>
                </c:pt>
                <c:pt idx="60">
                  <c:v>101.315</c:v>
                </c:pt>
                <c:pt idx="61">
                  <c:v>101.304</c:v>
                </c:pt>
                <c:pt idx="62">
                  <c:v>101.292</c:v>
                </c:pt>
                <c:pt idx="63">
                  <c:v>101.282</c:v>
                </c:pt>
                <c:pt idx="64">
                  <c:v>101.27500000000001</c:v>
                </c:pt>
                <c:pt idx="65">
                  <c:v>101.279</c:v>
                </c:pt>
                <c:pt idx="66">
                  <c:v>101.259</c:v>
                </c:pt>
                <c:pt idx="67">
                  <c:v>101.253</c:v>
                </c:pt>
                <c:pt idx="68">
                  <c:v>101.249</c:v>
                </c:pt>
                <c:pt idx="69">
                  <c:v>101.241</c:v>
                </c:pt>
                <c:pt idx="70">
                  <c:v>101.238</c:v>
                </c:pt>
                <c:pt idx="71">
                  <c:v>101.221</c:v>
                </c:pt>
                <c:pt idx="72">
                  <c:v>101.212</c:v>
                </c:pt>
                <c:pt idx="73">
                  <c:v>101.208</c:v>
                </c:pt>
                <c:pt idx="74">
                  <c:v>101.20399999999999</c:v>
                </c:pt>
                <c:pt idx="75">
                  <c:v>101.197</c:v>
                </c:pt>
                <c:pt idx="76">
                  <c:v>101.178</c:v>
                </c:pt>
                <c:pt idx="77">
                  <c:v>101.16500000000001</c:v>
                </c:pt>
                <c:pt idx="78">
                  <c:v>101.158</c:v>
                </c:pt>
                <c:pt idx="79">
                  <c:v>101.152</c:v>
                </c:pt>
                <c:pt idx="80">
                  <c:v>101.145</c:v>
                </c:pt>
                <c:pt idx="81">
                  <c:v>101.13</c:v>
                </c:pt>
                <c:pt idx="82">
                  <c:v>101.124</c:v>
                </c:pt>
                <c:pt idx="83">
                  <c:v>101.114</c:v>
                </c:pt>
                <c:pt idx="84">
                  <c:v>101.11199999999999</c:v>
                </c:pt>
                <c:pt idx="85">
                  <c:v>101.108</c:v>
                </c:pt>
                <c:pt idx="86">
                  <c:v>101.09</c:v>
                </c:pt>
                <c:pt idx="87">
                  <c:v>101.083</c:v>
                </c:pt>
                <c:pt idx="88">
                  <c:v>101.08199999999999</c:v>
                </c:pt>
                <c:pt idx="89">
                  <c:v>101.07899999999999</c:v>
                </c:pt>
                <c:pt idx="90">
                  <c:v>101.075</c:v>
                </c:pt>
                <c:pt idx="91">
                  <c:v>101.051</c:v>
                </c:pt>
                <c:pt idx="92">
                  <c:v>101.042</c:v>
                </c:pt>
                <c:pt idx="93">
                  <c:v>101.036</c:v>
                </c:pt>
                <c:pt idx="94">
                  <c:v>101.02500000000001</c:v>
                </c:pt>
                <c:pt idx="95">
                  <c:v>101.012</c:v>
                </c:pt>
                <c:pt idx="96">
                  <c:v>101.001</c:v>
                </c:pt>
                <c:pt idx="97">
                  <c:v>100.97799999999999</c:v>
                </c:pt>
                <c:pt idx="98">
                  <c:v>100.97199999999999</c:v>
                </c:pt>
                <c:pt idx="99">
                  <c:v>100.965</c:v>
                </c:pt>
                <c:pt idx="100">
                  <c:v>100.959</c:v>
                </c:pt>
                <c:pt idx="101">
                  <c:v>100.944</c:v>
                </c:pt>
                <c:pt idx="102">
                  <c:v>100.934</c:v>
                </c:pt>
                <c:pt idx="103">
                  <c:v>100.934</c:v>
                </c:pt>
                <c:pt idx="104">
                  <c:v>100.93</c:v>
                </c:pt>
                <c:pt idx="105">
                  <c:v>100.93</c:v>
                </c:pt>
                <c:pt idx="106">
                  <c:v>100.917</c:v>
                </c:pt>
                <c:pt idx="107">
                  <c:v>100.901</c:v>
                </c:pt>
                <c:pt idx="108">
                  <c:v>100.898</c:v>
                </c:pt>
                <c:pt idx="109">
                  <c:v>100.89100000000001</c:v>
                </c:pt>
                <c:pt idx="110">
                  <c:v>100.881</c:v>
                </c:pt>
                <c:pt idx="111">
                  <c:v>100.863</c:v>
                </c:pt>
                <c:pt idx="112">
                  <c:v>100.858</c:v>
                </c:pt>
                <c:pt idx="113">
                  <c:v>100.854</c:v>
                </c:pt>
                <c:pt idx="114">
                  <c:v>100.845</c:v>
                </c:pt>
                <c:pt idx="115">
                  <c:v>100.843</c:v>
                </c:pt>
                <c:pt idx="116">
                  <c:v>100.82299999999999</c:v>
                </c:pt>
                <c:pt idx="117">
                  <c:v>100.816</c:v>
                </c:pt>
                <c:pt idx="118">
                  <c:v>100.80800000000001</c:v>
                </c:pt>
                <c:pt idx="119">
                  <c:v>100.797</c:v>
                </c:pt>
                <c:pt idx="120">
                  <c:v>100.786</c:v>
                </c:pt>
                <c:pt idx="121">
                  <c:v>100.77200000000001</c:v>
                </c:pt>
                <c:pt idx="122">
                  <c:v>100.76600000000001</c:v>
                </c:pt>
                <c:pt idx="123">
                  <c:v>100.75700000000001</c:v>
                </c:pt>
                <c:pt idx="124">
                  <c:v>100.752</c:v>
                </c:pt>
                <c:pt idx="125">
                  <c:v>100.74299999999999</c:v>
                </c:pt>
                <c:pt idx="126">
                  <c:v>100.72499999999999</c:v>
                </c:pt>
                <c:pt idx="127">
                  <c:v>100.717</c:v>
                </c:pt>
                <c:pt idx="128">
                  <c:v>100.71</c:v>
                </c:pt>
                <c:pt idx="129">
                  <c:v>100.706</c:v>
                </c:pt>
                <c:pt idx="130">
                  <c:v>100.697</c:v>
                </c:pt>
                <c:pt idx="131">
                  <c:v>100.675</c:v>
                </c:pt>
                <c:pt idx="132">
                  <c:v>100.672</c:v>
                </c:pt>
                <c:pt idx="133">
                  <c:v>100.667</c:v>
                </c:pt>
                <c:pt idx="134">
                  <c:v>100.654</c:v>
                </c:pt>
                <c:pt idx="135">
                  <c:v>100.65</c:v>
                </c:pt>
                <c:pt idx="136">
                  <c:v>100.631</c:v>
                </c:pt>
                <c:pt idx="137">
                  <c:v>100.627</c:v>
                </c:pt>
                <c:pt idx="138">
                  <c:v>100.619</c:v>
                </c:pt>
                <c:pt idx="139">
                  <c:v>100.614</c:v>
                </c:pt>
                <c:pt idx="140">
                  <c:v>100.607</c:v>
                </c:pt>
                <c:pt idx="141">
                  <c:v>100.589</c:v>
                </c:pt>
                <c:pt idx="142">
                  <c:v>100.584</c:v>
                </c:pt>
                <c:pt idx="143">
                  <c:v>100.57299999999999</c:v>
                </c:pt>
                <c:pt idx="144">
                  <c:v>100.565</c:v>
                </c:pt>
                <c:pt idx="145">
                  <c:v>100.557</c:v>
                </c:pt>
                <c:pt idx="146">
                  <c:v>100.538</c:v>
                </c:pt>
                <c:pt idx="147">
                  <c:v>100.535</c:v>
                </c:pt>
                <c:pt idx="148">
                  <c:v>100.521</c:v>
                </c:pt>
                <c:pt idx="149">
                  <c:v>100.518</c:v>
                </c:pt>
                <c:pt idx="150">
                  <c:v>100.511</c:v>
                </c:pt>
                <c:pt idx="151">
                  <c:v>100.495</c:v>
                </c:pt>
                <c:pt idx="152">
                  <c:v>100.489</c:v>
                </c:pt>
                <c:pt idx="153">
                  <c:v>100.48399999999999</c:v>
                </c:pt>
                <c:pt idx="154">
                  <c:v>100.476</c:v>
                </c:pt>
                <c:pt idx="155">
                  <c:v>100.47199999999999</c:v>
                </c:pt>
                <c:pt idx="156">
                  <c:v>100.449</c:v>
                </c:pt>
                <c:pt idx="157">
                  <c:v>100.43899999999999</c:v>
                </c:pt>
                <c:pt idx="158">
                  <c:v>100.43300000000001</c:v>
                </c:pt>
                <c:pt idx="159">
                  <c:v>100.431</c:v>
                </c:pt>
                <c:pt idx="160">
                  <c:v>100.425</c:v>
                </c:pt>
                <c:pt idx="161">
                  <c:v>100.40900000000001</c:v>
                </c:pt>
                <c:pt idx="162">
                  <c:v>100.401</c:v>
                </c:pt>
                <c:pt idx="163">
                  <c:v>100.395</c:v>
                </c:pt>
                <c:pt idx="164">
                  <c:v>100.386</c:v>
                </c:pt>
                <c:pt idx="165">
                  <c:v>100.381</c:v>
                </c:pt>
                <c:pt idx="166">
                  <c:v>100.361</c:v>
                </c:pt>
                <c:pt idx="167">
                  <c:v>100.351</c:v>
                </c:pt>
                <c:pt idx="168">
                  <c:v>100.348</c:v>
                </c:pt>
                <c:pt idx="169">
                  <c:v>100.342</c:v>
                </c:pt>
                <c:pt idx="170">
                  <c:v>100.33499999999999</c:v>
                </c:pt>
                <c:pt idx="171">
                  <c:v>100.315</c:v>
                </c:pt>
                <c:pt idx="172">
                  <c:v>100.30500000000001</c:v>
                </c:pt>
                <c:pt idx="173">
                  <c:v>100.295</c:v>
                </c:pt>
                <c:pt idx="174">
                  <c:v>100.291</c:v>
                </c:pt>
                <c:pt idx="175">
                  <c:v>100.285</c:v>
                </c:pt>
                <c:pt idx="176">
                  <c:v>100.26300000000001</c:v>
                </c:pt>
                <c:pt idx="177">
                  <c:v>100.255</c:v>
                </c:pt>
                <c:pt idx="178">
                  <c:v>100.248</c:v>
                </c:pt>
                <c:pt idx="179">
                  <c:v>100.241</c:v>
                </c:pt>
                <c:pt idx="180">
                  <c:v>100.23699999999999</c:v>
                </c:pt>
                <c:pt idx="181">
                  <c:v>100.21899999999999</c:v>
                </c:pt>
                <c:pt idx="182">
                  <c:v>100.215</c:v>
                </c:pt>
                <c:pt idx="183">
                  <c:v>100.203</c:v>
                </c:pt>
                <c:pt idx="184">
                  <c:v>100.2</c:v>
                </c:pt>
                <c:pt idx="185">
                  <c:v>100.199</c:v>
                </c:pt>
                <c:pt idx="186">
                  <c:v>100.447</c:v>
                </c:pt>
                <c:pt idx="187">
                  <c:v>100.343</c:v>
                </c:pt>
                <c:pt idx="188">
                  <c:v>100.417</c:v>
                </c:pt>
                <c:pt idx="189">
                  <c:v>100.429</c:v>
                </c:pt>
                <c:pt idx="190">
                  <c:v>100.456</c:v>
                </c:pt>
                <c:pt idx="191">
                  <c:v>100.455</c:v>
                </c:pt>
                <c:pt idx="192">
                  <c:v>100.488</c:v>
                </c:pt>
                <c:pt idx="193">
                  <c:v>100.5</c:v>
                </c:pt>
                <c:pt idx="194">
                  <c:v>100.512</c:v>
                </c:pt>
                <c:pt idx="195">
                  <c:v>100.54300000000001</c:v>
                </c:pt>
                <c:pt idx="196">
                  <c:v>100.52500000000001</c:v>
                </c:pt>
                <c:pt idx="197">
                  <c:v>100.52500000000001</c:v>
                </c:pt>
                <c:pt idx="198">
                  <c:v>100.515</c:v>
                </c:pt>
                <c:pt idx="199">
                  <c:v>100.52</c:v>
                </c:pt>
                <c:pt idx="200">
                  <c:v>100.48099999999999</c:v>
                </c:pt>
                <c:pt idx="201">
                  <c:v>100.503</c:v>
                </c:pt>
                <c:pt idx="202">
                  <c:v>100.529</c:v>
                </c:pt>
                <c:pt idx="203">
                  <c:v>100.508</c:v>
                </c:pt>
                <c:pt idx="204">
                  <c:v>100.52200000000001</c:v>
                </c:pt>
                <c:pt idx="205">
                  <c:v>100.53400000000001</c:v>
                </c:pt>
                <c:pt idx="206">
                  <c:v>100.518</c:v>
                </c:pt>
                <c:pt idx="207">
                  <c:v>100.503</c:v>
                </c:pt>
                <c:pt idx="208">
                  <c:v>100.5</c:v>
                </c:pt>
                <c:pt idx="209">
                  <c:v>100.5</c:v>
                </c:pt>
                <c:pt idx="210">
                  <c:v>100.506</c:v>
                </c:pt>
                <c:pt idx="211">
                  <c:v>100.489</c:v>
                </c:pt>
                <c:pt idx="212">
                  <c:v>100.479</c:v>
                </c:pt>
                <c:pt idx="213">
                  <c:v>100.479</c:v>
                </c:pt>
                <c:pt idx="214">
                  <c:v>100.474</c:v>
                </c:pt>
                <c:pt idx="215">
                  <c:v>100.47199999999999</c:v>
                </c:pt>
                <c:pt idx="216">
                  <c:v>100.455</c:v>
                </c:pt>
                <c:pt idx="217">
                  <c:v>100.449</c:v>
                </c:pt>
                <c:pt idx="218">
                  <c:v>100.431</c:v>
                </c:pt>
                <c:pt idx="219">
                  <c:v>100.42400000000001</c:v>
                </c:pt>
                <c:pt idx="220">
                  <c:v>100.423</c:v>
                </c:pt>
                <c:pt idx="221">
                  <c:v>100.40600000000001</c:v>
                </c:pt>
                <c:pt idx="222">
                  <c:v>100.395</c:v>
                </c:pt>
                <c:pt idx="223">
                  <c:v>100.39</c:v>
                </c:pt>
                <c:pt idx="224">
                  <c:v>100.38500000000001</c:v>
                </c:pt>
                <c:pt idx="225">
                  <c:v>100.38200000000001</c:v>
                </c:pt>
                <c:pt idx="226">
                  <c:v>100.36</c:v>
                </c:pt>
                <c:pt idx="227">
                  <c:v>100.265</c:v>
                </c:pt>
                <c:pt idx="228">
                  <c:v>100.16500000000001</c:v>
                </c:pt>
                <c:pt idx="229">
                  <c:v>100.16200000000001</c:v>
                </c:pt>
                <c:pt idx="230">
                  <c:v>100.154</c:v>
                </c:pt>
                <c:pt idx="231">
                  <c:v>100.15</c:v>
                </c:pt>
                <c:pt idx="232">
                  <c:v>100.143</c:v>
                </c:pt>
                <c:pt idx="233">
                  <c:v>100.13</c:v>
                </c:pt>
                <c:pt idx="234">
                  <c:v>100.13500000000001</c:v>
                </c:pt>
                <c:pt idx="235">
                  <c:v>100.13</c:v>
                </c:pt>
                <c:pt idx="236">
                  <c:v>100.121</c:v>
                </c:pt>
                <c:pt idx="237">
                  <c:v>100.119</c:v>
                </c:pt>
                <c:pt idx="238">
                  <c:v>100.114</c:v>
                </c:pt>
                <c:pt idx="239">
                  <c:v>100.142</c:v>
                </c:pt>
                <c:pt idx="240">
                  <c:v>100.142</c:v>
                </c:pt>
                <c:pt idx="241">
                  <c:v>100.124</c:v>
                </c:pt>
                <c:pt idx="242">
                  <c:v>100.123</c:v>
                </c:pt>
                <c:pt idx="243">
                  <c:v>100.11799999999999</c:v>
                </c:pt>
                <c:pt idx="244">
                  <c:v>100.11799999999999</c:v>
                </c:pt>
                <c:pt idx="245">
                  <c:v>100.117</c:v>
                </c:pt>
                <c:pt idx="246">
                  <c:v>100.111</c:v>
                </c:pt>
                <c:pt idx="247">
                  <c:v>100.11</c:v>
                </c:pt>
                <c:pt idx="248">
                  <c:v>100.10599999999999</c:v>
                </c:pt>
                <c:pt idx="249">
                  <c:v>100.10599999999999</c:v>
                </c:pt>
                <c:pt idx="250">
                  <c:v>100.104</c:v>
                </c:pt>
                <c:pt idx="251">
                  <c:v>100.084</c:v>
                </c:pt>
                <c:pt idx="252">
                  <c:v>100.089</c:v>
                </c:pt>
                <c:pt idx="253">
                  <c:v>100.086</c:v>
                </c:pt>
                <c:pt idx="254">
                  <c:v>100.083</c:v>
                </c:pt>
                <c:pt idx="255">
                  <c:v>100.086</c:v>
                </c:pt>
                <c:pt idx="256">
                  <c:v>100.081</c:v>
                </c:pt>
                <c:pt idx="257">
                  <c:v>100.08</c:v>
                </c:pt>
                <c:pt idx="258">
                  <c:v>100.075</c:v>
                </c:pt>
                <c:pt idx="259">
                  <c:v>100.06399999999999</c:v>
                </c:pt>
                <c:pt idx="260">
                  <c:v>100.063</c:v>
                </c:pt>
                <c:pt idx="261">
                  <c:v>100.051</c:v>
                </c:pt>
              </c:numCache>
            </c:numRef>
          </c:val>
          <c:smooth val="0"/>
          <c:extLst>
            <c:ext xmlns:c16="http://schemas.microsoft.com/office/drawing/2014/chart" uri="{C3380CC4-5D6E-409C-BE32-E72D297353CC}">
              <c16:uniqueId val="{00000000-AFD4-4B25-B979-E2BD3A6BAF70}"/>
            </c:ext>
          </c:extLst>
        </c:ser>
        <c:ser>
          <c:idx val="0"/>
          <c:order val="1"/>
          <c:tx>
            <c:strRef>
              <c:f>'Bond Prices'!$N$4</c:f>
              <c:strCache>
                <c:ptCount val="1"/>
                <c:pt idx="0">
                  <c:v>JPY$ SR NT 0.183 Jul-15-2022</c:v>
                </c:pt>
              </c:strCache>
            </c:strRef>
          </c:tx>
          <c:spPr>
            <a:ln w="22225">
              <a:solidFill>
                <a:schemeClr val="accent3">
                  <a:lumMod val="60000"/>
                  <a:lumOff val="40000"/>
                </a:schemeClr>
              </a:solidFill>
            </a:ln>
          </c:spPr>
          <c:marker>
            <c:symbol val="none"/>
          </c:marker>
          <c:dPt>
            <c:idx val="65"/>
            <c:bubble3D val="0"/>
            <c:extLst>
              <c:ext xmlns:c16="http://schemas.microsoft.com/office/drawing/2014/chart" uri="{C3380CC4-5D6E-409C-BE32-E72D297353CC}">
                <c16:uniqueId val="{0000002B-C5E1-416E-BB48-46A65BF54441}"/>
              </c:ext>
            </c:extLst>
          </c:dPt>
          <c:dPt>
            <c:idx val="73"/>
            <c:bubble3D val="0"/>
            <c:extLst>
              <c:ext xmlns:c16="http://schemas.microsoft.com/office/drawing/2014/chart" uri="{C3380CC4-5D6E-409C-BE32-E72D297353CC}">
                <c16:uniqueId val="{0000002C-C5E1-416E-BB48-46A65BF54441}"/>
              </c:ext>
            </c:extLst>
          </c:dPt>
          <c:dPt>
            <c:idx val="74"/>
            <c:bubble3D val="0"/>
            <c:extLst>
              <c:ext xmlns:c16="http://schemas.microsoft.com/office/drawing/2014/chart" uri="{C3380CC4-5D6E-409C-BE32-E72D297353CC}">
                <c16:uniqueId val="{0000002D-C5E1-416E-BB48-46A65BF54441}"/>
              </c:ext>
            </c:extLst>
          </c:dPt>
          <c:dPt>
            <c:idx val="75"/>
            <c:bubble3D val="0"/>
            <c:extLst>
              <c:ext xmlns:c16="http://schemas.microsoft.com/office/drawing/2014/chart" uri="{C3380CC4-5D6E-409C-BE32-E72D297353CC}">
                <c16:uniqueId val="{0000002E-C5E1-416E-BB48-46A65BF54441}"/>
              </c:ext>
            </c:extLst>
          </c:dPt>
          <c:dPt>
            <c:idx val="76"/>
            <c:bubble3D val="0"/>
            <c:extLst>
              <c:ext xmlns:c16="http://schemas.microsoft.com/office/drawing/2014/chart" uri="{C3380CC4-5D6E-409C-BE32-E72D297353CC}">
                <c16:uniqueId val="{0000002F-C5E1-416E-BB48-46A65BF54441}"/>
              </c:ext>
            </c:extLst>
          </c:dPt>
          <c:dPt>
            <c:idx val="78"/>
            <c:bubble3D val="0"/>
            <c:extLst>
              <c:ext xmlns:c16="http://schemas.microsoft.com/office/drawing/2014/chart" uri="{C3380CC4-5D6E-409C-BE32-E72D297353CC}">
                <c16:uniqueId val="{00000030-C5E1-416E-BB48-46A65BF54441}"/>
              </c:ext>
            </c:extLst>
          </c:dPt>
          <c:dPt>
            <c:idx val="81"/>
            <c:bubble3D val="0"/>
            <c:extLst>
              <c:ext xmlns:c16="http://schemas.microsoft.com/office/drawing/2014/chart" uri="{C3380CC4-5D6E-409C-BE32-E72D297353CC}">
                <c16:uniqueId val="{00000031-C5E1-416E-BB48-46A65BF54441}"/>
              </c:ext>
            </c:extLst>
          </c:dPt>
          <c:dPt>
            <c:idx val="82"/>
            <c:bubble3D val="0"/>
            <c:extLst>
              <c:ext xmlns:c16="http://schemas.microsoft.com/office/drawing/2014/chart" uri="{C3380CC4-5D6E-409C-BE32-E72D297353CC}">
                <c16:uniqueId val="{00000032-C5E1-416E-BB48-46A65BF54441}"/>
              </c:ext>
            </c:extLst>
          </c:dPt>
          <c:dPt>
            <c:idx val="83"/>
            <c:bubble3D val="0"/>
            <c:extLst>
              <c:ext xmlns:c16="http://schemas.microsoft.com/office/drawing/2014/chart" uri="{C3380CC4-5D6E-409C-BE32-E72D297353CC}">
                <c16:uniqueId val="{00000033-C5E1-416E-BB48-46A65BF54441}"/>
              </c:ext>
            </c:extLst>
          </c:dPt>
          <c:dPt>
            <c:idx val="85"/>
            <c:bubble3D val="0"/>
            <c:extLst>
              <c:ext xmlns:c16="http://schemas.microsoft.com/office/drawing/2014/chart" uri="{C3380CC4-5D6E-409C-BE32-E72D297353CC}">
                <c16:uniqueId val="{00000034-C5E1-416E-BB48-46A65BF54441}"/>
              </c:ext>
            </c:extLst>
          </c:dPt>
          <c:dPt>
            <c:idx val="86"/>
            <c:bubble3D val="0"/>
            <c:extLst>
              <c:ext xmlns:c16="http://schemas.microsoft.com/office/drawing/2014/chart" uri="{C3380CC4-5D6E-409C-BE32-E72D297353CC}">
                <c16:uniqueId val="{00000035-C5E1-416E-BB48-46A65BF54441}"/>
              </c:ext>
            </c:extLst>
          </c:dPt>
          <c:dPt>
            <c:idx val="87"/>
            <c:bubble3D val="0"/>
            <c:extLst>
              <c:ext xmlns:c16="http://schemas.microsoft.com/office/drawing/2014/chart" uri="{C3380CC4-5D6E-409C-BE32-E72D297353CC}">
                <c16:uniqueId val="{00000036-C5E1-416E-BB48-46A65BF54441}"/>
              </c:ext>
            </c:extLst>
          </c:dPt>
          <c:dPt>
            <c:idx val="88"/>
            <c:bubble3D val="0"/>
            <c:extLst>
              <c:ext xmlns:c16="http://schemas.microsoft.com/office/drawing/2014/chart" uri="{C3380CC4-5D6E-409C-BE32-E72D297353CC}">
                <c16:uniqueId val="{00000037-C5E1-416E-BB48-46A65BF54441}"/>
              </c:ext>
            </c:extLst>
          </c:dPt>
          <c:dPt>
            <c:idx val="89"/>
            <c:bubble3D val="0"/>
            <c:extLst>
              <c:ext xmlns:c16="http://schemas.microsoft.com/office/drawing/2014/chart" uri="{C3380CC4-5D6E-409C-BE32-E72D297353CC}">
                <c16:uniqueId val="{00000038-C5E1-416E-BB48-46A65BF54441}"/>
              </c:ext>
            </c:extLst>
          </c:dPt>
          <c:dPt>
            <c:idx val="91"/>
            <c:bubble3D val="0"/>
            <c:extLst>
              <c:ext xmlns:c16="http://schemas.microsoft.com/office/drawing/2014/chart" uri="{C3380CC4-5D6E-409C-BE32-E72D297353CC}">
                <c16:uniqueId val="{00000039-C5E1-416E-BB48-46A65BF54441}"/>
              </c:ext>
            </c:extLst>
          </c:dPt>
          <c:dPt>
            <c:idx val="93"/>
            <c:bubble3D val="0"/>
            <c:extLst>
              <c:ext xmlns:c16="http://schemas.microsoft.com/office/drawing/2014/chart" uri="{C3380CC4-5D6E-409C-BE32-E72D297353CC}">
                <c16:uniqueId val="{0000003A-C5E1-416E-BB48-46A65BF54441}"/>
              </c:ext>
            </c:extLst>
          </c:dPt>
          <c:dPt>
            <c:idx val="94"/>
            <c:bubble3D val="0"/>
            <c:extLst>
              <c:ext xmlns:c16="http://schemas.microsoft.com/office/drawing/2014/chart" uri="{C3380CC4-5D6E-409C-BE32-E72D297353CC}">
                <c16:uniqueId val="{0000003B-C5E1-416E-BB48-46A65BF54441}"/>
              </c:ext>
            </c:extLst>
          </c:dPt>
          <c:dPt>
            <c:idx val="95"/>
            <c:bubble3D val="0"/>
            <c:extLst>
              <c:ext xmlns:c16="http://schemas.microsoft.com/office/drawing/2014/chart" uri="{C3380CC4-5D6E-409C-BE32-E72D297353CC}">
                <c16:uniqueId val="{0000003C-C5E1-416E-BB48-46A65BF54441}"/>
              </c:ext>
            </c:extLst>
          </c:dPt>
          <c:dPt>
            <c:idx val="96"/>
            <c:bubble3D val="0"/>
            <c:extLst>
              <c:ext xmlns:c16="http://schemas.microsoft.com/office/drawing/2014/chart" uri="{C3380CC4-5D6E-409C-BE32-E72D297353CC}">
                <c16:uniqueId val="{0000003D-C5E1-416E-BB48-46A65BF54441}"/>
              </c:ext>
            </c:extLst>
          </c:dPt>
          <c:dPt>
            <c:idx val="97"/>
            <c:bubble3D val="0"/>
            <c:extLst>
              <c:ext xmlns:c16="http://schemas.microsoft.com/office/drawing/2014/chart" uri="{C3380CC4-5D6E-409C-BE32-E72D297353CC}">
                <c16:uniqueId val="{0000003E-C5E1-416E-BB48-46A65BF54441}"/>
              </c:ext>
            </c:extLst>
          </c:dPt>
          <c:dPt>
            <c:idx val="99"/>
            <c:bubble3D val="0"/>
            <c:extLst>
              <c:ext xmlns:c16="http://schemas.microsoft.com/office/drawing/2014/chart" uri="{C3380CC4-5D6E-409C-BE32-E72D297353CC}">
                <c16:uniqueId val="{0000003F-C5E1-416E-BB48-46A65BF54441}"/>
              </c:ext>
            </c:extLst>
          </c:dPt>
          <c:dPt>
            <c:idx val="101"/>
            <c:bubble3D val="0"/>
            <c:extLst>
              <c:ext xmlns:c16="http://schemas.microsoft.com/office/drawing/2014/chart" uri="{C3380CC4-5D6E-409C-BE32-E72D297353CC}">
                <c16:uniqueId val="{00000040-C5E1-416E-BB48-46A65BF54441}"/>
              </c:ext>
            </c:extLst>
          </c:dPt>
          <c:dPt>
            <c:idx val="102"/>
            <c:bubble3D val="0"/>
            <c:extLst>
              <c:ext xmlns:c16="http://schemas.microsoft.com/office/drawing/2014/chart" uri="{C3380CC4-5D6E-409C-BE32-E72D297353CC}">
                <c16:uniqueId val="{00000041-C5E1-416E-BB48-46A65BF54441}"/>
              </c:ext>
            </c:extLst>
          </c:dPt>
          <c:dPt>
            <c:idx val="103"/>
            <c:bubble3D val="0"/>
            <c:extLst>
              <c:ext xmlns:c16="http://schemas.microsoft.com/office/drawing/2014/chart" uri="{C3380CC4-5D6E-409C-BE32-E72D297353CC}">
                <c16:uniqueId val="{00000042-C5E1-416E-BB48-46A65BF54441}"/>
              </c:ext>
            </c:extLst>
          </c:dPt>
          <c:dPt>
            <c:idx val="104"/>
            <c:bubble3D val="0"/>
            <c:extLst>
              <c:ext xmlns:c16="http://schemas.microsoft.com/office/drawing/2014/chart" uri="{C3380CC4-5D6E-409C-BE32-E72D297353CC}">
                <c16:uniqueId val="{00000043-C5E1-416E-BB48-46A65BF54441}"/>
              </c:ext>
            </c:extLst>
          </c:dPt>
          <c:dPt>
            <c:idx val="105"/>
            <c:bubble3D val="0"/>
            <c:extLst>
              <c:ext xmlns:c16="http://schemas.microsoft.com/office/drawing/2014/chart" uri="{C3380CC4-5D6E-409C-BE32-E72D297353CC}">
                <c16:uniqueId val="{00000044-C5E1-416E-BB48-46A65BF54441}"/>
              </c:ext>
            </c:extLst>
          </c:dPt>
          <c:dPt>
            <c:idx val="106"/>
            <c:bubble3D val="0"/>
            <c:extLst>
              <c:ext xmlns:c16="http://schemas.microsoft.com/office/drawing/2014/chart" uri="{C3380CC4-5D6E-409C-BE32-E72D297353CC}">
                <c16:uniqueId val="{00000045-C5E1-416E-BB48-46A65BF54441}"/>
              </c:ext>
            </c:extLst>
          </c:dPt>
          <c:dPt>
            <c:idx val="107"/>
            <c:bubble3D val="0"/>
            <c:extLst>
              <c:ext xmlns:c16="http://schemas.microsoft.com/office/drawing/2014/chart" uri="{C3380CC4-5D6E-409C-BE32-E72D297353CC}">
                <c16:uniqueId val="{00000046-C5E1-416E-BB48-46A65BF54441}"/>
              </c:ext>
            </c:extLst>
          </c:dPt>
          <c:dPt>
            <c:idx val="108"/>
            <c:bubble3D val="0"/>
            <c:extLst>
              <c:ext xmlns:c16="http://schemas.microsoft.com/office/drawing/2014/chart" uri="{C3380CC4-5D6E-409C-BE32-E72D297353CC}">
                <c16:uniqueId val="{00000047-C5E1-416E-BB48-46A65BF54441}"/>
              </c:ext>
            </c:extLst>
          </c:dPt>
          <c:dPt>
            <c:idx val="109"/>
            <c:bubble3D val="0"/>
            <c:extLst>
              <c:ext xmlns:c16="http://schemas.microsoft.com/office/drawing/2014/chart" uri="{C3380CC4-5D6E-409C-BE32-E72D297353CC}">
                <c16:uniqueId val="{00000048-C5E1-416E-BB48-46A65BF54441}"/>
              </c:ext>
            </c:extLst>
          </c:dPt>
          <c:dPt>
            <c:idx val="110"/>
            <c:bubble3D val="0"/>
            <c:extLst>
              <c:ext xmlns:c16="http://schemas.microsoft.com/office/drawing/2014/chart" uri="{C3380CC4-5D6E-409C-BE32-E72D297353CC}">
                <c16:uniqueId val="{00000049-C5E1-416E-BB48-46A65BF54441}"/>
              </c:ext>
            </c:extLst>
          </c:dPt>
          <c:dPt>
            <c:idx val="111"/>
            <c:bubble3D val="0"/>
            <c:extLst>
              <c:ext xmlns:c16="http://schemas.microsoft.com/office/drawing/2014/chart" uri="{C3380CC4-5D6E-409C-BE32-E72D297353CC}">
                <c16:uniqueId val="{0000004A-C5E1-416E-BB48-46A65BF54441}"/>
              </c:ext>
            </c:extLst>
          </c:dPt>
          <c:dPt>
            <c:idx val="112"/>
            <c:bubble3D val="0"/>
            <c:extLst>
              <c:ext xmlns:c16="http://schemas.microsoft.com/office/drawing/2014/chart" uri="{C3380CC4-5D6E-409C-BE32-E72D297353CC}">
                <c16:uniqueId val="{0000004B-C5E1-416E-BB48-46A65BF54441}"/>
              </c:ext>
            </c:extLst>
          </c:dPt>
          <c:dPt>
            <c:idx val="113"/>
            <c:bubble3D val="0"/>
            <c:extLst>
              <c:ext xmlns:c16="http://schemas.microsoft.com/office/drawing/2014/chart" uri="{C3380CC4-5D6E-409C-BE32-E72D297353CC}">
                <c16:uniqueId val="{0000004C-C5E1-416E-BB48-46A65BF54441}"/>
              </c:ext>
            </c:extLst>
          </c:dPt>
          <c:dPt>
            <c:idx val="114"/>
            <c:bubble3D val="0"/>
            <c:extLst>
              <c:ext xmlns:c16="http://schemas.microsoft.com/office/drawing/2014/chart" uri="{C3380CC4-5D6E-409C-BE32-E72D297353CC}">
                <c16:uniqueId val="{0000004D-C5E1-416E-BB48-46A65BF54441}"/>
              </c:ext>
            </c:extLst>
          </c:dPt>
          <c:dPt>
            <c:idx val="120"/>
            <c:bubble3D val="0"/>
            <c:extLst>
              <c:ext xmlns:c16="http://schemas.microsoft.com/office/drawing/2014/chart" uri="{C3380CC4-5D6E-409C-BE32-E72D297353CC}">
                <c16:uniqueId val="{0000004E-C5E1-416E-BB48-46A65BF54441}"/>
              </c:ext>
            </c:extLst>
          </c:dPt>
          <c:dPt>
            <c:idx val="122"/>
            <c:bubble3D val="0"/>
            <c:extLst>
              <c:ext xmlns:c16="http://schemas.microsoft.com/office/drawing/2014/chart" uri="{C3380CC4-5D6E-409C-BE32-E72D297353CC}">
                <c16:uniqueId val="{0000004F-C5E1-416E-BB48-46A65BF54441}"/>
              </c:ext>
            </c:extLst>
          </c:dPt>
          <c:dPt>
            <c:idx val="135"/>
            <c:bubble3D val="0"/>
            <c:extLst>
              <c:ext xmlns:c16="http://schemas.microsoft.com/office/drawing/2014/chart" uri="{C3380CC4-5D6E-409C-BE32-E72D297353CC}">
                <c16:uniqueId val="{00000050-C5E1-416E-BB48-46A65BF54441}"/>
              </c:ext>
            </c:extLst>
          </c:dPt>
          <c:dPt>
            <c:idx val="136"/>
            <c:bubble3D val="0"/>
            <c:extLst>
              <c:ext xmlns:c16="http://schemas.microsoft.com/office/drawing/2014/chart" uri="{C3380CC4-5D6E-409C-BE32-E72D297353CC}">
                <c16:uniqueId val="{00000051-C5E1-416E-BB48-46A65BF54441}"/>
              </c:ext>
            </c:extLst>
          </c:dPt>
          <c:dPt>
            <c:idx val="137"/>
            <c:bubble3D val="0"/>
            <c:extLst>
              <c:ext xmlns:c16="http://schemas.microsoft.com/office/drawing/2014/chart" uri="{C3380CC4-5D6E-409C-BE32-E72D297353CC}">
                <c16:uniqueId val="{00000052-C5E1-416E-BB48-46A65BF54441}"/>
              </c:ext>
            </c:extLst>
          </c:dPt>
          <c:dPt>
            <c:idx val="138"/>
            <c:bubble3D val="0"/>
            <c:extLst>
              <c:ext xmlns:c16="http://schemas.microsoft.com/office/drawing/2014/chart" uri="{C3380CC4-5D6E-409C-BE32-E72D297353CC}">
                <c16:uniqueId val="{00000053-C5E1-416E-BB48-46A65BF54441}"/>
              </c:ext>
            </c:extLst>
          </c:dPt>
          <c:dPt>
            <c:idx val="142"/>
            <c:bubble3D val="0"/>
            <c:extLst>
              <c:ext xmlns:c16="http://schemas.microsoft.com/office/drawing/2014/chart" uri="{C3380CC4-5D6E-409C-BE32-E72D297353CC}">
                <c16:uniqueId val="{00000054-C5E1-416E-BB48-46A65BF54441}"/>
              </c:ext>
            </c:extLst>
          </c:dPt>
          <c:dPt>
            <c:idx val="151"/>
            <c:bubble3D val="0"/>
            <c:extLst>
              <c:ext xmlns:c16="http://schemas.microsoft.com/office/drawing/2014/chart" uri="{C3380CC4-5D6E-409C-BE32-E72D297353CC}">
                <c16:uniqueId val="{00000055-C5E1-416E-BB48-46A65BF54441}"/>
              </c:ext>
            </c:extLst>
          </c:dPt>
          <c:dPt>
            <c:idx val="154"/>
            <c:bubble3D val="0"/>
            <c:extLst>
              <c:ext xmlns:c16="http://schemas.microsoft.com/office/drawing/2014/chart" uri="{C3380CC4-5D6E-409C-BE32-E72D297353CC}">
                <c16:uniqueId val="{00000056-C5E1-416E-BB48-46A65BF54441}"/>
              </c:ext>
            </c:extLst>
          </c:dPt>
          <c:dPt>
            <c:idx val="155"/>
            <c:bubble3D val="0"/>
            <c:extLst>
              <c:ext xmlns:c16="http://schemas.microsoft.com/office/drawing/2014/chart" uri="{C3380CC4-5D6E-409C-BE32-E72D297353CC}">
                <c16:uniqueId val="{00000057-C5E1-416E-BB48-46A65BF54441}"/>
              </c:ext>
            </c:extLst>
          </c:dPt>
          <c:dPt>
            <c:idx val="156"/>
            <c:bubble3D val="0"/>
            <c:extLst>
              <c:ext xmlns:c16="http://schemas.microsoft.com/office/drawing/2014/chart" uri="{C3380CC4-5D6E-409C-BE32-E72D297353CC}">
                <c16:uniqueId val="{00000058-C5E1-416E-BB48-46A65BF54441}"/>
              </c:ext>
            </c:extLst>
          </c:dPt>
          <c:dPt>
            <c:idx val="163"/>
            <c:bubble3D val="0"/>
            <c:extLst>
              <c:ext xmlns:c16="http://schemas.microsoft.com/office/drawing/2014/chart" uri="{C3380CC4-5D6E-409C-BE32-E72D297353CC}">
                <c16:uniqueId val="{00000059-C5E1-416E-BB48-46A65BF54441}"/>
              </c:ext>
            </c:extLst>
          </c:dPt>
          <c:dPt>
            <c:idx val="166"/>
            <c:bubble3D val="0"/>
            <c:extLst>
              <c:ext xmlns:c16="http://schemas.microsoft.com/office/drawing/2014/chart" uri="{C3380CC4-5D6E-409C-BE32-E72D297353CC}">
                <c16:uniqueId val="{0000005A-C5E1-416E-BB48-46A65BF54441}"/>
              </c:ext>
            </c:extLst>
          </c:dPt>
          <c:dPt>
            <c:idx val="167"/>
            <c:bubble3D val="0"/>
            <c:extLst>
              <c:ext xmlns:c16="http://schemas.microsoft.com/office/drawing/2014/chart" uri="{C3380CC4-5D6E-409C-BE32-E72D297353CC}">
                <c16:uniqueId val="{0000005B-C5E1-416E-BB48-46A65BF54441}"/>
              </c:ext>
            </c:extLst>
          </c:dPt>
          <c:dPt>
            <c:idx val="168"/>
            <c:bubble3D val="0"/>
            <c:extLst>
              <c:ext xmlns:c16="http://schemas.microsoft.com/office/drawing/2014/chart" uri="{C3380CC4-5D6E-409C-BE32-E72D297353CC}">
                <c16:uniqueId val="{0000005C-C5E1-416E-BB48-46A65BF54441}"/>
              </c:ext>
            </c:extLst>
          </c:dPt>
          <c:dPt>
            <c:idx val="169"/>
            <c:bubble3D val="0"/>
            <c:extLst>
              <c:ext xmlns:c16="http://schemas.microsoft.com/office/drawing/2014/chart" uri="{C3380CC4-5D6E-409C-BE32-E72D297353CC}">
                <c16:uniqueId val="{0000005D-C5E1-416E-BB48-46A65BF54441}"/>
              </c:ext>
            </c:extLst>
          </c:dPt>
          <c:dPt>
            <c:idx val="170"/>
            <c:bubble3D val="0"/>
            <c:extLst>
              <c:ext xmlns:c16="http://schemas.microsoft.com/office/drawing/2014/chart" uri="{C3380CC4-5D6E-409C-BE32-E72D297353CC}">
                <c16:uniqueId val="{0000005E-C5E1-416E-BB48-46A65BF54441}"/>
              </c:ext>
            </c:extLst>
          </c:dPt>
          <c:dPt>
            <c:idx val="171"/>
            <c:bubble3D val="0"/>
            <c:extLst>
              <c:ext xmlns:c16="http://schemas.microsoft.com/office/drawing/2014/chart" uri="{C3380CC4-5D6E-409C-BE32-E72D297353CC}">
                <c16:uniqueId val="{0000005F-C5E1-416E-BB48-46A65BF54441}"/>
              </c:ext>
            </c:extLst>
          </c:dPt>
          <c:dPt>
            <c:idx val="172"/>
            <c:bubble3D val="0"/>
            <c:extLst>
              <c:ext xmlns:c16="http://schemas.microsoft.com/office/drawing/2014/chart" uri="{C3380CC4-5D6E-409C-BE32-E72D297353CC}">
                <c16:uniqueId val="{00000060-C5E1-416E-BB48-46A65BF54441}"/>
              </c:ext>
            </c:extLst>
          </c:dPt>
          <c:dPt>
            <c:idx val="173"/>
            <c:bubble3D val="0"/>
            <c:extLst>
              <c:ext xmlns:c16="http://schemas.microsoft.com/office/drawing/2014/chart" uri="{C3380CC4-5D6E-409C-BE32-E72D297353CC}">
                <c16:uniqueId val="{00000061-C5E1-416E-BB48-46A65BF54441}"/>
              </c:ext>
            </c:extLst>
          </c:dPt>
          <c:dPt>
            <c:idx val="174"/>
            <c:bubble3D val="0"/>
            <c:extLst>
              <c:ext xmlns:c16="http://schemas.microsoft.com/office/drawing/2014/chart" uri="{C3380CC4-5D6E-409C-BE32-E72D297353CC}">
                <c16:uniqueId val="{00000062-C5E1-416E-BB48-46A65BF54441}"/>
              </c:ext>
            </c:extLst>
          </c:dPt>
          <c:dPt>
            <c:idx val="175"/>
            <c:bubble3D val="0"/>
            <c:extLst>
              <c:ext xmlns:c16="http://schemas.microsoft.com/office/drawing/2014/chart" uri="{C3380CC4-5D6E-409C-BE32-E72D297353CC}">
                <c16:uniqueId val="{00000063-C5E1-416E-BB48-46A65BF54441}"/>
              </c:ext>
            </c:extLst>
          </c:dPt>
          <c:dPt>
            <c:idx val="176"/>
            <c:bubble3D val="0"/>
            <c:extLst>
              <c:ext xmlns:c16="http://schemas.microsoft.com/office/drawing/2014/chart" uri="{C3380CC4-5D6E-409C-BE32-E72D297353CC}">
                <c16:uniqueId val="{00000064-C5E1-416E-BB48-46A65BF54441}"/>
              </c:ext>
            </c:extLst>
          </c:dPt>
          <c:dPt>
            <c:idx val="177"/>
            <c:bubble3D val="0"/>
            <c:extLst>
              <c:ext xmlns:c16="http://schemas.microsoft.com/office/drawing/2014/chart" uri="{C3380CC4-5D6E-409C-BE32-E72D297353CC}">
                <c16:uniqueId val="{00000065-C5E1-416E-BB48-46A65BF54441}"/>
              </c:ext>
            </c:extLst>
          </c:dPt>
          <c:dPt>
            <c:idx val="178"/>
            <c:bubble3D val="0"/>
            <c:extLst>
              <c:ext xmlns:c16="http://schemas.microsoft.com/office/drawing/2014/chart" uri="{C3380CC4-5D6E-409C-BE32-E72D297353CC}">
                <c16:uniqueId val="{00000066-C5E1-416E-BB48-46A65BF54441}"/>
              </c:ext>
            </c:extLst>
          </c:dPt>
          <c:dPt>
            <c:idx val="179"/>
            <c:bubble3D val="0"/>
            <c:extLst>
              <c:ext xmlns:c16="http://schemas.microsoft.com/office/drawing/2014/chart" uri="{C3380CC4-5D6E-409C-BE32-E72D297353CC}">
                <c16:uniqueId val="{00000067-C5E1-416E-BB48-46A65BF54441}"/>
              </c:ext>
            </c:extLst>
          </c:dPt>
          <c:dPt>
            <c:idx val="180"/>
            <c:bubble3D val="0"/>
            <c:extLst>
              <c:ext xmlns:c16="http://schemas.microsoft.com/office/drawing/2014/chart" uri="{C3380CC4-5D6E-409C-BE32-E72D297353CC}">
                <c16:uniqueId val="{00000068-C5E1-416E-BB48-46A65BF54441}"/>
              </c:ext>
            </c:extLst>
          </c:dPt>
          <c:dPt>
            <c:idx val="181"/>
            <c:bubble3D val="0"/>
            <c:extLst>
              <c:ext xmlns:c16="http://schemas.microsoft.com/office/drawing/2014/chart" uri="{C3380CC4-5D6E-409C-BE32-E72D297353CC}">
                <c16:uniqueId val="{00000069-C5E1-416E-BB48-46A65BF54441}"/>
              </c:ext>
            </c:extLst>
          </c:dPt>
          <c:dPt>
            <c:idx val="182"/>
            <c:bubble3D val="0"/>
            <c:extLst>
              <c:ext xmlns:c16="http://schemas.microsoft.com/office/drawing/2014/chart" uri="{C3380CC4-5D6E-409C-BE32-E72D297353CC}">
                <c16:uniqueId val="{0000006A-C5E1-416E-BB48-46A65BF54441}"/>
              </c:ext>
            </c:extLst>
          </c:dPt>
          <c:dPt>
            <c:idx val="183"/>
            <c:bubble3D val="0"/>
            <c:extLst>
              <c:ext xmlns:c16="http://schemas.microsoft.com/office/drawing/2014/chart" uri="{C3380CC4-5D6E-409C-BE32-E72D297353CC}">
                <c16:uniqueId val="{0000006B-C5E1-416E-BB48-46A65BF54441}"/>
              </c:ext>
            </c:extLst>
          </c:dPt>
          <c:dPt>
            <c:idx val="184"/>
            <c:bubble3D val="0"/>
            <c:extLst>
              <c:ext xmlns:c16="http://schemas.microsoft.com/office/drawing/2014/chart" uri="{C3380CC4-5D6E-409C-BE32-E72D297353CC}">
                <c16:uniqueId val="{0000006C-C5E1-416E-BB48-46A65BF54441}"/>
              </c:ext>
            </c:extLst>
          </c:dPt>
          <c:dPt>
            <c:idx val="185"/>
            <c:bubble3D val="0"/>
            <c:extLst>
              <c:ext xmlns:c16="http://schemas.microsoft.com/office/drawing/2014/chart" uri="{C3380CC4-5D6E-409C-BE32-E72D297353CC}">
                <c16:uniqueId val="{0000006D-C5E1-416E-BB48-46A65BF54441}"/>
              </c:ext>
            </c:extLst>
          </c:dPt>
          <c:dPt>
            <c:idx val="186"/>
            <c:bubble3D val="0"/>
            <c:extLst>
              <c:ext xmlns:c16="http://schemas.microsoft.com/office/drawing/2014/chart" uri="{C3380CC4-5D6E-409C-BE32-E72D297353CC}">
                <c16:uniqueId val="{0000006E-C5E1-416E-BB48-46A65BF54441}"/>
              </c:ext>
            </c:extLst>
          </c:dPt>
          <c:dPt>
            <c:idx val="188"/>
            <c:bubble3D val="0"/>
            <c:extLst>
              <c:ext xmlns:c16="http://schemas.microsoft.com/office/drawing/2014/chart" uri="{C3380CC4-5D6E-409C-BE32-E72D297353CC}">
                <c16:uniqueId val="{0000006F-C5E1-416E-BB48-46A65BF54441}"/>
              </c:ext>
            </c:extLst>
          </c:dPt>
          <c:dPt>
            <c:idx val="189"/>
            <c:bubble3D val="0"/>
            <c:extLst>
              <c:ext xmlns:c16="http://schemas.microsoft.com/office/drawing/2014/chart" uri="{C3380CC4-5D6E-409C-BE32-E72D297353CC}">
                <c16:uniqueId val="{00000070-C5E1-416E-BB48-46A65BF54441}"/>
              </c:ext>
            </c:extLst>
          </c:dPt>
          <c:dPt>
            <c:idx val="190"/>
            <c:bubble3D val="0"/>
            <c:extLst>
              <c:ext xmlns:c16="http://schemas.microsoft.com/office/drawing/2014/chart" uri="{C3380CC4-5D6E-409C-BE32-E72D297353CC}">
                <c16:uniqueId val="{00000071-C5E1-416E-BB48-46A65BF54441}"/>
              </c:ext>
            </c:extLst>
          </c:dPt>
          <c:dPt>
            <c:idx val="191"/>
            <c:bubble3D val="0"/>
            <c:extLst>
              <c:ext xmlns:c16="http://schemas.microsoft.com/office/drawing/2014/chart" uri="{C3380CC4-5D6E-409C-BE32-E72D297353CC}">
                <c16:uniqueId val="{00000072-C5E1-416E-BB48-46A65BF54441}"/>
              </c:ext>
            </c:extLst>
          </c:dPt>
          <c:dPt>
            <c:idx val="192"/>
            <c:bubble3D val="0"/>
            <c:extLst>
              <c:ext xmlns:c16="http://schemas.microsoft.com/office/drawing/2014/chart" uri="{C3380CC4-5D6E-409C-BE32-E72D297353CC}">
                <c16:uniqueId val="{00000073-C5E1-416E-BB48-46A65BF54441}"/>
              </c:ext>
            </c:extLst>
          </c:dPt>
          <c:dPt>
            <c:idx val="193"/>
            <c:bubble3D val="0"/>
            <c:extLst>
              <c:ext xmlns:c16="http://schemas.microsoft.com/office/drawing/2014/chart" uri="{C3380CC4-5D6E-409C-BE32-E72D297353CC}">
                <c16:uniqueId val="{00000074-C5E1-416E-BB48-46A65BF54441}"/>
              </c:ext>
            </c:extLst>
          </c:dPt>
          <c:dPt>
            <c:idx val="194"/>
            <c:bubble3D val="0"/>
            <c:extLst>
              <c:ext xmlns:c16="http://schemas.microsoft.com/office/drawing/2014/chart" uri="{C3380CC4-5D6E-409C-BE32-E72D297353CC}">
                <c16:uniqueId val="{00000075-C5E1-416E-BB48-46A65BF54441}"/>
              </c:ext>
            </c:extLst>
          </c:dPt>
          <c:dPt>
            <c:idx val="195"/>
            <c:bubble3D val="0"/>
            <c:extLst>
              <c:ext xmlns:c16="http://schemas.microsoft.com/office/drawing/2014/chart" uri="{C3380CC4-5D6E-409C-BE32-E72D297353CC}">
                <c16:uniqueId val="{00000076-C5E1-416E-BB48-46A65BF54441}"/>
              </c:ext>
            </c:extLst>
          </c:dPt>
          <c:dPt>
            <c:idx val="196"/>
            <c:bubble3D val="0"/>
            <c:extLst>
              <c:ext xmlns:c16="http://schemas.microsoft.com/office/drawing/2014/chart" uri="{C3380CC4-5D6E-409C-BE32-E72D297353CC}">
                <c16:uniqueId val="{00000077-C5E1-416E-BB48-46A65BF54441}"/>
              </c:ext>
            </c:extLst>
          </c:dPt>
          <c:dPt>
            <c:idx val="197"/>
            <c:bubble3D val="0"/>
            <c:extLst>
              <c:ext xmlns:c16="http://schemas.microsoft.com/office/drawing/2014/chart" uri="{C3380CC4-5D6E-409C-BE32-E72D297353CC}">
                <c16:uniqueId val="{00000078-C5E1-416E-BB48-46A65BF54441}"/>
              </c:ext>
            </c:extLst>
          </c:dPt>
          <c:dPt>
            <c:idx val="198"/>
            <c:bubble3D val="0"/>
            <c:extLst>
              <c:ext xmlns:c16="http://schemas.microsoft.com/office/drawing/2014/chart" uri="{C3380CC4-5D6E-409C-BE32-E72D297353CC}">
                <c16:uniqueId val="{00000079-C5E1-416E-BB48-46A65BF54441}"/>
              </c:ext>
            </c:extLst>
          </c:dPt>
          <c:dPt>
            <c:idx val="199"/>
            <c:bubble3D val="0"/>
            <c:extLst>
              <c:ext xmlns:c16="http://schemas.microsoft.com/office/drawing/2014/chart" uri="{C3380CC4-5D6E-409C-BE32-E72D297353CC}">
                <c16:uniqueId val="{0000007A-C5E1-416E-BB48-46A65BF54441}"/>
              </c:ext>
            </c:extLst>
          </c:dPt>
          <c:dPt>
            <c:idx val="200"/>
            <c:bubble3D val="0"/>
            <c:extLst>
              <c:ext xmlns:c16="http://schemas.microsoft.com/office/drawing/2014/chart" uri="{C3380CC4-5D6E-409C-BE32-E72D297353CC}">
                <c16:uniqueId val="{0000007B-C5E1-416E-BB48-46A65BF54441}"/>
              </c:ext>
            </c:extLst>
          </c:dPt>
          <c:dPt>
            <c:idx val="202"/>
            <c:bubble3D val="0"/>
            <c:extLst>
              <c:ext xmlns:c16="http://schemas.microsoft.com/office/drawing/2014/chart" uri="{C3380CC4-5D6E-409C-BE32-E72D297353CC}">
                <c16:uniqueId val="{0000007C-C5E1-416E-BB48-46A65BF54441}"/>
              </c:ext>
            </c:extLst>
          </c:dPt>
          <c:dPt>
            <c:idx val="203"/>
            <c:bubble3D val="0"/>
            <c:extLst>
              <c:ext xmlns:c16="http://schemas.microsoft.com/office/drawing/2014/chart" uri="{C3380CC4-5D6E-409C-BE32-E72D297353CC}">
                <c16:uniqueId val="{0000007D-C5E1-416E-BB48-46A65BF54441}"/>
              </c:ext>
            </c:extLst>
          </c:dPt>
          <c:dPt>
            <c:idx val="204"/>
            <c:bubble3D val="0"/>
            <c:extLst>
              <c:ext xmlns:c16="http://schemas.microsoft.com/office/drawing/2014/chart" uri="{C3380CC4-5D6E-409C-BE32-E72D297353CC}">
                <c16:uniqueId val="{0000007E-C5E1-416E-BB48-46A65BF54441}"/>
              </c:ext>
            </c:extLst>
          </c:dPt>
          <c:dPt>
            <c:idx val="205"/>
            <c:bubble3D val="0"/>
            <c:extLst>
              <c:ext xmlns:c16="http://schemas.microsoft.com/office/drawing/2014/chart" uri="{C3380CC4-5D6E-409C-BE32-E72D297353CC}">
                <c16:uniqueId val="{0000007F-C5E1-416E-BB48-46A65BF54441}"/>
              </c:ext>
            </c:extLst>
          </c:dPt>
          <c:dPt>
            <c:idx val="206"/>
            <c:bubble3D val="0"/>
            <c:extLst>
              <c:ext xmlns:c16="http://schemas.microsoft.com/office/drawing/2014/chart" uri="{C3380CC4-5D6E-409C-BE32-E72D297353CC}">
                <c16:uniqueId val="{00000080-C5E1-416E-BB48-46A65BF54441}"/>
              </c:ext>
            </c:extLst>
          </c:dPt>
          <c:dPt>
            <c:idx val="207"/>
            <c:bubble3D val="0"/>
            <c:extLst>
              <c:ext xmlns:c16="http://schemas.microsoft.com/office/drawing/2014/chart" uri="{C3380CC4-5D6E-409C-BE32-E72D297353CC}">
                <c16:uniqueId val="{00000081-C5E1-416E-BB48-46A65BF54441}"/>
              </c:ext>
            </c:extLst>
          </c:dPt>
          <c:dPt>
            <c:idx val="208"/>
            <c:bubble3D val="0"/>
            <c:extLst>
              <c:ext xmlns:c16="http://schemas.microsoft.com/office/drawing/2014/chart" uri="{C3380CC4-5D6E-409C-BE32-E72D297353CC}">
                <c16:uniqueId val="{00000082-C5E1-416E-BB48-46A65BF54441}"/>
              </c:ext>
            </c:extLst>
          </c:dPt>
          <c:dPt>
            <c:idx val="209"/>
            <c:bubble3D val="0"/>
            <c:extLst>
              <c:ext xmlns:c16="http://schemas.microsoft.com/office/drawing/2014/chart" uri="{C3380CC4-5D6E-409C-BE32-E72D297353CC}">
                <c16:uniqueId val="{00000083-C5E1-416E-BB48-46A65BF54441}"/>
              </c:ext>
            </c:extLst>
          </c:dPt>
          <c:dPt>
            <c:idx val="210"/>
            <c:bubble3D val="0"/>
            <c:extLst>
              <c:ext xmlns:c16="http://schemas.microsoft.com/office/drawing/2014/chart" uri="{C3380CC4-5D6E-409C-BE32-E72D297353CC}">
                <c16:uniqueId val="{00000084-C5E1-416E-BB48-46A65BF54441}"/>
              </c:ext>
            </c:extLst>
          </c:dPt>
          <c:dPt>
            <c:idx val="212"/>
            <c:bubble3D val="0"/>
            <c:extLst>
              <c:ext xmlns:c16="http://schemas.microsoft.com/office/drawing/2014/chart" uri="{C3380CC4-5D6E-409C-BE32-E72D297353CC}">
                <c16:uniqueId val="{00000085-C5E1-416E-BB48-46A65BF54441}"/>
              </c:ext>
            </c:extLst>
          </c:dPt>
          <c:dPt>
            <c:idx val="213"/>
            <c:bubble3D val="0"/>
            <c:extLst>
              <c:ext xmlns:c16="http://schemas.microsoft.com/office/drawing/2014/chart" uri="{C3380CC4-5D6E-409C-BE32-E72D297353CC}">
                <c16:uniqueId val="{00000086-C5E1-416E-BB48-46A65BF54441}"/>
              </c:ext>
            </c:extLst>
          </c:dPt>
          <c:dPt>
            <c:idx val="216"/>
            <c:bubble3D val="0"/>
            <c:extLst>
              <c:ext xmlns:c16="http://schemas.microsoft.com/office/drawing/2014/chart" uri="{C3380CC4-5D6E-409C-BE32-E72D297353CC}">
                <c16:uniqueId val="{00000087-C5E1-416E-BB48-46A65BF54441}"/>
              </c:ext>
            </c:extLst>
          </c:dPt>
          <c:dPt>
            <c:idx val="219"/>
            <c:bubble3D val="0"/>
            <c:extLst>
              <c:ext xmlns:c16="http://schemas.microsoft.com/office/drawing/2014/chart" uri="{C3380CC4-5D6E-409C-BE32-E72D297353CC}">
                <c16:uniqueId val="{00000088-C5E1-416E-BB48-46A65BF54441}"/>
              </c:ext>
            </c:extLst>
          </c:dPt>
          <c:dPt>
            <c:idx val="220"/>
            <c:bubble3D val="0"/>
            <c:extLst>
              <c:ext xmlns:c16="http://schemas.microsoft.com/office/drawing/2014/chart" uri="{C3380CC4-5D6E-409C-BE32-E72D297353CC}">
                <c16:uniqueId val="{00000089-C5E1-416E-BB48-46A65BF54441}"/>
              </c:ext>
            </c:extLst>
          </c:dPt>
          <c:dPt>
            <c:idx val="221"/>
            <c:bubble3D val="0"/>
            <c:extLst>
              <c:ext xmlns:c16="http://schemas.microsoft.com/office/drawing/2014/chart" uri="{C3380CC4-5D6E-409C-BE32-E72D297353CC}">
                <c16:uniqueId val="{0000008A-C5E1-416E-BB48-46A65BF54441}"/>
              </c:ext>
            </c:extLst>
          </c:dPt>
          <c:dPt>
            <c:idx val="223"/>
            <c:bubble3D val="0"/>
            <c:extLst>
              <c:ext xmlns:c16="http://schemas.microsoft.com/office/drawing/2014/chart" uri="{C3380CC4-5D6E-409C-BE32-E72D297353CC}">
                <c16:uniqueId val="{0000008B-C5E1-416E-BB48-46A65BF54441}"/>
              </c:ext>
            </c:extLst>
          </c:dPt>
          <c:dPt>
            <c:idx val="225"/>
            <c:bubble3D val="0"/>
            <c:extLst>
              <c:ext xmlns:c16="http://schemas.microsoft.com/office/drawing/2014/chart" uri="{C3380CC4-5D6E-409C-BE32-E72D297353CC}">
                <c16:uniqueId val="{0000008C-C5E1-416E-BB48-46A65BF54441}"/>
              </c:ext>
            </c:extLst>
          </c:dPt>
          <c:dPt>
            <c:idx val="228"/>
            <c:bubble3D val="0"/>
            <c:extLst>
              <c:ext xmlns:c16="http://schemas.microsoft.com/office/drawing/2014/chart" uri="{C3380CC4-5D6E-409C-BE32-E72D297353CC}">
                <c16:uniqueId val="{0000008D-C5E1-416E-BB48-46A65BF54441}"/>
              </c:ext>
            </c:extLst>
          </c:dPt>
          <c:dPt>
            <c:idx val="229"/>
            <c:bubble3D val="0"/>
            <c:extLst>
              <c:ext xmlns:c16="http://schemas.microsoft.com/office/drawing/2014/chart" uri="{C3380CC4-5D6E-409C-BE32-E72D297353CC}">
                <c16:uniqueId val="{0000008E-C5E1-416E-BB48-46A65BF54441}"/>
              </c:ext>
            </c:extLst>
          </c:dPt>
          <c:dPt>
            <c:idx val="230"/>
            <c:bubble3D val="0"/>
            <c:extLst>
              <c:ext xmlns:c16="http://schemas.microsoft.com/office/drawing/2014/chart" uri="{C3380CC4-5D6E-409C-BE32-E72D297353CC}">
                <c16:uniqueId val="{0000008F-C5E1-416E-BB48-46A65BF54441}"/>
              </c:ext>
            </c:extLst>
          </c:dPt>
          <c:dPt>
            <c:idx val="231"/>
            <c:bubble3D val="0"/>
            <c:extLst>
              <c:ext xmlns:c16="http://schemas.microsoft.com/office/drawing/2014/chart" uri="{C3380CC4-5D6E-409C-BE32-E72D297353CC}">
                <c16:uniqueId val="{00000090-C5E1-416E-BB48-46A65BF54441}"/>
              </c:ext>
            </c:extLst>
          </c:dPt>
          <c:dPt>
            <c:idx val="233"/>
            <c:bubble3D val="0"/>
            <c:extLst>
              <c:ext xmlns:c16="http://schemas.microsoft.com/office/drawing/2014/chart" uri="{C3380CC4-5D6E-409C-BE32-E72D297353CC}">
                <c16:uniqueId val="{00000091-C5E1-416E-BB48-46A65BF54441}"/>
              </c:ext>
            </c:extLst>
          </c:dPt>
          <c:dPt>
            <c:idx val="234"/>
            <c:bubble3D val="0"/>
            <c:extLst>
              <c:ext xmlns:c16="http://schemas.microsoft.com/office/drawing/2014/chart" uri="{C3380CC4-5D6E-409C-BE32-E72D297353CC}">
                <c16:uniqueId val="{00000092-C5E1-416E-BB48-46A65BF54441}"/>
              </c:ext>
            </c:extLst>
          </c:dPt>
          <c:dPt>
            <c:idx val="235"/>
            <c:bubble3D val="0"/>
            <c:extLst>
              <c:ext xmlns:c16="http://schemas.microsoft.com/office/drawing/2014/chart" uri="{C3380CC4-5D6E-409C-BE32-E72D297353CC}">
                <c16:uniqueId val="{00000093-C5E1-416E-BB48-46A65BF54441}"/>
              </c:ext>
            </c:extLst>
          </c:dPt>
          <c:dPt>
            <c:idx val="236"/>
            <c:bubble3D val="0"/>
            <c:extLst>
              <c:ext xmlns:c16="http://schemas.microsoft.com/office/drawing/2014/chart" uri="{C3380CC4-5D6E-409C-BE32-E72D297353CC}">
                <c16:uniqueId val="{00000094-C5E1-416E-BB48-46A65BF54441}"/>
              </c:ext>
            </c:extLst>
          </c:dPt>
          <c:dPt>
            <c:idx val="237"/>
            <c:bubble3D val="0"/>
            <c:extLst>
              <c:ext xmlns:c16="http://schemas.microsoft.com/office/drawing/2014/chart" uri="{C3380CC4-5D6E-409C-BE32-E72D297353CC}">
                <c16:uniqueId val="{00000095-C5E1-416E-BB48-46A65BF54441}"/>
              </c:ext>
            </c:extLst>
          </c:dPt>
          <c:dPt>
            <c:idx val="238"/>
            <c:bubble3D val="0"/>
            <c:extLst>
              <c:ext xmlns:c16="http://schemas.microsoft.com/office/drawing/2014/chart" uri="{C3380CC4-5D6E-409C-BE32-E72D297353CC}">
                <c16:uniqueId val="{00000096-C5E1-416E-BB48-46A65BF54441}"/>
              </c:ext>
            </c:extLst>
          </c:dPt>
          <c:dPt>
            <c:idx val="239"/>
            <c:bubble3D val="0"/>
            <c:extLst>
              <c:ext xmlns:c16="http://schemas.microsoft.com/office/drawing/2014/chart" uri="{C3380CC4-5D6E-409C-BE32-E72D297353CC}">
                <c16:uniqueId val="{00000097-C5E1-416E-BB48-46A65BF54441}"/>
              </c:ext>
            </c:extLst>
          </c:dPt>
          <c:dPt>
            <c:idx val="246"/>
            <c:bubble3D val="0"/>
            <c:extLst>
              <c:ext xmlns:c16="http://schemas.microsoft.com/office/drawing/2014/chart" uri="{C3380CC4-5D6E-409C-BE32-E72D297353CC}">
                <c16:uniqueId val="{00000098-C5E1-416E-BB48-46A65BF54441}"/>
              </c:ext>
            </c:extLst>
          </c:dPt>
          <c:dPt>
            <c:idx val="247"/>
            <c:bubble3D val="0"/>
            <c:extLst>
              <c:ext xmlns:c16="http://schemas.microsoft.com/office/drawing/2014/chart" uri="{C3380CC4-5D6E-409C-BE32-E72D297353CC}">
                <c16:uniqueId val="{00000099-C5E1-416E-BB48-46A65BF54441}"/>
              </c:ext>
            </c:extLst>
          </c:dPt>
          <c:dPt>
            <c:idx val="253"/>
            <c:bubble3D val="0"/>
            <c:extLst>
              <c:ext xmlns:c16="http://schemas.microsoft.com/office/drawing/2014/chart" uri="{C3380CC4-5D6E-409C-BE32-E72D297353CC}">
                <c16:uniqueId val="{0000009A-C5E1-416E-BB48-46A65BF54441}"/>
              </c:ext>
            </c:extLst>
          </c:dPt>
          <c:dPt>
            <c:idx val="254"/>
            <c:bubble3D val="0"/>
            <c:extLst>
              <c:ext xmlns:c16="http://schemas.microsoft.com/office/drawing/2014/chart" uri="{C3380CC4-5D6E-409C-BE32-E72D297353CC}">
                <c16:uniqueId val="{0000009B-C5E1-416E-BB48-46A65BF54441}"/>
              </c:ext>
            </c:extLst>
          </c:dPt>
          <c:dPt>
            <c:idx val="255"/>
            <c:bubble3D val="0"/>
            <c:extLst>
              <c:ext xmlns:c16="http://schemas.microsoft.com/office/drawing/2014/chart" uri="{C3380CC4-5D6E-409C-BE32-E72D297353CC}">
                <c16:uniqueId val="{0000009C-C5E1-416E-BB48-46A65BF54441}"/>
              </c:ext>
            </c:extLst>
          </c:dPt>
          <c:dPt>
            <c:idx val="257"/>
            <c:bubble3D val="0"/>
            <c:extLst>
              <c:ext xmlns:c16="http://schemas.microsoft.com/office/drawing/2014/chart" uri="{C3380CC4-5D6E-409C-BE32-E72D297353CC}">
                <c16:uniqueId val="{0000009D-C5E1-416E-BB48-46A65BF54441}"/>
              </c:ext>
            </c:extLst>
          </c:dPt>
          <c:dPt>
            <c:idx val="258"/>
            <c:bubble3D val="0"/>
            <c:extLst>
              <c:ext xmlns:c16="http://schemas.microsoft.com/office/drawing/2014/chart" uri="{C3380CC4-5D6E-409C-BE32-E72D297353CC}">
                <c16:uniqueId val="{0000009E-C5E1-416E-BB48-46A65BF54441}"/>
              </c:ext>
            </c:extLst>
          </c:dPt>
          <c:dPt>
            <c:idx val="259"/>
            <c:bubble3D val="0"/>
            <c:extLst>
              <c:ext xmlns:c16="http://schemas.microsoft.com/office/drawing/2014/chart" uri="{C3380CC4-5D6E-409C-BE32-E72D297353CC}">
                <c16:uniqueId val="{0000009F-C5E1-416E-BB48-46A65BF54441}"/>
              </c:ext>
            </c:extLst>
          </c:dPt>
          <c:dPt>
            <c:idx val="260"/>
            <c:bubble3D val="0"/>
            <c:extLst>
              <c:ext xmlns:c16="http://schemas.microsoft.com/office/drawing/2014/chart" uri="{C3380CC4-5D6E-409C-BE32-E72D297353CC}">
                <c16:uniqueId val="{000000A0-C5E1-416E-BB48-46A65BF54441}"/>
              </c:ext>
            </c:extLst>
          </c:dPt>
          <c:dPt>
            <c:idx val="261"/>
            <c:bubble3D val="0"/>
            <c:extLst>
              <c:ext xmlns:c16="http://schemas.microsoft.com/office/drawing/2014/chart" uri="{C3380CC4-5D6E-409C-BE32-E72D297353CC}">
                <c16:uniqueId val="{000000A1-C5E1-416E-BB48-46A65BF54441}"/>
              </c:ext>
            </c:extLst>
          </c:dPt>
          <c:cat>
            <c:numRef>
              <c:f>'Bond Prices'!$L$5:$L$266</c:f>
              <c:numCache>
                <c:formatCode>m/d/yyyy</c:formatCode>
                <c:ptCount val="262"/>
                <c:pt idx="0">
                  <c:v>44279</c:v>
                </c:pt>
                <c:pt idx="1">
                  <c:v>44280</c:v>
                </c:pt>
                <c:pt idx="2">
                  <c:v>44281</c:v>
                </c:pt>
                <c:pt idx="3">
                  <c:v>44284</c:v>
                </c:pt>
                <c:pt idx="4">
                  <c:v>44285</c:v>
                </c:pt>
                <c:pt idx="5">
                  <c:v>44286</c:v>
                </c:pt>
                <c:pt idx="6">
                  <c:v>44287</c:v>
                </c:pt>
                <c:pt idx="7">
                  <c:v>44288</c:v>
                </c:pt>
                <c:pt idx="8">
                  <c:v>44291</c:v>
                </c:pt>
                <c:pt idx="9">
                  <c:v>44292</c:v>
                </c:pt>
                <c:pt idx="10">
                  <c:v>44293</c:v>
                </c:pt>
                <c:pt idx="11">
                  <c:v>44294</c:v>
                </c:pt>
                <c:pt idx="12">
                  <c:v>44295</c:v>
                </c:pt>
                <c:pt idx="13">
                  <c:v>44298</c:v>
                </c:pt>
                <c:pt idx="14">
                  <c:v>44299</c:v>
                </c:pt>
                <c:pt idx="15">
                  <c:v>44300</c:v>
                </c:pt>
                <c:pt idx="16">
                  <c:v>44301</c:v>
                </c:pt>
                <c:pt idx="17">
                  <c:v>44302</c:v>
                </c:pt>
                <c:pt idx="18">
                  <c:v>44305</c:v>
                </c:pt>
                <c:pt idx="19">
                  <c:v>44306</c:v>
                </c:pt>
                <c:pt idx="20">
                  <c:v>44307</c:v>
                </c:pt>
                <c:pt idx="21">
                  <c:v>44308</c:v>
                </c:pt>
                <c:pt idx="22">
                  <c:v>44309</c:v>
                </c:pt>
                <c:pt idx="23">
                  <c:v>44312</c:v>
                </c:pt>
                <c:pt idx="24">
                  <c:v>44313</c:v>
                </c:pt>
                <c:pt idx="25">
                  <c:v>44314</c:v>
                </c:pt>
                <c:pt idx="26">
                  <c:v>44315</c:v>
                </c:pt>
                <c:pt idx="27">
                  <c:v>44316</c:v>
                </c:pt>
                <c:pt idx="28">
                  <c:v>44319</c:v>
                </c:pt>
                <c:pt idx="29">
                  <c:v>44320</c:v>
                </c:pt>
                <c:pt idx="30">
                  <c:v>44321</c:v>
                </c:pt>
                <c:pt idx="31">
                  <c:v>44322</c:v>
                </c:pt>
                <c:pt idx="32">
                  <c:v>44323</c:v>
                </c:pt>
                <c:pt idx="33">
                  <c:v>44326</c:v>
                </c:pt>
                <c:pt idx="34">
                  <c:v>44327</c:v>
                </c:pt>
                <c:pt idx="35">
                  <c:v>44328</c:v>
                </c:pt>
                <c:pt idx="36">
                  <c:v>44329</c:v>
                </c:pt>
                <c:pt idx="37">
                  <c:v>44330</c:v>
                </c:pt>
                <c:pt idx="38">
                  <c:v>44333</c:v>
                </c:pt>
                <c:pt idx="39">
                  <c:v>44334</c:v>
                </c:pt>
                <c:pt idx="40">
                  <c:v>44335</c:v>
                </c:pt>
                <c:pt idx="41">
                  <c:v>44336</c:v>
                </c:pt>
                <c:pt idx="42">
                  <c:v>44337</c:v>
                </c:pt>
                <c:pt idx="43">
                  <c:v>44340</c:v>
                </c:pt>
                <c:pt idx="44">
                  <c:v>44341</c:v>
                </c:pt>
                <c:pt idx="45">
                  <c:v>44342</c:v>
                </c:pt>
                <c:pt idx="46">
                  <c:v>44343</c:v>
                </c:pt>
                <c:pt idx="47">
                  <c:v>44344</c:v>
                </c:pt>
                <c:pt idx="48">
                  <c:v>44347</c:v>
                </c:pt>
                <c:pt idx="49">
                  <c:v>44348</c:v>
                </c:pt>
                <c:pt idx="50">
                  <c:v>44349</c:v>
                </c:pt>
                <c:pt idx="51">
                  <c:v>44350</c:v>
                </c:pt>
                <c:pt idx="52">
                  <c:v>44351</c:v>
                </c:pt>
                <c:pt idx="53">
                  <c:v>44354</c:v>
                </c:pt>
                <c:pt idx="54">
                  <c:v>44355</c:v>
                </c:pt>
                <c:pt idx="55">
                  <c:v>44356</c:v>
                </c:pt>
                <c:pt idx="56">
                  <c:v>44357</c:v>
                </c:pt>
                <c:pt idx="57">
                  <c:v>44358</c:v>
                </c:pt>
                <c:pt idx="58">
                  <c:v>44361</c:v>
                </c:pt>
                <c:pt idx="59">
                  <c:v>44362</c:v>
                </c:pt>
                <c:pt idx="60">
                  <c:v>44363</c:v>
                </c:pt>
                <c:pt idx="61">
                  <c:v>44364</c:v>
                </c:pt>
                <c:pt idx="62">
                  <c:v>44365</c:v>
                </c:pt>
                <c:pt idx="63">
                  <c:v>44368</c:v>
                </c:pt>
                <c:pt idx="64">
                  <c:v>44369</c:v>
                </c:pt>
                <c:pt idx="65">
                  <c:v>44370</c:v>
                </c:pt>
                <c:pt idx="66">
                  <c:v>44371</c:v>
                </c:pt>
                <c:pt idx="67">
                  <c:v>44372</c:v>
                </c:pt>
                <c:pt idx="68">
                  <c:v>44375</c:v>
                </c:pt>
                <c:pt idx="69">
                  <c:v>44376</c:v>
                </c:pt>
                <c:pt idx="70">
                  <c:v>44377</c:v>
                </c:pt>
                <c:pt idx="71">
                  <c:v>44378</c:v>
                </c:pt>
                <c:pt idx="72">
                  <c:v>44379</c:v>
                </c:pt>
                <c:pt idx="73">
                  <c:v>44382</c:v>
                </c:pt>
                <c:pt idx="74">
                  <c:v>44383</c:v>
                </c:pt>
                <c:pt idx="75">
                  <c:v>44384</c:v>
                </c:pt>
                <c:pt idx="76">
                  <c:v>44385</c:v>
                </c:pt>
                <c:pt idx="77">
                  <c:v>44386</c:v>
                </c:pt>
                <c:pt idx="78">
                  <c:v>44389</c:v>
                </c:pt>
                <c:pt idx="79">
                  <c:v>44390</c:v>
                </c:pt>
                <c:pt idx="80">
                  <c:v>44391</c:v>
                </c:pt>
                <c:pt idx="81">
                  <c:v>44392</c:v>
                </c:pt>
                <c:pt idx="82">
                  <c:v>44393</c:v>
                </c:pt>
                <c:pt idx="83">
                  <c:v>44396</c:v>
                </c:pt>
                <c:pt idx="84">
                  <c:v>44397</c:v>
                </c:pt>
                <c:pt idx="85">
                  <c:v>44398</c:v>
                </c:pt>
                <c:pt idx="86">
                  <c:v>44399</c:v>
                </c:pt>
                <c:pt idx="87">
                  <c:v>44400</c:v>
                </c:pt>
                <c:pt idx="88">
                  <c:v>44403</c:v>
                </c:pt>
                <c:pt idx="89">
                  <c:v>44404</c:v>
                </c:pt>
                <c:pt idx="90">
                  <c:v>44405</c:v>
                </c:pt>
                <c:pt idx="91">
                  <c:v>44406</c:v>
                </c:pt>
                <c:pt idx="92">
                  <c:v>44407</c:v>
                </c:pt>
                <c:pt idx="93">
                  <c:v>44410</c:v>
                </c:pt>
                <c:pt idx="94">
                  <c:v>44411</c:v>
                </c:pt>
                <c:pt idx="95">
                  <c:v>44412</c:v>
                </c:pt>
                <c:pt idx="96">
                  <c:v>44413</c:v>
                </c:pt>
                <c:pt idx="97">
                  <c:v>44414</c:v>
                </c:pt>
                <c:pt idx="98">
                  <c:v>44417</c:v>
                </c:pt>
                <c:pt idx="99">
                  <c:v>44418</c:v>
                </c:pt>
                <c:pt idx="100">
                  <c:v>44419</c:v>
                </c:pt>
                <c:pt idx="101">
                  <c:v>44420</c:v>
                </c:pt>
                <c:pt idx="102">
                  <c:v>44421</c:v>
                </c:pt>
                <c:pt idx="103">
                  <c:v>44424</c:v>
                </c:pt>
                <c:pt idx="104">
                  <c:v>44425</c:v>
                </c:pt>
                <c:pt idx="105">
                  <c:v>44426</c:v>
                </c:pt>
                <c:pt idx="106">
                  <c:v>44427</c:v>
                </c:pt>
                <c:pt idx="107">
                  <c:v>44428</c:v>
                </c:pt>
                <c:pt idx="108">
                  <c:v>44431</c:v>
                </c:pt>
                <c:pt idx="109">
                  <c:v>44432</c:v>
                </c:pt>
                <c:pt idx="110">
                  <c:v>44433</c:v>
                </c:pt>
                <c:pt idx="111">
                  <c:v>44434</c:v>
                </c:pt>
                <c:pt idx="112">
                  <c:v>44435</c:v>
                </c:pt>
                <c:pt idx="113">
                  <c:v>44438</c:v>
                </c:pt>
                <c:pt idx="114">
                  <c:v>44439</c:v>
                </c:pt>
                <c:pt idx="115">
                  <c:v>44440</c:v>
                </c:pt>
                <c:pt idx="116">
                  <c:v>44441</c:v>
                </c:pt>
                <c:pt idx="117">
                  <c:v>44442</c:v>
                </c:pt>
                <c:pt idx="118">
                  <c:v>44445</c:v>
                </c:pt>
                <c:pt idx="119">
                  <c:v>44446</c:v>
                </c:pt>
                <c:pt idx="120">
                  <c:v>44447</c:v>
                </c:pt>
                <c:pt idx="121">
                  <c:v>44448</c:v>
                </c:pt>
                <c:pt idx="122">
                  <c:v>44449</c:v>
                </c:pt>
                <c:pt idx="123">
                  <c:v>44452</c:v>
                </c:pt>
                <c:pt idx="124">
                  <c:v>44453</c:v>
                </c:pt>
                <c:pt idx="125">
                  <c:v>44454</c:v>
                </c:pt>
                <c:pt idx="126">
                  <c:v>44455</c:v>
                </c:pt>
                <c:pt idx="127">
                  <c:v>44456</c:v>
                </c:pt>
                <c:pt idx="128">
                  <c:v>44459</c:v>
                </c:pt>
                <c:pt idx="129">
                  <c:v>44460</c:v>
                </c:pt>
                <c:pt idx="130">
                  <c:v>44461</c:v>
                </c:pt>
                <c:pt idx="131">
                  <c:v>44462</c:v>
                </c:pt>
                <c:pt idx="132">
                  <c:v>44463</c:v>
                </c:pt>
                <c:pt idx="133">
                  <c:v>44466</c:v>
                </c:pt>
                <c:pt idx="134">
                  <c:v>44467</c:v>
                </c:pt>
                <c:pt idx="135">
                  <c:v>44468</c:v>
                </c:pt>
                <c:pt idx="136">
                  <c:v>44469</c:v>
                </c:pt>
                <c:pt idx="137">
                  <c:v>44470</c:v>
                </c:pt>
                <c:pt idx="138">
                  <c:v>44473</c:v>
                </c:pt>
                <c:pt idx="139">
                  <c:v>44474</c:v>
                </c:pt>
                <c:pt idx="140">
                  <c:v>44475</c:v>
                </c:pt>
                <c:pt idx="141">
                  <c:v>44476</c:v>
                </c:pt>
                <c:pt idx="142">
                  <c:v>44477</c:v>
                </c:pt>
                <c:pt idx="143">
                  <c:v>44480</c:v>
                </c:pt>
                <c:pt idx="144">
                  <c:v>44481</c:v>
                </c:pt>
                <c:pt idx="145">
                  <c:v>44482</c:v>
                </c:pt>
                <c:pt idx="146">
                  <c:v>44483</c:v>
                </c:pt>
                <c:pt idx="147">
                  <c:v>44484</c:v>
                </c:pt>
                <c:pt idx="148">
                  <c:v>44487</c:v>
                </c:pt>
                <c:pt idx="149">
                  <c:v>44488</c:v>
                </c:pt>
                <c:pt idx="150">
                  <c:v>44489</c:v>
                </c:pt>
                <c:pt idx="151">
                  <c:v>44490</c:v>
                </c:pt>
                <c:pt idx="152">
                  <c:v>44491</c:v>
                </c:pt>
                <c:pt idx="153">
                  <c:v>44494</c:v>
                </c:pt>
                <c:pt idx="154">
                  <c:v>44495</c:v>
                </c:pt>
                <c:pt idx="155">
                  <c:v>44496</c:v>
                </c:pt>
                <c:pt idx="156">
                  <c:v>44497</c:v>
                </c:pt>
                <c:pt idx="157">
                  <c:v>44498</c:v>
                </c:pt>
                <c:pt idx="158">
                  <c:v>44501</c:v>
                </c:pt>
                <c:pt idx="159">
                  <c:v>44502</c:v>
                </c:pt>
                <c:pt idx="160">
                  <c:v>44503</c:v>
                </c:pt>
                <c:pt idx="161">
                  <c:v>44504</c:v>
                </c:pt>
                <c:pt idx="162">
                  <c:v>44505</c:v>
                </c:pt>
                <c:pt idx="163">
                  <c:v>44508</c:v>
                </c:pt>
                <c:pt idx="164">
                  <c:v>44509</c:v>
                </c:pt>
                <c:pt idx="165">
                  <c:v>44510</c:v>
                </c:pt>
                <c:pt idx="166">
                  <c:v>44511</c:v>
                </c:pt>
                <c:pt idx="167">
                  <c:v>44512</c:v>
                </c:pt>
                <c:pt idx="168">
                  <c:v>44515</c:v>
                </c:pt>
                <c:pt idx="169">
                  <c:v>44516</c:v>
                </c:pt>
                <c:pt idx="170">
                  <c:v>44517</c:v>
                </c:pt>
                <c:pt idx="171">
                  <c:v>44518</c:v>
                </c:pt>
                <c:pt idx="172">
                  <c:v>44519</c:v>
                </c:pt>
                <c:pt idx="173">
                  <c:v>44522</c:v>
                </c:pt>
                <c:pt idx="174">
                  <c:v>44523</c:v>
                </c:pt>
                <c:pt idx="175">
                  <c:v>44524</c:v>
                </c:pt>
                <c:pt idx="176">
                  <c:v>44525</c:v>
                </c:pt>
                <c:pt idx="177">
                  <c:v>44526</c:v>
                </c:pt>
                <c:pt idx="178">
                  <c:v>44529</c:v>
                </c:pt>
                <c:pt idx="179">
                  <c:v>44530</c:v>
                </c:pt>
                <c:pt idx="180">
                  <c:v>44531</c:v>
                </c:pt>
                <c:pt idx="181">
                  <c:v>44532</c:v>
                </c:pt>
                <c:pt idx="182">
                  <c:v>44533</c:v>
                </c:pt>
                <c:pt idx="183">
                  <c:v>44536</c:v>
                </c:pt>
                <c:pt idx="184">
                  <c:v>44537</c:v>
                </c:pt>
                <c:pt idx="185">
                  <c:v>44538</c:v>
                </c:pt>
                <c:pt idx="186">
                  <c:v>44539</c:v>
                </c:pt>
                <c:pt idx="187">
                  <c:v>44540</c:v>
                </c:pt>
                <c:pt idx="188">
                  <c:v>44543</c:v>
                </c:pt>
                <c:pt idx="189">
                  <c:v>44544</c:v>
                </c:pt>
                <c:pt idx="190">
                  <c:v>44545</c:v>
                </c:pt>
                <c:pt idx="191">
                  <c:v>44546</c:v>
                </c:pt>
                <c:pt idx="192">
                  <c:v>44547</c:v>
                </c:pt>
                <c:pt idx="193">
                  <c:v>44550</c:v>
                </c:pt>
                <c:pt idx="194">
                  <c:v>44551</c:v>
                </c:pt>
                <c:pt idx="195">
                  <c:v>44552</c:v>
                </c:pt>
                <c:pt idx="196">
                  <c:v>44553</c:v>
                </c:pt>
                <c:pt idx="197">
                  <c:v>44554</c:v>
                </c:pt>
                <c:pt idx="198">
                  <c:v>44557</c:v>
                </c:pt>
                <c:pt idx="199">
                  <c:v>44558</c:v>
                </c:pt>
                <c:pt idx="200">
                  <c:v>44559</c:v>
                </c:pt>
                <c:pt idx="201">
                  <c:v>44560</c:v>
                </c:pt>
                <c:pt idx="202">
                  <c:v>44561</c:v>
                </c:pt>
                <c:pt idx="203">
                  <c:v>44564</c:v>
                </c:pt>
                <c:pt idx="204">
                  <c:v>44565</c:v>
                </c:pt>
                <c:pt idx="205">
                  <c:v>44566</c:v>
                </c:pt>
                <c:pt idx="206">
                  <c:v>44567</c:v>
                </c:pt>
                <c:pt idx="207">
                  <c:v>44568</c:v>
                </c:pt>
                <c:pt idx="208">
                  <c:v>44571</c:v>
                </c:pt>
                <c:pt idx="209">
                  <c:v>44572</c:v>
                </c:pt>
                <c:pt idx="210">
                  <c:v>44573</c:v>
                </c:pt>
                <c:pt idx="211">
                  <c:v>44574</c:v>
                </c:pt>
                <c:pt idx="212">
                  <c:v>44575</c:v>
                </c:pt>
                <c:pt idx="213">
                  <c:v>44578</c:v>
                </c:pt>
                <c:pt idx="214">
                  <c:v>44579</c:v>
                </c:pt>
                <c:pt idx="215">
                  <c:v>44580</c:v>
                </c:pt>
                <c:pt idx="216">
                  <c:v>44581</c:v>
                </c:pt>
                <c:pt idx="217">
                  <c:v>44582</c:v>
                </c:pt>
                <c:pt idx="218">
                  <c:v>44585</c:v>
                </c:pt>
                <c:pt idx="219">
                  <c:v>44586</c:v>
                </c:pt>
                <c:pt idx="220">
                  <c:v>44587</c:v>
                </c:pt>
                <c:pt idx="221">
                  <c:v>44588</c:v>
                </c:pt>
                <c:pt idx="222">
                  <c:v>44589</c:v>
                </c:pt>
                <c:pt idx="223">
                  <c:v>44592</c:v>
                </c:pt>
                <c:pt idx="224">
                  <c:v>44593</c:v>
                </c:pt>
                <c:pt idx="225">
                  <c:v>44594</c:v>
                </c:pt>
                <c:pt idx="226">
                  <c:v>44595</c:v>
                </c:pt>
                <c:pt idx="227">
                  <c:v>44596</c:v>
                </c:pt>
                <c:pt idx="228">
                  <c:v>44599</c:v>
                </c:pt>
                <c:pt idx="229">
                  <c:v>44600</c:v>
                </c:pt>
                <c:pt idx="230">
                  <c:v>44601</c:v>
                </c:pt>
                <c:pt idx="231">
                  <c:v>44602</c:v>
                </c:pt>
                <c:pt idx="232">
                  <c:v>44603</c:v>
                </c:pt>
                <c:pt idx="233">
                  <c:v>44606</c:v>
                </c:pt>
                <c:pt idx="234">
                  <c:v>44607</c:v>
                </c:pt>
                <c:pt idx="235">
                  <c:v>44608</c:v>
                </c:pt>
                <c:pt idx="236">
                  <c:v>44609</c:v>
                </c:pt>
                <c:pt idx="237">
                  <c:v>44610</c:v>
                </c:pt>
                <c:pt idx="238">
                  <c:v>44613</c:v>
                </c:pt>
                <c:pt idx="239">
                  <c:v>44614</c:v>
                </c:pt>
                <c:pt idx="240">
                  <c:v>44615</c:v>
                </c:pt>
                <c:pt idx="241">
                  <c:v>44616</c:v>
                </c:pt>
                <c:pt idx="242">
                  <c:v>44617</c:v>
                </c:pt>
                <c:pt idx="243">
                  <c:v>44620</c:v>
                </c:pt>
                <c:pt idx="244">
                  <c:v>44621</c:v>
                </c:pt>
                <c:pt idx="245">
                  <c:v>44622</c:v>
                </c:pt>
                <c:pt idx="246">
                  <c:v>44623</c:v>
                </c:pt>
                <c:pt idx="247">
                  <c:v>44624</c:v>
                </c:pt>
                <c:pt idx="248">
                  <c:v>44627</c:v>
                </c:pt>
                <c:pt idx="249">
                  <c:v>44628</c:v>
                </c:pt>
                <c:pt idx="250">
                  <c:v>44629</c:v>
                </c:pt>
                <c:pt idx="251">
                  <c:v>44630</c:v>
                </c:pt>
                <c:pt idx="252">
                  <c:v>44631</c:v>
                </c:pt>
                <c:pt idx="253">
                  <c:v>44634</c:v>
                </c:pt>
                <c:pt idx="254">
                  <c:v>44635</c:v>
                </c:pt>
                <c:pt idx="255">
                  <c:v>44636</c:v>
                </c:pt>
                <c:pt idx="256">
                  <c:v>44637</c:v>
                </c:pt>
                <c:pt idx="257">
                  <c:v>44638</c:v>
                </c:pt>
                <c:pt idx="258">
                  <c:v>44641</c:v>
                </c:pt>
                <c:pt idx="259">
                  <c:v>44642</c:v>
                </c:pt>
                <c:pt idx="260">
                  <c:v>44643</c:v>
                </c:pt>
                <c:pt idx="261">
                  <c:v>44644</c:v>
                </c:pt>
              </c:numCache>
            </c:numRef>
          </c:cat>
          <c:val>
            <c:numRef>
              <c:f>'Bond Prices'!$N$5:$N$266</c:f>
              <c:numCache>
                <c:formatCode>0.0</c:formatCode>
                <c:ptCount val="2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numCache>
            </c:numRef>
          </c:val>
          <c:smooth val="0"/>
          <c:extLst>
            <c:ext xmlns:c16="http://schemas.microsoft.com/office/drawing/2014/chart" uri="{C3380CC4-5D6E-409C-BE32-E72D297353CC}">
              <c16:uniqueId val="{00000001-AFD4-4B25-B979-E2BD3A6BAF70}"/>
            </c:ext>
          </c:extLst>
        </c:ser>
        <c:ser>
          <c:idx val="2"/>
          <c:order val="2"/>
          <c:tx>
            <c:strRef>
              <c:f>'Bond Prices'!$O$4</c:f>
              <c:strCache>
                <c:ptCount val="1"/>
                <c:pt idx="0">
                  <c:v>NT 2.350 Dec-15-2022</c:v>
                </c:pt>
              </c:strCache>
            </c:strRef>
          </c:tx>
          <c:spPr>
            <a:ln w="22225">
              <a:solidFill>
                <a:schemeClr val="accent3"/>
              </a:solidFill>
            </a:ln>
          </c:spPr>
          <c:marker>
            <c:symbol val="none"/>
          </c:marker>
          <c:dPt>
            <c:idx val="2"/>
            <c:bubble3D val="0"/>
            <c:extLst>
              <c:ext xmlns:c16="http://schemas.microsoft.com/office/drawing/2014/chart" uri="{C3380CC4-5D6E-409C-BE32-E72D297353CC}">
                <c16:uniqueId val="{000000A2-C5E1-416E-BB48-46A65BF54441}"/>
              </c:ext>
            </c:extLst>
          </c:dPt>
          <c:dPt>
            <c:idx val="3"/>
            <c:bubble3D val="0"/>
            <c:extLst>
              <c:ext xmlns:c16="http://schemas.microsoft.com/office/drawing/2014/chart" uri="{C3380CC4-5D6E-409C-BE32-E72D297353CC}">
                <c16:uniqueId val="{000000A3-C5E1-416E-BB48-46A65BF54441}"/>
              </c:ext>
            </c:extLst>
          </c:dPt>
          <c:dPt>
            <c:idx val="7"/>
            <c:bubble3D val="0"/>
            <c:extLst>
              <c:ext xmlns:c16="http://schemas.microsoft.com/office/drawing/2014/chart" uri="{C3380CC4-5D6E-409C-BE32-E72D297353CC}">
                <c16:uniqueId val="{000000A4-C5E1-416E-BB48-46A65BF54441}"/>
              </c:ext>
            </c:extLst>
          </c:dPt>
          <c:dPt>
            <c:idx val="10"/>
            <c:bubble3D val="0"/>
            <c:extLst>
              <c:ext xmlns:c16="http://schemas.microsoft.com/office/drawing/2014/chart" uri="{C3380CC4-5D6E-409C-BE32-E72D297353CC}">
                <c16:uniqueId val="{000000A5-C5E1-416E-BB48-46A65BF54441}"/>
              </c:ext>
            </c:extLst>
          </c:dPt>
          <c:dPt>
            <c:idx val="11"/>
            <c:bubble3D val="0"/>
            <c:extLst>
              <c:ext xmlns:c16="http://schemas.microsoft.com/office/drawing/2014/chart" uri="{C3380CC4-5D6E-409C-BE32-E72D297353CC}">
                <c16:uniqueId val="{000000A6-C5E1-416E-BB48-46A65BF54441}"/>
              </c:ext>
            </c:extLst>
          </c:dPt>
          <c:dPt>
            <c:idx val="16"/>
            <c:bubble3D val="0"/>
            <c:extLst>
              <c:ext xmlns:c16="http://schemas.microsoft.com/office/drawing/2014/chart" uri="{C3380CC4-5D6E-409C-BE32-E72D297353CC}">
                <c16:uniqueId val="{000000A7-C5E1-416E-BB48-46A65BF54441}"/>
              </c:ext>
            </c:extLst>
          </c:dPt>
          <c:dPt>
            <c:idx val="17"/>
            <c:bubble3D val="0"/>
            <c:extLst>
              <c:ext xmlns:c16="http://schemas.microsoft.com/office/drawing/2014/chart" uri="{C3380CC4-5D6E-409C-BE32-E72D297353CC}">
                <c16:uniqueId val="{000000A8-C5E1-416E-BB48-46A65BF54441}"/>
              </c:ext>
            </c:extLst>
          </c:dPt>
          <c:dPt>
            <c:idx val="20"/>
            <c:bubble3D val="0"/>
            <c:extLst>
              <c:ext xmlns:c16="http://schemas.microsoft.com/office/drawing/2014/chart" uri="{C3380CC4-5D6E-409C-BE32-E72D297353CC}">
                <c16:uniqueId val="{000000A9-C5E1-416E-BB48-46A65BF54441}"/>
              </c:ext>
            </c:extLst>
          </c:dPt>
          <c:dPt>
            <c:idx val="21"/>
            <c:bubble3D val="0"/>
            <c:extLst>
              <c:ext xmlns:c16="http://schemas.microsoft.com/office/drawing/2014/chart" uri="{C3380CC4-5D6E-409C-BE32-E72D297353CC}">
                <c16:uniqueId val="{000000AA-C5E1-416E-BB48-46A65BF54441}"/>
              </c:ext>
            </c:extLst>
          </c:dPt>
          <c:dPt>
            <c:idx val="32"/>
            <c:bubble3D val="0"/>
            <c:extLst>
              <c:ext xmlns:c16="http://schemas.microsoft.com/office/drawing/2014/chart" uri="{C3380CC4-5D6E-409C-BE32-E72D297353CC}">
                <c16:uniqueId val="{000000AB-C5E1-416E-BB48-46A65BF54441}"/>
              </c:ext>
            </c:extLst>
          </c:dPt>
          <c:dPt>
            <c:idx val="33"/>
            <c:bubble3D val="0"/>
            <c:extLst>
              <c:ext xmlns:c16="http://schemas.microsoft.com/office/drawing/2014/chart" uri="{C3380CC4-5D6E-409C-BE32-E72D297353CC}">
                <c16:uniqueId val="{000000AC-C5E1-416E-BB48-46A65BF54441}"/>
              </c:ext>
            </c:extLst>
          </c:dPt>
          <c:dPt>
            <c:idx val="35"/>
            <c:bubble3D val="0"/>
            <c:extLst>
              <c:ext xmlns:c16="http://schemas.microsoft.com/office/drawing/2014/chart" uri="{C3380CC4-5D6E-409C-BE32-E72D297353CC}">
                <c16:uniqueId val="{000000AD-C5E1-416E-BB48-46A65BF54441}"/>
              </c:ext>
            </c:extLst>
          </c:dPt>
          <c:dPt>
            <c:idx val="38"/>
            <c:bubble3D val="0"/>
            <c:extLst>
              <c:ext xmlns:c16="http://schemas.microsoft.com/office/drawing/2014/chart" uri="{C3380CC4-5D6E-409C-BE32-E72D297353CC}">
                <c16:uniqueId val="{000000AE-C5E1-416E-BB48-46A65BF54441}"/>
              </c:ext>
            </c:extLst>
          </c:dPt>
          <c:dPt>
            <c:idx val="40"/>
            <c:bubble3D val="0"/>
            <c:extLst>
              <c:ext xmlns:c16="http://schemas.microsoft.com/office/drawing/2014/chart" uri="{C3380CC4-5D6E-409C-BE32-E72D297353CC}">
                <c16:uniqueId val="{000000AF-C5E1-416E-BB48-46A65BF54441}"/>
              </c:ext>
            </c:extLst>
          </c:dPt>
          <c:dPt>
            <c:idx val="41"/>
            <c:bubble3D val="0"/>
            <c:extLst>
              <c:ext xmlns:c16="http://schemas.microsoft.com/office/drawing/2014/chart" uri="{C3380CC4-5D6E-409C-BE32-E72D297353CC}">
                <c16:uniqueId val="{000000B0-C5E1-416E-BB48-46A65BF54441}"/>
              </c:ext>
            </c:extLst>
          </c:dPt>
          <c:dPt>
            <c:idx val="42"/>
            <c:bubble3D val="0"/>
            <c:extLst>
              <c:ext xmlns:c16="http://schemas.microsoft.com/office/drawing/2014/chart" uri="{C3380CC4-5D6E-409C-BE32-E72D297353CC}">
                <c16:uniqueId val="{000000B1-C5E1-416E-BB48-46A65BF54441}"/>
              </c:ext>
            </c:extLst>
          </c:dPt>
          <c:dPt>
            <c:idx val="43"/>
            <c:bubble3D val="0"/>
            <c:extLst>
              <c:ext xmlns:c16="http://schemas.microsoft.com/office/drawing/2014/chart" uri="{C3380CC4-5D6E-409C-BE32-E72D297353CC}">
                <c16:uniqueId val="{000000B2-C5E1-416E-BB48-46A65BF54441}"/>
              </c:ext>
            </c:extLst>
          </c:dPt>
          <c:dPt>
            <c:idx val="44"/>
            <c:bubble3D val="0"/>
            <c:extLst>
              <c:ext xmlns:c16="http://schemas.microsoft.com/office/drawing/2014/chart" uri="{C3380CC4-5D6E-409C-BE32-E72D297353CC}">
                <c16:uniqueId val="{000000B3-C5E1-416E-BB48-46A65BF54441}"/>
              </c:ext>
            </c:extLst>
          </c:dPt>
          <c:dPt>
            <c:idx val="45"/>
            <c:bubble3D val="0"/>
            <c:extLst>
              <c:ext xmlns:c16="http://schemas.microsoft.com/office/drawing/2014/chart" uri="{C3380CC4-5D6E-409C-BE32-E72D297353CC}">
                <c16:uniqueId val="{000000B4-C5E1-416E-BB48-46A65BF54441}"/>
              </c:ext>
            </c:extLst>
          </c:dPt>
          <c:dPt>
            <c:idx val="47"/>
            <c:bubble3D val="0"/>
            <c:extLst>
              <c:ext xmlns:c16="http://schemas.microsoft.com/office/drawing/2014/chart" uri="{C3380CC4-5D6E-409C-BE32-E72D297353CC}">
                <c16:uniqueId val="{000000B5-C5E1-416E-BB48-46A65BF54441}"/>
              </c:ext>
            </c:extLst>
          </c:dPt>
          <c:dPt>
            <c:idx val="48"/>
            <c:bubble3D val="0"/>
            <c:extLst>
              <c:ext xmlns:c16="http://schemas.microsoft.com/office/drawing/2014/chart" uri="{C3380CC4-5D6E-409C-BE32-E72D297353CC}">
                <c16:uniqueId val="{000000B6-C5E1-416E-BB48-46A65BF54441}"/>
              </c:ext>
            </c:extLst>
          </c:dPt>
          <c:dPt>
            <c:idx val="49"/>
            <c:bubble3D val="0"/>
            <c:extLst>
              <c:ext xmlns:c16="http://schemas.microsoft.com/office/drawing/2014/chart" uri="{C3380CC4-5D6E-409C-BE32-E72D297353CC}">
                <c16:uniqueId val="{000000B7-C5E1-416E-BB48-46A65BF54441}"/>
              </c:ext>
            </c:extLst>
          </c:dPt>
          <c:dPt>
            <c:idx val="50"/>
            <c:bubble3D val="0"/>
            <c:extLst>
              <c:ext xmlns:c16="http://schemas.microsoft.com/office/drawing/2014/chart" uri="{C3380CC4-5D6E-409C-BE32-E72D297353CC}">
                <c16:uniqueId val="{000000B8-C5E1-416E-BB48-46A65BF54441}"/>
              </c:ext>
            </c:extLst>
          </c:dPt>
          <c:dPt>
            <c:idx val="53"/>
            <c:bubble3D val="0"/>
            <c:extLst>
              <c:ext xmlns:c16="http://schemas.microsoft.com/office/drawing/2014/chart" uri="{C3380CC4-5D6E-409C-BE32-E72D297353CC}">
                <c16:uniqueId val="{000000B9-C5E1-416E-BB48-46A65BF54441}"/>
              </c:ext>
            </c:extLst>
          </c:dPt>
          <c:dPt>
            <c:idx val="54"/>
            <c:bubble3D val="0"/>
            <c:extLst>
              <c:ext xmlns:c16="http://schemas.microsoft.com/office/drawing/2014/chart" uri="{C3380CC4-5D6E-409C-BE32-E72D297353CC}">
                <c16:uniqueId val="{000000BA-C5E1-416E-BB48-46A65BF54441}"/>
              </c:ext>
            </c:extLst>
          </c:dPt>
          <c:dPt>
            <c:idx val="55"/>
            <c:bubble3D val="0"/>
            <c:extLst>
              <c:ext xmlns:c16="http://schemas.microsoft.com/office/drawing/2014/chart" uri="{C3380CC4-5D6E-409C-BE32-E72D297353CC}">
                <c16:uniqueId val="{000000BB-C5E1-416E-BB48-46A65BF54441}"/>
              </c:ext>
            </c:extLst>
          </c:dPt>
          <c:dPt>
            <c:idx val="57"/>
            <c:bubble3D val="0"/>
            <c:extLst>
              <c:ext xmlns:c16="http://schemas.microsoft.com/office/drawing/2014/chart" uri="{C3380CC4-5D6E-409C-BE32-E72D297353CC}">
                <c16:uniqueId val="{000000BC-C5E1-416E-BB48-46A65BF54441}"/>
              </c:ext>
            </c:extLst>
          </c:dPt>
          <c:dPt>
            <c:idx val="58"/>
            <c:bubble3D val="0"/>
            <c:extLst>
              <c:ext xmlns:c16="http://schemas.microsoft.com/office/drawing/2014/chart" uri="{C3380CC4-5D6E-409C-BE32-E72D297353CC}">
                <c16:uniqueId val="{000000BD-C5E1-416E-BB48-46A65BF54441}"/>
              </c:ext>
            </c:extLst>
          </c:dPt>
          <c:dPt>
            <c:idx val="66"/>
            <c:bubble3D val="0"/>
            <c:extLst>
              <c:ext xmlns:c16="http://schemas.microsoft.com/office/drawing/2014/chart" uri="{C3380CC4-5D6E-409C-BE32-E72D297353CC}">
                <c16:uniqueId val="{000000BE-C5E1-416E-BB48-46A65BF54441}"/>
              </c:ext>
            </c:extLst>
          </c:dPt>
          <c:dPt>
            <c:idx val="67"/>
            <c:bubble3D val="0"/>
            <c:extLst>
              <c:ext xmlns:c16="http://schemas.microsoft.com/office/drawing/2014/chart" uri="{C3380CC4-5D6E-409C-BE32-E72D297353CC}">
                <c16:uniqueId val="{000000BF-C5E1-416E-BB48-46A65BF54441}"/>
              </c:ext>
            </c:extLst>
          </c:dPt>
          <c:dPt>
            <c:idx val="68"/>
            <c:bubble3D val="0"/>
            <c:extLst>
              <c:ext xmlns:c16="http://schemas.microsoft.com/office/drawing/2014/chart" uri="{C3380CC4-5D6E-409C-BE32-E72D297353CC}">
                <c16:uniqueId val="{000000C0-C5E1-416E-BB48-46A65BF54441}"/>
              </c:ext>
            </c:extLst>
          </c:dPt>
          <c:dPt>
            <c:idx val="70"/>
            <c:bubble3D val="0"/>
            <c:extLst>
              <c:ext xmlns:c16="http://schemas.microsoft.com/office/drawing/2014/chart" uri="{C3380CC4-5D6E-409C-BE32-E72D297353CC}">
                <c16:uniqueId val="{000000C1-C5E1-416E-BB48-46A65BF54441}"/>
              </c:ext>
            </c:extLst>
          </c:dPt>
          <c:dPt>
            <c:idx val="71"/>
            <c:bubble3D val="0"/>
            <c:extLst>
              <c:ext xmlns:c16="http://schemas.microsoft.com/office/drawing/2014/chart" uri="{C3380CC4-5D6E-409C-BE32-E72D297353CC}">
                <c16:uniqueId val="{000000C2-C5E1-416E-BB48-46A65BF54441}"/>
              </c:ext>
            </c:extLst>
          </c:dPt>
          <c:dPt>
            <c:idx val="72"/>
            <c:bubble3D val="0"/>
            <c:extLst>
              <c:ext xmlns:c16="http://schemas.microsoft.com/office/drawing/2014/chart" uri="{C3380CC4-5D6E-409C-BE32-E72D297353CC}">
                <c16:uniqueId val="{000000C3-C5E1-416E-BB48-46A65BF54441}"/>
              </c:ext>
            </c:extLst>
          </c:dPt>
          <c:dPt>
            <c:idx val="74"/>
            <c:bubble3D val="0"/>
            <c:extLst>
              <c:ext xmlns:c16="http://schemas.microsoft.com/office/drawing/2014/chart" uri="{C3380CC4-5D6E-409C-BE32-E72D297353CC}">
                <c16:uniqueId val="{000000C4-C5E1-416E-BB48-46A65BF54441}"/>
              </c:ext>
            </c:extLst>
          </c:dPt>
          <c:dPt>
            <c:idx val="75"/>
            <c:bubble3D val="0"/>
            <c:extLst>
              <c:ext xmlns:c16="http://schemas.microsoft.com/office/drawing/2014/chart" uri="{C3380CC4-5D6E-409C-BE32-E72D297353CC}">
                <c16:uniqueId val="{000000C5-C5E1-416E-BB48-46A65BF54441}"/>
              </c:ext>
            </c:extLst>
          </c:dPt>
          <c:dPt>
            <c:idx val="76"/>
            <c:bubble3D val="0"/>
            <c:extLst>
              <c:ext xmlns:c16="http://schemas.microsoft.com/office/drawing/2014/chart" uri="{C3380CC4-5D6E-409C-BE32-E72D297353CC}">
                <c16:uniqueId val="{000000C6-C5E1-416E-BB48-46A65BF54441}"/>
              </c:ext>
            </c:extLst>
          </c:dPt>
          <c:dPt>
            <c:idx val="81"/>
            <c:bubble3D val="0"/>
            <c:extLst>
              <c:ext xmlns:c16="http://schemas.microsoft.com/office/drawing/2014/chart" uri="{C3380CC4-5D6E-409C-BE32-E72D297353CC}">
                <c16:uniqueId val="{000000C7-C5E1-416E-BB48-46A65BF54441}"/>
              </c:ext>
            </c:extLst>
          </c:dPt>
          <c:dPt>
            <c:idx val="82"/>
            <c:bubble3D val="0"/>
            <c:extLst>
              <c:ext xmlns:c16="http://schemas.microsoft.com/office/drawing/2014/chart" uri="{C3380CC4-5D6E-409C-BE32-E72D297353CC}">
                <c16:uniqueId val="{000000C8-C5E1-416E-BB48-46A65BF54441}"/>
              </c:ext>
            </c:extLst>
          </c:dPt>
          <c:dPt>
            <c:idx val="83"/>
            <c:bubble3D val="0"/>
            <c:extLst>
              <c:ext xmlns:c16="http://schemas.microsoft.com/office/drawing/2014/chart" uri="{C3380CC4-5D6E-409C-BE32-E72D297353CC}">
                <c16:uniqueId val="{000000C9-C5E1-416E-BB48-46A65BF54441}"/>
              </c:ext>
            </c:extLst>
          </c:dPt>
          <c:dPt>
            <c:idx val="85"/>
            <c:bubble3D val="0"/>
            <c:extLst>
              <c:ext xmlns:c16="http://schemas.microsoft.com/office/drawing/2014/chart" uri="{C3380CC4-5D6E-409C-BE32-E72D297353CC}">
                <c16:uniqueId val="{000000CA-C5E1-416E-BB48-46A65BF54441}"/>
              </c:ext>
            </c:extLst>
          </c:dPt>
          <c:dPt>
            <c:idx val="86"/>
            <c:bubble3D val="0"/>
            <c:extLst>
              <c:ext xmlns:c16="http://schemas.microsoft.com/office/drawing/2014/chart" uri="{C3380CC4-5D6E-409C-BE32-E72D297353CC}">
                <c16:uniqueId val="{000000CB-C5E1-416E-BB48-46A65BF54441}"/>
              </c:ext>
            </c:extLst>
          </c:dPt>
          <c:dPt>
            <c:idx val="87"/>
            <c:bubble3D val="0"/>
            <c:extLst>
              <c:ext xmlns:c16="http://schemas.microsoft.com/office/drawing/2014/chart" uri="{C3380CC4-5D6E-409C-BE32-E72D297353CC}">
                <c16:uniqueId val="{000000CC-C5E1-416E-BB48-46A65BF54441}"/>
              </c:ext>
            </c:extLst>
          </c:dPt>
          <c:dPt>
            <c:idx val="90"/>
            <c:bubble3D val="0"/>
            <c:extLst>
              <c:ext xmlns:c16="http://schemas.microsoft.com/office/drawing/2014/chart" uri="{C3380CC4-5D6E-409C-BE32-E72D297353CC}">
                <c16:uniqueId val="{000000CD-C5E1-416E-BB48-46A65BF54441}"/>
              </c:ext>
            </c:extLst>
          </c:dPt>
          <c:dPt>
            <c:idx val="91"/>
            <c:bubble3D val="0"/>
            <c:extLst>
              <c:ext xmlns:c16="http://schemas.microsoft.com/office/drawing/2014/chart" uri="{C3380CC4-5D6E-409C-BE32-E72D297353CC}">
                <c16:uniqueId val="{000000CE-C5E1-416E-BB48-46A65BF54441}"/>
              </c:ext>
            </c:extLst>
          </c:dPt>
          <c:dPt>
            <c:idx val="92"/>
            <c:bubble3D val="0"/>
            <c:extLst>
              <c:ext xmlns:c16="http://schemas.microsoft.com/office/drawing/2014/chart" uri="{C3380CC4-5D6E-409C-BE32-E72D297353CC}">
                <c16:uniqueId val="{000000CF-C5E1-416E-BB48-46A65BF54441}"/>
              </c:ext>
            </c:extLst>
          </c:dPt>
          <c:dPt>
            <c:idx val="93"/>
            <c:bubble3D val="0"/>
            <c:extLst>
              <c:ext xmlns:c16="http://schemas.microsoft.com/office/drawing/2014/chart" uri="{C3380CC4-5D6E-409C-BE32-E72D297353CC}">
                <c16:uniqueId val="{000000D0-C5E1-416E-BB48-46A65BF54441}"/>
              </c:ext>
            </c:extLst>
          </c:dPt>
          <c:dPt>
            <c:idx val="94"/>
            <c:bubble3D val="0"/>
            <c:extLst>
              <c:ext xmlns:c16="http://schemas.microsoft.com/office/drawing/2014/chart" uri="{C3380CC4-5D6E-409C-BE32-E72D297353CC}">
                <c16:uniqueId val="{000000D1-C5E1-416E-BB48-46A65BF54441}"/>
              </c:ext>
            </c:extLst>
          </c:dPt>
          <c:dPt>
            <c:idx val="95"/>
            <c:bubble3D val="0"/>
            <c:extLst>
              <c:ext xmlns:c16="http://schemas.microsoft.com/office/drawing/2014/chart" uri="{C3380CC4-5D6E-409C-BE32-E72D297353CC}">
                <c16:uniqueId val="{000000D2-C5E1-416E-BB48-46A65BF54441}"/>
              </c:ext>
            </c:extLst>
          </c:dPt>
          <c:dPt>
            <c:idx val="96"/>
            <c:bubble3D val="0"/>
            <c:extLst>
              <c:ext xmlns:c16="http://schemas.microsoft.com/office/drawing/2014/chart" uri="{C3380CC4-5D6E-409C-BE32-E72D297353CC}">
                <c16:uniqueId val="{000000D3-C5E1-416E-BB48-46A65BF54441}"/>
              </c:ext>
            </c:extLst>
          </c:dPt>
          <c:dPt>
            <c:idx val="97"/>
            <c:bubble3D val="0"/>
            <c:extLst>
              <c:ext xmlns:c16="http://schemas.microsoft.com/office/drawing/2014/chart" uri="{C3380CC4-5D6E-409C-BE32-E72D297353CC}">
                <c16:uniqueId val="{000000D4-C5E1-416E-BB48-46A65BF54441}"/>
              </c:ext>
            </c:extLst>
          </c:dPt>
          <c:dPt>
            <c:idx val="98"/>
            <c:bubble3D val="0"/>
            <c:extLst>
              <c:ext xmlns:c16="http://schemas.microsoft.com/office/drawing/2014/chart" uri="{C3380CC4-5D6E-409C-BE32-E72D297353CC}">
                <c16:uniqueId val="{000000D5-C5E1-416E-BB48-46A65BF54441}"/>
              </c:ext>
            </c:extLst>
          </c:dPt>
          <c:dPt>
            <c:idx val="99"/>
            <c:bubble3D val="0"/>
            <c:extLst>
              <c:ext xmlns:c16="http://schemas.microsoft.com/office/drawing/2014/chart" uri="{C3380CC4-5D6E-409C-BE32-E72D297353CC}">
                <c16:uniqueId val="{000000D6-C5E1-416E-BB48-46A65BF54441}"/>
              </c:ext>
            </c:extLst>
          </c:dPt>
          <c:dPt>
            <c:idx val="100"/>
            <c:bubble3D val="0"/>
            <c:extLst>
              <c:ext xmlns:c16="http://schemas.microsoft.com/office/drawing/2014/chart" uri="{C3380CC4-5D6E-409C-BE32-E72D297353CC}">
                <c16:uniqueId val="{000000D7-C5E1-416E-BB48-46A65BF54441}"/>
              </c:ext>
            </c:extLst>
          </c:dPt>
          <c:dPt>
            <c:idx val="101"/>
            <c:bubble3D val="0"/>
            <c:extLst>
              <c:ext xmlns:c16="http://schemas.microsoft.com/office/drawing/2014/chart" uri="{C3380CC4-5D6E-409C-BE32-E72D297353CC}">
                <c16:uniqueId val="{000000D8-C5E1-416E-BB48-46A65BF54441}"/>
              </c:ext>
            </c:extLst>
          </c:dPt>
          <c:dPt>
            <c:idx val="102"/>
            <c:bubble3D val="0"/>
            <c:extLst>
              <c:ext xmlns:c16="http://schemas.microsoft.com/office/drawing/2014/chart" uri="{C3380CC4-5D6E-409C-BE32-E72D297353CC}">
                <c16:uniqueId val="{000000D9-C5E1-416E-BB48-46A65BF54441}"/>
              </c:ext>
            </c:extLst>
          </c:dPt>
          <c:dPt>
            <c:idx val="103"/>
            <c:bubble3D val="0"/>
            <c:extLst>
              <c:ext xmlns:c16="http://schemas.microsoft.com/office/drawing/2014/chart" uri="{C3380CC4-5D6E-409C-BE32-E72D297353CC}">
                <c16:uniqueId val="{000000DA-C5E1-416E-BB48-46A65BF54441}"/>
              </c:ext>
            </c:extLst>
          </c:dPt>
          <c:dPt>
            <c:idx val="104"/>
            <c:bubble3D val="0"/>
            <c:extLst>
              <c:ext xmlns:c16="http://schemas.microsoft.com/office/drawing/2014/chart" uri="{C3380CC4-5D6E-409C-BE32-E72D297353CC}">
                <c16:uniqueId val="{000000DB-C5E1-416E-BB48-46A65BF54441}"/>
              </c:ext>
            </c:extLst>
          </c:dPt>
          <c:dPt>
            <c:idx val="105"/>
            <c:bubble3D val="0"/>
            <c:extLst>
              <c:ext xmlns:c16="http://schemas.microsoft.com/office/drawing/2014/chart" uri="{C3380CC4-5D6E-409C-BE32-E72D297353CC}">
                <c16:uniqueId val="{000000DC-C5E1-416E-BB48-46A65BF54441}"/>
              </c:ext>
            </c:extLst>
          </c:dPt>
          <c:dPt>
            <c:idx val="106"/>
            <c:bubble3D val="0"/>
            <c:extLst>
              <c:ext xmlns:c16="http://schemas.microsoft.com/office/drawing/2014/chart" uri="{C3380CC4-5D6E-409C-BE32-E72D297353CC}">
                <c16:uniqueId val="{000000DD-C5E1-416E-BB48-46A65BF54441}"/>
              </c:ext>
            </c:extLst>
          </c:dPt>
          <c:dPt>
            <c:idx val="107"/>
            <c:bubble3D val="0"/>
            <c:extLst>
              <c:ext xmlns:c16="http://schemas.microsoft.com/office/drawing/2014/chart" uri="{C3380CC4-5D6E-409C-BE32-E72D297353CC}">
                <c16:uniqueId val="{000000DE-C5E1-416E-BB48-46A65BF54441}"/>
              </c:ext>
            </c:extLst>
          </c:dPt>
          <c:dPt>
            <c:idx val="108"/>
            <c:bubble3D val="0"/>
            <c:extLst>
              <c:ext xmlns:c16="http://schemas.microsoft.com/office/drawing/2014/chart" uri="{C3380CC4-5D6E-409C-BE32-E72D297353CC}">
                <c16:uniqueId val="{000000DF-C5E1-416E-BB48-46A65BF54441}"/>
              </c:ext>
            </c:extLst>
          </c:dPt>
          <c:dPt>
            <c:idx val="109"/>
            <c:bubble3D val="0"/>
            <c:extLst>
              <c:ext xmlns:c16="http://schemas.microsoft.com/office/drawing/2014/chart" uri="{C3380CC4-5D6E-409C-BE32-E72D297353CC}">
                <c16:uniqueId val="{000000E0-C5E1-416E-BB48-46A65BF54441}"/>
              </c:ext>
            </c:extLst>
          </c:dPt>
          <c:dPt>
            <c:idx val="110"/>
            <c:bubble3D val="0"/>
            <c:extLst>
              <c:ext xmlns:c16="http://schemas.microsoft.com/office/drawing/2014/chart" uri="{C3380CC4-5D6E-409C-BE32-E72D297353CC}">
                <c16:uniqueId val="{000000E1-C5E1-416E-BB48-46A65BF54441}"/>
              </c:ext>
            </c:extLst>
          </c:dPt>
          <c:dPt>
            <c:idx val="111"/>
            <c:bubble3D val="0"/>
            <c:extLst>
              <c:ext xmlns:c16="http://schemas.microsoft.com/office/drawing/2014/chart" uri="{C3380CC4-5D6E-409C-BE32-E72D297353CC}">
                <c16:uniqueId val="{000000E2-C5E1-416E-BB48-46A65BF54441}"/>
              </c:ext>
            </c:extLst>
          </c:dPt>
          <c:dPt>
            <c:idx val="112"/>
            <c:bubble3D val="0"/>
            <c:extLst>
              <c:ext xmlns:c16="http://schemas.microsoft.com/office/drawing/2014/chart" uri="{C3380CC4-5D6E-409C-BE32-E72D297353CC}">
                <c16:uniqueId val="{000000E3-C5E1-416E-BB48-46A65BF54441}"/>
              </c:ext>
            </c:extLst>
          </c:dPt>
          <c:dPt>
            <c:idx val="113"/>
            <c:bubble3D val="0"/>
            <c:extLst>
              <c:ext xmlns:c16="http://schemas.microsoft.com/office/drawing/2014/chart" uri="{C3380CC4-5D6E-409C-BE32-E72D297353CC}">
                <c16:uniqueId val="{000000E4-C5E1-416E-BB48-46A65BF54441}"/>
              </c:ext>
            </c:extLst>
          </c:dPt>
          <c:dPt>
            <c:idx val="114"/>
            <c:bubble3D val="0"/>
            <c:extLst>
              <c:ext xmlns:c16="http://schemas.microsoft.com/office/drawing/2014/chart" uri="{C3380CC4-5D6E-409C-BE32-E72D297353CC}">
                <c16:uniqueId val="{000000E5-C5E1-416E-BB48-46A65BF54441}"/>
              </c:ext>
            </c:extLst>
          </c:dPt>
          <c:dPt>
            <c:idx val="115"/>
            <c:bubble3D val="0"/>
            <c:extLst>
              <c:ext xmlns:c16="http://schemas.microsoft.com/office/drawing/2014/chart" uri="{C3380CC4-5D6E-409C-BE32-E72D297353CC}">
                <c16:uniqueId val="{000000E6-C5E1-416E-BB48-46A65BF54441}"/>
              </c:ext>
            </c:extLst>
          </c:dPt>
          <c:dPt>
            <c:idx val="116"/>
            <c:bubble3D val="0"/>
            <c:extLst>
              <c:ext xmlns:c16="http://schemas.microsoft.com/office/drawing/2014/chart" uri="{C3380CC4-5D6E-409C-BE32-E72D297353CC}">
                <c16:uniqueId val="{000000E7-C5E1-416E-BB48-46A65BF54441}"/>
              </c:ext>
            </c:extLst>
          </c:dPt>
          <c:dPt>
            <c:idx val="117"/>
            <c:bubble3D val="0"/>
            <c:extLst>
              <c:ext xmlns:c16="http://schemas.microsoft.com/office/drawing/2014/chart" uri="{C3380CC4-5D6E-409C-BE32-E72D297353CC}">
                <c16:uniqueId val="{000000E8-C5E1-416E-BB48-46A65BF54441}"/>
              </c:ext>
            </c:extLst>
          </c:dPt>
          <c:dPt>
            <c:idx val="118"/>
            <c:bubble3D val="0"/>
            <c:extLst>
              <c:ext xmlns:c16="http://schemas.microsoft.com/office/drawing/2014/chart" uri="{C3380CC4-5D6E-409C-BE32-E72D297353CC}">
                <c16:uniqueId val="{000000E9-C5E1-416E-BB48-46A65BF54441}"/>
              </c:ext>
            </c:extLst>
          </c:dPt>
          <c:dPt>
            <c:idx val="119"/>
            <c:bubble3D val="0"/>
            <c:extLst>
              <c:ext xmlns:c16="http://schemas.microsoft.com/office/drawing/2014/chart" uri="{C3380CC4-5D6E-409C-BE32-E72D297353CC}">
                <c16:uniqueId val="{000000EA-C5E1-416E-BB48-46A65BF54441}"/>
              </c:ext>
            </c:extLst>
          </c:dPt>
          <c:dPt>
            <c:idx val="120"/>
            <c:bubble3D val="0"/>
            <c:extLst>
              <c:ext xmlns:c16="http://schemas.microsoft.com/office/drawing/2014/chart" uri="{C3380CC4-5D6E-409C-BE32-E72D297353CC}">
                <c16:uniqueId val="{000000EB-C5E1-416E-BB48-46A65BF54441}"/>
              </c:ext>
            </c:extLst>
          </c:dPt>
          <c:dPt>
            <c:idx val="121"/>
            <c:bubble3D val="0"/>
            <c:extLst>
              <c:ext xmlns:c16="http://schemas.microsoft.com/office/drawing/2014/chart" uri="{C3380CC4-5D6E-409C-BE32-E72D297353CC}">
                <c16:uniqueId val="{000000EC-C5E1-416E-BB48-46A65BF54441}"/>
              </c:ext>
            </c:extLst>
          </c:dPt>
          <c:dPt>
            <c:idx val="122"/>
            <c:bubble3D val="0"/>
            <c:extLst>
              <c:ext xmlns:c16="http://schemas.microsoft.com/office/drawing/2014/chart" uri="{C3380CC4-5D6E-409C-BE32-E72D297353CC}">
                <c16:uniqueId val="{000000ED-C5E1-416E-BB48-46A65BF54441}"/>
              </c:ext>
            </c:extLst>
          </c:dPt>
          <c:dPt>
            <c:idx val="123"/>
            <c:bubble3D val="0"/>
            <c:extLst>
              <c:ext xmlns:c16="http://schemas.microsoft.com/office/drawing/2014/chart" uri="{C3380CC4-5D6E-409C-BE32-E72D297353CC}">
                <c16:uniqueId val="{000000EE-C5E1-416E-BB48-46A65BF54441}"/>
              </c:ext>
            </c:extLst>
          </c:dPt>
          <c:dPt>
            <c:idx val="124"/>
            <c:bubble3D val="0"/>
            <c:extLst>
              <c:ext xmlns:c16="http://schemas.microsoft.com/office/drawing/2014/chart" uri="{C3380CC4-5D6E-409C-BE32-E72D297353CC}">
                <c16:uniqueId val="{000000EF-C5E1-416E-BB48-46A65BF54441}"/>
              </c:ext>
            </c:extLst>
          </c:dPt>
          <c:dPt>
            <c:idx val="125"/>
            <c:bubble3D val="0"/>
            <c:extLst>
              <c:ext xmlns:c16="http://schemas.microsoft.com/office/drawing/2014/chart" uri="{C3380CC4-5D6E-409C-BE32-E72D297353CC}">
                <c16:uniqueId val="{000000F0-C5E1-416E-BB48-46A65BF54441}"/>
              </c:ext>
            </c:extLst>
          </c:dPt>
          <c:dPt>
            <c:idx val="126"/>
            <c:bubble3D val="0"/>
            <c:extLst>
              <c:ext xmlns:c16="http://schemas.microsoft.com/office/drawing/2014/chart" uri="{C3380CC4-5D6E-409C-BE32-E72D297353CC}">
                <c16:uniqueId val="{000000F1-C5E1-416E-BB48-46A65BF54441}"/>
              </c:ext>
            </c:extLst>
          </c:dPt>
          <c:dPt>
            <c:idx val="127"/>
            <c:bubble3D val="0"/>
            <c:extLst>
              <c:ext xmlns:c16="http://schemas.microsoft.com/office/drawing/2014/chart" uri="{C3380CC4-5D6E-409C-BE32-E72D297353CC}">
                <c16:uniqueId val="{000000F2-C5E1-416E-BB48-46A65BF54441}"/>
              </c:ext>
            </c:extLst>
          </c:dPt>
          <c:dPt>
            <c:idx val="128"/>
            <c:bubble3D val="0"/>
            <c:extLst>
              <c:ext xmlns:c16="http://schemas.microsoft.com/office/drawing/2014/chart" uri="{C3380CC4-5D6E-409C-BE32-E72D297353CC}">
                <c16:uniqueId val="{000000F3-C5E1-416E-BB48-46A65BF54441}"/>
              </c:ext>
            </c:extLst>
          </c:dPt>
          <c:dPt>
            <c:idx val="129"/>
            <c:bubble3D val="0"/>
            <c:extLst>
              <c:ext xmlns:c16="http://schemas.microsoft.com/office/drawing/2014/chart" uri="{C3380CC4-5D6E-409C-BE32-E72D297353CC}">
                <c16:uniqueId val="{000000F4-C5E1-416E-BB48-46A65BF54441}"/>
              </c:ext>
            </c:extLst>
          </c:dPt>
          <c:dPt>
            <c:idx val="130"/>
            <c:bubble3D val="0"/>
            <c:extLst>
              <c:ext xmlns:c16="http://schemas.microsoft.com/office/drawing/2014/chart" uri="{C3380CC4-5D6E-409C-BE32-E72D297353CC}">
                <c16:uniqueId val="{000000F5-C5E1-416E-BB48-46A65BF54441}"/>
              </c:ext>
            </c:extLst>
          </c:dPt>
          <c:dPt>
            <c:idx val="131"/>
            <c:bubble3D val="0"/>
            <c:extLst>
              <c:ext xmlns:c16="http://schemas.microsoft.com/office/drawing/2014/chart" uri="{C3380CC4-5D6E-409C-BE32-E72D297353CC}">
                <c16:uniqueId val="{000000F6-C5E1-416E-BB48-46A65BF54441}"/>
              </c:ext>
            </c:extLst>
          </c:dPt>
          <c:dPt>
            <c:idx val="133"/>
            <c:bubble3D val="0"/>
            <c:extLst>
              <c:ext xmlns:c16="http://schemas.microsoft.com/office/drawing/2014/chart" uri="{C3380CC4-5D6E-409C-BE32-E72D297353CC}">
                <c16:uniqueId val="{000000F7-C5E1-416E-BB48-46A65BF54441}"/>
              </c:ext>
            </c:extLst>
          </c:dPt>
          <c:dPt>
            <c:idx val="138"/>
            <c:bubble3D val="0"/>
            <c:extLst>
              <c:ext xmlns:c16="http://schemas.microsoft.com/office/drawing/2014/chart" uri="{C3380CC4-5D6E-409C-BE32-E72D297353CC}">
                <c16:uniqueId val="{000000F8-C5E1-416E-BB48-46A65BF54441}"/>
              </c:ext>
            </c:extLst>
          </c:dPt>
          <c:dPt>
            <c:idx val="140"/>
            <c:bubble3D val="0"/>
            <c:extLst>
              <c:ext xmlns:c16="http://schemas.microsoft.com/office/drawing/2014/chart" uri="{C3380CC4-5D6E-409C-BE32-E72D297353CC}">
                <c16:uniqueId val="{000000F9-C5E1-416E-BB48-46A65BF54441}"/>
              </c:ext>
            </c:extLst>
          </c:dPt>
          <c:dPt>
            <c:idx val="141"/>
            <c:bubble3D val="0"/>
            <c:extLst>
              <c:ext xmlns:c16="http://schemas.microsoft.com/office/drawing/2014/chart" uri="{C3380CC4-5D6E-409C-BE32-E72D297353CC}">
                <c16:uniqueId val="{000000FA-C5E1-416E-BB48-46A65BF54441}"/>
              </c:ext>
            </c:extLst>
          </c:dPt>
          <c:dPt>
            <c:idx val="146"/>
            <c:bubble3D val="0"/>
            <c:extLst>
              <c:ext xmlns:c16="http://schemas.microsoft.com/office/drawing/2014/chart" uri="{C3380CC4-5D6E-409C-BE32-E72D297353CC}">
                <c16:uniqueId val="{000000FB-C5E1-416E-BB48-46A65BF54441}"/>
              </c:ext>
            </c:extLst>
          </c:dPt>
          <c:dPt>
            <c:idx val="152"/>
            <c:bubble3D val="0"/>
            <c:extLst>
              <c:ext xmlns:c16="http://schemas.microsoft.com/office/drawing/2014/chart" uri="{C3380CC4-5D6E-409C-BE32-E72D297353CC}">
                <c16:uniqueId val="{000000FC-C5E1-416E-BB48-46A65BF54441}"/>
              </c:ext>
            </c:extLst>
          </c:dPt>
          <c:dPt>
            <c:idx val="153"/>
            <c:bubble3D val="0"/>
            <c:extLst>
              <c:ext xmlns:c16="http://schemas.microsoft.com/office/drawing/2014/chart" uri="{C3380CC4-5D6E-409C-BE32-E72D297353CC}">
                <c16:uniqueId val="{000000FD-C5E1-416E-BB48-46A65BF54441}"/>
              </c:ext>
            </c:extLst>
          </c:dPt>
          <c:dPt>
            <c:idx val="154"/>
            <c:bubble3D val="0"/>
            <c:extLst>
              <c:ext xmlns:c16="http://schemas.microsoft.com/office/drawing/2014/chart" uri="{C3380CC4-5D6E-409C-BE32-E72D297353CC}">
                <c16:uniqueId val="{000000FE-C5E1-416E-BB48-46A65BF54441}"/>
              </c:ext>
            </c:extLst>
          </c:dPt>
          <c:dPt>
            <c:idx val="155"/>
            <c:bubble3D val="0"/>
            <c:extLst>
              <c:ext xmlns:c16="http://schemas.microsoft.com/office/drawing/2014/chart" uri="{C3380CC4-5D6E-409C-BE32-E72D297353CC}">
                <c16:uniqueId val="{000000FF-C5E1-416E-BB48-46A65BF54441}"/>
              </c:ext>
            </c:extLst>
          </c:dPt>
          <c:dPt>
            <c:idx val="157"/>
            <c:bubble3D val="0"/>
            <c:extLst>
              <c:ext xmlns:c16="http://schemas.microsoft.com/office/drawing/2014/chart" uri="{C3380CC4-5D6E-409C-BE32-E72D297353CC}">
                <c16:uniqueId val="{00000100-C5E1-416E-BB48-46A65BF54441}"/>
              </c:ext>
            </c:extLst>
          </c:dPt>
          <c:dPt>
            <c:idx val="158"/>
            <c:bubble3D val="0"/>
            <c:extLst>
              <c:ext xmlns:c16="http://schemas.microsoft.com/office/drawing/2014/chart" uri="{C3380CC4-5D6E-409C-BE32-E72D297353CC}">
                <c16:uniqueId val="{00000101-C5E1-416E-BB48-46A65BF54441}"/>
              </c:ext>
            </c:extLst>
          </c:dPt>
          <c:dPt>
            <c:idx val="159"/>
            <c:bubble3D val="0"/>
            <c:extLst>
              <c:ext xmlns:c16="http://schemas.microsoft.com/office/drawing/2014/chart" uri="{C3380CC4-5D6E-409C-BE32-E72D297353CC}">
                <c16:uniqueId val="{00000102-C5E1-416E-BB48-46A65BF54441}"/>
              </c:ext>
            </c:extLst>
          </c:dPt>
          <c:dPt>
            <c:idx val="160"/>
            <c:bubble3D val="0"/>
            <c:extLst>
              <c:ext xmlns:c16="http://schemas.microsoft.com/office/drawing/2014/chart" uri="{C3380CC4-5D6E-409C-BE32-E72D297353CC}">
                <c16:uniqueId val="{00000103-C5E1-416E-BB48-46A65BF54441}"/>
              </c:ext>
            </c:extLst>
          </c:dPt>
          <c:dPt>
            <c:idx val="161"/>
            <c:bubble3D val="0"/>
            <c:extLst>
              <c:ext xmlns:c16="http://schemas.microsoft.com/office/drawing/2014/chart" uri="{C3380CC4-5D6E-409C-BE32-E72D297353CC}">
                <c16:uniqueId val="{00000104-C5E1-416E-BB48-46A65BF54441}"/>
              </c:ext>
            </c:extLst>
          </c:dPt>
          <c:dPt>
            <c:idx val="164"/>
            <c:bubble3D val="0"/>
            <c:extLst>
              <c:ext xmlns:c16="http://schemas.microsoft.com/office/drawing/2014/chart" uri="{C3380CC4-5D6E-409C-BE32-E72D297353CC}">
                <c16:uniqueId val="{00000105-C5E1-416E-BB48-46A65BF54441}"/>
              </c:ext>
            </c:extLst>
          </c:dPt>
          <c:dPt>
            <c:idx val="165"/>
            <c:bubble3D val="0"/>
            <c:extLst>
              <c:ext xmlns:c16="http://schemas.microsoft.com/office/drawing/2014/chart" uri="{C3380CC4-5D6E-409C-BE32-E72D297353CC}">
                <c16:uniqueId val="{00000106-C5E1-416E-BB48-46A65BF54441}"/>
              </c:ext>
            </c:extLst>
          </c:dPt>
          <c:dPt>
            <c:idx val="166"/>
            <c:bubble3D val="0"/>
            <c:extLst>
              <c:ext xmlns:c16="http://schemas.microsoft.com/office/drawing/2014/chart" uri="{C3380CC4-5D6E-409C-BE32-E72D297353CC}">
                <c16:uniqueId val="{00000107-C5E1-416E-BB48-46A65BF54441}"/>
              </c:ext>
            </c:extLst>
          </c:dPt>
          <c:dPt>
            <c:idx val="167"/>
            <c:bubble3D val="0"/>
            <c:extLst>
              <c:ext xmlns:c16="http://schemas.microsoft.com/office/drawing/2014/chart" uri="{C3380CC4-5D6E-409C-BE32-E72D297353CC}">
                <c16:uniqueId val="{00000108-C5E1-416E-BB48-46A65BF54441}"/>
              </c:ext>
            </c:extLst>
          </c:dPt>
          <c:dPt>
            <c:idx val="168"/>
            <c:bubble3D val="0"/>
            <c:extLst>
              <c:ext xmlns:c16="http://schemas.microsoft.com/office/drawing/2014/chart" uri="{C3380CC4-5D6E-409C-BE32-E72D297353CC}">
                <c16:uniqueId val="{00000109-C5E1-416E-BB48-46A65BF54441}"/>
              </c:ext>
            </c:extLst>
          </c:dPt>
          <c:dPt>
            <c:idx val="169"/>
            <c:bubble3D val="0"/>
            <c:extLst>
              <c:ext xmlns:c16="http://schemas.microsoft.com/office/drawing/2014/chart" uri="{C3380CC4-5D6E-409C-BE32-E72D297353CC}">
                <c16:uniqueId val="{0000010A-C5E1-416E-BB48-46A65BF54441}"/>
              </c:ext>
            </c:extLst>
          </c:dPt>
          <c:dPt>
            <c:idx val="170"/>
            <c:bubble3D val="0"/>
            <c:extLst>
              <c:ext xmlns:c16="http://schemas.microsoft.com/office/drawing/2014/chart" uri="{C3380CC4-5D6E-409C-BE32-E72D297353CC}">
                <c16:uniqueId val="{0000010B-C5E1-416E-BB48-46A65BF54441}"/>
              </c:ext>
            </c:extLst>
          </c:dPt>
          <c:dPt>
            <c:idx val="171"/>
            <c:bubble3D val="0"/>
            <c:extLst>
              <c:ext xmlns:c16="http://schemas.microsoft.com/office/drawing/2014/chart" uri="{C3380CC4-5D6E-409C-BE32-E72D297353CC}">
                <c16:uniqueId val="{0000010C-C5E1-416E-BB48-46A65BF54441}"/>
              </c:ext>
            </c:extLst>
          </c:dPt>
          <c:dPt>
            <c:idx val="172"/>
            <c:bubble3D val="0"/>
            <c:extLst>
              <c:ext xmlns:c16="http://schemas.microsoft.com/office/drawing/2014/chart" uri="{C3380CC4-5D6E-409C-BE32-E72D297353CC}">
                <c16:uniqueId val="{0000010D-C5E1-416E-BB48-46A65BF54441}"/>
              </c:ext>
            </c:extLst>
          </c:dPt>
          <c:dPt>
            <c:idx val="174"/>
            <c:bubble3D val="0"/>
            <c:extLst>
              <c:ext xmlns:c16="http://schemas.microsoft.com/office/drawing/2014/chart" uri="{C3380CC4-5D6E-409C-BE32-E72D297353CC}">
                <c16:uniqueId val="{0000010E-C5E1-416E-BB48-46A65BF54441}"/>
              </c:ext>
            </c:extLst>
          </c:dPt>
          <c:dPt>
            <c:idx val="176"/>
            <c:bubble3D val="0"/>
            <c:extLst>
              <c:ext xmlns:c16="http://schemas.microsoft.com/office/drawing/2014/chart" uri="{C3380CC4-5D6E-409C-BE32-E72D297353CC}">
                <c16:uniqueId val="{0000010F-C5E1-416E-BB48-46A65BF54441}"/>
              </c:ext>
            </c:extLst>
          </c:dPt>
          <c:dPt>
            <c:idx val="177"/>
            <c:bubble3D val="0"/>
            <c:extLst>
              <c:ext xmlns:c16="http://schemas.microsoft.com/office/drawing/2014/chart" uri="{C3380CC4-5D6E-409C-BE32-E72D297353CC}">
                <c16:uniqueId val="{00000110-C5E1-416E-BB48-46A65BF54441}"/>
              </c:ext>
            </c:extLst>
          </c:dPt>
          <c:dPt>
            <c:idx val="179"/>
            <c:bubble3D val="0"/>
            <c:extLst>
              <c:ext xmlns:c16="http://schemas.microsoft.com/office/drawing/2014/chart" uri="{C3380CC4-5D6E-409C-BE32-E72D297353CC}">
                <c16:uniqueId val="{00000111-C5E1-416E-BB48-46A65BF54441}"/>
              </c:ext>
            </c:extLst>
          </c:dPt>
          <c:dPt>
            <c:idx val="180"/>
            <c:bubble3D val="0"/>
            <c:extLst>
              <c:ext xmlns:c16="http://schemas.microsoft.com/office/drawing/2014/chart" uri="{C3380CC4-5D6E-409C-BE32-E72D297353CC}">
                <c16:uniqueId val="{00000112-C5E1-416E-BB48-46A65BF54441}"/>
              </c:ext>
            </c:extLst>
          </c:dPt>
          <c:dPt>
            <c:idx val="181"/>
            <c:bubble3D val="0"/>
            <c:extLst>
              <c:ext xmlns:c16="http://schemas.microsoft.com/office/drawing/2014/chart" uri="{C3380CC4-5D6E-409C-BE32-E72D297353CC}">
                <c16:uniqueId val="{00000113-C5E1-416E-BB48-46A65BF54441}"/>
              </c:ext>
            </c:extLst>
          </c:dPt>
          <c:dPt>
            <c:idx val="182"/>
            <c:bubble3D val="0"/>
            <c:extLst>
              <c:ext xmlns:c16="http://schemas.microsoft.com/office/drawing/2014/chart" uri="{C3380CC4-5D6E-409C-BE32-E72D297353CC}">
                <c16:uniqueId val="{00000114-C5E1-416E-BB48-46A65BF54441}"/>
              </c:ext>
            </c:extLst>
          </c:dPt>
          <c:dPt>
            <c:idx val="183"/>
            <c:bubble3D val="0"/>
            <c:extLst>
              <c:ext xmlns:c16="http://schemas.microsoft.com/office/drawing/2014/chart" uri="{C3380CC4-5D6E-409C-BE32-E72D297353CC}">
                <c16:uniqueId val="{00000115-C5E1-416E-BB48-46A65BF54441}"/>
              </c:ext>
            </c:extLst>
          </c:dPt>
          <c:dPt>
            <c:idx val="184"/>
            <c:bubble3D val="0"/>
            <c:extLst>
              <c:ext xmlns:c16="http://schemas.microsoft.com/office/drawing/2014/chart" uri="{C3380CC4-5D6E-409C-BE32-E72D297353CC}">
                <c16:uniqueId val="{00000116-C5E1-416E-BB48-46A65BF54441}"/>
              </c:ext>
            </c:extLst>
          </c:dPt>
          <c:dPt>
            <c:idx val="185"/>
            <c:bubble3D val="0"/>
            <c:extLst>
              <c:ext xmlns:c16="http://schemas.microsoft.com/office/drawing/2014/chart" uri="{C3380CC4-5D6E-409C-BE32-E72D297353CC}">
                <c16:uniqueId val="{00000117-C5E1-416E-BB48-46A65BF54441}"/>
              </c:ext>
            </c:extLst>
          </c:dPt>
          <c:dPt>
            <c:idx val="186"/>
            <c:bubble3D val="0"/>
            <c:extLst>
              <c:ext xmlns:c16="http://schemas.microsoft.com/office/drawing/2014/chart" uri="{C3380CC4-5D6E-409C-BE32-E72D297353CC}">
                <c16:uniqueId val="{00000118-C5E1-416E-BB48-46A65BF54441}"/>
              </c:ext>
            </c:extLst>
          </c:dPt>
          <c:dPt>
            <c:idx val="187"/>
            <c:bubble3D val="0"/>
            <c:extLst>
              <c:ext xmlns:c16="http://schemas.microsoft.com/office/drawing/2014/chart" uri="{C3380CC4-5D6E-409C-BE32-E72D297353CC}">
                <c16:uniqueId val="{00000119-C5E1-416E-BB48-46A65BF54441}"/>
              </c:ext>
            </c:extLst>
          </c:dPt>
          <c:dPt>
            <c:idx val="188"/>
            <c:bubble3D val="0"/>
            <c:extLst>
              <c:ext xmlns:c16="http://schemas.microsoft.com/office/drawing/2014/chart" uri="{C3380CC4-5D6E-409C-BE32-E72D297353CC}">
                <c16:uniqueId val="{0000011A-C5E1-416E-BB48-46A65BF54441}"/>
              </c:ext>
            </c:extLst>
          </c:dPt>
          <c:dPt>
            <c:idx val="189"/>
            <c:bubble3D val="0"/>
            <c:extLst>
              <c:ext xmlns:c16="http://schemas.microsoft.com/office/drawing/2014/chart" uri="{C3380CC4-5D6E-409C-BE32-E72D297353CC}">
                <c16:uniqueId val="{0000011B-C5E1-416E-BB48-46A65BF54441}"/>
              </c:ext>
            </c:extLst>
          </c:dPt>
          <c:dPt>
            <c:idx val="191"/>
            <c:bubble3D val="0"/>
            <c:extLst>
              <c:ext xmlns:c16="http://schemas.microsoft.com/office/drawing/2014/chart" uri="{C3380CC4-5D6E-409C-BE32-E72D297353CC}">
                <c16:uniqueId val="{0000011C-C5E1-416E-BB48-46A65BF54441}"/>
              </c:ext>
            </c:extLst>
          </c:dPt>
          <c:dPt>
            <c:idx val="192"/>
            <c:bubble3D val="0"/>
            <c:extLst>
              <c:ext xmlns:c16="http://schemas.microsoft.com/office/drawing/2014/chart" uri="{C3380CC4-5D6E-409C-BE32-E72D297353CC}">
                <c16:uniqueId val="{0000011D-C5E1-416E-BB48-46A65BF54441}"/>
              </c:ext>
            </c:extLst>
          </c:dPt>
          <c:dPt>
            <c:idx val="193"/>
            <c:bubble3D val="0"/>
            <c:extLst>
              <c:ext xmlns:c16="http://schemas.microsoft.com/office/drawing/2014/chart" uri="{C3380CC4-5D6E-409C-BE32-E72D297353CC}">
                <c16:uniqueId val="{0000011E-C5E1-416E-BB48-46A65BF54441}"/>
              </c:ext>
            </c:extLst>
          </c:dPt>
          <c:dPt>
            <c:idx val="194"/>
            <c:bubble3D val="0"/>
            <c:extLst>
              <c:ext xmlns:c16="http://schemas.microsoft.com/office/drawing/2014/chart" uri="{C3380CC4-5D6E-409C-BE32-E72D297353CC}">
                <c16:uniqueId val="{0000011F-C5E1-416E-BB48-46A65BF54441}"/>
              </c:ext>
            </c:extLst>
          </c:dPt>
          <c:dPt>
            <c:idx val="195"/>
            <c:bubble3D val="0"/>
            <c:extLst>
              <c:ext xmlns:c16="http://schemas.microsoft.com/office/drawing/2014/chart" uri="{C3380CC4-5D6E-409C-BE32-E72D297353CC}">
                <c16:uniqueId val="{00000120-C5E1-416E-BB48-46A65BF54441}"/>
              </c:ext>
            </c:extLst>
          </c:dPt>
          <c:dPt>
            <c:idx val="196"/>
            <c:bubble3D val="0"/>
            <c:extLst>
              <c:ext xmlns:c16="http://schemas.microsoft.com/office/drawing/2014/chart" uri="{C3380CC4-5D6E-409C-BE32-E72D297353CC}">
                <c16:uniqueId val="{00000121-C5E1-416E-BB48-46A65BF54441}"/>
              </c:ext>
            </c:extLst>
          </c:dPt>
          <c:dPt>
            <c:idx val="197"/>
            <c:bubble3D val="0"/>
            <c:extLst>
              <c:ext xmlns:c16="http://schemas.microsoft.com/office/drawing/2014/chart" uri="{C3380CC4-5D6E-409C-BE32-E72D297353CC}">
                <c16:uniqueId val="{00000122-C5E1-416E-BB48-46A65BF54441}"/>
              </c:ext>
            </c:extLst>
          </c:dPt>
          <c:dPt>
            <c:idx val="198"/>
            <c:bubble3D val="0"/>
            <c:extLst>
              <c:ext xmlns:c16="http://schemas.microsoft.com/office/drawing/2014/chart" uri="{C3380CC4-5D6E-409C-BE32-E72D297353CC}">
                <c16:uniqueId val="{00000123-C5E1-416E-BB48-46A65BF54441}"/>
              </c:ext>
            </c:extLst>
          </c:dPt>
          <c:dPt>
            <c:idx val="199"/>
            <c:bubble3D val="0"/>
            <c:extLst>
              <c:ext xmlns:c16="http://schemas.microsoft.com/office/drawing/2014/chart" uri="{C3380CC4-5D6E-409C-BE32-E72D297353CC}">
                <c16:uniqueId val="{00000124-C5E1-416E-BB48-46A65BF54441}"/>
              </c:ext>
            </c:extLst>
          </c:dPt>
          <c:dPt>
            <c:idx val="200"/>
            <c:bubble3D val="0"/>
            <c:extLst>
              <c:ext xmlns:c16="http://schemas.microsoft.com/office/drawing/2014/chart" uri="{C3380CC4-5D6E-409C-BE32-E72D297353CC}">
                <c16:uniqueId val="{00000125-C5E1-416E-BB48-46A65BF54441}"/>
              </c:ext>
            </c:extLst>
          </c:dPt>
          <c:dPt>
            <c:idx val="201"/>
            <c:bubble3D val="0"/>
            <c:extLst>
              <c:ext xmlns:c16="http://schemas.microsoft.com/office/drawing/2014/chart" uri="{C3380CC4-5D6E-409C-BE32-E72D297353CC}">
                <c16:uniqueId val="{00000126-C5E1-416E-BB48-46A65BF54441}"/>
              </c:ext>
            </c:extLst>
          </c:dPt>
          <c:dPt>
            <c:idx val="202"/>
            <c:bubble3D val="0"/>
            <c:extLst>
              <c:ext xmlns:c16="http://schemas.microsoft.com/office/drawing/2014/chart" uri="{C3380CC4-5D6E-409C-BE32-E72D297353CC}">
                <c16:uniqueId val="{00000127-C5E1-416E-BB48-46A65BF54441}"/>
              </c:ext>
            </c:extLst>
          </c:dPt>
          <c:dPt>
            <c:idx val="203"/>
            <c:bubble3D val="0"/>
            <c:extLst>
              <c:ext xmlns:c16="http://schemas.microsoft.com/office/drawing/2014/chart" uri="{C3380CC4-5D6E-409C-BE32-E72D297353CC}">
                <c16:uniqueId val="{00000128-C5E1-416E-BB48-46A65BF54441}"/>
              </c:ext>
            </c:extLst>
          </c:dPt>
          <c:dPt>
            <c:idx val="204"/>
            <c:bubble3D val="0"/>
            <c:extLst>
              <c:ext xmlns:c16="http://schemas.microsoft.com/office/drawing/2014/chart" uri="{C3380CC4-5D6E-409C-BE32-E72D297353CC}">
                <c16:uniqueId val="{00000129-C5E1-416E-BB48-46A65BF54441}"/>
              </c:ext>
            </c:extLst>
          </c:dPt>
          <c:dPt>
            <c:idx val="205"/>
            <c:bubble3D val="0"/>
            <c:extLst>
              <c:ext xmlns:c16="http://schemas.microsoft.com/office/drawing/2014/chart" uri="{C3380CC4-5D6E-409C-BE32-E72D297353CC}">
                <c16:uniqueId val="{0000012A-C5E1-416E-BB48-46A65BF54441}"/>
              </c:ext>
            </c:extLst>
          </c:dPt>
          <c:dPt>
            <c:idx val="206"/>
            <c:bubble3D val="0"/>
            <c:extLst>
              <c:ext xmlns:c16="http://schemas.microsoft.com/office/drawing/2014/chart" uri="{C3380CC4-5D6E-409C-BE32-E72D297353CC}">
                <c16:uniqueId val="{0000012B-C5E1-416E-BB48-46A65BF54441}"/>
              </c:ext>
            </c:extLst>
          </c:dPt>
          <c:dPt>
            <c:idx val="207"/>
            <c:bubble3D val="0"/>
            <c:extLst>
              <c:ext xmlns:c16="http://schemas.microsoft.com/office/drawing/2014/chart" uri="{C3380CC4-5D6E-409C-BE32-E72D297353CC}">
                <c16:uniqueId val="{0000012C-C5E1-416E-BB48-46A65BF54441}"/>
              </c:ext>
            </c:extLst>
          </c:dPt>
          <c:dPt>
            <c:idx val="208"/>
            <c:bubble3D val="0"/>
            <c:extLst>
              <c:ext xmlns:c16="http://schemas.microsoft.com/office/drawing/2014/chart" uri="{C3380CC4-5D6E-409C-BE32-E72D297353CC}">
                <c16:uniqueId val="{0000012D-C5E1-416E-BB48-46A65BF54441}"/>
              </c:ext>
            </c:extLst>
          </c:dPt>
          <c:dPt>
            <c:idx val="209"/>
            <c:bubble3D val="0"/>
            <c:extLst>
              <c:ext xmlns:c16="http://schemas.microsoft.com/office/drawing/2014/chart" uri="{C3380CC4-5D6E-409C-BE32-E72D297353CC}">
                <c16:uniqueId val="{0000012E-C5E1-416E-BB48-46A65BF54441}"/>
              </c:ext>
            </c:extLst>
          </c:dPt>
          <c:dPt>
            <c:idx val="210"/>
            <c:bubble3D val="0"/>
            <c:extLst>
              <c:ext xmlns:c16="http://schemas.microsoft.com/office/drawing/2014/chart" uri="{C3380CC4-5D6E-409C-BE32-E72D297353CC}">
                <c16:uniqueId val="{0000012F-C5E1-416E-BB48-46A65BF54441}"/>
              </c:ext>
            </c:extLst>
          </c:dPt>
          <c:dPt>
            <c:idx val="211"/>
            <c:bubble3D val="0"/>
            <c:extLst>
              <c:ext xmlns:c16="http://schemas.microsoft.com/office/drawing/2014/chart" uri="{C3380CC4-5D6E-409C-BE32-E72D297353CC}">
                <c16:uniqueId val="{00000130-C5E1-416E-BB48-46A65BF54441}"/>
              </c:ext>
            </c:extLst>
          </c:dPt>
          <c:dPt>
            <c:idx val="212"/>
            <c:bubble3D val="0"/>
            <c:extLst>
              <c:ext xmlns:c16="http://schemas.microsoft.com/office/drawing/2014/chart" uri="{C3380CC4-5D6E-409C-BE32-E72D297353CC}">
                <c16:uniqueId val="{00000131-C5E1-416E-BB48-46A65BF54441}"/>
              </c:ext>
            </c:extLst>
          </c:dPt>
          <c:dPt>
            <c:idx val="213"/>
            <c:bubble3D val="0"/>
            <c:extLst>
              <c:ext xmlns:c16="http://schemas.microsoft.com/office/drawing/2014/chart" uri="{C3380CC4-5D6E-409C-BE32-E72D297353CC}">
                <c16:uniqueId val="{00000132-C5E1-416E-BB48-46A65BF54441}"/>
              </c:ext>
            </c:extLst>
          </c:dPt>
          <c:dPt>
            <c:idx val="214"/>
            <c:bubble3D val="0"/>
            <c:extLst>
              <c:ext xmlns:c16="http://schemas.microsoft.com/office/drawing/2014/chart" uri="{C3380CC4-5D6E-409C-BE32-E72D297353CC}">
                <c16:uniqueId val="{00000133-C5E1-416E-BB48-46A65BF54441}"/>
              </c:ext>
            </c:extLst>
          </c:dPt>
          <c:dPt>
            <c:idx val="215"/>
            <c:bubble3D val="0"/>
            <c:extLst>
              <c:ext xmlns:c16="http://schemas.microsoft.com/office/drawing/2014/chart" uri="{C3380CC4-5D6E-409C-BE32-E72D297353CC}">
                <c16:uniqueId val="{00000134-C5E1-416E-BB48-46A65BF54441}"/>
              </c:ext>
            </c:extLst>
          </c:dPt>
          <c:dPt>
            <c:idx val="216"/>
            <c:bubble3D val="0"/>
            <c:extLst>
              <c:ext xmlns:c16="http://schemas.microsoft.com/office/drawing/2014/chart" uri="{C3380CC4-5D6E-409C-BE32-E72D297353CC}">
                <c16:uniqueId val="{00000135-C5E1-416E-BB48-46A65BF54441}"/>
              </c:ext>
            </c:extLst>
          </c:dPt>
          <c:dPt>
            <c:idx val="217"/>
            <c:bubble3D val="0"/>
            <c:extLst>
              <c:ext xmlns:c16="http://schemas.microsoft.com/office/drawing/2014/chart" uri="{C3380CC4-5D6E-409C-BE32-E72D297353CC}">
                <c16:uniqueId val="{00000136-C5E1-416E-BB48-46A65BF54441}"/>
              </c:ext>
            </c:extLst>
          </c:dPt>
          <c:dPt>
            <c:idx val="219"/>
            <c:bubble3D val="0"/>
            <c:extLst>
              <c:ext xmlns:c16="http://schemas.microsoft.com/office/drawing/2014/chart" uri="{C3380CC4-5D6E-409C-BE32-E72D297353CC}">
                <c16:uniqueId val="{00000137-C5E1-416E-BB48-46A65BF54441}"/>
              </c:ext>
            </c:extLst>
          </c:dPt>
          <c:dPt>
            <c:idx val="220"/>
            <c:bubble3D val="0"/>
            <c:extLst>
              <c:ext xmlns:c16="http://schemas.microsoft.com/office/drawing/2014/chart" uri="{C3380CC4-5D6E-409C-BE32-E72D297353CC}">
                <c16:uniqueId val="{00000138-C5E1-416E-BB48-46A65BF54441}"/>
              </c:ext>
            </c:extLst>
          </c:dPt>
          <c:dPt>
            <c:idx val="221"/>
            <c:bubble3D val="0"/>
            <c:extLst>
              <c:ext xmlns:c16="http://schemas.microsoft.com/office/drawing/2014/chart" uri="{C3380CC4-5D6E-409C-BE32-E72D297353CC}">
                <c16:uniqueId val="{00000139-C5E1-416E-BB48-46A65BF54441}"/>
              </c:ext>
            </c:extLst>
          </c:dPt>
          <c:dPt>
            <c:idx val="222"/>
            <c:bubble3D val="0"/>
            <c:extLst>
              <c:ext xmlns:c16="http://schemas.microsoft.com/office/drawing/2014/chart" uri="{C3380CC4-5D6E-409C-BE32-E72D297353CC}">
                <c16:uniqueId val="{0000013A-C5E1-416E-BB48-46A65BF54441}"/>
              </c:ext>
            </c:extLst>
          </c:dPt>
          <c:dPt>
            <c:idx val="223"/>
            <c:bubble3D val="0"/>
            <c:extLst>
              <c:ext xmlns:c16="http://schemas.microsoft.com/office/drawing/2014/chart" uri="{C3380CC4-5D6E-409C-BE32-E72D297353CC}">
                <c16:uniqueId val="{0000013B-C5E1-416E-BB48-46A65BF54441}"/>
              </c:ext>
            </c:extLst>
          </c:dPt>
          <c:dPt>
            <c:idx val="224"/>
            <c:bubble3D val="0"/>
            <c:extLst>
              <c:ext xmlns:c16="http://schemas.microsoft.com/office/drawing/2014/chart" uri="{C3380CC4-5D6E-409C-BE32-E72D297353CC}">
                <c16:uniqueId val="{0000013C-C5E1-416E-BB48-46A65BF54441}"/>
              </c:ext>
            </c:extLst>
          </c:dPt>
          <c:dPt>
            <c:idx val="226"/>
            <c:bubble3D val="0"/>
            <c:extLst>
              <c:ext xmlns:c16="http://schemas.microsoft.com/office/drawing/2014/chart" uri="{C3380CC4-5D6E-409C-BE32-E72D297353CC}">
                <c16:uniqueId val="{0000013D-C5E1-416E-BB48-46A65BF54441}"/>
              </c:ext>
            </c:extLst>
          </c:dPt>
          <c:dPt>
            <c:idx val="228"/>
            <c:bubble3D val="0"/>
            <c:extLst>
              <c:ext xmlns:c16="http://schemas.microsoft.com/office/drawing/2014/chart" uri="{C3380CC4-5D6E-409C-BE32-E72D297353CC}">
                <c16:uniqueId val="{0000013E-C5E1-416E-BB48-46A65BF54441}"/>
              </c:ext>
            </c:extLst>
          </c:dPt>
          <c:dPt>
            <c:idx val="230"/>
            <c:bubble3D val="0"/>
            <c:extLst>
              <c:ext xmlns:c16="http://schemas.microsoft.com/office/drawing/2014/chart" uri="{C3380CC4-5D6E-409C-BE32-E72D297353CC}">
                <c16:uniqueId val="{0000013F-C5E1-416E-BB48-46A65BF54441}"/>
              </c:ext>
            </c:extLst>
          </c:dPt>
          <c:dPt>
            <c:idx val="231"/>
            <c:bubble3D val="0"/>
            <c:extLst>
              <c:ext xmlns:c16="http://schemas.microsoft.com/office/drawing/2014/chart" uri="{C3380CC4-5D6E-409C-BE32-E72D297353CC}">
                <c16:uniqueId val="{00000140-C5E1-416E-BB48-46A65BF54441}"/>
              </c:ext>
            </c:extLst>
          </c:dPt>
          <c:dPt>
            <c:idx val="232"/>
            <c:bubble3D val="0"/>
            <c:extLst>
              <c:ext xmlns:c16="http://schemas.microsoft.com/office/drawing/2014/chart" uri="{C3380CC4-5D6E-409C-BE32-E72D297353CC}">
                <c16:uniqueId val="{00000141-C5E1-416E-BB48-46A65BF54441}"/>
              </c:ext>
            </c:extLst>
          </c:dPt>
          <c:dPt>
            <c:idx val="233"/>
            <c:bubble3D val="0"/>
            <c:extLst>
              <c:ext xmlns:c16="http://schemas.microsoft.com/office/drawing/2014/chart" uri="{C3380CC4-5D6E-409C-BE32-E72D297353CC}">
                <c16:uniqueId val="{00000142-C5E1-416E-BB48-46A65BF54441}"/>
              </c:ext>
            </c:extLst>
          </c:dPt>
          <c:dPt>
            <c:idx val="234"/>
            <c:bubble3D val="0"/>
            <c:extLst>
              <c:ext xmlns:c16="http://schemas.microsoft.com/office/drawing/2014/chart" uri="{C3380CC4-5D6E-409C-BE32-E72D297353CC}">
                <c16:uniqueId val="{00000143-C5E1-416E-BB48-46A65BF54441}"/>
              </c:ext>
            </c:extLst>
          </c:dPt>
          <c:dPt>
            <c:idx val="237"/>
            <c:bubble3D val="0"/>
            <c:extLst>
              <c:ext xmlns:c16="http://schemas.microsoft.com/office/drawing/2014/chart" uri="{C3380CC4-5D6E-409C-BE32-E72D297353CC}">
                <c16:uniqueId val="{00000144-C5E1-416E-BB48-46A65BF54441}"/>
              </c:ext>
            </c:extLst>
          </c:dPt>
          <c:dPt>
            <c:idx val="238"/>
            <c:bubble3D val="0"/>
            <c:extLst>
              <c:ext xmlns:c16="http://schemas.microsoft.com/office/drawing/2014/chart" uri="{C3380CC4-5D6E-409C-BE32-E72D297353CC}">
                <c16:uniqueId val="{00000145-C5E1-416E-BB48-46A65BF54441}"/>
              </c:ext>
            </c:extLst>
          </c:dPt>
          <c:dPt>
            <c:idx val="240"/>
            <c:bubble3D val="0"/>
            <c:extLst>
              <c:ext xmlns:c16="http://schemas.microsoft.com/office/drawing/2014/chart" uri="{C3380CC4-5D6E-409C-BE32-E72D297353CC}">
                <c16:uniqueId val="{00000146-C5E1-416E-BB48-46A65BF54441}"/>
              </c:ext>
            </c:extLst>
          </c:dPt>
          <c:dPt>
            <c:idx val="243"/>
            <c:bubble3D val="0"/>
            <c:extLst>
              <c:ext xmlns:c16="http://schemas.microsoft.com/office/drawing/2014/chart" uri="{C3380CC4-5D6E-409C-BE32-E72D297353CC}">
                <c16:uniqueId val="{00000147-C5E1-416E-BB48-46A65BF54441}"/>
              </c:ext>
            </c:extLst>
          </c:dPt>
          <c:dPt>
            <c:idx val="244"/>
            <c:bubble3D val="0"/>
            <c:extLst>
              <c:ext xmlns:c16="http://schemas.microsoft.com/office/drawing/2014/chart" uri="{C3380CC4-5D6E-409C-BE32-E72D297353CC}">
                <c16:uniqueId val="{00000148-C5E1-416E-BB48-46A65BF54441}"/>
              </c:ext>
            </c:extLst>
          </c:dPt>
          <c:dPt>
            <c:idx val="248"/>
            <c:bubble3D val="0"/>
            <c:extLst>
              <c:ext xmlns:c16="http://schemas.microsoft.com/office/drawing/2014/chart" uri="{C3380CC4-5D6E-409C-BE32-E72D297353CC}">
                <c16:uniqueId val="{00000149-C5E1-416E-BB48-46A65BF54441}"/>
              </c:ext>
            </c:extLst>
          </c:dPt>
          <c:dPt>
            <c:idx val="249"/>
            <c:bubble3D val="0"/>
            <c:extLst>
              <c:ext xmlns:c16="http://schemas.microsoft.com/office/drawing/2014/chart" uri="{C3380CC4-5D6E-409C-BE32-E72D297353CC}">
                <c16:uniqueId val="{0000014A-C5E1-416E-BB48-46A65BF54441}"/>
              </c:ext>
            </c:extLst>
          </c:dPt>
          <c:dPt>
            <c:idx val="251"/>
            <c:bubble3D val="0"/>
            <c:extLst>
              <c:ext xmlns:c16="http://schemas.microsoft.com/office/drawing/2014/chart" uri="{C3380CC4-5D6E-409C-BE32-E72D297353CC}">
                <c16:uniqueId val="{0000014B-C5E1-416E-BB48-46A65BF54441}"/>
              </c:ext>
            </c:extLst>
          </c:dPt>
          <c:dPt>
            <c:idx val="253"/>
            <c:bubble3D val="0"/>
            <c:extLst>
              <c:ext xmlns:c16="http://schemas.microsoft.com/office/drawing/2014/chart" uri="{C3380CC4-5D6E-409C-BE32-E72D297353CC}">
                <c16:uniqueId val="{0000014C-C5E1-416E-BB48-46A65BF54441}"/>
              </c:ext>
            </c:extLst>
          </c:dPt>
          <c:dPt>
            <c:idx val="254"/>
            <c:bubble3D val="0"/>
            <c:extLst>
              <c:ext xmlns:c16="http://schemas.microsoft.com/office/drawing/2014/chart" uri="{C3380CC4-5D6E-409C-BE32-E72D297353CC}">
                <c16:uniqueId val="{0000014D-C5E1-416E-BB48-46A65BF54441}"/>
              </c:ext>
            </c:extLst>
          </c:dPt>
          <c:dPt>
            <c:idx val="258"/>
            <c:bubble3D val="0"/>
            <c:extLst>
              <c:ext xmlns:c16="http://schemas.microsoft.com/office/drawing/2014/chart" uri="{C3380CC4-5D6E-409C-BE32-E72D297353CC}">
                <c16:uniqueId val="{0000014E-C5E1-416E-BB48-46A65BF54441}"/>
              </c:ext>
            </c:extLst>
          </c:dPt>
          <c:dPt>
            <c:idx val="259"/>
            <c:bubble3D val="0"/>
            <c:extLst>
              <c:ext xmlns:c16="http://schemas.microsoft.com/office/drawing/2014/chart" uri="{C3380CC4-5D6E-409C-BE32-E72D297353CC}">
                <c16:uniqueId val="{0000014F-C5E1-416E-BB48-46A65BF54441}"/>
              </c:ext>
            </c:extLst>
          </c:dPt>
          <c:dPt>
            <c:idx val="260"/>
            <c:bubble3D val="0"/>
            <c:extLst>
              <c:ext xmlns:c16="http://schemas.microsoft.com/office/drawing/2014/chart" uri="{C3380CC4-5D6E-409C-BE32-E72D297353CC}">
                <c16:uniqueId val="{00000150-C5E1-416E-BB48-46A65BF54441}"/>
              </c:ext>
            </c:extLst>
          </c:dPt>
          <c:dPt>
            <c:idx val="261"/>
            <c:bubble3D val="0"/>
            <c:extLst>
              <c:ext xmlns:c16="http://schemas.microsoft.com/office/drawing/2014/chart" uri="{C3380CC4-5D6E-409C-BE32-E72D297353CC}">
                <c16:uniqueId val="{00000151-C5E1-416E-BB48-46A65BF54441}"/>
              </c:ext>
            </c:extLst>
          </c:dPt>
          <c:cat>
            <c:numRef>
              <c:f>'Bond Prices'!$L$5:$L$266</c:f>
              <c:numCache>
                <c:formatCode>m/d/yyyy</c:formatCode>
                <c:ptCount val="262"/>
                <c:pt idx="0">
                  <c:v>44279</c:v>
                </c:pt>
                <c:pt idx="1">
                  <c:v>44280</c:v>
                </c:pt>
                <c:pt idx="2">
                  <c:v>44281</c:v>
                </c:pt>
                <c:pt idx="3">
                  <c:v>44284</c:v>
                </c:pt>
                <c:pt idx="4">
                  <c:v>44285</c:v>
                </c:pt>
                <c:pt idx="5">
                  <c:v>44286</c:v>
                </c:pt>
                <c:pt idx="6">
                  <c:v>44287</c:v>
                </c:pt>
                <c:pt idx="7">
                  <c:v>44288</c:v>
                </c:pt>
                <c:pt idx="8">
                  <c:v>44291</c:v>
                </c:pt>
                <c:pt idx="9">
                  <c:v>44292</c:v>
                </c:pt>
                <c:pt idx="10">
                  <c:v>44293</c:v>
                </c:pt>
                <c:pt idx="11">
                  <c:v>44294</c:v>
                </c:pt>
                <c:pt idx="12">
                  <c:v>44295</c:v>
                </c:pt>
                <c:pt idx="13">
                  <c:v>44298</c:v>
                </c:pt>
                <c:pt idx="14">
                  <c:v>44299</c:v>
                </c:pt>
                <c:pt idx="15">
                  <c:v>44300</c:v>
                </c:pt>
                <c:pt idx="16">
                  <c:v>44301</c:v>
                </c:pt>
                <c:pt idx="17">
                  <c:v>44302</c:v>
                </c:pt>
                <c:pt idx="18">
                  <c:v>44305</c:v>
                </c:pt>
                <c:pt idx="19">
                  <c:v>44306</c:v>
                </c:pt>
                <c:pt idx="20">
                  <c:v>44307</c:v>
                </c:pt>
                <c:pt idx="21">
                  <c:v>44308</c:v>
                </c:pt>
                <c:pt idx="22">
                  <c:v>44309</c:v>
                </c:pt>
                <c:pt idx="23">
                  <c:v>44312</c:v>
                </c:pt>
                <c:pt idx="24">
                  <c:v>44313</c:v>
                </c:pt>
                <c:pt idx="25">
                  <c:v>44314</c:v>
                </c:pt>
                <c:pt idx="26">
                  <c:v>44315</c:v>
                </c:pt>
                <c:pt idx="27">
                  <c:v>44316</c:v>
                </c:pt>
                <c:pt idx="28">
                  <c:v>44319</c:v>
                </c:pt>
                <c:pt idx="29">
                  <c:v>44320</c:v>
                </c:pt>
                <c:pt idx="30">
                  <c:v>44321</c:v>
                </c:pt>
                <c:pt idx="31">
                  <c:v>44322</c:v>
                </c:pt>
                <c:pt idx="32">
                  <c:v>44323</c:v>
                </c:pt>
                <c:pt idx="33">
                  <c:v>44326</c:v>
                </c:pt>
                <c:pt idx="34">
                  <c:v>44327</c:v>
                </c:pt>
                <c:pt idx="35">
                  <c:v>44328</c:v>
                </c:pt>
                <c:pt idx="36">
                  <c:v>44329</c:v>
                </c:pt>
                <c:pt idx="37">
                  <c:v>44330</c:v>
                </c:pt>
                <c:pt idx="38">
                  <c:v>44333</c:v>
                </c:pt>
                <c:pt idx="39">
                  <c:v>44334</c:v>
                </c:pt>
                <c:pt idx="40">
                  <c:v>44335</c:v>
                </c:pt>
                <c:pt idx="41">
                  <c:v>44336</c:v>
                </c:pt>
                <c:pt idx="42">
                  <c:v>44337</c:v>
                </c:pt>
                <c:pt idx="43">
                  <c:v>44340</c:v>
                </c:pt>
                <c:pt idx="44">
                  <c:v>44341</c:v>
                </c:pt>
                <c:pt idx="45">
                  <c:v>44342</c:v>
                </c:pt>
                <c:pt idx="46">
                  <c:v>44343</c:v>
                </c:pt>
                <c:pt idx="47">
                  <c:v>44344</c:v>
                </c:pt>
                <c:pt idx="48">
                  <c:v>44347</c:v>
                </c:pt>
                <c:pt idx="49">
                  <c:v>44348</c:v>
                </c:pt>
                <c:pt idx="50">
                  <c:v>44349</c:v>
                </c:pt>
                <c:pt idx="51">
                  <c:v>44350</c:v>
                </c:pt>
                <c:pt idx="52">
                  <c:v>44351</c:v>
                </c:pt>
                <c:pt idx="53">
                  <c:v>44354</c:v>
                </c:pt>
                <c:pt idx="54">
                  <c:v>44355</c:v>
                </c:pt>
                <c:pt idx="55">
                  <c:v>44356</c:v>
                </c:pt>
                <c:pt idx="56">
                  <c:v>44357</c:v>
                </c:pt>
                <c:pt idx="57">
                  <c:v>44358</c:v>
                </c:pt>
                <c:pt idx="58">
                  <c:v>44361</c:v>
                </c:pt>
                <c:pt idx="59">
                  <c:v>44362</c:v>
                </c:pt>
                <c:pt idx="60">
                  <c:v>44363</c:v>
                </c:pt>
                <c:pt idx="61">
                  <c:v>44364</c:v>
                </c:pt>
                <c:pt idx="62">
                  <c:v>44365</c:v>
                </c:pt>
                <c:pt idx="63">
                  <c:v>44368</c:v>
                </c:pt>
                <c:pt idx="64">
                  <c:v>44369</c:v>
                </c:pt>
                <c:pt idx="65">
                  <c:v>44370</c:v>
                </c:pt>
                <c:pt idx="66">
                  <c:v>44371</c:v>
                </c:pt>
                <c:pt idx="67">
                  <c:v>44372</c:v>
                </c:pt>
                <c:pt idx="68">
                  <c:v>44375</c:v>
                </c:pt>
                <c:pt idx="69">
                  <c:v>44376</c:v>
                </c:pt>
                <c:pt idx="70">
                  <c:v>44377</c:v>
                </c:pt>
                <c:pt idx="71">
                  <c:v>44378</c:v>
                </c:pt>
                <c:pt idx="72">
                  <c:v>44379</c:v>
                </c:pt>
                <c:pt idx="73">
                  <c:v>44382</c:v>
                </c:pt>
                <c:pt idx="74">
                  <c:v>44383</c:v>
                </c:pt>
                <c:pt idx="75">
                  <c:v>44384</c:v>
                </c:pt>
                <c:pt idx="76">
                  <c:v>44385</c:v>
                </c:pt>
                <c:pt idx="77">
                  <c:v>44386</c:v>
                </c:pt>
                <c:pt idx="78">
                  <c:v>44389</c:v>
                </c:pt>
                <c:pt idx="79">
                  <c:v>44390</c:v>
                </c:pt>
                <c:pt idx="80">
                  <c:v>44391</c:v>
                </c:pt>
                <c:pt idx="81">
                  <c:v>44392</c:v>
                </c:pt>
                <c:pt idx="82">
                  <c:v>44393</c:v>
                </c:pt>
                <c:pt idx="83">
                  <c:v>44396</c:v>
                </c:pt>
                <c:pt idx="84">
                  <c:v>44397</c:v>
                </c:pt>
                <c:pt idx="85">
                  <c:v>44398</c:v>
                </c:pt>
                <c:pt idx="86">
                  <c:v>44399</c:v>
                </c:pt>
                <c:pt idx="87">
                  <c:v>44400</c:v>
                </c:pt>
                <c:pt idx="88">
                  <c:v>44403</c:v>
                </c:pt>
                <c:pt idx="89">
                  <c:v>44404</c:v>
                </c:pt>
                <c:pt idx="90">
                  <c:v>44405</c:v>
                </c:pt>
                <c:pt idx="91">
                  <c:v>44406</c:v>
                </c:pt>
                <c:pt idx="92">
                  <c:v>44407</c:v>
                </c:pt>
                <c:pt idx="93">
                  <c:v>44410</c:v>
                </c:pt>
                <c:pt idx="94">
                  <c:v>44411</c:v>
                </c:pt>
                <c:pt idx="95">
                  <c:v>44412</c:v>
                </c:pt>
                <c:pt idx="96">
                  <c:v>44413</c:v>
                </c:pt>
                <c:pt idx="97">
                  <c:v>44414</c:v>
                </c:pt>
                <c:pt idx="98">
                  <c:v>44417</c:v>
                </c:pt>
                <c:pt idx="99">
                  <c:v>44418</c:v>
                </c:pt>
                <c:pt idx="100">
                  <c:v>44419</c:v>
                </c:pt>
                <c:pt idx="101">
                  <c:v>44420</c:v>
                </c:pt>
                <c:pt idx="102">
                  <c:v>44421</c:v>
                </c:pt>
                <c:pt idx="103">
                  <c:v>44424</c:v>
                </c:pt>
                <c:pt idx="104">
                  <c:v>44425</c:v>
                </c:pt>
                <c:pt idx="105">
                  <c:v>44426</c:v>
                </c:pt>
                <c:pt idx="106">
                  <c:v>44427</c:v>
                </c:pt>
                <c:pt idx="107">
                  <c:v>44428</c:v>
                </c:pt>
                <c:pt idx="108">
                  <c:v>44431</c:v>
                </c:pt>
                <c:pt idx="109">
                  <c:v>44432</c:v>
                </c:pt>
                <c:pt idx="110">
                  <c:v>44433</c:v>
                </c:pt>
                <c:pt idx="111">
                  <c:v>44434</c:v>
                </c:pt>
                <c:pt idx="112">
                  <c:v>44435</c:v>
                </c:pt>
                <c:pt idx="113">
                  <c:v>44438</c:v>
                </c:pt>
                <c:pt idx="114">
                  <c:v>44439</c:v>
                </c:pt>
                <c:pt idx="115">
                  <c:v>44440</c:v>
                </c:pt>
                <c:pt idx="116">
                  <c:v>44441</c:v>
                </c:pt>
                <c:pt idx="117">
                  <c:v>44442</c:v>
                </c:pt>
                <c:pt idx="118">
                  <c:v>44445</c:v>
                </c:pt>
                <c:pt idx="119">
                  <c:v>44446</c:v>
                </c:pt>
                <c:pt idx="120">
                  <c:v>44447</c:v>
                </c:pt>
                <c:pt idx="121">
                  <c:v>44448</c:v>
                </c:pt>
                <c:pt idx="122">
                  <c:v>44449</c:v>
                </c:pt>
                <c:pt idx="123">
                  <c:v>44452</c:v>
                </c:pt>
                <c:pt idx="124">
                  <c:v>44453</c:v>
                </c:pt>
                <c:pt idx="125">
                  <c:v>44454</c:v>
                </c:pt>
                <c:pt idx="126">
                  <c:v>44455</c:v>
                </c:pt>
                <c:pt idx="127">
                  <c:v>44456</c:v>
                </c:pt>
                <c:pt idx="128">
                  <c:v>44459</c:v>
                </c:pt>
                <c:pt idx="129">
                  <c:v>44460</c:v>
                </c:pt>
                <c:pt idx="130">
                  <c:v>44461</c:v>
                </c:pt>
                <c:pt idx="131">
                  <c:v>44462</c:v>
                </c:pt>
                <c:pt idx="132">
                  <c:v>44463</c:v>
                </c:pt>
                <c:pt idx="133">
                  <c:v>44466</c:v>
                </c:pt>
                <c:pt idx="134">
                  <c:v>44467</c:v>
                </c:pt>
                <c:pt idx="135">
                  <c:v>44468</c:v>
                </c:pt>
                <c:pt idx="136">
                  <c:v>44469</c:v>
                </c:pt>
                <c:pt idx="137">
                  <c:v>44470</c:v>
                </c:pt>
                <c:pt idx="138">
                  <c:v>44473</c:v>
                </c:pt>
                <c:pt idx="139">
                  <c:v>44474</c:v>
                </c:pt>
                <c:pt idx="140">
                  <c:v>44475</c:v>
                </c:pt>
                <c:pt idx="141">
                  <c:v>44476</c:v>
                </c:pt>
                <c:pt idx="142">
                  <c:v>44477</c:v>
                </c:pt>
                <c:pt idx="143">
                  <c:v>44480</c:v>
                </c:pt>
                <c:pt idx="144">
                  <c:v>44481</c:v>
                </c:pt>
                <c:pt idx="145">
                  <c:v>44482</c:v>
                </c:pt>
                <c:pt idx="146">
                  <c:v>44483</c:v>
                </c:pt>
                <c:pt idx="147">
                  <c:v>44484</c:v>
                </c:pt>
                <c:pt idx="148">
                  <c:v>44487</c:v>
                </c:pt>
                <c:pt idx="149">
                  <c:v>44488</c:v>
                </c:pt>
                <c:pt idx="150">
                  <c:v>44489</c:v>
                </c:pt>
                <c:pt idx="151">
                  <c:v>44490</c:v>
                </c:pt>
                <c:pt idx="152">
                  <c:v>44491</c:v>
                </c:pt>
                <c:pt idx="153">
                  <c:v>44494</c:v>
                </c:pt>
                <c:pt idx="154">
                  <c:v>44495</c:v>
                </c:pt>
                <c:pt idx="155">
                  <c:v>44496</c:v>
                </c:pt>
                <c:pt idx="156">
                  <c:v>44497</c:v>
                </c:pt>
                <c:pt idx="157">
                  <c:v>44498</c:v>
                </c:pt>
                <c:pt idx="158">
                  <c:v>44501</c:v>
                </c:pt>
                <c:pt idx="159">
                  <c:v>44502</c:v>
                </c:pt>
                <c:pt idx="160">
                  <c:v>44503</c:v>
                </c:pt>
                <c:pt idx="161">
                  <c:v>44504</c:v>
                </c:pt>
                <c:pt idx="162">
                  <c:v>44505</c:v>
                </c:pt>
                <c:pt idx="163">
                  <c:v>44508</c:v>
                </c:pt>
                <c:pt idx="164">
                  <c:v>44509</c:v>
                </c:pt>
                <c:pt idx="165">
                  <c:v>44510</c:v>
                </c:pt>
                <c:pt idx="166">
                  <c:v>44511</c:v>
                </c:pt>
                <c:pt idx="167">
                  <c:v>44512</c:v>
                </c:pt>
                <c:pt idx="168">
                  <c:v>44515</c:v>
                </c:pt>
                <c:pt idx="169">
                  <c:v>44516</c:v>
                </c:pt>
                <c:pt idx="170">
                  <c:v>44517</c:v>
                </c:pt>
                <c:pt idx="171">
                  <c:v>44518</c:v>
                </c:pt>
                <c:pt idx="172">
                  <c:v>44519</c:v>
                </c:pt>
                <c:pt idx="173">
                  <c:v>44522</c:v>
                </c:pt>
                <c:pt idx="174">
                  <c:v>44523</c:v>
                </c:pt>
                <c:pt idx="175">
                  <c:v>44524</c:v>
                </c:pt>
                <c:pt idx="176">
                  <c:v>44525</c:v>
                </c:pt>
                <c:pt idx="177">
                  <c:v>44526</c:v>
                </c:pt>
                <c:pt idx="178">
                  <c:v>44529</c:v>
                </c:pt>
                <c:pt idx="179">
                  <c:v>44530</c:v>
                </c:pt>
                <c:pt idx="180">
                  <c:v>44531</c:v>
                </c:pt>
                <c:pt idx="181">
                  <c:v>44532</c:v>
                </c:pt>
                <c:pt idx="182">
                  <c:v>44533</c:v>
                </c:pt>
                <c:pt idx="183">
                  <c:v>44536</c:v>
                </c:pt>
                <c:pt idx="184">
                  <c:v>44537</c:v>
                </c:pt>
                <c:pt idx="185">
                  <c:v>44538</c:v>
                </c:pt>
                <c:pt idx="186">
                  <c:v>44539</c:v>
                </c:pt>
                <c:pt idx="187">
                  <c:v>44540</c:v>
                </c:pt>
                <c:pt idx="188">
                  <c:v>44543</c:v>
                </c:pt>
                <c:pt idx="189">
                  <c:v>44544</c:v>
                </c:pt>
                <c:pt idx="190">
                  <c:v>44545</c:v>
                </c:pt>
                <c:pt idx="191">
                  <c:v>44546</c:v>
                </c:pt>
                <c:pt idx="192">
                  <c:v>44547</c:v>
                </c:pt>
                <c:pt idx="193">
                  <c:v>44550</c:v>
                </c:pt>
                <c:pt idx="194">
                  <c:v>44551</c:v>
                </c:pt>
                <c:pt idx="195">
                  <c:v>44552</c:v>
                </c:pt>
                <c:pt idx="196">
                  <c:v>44553</c:v>
                </c:pt>
                <c:pt idx="197">
                  <c:v>44554</c:v>
                </c:pt>
                <c:pt idx="198">
                  <c:v>44557</c:v>
                </c:pt>
                <c:pt idx="199">
                  <c:v>44558</c:v>
                </c:pt>
                <c:pt idx="200">
                  <c:v>44559</c:v>
                </c:pt>
                <c:pt idx="201">
                  <c:v>44560</c:v>
                </c:pt>
                <c:pt idx="202">
                  <c:v>44561</c:v>
                </c:pt>
                <c:pt idx="203">
                  <c:v>44564</c:v>
                </c:pt>
                <c:pt idx="204">
                  <c:v>44565</c:v>
                </c:pt>
                <c:pt idx="205">
                  <c:v>44566</c:v>
                </c:pt>
                <c:pt idx="206">
                  <c:v>44567</c:v>
                </c:pt>
                <c:pt idx="207">
                  <c:v>44568</c:v>
                </c:pt>
                <c:pt idx="208">
                  <c:v>44571</c:v>
                </c:pt>
                <c:pt idx="209">
                  <c:v>44572</c:v>
                </c:pt>
                <c:pt idx="210">
                  <c:v>44573</c:v>
                </c:pt>
                <c:pt idx="211">
                  <c:v>44574</c:v>
                </c:pt>
                <c:pt idx="212">
                  <c:v>44575</c:v>
                </c:pt>
                <c:pt idx="213">
                  <c:v>44578</c:v>
                </c:pt>
                <c:pt idx="214">
                  <c:v>44579</c:v>
                </c:pt>
                <c:pt idx="215">
                  <c:v>44580</c:v>
                </c:pt>
                <c:pt idx="216">
                  <c:v>44581</c:v>
                </c:pt>
                <c:pt idx="217">
                  <c:v>44582</c:v>
                </c:pt>
                <c:pt idx="218">
                  <c:v>44585</c:v>
                </c:pt>
                <c:pt idx="219">
                  <c:v>44586</c:v>
                </c:pt>
                <c:pt idx="220">
                  <c:v>44587</c:v>
                </c:pt>
                <c:pt idx="221">
                  <c:v>44588</c:v>
                </c:pt>
                <c:pt idx="222">
                  <c:v>44589</c:v>
                </c:pt>
                <c:pt idx="223">
                  <c:v>44592</c:v>
                </c:pt>
                <c:pt idx="224">
                  <c:v>44593</c:v>
                </c:pt>
                <c:pt idx="225">
                  <c:v>44594</c:v>
                </c:pt>
                <c:pt idx="226">
                  <c:v>44595</c:v>
                </c:pt>
                <c:pt idx="227">
                  <c:v>44596</c:v>
                </c:pt>
                <c:pt idx="228">
                  <c:v>44599</c:v>
                </c:pt>
                <c:pt idx="229">
                  <c:v>44600</c:v>
                </c:pt>
                <c:pt idx="230">
                  <c:v>44601</c:v>
                </c:pt>
                <c:pt idx="231">
                  <c:v>44602</c:v>
                </c:pt>
                <c:pt idx="232">
                  <c:v>44603</c:v>
                </c:pt>
                <c:pt idx="233">
                  <c:v>44606</c:v>
                </c:pt>
                <c:pt idx="234">
                  <c:v>44607</c:v>
                </c:pt>
                <c:pt idx="235">
                  <c:v>44608</c:v>
                </c:pt>
                <c:pt idx="236">
                  <c:v>44609</c:v>
                </c:pt>
                <c:pt idx="237">
                  <c:v>44610</c:v>
                </c:pt>
                <c:pt idx="238">
                  <c:v>44613</c:v>
                </c:pt>
                <c:pt idx="239">
                  <c:v>44614</c:v>
                </c:pt>
                <c:pt idx="240">
                  <c:v>44615</c:v>
                </c:pt>
                <c:pt idx="241">
                  <c:v>44616</c:v>
                </c:pt>
                <c:pt idx="242">
                  <c:v>44617</c:v>
                </c:pt>
                <c:pt idx="243">
                  <c:v>44620</c:v>
                </c:pt>
                <c:pt idx="244">
                  <c:v>44621</c:v>
                </c:pt>
                <c:pt idx="245">
                  <c:v>44622</c:v>
                </c:pt>
                <c:pt idx="246">
                  <c:v>44623</c:v>
                </c:pt>
                <c:pt idx="247">
                  <c:v>44624</c:v>
                </c:pt>
                <c:pt idx="248">
                  <c:v>44627</c:v>
                </c:pt>
                <c:pt idx="249">
                  <c:v>44628</c:v>
                </c:pt>
                <c:pt idx="250">
                  <c:v>44629</c:v>
                </c:pt>
                <c:pt idx="251">
                  <c:v>44630</c:v>
                </c:pt>
                <c:pt idx="252">
                  <c:v>44631</c:v>
                </c:pt>
                <c:pt idx="253">
                  <c:v>44634</c:v>
                </c:pt>
                <c:pt idx="254">
                  <c:v>44635</c:v>
                </c:pt>
                <c:pt idx="255">
                  <c:v>44636</c:v>
                </c:pt>
                <c:pt idx="256">
                  <c:v>44637</c:v>
                </c:pt>
                <c:pt idx="257">
                  <c:v>44638</c:v>
                </c:pt>
                <c:pt idx="258">
                  <c:v>44641</c:v>
                </c:pt>
                <c:pt idx="259">
                  <c:v>44642</c:v>
                </c:pt>
                <c:pt idx="260">
                  <c:v>44643</c:v>
                </c:pt>
                <c:pt idx="261">
                  <c:v>44644</c:v>
                </c:pt>
              </c:numCache>
            </c:numRef>
          </c:cat>
          <c:val>
            <c:numRef>
              <c:f>'Bond Prices'!$O$5:$O$266</c:f>
              <c:numCache>
                <c:formatCode>0.0</c:formatCode>
                <c:ptCount val="262"/>
                <c:pt idx="0">
                  <c:v>103.411</c:v>
                </c:pt>
                <c:pt idx="1">
                  <c:v>103.40707999999999</c:v>
                </c:pt>
                <c:pt idx="2">
                  <c:v>103.40900000000001</c:v>
                </c:pt>
                <c:pt idx="3">
                  <c:v>103.39722999999999</c:v>
                </c:pt>
                <c:pt idx="4">
                  <c:v>103.54052</c:v>
                </c:pt>
                <c:pt idx="5">
                  <c:v>103.50012</c:v>
                </c:pt>
                <c:pt idx="6">
                  <c:v>103.47469</c:v>
                </c:pt>
                <c:pt idx="7">
                  <c:v>103.47469</c:v>
                </c:pt>
                <c:pt idx="8">
                  <c:v>103.44596</c:v>
                </c:pt>
                <c:pt idx="9">
                  <c:v>103.46254</c:v>
                </c:pt>
                <c:pt idx="10">
                  <c:v>103.44689</c:v>
                </c:pt>
                <c:pt idx="11">
                  <c:v>103.44177999999999</c:v>
                </c:pt>
                <c:pt idx="12">
                  <c:v>103.4195</c:v>
                </c:pt>
                <c:pt idx="13">
                  <c:v>103.40631</c:v>
                </c:pt>
                <c:pt idx="14">
                  <c:v>103.41316</c:v>
                </c:pt>
                <c:pt idx="15">
                  <c:v>103.4071</c:v>
                </c:pt>
                <c:pt idx="16">
                  <c:v>103.39109999999999</c:v>
                </c:pt>
                <c:pt idx="17">
                  <c:v>103.36883</c:v>
                </c:pt>
                <c:pt idx="18">
                  <c:v>103.37494</c:v>
                </c:pt>
                <c:pt idx="19">
                  <c:v>103.38818000000001</c:v>
                </c:pt>
                <c:pt idx="20">
                  <c:v>103.34305999999999</c:v>
                </c:pt>
                <c:pt idx="21">
                  <c:v>103.13914</c:v>
                </c:pt>
                <c:pt idx="22">
                  <c:v>103.12376</c:v>
                </c:pt>
                <c:pt idx="23">
                  <c:v>103.09571</c:v>
                </c:pt>
                <c:pt idx="24">
                  <c:v>103.09327</c:v>
                </c:pt>
                <c:pt idx="25">
                  <c:v>103.09721</c:v>
                </c:pt>
                <c:pt idx="26">
                  <c:v>103.19816</c:v>
                </c:pt>
                <c:pt idx="27">
                  <c:v>103.19853000000001</c:v>
                </c:pt>
                <c:pt idx="28">
                  <c:v>103.20453000000001</c:v>
                </c:pt>
                <c:pt idx="29">
                  <c:v>103.19558000000001</c:v>
                </c:pt>
                <c:pt idx="30">
                  <c:v>103.25700000000001</c:v>
                </c:pt>
                <c:pt idx="31">
                  <c:v>103.291</c:v>
                </c:pt>
                <c:pt idx="32">
                  <c:v>103.30312000000001</c:v>
                </c:pt>
                <c:pt idx="33">
                  <c:v>103.28479</c:v>
                </c:pt>
                <c:pt idx="34">
                  <c:v>103.229</c:v>
                </c:pt>
                <c:pt idx="35">
                  <c:v>103.1891</c:v>
                </c:pt>
                <c:pt idx="36">
                  <c:v>103.15651</c:v>
                </c:pt>
                <c:pt idx="37">
                  <c:v>103.16262999999999</c:v>
                </c:pt>
                <c:pt idx="38">
                  <c:v>103.26016</c:v>
                </c:pt>
                <c:pt idx="39">
                  <c:v>103.25403</c:v>
                </c:pt>
                <c:pt idx="40">
                  <c:v>103.23876</c:v>
                </c:pt>
                <c:pt idx="41">
                  <c:v>103.23502999999999</c:v>
                </c:pt>
                <c:pt idx="42">
                  <c:v>103.07550999999999</c:v>
                </c:pt>
                <c:pt idx="43">
                  <c:v>103.15813</c:v>
                </c:pt>
                <c:pt idx="44">
                  <c:v>103.15818</c:v>
                </c:pt>
                <c:pt idx="45">
                  <c:v>103.16428999999999</c:v>
                </c:pt>
                <c:pt idx="46">
                  <c:v>103.10603</c:v>
                </c:pt>
                <c:pt idx="47">
                  <c:v>103.07147999999999</c:v>
                </c:pt>
                <c:pt idx="48">
                  <c:v>103.003</c:v>
                </c:pt>
                <c:pt idx="49">
                  <c:v>103.07949000000001</c:v>
                </c:pt>
                <c:pt idx="50">
                  <c:v>103.07646</c:v>
                </c:pt>
                <c:pt idx="51">
                  <c:v>103.16229</c:v>
                </c:pt>
                <c:pt idx="52">
                  <c:v>103.17336</c:v>
                </c:pt>
                <c:pt idx="53">
                  <c:v>103.14982999999999</c:v>
                </c:pt>
                <c:pt idx="54">
                  <c:v>102.99885999999999</c:v>
                </c:pt>
                <c:pt idx="55">
                  <c:v>102.99299000000001</c:v>
                </c:pt>
                <c:pt idx="56">
                  <c:v>103.01725</c:v>
                </c:pt>
                <c:pt idx="57">
                  <c:v>102.99225</c:v>
                </c:pt>
                <c:pt idx="58">
                  <c:v>102.98307</c:v>
                </c:pt>
                <c:pt idx="59">
                  <c:v>102.97812</c:v>
                </c:pt>
                <c:pt idx="60">
                  <c:v>102.91472</c:v>
                </c:pt>
                <c:pt idx="61">
                  <c:v>102.91118</c:v>
                </c:pt>
                <c:pt idx="62">
                  <c:v>102.90022</c:v>
                </c:pt>
                <c:pt idx="63">
                  <c:v>102.90501</c:v>
                </c:pt>
                <c:pt idx="64">
                  <c:v>102.88885999999999</c:v>
                </c:pt>
                <c:pt idx="65">
                  <c:v>102.89373999999999</c:v>
                </c:pt>
                <c:pt idx="66">
                  <c:v>102.86761</c:v>
                </c:pt>
                <c:pt idx="67">
                  <c:v>102.84393</c:v>
                </c:pt>
                <c:pt idx="68">
                  <c:v>102.99353000000001</c:v>
                </c:pt>
                <c:pt idx="69">
                  <c:v>102.99297</c:v>
                </c:pt>
                <c:pt idx="70">
                  <c:v>102.90835</c:v>
                </c:pt>
                <c:pt idx="71">
                  <c:v>102.85953000000001</c:v>
                </c:pt>
                <c:pt idx="72">
                  <c:v>102.8847</c:v>
                </c:pt>
                <c:pt idx="73">
                  <c:v>102.803</c:v>
                </c:pt>
                <c:pt idx="74">
                  <c:v>102.74455</c:v>
                </c:pt>
                <c:pt idx="75">
                  <c:v>102.80271999999999</c:v>
                </c:pt>
                <c:pt idx="76">
                  <c:v>102.82046</c:v>
                </c:pt>
                <c:pt idx="77">
                  <c:v>102.81386999999999</c:v>
                </c:pt>
                <c:pt idx="78">
                  <c:v>102.78888999999999</c:v>
                </c:pt>
                <c:pt idx="79">
                  <c:v>102.77086</c:v>
                </c:pt>
                <c:pt idx="80">
                  <c:v>102.81798999999999</c:v>
                </c:pt>
                <c:pt idx="81">
                  <c:v>102.80286</c:v>
                </c:pt>
                <c:pt idx="82">
                  <c:v>102.79642</c:v>
                </c:pt>
                <c:pt idx="83">
                  <c:v>102.81465</c:v>
                </c:pt>
                <c:pt idx="84">
                  <c:v>102.80408</c:v>
                </c:pt>
                <c:pt idx="85">
                  <c:v>102.77648000000001</c:v>
                </c:pt>
                <c:pt idx="86">
                  <c:v>102.76675</c:v>
                </c:pt>
                <c:pt idx="87">
                  <c:v>102.7658</c:v>
                </c:pt>
                <c:pt idx="88">
                  <c:v>102.77168</c:v>
                </c:pt>
                <c:pt idx="89">
                  <c:v>102.77367</c:v>
                </c:pt>
                <c:pt idx="90">
                  <c:v>102.75688</c:v>
                </c:pt>
                <c:pt idx="91">
                  <c:v>102.76627999999999</c:v>
                </c:pt>
                <c:pt idx="92">
                  <c:v>102.79828999999999</c:v>
                </c:pt>
                <c:pt idx="93">
                  <c:v>102.77625999999999</c:v>
                </c:pt>
                <c:pt idx="94">
                  <c:v>102.77258</c:v>
                </c:pt>
                <c:pt idx="95">
                  <c:v>102.75</c:v>
                </c:pt>
                <c:pt idx="96">
                  <c:v>102.70903</c:v>
                </c:pt>
                <c:pt idx="97">
                  <c:v>102.68255000000001</c:v>
                </c:pt>
                <c:pt idx="98">
                  <c:v>102.66632</c:v>
                </c:pt>
                <c:pt idx="99">
                  <c:v>102.63745</c:v>
                </c:pt>
                <c:pt idx="100">
                  <c:v>102.65434</c:v>
                </c:pt>
                <c:pt idx="101">
                  <c:v>102.6464</c:v>
                </c:pt>
                <c:pt idx="102">
                  <c:v>102.65772</c:v>
                </c:pt>
                <c:pt idx="103">
                  <c:v>102.66431</c:v>
                </c:pt>
                <c:pt idx="104">
                  <c:v>102.64555</c:v>
                </c:pt>
                <c:pt idx="105">
                  <c:v>102.63441</c:v>
                </c:pt>
                <c:pt idx="106">
                  <c:v>102.59245</c:v>
                </c:pt>
                <c:pt idx="107">
                  <c:v>102.57855000000001</c:v>
                </c:pt>
                <c:pt idx="108">
                  <c:v>102.57002</c:v>
                </c:pt>
                <c:pt idx="109">
                  <c:v>102.58112</c:v>
                </c:pt>
                <c:pt idx="110">
                  <c:v>102.60436</c:v>
                </c:pt>
                <c:pt idx="111">
                  <c:v>102.59761</c:v>
                </c:pt>
                <c:pt idx="112">
                  <c:v>102.61321</c:v>
                </c:pt>
                <c:pt idx="113">
                  <c:v>102.60777</c:v>
                </c:pt>
                <c:pt idx="114">
                  <c:v>102.59684</c:v>
                </c:pt>
                <c:pt idx="115">
                  <c:v>102.58459999999999</c:v>
                </c:pt>
                <c:pt idx="116">
                  <c:v>102.55817</c:v>
                </c:pt>
                <c:pt idx="117">
                  <c:v>102.55876000000001</c:v>
                </c:pt>
                <c:pt idx="118">
                  <c:v>102.488</c:v>
                </c:pt>
                <c:pt idx="119">
                  <c:v>102.53594</c:v>
                </c:pt>
                <c:pt idx="120">
                  <c:v>102.5346</c:v>
                </c:pt>
                <c:pt idx="121">
                  <c:v>102.52368</c:v>
                </c:pt>
                <c:pt idx="122">
                  <c:v>102.49744</c:v>
                </c:pt>
                <c:pt idx="123">
                  <c:v>102.49611</c:v>
                </c:pt>
                <c:pt idx="124">
                  <c:v>102.47763</c:v>
                </c:pt>
                <c:pt idx="125">
                  <c:v>102.50924999999999</c:v>
                </c:pt>
                <c:pt idx="126">
                  <c:v>102.48641000000001</c:v>
                </c:pt>
                <c:pt idx="127">
                  <c:v>102.46755</c:v>
                </c:pt>
                <c:pt idx="128">
                  <c:v>102.47084</c:v>
                </c:pt>
                <c:pt idx="129">
                  <c:v>102.46707000000001</c:v>
                </c:pt>
                <c:pt idx="130">
                  <c:v>102.43274</c:v>
                </c:pt>
                <c:pt idx="131">
                  <c:v>102.39145000000001</c:v>
                </c:pt>
                <c:pt idx="132">
                  <c:v>102.37089</c:v>
                </c:pt>
                <c:pt idx="133">
                  <c:v>102.35312999999999</c:v>
                </c:pt>
                <c:pt idx="134">
                  <c:v>102.11568</c:v>
                </c:pt>
                <c:pt idx="135">
                  <c:v>102.12184000000001</c:v>
                </c:pt>
                <c:pt idx="136">
                  <c:v>102.11282</c:v>
                </c:pt>
                <c:pt idx="137">
                  <c:v>102.13464999999999</c:v>
                </c:pt>
                <c:pt idx="138">
                  <c:v>102.0746</c:v>
                </c:pt>
                <c:pt idx="139">
                  <c:v>102.06053</c:v>
                </c:pt>
                <c:pt idx="140">
                  <c:v>102.04427</c:v>
                </c:pt>
                <c:pt idx="141">
                  <c:v>102.068</c:v>
                </c:pt>
                <c:pt idx="142">
                  <c:v>102.0492</c:v>
                </c:pt>
                <c:pt idx="143">
                  <c:v>102.00884000000001</c:v>
                </c:pt>
                <c:pt idx="144">
                  <c:v>102.202</c:v>
                </c:pt>
                <c:pt idx="145">
                  <c:v>102.17643</c:v>
                </c:pt>
                <c:pt idx="146">
                  <c:v>102.17484</c:v>
                </c:pt>
                <c:pt idx="147">
                  <c:v>102.11841</c:v>
                </c:pt>
                <c:pt idx="148">
                  <c:v>102.09083</c:v>
                </c:pt>
                <c:pt idx="149">
                  <c:v>102.13218000000001</c:v>
                </c:pt>
                <c:pt idx="150">
                  <c:v>102.16500000000001</c:v>
                </c:pt>
                <c:pt idx="151">
                  <c:v>102.09898</c:v>
                </c:pt>
                <c:pt idx="152">
                  <c:v>102.13643999999999</c:v>
                </c:pt>
                <c:pt idx="153">
                  <c:v>102.11096999999999</c:v>
                </c:pt>
                <c:pt idx="154">
                  <c:v>102.09211000000001</c:v>
                </c:pt>
                <c:pt idx="155">
                  <c:v>102.10449</c:v>
                </c:pt>
                <c:pt idx="156">
                  <c:v>102.04837000000001</c:v>
                </c:pt>
                <c:pt idx="157">
                  <c:v>102.08427</c:v>
                </c:pt>
                <c:pt idx="158">
                  <c:v>102.07113</c:v>
                </c:pt>
                <c:pt idx="159">
                  <c:v>102.1105</c:v>
                </c:pt>
                <c:pt idx="160">
                  <c:v>102.07999</c:v>
                </c:pt>
                <c:pt idx="161">
                  <c:v>102.08504000000001</c:v>
                </c:pt>
                <c:pt idx="162">
                  <c:v>102.09965</c:v>
                </c:pt>
                <c:pt idx="163">
                  <c:v>102.02115000000001</c:v>
                </c:pt>
                <c:pt idx="164">
                  <c:v>102.05632</c:v>
                </c:pt>
                <c:pt idx="165">
                  <c:v>101.95468</c:v>
                </c:pt>
                <c:pt idx="166">
                  <c:v>101.90009999999999</c:v>
                </c:pt>
                <c:pt idx="167">
                  <c:v>101.91238</c:v>
                </c:pt>
                <c:pt idx="168">
                  <c:v>101.90483999999999</c:v>
                </c:pt>
                <c:pt idx="169">
                  <c:v>101.90336000000001</c:v>
                </c:pt>
                <c:pt idx="170">
                  <c:v>101.99822</c:v>
                </c:pt>
                <c:pt idx="171">
                  <c:v>101.98324</c:v>
                </c:pt>
                <c:pt idx="172">
                  <c:v>101.97508999999999</c:v>
                </c:pt>
                <c:pt idx="173">
                  <c:v>101.91694</c:v>
                </c:pt>
                <c:pt idx="174">
                  <c:v>101.91574</c:v>
                </c:pt>
                <c:pt idx="175">
                  <c:v>101.87932000000001</c:v>
                </c:pt>
                <c:pt idx="176">
                  <c:v>101.82599999999999</c:v>
                </c:pt>
                <c:pt idx="177">
                  <c:v>101.92952</c:v>
                </c:pt>
                <c:pt idx="178">
                  <c:v>101.86125</c:v>
                </c:pt>
                <c:pt idx="179">
                  <c:v>101.83085</c:v>
                </c:pt>
                <c:pt idx="180">
                  <c:v>101.90432</c:v>
                </c:pt>
                <c:pt idx="181">
                  <c:v>101.79076000000001</c:v>
                </c:pt>
                <c:pt idx="182">
                  <c:v>101.80107</c:v>
                </c:pt>
                <c:pt idx="183">
                  <c:v>101.83365999999999</c:v>
                </c:pt>
                <c:pt idx="184">
                  <c:v>101.79984</c:v>
                </c:pt>
                <c:pt idx="185">
                  <c:v>101.74721</c:v>
                </c:pt>
                <c:pt idx="186">
                  <c:v>101.7911</c:v>
                </c:pt>
                <c:pt idx="187">
                  <c:v>101.79468</c:v>
                </c:pt>
                <c:pt idx="188">
                  <c:v>101.80682</c:v>
                </c:pt>
                <c:pt idx="189">
                  <c:v>101.78585</c:v>
                </c:pt>
                <c:pt idx="190">
                  <c:v>101.69345</c:v>
                </c:pt>
                <c:pt idx="191">
                  <c:v>101.80004</c:v>
                </c:pt>
                <c:pt idx="192">
                  <c:v>101.65024</c:v>
                </c:pt>
                <c:pt idx="193">
                  <c:v>101.64503000000001</c:v>
                </c:pt>
                <c:pt idx="194">
                  <c:v>101.71501000000001</c:v>
                </c:pt>
                <c:pt idx="195">
                  <c:v>101.69391</c:v>
                </c:pt>
                <c:pt idx="196">
                  <c:v>101.6857</c:v>
                </c:pt>
                <c:pt idx="197">
                  <c:v>101.6857</c:v>
                </c:pt>
                <c:pt idx="198">
                  <c:v>101.66999</c:v>
                </c:pt>
                <c:pt idx="199">
                  <c:v>101.7239</c:v>
                </c:pt>
                <c:pt idx="200">
                  <c:v>101.66824</c:v>
                </c:pt>
                <c:pt idx="201">
                  <c:v>101.72266999999999</c:v>
                </c:pt>
                <c:pt idx="202">
                  <c:v>101.66037</c:v>
                </c:pt>
                <c:pt idx="203">
                  <c:v>101.68527</c:v>
                </c:pt>
                <c:pt idx="204">
                  <c:v>101.6641</c:v>
                </c:pt>
                <c:pt idx="205">
                  <c:v>101.63852</c:v>
                </c:pt>
                <c:pt idx="206">
                  <c:v>101.58447</c:v>
                </c:pt>
                <c:pt idx="207">
                  <c:v>101.60677</c:v>
                </c:pt>
                <c:pt idx="208">
                  <c:v>101.60087</c:v>
                </c:pt>
                <c:pt idx="209">
                  <c:v>101.60912999999999</c:v>
                </c:pt>
                <c:pt idx="210">
                  <c:v>101.58964</c:v>
                </c:pt>
                <c:pt idx="211">
                  <c:v>101.57044</c:v>
                </c:pt>
                <c:pt idx="212">
                  <c:v>101.54015</c:v>
                </c:pt>
                <c:pt idx="213">
                  <c:v>101.49</c:v>
                </c:pt>
                <c:pt idx="214">
                  <c:v>101.46465000000001</c:v>
                </c:pt>
                <c:pt idx="215">
                  <c:v>101.43541</c:v>
                </c:pt>
                <c:pt idx="216">
                  <c:v>101.42953</c:v>
                </c:pt>
                <c:pt idx="217">
                  <c:v>101.44705999999999</c:v>
                </c:pt>
                <c:pt idx="218">
                  <c:v>101.55452</c:v>
                </c:pt>
                <c:pt idx="219">
                  <c:v>101.43559</c:v>
                </c:pt>
                <c:pt idx="220">
                  <c:v>101.42870000000001</c:v>
                </c:pt>
                <c:pt idx="221">
                  <c:v>101.33971</c:v>
                </c:pt>
                <c:pt idx="222">
                  <c:v>101.3801</c:v>
                </c:pt>
                <c:pt idx="223">
                  <c:v>101.22506</c:v>
                </c:pt>
                <c:pt idx="224">
                  <c:v>101.229</c:v>
                </c:pt>
                <c:pt idx="225">
                  <c:v>101.229</c:v>
                </c:pt>
                <c:pt idx="226">
                  <c:v>101.25593000000001</c:v>
                </c:pt>
                <c:pt idx="227">
                  <c:v>101.15331</c:v>
                </c:pt>
                <c:pt idx="228">
                  <c:v>101.15375</c:v>
                </c:pt>
                <c:pt idx="229">
                  <c:v>101.21895000000001</c:v>
                </c:pt>
                <c:pt idx="230">
                  <c:v>101.15522</c:v>
                </c:pt>
                <c:pt idx="231">
                  <c:v>101.03755</c:v>
                </c:pt>
                <c:pt idx="232">
                  <c:v>101.08866999999999</c:v>
                </c:pt>
                <c:pt idx="233">
                  <c:v>101.12562</c:v>
                </c:pt>
                <c:pt idx="234">
                  <c:v>100.99969</c:v>
                </c:pt>
                <c:pt idx="235">
                  <c:v>101.04555999999999</c:v>
                </c:pt>
                <c:pt idx="236">
                  <c:v>101.0587</c:v>
                </c:pt>
                <c:pt idx="237">
                  <c:v>101.07315</c:v>
                </c:pt>
                <c:pt idx="238">
                  <c:v>101.005</c:v>
                </c:pt>
                <c:pt idx="239">
                  <c:v>101.04925</c:v>
                </c:pt>
                <c:pt idx="240">
                  <c:v>101.03579000000001</c:v>
                </c:pt>
                <c:pt idx="241">
                  <c:v>101.03559</c:v>
                </c:pt>
                <c:pt idx="242">
                  <c:v>100.9902</c:v>
                </c:pt>
                <c:pt idx="243">
                  <c:v>101.05764000000001</c:v>
                </c:pt>
                <c:pt idx="244">
                  <c:v>101.14179</c:v>
                </c:pt>
                <c:pt idx="245">
                  <c:v>101.05376</c:v>
                </c:pt>
                <c:pt idx="246">
                  <c:v>100.95683</c:v>
                </c:pt>
                <c:pt idx="247">
                  <c:v>100.98147</c:v>
                </c:pt>
                <c:pt idx="248">
                  <c:v>100.69613</c:v>
                </c:pt>
                <c:pt idx="249">
                  <c:v>100.64254</c:v>
                </c:pt>
                <c:pt idx="250">
                  <c:v>100.63616</c:v>
                </c:pt>
                <c:pt idx="251">
                  <c:v>100.58074000000001</c:v>
                </c:pt>
                <c:pt idx="252">
                  <c:v>100.56697</c:v>
                </c:pt>
                <c:pt idx="253">
                  <c:v>100.50451</c:v>
                </c:pt>
                <c:pt idx="254">
                  <c:v>100.49933</c:v>
                </c:pt>
                <c:pt idx="255">
                  <c:v>100.43725000000001</c:v>
                </c:pt>
                <c:pt idx="256">
                  <c:v>100.46011</c:v>
                </c:pt>
                <c:pt idx="257">
                  <c:v>100.4402</c:v>
                </c:pt>
                <c:pt idx="258">
                  <c:v>100.5003</c:v>
                </c:pt>
                <c:pt idx="259">
                  <c:v>100.48884</c:v>
                </c:pt>
                <c:pt idx="260">
                  <c:v>100.73344</c:v>
                </c:pt>
                <c:pt idx="261">
                  <c:v>100.71921</c:v>
                </c:pt>
              </c:numCache>
            </c:numRef>
          </c:val>
          <c:smooth val="0"/>
          <c:extLst>
            <c:ext xmlns:c16="http://schemas.microsoft.com/office/drawing/2014/chart" uri="{C3380CC4-5D6E-409C-BE32-E72D297353CC}">
              <c16:uniqueId val="{00000002-AFD4-4B25-B979-E2BD3A6BAF70}"/>
            </c:ext>
          </c:extLst>
        </c:ser>
        <c:ser>
          <c:idx val="3"/>
          <c:order val="3"/>
          <c:tx>
            <c:strRef>
              <c:f>'Bond Prices'!$P$4</c:f>
              <c:strCache>
                <c:ptCount val="1"/>
                <c:pt idx="0">
                  <c:v>GLOBAL NT 2.550 Apr-11-2023</c:v>
                </c:pt>
              </c:strCache>
            </c:strRef>
          </c:tx>
          <c:spPr>
            <a:ln w="22225">
              <a:solidFill>
                <a:schemeClr val="accent3">
                  <a:lumMod val="75000"/>
                </a:schemeClr>
              </a:solidFill>
            </a:ln>
          </c:spPr>
          <c:marker>
            <c:symbol val="none"/>
          </c:marker>
          <c:dPt>
            <c:idx val="1"/>
            <c:bubble3D val="0"/>
            <c:extLst>
              <c:ext xmlns:c16="http://schemas.microsoft.com/office/drawing/2014/chart" uri="{C3380CC4-5D6E-409C-BE32-E72D297353CC}">
                <c16:uniqueId val="{00000152-C5E1-416E-BB48-46A65BF54441}"/>
              </c:ext>
            </c:extLst>
          </c:dPt>
          <c:dPt>
            <c:idx val="3"/>
            <c:bubble3D val="0"/>
            <c:extLst>
              <c:ext xmlns:c16="http://schemas.microsoft.com/office/drawing/2014/chart" uri="{C3380CC4-5D6E-409C-BE32-E72D297353CC}">
                <c16:uniqueId val="{00000153-C5E1-416E-BB48-46A65BF54441}"/>
              </c:ext>
            </c:extLst>
          </c:dPt>
          <c:dPt>
            <c:idx val="12"/>
            <c:bubble3D val="0"/>
            <c:extLst>
              <c:ext xmlns:c16="http://schemas.microsoft.com/office/drawing/2014/chart" uri="{C3380CC4-5D6E-409C-BE32-E72D297353CC}">
                <c16:uniqueId val="{00000154-C5E1-416E-BB48-46A65BF54441}"/>
              </c:ext>
            </c:extLst>
          </c:dPt>
          <c:dPt>
            <c:idx val="64"/>
            <c:bubble3D val="0"/>
            <c:extLst>
              <c:ext xmlns:c16="http://schemas.microsoft.com/office/drawing/2014/chart" uri="{C3380CC4-5D6E-409C-BE32-E72D297353CC}">
                <c16:uniqueId val="{00000155-C5E1-416E-BB48-46A65BF54441}"/>
              </c:ext>
            </c:extLst>
          </c:dPt>
          <c:dPt>
            <c:idx val="65"/>
            <c:bubble3D val="0"/>
            <c:extLst>
              <c:ext xmlns:c16="http://schemas.microsoft.com/office/drawing/2014/chart" uri="{C3380CC4-5D6E-409C-BE32-E72D297353CC}">
                <c16:uniqueId val="{00000156-C5E1-416E-BB48-46A65BF54441}"/>
              </c:ext>
            </c:extLst>
          </c:dPt>
          <c:dPt>
            <c:idx val="66"/>
            <c:bubble3D val="0"/>
            <c:extLst>
              <c:ext xmlns:c16="http://schemas.microsoft.com/office/drawing/2014/chart" uri="{C3380CC4-5D6E-409C-BE32-E72D297353CC}">
                <c16:uniqueId val="{00000157-C5E1-416E-BB48-46A65BF54441}"/>
              </c:ext>
            </c:extLst>
          </c:dPt>
          <c:dPt>
            <c:idx val="67"/>
            <c:bubble3D val="0"/>
            <c:extLst>
              <c:ext xmlns:c16="http://schemas.microsoft.com/office/drawing/2014/chart" uri="{C3380CC4-5D6E-409C-BE32-E72D297353CC}">
                <c16:uniqueId val="{00000158-C5E1-416E-BB48-46A65BF54441}"/>
              </c:ext>
            </c:extLst>
          </c:dPt>
          <c:dPt>
            <c:idx val="69"/>
            <c:bubble3D val="0"/>
            <c:extLst>
              <c:ext xmlns:c16="http://schemas.microsoft.com/office/drawing/2014/chart" uri="{C3380CC4-5D6E-409C-BE32-E72D297353CC}">
                <c16:uniqueId val="{00000159-C5E1-416E-BB48-46A65BF54441}"/>
              </c:ext>
            </c:extLst>
          </c:dPt>
          <c:dPt>
            <c:idx val="70"/>
            <c:bubble3D val="0"/>
            <c:extLst>
              <c:ext xmlns:c16="http://schemas.microsoft.com/office/drawing/2014/chart" uri="{C3380CC4-5D6E-409C-BE32-E72D297353CC}">
                <c16:uniqueId val="{0000015A-C5E1-416E-BB48-46A65BF54441}"/>
              </c:ext>
            </c:extLst>
          </c:dPt>
          <c:dPt>
            <c:idx val="71"/>
            <c:bubble3D val="0"/>
            <c:extLst>
              <c:ext xmlns:c16="http://schemas.microsoft.com/office/drawing/2014/chart" uri="{C3380CC4-5D6E-409C-BE32-E72D297353CC}">
                <c16:uniqueId val="{0000015B-C5E1-416E-BB48-46A65BF54441}"/>
              </c:ext>
            </c:extLst>
          </c:dPt>
          <c:dPt>
            <c:idx val="72"/>
            <c:bubble3D val="0"/>
            <c:extLst>
              <c:ext xmlns:c16="http://schemas.microsoft.com/office/drawing/2014/chart" uri="{C3380CC4-5D6E-409C-BE32-E72D297353CC}">
                <c16:uniqueId val="{0000015C-C5E1-416E-BB48-46A65BF54441}"/>
              </c:ext>
            </c:extLst>
          </c:dPt>
          <c:dPt>
            <c:idx val="73"/>
            <c:bubble3D val="0"/>
            <c:extLst>
              <c:ext xmlns:c16="http://schemas.microsoft.com/office/drawing/2014/chart" uri="{C3380CC4-5D6E-409C-BE32-E72D297353CC}">
                <c16:uniqueId val="{0000015D-C5E1-416E-BB48-46A65BF54441}"/>
              </c:ext>
            </c:extLst>
          </c:dPt>
          <c:dPt>
            <c:idx val="74"/>
            <c:bubble3D val="0"/>
            <c:extLst>
              <c:ext xmlns:c16="http://schemas.microsoft.com/office/drawing/2014/chart" uri="{C3380CC4-5D6E-409C-BE32-E72D297353CC}">
                <c16:uniqueId val="{0000015E-C5E1-416E-BB48-46A65BF54441}"/>
              </c:ext>
            </c:extLst>
          </c:dPt>
          <c:dPt>
            <c:idx val="75"/>
            <c:bubble3D val="0"/>
            <c:extLst>
              <c:ext xmlns:c16="http://schemas.microsoft.com/office/drawing/2014/chart" uri="{C3380CC4-5D6E-409C-BE32-E72D297353CC}">
                <c16:uniqueId val="{0000015F-C5E1-416E-BB48-46A65BF54441}"/>
              </c:ext>
            </c:extLst>
          </c:dPt>
          <c:dPt>
            <c:idx val="76"/>
            <c:bubble3D val="0"/>
            <c:extLst>
              <c:ext xmlns:c16="http://schemas.microsoft.com/office/drawing/2014/chart" uri="{C3380CC4-5D6E-409C-BE32-E72D297353CC}">
                <c16:uniqueId val="{00000160-C5E1-416E-BB48-46A65BF54441}"/>
              </c:ext>
            </c:extLst>
          </c:dPt>
          <c:dPt>
            <c:idx val="78"/>
            <c:bubble3D val="0"/>
            <c:extLst>
              <c:ext xmlns:c16="http://schemas.microsoft.com/office/drawing/2014/chart" uri="{C3380CC4-5D6E-409C-BE32-E72D297353CC}">
                <c16:uniqueId val="{00000161-C5E1-416E-BB48-46A65BF54441}"/>
              </c:ext>
            </c:extLst>
          </c:dPt>
          <c:dPt>
            <c:idx val="81"/>
            <c:bubble3D val="0"/>
            <c:extLst>
              <c:ext xmlns:c16="http://schemas.microsoft.com/office/drawing/2014/chart" uri="{C3380CC4-5D6E-409C-BE32-E72D297353CC}">
                <c16:uniqueId val="{00000162-C5E1-416E-BB48-46A65BF54441}"/>
              </c:ext>
            </c:extLst>
          </c:dPt>
          <c:dPt>
            <c:idx val="83"/>
            <c:bubble3D val="0"/>
            <c:extLst>
              <c:ext xmlns:c16="http://schemas.microsoft.com/office/drawing/2014/chart" uri="{C3380CC4-5D6E-409C-BE32-E72D297353CC}">
                <c16:uniqueId val="{00000163-C5E1-416E-BB48-46A65BF54441}"/>
              </c:ext>
            </c:extLst>
          </c:dPt>
          <c:dPt>
            <c:idx val="84"/>
            <c:bubble3D val="0"/>
            <c:extLst>
              <c:ext xmlns:c16="http://schemas.microsoft.com/office/drawing/2014/chart" uri="{C3380CC4-5D6E-409C-BE32-E72D297353CC}">
                <c16:uniqueId val="{00000164-C5E1-416E-BB48-46A65BF54441}"/>
              </c:ext>
            </c:extLst>
          </c:dPt>
          <c:dPt>
            <c:idx val="85"/>
            <c:bubble3D val="0"/>
            <c:extLst>
              <c:ext xmlns:c16="http://schemas.microsoft.com/office/drawing/2014/chart" uri="{C3380CC4-5D6E-409C-BE32-E72D297353CC}">
                <c16:uniqueId val="{00000165-C5E1-416E-BB48-46A65BF54441}"/>
              </c:ext>
            </c:extLst>
          </c:dPt>
          <c:dPt>
            <c:idx val="87"/>
            <c:bubble3D val="0"/>
            <c:extLst>
              <c:ext xmlns:c16="http://schemas.microsoft.com/office/drawing/2014/chart" uri="{C3380CC4-5D6E-409C-BE32-E72D297353CC}">
                <c16:uniqueId val="{00000166-C5E1-416E-BB48-46A65BF54441}"/>
              </c:ext>
            </c:extLst>
          </c:dPt>
          <c:dPt>
            <c:idx val="88"/>
            <c:bubble3D val="0"/>
            <c:extLst>
              <c:ext xmlns:c16="http://schemas.microsoft.com/office/drawing/2014/chart" uri="{C3380CC4-5D6E-409C-BE32-E72D297353CC}">
                <c16:uniqueId val="{00000167-C5E1-416E-BB48-46A65BF54441}"/>
              </c:ext>
            </c:extLst>
          </c:dPt>
          <c:dPt>
            <c:idx val="90"/>
            <c:bubble3D val="0"/>
            <c:extLst>
              <c:ext xmlns:c16="http://schemas.microsoft.com/office/drawing/2014/chart" uri="{C3380CC4-5D6E-409C-BE32-E72D297353CC}">
                <c16:uniqueId val="{00000168-C5E1-416E-BB48-46A65BF54441}"/>
              </c:ext>
            </c:extLst>
          </c:dPt>
          <c:dPt>
            <c:idx val="91"/>
            <c:bubble3D val="0"/>
            <c:extLst>
              <c:ext xmlns:c16="http://schemas.microsoft.com/office/drawing/2014/chart" uri="{C3380CC4-5D6E-409C-BE32-E72D297353CC}">
                <c16:uniqueId val="{00000169-C5E1-416E-BB48-46A65BF54441}"/>
              </c:ext>
            </c:extLst>
          </c:dPt>
          <c:dPt>
            <c:idx val="92"/>
            <c:bubble3D val="0"/>
            <c:extLst>
              <c:ext xmlns:c16="http://schemas.microsoft.com/office/drawing/2014/chart" uri="{C3380CC4-5D6E-409C-BE32-E72D297353CC}">
                <c16:uniqueId val="{0000016A-C5E1-416E-BB48-46A65BF54441}"/>
              </c:ext>
            </c:extLst>
          </c:dPt>
          <c:dPt>
            <c:idx val="93"/>
            <c:bubble3D val="0"/>
            <c:extLst>
              <c:ext xmlns:c16="http://schemas.microsoft.com/office/drawing/2014/chart" uri="{C3380CC4-5D6E-409C-BE32-E72D297353CC}">
                <c16:uniqueId val="{0000016B-C5E1-416E-BB48-46A65BF54441}"/>
              </c:ext>
            </c:extLst>
          </c:dPt>
          <c:dPt>
            <c:idx val="94"/>
            <c:bubble3D val="0"/>
            <c:extLst>
              <c:ext xmlns:c16="http://schemas.microsoft.com/office/drawing/2014/chart" uri="{C3380CC4-5D6E-409C-BE32-E72D297353CC}">
                <c16:uniqueId val="{0000016C-C5E1-416E-BB48-46A65BF54441}"/>
              </c:ext>
            </c:extLst>
          </c:dPt>
          <c:dPt>
            <c:idx val="95"/>
            <c:bubble3D val="0"/>
            <c:extLst>
              <c:ext xmlns:c16="http://schemas.microsoft.com/office/drawing/2014/chart" uri="{C3380CC4-5D6E-409C-BE32-E72D297353CC}">
                <c16:uniqueId val="{0000016D-C5E1-416E-BB48-46A65BF54441}"/>
              </c:ext>
            </c:extLst>
          </c:dPt>
          <c:dPt>
            <c:idx val="96"/>
            <c:bubble3D val="0"/>
            <c:extLst>
              <c:ext xmlns:c16="http://schemas.microsoft.com/office/drawing/2014/chart" uri="{C3380CC4-5D6E-409C-BE32-E72D297353CC}">
                <c16:uniqueId val="{0000016E-C5E1-416E-BB48-46A65BF54441}"/>
              </c:ext>
            </c:extLst>
          </c:dPt>
          <c:dPt>
            <c:idx val="97"/>
            <c:bubble3D val="0"/>
            <c:extLst>
              <c:ext xmlns:c16="http://schemas.microsoft.com/office/drawing/2014/chart" uri="{C3380CC4-5D6E-409C-BE32-E72D297353CC}">
                <c16:uniqueId val="{0000016F-C5E1-416E-BB48-46A65BF54441}"/>
              </c:ext>
            </c:extLst>
          </c:dPt>
          <c:dPt>
            <c:idx val="98"/>
            <c:bubble3D val="0"/>
            <c:extLst>
              <c:ext xmlns:c16="http://schemas.microsoft.com/office/drawing/2014/chart" uri="{C3380CC4-5D6E-409C-BE32-E72D297353CC}">
                <c16:uniqueId val="{00000170-C5E1-416E-BB48-46A65BF54441}"/>
              </c:ext>
            </c:extLst>
          </c:dPt>
          <c:dPt>
            <c:idx val="99"/>
            <c:bubble3D val="0"/>
            <c:extLst>
              <c:ext xmlns:c16="http://schemas.microsoft.com/office/drawing/2014/chart" uri="{C3380CC4-5D6E-409C-BE32-E72D297353CC}">
                <c16:uniqueId val="{00000171-C5E1-416E-BB48-46A65BF54441}"/>
              </c:ext>
            </c:extLst>
          </c:dPt>
          <c:dPt>
            <c:idx val="100"/>
            <c:bubble3D val="0"/>
            <c:extLst>
              <c:ext xmlns:c16="http://schemas.microsoft.com/office/drawing/2014/chart" uri="{C3380CC4-5D6E-409C-BE32-E72D297353CC}">
                <c16:uniqueId val="{00000172-C5E1-416E-BB48-46A65BF54441}"/>
              </c:ext>
            </c:extLst>
          </c:dPt>
          <c:dPt>
            <c:idx val="101"/>
            <c:bubble3D val="0"/>
            <c:extLst>
              <c:ext xmlns:c16="http://schemas.microsoft.com/office/drawing/2014/chart" uri="{C3380CC4-5D6E-409C-BE32-E72D297353CC}">
                <c16:uniqueId val="{00000173-C5E1-416E-BB48-46A65BF54441}"/>
              </c:ext>
            </c:extLst>
          </c:dPt>
          <c:dPt>
            <c:idx val="102"/>
            <c:bubble3D val="0"/>
            <c:extLst>
              <c:ext xmlns:c16="http://schemas.microsoft.com/office/drawing/2014/chart" uri="{C3380CC4-5D6E-409C-BE32-E72D297353CC}">
                <c16:uniqueId val="{00000174-C5E1-416E-BB48-46A65BF54441}"/>
              </c:ext>
            </c:extLst>
          </c:dPt>
          <c:dPt>
            <c:idx val="103"/>
            <c:bubble3D val="0"/>
            <c:extLst>
              <c:ext xmlns:c16="http://schemas.microsoft.com/office/drawing/2014/chart" uri="{C3380CC4-5D6E-409C-BE32-E72D297353CC}">
                <c16:uniqueId val="{00000175-C5E1-416E-BB48-46A65BF54441}"/>
              </c:ext>
            </c:extLst>
          </c:dPt>
          <c:dPt>
            <c:idx val="104"/>
            <c:bubble3D val="0"/>
            <c:extLst>
              <c:ext xmlns:c16="http://schemas.microsoft.com/office/drawing/2014/chart" uri="{C3380CC4-5D6E-409C-BE32-E72D297353CC}">
                <c16:uniqueId val="{00000176-C5E1-416E-BB48-46A65BF54441}"/>
              </c:ext>
            </c:extLst>
          </c:dPt>
          <c:dPt>
            <c:idx val="105"/>
            <c:bubble3D val="0"/>
            <c:extLst>
              <c:ext xmlns:c16="http://schemas.microsoft.com/office/drawing/2014/chart" uri="{C3380CC4-5D6E-409C-BE32-E72D297353CC}">
                <c16:uniqueId val="{00000177-C5E1-416E-BB48-46A65BF54441}"/>
              </c:ext>
            </c:extLst>
          </c:dPt>
          <c:dPt>
            <c:idx val="106"/>
            <c:bubble3D val="0"/>
            <c:extLst>
              <c:ext xmlns:c16="http://schemas.microsoft.com/office/drawing/2014/chart" uri="{C3380CC4-5D6E-409C-BE32-E72D297353CC}">
                <c16:uniqueId val="{00000178-C5E1-416E-BB48-46A65BF54441}"/>
              </c:ext>
            </c:extLst>
          </c:dPt>
          <c:dPt>
            <c:idx val="108"/>
            <c:bubble3D val="0"/>
            <c:extLst>
              <c:ext xmlns:c16="http://schemas.microsoft.com/office/drawing/2014/chart" uri="{C3380CC4-5D6E-409C-BE32-E72D297353CC}">
                <c16:uniqueId val="{00000179-C5E1-416E-BB48-46A65BF54441}"/>
              </c:ext>
            </c:extLst>
          </c:dPt>
          <c:dPt>
            <c:idx val="109"/>
            <c:bubble3D val="0"/>
            <c:extLst>
              <c:ext xmlns:c16="http://schemas.microsoft.com/office/drawing/2014/chart" uri="{C3380CC4-5D6E-409C-BE32-E72D297353CC}">
                <c16:uniqueId val="{0000017A-C5E1-416E-BB48-46A65BF54441}"/>
              </c:ext>
            </c:extLst>
          </c:dPt>
          <c:dPt>
            <c:idx val="110"/>
            <c:bubble3D val="0"/>
            <c:extLst>
              <c:ext xmlns:c16="http://schemas.microsoft.com/office/drawing/2014/chart" uri="{C3380CC4-5D6E-409C-BE32-E72D297353CC}">
                <c16:uniqueId val="{0000017B-C5E1-416E-BB48-46A65BF54441}"/>
              </c:ext>
            </c:extLst>
          </c:dPt>
          <c:dPt>
            <c:idx val="112"/>
            <c:bubble3D val="0"/>
            <c:extLst>
              <c:ext xmlns:c16="http://schemas.microsoft.com/office/drawing/2014/chart" uri="{C3380CC4-5D6E-409C-BE32-E72D297353CC}">
                <c16:uniqueId val="{0000017C-C5E1-416E-BB48-46A65BF54441}"/>
              </c:ext>
            </c:extLst>
          </c:dPt>
          <c:dPt>
            <c:idx val="113"/>
            <c:bubble3D val="0"/>
            <c:extLst>
              <c:ext xmlns:c16="http://schemas.microsoft.com/office/drawing/2014/chart" uri="{C3380CC4-5D6E-409C-BE32-E72D297353CC}">
                <c16:uniqueId val="{0000017D-C5E1-416E-BB48-46A65BF54441}"/>
              </c:ext>
            </c:extLst>
          </c:dPt>
          <c:dPt>
            <c:idx val="114"/>
            <c:bubble3D val="0"/>
            <c:extLst>
              <c:ext xmlns:c16="http://schemas.microsoft.com/office/drawing/2014/chart" uri="{C3380CC4-5D6E-409C-BE32-E72D297353CC}">
                <c16:uniqueId val="{0000017E-C5E1-416E-BB48-46A65BF54441}"/>
              </c:ext>
            </c:extLst>
          </c:dPt>
          <c:dPt>
            <c:idx val="115"/>
            <c:bubble3D val="0"/>
            <c:extLst>
              <c:ext xmlns:c16="http://schemas.microsoft.com/office/drawing/2014/chart" uri="{C3380CC4-5D6E-409C-BE32-E72D297353CC}">
                <c16:uniqueId val="{0000017F-C5E1-416E-BB48-46A65BF54441}"/>
              </c:ext>
            </c:extLst>
          </c:dPt>
          <c:dPt>
            <c:idx val="116"/>
            <c:bubble3D val="0"/>
            <c:extLst>
              <c:ext xmlns:c16="http://schemas.microsoft.com/office/drawing/2014/chart" uri="{C3380CC4-5D6E-409C-BE32-E72D297353CC}">
                <c16:uniqueId val="{00000180-C5E1-416E-BB48-46A65BF54441}"/>
              </c:ext>
            </c:extLst>
          </c:dPt>
          <c:dPt>
            <c:idx val="117"/>
            <c:bubble3D val="0"/>
            <c:extLst>
              <c:ext xmlns:c16="http://schemas.microsoft.com/office/drawing/2014/chart" uri="{C3380CC4-5D6E-409C-BE32-E72D297353CC}">
                <c16:uniqueId val="{00000181-C5E1-416E-BB48-46A65BF54441}"/>
              </c:ext>
            </c:extLst>
          </c:dPt>
          <c:dPt>
            <c:idx val="118"/>
            <c:bubble3D val="0"/>
            <c:extLst>
              <c:ext xmlns:c16="http://schemas.microsoft.com/office/drawing/2014/chart" uri="{C3380CC4-5D6E-409C-BE32-E72D297353CC}">
                <c16:uniqueId val="{00000182-C5E1-416E-BB48-46A65BF54441}"/>
              </c:ext>
            </c:extLst>
          </c:dPt>
          <c:dPt>
            <c:idx val="119"/>
            <c:bubble3D val="0"/>
            <c:extLst>
              <c:ext xmlns:c16="http://schemas.microsoft.com/office/drawing/2014/chart" uri="{C3380CC4-5D6E-409C-BE32-E72D297353CC}">
                <c16:uniqueId val="{00000183-C5E1-416E-BB48-46A65BF54441}"/>
              </c:ext>
            </c:extLst>
          </c:dPt>
          <c:dPt>
            <c:idx val="120"/>
            <c:bubble3D val="0"/>
            <c:extLst>
              <c:ext xmlns:c16="http://schemas.microsoft.com/office/drawing/2014/chart" uri="{C3380CC4-5D6E-409C-BE32-E72D297353CC}">
                <c16:uniqueId val="{00000184-C5E1-416E-BB48-46A65BF54441}"/>
              </c:ext>
            </c:extLst>
          </c:dPt>
          <c:dPt>
            <c:idx val="121"/>
            <c:bubble3D val="0"/>
            <c:extLst>
              <c:ext xmlns:c16="http://schemas.microsoft.com/office/drawing/2014/chart" uri="{C3380CC4-5D6E-409C-BE32-E72D297353CC}">
                <c16:uniqueId val="{00000185-C5E1-416E-BB48-46A65BF54441}"/>
              </c:ext>
            </c:extLst>
          </c:dPt>
          <c:dPt>
            <c:idx val="122"/>
            <c:bubble3D val="0"/>
            <c:extLst>
              <c:ext xmlns:c16="http://schemas.microsoft.com/office/drawing/2014/chart" uri="{C3380CC4-5D6E-409C-BE32-E72D297353CC}">
                <c16:uniqueId val="{00000186-C5E1-416E-BB48-46A65BF54441}"/>
              </c:ext>
            </c:extLst>
          </c:dPt>
          <c:dPt>
            <c:idx val="123"/>
            <c:bubble3D val="0"/>
            <c:extLst>
              <c:ext xmlns:c16="http://schemas.microsoft.com/office/drawing/2014/chart" uri="{C3380CC4-5D6E-409C-BE32-E72D297353CC}">
                <c16:uniqueId val="{00000187-C5E1-416E-BB48-46A65BF54441}"/>
              </c:ext>
            </c:extLst>
          </c:dPt>
          <c:dPt>
            <c:idx val="124"/>
            <c:bubble3D val="0"/>
            <c:extLst>
              <c:ext xmlns:c16="http://schemas.microsoft.com/office/drawing/2014/chart" uri="{C3380CC4-5D6E-409C-BE32-E72D297353CC}">
                <c16:uniqueId val="{00000188-C5E1-416E-BB48-46A65BF54441}"/>
              </c:ext>
            </c:extLst>
          </c:dPt>
          <c:dPt>
            <c:idx val="125"/>
            <c:bubble3D val="0"/>
            <c:extLst>
              <c:ext xmlns:c16="http://schemas.microsoft.com/office/drawing/2014/chart" uri="{C3380CC4-5D6E-409C-BE32-E72D297353CC}">
                <c16:uniqueId val="{00000189-C5E1-416E-BB48-46A65BF54441}"/>
              </c:ext>
            </c:extLst>
          </c:dPt>
          <c:dPt>
            <c:idx val="126"/>
            <c:bubble3D val="0"/>
            <c:extLst>
              <c:ext xmlns:c16="http://schemas.microsoft.com/office/drawing/2014/chart" uri="{C3380CC4-5D6E-409C-BE32-E72D297353CC}">
                <c16:uniqueId val="{0000018A-C5E1-416E-BB48-46A65BF54441}"/>
              </c:ext>
            </c:extLst>
          </c:dPt>
          <c:dPt>
            <c:idx val="127"/>
            <c:bubble3D val="0"/>
            <c:extLst>
              <c:ext xmlns:c16="http://schemas.microsoft.com/office/drawing/2014/chart" uri="{C3380CC4-5D6E-409C-BE32-E72D297353CC}">
                <c16:uniqueId val="{0000018B-C5E1-416E-BB48-46A65BF54441}"/>
              </c:ext>
            </c:extLst>
          </c:dPt>
          <c:dPt>
            <c:idx val="128"/>
            <c:bubble3D val="0"/>
            <c:extLst>
              <c:ext xmlns:c16="http://schemas.microsoft.com/office/drawing/2014/chart" uri="{C3380CC4-5D6E-409C-BE32-E72D297353CC}">
                <c16:uniqueId val="{0000018C-C5E1-416E-BB48-46A65BF54441}"/>
              </c:ext>
            </c:extLst>
          </c:dPt>
          <c:dPt>
            <c:idx val="129"/>
            <c:bubble3D val="0"/>
            <c:extLst>
              <c:ext xmlns:c16="http://schemas.microsoft.com/office/drawing/2014/chart" uri="{C3380CC4-5D6E-409C-BE32-E72D297353CC}">
                <c16:uniqueId val="{0000018D-C5E1-416E-BB48-46A65BF54441}"/>
              </c:ext>
            </c:extLst>
          </c:dPt>
          <c:dPt>
            <c:idx val="130"/>
            <c:bubble3D val="0"/>
            <c:extLst>
              <c:ext xmlns:c16="http://schemas.microsoft.com/office/drawing/2014/chart" uri="{C3380CC4-5D6E-409C-BE32-E72D297353CC}">
                <c16:uniqueId val="{0000018E-C5E1-416E-BB48-46A65BF54441}"/>
              </c:ext>
            </c:extLst>
          </c:dPt>
          <c:dPt>
            <c:idx val="131"/>
            <c:bubble3D val="0"/>
            <c:extLst>
              <c:ext xmlns:c16="http://schemas.microsoft.com/office/drawing/2014/chart" uri="{C3380CC4-5D6E-409C-BE32-E72D297353CC}">
                <c16:uniqueId val="{0000018F-C5E1-416E-BB48-46A65BF54441}"/>
              </c:ext>
            </c:extLst>
          </c:dPt>
          <c:dPt>
            <c:idx val="132"/>
            <c:bubble3D val="0"/>
            <c:extLst>
              <c:ext xmlns:c16="http://schemas.microsoft.com/office/drawing/2014/chart" uri="{C3380CC4-5D6E-409C-BE32-E72D297353CC}">
                <c16:uniqueId val="{00000190-C5E1-416E-BB48-46A65BF54441}"/>
              </c:ext>
            </c:extLst>
          </c:dPt>
          <c:dPt>
            <c:idx val="133"/>
            <c:bubble3D val="0"/>
            <c:extLst>
              <c:ext xmlns:c16="http://schemas.microsoft.com/office/drawing/2014/chart" uri="{C3380CC4-5D6E-409C-BE32-E72D297353CC}">
                <c16:uniqueId val="{00000191-C5E1-416E-BB48-46A65BF54441}"/>
              </c:ext>
            </c:extLst>
          </c:dPt>
          <c:dPt>
            <c:idx val="134"/>
            <c:bubble3D val="0"/>
            <c:extLst>
              <c:ext xmlns:c16="http://schemas.microsoft.com/office/drawing/2014/chart" uri="{C3380CC4-5D6E-409C-BE32-E72D297353CC}">
                <c16:uniqueId val="{00000192-C5E1-416E-BB48-46A65BF54441}"/>
              </c:ext>
            </c:extLst>
          </c:dPt>
          <c:dPt>
            <c:idx val="135"/>
            <c:bubble3D val="0"/>
            <c:extLst>
              <c:ext xmlns:c16="http://schemas.microsoft.com/office/drawing/2014/chart" uri="{C3380CC4-5D6E-409C-BE32-E72D297353CC}">
                <c16:uniqueId val="{00000193-C5E1-416E-BB48-46A65BF54441}"/>
              </c:ext>
            </c:extLst>
          </c:dPt>
          <c:dPt>
            <c:idx val="136"/>
            <c:bubble3D val="0"/>
            <c:extLst>
              <c:ext xmlns:c16="http://schemas.microsoft.com/office/drawing/2014/chart" uri="{C3380CC4-5D6E-409C-BE32-E72D297353CC}">
                <c16:uniqueId val="{00000194-C5E1-416E-BB48-46A65BF54441}"/>
              </c:ext>
            </c:extLst>
          </c:dPt>
          <c:dPt>
            <c:idx val="137"/>
            <c:bubble3D val="0"/>
            <c:extLst>
              <c:ext xmlns:c16="http://schemas.microsoft.com/office/drawing/2014/chart" uri="{C3380CC4-5D6E-409C-BE32-E72D297353CC}">
                <c16:uniqueId val="{00000195-C5E1-416E-BB48-46A65BF54441}"/>
              </c:ext>
            </c:extLst>
          </c:dPt>
          <c:dPt>
            <c:idx val="138"/>
            <c:bubble3D val="0"/>
            <c:extLst>
              <c:ext xmlns:c16="http://schemas.microsoft.com/office/drawing/2014/chart" uri="{C3380CC4-5D6E-409C-BE32-E72D297353CC}">
                <c16:uniqueId val="{00000196-C5E1-416E-BB48-46A65BF54441}"/>
              </c:ext>
            </c:extLst>
          </c:dPt>
          <c:dPt>
            <c:idx val="139"/>
            <c:bubble3D val="0"/>
            <c:extLst>
              <c:ext xmlns:c16="http://schemas.microsoft.com/office/drawing/2014/chart" uri="{C3380CC4-5D6E-409C-BE32-E72D297353CC}">
                <c16:uniqueId val="{00000197-C5E1-416E-BB48-46A65BF54441}"/>
              </c:ext>
            </c:extLst>
          </c:dPt>
          <c:dPt>
            <c:idx val="140"/>
            <c:bubble3D val="0"/>
            <c:extLst>
              <c:ext xmlns:c16="http://schemas.microsoft.com/office/drawing/2014/chart" uri="{C3380CC4-5D6E-409C-BE32-E72D297353CC}">
                <c16:uniqueId val="{00000198-C5E1-416E-BB48-46A65BF54441}"/>
              </c:ext>
            </c:extLst>
          </c:dPt>
          <c:dPt>
            <c:idx val="141"/>
            <c:bubble3D val="0"/>
            <c:extLst>
              <c:ext xmlns:c16="http://schemas.microsoft.com/office/drawing/2014/chart" uri="{C3380CC4-5D6E-409C-BE32-E72D297353CC}">
                <c16:uniqueId val="{00000199-C5E1-416E-BB48-46A65BF54441}"/>
              </c:ext>
            </c:extLst>
          </c:dPt>
          <c:dPt>
            <c:idx val="142"/>
            <c:bubble3D val="0"/>
            <c:extLst>
              <c:ext xmlns:c16="http://schemas.microsoft.com/office/drawing/2014/chart" uri="{C3380CC4-5D6E-409C-BE32-E72D297353CC}">
                <c16:uniqueId val="{0000019A-C5E1-416E-BB48-46A65BF54441}"/>
              </c:ext>
            </c:extLst>
          </c:dPt>
          <c:dPt>
            <c:idx val="143"/>
            <c:bubble3D val="0"/>
            <c:extLst>
              <c:ext xmlns:c16="http://schemas.microsoft.com/office/drawing/2014/chart" uri="{C3380CC4-5D6E-409C-BE32-E72D297353CC}">
                <c16:uniqueId val="{0000019B-C5E1-416E-BB48-46A65BF54441}"/>
              </c:ext>
            </c:extLst>
          </c:dPt>
          <c:dPt>
            <c:idx val="144"/>
            <c:bubble3D val="0"/>
            <c:extLst>
              <c:ext xmlns:c16="http://schemas.microsoft.com/office/drawing/2014/chart" uri="{C3380CC4-5D6E-409C-BE32-E72D297353CC}">
                <c16:uniqueId val="{0000019C-C5E1-416E-BB48-46A65BF54441}"/>
              </c:ext>
            </c:extLst>
          </c:dPt>
          <c:dPt>
            <c:idx val="145"/>
            <c:bubble3D val="0"/>
            <c:extLst>
              <c:ext xmlns:c16="http://schemas.microsoft.com/office/drawing/2014/chart" uri="{C3380CC4-5D6E-409C-BE32-E72D297353CC}">
                <c16:uniqueId val="{0000019D-C5E1-416E-BB48-46A65BF54441}"/>
              </c:ext>
            </c:extLst>
          </c:dPt>
          <c:dPt>
            <c:idx val="146"/>
            <c:bubble3D val="0"/>
            <c:extLst>
              <c:ext xmlns:c16="http://schemas.microsoft.com/office/drawing/2014/chart" uri="{C3380CC4-5D6E-409C-BE32-E72D297353CC}">
                <c16:uniqueId val="{0000019E-C5E1-416E-BB48-46A65BF54441}"/>
              </c:ext>
            </c:extLst>
          </c:dPt>
          <c:dPt>
            <c:idx val="148"/>
            <c:bubble3D val="0"/>
            <c:extLst>
              <c:ext xmlns:c16="http://schemas.microsoft.com/office/drawing/2014/chart" uri="{C3380CC4-5D6E-409C-BE32-E72D297353CC}">
                <c16:uniqueId val="{0000019F-C5E1-416E-BB48-46A65BF54441}"/>
              </c:ext>
            </c:extLst>
          </c:dPt>
          <c:dPt>
            <c:idx val="149"/>
            <c:bubble3D val="0"/>
            <c:extLst>
              <c:ext xmlns:c16="http://schemas.microsoft.com/office/drawing/2014/chart" uri="{C3380CC4-5D6E-409C-BE32-E72D297353CC}">
                <c16:uniqueId val="{000001A0-C5E1-416E-BB48-46A65BF54441}"/>
              </c:ext>
            </c:extLst>
          </c:dPt>
          <c:dPt>
            <c:idx val="150"/>
            <c:bubble3D val="0"/>
            <c:extLst>
              <c:ext xmlns:c16="http://schemas.microsoft.com/office/drawing/2014/chart" uri="{C3380CC4-5D6E-409C-BE32-E72D297353CC}">
                <c16:uniqueId val="{000001A1-C5E1-416E-BB48-46A65BF54441}"/>
              </c:ext>
            </c:extLst>
          </c:dPt>
          <c:dPt>
            <c:idx val="151"/>
            <c:bubble3D val="0"/>
            <c:extLst>
              <c:ext xmlns:c16="http://schemas.microsoft.com/office/drawing/2014/chart" uri="{C3380CC4-5D6E-409C-BE32-E72D297353CC}">
                <c16:uniqueId val="{000001A2-C5E1-416E-BB48-46A65BF54441}"/>
              </c:ext>
            </c:extLst>
          </c:dPt>
          <c:dPt>
            <c:idx val="152"/>
            <c:bubble3D val="0"/>
            <c:extLst>
              <c:ext xmlns:c16="http://schemas.microsoft.com/office/drawing/2014/chart" uri="{C3380CC4-5D6E-409C-BE32-E72D297353CC}">
                <c16:uniqueId val="{000001A3-C5E1-416E-BB48-46A65BF54441}"/>
              </c:ext>
            </c:extLst>
          </c:dPt>
          <c:dPt>
            <c:idx val="153"/>
            <c:bubble3D val="0"/>
            <c:extLst>
              <c:ext xmlns:c16="http://schemas.microsoft.com/office/drawing/2014/chart" uri="{C3380CC4-5D6E-409C-BE32-E72D297353CC}">
                <c16:uniqueId val="{000001A4-C5E1-416E-BB48-46A65BF54441}"/>
              </c:ext>
            </c:extLst>
          </c:dPt>
          <c:dPt>
            <c:idx val="154"/>
            <c:bubble3D val="0"/>
            <c:extLst>
              <c:ext xmlns:c16="http://schemas.microsoft.com/office/drawing/2014/chart" uri="{C3380CC4-5D6E-409C-BE32-E72D297353CC}">
                <c16:uniqueId val="{000001A5-C5E1-416E-BB48-46A65BF54441}"/>
              </c:ext>
            </c:extLst>
          </c:dPt>
          <c:dPt>
            <c:idx val="155"/>
            <c:bubble3D val="0"/>
            <c:extLst>
              <c:ext xmlns:c16="http://schemas.microsoft.com/office/drawing/2014/chart" uri="{C3380CC4-5D6E-409C-BE32-E72D297353CC}">
                <c16:uniqueId val="{000001A6-C5E1-416E-BB48-46A65BF54441}"/>
              </c:ext>
            </c:extLst>
          </c:dPt>
          <c:dPt>
            <c:idx val="156"/>
            <c:bubble3D val="0"/>
            <c:extLst>
              <c:ext xmlns:c16="http://schemas.microsoft.com/office/drawing/2014/chart" uri="{C3380CC4-5D6E-409C-BE32-E72D297353CC}">
                <c16:uniqueId val="{000001A7-C5E1-416E-BB48-46A65BF54441}"/>
              </c:ext>
            </c:extLst>
          </c:dPt>
          <c:dPt>
            <c:idx val="158"/>
            <c:bubble3D val="0"/>
            <c:extLst>
              <c:ext xmlns:c16="http://schemas.microsoft.com/office/drawing/2014/chart" uri="{C3380CC4-5D6E-409C-BE32-E72D297353CC}">
                <c16:uniqueId val="{000001A8-C5E1-416E-BB48-46A65BF54441}"/>
              </c:ext>
            </c:extLst>
          </c:dPt>
          <c:dPt>
            <c:idx val="160"/>
            <c:bubble3D val="0"/>
            <c:extLst>
              <c:ext xmlns:c16="http://schemas.microsoft.com/office/drawing/2014/chart" uri="{C3380CC4-5D6E-409C-BE32-E72D297353CC}">
                <c16:uniqueId val="{000001A9-C5E1-416E-BB48-46A65BF54441}"/>
              </c:ext>
            </c:extLst>
          </c:dPt>
          <c:dPt>
            <c:idx val="162"/>
            <c:bubble3D val="0"/>
            <c:extLst>
              <c:ext xmlns:c16="http://schemas.microsoft.com/office/drawing/2014/chart" uri="{C3380CC4-5D6E-409C-BE32-E72D297353CC}">
                <c16:uniqueId val="{000001AA-C5E1-416E-BB48-46A65BF54441}"/>
              </c:ext>
            </c:extLst>
          </c:dPt>
          <c:dPt>
            <c:idx val="163"/>
            <c:bubble3D val="0"/>
            <c:extLst>
              <c:ext xmlns:c16="http://schemas.microsoft.com/office/drawing/2014/chart" uri="{C3380CC4-5D6E-409C-BE32-E72D297353CC}">
                <c16:uniqueId val="{000001AB-C5E1-416E-BB48-46A65BF54441}"/>
              </c:ext>
            </c:extLst>
          </c:dPt>
          <c:dPt>
            <c:idx val="164"/>
            <c:bubble3D val="0"/>
            <c:extLst>
              <c:ext xmlns:c16="http://schemas.microsoft.com/office/drawing/2014/chart" uri="{C3380CC4-5D6E-409C-BE32-E72D297353CC}">
                <c16:uniqueId val="{000001AC-C5E1-416E-BB48-46A65BF54441}"/>
              </c:ext>
            </c:extLst>
          </c:dPt>
          <c:dPt>
            <c:idx val="166"/>
            <c:bubble3D val="0"/>
            <c:extLst>
              <c:ext xmlns:c16="http://schemas.microsoft.com/office/drawing/2014/chart" uri="{C3380CC4-5D6E-409C-BE32-E72D297353CC}">
                <c16:uniqueId val="{000001AD-C5E1-416E-BB48-46A65BF54441}"/>
              </c:ext>
            </c:extLst>
          </c:dPt>
          <c:dPt>
            <c:idx val="168"/>
            <c:bubble3D val="0"/>
            <c:extLst>
              <c:ext xmlns:c16="http://schemas.microsoft.com/office/drawing/2014/chart" uri="{C3380CC4-5D6E-409C-BE32-E72D297353CC}">
                <c16:uniqueId val="{000001AE-C5E1-416E-BB48-46A65BF54441}"/>
              </c:ext>
            </c:extLst>
          </c:dPt>
          <c:dPt>
            <c:idx val="170"/>
            <c:bubble3D val="0"/>
            <c:extLst>
              <c:ext xmlns:c16="http://schemas.microsoft.com/office/drawing/2014/chart" uri="{C3380CC4-5D6E-409C-BE32-E72D297353CC}">
                <c16:uniqueId val="{000001AF-C5E1-416E-BB48-46A65BF54441}"/>
              </c:ext>
            </c:extLst>
          </c:dPt>
          <c:dPt>
            <c:idx val="171"/>
            <c:bubble3D val="0"/>
            <c:extLst>
              <c:ext xmlns:c16="http://schemas.microsoft.com/office/drawing/2014/chart" uri="{C3380CC4-5D6E-409C-BE32-E72D297353CC}">
                <c16:uniqueId val="{000001B0-C5E1-416E-BB48-46A65BF54441}"/>
              </c:ext>
            </c:extLst>
          </c:dPt>
          <c:dPt>
            <c:idx val="172"/>
            <c:bubble3D val="0"/>
            <c:extLst>
              <c:ext xmlns:c16="http://schemas.microsoft.com/office/drawing/2014/chart" uri="{C3380CC4-5D6E-409C-BE32-E72D297353CC}">
                <c16:uniqueId val="{000001B1-C5E1-416E-BB48-46A65BF54441}"/>
              </c:ext>
            </c:extLst>
          </c:dPt>
          <c:dPt>
            <c:idx val="173"/>
            <c:bubble3D val="0"/>
            <c:extLst>
              <c:ext xmlns:c16="http://schemas.microsoft.com/office/drawing/2014/chart" uri="{C3380CC4-5D6E-409C-BE32-E72D297353CC}">
                <c16:uniqueId val="{000001B2-C5E1-416E-BB48-46A65BF54441}"/>
              </c:ext>
            </c:extLst>
          </c:dPt>
          <c:dPt>
            <c:idx val="175"/>
            <c:bubble3D val="0"/>
            <c:extLst>
              <c:ext xmlns:c16="http://schemas.microsoft.com/office/drawing/2014/chart" uri="{C3380CC4-5D6E-409C-BE32-E72D297353CC}">
                <c16:uniqueId val="{000001B3-C5E1-416E-BB48-46A65BF54441}"/>
              </c:ext>
            </c:extLst>
          </c:dPt>
          <c:dPt>
            <c:idx val="176"/>
            <c:bubble3D val="0"/>
            <c:extLst>
              <c:ext xmlns:c16="http://schemas.microsoft.com/office/drawing/2014/chart" uri="{C3380CC4-5D6E-409C-BE32-E72D297353CC}">
                <c16:uniqueId val="{000001B4-C5E1-416E-BB48-46A65BF54441}"/>
              </c:ext>
            </c:extLst>
          </c:dPt>
          <c:dPt>
            <c:idx val="177"/>
            <c:bubble3D val="0"/>
            <c:extLst>
              <c:ext xmlns:c16="http://schemas.microsoft.com/office/drawing/2014/chart" uri="{C3380CC4-5D6E-409C-BE32-E72D297353CC}">
                <c16:uniqueId val="{000001B5-C5E1-416E-BB48-46A65BF54441}"/>
              </c:ext>
            </c:extLst>
          </c:dPt>
          <c:dPt>
            <c:idx val="178"/>
            <c:bubble3D val="0"/>
            <c:extLst>
              <c:ext xmlns:c16="http://schemas.microsoft.com/office/drawing/2014/chart" uri="{C3380CC4-5D6E-409C-BE32-E72D297353CC}">
                <c16:uniqueId val="{000001B6-C5E1-416E-BB48-46A65BF54441}"/>
              </c:ext>
            </c:extLst>
          </c:dPt>
          <c:dPt>
            <c:idx val="179"/>
            <c:bubble3D val="0"/>
            <c:extLst>
              <c:ext xmlns:c16="http://schemas.microsoft.com/office/drawing/2014/chart" uri="{C3380CC4-5D6E-409C-BE32-E72D297353CC}">
                <c16:uniqueId val="{000001B7-C5E1-416E-BB48-46A65BF54441}"/>
              </c:ext>
            </c:extLst>
          </c:dPt>
          <c:dPt>
            <c:idx val="180"/>
            <c:bubble3D val="0"/>
            <c:extLst>
              <c:ext xmlns:c16="http://schemas.microsoft.com/office/drawing/2014/chart" uri="{C3380CC4-5D6E-409C-BE32-E72D297353CC}">
                <c16:uniqueId val="{000001B8-C5E1-416E-BB48-46A65BF54441}"/>
              </c:ext>
            </c:extLst>
          </c:dPt>
          <c:dPt>
            <c:idx val="181"/>
            <c:bubble3D val="0"/>
            <c:extLst>
              <c:ext xmlns:c16="http://schemas.microsoft.com/office/drawing/2014/chart" uri="{C3380CC4-5D6E-409C-BE32-E72D297353CC}">
                <c16:uniqueId val="{000001B9-C5E1-416E-BB48-46A65BF54441}"/>
              </c:ext>
            </c:extLst>
          </c:dPt>
          <c:dPt>
            <c:idx val="182"/>
            <c:bubble3D val="0"/>
            <c:extLst>
              <c:ext xmlns:c16="http://schemas.microsoft.com/office/drawing/2014/chart" uri="{C3380CC4-5D6E-409C-BE32-E72D297353CC}">
                <c16:uniqueId val="{000001BA-C5E1-416E-BB48-46A65BF54441}"/>
              </c:ext>
            </c:extLst>
          </c:dPt>
          <c:dPt>
            <c:idx val="186"/>
            <c:bubble3D val="0"/>
            <c:extLst>
              <c:ext xmlns:c16="http://schemas.microsoft.com/office/drawing/2014/chart" uri="{C3380CC4-5D6E-409C-BE32-E72D297353CC}">
                <c16:uniqueId val="{000001BB-C5E1-416E-BB48-46A65BF54441}"/>
              </c:ext>
            </c:extLst>
          </c:dPt>
          <c:dPt>
            <c:idx val="187"/>
            <c:bubble3D val="0"/>
            <c:extLst>
              <c:ext xmlns:c16="http://schemas.microsoft.com/office/drawing/2014/chart" uri="{C3380CC4-5D6E-409C-BE32-E72D297353CC}">
                <c16:uniqueId val="{000001BC-C5E1-416E-BB48-46A65BF54441}"/>
              </c:ext>
            </c:extLst>
          </c:dPt>
          <c:dPt>
            <c:idx val="191"/>
            <c:bubble3D val="0"/>
            <c:extLst>
              <c:ext xmlns:c16="http://schemas.microsoft.com/office/drawing/2014/chart" uri="{C3380CC4-5D6E-409C-BE32-E72D297353CC}">
                <c16:uniqueId val="{000001BD-C5E1-416E-BB48-46A65BF54441}"/>
              </c:ext>
            </c:extLst>
          </c:dPt>
          <c:dPt>
            <c:idx val="192"/>
            <c:bubble3D val="0"/>
            <c:extLst>
              <c:ext xmlns:c16="http://schemas.microsoft.com/office/drawing/2014/chart" uri="{C3380CC4-5D6E-409C-BE32-E72D297353CC}">
                <c16:uniqueId val="{000001BE-C5E1-416E-BB48-46A65BF54441}"/>
              </c:ext>
            </c:extLst>
          </c:dPt>
          <c:dPt>
            <c:idx val="193"/>
            <c:bubble3D val="0"/>
            <c:extLst>
              <c:ext xmlns:c16="http://schemas.microsoft.com/office/drawing/2014/chart" uri="{C3380CC4-5D6E-409C-BE32-E72D297353CC}">
                <c16:uniqueId val="{000001BF-C5E1-416E-BB48-46A65BF54441}"/>
              </c:ext>
            </c:extLst>
          </c:dPt>
          <c:dPt>
            <c:idx val="194"/>
            <c:bubble3D val="0"/>
            <c:extLst>
              <c:ext xmlns:c16="http://schemas.microsoft.com/office/drawing/2014/chart" uri="{C3380CC4-5D6E-409C-BE32-E72D297353CC}">
                <c16:uniqueId val="{000001C0-C5E1-416E-BB48-46A65BF54441}"/>
              </c:ext>
            </c:extLst>
          </c:dPt>
          <c:dPt>
            <c:idx val="197"/>
            <c:bubble3D val="0"/>
            <c:extLst>
              <c:ext xmlns:c16="http://schemas.microsoft.com/office/drawing/2014/chart" uri="{C3380CC4-5D6E-409C-BE32-E72D297353CC}">
                <c16:uniqueId val="{000001C1-C5E1-416E-BB48-46A65BF54441}"/>
              </c:ext>
            </c:extLst>
          </c:dPt>
          <c:dPt>
            <c:idx val="198"/>
            <c:bubble3D val="0"/>
            <c:extLst>
              <c:ext xmlns:c16="http://schemas.microsoft.com/office/drawing/2014/chart" uri="{C3380CC4-5D6E-409C-BE32-E72D297353CC}">
                <c16:uniqueId val="{000001C2-C5E1-416E-BB48-46A65BF54441}"/>
              </c:ext>
            </c:extLst>
          </c:dPt>
          <c:dPt>
            <c:idx val="199"/>
            <c:bubble3D val="0"/>
            <c:extLst>
              <c:ext xmlns:c16="http://schemas.microsoft.com/office/drawing/2014/chart" uri="{C3380CC4-5D6E-409C-BE32-E72D297353CC}">
                <c16:uniqueId val="{000001C3-C5E1-416E-BB48-46A65BF54441}"/>
              </c:ext>
            </c:extLst>
          </c:dPt>
          <c:dPt>
            <c:idx val="200"/>
            <c:bubble3D val="0"/>
            <c:extLst>
              <c:ext xmlns:c16="http://schemas.microsoft.com/office/drawing/2014/chart" uri="{C3380CC4-5D6E-409C-BE32-E72D297353CC}">
                <c16:uniqueId val="{000001C4-C5E1-416E-BB48-46A65BF54441}"/>
              </c:ext>
            </c:extLst>
          </c:dPt>
          <c:dPt>
            <c:idx val="201"/>
            <c:bubble3D val="0"/>
            <c:extLst>
              <c:ext xmlns:c16="http://schemas.microsoft.com/office/drawing/2014/chart" uri="{C3380CC4-5D6E-409C-BE32-E72D297353CC}">
                <c16:uniqueId val="{000001C5-C5E1-416E-BB48-46A65BF54441}"/>
              </c:ext>
            </c:extLst>
          </c:dPt>
          <c:dPt>
            <c:idx val="202"/>
            <c:bubble3D val="0"/>
            <c:extLst>
              <c:ext xmlns:c16="http://schemas.microsoft.com/office/drawing/2014/chart" uri="{C3380CC4-5D6E-409C-BE32-E72D297353CC}">
                <c16:uniqueId val="{000001C6-C5E1-416E-BB48-46A65BF54441}"/>
              </c:ext>
            </c:extLst>
          </c:dPt>
          <c:dPt>
            <c:idx val="203"/>
            <c:bubble3D val="0"/>
            <c:extLst>
              <c:ext xmlns:c16="http://schemas.microsoft.com/office/drawing/2014/chart" uri="{C3380CC4-5D6E-409C-BE32-E72D297353CC}">
                <c16:uniqueId val="{000001C7-C5E1-416E-BB48-46A65BF54441}"/>
              </c:ext>
            </c:extLst>
          </c:dPt>
          <c:dPt>
            <c:idx val="204"/>
            <c:bubble3D val="0"/>
            <c:extLst>
              <c:ext xmlns:c16="http://schemas.microsoft.com/office/drawing/2014/chart" uri="{C3380CC4-5D6E-409C-BE32-E72D297353CC}">
                <c16:uniqueId val="{000001C8-C5E1-416E-BB48-46A65BF54441}"/>
              </c:ext>
            </c:extLst>
          </c:dPt>
          <c:dPt>
            <c:idx val="205"/>
            <c:bubble3D val="0"/>
            <c:extLst>
              <c:ext xmlns:c16="http://schemas.microsoft.com/office/drawing/2014/chart" uri="{C3380CC4-5D6E-409C-BE32-E72D297353CC}">
                <c16:uniqueId val="{000001C9-C5E1-416E-BB48-46A65BF54441}"/>
              </c:ext>
            </c:extLst>
          </c:dPt>
          <c:dPt>
            <c:idx val="206"/>
            <c:bubble3D val="0"/>
            <c:extLst>
              <c:ext xmlns:c16="http://schemas.microsoft.com/office/drawing/2014/chart" uri="{C3380CC4-5D6E-409C-BE32-E72D297353CC}">
                <c16:uniqueId val="{000001CA-C5E1-416E-BB48-46A65BF54441}"/>
              </c:ext>
            </c:extLst>
          </c:dPt>
          <c:dPt>
            <c:idx val="207"/>
            <c:bubble3D val="0"/>
            <c:extLst>
              <c:ext xmlns:c16="http://schemas.microsoft.com/office/drawing/2014/chart" uri="{C3380CC4-5D6E-409C-BE32-E72D297353CC}">
                <c16:uniqueId val="{000001CB-C5E1-416E-BB48-46A65BF54441}"/>
              </c:ext>
            </c:extLst>
          </c:dPt>
          <c:dPt>
            <c:idx val="208"/>
            <c:bubble3D val="0"/>
            <c:extLst>
              <c:ext xmlns:c16="http://schemas.microsoft.com/office/drawing/2014/chart" uri="{C3380CC4-5D6E-409C-BE32-E72D297353CC}">
                <c16:uniqueId val="{000001CC-C5E1-416E-BB48-46A65BF54441}"/>
              </c:ext>
            </c:extLst>
          </c:dPt>
          <c:dPt>
            <c:idx val="209"/>
            <c:bubble3D val="0"/>
            <c:extLst>
              <c:ext xmlns:c16="http://schemas.microsoft.com/office/drawing/2014/chart" uri="{C3380CC4-5D6E-409C-BE32-E72D297353CC}">
                <c16:uniqueId val="{000001CD-C5E1-416E-BB48-46A65BF54441}"/>
              </c:ext>
            </c:extLst>
          </c:dPt>
          <c:dPt>
            <c:idx val="210"/>
            <c:bubble3D val="0"/>
            <c:extLst>
              <c:ext xmlns:c16="http://schemas.microsoft.com/office/drawing/2014/chart" uri="{C3380CC4-5D6E-409C-BE32-E72D297353CC}">
                <c16:uniqueId val="{000001CE-C5E1-416E-BB48-46A65BF54441}"/>
              </c:ext>
            </c:extLst>
          </c:dPt>
          <c:dPt>
            <c:idx val="212"/>
            <c:bubble3D val="0"/>
            <c:extLst>
              <c:ext xmlns:c16="http://schemas.microsoft.com/office/drawing/2014/chart" uri="{C3380CC4-5D6E-409C-BE32-E72D297353CC}">
                <c16:uniqueId val="{000001CF-C5E1-416E-BB48-46A65BF54441}"/>
              </c:ext>
            </c:extLst>
          </c:dPt>
          <c:dPt>
            <c:idx val="213"/>
            <c:bubble3D val="0"/>
            <c:extLst>
              <c:ext xmlns:c16="http://schemas.microsoft.com/office/drawing/2014/chart" uri="{C3380CC4-5D6E-409C-BE32-E72D297353CC}">
                <c16:uniqueId val="{000001D0-C5E1-416E-BB48-46A65BF54441}"/>
              </c:ext>
            </c:extLst>
          </c:dPt>
          <c:dPt>
            <c:idx val="214"/>
            <c:bubble3D val="0"/>
            <c:extLst>
              <c:ext xmlns:c16="http://schemas.microsoft.com/office/drawing/2014/chart" uri="{C3380CC4-5D6E-409C-BE32-E72D297353CC}">
                <c16:uniqueId val="{000001D1-C5E1-416E-BB48-46A65BF54441}"/>
              </c:ext>
            </c:extLst>
          </c:dPt>
          <c:dPt>
            <c:idx val="215"/>
            <c:bubble3D val="0"/>
            <c:extLst>
              <c:ext xmlns:c16="http://schemas.microsoft.com/office/drawing/2014/chart" uri="{C3380CC4-5D6E-409C-BE32-E72D297353CC}">
                <c16:uniqueId val="{000001D2-C5E1-416E-BB48-46A65BF54441}"/>
              </c:ext>
            </c:extLst>
          </c:dPt>
          <c:dPt>
            <c:idx val="216"/>
            <c:bubble3D val="0"/>
            <c:extLst>
              <c:ext xmlns:c16="http://schemas.microsoft.com/office/drawing/2014/chart" uri="{C3380CC4-5D6E-409C-BE32-E72D297353CC}">
                <c16:uniqueId val="{000001D3-C5E1-416E-BB48-46A65BF54441}"/>
              </c:ext>
            </c:extLst>
          </c:dPt>
          <c:dPt>
            <c:idx val="217"/>
            <c:bubble3D val="0"/>
            <c:extLst>
              <c:ext xmlns:c16="http://schemas.microsoft.com/office/drawing/2014/chart" uri="{C3380CC4-5D6E-409C-BE32-E72D297353CC}">
                <c16:uniqueId val="{000001D4-C5E1-416E-BB48-46A65BF54441}"/>
              </c:ext>
            </c:extLst>
          </c:dPt>
          <c:dPt>
            <c:idx val="218"/>
            <c:bubble3D val="0"/>
            <c:extLst>
              <c:ext xmlns:c16="http://schemas.microsoft.com/office/drawing/2014/chart" uri="{C3380CC4-5D6E-409C-BE32-E72D297353CC}">
                <c16:uniqueId val="{000001D5-C5E1-416E-BB48-46A65BF54441}"/>
              </c:ext>
            </c:extLst>
          </c:dPt>
          <c:dPt>
            <c:idx val="219"/>
            <c:bubble3D val="0"/>
            <c:extLst>
              <c:ext xmlns:c16="http://schemas.microsoft.com/office/drawing/2014/chart" uri="{C3380CC4-5D6E-409C-BE32-E72D297353CC}">
                <c16:uniqueId val="{000001D6-C5E1-416E-BB48-46A65BF54441}"/>
              </c:ext>
            </c:extLst>
          </c:dPt>
          <c:dPt>
            <c:idx val="220"/>
            <c:bubble3D val="0"/>
            <c:extLst>
              <c:ext xmlns:c16="http://schemas.microsoft.com/office/drawing/2014/chart" uri="{C3380CC4-5D6E-409C-BE32-E72D297353CC}">
                <c16:uniqueId val="{000001D7-C5E1-416E-BB48-46A65BF54441}"/>
              </c:ext>
            </c:extLst>
          </c:dPt>
          <c:dPt>
            <c:idx val="221"/>
            <c:bubble3D val="0"/>
            <c:extLst>
              <c:ext xmlns:c16="http://schemas.microsoft.com/office/drawing/2014/chart" uri="{C3380CC4-5D6E-409C-BE32-E72D297353CC}">
                <c16:uniqueId val="{000001D8-C5E1-416E-BB48-46A65BF54441}"/>
              </c:ext>
            </c:extLst>
          </c:dPt>
          <c:dPt>
            <c:idx val="222"/>
            <c:bubble3D val="0"/>
            <c:extLst>
              <c:ext xmlns:c16="http://schemas.microsoft.com/office/drawing/2014/chart" uri="{C3380CC4-5D6E-409C-BE32-E72D297353CC}">
                <c16:uniqueId val="{000001D9-C5E1-416E-BB48-46A65BF54441}"/>
              </c:ext>
            </c:extLst>
          </c:dPt>
          <c:dPt>
            <c:idx val="223"/>
            <c:bubble3D val="0"/>
            <c:extLst>
              <c:ext xmlns:c16="http://schemas.microsoft.com/office/drawing/2014/chart" uri="{C3380CC4-5D6E-409C-BE32-E72D297353CC}">
                <c16:uniqueId val="{000001DA-C5E1-416E-BB48-46A65BF54441}"/>
              </c:ext>
            </c:extLst>
          </c:dPt>
          <c:dPt>
            <c:idx val="224"/>
            <c:bubble3D val="0"/>
            <c:extLst>
              <c:ext xmlns:c16="http://schemas.microsoft.com/office/drawing/2014/chart" uri="{C3380CC4-5D6E-409C-BE32-E72D297353CC}">
                <c16:uniqueId val="{000001DB-C5E1-416E-BB48-46A65BF54441}"/>
              </c:ext>
            </c:extLst>
          </c:dPt>
          <c:dPt>
            <c:idx val="225"/>
            <c:bubble3D val="0"/>
            <c:extLst>
              <c:ext xmlns:c16="http://schemas.microsoft.com/office/drawing/2014/chart" uri="{C3380CC4-5D6E-409C-BE32-E72D297353CC}">
                <c16:uniqueId val="{000001DC-C5E1-416E-BB48-46A65BF54441}"/>
              </c:ext>
            </c:extLst>
          </c:dPt>
          <c:dPt>
            <c:idx val="226"/>
            <c:bubble3D val="0"/>
            <c:extLst>
              <c:ext xmlns:c16="http://schemas.microsoft.com/office/drawing/2014/chart" uri="{C3380CC4-5D6E-409C-BE32-E72D297353CC}">
                <c16:uniqueId val="{000001DD-C5E1-416E-BB48-46A65BF54441}"/>
              </c:ext>
            </c:extLst>
          </c:dPt>
          <c:dPt>
            <c:idx val="248"/>
            <c:bubble3D val="0"/>
            <c:extLst>
              <c:ext xmlns:c16="http://schemas.microsoft.com/office/drawing/2014/chart" uri="{C3380CC4-5D6E-409C-BE32-E72D297353CC}">
                <c16:uniqueId val="{000001DE-C5E1-416E-BB48-46A65BF54441}"/>
              </c:ext>
            </c:extLst>
          </c:dPt>
          <c:dPt>
            <c:idx val="249"/>
            <c:bubble3D val="0"/>
            <c:extLst>
              <c:ext xmlns:c16="http://schemas.microsoft.com/office/drawing/2014/chart" uri="{C3380CC4-5D6E-409C-BE32-E72D297353CC}">
                <c16:uniqueId val="{000001DF-C5E1-416E-BB48-46A65BF54441}"/>
              </c:ext>
            </c:extLst>
          </c:dPt>
          <c:dPt>
            <c:idx val="250"/>
            <c:bubble3D val="0"/>
            <c:extLst>
              <c:ext xmlns:c16="http://schemas.microsoft.com/office/drawing/2014/chart" uri="{C3380CC4-5D6E-409C-BE32-E72D297353CC}">
                <c16:uniqueId val="{000001E0-C5E1-416E-BB48-46A65BF54441}"/>
              </c:ext>
            </c:extLst>
          </c:dPt>
          <c:dPt>
            <c:idx val="251"/>
            <c:bubble3D val="0"/>
            <c:extLst>
              <c:ext xmlns:c16="http://schemas.microsoft.com/office/drawing/2014/chart" uri="{C3380CC4-5D6E-409C-BE32-E72D297353CC}">
                <c16:uniqueId val="{000001E1-C5E1-416E-BB48-46A65BF54441}"/>
              </c:ext>
            </c:extLst>
          </c:dPt>
          <c:dPt>
            <c:idx val="255"/>
            <c:bubble3D val="0"/>
            <c:extLst>
              <c:ext xmlns:c16="http://schemas.microsoft.com/office/drawing/2014/chart" uri="{C3380CC4-5D6E-409C-BE32-E72D297353CC}">
                <c16:uniqueId val="{000001E2-C5E1-416E-BB48-46A65BF54441}"/>
              </c:ext>
            </c:extLst>
          </c:dPt>
          <c:dPt>
            <c:idx val="258"/>
            <c:bubble3D val="0"/>
            <c:extLst>
              <c:ext xmlns:c16="http://schemas.microsoft.com/office/drawing/2014/chart" uri="{C3380CC4-5D6E-409C-BE32-E72D297353CC}">
                <c16:uniqueId val="{000001E3-C5E1-416E-BB48-46A65BF54441}"/>
              </c:ext>
            </c:extLst>
          </c:dPt>
          <c:dPt>
            <c:idx val="259"/>
            <c:bubble3D val="0"/>
            <c:extLst>
              <c:ext xmlns:c16="http://schemas.microsoft.com/office/drawing/2014/chart" uri="{C3380CC4-5D6E-409C-BE32-E72D297353CC}">
                <c16:uniqueId val="{000001E4-C5E1-416E-BB48-46A65BF54441}"/>
              </c:ext>
            </c:extLst>
          </c:dPt>
          <c:dPt>
            <c:idx val="260"/>
            <c:bubble3D val="0"/>
            <c:extLst>
              <c:ext xmlns:c16="http://schemas.microsoft.com/office/drawing/2014/chart" uri="{C3380CC4-5D6E-409C-BE32-E72D297353CC}">
                <c16:uniqueId val="{000001E5-C5E1-416E-BB48-46A65BF54441}"/>
              </c:ext>
            </c:extLst>
          </c:dPt>
          <c:dPt>
            <c:idx val="261"/>
            <c:bubble3D val="0"/>
            <c:extLst>
              <c:ext xmlns:c16="http://schemas.microsoft.com/office/drawing/2014/chart" uri="{C3380CC4-5D6E-409C-BE32-E72D297353CC}">
                <c16:uniqueId val="{000001E6-C5E1-416E-BB48-46A65BF54441}"/>
              </c:ext>
            </c:extLst>
          </c:dPt>
          <c:cat>
            <c:numRef>
              <c:f>'Bond Prices'!$L$5:$L$266</c:f>
              <c:numCache>
                <c:formatCode>m/d/yyyy</c:formatCode>
                <c:ptCount val="262"/>
                <c:pt idx="0">
                  <c:v>44279</c:v>
                </c:pt>
                <c:pt idx="1">
                  <c:v>44280</c:v>
                </c:pt>
                <c:pt idx="2">
                  <c:v>44281</c:v>
                </c:pt>
                <c:pt idx="3">
                  <c:v>44284</c:v>
                </c:pt>
                <c:pt idx="4">
                  <c:v>44285</c:v>
                </c:pt>
                <c:pt idx="5">
                  <c:v>44286</c:v>
                </c:pt>
                <c:pt idx="6">
                  <c:v>44287</c:v>
                </c:pt>
                <c:pt idx="7">
                  <c:v>44288</c:v>
                </c:pt>
                <c:pt idx="8">
                  <c:v>44291</c:v>
                </c:pt>
                <c:pt idx="9">
                  <c:v>44292</c:v>
                </c:pt>
                <c:pt idx="10">
                  <c:v>44293</c:v>
                </c:pt>
                <c:pt idx="11">
                  <c:v>44294</c:v>
                </c:pt>
                <c:pt idx="12">
                  <c:v>44295</c:v>
                </c:pt>
                <c:pt idx="13">
                  <c:v>44298</c:v>
                </c:pt>
                <c:pt idx="14">
                  <c:v>44299</c:v>
                </c:pt>
                <c:pt idx="15">
                  <c:v>44300</c:v>
                </c:pt>
                <c:pt idx="16">
                  <c:v>44301</c:v>
                </c:pt>
                <c:pt idx="17">
                  <c:v>44302</c:v>
                </c:pt>
                <c:pt idx="18">
                  <c:v>44305</c:v>
                </c:pt>
                <c:pt idx="19">
                  <c:v>44306</c:v>
                </c:pt>
                <c:pt idx="20">
                  <c:v>44307</c:v>
                </c:pt>
                <c:pt idx="21">
                  <c:v>44308</c:v>
                </c:pt>
                <c:pt idx="22">
                  <c:v>44309</c:v>
                </c:pt>
                <c:pt idx="23">
                  <c:v>44312</c:v>
                </c:pt>
                <c:pt idx="24">
                  <c:v>44313</c:v>
                </c:pt>
                <c:pt idx="25">
                  <c:v>44314</c:v>
                </c:pt>
                <c:pt idx="26">
                  <c:v>44315</c:v>
                </c:pt>
                <c:pt idx="27">
                  <c:v>44316</c:v>
                </c:pt>
                <c:pt idx="28">
                  <c:v>44319</c:v>
                </c:pt>
                <c:pt idx="29">
                  <c:v>44320</c:v>
                </c:pt>
                <c:pt idx="30">
                  <c:v>44321</c:v>
                </c:pt>
                <c:pt idx="31">
                  <c:v>44322</c:v>
                </c:pt>
                <c:pt idx="32">
                  <c:v>44323</c:v>
                </c:pt>
                <c:pt idx="33">
                  <c:v>44326</c:v>
                </c:pt>
                <c:pt idx="34">
                  <c:v>44327</c:v>
                </c:pt>
                <c:pt idx="35">
                  <c:v>44328</c:v>
                </c:pt>
                <c:pt idx="36">
                  <c:v>44329</c:v>
                </c:pt>
                <c:pt idx="37">
                  <c:v>44330</c:v>
                </c:pt>
                <c:pt idx="38">
                  <c:v>44333</c:v>
                </c:pt>
                <c:pt idx="39">
                  <c:v>44334</c:v>
                </c:pt>
                <c:pt idx="40">
                  <c:v>44335</c:v>
                </c:pt>
                <c:pt idx="41">
                  <c:v>44336</c:v>
                </c:pt>
                <c:pt idx="42">
                  <c:v>44337</c:v>
                </c:pt>
                <c:pt idx="43">
                  <c:v>44340</c:v>
                </c:pt>
                <c:pt idx="44">
                  <c:v>44341</c:v>
                </c:pt>
                <c:pt idx="45">
                  <c:v>44342</c:v>
                </c:pt>
                <c:pt idx="46">
                  <c:v>44343</c:v>
                </c:pt>
                <c:pt idx="47">
                  <c:v>44344</c:v>
                </c:pt>
                <c:pt idx="48">
                  <c:v>44347</c:v>
                </c:pt>
                <c:pt idx="49">
                  <c:v>44348</c:v>
                </c:pt>
                <c:pt idx="50">
                  <c:v>44349</c:v>
                </c:pt>
                <c:pt idx="51">
                  <c:v>44350</c:v>
                </c:pt>
                <c:pt idx="52">
                  <c:v>44351</c:v>
                </c:pt>
                <c:pt idx="53">
                  <c:v>44354</c:v>
                </c:pt>
                <c:pt idx="54">
                  <c:v>44355</c:v>
                </c:pt>
                <c:pt idx="55">
                  <c:v>44356</c:v>
                </c:pt>
                <c:pt idx="56">
                  <c:v>44357</c:v>
                </c:pt>
                <c:pt idx="57">
                  <c:v>44358</c:v>
                </c:pt>
                <c:pt idx="58">
                  <c:v>44361</c:v>
                </c:pt>
                <c:pt idx="59">
                  <c:v>44362</c:v>
                </c:pt>
                <c:pt idx="60">
                  <c:v>44363</c:v>
                </c:pt>
                <c:pt idx="61">
                  <c:v>44364</c:v>
                </c:pt>
                <c:pt idx="62">
                  <c:v>44365</c:v>
                </c:pt>
                <c:pt idx="63">
                  <c:v>44368</c:v>
                </c:pt>
                <c:pt idx="64">
                  <c:v>44369</c:v>
                </c:pt>
                <c:pt idx="65">
                  <c:v>44370</c:v>
                </c:pt>
                <c:pt idx="66">
                  <c:v>44371</c:v>
                </c:pt>
                <c:pt idx="67">
                  <c:v>44372</c:v>
                </c:pt>
                <c:pt idx="68">
                  <c:v>44375</c:v>
                </c:pt>
                <c:pt idx="69">
                  <c:v>44376</c:v>
                </c:pt>
                <c:pt idx="70">
                  <c:v>44377</c:v>
                </c:pt>
                <c:pt idx="71">
                  <c:v>44378</c:v>
                </c:pt>
                <c:pt idx="72">
                  <c:v>44379</c:v>
                </c:pt>
                <c:pt idx="73">
                  <c:v>44382</c:v>
                </c:pt>
                <c:pt idx="74">
                  <c:v>44383</c:v>
                </c:pt>
                <c:pt idx="75">
                  <c:v>44384</c:v>
                </c:pt>
                <c:pt idx="76">
                  <c:v>44385</c:v>
                </c:pt>
                <c:pt idx="77">
                  <c:v>44386</c:v>
                </c:pt>
                <c:pt idx="78">
                  <c:v>44389</c:v>
                </c:pt>
                <c:pt idx="79">
                  <c:v>44390</c:v>
                </c:pt>
                <c:pt idx="80">
                  <c:v>44391</c:v>
                </c:pt>
                <c:pt idx="81">
                  <c:v>44392</c:v>
                </c:pt>
                <c:pt idx="82">
                  <c:v>44393</c:v>
                </c:pt>
                <c:pt idx="83">
                  <c:v>44396</c:v>
                </c:pt>
                <c:pt idx="84">
                  <c:v>44397</c:v>
                </c:pt>
                <c:pt idx="85">
                  <c:v>44398</c:v>
                </c:pt>
                <c:pt idx="86">
                  <c:v>44399</c:v>
                </c:pt>
                <c:pt idx="87">
                  <c:v>44400</c:v>
                </c:pt>
                <c:pt idx="88">
                  <c:v>44403</c:v>
                </c:pt>
                <c:pt idx="89">
                  <c:v>44404</c:v>
                </c:pt>
                <c:pt idx="90">
                  <c:v>44405</c:v>
                </c:pt>
                <c:pt idx="91">
                  <c:v>44406</c:v>
                </c:pt>
                <c:pt idx="92">
                  <c:v>44407</c:v>
                </c:pt>
                <c:pt idx="93">
                  <c:v>44410</c:v>
                </c:pt>
                <c:pt idx="94">
                  <c:v>44411</c:v>
                </c:pt>
                <c:pt idx="95">
                  <c:v>44412</c:v>
                </c:pt>
                <c:pt idx="96">
                  <c:v>44413</c:v>
                </c:pt>
                <c:pt idx="97">
                  <c:v>44414</c:v>
                </c:pt>
                <c:pt idx="98">
                  <c:v>44417</c:v>
                </c:pt>
                <c:pt idx="99">
                  <c:v>44418</c:v>
                </c:pt>
                <c:pt idx="100">
                  <c:v>44419</c:v>
                </c:pt>
                <c:pt idx="101">
                  <c:v>44420</c:v>
                </c:pt>
                <c:pt idx="102">
                  <c:v>44421</c:v>
                </c:pt>
                <c:pt idx="103">
                  <c:v>44424</c:v>
                </c:pt>
                <c:pt idx="104">
                  <c:v>44425</c:v>
                </c:pt>
                <c:pt idx="105">
                  <c:v>44426</c:v>
                </c:pt>
                <c:pt idx="106">
                  <c:v>44427</c:v>
                </c:pt>
                <c:pt idx="107">
                  <c:v>44428</c:v>
                </c:pt>
                <c:pt idx="108">
                  <c:v>44431</c:v>
                </c:pt>
                <c:pt idx="109">
                  <c:v>44432</c:v>
                </c:pt>
                <c:pt idx="110">
                  <c:v>44433</c:v>
                </c:pt>
                <c:pt idx="111">
                  <c:v>44434</c:v>
                </c:pt>
                <c:pt idx="112">
                  <c:v>44435</c:v>
                </c:pt>
                <c:pt idx="113">
                  <c:v>44438</c:v>
                </c:pt>
                <c:pt idx="114">
                  <c:v>44439</c:v>
                </c:pt>
                <c:pt idx="115">
                  <c:v>44440</c:v>
                </c:pt>
                <c:pt idx="116">
                  <c:v>44441</c:v>
                </c:pt>
                <c:pt idx="117">
                  <c:v>44442</c:v>
                </c:pt>
                <c:pt idx="118">
                  <c:v>44445</c:v>
                </c:pt>
                <c:pt idx="119">
                  <c:v>44446</c:v>
                </c:pt>
                <c:pt idx="120">
                  <c:v>44447</c:v>
                </c:pt>
                <c:pt idx="121">
                  <c:v>44448</c:v>
                </c:pt>
                <c:pt idx="122">
                  <c:v>44449</c:v>
                </c:pt>
                <c:pt idx="123">
                  <c:v>44452</c:v>
                </c:pt>
                <c:pt idx="124">
                  <c:v>44453</c:v>
                </c:pt>
                <c:pt idx="125">
                  <c:v>44454</c:v>
                </c:pt>
                <c:pt idx="126">
                  <c:v>44455</c:v>
                </c:pt>
                <c:pt idx="127">
                  <c:v>44456</c:v>
                </c:pt>
                <c:pt idx="128">
                  <c:v>44459</c:v>
                </c:pt>
                <c:pt idx="129">
                  <c:v>44460</c:v>
                </c:pt>
                <c:pt idx="130">
                  <c:v>44461</c:v>
                </c:pt>
                <c:pt idx="131">
                  <c:v>44462</c:v>
                </c:pt>
                <c:pt idx="132">
                  <c:v>44463</c:v>
                </c:pt>
                <c:pt idx="133">
                  <c:v>44466</c:v>
                </c:pt>
                <c:pt idx="134">
                  <c:v>44467</c:v>
                </c:pt>
                <c:pt idx="135">
                  <c:v>44468</c:v>
                </c:pt>
                <c:pt idx="136">
                  <c:v>44469</c:v>
                </c:pt>
                <c:pt idx="137">
                  <c:v>44470</c:v>
                </c:pt>
                <c:pt idx="138">
                  <c:v>44473</c:v>
                </c:pt>
                <c:pt idx="139">
                  <c:v>44474</c:v>
                </c:pt>
                <c:pt idx="140">
                  <c:v>44475</c:v>
                </c:pt>
                <c:pt idx="141">
                  <c:v>44476</c:v>
                </c:pt>
                <c:pt idx="142">
                  <c:v>44477</c:v>
                </c:pt>
                <c:pt idx="143">
                  <c:v>44480</c:v>
                </c:pt>
                <c:pt idx="144">
                  <c:v>44481</c:v>
                </c:pt>
                <c:pt idx="145">
                  <c:v>44482</c:v>
                </c:pt>
                <c:pt idx="146">
                  <c:v>44483</c:v>
                </c:pt>
                <c:pt idx="147">
                  <c:v>44484</c:v>
                </c:pt>
                <c:pt idx="148">
                  <c:v>44487</c:v>
                </c:pt>
                <c:pt idx="149">
                  <c:v>44488</c:v>
                </c:pt>
                <c:pt idx="150">
                  <c:v>44489</c:v>
                </c:pt>
                <c:pt idx="151">
                  <c:v>44490</c:v>
                </c:pt>
                <c:pt idx="152">
                  <c:v>44491</c:v>
                </c:pt>
                <c:pt idx="153">
                  <c:v>44494</c:v>
                </c:pt>
                <c:pt idx="154">
                  <c:v>44495</c:v>
                </c:pt>
                <c:pt idx="155">
                  <c:v>44496</c:v>
                </c:pt>
                <c:pt idx="156">
                  <c:v>44497</c:v>
                </c:pt>
                <c:pt idx="157">
                  <c:v>44498</c:v>
                </c:pt>
                <c:pt idx="158">
                  <c:v>44501</c:v>
                </c:pt>
                <c:pt idx="159">
                  <c:v>44502</c:v>
                </c:pt>
                <c:pt idx="160">
                  <c:v>44503</c:v>
                </c:pt>
                <c:pt idx="161">
                  <c:v>44504</c:v>
                </c:pt>
                <c:pt idx="162">
                  <c:v>44505</c:v>
                </c:pt>
                <c:pt idx="163">
                  <c:v>44508</c:v>
                </c:pt>
                <c:pt idx="164">
                  <c:v>44509</c:v>
                </c:pt>
                <c:pt idx="165">
                  <c:v>44510</c:v>
                </c:pt>
                <c:pt idx="166">
                  <c:v>44511</c:v>
                </c:pt>
                <c:pt idx="167">
                  <c:v>44512</c:v>
                </c:pt>
                <c:pt idx="168">
                  <c:v>44515</c:v>
                </c:pt>
                <c:pt idx="169">
                  <c:v>44516</c:v>
                </c:pt>
                <c:pt idx="170">
                  <c:v>44517</c:v>
                </c:pt>
                <c:pt idx="171">
                  <c:v>44518</c:v>
                </c:pt>
                <c:pt idx="172">
                  <c:v>44519</c:v>
                </c:pt>
                <c:pt idx="173">
                  <c:v>44522</c:v>
                </c:pt>
                <c:pt idx="174">
                  <c:v>44523</c:v>
                </c:pt>
                <c:pt idx="175">
                  <c:v>44524</c:v>
                </c:pt>
                <c:pt idx="176">
                  <c:v>44525</c:v>
                </c:pt>
                <c:pt idx="177">
                  <c:v>44526</c:v>
                </c:pt>
                <c:pt idx="178">
                  <c:v>44529</c:v>
                </c:pt>
                <c:pt idx="179">
                  <c:v>44530</c:v>
                </c:pt>
                <c:pt idx="180">
                  <c:v>44531</c:v>
                </c:pt>
                <c:pt idx="181">
                  <c:v>44532</c:v>
                </c:pt>
                <c:pt idx="182">
                  <c:v>44533</c:v>
                </c:pt>
                <c:pt idx="183">
                  <c:v>44536</c:v>
                </c:pt>
                <c:pt idx="184">
                  <c:v>44537</c:v>
                </c:pt>
                <c:pt idx="185">
                  <c:v>44538</c:v>
                </c:pt>
                <c:pt idx="186">
                  <c:v>44539</c:v>
                </c:pt>
                <c:pt idx="187">
                  <c:v>44540</c:v>
                </c:pt>
                <c:pt idx="188">
                  <c:v>44543</c:v>
                </c:pt>
                <c:pt idx="189">
                  <c:v>44544</c:v>
                </c:pt>
                <c:pt idx="190">
                  <c:v>44545</c:v>
                </c:pt>
                <c:pt idx="191">
                  <c:v>44546</c:v>
                </c:pt>
                <c:pt idx="192">
                  <c:v>44547</c:v>
                </c:pt>
                <c:pt idx="193">
                  <c:v>44550</c:v>
                </c:pt>
                <c:pt idx="194">
                  <c:v>44551</c:v>
                </c:pt>
                <c:pt idx="195">
                  <c:v>44552</c:v>
                </c:pt>
                <c:pt idx="196">
                  <c:v>44553</c:v>
                </c:pt>
                <c:pt idx="197">
                  <c:v>44554</c:v>
                </c:pt>
                <c:pt idx="198">
                  <c:v>44557</c:v>
                </c:pt>
                <c:pt idx="199">
                  <c:v>44558</c:v>
                </c:pt>
                <c:pt idx="200">
                  <c:v>44559</c:v>
                </c:pt>
                <c:pt idx="201">
                  <c:v>44560</c:v>
                </c:pt>
                <c:pt idx="202">
                  <c:v>44561</c:v>
                </c:pt>
                <c:pt idx="203">
                  <c:v>44564</c:v>
                </c:pt>
                <c:pt idx="204">
                  <c:v>44565</c:v>
                </c:pt>
                <c:pt idx="205">
                  <c:v>44566</c:v>
                </c:pt>
                <c:pt idx="206">
                  <c:v>44567</c:v>
                </c:pt>
                <c:pt idx="207">
                  <c:v>44568</c:v>
                </c:pt>
                <c:pt idx="208">
                  <c:v>44571</c:v>
                </c:pt>
                <c:pt idx="209">
                  <c:v>44572</c:v>
                </c:pt>
                <c:pt idx="210">
                  <c:v>44573</c:v>
                </c:pt>
                <c:pt idx="211">
                  <c:v>44574</c:v>
                </c:pt>
                <c:pt idx="212">
                  <c:v>44575</c:v>
                </c:pt>
                <c:pt idx="213">
                  <c:v>44578</c:v>
                </c:pt>
                <c:pt idx="214">
                  <c:v>44579</c:v>
                </c:pt>
                <c:pt idx="215">
                  <c:v>44580</c:v>
                </c:pt>
                <c:pt idx="216">
                  <c:v>44581</c:v>
                </c:pt>
                <c:pt idx="217">
                  <c:v>44582</c:v>
                </c:pt>
                <c:pt idx="218">
                  <c:v>44585</c:v>
                </c:pt>
                <c:pt idx="219">
                  <c:v>44586</c:v>
                </c:pt>
                <c:pt idx="220">
                  <c:v>44587</c:v>
                </c:pt>
                <c:pt idx="221">
                  <c:v>44588</c:v>
                </c:pt>
                <c:pt idx="222">
                  <c:v>44589</c:v>
                </c:pt>
                <c:pt idx="223">
                  <c:v>44592</c:v>
                </c:pt>
                <c:pt idx="224">
                  <c:v>44593</c:v>
                </c:pt>
                <c:pt idx="225">
                  <c:v>44594</c:v>
                </c:pt>
                <c:pt idx="226">
                  <c:v>44595</c:v>
                </c:pt>
                <c:pt idx="227">
                  <c:v>44596</c:v>
                </c:pt>
                <c:pt idx="228">
                  <c:v>44599</c:v>
                </c:pt>
                <c:pt idx="229">
                  <c:v>44600</c:v>
                </c:pt>
                <c:pt idx="230">
                  <c:v>44601</c:v>
                </c:pt>
                <c:pt idx="231">
                  <c:v>44602</c:v>
                </c:pt>
                <c:pt idx="232">
                  <c:v>44603</c:v>
                </c:pt>
                <c:pt idx="233">
                  <c:v>44606</c:v>
                </c:pt>
                <c:pt idx="234">
                  <c:v>44607</c:v>
                </c:pt>
                <c:pt idx="235">
                  <c:v>44608</c:v>
                </c:pt>
                <c:pt idx="236">
                  <c:v>44609</c:v>
                </c:pt>
                <c:pt idx="237">
                  <c:v>44610</c:v>
                </c:pt>
                <c:pt idx="238">
                  <c:v>44613</c:v>
                </c:pt>
                <c:pt idx="239">
                  <c:v>44614</c:v>
                </c:pt>
                <c:pt idx="240">
                  <c:v>44615</c:v>
                </c:pt>
                <c:pt idx="241">
                  <c:v>44616</c:v>
                </c:pt>
                <c:pt idx="242">
                  <c:v>44617</c:v>
                </c:pt>
                <c:pt idx="243">
                  <c:v>44620</c:v>
                </c:pt>
                <c:pt idx="244">
                  <c:v>44621</c:v>
                </c:pt>
                <c:pt idx="245">
                  <c:v>44622</c:v>
                </c:pt>
                <c:pt idx="246">
                  <c:v>44623</c:v>
                </c:pt>
                <c:pt idx="247">
                  <c:v>44624</c:v>
                </c:pt>
                <c:pt idx="248">
                  <c:v>44627</c:v>
                </c:pt>
                <c:pt idx="249">
                  <c:v>44628</c:v>
                </c:pt>
                <c:pt idx="250">
                  <c:v>44629</c:v>
                </c:pt>
                <c:pt idx="251">
                  <c:v>44630</c:v>
                </c:pt>
                <c:pt idx="252">
                  <c:v>44631</c:v>
                </c:pt>
                <c:pt idx="253">
                  <c:v>44634</c:v>
                </c:pt>
                <c:pt idx="254">
                  <c:v>44635</c:v>
                </c:pt>
                <c:pt idx="255">
                  <c:v>44636</c:v>
                </c:pt>
                <c:pt idx="256">
                  <c:v>44637</c:v>
                </c:pt>
                <c:pt idx="257">
                  <c:v>44638</c:v>
                </c:pt>
                <c:pt idx="258">
                  <c:v>44641</c:v>
                </c:pt>
                <c:pt idx="259">
                  <c:v>44642</c:v>
                </c:pt>
                <c:pt idx="260">
                  <c:v>44643</c:v>
                </c:pt>
                <c:pt idx="261">
                  <c:v>44644</c:v>
                </c:pt>
              </c:numCache>
            </c:numRef>
          </c:cat>
          <c:val>
            <c:numRef>
              <c:f>'Bond Prices'!$P$5:$P$266</c:f>
              <c:numCache>
                <c:formatCode>0.0</c:formatCode>
                <c:ptCount val="262"/>
                <c:pt idx="0">
                  <c:v>104.02719</c:v>
                </c:pt>
                <c:pt idx="1">
                  <c:v>104.00127000000001</c:v>
                </c:pt>
                <c:pt idx="2">
                  <c:v>104.06901000000001</c:v>
                </c:pt>
                <c:pt idx="3">
                  <c:v>104.05443</c:v>
                </c:pt>
                <c:pt idx="4">
                  <c:v>104.04588</c:v>
                </c:pt>
                <c:pt idx="5">
                  <c:v>104.10451999999999</c:v>
                </c:pt>
                <c:pt idx="6">
                  <c:v>104.00111</c:v>
                </c:pt>
                <c:pt idx="7">
                  <c:v>104.00111</c:v>
                </c:pt>
                <c:pt idx="8">
                  <c:v>104.00649</c:v>
                </c:pt>
                <c:pt idx="9">
                  <c:v>104.04834</c:v>
                </c:pt>
                <c:pt idx="10">
                  <c:v>104.06357</c:v>
                </c:pt>
                <c:pt idx="11">
                  <c:v>104.06903</c:v>
                </c:pt>
                <c:pt idx="12">
                  <c:v>104.06447</c:v>
                </c:pt>
                <c:pt idx="13">
                  <c:v>103.97118</c:v>
                </c:pt>
                <c:pt idx="14">
                  <c:v>103.93868999999999</c:v>
                </c:pt>
                <c:pt idx="15">
                  <c:v>103.92533</c:v>
                </c:pt>
                <c:pt idx="16">
                  <c:v>103.91777</c:v>
                </c:pt>
                <c:pt idx="17">
                  <c:v>103.88421</c:v>
                </c:pt>
                <c:pt idx="18">
                  <c:v>103.97056000000001</c:v>
                </c:pt>
                <c:pt idx="19">
                  <c:v>103.91376</c:v>
                </c:pt>
                <c:pt idx="20">
                  <c:v>103.85729000000001</c:v>
                </c:pt>
                <c:pt idx="21">
                  <c:v>103.83797</c:v>
                </c:pt>
                <c:pt idx="22">
                  <c:v>103.81686999999999</c:v>
                </c:pt>
                <c:pt idx="23">
                  <c:v>103.89899</c:v>
                </c:pt>
                <c:pt idx="24">
                  <c:v>103.95034</c:v>
                </c:pt>
                <c:pt idx="25">
                  <c:v>103.90904</c:v>
                </c:pt>
                <c:pt idx="26">
                  <c:v>103.94139</c:v>
                </c:pt>
                <c:pt idx="27">
                  <c:v>103.92415</c:v>
                </c:pt>
                <c:pt idx="28">
                  <c:v>103.85518</c:v>
                </c:pt>
                <c:pt idx="29">
                  <c:v>103.92513</c:v>
                </c:pt>
                <c:pt idx="30">
                  <c:v>103.961</c:v>
                </c:pt>
                <c:pt idx="31">
                  <c:v>104.01908</c:v>
                </c:pt>
                <c:pt idx="32">
                  <c:v>104.17198</c:v>
                </c:pt>
                <c:pt idx="33">
                  <c:v>104.18483000000001</c:v>
                </c:pt>
                <c:pt idx="34">
                  <c:v>103.89943</c:v>
                </c:pt>
                <c:pt idx="35">
                  <c:v>103.95644</c:v>
                </c:pt>
                <c:pt idx="36">
                  <c:v>103.94553999999999</c:v>
                </c:pt>
                <c:pt idx="37">
                  <c:v>103.92131000000001</c:v>
                </c:pt>
                <c:pt idx="38">
                  <c:v>103.90394000000001</c:v>
                </c:pt>
                <c:pt idx="39">
                  <c:v>103.81971</c:v>
                </c:pt>
                <c:pt idx="40">
                  <c:v>103.9097</c:v>
                </c:pt>
                <c:pt idx="41">
                  <c:v>103.76102</c:v>
                </c:pt>
                <c:pt idx="42">
                  <c:v>103.69862000000001</c:v>
                </c:pt>
                <c:pt idx="43">
                  <c:v>103.95166</c:v>
                </c:pt>
                <c:pt idx="44">
                  <c:v>103.94753</c:v>
                </c:pt>
                <c:pt idx="45">
                  <c:v>104.00148</c:v>
                </c:pt>
                <c:pt idx="46">
                  <c:v>103.9551</c:v>
                </c:pt>
                <c:pt idx="47">
                  <c:v>103.88589</c:v>
                </c:pt>
                <c:pt idx="48">
                  <c:v>103.83</c:v>
                </c:pt>
                <c:pt idx="49">
                  <c:v>103.87155</c:v>
                </c:pt>
                <c:pt idx="50">
                  <c:v>103.92112</c:v>
                </c:pt>
                <c:pt idx="51">
                  <c:v>103.82662000000001</c:v>
                </c:pt>
                <c:pt idx="52">
                  <c:v>103.74787000000001</c:v>
                </c:pt>
                <c:pt idx="53">
                  <c:v>103.8562</c:v>
                </c:pt>
                <c:pt idx="54">
                  <c:v>103.34291</c:v>
                </c:pt>
                <c:pt idx="55">
                  <c:v>103.72058</c:v>
                </c:pt>
                <c:pt idx="56">
                  <c:v>103.68275</c:v>
                </c:pt>
                <c:pt idx="57">
                  <c:v>103.69906</c:v>
                </c:pt>
                <c:pt idx="58">
                  <c:v>103.72926</c:v>
                </c:pt>
                <c:pt idx="59">
                  <c:v>103.71210000000001</c:v>
                </c:pt>
                <c:pt idx="60">
                  <c:v>103.63437999999999</c:v>
                </c:pt>
                <c:pt idx="61">
                  <c:v>103.57252</c:v>
                </c:pt>
                <c:pt idx="62">
                  <c:v>103.39668</c:v>
                </c:pt>
                <c:pt idx="63">
                  <c:v>103.62699000000001</c:v>
                </c:pt>
                <c:pt idx="64">
                  <c:v>103.61951999999999</c:v>
                </c:pt>
                <c:pt idx="65">
                  <c:v>103.41074</c:v>
                </c:pt>
                <c:pt idx="66">
                  <c:v>103.63276999999999</c:v>
                </c:pt>
                <c:pt idx="67">
                  <c:v>103.61727999999999</c:v>
                </c:pt>
                <c:pt idx="68">
                  <c:v>103.63023</c:v>
                </c:pt>
                <c:pt idx="69">
                  <c:v>103.70376</c:v>
                </c:pt>
                <c:pt idx="70">
                  <c:v>103.72726</c:v>
                </c:pt>
                <c:pt idx="71">
                  <c:v>103.58971</c:v>
                </c:pt>
                <c:pt idx="72">
                  <c:v>103.62940999999999</c:v>
                </c:pt>
                <c:pt idx="73">
                  <c:v>103.53</c:v>
                </c:pt>
                <c:pt idx="74">
                  <c:v>103.61028</c:v>
                </c:pt>
                <c:pt idx="75">
                  <c:v>103.7663</c:v>
                </c:pt>
                <c:pt idx="76">
                  <c:v>103.47408</c:v>
                </c:pt>
                <c:pt idx="77">
                  <c:v>103.38419</c:v>
                </c:pt>
                <c:pt idx="78">
                  <c:v>103.46675</c:v>
                </c:pt>
                <c:pt idx="79">
                  <c:v>103.35133999999999</c:v>
                </c:pt>
                <c:pt idx="80">
                  <c:v>103.44074000000001</c:v>
                </c:pt>
                <c:pt idx="81">
                  <c:v>103.40893</c:v>
                </c:pt>
                <c:pt idx="82">
                  <c:v>103.32458</c:v>
                </c:pt>
                <c:pt idx="83">
                  <c:v>103.55642</c:v>
                </c:pt>
                <c:pt idx="84">
                  <c:v>103.47722</c:v>
                </c:pt>
                <c:pt idx="85">
                  <c:v>103.42581</c:v>
                </c:pt>
                <c:pt idx="86">
                  <c:v>103.45898</c:v>
                </c:pt>
                <c:pt idx="87">
                  <c:v>103.40459</c:v>
                </c:pt>
                <c:pt idx="88">
                  <c:v>103.0181</c:v>
                </c:pt>
                <c:pt idx="89">
                  <c:v>103.49297</c:v>
                </c:pt>
                <c:pt idx="90">
                  <c:v>103.34394</c:v>
                </c:pt>
                <c:pt idx="91">
                  <c:v>103.47765</c:v>
                </c:pt>
                <c:pt idx="92">
                  <c:v>103.47802</c:v>
                </c:pt>
                <c:pt idx="93">
                  <c:v>103.53721</c:v>
                </c:pt>
                <c:pt idx="94">
                  <c:v>103.58404</c:v>
                </c:pt>
                <c:pt idx="95">
                  <c:v>103.53076</c:v>
                </c:pt>
                <c:pt idx="96">
                  <c:v>103.52032</c:v>
                </c:pt>
                <c:pt idx="97">
                  <c:v>103.36100999999999</c:v>
                </c:pt>
                <c:pt idx="98">
                  <c:v>103.30698</c:v>
                </c:pt>
                <c:pt idx="99">
                  <c:v>103.39623</c:v>
                </c:pt>
                <c:pt idx="100">
                  <c:v>103.30886</c:v>
                </c:pt>
                <c:pt idx="101">
                  <c:v>103.31083</c:v>
                </c:pt>
                <c:pt idx="102">
                  <c:v>103.3456</c:v>
                </c:pt>
                <c:pt idx="103">
                  <c:v>103.37915</c:v>
                </c:pt>
                <c:pt idx="104">
                  <c:v>103.28324000000001</c:v>
                </c:pt>
                <c:pt idx="105">
                  <c:v>103.32136</c:v>
                </c:pt>
                <c:pt idx="106">
                  <c:v>103.22657</c:v>
                </c:pt>
                <c:pt idx="107">
                  <c:v>103.25226000000001</c:v>
                </c:pt>
                <c:pt idx="108">
                  <c:v>103.26262</c:v>
                </c:pt>
                <c:pt idx="109">
                  <c:v>103.18143000000001</c:v>
                </c:pt>
                <c:pt idx="110">
                  <c:v>103.21362000000001</c:v>
                </c:pt>
                <c:pt idx="111">
                  <c:v>103.23419</c:v>
                </c:pt>
                <c:pt idx="112">
                  <c:v>103.28212000000001</c:v>
                </c:pt>
                <c:pt idx="113">
                  <c:v>103.23222</c:v>
                </c:pt>
                <c:pt idx="114">
                  <c:v>103.22611999999999</c:v>
                </c:pt>
                <c:pt idx="115">
                  <c:v>103.21347</c:v>
                </c:pt>
                <c:pt idx="116">
                  <c:v>103.13681</c:v>
                </c:pt>
                <c:pt idx="117">
                  <c:v>103.20475</c:v>
                </c:pt>
                <c:pt idx="118">
                  <c:v>103.08</c:v>
                </c:pt>
                <c:pt idx="119">
                  <c:v>103.233</c:v>
                </c:pt>
                <c:pt idx="120">
                  <c:v>103.14225999999999</c:v>
                </c:pt>
                <c:pt idx="121">
                  <c:v>103.11638000000001</c:v>
                </c:pt>
                <c:pt idx="122">
                  <c:v>103.1221</c:v>
                </c:pt>
                <c:pt idx="123">
                  <c:v>103.05786999999999</c:v>
                </c:pt>
                <c:pt idx="124">
                  <c:v>103.09017</c:v>
                </c:pt>
                <c:pt idx="125">
                  <c:v>103.0814</c:v>
                </c:pt>
                <c:pt idx="126">
                  <c:v>103.0835</c:v>
                </c:pt>
                <c:pt idx="127">
                  <c:v>103.0547</c:v>
                </c:pt>
                <c:pt idx="128">
                  <c:v>103.02974</c:v>
                </c:pt>
                <c:pt idx="129">
                  <c:v>103.05314</c:v>
                </c:pt>
                <c:pt idx="130">
                  <c:v>103.02074</c:v>
                </c:pt>
                <c:pt idx="131">
                  <c:v>103.02488</c:v>
                </c:pt>
                <c:pt idx="132">
                  <c:v>103.06189999999999</c:v>
                </c:pt>
                <c:pt idx="133">
                  <c:v>103.00309</c:v>
                </c:pt>
                <c:pt idx="134">
                  <c:v>102.89377</c:v>
                </c:pt>
                <c:pt idx="135">
                  <c:v>102.90599</c:v>
                </c:pt>
                <c:pt idx="136">
                  <c:v>102.90031</c:v>
                </c:pt>
                <c:pt idx="137">
                  <c:v>102.9409</c:v>
                </c:pt>
                <c:pt idx="138">
                  <c:v>103.01354000000001</c:v>
                </c:pt>
                <c:pt idx="139">
                  <c:v>102.92316</c:v>
                </c:pt>
                <c:pt idx="140">
                  <c:v>102.91952000000001</c:v>
                </c:pt>
                <c:pt idx="141">
                  <c:v>102.80999</c:v>
                </c:pt>
                <c:pt idx="142">
                  <c:v>102.892</c:v>
                </c:pt>
                <c:pt idx="143">
                  <c:v>102.87325</c:v>
                </c:pt>
                <c:pt idx="144">
                  <c:v>102.84432</c:v>
                </c:pt>
                <c:pt idx="145">
                  <c:v>102.79421000000001</c:v>
                </c:pt>
                <c:pt idx="146">
                  <c:v>102.74764999999999</c:v>
                </c:pt>
                <c:pt idx="147">
                  <c:v>102.75348</c:v>
                </c:pt>
                <c:pt idx="148">
                  <c:v>102.6825</c:v>
                </c:pt>
                <c:pt idx="149">
                  <c:v>102.75694</c:v>
                </c:pt>
                <c:pt idx="150">
                  <c:v>102.76468</c:v>
                </c:pt>
                <c:pt idx="151">
                  <c:v>102.68155</c:v>
                </c:pt>
                <c:pt idx="152">
                  <c:v>102.51412000000001</c:v>
                </c:pt>
                <c:pt idx="153">
                  <c:v>102.44435</c:v>
                </c:pt>
                <c:pt idx="154">
                  <c:v>102.633</c:v>
                </c:pt>
                <c:pt idx="155">
                  <c:v>102.68658000000001</c:v>
                </c:pt>
                <c:pt idx="156">
                  <c:v>102.62763</c:v>
                </c:pt>
                <c:pt idx="157">
                  <c:v>102.63761</c:v>
                </c:pt>
                <c:pt idx="158">
                  <c:v>102.53668999999999</c:v>
                </c:pt>
                <c:pt idx="159">
                  <c:v>102.63194</c:v>
                </c:pt>
                <c:pt idx="160">
                  <c:v>102.56688</c:v>
                </c:pt>
                <c:pt idx="161">
                  <c:v>102.66982</c:v>
                </c:pt>
                <c:pt idx="162">
                  <c:v>102.71127</c:v>
                </c:pt>
                <c:pt idx="163">
                  <c:v>102.62732</c:v>
                </c:pt>
                <c:pt idx="164">
                  <c:v>102.63064</c:v>
                </c:pt>
                <c:pt idx="165">
                  <c:v>102.52105</c:v>
                </c:pt>
                <c:pt idx="166">
                  <c:v>102.48348</c:v>
                </c:pt>
                <c:pt idx="167">
                  <c:v>102.46007</c:v>
                </c:pt>
                <c:pt idx="168">
                  <c:v>102.33417</c:v>
                </c:pt>
                <c:pt idx="169">
                  <c:v>102.40553</c:v>
                </c:pt>
                <c:pt idx="170">
                  <c:v>102.46831</c:v>
                </c:pt>
                <c:pt idx="171">
                  <c:v>102.35075999999999</c:v>
                </c:pt>
                <c:pt idx="172">
                  <c:v>102.29855000000001</c:v>
                </c:pt>
                <c:pt idx="173">
                  <c:v>102.34708999999999</c:v>
                </c:pt>
                <c:pt idx="174">
                  <c:v>102.27459</c:v>
                </c:pt>
                <c:pt idx="175">
                  <c:v>102.35404</c:v>
                </c:pt>
                <c:pt idx="176">
                  <c:v>102.16</c:v>
                </c:pt>
                <c:pt idx="177">
                  <c:v>102.4328</c:v>
                </c:pt>
                <c:pt idx="178">
                  <c:v>102.25227</c:v>
                </c:pt>
                <c:pt idx="179">
                  <c:v>102.209</c:v>
                </c:pt>
                <c:pt idx="180">
                  <c:v>102.16115000000001</c:v>
                </c:pt>
                <c:pt idx="181">
                  <c:v>102.10339999999999</c:v>
                </c:pt>
                <c:pt idx="182">
                  <c:v>102.18208</c:v>
                </c:pt>
                <c:pt idx="183">
                  <c:v>102.12371</c:v>
                </c:pt>
                <c:pt idx="184">
                  <c:v>102.00561</c:v>
                </c:pt>
                <c:pt idx="185">
                  <c:v>102.01118</c:v>
                </c:pt>
                <c:pt idx="186">
                  <c:v>101.98681999999999</c:v>
                </c:pt>
                <c:pt idx="187">
                  <c:v>102.11172000000001</c:v>
                </c:pt>
                <c:pt idx="188">
                  <c:v>102.20761</c:v>
                </c:pt>
                <c:pt idx="189">
                  <c:v>102.18643</c:v>
                </c:pt>
                <c:pt idx="190">
                  <c:v>102.15873999999999</c:v>
                </c:pt>
                <c:pt idx="191">
                  <c:v>102.22783</c:v>
                </c:pt>
                <c:pt idx="192">
                  <c:v>102.20193999999999</c:v>
                </c:pt>
                <c:pt idx="193">
                  <c:v>102.15382</c:v>
                </c:pt>
                <c:pt idx="194">
                  <c:v>102.09828</c:v>
                </c:pt>
                <c:pt idx="195">
                  <c:v>102.08443</c:v>
                </c:pt>
                <c:pt idx="196">
                  <c:v>102.22784</c:v>
                </c:pt>
                <c:pt idx="197">
                  <c:v>102.22784</c:v>
                </c:pt>
                <c:pt idx="198">
                  <c:v>102.22445</c:v>
                </c:pt>
                <c:pt idx="199">
                  <c:v>102.22247</c:v>
                </c:pt>
                <c:pt idx="200">
                  <c:v>102.19781999999999</c:v>
                </c:pt>
                <c:pt idx="201">
                  <c:v>102.19873</c:v>
                </c:pt>
                <c:pt idx="202">
                  <c:v>102.20251</c:v>
                </c:pt>
                <c:pt idx="203">
                  <c:v>102.1104</c:v>
                </c:pt>
                <c:pt idx="204">
                  <c:v>102.08956000000001</c:v>
                </c:pt>
                <c:pt idx="205">
                  <c:v>102.0187</c:v>
                </c:pt>
                <c:pt idx="206">
                  <c:v>101.91498</c:v>
                </c:pt>
                <c:pt idx="207">
                  <c:v>101.92129</c:v>
                </c:pt>
                <c:pt idx="208">
                  <c:v>101.88345</c:v>
                </c:pt>
                <c:pt idx="209">
                  <c:v>101.89937999999999</c:v>
                </c:pt>
                <c:pt idx="210">
                  <c:v>101.88581000000001</c:v>
                </c:pt>
                <c:pt idx="211">
                  <c:v>101.88382</c:v>
                </c:pt>
                <c:pt idx="212">
                  <c:v>101.80942</c:v>
                </c:pt>
                <c:pt idx="213">
                  <c:v>101.78</c:v>
                </c:pt>
                <c:pt idx="214">
                  <c:v>101.679</c:v>
                </c:pt>
                <c:pt idx="215">
                  <c:v>101.69381</c:v>
                </c:pt>
                <c:pt idx="216">
                  <c:v>101.68794</c:v>
                </c:pt>
                <c:pt idx="217">
                  <c:v>101.72268</c:v>
                </c:pt>
                <c:pt idx="218">
                  <c:v>101.73593</c:v>
                </c:pt>
                <c:pt idx="219">
                  <c:v>101.71692</c:v>
                </c:pt>
                <c:pt idx="220">
                  <c:v>101.643</c:v>
                </c:pt>
                <c:pt idx="221">
                  <c:v>101.48723</c:v>
                </c:pt>
                <c:pt idx="222">
                  <c:v>101.44074999999999</c:v>
                </c:pt>
                <c:pt idx="223">
                  <c:v>101.43176</c:v>
                </c:pt>
                <c:pt idx="224">
                  <c:v>101.44159999999999</c:v>
                </c:pt>
                <c:pt idx="225">
                  <c:v>101.44637</c:v>
                </c:pt>
                <c:pt idx="226">
                  <c:v>101.39968</c:v>
                </c:pt>
                <c:pt idx="227">
                  <c:v>101.25734</c:v>
                </c:pt>
                <c:pt idx="228">
                  <c:v>101.27538</c:v>
                </c:pt>
                <c:pt idx="229">
                  <c:v>101.23196</c:v>
                </c:pt>
                <c:pt idx="230">
                  <c:v>101.2221</c:v>
                </c:pt>
                <c:pt idx="231">
                  <c:v>101.01667999999999</c:v>
                </c:pt>
                <c:pt idx="232">
                  <c:v>101.05354</c:v>
                </c:pt>
                <c:pt idx="233">
                  <c:v>101.02784</c:v>
                </c:pt>
                <c:pt idx="234">
                  <c:v>101.12902</c:v>
                </c:pt>
                <c:pt idx="235">
                  <c:v>101.16525</c:v>
                </c:pt>
                <c:pt idx="236">
                  <c:v>101.14313</c:v>
                </c:pt>
                <c:pt idx="237">
                  <c:v>101.14389</c:v>
                </c:pt>
                <c:pt idx="238">
                  <c:v>101.102</c:v>
                </c:pt>
                <c:pt idx="239">
                  <c:v>100.97505</c:v>
                </c:pt>
                <c:pt idx="240">
                  <c:v>101.07442</c:v>
                </c:pt>
                <c:pt idx="241">
                  <c:v>101.04853</c:v>
                </c:pt>
                <c:pt idx="242">
                  <c:v>100.9967</c:v>
                </c:pt>
                <c:pt idx="243">
                  <c:v>101.12260000000001</c:v>
                </c:pt>
                <c:pt idx="244">
                  <c:v>101.21602</c:v>
                </c:pt>
                <c:pt idx="245">
                  <c:v>101.09251</c:v>
                </c:pt>
                <c:pt idx="246">
                  <c:v>101.0903</c:v>
                </c:pt>
                <c:pt idx="247">
                  <c:v>101.21451999999999</c:v>
                </c:pt>
                <c:pt idx="248">
                  <c:v>100.82161000000001</c:v>
                </c:pt>
                <c:pt idx="249">
                  <c:v>100.74954</c:v>
                </c:pt>
                <c:pt idx="250">
                  <c:v>100.8296</c:v>
                </c:pt>
                <c:pt idx="251">
                  <c:v>100.85984000000001</c:v>
                </c:pt>
                <c:pt idx="252">
                  <c:v>100.77968</c:v>
                </c:pt>
                <c:pt idx="253">
                  <c:v>100.747</c:v>
                </c:pt>
                <c:pt idx="254">
                  <c:v>100.73578999999999</c:v>
                </c:pt>
                <c:pt idx="255">
                  <c:v>100.67480999999999</c:v>
                </c:pt>
                <c:pt idx="256">
                  <c:v>100.94992000000001</c:v>
                </c:pt>
                <c:pt idx="257">
                  <c:v>100.79794</c:v>
                </c:pt>
                <c:pt idx="258">
                  <c:v>100.71625</c:v>
                </c:pt>
                <c:pt idx="259">
                  <c:v>100.49548</c:v>
                </c:pt>
                <c:pt idx="260">
                  <c:v>100.50097</c:v>
                </c:pt>
                <c:pt idx="261">
                  <c:v>100.49081</c:v>
                </c:pt>
              </c:numCache>
            </c:numRef>
          </c:val>
          <c:smooth val="0"/>
          <c:extLst>
            <c:ext xmlns:c16="http://schemas.microsoft.com/office/drawing/2014/chart" uri="{C3380CC4-5D6E-409C-BE32-E72D297353CC}">
              <c16:uniqueId val="{00000003-AFD4-4B25-B979-E2BD3A6BAF70}"/>
            </c:ext>
          </c:extLst>
        </c:ser>
        <c:ser>
          <c:idx val="4"/>
          <c:order val="4"/>
          <c:tx>
            <c:strRef>
              <c:f>'Bond Prices'!$Q$4</c:f>
              <c:strCache>
                <c:ptCount val="1"/>
                <c:pt idx="0">
                  <c:v>GLOBAL NT 3.400 Jun-26-2023</c:v>
                </c:pt>
              </c:strCache>
            </c:strRef>
          </c:tx>
          <c:spPr>
            <a:ln w="22225">
              <a:solidFill>
                <a:schemeClr val="accent3">
                  <a:lumMod val="50000"/>
                </a:schemeClr>
              </a:solidFill>
            </a:ln>
          </c:spPr>
          <c:marker>
            <c:symbol val="none"/>
          </c:marker>
          <c:dPt>
            <c:idx val="27"/>
            <c:bubble3D val="0"/>
            <c:extLst>
              <c:ext xmlns:c16="http://schemas.microsoft.com/office/drawing/2014/chart" uri="{C3380CC4-5D6E-409C-BE32-E72D297353CC}">
                <c16:uniqueId val="{000001E7-C5E1-416E-BB48-46A65BF54441}"/>
              </c:ext>
            </c:extLst>
          </c:dPt>
          <c:dPt>
            <c:idx val="30"/>
            <c:bubble3D val="0"/>
            <c:extLst>
              <c:ext xmlns:c16="http://schemas.microsoft.com/office/drawing/2014/chart" uri="{C3380CC4-5D6E-409C-BE32-E72D297353CC}">
                <c16:uniqueId val="{000001E8-C5E1-416E-BB48-46A65BF54441}"/>
              </c:ext>
            </c:extLst>
          </c:dPt>
          <c:dPt>
            <c:idx val="32"/>
            <c:bubble3D val="0"/>
            <c:extLst>
              <c:ext xmlns:c16="http://schemas.microsoft.com/office/drawing/2014/chart" uri="{C3380CC4-5D6E-409C-BE32-E72D297353CC}">
                <c16:uniqueId val="{000001E9-C5E1-416E-BB48-46A65BF54441}"/>
              </c:ext>
            </c:extLst>
          </c:dPt>
          <c:dPt>
            <c:idx val="65"/>
            <c:bubble3D val="0"/>
            <c:extLst>
              <c:ext xmlns:c16="http://schemas.microsoft.com/office/drawing/2014/chart" uri="{C3380CC4-5D6E-409C-BE32-E72D297353CC}">
                <c16:uniqueId val="{000001EA-C5E1-416E-BB48-46A65BF54441}"/>
              </c:ext>
            </c:extLst>
          </c:dPt>
          <c:dPt>
            <c:idx val="67"/>
            <c:bubble3D val="0"/>
            <c:extLst>
              <c:ext xmlns:c16="http://schemas.microsoft.com/office/drawing/2014/chart" uri="{C3380CC4-5D6E-409C-BE32-E72D297353CC}">
                <c16:uniqueId val="{000001EB-C5E1-416E-BB48-46A65BF54441}"/>
              </c:ext>
            </c:extLst>
          </c:dPt>
          <c:dPt>
            <c:idx val="70"/>
            <c:bubble3D val="0"/>
            <c:extLst>
              <c:ext xmlns:c16="http://schemas.microsoft.com/office/drawing/2014/chart" uri="{C3380CC4-5D6E-409C-BE32-E72D297353CC}">
                <c16:uniqueId val="{000001EC-C5E1-416E-BB48-46A65BF54441}"/>
              </c:ext>
            </c:extLst>
          </c:dPt>
          <c:dPt>
            <c:idx val="71"/>
            <c:bubble3D val="0"/>
            <c:extLst>
              <c:ext xmlns:c16="http://schemas.microsoft.com/office/drawing/2014/chart" uri="{C3380CC4-5D6E-409C-BE32-E72D297353CC}">
                <c16:uniqueId val="{000001ED-C5E1-416E-BB48-46A65BF54441}"/>
              </c:ext>
            </c:extLst>
          </c:dPt>
          <c:dPt>
            <c:idx val="74"/>
            <c:bubble3D val="0"/>
            <c:extLst>
              <c:ext xmlns:c16="http://schemas.microsoft.com/office/drawing/2014/chart" uri="{C3380CC4-5D6E-409C-BE32-E72D297353CC}">
                <c16:uniqueId val="{000001EE-C5E1-416E-BB48-46A65BF54441}"/>
              </c:ext>
            </c:extLst>
          </c:dPt>
          <c:dPt>
            <c:idx val="81"/>
            <c:bubble3D val="0"/>
            <c:extLst>
              <c:ext xmlns:c16="http://schemas.microsoft.com/office/drawing/2014/chart" uri="{C3380CC4-5D6E-409C-BE32-E72D297353CC}">
                <c16:uniqueId val="{000001EF-C5E1-416E-BB48-46A65BF54441}"/>
              </c:ext>
            </c:extLst>
          </c:dPt>
          <c:dPt>
            <c:idx val="97"/>
            <c:bubble3D val="0"/>
            <c:extLst>
              <c:ext xmlns:c16="http://schemas.microsoft.com/office/drawing/2014/chart" uri="{C3380CC4-5D6E-409C-BE32-E72D297353CC}">
                <c16:uniqueId val="{000001F0-C5E1-416E-BB48-46A65BF54441}"/>
              </c:ext>
            </c:extLst>
          </c:dPt>
          <c:dPt>
            <c:idx val="98"/>
            <c:bubble3D val="0"/>
            <c:extLst>
              <c:ext xmlns:c16="http://schemas.microsoft.com/office/drawing/2014/chart" uri="{C3380CC4-5D6E-409C-BE32-E72D297353CC}">
                <c16:uniqueId val="{000001F1-C5E1-416E-BB48-46A65BF54441}"/>
              </c:ext>
            </c:extLst>
          </c:dPt>
          <c:dPt>
            <c:idx val="100"/>
            <c:bubble3D val="0"/>
            <c:extLst>
              <c:ext xmlns:c16="http://schemas.microsoft.com/office/drawing/2014/chart" uri="{C3380CC4-5D6E-409C-BE32-E72D297353CC}">
                <c16:uniqueId val="{000001F2-C5E1-416E-BB48-46A65BF54441}"/>
              </c:ext>
            </c:extLst>
          </c:dPt>
          <c:dPt>
            <c:idx val="101"/>
            <c:bubble3D val="0"/>
            <c:extLst>
              <c:ext xmlns:c16="http://schemas.microsoft.com/office/drawing/2014/chart" uri="{C3380CC4-5D6E-409C-BE32-E72D297353CC}">
                <c16:uniqueId val="{000001F3-C5E1-416E-BB48-46A65BF54441}"/>
              </c:ext>
            </c:extLst>
          </c:dPt>
          <c:dPt>
            <c:idx val="103"/>
            <c:bubble3D val="0"/>
            <c:extLst>
              <c:ext xmlns:c16="http://schemas.microsoft.com/office/drawing/2014/chart" uri="{C3380CC4-5D6E-409C-BE32-E72D297353CC}">
                <c16:uniqueId val="{000001F4-C5E1-416E-BB48-46A65BF54441}"/>
              </c:ext>
            </c:extLst>
          </c:dPt>
          <c:dPt>
            <c:idx val="104"/>
            <c:bubble3D val="0"/>
            <c:extLst>
              <c:ext xmlns:c16="http://schemas.microsoft.com/office/drawing/2014/chart" uri="{C3380CC4-5D6E-409C-BE32-E72D297353CC}">
                <c16:uniqueId val="{000001F5-C5E1-416E-BB48-46A65BF54441}"/>
              </c:ext>
            </c:extLst>
          </c:dPt>
          <c:dPt>
            <c:idx val="105"/>
            <c:bubble3D val="0"/>
            <c:extLst>
              <c:ext xmlns:c16="http://schemas.microsoft.com/office/drawing/2014/chart" uri="{C3380CC4-5D6E-409C-BE32-E72D297353CC}">
                <c16:uniqueId val="{000001F6-C5E1-416E-BB48-46A65BF54441}"/>
              </c:ext>
            </c:extLst>
          </c:dPt>
          <c:dPt>
            <c:idx val="106"/>
            <c:bubble3D val="0"/>
            <c:extLst>
              <c:ext xmlns:c16="http://schemas.microsoft.com/office/drawing/2014/chart" uri="{C3380CC4-5D6E-409C-BE32-E72D297353CC}">
                <c16:uniqueId val="{000001F7-C5E1-416E-BB48-46A65BF54441}"/>
              </c:ext>
            </c:extLst>
          </c:dPt>
          <c:dPt>
            <c:idx val="107"/>
            <c:bubble3D val="0"/>
            <c:extLst>
              <c:ext xmlns:c16="http://schemas.microsoft.com/office/drawing/2014/chart" uri="{C3380CC4-5D6E-409C-BE32-E72D297353CC}">
                <c16:uniqueId val="{000001F8-C5E1-416E-BB48-46A65BF54441}"/>
              </c:ext>
            </c:extLst>
          </c:dPt>
          <c:dPt>
            <c:idx val="108"/>
            <c:bubble3D val="0"/>
            <c:extLst>
              <c:ext xmlns:c16="http://schemas.microsoft.com/office/drawing/2014/chart" uri="{C3380CC4-5D6E-409C-BE32-E72D297353CC}">
                <c16:uniqueId val="{000001F9-C5E1-416E-BB48-46A65BF54441}"/>
              </c:ext>
            </c:extLst>
          </c:dPt>
          <c:dPt>
            <c:idx val="109"/>
            <c:bubble3D val="0"/>
            <c:extLst>
              <c:ext xmlns:c16="http://schemas.microsoft.com/office/drawing/2014/chart" uri="{C3380CC4-5D6E-409C-BE32-E72D297353CC}">
                <c16:uniqueId val="{000001FA-C5E1-416E-BB48-46A65BF54441}"/>
              </c:ext>
            </c:extLst>
          </c:dPt>
          <c:dPt>
            <c:idx val="114"/>
            <c:bubble3D val="0"/>
            <c:extLst>
              <c:ext xmlns:c16="http://schemas.microsoft.com/office/drawing/2014/chart" uri="{C3380CC4-5D6E-409C-BE32-E72D297353CC}">
                <c16:uniqueId val="{000001FB-C5E1-416E-BB48-46A65BF54441}"/>
              </c:ext>
            </c:extLst>
          </c:dPt>
          <c:dPt>
            <c:idx val="115"/>
            <c:bubble3D val="0"/>
            <c:extLst>
              <c:ext xmlns:c16="http://schemas.microsoft.com/office/drawing/2014/chart" uri="{C3380CC4-5D6E-409C-BE32-E72D297353CC}">
                <c16:uniqueId val="{000001FC-C5E1-416E-BB48-46A65BF54441}"/>
              </c:ext>
            </c:extLst>
          </c:dPt>
          <c:dPt>
            <c:idx val="119"/>
            <c:bubble3D val="0"/>
            <c:extLst>
              <c:ext xmlns:c16="http://schemas.microsoft.com/office/drawing/2014/chart" uri="{C3380CC4-5D6E-409C-BE32-E72D297353CC}">
                <c16:uniqueId val="{000001FD-C5E1-416E-BB48-46A65BF54441}"/>
              </c:ext>
            </c:extLst>
          </c:dPt>
          <c:dPt>
            <c:idx val="120"/>
            <c:bubble3D val="0"/>
            <c:extLst>
              <c:ext xmlns:c16="http://schemas.microsoft.com/office/drawing/2014/chart" uri="{C3380CC4-5D6E-409C-BE32-E72D297353CC}">
                <c16:uniqueId val="{000001FE-C5E1-416E-BB48-46A65BF54441}"/>
              </c:ext>
            </c:extLst>
          </c:dPt>
          <c:dPt>
            <c:idx val="121"/>
            <c:bubble3D val="0"/>
            <c:extLst>
              <c:ext xmlns:c16="http://schemas.microsoft.com/office/drawing/2014/chart" uri="{C3380CC4-5D6E-409C-BE32-E72D297353CC}">
                <c16:uniqueId val="{000001FF-C5E1-416E-BB48-46A65BF54441}"/>
              </c:ext>
            </c:extLst>
          </c:dPt>
          <c:dPt>
            <c:idx val="122"/>
            <c:bubble3D val="0"/>
            <c:extLst>
              <c:ext xmlns:c16="http://schemas.microsoft.com/office/drawing/2014/chart" uri="{C3380CC4-5D6E-409C-BE32-E72D297353CC}">
                <c16:uniqueId val="{00000200-C5E1-416E-BB48-46A65BF54441}"/>
              </c:ext>
            </c:extLst>
          </c:dPt>
          <c:dPt>
            <c:idx val="123"/>
            <c:bubble3D val="0"/>
            <c:extLst>
              <c:ext xmlns:c16="http://schemas.microsoft.com/office/drawing/2014/chart" uri="{C3380CC4-5D6E-409C-BE32-E72D297353CC}">
                <c16:uniqueId val="{00000201-C5E1-416E-BB48-46A65BF54441}"/>
              </c:ext>
            </c:extLst>
          </c:dPt>
          <c:dPt>
            <c:idx val="124"/>
            <c:bubble3D val="0"/>
            <c:extLst>
              <c:ext xmlns:c16="http://schemas.microsoft.com/office/drawing/2014/chart" uri="{C3380CC4-5D6E-409C-BE32-E72D297353CC}">
                <c16:uniqueId val="{00000202-C5E1-416E-BB48-46A65BF54441}"/>
              </c:ext>
            </c:extLst>
          </c:dPt>
          <c:dPt>
            <c:idx val="125"/>
            <c:bubble3D val="0"/>
            <c:extLst>
              <c:ext xmlns:c16="http://schemas.microsoft.com/office/drawing/2014/chart" uri="{C3380CC4-5D6E-409C-BE32-E72D297353CC}">
                <c16:uniqueId val="{00000203-C5E1-416E-BB48-46A65BF54441}"/>
              </c:ext>
            </c:extLst>
          </c:dPt>
          <c:dPt>
            <c:idx val="126"/>
            <c:bubble3D val="0"/>
            <c:extLst>
              <c:ext xmlns:c16="http://schemas.microsoft.com/office/drawing/2014/chart" uri="{C3380CC4-5D6E-409C-BE32-E72D297353CC}">
                <c16:uniqueId val="{00000204-C5E1-416E-BB48-46A65BF54441}"/>
              </c:ext>
            </c:extLst>
          </c:dPt>
          <c:dPt>
            <c:idx val="127"/>
            <c:bubble3D val="0"/>
            <c:extLst>
              <c:ext xmlns:c16="http://schemas.microsoft.com/office/drawing/2014/chart" uri="{C3380CC4-5D6E-409C-BE32-E72D297353CC}">
                <c16:uniqueId val="{00000205-C5E1-416E-BB48-46A65BF54441}"/>
              </c:ext>
            </c:extLst>
          </c:dPt>
          <c:dPt>
            <c:idx val="128"/>
            <c:bubble3D val="0"/>
            <c:extLst>
              <c:ext xmlns:c16="http://schemas.microsoft.com/office/drawing/2014/chart" uri="{C3380CC4-5D6E-409C-BE32-E72D297353CC}">
                <c16:uniqueId val="{00000206-C5E1-416E-BB48-46A65BF54441}"/>
              </c:ext>
            </c:extLst>
          </c:dPt>
          <c:dPt>
            <c:idx val="129"/>
            <c:bubble3D val="0"/>
            <c:extLst>
              <c:ext xmlns:c16="http://schemas.microsoft.com/office/drawing/2014/chart" uri="{C3380CC4-5D6E-409C-BE32-E72D297353CC}">
                <c16:uniqueId val="{00000207-C5E1-416E-BB48-46A65BF54441}"/>
              </c:ext>
            </c:extLst>
          </c:dPt>
          <c:dPt>
            <c:idx val="130"/>
            <c:bubble3D val="0"/>
            <c:extLst>
              <c:ext xmlns:c16="http://schemas.microsoft.com/office/drawing/2014/chart" uri="{C3380CC4-5D6E-409C-BE32-E72D297353CC}">
                <c16:uniqueId val="{00000208-C5E1-416E-BB48-46A65BF54441}"/>
              </c:ext>
            </c:extLst>
          </c:dPt>
          <c:dPt>
            <c:idx val="131"/>
            <c:bubble3D val="0"/>
            <c:extLst>
              <c:ext xmlns:c16="http://schemas.microsoft.com/office/drawing/2014/chart" uri="{C3380CC4-5D6E-409C-BE32-E72D297353CC}">
                <c16:uniqueId val="{00000209-C5E1-416E-BB48-46A65BF54441}"/>
              </c:ext>
            </c:extLst>
          </c:dPt>
          <c:dPt>
            <c:idx val="132"/>
            <c:bubble3D val="0"/>
            <c:extLst>
              <c:ext xmlns:c16="http://schemas.microsoft.com/office/drawing/2014/chart" uri="{C3380CC4-5D6E-409C-BE32-E72D297353CC}">
                <c16:uniqueId val="{0000020A-C5E1-416E-BB48-46A65BF54441}"/>
              </c:ext>
            </c:extLst>
          </c:dPt>
          <c:dPt>
            <c:idx val="134"/>
            <c:bubble3D val="0"/>
            <c:extLst>
              <c:ext xmlns:c16="http://schemas.microsoft.com/office/drawing/2014/chart" uri="{C3380CC4-5D6E-409C-BE32-E72D297353CC}">
                <c16:uniqueId val="{0000020B-C5E1-416E-BB48-46A65BF54441}"/>
              </c:ext>
            </c:extLst>
          </c:dPt>
          <c:dPt>
            <c:idx val="135"/>
            <c:bubble3D val="0"/>
            <c:extLst>
              <c:ext xmlns:c16="http://schemas.microsoft.com/office/drawing/2014/chart" uri="{C3380CC4-5D6E-409C-BE32-E72D297353CC}">
                <c16:uniqueId val="{0000020C-C5E1-416E-BB48-46A65BF54441}"/>
              </c:ext>
            </c:extLst>
          </c:dPt>
          <c:dPt>
            <c:idx val="136"/>
            <c:bubble3D val="0"/>
            <c:extLst>
              <c:ext xmlns:c16="http://schemas.microsoft.com/office/drawing/2014/chart" uri="{C3380CC4-5D6E-409C-BE32-E72D297353CC}">
                <c16:uniqueId val="{0000020D-C5E1-416E-BB48-46A65BF54441}"/>
              </c:ext>
            </c:extLst>
          </c:dPt>
          <c:dPt>
            <c:idx val="137"/>
            <c:bubble3D val="0"/>
            <c:extLst>
              <c:ext xmlns:c16="http://schemas.microsoft.com/office/drawing/2014/chart" uri="{C3380CC4-5D6E-409C-BE32-E72D297353CC}">
                <c16:uniqueId val="{0000020E-C5E1-416E-BB48-46A65BF54441}"/>
              </c:ext>
            </c:extLst>
          </c:dPt>
          <c:dPt>
            <c:idx val="138"/>
            <c:bubble3D val="0"/>
            <c:extLst>
              <c:ext xmlns:c16="http://schemas.microsoft.com/office/drawing/2014/chart" uri="{C3380CC4-5D6E-409C-BE32-E72D297353CC}">
                <c16:uniqueId val="{0000020F-C5E1-416E-BB48-46A65BF54441}"/>
              </c:ext>
            </c:extLst>
          </c:dPt>
          <c:dPt>
            <c:idx val="139"/>
            <c:bubble3D val="0"/>
            <c:extLst>
              <c:ext xmlns:c16="http://schemas.microsoft.com/office/drawing/2014/chart" uri="{C3380CC4-5D6E-409C-BE32-E72D297353CC}">
                <c16:uniqueId val="{00000210-C5E1-416E-BB48-46A65BF54441}"/>
              </c:ext>
            </c:extLst>
          </c:dPt>
          <c:dPt>
            <c:idx val="140"/>
            <c:bubble3D val="0"/>
            <c:extLst>
              <c:ext xmlns:c16="http://schemas.microsoft.com/office/drawing/2014/chart" uri="{C3380CC4-5D6E-409C-BE32-E72D297353CC}">
                <c16:uniqueId val="{00000211-C5E1-416E-BB48-46A65BF54441}"/>
              </c:ext>
            </c:extLst>
          </c:dPt>
          <c:dPt>
            <c:idx val="141"/>
            <c:bubble3D val="0"/>
            <c:extLst>
              <c:ext xmlns:c16="http://schemas.microsoft.com/office/drawing/2014/chart" uri="{C3380CC4-5D6E-409C-BE32-E72D297353CC}">
                <c16:uniqueId val="{00000212-C5E1-416E-BB48-46A65BF54441}"/>
              </c:ext>
            </c:extLst>
          </c:dPt>
          <c:dPt>
            <c:idx val="142"/>
            <c:bubble3D val="0"/>
            <c:extLst>
              <c:ext xmlns:c16="http://schemas.microsoft.com/office/drawing/2014/chart" uri="{C3380CC4-5D6E-409C-BE32-E72D297353CC}">
                <c16:uniqueId val="{00000213-C5E1-416E-BB48-46A65BF54441}"/>
              </c:ext>
            </c:extLst>
          </c:dPt>
          <c:dPt>
            <c:idx val="143"/>
            <c:bubble3D val="0"/>
            <c:extLst>
              <c:ext xmlns:c16="http://schemas.microsoft.com/office/drawing/2014/chart" uri="{C3380CC4-5D6E-409C-BE32-E72D297353CC}">
                <c16:uniqueId val="{00000214-C5E1-416E-BB48-46A65BF54441}"/>
              </c:ext>
            </c:extLst>
          </c:dPt>
          <c:dPt>
            <c:idx val="144"/>
            <c:bubble3D val="0"/>
            <c:extLst>
              <c:ext xmlns:c16="http://schemas.microsoft.com/office/drawing/2014/chart" uri="{C3380CC4-5D6E-409C-BE32-E72D297353CC}">
                <c16:uniqueId val="{00000215-C5E1-416E-BB48-46A65BF54441}"/>
              </c:ext>
            </c:extLst>
          </c:dPt>
          <c:dPt>
            <c:idx val="145"/>
            <c:bubble3D val="0"/>
            <c:extLst>
              <c:ext xmlns:c16="http://schemas.microsoft.com/office/drawing/2014/chart" uri="{C3380CC4-5D6E-409C-BE32-E72D297353CC}">
                <c16:uniqueId val="{00000216-C5E1-416E-BB48-46A65BF54441}"/>
              </c:ext>
            </c:extLst>
          </c:dPt>
          <c:dPt>
            <c:idx val="146"/>
            <c:bubble3D val="0"/>
            <c:extLst>
              <c:ext xmlns:c16="http://schemas.microsoft.com/office/drawing/2014/chart" uri="{C3380CC4-5D6E-409C-BE32-E72D297353CC}">
                <c16:uniqueId val="{00000217-C5E1-416E-BB48-46A65BF54441}"/>
              </c:ext>
            </c:extLst>
          </c:dPt>
          <c:dPt>
            <c:idx val="147"/>
            <c:bubble3D val="0"/>
            <c:extLst>
              <c:ext xmlns:c16="http://schemas.microsoft.com/office/drawing/2014/chart" uri="{C3380CC4-5D6E-409C-BE32-E72D297353CC}">
                <c16:uniqueId val="{00000218-C5E1-416E-BB48-46A65BF54441}"/>
              </c:ext>
            </c:extLst>
          </c:dPt>
          <c:dPt>
            <c:idx val="148"/>
            <c:bubble3D val="0"/>
            <c:extLst>
              <c:ext xmlns:c16="http://schemas.microsoft.com/office/drawing/2014/chart" uri="{C3380CC4-5D6E-409C-BE32-E72D297353CC}">
                <c16:uniqueId val="{00000219-C5E1-416E-BB48-46A65BF54441}"/>
              </c:ext>
            </c:extLst>
          </c:dPt>
          <c:dPt>
            <c:idx val="149"/>
            <c:bubble3D val="0"/>
            <c:extLst>
              <c:ext xmlns:c16="http://schemas.microsoft.com/office/drawing/2014/chart" uri="{C3380CC4-5D6E-409C-BE32-E72D297353CC}">
                <c16:uniqueId val="{0000021A-C5E1-416E-BB48-46A65BF54441}"/>
              </c:ext>
            </c:extLst>
          </c:dPt>
          <c:dPt>
            <c:idx val="150"/>
            <c:bubble3D val="0"/>
            <c:extLst>
              <c:ext xmlns:c16="http://schemas.microsoft.com/office/drawing/2014/chart" uri="{C3380CC4-5D6E-409C-BE32-E72D297353CC}">
                <c16:uniqueId val="{0000021B-C5E1-416E-BB48-46A65BF54441}"/>
              </c:ext>
            </c:extLst>
          </c:dPt>
          <c:dPt>
            <c:idx val="151"/>
            <c:bubble3D val="0"/>
            <c:extLst>
              <c:ext xmlns:c16="http://schemas.microsoft.com/office/drawing/2014/chart" uri="{C3380CC4-5D6E-409C-BE32-E72D297353CC}">
                <c16:uniqueId val="{0000021C-C5E1-416E-BB48-46A65BF54441}"/>
              </c:ext>
            </c:extLst>
          </c:dPt>
          <c:dPt>
            <c:idx val="152"/>
            <c:bubble3D val="0"/>
            <c:extLst>
              <c:ext xmlns:c16="http://schemas.microsoft.com/office/drawing/2014/chart" uri="{C3380CC4-5D6E-409C-BE32-E72D297353CC}">
                <c16:uniqueId val="{0000021D-C5E1-416E-BB48-46A65BF54441}"/>
              </c:ext>
            </c:extLst>
          </c:dPt>
          <c:dPt>
            <c:idx val="153"/>
            <c:bubble3D val="0"/>
            <c:extLst>
              <c:ext xmlns:c16="http://schemas.microsoft.com/office/drawing/2014/chart" uri="{C3380CC4-5D6E-409C-BE32-E72D297353CC}">
                <c16:uniqueId val="{0000021E-C5E1-416E-BB48-46A65BF54441}"/>
              </c:ext>
            </c:extLst>
          </c:dPt>
          <c:dPt>
            <c:idx val="154"/>
            <c:bubble3D val="0"/>
            <c:extLst>
              <c:ext xmlns:c16="http://schemas.microsoft.com/office/drawing/2014/chart" uri="{C3380CC4-5D6E-409C-BE32-E72D297353CC}">
                <c16:uniqueId val="{0000021F-C5E1-416E-BB48-46A65BF54441}"/>
              </c:ext>
            </c:extLst>
          </c:dPt>
          <c:dPt>
            <c:idx val="155"/>
            <c:bubble3D val="0"/>
            <c:extLst>
              <c:ext xmlns:c16="http://schemas.microsoft.com/office/drawing/2014/chart" uri="{C3380CC4-5D6E-409C-BE32-E72D297353CC}">
                <c16:uniqueId val="{00000220-C5E1-416E-BB48-46A65BF54441}"/>
              </c:ext>
            </c:extLst>
          </c:dPt>
          <c:dPt>
            <c:idx val="156"/>
            <c:bubble3D val="0"/>
            <c:extLst>
              <c:ext xmlns:c16="http://schemas.microsoft.com/office/drawing/2014/chart" uri="{C3380CC4-5D6E-409C-BE32-E72D297353CC}">
                <c16:uniqueId val="{00000221-C5E1-416E-BB48-46A65BF54441}"/>
              </c:ext>
            </c:extLst>
          </c:dPt>
          <c:dPt>
            <c:idx val="157"/>
            <c:bubble3D val="0"/>
            <c:extLst>
              <c:ext xmlns:c16="http://schemas.microsoft.com/office/drawing/2014/chart" uri="{C3380CC4-5D6E-409C-BE32-E72D297353CC}">
                <c16:uniqueId val="{00000222-C5E1-416E-BB48-46A65BF54441}"/>
              </c:ext>
            </c:extLst>
          </c:dPt>
          <c:dPt>
            <c:idx val="158"/>
            <c:bubble3D val="0"/>
            <c:extLst>
              <c:ext xmlns:c16="http://schemas.microsoft.com/office/drawing/2014/chart" uri="{C3380CC4-5D6E-409C-BE32-E72D297353CC}">
                <c16:uniqueId val="{00000223-C5E1-416E-BB48-46A65BF54441}"/>
              </c:ext>
            </c:extLst>
          </c:dPt>
          <c:dPt>
            <c:idx val="159"/>
            <c:bubble3D val="0"/>
            <c:extLst>
              <c:ext xmlns:c16="http://schemas.microsoft.com/office/drawing/2014/chart" uri="{C3380CC4-5D6E-409C-BE32-E72D297353CC}">
                <c16:uniqueId val="{00000224-C5E1-416E-BB48-46A65BF54441}"/>
              </c:ext>
            </c:extLst>
          </c:dPt>
          <c:dPt>
            <c:idx val="160"/>
            <c:bubble3D val="0"/>
            <c:extLst>
              <c:ext xmlns:c16="http://schemas.microsoft.com/office/drawing/2014/chart" uri="{C3380CC4-5D6E-409C-BE32-E72D297353CC}">
                <c16:uniqueId val="{00000225-C5E1-416E-BB48-46A65BF54441}"/>
              </c:ext>
            </c:extLst>
          </c:dPt>
          <c:dPt>
            <c:idx val="161"/>
            <c:bubble3D val="0"/>
            <c:extLst>
              <c:ext xmlns:c16="http://schemas.microsoft.com/office/drawing/2014/chart" uri="{C3380CC4-5D6E-409C-BE32-E72D297353CC}">
                <c16:uniqueId val="{00000226-C5E1-416E-BB48-46A65BF54441}"/>
              </c:ext>
            </c:extLst>
          </c:dPt>
          <c:dPt>
            <c:idx val="162"/>
            <c:bubble3D val="0"/>
            <c:extLst>
              <c:ext xmlns:c16="http://schemas.microsoft.com/office/drawing/2014/chart" uri="{C3380CC4-5D6E-409C-BE32-E72D297353CC}">
                <c16:uniqueId val="{00000227-C5E1-416E-BB48-46A65BF54441}"/>
              </c:ext>
            </c:extLst>
          </c:dPt>
          <c:dPt>
            <c:idx val="163"/>
            <c:bubble3D val="0"/>
            <c:extLst>
              <c:ext xmlns:c16="http://schemas.microsoft.com/office/drawing/2014/chart" uri="{C3380CC4-5D6E-409C-BE32-E72D297353CC}">
                <c16:uniqueId val="{00000228-C5E1-416E-BB48-46A65BF54441}"/>
              </c:ext>
            </c:extLst>
          </c:dPt>
          <c:dPt>
            <c:idx val="164"/>
            <c:bubble3D val="0"/>
            <c:extLst>
              <c:ext xmlns:c16="http://schemas.microsoft.com/office/drawing/2014/chart" uri="{C3380CC4-5D6E-409C-BE32-E72D297353CC}">
                <c16:uniqueId val="{00000229-C5E1-416E-BB48-46A65BF54441}"/>
              </c:ext>
            </c:extLst>
          </c:dPt>
          <c:dPt>
            <c:idx val="165"/>
            <c:bubble3D val="0"/>
            <c:extLst>
              <c:ext xmlns:c16="http://schemas.microsoft.com/office/drawing/2014/chart" uri="{C3380CC4-5D6E-409C-BE32-E72D297353CC}">
                <c16:uniqueId val="{0000022A-C5E1-416E-BB48-46A65BF54441}"/>
              </c:ext>
            </c:extLst>
          </c:dPt>
          <c:dPt>
            <c:idx val="166"/>
            <c:bubble3D val="0"/>
            <c:extLst>
              <c:ext xmlns:c16="http://schemas.microsoft.com/office/drawing/2014/chart" uri="{C3380CC4-5D6E-409C-BE32-E72D297353CC}">
                <c16:uniqueId val="{0000022B-C5E1-416E-BB48-46A65BF54441}"/>
              </c:ext>
            </c:extLst>
          </c:dPt>
          <c:dPt>
            <c:idx val="167"/>
            <c:bubble3D val="0"/>
            <c:extLst>
              <c:ext xmlns:c16="http://schemas.microsoft.com/office/drawing/2014/chart" uri="{C3380CC4-5D6E-409C-BE32-E72D297353CC}">
                <c16:uniqueId val="{0000022C-C5E1-416E-BB48-46A65BF54441}"/>
              </c:ext>
            </c:extLst>
          </c:dPt>
          <c:dPt>
            <c:idx val="168"/>
            <c:bubble3D val="0"/>
            <c:extLst>
              <c:ext xmlns:c16="http://schemas.microsoft.com/office/drawing/2014/chart" uri="{C3380CC4-5D6E-409C-BE32-E72D297353CC}">
                <c16:uniqueId val="{0000022D-C5E1-416E-BB48-46A65BF54441}"/>
              </c:ext>
            </c:extLst>
          </c:dPt>
          <c:dPt>
            <c:idx val="169"/>
            <c:bubble3D val="0"/>
            <c:extLst>
              <c:ext xmlns:c16="http://schemas.microsoft.com/office/drawing/2014/chart" uri="{C3380CC4-5D6E-409C-BE32-E72D297353CC}">
                <c16:uniqueId val="{0000022E-C5E1-416E-BB48-46A65BF54441}"/>
              </c:ext>
            </c:extLst>
          </c:dPt>
          <c:dPt>
            <c:idx val="170"/>
            <c:bubble3D val="0"/>
            <c:extLst>
              <c:ext xmlns:c16="http://schemas.microsoft.com/office/drawing/2014/chart" uri="{C3380CC4-5D6E-409C-BE32-E72D297353CC}">
                <c16:uniqueId val="{0000022F-C5E1-416E-BB48-46A65BF54441}"/>
              </c:ext>
            </c:extLst>
          </c:dPt>
          <c:dPt>
            <c:idx val="171"/>
            <c:bubble3D val="0"/>
            <c:extLst>
              <c:ext xmlns:c16="http://schemas.microsoft.com/office/drawing/2014/chart" uri="{C3380CC4-5D6E-409C-BE32-E72D297353CC}">
                <c16:uniqueId val="{00000230-C5E1-416E-BB48-46A65BF54441}"/>
              </c:ext>
            </c:extLst>
          </c:dPt>
          <c:dPt>
            <c:idx val="172"/>
            <c:bubble3D val="0"/>
            <c:extLst>
              <c:ext xmlns:c16="http://schemas.microsoft.com/office/drawing/2014/chart" uri="{C3380CC4-5D6E-409C-BE32-E72D297353CC}">
                <c16:uniqueId val="{00000231-C5E1-416E-BB48-46A65BF54441}"/>
              </c:ext>
            </c:extLst>
          </c:dPt>
          <c:dPt>
            <c:idx val="173"/>
            <c:bubble3D val="0"/>
            <c:extLst>
              <c:ext xmlns:c16="http://schemas.microsoft.com/office/drawing/2014/chart" uri="{C3380CC4-5D6E-409C-BE32-E72D297353CC}">
                <c16:uniqueId val="{00000232-C5E1-416E-BB48-46A65BF54441}"/>
              </c:ext>
            </c:extLst>
          </c:dPt>
          <c:dPt>
            <c:idx val="175"/>
            <c:bubble3D val="0"/>
            <c:extLst>
              <c:ext xmlns:c16="http://schemas.microsoft.com/office/drawing/2014/chart" uri="{C3380CC4-5D6E-409C-BE32-E72D297353CC}">
                <c16:uniqueId val="{00000233-C5E1-416E-BB48-46A65BF54441}"/>
              </c:ext>
            </c:extLst>
          </c:dPt>
          <c:dPt>
            <c:idx val="176"/>
            <c:bubble3D val="0"/>
            <c:extLst>
              <c:ext xmlns:c16="http://schemas.microsoft.com/office/drawing/2014/chart" uri="{C3380CC4-5D6E-409C-BE32-E72D297353CC}">
                <c16:uniqueId val="{00000234-C5E1-416E-BB48-46A65BF54441}"/>
              </c:ext>
            </c:extLst>
          </c:dPt>
          <c:dPt>
            <c:idx val="178"/>
            <c:bubble3D val="0"/>
            <c:extLst>
              <c:ext xmlns:c16="http://schemas.microsoft.com/office/drawing/2014/chart" uri="{C3380CC4-5D6E-409C-BE32-E72D297353CC}">
                <c16:uniqueId val="{00000235-C5E1-416E-BB48-46A65BF54441}"/>
              </c:ext>
            </c:extLst>
          </c:dPt>
          <c:dPt>
            <c:idx val="179"/>
            <c:bubble3D val="0"/>
            <c:extLst>
              <c:ext xmlns:c16="http://schemas.microsoft.com/office/drawing/2014/chart" uri="{C3380CC4-5D6E-409C-BE32-E72D297353CC}">
                <c16:uniqueId val="{00000236-C5E1-416E-BB48-46A65BF54441}"/>
              </c:ext>
            </c:extLst>
          </c:dPt>
          <c:dPt>
            <c:idx val="180"/>
            <c:bubble3D val="0"/>
            <c:extLst>
              <c:ext xmlns:c16="http://schemas.microsoft.com/office/drawing/2014/chart" uri="{C3380CC4-5D6E-409C-BE32-E72D297353CC}">
                <c16:uniqueId val="{00000237-C5E1-416E-BB48-46A65BF54441}"/>
              </c:ext>
            </c:extLst>
          </c:dPt>
          <c:dPt>
            <c:idx val="181"/>
            <c:bubble3D val="0"/>
            <c:extLst>
              <c:ext xmlns:c16="http://schemas.microsoft.com/office/drawing/2014/chart" uri="{C3380CC4-5D6E-409C-BE32-E72D297353CC}">
                <c16:uniqueId val="{00000238-C5E1-416E-BB48-46A65BF54441}"/>
              </c:ext>
            </c:extLst>
          </c:dPt>
          <c:dPt>
            <c:idx val="182"/>
            <c:bubble3D val="0"/>
            <c:extLst>
              <c:ext xmlns:c16="http://schemas.microsoft.com/office/drawing/2014/chart" uri="{C3380CC4-5D6E-409C-BE32-E72D297353CC}">
                <c16:uniqueId val="{00000239-C5E1-416E-BB48-46A65BF54441}"/>
              </c:ext>
            </c:extLst>
          </c:dPt>
          <c:dPt>
            <c:idx val="183"/>
            <c:bubble3D val="0"/>
            <c:extLst>
              <c:ext xmlns:c16="http://schemas.microsoft.com/office/drawing/2014/chart" uri="{C3380CC4-5D6E-409C-BE32-E72D297353CC}">
                <c16:uniqueId val="{0000023A-C5E1-416E-BB48-46A65BF54441}"/>
              </c:ext>
            </c:extLst>
          </c:dPt>
          <c:dPt>
            <c:idx val="184"/>
            <c:bubble3D val="0"/>
            <c:extLst>
              <c:ext xmlns:c16="http://schemas.microsoft.com/office/drawing/2014/chart" uri="{C3380CC4-5D6E-409C-BE32-E72D297353CC}">
                <c16:uniqueId val="{0000023B-C5E1-416E-BB48-46A65BF54441}"/>
              </c:ext>
            </c:extLst>
          </c:dPt>
          <c:dPt>
            <c:idx val="185"/>
            <c:bubble3D val="0"/>
            <c:extLst>
              <c:ext xmlns:c16="http://schemas.microsoft.com/office/drawing/2014/chart" uri="{C3380CC4-5D6E-409C-BE32-E72D297353CC}">
                <c16:uniqueId val="{0000023C-C5E1-416E-BB48-46A65BF54441}"/>
              </c:ext>
            </c:extLst>
          </c:dPt>
          <c:dPt>
            <c:idx val="186"/>
            <c:bubble3D val="0"/>
            <c:extLst>
              <c:ext xmlns:c16="http://schemas.microsoft.com/office/drawing/2014/chart" uri="{C3380CC4-5D6E-409C-BE32-E72D297353CC}">
                <c16:uniqueId val="{0000023D-C5E1-416E-BB48-46A65BF54441}"/>
              </c:ext>
            </c:extLst>
          </c:dPt>
          <c:dPt>
            <c:idx val="187"/>
            <c:bubble3D val="0"/>
            <c:extLst>
              <c:ext xmlns:c16="http://schemas.microsoft.com/office/drawing/2014/chart" uri="{C3380CC4-5D6E-409C-BE32-E72D297353CC}">
                <c16:uniqueId val="{0000023E-C5E1-416E-BB48-46A65BF54441}"/>
              </c:ext>
            </c:extLst>
          </c:dPt>
          <c:dPt>
            <c:idx val="188"/>
            <c:bubble3D val="0"/>
            <c:extLst>
              <c:ext xmlns:c16="http://schemas.microsoft.com/office/drawing/2014/chart" uri="{C3380CC4-5D6E-409C-BE32-E72D297353CC}">
                <c16:uniqueId val="{0000023F-C5E1-416E-BB48-46A65BF54441}"/>
              </c:ext>
            </c:extLst>
          </c:dPt>
          <c:dPt>
            <c:idx val="189"/>
            <c:bubble3D val="0"/>
            <c:extLst>
              <c:ext xmlns:c16="http://schemas.microsoft.com/office/drawing/2014/chart" uri="{C3380CC4-5D6E-409C-BE32-E72D297353CC}">
                <c16:uniqueId val="{00000240-C5E1-416E-BB48-46A65BF54441}"/>
              </c:ext>
            </c:extLst>
          </c:dPt>
          <c:dPt>
            <c:idx val="190"/>
            <c:bubble3D val="0"/>
            <c:extLst>
              <c:ext xmlns:c16="http://schemas.microsoft.com/office/drawing/2014/chart" uri="{C3380CC4-5D6E-409C-BE32-E72D297353CC}">
                <c16:uniqueId val="{00000241-C5E1-416E-BB48-46A65BF54441}"/>
              </c:ext>
            </c:extLst>
          </c:dPt>
          <c:dPt>
            <c:idx val="191"/>
            <c:bubble3D val="0"/>
            <c:extLst>
              <c:ext xmlns:c16="http://schemas.microsoft.com/office/drawing/2014/chart" uri="{C3380CC4-5D6E-409C-BE32-E72D297353CC}">
                <c16:uniqueId val="{00000242-C5E1-416E-BB48-46A65BF54441}"/>
              </c:ext>
            </c:extLst>
          </c:dPt>
          <c:dPt>
            <c:idx val="192"/>
            <c:bubble3D val="0"/>
            <c:extLst>
              <c:ext xmlns:c16="http://schemas.microsoft.com/office/drawing/2014/chart" uri="{C3380CC4-5D6E-409C-BE32-E72D297353CC}">
                <c16:uniqueId val="{00000243-C5E1-416E-BB48-46A65BF54441}"/>
              </c:ext>
            </c:extLst>
          </c:dPt>
          <c:dPt>
            <c:idx val="193"/>
            <c:bubble3D val="0"/>
            <c:extLst>
              <c:ext xmlns:c16="http://schemas.microsoft.com/office/drawing/2014/chart" uri="{C3380CC4-5D6E-409C-BE32-E72D297353CC}">
                <c16:uniqueId val="{00000244-C5E1-416E-BB48-46A65BF54441}"/>
              </c:ext>
            </c:extLst>
          </c:dPt>
          <c:dPt>
            <c:idx val="194"/>
            <c:bubble3D val="0"/>
            <c:extLst>
              <c:ext xmlns:c16="http://schemas.microsoft.com/office/drawing/2014/chart" uri="{C3380CC4-5D6E-409C-BE32-E72D297353CC}">
                <c16:uniqueId val="{00000245-C5E1-416E-BB48-46A65BF54441}"/>
              </c:ext>
            </c:extLst>
          </c:dPt>
          <c:dPt>
            <c:idx val="195"/>
            <c:bubble3D val="0"/>
            <c:extLst>
              <c:ext xmlns:c16="http://schemas.microsoft.com/office/drawing/2014/chart" uri="{C3380CC4-5D6E-409C-BE32-E72D297353CC}">
                <c16:uniqueId val="{00000246-C5E1-416E-BB48-46A65BF54441}"/>
              </c:ext>
            </c:extLst>
          </c:dPt>
          <c:dPt>
            <c:idx val="198"/>
            <c:bubble3D val="0"/>
            <c:extLst>
              <c:ext xmlns:c16="http://schemas.microsoft.com/office/drawing/2014/chart" uri="{C3380CC4-5D6E-409C-BE32-E72D297353CC}">
                <c16:uniqueId val="{00000247-C5E1-416E-BB48-46A65BF54441}"/>
              </c:ext>
            </c:extLst>
          </c:dPt>
          <c:dPt>
            <c:idx val="199"/>
            <c:bubble3D val="0"/>
            <c:extLst>
              <c:ext xmlns:c16="http://schemas.microsoft.com/office/drawing/2014/chart" uri="{C3380CC4-5D6E-409C-BE32-E72D297353CC}">
                <c16:uniqueId val="{00000248-C5E1-416E-BB48-46A65BF54441}"/>
              </c:ext>
            </c:extLst>
          </c:dPt>
          <c:dPt>
            <c:idx val="200"/>
            <c:bubble3D val="0"/>
            <c:extLst>
              <c:ext xmlns:c16="http://schemas.microsoft.com/office/drawing/2014/chart" uri="{C3380CC4-5D6E-409C-BE32-E72D297353CC}">
                <c16:uniqueId val="{00000249-C5E1-416E-BB48-46A65BF54441}"/>
              </c:ext>
            </c:extLst>
          </c:dPt>
          <c:dPt>
            <c:idx val="201"/>
            <c:bubble3D val="0"/>
            <c:extLst>
              <c:ext xmlns:c16="http://schemas.microsoft.com/office/drawing/2014/chart" uri="{C3380CC4-5D6E-409C-BE32-E72D297353CC}">
                <c16:uniqueId val="{0000024A-C5E1-416E-BB48-46A65BF54441}"/>
              </c:ext>
            </c:extLst>
          </c:dPt>
          <c:dPt>
            <c:idx val="202"/>
            <c:bubble3D val="0"/>
            <c:extLst>
              <c:ext xmlns:c16="http://schemas.microsoft.com/office/drawing/2014/chart" uri="{C3380CC4-5D6E-409C-BE32-E72D297353CC}">
                <c16:uniqueId val="{0000024B-C5E1-416E-BB48-46A65BF54441}"/>
              </c:ext>
            </c:extLst>
          </c:dPt>
          <c:dPt>
            <c:idx val="203"/>
            <c:bubble3D val="0"/>
            <c:extLst>
              <c:ext xmlns:c16="http://schemas.microsoft.com/office/drawing/2014/chart" uri="{C3380CC4-5D6E-409C-BE32-E72D297353CC}">
                <c16:uniqueId val="{0000024C-C5E1-416E-BB48-46A65BF54441}"/>
              </c:ext>
            </c:extLst>
          </c:dPt>
          <c:dPt>
            <c:idx val="204"/>
            <c:bubble3D val="0"/>
            <c:extLst>
              <c:ext xmlns:c16="http://schemas.microsoft.com/office/drawing/2014/chart" uri="{C3380CC4-5D6E-409C-BE32-E72D297353CC}">
                <c16:uniqueId val="{0000024D-C5E1-416E-BB48-46A65BF54441}"/>
              </c:ext>
            </c:extLst>
          </c:dPt>
          <c:dPt>
            <c:idx val="205"/>
            <c:bubble3D val="0"/>
            <c:extLst>
              <c:ext xmlns:c16="http://schemas.microsoft.com/office/drawing/2014/chart" uri="{C3380CC4-5D6E-409C-BE32-E72D297353CC}">
                <c16:uniqueId val="{0000024E-C5E1-416E-BB48-46A65BF54441}"/>
              </c:ext>
            </c:extLst>
          </c:dPt>
          <c:dPt>
            <c:idx val="206"/>
            <c:bubble3D val="0"/>
            <c:extLst>
              <c:ext xmlns:c16="http://schemas.microsoft.com/office/drawing/2014/chart" uri="{C3380CC4-5D6E-409C-BE32-E72D297353CC}">
                <c16:uniqueId val="{0000024F-C5E1-416E-BB48-46A65BF54441}"/>
              </c:ext>
            </c:extLst>
          </c:dPt>
          <c:dPt>
            <c:idx val="207"/>
            <c:bubble3D val="0"/>
            <c:extLst>
              <c:ext xmlns:c16="http://schemas.microsoft.com/office/drawing/2014/chart" uri="{C3380CC4-5D6E-409C-BE32-E72D297353CC}">
                <c16:uniqueId val="{00000250-C5E1-416E-BB48-46A65BF54441}"/>
              </c:ext>
            </c:extLst>
          </c:dPt>
          <c:dPt>
            <c:idx val="208"/>
            <c:bubble3D val="0"/>
            <c:extLst>
              <c:ext xmlns:c16="http://schemas.microsoft.com/office/drawing/2014/chart" uri="{C3380CC4-5D6E-409C-BE32-E72D297353CC}">
                <c16:uniqueId val="{00000251-C5E1-416E-BB48-46A65BF54441}"/>
              </c:ext>
            </c:extLst>
          </c:dPt>
          <c:dPt>
            <c:idx val="209"/>
            <c:bubble3D val="0"/>
            <c:extLst>
              <c:ext xmlns:c16="http://schemas.microsoft.com/office/drawing/2014/chart" uri="{C3380CC4-5D6E-409C-BE32-E72D297353CC}">
                <c16:uniqueId val="{00000252-C5E1-416E-BB48-46A65BF54441}"/>
              </c:ext>
            </c:extLst>
          </c:dPt>
          <c:dPt>
            <c:idx val="210"/>
            <c:bubble3D val="0"/>
            <c:extLst>
              <c:ext xmlns:c16="http://schemas.microsoft.com/office/drawing/2014/chart" uri="{C3380CC4-5D6E-409C-BE32-E72D297353CC}">
                <c16:uniqueId val="{00000253-C5E1-416E-BB48-46A65BF54441}"/>
              </c:ext>
            </c:extLst>
          </c:dPt>
          <c:dPt>
            <c:idx val="211"/>
            <c:bubble3D val="0"/>
            <c:extLst>
              <c:ext xmlns:c16="http://schemas.microsoft.com/office/drawing/2014/chart" uri="{C3380CC4-5D6E-409C-BE32-E72D297353CC}">
                <c16:uniqueId val="{00000254-C5E1-416E-BB48-46A65BF54441}"/>
              </c:ext>
            </c:extLst>
          </c:dPt>
          <c:dPt>
            <c:idx val="212"/>
            <c:bubble3D val="0"/>
            <c:extLst>
              <c:ext xmlns:c16="http://schemas.microsoft.com/office/drawing/2014/chart" uri="{C3380CC4-5D6E-409C-BE32-E72D297353CC}">
                <c16:uniqueId val="{00000255-C5E1-416E-BB48-46A65BF54441}"/>
              </c:ext>
            </c:extLst>
          </c:dPt>
          <c:dPt>
            <c:idx val="213"/>
            <c:bubble3D val="0"/>
            <c:extLst>
              <c:ext xmlns:c16="http://schemas.microsoft.com/office/drawing/2014/chart" uri="{C3380CC4-5D6E-409C-BE32-E72D297353CC}">
                <c16:uniqueId val="{00000256-C5E1-416E-BB48-46A65BF54441}"/>
              </c:ext>
            </c:extLst>
          </c:dPt>
          <c:dPt>
            <c:idx val="214"/>
            <c:bubble3D val="0"/>
            <c:extLst>
              <c:ext xmlns:c16="http://schemas.microsoft.com/office/drawing/2014/chart" uri="{C3380CC4-5D6E-409C-BE32-E72D297353CC}">
                <c16:uniqueId val="{00000257-C5E1-416E-BB48-46A65BF54441}"/>
              </c:ext>
            </c:extLst>
          </c:dPt>
          <c:dPt>
            <c:idx val="215"/>
            <c:bubble3D val="0"/>
            <c:extLst>
              <c:ext xmlns:c16="http://schemas.microsoft.com/office/drawing/2014/chart" uri="{C3380CC4-5D6E-409C-BE32-E72D297353CC}">
                <c16:uniqueId val="{00000258-C5E1-416E-BB48-46A65BF54441}"/>
              </c:ext>
            </c:extLst>
          </c:dPt>
          <c:dPt>
            <c:idx val="216"/>
            <c:bubble3D val="0"/>
            <c:extLst>
              <c:ext xmlns:c16="http://schemas.microsoft.com/office/drawing/2014/chart" uri="{C3380CC4-5D6E-409C-BE32-E72D297353CC}">
                <c16:uniqueId val="{00000259-C5E1-416E-BB48-46A65BF54441}"/>
              </c:ext>
            </c:extLst>
          </c:dPt>
          <c:dPt>
            <c:idx val="217"/>
            <c:bubble3D val="0"/>
            <c:extLst>
              <c:ext xmlns:c16="http://schemas.microsoft.com/office/drawing/2014/chart" uri="{C3380CC4-5D6E-409C-BE32-E72D297353CC}">
                <c16:uniqueId val="{0000025A-C5E1-416E-BB48-46A65BF54441}"/>
              </c:ext>
            </c:extLst>
          </c:dPt>
          <c:dPt>
            <c:idx val="218"/>
            <c:bubble3D val="0"/>
            <c:extLst>
              <c:ext xmlns:c16="http://schemas.microsoft.com/office/drawing/2014/chart" uri="{C3380CC4-5D6E-409C-BE32-E72D297353CC}">
                <c16:uniqueId val="{0000025B-C5E1-416E-BB48-46A65BF54441}"/>
              </c:ext>
            </c:extLst>
          </c:dPt>
          <c:dPt>
            <c:idx val="220"/>
            <c:bubble3D val="0"/>
            <c:extLst>
              <c:ext xmlns:c16="http://schemas.microsoft.com/office/drawing/2014/chart" uri="{C3380CC4-5D6E-409C-BE32-E72D297353CC}">
                <c16:uniqueId val="{0000025C-C5E1-416E-BB48-46A65BF54441}"/>
              </c:ext>
            </c:extLst>
          </c:dPt>
          <c:dPt>
            <c:idx val="221"/>
            <c:bubble3D val="0"/>
            <c:extLst>
              <c:ext xmlns:c16="http://schemas.microsoft.com/office/drawing/2014/chart" uri="{C3380CC4-5D6E-409C-BE32-E72D297353CC}">
                <c16:uniqueId val="{0000025D-C5E1-416E-BB48-46A65BF54441}"/>
              </c:ext>
            </c:extLst>
          </c:dPt>
          <c:dPt>
            <c:idx val="222"/>
            <c:bubble3D val="0"/>
            <c:extLst>
              <c:ext xmlns:c16="http://schemas.microsoft.com/office/drawing/2014/chart" uri="{C3380CC4-5D6E-409C-BE32-E72D297353CC}">
                <c16:uniqueId val="{0000025E-C5E1-416E-BB48-46A65BF54441}"/>
              </c:ext>
            </c:extLst>
          </c:dPt>
          <c:dPt>
            <c:idx val="223"/>
            <c:bubble3D val="0"/>
            <c:extLst>
              <c:ext xmlns:c16="http://schemas.microsoft.com/office/drawing/2014/chart" uri="{C3380CC4-5D6E-409C-BE32-E72D297353CC}">
                <c16:uniqueId val="{0000025F-C5E1-416E-BB48-46A65BF54441}"/>
              </c:ext>
            </c:extLst>
          </c:dPt>
          <c:dPt>
            <c:idx val="224"/>
            <c:bubble3D val="0"/>
            <c:extLst>
              <c:ext xmlns:c16="http://schemas.microsoft.com/office/drawing/2014/chart" uri="{C3380CC4-5D6E-409C-BE32-E72D297353CC}">
                <c16:uniqueId val="{00000260-C5E1-416E-BB48-46A65BF54441}"/>
              </c:ext>
            </c:extLst>
          </c:dPt>
          <c:dPt>
            <c:idx val="226"/>
            <c:bubble3D val="0"/>
            <c:extLst>
              <c:ext xmlns:c16="http://schemas.microsoft.com/office/drawing/2014/chart" uri="{C3380CC4-5D6E-409C-BE32-E72D297353CC}">
                <c16:uniqueId val="{00000261-C5E1-416E-BB48-46A65BF54441}"/>
              </c:ext>
            </c:extLst>
          </c:dPt>
          <c:dPt>
            <c:idx val="227"/>
            <c:bubble3D val="0"/>
            <c:extLst>
              <c:ext xmlns:c16="http://schemas.microsoft.com/office/drawing/2014/chart" uri="{C3380CC4-5D6E-409C-BE32-E72D297353CC}">
                <c16:uniqueId val="{00000262-C5E1-416E-BB48-46A65BF54441}"/>
              </c:ext>
            </c:extLst>
          </c:dPt>
          <c:dPt>
            <c:idx val="231"/>
            <c:bubble3D val="0"/>
            <c:extLst>
              <c:ext xmlns:c16="http://schemas.microsoft.com/office/drawing/2014/chart" uri="{C3380CC4-5D6E-409C-BE32-E72D297353CC}">
                <c16:uniqueId val="{00000263-C5E1-416E-BB48-46A65BF54441}"/>
              </c:ext>
            </c:extLst>
          </c:dPt>
          <c:dPt>
            <c:idx val="232"/>
            <c:bubble3D val="0"/>
            <c:extLst>
              <c:ext xmlns:c16="http://schemas.microsoft.com/office/drawing/2014/chart" uri="{C3380CC4-5D6E-409C-BE32-E72D297353CC}">
                <c16:uniqueId val="{00000264-C5E1-416E-BB48-46A65BF54441}"/>
              </c:ext>
            </c:extLst>
          </c:dPt>
          <c:dPt>
            <c:idx val="233"/>
            <c:bubble3D val="0"/>
            <c:extLst>
              <c:ext xmlns:c16="http://schemas.microsoft.com/office/drawing/2014/chart" uri="{C3380CC4-5D6E-409C-BE32-E72D297353CC}">
                <c16:uniqueId val="{00000265-C5E1-416E-BB48-46A65BF54441}"/>
              </c:ext>
            </c:extLst>
          </c:dPt>
          <c:dPt>
            <c:idx val="236"/>
            <c:bubble3D val="0"/>
            <c:extLst>
              <c:ext xmlns:c16="http://schemas.microsoft.com/office/drawing/2014/chart" uri="{C3380CC4-5D6E-409C-BE32-E72D297353CC}">
                <c16:uniqueId val="{00000266-C5E1-416E-BB48-46A65BF54441}"/>
              </c:ext>
            </c:extLst>
          </c:dPt>
          <c:dPt>
            <c:idx val="238"/>
            <c:bubble3D val="0"/>
            <c:extLst>
              <c:ext xmlns:c16="http://schemas.microsoft.com/office/drawing/2014/chart" uri="{C3380CC4-5D6E-409C-BE32-E72D297353CC}">
                <c16:uniqueId val="{00000267-C5E1-416E-BB48-46A65BF54441}"/>
              </c:ext>
            </c:extLst>
          </c:dPt>
          <c:dPt>
            <c:idx val="239"/>
            <c:bubble3D val="0"/>
            <c:extLst>
              <c:ext xmlns:c16="http://schemas.microsoft.com/office/drawing/2014/chart" uri="{C3380CC4-5D6E-409C-BE32-E72D297353CC}">
                <c16:uniqueId val="{00000268-C5E1-416E-BB48-46A65BF54441}"/>
              </c:ext>
            </c:extLst>
          </c:dPt>
          <c:dPt>
            <c:idx val="240"/>
            <c:bubble3D val="0"/>
            <c:extLst>
              <c:ext xmlns:c16="http://schemas.microsoft.com/office/drawing/2014/chart" uri="{C3380CC4-5D6E-409C-BE32-E72D297353CC}">
                <c16:uniqueId val="{00000269-C5E1-416E-BB48-46A65BF54441}"/>
              </c:ext>
            </c:extLst>
          </c:dPt>
          <c:dPt>
            <c:idx val="243"/>
            <c:bubble3D val="0"/>
            <c:extLst>
              <c:ext xmlns:c16="http://schemas.microsoft.com/office/drawing/2014/chart" uri="{C3380CC4-5D6E-409C-BE32-E72D297353CC}">
                <c16:uniqueId val="{0000026A-C5E1-416E-BB48-46A65BF54441}"/>
              </c:ext>
            </c:extLst>
          </c:dPt>
          <c:dPt>
            <c:idx val="244"/>
            <c:bubble3D val="0"/>
            <c:extLst>
              <c:ext xmlns:c16="http://schemas.microsoft.com/office/drawing/2014/chart" uri="{C3380CC4-5D6E-409C-BE32-E72D297353CC}">
                <c16:uniqueId val="{0000026B-C5E1-416E-BB48-46A65BF54441}"/>
              </c:ext>
            </c:extLst>
          </c:dPt>
          <c:dPt>
            <c:idx val="248"/>
            <c:bubble3D val="0"/>
            <c:extLst>
              <c:ext xmlns:c16="http://schemas.microsoft.com/office/drawing/2014/chart" uri="{C3380CC4-5D6E-409C-BE32-E72D297353CC}">
                <c16:uniqueId val="{0000026C-C5E1-416E-BB48-46A65BF54441}"/>
              </c:ext>
            </c:extLst>
          </c:dPt>
          <c:dPt>
            <c:idx val="249"/>
            <c:bubble3D val="0"/>
            <c:extLst>
              <c:ext xmlns:c16="http://schemas.microsoft.com/office/drawing/2014/chart" uri="{C3380CC4-5D6E-409C-BE32-E72D297353CC}">
                <c16:uniqueId val="{0000026D-C5E1-416E-BB48-46A65BF54441}"/>
              </c:ext>
            </c:extLst>
          </c:dPt>
          <c:dPt>
            <c:idx val="250"/>
            <c:bubble3D val="0"/>
            <c:extLst>
              <c:ext xmlns:c16="http://schemas.microsoft.com/office/drawing/2014/chart" uri="{C3380CC4-5D6E-409C-BE32-E72D297353CC}">
                <c16:uniqueId val="{0000026E-C5E1-416E-BB48-46A65BF54441}"/>
              </c:ext>
            </c:extLst>
          </c:dPt>
          <c:dPt>
            <c:idx val="252"/>
            <c:bubble3D val="0"/>
            <c:extLst>
              <c:ext xmlns:c16="http://schemas.microsoft.com/office/drawing/2014/chart" uri="{C3380CC4-5D6E-409C-BE32-E72D297353CC}">
                <c16:uniqueId val="{0000026F-C5E1-416E-BB48-46A65BF54441}"/>
              </c:ext>
            </c:extLst>
          </c:dPt>
          <c:dPt>
            <c:idx val="253"/>
            <c:bubble3D val="0"/>
            <c:extLst>
              <c:ext xmlns:c16="http://schemas.microsoft.com/office/drawing/2014/chart" uri="{C3380CC4-5D6E-409C-BE32-E72D297353CC}">
                <c16:uniqueId val="{00000270-C5E1-416E-BB48-46A65BF54441}"/>
              </c:ext>
            </c:extLst>
          </c:dPt>
          <c:dPt>
            <c:idx val="254"/>
            <c:bubble3D val="0"/>
            <c:extLst>
              <c:ext xmlns:c16="http://schemas.microsoft.com/office/drawing/2014/chart" uri="{C3380CC4-5D6E-409C-BE32-E72D297353CC}">
                <c16:uniqueId val="{00000271-C5E1-416E-BB48-46A65BF54441}"/>
              </c:ext>
            </c:extLst>
          </c:dPt>
          <c:dPt>
            <c:idx val="258"/>
            <c:bubble3D val="0"/>
            <c:extLst>
              <c:ext xmlns:c16="http://schemas.microsoft.com/office/drawing/2014/chart" uri="{C3380CC4-5D6E-409C-BE32-E72D297353CC}">
                <c16:uniqueId val="{00000272-C5E1-416E-BB48-46A65BF54441}"/>
              </c:ext>
            </c:extLst>
          </c:dPt>
          <c:dPt>
            <c:idx val="259"/>
            <c:bubble3D val="0"/>
            <c:extLst>
              <c:ext xmlns:c16="http://schemas.microsoft.com/office/drawing/2014/chart" uri="{C3380CC4-5D6E-409C-BE32-E72D297353CC}">
                <c16:uniqueId val="{00000273-C5E1-416E-BB48-46A65BF54441}"/>
              </c:ext>
            </c:extLst>
          </c:dPt>
          <c:dPt>
            <c:idx val="261"/>
            <c:bubble3D val="0"/>
            <c:extLst>
              <c:ext xmlns:c16="http://schemas.microsoft.com/office/drawing/2014/chart" uri="{C3380CC4-5D6E-409C-BE32-E72D297353CC}">
                <c16:uniqueId val="{00000274-C5E1-416E-BB48-46A65BF54441}"/>
              </c:ext>
            </c:extLst>
          </c:dPt>
          <c:cat>
            <c:numRef>
              <c:f>'Bond Prices'!$L$5:$L$266</c:f>
              <c:numCache>
                <c:formatCode>m/d/yyyy</c:formatCode>
                <c:ptCount val="262"/>
                <c:pt idx="0">
                  <c:v>44279</c:v>
                </c:pt>
                <c:pt idx="1">
                  <c:v>44280</c:v>
                </c:pt>
                <c:pt idx="2">
                  <c:v>44281</c:v>
                </c:pt>
                <c:pt idx="3">
                  <c:v>44284</c:v>
                </c:pt>
                <c:pt idx="4">
                  <c:v>44285</c:v>
                </c:pt>
                <c:pt idx="5">
                  <c:v>44286</c:v>
                </c:pt>
                <c:pt idx="6">
                  <c:v>44287</c:v>
                </c:pt>
                <c:pt idx="7">
                  <c:v>44288</c:v>
                </c:pt>
                <c:pt idx="8">
                  <c:v>44291</c:v>
                </c:pt>
                <c:pt idx="9">
                  <c:v>44292</c:v>
                </c:pt>
                <c:pt idx="10">
                  <c:v>44293</c:v>
                </c:pt>
                <c:pt idx="11">
                  <c:v>44294</c:v>
                </c:pt>
                <c:pt idx="12">
                  <c:v>44295</c:v>
                </c:pt>
                <c:pt idx="13">
                  <c:v>44298</c:v>
                </c:pt>
                <c:pt idx="14">
                  <c:v>44299</c:v>
                </c:pt>
                <c:pt idx="15">
                  <c:v>44300</c:v>
                </c:pt>
                <c:pt idx="16">
                  <c:v>44301</c:v>
                </c:pt>
                <c:pt idx="17">
                  <c:v>44302</c:v>
                </c:pt>
                <c:pt idx="18">
                  <c:v>44305</c:v>
                </c:pt>
                <c:pt idx="19">
                  <c:v>44306</c:v>
                </c:pt>
                <c:pt idx="20">
                  <c:v>44307</c:v>
                </c:pt>
                <c:pt idx="21">
                  <c:v>44308</c:v>
                </c:pt>
                <c:pt idx="22">
                  <c:v>44309</c:v>
                </c:pt>
                <c:pt idx="23">
                  <c:v>44312</c:v>
                </c:pt>
                <c:pt idx="24">
                  <c:v>44313</c:v>
                </c:pt>
                <c:pt idx="25">
                  <c:v>44314</c:v>
                </c:pt>
                <c:pt idx="26">
                  <c:v>44315</c:v>
                </c:pt>
                <c:pt idx="27">
                  <c:v>44316</c:v>
                </c:pt>
                <c:pt idx="28">
                  <c:v>44319</c:v>
                </c:pt>
                <c:pt idx="29">
                  <c:v>44320</c:v>
                </c:pt>
                <c:pt idx="30">
                  <c:v>44321</c:v>
                </c:pt>
                <c:pt idx="31">
                  <c:v>44322</c:v>
                </c:pt>
                <c:pt idx="32">
                  <c:v>44323</c:v>
                </c:pt>
                <c:pt idx="33">
                  <c:v>44326</c:v>
                </c:pt>
                <c:pt idx="34">
                  <c:v>44327</c:v>
                </c:pt>
                <c:pt idx="35">
                  <c:v>44328</c:v>
                </c:pt>
                <c:pt idx="36">
                  <c:v>44329</c:v>
                </c:pt>
                <c:pt idx="37">
                  <c:v>44330</c:v>
                </c:pt>
                <c:pt idx="38">
                  <c:v>44333</c:v>
                </c:pt>
                <c:pt idx="39">
                  <c:v>44334</c:v>
                </c:pt>
                <c:pt idx="40">
                  <c:v>44335</c:v>
                </c:pt>
                <c:pt idx="41">
                  <c:v>44336</c:v>
                </c:pt>
                <c:pt idx="42">
                  <c:v>44337</c:v>
                </c:pt>
                <c:pt idx="43">
                  <c:v>44340</c:v>
                </c:pt>
                <c:pt idx="44">
                  <c:v>44341</c:v>
                </c:pt>
                <c:pt idx="45">
                  <c:v>44342</c:v>
                </c:pt>
                <c:pt idx="46">
                  <c:v>44343</c:v>
                </c:pt>
                <c:pt idx="47">
                  <c:v>44344</c:v>
                </c:pt>
                <c:pt idx="48">
                  <c:v>44347</c:v>
                </c:pt>
                <c:pt idx="49">
                  <c:v>44348</c:v>
                </c:pt>
                <c:pt idx="50">
                  <c:v>44349</c:v>
                </c:pt>
                <c:pt idx="51">
                  <c:v>44350</c:v>
                </c:pt>
                <c:pt idx="52">
                  <c:v>44351</c:v>
                </c:pt>
                <c:pt idx="53">
                  <c:v>44354</c:v>
                </c:pt>
                <c:pt idx="54">
                  <c:v>44355</c:v>
                </c:pt>
                <c:pt idx="55">
                  <c:v>44356</c:v>
                </c:pt>
                <c:pt idx="56">
                  <c:v>44357</c:v>
                </c:pt>
                <c:pt idx="57">
                  <c:v>44358</c:v>
                </c:pt>
                <c:pt idx="58">
                  <c:v>44361</c:v>
                </c:pt>
                <c:pt idx="59">
                  <c:v>44362</c:v>
                </c:pt>
                <c:pt idx="60">
                  <c:v>44363</c:v>
                </c:pt>
                <c:pt idx="61">
                  <c:v>44364</c:v>
                </c:pt>
                <c:pt idx="62">
                  <c:v>44365</c:v>
                </c:pt>
                <c:pt idx="63">
                  <c:v>44368</c:v>
                </c:pt>
                <c:pt idx="64">
                  <c:v>44369</c:v>
                </c:pt>
                <c:pt idx="65">
                  <c:v>44370</c:v>
                </c:pt>
                <c:pt idx="66">
                  <c:v>44371</c:v>
                </c:pt>
                <c:pt idx="67">
                  <c:v>44372</c:v>
                </c:pt>
                <c:pt idx="68">
                  <c:v>44375</c:v>
                </c:pt>
                <c:pt idx="69">
                  <c:v>44376</c:v>
                </c:pt>
                <c:pt idx="70">
                  <c:v>44377</c:v>
                </c:pt>
                <c:pt idx="71">
                  <c:v>44378</c:v>
                </c:pt>
                <c:pt idx="72">
                  <c:v>44379</c:v>
                </c:pt>
                <c:pt idx="73">
                  <c:v>44382</c:v>
                </c:pt>
                <c:pt idx="74">
                  <c:v>44383</c:v>
                </c:pt>
                <c:pt idx="75">
                  <c:v>44384</c:v>
                </c:pt>
                <c:pt idx="76">
                  <c:v>44385</c:v>
                </c:pt>
                <c:pt idx="77">
                  <c:v>44386</c:v>
                </c:pt>
                <c:pt idx="78">
                  <c:v>44389</c:v>
                </c:pt>
                <c:pt idx="79">
                  <c:v>44390</c:v>
                </c:pt>
                <c:pt idx="80">
                  <c:v>44391</c:v>
                </c:pt>
                <c:pt idx="81">
                  <c:v>44392</c:v>
                </c:pt>
                <c:pt idx="82">
                  <c:v>44393</c:v>
                </c:pt>
                <c:pt idx="83">
                  <c:v>44396</c:v>
                </c:pt>
                <c:pt idx="84">
                  <c:v>44397</c:v>
                </c:pt>
                <c:pt idx="85">
                  <c:v>44398</c:v>
                </c:pt>
                <c:pt idx="86">
                  <c:v>44399</c:v>
                </c:pt>
                <c:pt idx="87">
                  <c:v>44400</c:v>
                </c:pt>
                <c:pt idx="88">
                  <c:v>44403</c:v>
                </c:pt>
                <c:pt idx="89">
                  <c:v>44404</c:v>
                </c:pt>
                <c:pt idx="90">
                  <c:v>44405</c:v>
                </c:pt>
                <c:pt idx="91">
                  <c:v>44406</c:v>
                </c:pt>
                <c:pt idx="92">
                  <c:v>44407</c:v>
                </c:pt>
                <c:pt idx="93">
                  <c:v>44410</c:v>
                </c:pt>
                <c:pt idx="94">
                  <c:v>44411</c:v>
                </c:pt>
                <c:pt idx="95">
                  <c:v>44412</c:v>
                </c:pt>
                <c:pt idx="96">
                  <c:v>44413</c:v>
                </c:pt>
                <c:pt idx="97">
                  <c:v>44414</c:v>
                </c:pt>
                <c:pt idx="98">
                  <c:v>44417</c:v>
                </c:pt>
                <c:pt idx="99">
                  <c:v>44418</c:v>
                </c:pt>
                <c:pt idx="100">
                  <c:v>44419</c:v>
                </c:pt>
                <c:pt idx="101">
                  <c:v>44420</c:v>
                </c:pt>
                <c:pt idx="102">
                  <c:v>44421</c:v>
                </c:pt>
                <c:pt idx="103">
                  <c:v>44424</c:v>
                </c:pt>
                <c:pt idx="104">
                  <c:v>44425</c:v>
                </c:pt>
                <c:pt idx="105">
                  <c:v>44426</c:v>
                </c:pt>
                <c:pt idx="106">
                  <c:v>44427</c:v>
                </c:pt>
                <c:pt idx="107">
                  <c:v>44428</c:v>
                </c:pt>
                <c:pt idx="108">
                  <c:v>44431</c:v>
                </c:pt>
                <c:pt idx="109">
                  <c:v>44432</c:v>
                </c:pt>
                <c:pt idx="110">
                  <c:v>44433</c:v>
                </c:pt>
                <c:pt idx="111">
                  <c:v>44434</c:v>
                </c:pt>
                <c:pt idx="112">
                  <c:v>44435</c:v>
                </c:pt>
                <c:pt idx="113">
                  <c:v>44438</c:v>
                </c:pt>
                <c:pt idx="114">
                  <c:v>44439</c:v>
                </c:pt>
                <c:pt idx="115">
                  <c:v>44440</c:v>
                </c:pt>
                <c:pt idx="116">
                  <c:v>44441</c:v>
                </c:pt>
                <c:pt idx="117">
                  <c:v>44442</c:v>
                </c:pt>
                <c:pt idx="118">
                  <c:v>44445</c:v>
                </c:pt>
                <c:pt idx="119">
                  <c:v>44446</c:v>
                </c:pt>
                <c:pt idx="120">
                  <c:v>44447</c:v>
                </c:pt>
                <c:pt idx="121">
                  <c:v>44448</c:v>
                </c:pt>
                <c:pt idx="122">
                  <c:v>44449</c:v>
                </c:pt>
                <c:pt idx="123">
                  <c:v>44452</c:v>
                </c:pt>
                <c:pt idx="124">
                  <c:v>44453</c:v>
                </c:pt>
                <c:pt idx="125">
                  <c:v>44454</c:v>
                </c:pt>
                <c:pt idx="126">
                  <c:v>44455</c:v>
                </c:pt>
                <c:pt idx="127">
                  <c:v>44456</c:v>
                </c:pt>
                <c:pt idx="128">
                  <c:v>44459</c:v>
                </c:pt>
                <c:pt idx="129">
                  <c:v>44460</c:v>
                </c:pt>
                <c:pt idx="130">
                  <c:v>44461</c:v>
                </c:pt>
                <c:pt idx="131">
                  <c:v>44462</c:v>
                </c:pt>
                <c:pt idx="132">
                  <c:v>44463</c:v>
                </c:pt>
                <c:pt idx="133">
                  <c:v>44466</c:v>
                </c:pt>
                <c:pt idx="134">
                  <c:v>44467</c:v>
                </c:pt>
                <c:pt idx="135">
                  <c:v>44468</c:v>
                </c:pt>
                <c:pt idx="136">
                  <c:v>44469</c:v>
                </c:pt>
                <c:pt idx="137">
                  <c:v>44470</c:v>
                </c:pt>
                <c:pt idx="138">
                  <c:v>44473</c:v>
                </c:pt>
                <c:pt idx="139">
                  <c:v>44474</c:v>
                </c:pt>
                <c:pt idx="140">
                  <c:v>44475</c:v>
                </c:pt>
                <c:pt idx="141">
                  <c:v>44476</c:v>
                </c:pt>
                <c:pt idx="142">
                  <c:v>44477</c:v>
                </c:pt>
                <c:pt idx="143">
                  <c:v>44480</c:v>
                </c:pt>
                <c:pt idx="144">
                  <c:v>44481</c:v>
                </c:pt>
                <c:pt idx="145">
                  <c:v>44482</c:v>
                </c:pt>
                <c:pt idx="146">
                  <c:v>44483</c:v>
                </c:pt>
                <c:pt idx="147">
                  <c:v>44484</c:v>
                </c:pt>
                <c:pt idx="148">
                  <c:v>44487</c:v>
                </c:pt>
                <c:pt idx="149">
                  <c:v>44488</c:v>
                </c:pt>
                <c:pt idx="150">
                  <c:v>44489</c:v>
                </c:pt>
                <c:pt idx="151">
                  <c:v>44490</c:v>
                </c:pt>
                <c:pt idx="152">
                  <c:v>44491</c:v>
                </c:pt>
                <c:pt idx="153">
                  <c:v>44494</c:v>
                </c:pt>
                <c:pt idx="154">
                  <c:v>44495</c:v>
                </c:pt>
                <c:pt idx="155">
                  <c:v>44496</c:v>
                </c:pt>
                <c:pt idx="156">
                  <c:v>44497</c:v>
                </c:pt>
                <c:pt idx="157">
                  <c:v>44498</c:v>
                </c:pt>
                <c:pt idx="158">
                  <c:v>44501</c:v>
                </c:pt>
                <c:pt idx="159">
                  <c:v>44502</c:v>
                </c:pt>
                <c:pt idx="160">
                  <c:v>44503</c:v>
                </c:pt>
                <c:pt idx="161">
                  <c:v>44504</c:v>
                </c:pt>
                <c:pt idx="162">
                  <c:v>44505</c:v>
                </c:pt>
                <c:pt idx="163">
                  <c:v>44508</c:v>
                </c:pt>
                <c:pt idx="164">
                  <c:v>44509</c:v>
                </c:pt>
                <c:pt idx="165">
                  <c:v>44510</c:v>
                </c:pt>
                <c:pt idx="166">
                  <c:v>44511</c:v>
                </c:pt>
                <c:pt idx="167">
                  <c:v>44512</c:v>
                </c:pt>
                <c:pt idx="168">
                  <c:v>44515</c:v>
                </c:pt>
                <c:pt idx="169">
                  <c:v>44516</c:v>
                </c:pt>
                <c:pt idx="170">
                  <c:v>44517</c:v>
                </c:pt>
                <c:pt idx="171">
                  <c:v>44518</c:v>
                </c:pt>
                <c:pt idx="172">
                  <c:v>44519</c:v>
                </c:pt>
                <c:pt idx="173">
                  <c:v>44522</c:v>
                </c:pt>
                <c:pt idx="174">
                  <c:v>44523</c:v>
                </c:pt>
                <c:pt idx="175">
                  <c:v>44524</c:v>
                </c:pt>
                <c:pt idx="176">
                  <c:v>44525</c:v>
                </c:pt>
                <c:pt idx="177">
                  <c:v>44526</c:v>
                </c:pt>
                <c:pt idx="178">
                  <c:v>44529</c:v>
                </c:pt>
                <c:pt idx="179">
                  <c:v>44530</c:v>
                </c:pt>
                <c:pt idx="180">
                  <c:v>44531</c:v>
                </c:pt>
                <c:pt idx="181">
                  <c:v>44532</c:v>
                </c:pt>
                <c:pt idx="182">
                  <c:v>44533</c:v>
                </c:pt>
                <c:pt idx="183">
                  <c:v>44536</c:v>
                </c:pt>
                <c:pt idx="184">
                  <c:v>44537</c:v>
                </c:pt>
                <c:pt idx="185">
                  <c:v>44538</c:v>
                </c:pt>
                <c:pt idx="186">
                  <c:v>44539</c:v>
                </c:pt>
                <c:pt idx="187">
                  <c:v>44540</c:v>
                </c:pt>
                <c:pt idx="188">
                  <c:v>44543</c:v>
                </c:pt>
                <c:pt idx="189">
                  <c:v>44544</c:v>
                </c:pt>
                <c:pt idx="190">
                  <c:v>44545</c:v>
                </c:pt>
                <c:pt idx="191">
                  <c:v>44546</c:v>
                </c:pt>
                <c:pt idx="192">
                  <c:v>44547</c:v>
                </c:pt>
                <c:pt idx="193">
                  <c:v>44550</c:v>
                </c:pt>
                <c:pt idx="194">
                  <c:v>44551</c:v>
                </c:pt>
                <c:pt idx="195">
                  <c:v>44552</c:v>
                </c:pt>
                <c:pt idx="196">
                  <c:v>44553</c:v>
                </c:pt>
                <c:pt idx="197">
                  <c:v>44554</c:v>
                </c:pt>
                <c:pt idx="198">
                  <c:v>44557</c:v>
                </c:pt>
                <c:pt idx="199">
                  <c:v>44558</c:v>
                </c:pt>
                <c:pt idx="200">
                  <c:v>44559</c:v>
                </c:pt>
                <c:pt idx="201">
                  <c:v>44560</c:v>
                </c:pt>
                <c:pt idx="202">
                  <c:v>44561</c:v>
                </c:pt>
                <c:pt idx="203">
                  <c:v>44564</c:v>
                </c:pt>
                <c:pt idx="204">
                  <c:v>44565</c:v>
                </c:pt>
                <c:pt idx="205">
                  <c:v>44566</c:v>
                </c:pt>
                <c:pt idx="206">
                  <c:v>44567</c:v>
                </c:pt>
                <c:pt idx="207">
                  <c:v>44568</c:v>
                </c:pt>
                <c:pt idx="208">
                  <c:v>44571</c:v>
                </c:pt>
                <c:pt idx="209">
                  <c:v>44572</c:v>
                </c:pt>
                <c:pt idx="210">
                  <c:v>44573</c:v>
                </c:pt>
                <c:pt idx="211">
                  <c:v>44574</c:v>
                </c:pt>
                <c:pt idx="212">
                  <c:v>44575</c:v>
                </c:pt>
                <c:pt idx="213">
                  <c:v>44578</c:v>
                </c:pt>
                <c:pt idx="214">
                  <c:v>44579</c:v>
                </c:pt>
                <c:pt idx="215">
                  <c:v>44580</c:v>
                </c:pt>
                <c:pt idx="216">
                  <c:v>44581</c:v>
                </c:pt>
                <c:pt idx="217">
                  <c:v>44582</c:v>
                </c:pt>
                <c:pt idx="218">
                  <c:v>44585</c:v>
                </c:pt>
                <c:pt idx="219">
                  <c:v>44586</c:v>
                </c:pt>
                <c:pt idx="220">
                  <c:v>44587</c:v>
                </c:pt>
                <c:pt idx="221">
                  <c:v>44588</c:v>
                </c:pt>
                <c:pt idx="222">
                  <c:v>44589</c:v>
                </c:pt>
                <c:pt idx="223">
                  <c:v>44592</c:v>
                </c:pt>
                <c:pt idx="224">
                  <c:v>44593</c:v>
                </c:pt>
                <c:pt idx="225">
                  <c:v>44594</c:v>
                </c:pt>
                <c:pt idx="226">
                  <c:v>44595</c:v>
                </c:pt>
                <c:pt idx="227">
                  <c:v>44596</c:v>
                </c:pt>
                <c:pt idx="228">
                  <c:v>44599</c:v>
                </c:pt>
                <c:pt idx="229">
                  <c:v>44600</c:v>
                </c:pt>
                <c:pt idx="230">
                  <c:v>44601</c:v>
                </c:pt>
                <c:pt idx="231">
                  <c:v>44602</c:v>
                </c:pt>
                <c:pt idx="232">
                  <c:v>44603</c:v>
                </c:pt>
                <c:pt idx="233">
                  <c:v>44606</c:v>
                </c:pt>
                <c:pt idx="234">
                  <c:v>44607</c:v>
                </c:pt>
                <c:pt idx="235">
                  <c:v>44608</c:v>
                </c:pt>
                <c:pt idx="236">
                  <c:v>44609</c:v>
                </c:pt>
                <c:pt idx="237">
                  <c:v>44610</c:v>
                </c:pt>
                <c:pt idx="238">
                  <c:v>44613</c:v>
                </c:pt>
                <c:pt idx="239">
                  <c:v>44614</c:v>
                </c:pt>
                <c:pt idx="240">
                  <c:v>44615</c:v>
                </c:pt>
                <c:pt idx="241">
                  <c:v>44616</c:v>
                </c:pt>
                <c:pt idx="242">
                  <c:v>44617</c:v>
                </c:pt>
                <c:pt idx="243">
                  <c:v>44620</c:v>
                </c:pt>
                <c:pt idx="244">
                  <c:v>44621</c:v>
                </c:pt>
                <c:pt idx="245">
                  <c:v>44622</c:v>
                </c:pt>
                <c:pt idx="246">
                  <c:v>44623</c:v>
                </c:pt>
                <c:pt idx="247">
                  <c:v>44624</c:v>
                </c:pt>
                <c:pt idx="248">
                  <c:v>44627</c:v>
                </c:pt>
                <c:pt idx="249">
                  <c:v>44628</c:v>
                </c:pt>
                <c:pt idx="250">
                  <c:v>44629</c:v>
                </c:pt>
                <c:pt idx="251">
                  <c:v>44630</c:v>
                </c:pt>
                <c:pt idx="252">
                  <c:v>44631</c:v>
                </c:pt>
                <c:pt idx="253">
                  <c:v>44634</c:v>
                </c:pt>
                <c:pt idx="254">
                  <c:v>44635</c:v>
                </c:pt>
                <c:pt idx="255">
                  <c:v>44636</c:v>
                </c:pt>
                <c:pt idx="256">
                  <c:v>44637</c:v>
                </c:pt>
                <c:pt idx="257">
                  <c:v>44638</c:v>
                </c:pt>
                <c:pt idx="258">
                  <c:v>44641</c:v>
                </c:pt>
                <c:pt idx="259">
                  <c:v>44642</c:v>
                </c:pt>
                <c:pt idx="260">
                  <c:v>44643</c:v>
                </c:pt>
                <c:pt idx="261">
                  <c:v>44644</c:v>
                </c:pt>
              </c:numCache>
            </c:numRef>
          </c:cat>
          <c:val>
            <c:numRef>
              <c:f>'Bond Prices'!$Q$5:$Q$266</c:f>
              <c:numCache>
                <c:formatCode>0.0</c:formatCode>
                <c:ptCount val="262"/>
                <c:pt idx="0">
                  <c:v>106.657</c:v>
                </c:pt>
                <c:pt idx="1">
                  <c:v>106.628</c:v>
                </c:pt>
                <c:pt idx="2">
                  <c:v>106.639</c:v>
                </c:pt>
                <c:pt idx="3">
                  <c:v>106.621</c:v>
                </c:pt>
                <c:pt idx="4">
                  <c:v>106.613</c:v>
                </c:pt>
                <c:pt idx="5">
                  <c:v>106.654</c:v>
                </c:pt>
                <c:pt idx="6">
                  <c:v>106.625</c:v>
                </c:pt>
                <c:pt idx="7">
                  <c:v>106.625</c:v>
                </c:pt>
                <c:pt idx="8">
                  <c:v>106.634</c:v>
                </c:pt>
                <c:pt idx="9">
                  <c:v>106.68899999999999</c:v>
                </c:pt>
                <c:pt idx="10">
                  <c:v>106.595</c:v>
                </c:pt>
                <c:pt idx="11">
                  <c:v>106.55</c:v>
                </c:pt>
                <c:pt idx="12">
                  <c:v>106.63800000000001</c:v>
                </c:pt>
                <c:pt idx="13">
                  <c:v>106.54</c:v>
                </c:pt>
                <c:pt idx="14">
                  <c:v>106.541</c:v>
                </c:pt>
                <c:pt idx="15">
                  <c:v>106.52200000000001</c:v>
                </c:pt>
                <c:pt idx="16">
                  <c:v>106.51300000000001</c:v>
                </c:pt>
                <c:pt idx="17">
                  <c:v>106.566</c:v>
                </c:pt>
                <c:pt idx="18">
                  <c:v>106.541</c:v>
                </c:pt>
                <c:pt idx="19">
                  <c:v>106.485</c:v>
                </c:pt>
                <c:pt idx="20">
                  <c:v>106.425</c:v>
                </c:pt>
                <c:pt idx="21">
                  <c:v>106.373</c:v>
                </c:pt>
                <c:pt idx="22">
                  <c:v>106.43600000000001</c:v>
                </c:pt>
                <c:pt idx="23">
                  <c:v>106.389</c:v>
                </c:pt>
                <c:pt idx="24">
                  <c:v>106.438</c:v>
                </c:pt>
                <c:pt idx="25">
                  <c:v>106.482</c:v>
                </c:pt>
                <c:pt idx="26">
                  <c:v>106.467</c:v>
                </c:pt>
                <c:pt idx="27">
                  <c:v>106.5</c:v>
                </c:pt>
                <c:pt idx="28">
                  <c:v>106.476</c:v>
                </c:pt>
                <c:pt idx="29">
                  <c:v>106.548</c:v>
                </c:pt>
                <c:pt idx="30">
                  <c:v>106.586</c:v>
                </c:pt>
                <c:pt idx="31">
                  <c:v>106.639</c:v>
                </c:pt>
                <c:pt idx="32">
                  <c:v>106.654</c:v>
                </c:pt>
                <c:pt idx="33">
                  <c:v>106.636</c:v>
                </c:pt>
                <c:pt idx="34">
                  <c:v>106.503</c:v>
                </c:pt>
                <c:pt idx="35">
                  <c:v>106.39700000000001</c:v>
                </c:pt>
                <c:pt idx="36">
                  <c:v>106.36199999999999</c:v>
                </c:pt>
                <c:pt idx="37">
                  <c:v>106.333</c:v>
                </c:pt>
                <c:pt idx="38">
                  <c:v>106.37</c:v>
                </c:pt>
                <c:pt idx="39">
                  <c:v>106.30500000000001</c:v>
                </c:pt>
                <c:pt idx="40">
                  <c:v>106.376</c:v>
                </c:pt>
                <c:pt idx="41">
                  <c:v>106.09399999999999</c:v>
                </c:pt>
                <c:pt idx="42">
                  <c:v>106.249</c:v>
                </c:pt>
                <c:pt idx="43">
                  <c:v>106.279</c:v>
                </c:pt>
                <c:pt idx="44">
                  <c:v>106.212</c:v>
                </c:pt>
                <c:pt idx="45">
                  <c:v>106.29600000000001</c:v>
                </c:pt>
                <c:pt idx="46">
                  <c:v>106.203</c:v>
                </c:pt>
                <c:pt idx="47">
                  <c:v>106.15</c:v>
                </c:pt>
                <c:pt idx="48">
                  <c:v>106.15</c:v>
                </c:pt>
                <c:pt idx="49">
                  <c:v>106.05200000000001</c:v>
                </c:pt>
                <c:pt idx="50">
                  <c:v>106.20099999999999</c:v>
                </c:pt>
                <c:pt idx="51">
                  <c:v>106.04</c:v>
                </c:pt>
                <c:pt idx="52">
                  <c:v>106.068</c:v>
                </c:pt>
                <c:pt idx="53">
                  <c:v>106.167</c:v>
                </c:pt>
                <c:pt idx="54">
                  <c:v>106.166</c:v>
                </c:pt>
                <c:pt idx="55">
                  <c:v>106.071</c:v>
                </c:pt>
                <c:pt idx="56">
                  <c:v>106.05200000000001</c:v>
                </c:pt>
                <c:pt idx="57">
                  <c:v>106.081</c:v>
                </c:pt>
                <c:pt idx="58">
                  <c:v>106.03100000000001</c:v>
                </c:pt>
                <c:pt idx="59">
                  <c:v>106.077</c:v>
                </c:pt>
                <c:pt idx="60">
                  <c:v>105.953</c:v>
                </c:pt>
                <c:pt idx="61">
                  <c:v>106.032</c:v>
                </c:pt>
                <c:pt idx="62">
                  <c:v>105.892</c:v>
                </c:pt>
                <c:pt idx="63">
                  <c:v>105.926</c:v>
                </c:pt>
                <c:pt idx="64">
                  <c:v>105.947</c:v>
                </c:pt>
                <c:pt idx="65">
                  <c:v>105.63</c:v>
                </c:pt>
                <c:pt idx="66">
                  <c:v>105.857</c:v>
                </c:pt>
                <c:pt idx="67">
                  <c:v>105.896</c:v>
                </c:pt>
                <c:pt idx="68">
                  <c:v>105.804</c:v>
                </c:pt>
                <c:pt idx="69">
                  <c:v>105.827</c:v>
                </c:pt>
                <c:pt idx="70">
                  <c:v>105.976</c:v>
                </c:pt>
                <c:pt idx="71">
                  <c:v>105.908</c:v>
                </c:pt>
                <c:pt idx="72">
                  <c:v>105.786</c:v>
                </c:pt>
                <c:pt idx="73">
                  <c:v>105.80500000000001</c:v>
                </c:pt>
                <c:pt idx="74">
                  <c:v>105.773</c:v>
                </c:pt>
                <c:pt idx="75">
                  <c:v>105.93600000000001</c:v>
                </c:pt>
                <c:pt idx="76">
                  <c:v>105.871</c:v>
                </c:pt>
                <c:pt idx="77">
                  <c:v>105.79300000000001</c:v>
                </c:pt>
                <c:pt idx="78">
                  <c:v>105.705</c:v>
                </c:pt>
                <c:pt idx="79">
                  <c:v>105.7</c:v>
                </c:pt>
                <c:pt idx="80">
                  <c:v>105.771</c:v>
                </c:pt>
                <c:pt idx="81">
                  <c:v>105.675</c:v>
                </c:pt>
                <c:pt idx="82">
                  <c:v>105.566</c:v>
                </c:pt>
                <c:pt idx="83">
                  <c:v>105.71299999999999</c:v>
                </c:pt>
                <c:pt idx="84">
                  <c:v>105.587</c:v>
                </c:pt>
                <c:pt idx="85">
                  <c:v>105.515</c:v>
                </c:pt>
                <c:pt idx="86">
                  <c:v>105.589</c:v>
                </c:pt>
                <c:pt idx="87">
                  <c:v>105.6</c:v>
                </c:pt>
                <c:pt idx="88">
                  <c:v>105.328</c:v>
                </c:pt>
                <c:pt idx="89">
                  <c:v>105.72799999999999</c:v>
                </c:pt>
                <c:pt idx="90">
                  <c:v>105.672</c:v>
                </c:pt>
                <c:pt idx="91">
                  <c:v>105.7</c:v>
                </c:pt>
                <c:pt idx="92">
                  <c:v>105.607</c:v>
                </c:pt>
                <c:pt idx="93">
                  <c:v>105.724</c:v>
                </c:pt>
                <c:pt idx="94">
                  <c:v>105.776</c:v>
                </c:pt>
                <c:pt idx="95">
                  <c:v>105.61199999999999</c:v>
                </c:pt>
                <c:pt idx="96">
                  <c:v>105.593</c:v>
                </c:pt>
                <c:pt idx="97">
                  <c:v>105.443</c:v>
                </c:pt>
                <c:pt idx="98">
                  <c:v>105.532</c:v>
                </c:pt>
                <c:pt idx="99">
                  <c:v>105.494</c:v>
                </c:pt>
                <c:pt idx="100">
                  <c:v>105.589</c:v>
                </c:pt>
                <c:pt idx="101">
                  <c:v>105.47799999999999</c:v>
                </c:pt>
                <c:pt idx="102">
                  <c:v>105.548</c:v>
                </c:pt>
                <c:pt idx="103">
                  <c:v>105.491</c:v>
                </c:pt>
                <c:pt idx="104">
                  <c:v>105.485</c:v>
                </c:pt>
                <c:pt idx="105">
                  <c:v>105.51900000000001</c:v>
                </c:pt>
                <c:pt idx="106">
                  <c:v>105.575</c:v>
                </c:pt>
                <c:pt idx="107">
                  <c:v>105.491</c:v>
                </c:pt>
                <c:pt idx="108">
                  <c:v>105.455</c:v>
                </c:pt>
                <c:pt idx="109">
                  <c:v>105.405</c:v>
                </c:pt>
                <c:pt idx="110">
                  <c:v>105.489</c:v>
                </c:pt>
                <c:pt idx="111">
                  <c:v>105.456</c:v>
                </c:pt>
                <c:pt idx="112">
                  <c:v>105.458</c:v>
                </c:pt>
                <c:pt idx="113">
                  <c:v>105.51300000000001</c:v>
                </c:pt>
                <c:pt idx="114">
                  <c:v>105.506</c:v>
                </c:pt>
                <c:pt idx="115">
                  <c:v>105.48099999999999</c:v>
                </c:pt>
                <c:pt idx="116">
                  <c:v>105.486</c:v>
                </c:pt>
                <c:pt idx="117">
                  <c:v>105.46</c:v>
                </c:pt>
                <c:pt idx="118">
                  <c:v>105.336</c:v>
                </c:pt>
                <c:pt idx="119">
                  <c:v>105.395</c:v>
                </c:pt>
                <c:pt idx="120">
                  <c:v>105.39700000000001</c:v>
                </c:pt>
                <c:pt idx="121">
                  <c:v>105.188</c:v>
                </c:pt>
                <c:pt idx="122">
                  <c:v>105.345</c:v>
                </c:pt>
                <c:pt idx="123">
                  <c:v>105.381</c:v>
                </c:pt>
                <c:pt idx="124">
                  <c:v>105.42400000000001</c:v>
                </c:pt>
                <c:pt idx="125">
                  <c:v>105.437</c:v>
                </c:pt>
                <c:pt idx="126">
                  <c:v>105.36</c:v>
                </c:pt>
                <c:pt idx="127">
                  <c:v>105.29600000000001</c:v>
                </c:pt>
                <c:pt idx="128">
                  <c:v>105.224</c:v>
                </c:pt>
                <c:pt idx="129">
                  <c:v>105.233</c:v>
                </c:pt>
                <c:pt idx="130">
                  <c:v>105.04</c:v>
                </c:pt>
                <c:pt idx="131">
                  <c:v>105.236</c:v>
                </c:pt>
                <c:pt idx="132">
                  <c:v>105.246</c:v>
                </c:pt>
                <c:pt idx="133">
                  <c:v>105.32599999999999</c:v>
                </c:pt>
                <c:pt idx="134">
                  <c:v>105.318</c:v>
                </c:pt>
                <c:pt idx="135">
                  <c:v>105.071</c:v>
                </c:pt>
                <c:pt idx="136">
                  <c:v>105.13</c:v>
                </c:pt>
                <c:pt idx="137">
                  <c:v>105.28</c:v>
                </c:pt>
                <c:pt idx="138">
                  <c:v>105.18300000000001</c:v>
                </c:pt>
                <c:pt idx="139">
                  <c:v>105.13800000000001</c:v>
                </c:pt>
                <c:pt idx="140">
                  <c:v>105.182</c:v>
                </c:pt>
                <c:pt idx="141">
                  <c:v>105.056</c:v>
                </c:pt>
                <c:pt idx="142">
                  <c:v>104.893</c:v>
                </c:pt>
                <c:pt idx="143">
                  <c:v>104.866</c:v>
                </c:pt>
                <c:pt idx="144">
                  <c:v>104.92100000000001</c:v>
                </c:pt>
                <c:pt idx="145">
                  <c:v>104.86499999999999</c:v>
                </c:pt>
                <c:pt idx="146">
                  <c:v>104.94</c:v>
                </c:pt>
                <c:pt idx="147">
                  <c:v>104.90600000000001</c:v>
                </c:pt>
                <c:pt idx="148">
                  <c:v>104.81699999999999</c:v>
                </c:pt>
                <c:pt idx="149">
                  <c:v>104.879</c:v>
                </c:pt>
                <c:pt idx="150">
                  <c:v>104.827</c:v>
                </c:pt>
                <c:pt idx="151">
                  <c:v>104.705</c:v>
                </c:pt>
                <c:pt idx="152">
                  <c:v>104.517</c:v>
                </c:pt>
                <c:pt idx="153">
                  <c:v>104.298</c:v>
                </c:pt>
                <c:pt idx="154">
                  <c:v>104.53100000000001</c:v>
                </c:pt>
                <c:pt idx="155">
                  <c:v>104.613</c:v>
                </c:pt>
                <c:pt idx="156">
                  <c:v>104.547</c:v>
                </c:pt>
                <c:pt idx="157">
                  <c:v>104.532</c:v>
                </c:pt>
                <c:pt idx="158">
                  <c:v>104.509</c:v>
                </c:pt>
                <c:pt idx="159">
                  <c:v>104.66800000000001</c:v>
                </c:pt>
                <c:pt idx="160">
                  <c:v>104.631</c:v>
                </c:pt>
                <c:pt idx="161">
                  <c:v>104.676</c:v>
                </c:pt>
                <c:pt idx="162">
                  <c:v>104.736</c:v>
                </c:pt>
                <c:pt idx="163">
                  <c:v>104.477</c:v>
                </c:pt>
                <c:pt idx="164">
                  <c:v>104.619</c:v>
                </c:pt>
                <c:pt idx="165">
                  <c:v>104.407</c:v>
                </c:pt>
                <c:pt idx="166">
                  <c:v>104.315</c:v>
                </c:pt>
                <c:pt idx="167">
                  <c:v>104.43600000000001</c:v>
                </c:pt>
                <c:pt idx="168">
                  <c:v>104.41</c:v>
                </c:pt>
                <c:pt idx="169">
                  <c:v>104.459</c:v>
                </c:pt>
                <c:pt idx="170">
                  <c:v>104.37</c:v>
                </c:pt>
                <c:pt idx="171">
                  <c:v>104.348</c:v>
                </c:pt>
                <c:pt idx="172">
                  <c:v>104.30200000000001</c:v>
                </c:pt>
                <c:pt idx="173">
                  <c:v>104.19799999999999</c:v>
                </c:pt>
                <c:pt idx="174">
                  <c:v>104.268</c:v>
                </c:pt>
                <c:pt idx="175">
                  <c:v>104.151</c:v>
                </c:pt>
                <c:pt idx="176">
                  <c:v>104.124</c:v>
                </c:pt>
                <c:pt idx="177">
                  <c:v>104.422</c:v>
                </c:pt>
                <c:pt idx="178">
                  <c:v>104.28400000000001</c:v>
                </c:pt>
                <c:pt idx="179">
                  <c:v>104.294</c:v>
                </c:pt>
                <c:pt idx="180">
                  <c:v>104.324</c:v>
                </c:pt>
                <c:pt idx="181">
                  <c:v>104.19</c:v>
                </c:pt>
                <c:pt idx="182">
                  <c:v>104.21599999999999</c:v>
                </c:pt>
                <c:pt idx="183">
                  <c:v>104.116</c:v>
                </c:pt>
                <c:pt idx="184">
                  <c:v>104.08</c:v>
                </c:pt>
                <c:pt idx="185">
                  <c:v>104.119</c:v>
                </c:pt>
                <c:pt idx="186">
                  <c:v>104.143</c:v>
                </c:pt>
                <c:pt idx="187">
                  <c:v>104.099</c:v>
                </c:pt>
                <c:pt idx="188">
                  <c:v>104.13500000000001</c:v>
                </c:pt>
                <c:pt idx="189">
                  <c:v>104.124</c:v>
                </c:pt>
                <c:pt idx="190">
                  <c:v>103.998</c:v>
                </c:pt>
                <c:pt idx="191">
                  <c:v>104.125</c:v>
                </c:pt>
                <c:pt idx="192">
                  <c:v>104.086</c:v>
                </c:pt>
                <c:pt idx="193">
                  <c:v>104.05800000000001</c:v>
                </c:pt>
                <c:pt idx="194">
                  <c:v>104.164</c:v>
                </c:pt>
                <c:pt idx="195">
                  <c:v>104.116</c:v>
                </c:pt>
                <c:pt idx="196">
                  <c:v>104.04300000000001</c:v>
                </c:pt>
                <c:pt idx="197">
                  <c:v>104.04300000000001</c:v>
                </c:pt>
                <c:pt idx="198">
                  <c:v>103.88500000000001</c:v>
                </c:pt>
                <c:pt idx="199">
                  <c:v>104.249</c:v>
                </c:pt>
                <c:pt idx="200">
                  <c:v>104.33799999999999</c:v>
                </c:pt>
                <c:pt idx="201">
                  <c:v>104.20099999999999</c:v>
                </c:pt>
                <c:pt idx="202">
                  <c:v>104.03400000000001</c:v>
                </c:pt>
                <c:pt idx="203">
                  <c:v>103.738</c:v>
                </c:pt>
                <c:pt idx="204">
                  <c:v>103.765</c:v>
                </c:pt>
                <c:pt idx="205">
                  <c:v>103.501</c:v>
                </c:pt>
                <c:pt idx="206">
                  <c:v>103.646</c:v>
                </c:pt>
                <c:pt idx="207">
                  <c:v>103.655</c:v>
                </c:pt>
                <c:pt idx="208">
                  <c:v>103.545</c:v>
                </c:pt>
                <c:pt idx="209">
                  <c:v>103.54600000000001</c:v>
                </c:pt>
                <c:pt idx="210">
                  <c:v>103.53</c:v>
                </c:pt>
                <c:pt idx="211">
                  <c:v>103.568</c:v>
                </c:pt>
                <c:pt idx="212">
                  <c:v>103.5</c:v>
                </c:pt>
                <c:pt idx="213">
                  <c:v>103.431</c:v>
                </c:pt>
                <c:pt idx="214">
                  <c:v>103.422</c:v>
                </c:pt>
                <c:pt idx="215">
                  <c:v>103.349</c:v>
                </c:pt>
                <c:pt idx="216">
                  <c:v>103.289</c:v>
                </c:pt>
                <c:pt idx="217">
                  <c:v>103.361</c:v>
                </c:pt>
                <c:pt idx="218">
                  <c:v>103.39400000000001</c:v>
                </c:pt>
                <c:pt idx="219">
                  <c:v>103.35899999999999</c:v>
                </c:pt>
                <c:pt idx="220">
                  <c:v>103.239</c:v>
                </c:pt>
                <c:pt idx="221">
                  <c:v>103.08</c:v>
                </c:pt>
                <c:pt idx="222">
                  <c:v>103.06699999999999</c:v>
                </c:pt>
                <c:pt idx="223">
                  <c:v>103.068</c:v>
                </c:pt>
                <c:pt idx="224">
                  <c:v>103.09</c:v>
                </c:pt>
                <c:pt idx="225">
                  <c:v>103.078</c:v>
                </c:pt>
                <c:pt idx="226">
                  <c:v>103.01</c:v>
                </c:pt>
                <c:pt idx="227">
                  <c:v>102.836</c:v>
                </c:pt>
                <c:pt idx="228">
                  <c:v>102.88200000000001</c:v>
                </c:pt>
                <c:pt idx="229">
                  <c:v>102.825</c:v>
                </c:pt>
                <c:pt idx="230">
                  <c:v>102.81</c:v>
                </c:pt>
                <c:pt idx="231">
                  <c:v>102.518</c:v>
                </c:pt>
                <c:pt idx="232">
                  <c:v>102.569</c:v>
                </c:pt>
                <c:pt idx="233">
                  <c:v>102.447</c:v>
                </c:pt>
                <c:pt idx="234">
                  <c:v>102.46599999999999</c:v>
                </c:pt>
                <c:pt idx="235">
                  <c:v>102.488</c:v>
                </c:pt>
                <c:pt idx="236">
                  <c:v>102.527</c:v>
                </c:pt>
                <c:pt idx="237">
                  <c:v>102.48</c:v>
                </c:pt>
                <c:pt idx="238">
                  <c:v>102.504</c:v>
                </c:pt>
                <c:pt idx="239">
                  <c:v>102.504</c:v>
                </c:pt>
                <c:pt idx="240">
                  <c:v>102.47</c:v>
                </c:pt>
                <c:pt idx="241">
                  <c:v>102.45</c:v>
                </c:pt>
                <c:pt idx="242">
                  <c:v>102.251</c:v>
                </c:pt>
                <c:pt idx="243">
                  <c:v>102.506</c:v>
                </c:pt>
                <c:pt idx="244">
                  <c:v>102.71899999999999</c:v>
                </c:pt>
                <c:pt idx="245">
                  <c:v>102.38500000000001</c:v>
                </c:pt>
                <c:pt idx="246">
                  <c:v>102.352</c:v>
                </c:pt>
                <c:pt idx="247">
                  <c:v>102.371</c:v>
                </c:pt>
                <c:pt idx="248">
                  <c:v>102.24299999999999</c:v>
                </c:pt>
                <c:pt idx="249">
                  <c:v>102.105</c:v>
                </c:pt>
                <c:pt idx="250">
                  <c:v>102.041</c:v>
                </c:pt>
                <c:pt idx="251">
                  <c:v>101.93300000000001</c:v>
                </c:pt>
                <c:pt idx="252">
                  <c:v>101.89400000000001</c:v>
                </c:pt>
                <c:pt idx="253">
                  <c:v>101.77200000000001</c:v>
                </c:pt>
                <c:pt idx="254">
                  <c:v>101.77800000000001</c:v>
                </c:pt>
                <c:pt idx="255">
                  <c:v>101.76600000000001</c:v>
                </c:pt>
                <c:pt idx="256">
                  <c:v>101.78700000000001</c:v>
                </c:pt>
                <c:pt idx="257">
                  <c:v>101.788</c:v>
                </c:pt>
                <c:pt idx="258">
                  <c:v>101.598</c:v>
                </c:pt>
                <c:pt idx="259">
                  <c:v>101.501</c:v>
                </c:pt>
                <c:pt idx="260">
                  <c:v>101.61499999999999</c:v>
                </c:pt>
                <c:pt idx="261">
                  <c:v>101.59099999999999</c:v>
                </c:pt>
              </c:numCache>
            </c:numRef>
          </c:val>
          <c:smooth val="0"/>
          <c:extLst>
            <c:ext xmlns:c16="http://schemas.microsoft.com/office/drawing/2014/chart" uri="{C3380CC4-5D6E-409C-BE32-E72D297353CC}">
              <c16:uniqueId val="{00000004-AFD4-4B25-B979-E2BD3A6BAF70}"/>
            </c:ext>
          </c:extLst>
        </c:ser>
        <c:dLbls>
          <c:showLegendKey val="0"/>
          <c:showVal val="0"/>
          <c:showCatName val="0"/>
          <c:showSerName val="0"/>
          <c:showPercent val="0"/>
          <c:showBubbleSize val="0"/>
        </c:dLbls>
        <c:smooth val="0"/>
        <c:axId val="885115904"/>
        <c:axId val="882844800"/>
      </c:lineChart>
      <c:dateAx>
        <c:axId val="885115904"/>
        <c:scaling>
          <c:orientation val="minMax"/>
        </c:scaling>
        <c:delete val="0"/>
        <c:axPos val="b"/>
        <c:numFmt formatCode="dd\ mmm\ yyyy" sourceLinked="0"/>
        <c:majorTickMark val="out"/>
        <c:minorTickMark val="none"/>
        <c:tickLblPos val="low"/>
        <c:txPr>
          <a:bodyPr rot="-2700000" vert="horz"/>
          <a:lstStyle/>
          <a:p>
            <a:pPr>
              <a:defRPr/>
            </a:pPr>
            <a:endParaRPr lang="en-US"/>
          </a:p>
        </c:txPr>
        <c:crossAx val="882844800"/>
        <c:crosses val="autoZero"/>
        <c:auto val="1"/>
        <c:lblOffset val="100"/>
        <c:baseTimeUnit val="days"/>
      </c:dateAx>
      <c:valAx>
        <c:axId val="88284480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crossAx val="885115904"/>
        <c:crosses val="autoZero"/>
        <c:crossBetween val="between"/>
      </c:valAx>
      <c:spPr>
        <a:gradFill>
          <a:gsLst>
            <a:gs pos="0">
              <a:schemeClr val="bg1">
                <a:lumMod val="95000"/>
              </a:schemeClr>
            </a:gs>
            <a:gs pos="50000">
              <a:schemeClr val="bg1"/>
            </a:gs>
          </a:gsLst>
          <a:lin ang="16200000" scaled="0"/>
        </a:gradFill>
      </c:spPr>
    </c:plotArea>
    <c:legend>
      <c:legendPos val="b"/>
      <c:layout>
        <c:manualLayout>
          <c:xMode val="edge"/>
          <c:yMode val="edge"/>
          <c:x val="6.6613085401361863E-2"/>
          <c:y val="0.88610695769342984"/>
          <c:w val="0.8971113679049505"/>
          <c:h val="0.11385413901913946"/>
        </c:manualLayout>
      </c:layout>
      <c:overlay val="0"/>
    </c:legend>
    <c:plotVisOnly val="1"/>
    <c:dispBlanksAs val="gap"/>
    <c:showDLblsOverMax val="0"/>
  </c:chart>
  <c:spPr>
    <a:noFill/>
  </c:spPr>
  <c:txPr>
    <a:bodyPr/>
    <a:lstStyle/>
    <a:p>
      <a:pPr>
        <a:defRPr sz="10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Share Price Growth Compared to Industry</a:t>
            </a:r>
          </a:p>
        </c:rich>
      </c:tx>
      <c:layout>
        <c:manualLayout>
          <c:xMode val="edge"/>
          <c:yMode val="edge"/>
          <c:x val="0.36016193208967812"/>
          <c:y val="1.8239641894073351E-2"/>
        </c:manualLayout>
      </c:layout>
      <c:overlay val="0"/>
    </c:title>
    <c:autoTitleDeleted val="0"/>
    <c:plotArea>
      <c:layout>
        <c:manualLayout>
          <c:layoutTarget val="inner"/>
          <c:xMode val="edge"/>
          <c:yMode val="edge"/>
          <c:x val="5.7279517053247755E-2"/>
          <c:y val="0.11640520475735167"/>
          <c:w val="0.92470955135777766"/>
          <c:h val="0.53072322193400034"/>
        </c:manualLayout>
      </c:layout>
      <c:lineChart>
        <c:grouping val="standard"/>
        <c:varyColors val="0"/>
        <c:ser>
          <c:idx val="0"/>
          <c:order val="0"/>
          <c:tx>
            <c:strRef>
              <c:f>Input!$E$19</c:f>
              <c:strCache>
                <c:ptCount val="1"/>
                <c:pt idx="0">
                  <c:v>Walmart</c:v>
                </c:pt>
              </c:strCache>
            </c:strRef>
          </c:tx>
          <c:spPr>
            <a:ln w="22225">
              <a:solidFill>
                <a:srgbClr val="0000FF"/>
              </a:solidFill>
            </a:ln>
          </c:spPr>
          <c:marker>
            <c:symbol val="none"/>
          </c:marker>
          <c:dPt>
            <c:idx val="141"/>
            <c:bubble3D val="0"/>
            <c:extLst>
              <c:ext xmlns:c16="http://schemas.microsoft.com/office/drawing/2014/chart" uri="{C3380CC4-5D6E-409C-BE32-E72D297353CC}">
                <c16:uniqueId val="{00000000-7282-40BE-8C08-A2909BC46C19}"/>
              </c:ext>
            </c:extLst>
          </c:dPt>
          <c:dPt>
            <c:idx val="142"/>
            <c:bubble3D val="0"/>
            <c:extLst>
              <c:ext xmlns:c16="http://schemas.microsoft.com/office/drawing/2014/chart" uri="{C3380CC4-5D6E-409C-BE32-E72D297353CC}">
                <c16:uniqueId val="{00000001-7282-40BE-8C08-A2909BC46C19}"/>
              </c:ext>
            </c:extLst>
          </c:dPt>
          <c:dPt>
            <c:idx val="154"/>
            <c:bubble3D val="0"/>
            <c:extLst>
              <c:ext xmlns:c16="http://schemas.microsoft.com/office/drawing/2014/chart" uri="{C3380CC4-5D6E-409C-BE32-E72D297353CC}">
                <c16:uniqueId val="{00000002-7282-40BE-8C08-A2909BC46C19}"/>
              </c:ext>
            </c:extLst>
          </c:dPt>
          <c:dPt>
            <c:idx val="155"/>
            <c:bubble3D val="0"/>
            <c:extLst>
              <c:ext xmlns:c16="http://schemas.microsoft.com/office/drawing/2014/chart" uri="{C3380CC4-5D6E-409C-BE32-E72D297353CC}">
                <c16:uniqueId val="{00000003-7282-40BE-8C08-A2909BC46C19}"/>
              </c:ext>
            </c:extLst>
          </c:dPt>
          <c:dPt>
            <c:idx val="156"/>
            <c:bubble3D val="0"/>
            <c:extLst>
              <c:ext xmlns:c16="http://schemas.microsoft.com/office/drawing/2014/chart" uri="{C3380CC4-5D6E-409C-BE32-E72D297353CC}">
                <c16:uniqueId val="{00000004-7282-40BE-8C08-A2909BC46C19}"/>
              </c:ext>
            </c:extLst>
          </c:dPt>
          <c:dPt>
            <c:idx val="158"/>
            <c:bubble3D val="0"/>
            <c:extLst>
              <c:ext xmlns:c16="http://schemas.microsoft.com/office/drawing/2014/chart" uri="{C3380CC4-5D6E-409C-BE32-E72D297353CC}">
                <c16:uniqueId val="{00000005-7282-40BE-8C08-A2909BC46C19}"/>
              </c:ext>
            </c:extLst>
          </c:dPt>
          <c:dPt>
            <c:idx val="165"/>
            <c:bubble3D val="0"/>
            <c:extLst>
              <c:ext xmlns:c16="http://schemas.microsoft.com/office/drawing/2014/chart" uri="{C3380CC4-5D6E-409C-BE32-E72D297353CC}">
                <c16:uniqueId val="{00000006-7282-40BE-8C08-A2909BC46C19}"/>
              </c:ext>
            </c:extLst>
          </c:dPt>
          <c:dPt>
            <c:idx val="168"/>
            <c:bubble3D val="0"/>
            <c:extLst>
              <c:ext xmlns:c16="http://schemas.microsoft.com/office/drawing/2014/chart" uri="{C3380CC4-5D6E-409C-BE32-E72D297353CC}">
                <c16:uniqueId val="{00000007-7282-40BE-8C08-A2909BC46C19}"/>
              </c:ext>
            </c:extLst>
          </c:dPt>
          <c:dPt>
            <c:idx val="169"/>
            <c:bubble3D val="0"/>
            <c:extLst>
              <c:ext xmlns:c16="http://schemas.microsoft.com/office/drawing/2014/chart" uri="{C3380CC4-5D6E-409C-BE32-E72D297353CC}">
                <c16:uniqueId val="{00000008-7282-40BE-8C08-A2909BC46C19}"/>
              </c:ext>
            </c:extLst>
          </c:dPt>
          <c:dPt>
            <c:idx val="173"/>
            <c:bubble3D val="0"/>
            <c:extLst>
              <c:ext xmlns:c16="http://schemas.microsoft.com/office/drawing/2014/chart" uri="{C3380CC4-5D6E-409C-BE32-E72D297353CC}">
                <c16:uniqueId val="{00000009-7282-40BE-8C08-A2909BC46C19}"/>
              </c:ext>
            </c:extLst>
          </c:dPt>
          <c:dPt>
            <c:idx val="175"/>
            <c:bubble3D val="0"/>
            <c:extLst>
              <c:ext xmlns:c16="http://schemas.microsoft.com/office/drawing/2014/chart" uri="{C3380CC4-5D6E-409C-BE32-E72D297353CC}">
                <c16:uniqueId val="{0000000A-7282-40BE-8C08-A2909BC46C19}"/>
              </c:ext>
            </c:extLst>
          </c:dPt>
          <c:dPt>
            <c:idx val="177"/>
            <c:bubble3D val="0"/>
            <c:extLst>
              <c:ext xmlns:c16="http://schemas.microsoft.com/office/drawing/2014/chart" uri="{C3380CC4-5D6E-409C-BE32-E72D297353CC}">
                <c16:uniqueId val="{0000000B-7282-40BE-8C08-A2909BC46C19}"/>
              </c:ext>
            </c:extLst>
          </c:dPt>
          <c:dPt>
            <c:idx val="178"/>
            <c:bubble3D val="0"/>
            <c:extLst>
              <c:ext xmlns:c16="http://schemas.microsoft.com/office/drawing/2014/chart" uri="{C3380CC4-5D6E-409C-BE32-E72D297353CC}">
                <c16:uniqueId val="{0000000C-7282-40BE-8C08-A2909BC46C19}"/>
              </c:ext>
            </c:extLst>
          </c:dPt>
          <c:dPt>
            <c:idx val="181"/>
            <c:bubble3D val="0"/>
            <c:extLst>
              <c:ext xmlns:c16="http://schemas.microsoft.com/office/drawing/2014/chart" uri="{C3380CC4-5D6E-409C-BE32-E72D297353CC}">
                <c16:uniqueId val="{0000000D-7282-40BE-8C08-A2909BC46C19}"/>
              </c:ext>
            </c:extLst>
          </c:dPt>
          <c:dPt>
            <c:idx val="183"/>
            <c:bubble3D val="0"/>
            <c:extLst>
              <c:ext xmlns:c16="http://schemas.microsoft.com/office/drawing/2014/chart" uri="{C3380CC4-5D6E-409C-BE32-E72D297353CC}">
                <c16:uniqueId val="{0000000E-7282-40BE-8C08-A2909BC46C19}"/>
              </c:ext>
            </c:extLst>
          </c:dPt>
          <c:dPt>
            <c:idx val="187"/>
            <c:bubble3D val="0"/>
            <c:extLst>
              <c:ext xmlns:c16="http://schemas.microsoft.com/office/drawing/2014/chart" uri="{C3380CC4-5D6E-409C-BE32-E72D297353CC}">
                <c16:uniqueId val="{0000000F-7282-40BE-8C08-A2909BC46C19}"/>
              </c:ext>
            </c:extLst>
          </c:dPt>
          <c:dPt>
            <c:idx val="190"/>
            <c:bubble3D val="0"/>
            <c:extLst>
              <c:ext xmlns:c16="http://schemas.microsoft.com/office/drawing/2014/chart" uri="{C3380CC4-5D6E-409C-BE32-E72D297353CC}">
                <c16:uniqueId val="{00000010-7282-40BE-8C08-A2909BC46C19}"/>
              </c:ext>
            </c:extLst>
          </c:dPt>
          <c:dPt>
            <c:idx val="192"/>
            <c:bubble3D val="0"/>
            <c:extLst>
              <c:ext xmlns:c16="http://schemas.microsoft.com/office/drawing/2014/chart" uri="{C3380CC4-5D6E-409C-BE32-E72D297353CC}">
                <c16:uniqueId val="{00000011-7282-40BE-8C08-A2909BC46C19}"/>
              </c:ext>
            </c:extLst>
          </c:dPt>
          <c:dPt>
            <c:idx val="193"/>
            <c:bubble3D val="0"/>
            <c:extLst>
              <c:ext xmlns:c16="http://schemas.microsoft.com/office/drawing/2014/chart" uri="{C3380CC4-5D6E-409C-BE32-E72D297353CC}">
                <c16:uniqueId val="{00000012-7282-40BE-8C08-A2909BC46C19}"/>
              </c:ext>
            </c:extLst>
          </c:dPt>
          <c:dPt>
            <c:idx val="194"/>
            <c:bubble3D val="0"/>
            <c:extLst>
              <c:ext xmlns:c16="http://schemas.microsoft.com/office/drawing/2014/chart" uri="{C3380CC4-5D6E-409C-BE32-E72D297353CC}">
                <c16:uniqueId val="{00000013-7282-40BE-8C08-A2909BC46C19}"/>
              </c:ext>
            </c:extLst>
          </c:dPt>
          <c:dPt>
            <c:idx val="195"/>
            <c:bubble3D val="0"/>
            <c:extLst>
              <c:ext xmlns:c16="http://schemas.microsoft.com/office/drawing/2014/chart" uri="{C3380CC4-5D6E-409C-BE32-E72D297353CC}">
                <c16:uniqueId val="{00000014-7282-40BE-8C08-A2909BC46C19}"/>
              </c:ext>
            </c:extLst>
          </c:dPt>
          <c:dPt>
            <c:idx val="196"/>
            <c:bubble3D val="0"/>
            <c:extLst>
              <c:ext xmlns:c16="http://schemas.microsoft.com/office/drawing/2014/chart" uri="{C3380CC4-5D6E-409C-BE32-E72D297353CC}">
                <c16:uniqueId val="{00000015-7282-40BE-8C08-A2909BC46C19}"/>
              </c:ext>
            </c:extLst>
          </c:dPt>
          <c:dPt>
            <c:idx val="197"/>
            <c:bubble3D val="0"/>
            <c:extLst>
              <c:ext xmlns:c16="http://schemas.microsoft.com/office/drawing/2014/chart" uri="{C3380CC4-5D6E-409C-BE32-E72D297353CC}">
                <c16:uniqueId val="{00000016-7282-40BE-8C08-A2909BC46C19}"/>
              </c:ext>
            </c:extLst>
          </c:dPt>
          <c:dPt>
            <c:idx val="198"/>
            <c:bubble3D val="0"/>
            <c:extLst>
              <c:ext xmlns:c16="http://schemas.microsoft.com/office/drawing/2014/chart" uri="{C3380CC4-5D6E-409C-BE32-E72D297353CC}">
                <c16:uniqueId val="{00000017-7282-40BE-8C08-A2909BC46C19}"/>
              </c:ext>
            </c:extLst>
          </c:dPt>
          <c:dPt>
            <c:idx val="199"/>
            <c:bubble3D val="0"/>
            <c:extLst>
              <c:ext xmlns:c16="http://schemas.microsoft.com/office/drawing/2014/chart" uri="{C3380CC4-5D6E-409C-BE32-E72D297353CC}">
                <c16:uniqueId val="{00000018-7282-40BE-8C08-A2909BC46C19}"/>
              </c:ext>
            </c:extLst>
          </c:dPt>
          <c:dPt>
            <c:idx val="200"/>
            <c:bubble3D val="0"/>
            <c:extLst>
              <c:ext xmlns:c16="http://schemas.microsoft.com/office/drawing/2014/chart" uri="{C3380CC4-5D6E-409C-BE32-E72D297353CC}">
                <c16:uniqueId val="{00000019-7282-40BE-8C08-A2909BC46C19}"/>
              </c:ext>
            </c:extLst>
          </c:dPt>
          <c:dPt>
            <c:idx val="201"/>
            <c:bubble3D val="0"/>
            <c:extLst>
              <c:ext xmlns:c16="http://schemas.microsoft.com/office/drawing/2014/chart" uri="{C3380CC4-5D6E-409C-BE32-E72D297353CC}">
                <c16:uniqueId val="{0000001A-7282-40BE-8C08-A2909BC46C19}"/>
              </c:ext>
            </c:extLst>
          </c:dPt>
          <c:dPt>
            <c:idx val="202"/>
            <c:bubble3D val="0"/>
            <c:extLst>
              <c:ext xmlns:c16="http://schemas.microsoft.com/office/drawing/2014/chart" uri="{C3380CC4-5D6E-409C-BE32-E72D297353CC}">
                <c16:uniqueId val="{0000001B-7282-40BE-8C08-A2909BC46C19}"/>
              </c:ext>
            </c:extLst>
          </c:dPt>
          <c:dPt>
            <c:idx val="203"/>
            <c:bubble3D val="0"/>
            <c:extLst>
              <c:ext xmlns:c16="http://schemas.microsoft.com/office/drawing/2014/chart" uri="{C3380CC4-5D6E-409C-BE32-E72D297353CC}">
                <c16:uniqueId val="{0000001C-7282-40BE-8C08-A2909BC46C19}"/>
              </c:ext>
            </c:extLst>
          </c:dPt>
          <c:dPt>
            <c:idx val="204"/>
            <c:bubble3D val="0"/>
            <c:extLst>
              <c:ext xmlns:c16="http://schemas.microsoft.com/office/drawing/2014/chart" uri="{C3380CC4-5D6E-409C-BE32-E72D297353CC}">
                <c16:uniqueId val="{0000001D-7282-40BE-8C08-A2909BC46C19}"/>
              </c:ext>
            </c:extLst>
          </c:dPt>
          <c:dPt>
            <c:idx val="205"/>
            <c:bubble3D val="0"/>
            <c:extLst>
              <c:ext xmlns:c16="http://schemas.microsoft.com/office/drawing/2014/chart" uri="{C3380CC4-5D6E-409C-BE32-E72D297353CC}">
                <c16:uniqueId val="{0000001E-7282-40BE-8C08-A2909BC46C19}"/>
              </c:ext>
            </c:extLst>
          </c:dPt>
          <c:dPt>
            <c:idx val="206"/>
            <c:bubble3D val="0"/>
            <c:extLst>
              <c:ext xmlns:c16="http://schemas.microsoft.com/office/drawing/2014/chart" uri="{C3380CC4-5D6E-409C-BE32-E72D297353CC}">
                <c16:uniqueId val="{0000001F-7282-40BE-8C08-A2909BC46C19}"/>
              </c:ext>
            </c:extLst>
          </c:dPt>
          <c:dPt>
            <c:idx val="207"/>
            <c:bubble3D val="0"/>
            <c:extLst>
              <c:ext xmlns:c16="http://schemas.microsoft.com/office/drawing/2014/chart" uri="{C3380CC4-5D6E-409C-BE32-E72D297353CC}">
                <c16:uniqueId val="{00000020-7282-40BE-8C08-A2909BC46C19}"/>
              </c:ext>
            </c:extLst>
          </c:dPt>
          <c:dPt>
            <c:idx val="208"/>
            <c:bubble3D val="0"/>
            <c:extLst>
              <c:ext xmlns:c16="http://schemas.microsoft.com/office/drawing/2014/chart" uri="{C3380CC4-5D6E-409C-BE32-E72D297353CC}">
                <c16:uniqueId val="{00000021-7282-40BE-8C08-A2909BC46C19}"/>
              </c:ext>
            </c:extLst>
          </c:dPt>
          <c:dPt>
            <c:idx val="209"/>
            <c:bubble3D val="0"/>
            <c:extLst>
              <c:ext xmlns:c16="http://schemas.microsoft.com/office/drawing/2014/chart" uri="{C3380CC4-5D6E-409C-BE32-E72D297353CC}">
                <c16:uniqueId val="{00000022-7282-40BE-8C08-A2909BC46C19}"/>
              </c:ext>
            </c:extLst>
          </c:dPt>
          <c:dPt>
            <c:idx val="210"/>
            <c:bubble3D val="0"/>
            <c:extLst>
              <c:ext xmlns:c16="http://schemas.microsoft.com/office/drawing/2014/chart" uri="{C3380CC4-5D6E-409C-BE32-E72D297353CC}">
                <c16:uniqueId val="{00000023-7282-40BE-8C08-A2909BC46C19}"/>
              </c:ext>
            </c:extLst>
          </c:dPt>
          <c:dPt>
            <c:idx val="211"/>
            <c:bubble3D val="0"/>
            <c:extLst>
              <c:ext xmlns:c16="http://schemas.microsoft.com/office/drawing/2014/chart" uri="{C3380CC4-5D6E-409C-BE32-E72D297353CC}">
                <c16:uniqueId val="{00000024-7282-40BE-8C08-A2909BC46C19}"/>
              </c:ext>
            </c:extLst>
          </c:dPt>
          <c:dPt>
            <c:idx val="212"/>
            <c:bubble3D val="0"/>
            <c:extLst>
              <c:ext xmlns:c16="http://schemas.microsoft.com/office/drawing/2014/chart" uri="{C3380CC4-5D6E-409C-BE32-E72D297353CC}">
                <c16:uniqueId val="{00000025-7282-40BE-8C08-A2909BC46C19}"/>
              </c:ext>
            </c:extLst>
          </c:dPt>
          <c:dPt>
            <c:idx val="213"/>
            <c:bubble3D val="0"/>
            <c:extLst>
              <c:ext xmlns:c16="http://schemas.microsoft.com/office/drawing/2014/chart" uri="{C3380CC4-5D6E-409C-BE32-E72D297353CC}">
                <c16:uniqueId val="{00000026-7282-40BE-8C08-A2909BC46C19}"/>
              </c:ext>
            </c:extLst>
          </c:dPt>
          <c:dPt>
            <c:idx val="214"/>
            <c:bubble3D val="0"/>
            <c:extLst>
              <c:ext xmlns:c16="http://schemas.microsoft.com/office/drawing/2014/chart" uri="{C3380CC4-5D6E-409C-BE32-E72D297353CC}">
                <c16:uniqueId val="{00000027-7282-40BE-8C08-A2909BC46C19}"/>
              </c:ext>
            </c:extLst>
          </c:dPt>
          <c:dPt>
            <c:idx val="215"/>
            <c:bubble3D val="0"/>
            <c:extLst>
              <c:ext xmlns:c16="http://schemas.microsoft.com/office/drawing/2014/chart" uri="{C3380CC4-5D6E-409C-BE32-E72D297353CC}">
                <c16:uniqueId val="{00000028-7282-40BE-8C08-A2909BC46C19}"/>
              </c:ext>
            </c:extLst>
          </c:dPt>
          <c:dPt>
            <c:idx val="216"/>
            <c:bubble3D val="0"/>
            <c:extLst>
              <c:ext xmlns:c16="http://schemas.microsoft.com/office/drawing/2014/chart" uri="{C3380CC4-5D6E-409C-BE32-E72D297353CC}">
                <c16:uniqueId val="{00000029-7282-40BE-8C08-A2909BC46C19}"/>
              </c:ext>
            </c:extLst>
          </c:dPt>
          <c:dPt>
            <c:idx val="218"/>
            <c:bubble3D val="0"/>
            <c:extLst>
              <c:ext xmlns:c16="http://schemas.microsoft.com/office/drawing/2014/chart" uri="{C3380CC4-5D6E-409C-BE32-E72D297353CC}">
                <c16:uniqueId val="{0000002A-7282-40BE-8C08-A2909BC46C19}"/>
              </c:ext>
            </c:extLst>
          </c:dPt>
          <c:dPt>
            <c:idx val="219"/>
            <c:bubble3D val="0"/>
            <c:extLst>
              <c:ext xmlns:c16="http://schemas.microsoft.com/office/drawing/2014/chart" uri="{C3380CC4-5D6E-409C-BE32-E72D297353CC}">
                <c16:uniqueId val="{0000002B-7282-40BE-8C08-A2909BC46C19}"/>
              </c:ext>
            </c:extLst>
          </c:dPt>
          <c:dPt>
            <c:idx val="220"/>
            <c:bubble3D val="0"/>
            <c:extLst>
              <c:ext xmlns:c16="http://schemas.microsoft.com/office/drawing/2014/chart" uri="{C3380CC4-5D6E-409C-BE32-E72D297353CC}">
                <c16:uniqueId val="{0000002C-7282-40BE-8C08-A2909BC46C19}"/>
              </c:ext>
            </c:extLst>
          </c:dPt>
          <c:dPt>
            <c:idx val="221"/>
            <c:bubble3D val="0"/>
            <c:extLst>
              <c:ext xmlns:c16="http://schemas.microsoft.com/office/drawing/2014/chart" uri="{C3380CC4-5D6E-409C-BE32-E72D297353CC}">
                <c16:uniqueId val="{0000002D-7282-40BE-8C08-A2909BC46C19}"/>
              </c:ext>
            </c:extLst>
          </c:dPt>
          <c:dPt>
            <c:idx val="222"/>
            <c:bubble3D val="0"/>
            <c:extLst>
              <c:ext xmlns:c16="http://schemas.microsoft.com/office/drawing/2014/chart" uri="{C3380CC4-5D6E-409C-BE32-E72D297353CC}">
                <c16:uniqueId val="{0000002E-7282-40BE-8C08-A2909BC46C19}"/>
              </c:ext>
            </c:extLst>
          </c:dPt>
          <c:dPt>
            <c:idx val="224"/>
            <c:bubble3D val="0"/>
            <c:extLst>
              <c:ext xmlns:c16="http://schemas.microsoft.com/office/drawing/2014/chart" uri="{C3380CC4-5D6E-409C-BE32-E72D297353CC}">
                <c16:uniqueId val="{0000002F-7282-40BE-8C08-A2909BC46C19}"/>
              </c:ext>
            </c:extLst>
          </c:dPt>
          <c:dPt>
            <c:idx val="225"/>
            <c:bubble3D val="0"/>
            <c:extLst>
              <c:ext xmlns:c16="http://schemas.microsoft.com/office/drawing/2014/chart" uri="{C3380CC4-5D6E-409C-BE32-E72D297353CC}">
                <c16:uniqueId val="{00000030-7282-40BE-8C08-A2909BC46C19}"/>
              </c:ext>
            </c:extLst>
          </c:dPt>
          <c:dPt>
            <c:idx val="226"/>
            <c:bubble3D val="0"/>
            <c:extLst>
              <c:ext xmlns:c16="http://schemas.microsoft.com/office/drawing/2014/chart" uri="{C3380CC4-5D6E-409C-BE32-E72D297353CC}">
                <c16:uniqueId val="{00000031-7282-40BE-8C08-A2909BC46C19}"/>
              </c:ext>
            </c:extLst>
          </c:dPt>
          <c:dPt>
            <c:idx val="227"/>
            <c:bubble3D val="0"/>
            <c:extLst>
              <c:ext xmlns:c16="http://schemas.microsoft.com/office/drawing/2014/chart" uri="{C3380CC4-5D6E-409C-BE32-E72D297353CC}">
                <c16:uniqueId val="{00000032-7282-40BE-8C08-A2909BC46C19}"/>
              </c:ext>
            </c:extLst>
          </c:dPt>
          <c:dPt>
            <c:idx val="228"/>
            <c:bubble3D val="0"/>
            <c:extLst>
              <c:ext xmlns:c16="http://schemas.microsoft.com/office/drawing/2014/chart" uri="{C3380CC4-5D6E-409C-BE32-E72D297353CC}">
                <c16:uniqueId val="{00000033-7282-40BE-8C08-A2909BC46C19}"/>
              </c:ext>
            </c:extLst>
          </c:dPt>
          <c:dPt>
            <c:idx val="229"/>
            <c:bubble3D val="0"/>
            <c:extLst>
              <c:ext xmlns:c16="http://schemas.microsoft.com/office/drawing/2014/chart" uri="{C3380CC4-5D6E-409C-BE32-E72D297353CC}">
                <c16:uniqueId val="{00000034-7282-40BE-8C08-A2909BC46C19}"/>
              </c:ext>
            </c:extLst>
          </c:dPt>
          <c:dPt>
            <c:idx val="230"/>
            <c:bubble3D val="0"/>
            <c:extLst>
              <c:ext xmlns:c16="http://schemas.microsoft.com/office/drawing/2014/chart" uri="{C3380CC4-5D6E-409C-BE32-E72D297353CC}">
                <c16:uniqueId val="{00000035-7282-40BE-8C08-A2909BC46C19}"/>
              </c:ext>
            </c:extLst>
          </c:dPt>
          <c:dPt>
            <c:idx val="231"/>
            <c:bubble3D val="0"/>
            <c:extLst>
              <c:ext xmlns:c16="http://schemas.microsoft.com/office/drawing/2014/chart" uri="{C3380CC4-5D6E-409C-BE32-E72D297353CC}">
                <c16:uniqueId val="{00000036-7282-40BE-8C08-A2909BC46C19}"/>
              </c:ext>
            </c:extLst>
          </c:dPt>
          <c:dPt>
            <c:idx val="232"/>
            <c:bubble3D val="0"/>
            <c:extLst>
              <c:ext xmlns:c16="http://schemas.microsoft.com/office/drawing/2014/chart" uri="{C3380CC4-5D6E-409C-BE32-E72D297353CC}">
                <c16:uniqueId val="{00000037-7282-40BE-8C08-A2909BC46C19}"/>
              </c:ext>
            </c:extLst>
          </c:dPt>
          <c:dPt>
            <c:idx val="233"/>
            <c:bubble3D val="0"/>
            <c:extLst>
              <c:ext xmlns:c16="http://schemas.microsoft.com/office/drawing/2014/chart" uri="{C3380CC4-5D6E-409C-BE32-E72D297353CC}">
                <c16:uniqueId val="{00000038-7282-40BE-8C08-A2909BC46C19}"/>
              </c:ext>
            </c:extLst>
          </c:dPt>
          <c:dPt>
            <c:idx val="234"/>
            <c:bubble3D val="0"/>
            <c:extLst>
              <c:ext xmlns:c16="http://schemas.microsoft.com/office/drawing/2014/chart" uri="{C3380CC4-5D6E-409C-BE32-E72D297353CC}">
                <c16:uniqueId val="{00000039-7282-40BE-8C08-A2909BC46C19}"/>
              </c:ext>
            </c:extLst>
          </c:dPt>
          <c:dPt>
            <c:idx val="235"/>
            <c:bubble3D val="0"/>
            <c:extLst>
              <c:ext xmlns:c16="http://schemas.microsoft.com/office/drawing/2014/chart" uri="{C3380CC4-5D6E-409C-BE32-E72D297353CC}">
                <c16:uniqueId val="{0000003A-7282-40BE-8C08-A2909BC46C19}"/>
              </c:ext>
            </c:extLst>
          </c:dPt>
          <c:dPt>
            <c:idx val="236"/>
            <c:bubble3D val="0"/>
            <c:extLst>
              <c:ext xmlns:c16="http://schemas.microsoft.com/office/drawing/2014/chart" uri="{C3380CC4-5D6E-409C-BE32-E72D297353CC}">
                <c16:uniqueId val="{0000003B-7282-40BE-8C08-A2909BC46C19}"/>
              </c:ext>
            </c:extLst>
          </c:dPt>
          <c:dPt>
            <c:idx val="237"/>
            <c:bubble3D val="0"/>
            <c:extLst>
              <c:ext xmlns:c16="http://schemas.microsoft.com/office/drawing/2014/chart" uri="{C3380CC4-5D6E-409C-BE32-E72D297353CC}">
                <c16:uniqueId val="{0000003C-7282-40BE-8C08-A2909BC46C19}"/>
              </c:ext>
            </c:extLst>
          </c:dPt>
          <c:dPt>
            <c:idx val="238"/>
            <c:bubble3D val="0"/>
            <c:extLst>
              <c:ext xmlns:c16="http://schemas.microsoft.com/office/drawing/2014/chart" uri="{C3380CC4-5D6E-409C-BE32-E72D297353CC}">
                <c16:uniqueId val="{0000003D-7282-40BE-8C08-A2909BC46C19}"/>
              </c:ext>
            </c:extLst>
          </c:dPt>
          <c:dPt>
            <c:idx val="239"/>
            <c:bubble3D val="0"/>
            <c:extLst>
              <c:ext xmlns:c16="http://schemas.microsoft.com/office/drawing/2014/chart" uri="{C3380CC4-5D6E-409C-BE32-E72D297353CC}">
                <c16:uniqueId val="{0000003E-7282-40BE-8C08-A2909BC46C19}"/>
              </c:ext>
            </c:extLst>
          </c:dPt>
          <c:dPt>
            <c:idx val="240"/>
            <c:bubble3D val="0"/>
            <c:extLst>
              <c:ext xmlns:c16="http://schemas.microsoft.com/office/drawing/2014/chart" uri="{C3380CC4-5D6E-409C-BE32-E72D297353CC}">
                <c16:uniqueId val="{0000003F-7282-40BE-8C08-A2909BC46C19}"/>
              </c:ext>
            </c:extLst>
          </c:dPt>
          <c:dPt>
            <c:idx val="241"/>
            <c:bubble3D val="0"/>
            <c:extLst>
              <c:ext xmlns:c16="http://schemas.microsoft.com/office/drawing/2014/chart" uri="{C3380CC4-5D6E-409C-BE32-E72D297353CC}">
                <c16:uniqueId val="{00000040-7282-40BE-8C08-A2909BC46C19}"/>
              </c:ext>
            </c:extLst>
          </c:dPt>
          <c:dPt>
            <c:idx val="242"/>
            <c:bubble3D val="0"/>
            <c:extLst>
              <c:ext xmlns:c16="http://schemas.microsoft.com/office/drawing/2014/chart" uri="{C3380CC4-5D6E-409C-BE32-E72D297353CC}">
                <c16:uniqueId val="{00000041-7282-40BE-8C08-A2909BC46C19}"/>
              </c:ext>
            </c:extLst>
          </c:dPt>
          <c:dPt>
            <c:idx val="243"/>
            <c:bubble3D val="0"/>
            <c:extLst>
              <c:ext xmlns:c16="http://schemas.microsoft.com/office/drawing/2014/chart" uri="{C3380CC4-5D6E-409C-BE32-E72D297353CC}">
                <c16:uniqueId val="{00000042-7282-40BE-8C08-A2909BC46C19}"/>
              </c:ext>
            </c:extLst>
          </c:dPt>
          <c:dPt>
            <c:idx val="244"/>
            <c:bubble3D val="0"/>
            <c:extLst>
              <c:ext xmlns:c16="http://schemas.microsoft.com/office/drawing/2014/chart" uri="{C3380CC4-5D6E-409C-BE32-E72D297353CC}">
                <c16:uniqueId val="{00000043-7282-40BE-8C08-A2909BC46C19}"/>
              </c:ext>
            </c:extLst>
          </c:dPt>
          <c:dPt>
            <c:idx val="245"/>
            <c:bubble3D val="0"/>
            <c:extLst>
              <c:ext xmlns:c16="http://schemas.microsoft.com/office/drawing/2014/chart" uri="{C3380CC4-5D6E-409C-BE32-E72D297353CC}">
                <c16:uniqueId val="{00000044-7282-40BE-8C08-A2909BC46C19}"/>
              </c:ext>
            </c:extLst>
          </c:dPt>
          <c:dPt>
            <c:idx val="246"/>
            <c:bubble3D val="0"/>
            <c:extLst>
              <c:ext xmlns:c16="http://schemas.microsoft.com/office/drawing/2014/chart" uri="{C3380CC4-5D6E-409C-BE32-E72D297353CC}">
                <c16:uniqueId val="{00000045-7282-40BE-8C08-A2909BC46C19}"/>
              </c:ext>
            </c:extLst>
          </c:dPt>
          <c:dPt>
            <c:idx val="247"/>
            <c:bubble3D val="0"/>
            <c:extLst>
              <c:ext xmlns:c16="http://schemas.microsoft.com/office/drawing/2014/chart" uri="{C3380CC4-5D6E-409C-BE32-E72D297353CC}">
                <c16:uniqueId val="{00000046-7282-40BE-8C08-A2909BC46C19}"/>
              </c:ext>
            </c:extLst>
          </c:dPt>
          <c:dPt>
            <c:idx val="248"/>
            <c:bubble3D val="0"/>
            <c:extLst>
              <c:ext xmlns:c16="http://schemas.microsoft.com/office/drawing/2014/chart" uri="{C3380CC4-5D6E-409C-BE32-E72D297353CC}">
                <c16:uniqueId val="{00000047-7282-40BE-8C08-A2909BC46C19}"/>
              </c:ext>
            </c:extLst>
          </c:dPt>
          <c:dPt>
            <c:idx val="249"/>
            <c:bubble3D val="0"/>
            <c:extLst>
              <c:ext xmlns:c16="http://schemas.microsoft.com/office/drawing/2014/chart" uri="{C3380CC4-5D6E-409C-BE32-E72D297353CC}">
                <c16:uniqueId val="{00000048-7282-40BE-8C08-A2909BC46C19}"/>
              </c:ext>
            </c:extLst>
          </c:dPt>
          <c:dPt>
            <c:idx val="250"/>
            <c:bubble3D val="0"/>
            <c:extLst>
              <c:ext xmlns:c16="http://schemas.microsoft.com/office/drawing/2014/chart" uri="{C3380CC4-5D6E-409C-BE32-E72D297353CC}">
                <c16:uniqueId val="{00000049-7282-40BE-8C08-A2909BC46C19}"/>
              </c:ext>
            </c:extLst>
          </c:dPt>
          <c:dPt>
            <c:idx val="251"/>
            <c:bubble3D val="0"/>
            <c:extLst>
              <c:ext xmlns:c16="http://schemas.microsoft.com/office/drawing/2014/chart" uri="{C3380CC4-5D6E-409C-BE32-E72D297353CC}">
                <c16:uniqueId val="{0000004A-7282-40BE-8C08-A2909BC46C19}"/>
              </c:ext>
            </c:extLst>
          </c:dPt>
          <c:dPt>
            <c:idx val="252"/>
            <c:bubble3D val="0"/>
            <c:extLst>
              <c:ext xmlns:c16="http://schemas.microsoft.com/office/drawing/2014/chart" uri="{C3380CC4-5D6E-409C-BE32-E72D297353CC}">
                <c16:uniqueId val="{0000004B-7282-40BE-8C08-A2909BC46C19}"/>
              </c:ext>
            </c:extLst>
          </c:dPt>
          <c:dPt>
            <c:idx val="253"/>
            <c:bubble3D val="0"/>
            <c:extLst>
              <c:ext xmlns:c16="http://schemas.microsoft.com/office/drawing/2014/chart" uri="{C3380CC4-5D6E-409C-BE32-E72D297353CC}">
                <c16:uniqueId val="{0000004C-7282-40BE-8C08-A2909BC46C19}"/>
              </c:ext>
            </c:extLst>
          </c:dPt>
          <c:dPt>
            <c:idx val="254"/>
            <c:bubble3D val="0"/>
            <c:extLst>
              <c:ext xmlns:c16="http://schemas.microsoft.com/office/drawing/2014/chart" uri="{C3380CC4-5D6E-409C-BE32-E72D297353CC}">
                <c16:uniqueId val="{0000004D-7282-40BE-8C08-A2909BC46C19}"/>
              </c:ext>
            </c:extLst>
          </c:dPt>
          <c:dPt>
            <c:idx val="255"/>
            <c:bubble3D val="0"/>
            <c:extLst>
              <c:ext xmlns:c16="http://schemas.microsoft.com/office/drawing/2014/chart" uri="{C3380CC4-5D6E-409C-BE32-E72D297353CC}">
                <c16:uniqueId val="{0000004E-7282-40BE-8C08-A2909BC46C19}"/>
              </c:ext>
            </c:extLst>
          </c:dPt>
          <c:dPt>
            <c:idx val="256"/>
            <c:bubble3D val="0"/>
            <c:extLst>
              <c:ext xmlns:c16="http://schemas.microsoft.com/office/drawing/2014/chart" uri="{C3380CC4-5D6E-409C-BE32-E72D297353CC}">
                <c16:uniqueId val="{0000004F-7282-40BE-8C08-A2909BC46C19}"/>
              </c:ext>
            </c:extLst>
          </c:dPt>
          <c:dPt>
            <c:idx val="260"/>
            <c:bubble3D val="0"/>
            <c:extLst>
              <c:ext xmlns:c16="http://schemas.microsoft.com/office/drawing/2014/chart" uri="{C3380CC4-5D6E-409C-BE32-E72D297353CC}">
                <c16:uniqueId val="{00000050-7282-40BE-8C08-A2909BC46C19}"/>
              </c:ext>
            </c:extLst>
          </c:dPt>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Data'!$S$7:$S$267</c:f>
              <c:numCache>
                <c:formatCode>0%</c:formatCode>
                <c:ptCount val="261"/>
                <c:pt idx="0">
                  <c:v>0</c:v>
                </c:pt>
                <c:pt idx="1">
                  <c:v>1.137624861265274E-2</c:v>
                </c:pt>
                <c:pt idx="2">
                  <c:v>1.4844617092119927E-2</c:v>
                </c:pt>
                <c:pt idx="3">
                  <c:v>3.9678135405105452E-2</c:v>
                </c:pt>
                <c:pt idx="4">
                  <c:v>4.3007769145394059E-2</c:v>
                </c:pt>
                <c:pt idx="5">
                  <c:v>6.1320754716981174E-2</c:v>
                </c:pt>
                <c:pt idx="6">
                  <c:v>5.0360710321864621E-2</c:v>
                </c:pt>
                <c:pt idx="7">
                  <c:v>9.2813540510543913E-2</c:v>
                </c:pt>
                <c:pt idx="8">
                  <c:v>8.3934517203107628E-2</c:v>
                </c:pt>
                <c:pt idx="9">
                  <c:v>0.10460599334073262</c:v>
                </c:pt>
                <c:pt idx="10">
                  <c:v>0.10183129855715878</c:v>
                </c:pt>
                <c:pt idx="11">
                  <c:v>4.3840177580466211E-2</c:v>
                </c:pt>
                <c:pt idx="12">
                  <c:v>3.8290788013318533E-2</c:v>
                </c:pt>
                <c:pt idx="13">
                  <c:v>4.9944506104328656E-2</c:v>
                </c:pt>
                <c:pt idx="14">
                  <c:v>4.5088790233074327E-2</c:v>
                </c:pt>
                <c:pt idx="15">
                  <c:v>5.9100998890122103E-2</c:v>
                </c:pt>
                <c:pt idx="16">
                  <c:v>5.6465038845727067E-2</c:v>
                </c:pt>
                <c:pt idx="17">
                  <c:v>0.10724195338512765</c:v>
                </c:pt>
                <c:pt idx="18">
                  <c:v>0.1165371809100999</c:v>
                </c:pt>
                <c:pt idx="19">
                  <c:v>0.11542730299667037</c:v>
                </c:pt>
                <c:pt idx="20">
                  <c:v>0.10030521642619328</c:v>
                </c:pt>
                <c:pt idx="21">
                  <c:v>9.0871254162042225E-2</c:v>
                </c:pt>
                <c:pt idx="22">
                  <c:v>8.7264150943396235E-2</c:v>
                </c:pt>
                <c:pt idx="23">
                  <c:v>9.4339622641509413E-2</c:v>
                </c:pt>
                <c:pt idx="24">
                  <c:v>0.11514983351831298</c:v>
                </c:pt>
                <c:pt idx="25">
                  <c:v>0.10335738068812428</c:v>
                </c:pt>
                <c:pt idx="26">
                  <c:v>8.4073251942286431E-2</c:v>
                </c:pt>
                <c:pt idx="27">
                  <c:v>9.6004439511653716E-2</c:v>
                </c:pt>
                <c:pt idx="28">
                  <c:v>0.20172031076581587</c:v>
                </c:pt>
                <c:pt idx="29">
                  <c:v>0.21309655937846839</c:v>
                </c:pt>
                <c:pt idx="30">
                  <c:v>0.22322419533851279</c:v>
                </c:pt>
                <c:pt idx="31">
                  <c:v>0.24417314095449516</c:v>
                </c:pt>
                <c:pt idx="32">
                  <c:v>0.26137624861265274</c:v>
                </c:pt>
                <c:pt idx="33">
                  <c:v>0.35224750277469474</c:v>
                </c:pt>
                <c:pt idx="34">
                  <c:v>0.34045504994450626</c:v>
                </c:pt>
                <c:pt idx="35">
                  <c:v>0.35058268590455044</c:v>
                </c:pt>
                <c:pt idx="36">
                  <c:v>0.33948390677025531</c:v>
                </c:pt>
                <c:pt idx="37">
                  <c:v>0.34725305216426205</c:v>
                </c:pt>
                <c:pt idx="38">
                  <c:v>0.36251387347391772</c:v>
                </c:pt>
                <c:pt idx="39">
                  <c:v>0.37000554938956709</c:v>
                </c:pt>
                <c:pt idx="40">
                  <c:v>0.38915094339622636</c:v>
                </c:pt>
                <c:pt idx="41">
                  <c:v>0.39941731409544956</c:v>
                </c:pt>
                <c:pt idx="42">
                  <c:v>0.4510266370699223</c:v>
                </c:pt>
                <c:pt idx="43">
                  <c:v>0.50374583795782479</c:v>
                </c:pt>
                <c:pt idx="44">
                  <c:v>0.4495005549389568</c:v>
                </c:pt>
                <c:pt idx="45">
                  <c:v>0.37860710321864599</c:v>
                </c:pt>
                <c:pt idx="46">
                  <c:v>0.45366259711431756</c:v>
                </c:pt>
                <c:pt idx="47">
                  <c:v>0.28870699223085472</c:v>
                </c:pt>
                <c:pt idx="48">
                  <c:v>0.23154827968923408</c:v>
                </c:pt>
                <c:pt idx="49">
                  <c:v>0.23085460599334073</c:v>
                </c:pt>
                <c:pt idx="50">
                  <c:v>0.23709766925638176</c:v>
                </c:pt>
                <c:pt idx="51">
                  <c:v>0.18507214206437306</c:v>
                </c:pt>
                <c:pt idx="52">
                  <c:v>0.23432297447280792</c:v>
                </c:pt>
                <c:pt idx="53">
                  <c:v>0.2026914539400666</c:v>
                </c:pt>
                <c:pt idx="54">
                  <c:v>0.19339622641509435</c:v>
                </c:pt>
                <c:pt idx="55">
                  <c:v>0.20671476137624878</c:v>
                </c:pt>
                <c:pt idx="56">
                  <c:v>0.21101553829078812</c:v>
                </c:pt>
                <c:pt idx="57">
                  <c:v>0.21434517203107673</c:v>
                </c:pt>
                <c:pt idx="58">
                  <c:v>0.15677025527192012</c:v>
                </c:pt>
                <c:pt idx="59">
                  <c:v>0.16037735849056611</c:v>
                </c:pt>
                <c:pt idx="60">
                  <c:v>0.14400665926748046</c:v>
                </c:pt>
                <c:pt idx="61">
                  <c:v>0.15135960044395103</c:v>
                </c:pt>
                <c:pt idx="62">
                  <c:v>0.17036625971143171</c:v>
                </c:pt>
                <c:pt idx="63">
                  <c:v>0.16120976692563826</c:v>
                </c:pt>
                <c:pt idx="64">
                  <c:v>0.17674805771365154</c:v>
                </c:pt>
                <c:pt idx="65">
                  <c:v>0.18826304106548286</c:v>
                </c:pt>
                <c:pt idx="66">
                  <c:v>0.1724472807991122</c:v>
                </c:pt>
                <c:pt idx="67">
                  <c:v>0.21670366259711438</c:v>
                </c:pt>
                <c:pt idx="68">
                  <c:v>0.22169811320754729</c:v>
                </c:pt>
                <c:pt idx="69">
                  <c:v>0.22266925638179802</c:v>
                </c:pt>
                <c:pt idx="70">
                  <c:v>0.2430632630410654</c:v>
                </c:pt>
                <c:pt idx="71">
                  <c:v>0.25110987791342976</c:v>
                </c:pt>
                <c:pt idx="72">
                  <c:v>0.35751942286348504</c:v>
                </c:pt>
                <c:pt idx="73">
                  <c:v>0.31728634850166482</c:v>
                </c:pt>
                <c:pt idx="74">
                  <c:v>0.32991120976692567</c:v>
                </c:pt>
                <c:pt idx="75">
                  <c:v>0.32949500554938949</c:v>
                </c:pt>
                <c:pt idx="76">
                  <c:v>0.31229189789123213</c:v>
                </c:pt>
                <c:pt idx="77">
                  <c:v>0.33046614872364044</c:v>
                </c:pt>
                <c:pt idx="78">
                  <c:v>0.30285793562708108</c:v>
                </c:pt>
                <c:pt idx="79">
                  <c:v>0.29453385127635956</c:v>
                </c:pt>
                <c:pt idx="80">
                  <c:v>0.31534406215316313</c:v>
                </c:pt>
                <c:pt idx="81">
                  <c:v>0.34780799112097682</c:v>
                </c:pt>
                <c:pt idx="82">
                  <c:v>0.37264150943396235</c:v>
                </c:pt>
                <c:pt idx="83">
                  <c:v>0.40593784683684797</c:v>
                </c:pt>
                <c:pt idx="84">
                  <c:v>0.46448390677025531</c:v>
                </c:pt>
                <c:pt idx="85">
                  <c:v>0.35529966703662597</c:v>
                </c:pt>
                <c:pt idx="86">
                  <c:v>0.31936736958934508</c:v>
                </c:pt>
                <c:pt idx="87">
                  <c:v>0.35474472807991142</c:v>
                </c:pt>
                <c:pt idx="88">
                  <c:v>0.29286903440621526</c:v>
                </c:pt>
                <c:pt idx="89">
                  <c:v>0.27427857935627076</c:v>
                </c:pt>
                <c:pt idx="90">
                  <c:v>0.20879578246392883</c:v>
                </c:pt>
                <c:pt idx="91">
                  <c:v>0.27816315205327413</c:v>
                </c:pt>
                <c:pt idx="92">
                  <c:v>0.29633740288568267</c:v>
                </c:pt>
                <c:pt idx="93">
                  <c:v>0.31576026637069932</c:v>
                </c:pt>
                <c:pt idx="94">
                  <c:v>0.35585460599334073</c:v>
                </c:pt>
                <c:pt idx="95">
                  <c:v>0.34489456159822418</c:v>
                </c:pt>
                <c:pt idx="96">
                  <c:v>0.30216426193118751</c:v>
                </c:pt>
                <c:pt idx="97">
                  <c:v>0.3260266370699223</c:v>
                </c:pt>
                <c:pt idx="98">
                  <c:v>0.38720865704772467</c:v>
                </c:pt>
                <c:pt idx="99">
                  <c:v>0.38110432852386245</c:v>
                </c:pt>
                <c:pt idx="100">
                  <c:v>0.35862930077691457</c:v>
                </c:pt>
                <c:pt idx="101">
                  <c:v>0.35391231964483905</c:v>
                </c:pt>
                <c:pt idx="102">
                  <c:v>0.36542730299667037</c:v>
                </c:pt>
                <c:pt idx="103">
                  <c:v>0.36348501664816868</c:v>
                </c:pt>
                <c:pt idx="104">
                  <c:v>0.35307991120976689</c:v>
                </c:pt>
                <c:pt idx="105">
                  <c:v>0.37111542730299663</c:v>
                </c:pt>
                <c:pt idx="106">
                  <c:v>0.40899001109877919</c:v>
                </c:pt>
                <c:pt idx="107">
                  <c:v>0.43146503884572707</c:v>
                </c:pt>
                <c:pt idx="108">
                  <c:v>0.40857380688124301</c:v>
                </c:pt>
                <c:pt idx="109">
                  <c:v>0.41620421753607095</c:v>
                </c:pt>
                <c:pt idx="110">
                  <c:v>0.4138457269700333</c:v>
                </c:pt>
                <c:pt idx="111">
                  <c:v>0.39927857935627076</c:v>
                </c:pt>
                <c:pt idx="112">
                  <c:v>0.42438956714761389</c:v>
                </c:pt>
                <c:pt idx="113">
                  <c:v>0.40732519422863489</c:v>
                </c:pt>
                <c:pt idx="114">
                  <c:v>0.4714206437291899</c:v>
                </c:pt>
                <c:pt idx="115">
                  <c:v>0.51317980022197562</c:v>
                </c:pt>
                <c:pt idx="116">
                  <c:v>0.54175915649278572</c:v>
                </c:pt>
                <c:pt idx="117">
                  <c:v>0.53288013318534966</c:v>
                </c:pt>
                <c:pt idx="118">
                  <c:v>0.55355160932297465</c:v>
                </c:pt>
                <c:pt idx="119">
                  <c:v>0.58990011098779127</c:v>
                </c:pt>
                <c:pt idx="120">
                  <c:v>0.58018867924528306</c:v>
                </c:pt>
                <c:pt idx="121">
                  <c:v>0.56798002219755817</c:v>
                </c:pt>
                <c:pt idx="122">
                  <c:v>0.51775804661487257</c:v>
                </c:pt>
                <c:pt idx="123">
                  <c:v>0.4883462819089901</c:v>
                </c:pt>
                <c:pt idx="124">
                  <c:v>0.5675638179800222</c:v>
                </c:pt>
                <c:pt idx="125">
                  <c:v>0.53759711431742518</c:v>
                </c:pt>
                <c:pt idx="126">
                  <c:v>0.58518312985571597</c:v>
                </c:pt>
                <c:pt idx="127">
                  <c:v>0.59170366259711438</c:v>
                </c:pt>
                <c:pt idx="128">
                  <c:v>0.62916204217536076</c:v>
                </c:pt>
                <c:pt idx="129">
                  <c:v>0.62291897891231973</c:v>
                </c:pt>
                <c:pt idx="130">
                  <c:v>0.64331298557158711</c:v>
                </c:pt>
                <c:pt idx="131">
                  <c:v>0.63928967813540516</c:v>
                </c:pt>
                <c:pt idx="132">
                  <c:v>0.66814650388457264</c:v>
                </c:pt>
                <c:pt idx="133">
                  <c:v>0.65288568257491675</c:v>
                </c:pt>
                <c:pt idx="134">
                  <c:v>0.65149833518313005</c:v>
                </c:pt>
                <c:pt idx="135">
                  <c:v>0.63179800221975602</c:v>
                </c:pt>
                <c:pt idx="136">
                  <c:v>0.65704772475027751</c:v>
                </c:pt>
                <c:pt idx="137">
                  <c:v>0.64913984461709218</c:v>
                </c:pt>
                <c:pt idx="138">
                  <c:v>0.65593784683684797</c:v>
                </c:pt>
                <c:pt idx="139">
                  <c:v>0.6521920088790234</c:v>
                </c:pt>
                <c:pt idx="140">
                  <c:v>0.66176470588235303</c:v>
                </c:pt>
                <c:pt idx="141">
                  <c:v>0.66884017758046621</c:v>
                </c:pt>
                <c:pt idx="142">
                  <c:v>0.66884017758046621</c:v>
                </c:pt>
                <c:pt idx="143">
                  <c:v>0.659128745837958</c:v>
                </c:pt>
                <c:pt idx="144">
                  <c:v>0.63554384017758059</c:v>
                </c:pt>
                <c:pt idx="145">
                  <c:v>0.61459489456159822</c:v>
                </c:pt>
                <c:pt idx="146">
                  <c:v>0.59489456159822418</c:v>
                </c:pt>
                <c:pt idx="147">
                  <c:v>0.58670921198668147</c:v>
                </c:pt>
                <c:pt idx="148">
                  <c:v>0.58837402885682577</c:v>
                </c:pt>
                <c:pt idx="149">
                  <c:v>0.61556603773584917</c:v>
                </c:pt>
                <c:pt idx="150">
                  <c:v>0.63554384017758059</c:v>
                </c:pt>
                <c:pt idx="151">
                  <c:v>0.64511653718091022</c:v>
                </c:pt>
                <c:pt idx="152">
                  <c:v>0.49389567147613778</c:v>
                </c:pt>
                <c:pt idx="153">
                  <c:v>0.62638734739178692</c:v>
                </c:pt>
                <c:pt idx="154">
                  <c:v>0.58296337402885667</c:v>
                </c:pt>
                <c:pt idx="155">
                  <c:v>0.58115982241953379</c:v>
                </c:pt>
                <c:pt idx="156">
                  <c:v>0.5202552719200888</c:v>
                </c:pt>
                <c:pt idx="157">
                  <c:v>0.65760266370699227</c:v>
                </c:pt>
                <c:pt idx="158">
                  <c:v>0.68978912319644836</c:v>
                </c:pt>
                <c:pt idx="159">
                  <c:v>0.8329633740288569</c:v>
                </c:pt>
                <c:pt idx="160">
                  <c:v>0.7957824639289679</c:v>
                </c:pt>
                <c:pt idx="161">
                  <c:v>0.70532741398446186</c:v>
                </c:pt>
                <c:pt idx="162">
                  <c:v>0.70560488346281902</c:v>
                </c:pt>
                <c:pt idx="163">
                  <c:v>0.74722530521642616</c:v>
                </c:pt>
                <c:pt idx="164">
                  <c:v>0.72488901220865709</c:v>
                </c:pt>
                <c:pt idx="165">
                  <c:v>0.72114317425083252</c:v>
                </c:pt>
                <c:pt idx="166">
                  <c:v>0.68645948945615998</c:v>
                </c:pt>
                <c:pt idx="167">
                  <c:v>0.6334628190899001</c:v>
                </c:pt>
                <c:pt idx="168">
                  <c:v>0.66273584905660377</c:v>
                </c:pt>
                <c:pt idx="169">
                  <c:v>0.64150943396226401</c:v>
                </c:pt>
                <c:pt idx="170">
                  <c:v>0.65385682574916748</c:v>
                </c:pt>
                <c:pt idx="171">
                  <c:v>0.81298557158712548</c:v>
                </c:pt>
                <c:pt idx="172">
                  <c:v>0.82769145394006682</c:v>
                </c:pt>
                <c:pt idx="173">
                  <c:v>0.82075471698113223</c:v>
                </c:pt>
                <c:pt idx="174">
                  <c:v>0.79522752497225313</c:v>
                </c:pt>
                <c:pt idx="175">
                  <c:v>0.80313540510543846</c:v>
                </c:pt>
                <c:pt idx="176">
                  <c:v>0.83962264150943389</c:v>
                </c:pt>
                <c:pt idx="177">
                  <c:v>0.82616537180910088</c:v>
                </c:pt>
                <c:pt idx="178">
                  <c:v>0.9464483906770258</c:v>
                </c:pt>
                <c:pt idx="179">
                  <c:v>0.9815482796892343</c:v>
                </c:pt>
                <c:pt idx="180">
                  <c:v>0.89650388457269692</c:v>
                </c:pt>
                <c:pt idx="181">
                  <c:v>0.87694228634850169</c:v>
                </c:pt>
                <c:pt idx="182">
                  <c:v>0.90441176470588247</c:v>
                </c:pt>
                <c:pt idx="183">
                  <c:v>0.94922308546059941</c:v>
                </c:pt>
                <c:pt idx="184">
                  <c:v>0.98085460599334073</c:v>
                </c:pt>
                <c:pt idx="185">
                  <c:v>1.0076304106548282</c:v>
                </c:pt>
                <c:pt idx="186">
                  <c:v>0.99569922308546066</c:v>
                </c:pt>
                <c:pt idx="187">
                  <c:v>0.92494450610432866</c:v>
                </c:pt>
                <c:pt idx="188">
                  <c:v>1.0223362930077693</c:v>
                </c:pt>
                <c:pt idx="189">
                  <c:v>1.0885127635960044</c:v>
                </c:pt>
                <c:pt idx="190">
                  <c:v>1.0843507214206438</c:v>
                </c:pt>
                <c:pt idx="191">
                  <c:v>1.1032186459489455</c:v>
                </c:pt>
                <c:pt idx="192">
                  <c:v>1.0658990011098779</c:v>
                </c:pt>
                <c:pt idx="193">
                  <c:v>1.0394006659267481</c:v>
                </c:pt>
                <c:pt idx="194">
                  <c:v>1.0248335183129855</c:v>
                </c:pt>
                <c:pt idx="195">
                  <c:v>0.99084350721420655</c:v>
                </c:pt>
                <c:pt idx="196">
                  <c:v>0.99986126526082142</c:v>
                </c:pt>
                <c:pt idx="197">
                  <c:v>1.0342674805771366</c:v>
                </c:pt>
                <c:pt idx="198">
                  <c:v>1.0066592674805772</c:v>
                </c:pt>
                <c:pt idx="199">
                  <c:v>1.030105438401776</c:v>
                </c:pt>
                <c:pt idx="200">
                  <c:v>0.94908435072142083</c:v>
                </c:pt>
                <c:pt idx="201">
                  <c:v>1.0027746947835738</c:v>
                </c:pt>
                <c:pt idx="202">
                  <c:v>1.0043007769145396</c:v>
                </c:pt>
                <c:pt idx="203">
                  <c:v>0.9192563817980024</c:v>
                </c:pt>
                <c:pt idx="204">
                  <c:v>0.80244173140954489</c:v>
                </c:pt>
                <c:pt idx="205">
                  <c:v>0.79134295227524976</c:v>
                </c:pt>
                <c:pt idx="206">
                  <c:v>0.86071032186459506</c:v>
                </c:pt>
                <c:pt idx="207">
                  <c:v>0.82769145394006682</c:v>
                </c:pt>
                <c:pt idx="208">
                  <c:v>0.87472253052164262</c:v>
                </c:pt>
                <c:pt idx="209">
                  <c:v>0.88152053274139863</c:v>
                </c:pt>
                <c:pt idx="210">
                  <c:v>0.93923418423973359</c:v>
                </c:pt>
                <c:pt idx="211">
                  <c:v>0.95074916759156514</c:v>
                </c:pt>
                <c:pt idx="212">
                  <c:v>0.94089900110987812</c:v>
                </c:pt>
                <c:pt idx="213">
                  <c:v>0.9410377358490567</c:v>
                </c:pt>
                <c:pt idx="214">
                  <c:v>0.94506104328523843</c:v>
                </c:pt>
                <c:pt idx="215">
                  <c:v>0.93562708102108783</c:v>
                </c:pt>
                <c:pt idx="216">
                  <c:v>0.96656492785793557</c:v>
                </c:pt>
                <c:pt idx="217">
                  <c:v>0.97044950055493895</c:v>
                </c:pt>
                <c:pt idx="218">
                  <c:v>0.96795227524972249</c:v>
                </c:pt>
                <c:pt idx="219">
                  <c:v>0.9526914539400666</c:v>
                </c:pt>
                <c:pt idx="220">
                  <c:v>0.87527746947835716</c:v>
                </c:pt>
                <c:pt idx="221">
                  <c:v>0.92189234184239743</c:v>
                </c:pt>
                <c:pt idx="222">
                  <c:v>0.94381243063263054</c:v>
                </c:pt>
                <c:pt idx="223">
                  <c:v>0.9464483906770258</c:v>
                </c:pt>
                <c:pt idx="224">
                  <c:v>0.96392896781354054</c:v>
                </c:pt>
                <c:pt idx="225">
                  <c:v>0.97599889012208663</c:v>
                </c:pt>
                <c:pt idx="226">
                  <c:v>0.97766370699223115</c:v>
                </c:pt>
                <c:pt idx="227">
                  <c:v>1.0148446170921197</c:v>
                </c:pt>
                <c:pt idx="228">
                  <c:v>1.0745005549389566</c:v>
                </c:pt>
                <c:pt idx="229">
                  <c:v>1.101137624861265</c:v>
                </c:pt>
                <c:pt idx="230">
                  <c:v>1.0327413984461713</c:v>
                </c:pt>
                <c:pt idx="231">
                  <c:v>1.0706159822419536</c:v>
                </c:pt>
                <c:pt idx="232">
                  <c:v>1.0240011098779132</c:v>
                </c:pt>
                <c:pt idx="233">
                  <c:v>1.0079078801331853</c:v>
                </c:pt>
                <c:pt idx="234">
                  <c:v>0.98626526082130961</c:v>
                </c:pt>
                <c:pt idx="235">
                  <c:v>0.90135960044395147</c:v>
                </c:pt>
                <c:pt idx="236">
                  <c:v>0.93756936736958929</c:v>
                </c:pt>
                <c:pt idx="237">
                  <c:v>0.94991675915649298</c:v>
                </c:pt>
                <c:pt idx="238">
                  <c:v>1.0579911209766926</c:v>
                </c:pt>
                <c:pt idx="239">
                  <c:v>1.0729744728079909</c:v>
                </c:pt>
                <c:pt idx="240">
                  <c:v>1.0842119866814648</c:v>
                </c:pt>
                <c:pt idx="241">
                  <c:v>1.0499445061043287</c:v>
                </c:pt>
                <c:pt idx="242">
                  <c:v>0.97544395116537164</c:v>
                </c:pt>
                <c:pt idx="243">
                  <c:v>1.0102663706992234</c:v>
                </c:pt>
                <c:pt idx="244">
                  <c:v>0.90774139844617086</c:v>
                </c:pt>
                <c:pt idx="245">
                  <c:v>0.95657602663706998</c:v>
                </c:pt>
                <c:pt idx="246">
                  <c:v>0.92494450610432866</c:v>
                </c:pt>
                <c:pt idx="247">
                  <c:v>0.93521087680355186</c:v>
                </c:pt>
                <c:pt idx="248">
                  <c:v>1.0073529411764706</c:v>
                </c:pt>
                <c:pt idx="249">
                  <c:v>1.0101276359600444</c:v>
                </c:pt>
                <c:pt idx="250">
                  <c:v>1.0124861265260821</c:v>
                </c:pt>
                <c:pt idx="251">
                  <c:v>0.94492230854605985</c:v>
                </c:pt>
                <c:pt idx="252">
                  <c:v>0.90788013318534988</c:v>
                </c:pt>
                <c:pt idx="253">
                  <c:v>0.93299112097669279</c:v>
                </c:pt>
                <c:pt idx="254">
                  <c:v>0.87749722530521668</c:v>
                </c:pt>
                <c:pt idx="255">
                  <c:v>0.91440066592674829</c:v>
                </c:pt>
                <c:pt idx="256">
                  <c:v>0.892064372918979</c:v>
                </c:pt>
                <c:pt idx="257">
                  <c:v>0.9814095449500555</c:v>
                </c:pt>
                <c:pt idx="258">
                  <c:v>0.97100443951165372</c:v>
                </c:pt>
                <c:pt idx="259">
                  <c:v>1.0177580466148726</c:v>
                </c:pt>
                <c:pt idx="260">
                  <c:v>0.99500554938956731</c:v>
                </c:pt>
              </c:numCache>
            </c:numRef>
          </c:val>
          <c:smooth val="0"/>
          <c:extLst>
            <c:ext xmlns:c16="http://schemas.microsoft.com/office/drawing/2014/chart" uri="{C3380CC4-5D6E-409C-BE32-E72D297353CC}">
              <c16:uniqueId val="{00000000-9678-4776-94A8-B2115644D18B}"/>
            </c:ext>
          </c:extLst>
        </c:ser>
        <c:ser>
          <c:idx val="1"/>
          <c:order val="1"/>
          <c:tx>
            <c:strRef>
              <c:f>'Price Data'!$T$5</c:f>
              <c:strCache>
                <c:ptCount val="1"/>
                <c:pt idx="0">
                  <c:v>Dow Jones Industrial Average</c:v>
                </c:pt>
              </c:strCache>
            </c:strRef>
          </c:tx>
          <c:spPr>
            <a:ln w="22225">
              <a:solidFill>
                <a:srgbClr val="FF0000"/>
              </a:solidFill>
              <a:prstDash val="sysDash"/>
            </a:ln>
          </c:spPr>
          <c:marker>
            <c:symbol val="none"/>
          </c:marker>
          <c:dPt>
            <c:idx val="160"/>
            <c:bubble3D val="0"/>
            <c:extLst>
              <c:ext xmlns:c16="http://schemas.microsoft.com/office/drawing/2014/chart" uri="{C3380CC4-5D6E-409C-BE32-E72D297353CC}">
                <c16:uniqueId val="{00000051-7282-40BE-8C08-A2909BC46C19}"/>
              </c:ext>
            </c:extLst>
          </c:dPt>
          <c:dPt>
            <c:idx val="162"/>
            <c:bubble3D val="0"/>
            <c:extLst>
              <c:ext xmlns:c16="http://schemas.microsoft.com/office/drawing/2014/chart" uri="{C3380CC4-5D6E-409C-BE32-E72D297353CC}">
                <c16:uniqueId val="{00000052-7282-40BE-8C08-A2909BC46C19}"/>
              </c:ext>
            </c:extLst>
          </c:dPt>
          <c:dPt>
            <c:idx val="163"/>
            <c:bubble3D val="0"/>
            <c:extLst>
              <c:ext xmlns:c16="http://schemas.microsoft.com/office/drawing/2014/chart" uri="{C3380CC4-5D6E-409C-BE32-E72D297353CC}">
                <c16:uniqueId val="{00000053-7282-40BE-8C08-A2909BC46C19}"/>
              </c:ext>
            </c:extLst>
          </c:dPt>
          <c:dPt>
            <c:idx val="164"/>
            <c:bubble3D val="0"/>
            <c:extLst>
              <c:ext xmlns:c16="http://schemas.microsoft.com/office/drawing/2014/chart" uri="{C3380CC4-5D6E-409C-BE32-E72D297353CC}">
                <c16:uniqueId val="{00000054-7282-40BE-8C08-A2909BC46C19}"/>
              </c:ext>
            </c:extLst>
          </c:dPt>
          <c:dPt>
            <c:idx val="165"/>
            <c:bubble3D val="0"/>
            <c:extLst>
              <c:ext xmlns:c16="http://schemas.microsoft.com/office/drawing/2014/chart" uri="{C3380CC4-5D6E-409C-BE32-E72D297353CC}">
                <c16:uniqueId val="{00000055-7282-40BE-8C08-A2909BC46C19}"/>
              </c:ext>
            </c:extLst>
          </c:dPt>
          <c:dPt>
            <c:idx val="166"/>
            <c:bubble3D val="0"/>
            <c:extLst>
              <c:ext xmlns:c16="http://schemas.microsoft.com/office/drawing/2014/chart" uri="{C3380CC4-5D6E-409C-BE32-E72D297353CC}">
                <c16:uniqueId val="{00000056-7282-40BE-8C08-A2909BC46C19}"/>
              </c:ext>
            </c:extLst>
          </c:dPt>
          <c:dPt>
            <c:idx val="167"/>
            <c:bubble3D val="0"/>
            <c:extLst>
              <c:ext xmlns:c16="http://schemas.microsoft.com/office/drawing/2014/chart" uri="{C3380CC4-5D6E-409C-BE32-E72D297353CC}">
                <c16:uniqueId val="{00000057-7282-40BE-8C08-A2909BC46C19}"/>
              </c:ext>
            </c:extLst>
          </c:dPt>
          <c:dPt>
            <c:idx val="168"/>
            <c:bubble3D val="0"/>
            <c:extLst>
              <c:ext xmlns:c16="http://schemas.microsoft.com/office/drawing/2014/chart" uri="{C3380CC4-5D6E-409C-BE32-E72D297353CC}">
                <c16:uniqueId val="{00000058-7282-40BE-8C08-A2909BC46C19}"/>
              </c:ext>
            </c:extLst>
          </c:dPt>
          <c:dPt>
            <c:idx val="170"/>
            <c:bubble3D val="0"/>
            <c:extLst>
              <c:ext xmlns:c16="http://schemas.microsoft.com/office/drawing/2014/chart" uri="{C3380CC4-5D6E-409C-BE32-E72D297353CC}">
                <c16:uniqueId val="{00000059-7282-40BE-8C08-A2909BC46C19}"/>
              </c:ext>
            </c:extLst>
          </c:dPt>
          <c:dPt>
            <c:idx val="171"/>
            <c:bubble3D val="0"/>
            <c:extLst>
              <c:ext xmlns:c16="http://schemas.microsoft.com/office/drawing/2014/chart" uri="{C3380CC4-5D6E-409C-BE32-E72D297353CC}">
                <c16:uniqueId val="{0000005A-7282-40BE-8C08-A2909BC46C19}"/>
              </c:ext>
            </c:extLst>
          </c:dPt>
          <c:dPt>
            <c:idx val="172"/>
            <c:bubble3D val="0"/>
            <c:extLst>
              <c:ext xmlns:c16="http://schemas.microsoft.com/office/drawing/2014/chart" uri="{C3380CC4-5D6E-409C-BE32-E72D297353CC}">
                <c16:uniqueId val="{0000005B-7282-40BE-8C08-A2909BC46C19}"/>
              </c:ext>
            </c:extLst>
          </c:dPt>
          <c:dPt>
            <c:idx val="173"/>
            <c:bubble3D val="0"/>
            <c:extLst>
              <c:ext xmlns:c16="http://schemas.microsoft.com/office/drawing/2014/chart" uri="{C3380CC4-5D6E-409C-BE32-E72D297353CC}">
                <c16:uniqueId val="{0000005C-7282-40BE-8C08-A2909BC46C19}"/>
              </c:ext>
            </c:extLst>
          </c:dPt>
          <c:dPt>
            <c:idx val="174"/>
            <c:bubble3D val="0"/>
            <c:extLst>
              <c:ext xmlns:c16="http://schemas.microsoft.com/office/drawing/2014/chart" uri="{C3380CC4-5D6E-409C-BE32-E72D297353CC}">
                <c16:uniqueId val="{0000005D-7282-40BE-8C08-A2909BC46C19}"/>
              </c:ext>
            </c:extLst>
          </c:dPt>
          <c:dPt>
            <c:idx val="176"/>
            <c:bubble3D val="0"/>
            <c:extLst>
              <c:ext xmlns:c16="http://schemas.microsoft.com/office/drawing/2014/chart" uri="{C3380CC4-5D6E-409C-BE32-E72D297353CC}">
                <c16:uniqueId val="{0000005E-7282-40BE-8C08-A2909BC46C19}"/>
              </c:ext>
            </c:extLst>
          </c:dPt>
          <c:dPt>
            <c:idx val="178"/>
            <c:bubble3D val="0"/>
            <c:extLst>
              <c:ext xmlns:c16="http://schemas.microsoft.com/office/drawing/2014/chart" uri="{C3380CC4-5D6E-409C-BE32-E72D297353CC}">
                <c16:uniqueId val="{0000005F-7282-40BE-8C08-A2909BC46C19}"/>
              </c:ext>
            </c:extLst>
          </c:dPt>
          <c:dPt>
            <c:idx val="179"/>
            <c:bubble3D val="0"/>
            <c:extLst>
              <c:ext xmlns:c16="http://schemas.microsoft.com/office/drawing/2014/chart" uri="{C3380CC4-5D6E-409C-BE32-E72D297353CC}">
                <c16:uniqueId val="{00000060-7282-40BE-8C08-A2909BC46C19}"/>
              </c:ext>
            </c:extLst>
          </c:dPt>
          <c:dPt>
            <c:idx val="180"/>
            <c:bubble3D val="0"/>
            <c:extLst>
              <c:ext xmlns:c16="http://schemas.microsoft.com/office/drawing/2014/chart" uri="{C3380CC4-5D6E-409C-BE32-E72D297353CC}">
                <c16:uniqueId val="{00000061-7282-40BE-8C08-A2909BC46C19}"/>
              </c:ext>
            </c:extLst>
          </c:dPt>
          <c:dPt>
            <c:idx val="181"/>
            <c:bubble3D val="0"/>
            <c:extLst>
              <c:ext xmlns:c16="http://schemas.microsoft.com/office/drawing/2014/chart" uri="{C3380CC4-5D6E-409C-BE32-E72D297353CC}">
                <c16:uniqueId val="{00000062-7282-40BE-8C08-A2909BC46C19}"/>
              </c:ext>
            </c:extLst>
          </c:dPt>
          <c:dPt>
            <c:idx val="182"/>
            <c:bubble3D val="0"/>
            <c:extLst>
              <c:ext xmlns:c16="http://schemas.microsoft.com/office/drawing/2014/chart" uri="{C3380CC4-5D6E-409C-BE32-E72D297353CC}">
                <c16:uniqueId val="{00000063-7282-40BE-8C08-A2909BC46C19}"/>
              </c:ext>
            </c:extLst>
          </c:dPt>
          <c:dPt>
            <c:idx val="183"/>
            <c:bubble3D val="0"/>
            <c:extLst>
              <c:ext xmlns:c16="http://schemas.microsoft.com/office/drawing/2014/chart" uri="{C3380CC4-5D6E-409C-BE32-E72D297353CC}">
                <c16:uniqueId val="{00000064-7282-40BE-8C08-A2909BC46C19}"/>
              </c:ext>
            </c:extLst>
          </c:dPt>
          <c:dPt>
            <c:idx val="184"/>
            <c:bubble3D val="0"/>
            <c:extLst>
              <c:ext xmlns:c16="http://schemas.microsoft.com/office/drawing/2014/chart" uri="{C3380CC4-5D6E-409C-BE32-E72D297353CC}">
                <c16:uniqueId val="{00000065-7282-40BE-8C08-A2909BC46C19}"/>
              </c:ext>
            </c:extLst>
          </c:dPt>
          <c:dPt>
            <c:idx val="185"/>
            <c:bubble3D val="0"/>
            <c:extLst>
              <c:ext xmlns:c16="http://schemas.microsoft.com/office/drawing/2014/chart" uri="{C3380CC4-5D6E-409C-BE32-E72D297353CC}">
                <c16:uniqueId val="{00000066-7282-40BE-8C08-A2909BC46C19}"/>
              </c:ext>
            </c:extLst>
          </c:dPt>
          <c:dPt>
            <c:idx val="186"/>
            <c:bubble3D val="0"/>
            <c:extLst>
              <c:ext xmlns:c16="http://schemas.microsoft.com/office/drawing/2014/chart" uri="{C3380CC4-5D6E-409C-BE32-E72D297353CC}">
                <c16:uniqueId val="{00000067-7282-40BE-8C08-A2909BC46C19}"/>
              </c:ext>
            </c:extLst>
          </c:dPt>
          <c:dPt>
            <c:idx val="187"/>
            <c:bubble3D val="0"/>
            <c:extLst>
              <c:ext xmlns:c16="http://schemas.microsoft.com/office/drawing/2014/chart" uri="{C3380CC4-5D6E-409C-BE32-E72D297353CC}">
                <c16:uniqueId val="{00000068-7282-40BE-8C08-A2909BC46C19}"/>
              </c:ext>
            </c:extLst>
          </c:dPt>
          <c:dPt>
            <c:idx val="188"/>
            <c:bubble3D val="0"/>
            <c:extLst>
              <c:ext xmlns:c16="http://schemas.microsoft.com/office/drawing/2014/chart" uri="{C3380CC4-5D6E-409C-BE32-E72D297353CC}">
                <c16:uniqueId val="{00000069-7282-40BE-8C08-A2909BC46C19}"/>
              </c:ext>
            </c:extLst>
          </c:dPt>
          <c:dPt>
            <c:idx val="189"/>
            <c:bubble3D val="0"/>
            <c:extLst>
              <c:ext xmlns:c16="http://schemas.microsoft.com/office/drawing/2014/chart" uri="{C3380CC4-5D6E-409C-BE32-E72D297353CC}">
                <c16:uniqueId val="{0000006A-7282-40BE-8C08-A2909BC46C19}"/>
              </c:ext>
            </c:extLst>
          </c:dPt>
          <c:dPt>
            <c:idx val="190"/>
            <c:bubble3D val="0"/>
            <c:extLst>
              <c:ext xmlns:c16="http://schemas.microsoft.com/office/drawing/2014/chart" uri="{C3380CC4-5D6E-409C-BE32-E72D297353CC}">
                <c16:uniqueId val="{0000006B-7282-40BE-8C08-A2909BC46C19}"/>
              </c:ext>
            </c:extLst>
          </c:dPt>
          <c:dPt>
            <c:idx val="191"/>
            <c:bubble3D val="0"/>
            <c:extLst>
              <c:ext xmlns:c16="http://schemas.microsoft.com/office/drawing/2014/chart" uri="{C3380CC4-5D6E-409C-BE32-E72D297353CC}">
                <c16:uniqueId val="{0000006C-7282-40BE-8C08-A2909BC46C19}"/>
              </c:ext>
            </c:extLst>
          </c:dPt>
          <c:dPt>
            <c:idx val="192"/>
            <c:bubble3D val="0"/>
            <c:extLst>
              <c:ext xmlns:c16="http://schemas.microsoft.com/office/drawing/2014/chart" uri="{C3380CC4-5D6E-409C-BE32-E72D297353CC}">
                <c16:uniqueId val="{0000006D-7282-40BE-8C08-A2909BC46C19}"/>
              </c:ext>
            </c:extLst>
          </c:dPt>
          <c:dPt>
            <c:idx val="193"/>
            <c:bubble3D val="0"/>
            <c:extLst>
              <c:ext xmlns:c16="http://schemas.microsoft.com/office/drawing/2014/chart" uri="{C3380CC4-5D6E-409C-BE32-E72D297353CC}">
                <c16:uniqueId val="{0000006E-7282-40BE-8C08-A2909BC46C19}"/>
              </c:ext>
            </c:extLst>
          </c:dPt>
          <c:dPt>
            <c:idx val="194"/>
            <c:bubble3D val="0"/>
            <c:extLst>
              <c:ext xmlns:c16="http://schemas.microsoft.com/office/drawing/2014/chart" uri="{C3380CC4-5D6E-409C-BE32-E72D297353CC}">
                <c16:uniqueId val="{0000006F-7282-40BE-8C08-A2909BC46C19}"/>
              </c:ext>
            </c:extLst>
          </c:dPt>
          <c:dPt>
            <c:idx val="195"/>
            <c:bubble3D val="0"/>
            <c:extLst>
              <c:ext xmlns:c16="http://schemas.microsoft.com/office/drawing/2014/chart" uri="{C3380CC4-5D6E-409C-BE32-E72D297353CC}">
                <c16:uniqueId val="{00000070-7282-40BE-8C08-A2909BC46C19}"/>
              </c:ext>
            </c:extLst>
          </c:dPt>
          <c:dPt>
            <c:idx val="196"/>
            <c:bubble3D val="0"/>
            <c:extLst>
              <c:ext xmlns:c16="http://schemas.microsoft.com/office/drawing/2014/chart" uri="{C3380CC4-5D6E-409C-BE32-E72D297353CC}">
                <c16:uniqueId val="{00000071-7282-40BE-8C08-A2909BC46C19}"/>
              </c:ext>
            </c:extLst>
          </c:dPt>
          <c:dPt>
            <c:idx val="197"/>
            <c:bubble3D val="0"/>
            <c:extLst>
              <c:ext xmlns:c16="http://schemas.microsoft.com/office/drawing/2014/chart" uri="{C3380CC4-5D6E-409C-BE32-E72D297353CC}">
                <c16:uniqueId val="{00000072-7282-40BE-8C08-A2909BC46C19}"/>
              </c:ext>
            </c:extLst>
          </c:dPt>
          <c:dPt>
            <c:idx val="198"/>
            <c:bubble3D val="0"/>
            <c:extLst>
              <c:ext xmlns:c16="http://schemas.microsoft.com/office/drawing/2014/chart" uri="{C3380CC4-5D6E-409C-BE32-E72D297353CC}">
                <c16:uniqueId val="{00000073-7282-40BE-8C08-A2909BC46C19}"/>
              </c:ext>
            </c:extLst>
          </c:dPt>
          <c:dPt>
            <c:idx val="199"/>
            <c:bubble3D val="0"/>
            <c:extLst>
              <c:ext xmlns:c16="http://schemas.microsoft.com/office/drawing/2014/chart" uri="{C3380CC4-5D6E-409C-BE32-E72D297353CC}">
                <c16:uniqueId val="{00000074-7282-40BE-8C08-A2909BC46C19}"/>
              </c:ext>
            </c:extLst>
          </c:dPt>
          <c:dPt>
            <c:idx val="200"/>
            <c:bubble3D val="0"/>
            <c:extLst>
              <c:ext xmlns:c16="http://schemas.microsoft.com/office/drawing/2014/chart" uri="{C3380CC4-5D6E-409C-BE32-E72D297353CC}">
                <c16:uniqueId val="{00000075-7282-40BE-8C08-A2909BC46C19}"/>
              </c:ext>
            </c:extLst>
          </c:dPt>
          <c:dPt>
            <c:idx val="201"/>
            <c:bubble3D val="0"/>
            <c:extLst>
              <c:ext xmlns:c16="http://schemas.microsoft.com/office/drawing/2014/chart" uri="{C3380CC4-5D6E-409C-BE32-E72D297353CC}">
                <c16:uniqueId val="{00000076-7282-40BE-8C08-A2909BC46C19}"/>
              </c:ext>
            </c:extLst>
          </c:dPt>
          <c:dPt>
            <c:idx val="202"/>
            <c:bubble3D val="0"/>
            <c:extLst>
              <c:ext xmlns:c16="http://schemas.microsoft.com/office/drawing/2014/chart" uri="{C3380CC4-5D6E-409C-BE32-E72D297353CC}">
                <c16:uniqueId val="{00000077-7282-40BE-8C08-A2909BC46C19}"/>
              </c:ext>
            </c:extLst>
          </c:dPt>
          <c:dPt>
            <c:idx val="203"/>
            <c:bubble3D val="0"/>
            <c:extLst>
              <c:ext xmlns:c16="http://schemas.microsoft.com/office/drawing/2014/chart" uri="{C3380CC4-5D6E-409C-BE32-E72D297353CC}">
                <c16:uniqueId val="{00000078-7282-40BE-8C08-A2909BC46C19}"/>
              </c:ext>
            </c:extLst>
          </c:dPt>
          <c:dPt>
            <c:idx val="204"/>
            <c:bubble3D val="0"/>
            <c:extLst>
              <c:ext xmlns:c16="http://schemas.microsoft.com/office/drawing/2014/chart" uri="{C3380CC4-5D6E-409C-BE32-E72D297353CC}">
                <c16:uniqueId val="{00000079-7282-40BE-8C08-A2909BC46C19}"/>
              </c:ext>
            </c:extLst>
          </c:dPt>
          <c:dPt>
            <c:idx val="205"/>
            <c:bubble3D val="0"/>
            <c:extLst>
              <c:ext xmlns:c16="http://schemas.microsoft.com/office/drawing/2014/chart" uri="{C3380CC4-5D6E-409C-BE32-E72D297353CC}">
                <c16:uniqueId val="{0000007A-7282-40BE-8C08-A2909BC46C19}"/>
              </c:ext>
            </c:extLst>
          </c:dPt>
          <c:dPt>
            <c:idx val="206"/>
            <c:bubble3D val="0"/>
            <c:extLst>
              <c:ext xmlns:c16="http://schemas.microsoft.com/office/drawing/2014/chart" uri="{C3380CC4-5D6E-409C-BE32-E72D297353CC}">
                <c16:uniqueId val="{0000007B-7282-40BE-8C08-A2909BC46C19}"/>
              </c:ext>
            </c:extLst>
          </c:dPt>
          <c:dPt>
            <c:idx val="207"/>
            <c:bubble3D val="0"/>
            <c:extLst>
              <c:ext xmlns:c16="http://schemas.microsoft.com/office/drawing/2014/chart" uri="{C3380CC4-5D6E-409C-BE32-E72D297353CC}">
                <c16:uniqueId val="{0000007C-7282-40BE-8C08-A2909BC46C19}"/>
              </c:ext>
            </c:extLst>
          </c:dPt>
          <c:dPt>
            <c:idx val="208"/>
            <c:bubble3D val="0"/>
            <c:extLst>
              <c:ext xmlns:c16="http://schemas.microsoft.com/office/drawing/2014/chart" uri="{C3380CC4-5D6E-409C-BE32-E72D297353CC}">
                <c16:uniqueId val="{0000007D-7282-40BE-8C08-A2909BC46C19}"/>
              </c:ext>
            </c:extLst>
          </c:dPt>
          <c:dPt>
            <c:idx val="209"/>
            <c:bubble3D val="0"/>
            <c:extLst>
              <c:ext xmlns:c16="http://schemas.microsoft.com/office/drawing/2014/chart" uri="{C3380CC4-5D6E-409C-BE32-E72D297353CC}">
                <c16:uniqueId val="{0000007E-7282-40BE-8C08-A2909BC46C19}"/>
              </c:ext>
            </c:extLst>
          </c:dPt>
          <c:dPt>
            <c:idx val="210"/>
            <c:bubble3D val="0"/>
            <c:extLst>
              <c:ext xmlns:c16="http://schemas.microsoft.com/office/drawing/2014/chart" uri="{C3380CC4-5D6E-409C-BE32-E72D297353CC}">
                <c16:uniqueId val="{0000007F-7282-40BE-8C08-A2909BC46C19}"/>
              </c:ext>
            </c:extLst>
          </c:dPt>
          <c:dPt>
            <c:idx val="211"/>
            <c:bubble3D val="0"/>
            <c:extLst>
              <c:ext xmlns:c16="http://schemas.microsoft.com/office/drawing/2014/chart" uri="{C3380CC4-5D6E-409C-BE32-E72D297353CC}">
                <c16:uniqueId val="{00000080-7282-40BE-8C08-A2909BC46C19}"/>
              </c:ext>
            </c:extLst>
          </c:dPt>
          <c:dPt>
            <c:idx val="212"/>
            <c:bubble3D val="0"/>
            <c:extLst>
              <c:ext xmlns:c16="http://schemas.microsoft.com/office/drawing/2014/chart" uri="{C3380CC4-5D6E-409C-BE32-E72D297353CC}">
                <c16:uniqueId val="{00000081-7282-40BE-8C08-A2909BC46C19}"/>
              </c:ext>
            </c:extLst>
          </c:dPt>
          <c:dPt>
            <c:idx val="213"/>
            <c:bubble3D val="0"/>
            <c:extLst>
              <c:ext xmlns:c16="http://schemas.microsoft.com/office/drawing/2014/chart" uri="{C3380CC4-5D6E-409C-BE32-E72D297353CC}">
                <c16:uniqueId val="{00000082-7282-40BE-8C08-A2909BC46C19}"/>
              </c:ext>
            </c:extLst>
          </c:dPt>
          <c:dPt>
            <c:idx val="214"/>
            <c:bubble3D val="0"/>
            <c:extLst>
              <c:ext xmlns:c16="http://schemas.microsoft.com/office/drawing/2014/chart" uri="{C3380CC4-5D6E-409C-BE32-E72D297353CC}">
                <c16:uniqueId val="{00000083-7282-40BE-8C08-A2909BC46C19}"/>
              </c:ext>
            </c:extLst>
          </c:dPt>
          <c:dPt>
            <c:idx val="215"/>
            <c:bubble3D val="0"/>
            <c:extLst>
              <c:ext xmlns:c16="http://schemas.microsoft.com/office/drawing/2014/chart" uri="{C3380CC4-5D6E-409C-BE32-E72D297353CC}">
                <c16:uniqueId val="{00000084-7282-40BE-8C08-A2909BC46C19}"/>
              </c:ext>
            </c:extLst>
          </c:dPt>
          <c:dPt>
            <c:idx val="216"/>
            <c:bubble3D val="0"/>
            <c:extLst>
              <c:ext xmlns:c16="http://schemas.microsoft.com/office/drawing/2014/chart" uri="{C3380CC4-5D6E-409C-BE32-E72D297353CC}">
                <c16:uniqueId val="{00000085-7282-40BE-8C08-A2909BC46C19}"/>
              </c:ext>
            </c:extLst>
          </c:dPt>
          <c:dPt>
            <c:idx val="217"/>
            <c:bubble3D val="0"/>
            <c:extLst>
              <c:ext xmlns:c16="http://schemas.microsoft.com/office/drawing/2014/chart" uri="{C3380CC4-5D6E-409C-BE32-E72D297353CC}">
                <c16:uniqueId val="{00000086-7282-40BE-8C08-A2909BC46C19}"/>
              </c:ext>
            </c:extLst>
          </c:dPt>
          <c:dPt>
            <c:idx val="218"/>
            <c:bubble3D val="0"/>
            <c:extLst>
              <c:ext xmlns:c16="http://schemas.microsoft.com/office/drawing/2014/chart" uri="{C3380CC4-5D6E-409C-BE32-E72D297353CC}">
                <c16:uniqueId val="{00000087-7282-40BE-8C08-A2909BC46C19}"/>
              </c:ext>
            </c:extLst>
          </c:dPt>
          <c:dPt>
            <c:idx val="219"/>
            <c:bubble3D val="0"/>
            <c:extLst>
              <c:ext xmlns:c16="http://schemas.microsoft.com/office/drawing/2014/chart" uri="{C3380CC4-5D6E-409C-BE32-E72D297353CC}">
                <c16:uniqueId val="{00000088-7282-40BE-8C08-A2909BC46C19}"/>
              </c:ext>
            </c:extLst>
          </c:dPt>
          <c:dPt>
            <c:idx val="220"/>
            <c:bubble3D val="0"/>
            <c:extLst>
              <c:ext xmlns:c16="http://schemas.microsoft.com/office/drawing/2014/chart" uri="{C3380CC4-5D6E-409C-BE32-E72D297353CC}">
                <c16:uniqueId val="{00000089-7282-40BE-8C08-A2909BC46C19}"/>
              </c:ext>
            </c:extLst>
          </c:dPt>
          <c:dPt>
            <c:idx val="221"/>
            <c:bubble3D val="0"/>
            <c:extLst>
              <c:ext xmlns:c16="http://schemas.microsoft.com/office/drawing/2014/chart" uri="{C3380CC4-5D6E-409C-BE32-E72D297353CC}">
                <c16:uniqueId val="{0000008A-7282-40BE-8C08-A2909BC46C19}"/>
              </c:ext>
            </c:extLst>
          </c:dPt>
          <c:dPt>
            <c:idx val="222"/>
            <c:bubble3D val="0"/>
            <c:extLst>
              <c:ext xmlns:c16="http://schemas.microsoft.com/office/drawing/2014/chart" uri="{C3380CC4-5D6E-409C-BE32-E72D297353CC}">
                <c16:uniqueId val="{0000008B-7282-40BE-8C08-A2909BC46C19}"/>
              </c:ext>
            </c:extLst>
          </c:dPt>
          <c:dPt>
            <c:idx val="224"/>
            <c:bubble3D val="0"/>
            <c:extLst>
              <c:ext xmlns:c16="http://schemas.microsoft.com/office/drawing/2014/chart" uri="{C3380CC4-5D6E-409C-BE32-E72D297353CC}">
                <c16:uniqueId val="{0000008C-7282-40BE-8C08-A2909BC46C19}"/>
              </c:ext>
            </c:extLst>
          </c:dPt>
          <c:dPt>
            <c:idx val="225"/>
            <c:bubble3D val="0"/>
            <c:extLst>
              <c:ext xmlns:c16="http://schemas.microsoft.com/office/drawing/2014/chart" uri="{C3380CC4-5D6E-409C-BE32-E72D297353CC}">
                <c16:uniqueId val="{0000008D-7282-40BE-8C08-A2909BC46C19}"/>
              </c:ext>
            </c:extLst>
          </c:dPt>
          <c:dPt>
            <c:idx val="226"/>
            <c:bubble3D val="0"/>
            <c:extLst>
              <c:ext xmlns:c16="http://schemas.microsoft.com/office/drawing/2014/chart" uri="{C3380CC4-5D6E-409C-BE32-E72D297353CC}">
                <c16:uniqueId val="{0000008E-7282-40BE-8C08-A2909BC46C19}"/>
              </c:ext>
            </c:extLst>
          </c:dPt>
          <c:dPt>
            <c:idx val="227"/>
            <c:bubble3D val="0"/>
            <c:extLst>
              <c:ext xmlns:c16="http://schemas.microsoft.com/office/drawing/2014/chart" uri="{C3380CC4-5D6E-409C-BE32-E72D297353CC}">
                <c16:uniqueId val="{0000008F-7282-40BE-8C08-A2909BC46C19}"/>
              </c:ext>
            </c:extLst>
          </c:dPt>
          <c:dPt>
            <c:idx val="229"/>
            <c:bubble3D val="0"/>
            <c:extLst>
              <c:ext xmlns:c16="http://schemas.microsoft.com/office/drawing/2014/chart" uri="{C3380CC4-5D6E-409C-BE32-E72D297353CC}">
                <c16:uniqueId val="{00000090-7282-40BE-8C08-A2909BC46C19}"/>
              </c:ext>
            </c:extLst>
          </c:dPt>
          <c:dPt>
            <c:idx val="230"/>
            <c:bubble3D val="0"/>
            <c:extLst>
              <c:ext xmlns:c16="http://schemas.microsoft.com/office/drawing/2014/chart" uri="{C3380CC4-5D6E-409C-BE32-E72D297353CC}">
                <c16:uniqueId val="{00000091-7282-40BE-8C08-A2909BC46C19}"/>
              </c:ext>
            </c:extLst>
          </c:dPt>
          <c:dPt>
            <c:idx val="231"/>
            <c:bubble3D val="0"/>
            <c:extLst>
              <c:ext xmlns:c16="http://schemas.microsoft.com/office/drawing/2014/chart" uri="{C3380CC4-5D6E-409C-BE32-E72D297353CC}">
                <c16:uniqueId val="{00000092-7282-40BE-8C08-A2909BC46C19}"/>
              </c:ext>
            </c:extLst>
          </c:dPt>
          <c:dPt>
            <c:idx val="232"/>
            <c:bubble3D val="0"/>
            <c:extLst>
              <c:ext xmlns:c16="http://schemas.microsoft.com/office/drawing/2014/chart" uri="{C3380CC4-5D6E-409C-BE32-E72D297353CC}">
                <c16:uniqueId val="{00000093-7282-40BE-8C08-A2909BC46C19}"/>
              </c:ext>
            </c:extLst>
          </c:dPt>
          <c:dPt>
            <c:idx val="233"/>
            <c:bubble3D val="0"/>
            <c:extLst>
              <c:ext xmlns:c16="http://schemas.microsoft.com/office/drawing/2014/chart" uri="{C3380CC4-5D6E-409C-BE32-E72D297353CC}">
                <c16:uniqueId val="{00000094-7282-40BE-8C08-A2909BC46C19}"/>
              </c:ext>
            </c:extLst>
          </c:dPt>
          <c:dPt>
            <c:idx val="234"/>
            <c:bubble3D val="0"/>
            <c:extLst>
              <c:ext xmlns:c16="http://schemas.microsoft.com/office/drawing/2014/chart" uri="{C3380CC4-5D6E-409C-BE32-E72D297353CC}">
                <c16:uniqueId val="{00000095-7282-40BE-8C08-A2909BC46C19}"/>
              </c:ext>
            </c:extLst>
          </c:dPt>
          <c:dPt>
            <c:idx val="235"/>
            <c:bubble3D val="0"/>
            <c:extLst>
              <c:ext xmlns:c16="http://schemas.microsoft.com/office/drawing/2014/chart" uri="{C3380CC4-5D6E-409C-BE32-E72D297353CC}">
                <c16:uniqueId val="{00000096-7282-40BE-8C08-A2909BC46C19}"/>
              </c:ext>
            </c:extLst>
          </c:dPt>
          <c:dPt>
            <c:idx val="236"/>
            <c:bubble3D val="0"/>
            <c:extLst>
              <c:ext xmlns:c16="http://schemas.microsoft.com/office/drawing/2014/chart" uri="{C3380CC4-5D6E-409C-BE32-E72D297353CC}">
                <c16:uniqueId val="{00000097-7282-40BE-8C08-A2909BC46C19}"/>
              </c:ext>
            </c:extLst>
          </c:dPt>
          <c:dPt>
            <c:idx val="237"/>
            <c:bubble3D val="0"/>
            <c:extLst>
              <c:ext xmlns:c16="http://schemas.microsoft.com/office/drawing/2014/chart" uri="{C3380CC4-5D6E-409C-BE32-E72D297353CC}">
                <c16:uniqueId val="{00000098-7282-40BE-8C08-A2909BC46C19}"/>
              </c:ext>
            </c:extLst>
          </c:dPt>
          <c:dPt>
            <c:idx val="238"/>
            <c:bubble3D val="0"/>
            <c:extLst>
              <c:ext xmlns:c16="http://schemas.microsoft.com/office/drawing/2014/chart" uri="{C3380CC4-5D6E-409C-BE32-E72D297353CC}">
                <c16:uniqueId val="{00000099-7282-40BE-8C08-A2909BC46C19}"/>
              </c:ext>
            </c:extLst>
          </c:dPt>
          <c:dPt>
            <c:idx val="239"/>
            <c:bubble3D val="0"/>
            <c:extLst>
              <c:ext xmlns:c16="http://schemas.microsoft.com/office/drawing/2014/chart" uri="{C3380CC4-5D6E-409C-BE32-E72D297353CC}">
                <c16:uniqueId val="{0000009A-7282-40BE-8C08-A2909BC46C19}"/>
              </c:ext>
            </c:extLst>
          </c:dPt>
          <c:dPt>
            <c:idx val="240"/>
            <c:bubble3D val="0"/>
            <c:extLst>
              <c:ext xmlns:c16="http://schemas.microsoft.com/office/drawing/2014/chart" uri="{C3380CC4-5D6E-409C-BE32-E72D297353CC}">
                <c16:uniqueId val="{0000009B-7282-40BE-8C08-A2909BC46C19}"/>
              </c:ext>
            </c:extLst>
          </c:dPt>
          <c:dPt>
            <c:idx val="241"/>
            <c:bubble3D val="0"/>
            <c:extLst>
              <c:ext xmlns:c16="http://schemas.microsoft.com/office/drawing/2014/chart" uri="{C3380CC4-5D6E-409C-BE32-E72D297353CC}">
                <c16:uniqueId val="{0000009C-7282-40BE-8C08-A2909BC46C19}"/>
              </c:ext>
            </c:extLst>
          </c:dPt>
          <c:dPt>
            <c:idx val="242"/>
            <c:bubble3D val="0"/>
            <c:extLst>
              <c:ext xmlns:c16="http://schemas.microsoft.com/office/drawing/2014/chart" uri="{C3380CC4-5D6E-409C-BE32-E72D297353CC}">
                <c16:uniqueId val="{0000009D-7282-40BE-8C08-A2909BC46C19}"/>
              </c:ext>
            </c:extLst>
          </c:dPt>
          <c:dPt>
            <c:idx val="243"/>
            <c:bubble3D val="0"/>
            <c:extLst>
              <c:ext xmlns:c16="http://schemas.microsoft.com/office/drawing/2014/chart" uri="{C3380CC4-5D6E-409C-BE32-E72D297353CC}">
                <c16:uniqueId val="{0000009E-7282-40BE-8C08-A2909BC46C19}"/>
              </c:ext>
            </c:extLst>
          </c:dPt>
          <c:dPt>
            <c:idx val="244"/>
            <c:bubble3D val="0"/>
            <c:extLst>
              <c:ext xmlns:c16="http://schemas.microsoft.com/office/drawing/2014/chart" uri="{C3380CC4-5D6E-409C-BE32-E72D297353CC}">
                <c16:uniqueId val="{0000009F-7282-40BE-8C08-A2909BC46C19}"/>
              </c:ext>
            </c:extLst>
          </c:dPt>
          <c:dPt>
            <c:idx val="245"/>
            <c:bubble3D val="0"/>
            <c:extLst>
              <c:ext xmlns:c16="http://schemas.microsoft.com/office/drawing/2014/chart" uri="{C3380CC4-5D6E-409C-BE32-E72D297353CC}">
                <c16:uniqueId val="{000000A0-7282-40BE-8C08-A2909BC46C19}"/>
              </c:ext>
            </c:extLst>
          </c:dPt>
          <c:dPt>
            <c:idx val="246"/>
            <c:bubble3D val="0"/>
            <c:extLst>
              <c:ext xmlns:c16="http://schemas.microsoft.com/office/drawing/2014/chart" uri="{C3380CC4-5D6E-409C-BE32-E72D297353CC}">
                <c16:uniqueId val="{000000A1-7282-40BE-8C08-A2909BC46C19}"/>
              </c:ext>
            </c:extLst>
          </c:dPt>
          <c:dPt>
            <c:idx val="247"/>
            <c:bubble3D val="0"/>
            <c:extLst>
              <c:ext xmlns:c16="http://schemas.microsoft.com/office/drawing/2014/chart" uri="{C3380CC4-5D6E-409C-BE32-E72D297353CC}">
                <c16:uniqueId val="{000000A2-7282-40BE-8C08-A2909BC46C19}"/>
              </c:ext>
            </c:extLst>
          </c:dPt>
          <c:dPt>
            <c:idx val="248"/>
            <c:bubble3D val="0"/>
            <c:extLst>
              <c:ext xmlns:c16="http://schemas.microsoft.com/office/drawing/2014/chart" uri="{C3380CC4-5D6E-409C-BE32-E72D297353CC}">
                <c16:uniqueId val="{000000A3-7282-40BE-8C08-A2909BC46C19}"/>
              </c:ext>
            </c:extLst>
          </c:dPt>
          <c:dPt>
            <c:idx val="249"/>
            <c:bubble3D val="0"/>
            <c:extLst>
              <c:ext xmlns:c16="http://schemas.microsoft.com/office/drawing/2014/chart" uri="{C3380CC4-5D6E-409C-BE32-E72D297353CC}">
                <c16:uniqueId val="{000000A4-7282-40BE-8C08-A2909BC46C19}"/>
              </c:ext>
            </c:extLst>
          </c:dPt>
          <c:dPt>
            <c:idx val="250"/>
            <c:bubble3D val="0"/>
            <c:extLst>
              <c:ext xmlns:c16="http://schemas.microsoft.com/office/drawing/2014/chart" uri="{C3380CC4-5D6E-409C-BE32-E72D297353CC}">
                <c16:uniqueId val="{000000A5-7282-40BE-8C08-A2909BC46C19}"/>
              </c:ext>
            </c:extLst>
          </c:dPt>
          <c:dPt>
            <c:idx val="251"/>
            <c:bubble3D val="0"/>
            <c:extLst>
              <c:ext xmlns:c16="http://schemas.microsoft.com/office/drawing/2014/chart" uri="{C3380CC4-5D6E-409C-BE32-E72D297353CC}">
                <c16:uniqueId val="{000000A6-7282-40BE-8C08-A2909BC46C19}"/>
              </c:ext>
            </c:extLst>
          </c:dPt>
          <c:dPt>
            <c:idx val="252"/>
            <c:bubble3D val="0"/>
            <c:extLst>
              <c:ext xmlns:c16="http://schemas.microsoft.com/office/drawing/2014/chart" uri="{C3380CC4-5D6E-409C-BE32-E72D297353CC}">
                <c16:uniqueId val="{000000A7-7282-40BE-8C08-A2909BC46C19}"/>
              </c:ext>
            </c:extLst>
          </c:dPt>
          <c:dPt>
            <c:idx val="253"/>
            <c:bubble3D val="0"/>
            <c:extLst>
              <c:ext xmlns:c16="http://schemas.microsoft.com/office/drawing/2014/chart" uri="{C3380CC4-5D6E-409C-BE32-E72D297353CC}">
                <c16:uniqueId val="{000000A8-7282-40BE-8C08-A2909BC46C19}"/>
              </c:ext>
            </c:extLst>
          </c:dPt>
          <c:dPt>
            <c:idx val="254"/>
            <c:bubble3D val="0"/>
            <c:extLst>
              <c:ext xmlns:c16="http://schemas.microsoft.com/office/drawing/2014/chart" uri="{C3380CC4-5D6E-409C-BE32-E72D297353CC}">
                <c16:uniqueId val="{000000A9-7282-40BE-8C08-A2909BC46C19}"/>
              </c:ext>
            </c:extLst>
          </c:dPt>
          <c:dPt>
            <c:idx val="256"/>
            <c:bubble3D val="0"/>
            <c:extLst>
              <c:ext xmlns:c16="http://schemas.microsoft.com/office/drawing/2014/chart" uri="{C3380CC4-5D6E-409C-BE32-E72D297353CC}">
                <c16:uniqueId val="{000000AA-7282-40BE-8C08-A2909BC46C19}"/>
              </c:ext>
            </c:extLst>
          </c:dPt>
          <c:dPt>
            <c:idx val="258"/>
            <c:bubble3D val="0"/>
            <c:extLst>
              <c:ext xmlns:c16="http://schemas.microsoft.com/office/drawing/2014/chart" uri="{C3380CC4-5D6E-409C-BE32-E72D297353CC}">
                <c16:uniqueId val="{000000AB-7282-40BE-8C08-A2909BC46C19}"/>
              </c:ext>
            </c:extLst>
          </c:dPt>
          <c:dPt>
            <c:idx val="260"/>
            <c:bubble3D val="0"/>
            <c:extLst>
              <c:ext xmlns:c16="http://schemas.microsoft.com/office/drawing/2014/chart" uri="{C3380CC4-5D6E-409C-BE32-E72D297353CC}">
                <c16:uniqueId val="{000000AC-7282-40BE-8C08-A2909BC46C19}"/>
              </c:ext>
            </c:extLst>
          </c:dPt>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Data'!$T$7:$T$267</c:f>
              <c:numCache>
                <c:formatCode>0%</c:formatCode>
                <c:ptCount val="261"/>
                <c:pt idx="0">
                  <c:v>0</c:v>
                </c:pt>
                <c:pt idx="1">
                  <c:v>-3.4468246646146561E-4</c:v>
                </c:pt>
                <c:pt idx="2">
                  <c:v>-1.0161503832839425E-2</c:v>
                </c:pt>
                <c:pt idx="3">
                  <c:v>-5.587832587413577E-3</c:v>
                </c:pt>
                <c:pt idx="4">
                  <c:v>1.3419415549726477E-2</c:v>
                </c:pt>
                <c:pt idx="5">
                  <c:v>1.6634242018799705E-2</c:v>
                </c:pt>
                <c:pt idx="6">
                  <c:v>1.1294978615497664E-2</c:v>
                </c:pt>
                <c:pt idx="7">
                  <c:v>6.8538776983881888E-3</c:v>
                </c:pt>
                <c:pt idx="8">
                  <c:v>2.0183808651563551E-2</c:v>
                </c:pt>
                <c:pt idx="9">
                  <c:v>2.6282036494846617E-2</c:v>
                </c:pt>
                <c:pt idx="10">
                  <c:v>2.9460406401904837E-2</c:v>
                </c:pt>
                <c:pt idx="11">
                  <c:v>3.4895783087557142E-2</c:v>
                </c:pt>
                <c:pt idx="12">
                  <c:v>3.5402864242502607E-2</c:v>
                </c:pt>
                <c:pt idx="13">
                  <c:v>3.321877058793854E-2</c:v>
                </c:pt>
                <c:pt idx="14">
                  <c:v>3.6350740662308034E-2</c:v>
                </c:pt>
                <c:pt idx="15">
                  <c:v>4.7161838281180479E-2</c:v>
                </c:pt>
                <c:pt idx="16">
                  <c:v>4.4371236088397215E-2</c:v>
                </c:pt>
                <c:pt idx="17">
                  <c:v>5.6481521279335256E-2</c:v>
                </c:pt>
                <c:pt idx="18">
                  <c:v>6.918505812084641E-2</c:v>
                </c:pt>
                <c:pt idx="19">
                  <c:v>5.7837051470812639E-2</c:v>
                </c:pt>
                <c:pt idx="20">
                  <c:v>4.8941592748947604E-2</c:v>
                </c:pt>
                <c:pt idx="21">
                  <c:v>5.5676157490617273E-2</c:v>
                </c:pt>
                <c:pt idx="22">
                  <c:v>6.4091401149632743E-2</c:v>
                </c:pt>
                <c:pt idx="23">
                  <c:v>5.4907800516944105E-2</c:v>
                </c:pt>
                <c:pt idx="24">
                  <c:v>7.7680197842300958E-2</c:v>
                </c:pt>
                <c:pt idx="25">
                  <c:v>8.1612218400183956E-2</c:v>
                </c:pt>
                <c:pt idx="26">
                  <c:v>8.4297988437626481E-2</c:v>
                </c:pt>
                <c:pt idx="27">
                  <c:v>0.10213536620800201</c:v>
                </c:pt>
                <c:pt idx="28">
                  <c:v>0.1068804487735564</c:v>
                </c:pt>
                <c:pt idx="29">
                  <c:v>0.12899306609847594</c:v>
                </c:pt>
                <c:pt idx="30">
                  <c:v>0.13410136067140344</c:v>
                </c:pt>
                <c:pt idx="31">
                  <c:v>0.13918299725144601</c:v>
                </c:pt>
                <c:pt idx="32">
                  <c:v>0.13352155416567002</c:v>
                </c:pt>
                <c:pt idx="33">
                  <c:v>0.1304259211172567</c:v>
                </c:pt>
                <c:pt idx="34">
                  <c:v>0.14009269375739808</c:v>
                </c:pt>
                <c:pt idx="35">
                  <c:v>0.17269180974440013</c:v>
                </c:pt>
                <c:pt idx="36">
                  <c:v>0.17741356680815579</c:v>
                </c:pt>
                <c:pt idx="37">
                  <c:v>0.1930250210467428</c:v>
                </c:pt>
                <c:pt idx="38">
                  <c:v>0.1979767011213498</c:v>
                </c:pt>
                <c:pt idx="39">
                  <c:v>0.19629059758991896</c:v>
                </c:pt>
                <c:pt idx="40">
                  <c:v>0.22419794699713691</c:v>
                </c:pt>
                <c:pt idx="41">
                  <c:v>0.24874974986111864</c:v>
                </c:pt>
                <c:pt idx="42">
                  <c:v>0.26174541105161087</c:v>
                </c:pt>
                <c:pt idx="43">
                  <c:v>0.28811993893463206</c:v>
                </c:pt>
                <c:pt idx="44">
                  <c:v>0.23509097666305467</c:v>
                </c:pt>
                <c:pt idx="45">
                  <c:v>0.17072246721634787</c:v>
                </c:pt>
                <c:pt idx="46">
                  <c:v>0.22049584945010503</c:v>
                </c:pt>
                <c:pt idx="47">
                  <c:v>0.22488105201542075</c:v>
                </c:pt>
                <c:pt idx="48">
                  <c:v>0.18752352446642218</c:v>
                </c:pt>
                <c:pt idx="49">
                  <c:v>0.22612730253586122</c:v>
                </c:pt>
                <c:pt idx="50">
                  <c:v>0.20729025825947378</c:v>
                </c:pt>
                <c:pt idx="51">
                  <c:v>0.13889309424055485</c:v>
                </c:pt>
                <c:pt idx="52">
                  <c:v>0.16647388565468879</c:v>
                </c:pt>
                <c:pt idx="53">
                  <c:v>0.15822997152797247</c:v>
                </c:pt>
                <c:pt idx="54">
                  <c:v>0.17891306584124589</c:v>
                </c:pt>
                <c:pt idx="55">
                  <c:v>0.18388807190160317</c:v>
                </c:pt>
                <c:pt idx="56">
                  <c:v>0.17654385680757945</c:v>
                </c:pt>
                <c:pt idx="57">
                  <c:v>0.17418797677035558</c:v>
                </c:pt>
                <c:pt idx="58">
                  <c:v>0.20170878866840147</c:v>
                </c:pt>
                <c:pt idx="59">
                  <c:v>0.19609066409513609</c:v>
                </c:pt>
                <c:pt idx="60">
                  <c:v>0.19793005011775255</c:v>
                </c:pt>
                <c:pt idx="61">
                  <c:v>0.1922252880355142</c:v>
                </c:pt>
                <c:pt idx="62">
                  <c:v>0.22519761301919683</c:v>
                </c:pt>
                <c:pt idx="63">
                  <c:v>0.21425793234968182</c:v>
                </c:pt>
                <c:pt idx="64">
                  <c:v>0.1895961659909764</c:v>
                </c:pt>
                <c:pt idx="65">
                  <c:v>0.17461889361406269</c:v>
                </c:pt>
                <c:pt idx="66">
                  <c:v>0.1835756307782539</c:v>
                </c:pt>
                <c:pt idx="67">
                  <c:v>0.21081828759179921</c:v>
                </c:pt>
                <c:pt idx="68">
                  <c:v>0.21269199982125153</c:v>
                </c:pt>
                <c:pt idx="69">
                  <c:v>0.23170804329574368</c:v>
                </c:pt>
                <c:pt idx="70">
                  <c:v>0.23226589097914818</c:v>
                </c:pt>
                <c:pt idx="71">
                  <c:v>0.22503355970000927</c:v>
                </c:pt>
                <c:pt idx="72">
                  <c:v>0.24227105374635149</c:v>
                </c:pt>
                <c:pt idx="73">
                  <c:v>0.24812845466407651</c:v>
                </c:pt>
                <c:pt idx="74">
                  <c:v>0.2565716436273755</c:v>
                </c:pt>
                <c:pt idx="75">
                  <c:v>0.25423524651582086</c:v>
                </c:pt>
                <c:pt idx="76">
                  <c:v>0.26575972371656942</c:v>
                </c:pt>
                <c:pt idx="77">
                  <c:v>0.29425589710068167</c:v>
                </c:pt>
                <c:pt idx="78">
                  <c:v>0.28045408860374454</c:v>
                </c:pt>
                <c:pt idx="79">
                  <c:v>0.27990936665708777</c:v>
                </c:pt>
                <c:pt idx="80">
                  <c:v>0.22633301683314611</c:v>
                </c:pt>
                <c:pt idx="81">
                  <c:v>0.2313831791334473</c:v>
                </c:pt>
                <c:pt idx="82">
                  <c:v>0.19479493242182833</c:v>
                </c:pt>
                <c:pt idx="83">
                  <c:v>0.22298593024876645</c:v>
                </c:pt>
                <c:pt idx="84">
                  <c:v>0.25775624983803946</c:v>
                </c:pt>
                <c:pt idx="85">
                  <c:v>0.22987699043664978</c:v>
                </c:pt>
                <c:pt idx="86">
                  <c:v>0.17532276644965639</c:v>
                </c:pt>
                <c:pt idx="87">
                  <c:v>0.23593784172582422</c:v>
                </c:pt>
                <c:pt idx="88">
                  <c:v>0.18030729958226566</c:v>
                </c:pt>
                <c:pt idx="89">
                  <c:v>0.16634798127644879</c:v>
                </c:pt>
                <c:pt idx="90">
                  <c:v>8.6247613807409085E-2</c:v>
                </c:pt>
                <c:pt idx="91">
                  <c:v>0.11610887300839834</c:v>
                </c:pt>
                <c:pt idx="92">
                  <c:v>0.13405188048643968</c:v>
                </c:pt>
                <c:pt idx="93">
                  <c:v>0.16128797443161069</c:v>
                </c:pt>
                <c:pt idx="94">
                  <c:v>0.19566780020694408</c:v>
                </c:pt>
                <c:pt idx="95">
                  <c:v>0.19716086316699366</c:v>
                </c:pt>
                <c:pt idx="96">
                  <c:v>0.21297092342097801</c:v>
                </c:pt>
                <c:pt idx="97">
                  <c:v>0.21502511574059491</c:v>
                </c:pt>
                <c:pt idx="98">
                  <c:v>0.2526240509571358</c:v>
                </c:pt>
                <c:pt idx="99">
                  <c:v>0.25981372334986763</c:v>
                </c:pt>
                <c:pt idx="100">
                  <c:v>0.25954792548688932</c:v>
                </c:pt>
                <c:pt idx="101">
                  <c:v>0.23166866608549941</c:v>
                </c:pt>
                <c:pt idx="102">
                  <c:v>0.25096035196750677</c:v>
                </c:pt>
                <c:pt idx="103">
                  <c:v>0.23418882496338167</c:v>
                </c:pt>
                <c:pt idx="104">
                  <c:v>0.25482262734888428</c:v>
                </c:pt>
                <c:pt idx="105">
                  <c:v>0.27884152684954144</c:v>
                </c:pt>
                <c:pt idx="106">
                  <c:v>0.27822774838958253</c:v>
                </c:pt>
                <c:pt idx="107">
                  <c:v>0.28535348447750675</c:v>
                </c:pt>
                <c:pt idx="108">
                  <c:v>0.284569029819981</c:v>
                </c:pt>
                <c:pt idx="109">
                  <c:v>0.28271128363953157</c:v>
                </c:pt>
                <c:pt idx="110">
                  <c:v>0.25548512909342125</c:v>
                </c:pt>
                <c:pt idx="111">
                  <c:v>0.24685284666842744</c:v>
                </c:pt>
                <c:pt idx="112">
                  <c:v>0.23822384591959644</c:v>
                </c:pt>
                <c:pt idx="113">
                  <c:v>0.20092778845777892</c:v>
                </c:pt>
                <c:pt idx="114">
                  <c:v>0.25749714067086504</c:v>
                </c:pt>
                <c:pt idx="115">
                  <c:v>0.26261086566529723</c:v>
                </c:pt>
                <c:pt idx="116">
                  <c:v>0.29307658774086609</c:v>
                </c:pt>
                <c:pt idx="117">
                  <c:v>0.28730969788114913</c:v>
                </c:pt>
                <c:pt idx="118">
                  <c:v>0.30290032284056689</c:v>
                </c:pt>
                <c:pt idx="119">
                  <c:v>0.32273816219822216</c:v>
                </c:pt>
                <c:pt idx="120">
                  <c:v>0.31413213705414433</c:v>
                </c:pt>
                <c:pt idx="121">
                  <c:v>0.31598331843041327</c:v>
                </c:pt>
                <c:pt idx="122">
                  <c:v>0.28174630630409547</c:v>
                </c:pt>
                <c:pt idx="123">
                  <c:v>0.27218515030492529</c:v>
                </c:pt>
                <c:pt idx="124">
                  <c:v>0.25275759064061432</c:v>
                </c:pt>
                <c:pt idx="125">
                  <c:v>0.24031463079164306</c:v>
                </c:pt>
                <c:pt idx="126">
                  <c:v>0.27779121093137071</c:v>
                </c:pt>
                <c:pt idx="127">
                  <c:v>0.29686757123625318</c:v>
                </c:pt>
                <c:pt idx="128">
                  <c:v>0.31729293128900005</c:v>
                </c:pt>
                <c:pt idx="129">
                  <c:v>0.30352722994098391</c:v>
                </c:pt>
                <c:pt idx="130">
                  <c:v>0.29797040268415942</c:v>
                </c:pt>
                <c:pt idx="131">
                  <c:v>0.28603947191183954</c:v>
                </c:pt>
                <c:pt idx="132">
                  <c:v>0.29779316216636365</c:v>
                </c:pt>
                <c:pt idx="133">
                  <c:v>0.29554811189732288</c:v>
                </c:pt>
                <c:pt idx="134">
                  <c:v>0.30463990835318477</c:v>
                </c:pt>
                <c:pt idx="135">
                  <c:v>0.32347994780635614</c:v>
                </c:pt>
                <c:pt idx="136">
                  <c:v>0.33963839953227515</c:v>
                </c:pt>
                <c:pt idx="137">
                  <c:v>0.35530123346606635</c:v>
                </c:pt>
                <c:pt idx="138">
                  <c:v>0.34904529013445118</c:v>
                </c:pt>
                <c:pt idx="139">
                  <c:v>0.35755284805533605</c:v>
                </c:pt>
                <c:pt idx="140">
                  <c:v>0.35579356909807935</c:v>
                </c:pt>
                <c:pt idx="141">
                  <c:v>0.36161625713159751</c:v>
                </c:pt>
                <c:pt idx="142">
                  <c:v>0.37708872190713527</c:v>
                </c:pt>
                <c:pt idx="143">
                  <c:v>0.38629211374269645</c:v>
                </c:pt>
                <c:pt idx="144">
                  <c:v>0.38578993163033992</c:v>
                </c:pt>
                <c:pt idx="145">
                  <c:v>0.39493096145582252</c:v>
                </c:pt>
                <c:pt idx="146">
                  <c:v>0.42030593414171213</c:v>
                </c:pt>
                <c:pt idx="147">
                  <c:v>0.40296259454526684</c:v>
                </c:pt>
                <c:pt idx="148">
                  <c:v>0.36745535644963945</c:v>
                </c:pt>
                <c:pt idx="149">
                  <c:v>0.4084209545788986</c:v>
                </c:pt>
                <c:pt idx="150">
                  <c:v>0.42272494276843409</c:v>
                </c:pt>
                <c:pt idx="151">
                  <c:v>0.40309224325745086</c:v>
                </c:pt>
                <c:pt idx="152">
                  <c:v>0.22969003023384404</c:v>
                </c:pt>
                <c:pt idx="153">
                  <c:v>0.25173025032719654</c:v>
                </c:pt>
                <c:pt idx="154">
                  <c:v>0.12207204881928524</c:v>
                </c:pt>
                <c:pt idx="155">
                  <c:v>-7.2072259967391639E-2</c:v>
                </c:pt>
                <c:pt idx="156">
                  <c:v>4.7115605895763579E-2</c:v>
                </c:pt>
                <c:pt idx="157">
                  <c:v>1.8840900887114653E-2</c:v>
                </c:pt>
                <c:pt idx="158">
                  <c:v>0.14790297752348591</c:v>
                </c:pt>
                <c:pt idx="159">
                  <c:v>0.17321948546196309</c:v>
                </c:pt>
                <c:pt idx="160">
                  <c:v>0.1506082290347428</c:v>
                </c:pt>
                <c:pt idx="161">
                  <c:v>0.14811209496879862</c:v>
                </c:pt>
                <c:pt idx="162">
                  <c:v>0.17751801422193192</c:v>
                </c:pt>
                <c:pt idx="163">
                  <c:v>0.14625991084470358</c:v>
                </c:pt>
                <c:pt idx="164">
                  <c:v>0.18399568097153196</c:v>
                </c:pt>
                <c:pt idx="165">
                  <c:v>0.22841989524744499</c:v>
                </c:pt>
                <c:pt idx="166">
                  <c:v>0.31204038379483912</c:v>
                </c:pt>
                <c:pt idx="167">
                  <c:v>0.23918447301361834</c:v>
                </c:pt>
                <c:pt idx="168">
                  <c:v>0.25205350438234153</c:v>
                </c:pt>
                <c:pt idx="169">
                  <c:v>0.21063162114764689</c:v>
                </c:pt>
                <c:pt idx="170">
                  <c:v>0.24991917692816856</c:v>
                </c:pt>
                <c:pt idx="171">
                  <c:v>0.26191854427172268</c:v>
                </c:pt>
                <c:pt idx="172">
                  <c:v>0.29079337110861836</c:v>
                </c:pt>
                <c:pt idx="173">
                  <c:v>0.28101463334971455</c:v>
                </c:pt>
                <c:pt idx="174">
                  <c:v>0.27900312121037718</c:v>
                </c:pt>
                <c:pt idx="175">
                  <c:v>0.3276478599508339</c:v>
                </c:pt>
                <c:pt idx="176">
                  <c:v>0.35172625840358696</c:v>
                </c:pt>
                <c:pt idx="177">
                  <c:v>0.35169306512757226</c:v>
                </c:pt>
                <c:pt idx="178">
                  <c:v>0.38670864705930796</c:v>
                </c:pt>
                <c:pt idx="179">
                  <c:v>0.36151634386086373</c:v>
                </c:pt>
                <c:pt idx="180">
                  <c:v>0.33888331154503937</c:v>
                </c:pt>
                <c:pt idx="181">
                  <c:v>0.33848529131498339</c:v>
                </c:pt>
                <c:pt idx="182">
                  <c:v>0.31508806013809365</c:v>
                </c:pt>
                <c:pt idx="183">
                  <c:v>0.33971437849003006</c:v>
                </c:pt>
                <c:pt idx="184">
                  <c:v>0.38346796498919122</c:v>
                </c:pt>
                <c:pt idx="185">
                  <c:v>0.38440729288698816</c:v>
                </c:pt>
                <c:pt idx="186">
                  <c:v>0.37130446157071706</c:v>
                </c:pt>
                <c:pt idx="187">
                  <c:v>0.28254909643792003</c:v>
                </c:pt>
                <c:pt idx="188">
                  <c:v>0.3707153912624308</c:v>
                </c:pt>
                <c:pt idx="189">
                  <c:v>0.42668024382061187</c:v>
                </c:pt>
                <c:pt idx="190">
                  <c:v>0.41621071492326189</c:v>
                </c:pt>
                <c:pt idx="191">
                  <c:v>0.44751740753045977</c:v>
                </c:pt>
                <c:pt idx="192">
                  <c:v>0.46241769916969577</c:v>
                </c:pt>
                <c:pt idx="193">
                  <c:v>0.45409907307065311</c:v>
                </c:pt>
                <c:pt idx="194">
                  <c:v>0.46051993793072254</c:v>
                </c:pt>
                <c:pt idx="195">
                  <c:v>0.46152772562943301</c:v>
                </c:pt>
                <c:pt idx="196">
                  <c:v>0.48120585416608819</c:v>
                </c:pt>
                <c:pt idx="197">
                  <c:v>0.504991553335296</c:v>
                </c:pt>
                <c:pt idx="198">
                  <c:v>0.49126144179188302</c:v>
                </c:pt>
                <c:pt idx="199">
                  <c:v>0.5001038628001786</c:v>
                </c:pt>
                <c:pt idx="200">
                  <c:v>0.45101361897736969</c:v>
                </c:pt>
                <c:pt idx="201">
                  <c:v>0.50742425440615224</c:v>
                </c:pt>
                <c:pt idx="202">
                  <c:v>0.52243439968308603</c:v>
                </c:pt>
                <c:pt idx="203">
                  <c:v>0.52417295244287532</c:v>
                </c:pt>
                <c:pt idx="204">
                  <c:v>0.49697701487011048</c:v>
                </c:pt>
                <c:pt idx="205">
                  <c:v>0.52426847772396634</c:v>
                </c:pt>
                <c:pt idx="206">
                  <c:v>0.58632781814705126</c:v>
                </c:pt>
                <c:pt idx="207">
                  <c:v>0.57903608470614687</c:v>
                </c:pt>
                <c:pt idx="208">
                  <c:v>0.6005673962431104</c:v>
                </c:pt>
                <c:pt idx="209">
                  <c:v>0.60445525960026703</c:v>
                </c:pt>
                <c:pt idx="210">
                  <c:v>0.63578583328576177</c:v>
                </c:pt>
                <c:pt idx="211">
                  <c:v>0.65514713754894127</c:v>
                </c:pt>
                <c:pt idx="212">
                  <c:v>0.64754017155155008</c:v>
                </c:pt>
                <c:pt idx="213">
                  <c:v>0.63937916124679939</c:v>
                </c:pt>
                <c:pt idx="214">
                  <c:v>0.68307543286767691</c:v>
                </c:pt>
                <c:pt idx="215">
                  <c:v>0.66392905976102456</c:v>
                </c:pt>
                <c:pt idx="216">
                  <c:v>0.65549421122052309</c:v>
                </c:pt>
                <c:pt idx="217">
                  <c:v>0.67105840128876793</c:v>
                </c:pt>
                <c:pt idx="218">
                  <c:v>0.6820411846283565</c:v>
                </c:pt>
                <c:pt idx="219">
                  <c:v>0.66864598117985774</c:v>
                </c:pt>
                <c:pt idx="220">
                  <c:v>0.61107910636658525</c:v>
                </c:pt>
                <c:pt idx="221">
                  <c:v>0.66643150310467636</c:v>
                </c:pt>
                <c:pt idx="222">
                  <c:v>0.68349095085371947</c:v>
                </c:pt>
                <c:pt idx="223">
                  <c:v>0.68754711033421056</c:v>
                </c:pt>
                <c:pt idx="224">
                  <c:v>0.67872424678013865</c:v>
                </c:pt>
                <c:pt idx="225">
                  <c:v>0.69680968316563119</c:v>
                </c:pt>
                <c:pt idx="226">
                  <c:v>0.69070791957156774</c:v>
                </c:pt>
                <c:pt idx="227">
                  <c:v>0.70392150419166066</c:v>
                </c:pt>
                <c:pt idx="228">
                  <c:v>0.71877284654089646</c:v>
                </c:pt>
                <c:pt idx="229">
                  <c:v>0.69964230349283207</c:v>
                </c:pt>
                <c:pt idx="230">
                  <c:v>0.71588924529465392</c:v>
                </c:pt>
                <c:pt idx="231">
                  <c:v>0.71169288889173798</c:v>
                </c:pt>
                <c:pt idx="232">
                  <c:v>0.67484652027431791</c:v>
                </c:pt>
                <c:pt idx="233">
                  <c:v>0.67374087416359463</c:v>
                </c:pt>
                <c:pt idx="234">
                  <c:v>0.68405492584901006</c:v>
                </c:pt>
                <c:pt idx="235">
                  <c:v>0.66123464828285572</c:v>
                </c:pt>
                <c:pt idx="236">
                  <c:v>0.68155049443196547</c:v>
                </c:pt>
                <c:pt idx="237">
                  <c:v>0.70809555623076714</c:v>
                </c:pt>
                <c:pt idx="238">
                  <c:v>0.72659521167606367</c:v>
                </c:pt>
                <c:pt idx="239">
                  <c:v>0.73349355049681697</c:v>
                </c:pt>
                <c:pt idx="240">
                  <c:v>0.75809715506184494</c:v>
                </c:pt>
                <c:pt idx="241">
                  <c:v>0.7470802415158404</c:v>
                </c:pt>
                <c:pt idx="242">
                  <c:v>0.72296359926761578</c:v>
                </c:pt>
                <c:pt idx="243">
                  <c:v>0.6889591655948728</c:v>
                </c:pt>
                <c:pt idx="244">
                  <c:v>0.67350869400223146</c:v>
                </c:pt>
                <c:pt idx="245">
                  <c:v>0.74082222638719597</c:v>
                </c:pt>
                <c:pt idx="246">
                  <c:v>0.71151608828599544</c:v>
                </c:pt>
                <c:pt idx="247">
                  <c:v>0.73983344734153489</c:v>
                </c:pt>
                <c:pt idx="248">
                  <c:v>0.7585979235514213</c:v>
                </c:pt>
                <c:pt idx="249">
                  <c:v>0.75343713425867964</c:v>
                </c:pt>
                <c:pt idx="250">
                  <c:v>0.73795795658975538</c:v>
                </c:pt>
                <c:pt idx="251">
                  <c:v>0.65827830571542068</c:v>
                </c:pt>
                <c:pt idx="252">
                  <c:v>0.68054497404675218</c:v>
                </c:pt>
                <c:pt idx="253">
                  <c:v>0.69817394916840736</c:v>
                </c:pt>
                <c:pt idx="254">
                  <c:v>0.68115418981052134</c:v>
                </c:pt>
                <c:pt idx="255">
                  <c:v>0.64926765730492542</c:v>
                </c:pt>
                <c:pt idx="256">
                  <c:v>0.64827887825926389</c:v>
                </c:pt>
                <c:pt idx="257">
                  <c:v>0.62679366408520654</c:v>
                </c:pt>
                <c:pt idx="258">
                  <c:v>0.59433938127747066</c:v>
                </c:pt>
                <c:pt idx="259">
                  <c:v>0.68197072997872676</c:v>
                </c:pt>
                <c:pt idx="260">
                  <c:v>0.6906342868114288</c:v>
                </c:pt>
              </c:numCache>
            </c:numRef>
          </c:val>
          <c:smooth val="0"/>
          <c:extLst>
            <c:ext xmlns:c16="http://schemas.microsoft.com/office/drawing/2014/chart" uri="{C3380CC4-5D6E-409C-BE32-E72D297353CC}">
              <c16:uniqueId val="{00000001-9678-4776-94A8-B2115644D18B}"/>
            </c:ext>
          </c:extLst>
        </c:ser>
        <c:ser>
          <c:idx val="2"/>
          <c:order val="2"/>
          <c:tx>
            <c:strRef>
              <c:f>'Price Data'!$U$5</c:f>
              <c:strCache>
                <c:ptCount val="1"/>
                <c:pt idx="0">
                  <c:v>Dow Jones Composite Average Index</c:v>
                </c:pt>
              </c:strCache>
            </c:strRef>
          </c:tx>
          <c:spPr>
            <a:ln w="22225">
              <a:solidFill>
                <a:srgbClr val="00B050"/>
              </a:solidFill>
            </a:ln>
          </c:spPr>
          <c:marker>
            <c:symbol val="none"/>
          </c:marker>
          <c:dPt>
            <c:idx val="129"/>
            <c:bubble3D val="0"/>
            <c:extLst>
              <c:ext xmlns:c16="http://schemas.microsoft.com/office/drawing/2014/chart" uri="{C3380CC4-5D6E-409C-BE32-E72D297353CC}">
                <c16:uniqueId val="{000000AD-7282-40BE-8C08-A2909BC46C19}"/>
              </c:ext>
            </c:extLst>
          </c:dPt>
          <c:dPt>
            <c:idx val="134"/>
            <c:bubble3D val="0"/>
            <c:extLst>
              <c:ext xmlns:c16="http://schemas.microsoft.com/office/drawing/2014/chart" uri="{C3380CC4-5D6E-409C-BE32-E72D297353CC}">
                <c16:uniqueId val="{000000AE-7282-40BE-8C08-A2909BC46C19}"/>
              </c:ext>
            </c:extLst>
          </c:dPt>
          <c:dPt>
            <c:idx val="135"/>
            <c:bubble3D val="0"/>
            <c:extLst>
              <c:ext xmlns:c16="http://schemas.microsoft.com/office/drawing/2014/chart" uri="{C3380CC4-5D6E-409C-BE32-E72D297353CC}">
                <c16:uniqueId val="{000000AF-7282-40BE-8C08-A2909BC46C19}"/>
              </c:ext>
            </c:extLst>
          </c:dPt>
          <c:dPt>
            <c:idx val="138"/>
            <c:bubble3D val="0"/>
            <c:extLst>
              <c:ext xmlns:c16="http://schemas.microsoft.com/office/drawing/2014/chart" uri="{C3380CC4-5D6E-409C-BE32-E72D297353CC}">
                <c16:uniqueId val="{000000B0-7282-40BE-8C08-A2909BC46C19}"/>
              </c:ext>
            </c:extLst>
          </c:dPt>
          <c:dPt>
            <c:idx val="141"/>
            <c:bubble3D val="0"/>
            <c:extLst>
              <c:ext xmlns:c16="http://schemas.microsoft.com/office/drawing/2014/chart" uri="{C3380CC4-5D6E-409C-BE32-E72D297353CC}">
                <c16:uniqueId val="{000000B1-7282-40BE-8C08-A2909BC46C19}"/>
              </c:ext>
            </c:extLst>
          </c:dPt>
          <c:dPt>
            <c:idx val="144"/>
            <c:bubble3D val="0"/>
            <c:extLst>
              <c:ext xmlns:c16="http://schemas.microsoft.com/office/drawing/2014/chart" uri="{C3380CC4-5D6E-409C-BE32-E72D297353CC}">
                <c16:uniqueId val="{000000B2-7282-40BE-8C08-A2909BC46C19}"/>
              </c:ext>
            </c:extLst>
          </c:dPt>
          <c:dPt>
            <c:idx val="145"/>
            <c:bubble3D val="0"/>
            <c:extLst>
              <c:ext xmlns:c16="http://schemas.microsoft.com/office/drawing/2014/chart" uri="{C3380CC4-5D6E-409C-BE32-E72D297353CC}">
                <c16:uniqueId val="{000000B3-7282-40BE-8C08-A2909BC46C19}"/>
              </c:ext>
            </c:extLst>
          </c:dPt>
          <c:dPt>
            <c:idx val="146"/>
            <c:bubble3D val="0"/>
            <c:extLst>
              <c:ext xmlns:c16="http://schemas.microsoft.com/office/drawing/2014/chart" uri="{C3380CC4-5D6E-409C-BE32-E72D297353CC}">
                <c16:uniqueId val="{000000B4-7282-40BE-8C08-A2909BC46C19}"/>
              </c:ext>
            </c:extLst>
          </c:dPt>
          <c:dPt>
            <c:idx val="147"/>
            <c:bubble3D val="0"/>
            <c:extLst>
              <c:ext xmlns:c16="http://schemas.microsoft.com/office/drawing/2014/chart" uri="{C3380CC4-5D6E-409C-BE32-E72D297353CC}">
                <c16:uniqueId val="{000000B5-7282-40BE-8C08-A2909BC46C19}"/>
              </c:ext>
            </c:extLst>
          </c:dPt>
          <c:dPt>
            <c:idx val="148"/>
            <c:bubble3D val="0"/>
            <c:extLst>
              <c:ext xmlns:c16="http://schemas.microsoft.com/office/drawing/2014/chart" uri="{C3380CC4-5D6E-409C-BE32-E72D297353CC}">
                <c16:uniqueId val="{000000B6-7282-40BE-8C08-A2909BC46C19}"/>
              </c:ext>
            </c:extLst>
          </c:dPt>
          <c:dPt>
            <c:idx val="149"/>
            <c:bubble3D val="0"/>
            <c:extLst>
              <c:ext xmlns:c16="http://schemas.microsoft.com/office/drawing/2014/chart" uri="{C3380CC4-5D6E-409C-BE32-E72D297353CC}">
                <c16:uniqueId val="{000000B7-7282-40BE-8C08-A2909BC46C19}"/>
              </c:ext>
            </c:extLst>
          </c:dPt>
          <c:dPt>
            <c:idx val="150"/>
            <c:bubble3D val="0"/>
            <c:extLst>
              <c:ext xmlns:c16="http://schemas.microsoft.com/office/drawing/2014/chart" uri="{C3380CC4-5D6E-409C-BE32-E72D297353CC}">
                <c16:uniqueId val="{000000B8-7282-40BE-8C08-A2909BC46C19}"/>
              </c:ext>
            </c:extLst>
          </c:dPt>
          <c:dPt>
            <c:idx val="151"/>
            <c:bubble3D val="0"/>
            <c:extLst>
              <c:ext xmlns:c16="http://schemas.microsoft.com/office/drawing/2014/chart" uri="{C3380CC4-5D6E-409C-BE32-E72D297353CC}">
                <c16:uniqueId val="{000000B9-7282-40BE-8C08-A2909BC46C19}"/>
              </c:ext>
            </c:extLst>
          </c:dPt>
          <c:dPt>
            <c:idx val="152"/>
            <c:bubble3D val="0"/>
            <c:extLst>
              <c:ext xmlns:c16="http://schemas.microsoft.com/office/drawing/2014/chart" uri="{C3380CC4-5D6E-409C-BE32-E72D297353CC}">
                <c16:uniqueId val="{000000BA-7282-40BE-8C08-A2909BC46C19}"/>
              </c:ext>
            </c:extLst>
          </c:dPt>
          <c:dPt>
            <c:idx val="153"/>
            <c:bubble3D val="0"/>
            <c:extLst>
              <c:ext xmlns:c16="http://schemas.microsoft.com/office/drawing/2014/chart" uri="{C3380CC4-5D6E-409C-BE32-E72D297353CC}">
                <c16:uniqueId val="{000000BB-7282-40BE-8C08-A2909BC46C19}"/>
              </c:ext>
            </c:extLst>
          </c:dPt>
          <c:dPt>
            <c:idx val="155"/>
            <c:bubble3D val="0"/>
            <c:extLst>
              <c:ext xmlns:c16="http://schemas.microsoft.com/office/drawing/2014/chart" uri="{C3380CC4-5D6E-409C-BE32-E72D297353CC}">
                <c16:uniqueId val="{000000BC-7282-40BE-8C08-A2909BC46C19}"/>
              </c:ext>
            </c:extLst>
          </c:dPt>
          <c:dPt>
            <c:idx val="156"/>
            <c:bubble3D val="0"/>
            <c:extLst>
              <c:ext xmlns:c16="http://schemas.microsoft.com/office/drawing/2014/chart" uri="{C3380CC4-5D6E-409C-BE32-E72D297353CC}">
                <c16:uniqueId val="{000000BD-7282-40BE-8C08-A2909BC46C19}"/>
              </c:ext>
            </c:extLst>
          </c:dPt>
          <c:dPt>
            <c:idx val="157"/>
            <c:bubble3D val="0"/>
            <c:extLst>
              <c:ext xmlns:c16="http://schemas.microsoft.com/office/drawing/2014/chart" uri="{C3380CC4-5D6E-409C-BE32-E72D297353CC}">
                <c16:uniqueId val="{000000BE-7282-40BE-8C08-A2909BC46C19}"/>
              </c:ext>
            </c:extLst>
          </c:dPt>
          <c:dPt>
            <c:idx val="158"/>
            <c:bubble3D val="0"/>
            <c:extLst>
              <c:ext xmlns:c16="http://schemas.microsoft.com/office/drawing/2014/chart" uri="{C3380CC4-5D6E-409C-BE32-E72D297353CC}">
                <c16:uniqueId val="{000000BF-7282-40BE-8C08-A2909BC46C19}"/>
              </c:ext>
            </c:extLst>
          </c:dPt>
          <c:dPt>
            <c:idx val="159"/>
            <c:bubble3D val="0"/>
            <c:extLst>
              <c:ext xmlns:c16="http://schemas.microsoft.com/office/drawing/2014/chart" uri="{C3380CC4-5D6E-409C-BE32-E72D297353CC}">
                <c16:uniqueId val="{000000C0-7282-40BE-8C08-A2909BC46C19}"/>
              </c:ext>
            </c:extLst>
          </c:dPt>
          <c:dPt>
            <c:idx val="160"/>
            <c:bubble3D val="0"/>
            <c:extLst>
              <c:ext xmlns:c16="http://schemas.microsoft.com/office/drawing/2014/chart" uri="{C3380CC4-5D6E-409C-BE32-E72D297353CC}">
                <c16:uniqueId val="{000000C1-7282-40BE-8C08-A2909BC46C19}"/>
              </c:ext>
            </c:extLst>
          </c:dPt>
          <c:dPt>
            <c:idx val="161"/>
            <c:bubble3D val="0"/>
            <c:extLst>
              <c:ext xmlns:c16="http://schemas.microsoft.com/office/drawing/2014/chart" uri="{C3380CC4-5D6E-409C-BE32-E72D297353CC}">
                <c16:uniqueId val="{000000C2-7282-40BE-8C08-A2909BC46C19}"/>
              </c:ext>
            </c:extLst>
          </c:dPt>
          <c:dPt>
            <c:idx val="162"/>
            <c:bubble3D val="0"/>
            <c:extLst>
              <c:ext xmlns:c16="http://schemas.microsoft.com/office/drawing/2014/chart" uri="{C3380CC4-5D6E-409C-BE32-E72D297353CC}">
                <c16:uniqueId val="{000000C3-7282-40BE-8C08-A2909BC46C19}"/>
              </c:ext>
            </c:extLst>
          </c:dPt>
          <c:dPt>
            <c:idx val="163"/>
            <c:bubble3D val="0"/>
            <c:extLst>
              <c:ext xmlns:c16="http://schemas.microsoft.com/office/drawing/2014/chart" uri="{C3380CC4-5D6E-409C-BE32-E72D297353CC}">
                <c16:uniqueId val="{000000C4-7282-40BE-8C08-A2909BC46C19}"/>
              </c:ext>
            </c:extLst>
          </c:dPt>
          <c:dPt>
            <c:idx val="164"/>
            <c:bubble3D val="0"/>
            <c:extLst>
              <c:ext xmlns:c16="http://schemas.microsoft.com/office/drawing/2014/chart" uri="{C3380CC4-5D6E-409C-BE32-E72D297353CC}">
                <c16:uniqueId val="{000000C5-7282-40BE-8C08-A2909BC46C19}"/>
              </c:ext>
            </c:extLst>
          </c:dPt>
          <c:dPt>
            <c:idx val="165"/>
            <c:bubble3D val="0"/>
            <c:extLst>
              <c:ext xmlns:c16="http://schemas.microsoft.com/office/drawing/2014/chart" uri="{C3380CC4-5D6E-409C-BE32-E72D297353CC}">
                <c16:uniqueId val="{000000C6-7282-40BE-8C08-A2909BC46C19}"/>
              </c:ext>
            </c:extLst>
          </c:dPt>
          <c:dPt>
            <c:idx val="166"/>
            <c:bubble3D val="0"/>
            <c:extLst>
              <c:ext xmlns:c16="http://schemas.microsoft.com/office/drawing/2014/chart" uri="{C3380CC4-5D6E-409C-BE32-E72D297353CC}">
                <c16:uniqueId val="{000000C7-7282-40BE-8C08-A2909BC46C19}"/>
              </c:ext>
            </c:extLst>
          </c:dPt>
          <c:dPt>
            <c:idx val="167"/>
            <c:bubble3D val="0"/>
            <c:extLst>
              <c:ext xmlns:c16="http://schemas.microsoft.com/office/drawing/2014/chart" uri="{C3380CC4-5D6E-409C-BE32-E72D297353CC}">
                <c16:uniqueId val="{000000C8-7282-40BE-8C08-A2909BC46C19}"/>
              </c:ext>
            </c:extLst>
          </c:dPt>
          <c:dPt>
            <c:idx val="168"/>
            <c:bubble3D val="0"/>
            <c:extLst>
              <c:ext xmlns:c16="http://schemas.microsoft.com/office/drawing/2014/chart" uri="{C3380CC4-5D6E-409C-BE32-E72D297353CC}">
                <c16:uniqueId val="{000000C9-7282-40BE-8C08-A2909BC46C19}"/>
              </c:ext>
            </c:extLst>
          </c:dPt>
          <c:dPt>
            <c:idx val="169"/>
            <c:bubble3D val="0"/>
            <c:extLst>
              <c:ext xmlns:c16="http://schemas.microsoft.com/office/drawing/2014/chart" uri="{C3380CC4-5D6E-409C-BE32-E72D297353CC}">
                <c16:uniqueId val="{000000CA-7282-40BE-8C08-A2909BC46C19}"/>
              </c:ext>
            </c:extLst>
          </c:dPt>
          <c:dPt>
            <c:idx val="170"/>
            <c:bubble3D val="0"/>
            <c:extLst>
              <c:ext xmlns:c16="http://schemas.microsoft.com/office/drawing/2014/chart" uri="{C3380CC4-5D6E-409C-BE32-E72D297353CC}">
                <c16:uniqueId val="{000000CB-7282-40BE-8C08-A2909BC46C19}"/>
              </c:ext>
            </c:extLst>
          </c:dPt>
          <c:dPt>
            <c:idx val="171"/>
            <c:bubble3D val="0"/>
            <c:extLst>
              <c:ext xmlns:c16="http://schemas.microsoft.com/office/drawing/2014/chart" uri="{C3380CC4-5D6E-409C-BE32-E72D297353CC}">
                <c16:uniqueId val="{000000CC-7282-40BE-8C08-A2909BC46C19}"/>
              </c:ext>
            </c:extLst>
          </c:dPt>
          <c:dPt>
            <c:idx val="172"/>
            <c:bubble3D val="0"/>
            <c:extLst>
              <c:ext xmlns:c16="http://schemas.microsoft.com/office/drawing/2014/chart" uri="{C3380CC4-5D6E-409C-BE32-E72D297353CC}">
                <c16:uniqueId val="{000000CD-7282-40BE-8C08-A2909BC46C19}"/>
              </c:ext>
            </c:extLst>
          </c:dPt>
          <c:dPt>
            <c:idx val="173"/>
            <c:bubble3D val="0"/>
            <c:extLst>
              <c:ext xmlns:c16="http://schemas.microsoft.com/office/drawing/2014/chart" uri="{C3380CC4-5D6E-409C-BE32-E72D297353CC}">
                <c16:uniqueId val="{000000CE-7282-40BE-8C08-A2909BC46C19}"/>
              </c:ext>
            </c:extLst>
          </c:dPt>
          <c:dPt>
            <c:idx val="174"/>
            <c:bubble3D val="0"/>
            <c:extLst>
              <c:ext xmlns:c16="http://schemas.microsoft.com/office/drawing/2014/chart" uri="{C3380CC4-5D6E-409C-BE32-E72D297353CC}">
                <c16:uniqueId val="{000000CF-7282-40BE-8C08-A2909BC46C19}"/>
              </c:ext>
            </c:extLst>
          </c:dPt>
          <c:dPt>
            <c:idx val="175"/>
            <c:bubble3D val="0"/>
            <c:extLst>
              <c:ext xmlns:c16="http://schemas.microsoft.com/office/drawing/2014/chart" uri="{C3380CC4-5D6E-409C-BE32-E72D297353CC}">
                <c16:uniqueId val="{000000D0-7282-40BE-8C08-A2909BC46C19}"/>
              </c:ext>
            </c:extLst>
          </c:dPt>
          <c:dPt>
            <c:idx val="176"/>
            <c:bubble3D val="0"/>
            <c:extLst>
              <c:ext xmlns:c16="http://schemas.microsoft.com/office/drawing/2014/chart" uri="{C3380CC4-5D6E-409C-BE32-E72D297353CC}">
                <c16:uniqueId val="{000000D1-7282-40BE-8C08-A2909BC46C19}"/>
              </c:ext>
            </c:extLst>
          </c:dPt>
          <c:dPt>
            <c:idx val="177"/>
            <c:bubble3D val="0"/>
            <c:extLst>
              <c:ext xmlns:c16="http://schemas.microsoft.com/office/drawing/2014/chart" uri="{C3380CC4-5D6E-409C-BE32-E72D297353CC}">
                <c16:uniqueId val="{000000D2-7282-40BE-8C08-A2909BC46C19}"/>
              </c:ext>
            </c:extLst>
          </c:dPt>
          <c:dPt>
            <c:idx val="178"/>
            <c:bubble3D val="0"/>
            <c:extLst>
              <c:ext xmlns:c16="http://schemas.microsoft.com/office/drawing/2014/chart" uri="{C3380CC4-5D6E-409C-BE32-E72D297353CC}">
                <c16:uniqueId val="{000000D3-7282-40BE-8C08-A2909BC46C19}"/>
              </c:ext>
            </c:extLst>
          </c:dPt>
          <c:dPt>
            <c:idx val="179"/>
            <c:bubble3D val="0"/>
            <c:extLst>
              <c:ext xmlns:c16="http://schemas.microsoft.com/office/drawing/2014/chart" uri="{C3380CC4-5D6E-409C-BE32-E72D297353CC}">
                <c16:uniqueId val="{000000D4-7282-40BE-8C08-A2909BC46C19}"/>
              </c:ext>
            </c:extLst>
          </c:dPt>
          <c:dPt>
            <c:idx val="180"/>
            <c:bubble3D val="0"/>
            <c:extLst>
              <c:ext xmlns:c16="http://schemas.microsoft.com/office/drawing/2014/chart" uri="{C3380CC4-5D6E-409C-BE32-E72D297353CC}">
                <c16:uniqueId val="{000000D5-7282-40BE-8C08-A2909BC46C19}"/>
              </c:ext>
            </c:extLst>
          </c:dPt>
          <c:dPt>
            <c:idx val="181"/>
            <c:bubble3D val="0"/>
            <c:extLst>
              <c:ext xmlns:c16="http://schemas.microsoft.com/office/drawing/2014/chart" uri="{C3380CC4-5D6E-409C-BE32-E72D297353CC}">
                <c16:uniqueId val="{000000D6-7282-40BE-8C08-A2909BC46C19}"/>
              </c:ext>
            </c:extLst>
          </c:dPt>
          <c:dPt>
            <c:idx val="182"/>
            <c:bubble3D val="0"/>
            <c:extLst>
              <c:ext xmlns:c16="http://schemas.microsoft.com/office/drawing/2014/chart" uri="{C3380CC4-5D6E-409C-BE32-E72D297353CC}">
                <c16:uniqueId val="{000000D7-7282-40BE-8C08-A2909BC46C19}"/>
              </c:ext>
            </c:extLst>
          </c:dPt>
          <c:dPt>
            <c:idx val="183"/>
            <c:bubble3D val="0"/>
            <c:extLst>
              <c:ext xmlns:c16="http://schemas.microsoft.com/office/drawing/2014/chart" uri="{C3380CC4-5D6E-409C-BE32-E72D297353CC}">
                <c16:uniqueId val="{000000D8-7282-40BE-8C08-A2909BC46C19}"/>
              </c:ext>
            </c:extLst>
          </c:dPt>
          <c:dPt>
            <c:idx val="184"/>
            <c:bubble3D val="0"/>
            <c:extLst>
              <c:ext xmlns:c16="http://schemas.microsoft.com/office/drawing/2014/chart" uri="{C3380CC4-5D6E-409C-BE32-E72D297353CC}">
                <c16:uniqueId val="{000000D9-7282-40BE-8C08-A2909BC46C19}"/>
              </c:ext>
            </c:extLst>
          </c:dPt>
          <c:dPt>
            <c:idx val="185"/>
            <c:bubble3D val="0"/>
            <c:extLst>
              <c:ext xmlns:c16="http://schemas.microsoft.com/office/drawing/2014/chart" uri="{C3380CC4-5D6E-409C-BE32-E72D297353CC}">
                <c16:uniqueId val="{000000DA-7282-40BE-8C08-A2909BC46C19}"/>
              </c:ext>
            </c:extLst>
          </c:dPt>
          <c:dPt>
            <c:idx val="186"/>
            <c:bubble3D val="0"/>
            <c:extLst>
              <c:ext xmlns:c16="http://schemas.microsoft.com/office/drawing/2014/chart" uri="{C3380CC4-5D6E-409C-BE32-E72D297353CC}">
                <c16:uniqueId val="{000000DB-7282-40BE-8C08-A2909BC46C19}"/>
              </c:ext>
            </c:extLst>
          </c:dPt>
          <c:dPt>
            <c:idx val="187"/>
            <c:bubble3D val="0"/>
            <c:extLst>
              <c:ext xmlns:c16="http://schemas.microsoft.com/office/drawing/2014/chart" uri="{C3380CC4-5D6E-409C-BE32-E72D297353CC}">
                <c16:uniqueId val="{000000DC-7282-40BE-8C08-A2909BC46C19}"/>
              </c:ext>
            </c:extLst>
          </c:dPt>
          <c:dPt>
            <c:idx val="188"/>
            <c:bubble3D val="0"/>
            <c:extLst>
              <c:ext xmlns:c16="http://schemas.microsoft.com/office/drawing/2014/chart" uri="{C3380CC4-5D6E-409C-BE32-E72D297353CC}">
                <c16:uniqueId val="{000000DD-7282-40BE-8C08-A2909BC46C19}"/>
              </c:ext>
            </c:extLst>
          </c:dPt>
          <c:dPt>
            <c:idx val="189"/>
            <c:bubble3D val="0"/>
            <c:extLst>
              <c:ext xmlns:c16="http://schemas.microsoft.com/office/drawing/2014/chart" uri="{C3380CC4-5D6E-409C-BE32-E72D297353CC}">
                <c16:uniqueId val="{000000DE-7282-40BE-8C08-A2909BC46C19}"/>
              </c:ext>
            </c:extLst>
          </c:dPt>
          <c:dPt>
            <c:idx val="190"/>
            <c:bubble3D val="0"/>
            <c:extLst>
              <c:ext xmlns:c16="http://schemas.microsoft.com/office/drawing/2014/chart" uri="{C3380CC4-5D6E-409C-BE32-E72D297353CC}">
                <c16:uniqueId val="{000000DF-7282-40BE-8C08-A2909BC46C19}"/>
              </c:ext>
            </c:extLst>
          </c:dPt>
          <c:dPt>
            <c:idx val="191"/>
            <c:bubble3D val="0"/>
            <c:extLst>
              <c:ext xmlns:c16="http://schemas.microsoft.com/office/drawing/2014/chart" uri="{C3380CC4-5D6E-409C-BE32-E72D297353CC}">
                <c16:uniqueId val="{000000E0-7282-40BE-8C08-A2909BC46C19}"/>
              </c:ext>
            </c:extLst>
          </c:dPt>
          <c:dPt>
            <c:idx val="192"/>
            <c:bubble3D val="0"/>
            <c:extLst>
              <c:ext xmlns:c16="http://schemas.microsoft.com/office/drawing/2014/chart" uri="{C3380CC4-5D6E-409C-BE32-E72D297353CC}">
                <c16:uniqueId val="{000000E1-7282-40BE-8C08-A2909BC46C19}"/>
              </c:ext>
            </c:extLst>
          </c:dPt>
          <c:dPt>
            <c:idx val="193"/>
            <c:bubble3D val="0"/>
            <c:extLst>
              <c:ext xmlns:c16="http://schemas.microsoft.com/office/drawing/2014/chart" uri="{C3380CC4-5D6E-409C-BE32-E72D297353CC}">
                <c16:uniqueId val="{000000E2-7282-40BE-8C08-A2909BC46C19}"/>
              </c:ext>
            </c:extLst>
          </c:dPt>
          <c:dPt>
            <c:idx val="194"/>
            <c:bubble3D val="0"/>
            <c:extLst>
              <c:ext xmlns:c16="http://schemas.microsoft.com/office/drawing/2014/chart" uri="{C3380CC4-5D6E-409C-BE32-E72D297353CC}">
                <c16:uniqueId val="{000000E3-7282-40BE-8C08-A2909BC46C19}"/>
              </c:ext>
            </c:extLst>
          </c:dPt>
          <c:dPt>
            <c:idx val="195"/>
            <c:bubble3D val="0"/>
            <c:extLst>
              <c:ext xmlns:c16="http://schemas.microsoft.com/office/drawing/2014/chart" uri="{C3380CC4-5D6E-409C-BE32-E72D297353CC}">
                <c16:uniqueId val="{000000E4-7282-40BE-8C08-A2909BC46C19}"/>
              </c:ext>
            </c:extLst>
          </c:dPt>
          <c:dPt>
            <c:idx val="196"/>
            <c:bubble3D val="0"/>
            <c:extLst>
              <c:ext xmlns:c16="http://schemas.microsoft.com/office/drawing/2014/chart" uri="{C3380CC4-5D6E-409C-BE32-E72D297353CC}">
                <c16:uniqueId val="{000000E5-7282-40BE-8C08-A2909BC46C19}"/>
              </c:ext>
            </c:extLst>
          </c:dPt>
          <c:dPt>
            <c:idx val="197"/>
            <c:bubble3D val="0"/>
            <c:extLst>
              <c:ext xmlns:c16="http://schemas.microsoft.com/office/drawing/2014/chart" uri="{C3380CC4-5D6E-409C-BE32-E72D297353CC}">
                <c16:uniqueId val="{000000E6-7282-40BE-8C08-A2909BC46C19}"/>
              </c:ext>
            </c:extLst>
          </c:dPt>
          <c:dPt>
            <c:idx val="198"/>
            <c:bubble3D val="0"/>
            <c:extLst>
              <c:ext xmlns:c16="http://schemas.microsoft.com/office/drawing/2014/chart" uri="{C3380CC4-5D6E-409C-BE32-E72D297353CC}">
                <c16:uniqueId val="{000000E7-7282-40BE-8C08-A2909BC46C19}"/>
              </c:ext>
            </c:extLst>
          </c:dPt>
          <c:dPt>
            <c:idx val="199"/>
            <c:bubble3D val="0"/>
            <c:extLst>
              <c:ext xmlns:c16="http://schemas.microsoft.com/office/drawing/2014/chart" uri="{C3380CC4-5D6E-409C-BE32-E72D297353CC}">
                <c16:uniqueId val="{000000E8-7282-40BE-8C08-A2909BC46C19}"/>
              </c:ext>
            </c:extLst>
          </c:dPt>
          <c:dPt>
            <c:idx val="200"/>
            <c:bubble3D val="0"/>
            <c:extLst>
              <c:ext xmlns:c16="http://schemas.microsoft.com/office/drawing/2014/chart" uri="{C3380CC4-5D6E-409C-BE32-E72D297353CC}">
                <c16:uniqueId val="{000000E9-7282-40BE-8C08-A2909BC46C19}"/>
              </c:ext>
            </c:extLst>
          </c:dPt>
          <c:dPt>
            <c:idx val="201"/>
            <c:bubble3D val="0"/>
            <c:extLst>
              <c:ext xmlns:c16="http://schemas.microsoft.com/office/drawing/2014/chart" uri="{C3380CC4-5D6E-409C-BE32-E72D297353CC}">
                <c16:uniqueId val="{000000EA-7282-40BE-8C08-A2909BC46C19}"/>
              </c:ext>
            </c:extLst>
          </c:dPt>
          <c:dPt>
            <c:idx val="202"/>
            <c:bubble3D val="0"/>
            <c:extLst>
              <c:ext xmlns:c16="http://schemas.microsoft.com/office/drawing/2014/chart" uri="{C3380CC4-5D6E-409C-BE32-E72D297353CC}">
                <c16:uniqueId val="{000000EB-7282-40BE-8C08-A2909BC46C19}"/>
              </c:ext>
            </c:extLst>
          </c:dPt>
          <c:dPt>
            <c:idx val="203"/>
            <c:bubble3D val="0"/>
            <c:extLst>
              <c:ext xmlns:c16="http://schemas.microsoft.com/office/drawing/2014/chart" uri="{C3380CC4-5D6E-409C-BE32-E72D297353CC}">
                <c16:uniqueId val="{000000EC-7282-40BE-8C08-A2909BC46C19}"/>
              </c:ext>
            </c:extLst>
          </c:dPt>
          <c:dPt>
            <c:idx val="204"/>
            <c:bubble3D val="0"/>
            <c:extLst>
              <c:ext xmlns:c16="http://schemas.microsoft.com/office/drawing/2014/chart" uri="{C3380CC4-5D6E-409C-BE32-E72D297353CC}">
                <c16:uniqueId val="{000000ED-7282-40BE-8C08-A2909BC46C19}"/>
              </c:ext>
            </c:extLst>
          </c:dPt>
          <c:dPt>
            <c:idx val="205"/>
            <c:bubble3D val="0"/>
            <c:extLst>
              <c:ext xmlns:c16="http://schemas.microsoft.com/office/drawing/2014/chart" uri="{C3380CC4-5D6E-409C-BE32-E72D297353CC}">
                <c16:uniqueId val="{000000EE-7282-40BE-8C08-A2909BC46C19}"/>
              </c:ext>
            </c:extLst>
          </c:dPt>
          <c:dPt>
            <c:idx val="206"/>
            <c:bubble3D val="0"/>
            <c:extLst>
              <c:ext xmlns:c16="http://schemas.microsoft.com/office/drawing/2014/chart" uri="{C3380CC4-5D6E-409C-BE32-E72D297353CC}">
                <c16:uniqueId val="{000000EF-7282-40BE-8C08-A2909BC46C19}"/>
              </c:ext>
            </c:extLst>
          </c:dPt>
          <c:dPt>
            <c:idx val="207"/>
            <c:bubble3D val="0"/>
            <c:extLst>
              <c:ext xmlns:c16="http://schemas.microsoft.com/office/drawing/2014/chart" uri="{C3380CC4-5D6E-409C-BE32-E72D297353CC}">
                <c16:uniqueId val="{000000F0-7282-40BE-8C08-A2909BC46C19}"/>
              </c:ext>
            </c:extLst>
          </c:dPt>
          <c:dPt>
            <c:idx val="208"/>
            <c:bubble3D val="0"/>
            <c:extLst>
              <c:ext xmlns:c16="http://schemas.microsoft.com/office/drawing/2014/chart" uri="{C3380CC4-5D6E-409C-BE32-E72D297353CC}">
                <c16:uniqueId val="{000000F1-7282-40BE-8C08-A2909BC46C19}"/>
              </c:ext>
            </c:extLst>
          </c:dPt>
          <c:dPt>
            <c:idx val="209"/>
            <c:bubble3D val="0"/>
            <c:extLst>
              <c:ext xmlns:c16="http://schemas.microsoft.com/office/drawing/2014/chart" uri="{C3380CC4-5D6E-409C-BE32-E72D297353CC}">
                <c16:uniqueId val="{000000F2-7282-40BE-8C08-A2909BC46C19}"/>
              </c:ext>
            </c:extLst>
          </c:dPt>
          <c:dPt>
            <c:idx val="210"/>
            <c:bubble3D val="0"/>
            <c:extLst>
              <c:ext xmlns:c16="http://schemas.microsoft.com/office/drawing/2014/chart" uri="{C3380CC4-5D6E-409C-BE32-E72D297353CC}">
                <c16:uniqueId val="{000000F3-7282-40BE-8C08-A2909BC46C19}"/>
              </c:ext>
            </c:extLst>
          </c:dPt>
          <c:dPt>
            <c:idx val="211"/>
            <c:bubble3D val="0"/>
            <c:extLst>
              <c:ext xmlns:c16="http://schemas.microsoft.com/office/drawing/2014/chart" uri="{C3380CC4-5D6E-409C-BE32-E72D297353CC}">
                <c16:uniqueId val="{000000F4-7282-40BE-8C08-A2909BC46C19}"/>
              </c:ext>
            </c:extLst>
          </c:dPt>
          <c:dPt>
            <c:idx val="212"/>
            <c:bubble3D val="0"/>
            <c:extLst>
              <c:ext xmlns:c16="http://schemas.microsoft.com/office/drawing/2014/chart" uri="{C3380CC4-5D6E-409C-BE32-E72D297353CC}">
                <c16:uniqueId val="{000000F5-7282-40BE-8C08-A2909BC46C19}"/>
              </c:ext>
            </c:extLst>
          </c:dPt>
          <c:dPt>
            <c:idx val="213"/>
            <c:bubble3D val="0"/>
            <c:extLst>
              <c:ext xmlns:c16="http://schemas.microsoft.com/office/drawing/2014/chart" uri="{C3380CC4-5D6E-409C-BE32-E72D297353CC}">
                <c16:uniqueId val="{000000F6-7282-40BE-8C08-A2909BC46C19}"/>
              </c:ext>
            </c:extLst>
          </c:dPt>
          <c:dPt>
            <c:idx val="214"/>
            <c:bubble3D val="0"/>
            <c:extLst>
              <c:ext xmlns:c16="http://schemas.microsoft.com/office/drawing/2014/chart" uri="{C3380CC4-5D6E-409C-BE32-E72D297353CC}">
                <c16:uniqueId val="{000000F7-7282-40BE-8C08-A2909BC46C19}"/>
              </c:ext>
            </c:extLst>
          </c:dPt>
          <c:dPt>
            <c:idx val="215"/>
            <c:bubble3D val="0"/>
            <c:extLst>
              <c:ext xmlns:c16="http://schemas.microsoft.com/office/drawing/2014/chart" uri="{C3380CC4-5D6E-409C-BE32-E72D297353CC}">
                <c16:uniqueId val="{000000F8-7282-40BE-8C08-A2909BC46C19}"/>
              </c:ext>
            </c:extLst>
          </c:dPt>
          <c:dPt>
            <c:idx val="216"/>
            <c:bubble3D val="0"/>
            <c:extLst>
              <c:ext xmlns:c16="http://schemas.microsoft.com/office/drawing/2014/chart" uri="{C3380CC4-5D6E-409C-BE32-E72D297353CC}">
                <c16:uniqueId val="{000000F9-7282-40BE-8C08-A2909BC46C19}"/>
              </c:ext>
            </c:extLst>
          </c:dPt>
          <c:dPt>
            <c:idx val="217"/>
            <c:bubble3D val="0"/>
            <c:extLst>
              <c:ext xmlns:c16="http://schemas.microsoft.com/office/drawing/2014/chart" uri="{C3380CC4-5D6E-409C-BE32-E72D297353CC}">
                <c16:uniqueId val="{000000FA-7282-40BE-8C08-A2909BC46C19}"/>
              </c:ext>
            </c:extLst>
          </c:dPt>
          <c:dPt>
            <c:idx val="218"/>
            <c:bubble3D val="0"/>
            <c:extLst>
              <c:ext xmlns:c16="http://schemas.microsoft.com/office/drawing/2014/chart" uri="{C3380CC4-5D6E-409C-BE32-E72D297353CC}">
                <c16:uniqueId val="{000000FB-7282-40BE-8C08-A2909BC46C19}"/>
              </c:ext>
            </c:extLst>
          </c:dPt>
          <c:dPt>
            <c:idx val="219"/>
            <c:bubble3D val="0"/>
            <c:extLst>
              <c:ext xmlns:c16="http://schemas.microsoft.com/office/drawing/2014/chart" uri="{C3380CC4-5D6E-409C-BE32-E72D297353CC}">
                <c16:uniqueId val="{000000FC-7282-40BE-8C08-A2909BC46C19}"/>
              </c:ext>
            </c:extLst>
          </c:dPt>
          <c:dPt>
            <c:idx val="220"/>
            <c:bubble3D val="0"/>
            <c:extLst>
              <c:ext xmlns:c16="http://schemas.microsoft.com/office/drawing/2014/chart" uri="{C3380CC4-5D6E-409C-BE32-E72D297353CC}">
                <c16:uniqueId val="{000000FD-7282-40BE-8C08-A2909BC46C19}"/>
              </c:ext>
            </c:extLst>
          </c:dPt>
          <c:dPt>
            <c:idx val="221"/>
            <c:bubble3D val="0"/>
            <c:extLst>
              <c:ext xmlns:c16="http://schemas.microsoft.com/office/drawing/2014/chart" uri="{C3380CC4-5D6E-409C-BE32-E72D297353CC}">
                <c16:uniqueId val="{000000FE-7282-40BE-8C08-A2909BC46C19}"/>
              </c:ext>
            </c:extLst>
          </c:dPt>
          <c:dPt>
            <c:idx val="222"/>
            <c:bubble3D val="0"/>
            <c:extLst>
              <c:ext xmlns:c16="http://schemas.microsoft.com/office/drawing/2014/chart" uri="{C3380CC4-5D6E-409C-BE32-E72D297353CC}">
                <c16:uniqueId val="{000000FF-7282-40BE-8C08-A2909BC46C19}"/>
              </c:ext>
            </c:extLst>
          </c:dPt>
          <c:dPt>
            <c:idx val="223"/>
            <c:bubble3D val="0"/>
            <c:extLst>
              <c:ext xmlns:c16="http://schemas.microsoft.com/office/drawing/2014/chart" uri="{C3380CC4-5D6E-409C-BE32-E72D297353CC}">
                <c16:uniqueId val="{00000100-7282-40BE-8C08-A2909BC46C19}"/>
              </c:ext>
            </c:extLst>
          </c:dPt>
          <c:dPt>
            <c:idx val="224"/>
            <c:bubble3D val="0"/>
            <c:extLst>
              <c:ext xmlns:c16="http://schemas.microsoft.com/office/drawing/2014/chart" uri="{C3380CC4-5D6E-409C-BE32-E72D297353CC}">
                <c16:uniqueId val="{00000101-7282-40BE-8C08-A2909BC46C19}"/>
              </c:ext>
            </c:extLst>
          </c:dPt>
          <c:dPt>
            <c:idx val="225"/>
            <c:bubble3D val="0"/>
            <c:extLst>
              <c:ext xmlns:c16="http://schemas.microsoft.com/office/drawing/2014/chart" uri="{C3380CC4-5D6E-409C-BE32-E72D297353CC}">
                <c16:uniqueId val="{00000102-7282-40BE-8C08-A2909BC46C19}"/>
              </c:ext>
            </c:extLst>
          </c:dPt>
          <c:dPt>
            <c:idx val="226"/>
            <c:bubble3D val="0"/>
            <c:extLst>
              <c:ext xmlns:c16="http://schemas.microsoft.com/office/drawing/2014/chart" uri="{C3380CC4-5D6E-409C-BE32-E72D297353CC}">
                <c16:uniqueId val="{00000103-7282-40BE-8C08-A2909BC46C19}"/>
              </c:ext>
            </c:extLst>
          </c:dPt>
          <c:dPt>
            <c:idx val="227"/>
            <c:bubble3D val="0"/>
            <c:extLst>
              <c:ext xmlns:c16="http://schemas.microsoft.com/office/drawing/2014/chart" uri="{C3380CC4-5D6E-409C-BE32-E72D297353CC}">
                <c16:uniqueId val="{00000104-7282-40BE-8C08-A2909BC46C19}"/>
              </c:ext>
            </c:extLst>
          </c:dPt>
          <c:dPt>
            <c:idx val="228"/>
            <c:bubble3D val="0"/>
            <c:extLst>
              <c:ext xmlns:c16="http://schemas.microsoft.com/office/drawing/2014/chart" uri="{C3380CC4-5D6E-409C-BE32-E72D297353CC}">
                <c16:uniqueId val="{00000105-7282-40BE-8C08-A2909BC46C19}"/>
              </c:ext>
            </c:extLst>
          </c:dPt>
          <c:dPt>
            <c:idx val="229"/>
            <c:bubble3D val="0"/>
            <c:extLst>
              <c:ext xmlns:c16="http://schemas.microsoft.com/office/drawing/2014/chart" uri="{C3380CC4-5D6E-409C-BE32-E72D297353CC}">
                <c16:uniqueId val="{00000106-7282-40BE-8C08-A2909BC46C19}"/>
              </c:ext>
            </c:extLst>
          </c:dPt>
          <c:dPt>
            <c:idx val="230"/>
            <c:bubble3D val="0"/>
            <c:extLst>
              <c:ext xmlns:c16="http://schemas.microsoft.com/office/drawing/2014/chart" uri="{C3380CC4-5D6E-409C-BE32-E72D297353CC}">
                <c16:uniqueId val="{00000107-7282-40BE-8C08-A2909BC46C19}"/>
              </c:ext>
            </c:extLst>
          </c:dPt>
          <c:dPt>
            <c:idx val="231"/>
            <c:bubble3D val="0"/>
            <c:extLst>
              <c:ext xmlns:c16="http://schemas.microsoft.com/office/drawing/2014/chart" uri="{C3380CC4-5D6E-409C-BE32-E72D297353CC}">
                <c16:uniqueId val="{00000108-7282-40BE-8C08-A2909BC46C19}"/>
              </c:ext>
            </c:extLst>
          </c:dPt>
          <c:dPt>
            <c:idx val="232"/>
            <c:bubble3D val="0"/>
            <c:extLst>
              <c:ext xmlns:c16="http://schemas.microsoft.com/office/drawing/2014/chart" uri="{C3380CC4-5D6E-409C-BE32-E72D297353CC}">
                <c16:uniqueId val="{00000109-7282-40BE-8C08-A2909BC46C19}"/>
              </c:ext>
            </c:extLst>
          </c:dPt>
          <c:dPt>
            <c:idx val="233"/>
            <c:bubble3D val="0"/>
            <c:extLst>
              <c:ext xmlns:c16="http://schemas.microsoft.com/office/drawing/2014/chart" uri="{C3380CC4-5D6E-409C-BE32-E72D297353CC}">
                <c16:uniqueId val="{0000010A-7282-40BE-8C08-A2909BC46C19}"/>
              </c:ext>
            </c:extLst>
          </c:dPt>
          <c:dPt>
            <c:idx val="234"/>
            <c:bubble3D val="0"/>
            <c:extLst>
              <c:ext xmlns:c16="http://schemas.microsoft.com/office/drawing/2014/chart" uri="{C3380CC4-5D6E-409C-BE32-E72D297353CC}">
                <c16:uniqueId val="{0000010B-7282-40BE-8C08-A2909BC46C19}"/>
              </c:ext>
            </c:extLst>
          </c:dPt>
          <c:dPt>
            <c:idx val="235"/>
            <c:bubble3D val="0"/>
            <c:extLst>
              <c:ext xmlns:c16="http://schemas.microsoft.com/office/drawing/2014/chart" uri="{C3380CC4-5D6E-409C-BE32-E72D297353CC}">
                <c16:uniqueId val="{0000010C-7282-40BE-8C08-A2909BC46C19}"/>
              </c:ext>
            </c:extLst>
          </c:dPt>
          <c:dPt>
            <c:idx val="236"/>
            <c:bubble3D val="0"/>
            <c:extLst>
              <c:ext xmlns:c16="http://schemas.microsoft.com/office/drawing/2014/chart" uri="{C3380CC4-5D6E-409C-BE32-E72D297353CC}">
                <c16:uniqueId val="{0000010D-7282-40BE-8C08-A2909BC46C19}"/>
              </c:ext>
            </c:extLst>
          </c:dPt>
          <c:dPt>
            <c:idx val="237"/>
            <c:bubble3D val="0"/>
            <c:extLst>
              <c:ext xmlns:c16="http://schemas.microsoft.com/office/drawing/2014/chart" uri="{C3380CC4-5D6E-409C-BE32-E72D297353CC}">
                <c16:uniqueId val="{0000010E-7282-40BE-8C08-A2909BC46C19}"/>
              </c:ext>
            </c:extLst>
          </c:dPt>
          <c:dPt>
            <c:idx val="238"/>
            <c:bubble3D val="0"/>
            <c:extLst>
              <c:ext xmlns:c16="http://schemas.microsoft.com/office/drawing/2014/chart" uri="{C3380CC4-5D6E-409C-BE32-E72D297353CC}">
                <c16:uniqueId val="{0000010F-7282-40BE-8C08-A2909BC46C19}"/>
              </c:ext>
            </c:extLst>
          </c:dPt>
          <c:dPt>
            <c:idx val="239"/>
            <c:bubble3D val="0"/>
            <c:extLst>
              <c:ext xmlns:c16="http://schemas.microsoft.com/office/drawing/2014/chart" uri="{C3380CC4-5D6E-409C-BE32-E72D297353CC}">
                <c16:uniqueId val="{00000110-7282-40BE-8C08-A2909BC46C19}"/>
              </c:ext>
            </c:extLst>
          </c:dPt>
          <c:dPt>
            <c:idx val="240"/>
            <c:bubble3D val="0"/>
            <c:extLst>
              <c:ext xmlns:c16="http://schemas.microsoft.com/office/drawing/2014/chart" uri="{C3380CC4-5D6E-409C-BE32-E72D297353CC}">
                <c16:uniqueId val="{00000111-7282-40BE-8C08-A2909BC46C19}"/>
              </c:ext>
            </c:extLst>
          </c:dPt>
          <c:dPt>
            <c:idx val="241"/>
            <c:bubble3D val="0"/>
            <c:extLst>
              <c:ext xmlns:c16="http://schemas.microsoft.com/office/drawing/2014/chart" uri="{C3380CC4-5D6E-409C-BE32-E72D297353CC}">
                <c16:uniqueId val="{00000112-7282-40BE-8C08-A2909BC46C19}"/>
              </c:ext>
            </c:extLst>
          </c:dPt>
          <c:dPt>
            <c:idx val="242"/>
            <c:bubble3D val="0"/>
            <c:extLst>
              <c:ext xmlns:c16="http://schemas.microsoft.com/office/drawing/2014/chart" uri="{C3380CC4-5D6E-409C-BE32-E72D297353CC}">
                <c16:uniqueId val="{00000113-7282-40BE-8C08-A2909BC46C19}"/>
              </c:ext>
            </c:extLst>
          </c:dPt>
          <c:dPt>
            <c:idx val="243"/>
            <c:bubble3D val="0"/>
            <c:extLst>
              <c:ext xmlns:c16="http://schemas.microsoft.com/office/drawing/2014/chart" uri="{C3380CC4-5D6E-409C-BE32-E72D297353CC}">
                <c16:uniqueId val="{00000114-7282-40BE-8C08-A2909BC46C19}"/>
              </c:ext>
            </c:extLst>
          </c:dPt>
          <c:dPt>
            <c:idx val="244"/>
            <c:bubble3D val="0"/>
            <c:extLst>
              <c:ext xmlns:c16="http://schemas.microsoft.com/office/drawing/2014/chart" uri="{C3380CC4-5D6E-409C-BE32-E72D297353CC}">
                <c16:uniqueId val="{00000115-7282-40BE-8C08-A2909BC46C19}"/>
              </c:ext>
            </c:extLst>
          </c:dPt>
          <c:dPt>
            <c:idx val="245"/>
            <c:bubble3D val="0"/>
            <c:extLst>
              <c:ext xmlns:c16="http://schemas.microsoft.com/office/drawing/2014/chart" uri="{C3380CC4-5D6E-409C-BE32-E72D297353CC}">
                <c16:uniqueId val="{00000116-7282-40BE-8C08-A2909BC46C19}"/>
              </c:ext>
            </c:extLst>
          </c:dPt>
          <c:dPt>
            <c:idx val="246"/>
            <c:bubble3D val="0"/>
            <c:extLst>
              <c:ext xmlns:c16="http://schemas.microsoft.com/office/drawing/2014/chart" uri="{C3380CC4-5D6E-409C-BE32-E72D297353CC}">
                <c16:uniqueId val="{00000117-7282-40BE-8C08-A2909BC46C19}"/>
              </c:ext>
            </c:extLst>
          </c:dPt>
          <c:dPt>
            <c:idx val="247"/>
            <c:bubble3D val="0"/>
            <c:extLst>
              <c:ext xmlns:c16="http://schemas.microsoft.com/office/drawing/2014/chart" uri="{C3380CC4-5D6E-409C-BE32-E72D297353CC}">
                <c16:uniqueId val="{00000118-7282-40BE-8C08-A2909BC46C19}"/>
              </c:ext>
            </c:extLst>
          </c:dPt>
          <c:dPt>
            <c:idx val="248"/>
            <c:bubble3D val="0"/>
            <c:extLst>
              <c:ext xmlns:c16="http://schemas.microsoft.com/office/drawing/2014/chart" uri="{C3380CC4-5D6E-409C-BE32-E72D297353CC}">
                <c16:uniqueId val="{00000119-7282-40BE-8C08-A2909BC46C19}"/>
              </c:ext>
            </c:extLst>
          </c:dPt>
          <c:dPt>
            <c:idx val="249"/>
            <c:bubble3D val="0"/>
            <c:extLst>
              <c:ext xmlns:c16="http://schemas.microsoft.com/office/drawing/2014/chart" uri="{C3380CC4-5D6E-409C-BE32-E72D297353CC}">
                <c16:uniqueId val="{0000011A-7282-40BE-8C08-A2909BC46C19}"/>
              </c:ext>
            </c:extLst>
          </c:dPt>
          <c:dPt>
            <c:idx val="250"/>
            <c:bubble3D val="0"/>
            <c:extLst>
              <c:ext xmlns:c16="http://schemas.microsoft.com/office/drawing/2014/chart" uri="{C3380CC4-5D6E-409C-BE32-E72D297353CC}">
                <c16:uniqueId val="{0000011B-7282-40BE-8C08-A2909BC46C19}"/>
              </c:ext>
            </c:extLst>
          </c:dPt>
          <c:dPt>
            <c:idx val="251"/>
            <c:bubble3D val="0"/>
            <c:extLst>
              <c:ext xmlns:c16="http://schemas.microsoft.com/office/drawing/2014/chart" uri="{C3380CC4-5D6E-409C-BE32-E72D297353CC}">
                <c16:uniqueId val="{0000011C-7282-40BE-8C08-A2909BC46C19}"/>
              </c:ext>
            </c:extLst>
          </c:dPt>
          <c:dPt>
            <c:idx val="252"/>
            <c:bubble3D val="0"/>
            <c:extLst>
              <c:ext xmlns:c16="http://schemas.microsoft.com/office/drawing/2014/chart" uri="{C3380CC4-5D6E-409C-BE32-E72D297353CC}">
                <c16:uniqueId val="{0000011D-7282-40BE-8C08-A2909BC46C19}"/>
              </c:ext>
            </c:extLst>
          </c:dPt>
          <c:dPt>
            <c:idx val="253"/>
            <c:bubble3D val="0"/>
            <c:extLst>
              <c:ext xmlns:c16="http://schemas.microsoft.com/office/drawing/2014/chart" uri="{C3380CC4-5D6E-409C-BE32-E72D297353CC}">
                <c16:uniqueId val="{0000011E-7282-40BE-8C08-A2909BC46C19}"/>
              </c:ext>
            </c:extLst>
          </c:dPt>
          <c:dPt>
            <c:idx val="255"/>
            <c:bubble3D val="0"/>
            <c:extLst>
              <c:ext xmlns:c16="http://schemas.microsoft.com/office/drawing/2014/chart" uri="{C3380CC4-5D6E-409C-BE32-E72D297353CC}">
                <c16:uniqueId val="{0000011F-7282-40BE-8C08-A2909BC46C19}"/>
              </c:ext>
            </c:extLst>
          </c:dPt>
          <c:dPt>
            <c:idx val="256"/>
            <c:bubble3D val="0"/>
            <c:extLst>
              <c:ext xmlns:c16="http://schemas.microsoft.com/office/drawing/2014/chart" uri="{C3380CC4-5D6E-409C-BE32-E72D297353CC}">
                <c16:uniqueId val="{00000120-7282-40BE-8C08-A2909BC46C19}"/>
              </c:ext>
            </c:extLst>
          </c:dPt>
          <c:dPt>
            <c:idx val="257"/>
            <c:bubble3D val="0"/>
            <c:extLst>
              <c:ext xmlns:c16="http://schemas.microsoft.com/office/drawing/2014/chart" uri="{C3380CC4-5D6E-409C-BE32-E72D297353CC}">
                <c16:uniqueId val="{00000121-7282-40BE-8C08-A2909BC46C19}"/>
              </c:ext>
            </c:extLst>
          </c:dPt>
          <c:dPt>
            <c:idx val="258"/>
            <c:bubble3D val="0"/>
            <c:extLst>
              <c:ext xmlns:c16="http://schemas.microsoft.com/office/drawing/2014/chart" uri="{C3380CC4-5D6E-409C-BE32-E72D297353CC}">
                <c16:uniqueId val="{00000122-7282-40BE-8C08-A2909BC46C19}"/>
              </c:ext>
            </c:extLst>
          </c:dPt>
          <c:dPt>
            <c:idx val="259"/>
            <c:bubble3D val="0"/>
            <c:extLst>
              <c:ext xmlns:c16="http://schemas.microsoft.com/office/drawing/2014/chart" uri="{C3380CC4-5D6E-409C-BE32-E72D297353CC}">
                <c16:uniqueId val="{00000123-7282-40BE-8C08-A2909BC46C19}"/>
              </c:ext>
            </c:extLst>
          </c:dPt>
          <c:dPt>
            <c:idx val="260"/>
            <c:bubble3D val="0"/>
            <c:extLst>
              <c:ext xmlns:c16="http://schemas.microsoft.com/office/drawing/2014/chart" uri="{C3380CC4-5D6E-409C-BE32-E72D297353CC}">
                <c16:uniqueId val="{00000124-7282-40BE-8C08-A2909BC46C19}"/>
              </c:ext>
            </c:extLst>
          </c:dPt>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Data'!$U$7:$U$267</c:f>
              <c:numCache>
                <c:formatCode>0%</c:formatCode>
                <c:ptCount val="261"/>
                <c:pt idx="0">
                  <c:v>0</c:v>
                </c:pt>
                <c:pt idx="1">
                  <c:v>-9.4534225919540305E-5</c:v>
                </c:pt>
                <c:pt idx="2">
                  <c:v>-1.1670367367112244E-2</c:v>
                </c:pt>
                <c:pt idx="3">
                  <c:v>-5.5423130266363252E-4</c:v>
                </c:pt>
                <c:pt idx="4">
                  <c:v>8.5878042385523212E-3</c:v>
                </c:pt>
                <c:pt idx="5">
                  <c:v>1.2882633574983871E-2</c:v>
                </c:pt>
                <c:pt idx="6">
                  <c:v>3.5107487966639095E-3</c:v>
                </c:pt>
                <c:pt idx="7">
                  <c:v>-1.9852229367038898E-3</c:v>
                </c:pt>
                <c:pt idx="8">
                  <c:v>1.8478700042275031E-2</c:v>
                </c:pt>
                <c:pt idx="9">
                  <c:v>2.9528107215750499E-2</c:v>
                </c:pt>
                <c:pt idx="10">
                  <c:v>2.9364988267083669E-2</c:v>
                </c:pt>
                <c:pt idx="11">
                  <c:v>3.7993571893436773E-2</c:v>
                </c:pt>
                <c:pt idx="12">
                  <c:v>3.4636672668815205E-2</c:v>
                </c:pt>
                <c:pt idx="13">
                  <c:v>3.4443896745818714E-2</c:v>
                </c:pt>
                <c:pt idx="14">
                  <c:v>3.904827966064528E-2</c:v>
                </c:pt>
                <c:pt idx="15">
                  <c:v>4.7791786508086576E-2</c:v>
                </c:pt>
                <c:pt idx="16">
                  <c:v>4.2216109035963845E-2</c:v>
                </c:pt>
                <c:pt idx="17">
                  <c:v>4.1226278520345438E-2</c:v>
                </c:pt>
                <c:pt idx="18">
                  <c:v>5.169920956421481E-2</c:v>
                </c:pt>
                <c:pt idx="19">
                  <c:v>4.2627611782592778E-2</c:v>
                </c:pt>
                <c:pt idx="20">
                  <c:v>3.635312141492486E-2</c:v>
                </c:pt>
                <c:pt idx="21">
                  <c:v>4.3185550556413377E-2</c:v>
                </c:pt>
                <c:pt idx="22">
                  <c:v>5.3359529181404186E-2</c:v>
                </c:pt>
                <c:pt idx="23">
                  <c:v>5.0490662007209863E-2</c:v>
                </c:pt>
                <c:pt idx="24">
                  <c:v>6.7993912832652104E-2</c:v>
                </c:pt>
                <c:pt idx="25">
                  <c:v>7.0407257154130543E-2</c:v>
                </c:pt>
                <c:pt idx="26">
                  <c:v>7.76008062840019E-2</c:v>
                </c:pt>
                <c:pt idx="27">
                  <c:v>8.8490602142660357E-2</c:v>
                </c:pt>
                <c:pt idx="28">
                  <c:v>9.4075875997910119E-2</c:v>
                </c:pt>
                <c:pt idx="29">
                  <c:v>0.11031853492377963</c:v>
                </c:pt>
                <c:pt idx="30">
                  <c:v>0.11250132848138428</c:v>
                </c:pt>
                <c:pt idx="31">
                  <c:v>0.11036873601174668</c:v>
                </c:pt>
                <c:pt idx="32">
                  <c:v>0.1002951637550813</c:v>
                </c:pt>
                <c:pt idx="33">
                  <c:v>9.8275986643215463E-2</c:v>
                </c:pt>
                <c:pt idx="34">
                  <c:v>0.10808740030237285</c:v>
                </c:pt>
                <c:pt idx="35">
                  <c:v>0.14546634111520351</c:v>
                </c:pt>
                <c:pt idx="36">
                  <c:v>0.15246466736316533</c:v>
                </c:pt>
                <c:pt idx="37">
                  <c:v>0.15987389265344398</c:v>
                </c:pt>
                <c:pt idx="38">
                  <c:v>0.16364822825550251</c:v>
                </c:pt>
                <c:pt idx="39">
                  <c:v>0.1613408633875264</c:v>
                </c:pt>
                <c:pt idx="40">
                  <c:v>0.18073500136359621</c:v>
                </c:pt>
                <c:pt idx="41">
                  <c:v>0.20456823304472249</c:v>
                </c:pt>
                <c:pt idx="42">
                  <c:v>0.20947974493844979</c:v>
                </c:pt>
                <c:pt idx="43">
                  <c:v>0.22255541296721182</c:v>
                </c:pt>
                <c:pt idx="44">
                  <c:v>0.17614618339929655</c:v>
                </c:pt>
                <c:pt idx="45">
                  <c:v>0.11791659528946208</c:v>
                </c:pt>
                <c:pt idx="46">
                  <c:v>0.16157344466613499</c:v>
                </c:pt>
                <c:pt idx="47">
                  <c:v>0.16744642974237833</c:v>
                </c:pt>
                <c:pt idx="48">
                  <c:v>0.13441600183344993</c:v>
                </c:pt>
                <c:pt idx="49">
                  <c:v>0.16988637758003411</c:v>
                </c:pt>
                <c:pt idx="50">
                  <c:v>0.16225410031601695</c:v>
                </c:pt>
                <c:pt idx="51">
                  <c:v>0.10394082509338798</c:v>
                </c:pt>
                <c:pt idx="52">
                  <c:v>0.130901137506233</c:v>
                </c:pt>
                <c:pt idx="53">
                  <c:v>0.11842429803872356</c:v>
                </c:pt>
                <c:pt idx="54">
                  <c:v>0.13470239804111594</c:v>
                </c:pt>
                <c:pt idx="55">
                  <c:v>0.14583280220979145</c:v>
                </c:pt>
                <c:pt idx="56">
                  <c:v>0.14495501614006989</c:v>
                </c:pt>
                <c:pt idx="57">
                  <c:v>0.1371628033496608</c:v>
                </c:pt>
                <c:pt idx="58">
                  <c:v>0.1594980000764441</c:v>
                </c:pt>
                <c:pt idx="59">
                  <c:v>0.1517783170487661</c:v>
                </c:pt>
                <c:pt idx="60">
                  <c:v>0.16312072903567509</c:v>
                </c:pt>
                <c:pt idx="61">
                  <c:v>0.15859231783663619</c:v>
                </c:pt>
                <c:pt idx="62">
                  <c:v>0.1734681915974865</c:v>
                </c:pt>
                <c:pt idx="63">
                  <c:v>0.17487041783902879</c:v>
                </c:pt>
                <c:pt idx="64">
                  <c:v>0.15622861841257829</c:v>
                </c:pt>
                <c:pt idx="65">
                  <c:v>0.13838151605751259</c:v>
                </c:pt>
                <c:pt idx="66">
                  <c:v>0.15144082817130156</c:v>
                </c:pt>
                <c:pt idx="67">
                  <c:v>0.16719053178218046</c:v>
                </c:pt>
                <c:pt idx="68">
                  <c:v>0.17328653808796157</c:v>
                </c:pt>
                <c:pt idx="69">
                  <c:v>0.19128330181640485</c:v>
                </c:pt>
                <c:pt idx="70">
                  <c:v>0.19750281177030171</c:v>
                </c:pt>
                <c:pt idx="71">
                  <c:v>0.19201327395974088</c:v>
                </c:pt>
                <c:pt idx="72">
                  <c:v>0.21060728851293598</c:v>
                </c:pt>
                <c:pt idx="73">
                  <c:v>0.21262761573741495</c:v>
                </c:pt>
                <c:pt idx="74">
                  <c:v>0.21684891891950775</c:v>
                </c:pt>
                <c:pt idx="75">
                  <c:v>0.21853559749672957</c:v>
                </c:pt>
                <c:pt idx="76">
                  <c:v>0.232524888153959</c:v>
                </c:pt>
                <c:pt idx="77">
                  <c:v>0.24511322146667269</c:v>
                </c:pt>
                <c:pt idx="78">
                  <c:v>0.23119950844047188</c:v>
                </c:pt>
                <c:pt idx="79">
                  <c:v>0.22873308844822549</c:v>
                </c:pt>
                <c:pt idx="80">
                  <c:v>0.17458426618750766</c:v>
                </c:pt>
                <c:pt idx="81">
                  <c:v>0.18117797918480916</c:v>
                </c:pt>
                <c:pt idx="82">
                  <c:v>0.14245811466991953</c:v>
                </c:pt>
                <c:pt idx="83">
                  <c:v>0.16927537711008234</c:v>
                </c:pt>
                <c:pt idx="84">
                  <c:v>0.19648527513965863</c:v>
                </c:pt>
                <c:pt idx="85">
                  <c:v>0.18078165568873006</c:v>
                </c:pt>
                <c:pt idx="86">
                  <c:v>0.14136500040824806</c:v>
                </c:pt>
                <c:pt idx="87">
                  <c:v>0.19424927454969976</c:v>
                </c:pt>
                <c:pt idx="88">
                  <c:v>0.13942209406939887</c:v>
                </c:pt>
                <c:pt idx="89">
                  <c:v>0.11937550964539856</c:v>
                </c:pt>
                <c:pt idx="90">
                  <c:v>4.6785672745607298E-2</c:v>
                </c:pt>
                <c:pt idx="91">
                  <c:v>6.8216623825251288E-2</c:v>
                </c:pt>
                <c:pt idx="92">
                  <c:v>8.1793000297529783E-2</c:v>
                </c:pt>
                <c:pt idx="93">
                  <c:v>0.10964807656640918</c:v>
                </c:pt>
                <c:pt idx="94">
                  <c:v>0.13871710158943729</c:v>
                </c:pt>
                <c:pt idx="95">
                  <c:v>0.13725497306702472</c:v>
                </c:pt>
                <c:pt idx="96">
                  <c:v>0.15621009782635698</c:v>
                </c:pt>
                <c:pt idx="97">
                  <c:v>0.1628123227749656</c:v>
                </c:pt>
                <c:pt idx="98">
                  <c:v>0.19483963587848319</c:v>
                </c:pt>
                <c:pt idx="99">
                  <c:v>0.20435705811484506</c:v>
                </c:pt>
                <c:pt idx="100">
                  <c:v>0.20080954065115741</c:v>
                </c:pt>
                <c:pt idx="101">
                  <c:v>0.17673062507190918</c:v>
                </c:pt>
                <c:pt idx="102">
                  <c:v>0.19672753944414256</c:v>
                </c:pt>
                <c:pt idx="103">
                  <c:v>0.18106084377870713</c:v>
                </c:pt>
                <c:pt idx="104">
                  <c:v>0.20160311136681175</c:v>
                </c:pt>
                <c:pt idx="105">
                  <c:v>0.22496573597220282</c:v>
                </c:pt>
                <c:pt idx="106">
                  <c:v>0.23075344082705063</c:v>
                </c:pt>
                <c:pt idx="107">
                  <c:v>0.23401876425637447</c:v>
                </c:pt>
                <c:pt idx="108">
                  <c:v>0.23308374366395723</c:v>
                </c:pt>
                <c:pt idx="109">
                  <c:v>0.23449714682005451</c:v>
                </c:pt>
                <c:pt idx="110">
                  <c:v>0.20741960397357673</c:v>
                </c:pt>
                <c:pt idx="111">
                  <c:v>0.20264483809384726</c:v>
                </c:pt>
                <c:pt idx="112">
                  <c:v>0.19106036862707954</c:v>
                </c:pt>
                <c:pt idx="113">
                  <c:v>0.15340042162401724</c:v>
                </c:pt>
                <c:pt idx="114">
                  <c:v>0.20227517820488372</c:v>
                </c:pt>
                <c:pt idx="115">
                  <c:v>0.21228678412681545</c:v>
                </c:pt>
                <c:pt idx="116">
                  <c:v>0.23326857360843922</c:v>
                </c:pt>
                <c:pt idx="117">
                  <c:v>0.22932554178014586</c:v>
                </c:pt>
                <c:pt idx="118">
                  <c:v>0.24164932962737717</c:v>
                </c:pt>
                <c:pt idx="119">
                  <c:v>0.25758998127875188</c:v>
                </c:pt>
                <c:pt idx="120">
                  <c:v>0.25077484016051432</c:v>
                </c:pt>
                <c:pt idx="121">
                  <c:v>0.25581779050116293</c:v>
                </c:pt>
                <c:pt idx="122">
                  <c:v>0.22550029238364089</c:v>
                </c:pt>
                <c:pt idx="123">
                  <c:v>0.21741127647350145</c:v>
                </c:pt>
                <c:pt idx="124">
                  <c:v>0.200814662355564</c:v>
                </c:pt>
                <c:pt idx="125">
                  <c:v>0.18738914348557745</c:v>
                </c:pt>
                <c:pt idx="126">
                  <c:v>0.2230431445629466</c:v>
                </c:pt>
                <c:pt idx="127">
                  <c:v>0.23951835262575982</c:v>
                </c:pt>
                <c:pt idx="128">
                  <c:v>0.265637319231941</c:v>
                </c:pt>
                <c:pt idx="129">
                  <c:v>0.2514344290453403</c:v>
                </c:pt>
                <c:pt idx="130">
                  <c:v>0.24848077774935851</c:v>
                </c:pt>
                <c:pt idx="131">
                  <c:v>0.23366994334588598</c:v>
                </c:pt>
                <c:pt idx="132">
                  <c:v>0.24440637175747359</c:v>
                </c:pt>
                <c:pt idx="133">
                  <c:v>0.24944388596438638</c:v>
                </c:pt>
                <c:pt idx="134">
                  <c:v>0.26502846806113745</c:v>
                </c:pt>
                <c:pt idx="135">
                  <c:v>0.27216796609058846</c:v>
                </c:pt>
                <c:pt idx="136">
                  <c:v>0.28251661370160508</c:v>
                </c:pt>
                <c:pt idx="137">
                  <c:v>0.28886243201323469</c:v>
                </c:pt>
                <c:pt idx="138">
                  <c:v>0.28341177024493525</c:v>
                </c:pt>
                <c:pt idx="139">
                  <c:v>0.2903827467311122</c:v>
                </c:pt>
                <c:pt idx="140">
                  <c:v>0.28583176928848308</c:v>
                </c:pt>
                <c:pt idx="141">
                  <c:v>0.29150803340174658</c:v>
                </c:pt>
                <c:pt idx="142">
                  <c:v>0.30924986761232587</c:v>
                </c:pt>
                <c:pt idx="143">
                  <c:v>0.3148762995680352</c:v>
                </c:pt>
                <c:pt idx="144">
                  <c:v>0.31159829136084016</c:v>
                </c:pt>
                <c:pt idx="145">
                  <c:v>0.32021004253710372</c:v>
                </c:pt>
                <c:pt idx="146">
                  <c:v>0.35204211878407521</c:v>
                </c:pt>
                <c:pt idx="147">
                  <c:v>0.34201778755782497</c:v>
                </c:pt>
                <c:pt idx="148">
                  <c:v>0.30946340984568588</c:v>
                </c:pt>
                <c:pt idx="149">
                  <c:v>0.33900260453831565</c:v>
                </c:pt>
                <c:pt idx="150">
                  <c:v>0.35308252490792813</c:v>
                </c:pt>
                <c:pt idx="151">
                  <c:v>0.34191265915970703</c:v>
                </c:pt>
                <c:pt idx="152">
                  <c:v>0.17311855736313353</c:v>
                </c:pt>
                <c:pt idx="153">
                  <c:v>0.18827604101852735</c:v>
                </c:pt>
                <c:pt idx="154">
                  <c:v>5.0837312656594857E-2</c:v>
                </c:pt>
                <c:pt idx="155">
                  <c:v>-0.11893738102317353</c:v>
                </c:pt>
                <c:pt idx="156">
                  <c:v>1.3690853902452726E-3</c:v>
                </c:pt>
                <c:pt idx="157">
                  <c:v>-3.9521815820264594E-2</c:v>
                </c:pt>
                <c:pt idx="158">
                  <c:v>9.0683183535916978E-2</c:v>
                </c:pt>
                <c:pt idx="159">
                  <c:v>0.10351457910487905</c:v>
                </c:pt>
                <c:pt idx="160">
                  <c:v>7.9408049643209244E-2</c:v>
                </c:pt>
                <c:pt idx="161">
                  <c:v>7.0315875606284939E-2</c:v>
                </c:pt>
                <c:pt idx="162">
                  <c:v>9.33852019308683E-2</c:v>
                </c:pt>
                <c:pt idx="163">
                  <c:v>5.4059065963138142E-2</c:v>
                </c:pt>
                <c:pt idx="164">
                  <c:v>0.10101142677966446</c:v>
                </c:pt>
                <c:pt idx="165">
                  <c:v>0.15145396991979831</c:v>
                </c:pt>
                <c:pt idx="166">
                  <c:v>0.22947042243025573</c:v>
                </c:pt>
                <c:pt idx="167">
                  <c:v>0.15713349990569436</c:v>
                </c:pt>
                <c:pt idx="168">
                  <c:v>0.15830844964077739</c:v>
                </c:pt>
                <c:pt idx="169">
                  <c:v>0.12193792980297036</c:v>
                </c:pt>
                <c:pt idx="170">
                  <c:v>0.16605508694801752</c:v>
                </c:pt>
                <c:pt idx="171">
                  <c:v>0.17609506557515187</c:v>
                </c:pt>
                <c:pt idx="172">
                  <c:v>0.21914035549639888</c:v>
                </c:pt>
                <c:pt idx="173">
                  <c:v>0.20794640865395264</c:v>
                </c:pt>
                <c:pt idx="174">
                  <c:v>0.21605064014869768</c:v>
                </c:pt>
                <c:pt idx="175">
                  <c:v>0.26338796168407796</c:v>
                </c:pt>
                <c:pt idx="176">
                  <c:v>0.28334020612961086</c:v>
                </c:pt>
                <c:pt idx="177">
                  <c:v>0.27882285445817767</c:v>
                </c:pt>
                <c:pt idx="178">
                  <c:v>0.30717671626054277</c:v>
                </c:pt>
                <c:pt idx="179">
                  <c:v>0.29102369764276714</c:v>
                </c:pt>
                <c:pt idx="180">
                  <c:v>0.27908797428123489</c:v>
                </c:pt>
                <c:pt idx="181">
                  <c:v>0.28272174739597067</c:v>
                </c:pt>
                <c:pt idx="182">
                  <c:v>0.26747806119314887</c:v>
                </c:pt>
                <c:pt idx="183">
                  <c:v>0.28816795405004147</c:v>
                </c:pt>
                <c:pt idx="184">
                  <c:v>0.34001464494428446</c:v>
                </c:pt>
                <c:pt idx="185">
                  <c:v>0.34198731446470321</c:v>
                </c:pt>
                <c:pt idx="186">
                  <c:v>0.33823959775092272</c:v>
                </c:pt>
                <c:pt idx="187">
                  <c:v>0.25692916542081035</c:v>
                </c:pt>
                <c:pt idx="188">
                  <c:v>0.32759661074865254</c:v>
                </c:pt>
                <c:pt idx="189">
                  <c:v>0.38009108475450804</c:v>
                </c:pt>
                <c:pt idx="190">
                  <c:v>0.36968718142937451</c:v>
                </c:pt>
                <c:pt idx="191">
                  <c:v>0.39716063831507165</c:v>
                </c:pt>
                <c:pt idx="192">
                  <c:v>0.40696407385404965</c:v>
                </c:pt>
                <c:pt idx="193">
                  <c:v>0.39994356007515619</c:v>
                </c:pt>
                <c:pt idx="194">
                  <c:v>0.40094494342306097</c:v>
                </c:pt>
                <c:pt idx="195">
                  <c:v>0.39759586580268591</c:v>
                </c:pt>
                <c:pt idx="196">
                  <c:v>0.41265542917765075</c:v>
                </c:pt>
                <c:pt idx="197">
                  <c:v>0.4339265146040876</c:v>
                </c:pt>
                <c:pt idx="198">
                  <c:v>0.43052329784308019</c:v>
                </c:pt>
                <c:pt idx="199">
                  <c:v>0.43214723169829528</c:v>
                </c:pt>
                <c:pt idx="200">
                  <c:v>0.3802761788196265</c:v>
                </c:pt>
                <c:pt idx="201">
                  <c:v>0.43764133222778856</c:v>
                </c:pt>
                <c:pt idx="202">
                  <c:v>0.45403782675106363</c:v>
                </c:pt>
                <c:pt idx="203">
                  <c:v>0.45547480092714054</c:v>
                </c:pt>
                <c:pt idx="204">
                  <c:v>0.42980977943717469</c:v>
                </c:pt>
                <c:pt idx="205">
                  <c:v>0.45838126266939705</c:v>
                </c:pt>
                <c:pt idx="206">
                  <c:v>0.51644819439104461</c:v>
                </c:pt>
                <c:pt idx="207">
                  <c:v>0.5136907581761887</c:v>
                </c:pt>
                <c:pt idx="208">
                  <c:v>0.54452202124043914</c:v>
                </c:pt>
                <c:pt idx="209">
                  <c:v>0.55234002701808782</c:v>
                </c:pt>
                <c:pt idx="210">
                  <c:v>0.57798788765399833</c:v>
                </c:pt>
                <c:pt idx="211">
                  <c:v>0.59651139317695168</c:v>
                </c:pt>
                <c:pt idx="212">
                  <c:v>0.59724478211899834</c:v>
                </c:pt>
                <c:pt idx="213">
                  <c:v>0.59916135045977059</c:v>
                </c:pt>
                <c:pt idx="214">
                  <c:v>0.6393930051640575</c:v>
                </c:pt>
                <c:pt idx="215">
                  <c:v>0.62725775612992862</c:v>
                </c:pt>
                <c:pt idx="216">
                  <c:v>0.60960040977883567</c:v>
                </c:pt>
                <c:pt idx="217">
                  <c:v>0.62392860214931511</c:v>
                </c:pt>
                <c:pt idx="218">
                  <c:v>0.62260585665487445</c:v>
                </c:pt>
                <c:pt idx="219">
                  <c:v>0.61368426402269671</c:v>
                </c:pt>
                <c:pt idx="220">
                  <c:v>0.55363654211915514</c:v>
                </c:pt>
                <c:pt idx="221">
                  <c:v>0.59648982332496892</c:v>
                </c:pt>
                <c:pt idx="222">
                  <c:v>0.60712031979681957</c:v>
                </c:pt>
                <c:pt idx="223">
                  <c:v>0.60581156570879635</c:v>
                </c:pt>
                <c:pt idx="224">
                  <c:v>0.59541070605956925</c:v>
                </c:pt>
                <c:pt idx="225">
                  <c:v>0.61103019819664284</c:v>
                </c:pt>
                <c:pt idx="226">
                  <c:v>0.59965550899099429</c:v>
                </c:pt>
                <c:pt idx="227">
                  <c:v>0.6129687556285035</c:v>
                </c:pt>
                <c:pt idx="228">
                  <c:v>0.63651903864487536</c:v>
                </c:pt>
                <c:pt idx="229">
                  <c:v>0.61771230496443064</c:v>
                </c:pt>
                <c:pt idx="230">
                  <c:v>0.63279118408245383</c:v>
                </c:pt>
                <c:pt idx="231">
                  <c:v>0.62893591297359763</c:v>
                </c:pt>
                <c:pt idx="232">
                  <c:v>0.59299706547578968</c:v>
                </c:pt>
                <c:pt idx="233">
                  <c:v>0.5835136071968352</c:v>
                </c:pt>
                <c:pt idx="234">
                  <c:v>0.58899981485143393</c:v>
                </c:pt>
                <c:pt idx="235">
                  <c:v>0.56855486244198272</c:v>
                </c:pt>
                <c:pt idx="236">
                  <c:v>0.59427487552542901</c:v>
                </c:pt>
                <c:pt idx="237">
                  <c:v>0.62867015730456344</c:v>
                </c:pt>
                <c:pt idx="238">
                  <c:v>0.66150913408606926</c:v>
                </c:pt>
                <c:pt idx="239">
                  <c:v>0.66805290173125798</c:v>
                </c:pt>
                <c:pt idx="240">
                  <c:v>0.7099489664289409</c:v>
                </c:pt>
                <c:pt idx="241">
                  <c:v>0.69877316285752111</c:v>
                </c:pt>
                <c:pt idx="242">
                  <c:v>0.67940492687085796</c:v>
                </c:pt>
                <c:pt idx="243">
                  <c:v>0.64946739633444239</c:v>
                </c:pt>
                <c:pt idx="244">
                  <c:v>0.63510423103777436</c:v>
                </c:pt>
                <c:pt idx="245">
                  <c:v>0.69135298284941316</c:v>
                </c:pt>
                <c:pt idx="246">
                  <c:v>0.66115648412508299</c:v>
                </c:pt>
                <c:pt idx="247">
                  <c:v>0.68913094711406164</c:v>
                </c:pt>
                <c:pt idx="248">
                  <c:v>0.71424792107817137</c:v>
                </c:pt>
                <c:pt idx="249">
                  <c:v>0.70215422842165265</c:v>
                </c:pt>
                <c:pt idx="250">
                  <c:v>0.67909898713355332</c:v>
                </c:pt>
                <c:pt idx="251">
                  <c:v>0.61229340754569828</c:v>
                </c:pt>
                <c:pt idx="252">
                  <c:v>0.61840988250207785</c:v>
                </c:pt>
                <c:pt idx="253">
                  <c:v>0.63353787548132101</c:v>
                </c:pt>
                <c:pt idx="254">
                  <c:v>0.61349365416841239</c:v>
                </c:pt>
                <c:pt idx="255">
                  <c:v>0.59242937520037264</c:v>
                </c:pt>
                <c:pt idx="256">
                  <c:v>0.6040721636216555</c:v>
                </c:pt>
                <c:pt idx="257">
                  <c:v>0.6089930804459851</c:v>
                </c:pt>
                <c:pt idx="258">
                  <c:v>0.58356773935014905</c:v>
                </c:pt>
                <c:pt idx="259">
                  <c:v>0.67180724382037038</c:v>
                </c:pt>
                <c:pt idx="260">
                  <c:v>0.67702210315626665</c:v>
                </c:pt>
              </c:numCache>
            </c:numRef>
          </c:val>
          <c:smooth val="0"/>
          <c:extLst>
            <c:ext xmlns:c16="http://schemas.microsoft.com/office/drawing/2014/chart" uri="{C3380CC4-5D6E-409C-BE32-E72D297353CC}">
              <c16:uniqueId val="{00000002-9678-4776-94A8-B2115644D18B}"/>
            </c:ext>
          </c:extLst>
        </c:ser>
        <c:ser>
          <c:idx val="3"/>
          <c:order val="3"/>
          <c:tx>
            <c:strRef>
              <c:f>'Price Data'!$V$5</c:f>
              <c:strCache>
                <c:ptCount val="1"/>
                <c:pt idx="0">
                  <c:v>S&amp;P Retail Select Industry Index</c:v>
                </c:pt>
              </c:strCache>
            </c:strRef>
          </c:tx>
          <c:spPr>
            <a:ln w="22225">
              <a:solidFill>
                <a:srgbClr val="FFC000"/>
              </a:solidFill>
            </a:ln>
          </c:spPr>
          <c:marker>
            <c:symbol val="none"/>
          </c:marker>
          <c:dPt>
            <c:idx val="58"/>
            <c:bubble3D val="0"/>
            <c:extLst>
              <c:ext xmlns:c16="http://schemas.microsoft.com/office/drawing/2014/chart" uri="{C3380CC4-5D6E-409C-BE32-E72D297353CC}">
                <c16:uniqueId val="{00000125-7282-40BE-8C08-A2909BC46C19}"/>
              </c:ext>
            </c:extLst>
          </c:dPt>
          <c:dPt>
            <c:idx val="60"/>
            <c:bubble3D val="0"/>
            <c:extLst>
              <c:ext xmlns:c16="http://schemas.microsoft.com/office/drawing/2014/chart" uri="{C3380CC4-5D6E-409C-BE32-E72D297353CC}">
                <c16:uniqueId val="{00000126-7282-40BE-8C08-A2909BC46C19}"/>
              </c:ext>
            </c:extLst>
          </c:dPt>
          <c:dPt>
            <c:idx val="62"/>
            <c:bubble3D val="0"/>
            <c:extLst>
              <c:ext xmlns:c16="http://schemas.microsoft.com/office/drawing/2014/chart" uri="{C3380CC4-5D6E-409C-BE32-E72D297353CC}">
                <c16:uniqueId val="{00000127-7282-40BE-8C08-A2909BC46C19}"/>
              </c:ext>
            </c:extLst>
          </c:dPt>
          <c:dPt>
            <c:idx val="80"/>
            <c:bubble3D val="0"/>
            <c:extLst>
              <c:ext xmlns:c16="http://schemas.microsoft.com/office/drawing/2014/chart" uri="{C3380CC4-5D6E-409C-BE32-E72D297353CC}">
                <c16:uniqueId val="{00000128-7282-40BE-8C08-A2909BC46C19}"/>
              </c:ext>
            </c:extLst>
          </c:dPt>
          <c:dPt>
            <c:idx val="137"/>
            <c:bubble3D val="0"/>
            <c:extLst>
              <c:ext xmlns:c16="http://schemas.microsoft.com/office/drawing/2014/chart" uri="{C3380CC4-5D6E-409C-BE32-E72D297353CC}">
                <c16:uniqueId val="{00000129-7282-40BE-8C08-A2909BC46C19}"/>
              </c:ext>
            </c:extLst>
          </c:dPt>
          <c:dPt>
            <c:idx val="144"/>
            <c:bubble3D val="0"/>
            <c:extLst>
              <c:ext xmlns:c16="http://schemas.microsoft.com/office/drawing/2014/chart" uri="{C3380CC4-5D6E-409C-BE32-E72D297353CC}">
                <c16:uniqueId val="{0000012A-7282-40BE-8C08-A2909BC46C19}"/>
              </c:ext>
            </c:extLst>
          </c:dPt>
          <c:dPt>
            <c:idx val="145"/>
            <c:bubble3D val="0"/>
            <c:extLst>
              <c:ext xmlns:c16="http://schemas.microsoft.com/office/drawing/2014/chart" uri="{C3380CC4-5D6E-409C-BE32-E72D297353CC}">
                <c16:uniqueId val="{0000012B-7282-40BE-8C08-A2909BC46C19}"/>
              </c:ext>
            </c:extLst>
          </c:dPt>
          <c:dPt>
            <c:idx val="148"/>
            <c:bubble3D val="0"/>
            <c:extLst>
              <c:ext xmlns:c16="http://schemas.microsoft.com/office/drawing/2014/chart" uri="{C3380CC4-5D6E-409C-BE32-E72D297353CC}">
                <c16:uniqueId val="{0000012C-7282-40BE-8C08-A2909BC46C19}"/>
              </c:ext>
            </c:extLst>
          </c:dPt>
          <c:dPt>
            <c:idx val="149"/>
            <c:bubble3D val="0"/>
            <c:extLst>
              <c:ext xmlns:c16="http://schemas.microsoft.com/office/drawing/2014/chart" uri="{C3380CC4-5D6E-409C-BE32-E72D297353CC}">
                <c16:uniqueId val="{0000012D-7282-40BE-8C08-A2909BC46C19}"/>
              </c:ext>
            </c:extLst>
          </c:dPt>
          <c:dPt>
            <c:idx val="150"/>
            <c:bubble3D val="0"/>
            <c:extLst>
              <c:ext xmlns:c16="http://schemas.microsoft.com/office/drawing/2014/chart" uri="{C3380CC4-5D6E-409C-BE32-E72D297353CC}">
                <c16:uniqueId val="{0000012E-7282-40BE-8C08-A2909BC46C19}"/>
              </c:ext>
            </c:extLst>
          </c:dPt>
          <c:dPt>
            <c:idx val="151"/>
            <c:bubble3D val="0"/>
            <c:extLst>
              <c:ext xmlns:c16="http://schemas.microsoft.com/office/drawing/2014/chart" uri="{C3380CC4-5D6E-409C-BE32-E72D297353CC}">
                <c16:uniqueId val="{0000012F-7282-40BE-8C08-A2909BC46C19}"/>
              </c:ext>
            </c:extLst>
          </c:dPt>
          <c:dPt>
            <c:idx val="152"/>
            <c:bubble3D val="0"/>
            <c:extLst>
              <c:ext xmlns:c16="http://schemas.microsoft.com/office/drawing/2014/chart" uri="{C3380CC4-5D6E-409C-BE32-E72D297353CC}">
                <c16:uniqueId val="{00000130-7282-40BE-8C08-A2909BC46C19}"/>
              </c:ext>
            </c:extLst>
          </c:dPt>
          <c:dPt>
            <c:idx val="154"/>
            <c:bubble3D val="0"/>
            <c:extLst>
              <c:ext xmlns:c16="http://schemas.microsoft.com/office/drawing/2014/chart" uri="{C3380CC4-5D6E-409C-BE32-E72D297353CC}">
                <c16:uniqueId val="{00000131-7282-40BE-8C08-A2909BC46C19}"/>
              </c:ext>
            </c:extLst>
          </c:dPt>
          <c:dPt>
            <c:idx val="155"/>
            <c:bubble3D val="0"/>
            <c:extLst>
              <c:ext xmlns:c16="http://schemas.microsoft.com/office/drawing/2014/chart" uri="{C3380CC4-5D6E-409C-BE32-E72D297353CC}">
                <c16:uniqueId val="{00000132-7282-40BE-8C08-A2909BC46C19}"/>
              </c:ext>
            </c:extLst>
          </c:dPt>
          <c:dPt>
            <c:idx val="157"/>
            <c:bubble3D val="0"/>
            <c:extLst>
              <c:ext xmlns:c16="http://schemas.microsoft.com/office/drawing/2014/chart" uri="{C3380CC4-5D6E-409C-BE32-E72D297353CC}">
                <c16:uniqueId val="{00000133-7282-40BE-8C08-A2909BC46C19}"/>
              </c:ext>
            </c:extLst>
          </c:dPt>
          <c:dPt>
            <c:idx val="159"/>
            <c:bubble3D val="0"/>
            <c:extLst>
              <c:ext xmlns:c16="http://schemas.microsoft.com/office/drawing/2014/chart" uri="{C3380CC4-5D6E-409C-BE32-E72D297353CC}">
                <c16:uniqueId val="{00000134-7282-40BE-8C08-A2909BC46C19}"/>
              </c:ext>
            </c:extLst>
          </c:dPt>
          <c:dPt>
            <c:idx val="162"/>
            <c:bubble3D val="0"/>
            <c:extLst>
              <c:ext xmlns:c16="http://schemas.microsoft.com/office/drawing/2014/chart" uri="{C3380CC4-5D6E-409C-BE32-E72D297353CC}">
                <c16:uniqueId val="{00000135-7282-40BE-8C08-A2909BC46C19}"/>
              </c:ext>
            </c:extLst>
          </c:dPt>
          <c:dPt>
            <c:idx val="163"/>
            <c:bubble3D val="0"/>
            <c:extLst>
              <c:ext xmlns:c16="http://schemas.microsoft.com/office/drawing/2014/chart" uri="{C3380CC4-5D6E-409C-BE32-E72D297353CC}">
                <c16:uniqueId val="{00000136-7282-40BE-8C08-A2909BC46C19}"/>
              </c:ext>
            </c:extLst>
          </c:dPt>
          <c:dPt>
            <c:idx val="164"/>
            <c:bubble3D val="0"/>
            <c:extLst>
              <c:ext xmlns:c16="http://schemas.microsoft.com/office/drawing/2014/chart" uri="{C3380CC4-5D6E-409C-BE32-E72D297353CC}">
                <c16:uniqueId val="{00000137-7282-40BE-8C08-A2909BC46C19}"/>
              </c:ext>
            </c:extLst>
          </c:dPt>
          <c:dPt>
            <c:idx val="165"/>
            <c:bubble3D val="0"/>
            <c:extLst>
              <c:ext xmlns:c16="http://schemas.microsoft.com/office/drawing/2014/chart" uri="{C3380CC4-5D6E-409C-BE32-E72D297353CC}">
                <c16:uniqueId val="{00000138-7282-40BE-8C08-A2909BC46C19}"/>
              </c:ext>
            </c:extLst>
          </c:dPt>
          <c:dPt>
            <c:idx val="166"/>
            <c:bubble3D val="0"/>
            <c:extLst>
              <c:ext xmlns:c16="http://schemas.microsoft.com/office/drawing/2014/chart" uri="{C3380CC4-5D6E-409C-BE32-E72D297353CC}">
                <c16:uniqueId val="{00000139-7282-40BE-8C08-A2909BC46C19}"/>
              </c:ext>
            </c:extLst>
          </c:dPt>
          <c:dPt>
            <c:idx val="171"/>
            <c:bubble3D val="0"/>
            <c:extLst>
              <c:ext xmlns:c16="http://schemas.microsoft.com/office/drawing/2014/chart" uri="{C3380CC4-5D6E-409C-BE32-E72D297353CC}">
                <c16:uniqueId val="{0000013A-7282-40BE-8C08-A2909BC46C19}"/>
              </c:ext>
            </c:extLst>
          </c:dPt>
          <c:dPt>
            <c:idx val="175"/>
            <c:bubble3D val="0"/>
            <c:extLst>
              <c:ext xmlns:c16="http://schemas.microsoft.com/office/drawing/2014/chart" uri="{C3380CC4-5D6E-409C-BE32-E72D297353CC}">
                <c16:uniqueId val="{0000013B-7282-40BE-8C08-A2909BC46C19}"/>
              </c:ext>
            </c:extLst>
          </c:dPt>
          <c:dPt>
            <c:idx val="176"/>
            <c:bubble3D val="0"/>
            <c:extLst>
              <c:ext xmlns:c16="http://schemas.microsoft.com/office/drawing/2014/chart" uri="{C3380CC4-5D6E-409C-BE32-E72D297353CC}">
                <c16:uniqueId val="{0000013C-7282-40BE-8C08-A2909BC46C19}"/>
              </c:ext>
            </c:extLst>
          </c:dPt>
          <c:dPt>
            <c:idx val="187"/>
            <c:bubble3D val="0"/>
            <c:extLst>
              <c:ext xmlns:c16="http://schemas.microsoft.com/office/drawing/2014/chart" uri="{C3380CC4-5D6E-409C-BE32-E72D297353CC}">
                <c16:uniqueId val="{0000013D-7282-40BE-8C08-A2909BC46C19}"/>
              </c:ext>
            </c:extLst>
          </c:dPt>
          <c:dPt>
            <c:idx val="188"/>
            <c:bubble3D val="0"/>
            <c:extLst>
              <c:ext xmlns:c16="http://schemas.microsoft.com/office/drawing/2014/chart" uri="{C3380CC4-5D6E-409C-BE32-E72D297353CC}">
                <c16:uniqueId val="{0000013E-7282-40BE-8C08-A2909BC46C19}"/>
              </c:ext>
            </c:extLst>
          </c:dPt>
          <c:dPt>
            <c:idx val="194"/>
            <c:bubble3D val="0"/>
            <c:extLst>
              <c:ext xmlns:c16="http://schemas.microsoft.com/office/drawing/2014/chart" uri="{C3380CC4-5D6E-409C-BE32-E72D297353CC}">
                <c16:uniqueId val="{0000013F-7282-40BE-8C08-A2909BC46C19}"/>
              </c:ext>
            </c:extLst>
          </c:dPt>
          <c:dPt>
            <c:idx val="195"/>
            <c:bubble3D val="0"/>
            <c:extLst>
              <c:ext xmlns:c16="http://schemas.microsoft.com/office/drawing/2014/chart" uri="{C3380CC4-5D6E-409C-BE32-E72D297353CC}">
                <c16:uniqueId val="{00000140-7282-40BE-8C08-A2909BC46C19}"/>
              </c:ext>
            </c:extLst>
          </c:dPt>
          <c:dPt>
            <c:idx val="196"/>
            <c:bubble3D val="0"/>
            <c:extLst>
              <c:ext xmlns:c16="http://schemas.microsoft.com/office/drawing/2014/chart" uri="{C3380CC4-5D6E-409C-BE32-E72D297353CC}">
                <c16:uniqueId val="{00000141-7282-40BE-8C08-A2909BC46C19}"/>
              </c:ext>
            </c:extLst>
          </c:dPt>
          <c:dPt>
            <c:idx val="198"/>
            <c:bubble3D val="0"/>
            <c:extLst>
              <c:ext xmlns:c16="http://schemas.microsoft.com/office/drawing/2014/chart" uri="{C3380CC4-5D6E-409C-BE32-E72D297353CC}">
                <c16:uniqueId val="{00000142-7282-40BE-8C08-A2909BC46C19}"/>
              </c:ext>
            </c:extLst>
          </c:dPt>
          <c:dPt>
            <c:idx val="199"/>
            <c:bubble3D val="0"/>
            <c:extLst>
              <c:ext xmlns:c16="http://schemas.microsoft.com/office/drawing/2014/chart" uri="{C3380CC4-5D6E-409C-BE32-E72D297353CC}">
                <c16:uniqueId val="{00000143-7282-40BE-8C08-A2909BC46C19}"/>
              </c:ext>
            </c:extLst>
          </c:dPt>
          <c:dPt>
            <c:idx val="200"/>
            <c:bubble3D val="0"/>
            <c:extLst>
              <c:ext xmlns:c16="http://schemas.microsoft.com/office/drawing/2014/chart" uri="{C3380CC4-5D6E-409C-BE32-E72D297353CC}">
                <c16:uniqueId val="{00000144-7282-40BE-8C08-A2909BC46C19}"/>
              </c:ext>
            </c:extLst>
          </c:dPt>
          <c:dPt>
            <c:idx val="204"/>
            <c:bubble3D val="0"/>
            <c:extLst>
              <c:ext xmlns:c16="http://schemas.microsoft.com/office/drawing/2014/chart" uri="{C3380CC4-5D6E-409C-BE32-E72D297353CC}">
                <c16:uniqueId val="{00000145-7282-40BE-8C08-A2909BC46C19}"/>
              </c:ext>
            </c:extLst>
          </c:dPt>
          <c:dPt>
            <c:idx val="205"/>
            <c:bubble3D val="0"/>
            <c:extLst>
              <c:ext xmlns:c16="http://schemas.microsoft.com/office/drawing/2014/chart" uri="{C3380CC4-5D6E-409C-BE32-E72D297353CC}">
                <c16:uniqueId val="{00000146-7282-40BE-8C08-A2909BC46C19}"/>
              </c:ext>
            </c:extLst>
          </c:dPt>
          <c:dPt>
            <c:idx val="206"/>
            <c:bubble3D val="0"/>
            <c:extLst>
              <c:ext xmlns:c16="http://schemas.microsoft.com/office/drawing/2014/chart" uri="{C3380CC4-5D6E-409C-BE32-E72D297353CC}">
                <c16:uniqueId val="{00000147-7282-40BE-8C08-A2909BC46C19}"/>
              </c:ext>
            </c:extLst>
          </c:dPt>
          <c:dPt>
            <c:idx val="207"/>
            <c:bubble3D val="0"/>
            <c:extLst>
              <c:ext xmlns:c16="http://schemas.microsoft.com/office/drawing/2014/chart" uri="{C3380CC4-5D6E-409C-BE32-E72D297353CC}">
                <c16:uniqueId val="{00000148-7282-40BE-8C08-A2909BC46C19}"/>
              </c:ext>
            </c:extLst>
          </c:dPt>
          <c:dPt>
            <c:idx val="208"/>
            <c:bubble3D val="0"/>
            <c:extLst>
              <c:ext xmlns:c16="http://schemas.microsoft.com/office/drawing/2014/chart" uri="{C3380CC4-5D6E-409C-BE32-E72D297353CC}">
                <c16:uniqueId val="{00000149-7282-40BE-8C08-A2909BC46C19}"/>
              </c:ext>
            </c:extLst>
          </c:dPt>
          <c:dPt>
            <c:idx val="209"/>
            <c:bubble3D val="0"/>
            <c:extLst>
              <c:ext xmlns:c16="http://schemas.microsoft.com/office/drawing/2014/chart" uri="{C3380CC4-5D6E-409C-BE32-E72D297353CC}">
                <c16:uniqueId val="{0000014A-7282-40BE-8C08-A2909BC46C19}"/>
              </c:ext>
            </c:extLst>
          </c:dPt>
          <c:dPt>
            <c:idx val="210"/>
            <c:bubble3D val="0"/>
            <c:extLst>
              <c:ext xmlns:c16="http://schemas.microsoft.com/office/drawing/2014/chart" uri="{C3380CC4-5D6E-409C-BE32-E72D297353CC}">
                <c16:uniqueId val="{0000014B-7282-40BE-8C08-A2909BC46C19}"/>
              </c:ext>
            </c:extLst>
          </c:dPt>
          <c:dPt>
            <c:idx val="211"/>
            <c:bubble3D val="0"/>
            <c:extLst>
              <c:ext xmlns:c16="http://schemas.microsoft.com/office/drawing/2014/chart" uri="{C3380CC4-5D6E-409C-BE32-E72D297353CC}">
                <c16:uniqueId val="{0000014C-7282-40BE-8C08-A2909BC46C19}"/>
              </c:ext>
            </c:extLst>
          </c:dPt>
          <c:dPt>
            <c:idx val="212"/>
            <c:bubble3D val="0"/>
            <c:extLst>
              <c:ext xmlns:c16="http://schemas.microsoft.com/office/drawing/2014/chart" uri="{C3380CC4-5D6E-409C-BE32-E72D297353CC}">
                <c16:uniqueId val="{0000014D-7282-40BE-8C08-A2909BC46C19}"/>
              </c:ext>
            </c:extLst>
          </c:dPt>
          <c:dPt>
            <c:idx val="213"/>
            <c:bubble3D val="0"/>
            <c:extLst>
              <c:ext xmlns:c16="http://schemas.microsoft.com/office/drawing/2014/chart" uri="{C3380CC4-5D6E-409C-BE32-E72D297353CC}">
                <c16:uniqueId val="{0000014E-7282-40BE-8C08-A2909BC46C19}"/>
              </c:ext>
            </c:extLst>
          </c:dPt>
          <c:dPt>
            <c:idx val="214"/>
            <c:bubble3D val="0"/>
            <c:extLst>
              <c:ext xmlns:c16="http://schemas.microsoft.com/office/drawing/2014/chart" uri="{C3380CC4-5D6E-409C-BE32-E72D297353CC}">
                <c16:uniqueId val="{0000014F-7282-40BE-8C08-A2909BC46C19}"/>
              </c:ext>
            </c:extLst>
          </c:dPt>
          <c:dPt>
            <c:idx val="215"/>
            <c:bubble3D val="0"/>
            <c:extLst>
              <c:ext xmlns:c16="http://schemas.microsoft.com/office/drawing/2014/chart" uri="{C3380CC4-5D6E-409C-BE32-E72D297353CC}">
                <c16:uniqueId val="{00000150-7282-40BE-8C08-A2909BC46C19}"/>
              </c:ext>
            </c:extLst>
          </c:dPt>
          <c:dPt>
            <c:idx val="216"/>
            <c:bubble3D val="0"/>
            <c:extLst>
              <c:ext xmlns:c16="http://schemas.microsoft.com/office/drawing/2014/chart" uri="{C3380CC4-5D6E-409C-BE32-E72D297353CC}">
                <c16:uniqueId val="{00000151-7282-40BE-8C08-A2909BC46C19}"/>
              </c:ext>
            </c:extLst>
          </c:dPt>
          <c:dPt>
            <c:idx val="217"/>
            <c:bubble3D val="0"/>
            <c:extLst>
              <c:ext xmlns:c16="http://schemas.microsoft.com/office/drawing/2014/chart" uri="{C3380CC4-5D6E-409C-BE32-E72D297353CC}">
                <c16:uniqueId val="{00000152-7282-40BE-8C08-A2909BC46C19}"/>
              </c:ext>
            </c:extLst>
          </c:dPt>
          <c:dPt>
            <c:idx val="220"/>
            <c:bubble3D val="0"/>
            <c:extLst>
              <c:ext xmlns:c16="http://schemas.microsoft.com/office/drawing/2014/chart" uri="{C3380CC4-5D6E-409C-BE32-E72D297353CC}">
                <c16:uniqueId val="{00000153-7282-40BE-8C08-A2909BC46C19}"/>
              </c:ext>
            </c:extLst>
          </c:dPt>
          <c:dPt>
            <c:idx val="221"/>
            <c:bubble3D val="0"/>
            <c:extLst>
              <c:ext xmlns:c16="http://schemas.microsoft.com/office/drawing/2014/chart" uri="{C3380CC4-5D6E-409C-BE32-E72D297353CC}">
                <c16:uniqueId val="{00000154-7282-40BE-8C08-A2909BC46C19}"/>
              </c:ext>
            </c:extLst>
          </c:dPt>
          <c:dPt>
            <c:idx val="222"/>
            <c:bubble3D val="0"/>
            <c:extLst>
              <c:ext xmlns:c16="http://schemas.microsoft.com/office/drawing/2014/chart" uri="{C3380CC4-5D6E-409C-BE32-E72D297353CC}">
                <c16:uniqueId val="{00000155-7282-40BE-8C08-A2909BC46C19}"/>
              </c:ext>
            </c:extLst>
          </c:dPt>
          <c:dPt>
            <c:idx val="223"/>
            <c:bubble3D val="0"/>
            <c:extLst>
              <c:ext xmlns:c16="http://schemas.microsoft.com/office/drawing/2014/chart" uri="{C3380CC4-5D6E-409C-BE32-E72D297353CC}">
                <c16:uniqueId val="{00000156-7282-40BE-8C08-A2909BC46C19}"/>
              </c:ext>
            </c:extLst>
          </c:dPt>
          <c:dPt>
            <c:idx val="224"/>
            <c:bubble3D val="0"/>
            <c:extLst>
              <c:ext xmlns:c16="http://schemas.microsoft.com/office/drawing/2014/chart" uri="{C3380CC4-5D6E-409C-BE32-E72D297353CC}">
                <c16:uniqueId val="{00000157-7282-40BE-8C08-A2909BC46C19}"/>
              </c:ext>
            </c:extLst>
          </c:dPt>
          <c:dPt>
            <c:idx val="225"/>
            <c:bubble3D val="0"/>
            <c:extLst>
              <c:ext xmlns:c16="http://schemas.microsoft.com/office/drawing/2014/chart" uri="{C3380CC4-5D6E-409C-BE32-E72D297353CC}">
                <c16:uniqueId val="{00000158-7282-40BE-8C08-A2909BC46C19}"/>
              </c:ext>
            </c:extLst>
          </c:dPt>
          <c:dPt>
            <c:idx val="226"/>
            <c:bubble3D val="0"/>
            <c:extLst>
              <c:ext xmlns:c16="http://schemas.microsoft.com/office/drawing/2014/chart" uri="{C3380CC4-5D6E-409C-BE32-E72D297353CC}">
                <c16:uniqueId val="{00000159-7282-40BE-8C08-A2909BC46C19}"/>
              </c:ext>
            </c:extLst>
          </c:dPt>
          <c:dPt>
            <c:idx val="227"/>
            <c:bubble3D val="0"/>
            <c:extLst>
              <c:ext xmlns:c16="http://schemas.microsoft.com/office/drawing/2014/chart" uri="{C3380CC4-5D6E-409C-BE32-E72D297353CC}">
                <c16:uniqueId val="{0000015A-7282-40BE-8C08-A2909BC46C19}"/>
              </c:ext>
            </c:extLst>
          </c:dPt>
          <c:dPt>
            <c:idx val="228"/>
            <c:bubble3D val="0"/>
            <c:extLst>
              <c:ext xmlns:c16="http://schemas.microsoft.com/office/drawing/2014/chart" uri="{C3380CC4-5D6E-409C-BE32-E72D297353CC}">
                <c16:uniqueId val="{0000015B-C6F2-4315-86EA-026304593BF0}"/>
              </c:ext>
            </c:extLst>
          </c:dPt>
          <c:dPt>
            <c:idx val="229"/>
            <c:bubble3D val="0"/>
            <c:extLst>
              <c:ext xmlns:c16="http://schemas.microsoft.com/office/drawing/2014/chart" uri="{C3380CC4-5D6E-409C-BE32-E72D297353CC}">
                <c16:uniqueId val="{0000015B-7282-40BE-8C08-A2909BC46C19}"/>
              </c:ext>
            </c:extLst>
          </c:dPt>
          <c:dPt>
            <c:idx val="230"/>
            <c:bubble3D val="0"/>
            <c:extLst>
              <c:ext xmlns:c16="http://schemas.microsoft.com/office/drawing/2014/chart" uri="{C3380CC4-5D6E-409C-BE32-E72D297353CC}">
                <c16:uniqueId val="{0000015C-7282-40BE-8C08-A2909BC46C19}"/>
              </c:ext>
            </c:extLst>
          </c:dPt>
          <c:dPt>
            <c:idx val="231"/>
            <c:bubble3D val="0"/>
            <c:extLst>
              <c:ext xmlns:c16="http://schemas.microsoft.com/office/drawing/2014/chart" uri="{C3380CC4-5D6E-409C-BE32-E72D297353CC}">
                <c16:uniqueId val="{0000015D-7282-40BE-8C08-A2909BC46C19}"/>
              </c:ext>
            </c:extLst>
          </c:dPt>
          <c:dPt>
            <c:idx val="233"/>
            <c:bubble3D val="0"/>
            <c:extLst>
              <c:ext xmlns:c16="http://schemas.microsoft.com/office/drawing/2014/chart" uri="{C3380CC4-5D6E-409C-BE32-E72D297353CC}">
                <c16:uniqueId val="{0000015E-7282-40BE-8C08-A2909BC46C19}"/>
              </c:ext>
            </c:extLst>
          </c:dPt>
          <c:dPt>
            <c:idx val="234"/>
            <c:bubble3D val="0"/>
            <c:extLst>
              <c:ext xmlns:c16="http://schemas.microsoft.com/office/drawing/2014/chart" uri="{C3380CC4-5D6E-409C-BE32-E72D297353CC}">
                <c16:uniqueId val="{0000015F-7282-40BE-8C08-A2909BC46C19}"/>
              </c:ext>
            </c:extLst>
          </c:dPt>
          <c:dPt>
            <c:idx val="235"/>
            <c:bubble3D val="0"/>
            <c:extLst>
              <c:ext xmlns:c16="http://schemas.microsoft.com/office/drawing/2014/chart" uri="{C3380CC4-5D6E-409C-BE32-E72D297353CC}">
                <c16:uniqueId val="{00000160-7282-40BE-8C08-A2909BC46C19}"/>
              </c:ext>
            </c:extLst>
          </c:dPt>
          <c:dPt>
            <c:idx val="236"/>
            <c:bubble3D val="0"/>
            <c:extLst>
              <c:ext xmlns:c16="http://schemas.microsoft.com/office/drawing/2014/chart" uri="{C3380CC4-5D6E-409C-BE32-E72D297353CC}">
                <c16:uniqueId val="{00000161-7282-40BE-8C08-A2909BC46C19}"/>
              </c:ext>
            </c:extLst>
          </c:dPt>
          <c:dPt>
            <c:idx val="237"/>
            <c:bubble3D val="0"/>
            <c:extLst>
              <c:ext xmlns:c16="http://schemas.microsoft.com/office/drawing/2014/chart" uri="{C3380CC4-5D6E-409C-BE32-E72D297353CC}">
                <c16:uniqueId val="{00000162-7282-40BE-8C08-A2909BC46C19}"/>
              </c:ext>
            </c:extLst>
          </c:dPt>
          <c:dPt>
            <c:idx val="238"/>
            <c:bubble3D val="0"/>
            <c:extLst>
              <c:ext xmlns:c16="http://schemas.microsoft.com/office/drawing/2014/chart" uri="{C3380CC4-5D6E-409C-BE32-E72D297353CC}">
                <c16:uniqueId val="{00000163-7282-40BE-8C08-A2909BC46C19}"/>
              </c:ext>
            </c:extLst>
          </c:dPt>
          <c:dPt>
            <c:idx val="239"/>
            <c:bubble3D val="0"/>
            <c:extLst>
              <c:ext xmlns:c16="http://schemas.microsoft.com/office/drawing/2014/chart" uri="{C3380CC4-5D6E-409C-BE32-E72D297353CC}">
                <c16:uniqueId val="{00000164-7282-40BE-8C08-A2909BC46C19}"/>
              </c:ext>
            </c:extLst>
          </c:dPt>
          <c:dPt>
            <c:idx val="244"/>
            <c:bubble3D val="0"/>
            <c:extLst>
              <c:ext xmlns:c16="http://schemas.microsoft.com/office/drawing/2014/chart" uri="{C3380CC4-5D6E-409C-BE32-E72D297353CC}">
                <c16:uniqueId val="{00000165-7282-40BE-8C08-A2909BC46C19}"/>
              </c:ext>
            </c:extLst>
          </c:dPt>
          <c:dPt>
            <c:idx val="245"/>
            <c:bubble3D val="0"/>
            <c:extLst>
              <c:ext xmlns:c16="http://schemas.microsoft.com/office/drawing/2014/chart" uri="{C3380CC4-5D6E-409C-BE32-E72D297353CC}">
                <c16:uniqueId val="{00000166-7282-40BE-8C08-A2909BC46C19}"/>
              </c:ext>
            </c:extLst>
          </c:dPt>
          <c:dPt>
            <c:idx val="246"/>
            <c:bubble3D val="0"/>
            <c:extLst>
              <c:ext xmlns:c16="http://schemas.microsoft.com/office/drawing/2014/chart" uri="{C3380CC4-5D6E-409C-BE32-E72D297353CC}">
                <c16:uniqueId val="{00000167-7282-40BE-8C08-A2909BC46C19}"/>
              </c:ext>
            </c:extLst>
          </c:dPt>
          <c:dPt>
            <c:idx val="247"/>
            <c:bubble3D val="0"/>
            <c:extLst>
              <c:ext xmlns:c16="http://schemas.microsoft.com/office/drawing/2014/chart" uri="{C3380CC4-5D6E-409C-BE32-E72D297353CC}">
                <c16:uniqueId val="{00000168-7282-40BE-8C08-A2909BC46C19}"/>
              </c:ext>
            </c:extLst>
          </c:dPt>
          <c:dPt>
            <c:idx val="248"/>
            <c:bubble3D val="0"/>
            <c:extLst>
              <c:ext xmlns:c16="http://schemas.microsoft.com/office/drawing/2014/chart" uri="{C3380CC4-5D6E-409C-BE32-E72D297353CC}">
                <c16:uniqueId val="{00000169-7282-40BE-8C08-A2909BC46C19}"/>
              </c:ext>
            </c:extLst>
          </c:dPt>
          <c:dPt>
            <c:idx val="249"/>
            <c:bubble3D val="0"/>
            <c:extLst>
              <c:ext xmlns:c16="http://schemas.microsoft.com/office/drawing/2014/chart" uri="{C3380CC4-5D6E-409C-BE32-E72D297353CC}">
                <c16:uniqueId val="{0000016A-7282-40BE-8C08-A2909BC46C19}"/>
              </c:ext>
            </c:extLst>
          </c:dPt>
          <c:dPt>
            <c:idx val="250"/>
            <c:bubble3D val="0"/>
            <c:extLst>
              <c:ext xmlns:c16="http://schemas.microsoft.com/office/drawing/2014/chart" uri="{C3380CC4-5D6E-409C-BE32-E72D297353CC}">
                <c16:uniqueId val="{0000016B-7282-40BE-8C08-A2909BC46C19}"/>
              </c:ext>
            </c:extLst>
          </c:dPt>
          <c:dPt>
            <c:idx val="251"/>
            <c:bubble3D val="0"/>
            <c:extLst>
              <c:ext xmlns:c16="http://schemas.microsoft.com/office/drawing/2014/chart" uri="{C3380CC4-5D6E-409C-BE32-E72D297353CC}">
                <c16:uniqueId val="{0000016C-7282-40BE-8C08-A2909BC46C19}"/>
              </c:ext>
            </c:extLst>
          </c:dPt>
          <c:dPt>
            <c:idx val="252"/>
            <c:bubble3D val="0"/>
            <c:extLst>
              <c:ext xmlns:c16="http://schemas.microsoft.com/office/drawing/2014/chart" uri="{C3380CC4-5D6E-409C-BE32-E72D297353CC}">
                <c16:uniqueId val="{0000016D-7282-40BE-8C08-A2909BC46C19}"/>
              </c:ext>
            </c:extLst>
          </c:dPt>
          <c:dPt>
            <c:idx val="253"/>
            <c:bubble3D val="0"/>
            <c:extLst>
              <c:ext xmlns:c16="http://schemas.microsoft.com/office/drawing/2014/chart" uri="{C3380CC4-5D6E-409C-BE32-E72D297353CC}">
                <c16:uniqueId val="{0000016E-7282-40BE-8C08-A2909BC46C19}"/>
              </c:ext>
            </c:extLst>
          </c:dPt>
          <c:dPt>
            <c:idx val="254"/>
            <c:bubble3D val="0"/>
            <c:extLst>
              <c:ext xmlns:c16="http://schemas.microsoft.com/office/drawing/2014/chart" uri="{C3380CC4-5D6E-409C-BE32-E72D297353CC}">
                <c16:uniqueId val="{0000016F-7282-40BE-8C08-A2909BC46C19}"/>
              </c:ext>
            </c:extLst>
          </c:dPt>
          <c:dPt>
            <c:idx val="255"/>
            <c:bubble3D val="0"/>
            <c:extLst>
              <c:ext xmlns:c16="http://schemas.microsoft.com/office/drawing/2014/chart" uri="{C3380CC4-5D6E-409C-BE32-E72D297353CC}">
                <c16:uniqueId val="{00000170-7282-40BE-8C08-A2909BC46C19}"/>
              </c:ext>
            </c:extLst>
          </c:dPt>
          <c:dPt>
            <c:idx val="256"/>
            <c:bubble3D val="0"/>
            <c:extLst>
              <c:ext xmlns:c16="http://schemas.microsoft.com/office/drawing/2014/chart" uri="{C3380CC4-5D6E-409C-BE32-E72D297353CC}">
                <c16:uniqueId val="{00000171-7282-40BE-8C08-A2909BC46C19}"/>
              </c:ext>
            </c:extLst>
          </c:dPt>
          <c:dPt>
            <c:idx val="257"/>
            <c:bubble3D val="0"/>
            <c:extLst>
              <c:ext xmlns:c16="http://schemas.microsoft.com/office/drawing/2014/chart" uri="{C3380CC4-5D6E-409C-BE32-E72D297353CC}">
                <c16:uniqueId val="{00000172-7282-40BE-8C08-A2909BC46C19}"/>
              </c:ext>
            </c:extLst>
          </c:dPt>
          <c:dPt>
            <c:idx val="258"/>
            <c:bubble3D val="0"/>
            <c:extLst>
              <c:ext xmlns:c16="http://schemas.microsoft.com/office/drawing/2014/chart" uri="{C3380CC4-5D6E-409C-BE32-E72D297353CC}">
                <c16:uniqueId val="{00000173-7282-40BE-8C08-A2909BC46C19}"/>
              </c:ext>
            </c:extLst>
          </c:dPt>
          <c:dPt>
            <c:idx val="259"/>
            <c:bubble3D val="0"/>
            <c:extLst>
              <c:ext xmlns:c16="http://schemas.microsoft.com/office/drawing/2014/chart" uri="{C3380CC4-5D6E-409C-BE32-E72D297353CC}">
                <c16:uniqueId val="{00000174-7282-40BE-8C08-A2909BC46C19}"/>
              </c:ext>
            </c:extLst>
          </c:dPt>
          <c:dPt>
            <c:idx val="260"/>
            <c:bubble3D val="0"/>
            <c:extLst>
              <c:ext xmlns:c16="http://schemas.microsoft.com/office/drawing/2014/chart" uri="{C3380CC4-5D6E-409C-BE32-E72D297353CC}">
                <c16:uniqueId val="{00000175-7282-40BE-8C08-A2909BC46C19}"/>
              </c:ext>
            </c:extLst>
          </c:dPt>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Data'!$V$7:$V$267</c:f>
              <c:numCache>
                <c:formatCode>0%</c:formatCode>
                <c:ptCount val="261"/>
                <c:pt idx="0">
                  <c:v>0</c:v>
                </c:pt>
                <c:pt idx="1">
                  <c:v>-1.8214923513096282E-2</c:v>
                </c:pt>
                <c:pt idx="2">
                  <c:v>-1.6251035099464017E-2</c:v>
                </c:pt>
                <c:pt idx="3">
                  <c:v>1.4717020000625691E-2</c:v>
                </c:pt>
                <c:pt idx="4">
                  <c:v>1.5703621663826217E-2</c:v>
                </c:pt>
                <c:pt idx="5">
                  <c:v>2.4397544804041216E-2</c:v>
                </c:pt>
                <c:pt idx="6">
                  <c:v>-4.2634257786601237E-3</c:v>
                </c:pt>
                <c:pt idx="7">
                  <c:v>-3.3578219405788201E-2</c:v>
                </c:pt>
                <c:pt idx="8">
                  <c:v>-3.5756872484664637E-2</c:v>
                </c:pt>
                <c:pt idx="9">
                  <c:v>-2.5337904497495845E-2</c:v>
                </c:pt>
                <c:pt idx="10">
                  <c:v>-3.3422770391967838E-2</c:v>
                </c:pt>
                <c:pt idx="11">
                  <c:v>-5.3455334315556713E-2</c:v>
                </c:pt>
                <c:pt idx="12">
                  <c:v>-6.5930553919636981E-2</c:v>
                </c:pt>
                <c:pt idx="13">
                  <c:v>-3.7166126070271144E-2</c:v>
                </c:pt>
                <c:pt idx="14">
                  <c:v>-6.0215762675340456E-2</c:v>
                </c:pt>
                <c:pt idx="15">
                  <c:v>-5.7818479094348119E-2</c:v>
                </c:pt>
                <c:pt idx="16">
                  <c:v>-4.5575886280975419E-2</c:v>
                </c:pt>
                <c:pt idx="17">
                  <c:v>-2.4029866585459136E-2</c:v>
                </c:pt>
                <c:pt idx="18">
                  <c:v>-2.8487167386396894E-2</c:v>
                </c:pt>
                <c:pt idx="19">
                  <c:v>-6.3189017223510668E-2</c:v>
                </c:pt>
                <c:pt idx="20">
                  <c:v>-9.9068596427736799E-2</c:v>
                </c:pt>
                <c:pt idx="21">
                  <c:v>-7.1820066411068195E-2</c:v>
                </c:pt>
                <c:pt idx="22">
                  <c:v>-6.3625414849914241E-2</c:v>
                </c:pt>
                <c:pt idx="23">
                  <c:v>-5.4731140214689278E-2</c:v>
                </c:pt>
                <c:pt idx="24">
                  <c:v>-2.4774654115522265E-2</c:v>
                </c:pt>
                <c:pt idx="25">
                  <c:v>-3.4222763986114457E-2</c:v>
                </c:pt>
                <c:pt idx="26">
                  <c:v>-1.075041850759495E-2</c:v>
                </c:pt>
                <c:pt idx="27">
                  <c:v>-1.5188390124174167E-2</c:v>
                </c:pt>
                <c:pt idx="28">
                  <c:v>-5.3730168664048006E-2</c:v>
                </c:pt>
                <c:pt idx="29">
                  <c:v>-3.8343233531981991E-2</c:v>
                </c:pt>
                <c:pt idx="30">
                  <c:v>-5.1022239918050771E-2</c:v>
                </c:pt>
                <c:pt idx="31">
                  <c:v>-5.6881506848995289E-2</c:v>
                </c:pt>
                <c:pt idx="32">
                  <c:v>-5.1156122710501184E-2</c:v>
                </c:pt>
                <c:pt idx="33">
                  <c:v>-1.4175194601433017E-2</c:v>
                </c:pt>
                <c:pt idx="34">
                  <c:v>-1.9259070789270805E-2</c:v>
                </c:pt>
                <c:pt idx="35">
                  <c:v>2.712252924871783E-2</c:v>
                </c:pt>
                <c:pt idx="36">
                  <c:v>5.9880758409764034E-2</c:v>
                </c:pt>
                <c:pt idx="37">
                  <c:v>4.8415902722513726E-2</c:v>
                </c:pt>
                <c:pt idx="38">
                  <c:v>7.6823470773629499E-2</c:v>
                </c:pt>
                <c:pt idx="39">
                  <c:v>6.9706189449721068E-2</c:v>
                </c:pt>
                <c:pt idx="40">
                  <c:v>9.1400211240534546E-2</c:v>
                </c:pt>
                <c:pt idx="41">
                  <c:v>0.13088886467330485</c:v>
                </c:pt>
                <c:pt idx="42">
                  <c:v>0.14192925056082228</c:v>
                </c:pt>
                <c:pt idx="43">
                  <c:v>0.15512696250023184</c:v>
                </c:pt>
                <c:pt idx="44">
                  <c:v>7.6479919295358689E-2</c:v>
                </c:pt>
                <c:pt idx="45">
                  <c:v>5.7787871325220896E-2</c:v>
                </c:pt>
                <c:pt idx="46">
                  <c:v>9.2650213760618216E-2</c:v>
                </c:pt>
                <c:pt idx="47">
                  <c:v>8.554647767303214E-2</c:v>
                </c:pt>
                <c:pt idx="48">
                  <c:v>7.0600822010867592E-2</c:v>
                </c:pt>
                <c:pt idx="49">
                  <c:v>7.3183986965591696E-2</c:v>
                </c:pt>
                <c:pt idx="50">
                  <c:v>5.9237507757159191E-2</c:v>
                </c:pt>
                <c:pt idx="51">
                  <c:v>1.5581233870111566E-2</c:v>
                </c:pt>
                <c:pt idx="52">
                  <c:v>4.8147020897149062E-2</c:v>
                </c:pt>
                <c:pt idx="53">
                  <c:v>5.239094891635987E-2</c:v>
                </c:pt>
                <c:pt idx="54">
                  <c:v>5.1655305445933219E-2</c:v>
                </c:pt>
                <c:pt idx="55">
                  <c:v>3.9499134702921657E-2</c:v>
                </c:pt>
                <c:pt idx="56">
                  <c:v>8.0622620250791144E-2</c:v>
                </c:pt>
                <c:pt idx="57">
                  <c:v>6.37452170662276E-2</c:v>
                </c:pt>
                <c:pt idx="58">
                  <c:v>7.566420493500603E-2</c:v>
                </c:pt>
                <c:pt idx="59">
                  <c:v>9.9791006753562117E-2</c:v>
                </c:pt>
                <c:pt idx="60">
                  <c:v>0.10200765984708648</c:v>
                </c:pt>
                <c:pt idx="61">
                  <c:v>0.10057389453211063</c:v>
                </c:pt>
                <c:pt idx="62">
                  <c:v>0.17047790001635965</c:v>
                </c:pt>
                <c:pt idx="63">
                  <c:v>0.16635526405277545</c:v>
                </c:pt>
                <c:pt idx="64">
                  <c:v>0.19269100551544649</c:v>
                </c:pt>
                <c:pt idx="65">
                  <c:v>0.14916743895129958</c:v>
                </c:pt>
                <c:pt idx="66">
                  <c:v>0.17827673043099201</c:v>
                </c:pt>
                <c:pt idx="67">
                  <c:v>0.16540647104871442</c:v>
                </c:pt>
                <c:pt idx="68">
                  <c:v>0.18323105210572876</c:v>
                </c:pt>
                <c:pt idx="69">
                  <c:v>0.16596950046063697</c:v>
                </c:pt>
                <c:pt idx="70">
                  <c:v>0.18098423318317947</c:v>
                </c:pt>
                <c:pt idx="71">
                  <c:v>0.20559846531971293</c:v>
                </c:pt>
                <c:pt idx="72">
                  <c:v>0.20972303306271223</c:v>
                </c:pt>
                <c:pt idx="73">
                  <c:v>0.22584315138010069</c:v>
                </c:pt>
                <c:pt idx="74">
                  <c:v>0.2294352541975111</c:v>
                </c:pt>
                <c:pt idx="75">
                  <c:v>0.21298893624596005</c:v>
                </c:pt>
                <c:pt idx="76">
                  <c:v>0.22098372609108319</c:v>
                </c:pt>
                <c:pt idx="77">
                  <c:v>0.21590922860118322</c:v>
                </c:pt>
                <c:pt idx="78">
                  <c:v>0.20897509727893238</c:v>
                </c:pt>
                <c:pt idx="79">
                  <c:v>0.14326165212951381</c:v>
                </c:pt>
                <c:pt idx="80">
                  <c:v>0.12210256921764384</c:v>
                </c:pt>
                <c:pt idx="81">
                  <c:v>9.3021739591738317E-2</c:v>
                </c:pt>
                <c:pt idx="82">
                  <c:v>9.3303847727578715E-2</c:v>
                </c:pt>
                <c:pt idx="83">
                  <c:v>0.14326450423780113</c:v>
                </c:pt>
                <c:pt idx="84">
                  <c:v>0.14972382787148319</c:v>
                </c:pt>
                <c:pt idx="85">
                  <c:v>9.8741086919560406E-2</c:v>
                </c:pt>
                <c:pt idx="86">
                  <c:v>6.0454704197814513E-2</c:v>
                </c:pt>
                <c:pt idx="87">
                  <c:v>9.4447957754353107E-2</c:v>
                </c:pt>
                <c:pt idx="88">
                  <c:v>2.3110672178024094E-2</c:v>
                </c:pt>
                <c:pt idx="89">
                  <c:v>-8.9141004326878104E-3</c:v>
                </c:pt>
                <c:pt idx="90">
                  <c:v>-8.5988185414785367E-2</c:v>
                </c:pt>
                <c:pt idx="91">
                  <c:v>-3.5139445713484707E-2</c:v>
                </c:pt>
                <c:pt idx="92">
                  <c:v>-4.9157179790215721E-4</c:v>
                </c:pt>
                <c:pt idx="93">
                  <c:v>3.7324930639608178E-2</c:v>
                </c:pt>
                <c:pt idx="94">
                  <c:v>6.0780865105267257E-2</c:v>
                </c:pt>
                <c:pt idx="95">
                  <c:v>5.6393921624178001E-2</c:v>
                </c:pt>
                <c:pt idx="96">
                  <c:v>3.6990402484760265E-2</c:v>
                </c:pt>
                <c:pt idx="97">
                  <c:v>3.8081026368982585E-2</c:v>
                </c:pt>
                <c:pt idx="98">
                  <c:v>7.2317490498259085E-2</c:v>
                </c:pt>
                <c:pt idx="99">
                  <c:v>6.7286972882635077E-2</c:v>
                </c:pt>
                <c:pt idx="100">
                  <c:v>9.1398083549527831E-2</c:v>
                </c:pt>
                <c:pt idx="101">
                  <c:v>4.6109100682304227E-2</c:v>
                </c:pt>
                <c:pt idx="102">
                  <c:v>5.0660830870399742E-2</c:v>
                </c:pt>
                <c:pt idx="103">
                  <c:v>2.792313335805674E-2</c:v>
                </c:pt>
                <c:pt idx="104">
                  <c:v>6.5218337830700301E-2</c:v>
                </c:pt>
                <c:pt idx="105">
                  <c:v>7.9565948301004052E-2</c:v>
                </c:pt>
                <c:pt idx="106">
                  <c:v>6.9286808795286703E-2</c:v>
                </c:pt>
                <c:pt idx="107">
                  <c:v>7.191661209902378E-2</c:v>
                </c:pt>
                <c:pt idx="108">
                  <c:v>8.2878391877468705E-2</c:v>
                </c:pt>
                <c:pt idx="109">
                  <c:v>8.4457452974127545E-2</c:v>
                </c:pt>
                <c:pt idx="110">
                  <c:v>4.3800093497668113E-2</c:v>
                </c:pt>
                <c:pt idx="111">
                  <c:v>8.1689939767777275E-3</c:v>
                </c:pt>
                <c:pt idx="112">
                  <c:v>-1.4320961937760668E-2</c:v>
                </c:pt>
                <c:pt idx="113">
                  <c:v>-5.4883452365002028E-2</c:v>
                </c:pt>
                <c:pt idx="114">
                  <c:v>-2.8435701866888263E-2</c:v>
                </c:pt>
                <c:pt idx="115">
                  <c:v>-6.6173582249033913E-3</c:v>
                </c:pt>
                <c:pt idx="116">
                  <c:v>2.7557972375622519E-3</c:v>
                </c:pt>
                <c:pt idx="117">
                  <c:v>4.6839614002680552E-3</c:v>
                </c:pt>
                <c:pt idx="118">
                  <c:v>1.7971396292552955E-2</c:v>
                </c:pt>
                <c:pt idx="119">
                  <c:v>2.265748766186948E-2</c:v>
                </c:pt>
                <c:pt idx="120">
                  <c:v>5.9504091038384832E-3</c:v>
                </c:pt>
                <c:pt idx="121">
                  <c:v>1.7689937398615019E-2</c:v>
                </c:pt>
                <c:pt idx="122">
                  <c:v>-2.9968880924399421E-2</c:v>
                </c:pt>
                <c:pt idx="123">
                  <c:v>-4.9487420670470295E-2</c:v>
                </c:pt>
                <c:pt idx="124">
                  <c:v>-8.6662893546094799E-2</c:v>
                </c:pt>
                <c:pt idx="125">
                  <c:v>-9.013433076936328E-2</c:v>
                </c:pt>
                <c:pt idx="126">
                  <c:v>-6.0837870822343376E-2</c:v>
                </c:pt>
                <c:pt idx="127">
                  <c:v>-3.103089032603723E-2</c:v>
                </c:pt>
                <c:pt idx="128">
                  <c:v>2.9226328153305614E-2</c:v>
                </c:pt>
                <c:pt idx="129">
                  <c:v>-1.0755250234174119E-2</c:v>
                </c:pt>
                <c:pt idx="130">
                  <c:v>-5.2108884063313266E-3</c:v>
                </c:pt>
                <c:pt idx="131">
                  <c:v>-1.9770864763902773E-2</c:v>
                </c:pt>
                <c:pt idx="132">
                  <c:v>5.8541345028526592E-3</c:v>
                </c:pt>
                <c:pt idx="133">
                  <c:v>1.1381319895802822E-2</c:v>
                </c:pt>
                <c:pt idx="134">
                  <c:v>4.9696781820652625E-2</c:v>
                </c:pt>
                <c:pt idx="135">
                  <c:v>3.3601897371872136E-2</c:v>
                </c:pt>
                <c:pt idx="136">
                  <c:v>5.1223730433941794E-2</c:v>
                </c:pt>
                <c:pt idx="137">
                  <c:v>6.0822300406893515E-2</c:v>
                </c:pt>
                <c:pt idx="138">
                  <c:v>3.5615529105440302E-2</c:v>
                </c:pt>
                <c:pt idx="139">
                  <c:v>5.5701412874533007E-2</c:v>
                </c:pt>
                <c:pt idx="140">
                  <c:v>5.7211169106637261E-2</c:v>
                </c:pt>
                <c:pt idx="141">
                  <c:v>5.1114261415065032E-2</c:v>
                </c:pt>
                <c:pt idx="142">
                  <c:v>8.0379006464661007E-2</c:v>
                </c:pt>
                <c:pt idx="143">
                  <c:v>9.3932446015564164E-2</c:v>
                </c:pt>
                <c:pt idx="144">
                  <c:v>7.1617427762127983E-2</c:v>
                </c:pt>
                <c:pt idx="145">
                  <c:v>6.3882204829601053E-2</c:v>
                </c:pt>
                <c:pt idx="146">
                  <c:v>8.3644636282897311E-2</c:v>
                </c:pt>
                <c:pt idx="147">
                  <c:v>5.9306233999105729E-2</c:v>
                </c:pt>
                <c:pt idx="148">
                  <c:v>1.6212016800147833E-2</c:v>
                </c:pt>
                <c:pt idx="149">
                  <c:v>3.5883335695092944E-2</c:v>
                </c:pt>
                <c:pt idx="150">
                  <c:v>5.7915762867834841E-2</c:v>
                </c:pt>
                <c:pt idx="151">
                  <c:v>7.9942333195204274E-2</c:v>
                </c:pt>
                <c:pt idx="152">
                  <c:v>-5.0238978540653068E-2</c:v>
                </c:pt>
                <c:pt idx="153">
                  <c:v>-7.7768060790638027E-2</c:v>
                </c:pt>
                <c:pt idx="154">
                  <c:v>-0.22819811577926297</c:v>
                </c:pt>
                <c:pt idx="155">
                  <c:v>-0.34372194641401088</c:v>
                </c:pt>
                <c:pt idx="156">
                  <c:v>-0.29105617226132663</c:v>
                </c:pt>
                <c:pt idx="157">
                  <c:v>-0.35681848368460234</c:v>
                </c:pt>
                <c:pt idx="158">
                  <c:v>-0.2067834730302579</c:v>
                </c:pt>
                <c:pt idx="159">
                  <c:v>-0.18828072577453803</c:v>
                </c:pt>
                <c:pt idx="160">
                  <c:v>-0.18501189075154123</c:v>
                </c:pt>
                <c:pt idx="161">
                  <c:v>-0.15874961157964174</c:v>
                </c:pt>
                <c:pt idx="162">
                  <c:v>-0.10159823195711482</c:v>
                </c:pt>
                <c:pt idx="163">
                  <c:v>-0.1276136397431632</c:v>
                </c:pt>
                <c:pt idx="164">
                  <c:v>-7.5509951893111493E-2</c:v>
                </c:pt>
                <c:pt idx="165">
                  <c:v>-3.7024575389246417E-2</c:v>
                </c:pt>
                <c:pt idx="166">
                  <c:v>4.6828706738719639E-2</c:v>
                </c:pt>
                <c:pt idx="167">
                  <c:v>-2.5853591645500495E-2</c:v>
                </c:pt>
                <c:pt idx="168">
                  <c:v>-4.7842544669238762E-3</c:v>
                </c:pt>
                <c:pt idx="169">
                  <c:v>-2.4542282465492282E-2</c:v>
                </c:pt>
                <c:pt idx="170">
                  <c:v>2.5932436948957971E-2</c:v>
                </c:pt>
                <c:pt idx="171">
                  <c:v>4.2149645406283742E-2</c:v>
                </c:pt>
                <c:pt idx="172">
                  <c:v>7.0024907994733931E-2</c:v>
                </c:pt>
                <c:pt idx="173">
                  <c:v>9.0866470611558281E-2</c:v>
                </c:pt>
                <c:pt idx="174">
                  <c:v>0.11879387074183723</c:v>
                </c:pt>
                <c:pt idx="175">
                  <c:v>0.19742658506402133</c:v>
                </c:pt>
                <c:pt idx="176">
                  <c:v>0.21715598491175481</c:v>
                </c:pt>
                <c:pt idx="177">
                  <c:v>0.22692533511959123</c:v>
                </c:pt>
                <c:pt idx="178">
                  <c:v>0.24169956358301015</c:v>
                </c:pt>
                <c:pt idx="179">
                  <c:v>0.2036129901823347</c:v>
                </c:pt>
                <c:pt idx="180">
                  <c:v>0.17597178499481902</c:v>
                </c:pt>
                <c:pt idx="181">
                  <c:v>0.19010610924898264</c:v>
                </c:pt>
                <c:pt idx="182">
                  <c:v>0.15740105186072539</c:v>
                </c:pt>
                <c:pt idx="183">
                  <c:v>0.21362685400279791</c:v>
                </c:pt>
                <c:pt idx="184">
                  <c:v>0.27803416340505183</c:v>
                </c:pt>
                <c:pt idx="185">
                  <c:v>0.28541900529010245</c:v>
                </c:pt>
                <c:pt idx="186">
                  <c:v>0.28626165521626046</c:v>
                </c:pt>
                <c:pt idx="187">
                  <c:v>0.17901370199976641</c:v>
                </c:pt>
                <c:pt idx="188">
                  <c:v>0.27037470130743513</c:v>
                </c:pt>
                <c:pt idx="189">
                  <c:v>0.29138843832070349</c:v>
                </c:pt>
                <c:pt idx="190">
                  <c:v>0.36110674923064545</c:v>
                </c:pt>
                <c:pt idx="191">
                  <c:v>0.44801868058030769</c:v>
                </c:pt>
                <c:pt idx="192">
                  <c:v>0.47055044311728</c:v>
                </c:pt>
                <c:pt idx="193">
                  <c:v>0.44854544128932239</c:v>
                </c:pt>
                <c:pt idx="194">
                  <c:v>0.49481648340447126</c:v>
                </c:pt>
                <c:pt idx="195">
                  <c:v>0.53462529510464885</c:v>
                </c:pt>
                <c:pt idx="196">
                  <c:v>0.52422692289305872</c:v>
                </c:pt>
                <c:pt idx="197">
                  <c:v>0.61620136923294777</c:v>
                </c:pt>
                <c:pt idx="198">
                  <c:v>0.70686163606020713</c:v>
                </c:pt>
                <c:pt idx="199">
                  <c:v>0.77542878184803454</c:v>
                </c:pt>
                <c:pt idx="200">
                  <c:v>1.0796355242525282</c:v>
                </c:pt>
                <c:pt idx="201">
                  <c:v>0.86879691591416397</c:v>
                </c:pt>
                <c:pt idx="202">
                  <c:v>0.89404527058995775</c:v>
                </c:pt>
                <c:pt idx="203">
                  <c:v>0.87346582173642062</c:v>
                </c:pt>
                <c:pt idx="204">
                  <c:v>0.8780665526028375</c:v>
                </c:pt>
                <c:pt idx="205">
                  <c:v>0.93663061654186586</c:v>
                </c:pt>
                <c:pt idx="206">
                  <c:v>1.2370236049434555</c:v>
                </c:pt>
                <c:pt idx="207">
                  <c:v>1.1569764294321945</c:v>
                </c:pt>
                <c:pt idx="208">
                  <c:v>1.1045266751457659</c:v>
                </c:pt>
                <c:pt idx="209">
                  <c:v>1.1240483403651353</c:v>
                </c:pt>
                <c:pt idx="210">
                  <c:v>1.1862297409901825</c:v>
                </c:pt>
                <c:pt idx="211">
                  <c:v>1.1998792113916026</c:v>
                </c:pt>
                <c:pt idx="212">
                  <c:v>1.2110908490686505</c:v>
                </c:pt>
                <c:pt idx="213">
                  <c:v>1.2014899782735182</c:v>
                </c:pt>
                <c:pt idx="214">
                  <c:v>1.2562118719166917</c:v>
                </c:pt>
                <c:pt idx="215">
                  <c:v>1.214501223382463</c:v>
                </c:pt>
                <c:pt idx="216">
                  <c:v>1.1586836280999777</c:v>
                </c:pt>
                <c:pt idx="217">
                  <c:v>1.2151026400761329</c:v>
                </c:pt>
                <c:pt idx="218">
                  <c:v>1.2278752830908259</c:v>
                </c:pt>
                <c:pt idx="219">
                  <c:v>1.28707220981202</c:v>
                </c:pt>
                <c:pt idx="220">
                  <c:v>1.174614746404461</c:v>
                </c:pt>
                <c:pt idx="221">
                  <c:v>1.314195401970891</c:v>
                </c:pt>
                <c:pt idx="222">
                  <c:v>1.3160363080219089</c:v>
                </c:pt>
                <c:pt idx="223">
                  <c:v>1.3207989347603353</c:v>
                </c:pt>
                <c:pt idx="224">
                  <c:v>1.1921456605417298</c:v>
                </c:pt>
                <c:pt idx="225">
                  <c:v>1.2779112562178154</c:v>
                </c:pt>
                <c:pt idx="226">
                  <c:v>1.2607442068572179</c:v>
                </c:pt>
                <c:pt idx="227">
                  <c:v>1.2518689219781285</c:v>
                </c:pt>
                <c:pt idx="228">
                  <c:v>1.2701494098112045</c:v>
                </c:pt>
                <c:pt idx="229">
                  <c:v>1.2349322760394781</c:v>
                </c:pt>
                <c:pt idx="230">
                  <c:v>1.2808315326267459</c:v>
                </c:pt>
                <c:pt idx="231">
                  <c:v>1.2677375262605532</c:v>
                </c:pt>
                <c:pt idx="232">
                  <c:v>1.2001273858173422</c:v>
                </c:pt>
                <c:pt idx="233">
                  <c:v>1.2357503527291387</c:v>
                </c:pt>
                <c:pt idx="234">
                  <c:v>1.2535323754099377</c:v>
                </c:pt>
                <c:pt idx="235">
                  <c:v>1.1650506477594664</c:v>
                </c:pt>
                <c:pt idx="236">
                  <c:v>1.1561177717065685</c:v>
                </c:pt>
                <c:pt idx="237">
                  <c:v>1.1766752488473022</c:v>
                </c:pt>
                <c:pt idx="238">
                  <c:v>1.2415396746657934</c:v>
                </c:pt>
                <c:pt idx="239">
                  <c:v>1.2368248002388027</c:v>
                </c:pt>
                <c:pt idx="240">
                  <c:v>1.4138199886615026</c:v>
                </c:pt>
                <c:pt idx="241">
                  <c:v>1.4336816538920347</c:v>
                </c:pt>
                <c:pt idx="242">
                  <c:v>1.3972333570056041</c:v>
                </c:pt>
                <c:pt idx="243">
                  <c:v>1.3069809598877509</c:v>
                </c:pt>
                <c:pt idx="244">
                  <c:v>1.1564198856051715</c:v>
                </c:pt>
                <c:pt idx="245">
                  <c:v>1.1910199502582741</c:v>
                </c:pt>
                <c:pt idx="246">
                  <c:v>1.0837081321409561</c:v>
                </c:pt>
                <c:pt idx="247">
                  <c:v>1.1229884837129633</c:v>
                </c:pt>
                <c:pt idx="248">
                  <c:v>1.1609976424204085</c:v>
                </c:pt>
                <c:pt idx="249">
                  <c:v>1.0879548097565745</c:v>
                </c:pt>
                <c:pt idx="250">
                  <c:v>1.0028952817347077</c:v>
                </c:pt>
                <c:pt idx="251">
                  <c:v>0.8505837259908493</c:v>
                </c:pt>
                <c:pt idx="252">
                  <c:v>0.88132847149104165</c:v>
                </c:pt>
                <c:pt idx="253">
                  <c:v>0.87750763050021341</c:v>
                </c:pt>
                <c:pt idx="254">
                  <c:v>0.89991376814612578</c:v>
                </c:pt>
                <c:pt idx="255">
                  <c:v>0.86194509024080856</c:v>
                </c:pt>
                <c:pt idx="256">
                  <c:v>0.84715826420644058</c:v>
                </c:pt>
                <c:pt idx="257">
                  <c:v>0.8037628397695018</c:v>
                </c:pt>
                <c:pt idx="258">
                  <c:v>0.74968689625842222</c:v>
                </c:pt>
                <c:pt idx="259">
                  <c:v>0.90145661521287868</c:v>
                </c:pt>
                <c:pt idx="260">
                  <c:v>0.86568203323154913</c:v>
                </c:pt>
              </c:numCache>
            </c:numRef>
          </c:val>
          <c:smooth val="0"/>
          <c:extLst>
            <c:ext xmlns:c16="http://schemas.microsoft.com/office/drawing/2014/chart" uri="{C3380CC4-5D6E-409C-BE32-E72D297353CC}">
              <c16:uniqueId val="{00000003-9678-4776-94A8-B2115644D18B}"/>
            </c:ext>
          </c:extLst>
        </c:ser>
        <c:ser>
          <c:idx val="4"/>
          <c:order val="4"/>
          <c:tx>
            <c:v>Peer Average</c:v>
          </c:tx>
          <c:spPr>
            <a:ln w="22225">
              <a:solidFill>
                <a:schemeClr val="tx1"/>
              </a:solidFill>
            </a:ln>
          </c:spPr>
          <c:marker>
            <c:symbol val="none"/>
          </c:marker>
          <c:dPt>
            <c:idx val="70"/>
            <c:bubble3D val="0"/>
            <c:extLst>
              <c:ext xmlns:c16="http://schemas.microsoft.com/office/drawing/2014/chart" uri="{C3380CC4-5D6E-409C-BE32-E72D297353CC}">
                <c16:uniqueId val="{00000176-7282-40BE-8C08-A2909BC46C19}"/>
              </c:ext>
            </c:extLst>
          </c:dPt>
          <c:dPt>
            <c:idx val="111"/>
            <c:bubble3D val="0"/>
            <c:extLst>
              <c:ext xmlns:c16="http://schemas.microsoft.com/office/drawing/2014/chart" uri="{C3380CC4-5D6E-409C-BE32-E72D297353CC}">
                <c16:uniqueId val="{00000177-7282-40BE-8C08-A2909BC46C19}"/>
              </c:ext>
            </c:extLst>
          </c:dPt>
          <c:dPt>
            <c:idx val="112"/>
            <c:bubble3D val="0"/>
            <c:extLst>
              <c:ext xmlns:c16="http://schemas.microsoft.com/office/drawing/2014/chart" uri="{C3380CC4-5D6E-409C-BE32-E72D297353CC}">
                <c16:uniqueId val="{00000178-7282-40BE-8C08-A2909BC46C19}"/>
              </c:ext>
            </c:extLst>
          </c:dPt>
          <c:dPt>
            <c:idx val="114"/>
            <c:bubble3D val="0"/>
            <c:extLst>
              <c:ext xmlns:c16="http://schemas.microsoft.com/office/drawing/2014/chart" uri="{C3380CC4-5D6E-409C-BE32-E72D297353CC}">
                <c16:uniqueId val="{00000179-7282-40BE-8C08-A2909BC46C19}"/>
              </c:ext>
            </c:extLst>
          </c:dPt>
          <c:dPt>
            <c:idx val="116"/>
            <c:bubble3D val="0"/>
            <c:extLst>
              <c:ext xmlns:c16="http://schemas.microsoft.com/office/drawing/2014/chart" uri="{C3380CC4-5D6E-409C-BE32-E72D297353CC}">
                <c16:uniqueId val="{0000017A-7282-40BE-8C08-A2909BC46C19}"/>
              </c:ext>
            </c:extLst>
          </c:dPt>
          <c:dPt>
            <c:idx val="117"/>
            <c:bubble3D val="0"/>
            <c:extLst>
              <c:ext xmlns:c16="http://schemas.microsoft.com/office/drawing/2014/chart" uri="{C3380CC4-5D6E-409C-BE32-E72D297353CC}">
                <c16:uniqueId val="{0000017B-7282-40BE-8C08-A2909BC46C19}"/>
              </c:ext>
            </c:extLst>
          </c:dPt>
          <c:dPt>
            <c:idx val="118"/>
            <c:bubble3D val="0"/>
            <c:extLst>
              <c:ext xmlns:c16="http://schemas.microsoft.com/office/drawing/2014/chart" uri="{C3380CC4-5D6E-409C-BE32-E72D297353CC}">
                <c16:uniqueId val="{0000017C-7282-40BE-8C08-A2909BC46C19}"/>
              </c:ext>
            </c:extLst>
          </c:dPt>
          <c:dPt>
            <c:idx val="120"/>
            <c:bubble3D val="0"/>
            <c:extLst>
              <c:ext xmlns:c16="http://schemas.microsoft.com/office/drawing/2014/chart" uri="{C3380CC4-5D6E-409C-BE32-E72D297353CC}">
                <c16:uniqueId val="{0000017D-7282-40BE-8C08-A2909BC46C19}"/>
              </c:ext>
            </c:extLst>
          </c:dPt>
          <c:dPt>
            <c:idx val="121"/>
            <c:bubble3D val="0"/>
            <c:extLst>
              <c:ext xmlns:c16="http://schemas.microsoft.com/office/drawing/2014/chart" uri="{C3380CC4-5D6E-409C-BE32-E72D297353CC}">
                <c16:uniqueId val="{0000017E-7282-40BE-8C08-A2909BC46C19}"/>
              </c:ext>
            </c:extLst>
          </c:dPt>
          <c:dPt>
            <c:idx val="123"/>
            <c:bubble3D val="0"/>
            <c:extLst>
              <c:ext xmlns:c16="http://schemas.microsoft.com/office/drawing/2014/chart" uri="{C3380CC4-5D6E-409C-BE32-E72D297353CC}">
                <c16:uniqueId val="{0000017F-7282-40BE-8C08-A2909BC46C19}"/>
              </c:ext>
            </c:extLst>
          </c:dPt>
          <c:dPt>
            <c:idx val="124"/>
            <c:bubble3D val="0"/>
            <c:extLst>
              <c:ext xmlns:c16="http://schemas.microsoft.com/office/drawing/2014/chart" uri="{C3380CC4-5D6E-409C-BE32-E72D297353CC}">
                <c16:uniqueId val="{00000180-7282-40BE-8C08-A2909BC46C19}"/>
              </c:ext>
            </c:extLst>
          </c:dPt>
          <c:dPt>
            <c:idx val="127"/>
            <c:bubble3D val="0"/>
            <c:extLst>
              <c:ext xmlns:c16="http://schemas.microsoft.com/office/drawing/2014/chart" uri="{C3380CC4-5D6E-409C-BE32-E72D297353CC}">
                <c16:uniqueId val="{00000181-7282-40BE-8C08-A2909BC46C19}"/>
              </c:ext>
            </c:extLst>
          </c:dPt>
          <c:dPt>
            <c:idx val="128"/>
            <c:bubble3D val="0"/>
            <c:extLst>
              <c:ext xmlns:c16="http://schemas.microsoft.com/office/drawing/2014/chart" uri="{C3380CC4-5D6E-409C-BE32-E72D297353CC}">
                <c16:uniqueId val="{00000182-7282-40BE-8C08-A2909BC46C19}"/>
              </c:ext>
            </c:extLst>
          </c:dPt>
          <c:dPt>
            <c:idx val="129"/>
            <c:bubble3D val="0"/>
            <c:extLst>
              <c:ext xmlns:c16="http://schemas.microsoft.com/office/drawing/2014/chart" uri="{C3380CC4-5D6E-409C-BE32-E72D297353CC}">
                <c16:uniqueId val="{00000183-7282-40BE-8C08-A2909BC46C19}"/>
              </c:ext>
            </c:extLst>
          </c:dPt>
          <c:dPt>
            <c:idx val="131"/>
            <c:bubble3D val="0"/>
            <c:extLst>
              <c:ext xmlns:c16="http://schemas.microsoft.com/office/drawing/2014/chart" uri="{C3380CC4-5D6E-409C-BE32-E72D297353CC}">
                <c16:uniqueId val="{00000184-7282-40BE-8C08-A2909BC46C19}"/>
              </c:ext>
            </c:extLst>
          </c:dPt>
          <c:dPt>
            <c:idx val="132"/>
            <c:bubble3D val="0"/>
            <c:extLst>
              <c:ext xmlns:c16="http://schemas.microsoft.com/office/drawing/2014/chart" uri="{C3380CC4-5D6E-409C-BE32-E72D297353CC}">
                <c16:uniqueId val="{00000185-7282-40BE-8C08-A2909BC46C19}"/>
              </c:ext>
            </c:extLst>
          </c:dPt>
          <c:dPt>
            <c:idx val="133"/>
            <c:bubble3D val="0"/>
            <c:extLst>
              <c:ext xmlns:c16="http://schemas.microsoft.com/office/drawing/2014/chart" uri="{C3380CC4-5D6E-409C-BE32-E72D297353CC}">
                <c16:uniqueId val="{00000186-7282-40BE-8C08-A2909BC46C19}"/>
              </c:ext>
            </c:extLst>
          </c:dPt>
          <c:dPt>
            <c:idx val="135"/>
            <c:bubble3D val="0"/>
            <c:extLst>
              <c:ext xmlns:c16="http://schemas.microsoft.com/office/drawing/2014/chart" uri="{C3380CC4-5D6E-409C-BE32-E72D297353CC}">
                <c16:uniqueId val="{00000187-7282-40BE-8C08-A2909BC46C19}"/>
              </c:ext>
            </c:extLst>
          </c:dPt>
          <c:dPt>
            <c:idx val="136"/>
            <c:bubble3D val="0"/>
            <c:extLst>
              <c:ext xmlns:c16="http://schemas.microsoft.com/office/drawing/2014/chart" uri="{C3380CC4-5D6E-409C-BE32-E72D297353CC}">
                <c16:uniqueId val="{00000188-7282-40BE-8C08-A2909BC46C19}"/>
              </c:ext>
            </c:extLst>
          </c:dPt>
          <c:dPt>
            <c:idx val="139"/>
            <c:bubble3D val="0"/>
            <c:extLst>
              <c:ext xmlns:c16="http://schemas.microsoft.com/office/drawing/2014/chart" uri="{C3380CC4-5D6E-409C-BE32-E72D297353CC}">
                <c16:uniqueId val="{00000189-7282-40BE-8C08-A2909BC46C19}"/>
              </c:ext>
            </c:extLst>
          </c:dPt>
          <c:dPt>
            <c:idx val="140"/>
            <c:bubble3D val="0"/>
            <c:extLst>
              <c:ext xmlns:c16="http://schemas.microsoft.com/office/drawing/2014/chart" uri="{C3380CC4-5D6E-409C-BE32-E72D297353CC}">
                <c16:uniqueId val="{0000018A-7282-40BE-8C08-A2909BC46C19}"/>
              </c:ext>
            </c:extLst>
          </c:dPt>
          <c:dPt>
            <c:idx val="141"/>
            <c:bubble3D val="0"/>
            <c:extLst>
              <c:ext xmlns:c16="http://schemas.microsoft.com/office/drawing/2014/chart" uri="{C3380CC4-5D6E-409C-BE32-E72D297353CC}">
                <c16:uniqueId val="{0000018B-7282-40BE-8C08-A2909BC46C19}"/>
              </c:ext>
            </c:extLst>
          </c:dPt>
          <c:dPt>
            <c:idx val="146"/>
            <c:bubble3D val="0"/>
            <c:extLst>
              <c:ext xmlns:c16="http://schemas.microsoft.com/office/drawing/2014/chart" uri="{C3380CC4-5D6E-409C-BE32-E72D297353CC}">
                <c16:uniqueId val="{0000018C-7282-40BE-8C08-A2909BC46C19}"/>
              </c:ext>
            </c:extLst>
          </c:dPt>
          <c:dPt>
            <c:idx val="147"/>
            <c:bubble3D val="0"/>
            <c:extLst>
              <c:ext xmlns:c16="http://schemas.microsoft.com/office/drawing/2014/chart" uri="{C3380CC4-5D6E-409C-BE32-E72D297353CC}">
                <c16:uniqueId val="{0000018D-7282-40BE-8C08-A2909BC46C19}"/>
              </c:ext>
            </c:extLst>
          </c:dPt>
          <c:dPt>
            <c:idx val="148"/>
            <c:bubble3D val="0"/>
            <c:extLst>
              <c:ext xmlns:c16="http://schemas.microsoft.com/office/drawing/2014/chart" uri="{C3380CC4-5D6E-409C-BE32-E72D297353CC}">
                <c16:uniqueId val="{0000018E-7282-40BE-8C08-A2909BC46C19}"/>
              </c:ext>
            </c:extLst>
          </c:dPt>
          <c:dPt>
            <c:idx val="149"/>
            <c:bubble3D val="0"/>
            <c:extLst>
              <c:ext xmlns:c16="http://schemas.microsoft.com/office/drawing/2014/chart" uri="{C3380CC4-5D6E-409C-BE32-E72D297353CC}">
                <c16:uniqueId val="{0000018F-7282-40BE-8C08-A2909BC46C19}"/>
              </c:ext>
            </c:extLst>
          </c:dPt>
          <c:dPt>
            <c:idx val="151"/>
            <c:bubble3D val="0"/>
            <c:extLst>
              <c:ext xmlns:c16="http://schemas.microsoft.com/office/drawing/2014/chart" uri="{C3380CC4-5D6E-409C-BE32-E72D297353CC}">
                <c16:uniqueId val="{00000190-7282-40BE-8C08-A2909BC46C19}"/>
              </c:ext>
            </c:extLst>
          </c:dPt>
          <c:dPt>
            <c:idx val="152"/>
            <c:bubble3D val="0"/>
            <c:extLst>
              <c:ext xmlns:c16="http://schemas.microsoft.com/office/drawing/2014/chart" uri="{C3380CC4-5D6E-409C-BE32-E72D297353CC}">
                <c16:uniqueId val="{00000191-7282-40BE-8C08-A2909BC46C19}"/>
              </c:ext>
            </c:extLst>
          </c:dPt>
          <c:dPt>
            <c:idx val="153"/>
            <c:bubble3D val="0"/>
            <c:extLst>
              <c:ext xmlns:c16="http://schemas.microsoft.com/office/drawing/2014/chart" uri="{C3380CC4-5D6E-409C-BE32-E72D297353CC}">
                <c16:uniqueId val="{00000192-7282-40BE-8C08-A2909BC46C19}"/>
              </c:ext>
            </c:extLst>
          </c:dPt>
          <c:dPt>
            <c:idx val="154"/>
            <c:bubble3D val="0"/>
            <c:extLst>
              <c:ext xmlns:c16="http://schemas.microsoft.com/office/drawing/2014/chart" uri="{C3380CC4-5D6E-409C-BE32-E72D297353CC}">
                <c16:uniqueId val="{00000193-7282-40BE-8C08-A2909BC46C19}"/>
              </c:ext>
            </c:extLst>
          </c:dPt>
          <c:dPt>
            <c:idx val="155"/>
            <c:bubble3D val="0"/>
            <c:extLst>
              <c:ext xmlns:c16="http://schemas.microsoft.com/office/drawing/2014/chart" uri="{C3380CC4-5D6E-409C-BE32-E72D297353CC}">
                <c16:uniqueId val="{00000194-7282-40BE-8C08-A2909BC46C19}"/>
              </c:ext>
            </c:extLst>
          </c:dPt>
          <c:dPt>
            <c:idx val="156"/>
            <c:bubble3D val="0"/>
            <c:extLst>
              <c:ext xmlns:c16="http://schemas.microsoft.com/office/drawing/2014/chart" uri="{C3380CC4-5D6E-409C-BE32-E72D297353CC}">
                <c16:uniqueId val="{00000195-7282-40BE-8C08-A2909BC46C19}"/>
              </c:ext>
            </c:extLst>
          </c:dPt>
          <c:dPt>
            <c:idx val="157"/>
            <c:bubble3D val="0"/>
            <c:extLst>
              <c:ext xmlns:c16="http://schemas.microsoft.com/office/drawing/2014/chart" uri="{C3380CC4-5D6E-409C-BE32-E72D297353CC}">
                <c16:uniqueId val="{00000196-7282-40BE-8C08-A2909BC46C19}"/>
              </c:ext>
            </c:extLst>
          </c:dPt>
          <c:dPt>
            <c:idx val="158"/>
            <c:bubble3D val="0"/>
            <c:extLst>
              <c:ext xmlns:c16="http://schemas.microsoft.com/office/drawing/2014/chart" uri="{C3380CC4-5D6E-409C-BE32-E72D297353CC}">
                <c16:uniqueId val="{00000197-7282-40BE-8C08-A2909BC46C19}"/>
              </c:ext>
            </c:extLst>
          </c:dPt>
          <c:dPt>
            <c:idx val="159"/>
            <c:bubble3D val="0"/>
            <c:extLst>
              <c:ext xmlns:c16="http://schemas.microsoft.com/office/drawing/2014/chart" uri="{C3380CC4-5D6E-409C-BE32-E72D297353CC}">
                <c16:uniqueId val="{00000198-7282-40BE-8C08-A2909BC46C19}"/>
              </c:ext>
            </c:extLst>
          </c:dPt>
          <c:dPt>
            <c:idx val="160"/>
            <c:bubble3D val="0"/>
            <c:extLst>
              <c:ext xmlns:c16="http://schemas.microsoft.com/office/drawing/2014/chart" uri="{C3380CC4-5D6E-409C-BE32-E72D297353CC}">
                <c16:uniqueId val="{00000199-7282-40BE-8C08-A2909BC46C19}"/>
              </c:ext>
            </c:extLst>
          </c:dPt>
          <c:dPt>
            <c:idx val="161"/>
            <c:bubble3D val="0"/>
            <c:extLst>
              <c:ext xmlns:c16="http://schemas.microsoft.com/office/drawing/2014/chart" uri="{C3380CC4-5D6E-409C-BE32-E72D297353CC}">
                <c16:uniqueId val="{0000019A-EFB0-4C5D-91FB-018F6A38BA20}"/>
              </c:ext>
            </c:extLst>
          </c:dPt>
          <c:dPt>
            <c:idx val="162"/>
            <c:bubble3D val="0"/>
            <c:extLst>
              <c:ext xmlns:c16="http://schemas.microsoft.com/office/drawing/2014/chart" uri="{C3380CC4-5D6E-409C-BE32-E72D297353CC}">
                <c16:uniqueId val="{0000019A-7282-40BE-8C08-A2909BC46C19}"/>
              </c:ext>
            </c:extLst>
          </c:dPt>
          <c:dPt>
            <c:idx val="163"/>
            <c:bubble3D val="0"/>
            <c:extLst>
              <c:ext xmlns:c16="http://schemas.microsoft.com/office/drawing/2014/chart" uri="{C3380CC4-5D6E-409C-BE32-E72D297353CC}">
                <c16:uniqueId val="{0000019B-7282-40BE-8C08-A2909BC46C19}"/>
              </c:ext>
            </c:extLst>
          </c:dPt>
          <c:dPt>
            <c:idx val="164"/>
            <c:bubble3D val="0"/>
            <c:extLst>
              <c:ext xmlns:c16="http://schemas.microsoft.com/office/drawing/2014/chart" uri="{C3380CC4-5D6E-409C-BE32-E72D297353CC}">
                <c16:uniqueId val="{0000019C-7282-40BE-8C08-A2909BC46C19}"/>
              </c:ext>
            </c:extLst>
          </c:dPt>
          <c:dPt>
            <c:idx val="165"/>
            <c:bubble3D val="0"/>
            <c:extLst>
              <c:ext xmlns:c16="http://schemas.microsoft.com/office/drawing/2014/chart" uri="{C3380CC4-5D6E-409C-BE32-E72D297353CC}">
                <c16:uniqueId val="{0000019D-7282-40BE-8C08-A2909BC46C19}"/>
              </c:ext>
            </c:extLst>
          </c:dPt>
          <c:dPt>
            <c:idx val="166"/>
            <c:bubble3D val="0"/>
            <c:extLst>
              <c:ext xmlns:c16="http://schemas.microsoft.com/office/drawing/2014/chart" uri="{C3380CC4-5D6E-409C-BE32-E72D297353CC}">
                <c16:uniqueId val="{0000019E-7282-40BE-8C08-A2909BC46C19}"/>
              </c:ext>
            </c:extLst>
          </c:dPt>
          <c:dPt>
            <c:idx val="168"/>
            <c:bubble3D val="0"/>
            <c:extLst>
              <c:ext xmlns:c16="http://schemas.microsoft.com/office/drawing/2014/chart" uri="{C3380CC4-5D6E-409C-BE32-E72D297353CC}">
                <c16:uniqueId val="{0000019F-7282-40BE-8C08-A2909BC46C19}"/>
              </c:ext>
            </c:extLst>
          </c:dPt>
          <c:dPt>
            <c:idx val="169"/>
            <c:bubble3D val="0"/>
            <c:extLst>
              <c:ext xmlns:c16="http://schemas.microsoft.com/office/drawing/2014/chart" uri="{C3380CC4-5D6E-409C-BE32-E72D297353CC}">
                <c16:uniqueId val="{000001A0-7282-40BE-8C08-A2909BC46C19}"/>
              </c:ext>
            </c:extLst>
          </c:dPt>
          <c:dPt>
            <c:idx val="170"/>
            <c:bubble3D val="0"/>
            <c:extLst>
              <c:ext xmlns:c16="http://schemas.microsoft.com/office/drawing/2014/chart" uri="{C3380CC4-5D6E-409C-BE32-E72D297353CC}">
                <c16:uniqueId val="{000001A1-7282-40BE-8C08-A2909BC46C19}"/>
              </c:ext>
            </c:extLst>
          </c:dPt>
          <c:dPt>
            <c:idx val="171"/>
            <c:bubble3D val="0"/>
            <c:extLst>
              <c:ext xmlns:c16="http://schemas.microsoft.com/office/drawing/2014/chart" uri="{C3380CC4-5D6E-409C-BE32-E72D297353CC}">
                <c16:uniqueId val="{000001A2-7282-40BE-8C08-A2909BC46C19}"/>
              </c:ext>
            </c:extLst>
          </c:dPt>
          <c:dPt>
            <c:idx val="173"/>
            <c:bubble3D val="0"/>
            <c:extLst>
              <c:ext xmlns:c16="http://schemas.microsoft.com/office/drawing/2014/chart" uri="{C3380CC4-5D6E-409C-BE32-E72D297353CC}">
                <c16:uniqueId val="{000001A3-7282-40BE-8C08-A2909BC46C19}"/>
              </c:ext>
            </c:extLst>
          </c:dPt>
          <c:dPt>
            <c:idx val="174"/>
            <c:bubble3D val="0"/>
            <c:extLst>
              <c:ext xmlns:c16="http://schemas.microsoft.com/office/drawing/2014/chart" uri="{C3380CC4-5D6E-409C-BE32-E72D297353CC}">
                <c16:uniqueId val="{000001A4-7282-40BE-8C08-A2909BC46C19}"/>
              </c:ext>
            </c:extLst>
          </c:dPt>
          <c:dPt>
            <c:idx val="177"/>
            <c:bubble3D val="0"/>
            <c:extLst>
              <c:ext xmlns:c16="http://schemas.microsoft.com/office/drawing/2014/chart" uri="{C3380CC4-5D6E-409C-BE32-E72D297353CC}">
                <c16:uniqueId val="{000001A5-7282-40BE-8C08-A2909BC46C19}"/>
              </c:ext>
            </c:extLst>
          </c:dPt>
          <c:dPt>
            <c:idx val="178"/>
            <c:bubble3D val="0"/>
            <c:extLst>
              <c:ext xmlns:c16="http://schemas.microsoft.com/office/drawing/2014/chart" uri="{C3380CC4-5D6E-409C-BE32-E72D297353CC}">
                <c16:uniqueId val="{000001A6-7282-40BE-8C08-A2909BC46C19}"/>
              </c:ext>
            </c:extLst>
          </c:dPt>
          <c:dPt>
            <c:idx val="179"/>
            <c:bubble3D val="0"/>
            <c:extLst>
              <c:ext xmlns:c16="http://schemas.microsoft.com/office/drawing/2014/chart" uri="{C3380CC4-5D6E-409C-BE32-E72D297353CC}">
                <c16:uniqueId val="{000001A7-7282-40BE-8C08-A2909BC46C19}"/>
              </c:ext>
            </c:extLst>
          </c:dPt>
          <c:dPt>
            <c:idx val="180"/>
            <c:bubble3D val="0"/>
            <c:extLst>
              <c:ext xmlns:c16="http://schemas.microsoft.com/office/drawing/2014/chart" uri="{C3380CC4-5D6E-409C-BE32-E72D297353CC}">
                <c16:uniqueId val="{000001A8-7282-40BE-8C08-A2909BC46C19}"/>
              </c:ext>
            </c:extLst>
          </c:dPt>
          <c:dPt>
            <c:idx val="181"/>
            <c:bubble3D val="0"/>
            <c:extLst>
              <c:ext xmlns:c16="http://schemas.microsoft.com/office/drawing/2014/chart" uri="{C3380CC4-5D6E-409C-BE32-E72D297353CC}">
                <c16:uniqueId val="{000001A9-7282-40BE-8C08-A2909BC46C19}"/>
              </c:ext>
            </c:extLst>
          </c:dPt>
          <c:dPt>
            <c:idx val="182"/>
            <c:bubble3D val="0"/>
            <c:extLst>
              <c:ext xmlns:c16="http://schemas.microsoft.com/office/drawing/2014/chart" uri="{C3380CC4-5D6E-409C-BE32-E72D297353CC}">
                <c16:uniqueId val="{000001AA-7282-40BE-8C08-A2909BC46C19}"/>
              </c:ext>
            </c:extLst>
          </c:dPt>
          <c:dPt>
            <c:idx val="183"/>
            <c:bubble3D val="0"/>
            <c:extLst>
              <c:ext xmlns:c16="http://schemas.microsoft.com/office/drawing/2014/chart" uri="{C3380CC4-5D6E-409C-BE32-E72D297353CC}">
                <c16:uniqueId val="{000001AB-7282-40BE-8C08-A2909BC46C19}"/>
              </c:ext>
            </c:extLst>
          </c:dPt>
          <c:dPt>
            <c:idx val="184"/>
            <c:bubble3D val="0"/>
            <c:extLst>
              <c:ext xmlns:c16="http://schemas.microsoft.com/office/drawing/2014/chart" uri="{C3380CC4-5D6E-409C-BE32-E72D297353CC}">
                <c16:uniqueId val="{000001AC-7282-40BE-8C08-A2909BC46C19}"/>
              </c:ext>
            </c:extLst>
          </c:dPt>
          <c:dPt>
            <c:idx val="185"/>
            <c:bubble3D val="0"/>
            <c:extLst>
              <c:ext xmlns:c16="http://schemas.microsoft.com/office/drawing/2014/chart" uri="{C3380CC4-5D6E-409C-BE32-E72D297353CC}">
                <c16:uniqueId val="{000001AD-7282-40BE-8C08-A2909BC46C19}"/>
              </c:ext>
            </c:extLst>
          </c:dPt>
          <c:dPt>
            <c:idx val="186"/>
            <c:bubble3D val="0"/>
            <c:extLst>
              <c:ext xmlns:c16="http://schemas.microsoft.com/office/drawing/2014/chart" uri="{C3380CC4-5D6E-409C-BE32-E72D297353CC}">
                <c16:uniqueId val="{000001AE-7282-40BE-8C08-A2909BC46C19}"/>
              </c:ext>
            </c:extLst>
          </c:dPt>
          <c:dPt>
            <c:idx val="187"/>
            <c:bubble3D val="0"/>
            <c:extLst>
              <c:ext xmlns:c16="http://schemas.microsoft.com/office/drawing/2014/chart" uri="{C3380CC4-5D6E-409C-BE32-E72D297353CC}">
                <c16:uniqueId val="{000001AF-7282-40BE-8C08-A2909BC46C19}"/>
              </c:ext>
            </c:extLst>
          </c:dPt>
          <c:dPt>
            <c:idx val="188"/>
            <c:bubble3D val="0"/>
            <c:extLst>
              <c:ext xmlns:c16="http://schemas.microsoft.com/office/drawing/2014/chart" uri="{C3380CC4-5D6E-409C-BE32-E72D297353CC}">
                <c16:uniqueId val="{000001B0-7282-40BE-8C08-A2909BC46C19}"/>
              </c:ext>
            </c:extLst>
          </c:dPt>
          <c:dPt>
            <c:idx val="189"/>
            <c:bubble3D val="0"/>
            <c:extLst>
              <c:ext xmlns:c16="http://schemas.microsoft.com/office/drawing/2014/chart" uri="{C3380CC4-5D6E-409C-BE32-E72D297353CC}">
                <c16:uniqueId val="{000001B1-7282-40BE-8C08-A2909BC46C19}"/>
              </c:ext>
            </c:extLst>
          </c:dPt>
          <c:dPt>
            <c:idx val="190"/>
            <c:bubble3D val="0"/>
            <c:extLst>
              <c:ext xmlns:c16="http://schemas.microsoft.com/office/drawing/2014/chart" uri="{C3380CC4-5D6E-409C-BE32-E72D297353CC}">
                <c16:uniqueId val="{000001B2-7282-40BE-8C08-A2909BC46C19}"/>
              </c:ext>
            </c:extLst>
          </c:dPt>
          <c:dPt>
            <c:idx val="191"/>
            <c:bubble3D val="0"/>
            <c:extLst>
              <c:ext xmlns:c16="http://schemas.microsoft.com/office/drawing/2014/chart" uri="{C3380CC4-5D6E-409C-BE32-E72D297353CC}">
                <c16:uniqueId val="{000001B3-7282-40BE-8C08-A2909BC46C19}"/>
              </c:ext>
            </c:extLst>
          </c:dPt>
          <c:dPt>
            <c:idx val="192"/>
            <c:bubble3D val="0"/>
            <c:extLst>
              <c:ext xmlns:c16="http://schemas.microsoft.com/office/drawing/2014/chart" uri="{C3380CC4-5D6E-409C-BE32-E72D297353CC}">
                <c16:uniqueId val="{000001B4-7282-40BE-8C08-A2909BC46C19}"/>
              </c:ext>
            </c:extLst>
          </c:dPt>
          <c:dPt>
            <c:idx val="193"/>
            <c:bubble3D val="0"/>
            <c:extLst>
              <c:ext xmlns:c16="http://schemas.microsoft.com/office/drawing/2014/chart" uri="{C3380CC4-5D6E-409C-BE32-E72D297353CC}">
                <c16:uniqueId val="{000001B5-7282-40BE-8C08-A2909BC46C19}"/>
              </c:ext>
            </c:extLst>
          </c:dPt>
          <c:dPt>
            <c:idx val="194"/>
            <c:bubble3D val="0"/>
            <c:extLst>
              <c:ext xmlns:c16="http://schemas.microsoft.com/office/drawing/2014/chart" uri="{C3380CC4-5D6E-409C-BE32-E72D297353CC}">
                <c16:uniqueId val="{000001B6-7282-40BE-8C08-A2909BC46C19}"/>
              </c:ext>
            </c:extLst>
          </c:dPt>
          <c:dPt>
            <c:idx val="195"/>
            <c:bubble3D val="0"/>
            <c:extLst>
              <c:ext xmlns:c16="http://schemas.microsoft.com/office/drawing/2014/chart" uri="{C3380CC4-5D6E-409C-BE32-E72D297353CC}">
                <c16:uniqueId val="{000001B7-7282-40BE-8C08-A2909BC46C19}"/>
              </c:ext>
            </c:extLst>
          </c:dPt>
          <c:dPt>
            <c:idx val="196"/>
            <c:bubble3D val="0"/>
            <c:extLst>
              <c:ext xmlns:c16="http://schemas.microsoft.com/office/drawing/2014/chart" uri="{C3380CC4-5D6E-409C-BE32-E72D297353CC}">
                <c16:uniqueId val="{000001B8-7282-40BE-8C08-A2909BC46C19}"/>
              </c:ext>
            </c:extLst>
          </c:dPt>
          <c:dPt>
            <c:idx val="197"/>
            <c:bubble3D val="0"/>
            <c:extLst>
              <c:ext xmlns:c16="http://schemas.microsoft.com/office/drawing/2014/chart" uri="{C3380CC4-5D6E-409C-BE32-E72D297353CC}">
                <c16:uniqueId val="{000001B9-7282-40BE-8C08-A2909BC46C19}"/>
              </c:ext>
            </c:extLst>
          </c:dPt>
          <c:dPt>
            <c:idx val="198"/>
            <c:bubble3D val="0"/>
            <c:extLst>
              <c:ext xmlns:c16="http://schemas.microsoft.com/office/drawing/2014/chart" uri="{C3380CC4-5D6E-409C-BE32-E72D297353CC}">
                <c16:uniqueId val="{000001BA-7282-40BE-8C08-A2909BC46C19}"/>
              </c:ext>
            </c:extLst>
          </c:dPt>
          <c:dPt>
            <c:idx val="199"/>
            <c:bubble3D val="0"/>
            <c:extLst>
              <c:ext xmlns:c16="http://schemas.microsoft.com/office/drawing/2014/chart" uri="{C3380CC4-5D6E-409C-BE32-E72D297353CC}">
                <c16:uniqueId val="{000001BB-7282-40BE-8C08-A2909BC46C19}"/>
              </c:ext>
            </c:extLst>
          </c:dPt>
          <c:dPt>
            <c:idx val="200"/>
            <c:bubble3D val="0"/>
            <c:extLst>
              <c:ext xmlns:c16="http://schemas.microsoft.com/office/drawing/2014/chart" uri="{C3380CC4-5D6E-409C-BE32-E72D297353CC}">
                <c16:uniqueId val="{000001BC-7282-40BE-8C08-A2909BC46C19}"/>
              </c:ext>
            </c:extLst>
          </c:dPt>
          <c:dPt>
            <c:idx val="201"/>
            <c:bubble3D val="0"/>
            <c:extLst>
              <c:ext xmlns:c16="http://schemas.microsoft.com/office/drawing/2014/chart" uri="{C3380CC4-5D6E-409C-BE32-E72D297353CC}">
                <c16:uniqueId val="{000001BD-7282-40BE-8C08-A2909BC46C19}"/>
              </c:ext>
            </c:extLst>
          </c:dPt>
          <c:dPt>
            <c:idx val="202"/>
            <c:bubble3D val="0"/>
            <c:extLst>
              <c:ext xmlns:c16="http://schemas.microsoft.com/office/drawing/2014/chart" uri="{C3380CC4-5D6E-409C-BE32-E72D297353CC}">
                <c16:uniqueId val="{000001BE-7282-40BE-8C08-A2909BC46C19}"/>
              </c:ext>
            </c:extLst>
          </c:dPt>
          <c:dPt>
            <c:idx val="203"/>
            <c:bubble3D val="0"/>
            <c:extLst>
              <c:ext xmlns:c16="http://schemas.microsoft.com/office/drawing/2014/chart" uri="{C3380CC4-5D6E-409C-BE32-E72D297353CC}">
                <c16:uniqueId val="{000001BF-7282-40BE-8C08-A2909BC46C19}"/>
              </c:ext>
            </c:extLst>
          </c:dPt>
          <c:dPt>
            <c:idx val="204"/>
            <c:bubble3D val="0"/>
            <c:extLst>
              <c:ext xmlns:c16="http://schemas.microsoft.com/office/drawing/2014/chart" uri="{C3380CC4-5D6E-409C-BE32-E72D297353CC}">
                <c16:uniqueId val="{000001C0-7282-40BE-8C08-A2909BC46C19}"/>
              </c:ext>
            </c:extLst>
          </c:dPt>
          <c:dPt>
            <c:idx val="205"/>
            <c:bubble3D val="0"/>
            <c:extLst>
              <c:ext xmlns:c16="http://schemas.microsoft.com/office/drawing/2014/chart" uri="{C3380CC4-5D6E-409C-BE32-E72D297353CC}">
                <c16:uniqueId val="{000001C1-7282-40BE-8C08-A2909BC46C19}"/>
              </c:ext>
            </c:extLst>
          </c:dPt>
          <c:dPt>
            <c:idx val="206"/>
            <c:bubble3D val="0"/>
            <c:extLst>
              <c:ext xmlns:c16="http://schemas.microsoft.com/office/drawing/2014/chart" uri="{C3380CC4-5D6E-409C-BE32-E72D297353CC}">
                <c16:uniqueId val="{000001C2-7282-40BE-8C08-A2909BC46C19}"/>
              </c:ext>
            </c:extLst>
          </c:dPt>
          <c:dPt>
            <c:idx val="207"/>
            <c:bubble3D val="0"/>
            <c:extLst>
              <c:ext xmlns:c16="http://schemas.microsoft.com/office/drawing/2014/chart" uri="{C3380CC4-5D6E-409C-BE32-E72D297353CC}">
                <c16:uniqueId val="{000001C3-7282-40BE-8C08-A2909BC46C19}"/>
              </c:ext>
            </c:extLst>
          </c:dPt>
          <c:dPt>
            <c:idx val="208"/>
            <c:bubble3D val="0"/>
            <c:extLst>
              <c:ext xmlns:c16="http://schemas.microsoft.com/office/drawing/2014/chart" uri="{C3380CC4-5D6E-409C-BE32-E72D297353CC}">
                <c16:uniqueId val="{000001C4-7282-40BE-8C08-A2909BC46C19}"/>
              </c:ext>
            </c:extLst>
          </c:dPt>
          <c:dPt>
            <c:idx val="209"/>
            <c:bubble3D val="0"/>
            <c:extLst>
              <c:ext xmlns:c16="http://schemas.microsoft.com/office/drawing/2014/chart" uri="{C3380CC4-5D6E-409C-BE32-E72D297353CC}">
                <c16:uniqueId val="{000001C5-7282-40BE-8C08-A2909BC46C19}"/>
              </c:ext>
            </c:extLst>
          </c:dPt>
          <c:dPt>
            <c:idx val="210"/>
            <c:bubble3D val="0"/>
            <c:extLst>
              <c:ext xmlns:c16="http://schemas.microsoft.com/office/drawing/2014/chart" uri="{C3380CC4-5D6E-409C-BE32-E72D297353CC}">
                <c16:uniqueId val="{000001C6-7282-40BE-8C08-A2909BC46C19}"/>
              </c:ext>
            </c:extLst>
          </c:dPt>
          <c:dPt>
            <c:idx val="211"/>
            <c:bubble3D val="0"/>
            <c:extLst>
              <c:ext xmlns:c16="http://schemas.microsoft.com/office/drawing/2014/chart" uri="{C3380CC4-5D6E-409C-BE32-E72D297353CC}">
                <c16:uniqueId val="{000001C7-7282-40BE-8C08-A2909BC46C19}"/>
              </c:ext>
            </c:extLst>
          </c:dPt>
          <c:dPt>
            <c:idx val="212"/>
            <c:bubble3D val="0"/>
            <c:extLst>
              <c:ext xmlns:c16="http://schemas.microsoft.com/office/drawing/2014/chart" uri="{C3380CC4-5D6E-409C-BE32-E72D297353CC}">
                <c16:uniqueId val="{000001C8-7282-40BE-8C08-A2909BC46C19}"/>
              </c:ext>
            </c:extLst>
          </c:dPt>
          <c:dPt>
            <c:idx val="213"/>
            <c:bubble3D val="0"/>
            <c:extLst>
              <c:ext xmlns:c16="http://schemas.microsoft.com/office/drawing/2014/chart" uri="{C3380CC4-5D6E-409C-BE32-E72D297353CC}">
                <c16:uniqueId val="{000001C9-7282-40BE-8C08-A2909BC46C19}"/>
              </c:ext>
            </c:extLst>
          </c:dPt>
          <c:dPt>
            <c:idx val="214"/>
            <c:bubble3D val="0"/>
            <c:extLst>
              <c:ext xmlns:c16="http://schemas.microsoft.com/office/drawing/2014/chart" uri="{C3380CC4-5D6E-409C-BE32-E72D297353CC}">
                <c16:uniqueId val="{000001CA-7282-40BE-8C08-A2909BC46C19}"/>
              </c:ext>
            </c:extLst>
          </c:dPt>
          <c:dPt>
            <c:idx val="215"/>
            <c:bubble3D val="0"/>
            <c:extLst>
              <c:ext xmlns:c16="http://schemas.microsoft.com/office/drawing/2014/chart" uri="{C3380CC4-5D6E-409C-BE32-E72D297353CC}">
                <c16:uniqueId val="{000001CB-7282-40BE-8C08-A2909BC46C19}"/>
              </c:ext>
            </c:extLst>
          </c:dPt>
          <c:dPt>
            <c:idx val="216"/>
            <c:bubble3D val="0"/>
            <c:extLst>
              <c:ext xmlns:c16="http://schemas.microsoft.com/office/drawing/2014/chart" uri="{C3380CC4-5D6E-409C-BE32-E72D297353CC}">
                <c16:uniqueId val="{000001CC-7282-40BE-8C08-A2909BC46C19}"/>
              </c:ext>
            </c:extLst>
          </c:dPt>
          <c:dPt>
            <c:idx val="217"/>
            <c:bubble3D val="0"/>
            <c:extLst>
              <c:ext xmlns:c16="http://schemas.microsoft.com/office/drawing/2014/chart" uri="{C3380CC4-5D6E-409C-BE32-E72D297353CC}">
                <c16:uniqueId val="{000001CD-7282-40BE-8C08-A2909BC46C19}"/>
              </c:ext>
            </c:extLst>
          </c:dPt>
          <c:dPt>
            <c:idx val="218"/>
            <c:bubble3D val="0"/>
            <c:extLst>
              <c:ext xmlns:c16="http://schemas.microsoft.com/office/drawing/2014/chart" uri="{C3380CC4-5D6E-409C-BE32-E72D297353CC}">
                <c16:uniqueId val="{000001CE-7282-40BE-8C08-A2909BC46C19}"/>
              </c:ext>
            </c:extLst>
          </c:dPt>
          <c:dPt>
            <c:idx val="219"/>
            <c:bubble3D val="0"/>
            <c:extLst>
              <c:ext xmlns:c16="http://schemas.microsoft.com/office/drawing/2014/chart" uri="{C3380CC4-5D6E-409C-BE32-E72D297353CC}">
                <c16:uniqueId val="{000001CF-7282-40BE-8C08-A2909BC46C19}"/>
              </c:ext>
            </c:extLst>
          </c:dPt>
          <c:dPt>
            <c:idx val="220"/>
            <c:bubble3D val="0"/>
            <c:extLst>
              <c:ext xmlns:c16="http://schemas.microsoft.com/office/drawing/2014/chart" uri="{C3380CC4-5D6E-409C-BE32-E72D297353CC}">
                <c16:uniqueId val="{000001D0-7282-40BE-8C08-A2909BC46C19}"/>
              </c:ext>
            </c:extLst>
          </c:dPt>
          <c:dPt>
            <c:idx val="221"/>
            <c:bubble3D val="0"/>
            <c:extLst>
              <c:ext xmlns:c16="http://schemas.microsoft.com/office/drawing/2014/chart" uri="{C3380CC4-5D6E-409C-BE32-E72D297353CC}">
                <c16:uniqueId val="{000001D1-7282-40BE-8C08-A2909BC46C19}"/>
              </c:ext>
            </c:extLst>
          </c:dPt>
          <c:dPt>
            <c:idx val="222"/>
            <c:bubble3D val="0"/>
            <c:extLst>
              <c:ext xmlns:c16="http://schemas.microsoft.com/office/drawing/2014/chart" uri="{C3380CC4-5D6E-409C-BE32-E72D297353CC}">
                <c16:uniqueId val="{000001D2-7282-40BE-8C08-A2909BC46C19}"/>
              </c:ext>
            </c:extLst>
          </c:dPt>
          <c:dPt>
            <c:idx val="223"/>
            <c:bubble3D val="0"/>
            <c:extLst>
              <c:ext xmlns:c16="http://schemas.microsoft.com/office/drawing/2014/chart" uri="{C3380CC4-5D6E-409C-BE32-E72D297353CC}">
                <c16:uniqueId val="{000001D3-7282-40BE-8C08-A2909BC46C19}"/>
              </c:ext>
            </c:extLst>
          </c:dPt>
          <c:dPt>
            <c:idx val="224"/>
            <c:bubble3D val="0"/>
            <c:extLst>
              <c:ext xmlns:c16="http://schemas.microsoft.com/office/drawing/2014/chart" uri="{C3380CC4-5D6E-409C-BE32-E72D297353CC}">
                <c16:uniqueId val="{000001D4-7282-40BE-8C08-A2909BC46C19}"/>
              </c:ext>
            </c:extLst>
          </c:dPt>
          <c:dPt>
            <c:idx val="225"/>
            <c:bubble3D val="0"/>
            <c:extLst>
              <c:ext xmlns:c16="http://schemas.microsoft.com/office/drawing/2014/chart" uri="{C3380CC4-5D6E-409C-BE32-E72D297353CC}">
                <c16:uniqueId val="{000001D5-7282-40BE-8C08-A2909BC46C19}"/>
              </c:ext>
            </c:extLst>
          </c:dPt>
          <c:dPt>
            <c:idx val="226"/>
            <c:bubble3D val="0"/>
            <c:extLst>
              <c:ext xmlns:c16="http://schemas.microsoft.com/office/drawing/2014/chart" uri="{C3380CC4-5D6E-409C-BE32-E72D297353CC}">
                <c16:uniqueId val="{000001D6-7282-40BE-8C08-A2909BC46C19}"/>
              </c:ext>
            </c:extLst>
          </c:dPt>
          <c:dPt>
            <c:idx val="227"/>
            <c:bubble3D val="0"/>
            <c:extLst>
              <c:ext xmlns:c16="http://schemas.microsoft.com/office/drawing/2014/chart" uri="{C3380CC4-5D6E-409C-BE32-E72D297353CC}">
                <c16:uniqueId val="{000001D7-7282-40BE-8C08-A2909BC46C19}"/>
              </c:ext>
            </c:extLst>
          </c:dPt>
          <c:dPt>
            <c:idx val="228"/>
            <c:bubble3D val="0"/>
            <c:extLst>
              <c:ext xmlns:c16="http://schemas.microsoft.com/office/drawing/2014/chart" uri="{C3380CC4-5D6E-409C-BE32-E72D297353CC}">
                <c16:uniqueId val="{000001D8-7282-40BE-8C08-A2909BC46C19}"/>
              </c:ext>
            </c:extLst>
          </c:dPt>
          <c:dPt>
            <c:idx val="229"/>
            <c:bubble3D val="0"/>
            <c:extLst>
              <c:ext xmlns:c16="http://schemas.microsoft.com/office/drawing/2014/chart" uri="{C3380CC4-5D6E-409C-BE32-E72D297353CC}">
                <c16:uniqueId val="{000001D9-7282-40BE-8C08-A2909BC46C19}"/>
              </c:ext>
            </c:extLst>
          </c:dPt>
          <c:dPt>
            <c:idx val="230"/>
            <c:bubble3D val="0"/>
            <c:extLst>
              <c:ext xmlns:c16="http://schemas.microsoft.com/office/drawing/2014/chart" uri="{C3380CC4-5D6E-409C-BE32-E72D297353CC}">
                <c16:uniqueId val="{000001DA-7282-40BE-8C08-A2909BC46C19}"/>
              </c:ext>
            </c:extLst>
          </c:dPt>
          <c:dPt>
            <c:idx val="231"/>
            <c:bubble3D val="0"/>
            <c:extLst>
              <c:ext xmlns:c16="http://schemas.microsoft.com/office/drawing/2014/chart" uri="{C3380CC4-5D6E-409C-BE32-E72D297353CC}">
                <c16:uniqueId val="{000001DB-7282-40BE-8C08-A2909BC46C19}"/>
              </c:ext>
            </c:extLst>
          </c:dPt>
          <c:dPt>
            <c:idx val="232"/>
            <c:bubble3D val="0"/>
            <c:extLst>
              <c:ext xmlns:c16="http://schemas.microsoft.com/office/drawing/2014/chart" uri="{C3380CC4-5D6E-409C-BE32-E72D297353CC}">
                <c16:uniqueId val="{000001DC-7282-40BE-8C08-A2909BC46C19}"/>
              </c:ext>
            </c:extLst>
          </c:dPt>
          <c:dPt>
            <c:idx val="233"/>
            <c:bubble3D val="0"/>
            <c:extLst>
              <c:ext xmlns:c16="http://schemas.microsoft.com/office/drawing/2014/chart" uri="{C3380CC4-5D6E-409C-BE32-E72D297353CC}">
                <c16:uniqueId val="{000001DD-7282-40BE-8C08-A2909BC46C19}"/>
              </c:ext>
            </c:extLst>
          </c:dPt>
          <c:dPt>
            <c:idx val="234"/>
            <c:bubble3D val="0"/>
            <c:extLst>
              <c:ext xmlns:c16="http://schemas.microsoft.com/office/drawing/2014/chart" uri="{C3380CC4-5D6E-409C-BE32-E72D297353CC}">
                <c16:uniqueId val="{000001DE-7282-40BE-8C08-A2909BC46C19}"/>
              </c:ext>
            </c:extLst>
          </c:dPt>
          <c:dPt>
            <c:idx val="235"/>
            <c:bubble3D val="0"/>
            <c:extLst>
              <c:ext xmlns:c16="http://schemas.microsoft.com/office/drawing/2014/chart" uri="{C3380CC4-5D6E-409C-BE32-E72D297353CC}">
                <c16:uniqueId val="{000001DF-7282-40BE-8C08-A2909BC46C19}"/>
              </c:ext>
            </c:extLst>
          </c:dPt>
          <c:dPt>
            <c:idx val="236"/>
            <c:bubble3D val="0"/>
            <c:extLst>
              <c:ext xmlns:c16="http://schemas.microsoft.com/office/drawing/2014/chart" uri="{C3380CC4-5D6E-409C-BE32-E72D297353CC}">
                <c16:uniqueId val="{000001E0-7282-40BE-8C08-A2909BC46C19}"/>
              </c:ext>
            </c:extLst>
          </c:dPt>
          <c:dPt>
            <c:idx val="237"/>
            <c:bubble3D val="0"/>
            <c:extLst>
              <c:ext xmlns:c16="http://schemas.microsoft.com/office/drawing/2014/chart" uri="{C3380CC4-5D6E-409C-BE32-E72D297353CC}">
                <c16:uniqueId val="{000001E1-7282-40BE-8C08-A2909BC46C19}"/>
              </c:ext>
            </c:extLst>
          </c:dPt>
          <c:dPt>
            <c:idx val="238"/>
            <c:bubble3D val="0"/>
            <c:extLst>
              <c:ext xmlns:c16="http://schemas.microsoft.com/office/drawing/2014/chart" uri="{C3380CC4-5D6E-409C-BE32-E72D297353CC}">
                <c16:uniqueId val="{000001E2-7282-40BE-8C08-A2909BC46C19}"/>
              </c:ext>
            </c:extLst>
          </c:dPt>
          <c:dPt>
            <c:idx val="239"/>
            <c:bubble3D val="0"/>
            <c:extLst>
              <c:ext xmlns:c16="http://schemas.microsoft.com/office/drawing/2014/chart" uri="{C3380CC4-5D6E-409C-BE32-E72D297353CC}">
                <c16:uniqueId val="{000001E3-7282-40BE-8C08-A2909BC46C19}"/>
              </c:ext>
            </c:extLst>
          </c:dPt>
          <c:dPt>
            <c:idx val="240"/>
            <c:bubble3D val="0"/>
            <c:extLst>
              <c:ext xmlns:c16="http://schemas.microsoft.com/office/drawing/2014/chart" uri="{C3380CC4-5D6E-409C-BE32-E72D297353CC}">
                <c16:uniqueId val="{000001E4-7282-40BE-8C08-A2909BC46C19}"/>
              </c:ext>
            </c:extLst>
          </c:dPt>
          <c:dPt>
            <c:idx val="241"/>
            <c:bubble3D val="0"/>
            <c:extLst>
              <c:ext xmlns:c16="http://schemas.microsoft.com/office/drawing/2014/chart" uri="{C3380CC4-5D6E-409C-BE32-E72D297353CC}">
                <c16:uniqueId val="{000001E5-7282-40BE-8C08-A2909BC46C19}"/>
              </c:ext>
            </c:extLst>
          </c:dPt>
          <c:dPt>
            <c:idx val="242"/>
            <c:bubble3D val="0"/>
            <c:extLst>
              <c:ext xmlns:c16="http://schemas.microsoft.com/office/drawing/2014/chart" uri="{C3380CC4-5D6E-409C-BE32-E72D297353CC}">
                <c16:uniqueId val="{000001E6-7282-40BE-8C08-A2909BC46C19}"/>
              </c:ext>
            </c:extLst>
          </c:dPt>
          <c:dPt>
            <c:idx val="243"/>
            <c:bubble3D val="0"/>
            <c:extLst>
              <c:ext xmlns:c16="http://schemas.microsoft.com/office/drawing/2014/chart" uri="{C3380CC4-5D6E-409C-BE32-E72D297353CC}">
                <c16:uniqueId val="{000001E7-7282-40BE-8C08-A2909BC46C19}"/>
              </c:ext>
            </c:extLst>
          </c:dPt>
          <c:dPt>
            <c:idx val="244"/>
            <c:bubble3D val="0"/>
            <c:extLst>
              <c:ext xmlns:c16="http://schemas.microsoft.com/office/drawing/2014/chart" uri="{C3380CC4-5D6E-409C-BE32-E72D297353CC}">
                <c16:uniqueId val="{000001E8-7282-40BE-8C08-A2909BC46C19}"/>
              </c:ext>
            </c:extLst>
          </c:dPt>
          <c:dPt>
            <c:idx val="245"/>
            <c:bubble3D val="0"/>
            <c:extLst>
              <c:ext xmlns:c16="http://schemas.microsoft.com/office/drawing/2014/chart" uri="{C3380CC4-5D6E-409C-BE32-E72D297353CC}">
                <c16:uniqueId val="{000001E9-7282-40BE-8C08-A2909BC46C19}"/>
              </c:ext>
            </c:extLst>
          </c:dPt>
          <c:dPt>
            <c:idx val="246"/>
            <c:bubble3D val="0"/>
            <c:extLst>
              <c:ext xmlns:c16="http://schemas.microsoft.com/office/drawing/2014/chart" uri="{C3380CC4-5D6E-409C-BE32-E72D297353CC}">
                <c16:uniqueId val="{000001EA-7282-40BE-8C08-A2909BC46C19}"/>
              </c:ext>
            </c:extLst>
          </c:dPt>
          <c:dPt>
            <c:idx val="247"/>
            <c:bubble3D val="0"/>
            <c:extLst>
              <c:ext xmlns:c16="http://schemas.microsoft.com/office/drawing/2014/chart" uri="{C3380CC4-5D6E-409C-BE32-E72D297353CC}">
                <c16:uniqueId val="{000001EB-7282-40BE-8C08-A2909BC46C19}"/>
              </c:ext>
            </c:extLst>
          </c:dPt>
          <c:dPt>
            <c:idx val="248"/>
            <c:bubble3D val="0"/>
            <c:extLst>
              <c:ext xmlns:c16="http://schemas.microsoft.com/office/drawing/2014/chart" uri="{C3380CC4-5D6E-409C-BE32-E72D297353CC}">
                <c16:uniqueId val="{000001EC-7282-40BE-8C08-A2909BC46C19}"/>
              </c:ext>
            </c:extLst>
          </c:dPt>
          <c:dPt>
            <c:idx val="249"/>
            <c:bubble3D val="0"/>
            <c:extLst>
              <c:ext xmlns:c16="http://schemas.microsoft.com/office/drawing/2014/chart" uri="{C3380CC4-5D6E-409C-BE32-E72D297353CC}">
                <c16:uniqueId val="{000001ED-7282-40BE-8C08-A2909BC46C19}"/>
              </c:ext>
            </c:extLst>
          </c:dPt>
          <c:dPt>
            <c:idx val="250"/>
            <c:bubble3D val="0"/>
            <c:extLst>
              <c:ext xmlns:c16="http://schemas.microsoft.com/office/drawing/2014/chart" uri="{C3380CC4-5D6E-409C-BE32-E72D297353CC}">
                <c16:uniqueId val="{000001EE-7282-40BE-8C08-A2909BC46C19}"/>
              </c:ext>
            </c:extLst>
          </c:dPt>
          <c:dPt>
            <c:idx val="251"/>
            <c:bubble3D val="0"/>
            <c:extLst>
              <c:ext xmlns:c16="http://schemas.microsoft.com/office/drawing/2014/chart" uri="{C3380CC4-5D6E-409C-BE32-E72D297353CC}">
                <c16:uniqueId val="{000001EF-7282-40BE-8C08-A2909BC46C19}"/>
              </c:ext>
            </c:extLst>
          </c:dPt>
          <c:dPt>
            <c:idx val="252"/>
            <c:bubble3D val="0"/>
            <c:extLst>
              <c:ext xmlns:c16="http://schemas.microsoft.com/office/drawing/2014/chart" uri="{C3380CC4-5D6E-409C-BE32-E72D297353CC}">
                <c16:uniqueId val="{000001F0-7282-40BE-8C08-A2909BC46C19}"/>
              </c:ext>
            </c:extLst>
          </c:dPt>
          <c:dPt>
            <c:idx val="253"/>
            <c:bubble3D val="0"/>
            <c:extLst>
              <c:ext xmlns:c16="http://schemas.microsoft.com/office/drawing/2014/chart" uri="{C3380CC4-5D6E-409C-BE32-E72D297353CC}">
                <c16:uniqueId val="{000001F1-7282-40BE-8C08-A2909BC46C19}"/>
              </c:ext>
            </c:extLst>
          </c:dPt>
          <c:dPt>
            <c:idx val="254"/>
            <c:bubble3D val="0"/>
            <c:extLst>
              <c:ext xmlns:c16="http://schemas.microsoft.com/office/drawing/2014/chart" uri="{C3380CC4-5D6E-409C-BE32-E72D297353CC}">
                <c16:uniqueId val="{000001F2-7282-40BE-8C08-A2909BC46C19}"/>
              </c:ext>
            </c:extLst>
          </c:dPt>
          <c:dPt>
            <c:idx val="255"/>
            <c:bubble3D val="0"/>
            <c:extLst>
              <c:ext xmlns:c16="http://schemas.microsoft.com/office/drawing/2014/chart" uri="{C3380CC4-5D6E-409C-BE32-E72D297353CC}">
                <c16:uniqueId val="{000001F3-7282-40BE-8C08-A2909BC46C19}"/>
              </c:ext>
            </c:extLst>
          </c:dPt>
          <c:dPt>
            <c:idx val="256"/>
            <c:bubble3D val="0"/>
            <c:extLst>
              <c:ext xmlns:c16="http://schemas.microsoft.com/office/drawing/2014/chart" uri="{C3380CC4-5D6E-409C-BE32-E72D297353CC}">
                <c16:uniqueId val="{000001F4-7282-40BE-8C08-A2909BC46C19}"/>
              </c:ext>
            </c:extLst>
          </c:dPt>
          <c:dPt>
            <c:idx val="257"/>
            <c:bubble3D val="0"/>
            <c:extLst>
              <c:ext xmlns:c16="http://schemas.microsoft.com/office/drawing/2014/chart" uri="{C3380CC4-5D6E-409C-BE32-E72D297353CC}">
                <c16:uniqueId val="{000001F5-7282-40BE-8C08-A2909BC46C19}"/>
              </c:ext>
            </c:extLst>
          </c:dPt>
          <c:dPt>
            <c:idx val="258"/>
            <c:bubble3D val="0"/>
            <c:extLst>
              <c:ext xmlns:c16="http://schemas.microsoft.com/office/drawing/2014/chart" uri="{C3380CC4-5D6E-409C-BE32-E72D297353CC}">
                <c16:uniqueId val="{000001F6-7282-40BE-8C08-A2909BC46C19}"/>
              </c:ext>
            </c:extLst>
          </c:dPt>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Data'!$W$7:$W$267</c:f>
              <c:numCache>
                <c:formatCode>0%</c:formatCode>
                <c:ptCount val="261"/>
                <c:pt idx="0">
                  <c:v>0</c:v>
                </c:pt>
                <c:pt idx="1">
                  <c:v>1.7472717514461333E-2</c:v>
                </c:pt>
                <c:pt idx="2">
                  <c:v>6.8578925398057322E-3</c:v>
                </c:pt>
                <c:pt idx="3">
                  <c:v>1.8367225237044593E-2</c:v>
                </c:pt>
                <c:pt idx="4">
                  <c:v>5.8620072753294838E-2</c:v>
                </c:pt>
                <c:pt idx="5">
                  <c:v>7.4601944063450443E-2</c:v>
                </c:pt>
                <c:pt idx="6">
                  <c:v>1.9023197566939043E-2</c:v>
                </c:pt>
                <c:pt idx="7">
                  <c:v>2.3555370028027767E-2</c:v>
                </c:pt>
                <c:pt idx="8">
                  <c:v>6.064762359115039E-2</c:v>
                </c:pt>
                <c:pt idx="9">
                  <c:v>7.9193750372711591E-2</c:v>
                </c:pt>
                <c:pt idx="10">
                  <c:v>7.567535333055031E-2</c:v>
                </c:pt>
                <c:pt idx="11">
                  <c:v>-3.4587631939888563E-3</c:v>
                </c:pt>
                <c:pt idx="12">
                  <c:v>-6.2973343669867066E-2</c:v>
                </c:pt>
                <c:pt idx="13">
                  <c:v>-4.6275866181644698E-2</c:v>
                </c:pt>
                <c:pt idx="14">
                  <c:v>-8.0982765817878111E-2</c:v>
                </c:pt>
                <c:pt idx="15">
                  <c:v>-8.7602122964994922E-2</c:v>
                </c:pt>
                <c:pt idx="16">
                  <c:v>-0.10286838809708387</c:v>
                </c:pt>
                <c:pt idx="17">
                  <c:v>-8.8258095294889483E-2</c:v>
                </c:pt>
                <c:pt idx="18">
                  <c:v>-6.7088079193750372E-2</c:v>
                </c:pt>
                <c:pt idx="19">
                  <c:v>-6.5835768382133675E-2</c:v>
                </c:pt>
                <c:pt idx="20">
                  <c:v>-6.3271512910728078E-2</c:v>
                </c:pt>
                <c:pt idx="21">
                  <c:v>-9.0881984614467282E-2</c:v>
                </c:pt>
                <c:pt idx="22">
                  <c:v>-5.6353986522750255E-2</c:v>
                </c:pt>
                <c:pt idx="23">
                  <c:v>-6.1899934402766976E-2</c:v>
                </c:pt>
                <c:pt idx="24">
                  <c:v>-3.2142644164827927E-2</c:v>
                </c:pt>
                <c:pt idx="25">
                  <c:v>-3.8165662830222491E-2</c:v>
                </c:pt>
                <c:pt idx="26">
                  <c:v>-2.027550837855574E-2</c:v>
                </c:pt>
                <c:pt idx="27">
                  <c:v>-6.3211879062555876E-2</c:v>
                </c:pt>
                <c:pt idx="28">
                  <c:v>-4.675293696702254E-2</c:v>
                </c:pt>
                <c:pt idx="29">
                  <c:v>-4.126662293517791E-2</c:v>
                </c:pt>
                <c:pt idx="30">
                  <c:v>-3.1665573379450196E-2</c:v>
                </c:pt>
                <c:pt idx="31">
                  <c:v>-7.4542310215278684E-3</c:v>
                </c:pt>
                <c:pt idx="32">
                  <c:v>2.1885622279205874E-2</c:v>
                </c:pt>
                <c:pt idx="33">
                  <c:v>1.9619536048661068E-2</c:v>
                </c:pt>
                <c:pt idx="34">
                  <c:v>2.3436102331683584E-2</c:v>
                </c:pt>
                <c:pt idx="35">
                  <c:v>0.10400143121235605</c:v>
                </c:pt>
                <c:pt idx="36">
                  <c:v>0.12153378257498959</c:v>
                </c:pt>
                <c:pt idx="37">
                  <c:v>0.14932315582324529</c:v>
                </c:pt>
                <c:pt idx="38">
                  <c:v>0.11294650843818954</c:v>
                </c:pt>
                <c:pt idx="39">
                  <c:v>0.1099051821814061</c:v>
                </c:pt>
                <c:pt idx="40">
                  <c:v>0.11962549943347844</c:v>
                </c:pt>
                <c:pt idx="41">
                  <c:v>0.14401574333591749</c:v>
                </c:pt>
                <c:pt idx="42">
                  <c:v>0.14669926650366749</c:v>
                </c:pt>
                <c:pt idx="43">
                  <c:v>0.18617687399367888</c:v>
                </c:pt>
                <c:pt idx="44">
                  <c:v>0.13894686624127872</c:v>
                </c:pt>
                <c:pt idx="45">
                  <c:v>7.7702904168406084E-2</c:v>
                </c:pt>
                <c:pt idx="46">
                  <c:v>0.14234599558709538</c:v>
                </c:pt>
                <c:pt idx="47">
                  <c:v>0.13191007215695638</c:v>
                </c:pt>
                <c:pt idx="48">
                  <c:v>0.12904764744468977</c:v>
                </c:pt>
                <c:pt idx="49">
                  <c:v>0.12457510883177303</c:v>
                </c:pt>
                <c:pt idx="50">
                  <c:v>0.1084143359771006</c:v>
                </c:pt>
                <c:pt idx="51">
                  <c:v>7.8418510346472736E-2</c:v>
                </c:pt>
                <c:pt idx="52">
                  <c:v>0.12368060110918955</c:v>
                </c:pt>
                <c:pt idx="53">
                  <c:v>9.7024270976206139E-2</c:v>
                </c:pt>
                <c:pt idx="54">
                  <c:v>0.12654302582145616</c:v>
                </c:pt>
                <c:pt idx="55">
                  <c:v>0.15427276522153988</c:v>
                </c:pt>
                <c:pt idx="56">
                  <c:v>0.17228218736955103</c:v>
                </c:pt>
                <c:pt idx="57">
                  <c:v>0.163993082473612</c:v>
                </c:pt>
                <c:pt idx="58">
                  <c:v>0.16739221181942865</c:v>
                </c:pt>
                <c:pt idx="59">
                  <c:v>0.18647504323453989</c:v>
                </c:pt>
                <c:pt idx="60">
                  <c:v>0.18289701234420663</c:v>
                </c:pt>
                <c:pt idx="61">
                  <c:v>0.17556204901902328</c:v>
                </c:pt>
                <c:pt idx="62">
                  <c:v>0.21509929035720665</c:v>
                </c:pt>
                <c:pt idx="63">
                  <c:v>0.23632894030651785</c:v>
                </c:pt>
                <c:pt idx="64">
                  <c:v>0.25887053491561818</c:v>
                </c:pt>
                <c:pt idx="65">
                  <c:v>0.2462281591031068</c:v>
                </c:pt>
                <c:pt idx="66">
                  <c:v>0.25004472538612932</c:v>
                </c:pt>
                <c:pt idx="67">
                  <c:v>0.29131134832130723</c:v>
                </c:pt>
                <c:pt idx="68">
                  <c:v>0.30413262567833499</c:v>
                </c:pt>
                <c:pt idx="69">
                  <c:v>0.30985747510286843</c:v>
                </c:pt>
                <c:pt idx="70">
                  <c:v>0.32405033096785729</c:v>
                </c:pt>
                <c:pt idx="71">
                  <c:v>0.31379330908223513</c:v>
                </c:pt>
                <c:pt idx="72">
                  <c:v>0.34581668555071854</c:v>
                </c:pt>
                <c:pt idx="73">
                  <c:v>0.37921164052716327</c:v>
                </c:pt>
                <c:pt idx="74">
                  <c:v>0.39024390243902429</c:v>
                </c:pt>
                <c:pt idx="75">
                  <c:v>0.43991889796648587</c:v>
                </c:pt>
                <c:pt idx="76">
                  <c:v>0.40366151827777452</c:v>
                </c:pt>
                <c:pt idx="77">
                  <c:v>0.39996421969109663</c:v>
                </c:pt>
                <c:pt idx="78">
                  <c:v>0.40067982586916329</c:v>
                </c:pt>
                <c:pt idx="79">
                  <c:v>0.30490786570457384</c:v>
                </c:pt>
                <c:pt idx="80">
                  <c:v>0.3533901842685907</c:v>
                </c:pt>
                <c:pt idx="81">
                  <c:v>0.36961059097143534</c:v>
                </c:pt>
                <c:pt idx="82">
                  <c:v>0.30115093326972397</c:v>
                </c:pt>
                <c:pt idx="83">
                  <c:v>0.37253264953187437</c:v>
                </c:pt>
                <c:pt idx="84">
                  <c:v>0.41773510644641898</c:v>
                </c:pt>
                <c:pt idx="85">
                  <c:v>0.37766116047468556</c:v>
                </c:pt>
                <c:pt idx="86">
                  <c:v>0.31230246287792962</c:v>
                </c:pt>
                <c:pt idx="87">
                  <c:v>0.37921164052716327</c:v>
                </c:pt>
                <c:pt idx="88">
                  <c:v>0.34092671000059638</c:v>
                </c:pt>
                <c:pt idx="89">
                  <c:v>0.23477846025404014</c:v>
                </c:pt>
                <c:pt idx="90">
                  <c:v>0.15999761464607309</c:v>
                </c:pt>
                <c:pt idx="91">
                  <c:v>0.20484226847158449</c:v>
                </c:pt>
                <c:pt idx="92">
                  <c:v>0.22988848470391798</c:v>
                </c:pt>
                <c:pt idx="93">
                  <c:v>0.2553521378734569</c:v>
                </c:pt>
                <c:pt idx="94">
                  <c:v>0.27371936311050149</c:v>
                </c:pt>
                <c:pt idx="95">
                  <c:v>0.24676486373665685</c:v>
                </c:pt>
                <c:pt idx="96">
                  <c:v>0.25392092551732381</c:v>
                </c:pt>
                <c:pt idx="97">
                  <c:v>0.23889319577792367</c:v>
                </c:pt>
                <c:pt idx="98">
                  <c:v>0.29089391138410159</c:v>
                </c:pt>
                <c:pt idx="99">
                  <c:v>0.2898205021170015</c:v>
                </c:pt>
                <c:pt idx="100">
                  <c:v>0.30860516429125173</c:v>
                </c:pt>
                <c:pt idx="101">
                  <c:v>0.3585783290595741</c:v>
                </c:pt>
                <c:pt idx="102">
                  <c:v>0.39304669330311892</c:v>
                </c:pt>
                <c:pt idx="103">
                  <c:v>0.41666169717931911</c:v>
                </c:pt>
                <c:pt idx="104">
                  <c:v>0.44397399964219675</c:v>
                </c:pt>
                <c:pt idx="105">
                  <c:v>0.46621742501043606</c:v>
                </c:pt>
                <c:pt idx="106">
                  <c:v>0.44284095652692468</c:v>
                </c:pt>
                <c:pt idx="107">
                  <c:v>0.46585962192140262</c:v>
                </c:pt>
                <c:pt idx="108">
                  <c:v>0.45399248613513032</c:v>
                </c:pt>
                <c:pt idx="109">
                  <c:v>0.45876319398890808</c:v>
                </c:pt>
                <c:pt idx="110">
                  <c:v>0.47307531755024157</c:v>
                </c:pt>
                <c:pt idx="111">
                  <c:v>0.48100661935714717</c:v>
                </c:pt>
                <c:pt idx="112">
                  <c:v>0.47474506529906391</c:v>
                </c:pt>
                <c:pt idx="113">
                  <c:v>0.42870773451010802</c:v>
                </c:pt>
                <c:pt idx="114">
                  <c:v>0.52668614705706962</c:v>
                </c:pt>
                <c:pt idx="115">
                  <c:v>0.55137456020036968</c:v>
                </c:pt>
                <c:pt idx="116">
                  <c:v>0.58703560140735878</c:v>
                </c:pt>
                <c:pt idx="117">
                  <c:v>0.57588407179915313</c:v>
                </c:pt>
                <c:pt idx="118">
                  <c:v>0.59967797721986993</c:v>
                </c:pt>
                <c:pt idx="119">
                  <c:v>0.66640825332458697</c:v>
                </c:pt>
                <c:pt idx="120">
                  <c:v>0.67875245989623711</c:v>
                </c:pt>
                <c:pt idx="121">
                  <c:v>0.67791758602182606</c:v>
                </c:pt>
                <c:pt idx="122">
                  <c:v>0.62502236269306466</c:v>
                </c:pt>
                <c:pt idx="123">
                  <c:v>0.63360963682986471</c:v>
                </c:pt>
                <c:pt idx="124">
                  <c:v>0.63456377840062039</c:v>
                </c:pt>
                <c:pt idx="125">
                  <c:v>0.63402707376707013</c:v>
                </c:pt>
                <c:pt idx="126">
                  <c:v>0.75776730872443188</c:v>
                </c:pt>
                <c:pt idx="127">
                  <c:v>0.81143777207943235</c:v>
                </c:pt>
                <c:pt idx="128">
                  <c:v>0.74071202814717618</c:v>
                </c:pt>
                <c:pt idx="129">
                  <c:v>0.70767487625976511</c:v>
                </c:pt>
                <c:pt idx="130">
                  <c:v>0.70522988848470392</c:v>
                </c:pt>
                <c:pt idx="131">
                  <c:v>0.7393404496392153</c:v>
                </c:pt>
                <c:pt idx="132">
                  <c:v>0.77470332160534339</c:v>
                </c:pt>
                <c:pt idx="133">
                  <c:v>0.80607072574393235</c:v>
                </c:pt>
                <c:pt idx="134">
                  <c:v>0.76814359830639867</c:v>
                </c:pt>
                <c:pt idx="135">
                  <c:v>0.76569861053133748</c:v>
                </c:pt>
                <c:pt idx="136">
                  <c:v>0.80463951338779904</c:v>
                </c:pt>
                <c:pt idx="137">
                  <c:v>0.81084143359771033</c:v>
                </c:pt>
                <c:pt idx="138">
                  <c:v>0.78490070964279335</c:v>
                </c:pt>
                <c:pt idx="139">
                  <c:v>0.78788240205140436</c:v>
                </c:pt>
                <c:pt idx="140">
                  <c:v>0.75887053491561818</c:v>
                </c:pt>
                <c:pt idx="141">
                  <c:v>0.7405331266026598</c:v>
                </c:pt>
                <c:pt idx="142">
                  <c:v>0.75818474566163752</c:v>
                </c:pt>
                <c:pt idx="143">
                  <c:v>0.7538911085932376</c:v>
                </c:pt>
                <c:pt idx="144">
                  <c:v>0.73969825272824874</c:v>
                </c:pt>
                <c:pt idx="145">
                  <c:v>0.77255650307114321</c:v>
                </c:pt>
                <c:pt idx="146">
                  <c:v>0.81692408611127676</c:v>
                </c:pt>
                <c:pt idx="147">
                  <c:v>0.85169061959568237</c:v>
                </c:pt>
                <c:pt idx="148">
                  <c:v>0.82193332935774333</c:v>
                </c:pt>
                <c:pt idx="149">
                  <c:v>0.870296380225416</c:v>
                </c:pt>
                <c:pt idx="150">
                  <c:v>0.8982050211700161</c:v>
                </c:pt>
                <c:pt idx="151">
                  <c:v>0.91991174190470515</c:v>
                </c:pt>
                <c:pt idx="152">
                  <c:v>0.67654600751386473</c:v>
                </c:pt>
                <c:pt idx="153">
                  <c:v>0.85664022899397696</c:v>
                </c:pt>
                <c:pt idx="154">
                  <c:v>0.80255232870177107</c:v>
                </c:pt>
                <c:pt idx="155">
                  <c:v>0.73188621861768755</c:v>
                </c:pt>
                <c:pt idx="156">
                  <c:v>0.69556920508080378</c:v>
                </c:pt>
                <c:pt idx="157">
                  <c:v>0.72133102749120392</c:v>
                </c:pt>
                <c:pt idx="158">
                  <c:v>0.78907507901484886</c:v>
                </c:pt>
                <c:pt idx="159">
                  <c:v>0.89587930109129954</c:v>
                </c:pt>
                <c:pt idx="160">
                  <c:v>0.85192915498837141</c:v>
                </c:pt>
                <c:pt idx="161">
                  <c:v>0.80046514401574353</c:v>
                </c:pt>
                <c:pt idx="162">
                  <c:v>0.82443795098097672</c:v>
                </c:pt>
                <c:pt idx="163">
                  <c:v>0.78430437116107088</c:v>
                </c:pt>
                <c:pt idx="164">
                  <c:v>0.80350647027252675</c:v>
                </c:pt>
                <c:pt idx="165">
                  <c:v>0.83952531456854929</c:v>
                </c:pt>
                <c:pt idx="166">
                  <c:v>0.86081459836603269</c:v>
                </c:pt>
                <c:pt idx="167">
                  <c:v>0.78126304490428766</c:v>
                </c:pt>
                <c:pt idx="168">
                  <c:v>0.78841910668495419</c:v>
                </c:pt>
                <c:pt idx="169">
                  <c:v>0.7685014013954321</c:v>
                </c:pt>
                <c:pt idx="170">
                  <c:v>0.82324527401753245</c:v>
                </c:pt>
                <c:pt idx="171">
                  <c:v>0.94543502892241649</c:v>
                </c:pt>
                <c:pt idx="172">
                  <c:v>0.93684775478561644</c:v>
                </c:pt>
                <c:pt idx="173">
                  <c:v>0.94275150575466626</c:v>
                </c:pt>
                <c:pt idx="174">
                  <c:v>0.94126065955036076</c:v>
                </c:pt>
                <c:pt idx="175">
                  <c:v>1.0329775180392393</c:v>
                </c:pt>
                <c:pt idx="176">
                  <c:v>1.0053670463355</c:v>
                </c:pt>
                <c:pt idx="177">
                  <c:v>1.0550420418629614</c:v>
                </c:pt>
                <c:pt idx="178">
                  <c:v>1.0774643687757171</c:v>
                </c:pt>
                <c:pt idx="179">
                  <c:v>1.066730276104717</c:v>
                </c:pt>
                <c:pt idx="180">
                  <c:v>1.0223626930645833</c:v>
                </c:pt>
                <c:pt idx="181">
                  <c:v>1.0034587631939886</c:v>
                </c:pt>
                <c:pt idx="182">
                  <c:v>1.042936370684</c:v>
                </c:pt>
                <c:pt idx="183">
                  <c:v>1.1170612439620728</c:v>
                </c:pt>
                <c:pt idx="184">
                  <c:v>1.2032321545709346</c:v>
                </c:pt>
                <c:pt idx="185">
                  <c:v>1.2752698431629796</c:v>
                </c:pt>
                <c:pt idx="186">
                  <c:v>1.2338839525314569</c:v>
                </c:pt>
                <c:pt idx="187">
                  <c:v>1.1326256783350228</c:v>
                </c:pt>
                <c:pt idx="188">
                  <c:v>1.2998389886099351</c:v>
                </c:pt>
                <c:pt idx="189">
                  <c:v>1.2591687041564792</c:v>
                </c:pt>
                <c:pt idx="190">
                  <c:v>1.2727652215397458</c:v>
                </c:pt>
                <c:pt idx="191">
                  <c:v>1.3161190291609519</c:v>
                </c:pt>
                <c:pt idx="192">
                  <c:v>1.2269067922953067</c:v>
                </c:pt>
                <c:pt idx="193">
                  <c:v>1.2368656449400683</c:v>
                </c:pt>
                <c:pt idx="194">
                  <c:v>1.1885622279205679</c:v>
                </c:pt>
                <c:pt idx="195">
                  <c:v>1.17413083666289</c:v>
                </c:pt>
                <c:pt idx="196">
                  <c:v>1.246884131433001</c:v>
                </c:pt>
                <c:pt idx="197">
                  <c:v>1.2060945792832012</c:v>
                </c:pt>
                <c:pt idx="198">
                  <c:v>1.1596994454052121</c:v>
                </c:pt>
                <c:pt idx="199">
                  <c:v>1.1605343192796234</c:v>
                </c:pt>
                <c:pt idx="200">
                  <c:v>1.1016757111336397</c:v>
                </c:pt>
                <c:pt idx="201">
                  <c:v>1.1180153855328285</c:v>
                </c:pt>
                <c:pt idx="202">
                  <c:v>1.1035839942751506</c:v>
                </c:pt>
                <c:pt idx="203">
                  <c:v>1.1156300316059395</c:v>
                </c:pt>
                <c:pt idx="204">
                  <c:v>0.97388037450056664</c:v>
                </c:pt>
                <c:pt idx="205">
                  <c:v>0.89230127020096606</c:v>
                </c:pt>
                <c:pt idx="206">
                  <c:v>0.97471524837497747</c:v>
                </c:pt>
                <c:pt idx="207">
                  <c:v>0.96141690023257209</c:v>
                </c:pt>
                <c:pt idx="208">
                  <c:v>1.0992307233585783</c:v>
                </c:pt>
                <c:pt idx="209">
                  <c:v>1.1166438070248672</c:v>
                </c:pt>
                <c:pt idx="210">
                  <c:v>1.1659609994632953</c:v>
                </c:pt>
                <c:pt idx="211">
                  <c:v>1.2107460194406348</c:v>
                </c:pt>
                <c:pt idx="212">
                  <c:v>1.2260122845727235</c:v>
                </c:pt>
                <c:pt idx="213">
                  <c:v>1.2189158566402289</c:v>
                </c:pt>
                <c:pt idx="214">
                  <c:v>1.2918480529548573</c:v>
                </c:pt>
                <c:pt idx="215">
                  <c:v>1.2924443914365797</c:v>
                </c:pt>
                <c:pt idx="216">
                  <c:v>1.2703798676128573</c:v>
                </c:pt>
                <c:pt idx="217">
                  <c:v>1.2557695748106625</c:v>
                </c:pt>
                <c:pt idx="218">
                  <c:v>1.3109308843699683</c:v>
                </c:pt>
                <c:pt idx="219">
                  <c:v>1.2769992247599737</c:v>
                </c:pt>
                <c:pt idx="220">
                  <c:v>1.2713340091836125</c:v>
                </c:pt>
                <c:pt idx="221">
                  <c:v>1.3526149442423518</c:v>
                </c:pt>
                <c:pt idx="222">
                  <c:v>1.3790327389826467</c:v>
                </c:pt>
                <c:pt idx="223">
                  <c:v>1.4591209970779415</c:v>
                </c:pt>
                <c:pt idx="224">
                  <c:v>1.447194227443497</c:v>
                </c:pt>
                <c:pt idx="225">
                  <c:v>1.5250760331564197</c:v>
                </c:pt>
                <c:pt idx="226">
                  <c:v>1.5625857236567477</c:v>
                </c:pt>
                <c:pt idx="227">
                  <c:v>1.6216828671954202</c:v>
                </c:pt>
                <c:pt idx="228">
                  <c:v>1.6705229888484703</c:v>
                </c:pt>
                <c:pt idx="229">
                  <c:v>1.7371339972568429</c:v>
                </c:pt>
                <c:pt idx="230">
                  <c:v>1.6855507185878702</c:v>
                </c:pt>
                <c:pt idx="231">
                  <c:v>1.7583636472061541</c:v>
                </c:pt>
                <c:pt idx="232">
                  <c:v>1.7739280815791045</c:v>
                </c:pt>
                <c:pt idx="233">
                  <c:v>1.7402349573617983</c:v>
                </c:pt>
                <c:pt idx="234">
                  <c:v>1.7893732482557101</c:v>
                </c:pt>
                <c:pt idx="235">
                  <c:v>1.6735643151052537</c:v>
                </c:pt>
                <c:pt idx="236">
                  <c:v>1.6945554296618761</c:v>
                </c:pt>
                <c:pt idx="237">
                  <c:v>1.6977756574631759</c:v>
                </c:pt>
                <c:pt idx="238">
                  <c:v>1.8742918480529549</c:v>
                </c:pt>
                <c:pt idx="239">
                  <c:v>1.9312421730574276</c:v>
                </c:pt>
                <c:pt idx="240">
                  <c:v>2.0599320174130837</c:v>
                </c:pt>
                <c:pt idx="241">
                  <c:v>2.0840837259228335</c:v>
                </c:pt>
                <c:pt idx="242">
                  <c:v>2.1831951815850674</c:v>
                </c:pt>
                <c:pt idx="243">
                  <c:v>2.2567833502295902</c:v>
                </c:pt>
                <c:pt idx="244">
                  <c:v>2.1542131313733672</c:v>
                </c:pt>
                <c:pt idx="245">
                  <c:v>2.3324587035601412</c:v>
                </c:pt>
                <c:pt idx="246">
                  <c:v>2.2656091597590793</c:v>
                </c:pt>
                <c:pt idx="247">
                  <c:v>2.282068101854613</c:v>
                </c:pt>
                <c:pt idx="248">
                  <c:v>2.3854135607370748</c:v>
                </c:pt>
                <c:pt idx="249">
                  <c:v>2.1974476712982285</c:v>
                </c:pt>
                <c:pt idx="250">
                  <c:v>1.9995229292146224</c:v>
                </c:pt>
                <c:pt idx="251">
                  <c:v>1.8720257618224103</c:v>
                </c:pt>
                <c:pt idx="252">
                  <c:v>1.9365495855447552</c:v>
                </c:pt>
                <c:pt idx="253">
                  <c:v>2.0995885264476115</c:v>
                </c:pt>
                <c:pt idx="254">
                  <c:v>2.039358339793667</c:v>
                </c:pt>
                <c:pt idx="255">
                  <c:v>2.0572484942453335</c:v>
                </c:pt>
                <c:pt idx="256">
                  <c:v>2.0859920090643449</c:v>
                </c:pt>
                <c:pt idx="257">
                  <c:v>2.1337587214502953</c:v>
                </c:pt>
                <c:pt idx="258">
                  <c:v>2.1452084202993618</c:v>
                </c:pt>
                <c:pt idx="259">
                  <c:v>2.3475460671477131</c:v>
                </c:pt>
                <c:pt idx="260">
                  <c:v>2.3252430079313018</c:v>
                </c:pt>
              </c:numCache>
            </c:numRef>
          </c:val>
          <c:smooth val="0"/>
          <c:extLst>
            <c:ext xmlns:c16="http://schemas.microsoft.com/office/drawing/2014/chart" uri="{C3380CC4-5D6E-409C-BE32-E72D297353CC}">
              <c16:uniqueId val="{00000004-9678-4776-94A8-B2115644D18B}"/>
            </c:ext>
          </c:extLst>
        </c:ser>
        <c:dLbls>
          <c:showLegendKey val="0"/>
          <c:showVal val="0"/>
          <c:showCatName val="0"/>
          <c:showSerName val="0"/>
          <c:showPercent val="0"/>
          <c:showBubbleSize val="0"/>
        </c:dLbls>
        <c:smooth val="0"/>
        <c:axId val="884667392"/>
        <c:axId val="882847104"/>
      </c:lineChart>
      <c:catAx>
        <c:axId val="884667392"/>
        <c:scaling>
          <c:orientation val="minMax"/>
        </c:scaling>
        <c:delete val="0"/>
        <c:axPos val="b"/>
        <c:numFmt formatCode="dd\ mmm\ yyyy" sourceLinked="0"/>
        <c:majorTickMark val="out"/>
        <c:minorTickMark val="none"/>
        <c:tickLblPos val="low"/>
        <c:txPr>
          <a:bodyPr rot="-2640000" vert="horz"/>
          <a:lstStyle/>
          <a:p>
            <a:pPr>
              <a:defRPr sz="900"/>
            </a:pPr>
            <a:endParaRPr lang="en-US"/>
          </a:p>
        </c:txPr>
        <c:crossAx val="882847104"/>
        <c:crossesAt val="-0.8"/>
        <c:auto val="0"/>
        <c:lblAlgn val="ctr"/>
        <c:lblOffset val="100"/>
        <c:tickLblSkip val="12"/>
        <c:tickMarkSkip val="12"/>
        <c:noMultiLvlLbl val="0"/>
      </c:catAx>
      <c:valAx>
        <c:axId val="882847104"/>
        <c:scaling>
          <c:orientation val="minMax"/>
        </c:scaling>
        <c:delete val="0"/>
        <c:axPos val="l"/>
        <c:majorGridlines>
          <c:spPr>
            <a:ln>
              <a:solidFill>
                <a:schemeClr val="bg1">
                  <a:lumMod val="85000"/>
                </a:schemeClr>
              </a:solidFill>
            </a:ln>
          </c:spPr>
        </c:majorGridlines>
        <c:numFmt formatCode="0%" sourceLinked="1"/>
        <c:majorTickMark val="out"/>
        <c:minorTickMark val="none"/>
        <c:tickLblPos val="low"/>
        <c:txPr>
          <a:bodyPr/>
          <a:lstStyle/>
          <a:p>
            <a:pPr>
              <a:defRPr sz="900"/>
            </a:pPr>
            <a:endParaRPr lang="en-US"/>
          </a:p>
        </c:txPr>
        <c:crossAx val="884667392"/>
        <c:crosses val="autoZero"/>
        <c:crossBetween val="between"/>
      </c:valAx>
      <c:spPr>
        <a:gradFill>
          <a:gsLst>
            <a:gs pos="0">
              <a:schemeClr val="bg1">
                <a:lumMod val="95000"/>
              </a:schemeClr>
            </a:gs>
            <a:gs pos="50000">
              <a:schemeClr val="bg1"/>
            </a:gs>
          </a:gsLst>
          <a:lin ang="16200000" scaled="0"/>
        </a:gradFill>
      </c:spPr>
    </c:plotArea>
    <c:legend>
      <c:legendPos val="b"/>
      <c:layout>
        <c:manualLayout>
          <c:xMode val="edge"/>
          <c:yMode val="edge"/>
          <c:x val="0"/>
          <c:y val="0.87102726539965492"/>
          <c:w val="0.99909181194222407"/>
          <c:h val="0.12897273460034506"/>
        </c:manualLayout>
      </c:layout>
      <c:overlay val="0"/>
    </c:legend>
    <c:plotVisOnly val="1"/>
    <c:dispBlanksAs val="gap"/>
    <c:showDLblsOverMax val="0"/>
  </c:chart>
  <c:spPr>
    <a:solidFill>
      <a:schemeClr val="bg1"/>
    </a:solidFill>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'Market Data'!$B$40</c:f>
          <c:strCache>
            <c:ptCount val="1"/>
            <c:pt idx="0">
              <c:v>Share Price Growth Compared to Peers</c:v>
            </c:pt>
          </c:strCache>
        </c:strRef>
      </c:tx>
      <c:layout>
        <c:manualLayout>
          <c:xMode val="edge"/>
          <c:yMode val="edge"/>
          <c:x val="0.36016193208967812"/>
          <c:y val="1.8239641894073351E-2"/>
        </c:manualLayout>
      </c:layout>
      <c:overlay val="0"/>
      <c:txPr>
        <a:bodyPr/>
        <a:lstStyle/>
        <a:p>
          <a:pPr>
            <a:defRPr sz="1000"/>
          </a:pPr>
          <a:endParaRPr lang="en-US"/>
        </a:p>
      </c:txPr>
    </c:title>
    <c:autoTitleDeleted val="0"/>
    <c:plotArea>
      <c:layout>
        <c:manualLayout>
          <c:layoutTarget val="inner"/>
          <c:xMode val="edge"/>
          <c:yMode val="edge"/>
          <c:x val="5.7279517053247755E-2"/>
          <c:y val="0.11640520475735167"/>
          <c:w val="0.92470955135777766"/>
          <c:h val="0.62955996766667577"/>
        </c:manualLayout>
      </c:layout>
      <c:lineChart>
        <c:grouping val="standard"/>
        <c:varyColors val="0"/>
        <c:ser>
          <c:idx val="0"/>
          <c:order val="0"/>
          <c:tx>
            <c:strRef>
              <c:f>'Price Data'!$S$5</c:f>
              <c:strCache>
                <c:ptCount val="1"/>
                <c:pt idx="0">
                  <c:v>Walmart</c:v>
                </c:pt>
              </c:strCache>
            </c:strRef>
          </c:tx>
          <c:spPr>
            <a:ln w="22225">
              <a:solidFill>
                <a:srgbClr val="0000FF"/>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Data'!$S$7:$S$267</c:f>
              <c:numCache>
                <c:formatCode>0%</c:formatCode>
                <c:ptCount val="261"/>
                <c:pt idx="0">
                  <c:v>0</c:v>
                </c:pt>
                <c:pt idx="1">
                  <c:v>1.137624861265274E-2</c:v>
                </c:pt>
                <c:pt idx="2">
                  <c:v>1.4844617092119927E-2</c:v>
                </c:pt>
                <c:pt idx="3">
                  <c:v>3.9678135405105452E-2</c:v>
                </c:pt>
                <c:pt idx="4">
                  <c:v>4.3007769145394059E-2</c:v>
                </c:pt>
                <c:pt idx="5">
                  <c:v>6.1320754716981174E-2</c:v>
                </c:pt>
                <c:pt idx="6">
                  <c:v>5.0360710321864621E-2</c:v>
                </c:pt>
                <c:pt idx="7">
                  <c:v>9.2813540510543913E-2</c:v>
                </c:pt>
                <c:pt idx="8">
                  <c:v>8.3934517203107628E-2</c:v>
                </c:pt>
                <c:pt idx="9">
                  <c:v>0.10460599334073262</c:v>
                </c:pt>
                <c:pt idx="10">
                  <c:v>0.10183129855715878</c:v>
                </c:pt>
                <c:pt idx="11">
                  <c:v>4.3840177580466211E-2</c:v>
                </c:pt>
                <c:pt idx="12">
                  <c:v>3.8290788013318533E-2</c:v>
                </c:pt>
                <c:pt idx="13">
                  <c:v>4.9944506104328656E-2</c:v>
                </c:pt>
                <c:pt idx="14">
                  <c:v>4.5088790233074327E-2</c:v>
                </c:pt>
                <c:pt idx="15">
                  <c:v>5.9100998890122103E-2</c:v>
                </c:pt>
                <c:pt idx="16">
                  <c:v>5.6465038845727067E-2</c:v>
                </c:pt>
                <c:pt idx="17">
                  <c:v>0.10724195338512765</c:v>
                </c:pt>
                <c:pt idx="18">
                  <c:v>0.1165371809100999</c:v>
                </c:pt>
                <c:pt idx="19">
                  <c:v>0.11542730299667037</c:v>
                </c:pt>
                <c:pt idx="20">
                  <c:v>0.10030521642619328</c:v>
                </c:pt>
                <c:pt idx="21">
                  <c:v>9.0871254162042225E-2</c:v>
                </c:pt>
                <c:pt idx="22">
                  <c:v>8.7264150943396235E-2</c:v>
                </c:pt>
                <c:pt idx="23">
                  <c:v>9.4339622641509413E-2</c:v>
                </c:pt>
                <c:pt idx="24">
                  <c:v>0.11514983351831298</c:v>
                </c:pt>
                <c:pt idx="25">
                  <c:v>0.10335738068812428</c:v>
                </c:pt>
                <c:pt idx="26">
                  <c:v>8.4073251942286431E-2</c:v>
                </c:pt>
                <c:pt idx="27">
                  <c:v>9.6004439511653716E-2</c:v>
                </c:pt>
                <c:pt idx="28">
                  <c:v>0.20172031076581587</c:v>
                </c:pt>
                <c:pt idx="29">
                  <c:v>0.21309655937846839</c:v>
                </c:pt>
                <c:pt idx="30">
                  <c:v>0.22322419533851279</c:v>
                </c:pt>
                <c:pt idx="31">
                  <c:v>0.24417314095449516</c:v>
                </c:pt>
                <c:pt idx="32">
                  <c:v>0.26137624861265274</c:v>
                </c:pt>
                <c:pt idx="33">
                  <c:v>0.35224750277469474</c:v>
                </c:pt>
                <c:pt idx="34">
                  <c:v>0.34045504994450626</c:v>
                </c:pt>
                <c:pt idx="35">
                  <c:v>0.35058268590455044</c:v>
                </c:pt>
                <c:pt idx="36">
                  <c:v>0.33948390677025531</c:v>
                </c:pt>
                <c:pt idx="37">
                  <c:v>0.34725305216426205</c:v>
                </c:pt>
                <c:pt idx="38">
                  <c:v>0.36251387347391772</c:v>
                </c:pt>
                <c:pt idx="39">
                  <c:v>0.37000554938956709</c:v>
                </c:pt>
                <c:pt idx="40">
                  <c:v>0.38915094339622636</c:v>
                </c:pt>
                <c:pt idx="41">
                  <c:v>0.39941731409544956</c:v>
                </c:pt>
                <c:pt idx="42">
                  <c:v>0.4510266370699223</c:v>
                </c:pt>
                <c:pt idx="43">
                  <c:v>0.50374583795782479</c:v>
                </c:pt>
                <c:pt idx="44">
                  <c:v>0.4495005549389568</c:v>
                </c:pt>
                <c:pt idx="45">
                  <c:v>0.37860710321864599</c:v>
                </c:pt>
                <c:pt idx="46">
                  <c:v>0.45366259711431756</c:v>
                </c:pt>
                <c:pt idx="47">
                  <c:v>0.28870699223085472</c:v>
                </c:pt>
                <c:pt idx="48">
                  <c:v>0.23154827968923408</c:v>
                </c:pt>
                <c:pt idx="49">
                  <c:v>0.23085460599334073</c:v>
                </c:pt>
                <c:pt idx="50">
                  <c:v>0.23709766925638176</c:v>
                </c:pt>
                <c:pt idx="51">
                  <c:v>0.18507214206437306</c:v>
                </c:pt>
                <c:pt idx="52">
                  <c:v>0.23432297447280792</c:v>
                </c:pt>
                <c:pt idx="53">
                  <c:v>0.2026914539400666</c:v>
                </c:pt>
                <c:pt idx="54">
                  <c:v>0.19339622641509435</c:v>
                </c:pt>
                <c:pt idx="55">
                  <c:v>0.20671476137624878</c:v>
                </c:pt>
                <c:pt idx="56">
                  <c:v>0.21101553829078812</c:v>
                </c:pt>
                <c:pt idx="57">
                  <c:v>0.21434517203107673</c:v>
                </c:pt>
                <c:pt idx="58">
                  <c:v>0.15677025527192012</c:v>
                </c:pt>
                <c:pt idx="59">
                  <c:v>0.16037735849056611</c:v>
                </c:pt>
                <c:pt idx="60">
                  <c:v>0.14400665926748046</c:v>
                </c:pt>
                <c:pt idx="61">
                  <c:v>0.15135960044395103</c:v>
                </c:pt>
                <c:pt idx="62">
                  <c:v>0.17036625971143171</c:v>
                </c:pt>
                <c:pt idx="63">
                  <c:v>0.16120976692563826</c:v>
                </c:pt>
                <c:pt idx="64">
                  <c:v>0.17674805771365154</c:v>
                </c:pt>
                <c:pt idx="65">
                  <c:v>0.18826304106548286</c:v>
                </c:pt>
                <c:pt idx="66">
                  <c:v>0.1724472807991122</c:v>
                </c:pt>
                <c:pt idx="67">
                  <c:v>0.21670366259711438</c:v>
                </c:pt>
                <c:pt idx="68">
                  <c:v>0.22169811320754729</c:v>
                </c:pt>
                <c:pt idx="69">
                  <c:v>0.22266925638179802</c:v>
                </c:pt>
                <c:pt idx="70">
                  <c:v>0.2430632630410654</c:v>
                </c:pt>
                <c:pt idx="71">
                  <c:v>0.25110987791342976</c:v>
                </c:pt>
                <c:pt idx="72">
                  <c:v>0.35751942286348504</c:v>
                </c:pt>
                <c:pt idx="73">
                  <c:v>0.31728634850166482</c:v>
                </c:pt>
                <c:pt idx="74">
                  <c:v>0.32991120976692567</c:v>
                </c:pt>
                <c:pt idx="75">
                  <c:v>0.32949500554938949</c:v>
                </c:pt>
                <c:pt idx="76">
                  <c:v>0.31229189789123213</c:v>
                </c:pt>
                <c:pt idx="77">
                  <c:v>0.33046614872364044</c:v>
                </c:pt>
                <c:pt idx="78">
                  <c:v>0.30285793562708108</c:v>
                </c:pt>
                <c:pt idx="79">
                  <c:v>0.29453385127635956</c:v>
                </c:pt>
                <c:pt idx="80">
                  <c:v>0.31534406215316313</c:v>
                </c:pt>
                <c:pt idx="81">
                  <c:v>0.34780799112097682</c:v>
                </c:pt>
                <c:pt idx="82">
                  <c:v>0.37264150943396235</c:v>
                </c:pt>
                <c:pt idx="83">
                  <c:v>0.40593784683684797</c:v>
                </c:pt>
                <c:pt idx="84">
                  <c:v>0.46448390677025531</c:v>
                </c:pt>
                <c:pt idx="85">
                  <c:v>0.35529966703662597</c:v>
                </c:pt>
                <c:pt idx="86">
                  <c:v>0.31936736958934508</c:v>
                </c:pt>
                <c:pt idx="87">
                  <c:v>0.35474472807991142</c:v>
                </c:pt>
                <c:pt idx="88">
                  <c:v>0.29286903440621526</c:v>
                </c:pt>
                <c:pt idx="89">
                  <c:v>0.27427857935627076</c:v>
                </c:pt>
                <c:pt idx="90">
                  <c:v>0.20879578246392883</c:v>
                </c:pt>
                <c:pt idx="91">
                  <c:v>0.27816315205327413</c:v>
                </c:pt>
                <c:pt idx="92">
                  <c:v>0.29633740288568267</c:v>
                </c:pt>
                <c:pt idx="93">
                  <c:v>0.31576026637069932</c:v>
                </c:pt>
                <c:pt idx="94">
                  <c:v>0.35585460599334073</c:v>
                </c:pt>
                <c:pt idx="95">
                  <c:v>0.34489456159822418</c:v>
                </c:pt>
                <c:pt idx="96">
                  <c:v>0.30216426193118751</c:v>
                </c:pt>
                <c:pt idx="97">
                  <c:v>0.3260266370699223</c:v>
                </c:pt>
                <c:pt idx="98">
                  <c:v>0.38720865704772467</c:v>
                </c:pt>
                <c:pt idx="99">
                  <c:v>0.38110432852386245</c:v>
                </c:pt>
                <c:pt idx="100">
                  <c:v>0.35862930077691457</c:v>
                </c:pt>
                <c:pt idx="101">
                  <c:v>0.35391231964483905</c:v>
                </c:pt>
                <c:pt idx="102">
                  <c:v>0.36542730299667037</c:v>
                </c:pt>
                <c:pt idx="103">
                  <c:v>0.36348501664816868</c:v>
                </c:pt>
                <c:pt idx="104">
                  <c:v>0.35307991120976689</c:v>
                </c:pt>
                <c:pt idx="105">
                  <c:v>0.37111542730299663</c:v>
                </c:pt>
                <c:pt idx="106">
                  <c:v>0.40899001109877919</c:v>
                </c:pt>
                <c:pt idx="107">
                  <c:v>0.43146503884572707</c:v>
                </c:pt>
                <c:pt idx="108">
                  <c:v>0.40857380688124301</c:v>
                </c:pt>
                <c:pt idx="109">
                  <c:v>0.41620421753607095</c:v>
                </c:pt>
                <c:pt idx="110">
                  <c:v>0.4138457269700333</c:v>
                </c:pt>
                <c:pt idx="111">
                  <c:v>0.39927857935627076</c:v>
                </c:pt>
                <c:pt idx="112">
                  <c:v>0.42438956714761389</c:v>
                </c:pt>
                <c:pt idx="113">
                  <c:v>0.40732519422863489</c:v>
                </c:pt>
                <c:pt idx="114">
                  <c:v>0.4714206437291899</c:v>
                </c:pt>
                <c:pt idx="115">
                  <c:v>0.51317980022197562</c:v>
                </c:pt>
                <c:pt idx="116">
                  <c:v>0.54175915649278572</c:v>
                </c:pt>
                <c:pt idx="117">
                  <c:v>0.53288013318534966</c:v>
                </c:pt>
                <c:pt idx="118">
                  <c:v>0.55355160932297465</c:v>
                </c:pt>
                <c:pt idx="119">
                  <c:v>0.58990011098779127</c:v>
                </c:pt>
                <c:pt idx="120">
                  <c:v>0.58018867924528306</c:v>
                </c:pt>
                <c:pt idx="121">
                  <c:v>0.56798002219755817</c:v>
                </c:pt>
                <c:pt idx="122">
                  <c:v>0.51775804661487257</c:v>
                </c:pt>
                <c:pt idx="123">
                  <c:v>0.4883462819089901</c:v>
                </c:pt>
                <c:pt idx="124">
                  <c:v>0.5675638179800222</c:v>
                </c:pt>
                <c:pt idx="125">
                  <c:v>0.53759711431742518</c:v>
                </c:pt>
                <c:pt idx="126">
                  <c:v>0.58518312985571597</c:v>
                </c:pt>
                <c:pt idx="127">
                  <c:v>0.59170366259711438</c:v>
                </c:pt>
                <c:pt idx="128">
                  <c:v>0.62916204217536076</c:v>
                </c:pt>
                <c:pt idx="129">
                  <c:v>0.62291897891231973</c:v>
                </c:pt>
                <c:pt idx="130">
                  <c:v>0.64331298557158711</c:v>
                </c:pt>
                <c:pt idx="131">
                  <c:v>0.63928967813540516</c:v>
                </c:pt>
                <c:pt idx="132">
                  <c:v>0.66814650388457264</c:v>
                </c:pt>
                <c:pt idx="133">
                  <c:v>0.65288568257491675</c:v>
                </c:pt>
                <c:pt idx="134">
                  <c:v>0.65149833518313005</c:v>
                </c:pt>
                <c:pt idx="135">
                  <c:v>0.63179800221975602</c:v>
                </c:pt>
                <c:pt idx="136">
                  <c:v>0.65704772475027751</c:v>
                </c:pt>
                <c:pt idx="137">
                  <c:v>0.64913984461709218</c:v>
                </c:pt>
                <c:pt idx="138">
                  <c:v>0.65593784683684797</c:v>
                </c:pt>
                <c:pt idx="139">
                  <c:v>0.6521920088790234</c:v>
                </c:pt>
                <c:pt idx="140">
                  <c:v>0.66176470588235303</c:v>
                </c:pt>
                <c:pt idx="141">
                  <c:v>0.66884017758046621</c:v>
                </c:pt>
                <c:pt idx="142">
                  <c:v>0.66884017758046621</c:v>
                </c:pt>
                <c:pt idx="143">
                  <c:v>0.659128745837958</c:v>
                </c:pt>
                <c:pt idx="144">
                  <c:v>0.63554384017758059</c:v>
                </c:pt>
                <c:pt idx="145">
                  <c:v>0.61459489456159822</c:v>
                </c:pt>
                <c:pt idx="146">
                  <c:v>0.59489456159822418</c:v>
                </c:pt>
                <c:pt idx="147">
                  <c:v>0.58670921198668147</c:v>
                </c:pt>
                <c:pt idx="148">
                  <c:v>0.58837402885682577</c:v>
                </c:pt>
                <c:pt idx="149">
                  <c:v>0.61556603773584917</c:v>
                </c:pt>
                <c:pt idx="150">
                  <c:v>0.63554384017758059</c:v>
                </c:pt>
                <c:pt idx="151">
                  <c:v>0.64511653718091022</c:v>
                </c:pt>
                <c:pt idx="152">
                  <c:v>0.49389567147613778</c:v>
                </c:pt>
                <c:pt idx="153">
                  <c:v>0.62638734739178692</c:v>
                </c:pt>
                <c:pt idx="154">
                  <c:v>0.58296337402885667</c:v>
                </c:pt>
                <c:pt idx="155">
                  <c:v>0.58115982241953379</c:v>
                </c:pt>
                <c:pt idx="156">
                  <c:v>0.5202552719200888</c:v>
                </c:pt>
                <c:pt idx="157">
                  <c:v>0.65760266370699227</c:v>
                </c:pt>
                <c:pt idx="158">
                  <c:v>0.68978912319644836</c:v>
                </c:pt>
                <c:pt idx="159">
                  <c:v>0.8329633740288569</c:v>
                </c:pt>
                <c:pt idx="160">
                  <c:v>0.7957824639289679</c:v>
                </c:pt>
                <c:pt idx="161">
                  <c:v>0.70532741398446186</c:v>
                </c:pt>
                <c:pt idx="162">
                  <c:v>0.70560488346281902</c:v>
                </c:pt>
                <c:pt idx="163">
                  <c:v>0.74722530521642616</c:v>
                </c:pt>
                <c:pt idx="164">
                  <c:v>0.72488901220865709</c:v>
                </c:pt>
                <c:pt idx="165">
                  <c:v>0.72114317425083252</c:v>
                </c:pt>
                <c:pt idx="166">
                  <c:v>0.68645948945615998</c:v>
                </c:pt>
                <c:pt idx="167">
                  <c:v>0.6334628190899001</c:v>
                </c:pt>
                <c:pt idx="168">
                  <c:v>0.66273584905660377</c:v>
                </c:pt>
                <c:pt idx="169">
                  <c:v>0.64150943396226401</c:v>
                </c:pt>
                <c:pt idx="170">
                  <c:v>0.65385682574916748</c:v>
                </c:pt>
                <c:pt idx="171">
                  <c:v>0.81298557158712548</c:v>
                </c:pt>
                <c:pt idx="172">
                  <c:v>0.82769145394006682</c:v>
                </c:pt>
                <c:pt idx="173">
                  <c:v>0.82075471698113223</c:v>
                </c:pt>
                <c:pt idx="174">
                  <c:v>0.79522752497225313</c:v>
                </c:pt>
                <c:pt idx="175">
                  <c:v>0.80313540510543846</c:v>
                </c:pt>
                <c:pt idx="176">
                  <c:v>0.83962264150943389</c:v>
                </c:pt>
                <c:pt idx="177">
                  <c:v>0.82616537180910088</c:v>
                </c:pt>
                <c:pt idx="178">
                  <c:v>0.9464483906770258</c:v>
                </c:pt>
                <c:pt idx="179">
                  <c:v>0.9815482796892343</c:v>
                </c:pt>
                <c:pt idx="180">
                  <c:v>0.89650388457269692</c:v>
                </c:pt>
                <c:pt idx="181">
                  <c:v>0.87694228634850169</c:v>
                </c:pt>
                <c:pt idx="182">
                  <c:v>0.90441176470588247</c:v>
                </c:pt>
                <c:pt idx="183">
                  <c:v>0.94922308546059941</c:v>
                </c:pt>
                <c:pt idx="184">
                  <c:v>0.98085460599334073</c:v>
                </c:pt>
                <c:pt idx="185">
                  <c:v>1.0076304106548282</c:v>
                </c:pt>
                <c:pt idx="186">
                  <c:v>0.99569922308546066</c:v>
                </c:pt>
                <c:pt idx="187">
                  <c:v>0.92494450610432866</c:v>
                </c:pt>
                <c:pt idx="188">
                  <c:v>1.0223362930077693</c:v>
                </c:pt>
                <c:pt idx="189">
                  <c:v>1.0885127635960044</c:v>
                </c:pt>
                <c:pt idx="190">
                  <c:v>1.0843507214206438</c:v>
                </c:pt>
                <c:pt idx="191">
                  <c:v>1.1032186459489455</c:v>
                </c:pt>
                <c:pt idx="192">
                  <c:v>1.0658990011098779</c:v>
                </c:pt>
                <c:pt idx="193">
                  <c:v>1.0394006659267481</c:v>
                </c:pt>
                <c:pt idx="194">
                  <c:v>1.0248335183129855</c:v>
                </c:pt>
                <c:pt idx="195">
                  <c:v>0.99084350721420655</c:v>
                </c:pt>
                <c:pt idx="196">
                  <c:v>0.99986126526082142</c:v>
                </c:pt>
                <c:pt idx="197">
                  <c:v>1.0342674805771366</c:v>
                </c:pt>
                <c:pt idx="198">
                  <c:v>1.0066592674805772</c:v>
                </c:pt>
                <c:pt idx="199">
                  <c:v>1.030105438401776</c:v>
                </c:pt>
                <c:pt idx="200">
                  <c:v>0.94908435072142083</c:v>
                </c:pt>
                <c:pt idx="201">
                  <c:v>1.0027746947835738</c:v>
                </c:pt>
                <c:pt idx="202">
                  <c:v>1.0043007769145396</c:v>
                </c:pt>
                <c:pt idx="203">
                  <c:v>0.9192563817980024</c:v>
                </c:pt>
                <c:pt idx="204">
                  <c:v>0.80244173140954489</c:v>
                </c:pt>
                <c:pt idx="205">
                  <c:v>0.79134295227524976</c:v>
                </c:pt>
                <c:pt idx="206">
                  <c:v>0.86071032186459506</c:v>
                </c:pt>
                <c:pt idx="207">
                  <c:v>0.82769145394006682</c:v>
                </c:pt>
                <c:pt idx="208">
                  <c:v>0.87472253052164262</c:v>
                </c:pt>
                <c:pt idx="209">
                  <c:v>0.88152053274139863</c:v>
                </c:pt>
                <c:pt idx="210">
                  <c:v>0.93923418423973359</c:v>
                </c:pt>
                <c:pt idx="211">
                  <c:v>0.95074916759156514</c:v>
                </c:pt>
                <c:pt idx="212">
                  <c:v>0.94089900110987812</c:v>
                </c:pt>
                <c:pt idx="213">
                  <c:v>0.9410377358490567</c:v>
                </c:pt>
                <c:pt idx="214">
                  <c:v>0.94506104328523843</c:v>
                </c:pt>
                <c:pt idx="215">
                  <c:v>0.93562708102108783</c:v>
                </c:pt>
                <c:pt idx="216">
                  <c:v>0.96656492785793557</c:v>
                </c:pt>
                <c:pt idx="217">
                  <c:v>0.97044950055493895</c:v>
                </c:pt>
                <c:pt idx="218">
                  <c:v>0.96795227524972249</c:v>
                </c:pt>
                <c:pt idx="219">
                  <c:v>0.9526914539400666</c:v>
                </c:pt>
                <c:pt idx="220">
                  <c:v>0.87527746947835716</c:v>
                </c:pt>
                <c:pt idx="221">
                  <c:v>0.92189234184239743</c:v>
                </c:pt>
                <c:pt idx="222">
                  <c:v>0.94381243063263054</c:v>
                </c:pt>
                <c:pt idx="223">
                  <c:v>0.9464483906770258</c:v>
                </c:pt>
                <c:pt idx="224">
                  <c:v>0.96392896781354054</c:v>
                </c:pt>
                <c:pt idx="225">
                  <c:v>0.97599889012208663</c:v>
                </c:pt>
                <c:pt idx="226">
                  <c:v>0.97766370699223115</c:v>
                </c:pt>
                <c:pt idx="227">
                  <c:v>1.0148446170921197</c:v>
                </c:pt>
                <c:pt idx="228">
                  <c:v>1.0745005549389566</c:v>
                </c:pt>
                <c:pt idx="229">
                  <c:v>1.101137624861265</c:v>
                </c:pt>
                <c:pt idx="230">
                  <c:v>1.0327413984461713</c:v>
                </c:pt>
                <c:pt idx="231">
                  <c:v>1.0706159822419536</c:v>
                </c:pt>
                <c:pt idx="232">
                  <c:v>1.0240011098779132</c:v>
                </c:pt>
                <c:pt idx="233">
                  <c:v>1.0079078801331853</c:v>
                </c:pt>
                <c:pt idx="234">
                  <c:v>0.98626526082130961</c:v>
                </c:pt>
                <c:pt idx="235">
                  <c:v>0.90135960044395147</c:v>
                </c:pt>
                <c:pt idx="236">
                  <c:v>0.93756936736958929</c:v>
                </c:pt>
                <c:pt idx="237">
                  <c:v>0.94991675915649298</c:v>
                </c:pt>
                <c:pt idx="238">
                  <c:v>1.0579911209766926</c:v>
                </c:pt>
                <c:pt idx="239">
                  <c:v>1.0729744728079909</c:v>
                </c:pt>
                <c:pt idx="240">
                  <c:v>1.0842119866814648</c:v>
                </c:pt>
                <c:pt idx="241">
                  <c:v>1.0499445061043287</c:v>
                </c:pt>
                <c:pt idx="242">
                  <c:v>0.97544395116537164</c:v>
                </c:pt>
                <c:pt idx="243">
                  <c:v>1.0102663706992234</c:v>
                </c:pt>
                <c:pt idx="244">
                  <c:v>0.90774139844617086</c:v>
                </c:pt>
                <c:pt idx="245">
                  <c:v>0.95657602663706998</c:v>
                </c:pt>
                <c:pt idx="246">
                  <c:v>0.92494450610432866</c:v>
                </c:pt>
                <c:pt idx="247">
                  <c:v>0.93521087680355186</c:v>
                </c:pt>
                <c:pt idx="248">
                  <c:v>1.0073529411764706</c:v>
                </c:pt>
                <c:pt idx="249">
                  <c:v>1.0101276359600444</c:v>
                </c:pt>
                <c:pt idx="250">
                  <c:v>1.0124861265260821</c:v>
                </c:pt>
                <c:pt idx="251">
                  <c:v>0.94492230854605985</c:v>
                </c:pt>
                <c:pt idx="252">
                  <c:v>0.90788013318534988</c:v>
                </c:pt>
                <c:pt idx="253">
                  <c:v>0.93299112097669279</c:v>
                </c:pt>
                <c:pt idx="254">
                  <c:v>0.87749722530521668</c:v>
                </c:pt>
                <c:pt idx="255">
                  <c:v>0.91440066592674829</c:v>
                </c:pt>
                <c:pt idx="256">
                  <c:v>0.892064372918979</c:v>
                </c:pt>
                <c:pt idx="257">
                  <c:v>0.9814095449500555</c:v>
                </c:pt>
                <c:pt idx="258">
                  <c:v>0.97100443951165372</c:v>
                </c:pt>
                <c:pt idx="259">
                  <c:v>1.0177580466148726</c:v>
                </c:pt>
                <c:pt idx="260">
                  <c:v>0.99500554938956731</c:v>
                </c:pt>
              </c:numCache>
            </c:numRef>
          </c:val>
          <c:smooth val="0"/>
          <c:extLst>
            <c:ext xmlns:c16="http://schemas.microsoft.com/office/drawing/2014/chart" uri="{C3380CC4-5D6E-409C-BE32-E72D297353CC}">
              <c16:uniqueId val="{00000000-0426-454C-921C-53056DB4618A}"/>
            </c:ext>
          </c:extLst>
        </c:ser>
        <c:ser>
          <c:idx val="1"/>
          <c:order val="1"/>
          <c:tx>
            <c:strRef>
              <c:f>'Price Data'!$X$5</c:f>
              <c:strCache>
                <c:ptCount val="1"/>
                <c:pt idx="0">
                  <c:v>Costco</c:v>
                </c:pt>
              </c:strCache>
            </c:strRef>
          </c:tx>
          <c:spPr>
            <a:ln w="22225">
              <a:solidFill>
                <a:srgbClr val="FF0000"/>
              </a:solidFill>
              <a:prstDash val="sysDash"/>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Data'!$X$7:$X$267</c:f>
              <c:numCache>
                <c:formatCode>0%</c:formatCode>
                <c:ptCount val="261"/>
                <c:pt idx="0">
                  <c:v>0</c:v>
                </c:pt>
                <c:pt idx="1">
                  <c:v>1.7472717514461333E-2</c:v>
                </c:pt>
                <c:pt idx="2">
                  <c:v>6.8578925398057322E-3</c:v>
                </c:pt>
                <c:pt idx="3">
                  <c:v>1.8367225237044593E-2</c:v>
                </c:pt>
                <c:pt idx="4">
                  <c:v>5.8620072753294838E-2</c:v>
                </c:pt>
                <c:pt idx="5">
                  <c:v>7.4601944063450443E-2</c:v>
                </c:pt>
                <c:pt idx="6">
                  <c:v>1.9023197566939043E-2</c:v>
                </c:pt>
                <c:pt idx="7">
                  <c:v>2.3555370028027767E-2</c:v>
                </c:pt>
                <c:pt idx="8">
                  <c:v>6.064762359115039E-2</c:v>
                </c:pt>
                <c:pt idx="9">
                  <c:v>7.9193750372711591E-2</c:v>
                </c:pt>
                <c:pt idx="10">
                  <c:v>7.567535333055031E-2</c:v>
                </c:pt>
                <c:pt idx="11">
                  <c:v>-3.4587631939888563E-3</c:v>
                </c:pt>
                <c:pt idx="12">
                  <c:v>-6.2973343669867066E-2</c:v>
                </c:pt>
                <c:pt idx="13">
                  <c:v>-4.6275866181644698E-2</c:v>
                </c:pt>
                <c:pt idx="14">
                  <c:v>-8.0982765817878111E-2</c:v>
                </c:pt>
                <c:pt idx="15">
                  <c:v>-8.7602122964994922E-2</c:v>
                </c:pt>
                <c:pt idx="16">
                  <c:v>-0.10286838809708387</c:v>
                </c:pt>
                <c:pt idx="17">
                  <c:v>-8.8258095294889483E-2</c:v>
                </c:pt>
                <c:pt idx="18">
                  <c:v>-6.7088079193750372E-2</c:v>
                </c:pt>
                <c:pt idx="19">
                  <c:v>-6.5835768382133675E-2</c:v>
                </c:pt>
                <c:pt idx="20">
                  <c:v>-6.3271512910728078E-2</c:v>
                </c:pt>
                <c:pt idx="21">
                  <c:v>-9.0881984614467282E-2</c:v>
                </c:pt>
                <c:pt idx="22">
                  <c:v>-5.6353986522750255E-2</c:v>
                </c:pt>
                <c:pt idx="23">
                  <c:v>-6.1899934402766976E-2</c:v>
                </c:pt>
                <c:pt idx="24">
                  <c:v>-3.2142644164827927E-2</c:v>
                </c:pt>
                <c:pt idx="25">
                  <c:v>-3.8165662830222491E-2</c:v>
                </c:pt>
                <c:pt idx="26">
                  <c:v>-2.027550837855574E-2</c:v>
                </c:pt>
                <c:pt idx="27">
                  <c:v>-6.3211879062555876E-2</c:v>
                </c:pt>
                <c:pt idx="28">
                  <c:v>-4.675293696702254E-2</c:v>
                </c:pt>
                <c:pt idx="29">
                  <c:v>-4.126662293517791E-2</c:v>
                </c:pt>
                <c:pt idx="30">
                  <c:v>-3.1665573379450196E-2</c:v>
                </c:pt>
                <c:pt idx="31">
                  <c:v>-7.4542310215278684E-3</c:v>
                </c:pt>
                <c:pt idx="32">
                  <c:v>2.1885622279205874E-2</c:v>
                </c:pt>
                <c:pt idx="33">
                  <c:v>1.9619536048661068E-2</c:v>
                </c:pt>
                <c:pt idx="34">
                  <c:v>2.3436102331683584E-2</c:v>
                </c:pt>
                <c:pt idx="35">
                  <c:v>0.10400143121235605</c:v>
                </c:pt>
                <c:pt idx="36">
                  <c:v>0.12153378257498959</c:v>
                </c:pt>
                <c:pt idx="37">
                  <c:v>0.14932315582324529</c:v>
                </c:pt>
                <c:pt idx="38">
                  <c:v>0.11294650843818954</c:v>
                </c:pt>
                <c:pt idx="39">
                  <c:v>0.1099051821814061</c:v>
                </c:pt>
                <c:pt idx="40">
                  <c:v>0.11962549943347844</c:v>
                </c:pt>
                <c:pt idx="41">
                  <c:v>0.14401574333591749</c:v>
                </c:pt>
                <c:pt idx="42">
                  <c:v>0.14669926650366749</c:v>
                </c:pt>
                <c:pt idx="43">
                  <c:v>0.18617687399367888</c:v>
                </c:pt>
                <c:pt idx="44">
                  <c:v>0.13894686624127872</c:v>
                </c:pt>
                <c:pt idx="45">
                  <c:v>7.7702904168406084E-2</c:v>
                </c:pt>
                <c:pt idx="46">
                  <c:v>0.14234599558709538</c:v>
                </c:pt>
                <c:pt idx="47">
                  <c:v>0.13191007215695638</c:v>
                </c:pt>
                <c:pt idx="48">
                  <c:v>0.12904764744468977</c:v>
                </c:pt>
                <c:pt idx="49">
                  <c:v>0.12457510883177303</c:v>
                </c:pt>
                <c:pt idx="50">
                  <c:v>0.1084143359771006</c:v>
                </c:pt>
                <c:pt idx="51">
                  <c:v>7.8418510346472736E-2</c:v>
                </c:pt>
                <c:pt idx="52">
                  <c:v>0.12368060110918955</c:v>
                </c:pt>
                <c:pt idx="53">
                  <c:v>9.7024270976206139E-2</c:v>
                </c:pt>
                <c:pt idx="54">
                  <c:v>0.12654302582145616</c:v>
                </c:pt>
                <c:pt idx="55">
                  <c:v>0.15427276522153988</c:v>
                </c:pt>
                <c:pt idx="56">
                  <c:v>0.17228218736955103</c:v>
                </c:pt>
                <c:pt idx="57">
                  <c:v>0.163993082473612</c:v>
                </c:pt>
                <c:pt idx="58">
                  <c:v>0.16739221181942865</c:v>
                </c:pt>
                <c:pt idx="59">
                  <c:v>0.18647504323453989</c:v>
                </c:pt>
                <c:pt idx="60">
                  <c:v>0.18289701234420663</c:v>
                </c:pt>
                <c:pt idx="61">
                  <c:v>0.17556204901902328</c:v>
                </c:pt>
                <c:pt idx="62">
                  <c:v>0.21509929035720665</c:v>
                </c:pt>
                <c:pt idx="63">
                  <c:v>0.23632894030651785</c:v>
                </c:pt>
                <c:pt idx="64">
                  <c:v>0.25887053491561818</c:v>
                </c:pt>
                <c:pt idx="65">
                  <c:v>0.2462281591031068</c:v>
                </c:pt>
                <c:pt idx="66">
                  <c:v>0.25004472538612932</c:v>
                </c:pt>
                <c:pt idx="67">
                  <c:v>0.29131134832130723</c:v>
                </c:pt>
                <c:pt idx="68">
                  <c:v>0.30413262567833499</c:v>
                </c:pt>
                <c:pt idx="69">
                  <c:v>0.30985747510286843</c:v>
                </c:pt>
                <c:pt idx="70">
                  <c:v>0.32405033096785729</c:v>
                </c:pt>
                <c:pt idx="71">
                  <c:v>0.31379330908223513</c:v>
                </c:pt>
                <c:pt idx="72">
                  <c:v>0.34581668555071854</c:v>
                </c:pt>
                <c:pt idx="73">
                  <c:v>0.37921164052716327</c:v>
                </c:pt>
                <c:pt idx="74">
                  <c:v>0.39024390243902429</c:v>
                </c:pt>
                <c:pt idx="75">
                  <c:v>0.43991889796648587</c:v>
                </c:pt>
                <c:pt idx="76">
                  <c:v>0.40366151827777452</c:v>
                </c:pt>
                <c:pt idx="77">
                  <c:v>0.39996421969109663</c:v>
                </c:pt>
                <c:pt idx="78">
                  <c:v>0.40067982586916329</c:v>
                </c:pt>
                <c:pt idx="79">
                  <c:v>0.30490786570457384</c:v>
                </c:pt>
                <c:pt idx="80">
                  <c:v>0.3533901842685907</c:v>
                </c:pt>
                <c:pt idx="81">
                  <c:v>0.36961059097143534</c:v>
                </c:pt>
                <c:pt idx="82">
                  <c:v>0.30115093326972397</c:v>
                </c:pt>
                <c:pt idx="83">
                  <c:v>0.37253264953187437</c:v>
                </c:pt>
                <c:pt idx="84">
                  <c:v>0.41773510644641898</c:v>
                </c:pt>
                <c:pt idx="85">
                  <c:v>0.37766116047468556</c:v>
                </c:pt>
                <c:pt idx="86">
                  <c:v>0.31230246287792962</c:v>
                </c:pt>
                <c:pt idx="87">
                  <c:v>0.37921164052716327</c:v>
                </c:pt>
                <c:pt idx="88">
                  <c:v>0.34092671000059638</c:v>
                </c:pt>
                <c:pt idx="89">
                  <c:v>0.23477846025404014</c:v>
                </c:pt>
                <c:pt idx="90">
                  <c:v>0.15999761464607309</c:v>
                </c:pt>
                <c:pt idx="91">
                  <c:v>0.20484226847158449</c:v>
                </c:pt>
                <c:pt idx="92">
                  <c:v>0.22988848470391798</c:v>
                </c:pt>
                <c:pt idx="93">
                  <c:v>0.2553521378734569</c:v>
                </c:pt>
                <c:pt idx="94">
                  <c:v>0.27371936311050149</c:v>
                </c:pt>
                <c:pt idx="95">
                  <c:v>0.24676486373665685</c:v>
                </c:pt>
                <c:pt idx="96">
                  <c:v>0.25392092551732381</c:v>
                </c:pt>
                <c:pt idx="97">
                  <c:v>0.23889319577792367</c:v>
                </c:pt>
                <c:pt idx="98">
                  <c:v>0.29089391138410159</c:v>
                </c:pt>
                <c:pt idx="99">
                  <c:v>0.2898205021170015</c:v>
                </c:pt>
                <c:pt idx="100">
                  <c:v>0.30860516429125173</c:v>
                </c:pt>
                <c:pt idx="101">
                  <c:v>0.3585783290595741</c:v>
                </c:pt>
                <c:pt idx="102">
                  <c:v>0.39304669330311892</c:v>
                </c:pt>
                <c:pt idx="103">
                  <c:v>0.41666169717931911</c:v>
                </c:pt>
                <c:pt idx="104">
                  <c:v>0.44397399964219675</c:v>
                </c:pt>
                <c:pt idx="105">
                  <c:v>0.46621742501043606</c:v>
                </c:pt>
                <c:pt idx="106">
                  <c:v>0.44284095652692468</c:v>
                </c:pt>
                <c:pt idx="107">
                  <c:v>0.46585962192140262</c:v>
                </c:pt>
                <c:pt idx="108">
                  <c:v>0.45399248613513032</c:v>
                </c:pt>
                <c:pt idx="109">
                  <c:v>0.45876319398890808</c:v>
                </c:pt>
                <c:pt idx="110">
                  <c:v>0.47307531755024157</c:v>
                </c:pt>
                <c:pt idx="111">
                  <c:v>0.48100661935714717</c:v>
                </c:pt>
                <c:pt idx="112">
                  <c:v>0.47474506529906391</c:v>
                </c:pt>
                <c:pt idx="113">
                  <c:v>0.42870773451010802</c:v>
                </c:pt>
                <c:pt idx="114">
                  <c:v>0.52668614705706962</c:v>
                </c:pt>
                <c:pt idx="115">
                  <c:v>0.55137456020036968</c:v>
                </c:pt>
                <c:pt idx="116">
                  <c:v>0.58703560140735878</c:v>
                </c:pt>
                <c:pt idx="117">
                  <c:v>0.57588407179915313</c:v>
                </c:pt>
                <c:pt idx="118">
                  <c:v>0.59967797721986993</c:v>
                </c:pt>
                <c:pt idx="119">
                  <c:v>0.66640825332458697</c:v>
                </c:pt>
                <c:pt idx="120">
                  <c:v>0.67875245989623711</c:v>
                </c:pt>
                <c:pt idx="121">
                  <c:v>0.67791758602182606</c:v>
                </c:pt>
                <c:pt idx="122">
                  <c:v>0.62502236269306466</c:v>
                </c:pt>
                <c:pt idx="123">
                  <c:v>0.63360963682986471</c:v>
                </c:pt>
                <c:pt idx="124">
                  <c:v>0.63456377840062039</c:v>
                </c:pt>
                <c:pt idx="125">
                  <c:v>0.63402707376707013</c:v>
                </c:pt>
                <c:pt idx="126">
                  <c:v>0.75776730872443188</c:v>
                </c:pt>
                <c:pt idx="127">
                  <c:v>0.81143777207943235</c:v>
                </c:pt>
                <c:pt idx="128">
                  <c:v>0.74071202814717618</c:v>
                </c:pt>
                <c:pt idx="129">
                  <c:v>0.70767487625976511</c:v>
                </c:pt>
                <c:pt idx="130">
                  <c:v>0.70522988848470392</c:v>
                </c:pt>
                <c:pt idx="131">
                  <c:v>0.7393404496392153</c:v>
                </c:pt>
                <c:pt idx="132">
                  <c:v>0.77470332160534339</c:v>
                </c:pt>
                <c:pt idx="133">
                  <c:v>0.80607072574393235</c:v>
                </c:pt>
                <c:pt idx="134">
                  <c:v>0.76814359830639867</c:v>
                </c:pt>
                <c:pt idx="135">
                  <c:v>0.76569861053133748</c:v>
                </c:pt>
                <c:pt idx="136">
                  <c:v>0.80463951338779904</c:v>
                </c:pt>
                <c:pt idx="137">
                  <c:v>0.81084143359771033</c:v>
                </c:pt>
                <c:pt idx="138">
                  <c:v>0.78490070964279335</c:v>
                </c:pt>
                <c:pt idx="139">
                  <c:v>0.78788240205140436</c:v>
                </c:pt>
                <c:pt idx="140">
                  <c:v>0.75887053491561818</c:v>
                </c:pt>
                <c:pt idx="141">
                  <c:v>0.7405331266026598</c:v>
                </c:pt>
                <c:pt idx="142">
                  <c:v>0.75818474566163752</c:v>
                </c:pt>
                <c:pt idx="143">
                  <c:v>0.7538911085932376</c:v>
                </c:pt>
                <c:pt idx="144">
                  <c:v>0.73969825272824874</c:v>
                </c:pt>
                <c:pt idx="145">
                  <c:v>0.77255650307114321</c:v>
                </c:pt>
                <c:pt idx="146">
                  <c:v>0.81692408611127676</c:v>
                </c:pt>
                <c:pt idx="147">
                  <c:v>0.85169061959568237</c:v>
                </c:pt>
                <c:pt idx="148">
                  <c:v>0.82193332935774333</c:v>
                </c:pt>
                <c:pt idx="149">
                  <c:v>0.870296380225416</c:v>
                </c:pt>
                <c:pt idx="150">
                  <c:v>0.8982050211700161</c:v>
                </c:pt>
                <c:pt idx="151">
                  <c:v>0.91991174190470515</c:v>
                </c:pt>
                <c:pt idx="152">
                  <c:v>0.67654600751386473</c:v>
                </c:pt>
                <c:pt idx="153">
                  <c:v>0.85664022899397696</c:v>
                </c:pt>
                <c:pt idx="154">
                  <c:v>0.80255232870177107</c:v>
                </c:pt>
                <c:pt idx="155">
                  <c:v>0.73188621861768755</c:v>
                </c:pt>
                <c:pt idx="156">
                  <c:v>0.69556920508080378</c:v>
                </c:pt>
                <c:pt idx="157">
                  <c:v>0.72133102749120392</c:v>
                </c:pt>
                <c:pt idx="158">
                  <c:v>0.78907507901484886</c:v>
                </c:pt>
                <c:pt idx="159">
                  <c:v>0.89587930109129954</c:v>
                </c:pt>
                <c:pt idx="160">
                  <c:v>0.85192915498837141</c:v>
                </c:pt>
                <c:pt idx="161">
                  <c:v>0.80046514401574353</c:v>
                </c:pt>
                <c:pt idx="162">
                  <c:v>0.82443795098097672</c:v>
                </c:pt>
                <c:pt idx="163">
                  <c:v>0.78430437116107088</c:v>
                </c:pt>
                <c:pt idx="164">
                  <c:v>0.80350647027252675</c:v>
                </c:pt>
                <c:pt idx="165">
                  <c:v>0.83952531456854929</c:v>
                </c:pt>
                <c:pt idx="166">
                  <c:v>0.86081459836603269</c:v>
                </c:pt>
                <c:pt idx="167">
                  <c:v>0.78126304490428766</c:v>
                </c:pt>
                <c:pt idx="168">
                  <c:v>0.78841910668495419</c:v>
                </c:pt>
                <c:pt idx="169">
                  <c:v>0.7685014013954321</c:v>
                </c:pt>
                <c:pt idx="170">
                  <c:v>0.82324527401753245</c:v>
                </c:pt>
                <c:pt idx="171">
                  <c:v>0.94543502892241649</c:v>
                </c:pt>
                <c:pt idx="172">
                  <c:v>0.93684775478561644</c:v>
                </c:pt>
                <c:pt idx="173">
                  <c:v>0.94275150575466626</c:v>
                </c:pt>
                <c:pt idx="174">
                  <c:v>0.94126065955036076</c:v>
                </c:pt>
                <c:pt idx="175">
                  <c:v>1.0329775180392393</c:v>
                </c:pt>
                <c:pt idx="176">
                  <c:v>1.0053670463355</c:v>
                </c:pt>
                <c:pt idx="177">
                  <c:v>1.0550420418629614</c:v>
                </c:pt>
                <c:pt idx="178">
                  <c:v>1.0774643687757171</c:v>
                </c:pt>
                <c:pt idx="179">
                  <c:v>1.066730276104717</c:v>
                </c:pt>
                <c:pt idx="180">
                  <c:v>1.0223626930645833</c:v>
                </c:pt>
                <c:pt idx="181">
                  <c:v>1.0034587631939886</c:v>
                </c:pt>
                <c:pt idx="182">
                  <c:v>1.042936370684</c:v>
                </c:pt>
                <c:pt idx="183">
                  <c:v>1.1170612439620728</c:v>
                </c:pt>
                <c:pt idx="184">
                  <c:v>1.2032321545709346</c:v>
                </c:pt>
                <c:pt idx="185">
                  <c:v>1.2752698431629796</c:v>
                </c:pt>
                <c:pt idx="186">
                  <c:v>1.2338839525314569</c:v>
                </c:pt>
                <c:pt idx="187">
                  <c:v>1.1326256783350228</c:v>
                </c:pt>
                <c:pt idx="188">
                  <c:v>1.2998389886099351</c:v>
                </c:pt>
                <c:pt idx="189">
                  <c:v>1.2591687041564792</c:v>
                </c:pt>
                <c:pt idx="190">
                  <c:v>1.2727652215397458</c:v>
                </c:pt>
                <c:pt idx="191">
                  <c:v>1.3161190291609519</c:v>
                </c:pt>
                <c:pt idx="192">
                  <c:v>1.2269067922953067</c:v>
                </c:pt>
                <c:pt idx="193">
                  <c:v>1.2368656449400683</c:v>
                </c:pt>
                <c:pt idx="194">
                  <c:v>1.1885622279205679</c:v>
                </c:pt>
                <c:pt idx="195">
                  <c:v>1.17413083666289</c:v>
                </c:pt>
                <c:pt idx="196">
                  <c:v>1.246884131433001</c:v>
                </c:pt>
                <c:pt idx="197">
                  <c:v>1.2060945792832012</c:v>
                </c:pt>
                <c:pt idx="198">
                  <c:v>1.1596994454052121</c:v>
                </c:pt>
                <c:pt idx="199">
                  <c:v>1.1605343192796234</c:v>
                </c:pt>
                <c:pt idx="200">
                  <c:v>1.1016757111336397</c:v>
                </c:pt>
                <c:pt idx="201">
                  <c:v>1.1180153855328285</c:v>
                </c:pt>
                <c:pt idx="202">
                  <c:v>1.1035839942751506</c:v>
                </c:pt>
                <c:pt idx="203">
                  <c:v>1.1156300316059395</c:v>
                </c:pt>
                <c:pt idx="204">
                  <c:v>0.97388037450056664</c:v>
                </c:pt>
                <c:pt idx="205">
                  <c:v>0.89230127020096606</c:v>
                </c:pt>
                <c:pt idx="206">
                  <c:v>0.97471524837497747</c:v>
                </c:pt>
                <c:pt idx="207">
                  <c:v>0.96141690023257209</c:v>
                </c:pt>
                <c:pt idx="208">
                  <c:v>1.0992307233585783</c:v>
                </c:pt>
                <c:pt idx="209">
                  <c:v>1.1166438070248672</c:v>
                </c:pt>
                <c:pt idx="210">
                  <c:v>1.1659609994632953</c:v>
                </c:pt>
                <c:pt idx="211">
                  <c:v>1.2107460194406348</c:v>
                </c:pt>
                <c:pt idx="212">
                  <c:v>1.2260122845727235</c:v>
                </c:pt>
                <c:pt idx="213">
                  <c:v>1.2189158566402289</c:v>
                </c:pt>
                <c:pt idx="214">
                  <c:v>1.2918480529548573</c:v>
                </c:pt>
                <c:pt idx="215">
                  <c:v>1.2924443914365797</c:v>
                </c:pt>
                <c:pt idx="216">
                  <c:v>1.2703798676128573</c:v>
                </c:pt>
                <c:pt idx="217">
                  <c:v>1.2557695748106625</c:v>
                </c:pt>
                <c:pt idx="218">
                  <c:v>1.3109308843699683</c:v>
                </c:pt>
                <c:pt idx="219">
                  <c:v>1.2769992247599737</c:v>
                </c:pt>
                <c:pt idx="220">
                  <c:v>1.2713340091836125</c:v>
                </c:pt>
                <c:pt idx="221">
                  <c:v>1.3526149442423518</c:v>
                </c:pt>
                <c:pt idx="222">
                  <c:v>1.3790327389826467</c:v>
                </c:pt>
                <c:pt idx="223">
                  <c:v>1.4591209970779415</c:v>
                </c:pt>
                <c:pt idx="224">
                  <c:v>1.447194227443497</c:v>
                </c:pt>
                <c:pt idx="225">
                  <c:v>1.5250760331564197</c:v>
                </c:pt>
                <c:pt idx="226">
                  <c:v>1.5625857236567477</c:v>
                </c:pt>
                <c:pt idx="227">
                  <c:v>1.6216828671954202</c:v>
                </c:pt>
                <c:pt idx="228">
                  <c:v>1.6705229888484703</c:v>
                </c:pt>
                <c:pt idx="229">
                  <c:v>1.7371339972568429</c:v>
                </c:pt>
                <c:pt idx="230">
                  <c:v>1.6855507185878702</c:v>
                </c:pt>
                <c:pt idx="231">
                  <c:v>1.7583636472061541</c:v>
                </c:pt>
                <c:pt idx="232">
                  <c:v>1.7739280815791045</c:v>
                </c:pt>
                <c:pt idx="233">
                  <c:v>1.7402349573617983</c:v>
                </c:pt>
                <c:pt idx="234">
                  <c:v>1.7893732482557101</c:v>
                </c:pt>
                <c:pt idx="235">
                  <c:v>1.6735643151052537</c:v>
                </c:pt>
                <c:pt idx="236">
                  <c:v>1.6945554296618761</c:v>
                </c:pt>
                <c:pt idx="237">
                  <c:v>1.6977756574631759</c:v>
                </c:pt>
                <c:pt idx="238">
                  <c:v>1.8742918480529549</c:v>
                </c:pt>
                <c:pt idx="239">
                  <c:v>1.9312421730574276</c:v>
                </c:pt>
                <c:pt idx="240">
                  <c:v>2.0599320174130837</c:v>
                </c:pt>
                <c:pt idx="241">
                  <c:v>2.0840837259228335</c:v>
                </c:pt>
                <c:pt idx="242">
                  <c:v>2.1831951815850674</c:v>
                </c:pt>
                <c:pt idx="243">
                  <c:v>2.2567833502295902</c:v>
                </c:pt>
                <c:pt idx="244">
                  <c:v>2.1542131313733672</c:v>
                </c:pt>
                <c:pt idx="245">
                  <c:v>2.3324587035601412</c:v>
                </c:pt>
                <c:pt idx="246">
                  <c:v>2.2656091597590793</c:v>
                </c:pt>
                <c:pt idx="247">
                  <c:v>2.282068101854613</c:v>
                </c:pt>
                <c:pt idx="248">
                  <c:v>2.3854135607370748</c:v>
                </c:pt>
                <c:pt idx="249">
                  <c:v>2.1974476712982285</c:v>
                </c:pt>
                <c:pt idx="250">
                  <c:v>1.9995229292146224</c:v>
                </c:pt>
                <c:pt idx="251">
                  <c:v>1.8720257618224103</c:v>
                </c:pt>
                <c:pt idx="252">
                  <c:v>1.9365495855447552</c:v>
                </c:pt>
                <c:pt idx="253">
                  <c:v>2.0995885264476115</c:v>
                </c:pt>
                <c:pt idx="254">
                  <c:v>2.039358339793667</c:v>
                </c:pt>
                <c:pt idx="255">
                  <c:v>2.0572484942453335</c:v>
                </c:pt>
                <c:pt idx="256">
                  <c:v>2.0859920090643449</c:v>
                </c:pt>
                <c:pt idx="257">
                  <c:v>2.1337587214502953</c:v>
                </c:pt>
                <c:pt idx="258">
                  <c:v>2.1452084202993618</c:v>
                </c:pt>
                <c:pt idx="259">
                  <c:v>2.3475460671477131</c:v>
                </c:pt>
                <c:pt idx="260">
                  <c:v>2.3252430079313018</c:v>
                </c:pt>
              </c:numCache>
            </c:numRef>
          </c:val>
          <c:smooth val="0"/>
          <c:extLst>
            <c:ext xmlns:c16="http://schemas.microsoft.com/office/drawing/2014/chart" uri="{C3380CC4-5D6E-409C-BE32-E72D297353CC}">
              <c16:uniqueId val="{00000001-0426-454C-921C-53056DB4618A}"/>
            </c:ext>
          </c:extLst>
        </c:ser>
        <c:ser>
          <c:idx val="2"/>
          <c:order val="2"/>
          <c:tx>
            <c:strRef>
              <c:f>'Price Data'!$Y$5</c:f>
              <c:strCache>
                <c:ptCount val="1"/>
              </c:strCache>
            </c:strRef>
          </c:tx>
          <c:spPr>
            <a:ln w="22225">
              <a:solidFill>
                <a:srgbClr val="00B050"/>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Data'!$Y$7:$Y$267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2-0426-454C-921C-53056DB4618A}"/>
            </c:ext>
          </c:extLst>
        </c:ser>
        <c:ser>
          <c:idx val="3"/>
          <c:order val="3"/>
          <c:tx>
            <c:strRef>
              <c:f>'Price Data'!$Z$5</c:f>
              <c:strCache>
                <c:ptCount val="1"/>
              </c:strCache>
            </c:strRef>
          </c:tx>
          <c:spPr>
            <a:ln w="22225">
              <a:solidFill>
                <a:srgbClr val="FFC000"/>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Data'!$Z$7:$Z$267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3-0426-454C-921C-53056DB4618A}"/>
            </c:ext>
          </c:extLst>
        </c:ser>
        <c:ser>
          <c:idx val="4"/>
          <c:order val="4"/>
          <c:tx>
            <c:strRef>
              <c:f>'Price Data'!$AA$5</c:f>
              <c:strCache>
                <c:ptCount val="1"/>
              </c:strCache>
            </c:strRef>
          </c:tx>
          <c:spPr>
            <a:ln w="22225">
              <a:solidFill>
                <a:srgbClr val="000000"/>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Data'!$AA$7:$AA$267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4-0426-454C-921C-53056DB4618A}"/>
            </c:ext>
          </c:extLst>
        </c:ser>
        <c:ser>
          <c:idx val="5"/>
          <c:order val="5"/>
          <c:tx>
            <c:strRef>
              <c:f>'Price Data'!$AB$5</c:f>
              <c:strCache>
                <c:ptCount val="1"/>
              </c:strCache>
            </c:strRef>
          </c:tx>
          <c:spPr>
            <a:ln w="22225">
              <a:solidFill>
                <a:srgbClr val="FF872D"/>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Data'!$AB$7:$AB$267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5-0426-454C-921C-53056DB4618A}"/>
            </c:ext>
          </c:extLst>
        </c:ser>
        <c:ser>
          <c:idx val="6"/>
          <c:order val="6"/>
          <c:tx>
            <c:strRef>
              <c:f>'Price Data'!$AC$5</c:f>
              <c:strCache>
                <c:ptCount val="1"/>
              </c:strCache>
            </c:strRef>
          </c:tx>
          <c:spPr>
            <a:ln w="22225">
              <a:solidFill>
                <a:srgbClr val="60B2CC"/>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Data'!$AC$7:$AC$267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6-0426-454C-921C-53056DB4618A}"/>
            </c:ext>
          </c:extLst>
        </c:ser>
        <c:ser>
          <c:idx val="7"/>
          <c:order val="7"/>
          <c:tx>
            <c:strRef>
              <c:f>'Price Data'!$AD$5</c:f>
              <c:strCache>
                <c:ptCount val="1"/>
              </c:strCache>
            </c:strRef>
          </c:tx>
          <c:spPr>
            <a:ln w="22225">
              <a:solidFill>
                <a:srgbClr val="C3AA69"/>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Data'!$AD$7:$AD$267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7-0426-454C-921C-53056DB4618A}"/>
            </c:ext>
          </c:extLst>
        </c:ser>
        <c:ser>
          <c:idx val="8"/>
          <c:order val="8"/>
          <c:tx>
            <c:strRef>
              <c:f>'Price Data'!$AE$5</c:f>
              <c:strCache>
                <c:ptCount val="1"/>
              </c:strCache>
            </c:strRef>
          </c:tx>
          <c:spPr>
            <a:ln w="22225">
              <a:solidFill>
                <a:srgbClr val="969696"/>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Data'!$AE$7:$AE$267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8-0426-454C-921C-53056DB4618A}"/>
            </c:ext>
          </c:extLst>
        </c:ser>
        <c:ser>
          <c:idx val="9"/>
          <c:order val="9"/>
          <c:tx>
            <c:strRef>
              <c:f>'Price Data'!$AF$5</c:f>
              <c:strCache>
                <c:ptCount val="1"/>
              </c:strCache>
            </c:strRef>
          </c:tx>
          <c:spPr>
            <a:ln w="22225">
              <a:solidFill>
                <a:srgbClr val="53B9D9"/>
              </a:solidFill>
            </a:ln>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Data'!$AF$7:$AF$267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9-0426-454C-921C-53056DB4618A}"/>
            </c:ext>
          </c:extLst>
        </c:ser>
        <c:ser>
          <c:idx val="10"/>
          <c:order val="10"/>
          <c:tx>
            <c:strRef>
              <c:f>'Price Data'!$AG$5</c:f>
              <c:strCache>
                <c:ptCount val="1"/>
              </c:strCache>
            </c:strRef>
          </c:tx>
          <c:spPr>
            <a:ln w="22225"/>
          </c:spPr>
          <c:marker>
            <c:symbol val="none"/>
          </c:marker>
          <c:cat>
            <c:numRef>
              <c:f>'Price Data'!$R$7:$R$267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Data'!$AG$7:$AG$267</c:f>
              <c:numCache>
                <c:formatCode>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A-0426-454C-921C-53056DB4618A}"/>
            </c:ext>
          </c:extLst>
        </c:ser>
        <c:dLbls>
          <c:showLegendKey val="0"/>
          <c:showVal val="0"/>
          <c:showCatName val="0"/>
          <c:showSerName val="0"/>
          <c:showPercent val="0"/>
          <c:showBubbleSize val="0"/>
        </c:dLbls>
        <c:smooth val="0"/>
        <c:axId val="884668416"/>
        <c:axId val="882849408"/>
      </c:lineChart>
      <c:catAx>
        <c:axId val="884668416"/>
        <c:scaling>
          <c:orientation val="minMax"/>
        </c:scaling>
        <c:delete val="0"/>
        <c:axPos val="b"/>
        <c:numFmt formatCode="dd\ mmm\ yyyy" sourceLinked="0"/>
        <c:majorTickMark val="out"/>
        <c:minorTickMark val="none"/>
        <c:tickLblPos val="low"/>
        <c:txPr>
          <a:bodyPr rot="-2640000" vert="horz"/>
          <a:lstStyle/>
          <a:p>
            <a:pPr algn="ctr">
              <a:defRPr lang="en-IN"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82849408"/>
        <c:crossesAt val="-0.8"/>
        <c:auto val="0"/>
        <c:lblAlgn val="ctr"/>
        <c:lblOffset val="100"/>
        <c:tickLblSkip val="12"/>
        <c:tickMarkSkip val="12"/>
        <c:noMultiLvlLbl val="0"/>
      </c:catAx>
      <c:valAx>
        <c:axId val="882849408"/>
        <c:scaling>
          <c:orientation val="minMax"/>
        </c:scaling>
        <c:delete val="0"/>
        <c:axPos val="l"/>
        <c:majorGridlines>
          <c:spPr>
            <a:ln>
              <a:solidFill>
                <a:schemeClr val="bg1">
                  <a:lumMod val="85000"/>
                </a:schemeClr>
              </a:solidFill>
            </a:ln>
          </c:spPr>
        </c:majorGridlines>
        <c:numFmt formatCode="0%" sourceLinked="1"/>
        <c:majorTickMark val="out"/>
        <c:minorTickMark val="none"/>
        <c:tickLblPos val="nextTo"/>
        <c:txPr>
          <a:bodyPr/>
          <a:lstStyle/>
          <a:p>
            <a:pPr>
              <a:defRPr sz="900"/>
            </a:pPr>
            <a:endParaRPr lang="en-US"/>
          </a:p>
        </c:txPr>
        <c:crossAx val="884668416"/>
        <c:crosses val="autoZero"/>
        <c:crossBetween val="between"/>
      </c:valAx>
      <c:spPr>
        <a:gradFill>
          <a:gsLst>
            <a:gs pos="0">
              <a:schemeClr val="bg1">
                <a:lumMod val="95000"/>
              </a:schemeClr>
            </a:gs>
            <a:gs pos="50000">
              <a:schemeClr val="bg1"/>
            </a:gs>
          </a:gsLst>
          <a:lin ang="16200000" scaled="0"/>
        </a:gradFill>
      </c:spPr>
    </c:plotArea>
    <c:legend>
      <c:legendPos val="b"/>
      <c:layout>
        <c:manualLayout>
          <c:xMode val="edge"/>
          <c:yMode val="edge"/>
          <c:x val="0"/>
          <c:y val="0.90863506727013454"/>
          <c:w val="1"/>
          <c:h val="9.1364932729865456E-2"/>
        </c:manualLayout>
      </c:layout>
      <c:overlay val="0"/>
    </c:legend>
    <c:plotVisOnly val="1"/>
    <c:dispBlanksAs val="gap"/>
    <c:showDLblsOverMax val="0"/>
  </c:chart>
  <c:spPr>
    <a:solidFill>
      <a:schemeClr val="bg1"/>
    </a:solidFill>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'Market Data'!$B$72</c:f>
          <c:strCache>
            <c:ptCount val="1"/>
            <c:pt idx="0">
              <c:v>Enterprise Value Growth Compared to Peers</c:v>
            </c:pt>
          </c:strCache>
        </c:strRef>
      </c:tx>
      <c:overlay val="0"/>
      <c:txPr>
        <a:bodyPr/>
        <a:lstStyle/>
        <a:p>
          <a:pPr>
            <a:defRPr sz="1000"/>
          </a:pPr>
          <a:endParaRPr lang="en-US"/>
        </a:p>
      </c:txPr>
    </c:title>
    <c:autoTitleDeleted val="0"/>
    <c:plotArea>
      <c:layout>
        <c:manualLayout>
          <c:layoutTarget val="inner"/>
          <c:xMode val="edge"/>
          <c:yMode val="edge"/>
          <c:x val="5.7279517053247755E-2"/>
          <c:y val="0.11640520475735167"/>
          <c:w val="0.92470955135777766"/>
          <c:h val="0.56542788959029167"/>
        </c:manualLayout>
      </c:layout>
      <c:lineChart>
        <c:grouping val="standard"/>
        <c:varyColors val="0"/>
        <c:ser>
          <c:idx val="0"/>
          <c:order val="0"/>
          <c:tx>
            <c:strRef>
              <c:f>'Price Data'!$AW$5</c:f>
              <c:strCache>
                <c:ptCount val="1"/>
                <c:pt idx="0">
                  <c:v>Walmart</c:v>
                </c:pt>
              </c:strCache>
            </c:strRef>
          </c:tx>
          <c:spPr>
            <a:ln w="22225">
              <a:solidFill>
                <a:srgbClr val="0000FF"/>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Data'!$AW$7:$AW$267</c:f>
              <c:numCache>
                <c:formatCode>0.00%</c:formatCode>
                <c:ptCount val="261"/>
                <c:pt idx="0">
                  <c:v>0</c:v>
                </c:pt>
                <c:pt idx="1">
                  <c:v>9.5269027269315743E-3</c:v>
                </c:pt>
                <c:pt idx="2">
                  <c:v>1.2431446236101262E-2</c:v>
                </c:pt>
                <c:pt idx="3">
                  <c:v>3.2810919110145775E-2</c:v>
                </c:pt>
                <c:pt idx="4">
                  <c:v>3.5599029749401989E-2</c:v>
                </c:pt>
                <c:pt idx="5">
                  <c:v>5.0927692405789093E-2</c:v>
                </c:pt>
                <c:pt idx="6">
                  <c:v>4.1753720058405941E-2</c:v>
                </c:pt>
                <c:pt idx="7">
                  <c:v>7.7047020790810494E-2</c:v>
                </c:pt>
                <c:pt idx="8">
                  <c:v>6.961494192710771E-2</c:v>
                </c:pt>
                <c:pt idx="9">
                  <c:v>8.4058660492879911E-2</c:v>
                </c:pt>
                <c:pt idx="10">
                  <c:v>8.1749470506971234E-2</c:v>
                </c:pt>
                <c:pt idx="11">
                  <c:v>3.348186692026478E-2</c:v>
                </c:pt>
                <c:pt idx="12">
                  <c:v>2.8862957486130103E-2</c:v>
                </c:pt>
                <c:pt idx="13">
                  <c:v>3.8562667297812769E-2</c:v>
                </c:pt>
                <c:pt idx="14">
                  <c:v>3.4521121542944844E-2</c:v>
                </c:pt>
                <c:pt idx="15">
                  <c:v>4.6183867864134864E-2</c:v>
                </c:pt>
                <c:pt idx="16">
                  <c:v>4.3989885882920854E-2</c:v>
                </c:pt>
                <c:pt idx="17">
                  <c:v>8.6252907205252471E-2</c:v>
                </c:pt>
                <c:pt idx="18">
                  <c:v>9.3989580507428006E-2</c:v>
                </c:pt>
                <c:pt idx="19">
                  <c:v>9.3065798620600937E-2</c:v>
                </c:pt>
                <c:pt idx="20">
                  <c:v>8.3712277181873906E-2</c:v>
                </c:pt>
                <c:pt idx="21">
                  <c:v>7.5860131143845155E-2</c:v>
                </c:pt>
                <c:pt idx="22">
                  <c:v>6.600734290510557E-2</c:v>
                </c:pt>
                <c:pt idx="23">
                  <c:v>7.1843122531348724E-2</c:v>
                </c:pt>
                <c:pt idx="24">
                  <c:v>8.9007180215033621E-2</c:v>
                </c:pt>
                <c:pt idx="25">
                  <c:v>7.9280880876267723E-2</c:v>
                </c:pt>
                <c:pt idx="26">
                  <c:v>6.3375520716215217E-2</c:v>
                </c:pt>
                <c:pt idx="27">
                  <c:v>7.3216247158301329E-2</c:v>
                </c:pt>
                <c:pt idx="28">
                  <c:v>0.16040966028029091</c:v>
                </c:pt>
                <c:pt idx="29">
                  <c:v>0.16979267846231871</c:v>
                </c:pt>
                <c:pt idx="30">
                  <c:v>0.17814585321243781</c:v>
                </c:pt>
                <c:pt idx="31">
                  <c:v>0.19542433796113734</c:v>
                </c:pt>
                <c:pt idx="32">
                  <c:v>0.20961329233749959</c:v>
                </c:pt>
                <c:pt idx="33">
                  <c:v>0.29023226453502105</c:v>
                </c:pt>
                <c:pt idx="34">
                  <c:v>0.28050596519625537</c:v>
                </c:pt>
                <c:pt idx="35">
                  <c:v>0.28095571673553077</c:v>
                </c:pt>
                <c:pt idx="36">
                  <c:v>0.27187761315157966</c:v>
                </c:pt>
                <c:pt idx="37">
                  <c:v>0.27823228565268421</c:v>
                </c:pt>
                <c:pt idx="38">
                  <c:v>0.29071467806146423</c:v>
                </c:pt>
                <c:pt idx="39">
                  <c:v>0.29684239796913925</c:v>
                </c:pt>
                <c:pt idx="40">
                  <c:v>0.31250212664762445</c:v>
                </c:pt>
                <c:pt idx="41">
                  <c:v>0.32089937245128741</c:v>
                </c:pt>
                <c:pt idx="42">
                  <c:v>0.3631125540247262</c:v>
                </c:pt>
                <c:pt idx="43">
                  <c:v>0.40623354597188244</c:v>
                </c:pt>
                <c:pt idx="44">
                  <c:v>0.36186431478001757</c:v>
                </c:pt>
                <c:pt idx="45">
                  <c:v>0.30387813226704918</c:v>
                </c:pt>
                <c:pt idx="46">
                  <c:v>0.36526881876834216</c:v>
                </c:pt>
                <c:pt idx="47">
                  <c:v>0.21758582895902467</c:v>
                </c:pt>
                <c:pt idx="48">
                  <c:v>0.17083358708972973</c:v>
                </c:pt>
                <c:pt idx="49">
                  <c:v>0.17026620551039229</c:v>
                </c:pt>
                <c:pt idx="50">
                  <c:v>0.1753726397244324</c:v>
                </c:pt>
                <c:pt idx="51">
                  <c:v>0.13281902154223757</c:v>
                </c:pt>
                <c:pt idx="52">
                  <c:v>0.16983322220588226</c:v>
                </c:pt>
                <c:pt idx="53">
                  <c:v>0.14406267721802979</c:v>
                </c:pt>
                <c:pt idx="54">
                  <c:v>0.13648975390834761</c:v>
                </c:pt>
                <c:pt idx="55">
                  <c:v>0.14793414620833012</c:v>
                </c:pt>
                <c:pt idx="56">
                  <c:v>0.15144015182318382</c:v>
                </c:pt>
                <c:pt idx="57">
                  <c:v>0.15415447877429034</c:v>
                </c:pt>
                <c:pt idx="58">
                  <c:v>0.10721924209495604</c:v>
                </c:pt>
                <c:pt idx="59">
                  <c:v>0.10387761710044452</c:v>
                </c:pt>
                <c:pt idx="60">
                  <c:v>9.0532176330923697E-2</c:v>
                </c:pt>
                <c:pt idx="61">
                  <c:v>9.6526314987483985E-2</c:v>
                </c:pt>
                <c:pt idx="62">
                  <c:v>0.11251146475865292</c:v>
                </c:pt>
                <c:pt idx="63">
                  <c:v>0.10505119706377175</c:v>
                </c:pt>
                <c:pt idx="64">
                  <c:v>0.11771104526862408</c:v>
                </c:pt>
                <c:pt idx="65">
                  <c:v>0.12709289707833982</c:v>
                </c:pt>
                <c:pt idx="66">
                  <c:v>0.11420698014733555</c:v>
                </c:pt>
                <c:pt idx="67">
                  <c:v>0.15026494068536289</c:v>
                </c:pt>
                <c:pt idx="68">
                  <c:v>0.15433417760287904</c:v>
                </c:pt>
                <c:pt idx="69">
                  <c:v>0.1551254181252586</c:v>
                </c:pt>
                <c:pt idx="70">
                  <c:v>0.17174146886539776</c:v>
                </c:pt>
                <c:pt idx="71">
                  <c:v>0.17829746169397609</c:v>
                </c:pt>
                <c:pt idx="72">
                  <c:v>0.26149749848700266</c:v>
                </c:pt>
                <c:pt idx="73">
                  <c:v>0.22871753438241726</c:v>
                </c:pt>
                <c:pt idx="74">
                  <c:v>0.23900366102013026</c:v>
                </c:pt>
                <c:pt idx="75">
                  <c:v>0.23195804640071538</c:v>
                </c:pt>
                <c:pt idx="76">
                  <c:v>0.2180468056203817</c:v>
                </c:pt>
                <c:pt idx="77">
                  <c:v>0.23274335837777915</c:v>
                </c:pt>
                <c:pt idx="78">
                  <c:v>0.21041806069486246</c:v>
                </c:pt>
                <c:pt idx="79">
                  <c:v>0.20368681518811882</c:v>
                </c:pt>
                <c:pt idx="80">
                  <c:v>0.22051492899328395</c:v>
                </c:pt>
                <c:pt idx="81">
                  <c:v>0.24676678656151863</c:v>
                </c:pt>
                <c:pt idx="82">
                  <c:v>0.26684833571664979</c:v>
                </c:pt>
                <c:pt idx="83">
                  <c:v>0.29377331782023663</c:v>
                </c:pt>
                <c:pt idx="84">
                  <c:v>0.34111641136578341</c:v>
                </c:pt>
                <c:pt idx="85">
                  <c:v>0.3230738543836269</c:v>
                </c:pt>
                <c:pt idx="86">
                  <c:v>0.29401731119396701</c:v>
                </c:pt>
                <c:pt idx="87">
                  <c:v>0.31564469606654888</c:v>
                </c:pt>
                <c:pt idx="88">
                  <c:v>0.2660101517061455</c:v>
                </c:pt>
                <c:pt idx="89">
                  <c:v>0.25109753074759911</c:v>
                </c:pt>
                <c:pt idx="90">
                  <c:v>0.1985694927512216</c:v>
                </c:pt>
                <c:pt idx="91">
                  <c:v>0.2542136008112168</c:v>
                </c:pt>
                <c:pt idx="92">
                  <c:v>0.26879235708999238</c:v>
                </c:pt>
                <c:pt idx="93">
                  <c:v>0.2843727073697746</c:v>
                </c:pt>
                <c:pt idx="94">
                  <c:v>0.3165350018154276</c:v>
                </c:pt>
                <c:pt idx="95">
                  <c:v>0.30774323273198911</c:v>
                </c:pt>
                <c:pt idx="96">
                  <c:v>0.27346646218541881</c:v>
                </c:pt>
                <c:pt idx="97">
                  <c:v>0.29260803534579938</c:v>
                </c:pt>
                <c:pt idx="98">
                  <c:v>0.34168634928050934</c:v>
                </c:pt>
                <c:pt idx="99">
                  <c:v>0.32793720402826865</c:v>
                </c:pt>
                <c:pt idx="100">
                  <c:v>0.30990850959689142</c:v>
                </c:pt>
                <c:pt idx="101">
                  <c:v>0.30612470952253457</c:v>
                </c:pt>
                <c:pt idx="102">
                  <c:v>0.31536163322332511</c:v>
                </c:pt>
                <c:pt idx="103">
                  <c:v>0.31380359788506995</c:v>
                </c:pt>
                <c:pt idx="104">
                  <c:v>0.2938052687374435</c:v>
                </c:pt>
                <c:pt idx="105">
                  <c:v>0.30809557810585741</c:v>
                </c:pt>
                <c:pt idx="106">
                  <c:v>0.33810522777952667</c:v>
                </c:pt>
                <c:pt idx="107">
                  <c:v>0.35591315174697091</c:v>
                </c:pt>
                <c:pt idx="108">
                  <c:v>0.33677997065242016</c:v>
                </c:pt>
                <c:pt idx="109">
                  <c:v>0.34282047813398231</c:v>
                </c:pt>
                <c:pt idx="110">
                  <c:v>0.34095341220463693</c:v>
                </c:pt>
                <c:pt idx="111">
                  <c:v>0.38688784654825992</c:v>
                </c:pt>
                <c:pt idx="112">
                  <c:v>0.40676660753721627</c:v>
                </c:pt>
                <c:pt idx="113">
                  <c:v>0.393257836261661</c:v>
                </c:pt>
                <c:pt idx="114">
                  <c:v>0.44084014468967681</c:v>
                </c:pt>
                <c:pt idx="115">
                  <c:v>0.47375519366166552</c:v>
                </c:pt>
                <c:pt idx="116">
                  <c:v>0.49628177202558632</c:v>
                </c:pt>
                <c:pt idx="117">
                  <c:v>0.48928322343444597</c:v>
                </c:pt>
                <c:pt idx="118">
                  <c:v>0.50557671942586513</c:v>
                </c:pt>
                <c:pt idx="119">
                  <c:v>0.53422702784533915</c:v>
                </c:pt>
                <c:pt idx="120">
                  <c:v>0.52657236527589735</c:v>
                </c:pt>
                <c:pt idx="121">
                  <c:v>0.51694936092477373</c:v>
                </c:pt>
                <c:pt idx="122">
                  <c:v>0.4773638203124897</c:v>
                </c:pt>
                <c:pt idx="123">
                  <c:v>0.45418112800857324</c:v>
                </c:pt>
                <c:pt idx="124">
                  <c:v>0.51225444648934304</c:v>
                </c:pt>
                <c:pt idx="125">
                  <c:v>0.48863434487932733</c:v>
                </c:pt>
                <c:pt idx="126">
                  <c:v>0.52614219139298091</c:v>
                </c:pt>
                <c:pt idx="127">
                  <c:v>0.52906936924383197</c:v>
                </c:pt>
                <c:pt idx="128">
                  <c:v>0.5584865400122494</c:v>
                </c:pt>
                <c:pt idx="129">
                  <c:v>0.55358367823666588</c:v>
                </c:pt>
                <c:pt idx="130">
                  <c:v>0.56959969345451089</c:v>
                </c:pt>
                <c:pt idx="131">
                  <c:v>0.56644007138049757</c:v>
                </c:pt>
                <c:pt idx="132">
                  <c:v>0.58910218815210769</c:v>
                </c:pt>
                <c:pt idx="133">
                  <c:v>0.57711741485906098</c:v>
                </c:pt>
                <c:pt idx="134">
                  <c:v>0.57602789000727395</c:v>
                </c:pt>
                <c:pt idx="135">
                  <c:v>0.56055663723447524</c:v>
                </c:pt>
                <c:pt idx="136">
                  <c:v>0.58038598941442232</c:v>
                </c:pt>
                <c:pt idx="137">
                  <c:v>0.57858086103804429</c:v>
                </c:pt>
                <c:pt idx="138">
                  <c:v>0.58391953277732589</c:v>
                </c:pt>
                <c:pt idx="139">
                  <c:v>0.58097781570431462</c:v>
                </c:pt>
                <c:pt idx="140">
                  <c:v>0.58775802364296026</c:v>
                </c:pt>
                <c:pt idx="141">
                  <c:v>0.59330071197607182</c:v>
                </c:pt>
                <c:pt idx="142">
                  <c:v>0.59330071197607182</c:v>
                </c:pt>
                <c:pt idx="143">
                  <c:v>0.58569310057226698</c:v>
                </c:pt>
                <c:pt idx="144">
                  <c:v>0.56721747283353374</c:v>
                </c:pt>
                <c:pt idx="145">
                  <c:v>0.55080676816549423</c:v>
                </c:pt>
                <c:pt idx="146">
                  <c:v>0.53537418498828293</c:v>
                </c:pt>
                <c:pt idx="147">
                  <c:v>0.5289620553682961</c:v>
                </c:pt>
                <c:pt idx="148">
                  <c:v>0.53026621731776191</c:v>
                </c:pt>
                <c:pt idx="149">
                  <c:v>0.55156752932502751</c:v>
                </c:pt>
                <c:pt idx="150">
                  <c:v>0.56721747283353374</c:v>
                </c:pt>
                <c:pt idx="151">
                  <c:v>0.55629899110161385</c:v>
                </c:pt>
                <c:pt idx="152">
                  <c:v>0.43783761322710468</c:v>
                </c:pt>
                <c:pt idx="153">
                  <c:v>0.54162716908393627</c:v>
                </c:pt>
                <c:pt idx="154">
                  <c:v>0.50761027800234437</c:v>
                </c:pt>
                <c:pt idx="155">
                  <c:v>0.50672531732533233</c:v>
                </c:pt>
                <c:pt idx="156">
                  <c:v>0.45909708683247974</c:v>
                </c:pt>
                <c:pt idx="157">
                  <c:v>0.56650471374200739</c:v>
                </c:pt>
                <c:pt idx="158">
                  <c:v>0.59167498590333678</c:v>
                </c:pt>
                <c:pt idx="159">
                  <c:v>0.70363930000556851</c:v>
                </c:pt>
                <c:pt idx="160">
                  <c:v>0.67526969578999552</c:v>
                </c:pt>
                <c:pt idx="161">
                  <c:v>0.60449696966580935</c:v>
                </c:pt>
                <c:pt idx="162">
                  <c:v>0.60471406392524418</c:v>
                </c:pt>
                <c:pt idx="163">
                  <c:v>0.6372782017296017</c:v>
                </c:pt>
                <c:pt idx="164">
                  <c:v>0.60380945656487994</c:v>
                </c:pt>
                <c:pt idx="165">
                  <c:v>0.60087868413912138</c:v>
                </c:pt>
                <c:pt idx="166">
                  <c:v>0.57735206101265124</c:v>
                </c:pt>
                <c:pt idx="167">
                  <c:v>0.53591264364471569</c:v>
                </c:pt>
                <c:pt idx="168">
                  <c:v>0.5588019553320398</c:v>
                </c:pt>
                <c:pt idx="169">
                  <c:v>0.54220449235061863</c:v>
                </c:pt>
                <c:pt idx="170">
                  <c:v>0.55185922571363877</c:v>
                </c:pt>
                <c:pt idx="171">
                  <c:v>0.67628595798868107</c:v>
                </c:pt>
                <c:pt idx="172">
                  <c:v>0.68778485387965516</c:v>
                </c:pt>
                <c:pt idx="173">
                  <c:v>0.68236084639041739</c:v>
                </c:pt>
                <c:pt idx="174">
                  <c:v>0.66240049875187856</c:v>
                </c:pt>
                <c:pt idx="175">
                  <c:v>0.66858386732485098</c:v>
                </c:pt>
                <c:pt idx="176">
                  <c:v>0.69711414680557882</c:v>
                </c:pt>
                <c:pt idx="177">
                  <c:v>0.65191719156758721</c:v>
                </c:pt>
                <c:pt idx="178">
                  <c:v>0.74596948179564171</c:v>
                </c:pt>
                <c:pt idx="179">
                  <c:v>0.77726476932424426</c:v>
                </c:pt>
                <c:pt idx="180">
                  <c:v>0.71072418270988091</c:v>
                </c:pt>
                <c:pt idx="181">
                  <c:v>0.69541876230770372</c:v>
                </c:pt>
                <c:pt idx="182">
                  <c:v>0.71691148034372221</c:v>
                </c:pt>
                <c:pt idx="183">
                  <c:v>0.75197283348723865</c:v>
                </c:pt>
                <c:pt idx="184">
                  <c:v>0.77672202394599243</c:v>
                </c:pt>
                <c:pt idx="185">
                  <c:v>0.79767199656545307</c:v>
                </c:pt>
                <c:pt idx="186">
                  <c:v>0.78833677559218818</c:v>
                </c:pt>
                <c:pt idx="187">
                  <c:v>0.73297674432908022</c:v>
                </c:pt>
                <c:pt idx="188">
                  <c:v>0.80917819912833755</c:v>
                </c:pt>
                <c:pt idx="189">
                  <c:v>0.86095611075708156</c:v>
                </c:pt>
                <c:pt idx="190">
                  <c:v>0.86154170680543363</c:v>
                </c:pt>
                <c:pt idx="191">
                  <c:v>0.87630438179105319</c:v>
                </c:pt>
                <c:pt idx="192">
                  <c:v>0.84732232182946743</c:v>
                </c:pt>
                <c:pt idx="193">
                  <c:v>0.82662212981907679</c:v>
                </c:pt>
                <c:pt idx="194">
                  <c:v>0.81524244312342642</c:v>
                </c:pt>
                <c:pt idx="195">
                  <c:v>0.78868984080803806</c:v>
                </c:pt>
                <c:pt idx="196">
                  <c:v>0.79573440876066415</c:v>
                </c:pt>
                <c:pt idx="197">
                  <c:v>0.82261214499039825</c:v>
                </c:pt>
                <c:pt idx="198">
                  <c:v>0.80104492924672521</c:v>
                </c:pt>
                <c:pt idx="199">
                  <c:v>0.81936080592355354</c:v>
                </c:pt>
                <c:pt idx="200">
                  <c:v>0.75606807224475436</c:v>
                </c:pt>
                <c:pt idx="201">
                  <c:v>0.79801034612277766</c:v>
                </c:pt>
                <c:pt idx="202">
                  <c:v>0.79920250377040603</c:v>
                </c:pt>
                <c:pt idx="203">
                  <c:v>0.69748719721284713</c:v>
                </c:pt>
                <c:pt idx="204">
                  <c:v>0.60623294766644009</c:v>
                </c:pt>
                <c:pt idx="205">
                  <c:v>0.59756271018039175</c:v>
                </c:pt>
                <c:pt idx="206">
                  <c:v>0.65175169448734804</c:v>
                </c:pt>
                <c:pt idx="207">
                  <c:v>0.62296949433093607</c:v>
                </c:pt>
                <c:pt idx="208">
                  <c:v>0.65955101591447618</c:v>
                </c:pt>
                <c:pt idx="209">
                  <c:v>0.66483861047535475</c:v>
                </c:pt>
                <c:pt idx="210">
                  <c:v>0.70972920920957305</c:v>
                </c:pt>
                <c:pt idx="211">
                  <c:v>0.71868574691247211</c:v>
                </c:pt>
                <c:pt idx="212">
                  <c:v>0.70910020939414498</c:v>
                </c:pt>
                <c:pt idx="213">
                  <c:v>0.70920798198124557</c:v>
                </c:pt>
                <c:pt idx="214">
                  <c:v>0.71233338654748835</c:v>
                </c:pt>
                <c:pt idx="215">
                  <c:v>0.70500485165891602</c:v>
                </c:pt>
                <c:pt idx="216">
                  <c:v>0.70477526213476382</c:v>
                </c:pt>
                <c:pt idx="217">
                  <c:v>0.70779289415221225</c:v>
                </c:pt>
                <c:pt idx="218">
                  <c:v>0.70124493454103454</c:v>
                </c:pt>
                <c:pt idx="219">
                  <c:v>0.68943771606446869</c:v>
                </c:pt>
                <c:pt idx="220">
                  <c:v>0.629542916666743</c:v>
                </c:pt>
                <c:pt idx="221">
                  <c:v>0.66560860232888364</c:v>
                </c:pt>
                <c:pt idx="222">
                  <c:v>0.68256806163074346</c:v>
                </c:pt>
                <c:pt idx="223">
                  <c:v>0.68460749029793777</c:v>
                </c:pt>
                <c:pt idx="224">
                  <c:v>0.69813212242124068</c:v>
                </c:pt>
                <c:pt idx="225">
                  <c:v>0.70747055885723342</c:v>
                </c:pt>
                <c:pt idx="226">
                  <c:v>0.7087586190539803</c:v>
                </c:pt>
                <c:pt idx="227">
                  <c:v>0.73752529690901736</c:v>
                </c:pt>
                <c:pt idx="228">
                  <c:v>0.78368078743929259</c:v>
                </c:pt>
                <c:pt idx="229">
                  <c:v>0.80428975066385688</c:v>
                </c:pt>
                <c:pt idx="230">
                  <c:v>0.75137194405277752</c:v>
                </c:pt>
                <c:pt idx="231">
                  <c:v>0.76760162968395496</c:v>
                </c:pt>
                <c:pt idx="232">
                  <c:v>0.73171160530760049</c:v>
                </c:pt>
                <c:pt idx="233">
                  <c:v>0.71932100163835444</c:v>
                </c:pt>
                <c:pt idx="234">
                  <c:v>0.70265777604325552</c:v>
                </c:pt>
                <c:pt idx="235">
                  <c:v>0.63728666017932634</c:v>
                </c:pt>
                <c:pt idx="236">
                  <c:v>0.6651655184064007</c:v>
                </c:pt>
                <c:pt idx="237">
                  <c:v>0.67467210226037366</c:v>
                </c:pt>
                <c:pt idx="238">
                  <c:v>0.75788141475667259</c:v>
                </c:pt>
                <c:pt idx="239">
                  <c:v>0.76941749401776449</c:v>
                </c:pt>
                <c:pt idx="240">
                  <c:v>0.77806955346358375</c:v>
                </c:pt>
                <c:pt idx="241">
                  <c:v>0.75168611290289666</c:v>
                </c:pt>
                <c:pt idx="242">
                  <c:v>0.71235668794580298</c:v>
                </c:pt>
                <c:pt idx="243">
                  <c:v>0.73916739069141424</c:v>
                </c:pt>
                <c:pt idx="244">
                  <c:v>0.65590479950764746</c:v>
                </c:pt>
                <c:pt idx="245">
                  <c:v>0.6933067506466386</c:v>
                </c:pt>
                <c:pt idx="246">
                  <c:v>0.66908048685158361</c:v>
                </c:pt>
                <c:pt idx="247">
                  <c:v>0.67694339704008888</c:v>
                </c:pt>
                <c:pt idx="248">
                  <c:v>0.73219627941060139</c:v>
                </c:pt>
                <c:pt idx="249">
                  <c:v>0.73432139026511267</c:v>
                </c:pt>
                <c:pt idx="250">
                  <c:v>0.73612773450485403</c:v>
                </c:pt>
                <c:pt idx="251">
                  <c:v>0.68438128505003082</c:v>
                </c:pt>
                <c:pt idx="252">
                  <c:v>0.6560110550331355</c:v>
                </c:pt>
                <c:pt idx="253">
                  <c:v>0.67524330832583535</c:v>
                </c:pt>
                <c:pt idx="254">
                  <c:v>0.63274109112069521</c:v>
                </c:pt>
                <c:pt idx="255">
                  <c:v>0.66234959800984017</c:v>
                </c:pt>
                <c:pt idx="256">
                  <c:v>0.64524245557165161</c:v>
                </c:pt>
                <c:pt idx="257">
                  <c:v>0.71367102528610027</c:v>
                </c:pt>
                <c:pt idx="258">
                  <c:v>0.70570185957210674</c:v>
                </c:pt>
                <c:pt idx="259">
                  <c:v>0.7333927797830806</c:v>
                </c:pt>
                <c:pt idx="260">
                  <c:v>0.70588102284776144</c:v>
                </c:pt>
              </c:numCache>
            </c:numRef>
          </c:val>
          <c:smooth val="0"/>
          <c:extLst>
            <c:ext xmlns:c16="http://schemas.microsoft.com/office/drawing/2014/chart" uri="{C3380CC4-5D6E-409C-BE32-E72D297353CC}">
              <c16:uniqueId val="{00000000-3963-4C32-8553-B661848C8554}"/>
            </c:ext>
          </c:extLst>
        </c:ser>
        <c:ser>
          <c:idx val="1"/>
          <c:order val="1"/>
          <c:tx>
            <c:strRef>
              <c:f>'Price Data'!$AX$5</c:f>
              <c:strCache>
                <c:ptCount val="1"/>
                <c:pt idx="0">
                  <c:v>Costco</c:v>
                </c:pt>
              </c:strCache>
            </c:strRef>
          </c:tx>
          <c:spPr>
            <a:ln w="22225">
              <a:solidFill>
                <a:srgbClr val="FF0000"/>
              </a:solidFill>
              <a:prstDash val="sysDash"/>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Data'!$AX$7:$AX$267</c:f>
              <c:numCache>
                <c:formatCode>0.00%</c:formatCode>
                <c:ptCount val="261"/>
                <c:pt idx="0">
                  <c:v>0</c:v>
                </c:pt>
                <c:pt idx="1">
                  <c:v>1.7621386146165152E-2</c:v>
                </c:pt>
                <c:pt idx="2">
                  <c:v>6.9162437092458173E-3</c:v>
                </c:pt>
                <c:pt idx="3">
                  <c:v>1.8523504890849418E-2</c:v>
                </c:pt>
                <c:pt idx="4">
                  <c:v>5.911884840163939E-2</c:v>
                </c:pt>
                <c:pt idx="5">
                  <c:v>7.5236703306664099E-2</c:v>
                </c:pt>
                <c:pt idx="6">
                  <c:v>1.9185058636951302E-2</c:v>
                </c:pt>
                <c:pt idx="7">
                  <c:v>2.3755793610017895E-2</c:v>
                </c:pt>
                <c:pt idx="8">
                  <c:v>4.9045773316847008E-2</c:v>
                </c:pt>
                <c:pt idx="9">
                  <c:v>6.7526181591613277E-2</c:v>
                </c:pt>
                <c:pt idx="10">
                  <c:v>6.3972395497988277E-2</c:v>
                </c:pt>
                <c:pt idx="11">
                  <c:v>-1.5771406286098633E-2</c:v>
                </c:pt>
                <c:pt idx="12">
                  <c:v>-7.5744514184002854E-2</c:v>
                </c:pt>
                <c:pt idx="13">
                  <c:v>-5.89183917276771E-2</c:v>
                </c:pt>
                <c:pt idx="14">
                  <c:v>-9.3892689119039918E-2</c:v>
                </c:pt>
                <c:pt idx="15">
                  <c:v>-0.10056304480708333</c:v>
                </c:pt>
                <c:pt idx="16">
                  <c:v>-0.11594692819572416</c:v>
                </c:pt>
                <c:pt idx="17">
                  <c:v>-0.10122407104643905</c:v>
                </c:pt>
                <c:pt idx="18">
                  <c:v>-7.9890951503597374E-2</c:v>
                </c:pt>
                <c:pt idx="19">
                  <c:v>-7.8628992319372926E-2</c:v>
                </c:pt>
                <c:pt idx="20">
                  <c:v>-7.6044980656437167E-2</c:v>
                </c:pt>
                <c:pt idx="21">
                  <c:v>-0.10386817600386167</c:v>
                </c:pt>
                <c:pt idx="22">
                  <c:v>-6.9074158495959326E-2</c:v>
                </c:pt>
                <c:pt idx="23">
                  <c:v>-7.4662834883238993E-2</c:v>
                </c:pt>
                <c:pt idx="24">
                  <c:v>-4.4676280934286883E-2</c:v>
                </c:pt>
                <c:pt idx="25">
                  <c:v>-5.0745703677461562E-2</c:v>
                </c:pt>
                <c:pt idx="26">
                  <c:v>-3.2717715331398112E-2</c:v>
                </c:pt>
                <c:pt idx="27">
                  <c:v>-4.2796173451266184E-2</c:v>
                </c:pt>
                <c:pt idx="28">
                  <c:v>-2.6262837243180903E-2</c:v>
                </c:pt>
                <c:pt idx="29">
                  <c:v>-1.6017429129804306E-2</c:v>
                </c:pt>
                <c:pt idx="30">
                  <c:v>-6.377712483190523E-3</c:v>
                </c:pt>
                <c:pt idx="31">
                  <c:v>1.7931138381507727E-2</c:v>
                </c:pt>
                <c:pt idx="32">
                  <c:v>4.7389154685456125E-2</c:v>
                </c:pt>
                <c:pt idx="33">
                  <c:v>4.5113942046322242E-2</c:v>
                </c:pt>
                <c:pt idx="34">
                  <c:v>4.8945879158815098E-2</c:v>
                </c:pt>
                <c:pt idx="35">
                  <c:v>0.12983567605838675</c:v>
                </c:pt>
                <c:pt idx="36">
                  <c:v>0.14743863701047677</c:v>
                </c:pt>
                <c:pt idx="37">
                  <c:v>0.15798178212566727</c:v>
                </c:pt>
                <c:pt idx="38">
                  <c:v>0.12107280167736079</c:v>
                </c:pt>
                <c:pt idx="39">
                  <c:v>0.11800443893775503</c:v>
                </c:pt>
                <c:pt idx="40">
                  <c:v>0.12781116709749529</c:v>
                </c:pt>
                <c:pt idx="41">
                  <c:v>0.15241823341947724</c:v>
                </c:pt>
                <c:pt idx="42">
                  <c:v>0.15512561233154365</c:v>
                </c:pt>
                <c:pt idx="43">
                  <c:v>0.1949541647744133</c:v>
                </c:pt>
                <c:pt idx="44">
                  <c:v>0.14730429542879131</c:v>
                </c:pt>
                <c:pt idx="45">
                  <c:v>8.5515891718928705E-2</c:v>
                </c:pt>
                <c:pt idx="46">
                  <c:v>0.15073364213295082</c:v>
                </c:pt>
                <c:pt idx="47">
                  <c:v>0.14020494618111745</c:v>
                </c:pt>
                <c:pt idx="48">
                  <c:v>0.1373170754237889</c:v>
                </c:pt>
                <c:pt idx="49">
                  <c:v>0.14734164345447454</c:v>
                </c:pt>
                <c:pt idx="50">
                  <c:v>0.13088573235733225</c:v>
                </c:pt>
                <c:pt idx="51">
                  <c:v>0.10064293522422951</c:v>
                </c:pt>
                <c:pt idx="52">
                  <c:v>0.14627769262783685</c:v>
                </c:pt>
                <c:pt idx="53">
                  <c:v>0.11940188692807685</c:v>
                </c:pt>
                <c:pt idx="54">
                  <c:v>0.14916368518711987</c:v>
                </c:pt>
                <c:pt idx="55">
                  <c:v>0.17712173825075261</c:v>
                </c:pt>
                <c:pt idx="56">
                  <c:v>0.19527944146478649</c:v>
                </c:pt>
                <c:pt idx="57">
                  <c:v>0.18692208796333665</c:v>
                </c:pt>
                <c:pt idx="58">
                  <c:v>0.19034920420455603</c:v>
                </c:pt>
                <c:pt idx="59">
                  <c:v>0.20958915464544803</c:v>
                </c:pt>
                <c:pt idx="60">
                  <c:v>0.20598166384358318</c:v>
                </c:pt>
                <c:pt idx="61">
                  <c:v>0.18125356034512619</c:v>
                </c:pt>
                <c:pt idx="62">
                  <c:v>0.22092772293563412</c:v>
                </c:pt>
                <c:pt idx="63">
                  <c:v>0.24231857213169583</c:v>
                </c:pt>
                <c:pt idx="64">
                  <c:v>0.26503132788577166</c:v>
                </c:pt>
                <c:pt idx="65">
                  <c:v>0.25229295700696985</c:v>
                </c:pt>
                <c:pt idx="66">
                  <c:v>0.25613850283440898</c:v>
                </c:pt>
                <c:pt idx="67">
                  <c:v>0.29771846837810667</c:v>
                </c:pt>
                <c:pt idx="68">
                  <c:v>0.31063709927323191</c:v>
                </c:pt>
                <c:pt idx="69">
                  <c:v>0.3164054181514051</c:v>
                </c:pt>
                <c:pt idx="70">
                  <c:v>0.33070604204829457</c:v>
                </c:pt>
                <c:pt idx="71">
                  <c:v>0.32037113741440315</c:v>
                </c:pt>
                <c:pt idx="72">
                  <c:v>0.35263767129332657</c:v>
                </c:pt>
                <c:pt idx="73">
                  <c:v>0.38628619831102884</c:v>
                </c:pt>
                <c:pt idx="74">
                  <c:v>0.39740222945396364</c:v>
                </c:pt>
                <c:pt idx="75">
                  <c:v>0.44745441329859803</c:v>
                </c:pt>
                <c:pt idx="76">
                  <c:v>0.41092172697882412</c:v>
                </c:pt>
                <c:pt idx="77">
                  <c:v>0.40719635431291423</c:v>
                </c:pt>
                <c:pt idx="78">
                  <c:v>0.40791739410417849</c:v>
                </c:pt>
                <c:pt idx="79">
                  <c:v>0.30734691939882985</c:v>
                </c:pt>
                <c:pt idx="80">
                  <c:v>0.35615809923047514</c:v>
                </c:pt>
                <c:pt idx="81">
                  <c:v>0.37248853085926648</c:v>
                </c:pt>
                <c:pt idx="82">
                  <c:v>0.31029504608714098</c:v>
                </c:pt>
                <c:pt idx="83">
                  <c:v>0.38216413070698629</c:v>
                </c:pt>
                <c:pt idx="84">
                  <c:v>0.42767521353740268</c:v>
                </c:pt>
                <c:pt idx="85">
                  <c:v>0.38732765720911555</c:v>
                </c:pt>
                <c:pt idx="86">
                  <c:v>0.32152271423633527</c:v>
                </c:pt>
                <c:pt idx="87">
                  <c:v>0.3888887234055316</c:v>
                </c:pt>
                <c:pt idx="88">
                  <c:v>0.35034239736711603</c:v>
                </c:pt>
                <c:pt idx="89">
                  <c:v>0.23393356960392464</c:v>
                </c:pt>
                <c:pt idx="90">
                  <c:v>0.15809252744000357</c:v>
                </c:pt>
                <c:pt idx="91">
                  <c:v>0.20347850087887975</c:v>
                </c:pt>
                <c:pt idx="92">
                  <c:v>0.22882704972823631</c:v>
                </c:pt>
                <c:pt idx="93">
                  <c:v>0.25459807448309202</c:v>
                </c:pt>
                <c:pt idx="94">
                  <c:v>0.27318701048864003</c:v>
                </c:pt>
                <c:pt idx="95">
                  <c:v>0.24590714352732124</c:v>
                </c:pt>
                <c:pt idx="96">
                  <c:v>0.25314958603613524</c:v>
                </c:pt>
                <c:pt idx="97">
                  <c:v>0.23794045658950647</c:v>
                </c:pt>
                <c:pt idx="98">
                  <c:v>0.29056887253719665</c:v>
                </c:pt>
                <c:pt idx="99">
                  <c:v>0.28948250623623273</c:v>
                </c:pt>
                <c:pt idx="100">
                  <c:v>0.3084939178732502</c:v>
                </c:pt>
                <c:pt idx="101">
                  <c:v>0.36923342168856688</c:v>
                </c:pt>
                <c:pt idx="102">
                  <c:v>0.40373008926129361</c:v>
                </c:pt>
                <c:pt idx="103">
                  <c:v>0.42759704032598367</c:v>
                </c:pt>
                <c:pt idx="104">
                  <c:v>0.45520073641695546</c:v>
                </c:pt>
                <c:pt idx="105">
                  <c:v>0.47768147579605991</c:v>
                </c:pt>
                <c:pt idx="106">
                  <c:v>0.45405560490537211</c:v>
                </c:pt>
                <c:pt idx="107">
                  <c:v>0.4773198552610276</c:v>
                </c:pt>
                <c:pt idx="108">
                  <c:v>0.46532610961667453</c:v>
                </c:pt>
                <c:pt idx="109">
                  <c:v>0.47014771597402483</c:v>
                </c:pt>
                <c:pt idx="110">
                  <c:v>0.48461253477204602</c:v>
                </c:pt>
                <c:pt idx="111">
                  <c:v>0.49262845535312927</c:v>
                </c:pt>
                <c:pt idx="112">
                  <c:v>0.48630009708617816</c:v>
                </c:pt>
                <c:pt idx="113">
                  <c:v>0.42543173515605548</c:v>
                </c:pt>
                <c:pt idx="114">
                  <c:v>0.52436336642616532</c:v>
                </c:pt>
                <c:pt idx="115">
                  <c:v>0.54931001309222438</c:v>
                </c:pt>
                <c:pt idx="116">
                  <c:v>0.58534405824608382</c:v>
                </c:pt>
                <c:pt idx="117">
                  <c:v>0.5740758868957907</c:v>
                </c:pt>
                <c:pt idx="118">
                  <c:v>0.59811866952341664</c:v>
                </c:pt>
                <c:pt idx="119">
                  <c:v>0.66554692476268307</c:v>
                </c:pt>
                <c:pt idx="120">
                  <c:v>0.67802024802720506</c:v>
                </c:pt>
                <c:pt idx="121">
                  <c:v>0.67717664156393131</c:v>
                </c:pt>
                <c:pt idx="122">
                  <c:v>0.62372814992727155</c:v>
                </c:pt>
                <c:pt idx="123">
                  <c:v>0.63240524431258471</c:v>
                </c:pt>
                <c:pt idx="124">
                  <c:v>0.63336936592617676</c:v>
                </c:pt>
                <c:pt idx="125">
                  <c:v>0.6328270476127289</c:v>
                </c:pt>
                <c:pt idx="126">
                  <c:v>0.7578615689558339</c:v>
                </c:pt>
                <c:pt idx="127">
                  <c:v>0.81209340948060826</c:v>
                </c:pt>
                <c:pt idx="128">
                  <c:v>0.7406278950614964</c:v>
                </c:pt>
                <c:pt idx="129">
                  <c:v>0.70724518431076122</c:v>
                </c:pt>
                <c:pt idx="130">
                  <c:v>0.70477462277012926</c:v>
                </c:pt>
                <c:pt idx="131">
                  <c:v>0.72563793946131461</c:v>
                </c:pt>
                <c:pt idx="132">
                  <c:v>0.76712567709567048</c:v>
                </c:pt>
                <c:pt idx="133">
                  <c:v>0.79880934218996269</c:v>
                </c:pt>
                <c:pt idx="134">
                  <c:v>0.76049981557405055</c:v>
                </c:pt>
                <c:pt idx="135">
                  <c:v>0.75803017627962865</c:v>
                </c:pt>
                <c:pt idx="136">
                  <c:v>0.79736369967615461</c:v>
                </c:pt>
                <c:pt idx="137">
                  <c:v>0.80362815056932235</c:v>
                </c:pt>
                <c:pt idx="138">
                  <c:v>0.77742588000655255</c:v>
                </c:pt>
                <c:pt idx="139">
                  <c:v>0.78930823814848616</c:v>
                </c:pt>
                <c:pt idx="140">
                  <c:v>0.75985991687047227</c:v>
                </c:pt>
                <c:pt idx="141">
                  <c:v>0.7598823224797373</c:v>
                </c:pt>
                <c:pt idx="142">
                  <c:v>0.77779923133251527</c:v>
                </c:pt>
                <c:pt idx="143">
                  <c:v>0.78237453629519504</c:v>
                </c:pt>
                <c:pt idx="144">
                  <c:v>0.76796903734345778</c:v>
                </c:pt>
                <c:pt idx="145">
                  <c:v>0.80131958306206608</c:v>
                </c:pt>
                <c:pt idx="146">
                  <c:v>0.84635189871449579</c:v>
                </c:pt>
                <c:pt idx="147">
                  <c:v>0.88163931821871322</c:v>
                </c:pt>
                <c:pt idx="148">
                  <c:v>0.85143619247022717</c:v>
                </c:pt>
                <c:pt idx="149">
                  <c:v>0.90052383776541811</c:v>
                </c:pt>
                <c:pt idx="150">
                  <c:v>0.92885061694846094</c:v>
                </c:pt>
                <c:pt idx="151">
                  <c:v>0.95088255632827345</c:v>
                </c:pt>
                <c:pt idx="152">
                  <c:v>0.70387062020979529</c:v>
                </c:pt>
                <c:pt idx="153">
                  <c:v>0.87997366730168181</c:v>
                </c:pt>
                <c:pt idx="154">
                  <c:v>0.8349201876675536</c:v>
                </c:pt>
                <c:pt idx="155">
                  <c:v>0.76322417773707629</c:v>
                </c:pt>
                <c:pt idx="156">
                  <c:v>0.72637787385915065</c:v>
                </c:pt>
                <c:pt idx="157">
                  <c:v>0.75251515339856456</c:v>
                </c:pt>
                <c:pt idx="158">
                  <c:v>0.82124651828078199</c:v>
                </c:pt>
                <c:pt idx="159">
                  <c:v>0.92960732318351358</c:v>
                </c:pt>
                <c:pt idx="160">
                  <c:v>0.88501664015235071</c:v>
                </c:pt>
                <c:pt idx="161">
                  <c:v>0.83280258404208052</c:v>
                </c:pt>
                <c:pt idx="162">
                  <c:v>0.85712477466179227</c:v>
                </c:pt>
                <c:pt idx="163">
                  <c:v>0.8164062813442623</c:v>
                </c:pt>
                <c:pt idx="164">
                  <c:v>0.83588823502745502</c:v>
                </c:pt>
                <c:pt idx="165">
                  <c:v>0.86961543974484612</c:v>
                </c:pt>
                <c:pt idx="166">
                  <c:v>0.90328624974362137</c:v>
                </c:pt>
                <c:pt idx="167">
                  <c:v>0.82258557812504662</c:v>
                </c:pt>
                <c:pt idx="168">
                  <c:v>0.82984500881735079</c:v>
                </c:pt>
                <c:pt idx="169">
                  <c:v>0.80963959319633383</c:v>
                </c:pt>
                <c:pt idx="170">
                  <c:v>0.86517423836924956</c:v>
                </c:pt>
                <c:pt idx="171">
                  <c:v>0.98912901821104815</c:v>
                </c:pt>
                <c:pt idx="172">
                  <c:v>0.98041770138028372</c:v>
                </c:pt>
                <c:pt idx="173">
                  <c:v>0.98640673168430726</c:v>
                </c:pt>
                <c:pt idx="174">
                  <c:v>0.98489435025011485</c:v>
                </c:pt>
                <c:pt idx="175">
                  <c:v>1.0779360542511283</c:v>
                </c:pt>
                <c:pt idx="176">
                  <c:v>1.0499267506872654</c:v>
                </c:pt>
                <c:pt idx="177">
                  <c:v>1.1003192990113293</c:v>
                </c:pt>
                <c:pt idx="178">
                  <c:v>1.1230655152718918</c:v>
                </c:pt>
                <c:pt idx="179">
                  <c:v>1.1121763691649282</c:v>
                </c:pt>
                <c:pt idx="180">
                  <c:v>1.0671678985986142</c:v>
                </c:pt>
                <c:pt idx="181">
                  <c:v>1.0479909024569793</c:v>
                </c:pt>
                <c:pt idx="182">
                  <c:v>1.0339582906252685</c:v>
                </c:pt>
                <c:pt idx="183">
                  <c:v>1.1091081300126175</c:v>
                </c:pt>
                <c:pt idx="184">
                  <c:v>1.2089256873514977</c:v>
                </c:pt>
                <c:pt idx="185">
                  <c:v>1.2819550168937393</c:v>
                </c:pt>
                <c:pt idx="186">
                  <c:v>1.2399994251683633</c:v>
                </c:pt>
                <c:pt idx="187">
                  <c:v>1.1373472715541131</c:v>
                </c:pt>
                <c:pt idx="188">
                  <c:v>1.3068623710209355</c:v>
                </c:pt>
                <c:pt idx="189">
                  <c:v>1.2656322363050019</c:v>
                </c:pt>
                <c:pt idx="190">
                  <c:v>1.279415917703226</c:v>
                </c:pt>
                <c:pt idx="191">
                  <c:v>1.3233665159647945</c:v>
                </c:pt>
                <c:pt idx="192">
                  <c:v>1.232926220251144</c:v>
                </c:pt>
                <c:pt idx="193">
                  <c:v>1.2248099929606489</c:v>
                </c:pt>
                <c:pt idx="194">
                  <c:v>1.1756511397353231</c:v>
                </c:pt>
                <c:pt idx="195">
                  <c:v>1.1609638221541778</c:v>
                </c:pt>
                <c:pt idx="196">
                  <c:v>1.2350073242462001</c:v>
                </c:pt>
                <c:pt idx="197">
                  <c:v>1.1934944100164921</c:v>
                </c:pt>
                <c:pt idx="198">
                  <c:v>1.1462765044360181</c:v>
                </c:pt>
                <c:pt idx="199">
                  <c:v>1.1471261840776088</c:v>
                </c:pt>
                <c:pt idx="200">
                  <c:v>1.0872237770182891</c:v>
                </c:pt>
                <c:pt idx="201">
                  <c:v>1.1038532192008961</c:v>
                </c:pt>
                <c:pt idx="202">
                  <c:v>1.0891659016197508</c:v>
                </c:pt>
                <c:pt idx="203">
                  <c:v>1.1014255634148156</c:v>
                </c:pt>
                <c:pt idx="204">
                  <c:v>0.95716211706987098</c:v>
                </c:pt>
                <c:pt idx="205">
                  <c:v>0.94497858121199174</c:v>
                </c:pt>
                <c:pt idx="206">
                  <c:v>1.0282516220770788</c:v>
                </c:pt>
                <c:pt idx="207">
                  <c:v>1.0147303178758666</c:v>
                </c:pt>
                <c:pt idx="208">
                  <c:v>1.1548546858258466</c:v>
                </c:pt>
                <c:pt idx="209">
                  <c:v>1.1725597119345124</c:v>
                </c:pt>
                <c:pt idx="210">
                  <c:v>1.2227037414173658</c:v>
                </c:pt>
                <c:pt idx="211">
                  <c:v>1.2682396135024665</c:v>
                </c:pt>
                <c:pt idx="212">
                  <c:v>1.2837618280679699</c:v>
                </c:pt>
                <c:pt idx="213">
                  <c:v>1.2765464236367547</c:v>
                </c:pt>
                <c:pt idx="214">
                  <c:v>1.3507013789982709</c:v>
                </c:pt>
                <c:pt idx="215">
                  <c:v>1.3513077155304258</c:v>
                </c:pt>
                <c:pt idx="216">
                  <c:v>1.3288732646627701</c:v>
                </c:pt>
                <c:pt idx="217">
                  <c:v>1.2859905757206707</c:v>
                </c:pt>
                <c:pt idx="218">
                  <c:v>1.3416451142710186</c:v>
                </c:pt>
                <c:pt idx="219">
                  <c:v>1.3071807950561398</c:v>
                </c:pt>
                <c:pt idx="220">
                  <c:v>1.3014266467903588</c:v>
                </c:pt>
                <c:pt idx="221">
                  <c:v>1.3839835312065034</c:v>
                </c:pt>
                <c:pt idx="222">
                  <c:v>1.4108160328498647</c:v>
                </c:pt>
                <c:pt idx="223">
                  <c:v>1.4921615177537002</c:v>
                </c:pt>
                <c:pt idx="224">
                  <c:v>1.4800475213974758</c:v>
                </c:pt>
                <c:pt idx="225">
                  <c:v>1.5591519169089572</c:v>
                </c:pt>
                <c:pt idx="226">
                  <c:v>1.5972504350718078</c:v>
                </c:pt>
                <c:pt idx="227">
                  <c:v>1.6572752865859885</c:v>
                </c:pt>
                <c:pt idx="228">
                  <c:v>1.7068821011433877</c:v>
                </c:pt>
                <c:pt idx="229">
                  <c:v>1.774538770229086</c:v>
                </c:pt>
                <c:pt idx="230">
                  <c:v>1.7221457364234363</c:v>
                </c:pt>
                <c:pt idx="231">
                  <c:v>1.7961016834937986</c:v>
                </c:pt>
                <c:pt idx="232">
                  <c:v>1.811910448629745</c:v>
                </c:pt>
                <c:pt idx="233">
                  <c:v>1.777688409289925</c:v>
                </c:pt>
                <c:pt idx="234">
                  <c:v>1.8106606738922522</c:v>
                </c:pt>
                <c:pt idx="235">
                  <c:v>1.6930987187113247</c:v>
                </c:pt>
                <c:pt idx="236">
                  <c:v>1.7318558964579398</c:v>
                </c:pt>
                <c:pt idx="237">
                  <c:v>1.7351248606960872</c:v>
                </c:pt>
                <c:pt idx="238">
                  <c:v>1.9143125284225087</c:v>
                </c:pt>
                <c:pt idx="239">
                  <c:v>1.9721247659065502</c:v>
                </c:pt>
                <c:pt idx="240">
                  <c:v>2.1027622615360197</c:v>
                </c:pt>
                <c:pt idx="241">
                  <c:v>2.1272794930480954</c:v>
                </c:pt>
                <c:pt idx="242">
                  <c:v>2.2278909470807617</c:v>
                </c:pt>
                <c:pt idx="243">
                  <c:v>2.3025928329458782</c:v>
                </c:pt>
                <c:pt idx="244">
                  <c:v>2.198470269211465</c:v>
                </c:pt>
                <c:pt idx="245">
                  <c:v>2.3565293698506076</c:v>
                </c:pt>
                <c:pt idx="246">
                  <c:v>2.2884207797068723</c:v>
                </c:pt>
                <c:pt idx="247">
                  <c:v>2.3051782931286371</c:v>
                </c:pt>
                <c:pt idx="248">
                  <c:v>2.4104698040025805</c:v>
                </c:pt>
                <c:pt idx="249">
                  <c:v>2.2189644131151902</c:v>
                </c:pt>
                <c:pt idx="250">
                  <c:v>2.0173126389139351</c:v>
                </c:pt>
                <c:pt idx="251">
                  <c:v>1.8874146295070893</c:v>
                </c:pt>
                <c:pt idx="252">
                  <c:v>1.9531534724592139</c:v>
                </c:pt>
                <c:pt idx="253">
                  <c:v>2.1192625266335074</c:v>
                </c:pt>
                <c:pt idx="254">
                  <c:v>2.0578981723064094</c:v>
                </c:pt>
                <c:pt idx="255">
                  <c:v>2.0761252082668569</c:v>
                </c:pt>
                <c:pt idx="256">
                  <c:v>2.1054099792980869</c:v>
                </c:pt>
                <c:pt idx="257">
                  <c:v>2.1575199362679776</c:v>
                </c:pt>
                <c:pt idx="258">
                  <c:v>2.1687858434497049</c:v>
                </c:pt>
                <c:pt idx="259">
                  <c:v>2.3748368314077726</c:v>
                </c:pt>
                <c:pt idx="260">
                  <c:v>2.3551608749928956</c:v>
                </c:pt>
              </c:numCache>
            </c:numRef>
          </c:val>
          <c:smooth val="0"/>
          <c:extLst>
            <c:ext xmlns:c16="http://schemas.microsoft.com/office/drawing/2014/chart" uri="{C3380CC4-5D6E-409C-BE32-E72D297353CC}">
              <c16:uniqueId val="{00000001-3963-4C32-8553-B661848C8554}"/>
            </c:ext>
          </c:extLst>
        </c:ser>
        <c:ser>
          <c:idx val="2"/>
          <c:order val="2"/>
          <c:tx>
            <c:strRef>
              <c:f>'Price Data'!$AY$5</c:f>
              <c:strCache>
                <c:ptCount val="1"/>
              </c:strCache>
            </c:strRef>
          </c:tx>
          <c:spPr>
            <a:ln w="22225">
              <a:solidFill>
                <a:srgbClr val="00B050"/>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Data'!$AY$7:$AY$267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2-3963-4C32-8553-B661848C8554}"/>
            </c:ext>
          </c:extLst>
        </c:ser>
        <c:ser>
          <c:idx val="3"/>
          <c:order val="3"/>
          <c:tx>
            <c:strRef>
              <c:f>'Price Data'!$AZ$5</c:f>
              <c:strCache>
                <c:ptCount val="1"/>
              </c:strCache>
            </c:strRef>
          </c:tx>
          <c:spPr>
            <a:ln w="22225">
              <a:solidFill>
                <a:srgbClr val="FFC000"/>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Data'!$AZ$7:$AZ$267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3-3963-4C32-8553-B661848C8554}"/>
            </c:ext>
          </c:extLst>
        </c:ser>
        <c:ser>
          <c:idx val="4"/>
          <c:order val="4"/>
          <c:tx>
            <c:strRef>
              <c:f>'Price Data'!$BA$5</c:f>
              <c:strCache>
                <c:ptCount val="1"/>
              </c:strCache>
            </c:strRef>
          </c:tx>
          <c:spPr>
            <a:ln w="22225">
              <a:solidFill>
                <a:srgbClr val="000000"/>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Data'!$BA$7:$BA$267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4-3963-4C32-8553-B661848C8554}"/>
            </c:ext>
          </c:extLst>
        </c:ser>
        <c:ser>
          <c:idx val="5"/>
          <c:order val="5"/>
          <c:tx>
            <c:strRef>
              <c:f>'Price Data'!$BB$5</c:f>
              <c:strCache>
                <c:ptCount val="1"/>
              </c:strCache>
            </c:strRef>
          </c:tx>
          <c:spPr>
            <a:ln w="22225">
              <a:solidFill>
                <a:srgbClr val="FF872D"/>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Data'!$BB$7:$BB$267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5-3963-4C32-8553-B661848C8554}"/>
            </c:ext>
          </c:extLst>
        </c:ser>
        <c:ser>
          <c:idx val="6"/>
          <c:order val="6"/>
          <c:tx>
            <c:strRef>
              <c:f>'Price Data'!$BC$5</c:f>
              <c:strCache>
                <c:ptCount val="1"/>
              </c:strCache>
            </c:strRef>
          </c:tx>
          <c:spPr>
            <a:ln w="22225">
              <a:solidFill>
                <a:srgbClr val="60B2CC"/>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Data'!$BC$7:$BC$267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6-3963-4C32-8553-B661848C8554}"/>
            </c:ext>
          </c:extLst>
        </c:ser>
        <c:ser>
          <c:idx val="7"/>
          <c:order val="7"/>
          <c:tx>
            <c:strRef>
              <c:f>'Price Data'!$BD$5</c:f>
              <c:strCache>
                <c:ptCount val="1"/>
              </c:strCache>
            </c:strRef>
          </c:tx>
          <c:spPr>
            <a:ln w="22225">
              <a:solidFill>
                <a:srgbClr val="C3AA69"/>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Data'!$BD$7:$BD$267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7-3963-4C32-8553-B661848C8554}"/>
            </c:ext>
          </c:extLst>
        </c:ser>
        <c:ser>
          <c:idx val="8"/>
          <c:order val="8"/>
          <c:tx>
            <c:strRef>
              <c:f>'Price Data'!$BE$5</c:f>
              <c:strCache>
                <c:ptCount val="1"/>
              </c:strCache>
            </c:strRef>
          </c:tx>
          <c:spPr>
            <a:ln w="22225">
              <a:solidFill>
                <a:srgbClr val="969696"/>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Data'!$BE$7:$BE$267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8-3963-4C32-8553-B661848C8554}"/>
            </c:ext>
          </c:extLst>
        </c:ser>
        <c:ser>
          <c:idx val="9"/>
          <c:order val="9"/>
          <c:tx>
            <c:strRef>
              <c:f>'Price Data'!$BF$5</c:f>
              <c:strCache>
                <c:ptCount val="1"/>
              </c:strCache>
            </c:strRef>
          </c:tx>
          <c:spPr>
            <a:ln w="22225">
              <a:solidFill>
                <a:srgbClr val="53B9D9"/>
              </a:solidFill>
            </a:ln>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Data'!$BF$7:$BF$267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9-3963-4C32-8553-B661848C8554}"/>
            </c:ext>
          </c:extLst>
        </c:ser>
        <c:ser>
          <c:idx val="10"/>
          <c:order val="10"/>
          <c:tx>
            <c:strRef>
              <c:f>'Price Data'!$BG$5</c:f>
              <c:strCache>
                <c:ptCount val="1"/>
              </c:strCache>
            </c:strRef>
          </c:tx>
          <c:spPr>
            <a:ln w="22225"/>
          </c:spPr>
          <c:marker>
            <c:symbol val="none"/>
          </c:marker>
          <c:cat>
            <c:numRef>
              <c:f>'Price Data'!$AV$7:$AV$267</c:f>
              <c:numCache>
                <c:formatCode>m/d/yyyy</c:formatCode>
                <c:ptCount val="261"/>
                <c:pt idx="0">
                  <c:v>42825</c:v>
                </c:pt>
                <c:pt idx="1">
                  <c:v>42832</c:v>
                </c:pt>
                <c:pt idx="2">
                  <c:v>42839</c:v>
                </c:pt>
                <c:pt idx="3">
                  <c:v>42846</c:v>
                </c:pt>
                <c:pt idx="4">
                  <c:v>42853</c:v>
                </c:pt>
                <c:pt idx="5">
                  <c:v>42860</c:v>
                </c:pt>
                <c:pt idx="6">
                  <c:v>42867</c:v>
                </c:pt>
                <c:pt idx="7">
                  <c:v>42874</c:v>
                </c:pt>
                <c:pt idx="8">
                  <c:v>42881</c:v>
                </c:pt>
                <c:pt idx="9">
                  <c:v>42888</c:v>
                </c:pt>
                <c:pt idx="10">
                  <c:v>42895</c:v>
                </c:pt>
                <c:pt idx="11">
                  <c:v>42902</c:v>
                </c:pt>
                <c:pt idx="12">
                  <c:v>42909</c:v>
                </c:pt>
                <c:pt idx="13">
                  <c:v>42916</c:v>
                </c:pt>
                <c:pt idx="14">
                  <c:v>42923</c:v>
                </c:pt>
                <c:pt idx="15">
                  <c:v>42930</c:v>
                </c:pt>
                <c:pt idx="16">
                  <c:v>42937</c:v>
                </c:pt>
                <c:pt idx="17">
                  <c:v>42944</c:v>
                </c:pt>
                <c:pt idx="18">
                  <c:v>42951</c:v>
                </c:pt>
                <c:pt idx="19">
                  <c:v>42958</c:v>
                </c:pt>
                <c:pt idx="20">
                  <c:v>42965</c:v>
                </c:pt>
                <c:pt idx="21">
                  <c:v>42972</c:v>
                </c:pt>
                <c:pt idx="22">
                  <c:v>42979</c:v>
                </c:pt>
                <c:pt idx="23">
                  <c:v>42986</c:v>
                </c:pt>
                <c:pt idx="24">
                  <c:v>42993</c:v>
                </c:pt>
                <c:pt idx="25">
                  <c:v>43000</c:v>
                </c:pt>
                <c:pt idx="26">
                  <c:v>43007</c:v>
                </c:pt>
                <c:pt idx="27">
                  <c:v>43014</c:v>
                </c:pt>
                <c:pt idx="28">
                  <c:v>43021</c:v>
                </c:pt>
                <c:pt idx="29">
                  <c:v>43028</c:v>
                </c:pt>
                <c:pt idx="30">
                  <c:v>43035</c:v>
                </c:pt>
                <c:pt idx="31">
                  <c:v>43042</c:v>
                </c:pt>
                <c:pt idx="32">
                  <c:v>43049</c:v>
                </c:pt>
                <c:pt idx="33">
                  <c:v>43056</c:v>
                </c:pt>
                <c:pt idx="34">
                  <c:v>43063</c:v>
                </c:pt>
                <c:pt idx="35">
                  <c:v>43070</c:v>
                </c:pt>
                <c:pt idx="36">
                  <c:v>43077</c:v>
                </c:pt>
                <c:pt idx="37">
                  <c:v>43084</c:v>
                </c:pt>
                <c:pt idx="38">
                  <c:v>43091</c:v>
                </c:pt>
                <c:pt idx="39">
                  <c:v>43098</c:v>
                </c:pt>
                <c:pt idx="40">
                  <c:v>43105</c:v>
                </c:pt>
                <c:pt idx="41">
                  <c:v>43112</c:v>
                </c:pt>
                <c:pt idx="42">
                  <c:v>43119</c:v>
                </c:pt>
                <c:pt idx="43">
                  <c:v>43126</c:v>
                </c:pt>
                <c:pt idx="44">
                  <c:v>43133</c:v>
                </c:pt>
                <c:pt idx="45">
                  <c:v>43140</c:v>
                </c:pt>
                <c:pt idx="46">
                  <c:v>43147</c:v>
                </c:pt>
                <c:pt idx="47">
                  <c:v>43154</c:v>
                </c:pt>
                <c:pt idx="48">
                  <c:v>43161</c:v>
                </c:pt>
                <c:pt idx="49">
                  <c:v>43168</c:v>
                </c:pt>
                <c:pt idx="50">
                  <c:v>43175</c:v>
                </c:pt>
                <c:pt idx="51">
                  <c:v>43182</c:v>
                </c:pt>
                <c:pt idx="52">
                  <c:v>43189</c:v>
                </c:pt>
                <c:pt idx="53">
                  <c:v>43196</c:v>
                </c:pt>
                <c:pt idx="54">
                  <c:v>43203</c:v>
                </c:pt>
                <c:pt idx="55">
                  <c:v>43210</c:v>
                </c:pt>
                <c:pt idx="56">
                  <c:v>43217</c:v>
                </c:pt>
                <c:pt idx="57">
                  <c:v>43224</c:v>
                </c:pt>
                <c:pt idx="58">
                  <c:v>43231</c:v>
                </c:pt>
                <c:pt idx="59">
                  <c:v>43238</c:v>
                </c:pt>
                <c:pt idx="60">
                  <c:v>43245</c:v>
                </c:pt>
                <c:pt idx="61">
                  <c:v>43252</c:v>
                </c:pt>
                <c:pt idx="62">
                  <c:v>43259</c:v>
                </c:pt>
                <c:pt idx="63">
                  <c:v>43266</c:v>
                </c:pt>
                <c:pt idx="64">
                  <c:v>43273</c:v>
                </c:pt>
                <c:pt idx="65">
                  <c:v>43280</c:v>
                </c:pt>
                <c:pt idx="66">
                  <c:v>43287</c:v>
                </c:pt>
                <c:pt idx="67">
                  <c:v>43294</c:v>
                </c:pt>
                <c:pt idx="68">
                  <c:v>43301</c:v>
                </c:pt>
                <c:pt idx="69">
                  <c:v>43308</c:v>
                </c:pt>
                <c:pt idx="70">
                  <c:v>43315</c:v>
                </c:pt>
                <c:pt idx="71">
                  <c:v>43322</c:v>
                </c:pt>
                <c:pt idx="72">
                  <c:v>43329</c:v>
                </c:pt>
                <c:pt idx="73">
                  <c:v>43336</c:v>
                </c:pt>
                <c:pt idx="74">
                  <c:v>43343</c:v>
                </c:pt>
                <c:pt idx="75">
                  <c:v>43350</c:v>
                </c:pt>
                <c:pt idx="76">
                  <c:v>43357</c:v>
                </c:pt>
                <c:pt idx="77">
                  <c:v>43364</c:v>
                </c:pt>
                <c:pt idx="78">
                  <c:v>43371</c:v>
                </c:pt>
                <c:pt idx="79">
                  <c:v>43378</c:v>
                </c:pt>
                <c:pt idx="80">
                  <c:v>43385</c:v>
                </c:pt>
                <c:pt idx="81">
                  <c:v>43392</c:v>
                </c:pt>
                <c:pt idx="82">
                  <c:v>43399</c:v>
                </c:pt>
                <c:pt idx="83">
                  <c:v>43406</c:v>
                </c:pt>
                <c:pt idx="84">
                  <c:v>43413</c:v>
                </c:pt>
                <c:pt idx="85">
                  <c:v>43420</c:v>
                </c:pt>
                <c:pt idx="86">
                  <c:v>43427</c:v>
                </c:pt>
                <c:pt idx="87">
                  <c:v>43434</c:v>
                </c:pt>
                <c:pt idx="88">
                  <c:v>43441</c:v>
                </c:pt>
                <c:pt idx="89">
                  <c:v>43448</c:v>
                </c:pt>
                <c:pt idx="90">
                  <c:v>43455</c:v>
                </c:pt>
                <c:pt idx="91">
                  <c:v>43462</c:v>
                </c:pt>
                <c:pt idx="92">
                  <c:v>43469</c:v>
                </c:pt>
                <c:pt idx="93">
                  <c:v>43476</c:v>
                </c:pt>
                <c:pt idx="94">
                  <c:v>43483</c:v>
                </c:pt>
                <c:pt idx="95">
                  <c:v>43490</c:v>
                </c:pt>
                <c:pt idx="96">
                  <c:v>43497</c:v>
                </c:pt>
                <c:pt idx="97">
                  <c:v>43504</c:v>
                </c:pt>
                <c:pt idx="98">
                  <c:v>43511</c:v>
                </c:pt>
                <c:pt idx="99">
                  <c:v>43518</c:v>
                </c:pt>
                <c:pt idx="100">
                  <c:v>43525</c:v>
                </c:pt>
                <c:pt idx="101">
                  <c:v>43532</c:v>
                </c:pt>
                <c:pt idx="102">
                  <c:v>43539</c:v>
                </c:pt>
                <c:pt idx="103">
                  <c:v>43546</c:v>
                </c:pt>
                <c:pt idx="104">
                  <c:v>43553</c:v>
                </c:pt>
                <c:pt idx="105">
                  <c:v>43560</c:v>
                </c:pt>
                <c:pt idx="106">
                  <c:v>43567</c:v>
                </c:pt>
                <c:pt idx="107">
                  <c:v>43574</c:v>
                </c:pt>
                <c:pt idx="108">
                  <c:v>43581</c:v>
                </c:pt>
                <c:pt idx="109">
                  <c:v>43588</c:v>
                </c:pt>
                <c:pt idx="110">
                  <c:v>43595</c:v>
                </c:pt>
                <c:pt idx="111">
                  <c:v>43602</c:v>
                </c:pt>
                <c:pt idx="112">
                  <c:v>43609</c:v>
                </c:pt>
                <c:pt idx="113">
                  <c:v>43616</c:v>
                </c:pt>
                <c:pt idx="114">
                  <c:v>43623</c:v>
                </c:pt>
                <c:pt idx="115">
                  <c:v>43630</c:v>
                </c:pt>
                <c:pt idx="116">
                  <c:v>43637</c:v>
                </c:pt>
                <c:pt idx="117">
                  <c:v>43644</c:v>
                </c:pt>
                <c:pt idx="118">
                  <c:v>43651</c:v>
                </c:pt>
                <c:pt idx="119">
                  <c:v>43658</c:v>
                </c:pt>
                <c:pt idx="120">
                  <c:v>43665</c:v>
                </c:pt>
                <c:pt idx="121">
                  <c:v>43672</c:v>
                </c:pt>
                <c:pt idx="122">
                  <c:v>43679</c:v>
                </c:pt>
                <c:pt idx="123">
                  <c:v>43686</c:v>
                </c:pt>
                <c:pt idx="124">
                  <c:v>43693</c:v>
                </c:pt>
                <c:pt idx="125">
                  <c:v>43700</c:v>
                </c:pt>
                <c:pt idx="126">
                  <c:v>43707</c:v>
                </c:pt>
                <c:pt idx="127">
                  <c:v>43714</c:v>
                </c:pt>
                <c:pt idx="128">
                  <c:v>43721</c:v>
                </c:pt>
                <c:pt idx="129">
                  <c:v>43728</c:v>
                </c:pt>
                <c:pt idx="130">
                  <c:v>43735</c:v>
                </c:pt>
                <c:pt idx="131">
                  <c:v>43742</c:v>
                </c:pt>
                <c:pt idx="132">
                  <c:v>43749</c:v>
                </c:pt>
                <c:pt idx="133">
                  <c:v>43756</c:v>
                </c:pt>
                <c:pt idx="134">
                  <c:v>43763</c:v>
                </c:pt>
                <c:pt idx="135">
                  <c:v>43770</c:v>
                </c:pt>
                <c:pt idx="136">
                  <c:v>43777</c:v>
                </c:pt>
                <c:pt idx="137">
                  <c:v>43784</c:v>
                </c:pt>
                <c:pt idx="138">
                  <c:v>43791</c:v>
                </c:pt>
                <c:pt idx="139">
                  <c:v>43798</c:v>
                </c:pt>
                <c:pt idx="140">
                  <c:v>43805</c:v>
                </c:pt>
                <c:pt idx="141">
                  <c:v>43812</c:v>
                </c:pt>
                <c:pt idx="142">
                  <c:v>43819</c:v>
                </c:pt>
                <c:pt idx="143">
                  <c:v>43826</c:v>
                </c:pt>
                <c:pt idx="144">
                  <c:v>43833</c:v>
                </c:pt>
                <c:pt idx="145">
                  <c:v>43840</c:v>
                </c:pt>
                <c:pt idx="146">
                  <c:v>43847</c:v>
                </c:pt>
                <c:pt idx="147">
                  <c:v>43854</c:v>
                </c:pt>
                <c:pt idx="148">
                  <c:v>43861</c:v>
                </c:pt>
                <c:pt idx="149">
                  <c:v>43868</c:v>
                </c:pt>
                <c:pt idx="150">
                  <c:v>43875</c:v>
                </c:pt>
                <c:pt idx="151">
                  <c:v>43882</c:v>
                </c:pt>
                <c:pt idx="152">
                  <c:v>43889</c:v>
                </c:pt>
                <c:pt idx="153">
                  <c:v>43896</c:v>
                </c:pt>
                <c:pt idx="154">
                  <c:v>43903</c:v>
                </c:pt>
                <c:pt idx="155">
                  <c:v>43910</c:v>
                </c:pt>
                <c:pt idx="156">
                  <c:v>43917</c:v>
                </c:pt>
                <c:pt idx="157">
                  <c:v>43924</c:v>
                </c:pt>
                <c:pt idx="158">
                  <c:v>43931</c:v>
                </c:pt>
                <c:pt idx="159">
                  <c:v>43938</c:v>
                </c:pt>
                <c:pt idx="160">
                  <c:v>43945</c:v>
                </c:pt>
                <c:pt idx="161">
                  <c:v>43952</c:v>
                </c:pt>
                <c:pt idx="162">
                  <c:v>43959</c:v>
                </c:pt>
                <c:pt idx="163">
                  <c:v>43966</c:v>
                </c:pt>
                <c:pt idx="164">
                  <c:v>43973</c:v>
                </c:pt>
                <c:pt idx="165">
                  <c:v>43980</c:v>
                </c:pt>
                <c:pt idx="166">
                  <c:v>43987</c:v>
                </c:pt>
                <c:pt idx="167">
                  <c:v>43994</c:v>
                </c:pt>
                <c:pt idx="168">
                  <c:v>44001</c:v>
                </c:pt>
                <c:pt idx="169">
                  <c:v>44008</c:v>
                </c:pt>
                <c:pt idx="170">
                  <c:v>44015</c:v>
                </c:pt>
                <c:pt idx="171">
                  <c:v>44022</c:v>
                </c:pt>
                <c:pt idx="172">
                  <c:v>44029</c:v>
                </c:pt>
                <c:pt idx="173">
                  <c:v>44036</c:v>
                </c:pt>
                <c:pt idx="174">
                  <c:v>44043</c:v>
                </c:pt>
                <c:pt idx="175">
                  <c:v>44050</c:v>
                </c:pt>
                <c:pt idx="176">
                  <c:v>44057</c:v>
                </c:pt>
                <c:pt idx="177">
                  <c:v>44064</c:v>
                </c:pt>
                <c:pt idx="178">
                  <c:v>44071</c:v>
                </c:pt>
                <c:pt idx="179">
                  <c:v>44078</c:v>
                </c:pt>
                <c:pt idx="180">
                  <c:v>44085</c:v>
                </c:pt>
                <c:pt idx="181">
                  <c:v>44092</c:v>
                </c:pt>
                <c:pt idx="182">
                  <c:v>44099</c:v>
                </c:pt>
                <c:pt idx="183">
                  <c:v>44106</c:v>
                </c:pt>
                <c:pt idx="184">
                  <c:v>44113</c:v>
                </c:pt>
                <c:pt idx="185">
                  <c:v>44120</c:v>
                </c:pt>
                <c:pt idx="186">
                  <c:v>44127</c:v>
                </c:pt>
                <c:pt idx="187">
                  <c:v>44134</c:v>
                </c:pt>
                <c:pt idx="188">
                  <c:v>44141</c:v>
                </c:pt>
                <c:pt idx="189">
                  <c:v>44148</c:v>
                </c:pt>
                <c:pt idx="190">
                  <c:v>44155</c:v>
                </c:pt>
                <c:pt idx="191">
                  <c:v>44162</c:v>
                </c:pt>
                <c:pt idx="192">
                  <c:v>44169</c:v>
                </c:pt>
                <c:pt idx="193">
                  <c:v>44176</c:v>
                </c:pt>
                <c:pt idx="194">
                  <c:v>44183</c:v>
                </c:pt>
                <c:pt idx="195">
                  <c:v>44190</c:v>
                </c:pt>
                <c:pt idx="196">
                  <c:v>44197</c:v>
                </c:pt>
                <c:pt idx="197">
                  <c:v>44204</c:v>
                </c:pt>
                <c:pt idx="198">
                  <c:v>44211</c:v>
                </c:pt>
                <c:pt idx="199">
                  <c:v>44218</c:v>
                </c:pt>
                <c:pt idx="200">
                  <c:v>44225</c:v>
                </c:pt>
                <c:pt idx="201">
                  <c:v>44232</c:v>
                </c:pt>
                <c:pt idx="202">
                  <c:v>44239</c:v>
                </c:pt>
                <c:pt idx="203">
                  <c:v>44246</c:v>
                </c:pt>
                <c:pt idx="204">
                  <c:v>44253</c:v>
                </c:pt>
                <c:pt idx="205">
                  <c:v>44260</c:v>
                </c:pt>
                <c:pt idx="206">
                  <c:v>44267</c:v>
                </c:pt>
                <c:pt idx="207">
                  <c:v>44274</c:v>
                </c:pt>
                <c:pt idx="208">
                  <c:v>44281</c:v>
                </c:pt>
                <c:pt idx="209">
                  <c:v>44288</c:v>
                </c:pt>
                <c:pt idx="210">
                  <c:v>44295</c:v>
                </c:pt>
                <c:pt idx="211">
                  <c:v>44302</c:v>
                </c:pt>
                <c:pt idx="212">
                  <c:v>44309</c:v>
                </c:pt>
                <c:pt idx="213">
                  <c:v>44316</c:v>
                </c:pt>
                <c:pt idx="214">
                  <c:v>44323</c:v>
                </c:pt>
                <c:pt idx="215">
                  <c:v>44330</c:v>
                </c:pt>
                <c:pt idx="216">
                  <c:v>44337</c:v>
                </c:pt>
                <c:pt idx="217">
                  <c:v>44344</c:v>
                </c:pt>
                <c:pt idx="218">
                  <c:v>44351</c:v>
                </c:pt>
                <c:pt idx="219">
                  <c:v>44358</c:v>
                </c:pt>
                <c:pt idx="220">
                  <c:v>44365</c:v>
                </c:pt>
                <c:pt idx="221">
                  <c:v>44372</c:v>
                </c:pt>
                <c:pt idx="222">
                  <c:v>44379</c:v>
                </c:pt>
                <c:pt idx="223">
                  <c:v>44386</c:v>
                </c:pt>
                <c:pt idx="224">
                  <c:v>44393</c:v>
                </c:pt>
                <c:pt idx="225">
                  <c:v>44400</c:v>
                </c:pt>
                <c:pt idx="226">
                  <c:v>44407</c:v>
                </c:pt>
                <c:pt idx="227">
                  <c:v>44414</c:v>
                </c:pt>
                <c:pt idx="228">
                  <c:v>44421</c:v>
                </c:pt>
                <c:pt idx="229">
                  <c:v>44428</c:v>
                </c:pt>
                <c:pt idx="230">
                  <c:v>44435</c:v>
                </c:pt>
                <c:pt idx="231">
                  <c:v>44442</c:v>
                </c:pt>
                <c:pt idx="232">
                  <c:v>44449</c:v>
                </c:pt>
                <c:pt idx="233">
                  <c:v>44456</c:v>
                </c:pt>
                <c:pt idx="234">
                  <c:v>44463</c:v>
                </c:pt>
                <c:pt idx="235">
                  <c:v>44470</c:v>
                </c:pt>
                <c:pt idx="236">
                  <c:v>44477</c:v>
                </c:pt>
                <c:pt idx="237">
                  <c:v>44484</c:v>
                </c:pt>
                <c:pt idx="238">
                  <c:v>44491</c:v>
                </c:pt>
                <c:pt idx="239">
                  <c:v>44498</c:v>
                </c:pt>
                <c:pt idx="240">
                  <c:v>44505</c:v>
                </c:pt>
                <c:pt idx="241">
                  <c:v>44512</c:v>
                </c:pt>
                <c:pt idx="242">
                  <c:v>44519</c:v>
                </c:pt>
                <c:pt idx="243">
                  <c:v>44526</c:v>
                </c:pt>
                <c:pt idx="244">
                  <c:v>44533</c:v>
                </c:pt>
                <c:pt idx="245">
                  <c:v>44540</c:v>
                </c:pt>
                <c:pt idx="246">
                  <c:v>44547</c:v>
                </c:pt>
                <c:pt idx="247">
                  <c:v>44554</c:v>
                </c:pt>
                <c:pt idx="248">
                  <c:v>44561</c:v>
                </c:pt>
                <c:pt idx="249">
                  <c:v>44568</c:v>
                </c:pt>
                <c:pt idx="250">
                  <c:v>44575</c:v>
                </c:pt>
                <c:pt idx="251">
                  <c:v>44582</c:v>
                </c:pt>
                <c:pt idx="252">
                  <c:v>44589</c:v>
                </c:pt>
                <c:pt idx="253">
                  <c:v>44596</c:v>
                </c:pt>
                <c:pt idx="254">
                  <c:v>44603</c:v>
                </c:pt>
                <c:pt idx="255">
                  <c:v>44610</c:v>
                </c:pt>
                <c:pt idx="256">
                  <c:v>44617</c:v>
                </c:pt>
                <c:pt idx="257">
                  <c:v>44624</c:v>
                </c:pt>
                <c:pt idx="258">
                  <c:v>44631</c:v>
                </c:pt>
                <c:pt idx="259">
                  <c:v>44638</c:v>
                </c:pt>
                <c:pt idx="260">
                  <c:v>44645</c:v>
                </c:pt>
              </c:numCache>
            </c:numRef>
          </c:cat>
          <c:val>
            <c:numRef>
              <c:f>'Price Data'!$BG$7:$BG$267</c:f>
              <c:numCache>
                <c:formatCode>0.00%</c:formatCode>
                <c:ptCount val="2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numCache>
            </c:numRef>
          </c:val>
          <c:smooth val="0"/>
          <c:extLst>
            <c:ext xmlns:c16="http://schemas.microsoft.com/office/drawing/2014/chart" uri="{C3380CC4-5D6E-409C-BE32-E72D297353CC}">
              <c16:uniqueId val="{0000000A-3963-4C32-8553-B661848C8554}"/>
            </c:ext>
          </c:extLst>
        </c:ser>
        <c:dLbls>
          <c:showLegendKey val="0"/>
          <c:showVal val="0"/>
          <c:showCatName val="0"/>
          <c:showSerName val="0"/>
          <c:showPercent val="0"/>
          <c:showBubbleSize val="0"/>
        </c:dLbls>
        <c:smooth val="0"/>
        <c:axId val="885470208"/>
        <c:axId val="885425856"/>
      </c:lineChart>
      <c:catAx>
        <c:axId val="885470208"/>
        <c:scaling>
          <c:orientation val="minMax"/>
        </c:scaling>
        <c:delete val="0"/>
        <c:axPos val="b"/>
        <c:numFmt formatCode="dd\ mmm\ yyyy" sourceLinked="0"/>
        <c:majorTickMark val="out"/>
        <c:minorTickMark val="none"/>
        <c:tickLblPos val="low"/>
        <c:txPr>
          <a:bodyPr rot="-2640000" vert="horz"/>
          <a:lstStyle/>
          <a:p>
            <a:pPr>
              <a:defRPr sz="900"/>
            </a:pPr>
            <a:endParaRPr lang="en-US"/>
          </a:p>
        </c:txPr>
        <c:crossAx val="885425856"/>
        <c:crossesAt val="-0.8"/>
        <c:auto val="0"/>
        <c:lblAlgn val="ctr"/>
        <c:lblOffset val="100"/>
        <c:tickLblSkip val="12"/>
        <c:tickMarkSkip val="12"/>
        <c:noMultiLvlLbl val="0"/>
      </c:catAx>
      <c:valAx>
        <c:axId val="88542585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pPr>
            <a:endParaRPr lang="en-US"/>
          </a:p>
        </c:txPr>
        <c:crossAx val="885470208"/>
        <c:crosses val="autoZero"/>
        <c:crossBetween val="between"/>
      </c:valAx>
      <c:spPr>
        <a:gradFill>
          <a:gsLst>
            <a:gs pos="0">
              <a:schemeClr val="bg1">
                <a:lumMod val="95000"/>
              </a:schemeClr>
            </a:gs>
            <a:gs pos="50000">
              <a:schemeClr val="bg1"/>
            </a:gs>
          </a:gsLst>
          <a:lin ang="16200000" scaled="0"/>
        </a:gradFill>
      </c:spPr>
    </c:plotArea>
    <c:legend>
      <c:legendPos val="b"/>
      <c:layout>
        <c:manualLayout>
          <c:xMode val="edge"/>
          <c:yMode val="edge"/>
          <c:x val="1.5626825563734086E-3"/>
          <c:y val="0.9065818872378486"/>
          <c:w val="0.99687463488725314"/>
          <c:h val="9.3418112762151451E-2"/>
        </c:manualLayout>
      </c:layout>
      <c:overlay val="0"/>
    </c:legend>
    <c:plotVisOnly val="1"/>
    <c:dispBlanksAs val="gap"/>
    <c:showDLblsOverMax val="0"/>
  </c:chart>
  <c:spPr>
    <a:solidFill>
      <a:schemeClr val="bg1"/>
    </a:solidFill>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Gross Margin</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Data'!$AG$6:$AP$6</c:f>
              <c:strCache>
                <c:ptCount val="1"/>
                <c:pt idx="0">
                  <c:v>CY2021</c:v>
                </c:pt>
              </c:strCache>
            </c:strRef>
          </c:cat>
          <c:val>
            <c:numRef>
              <c:f>'Peer Data'!$AG$31:$AP$31</c:f>
              <c:numCache>
                <c:formatCode>0%</c:formatCode>
                <c:ptCount val="10"/>
                <c:pt idx="0">
                  <c:v>0.25098700000000002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Data'!$AG$6:$AP$6</c:f>
              <c:strCache>
                <c:ptCount val="1"/>
                <c:pt idx="0">
                  <c:v>CY2021</c:v>
                </c:pt>
              </c:strCache>
            </c:strRef>
          </c:cat>
          <c:val>
            <c:numRef>
              <c:f>'Peer Data'!$AG$32:$AP$32</c:f>
              <c:numCache>
                <c:formatCode>0%</c:formatCode>
                <c:ptCount val="10"/>
                <c:pt idx="0">
                  <c:v>0.12756200000000001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Data'!$AG$6:$AP$6</c:f>
              <c:strCache>
                <c:ptCount val="1"/>
                <c:pt idx="0">
                  <c:v>CY2021</c:v>
                </c:pt>
              </c:strCache>
            </c:strRef>
          </c:cat>
          <c:val>
            <c:numRef>
              <c:f>'Peer Data'!$AG$33:$AP$33</c:f>
              <c:numCache>
                <c:formatCode>0%</c:formatCode>
                <c:ptCount val="10"/>
                <c:pt idx="0">
                  <c:v>0.25098700000000002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5282816"/>
        <c:axId val="885430464"/>
      </c:lineChart>
      <c:catAx>
        <c:axId val="88528281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5430464"/>
        <c:crosses val="autoZero"/>
        <c:auto val="1"/>
        <c:lblAlgn val="ctr"/>
        <c:lblOffset val="100"/>
        <c:noMultiLvlLbl val="0"/>
      </c:catAx>
      <c:valAx>
        <c:axId val="88543046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528281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EBITDA Margin</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Data'!$BA$6:$BJ$6</c:f>
              <c:strCache>
                <c:ptCount val="1"/>
                <c:pt idx="0">
                  <c:v>CY2021</c:v>
                </c:pt>
              </c:strCache>
            </c:strRef>
          </c:cat>
          <c:val>
            <c:numRef>
              <c:f>'Peer Data'!$BA$31:$BJ$31</c:f>
              <c:numCache>
                <c:formatCode>0%</c:formatCode>
                <c:ptCount val="10"/>
                <c:pt idx="0">
                  <c:v>6.3900999999999999E-2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Data'!$BA$6:$BJ$6</c:f>
              <c:strCache>
                <c:ptCount val="1"/>
                <c:pt idx="0">
                  <c:v>CY2021</c:v>
                </c:pt>
              </c:strCache>
            </c:strRef>
          </c:cat>
          <c:val>
            <c:numRef>
              <c:f>'Peer Data'!$BA$32:$BJ$32</c:f>
              <c:numCache>
                <c:formatCode>0%</c:formatCode>
                <c:ptCount val="10"/>
                <c:pt idx="0">
                  <c:v>4.6349999999999995E-2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Data'!$BA$6:$BJ$6</c:f>
              <c:strCache>
                <c:ptCount val="1"/>
                <c:pt idx="0">
                  <c:v>CY2021</c:v>
                </c:pt>
              </c:strCache>
            </c:strRef>
          </c:cat>
          <c:val>
            <c:numRef>
              <c:f>'Peer Data'!$BA$33:$BJ$33</c:f>
              <c:numCache>
                <c:formatCode>0%</c:formatCode>
                <c:ptCount val="10"/>
                <c:pt idx="0">
                  <c:v>6.3900999999999999E-2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5388800"/>
        <c:axId val="885137984"/>
      </c:lineChart>
      <c:catAx>
        <c:axId val="8853888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5137984"/>
        <c:crosses val="autoZero"/>
        <c:auto val="1"/>
        <c:lblAlgn val="ctr"/>
        <c:lblOffset val="100"/>
        <c:noMultiLvlLbl val="0"/>
      </c:catAx>
      <c:valAx>
        <c:axId val="88513798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53888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Net Profit Margin</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Data'!$CO$6:$CX$6</c:f>
              <c:strCache>
                <c:ptCount val="1"/>
                <c:pt idx="0">
                  <c:v>CY2021</c:v>
                </c:pt>
              </c:strCache>
            </c:strRef>
          </c:cat>
          <c:val>
            <c:numRef>
              <c:f>'Peer Data'!$CO$31:$CX$31</c:f>
              <c:numCache>
                <c:formatCode>0%</c:formatCode>
                <c:ptCount val="10"/>
                <c:pt idx="0">
                  <c:v>2.3872000000000001E-2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Data'!$CO$6:$CX$6</c:f>
              <c:strCache>
                <c:ptCount val="1"/>
                <c:pt idx="0">
                  <c:v>CY2021</c:v>
                </c:pt>
              </c:strCache>
            </c:strRef>
          </c:cat>
          <c:val>
            <c:numRef>
              <c:f>'Peer Data'!$CO$32:$CX$32</c:f>
              <c:numCache>
                <c:formatCode>0%</c:formatCode>
                <c:ptCount val="10"/>
                <c:pt idx="0">
                  <c:v>2.5432E-2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Data'!$CO$6:$CX$6</c:f>
              <c:strCache>
                <c:ptCount val="1"/>
                <c:pt idx="0">
                  <c:v>CY2021</c:v>
                </c:pt>
              </c:strCache>
            </c:strRef>
          </c:cat>
          <c:val>
            <c:numRef>
              <c:f>'Peer Data'!$CO$33:$CX$33</c:f>
              <c:numCache>
                <c:formatCode>0%</c:formatCode>
                <c:ptCount val="10"/>
                <c:pt idx="0">
                  <c:v>2.5432E-2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5390848"/>
        <c:axId val="885140288"/>
      </c:lineChart>
      <c:catAx>
        <c:axId val="8853908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5140288"/>
        <c:crosses val="autoZero"/>
        <c:auto val="1"/>
        <c:lblAlgn val="ctr"/>
        <c:lblOffset val="100"/>
        <c:noMultiLvlLbl val="0"/>
      </c:catAx>
      <c:valAx>
        <c:axId val="88514028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53908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R&amp;D Margin</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Data'!$FQ$6:$FZ$6</c:f>
              <c:strCache>
                <c:ptCount val="1"/>
                <c:pt idx="0">
                  <c:v>CY2021</c:v>
                </c:pt>
              </c:strCache>
            </c:strRef>
          </c:cat>
          <c:val>
            <c:numRef>
              <c:f>'Peer Data'!$FQ$31:$FZ$31</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Data'!$FQ$6:$FZ$6</c:f>
              <c:strCache>
                <c:ptCount val="1"/>
                <c:pt idx="0">
                  <c:v>CY2021</c:v>
                </c:pt>
              </c:strCache>
            </c:strRef>
          </c:cat>
          <c:val>
            <c:numRef>
              <c:f>'Peer Data'!$FQ$32:$FZ$32</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Data'!$FQ$6:$FZ$6</c:f>
              <c:strCache>
                <c:ptCount val="1"/>
                <c:pt idx="0">
                  <c:v>CY2021</c:v>
                </c:pt>
              </c:strCache>
            </c:strRef>
          </c:cat>
          <c:val>
            <c:numRef>
              <c:f>'Peer Data'!$FQ$33:$FZ$33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6892032"/>
        <c:axId val="885142592"/>
      </c:lineChart>
      <c:catAx>
        <c:axId val="88689203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5142592"/>
        <c:crosses val="autoZero"/>
        <c:auto val="1"/>
        <c:lblAlgn val="ctr"/>
        <c:lblOffset val="100"/>
        <c:noMultiLvlLbl val="0"/>
      </c:catAx>
      <c:valAx>
        <c:axId val="88514259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6892032"/>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SG&amp;A Margin</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Data'!$EW$6:$FF$6</c:f>
              <c:strCache>
                <c:ptCount val="1"/>
                <c:pt idx="0">
                  <c:v>CY2021</c:v>
                </c:pt>
              </c:strCache>
            </c:strRef>
          </c:cat>
          <c:val>
            <c:numRef>
              <c:f>'Peer Data'!$EW$31:$FF$31</c:f>
              <c:numCache>
                <c:formatCode>0%</c:formatCode>
                <c:ptCount val="10"/>
                <c:pt idx="0">
                  <c:v>0.20569299999999999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Data'!$EW$6:$FF$6</c:f>
              <c:strCache>
                <c:ptCount val="1"/>
                <c:pt idx="0">
                  <c:v>CY2021</c:v>
                </c:pt>
              </c:strCache>
            </c:strRef>
          </c:cat>
          <c:val>
            <c:numRef>
              <c:f>'Peer Data'!$EW$32:$FF$32</c:f>
              <c:numCache>
                <c:formatCode>0%</c:formatCode>
                <c:ptCount val="10"/>
                <c:pt idx="0">
                  <c:v>8.9746000000000006E-2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Data'!$EW$6:$FF$6</c:f>
              <c:strCache>
                <c:ptCount val="1"/>
                <c:pt idx="0">
                  <c:v>CY2021</c:v>
                </c:pt>
              </c:strCache>
            </c:strRef>
          </c:cat>
          <c:val>
            <c:numRef>
              <c:f>'Peer Data'!$EW$33:$FF$33</c:f>
              <c:numCache>
                <c:formatCode>0%</c:formatCode>
                <c:ptCount val="10"/>
                <c:pt idx="0">
                  <c:v>8.9746000000000006E-2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6894080"/>
        <c:axId val="885144896"/>
      </c:lineChart>
      <c:catAx>
        <c:axId val="88689408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5144896"/>
        <c:crosses val="autoZero"/>
        <c:auto val="1"/>
        <c:lblAlgn val="ctr"/>
        <c:lblOffset val="100"/>
        <c:noMultiLvlLbl val="0"/>
      </c:catAx>
      <c:valAx>
        <c:axId val="88514489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689408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Days Sales Outstanding</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Data'!$GK$6:$GT$6</c:f>
              <c:strCache>
                <c:ptCount val="1"/>
                <c:pt idx="0">
                  <c:v>CY2021</c:v>
                </c:pt>
              </c:strCache>
            </c:strRef>
          </c:cat>
          <c:val>
            <c:numRef>
              <c:f>'Peer Data'!$GK$31:$GT$31</c:f>
              <c:numCache>
                <c:formatCode>0</c:formatCode>
                <c:ptCount val="10"/>
                <c:pt idx="0">
                  <c:v>4.7145371311243567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Data'!$GK$6:$GT$6</c:f>
              <c:strCache>
                <c:ptCount val="1"/>
                <c:pt idx="0">
                  <c:v>CY2021</c:v>
                </c:pt>
              </c:strCache>
            </c:strRef>
          </c:cat>
          <c:val>
            <c:numRef>
              <c:f>'Peer Data'!$GK$32:$GT$32</c:f>
              <c:numCache>
                <c:formatCode>0</c:formatCode>
                <c:ptCount val="10"/>
                <c:pt idx="0">
                  <c:v>3.2153443895136986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Data'!$GK$6:$GT$6</c:f>
              <c:strCache>
                <c:ptCount val="1"/>
                <c:pt idx="0">
                  <c:v>CY2021</c:v>
                </c:pt>
              </c:strCache>
            </c:strRef>
          </c:cat>
          <c:val>
            <c:numRef>
              <c:f>'Peer Data'!$GK$33:$GT$33</c:f>
              <c:numCache>
                <c:formatCode>0</c:formatCode>
                <c:ptCount val="10"/>
                <c:pt idx="0">
                  <c:v>3.2153443895136986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434240"/>
        <c:axId val="886998720"/>
      </c:lineChart>
      <c:catAx>
        <c:axId val="8874342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6998720"/>
        <c:crosses val="autoZero"/>
        <c:auto val="1"/>
        <c:lblAlgn val="ctr"/>
        <c:lblOffset val="100"/>
        <c:noMultiLvlLbl val="0"/>
      </c:catAx>
      <c:valAx>
        <c:axId val="88699872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43424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Days Inventory Outstanding</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Data'!$HE$6:$HN$6</c:f>
              <c:strCache>
                <c:ptCount val="1"/>
                <c:pt idx="0">
                  <c:v>CY2021</c:v>
                </c:pt>
              </c:strCache>
            </c:strRef>
          </c:cat>
          <c:val>
            <c:numRef>
              <c:f>'Peer Data'!$HE$31:$HN$31</c:f>
              <c:numCache>
                <c:formatCode>0</c:formatCode>
                <c:ptCount val="10"/>
                <c:pt idx="0">
                  <c:v>43.161888111888111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Data'!$HE$6:$HN$6</c:f>
              <c:strCache>
                <c:ptCount val="1"/>
                <c:pt idx="0">
                  <c:v>CY2021</c:v>
                </c:pt>
              </c:strCache>
            </c:strRef>
          </c:cat>
          <c:val>
            <c:numRef>
              <c:f>'Peer Data'!$HE$32:$HN$32</c:f>
              <c:numCache>
                <c:formatCode>0</c:formatCode>
                <c:ptCount val="10"/>
                <c:pt idx="0">
                  <c:v>32.799486956619894</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Data'!$HE$6:$HN$6</c:f>
              <c:strCache>
                <c:ptCount val="1"/>
                <c:pt idx="0">
                  <c:v>CY2021</c:v>
                </c:pt>
              </c:strCache>
            </c:strRef>
          </c:cat>
          <c:val>
            <c:numRef>
              <c:f>'Peer Data'!$HE$33:$HN$33</c:f>
              <c:numCache>
                <c:formatCode>0</c:formatCode>
                <c:ptCount val="10"/>
                <c:pt idx="0">
                  <c:v>32.799486956619894</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550976"/>
        <c:axId val="887001024"/>
      </c:lineChart>
      <c:catAx>
        <c:axId val="8875509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001024"/>
        <c:crosses val="autoZero"/>
        <c:auto val="1"/>
        <c:lblAlgn val="ctr"/>
        <c:lblOffset val="100"/>
        <c:noMultiLvlLbl val="0"/>
      </c:catAx>
      <c:valAx>
        <c:axId val="88700102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55097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Days Payable Outstanding</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Data'!$HY$6:$IH$6</c:f>
              <c:strCache>
                <c:ptCount val="1"/>
                <c:pt idx="0">
                  <c:v>CY2021</c:v>
                </c:pt>
              </c:strCache>
            </c:strRef>
          </c:cat>
          <c:val>
            <c:numRef>
              <c:f>'Peer Data'!$HY$31:$IH$31</c:f>
              <c:numCache>
                <c:formatCode>0</c:formatCode>
                <c:ptCount val="10"/>
                <c:pt idx="0">
                  <c:v>44.413438228438231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Data'!$HY$6:$IH$6</c:f>
              <c:strCache>
                <c:ptCount val="1"/>
                <c:pt idx="0">
                  <c:v>CY2021</c:v>
                </c:pt>
              </c:strCache>
            </c:strRef>
          </c:cat>
          <c:val>
            <c:numRef>
              <c:f>'Peer Data'!$HY$32:$IH$32</c:f>
              <c:numCache>
                <c:formatCode>0</c:formatCode>
                <c:ptCount val="10"/>
                <c:pt idx="0">
                  <c:v>37.673624829267737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Data'!$HY$6:$IH$6</c:f>
              <c:strCache>
                <c:ptCount val="1"/>
                <c:pt idx="0">
                  <c:v>CY2021</c:v>
                </c:pt>
              </c:strCache>
            </c:strRef>
          </c:cat>
          <c:val>
            <c:numRef>
              <c:f>'Peer Data'!$HY$33:$IH$33</c:f>
              <c:numCache>
                <c:formatCode>0</c:formatCode>
                <c:ptCount val="10"/>
                <c:pt idx="0">
                  <c:v>44.413438228438231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553024"/>
        <c:axId val="887003328"/>
      </c:lineChart>
      <c:catAx>
        <c:axId val="88755302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003328"/>
        <c:crosses val="autoZero"/>
        <c:auto val="1"/>
        <c:lblAlgn val="ctr"/>
        <c:lblOffset val="100"/>
        <c:noMultiLvlLbl val="0"/>
      </c:catAx>
      <c:valAx>
        <c:axId val="88700332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553024"/>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Cash Conversion Cycle (Days)</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Data'!$IS$6:$JB$6</c:f>
              <c:strCache>
                <c:ptCount val="1"/>
                <c:pt idx="0">
                  <c:v>CY2021</c:v>
                </c:pt>
              </c:strCache>
            </c:strRef>
          </c:cat>
          <c:val>
            <c:numRef>
              <c:f>'Peer Data'!$IS$31:$JB$31</c:f>
              <c:numCache>
                <c:formatCode>0</c:formatCode>
                <c:ptCount val="10"/>
                <c:pt idx="0">
                  <c:v>3.4629870145742387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Data'!$IS$6:$JB$6</c:f>
              <c:strCache>
                <c:ptCount val="1"/>
                <c:pt idx="0">
                  <c:v>CY2021</c:v>
                </c:pt>
              </c:strCache>
            </c:strRef>
          </c:cat>
          <c:val>
            <c:numRef>
              <c:f>'Peer Data'!$IS$32:$JB$32</c:f>
              <c:numCache>
                <c:formatCode>0</c:formatCode>
                <c:ptCount val="10"/>
                <c:pt idx="0">
                  <c:v>-1.6587934831341471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Data'!$IS$6:$JB$6</c:f>
              <c:strCache>
                <c:ptCount val="1"/>
                <c:pt idx="0">
                  <c:v>CY2021</c:v>
                </c:pt>
              </c:strCache>
            </c:strRef>
          </c:cat>
          <c:val>
            <c:numRef>
              <c:f>'Peer Data'!$IS$33:$JB$33</c:f>
              <c:numCache>
                <c:formatCode>0</c:formatCode>
                <c:ptCount val="10"/>
                <c:pt idx="0">
                  <c:v>-1.6587934831341471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841792"/>
        <c:axId val="887210560"/>
      </c:lineChart>
      <c:catAx>
        <c:axId val="88784179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210560"/>
        <c:crosses val="autoZero"/>
        <c:auto val="1"/>
        <c:lblAlgn val="ctr"/>
        <c:lblOffset val="100"/>
        <c:noMultiLvlLbl val="0"/>
      </c:catAx>
      <c:valAx>
        <c:axId val="88721056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841792"/>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Cash Flow From Operations Margin</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Data'!$JM$6:$JV$6</c:f>
              <c:strCache>
                <c:ptCount val="1"/>
                <c:pt idx="0">
                  <c:v>CY2021</c:v>
                </c:pt>
              </c:strCache>
            </c:strRef>
          </c:cat>
          <c:val>
            <c:numRef>
              <c:f>'Peer Data'!$JM$31:$JV$31</c:f>
              <c:numCache>
                <c:formatCode>0%</c:formatCode>
                <c:ptCount val="10"/>
                <c:pt idx="0">
                  <c:v>4.221882343903316E-2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Data'!$JM$6:$JV$6</c:f>
              <c:strCache>
                <c:ptCount val="1"/>
                <c:pt idx="0">
                  <c:v>CY2021</c:v>
                </c:pt>
              </c:strCache>
            </c:strRef>
          </c:cat>
          <c:val>
            <c:numRef>
              <c:f>'Peer Data'!$JM$32:$JV$32</c:f>
              <c:numCache>
                <c:formatCode>0%</c:formatCode>
                <c:ptCount val="10"/>
                <c:pt idx="0">
                  <c:v>4.711843375155108E-2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Data'!$JM$6:$JV$6</c:f>
              <c:strCache>
                <c:ptCount val="1"/>
                <c:pt idx="0">
                  <c:v>CY2021</c:v>
                </c:pt>
              </c:strCache>
            </c:strRef>
          </c:cat>
          <c:val>
            <c:numRef>
              <c:f>'Peer Data'!$JM$33:$JV$33</c:f>
              <c:numCache>
                <c:formatCode>0%</c:formatCode>
                <c:ptCount val="10"/>
                <c:pt idx="0">
                  <c:v>4.711843375155108E-2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843840"/>
        <c:axId val="887212864"/>
      </c:lineChart>
      <c:catAx>
        <c:axId val="8878438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212864"/>
        <c:crosses val="autoZero"/>
        <c:auto val="1"/>
        <c:lblAlgn val="ctr"/>
        <c:lblOffset val="100"/>
        <c:noMultiLvlLbl val="0"/>
      </c:catAx>
      <c:valAx>
        <c:axId val="88721286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84384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Total Asset Turnover Ratio</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Data'!$KG$6:$KP$6</c:f>
              <c:strCache>
                <c:ptCount val="1"/>
                <c:pt idx="0">
                  <c:v>CY2021</c:v>
                </c:pt>
              </c:strCache>
            </c:strRef>
          </c:cat>
          <c:val>
            <c:numRef>
              <c:f>'Peer Data'!$KG$31:$KP$31</c:f>
              <c:numCache>
                <c:formatCode>0.0</c:formatCode>
                <c:ptCount val="10"/>
                <c:pt idx="0">
                  <c:v>2.3031999999999999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Data'!$KG$6:$KP$6</c:f>
              <c:strCache>
                <c:ptCount val="1"/>
                <c:pt idx="0">
                  <c:v>CY2021</c:v>
                </c:pt>
              </c:strCache>
            </c:strRef>
          </c:cat>
          <c:val>
            <c:numRef>
              <c:f>'Peer Data'!$KG$32:$KP$32</c:f>
              <c:numCache>
                <c:formatCode>0.0</c:formatCode>
                <c:ptCount val="10"/>
                <c:pt idx="0">
                  <c:v>3.2659099999999999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Data'!$KG$6:$KP$6</c:f>
              <c:strCache>
                <c:ptCount val="1"/>
                <c:pt idx="0">
                  <c:v>CY2021</c:v>
                </c:pt>
              </c:strCache>
            </c:strRef>
          </c:cat>
          <c:val>
            <c:numRef>
              <c:f>'Peer Data'!$KG$33:$KP$33</c:f>
              <c:numCache>
                <c:formatCode>0.0</c:formatCode>
                <c:ptCount val="10"/>
                <c:pt idx="0">
                  <c:v>3.2659099999999999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705600"/>
        <c:axId val="887215168"/>
      </c:lineChart>
      <c:catAx>
        <c:axId val="8877056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215168"/>
        <c:crosses val="autoZero"/>
        <c:auto val="1"/>
        <c:lblAlgn val="ctr"/>
        <c:lblOffset val="100"/>
        <c:noMultiLvlLbl val="0"/>
      </c:catAx>
      <c:valAx>
        <c:axId val="887215168"/>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77056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Leverage Ratio</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Data'!$PQ$6:$PZ$6</c:f>
              <c:strCache>
                <c:ptCount val="1"/>
                <c:pt idx="0">
                  <c:v>CY2021</c:v>
                </c:pt>
              </c:strCache>
            </c:strRef>
          </c:cat>
          <c:val>
            <c:numRef>
              <c:f>'Peer Data'!$PQ$31:$PZ$31</c:f>
              <c:numCache>
                <c:formatCode>0.0</c:formatCode>
                <c:ptCount val="10"/>
                <c:pt idx="0">
                  <c:v>2.9411552736838313</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Data'!$PQ$6:$PZ$6</c:f>
              <c:strCache>
                <c:ptCount val="1"/>
                <c:pt idx="0">
                  <c:v>CY2021</c:v>
                </c:pt>
              </c:strCache>
            </c:strRef>
          </c:cat>
          <c:val>
            <c:numRef>
              <c:f>'Peer Data'!$PQ$32:$PZ$32</c:f>
              <c:numCache>
                <c:formatCode>0.0</c:formatCode>
                <c:ptCount val="10"/>
                <c:pt idx="0">
                  <c:v>3.4744624383902942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Data'!$PQ$6:$PZ$6</c:f>
              <c:strCache>
                <c:ptCount val="1"/>
                <c:pt idx="0">
                  <c:v>CY2021</c:v>
                </c:pt>
              </c:strCache>
            </c:strRef>
          </c:cat>
          <c:val>
            <c:numRef>
              <c:f>'Peer Data'!$PQ$33:$PZ$33</c:f>
              <c:numCache>
                <c:formatCode>0.0</c:formatCode>
                <c:ptCount val="10"/>
                <c:pt idx="0">
                  <c:v>2.9411552736838313</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707648"/>
        <c:axId val="887217472"/>
      </c:lineChart>
      <c:catAx>
        <c:axId val="8877076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7217472"/>
        <c:crosses val="autoZero"/>
        <c:auto val="1"/>
        <c:lblAlgn val="ctr"/>
        <c:lblOffset val="100"/>
        <c:noMultiLvlLbl val="0"/>
      </c:catAx>
      <c:valAx>
        <c:axId val="887217472"/>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77076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Return on Equity (ROE)</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Data'!$RE$6:$RN$6</c:f>
              <c:strCache>
                <c:ptCount val="1"/>
                <c:pt idx="0">
                  <c:v>CY2021</c:v>
                </c:pt>
              </c:strCache>
            </c:strRef>
          </c:cat>
          <c:val>
            <c:numRef>
              <c:f>'Peer Data'!$RE$31:$RN$31</c:f>
              <c:numCache>
                <c:formatCode>0%</c:formatCode>
                <c:ptCount val="10"/>
                <c:pt idx="0">
                  <c:v>0.15059468738504755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Data'!$RE$6:$RN$6</c:f>
              <c:strCache>
                <c:ptCount val="1"/>
                <c:pt idx="0">
                  <c:v>CY2021</c:v>
                </c:pt>
              </c:strCache>
            </c:strRef>
          </c:cat>
          <c:val>
            <c:numRef>
              <c:f>'Peer Data'!$RE$32:$RN$32</c:f>
              <c:numCache>
                <c:formatCode>0%</c:formatCode>
                <c:ptCount val="10"/>
                <c:pt idx="0">
                  <c:v>0.2918767670290594</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Data'!$RE$6:$RN$6</c:f>
              <c:strCache>
                <c:ptCount val="1"/>
                <c:pt idx="0">
                  <c:v>CY2021</c:v>
                </c:pt>
              </c:strCache>
            </c:strRef>
          </c:cat>
          <c:val>
            <c:numRef>
              <c:f>'Peer Data'!$RE$33:$RN$33</c:f>
              <c:numCache>
                <c:formatCode>0%</c:formatCode>
                <c:ptCount val="10"/>
                <c:pt idx="0">
                  <c:v>0.2918767670290594</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984128"/>
        <c:axId val="888219328"/>
      </c:lineChart>
      <c:catAx>
        <c:axId val="88798412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19328"/>
        <c:crosses val="autoZero"/>
        <c:auto val="1"/>
        <c:lblAlgn val="ctr"/>
        <c:lblOffset val="100"/>
        <c:noMultiLvlLbl val="0"/>
      </c:catAx>
      <c:valAx>
        <c:axId val="88821932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98412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EBIT Margin</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Data'!$BU$6:$CD$6</c:f>
              <c:strCache>
                <c:ptCount val="1"/>
                <c:pt idx="0">
                  <c:v>CY2021</c:v>
                </c:pt>
              </c:strCache>
            </c:strRef>
          </c:cat>
          <c:val>
            <c:numRef>
              <c:f>'Peer Data'!$BU$31:$CD$31</c:f>
              <c:numCache>
                <c:formatCode>0%</c:formatCode>
                <c:ptCount val="10"/>
                <c:pt idx="0">
                  <c:v>4.5293E-2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Data'!$BU$6:$CD$6</c:f>
              <c:strCache>
                <c:ptCount val="1"/>
                <c:pt idx="0">
                  <c:v>CY2021</c:v>
                </c:pt>
              </c:strCache>
            </c:strRef>
          </c:cat>
          <c:val>
            <c:numRef>
              <c:f>'Peer Data'!$BU$32:$CD$32</c:f>
              <c:numCache>
                <c:formatCode>0%</c:formatCode>
                <c:ptCount val="10"/>
                <c:pt idx="0">
                  <c:v>3.7442000000000003E-2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Data'!$BU$6:$CD$6</c:f>
              <c:strCache>
                <c:ptCount val="1"/>
                <c:pt idx="0">
                  <c:v>CY2021</c:v>
                </c:pt>
              </c:strCache>
            </c:strRef>
          </c:cat>
          <c:val>
            <c:numRef>
              <c:f>'Peer Data'!$BU$33:$CD$33</c:f>
              <c:numCache>
                <c:formatCode>0%</c:formatCode>
                <c:ptCount val="10"/>
                <c:pt idx="0">
                  <c:v>4.5293E-2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7987200"/>
        <c:axId val="888221632"/>
      </c:lineChart>
      <c:catAx>
        <c:axId val="8879872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21632"/>
        <c:crosses val="autoZero"/>
        <c:auto val="1"/>
        <c:lblAlgn val="ctr"/>
        <c:lblOffset val="100"/>
        <c:noMultiLvlLbl val="0"/>
      </c:catAx>
      <c:valAx>
        <c:axId val="88822163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79872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Total Operating Expense Margin</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Data'!$EC$6:$EL$6</c:f>
              <c:strCache>
                <c:ptCount val="1"/>
                <c:pt idx="0">
                  <c:v>CY2021</c:v>
                </c:pt>
              </c:strCache>
            </c:strRef>
          </c:cat>
          <c:val>
            <c:numRef>
              <c:f>'Peer Data'!$EC$31:$EL$31</c:f>
              <c:numCache>
                <c:formatCode>0%</c:formatCode>
                <c:ptCount val="10"/>
                <c:pt idx="0">
                  <c:v>0.18708555505504981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Data'!$EC$6:$EL$6</c:f>
              <c:strCache>
                <c:ptCount val="1"/>
                <c:pt idx="0">
                  <c:v>CY2021</c:v>
                </c:pt>
              </c:strCache>
            </c:strRef>
          </c:cat>
          <c:val>
            <c:numRef>
              <c:f>'Peer Data'!$EC$32:$EL$32</c:f>
              <c:numCache>
                <c:formatCode>0%</c:formatCode>
                <c:ptCount val="10"/>
                <c:pt idx="0">
                  <c:v>8.1212700163479146E-2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Data'!$EC$6:$EL$6</c:f>
              <c:strCache>
                <c:ptCount val="1"/>
                <c:pt idx="0">
                  <c:v>CY2021</c:v>
                </c:pt>
              </c:strCache>
            </c:strRef>
          </c:cat>
          <c:val>
            <c:numRef>
              <c:f>'Peer Data'!$EC$33:$EL$33</c:f>
              <c:numCache>
                <c:formatCode>0%</c:formatCode>
                <c:ptCount val="10"/>
                <c:pt idx="0">
                  <c:v>8.1212700163479146E-2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8116224"/>
        <c:axId val="888223936"/>
      </c:lineChart>
      <c:catAx>
        <c:axId val="88811622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23936"/>
        <c:crosses val="autoZero"/>
        <c:auto val="1"/>
        <c:lblAlgn val="ctr"/>
        <c:lblOffset val="100"/>
        <c:noMultiLvlLbl val="0"/>
      </c:catAx>
      <c:valAx>
        <c:axId val="88822393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8116224"/>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Cost of  Goods Sold Margin</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Data'!$DI$6:$DR$6</c:f>
              <c:strCache>
                <c:ptCount val="1"/>
                <c:pt idx="0">
                  <c:v>CY2021</c:v>
                </c:pt>
              </c:strCache>
            </c:strRef>
          </c:cat>
          <c:val>
            <c:numRef>
              <c:f>'Peer Data'!$DI$31:$DR$31</c:f>
              <c:numCache>
                <c:formatCode>0%</c:formatCode>
                <c:ptCount val="10"/>
                <c:pt idx="0">
                  <c:v>0.7490126651232466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Data'!$DI$6:$DR$6</c:f>
              <c:strCache>
                <c:ptCount val="1"/>
                <c:pt idx="0">
                  <c:v>CY2021</c:v>
                </c:pt>
              </c:strCache>
            </c:strRef>
          </c:cat>
          <c:val>
            <c:numRef>
              <c:f>'Peer Data'!$DI$32:$DR$32</c:f>
              <c:numCache>
                <c:formatCode>0%</c:formatCode>
                <c:ptCount val="10"/>
                <c:pt idx="0">
                  <c:v>0.87243702113411203</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Data'!$DI$6:$DR$6</c:f>
              <c:strCache>
                <c:ptCount val="1"/>
                <c:pt idx="0">
                  <c:v>CY2021</c:v>
                </c:pt>
              </c:strCache>
            </c:strRef>
          </c:cat>
          <c:val>
            <c:numRef>
              <c:f>'Peer Data'!$DI$33:$DR$33</c:f>
              <c:numCache>
                <c:formatCode>0%</c:formatCode>
                <c:ptCount val="10"/>
                <c:pt idx="0">
                  <c:v>0.7490126651232466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8117248"/>
        <c:axId val="888292480"/>
      </c:lineChart>
      <c:catAx>
        <c:axId val="8881172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92480"/>
        <c:crosses val="autoZero"/>
        <c:auto val="1"/>
        <c:lblAlgn val="ctr"/>
        <c:lblOffset val="100"/>
        <c:noMultiLvlLbl val="0"/>
      </c:catAx>
      <c:valAx>
        <c:axId val="88829248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81172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Return on Capital Employed (ROCE)</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Data'!$OW$6:$PF$6</c:f>
              <c:strCache>
                <c:ptCount val="1"/>
                <c:pt idx="0">
                  <c:v>CY2021</c:v>
                </c:pt>
              </c:strCache>
            </c:strRef>
          </c:cat>
          <c:val>
            <c:numRef>
              <c:f>'Peer Data'!$OW$31:$PF$31</c:f>
              <c:numCache>
                <c:formatCode>0%</c:formatCode>
                <c:ptCount val="10"/>
                <c:pt idx="0">
                  <c:v>8.514741658578398E-2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Data'!$OW$6:$PF$6</c:f>
              <c:strCache>
                <c:ptCount val="1"/>
                <c:pt idx="0">
                  <c:v>CY2021</c:v>
                </c:pt>
              </c:strCache>
            </c:strRef>
          </c:cat>
          <c:val>
            <c:numRef>
              <c:f>'Peer Data'!$OW$32:$PF$32</c:f>
              <c:numCache>
                <c:formatCode>0%</c:formatCode>
                <c:ptCount val="10"/>
                <c:pt idx="0">
                  <c:v>0.17159895128262248</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Data'!$OW$6:$PF$6</c:f>
              <c:strCache>
                <c:ptCount val="1"/>
                <c:pt idx="0">
                  <c:v>CY2021</c:v>
                </c:pt>
              </c:strCache>
            </c:strRef>
          </c:cat>
          <c:val>
            <c:numRef>
              <c:f>'Peer Data'!$OW$33:$PF$33</c:f>
              <c:numCache>
                <c:formatCode>0%</c:formatCode>
                <c:ptCount val="10"/>
                <c:pt idx="0">
                  <c:v>0.17159895128262248</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8700928"/>
        <c:axId val="888294784"/>
      </c:lineChart>
      <c:catAx>
        <c:axId val="88870092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94784"/>
        <c:crosses val="autoZero"/>
        <c:auto val="1"/>
        <c:lblAlgn val="ctr"/>
        <c:lblOffset val="100"/>
        <c:noMultiLvlLbl val="0"/>
      </c:catAx>
      <c:valAx>
        <c:axId val="88829478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870092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Return on Assets (ROA)</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Data'!$OC$6:$OL$6</c:f>
              <c:strCache>
                <c:ptCount val="1"/>
                <c:pt idx="0">
                  <c:v>CY2021</c:v>
                </c:pt>
              </c:strCache>
            </c:strRef>
          </c:cat>
          <c:val>
            <c:numRef>
              <c:f>'Peer Data'!$OC$31:$OL$31</c:f>
              <c:numCache>
                <c:formatCode>0%</c:formatCode>
                <c:ptCount val="10"/>
                <c:pt idx="0">
                  <c:v>5.4327282670762991E-2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Data'!$OC$6:$OL$6</c:f>
              <c:strCache>
                <c:ptCount val="1"/>
                <c:pt idx="0">
                  <c:v>CY2021</c:v>
                </c:pt>
              </c:strCache>
            </c:strRef>
          </c:cat>
          <c:val>
            <c:numRef>
              <c:f>'Peer Data'!$OC$32:$OL$32</c:f>
              <c:numCache>
                <c:formatCode>0%</c:formatCode>
                <c:ptCount val="10"/>
                <c:pt idx="0">
                  <c:v>8.0520399466092019E-2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Data'!$OC$6:$OL$6</c:f>
              <c:strCache>
                <c:ptCount val="1"/>
                <c:pt idx="0">
                  <c:v>CY2021</c:v>
                </c:pt>
              </c:strCache>
            </c:strRef>
          </c:cat>
          <c:val>
            <c:numRef>
              <c:f>'Peer Data'!$OC$33:$OL$33</c:f>
              <c:numCache>
                <c:formatCode>0%</c:formatCode>
                <c:ptCount val="10"/>
                <c:pt idx="0">
                  <c:v>8.0520399466092019E-2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8702976"/>
        <c:axId val="888296512"/>
      </c:lineChart>
      <c:catAx>
        <c:axId val="8887029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96512"/>
        <c:crosses val="autoZero"/>
        <c:auto val="1"/>
        <c:lblAlgn val="ctr"/>
        <c:lblOffset val="100"/>
        <c:noMultiLvlLbl val="0"/>
      </c:catAx>
      <c:valAx>
        <c:axId val="88829651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870297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Revenue Per Employee</a:t>
            </a:r>
          </a:p>
        </c:rich>
      </c:tx>
      <c:layout>
        <c:manualLayout>
          <c:xMode val="edge"/>
          <c:yMode val="edge"/>
          <c:x val="2.5052493438320056E-3"/>
          <c:y val="0"/>
        </c:manualLayout>
      </c:layout>
      <c:overlay val="0"/>
    </c:title>
    <c:autoTitleDeleted val="0"/>
    <c:plotArea>
      <c:layout>
        <c:manualLayout>
          <c:xMode val="edge"/>
          <c:yMode val="edge"/>
          <c:x val="6.8848758465011289E-2"/>
          <c:y val="0.1242798353909465"/>
          <c:w val="0.93115124153498874"/>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Data'!$TM$6:$TV$6</c:f>
              <c:strCache>
                <c:ptCount val="1"/>
                <c:pt idx="0">
                  <c:v>CY2021</c:v>
                </c:pt>
              </c:strCache>
            </c:strRef>
          </c:cat>
          <c:val>
            <c:numRef>
              <c:f>'Peer Data'!$TM$31:$TV$31</c:f>
              <c:numCache>
                <c:formatCode>#,##0</c:formatCode>
                <c:ptCount val="10"/>
                <c:pt idx="0">
                  <c:v>249023.47826086957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Data'!$TM$6:$TV$6</c:f>
              <c:strCache>
                <c:ptCount val="1"/>
                <c:pt idx="0">
                  <c:v>CY2021</c:v>
                </c:pt>
              </c:strCache>
            </c:strRef>
          </c:cat>
          <c:val>
            <c:numRef>
              <c:f>'Peer Data'!$TM$32:$TV$32</c:f>
              <c:numCache>
                <c:formatCode>#,##0</c:formatCode>
                <c:ptCount val="10"/>
                <c:pt idx="0">
                  <c:v>705152.77777777775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Data'!$TM$6:$TV$6</c:f>
              <c:strCache>
                <c:ptCount val="1"/>
                <c:pt idx="0">
                  <c:v>CY2021</c:v>
                </c:pt>
              </c:strCache>
            </c:strRef>
          </c:cat>
          <c:val>
            <c:numRef>
              <c:f>'Peer Data'!$TM$33:$TV$33</c:f>
              <c:numCache>
                <c:formatCode>#,##0</c:formatCode>
                <c:ptCount val="10"/>
                <c:pt idx="0">
                  <c:v>705152.77777777775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4940800"/>
        <c:axId val="888298816"/>
      </c:lineChart>
      <c:catAx>
        <c:axId val="8849408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98816"/>
        <c:crosses val="autoZero"/>
        <c:auto val="1"/>
        <c:lblAlgn val="ctr"/>
        <c:lblOffset val="100"/>
        <c:noMultiLvlLbl val="0"/>
      </c:catAx>
      <c:valAx>
        <c:axId val="88829881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49408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Operating Expense Per Employee</a:t>
            </a:r>
          </a:p>
        </c:rich>
      </c:tx>
      <c:layout>
        <c:manualLayout>
          <c:xMode val="edge"/>
          <c:yMode val="edge"/>
          <c:x val="2.5052493438320056E-3"/>
          <c:y val="0"/>
        </c:manualLayout>
      </c:layout>
      <c:overlay val="0"/>
    </c:title>
    <c:autoTitleDeleted val="0"/>
    <c:plotArea>
      <c:layout>
        <c:manualLayout>
          <c:xMode val="edge"/>
          <c:yMode val="edge"/>
          <c:x val="8.9227462575474467E-2"/>
          <c:y val="0.1242798353909465"/>
          <c:w val="0.91077253742452557"/>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Data'!$UG$6:$UP$6</c:f>
              <c:strCache>
                <c:ptCount val="1"/>
                <c:pt idx="0">
                  <c:v>CY2021</c:v>
                </c:pt>
              </c:strCache>
            </c:strRef>
          </c:cat>
          <c:val>
            <c:numRef>
              <c:f>'Peer Data'!$UG$31:$UP$31</c:f>
              <c:numCache>
                <c:formatCode>#,##0</c:formatCode>
                <c:ptCount val="10"/>
                <c:pt idx="0">
                  <c:v>51222.608695652176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Data'!$UG$6:$UP$6</c:f>
              <c:strCache>
                <c:ptCount val="1"/>
                <c:pt idx="0">
                  <c:v>CY2021</c:v>
                </c:pt>
              </c:strCache>
            </c:strRef>
          </c:cat>
          <c:val>
            <c:numRef>
              <c:f>'Peer Data'!$UG$32:$UP$32</c:f>
              <c:numCache>
                <c:formatCode>#,##0</c:formatCode>
                <c:ptCount val="10"/>
                <c:pt idx="0">
                  <c:v>63548.611111111109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Data'!$UG$6:$UP$6</c:f>
              <c:strCache>
                <c:ptCount val="1"/>
                <c:pt idx="0">
                  <c:v>CY2021</c:v>
                </c:pt>
              </c:strCache>
            </c:strRef>
          </c:cat>
          <c:val>
            <c:numRef>
              <c:f>'Peer Data'!$UG$33:$UP$33</c:f>
              <c:numCache>
                <c:formatCode>#,##0</c:formatCode>
                <c:ptCount val="10"/>
                <c:pt idx="0">
                  <c:v>63548.611111111109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4942848"/>
        <c:axId val="888391360"/>
      </c:lineChart>
      <c:catAx>
        <c:axId val="8849428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391360"/>
        <c:crosses val="autoZero"/>
        <c:auto val="1"/>
        <c:lblAlgn val="ctr"/>
        <c:lblOffset val="100"/>
        <c:noMultiLvlLbl val="0"/>
      </c:catAx>
      <c:valAx>
        <c:axId val="88839136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49428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R&amp;D Expenses Per Employee</a:t>
            </a:r>
          </a:p>
        </c:rich>
      </c:tx>
      <c:layout>
        <c:manualLayout>
          <c:xMode val="edge"/>
          <c:yMode val="edge"/>
          <c:x val="2.5052493438320056E-3"/>
          <c:y val="0"/>
        </c:manualLayout>
      </c:layout>
      <c:overlay val="0"/>
    </c:title>
    <c:autoTitleDeleted val="0"/>
    <c:plotArea>
      <c:layout>
        <c:manualLayout>
          <c:xMode val="edge"/>
          <c:yMode val="edge"/>
          <c:x val="7.5087538436927892E-2"/>
          <c:y val="0.1242798353909465"/>
          <c:w val="0.92491246156307216"/>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Data'!$VU$6:$WD$6</c:f>
              <c:strCache>
                <c:ptCount val="1"/>
                <c:pt idx="0">
                  <c:v>CY2021</c:v>
                </c:pt>
              </c:strCache>
            </c:strRef>
          </c:cat>
          <c:val>
            <c:numRef>
              <c:f>'Peer Data'!$VU$31:$WD$31</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Data'!$VU$6:$WD$6</c:f>
              <c:strCache>
                <c:ptCount val="1"/>
                <c:pt idx="0">
                  <c:v>CY2021</c:v>
                </c:pt>
              </c:strCache>
            </c:strRef>
          </c:cat>
          <c:val>
            <c:numRef>
              <c:f>'Peer Data'!$VU$32:$WD$32</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Data'!$VU$6:$WD$6</c:f>
              <c:strCache>
                <c:ptCount val="1"/>
                <c:pt idx="0">
                  <c:v>CY2021</c:v>
                </c:pt>
              </c:strCache>
            </c:strRef>
          </c:cat>
          <c:val>
            <c:numRef>
              <c:f>'Peer Data'!$VU$33:$WD$33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163776"/>
        <c:axId val="888393664"/>
      </c:lineChart>
      <c:catAx>
        <c:axId val="8891637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393664"/>
        <c:crosses val="autoZero"/>
        <c:auto val="1"/>
        <c:lblAlgn val="ctr"/>
        <c:lblOffset val="100"/>
        <c:noMultiLvlLbl val="0"/>
      </c:catAx>
      <c:valAx>
        <c:axId val="88839366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16377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SG&amp;A Expense Per Employee</a:t>
            </a:r>
          </a:p>
        </c:rich>
      </c:tx>
      <c:layout>
        <c:manualLayout>
          <c:xMode val="edge"/>
          <c:yMode val="edge"/>
          <c:x val="2.5052493438320056E-3"/>
          <c:y val="0"/>
        </c:manualLayout>
      </c:layout>
      <c:overlay val="0"/>
    </c:title>
    <c:autoTitleDeleted val="0"/>
    <c:plotArea>
      <c:layout>
        <c:manualLayout>
          <c:xMode val="edge"/>
          <c:yMode val="edge"/>
          <c:x val="8.9227462575474467E-2"/>
          <c:y val="0.1242798353909465"/>
          <c:w val="0.91077253742452557"/>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Data'!$VA$6:$VJ$6</c:f>
              <c:strCache>
                <c:ptCount val="1"/>
                <c:pt idx="0">
                  <c:v>CY2021</c:v>
                </c:pt>
              </c:strCache>
            </c:strRef>
          </c:cat>
          <c:val>
            <c:numRef>
              <c:f>'Peer Data'!$VA$31:$VJ$31</c:f>
              <c:numCache>
                <c:formatCode>#,##0</c:formatCode>
                <c:ptCount val="10"/>
                <c:pt idx="0">
                  <c:v>51222.608695652176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Data'!$VA$6:$VJ$6</c:f>
              <c:strCache>
                <c:ptCount val="1"/>
                <c:pt idx="0">
                  <c:v>CY2021</c:v>
                </c:pt>
              </c:strCache>
            </c:strRef>
          </c:cat>
          <c:val>
            <c:numRef>
              <c:f>'Peer Data'!$VA$32:$VJ$32</c:f>
              <c:numCache>
                <c:formatCode>#,##0</c:formatCode>
                <c:ptCount val="10"/>
                <c:pt idx="0">
                  <c:v>63284.722222222219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Data'!$VA$6:$VJ$6</c:f>
              <c:strCache>
                <c:ptCount val="1"/>
                <c:pt idx="0">
                  <c:v>CY2021</c:v>
                </c:pt>
              </c:strCache>
            </c:strRef>
          </c:cat>
          <c:val>
            <c:numRef>
              <c:f>'Peer Data'!$VA$33:$VJ$33</c:f>
              <c:numCache>
                <c:formatCode>#,##0</c:formatCode>
                <c:ptCount val="10"/>
                <c:pt idx="0">
                  <c:v>63284.722222222219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167360"/>
        <c:axId val="888395968"/>
      </c:lineChart>
      <c:catAx>
        <c:axId val="88916736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395968"/>
        <c:crosses val="autoZero"/>
        <c:auto val="1"/>
        <c:lblAlgn val="ctr"/>
        <c:lblOffset val="100"/>
        <c:noMultiLvlLbl val="0"/>
      </c:catAx>
      <c:valAx>
        <c:axId val="88839596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16736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Inventory Turnover Ratio</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Data'!$LA$6:$LJ$6</c:f>
              <c:strCache>
                <c:ptCount val="1"/>
                <c:pt idx="0">
                  <c:v>CY2021</c:v>
                </c:pt>
              </c:strCache>
            </c:strRef>
          </c:cat>
          <c:val>
            <c:numRef>
              <c:f>'Peer Data'!$LA$31:$LJ$31</c:f>
              <c:numCache>
                <c:formatCode>0.0</c:formatCode>
                <c:ptCount val="10"/>
                <c:pt idx="0">
                  <c:v>8.4565300000000008</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Data'!$LA$6:$LJ$6</c:f>
              <c:strCache>
                <c:ptCount val="1"/>
                <c:pt idx="0">
                  <c:v>CY2021</c:v>
                </c:pt>
              </c:strCache>
            </c:strRef>
          </c:cat>
          <c:val>
            <c:numRef>
              <c:f>'Peer Data'!$LA$32:$LJ$32</c:f>
              <c:numCache>
                <c:formatCode>0.0</c:formatCode>
                <c:ptCount val="10"/>
                <c:pt idx="0">
                  <c:v>11.128220000000001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Data'!$LA$6:$LJ$6</c:f>
              <c:strCache>
                <c:ptCount val="1"/>
                <c:pt idx="0">
                  <c:v>CY2021</c:v>
                </c:pt>
              </c:strCache>
            </c:strRef>
          </c:cat>
          <c:val>
            <c:numRef>
              <c:f>'Peer Data'!$LA$33:$LJ$33</c:f>
              <c:numCache>
                <c:formatCode>0.0</c:formatCode>
                <c:ptCount val="10"/>
                <c:pt idx="0">
                  <c:v>11.128220000000001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8871936"/>
        <c:axId val="888595008"/>
      </c:lineChart>
      <c:catAx>
        <c:axId val="88887193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595008"/>
        <c:crosses val="autoZero"/>
        <c:auto val="1"/>
        <c:lblAlgn val="ctr"/>
        <c:lblOffset val="100"/>
        <c:noMultiLvlLbl val="0"/>
      </c:catAx>
      <c:valAx>
        <c:axId val="888595008"/>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887193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Receivables Turnover Ratio</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Data'!$LU$6:$MD$6</c:f>
              <c:strCache>
                <c:ptCount val="1"/>
                <c:pt idx="0">
                  <c:v>CY2021</c:v>
                </c:pt>
              </c:strCache>
            </c:strRef>
          </c:cat>
          <c:val>
            <c:numRef>
              <c:f>'Peer Data'!$LU$31:$MD$31</c:f>
              <c:numCache>
                <c:formatCode>0.0</c:formatCode>
                <c:ptCount val="10"/>
                <c:pt idx="0">
                  <c:v>77.420109999999994</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Data'!$LU$6:$MD$6</c:f>
              <c:strCache>
                <c:ptCount val="1"/>
                <c:pt idx="0">
                  <c:v>CY2021</c:v>
                </c:pt>
              </c:strCache>
            </c:strRef>
          </c:cat>
          <c:val>
            <c:numRef>
              <c:f>'Peer Data'!$LU$32:$MD$32</c:f>
              <c:numCache>
                <c:formatCode>0.0</c:formatCode>
                <c:ptCount val="10"/>
                <c:pt idx="0">
                  <c:v>113.51817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Data'!$LU$6:$MD$6</c:f>
              <c:strCache>
                <c:ptCount val="1"/>
                <c:pt idx="0">
                  <c:v>CY2021</c:v>
                </c:pt>
              </c:strCache>
            </c:strRef>
          </c:cat>
          <c:val>
            <c:numRef>
              <c:f>'Peer Data'!$LU$33:$MD$33</c:f>
              <c:numCache>
                <c:formatCode>0.0</c:formatCode>
                <c:ptCount val="10"/>
                <c:pt idx="0">
                  <c:v>113.51817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054208"/>
        <c:axId val="888597312"/>
      </c:lineChart>
      <c:catAx>
        <c:axId val="88905420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597312"/>
        <c:crosses val="autoZero"/>
        <c:auto val="1"/>
        <c:lblAlgn val="ctr"/>
        <c:lblOffset val="100"/>
        <c:noMultiLvlLbl val="0"/>
      </c:catAx>
      <c:valAx>
        <c:axId val="888597312"/>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905420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FCF to Total Debt Ratio</a:t>
            </a:r>
          </a:p>
        </c:rich>
      </c:tx>
      <c:layout>
        <c:manualLayout>
          <c:xMode val="edge"/>
          <c:yMode val="edge"/>
          <c:x val="2.5052493438320056E-3"/>
          <c:y val="0"/>
        </c:manualLayout>
      </c:layout>
      <c:overlay val="0"/>
    </c:title>
    <c:autoTitleDeleted val="0"/>
    <c:plotArea>
      <c:layout>
        <c:manualLayout>
          <c:xMode val="edge"/>
          <c:yMode val="edge"/>
          <c:x val="2.7900161013860256E-2"/>
          <c:y val="0.1242798353909465"/>
          <c:w val="0.97019325869832407"/>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Data'!$MO$6:$MX$6</c:f>
              <c:strCache>
                <c:ptCount val="1"/>
                <c:pt idx="0">
                  <c:v>CY2021</c:v>
                </c:pt>
              </c:strCache>
            </c:strRef>
          </c:cat>
          <c:val>
            <c:numRef>
              <c:f>'Peer Data'!$MO$31:$MX$31</c:f>
              <c:numCache>
                <c:formatCode>0%</c:formatCode>
                <c:ptCount val="10"/>
                <c:pt idx="0">
                  <c:v>0.25017000114699567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Data'!$MO$6:$MX$6</c:f>
              <c:strCache>
                <c:ptCount val="1"/>
                <c:pt idx="0">
                  <c:v>CY2021</c:v>
                </c:pt>
              </c:strCache>
            </c:strRef>
          </c:cat>
          <c:val>
            <c:numRef>
              <c:f>'Peer Data'!$MO$32:$MX$32</c:f>
              <c:numCache>
                <c:formatCode>0%</c:formatCode>
                <c:ptCount val="10"/>
                <c:pt idx="0">
                  <c:v>0.45402185684749435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Data'!$MO$6:$MX$6</c:f>
              <c:strCache>
                <c:ptCount val="1"/>
                <c:pt idx="0">
                  <c:v>CY2021</c:v>
                </c:pt>
              </c:strCache>
            </c:strRef>
          </c:cat>
          <c:val>
            <c:numRef>
              <c:f>'Peer Data'!$MO$33:$MX$33</c:f>
              <c:numCache>
                <c:formatCode>0%</c:formatCode>
                <c:ptCount val="10"/>
                <c:pt idx="0">
                  <c:v>0.45402185684749435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585152"/>
        <c:axId val="888600192"/>
      </c:lineChart>
      <c:catAx>
        <c:axId val="88958515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600192"/>
        <c:crosses val="autoZero"/>
        <c:auto val="1"/>
        <c:lblAlgn val="ctr"/>
        <c:lblOffset val="100"/>
        <c:noMultiLvlLbl val="0"/>
      </c:catAx>
      <c:valAx>
        <c:axId val="88860019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585152"/>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Revenue Growth</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Data'!$XI$6:$XR$6</c:f>
              <c:strCache>
                <c:ptCount val="1"/>
                <c:pt idx="0">
                  <c:v>CY2021</c:v>
                </c:pt>
              </c:strCache>
            </c:strRef>
          </c:cat>
          <c:val>
            <c:numRef>
              <c:f>'Peer Data'!$XI$31:$XR$31</c:f>
              <c:numCache>
                <c:formatCode>0%</c:formatCode>
                <c:ptCount val="10"/>
                <c:pt idx="0">
                  <c:v>2.4327000000000001E-2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Data'!$XI$6:$XR$6</c:f>
              <c:strCache>
                <c:ptCount val="1"/>
                <c:pt idx="0">
                  <c:v>CY2021</c:v>
                </c:pt>
              </c:strCache>
            </c:strRef>
          </c:cat>
          <c:val>
            <c:numRef>
              <c:f>'Peer Data'!$XI$32:$XR$32</c:f>
              <c:numCache>
                <c:formatCode>0%</c:formatCode>
                <c:ptCount val="10"/>
                <c:pt idx="0">
                  <c:v>0.174377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Data'!$XI$6:$XR$6</c:f>
              <c:strCache>
                <c:ptCount val="1"/>
                <c:pt idx="0">
                  <c:v>CY2021</c:v>
                </c:pt>
              </c:strCache>
            </c:strRef>
          </c:cat>
          <c:val>
            <c:numRef>
              <c:f>'Peer Data'!$XI$33:$XR$33</c:f>
              <c:numCache>
                <c:formatCode>0%</c:formatCode>
                <c:ptCount val="10"/>
                <c:pt idx="0">
                  <c:v>0.174377</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280000"/>
        <c:axId val="888250368"/>
      </c:lineChart>
      <c:catAx>
        <c:axId val="8892800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50368"/>
        <c:crosses val="autoZero"/>
        <c:auto val="1"/>
        <c:lblAlgn val="ctr"/>
        <c:lblOffset val="100"/>
        <c:noMultiLvlLbl val="0"/>
      </c:catAx>
      <c:valAx>
        <c:axId val="88825036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28000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Investor Return Growth</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Data'!$YW$6:$ZF$6</c:f>
              <c:strCache>
                <c:ptCount val="1"/>
                <c:pt idx="0">
                  <c:v>CY2021</c:v>
                </c:pt>
              </c:strCache>
            </c:strRef>
          </c:cat>
          <c:val>
            <c:numRef>
              <c:f>'Peer Data'!$YW$31:$ZF$31</c:f>
              <c:numCache>
                <c:formatCode>0%</c:formatCode>
                <c:ptCount val="10"/>
                <c:pt idx="0">
                  <c:v>2.2350097814776305E-2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Data'!$YW$6:$ZF$6</c:f>
              <c:strCache>
                <c:ptCount val="1"/>
                <c:pt idx="0">
                  <c:v>CY2021</c:v>
                </c:pt>
              </c:strCache>
            </c:strRef>
          </c:cat>
          <c:val>
            <c:numRef>
              <c:f>'Peer Data'!$YW$32:$ZF$32</c:f>
              <c:numCache>
                <c:formatCode>0%</c:formatCode>
                <c:ptCount val="10"/>
                <c:pt idx="0">
                  <c:v>0.62307779377886319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Data'!$YW$6:$ZF$6</c:f>
              <c:strCache>
                <c:ptCount val="1"/>
                <c:pt idx="0">
                  <c:v>CY2021</c:v>
                </c:pt>
              </c:strCache>
            </c:strRef>
          </c:cat>
          <c:val>
            <c:numRef>
              <c:f>'Peer Data'!$YW$33:$ZF$33</c:f>
              <c:numCache>
                <c:formatCode>0%</c:formatCode>
                <c:ptCount val="10"/>
                <c:pt idx="0">
                  <c:v>0.62307779377886319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282048"/>
        <c:axId val="888252672"/>
      </c:lineChart>
      <c:catAx>
        <c:axId val="8892820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52672"/>
        <c:crosses val="autoZero"/>
        <c:auto val="1"/>
        <c:lblAlgn val="ctr"/>
        <c:lblOffset val="100"/>
        <c:noMultiLvlLbl val="0"/>
      </c:catAx>
      <c:valAx>
        <c:axId val="88825267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282048"/>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Return on Capital</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Data'!$ZQ$6:$ZZ$6</c:f>
              <c:strCache>
                <c:ptCount val="1"/>
                <c:pt idx="0">
                  <c:v>CY2021</c:v>
                </c:pt>
              </c:strCache>
            </c:strRef>
          </c:cat>
          <c:val>
            <c:numRef>
              <c:f>'Peer Data'!$ZQ$31:$ZZ$31</c:f>
              <c:numCache>
                <c:formatCode>0%</c:formatCode>
                <c:ptCount val="10"/>
                <c:pt idx="0">
                  <c:v>8.9624519039405603E-2</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Data'!$ZQ$6:$ZZ$6</c:f>
              <c:strCache>
                <c:ptCount val="1"/>
                <c:pt idx="0">
                  <c:v>CY2021</c:v>
                </c:pt>
              </c:strCache>
            </c:strRef>
          </c:cat>
          <c:val>
            <c:numRef>
              <c:f>'Peer Data'!$ZQ$32:$ZZ$32</c:f>
              <c:numCache>
                <c:formatCode>0%</c:formatCode>
                <c:ptCount val="10"/>
                <c:pt idx="0">
                  <c:v>0.18332936675027003</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Data'!$ZQ$6:$ZZ$6</c:f>
              <c:strCache>
                <c:ptCount val="1"/>
                <c:pt idx="0">
                  <c:v>CY2021</c:v>
                </c:pt>
              </c:strCache>
            </c:strRef>
          </c:cat>
          <c:val>
            <c:numRef>
              <c:f>'Peer Data'!$ZQ$33:$ZZ$33</c:f>
              <c:numCache>
                <c:formatCode>0%</c:formatCode>
                <c:ptCount val="10"/>
                <c:pt idx="0">
                  <c:v>0.18332936675027003</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898496"/>
        <c:axId val="888254976"/>
      </c:lineChart>
      <c:catAx>
        <c:axId val="88989849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54976"/>
        <c:crosses val="autoZero"/>
        <c:auto val="1"/>
        <c:lblAlgn val="ctr"/>
        <c:lblOffset val="100"/>
        <c:noMultiLvlLbl val="0"/>
      </c:catAx>
      <c:valAx>
        <c:axId val="88825497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sz="900">
                <a:solidFill>
                  <a:srgbClr val="767171"/>
                </a:solidFill>
              </a:defRPr>
            </a:pPr>
            <a:endParaRPr lang="en-US"/>
          </a:p>
        </c:txPr>
        <c:crossAx val="889898496"/>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EV/Total Capital</a:t>
            </a:r>
          </a:p>
        </c:rich>
      </c:tx>
      <c:layout>
        <c:manualLayout>
          <c:xMode val="edge"/>
          <c:yMode val="edge"/>
          <c:x val="2.5052493438320056E-3"/>
          <c:y val="0"/>
        </c:manualLayout>
      </c:layout>
      <c:overlay val="0"/>
    </c:title>
    <c:autoTitleDeleted val="0"/>
    <c:plotArea>
      <c:layout>
        <c:manualLayout>
          <c:xMode val="edge"/>
          <c:yMode val="edge"/>
          <c:x val="3.4211087609534133E-2"/>
          <c:y val="0.1242798353909465"/>
          <c:w val="0.963882618510158"/>
          <c:h val="0.78220245617445971"/>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Data'!$AAK$6:$AAT$6</c:f>
              <c:strCache>
                <c:ptCount val="1"/>
                <c:pt idx="0">
                  <c:v>CY2021</c:v>
                </c:pt>
              </c:strCache>
            </c:strRef>
          </c:cat>
          <c:val>
            <c:numRef>
              <c:f>'Peer Data'!$AAK$31:$AAT$31</c:f>
              <c:numCache>
                <c:formatCode>#,##0.0</c:formatCode>
                <c:ptCount val="10"/>
                <c:pt idx="0">
                  <c:v>3.0084856800989961</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v>Peer Group Median</c:v>
          </c:tx>
          <c:spPr>
            <a:ln w="22225">
              <a:solidFill>
                <a:srgbClr val="5E8AB4">
                  <a:lumMod val="75000"/>
                </a:srgbClr>
              </a:solidFill>
            </a:ln>
          </c:spPr>
          <c:marker>
            <c:symbol val="circle"/>
            <c:size val="4"/>
            <c:spPr>
              <a:solidFill>
                <a:srgbClr val="5E8AB4">
                  <a:lumMod val="75000"/>
                </a:srgbClr>
              </a:solidFill>
              <a:ln>
                <a:noFill/>
              </a:ln>
            </c:spPr>
          </c:marker>
          <c:cat>
            <c:strRef>
              <c:f>'Peer Data'!$AAK$6:$AAT$6</c:f>
              <c:strCache>
                <c:ptCount val="1"/>
                <c:pt idx="0">
                  <c:v>CY2021</c:v>
                </c:pt>
              </c:strCache>
            </c:strRef>
          </c:cat>
          <c:val>
            <c:numRef>
              <c:f>'Peer Data'!$AAK$32:$AAT$32</c:f>
              <c:numCache>
                <c:formatCode>#,##0.0</c:formatCode>
                <c:ptCount val="10"/>
                <c:pt idx="0">
                  <c:v>8.5492915095311695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v>Best In Class</c:v>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Data'!$AAK$6:$AAT$6</c:f>
              <c:strCache>
                <c:ptCount val="1"/>
                <c:pt idx="0">
                  <c:v>CY2021</c:v>
                </c:pt>
              </c:strCache>
            </c:strRef>
          </c:cat>
          <c:val>
            <c:numRef>
              <c:f>'Peer Data'!$AAK$33:$AAT$33</c:f>
              <c:numCache>
                <c:formatCode>#,##0.0</c:formatCode>
                <c:ptCount val="10"/>
                <c:pt idx="0">
                  <c:v>8.5492915095311695</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900544"/>
        <c:axId val="888257280"/>
      </c:lineChart>
      <c:catAx>
        <c:axId val="88990054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257280"/>
        <c:crosses val="autoZero"/>
        <c:auto val="1"/>
        <c:lblAlgn val="ctr"/>
        <c:lblOffset val="100"/>
        <c:noMultiLvlLbl val="0"/>
      </c:catAx>
      <c:valAx>
        <c:axId val="888257280"/>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9900544"/>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1536097050368703"/>
          <c:w val="0.98432405317281157"/>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a:solidFill>
                  <a:srgbClr val="767171"/>
                </a:solidFill>
              </a:defRPr>
            </a:pPr>
            <a:r>
              <a:rPr lang="en-US">
                <a:solidFill>
                  <a:srgbClr val="767171"/>
                </a:solidFill>
              </a:rPr>
              <a:t>Fixed Asset Turnover Ratio</a:t>
            </a:r>
          </a:p>
        </c:rich>
      </c:tx>
      <c:layout>
        <c:manualLayout>
          <c:xMode val="edge"/>
          <c:yMode val="edge"/>
          <c:x val="2.5052493438320056E-3"/>
          <c:y val="0"/>
        </c:manualLayout>
      </c:layout>
      <c:overlay val="0"/>
    </c:title>
    <c:autoTitleDeleted val="0"/>
    <c:plotArea>
      <c:layout>
        <c:manualLayout>
          <c:xMode val="edge"/>
          <c:yMode val="edge"/>
          <c:x val="3.4211053117747477E-2"/>
          <c:y val="0.1242798353909465"/>
          <c:w val="0.96388261404158648"/>
          <c:h val="0.76296296296296295"/>
        </c:manualLayout>
      </c:layout>
      <c:lineChart>
        <c:grouping val="standard"/>
        <c:varyColors val="0"/>
        <c:ser>
          <c:idx val="1"/>
          <c:order val="0"/>
          <c:tx>
            <c:strRef>
              <c:f>'Peer Data'!$C$7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Data'!$ABY$3:$ACH$3</c:f>
              <c:strCache>
                <c:ptCount val="1"/>
                <c:pt idx="0">
                  <c:v>CY2021</c:v>
                </c:pt>
              </c:strCache>
            </c:strRef>
          </c:cat>
          <c:val>
            <c:numRef>
              <c:f>'Peer Data'!$ABY$31:$ACH$31</c:f>
              <c:numCache>
                <c:formatCode>0.0</c:formatCode>
                <c:ptCount val="10"/>
                <c:pt idx="0">
                  <c:v>5.149</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94AF-4F59-A238-91A8AD986BDC}"/>
            </c:ext>
          </c:extLst>
        </c:ser>
        <c:ser>
          <c:idx val="2"/>
          <c:order val="1"/>
          <c:tx>
            <c:strRef>
              <c:f>'Peer Data'!$A$32</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Data'!$ABY$3:$ACH$3</c:f>
              <c:strCache>
                <c:ptCount val="1"/>
                <c:pt idx="0">
                  <c:v>CY2021</c:v>
                </c:pt>
              </c:strCache>
            </c:strRef>
          </c:cat>
          <c:val>
            <c:numRef>
              <c:f>'Peer Data'!$ABY$32:$ACH$32</c:f>
              <c:numCache>
                <c:formatCode>0.0</c:formatCode>
                <c:ptCount val="10"/>
                <c:pt idx="0">
                  <c:v>7.8315599999999996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4AF-4F59-A238-91A8AD986BDC}"/>
            </c:ext>
          </c:extLst>
        </c:ser>
        <c:ser>
          <c:idx val="3"/>
          <c:order val="2"/>
          <c:tx>
            <c:strRef>
              <c:f>'Peer Data'!$A$33</c:f>
              <c:strCache>
                <c:ptCount val="1"/>
                <c:pt idx="0">
                  <c:v>Best In Class</c:v>
                </c:pt>
              </c:strCache>
            </c:strRef>
          </c:tx>
          <c:spPr>
            <a:ln w="22225">
              <a:solidFill>
                <a:srgbClr val="5E8AB4">
                  <a:lumMod val="60000"/>
                  <a:lumOff val="40000"/>
                </a:srgbClr>
              </a:solidFill>
              <a:prstDash val="solid"/>
            </a:ln>
          </c:spPr>
          <c:marker>
            <c:symbol val="triangle"/>
            <c:size val="4"/>
            <c:spPr>
              <a:solidFill>
                <a:srgbClr val="5E8AB4">
                  <a:lumMod val="60000"/>
                  <a:lumOff val="40000"/>
                </a:srgbClr>
              </a:solidFill>
              <a:ln>
                <a:noFill/>
              </a:ln>
            </c:spPr>
          </c:marker>
          <c:cat>
            <c:strRef>
              <c:f>'Peer Data'!$ABY$3:$ACH$3</c:f>
              <c:strCache>
                <c:ptCount val="1"/>
                <c:pt idx="0">
                  <c:v>CY2021</c:v>
                </c:pt>
              </c:strCache>
            </c:strRef>
          </c:cat>
          <c:val>
            <c:numRef>
              <c:f>'Peer Data'!$ABY$33:$ACH$33</c:f>
              <c:numCache>
                <c:formatCode>0.0</c:formatCode>
                <c:ptCount val="10"/>
                <c:pt idx="0">
                  <c:v>7.8315599999999996</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899520"/>
        <c:axId val="888964224"/>
      </c:lineChart>
      <c:catAx>
        <c:axId val="88989952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chemeClr val="bg1">
                <a:lumMod val="75000"/>
              </a:schemeClr>
            </a:solidFill>
          </a:ln>
        </c:spPr>
        <c:txPr>
          <a:bodyPr rot="-2700000" vert="horz"/>
          <a:lstStyle/>
          <a:p>
            <a:pPr>
              <a:defRPr sz="900">
                <a:solidFill>
                  <a:srgbClr val="767171"/>
                </a:solidFill>
              </a:defRPr>
            </a:pPr>
            <a:endParaRPr lang="en-US"/>
          </a:p>
        </c:txPr>
        <c:crossAx val="888964224"/>
        <c:crosses val="autoZero"/>
        <c:auto val="1"/>
        <c:lblAlgn val="ctr"/>
        <c:lblOffset val="100"/>
        <c:noMultiLvlLbl val="0"/>
      </c:catAx>
      <c:valAx>
        <c:axId val="888964224"/>
        <c:scaling>
          <c:orientation val="minMax"/>
        </c:scaling>
        <c:delete val="0"/>
        <c:axPos val="l"/>
        <c:majorGridlines>
          <c:spPr>
            <a:ln>
              <a:solidFill>
                <a:schemeClr val="bg1">
                  <a:lumMod val="85000"/>
                </a:schemeClr>
              </a:solidFill>
            </a:ln>
          </c:spPr>
        </c:majorGridlines>
        <c:numFmt formatCode="0.0" sourceLinked="0"/>
        <c:majorTickMark val="out"/>
        <c:minorTickMark val="none"/>
        <c:tickLblPos val="nextTo"/>
        <c:txPr>
          <a:bodyPr/>
          <a:lstStyle/>
          <a:p>
            <a:pPr>
              <a:defRPr sz="900">
                <a:solidFill>
                  <a:srgbClr val="767171"/>
                </a:solidFill>
              </a:defRPr>
            </a:pPr>
            <a:endParaRPr lang="en-US"/>
          </a:p>
        </c:txPr>
        <c:crossAx val="889899520"/>
        <c:crosses val="autoZero"/>
        <c:crossBetween val="midCat"/>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1536097050368703"/>
          <c:w val="0.9842871059991829"/>
          <c:h val="8.4639029496312967E-2"/>
        </c:manualLayout>
      </c:layout>
      <c:overlay val="0"/>
      <c:txPr>
        <a:bodyPr/>
        <a:lstStyle/>
        <a:p>
          <a:pPr>
            <a:defRPr sz="900">
              <a:solidFill>
                <a:srgbClr val="767171"/>
              </a:solidFill>
            </a:defRPr>
          </a:pPr>
          <a:endParaRPr lang="en-US"/>
        </a:p>
      </c:txPr>
    </c:legend>
    <c:plotVisOnly val="1"/>
    <c:dispBlanksAs val="gap"/>
    <c:showDLblsOverMax val="0"/>
  </c:chart>
  <c:spPr>
    <a:noFill/>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Net Interest Income Margin</a:t>
            </a:r>
          </a:p>
        </c:rich>
      </c:tx>
      <c:layout>
        <c:manualLayout>
          <c:xMode val="edge"/>
          <c:yMode val="edge"/>
          <c:x val="6.0131890102115937E-4"/>
          <c:y val="1.812273465816768E-4"/>
        </c:manualLayout>
      </c:layout>
      <c:overlay val="1"/>
    </c:title>
    <c:autoTitleDeleted val="0"/>
    <c:plotArea>
      <c:layout>
        <c:manualLayout>
          <c:xMode val="edge"/>
          <c:yMode val="edge"/>
          <c:x val="5.4508599799742867E-2"/>
          <c:y val="0.1242798353909465"/>
          <c:w val="0.94549140020025713"/>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Data_H'!$AE$6:$AJ$6</c:f>
              <c:strCache>
                <c:ptCount val="1"/>
                <c:pt idx="0">
                  <c:v>CY2021</c:v>
                </c:pt>
              </c:strCache>
            </c:strRef>
          </c:cat>
          <c:val>
            <c:numRef>
              <c:f>'Peer Data_H'!$AE$30:$AJ$30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Data_H'!$AE$6:$AJ$6</c:f>
              <c:strCache>
                <c:ptCount val="1"/>
                <c:pt idx="0">
                  <c:v>CY2021</c:v>
                </c:pt>
              </c:strCache>
            </c:strRef>
          </c:cat>
          <c:val>
            <c:numRef>
              <c:f>'Peer Data_H'!$AE$31:$AJ$31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Data_H'!$AE$6:$AJ$6</c:f>
              <c:strCache>
                <c:ptCount val="1"/>
                <c:pt idx="0">
                  <c:v>CY2021</c:v>
                </c:pt>
              </c:strCache>
            </c:strRef>
          </c:cat>
          <c:val>
            <c:numRef>
              <c:f>'Peer Data_H'!$AE$32:$AJ$32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6663168"/>
        <c:axId val="888965952"/>
      </c:lineChart>
      <c:catAx>
        <c:axId val="88666316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defRPr>
                <a:solidFill>
                  <a:srgbClr val="767171"/>
                </a:solidFill>
              </a:defRPr>
            </a:pPr>
            <a:endParaRPr lang="en-US"/>
          </a:p>
        </c:txPr>
        <c:crossAx val="888965952"/>
        <c:crosses val="autoZero"/>
        <c:auto val="1"/>
        <c:lblAlgn val="ctr"/>
        <c:lblOffset val="100"/>
        <c:noMultiLvlLbl val="0"/>
      </c:catAx>
      <c:valAx>
        <c:axId val="88896595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86663168"/>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IN" sz="1000" b="1">
                <a:solidFill>
                  <a:srgbClr val="767171"/>
                </a:solidFill>
              </a:rPr>
              <a:t>EBT Margin</a:t>
            </a:r>
          </a:p>
        </c:rich>
      </c:tx>
      <c:layout>
        <c:manualLayout>
          <c:xMode val="edge"/>
          <c:yMode val="edge"/>
          <c:x val="2.1347853980185809E-3"/>
          <c:y val="1.812273465816768E-4"/>
        </c:manualLayout>
      </c:layout>
      <c:overlay val="1"/>
    </c:title>
    <c:autoTitleDeleted val="0"/>
    <c:plotArea>
      <c:layout>
        <c:manualLayout>
          <c:xMode val="edge"/>
          <c:yMode val="edge"/>
          <c:x val="6.8389690658894844E-2"/>
          <c:y val="0.1242798353909465"/>
          <c:w val="0.93161030934110511"/>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Data_H'!$AY$6:$BD$6</c:f>
              <c:strCache>
                <c:ptCount val="1"/>
                <c:pt idx="0">
                  <c:v>CY2021</c:v>
                </c:pt>
              </c:strCache>
            </c:strRef>
          </c:cat>
          <c:val>
            <c:numRef>
              <c:f>'Peer Data_H'!$AY$30:$BD$30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Data_H'!$AY$6:$BD$6</c:f>
              <c:strCache>
                <c:ptCount val="1"/>
                <c:pt idx="0">
                  <c:v>CY2021</c:v>
                </c:pt>
              </c:strCache>
            </c:strRef>
          </c:cat>
          <c:val>
            <c:numRef>
              <c:f>'Peer Data_H'!$AY$31:$BD$31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Data_H'!$AY$6:$BD$6</c:f>
              <c:strCache>
                <c:ptCount val="1"/>
                <c:pt idx="0">
                  <c:v>CY2021</c:v>
                </c:pt>
              </c:strCache>
            </c:strRef>
          </c:cat>
          <c:val>
            <c:numRef>
              <c:f>'Peer Data_H'!$AY$32:$BD$32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9786880"/>
        <c:axId val="888969984"/>
      </c:lineChart>
      <c:catAx>
        <c:axId val="88978688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88969984"/>
        <c:crosses val="autoZero"/>
        <c:auto val="1"/>
        <c:lblAlgn val="ctr"/>
        <c:lblOffset val="100"/>
        <c:noMultiLvlLbl val="0"/>
      </c:catAx>
      <c:valAx>
        <c:axId val="88896998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8978688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Net Income Margin</a:t>
            </a:r>
          </a:p>
        </c:rich>
      </c:tx>
      <c:layout>
        <c:manualLayout>
          <c:xMode val="edge"/>
          <c:yMode val="edge"/>
          <c:x val="2.1347853980185809E-3"/>
          <c:y val="1.812273465816768E-4"/>
        </c:manualLayout>
      </c:layout>
      <c:overlay val="1"/>
    </c:title>
    <c:autoTitleDeleted val="0"/>
    <c:plotArea>
      <c:layout>
        <c:manualLayout>
          <c:xMode val="edge"/>
          <c:yMode val="edge"/>
          <c:x val="6.8389588998892067E-2"/>
          <c:y val="0.1242798353909465"/>
          <c:w val="0.93161041100110797"/>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Data_H'!$BS$6:$BX$6</c:f>
              <c:strCache>
                <c:ptCount val="1"/>
                <c:pt idx="0">
                  <c:v>CY2021</c:v>
                </c:pt>
              </c:strCache>
            </c:strRef>
          </c:cat>
          <c:val>
            <c:numRef>
              <c:f>'Peer Data_H'!$BS$30:$BX$30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Data_H'!$BS$6:$BX$6</c:f>
              <c:strCache>
                <c:ptCount val="1"/>
                <c:pt idx="0">
                  <c:v>CY2021</c:v>
                </c:pt>
              </c:strCache>
            </c:strRef>
          </c:cat>
          <c:val>
            <c:numRef>
              <c:f>'Peer Data_H'!$BS$31:$BX$31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Data_H'!$BS$6:$BX$6</c:f>
              <c:strCache>
                <c:ptCount val="1"/>
                <c:pt idx="0">
                  <c:v>CY2021</c:v>
                </c:pt>
              </c:strCache>
            </c:strRef>
          </c:cat>
          <c:val>
            <c:numRef>
              <c:f>'Peer Data_H'!$BS$32:$BX$32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6615040"/>
        <c:axId val="889741888"/>
      </c:lineChart>
      <c:catAx>
        <c:axId val="8866150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89741888"/>
        <c:crosses val="autoZero"/>
        <c:auto val="1"/>
        <c:lblAlgn val="ctr"/>
        <c:lblOffset val="100"/>
        <c:noMultiLvlLbl val="0"/>
      </c:catAx>
      <c:valAx>
        <c:axId val="88974188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8661504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Tier 1 Capital Ratio</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Data_H'!$DG$6:$DL$6</c:f>
              <c:strCache>
                <c:ptCount val="1"/>
                <c:pt idx="0">
                  <c:v>CY2021</c:v>
                </c:pt>
              </c:strCache>
            </c:strRef>
          </c:cat>
          <c:val>
            <c:numRef>
              <c:f>'Peer Data_H'!$DG$30:$DL$30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Data_H'!$DG$6:$DL$6</c:f>
              <c:strCache>
                <c:ptCount val="1"/>
                <c:pt idx="0">
                  <c:v>CY2021</c:v>
                </c:pt>
              </c:strCache>
            </c:strRef>
          </c:cat>
          <c:val>
            <c:numRef>
              <c:f>'Peer Data_H'!$DG$31:$DL$31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Data_H'!$DG$6:$DL$6</c:f>
              <c:strCache>
                <c:ptCount val="1"/>
                <c:pt idx="0">
                  <c:v>CY2021</c:v>
                </c:pt>
              </c:strCache>
            </c:strRef>
          </c:cat>
          <c:val>
            <c:numRef>
              <c:f>'Peer Data_H'!$DG$32:$DL$32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0045440"/>
        <c:axId val="889744192"/>
      </c:lineChart>
      <c:catAx>
        <c:axId val="89004544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89744192"/>
        <c:crosses val="autoZero"/>
        <c:auto val="1"/>
        <c:lblAlgn val="ctr"/>
        <c:lblOffset val="100"/>
        <c:noMultiLvlLbl val="0"/>
      </c:catAx>
      <c:valAx>
        <c:axId val="88974419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004544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Total Capital Ratio</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Data_H'!$EA$6:$EF$6</c:f>
              <c:strCache>
                <c:ptCount val="1"/>
                <c:pt idx="0">
                  <c:v>CY2021</c:v>
                </c:pt>
              </c:strCache>
            </c:strRef>
          </c:cat>
          <c:val>
            <c:numRef>
              <c:f>'Peer Data_H'!$EA$30:$EF$30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Data_H'!$EA$6:$EF$6</c:f>
              <c:strCache>
                <c:ptCount val="1"/>
                <c:pt idx="0">
                  <c:v>CY2021</c:v>
                </c:pt>
              </c:strCache>
            </c:strRef>
          </c:cat>
          <c:val>
            <c:numRef>
              <c:f>'Peer Data_H'!$EA$31:$EF$31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Data_H'!$EA$6:$EF$6</c:f>
              <c:strCache>
                <c:ptCount val="1"/>
                <c:pt idx="0">
                  <c:v>CY2021</c:v>
                </c:pt>
              </c:strCache>
            </c:strRef>
          </c:cat>
          <c:val>
            <c:numRef>
              <c:f>'Peer Data_H'!$EA$32:$EF$32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0047488"/>
        <c:axId val="889746496"/>
      </c:lineChart>
      <c:catAx>
        <c:axId val="89004748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89746496"/>
        <c:crosses val="autoZero"/>
        <c:auto val="1"/>
        <c:lblAlgn val="ctr"/>
        <c:lblOffset val="100"/>
        <c:noMultiLvlLbl val="0"/>
      </c:catAx>
      <c:valAx>
        <c:axId val="88974649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0047488"/>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Non Performing Loans / Total Loans</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Data_H'!$FO$6:$FT$6</c:f>
              <c:strCache>
                <c:ptCount val="1"/>
                <c:pt idx="0">
                  <c:v>CY2021</c:v>
                </c:pt>
              </c:strCache>
            </c:strRef>
          </c:cat>
          <c:val>
            <c:numRef>
              <c:f>'Peer Data_H'!$FO$30:$FT$30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Data_H'!$FO$6:$FT$6</c:f>
              <c:strCache>
                <c:ptCount val="1"/>
                <c:pt idx="0">
                  <c:v>CY2021</c:v>
                </c:pt>
              </c:strCache>
            </c:strRef>
          </c:cat>
          <c:val>
            <c:numRef>
              <c:f>'Peer Data_H'!$FO$31:$FT$31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Data_H'!$FO$6:$FT$6</c:f>
              <c:strCache>
                <c:ptCount val="1"/>
                <c:pt idx="0">
                  <c:v>CY2021</c:v>
                </c:pt>
              </c:strCache>
            </c:strRef>
          </c:cat>
          <c:val>
            <c:numRef>
              <c:f>'Peer Data_H'!$FO$32:$FT$32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0918400"/>
        <c:axId val="889748800"/>
      </c:lineChart>
      <c:catAx>
        <c:axId val="89091840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89748800"/>
        <c:crosses val="autoZero"/>
        <c:auto val="1"/>
        <c:lblAlgn val="ctr"/>
        <c:lblOffset val="100"/>
        <c:noMultiLvlLbl val="0"/>
      </c:catAx>
      <c:valAx>
        <c:axId val="88974880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091840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Loans / Assets</a:t>
            </a:r>
          </a:p>
        </c:rich>
      </c:tx>
      <c:layout>
        <c:manualLayout>
          <c:xMode val="edge"/>
          <c:yMode val="edge"/>
          <c:x val="2.1347853980185809E-3"/>
          <c:y val="1.812273465816768E-4"/>
        </c:manualLayout>
      </c:layout>
      <c:overlay val="1"/>
    </c:title>
    <c:autoTitleDeleted val="0"/>
    <c:plotArea>
      <c:layout>
        <c:manualLayout>
          <c:xMode val="edge"/>
          <c:yMode val="edge"/>
          <c:x val="6.2907251611932599E-2"/>
          <c:y val="0.1242798353909465"/>
          <c:w val="0.93709274838806744"/>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Data_H'!$EU$6:$EZ$6</c:f>
              <c:strCache>
                <c:ptCount val="1"/>
                <c:pt idx="0">
                  <c:v>CY2021</c:v>
                </c:pt>
              </c:strCache>
            </c:strRef>
          </c:cat>
          <c:val>
            <c:numRef>
              <c:f>'Peer Data_H'!$EU$30:$EZ$30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Data_H'!$EU$6:$EZ$6</c:f>
              <c:strCache>
                <c:ptCount val="1"/>
                <c:pt idx="0">
                  <c:v>CY2021</c:v>
                </c:pt>
              </c:strCache>
            </c:strRef>
          </c:cat>
          <c:val>
            <c:numRef>
              <c:f>'Peer Data_H'!$EU$31:$EZ$31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Data_H'!$EU$6:$EZ$6</c:f>
              <c:strCache>
                <c:ptCount val="1"/>
                <c:pt idx="0">
                  <c:v>CY2021</c:v>
                </c:pt>
              </c:strCache>
            </c:strRef>
          </c:cat>
          <c:val>
            <c:numRef>
              <c:f>'Peer Data_H'!$EU$32:$EZ$32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0920448"/>
        <c:axId val="890169024"/>
      </c:lineChart>
      <c:catAx>
        <c:axId val="89092044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169024"/>
        <c:crosses val="autoZero"/>
        <c:auto val="1"/>
        <c:lblAlgn val="ctr"/>
        <c:lblOffset val="100"/>
        <c:noMultiLvlLbl val="0"/>
      </c:catAx>
      <c:valAx>
        <c:axId val="890169024"/>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0920448"/>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Leverage Ratio</a:t>
            </a:r>
          </a:p>
        </c:rich>
      </c:tx>
      <c:layout>
        <c:manualLayout>
          <c:xMode val="edge"/>
          <c:yMode val="edge"/>
          <c:x val="2.1347853980185809E-3"/>
          <c:y val="1.812273465816768E-4"/>
        </c:manualLayout>
      </c:layout>
      <c:overlay val="1"/>
    </c:title>
    <c:autoTitleDeleted val="0"/>
    <c:plotArea>
      <c:layout>
        <c:manualLayout>
          <c:xMode val="edge"/>
          <c:yMode val="edge"/>
          <c:x val="5.2697829665795407E-2"/>
          <c:y val="0.1242798353909465"/>
          <c:w val="0.94730217033420461"/>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Data_H'!$IQ$6:$IV$6</c:f>
              <c:strCache>
                <c:ptCount val="1"/>
                <c:pt idx="0">
                  <c:v>CY2021</c:v>
                </c:pt>
              </c:strCache>
            </c:strRef>
          </c:cat>
          <c:val>
            <c:numRef>
              <c:f>'Peer Data_H'!$IQ$30:$IV$30</c:f>
              <c:numCache>
                <c:formatCode>_(* #,##0.0_);_(* \(#,##0.0\);_(* "-"??_);_(@_)</c:formatCode>
                <c:ptCount val="6"/>
                <c:pt idx="0">
                  <c:v>2.9411552736838313</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Data_H'!$IQ$6:$IV$6</c:f>
              <c:strCache>
                <c:ptCount val="1"/>
                <c:pt idx="0">
                  <c:v>CY2021</c:v>
                </c:pt>
              </c:strCache>
            </c:strRef>
          </c:cat>
          <c:val>
            <c:numRef>
              <c:f>'Peer Data_H'!$IQ$31:$IV$31</c:f>
              <c:numCache>
                <c:formatCode>_(* #,##0.0_);_(* \(#,##0.0\);_(* "-"??_);_(@_)</c:formatCode>
                <c:ptCount val="6"/>
                <c:pt idx="0">
                  <c:v>3.4744624383902942</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Data_H'!$IQ$6:$IV$6</c:f>
              <c:strCache>
                <c:ptCount val="1"/>
                <c:pt idx="0">
                  <c:v>CY2021</c:v>
                </c:pt>
              </c:strCache>
            </c:strRef>
          </c:cat>
          <c:val>
            <c:numRef>
              <c:f>'Peer Data_H'!$IQ$32:$IV$32</c:f>
              <c:numCache>
                <c:formatCode>_(* #,##0.0_);_(* \(#,##0.0\);_(* "-"??_);_(@_)</c:formatCode>
                <c:ptCount val="6"/>
                <c:pt idx="0">
                  <c:v>2.9411552736838313</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0738176"/>
        <c:axId val="890171328"/>
      </c:lineChart>
      <c:catAx>
        <c:axId val="89073817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171328"/>
        <c:crosses val="autoZero"/>
        <c:auto val="1"/>
        <c:lblAlgn val="ctr"/>
        <c:lblOffset val="100"/>
        <c:noMultiLvlLbl val="0"/>
      </c:catAx>
      <c:valAx>
        <c:axId val="890171328"/>
        <c:scaling>
          <c:orientation val="minMax"/>
        </c:scaling>
        <c:delete val="0"/>
        <c:axPos val="l"/>
        <c:majorGridlines>
          <c:spPr>
            <a:ln>
              <a:solidFill>
                <a:schemeClr val="bg1">
                  <a:lumMod val="85000"/>
                </a:schemeClr>
              </a:solidFill>
            </a:ln>
          </c:spPr>
        </c:majorGridlines>
        <c:numFmt formatCode="_(* #,##0.0_);_(* \(#,##0.0\);_(* &quot;-&quot;??_);_(@_)" sourceLinked="0"/>
        <c:majorTickMark val="out"/>
        <c:minorTickMark val="none"/>
        <c:tickLblPos val="nextTo"/>
        <c:txPr>
          <a:bodyPr/>
          <a:lstStyle/>
          <a:p>
            <a:pPr>
              <a:defRPr>
                <a:solidFill>
                  <a:srgbClr val="767171"/>
                </a:solidFill>
              </a:defRPr>
            </a:pPr>
            <a:endParaRPr lang="en-US"/>
          </a:p>
        </c:txPr>
        <c:crossAx val="89073817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Return on Equity</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Data_H'!$JK$6:$JP$6</c:f>
              <c:strCache>
                <c:ptCount val="1"/>
                <c:pt idx="0">
                  <c:v>CY2021</c:v>
                </c:pt>
              </c:strCache>
            </c:strRef>
          </c:cat>
          <c:val>
            <c:numRef>
              <c:f>'Peer Data_H'!$JK$30:$JP$30</c:f>
              <c:numCache>
                <c:formatCode>0%</c:formatCode>
                <c:ptCount val="6"/>
                <c:pt idx="0">
                  <c:v>0.15059468738504755</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Data_H'!$JK$6:$JP$6</c:f>
              <c:strCache>
                <c:ptCount val="1"/>
                <c:pt idx="0">
                  <c:v>CY2021</c:v>
                </c:pt>
              </c:strCache>
            </c:strRef>
          </c:cat>
          <c:val>
            <c:numRef>
              <c:f>'Peer Data_H'!$JK$31:$JP$31</c:f>
              <c:numCache>
                <c:formatCode>0%</c:formatCode>
                <c:ptCount val="6"/>
                <c:pt idx="0">
                  <c:v>0.2918767670290594</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Data_H'!$JK$6:$JP$6</c:f>
              <c:strCache>
                <c:ptCount val="1"/>
                <c:pt idx="0">
                  <c:v>CY2021</c:v>
                </c:pt>
              </c:strCache>
            </c:strRef>
          </c:cat>
          <c:val>
            <c:numRef>
              <c:f>'Peer Data_H'!$JK$32:$JP$32</c:f>
              <c:numCache>
                <c:formatCode>0%</c:formatCode>
                <c:ptCount val="6"/>
                <c:pt idx="0">
                  <c:v>0.2918767670290594</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86663680"/>
        <c:axId val="890173632"/>
      </c:lineChart>
      <c:catAx>
        <c:axId val="88666368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173632"/>
        <c:crosses val="autoZero"/>
        <c:auto val="1"/>
        <c:lblAlgn val="ctr"/>
        <c:lblOffset val="100"/>
        <c:noMultiLvlLbl val="0"/>
      </c:catAx>
      <c:valAx>
        <c:axId val="89017363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8666368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Return on Capital Employed (ROCE)</a:t>
            </a:r>
          </a:p>
        </c:rich>
      </c:tx>
      <c:layout>
        <c:manualLayout>
          <c:xMode val="edge"/>
          <c:yMode val="edge"/>
          <c:x val="2.1347853980185809E-3"/>
          <c:y val="1.812273465816768E-4"/>
        </c:manualLayout>
      </c:layout>
      <c:overlay val="1"/>
    </c:title>
    <c:autoTitleDeleted val="0"/>
    <c:plotArea>
      <c:layout>
        <c:manualLayout>
          <c:xMode val="edge"/>
          <c:yMode val="edge"/>
          <c:x val="5.6605515052581282E-2"/>
          <c:y val="0.1242798353909465"/>
          <c:w val="0.94339448494741873"/>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Data_H'!$KE$6:$KJ$6</c:f>
              <c:strCache>
                <c:ptCount val="1"/>
                <c:pt idx="0">
                  <c:v>CY2021</c:v>
                </c:pt>
              </c:strCache>
            </c:strRef>
          </c:cat>
          <c:val>
            <c:numRef>
              <c:f>'Peer Data_H'!$KE$30:$KJ$30</c:f>
              <c:numCache>
                <c:formatCode>0%</c:formatCode>
                <c:ptCount val="6"/>
                <c:pt idx="0">
                  <c:v>8.3758792038264931E-2</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Data_H'!$KE$6:$KJ$6</c:f>
              <c:strCache>
                <c:ptCount val="1"/>
                <c:pt idx="0">
                  <c:v>CY2021</c:v>
                </c:pt>
              </c:strCache>
            </c:strRef>
          </c:cat>
          <c:val>
            <c:numRef>
              <c:f>'Peer Data_H'!$KE$31:$KJ$31</c:f>
              <c:numCache>
                <c:formatCode>0%</c:formatCode>
                <c:ptCount val="6"/>
                <c:pt idx="0">
                  <c:v>0.16938716825386085</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Data_H'!$KE$6:$KJ$6</c:f>
              <c:strCache>
                <c:ptCount val="1"/>
                <c:pt idx="0">
                  <c:v>CY2021</c:v>
                </c:pt>
              </c:strCache>
            </c:strRef>
          </c:cat>
          <c:val>
            <c:numRef>
              <c:f>'Peer Data_H'!$KE$32:$KJ$32</c:f>
              <c:numCache>
                <c:formatCode>0%</c:formatCode>
                <c:ptCount val="6"/>
                <c:pt idx="0">
                  <c:v>0.16938716825386085</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413504"/>
        <c:axId val="891503168"/>
      </c:lineChart>
      <c:catAx>
        <c:axId val="89141350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1503168"/>
        <c:crosses val="autoZero"/>
        <c:auto val="1"/>
        <c:lblAlgn val="ctr"/>
        <c:lblOffset val="100"/>
        <c:noMultiLvlLbl val="0"/>
      </c:catAx>
      <c:valAx>
        <c:axId val="89150316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413504"/>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Return on Assets</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Data_H'!$GI$6:$GN$6</c:f>
              <c:strCache>
                <c:ptCount val="1"/>
                <c:pt idx="0">
                  <c:v>CY2021</c:v>
                </c:pt>
              </c:strCache>
            </c:strRef>
          </c:cat>
          <c:val>
            <c:numRef>
              <c:f>'Peer Data_H'!$HC$30:$HH$30</c:f>
              <c:numCache>
                <c:formatCode>0%</c:formatCode>
                <c:ptCount val="6"/>
                <c:pt idx="0">
                  <c:v>5.4327282670762991E-2</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Data_H'!$GI$6:$GN$6</c:f>
              <c:strCache>
                <c:ptCount val="1"/>
                <c:pt idx="0">
                  <c:v>CY2021</c:v>
                </c:pt>
              </c:strCache>
            </c:strRef>
          </c:cat>
          <c:val>
            <c:numRef>
              <c:f>'Peer Data_H'!$HC$31:$HH$31</c:f>
              <c:numCache>
                <c:formatCode>0%</c:formatCode>
                <c:ptCount val="6"/>
                <c:pt idx="0">
                  <c:v>8.0520399466092019E-2</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Data_H'!$GI$6:$GN$6</c:f>
              <c:strCache>
                <c:ptCount val="1"/>
                <c:pt idx="0">
                  <c:v>CY2021</c:v>
                </c:pt>
              </c:strCache>
            </c:strRef>
          </c:cat>
          <c:val>
            <c:numRef>
              <c:f>'Peer Data_H'!$HC$32:$HH$32</c:f>
              <c:numCache>
                <c:formatCode>0%</c:formatCode>
                <c:ptCount val="6"/>
                <c:pt idx="0">
                  <c:v>8.0520399466092019E-2</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415552"/>
        <c:axId val="891505472"/>
      </c:lineChart>
      <c:catAx>
        <c:axId val="891415552"/>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1505472"/>
        <c:crosses val="autoZero"/>
        <c:auto val="1"/>
        <c:lblAlgn val="ctr"/>
        <c:lblOffset val="100"/>
        <c:noMultiLvlLbl val="0"/>
      </c:catAx>
      <c:valAx>
        <c:axId val="89150547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415552"/>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Capital Adequacy Ratio</a:t>
            </a:r>
          </a:p>
        </c:rich>
      </c:tx>
      <c:layout>
        <c:manualLayout>
          <c:xMode val="edge"/>
          <c:yMode val="edge"/>
          <c:x val="2.1347853980185809E-3"/>
          <c:y val="1.812273465816768E-4"/>
        </c:manualLayout>
      </c:layout>
      <c:overlay val="1"/>
    </c:title>
    <c:autoTitleDeleted val="0"/>
    <c:plotArea>
      <c:layout>
        <c:manualLayout>
          <c:xMode val="edge"/>
          <c:yMode val="edge"/>
          <c:x val="5.2697829665795407E-2"/>
          <c:y val="0.1242798353909465"/>
          <c:w val="0.94730217033420461"/>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Data_H'!$MM$6:$MR$6</c:f>
              <c:strCache>
                <c:ptCount val="1"/>
                <c:pt idx="0">
                  <c:v>CY2021</c:v>
                </c:pt>
              </c:strCache>
            </c:strRef>
          </c:cat>
          <c:val>
            <c:numRef>
              <c:f>'Peer Data_H'!$MM$30:$MR$30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Data_H'!$MM$6:$MR$6</c:f>
              <c:strCache>
                <c:ptCount val="1"/>
                <c:pt idx="0">
                  <c:v>CY2021</c:v>
                </c:pt>
              </c:strCache>
            </c:strRef>
          </c:cat>
          <c:val>
            <c:numRef>
              <c:f>'Peer Data_H'!$MM$31:$MR$31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Data_H'!$MM$6:$MR$6</c:f>
              <c:strCache>
                <c:ptCount val="1"/>
                <c:pt idx="0">
                  <c:v>CY2021</c:v>
                </c:pt>
              </c:strCache>
            </c:strRef>
          </c:cat>
          <c:val>
            <c:numRef>
              <c:f>'Peer Data_H'!$MM$32:$MR$32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269120"/>
        <c:axId val="891507776"/>
      </c:lineChart>
      <c:catAx>
        <c:axId val="891269120"/>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1507776"/>
        <c:crosses val="autoZero"/>
        <c:auto val="1"/>
        <c:lblAlgn val="ctr"/>
        <c:lblOffset val="100"/>
        <c:noMultiLvlLbl val="0"/>
      </c:catAx>
      <c:valAx>
        <c:axId val="891507776"/>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269120"/>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Allowance for Loan Loss %</a:t>
            </a:r>
          </a:p>
        </c:rich>
      </c:tx>
      <c:layout>
        <c:manualLayout>
          <c:xMode val="edge"/>
          <c:yMode val="edge"/>
          <c:x val="2.1347853980185809E-3"/>
          <c:y val="1.812273465816768E-4"/>
        </c:manualLayout>
      </c:layout>
      <c:overlay val="1"/>
    </c:title>
    <c:autoTitleDeleted val="0"/>
    <c:plotArea>
      <c:layout>
        <c:manualLayout>
          <c:xMode val="edge"/>
          <c:yMode val="edge"/>
          <c:x val="5.2697829665795407E-2"/>
          <c:y val="0.1242798353909465"/>
          <c:w val="0.94730217033420461"/>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Data_H'!$NG$6:$NL$6</c:f>
              <c:strCache>
                <c:ptCount val="1"/>
                <c:pt idx="0">
                  <c:v>CY2021</c:v>
                </c:pt>
              </c:strCache>
            </c:strRef>
          </c:cat>
          <c:val>
            <c:numRef>
              <c:f>'Peer Data_H'!$NG$30:$NL$30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Data_H'!$NG$6:$NL$6</c:f>
              <c:strCache>
                <c:ptCount val="1"/>
                <c:pt idx="0">
                  <c:v>CY2021</c:v>
                </c:pt>
              </c:strCache>
            </c:strRef>
          </c:cat>
          <c:val>
            <c:numRef>
              <c:f>'Peer Data_H'!$NG$31:$NL$31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Data_H'!$NG$6:$NL$6</c:f>
              <c:strCache>
                <c:ptCount val="1"/>
                <c:pt idx="0">
                  <c:v>CY2021</c:v>
                </c:pt>
              </c:strCache>
            </c:strRef>
          </c:cat>
          <c:val>
            <c:numRef>
              <c:f>'Peer Data_H'!$NG$32:$NL$32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271168"/>
        <c:axId val="891510080"/>
      </c:lineChart>
      <c:catAx>
        <c:axId val="89127116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1510080"/>
        <c:crosses val="autoZero"/>
        <c:auto val="1"/>
        <c:lblAlgn val="ctr"/>
        <c:lblOffset val="100"/>
        <c:noMultiLvlLbl val="0"/>
      </c:catAx>
      <c:valAx>
        <c:axId val="89151008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271168"/>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Total Loans to Total Deposits</a:t>
            </a:r>
          </a:p>
        </c:rich>
      </c:tx>
      <c:layout>
        <c:manualLayout>
          <c:xMode val="edge"/>
          <c:yMode val="edge"/>
          <c:x val="2.1347853980185809E-3"/>
          <c:y val="1.812273465816768E-4"/>
        </c:manualLayout>
      </c:layout>
      <c:overlay val="1"/>
    </c:title>
    <c:autoTitleDeleted val="0"/>
    <c:plotArea>
      <c:layout>
        <c:manualLayout>
          <c:xMode val="edge"/>
          <c:yMode val="edge"/>
          <c:x val="5.2697842792224336E-2"/>
          <c:y val="0.1242798353909465"/>
          <c:w val="0.94730215720777566"/>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Data_H'!$OA$6:$OF$6</c:f>
              <c:strCache>
                <c:ptCount val="1"/>
                <c:pt idx="0">
                  <c:v>CY2021</c:v>
                </c:pt>
              </c:strCache>
            </c:strRef>
          </c:cat>
          <c:val>
            <c:numRef>
              <c:f>'Peer Data_H'!$OA$30:$OF$30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Data_H'!$OA$6:$OF$6</c:f>
              <c:strCache>
                <c:ptCount val="1"/>
                <c:pt idx="0">
                  <c:v>CY2021</c:v>
                </c:pt>
              </c:strCache>
            </c:strRef>
          </c:cat>
          <c:val>
            <c:numRef>
              <c:f>'Peer Data_H'!$OA$31:$OF$31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Data_H'!$OA$6:$OF$6</c:f>
              <c:strCache>
                <c:ptCount val="1"/>
                <c:pt idx="0">
                  <c:v>CY2021</c:v>
                </c:pt>
              </c:strCache>
            </c:strRef>
          </c:cat>
          <c:val>
            <c:numRef>
              <c:f>'Peer Data_H'!$OA$32:$OF$32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655168"/>
        <c:axId val="890799808"/>
      </c:lineChart>
      <c:catAx>
        <c:axId val="891655168"/>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799808"/>
        <c:crosses val="autoZero"/>
        <c:auto val="1"/>
        <c:lblAlgn val="ctr"/>
        <c:lblOffset val="100"/>
        <c:noMultiLvlLbl val="0"/>
      </c:catAx>
      <c:valAx>
        <c:axId val="890799808"/>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655168"/>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40757461750689E-2"/>
          <c:y val="0.92088527996500436"/>
          <c:w val="0.98432405317281157"/>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Total Deposits to Total Assets</a:t>
            </a:r>
          </a:p>
        </c:rich>
      </c:tx>
      <c:layout>
        <c:manualLayout>
          <c:xMode val="edge"/>
          <c:yMode val="edge"/>
          <c:x val="2.1347853980185809E-3"/>
          <c:y val="1.812273465816768E-4"/>
        </c:manualLayout>
      </c:layout>
      <c:overlay val="1"/>
    </c:title>
    <c:autoTitleDeleted val="0"/>
    <c:plotArea>
      <c:layout>
        <c:manualLayout>
          <c:xMode val="edge"/>
          <c:yMode val="edge"/>
          <c:x val="6.2907251611932599E-2"/>
          <c:y val="0.1242798353909465"/>
          <c:w val="0.93709274838806744"/>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Data_H'!$SQ$6:$SV$6</c:f>
              <c:strCache>
                <c:ptCount val="1"/>
                <c:pt idx="0">
                  <c:v>CY2021</c:v>
                </c:pt>
              </c:strCache>
            </c:strRef>
          </c:cat>
          <c:val>
            <c:numRef>
              <c:f>'Peer Data_H'!$SQ$30:$SV$30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Data_H'!$SQ$6:$SV$6</c:f>
              <c:strCache>
                <c:ptCount val="1"/>
                <c:pt idx="0">
                  <c:v>CY2021</c:v>
                </c:pt>
              </c:strCache>
            </c:strRef>
          </c:cat>
          <c:val>
            <c:numRef>
              <c:f>'Peer Data_H'!$SQ$31:$SV$31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Data_H'!$SQ$6:$SV$6</c:f>
              <c:strCache>
                <c:ptCount val="1"/>
                <c:pt idx="0">
                  <c:v>CY2021</c:v>
                </c:pt>
              </c:strCache>
            </c:strRef>
          </c:cat>
          <c:val>
            <c:numRef>
              <c:f>'Peer Data_H'!$SQ$32:$SV$32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1657216"/>
        <c:axId val="890802112"/>
      </c:lineChart>
      <c:catAx>
        <c:axId val="891657216"/>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802112"/>
        <c:crosses val="autoZero"/>
        <c:auto val="1"/>
        <c:lblAlgn val="ctr"/>
        <c:lblOffset val="100"/>
        <c:noMultiLvlLbl val="0"/>
      </c:catAx>
      <c:valAx>
        <c:axId val="89080211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1657216"/>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a:defRPr sz="1000" b="1">
                <a:solidFill>
                  <a:srgbClr val="767171"/>
                </a:solidFill>
              </a:defRPr>
            </a:pPr>
            <a:r>
              <a:rPr lang="en-US" sz="1000" b="1">
                <a:solidFill>
                  <a:srgbClr val="767171"/>
                </a:solidFill>
              </a:rPr>
              <a:t>Tier 2 Capital Ratio</a:t>
            </a:r>
          </a:p>
        </c:rich>
      </c:tx>
      <c:layout>
        <c:manualLayout>
          <c:xMode val="edge"/>
          <c:yMode val="edge"/>
          <c:x val="2.1347853980185809E-3"/>
          <c:y val="1.812273465816768E-4"/>
        </c:manualLayout>
      </c:layout>
      <c:overlay val="1"/>
    </c:title>
    <c:autoTitleDeleted val="0"/>
    <c:plotArea>
      <c:layout>
        <c:manualLayout>
          <c:xMode val="edge"/>
          <c:yMode val="edge"/>
          <c:x val="5.2697829665795407E-2"/>
          <c:y val="0.1242798353909465"/>
          <c:w val="0.94730217033420461"/>
          <c:h val="0.75446720780272836"/>
        </c:manualLayout>
      </c:layout>
      <c:lineChart>
        <c:grouping val="standard"/>
        <c:varyColors val="0"/>
        <c:ser>
          <c:idx val="1"/>
          <c:order val="0"/>
          <c:tx>
            <c:strRef>
              <c:f>'Peer Data_H'!$C$7</c:f>
              <c:strCache>
                <c:ptCount val="1"/>
                <c:pt idx="0">
                  <c:v>Walmart</c:v>
                </c:pt>
              </c:strCache>
            </c:strRef>
          </c:tx>
          <c:spPr>
            <a:ln w="22225">
              <a:solidFill>
                <a:srgbClr val="5E8AB4">
                  <a:lumMod val="50000"/>
                </a:srgbClr>
              </a:solidFill>
            </a:ln>
          </c:spPr>
          <c:marker>
            <c:symbol val="square"/>
            <c:size val="4"/>
            <c:spPr>
              <a:solidFill>
                <a:srgbClr val="5E8AB4">
                  <a:lumMod val="50000"/>
                </a:srgbClr>
              </a:solidFill>
              <a:ln>
                <a:noFill/>
              </a:ln>
            </c:spPr>
          </c:marker>
          <c:cat>
            <c:strRef>
              <c:f>'Peer Data_H'!$DG$6:$DL$6</c:f>
              <c:strCache>
                <c:ptCount val="1"/>
                <c:pt idx="0">
                  <c:v>CY2021</c:v>
                </c:pt>
              </c:strCache>
            </c:strRef>
          </c:cat>
          <c:val>
            <c:numRef>
              <c:f>'Peer Data_H'!$UE$30:$UJ$30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94AF-4F59-A238-91A8AD986BDC}"/>
            </c:ext>
          </c:extLst>
        </c:ser>
        <c:ser>
          <c:idx val="2"/>
          <c:order val="1"/>
          <c:tx>
            <c:strRef>
              <c:f>'Peer Data_H'!$A$31</c:f>
              <c:strCache>
                <c:ptCount val="1"/>
                <c:pt idx="0">
                  <c:v>Peer Group Median</c:v>
                </c:pt>
              </c:strCache>
            </c:strRef>
          </c:tx>
          <c:spPr>
            <a:ln w="22225">
              <a:solidFill>
                <a:srgbClr val="5E8AB4">
                  <a:lumMod val="75000"/>
                </a:srgbClr>
              </a:solidFill>
            </a:ln>
          </c:spPr>
          <c:marker>
            <c:symbol val="circle"/>
            <c:size val="4"/>
            <c:spPr>
              <a:solidFill>
                <a:srgbClr val="5E8AB4">
                  <a:lumMod val="75000"/>
                </a:srgbClr>
              </a:solidFill>
              <a:ln>
                <a:noFill/>
              </a:ln>
            </c:spPr>
          </c:marker>
          <c:cat>
            <c:strRef>
              <c:f>'Peer Data_H'!$DG$6:$DL$6</c:f>
              <c:strCache>
                <c:ptCount val="1"/>
                <c:pt idx="0">
                  <c:v>CY2021</c:v>
                </c:pt>
              </c:strCache>
            </c:strRef>
          </c:cat>
          <c:val>
            <c:numRef>
              <c:f>'Peer Data_H'!$UE$31:$UJ$31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94AF-4F59-A238-91A8AD986BDC}"/>
            </c:ext>
          </c:extLst>
        </c:ser>
        <c:ser>
          <c:idx val="3"/>
          <c:order val="2"/>
          <c:tx>
            <c:strRef>
              <c:f>'Peer Data_H'!$A$32</c:f>
              <c:strCache>
                <c:ptCount val="1"/>
                <c:pt idx="0">
                  <c:v>Best In Class</c:v>
                </c:pt>
              </c:strCache>
            </c:strRef>
          </c:tx>
          <c:spPr>
            <a:ln w="22225">
              <a:solidFill>
                <a:srgbClr val="5E8AB4"/>
              </a:solidFill>
              <a:prstDash val="solid"/>
            </a:ln>
          </c:spPr>
          <c:marker>
            <c:symbol val="triangle"/>
            <c:size val="4"/>
            <c:spPr>
              <a:solidFill>
                <a:srgbClr val="5E8AB4"/>
              </a:solidFill>
              <a:ln>
                <a:noFill/>
              </a:ln>
            </c:spPr>
          </c:marker>
          <c:cat>
            <c:strRef>
              <c:f>'Peer Data_H'!$DG$6:$DL$6</c:f>
              <c:strCache>
                <c:ptCount val="1"/>
                <c:pt idx="0">
                  <c:v>CY2021</c:v>
                </c:pt>
              </c:strCache>
            </c:strRef>
          </c:cat>
          <c:val>
            <c:numRef>
              <c:f>'Peer Data_H'!$UE$32:$UJ$32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4AF-4F59-A238-91A8AD986BDC}"/>
            </c:ext>
          </c:extLst>
        </c:ser>
        <c:dLbls>
          <c:showLegendKey val="0"/>
          <c:showVal val="0"/>
          <c:showCatName val="0"/>
          <c:showSerName val="0"/>
          <c:showPercent val="0"/>
          <c:showBubbleSize val="0"/>
        </c:dLbls>
        <c:marker val="1"/>
        <c:smooth val="0"/>
        <c:axId val="892248064"/>
        <c:axId val="890804992"/>
      </c:lineChart>
      <c:catAx>
        <c:axId val="892248064"/>
        <c:scaling>
          <c:orientation val="minMax"/>
        </c:scaling>
        <c:delete val="0"/>
        <c:axPos val="b"/>
        <c:majorGridlines>
          <c:spPr>
            <a:ln>
              <a:solidFill>
                <a:schemeClr val="bg1">
                  <a:lumMod val="85000"/>
                </a:schemeClr>
              </a:solidFill>
            </a:ln>
          </c:spPr>
        </c:majorGridlines>
        <c:numFmt formatCode="General" sourceLinked="0"/>
        <c:majorTickMark val="out"/>
        <c:minorTickMark val="none"/>
        <c:tickLblPos val="low"/>
        <c:spPr>
          <a:ln>
            <a:solidFill>
              <a:sysClr val="window" lastClr="FFFFFF">
                <a:lumMod val="50000"/>
              </a:sysClr>
            </a:solidFill>
          </a:ln>
        </c:spPr>
        <c:txPr>
          <a:bodyPr rot="-2700000" vert="horz"/>
          <a:lstStyle/>
          <a:p>
            <a:pPr algn="ctr">
              <a:defRPr lang="en-IN" sz="900" b="0" i="0" u="none" strike="noStrike" kern="1200" baseline="0">
                <a:solidFill>
                  <a:srgbClr val="767171"/>
                </a:solidFill>
                <a:latin typeface="Arial" panose="020B0604020202020204" pitchFamily="34" charset="0"/>
                <a:ea typeface="+mn-ea"/>
                <a:cs typeface="Arial" panose="020B0604020202020204" pitchFamily="34" charset="0"/>
              </a:defRPr>
            </a:pPr>
            <a:endParaRPr lang="en-US"/>
          </a:p>
        </c:txPr>
        <c:crossAx val="890804992"/>
        <c:crosses val="autoZero"/>
        <c:auto val="1"/>
        <c:lblAlgn val="ctr"/>
        <c:lblOffset val="100"/>
        <c:noMultiLvlLbl val="0"/>
      </c:catAx>
      <c:valAx>
        <c:axId val="890804992"/>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a:lstStyle/>
          <a:p>
            <a:pPr>
              <a:defRPr>
                <a:solidFill>
                  <a:srgbClr val="767171"/>
                </a:solidFill>
              </a:defRPr>
            </a:pPr>
            <a:endParaRPr lang="en-US"/>
          </a:p>
        </c:txPr>
        <c:crossAx val="892248064"/>
        <c:crosses val="autoZero"/>
        <c:crossBetween val="midCat"/>
        <c:minorUnit val="1.0000000000000002E-2"/>
      </c:valAx>
      <c:spPr>
        <a:gradFill>
          <a:gsLst>
            <a:gs pos="0">
              <a:schemeClr val="bg1">
                <a:lumMod val="95000"/>
              </a:schemeClr>
            </a:gs>
            <a:gs pos="50000">
              <a:schemeClr val="bg1"/>
            </a:gs>
          </a:gsLst>
          <a:lin ang="16200000" scaled="0"/>
        </a:gradFill>
        <a:ln>
          <a:solidFill>
            <a:schemeClr val="bg1">
              <a:lumMod val="85000"/>
            </a:schemeClr>
          </a:solidFill>
        </a:ln>
      </c:spPr>
    </c:plotArea>
    <c:legend>
      <c:legendPos val="b"/>
      <c:layout>
        <c:manualLayout>
          <c:xMode val="edge"/>
          <c:yMode val="edge"/>
          <c:x val="1.2570315200653657E-2"/>
          <c:y val="0.92088527996500436"/>
          <c:w val="0.9842871059991829"/>
          <c:h val="7.9114720034995631E-2"/>
        </c:manualLayout>
      </c:layout>
      <c:overlay val="0"/>
      <c:txPr>
        <a:bodyPr/>
        <a:lstStyle/>
        <a:p>
          <a:pPr>
            <a:defRPr>
              <a:solidFill>
                <a:srgbClr val="767171"/>
              </a:solidFill>
            </a:defRPr>
          </a:pPr>
          <a:endParaRPr lang="en-US"/>
        </a:p>
      </c:txPr>
    </c:legend>
    <c:plotVisOnly val="1"/>
    <c:dispBlanksAs val="gap"/>
    <c:showDLblsOverMax val="0"/>
  </c:chart>
  <c:txPr>
    <a:bodyPr/>
    <a:lstStyle/>
    <a:p>
      <a:pPr>
        <a:defRPr sz="9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Export (N)'!$F$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Drop" dropStyle="combo" dx="16" fmlaLink="Input!$T$5" fmlaRange="$U$6:$U$8" noThreeD="1" sel="1" val="0"/>
</file>

<file path=xl/ctrlProps/ctrlProp6.xml><?xml version="1.0" encoding="utf-8"?>
<formControlPr xmlns="http://schemas.microsoft.com/office/spreadsheetml/2009/9/main" objectType="Drop" dropStyle="combo" dx="16" fmlaLink="$AB$8" fmlaRange="$AB$5:$AB$6" noThreeD="1" sel="2" val="0"/>
</file>

<file path=xl/ctrlProps/ctrlProp7.xml><?xml version="1.0" encoding="utf-8"?>
<formControlPr xmlns="http://schemas.microsoft.com/office/spreadsheetml/2009/9/main" objectType="Drop" dropStyle="combo" dx="16" fmlaLink="$AB$8" fmlaRange="$AB$5:$AB$6" noThreeD="1" sel="2" val="0"/>
</file>

<file path=xl/ctrlProps/ctrlProp8.xml><?xml version="1.0" encoding="utf-8"?>
<formControlPr xmlns="http://schemas.microsoft.com/office/spreadsheetml/2009/9/main" objectType="Drop" dropStyle="combo" dx="16" fmlaLink="$AB$8" fmlaRange="$AB$5:$AB$6" noThreeD="1" sel="2" val="0"/>
</file>

<file path=xl/ctrlProps/ctrlProp9.xml><?xml version="1.0" encoding="utf-8"?>
<formControlPr xmlns="http://schemas.microsoft.com/office/spreadsheetml/2009/9/main" objectType="Drop" dropStyle="combo" dx="16" fmlaLink="$AB$8" fmlaRange="$AB$5:$AB$6" noThreeD="1" sel="2" val="0"/>
</file>

<file path=xl/ctrlProps/ctrlProp10.xml><?xml version="1.0" encoding="utf-8"?>
<formControlPr xmlns="http://schemas.microsoft.com/office/spreadsheetml/2009/9/main" objectType="Drop" dropStyle="combo" dx="16" fmlaLink="$AB$8" fmlaRange="$AB$5:$AB$6" noThreeD="1" sel="2" val="0"/>
</file>

<file path=xl/ctrlProps/ctrlProp11.xml><?xml version="1.0" encoding="utf-8"?>
<formControlPr xmlns="http://schemas.microsoft.com/office/spreadsheetml/2009/9/main" objectType="Drop" dropStyle="combo" dx="16" fmlaLink="$AI$3" fmlaRange="$AJ$3:$AJ$4" noThreeD="1" sel="1" val="0"/>
</file>

<file path=xl/ctrlProps/ctrlProp12.xml><?xml version="1.0" encoding="utf-8"?>
<formControlPr xmlns="http://schemas.microsoft.com/office/spreadsheetml/2009/9/main" objectType="Drop" dropStyle="combo" dx="16" fmlaLink="$AI$3" fmlaRange="$AJ$3:$AJ$4" noThreeD="1" sel="1" val="0"/>
</file>

<file path=xl/ctrlProps/ctrlProp13.xml><?xml version="1.0" encoding="utf-8"?>
<formControlPr xmlns="http://schemas.microsoft.com/office/spreadsheetml/2009/9/main" objectType="Drop" dropStyle="combo" dx="16" fmlaLink="$U$31" fmlaRange="$U$34:$U$35" noThreeD="1" sel="1" val="0"/>
</file>

<file path=xl/ctrlProps/ctrlProp14.xml><?xml version="1.0" encoding="utf-8"?>
<formControlPr xmlns="http://schemas.microsoft.com/office/spreadsheetml/2009/9/main" objectType="Drop" dropStyle="combo" dx="16" fmlaLink="$U$31" fmlaRange="$U$34:$U$35"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18" Type="http://schemas.openxmlformats.org/officeDocument/2006/relationships/chart" Target="../charts/chart28.xml"/><Relationship Id="rId3" Type="http://schemas.openxmlformats.org/officeDocument/2006/relationships/chart" Target="../charts/chart13.xml"/><Relationship Id="rId21" Type="http://schemas.openxmlformats.org/officeDocument/2006/relationships/chart" Target="../charts/chart31.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7.xml"/><Relationship Id="rId25" Type="http://schemas.openxmlformats.org/officeDocument/2006/relationships/chart" Target="../charts/chart35.xml"/><Relationship Id="rId2" Type="http://schemas.openxmlformats.org/officeDocument/2006/relationships/chart" Target="../charts/chart12.xml"/><Relationship Id="rId16" Type="http://schemas.openxmlformats.org/officeDocument/2006/relationships/chart" Target="../charts/chart26.xml"/><Relationship Id="rId20" Type="http://schemas.openxmlformats.org/officeDocument/2006/relationships/chart" Target="../charts/chart30.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chart" Target="../charts/chart34.xml"/><Relationship Id="rId5" Type="http://schemas.openxmlformats.org/officeDocument/2006/relationships/chart" Target="../charts/chart15.xml"/><Relationship Id="rId15" Type="http://schemas.openxmlformats.org/officeDocument/2006/relationships/chart" Target="../charts/chart25.xml"/><Relationship Id="rId23" Type="http://schemas.openxmlformats.org/officeDocument/2006/relationships/chart" Target="../charts/chart33.xml"/><Relationship Id="rId10" Type="http://schemas.openxmlformats.org/officeDocument/2006/relationships/chart" Target="../charts/chart20.xml"/><Relationship Id="rId19" Type="http://schemas.openxmlformats.org/officeDocument/2006/relationships/chart" Target="../charts/chart29.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 Id="rId22" Type="http://schemas.openxmlformats.org/officeDocument/2006/relationships/chart" Target="../charts/chart3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43.xml"/><Relationship Id="rId13" Type="http://schemas.openxmlformats.org/officeDocument/2006/relationships/chart" Target="../charts/chart48.xml"/><Relationship Id="rId18" Type="http://schemas.openxmlformats.org/officeDocument/2006/relationships/chart" Target="../charts/chart53.xml"/><Relationship Id="rId3" Type="http://schemas.openxmlformats.org/officeDocument/2006/relationships/chart" Target="../charts/chart38.xml"/><Relationship Id="rId21" Type="http://schemas.openxmlformats.org/officeDocument/2006/relationships/chart" Target="../charts/chart56.xml"/><Relationship Id="rId7" Type="http://schemas.openxmlformats.org/officeDocument/2006/relationships/chart" Target="../charts/chart42.xml"/><Relationship Id="rId12" Type="http://schemas.openxmlformats.org/officeDocument/2006/relationships/chart" Target="../charts/chart47.xml"/><Relationship Id="rId17" Type="http://schemas.openxmlformats.org/officeDocument/2006/relationships/chart" Target="../charts/chart52.xml"/><Relationship Id="rId2" Type="http://schemas.openxmlformats.org/officeDocument/2006/relationships/chart" Target="../charts/chart37.xml"/><Relationship Id="rId16" Type="http://schemas.openxmlformats.org/officeDocument/2006/relationships/chart" Target="../charts/chart51.xml"/><Relationship Id="rId20" Type="http://schemas.openxmlformats.org/officeDocument/2006/relationships/chart" Target="../charts/chart55.xml"/><Relationship Id="rId1" Type="http://schemas.openxmlformats.org/officeDocument/2006/relationships/chart" Target="../charts/chart36.xml"/><Relationship Id="rId6" Type="http://schemas.openxmlformats.org/officeDocument/2006/relationships/chart" Target="../charts/chart41.xml"/><Relationship Id="rId11" Type="http://schemas.openxmlformats.org/officeDocument/2006/relationships/chart" Target="../charts/chart46.xml"/><Relationship Id="rId5" Type="http://schemas.openxmlformats.org/officeDocument/2006/relationships/chart" Target="../charts/chart40.xml"/><Relationship Id="rId15" Type="http://schemas.openxmlformats.org/officeDocument/2006/relationships/chart" Target="../charts/chart50.xml"/><Relationship Id="rId10" Type="http://schemas.openxmlformats.org/officeDocument/2006/relationships/chart" Target="../charts/chart45.xml"/><Relationship Id="rId19" Type="http://schemas.openxmlformats.org/officeDocument/2006/relationships/chart" Target="../charts/chart54.xml"/><Relationship Id="rId4" Type="http://schemas.openxmlformats.org/officeDocument/2006/relationships/chart" Target="../charts/chart39.xml"/><Relationship Id="rId9" Type="http://schemas.openxmlformats.org/officeDocument/2006/relationships/chart" Target="../charts/chart44.xml"/><Relationship Id="rId14" Type="http://schemas.openxmlformats.org/officeDocument/2006/relationships/chart" Target="../charts/chart49.xml"/><Relationship Id="rId22" Type="http://schemas.openxmlformats.org/officeDocument/2006/relationships/chart" Target="../charts/chart57.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chart" Target="../charts/chart69.xml"/><Relationship Id="rId5" Type="http://schemas.openxmlformats.org/officeDocument/2006/relationships/chart" Target="../charts/chart68.xml"/><Relationship Id="rId4" Type="http://schemas.openxmlformats.org/officeDocument/2006/relationships/chart" Target="../charts/chart6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s>
</file>

<file path=xl/drawings/_rels/drawing24.xml.rels><?xml version="1.0" encoding="UTF-8" standalone="yes"?>
<Relationships xmlns="http://schemas.openxmlformats.org/package/2006/relationships"><Relationship Id="rId8" Type="http://schemas.openxmlformats.org/officeDocument/2006/relationships/chart" Target="../charts/chart81.xml"/><Relationship Id="rId13" Type="http://schemas.openxmlformats.org/officeDocument/2006/relationships/chart" Target="../charts/chart86.xml"/><Relationship Id="rId18" Type="http://schemas.openxmlformats.org/officeDocument/2006/relationships/chart" Target="../charts/chart91.xml"/><Relationship Id="rId26" Type="http://schemas.openxmlformats.org/officeDocument/2006/relationships/chart" Target="../charts/chart99.xml"/><Relationship Id="rId3" Type="http://schemas.openxmlformats.org/officeDocument/2006/relationships/chart" Target="../charts/chart76.xml"/><Relationship Id="rId21" Type="http://schemas.openxmlformats.org/officeDocument/2006/relationships/chart" Target="../charts/chart94.xml"/><Relationship Id="rId7" Type="http://schemas.openxmlformats.org/officeDocument/2006/relationships/chart" Target="../charts/chart80.xml"/><Relationship Id="rId12" Type="http://schemas.openxmlformats.org/officeDocument/2006/relationships/chart" Target="../charts/chart85.xml"/><Relationship Id="rId17" Type="http://schemas.openxmlformats.org/officeDocument/2006/relationships/chart" Target="../charts/chart90.xml"/><Relationship Id="rId25" Type="http://schemas.openxmlformats.org/officeDocument/2006/relationships/chart" Target="../charts/chart98.xml"/><Relationship Id="rId2" Type="http://schemas.openxmlformats.org/officeDocument/2006/relationships/chart" Target="../charts/chart75.xml"/><Relationship Id="rId16" Type="http://schemas.openxmlformats.org/officeDocument/2006/relationships/chart" Target="../charts/chart89.xml"/><Relationship Id="rId20" Type="http://schemas.openxmlformats.org/officeDocument/2006/relationships/chart" Target="../charts/chart93.xml"/><Relationship Id="rId29" Type="http://schemas.openxmlformats.org/officeDocument/2006/relationships/chart" Target="../charts/chart102.xml"/><Relationship Id="rId1" Type="http://schemas.openxmlformats.org/officeDocument/2006/relationships/chart" Target="../charts/chart74.xml"/><Relationship Id="rId6" Type="http://schemas.openxmlformats.org/officeDocument/2006/relationships/chart" Target="../charts/chart79.xml"/><Relationship Id="rId11" Type="http://schemas.openxmlformats.org/officeDocument/2006/relationships/chart" Target="../charts/chart84.xml"/><Relationship Id="rId24" Type="http://schemas.openxmlformats.org/officeDocument/2006/relationships/chart" Target="../charts/chart97.xml"/><Relationship Id="rId5" Type="http://schemas.openxmlformats.org/officeDocument/2006/relationships/chart" Target="../charts/chart78.xml"/><Relationship Id="rId15" Type="http://schemas.openxmlformats.org/officeDocument/2006/relationships/chart" Target="../charts/chart88.xml"/><Relationship Id="rId23" Type="http://schemas.openxmlformats.org/officeDocument/2006/relationships/chart" Target="../charts/chart96.xml"/><Relationship Id="rId28" Type="http://schemas.openxmlformats.org/officeDocument/2006/relationships/chart" Target="../charts/chart101.xml"/><Relationship Id="rId10" Type="http://schemas.openxmlformats.org/officeDocument/2006/relationships/chart" Target="../charts/chart83.xml"/><Relationship Id="rId19" Type="http://schemas.openxmlformats.org/officeDocument/2006/relationships/chart" Target="../charts/chart92.xml"/><Relationship Id="rId4" Type="http://schemas.openxmlformats.org/officeDocument/2006/relationships/chart" Target="../charts/chart77.xml"/><Relationship Id="rId9" Type="http://schemas.openxmlformats.org/officeDocument/2006/relationships/chart" Target="../charts/chart82.xml"/><Relationship Id="rId14" Type="http://schemas.openxmlformats.org/officeDocument/2006/relationships/chart" Target="../charts/chart87.xml"/><Relationship Id="rId22" Type="http://schemas.openxmlformats.org/officeDocument/2006/relationships/chart" Target="../charts/chart95.xml"/><Relationship Id="rId27" Type="http://schemas.openxmlformats.org/officeDocument/2006/relationships/chart" Target="../charts/chart100.xml"/><Relationship Id="rId30" Type="http://schemas.openxmlformats.org/officeDocument/2006/relationships/chart" Target="../charts/chart103.xml"/></Relationships>
</file>

<file path=xl/drawings/_rels/drawing25.xml.rels><?xml version="1.0" encoding="UTF-8" standalone="yes"?>
<Relationships xmlns="http://schemas.openxmlformats.org/package/2006/relationships"><Relationship Id="rId8" Type="http://schemas.openxmlformats.org/officeDocument/2006/relationships/chart" Target="../charts/chart111.xml"/><Relationship Id="rId13" Type="http://schemas.openxmlformats.org/officeDocument/2006/relationships/chart" Target="../charts/chart116.xml"/><Relationship Id="rId3" Type="http://schemas.openxmlformats.org/officeDocument/2006/relationships/chart" Target="../charts/chart106.xml"/><Relationship Id="rId7" Type="http://schemas.openxmlformats.org/officeDocument/2006/relationships/chart" Target="../charts/chart110.xml"/><Relationship Id="rId12" Type="http://schemas.openxmlformats.org/officeDocument/2006/relationships/chart" Target="../charts/chart115.xml"/><Relationship Id="rId2" Type="http://schemas.openxmlformats.org/officeDocument/2006/relationships/chart" Target="../charts/chart105.xml"/><Relationship Id="rId16" Type="http://schemas.openxmlformats.org/officeDocument/2006/relationships/chart" Target="../charts/chart119.xml"/><Relationship Id="rId1" Type="http://schemas.openxmlformats.org/officeDocument/2006/relationships/chart" Target="../charts/chart104.xml"/><Relationship Id="rId6" Type="http://schemas.openxmlformats.org/officeDocument/2006/relationships/chart" Target="../charts/chart109.xml"/><Relationship Id="rId11" Type="http://schemas.openxmlformats.org/officeDocument/2006/relationships/chart" Target="../charts/chart114.xml"/><Relationship Id="rId5" Type="http://schemas.openxmlformats.org/officeDocument/2006/relationships/chart" Target="../charts/chart108.xml"/><Relationship Id="rId15" Type="http://schemas.openxmlformats.org/officeDocument/2006/relationships/chart" Target="../charts/chart118.xml"/><Relationship Id="rId10" Type="http://schemas.openxmlformats.org/officeDocument/2006/relationships/chart" Target="../charts/chart113.xml"/><Relationship Id="rId4" Type="http://schemas.openxmlformats.org/officeDocument/2006/relationships/chart" Target="../charts/chart107.xml"/><Relationship Id="rId9" Type="http://schemas.openxmlformats.org/officeDocument/2006/relationships/chart" Target="../charts/chart112.xml"/><Relationship Id="rId14" Type="http://schemas.openxmlformats.org/officeDocument/2006/relationships/chart" Target="../charts/chart1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190500</xdr:colOff>
          <xdr:row>8</xdr:row>
          <xdr:rowOff>104775</xdr:rowOff>
        </xdr:from>
        <xdr:to>
          <xdr:col>14</xdr:col>
          <xdr:colOff>285750</xdr:colOff>
          <xdr:row>10</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11</xdr:row>
          <xdr:rowOff>114300</xdr:rowOff>
        </xdr:from>
        <xdr:to>
          <xdr:col>14</xdr:col>
          <xdr:colOff>295275</xdr:colOff>
          <xdr:row>13</xdr:row>
          <xdr:rowOff>133350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400-00005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PPT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3</xdr:row>
          <xdr:rowOff>142875</xdr:rowOff>
        </xdr:from>
        <xdr:to>
          <xdr:col>14</xdr:col>
          <xdr:colOff>114300</xdr:colOff>
          <xdr:row>4</xdr:row>
          <xdr:rowOff>180975</xdr:rowOff>
        </xdr:to>
        <xdr:sp macro="" textlink="">
          <xdr:nvSpPr>
            <xdr:cNvPr id="2133" name="AnalysisType" hidden="1">
              <a:extLst>
                <a:ext uri="{63B3BB69-23CF-44E3-9099-C40C66FF867C}">
                  <a14:compatExt spid="_x0000_s2133"/>
                </a:ext>
                <a:ext uri="{FF2B5EF4-FFF2-40B4-BE49-F238E27FC236}">
                  <a16:creationId xmlns:a16="http://schemas.microsoft.com/office/drawing/2014/main" id="{00000000-0008-0000-04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Company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4</xdr:row>
          <xdr:rowOff>152400</xdr:rowOff>
        </xdr:from>
        <xdr:to>
          <xdr:col>14</xdr:col>
          <xdr:colOff>104775</xdr:colOff>
          <xdr:row>6</xdr:row>
          <xdr:rowOff>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4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Company + Peer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95250</xdr:rowOff>
        </xdr:from>
        <xdr:to>
          <xdr:col>14</xdr:col>
          <xdr:colOff>619125</xdr:colOff>
          <xdr:row>7</xdr:row>
          <xdr:rowOff>104775</xdr:rowOff>
        </xdr:to>
        <xdr:sp macro="" textlink="">
          <xdr:nvSpPr>
            <xdr:cNvPr id="2138" name="Drop Down 90" hidden="1">
              <a:extLst>
                <a:ext uri="{63B3BB69-23CF-44E3-9099-C40C66FF867C}">
                  <a14:compatExt spid="_x0000_s2138"/>
                </a:ext>
                <a:ext uri="{FF2B5EF4-FFF2-40B4-BE49-F238E27FC236}">
                  <a16:creationId xmlns:a16="http://schemas.microsoft.com/office/drawing/2014/main" id="{00000000-0008-0000-0400-00005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3363</xdr:colOff>
      <xdr:row>26</xdr:row>
      <xdr:rowOff>133350</xdr:rowOff>
    </xdr:from>
    <xdr:ext cx="2387412" cy="1038225"/>
    <xdr:graphicFrame macro="">
      <xdr:nvGraphicFramePr>
        <xdr:cNvPr id="3" name="Chart 1">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editAs="oneCell">
    <xdr:from>
      <xdr:col>7</xdr:col>
      <xdr:colOff>523876</xdr:colOff>
      <xdr:row>30</xdr:row>
      <xdr:rowOff>41274</xdr:rowOff>
    </xdr:from>
    <xdr:to>
      <xdr:col>12</xdr:col>
      <xdr:colOff>234951</xdr:colOff>
      <xdr:row>37</xdr:row>
      <xdr:rowOff>168275</xdr:rowOff>
    </xdr:to>
    <xdr:graphicFrame macro="">
      <xdr:nvGraphicFramePr>
        <xdr:cNvPr id="5" name="Cht_Geo_Seg">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171444</xdr:colOff>
      <xdr:row>74</xdr:row>
      <xdr:rowOff>9525</xdr:rowOff>
    </xdr:from>
    <xdr:to>
      <xdr:col>7</xdr:col>
      <xdr:colOff>145536</xdr:colOff>
      <xdr:row>89</xdr:row>
      <xdr:rowOff>140970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600065</xdr:colOff>
      <xdr:row>74</xdr:row>
      <xdr:rowOff>0</xdr:rowOff>
    </xdr:from>
    <xdr:to>
      <xdr:col>16</xdr:col>
      <xdr:colOff>355082</xdr:colOff>
      <xdr:row>89</xdr:row>
      <xdr:rowOff>131445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171444</xdr:colOff>
      <xdr:row>91</xdr:row>
      <xdr:rowOff>0</xdr:rowOff>
    </xdr:from>
    <xdr:to>
      <xdr:col>7</xdr:col>
      <xdr:colOff>145536</xdr:colOff>
      <xdr:row>106</xdr:row>
      <xdr:rowOff>131445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600065</xdr:colOff>
      <xdr:row>91</xdr:row>
      <xdr:rowOff>0</xdr:rowOff>
    </xdr:from>
    <xdr:to>
      <xdr:col>16</xdr:col>
      <xdr:colOff>355082</xdr:colOff>
      <xdr:row>106</xdr:row>
      <xdr:rowOff>131445</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762000</xdr:colOff>
      <xdr:row>2</xdr:row>
      <xdr:rowOff>174625</xdr:rowOff>
    </xdr:from>
    <xdr:to>
      <xdr:col>5</xdr:col>
      <xdr:colOff>50800</xdr:colOff>
      <xdr:row>4</xdr:row>
      <xdr:rowOff>66675</xdr:rowOff>
    </xdr:to>
    <xdr:sp macro="" textlink="">
      <xdr:nvSpPr>
        <xdr:cNvPr id="6" name="hover" hidden="1">
          <a:extLst>
            <a:ext uri="{FF2B5EF4-FFF2-40B4-BE49-F238E27FC236}">
              <a16:creationId xmlns:a16="http://schemas.microsoft.com/office/drawing/2014/main" id="{00000000-0008-0000-0800-000006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0.64898</cdr:x>
      <cdr:y>0.04092</cdr:y>
    </cdr:from>
    <cdr:to>
      <cdr:x>0.95937</cdr:x>
      <cdr:y>0.13765</cdr:y>
    </cdr:to>
    <cdr:sp macro="" textlink="'Key Financials_H'!$U$70">
      <cdr:nvSpPr>
        <cdr:cNvPr id="2" name="TextBox 1"/>
        <cdr:cNvSpPr txBox="1"/>
      </cdr:nvSpPr>
      <cdr:spPr>
        <a:xfrm xmlns:a="http://schemas.openxmlformats.org/drawingml/2006/main">
          <a:off x="2628883" y="104769"/>
          <a:ext cx="1257325" cy="24766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1A2C7EC2-60C9-44DB-9DB0-E3476994E911}" type="TxLink">
            <a:rPr lang="en-US" sz="1000" b="0" i="0" u="none" strike="noStrike">
              <a:solidFill>
                <a:schemeClr val="tx1"/>
              </a:solidFill>
              <a:latin typeface="Arial"/>
              <a:cs typeface="Arial"/>
            </a:rPr>
            <a:pPr algn="r"/>
            <a:t>CAGR = NM</a:t>
          </a:fld>
          <a:endParaRPr lang="en-US" sz="1100">
            <a:solidFill>
              <a:schemeClr val="tx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0.64898</cdr:x>
      <cdr:y>0.0372</cdr:y>
    </cdr:from>
    <cdr:to>
      <cdr:x>0.95937</cdr:x>
      <cdr:y>0.13393</cdr:y>
    </cdr:to>
    <cdr:sp macro="" textlink="'Key Financials_H'!$U$71">
      <cdr:nvSpPr>
        <cdr:cNvPr id="2" name="TextBox 1"/>
        <cdr:cNvSpPr txBox="1"/>
      </cdr:nvSpPr>
      <cdr:spPr>
        <a:xfrm xmlns:a="http://schemas.openxmlformats.org/drawingml/2006/main">
          <a:off x="2628901" y="95251"/>
          <a:ext cx="1257300" cy="24765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F5391166-FBF9-46EF-A134-9F8B09C84E21}" type="TxLink">
            <a:rPr lang="en-US" sz="1000" b="0" i="0" u="none" strike="noStrike">
              <a:solidFill>
                <a:schemeClr val="tx1"/>
              </a:solidFill>
              <a:latin typeface="Arial"/>
              <a:cs typeface="Arial"/>
            </a:rPr>
            <a:pPr algn="r"/>
            <a:t>CAGR = NM</a:t>
          </a:fld>
          <a:endParaRPr lang="en-US" sz="1100">
            <a:solidFill>
              <a:schemeClr val="tx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0.64898</cdr:x>
      <cdr:y>0.0372</cdr:y>
    </cdr:from>
    <cdr:to>
      <cdr:x>0.95937</cdr:x>
      <cdr:y>0.13393</cdr:y>
    </cdr:to>
    <cdr:sp macro="" textlink="'Key Financials_H'!$U$72">
      <cdr:nvSpPr>
        <cdr:cNvPr id="2" name="TextBox 1"/>
        <cdr:cNvSpPr txBox="1"/>
      </cdr:nvSpPr>
      <cdr:spPr>
        <a:xfrm xmlns:a="http://schemas.openxmlformats.org/drawingml/2006/main">
          <a:off x="2628901" y="95251"/>
          <a:ext cx="1257300" cy="24765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F102AFD4-C45C-41E0-8E29-0B3AF5EE5541}" type="TxLink">
            <a:rPr lang="en-US" sz="1000" b="0" i="0" u="none" strike="noStrike">
              <a:solidFill>
                <a:schemeClr val="tx1"/>
              </a:solidFill>
              <a:latin typeface="Arial"/>
              <a:cs typeface="Arial"/>
            </a:rPr>
            <a:pPr algn="r"/>
            <a:t>CAGR = (1.8%)</a:t>
          </a:fld>
          <a:endParaRPr lang="en-US" sz="1100">
            <a:solidFill>
              <a:schemeClr val="tx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0.64898</cdr:x>
      <cdr:y>0.0372</cdr:y>
    </cdr:from>
    <cdr:to>
      <cdr:x>0.95937</cdr:x>
      <cdr:y>0.13393</cdr:y>
    </cdr:to>
    <cdr:sp macro="" textlink="'Key Financials_H'!$U$73">
      <cdr:nvSpPr>
        <cdr:cNvPr id="2" name="TextBox 1"/>
        <cdr:cNvSpPr txBox="1"/>
      </cdr:nvSpPr>
      <cdr:spPr>
        <a:xfrm xmlns:a="http://schemas.openxmlformats.org/drawingml/2006/main">
          <a:off x="2628901" y="95251"/>
          <a:ext cx="1257300" cy="24765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88C3B869-48CD-4849-88B9-426009300EBE}" type="TxLink">
            <a:rPr lang="en-US" sz="1000" b="0" i="0" u="none" strike="noStrike">
              <a:solidFill>
                <a:schemeClr val="tx1"/>
              </a:solidFill>
              <a:latin typeface="Arial"/>
              <a:cs typeface="Arial"/>
            </a:rPr>
            <a:pPr algn="r"/>
            <a:t>CAGR = 0.0%</a:t>
          </a:fld>
          <a:endParaRPr lang="en-US" sz="1100">
            <a:solidFill>
              <a:schemeClr val="tx1"/>
            </a:solidFill>
          </a:endParaRPr>
        </a:p>
      </cdr:txBody>
    </cdr:sp>
  </cdr:relSizeAnchor>
</c:userShapes>
</file>

<file path=xl/drawings/drawing8.xml><?xml version="1.0" encoding="utf-8"?>
<xdr:wsDr xmlns:xdr="http://schemas.openxmlformats.org/drawingml/2006/spreadsheetDrawing" xmlns:a="http://schemas.openxmlformats.org/drawingml/2006/main">
  <xdr:oneCellAnchor>
    <xdr:from>
      <xdr:col>1</xdr:col>
      <xdr:colOff>0</xdr:colOff>
      <xdr:row>76</xdr:row>
      <xdr:rowOff>0</xdr:rowOff>
    </xdr:from>
    <xdr:ext cx="4050792" cy="2560320"/>
    <xdr:graphicFrame macro="">
      <xdr:nvGraphicFramePr>
        <xdr:cNvPr id="2" name="GraphTotalDebtByEBITDA">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8</xdr:col>
      <xdr:colOff>378306</xdr:colOff>
      <xdr:row>76</xdr:row>
      <xdr:rowOff>3172</xdr:rowOff>
    </xdr:from>
    <xdr:to>
      <xdr:col>16</xdr:col>
      <xdr:colOff>904848</xdr:colOff>
      <xdr:row>91</xdr:row>
      <xdr:rowOff>134617</xdr:rowOff>
    </xdr:to>
    <xdr:graphicFrame macro="">
      <xdr:nvGraphicFramePr>
        <xdr:cNvPr id="3" name="GraphTotalCash">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368781</xdr:colOff>
      <xdr:row>94</xdr:row>
      <xdr:rowOff>19048</xdr:rowOff>
    </xdr:from>
    <xdr:to>
      <xdr:col>16</xdr:col>
      <xdr:colOff>895323</xdr:colOff>
      <xdr:row>109</xdr:row>
      <xdr:rowOff>150493</xdr:rowOff>
    </xdr:to>
    <xdr:graphicFrame macro="">
      <xdr:nvGraphicFramePr>
        <xdr:cNvPr id="5" name="GraphNetIncome">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3168</xdr:colOff>
      <xdr:row>94</xdr:row>
      <xdr:rowOff>19048</xdr:rowOff>
    </xdr:from>
    <xdr:to>
      <xdr:col>7</xdr:col>
      <xdr:colOff>424935</xdr:colOff>
      <xdr:row>109</xdr:row>
      <xdr:rowOff>150493</xdr:rowOff>
    </xdr:to>
    <xdr:graphicFrame macro="">
      <xdr:nvGraphicFramePr>
        <xdr:cNvPr id="4" name="GraphEBITDA">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0.65133</cdr:x>
      <cdr:y>0.03348</cdr:y>
    </cdr:from>
    <cdr:to>
      <cdr:x>0.96172</cdr:x>
      <cdr:y>0.13021</cdr:y>
    </cdr:to>
    <cdr:sp macro="" textlink="'Key Financials'!$B$78">
      <cdr:nvSpPr>
        <cdr:cNvPr id="2" name="TextBox 1"/>
        <cdr:cNvSpPr txBox="1"/>
      </cdr:nvSpPr>
      <cdr:spPr>
        <a:xfrm xmlns:a="http://schemas.openxmlformats.org/drawingml/2006/main">
          <a:off x="2638408" y="85719"/>
          <a:ext cx="1257325" cy="24766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C5F81EBD-B3A7-4547-8EB4-2369422496CF}" type="TxLink">
            <a:rPr lang="en-US" sz="1000" b="0" i="0" u="none" strike="noStrike">
              <a:solidFill>
                <a:schemeClr val="tx1"/>
              </a:solidFill>
              <a:latin typeface="Arial"/>
              <a:cs typeface="Arial"/>
            </a:rPr>
            <a:pPr algn="r"/>
            <a:t>CAGR = 0.7%</a:t>
          </a:fld>
          <a:endParaRPr lang="en-US" sz="1100">
            <a:solidFill>
              <a:schemeClr val="tx1"/>
            </a:solidFill>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0.64898</cdr:x>
      <cdr:y>0.0372</cdr:y>
    </cdr:from>
    <cdr:to>
      <cdr:x>0.95937</cdr:x>
      <cdr:y>0.13393</cdr:y>
    </cdr:to>
    <cdr:sp macro="" textlink="'Key Financials'!$B$79">
      <cdr:nvSpPr>
        <cdr:cNvPr id="2" name="TextBox 1"/>
        <cdr:cNvSpPr txBox="1"/>
      </cdr:nvSpPr>
      <cdr:spPr>
        <a:xfrm xmlns:a="http://schemas.openxmlformats.org/drawingml/2006/main">
          <a:off x="2628901" y="95251"/>
          <a:ext cx="1257300" cy="24765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96AD03C1-118E-4BED-A9CF-DEAFE66BD485}" type="TxLink">
            <a:rPr lang="en-US" sz="1000" b="0" i="0" u="none" strike="noStrike">
              <a:solidFill>
                <a:schemeClr val="tx1"/>
              </a:solidFill>
              <a:latin typeface="Arial"/>
              <a:cs typeface="Arial"/>
            </a:rPr>
            <a:pPr algn="r"/>
            <a:t>CAGR = 16.5%</a:t>
          </a:fld>
          <a:endParaRPr lang="en-US" sz="1100">
            <a:solidFill>
              <a:schemeClr val="tx1"/>
            </a:solidFill>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0.65603</cdr:x>
      <cdr:y>0.03348</cdr:y>
    </cdr:from>
    <cdr:to>
      <cdr:x>0.96642</cdr:x>
      <cdr:y>0.13021</cdr:y>
    </cdr:to>
    <cdr:sp macro="" textlink="'Key Financials'!$B$81">
      <cdr:nvSpPr>
        <cdr:cNvPr id="2" name="TextBox 1"/>
        <cdr:cNvSpPr txBox="1"/>
      </cdr:nvSpPr>
      <cdr:spPr>
        <a:xfrm xmlns:a="http://schemas.openxmlformats.org/drawingml/2006/main">
          <a:off x="2657458" y="85719"/>
          <a:ext cx="1257325" cy="24766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ADB21F75-BA1C-4E14-B2C3-3D07B6E901B4}" type="TxLink">
            <a:rPr lang="en-US" sz="1000" b="0" i="0" u="none" strike="noStrike">
              <a:solidFill>
                <a:schemeClr val="tx1"/>
              </a:solidFill>
              <a:latin typeface="Arial"/>
              <a:cs typeface="Arial"/>
            </a:rPr>
            <a:pPr algn="r"/>
            <a:t>CAGR = 0.0%</a:t>
          </a:fld>
          <a:endParaRPr lang="en-US" sz="1100">
            <a:solidFill>
              <a:schemeClr val="tx1"/>
            </a:solidFill>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0.64898</cdr:x>
      <cdr:y>0.0372</cdr:y>
    </cdr:from>
    <cdr:to>
      <cdr:x>0.95937</cdr:x>
      <cdr:y>0.13393</cdr:y>
    </cdr:to>
    <cdr:sp macro="" textlink="'Key Financials'!$B$80">
      <cdr:nvSpPr>
        <cdr:cNvPr id="2" name="TextBox 1"/>
        <cdr:cNvSpPr txBox="1"/>
      </cdr:nvSpPr>
      <cdr:spPr>
        <a:xfrm xmlns:a="http://schemas.openxmlformats.org/drawingml/2006/main">
          <a:off x="2628901" y="95251"/>
          <a:ext cx="1257300" cy="247650"/>
        </a:xfrm>
        <a:prstGeom xmlns:a="http://schemas.openxmlformats.org/drawingml/2006/main" prst="rect">
          <a:avLst/>
        </a:prstGeom>
        <a:ln xmlns:a="http://schemas.openxmlformats.org/drawingml/2006/main">
          <a:noFill/>
        </a:ln>
      </cdr:spPr>
      <cdr:txBody>
        <a:bodyPr xmlns:a="http://schemas.openxmlformats.org/drawingml/2006/main" vertOverflow="clip" wrap="square" rIns="0" rtlCol="0" anchor="ctr"/>
        <a:lstStyle xmlns:a="http://schemas.openxmlformats.org/drawingml/2006/main"/>
        <a:p xmlns:a="http://schemas.openxmlformats.org/drawingml/2006/main">
          <a:pPr algn="r"/>
          <a:fld id="{7C43D169-BCD9-4FE9-9E25-B29D85C127F4}" type="TxLink">
            <a:rPr lang="en-US" sz="1000" b="0" i="0" u="none" strike="noStrike">
              <a:solidFill>
                <a:schemeClr val="tx1"/>
              </a:solidFill>
              <a:latin typeface="Arial"/>
              <a:cs typeface="Arial"/>
            </a:rPr>
            <a:pPr algn="r"/>
            <a:t>CAGR = 2.2%</a:t>
          </a:fld>
          <a:endParaRPr lang="en-US" sz="1100">
            <a:solidFill>
              <a:schemeClr val="tx1"/>
            </a:solidFill>
          </a:endParaRP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8</xdr:col>
      <xdr:colOff>0</xdr:colOff>
      <xdr:row>16</xdr:row>
      <xdr:rowOff>0</xdr:rowOff>
    </xdr:from>
    <xdr:to>
      <xdr:col>14</xdr:col>
      <xdr:colOff>320040</xdr:colOff>
      <xdr:row>29</xdr:row>
      <xdr:rowOff>116205</xdr:rowOff>
    </xdr:to>
    <xdr:graphicFrame macro="">
      <xdr:nvGraphicFramePr>
        <xdr:cNvPr id="10" name="GraphIncomeVsExpensesGrowth">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16</xdr:row>
      <xdr:rowOff>0</xdr:rowOff>
    </xdr:from>
    <xdr:to>
      <xdr:col>7</xdr:col>
      <xdr:colOff>320040</xdr:colOff>
      <xdr:row>29</xdr:row>
      <xdr:rowOff>116205</xdr:rowOff>
    </xdr:to>
    <xdr:graphicFrame macro="">
      <xdr:nvGraphicFramePr>
        <xdr:cNvPr id="165" name="GraphIncomeVsExpenses">
          <a:extLst>
            <a:ext uri="{FF2B5EF4-FFF2-40B4-BE49-F238E27FC236}">
              <a16:creationId xmlns:a16="http://schemas.microsoft.com/office/drawing/2014/main" id="{00000000-0008-0000-0A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0</xdr:colOff>
      <xdr:row>30</xdr:row>
      <xdr:rowOff>0</xdr:rowOff>
    </xdr:from>
    <xdr:to>
      <xdr:col>14</xdr:col>
      <xdr:colOff>320040</xdr:colOff>
      <xdr:row>43</xdr:row>
      <xdr:rowOff>116205</xdr:rowOff>
    </xdr:to>
    <xdr:graphicFrame macro="">
      <xdr:nvGraphicFramePr>
        <xdr:cNvPr id="168" name="GraphExpenseDistribution_Fin">
          <a:extLst>
            <a:ext uri="{FF2B5EF4-FFF2-40B4-BE49-F238E27FC236}">
              <a16:creationId xmlns:a16="http://schemas.microsoft.com/office/drawing/2014/main" id="{00000000-0008-0000-0A00-0000A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200023</xdr:colOff>
      <xdr:row>30</xdr:row>
      <xdr:rowOff>0</xdr:rowOff>
    </xdr:from>
    <xdr:to>
      <xdr:col>7</xdr:col>
      <xdr:colOff>320038</xdr:colOff>
      <xdr:row>43</xdr:row>
      <xdr:rowOff>116205</xdr:rowOff>
    </xdr:to>
    <xdr:graphicFrame macro="">
      <xdr:nvGraphicFramePr>
        <xdr:cNvPr id="170" name="GraphExpenseComponents">
          <a:extLst>
            <a:ext uri="{FF2B5EF4-FFF2-40B4-BE49-F238E27FC236}">
              <a16:creationId xmlns:a16="http://schemas.microsoft.com/office/drawing/2014/main" id="{00000000-0008-0000-0A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44</xdr:row>
      <xdr:rowOff>0</xdr:rowOff>
    </xdr:from>
    <xdr:to>
      <xdr:col>7</xdr:col>
      <xdr:colOff>320040</xdr:colOff>
      <xdr:row>57</xdr:row>
      <xdr:rowOff>116205</xdr:rowOff>
    </xdr:to>
    <xdr:graphicFrame macro="">
      <xdr:nvGraphicFramePr>
        <xdr:cNvPr id="171" name="GraphExpenseMargins_Fin">
          <a:extLst>
            <a:ext uri="{FF2B5EF4-FFF2-40B4-BE49-F238E27FC236}">
              <a16:creationId xmlns:a16="http://schemas.microsoft.com/office/drawing/2014/main" id="{00000000-0008-0000-0A00-0000A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687455</xdr:colOff>
      <xdr:row>71</xdr:row>
      <xdr:rowOff>182217</xdr:rowOff>
    </xdr:from>
    <xdr:to>
      <xdr:col>14</xdr:col>
      <xdr:colOff>310100</xdr:colOff>
      <xdr:row>85</xdr:row>
      <xdr:rowOff>100053</xdr:rowOff>
    </xdr:to>
    <xdr:graphicFrame macro="">
      <xdr:nvGraphicFramePr>
        <xdr:cNvPr id="174" name="GraphROAROEROCE">
          <a:extLst>
            <a:ext uri="{FF2B5EF4-FFF2-40B4-BE49-F238E27FC236}">
              <a16:creationId xmlns:a16="http://schemas.microsoft.com/office/drawing/2014/main" id="{00000000-0008-0000-0A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0</xdr:colOff>
      <xdr:row>44</xdr:row>
      <xdr:rowOff>0</xdr:rowOff>
    </xdr:from>
    <xdr:to>
      <xdr:col>14</xdr:col>
      <xdr:colOff>320040</xdr:colOff>
      <xdr:row>57</xdr:row>
      <xdr:rowOff>116205</xdr:rowOff>
    </xdr:to>
    <xdr:graphicFrame macro="">
      <xdr:nvGraphicFramePr>
        <xdr:cNvPr id="177" name="GraphExpenseComponentsGrowth">
          <a:extLst>
            <a:ext uri="{FF2B5EF4-FFF2-40B4-BE49-F238E27FC236}">
              <a16:creationId xmlns:a16="http://schemas.microsoft.com/office/drawing/2014/main" id="{00000000-0008-0000-0A00-0000B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0</xdr:colOff>
      <xdr:row>86</xdr:row>
      <xdr:rowOff>0</xdr:rowOff>
    </xdr:from>
    <xdr:to>
      <xdr:col>7</xdr:col>
      <xdr:colOff>310101</xdr:colOff>
      <xdr:row>99</xdr:row>
      <xdr:rowOff>100054</xdr:rowOff>
    </xdr:to>
    <xdr:graphicFrame macro="">
      <xdr:nvGraphicFramePr>
        <xdr:cNvPr id="178" name="GraphCapitalRatio">
          <a:extLst>
            <a:ext uri="{FF2B5EF4-FFF2-40B4-BE49-F238E27FC236}">
              <a16:creationId xmlns:a16="http://schemas.microsoft.com/office/drawing/2014/main" id="{00000000-0008-0000-0A00-0000B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7</xdr:col>
      <xdr:colOff>687455</xdr:colOff>
      <xdr:row>100</xdr:row>
      <xdr:rowOff>0</xdr:rowOff>
    </xdr:from>
    <xdr:to>
      <xdr:col>14</xdr:col>
      <xdr:colOff>310100</xdr:colOff>
      <xdr:row>113</xdr:row>
      <xdr:rowOff>100053</xdr:rowOff>
    </xdr:to>
    <xdr:graphicFrame macro="">
      <xdr:nvGraphicFramePr>
        <xdr:cNvPr id="180" name="GraphNonPerformingLoansAssets">
          <a:extLst>
            <a:ext uri="{FF2B5EF4-FFF2-40B4-BE49-F238E27FC236}">
              <a16:creationId xmlns:a16="http://schemas.microsoft.com/office/drawing/2014/main" id="{00000000-0008-0000-0A00-0000B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0</xdr:colOff>
      <xdr:row>114</xdr:row>
      <xdr:rowOff>0</xdr:rowOff>
    </xdr:from>
    <xdr:to>
      <xdr:col>7</xdr:col>
      <xdr:colOff>310101</xdr:colOff>
      <xdr:row>127</xdr:row>
      <xdr:rowOff>100054</xdr:rowOff>
    </xdr:to>
    <xdr:graphicFrame macro="">
      <xdr:nvGraphicFramePr>
        <xdr:cNvPr id="182" name="GraphLoanComposition">
          <a:extLst>
            <a:ext uri="{FF2B5EF4-FFF2-40B4-BE49-F238E27FC236}">
              <a16:creationId xmlns:a16="http://schemas.microsoft.com/office/drawing/2014/main" id="{00000000-0008-0000-0A00-0000B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7</xdr:col>
      <xdr:colOff>687455</xdr:colOff>
      <xdr:row>114</xdr:row>
      <xdr:rowOff>0</xdr:rowOff>
    </xdr:from>
    <xdr:to>
      <xdr:col>14</xdr:col>
      <xdr:colOff>310100</xdr:colOff>
      <xdr:row>127</xdr:row>
      <xdr:rowOff>100054</xdr:rowOff>
    </xdr:to>
    <xdr:graphicFrame macro="">
      <xdr:nvGraphicFramePr>
        <xdr:cNvPr id="183" name="GraphLoanCompositionGrowth">
          <a:extLst>
            <a:ext uri="{FF2B5EF4-FFF2-40B4-BE49-F238E27FC236}">
              <a16:creationId xmlns:a16="http://schemas.microsoft.com/office/drawing/2014/main" id="{00000000-0008-0000-0A00-0000B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100</xdr:row>
      <xdr:rowOff>0</xdr:rowOff>
    </xdr:from>
    <xdr:to>
      <xdr:col>7</xdr:col>
      <xdr:colOff>310101</xdr:colOff>
      <xdr:row>113</xdr:row>
      <xdr:rowOff>100053</xdr:rowOff>
    </xdr:to>
    <xdr:graphicFrame macro="">
      <xdr:nvGraphicFramePr>
        <xdr:cNvPr id="184" name="GraphLoans">
          <a:extLst>
            <a:ext uri="{FF2B5EF4-FFF2-40B4-BE49-F238E27FC236}">
              <a16:creationId xmlns:a16="http://schemas.microsoft.com/office/drawing/2014/main" id="{00000000-0008-0000-0A00-0000B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7</xdr:col>
      <xdr:colOff>687455</xdr:colOff>
      <xdr:row>86</xdr:row>
      <xdr:rowOff>0</xdr:rowOff>
    </xdr:from>
    <xdr:to>
      <xdr:col>14</xdr:col>
      <xdr:colOff>310100</xdr:colOff>
      <xdr:row>99</xdr:row>
      <xdr:rowOff>100054</xdr:rowOff>
    </xdr:to>
    <xdr:graphicFrame macro="">
      <xdr:nvGraphicFramePr>
        <xdr:cNvPr id="185" name="GraphLoansGrowth">
          <a:extLst>
            <a:ext uri="{FF2B5EF4-FFF2-40B4-BE49-F238E27FC236}">
              <a16:creationId xmlns:a16="http://schemas.microsoft.com/office/drawing/2014/main" id="{00000000-0008-0000-0A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0</xdr:colOff>
      <xdr:row>71</xdr:row>
      <xdr:rowOff>182217</xdr:rowOff>
    </xdr:from>
    <xdr:to>
      <xdr:col>7</xdr:col>
      <xdr:colOff>310101</xdr:colOff>
      <xdr:row>85</xdr:row>
      <xdr:rowOff>100053</xdr:rowOff>
    </xdr:to>
    <xdr:graphicFrame macro="">
      <xdr:nvGraphicFramePr>
        <xdr:cNvPr id="186" name="GraphNIM">
          <a:extLst>
            <a:ext uri="{FF2B5EF4-FFF2-40B4-BE49-F238E27FC236}">
              <a16:creationId xmlns:a16="http://schemas.microsoft.com/office/drawing/2014/main" id="{00000000-0008-0000-0A00-0000B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142875</xdr:colOff>
      <xdr:row>187</xdr:row>
      <xdr:rowOff>2</xdr:rowOff>
    </xdr:from>
    <xdr:to>
      <xdr:col>14</xdr:col>
      <xdr:colOff>486012</xdr:colOff>
      <xdr:row>214</xdr:row>
      <xdr:rowOff>1</xdr:rowOff>
    </xdr:to>
    <xdr:grpSp>
      <xdr:nvGrpSpPr>
        <xdr:cNvPr id="199" name="Group 198">
          <a:extLst>
            <a:ext uri="{FF2B5EF4-FFF2-40B4-BE49-F238E27FC236}">
              <a16:creationId xmlns:a16="http://schemas.microsoft.com/office/drawing/2014/main" id="{00000000-0008-0000-0A00-0000C7000000}"/>
            </a:ext>
          </a:extLst>
        </xdr:cNvPr>
        <xdr:cNvGrpSpPr/>
      </xdr:nvGrpSpPr>
      <xdr:grpSpPr>
        <a:xfrm>
          <a:off x="342900" y="33975677"/>
          <a:ext cx="9258537" cy="5000624"/>
          <a:chOff x="754834" y="15523657"/>
          <a:chExt cx="8284265" cy="5686558"/>
        </a:xfrm>
      </xdr:grpSpPr>
      <xdr:grpSp>
        <xdr:nvGrpSpPr>
          <xdr:cNvPr id="200" name="Group 199">
            <a:extLst>
              <a:ext uri="{FF2B5EF4-FFF2-40B4-BE49-F238E27FC236}">
                <a16:creationId xmlns:a16="http://schemas.microsoft.com/office/drawing/2014/main" id="{00000000-0008-0000-0A00-0000C8000000}"/>
              </a:ext>
            </a:extLst>
          </xdr:cNvPr>
          <xdr:cNvGrpSpPr/>
        </xdr:nvGrpSpPr>
        <xdr:grpSpPr>
          <a:xfrm>
            <a:off x="754834" y="15523657"/>
            <a:ext cx="8284265" cy="5647420"/>
            <a:chOff x="163769" y="15687332"/>
            <a:chExt cx="11058266" cy="6601843"/>
          </a:xfrm>
        </xdr:grpSpPr>
        <xdr:grpSp>
          <xdr:nvGrpSpPr>
            <xdr:cNvPr id="202" name="Group 201">
              <a:extLst>
                <a:ext uri="{FF2B5EF4-FFF2-40B4-BE49-F238E27FC236}">
                  <a16:creationId xmlns:a16="http://schemas.microsoft.com/office/drawing/2014/main" id="{00000000-0008-0000-0A00-0000CA000000}"/>
                </a:ext>
              </a:extLst>
            </xdr:cNvPr>
            <xdr:cNvGrpSpPr/>
          </xdr:nvGrpSpPr>
          <xdr:grpSpPr>
            <a:xfrm>
              <a:off x="163769" y="15687332"/>
              <a:ext cx="11058266" cy="6601843"/>
              <a:chOff x="163851" y="15688023"/>
              <a:chExt cx="11071561" cy="6601843"/>
            </a:xfrm>
          </xdr:grpSpPr>
          <xdr:grpSp>
            <xdr:nvGrpSpPr>
              <xdr:cNvPr id="240" name="Group 239">
                <a:extLst>
                  <a:ext uri="{FF2B5EF4-FFF2-40B4-BE49-F238E27FC236}">
                    <a16:creationId xmlns:a16="http://schemas.microsoft.com/office/drawing/2014/main" id="{00000000-0008-0000-0A00-0000F0000000}"/>
                  </a:ext>
                </a:extLst>
              </xdr:cNvPr>
              <xdr:cNvGrpSpPr/>
            </xdr:nvGrpSpPr>
            <xdr:grpSpPr>
              <a:xfrm>
                <a:off x="163851" y="15688023"/>
                <a:ext cx="11071561" cy="6601843"/>
                <a:chOff x="163242" y="25969554"/>
                <a:chExt cx="10973237" cy="6601843"/>
              </a:xfrm>
            </xdr:grpSpPr>
            <xdr:sp macro="" textlink="'Financial Data_H'!$V315">
              <xdr:nvSpPr>
                <xdr:cNvPr id="242" name="Rounded Rectangle 4">
                  <a:extLst>
                    <a:ext uri="{FF2B5EF4-FFF2-40B4-BE49-F238E27FC236}">
                      <a16:creationId xmlns:a16="http://schemas.microsoft.com/office/drawing/2014/main" id="{00000000-0008-0000-0A00-0000F2000000}"/>
                    </a:ext>
                  </a:extLst>
                </xdr:cNvPr>
                <xdr:cNvSpPr/>
              </xdr:nvSpPr>
              <xdr:spPr>
                <a:xfrm>
                  <a:off x="5448282" y="29413793"/>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A72F354-5BAE-4BFF-9995-79568491004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ROCE 
8.68%</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0">
              <xdr:nvSpPr>
                <xdr:cNvPr id="243" name="Rounded Rectangle 8">
                  <a:extLst>
                    <a:ext uri="{FF2B5EF4-FFF2-40B4-BE49-F238E27FC236}">
                      <a16:creationId xmlns:a16="http://schemas.microsoft.com/office/drawing/2014/main" id="{00000000-0008-0000-0A00-0000F3000000}"/>
                    </a:ext>
                  </a:extLst>
                </xdr:cNvPr>
                <xdr:cNvSpPr/>
              </xdr:nvSpPr>
              <xdr:spPr>
                <a:xfrm>
                  <a:off x="6878032" y="27703456"/>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BDAA4FC-7581-40DB-9BFC-655758209F0B}"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Income 
13,673</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4">
              <xdr:nvSpPr>
                <xdr:cNvPr id="244" name="Rounded Rectangle 12">
                  <a:extLst>
                    <a:ext uri="{FF2B5EF4-FFF2-40B4-BE49-F238E27FC236}">
                      <a16:creationId xmlns:a16="http://schemas.microsoft.com/office/drawing/2014/main" id="{00000000-0008-0000-0A00-0000F4000000}"/>
                    </a:ext>
                  </a:extLst>
                </xdr:cNvPr>
                <xdr:cNvSpPr/>
              </xdr:nvSpPr>
              <xdr:spPr>
                <a:xfrm>
                  <a:off x="8289450" y="26281248"/>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BE76B538-502A-4B4C-9661-6057F89EDA67}"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Gross Profit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1">
              <xdr:nvSpPr>
                <xdr:cNvPr id="245" name="Rounded Rectangle 16">
                  <a:extLst>
                    <a:ext uri="{FF2B5EF4-FFF2-40B4-BE49-F238E27FC236}">
                      <a16:creationId xmlns:a16="http://schemas.microsoft.com/office/drawing/2014/main" id="{00000000-0008-0000-0A00-0000F5000000}"/>
                    </a:ext>
                  </a:extLst>
                </xdr:cNvPr>
                <xdr:cNvSpPr/>
              </xdr:nvSpPr>
              <xdr:spPr>
                <a:xfrm>
                  <a:off x="9719507" y="25969554"/>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D25A601-DF71-4699-86A5-DC801D39E74B}"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Income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2">
              <xdr:nvSpPr>
                <xdr:cNvPr id="246" name="Rounded Rectangle 20">
                  <a:extLst>
                    <a:ext uri="{FF2B5EF4-FFF2-40B4-BE49-F238E27FC236}">
                      <a16:creationId xmlns:a16="http://schemas.microsoft.com/office/drawing/2014/main" id="{00000000-0008-0000-0A00-0000F6000000}"/>
                    </a:ext>
                  </a:extLst>
                </xdr:cNvPr>
                <xdr:cNvSpPr/>
              </xdr:nvSpPr>
              <xdr:spPr>
                <a:xfrm>
                  <a:off x="9720277" y="26527725"/>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5ACE800C-0DBF-4694-BCD1-07FE9394FEB7}"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Interest Exp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8">
              <xdr:nvSpPr>
                <xdr:cNvPr id="247" name="Rounded Rectangle 24">
                  <a:extLst>
                    <a:ext uri="{FF2B5EF4-FFF2-40B4-BE49-F238E27FC236}">
                      <a16:creationId xmlns:a16="http://schemas.microsoft.com/office/drawing/2014/main" id="{00000000-0008-0000-0A00-0000F7000000}"/>
                    </a:ext>
                  </a:extLst>
                </xdr:cNvPr>
                <xdr:cNvSpPr/>
              </xdr:nvSpPr>
              <xdr:spPr>
                <a:xfrm>
                  <a:off x="8289450"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BA7EE492-8F34-4E4A-8E68-8D3E8E1131C6}"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Operating Expenses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3">
              <xdr:nvSpPr>
                <xdr:cNvPr id="248" name="Rounded Rectangle 28">
                  <a:extLst>
                    <a:ext uri="{FF2B5EF4-FFF2-40B4-BE49-F238E27FC236}">
                      <a16:creationId xmlns:a16="http://schemas.microsoft.com/office/drawing/2014/main" id="{00000000-0008-0000-0A00-0000F8000000}"/>
                    </a:ext>
                  </a:extLst>
                </xdr:cNvPr>
                <xdr:cNvSpPr/>
              </xdr:nvSpPr>
              <xdr:spPr>
                <a:xfrm>
                  <a:off x="9720277" y="27149263"/>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381A8285-9040-4262-ABE5-68E55BCBD58C}"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Loss Provision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6">
              <xdr:nvSpPr>
                <xdr:cNvPr id="249" name="Rounded Rectangle 32">
                  <a:extLst>
                    <a:ext uri="{FF2B5EF4-FFF2-40B4-BE49-F238E27FC236}">
                      <a16:creationId xmlns:a16="http://schemas.microsoft.com/office/drawing/2014/main" id="{00000000-0008-0000-0A00-0000F9000000}"/>
                    </a:ext>
                  </a:extLst>
                </xdr:cNvPr>
                <xdr:cNvSpPr/>
              </xdr:nvSpPr>
              <xdr:spPr>
                <a:xfrm>
                  <a:off x="9720277"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AE2F9133-B263-4E85-94A3-87849919ADC9}"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SG&amp;A 
117,812</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7">
              <xdr:nvSpPr>
                <xdr:cNvPr id="250" name="Rounded Rectangle 36">
                  <a:extLst>
                    <a:ext uri="{FF2B5EF4-FFF2-40B4-BE49-F238E27FC236}">
                      <a16:creationId xmlns:a16="http://schemas.microsoft.com/office/drawing/2014/main" id="{00000000-0008-0000-0A00-0000FA000000}"/>
                    </a:ext>
                  </a:extLst>
                </xdr:cNvPr>
                <xdr:cNvSpPr/>
              </xdr:nvSpPr>
              <xdr:spPr>
                <a:xfrm>
                  <a:off x="9711686" y="28259107"/>
                  <a:ext cx="904312"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91440" tIns="91440" rIns="91440" bIns="91440" numCol="1" spcCol="1270" anchor="ctr" anchorCtr="0">
                  <a:noAutofit/>
                </a:bodyPr>
                <a:lstStyle/>
                <a:p>
                  <a:pPr lvl="0" algn="ctr" defTabSz="800100">
                    <a:lnSpc>
                      <a:spcPct val="90000"/>
                    </a:lnSpc>
                    <a:spcBef>
                      <a:spcPct val="0"/>
                    </a:spcBef>
                    <a:spcAft>
                      <a:spcPct val="35000"/>
                    </a:spcAft>
                  </a:pPr>
                  <a:fld id="{BDD45A0F-72F5-4D78-8C82-191CA42854E2}"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OpEx 
-117,812</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299">
              <xdr:nvSpPr>
                <xdr:cNvPr id="251" name="Rounded Rectangle 40">
                  <a:extLst>
                    <a:ext uri="{FF2B5EF4-FFF2-40B4-BE49-F238E27FC236}">
                      <a16:creationId xmlns:a16="http://schemas.microsoft.com/office/drawing/2014/main" id="{00000000-0008-0000-0A00-0000FB000000}"/>
                    </a:ext>
                  </a:extLst>
                </xdr:cNvPr>
                <xdr:cNvSpPr/>
              </xdr:nvSpPr>
              <xdr:spPr>
                <a:xfrm>
                  <a:off x="8289450" y="28422407"/>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071A418E-D6EB-4BE7-A404-8640A4C5A93B}"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Taxes and Other 
-13,673</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13">
              <xdr:nvSpPr>
                <xdr:cNvPr id="252" name="Rounded Rectangle 44">
                  <a:extLst>
                    <a:ext uri="{FF2B5EF4-FFF2-40B4-BE49-F238E27FC236}">
                      <a16:creationId xmlns:a16="http://schemas.microsoft.com/office/drawing/2014/main" id="{00000000-0008-0000-0A00-0000FC000000}"/>
                    </a:ext>
                  </a:extLst>
                </xdr:cNvPr>
                <xdr:cNvSpPr/>
              </xdr:nvSpPr>
              <xdr:spPr>
                <a:xfrm>
                  <a:off x="6878034" y="30962500"/>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635447C5-2D0F-48C2-A4F2-2EDFF77E053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Capital Employed 
157,481</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7">
              <xdr:nvSpPr>
                <xdr:cNvPr id="253" name="Rounded Rectangle 48">
                  <a:extLst>
                    <a:ext uri="{FF2B5EF4-FFF2-40B4-BE49-F238E27FC236}">
                      <a16:creationId xmlns:a16="http://schemas.microsoft.com/office/drawing/2014/main" id="{00000000-0008-0000-0A00-0000FD000000}"/>
                    </a:ext>
                  </a:extLst>
                </xdr:cNvPr>
                <xdr:cNvSpPr/>
              </xdr:nvSpPr>
              <xdr:spPr>
                <a:xfrm>
                  <a:off x="8289451" y="30173918"/>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810EAB16-BDB0-4852-ABA4-BEEFFE3F0CF5}"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Total Assets 
244,860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4">
              <xdr:nvSpPr>
                <xdr:cNvPr id="254" name="Rounded Rectangle 52">
                  <a:extLst>
                    <a:ext uri="{FF2B5EF4-FFF2-40B4-BE49-F238E27FC236}">
                      <a16:creationId xmlns:a16="http://schemas.microsoft.com/office/drawing/2014/main" id="{00000000-0008-0000-0A00-0000FE000000}"/>
                    </a:ext>
                  </a:extLst>
                </xdr:cNvPr>
                <xdr:cNvSpPr/>
              </xdr:nvSpPr>
              <xdr:spPr>
                <a:xfrm>
                  <a:off x="9723033" y="29818146"/>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540C8031-1A32-45CB-9697-7073E492521F}"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Loans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3">
              <xdr:nvSpPr>
                <xdr:cNvPr id="255" name="Rounded Rectangle 56">
                  <a:extLst>
                    <a:ext uri="{FF2B5EF4-FFF2-40B4-BE49-F238E27FC236}">
                      <a16:creationId xmlns:a16="http://schemas.microsoft.com/office/drawing/2014/main" id="{00000000-0008-0000-0A00-0000FF000000}"/>
                    </a:ext>
                  </a:extLst>
                </xdr:cNvPr>
                <xdr:cNvSpPr/>
              </xdr:nvSpPr>
              <xdr:spPr>
                <a:xfrm>
                  <a:off x="9723033" y="29260935"/>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C680073-19E0-4C9B-A2F1-149809FCB4B3}"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Investments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6">
              <xdr:nvSpPr>
                <xdr:cNvPr id="256" name="Rounded Rectangle 60">
                  <a:extLst>
                    <a:ext uri="{FF2B5EF4-FFF2-40B4-BE49-F238E27FC236}">
                      <a16:creationId xmlns:a16="http://schemas.microsoft.com/office/drawing/2014/main" id="{00000000-0008-0000-0A00-000000010000}"/>
                    </a:ext>
                  </a:extLst>
                </xdr:cNvPr>
                <xdr:cNvSpPr/>
              </xdr:nvSpPr>
              <xdr:spPr>
                <a:xfrm>
                  <a:off x="9716491" y="30930171"/>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FBFE6FB-ADB3-46B5-8BAA-67A61D5C528C}"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Assets 
132,236</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5">
              <xdr:nvSpPr>
                <xdr:cNvPr id="257" name="Rounded Rectangle 64">
                  <a:extLst>
                    <a:ext uri="{FF2B5EF4-FFF2-40B4-BE49-F238E27FC236}">
                      <a16:creationId xmlns:a16="http://schemas.microsoft.com/office/drawing/2014/main" id="{00000000-0008-0000-0A00-000001010000}"/>
                    </a:ext>
                  </a:extLst>
                </xdr:cNvPr>
                <xdr:cNvSpPr/>
              </xdr:nvSpPr>
              <xdr:spPr>
                <a:xfrm>
                  <a:off x="9723033" y="30376986"/>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1238BF4-FEFE-4450-BA61-62B68ABCFCAE}"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PP&amp;E 
112,624</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11">
              <xdr:nvSpPr>
                <xdr:cNvPr id="258" name="Rounded Rectangle 68">
                  <a:extLst>
                    <a:ext uri="{FF2B5EF4-FFF2-40B4-BE49-F238E27FC236}">
                      <a16:creationId xmlns:a16="http://schemas.microsoft.com/office/drawing/2014/main" id="{00000000-0008-0000-0A00-000002010000}"/>
                    </a:ext>
                  </a:extLst>
                </xdr:cNvPr>
                <xdr:cNvSpPr/>
              </xdr:nvSpPr>
              <xdr:spPr>
                <a:xfrm>
                  <a:off x="8289451" y="31765321"/>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A6B3AEE-2F11-46DF-8755-71B4F5420EEC}"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Total Current Liabilities 
87,379</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09">
              <xdr:nvSpPr>
                <xdr:cNvPr id="259" name="Rounded Rectangle 72">
                  <a:extLst>
                    <a:ext uri="{FF2B5EF4-FFF2-40B4-BE49-F238E27FC236}">
                      <a16:creationId xmlns:a16="http://schemas.microsoft.com/office/drawing/2014/main" id="{00000000-0008-0000-0A00-000003010000}"/>
                    </a:ext>
                  </a:extLst>
                </xdr:cNvPr>
                <xdr:cNvSpPr/>
              </xdr:nvSpPr>
              <xdr:spPr>
                <a:xfrm>
                  <a:off x="9718077" y="31562440"/>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6B951E74-B704-47D6-9E0E-933317C57F8F}"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Deposits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V310">
              <xdr:nvSpPr>
                <xdr:cNvPr id="260" name="Rounded Rectangle 76">
                  <a:extLst>
                    <a:ext uri="{FF2B5EF4-FFF2-40B4-BE49-F238E27FC236}">
                      <a16:creationId xmlns:a16="http://schemas.microsoft.com/office/drawing/2014/main" id="{00000000-0008-0000-0A00-000004010000}"/>
                    </a:ext>
                  </a:extLst>
                </xdr:cNvPr>
                <xdr:cNvSpPr/>
              </xdr:nvSpPr>
              <xdr:spPr>
                <a:xfrm>
                  <a:off x="9723030" y="32114198"/>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5D530DCD-168E-4E67-9261-2924FBE8FE34}"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Current Liabllities 
87,379</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315">
              <xdr:nvSpPr>
                <xdr:cNvPr id="261" name="Rounded Rectangle 4">
                  <a:extLst>
                    <a:ext uri="{FF2B5EF4-FFF2-40B4-BE49-F238E27FC236}">
                      <a16:creationId xmlns:a16="http://schemas.microsoft.com/office/drawing/2014/main" id="{00000000-0008-0000-0A00-000005010000}"/>
                    </a:ext>
                  </a:extLst>
                </xdr:cNvPr>
                <xdr:cNvSpPr/>
              </xdr:nvSpPr>
              <xdr:spPr>
                <a:xfrm flipH="1">
                  <a:off x="4411181" y="29413793"/>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BD94EA88-68F5-41B8-986E-925ECD00004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ROCE 
11.83%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0">
              <xdr:nvSpPr>
                <xdr:cNvPr id="262" name="Rounded Rectangle 8">
                  <a:extLst>
                    <a:ext uri="{FF2B5EF4-FFF2-40B4-BE49-F238E27FC236}">
                      <a16:creationId xmlns:a16="http://schemas.microsoft.com/office/drawing/2014/main" id="{00000000-0008-0000-0A00-000006010000}"/>
                    </a:ext>
                  </a:extLst>
                </xdr:cNvPr>
                <xdr:cNvSpPr/>
              </xdr:nvSpPr>
              <xdr:spPr>
                <a:xfrm flipH="1">
                  <a:off x="2992775"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C5C1A141-093B-4C83-8F0E-F240D61B105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Income 
16,022</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291">
              <xdr:nvSpPr>
                <xdr:cNvPr id="263" name="Rounded Rectangle 16">
                  <a:extLst>
                    <a:ext uri="{FF2B5EF4-FFF2-40B4-BE49-F238E27FC236}">
                      <a16:creationId xmlns:a16="http://schemas.microsoft.com/office/drawing/2014/main" id="{00000000-0008-0000-0A00-000007010000}"/>
                    </a:ext>
                  </a:extLst>
                </xdr:cNvPr>
                <xdr:cNvSpPr/>
              </xdr:nvSpPr>
              <xdr:spPr>
                <a:xfrm flipH="1">
                  <a:off x="163242" y="25969554"/>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0CA2E0F-91BE-418C-86F8-570105CAC9E0}"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Income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292">
              <xdr:nvSpPr>
                <xdr:cNvPr id="264" name="Rounded Rectangle 20">
                  <a:extLst>
                    <a:ext uri="{FF2B5EF4-FFF2-40B4-BE49-F238E27FC236}">
                      <a16:creationId xmlns:a16="http://schemas.microsoft.com/office/drawing/2014/main" id="{00000000-0008-0000-0A00-000008010000}"/>
                    </a:ext>
                  </a:extLst>
                </xdr:cNvPr>
                <xdr:cNvSpPr/>
              </xdr:nvSpPr>
              <xdr:spPr>
                <a:xfrm flipH="1">
                  <a:off x="163242" y="26527725"/>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ECFA3B74-2152-4851-BF3D-5CCAD42F197C}"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Interest Exp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298">
              <xdr:nvSpPr>
                <xdr:cNvPr id="265" name="Rounded Rectangle 24">
                  <a:extLst>
                    <a:ext uri="{FF2B5EF4-FFF2-40B4-BE49-F238E27FC236}">
                      <a16:creationId xmlns:a16="http://schemas.microsoft.com/office/drawing/2014/main" id="{00000000-0008-0000-0A00-000009010000}"/>
                    </a:ext>
                  </a:extLst>
                </xdr:cNvPr>
                <xdr:cNvSpPr/>
              </xdr:nvSpPr>
              <xdr:spPr>
                <a:xfrm flipH="1">
                  <a:off x="1559251"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E3764703-484F-473E-B6CF-E0CAEB4EEF92}"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Operating Expenses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293">
              <xdr:nvSpPr>
                <xdr:cNvPr id="266" name="Rounded Rectangle 28">
                  <a:extLst>
                    <a:ext uri="{FF2B5EF4-FFF2-40B4-BE49-F238E27FC236}">
                      <a16:creationId xmlns:a16="http://schemas.microsoft.com/office/drawing/2014/main" id="{00000000-0008-0000-0A00-00000A010000}"/>
                    </a:ext>
                  </a:extLst>
                </xdr:cNvPr>
                <xdr:cNvSpPr/>
              </xdr:nvSpPr>
              <xdr:spPr>
                <a:xfrm flipH="1">
                  <a:off x="163242" y="27149263"/>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030FB21D-738D-489B-9DEB-85FE4891BCCD}"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Loss Provision 
0</a:t>
                  </a:fld>
                  <a:endParaRPr lang="en-US" sz="400" b="0" kern="1200">
                    <a:solidFill>
                      <a:schemeClr val="tx1"/>
                    </a:solidFill>
                    <a:latin typeface="Arial" panose="020B0604020202020204" pitchFamily="34" charset="0"/>
                    <a:cs typeface="Arial" panose="020B0604020202020204" pitchFamily="34" charset="0"/>
                  </a:endParaRPr>
                </a:p>
              </xdr:txBody>
            </xdr:sp>
            <xdr:sp macro="" textlink="'Financial Data_H'!$S296">
              <xdr:nvSpPr>
                <xdr:cNvPr id="267" name="Rounded Rectangle 32">
                  <a:extLst>
                    <a:ext uri="{FF2B5EF4-FFF2-40B4-BE49-F238E27FC236}">
                      <a16:creationId xmlns:a16="http://schemas.microsoft.com/office/drawing/2014/main" id="{00000000-0008-0000-0A00-00000B010000}"/>
                    </a:ext>
                  </a:extLst>
                </xdr:cNvPr>
                <xdr:cNvSpPr/>
              </xdr:nvSpPr>
              <xdr:spPr>
                <a:xfrm flipH="1">
                  <a:off x="163242" y="27703456"/>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EDDD197-66C4-4D97-8CEE-D092BBF2293D}"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SG&amp;A 
91,353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297">
              <xdr:nvSpPr>
                <xdr:cNvPr id="268" name="Rounded Rectangle 36">
                  <a:extLst>
                    <a:ext uri="{FF2B5EF4-FFF2-40B4-BE49-F238E27FC236}">
                      <a16:creationId xmlns:a16="http://schemas.microsoft.com/office/drawing/2014/main" id="{00000000-0008-0000-0A00-00000C010000}"/>
                    </a:ext>
                  </a:extLst>
                </xdr:cNvPr>
                <xdr:cNvSpPr/>
              </xdr:nvSpPr>
              <xdr:spPr>
                <a:xfrm flipH="1">
                  <a:off x="163242" y="28259105"/>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1E32AA3-4B2D-4FAB-AE48-372C54A89935}"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OpEx 
-91,353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299">
              <xdr:nvSpPr>
                <xdr:cNvPr id="269" name="Rounded Rectangle 40">
                  <a:extLst>
                    <a:ext uri="{FF2B5EF4-FFF2-40B4-BE49-F238E27FC236}">
                      <a16:creationId xmlns:a16="http://schemas.microsoft.com/office/drawing/2014/main" id="{00000000-0008-0000-0A00-00000D010000}"/>
                    </a:ext>
                  </a:extLst>
                </xdr:cNvPr>
                <xdr:cNvSpPr/>
              </xdr:nvSpPr>
              <xdr:spPr>
                <a:xfrm flipH="1">
                  <a:off x="1559251" y="28422407"/>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DBFFEED-D091-4F82-8E7F-DD0ED601449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Taxes and Other 
-16,022</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313">
              <xdr:nvSpPr>
                <xdr:cNvPr id="270" name="Rounded Rectangle 44">
                  <a:extLst>
                    <a:ext uri="{FF2B5EF4-FFF2-40B4-BE49-F238E27FC236}">
                      <a16:creationId xmlns:a16="http://schemas.microsoft.com/office/drawing/2014/main" id="{00000000-0008-0000-0A00-00000E010000}"/>
                    </a:ext>
                  </a:extLst>
                </xdr:cNvPr>
                <xdr:cNvSpPr/>
              </xdr:nvSpPr>
              <xdr:spPr>
                <a:xfrm flipH="1">
                  <a:off x="2992775" y="30962500"/>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C6576EC2-EA08-4149-94D0-27A62CBDDBD8}"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Capital Employed 
135,406</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7">
              <xdr:nvSpPr>
                <xdr:cNvPr id="271" name="Rounded Rectangle 48">
                  <a:extLst>
                    <a:ext uri="{FF2B5EF4-FFF2-40B4-BE49-F238E27FC236}">
                      <a16:creationId xmlns:a16="http://schemas.microsoft.com/office/drawing/2014/main" id="{00000000-0008-0000-0A00-00000F010000}"/>
                    </a:ext>
                  </a:extLst>
                </xdr:cNvPr>
                <xdr:cNvSpPr/>
              </xdr:nvSpPr>
              <xdr:spPr>
                <a:xfrm flipH="1">
                  <a:off x="1559251" y="30173918"/>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68E777E4-8FEF-4399-B0D9-6A858ACB1D71}"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Total Assets 
204,751</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4">
              <xdr:nvSpPr>
                <xdr:cNvPr id="272" name="Rounded Rectangle 52">
                  <a:extLst>
                    <a:ext uri="{FF2B5EF4-FFF2-40B4-BE49-F238E27FC236}">
                      <a16:creationId xmlns:a16="http://schemas.microsoft.com/office/drawing/2014/main" id="{00000000-0008-0000-0A00-000010010000}"/>
                    </a:ext>
                  </a:extLst>
                </xdr:cNvPr>
                <xdr:cNvSpPr/>
              </xdr:nvSpPr>
              <xdr:spPr>
                <a:xfrm flipH="1">
                  <a:off x="163242" y="29818146"/>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72EDC2C8-E9BB-47D8-905B-6FDF416DA35E}"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Loans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3">
              <xdr:nvSpPr>
                <xdr:cNvPr id="273" name="Rounded Rectangle 56">
                  <a:extLst>
                    <a:ext uri="{FF2B5EF4-FFF2-40B4-BE49-F238E27FC236}">
                      <a16:creationId xmlns:a16="http://schemas.microsoft.com/office/drawing/2014/main" id="{00000000-0008-0000-0A00-000011010000}"/>
                    </a:ext>
                  </a:extLst>
                </xdr:cNvPr>
                <xdr:cNvSpPr/>
              </xdr:nvSpPr>
              <xdr:spPr>
                <a:xfrm flipH="1">
                  <a:off x="163242" y="29260935"/>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2D0AC3B-56B0-4920-9DB5-341FC86EADB0}"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Investments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6">
              <xdr:nvSpPr>
                <xdr:cNvPr id="274" name="Rounded Rectangle 60">
                  <a:extLst>
                    <a:ext uri="{FF2B5EF4-FFF2-40B4-BE49-F238E27FC236}">
                      <a16:creationId xmlns:a16="http://schemas.microsoft.com/office/drawing/2014/main" id="{00000000-0008-0000-0A00-000012010000}"/>
                    </a:ext>
                  </a:extLst>
                </xdr:cNvPr>
                <xdr:cNvSpPr/>
              </xdr:nvSpPr>
              <xdr:spPr>
                <a:xfrm flipH="1">
                  <a:off x="163242" y="30930171"/>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EAB169B2-93B2-4838-9BB3-C56890434FCE}"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Assets 
86,844</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5">
              <xdr:nvSpPr>
                <xdr:cNvPr id="275" name="Rounded Rectangle 64">
                  <a:extLst>
                    <a:ext uri="{FF2B5EF4-FFF2-40B4-BE49-F238E27FC236}">
                      <a16:creationId xmlns:a16="http://schemas.microsoft.com/office/drawing/2014/main" id="{00000000-0008-0000-0A00-000013010000}"/>
                    </a:ext>
                  </a:extLst>
                </xdr:cNvPr>
                <xdr:cNvSpPr/>
              </xdr:nvSpPr>
              <xdr:spPr>
                <a:xfrm flipH="1">
                  <a:off x="163242" y="30376986"/>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7B5E1E1-7DE1-4334-B936-BFE303D3010A}"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Net PP&amp;E 
117,907</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10">
              <xdr:nvSpPr>
                <xdr:cNvPr id="276" name="Rounded Rectangle 68">
                  <a:extLst>
                    <a:ext uri="{FF2B5EF4-FFF2-40B4-BE49-F238E27FC236}">
                      <a16:creationId xmlns:a16="http://schemas.microsoft.com/office/drawing/2014/main" id="{00000000-0008-0000-0A00-000014010000}"/>
                    </a:ext>
                  </a:extLst>
                </xdr:cNvPr>
                <xdr:cNvSpPr/>
              </xdr:nvSpPr>
              <xdr:spPr>
                <a:xfrm flipH="1">
                  <a:off x="1559251" y="31765321"/>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A66EF9BF-6843-4901-BD25-C8E28D52E592}"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Current Liabllities 
69,345</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_H'!$S309">
              <xdr:nvSpPr>
                <xdr:cNvPr id="277" name="Rounded Rectangle 72">
                  <a:extLst>
                    <a:ext uri="{FF2B5EF4-FFF2-40B4-BE49-F238E27FC236}">
                      <a16:creationId xmlns:a16="http://schemas.microsoft.com/office/drawing/2014/main" id="{00000000-0008-0000-0A00-000015010000}"/>
                    </a:ext>
                  </a:extLst>
                </xdr:cNvPr>
                <xdr:cNvSpPr/>
              </xdr:nvSpPr>
              <xdr:spPr>
                <a:xfrm flipH="1">
                  <a:off x="163242" y="31562440"/>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A420CDFD-4E26-4A36-98B1-8AE7FEBFBD6F}"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Deposits 
0</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S310">
              <xdr:nvSpPr>
                <xdr:cNvPr id="278" name="Rounded Rectangle 76">
                  <a:extLst>
                    <a:ext uri="{FF2B5EF4-FFF2-40B4-BE49-F238E27FC236}">
                      <a16:creationId xmlns:a16="http://schemas.microsoft.com/office/drawing/2014/main" id="{00000000-0008-0000-0A00-000016010000}"/>
                    </a:ext>
                  </a:extLst>
                </xdr:cNvPr>
                <xdr:cNvSpPr/>
              </xdr:nvSpPr>
              <xdr:spPr>
                <a:xfrm flipH="1">
                  <a:off x="163242" y="32114197"/>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C51E3AC2-D0EF-4496-B281-8F1161A56986}"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Other Current Liabllities 
69,345</a:t>
                  </a:fld>
                  <a:endParaRPr lang="en-US" sz="600" b="0" kern="1200">
                    <a:solidFill>
                      <a:schemeClr val="tx1"/>
                    </a:solidFill>
                    <a:latin typeface="Arial" panose="020B0604020202020204" pitchFamily="34" charset="0"/>
                    <a:cs typeface="Arial" panose="020B0604020202020204" pitchFamily="34" charset="0"/>
                  </a:endParaRPr>
                </a:p>
              </xdr:txBody>
            </xdr:sp>
            <xdr:sp macro="" textlink="'Financial Data_H'!$H291">
              <xdr:nvSpPr>
                <xdr:cNvPr id="279" name="TextRevenue">
                  <a:extLst>
                    <a:ext uri="{FF2B5EF4-FFF2-40B4-BE49-F238E27FC236}">
                      <a16:creationId xmlns:a16="http://schemas.microsoft.com/office/drawing/2014/main" id="{00000000-0008-0000-0A00-000017010000}"/>
                    </a:ext>
                  </a:extLst>
                </xdr:cNvPr>
                <xdr:cNvSpPr txBox="1"/>
              </xdr:nvSpPr>
              <xdr:spPr>
                <a:xfrm>
                  <a:off x="10678531" y="26068973"/>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algn="ctr"/>
                  <a:fld id="{A5EB0F71-F524-425D-A964-416B61AD48C7}" type="TxLink">
                    <a:rPr lang="en-US" sz="800" b="1" i="0" u="none" strike="noStrike">
                      <a:solidFill>
                        <a:srgbClr val="00B050"/>
                      </a:solidFill>
                      <a:latin typeface="Arial"/>
                      <a:cs typeface="Arial"/>
                    </a:rPr>
                    <a:pPr algn="ctr"/>
                    <a:t>N/A</a:t>
                  </a:fld>
                  <a:endParaRPr lang="en-US" sz="600" b="1" i="1">
                    <a:solidFill>
                      <a:srgbClr val="00B050"/>
                    </a:solidFill>
                    <a:latin typeface="Arial" panose="020B0604020202020204" pitchFamily="34" charset="0"/>
                    <a:cs typeface="Arial" panose="020B0604020202020204" pitchFamily="34" charset="0"/>
                  </a:endParaRPr>
                </a:p>
              </xdr:txBody>
            </xdr:sp>
            <xdr:sp macro="" textlink="'Financial Data_H'!$H292">
              <xdr:nvSpPr>
                <xdr:cNvPr id="280" name="TextCOGS">
                  <a:extLst>
                    <a:ext uri="{FF2B5EF4-FFF2-40B4-BE49-F238E27FC236}">
                      <a16:creationId xmlns:a16="http://schemas.microsoft.com/office/drawing/2014/main" id="{00000000-0008-0000-0A00-000018010000}"/>
                    </a:ext>
                  </a:extLst>
                </xdr:cNvPr>
                <xdr:cNvSpPr txBox="1"/>
              </xdr:nvSpPr>
              <xdr:spPr>
                <a:xfrm>
                  <a:off x="10678531" y="26661098"/>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BA8EC5FA-F768-4D42-B2C3-B9AD6D5FFC9A}"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293">
              <xdr:nvSpPr>
                <xdr:cNvPr id="281" name="TextSGA">
                  <a:extLst>
                    <a:ext uri="{FF2B5EF4-FFF2-40B4-BE49-F238E27FC236}">
                      <a16:creationId xmlns:a16="http://schemas.microsoft.com/office/drawing/2014/main" id="{00000000-0008-0000-0A00-000019010000}"/>
                    </a:ext>
                  </a:extLst>
                </xdr:cNvPr>
                <xdr:cNvSpPr txBox="1"/>
              </xdr:nvSpPr>
              <xdr:spPr>
                <a:xfrm>
                  <a:off x="10678533" y="27268487"/>
                  <a:ext cx="457946" cy="274321"/>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E08D8E35-D06D-4DFC-A295-496578B4F95C}"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296">
              <xdr:nvSpPr>
                <xdr:cNvPr id="282" name="TextRD">
                  <a:extLst>
                    <a:ext uri="{FF2B5EF4-FFF2-40B4-BE49-F238E27FC236}">
                      <a16:creationId xmlns:a16="http://schemas.microsoft.com/office/drawing/2014/main" id="{00000000-0008-0000-0A00-00001A010000}"/>
                    </a:ext>
                  </a:extLst>
                </xdr:cNvPr>
                <xdr:cNvSpPr txBox="1"/>
              </xdr:nvSpPr>
              <xdr:spPr>
                <a:xfrm>
                  <a:off x="10678532" y="27813939"/>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3DA00E51-EF3F-40F5-AA91-2BACD05498CD}"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29%</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297">
              <xdr:nvSpPr>
                <xdr:cNvPr id="283" name="TextOtherOpEx">
                  <a:extLst>
                    <a:ext uri="{FF2B5EF4-FFF2-40B4-BE49-F238E27FC236}">
                      <a16:creationId xmlns:a16="http://schemas.microsoft.com/office/drawing/2014/main" id="{00000000-0008-0000-0A00-00001B010000}"/>
                    </a:ext>
                  </a:extLst>
                </xdr:cNvPr>
                <xdr:cNvSpPr txBox="1"/>
              </xdr:nvSpPr>
              <xdr:spPr>
                <a:xfrm>
                  <a:off x="10678532" y="28379663"/>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33216CC7-3FF5-4C01-81BB-CE9F59EC051A}"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-29%</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3">
              <xdr:nvSpPr>
                <xdr:cNvPr id="284" name="TextAR">
                  <a:extLst>
                    <a:ext uri="{FF2B5EF4-FFF2-40B4-BE49-F238E27FC236}">
                      <a16:creationId xmlns:a16="http://schemas.microsoft.com/office/drawing/2014/main" id="{00000000-0008-0000-0A00-00001C010000}"/>
                    </a:ext>
                  </a:extLst>
                </xdr:cNvPr>
                <xdr:cNvSpPr txBox="1"/>
              </xdr:nvSpPr>
              <xdr:spPr>
                <a:xfrm>
                  <a:off x="10678531" y="29364374"/>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6A73FB56-7F51-4149-90CE-E76D846D1D3C}"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4">
              <xdr:nvSpPr>
                <xdr:cNvPr id="285" name="TextInventory">
                  <a:extLst>
                    <a:ext uri="{FF2B5EF4-FFF2-40B4-BE49-F238E27FC236}">
                      <a16:creationId xmlns:a16="http://schemas.microsoft.com/office/drawing/2014/main" id="{00000000-0008-0000-0A00-00001D010000}"/>
                    </a:ext>
                  </a:extLst>
                </xdr:cNvPr>
                <xdr:cNvSpPr txBox="1"/>
              </xdr:nvSpPr>
              <xdr:spPr>
                <a:xfrm>
                  <a:off x="10678531" y="29934527"/>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D2F85942-8C66-4163-88DF-5030200E42BB}"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5">
              <xdr:nvSpPr>
                <xdr:cNvPr id="286" name="TextNetPPE">
                  <a:extLst>
                    <a:ext uri="{FF2B5EF4-FFF2-40B4-BE49-F238E27FC236}">
                      <a16:creationId xmlns:a16="http://schemas.microsoft.com/office/drawing/2014/main" id="{00000000-0008-0000-0A00-00001E010000}"/>
                    </a:ext>
                  </a:extLst>
                </xdr:cNvPr>
                <xdr:cNvSpPr txBox="1"/>
              </xdr:nvSpPr>
              <xdr:spPr>
                <a:xfrm>
                  <a:off x="10678531" y="30487028"/>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8E076E49-2723-40E5-BCB1-7FD0986795D5}"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-4%</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6">
              <xdr:nvSpPr>
                <xdr:cNvPr id="287" name="TextOtherAssets">
                  <a:extLst>
                    <a:ext uri="{FF2B5EF4-FFF2-40B4-BE49-F238E27FC236}">
                      <a16:creationId xmlns:a16="http://schemas.microsoft.com/office/drawing/2014/main" id="{00000000-0008-0000-0A00-00001F010000}"/>
                    </a:ext>
                  </a:extLst>
                </xdr:cNvPr>
                <xdr:cNvSpPr txBox="1"/>
              </xdr:nvSpPr>
              <xdr:spPr>
                <a:xfrm>
                  <a:off x="10678531" y="31053254"/>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7998FB68-61D5-47F3-9941-405BBB3A98FF}"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52%</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9">
              <xdr:nvSpPr>
                <xdr:cNvPr id="288" name="TextAP">
                  <a:extLst>
                    <a:ext uri="{FF2B5EF4-FFF2-40B4-BE49-F238E27FC236}">
                      <a16:creationId xmlns:a16="http://schemas.microsoft.com/office/drawing/2014/main" id="{00000000-0008-0000-0A00-000020010000}"/>
                    </a:ext>
                  </a:extLst>
                </xdr:cNvPr>
                <xdr:cNvSpPr txBox="1"/>
              </xdr:nvSpPr>
              <xdr:spPr>
                <a:xfrm>
                  <a:off x="10678531" y="31646955"/>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E85C41E-415C-4F7B-9E06-071F1132F02F}"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_H'!$H310">
              <xdr:nvSpPr>
                <xdr:cNvPr id="289" name="TextOtherCurrentLiabilities">
                  <a:extLst>
                    <a:ext uri="{FF2B5EF4-FFF2-40B4-BE49-F238E27FC236}">
                      <a16:creationId xmlns:a16="http://schemas.microsoft.com/office/drawing/2014/main" id="{00000000-0008-0000-0A00-000021010000}"/>
                    </a:ext>
                  </a:extLst>
                </xdr:cNvPr>
                <xdr:cNvSpPr txBox="1"/>
              </xdr:nvSpPr>
              <xdr:spPr>
                <a:xfrm>
                  <a:off x="10678531" y="32231951"/>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CF81BDD7-C6BB-4C26-B716-5F372FAD9417}"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26%</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_H'!$H293">
              <xdr:nvSpPr>
                <xdr:cNvPr id="290" name="TextGrossProfit">
                  <a:extLst>
                    <a:ext uri="{FF2B5EF4-FFF2-40B4-BE49-F238E27FC236}">
                      <a16:creationId xmlns:a16="http://schemas.microsoft.com/office/drawing/2014/main" id="{00000000-0008-0000-0A00-000022010000}"/>
                    </a:ext>
                  </a:extLst>
                </xdr:cNvPr>
                <xdr:cNvSpPr txBox="1"/>
              </xdr:nvSpPr>
              <xdr:spPr>
                <a:xfrm>
                  <a:off x="8516733" y="26776755"/>
                  <a:ext cx="454631"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4E8E168-4F02-4B9F-8B3B-28D5331EC805}"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_H'!$H298">
              <xdr:nvSpPr>
                <xdr:cNvPr id="291" name="TextOpEx">
                  <a:extLst>
                    <a:ext uri="{FF2B5EF4-FFF2-40B4-BE49-F238E27FC236}">
                      <a16:creationId xmlns:a16="http://schemas.microsoft.com/office/drawing/2014/main" id="{00000000-0008-0000-0A00-000023010000}"/>
                    </a:ext>
                  </a:extLst>
                </xdr:cNvPr>
                <xdr:cNvSpPr txBox="1"/>
              </xdr:nvSpPr>
              <xdr:spPr>
                <a:xfrm>
                  <a:off x="8506877" y="28178501"/>
                  <a:ext cx="457946" cy="274321"/>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19036941-BC55-4028-82ED-F57D1488F943}"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N/A</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299">
              <xdr:nvSpPr>
                <xdr:cNvPr id="292" name="TextTaxesAndOther">
                  <a:extLst>
                    <a:ext uri="{FF2B5EF4-FFF2-40B4-BE49-F238E27FC236}">
                      <a16:creationId xmlns:a16="http://schemas.microsoft.com/office/drawing/2014/main" id="{00000000-0008-0000-0A00-000024010000}"/>
                    </a:ext>
                  </a:extLst>
                </xdr:cNvPr>
                <xdr:cNvSpPr txBox="1"/>
              </xdr:nvSpPr>
              <xdr:spPr>
                <a:xfrm>
                  <a:off x="8515077" y="28922674"/>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E307266E-006F-4933-8688-845631D141B9}"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15%</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7">
              <xdr:nvSpPr>
                <xdr:cNvPr id="293" name="TextTotalAssets">
                  <a:extLst>
                    <a:ext uri="{FF2B5EF4-FFF2-40B4-BE49-F238E27FC236}">
                      <a16:creationId xmlns:a16="http://schemas.microsoft.com/office/drawing/2014/main" id="{00000000-0008-0000-0A00-000025010000}"/>
                    </a:ext>
                  </a:extLst>
                </xdr:cNvPr>
                <xdr:cNvSpPr txBox="1"/>
              </xdr:nvSpPr>
              <xdr:spPr>
                <a:xfrm>
                  <a:off x="8515077" y="30643508"/>
                  <a:ext cx="457946"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FA289D00-BD4D-493E-98B4-7652D8E7E554}"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20%</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11">
              <xdr:nvSpPr>
                <xdr:cNvPr id="294" name="TextTotalCurrentLiabilities">
                  <a:extLst>
                    <a:ext uri="{FF2B5EF4-FFF2-40B4-BE49-F238E27FC236}">
                      <a16:creationId xmlns:a16="http://schemas.microsoft.com/office/drawing/2014/main" id="{00000000-0008-0000-0A00-000026010000}"/>
                    </a:ext>
                  </a:extLst>
                </xdr:cNvPr>
                <xdr:cNvSpPr txBox="1"/>
              </xdr:nvSpPr>
              <xdr:spPr>
                <a:xfrm>
                  <a:off x="8515077" y="32258577"/>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AE9C024E-BAF3-4DF1-985C-9F96B534CF31}"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26%</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_H'!$H313">
              <xdr:nvSpPr>
                <xdr:cNvPr id="295" name="TextCapitalEmployed">
                  <a:extLst>
                    <a:ext uri="{FF2B5EF4-FFF2-40B4-BE49-F238E27FC236}">
                      <a16:creationId xmlns:a16="http://schemas.microsoft.com/office/drawing/2014/main" id="{00000000-0008-0000-0A00-000027010000}"/>
                    </a:ext>
                  </a:extLst>
                </xdr:cNvPr>
                <xdr:cNvSpPr txBox="1"/>
              </xdr:nvSpPr>
              <xdr:spPr>
                <a:xfrm>
                  <a:off x="7116695" y="31481121"/>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9F283A51-DE9F-42B6-AC6E-6047818A7060}" type="TxLink">
                    <a:rPr lang="en-US" sz="800" b="1" i="0" u="none" strike="noStrike" kern="1200">
                      <a:solidFill>
                        <a:srgbClr val="FF0000"/>
                      </a:solidFill>
                      <a:latin typeface="Arial"/>
                      <a:ea typeface="ＭＳ Ｐゴシック" charset="-128"/>
                      <a:cs typeface="Arial"/>
                    </a:rPr>
                    <a:pPr marL="0" indent="0" algn="ctr" rtl="0" fontAlgn="base">
                      <a:spcBef>
                        <a:spcPct val="0"/>
                      </a:spcBef>
                      <a:spcAft>
                        <a:spcPct val="0"/>
                      </a:spcAft>
                    </a:pPr>
                    <a:t>16%</a:t>
                  </a:fld>
                  <a:endParaRPr lang="en-US" sz="6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_H'!$H300">
              <xdr:nvSpPr>
                <xdr:cNvPr id="296" name="TextNetIncome">
                  <a:extLst>
                    <a:ext uri="{FF2B5EF4-FFF2-40B4-BE49-F238E27FC236}">
                      <a16:creationId xmlns:a16="http://schemas.microsoft.com/office/drawing/2014/main" id="{00000000-0008-0000-0A00-000028010000}"/>
                    </a:ext>
                  </a:extLst>
                </xdr:cNvPr>
                <xdr:cNvSpPr txBox="1"/>
              </xdr:nvSpPr>
              <xdr:spPr>
                <a:xfrm>
                  <a:off x="7086574" y="28238966"/>
                  <a:ext cx="457946" cy="274321"/>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855B54C-50E8-47A4-A066-4E1CBD614EA8}"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-15%</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_H'!$F289">
              <xdr:nvSpPr>
                <xdr:cNvPr id="297" name="Pentagon 296">
                  <a:extLst>
                    <a:ext uri="{FF2B5EF4-FFF2-40B4-BE49-F238E27FC236}">
                      <a16:creationId xmlns:a16="http://schemas.microsoft.com/office/drawing/2014/main" id="{00000000-0008-0000-0A00-000029010000}"/>
                    </a:ext>
                  </a:extLst>
                </xdr:cNvPr>
                <xdr:cNvSpPr/>
              </xdr:nvSpPr>
              <xdr:spPr>
                <a:xfrm flipH="1">
                  <a:off x="4307129" y="25983148"/>
                  <a:ext cx="1003056" cy="274320"/>
                </a:xfrm>
                <a:prstGeom prst="homePlate">
                  <a:avLst/>
                </a:prstGeom>
                <a:solidFill>
                  <a:schemeClr val="accent3">
                    <a:lumMod val="50000"/>
                  </a:schemeClr>
                </a:solidFill>
                <a:ln>
                  <a:noFill/>
                </a:ln>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A9CB48F-3A18-4B76-8BE1-C4B0F9D9E75A}" type="TxLink">
                    <a:rPr lang="en-US" sz="800" b="1" i="0" u="none" strike="noStrike">
                      <a:solidFill>
                        <a:srgbClr val="FFFFFF"/>
                      </a:solidFill>
                      <a:latin typeface="Arial"/>
                      <a:cs typeface="Arial"/>
                    </a:rPr>
                    <a:pPr algn="ctr"/>
                    <a:t>FY2014</a:t>
                  </a:fld>
                  <a:endParaRPr lang="en-US" sz="600" b="0" i="1">
                    <a:solidFill>
                      <a:schemeClr val="bg1"/>
                    </a:solidFill>
                    <a:latin typeface="Arial" panose="020B0604020202020204" pitchFamily="34" charset="0"/>
                    <a:cs typeface="Arial" panose="020B0604020202020204" pitchFamily="34" charset="0"/>
                  </a:endParaRPr>
                </a:p>
              </xdr:txBody>
            </xdr:sp>
            <xdr:sp macro="" textlink="'Financial Data_H'!$G289">
              <xdr:nvSpPr>
                <xdr:cNvPr id="298" name="Pentagon 297">
                  <a:extLst>
                    <a:ext uri="{FF2B5EF4-FFF2-40B4-BE49-F238E27FC236}">
                      <a16:creationId xmlns:a16="http://schemas.microsoft.com/office/drawing/2014/main" id="{00000000-0008-0000-0A00-00002A010000}"/>
                    </a:ext>
                  </a:extLst>
                </xdr:cNvPr>
                <xdr:cNvSpPr/>
              </xdr:nvSpPr>
              <xdr:spPr>
                <a:xfrm>
                  <a:off x="5469862" y="25983148"/>
                  <a:ext cx="1005299" cy="274320"/>
                </a:xfrm>
                <a:prstGeom prst="homePlate">
                  <a:avLst>
                    <a:gd name="adj" fmla="val 40722"/>
                  </a:avLst>
                </a:prstGeom>
                <a:solidFill>
                  <a:schemeClr val="accent3">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283DA9A-A696-41A6-B659-FD601B31B5AF}" type="TxLink">
                    <a:rPr lang="en-US" sz="800" b="1" i="0" u="none" strike="noStrike">
                      <a:solidFill>
                        <a:srgbClr val="FFFFFF"/>
                      </a:solidFill>
                      <a:latin typeface="Arial"/>
                      <a:cs typeface="Arial"/>
                    </a:rPr>
                    <a:pPr algn="ctr"/>
                    <a:t>FY2022</a:t>
                  </a:fld>
                  <a:endParaRPr lang="en-US" sz="600" b="0" i="1">
                    <a:solidFill>
                      <a:schemeClr val="bg1"/>
                    </a:solidFill>
                    <a:latin typeface="Arial" panose="020B0604020202020204" pitchFamily="34" charset="0"/>
                    <a:cs typeface="Arial" panose="020B0604020202020204" pitchFamily="34" charset="0"/>
                  </a:endParaRPr>
                </a:p>
              </xdr:txBody>
            </xdr:sp>
            <xdr:sp macro="" textlink="'Financial Data_H'!H315">
              <xdr:nvSpPr>
                <xdr:cNvPr id="299" name="TextROCEChange">
                  <a:extLst>
                    <a:ext uri="{FF2B5EF4-FFF2-40B4-BE49-F238E27FC236}">
                      <a16:creationId xmlns:a16="http://schemas.microsoft.com/office/drawing/2014/main" id="{00000000-0008-0000-0A00-00002B010000}"/>
                    </a:ext>
                  </a:extLst>
                </xdr:cNvPr>
                <xdr:cNvSpPr txBox="1"/>
              </xdr:nvSpPr>
              <xdr:spPr>
                <a:xfrm>
                  <a:off x="5599185" y="29960285"/>
                  <a:ext cx="606750" cy="2560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321AD6-BD3C-446C-99DB-9ED45C8774CE}" type="TxLink">
                    <a:rPr lang="en-US" sz="800" b="1" i="0" u="none" strike="noStrike">
                      <a:solidFill>
                        <a:srgbClr val="00B050"/>
                      </a:solidFill>
                      <a:latin typeface="Arial"/>
                      <a:cs typeface="Arial"/>
                    </a:rPr>
                    <a:pPr algn="ctr"/>
                    <a:t>-27%</a:t>
                  </a:fld>
                  <a:endParaRPr lang="en-US" sz="600" b="1">
                    <a:solidFill>
                      <a:srgbClr val="00B050"/>
                    </a:solidFill>
                    <a:latin typeface="Arial" panose="020B0604020202020204" pitchFamily="34" charset="0"/>
                    <a:cs typeface="Arial" panose="020B0604020202020204" pitchFamily="34" charset="0"/>
                  </a:endParaRPr>
                </a:p>
              </xdr:txBody>
            </xdr:sp>
          </xdr:grpSp>
          <xdr:sp macro="" textlink="'Financial Data_H'!$S294">
            <xdr:nvSpPr>
              <xdr:cNvPr id="241" name="Rounded Rectangle 8">
                <a:extLst>
                  <a:ext uri="{FF2B5EF4-FFF2-40B4-BE49-F238E27FC236}">
                    <a16:creationId xmlns:a16="http://schemas.microsoft.com/office/drawing/2014/main" id="{00000000-0008-0000-0A00-0000F1000000}"/>
                  </a:ext>
                </a:extLst>
              </xdr:cNvPr>
              <xdr:cNvSpPr/>
            </xdr:nvSpPr>
            <xdr:spPr>
              <a:xfrm flipH="1">
                <a:off x="1572359" y="15999717"/>
                <a:ext cx="916664"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CAFA512-1ED6-498F-9E2B-B9BACEFD0DE4}" type="TxLink">
                  <a:rPr lang="en-US" sz="800" b="0" i="0" u="none" strike="noStrike" kern="1200">
                    <a:solidFill>
                      <a:schemeClr val="tx1"/>
                    </a:solidFill>
                    <a:latin typeface="Arial"/>
                    <a:cs typeface="Arial"/>
                  </a:rPr>
                  <a:pPr lvl="0" algn="ctr" defTabSz="800100">
                    <a:lnSpc>
                      <a:spcPct val="90000"/>
                    </a:lnSpc>
                    <a:spcBef>
                      <a:spcPct val="0"/>
                    </a:spcBef>
                    <a:spcAft>
                      <a:spcPct val="35000"/>
                    </a:spcAft>
                  </a:pPr>
                  <a:t>Gross Profit 
0</a:t>
                </a:fld>
                <a:endParaRPr lang="en-US" sz="600" b="0" kern="1200">
                  <a:solidFill>
                    <a:schemeClr val="tx1"/>
                  </a:solidFill>
                  <a:latin typeface="Arial" panose="020B0604020202020204" pitchFamily="34" charset="0"/>
                  <a:cs typeface="Arial" panose="020B0604020202020204" pitchFamily="34" charset="0"/>
                </a:endParaRPr>
              </a:p>
            </xdr:txBody>
          </xdr:sp>
        </xdr:grpSp>
        <xdr:grpSp>
          <xdr:nvGrpSpPr>
            <xdr:cNvPr id="203" name="Group 202">
              <a:extLst>
                <a:ext uri="{FF2B5EF4-FFF2-40B4-BE49-F238E27FC236}">
                  <a16:creationId xmlns:a16="http://schemas.microsoft.com/office/drawing/2014/main" id="{00000000-0008-0000-0A00-0000CB000000}"/>
                </a:ext>
              </a:extLst>
            </xdr:cNvPr>
            <xdr:cNvGrpSpPr/>
          </xdr:nvGrpSpPr>
          <xdr:grpSpPr>
            <a:xfrm>
              <a:off x="1076615" y="15915932"/>
              <a:ext cx="8721021" cy="6144644"/>
              <a:chOff x="1076615" y="15915932"/>
              <a:chExt cx="8721021" cy="6144644"/>
            </a:xfrm>
          </xdr:grpSpPr>
          <xdr:cxnSp macro="">
            <xdr:nvCxnSpPr>
              <xdr:cNvPr id="204" name="Straight Connector 203">
                <a:extLst>
                  <a:ext uri="{FF2B5EF4-FFF2-40B4-BE49-F238E27FC236}">
                    <a16:creationId xmlns:a16="http://schemas.microsoft.com/office/drawing/2014/main" id="{00000000-0008-0000-0A00-0000CC000000}"/>
                  </a:ext>
                </a:extLst>
              </xdr:cNvPr>
              <xdr:cNvCxnSpPr>
                <a:stCxn id="266" idx="1"/>
                <a:endCxn id="265" idx="3"/>
              </xdr:cNvCxnSpPr>
            </xdr:nvCxnSpPr>
            <xdr:spPr>
              <a:xfrm>
                <a:off x="1080011" y="17095642"/>
                <a:ext cx="490583" cy="55419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5" name="Straight Connector 204">
                <a:extLst>
                  <a:ext uri="{FF2B5EF4-FFF2-40B4-BE49-F238E27FC236}">
                    <a16:creationId xmlns:a16="http://schemas.microsoft.com/office/drawing/2014/main" id="{00000000-0008-0000-0A00-0000CD000000}"/>
                  </a:ext>
                </a:extLst>
              </xdr:cNvPr>
              <xdr:cNvCxnSpPr>
                <a:stCxn id="267" idx="1"/>
                <a:endCxn id="265" idx="3"/>
              </xdr:cNvCxnSpPr>
            </xdr:nvCxnSpPr>
            <xdr:spPr>
              <a:xfrm>
                <a:off x="1080011" y="17649834"/>
                <a:ext cx="490583"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6" name="Straight Connector 205">
                <a:extLst>
                  <a:ext uri="{FF2B5EF4-FFF2-40B4-BE49-F238E27FC236}">
                    <a16:creationId xmlns:a16="http://schemas.microsoft.com/office/drawing/2014/main" id="{00000000-0008-0000-0A00-0000CE000000}"/>
                  </a:ext>
                </a:extLst>
              </xdr:cNvPr>
              <xdr:cNvCxnSpPr>
                <a:stCxn id="268" idx="1"/>
                <a:endCxn id="265" idx="3"/>
              </xdr:cNvCxnSpPr>
            </xdr:nvCxnSpPr>
            <xdr:spPr>
              <a:xfrm flipV="1">
                <a:off x="1080011" y="17649834"/>
                <a:ext cx="490583" cy="555649"/>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A00-0000CF000000}"/>
                  </a:ext>
                </a:extLst>
              </xdr:cNvPr>
              <xdr:cNvCxnSpPr>
                <a:stCxn id="265" idx="1"/>
                <a:endCxn id="262" idx="3"/>
              </xdr:cNvCxnSpPr>
            </xdr:nvCxnSpPr>
            <xdr:spPr>
              <a:xfrm>
                <a:off x="2486839" y="17649834"/>
                <a:ext cx="528387"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A00-0000D0000000}"/>
                  </a:ext>
                </a:extLst>
              </xdr:cNvPr>
              <xdr:cNvCxnSpPr>
                <a:stCxn id="269" idx="1"/>
                <a:endCxn id="262" idx="3"/>
              </xdr:cNvCxnSpPr>
            </xdr:nvCxnSpPr>
            <xdr:spPr>
              <a:xfrm flipV="1">
                <a:off x="2486839" y="17649834"/>
                <a:ext cx="528387" cy="7189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A00-0000D1000000}"/>
                  </a:ext>
                </a:extLst>
              </xdr:cNvPr>
              <xdr:cNvCxnSpPr>
                <a:stCxn id="273" idx="1"/>
                <a:endCxn id="271" idx="3"/>
              </xdr:cNvCxnSpPr>
            </xdr:nvCxnSpPr>
            <xdr:spPr>
              <a:xfrm>
                <a:off x="1080011" y="19207313"/>
                <a:ext cx="490583" cy="91298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A00-0000D2000000}"/>
                  </a:ext>
                </a:extLst>
              </xdr:cNvPr>
              <xdr:cNvCxnSpPr>
                <a:stCxn id="272" idx="1"/>
                <a:endCxn id="271" idx="3"/>
              </xdr:cNvCxnSpPr>
            </xdr:nvCxnSpPr>
            <xdr:spPr>
              <a:xfrm>
                <a:off x="1080011" y="19764525"/>
                <a:ext cx="490583" cy="35577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1" name="Straight Connector 210">
                <a:extLst>
                  <a:ext uri="{FF2B5EF4-FFF2-40B4-BE49-F238E27FC236}">
                    <a16:creationId xmlns:a16="http://schemas.microsoft.com/office/drawing/2014/main" id="{00000000-0008-0000-0A00-0000D3000000}"/>
                  </a:ext>
                </a:extLst>
              </xdr:cNvPr>
              <xdr:cNvCxnSpPr>
                <a:stCxn id="275" idx="1"/>
                <a:endCxn id="271" idx="3"/>
              </xdr:cNvCxnSpPr>
            </xdr:nvCxnSpPr>
            <xdr:spPr>
              <a:xfrm flipV="1">
                <a:off x="1080011" y="20120297"/>
                <a:ext cx="490583" cy="20306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A00-0000D4000000}"/>
                  </a:ext>
                </a:extLst>
              </xdr:cNvPr>
              <xdr:cNvCxnSpPr>
                <a:stCxn id="274" idx="1"/>
                <a:endCxn id="271" idx="3"/>
              </xdr:cNvCxnSpPr>
            </xdr:nvCxnSpPr>
            <xdr:spPr>
              <a:xfrm flipV="1">
                <a:off x="1080011" y="20120297"/>
                <a:ext cx="490583" cy="75625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A00-0000D5000000}"/>
                  </a:ext>
                </a:extLst>
              </xdr:cNvPr>
              <xdr:cNvCxnSpPr>
                <a:stCxn id="277" idx="1"/>
                <a:endCxn id="276" idx="3"/>
              </xdr:cNvCxnSpPr>
            </xdr:nvCxnSpPr>
            <xdr:spPr>
              <a:xfrm>
                <a:off x="1080011" y="21508819"/>
                <a:ext cx="490583" cy="20288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A00-0000D6000000}"/>
                  </a:ext>
                </a:extLst>
              </xdr:cNvPr>
              <xdr:cNvCxnSpPr>
                <a:stCxn id="278" idx="1"/>
                <a:endCxn id="276" idx="3"/>
              </xdr:cNvCxnSpPr>
            </xdr:nvCxnSpPr>
            <xdr:spPr>
              <a:xfrm flipV="1">
                <a:off x="1080011" y="21711699"/>
                <a:ext cx="490583" cy="348876"/>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A00-0000D7000000}"/>
                  </a:ext>
                </a:extLst>
              </xdr:cNvPr>
              <xdr:cNvCxnSpPr>
                <a:stCxn id="271" idx="1"/>
                <a:endCxn id="270" idx="3"/>
              </xdr:cNvCxnSpPr>
            </xdr:nvCxnSpPr>
            <xdr:spPr>
              <a:xfrm>
                <a:off x="2486839" y="20120297"/>
                <a:ext cx="528387" cy="78858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A00-0000D8000000}"/>
                  </a:ext>
                </a:extLst>
              </xdr:cNvPr>
              <xdr:cNvCxnSpPr>
                <a:stCxn id="276" idx="1"/>
                <a:endCxn id="270" idx="3"/>
              </xdr:cNvCxnSpPr>
            </xdr:nvCxnSpPr>
            <xdr:spPr>
              <a:xfrm flipV="1">
                <a:off x="2486839" y="20908878"/>
                <a:ext cx="528387" cy="80282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A00-0000D9000000}"/>
                  </a:ext>
                </a:extLst>
              </xdr:cNvPr>
              <xdr:cNvCxnSpPr>
                <a:stCxn id="245" idx="1"/>
                <a:endCxn id="244" idx="3"/>
              </xdr:cNvCxnSpPr>
            </xdr:nvCxnSpPr>
            <xdr:spPr>
              <a:xfrm flipH="1">
                <a:off x="9269432" y="15915932"/>
                <a:ext cx="525095" cy="311694"/>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A00-0000DA000000}"/>
                  </a:ext>
                </a:extLst>
              </xdr:cNvPr>
              <xdr:cNvCxnSpPr>
                <a:stCxn id="246" idx="1"/>
                <a:endCxn id="244" idx="3"/>
              </xdr:cNvCxnSpPr>
            </xdr:nvCxnSpPr>
            <xdr:spPr>
              <a:xfrm flipH="1" flipV="1">
                <a:off x="9269189" y="16227627"/>
                <a:ext cx="525670" cy="2464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A00-0000DB000000}"/>
                  </a:ext>
                </a:extLst>
              </xdr:cNvPr>
              <xdr:cNvCxnSpPr>
                <a:stCxn id="248" idx="1"/>
                <a:endCxn id="247" idx="3"/>
              </xdr:cNvCxnSpPr>
            </xdr:nvCxnSpPr>
            <xdr:spPr>
              <a:xfrm flipH="1">
                <a:off x="9269189" y="17095642"/>
                <a:ext cx="525670" cy="55419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A00-0000DC000000}"/>
                  </a:ext>
                </a:extLst>
              </xdr:cNvPr>
              <xdr:cNvCxnSpPr>
                <a:stCxn id="249" idx="1"/>
                <a:endCxn id="247" idx="3"/>
              </xdr:cNvCxnSpPr>
            </xdr:nvCxnSpPr>
            <xdr:spPr>
              <a:xfrm flipH="1">
                <a:off x="9269189" y="17649834"/>
                <a:ext cx="52567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A00-0000DD000000}"/>
                  </a:ext>
                </a:extLst>
              </xdr:cNvPr>
              <xdr:cNvCxnSpPr>
                <a:stCxn id="250" idx="1"/>
                <a:endCxn id="247" idx="3"/>
              </xdr:cNvCxnSpPr>
            </xdr:nvCxnSpPr>
            <xdr:spPr>
              <a:xfrm flipH="1" flipV="1">
                <a:off x="9269189" y="17649834"/>
                <a:ext cx="517012" cy="5556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A00-0000DE000000}"/>
                  </a:ext>
                </a:extLst>
              </xdr:cNvPr>
              <xdr:cNvCxnSpPr>
                <a:stCxn id="243" idx="1"/>
                <a:endCxn id="242" idx="3"/>
              </xdr:cNvCxnSpPr>
            </xdr:nvCxnSpPr>
            <xdr:spPr>
              <a:xfrm flipH="1">
                <a:off x="6406004" y="17649835"/>
                <a:ext cx="524586" cy="1710336"/>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A00-0000DF000000}"/>
                  </a:ext>
                </a:extLst>
              </xdr:cNvPr>
              <xdr:cNvCxnSpPr>
                <a:stCxn id="262" idx="1"/>
                <a:endCxn id="261" idx="3"/>
              </xdr:cNvCxnSpPr>
            </xdr:nvCxnSpPr>
            <xdr:spPr>
              <a:xfrm>
                <a:off x="3931472" y="17649835"/>
                <a:ext cx="513152" cy="171033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A00-0000E0000000}"/>
                  </a:ext>
                </a:extLst>
              </xdr:cNvPr>
              <xdr:cNvCxnSpPr>
                <a:stCxn id="270" idx="1"/>
                <a:endCxn id="261" idx="3"/>
              </xdr:cNvCxnSpPr>
            </xdr:nvCxnSpPr>
            <xdr:spPr>
              <a:xfrm flipV="1">
                <a:off x="3931472" y="19360171"/>
                <a:ext cx="513152" cy="15487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A00-0000E1000000}"/>
                  </a:ext>
                </a:extLst>
              </xdr:cNvPr>
              <xdr:cNvCxnSpPr>
                <a:stCxn id="242" idx="3"/>
                <a:endCxn id="252" idx="1"/>
              </xdr:cNvCxnSpPr>
            </xdr:nvCxnSpPr>
            <xdr:spPr>
              <a:xfrm>
                <a:off x="6406005" y="19360171"/>
                <a:ext cx="524587" cy="15487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A00-0000E2000000}"/>
                  </a:ext>
                </a:extLst>
              </xdr:cNvPr>
              <xdr:cNvCxnSpPr>
                <a:stCxn id="244" idx="1"/>
                <a:endCxn id="243" idx="3"/>
              </xdr:cNvCxnSpPr>
            </xdr:nvCxnSpPr>
            <xdr:spPr>
              <a:xfrm flipH="1">
                <a:off x="7846833" y="16227627"/>
                <a:ext cx="506112" cy="14222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A00-0000E3000000}"/>
                  </a:ext>
                </a:extLst>
              </xdr:cNvPr>
              <xdr:cNvCxnSpPr>
                <a:stCxn id="247" idx="1"/>
                <a:endCxn id="243" idx="3"/>
              </xdr:cNvCxnSpPr>
            </xdr:nvCxnSpPr>
            <xdr:spPr>
              <a:xfrm flipH="1">
                <a:off x="7846833" y="17649834"/>
                <a:ext cx="506112"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A00-0000E4000000}"/>
                  </a:ext>
                </a:extLst>
              </xdr:cNvPr>
              <xdr:cNvCxnSpPr>
                <a:stCxn id="251" idx="1"/>
                <a:endCxn id="243" idx="3"/>
              </xdr:cNvCxnSpPr>
            </xdr:nvCxnSpPr>
            <xdr:spPr>
              <a:xfrm flipH="1" flipV="1">
                <a:off x="7846833" y="17649834"/>
                <a:ext cx="506112" cy="7189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A00-0000E5000000}"/>
                  </a:ext>
                </a:extLst>
              </xdr:cNvPr>
              <xdr:cNvCxnSpPr>
                <a:stCxn id="252" idx="3"/>
                <a:endCxn id="253" idx="1"/>
              </xdr:cNvCxnSpPr>
            </xdr:nvCxnSpPr>
            <xdr:spPr>
              <a:xfrm flipV="1">
                <a:off x="7846835" y="20120297"/>
                <a:ext cx="506112" cy="78858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A00-0000E6000000}"/>
                  </a:ext>
                </a:extLst>
              </xdr:cNvPr>
              <xdr:cNvCxnSpPr>
                <a:stCxn id="252" idx="3"/>
                <a:endCxn id="258" idx="1"/>
              </xdr:cNvCxnSpPr>
            </xdr:nvCxnSpPr>
            <xdr:spPr>
              <a:xfrm>
                <a:off x="7846835" y="20908878"/>
                <a:ext cx="506112" cy="80282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A00-0000E7000000}"/>
                  </a:ext>
                </a:extLst>
              </xdr:cNvPr>
              <xdr:cNvCxnSpPr>
                <a:stCxn id="255" idx="1"/>
                <a:endCxn id="253" idx="3"/>
              </xdr:cNvCxnSpPr>
            </xdr:nvCxnSpPr>
            <xdr:spPr>
              <a:xfrm flipH="1">
                <a:off x="9269189" y="19207313"/>
                <a:ext cx="528447" cy="91298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A00-0000E8000000}"/>
                  </a:ext>
                </a:extLst>
              </xdr:cNvPr>
              <xdr:cNvCxnSpPr>
                <a:stCxn id="253" idx="3"/>
                <a:endCxn id="254" idx="1"/>
              </xdr:cNvCxnSpPr>
            </xdr:nvCxnSpPr>
            <xdr:spPr>
              <a:xfrm flipV="1">
                <a:off x="9269189" y="19764525"/>
                <a:ext cx="528447" cy="35577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A00-0000E9000000}"/>
                  </a:ext>
                </a:extLst>
              </xdr:cNvPr>
              <xdr:cNvCxnSpPr>
                <a:stCxn id="253" idx="3"/>
                <a:endCxn id="257" idx="1"/>
              </xdr:cNvCxnSpPr>
            </xdr:nvCxnSpPr>
            <xdr:spPr>
              <a:xfrm>
                <a:off x="9269189" y="20120297"/>
                <a:ext cx="528447" cy="20306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A00-0000EA000000}"/>
                  </a:ext>
                </a:extLst>
              </xdr:cNvPr>
              <xdr:cNvCxnSpPr>
                <a:stCxn id="253" idx="3"/>
                <a:endCxn id="256" idx="1"/>
              </xdr:cNvCxnSpPr>
            </xdr:nvCxnSpPr>
            <xdr:spPr>
              <a:xfrm>
                <a:off x="9269189" y="20120297"/>
                <a:ext cx="521854" cy="75625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A00-0000EB000000}"/>
                  </a:ext>
                </a:extLst>
              </xdr:cNvPr>
              <xdr:cNvCxnSpPr>
                <a:stCxn id="258" idx="3"/>
                <a:endCxn id="259" idx="1"/>
              </xdr:cNvCxnSpPr>
            </xdr:nvCxnSpPr>
            <xdr:spPr>
              <a:xfrm flipV="1">
                <a:off x="9269189" y="21508819"/>
                <a:ext cx="523453" cy="20288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A00-0000EC000000}"/>
                  </a:ext>
                </a:extLst>
              </xdr:cNvPr>
              <xdr:cNvCxnSpPr>
                <a:stCxn id="258" idx="3"/>
                <a:endCxn id="260" idx="1"/>
              </xdr:cNvCxnSpPr>
            </xdr:nvCxnSpPr>
            <xdr:spPr>
              <a:xfrm>
                <a:off x="9269189" y="21711699"/>
                <a:ext cx="528444" cy="3488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A00-0000ED000000}"/>
                  </a:ext>
                </a:extLst>
              </xdr:cNvPr>
              <xdr:cNvCxnSpPr>
                <a:stCxn id="241" idx="3"/>
                <a:endCxn id="263" idx="1"/>
              </xdr:cNvCxnSpPr>
            </xdr:nvCxnSpPr>
            <xdr:spPr>
              <a:xfrm flipH="1" flipV="1">
                <a:off x="1076615" y="15915932"/>
                <a:ext cx="491790" cy="311694"/>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A00-0000EE000000}"/>
                  </a:ext>
                </a:extLst>
              </xdr:cNvPr>
              <xdr:cNvCxnSpPr>
                <a:stCxn id="241" idx="3"/>
                <a:endCxn id="264" idx="1"/>
              </xdr:cNvCxnSpPr>
            </xdr:nvCxnSpPr>
            <xdr:spPr>
              <a:xfrm flipH="1">
                <a:off x="1080011" y="16227627"/>
                <a:ext cx="490574" cy="2464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A00-0000EF000000}"/>
                  </a:ext>
                </a:extLst>
              </xdr:cNvPr>
              <xdr:cNvCxnSpPr>
                <a:stCxn id="241" idx="1"/>
                <a:endCxn id="262" idx="3"/>
              </xdr:cNvCxnSpPr>
            </xdr:nvCxnSpPr>
            <xdr:spPr>
              <a:xfrm>
                <a:off x="2486149" y="16227627"/>
                <a:ext cx="529078" cy="14222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xnSp macro="">
        <xdr:nvCxnSpPr>
          <xdr:cNvPr id="201" name="Straight Connector 200">
            <a:extLst>
              <a:ext uri="{FF2B5EF4-FFF2-40B4-BE49-F238E27FC236}">
                <a16:creationId xmlns:a16="http://schemas.microsoft.com/office/drawing/2014/main" id="{00000000-0008-0000-0A00-0000C9000000}"/>
              </a:ext>
            </a:extLst>
          </xdr:cNvPr>
          <xdr:cNvCxnSpPr/>
        </xdr:nvCxnSpPr>
        <xdr:spPr>
          <a:xfrm flipH="1">
            <a:off x="4684090" y="15540935"/>
            <a:ext cx="21769" cy="5669280"/>
          </a:xfrm>
          <a:prstGeom prst="line">
            <a:avLst/>
          </a:prstGeom>
          <a:ln>
            <a:solidFill>
              <a:srgbClr val="00355D"/>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12</xdr:col>
          <xdr:colOff>666750</xdr:colOff>
          <xdr:row>16</xdr:row>
          <xdr:rowOff>28575</xdr:rowOff>
        </xdr:from>
        <xdr:to>
          <xdr:col>14</xdr:col>
          <xdr:colOff>142875</xdr:colOff>
          <xdr:row>17</xdr:row>
          <xdr:rowOff>57150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A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676275</xdr:colOff>
          <xdr:row>44</xdr:row>
          <xdr:rowOff>28575</xdr:rowOff>
        </xdr:from>
        <xdr:to>
          <xdr:col>14</xdr:col>
          <xdr:colOff>152400</xdr:colOff>
          <xdr:row>45</xdr:row>
          <xdr:rowOff>57150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A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86</xdr:row>
          <xdr:rowOff>57150</xdr:rowOff>
        </xdr:from>
        <xdr:to>
          <xdr:col>14</xdr:col>
          <xdr:colOff>133350</xdr:colOff>
          <xdr:row>87</xdr:row>
          <xdr:rowOff>76200</xdr:rowOff>
        </xdr:to>
        <xdr:sp macro="" textlink="">
          <xdr:nvSpPr>
            <xdr:cNvPr id="4106" name="Drop Down 10" hidden="1">
              <a:extLst>
                <a:ext uri="{63B3BB69-23CF-44E3-9099-C40C66FF867C}">
                  <a14:compatExt spid="_x0000_s4106"/>
                </a:ext>
                <a:ext uri="{FF2B5EF4-FFF2-40B4-BE49-F238E27FC236}">
                  <a16:creationId xmlns:a16="http://schemas.microsoft.com/office/drawing/2014/main" id="{00000000-0008-0000-0A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114</xdr:row>
          <xdr:rowOff>38100</xdr:rowOff>
        </xdr:from>
        <xdr:to>
          <xdr:col>14</xdr:col>
          <xdr:colOff>133350</xdr:colOff>
          <xdr:row>115</xdr:row>
          <xdr:rowOff>57150</xdr:rowOff>
        </xdr:to>
        <xdr:sp macro="" textlink="">
          <xdr:nvSpPr>
            <xdr:cNvPr id="4108" name="Drop Down 12" hidden="1">
              <a:extLst>
                <a:ext uri="{63B3BB69-23CF-44E3-9099-C40C66FF867C}">
                  <a14:compatExt spid="_x0000_s4108"/>
                </a:ext>
                <a:ext uri="{FF2B5EF4-FFF2-40B4-BE49-F238E27FC236}">
                  <a16:creationId xmlns:a16="http://schemas.microsoft.com/office/drawing/2014/main" id="{00000000-0008-0000-0A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128</xdr:row>
      <xdr:rowOff>0</xdr:rowOff>
    </xdr:from>
    <xdr:to>
      <xdr:col>7</xdr:col>
      <xdr:colOff>310101</xdr:colOff>
      <xdr:row>141</xdr:row>
      <xdr:rowOff>100054</xdr:rowOff>
    </xdr:to>
    <xdr:graphicFrame macro="">
      <xdr:nvGraphicFramePr>
        <xdr:cNvPr id="2" name="GraphCapitalAdequacy">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687455</xdr:colOff>
      <xdr:row>128</xdr:row>
      <xdr:rowOff>0</xdr:rowOff>
    </xdr:from>
    <xdr:to>
      <xdr:col>14</xdr:col>
      <xdr:colOff>310100</xdr:colOff>
      <xdr:row>141</xdr:row>
      <xdr:rowOff>100054</xdr:rowOff>
    </xdr:to>
    <xdr:graphicFrame macro="">
      <xdr:nvGraphicFramePr>
        <xdr:cNvPr id="5" name="GraphAllowanceLoanLoss">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142</xdr:row>
      <xdr:rowOff>0</xdr:rowOff>
    </xdr:from>
    <xdr:to>
      <xdr:col>7</xdr:col>
      <xdr:colOff>310101</xdr:colOff>
      <xdr:row>155</xdr:row>
      <xdr:rowOff>100054</xdr:rowOff>
    </xdr:to>
    <xdr:graphicFrame macro="">
      <xdr:nvGraphicFramePr>
        <xdr:cNvPr id="6" name="GraphLTD">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687455</xdr:colOff>
      <xdr:row>142</xdr:row>
      <xdr:rowOff>0</xdr:rowOff>
    </xdr:from>
    <xdr:to>
      <xdr:col>14</xdr:col>
      <xdr:colOff>310100</xdr:colOff>
      <xdr:row>155</xdr:row>
      <xdr:rowOff>100054</xdr:rowOff>
    </xdr:to>
    <xdr:graphicFrame macro="">
      <xdr:nvGraphicFramePr>
        <xdr:cNvPr id="7" name="GraphGrowthLTD">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687455</xdr:colOff>
      <xdr:row>58</xdr:row>
      <xdr:rowOff>0</xdr:rowOff>
    </xdr:from>
    <xdr:to>
      <xdr:col>14</xdr:col>
      <xdr:colOff>310100</xdr:colOff>
      <xdr:row>71</xdr:row>
      <xdr:rowOff>100054</xdr:rowOff>
    </xdr:to>
    <xdr:graphicFrame macro="">
      <xdr:nvGraphicFramePr>
        <xdr:cNvPr id="8" name="GraphEBTMargin">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58</xdr:row>
      <xdr:rowOff>0</xdr:rowOff>
    </xdr:from>
    <xdr:to>
      <xdr:col>7</xdr:col>
      <xdr:colOff>310101</xdr:colOff>
      <xdr:row>71</xdr:row>
      <xdr:rowOff>100054</xdr:rowOff>
    </xdr:to>
    <xdr:graphicFrame macro="">
      <xdr:nvGraphicFramePr>
        <xdr:cNvPr id="11" name="GraphEBTGrowth_Fin">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2</xdr:row>
      <xdr:rowOff>0</xdr:rowOff>
    </xdr:from>
    <xdr:to>
      <xdr:col>7</xdr:col>
      <xdr:colOff>320040</xdr:colOff>
      <xdr:row>15</xdr:row>
      <xdr:rowOff>78105</xdr:rowOff>
    </xdr:to>
    <xdr:graphicFrame macro="">
      <xdr:nvGraphicFramePr>
        <xdr:cNvPr id="155" name="GraphInterestIncomeGrowth_Fin">
          <a:extLst>
            <a:ext uri="{FF2B5EF4-FFF2-40B4-BE49-F238E27FC236}">
              <a16:creationId xmlns:a16="http://schemas.microsoft.com/office/drawing/2014/main" id="{00000000-0008-0000-0A00-00009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0</xdr:colOff>
      <xdr:row>2</xdr:row>
      <xdr:rowOff>0</xdr:rowOff>
    </xdr:from>
    <xdr:to>
      <xdr:col>14</xdr:col>
      <xdr:colOff>320040</xdr:colOff>
      <xdr:row>15</xdr:row>
      <xdr:rowOff>78105</xdr:rowOff>
    </xdr:to>
    <xdr:graphicFrame macro="">
      <xdr:nvGraphicFramePr>
        <xdr:cNvPr id="156" name="GraphNonInterestIncomeGrowth_Fin">
          <a:extLst>
            <a:ext uri="{FF2B5EF4-FFF2-40B4-BE49-F238E27FC236}">
              <a16:creationId xmlns:a16="http://schemas.microsoft.com/office/drawing/2014/main" id="{00000000-0008-0000-0A00-00009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156</xdr:row>
      <xdr:rowOff>0</xdr:rowOff>
    </xdr:from>
    <xdr:to>
      <xdr:col>7</xdr:col>
      <xdr:colOff>310101</xdr:colOff>
      <xdr:row>169</xdr:row>
      <xdr:rowOff>100054</xdr:rowOff>
    </xdr:to>
    <xdr:graphicFrame macro="">
      <xdr:nvGraphicFramePr>
        <xdr:cNvPr id="3" name="GraphTotalLoansToBranches">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687455</xdr:colOff>
      <xdr:row>156</xdr:row>
      <xdr:rowOff>0</xdr:rowOff>
    </xdr:from>
    <xdr:to>
      <xdr:col>14</xdr:col>
      <xdr:colOff>310100</xdr:colOff>
      <xdr:row>169</xdr:row>
      <xdr:rowOff>100054</xdr:rowOff>
    </xdr:to>
    <xdr:graphicFrame macro="">
      <xdr:nvGraphicFramePr>
        <xdr:cNvPr id="133" name="GraphTotalDepositsToBranches">
          <a:extLst>
            <a:ext uri="{FF2B5EF4-FFF2-40B4-BE49-F238E27FC236}">
              <a16:creationId xmlns:a16="http://schemas.microsoft.com/office/drawing/2014/main" id="{00000000-0008-0000-0A00-00008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170</xdr:row>
      <xdr:rowOff>0</xdr:rowOff>
    </xdr:from>
    <xdr:to>
      <xdr:col>7</xdr:col>
      <xdr:colOff>310101</xdr:colOff>
      <xdr:row>183</xdr:row>
      <xdr:rowOff>100054</xdr:rowOff>
    </xdr:to>
    <xdr:graphicFrame macro="">
      <xdr:nvGraphicFramePr>
        <xdr:cNvPr id="134" name="GraphNetProfitToBranches">
          <a:extLst>
            <a:ext uri="{FF2B5EF4-FFF2-40B4-BE49-F238E27FC236}">
              <a16:creationId xmlns:a16="http://schemas.microsoft.com/office/drawing/2014/main" id="{00000000-0008-0000-0A00-00008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666750</xdr:colOff>
          <xdr:row>142</xdr:row>
          <xdr:rowOff>28575</xdr:rowOff>
        </xdr:from>
        <xdr:to>
          <xdr:col>14</xdr:col>
          <xdr:colOff>133350</xdr:colOff>
          <xdr:row>143</xdr:row>
          <xdr:rowOff>57150</xdr:rowOff>
        </xdr:to>
        <xdr:sp macro="" textlink="">
          <xdr:nvSpPr>
            <xdr:cNvPr id="4112" name="Drop Down 16" hidden="1">
              <a:extLst>
                <a:ext uri="{63B3BB69-23CF-44E3-9099-C40C66FF867C}">
                  <a14:compatExt spid="_x0000_s4112"/>
                </a:ext>
                <a:ext uri="{FF2B5EF4-FFF2-40B4-BE49-F238E27FC236}">
                  <a16:creationId xmlns:a16="http://schemas.microsoft.com/office/drawing/2014/main" id="{00000000-0008-0000-0A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0</xdr:colOff>
      <xdr:row>17</xdr:row>
      <xdr:rowOff>190499</xdr:rowOff>
    </xdr:from>
    <xdr:to>
      <xdr:col>14</xdr:col>
      <xdr:colOff>336042</xdr:colOff>
      <xdr:row>31</xdr:row>
      <xdr:rowOff>116204</xdr:rowOff>
    </xdr:to>
    <xdr:graphicFrame macro="">
      <xdr:nvGraphicFramePr>
        <xdr:cNvPr id="2" name="GraphRevenueVsExpensesGrowth">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680356</xdr:colOff>
      <xdr:row>88</xdr:row>
      <xdr:rowOff>0</xdr:rowOff>
    </xdr:from>
    <xdr:to>
      <xdr:col>14</xdr:col>
      <xdr:colOff>330598</xdr:colOff>
      <xdr:row>101</xdr:row>
      <xdr:rowOff>116205</xdr:rowOff>
    </xdr:to>
    <xdr:graphicFrame macro="">
      <xdr:nvGraphicFramePr>
        <xdr:cNvPr id="3" name="GraphNetProfitMargins">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46</xdr:row>
      <xdr:rowOff>0</xdr:rowOff>
    </xdr:from>
    <xdr:to>
      <xdr:col>6</xdr:col>
      <xdr:colOff>621792</xdr:colOff>
      <xdr:row>59</xdr:row>
      <xdr:rowOff>116205</xdr:rowOff>
    </xdr:to>
    <xdr:graphicFrame macro="">
      <xdr:nvGraphicFramePr>
        <xdr:cNvPr id="4" name="GraphExpenseMargins">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680356</xdr:colOff>
      <xdr:row>46</xdr:row>
      <xdr:rowOff>0</xdr:rowOff>
    </xdr:from>
    <xdr:to>
      <xdr:col>14</xdr:col>
      <xdr:colOff>330598</xdr:colOff>
      <xdr:row>59</xdr:row>
      <xdr:rowOff>116205</xdr:rowOff>
    </xdr:to>
    <xdr:graphicFrame macro="">
      <xdr:nvGraphicFramePr>
        <xdr:cNvPr id="5" name="GraphExpenseGrowth">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102</xdr:row>
      <xdr:rowOff>2</xdr:rowOff>
    </xdr:from>
    <xdr:to>
      <xdr:col>6</xdr:col>
      <xdr:colOff>621792</xdr:colOff>
      <xdr:row>115</xdr:row>
      <xdr:rowOff>116207</xdr:rowOff>
    </xdr:to>
    <xdr:graphicFrame macro="">
      <xdr:nvGraphicFramePr>
        <xdr:cNvPr id="6" name="GraphAssetTurnover">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680356</xdr:colOff>
      <xdr:row>102</xdr:row>
      <xdr:rowOff>0</xdr:rowOff>
    </xdr:from>
    <xdr:to>
      <xdr:col>14</xdr:col>
      <xdr:colOff>330598</xdr:colOff>
      <xdr:row>115</xdr:row>
      <xdr:rowOff>116205</xdr:rowOff>
    </xdr:to>
    <xdr:graphicFrame macro="">
      <xdr:nvGraphicFramePr>
        <xdr:cNvPr id="7" name="GraphWorkingCapital">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116</xdr:row>
      <xdr:rowOff>0</xdr:rowOff>
    </xdr:from>
    <xdr:to>
      <xdr:col>14</xdr:col>
      <xdr:colOff>336042</xdr:colOff>
      <xdr:row>129</xdr:row>
      <xdr:rowOff>116205</xdr:rowOff>
    </xdr:to>
    <xdr:graphicFrame macro="">
      <xdr:nvGraphicFramePr>
        <xdr:cNvPr id="8" name="GraphCashFlow">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31</xdr:row>
      <xdr:rowOff>173179</xdr:rowOff>
    </xdr:from>
    <xdr:to>
      <xdr:col>6</xdr:col>
      <xdr:colOff>621792</xdr:colOff>
      <xdr:row>45</xdr:row>
      <xdr:rowOff>108409</xdr:rowOff>
    </xdr:to>
    <xdr:graphicFrame macro="">
      <xdr:nvGraphicFramePr>
        <xdr:cNvPr id="353" name="GraphExpenseSummary">
          <a:extLst>
            <a:ext uri="{FF2B5EF4-FFF2-40B4-BE49-F238E27FC236}">
              <a16:creationId xmlns:a16="http://schemas.microsoft.com/office/drawing/2014/main" id="{00000000-0008-0000-0B00-00006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31</xdr:row>
      <xdr:rowOff>173179</xdr:rowOff>
    </xdr:from>
    <xdr:to>
      <xdr:col>14</xdr:col>
      <xdr:colOff>336042</xdr:colOff>
      <xdr:row>45</xdr:row>
      <xdr:rowOff>108409</xdr:rowOff>
    </xdr:to>
    <xdr:graphicFrame macro="">
      <xdr:nvGraphicFramePr>
        <xdr:cNvPr id="354" name="GraphExpenseDistributionSummary">
          <a:extLst>
            <a:ext uri="{FF2B5EF4-FFF2-40B4-BE49-F238E27FC236}">
              <a16:creationId xmlns:a16="http://schemas.microsoft.com/office/drawing/2014/main" id="{00000000-0008-0000-0B00-00006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0</xdr:colOff>
      <xdr:row>17</xdr:row>
      <xdr:rowOff>190499</xdr:rowOff>
    </xdr:from>
    <xdr:to>
      <xdr:col>6</xdr:col>
      <xdr:colOff>621792</xdr:colOff>
      <xdr:row>31</xdr:row>
      <xdr:rowOff>116204</xdr:rowOff>
    </xdr:to>
    <xdr:graphicFrame macro="">
      <xdr:nvGraphicFramePr>
        <xdr:cNvPr id="356" name="GraphRevenueVsExpenses">
          <a:extLst>
            <a:ext uri="{FF2B5EF4-FFF2-40B4-BE49-F238E27FC236}">
              <a16:creationId xmlns:a16="http://schemas.microsoft.com/office/drawing/2014/main" id="{00000000-0008-0000-0B00-00006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175274</xdr:colOff>
      <xdr:row>161</xdr:row>
      <xdr:rowOff>0</xdr:rowOff>
    </xdr:from>
    <xdr:to>
      <xdr:col>13</xdr:col>
      <xdr:colOff>248426</xdr:colOff>
      <xdr:row>189</xdr:row>
      <xdr:rowOff>151040</xdr:rowOff>
    </xdr:to>
    <xdr:grpSp>
      <xdr:nvGrpSpPr>
        <xdr:cNvPr id="176" name="Group 175">
          <a:extLst>
            <a:ext uri="{FF2B5EF4-FFF2-40B4-BE49-F238E27FC236}">
              <a16:creationId xmlns:a16="http://schemas.microsoft.com/office/drawing/2014/main" id="{00000000-0008-0000-0B00-0000B0000000}"/>
            </a:ext>
          </a:extLst>
        </xdr:cNvPr>
        <xdr:cNvGrpSpPr/>
      </xdr:nvGrpSpPr>
      <xdr:grpSpPr>
        <a:xfrm>
          <a:off x="375299" y="29460825"/>
          <a:ext cx="8302752" cy="5218340"/>
          <a:chOff x="754834" y="15523657"/>
          <a:chExt cx="8284265" cy="5686558"/>
        </a:xfrm>
      </xdr:grpSpPr>
      <xdr:grpSp>
        <xdr:nvGrpSpPr>
          <xdr:cNvPr id="167" name="Group 166">
            <a:extLst>
              <a:ext uri="{FF2B5EF4-FFF2-40B4-BE49-F238E27FC236}">
                <a16:creationId xmlns:a16="http://schemas.microsoft.com/office/drawing/2014/main" id="{00000000-0008-0000-0B00-0000A7000000}"/>
              </a:ext>
            </a:extLst>
          </xdr:cNvPr>
          <xdr:cNvGrpSpPr/>
        </xdr:nvGrpSpPr>
        <xdr:grpSpPr>
          <a:xfrm>
            <a:off x="754834" y="15523657"/>
            <a:ext cx="8284265" cy="5647420"/>
            <a:chOff x="163769" y="15687332"/>
            <a:chExt cx="11058266" cy="6601843"/>
          </a:xfrm>
        </xdr:grpSpPr>
        <xdr:grpSp>
          <xdr:nvGrpSpPr>
            <xdr:cNvPr id="163" name="Group 162">
              <a:extLst>
                <a:ext uri="{FF2B5EF4-FFF2-40B4-BE49-F238E27FC236}">
                  <a16:creationId xmlns:a16="http://schemas.microsoft.com/office/drawing/2014/main" id="{00000000-0008-0000-0B00-0000A3000000}"/>
                </a:ext>
              </a:extLst>
            </xdr:cNvPr>
            <xdr:cNvGrpSpPr/>
          </xdr:nvGrpSpPr>
          <xdr:grpSpPr>
            <a:xfrm>
              <a:off x="163769" y="15687332"/>
              <a:ext cx="11058266" cy="6601843"/>
              <a:chOff x="163851" y="15688023"/>
              <a:chExt cx="11071561" cy="6601843"/>
            </a:xfrm>
          </xdr:grpSpPr>
          <xdr:grpSp>
            <xdr:nvGrpSpPr>
              <xdr:cNvPr id="9" name="Group 8">
                <a:extLst>
                  <a:ext uri="{FF2B5EF4-FFF2-40B4-BE49-F238E27FC236}">
                    <a16:creationId xmlns:a16="http://schemas.microsoft.com/office/drawing/2014/main" id="{00000000-0008-0000-0B00-000009000000}"/>
                  </a:ext>
                </a:extLst>
              </xdr:cNvPr>
              <xdr:cNvGrpSpPr/>
            </xdr:nvGrpSpPr>
            <xdr:grpSpPr>
              <a:xfrm>
                <a:off x="163851" y="15688023"/>
                <a:ext cx="11071561" cy="6601843"/>
                <a:chOff x="163242" y="25969554"/>
                <a:chExt cx="10973237" cy="6601843"/>
              </a:xfrm>
            </xdr:grpSpPr>
            <xdr:sp macro="" textlink="'Financial Data'!$V259">
              <xdr:nvSpPr>
                <xdr:cNvPr id="352" name="Rounded Rectangle 4">
                  <a:extLst>
                    <a:ext uri="{FF2B5EF4-FFF2-40B4-BE49-F238E27FC236}">
                      <a16:creationId xmlns:a16="http://schemas.microsoft.com/office/drawing/2014/main" id="{00000000-0008-0000-0B00-000060010000}"/>
                    </a:ext>
                  </a:extLst>
                </xdr:cNvPr>
                <xdr:cNvSpPr/>
              </xdr:nvSpPr>
              <xdr:spPr>
                <a:xfrm>
                  <a:off x="5448282" y="29413793"/>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A92230D-FE83-4E6A-9CF8-1607BF36C0D6}"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ROCE 
8.68%</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4">
              <xdr:nvSpPr>
                <xdr:cNvPr id="350" name="Rounded Rectangle 8">
                  <a:extLst>
                    <a:ext uri="{FF2B5EF4-FFF2-40B4-BE49-F238E27FC236}">
                      <a16:creationId xmlns:a16="http://schemas.microsoft.com/office/drawing/2014/main" id="{00000000-0008-0000-0B00-00005E010000}"/>
                    </a:ext>
                  </a:extLst>
                </xdr:cNvPr>
                <xdr:cNvSpPr/>
              </xdr:nvSpPr>
              <xdr:spPr>
                <a:xfrm>
                  <a:off x="6878032" y="27703456"/>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0D16F164-2694-46EC-84E8-AD65A00906FF}"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Net Income 
13,673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37">
              <xdr:nvSpPr>
                <xdr:cNvPr id="348" name="Rounded Rectangle 12">
                  <a:extLst>
                    <a:ext uri="{FF2B5EF4-FFF2-40B4-BE49-F238E27FC236}">
                      <a16:creationId xmlns:a16="http://schemas.microsoft.com/office/drawing/2014/main" id="{00000000-0008-0000-0B00-00005C010000}"/>
                    </a:ext>
                  </a:extLst>
                </xdr:cNvPr>
                <xdr:cNvSpPr/>
              </xdr:nvSpPr>
              <xdr:spPr>
                <a:xfrm>
                  <a:off x="8289450" y="26281248"/>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2F43578-5199-4A67-A760-375EC5387A2A}"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Gross Profit 
143,754</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35">
              <xdr:nvSpPr>
                <xdr:cNvPr id="191" name="Rounded Rectangle 16">
                  <a:extLst>
                    <a:ext uri="{FF2B5EF4-FFF2-40B4-BE49-F238E27FC236}">
                      <a16:creationId xmlns:a16="http://schemas.microsoft.com/office/drawing/2014/main" id="{00000000-0008-0000-0B00-0000BF000000}"/>
                    </a:ext>
                  </a:extLst>
                </xdr:cNvPr>
                <xdr:cNvSpPr/>
              </xdr:nvSpPr>
              <xdr:spPr>
                <a:xfrm>
                  <a:off x="9719507" y="25969554"/>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D1D962C7-987D-4667-80F3-5F2562140A8D}"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Revenue 
572,754</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36">
              <xdr:nvSpPr>
                <xdr:cNvPr id="346" name="Rounded Rectangle 20">
                  <a:extLst>
                    <a:ext uri="{FF2B5EF4-FFF2-40B4-BE49-F238E27FC236}">
                      <a16:creationId xmlns:a16="http://schemas.microsoft.com/office/drawing/2014/main" id="{00000000-0008-0000-0B00-00005A010000}"/>
                    </a:ext>
                  </a:extLst>
                </xdr:cNvPr>
                <xdr:cNvSpPr/>
              </xdr:nvSpPr>
              <xdr:spPr>
                <a:xfrm>
                  <a:off x="9720277" y="26527725"/>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418173EE-C37B-4015-92A8-E5066129A4C2}"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COGS 
429,000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2">
              <xdr:nvSpPr>
                <xdr:cNvPr id="344" name="Rounded Rectangle 24">
                  <a:extLst>
                    <a:ext uri="{FF2B5EF4-FFF2-40B4-BE49-F238E27FC236}">
                      <a16:creationId xmlns:a16="http://schemas.microsoft.com/office/drawing/2014/main" id="{00000000-0008-0000-0B00-000058010000}"/>
                    </a:ext>
                  </a:extLst>
                </xdr:cNvPr>
                <xdr:cNvSpPr/>
              </xdr:nvSpPr>
              <xdr:spPr>
                <a:xfrm>
                  <a:off x="8289450"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D071B378-5B16-45C7-BCEC-206C2C007722}"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Operating Expenses 
117,812</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39">
              <xdr:nvSpPr>
                <xdr:cNvPr id="342" name="Rounded Rectangle 28">
                  <a:extLst>
                    <a:ext uri="{FF2B5EF4-FFF2-40B4-BE49-F238E27FC236}">
                      <a16:creationId xmlns:a16="http://schemas.microsoft.com/office/drawing/2014/main" id="{00000000-0008-0000-0B00-000056010000}"/>
                    </a:ext>
                  </a:extLst>
                </xdr:cNvPr>
                <xdr:cNvSpPr/>
              </xdr:nvSpPr>
              <xdr:spPr>
                <a:xfrm>
                  <a:off x="9720277" y="27149263"/>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86DD0C1-CF42-4720-BF72-8F5008EE6E45}"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SG&amp;A 
117,812</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0">
              <xdr:nvSpPr>
                <xdr:cNvPr id="340" name="Rounded Rectangle 32">
                  <a:extLst>
                    <a:ext uri="{FF2B5EF4-FFF2-40B4-BE49-F238E27FC236}">
                      <a16:creationId xmlns:a16="http://schemas.microsoft.com/office/drawing/2014/main" id="{00000000-0008-0000-0B00-000054010000}"/>
                    </a:ext>
                  </a:extLst>
                </xdr:cNvPr>
                <xdr:cNvSpPr/>
              </xdr:nvSpPr>
              <xdr:spPr>
                <a:xfrm>
                  <a:off x="9720277"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3ED44517-1917-4EC7-82F4-CCF522E341A9}"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R&amp;D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1">
              <xdr:nvSpPr>
                <xdr:cNvPr id="338" name="Rounded Rectangle 36">
                  <a:extLst>
                    <a:ext uri="{FF2B5EF4-FFF2-40B4-BE49-F238E27FC236}">
                      <a16:creationId xmlns:a16="http://schemas.microsoft.com/office/drawing/2014/main" id="{00000000-0008-0000-0B00-000052010000}"/>
                    </a:ext>
                  </a:extLst>
                </xdr:cNvPr>
                <xdr:cNvSpPr/>
              </xdr:nvSpPr>
              <xdr:spPr>
                <a:xfrm>
                  <a:off x="9711686" y="28259107"/>
                  <a:ext cx="904312"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91440" tIns="91440" rIns="91440" bIns="91440" numCol="1" spcCol="1270" anchor="ctr" anchorCtr="0">
                  <a:noAutofit/>
                </a:bodyPr>
                <a:lstStyle/>
                <a:p>
                  <a:pPr lvl="0" algn="ctr" defTabSz="800100">
                    <a:lnSpc>
                      <a:spcPct val="90000"/>
                    </a:lnSpc>
                    <a:spcBef>
                      <a:spcPct val="0"/>
                    </a:spcBef>
                    <a:spcAft>
                      <a:spcPct val="35000"/>
                    </a:spcAft>
                  </a:pPr>
                  <a:fld id="{20CE9453-4E5D-44B4-BC99-BCAD94686E9F}"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OpEx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3">
              <xdr:nvSpPr>
                <xdr:cNvPr id="336" name="Rounded Rectangle 40">
                  <a:extLst>
                    <a:ext uri="{FF2B5EF4-FFF2-40B4-BE49-F238E27FC236}">
                      <a16:creationId xmlns:a16="http://schemas.microsoft.com/office/drawing/2014/main" id="{00000000-0008-0000-0B00-000050010000}"/>
                    </a:ext>
                  </a:extLst>
                </xdr:cNvPr>
                <xdr:cNvSpPr/>
              </xdr:nvSpPr>
              <xdr:spPr>
                <a:xfrm>
                  <a:off x="8289450" y="28422407"/>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CCEA61EB-AA75-421D-8428-731881DFD11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Taxes and Other 
12,269</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7">
              <xdr:nvSpPr>
                <xdr:cNvPr id="334" name="Rounded Rectangle 44">
                  <a:extLst>
                    <a:ext uri="{FF2B5EF4-FFF2-40B4-BE49-F238E27FC236}">
                      <a16:creationId xmlns:a16="http://schemas.microsoft.com/office/drawing/2014/main" id="{00000000-0008-0000-0B00-00004E010000}"/>
                    </a:ext>
                  </a:extLst>
                </xdr:cNvPr>
                <xdr:cNvSpPr/>
              </xdr:nvSpPr>
              <xdr:spPr>
                <a:xfrm>
                  <a:off x="6878034" y="30962500"/>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851D6F08-E770-46F3-9F0D-6DEE1FCA8B47}"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Capital Employed 
157,481</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1">
              <xdr:nvSpPr>
                <xdr:cNvPr id="332" name="Rounded Rectangle 48">
                  <a:extLst>
                    <a:ext uri="{FF2B5EF4-FFF2-40B4-BE49-F238E27FC236}">
                      <a16:creationId xmlns:a16="http://schemas.microsoft.com/office/drawing/2014/main" id="{00000000-0008-0000-0B00-00004C010000}"/>
                    </a:ext>
                  </a:extLst>
                </xdr:cNvPr>
                <xdr:cNvSpPr/>
              </xdr:nvSpPr>
              <xdr:spPr>
                <a:xfrm>
                  <a:off x="8289451" y="30173918"/>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BEFC1B0-9057-4F67-8D79-960976B2BAE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Total Assets 
244,860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8">
              <xdr:nvSpPr>
                <xdr:cNvPr id="330" name="Rounded Rectangle 52">
                  <a:extLst>
                    <a:ext uri="{FF2B5EF4-FFF2-40B4-BE49-F238E27FC236}">
                      <a16:creationId xmlns:a16="http://schemas.microsoft.com/office/drawing/2014/main" id="{00000000-0008-0000-0B00-00004A010000}"/>
                    </a:ext>
                  </a:extLst>
                </xdr:cNvPr>
                <xdr:cNvSpPr/>
              </xdr:nvSpPr>
              <xdr:spPr>
                <a:xfrm>
                  <a:off x="9723033" y="29818146"/>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AC4FD90-AFC9-4DA1-9081-8250A6D01323}"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Inventory 
56,511</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7">
              <xdr:nvSpPr>
                <xdr:cNvPr id="328" name="Rounded Rectangle 56">
                  <a:extLst>
                    <a:ext uri="{FF2B5EF4-FFF2-40B4-BE49-F238E27FC236}">
                      <a16:creationId xmlns:a16="http://schemas.microsoft.com/office/drawing/2014/main" id="{00000000-0008-0000-0B00-000048010000}"/>
                    </a:ext>
                  </a:extLst>
                </xdr:cNvPr>
                <xdr:cNvSpPr/>
              </xdr:nvSpPr>
              <xdr:spPr>
                <a:xfrm>
                  <a:off x="9723033" y="29260935"/>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341C95B-9BED-4407-9B4E-0FC44A112233}"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A/R 
8,280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0">
              <xdr:nvSpPr>
                <xdr:cNvPr id="326" name="Rounded Rectangle 60">
                  <a:extLst>
                    <a:ext uri="{FF2B5EF4-FFF2-40B4-BE49-F238E27FC236}">
                      <a16:creationId xmlns:a16="http://schemas.microsoft.com/office/drawing/2014/main" id="{00000000-0008-0000-0B00-000046010000}"/>
                    </a:ext>
                  </a:extLst>
                </xdr:cNvPr>
                <xdr:cNvSpPr/>
              </xdr:nvSpPr>
              <xdr:spPr>
                <a:xfrm>
                  <a:off x="9716491" y="30930171"/>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6640FF23-B00F-4840-AB55-1DE77A00AA5F}"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Assets 
67,445</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49">
              <xdr:nvSpPr>
                <xdr:cNvPr id="324" name="Rounded Rectangle 64">
                  <a:extLst>
                    <a:ext uri="{FF2B5EF4-FFF2-40B4-BE49-F238E27FC236}">
                      <a16:creationId xmlns:a16="http://schemas.microsoft.com/office/drawing/2014/main" id="{00000000-0008-0000-0B00-000044010000}"/>
                    </a:ext>
                  </a:extLst>
                </xdr:cNvPr>
                <xdr:cNvSpPr/>
              </xdr:nvSpPr>
              <xdr:spPr>
                <a:xfrm>
                  <a:off x="9723033" y="30376986"/>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148E567-1E96-4A13-ADE3-AE85082673B2}"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Net PP&amp;E 
112,624</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5">
              <xdr:nvSpPr>
                <xdr:cNvPr id="322" name="Rounded Rectangle 68">
                  <a:extLst>
                    <a:ext uri="{FF2B5EF4-FFF2-40B4-BE49-F238E27FC236}">
                      <a16:creationId xmlns:a16="http://schemas.microsoft.com/office/drawing/2014/main" id="{00000000-0008-0000-0B00-000042010000}"/>
                    </a:ext>
                  </a:extLst>
                </xdr:cNvPr>
                <xdr:cNvSpPr/>
              </xdr:nvSpPr>
              <xdr:spPr>
                <a:xfrm>
                  <a:off x="8289451" y="31765321"/>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E72988AA-9212-424D-9D4C-81779859842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Total Current Liab.  
87,379</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3">
              <xdr:nvSpPr>
                <xdr:cNvPr id="320" name="Rounded Rectangle 72">
                  <a:extLst>
                    <a:ext uri="{FF2B5EF4-FFF2-40B4-BE49-F238E27FC236}">
                      <a16:creationId xmlns:a16="http://schemas.microsoft.com/office/drawing/2014/main" id="{00000000-0008-0000-0B00-000040010000}"/>
                    </a:ext>
                  </a:extLst>
                </xdr:cNvPr>
                <xdr:cNvSpPr/>
              </xdr:nvSpPr>
              <xdr:spPr>
                <a:xfrm>
                  <a:off x="9718077" y="31562440"/>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3D22CFDA-DB5E-4226-819D-555FAD2E8DDE}"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A/P 
55,261</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V254">
              <xdr:nvSpPr>
                <xdr:cNvPr id="318" name="Rounded Rectangle 76">
                  <a:extLst>
                    <a:ext uri="{FF2B5EF4-FFF2-40B4-BE49-F238E27FC236}">
                      <a16:creationId xmlns:a16="http://schemas.microsoft.com/office/drawing/2014/main" id="{00000000-0008-0000-0B00-00003E010000}"/>
                    </a:ext>
                  </a:extLst>
                </xdr:cNvPr>
                <xdr:cNvSpPr/>
              </xdr:nvSpPr>
              <xdr:spPr>
                <a:xfrm>
                  <a:off x="9723030" y="32114198"/>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32B2C52B-264C-4064-AE71-8B535580EC9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Currrent Liab. 
32,118</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9">
              <xdr:nvSpPr>
                <xdr:cNvPr id="316" name="Rounded Rectangle 4">
                  <a:extLst>
                    <a:ext uri="{FF2B5EF4-FFF2-40B4-BE49-F238E27FC236}">
                      <a16:creationId xmlns:a16="http://schemas.microsoft.com/office/drawing/2014/main" id="{00000000-0008-0000-0B00-00003C010000}"/>
                    </a:ext>
                  </a:extLst>
                </xdr:cNvPr>
                <xdr:cNvSpPr/>
              </xdr:nvSpPr>
              <xdr:spPr>
                <a:xfrm flipH="1">
                  <a:off x="4411181" y="29413793"/>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F6D0255-8C48-4622-A639-65523258EA6D}"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ROCE 
11.83%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4">
              <xdr:nvSpPr>
                <xdr:cNvPr id="314" name="Rounded Rectangle 8">
                  <a:extLst>
                    <a:ext uri="{FF2B5EF4-FFF2-40B4-BE49-F238E27FC236}">
                      <a16:creationId xmlns:a16="http://schemas.microsoft.com/office/drawing/2014/main" id="{00000000-0008-0000-0B00-00003A010000}"/>
                    </a:ext>
                  </a:extLst>
                </xdr:cNvPr>
                <xdr:cNvSpPr/>
              </xdr:nvSpPr>
              <xdr:spPr>
                <a:xfrm flipH="1">
                  <a:off x="2992775"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84F171D3-3C68-4A11-AC63-FEFCD1542FF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Net Income 
16,022</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35">
              <xdr:nvSpPr>
                <xdr:cNvPr id="230" name="Rounded Rectangle 16">
                  <a:extLst>
                    <a:ext uri="{FF2B5EF4-FFF2-40B4-BE49-F238E27FC236}">
                      <a16:creationId xmlns:a16="http://schemas.microsoft.com/office/drawing/2014/main" id="{00000000-0008-0000-0B00-0000E6000000}"/>
                    </a:ext>
                  </a:extLst>
                </xdr:cNvPr>
                <xdr:cNvSpPr/>
              </xdr:nvSpPr>
              <xdr:spPr>
                <a:xfrm flipH="1">
                  <a:off x="163242" y="25969554"/>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03773890-2408-4960-9434-26D2885C75C3}"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Revenue 
476,294</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36">
              <xdr:nvSpPr>
                <xdr:cNvPr id="310" name="Rounded Rectangle 20">
                  <a:extLst>
                    <a:ext uri="{FF2B5EF4-FFF2-40B4-BE49-F238E27FC236}">
                      <a16:creationId xmlns:a16="http://schemas.microsoft.com/office/drawing/2014/main" id="{00000000-0008-0000-0B00-000036010000}"/>
                    </a:ext>
                  </a:extLst>
                </xdr:cNvPr>
                <xdr:cNvSpPr/>
              </xdr:nvSpPr>
              <xdr:spPr>
                <a:xfrm flipH="1">
                  <a:off x="163242" y="26527725"/>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1E913E0-737F-4F93-AC3D-94DFB604E312}"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COGS 
358,069</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2">
              <xdr:nvSpPr>
                <xdr:cNvPr id="308" name="Rounded Rectangle 24">
                  <a:extLst>
                    <a:ext uri="{FF2B5EF4-FFF2-40B4-BE49-F238E27FC236}">
                      <a16:creationId xmlns:a16="http://schemas.microsoft.com/office/drawing/2014/main" id="{00000000-0008-0000-0B00-000034010000}"/>
                    </a:ext>
                  </a:extLst>
                </xdr:cNvPr>
                <xdr:cNvSpPr/>
              </xdr:nvSpPr>
              <xdr:spPr>
                <a:xfrm flipH="1">
                  <a:off x="1559251" y="27703456"/>
                  <a:ext cx="909199"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A467B8B4-7B91-494E-9667-9F15AE7A7D86}"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Operating Expenses 
91,353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39">
              <xdr:nvSpPr>
                <xdr:cNvPr id="306" name="Rounded Rectangle 28">
                  <a:extLst>
                    <a:ext uri="{FF2B5EF4-FFF2-40B4-BE49-F238E27FC236}">
                      <a16:creationId xmlns:a16="http://schemas.microsoft.com/office/drawing/2014/main" id="{00000000-0008-0000-0B00-000032010000}"/>
                    </a:ext>
                  </a:extLst>
                </xdr:cNvPr>
                <xdr:cNvSpPr/>
              </xdr:nvSpPr>
              <xdr:spPr>
                <a:xfrm flipH="1">
                  <a:off x="163242" y="27149263"/>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268776EF-67C3-4440-B934-240B9EAD6CEA}"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SG&amp;A 
91,353</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0">
              <xdr:nvSpPr>
                <xdr:cNvPr id="304" name="Rounded Rectangle 32">
                  <a:extLst>
                    <a:ext uri="{FF2B5EF4-FFF2-40B4-BE49-F238E27FC236}">
                      <a16:creationId xmlns:a16="http://schemas.microsoft.com/office/drawing/2014/main" id="{00000000-0008-0000-0B00-000030010000}"/>
                    </a:ext>
                  </a:extLst>
                </xdr:cNvPr>
                <xdr:cNvSpPr/>
              </xdr:nvSpPr>
              <xdr:spPr>
                <a:xfrm flipH="1">
                  <a:off x="163242" y="27703456"/>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BBE2E730-82E7-4F9D-9775-4F66248E10B6}"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R&amp;D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1">
              <xdr:nvSpPr>
                <xdr:cNvPr id="302" name="Rounded Rectangle 36">
                  <a:extLst>
                    <a:ext uri="{FF2B5EF4-FFF2-40B4-BE49-F238E27FC236}">
                      <a16:creationId xmlns:a16="http://schemas.microsoft.com/office/drawing/2014/main" id="{00000000-0008-0000-0B00-00002E010000}"/>
                    </a:ext>
                  </a:extLst>
                </xdr:cNvPr>
                <xdr:cNvSpPr/>
              </xdr:nvSpPr>
              <xdr:spPr>
                <a:xfrm flipH="1">
                  <a:off x="163242" y="28259105"/>
                  <a:ext cx="909198"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A62F376C-F3A7-4A5D-829C-4E2231589AC9}"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OpEx 
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3">
              <xdr:nvSpPr>
                <xdr:cNvPr id="300" name="Rounded Rectangle 40">
                  <a:extLst>
                    <a:ext uri="{FF2B5EF4-FFF2-40B4-BE49-F238E27FC236}">
                      <a16:creationId xmlns:a16="http://schemas.microsoft.com/office/drawing/2014/main" id="{00000000-0008-0000-0B00-00002C010000}"/>
                    </a:ext>
                  </a:extLst>
                </xdr:cNvPr>
                <xdr:cNvSpPr/>
              </xdr:nvSpPr>
              <xdr:spPr>
                <a:xfrm flipH="1">
                  <a:off x="1559251" y="28422407"/>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94747944-CAE9-4E66-B448-A6A95D94BC93}"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Taxes and Other 
10,850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7">
              <xdr:nvSpPr>
                <xdr:cNvPr id="298" name="Rounded Rectangle 44">
                  <a:extLst>
                    <a:ext uri="{FF2B5EF4-FFF2-40B4-BE49-F238E27FC236}">
                      <a16:creationId xmlns:a16="http://schemas.microsoft.com/office/drawing/2014/main" id="{00000000-0008-0000-0B00-00002A010000}"/>
                    </a:ext>
                  </a:extLst>
                </xdr:cNvPr>
                <xdr:cNvSpPr/>
              </xdr:nvSpPr>
              <xdr:spPr>
                <a:xfrm flipH="1">
                  <a:off x="2992775" y="30962500"/>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8327E48-E6CC-4799-9BC7-CC0FDE852658}"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Capital Employed 
135,406</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1">
              <xdr:nvSpPr>
                <xdr:cNvPr id="296" name="Rounded Rectangle 48">
                  <a:extLst>
                    <a:ext uri="{FF2B5EF4-FFF2-40B4-BE49-F238E27FC236}">
                      <a16:creationId xmlns:a16="http://schemas.microsoft.com/office/drawing/2014/main" id="{00000000-0008-0000-0B00-000028010000}"/>
                    </a:ext>
                  </a:extLst>
                </xdr:cNvPr>
                <xdr:cNvSpPr/>
              </xdr:nvSpPr>
              <xdr:spPr>
                <a:xfrm flipH="1">
                  <a:off x="1559251" y="30173918"/>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B9963786-2D15-4E55-A3A6-0B39AAA62227}"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Total Assets 
204,751</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8">
              <xdr:nvSpPr>
                <xdr:cNvPr id="294" name="Rounded Rectangle 52">
                  <a:extLst>
                    <a:ext uri="{FF2B5EF4-FFF2-40B4-BE49-F238E27FC236}">
                      <a16:creationId xmlns:a16="http://schemas.microsoft.com/office/drawing/2014/main" id="{00000000-0008-0000-0B00-000026010000}"/>
                    </a:ext>
                  </a:extLst>
                </xdr:cNvPr>
                <xdr:cNvSpPr/>
              </xdr:nvSpPr>
              <xdr:spPr>
                <a:xfrm flipH="1">
                  <a:off x="163242" y="29818146"/>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50C99EFE-CD36-46F5-A216-8B66BEE9B7BE}"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Inventory 
44,858</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7">
              <xdr:nvSpPr>
                <xdr:cNvPr id="292" name="Rounded Rectangle 56">
                  <a:extLst>
                    <a:ext uri="{FF2B5EF4-FFF2-40B4-BE49-F238E27FC236}">
                      <a16:creationId xmlns:a16="http://schemas.microsoft.com/office/drawing/2014/main" id="{00000000-0008-0000-0B00-000024010000}"/>
                    </a:ext>
                  </a:extLst>
                </xdr:cNvPr>
                <xdr:cNvSpPr/>
              </xdr:nvSpPr>
              <xdr:spPr>
                <a:xfrm flipH="1">
                  <a:off x="163242" y="29260935"/>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C50271A4-2EB3-4ABD-BB72-C52145559B01}"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A/R 
6,677</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0">
              <xdr:nvSpPr>
                <xdr:cNvPr id="290" name="Rounded Rectangle 60">
                  <a:extLst>
                    <a:ext uri="{FF2B5EF4-FFF2-40B4-BE49-F238E27FC236}">
                      <a16:creationId xmlns:a16="http://schemas.microsoft.com/office/drawing/2014/main" id="{00000000-0008-0000-0B00-000022010000}"/>
                    </a:ext>
                  </a:extLst>
                </xdr:cNvPr>
                <xdr:cNvSpPr/>
              </xdr:nvSpPr>
              <xdr:spPr>
                <a:xfrm flipH="1">
                  <a:off x="163242" y="30930171"/>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3F235B50-89C0-463F-82D9-FBB7EFBDD4E0}"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Assets 
35,309</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49">
              <xdr:nvSpPr>
                <xdr:cNvPr id="288" name="Rounded Rectangle 64">
                  <a:extLst>
                    <a:ext uri="{FF2B5EF4-FFF2-40B4-BE49-F238E27FC236}">
                      <a16:creationId xmlns:a16="http://schemas.microsoft.com/office/drawing/2014/main" id="{00000000-0008-0000-0B00-000020010000}"/>
                    </a:ext>
                  </a:extLst>
                </xdr:cNvPr>
                <xdr:cNvSpPr/>
              </xdr:nvSpPr>
              <xdr:spPr>
                <a:xfrm flipH="1">
                  <a:off x="163242" y="30376986"/>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076E1ABF-4876-4ECD-B232-DF133454421C}"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Net PP&amp;E 
117,907</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5">
              <xdr:nvSpPr>
                <xdr:cNvPr id="286" name="Rounded Rectangle 68">
                  <a:extLst>
                    <a:ext uri="{FF2B5EF4-FFF2-40B4-BE49-F238E27FC236}">
                      <a16:creationId xmlns:a16="http://schemas.microsoft.com/office/drawing/2014/main" id="{00000000-0008-0000-0B00-00001E010000}"/>
                    </a:ext>
                  </a:extLst>
                </xdr:cNvPr>
                <xdr:cNvSpPr/>
              </xdr:nvSpPr>
              <xdr:spPr>
                <a:xfrm flipH="1">
                  <a:off x="1559251" y="31765321"/>
                  <a:ext cx="909199"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79E40B9C-50D2-4532-B7B6-614929478E7F}"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Total Current Liab.  
69,345</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3">
              <xdr:nvSpPr>
                <xdr:cNvPr id="284" name="Rounded Rectangle 72">
                  <a:extLst>
                    <a:ext uri="{FF2B5EF4-FFF2-40B4-BE49-F238E27FC236}">
                      <a16:creationId xmlns:a16="http://schemas.microsoft.com/office/drawing/2014/main" id="{00000000-0008-0000-0B00-00001C010000}"/>
                    </a:ext>
                  </a:extLst>
                </xdr:cNvPr>
                <xdr:cNvSpPr/>
              </xdr:nvSpPr>
              <xdr:spPr>
                <a:xfrm flipH="1">
                  <a:off x="163242" y="31562440"/>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F960C99C-22F9-4337-B35A-DF8CB365FF5A}"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A/P 
37,415</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S254">
              <xdr:nvSpPr>
                <xdr:cNvPr id="282" name="Rounded Rectangle 76">
                  <a:extLst>
                    <a:ext uri="{FF2B5EF4-FFF2-40B4-BE49-F238E27FC236}">
                      <a16:creationId xmlns:a16="http://schemas.microsoft.com/office/drawing/2014/main" id="{00000000-0008-0000-0B00-00001A010000}"/>
                    </a:ext>
                  </a:extLst>
                </xdr:cNvPr>
                <xdr:cNvSpPr/>
              </xdr:nvSpPr>
              <xdr:spPr>
                <a:xfrm flipH="1">
                  <a:off x="163242" y="32114197"/>
                  <a:ext cx="909198" cy="457199"/>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8A0C2B28-EAF7-49F0-B772-BC0E7D73D67E}"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Other Currrent Liab. 
31,930</a:t>
                  </a:fld>
                  <a:endParaRPr lang="en-US" sz="800" b="0" kern="1200">
                    <a:solidFill>
                      <a:schemeClr val="tx1"/>
                    </a:solidFill>
                    <a:latin typeface="Arial" panose="020B0604020202020204" pitchFamily="34" charset="0"/>
                    <a:cs typeface="Arial" panose="020B0604020202020204" pitchFamily="34" charset="0"/>
                  </a:endParaRPr>
                </a:p>
              </xdr:txBody>
            </xdr:sp>
            <xdr:sp macro="" textlink="'Financial Data'!$H235">
              <xdr:nvSpPr>
                <xdr:cNvPr id="261" name="TextRevenue">
                  <a:extLst>
                    <a:ext uri="{FF2B5EF4-FFF2-40B4-BE49-F238E27FC236}">
                      <a16:creationId xmlns:a16="http://schemas.microsoft.com/office/drawing/2014/main" id="{00000000-0008-0000-0B00-000005010000}"/>
                    </a:ext>
                  </a:extLst>
                </xdr:cNvPr>
                <xdr:cNvSpPr txBox="1"/>
              </xdr:nvSpPr>
              <xdr:spPr>
                <a:xfrm>
                  <a:off x="10678531" y="26068973"/>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algn="ctr"/>
                  <a:fld id="{51C816D9-E1AC-4F32-A82C-88885A598285}" type="TxLink">
                    <a:rPr lang="en-US" sz="800" b="1" i="0" u="none" strike="noStrike">
                      <a:solidFill>
                        <a:srgbClr val="FF0000"/>
                      </a:solidFill>
                      <a:latin typeface="Arial" panose="020B0604020202020204" pitchFamily="34" charset="0"/>
                      <a:cs typeface="Arial" panose="020B0604020202020204" pitchFamily="34" charset="0"/>
                    </a:rPr>
                    <a:pPr algn="ctr"/>
                    <a:t>20%</a:t>
                  </a:fld>
                  <a:endParaRPr lang="en-US" sz="800" b="1" i="1">
                    <a:solidFill>
                      <a:srgbClr val="FF0000"/>
                    </a:solidFill>
                    <a:latin typeface="Arial" panose="020B0604020202020204" pitchFamily="34" charset="0"/>
                    <a:cs typeface="Arial" panose="020B0604020202020204" pitchFamily="34" charset="0"/>
                  </a:endParaRPr>
                </a:p>
              </xdr:txBody>
            </xdr:sp>
            <xdr:sp macro="" textlink="'Financial Data'!$H236">
              <xdr:nvSpPr>
                <xdr:cNvPr id="262" name="TextCOGS">
                  <a:extLst>
                    <a:ext uri="{FF2B5EF4-FFF2-40B4-BE49-F238E27FC236}">
                      <a16:creationId xmlns:a16="http://schemas.microsoft.com/office/drawing/2014/main" id="{00000000-0008-0000-0B00-000006010000}"/>
                    </a:ext>
                  </a:extLst>
                </xdr:cNvPr>
                <xdr:cNvSpPr txBox="1"/>
              </xdr:nvSpPr>
              <xdr:spPr>
                <a:xfrm>
                  <a:off x="10678531" y="26661098"/>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363EDFEC-422C-4F98-B26B-193BF5B120BB}" type="TxLink">
                    <a:rPr lang="en-US" sz="800" b="1" i="0" u="none" strike="noStrike" kern="1200">
                      <a:solidFill>
                        <a:srgbClr val="00B05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20%</a:t>
                  </a:fld>
                  <a:endParaRPr lang="en-US" sz="8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H239">
              <xdr:nvSpPr>
                <xdr:cNvPr id="263" name="TextSGA">
                  <a:extLst>
                    <a:ext uri="{FF2B5EF4-FFF2-40B4-BE49-F238E27FC236}">
                      <a16:creationId xmlns:a16="http://schemas.microsoft.com/office/drawing/2014/main" id="{00000000-0008-0000-0B00-000007010000}"/>
                    </a:ext>
                  </a:extLst>
                </xdr:cNvPr>
                <xdr:cNvSpPr txBox="1"/>
              </xdr:nvSpPr>
              <xdr:spPr>
                <a:xfrm>
                  <a:off x="10678532" y="27244358"/>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F18E809-0429-41F5-83A6-32DE4FD4C151}" type="TxLink">
                    <a:rPr lang="en-US" sz="800" b="1" i="0" u="none" strike="noStrike" kern="1200">
                      <a:solidFill>
                        <a:srgbClr val="00B05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29%</a:t>
                  </a:fld>
                  <a:endParaRPr lang="en-US" sz="8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H240">
              <xdr:nvSpPr>
                <xdr:cNvPr id="264" name="TextRD">
                  <a:extLst>
                    <a:ext uri="{FF2B5EF4-FFF2-40B4-BE49-F238E27FC236}">
                      <a16:creationId xmlns:a16="http://schemas.microsoft.com/office/drawing/2014/main" id="{00000000-0008-0000-0B00-000008010000}"/>
                    </a:ext>
                  </a:extLst>
                </xdr:cNvPr>
                <xdr:cNvSpPr txBox="1"/>
              </xdr:nvSpPr>
              <xdr:spPr>
                <a:xfrm>
                  <a:off x="10678532" y="27813939"/>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2F28F400-CB39-46A4-BD09-6C2138E471AA}" type="TxLink">
                    <a:rPr lang="en-US" sz="800" b="1" i="0" u="none" strike="noStrike" kern="1200">
                      <a:solidFill>
                        <a:srgbClr val="00B05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N/A</a:t>
                  </a:fld>
                  <a:endParaRPr lang="en-US" sz="8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H241">
              <xdr:nvSpPr>
                <xdr:cNvPr id="265" name="TextOtherOpEx">
                  <a:extLst>
                    <a:ext uri="{FF2B5EF4-FFF2-40B4-BE49-F238E27FC236}">
                      <a16:creationId xmlns:a16="http://schemas.microsoft.com/office/drawing/2014/main" id="{00000000-0008-0000-0B00-000009010000}"/>
                    </a:ext>
                  </a:extLst>
                </xdr:cNvPr>
                <xdr:cNvSpPr txBox="1"/>
              </xdr:nvSpPr>
              <xdr:spPr>
                <a:xfrm>
                  <a:off x="10678532" y="28379663"/>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0E89F000-7E02-4866-BC1B-22B295FD5CC2}"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N/A</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47">
              <xdr:nvSpPr>
                <xdr:cNvPr id="266" name="TextAR">
                  <a:extLst>
                    <a:ext uri="{FF2B5EF4-FFF2-40B4-BE49-F238E27FC236}">
                      <a16:creationId xmlns:a16="http://schemas.microsoft.com/office/drawing/2014/main" id="{00000000-0008-0000-0B00-00000A010000}"/>
                    </a:ext>
                  </a:extLst>
                </xdr:cNvPr>
                <xdr:cNvSpPr txBox="1"/>
              </xdr:nvSpPr>
              <xdr:spPr>
                <a:xfrm>
                  <a:off x="10678531" y="29364374"/>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6E8C4930-C2F2-4189-B2AE-E93038CB4CFD}"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24%</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48">
              <xdr:nvSpPr>
                <xdr:cNvPr id="267" name="TextInventory">
                  <a:extLst>
                    <a:ext uri="{FF2B5EF4-FFF2-40B4-BE49-F238E27FC236}">
                      <a16:creationId xmlns:a16="http://schemas.microsoft.com/office/drawing/2014/main" id="{00000000-0008-0000-0B00-00000B010000}"/>
                    </a:ext>
                  </a:extLst>
                </xdr:cNvPr>
                <xdr:cNvSpPr txBox="1"/>
              </xdr:nvSpPr>
              <xdr:spPr>
                <a:xfrm>
                  <a:off x="10678531" y="29934527"/>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B7609FAF-AF6F-4990-893E-6D0984865B21}" type="TxLink">
                    <a:rPr lang="en-US" sz="800" b="1" i="0" u="none" strike="noStrike" kern="1200">
                      <a:solidFill>
                        <a:srgbClr val="00B05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26%</a:t>
                  </a:fld>
                  <a:endParaRPr lang="en-US" sz="8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H249">
              <xdr:nvSpPr>
                <xdr:cNvPr id="268" name="TextNetPPE">
                  <a:extLst>
                    <a:ext uri="{FF2B5EF4-FFF2-40B4-BE49-F238E27FC236}">
                      <a16:creationId xmlns:a16="http://schemas.microsoft.com/office/drawing/2014/main" id="{00000000-0008-0000-0B00-00000C010000}"/>
                    </a:ext>
                  </a:extLst>
                </xdr:cNvPr>
                <xdr:cNvSpPr txBox="1"/>
              </xdr:nvSpPr>
              <xdr:spPr>
                <a:xfrm>
                  <a:off x="10678531" y="30487028"/>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CF345A9D-3217-4C5A-917A-75A950D573FE}"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-4%</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0">
              <xdr:nvSpPr>
                <xdr:cNvPr id="269" name="TextOtherAssets">
                  <a:extLst>
                    <a:ext uri="{FF2B5EF4-FFF2-40B4-BE49-F238E27FC236}">
                      <a16:creationId xmlns:a16="http://schemas.microsoft.com/office/drawing/2014/main" id="{00000000-0008-0000-0B00-00000D010000}"/>
                    </a:ext>
                  </a:extLst>
                </xdr:cNvPr>
                <xdr:cNvSpPr txBox="1"/>
              </xdr:nvSpPr>
              <xdr:spPr>
                <a:xfrm>
                  <a:off x="10678531" y="31053254"/>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8AB71B36-53BC-4219-B0E8-A4E98F292135}"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91%</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3">
              <xdr:nvSpPr>
                <xdr:cNvPr id="270" name="TextAP">
                  <a:extLst>
                    <a:ext uri="{FF2B5EF4-FFF2-40B4-BE49-F238E27FC236}">
                      <a16:creationId xmlns:a16="http://schemas.microsoft.com/office/drawing/2014/main" id="{00000000-0008-0000-0B00-00000E010000}"/>
                    </a:ext>
                  </a:extLst>
                </xdr:cNvPr>
                <xdr:cNvSpPr txBox="1"/>
              </xdr:nvSpPr>
              <xdr:spPr>
                <a:xfrm>
                  <a:off x="10678531" y="31646955"/>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BDF74F67-ABD2-4A1F-A53B-3E11E60B774D}"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48%</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4">
              <xdr:nvSpPr>
                <xdr:cNvPr id="271" name="TextOtherCurrentLiabilities">
                  <a:extLst>
                    <a:ext uri="{FF2B5EF4-FFF2-40B4-BE49-F238E27FC236}">
                      <a16:creationId xmlns:a16="http://schemas.microsoft.com/office/drawing/2014/main" id="{00000000-0008-0000-0B00-00000F010000}"/>
                    </a:ext>
                  </a:extLst>
                </xdr:cNvPr>
                <xdr:cNvSpPr txBox="1"/>
              </xdr:nvSpPr>
              <xdr:spPr>
                <a:xfrm>
                  <a:off x="10678531" y="32231951"/>
                  <a:ext cx="457947" cy="274319"/>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2E7F388-A17D-4323-B1A9-A30CE0903E25}"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1%</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37">
              <xdr:nvSpPr>
                <xdr:cNvPr id="272" name="TextGrossProfit">
                  <a:extLst>
                    <a:ext uri="{FF2B5EF4-FFF2-40B4-BE49-F238E27FC236}">
                      <a16:creationId xmlns:a16="http://schemas.microsoft.com/office/drawing/2014/main" id="{00000000-0008-0000-0B00-000010010000}"/>
                    </a:ext>
                  </a:extLst>
                </xdr:cNvPr>
                <xdr:cNvSpPr txBox="1"/>
              </xdr:nvSpPr>
              <xdr:spPr>
                <a:xfrm>
                  <a:off x="8516733" y="26776755"/>
                  <a:ext cx="454631"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2092B0D5-08FD-4577-B48A-48C40D4F114F}"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22%</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42">
              <xdr:nvSpPr>
                <xdr:cNvPr id="273" name="TextOpEx">
                  <a:extLst>
                    <a:ext uri="{FF2B5EF4-FFF2-40B4-BE49-F238E27FC236}">
                      <a16:creationId xmlns:a16="http://schemas.microsoft.com/office/drawing/2014/main" id="{00000000-0008-0000-0B00-000011010000}"/>
                    </a:ext>
                  </a:extLst>
                </xdr:cNvPr>
                <xdr:cNvSpPr txBox="1"/>
              </xdr:nvSpPr>
              <xdr:spPr>
                <a:xfrm>
                  <a:off x="8513486" y="28202630"/>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43367B42-876C-43D4-971F-221326024FDF}" type="TxLink">
                    <a:rPr lang="en-US" sz="800" b="1" i="0" u="none" strike="noStrike" kern="1200">
                      <a:solidFill>
                        <a:srgbClr val="00B050"/>
                      </a:solidFill>
                      <a:latin typeface="Arial"/>
                      <a:ea typeface="ＭＳ Ｐゴシック" charset="-128"/>
                      <a:cs typeface="Arial"/>
                    </a:rPr>
                    <a:pPr marL="0" indent="0" algn="ctr" rtl="0" fontAlgn="base">
                      <a:spcBef>
                        <a:spcPct val="0"/>
                      </a:spcBef>
                      <a:spcAft>
                        <a:spcPct val="0"/>
                      </a:spcAft>
                    </a:pPr>
                    <a:t>29%</a:t>
                  </a:fld>
                  <a:endParaRPr lang="en-US" sz="600" b="1" i="1" u="none" strike="noStrike" kern="1200">
                    <a:solidFill>
                      <a:srgbClr val="00B050"/>
                    </a:solidFill>
                    <a:latin typeface="Arial" panose="020B0604020202020204" pitchFamily="34" charset="0"/>
                    <a:ea typeface="ＭＳ Ｐゴシック" charset="-128"/>
                    <a:cs typeface="Arial" panose="020B0604020202020204" pitchFamily="34" charset="0"/>
                  </a:endParaRPr>
                </a:p>
              </xdr:txBody>
            </xdr:sp>
            <xdr:sp macro="" textlink="'Financial Data'!$H243">
              <xdr:nvSpPr>
                <xdr:cNvPr id="274" name="TextTaxesAndOther">
                  <a:extLst>
                    <a:ext uri="{FF2B5EF4-FFF2-40B4-BE49-F238E27FC236}">
                      <a16:creationId xmlns:a16="http://schemas.microsoft.com/office/drawing/2014/main" id="{00000000-0008-0000-0B00-000012010000}"/>
                    </a:ext>
                  </a:extLst>
                </xdr:cNvPr>
                <xdr:cNvSpPr txBox="1"/>
              </xdr:nvSpPr>
              <xdr:spPr>
                <a:xfrm>
                  <a:off x="8515077" y="28922674"/>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F4FE7A64-A9EE-46E5-8960-6A1D3990C3E5}"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13%</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1">
              <xdr:nvSpPr>
                <xdr:cNvPr id="275" name="TextTotalAssets">
                  <a:extLst>
                    <a:ext uri="{FF2B5EF4-FFF2-40B4-BE49-F238E27FC236}">
                      <a16:creationId xmlns:a16="http://schemas.microsoft.com/office/drawing/2014/main" id="{00000000-0008-0000-0B00-000013010000}"/>
                    </a:ext>
                  </a:extLst>
                </xdr:cNvPr>
                <xdr:cNvSpPr txBox="1"/>
              </xdr:nvSpPr>
              <xdr:spPr>
                <a:xfrm>
                  <a:off x="8515077" y="30693990"/>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23C7564F-9A43-4761-9ED6-29276596D87E}"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20%</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5">
              <xdr:nvSpPr>
                <xdr:cNvPr id="276" name="TextTotalCurrentLiabilities">
                  <a:extLst>
                    <a:ext uri="{FF2B5EF4-FFF2-40B4-BE49-F238E27FC236}">
                      <a16:creationId xmlns:a16="http://schemas.microsoft.com/office/drawing/2014/main" id="{00000000-0008-0000-0B00-000014010000}"/>
                    </a:ext>
                  </a:extLst>
                </xdr:cNvPr>
                <xdr:cNvSpPr txBox="1"/>
              </xdr:nvSpPr>
              <xdr:spPr>
                <a:xfrm>
                  <a:off x="8515077" y="32258577"/>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2E57FABC-2312-4617-B51F-39B379B847F3}"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26%</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57">
              <xdr:nvSpPr>
                <xdr:cNvPr id="277" name="TextCapitalEmployed">
                  <a:extLst>
                    <a:ext uri="{FF2B5EF4-FFF2-40B4-BE49-F238E27FC236}">
                      <a16:creationId xmlns:a16="http://schemas.microsoft.com/office/drawing/2014/main" id="{00000000-0008-0000-0B00-000015010000}"/>
                    </a:ext>
                  </a:extLst>
                </xdr:cNvPr>
                <xdr:cNvSpPr txBox="1"/>
              </xdr:nvSpPr>
              <xdr:spPr>
                <a:xfrm>
                  <a:off x="7116695" y="31481121"/>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A92E8C19-7470-480D-855F-FB4267945AC0}"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16%</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H244">
              <xdr:nvSpPr>
                <xdr:cNvPr id="278" name="TextNetIncome">
                  <a:extLst>
                    <a:ext uri="{FF2B5EF4-FFF2-40B4-BE49-F238E27FC236}">
                      <a16:creationId xmlns:a16="http://schemas.microsoft.com/office/drawing/2014/main" id="{00000000-0008-0000-0B00-000016010000}"/>
                    </a:ext>
                  </a:extLst>
                </xdr:cNvPr>
                <xdr:cNvSpPr txBox="1"/>
              </xdr:nvSpPr>
              <xdr:spPr>
                <a:xfrm>
                  <a:off x="7092661" y="28250856"/>
                  <a:ext cx="457947" cy="274320"/>
                </a:xfrm>
                <a:prstGeom prst="rect">
                  <a:avLst/>
                </a:prstGeom>
                <a:noFill/>
              </xdr:spPr>
              <xdr:txBody>
                <a:bodyPr wrap="square" lIns="0" tIns="0" rIns="0" bIns="0" rtlCol="0" anchor="ctr">
                  <a:noAutofit/>
                </a:bodyPr>
                <a:lstStyle>
                  <a:defPPr>
                    <a:defRPr lang="en-US"/>
                  </a:defPPr>
                  <a:lvl1pPr algn="l" rtl="0" fontAlgn="base">
                    <a:spcBef>
                      <a:spcPct val="0"/>
                    </a:spcBef>
                    <a:spcAft>
                      <a:spcPct val="0"/>
                    </a:spcAft>
                    <a:defRPr sz="1000" kern="1200">
                      <a:solidFill>
                        <a:schemeClr val="tx1"/>
                      </a:solidFill>
                      <a:latin typeface="Arial" pitchFamily="34" charset="0"/>
                      <a:ea typeface="ＭＳ Ｐゴシック" charset="-128"/>
                      <a:cs typeface="+mn-cs"/>
                    </a:defRPr>
                  </a:lvl1pPr>
                  <a:lvl2pPr marL="457200" algn="l" rtl="0" fontAlgn="base">
                    <a:spcBef>
                      <a:spcPct val="0"/>
                    </a:spcBef>
                    <a:spcAft>
                      <a:spcPct val="0"/>
                    </a:spcAft>
                    <a:defRPr sz="1000" kern="1200">
                      <a:solidFill>
                        <a:schemeClr val="tx1"/>
                      </a:solidFill>
                      <a:latin typeface="Arial" pitchFamily="34" charset="0"/>
                      <a:ea typeface="ＭＳ Ｐゴシック" charset="-128"/>
                      <a:cs typeface="+mn-cs"/>
                    </a:defRPr>
                  </a:lvl2pPr>
                  <a:lvl3pPr marL="914400" algn="l" rtl="0" fontAlgn="base">
                    <a:spcBef>
                      <a:spcPct val="0"/>
                    </a:spcBef>
                    <a:spcAft>
                      <a:spcPct val="0"/>
                    </a:spcAft>
                    <a:defRPr sz="1000" kern="1200">
                      <a:solidFill>
                        <a:schemeClr val="tx1"/>
                      </a:solidFill>
                      <a:latin typeface="Arial" pitchFamily="34" charset="0"/>
                      <a:ea typeface="ＭＳ Ｐゴシック" charset="-128"/>
                      <a:cs typeface="+mn-cs"/>
                    </a:defRPr>
                  </a:lvl3pPr>
                  <a:lvl4pPr marL="1371600" algn="l" rtl="0" fontAlgn="base">
                    <a:spcBef>
                      <a:spcPct val="0"/>
                    </a:spcBef>
                    <a:spcAft>
                      <a:spcPct val="0"/>
                    </a:spcAft>
                    <a:defRPr sz="1000" kern="1200">
                      <a:solidFill>
                        <a:schemeClr val="tx1"/>
                      </a:solidFill>
                      <a:latin typeface="Arial" pitchFamily="34" charset="0"/>
                      <a:ea typeface="ＭＳ Ｐゴシック" charset="-128"/>
                      <a:cs typeface="+mn-cs"/>
                    </a:defRPr>
                  </a:lvl4pPr>
                  <a:lvl5pPr marL="1828800" algn="l" rtl="0" fontAlgn="base">
                    <a:spcBef>
                      <a:spcPct val="0"/>
                    </a:spcBef>
                    <a:spcAft>
                      <a:spcPct val="0"/>
                    </a:spcAft>
                    <a:defRPr sz="1000" kern="1200">
                      <a:solidFill>
                        <a:schemeClr val="tx1"/>
                      </a:solidFill>
                      <a:latin typeface="Arial" pitchFamily="34" charset="0"/>
                      <a:ea typeface="ＭＳ Ｐゴシック" charset="-128"/>
                      <a:cs typeface="+mn-cs"/>
                    </a:defRPr>
                  </a:lvl5pPr>
                  <a:lvl6pPr marL="2286000" algn="l" defTabSz="914400" rtl="0" eaLnBrk="1" latinLnBrk="0" hangingPunct="1">
                    <a:defRPr sz="1000" kern="1200">
                      <a:solidFill>
                        <a:schemeClr val="tx1"/>
                      </a:solidFill>
                      <a:latin typeface="Arial" pitchFamily="34" charset="0"/>
                      <a:ea typeface="ＭＳ Ｐゴシック" charset="-128"/>
                      <a:cs typeface="+mn-cs"/>
                    </a:defRPr>
                  </a:lvl6pPr>
                  <a:lvl7pPr marL="2743200" algn="l" defTabSz="914400" rtl="0" eaLnBrk="1" latinLnBrk="0" hangingPunct="1">
                    <a:defRPr sz="1000" kern="1200">
                      <a:solidFill>
                        <a:schemeClr val="tx1"/>
                      </a:solidFill>
                      <a:latin typeface="Arial" pitchFamily="34" charset="0"/>
                      <a:ea typeface="ＭＳ Ｐゴシック" charset="-128"/>
                      <a:cs typeface="+mn-cs"/>
                    </a:defRPr>
                  </a:lvl7pPr>
                  <a:lvl8pPr marL="3200400" algn="l" defTabSz="914400" rtl="0" eaLnBrk="1" latinLnBrk="0" hangingPunct="1">
                    <a:defRPr sz="1000" kern="1200">
                      <a:solidFill>
                        <a:schemeClr val="tx1"/>
                      </a:solidFill>
                      <a:latin typeface="Arial" pitchFamily="34" charset="0"/>
                      <a:ea typeface="ＭＳ Ｐゴシック" charset="-128"/>
                      <a:cs typeface="+mn-cs"/>
                    </a:defRPr>
                  </a:lvl8pPr>
                  <a:lvl9pPr marL="3657600" algn="l" defTabSz="914400" rtl="0" eaLnBrk="1" latinLnBrk="0" hangingPunct="1">
                    <a:defRPr sz="1000" kern="1200">
                      <a:solidFill>
                        <a:schemeClr val="tx1"/>
                      </a:solidFill>
                      <a:latin typeface="Arial" pitchFamily="34" charset="0"/>
                      <a:ea typeface="ＭＳ Ｐゴシック" charset="-128"/>
                      <a:cs typeface="+mn-cs"/>
                    </a:defRPr>
                  </a:lvl9pPr>
                </a:lstStyle>
                <a:p>
                  <a:pPr marL="0" indent="0" algn="ctr" rtl="0" fontAlgn="base">
                    <a:spcBef>
                      <a:spcPct val="0"/>
                    </a:spcBef>
                    <a:spcAft>
                      <a:spcPct val="0"/>
                    </a:spcAft>
                  </a:pPr>
                  <a:fld id="{070B6135-1F94-4263-9BDC-C314BD405141}" type="TxLink">
                    <a:rPr lang="en-US" sz="800" b="1" i="0" u="none" strike="noStrike" kern="1200">
                      <a:solidFill>
                        <a:srgbClr val="FF0000"/>
                      </a:solidFill>
                      <a:latin typeface="Arial" panose="020B0604020202020204" pitchFamily="34" charset="0"/>
                      <a:ea typeface="ＭＳ Ｐゴシック" charset="-128"/>
                      <a:cs typeface="Arial" panose="020B0604020202020204" pitchFamily="34" charset="0"/>
                    </a:rPr>
                    <a:pPr marL="0" indent="0" algn="ctr" rtl="0" fontAlgn="base">
                      <a:spcBef>
                        <a:spcPct val="0"/>
                      </a:spcBef>
                      <a:spcAft>
                        <a:spcPct val="0"/>
                      </a:spcAft>
                    </a:pPr>
                    <a:t>-15%</a:t>
                  </a:fld>
                  <a:endParaRPr lang="en-US" sz="800" b="1" i="1" u="none" strike="noStrike" kern="1200">
                    <a:solidFill>
                      <a:srgbClr val="FF0000"/>
                    </a:solidFill>
                    <a:latin typeface="Arial" panose="020B0604020202020204" pitchFamily="34" charset="0"/>
                    <a:ea typeface="ＭＳ Ｐゴシック" charset="-128"/>
                    <a:cs typeface="Arial" panose="020B0604020202020204" pitchFamily="34" charset="0"/>
                  </a:endParaRPr>
                </a:p>
              </xdr:txBody>
            </xdr:sp>
            <xdr:sp macro="" textlink="'Financial Data'!$F233">
              <xdr:nvSpPr>
                <xdr:cNvPr id="279" name="Pentagon 278">
                  <a:extLst>
                    <a:ext uri="{FF2B5EF4-FFF2-40B4-BE49-F238E27FC236}">
                      <a16:creationId xmlns:a16="http://schemas.microsoft.com/office/drawing/2014/main" id="{00000000-0008-0000-0B00-000017010000}"/>
                    </a:ext>
                  </a:extLst>
                </xdr:cNvPr>
                <xdr:cNvSpPr/>
              </xdr:nvSpPr>
              <xdr:spPr>
                <a:xfrm flipH="1">
                  <a:off x="4307129" y="25983148"/>
                  <a:ext cx="1003056" cy="274320"/>
                </a:xfrm>
                <a:prstGeom prst="homePlate">
                  <a:avLst/>
                </a:prstGeom>
                <a:solidFill>
                  <a:schemeClr val="accent3">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fld id="{236AA0B3-D6CE-4462-81EC-374D02877E31}" type="TxLink">
                    <a:rPr lang="en-US" sz="800" b="0" i="0" u="none" strike="noStrike">
                      <a:solidFill>
                        <a:schemeClr val="bg1"/>
                      </a:solidFill>
                      <a:latin typeface="Arial" panose="020B0604020202020204" pitchFamily="34" charset="0"/>
                      <a:ea typeface="+mn-ea"/>
                      <a:cs typeface="Arial" panose="020B0604020202020204" pitchFamily="34" charset="0"/>
                    </a:rPr>
                    <a:pPr marL="0" indent="0" algn="ctr"/>
                    <a:t>FY2014</a:t>
                  </a:fld>
                  <a:endParaRPr lang="en-US" sz="800" b="0" i="0" u="none" strike="noStrike">
                    <a:solidFill>
                      <a:schemeClr val="bg1"/>
                    </a:solidFill>
                    <a:latin typeface="Arial" panose="020B0604020202020204" pitchFamily="34" charset="0"/>
                    <a:ea typeface="+mn-ea"/>
                    <a:cs typeface="Arial" panose="020B0604020202020204" pitchFamily="34" charset="0"/>
                  </a:endParaRPr>
                </a:p>
              </xdr:txBody>
            </xdr:sp>
            <xdr:sp macro="" textlink="'Financial Data'!$G233">
              <xdr:nvSpPr>
                <xdr:cNvPr id="280" name="Pentagon 279">
                  <a:extLst>
                    <a:ext uri="{FF2B5EF4-FFF2-40B4-BE49-F238E27FC236}">
                      <a16:creationId xmlns:a16="http://schemas.microsoft.com/office/drawing/2014/main" id="{00000000-0008-0000-0B00-000018010000}"/>
                    </a:ext>
                  </a:extLst>
                </xdr:cNvPr>
                <xdr:cNvSpPr/>
              </xdr:nvSpPr>
              <xdr:spPr>
                <a:xfrm>
                  <a:off x="5469862" y="25983148"/>
                  <a:ext cx="1005299" cy="274320"/>
                </a:xfrm>
                <a:prstGeom prst="homePlate">
                  <a:avLst>
                    <a:gd name="adj" fmla="val 40722"/>
                  </a:avLst>
                </a:prstGeom>
                <a:solidFill>
                  <a:schemeClr val="accent3">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AAEDEB7-EB8C-4A5A-ACC5-145585007DC5}" type="TxLink">
                    <a:rPr lang="en-US" sz="800" b="0" i="0" u="none" strike="noStrike">
                      <a:solidFill>
                        <a:schemeClr val="bg1"/>
                      </a:solidFill>
                      <a:latin typeface="Arial" panose="020B0604020202020204" pitchFamily="34" charset="0"/>
                      <a:cs typeface="Arial" panose="020B0604020202020204" pitchFamily="34" charset="0"/>
                    </a:rPr>
                    <a:pPr algn="ctr"/>
                    <a:t>FY2022</a:t>
                  </a:fld>
                  <a:endParaRPr lang="en-US" sz="800" b="0" i="1">
                    <a:solidFill>
                      <a:schemeClr val="bg1"/>
                    </a:solidFill>
                    <a:latin typeface="Arial" panose="020B0604020202020204" pitchFamily="34" charset="0"/>
                    <a:cs typeface="Arial" panose="020B0604020202020204" pitchFamily="34" charset="0"/>
                  </a:endParaRPr>
                </a:p>
              </xdr:txBody>
            </xdr:sp>
            <xdr:sp macro="" textlink="'Financial Data'!H259">
              <xdr:nvSpPr>
                <xdr:cNvPr id="11" name="TextROCEChange">
                  <a:extLst>
                    <a:ext uri="{FF2B5EF4-FFF2-40B4-BE49-F238E27FC236}">
                      <a16:creationId xmlns:a16="http://schemas.microsoft.com/office/drawing/2014/main" id="{00000000-0008-0000-0B00-00000B000000}"/>
                    </a:ext>
                  </a:extLst>
                </xdr:cNvPr>
                <xdr:cNvSpPr txBox="1"/>
              </xdr:nvSpPr>
              <xdr:spPr>
                <a:xfrm>
                  <a:off x="5597567" y="29944351"/>
                  <a:ext cx="564979" cy="33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720" rIns="45720" rtlCol="0" anchor="ctr"/>
                <a:lstStyle/>
                <a:p>
                  <a:pPr algn="ctr"/>
                  <a:fld id="{AD11DD80-0C7E-4E3D-9696-C49CB9D6E241}" type="TxLink">
                    <a:rPr lang="en-US" sz="800" b="1" i="0" u="none" strike="noStrike">
                      <a:solidFill>
                        <a:srgbClr val="FF0000"/>
                      </a:solidFill>
                      <a:latin typeface="Arial"/>
                      <a:cs typeface="Arial"/>
                    </a:rPr>
                    <a:pPr algn="ctr"/>
                    <a:t>-27%</a:t>
                  </a:fld>
                  <a:endParaRPr lang="en-US" sz="600" b="1">
                    <a:solidFill>
                      <a:srgbClr val="FF0000"/>
                    </a:solidFill>
                    <a:latin typeface="Arial" panose="020B0604020202020204" pitchFamily="34" charset="0"/>
                    <a:cs typeface="Arial" panose="020B0604020202020204" pitchFamily="34" charset="0"/>
                  </a:endParaRPr>
                </a:p>
              </xdr:txBody>
            </xdr:sp>
          </xdr:grpSp>
          <xdr:sp macro="" textlink="'Financial Data'!$S237">
            <xdr:nvSpPr>
              <xdr:cNvPr id="358" name="Rounded Rectangle 8">
                <a:extLst>
                  <a:ext uri="{FF2B5EF4-FFF2-40B4-BE49-F238E27FC236}">
                    <a16:creationId xmlns:a16="http://schemas.microsoft.com/office/drawing/2014/main" id="{00000000-0008-0000-0B00-000066010000}"/>
                  </a:ext>
                </a:extLst>
              </xdr:cNvPr>
              <xdr:cNvSpPr/>
            </xdr:nvSpPr>
            <xdr:spPr>
              <a:xfrm flipH="1">
                <a:off x="1572359" y="15999717"/>
                <a:ext cx="916664" cy="457200"/>
              </a:xfrm>
              <a:prstGeom prst="rect">
                <a:avLst/>
              </a:prstGeom>
              <a:solidFill>
                <a:schemeClr val="bg1">
                  <a:lumMod val="95000"/>
                </a:schemeClr>
              </a:solidFill>
              <a:effectLst>
                <a:outerShdw blurRad="50800" dist="50800" dir="5400000" algn="ctr" rotWithShape="0">
                  <a:srgbClr val="000000">
                    <a:alpha val="40000"/>
                  </a:srgbClr>
                </a:outerShdw>
              </a:effectLst>
            </xdr:spPr>
            <xdr:style>
              <a:lnRef idx="0">
                <a:scrgbClr r="0" g="0" b="0"/>
              </a:lnRef>
              <a:fillRef idx="0">
                <a:scrgbClr r="0" g="0" b="0"/>
              </a:fillRef>
              <a:effectRef idx="0">
                <a:scrgbClr r="0" g="0" b="0"/>
              </a:effectRef>
              <a:fontRef idx="minor">
                <a:schemeClr val="lt1"/>
              </a:fontRef>
            </xdr:style>
            <xdr: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fld id="{1EA0ADC0-6158-4038-ABA4-EB11A82B3CB2}" type="TxLink">
                  <a:rPr lang="en-US" sz="800" b="0" i="0" u="none" strike="noStrike" kern="1200">
                    <a:solidFill>
                      <a:schemeClr val="tx1"/>
                    </a:solidFill>
                    <a:latin typeface="Arial" panose="020B0604020202020204" pitchFamily="34" charset="0"/>
                    <a:cs typeface="Arial" panose="020B0604020202020204" pitchFamily="34" charset="0"/>
                  </a:rPr>
                  <a:pPr lvl="0" algn="ctr" defTabSz="800100">
                    <a:lnSpc>
                      <a:spcPct val="90000"/>
                    </a:lnSpc>
                    <a:spcBef>
                      <a:spcPct val="0"/>
                    </a:spcBef>
                    <a:spcAft>
                      <a:spcPct val="35000"/>
                    </a:spcAft>
                  </a:pPr>
                  <a:t>Gross Profit 
118,225</a:t>
                </a:fld>
                <a:endParaRPr lang="en-US" sz="800" b="0" kern="1200">
                  <a:solidFill>
                    <a:schemeClr val="tx1"/>
                  </a:solidFill>
                  <a:latin typeface="Arial" panose="020B0604020202020204" pitchFamily="34" charset="0"/>
                  <a:cs typeface="Arial" panose="020B0604020202020204" pitchFamily="34" charset="0"/>
                </a:endParaRPr>
              </a:p>
            </xdr:txBody>
          </xdr:sp>
        </xdr:grpSp>
        <xdr:grpSp>
          <xdr:nvGrpSpPr>
            <xdr:cNvPr id="166" name="Group 165">
              <a:extLst>
                <a:ext uri="{FF2B5EF4-FFF2-40B4-BE49-F238E27FC236}">
                  <a16:creationId xmlns:a16="http://schemas.microsoft.com/office/drawing/2014/main" id="{00000000-0008-0000-0B00-0000A6000000}"/>
                </a:ext>
              </a:extLst>
            </xdr:cNvPr>
            <xdr:cNvGrpSpPr/>
          </xdr:nvGrpSpPr>
          <xdr:grpSpPr>
            <a:xfrm>
              <a:off x="1076615" y="15915932"/>
              <a:ext cx="8721021" cy="6144644"/>
              <a:chOff x="1076615" y="15915932"/>
              <a:chExt cx="8721021" cy="6144644"/>
            </a:xfrm>
          </xdr:grpSpPr>
          <xdr:cxnSp macro="">
            <xdr:nvCxnSpPr>
              <xdr:cNvPr id="18" name="Straight Connector 17">
                <a:extLst>
                  <a:ext uri="{FF2B5EF4-FFF2-40B4-BE49-F238E27FC236}">
                    <a16:creationId xmlns:a16="http://schemas.microsoft.com/office/drawing/2014/main" id="{00000000-0008-0000-0B00-000012000000}"/>
                  </a:ext>
                </a:extLst>
              </xdr:cNvPr>
              <xdr:cNvCxnSpPr>
                <a:stCxn id="306" idx="1"/>
                <a:endCxn id="308" idx="3"/>
              </xdr:cNvCxnSpPr>
            </xdr:nvCxnSpPr>
            <xdr:spPr>
              <a:xfrm>
                <a:off x="1080011" y="17095642"/>
                <a:ext cx="490583" cy="55419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a:extLst>
                  <a:ext uri="{FF2B5EF4-FFF2-40B4-BE49-F238E27FC236}">
                    <a16:creationId xmlns:a16="http://schemas.microsoft.com/office/drawing/2014/main" id="{00000000-0008-0000-0B00-000014000000}"/>
                  </a:ext>
                </a:extLst>
              </xdr:cNvPr>
              <xdr:cNvCxnSpPr>
                <a:stCxn id="304" idx="1"/>
                <a:endCxn id="308" idx="3"/>
              </xdr:cNvCxnSpPr>
            </xdr:nvCxnSpPr>
            <xdr:spPr>
              <a:xfrm>
                <a:off x="1080011" y="17649834"/>
                <a:ext cx="490583"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B00-000016000000}"/>
                  </a:ext>
                </a:extLst>
              </xdr:cNvPr>
              <xdr:cNvCxnSpPr>
                <a:stCxn id="302" idx="1"/>
                <a:endCxn id="308" idx="3"/>
              </xdr:cNvCxnSpPr>
            </xdr:nvCxnSpPr>
            <xdr:spPr>
              <a:xfrm flipV="1">
                <a:off x="1080011" y="17649834"/>
                <a:ext cx="490583" cy="555649"/>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id="{00000000-0008-0000-0B00-00001A000000}"/>
                  </a:ext>
                </a:extLst>
              </xdr:cNvPr>
              <xdr:cNvCxnSpPr>
                <a:stCxn id="308" idx="1"/>
                <a:endCxn id="314" idx="3"/>
              </xdr:cNvCxnSpPr>
            </xdr:nvCxnSpPr>
            <xdr:spPr>
              <a:xfrm>
                <a:off x="2486839" y="17649834"/>
                <a:ext cx="528387"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 name="Straight Connector 27">
                <a:extLst>
                  <a:ext uri="{FF2B5EF4-FFF2-40B4-BE49-F238E27FC236}">
                    <a16:creationId xmlns:a16="http://schemas.microsoft.com/office/drawing/2014/main" id="{00000000-0008-0000-0B00-00001C000000}"/>
                  </a:ext>
                </a:extLst>
              </xdr:cNvPr>
              <xdr:cNvCxnSpPr>
                <a:stCxn id="300" idx="1"/>
                <a:endCxn id="314" idx="3"/>
              </xdr:cNvCxnSpPr>
            </xdr:nvCxnSpPr>
            <xdr:spPr>
              <a:xfrm flipV="1">
                <a:off x="2486839" y="17649834"/>
                <a:ext cx="528387" cy="7189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 name="Straight Connector 32">
                <a:extLst>
                  <a:ext uri="{FF2B5EF4-FFF2-40B4-BE49-F238E27FC236}">
                    <a16:creationId xmlns:a16="http://schemas.microsoft.com/office/drawing/2014/main" id="{00000000-0008-0000-0B00-000021000000}"/>
                  </a:ext>
                </a:extLst>
              </xdr:cNvPr>
              <xdr:cNvCxnSpPr>
                <a:stCxn id="292" idx="1"/>
                <a:endCxn id="296" idx="3"/>
              </xdr:cNvCxnSpPr>
            </xdr:nvCxnSpPr>
            <xdr:spPr>
              <a:xfrm>
                <a:off x="1080011" y="19207313"/>
                <a:ext cx="490583" cy="91298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00000000-0008-0000-0B00-000023000000}"/>
                  </a:ext>
                </a:extLst>
              </xdr:cNvPr>
              <xdr:cNvCxnSpPr>
                <a:stCxn id="294" idx="1"/>
                <a:endCxn id="296" idx="3"/>
              </xdr:cNvCxnSpPr>
            </xdr:nvCxnSpPr>
            <xdr:spPr>
              <a:xfrm>
                <a:off x="1080011" y="19764525"/>
                <a:ext cx="490583" cy="35577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00000000-0008-0000-0B00-000025000000}"/>
                  </a:ext>
                </a:extLst>
              </xdr:cNvPr>
              <xdr:cNvCxnSpPr>
                <a:stCxn id="288" idx="1"/>
                <a:endCxn id="296" idx="3"/>
              </xdr:cNvCxnSpPr>
            </xdr:nvCxnSpPr>
            <xdr:spPr>
              <a:xfrm flipV="1">
                <a:off x="1080011" y="20120297"/>
                <a:ext cx="490583" cy="20306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B00-000027000000}"/>
                  </a:ext>
                </a:extLst>
              </xdr:cNvPr>
              <xdr:cNvCxnSpPr>
                <a:stCxn id="290" idx="1"/>
                <a:endCxn id="296" idx="3"/>
              </xdr:cNvCxnSpPr>
            </xdr:nvCxnSpPr>
            <xdr:spPr>
              <a:xfrm flipV="1">
                <a:off x="1080011" y="20120297"/>
                <a:ext cx="490583" cy="75625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B00-000029000000}"/>
                  </a:ext>
                </a:extLst>
              </xdr:cNvPr>
              <xdr:cNvCxnSpPr>
                <a:stCxn id="284" idx="1"/>
                <a:endCxn id="286" idx="3"/>
              </xdr:cNvCxnSpPr>
            </xdr:nvCxnSpPr>
            <xdr:spPr>
              <a:xfrm>
                <a:off x="1080011" y="21508819"/>
                <a:ext cx="490583" cy="20288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B00-00002B000000}"/>
                  </a:ext>
                </a:extLst>
              </xdr:cNvPr>
              <xdr:cNvCxnSpPr>
                <a:stCxn id="282" idx="1"/>
                <a:endCxn id="286" idx="3"/>
              </xdr:cNvCxnSpPr>
            </xdr:nvCxnSpPr>
            <xdr:spPr>
              <a:xfrm flipV="1">
                <a:off x="1080011" y="21711699"/>
                <a:ext cx="490583" cy="348876"/>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B00-00002D000000}"/>
                  </a:ext>
                </a:extLst>
              </xdr:cNvPr>
              <xdr:cNvCxnSpPr>
                <a:stCxn id="296" idx="1"/>
                <a:endCxn id="298" idx="3"/>
              </xdr:cNvCxnSpPr>
            </xdr:nvCxnSpPr>
            <xdr:spPr>
              <a:xfrm>
                <a:off x="2486839" y="20120297"/>
                <a:ext cx="528387" cy="78858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B00-00002F000000}"/>
                  </a:ext>
                </a:extLst>
              </xdr:cNvPr>
              <xdr:cNvCxnSpPr>
                <a:stCxn id="286" idx="1"/>
                <a:endCxn id="298" idx="3"/>
              </xdr:cNvCxnSpPr>
            </xdr:nvCxnSpPr>
            <xdr:spPr>
              <a:xfrm flipV="1">
                <a:off x="2486839" y="20908878"/>
                <a:ext cx="528387" cy="80282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00000000-0008-0000-0B00-000031000000}"/>
                  </a:ext>
                </a:extLst>
              </xdr:cNvPr>
              <xdr:cNvCxnSpPr>
                <a:stCxn id="191" idx="1"/>
                <a:endCxn id="348" idx="3"/>
              </xdr:cNvCxnSpPr>
            </xdr:nvCxnSpPr>
            <xdr:spPr>
              <a:xfrm flipH="1">
                <a:off x="9269432" y="15915932"/>
                <a:ext cx="525095" cy="311694"/>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B00-000033000000}"/>
                  </a:ext>
                </a:extLst>
              </xdr:cNvPr>
              <xdr:cNvCxnSpPr>
                <a:stCxn id="346" idx="1"/>
                <a:endCxn id="348" idx="3"/>
              </xdr:cNvCxnSpPr>
            </xdr:nvCxnSpPr>
            <xdr:spPr>
              <a:xfrm flipH="1" flipV="1">
                <a:off x="9269189" y="16227627"/>
                <a:ext cx="525670" cy="2464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B00-000035000000}"/>
                  </a:ext>
                </a:extLst>
              </xdr:cNvPr>
              <xdr:cNvCxnSpPr>
                <a:stCxn id="342" idx="1"/>
                <a:endCxn id="344" idx="3"/>
              </xdr:cNvCxnSpPr>
            </xdr:nvCxnSpPr>
            <xdr:spPr>
              <a:xfrm flipH="1">
                <a:off x="9269189" y="17095642"/>
                <a:ext cx="525670" cy="55419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B00-000037000000}"/>
                  </a:ext>
                </a:extLst>
              </xdr:cNvPr>
              <xdr:cNvCxnSpPr>
                <a:stCxn id="340" idx="1"/>
                <a:endCxn id="344" idx="3"/>
              </xdr:cNvCxnSpPr>
            </xdr:nvCxnSpPr>
            <xdr:spPr>
              <a:xfrm flipH="1">
                <a:off x="9269189" y="17649834"/>
                <a:ext cx="52567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0000000-0008-0000-0B00-000039000000}"/>
                  </a:ext>
                </a:extLst>
              </xdr:cNvPr>
              <xdr:cNvCxnSpPr>
                <a:stCxn id="338" idx="1"/>
                <a:endCxn id="344" idx="3"/>
              </xdr:cNvCxnSpPr>
            </xdr:nvCxnSpPr>
            <xdr:spPr>
              <a:xfrm flipH="1" flipV="1">
                <a:off x="9269189" y="17649834"/>
                <a:ext cx="517012" cy="5556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B00-00003B000000}"/>
                  </a:ext>
                </a:extLst>
              </xdr:cNvPr>
              <xdr:cNvCxnSpPr>
                <a:stCxn id="350" idx="1"/>
                <a:endCxn id="352" idx="3"/>
              </xdr:cNvCxnSpPr>
            </xdr:nvCxnSpPr>
            <xdr:spPr>
              <a:xfrm flipH="1">
                <a:off x="6406005" y="17649835"/>
                <a:ext cx="524586" cy="171033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00000000-0008-0000-0B00-00003D000000}"/>
                  </a:ext>
                </a:extLst>
              </xdr:cNvPr>
              <xdr:cNvCxnSpPr>
                <a:stCxn id="314" idx="1"/>
                <a:endCxn id="316" idx="3"/>
              </xdr:cNvCxnSpPr>
            </xdr:nvCxnSpPr>
            <xdr:spPr>
              <a:xfrm>
                <a:off x="3931472" y="17649835"/>
                <a:ext cx="513152" cy="171033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0000000-0008-0000-0B00-00003F000000}"/>
                  </a:ext>
                </a:extLst>
              </xdr:cNvPr>
              <xdr:cNvCxnSpPr>
                <a:stCxn id="298" idx="1"/>
                <a:endCxn id="316" idx="3"/>
              </xdr:cNvCxnSpPr>
            </xdr:nvCxnSpPr>
            <xdr:spPr>
              <a:xfrm flipV="1">
                <a:off x="3931472" y="19360171"/>
                <a:ext cx="513152" cy="15487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B00-000083000000}"/>
                  </a:ext>
                </a:extLst>
              </xdr:cNvPr>
              <xdr:cNvCxnSpPr>
                <a:stCxn id="352" idx="3"/>
                <a:endCxn id="334" idx="1"/>
              </xdr:cNvCxnSpPr>
            </xdr:nvCxnSpPr>
            <xdr:spPr>
              <a:xfrm>
                <a:off x="6406005" y="19360171"/>
                <a:ext cx="524587" cy="15487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3" name="Straight Connector 132">
                <a:extLst>
                  <a:ext uri="{FF2B5EF4-FFF2-40B4-BE49-F238E27FC236}">
                    <a16:creationId xmlns:a16="http://schemas.microsoft.com/office/drawing/2014/main" id="{00000000-0008-0000-0B00-000085000000}"/>
                  </a:ext>
                </a:extLst>
              </xdr:cNvPr>
              <xdr:cNvCxnSpPr>
                <a:stCxn id="348" idx="1"/>
                <a:endCxn id="350" idx="3"/>
              </xdr:cNvCxnSpPr>
            </xdr:nvCxnSpPr>
            <xdr:spPr>
              <a:xfrm flipH="1">
                <a:off x="7846833" y="16227627"/>
                <a:ext cx="506112" cy="14222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5" name="Straight Connector 134">
                <a:extLst>
                  <a:ext uri="{FF2B5EF4-FFF2-40B4-BE49-F238E27FC236}">
                    <a16:creationId xmlns:a16="http://schemas.microsoft.com/office/drawing/2014/main" id="{00000000-0008-0000-0B00-000087000000}"/>
                  </a:ext>
                </a:extLst>
              </xdr:cNvPr>
              <xdr:cNvCxnSpPr>
                <a:stCxn id="344" idx="1"/>
                <a:endCxn id="350" idx="3"/>
              </xdr:cNvCxnSpPr>
            </xdr:nvCxnSpPr>
            <xdr:spPr>
              <a:xfrm flipH="1">
                <a:off x="7846833" y="17649834"/>
                <a:ext cx="506112"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7" name="Straight Connector 136">
                <a:extLst>
                  <a:ext uri="{FF2B5EF4-FFF2-40B4-BE49-F238E27FC236}">
                    <a16:creationId xmlns:a16="http://schemas.microsoft.com/office/drawing/2014/main" id="{00000000-0008-0000-0B00-000089000000}"/>
                  </a:ext>
                </a:extLst>
              </xdr:cNvPr>
              <xdr:cNvCxnSpPr>
                <a:stCxn id="336" idx="1"/>
                <a:endCxn id="350" idx="3"/>
              </xdr:cNvCxnSpPr>
            </xdr:nvCxnSpPr>
            <xdr:spPr>
              <a:xfrm flipH="1" flipV="1">
                <a:off x="7846833" y="17649834"/>
                <a:ext cx="506112" cy="71895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9" name="Straight Connector 138">
                <a:extLst>
                  <a:ext uri="{FF2B5EF4-FFF2-40B4-BE49-F238E27FC236}">
                    <a16:creationId xmlns:a16="http://schemas.microsoft.com/office/drawing/2014/main" id="{00000000-0008-0000-0B00-00008B000000}"/>
                  </a:ext>
                </a:extLst>
              </xdr:cNvPr>
              <xdr:cNvCxnSpPr>
                <a:stCxn id="334" idx="3"/>
                <a:endCxn id="332" idx="1"/>
              </xdr:cNvCxnSpPr>
            </xdr:nvCxnSpPr>
            <xdr:spPr>
              <a:xfrm flipV="1">
                <a:off x="7846835" y="20120297"/>
                <a:ext cx="506112" cy="78858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1" name="Straight Connector 140">
                <a:extLst>
                  <a:ext uri="{FF2B5EF4-FFF2-40B4-BE49-F238E27FC236}">
                    <a16:creationId xmlns:a16="http://schemas.microsoft.com/office/drawing/2014/main" id="{00000000-0008-0000-0B00-00008D000000}"/>
                  </a:ext>
                </a:extLst>
              </xdr:cNvPr>
              <xdr:cNvCxnSpPr>
                <a:stCxn id="334" idx="3"/>
                <a:endCxn id="322" idx="1"/>
              </xdr:cNvCxnSpPr>
            </xdr:nvCxnSpPr>
            <xdr:spPr>
              <a:xfrm>
                <a:off x="7846835" y="20908878"/>
                <a:ext cx="506112" cy="80282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3" name="Straight Connector 142">
                <a:extLst>
                  <a:ext uri="{FF2B5EF4-FFF2-40B4-BE49-F238E27FC236}">
                    <a16:creationId xmlns:a16="http://schemas.microsoft.com/office/drawing/2014/main" id="{00000000-0008-0000-0B00-00008F000000}"/>
                  </a:ext>
                </a:extLst>
              </xdr:cNvPr>
              <xdr:cNvCxnSpPr>
                <a:stCxn id="328" idx="1"/>
                <a:endCxn id="332" idx="3"/>
              </xdr:cNvCxnSpPr>
            </xdr:nvCxnSpPr>
            <xdr:spPr>
              <a:xfrm flipH="1">
                <a:off x="9269189" y="19207313"/>
                <a:ext cx="528447" cy="912983"/>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a:extLst>
                  <a:ext uri="{FF2B5EF4-FFF2-40B4-BE49-F238E27FC236}">
                    <a16:creationId xmlns:a16="http://schemas.microsoft.com/office/drawing/2014/main" id="{00000000-0008-0000-0B00-000091000000}"/>
                  </a:ext>
                </a:extLst>
              </xdr:cNvPr>
              <xdr:cNvCxnSpPr>
                <a:stCxn id="332" idx="3"/>
                <a:endCxn id="330" idx="1"/>
              </xdr:cNvCxnSpPr>
            </xdr:nvCxnSpPr>
            <xdr:spPr>
              <a:xfrm flipV="1">
                <a:off x="9269189" y="19764525"/>
                <a:ext cx="528447" cy="35577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7" name="Straight Connector 146">
                <a:extLst>
                  <a:ext uri="{FF2B5EF4-FFF2-40B4-BE49-F238E27FC236}">
                    <a16:creationId xmlns:a16="http://schemas.microsoft.com/office/drawing/2014/main" id="{00000000-0008-0000-0B00-000093000000}"/>
                  </a:ext>
                </a:extLst>
              </xdr:cNvPr>
              <xdr:cNvCxnSpPr>
                <a:stCxn id="332" idx="3"/>
                <a:endCxn id="324" idx="1"/>
              </xdr:cNvCxnSpPr>
            </xdr:nvCxnSpPr>
            <xdr:spPr>
              <a:xfrm>
                <a:off x="9269189" y="20120297"/>
                <a:ext cx="528447" cy="20306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9" name="Straight Connector 148">
                <a:extLst>
                  <a:ext uri="{FF2B5EF4-FFF2-40B4-BE49-F238E27FC236}">
                    <a16:creationId xmlns:a16="http://schemas.microsoft.com/office/drawing/2014/main" id="{00000000-0008-0000-0B00-000095000000}"/>
                  </a:ext>
                </a:extLst>
              </xdr:cNvPr>
              <xdr:cNvCxnSpPr>
                <a:stCxn id="332" idx="3"/>
                <a:endCxn id="326" idx="1"/>
              </xdr:cNvCxnSpPr>
            </xdr:nvCxnSpPr>
            <xdr:spPr>
              <a:xfrm>
                <a:off x="9269189" y="20120297"/>
                <a:ext cx="521854" cy="75625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B00-000097000000}"/>
                  </a:ext>
                </a:extLst>
              </xdr:cNvPr>
              <xdr:cNvCxnSpPr>
                <a:stCxn id="322" idx="3"/>
                <a:endCxn id="320" idx="1"/>
              </xdr:cNvCxnSpPr>
            </xdr:nvCxnSpPr>
            <xdr:spPr>
              <a:xfrm flipV="1">
                <a:off x="9269189" y="21508819"/>
                <a:ext cx="523453" cy="202881"/>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3" name="Straight Connector 152">
                <a:extLst>
                  <a:ext uri="{FF2B5EF4-FFF2-40B4-BE49-F238E27FC236}">
                    <a16:creationId xmlns:a16="http://schemas.microsoft.com/office/drawing/2014/main" id="{00000000-0008-0000-0B00-000099000000}"/>
                  </a:ext>
                </a:extLst>
              </xdr:cNvPr>
              <xdr:cNvCxnSpPr>
                <a:stCxn id="322" idx="3"/>
                <a:endCxn id="318" idx="1"/>
              </xdr:cNvCxnSpPr>
            </xdr:nvCxnSpPr>
            <xdr:spPr>
              <a:xfrm>
                <a:off x="9269189" y="21711699"/>
                <a:ext cx="528444" cy="3488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8" name="Straight Connector 157">
                <a:extLst>
                  <a:ext uri="{FF2B5EF4-FFF2-40B4-BE49-F238E27FC236}">
                    <a16:creationId xmlns:a16="http://schemas.microsoft.com/office/drawing/2014/main" id="{00000000-0008-0000-0B00-00009E000000}"/>
                  </a:ext>
                </a:extLst>
              </xdr:cNvPr>
              <xdr:cNvCxnSpPr>
                <a:stCxn id="358" idx="3"/>
                <a:endCxn id="230" idx="1"/>
              </xdr:cNvCxnSpPr>
            </xdr:nvCxnSpPr>
            <xdr:spPr>
              <a:xfrm flipH="1" flipV="1">
                <a:off x="1076615" y="15915932"/>
                <a:ext cx="491790" cy="311694"/>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0" name="Straight Connector 159">
                <a:extLst>
                  <a:ext uri="{FF2B5EF4-FFF2-40B4-BE49-F238E27FC236}">
                    <a16:creationId xmlns:a16="http://schemas.microsoft.com/office/drawing/2014/main" id="{00000000-0008-0000-0B00-0000A0000000}"/>
                  </a:ext>
                </a:extLst>
              </xdr:cNvPr>
              <xdr:cNvCxnSpPr>
                <a:stCxn id="358" idx="3"/>
                <a:endCxn id="310" idx="1"/>
              </xdr:cNvCxnSpPr>
            </xdr:nvCxnSpPr>
            <xdr:spPr>
              <a:xfrm flipH="1">
                <a:off x="1080011" y="16227627"/>
                <a:ext cx="490574" cy="246477"/>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2" name="Straight Connector 161">
                <a:extLst>
                  <a:ext uri="{FF2B5EF4-FFF2-40B4-BE49-F238E27FC236}">
                    <a16:creationId xmlns:a16="http://schemas.microsoft.com/office/drawing/2014/main" id="{00000000-0008-0000-0B00-0000A2000000}"/>
                  </a:ext>
                </a:extLst>
              </xdr:cNvPr>
              <xdr:cNvCxnSpPr>
                <a:stCxn id="358" idx="1"/>
                <a:endCxn id="314" idx="3"/>
              </xdr:cNvCxnSpPr>
            </xdr:nvCxnSpPr>
            <xdr:spPr>
              <a:xfrm>
                <a:off x="2486149" y="16227627"/>
                <a:ext cx="529078" cy="142220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xnSp macro="">
        <xdr:nvCxnSpPr>
          <xdr:cNvPr id="169" name="Straight Connector 168">
            <a:extLst>
              <a:ext uri="{FF2B5EF4-FFF2-40B4-BE49-F238E27FC236}">
                <a16:creationId xmlns:a16="http://schemas.microsoft.com/office/drawing/2014/main" id="{00000000-0008-0000-0B00-0000A9000000}"/>
              </a:ext>
            </a:extLst>
          </xdr:cNvPr>
          <xdr:cNvCxnSpPr/>
        </xdr:nvCxnSpPr>
        <xdr:spPr>
          <a:xfrm flipH="1">
            <a:off x="4684090" y="15540935"/>
            <a:ext cx="21769" cy="5669280"/>
          </a:xfrm>
          <a:prstGeom prst="line">
            <a:avLst/>
          </a:prstGeom>
          <a:ln>
            <a:solidFill>
              <a:srgbClr val="00355D"/>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4</xdr:row>
      <xdr:rowOff>7620</xdr:rowOff>
    </xdr:from>
    <xdr:to>
      <xdr:col>6</xdr:col>
      <xdr:colOff>621792</xdr:colOff>
      <xdr:row>17</xdr:row>
      <xdr:rowOff>0</xdr:rowOff>
    </xdr:to>
    <xdr:graphicFrame macro="">
      <xdr:nvGraphicFramePr>
        <xdr:cNvPr id="122" name="GraphRevenueAndGrowth">
          <a:extLst>
            <a:ext uri="{FF2B5EF4-FFF2-40B4-BE49-F238E27FC236}">
              <a16:creationId xmlns:a16="http://schemas.microsoft.com/office/drawing/2014/main" id="{00000000-0008-0000-0B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8</xdr:col>
      <xdr:colOff>0</xdr:colOff>
      <xdr:row>4</xdr:row>
      <xdr:rowOff>7620</xdr:rowOff>
    </xdr:from>
    <xdr:to>
      <xdr:col>14</xdr:col>
      <xdr:colOff>336042</xdr:colOff>
      <xdr:row>17</xdr:row>
      <xdr:rowOff>0</xdr:rowOff>
    </xdr:to>
    <xdr:graphicFrame macro="">
      <xdr:nvGraphicFramePr>
        <xdr:cNvPr id="123" name="GraphGPAndGrowth">
          <a:extLst>
            <a:ext uri="{FF2B5EF4-FFF2-40B4-BE49-F238E27FC236}">
              <a16:creationId xmlns:a16="http://schemas.microsoft.com/office/drawing/2014/main" id="{00000000-0008-0000-0B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xdr:col>
      <xdr:colOff>0</xdr:colOff>
      <xdr:row>59</xdr:row>
      <xdr:rowOff>173180</xdr:rowOff>
    </xdr:from>
    <xdr:to>
      <xdr:col>6</xdr:col>
      <xdr:colOff>621792</xdr:colOff>
      <xdr:row>73</xdr:row>
      <xdr:rowOff>108410</xdr:rowOff>
    </xdr:to>
    <xdr:graphicFrame macro="">
      <xdr:nvGraphicFramePr>
        <xdr:cNvPr id="125" name="GraphEBITDAAndGrowth">
          <a:extLst>
            <a:ext uri="{FF2B5EF4-FFF2-40B4-BE49-F238E27FC236}">
              <a16:creationId xmlns:a16="http://schemas.microsoft.com/office/drawing/2014/main" id="{00000000-0008-0000-0B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0</xdr:colOff>
      <xdr:row>74</xdr:row>
      <xdr:rowOff>0</xdr:rowOff>
    </xdr:from>
    <xdr:to>
      <xdr:col>6</xdr:col>
      <xdr:colOff>621792</xdr:colOff>
      <xdr:row>87</xdr:row>
      <xdr:rowOff>116205</xdr:rowOff>
    </xdr:to>
    <xdr:graphicFrame macro="">
      <xdr:nvGraphicFramePr>
        <xdr:cNvPr id="126" name="GraphEBITAndGrowth">
          <a:extLst>
            <a:ext uri="{FF2B5EF4-FFF2-40B4-BE49-F238E27FC236}">
              <a16:creationId xmlns:a16="http://schemas.microsoft.com/office/drawing/2014/main" id="{00000000-0008-0000-0B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0</xdr:colOff>
      <xdr:row>88</xdr:row>
      <xdr:rowOff>0</xdr:rowOff>
    </xdr:from>
    <xdr:to>
      <xdr:col>6</xdr:col>
      <xdr:colOff>621792</xdr:colOff>
      <xdr:row>101</xdr:row>
      <xdr:rowOff>116205</xdr:rowOff>
    </xdr:to>
    <xdr:graphicFrame macro="">
      <xdr:nvGraphicFramePr>
        <xdr:cNvPr id="127" name="GraphNetProfitAndGrowth">
          <a:extLst>
            <a:ext uri="{FF2B5EF4-FFF2-40B4-BE49-F238E27FC236}">
              <a16:creationId xmlns:a16="http://schemas.microsoft.com/office/drawing/2014/main" id="{00000000-0008-0000-0B00-00007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116</xdr:row>
      <xdr:rowOff>0</xdr:rowOff>
    </xdr:from>
    <xdr:to>
      <xdr:col>6</xdr:col>
      <xdr:colOff>621792</xdr:colOff>
      <xdr:row>129</xdr:row>
      <xdr:rowOff>116205</xdr:rowOff>
    </xdr:to>
    <xdr:graphicFrame macro="">
      <xdr:nvGraphicFramePr>
        <xdr:cNvPr id="128" name="GraphReturns">
          <a:extLst>
            <a:ext uri="{FF2B5EF4-FFF2-40B4-BE49-F238E27FC236}">
              <a16:creationId xmlns:a16="http://schemas.microsoft.com/office/drawing/2014/main" id="{00000000-0008-0000-0B00-00008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680356</xdr:colOff>
      <xdr:row>130</xdr:row>
      <xdr:rowOff>0</xdr:rowOff>
    </xdr:from>
    <xdr:to>
      <xdr:col>14</xdr:col>
      <xdr:colOff>330598</xdr:colOff>
      <xdr:row>143</xdr:row>
      <xdr:rowOff>116205</xdr:rowOff>
    </xdr:to>
    <xdr:graphicFrame macro="">
      <xdr:nvGraphicFramePr>
        <xdr:cNvPr id="10" name="GraphReceivableVsSaleGrowth">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144</xdr:row>
      <xdr:rowOff>0</xdr:rowOff>
    </xdr:from>
    <xdr:to>
      <xdr:col>6</xdr:col>
      <xdr:colOff>621792</xdr:colOff>
      <xdr:row>157</xdr:row>
      <xdr:rowOff>116205</xdr:rowOff>
    </xdr:to>
    <xdr:graphicFrame macro="">
      <xdr:nvGraphicFramePr>
        <xdr:cNvPr id="12" name="GraphCFOVsCFOToNIGrowth">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9525</xdr:colOff>
      <xdr:row>130</xdr:row>
      <xdr:rowOff>0</xdr:rowOff>
    </xdr:from>
    <xdr:to>
      <xdr:col>6</xdr:col>
      <xdr:colOff>631317</xdr:colOff>
      <xdr:row>143</xdr:row>
      <xdr:rowOff>116205</xdr:rowOff>
    </xdr:to>
    <xdr:graphicFrame macro="">
      <xdr:nvGraphicFramePr>
        <xdr:cNvPr id="13" name="GraphInventoryVsSaleGrowth">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361950</xdr:colOff>
          <xdr:row>18</xdr:row>
          <xdr:rowOff>28575</xdr:rowOff>
        </xdr:from>
        <xdr:to>
          <xdr:col>14</xdr:col>
          <xdr:colOff>304800</xdr:colOff>
          <xdr:row>19</xdr:row>
          <xdr:rowOff>57150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B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361950</xdr:colOff>
          <xdr:row>46</xdr:row>
          <xdr:rowOff>28575</xdr:rowOff>
        </xdr:from>
        <xdr:to>
          <xdr:col>14</xdr:col>
          <xdr:colOff>304800</xdr:colOff>
          <xdr:row>47</xdr:row>
          <xdr:rowOff>57150</xdr:rowOff>
        </xdr:to>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B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680356</xdr:colOff>
      <xdr:row>144</xdr:row>
      <xdr:rowOff>0</xdr:rowOff>
    </xdr:from>
    <xdr:to>
      <xdr:col>14</xdr:col>
      <xdr:colOff>330598</xdr:colOff>
      <xdr:row>157</xdr:row>
      <xdr:rowOff>116205</xdr:rowOff>
    </xdr:to>
    <xdr:graphicFrame macro="">
      <xdr:nvGraphicFramePr>
        <xdr:cNvPr id="14" name="GraphCOGSVsPayableGrowth">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680356</xdr:colOff>
      <xdr:row>74</xdr:row>
      <xdr:rowOff>0</xdr:rowOff>
    </xdr:from>
    <xdr:to>
      <xdr:col>14</xdr:col>
      <xdr:colOff>330598</xdr:colOff>
      <xdr:row>87</xdr:row>
      <xdr:rowOff>116205</xdr:rowOff>
    </xdr:to>
    <xdr:graphicFrame macro="">
      <xdr:nvGraphicFramePr>
        <xdr:cNvPr id="129" name="GraphEBITMargins">
          <a:extLst>
            <a:ext uri="{FF2B5EF4-FFF2-40B4-BE49-F238E27FC236}">
              <a16:creationId xmlns:a16="http://schemas.microsoft.com/office/drawing/2014/main" id="{00000000-0008-0000-0B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680356</xdr:colOff>
      <xdr:row>59</xdr:row>
      <xdr:rowOff>173180</xdr:rowOff>
    </xdr:from>
    <xdr:to>
      <xdr:col>14</xdr:col>
      <xdr:colOff>330598</xdr:colOff>
      <xdr:row>73</xdr:row>
      <xdr:rowOff>108410</xdr:rowOff>
    </xdr:to>
    <xdr:graphicFrame macro="">
      <xdr:nvGraphicFramePr>
        <xdr:cNvPr id="130" name="GraphEBITDAMargins">
          <a:extLst>
            <a:ext uri="{FF2B5EF4-FFF2-40B4-BE49-F238E27FC236}">
              <a16:creationId xmlns:a16="http://schemas.microsoft.com/office/drawing/2014/main" id="{00000000-0008-0000-0B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cdr:x>
      <cdr:y>0.12946</cdr:y>
    </cdr:from>
    <cdr:to>
      <cdr:x>0.04938</cdr:x>
      <cdr:y>0.68006</cdr:y>
    </cdr:to>
    <cdr:sp macro="" textlink="'Financial Analysis'!$AJ$7">
      <cdr:nvSpPr>
        <cdr:cNvPr id="2" name="TextBox 1"/>
        <cdr:cNvSpPr txBox="1"/>
      </cdr:nvSpPr>
      <cdr:spPr>
        <a:xfrm xmlns:a="http://schemas.openxmlformats.org/drawingml/2006/main" rot="16200000">
          <a:off x="-579670" y="899291"/>
          <a:ext cx="1359366" cy="200025"/>
        </a:xfrm>
        <a:prstGeom xmlns:a="http://schemas.openxmlformats.org/drawingml/2006/main" prst="rect">
          <a:avLst/>
        </a:prstGeom>
      </cdr:spPr>
      <cdr:txBody>
        <a:bodyPr xmlns:a="http://schemas.openxmlformats.org/drawingml/2006/main" vertOverflow="clip" wrap="square" rtlCol="0" anchor="b"/>
        <a:lstStyle xmlns:a="http://schemas.openxmlformats.org/drawingml/2006/main"/>
        <a:p xmlns:a="http://schemas.openxmlformats.org/drawingml/2006/main">
          <a:pPr algn="l"/>
          <a:fld id="{62D2B420-F11D-466B-B61B-8DD09F2DB295}" type="TxLink">
            <a:rPr lang="en-US" sz="900" b="0" i="0" u="none" strike="noStrike">
              <a:solidFill>
                <a:schemeClr val="tx1"/>
              </a:solidFill>
              <a:latin typeface="+mj-lt"/>
            </a:rPr>
            <a:pPr algn="l"/>
            <a:t>Incremental % Growth</a:t>
          </a:fld>
          <a:endParaRPr lang="en-US" sz="900">
            <a:solidFill>
              <a:schemeClr val="tx1"/>
            </a:solidFill>
            <a:latin typeface="+mj-lt"/>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0.12318</cdr:y>
    </cdr:from>
    <cdr:to>
      <cdr:x>0.05543</cdr:x>
      <cdr:y>0.74818</cdr:y>
    </cdr:to>
    <cdr:sp macro="" textlink="'Financial Analysis'!$AJ$7">
      <cdr:nvSpPr>
        <cdr:cNvPr id="2" name="TextBox 1"/>
        <cdr:cNvSpPr txBox="1"/>
      </cdr:nvSpPr>
      <cdr:spPr>
        <a:xfrm xmlns:a="http://schemas.openxmlformats.org/drawingml/2006/main" rot="16200000">
          <a:off x="-659257" y="963385"/>
          <a:ext cx="1543050" cy="224535"/>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382544D-6333-46EC-B2DB-3612106909EF}" type="TxLink">
            <a:rPr lang="en-US" sz="1000" b="0" i="0" u="none" strike="noStrike">
              <a:solidFill>
                <a:schemeClr val="tx1"/>
              </a:solidFill>
              <a:latin typeface="Arial"/>
              <a:cs typeface="Arial"/>
            </a:rPr>
            <a:pPr algn="ctr"/>
            <a:t>Incremental % Growth</a:t>
          </a:fld>
          <a:endParaRPr lang="en-US" sz="1100">
            <a:solidFill>
              <a:schemeClr val="tx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0.00372</cdr:y>
    </cdr:from>
    <cdr:to>
      <cdr:x>0.90999</cdr:x>
      <cdr:y>0.08185</cdr:y>
    </cdr:to>
    <cdr:sp macro="" textlink="">
      <cdr:nvSpPr>
        <cdr:cNvPr id="2" name="TextBox 1"/>
        <cdr:cNvSpPr txBox="1"/>
      </cdr:nvSpPr>
      <cdr:spPr>
        <a:xfrm xmlns:a="http://schemas.openxmlformats.org/drawingml/2006/main">
          <a:off x="0" y="9525"/>
          <a:ext cx="3686175" cy="200037"/>
        </a:xfrm>
        <a:prstGeom xmlns:a="http://schemas.openxmlformats.org/drawingml/2006/main" prst="rect">
          <a:avLst/>
        </a:prstGeom>
      </cdr:spPr>
      <cdr:txBody>
        <a:bodyPr xmlns:a="http://schemas.openxmlformats.org/drawingml/2006/main" vertOverflow="clip" wrap="square" rtlCol="0" anchor="b"/>
        <a:lstStyle xmlns:a="http://schemas.openxmlformats.org/drawingml/2006/main"/>
        <a:p xmlns:a="http://schemas.openxmlformats.org/drawingml/2006/main">
          <a:pPr marL="0" marR="0" indent="0" algn="l" defTabSz="914400" rtl="0" eaLnBrk="1" fontAlgn="auto" latinLnBrk="0" hangingPunct="1">
            <a:lnSpc>
              <a:spcPct val="100000"/>
            </a:lnSpc>
            <a:spcBef>
              <a:spcPts val="0"/>
            </a:spcBef>
            <a:spcAft>
              <a:spcPts val="0"/>
            </a:spcAft>
            <a:buClrTx/>
            <a:buSzTx/>
            <a:buFontTx/>
            <a:buNone/>
            <a:tabLst/>
            <a:defRPr/>
          </a:pPr>
          <a:r>
            <a:rPr lang="en-IN" sz="1000" b="1" i="0" baseline="0">
              <a:solidFill>
                <a:srgbClr val="767171"/>
              </a:solidFill>
              <a:effectLst/>
              <a:latin typeface="Arial" panose="020B0604020202020204" pitchFamily="34" charset="0"/>
              <a:ea typeface="+mn-ea"/>
              <a:cs typeface="Arial" panose="020B0604020202020204" pitchFamily="34" charset="0"/>
            </a:rPr>
            <a:t>COGS vs Payables Growth</a:t>
          </a:r>
          <a:endParaRPr lang="en-IN" sz="1000">
            <a:solidFill>
              <a:srgbClr val="767171"/>
            </a:solidFill>
            <a:effectLst/>
            <a:latin typeface="Arial" panose="020B0604020202020204" pitchFamily="34" charset="0"/>
            <a:cs typeface="Arial" panose="020B0604020202020204" pitchFamily="34" charset="0"/>
          </a:endParaRPr>
        </a:p>
      </cdr:txBody>
    </cdr:sp>
  </cdr:relSizeAnchor>
</c:userShapes>
</file>

<file path=xl/drawings/drawing18.xml><?xml version="1.0" encoding="utf-8"?>
<xdr:wsDr xmlns:xdr="http://schemas.openxmlformats.org/drawingml/2006/spreadsheetDrawing" xmlns:a="http://schemas.openxmlformats.org/drawingml/2006/main">
  <xdr:oneCellAnchor>
    <xdr:from>
      <xdr:col>10</xdr:col>
      <xdr:colOff>476250</xdr:colOff>
      <xdr:row>20</xdr:row>
      <xdr:rowOff>0</xdr:rowOff>
    </xdr:from>
    <xdr:ext cx="3888000" cy="2468880"/>
    <xdr:graphicFrame macro="">
      <xdr:nvGraphicFramePr>
        <xdr:cNvPr id="2" name="Chart 2">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11</xdr:col>
      <xdr:colOff>0</xdr:colOff>
      <xdr:row>3</xdr:row>
      <xdr:rowOff>152400</xdr:rowOff>
    </xdr:from>
    <xdr:ext cx="3888000" cy="2468880"/>
    <xdr:graphicFrame macro="">
      <xdr:nvGraphicFramePr>
        <xdr:cNvPr id="3" name="Chart 1">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0</xdr:colOff>
      <xdr:row>38</xdr:row>
      <xdr:rowOff>0</xdr:rowOff>
    </xdr:from>
    <xdr:ext cx="4050792" cy="2468880"/>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10</xdr:col>
      <xdr:colOff>0</xdr:colOff>
      <xdr:row>38</xdr:row>
      <xdr:rowOff>0</xdr:rowOff>
    </xdr:from>
    <xdr:ext cx="4050792" cy="2468880"/>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10</xdr:col>
      <xdr:colOff>0</xdr:colOff>
      <xdr:row>54</xdr:row>
      <xdr:rowOff>0</xdr:rowOff>
    </xdr:from>
    <xdr:ext cx="4050792" cy="2468880"/>
    <xdr:graphicFrame macro="">
      <xdr:nvGraphicFramePr>
        <xdr:cNvPr id="6" name="Chart 6">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xdr:col>
      <xdr:colOff>0</xdr:colOff>
      <xdr:row>54</xdr:row>
      <xdr:rowOff>0</xdr:rowOff>
    </xdr:from>
    <xdr:ext cx="4050792" cy="2468880"/>
    <xdr:graphicFrame macro="">
      <xdr:nvGraphicFramePr>
        <xdr:cNvPr id="7" name="Chart 5">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drawings/drawing19.xml><?xml version="1.0" encoding="utf-8"?>
<c:userShapes xmlns:c="http://schemas.openxmlformats.org/drawingml/2006/chart">
  <cdr:relSizeAnchor xmlns:cdr="http://schemas.openxmlformats.org/drawingml/2006/chartDrawing">
    <cdr:from>
      <cdr:x>0.85415</cdr:x>
      <cdr:y>0.15997</cdr:y>
    </cdr:from>
    <cdr:to>
      <cdr:x>0.9723</cdr:x>
      <cdr:y>0.19346</cdr:y>
    </cdr:to>
    <cdr:sp macro="" textlink="">
      <cdr:nvSpPr>
        <cdr:cNvPr id="3" name="Minus 2"/>
        <cdr:cNvSpPr/>
      </cdr:nvSpPr>
      <cdr:spPr>
        <a:xfrm xmlns:a="http://schemas.openxmlformats.org/drawingml/2006/main">
          <a:off x="3905174" y="409576"/>
          <a:ext cx="540182" cy="85742"/>
        </a:xfrm>
        <a:prstGeom xmlns:a="http://schemas.openxmlformats.org/drawingml/2006/main" prst="mathMinus">
          <a:avLst/>
        </a:prstGeom>
        <a:solidFill xmlns:a="http://schemas.openxmlformats.org/drawingml/2006/main">
          <a:schemeClr val="bg1"/>
        </a:solidFill>
        <a:ln xmlns:a="http://schemas.openxmlformats.org/drawingml/2006/main">
          <a:solidFill>
            <a:schemeClr val="bg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20.xml><?xml version="1.0" encoding="utf-8"?>
<xdr:wsDr xmlns:xdr="http://schemas.openxmlformats.org/drawingml/2006/spreadsheetDrawing" xmlns:a="http://schemas.openxmlformats.org/drawingml/2006/main">
  <xdr:oneCellAnchor>
    <xdr:from>
      <xdr:col>11</xdr:col>
      <xdr:colOff>12837</xdr:colOff>
      <xdr:row>20</xdr:row>
      <xdr:rowOff>144555</xdr:rowOff>
    </xdr:from>
    <xdr:ext cx="3931920" cy="2468880"/>
    <xdr:graphicFrame macro="">
      <xdr:nvGraphicFramePr>
        <xdr:cNvPr id="2" name="Chart 2">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11</xdr:col>
      <xdr:colOff>12837</xdr:colOff>
      <xdr:row>4</xdr:row>
      <xdr:rowOff>27137</xdr:rowOff>
    </xdr:from>
    <xdr:ext cx="3931920" cy="2468880"/>
    <xdr:graphicFrame macro="">
      <xdr:nvGraphicFramePr>
        <xdr:cNvPr id="3" name="Chart 1">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0</xdr:colOff>
      <xdr:row>38</xdr:row>
      <xdr:rowOff>0</xdr:rowOff>
    </xdr:from>
    <xdr:ext cx="4050792" cy="2468880"/>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9</xdr:col>
      <xdr:colOff>0</xdr:colOff>
      <xdr:row>38</xdr:row>
      <xdr:rowOff>0</xdr:rowOff>
    </xdr:from>
    <xdr:ext cx="4050792" cy="2468880"/>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0</xdr:colOff>
      <xdr:row>54</xdr:row>
      <xdr:rowOff>0</xdr:rowOff>
    </xdr:from>
    <xdr:ext cx="4050792" cy="2468880"/>
    <xdr:graphicFrame macro="">
      <xdr:nvGraphicFramePr>
        <xdr:cNvPr id="6" name="Chart 6">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xdr:col>
      <xdr:colOff>0</xdr:colOff>
      <xdr:row>54</xdr:row>
      <xdr:rowOff>0</xdr:rowOff>
    </xdr:from>
    <xdr:ext cx="4050792" cy="2468880"/>
    <xdr:graphicFrame macro="">
      <xdr:nvGraphicFramePr>
        <xdr:cNvPr id="7" name="Chart 5">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drawings/drawing21.xml><?xml version="1.0" encoding="utf-8"?>
<c:userShapes xmlns:c="http://schemas.openxmlformats.org/drawingml/2006/chart">
  <cdr:relSizeAnchor xmlns:cdr="http://schemas.openxmlformats.org/drawingml/2006/chartDrawing">
    <cdr:from>
      <cdr:x>0.68088</cdr:x>
      <cdr:y>0.01763</cdr:y>
    </cdr:from>
    <cdr:to>
      <cdr:x>0.961</cdr:x>
      <cdr:y>0.13086</cdr:y>
    </cdr:to>
    <cdr:sp macro="" textlink="">
      <cdr:nvSpPr>
        <cdr:cNvPr id="2" name="TextBox 1"/>
        <cdr:cNvSpPr txBox="1"/>
      </cdr:nvSpPr>
      <cdr:spPr>
        <a:xfrm xmlns:a="http://schemas.openxmlformats.org/drawingml/2006/main">
          <a:off x="2758109" y="45141"/>
          <a:ext cx="1134717" cy="2898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0.69519</cdr:x>
      <cdr:y>0.01116</cdr:y>
    </cdr:from>
    <cdr:to>
      <cdr:x>0.961</cdr:x>
      <cdr:y>0.12762</cdr:y>
    </cdr:to>
    <cdr:sp macro="" textlink="">
      <cdr:nvSpPr>
        <cdr:cNvPr id="3" name="TextBox 2"/>
        <cdr:cNvSpPr txBox="1"/>
      </cdr:nvSpPr>
      <cdr:spPr>
        <a:xfrm xmlns:a="http://schemas.openxmlformats.org/drawingml/2006/main">
          <a:off x="2816087" y="28576"/>
          <a:ext cx="1076739" cy="2981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22.xml><?xml version="1.0" encoding="utf-8"?>
<xdr:wsDr xmlns:xdr="http://schemas.openxmlformats.org/drawingml/2006/spreadsheetDrawing" xmlns:a="http://schemas.openxmlformats.org/drawingml/2006/main">
  <xdr:twoCellAnchor>
    <xdr:from>
      <xdr:col>1</xdr:col>
      <xdr:colOff>0</xdr:colOff>
      <xdr:row>11</xdr:row>
      <xdr:rowOff>0</xdr:rowOff>
    </xdr:from>
    <xdr:to>
      <xdr:col>7</xdr:col>
      <xdr:colOff>1066038</xdr:colOff>
      <xdr:row>25</xdr:row>
      <xdr:rowOff>97536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561975</xdr:colOff>
      <xdr:row>4</xdr:row>
      <xdr:rowOff>69850</xdr:rowOff>
    </xdr:from>
    <xdr:to>
      <xdr:col>3</xdr:col>
      <xdr:colOff>422275</xdr:colOff>
      <xdr:row>4</xdr:row>
      <xdr:rowOff>323850</xdr:rowOff>
    </xdr:to>
    <xdr:sp macro="" textlink="">
      <xdr:nvSpPr>
        <xdr:cNvPr id="6" name="hover" hidden="1">
          <a:extLst>
            <a:ext uri="{FF2B5EF4-FFF2-40B4-BE49-F238E27FC236}">
              <a16:creationId xmlns:a16="http://schemas.microsoft.com/office/drawing/2014/main" id="{00000000-0008-0000-0E00-000006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561975</xdr:colOff>
      <xdr:row>4</xdr:row>
      <xdr:rowOff>69850</xdr:rowOff>
    </xdr:from>
    <xdr:to>
      <xdr:col>3</xdr:col>
      <xdr:colOff>422275</xdr:colOff>
      <xdr:row>4</xdr:row>
      <xdr:rowOff>323850</xdr:rowOff>
    </xdr:to>
    <xdr:sp macro="" textlink="">
      <xdr:nvSpPr>
        <xdr:cNvPr id="10" name="hover" hidden="1">
          <a:extLst>
            <a:ext uri="{FF2B5EF4-FFF2-40B4-BE49-F238E27FC236}">
              <a16:creationId xmlns:a16="http://schemas.microsoft.com/office/drawing/2014/main" id="{00000000-0008-0000-0E00-00000A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561975</xdr:colOff>
      <xdr:row>4</xdr:row>
      <xdr:rowOff>69850</xdr:rowOff>
    </xdr:from>
    <xdr:to>
      <xdr:col>3</xdr:col>
      <xdr:colOff>422275</xdr:colOff>
      <xdr:row>4</xdr:row>
      <xdr:rowOff>323850</xdr:rowOff>
    </xdr:to>
    <xdr:sp macro="" textlink="">
      <xdr:nvSpPr>
        <xdr:cNvPr id="3" name="hover" hidden="1">
          <a:extLst>
            <a:ext uri="{FF2B5EF4-FFF2-40B4-BE49-F238E27FC236}">
              <a16:creationId xmlns:a16="http://schemas.microsoft.com/office/drawing/2014/main" id="{00000000-0008-0000-0E00-000003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561975</xdr:colOff>
      <xdr:row>4</xdr:row>
      <xdr:rowOff>69850</xdr:rowOff>
    </xdr:from>
    <xdr:to>
      <xdr:col>3</xdr:col>
      <xdr:colOff>422275</xdr:colOff>
      <xdr:row>4</xdr:row>
      <xdr:rowOff>323850</xdr:rowOff>
    </xdr:to>
    <xdr:sp macro="" textlink="">
      <xdr:nvSpPr>
        <xdr:cNvPr id="4" name="hover" hidden="1">
          <a:extLst>
            <a:ext uri="{FF2B5EF4-FFF2-40B4-BE49-F238E27FC236}">
              <a16:creationId xmlns:a16="http://schemas.microsoft.com/office/drawing/2014/main" id="{00000000-0008-0000-0E00-000004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18</xdr:row>
      <xdr:rowOff>71810</xdr:rowOff>
    </xdr:from>
    <xdr:to>
      <xdr:col>11</xdr:col>
      <xdr:colOff>483428</xdr:colOff>
      <xdr:row>37</xdr:row>
      <xdr:rowOff>76200</xdr:rowOff>
    </xdr:to>
    <xdr:graphicFrame macro="">
      <xdr:nvGraphicFramePr>
        <xdr:cNvPr id="3" name="GraphShareValue">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276224</xdr:colOff>
      <xdr:row>40</xdr:row>
      <xdr:rowOff>115955</xdr:rowOff>
    </xdr:from>
    <xdr:to>
      <xdr:col>11</xdr:col>
      <xdr:colOff>600074</xdr:colOff>
      <xdr:row>70</xdr:row>
      <xdr:rowOff>8659</xdr:rowOff>
    </xdr:to>
    <xdr:graphicFrame macro="">
      <xdr:nvGraphicFramePr>
        <xdr:cNvPr id="9" name="GraphShareValuePeers">
          <a:extLst>
            <a:ext uri="{FF2B5EF4-FFF2-40B4-BE49-F238E27FC236}">
              <a16:creationId xmlns:a16="http://schemas.microsoft.com/office/drawing/2014/main" id="{00000000-0008-0000-0F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276224</xdr:colOff>
      <xdr:row>73</xdr:row>
      <xdr:rowOff>1130</xdr:rowOff>
    </xdr:from>
    <xdr:to>
      <xdr:col>11</xdr:col>
      <xdr:colOff>714374</xdr:colOff>
      <xdr:row>102</xdr:row>
      <xdr:rowOff>58003</xdr:rowOff>
    </xdr:to>
    <xdr:graphicFrame macro="">
      <xdr:nvGraphicFramePr>
        <xdr:cNvPr id="17" name="GraphEnterpriseValuePeers">
          <a:extLst>
            <a:ext uri="{FF2B5EF4-FFF2-40B4-BE49-F238E27FC236}">
              <a16:creationId xmlns:a16="http://schemas.microsoft.com/office/drawing/2014/main" id="{00000000-0008-0000-0F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514350</xdr:colOff>
      <xdr:row>2</xdr:row>
      <xdr:rowOff>69850</xdr:rowOff>
    </xdr:from>
    <xdr:to>
      <xdr:col>4</xdr:col>
      <xdr:colOff>698500</xdr:colOff>
      <xdr:row>3</xdr:row>
      <xdr:rowOff>133350</xdr:rowOff>
    </xdr:to>
    <xdr:sp macro="" textlink="">
      <xdr:nvSpPr>
        <xdr:cNvPr id="4" name="hover" hidden="1">
          <a:extLst>
            <a:ext uri="{FF2B5EF4-FFF2-40B4-BE49-F238E27FC236}">
              <a16:creationId xmlns:a16="http://schemas.microsoft.com/office/drawing/2014/main" id="{00000000-0008-0000-0F00-000004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514350</xdr:colOff>
      <xdr:row>2</xdr:row>
      <xdr:rowOff>69850</xdr:rowOff>
    </xdr:from>
    <xdr:to>
      <xdr:col>4</xdr:col>
      <xdr:colOff>698500</xdr:colOff>
      <xdr:row>3</xdr:row>
      <xdr:rowOff>133350</xdr:rowOff>
    </xdr:to>
    <xdr:sp macro="" textlink="">
      <xdr:nvSpPr>
        <xdr:cNvPr id="5" name="hover" hidden="1">
          <a:extLst>
            <a:ext uri="{FF2B5EF4-FFF2-40B4-BE49-F238E27FC236}">
              <a16:creationId xmlns:a16="http://schemas.microsoft.com/office/drawing/2014/main" id="{00000000-0008-0000-0F00-000005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514350</xdr:colOff>
      <xdr:row>2</xdr:row>
      <xdr:rowOff>69850</xdr:rowOff>
    </xdr:from>
    <xdr:to>
      <xdr:col>4</xdr:col>
      <xdr:colOff>698500</xdr:colOff>
      <xdr:row>3</xdr:row>
      <xdr:rowOff>133350</xdr:rowOff>
    </xdr:to>
    <xdr:sp macro="" textlink="">
      <xdr:nvSpPr>
        <xdr:cNvPr id="20" name="hover" hidden="1">
          <a:extLst>
            <a:ext uri="{FF2B5EF4-FFF2-40B4-BE49-F238E27FC236}">
              <a16:creationId xmlns:a16="http://schemas.microsoft.com/office/drawing/2014/main" id="{00000000-0008-0000-0F00-000014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485775</xdr:colOff>
      <xdr:row>2</xdr:row>
      <xdr:rowOff>69850</xdr:rowOff>
    </xdr:from>
    <xdr:to>
      <xdr:col>4</xdr:col>
      <xdr:colOff>260350</xdr:colOff>
      <xdr:row>3</xdr:row>
      <xdr:rowOff>133350</xdr:rowOff>
    </xdr:to>
    <xdr:sp macro="" textlink="">
      <xdr:nvSpPr>
        <xdr:cNvPr id="6" name="hover" hidden="1">
          <a:extLst>
            <a:ext uri="{FF2B5EF4-FFF2-40B4-BE49-F238E27FC236}">
              <a16:creationId xmlns:a16="http://schemas.microsoft.com/office/drawing/2014/main" id="{00000000-0008-0000-0F00-000006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669925</xdr:colOff>
      <xdr:row>3</xdr:row>
      <xdr:rowOff>133350</xdr:rowOff>
    </xdr:to>
    <xdr:sp macro="" textlink="">
      <xdr:nvSpPr>
        <xdr:cNvPr id="7" name="hover" hidden="1">
          <a:extLst>
            <a:ext uri="{FF2B5EF4-FFF2-40B4-BE49-F238E27FC236}">
              <a16:creationId xmlns:a16="http://schemas.microsoft.com/office/drawing/2014/main" id="{00000000-0008-0000-0F00-000007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485775</xdr:colOff>
      <xdr:row>2</xdr:row>
      <xdr:rowOff>69850</xdr:rowOff>
    </xdr:from>
    <xdr:to>
      <xdr:col>4</xdr:col>
      <xdr:colOff>669925</xdr:colOff>
      <xdr:row>3</xdr:row>
      <xdr:rowOff>133350</xdr:rowOff>
    </xdr:to>
    <xdr:sp macro="" textlink="">
      <xdr:nvSpPr>
        <xdr:cNvPr id="8" name="hover" hidden="1">
          <a:extLst>
            <a:ext uri="{FF2B5EF4-FFF2-40B4-BE49-F238E27FC236}">
              <a16:creationId xmlns:a16="http://schemas.microsoft.com/office/drawing/2014/main" id="{00000000-0008-0000-0F00-000008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0" name="hover" hidden="1">
          <a:extLst>
            <a:ext uri="{FF2B5EF4-FFF2-40B4-BE49-F238E27FC236}">
              <a16:creationId xmlns:a16="http://schemas.microsoft.com/office/drawing/2014/main" id="{00000000-0008-0000-0F00-00000A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1" name="hover" hidden="1">
          <a:extLst>
            <a:ext uri="{FF2B5EF4-FFF2-40B4-BE49-F238E27FC236}">
              <a16:creationId xmlns:a16="http://schemas.microsoft.com/office/drawing/2014/main" id="{00000000-0008-0000-0F00-00000B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2" name="hover" hidden="1">
          <a:extLst>
            <a:ext uri="{FF2B5EF4-FFF2-40B4-BE49-F238E27FC236}">
              <a16:creationId xmlns:a16="http://schemas.microsoft.com/office/drawing/2014/main" id="{00000000-0008-0000-0F00-00000C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3" name="hover" hidden="1">
          <a:extLst>
            <a:ext uri="{FF2B5EF4-FFF2-40B4-BE49-F238E27FC236}">
              <a16:creationId xmlns:a16="http://schemas.microsoft.com/office/drawing/2014/main" id="{00000000-0008-0000-0F00-00000D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21" name="hover" hidden="1">
          <a:extLst>
            <a:ext uri="{FF2B5EF4-FFF2-40B4-BE49-F238E27FC236}">
              <a16:creationId xmlns:a16="http://schemas.microsoft.com/office/drawing/2014/main" id="{00000000-0008-0000-0F00-000015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22" name="hover" hidden="1">
          <a:extLst>
            <a:ext uri="{FF2B5EF4-FFF2-40B4-BE49-F238E27FC236}">
              <a16:creationId xmlns:a16="http://schemas.microsoft.com/office/drawing/2014/main" id="{00000000-0008-0000-0F00-000016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2" name="hover" hidden="1">
          <a:extLst>
            <a:ext uri="{FF2B5EF4-FFF2-40B4-BE49-F238E27FC236}">
              <a16:creationId xmlns:a16="http://schemas.microsoft.com/office/drawing/2014/main" id="{00000000-0008-0000-0F00-000002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4" name="hover" hidden="1">
          <a:extLst>
            <a:ext uri="{FF2B5EF4-FFF2-40B4-BE49-F238E27FC236}">
              <a16:creationId xmlns:a16="http://schemas.microsoft.com/office/drawing/2014/main" id="{00000000-0008-0000-0F00-00000E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000">
            <a:latin typeface="Arial" panose="020B0604020202020204" pitchFamily="34" charset="0"/>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5" name="hover" hidden="1">
          <a:extLst>
            <a:ext uri="{FF2B5EF4-FFF2-40B4-BE49-F238E27FC236}">
              <a16:creationId xmlns:a16="http://schemas.microsoft.com/office/drawing/2014/main" id="{00000000-0008-0000-0F00-00000F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twoCellAnchor>
    <xdr:from>
      <xdr:col>1</xdr:col>
      <xdr:colOff>485775</xdr:colOff>
      <xdr:row>2</xdr:row>
      <xdr:rowOff>69850</xdr:rowOff>
    </xdr:from>
    <xdr:to>
      <xdr:col>4</xdr:col>
      <xdr:colOff>346075</xdr:colOff>
      <xdr:row>3</xdr:row>
      <xdr:rowOff>133350</xdr:rowOff>
    </xdr:to>
    <xdr:sp macro="" textlink="">
      <xdr:nvSpPr>
        <xdr:cNvPr id="16" name="hover" hidden="1">
          <a:extLst>
            <a:ext uri="{FF2B5EF4-FFF2-40B4-BE49-F238E27FC236}">
              <a16:creationId xmlns:a16="http://schemas.microsoft.com/office/drawing/2014/main" id="{00000000-0008-0000-0F00-000010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31</xdr:row>
          <xdr:rowOff>0</xdr:rowOff>
        </xdr:from>
        <xdr:to>
          <xdr:col>15</xdr:col>
          <xdr:colOff>0</xdr:colOff>
          <xdr:row>32</xdr:row>
          <xdr:rowOff>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10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0</xdr:colOff>
      <xdr:row>34</xdr:row>
      <xdr:rowOff>0</xdr:rowOff>
    </xdr:from>
    <xdr:to>
      <xdr:col>11</xdr:col>
      <xdr:colOff>631317</xdr:colOff>
      <xdr:row>47</xdr:row>
      <xdr:rowOff>116205</xdr:rowOff>
    </xdr:to>
    <xdr:graphicFrame macro="">
      <xdr:nvGraphicFramePr>
        <xdr:cNvPr id="3" name="GraphIndustryGM">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3708</xdr:colOff>
      <xdr:row>49</xdr:row>
      <xdr:rowOff>0</xdr:rowOff>
    </xdr:from>
    <xdr:to>
      <xdr:col>5</xdr:col>
      <xdr:colOff>54000</xdr:colOff>
      <xdr:row>62</xdr:row>
      <xdr:rowOff>116205</xdr:rowOff>
    </xdr:to>
    <xdr:graphicFrame macro="">
      <xdr:nvGraphicFramePr>
        <xdr:cNvPr id="14" name="GraphIndustryEBITDA">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64</xdr:row>
      <xdr:rowOff>0</xdr:rowOff>
    </xdr:from>
    <xdr:to>
      <xdr:col>5</xdr:col>
      <xdr:colOff>50292</xdr:colOff>
      <xdr:row>77</xdr:row>
      <xdr:rowOff>116205</xdr:rowOff>
    </xdr:to>
    <xdr:graphicFrame macro="">
      <xdr:nvGraphicFramePr>
        <xdr:cNvPr id="15" name="GraphIndustryNI">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2719</xdr:colOff>
      <xdr:row>94</xdr:row>
      <xdr:rowOff>0</xdr:rowOff>
    </xdr:from>
    <xdr:to>
      <xdr:col>5</xdr:col>
      <xdr:colOff>53011</xdr:colOff>
      <xdr:row>107</xdr:row>
      <xdr:rowOff>116205</xdr:rowOff>
    </xdr:to>
    <xdr:graphicFrame macro="">
      <xdr:nvGraphicFramePr>
        <xdr:cNvPr id="16" name="GraphIndustryRD">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838199</xdr:colOff>
      <xdr:row>78</xdr:row>
      <xdr:rowOff>176892</xdr:rowOff>
    </xdr:from>
    <xdr:to>
      <xdr:col>11</xdr:col>
      <xdr:colOff>631316</xdr:colOff>
      <xdr:row>92</xdr:row>
      <xdr:rowOff>112122</xdr:rowOff>
    </xdr:to>
    <xdr:graphicFrame macro="">
      <xdr:nvGraphicFramePr>
        <xdr:cNvPr id="17" name="GraphIndustrySGA">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5</xdr:col>
      <xdr:colOff>838199</xdr:colOff>
      <xdr:row>94</xdr:row>
      <xdr:rowOff>0</xdr:rowOff>
    </xdr:from>
    <xdr:to>
      <xdr:col>11</xdr:col>
      <xdr:colOff>631316</xdr:colOff>
      <xdr:row>107</xdr:row>
      <xdr:rowOff>116205</xdr:rowOff>
    </xdr:to>
    <xdr:graphicFrame macro="">
      <xdr:nvGraphicFramePr>
        <xdr:cNvPr id="18" name="GraphIndustryDSO">
          <a:extLst>
            <a:ext uri="{FF2B5EF4-FFF2-40B4-BE49-F238E27FC236}">
              <a16:creationId xmlns:a16="http://schemas.microsoft.com/office/drawing/2014/main" id="{00000000-0008-0000-1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2719</xdr:colOff>
      <xdr:row>109</xdr:row>
      <xdr:rowOff>0</xdr:rowOff>
    </xdr:from>
    <xdr:to>
      <xdr:col>5</xdr:col>
      <xdr:colOff>53011</xdr:colOff>
      <xdr:row>122</xdr:row>
      <xdr:rowOff>116205</xdr:rowOff>
    </xdr:to>
    <xdr:graphicFrame macro="">
      <xdr:nvGraphicFramePr>
        <xdr:cNvPr id="19" name="GraphIndustryDIO">
          <a:extLst>
            <a:ext uri="{FF2B5EF4-FFF2-40B4-BE49-F238E27FC236}">
              <a16:creationId xmlns:a16="http://schemas.microsoft.com/office/drawing/2014/main" id="{00000000-0008-0000-1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838199</xdr:colOff>
      <xdr:row>109</xdr:row>
      <xdr:rowOff>0</xdr:rowOff>
    </xdr:from>
    <xdr:to>
      <xdr:col>11</xdr:col>
      <xdr:colOff>631316</xdr:colOff>
      <xdr:row>122</xdr:row>
      <xdr:rowOff>116205</xdr:rowOff>
    </xdr:to>
    <xdr:graphicFrame macro="">
      <xdr:nvGraphicFramePr>
        <xdr:cNvPr id="20" name="GraphIndustryDPO">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0</xdr:colOff>
      <xdr:row>124</xdr:row>
      <xdr:rowOff>0</xdr:rowOff>
    </xdr:from>
    <xdr:to>
      <xdr:col>5</xdr:col>
      <xdr:colOff>50292</xdr:colOff>
      <xdr:row>137</xdr:row>
      <xdr:rowOff>116205</xdr:rowOff>
    </xdr:to>
    <xdr:graphicFrame macro="">
      <xdr:nvGraphicFramePr>
        <xdr:cNvPr id="21" name="GraphIndustryCCC">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0</xdr:colOff>
      <xdr:row>229</xdr:row>
      <xdr:rowOff>0</xdr:rowOff>
    </xdr:from>
    <xdr:to>
      <xdr:col>5</xdr:col>
      <xdr:colOff>50292</xdr:colOff>
      <xdr:row>242</xdr:row>
      <xdr:rowOff>116205</xdr:rowOff>
    </xdr:to>
    <xdr:graphicFrame macro="">
      <xdr:nvGraphicFramePr>
        <xdr:cNvPr id="22" name="GraphIndustryCFOP">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0</xdr:colOff>
      <xdr:row>199</xdr:row>
      <xdr:rowOff>0</xdr:rowOff>
    </xdr:from>
    <xdr:to>
      <xdr:col>5</xdr:col>
      <xdr:colOff>50292</xdr:colOff>
      <xdr:row>212</xdr:row>
      <xdr:rowOff>116205</xdr:rowOff>
    </xdr:to>
    <xdr:graphicFrame macro="">
      <xdr:nvGraphicFramePr>
        <xdr:cNvPr id="23" name="GraphIndustryTAT">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6</xdr:col>
      <xdr:colOff>0</xdr:colOff>
      <xdr:row>124</xdr:row>
      <xdr:rowOff>0</xdr:rowOff>
    </xdr:from>
    <xdr:to>
      <xdr:col>11</xdr:col>
      <xdr:colOff>631317</xdr:colOff>
      <xdr:row>137</xdr:row>
      <xdr:rowOff>116205</xdr:rowOff>
    </xdr:to>
    <xdr:graphicFrame macro="">
      <xdr:nvGraphicFramePr>
        <xdr:cNvPr id="24" name="GraphIndustryLeverage">
          <a:extLst>
            <a:ext uri="{FF2B5EF4-FFF2-40B4-BE49-F238E27FC236}">
              <a16:creationId xmlns:a16="http://schemas.microsoft.com/office/drawing/2014/main" id="{00000000-0008-0000-1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6</xdr:col>
      <xdr:colOff>0</xdr:colOff>
      <xdr:row>154</xdr:row>
      <xdr:rowOff>0</xdr:rowOff>
    </xdr:from>
    <xdr:to>
      <xdr:col>11</xdr:col>
      <xdr:colOff>631317</xdr:colOff>
      <xdr:row>167</xdr:row>
      <xdr:rowOff>116205</xdr:rowOff>
    </xdr:to>
    <xdr:graphicFrame macro="">
      <xdr:nvGraphicFramePr>
        <xdr:cNvPr id="25" name="GraphIndustryROE">
          <a:extLst>
            <a:ext uri="{FF2B5EF4-FFF2-40B4-BE49-F238E27FC236}">
              <a16:creationId xmlns:a16="http://schemas.microsoft.com/office/drawing/2014/main" id="{00000000-0008-0000-1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6</xdr:col>
      <xdr:colOff>0</xdr:colOff>
      <xdr:row>49</xdr:row>
      <xdr:rowOff>0</xdr:rowOff>
    </xdr:from>
    <xdr:to>
      <xdr:col>11</xdr:col>
      <xdr:colOff>631317</xdr:colOff>
      <xdr:row>62</xdr:row>
      <xdr:rowOff>116205</xdr:rowOff>
    </xdr:to>
    <xdr:graphicFrame macro="">
      <xdr:nvGraphicFramePr>
        <xdr:cNvPr id="27" name="GraphIndustryEBIT">
          <a:extLst>
            <a:ext uri="{FF2B5EF4-FFF2-40B4-BE49-F238E27FC236}">
              <a16:creationId xmlns:a16="http://schemas.microsoft.com/office/drawing/2014/main" id="{00000000-0008-0000-1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0</xdr:colOff>
      <xdr:row>79</xdr:row>
      <xdr:rowOff>0</xdr:rowOff>
    </xdr:from>
    <xdr:to>
      <xdr:col>5</xdr:col>
      <xdr:colOff>50292</xdr:colOff>
      <xdr:row>92</xdr:row>
      <xdr:rowOff>116205</xdr:rowOff>
    </xdr:to>
    <xdr:graphicFrame macro="">
      <xdr:nvGraphicFramePr>
        <xdr:cNvPr id="32" name="GraphIndustryOpEx">
          <a:extLst>
            <a:ext uri="{FF2B5EF4-FFF2-40B4-BE49-F238E27FC236}">
              <a16:creationId xmlns:a16="http://schemas.microsoft.com/office/drawing/2014/main" id="{00000000-0008-0000-1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5</xdr:col>
      <xdr:colOff>838199</xdr:colOff>
      <xdr:row>63</xdr:row>
      <xdr:rowOff>176892</xdr:rowOff>
    </xdr:from>
    <xdr:to>
      <xdr:col>11</xdr:col>
      <xdr:colOff>631316</xdr:colOff>
      <xdr:row>77</xdr:row>
      <xdr:rowOff>112122</xdr:rowOff>
    </xdr:to>
    <xdr:graphicFrame macro="">
      <xdr:nvGraphicFramePr>
        <xdr:cNvPr id="33" name="GraphIndustryCOGS">
          <a:extLst>
            <a:ext uri="{FF2B5EF4-FFF2-40B4-BE49-F238E27FC236}">
              <a16:creationId xmlns:a16="http://schemas.microsoft.com/office/drawing/2014/main" id="{00000000-0008-0000-1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xdr:col>
      <xdr:colOff>0</xdr:colOff>
      <xdr:row>154</xdr:row>
      <xdr:rowOff>0</xdr:rowOff>
    </xdr:from>
    <xdr:to>
      <xdr:col>5</xdr:col>
      <xdr:colOff>50292</xdr:colOff>
      <xdr:row>167</xdr:row>
      <xdr:rowOff>116205</xdr:rowOff>
    </xdr:to>
    <xdr:graphicFrame macro="">
      <xdr:nvGraphicFramePr>
        <xdr:cNvPr id="37" name="GraphIndustryROC">
          <a:extLst>
            <a:ext uri="{FF2B5EF4-FFF2-40B4-BE49-F238E27FC236}">
              <a16:creationId xmlns:a16="http://schemas.microsoft.com/office/drawing/2014/main" id="{00000000-0008-0000-1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6</xdr:col>
      <xdr:colOff>0</xdr:colOff>
      <xdr:row>139</xdr:row>
      <xdr:rowOff>0</xdr:rowOff>
    </xdr:from>
    <xdr:to>
      <xdr:col>11</xdr:col>
      <xdr:colOff>631317</xdr:colOff>
      <xdr:row>152</xdr:row>
      <xdr:rowOff>116205</xdr:rowOff>
    </xdr:to>
    <xdr:graphicFrame macro="">
      <xdr:nvGraphicFramePr>
        <xdr:cNvPr id="38" name="GraphIndustryROA">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xdr:col>
      <xdr:colOff>0</xdr:colOff>
      <xdr:row>169</xdr:row>
      <xdr:rowOff>0</xdr:rowOff>
    </xdr:from>
    <xdr:to>
      <xdr:col>5</xdr:col>
      <xdr:colOff>50292</xdr:colOff>
      <xdr:row>182</xdr:row>
      <xdr:rowOff>116205</xdr:rowOff>
    </xdr:to>
    <xdr:graphicFrame macro="">
      <xdr:nvGraphicFramePr>
        <xdr:cNvPr id="34" name="GraphIndustryRevenuePerEmployee">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0</xdr:colOff>
      <xdr:row>184</xdr:row>
      <xdr:rowOff>0</xdr:rowOff>
    </xdr:from>
    <xdr:to>
      <xdr:col>11</xdr:col>
      <xdr:colOff>631317</xdr:colOff>
      <xdr:row>197</xdr:row>
      <xdr:rowOff>116205</xdr:rowOff>
    </xdr:to>
    <xdr:graphicFrame macro="">
      <xdr:nvGraphicFramePr>
        <xdr:cNvPr id="35" name="GraphIndustryOpExPerEmployee">
          <a:extLst>
            <a:ext uri="{FF2B5EF4-FFF2-40B4-BE49-F238E27FC236}">
              <a16:creationId xmlns:a16="http://schemas.microsoft.com/office/drawing/2014/main" id="{00000000-0008-0000-1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xdr:col>
      <xdr:colOff>0</xdr:colOff>
      <xdr:row>184</xdr:row>
      <xdr:rowOff>0</xdr:rowOff>
    </xdr:from>
    <xdr:to>
      <xdr:col>5</xdr:col>
      <xdr:colOff>50292</xdr:colOff>
      <xdr:row>197</xdr:row>
      <xdr:rowOff>116205</xdr:rowOff>
    </xdr:to>
    <xdr:graphicFrame macro="">
      <xdr:nvGraphicFramePr>
        <xdr:cNvPr id="36" name="GraphIndustryRDPerEmployee">
          <a:extLst>
            <a:ext uri="{FF2B5EF4-FFF2-40B4-BE49-F238E27FC236}">
              <a16:creationId xmlns:a16="http://schemas.microsoft.com/office/drawing/2014/main" id="{00000000-0008-0000-1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6</xdr:col>
      <xdr:colOff>0</xdr:colOff>
      <xdr:row>169</xdr:row>
      <xdr:rowOff>0</xdr:rowOff>
    </xdr:from>
    <xdr:to>
      <xdr:col>11</xdr:col>
      <xdr:colOff>631317</xdr:colOff>
      <xdr:row>182</xdr:row>
      <xdr:rowOff>116205</xdr:rowOff>
    </xdr:to>
    <xdr:graphicFrame macro="">
      <xdr:nvGraphicFramePr>
        <xdr:cNvPr id="41" name="GraphIndustrySGAPerEmployee">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190500</xdr:colOff>
      <xdr:row>27</xdr:row>
      <xdr:rowOff>133350</xdr:rowOff>
    </xdr:from>
    <xdr:to>
      <xdr:col>2</xdr:col>
      <xdr:colOff>257174</xdr:colOff>
      <xdr:row>29</xdr:row>
      <xdr:rowOff>28575</xdr:rowOff>
    </xdr:to>
    <xdr:grpSp>
      <xdr:nvGrpSpPr>
        <xdr:cNvPr id="29" name="Group 28">
          <a:extLst>
            <a:ext uri="{FF2B5EF4-FFF2-40B4-BE49-F238E27FC236}">
              <a16:creationId xmlns:a16="http://schemas.microsoft.com/office/drawing/2014/main" id="{00000000-0008-0000-1000-00001D000000}"/>
            </a:ext>
          </a:extLst>
        </xdr:cNvPr>
        <xdr:cNvGrpSpPr/>
      </xdr:nvGrpSpPr>
      <xdr:grpSpPr>
        <a:xfrm>
          <a:off x="190500" y="5305425"/>
          <a:ext cx="2514599" cy="266700"/>
          <a:chOff x="209550" y="5562600"/>
          <a:chExt cx="2028824" cy="266700"/>
        </a:xfrm>
      </xdr:grpSpPr>
      <xdr:sp macro="" textlink="">
        <xdr:nvSpPr>
          <xdr:cNvPr id="30" name="TextBox 29">
            <a:extLst>
              <a:ext uri="{FF2B5EF4-FFF2-40B4-BE49-F238E27FC236}">
                <a16:creationId xmlns:a16="http://schemas.microsoft.com/office/drawing/2014/main" id="{00000000-0008-0000-1000-00001E000000}"/>
              </a:ext>
            </a:extLst>
          </xdr:cNvPr>
          <xdr:cNvSpPr txBox="1"/>
        </xdr:nvSpPr>
        <xdr:spPr>
          <a:xfrm>
            <a:off x="209550" y="5562600"/>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0000"/>
                </a:solidFill>
                <a:sym typeface="Wingdings"/>
              </a:rPr>
              <a:t></a:t>
            </a:r>
            <a:endParaRPr lang="en-IN" sz="1000">
              <a:solidFill>
                <a:srgbClr val="FF0000"/>
              </a:solidFill>
            </a:endParaRPr>
          </a:p>
        </xdr:txBody>
      </xdr:sp>
      <xdr:sp macro="" textlink="">
        <xdr:nvSpPr>
          <xdr:cNvPr id="43" name="TextBox 42">
            <a:extLst>
              <a:ext uri="{FF2B5EF4-FFF2-40B4-BE49-F238E27FC236}">
                <a16:creationId xmlns:a16="http://schemas.microsoft.com/office/drawing/2014/main" id="{00000000-0008-0000-1000-00002B000000}"/>
              </a:ext>
            </a:extLst>
          </xdr:cNvPr>
          <xdr:cNvSpPr txBox="1"/>
        </xdr:nvSpPr>
        <xdr:spPr>
          <a:xfrm>
            <a:off x="477841" y="5562600"/>
            <a:ext cx="176053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Worse than Lower Quartile</a:t>
            </a:r>
          </a:p>
        </xdr:txBody>
      </xdr:sp>
    </xdr:grpSp>
    <xdr:clientData/>
  </xdr:twoCellAnchor>
  <xdr:twoCellAnchor>
    <xdr:from>
      <xdr:col>6</xdr:col>
      <xdr:colOff>0</xdr:colOff>
      <xdr:row>199</xdr:row>
      <xdr:rowOff>0</xdr:rowOff>
    </xdr:from>
    <xdr:to>
      <xdr:col>11</xdr:col>
      <xdr:colOff>631317</xdr:colOff>
      <xdr:row>212</xdr:row>
      <xdr:rowOff>116205</xdr:rowOff>
    </xdr:to>
    <xdr:graphicFrame macro="">
      <xdr:nvGraphicFramePr>
        <xdr:cNvPr id="48" name="GraphIndustryInventoryTurnover">
          <a:extLst>
            <a:ext uri="{FF2B5EF4-FFF2-40B4-BE49-F238E27FC236}">
              <a16:creationId xmlns:a16="http://schemas.microsoft.com/office/drawing/2014/main" id="{00000000-0008-0000-10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581024</xdr:colOff>
      <xdr:row>214</xdr:row>
      <xdr:rowOff>0</xdr:rowOff>
    </xdr:from>
    <xdr:to>
      <xdr:col>5</xdr:col>
      <xdr:colOff>50291</xdr:colOff>
      <xdr:row>227</xdr:row>
      <xdr:rowOff>116205</xdr:rowOff>
    </xdr:to>
    <xdr:graphicFrame macro="">
      <xdr:nvGraphicFramePr>
        <xdr:cNvPr id="49" name="GraphIndustryReceivableTurnover">
          <a:extLst>
            <a:ext uri="{FF2B5EF4-FFF2-40B4-BE49-F238E27FC236}">
              <a16:creationId xmlns:a16="http://schemas.microsoft.com/office/drawing/2014/main" id="{00000000-0008-0000-10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93659</xdr:colOff>
      <xdr:row>27</xdr:row>
      <xdr:rowOff>133350</xdr:rowOff>
    </xdr:from>
    <xdr:to>
      <xdr:col>4</xdr:col>
      <xdr:colOff>561975</xdr:colOff>
      <xdr:row>29</xdr:row>
      <xdr:rowOff>28575</xdr:rowOff>
    </xdr:to>
    <xdr:grpSp>
      <xdr:nvGrpSpPr>
        <xdr:cNvPr id="11" name="Group 10">
          <a:extLst>
            <a:ext uri="{FF2B5EF4-FFF2-40B4-BE49-F238E27FC236}">
              <a16:creationId xmlns:a16="http://schemas.microsoft.com/office/drawing/2014/main" id="{00000000-0008-0000-1000-00000B000000}"/>
            </a:ext>
          </a:extLst>
        </xdr:cNvPr>
        <xdr:cNvGrpSpPr/>
      </xdr:nvGrpSpPr>
      <xdr:grpSpPr>
        <a:xfrm>
          <a:off x="2541584" y="5305425"/>
          <a:ext cx="1944691" cy="266700"/>
          <a:chOff x="2293934" y="5581650"/>
          <a:chExt cx="1668466" cy="266700"/>
        </a:xfrm>
      </xdr:grpSpPr>
      <xdr:sp macro="" textlink="">
        <xdr:nvSpPr>
          <xdr:cNvPr id="50" name="TextBox 49">
            <a:extLst>
              <a:ext uri="{FF2B5EF4-FFF2-40B4-BE49-F238E27FC236}">
                <a16:creationId xmlns:a16="http://schemas.microsoft.com/office/drawing/2014/main" id="{00000000-0008-0000-1000-000032000000}"/>
              </a:ext>
            </a:extLst>
          </xdr:cNvPr>
          <xdr:cNvSpPr txBox="1"/>
        </xdr:nvSpPr>
        <xdr:spPr>
          <a:xfrm>
            <a:off x="2293934" y="5581650"/>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B125"/>
                </a:solidFill>
                <a:sym typeface="Wingdings"/>
              </a:rPr>
              <a:t></a:t>
            </a:r>
            <a:endParaRPr lang="en-IN" sz="1000">
              <a:solidFill>
                <a:srgbClr val="FFB125"/>
              </a:solidFill>
            </a:endParaRPr>
          </a:p>
        </xdr:txBody>
      </xdr:sp>
      <xdr:sp macro="" textlink="">
        <xdr:nvSpPr>
          <xdr:cNvPr id="51" name="TextBox 50">
            <a:extLst>
              <a:ext uri="{FF2B5EF4-FFF2-40B4-BE49-F238E27FC236}">
                <a16:creationId xmlns:a16="http://schemas.microsoft.com/office/drawing/2014/main" id="{00000000-0008-0000-1000-000033000000}"/>
              </a:ext>
            </a:extLst>
          </xdr:cNvPr>
          <xdr:cNvSpPr txBox="1"/>
        </xdr:nvSpPr>
        <xdr:spPr>
          <a:xfrm>
            <a:off x="2562225" y="5581650"/>
            <a:ext cx="14001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Worse than Median</a:t>
            </a:r>
          </a:p>
        </xdr:txBody>
      </xdr:sp>
    </xdr:grpSp>
    <xdr:clientData/>
  </xdr:twoCellAnchor>
  <xdr:twoCellAnchor>
    <xdr:from>
      <xdr:col>4</xdr:col>
      <xdr:colOff>590554</xdr:colOff>
      <xdr:row>27</xdr:row>
      <xdr:rowOff>133350</xdr:rowOff>
    </xdr:from>
    <xdr:to>
      <xdr:col>7</xdr:col>
      <xdr:colOff>285750</xdr:colOff>
      <xdr:row>29</xdr:row>
      <xdr:rowOff>28575</xdr:rowOff>
    </xdr:to>
    <xdr:grpSp>
      <xdr:nvGrpSpPr>
        <xdr:cNvPr id="26" name="Group 25">
          <a:extLst>
            <a:ext uri="{FF2B5EF4-FFF2-40B4-BE49-F238E27FC236}">
              <a16:creationId xmlns:a16="http://schemas.microsoft.com/office/drawing/2014/main" id="{00000000-0008-0000-1000-00001A000000}"/>
            </a:ext>
          </a:extLst>
        </xdr:cNvPr>
        <xdr:cNvGrpSpPr/>
      </xdr:nvGrpSpPr>
      <xdr:grpSpPr>
        <a:xfrm>
          <a:off x="4514854" y="5305425"/>
          <a:ext cx="1666871" cy="266700"/>
          <a:chOff x="3931344" y="5581650"/>
          <a:chExt cx="1794471" cy="266700"/>
        </a:xfrm>
      </xdr:grpSpPr>
      <xdr:sp macro="" textlink="">
        <xdr:nvSpPr>
          <xdr:cNvPr id="52" name="TextBox 51">
            <a:extLst>
              <a:ext uri="{FF2B5EF4-FFF2-40B4-BE49-F238E27FC236}">
                <a16:creationId xmlns:a16="http://schemas.microsoft.com/office/drawing/2014/main" id="{00000000-0008-0000-1000-000034000000}"/>
              </a:ext>
            </a:extLst>
          </xdr:cNvPr>
          <xdr:cNvSpPr txBox="1"/>
        </xdr:nvSpPr>
        <xdr:spPr>
          <a:xfrm>
            <a:off x="3931344" y="5581650"/>
            <a:ext cx="324429"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FF00"/>
                </a:solidFill>
                <a:sym typeface="Wingdings"/>
              </a:rPr>
              <a:t></a:t>
            </a:r>
            <a:endParaRPr lang="en-IN" sz="1000">
              <a:solidFill>
                <a:srgbClr val="FFFF00"/>
              </a:solidFill>
            </a:endParaRPr>
          </a:p>
        </xdr:txBody>
      </xdr:sp>
      <xdr:sp macro="" textlink="">
        <xdr:nvSpPr>
          <xdr:cNvPr id="53" name="TextBox 52">
            <a:extLst>
              <a:ext uri="{FF2B5EF4-FFF2-40B4-BE49-F238E27FC236}">
                <a16:creationId xmlns:a16="http://schemas.microsoft.com/office/drawing/2014/main" id="{00000000-0008-0000-1000-000035000000}"/>
              </a:ext>
            </a:extLst>
          </xdr:cNvPr>
          <xdr:cNvSpPr txBox="1"/>
        </xdr:nvSpPr>
        <xdr:spPr>
          <a:xfrm>
            <a:off x="4230690" y="5581650"/>
            <a:ext cx="1495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Better than Median</a:t>
            </a:r>
          </a:p>
        </xdr:txBody>
      </xdr:sp>
    </xdr:grpSp>
    <xdr:clientData/>
  </xdr:twoCellAnchor>
  <xdr:twoCellAnchor>
    <xdr:from>
      <xdr:col>7</xdr:col>
      <xdr:colOff>617534</xdr:colOff>
      <xdr:row>27</xdr:row>
      <xdr:rowOff>133350</xdr:rowOff>
    </xdr:from>
    <xdr:to>
      <xdr:col>10</xdr:col>
      <xdr:colOff>495300</xdr:colOff>
      <xdr:row>29</xdr:row>
      <xdr:rowOff>28575</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6513509" y="5305425"/>
          <a:ext cx="1935166" cy="266700"/>
          <a:chOff x="5561009" y="5581650"/>
          <a:chExt cx="1944691" cy="266700"/>
        </a:xfrm>
      </xdr:grpSpPr>
      <xdr:sp macro="" textlink="">
        <xdr:nvSpPr>
          <xdr:cNvPr id="54" name="TextBox 53">
            <a:extLst>
              <a:ext uri="{FF2B5EF4-FFF2-40B4-BE49-F238E27FC236}">
                <a16:creationId xmlns:a16="http://schemas.microsoft.com/office/drawing/2014/main" id="{00000000-0008-0000-1000-000036000000}"/>
              </a:ext>
            </a:extLst>
          </xdr:cNvPr>
          <xdr:cNvSpPr txBox="1"/>
        </xdr:nvSpPr>
        <xdr:spPr>
          <a:xfrm>
            <a:off x="5561009" y="5581650"/>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00B050"/>
                </a:solidFill>
                <a:sym typeface="Wingdings"/>
              </a:rPr>
              <a:t></a:t>
            </a:r>
            <a:endParaRPr lang="en-IN" sz="1000">
              <a:solidFill>
                <a:srgbClr val="00B050"/>
              </a:solidFill>
            </a:endParaRPr>
          </a:p>
        </xdr:txBody>
      </xdr:sp>
      <xdr:sp macro="" textlink="">
        <xdr:nvSpPr>
          <xdr:cNvPr id="55" name="TextBox 54">
            <a:extLst>
              <a:ext uri="{FF2B5EF4-FFF2-40B4-BE49-F238E27FC236}">
                <a16:creationId xmlns:a16="http://schemas.microsoft.com/office/drawing/2014/main" id="{00000000-0008-0000-1000-000037000000}"/>
              </a:ext>
            </a:extLst>
          </xdr:cNvPr>
          <xdr:cNvSpPr txBox="1"/>
        </xdr:nvSpPr>
        <xdr:spPr>
          <a:xfrm>
            <a:off x="5829300" y="5581650"/>
            <a:ext cx="1676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Better than Upper Quartile</a:t>
            </a:r>
          </a:p>
        </xdr:txBody>
      </xdr:sp>
    </xdr:grpSp>
    <xdr:clientData/>
  </xdr:twoCellAnchor>
  <xdr:twoCellAnchor>
    <xdr:from>
      <xdr:col>6</xdr:col>
      <xdr:colOff>0</xdr:colOff>
      <xdr:row>229</xdr:row>
      <xdr:rowOff>0</xdr:rowOff>
    </xdr:from>
    <xdr:to>
      <xdr:col>11</xdr:col>
      <xdr:colOff>631317</xdr:colOff>
      <xdr:row>242</xdr:row>
      <xdr:rowOff>116205</xdr:rowOff>
    </xdr:to>
    <xdr:graphicFrame macro="">
      <xdr:nvGraphicFramePr>
        <xdr:cNvPr id="2" name="GraphIndustryFCFByTD">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34</xdr:row>
      <xdr:rowOff>0</xdr:rowOff>
    </xdr:from>
    <xdr:to>
      <xdr:col>5</xdr:col>
      <xdr:colOff>50292</xdr:colOff>
      <xdr:row>47</xdr:row>
      <xdr:rowOff>116205</xdr:rowOff>
    </xdr:to>
    <xdr:graphicFrame macro="">
      <xdr:nvGraphicFramePr>
        <xdr:cNvPr id="6" name="GraphIndustryRevenueGrowth">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0</xdr:colOff>
      <xdr:row>244</xdr:row>
      <xdr:rowOff>0</xdr:rowOff>
    </xdr:from>
    <xdr:to>
      <xdr:col>11</xdr:col>
      <xdr:colOff>631317</xdr:colOff>
      <xdr:row>257</xdr:row>
      <xdr:rowOff>116205</xdr:rowOff>
    </xdr:to>
    <xdr:graphicFrame macro="">
      <xdr:nvGraphicFramePr>
        <xdr:cNvPr id="8" name="GraphInvestorReturnGrowth">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0</xdr:col>
      <xdr:colOff>581024</xdr:colOff>
      <xdr:row>139</xdr:row>
      <xdr:rowOff>0</xdr:rowOff>
    </xdr:from>
    <xdr:to>
      <xdr:col>5</xdr:col>
      <xdr:colOff>50291</xdr:colOff>
      <xdr:row>152</xdr:row>
      <xdr:rowOff>116205</xdr:rowOff>
    </xdr:to>
    <xdr:graphicFrame macro="">
      <xdr:nvGraphicFramePr>
        <xdr:cNvPr id="9" name="GraphIndustryROIC">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581024</xdr:colOff>
      <xdr:row>244</xdr:row>
      <xdr:rowOff>0</xdr:rowOff>
    </xdr:from>
    <xdr:to>
      <xdr:col>5</xdr:col>
      <xdr:colOff>50291</xdr:colOff>
      <xdr:row>257</xdr:row>
      <xdr:rowOff>116205</xdr:rowOff>
    </xdr:to>
    <xdr:graphicFrame macro="">
      <xdr:nvGraphicFramePr>
        <xdr:cNvPr id="10" name="GraphIndustryEVByTotalCap">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0</xdr:colOff>
      <xdr:row>214</xdr:row>
      <xdr:rowOff>0</xdr:rowOff>
    </xdr:from>
    <xdr:to>
      <xdr:col>11</xdr:col>
      <xdr:colOff>631317</xdr:colOff>
      <xdr:row>227</xdr:row>
      <xdr:rowOff>116205</xdr:rowOff>
    </xdr:to>
    <xdr:graphicFrame macro="">
      <xdr:nvGraphicFramePr>
        <xdr:cNvPr id="4" name="GraphIndustryFAT">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4</xdr:col>
      <xdr:colOff>574167</xdr:colOff>
      <xdr:row>46</xdr:row>
      <xdr:rowOff>116205</xdr:rowOff>
    </xdr:to>
    <xdr:graphicFrame macro="">
      <xdr:nvGraphicFramePr>
        <xdr:cNvPr id="12" name="GraphIndustryNIM">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0</xdr:colOff>
      <xdr:row>33</xdr:row>
      <xdr:rowOff>0</xdr:rowOff>
    </xdr:from>
    <xdr:to>
      <xdr:col>10</xdr:col>
      <xdr:colOff>669417</xdr:colOff>
      <xdr:row>46</xdr:row>
      <xdr:rowOff>116205</xdr:rowOff>
    </xdr:to>
    <xdr:graphicFrame macro="">
      <xdr:nvGraphicFramePr>
        <xdr:cNvPr id="13" name="GraphIndustryEBT">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47</xdr:row>
      <xdr:rowOff>0</xdr:rowOff>
    </xdr:from>
    <xdr:to>
      <xdr:col>4</xdr:col>
      <xdr:colOff>574167</xdr:colOff>
      <xdr:row>60</xdr:row>
      <xdr:rowOff>116205</xdr:rowOff>
    </xdr:to>
    <xdr:graphicFrame macro="">
      <xdr:nvGraphicFramePr>
        <xdr:cNvPr id="14" name="GraphIndustryNI">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61</xdr:row>
      <xdr:rowOff>0</xdr:rowOff>
    </xdr:from>
    <xdr:to>
      <xdr:col>4</xdr:col>
      <xdr:colOff>574167</xdr:colOff>
      <xdr:row>74</xdr:row>
      <xdr:rowOff>116205</xdr:rowOff>
    </xdr:to>
    <xdr:graphicFrame macro="">
      <xdr:nvGraphicFramePr>
        <xdr:cNvPr id="15" name="GraphIndustryTierOne">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75</xdr:row>
      <xdr:rowOff>0</xdr:rowOff>
    </xdr:from>
    <xdr:to>
      <xdr:col>4</xdr:col>
      <xdr:colOff>574167</xdr:colOff>
      <xdr:row>88</xdr:row>
      <xdr:rowOff>116205</xdr:rowOff>
    </xdr:to>
    <xdr:graphicFrame macro="">
      <xdr:nvGraphicFramePr>
        <xdr:cNvPr id="17" name="GraphIndustryTotalCapitalRatio">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0</xdr:colOff>
      <xdr:row>89</xdr:row>
      <xdr:rowOff>0</xdr:rowOff>
    </xdr:from>
    <xdr:to>
      <xdr:col>4</xdr:col>
      <xdr:colOff>574167</xdr:colOff>
      <xdr:row>102</xdr:row>
      <xdr:rowOff>116205</xdr:rowOff>
    </xdr:to>
    <xdr:graphicFrame macro="">
      <xdr:nvGraphicFramePr>
        <xdr:cNvPr id="18" name="GraphIndustryNonPerformingLoans">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0</xdr:colOff>
      <xdr:row>103</xdr:row>
      <xdr:rowOff>0</xdr:rowOff>
    </xdr:from>
    <xdr:to>
      <xdr:col>10</xdr:col>
      <xdr:colOff>669417</xdr:colOff>
      <xdr:row>116</xdr:row>
      <xdr:rowOff>116205</xdr:rowOff>
    </xdr:to>
    <xdr:graphicFrame macro="">
      <xdr:nvGraphicFramePr>
        <xdr:cNvPr id="21" name="GraphIndustryLoanPercent">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0</xdr:colOff>
      <xdr:row>75</xdr:row>
      <xdr:rowOff>0</xdr:rowOff>
    </xdr:from>
    <xdr:to>
      <xdr:col>10</xdr:col>
      <xdr:colOff>669417</xdr:colOff>
      <xdr:row>88</xdr:row>
      <xdr:rowOff>116205</xdr:rowOff>
    </xdr:to>
    <xdr:graphicFrame macro="">
      <xdr:nvGraphicFramePr>
        <xdr:cNvPr id="22" name="GraphIndustryLeverage">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0</xdr:colOff>
      <xdr:row>117</xdr:row>
      <xdr:rowOff>0</xdr:rowOff>
    </xdr:from>
    <xdr:to>
      <xdr:col>4</xdr:col>
      <xdr:colOff>574167</xdr:colOff>
      <xdr:row>130</xdr:row>
      <xdr:rowOff>116205</xdr:rowOff>
    </xdr:to>
    <xdr:graphicFrame macro="">
      <xdr:nvGraphicFramePr>
        <xdr:cNvPr id="23" name="GraphIndustryROE">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0</xdr:colOff>
      <xdr:row>117</xdr:row>
      <xdr:rowOff>0</xdr:rowOff>
    </xdr:from>
    <xdr:to>
      <xdr:col>10</xdr:col>
      <xdr:colOff>669417</xdr:colOff>
      <xdr:row>130</xdr:row>
      <xdr:rowOff>116205</xdr:rowOff>
    </xdr:to>
    <xdr:graphicFrame macro="">
      <xdr:nvGraphicFramePr>
        <xdr:cNvPr id="24" name="GraphIndustryROCE">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0</xdr:colOff>
      <xdr:row>103</xdr:row>
      <xdr:rowOff>0</xdr:rowOff>
    </xdr:from>
    <xdr:to>
      <xdr:col>4</xdr:col>
      <xdr:colOff>574167</xdr:colOff>
      <xdr:row>116</xdr:row>
      <xdr:rowOff>116205</xdr:rowOff>
    </xdr:to>
    <xdr:graphicFrame macro="">
      <xdr:nvGraphicFramePr>
        <xdr:cNvPr id="26" name="GraphIndustryROA">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0</xdr:colOff>
          <xdr:row>30</xdr:row>
          <xdr:rowOff>0</xdr:rowOff>
        </xdr:from>
        <xdr:to>
          <xdr:col>15</xdr:col>
          <xdr:colOff>0</xdr:colOff>
          <xdr:row>31</xdr:row>
          <xdr:rowOff>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1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26</xdr:row>
      <xdr:rowOff>142875</xdr:rowOff>
    </xdr:from>
    <xdr:to>
      <xdr:col>2</xdr:col>
      <xdr:colOff>276224</xdr:colOff>
      <xdr:row>28</xdr:row>
      <xdr:rowOff>9525</xdr:rowOff>
    </xdr:to>
    <xdr:grpSp>
      <xdr:nvGrpSpPr>
        <xdr:cNvPr id="29" name="Group 28">
          <a:extLst>
            <a:ext uri="{FF2B5EF4-FFF2-40B4-BE49-F238E27FC236}">
              <a16:creationId xmlns:a16="http://schemas.microsoft.com/office/drawing/2014/main" id="{00000000-0008-0000-1100-00001D000000}"/>
            </a:ext>
          </a:extLst>
        </xdr:cNvPr>
        <xdr:cNvGrpSpPr/>
      </xdr:nvGrpSpPr>
      <xdr:grpSpPr>
        <a:xfrm>
          <a:off x="438150" y="5105400"/>
          <a:ext cx="2276474" cy="247650"/>
          <a:chOff x="209550" y="5562600"/>
          <a:chExt cx="2028824" cy="266700"/>
        </a:xfrm>
      </xdr:grpSpPr>
      <xdr:sp macro="" textlink="">
        <xdr:nvSpPr>
          <xdr:cNvPr id="30" name="TextBox 29">
            <a:extLst>
              <a:ext uri="{FF2B5EF4-FFF2-40B4-BE49-F238E27FC236}">
                <a16:creationId xmlns:a16="http://schemas.microsoft.com/office/drawing/2014/main" id="{00000000-0008-0000-1100-00001E000000}"/>
              </a:ext>
            </a:extLst>
          </xdr:cNvPr>
          <xdr:cNvSpPr txBox="1"/>
        </xdr:nvSpPr>
        <xdr:spPr>
          <a:xfrm>
            <a:off x="209550" y="5562600"/>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0000"/>
                </a:solidFill>
                <a:sym typeface="Wingdings"/>
              </a:rPr>
              <a:t></a:t>
            </a:r>
            <a:endParaRPr lang="en-IN" sz="1000">
              <a:solidFill>
                <a:srgbClr val="FF0000"/>
              </a:solidFill>
            </a:endParaRPr>
          </a:p>
        </xdr:txBody>
      </xdr:sp>
      <xdr:sp macro="" textlink="">
        <xdr:nvSpPr>
          <xdr:cNvPr id="31" name="TextBox 30">
            <a:extLst>
              <a:ext uri="{FF2B5EF4-FFF2-40B4-BE49-F238E27FC236}">
                <a16:creationId xmlns:a16="http://schemas.microsoft.com/office/drawing/2014/main" id="{00000000-0008-0000-1100-00001F000000}"/>
              </a:ext>
            </a:extLst>
          </xdr:cNvPr>
          <xdr:cNvSpPr txBox="1"/>
        </xdr:nvSpPr>
        <xdr:spPr>
          <a:xfrm>
            <a:off x="477841" y="5562600"/>
            <a:ext cx="176053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Worse than Lower Quartile</a:t>
            </a:r>
          </a:p>
        </xdr:txBody>
      </xdr:sp>
    </xdr:grpSp>
    <xdr:clientData/>
  </xdr:twoCellAnchor>
  <xdr:twoCellAnchor>
    <xdr:from>
      <xdr:col>2</xdr:col>
      <xdr:colOff>331784</xdr:colOff>
      <xdr:row>26</xdr:row>
      <xdr:rowOff>133338</xdr:rowOff>
    </xdr:from>
    <xdr:to>
      <xdr:col>5</xdr:col>
      <xdr:colOff>0</xdr:colOff>
      <xdr:row>27</xdr:row>
      <xdr:rowOff>190493</xdr:rowOff>
    </xdr:to>
    <xdr:grpSp>
      <xdr:nvGrpSpPr>
        <xdr:cNvPr id="32" name="Group 31">
          <a:extLst>
            <a:ext uri="{FF2B5EF4-FFF2-40B4-BE49-F238E27FC236}">
              <a16:creationId xmlns:a16="http://schemas.microsoft.com/office/drawing/2014/main" id="{00000000-0008-0000-1100-000020000000}"/>
            </a:ext>
          </a:extLst>
        </xdr:cNvPr>
        <xdr:cNvGrpSpPr/>
      </xdr:nvGrpSpPr>
      <xdr:grpSpPr>
        <a:xfrm>
          <a:off x="2770184" y="5095863"/>
          <a:ext cx="1801816" cy="247655"/>
          <a:chOff x="2293934" y="5581650"/>
          <a:chExt cx="1668466" cy="266706"/>
        </a:xfrm>
      </xdr:grpSpPr>
      <xdr:sp macro="" textlink="">
        <xdr:nvSpPr>
          <xdr:cNvPr id="33" name="TextBox 32">
            <a:extLst>
              <a:ext uri="{FF2B5EF4-FFF2-40B4-BE49-F238E27FC236}">
                <a16:creationId xmlns:a16="http://schemas.microsoft.com/office/drawing/2014/main" id="{00000000-0008-0000-1100-000021000000}"/>
              </a:ext>
            </a:extLst>
          </xdr:cNvPr>
          <xdr:cNvSpPr txBox="1"/>
        </xdr:nvSpPr>
        <xdr:spPr>
          <a:xfrm>
            <a:off x="2293934" y="5581656"/>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B125"/>
                </a:solidFill>
                <a:sym typeface="Wingdings"/>
              </a:rPr>
              <a:t></a:t>
            </a:r>
            <a:endParaRPr lang="en-IN" sz="1000">
              <a:solidFill>
                <a:srgbClr val="FFB125"/>
              </a:solidFill>
            </a:endParaRPr>
          </a:p>
        </xdr:txBody>
      </xdr:sp>
      <xdr:sp macro="" textlink="">
        <xdr:nvSpPr>
          <xdr:cNvPr id="34" name="TextBox 33">
            <a:extLst>
              <a:ext uri="{FF2B5EF4-FFF2-40B4-BE49-F238E27FC236}">
                <a16:creationId xmlns:a16="http://schemas.microsoft.com/office/drawing/2014/main" id="{00000000-0008-0000-1100-000022000000}"/>
              </a:ext>
            </a:extLst>
          </xdr:cNvPr>
          <xdr:cNvSpPr txBox="1"/>
        </xdr:nvSpPr>
        <xdr:spPr>
          <a:xfrm>
            <a:off x="2562225" y="5581650"/>
            <a:ext cx="14001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Worse than Median</a:t>
            </a:r>
          </a:p>
        </xdr:txBody>
      </xdr:sp>
    </xdr:grpSp>
    <xdr:clientData/>
  </xdr:twoCellAnchor>
  <xdr:twoCellAnchor>
    <xdr:from>
      <xdr:col>5</xdr:col>
      <xdr:colOff>76203</xdr:colOff>
      <xdr:row>26</xdr:row>
      <xdr:rowOff>133350</xdr:rowOff>
    </xdr:from>
    <xdr:to>
      <xdr:col>7</xdr:col>
      <xdr:colOff>495300</xdr:colOff>
      <xdr:row>28</xdr:row>
      <xdr:rowOff>0</xdr:rowOff>
    </xdr:to>
    <xdr:grpSp>
      <xdr:nvGrpSpPr>
        <xdr:cNvPr id="35" name="Group 34">
          <a:extLst>
            <a:ext uri="{FF2B5EF4-FFF2-40B4-BE49-F238E27FC236}">
              <a16:creationId xmlns:a16="http://schemas.microsoft.com/office/drawing/2014/main" id="{00000000-0008-0000-1100-000023000000}"/>
            </a:ext>
          </a:extLst>
        </xdr:cNvPr>
        <xdr:cNvGrpSpPr/>
      </xdr:nvGrpSpPr>
      <xdr:grpSpPr>
        <a:xfrm>
          <a:off x="4648203" y="5095875"/>
          <a:ext cx="1733547" cy="247650"/>
          <a:chOff x="3931344" y="5581650"/>
          <a:chExt cx="1699522" cy="266700"/>
        </a:xfrm>
      </xdr:grpSpPr>
      <xdr:sp macro="" textlink="">
        <xdr:nvSpPr>
          <xdr:cNvPr id="36" name="TextBox 35">
            <a:extLst>
              <a:ext uri="{FF2B5EF4-FFF2-40B4-BE49-F238E27FC236}">
                <a16:creationId xmlns:a16="http://schemas.microsoft.com/office/drawing/2014/main" id="{00000000-0008-0000-1100-000024000000}"/>
              </a:ext>
            </a:extLst>
          </xdr:cNvPr>
          <xdr:cNvSpPr txBox="1"/>
        </xdr:nvSpPr>
        <xdr:spPr>
          <a:xfrm>
            <a:off x="3931344" y="5581650"/>
            <a:ext cx="324429"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FFFF00"/>
                </a:solidFill>
                <a:sym typeface="Wingdings"/>
              </a:rPr>
              <a:t></a:t>
            </a:r>
            <a:endParaRPr lang="en-IN" sz="1000">
              <a:solidFill>
                <a:srgbClr val="FFFF00"/>
              </a:solidFill>
            </a:endParaRPr>
          </a:p>
        </xdr:txBody>
      </xdr:sp>
      <xdr:sp macro="" textlink="">
        <xdr:nvSpPr>
          <xdr:cNvPr id="37" name="TextBox 36">
            <a:extLst>
              <a:ext uri="{FF2B5EF4-FFF2-40B4-BE49-F238E27FC236}">
                <a16:creationId xmlns:a16="http://schemas.microsoft.com/office/drawing/2014/main" id="{00000000-0008-0000-1100-000025000000}"/>
              </a:ext>
            </a:extLst>
          </xdr:cNvPr>
          <xdr:cNvSpPr txBox="1"/>
        </xdr:nvSpPr>
        <xdr:spPr>
          <a:xfrm>
            <a:off x="4230691" y="5581650"/>
            <a:ext cx="14001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Better than Median</a:t>
            </a:r>
          </a:p>
        </xdr:txBody>
      </xdr:sp>
    </xdr:grpSp>
    <xdr:clientData/>
  </xdr:twoCellAnchor>
  <xdr:twoCellAnchor>
    <xdr:from>
      <xdr:col>8</xdr:col>
      <xdr:colOff>65084</xdr:colOff>
      <xdr:row>26</xdr:row>
      <xdr:rowOff>142875</xdr:rowOff>
    </xdr:from>
    <xdr:to>
      <xdr:col>10</xdr:col>
      <xdr:colOff>600075</xdr:colOff>
      <xdr:row>28</xdr:row>
      <xdr:rowOff>9525</xdr:rowOff>
    </xdr:to>
    <xdr:grpSp>
      <xdr:nvGrpSpPr>
        <xdr:cNvPr id="38" name="Group 37">
          <a:extLst>
            <a:ext uri="{FF2B5EF4-FFF2-40B4-BE49-F238E27FC236}">
              <a16:creationId xmlns:a16="http://schemas.microsoft.com/office/drawing/2014/main" id="{00000000-0008-0000-1100-000026000000}"/>
            </a:ext>
          </a:extLst>
        </xdr:cNvPr>
        <xdr:cNvGrpSpPr/>
      </xdr:nvGrpSpPr>
      <xdr:grpSpPr>
        <a:xfrm>
          <a:off x="6608759" y="5105400"/>
          <a:ext cx="1935166" cy="247650"/>
          <a:chOff x="5561009" y="5581650"/>
          <a:chExt cx="2167649" cy="266700"/>
        </a:xfrm>
      </xdr:grpSpPr>
      <xdr:sp macro="" textlink="">
        <xdr:nvSpPr>
          <xdr:cNvPr id="39" name="TextBox 38">
            <a:extLst>
              <a:ext uri="{FF2B5EF4-FFF2-40B4-BE49-F238E27FC236}">
                <a16:creationId xmlns:a16="http://schemas.microsoft.com/office/drawing/2014/main" id="{00000000-0008-0000-1100-000027000000}"/>
              </a:ext>
            </a:extLst>
          </xdr:cNvPr>
          <xdr:cNvSpPr txBox="1"/>
        </xdr:nvSpPr>
        <xdr:spPr>
          <a:xfrm>
            <a:off x="5561009" y="5581650"/>
            <a:ext cx="324428" cy="26670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00B050"/>
                </a:solidFill>
                <a:sym typeface="Wingdings"/>
              </a:rPr>
              <a:t></a:t>
            </a:r>
            <a:endParaRPr lang="en-IN" sz="1000">
              <a:solidFill>
                <a:srgbClr val="00B050"/>
              </a:solidFill>
            </a:endParaRPr>
          </a:p>
        </xdr:txBody>
      </xdr:sp>
      <xdr:sp macro="" textlink="">
        <xdr:nvSpPr>
          <xdr:cNvPr id="40" name="TextBox 39">
            <a:extLst>
              <a:ext uri="{FF2B5EF4-FFF2-40B4-BE49-F238E27FC236}">
                <a16:creationId xmlns:a16="http://schemas.microsoft.com/office/drawing/2014/main" id="{00000000-0008-0000-1100-000028000000}"/>
              </a:ext>
            </a:extLst>
          </xdr:cNvPr>
          <xdr:cNvSpPr txBox="1"/>
        </xdr:nvSpPr>
        <xdr:spPr>
          <a:xfrm>
            <a:off x="5829300" y="5581650"/>
            <a:ext cx="1899358"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latin typeface="Arial" panose="020B0604020202020204" pitchFamily="34" charset="0"/>
                <a:cs typeface="Arial" panose="020B0604020202020204" pitchFamily="34" charset="0"/>
              </a:rPr>
              <a:t>Better than Upper Quartile</a:t>
            </a:r>
          </a:p>
        </xdr:txBody>
      </xdr:sp>
    </xdr:grpSp>
    <xdr:clientData/>
  </xdr:twoCellAnchor>
  <xdr:twoCellAnchor>
    <xdr:from>
      <xdr:col>5</xdr:col>
      <xdr:colOff>0</xdr:colOff>
      <xdr:row>47</xdr:row>
      <xdr:rowOff>0</xdr:rowOff>
    </xdr:from>
    <xdr:to>
      <xdr:col>10</xdr:col>
      <xdr:colOff>669417</xdr:colOff>
      <xdr:row>60</xdr:row>
      <xdr:rowOff>116205</xdr:rowOff>
    </xdr:to>
    <xdr:graphicFrame macro="">
      <xdr:nvGraphicFramePr>
        <xdr:cNvPr id="2" name="GraphIndustryCapitalAdequacy">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0</xdr:colOff>
      <xdr:row>89</xdr:row>
      <xdr:rowOff>0</xdr:rowOff>
    </xdr:from>
    <xdr:to>
      <xdr:col>10</xdr:col>
      <xdr:colOff>669417</xdr:colOff>
      <xdr:row>102</xdr:row>
      <xdr:rowOff>116205</xdr:rowOff>
    </xdr:to>
    <xdr:graphicFrame macro="">
      <xdr:nvGraphicFramePr>
        <xdr:cNvPr id="3" name="GraphIndustryAllowanceLoanLoss">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447674</xdr:colOff>
      <xdr:row>131</xdr:row>
      <xdr:rowOff>0</xdr:rowOff>
    </xdr:from>
    <xdr:to>
      <xdr:col>4</xdr:col>
      <xdr:colOff>574166</xdr:colOff>
      <xdr:row>144</xdr:row>
      <xdr:rowOff>116205</xdr:rowOff>
    </xdr:to>
    <xdr:graphicFrame macro="">
      <xdr:nvGraphicFramePr>
        <xdr:cNvPr id="4" name="GrpahIndustryLTD">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0</xdr:colOff>
      <xdr:row>131</xdr:row>
      <xdr:rowOff>0</xdr:rowOff>
    </xdr:from>
    <xdr:to>
      <xdr:col>10</xdr:col>
      <xdr:colOff>669417</xdr:colOff>
      <xdr:row>144</xdr:row>
      <xdr:rowOff>116205</xdr:rowOff>
    </xdr:to>
    <xdr:graphicFrame macro="">
      <xdr:nvGraphicFramePr>
        <xdr:cNvPr id="10" name="GraphIndustryTDByTA">
          <a:extLst>
            <a:ext uri="{FF2B5EF4-FFF2-40B4-BE49-F238E27FC236}">
              <a16:creationId xmlns:a16="http://schemas.microsoft.com/office/drawing/2014/main" id="{00000000-0008-0000-1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5</xdr:col>
      <xdr:colOff>0</xdr:colOff>
      <xdr:row>61</xdr:row>
      <xdr:rowOff>0</xdr:rowOff>
    </xdr:from>
    <xdr:to>
      <xdr:col>10</xdr:col>
      <xdr:colOff>669417</xdr:colOff>
      <xdr:row>74</xdr:row>
      <xdr:rowOff>116205</xdr:rowOff>
    </xdr:to>
    <xdr:graphicFrame macro="">
      <xdr:nvGraphicFramePr>
        <xdr:cNvPr id="41" name="GraphIndustryTierTwo">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781050</xdr:colOff>
          <xdr:row>1</xdr:row>
          <xdr:rowOff>104775</xdr:rowOff>
        </xdr:from>
        <xdr:to>
          <xdr:col>5</xdr:col>
          <xdr:colOff>742950</xdr:colOff>
          <xdr:row>3</xdr:row>
          <xdr:rowOff>76200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D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Refresh Data</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1924050</xdr:colOff>
          <xdr:row>0</xdr:row>
          <xdr:rowOff>57150</xdr:rowOff>
        </xdr:from>
        <xdr:to>
          <xdr:col>3</xdr:col>
          <xdr:colOff>933450</xdr:colOff>
          <xdr:row>2</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F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Refresh Data</a:t>
              </a:r>
            </a:p>
          </xdr:txBody>
        </xdr:sp>
        <xdr:clientData fPrintsWithSheet="0"/>
      </xdr:twoCellAnchor>
    </mc:Choice>
    <mc:Fallback/>
  </mc:AlternateContent>
  <xdr:twoCellAnchor>
    <xdr:from>
      <xdr:col>1</xdr:col>
      <xdr:colOff>0</xdr:colOff>
      <xdr:row>2</xdr:row>
      <xdr:rowOff>127000</xdr:rowOff>
    </xdr:from>
    <xdr:to>
      <xdr:col>2</xdr:col>
      <xdr:colOff>12700</xdr:colOff>
      <xdr:row>4</xdr:row>
      <xdr:rowOff>0</xdr:rowOff>
    </xdr:to>
    <xdr:sp macro="" textlink="">
      <xdr:nvSpPr>
        <xdr:cNvPr id="6" name="hover" hidden="1">
          <a:extLst>
            <a:ext uri="{FF2B5EF4-FFF2-40B4-BE49-F238E27FC236}">
              <a16:creationId xmlns:a16="http://schemas.microsoft.com/office/drawing/2014/main" id="{00000000-0008-0000-1F00-000006000000}"/>
            </a:ext>
          </a:extLst>
        </xdr:cNvPr>
        <xdr:cNvSpPr txBox="1"/>
      </xdr:nvSpPr>
      <xdr:spPr>
        <a:xfrm>
          <a:off x="762000" y="508000"/>
          <a:ext cx="3175000" cy="254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IN" sz="1000">
            <a:latin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tinfoalvarezandmarsal-my.sharepoint.com/New%20Structure/Bikaner/Working%20Capital%20Dashboard/Excel%20-%20Working%20Capital%20Analysis%20-%2011%20Feb%20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tinfoalvarezandmarsal-my.sharepoint.com/Ajit%20Garga/Key%20Financials%2029%20April%2020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tinfoalvarezandmarsal-my.sharepoint.com/TSC/Project/Company%20and%20Financial%20Analysis%20Tool/v2/Company%20and%20Financial%20Analysis%20Tool%20-%2030%20May%2020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Users\SKhanvilkar\AppData\Local\Capital%20IQ\Office%20Plug-in\Templates\Plug-In%20Tools\Copy%20of%20Capital%20IQ%20Identifier%20Convertor.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itinfoalvarezandmarsal-my.sharepoint.com/Users/skhanvilkar/Desktop/CCE/Novelis/CapIQ%20Resources/Capital%20IQ%20Identifier%20Convertor.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Users\skhanvilkar\Desktop\CapIQ%20Resources\Capital%20IQ%20Identifier%20Converto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itinfoalvarezandmarsal-my.sharepoint.com/Users/skhanvilkar/AppData/Local/Microsoft/Windows/Temporary%20Internet%20Files/Content.Outlook/1U92OG3W/Capital%20IQ%20Identifier%20Convertor%20(1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itinfoalvarezandmarsal-my.sharepoint.com/New%20Structure/Lawrence/All%20Templates/Banking%20Template/Banking%20Excel%20Template%20-%20May%2026%202014.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itinfoalvarezandmarsal-my.sharepoint.com/Documents%20and%20Settings/tscciq/Application%20Data/Microsoft/Excel/Mexichem%20-%20changes.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itinfoalvarezandmarsal-my.sharepoint.com/Documents%20and%20Settings/tscciq/Application%20Data/Microsoft/Excel/TSC%20-%20Dunkin%20-%20Nov%2008,%20201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itinfoalvarezandmarsal-my.sharepoint.com/New%20Structure/Lawrence/COMPANY%20STUDIES/Lenovo/Deliverable/TSC%20-%20LCP%20-%20Lenovo%20-%20November%2026,%20201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itinfoalvarezandmarsal-my.sharepoint.com/Documents%20and%20Settings/amit.manchanda/Application%20Data/Microsoft/Excel/TSC%20-%20SKF%20Template%20-%20April%2023,%20201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itinfoalvarezandmarsal-my.sharepoint.com/Documents%20and%20Settings/tscciq.THESMARTCUBE/Application%20Data/Microsoft/Excel/Earning%20Surprise/Earning%20Tracker%20Template%20-%2028%20March%202013.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itinfoalvarezandmarsal-my.sharepoint.com/New%20Structure/Lawrence/COMPANY%20STUDIES/Sandvik/Deliverable/Earnings%20Update_May%2002%202012/TSC%20-%20Sandvik%20-%20May%2002,%202012.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itinfoalvarezandmarsal-my.sharepoint.com/New%20Structure/Lawrence/COMPANY%20STUDIES/Gildan%20Activewear/Deliverable/TSC%20-%20LCP%20-%20GIL%20-%20Sep%2011,%20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Input Sheet"/>
      <sheetName val="Working Capital"/>
      <sheetName val="Stoplights"/>
      <sheetName val="CIQ Formula"/>
      <sheetName val="CIQ Data"/>
      <sheetName val="WC Analysis"/>
      <sheetName val="Score Analysis"/>
      <sheetName val="ChartData"/>
      <sheetName val="Export"/>
    </sheetNames>
    <sheetDataSet>
      <sheetData sheetId="0"/>
      <sheetData sheetId="1"/>
      <sheetData sheetId="2">
        <row r="2">
          <cell r="B2" t="str">
            <v xml:space="preserve">Working Capital Vs. Vital Few Peers </v>
          </cell>
        </row>
      </sheetData>
      <sheetData sheetId="3">
        <row r="2">
          <cell r="B2" t="str">
            <v>Overall Performance: Diageo vs. Vital Few Peers</v>
          </cell>
        </row>
      </sheetData>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Page"/>
      <sheetName val="Overview"/>
      <sheetName val="_CIQHiddenCacheSheet"/>
      <sheetName val="Key Financials"/>
      <sheetName val="Financial Trends"/>
      <sheetName val="Capital Structure"/>
      <sheetName val="Advisors"/>
      <sheetName val="Private Ownership"/>
      <sheetName val="Professionals"/>
      <sheetName val="Bond Prices"/>
      <sheetName val="Key Developments"/>
      <sheetName val="Export"/>
      <sheetName val="CIQ Comps"/>
      <sheetName val="CIQ Segments"/>
      <sheetName val="CIQ Financials"/>
      <sheetName val="CIQ Advisors"/>
      <sheetName val="CIQ Ownership"/>
      <sheetName val="CIQ Revision"/>
      <sheetName val="CIQ Key Developments"/>
    </sheetNames>
    <sheetDataSet>
      <sheetData sheetId="0">
        <row r="5">
          <cell r="F5" t="str">
            <v>NasdaqGS:MSFT</v>
          </cell>
        </row>
      </sheetData>
      <sheetData sheetId="1">
        <row r="3">
          <cell r="P3" t="str">
            <v>Microsoft Corporation (NasdaqGS:MSFT)</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Data"/>
      <sheetName val="Export (F)"/>
      <sheetName val="Export (N)"/>
      <sheetName val="Input"/>
      <sheetName val="Overview"/>
      <sheetName val="Overview (Hidden)"/>
      <sheetName val="Professionals"/>
      <sheetName val="Financial Analysis_H"/>
      <sheetName val="Key Financials"/>
      <sheetName val="Financial Analysis"/>
      <sheetName val="Capital Structure"/>
      <sheetName val="Capital Structure_H"/>
      <sheetName val="Bond Prices"/>
      <sheetName val="Share Price"/>
      <sheetName val="_CIQHiddenCacheSheet"/>
      <sheetName val="Peer Analysis"/>
      <sheetName val="Peer Analysis_H"/>
      <sheetName val="Investments"/>
      <sheetName val="Private Ownership"/>
      <sheetName val="Advisors"/>
      <sheetName val="M&amp;A Transactions"/>
      <sheetName val="CIQ M&amp;A Transactions"/>
      <sheetName val="Litigation History"/>
      <sheetName val="Key Developments"/>
      <sheetName val="Financial Data_H"/>
      <sheetName val="Peer Data_H"/>
      <sheetName val="Financial Data"/>
      <sheetName val="Peer Data"/>
      <sheetName val="Price Data"/>
      <sheetName val="Glossary"/>
      <sheetName val="CIQ Segments"/>
      <sheetName val="CIQ Advisors"/>
      <sheetName val="CIQ Ownership"/>
      <sheetName val="CIQ Revision"/>
      <sheetName val="CIQ Current Investments"/>
      <sheetName val="CIQ Litigations"/>
      <sheetName val="CIQ Key Developments"/>
      <sheetName val="CIQ Comps"/>
    </sheetNames>
    <sheetDataSet>
      <sheetData sheetId="0"/>
      <sheetData sheetId="1"/>
      <sheetData sheetId="2"/>
      <sheetData sheetId="3">
        <row r="6">
          <cell r="C6" t="str">
            <v>USD</v>
          </cell>
        </row>
      </sheetData>
      <sheetData sheetId="4">
        <row r="3">
          <cell r="P3" t="str">
            <v>General Electric Company</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nies"/>
      <sheetName val="People"/>
    </sheetNames>
    <sheetDataSet>
      <sheetData sheetId="0">
        <row r="12">
          <cell r="I12" t="str">
            <v>Google Inc.</v>
          </cell>
          <cell r="J12" t="str">
            <v>Google Ventures</v>
          </cell>
          <cell r="K12" t="str">
            <v>Google Capital</v>
          </cell>
          <cell r="L12" t="str">
            <v>Google Earth Enterprise</v>
          </cell>
          <cell r="M12" t="str">
            <v>Google Denmark ApS</v>
          </cell>
          <cell r="O12" t="str">
            <v>IQ29096</v>
          </cell>
          <cell r="P12" t="str">
            <v>IQ54497244</v>
          </cell>
          <cell r="Q12" t="str">
            <v>IQ244638517</v>
          </cell>
          <cell r="R12" t="str">
            <v>IQ7982243</v>
          </cell>
          <cell r="S12" t="str">
            <v>IQ36335912</v>
          </cell>
        </row>
        <row r="13">
          <cell r="I13" t="str">
            <v>Microsoft Corporation</v>
          </cell>
          <cell r="J13" t="str">
            <v>Microsoft Dynamics Inc</v>
          </cell>
          <cell r="K13" t="str">
            <v>Microsoft Ventures</v>
          </cell>
          <cell r="L13" t="str">
            <v>Microsoft Advertising</v>
          </cell>
          <cell r="M13" t="str">
            <v>Microsoft Corporation, Investment Arm</v>
          </cell>
          <cell r="O13" t="str">
            <v>IQ21835</v>
          </cell>
          <cell r="P13" t="str">
            <v>IQ166906</v>
          </cell>
          <cell r="Q13" t="str">
            <v>IQ215555230</v>
          </cell>
          <cell r="R13" t="str">
            <v>IQ25325</v>
          </cell>
          <cell r="S13" t="str">
            <v>IQ45324506</v>
          </cell>
        </row>
        <row r="14">
          <cell r="I14" t="str">
            <v>Jarden Corp.</v>
          </cell>
          <cell r="J14" t="str">
            <v>Shanghai Jahwa United Co., Ltd.</v>
          </cell>
          <cell r="K14" t="str">
            <v>JAHWA Electronics Co., Ltd.</v>
          </cell>
          <cell r="L14" t="str">
            <v>Jahnel-Kestermann Getriebewerke GmbH</v>
          </cell>
          <cell r="M14" t="str">
            <v>Jahia Solutions Group SA</v>
          </cell>
          <cell r="O14" t="str">
            <v>IQ123891</v>
          </cell>
          <cell r="P14" t="str">
            <v>IQ5575384</v>
          </cell>
          <cell r="Q14" t="str">
            <v>IQ9549245</v>
          </cell>
          <cell r="R14" t="str">
            <v>IQ29160666</v>
          </cell>
          <cell r="S14" t="str">
            <v>IQ3277984</v>
          </cell>
        </row>
        <row r="15">
          <cell r="I15" t="str">
            <v>Western Alliance Bancorporation</v>
          </cell>
          <cell r="J15" t="str">
            <v>Wal-Mart Stores Inc.</v>
          </cell>
          <cell r="K15" t="str">
            <v>Walgreen Co.</v>
          </cell>
          <cell r="L15" t="str">
            <v>Walter Energy, Inc.</v>
          </cell>
          <cell r="M15" t="str">
            <v>The Walt Disney Company</v>
          </cell>
          <cell r="O15" t="str">
            <v>IQ22211534</v>
          </cell>
          <cell r="P15" t="str">
            <v>IQ313055</v>
          </cell>
          <cell r="Q15" t="str">
            <v>IQ93624</v>
          </cell>
          <cell r="R15" t="str">
            <v>IQ36451</v>
          </cell>
          <cell r="S15" t="str">
            <v>IQ191564</v>
          </cell>
        </row>
        <row r="16">
          <cell r="I16" t="str">
            <v>BP p.l.c.</v>
          </cell>
          <cell r="J16" t="str">
            <v>British Petroleum NA, Inc.</v>
          </cell>
          <cell r="K16" t="str">
            <v>British Petroleum Finance BV</v>
          </cell>
          <cell r="L16" t="str">
            <v>Esso Property Management Company, Ltd</v>
          </cell>
          <cell r="M16" t="str">
            <v>BP Exploration (Alaska), Inc.</v>
          </cell>
          <cell r="O16" t="str">
            <v>IQ394466</v>
          </cell>
          <cell r="P16" t="str">
            <v>IQ24947330</v>
          </cell>
          <cell r="Q16" t="str">
            <v>IQ217686549</v>
          </cell>
          <cell r="R16" t="str">
            <v>IQ205021132</v>
          </cell>
          <cell r="S16" t="str">
            <v>IQ1465165</v>
          </cell>
        </row>
        <row r="17">
          <cell r="I17" t="str">
            <v>Las Vegas Sands Corp.</v>
          </cell>
          <cell r="J17" t="str">
            <v>Las Vegas Sands LLC</v>
          </cell>
          <cell r="K17" t="str">
            <v>Westgate Las Vegas Resort &amp; Casino</v>
          </cell>
          <cell r="L17" t="str">
            <v>LasVegasFromHome.com Ent. Inc.</v>
          </cell>
          <cell r="M17" t="str">
            <v>Las Vegas Paving Corporation</v>
          </cell>
          <cell r="O17" t="str">
            <v>IQ3632895</v>
          </cell>
          <cell r="P17" t="str">
            <v>IQ24020744</v>
          </cell>
          <cell r="Q17" t="str">
            <v>IQ682030</v>
          </cell>
          <cell r="R17" t="str">
            <v>IQ403995</v>
          </cell>
          <cell r="S17" t="str">
            <v>IQ47056062</v>
          </cell>
        </row>
        <row r="18">
          <cell r="I18" t="str">
            <v>General Electric Company</v>
          </cell>
          <cell r="J18" t="str">
            <v>Germany (Federal Republic of)</v>
          </cell>
          <cell r="K18" t="str">
            <v>Government Of Georgia</v>
          </cell>
          <cell r="L18" t="str">
            <v>Government of United Kingdom</v>
          </cell>
          <cell r="M18" t="str">
            <v>Mubadala Development Company PJSC</v>
          </cell>
          <cell r="O18" t="str">
            <v>IQ177031</v>
          </cell>
          <cell r="P18" t="str">
            <v>IQ8201718</v>
          </cell>
          <cell r="Q18" t="str">
            <v>IQ28896591</v>
          </cell>
          <cell r="R18" t="str">
            <v>IQ25809472</v>
          </cell>
          <cell r="S18" t="str">
            <v>IQ9759228</v>
          </cell>
        </row>
        <row r="19">
          <cell r="I19" t="str">
            <v>International Bus Services Inc</v>
          </cell>
          <cell r="J19" t="str">
            <v>International Business Machines Corporation</v>
          </cell>
          <cell r="K19" t="str">
            <v>International Business Systems United States Inc.</v>
          </cell>
          <cell r="L19" t="str">
            <v>International Business Times, Inc.</v>
          </cell>
          <cell r="M19" t="str">
            <v>International Business Machines (IBM) Leasing Co., Ltd.</v>
          </cell>
          <cell r="O19" t="str">
            <v>IQ244740766</v>
          </cell>
          <cell r="P19" t="str">
            <v>IQ112350</v>
          </cell>
          <cell r="Q19" t="str">
            <v>IQ4638562</v>
          </cell>
          <cell r="R19" t="str">
            <v>IQ128801557</v>
          </cell>
          <cell r="S19" t="str">
            <v>IQ42990880</v>
          </cell>
        </row>
        <row r="20">
          <cell r="I20" t="str">
            <v>Daimler AG</v>
          </cell>
          <cell r="J20" t="str">
            <v>Daimler Chrysler</v>
          </cell>
          <cell r="K20" t="str">
            <v>Daimler North America Corporation</v>
          </cell>
          <cell r="L20" t="str">
            <v>Chrysler Motors LLC</v>
          </cell>
          <cell r="M20" t="str">
            <v>DaimlerChrysler Venture GmbH</v>
          </cell>
          <cell r="O20" t="str">
            <v>IQ106772</v>
          </cell>
          <cell r="P20" t="str">
            <v>IQ252756815</v>
          </cell>
          <cell r="Q20" t="str">
            <v>IQ4107465</v>
          </cell>
          <cell r="R20" t="str">
            <v>IQ7828134</v>
          </cell>
          <cell r="S20" t="str">
            <v>IQ472634</v>
          </cell>
        </row>
        <row r="21">
          <cell r="I21" t="str">
            <v>Dana Gas PJSC</v>
          </cell>
          <cell r="J21" t="str">
            <v>Danaher Corp.</v>
          </cell>
          <cell r="K21" t="str">
            <v>Dana Holding Corporation</v>
          </cell>
          <cell r="L21" t="str">
            <v>Danaos Corporation</v>
          </cell>
          <cell r="M21" t="str">
            <v>Dana Petroleum plc.</v>
          </cell>
          <cell r="O21" t="str">
            <v>IQ23886772</v>
          </cell>
          <cell r="P21" t="str">
            <v>IQ265621</v>
          </cell>
          <cell r="Q21" t="str">
            <v>IQ174336</v>
          </cell>
          <cell r="R21" t="str">
            <v>IQ28245722</v>
          </cell>
          <cell r="S21" t="str">
            <v>IQ881631</v>
          </cell>
        </row>
        <row r="22">
          <cell r="I22" t="str">
            <v>Johnson Controls Inc.</v>
          </cell>
          <cell r="J22" t="str">
            <v>Johnson Controls Ltd</v>
          </cell>
          <cell r="K22" t="str">
            <v>Johnson Controls GmbH</v>
          </cell>
          <cell r="L22" t="str">
            <v>Johnson Controls LP</v>
          </cell>
          <cell r="M22" t="str">
            <v>Johnson Controls France S.A.</v>
          </cell>
          <cell r="O22" t="str">
            <v>IQ282590</v>
          </cell>
          <cell r="P22" t="str">
            <v>IQ49497633</v>
          </cell>
          <cell r="Q22" t="str">
            <v>IQ8237614</v>
          </cell>
          <cell r="R22" t="str">
            <v>IQ6440660</v>
          </cell>
          <cell r="S22" t="str">
            <v>IQ30585492</v>
          </cell>
        </row>
        <row r="23">
          <cell r="I23" t="str">
            <v>Nissan Europe S.A.S.</v>
          </cell>
          <cell r="O23" t="str">
            <v>IQ8102985</v>
          </cell>
        </row>
        <row r="24">
          <cell r="I24" t="str">
            <v>Nissan Motor Co. Ltd.</v>
          </cell>
          <cell r="J24" t="str">
            <v>Nissan Motor Acceptance Corporation</v>
          </cell>
          <cell r="K24" t="str">
            <v>Nissan Motor (Schweiz) AG</v>
          </cell>
          <cell r="L24" t="str">
            <v>Nissan Motor Co. (Australia) Pty Ltd.</v>
          </cell>
          <cell r="M24" t="str">
            <v>Nissan North America, Inc.</v>
          </cell>
          <cell r="O24" t="str">
            <v>IQ291331</v>
          </cell>
          <cell r="P24" t="str">
            <v>IQ4176571</v>
          </cell>
          <cell r="Q24" t="str">
            <v>IQ216486970</v>
          </cell>
          <cell r="R24" t="str">
            <v>IQ5875157</v>
          </cell>
          <cell r="S24" t="str">
            <v>IQ4224792</v>
          </cell>
        </row>
        <row r="25">
          <cell r="I25" t="str">
            <v>Nissan North America, Inc.</v>
          </cell>
          <cell r="O25" t="str">
            <v>IQ4224792</v>
          </cell>
        </row>
        <row r="26">
          <cell r="I26" t="str">
            <v>Renault Société Anonym</v>
          </cell>
          <cell r="J26" t="str">
            <v>Renault</v>
          </cell>
          <cell r="K26" t="str">
            <v>Renault-Nissan B.V.</v>
          </cell>
          <cell r="L26" t="str">
            <v>Renault s.a.s.</v>
          </cell>
          <cell r="M26" t="str">
            <v>Renault Trucks SAS</v>
          </cell>
          <cell r="O26" t="str">
            <v>IQ428034</v>
          </cell>
          <cell r="P26" t="str">
            <v>IQ129396839</v>
          </cell>
          <cell r="Q26" t="str">
            <v>IQ24886531</v>
          </cell>
          <cell r="R26" t="str">
            <v>IQ11212232</v>
          </cell>
          <cell r="S26" t="str">
            <v>IQ5467275</v>
          </cell>
        </row>
        <row r="27">
          <cell r="I27" t="str">
            <v>Visteon Corporation</v>
          </cell>
          <cell r="J27" t="str">
            <v>Visteon Automotive Holdings, LLC</v>
          </cell>
          <cell r="K27" t="str">
            <v>Visteon Corp., Climate Control Operations</v>
          </cell>
          <cell r="L27" t="str">
            <v>Visteon Automotive Systems</v>
          </cell>
          <cell r="M27" t="str">
            <v>Visteon Sistemas Automotivos Ltda.</v>
          </cell>
          <cell r="O27" t="str">
            <v>IQ245507</v>
          </cell>
          <cell r="P27" t="str">
            <v>IQ32985237</v>
          </cell>
          <cell r="Q27" t="str">
            <v>IQ217536181</v>
          </cell>
          <cell r="R27" t="str">
            <v>IQ129199184</v>
          </cell>
          <cell r="S27" t="str">
            <v>IQ109313617</v>
          </cell>
        </row>
        <row r="28">
          <cell r="I28" t="str">
            <v>Kate Spade &amp; Company</v>
          </cell>
          <cell r="J28" t="str">
            <v>Liz Claiborne International Ltd.</v>
          </cell>
          <cell r="K28" t="str">
            <v>Liz Claiborne Pty. Ltd.</v>
          </cell>
          <cell r="L28" t="str">
            <v>Liz Claiborne Sales, Inc.</v>
          </cell>
          <cell r="M28" t="str">
            <v>Juicy Couture, Inc.</v>
          </cell>
          <cell r="O28" t="str">
            <v>IQ285125</v>
          </cell>
          <cell r="P28" t="str">
            <v>IQ36709239</v>
          </cell>
          <cell r="Q28" t="str">
            <v>IQ45595652</v>
          </cell>
          <cell r="R28" t="str">
            <v>IQ6466235</v>
          </cell>
          <cell r="S28" t="str">
            <v>IQ4876308</v>
          </cell>
        </row>
        <row r="30">
          <cell r="I30" t="str">
            <v>Whirlpool Corp.</v>
          </cell>
          <cell r="J30" t="str">
            <v>Whirlpool S.A.</v>
          </cell>
          <cell r="K30" t="str">
            <v>Whirlpool of India Limited</v>
          </cell>
          <cell r="L30" t="str">
            <v>Whirlpool China Co., Ltd</v>
          </cell>
          <cell r="M30" t="str">
            <v>Whirlpool Argentina S.A.</v>
          </cell>
          <cell r="O30" t="str">
            <v>IQ314515</v>
          </cell>
          <cell r="P30" t="str">
            <v>IQ686069</v>
          </cell>
          <cell r="Q30" t="str">
            <v>IQ957412</v>
          </cell>
          <cell r="R30" t="str">
            <v>IQ31338805</v>
          </cell>
          <cell r="S30" t="str">
            <v>IQ5826370</v>
          </cell>
        </row>
        <row r="32">
          <cell r="I32" t="str">
            <v>Service Corporation International</v>
          </cell>
          <cell r="J32" t="str">
            <v>Cv Services International Wholesale Pty Limited</v>
          </cell>
          <cell r="K32" t="str">
            <v>Service Corporation International (Canada)ULC</v>
          </cell>
          <cell r="L32" t="str">
            <v>Services International Hotel</v>
          </cell>
          <cell r="M32" t="str">
            <v>Sphere Services International Canada Inc</v>
          </cell>
          <cell r="O32" t="str">
            <v>IQ302617</v>
          </cell>
          <cell r="P32" t="str">
            <v>IQ46887649</v>
          </cell>
          <cell r="Q32" t="str">
            <v>IQ4048569</v>
          </cell>
          <cell r="R32" t="str">
            <v>IQ58143565</v>
          </cell>
          <cell r="S32" t="str">
            <v>IQ52892457</v>
          </cell>
        </row>
        <row r="33">
          <cell r="I33" t="str">
            <v>Tyco Fire &amp; Security, LLC</v>
          </cell>
          <cell r="J33" t="str">
            <v>Tyco Fire &amp; Security GmbH</v>
          </cell>
          <cell r="K33" t="str">
            <v>Tyco Fire &amp; Security Services Korea Co., Ltd.</v>
          </cell>
          <cell r="L33" t="str">
            <v>Tyco Fire &amp; Security (Beijing) Co., Ltd.</v>
          </cell>
          <cell r="M33" t="str">
            <v>Tyco Fire &amp; Security Pty Limited</v>
          </cell>
          <cell r="O33" t="str">
            <v>IQ1818483</v>
          </cell>
          <cell r="P33" t="str">
            <v>IQ243814618</v>
          </cell>
          <cell r="Q33" t="str">
            <v>IQ228074342</v>
          </cell>
          <cell r="R33" t="str">
            <v>IQ127860402</v>
          </cell>
          <cell r="S33" t="str">
            <v>IQ22433331</v>
          </cell>
        </row>
        <row r="34">
          <cell r="I34" t="str">
            <v>7-Eleven, Inc.</v>
          </cell>
          <cell r="J34" t="str">
            <v>7-Eleven Stores Pty. Ltd.</v>
          </cell>
          <cell r="K34" t="str">
            <v>7-Eleven Convenience Stores</v>
          </cell>
          <cell r="L34" t="str">
            <v>7-Eleven Malaysia Holdings Berhad</v>
          </cell>
          <cell r="M34" t="str">
            <v>Seven-Eleven Japan Co., Ltd.</v>
          </cell>
          <cell r="O34" t="str">
            <v>IQ331010</v>
          </cell>
          <cell r="P34" t="str">
            <v>IQ22563073</v>
          </cell>
          <cell r="Q34" t="str">
            <v>IQ38572974</v>
          </cell>
          <cell r="R34" t="str">
            <v>IQ22400508</v>
          </cell>
          <cell r="S34" t="str">
            <v>IQ875338</v>
          </cell>
        </row>
        <row r="35">
          <cell r="I35" t="str">
            <v>BJ's Wholesale Club Inc.</v>
          </cell>
          <cell r="J35" t="str">
            <v>Bjs Wholesale Club 113</v>
          </cell>
          <cell r="K35" t="str">
            <v>BJ's Wholesale Club in Gainesville</v>
          </cell>
          <cell r="O35" t="str">
            <v>IQ363597</v>
          </cell>
          <cell r="P35" t="str">
            <v>IQ51548741</v>
          </cell>
          <cell r="Q35" t="str">
            <v>IQ244442053</v>
          </cell>
        </row>
        <row r="36">
          <cell r="I36" t="str">
            <v>Britvic Soft Drinks Limited</v>
          </cell>
          <cell r="O36" t="str">
            <v>IQ22547741</v>
          </cell>
        </row>
        <row r="37">
          <cell r="I37" t="str">
            <v>Cadbury Limited</v>
          </cell>
          <cell r="J37" t="str">
            <v>Cadbury Schweppes Inc.</v>
          </cell>
          <cell r="K37" t="str">
            <v>Dr Pepper Snapple Group, Inc.</v>
          </cell>
          <cell r="L37" t="str">
            <v>Mondelez Australia Holdings Pty Ltd</v>
          </cell>
          <cell r="M37" t="str">
            <v>Cadbury Schweppes USA Inc.</v>
          </cell>
          <cell r="O37" t="str">
            <v>IQ171885</v>
          </cell>
          <cell r="P37" t="str">
            <v>IQ60307829</v>
          </cell>
          <cell r="Q37" t="str">
            <v>IQ9247431</v>
          </cell>
          <cell r="R37" t="str">
            <v>IQ145228714</v>
          </cell>
          <cell r="S37" t="str">
            <v>IQ137143517</v>
          </cell>
        </row>
        <row r="38">
          <cell r="I38" t="str">
            <v>Diageo plc</v>
          </cell>
          <cell r="J38" t="str">
            <v>Diageo North America Inc.</v>
          </cell>
          <cell r="K38" t="str">
            <v>Diageo US Limited</v>
          </cell>
          <cell r="L38" t="str">
            <v>Diageo Australia Limited</v>
          </cell>
          <cell r="M38" t="str">
            <v>Diageo Canada Inc.</v>
          </cell>
          <cell r="O38" t="str">
            <v>IQ375780</v>
          </cell>
          <cell r="P38" t="str">
            <v>IQ4301388</v>
          </cell>
          <cell r="Q38" t="str">
            <v>IQ39101204</v>
          </cell>
          <cell r="R38" t="str">
            <v>IQ5631360</v>
          </cell>
          <cell r="S38" t="str">
            <v>IQ4366793</v>
          </cell>
        </row>
        <row r="39">
          <cell r="I39" t="str">
            <v>Heineken NV</v>
          </cell>
          <cell r="J39" t="str">
            <v>Heineken Holding NV</v>
          </cell>
          <cell r="K39" t="str">
            <v>Heineken USA Incorporated</v>
          </cell>
          <cell r="L39" t="str">
            <v>Heineken</v>
          </cell>
          <cell r="M39" t="str">
            <v>Heineken International B.V.</v>
          </cell>
          <cell r="O39" t="str">
            <v>IQ410350</v>
          </cell>
          <cell r="P39" t="str">
            <v>IQ5870004</v>
          </cell>
          <cell r="Q39" t="str">
            <v>IQ4741677</v>
          </cell>
          <cell r="R39" t="str">
            <v>IQ228776499</v>
          </cell>
          <cell r="S39" t="str">
            <v>IQ8123416</v>
          </cell>
        </row>
        <row r="40">
          <cell r="I40" t="str">
            <v>Hormel Foods Corporation</v>
          </cell>
          <cell r="J40" t="str">
            <v>Hormel Foods, LLC</v>
          </cell>
          <cell r="K40" t="str">
            <v>Beijing Hormel Foods Co. Ltd.</v>
          </cell>
          <cell r="L40" t="str">
            <v>Hormel Foods International Corporation</v>
          </cell>
          <cell r="M40" t="str">
            <v>Hormel Foods Japan K.K.</v>
          </cell>
          <cell r="O40" t="str">
            <v>IQ279042</v>
          </cell>
          <cell r="P40" t="str">
            <v>IQ39855268</v>
          </cell>
          <cell r="Q40" t="str">
            <v>IQ39854541</v>
          </cell>
          <cell r="R40" t="str">
            <v>IQ26760741</v>
          </cell>
          <cell r="S40" t="str">
            <v>IQ39855239</v>
          </cell>
        </row>
        <row r="44">
          <cell r="I44" t="str">
            <v>Land O Lakes Inc.</v>
          </cell>
          <cell r="J44" t="str">
            <v>Purina Animal Nutrition LLC</v>
          </cell>
          <cell r="K44" t="str">
            <v>Land O'lakes Purina Feeds Llc</v>
          </cell>
          <cell r="L44" t="str">
            <v>Land O'Lakes Holdings, Inc.</v>
          </cell>
          <cell r="M44" t="str">
            <v>Land O'Lakes Capital Trust I</v>
          </cell>
          <cell r="O44" t="str">
            <v>IQ184002</v>
          </cell>
          <cell r="P44" t="str">
            <v>IQ3605529</v>
          </cell>
          <cell r="Q44" t="str">
            <v>IQ114446992</v>
          </cell>
          <cell r="R44" t="str">
            <v>IQ29927475</v>
          </cell>
          <cell r="S44" t="str">
            <v>IQ3022466</v>
          </cell>
        </row>
        <row r="45">
          <cell r="I45" t="str">
            <v>Pepsi Cola Bottling Co</v>
          </cell>
          <cell r="J45" t="str">
            <v>Pepsi-Cola Bottling Co. Of Northeast Wisconsin, Inc.</v>
          </cell>
          <cell r="K45" t="str">
            <v>Pepsi-Cola Bottling Company Of New York, Inc.</v>
          </cell>
          <cell r="L45" t="str">
            <v>Pepsi Cola Bottling Company Of Conway-Myrtle Beach, Inc.</v>
          </cell>
          <cell r="M45" t="str">
            <v>Pepsi-Cola Bottling Company Of Charlotte Inc.</v>
          </cell>
          <cell r="O45" t="str">
            <v>IQ116784338</v>
          </cell>
          <cell r="P45" t="str">
            <v>IQ30854668</v>
          </cell>
          <cell r="Q45" t="str">
            <v>IQ4217661</v>
          </cell>
          <cell r="R45" t="str">
            <v>IQ4862983</v>
          </cell>
          <cell r="S45" t="str">
            <v>IQ4730852</v>
          </cell>
        </row>
        <row r="46">
          <cell r="I46" t="str">
            <v>Philip Morris International, Inc.</v>
          </cell>
          <cell r="J46" t="str">
            <v>Philip Morris International Management S.A.</v>
          </cell>
          <cell r="K46" t="str">
            <v>Philip Morris Brands Sarl</v>
          </cell>
          <cell r="L46" t="str">
            <v>Philip Morris Global Services Inc.</v>
          </cell>
          <cell r="M46" t="str">
            <v>Philip Morris International Service Center SL</v>
          </cell>
          <cell r="O46" t="str">
            <v>IQ6569181</v>
          </cell>
          <cell r="P46" t="str">
            <v>IQ4165214</v>
          </cell>
          <cell r="Q46" t="str">
            <v>IQ114128798</v>
          </cell>
          <cell r="R46" t="str">
            <v>IQ106845588</v>
          </cell>
          <cell r="S46" t="str">
            <v>IQ106582785</v>
          </cell>
        </row>
        <row r="47">
          <cell r="I47" t="str">
            <v>Philip Morris USA Inc.</v>
          </cell>
          <cell r="J47" t="str">
            <v>Philip Morris USA Inc., 174 Acres of Operations Center Property</v>
          </cell>
          <cell r="O47" t="str">
            <v>IQ516026</v>
          </cell>
          <cell r="P47" t="str">
            <v>IQ107141892</v>
          </cell>
        </row>
        <row r="48">
          <cell r="I48" t="str">
            <v>Rheinmetall AG</v>
          </cell>
          <cell r="J48" t="str">
            <v>Republic of Croatia</v>
          </cell>
          <cell r="K48" t="str">
            <v>RHM Plc</v>
          </cell>
          <cell r="L48" t="str">
            <v>Rhm Klinik-Und Altenheimbetriebe Gmbh &amp; Co.KG</v>
          </cell>
          <cell r="M48" t="str">
            <v>Rhm Rohstoff-Handelsges. Mbh</v>
          </cell>
          <cell r="O48" t="str">
            <v>IQ8185600</v>
          </cell>
          <cell r="P48" t="str">
            <v>IQ27481537</v>
          </cell>
          <cell r="Q48" t="str">
            <v>IQ167536</v>
          </cell>
          <cell r="R48" t="str">
            <v>IQ47268621</v>
          </cell>
          <cell r="S48" t="str">
            <v>IQ47129655</v>
          </cell>
        </row>
        <row r="49">
          <cell r="I49" t="str">
            <v>SABMiller plc</v>
          </cell>
          <cell r="J49" t="str">
            <v>SABMiller Holdings Inc.</v>
          </cell>
          <cell r="K49" t="str">
            <v>SABMiller India Ltd.</v>
          </cell>
          <cell r="L49" t="str">
            <v>SABMiller Africa B.V.</v>
          </cell>
          <cell r="M49" t="str">
            <v>Sabmiller Breweries Private Ltd</v>
          </cell>
          <cell r="O49" t="str">
            <v>IQ874078</v>
          </cell>
          <cell r="P49" t="str">
            <v>IQ142645338</v>
          </cell>
          <cell r="Q49" t="str">
            <v>IQ26689682</v>
          </cell>
          <cell r="R49" t="str">
            <v>IQ133851125</v>
          </cell>
          <cell r="S49" t="str">
            <v>IQ129933374</v>
          </cell>
        </row>
        <row r="51">
          <cell r="I51" t="str">
            <v>Alticor Inc.</v>
          </cell>
          <cell r="J51" t="str">
            <v>Alticor Global Holdings Inc</v>
          </cell>
          <cell r="K51" t="str">
            <v>Solstice Holdings Inc.</v>
          </cell>
          <cell r="L51" t="str">
            <v>Alticor Distribution LLC</v>
          </cell>
          <cell r="M51" t="str">
            <v>Alticor Investments Inc.</v>
          </cell>
          <cell r="O51" t="str">
            <v>IQ1983255</v>
          </cell>
          <cell r="P51" t="str">
            <v>IQ238136745</v>
          </cell>
          <cell r="Q51" t="str">
            <v>IQ28324800</v>
          </cell>
          <cell r="R51" t="str">
            <v>IQ236031816</v>
          </cell>
          <cell r="S51" t="str">
            <v>IQ235665781</v>
          </cell>
        </row>
        <row r="52">
          <cell r="I52" t="str">
            <v>Henkel AG &amp; Co. KGaA</v>
          </cell>
          <cell r="J52" t="str">
            <v>Henkel AG &amp; Co. KGaA, Asset Management Arm</v>
          </cell>
          <cell r="K52" t="str">
            <v>Henkel AG &amp; Co. KGaA, Specialty Coatings Business</v>
          </cell>
          <cell r="L52" t="str">
            <v>Henkel AG &amp; Co. KGaA (Hong Kong branch)</v>
          </cell>
          <cell r="O52" t="str">
            <v>IQ621918</v>
          </cell>
          <cell r="P52" t="str">
            <v>IQ50233710</v>
          </cell>
          <cell r="Q52" t="str">
            <v>IQ244721489</v>
          </cell>
          <cell r="R52" t="str">
            <v>IQ49380168</v>
          </cell>
        </row>
        <row r="53">
          <cell r="I53" t="str">
            <v>The Reader's Digest Association, Inc.</v>
          </cell>
          <cell r="J53" t="str">
            <v>Reader’s Digest Association Far East Limited</v>
          </cell>
          <cell r="K53" t="str">
            <v>RDA Realisations 2010 Limited</v>
          </cell>
          <cell r="L53" t="str">
            <v>The Reader’s Digest Association (Russia) Incorporated</v>
          </cell>
          <cell r="M53" t="str">
            <v>The Reader's Digest Association (Canada) Ltd.</v>
          </cell>
          <cell r="O53" t="str">
            <v>IQ299515</v>
          </cell>
          <cell r="P53" t="str">
            <v>IQ22615340</v>
          </cell>
          <cell r="Q53" t="str">
            <v>IQ5546862</v>
          </cell>
          <cell r="R53" t="str">
            <v>IQ41022456</v>
          </cell>
          <cell r="S53" t="str">
            <v>IQ9512382</v>
          </cell>
        </row>
        <row r="55">
          <cell r="I55" t="str">
            <v>Belk Department Stores LP</v>
          </cell>
          <cell r="J55" t="str">
            <v>Belk Department Stores Clinton North Carolina Inc</v>
          </cell>
          <cell r="K55" t="str">
            <v>Belk Department Stores Greenville NC Inc</v>
          </cell>
          <cell r="L55" t="str">
            <v>Belk Department Stores - Cartersville, GA</v>
          </cell>
          <cell r="M55" t="str">
            <v>Belk Department Stores Morehead North Carolina Inc</v>
          </cell>
          <cell r="O55" t="str">
            <v>IQ27548116</v>
          </cell>
          <cell r="P55" t="str">
            <v>IQ206941506</v>
          </cell>
          <cell r="Q55" t="str">
            <v>IQ207239153</v>
          </cell>
          <cell r="R55" t="str">
            <v>IQ206941756</v>
          </cell>
          <cell r="S55" t="str">
            <v>IQ205092487</v>
          </cell>
        </row>
        <row r="56">
          <cell r="I56" t="str">
            <v>RadioShack Corp.</v>
          </cell>
          <cell r="J56" t="str">
            <v>Radio Shack International, Inc.</v>
          </cell>
          <cell r="K56" t="str">
            <v>Radioshack Customer Service LLC</v>
          </cell>
          <cell r="L56" t="str">
            <v>Radioshack Canada Company</v>
          </cell>
          <cell r="M56" t="str">
            <v>Radio Shack Dealer-Garden Valley Telephn</v>
          </cell>
          <cell r="O56" t="str">
            <v>IQ306963</v>
          </cell>
          <cell r="P56" t="str">
            <v>IQ32670283</v>
          </cell>
          <cell r="Q56" t="str">
            <v>IQ140993656</v>
          </cell>
          <cell r="R56" t="str">
            <v>IQ30967229</v>
          </cell>
          <cell r="S56" t="str">
            <v>IQ6816281</v>
          </cell>
        </row>
        <row r="57">
          <cell r="I57" t="str">
            <v>The TJX Companies, Inc.</v>
          </cell>
          <cell r="J57" t="str">
            <v>TJX UK</v>
          </cell>
          <cell r="K57" t="str">
            <v>TJX Europe Ltd.</v>
          </cell>
          <cell r="L57" t="str">
            <v>T.J.S. Enterprises, Inc.</v>
          </cell>
          <cell r="M57" t="str">
            <v>Ttx Canada Inc</v>
          </cell>
          <cell r="O57" t="str">
            <v>IQ306688</v>
          </cell>
          <cell r="P57" t="str">
            <v>IQ22533252</v>
          </cell>
          <cell r="Q57" t="str">
            <v>IQ5496200</v>
          </cell>
          <cell r="R57" t="str">
            <v>IQ222793775</v>
          </cell>
          <cell r="S57" t="str">
            <v>IQ4470178</v>
          </cell>
        </row>
        <row r="58">
          <cell r="I58" t="str">
            <v>Unisource Worldwide, Inc.</v>
          </cell>
          <cell r="O58" t="str">
            <v>IQ353540</v>
          </cell>
        </row>
        <row r="59">
          <cell r="I59" t="str">
            <v>The Army &amp; Air Force Exchange Service</v>
          </cell>
          <cell r="J59" t="str">
            <v>Aafes Group Health Voluntary Emplyees Beneficiary Assoc Trust</v>
          </cell>
          <cell r="K59" t="str">
            <v>AAFES Federal Credit Union</v>
          </cell>
          <cell r="O59" t="str">
            <v>IQ167528</v>
          </cell>
          <cell r="P59" t="str">
            <v>IQ142837991</v>
          </cell>
          <cell r="Q59" t="str">
            <v>IQ127424302</v>
          </cell>
        </row>
        <row r="60">
          <cell r="I60" t="str">
            <v>Best Foods, Inc.</v>
          </cell>
          <cell r="J60" t="str">
            <v>Unilever Foodsolutions, Inc.</v>
          </cell>
          <cell r="K60" t="str">
            <v>Unilever Bestfoods A/S</v>
          </cell>
          <cell r="L60" t="str">
            <v>Unilever Bestfoods De Argentina S.A.</v>
          </cell>
          <cell r="M60" t="str">
            <v>Unilever Bestfoods UK Ltd.</v>
          </cell>
          <cell r="O60" t="str">
            <v>IQ257794</v>
          </cell>
          <cell r="P60" t="str">
            <v>IQ39835995</v>
          </cell>
          <cell r="Q60" t="str">
            <v>IQ6084799</v>
          </cell>
          <cell r="R60" t="str">
            <v>IQ5435194</v>
          </cell>
          <cell r="S60" t="str">
            <v>IQ1469928</v>
          </cell>
        </row>
        <row r="61">
          <cell r="I61" t="str">
            <v>Interbrew International B.V.</v>
          </cell>
          <cell r="J61" t="str">
            <v>Anheuser-Busch InBev SA/NV</v>
          </cell>
          <cell r="K61" t="str">
            <v>InBev Belgium NV/SA</v>
          </cell>
          <cell r="L61" t="str">
            <v>AB InBev UK Limited</v>
          </cell>
          <cell r="M61" t="str">
            <v>Anheuser-Busch InBev Germany Holding GmbH</v>
          </cell>
          <cell r="O61" t="str">
            <v>IQ8125933</v>
          </cell>
          <cell r="P61" t="str">
            <v>IQ745257</v>
          </cell>
          <cell r="Q61" t="str">
            <v>IQ5488628</v>
          </cell>
          <cell r="R61" t="str">
            <v>IQ5473218</v>
          </cell>
          <cell r="S61" t="str">
            <v>IQ6197506</v>
          </cell>
        </row>
        <row r="62">
          <cell r="I62" t="str">
            <v>Panasonic Corporation</v>
          </cell>
          <cell r="J62" t="str">
            <v>Panasonic Healthcare Co., Ltd.</v>
          </cell>
          <cell r="K62" t="str">
            <v>Panasonic Corporation of North America, Inc.</v>
          </cell>
          <cell r="L62" t="str">
            <v>Panasonic Avionics Corporation</v>
          </cell>
          <cell r="M62" t="str">
            <v>Panasonic Electric Works Co., Ltd.</v>
          </cell>
          <cell r="O62" t="str">
            <v>IQ320433</v>
          </cell>
          <cell r="P62" t="str">
            <v>IQ878091</v>
          </cell>
          <cell r="Q62" t="str">
            <v>IQ92798</v>
          </cell>
          <cell r="R62" t="str">
            <v>IQ4205727</v>
          </cell>
          <cell r="S62" t="str">
            <v>IQ873839</v>
          </cell>
        </row>
        <row r="63">
          <cell r="I63" t="str">
            <v>Abercrombie &amp; Fitch Co.</v>
          </cell>
          <cell r="O63" t="str">
            <v>IQ353867</v>
          </cell>
        </row>
        <row r="64">
          <cell r="I64" t="str">
            <v>Academy Ltd.</v>
          </cell>
          <cell r="J64" t="str">
            <v>Wanamaker Baytown One, L.P., Academy Sports + Outdoors Store in Baytown</v>
          </cell>
          <cell r="K64" t="str">
            <v>Academy Sports + Outdoors in McKinney and Michaels Store in Wausau</v>
          </cell>
          <cell r="O64" t="str">
            <v>IQ4172464</v>
          </cell>
          <cell r="P64" t="str">
            <v>IQ143640649</v>
          </cell>
          <cell r="Q64" t="str">
            <v>IQ265971107</v>
          </cell>
        </row>
        <row r="65">
          <cell r="I65" t="str">
            <v>Advance Auto Parts Inc.</v>
          </cell>
          <cell r="J65" t="str">
            <v>Advance Auto Parts 401 K Plan - Stable Value Fund</v>
          </cell>
          <cell r="K65" t="str">
            <v>Property at 5615 Chalkville Road in Birmingham</v>
          </cell>
          <cell r="L65" t="str">
            <v>Two Advance Auto Part Stores located in Houston</v>
          </cell>
          <cell r="M65" t="str">
            <v>Fee Simple Interest in Two Advance Auto Parts Stores in Houston</v>
          </cell>
          <cell r="O65" t="str">
            <v>IQ24333</v>
          </cell>
          <cell r="P65" t="str">
            <v>IQ207118263</v>
          </cell>
          <cell r="Q65" t="str">
            <v>IQ260343236</v>
          </cell>
          <cell r="R65" t="str">
            <v>IQ141398897</v>
          </cell>
          <cell r="S65" t="str">
            <v>IQ141388369</v>
          </cell>
        </row>
        <row r="66">
          <cell r="I66" t="str">
            <v>Aéropostale, Inc.</v>
          </cell>
          <cell r="J66" t="str">
            <v>P.S. from Aéropostale, Inc.</v>
          </cell>
          <cell r="K66" t="str">
            <v>Aéropostale Canada, Inc.</v>
          </cell>
          <cell r="L66" t="str">
            <v>Aeropostal Alas de Venezuela C.A.</v>
          </cell>
          <cell r="M66" t="str">
            <v>Aerovias de Mexico, S.A. de C.V.</v>
          </cell>
          <cell r="O66" t="str">
            <v>IQ559148</v>
          </cell>
          <cell r="P66" t="str">
            <v>IQ130713047</v>
          </cell>
          <cell r="Q66" t="str">
            <v>IQ83017415</v>
          </cell>
          <cell r="R66" t="str">
            <v>IQ46984799</v>
          </cell>
          <cell r="S66" t="str">
            <v>IQ2947395</v>
          </cell>
        </row>
        <row r="67">
          <cell r="I67" t="str">
            <v>ANN INC.</v>
          </cell>
          <cell r="O67" t="str">
            <v>IQ24887</v>
          </cell>
        </row>
        <row r="68">
          <cell r="I68" t="str">
            <v>The Army &amp; Air Force Exchange Service</v>
          </cell>
          <cell r="J68" t="str">
            <v>Army and Air Force Exchange Service, Germany</v>
          </cell>
          <cell r="K68" t="str">
            <v>Retirement Annuity Plan for Employees of the Army and Air Force Exchange Service Trust</v>
          </cell>
          <cell r="O68" t="str">
            <v>IQ167528</v>
          </cell>
          <cell r="P68" t="str">
            <v>IQ214654482</v>
          </cell>
          <cell r="Q68" t="str">
            <v>IQ6070987</v>
          </cell>
        </row>
        <row r="69">
          <cell r="I69" t="str">
            <v>Bealls Department Stores, Inc.</v>
          </cell>
          <cell r="J69" t="str">
            <v>Beall's, Inc.</v>
          </cell>
          <cell r="K69" t="str">
            <v>Beall's Outlet Stores, Inc.</v>
          </cell>
          <cell r="L69" t="str">
            <v>Beall's Westgate Corporation</v>
          </cell>
          <cell r="M69" t="str">
            <v>Bealls Home</v>
          </cell>
          <cell r="O69" t="str">
            <v>IQ4220825</v>
          </cell>
          <cell r="P69" t="str">
            <v>IQ4204880</v>
          </cell>
          <cell r="Q69" t="str">
            <v>IQ4236912</v>
          </cell>
          <cell r="R69" t="str">
            <v>IQ4779204</v>
          </cell>
          <cell r="S69" t="str">
            <v>IQ27957909</v>
          </cell>
        </row>
        <row r="70">
          <cell r="I70" t="str">
            <v>Best Buy Co., Inc.</v>
          </cell>
          <cell r="J70" t="str">
            <v>Best Buy Capital</v>
          </cell>
          <cell r="K70" t="str">
            <v>Best Buy Canada Ltd.</v>
          </cell>
          <cell r="L70" t="str">
            <v>Best Buy</v>
          </cell>
          <cell r="M70" t="str">
            <v>Best Buy Company</v>
          </cell>
          <cell r="O70" t="str">
            <v>IQ255397</v>
          </cell>
          <cell r="P70" t="str">
            <v>IQ35429659</v>
          </cell>
          <cell r="Q70" t="str">
            <v>IQ4166678</v>
          </cell>
          <cell r="R70" t="str">
            <v>IQ7985511</v>
          </cell>
          <cell r="S70" t="str">
            <v>IQ113000244</v>
          </cell>
        </row>
        <row r="71">
          <cell r="I71" t="str">
            <v>Burlington Coat Factory Warehouse Corporation</v>
          </cell>
          <cell r="J71" t="str">
            <v>Burlington Coat Factory Warehouse Of Charleston, Inc.</v>
          </cell>
          <cell r="K71" t="str">
            <v>Burlington Coat Factory Warehouse Of Baytown, Inc.</v>
          </cell>
          <cell r="L71" t="str">
            <v>Burlington Coat Factory Warehouse Of Cleveland, Inc.</v>
          </cell>
          <cell r="M71" t="str">
            <v>Burlington Coat Factory Warehouse Of Redford, Inc.</v>
          </cell>
          <cell r="O71" t="str">
            <v>IQ30397130</v>
          </cell>
          <cell r="P71" t="str">
            <v>IQ30011590</v>
          </cell>
          <cell r="Q71" t="str">
            <v>IQ30011574</v>
          </cell>
          <cell r="R71" t="str">
            <v>IQ30011497</v>
          </cell>
          <cell r="S71" t="str">
            <v>IQ30011374</v>
          </cell>
        </row>
        <row r="72">
          <cell r="I72" t="str">
            <v>Canadian Tire Corp. Ltd.</v>
          </cell>
          <cell r="J72" t="str">
            <v>Canadian Tire Bank</v>
          </cell>
          <cell r="K72" t="str">
            <v>Canadian Tire Retail</v>
          </cell>
          <cell r="L72" t="str">
            <v>Canadian Tire Petroleum</v>
          </cell>
          <cell r="M72" t="str">
            <v>Canadian Tire Financial Services Limited</v>
          </cell>
          <cell r="O72" t="str">
            <v>IQ873636</v>
          </cell>
          <cell r="P72" t="str">
            <v>IQ25552787</v>
          </cell>
          <cell r="Q72" t="str">
            <v>IQ26689963</v>
          </cell>
          <cell r="R72" t="str">
            <v>IQ36221703</v>
          </cell>
          <cell r="S72" t="str">
            <v>IQ1023145</v>
          </cell>
        </row>
        <row r="73">
          <cell r="I73" t="str">
            <v>Carrefour SA</v>
          </cell>
          <cell r="J73" t="str">
            <v>CarrefourSA Carrefour Sabanci Ticaret Merkezi A.S.</v>
          </cell>
          <cell r="K73" t="str">
            <v>Carrefour France SAS</v>
          </cell>
          <cell r="L73" t="str">
            <v>PT. Carrefour Indonesia</v>
          </cell>
          <cell r="M73" t="str">
            <v>Grandes Superficies de Colombia S.A.</v>
          </cell>
          <cell r="O73" t="str">
            <v>IQ91638</v>
          </cell>
          <cell r="P73" t="str">
            <v>IQ22249490</v>
          </cell>
          <cell r="Q73" t="str">
            <v>IQ5466945</v>
          </cell>
          <cell r="R73" t="str">
            <v>IQ26465846</v>
          </cell>
          <cell r="S73" t="str">
            <v>IQ5687005</v>
          </cell>
        </row>
        <row r="74">
          <cell r="I74" t="str">
            <v>C I Hermeco S A</v>
          </cell>
          <cell r="O74" t="str">
            <v>IQ109318655</v>
          </cell>
        </row>
        <row r="75">
          <cell r="I75" t="str">
            <v>Coldwater Creek Inc.</v>
          </cell>
          <cell r="J75" t="str">
            <v>Coldwater Creek U.S. Inc.</v>
          </cell>
          <cell r="K75" t="str">
            <v>Coldwater Creek Sourcing Inc.</v>
          </cell>
          <cell r="L75" t="str">
            <v>Coldwater Creek Merchandising &amp; Logistics Inc.</v>
          </cell>
          <cell r="M75" t="str">
            <v>Coldwater Creek Outlet Stores, Inc.</v>
          </cell>
          <cell r="O75" t="str">
            <v>IQ354644</v>
          </cell>
          <cell r="P75" t="str">
            <v>IQ83477640</v>
          </cell>
          <cell r="Q75" t="str">
            <v>IQ233354538</v>
          </cell>
          <cell r="R75" t="str">
            <v>IQ54729822</v>
          </cell>
          <cell r="S75" t="str">
            <v>IQ26536509</v>
          </cell>
        </row>
        <row r="76">
          <cell r="I76" t="str">
            <v>Cost Plus Inc.</v>
          </cell>
          <cell r="J76" t="str">
            <v>Cost Plus Enterprises Inc.</v>
          </cell>
          <cell r="K76" t="str">
            <v>Cost Plus Management Services, Inc</v>
          </cell>
          <cell r="L76" t="str">
            <v>Cost Plus of Texas, Inc.</v>
          </cell>
          <cell r="M76" t="str">
            <v>Cost Plus of Idaho, Inc.</v>
          </cell>
          <cell r="O76" t="str">
            <v>IQ157100</v>
          </cell>
          <cell r="P76" t="str">
            <v>IQ705566</v>
          </cell>
          <cell r="Q76" t="str">
            <v>IQ47267396</v>
          </cell>
          <cell r="R76" t="str">
            <v>IQ46099702</v>
          </cell>
          <cell r="S76" t="str">
            <v>IQ46099679</v>
          </cell>
        </row>
        <row r="77">
          <cell r="I77" t="str">
            <v>Oxylane Group</v>
          </cell>
          <cell r="J77" t="str">
            <v>Decathlon UK Limited</v>
          </cell>
          <cell r="K77" t="str">
            <v>Decathlon Sportspezialvertriebsges. Mbh</v>
          </cell>
          <cell r="L77" t="str">
            <v>Decathlon RE Harbor Beach LLC</v>
          </cell>
          <cell r="M77" t="str">
            <v>Decathlon Sports India</v>
          </cell>
          <cell r="O77" t="str">
            <v>IQ2249580</v>
          </cell>
          <cell r="P77" t="str">
            <v>IQ30467858</v>
          </cell>
          <cell r="Q77" t="str">
            <v>IQ47275718</v>
          </cell>
          <cell r="R77" t="str">
            <v>IQ222430159</v>
          </cell>
          <cell r="S77" t="str">
            <v>IQ244790187</v>
          </cell>
        </row>
        <row r="78">
          <cell r="I78" t="str">
            <v>Dick's Sporting Goods Inc.</v>
          </cell>
          <cell r="J78" t="str">
            <v>Dick's Sporting Goods in Cranberry Township, Pennsylvania</v>
          </cell>
          <cell r="K78" t="str">
            <v>Dick's Sporting Goods, Inc., Asset Management Arm</v>
          </cell>
          <cell r="O78" t="str">
            <v>IQ27561</v>
          </cell>
          <cell r="P78" t="str">
            <v>IQ244479703</v>
          </cell>
          <cell r="Q78" t="str">
            <v>IQ54097066</v>
          </cell>
        </row>
        <row r="79">
          <cell r="I79" t="str">
            <v>The Dressbarn, Inc.</v>
          </cell>
          <cell r="J79" t="str">
            <v>Ascena Retail Group Inc.</v>
          </cell>
          <cell r="K79" t="str">
            <v>Dress Barn Credit Management, LLC</v>
          </cell>
          <cell r="O79" t="str">
            <v>IQ207302479</v>
          </cell>
          <cell r="P79" t="str">
            <v>IQ267344</v>
          </cell>
          <cell r="Q79" t="str">
            <v>IQ25018644</v>
          </cell>
        </row>
        <row r="80">
          <cell r="I80" t="str">
            <v>Finish Line Inc.</v>
          </cell>
          <cell r="J80" t="str">
            <v>Finishline Supply, Inc.</v>
          </cell>
          <cell r="K80" t="str">
            <v>Finish Line Technologies, Inc.</v>
          </cell>
          <cell r="L80" t="str">
            <v>The Finish Line USA, Inc.</v>
          </cell>
          <cell r="M80" t="str">
            <v>Finish Line Solutions, Inc.</v>
          </cell>
          <cell r="O80" t="str">
            <v>IQ317774</v>
          </cell>
          <cell r="P80" t="str">
            <v>IQ58676909</v>
          </cell>
          <cell r="Q80" t="str">
            <v>IQ108997603</v>
          </cell>
          <cell r="R80" t="str">
            <v>IQ20849712</v>
          </cell>
          <cell r="S80" t="str">
            <v>IQ100411239</v>
          </cell>
        </row>
        <row r="81">
          <cell r="I81" t="str">
            <v>Food Lion, LLC</v>
          </cell>
          <cell r="J81" t="str">
            <v>Delhaize America, LLC</v>
          </cell>
          <cell r="K81" t="str">
            <v>FL Food Lion, Inc.</v>
          </cell>
          <cell r="L81" t="str">
            <v>Food Lion Shopping Center in Raleigh</v>
          </cell>
          <cell r="M81" t="str">
            <v>Food Lion (Thailand) Ltd.</v>
          </cell>
          <cell r="O81" t="str">
            <v>IQ4225014</v>
          </cell>
          <cell r="P81" t="str">
            <v>IQ273330</v>
          </cell>
          <cell r="Q81" t="str">
            <v>IQ36548992</v>
          </cell>
          <cell r="R81" t="str">
            <v>IQ245665704</v>
          </cell>
          <cell r="S81" t="str">
            <v>IQ11099596</v>
          </cell>
        </row>
        <row r="82">
          <cell r="I82" t="str">
            <v>Foot Locker, Inc.</v>
          </cell>
          <cell r="J82" t="str">
            <v>Foot Locker Retail, Inc.</v>
          </cell>
          <cell r="K82" t="str">
            <v>Foot Locker Canada Co.</v>
          </cell>
          <cell r="L82" t="str">
            <v>Foot Locker Netherlands B.V.</v>
          </cell>
          <cell r="M82" t="str">
            <v>Foot Locker Italy Srl</v>
          </cell>
          <cell r="O82" t="str">
            <v>IQ315394</v>
          </cell>
          <cell r="P82" t="str">
            <v>IQ4224763</v>
          </cell>
          <cell r="Q82" t="str">
            <v>IQ4717008</v>
          </cell>
          <cell r="R82" t="str">
            <v>IQ46305889</v>
          </cell>
          <cell r="S82" t="str">
            <v>IQ5687164</v>
          </cell>
        </row>
        <row r="83">
          <cell r="I83" t="str">
            <v>Gale Pacific Limited</v>
          </cell>
          <cell r="J83" t="str">
            <v>The Gap, Inc.</v>
          </cell>
          <cell r="K83" t="str">
            <v>G&amp;A Partners, Inc.</v>
          </cell>
          <cell r="L83" t="str">
            <v>Grupo Aeroportuario del Pacifico S.A.B. de CV</v>
          </cell>
          <cell r="M83" t="str">
            <v>Gap (Apparel), LLC</v>
          </cell>
          <cell r="O83" t="str">
            <v>IQ166601</v>
          </cell>
          <cell r="P83" t="str">
            <v>IQ274265</v>
          </cell>
          <cell r="Q83" t="str">
            <v>IQ4520555</v>
          </cell>
          <cell r="R83" t="str">
            <v>IQ10331338</v>
          </cell>
          <cell r="S83" t="str">
            <v>IQ33494303</v>
          </cell>
        </row>
        <row r="84">
          <cell r="I84" t="str">
            <v>Groupe Adeo S.A.</v>
          </cell>
          <cell r="J84" t="str">
            <v>Groupe Adeo &amp; Cie Valadeo</v>
          </cell>
          <cell r="O84" t="str">
            <v>IQ47240406</v>
          </cell>
          <cell r="P84" t="str">
            <v>IQ134463938</v>
          </cell>
        </row>
        <row r="85">
          <cell r="I85" t="str">
            <v>Guess? Inc.</v>
          </cell>
          <cell r="J85" t="str">
            <v>Guess Italia, Srl</v>
          </cell>
          <cell r="K85" t="str">
            <v>Guess? Euro-Canada, B.V.</v>
          </cell>
          <cell r="L85" t="str">
            <v>Guess? Canada Corporation</v>
          </cell>
          <cell r="M85" t="str">
            <v>Guess? Canada Retail, Inc.</v>
          </cell>
          <cell r="O85" t="str">
            <v>IQ348699</v>
          </cell>
          <cell r="P85" t="str">
            <v>IQ12174218</v>
          </cell>
          <cell r="Q85" t="str">
            <v>IQ83523930</v>
          </cell>
          <cell r="R85" t="str">
            <v>IQ4399932</v>
          </cell>
          <cell r="S85" t="str">
            <v>IQ26360044</v>
          </cell>
        </row>
        <row r="86">
          <cell r="I86" t="str">
            <v>The Gymboree Corporation</v>
          </cell>
          <cell r="J86" t="str">
            <v>Gymboree, Inc.</v>
          </cell>
          <cell r="K86" t="str">
            <v>Gymboree Co., Ltd.</v>
          </cell>
          <cell r="L86" t="str">
            <v>Gymboree (China) Commercial and Trading Co. Ltd</v>
          </cell>
          <cell r="M86" t="str">
            <v>Gymboree Retail Stores, Inc.</v>
          </cell>
          <cell r="O86" t="str">
            <v>IQ29232</v>
          </cell>
          <cell r="P86" t="str">
            <v>IQ23722238</v>
          </cell>
          <cell r="Q86" t="str">
            <v>IQ227959591</v>
          </cell>
          <cell r="R86" t="str">
            <v>IQ206693455</v>
          </cell>
          <cell r="S86" t="str">
            <v>IQ23722187</v>
          </cell>
        </row>
        <row r="87">
          <cell r="I87" t="str">
            <v>Harris Teeter Supermarkets, Inc.</v>
          </cell>
          <cell r="J87" t="str">
            <v>Harris Teeter, Inc.</v>
          </cell>
          <cell r="K87" t="str">
            <v>Harris Teeter Supermarket in Charlotte, North Carolina</v>
          </cell>
          <cell r="L87" t="str">
            <v>Harris Teeter Properties, LLC</v>
          </cell>
          <cell r="M87" t="str">
            <v>Harris-Teeter Services, Inc.</v>
          </cell>
          <cell r="O87" t="str">
            <v>IQ142703</v>
          </cell>
          <cell r="P87" t="str">
            <v>IQ893806</v>
          </cell>
          <cell r="Q87" t="str">
            <v>IQ225998778</v>
          </cell>
          <cell r="R87" t="str">
            <v>IQ216915748</v>
          </cell>
          <cell r="S87" t="str">
            <v>IQ216912474</v>
          </cell>
        </row>
        <row r="88">
          <cell r="I88" t="str">
            <v>hhgregg, Inc.</v>
          </cell>
          <cell r="J88" t="str">
            <v>HHGregg, Inc. Building at 1401 Piney Plains Road in Cary</v>
          </cell>
          <cell r="O88" t="str">
            <v>IQ13648539</v>
          </cell>
          <cell r="P88" t="str">
            <v>IQ231941165</v>
          </cell>
        </row>
        <row r="89">
          <cell r="I89" t="str">
            <v>Jos. A Bank Clothiers Inc.</v>
          </cell>
          <cell r="O89" t="str">
            <v>IQ30418</v>
          </cell>
        </row>
        <row r="90">
          <cell r="I90" t="str">
            <v>Kibe Sa</v>
          </cell>
          <cell r="J90" t="str">
            <v>Kibel Green Inc.</v>
          </cell>
          <cell r="K90" t="str">
            <v>Kimberly-Clark Corporation</v>
          </cell>
          <cell r="L90" t="str">
            <v>Kibe Oy</v>
          </cell>
          <cell r="M90" t="str">
            <v>KB Electronics, Inc.</v>
          </cell>
          <cell r="O90" t="str">
            <v>IQ22185291</v>
          </cell>
          <cell r="P90" t="str">
            <v>IQ4282062</v>
          </cell>
          <cell r="Q90" t="str">
            <v>IQ283857</v>
          </cell>
          <cell r="R90" t="str">
            <v>IQ223778120</v>
          </cell>
          <cell r="S90" t="str">
            <v>IQ6847945</v>
          </cell>
        </row>
        <row r="91">
          <cell r="I91" t="str">
            <v>Kmart Corporation</v>
          </cell>
          <cell r="J91" t="str">
            <v>Sears Holdings Corporation</v>
          </cell>
          <cell r="K91" t="str">
            <v>K-Mart</v>
          </cell>
          <cell r="L91" t="str">
            <v>KMART Australia Limited</v>
          </cell>
          <cell r="M91" t="str">
            <v>Kmart Holding Corporation</v>
          </cell>
          <cell r="O91" t="str">
            <v>IQ82021227</v>
          </cell>
          <cell r="P91" t="str">
            <v>IQ7675730</v>
          </cell>
          <cell r="Q91" t="str">
            <v>IQ204772402</v>
          </cell>
          <cell r="R91" t="str">
            <v>IQ22499352</v>
          </cell>
          <cell r="S91" t="str">
            <v>IQ138687080</v>
          </cell>
        </row>
        <row r="92">
          <cell r="I92" t="str">
            <v>L Brands, Inc.</v>
          </cell>
          <cell r="J92" t="str">
            <v>Private Sale GmbH</v>
          </cell>
          <cell r="K92" t="str">
            <v>Brandscreen Pte Ltd.</v>
          </cell>
          <cell r="L92" t="str">
            <v>Limited Brands Store Operations, Inc.</v>
          </cell>
          <cell r="M92" t="str">
            <v>Brands For Friends</v>
          </cell>
          <cell r="O92" t="str">
            <v>IQ285544</v>
          </cell>
          <cell r="P92" t="str">
            <v>IQ38746098</v>
          </cell>
          <cell r="Q92" t="str">
            <v>IQ113025934</v>
          </cell>
          <cell r="R92" t="str">
            <v>IQ33598254</v>
          </cell>
          <cell r="S92" t="str">
            <v>IQ224041495</v>
          </cell>
        </row>
        <row r="93">
          <cell r="I93" t="str">
            <v>Liquor Control Board of Ontario</v>
          </cell>
          <cell r="O93" t="str">
            <v>IQ7714734</v>
          </cell>
        </row>
        <row r="94">
          <cell r="I94" t="str">
            <v>Maurices Incorporated</v>
          </cell>
          <cell r="J94" t="str">
            <v>Maurice Sporting Goods, Inc.</v>
          </cell>
          <cell r="K94" t="str">
            <v>Maurices Credit Management, Inc.</v>
          </cell>
          <cell r="L94" t="str">
            <v>Maurices Ice-Cream</v>
          </cell>
          <cell r="M94" t="str">
            <v>Maurice Schwartz &amp; Sons Inc.</v>
          </cell>
          <cell r="O94" t="str">
            <v>IQ12663382</v>
          </cell>
          <cell r="P94" t="str">
            <v>IQ4248803</v>
          </cell>
          <cell r="Q94" t="str">
            <v>IQ131250025</v>
          </cell>
          <cell r="R94" t="str">
            <v>IQ127573041</v>
          </cell>
          <cell r="S94" t="str">
            <v>IQ6545484</v>
          </cell>
        </row>
        <row r="95">
          <cell r="I95" t="str">
            <v>The Men's Wearhouse, Inc.</v>
          </cell>
          <cell r="J95" t="str">
            <v>Men's Wearhouse in Houston</v>
          </cell>
          <cell r="K95" t="str">
            <v>The Men's Wearhouse of Texas LP</v>
          </cell>
          <cell r="L95" t="str">
            <v>The Men's Wearhouse of Michigan, Inc.</v>
          </cell>
          <cell r="O95" t="str">
            <v>IQ317668</v>
          </cell>
          <cell r="P95" t="str">
            <v>IQ243153689</v>
          </cell>
          <cell r="Q95" t="str">
            <v>IQ24403968</v>
          </cell>
          <cell r="R95" t="str">
            <v>IQ24403787</v>
          </cell>
        </row>
        <row r="96">
          <cell r="I96" t="str">
            <v>Navy Exchange Service Command</v>
          </cell>
          <cell r="J96" t="str">
            <v>Navy Exchange Service Command Retirement Trust</v>
          </cell>
          <cell r="O96" t="str">
            <v>IQ4161943</v>
          </cell>
          <cell r="P96" t="str">
            <v>IQ108917977</v>
          </cell>
        </row>
        <row r="97">
          <cell r="I97" t="str">
            <v>Nordstrom Inc.</v>
          </cell>
          <cell r="J97" t="str">
            <v>Nordstrom fsb</v>
          </cell>
          <cell r="K97" t="str">
            <v>Nordströms Sverige Ab</v>
          </cell>
          <cell r="L97" t="str">
            <v>Nordstrom.com</v>
          </cell>
          <cell r="M97" t="str">
            <v>Nordstrom Credit Inc.</v>
          </cell>
          <cell r="O97" t="str">
            <v>IQ32215</v>
          </cell>
          <cell r="P97" t="str">
            <v>IQ25916209</v>
          </cell>
          <cell r="Q97" t="str">
            <v>IQ107242496</v>
          </cell>
          <cell r="R97" t="str">
            <v>IQ2173141</v>
          </cell>
          <cell r="S97" t="str">
            <v>IQ3067679</v>
          </cell>
        </row>
        <row r="98">
          <cell r="I98" t="str">
            <v>Office Depot, Inc.</v>
          </cell>
          <cell r="J98" t="str">
            <v>Office Depot de México S.A. de C.V.</v>
          </cell>
          <cell r="K98" t="str">
            <v>Office Depot Deutschland Gmbh</v>
          </cell>
          <cell r="L98" t="str">
            <v>Office Depot Netherlands B.V.</v>
          </cell>
          <cell r="M98" t="str">
            <v>Office Depot UK Limited</v>
          </cell>
          <cell r="O98" t="str">
            <v>IQ32356</v>
          </cell>
          <cell r="P98" t="str">
            <v>IQ22512328</v>
          </cell>
          <cell r="Q98" t="str">
            <v>IQ22799913</v>
          </cell>
          <cell r="R98" t="str">
            <v>IQ9768937</v>
          </cell>
          <cell r="S98" t="str">
            <v>IQ5499088</v>
          </cell>
        </row>
        <row r="99">
          <cell r="I99" t="str">
            <v>Pacific Sunwear of California Inc.</v>
          </cell>
          <cell r="O99" t="str">
            <v>IQ32625</v>
          </cell>
        </row>
        <row r="100">
          <cell r="I100" t="str">
            <v>Payless ShoeSource, Inc.</v>
          </cell>
          <cell r="J100" t="str">
            <v>Payless Inc.</v>
          </cell>
          <cell r="K100" t="str">
            <v>Payless ShoeSource Worldwide, Inc.</v>
          </cell>
          <cell r="L100" t="str">
            <v>Payless Finance, Inc.</v>
          </cell>
          <cell r="M100" t="str">
            <v>Payless ShoeSource Merchandising, Inc.</v>
          </cell>
          <cell r="O100" t="str">
            <v>IQ6450382</v>
          </cell>
          <cell r="P100" t="str">
            <v>IQ350153</v>
          </cell>
          <cell r="Q100" t="str">
            <v>IQ29834482</v>
          </cell>
          <cell r="R100" t="str">
            <v>IQ4937871</v>
          </cell>
          <cell r="S100" t="str">
            <v>IQ4290115</v>
          </cell>
        </row>
        <row r="101">
          <cell r="I101" t="str">
            <v>PETCO Animal Supplies, Inc.</v>
          </cell>
          <cell r="J101" t="str">
            <v>PETCO Animal Supplies Stores, Inc.</v>
          </cell>
          <cell r="O101" t="str">
            <v>IQ32901</v>
          </cell>
          <cell r="P101" t="str">
            <v>IQ26722611</v>
          </cell>
        </row>
        <row r="102">
          <cell r="I102" t="str">
            <v>Sears Holdings Corporation</v>
          </cell>
          <cell r="J102" t="str">
            <v>Sears Holdings Management Corporation</v>
          </cell>
          <cell r="K102" t="str">
            <v>Sears Holdings Corporation, 135,000 Square Foot Site at Polaris</v>
          </cell>
          <cell r="L102" t="str">
            <v>Sears Holdings Pension Trust</v>
          </cell>
          <cell r="M102" t="str">
            <v>Lands' End, Inc.</v>
          </cell>
          <cell r="O102" t="str">
            <v>IQ7675730</v>
          </cell>
          <cell r="P102" t="str">
            <v>IQ47371617</v>
          </cell>
          <cell r="Q102" t="str">
            <v>IQ217499591</v>
          </cell>
          <cell r="R102" t="str">
            <v>IQ271995901</v>
          </cell>
          <cell r="S102" t="str">
            <v>IQ285185</v>
          </cell>
        </row>
        <row r="103">
          <cell r="I103" t="str">
            <v>Sears Canada Inc.</v>
          </cell>
          <cell r="J103" t="str">
            <v>Sears Canada Holdings Corp.</v>
          </cell>
          <cell r="K103" t="str">
            <v>Sears Canada Bank</v>
          </cell>
          <cell r="L103" t="str">
            <v>Sears Canada Acceptance Inc.</v>
          </cell>
          <cell r="M103" t="str">
            <v>Sears Canada Merchandising Services</v>
          </cell>
          <cell r="O103" t="str">
            <v>IQ873894</v>
          </cell>
          <cell r="P103" t="str">
            <v>IQ59032861</v>
          </cell>
          <cell r="Q103" t="str">
            <v>IQ22678752</v>
          </cell>
          <cell r="R103" t="str">
            <v>IQ140711146</v>
          </cell>
          <cell r="S103" t="str">
            <v>IQ6613619</v>
          </cell>
        </row>
        <row r="104">
          <cell r="I104" t="str">
            <v>Sears Holdings Corporation</v>
          </cell>
          <cell r="J104" t="str">
            <v>Sears Canada Inc.</v>
          </cell>
          <cell r="K104" t="str">
            <v>Sears Hometown and Outlet Stores, Inc.</v>
          </cell>
          <cell r="L104" t="str">
            <v>Sears, Roebuck and Co.</v>
          </cell>
          <cell r="M104" t="str">
            <v>Sears Home Improvement Products, Inc.</v>
          </cell>
          <cell r="O104" t="str">
            <v>IQ7675730</v>
          </cell>
          <cell r="P104" t="str">
            <v>IQ873894</v>
          </cell>
          <cell r="Q104" t="str">
            <v>IQ171547354</v>
          </cell>
          <cell r="R104" t="str">
            <v>IQ95055</v>
          </cell>
          <cell r="S104" t="str">
            <v>IQ4258419</v>
          </cell>
        </row>
        <row r="105">
          <cell r="I105" t="str">
            <v>Lands' End, Inc.</v>
          </cell>
          <cell r="J105" t="str">
            <v>Lands End Acquisition Corporation</v>
          </cell>
          <cell r="K105" t="str">
            <v>Lands' End Business Outfitters, Inc.</v>
          </cell>
          <cell r="L105" t="str">
            <v>Lands End Inc Employee Benefit Trust</v>
          </cell>
          <cell r="M105" t="str">
            <v>Lands End Publishing Ltd.</v>
          </cell>
          <cell r="O105" t="str">
            <v>IQ285185</v>
          </cell>
          <cell r="P105" t="str">
            <v>IQ251786915</v>
          </cell>
          <cell r="Q105" t="str">
            <v>IQ251728855</v>
          </cell>
          <cell r="R105" t="str">
            <v>IQ127473428</v>
          </cell>
          <cell r="S105" t="str">
            <v>IQ30824044</v>
          </cell>
        </row>
        <row r="106">
          <cell r="I106" t="str">
            <v>Sephora USA, Inc.</v>
          </cell>
          <cell r="O106" t="str">
            <v>IQ34217</v>
          </cell>
        </row>
        <row r="107">
          <cell r="I107" t="str">
            <v>Shoe Carnival Inc.</v>
          </cell>
          <cell r="J107" t="str">
            <v>Shoe Carnival Distribution Center</v>
          </cell>
          <cell r="O107" t="str">
            <v>IQ324135</v>
          </cell>
          <cell r="P107" t="str">
            <v>IQ256475750</v>
          </cell>
        </row>
        <row r="108">
          <cell r="I108" t="str">
            <v>The Sports Authority, Inc.</v>
          </cell>
          <cell r="J108" t="str">
            <v>TSA Stores, Inc.</v>
          </cell>
          <cell r="K108" t="str">
            <v>The Sports Authority Limited</v>
          </cell>
          <cell r="L108" t="str">
            <v>Fw Sports Authority, Inc</v>
          </cell>
          <cell r="M108" t="str">
            <v>The Sports Authority Canada Inc.</v>
          </cell>
          <cell r="O108" t="str">
            <v>IQ28835</v>
          </cell>
          <cell r="P108" t="str">
            <v>IQ34682</v>
          </cell>
          <cell r="Q108" t="str">
            <v>IQ30400858</v>
          </cell>
          <cell r="R108" t="str">
            <v>IQ25221788</v>
          </cell>
          <cell r="S108" t="str">
            <v>IQ4509611</v>
          </cell>
        </row>
        <row r="109">
          <cell r="I109" t="str">
            <v>Toys "R" Us Holdings, Inc.</v>
          </cell>
          <cell r="J109" t="str">
            <v>Toys "R" Us Holdings Limited</v>
          </cell>
          <cell r="O109" t="str">
            <v>IQ32781611</v>
          </cell>
          <cell r="P109" t="str">
            <v>IQ5490247</v>
          </cell>
        </row>
        <row r="110">
          <cell r="I110" t="str">
            <v>The Wet Seal, Inc.</v>
          </cell>
          <cell r="J110" t="str">
            <v>Wet Seal Catalog, Inc</v>
          </cell>
          <cell r="K110" t="str">
            <v>Wet Seal Retail Inc.</v>
          </cell>
          <cell r="O110" t="str">
            <v>IQ315810</v>
          </cell>
          <cell r="P110" t="str">
            <v>IQ26978300</v>
          </cell>
          <cell r="Q110" t="str">
            <v>IQ1051388</v>
          </cell>
        </row>
        <row r="111">
          <cell r="I111" t="str">
            <v>Williams-Sonoma Inc.</v>
          </cell>
          <cell r="J111" t="str">
            <v>Williams-Sonoma Canada, Inc.</v>
          </cell>
          <cell r="K111" t="str">
            <v>Williams Sonoma Direct, Inc.</v>
          </cell>
          <cell r="L111" t="str">
            <v>Pottery Barn, Inc.</v>
          </cell>
          <cell r="M111" t="str">
            <v>Williams-Sonoma Singapore Pte. Ltd.</v>
          </cell>
          <cell r="O111" t="str">
            <v>IQ314400</v>
          </cell>
          <cell r="P111" t="str">
            <v>IQ39219359</v>
          </cell>
          <cell r="Q111" t="str">
            <v>IQ24807042</v>
          </cell>
          <cell r="R111" t="str">
            <v>IQ7902629</v>
          </cell>
          <cell r="S111" t="str">
            <v>IQ234029881</v>
          </cell>
        </row>
        <row r="112">
          <cell r="I112" t="str">
            <v>Yankee Candle Investments LLC</v>
          </cell>
          <cell r="O112" t="str">
            <v>IQ145216743</v>
          </cell>
        </row>
      </sheetData>
      <sheetData sheetId="1">
        <row r="12">
          <cell r="I12" t="str">
            <v>Cook, Timothy</v>
          </cell>
          <cell r="J12" t="str">
            <v>Cook, Timothy</v>
          </cell>
          <cell r="K12" t="str">
            <v>Cook, Tim</v>
          </cell>
          <cell r="L12" t="str">
            <v>Cook, Timothy</v>
          </cell>
          <cell r="O12" t="str">
            <v>IQ169601</v>
          </cell>
          <cell r="P12" t="str">
            <v>IQ140507950</v>
          </cell>
          <cell r="Q12" t="str">
            <v>IQ24933425</v>
          </cell>
          <cell r="R12" t="str">
            <v>IQ24903039</v>
          </cell>
        </row>
        <row r="13">
          <cell r="I13" t="str">
            <v>Gates, William</v>
          </cell>
          <cell r="J13" t="str">
            <v>Gates, William</v>
          </cell>
          <cell r="K13" t="str">
            <v>Gates, William</v>
          </cell>
          <cell r="L13" t="str">
            <v>Gates, Bill</v>
          </cell>
          <cell r="M13" t="str">
            <v>Gates, William</v>
          </cell>
          <cell r="O13" t="str">
            <v>IQ999647</v>
          </cell>
          <cell r="P13" t="str">
            <v>IQ4882076</v>
          </cell>
          <cell r="Q13" t="str">
            <v>IQ13288729</v>
          </cell>
          <cell r="R13" t="str">
            <v>IQ61538995</v>
          </cell>
          <cell r="S13" t="str">
            <v>IQ641637</v>
          </cell>
        </row>
        <row r="14">
          <cell r="I14" t="str">
            <v>McGraw, Harold</v>
          </cell>
          <cell r="J14" t="str">
            <v>McGraw, Terry</v>
          </cell>
          <cell r="K14" t="str">
            <v>McGraw, Douglas</v>
          </cell>
          <cell r="L14" t="str">
            <v>McGraw, Deirdre</v>
          </cell>
          <cell r="O14" t="str">
            <v>IQ181697</v>
          </cell>
          <cell r="P14" t="str">
            <v>IQ53273963</v>
          </cell>
          <cell r="Q14" t="str">
            <v>IQ225414720</v>
          </cell>
          <cell r="R14" t="str">
            <v>IQ32945032</v>
          </cell>
        </row>
        <row r="15">
          <cell r="I15" t="str">
            <v>Dayakar, G.</v>
          </cell>
          <cell r="J15" t="str">
            <v>Dayakar, Talluru</v>
          </cell>
          <cell r="K15" t="str">
            <v>Dayakar, G.</v>
          </cell>
          <cell r="O15" t="str">
            <v>IQ205570894</v>
          </cell>
          <cell r="P15" t="str">
            <v>IQ47584372</v>
          </cell>
          <cell r="Q15" t="str">
            <v>IQ25360032</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mpanies"/>
      <sheetName val="People"/>
    </sheetNames>
    <sheetDataSet>
      <sheetData sheetId="0" refreshError="1"/>
      <sheetData sheetId="1">
        <row r="12">
          <cell r="I12" t="str">
            <v>Google Inc.</v>
          </cell>
        </row>
        <row r="29">
          <cell r="I29" t="str">
            <v>University of Maryland</v>
          </cell>
          <cell r="J29" t="str">
            <v>University Of Maryland Medical System Corporation</v>
          </cell>
          <cell r="K29" t="str">
            <v>University of Maryland School of Medicine</v>
          </cell>
          <cell r="L29" t="str">
            <v>University Of Maryland Medical Center</v>
          </cell>
          <cell r="O29" t="str">
            <v>IQ4036329</v>
          </cell>
          <cell r="P29" t="str">
            <v>IQ4173086</v>
          </cell>
          <cell r="Q29" t="str">
            <v>IQ7618484</v>
          </cell>
          <cell r="R29" t="str">
            <v>IQ22408579</v>
          </cell>
        </row>
        <row r="41">
          <cell r="I41" t="str">
            <v>Alabama A&amp;M University</v>
          </cell>
          <cell r="J41" t="str">
            <v>Alabama A&amp;M University Foundation L.L.C.</v>
          </cell>
          <cell r="O41" t="str">
            <v>IQ4392398</v>
          </cell>
          <cell r="P41" t="str">
            <v>IQ139266990</v>
          </cell>
        </row>
        <row r="42">
          <cell r="I42" t="str">
            <v>University of Alabama at Birmingham</v>
          </cell>
          <cell r="J42" t="str">
            <v>University of Alabama at Birmingham School of Nursing, Endowment Arm</v>
          </cell>
          <cell r="K42" t="str">
            <v>University of Alabama at Birmingham School of Nursing</v>
          </cell>
          <cell r="L42" t="str">
            <v>University of Alabama at Birmingham School of Public Health</v>
          </cell>
          <cell r="M42" t="str">
            <v>UAB Health System</v>
          </cell>
          <cell r="O42" t="str">
            <v>IQ4099750</v>
          </cell>
          <cell r="P42" t="str">
            <v>IQ244948673</v>
          </cell>
          <cell r="Q42" t="str">
            <v>IQ244119105</v>
          </cell>
          <cell r="R42" t="str">
            <v>IQ13334759</v>
          </cell>
          <cell r="S42" t="str">
            <v>IQ12003095</v>
          </cell>
        </row>
        <row r="43">
          <cell r="I43" t="str">
            <v>University Of Alabama</v>
          </cell>
          <cell r="J43" t="str">
            <v>University of Alabama at Birmingham</v>
          </cell>
          <cell r="K43" t="str">
            <v>University of Alabama Hospital</v>
          </cell>
          <cell r="L43" t="str">
            <v>University of Alabama, Huntsville</v>
          </cell>
          <cell r="M43" t="str">
            <v>University of Alabama System, The</v>
          </cell>
          <cell r="O43" t="str">
            <v>IQ4148379</v>
          </cell>
          <cell r="P43" t="str">
            <v>IQ4099750</v>
          </cell>
          <cell r="Q43" t="str">
            <v>IQ138913708</v>
          </cell>
          <cell r="R43" t="str">
            <v>IQ6185876</v>
          </cell>
          <cell r="S43" t="str">
            <v>IQ4422665</v>
          </cell>
        </row>
        <row r="50">
          <cell r="I50" t="str">
            <v>Auburn University</v>
          </cell>
          <cell r="O50" t="str">
            <v>IQ4095445</v>
          </cell>
        </row>
        <row r="54">
          <cell r="I54" t="str">
            <v>Gadsden State Community College</v>
          </cell>
          <cell r="O54" t="str">
            <v>IQ38985258</v>
          </cell>
        </row>
        <row r="113">
          <cell r="I113" t="str">
            <v>Arkansas Tech University</v>
          </cell>
          <cell r="J113" t="str">
            <v>Arkansas Tech University - Ozark Campus</v>
          </cell>
          <cell r="K113" t="str">
            <v>Arkansas Tech University Revenue</v>
          </cell>
          <cell r="O113" t="str">
            <v>IQ6043730</v>
          </cell>
          <cell r="P113" t="str">
            <v>IQ116964867</v>
          </cell>
          <cell r="Q113" t="str">
            <v>IQ57980960</v>
          </cell>
        </row>
        <row r="114">
          <cell r="I114" t="str">
            <v>University of Arkansas at Monticello</v>
          </cell>
          <cell r="O114" t="str">
            <v>IQ39861365</v>
          </cell>
        </row>
        <row r="116">
          <cell r="I116" t="str">
            <v>University of Central Arkansas Foundation, Inc.</v>
          </cell>
          <cell r="J116" t="str">
            <v>University Of Central Arkansas, Endowment Arm</v>
          </cell>
          <cell r="K116" t="str">
            <v>University of Central Arkansas Board of Trustees</v>
          </cell>
          <cell r="O116" t="str">
            <v>IQ252616575</v>
          </cell>
          <cell r="P116" t="str">
            <v>IQ118642492</v>
          </cell>
          <cell r="Q116" t="str">
            <v>IQ58029356</v>
          </cell>
        </row>
        <row r="119">
          <cell r="I119" t="str">
            <v>East Arkansas Community College</v>
          </cell>
          <cell r="O119" t="str">
            <v>IQ36830268</v>
          </cell>
        </row>
        <row r="122">
          <cell r="I122" t="str">
            <v>Henderson State University Federal Credit Union</v>
          </cell>
          <cell r="J122" t="str">
            <v>Henderson State University Arkansas Housing System Revenue</v>
          </cell>
          <cell r="K122" t="str">
            <v>Henderson State University Arkansas Auxillary Enterprises Revenue</v>
          </cell>
          <cell r="O122" t="str">
            <v>IQ128928788</v>
          </cell>
          <cell r="P122" t="str">
            <v>IQ58000069</v>
          </cell>
          <cell r="Q122" t="str">
            <v>IQ58000068</v>
          </cell>
        </row>
        <row r="123">
          <cell r="I123" t="str">
            <v>Mid-South Community College</v>
          </cell>
          <cell r="O123" t="str">
            <v>IQ82515307</v>
          </cell>
        </row>
        <row r="124">
          <cell r="I124" t="str">
            <v>Arkansas Northeastern College</v>
          </cell>
          <cell r="O124" t="str">
            <v>IQ49783771</v>
          </cell>
        </row>
        <row r="125">
          <cell r="I125" t="str">
            <v>North Arkansas College</v>
          </cell>
          <cell r="O125" t="str">
            <v>IQ4492834</v>
          </cell>
        </row>
        <row r="134">
          <cell r="I134" t="str">
            <v>Rich Mountain Community College Board Of Trustees</v>
          </cell>
          <cell r="O134" t="str">
            <v>IQ215623856</v>
          </cell>
        </row>
        <row r="135">
          <cell r="I135" t="str">
            <v>South Arkansas Community College</v>
          </cell>
          <cell r="O135" t="str">
            <v>IQ51860527</v>
          </cell>
        </row>
        <row r="137">
          <cell r="I137" t="str">
            <v>Southern Arkansas University Tech Foundation</v>
          </cell>
          <cell r="O137" t="str">
            <v>IQ146007149</v>
          </cell>
        </row>
        <row r="139">
          <cell r="I139" t="str">
            <v>University of Arkansas - Fort Smith Foundation, Inc.</v>
          </cell>
          <cell r="O139" t="str">
            <v>IQ224426293</v>
          </cell>
        </row>
        <row r="142">
          <cell r="I142" t="str">
            <v>American River College</v>
          </cell>
          <cell r="O142" t="str">
            <v>IQ38445108</v>
          </cell>
        </row>
        <row r="143">
          <cell r="I143" t="str">
            <v>Antelope Valley Community College District</v>
          </cell>
          <cell r="O143" t="str">
            <v>IQ4320033</v>
          </cell>
        </row>
        <row r="144">
          <cell r="I144" t="str">
            <v>Bakersfield College</v>
          </cell>
          <cell r="O144" t="str">
            <v>IQ6536311</v>
          </cell>
        </row>
        <row r="145">
          <cell r="I145" t="str">
            <v>Barstow Community College District</v>
          </cell>
          <cell r="O145" t="str">
            <v>IQ6821121</v>
          </cell>
        </row>
        <row r="147">
          <cell r="I147" t="str">
            <v>Cabrillo College Foundation</v>
          </cell>
          <cell r="O147" t="str">
            <v>IQ146010244</v>
          </cell>
        </row>
        <row r="150">
          <cell r="I150" t="str">
            <v>California State University, Bakersfield</v>
          </cell>
          <cell r="J150" t="str">
            <v>California State University, Bakersfield, Foundation</v>
          </cell>
          <cell r="O150" t="str">
            <v>IQ7700909</v>
          </cell>
          <cell r="P150" t="str">
            <v>IQ143105913</v>
          </cell>
        </row>
        <row r="153">
          <cell r="I153" t="str">
            <v>California State University, San Bernardino</v>
          </cell>
          <cell r="O153" t="str">
            <v>IQ6069087</v>
          </cell>
        </row>
        <row r="154">
          <cell r="I154" t="str">
            <v>California State Polytechnic University Pomona Associated Students, Inc.</v>
          </cell>
          <cell r="J154" t="str">
            <v>California State Polytechnic University, Pomona</v>
          </cell>
          <cell r="K154" t="str">
            <v>Associated Students Incorporated California State Polytechnic University Pomona</v>
          </cell>
          <cell r="O154" t="str">
            <v>IQ226003824</v>
          </cell>
          <cell r="P154" t="str">
            <v>IQ4319300</v>
          </cell>
          <cell r="Q154" t="str">
            <v>IQ254845338</v>
          </cell>
        </row>
        <row r="155">
          <cell r="I155" t="str">
            <v>California State University, Chico</v>
          </cell>
          <cell r="J155" t="str">
            <v>California State University Chico Resh Foundation Revenue</v>
          </cell>
          <cell r="O155" t="str">
            <v>IQ6147896</v>
          </cell>
          <cell r="P155" t="str">
            <v>IQ57985726</v>
          </cell>
        </row>
        <row r="156">
          <cell r="I156" t="str">
            <v>California State University, Dominguez Hills</v>
          </cell>
          <cell r="O156" t="str">
            <v>IQ6068968</v>
          </cell>
        </row>
        <row r="157">
          <cell r="I157" t="str">
            <v>California State University, Fresno</v>
          </cell>
          <cell r="J157" t="str">
            <v>California State University Fresno Athletic Corporation</v>
          </cell>
          <cell r="K157" t="str">
            <v>California State University, Fresno Foundation</v>
          </cell>
          <cell r="O157" t="str">
            <v>IQ6147900</v>
          </cell>
          <cell r="P157" t="str">
            <v>IQ145997535</v>
          </cell>
          <cell r="Q157" t="str">
            <v>IQ6478999</v>
          </cell>
        </row>
        <row r="158">
          <cell r="I158" t="str">
            <v>California State University, Fullerton</v>
          </cell>
          <cell r="J158" t="str">
            <v>California State University Fullerton Foundation</v>
          </cell>
          <cell r="O158" t="str">
            <v>IQ6068991</v>
          </cell>
          <cell r="P158" t="str">
            <v>IQ139605244</v>
          </cell>
        </row>
        <row r="159">
          <cell r="I159" t="str">
            <v>California State University Hayward Foundation</v>
          </cell>
          <cell r="O159" t="str">
            <v>IQ62108483</v>
          </cell>
        </row>
        <row r="160">
          <cell r="I160" t="str">
            <v>California State University, Long Beach</v>
          </cell>
          <cell r="J160" t="str">
            <v>California State University Long Beach Foundation</v>
          </cell>
          <cell r="K160" t="str">
            <v>California State University, Long Beach, College of Engineering</v>
          </cell>
          <cell r="O160" t="str">
            <v>IQ6069002</v>
          </cell>
          <cell r="P160" t="str">
            <v>IQ57985727</v>
          </cell>
          <cell r="Q160" t="str">
            <v>IQ40307478</v>
          </cell>
        </row>
        <row r="162">
          <cell r="I162" t="str">
            <v>The California State University, Northridge Foundation</v>
          </cell>
          <cell r="J162" t="str">
            <v>California State University Northridge Trust Fund</v>
          </cell>
          <cell r="O162" t="str">
            <v>IQ99133274</v>
          </cell>
          <cell r="P162" t="str">
            <v>IQ57985732</v>
          </cell>
        </row>
        <row r="163">
          <cell r="I163" t="str">
            <v>California State University, Sacramento</v>
          </cell>
          <cell r="O163" t="str">
            <v>IQ6069058</v>
          </cell>
        </row>
        <row r="164">
          <cell r="I164" t="str">
            <v>University of California-Los Angeles</v>
          </cell>
          <cell r="J164" t="str">
            <v>University of California, Los Angeles, School of Medicine</v>
          </cell>
          <cell r="O164" t="str">
            <v>IQ3759099</v>
          </cell>
          <cell r="P164" t="str">
            <v>IQ31312114</v>
          </cell>
        </row>
        <row r="165">
          <cell r="I165" t="str">
            <v>University Of California Riverside Ext</v>
          </cell>
          <cell r="J165" t="str">
            <v>University of California, Riverside</v>
          </cell>
          <cell r="O165" t="str">
            <v>IQ116643046</v>
          </cell>
          <cell r="P165" t="str">
            <v>IQ6188386</v>
          </cell>
        </row>
        <row r="166">
          <cell r="I166" t="str">
            <v>University of California - San Diego</v>
          </cell>
          <cell r="O166" t="str">
            <v>IQ4085823</v>
          </cell>
        </row>
        <row r="167">
          <cell r="I167" t="str">
            <v>University of California-San Francisco</v>
          </cell>
          <cell r="J167" t="str">
            <v>University of California San Francisco Medical Center</v>
          </cell>
          <cell r="O167" t="str">
            <v>IQ3768647</v>
          </cell>
          <cell r="P167" t="str">
            <v>IQ7690076</v>
          </cell>
        </row>
        <row r="168">
          <cell r="I168" t="str">
            <v>University of California, Santa Cruz</v>
          </cell>
          <cell r="O168" t="str">
            <v>IQ6185968</v>
          </cell>
        </row>
        <row r="169">
          <cell r="I169" t="str">
            <v>California Maritime Academy</v>
          </cell>
          <cell r="J169" t="str">
            <v>California Maritime Academy Foundation, Inc.</v>
          </cell>
          <cell r="O169" t="str">
            <v>IQ22391007</v>
          </cell>
          <cell r="P169" t="str">
            <v>IQ252126110</v>
          </cell>
        </row>
        <row r="170">
          <cell r="I170" t="str">
            <v>Career Development Institutes Ltd.</v>
          </cell>
          <cell r="O170" t="str">
            <v>IQ4947355</v>
          </cell>
        </row>
        <row r="172">
          <cell r="I172" t="str">
            <v>Cerritos College</v>
          </cell>
          <cell r="O172" t="str">
            <v>IQ6149872</v>
          </cell>
        </row>
        <row r="173">
          <cell r="I173" t="str">
            <v>Cerro Coso Community College</v>
          </cell>
          <cell r="O173" t="str">
            <v>IQ27974918</v>
          </cell>
        </row>
        <row r="174">
          <cell r="I174" t="str">
            <v>Chabot College</v>
          </cell>
          <cell r="O174" t="str">
            <v>IQ38783291</v>
          </cell>
        </row>
        <row r="175">
          <cell r="I175" t="str">
            <v>Chaffey College</v>
          </cell>
          <cell r="O175" t="str">
            <v>IQ11612587</v>
          </cell>
        </row>
        <row r="176">
          <cell r="I176" t="str">
            <v>Citrus College</v>
          </cell>
          <cell r="O176" t="str">
            <v>IQ24950850</v>
          </cell>
        </row>
        <row r="181">
          <cell r="I181" t="str">
            <v>Columbia College</v>
          </cell>
          <cell r="J181" t="str">
            <v>Columbia College</v>
          </cell>
          <cell r="K181" t="str">
            <v>Columbia College</v>
          </cell>
          <cell r="L181" t="str">
            <v>Columbia College, Missouri</v>
          </cell>
          <cell r="M181" t="str">
            <v>Columbia College</v>
          </cell>
          <cell r="O181" t="str">
            <v>IQ4270039</v>
          </cell>
          <cell r="P181" t="str">
            <v>IQ113735496</v>
          </cell>
          <cell r="Q181" t="str">
            <v>IQ6648031</v>
          </cell>
          <cell r="R181" t="str">
            <v>IQ38622686</v>
          </cell>
          <cell r="S181" t="str">
            <v>IQ158405090</v>
          </cell>
        </row>
        <row r="182">
          <cell r="I182" t="str">
            <v>El Camino College Compton Center</v>
          </cell>
          <cell r="O182" t="str">
            <v>IQ222845280</v>
          </cell>
        </row>
        <row r="186">
          <cell r="I186" t="str">
            <v>Crafton Hills College</v>
          </cell>
          <cell r="O186" t="str">
            <v>IQ40331923</v>
          </cell>
        </row>
        <row r="187">
          <cell r="I187" t="str">
            <v>Cuesta College</v>
          </cell>
          <cell r="O187" t="str">
            <v>IQ216993864</v>
          </cell>
        </row>
        <row r="188">
          <cell r="I188" t="str">
            <v>Cuyamaca College</v>
          </cell>
          <cell r="O188" t="str">
            <v>IQ31272047</v>
          </cell>
        </row>
        <row r="189">
          <cell r="I189" t="str">
            <v>Cypress College</v>
          </cell>
          <cell r="O189" t="str">
            <v>IQ130334811</v>
          </cell>
        </row>
        <row r="190">
          <cell r="I190" t="str">
            <v>De Anza College</v>
          </cell>
          <cell r="O190" t="str">
            <v>IQ13064173</v>
          </cell>
        </row>
        <row r="192">
          <cell r="I192" t="str">
            <v>Diablo Valley College</v>
          </cell>
          <cell r="O192" t="str">
            <v>IQ6161245</v>
          </cell>
        </row>
        <row r="193">
          <cell r="I193" t="str">
            <v>East Los Angeles College</v>
          </cell>
          <cell r="O193" t="str">
            <v>IQ32561956</v>
          </cell>
        </row>
        <row r="194">
          <cell r="I194" t="str">
            <v>El Camino California Community College District</v>
          </cell>
          <cell r="O194" t="str">
            <v>IQ57993523</v>
          </cell>
        </row>
        <row r="195">
          <cell r="I195" t="str">
            <v>Evergreen Valley College San Jose</v>
          </cell>
          <cell r="O195" t="str">
            <v>IQ31288206</v>
          </cell>
        </row>
        <row r="196">
          <cell r="I196" t="str">
            <v>Feather River Community College District</v>
          </cell>
          <cell r="O196" t="str">
            <v>IQ30968734</v>
          </cell>
        </row>
        <row r="197">
          <cell r="I197" t="str">
            <v>Foothill College</v>
          </cell>
          <cell r="O197" t="str">
            <v>IQ6161822</v>
          </cell>
        </row>
        <row r="198">
          <cell r="I198" t="str">
            <v>Fresno City College</v>
          </cell>
          <cell r="O198" t="str">
            <v>IQ31273006</v>
          </cell>
        </row>
        <row r="199">
          <cell r="I199" t="str">
            <v>Foothill-De Anza Community College District</v>
          </cell>
          <cell r="J199" t="str">
            <v>Foothill-De Anza Community College District Financing Corporation</v>
          </cell>
          <cell r="K199" t="str">
            <v>Foothill-De Anza California Community College District</v>
          </cell>
          <cell r="O199" t="str">
            <v>IQ4248048</v>
          </cell>
          <cell r="P199" t="str">
            <v>IQ241387148</v>
          </cell>
          <cell r="Q199" t="str">
            <v>IQ57995400</v>
          </cell>
        </row>
        <row r="200">
          <cell r="I200" t="str">
            <v>Fullerton College</v>
          </cell>
          <cell r="O200" t="str">
            <v>IQ6161858</v>
          </cell>
        </row>
        <row r="202">
          <cell r="I202" t="str">
            <v>Glendale &amp; Glendale Community College District Joint Parking Authority</v>
          </cell>
          <cell r="J202" t="str">
            <v>Glendale Community College District, Los Angeles County, California</v>
          </cell>
          <cell r="O202" t="str">
            <v>IQ139064007</v>
          </cell>
          <cell r="P202" t="str">
            <v>IQ183588567</v>
          </cell>
        </row>
        <row r="203">
          <cell r="I203" t="str">
            <v>Golden West College - Huntington Beach - California</v>
          </cell>
          <cell r="O203" t="str">
            <v>IQ7740997</v>
          </cell>
        </row>
        <row r="204">
          <cell r="I204" t="str">
            <v>Grossmont-Cuyamaca Community College District</v>
          </cell>
          <cell r="O204" t="str">
            <v>IQ4275594</v>
          </cell>
        </row>
        <row r="205">
          <cell r="I205" t="str">
            <v>Grossmont College</v>
          </cell>
          <cell r="O205" t="str">
            <v>IQ20596468</v>
          </cell>
        </row>
        <row r="206">
          <cell r="I206" t="str">
            <v>Hartnell College</v>
          </cell>
          <cell r="O206" t="str">
            <v>IQ30762499</v>
          </cell>
        </row>
        <row r="207">
          <cell r="I207" t="str">
            <v>Humboldt State University</v>
          </cell>
          <cell r="J207" t="str">
            <v>Humboldt State University Sponsored Programs Foundation</v>
          </cell>
          <cell r="K207" t="str">
            <v>Humboldt State University Center Board Of Directors</v>
          </cell>
          <cell r="O207" t="str">
            <v>IQ6097215</v>
          </cell>
          <cell r="P207" t="str">
            <v>IQ118600223</v>
          </cell>
          <cell r="Q207" t="str">
            <v>IQ4579550</v>
          </cell>
        </row>
        <row r="209">
          <cell r="I209" t="str">
            <v>Irvine Valley College</v>
          </cell>
          <cell r="O209" t="str">
            <v>IQ251732346</v>
          </cell>
        </row>
        <row r="211">
          <cell r="I211" t="str">
            <v>Lake Tahoe Community College</v>
          </cell>
          <cell r="J211" t="str">
            <v>Lake Tahoe Community College District</v>
          </cell>
          <cell r="O211" t="str">
            <v>IQ40177864</v>
          </cell>
          <cell r="P211" t="str">
            <v>IQ139260895</v>
          </cell>
        </row>
        <row r="212">
          <cell r="I212" t="str">
            <v>Laney College</v>
          </cell>
          <cell r="O212" t="str">
            <v>IQ40525994</v>
          </cell>
        </row>
        <row r="213">
          <cell r="I213" t="str">
            <v>Lassen Community College District</v>
          </cell>
          <cell r="O213" t="str">
            <v>IQ6711279</v>
          </cell>
        </row>
        <row r="214">
          <cell r="I214" t="str">
            <v>Long Beach City College</v>
          </cell>
          <cell r="O214" t="str">
            <v>IQ31229707</v>
          </cell>
        </row>
        <row r="216">
          <cell r="I216" t="str">
            <v>Los Angeles Harbor College</v>
          </cell>
          <cell r="O216" t="str">
            <v>IQ38968782</v>
          </cell>
        </row>
        <row r="220">
          <cell r="I220" t="str">
            <v>Los Angeles Valley College</v>
          </cell>
          <cell r="O220" t="str">
            <v>IQ13223430</v>
          </cell>
        </row>
        <row r="221">
          <cell r="I221" t="str">
            <v>Los Angeles City College</v>
          </cell>
          <cell r="O221" t="str">
            <v>IQ13334943</v>
          </cell>
        </row>
        <row r="224">
          <cell r="I224" t="str">
            <v>Los Medanos College</v>
          </cell>
          <cell r="O224" t="str">
            <v>IQ172029292</v>
          </cell>
        </row>
        <row r="227">
          <cell r="I227" t="str">
            <v>Mendocino College</v>
          </cell>
          <cell r="O227" t="str">
            <v>IQ38020942</v>
          </cell>
        </row>
        <row r="230">
          <cell r="I230" t="str">
            <v>Miracosta College</v>
          </cell>
          <cell r="O230" t="str">
            <v>IQ4306519</v>
          </cell>
        </row>
        <row r="231">
          <cell r="I231" t="str">
            <v>Mission College Investments Ltd.</v>
          </cell>
          <cell r="O231" t="str">
            <v>IQ34928925</v>
          </cell>
        </row>
        <row r="232">
          <cell r="I232" t="str">
            <v>Modesto Junior College</v>
          </cell>
          <cell r="O232" t="str">
            <v>IQ40379935</v>
          </cell>
        </row>
        <row r="233">
          <cell r="I233" t="str">
            <v>Monterey Peninsula College</v>
          </cell>
          <cell r="J233" t="str">
            <v>Monterey Peninsula College</v>
          </cell>
          <cell r="O233" t="str">
            <v>IQ13237035</v>
          </cell>
          <cell r="P233" t="str">
            <v>IQ6528441</v>
          </cell>
        </row>
        <row r="234">
          <cell r="I234" t="str">
            <v>Moorpark College</v>
          </cell>
          <cell r="O234" t="str">
            <v>IQ6181211</v>
          </cell>
        </row>
        <row r="235">
          <cell r="I235" t="str">
            <v>Mt San Antonio College</v>
          </cell>
          <cell r="O235" t="str">
            <v>IQ20596782</v>
          </cell>
        </row>
        <row r="237">
          <cell r="I237" t="str">
            <v>Napa Valley College</v>
          </cell>
          <cell r="O237" t="str">
            <v>IQ105772485</v>
          </cell>
        </row>
        <row r="239">
          <cell r="I239" t="str">
            <v>Ohlone College</v>
          </cell>
          <cell r="O239" t="str">
            <v>IQ26793985</v>
          </cell>
        </row>
        <row r="240">
          <cell r="I240" t="str">
            <v>Orange Coast College</v>
          </cell>
          <cell r="O240" t="str">
            <v>IQ6182677</v>
          </cell>
        </row>
        <row r="241">
          <cell r="I241" t="str">
            <v>Oxnard College</v>
          </cell>
          <cell r="O241" t="str">
            <v>IQ6753333</v>
          </cell>
        </row>
        <row r="242">
          <cell r="I242" t="str">
            <v>Palo Verde College</v>
          </cell>
          <cell r="O242" t="str">
            <v>IQ38026270</v>
          </cell>
        </row>
        <row r="243">
          <cell r="I243" t="str">
            <v>Palomar College</v>
          </cell>
          <cell r="O243" t="str">
            <v>IQ7618111</v>
          </cell>
        </row>
        <row r="244">
          <cell r="I244" t="str">
            <v>Pasadena City College</v>
          </cell>
          <cell r="O244" t="str">
            <v>IQ6182854</v>
          </cell>
        </row>
        <row r="246">
          <cell r="I246" t="str">
            <v>Porterville College</v>
          </cell>
          <cell r="O246" t="str">
            <v>IQ30611978</v>
          </cell>
        </row>
        <row r="249">
          <cell r="I249" t="str">
            <v>Rio Hondo College Foundation</v>
          </cell>
          <cell r="O249" t="str">
            <v>IQ105926751</v>
          </cell>
        </row>
        <row r="251">
          <cell r="I251" t="str">
            <v>Sacramento City College</v>
          </cell>
          <cell r="O251" t="str">
            <v>IQ7742203</v>
          </cell>
        </row>
        <row r="252">
          <cell r="I252" t="str">
            <v>Saddleback College</v>
          </cell>
          <cell r="O252" t="str">
            <v>IQ117850460</v>
          </cell>
        </row>
        <row r="254">
          <cell r="I254" t="str">
            <v>San Diego City College</v>
          </cell>
          <cell r="O254" t="str">
            <v>IQ26144929</v>
          </cell>
        </row>
        <row r="255">
          <cell r="I255" t="str">
            <v>San Diego Mesa College</v>
          </cell>
          <cell r="O255" t="str">
            <v>IQ40329884</v>
          </cell>
        </row>
        <row r="256">
          <cell r="I256" t="str">
            <v>Miramar College</v>
          </cell>
          <cell r="O256" t="str">
            <v>IQ37791572</v>
          </cell>
        </row>
        <row r="257">
          <cell r="I257" t="str">
            <v>San Diego State University</v>
          </cell>
          <cell r="J257" t="str">
            <v>San Diego State University Foundation</v>
          </cell>
          <cell r="K257" t="str">
            <v>San Diego State University School of Business</v>
          </cell>
          <cell r="O257" t="str">
            <v>IQ4369906</v>
          </cell>
          <cell r="P257" t="str">
            <v>IQ58022643</v>
          </cell>
          <cell r="Q257" t="str">
            <v>IQ7708682</v>
          </cell>
        </row>
        <row r="258">
          <cell r="I258" t="str">
            <v>San Francisco State University</v>
          </cell>
          <cell r="J258" t="str">
            <v>San Francisco State University Foundation Inc, California</v>
          </cell>
          <cell r="K258" t="str">
            <v>San Francisco State University California Revenue</v>
          </cell>
          <cell r="O258" t="str">
            <v>IQ31095937</v>
          </cell>
          <cell r="P258" t="str">
            <v>IQ58022705</v>
          </cell>
          <cell r="Q258" t="str">
            <v>IQ58022704</v>
          </cell>
        </row>
        <row r="259">
          <cell r="I259" t="str">
            <v>San Joaquin Delta College</v>
          </cell>
          <cell r="O259" t="str">
            <v>IQ38573822</v>
          </cell>
        </row>
        <row r="260">
          <cell r="I260" t="str">
            <v>San Jose Evergreen California Community College District</v>
          </cell>
          <cell r="O260" t="str">
            <v>IQ58022755</v>
          </cell>
        </row>
        <row r="261">
          <cell r="I261" t="str">
            <v>San Jose City College</v>
          </cell>
          <cell r="O261" t="str">
            <v>IQ7618190</v>
          </cell>
        </row>
        <row r="262">
          <cell r="I262" t="str">
            <v>San Jose State University</v>
          </cell>
          <cell r="O262" t="str">
            <v>IQ6183566</v>
          </cell>
        </row>
        <row r="265">
          <cell r="I265" t="str">
            <v>Santa Barbara City College</v>
          </cell>
          <cell r="J265" t="str">
            <v>Foundation For Santa Barbara City College</v>
          </cell>
          <cell r="O265" t="str">
            <v>IQ31269933</v>
          </cell>
          <cell r="P265" t="str">
            <v>IQ232496827</v>
          </cell>
        </row>
        <row r="266">
          <cell r="I266" t="str">
            <v>Santa Monica College</v>
          </cell>
          <cell r="J266" t="str">
            <v>Santa Monica College Foundation, The</v>
          </cell>
          <cell r="K266" t="str">
            <v>Santa Monica College Bookstore</v>
          </cell>
          <cell r="O266" t="str">
            <v>IQ129928607</v>
          </cell>
          <cell r="P266" t="str">
            <v>IQ146007135</v>
          </cell>
          <cell r="Q266" t="str">
            <v>IQ116655251</v>
          </cell>
        </row>
        <row r="267">
          <cell r="I267" t="str">
            <v>Santa Rosa Junior College</v>
          </cell>
          <cell r="O267" t="str">
            <v>IQ13227691</v>
          </cell>
        </row>
        <row r="270">
          <cell r="I270" t="str">
            <v>Sierra College Rocklin</v>
          </cell>
          <cell r="O270" t="str">
            <v>IQ38558190</v>
          </cell>
        </row>
        <row r="273">
          <cell r="I273" t="str">
            <v>Skyline College</v>
          </cell>
          <cell r="O273" t="str">
            <v>IQ6183970</v>
          </cell>
        </row>
        <row r="274">
          <cell r="I274" t="str">
            <v>San Bernardino Valley College</v>
          </cell>
          <cell r="O274" t="str">
            <v>IQ7618185</v>
          </cell>
        </row>
        <row r="275">
          <cell r="I275" t="str">
            <v>Solano Community College District</v>
          </cell>
          <cell r="J275" t="str">
            <v>Solano Community College District</v>
          </cell>
          <cell r="O275" t="str">
            <v>IQ6515883</v>
          </cell>
          <cell r="P275" t="str">
            <v>IQ252332316</v>
          </cell>
        </row>
        <row r="276">
          <cell r="I276" t="str">
            <v>Sonoma State University</v>
          </cell>
          <cell r="J276" t="str">
            <v>Sonoma State University Academic Foundation</v>
          </cell>
          <cell r="O276" t="str">
            <v>IQ6183974</v>
          </cell>
          <cell r="P276" t="str">
            <v>IQ252441702</v>
          </cell>
        </row>
        <row r="277">
          <cell r="I277" t="str">
            <v>Southwestern College</v>
          </cell>
          <cell r="J277" t="str">
            <v>Southwestern College Campus Store</v>
          </cell>
          <cell r="K277" t="str">
            <v>Southwestern College</v>
          </cell>
          <cell r="L277" t="str">
            <v>Southwestern College</v>
          </cell>
          <cell r="M277" t="str">
            <v>Lincoln College of Technology</v>
          </cell>
          <cell r="O277" t="str">
            <v>IQ4580881</v>
          </cell>
          <cell r="P277" t="str">
            <v>IQ289666396</v>
          </cell>
          <cell r="Q277" t="str">
            <v>IQ114075602</v>
          </cell>
          <cell r="R277" t="str">
            <v>IQ39862360</v>
          </cell>
          <cell r="S277" t="str">
            <v>IQ25330079</v>
          </cell>
        </row>
        <row r="278">
          <cell r="I278" t="str">
            <v>State Center Community College District</v>
          </cell>
          <cell r="O278" t="str">
            <v>IQ4258854</v>
          </cell>
        </row>
        <row r="282">
          <cell r="I282" t="str">
            <v>Ventura College</v>
          </cell>
          <cell r="J282" t="str">
            <v>Ventura College of Law</v>
          </cell>
          <cell r="O282" t="str">
            <v>IQ6206397</v>
          </cell>
          <cell r="P282" t="str">
            <v>IQ7618559</v>
          </cell>
        </row>
        <row r="287">
          <cell r="I287" t="str">
            <v>West Los Angeles College</v>
          </cell>
          <cell r="O287" t="str">
            <v>IQ20596079</v>
          </cell>
        </row>
        <row r="290">
          <cell r="I290" t="str">
            <v>Adams State University Board of Trustees</v>
          </cell>
          <cell r="O290" t="str">
            <v>IQ57979507</v>
          </cell>
        </row>
        <row r="291">
          <cell r="I291" t="str">
            <v>Aims Community College</v>
          </cell>
          <cell r="O291" t="str">
            <v>IQ171233174</v>
          </cell>
        </row>
        <row r="292">
          <cell r="I292" t="str">
            <v>Arapahoe Community College</v>
          </cell>
          <cell r="O292" t="str">
            <v>IQ30561422</v>
          </cell>
        </row>
        <row r="293">
          <cell r="I293" t="str">
            <v>University of Colorado Denver</v>
          </cell>
          <cell r="J293" t="str">
            <v>College of Liberal Arts &amp; Sciences, University of Colorado Denver</v>
          </cell>
          <cell r="O293" t="str">
            <v>IQ6188567</v>
          </cell>
          <cell r="P293" t="str">
            <v>IQ46856107</v>
          </cell>
        </row>
        <row r="294">
          <cell r="I294" t="str">
            <v>University of Colorado Colorado Springs</v>
          </cell>
          <cell r="O294" t="str">
            <v>IQ20596368</v>
          </cell>
        </row>
        <row r="295">
          <cell r="I295" t="str">
            <v>Aba School Of Bank Marketing And Management</v>
          </cell>
          <cell r="O295" t="str">
            <v>IQ40174929</v>
          </cell>
        </row>
        <row r="296">
          <cell r="I296" t="str">
            <v>Colorado Mountain College</v>
          </cell>
          <cell r="O296" t="str">
            <v>IQ4323221</v>
          </cell>
        </row>
        <row r="298">
          <cell r="I298" t="str">
            <v>Colorado School of Mines</v>
          </cell>
          <cell r="O298" t="str">
            <v>IQ4234138</v>
          </cell>
        </row>
        <row r="304">
          <cell r="I304" t="str">
            <v>Fort Lewis College</v>
          </cell>
          <cell r="O304" t="str">
            <v>IQ4399507</v>
          </cell>
        </row>
        <row r="305">
          <cell r="I305" t="str">
            <v>Front Range Community College</v>
          </cell>
          <cell r="O305" t="str">
            <v>IQ30686373</v>
          </cell>
        </row>
        <row r="307">
          <cell r="I307" t="str">
            <v>Mesa State College</v>
          </cell>
          <cell r="O307" t="str">
            <v>IQ4424407</v>
          </cell>
        </row>
        <row r="309">
          <cell r="I309" t="str">
            <v>Morgan Community College</v>
          </cell>
          <cell r="O309" t="str">
            <v>IQ51809517</v>
          </cell>
        </row>
        <row r="310">
          <cell r="I310" t="str">
            <v>Northeastern Junior College</v>
          </cell>
          <cell r="O310" t="str">
            <v>IQ51822947</v>
          </cell>
        </row>
        <row r="311">
          <cell r="I311" t="str">
            <v>University of Northern Colorado</v>
          </cell>
          <cell r="J311" t="str">
            <v>University of Northern Colorado Foundation, Inc.</v>
          </cell>
          <cell r="K311" t="str">
            <v>University of Northern Colorado Board of Trustees</v>
          </cell>
          <cell r="O311" t="str">
            <v>IQ4249904</v>
          </cell>
          <cell r="P311" t="str">
            <v>IQ139015905</v>
          </cell>
          <cell r="Q311" t="str">
            <v>IQ133672929</v>
          </cell>
        </row>
        <row r="313">
          <cell r="I313" t="str">
            <v>Pikes Peak Community College</v>
          </cell>
          <cell r="O313" t="str">
            <v>IQ4319905</v>
          </cell>
        </row>
        <row r="314">
          <cell r="I314" t="str">
            <v>Pueblo Community College</v>
          </cell>
          <cell r="O314" t="str">
            <v>IQ51810784</v>
          </cell>
        </row>
        <row r="315">
          <cell r="I315" t="str">
            <v>Red Rocks Community College &amp; Pueblo Community College</v>
          </cell>
          <cell r="J315" t="str">
            <v>Red Rocks Community College</v>
          </cell>
          <cell r="O315" t="str">
            <v>IQ142028177</v>
          </cell>
          <cell r="P315" t="str">
            <v>IQ51811072</v>
          </cell>
        </row>
        <row r="316">
          <cell r="I316" t="str">
            <v>Colorado State University-Pueblo Foundation</v>
          </cell>
          <cell r="O316" t="str">
            <v>IQ224449494</v>
          </cell>
        </row>
        <row r="318">
          <cell r="I318" t="str">
            <v>Trinidad State Junior College</v>
          </cell>
          <cell r="J318" t="str">
            <v>Trinidad State Junior College District, Colorado</v>
          </cell>
          <cell r="O318" t="str">
            <v>IQ31209496</v>
          </cell>
          <cell r="P318" t="str">
            <v>IQ183637993</v>
          </cell>
        </row>
        <row r="320">
          <cell r="I320" t="str">
            <v>U.S. Air Force Academy</v>
          </cell>
          <cell r="J320" t="str">
            <v>Association Of Graduates Of The United States Air Force Academy</v>
          </cell>
          <cell r="O320" t="str">
            <v>IQ5523559</v>
          </cell>
          <cell r="P320" t="str">
            <v>IQ49791930</v>
          </cell>
        </row>
        <row r="323">
          <cell r="I323" t="str">
            <v>Central Connecticut State University</v>
          </cell>
          <cell r="O323" t="str">
            <v>IQ6149855</v>
          </cell>
        </row>
        <row r="324">
          <cell r="I324" t="str">
            <v>Charter Oak State College</v>
          </cell>
          <cell r="O324" t="str">
            <v>IQ6158855</v>
          </cell>
        </row>
        <row r="325">
          <cell r="I325" t="str">
            <v>Eastern Connecticut State University</v>
          </cell>
          <cell r="O325" t="str">
            <v>IQ6161319</v>
          </cell>
        </row>
        <row r="327">
          <cell r="I327" t="str">
            <v>Housatonic Community College</v>
          </cell>
          <cell r="J327" t="str">
            <v>Housatonic Community College Foundation, Inc.</v>
          </cell>
          <cell r="O327" t="str">
            <v>IQ40273982</v>
          </cell>
          <cell r="P327" t="str">
            <v>IQ268771071</v>
          </cell>
        </row>
        <row r="328">
          <cell r="I328" t="str">
            <v>Manchester Community College</v>
          </cell>
          <cell r="O328" t="str">
            <v>IQ38721698</v>
          </cell>
        </row>
        <row r="329">
          <cell r="I329" t="str">
            <v>Naugatuck Valley Community College</v>
          </cell>
          <cell r="O329" t="str">
            <v>IQ31339981</v>
          </cell>
        </row>
        <row r="330">
          <cell r="I330" t="str">
            <v>Middlesex Community College</v>
          </cell>
          <cell r="O330" t="str">
            <v>IQ4560500</v>
          </cell>
        </row>
        <row r="331">
          <cell r="I331" t="str">
            <v>Three Rivers Community College</v>
          </cell>
          <cell r="J331" t="str">
            <v>Three Rivers Community College District</v>
          </cell>
          <cell r="O331" t="str">
            <v>IQ20701446</v>
          </cell>
          <cell r="P331" t="str">
            <v>IQ216320439</v>
          </cell>
        </row>
        <row r="332">
          <cell r="I332" t="str">
            <v>Norwalk Community College</v>
          </cell>
          <cell r="J332" t="str">
            <v>Norwalk Community College Foundation</v>
          </cell>
          <cell r="O332" t="str">
            <v>IQ37849762</v>
          </cell>
          <cell r="P332" t="str">
            <v>IQ11075252</v>
          </cell>
        </row>
        <row r="333">
          <cell r="I333" t="str">
            <v>Northwestern Connecticut Community College</v>
          </cell>
          <cell r="O333" t="str">
            <v>IQ40402657</v>
          </cell>
        </row>
        <row r="334">
          <cell r="I334" t="str">
            <v>Quinebaug Valley Community College</v>
          </cell>
          <cell r="O334" t="str">
            <v>IQ38444934</v>
          </cell>
        </row>
        <row r="335">
          <cell r="I335" t="str">
            <v>GateWay Community College</v>
          </cell>
          <cell r="O335" t="str">
            <v>IQ6161863</v>
          </cell>
        </row>
        <row r="336">
          <cell r="I336" t="str">
            <v>Southern Connecticut State University</v>
          </cell>
          <cell r="O336" t="str">
            <v>IQ6184096</v>
          </cell>
        </row>
        <row r="337">
          <cell r="I337" t="str">
            <v>Tunxis Community College</v>
          </cell>
          <cell r="O337" t="str">
            <v>IQ38721744</v>
          </cell>
        </row>
        <row r="338">
          <cell r="I338" t="str">
            <v>U.S. Coast Guard Academy</v>
          </cell>
          <cell r="O338" t="str">
            <v>IQ6184896</v>
          </cell>
        </row>
        <row r="339">
          <cell r="I339" t="str">
            <v>Western Connecticut State University</v>
          </cell>
          <cell r="O339" t="str">
            <v>IQ6206626</v>
          </cell>
        </row>
        <row r="344">
          <cell r="I344" t="str">
            <v>Delaware State University</v>
          </cell>
          <cell r="J344" t="str">
            <v>Delaware State University Foundation, Inc.</v>
          </cell>
          <cell r="O344" t="str">
            <v>IQ4404124</v>
          </cell>
          <cell r="P344" t="str">
            <v>IQ271872094</v>
          </cell>
        </row>
        <row r="345">
          <cell r="I345" t="str">
            <v>University Of The District Of Columbia</v>
          </cell>
          <cell r="O345" t="str">
            <v>IQ4289339</v>
          </cell>
        </row>
        <row r="349">
          <cell r="I349" t="str">
            <v>Broward College Foundation, Inc.</v>
          </cell>
          <cell r="O349" t="str">
            <v>IQ146007380</v>
          </cell>
        </row>
        <row r="351">
          <cell r="I351" t="str">
            <v>University of Central Florida</v>
          </cell>
          <cell r="O351" t="str">
            <v>IQ4205219</v>
          </cell>
        </row>
        <row r="353">
          <cell r="I353" t="str">
            <v>Chipola College</v>
          </cell>
          <cell r="O353" t="str">
            <v>IQ145355343</v>
          </cell>
        </row>
        <row r="355">
          <cell r="I355" t="str">
            <v>Daytona State College</v>
          </cell>
          <cell r="O355" t="str">
            <v>IQ6687820</v>
          </cell>
        </row>
        <row r="356">
          <cell r="I356" t="str">
            <v>Edison State College Financing Corporation</v>
          </cell>
          <cell r="O356" t="str">
            <v>IQ248500759</v>
          </cell>
        </row>
        <row r="357">
          <cell r="I357" t="str">
            <v>Florida A &amp; M University</v>
          </cell>
          <cell r="O357" t="str">
            <v>IQ4237065</v>
          </cell>
        </row>
        <row r="358">
          <cell r="I358" t="str">
            <v>Florida Atlantic University</v>
          </cell>
          <cell r="J358" t="str">
            <v>Florida Atlantic University Foundation, Inc.</v>
          </cell>
          <cell r="K358" t="str">
            <v>The Florida Atlantic University  Finance  Corporation</v>
          </cell>
          <cell r="L358" t="str">
            <v>Florida Atlantic University - College of Business</v>
          </cell>
          <cell r="M358" t="str">
            <v>Florida Atlantic University Graduate School</v>
          </cell>
          <cell r="O358" t="str">
            <v>IQ4222344</v>
          </cell>
          <cell r="P358" t="str">
            <v>IQ143166453</v>
          </cell>
          <cell r="Q358" t="str">
            <v>IQ141351298</v>
          </cell>
          <cell r="R358" t="str">
            <v>IQ130401772</v>
          </cell>
          <cell r="S358" t="str">
            <v>IQ20585971</v>
          </cell>
        </row>
        <row r="360">
          <cell r="I360" t="str">
            <v>Florida International University</v>
          </cell>
          <cell r="O360" t="str">
            <v>IQ4217125</v>
          </cell>
        </row>
        <row r="361">
          <cell r="I361" t="str">
            <v>Florida Keys Community College</v>
          </cell>
          <cell r="O361" t="str">
            <v>IQ58860041</v>
          </cell>
        </row>
        <row r="362">
          <cell r="I362" t="str">
            <v>Florida State University</v>
          </cell>
          <cell r="J362" t="str">
            <v>Florida State University Financial Assistance, Inc.</v>
          </cell>
          <cell r="O362" t="str">
            <v>IQ4002828</v>
          </cell>
          <cell r="P362" t="str">
            <v>IQ141114112</v>
          </cell>
        </row>
        <row r="365">
          <cell r="I365" t="str">
            <v>Gulf Coast State College</v>
          </cell>
          <cell r="O365" t="str">
            <v>IQ4367802</v>
          </cell>
        </row>
        <row r="366">
          <cell r="I366" t="str">
            <v>Hillsborough Community College Inc</v>
          </cell>
          <cell r="J366" t="str">
            <v>Hillsborough Community College Foundation Inc</v>
          </cell>
          <cell r="K366" t="str">
            <v>Hillsborough Community College Foundation Inc Florida Student</v>
          </cell>
          <cell r="O366" t="str">
            <v>IQ4274336</v>
          </cell>
          <cell r="P366" t="str">
            <v>IQ240768332</v>
          </cell>
          <cell r="Q366" t="str">
            <v>IQ58000531</v>
          </cell>
        </row>
        <row r="367">
          <cell r="I367" t="str">
            <v>Indian River State College Fdn Inc</v>
          </cell>
          <cell r="O367" t="str">
            <v>IQ142962798</v>
          </cell>
        </row>
        <row r="368">
          <cell r="I368" t="str">
            <v>Florida Gateway College</v>
          </cell>
          <cell r="O368" t="str">
            <v>IQ4490044</v>
          </cell>
        </row>
        <row r="378">
          <cell r="I378" t="str">
            <v>Miami Dade College</v>
          </cell>
          <cell r="J378" t="str">
            <v>Miami Dade College Foundation, Inc</v>
          </cell>
          <cell r="O378" t="str">
            <v>IQ4203445</v>
          </cell>
          <cell r="P378" t="str">
            <v>IQ246310030</v>
          </cell>
        </row>
        <row r="380">
          <cell r="I380" t="str">
            <v>North Florida Community College</v>
          </cell>
          <cell r="O380" t="str">
            <v>IQ116655206</v>
          </cell>
        </row>
        <row r="381">
          <cell r="I381" t="str">
            <v>University of North Florida</v>
          </cell>
          <cell r="J381" t="str">
            <v>The University Of North Florida</v>
          </cell>
          <cell r="K381" t="str">
            <v>University of North Florida Foundation, Inc.</v>
          </cell>
          <cell r="O381" t="str">
            <v>IQ6191704</v>
          </cell>
          <cell r="P381" t="str">
            <v>IQ28463263</v>
          </cell>
          <cell r="Q381" t="str">
            <v>IQ26961163</v>
          </cell>
        </row>
        <row r="382">
          <cell r="I382" t="str">
            <v>North West Florida State College</v>
          </cell>
          <cell r="O382" t="str">
            <v>IQ4360115</v>
          </cell>
        </row>
        <row r="384">
          <cell r="I384" t="str">
            <v>Palm Beach State College</v>
          </cell>
          <cell r="O384" t="str">
            <v>IQ4437262</v>
          </cell>
        </row>
        <row r="385">
          <cell r="I385" t="str">
            <v>Pasco-Hernando Community College</v>
          </cell>
          <cell r="O385" t="str">
            <v>IQ24337789</v>
          </cell>
        </row>
        <row r="386">
          <cell r="I386" t="str">
            <v>Pensacola State College</v>
          </cell>
          <cell r="J386" t="str">
            <v>Pensacola Junior College Foundation Inc,Florida</v>
          </cell>
          <cell r="O386" t="str">
            <v>IQ257543559</v>
          </cell>
          <cell r="P386" t="str">
            <v>IQ58017417</v>
          </cell>
        </row>
        <row r="393">
          <cell r="I393" t="str">
            <v>Saint Petersburg College</v>
          </cell>
          <cell r="J393" t="str">
            <v>St.Petersburg College Foundation, Inc</v>
          </cell>
          <cell r="O393" t="str">
            <v>IQ6183554</v>
          </cell>
          <cell r="P393" t="str">
            <v>IQ225862361</v>
          </cell>
        </row>
        <row r="400">
          <cell r="I400" t="str">
            <v>South Florida State College</v>
          </cell>
          <cell r="O400" t="str">
            <v>IQ31045895</v>
          </cell>
        </row>
        <row r="403">
          <cell r="I403" t="str">
            <v>Tallahassee Community College</v>
          </cell>
          <cell r="J403" t="str">
            <v>Tallahassee Community College Foundation</v>
          </cell>
          <cell r="O403" t="str">
            <v>IQ4424686</v>
          </cell>
          <cell r="P403" t="str">
            <v>IQ25107949</v>
          </cell>
        </row>
        <row r="406">
          <cell r="I406" t="str">
            <v>Valencia College</v>
          </cell>
          <cell r="J406" t="str">
            <v>Valencia College Foundation, Inc., Endowment Arm</v>
          </cell>
          <cell r="K406" t="str">
            <v>Valencia College Foundation, Inc</v>
          </cell>
          <cell r="O406" t="str">
            <v>IQ25996560</v>
          </cell>
          <cell r="P406" t="str">
            <v>IQ268320322</v>
          </cell>
          <cell r="Q406" t="str">
            <v>IQ132513094</v>
          </cell>
        </row>
        <row r="407">
          <cell r="I407" t="str">
            <v>Washington-Holmes Technical Center in In Chipley, Fl</v>
          </cell>
          <cell r="O407" t="str">
            <v>IQ214104065</v>
          </cell>
        </row>
        <row r="408">
          <cell r="I408" t="str">
            <v>University Of West Florida</v>
          </cell>
          <cell r="O408" t="str">
            <v>IQ4253271</v>
          </cell>
        </row>
        <row r="413">
          <cell r="I413" t="str">
            <v>Abraham Baldwin Agricultural College</v>
          </cell>
          <cell r="O413" t="str">
            <v>IQ6930827</v>
          </cell>
        </row>
        <row r="416">
          <cell r="I416" t="str">
            <v>Albany State University</v>
          </cell>
          <cell r="O416" t="str">
            <v>IQ4301710</v>
          </cell>
        </row>
        <row r="417">
          <cell r="I417" t="str">
            <v>Armstrong Atlantic State University</v>
          </cell>
          <cell r="O417" t="str">
            <v>IQ4320187</v>
          </cell>
        </row>
        <row r="419">
          <cell r="I419" t="str">
            <v>Atlanta Metropolitan State College</v>
          </cell>
          <cell r="O419" t="str">
            <v>IQ30851321</v>
          </cell>
        </row>
        <row r="424">
          <cell r="I424" t="str">
            <v>Clayton State University Foundation</v>
          </cell>
          <cell r="O424" t="str">
            <v>IQ271867928</v>
          </cell>
        </row>
        <row r="426">
          <cell r="I426" t="str">
            <v>Columbus State University</v>
          </cell>
          <cell r="J426" t="str">
            <v>Columbus State University Board of Regents</v>
          </cell>
          <cell r="O426" t="str">
            <v>IQ6161065</v>
          </cell>
          <cell r="P426" t="str">
            <v>IQ139062673</v>
          </cell>
        </row>
        <row r="428">
          <cell r="I428" t="str">
            <v>Dalton State College</v>
          </cell>
          <cell r="O428" t="str">
            <v>IQ30887317</v>
          </cell>
        </row>
        <row r="429">
          <cell r="I429" t="str">
            <v>East Georgia State College</v>
          </cell>
          <cell r="O429" t="str">
            <v>IQ126848889</v>
          </cell>
        </row>
        <row r="430">
          <cell r="I430" t="str">
            <v>Georgia Highlands College</v>
          </cell>
          <cell r="J430" t="str">
            <v>Georgia Highlands College Foundation, Inc.</v>
          </cell>
          <cell r="O430" t="str">
            <v>IQ51765358</v>
          </cell>
          <cell r="P430" t="str">
            <v>IQ251868551</v>
          </cell>
        </row>
        <row r="431">
          <cell r="I431" t="str">
            <v>Fort Valley State University</v>
          </cell>
          <cell r="J431" t="str">
            <v>Fort Valley State University Foundation Property, LLC</v>
          </cell>
          <cell r="O431" t="str">
            <v>IQ6528680</v>
          </cell>
          <cell r="P431" t="str">
            <v>IQ250716629</v>
          </cell>
        </row>
        <row r="433">
          <cell r="I433" t="str">
            <v>Georgia Southwestern State University</v>
          </cell>
          <cell r="O433" t="str">
            <v>IQ4539492</v>
          </cell>
        </row>
        <row r="434">
          <cell r="I434" t="str">
            <v>Georgia College &amp; State University</v>
          </cell>
          <cell r="J434" t="str">
            <v>Georgia College and State University Foundation</v>
          </cell>
          <cell r="O434" t="str">
            <v>IQ4457770</v>
          </cell>
          <cell r="P434" t="str">
            <v>IQ139443836</v>
          </cell>
        </row>
        <row r="435">
          <cell r="I435" t="str">
            <v>Georgia Military College</v>
          </cell>
          <cell r="O435" t="str">
            <v>IQ4321613</v>
          </cell>
        </row>
        <row r="436">
          <cell r="I436" t="str">
            <v>Georgia Southern University</v>
          </cell>
          <cell r="J436" t="str">
            <v>Georgia Southern University Housing Foundation Two, LLC</v>
          </cell>
          <cell r="K436" t="str">
            <v>Georgia Southern University Housing Foundation Inc</v>
          </cell>
          <cell r="L436" t="str">
            <v>Georgia Southern University Research &amp; Service Foundation, Inc</v>
          </cell>
          <cell r="O436" t="str">
            <v>IQ4395280</v>
          </cell>
          <cell r="P436" t="str">
            <v>IQ251869855</v>
          </cell>
          <cell r="Q436" t="str">
            <v>IQ142948771</v>
          </cell>
          <cell r="R436" t="str">
            <v>IQ51733745</v>
          </cell>
        </row>
        <row r="437">
          <cell r="I437" t="str">
            <v>Georgia State University</v>
          </cell>
          <cell r="J437" t="str">
            <v>Georgia State University Library</v>
          </cell>
          <cell r="K437" t="str">
            <v>Georgia State University School of Music</v>
          </cell>
          <cell r="L437" t="str">
            <v>Georgia State University College of Education</v>
          </cell>
          <cell r="M437" t="str">
            <v>Georgia State University College of Law</v>
          </cell>
          <cell r="O437" t="str">
            <v>IQ6161878</v>
          </cell>
          <cell r="P437" t="str">
            <v>IQ235034711</v>
          </cell>
          <cell r="Q437" t="str">
            <v>IQ40180336</v>
          </cell>
          <cell r="R437" t="str">
            <v>IQ40160283</v>
          </cell>
          <cell r="S437" t="str">
            <v>IQ38015605</v>
          </cell>
        </row>
        <row r="438">
          <cell r="I438" t="str">
            <v>Gordon State College Properties Foundation III, LLC</v>
          </cell>
          <cell r="O438" t="str">
            <v>IQ247020453</v>
          </cell>
        </row>
        <row r="441">
          <cell r="I441" t="str">
            <v>Kennesaw State University</v>
          </cell>
          <cell r="J441" t="str">
            <v>Kennesaw State University Foundation Inc.</v>
          </cell>
          <cell r="O441" t="str">
            <v>IQ4270384</v>
          </cell>
          <cell r="P441" t="str">
            <v>IQ139144944</v>
          </cell>
        </row>
        <row r="447">
          <cell r="I447" t="str">
            <v>Savannah State University</v>
          </cell>
          <cell r="O447" t="str">
            <v>IQ4324424</v>
          </cell>
        </row>
        <row r="449">
          <cell r="I449" t="str">
            <v>Southern Polytechnic State University</v>
          </cell>
          <cell r="O449" t="str">
            <v>IQ6720619</v>
          </cell>
        </row>
        <row r="452">
          <cell r="I452" t="str">
            <v>Valdosta State University</v>
          </cell>
          <cell r="J452" t="str">
            <v>Valdosta State University Foundation, Inc.</v>
          </cell>
          <cell r="O452" t="str">
            <v>IQ4259337</v>
          </cell>
          <cell r="P452" t="str">
            <v>IQ143166308</v>
          </cell>
        </row>
        <row r="453">
          <cell r="I453" t="str">
            <v>University Of West Georgia</v>
          </cell>
          <cell r="O453" t="str">
            <v>IQ4265233</v>
          </cell>
        </row>
        <row r="454">
          <cell r="I454" t="str">
            <v>University of Hawai'i at Hilo</v>
          </cell>
          <cell r="O454" t="str">
            <v>IQ60520519</v>
          </cell>
        </row>
        <row r="455">
          <cell r="I455" t="str">
            <v>University of Hawaii at Manoa</v>
          </cell>
          <cell r="O455" t="str">
            <v>IQ6189340</v>
          </cell>
        </row>
        <row r="464">
          <cell r="I464" t="str">
            <v>Boise State University, Idaho</v>
          </cell>
          <cell r="J464" t="str">
            <v>Boise State University Foundation, Inc.</v>
          </cell>
          <cell r="O464" t="str">
            <v>IQ4245505</v>
          </cell>
          <cell r="P464" t="str">
            <v>IQ126950070</v>
          </cell>
        </row>
        <row r="466">
          <cell r="I466" t="str">
            <v>Idaho State University</v>
          </cell>
          <cell r="J466" t="str">
            <v>Idaho State University Federal Credit Union</v>
          </cell>
          <cell r="K466" t="str">
            <v>Idaho State University Foundation Inc</v>
          </cell>
          <cell r="O466" t="str">
            <v>IQ4728043</v>
          </cell>
          <cell r="P466" t="str">
            <v>IQ128409463</v>
          </cell>
          <cell r="Q466" t="str">
            <v>IQ58001543</v>
          </cell>
        </row>
        <row r="467">
          <cell r="I467" t="str">
            <v>University Of Idaho</v>
          </cell>
          <cell r="O467" t="str">
            <v>IQ4218393</v>
          </cell>
        </row>
        <row r="468">
          <cell r="I468" t="str">
            <v>Lewis-Clark State College</v>
          </cell>
          <cell r="O468" t="str">
            <v>IQ6180710</v>
          </cell>
        </row>
        <row r="469">
          <cell r="I469" t="str">
            <v>North Idaho College</v>
          </cell>
          <cell r="O469" t="str">
            <v>IQ4323578</v>
          </cell>
        </row>
        <row r="471">
          <cell r="I471" t="str">
            <v>Southwestern Illinois College</v>
          </cell>
          <cell r="O471" t="str">
            <v>IQ46723669</v>
          </cell>
        </row>
        <row r="472">
          <cell r="I472" t="str">
            <v>Blackhawk College</v>
          </cell>
          <cell r="O472" t="str">
            <v>IQ6058154</v>
          </cell>
        </row>
        <row r="473">
          <cell r="I473" t="str">
            <v>Carl Sandburg Community College District No 518</v>
          </cell>
          <cell r="O473" t="str">
            <v>IQ138938429</v>
          </cell>
        </row>
        <row r="474">
          <cell r="I474" t="str">
            <v>Chicago State University</v>
          </cell>
          <cell r="O474" t="str">
            <v>IQ6158882</v>
          </cell>
        </row>
        <row r="483">
          <cell r="I483" t="str">
            <v>Danville Area Community College Foundation, Inc</v>
          </cell>
          <cell r="O483" t="str">
            <v>IQ6720472</v>
          </cell>
        </row>
        <row r="485">
          <cell r="I485" t="str">
            <v>Eastern Illinois University</v>
          </cell>
          <cell r="J485" t="str">
            <v>Eastern Illinois University Foundation, Inc.</v>
          </cell>
          <cell r="K485" t="str">
            <v>Eastern Illinois University Foundation, Inc., Endowment Arm</v>
          </cell>
          <cell r="O485" t="str">
            <v>IQ4256956</v>
          </cell>
          <cell r="P485" t="str">
            <v>IQ100665589</v>
          </cell>
          <cell r="Q485" t="str">
            <v>IQ224450326</v>
          </cell>
        </row>
        <row r="486">
          <cell r="I486" t="str">
            <v>Elgin Community College</v>
          </cell>
          <cell r="J486" t="str">
            <v>Community College District No 509, Illinois</v>
          </cell>
          <cell r="O486" t="str">
            <v>IQ4323520</v>
          </cell>
          <cell r="P486" t="str">
            <v>IQ58003334</v>
          </cell>
        </row>
        <row r="487">
          <cell r="I487" t="str">
            <v>Governors State University</v>
          </cell>
          <cell r="O487" t="str">
            <v>IQ6161930</v>
          </cell>
        </row>
        <row r="488">
          <cell r="I488" t="str">
            <v>Highland Community College</v>
          </cell>
          <cell r="O488" t="str">
            <v>IQ139150138</v>
          </cell>
        </row>
        <row r="489">
          <cell r="I489" t="str">
            <v>University of Illinois at Chicago College of Pharmacy</v>
          </cell>
          <cell r="J489" t="str">
            <v>College of Business Administration, University of Illinois at Chicago</v>
          </cell>
          <cell r="O489" t="str">
            <v>IQ7742730</v>
          </cell>
          <cell r="P489" t="str">
            <v>IQ38801615</v>
          </cell>
        </row>
        <row r="490">
          <cell r="I490" t="str">
            <v>College of Business, University Of Illinois at Urbana-Champaign</v>
          </cell>
          <cell r="O490" t="str">
            <v>IQ13223364</v>
          </cell>
        </row>
        <row r="491">
          <cell r="I491" t="str">
            <v>Illinois Central College</v>
          </cell>
          <cell r="O491" t="str">
            <v>IQ4307843</v>
          </cell>
        </row>
        <row r="493">
          <cell r="I493" t="str">
            <v>Illinois State University</v>
          </cell>
          <cell r="J493" t="str">
            <v>Board of Trustees of Illinois State University</v>
          </cell>
          <cell r="O493" t="str">
            <v>IQ4218365</v>
          </cell>
          <cell r="P493" t="str">
            <v>IQ204951051</v>
          </cell>
        </row>
        <row r="494">
          <cell r="I494" t="str">
            <v>Illinois Valley Community College</v>
          </cell>
          <cell r="O494" t="str">
            <v>IQ6675732</v>
          </cell>
        </row>
        <row r="496">
          <cell r="I496" t="str">
            <v>John Wood Community College</v>
          </cell>
          <cell r="O496" t="str">
            <v>IQ4546856</v>
          </cell>
        </row>
        <row r="497">
          <cell r="I497" t="str">
            <v>Joliet Illinois Junior College</v>
          </cell>
          <cell r="J497" t="str">
            <v>Joliet Junior College Assistance Corporation</v>
          </cell>
          <cell r="K497" t="str">
            <v>Joliet Junior College Foundation Inc</v>
          </cell>
          <cell r="L497" t="str">
            <v>Joliet Junior College District</v>
          </cell>
          <cell r="M497" t="str">
            <v>Joliet Junior College District 525</v>
          </cell>
          <cell r="O497" t="str">
            <v>IQ58003152</v>
          </cell>
          <cell r="P497" t="str">
            <v>IQ215921175</v>
          </cell>
          <cell r="Q497" t="str">
            <v>IQ288543937</v>
          </cell>
          <cell r="R497" t="str">
            <v>IQ138671864</v>
          </cell>
          <cell r="S497" t="str">
            <v>IQ4472720</v>
          </cell>
        </row>
        <row r="498">
          <cell r="I498" t="str">
            <v>Kankakee Community College Employees Credit Union</v>
          </cell>
          <cell r="O498" t="str">
            <v>IQ127189809</v>
          </cell>
        </row>
        <row r="499">
          <cell r="I499" t="str">
            <v>Kaskaskia College</v>
          </cell>
          <cell r="O499" t="str">
            <v>IQ4475169</v>
          </cell>
        </row>
        <row r="500">
          <cell r="I500" t="str">
            <v>Kishwaukee College</v>
          </cell>
          <cell r="O500" t="str">
            <v>IQ6716877</v>
          </cell>
        </row>
        <row r="502">
          <cell r="I502" t="str">
            <v>Lakeland College</v>
          </cell>
          <cell r="O502" t="str">
            <v>IQ4491701</v>
          </cell>
        </row>
        <row r="503">
          <cell r="I503" t="str">
            <v>Lewis &amp; Clark Community College</v>
          </cell>
          <cell r="J503" t="str">
            <v>Lewis &amp; Clark Community College District No 536</v>
          </cell>
          <cell r="O503" t="str">
            <v>IQ4340580</v>
          </cell>
          <cell r="P503" t="str">
            <v>IQ138942638</v>
          </cell>
        </row>
        <row r="504">
          <cell r="I504" t="str">
            <v>Lincoln Land Community College</v>
          </cell>
          <cell r="O504" t="str">
            <v>IQ6528136</v>
          </cell>
        </row>
        <row r="505">
          <cell r="I505" t="str">
            <v>Mc Henry County College</v>
          </cell>
          <cell r="O505" t="str">
            <v>IQ6527664</v>
          </cell>
        </row>
        <row r="506">
          <cell r="I506" t="str">
            <v>Moraine Valley Community College</v>
          </cell>
          <cell r="J506" t="str">
            <v>Moraine Valley Community College Foundation</v>
          </cell>
          <cell r="O506" t="str">
            <v>IQ99785767</v>
          </cell>
          <cell r="P506" t="str">
            <v>IQ6710903</v>
          </cell>
        </row>
        <row r="507">
          <cell r="I507" t="str">
            <v>Morton College</v>
          </cell>
          <cell r="J507" t="str">
            <v>Morton College in Cicero Ill</v>
          </cell>
          <cell r="O507" t="str">
            <v>IQ4489997</v>
          </cell>
          <cell r="P507" t="str">
            <v>IQ38972409</v>
          </cell>
        </row>
        <row r="508">
          <cell r="I508" t="str">
            <v>Northern Illinois University</v>
          </cell>
          <cell r="J508" t="str">
            <v>Northern Illinois University Board of Trustee</v>
          </cell>
          <cell r="O508" t="str">
            <v>IQ4217902</v>
          </cell>
          <cell r="P508" t="str">
            <v>IQ139144632</v>
          </cell>
        </row>
        <row r="509">
          <cell r="I509" t="str">
            <v>Northeastern Illinois University</v>
          </cell>
          <cell r="O509" t="str">
            <v>IQ6181440</v>
          </cell>
        </row>
        <row r="510">
          <cell r="I510" t="str">
            <v>Oakton Community College</v>
          </cell>
          <cell r="O510" t="str">
            <v>IQ4542689</v>
          </cell>
        </row>
        <row r="511">
          <cell r="I511" t="str">
            <v>Parkland College</v>
          </cell>
          <cell r="J511" t="str">
            <v>Community College District No. 505, Illinois</v>
          </cell>
          <cell r="O511" t="str">
            <v>IQ40256242</v>
          </cell>
          <cell r="P511" t="str">
            <v>IQ57987109</v>
          </cell>
        </row>
        <row r="512">
          <cell r="I512" t="str">
            <v>Prairie State College</v>
          </cell>
          <cell r="O512" t="str">
            <v>IQ38719819</v>
          </cell>
        </row>
        <row r="514">
          <cell r="I514" t="str">
            <v>Richland Community College Foundation</v>
          </cell>
          <cell r="O514" t="str">
            <v>IQ240992553</v>
          </cell>
        </row>
        <row r="515">
          <cell r="I515" t="str">
            <v>Rock Valley College (Inc)</v>
          </cell>
          <cell r="O515" t="str">
            <v>IQ4339961</v>
          </cell>
        </row>
        <row r="516">
          <cell r="I516" t="str">
            <v>University of Illinois at Springfield</v>
          </cell>
          <cell r="O516" t="str">
            <v>IQ6189547</v>
          </cell>
        </row>
        <row r="517">
          <cell r="I517" t="str">
            <v>Sauk Valley Community College</v>
          </cell>
          <cell r="O517" t="str">
            <v>IQ6788933</v>
          </cell>
        </row>
        <row r="518">
          <cell r="I518" t="str">
            <v>Shawnee Community College District 531 Inc</v>
          </cell>
          <cell r="O518" t="str">
            <v>IQ4562519</v>
          </cell>
        </row>
        <row r="519">
          <cell r="I519" t="str">
            <v>Southeastern Illinois College</v>
          </cell>
          <cell r="O519" t="str">
            <v>IQ38687985</v>
          </cell>
        </row>
        <row r="520">
          <cell r="I520" t="str">
            <v>Spoon River College (Inc)</v>
          </cell>
          <cell r="O520" t="str">
            <v>IQ30998525</v>
          </cell>
        </row>
        <row r="521">
          <cell r="I521" t="str">
            <v>Southern Illinois University, Carbondale Campus</v>
          </cell>
          <cell r="O521" t="str">
            <v>IQ4185289</v>
          </cell>
        </row>
        <row r="522">
          <cell r="I522" t="str">
            <v>Southern Illinois University, Edwardsville</v>
          </cell>
          <cell r="O522" t="str">
            <v>IQ40425253</v>
          </cell>
        </row>
        <row r="524">
          <cell r="I524" t="str">
            <v>South Suburban College</v>
          </cell>
          <cell r="O524" t="str">
            <v>IQ4368431</v>
          </cell>
        </row>
        <row r="525">
          <cell r="I525" t="str">
            <v>Triton College</v>
          </cell>
          <cell r="O525" t="str">
            <v>IQ6790776</v>
          </cell>
        </row>
        <row r="526">
          <cell r="I526" t="str">
            <v>Waubonsee Community College Foundation</v>
          </cell>
          <cell r="O526" t="str">
            <v>IQ66099545</v>
          </cell>
        </row>
        <row r="527">
          <cell r="I527" t="str">
            <v>Western Illinois University</v>
          </cell>
          <cell r="O527" t="str">
            <v>IQ4247516</v>
          </cell>
        </row>
        <row r="528">
          <cell r="I528" t="str">
            <v>Harper College</v>
          </cell>
          <cell r="O528" t="str">
            <v>IQ31289525</v>
          </cell>
        </row>
        <row r="529">
          <cell r="I529" t="str">
            <v>Ball State University</v>
          </cell>
          <cell r="O529" t="str">
            <v>IQ4222251</v>
          </cell>
        </row>
        <row r="530">
          <cell r="I530" t="str">
            <v>Ivy Tech Community College of Indiana</v>
          </cell>
          <cell r="O530" t="str">
            <v>IQ257490383</v>
          </cell>
        </row>
        <row r="532">
          <cell r="I532" t="str">
            <v>Indiana University-Purdue University-Indianapolis</v>
          </cell>
          <cell r="O532" t="str">
            <v>IQ3785579</v>
          </cell>
        </row>
        <row r="533">
          <cell r="I533" t="str">
            <v>University Of Southern Indiana</v>
          </cell>
          <cell r="O533" t="str">
            <v>IQ4284024</v>
          </cell>
        </row>
        <row r="534">
          <cell r="I534" t="str">
            <v>Indiana State University</v>
          </cell>
          <cell r="J534" t="str">
            <v>Indiana State University Federal Credit Union</v>
          </cell>
          <cell r="K534" t="str">
            <v>Indiana State University Board of Trustees</v>
          </cell>
          <cell r="O534" t="str">
            <v>IQ4248567</v>
          </cell>
          <cell r="P534" t="str">
            <v>IQ116901237</v>
          </cell>
          <cell r="Q534" t="str">
            <v>IQ62109153</v>
          </cell>
        </row>
        <row r="536">
          <cell r="I536" t="str">
            <v>Indiana University South Bend</v>
          </cell>
          <cell r="O536" t="str">
            <v>IQ38687736</v>
          </cell>
        </row>
        <row r="537">
          <cell r="I537" t="str">
            <v>Indiana University, Bloomington</v>
          </cell>
          <cell r="O537" t="str">
            <v>IQ3777958</v>
          </cell>
        </row>
        <row r="538">
          <cell r="I538" t="str">
            <v>Indiana University-Northwest</v>
          </cell>
          <cell r="O538" t="str">
            <v>IQ37893782</v>
          </cell>
        </row>
        <row r="539">
          <cell r="I539" t="str">
            <v>Indiana University Southeast</v>
          </cell>
          <cell r="J539" t="str">
            <v>Indiana University Southeast School of Business</v>
          </cell>
          <cell r="O539" t="str">
            <v>IQ38245837</v>
          </cell>
          <cell r="P539" t="str">
            <v>IQ96649206</v>
          </cell>
        </row>
        <row r="540">
          <cell r="I540" t="str">
            <v>Indiana University East</v>
          </cell>
          <cell r="O540" t="str">
            <v>IQ182561287</v>
          </cell>
        </row>
        <row r="544">
          <cell r="I544" t="str">
            <v>Vincennes University</v>
          </cell>
          <cell r="O544" t="str">
            <v>IQ4272221</v>
          </cell>
        </row>
        <row r="545">
          <cell r="I545" t="str">
            <v>Des Moines Area Community College</v>
          </cell>
          <cell r="O545" t="str">
            <v>IQ4272957</v>
          </cell>
        </row>
        <row r="547">
          <cell r="I547" t="str">
            <v>Eastern Iowa Community College District</v>
          </cell>
          <cell r="J547" t="str">
            <v>Eastern Iowa Community College District Foundation</v>
          </cell>
          <cell r="O547" t="str">
            <v>IQ138889113</v>
          </cell>
          <cell r="P547" t="str">
            <v>IQ4320131</v>
          </cell>
        </row>
        <row r="548">
          <cell r="I548" t="str">
            <v>Hawkeye Community College Iowa</v>
          </cell>
          <cell r="J548" t="str">
            <v>Hawkeye Community College</v>
          </cell>
          <cell r="K548" t="str">
            <v>Hawkeye Community College Foundation</v>
          </cell>
          <cell r="O548" t="str">
            <v>IQ57999789</v>
          </cell>
          <cell r="P548" t="str">
            <v>IQ40329365</v>
          </cell>
          <cell r="Q548" t="str">
            <v>IQ4340857</v>
          </cell>
        </row>
        <row r="549">
          <cell r="I549" t="str">
            <v>Indian Hills Community College</v>
          </cell>
          <cell r="O549" t="str">
            <v>IQ4335562</v>
          </cell>
        </row>
        <row r="550">
          <cell r="I550" t="str">
            <v>Iowa Central Community College</v>
          </cell>
          <cell r="O550" t="str">
            <v>IQ4595093</v>
          </cell>
        </row>
        <row r="551">
          <cell r="I551" t="str">
            <v>Iowa Lakes Community College</v>
          </cell>
          <cell r="O551" t="str">
            <v>IQ4427006</v>
          </cell>
        </row>
        <row r="552">
          <cell r="I552" t="str">
            <v>Iowa State University</v>
          </cell>
          <cell r="J552" t="str">
            <v>Iowa State University Research Foundation, Inc</v>
          </cell>
          <cell r="K552" t="str">
            <v>Iowa State University Graduate College</v>
          </cell>
          <cell r="L552" t="str">
            <v>Iowa State University College of Engineering</v>
          </cell>
          <cell r="M552" t="str">
            <v>Iowa State University Foundation</v>
          </cell>
          <cell r="O552" t="str">
            <v>IQ3785876</v>
          </cell>
          <cell r="P552" t="str">
            <v>IQ27975257</v>
          </cell>
          <cell r="Q552" t="str">
            <v>IQ40406929</v>
          </cell>
          <cell r="R552" t="str">
            <v>IQ31339447</v>
          </cell>
          <cell r="S552" t="str">
            <v>IQ6574338</v>
          </cell>
        </row>
        <row r="553">
          <cell r="I553" t="str">
            <v>Iowa Western Community College</v>
          </cell>
          <cell r="O553" t="str">
            <v>IQ4370179</v>
          </cell>
        </row>
        <row r="554">
          <cell r="I554" t="str">
            <v>University of Iowa</v>
          </cell>
          <cell r="O554" t="str">
            <v>IQ3777837</v>
          </cell>
        </row>
        <row r="556">
          <cell r="I556" t="str">
            <v>Marshalltown Community College</v>
          </cell>
          <cell r="O556" t="str">
            <v>IQ143254529</v>
          </cell>
        </row>
        <row r="557">
          <cell r="I557" t="str">
            <v>North Iowa Area Community College</v>
          </cell>
          <cell r="J557" t="str">
            <v>North Iowa Area Community College Foundation</v>
          </cell>
          <cell r="O557" t="str">
            <v>IQ4423297</v>
          </cell>
          <cell r="P557" t="str">
            <v>IQ271867824</v>
          </cell>
        </row>
        <row r="558">
          <cell r="I558" t="str">
            <v>University Of Northern Iowa</v>
          </cell>
          <cell r="O558" t="str">
            <v>IQ4245495</v>
          </cell>
        </row>
        <row r="560">
          <cell r="I560" t="str">
            <v>Northwest Iowa Community College</v>
          </cell>
          <cell r="J560" t="str">
            <v>Northwest Iowa Community College Merged Area Iv Dorm</v>
          </cell>
          <cell r="O560" t="str">
            <v>IQ6614930</v>
          </cell>
          <cell r="P560" t="str">
            <v>IQ58014650</v>
          </cell>
        </row>
        <row r="561">
          <cell r="I561" t="str">
            <v>Southeastern Community College</v>
          </cell>
          <cell r="O561" t="str">
            <v>IQ6742400</v>
          </cell>
        </row>
        <row r="562">
          <cell r="I562" t="str">
            <v>Southwestern Community College</v>
          </cell>
          <cell r="J562" t="str">
            <v>Southwestern Community College Iowa Merged Area Xiv</v>
          </cell>
          <cell r="K562" t="str">
            <v>Southwestern Community College</v>
          </cell>
          <cell r="L562" t="str">
            <v>Southwestern Community College District</v>
          </cell>
          <cell r="O562" t="str">
            <v>IQ4434542</v>
          </cell>
          <cell r="P562" t="str">
            <v>IQ58025648</v>
          </cell>
          <cell r="Q562" t="str">
            <v>IQ4662853</v>
          </cell>
          <cell r="R562" t="str">
            <v>IQ4280072</v>
          </cell>
        </row>
        <row r="564">
          <cell r="I564" t="str">
            <v>Allen County Community College</v>
          </cell>
          <cell r="O564" t="str">
            <v>IQ40173165</v>
          </cell>
        </row>
        <row r="565">
          <cell r="I565" t="str">
            <v>Barton County Community College</v>
          </cell>
          <cell r="O565" t="str">
            <v>IQ46295248</v>
          </cell>
        </row>
        <row r="566">
          <cell r="I566" t="str">
            <v>Butler Community College</v>
          </cell>
          <cell r="J566" t="str">
            <v>Butler Community College Foundation</v>
          </cell>
          <cell r="O566" t="str">
            <v>IQ225240808</v>
          </cell>
          <cell r="P566" t="str">
            <v>IQ244456429</v>
          </cell>
        </row>
        <row r="567">
          <cell r="I567" t="str">
            <v>Cloud County Community College</v>
          </cell>
          <cell r="O567" t="str">
            <v>IQ4550447</v>
          </cell>
        </row>
        <row r="568">
          <cell r="I568" t="str">
            <v>Coffeyville Community College</v>
          </cell>
          <cell r="O568" t="str">
            <v>IQ6924969</v>
          </cell>
        </row>
        <row r="569">
          <cell r="I569" t="str">
            <v>Colby Community College</v>
          </cell>
          <cell r="J569" t="str">
            <v>Colby Community College Endowment Foundation</v>
          </cell>
          <cell r="O569" t="str">
            <v>IQ263257278</v>
          </cell>
          <cell r="P569" t="str">
            <v>IQ4641672</v>
          </cell>
        </row>
        <row r="570">
          <cell r="I570" t="str">
            <v>Cowley County Community College</v>
          </cell>
          <cell r="O570" t="str">
            <v>IQ4490433</v>
          </cell>
        </row>
        <row r="571">
          <cell r="I571" t="str">
            <v>Dodge City Community College</v>
          </cell>
          <cell r="O571" t="str">
            <v>IQ4549712</v>
          </cell>
        </row>
        <row r="572">
          <cell r="I572" t="str">
            <v>Emporia State University</v>
          </cell>
          <cell r="J572" t="str">
            <v>Emporia State University Foundation, Inc</v>
          </cell>
          <cell r="O572" t="str">
            <v>IQ4263707</v>
          </cell>
          <cell r="P572" t="str">
            <v>IQ207165041</v>
          </cell>
        </row>
        <row r="574">
          <cell r="I574" t="str">
            <v>Fort Hays State University</v>
          </cell>
          <cell r="J574" t="str">
            <v>Fort Hays State University Foundation</v>
          </cell>
          <cell r="O574" t="str">
            <v>IQ4281062</v>
          </cell>
          <cell r="P574" t="str">
            <v>IQ100253652</v>
          </cell>
        </row>
        <row r="575">
          <cell r="I575" t="str">
            <v>Fort Scott Community College</v>
          </cell>
          <cell r="O575" t="str">
            <v>IQ4574710</v>
          </cell>
        </row>
        <row r="576">
          <cell r="I576" t="str">
            <v>Garden City Community College, Kansas</v>
          </cell>
          <cell r="O576" t="str">
            <v>IQ57996595</v>
          </cell>
        </row>
        <row r="578">
          <cell r="I578" t="str">
            <v>Highland Community College</v>
          </cell>
          <cell r="O578" t="str">
            <v>IQ139150138</v>
          </cell>
        </row>
        <row r="579">
          <cell r="I579" t="str">
            <v>Hutchinson Community College And Area Vocational School</v>
          </cell>
          <cell r="O579" t="str">
            <v>IQ4401607</v>
          </cell>
        </row>
        <row r="580">
          <cell r="I580" t="str">
            <v>Independence Community College</v>
          </cell>
          <cell r="O580" t="str">
            <v>IQ31073143</v>
          </cell>
        </row>
        <row r="581">
          <cell r="I581" t="str">
            <v>Johnson County Community College</v>
          </cell>
          <cell r="O581" t="str">
            <v>IQ4321619</v>
          </cell>
        </row>
        <row r="582">
          <cell r="I582" t="str">
            <v>Kansas City Ks Community College</v>
          </cell>
          <cell r="O582" t="str">
            <v>IQ4394039</v>
          </cell>
        </row>
        <row r="583">
          <cell r="I583" t="str">
            <v>University of Kansas</v>
          </cell>
          <cell r="J583" t="str">
            <v>University of Kansas Medical Center</v>
          </cell>
          <cell r="K583" t="str">
            <v>University of Kansas Hospital, Inc.</v>
          </cell>
          <cell r="L583" t="str">
            <v>University of Kansas School Of Medicine-Wichita Medical Practice Association</v>
          </cell>
          <cell r="M583" t="str">
            <v>University Of Kansas Center For Research, Inc.</v>
          </cell>
          <cell r="O583" t="str">
            <v>IQ4154613</v>
          </cell>
          <cell r="P583" t="str">
            <v>IQ6189636</v>
          </cell>
          <cell r="Q583" t="str">
            <v>IQ6462176</v>
          </cell>
          <cell r="R583" t="str">
            <v>IQ62203784</v>
          </cell>
          <cell r="S583" t="str">
            <v>IQ22905843</v>
          </cell>
        </row>
        <row r="584">
          <cell r="I584" t="str">
            <v>Kansas State University</v>
          </cell>
          <cell r="J584" t="str">
            <v>The Kansas State University Research Foundation</v>
          </cell>
          <cell r="K584" t="str">
            <v>Kansas State University Foundation Inc.</v>
          </cell>
          <cell r="L584" t="str">
            <v>K-State Athletics, Inc.</v>
          </cell>
          <cell r="M584" t="str">
            <v>Kansas State University Federal Credit Union</v>
          </cell>
          <cell r="O584" t="str">
            <v>IQ4142779</v>
          </cell>
          <cell r="P584" t="str">
            <v>IQ25182956</v>
          </cell>
          <cell r="Q584" t="str">
            <v>IQ224451052</v>
          </cell>
          <cell r="R584" t="str">
            <v>IQ145222873</v>
          </cell>
          <cell r="S584" t="str">
            <v>IQ127770183</v>
          </cell>
        </row>
        <row r="586">
          <cell r="I586" t="str">
            <v>Labette Community College</v>
          </cell>
          <cell r="O586" t="str">
            <v>IQ4633782</v>
          </cell>
        </row>
        <row r="588">
          <cell r="I588" t="str">
            <v>Neosho County Community College</v>
          </cell>
          <cell r="O588" t="str">
            <v>IQ51885287</v>
          </cell>
        </row>
        <row r="591">
          <cell r="I591" t="str">
            <v>Pittsburg State University</v>
          </cell>
          <cell r="J591" t="str">
            <v>Pittsburg State University Foundation, Inc.</v>
          </cell>
          <cell r="O591" t="str">
            <v>IQ4304932</v>
          </cell>
          <cell r="P591" t="str">
            <v>IQ224454768</v>
          </cell>
        </row>
        <row r="592">
          <cell r="I592" t="str">
            <v>Pratt Community College</v>
          </cell>
          <cell r="O592" t="str">
            <v>IQ4663508</v>
          </cell>
        </row>
        <row r="595">
          <cell r="I595" t="str">
            <v>Washburn University, Topeka</v>
          </cell>
          <cell r="J595" t="str">
            <v>Washburn University Foundation</v>
          </cell>
          <cell r="K595" t="str">
            <v>Washburn University Endowment Association</v>
          </cell>
          <cell r="L595" t="str">
            <v>Washburn University School of Business</v>
          </cell>
          <cell r="O595" t="str">
            <v>IQ4299645</v>
          </cell>
          <cell r="P595" t="str">
            <v>IQ224424539</v>
          </cell>
          <cell r="Q595" t="str">
            <v>IQ146165674</v>
          </cell>
          <cell r="R595" t="str">
            <v>IQ84142095</v>
          </cell>
        </row>
        <row r="597">
          <cell r="I597" t="str">
            <v>Wichita State University</v>
          </cell>
          <cell r="J597" t="str">
            <v>Wichita State University Foundation</v>
          </cell>
          <cell r="O597" t="str">
            <v>IQ4221328</v>
          </cell>
          <cell r="P597" t="str">
            <v>IQ141003488</v>
          </cell>
        </row>
        <row r="600">
          <cell r="I600" t="str">
            <v>Bluegrass Community &amp; Tech College</v>
          </cell>
          <cell r="O600" t="str">
            <v>IQ129699783</v>
          </cell>
        </row>
        <row r="601">
          <cell r="I601" t="str">
            <v>Eastern Kentucky University</v>
          </cell>
          <cell r="O601" t="str">
            <v>IQ46009175</v>
          </cell>
        </row>
        <row r="607">
          <cell r="I607" t="str">
            <v>Kentucky State University</v>
          </cell>
          <cell r="O607" t="str">
            <v>IQ4323305</v>
          </cell>
        </row>
        <row r="608">
          <cell r="I608" t="str">
            <v>University of Kentucky</v>
          </cell>
          <cell r="O608" t="str">
            <v>IQ3785340</v>
          </cell>
        </row>
        <row r="609">
          <cell r="I609" t="str">
            <v>University of Louisville</v>
          </cell>
          <cell r="J609" t="str">
            <v>University of Louisville Hospital</v>
          </cell>
          <cell r="K609" t="str">
            <v>University Of Louisville Research Foundation Inc.</v>
          </cell>
          <cell r="L609" t="str">
            <v>University of Louisville Athletic Association, Inc.</v>
          </cell>
          <cell r="M609" t="str">
            <v>University Of Louisville Medical School Practice Association, Inc.</v>
          </cell>
          <cell r="O609" t="str">
            <v>IQ3778024</v>
          </cell>
          <cell r="P609" t="str">
            <v>IQ4241020</v>
          </cell>
          <cell r="Q609" t="str">
            <v>IQ24950136</v>
          </cell>
          <cell r="R609" t="str">
            <v>IQ139072870</v>
          </cell>
          <cell r="S609" t="str">
            <v>IQ118600950</v>
          </cell>
        </row>
        <row r="612">
          <cell r="I612" t="str">
            <v>Morehead State University</v>
          </cell>
          <cell r="O612" t="str">
            <v>IQ4269691</v>
          </cell>
        </row>
        <row r="613">
          <cell r="I613" t="str">
            <v>Murray State University</v>
          </cell>
          <cell r="J613" t="str">
            <v>Murray State University Foundation, Inc.</v>
          </cell>
          <cell r="O613" t="str">
            <v>IQ4264597</v>
          </cell>
          <cell r="P613" t="str">
            <v>IQ143319423</v>
          </cell>
        </row>
        <row r="615">
          <cell r="I615" t="str">
            <v>Northern Kentucky University</v>
          </cell>
          <cell r="J615" t="str">
            <v>Northern Kentucky University Foundation, Inc.</v>
          </cell>
          <cell r="O615" t="str">
            <v>IQ58014499</v>
          </cell>
          <cell r="P615" t="str">
            <v>IQ24492765</v>
          </cell>
        </row>
        <row r="618">
          <cell r="I618" t="str">
            <v>Somerset Community College</v>
          </cell>
          <cell r="O618" t="str">
            <v>IQ243049625</v>
          </cell>
        </row>
        <row r="621">
          <cell r="I621" t="str">
            <v>Western Kentucky University</v>
          </cell>
          <cell r="J621" t="str">
            <v>Western Kentucky University Research Foundation, Inc.</v>
          </cell>
          <cell r="O621" t="str">
            <v>IQ4251245</v>
          </cell>
          <cell r="P621" t="str">
            <v>IQ100136589</v>
          </cell>
        </row>
        <row r="624">
          <cell r="I624" t="str">
            <v>Bossier Parish Community College</v>
          </cell>
          <cell r="O624" t="str">
            <v>IQ4487484</v>
          </cell>
        </row>
        <row r="625">
          <cell r="I625" t="str">
            <v>Delgado Community College</v>
          </cell>
          <cell r="O625" t="str">
            <v>IQ4362468</v>
          </cell>
        </row>
        <row r="627">
          <cell r="I627" t="str">
            <v>Grambling State University</v>
          </cell>
          <cell r="O627" t="str">
            <v>IQ4368424</v>
          </cell>
        </row>
        <row r="634">
          <cell r="I634" t="str">
            <v>Louisiana Tech University</v>
          </cell>
          <cell r="O634" t="str">
            <v>IQ4271644</v>
          </cell>
        </row>
        <row r="635">
          <cell r="I635" t="str">
            <v>Mc Neese State University</v>
          </cell>
          <cell r="J635" t="str">
            <v>Mcneese State University Foundation</v>
          </cell>
          <cell r="K635" t="str">
            <v>Mcneese State University Alumni</v>
          </cell>
          <cell r="O635" t="str">
            <v>IQ4393486</v>
          </cell>
          <cell r="P635" t="str">
            <v>IQ6656872</v>
          </cell>
          <cell r="Q635" t="str">
            <v>IQ6483325</v>
          </cell>
        </row>
        <row r="636">
          <cell r="I636" t="str">
            <v>University Of New Orleans</v>
          </cell>
          <cell r="O636" t="str">
            <v>IQ4247977</v>
          </cell>
        </row>
        <row r="637">
          <cell r="I637" t="str">
            <v>Nicholls State University</v>
          </cell>
          <cell r="J637" t="str">
            <v>Nicholls State University Foundation</v>
          </cell>
          <cell r="O637" t="str">
            <v>IQ252104009</v>
          </cell>
          <cell r="P637" t="str">
            <v>IQ271907657</v>
          </cell>
        </row>
        <row r="638">
          <cell r="I638" t="str">
            <v>University Of Louisiana At Monroe (ulm)</v>
          </cell>
          <cell r="O638" t="str">
            <v>IQ4317910</v>
          </cell>
        </row>
        <row r="644">
          <cell r="I644" t="str">
            <v>Southeastern Louisiana University</v>
          </cell>
          <cell r="O644" t="str">
            <v>IQ4295417</v>
          </cell>
        </row>
        <row r="646">
          <cell r="I646" t="str">
            <v>Southern University At New Orleans</v>
          </cell>
          <cell r="O646" t="str">
            <v>IQ115778164</v>
          </cell>
        </row>
        <row r="647">
          <cell r="I647" t="str">
            <v>Southern University At Shreveport</v>
          </cell>
          <cell r="O647" t="str">
            <v>IQ109546235</v>
          </cell>
        </row>
        <row r="648">
          <cell r="I648" t="str">
            <v>University Of Louisiana at Lafayette</v>
          </cell>
          <cell r="J648" t="str">
            <v>University Of Louisiana At Lafayette Foundation</v>
          </cell>
          <cell r="O648" t="str">
            <v>IQ4278350</v>
          </cell>
          <cell r="P648" t="str">
            <v>IQ52670226</v>
          </cell>
        </row>
        <row r="652">
          <cell r="I652" t="str">
            <v>Eastern Maine Community College</v>
          </cell>
          <cell r="O652" t="str">
            <v>IQ252702934</v>
          </cell>
        </row>
        <row r="653">
          <cell r="I653" t="str">
            <v>Kennebec Valley Community College Foundation</v>
          </cell>
          <cell r="O653" t="str">
            <v>IQ100249610</v>
          </cell>
        </row>
        <row r="654">
          <cell r="I654" t="str">
            <v>University of Maine at Augusta</v>
          </cell>
          <cell r="O654" t="str">
            <v>IQ99677766</v>
          </cell>
        </row>
        <row r="655">
          <cell r="I655" t="str">
            <v>University of Maine at Farmington</v>
          </cell>
          <cell r="O655" t="str">
            <v>IQ38972432</v>
          </cell>
        </row>
        <row r="656">
          <cell r="I656" t="str">
            <v>University of Maine at Fort Kent</v>
          </cell>
          <cell r="O656" t="str">
            <v>IQ62696748</v>
          </cell>
        </row>
        <row r="657">
          <cell r="I657" t="str">
            <v>University of Maine at Machias</v>
          </cell>
          <cell r="O657" t="str">
            <v>IQ61913879</v>
          </cell>
        </row>
        <row r="658">
          <cell r="I658" t="str">
            <v>University of Maine - Graduate School of Business</v>
          </cell>
          <cell r="J658" t="str">
            <v>University Of Maine System Inc.</v>
          </cell>
          <cell r="O658" t="str">
            <v>IQ31337679</v>
          </cell>
          <cell r="P658" t="str">
            <v>IQ4205070</v>
          </cell>
        </row>
        <row r="660">
          <cell r="I660" t="str">
            <v>Maine Maritime Academy</v>
          </cell>
          <cell r="O660" t="str">
            <v>IQ30961965</v>
          </cell>
        </row>
        <row r="662">
          <cell r="I662" t="str">
            <v>Northern Maine Community College Education Foundation</v>
          </cell>
          <cell r="O662" t="str">
            <v>IQ260702453</v>
          </cell>
        </row>
        <row r="663">
          <cell r="I663" t="str">
            <v>Southern Maine Community College Foundation</v>
          </cell>
          <cell r="O663" t="str">
            <v>IQ30885012</v>
          </cell>
        </row>
        <row r="664">
          <cell r="I664" t="str">
            <v>University of Southern Maine</v>
          </cell>
          <cell r="O664" t="str">
            <v>IQ6204742</v>
          </cell>
        </row>
        <row r="667">
          <cell r="I667" t="str">
            <v>Anne Arundel Community College</v>
          </cell>
          <cell r="J667" t="str">
            <v>The Anne Arundel Community College Foundation, Inc.</v>
          </cell>
          <cell r="O667" t="str">
            <v>IQ4288915</v>
          </cell>
          <cell r="P667" t="str">
            <v>IQ29014545</v>
          </cell>
        </row>
        <row r="668">
          <cell r="I668" t="str">
            <v>Baltimore City Community College</v>
          </cell>
          <cell r="J668" t="str">
            <v>Baltimore City Community College Foundation, Incorporated</v>
          </cell>
          <cell r="O668" t="str">
            <v>IQ73471311</v>
          </cell>
          <cell r="P668" t="str">
            <v>IQ30741724</v>
          </cell>
        </row>
        <row r="669">
          <cell r="I669" t="str">
            <v>University of Baltimore</v>
          </cell>
          <cell r="O669" t="str">
            <v>IQ6185918</v>
          </cell>
        </row>
        <row r="670">
          <cell r="I670" t="str">
            <v>Bowie State University</v>
          </cell>
          <cell r="O670" t="str">
            <v>IQ6058230</v>
          </cell>
        </row>
        <row r="673">
          <cell r="I673" t="str">
            <v>Chesapeake College (Inc)</v>
          </cell>
          <cell r="O673" t="str">
            <v>IQ4533034</v>
          </cell>
        </row>
        <row r="674">
          <cell r="I674" t="str">
            <v>Coppin State University</v>
          </cell>
          <cell r="J674" t="str">
            <v>Coppin State University Development Foundation, Inc.</v>
          </cell>
          <cell r="O674" t="str">
            <v>IQ27146875</v>
          </cell>
          <cell r="P674" t="str">
            <v>IQ113358342</v>
          </cell>
        </row>
        <row r="675">
          <cell r="I675" t="str">
            <v>Frederick Community College</v>
          </cell>
          <cell r="O675" t="str">
            <v>IQ23302581</v>
          </cell>
        </row>
        <row r="676">
          <cell r="I676" t="str">
            <v>Frostburg State University</v>
          </cell>
          <cell r="O676" t="str">
            <v>IQ6161851</v>
          </cell>
        </row>
        <row r="677">
          <cell r="I677" t="str">
            <v>Garrett College</v>
          </cell>
          <cell r="O677" t="str">
            <v>IQ35131623</v>
          </cell>
        </row>
        <row r="678">
          <cell r="I678" t="str">
            <v>Hagerstown Community College</v>
          </cell>
          <cell r="O678" t="str">
            <v>IQ6582260</v>
          </cell>
        </row>
        <row r="680">
          <cell r="I680" t="str">
            <v>Howard Community College</v>
          </cell>
          <cell r="O680" t="str">
            <v>IQ4549976</v>
          </cell>
        </row>
        <row r="682">
          <cell r="I682" t="str">
            <v>University of Maryland, Baltimore</v>
          </cell>
          <cell r="J682" t="str">
            <v>University of Maryland, Baltimore County</v>
          </cell>
          <cell r="O682" t="str">
            <v>IQ61144885</v>
          </cell>
          <cell r="P682" t="str">
            <v>IQ7618483</v>
          </cell>
        </row>
        <row r="683">
          <cell r="I683" t="str">
            <v>University of Maryland, Baltimore County</v>
          </cell>
          <cell r="O683" t="str">
            <v>IQ7618483</v>
          </cell>
        </row>
        <row r="684">
          <cell r="I684" t="str">
            <v>University of Maryland Eastern Shore</v>
          </cell>
          <cell r="J684" t="str">
            <v>University of Maryland Eastern Shore University Dining</v>
          </cell>
          <cell r="O684" t="str">
            <v>IQ13334809</v>
          </cell>
          <cell r="P684" t="str">
            <v>IQ243279804</v>
          </cell>
        </row>
        <row r="685">
          <cell r="I685" t="str">
            <v>Montgomery College Foundation, Inc.</v>
          </cell>
          <cell r="O685" t="str">
            <v>IQ6491006</v>
          </cell>
        </row>
        <row r="686">
          <cell r="I686" t="str">
            <v>Morgan State University</v>
          </cell>
          <cell r="J686" t="str">
            <v>Morgan State University Foundation, Inc.</v>
          </cell>
          <cell r="O686" t="str">
            <v>IQ4260317</v>
          </cell>
          <cell r="P686" t="str">
            <v>IQ228625471</v>
          </cell>
        </row>
        <row r="687">
          <cell r="I687" t="str">
            <v>Prince George's Community College</v>
          </cell>
          <cell r="O687" t="str">
            <v>IQ6535353</v>
          </cell>
        </row>
        <row r="688">
          <cell r="I688" t="str">
            <v>Salisbury University</v>
          </cell>
          <cell r="J688" t="str">
            <v>Salisbury University Foundation Inc</v>
          </cell>
          <cell r="O688" t="str">
            <v>IQ4465394</v>
          </cell>
          <cell r="P688" t="str">
            <v>IQ143256370</v>
          </cell>
        </row>
        <row r="690">
          <cell r="I690" t="str">
            <v>Towson University</v>
          </cell>
          <cell r="O690" t="str">
            <v>IQ22094629</v>
          </cell>
        </row>
        <row r="691">
          <cell r="I691" t="str">
            <v>University System of Maryland, Inc.</v>
          </cell>
          <cell r="J691" t="str">
            <v>The University System of Maryland Foundation, Inc.</v>
          </cell>
          <cell r="K691" t="str">
            <v>University System of Maryland, Endowment Arm</v>
          </cell>
          <cell r="L691" t="str">
            <v>The University System of Maryland Foundation, Inc., Endowment Arm</v>
          </cell>
          <cell r="O691" t="str">
            <v>IQ4422166</v>
          </cell>
          <cell r="P691" t="str">
            <v>IQ59040241</v>
          </cell>
          <cell r="Q691" t="str">
            <v>IQ222989613</v>
          </cell>
          <cell r="R691" t="str">
            <v>IQ59040268</v>
          </cell>
        </row>
        <row r="692">
          <cell r="I692" t="str">
            <v>United States Naval Academy</v>
          </cell>
          <cell r="J692" t="str">
            <v>US Naval Academy Foundation</v>
          </cell>
          <cell r="O692" t="str">
            <v>IQ6185009</v>
          </cell>
          <cell r="P692" t="str">
            <v>IQ167999668</v>
          </cell>
        </row>
        <row r="693">
          <cell r="I693" t="str">
            <v>Wor-Wic Community College, Inc.</v>
          </cell>
          <cell r="O693" t="str">
            <v>IQ4588161</v>
          </cell>
        </row>
        <row r="695">
          <cell r="I695" t="str">
            <v>Berkshire Community College</v>
          </cell>
          <cell r="J695" t="str">
            <v>The Berkshire Community College Foundation</v>
          </cell>
          <cell r="O695" t="str">
            <v>IQ4473243</v>
          </cell>
          <cell r="P695" t="str">
            <v>IQ249866220</v>
          </cell>
        </row>
        <row r="696">
          <cell r="I696" t="str">
            <v>Bridgewater State College</v>
          </cell>
          <cell r="O696" t="str">
            <v>IQ6058340</v>
          </cell>
        </row>
        <row r="697">
          <cell r="I697" t="str">
            <v>Bristol Community College (Inc)</v>
          </cell>
          <cell r="O697" t="str">
            <v>IQ6909070</v>
          </cell>
        </row>
        <row r="698">
          <cell r="I698" t="str">
            <v>Bunker Hill Community College</v>
          </cell>
          <cell r="J698" t="str">
            <v>Bunker Hill Community College Foundation, Inc.</v>
          </cell>
          <cell r="O698" t="str">
            <v>IQ4483581</v>
          </cell>
          <cell r="P698" t="str">
            <v>IQ49793121</v>
          </cell>
        </row>
        <row r="699">
          <cell r="I699" t="str">
            <v>Cape Cod Community College</v>
          </cell>
          <cell r="O699" t="str">
            <v>IQ4451676</v>
          </cell>
        </row>
        <row r="701">
          <cell r="I701" t="str">
            <v>Fitchburg State College</v>
          </cell>
          <cell r="J701" t="str">
            <v>Fitchburg State University Foundation, Inc.</v>
          </cell>
          <cell r="O701" t="str">
            <v>IQ6161813</v>
          </cell>
          <cell r="P701" t="str">
            <v>IQ145992379</v>
          </cell>
        </row>
        <row r="702">
          <cell r="I702" t="str">
            <v>Framingham State College</v>
          </cell>
          <cell r="O702" t="str">
            <v>IQ6161823</v>
          </cell>
        </row>
        <row r="703">
          <cell r="I703" t="str">
            <v>Greenfield Community College</v>
          </cell>
          <cell r="O703" t="str">
            <v>IQ6554405</v>
          </cell>
        </row>
        <row r="704">
          <cell r="I704" t="str">
            <v>Holyoke Community College</v>
          </cell>
          <cell r="O704" t="str">
            <v>IQ6784299</v>
          </cell>
        </row>
        <row r="705">
          <cell r="I705" t="str">
            <v>University of Massachusetts Lowell</v>
          </cell>
          <cell r="O705" t="str">
            <v>IQ6180797</v>
          </cell>
        </row>
        <row r="706">
          <cell r="I706" t="str">
            <v>University of Massachusetts, Amherst</v>
          </cell>
          <cell r="O706" t="str">
            <v>IQ6190847</v>
          </cell>
        </row>
        <row r="707">
          <cell r="I707" t="str">
            <v>University of Massachusetts, Boston</v>
          </cell>
          <cell r="O707" t="str">
            <v>IQ6190875</v>
          </cell>
        </row>
        <row r="708">
          <cell r="I708" t="str">
            <v>Massachusetts Bay Community College</v>
          </cell>
          <cell r="J708" t="str">
            <v>Massachusetts Bay Community College</v>
          </cell>
          <cell r="O708" t="str">
            <v>IQ4396344</v>
          </cell>
          <cell r="P708" t="str">
            <v>IQ58009082</v>
          </cell>
        </row>
        <row r="713">
          <cell r="I713" t="str">
            <v>Massasoit Community College</v>
          </cell>
          <cell r="O713" t="str">
            <v>IQ4349251</v>
          </cell>
        </row>
        <row r="714">
          <cell r="I714" t="str">
            <v>Middlesex Community College</v>
          </cell>
          <cell r="O714" t="str">
            <v>IQ4560500</v>
          </cell>
        </row>
        <row r="715">
          <cell r="I715" t="str">
            <v>Mount Wachusett Community College</v>
          </cell>
          <cell r="O715" t="str">
            <v>IQ4458050</v>
          </cell>
        </row>
        <row r="716">
          <cell r="I716" t="str">
            <v>Massachusetts College Of Liberal Arts</v>
          </cell>
          <cell r="O716" t="str">
            <v>IQ4442823</v>
          </cell>
        </row>
        <row r="717">
          <cell r="I717" t="str">
            <v>North Shore Community College</v>
          </cell>
          <cell r="O717" t="str">
            <v>IQ252046326</v>
          </cell>
        </row>
        <row r="719">
          <cell r="I719" t="str">
            <v>Quincy College</v>
          </cell>
          <cell r="O719" t="str">
            <v>IQ7618156</v>
          </cell>
        </row>
        <row r="720">
          <cell r="I720" t="str">
            <v>Quinsigamond Community College</v>
          </cell>
          <cell r="O720" t="str">
            <v>IQ6789757</v>
          </cell>
        </row>
        <row r="721">
          <cell r="I721" t="str">
            <v>Roxbury Community College</v>
          </cell>
          <cell r="O721" t="str">
            <v>IQ51860713</v>
          </cell>
        </row>
        <row r="722">
          <cell r="I722" t="str">
            <v>Salem State College</v>
          </cell>
          <cell r="O722" t="str">
            <v>IQ4434637</v>
          </cell>
        </row>
        <row r="725">
          <cell r="I725" t="str">
            <v>University Of Massachusetts Dartmouth Foundation</v>
          </cell>
          <cell r="O725" t="str">
            <v>IQ240996978</v>
          </cell>
        </row>
        <row r="726">
          <cell r="I726" t="str">
            <v>Westfield State College</v>
          </cell>
          <cell r="O726" t="str">
            <v>IQ4437373</v>
          </cell>
        </row>
        <row r="728">
          <cell r="I728" t="str">
            <v>Alpena Community College</v>
          </cell>
          <cell r="J728" t="str">
            <v>Alpena Community College District, Michigan</v>
          </cell>
          <cell r="O728" t="str">
            <v>IQ6788339</v>
          </cell>
          <cell r="P728" t="str">
            <v>IQ212172349</v>
          </cell>
        </row>
        <row r="730">
          <cell r="I730" t="str">
            <v>Central Michigan University</v>
          </cell>
          <cell r="J730" t="str">
            <v>Board of Trustees of Central Michigan University</v>
          </cell>
          <cell r="K730" t="str">
            <v>CHA University - College of Medicine</v>
          </cell>
          <cell r="L730" t="str">
            <v>Central Michigan University, East Lansing</v>
          </cell>
          <cell r="M730" t="str">
            <v>Central Michigan University Endowment</v>
          </cell>
          <cell r="O730" t="str">
            <v>IQ4249403</v>
          </cell>
          <cell r="P730" t="str">
            <v>IQ212046280</v>
          </cell>
          <cell r="Q730" t="str">
            <v>IQ142582908</v>
          </cell>
          <cell r="R730" t="str">
            <v>IQ38652138</v>
          </cell>
          <cell r="S730" t="str">
            <v>IQ6059920</v>
          </cell>
        </row>
        <row r="731">
          <cell r="I731" t="str">
            <v>Charles Stewart Mott Community College</v>
          </cell>
          <cell r="O731" t="str">
            <v>IQ8986811</v>
          </cell>
        </row>
        <row r="732">
          <cell r="I732" t="str">
            <v>Delta College</v>
          </cell>
          <cell r="J732" t="str">
            <v>Delta College Of Arts &amp; Technology, Inc.</v>
          </cell>
          <cell r="O732" t="str">
            <v>IQ1587127</v>
          </cell>
          <cell r="P732" t="str">
            <v>IQ130408451</v>
          </cell>
        </row>
        <row r="733">
          <cell r="I733" t="str">
            <v>Eastern Michigan University</v>
          </cell>
          <cell r="J733" t="str">
            <v>Eastern Michigan University Credit Union</v>
          </cell>
          <cell r="K733" t="str">
            <v>Eastern Michigan University College of Business.</v>
          </cell>
          <cell r="L733" t="str">
            <v>Eastern Michigan University Board of Regents</v>
          </cell>
          <cell r="M733" t="str">
            <v>Eastern Michigan University Cu</v>
          </cell>
          <cell r="O733" t="str">
            <v>IQ4251704</v>
          </cell>
          <cell r="P733" t="str">
            <v>IQ127290680</v>
          </cell>
          <cell r="Q733" t="str">
            <v>IQ97990136</v>
          </cell>
          <cell r="R733" t="str">
            <v>IQ62108902</v>
          </cell>
          <cell r="S733" t="str">
            <v>IQ25813296</v>
          </cell>
        </row>
        <row r="734">
          <cell r="I734" t="str">
            <v>Ferris State University</v>
          </cell>
          <cell r="J734" t="str">
            <v>Ferris State University Board of Trustees, Michigan</v>
          </cell>
          <cell r="O734" t="str">
            <v>IQ4272955</v>
          </cell>
          <cell r="P734" t="str">
            <v>IQ57994960</v>
          </cell>
        </row>
        <row r="735">
          <cell r="I735" t="str">
            <v>Glen Oaks Community College</v>
          </cell>
          <cell r="O735" t="str">
            <v>IQ6933370</v>
          </cell>
        </row>
        <row r="736">
          <cell r="I736" t="str">
            <v>Gogebic Community College</v>
          </cell>
          <cell r="O736" t="str">
            <v>IQ12435788</v>
          </cell>
        </row>
        <row r="737">
          <cell r="I737" t="str">
            <v>Grand Rapids Community College, MI</v>
          </cell>
          <cell r="J737" t="str">
            <v>Grand Rapids Community College</v>
          </cell>
          <cell r="O737" t="str">
            <v>IQ57997641</v>
          </cell>
          <cell r="P737" t="str">
            <v>IQ4291218</v>
          </cell>
        </row>
        <row r="738">
          <cell r="I738" t="str">
            <v>Grand Valley State University</v>
          </cell>
          <cell r="J738" t="str">
            <v>Grand Valley State University Board of Trustees</v>
          </cell>
          <cell r="K738" t="str">
            <v>Grand Valley State University Board of Control</v>
          </cell>
          <cell r="O738" t="str">
            <v>IQ4259691</v>
          </cell>
          <cell r="P738" t="str">
            <v>IQ62109019</v>
          </cell>
          <cell r="Q738" t="str">
            <v>IQ62108968</v>
          </cell>
        </row>
        <row r="739">
          <cell r="I739" t="str">
            <v>Henry Ford Community College</v>
          </cell>
          <cell r="O739" t="str">
            <v>IQ30588738</v>
          </cell>
        </row>
        <row r="740">
          <cell r="I740" t="str">
            <v>Jackson College of Tufts University</v>
          </cell>
          <cell r="O740" t="str">
            <v>IQ7701044</v>
          </cell>
        </row>
        <row r="741">
          <cell r="I741" t="str">
            <v>Kalamazoo Valley Community College District, Michigan</v>
          </cell>
          <cell r="O741" t="str">
            <v>IQ278258306</v>
          </cell>
        </row>
        <row r="743">
          <cell r="I743" t="str">
            <v>Kirtland Community College</v>
          </cell>
          <cell r="O743" t="str">
            <v>IQ6816070</v>
          </cell>
        </row>
        <row r="746">
          <cell r="I746" t="str">
            <v>Lansing Community College</v>
          </cell>
          <cell r="O746" t="str">
            <v>IQ4273098</v>
          </cell>
        </row>
        <row r="747">
          <cell r="I747" t="str">
            <v>Macomb Community College Foundation</v>
          </cell>
          <cell r="O747" t="str">
            <v>IQ4333866</v>
          </cell>
        </row>
        <row r="748">
          <cell r="I748" t="str">
            <v>Michigan State University</v>
          </cell>
          <cell r="J748" t="str">
            <v>Michigan State University, Endowment Arm</v>
          </cell>
          <cell r="K748" t="str">
            <v>Michigan State University College of Law</v>
          </cell>
          <cell r="L748" t="str">
            <v>Michigan State University Kalamazoo Center for Medical Studies</v>
          </cell>
          <cell r="M748" t="str">
            <v>Michigan State University Extension</v>
          </cell>
          <cell r="O748" t="str">
            <v>IQ3785017</v>
          </cell>
          <cell r="P748" t="str">
            <v>IQ3533768</v>
          </cell>
          <cell r="Q748" t="str">
            <v>IQ38719805</v>
          </cell>
          <cell r="R748" t="str">
            <v>IQ30689815</v>
          </cell>
          <cell r="S748" t="str">
            <v>IQ22582974</v>
          </cell>
        </row>
        <row r="749">
          <cell r="I749" t="str">
            <v>Michigan Technological University</v>
          </cell>
          <cell r="J749" t="str">
            <v>Michigan Technological University  Board of Control</v>
          </cell>
          <cell r="O749" t="str">
            <v>IQ4275938</v>
          </cell>
          <cell r="P749" t="str">
            <v>IQ139203653</v>
          </cell>
        </row>
        <row r="750">
          <cell r="I750" t="str">
            <v>University Of Michigan-dearborn</v>
          </cell>
          <cell r="O750" t="str">
            <v>IQ31143629</v>
          </cell>
        </row>
        <row r="754">
          <cell r="I754" t="str">
            <v>Montcalm Community College Foundation</v>
          </cell>
          <cell r="O754" t="str">
            <v>IQ4595520</v>
          </cell>
        </row>
        <row r="755">
          <cell r="I755" t="str">
            <v>Muskegon Community College</v>
          </cell>
          <cell r="O755" t="str">
            <v>IQ6573322</v>
          </cell>
        </row>
        <row r="756">
          <cell r="I756" t="str">
            <v>North Central Michigan College</v>
          </cell>
          <cell r="J756" t="str">
            <v>North Central Michigan College District</v>
          </cell>
          <cell r="K756" t="str">
            <v>North Central Michigan College Foundation</v>
          </cell>
          <cell r="O756" t="str">
            <v>IQ58013985</v>
          </cell>
          <cell r="P756" t="str">
            <v>IQ182304954</v>
          </cell>
          <cell r="Q756" t="str">
            <v>IQ4564570</v>
          </cell>
        </row>
        <row r="757">
          <cell r="I757" t="str">
            <v>Northern Michigan University</v>
          </cell>
          <cell r="J757" t="str">
            <v>Northern Michigan University Board of Control</v>
          </cell>
          <cell r="O757" t="str">
            <v>IQ4293072</v>
          </cell>
          <cell r="P757" t="str">
            <v>IQ224163999</v>
          </cell>
        </row>
        <row r="758">
          <cell r="I758" t="str">
            <v>Northwestern Michigan College</v>
          </cell>
          <cell r="O758" t="str">
            <v>IQ4533714</v>
          </cell>
        </row>
        <row r="759">
          <cell r="I759" t="str">
            <v>Oakland Community College</v>
          </cell>
          <cell r="O759" t="str">
            <v>IQ4258294</v>
          </cell>
        </row>
        <row r="760">
          <cell r="I760" t="str">
            <v>Oakland University</v>
          </cell>
          <cell r="J760" t="str">
            <v>Oakland University Board of Trustees</v>
          </cell>
          <cell r="K760" t="str">
            <v>Oakland University School of Engineering and Computer Science</v>
          </cell>
          <cell r="O760" t="str">
            <v>IQ4249512</v>
          </cell>
          <cell r="P760" t="str">
            <v>IQ139086788</v>
          </cell>
          <cell r="Q760" t="str">
            <v>IQ10779717</v>
          </cell>
        </row>
        <row r="762">
          <cell r="I762" t="str">
            <v>Schoolcraft College</v>
          </cell>
          <cell r="O762" t="str">
            <v>IQ4301441</v>
          </cell>
        </row>
        <row r="763">
          <cell r="I763" t="str">
            <v>St Clair County Community College</v>
          </cell>
          <cell r="O763" t="str">
            <v>IQ4423361</v>
          </cell>
        </row>
        <row r="764">
          <cell r="I764" t="str">
            <v>Southwestern Michigan College</v>
          </cell>
          <cell r="J764" t="str">
            <v>Southwestern Michigan College Michigan Cass &amp; Van Buren</v>
          </cell>
          <cell r="O764" t="str">
            <v>IQ6706632</v>
          </cell>
          <cell r="P764" t="str">
            <v>IQ58025670</v>
          </cell>
        </row>
        <row r="766">
          <cell r="I766" t="str">
            <v>Washtenaw Community College, Michigan</v>
          </cell>
          <cell r="O766" t="str">
            <v>IQ4281084</v>
          </cell>
        </row>
        <row r="767">
          <cell r="I767" t="str">
            <v>Wayne County Community College District</v>
          </cell>
          <cell r="O767" t="str">
            <v>IQ4322989</v>
          </cell>
        </row>
        <row r="768">
          <cell r="I768" t="str">
            <v>Wayne State University</v>
          </cell>
          <cell r="O768" t="str">
            <v>IQ4200926</v>
          </cell>
        </row>
        <row r="769">
          <cell r="I769" t="str">
            <v>West Shore Community College</v>
          </cell>
          <cell r="O769" t="str">
            <v>IQ6907395</v>
          </cell>
        </row>
        <row r="770">
          <cell r="I770" t="str">
            <v>Western Michigan University</v>
          </cell>
          <cell r="J770" t="str">
            <v>Western Michigan University School Of Medicine</v>
          </cell>
          <cell r="O770" t="str">
            <v>IQ4223256</v>
          </cell>
          <cell r="P770" t="str">
            <v>IQ224093661</v>
          </cell>
        </row>
        <row r="774">
          <cell r="I774" t="str">
            <v>Riverland Community College Austin</v>
          </cell>
          <cell r="O774" t="str">
            <v>IQ251908454</v>
          </cell>
        </row>
        <row r="776">
          <cell r="I776" t="str">
            <v>Bemidji State University</v>
          </cell>
          <cell r="J776" t="str">
            <v>Bemidji State University Foundation</v>
          </cell>
          <cell r="O776" t="str">
            <v>IQ4398697</v>
          </cell>
          <cell r="P776" t="str">
            <v>IQ240772380</v>
          </cell>
        </row>
        <row r="783">
          <cell r="I783" t="str">
            <v>Hibbing Community College, A Technical And Community College</v>
          </cell>
          <cell r="O783" t="str">
            <v>IQ4546399</v>
          </cell>
        </row>
        <row r="784">
          <cell r="I784" t="str">
            <v>Inver Hills Community College</v>
          </cell>
          <cell r="O784" t="str">
            <v>IQ6816656</v>
          </cell>
        </row>
        <row r="785">
          <cell r="I785" t="str">
            <v>Itasca Community College</v>
          </cell>
          <cell r="O785" t="str">
            <v>IQ6919556</v>
          </cell>
        </row>
        <row r="787">
          <cell r="I787" t="str">
            <v>Minnesota State University, Mankato</v>
          </cell>
          <cell r="J787" t="str">
            <v>Minnesota State University Mankato Foundation Inc</v>
          </cell>
          <cell r="K787" t="str">
            <v>Minnesota State University, Mankato College of Business</v>
          </cell>
          <cell r="O787" t="str">
            <v>IQ4293077</v>
          </cell>
          <cell r="P787" t="str">
            <v>IQ145366027</v>
          </cell>
          <cell r="Q787" t="str">
            <v>IQ114172497</v>
          </cell>
        </row>
        <row r="789">
          <cell r="I789" t="str">
            <v>Metropolitan State University</v>
          </cell>
          <cell r="O789" t="str">
            <v>IQ6181189</v>
          </cell>
        </row>
        <row r="790">
          <cell r="I790" t="str">
            <v>University of Minnesota, Twin Cities</v>
          </cell>
          <cell r="O790" t="str">
            <v>IQ3759076</v>
          </cell>
        </row>
        <row r="793">
          <cell r="I793" t="str">
            <v>University of Minnesota, Duluth</v>
          </cell>
          <cell r="O793" t="str">
            <v>IQ6191018</v>
          </cell>
        </row>
        <row r="795">
          <cell r="I795" t="str">
            <v>Minnesota State University Moorhead</v>
          </cell>
          <cell r="O795" t="str">
            <v>IQ4393080</v>
          </cell>
        </row>
        <row r="796">
          <cell r="I796" t="str">
            <v>North Hennepin Community College</v>
          </cell>
          <cell r="O796" t="str">
            <v>IQ4449987</v>
          </cell>
        </row>
        <row r="797">
          <cell r="I797" t="str">
            <v>Normandale Community College</v>
          </cell>
          <cell r="O797" t="str">
            <v>IQ6706691</v>
          </cell>
        </row>
        <row r="804">
          <cell r="I804" t="str">
            <v>Saint Paul College - A Community &amp; Technical College</v>
          </cell>
          <cell r="O804" t="str">
            <v>IQ6551098</v>
          </cell>
        </row>
        <row r="805">
          <cell r="I805" t="str">
            <v>Southwest Minnesota State University</v>
          </cell>
          <cell r="O805" t="str">
            <v>IQ39583728</v>
          </cell>
        </row>
        <row r="808">
          <cell r="I808" t="str">
            <v>Minnesota State College-Southeast Technical</v>
          </cell>
          <cell r="O808" t="str">
            <v>IQ4596027</v>
          </cell>
        </row>
        <row r="810">
          <cell r="I810" t="str">
            <v>Century College</v>
          </cell>
          <cell r="O810" t="str">
            <v>IQ6550377</v>
          </cell>
        </row>
        <row r="811">
          <cell r="I811" t="str">
            <v>Alcorn State University</v>
          </cell>
          <cell r="J811" t="str">
            <v>Alcorn State University Foundation Inc</v>
          </cell>
          <cell r="K811" t="str">
            <v>The Alcorn State University Educational Building Corporation</v>
          </cell>
          <cell r="O811" t="str">
            <v>IQ6517588</v>
          </cell>
          <cell r="P811" t="str">
            <v>IQ222549150</v>
          </cell>
          <cell r="Q811" t="str">
            <v>IQ57979952</v>
          </cell>
        </row>
        <row r="812">
          <cell r="I812" t="str">
            <v>Coahoma Community College</v>
          </cell>
          <cell r="J812" t="str">
            <v>Coahoma Community College District Mississippi</v>
          </cell>
          <cell r="O812" t="str">
            <v>IQ6910236</v>
          </cell>
          <cell r="P812" t="str">
            <v>IQ57988789</v>
          </cell>
        </row>
        <row r="814">
          <cell r="I814" t="str">
            <v>Delta State University</v>
          </cell>
          <cell r="J814" t="str">
            <v>Delta State University Foundation LLC</v>
          </cell>
          <cell r="K814" t="str">
            <v>Delta State University Educational Building Corp.</v>
          </cell>
          <cell r="L814" t="str">
            <v>Delta State University (Inc)</v>
          </cell>
          <cell r="O814" t="str">
            <v>IQ13223594</v>
          </cell>
          <cell r="P814" t="str">
            <v>IQ139423620</v>
          </cell>
          <cell r="Q814" t="str">
            <v>IQ57991735</v>
          </cell>
          <cell r="R814" t="str">
            <v>IQ4439808</v>
          </cell>
        </row>
        <row r="815">
          <cell r="I815" t="str">
            <v>East Central Community College</v>
          </cell>
          <cell r="O815" t="str">
            <v>IQ4515622</v>
          </cell>
        </row>
        <row r="816">
          <cell r="I816" t="str">
            <v>East Mississippi Community College</v>
          </cell>
          <cell r="J816" t="str">
            <v>East Mississippi Community College District</v>
          </cell>
          <cell r="O816" t="str">
            <v>IQ4458671</v>
          </cell>
          <cell r="P816" t="str">
            <v>IQ57993103</v>
          </cell>
        </row>
        <row r="817">
          <cell r="I817" t="str">
            <v>Hinds Community College District Mississippi</v>
          </cell>
          <cell r="O817" t="str">
            <v>IQ58000600</v>
          </cell>
        </row>
        <row r="818">
          <cell r="I818" t="str">
            <v>Holmes Community College</v>
          </cell>
          <cell r="O818" t="str">
            <v>IQ49214852</v>
          </cell>
        </row>
        <row r="819">
          <cell r="I819" t="str">
            <v>Itawamba Community College District Mississippi Certificates Partnership</v>
          </cell>
          <cell r="J819" t="str">
            <v>Itawamba Community College District Mississippi</v>
          </cell>
          <cell r="O819" t="str">
            <v>IQ58002204</v>
          </cell>
          <cell r="P819" t="str">
            <v>IQ58002203</v>
          </cell>
        </row>
        <row r="820">
          <cell r="I820" t="str">
            <v>Jackson State University</v>
          </cell>
          <cell r="O820" t="str">
            <v>IQ4259317</v>
          </cell>
        </row>
        <row r="822">
          <cell r="I822" t="str">
            <v>Meridian Community College</v>
          </cell>
          <cell r="J822" t="str">
            <v>Meridian Community College District</v>
          </cell>
          <cell r="O822" t="str">
            <v>IQ6675082</v>
          </cell>
          <cell r="P822" t="str">
            <v>IQ138907136</v>
          </cell>
        </row>
        <row r="825">
          <cell r="I825" t="str">
            <v>University of Mississippi - Oxford</v>
          </cell>
          <cell r="J825" t="str">
            <v>University Of Mississippi Medical Center</v>
          </cell>
          <cell r="K825" t="str">
            <v>The University of Mississippi Educational Building Corp.</v>
          </cell>
          <cell r="L825" t="str">
            <v>University Of Mississippi School Of Pharmacy</v>
          </cell>
          <cell r="M825" t="str">
            <v>University of Mississippi at Hattiesburg</v>
          </cell>
          <cell r="O825" t="str">
            <v>IQ4108487</v>
          </cell>
          <cell r="P825" t="str">
            <v>IQ22614911</v>
          </cell>
          <cell r="Q825" t="str">
            <v>IQ58029427</v>
          </cell>
          <cell r="R825" t="str">
            <v>IQ22024252</v>
          </cell>
          <cell r="S825" t="str">
            <v>IQ13239878</v>
          </cell>
        </row>
        <row r="826">
          <cell r="I826" t="str">
            <v>University Of Mississippi Medical Center</v>
          </cell>
          <cell r="J826" t="str">
            <v>University of Mississippi Medical Center Grenada</v>
          </cell>
          <cell r="O826" t="str">
            <v>IQ22614911</v>
          </cell>
          <cell r="P826" t="str">
            <v>IQ51826017</v>
          </cell>
        </row>
        <row r="827">
          <cell r="I827" t="str">
            <v>Mississippi University For Women</v>
          </cell>
          <cell r="O827" t="str">
            <v>IQ225001676</v>
          </cell>
        </row>
        <row r="829">
          <cell r="I829" t="str">
            <v>Mississippi Gulf Coast Community College</v>
          </cell>
          <cell r="O829" t="str">
            <v>IQ4304577</v>
          </cell>
        </row>
        <row r="830">
          <cell r="I830" t="str">
            <v>Mississippi State University</v>
          </cell>
          <cell r="J830" t="str">
            <v>Mississippi State University Foundation, Inc.</v>
          </cell>
          <cell r="K830" t="str">
            <v>Mississippi State University Extension Service</v>
          </cell>
          <cell r="O830" t="str">
            <v>IQ4162305</v>
          </cell>
          <cell r="P830" t="str">
            <v>IQ6571915</v>
          </cell>
          <cell r="Q830" t="str">
            <v>IQ4474276</v>
          </cell>
        </row>
        <row r="832">
          <cell r="I832" t="str">
            <v>Northwest Mississippi Community College</v>
          </cell>
          <cell r="O832" t="str">
            <v>IQ4329363</v>
          </cell>
        </row>
        <row r="833">
          <cell r="I833" t="str">
            <v>Pearl River Community College</v>
          </cell>
          <cell r="O833" t="str">
            <v>IQ4591378</v>
          </cell>
        </row>
        <row r="834">
          <cell r="I834" t="str">
            <v>Southwest Mississippi Community College</v>
          </cell>
          <cell r="O834" t="str">
            <v>IQ53119465</v>
          </cell>
        </row>
        <row r="835">
          <cell r="I835" t="str">
            <v>University Of Southern Mississippi</v>
          </cell>
          <cell r="J835" t="str">
            <v>University Of Southern Mississippi Federal Credit Union</v>
          </cell>
          <cell r="K835" t="str">
            <v>University of Southern Mississippi Honors College</v>
          </cell>
          <cell r="L835" t="str">
            <v>University Of Southern Mississippi Alumni Association</v>
          </cell>
          <cell r="O835" t="str">
            <v>IQ4251749</v>
          </cell>
          <cell r="P835" t="str">
            <v>IQ127373891</v>
          </cell>
          <cell r="Q835" t="str">
            <v>IQ31207182</v>
          </cell>
          <cell r="R835" t="str">
            <v>IQ4220859</v>
          </cell>
        </row>
        <row r="837">
          <cell r="I837" t="str">
            <v>University of Central Missouri</v>
          </cell>
          <cell r="J837" t="str">
            <v>University of Central Missouri, Endowment Arm</v>
          </cell>
          <cell r="O837" t="str">
            <v>IQ4258557</v>
          </cell>
          <cell r="P837" t="str">
            <v>IQ253212431</v>
          </cell>
        </row>
        <row r="840">
          <cell r="I840" t="str">
            <v>Crowder College</v>
          </cell>
          <cell r="J840" t="str">
            <v>Crowder College Facilities Corporation</v>
          </cell>
          <cell r="O840" t="str">
            <v>IQ40271320</v>
          </cell>
          <cell r="P840" t="str">
            <v>IQ143174749</v>
          </cell>
        </row>
        <row r="844">
          <cell r="I844" t="str">
            <v>Harris-Stowe State University Alumni Association, Inc.</v>
          </cell>
          <cell r="O844" t="str">
            <v>IQ6710318</v>
          </cell>
        </row>
        <row r="845">
          <cell r="I845" t="str">
            <v>Jefferson College Missouri Educational Facilities Authority</v>
          </cell>
          <cell r="O845" t="str">
            <v>IQ58002665</v>
          </cell>
        </row>
        <row r="847">
          <cell r="I847" t="str">
            <v>Lincoln University</v>
          </cell>
          <cell r="O847" t="str">
            <v>IQ6832732</v>
          </cell>
        </row>
        <row r="851">
          <cell r="I851" t="str">
            <v>Missouri Southern State University</v>
          </cell>
          <cell r="O851" t="str">
            <v>IQ30687247</v>
          </cell>
        </row>
        <row r="852">
          <cell r="I852" t="str">
            <v>Missouri Western State University</v>
          </cell>
          <cell r="J852" t="str">
            <v>Missouri Western State University Fndn</v>
          </cell>
          <cell r="O852" t="str">
            <v>IQ6181204</v>
          </cell>
          <cell r="P852" t="str">
            <v>IQ142906769</v>
          </cell>
        </row>
        <row r="855">
          <cell r="I855" t="str">
            <v>University of Missouri, Rolla</v>
          </cell>
          <cell r="O855" t="str">
            <v>IQ6191058</v>
          </cell>
        </row>
        <row r="856">
          <cell r="I856" t="str">
            <v>University of Missouri, St. Louis</v>
          </cell>
          <cell r="O856" t="str">
            <v>IQ6191060</v>
          </cell>
        </row>
        <row r="858">
          <cell r="I858" t="str">
            <v>Moberly Area Community College</v>
          </cell>
          <cell r="O858" t="str">
            <v>IQ4662928</v>
          </cell>
        </row>
        <row r="861">
          <cell r="I861" t="str">
            <v>Truman State University</v>
          </cell>
          <cell r="O861" t="str">
            <v>IQ4277279</v>
          </cell>
        </row>
        <row r="862">
          <cell r="I862" t="str">
            <v>Northwest Missouri State University</v>
          </cell>
          <cell r="O862" t="str">
            <v>IQ6181509</v>
          </cell>
        </row>
        <row r="868">
          <cell r="I868" t="str">
            <v>State Fair Community College</v>
          </cell>
          <cell r="J868" t="str">
            <v>STATE Fair Community College Facilities Corp Missouri Certificates Partnership</v>
          </cell>
          <cell r="O868" t="str">
            <v>IQ6701657</v>
          </cell>
          <cell r="P868" t="str">
            <v>IQ58026565</v>
          </cell>
        </row>
        <row r="869">
          <cell r="I869" t="str">
            <v>Southeast Missouri State University</v>
          </cell>
          <cell r="O869" t="str">
            <v>IQ4518558</v>
          </cell>
        </row>
        <row r="871">
          <cell r="I871" t="str">
            <v>Three Rivers Community College</v>
          </cell>
          <cell r="J871" t="str">
            <v>Three Rivers Community College District</v>
          </cell>
          <cell r="K871" t="str">
            <v>Three Rivers Community College Building Corp, Missouri</v>
          </cell>
          <cell r="O871" t="str">
            <v>IQ20701446</v>
          </cell>
          <cell r="P871" t="str">
            <v>IQ216320439</v>
          </cell>
          <cell r="Q871" t="str">
            <v>IQ58028146</v>
          </cell>
        </row>
        <row r="875">
          <cell r="I875" t="str">
            <v>Dawson Community College District Mont</v>
          </cell>
          <cell r="O875" t="str">
            <v>IQ57991243</v>
          </cell>
        </row>
        <row r="876">
          <cell r="I876" t="str">
            <v>Chief Dull Knife College, Inc</v>
          </cell>
          <cell r="O876" t="str">
            <v>IQ109000439</v>
          </cell>
        </row>
        <row r="877">
          <cell r="I877" t="str">
            <v>Montana State University-Billings</v>
          </cell>
          <cell r="O877" t="str">
            <v>IQ4361109</v>
          </cell>
        </row>
        <row r="878">
          <cell r="I878" t="str">
            <v>Flathead Valley Community College Foundation, Inc.</v>
          </cell>
          <cell r="O878" t="str">
            <v>IQ4630064</v>
          </cell>
        </row>
        <row r="880">
          <cell r="I880" t="str">
            <v>Fort Peck Community College</v>
          </cell>
          <cell r="O880" t="str">
            <v>IQ51790920</v>
          </cell>
        </row>
        <row r="884">
          <cell r="I884" t="str">
            <v>Miles Community College</v>
          </cell>
          <cell r="O884" t="str">
            <v>IQ113494846</v>
          </cell>
        </row>
        <row r="885">
          <cell r="I885" t="str">
            <v>Montana Tech Of The University Of Montana</v>
          </cell>
          <cell r="O885" t="str">
            <v>IQ4794012</v>
          </cell>
        </row>
        <row r="886">
          <cell r="I886" t="str">
            <v>Montana State University</v>
          </cell>
          <cell r="O886" t="str">
            <v>IQ4322703</v>
          </cell>
        </row>
        <row r="887">
          <cell r="I887" t="str">
            <v>University Of Montana Foundation</v>
          </cell>
          <cell r="O887" t="str">
            <v>IQ46776412</v>
          </cell>
        </row>
        <row r="890">
          <cell r="I890" t="str">
            <v>Central Community College Area, Nebraska</v>
          </cell>
          <cell r="J890" t="str">
            <v>Central Community College Facilities Corporation</v>
          </cell>
          <cell r="K890" t="str">
            <v>Central Community College Grand Island Campus</v>
          </cell>
          <cell r="O890" t="str">
            <v>IQ57986949</v>
          </cell>
          <cell r="P890" t="str">
            <v>IQ231948509</v>
          </cell>
          <cell r="Q890" t="str">
            <v>IQ4323533</v>
          </cell>
        </row>
        <row r="892">
          <cell r="I892" t="str">
            <v>University of Nebraska at Kearney</v>
          </cell>
          <cell r="O892" t="str">
            <v>IQ6191341</v>
          </cell>
        </row>
        <row r="894">
          <cell r="I894" t="str">
            <v>Mid Plains Community College</v>
          </cell>
          <cell r="J894" t="str">
            <v>Mid-plains Community College Area Facilities Corporation</v>
          </cell>
          <cell r="O894" t="str">
            <v>IQ4560665</v>
          </cell>
          <cell r="P894" t="str">
            <v>IQ225948271</v>
          </cell>
        </row>
        <row r="898">
          <cell r="I898" t="str">
            <v>University of Nebraska - Lincoln</v>
          </cell>
          <cell r="J898" t="str">
            <v>University of Nebraska - Lincoln College of Law</v>
          </cell>
          <cell r="O898" t="str">
            <v>IQ3777804</v>
          </cell>
          <cell r="P898" t="str">
            <v>IQ7700919</v>
          </cell>
        </row>
        <row r="899">
          <cell r="I899" t="str">
            <v>Northeast Community College</v>
          </cell>
          <cell r="O899" t="str">
            <v>IQ13226221</v>
          </cell>
        </row>
        <row r="900">
          <cell r="I900" t="str">
            <v>Peru State College</v>
          </cell>
          <cell r="O900" t="str">
            <v>IQ6182856</v>
          </cell>
        </row>
        <row r="901">
          <cell r="I901" t="str">
            <v>Southeast Community College Area</v>
          </cell>
          <cell r="J901" t="str">
            <v>Southeast Community College Area Nebraska Revenue</v>
          </cell>
          <cell r="O901" t="str">
            <v>IQ4303409</v>
          </cell>
          <cell r="P901" t="str">
            <v>IQ58025449</v>
          </cell>
        </row>
        <row r="907">
          <cell r="I907" t="str">
            <v>University of Nevada, Las Vegas</v>
          </cell>
          <cell r="O907" t="str">
            <v>IQ7618464</v>
          </cell>
        </row>
        <row r="908">
          <cell r="I908" t="str">
            <v>University of Nevada, Reno</v>
          </cell>
          <cell r="J908" t="str">
            <v>University Health System</v>
          </cell>
          <cell r="K908" t="str">
            <v>University Health Systems Inc</v>
          </cell>
          <cell r="O908" t="str">
            <v>IQ6191366</v>
          </cell>
          <cell r="P908" t="str">
            <v>IQ208358781</v>
          </cell>
          <cell r="Q908" t="str">
            <v>IQ54127015</v>
          </cell>
        </row>
        <row r="909">
          <cell r="I909" t="str">
            <v>Great Basin College</v>
          </cell>
          <cell r="O909" t="str">
            <v>IQ163258832</v>
          </cell>
        </row>
        <row r="910">
          <cell r="I910" t="str">
            <v>Truckee Meadows Community College</v>
          </cell>
          <cell r="O910" t="str">
            <v>IQ139448328</v>
          </cell>
        </row>
        <row r="914">
          <cell r="I914" t="str">
            <v>Keene State College</v>
          </cell>
          <cell r="O914" t="str">
            <v>IQ6179978</v>
          </cell>
        </row>
        <row r="916">
          <cell r="I916" t="str">
            <v>Plymouth State College</v>
          </cell>
          <cell r="J916" t="str">
            <v>Plymouth State University Dining Services</v>
          </cell>
          <cell r="O916" t="str">
            <v>IQ6182891</v>
          </cell>
          <cell r="P916" t="str">
            <v>IQ243436829</v>
          </cell>
        </row>
        <row r="917">
          <cell r="I917" t="str">
            <v>NHTI-Concord's Community College</v>
          </cell>
          <cell r="O917" t="str">
            <v>IQ169125216</v>
          </cell>
        </row>
        <row r="921">
          <cell r="I921" t="str">
            <v>Manchester Community College</v>
          </cell>
          <cell r="O921" t="str">
            <v>IQ38721698</v>
          </cell>
        </row>
        <row r="926">
          <cell r="I926" t="str">
            <v>Atlantic Cape Community College</v>
          </cell>
          <cell r="O926" t="str">
            <v>IQ4392922</v>
          </cell>
        </row>
        <row r="927">
          <cell r="I927" t="str">
            <v>Bergen Community College (Inc)</v>
          </cell>
          <cell r="O927" t="str">
            <v>IQ4293266</v>
          </cell>
        </row>
        <row r="928">
          <cell r="I928" t="str">
            <v>Brookdale Community College Inc</v>
          </cell>
          <cell r="O928" t="str">
            <v>IQ4291153</v>
          </cell>
        </row>
        <row r="929">
          <cell r="I929" t="str">
            <v>Burlington County College</v>
          </cell>
          <cell r="O929" t="str">
            <v>IQ4370483</v>
          </cell>
        </row>
        <row r="930">
          <cell r="I930" t="str">
            <v>Camden County College</v>
          </cell>
          <cell r="O930" t="str">
            <v>IQ4291012</v>
          </cell>
        </row>
        <row r="933">
          <cell r="I933" t="str">
            <v>Cumberland County College</v>
          </cell>
          <cell r="O933" t="str">
            <v>IQ27973043</v>
          </cell>
        </row>
        <row r="934">
          <cell r="I934" t="str">
            <v>Essex County College</v>
          </cell>
          <cell r="O934" t="str">
            <v>IQ7827696</v>
          </cell>
        </row>
        <row r="935">
          <cell r="I935" t="str">
            <v>Rowan University</v>
          </cell>
          <cell r="J935" t="str">
            <v>Rowan University/Rutgers-Camden Board Of Governors</v>
          </cell>
          <cell r="K935" t="str">
            <v>Rowan University Foundation, Inc.</v>
          </cell>
          <cell r="O935" t="str">
            <v>IQ4257270</v>
          </cell>
          <cell r="P935" t="str">
            <v>IQ270610696</v>
          </cell>
          <cell r="Q935" t="str">
            <v>IQ7375925</v>
          </cell>
        </row>
        <row r="936">
          <cell r="I936" t="str">
            <v>Gloucester County College</v>
          </cell>
          <cell r="O936" t="str">
            <v>IQ4480337</v>
          </cell>
        </row>
        <row r="937">
          <cell r="I937" t="str">
            <v>Hudson County Community College Foundation Inc.</v>
          </cell>
          <cell r="O937" t="str">
            <v>IQ4374129</v>
          </cell>
        </row>
        <row r="938">
          <cell r="I938" t="str">
            <v>New Jersey City University</v>
          </cell>
          <cell r="O938" t="str">
            <v>IQ4335372</v>
          </cell>
        </row>
        <row r="939">
          <cell r="I939" t="str">
            <v>Kean University</v>
          </cell>
          <cell r="O939" t="str">
            <v>IQ4260572</v>
          </cell>
        </row>
        <row r="940">
          <cell r="I940" t="str">
            <v>Mercer County Community College</v>
          </cell>
          <cell r="O940" t="str">
            <v>IQ4772566</v>
          </cell>
        </row>
        <row r="941">
          <cell r="I941" t="str">
            <v>Middlesex County College Inc</v>
          </cell>
          <cell r="O941" t="str">
            <v>IQ4301339</v>
          </cell>
        </row>
        <row r="942">
          <cell r="I942" t="str">
            <v>Montclair State University</v>
          </cell>
          <cell r="O942" t="str">
            <v>IQ4277503</v>
          </cell>
        </row>
        <row r="943">
          <cell r="I943" t="str">
            <v>New Jersey Institute Of Technology</v>
          </cell>
          <cell r="O943" t="str">
            <v>IQ4271495</v>
          </cell>
        </row>
        <row r="944">
          <cell r="I944" t="str">
            <v>Ocean County College</v>
          </cell>
          <cell r="O944" t="str">
            <v>IQ6527298</v>
          </cell>
        </row>
        <row r="945">
          <cell r="I945" t="str">
            <v>Passaic County Community College (Inc)</v>
          </cell>
          <cell r="O945" t="str">
            <v>IQ6694865</v>
          </cell>
        </row>
        <row r="948">
          <cell r="I948" t="str">
            <v>Salem Community College</v>
          </cell>
          <cell r="O948" t="str">
            <v>IQ37559399</v>
          </cell>
        </row>
        <row r="949">
          <cell r="I949" t="str">
            <v>Raritan Valley Community College Inc</v>
          </cell>
          <cell r="O949" t="str">
            <v>IQ4361354</v>
          </cell>
        </row>
        <row r="951">
          <cell r="I951" t="str">
            <v>Thomas Edison State College</v>
          </cell>
          <cell r="J951" t="str">
            <v>Thomas Edison State College Foundation Inc</v>
          </cell>
          <cell r="O951" t="str">
            <v>IQ4333269</v>
          </cell>
          <cell r="P951" t="str">
            <v>IQ114440560</v>
          </cell>
        </row>
        <row r="953">
          <cell r="I953" t="str">
            <v>Union County College</v>
          </cell>
          <cell r="O953" t="str">
            <v>IQ4319722</v>
          </cell>
        </row>
        <row r="954">
          <cell r="I954" t="str">
            <v>William Paterson University</v>
          </cell>
          <cell r="J954" t="str">
            <v>The William Paterson University Of New Jersey Foundation Inc</v>
          </cell>
          <cell r="O954" t="str">
            <v>IQ6489476</v>
          </cell>
          <cell r="P954" t="str">
            <v>IQ280839424</v>
          </cell>
        </row>
        <row r="955">
          <cell r="I955" t="str">
            <v>Central New Mexico Community College</v>
          </cell>
          <cell r="O955" t="str">
            <v>IQ6573311</v>
          </cell>
        </row>
        <row r="958">
          <cell r="I958" t="str">
            <v>Clovis Community College</v>
          </cell>
          <cell r="J958" t="str">
            <v>Clovis Community College District,New Mexico</v>
          </cell>
          <cell r="O958" t="str">
            <v>IQ6728526</v>
          </cell>
          <cell r="P958" t="str">
            <v>IQ57988753</v>
          </cell>
        </row>
        <row r="962">
          <cell r="I962" t="str">
            <v>New Mexico Highlands University Revenues</v>
          </cell>
          <cell r="O962" t="str">
            <v>IQ58013227</v>
          </cell>
        </row>
        <row r="963">
          <cell r="I963" t="str">
            <v>New Mexico Junior College</v>
          </cell>
          <cell r="O963" t="str">
            <v>IQ6900664</v>
          </cell>
        </row>
        <row r="964">
          <cell r="I964" t="str">
            <v>New Mexico Military Institute Inc</v>
          </cell>
          <cell r="J964" t="str">
            <v>New Mexico Military Institute Foundation Inc</v>
          </cell>
          <cell r="O964" t="str">
            <v>IQ6711237</v>
          </cell>
          <cell r="P964" t="str">
            <v>IQ145999285</v>
          </cell>
        </row>
        <row r="966">
          <cell r="I966" t="str">
            <v>New Mexico Institute Of Mining And Technology</v>
          </cell>
          <cell r="O966" t="str">
            <v>IQ4275730</v>
          </cell>
        </row>
        <row r="974">
          <cell r="I974" t="str">
            <v>Northern New Mexico College Foundation</v>
          </cell>
          <cell r="O974" t="str">
            <v>IQ4514113</v>
          </cell>
        </row>
        <row r="975">
          <cell r="I975" t="str">
            <v>San Juan College</v>
          </cell>
          <cell r="O975" t="str">
            <v>IQ4297842</v>
          </cell>
        </row>
        <row r="977">
          <cell r="I977" t="str">
            <v>Southwestern Indian Polytechnic Institute</v>
          </cell>
          <cell r="O977" t="str">
            <v>IQ114438593</v>
          </cell>
        </row>
        <row r="980">
          <cell r="I980" t="str">
            <v>Western New Mexico University</v>
          </cell>
          <cell r="J980" t="str">
            <v>Western New Mexico University - Board of Regents</v>
          </cell>
          <cell r="K980" t="str">
            <v>Western New Mexico University Revenues</v>
          </cell>
          <cell r="O980" t="str">
            <v>IQ6206641</v>
          </cell>
          <cell r="P980" t="str">
            <v>IQ139135008</v>
          </cell>
          <cell r="Q980" t="str">
            <v>IQ58032300</v>
          </cell>
        </row>
        <row r="985">
          <cell r="I985" t="str">
            <v>Clinton Community College</v>
          </cell>
          <cell r="O985" t="str">
            <v>IQ38722142</v>
          </cell>
        </row>
        <row r="986">
          <cell r="I986" t="str">
            <v>Columbia Greene Community College</v>
          </cell>
          <cell r="O986" t="str">
            <v>IQ40258567</v>
          </cell>
        </row>
        <row r="987">
          <cell r="I987" t="str">
            <v>Corning Community College</v>
          </cell>
          <cell r="O987" t="str">
            <v>IQ4399678</v>
          </cell>
        </row>
        <row r="1007">
          <cell r="I1007" t="str">
            <v>Dutchess Community College</v>
          </cell>
          <cell r="O1007" t="str">
            <v>IQ4370476</v>
          </cell>
        </row>
        <row r="1008">
          <cell r="I1008" t="str">
            <v>Erie Community College</v>
          </cell>
          <cell r="J1008" t="str">
            <v>The Erie Community College Foundation</v>
          </cell>
          <cell r="O1008" t="str">
            <v>IQ38445201</v>
          </cell>
          <cell r="P1008" t="str">
            <v>IQ61752364</v>
          </cell>
        </row>
        <row r="1009">
          <cell r="I1009" t="str">
            <v>Fashion Institute of Technology - State University of New York</v>
          </cell>
          <cell r="O1009" t="str">
            <v>IQ37613646</v>
          </cell>
        </row>
        <row r="1010">
          <cell r="I1010" t="str">
            <v>Finger Lakes Community College</v>
          </cell>
          <cell r="O1010" t="str">
            <v>IQ4427200</v>
          </cell>
        </row>
        <row r="1012">
          <cell r="I1012" t="str">
            <v>Genesee Community College</v>
          </cell>
          <cell r="O1012" t="str">
            <v>IQ4468856</v>
          </cell>
        </row>
        <row r="1013">
          <cell r="I1013" t="str">
            <v>Herkimer County Community College</v>
          </cell>
          <cell r="O1013" t="str">
            <v>IQ40482727</v>
          </cell>
        </row>
        <row r="1014">
          <cell r="I1014" t="str">
            <v>Hudson Valley Community College</v>
          </cell>
          <cell r="J1014" t="str">
            <v>Hudson Valley Community College- Faculty Student Association Inc.</v>
          </cell>
          <cell r="O1014" t="str">
            <v>IQ6528180</v>
          </cell>
          <cell r="P1014" t="str">
            <v>IQ51813491</v>
          </cell>
        </row>
        <row r="1015">
          <cell r="I1015" t="str">
            <v>Jamestown Community College Federal Credit Union</v>
          </cell>
          <cell r="O1015" t="str">
            <v>IQ127476251</v>
          </cell>
        </row>
        <row r="1016">
          <cell r="I1016" t="str">
            <v>Jefferson Community College</v>
          </cell>
          <cell r="J1016" t="str">
            <v>Jefferson Community College Fdn</v>
          </cell>
          <cell r="O1016" t="str">
            <v>IQ6587383</v>
          </cell>
          <cell r="P1016" t="str">
            <v>IQ206972591</v>
          </cell>
        </row>
        <row r="1018">
          <cell r="I1018" t="str">
            <v>Mohawk Valley Community College</v>
          </cell>
          <cell r="O1018" t="str">
            <v>IQ7618038</v>
          </cell>
        </row>
        <row r="1019">
          <cell r="I1019" t="str">
            <v>Monroe Community College</v>
          </cell>
          <cell r="J1019" t="str">
            <v>Monroe Community College Association Inc</v>
          </cell>
          <cell r="O1019" t="str">
            <v>IQ4272916</v>
          </cell>
          <cell r="P1019" t="str">
            <v>IQ30868675</v>
          </cell>
        </row>
        <row r="1020">
          <cell r="I1020" t="str">
            <v>Nassau Community College</v>
          </cell>
          <cell r="J1020" t="str">
            <v>Nassau Community College Library</v>
          </cell>
          <cell r="O1020" t="str">
            <v>IQ6466294</v>
          </cell>
          <cell r="P1020" t="str">
            <v>IQ241672481</v>
          </cell>
        </row>
        <row r="1021">
          <cell r="I1021" t="str">
            <v>Niagara County Community College</v>
          </cell>
          <cell r="O1021" t="str">
            <v>IQ4560599</v>
          </cell>
        </row>
        <row r="1022">
          <cell r="I1022" t="str">
            <v>North Country Community College</v>
          </cell>
          <cell r="J1022" t="str">
            <v>North Country Community College Foundation</v>
          </cell>
          <cell r="O1022" t="str">
            <v>IQ6915216</v>
          </cell>
          <cell r="P1022" t="str">
            <v>IQ251976178</v>
          </cell>
        </row>
        <row r="1023">
          <cell r="I1023" t="str">
            <v>Onondaga Community College</v>
          </cell>
          <cell r="O1023" t="str">
            <v>IQ4273911</v>
          </cell>
        </row>
        <row r="1024">
          <cell r="I1024" t="str">
            <v>Orange County Community College</v>
          </cell>
          <cell r="O1024" t="str">
            <v>IQ4368395</v>
          </cell>
        </row>
        <row r="1026">
          <cell r="I1026" t="str">
            <v>Rockland Community College</v>
          </cell>
          <cell r="O1026" t="str">
            <v>IQ20586485</v>
          </cell>
        </row>
        <row r="1027">
          <cell r="I1027" t="str">
            <v>Schenectady County Community College</v>
          </cell>
          <cell r="O1027" t="str">
            <v>IQ6613867</v>
          </cell>
        </row>
        <row r="1029">
          <cell r="I1029" t="str">
            <v>Sullivan County Community College</v>
          </cell>
          <cell r="O1029" t="str">
            <v>IQ7618277</v>
          </cell>
        </row>
        <row r="1034">
          <cell r="I1034" t="str">
            <v>Farmingdale State College</v>
          </cell>
          <cell r="O1034" t="str">
            <v>IQ257026847</v>
          </cell>
        </row>
        <row r="1035">
          <cell r="I1035" t="str">
            <v>Morrisville State College</v>
          </cell>
          <cell r="O1035" t="str">
            <v>IQ37559684</v>
          </cell>
        </row>
        <row r="1038">
          <cell r="I1038" t="str">
            <v>University at Buffalo</v>
          </cell>
          <cell r="O1038" t="str">
            <v>IQ3785530</v>
          </cell>
        </row>
        <row r="1039">
          <cell r="I1039" t="str">
            <v>State University of New York at Stony Brook</v>
          </cell>
          <cell r="J1039" t="str">
            <v>Stony Brook University Hospital</v>
          </cell>
          <cell r="K1039" t="str">
            <v>State University of New York At Stony Brook School of Medicine</v>
          </cell>
          <cell r="L1039" t="str">
            <v>Stony Brook University Medical Center</v>
          </cell>
          <cell r="M1039" t="str">
            <v>Stony Brook University Campus Dining Services</v>
          </cell>
          <cell r="O1039" t="str">
            <v>IQ6184496</v>
          </cell>
          <cell r="P1039" t="str">
            <v>IQ24380677</v>
          </cell>
          <cell r="Q1039" t="str">
            <v>IQ26179838</v>
          </cell>
          <cell r="R1039" t="str">
            <v>IQ128394521</v>
          </cell>
          <cell r="S1039" t="str">
            <v>IQ243431322</v>
          </cell>
        </row>
        <row r="1042">
          <cell r="I1042" t="str">
            <v>Suny Brockport</v>
          </cell>
          <cell r="O1042" t="str">
            <v>IQ7618279</v>
          </cell>
        </row>
        <row r="1044">
          <cell r="I1044" t="str">
            <v>State University of New York College at Cortland</v>
          </cell>
          <cell r="O1044" t="str">
            <v>IQ6184498</v>
          </cell>
        </row>
        <row r="1053">
          <cell r="I1053" t="str">
            <v>S U N Y College At Old Westbury</v>
          </cell>
          <cell r="O1053" t="str">
            <v>IQ7742052</v>
          </cell>
        </row>
        <row r="1054">
          <cell r="I1054" t="str">
            <v>Suny College At Plattsburgh</v>
          </cell>
          <cell r="O1054" t="str">
            <v>IQ49216562</v>
          </cell>
        </row>
        <row r="1055">
          <cell r="I1055" t="str">
            <v>SUNY Downstate Medical Center</v>
          </cell>
          <cell r="O1055" t="str">
            <v>IQ7696927</v>
          </cell>
        </row>
        <row r="1057">
          <cell r="I1057" t="str">
            <v>New York Maritime College</v>
          </cell>
          <cell r="O1057" t="str">
            <v>IQ6181408</v>
          </cell>
        </row>
        <row r="1058">
          <cell r="I1058" t="str">
            <v>Upstate University Hospital</v>
          </cell>
          <cell r="O1058" t="str">
            <v>IQ108993860</v>
          </cell>
        </row>
        <row r="1059">
          <cell r="I1059" t="str">
            <v>Tompkins Cortland Community College</v>
          </cell>
          <cell r="O1059" t="str">
            <v>IQ51718178</v>
          </cell>
        </row>
        <row r="1060">
          <cell r="I1060" t="str">
            <v>Ulster County Community College</v>
          </cell>
          <cell r="O1060" t="str">
            <v>IQ4466261</v>
          </cell>
        </row>
        <row r="1061">
          <cell r="I1061" t="str">
            <v>United States Merchant Marine Academy Alumni Association And Foundation, Inc.</v>
          </cell>
          <cell r="O1061" t="str">
            <v>IQ253338297</v>
          </cell>
        </row>
        <row r="1062">
          <cell r="I1062" t="str">
            <v>United States Military Academy</v>
          </cell>
          <cell r="O1062" t="str">
            <v>IQ4239131</v>
          </cell>
        </row>
        <row r="1065">
          <cell r="I1065" t="str">
            <v>South Piedmont Community College Inc</v>
          </cell>
          <cell r="O1065" t="str">
            <v>IQ4589998</v>
          </cell>
        </row>
        <row r="1066">
          <cell r="I1066" t="str">
            <v>Appalachian State University</v>
          </cell>
          <cell r="O1066" t="str">
            <v>IQ4239306</v>
          </cell>
        </row>
        <row r="1068">
          <cell r="I1068" t="str">
            <v>Beaufort County Community College (Inc)</v>
          </cell>
          <cell r="O1068" t="str">
            <v>IQ51964982</v>
          </cell>
        </row>
        <row r="1070">
          <cell r="I1070" t="str">
            <v>Blue Ridge Community College Inc</v>
          </cell>
          <cell r="O1070" t="str">
            <v>IQ4664041</v>
          </cell>
        </row>
        <row r="1071">
          <cell r="I1071" t="str">
            <v>Brunswick Community College</v>
          </cell>
          <cell r="O1071" t="str">
            <v>IQ6666146</v>
          </cell>
        </row>
        <row r="1073">
          <cell r="I1073" t="str">
            <v>Cape Fear Community College</v>
          </cell>
          <cell r="O1073" t="str">
            <v>IQ4632147</v>
          </cell>
        </row>
        <row r="1074">
          <cell r="I1074" t="str">
            <v>Carteret Community College</v>
          </cell>
          <cell r="O1074" t="str">
            <v>IQ6844385</v>
          </cell>
        </row>
        <row r="1075">
          <cell r="I1075" t="str">
            <v>Catawba Valley Community College</v>
          </cell>
          <cell r="O1075" t="str">
            <v>IQ4503111</v>
          </cell>
        </row>
        <row r="1076">
          <cell r="I1076" t="str">
            <v>Central Carolina Community College</v>
          </cell>
          <cell r="O1076" t="str">
            <v>IQ4445621</v>
          </cell>
        </row>
        <row r="1077">
          <cell r="I1077" t="str">
            <v>Central Piedmont Community College</v>
          </cell>
          <cell r="J1077" t="str">
            <v>Central Piedmont Community College Foundation, Inc</v>
          </cell>
          <cell r="O1077" t="str">
            <v>IQ4271595</v>
          </cell>
          <cell r="P1077" t="str">
            <v>IQ142947628</v>
          </cell>
        </row>
        <row r="1078">
          <cell r="I1078" t="str">
            <v>Cleveland Community College</v>
          </cell>
          <cell r="J1078" t="str">
            <v>Cleveland Community College Foundation, Inc.</v>
          </cell>
          <cell r="O1078" t="str">
            <v>IQ279058918</v>
          </cell>
          <cell r="P1078" t="str">
            <v>IQ6789352</v>
          </cell>
        </row>
        <row r="1079">
          <cell r="I1079" t="str">
            <v>Coastal Carolina Community College Foundation, Inc.</v>
          </cell>
          <cell r="O1079" t="str">
            <v>IQ4509370</v>
          </cell>
        </row>
        <row r="1080">
          <cell r="I1080" t="str">
            <v>Craven Community College</v>
          </cell>
          <cell r="O1080" t="str">
            <v>IQ30766385</v>
          </cell>
        </row>
        <row r="1081">
          <cell r="I1081" t="str">
            <v>Davidson County Community College</v>
          </cell>
          <cell r="O1081" t="str">
            <v>IQ4491672</v>
          </cell>
        </row>
        <row r="1083">
          <cell r="I1083" t="str">
            <v>East Carolina University</v>
          </cell>
          <cell r="J1083" t="str">
            <v>East Carolina University Educational Foundation, Inc</v>
          </cell>
          <cell r="K1083" t="str">
            <v>East Carolina University Real Estate Foundation, Inc.</v>
          </cell>
          <cell r="L1083" t="str">
            <v>East Carolina University Credit Union</v>
          </cell>
          <cell r="M1083" t="str">
            <v>East Carolina University School of Medicine</v>
          </cell>
          <cell r="O1083" t="str">
            <v>IQ6161309</v>
          </cell>
          <cell r="P1083" t="str">
            <v>IQ280855236</v>
          </cell>
          <cell r="Q1083" t="str">
            <v>IQ248173882</v>
          </cell>
          <cell r="R1083" t="str">
            <v>IQ127178724</v>
          </cell>
          <cell r="S1083" t="str">
            <v>IQ32339418</v>
          </cell>
        </row>
        <row r="1084">
          <cell r="I1084" t="str">
            <v>Edgecombe Community College Foundation, Inc.</v>
          </cell>
          <cell r="O1084" t="str">
            <v>IQ30746084</v>
          </cell>
        </row>
        <row r="1085">
          <cell r="I1085" t="str">
            <v>Elizabeth City State University</v>
          </cell>
          <cell r="J1085" t="str">
            <v>Elizabeth City State University Housing Foundation, LLC</v>
          </cell>
          <cell r="O1085" t="str">
            <v>IQ4640236</v>
          </cell>
          <cell r="P1085" t="str">
            <v>IQ251732072</v>
          </cell>
        </row>
        <row r="1087">
          <cell r="I1087" t="str">
            <v>Fayetteville State University Student Housing Corporation</v>
          </cell>
          <cell r="J1087" t="str">
            <v>Fayetteville State University Housing LLC</v>
          </cell>
          <cell r="K1087" t="str">
            <v>Fayetteville State University</v>
          </cell>
          <cell r="O1087" t="str">
            <v>IQ251734549</v>
          </cell>
          <cell r="P1087" t="str">
            <v>IQ138621261</v>
          </cell>
          <cell r="Q1087" t="str">
            <v>IQ57994897</v>
          </cell>
        </row>
        <row r="1089">
          <cell r="I1089" t="str">
            <v>Gaston College</v>
          </cell>
          <cell r="J1089" t="str">
            <v>Gaston College Preparatory</v>
          </cell>
          <cell r="O1089" t="str">
            <v>IQ4471737</v>
          </cell>
          <cell r="P1089" t="str">
            <v>IQ53444201</v>
          </cell>
        </row>
        <row r="1091">
          <cell r="I1091" t="str">
            <v>Halifax Community College</v>
          </cell>
          <cell r="O1091" t="str">
            <v>IQ6878367</v>
          </cell>
        </row>
        <row r="1092">
          <cell r="I1092" t="str">
            <v>Haywood Community College</v>
          </cell>
          <cell r="O1092" t="str">
            <v>IQ4560306</v>
          </cell>
        </row>
        <row r="1093">
          <cell r="I1093" t="str">
            <v>Isothermal Community College</v>
          </cell>
          <cell r="O1093" t="str">
            <v>IQ4533656</v>
          </cell>
        </row>
        <row r="1094">
          <cell r="I1094" t="str">
            <v>James Sprunt Community College Inc</v>
          </cell>
          <cell r="O1094" t="str">
            <v>IQ74817721</v>
          </cell>
        </row>
        <row r="1095">
          <cell r="I1095" t="str">
            <v>Johnston Community College</v>
          </cell>
          <cell r="O1095" t="str">
            <v>IQ4470015</v>
          </cell>
        </row>
        <row r="1096">
          <cell r="I1096" t="str">
            <v>Lenoir Community College</v>
          </cell>
          <cell r="O1096" t="str">
            <v>IQ51785837</v>
          </cell>
        </row>
        <row r="1097">
          <cell r="I1097" t="str">
            <v>Martin Community College</v>
          </cell>
          <cell r="O1097" t="str">
            <v>IQ51965950</v>
          </cell>
        </row>
        <row r="1098">
          <cell r="I1098" t="str">
            <v>Mayland Community College</v>
          </cell>
          <cell r="O1098" t="str">
            <v>IQ252158864</v>
          </cell>
        </row>
        <row r="1100">
          <cell r="I1100" t="str">
            <v>Mitchell Community College Endowment For Excellence</v>
          </cell>
          <cell r="O1100" t="str">
            <v>IQ4611327</v>
          </cell>
        </row>
        <row r="1101">
          <cell r="I1101" t="str">
            <v>Fulton Montgomery Community College</v>
          </cell>
          <cell r="O1101" t="str">
            <v>IQ6753349</v>
          </cell>
        </row>
        <row r="1102">
          <cell r="I1102" t="str">
            <v>Nash Community College Foundation, Inc.</v>
          </cell>
          <cell r="O1102" t="str">
            <v>IQ51756964</v>
          </cell>
        </row>
        <row r="1103">
          <cell r="I1103" t="str">
            <v>North Carolina A&amp;T State University</v>
          </cell>
          <cell r="O1103" t="str">
            <v>IQ32957028</v>
          </cell>
        </row>
        <row r="1104">
          <cell r="I1104" t="str">
            <v>University Of North Carolina At Asheville</v>
          </cell>
          <cell r="O1104" t="str">
            <v>IQ4319779</v>
          </cell>
        </row>
        <row r="1105">
          <cell r="I1105" t="str">
            <v>University of North Carolina at Charlotte</v>
          </cell>
          <cell r="O1105" t="str">
            <v>IQ4300932</v>
          </cell>
        </row>
        <row r="1106">
          <cell r="I1106" t="str">
            <v>University of North Carolina at Greensboro</v>
          </cell>
          <cell r="J1106" t="str">
            <v>University of North Carolina at Greensboro Endowment Fund</v>
          </cell>
          <cell r="O1106" t="str">
            <v>IQ4234923</v>
          </cell>
          <cell r="P1106" t="str">
            <v>IQ3533679</v>
          </cell>
        </row>
        <row r="1107">
          <cell r="I1107" t="str">
            <v>North Carolina Central University</v>
          </cell>
          <cell r="J1107" t="str">
            <v>North Carolina Central University Foundation Inc</v>
          </cell>
          <cell r="K1107" t="str">
            <v>North Carolina Central University School Of Law</v>
          </cell>
          <cell r="O1107" t="str">
            <v>IQ4276655</v>
          </cell>
          <cell r="P1107" t="str">
            <v>IQ222797539</v>
          </cell>
          <cell r="Q1107" t="str">
            <v>IQ31140911</v>
          </cell>
        </row>
        <row r="1110">
          <cell r="I1110" t="str">
            <v>North Carolina State University</v>
          </cell>
          <cell r="O1110" t="str">
            <v>IQ4073691</v>
          </cell>
        </row>
        <row r="1113">
          <cell r="I1113" t="str">
            <v>University Of North Carolina At Pembroke</v>
          </cell>
          <cell r="O1113" t="str">
            <v>IQ4336216</v>
          </cell>
        </row>
        <row r="1116">
          <cell r="I1116" t="str">
            <v>Randolph Community College</v>
          </cell>
          <cell r="O1116" t="str">
            <v>IQ4579123</v>
          </cell>
        </row>
        <row r="1118">
          <cell r="I1118" t="str">
            <v>Roanoke-Chowan Community College</v>
          </cell>
          <cell r="O1118" t="str">
            <v>IQ241424951</v>
          </cell>
        </row>
        <row r="1119">
          <cell r="I1119" t="str">
            <v>Robeson Community College</v>
          </cell>
          <cell r="O1119" t="str">
            <v>IQ49782506</v>
          </cell>
        </row>
        <row r="1120">
          <cell r="I1120" t="str">
            <v>Rockingham Community College</v>
          </cell>
          <cell r="O1120" t="str">
            <v>IQ4581959</v>
          </cell>
        </row>
        <row r="1121">
          <cell r="I1121" t="str">
            <v>Rowan-Cabarrus Community College</v>
          </cell>
          <cell r="O1121" t="str">
            <v>IQ4469716</v>
          </cell>
        </row>
        <row r="1123">
          <cell r="I1123" t="str">
            <v>Sandhills Community College Inc</v>
          </cell>
          <cell r="O1123" t="str">
            <v>IQ4395271</v>
          </cell>
        </row>
        <row r="1124">
          <cell r="I1124" t="str">
            <v>Southeastern Community College</v>
          </cell>
          <cell r="O1124" t="str">
            <v>IQ6742400</v>
          </cell>
        </row>
        <row r="1125">
          <cell r="I1125" t="str">
            <v>Southwestern Community College</v>
          </cell>
          <cell r="O1125" t="str">
            <v>IQ4434542</v>
          </cell>
        </row>
        <row r="1127">
          <cell r="I1127" t="str">
            <v>Surry Community College</v>
          </cell>
          <cell r="O1127" t="str">
            <v>IQ4485019</v>
          </cell>
        </row>
        <row r="1128">
          <cell r="I1128" t="str">
            <v>Alamance Community College Foundation, Inc.</v>
          </cell>
          <cell r="O1128" t="str">
            <v>IQ4546827</v>
          </cell>
        </row>
        <row r="1130">
          <cell r="I1130" t="str">
            <v>Vance-Granville Community College</v>
          </cell>
          <cell r="O1130" t="str">
            <v>IQ6649532</v>
          </cell>
        </row>
        <row r="1132">
          <cell r="I1132" t="str">
            <v>Wayne Community College</v>
          </cell>
          <cell r="O1132" t="str">
            <v>IQ40455376</v>
          </cell>
        </row>
        <row r="1133">
          <cell r="I1133" t="str">
            <v>Western Piedmont Community College</v>
          </cell>
          <cell r="O1133" t="str">
            <v>IQ51939607</v>
          </cell>
        </row>
        <row r="1135">
          <cell r="I1135" t="str">
            <v>Wilson Community College</v>
          </cell>
          <cell r="O1135" t="str">
            <v>IQ6812232</v>
          </cell>
        </row>
        <row r="1136">
          <cell r="I1136" t="str">
            <v>Winston-Salem State University (Inc)</v>
          </cell>
          <cell r="O1136" t="str">
            <v>IQ6810114</v>
          </cell>
        </row>
        <row r="1137">
          <cell r="I1137" t="str">
            <v>Western Carolina University Inc</v>
          </cell>
          <cell r="J1137" t="str">
            <v>Western Carolina University Foundation</v>
          </cell>
          <cell r="O1137" t="str">
            <v>IQ4263232</v>
          </cell>
          <cell r="P1137" t="str">
            <v>IQ224422597</v>
          </cell>
        </row>
        <row r="1138">
          <cell r="I1138" t="str">
            <v>Bismarck State College</v>
          </cell>
          <cell r="O1138" t="str">
            <v>IQ6879297</v>
          </cell>
        </row>
        <row r="1139">
          <cell r="I1139" t="str">
            <v>Dickinson State University</v>
          </cell>
          <cell r="J1139" t="str">
            <v>Dickinson State University Foundation, Inc</v>
          </cell>
          <cell r="O1139" t="str">
            <v>IQ4546673</v>
          </cell>
          <cell r="P1139" t="str">
            <v>IQ240930467</v>
          </cell>
        </row>
        <row r="1141">
          <cell r="I1141" t="str">
            <v>Lake Region State College</v>
          </cell>
          <cell r="O1141" t="str">
            <v>IQ249142426</v>
          </cell>
        </row>
        <row r="1142">
          <cell r="I1142" t="str">
            <v>Cankdeska Cikana Community College</v>
          </cell>
          <cell r="O1142" t="str">
            <v>IQ100415182</v>
          </cell>
        </row>
        <row r="1143">
          <cell r="I1143" t="str">
            <v>Mayville State University North Dakota Student Center Revenue</v>
          </cell>
          <cell r="O1143" t="str">
            <v>IQ58009294</v>
          </cell>
        </row>
        <row r="1144">
          <cell r="I1144" t="str">
            <v>Minot State University</v>
          </cell>
          <cell r="O1144" t="str">
            <v>IQ4204888</v>
          </cell>
        </row>
        <row r="1145">
          <cell r="I1145" t="str">
            <v>University of North Dakota</v>
          </cell>
          <cell r="O1145" t="str">
            <v>IQ4155057</v>
          </cell>
        </row>
        <row r="1149">
          <cell r="I1149" t="str">
            <v>Williston State College</v>
          </cell>
          <cell r="J1149" t="str">
            <v>Williston State College Foundation</v>
          </cell>
          <cell r="O1149" t="str">
            <v>IQ58777886</v>
          </cell>
          <cell r="P1149" t="str">
            <v>IQ118638363</v>
          </cell>
        </row>
        <row r="1150">
          <cell r="I1150" t="str">
            <v>Sitting Bull College</v>
          </cell>
          <cell r="O1150" t="str">
            <v>IQ232514820</v>
          </cell>
        </row>
        <row r="1151">
          <cell r="I1151" t="str">
            <v>Valley City State University</v>
          </cell>
          <cell r="O1151" t="str">
            <v>IQ6206395</v>
          </cell>
        </row>
        <row r="1158">
          <cell r="I1158" t="str">
            <v>Abbey Belmont College</v>
          </cell>
          <cell r="O1158" t="str">
            <v>IQ6844054</v>
          </cell>
        </row>
        <row r="1164">
          <cell r="I1164" t="str">
            <v>Central State University</v>
          </cell>
          <cell r="O1164" t="str">
            <v>IQ4318090</v>
          </cell>
        </row>
        <row r="1170">
          <cell r="I1170" t="str">
            <v>Clark State Community College, Ohio</v>
          </cell>
          <cell r="O1170" t="str">
            <v>IQ4503302</v>
          </cell>
        </row>
        <row r="1171">
          <cell r="I1171" t="str">
            <v>Cleveland State University</v>
          </cell>
          <cell r="O1171" t="str">
            <v>IQ4247579</v>
          </cell>
        </row>
        <row r="1173">
          <cell r="I1173" t="str">
            <v>Columbus State Community College</v>
          </cell>
          <cell r="O1173" t="str">
            <v>IQ57989415</v>
          </cell>
        </row>
        <row r="1175">
          <cell r="I1175" t="str">
            <v>Edison State Community College District, Ohio</v>
          </cell>
          <cell r="O1175" t="str">
            <v>IQ57993434</v>
          </cell>
        </row>
        <row r="1177">
          <cell r="I1177" t="str">
            <v>Great Oaks Institute Of Technology &amp; Career Development</v>
          </cell>
          <cell r="O1177" t="str">
            <v>IQ4301501</v>
          </cell>
        </row>
        <row r="1180">
          <cell r="I1180" t="str">
            <v>Hocking College Foundation, Inc.</v>
          </cell>
          <cell r="O1180" t="str">
            <v>IQ256528205</v>
          </cell>
        </row>
        <row r="1181">
          <cell r="I1181" t="str">
            <v>Eastern Gateway Community College</v>
          </cell>
          <cell r="O1181" t="str">
            <v>IQ6933432</v>
          </cell>
        </row>
        <row r="1192">
          <cell r="I1192" t="str">
            <v>James A RHODES State College Ohio General Receipts</v>
          </cell>
          <cell r="O1192" t="str">
            <v>IQ58002531</v>
          </cell>
        </row>
        <row r="1193">
          <cell r="I1193" t="str">
            <v>Lorain County Community College Foundation</v>
          </cell>
          <cell r="O1193" t="str">
            <v>IQ246124985</v>
          </cell>
        </row>
        <row r="1199">
          <cell r="I1199" t="str">
            <v>Miami Valley Career Technology Center</v>
          </cell>
          <cell r="O1199" t="str">
            <v>IQ51791496</v>
          </cell>
        </row>
        <row r="1200">
          <cell r="I1200" t="str">
            <v>Zane State College</v>
          </cell>
          <cell r="O1200" t="str">
            <v>IQ6816879</v>
          </cell>
        </row>
        <row r="1201">
          <cell r="I1201" t="str">
            <v>North Central State College Foundation</v>
          </cell>
          <cell r="J1201" t="str">
            <v>North Central State College Foundation</v>
          </cell>
          <cell r="O1201" t="str">
            <v>IQ21821205</v>
          </cell>
          <cell r="P1201" t="str">
            <v>IQ4474568</v>
          </cell>
        </row>
        <row r="1202">
          <cell r="I1202" t="str">
            <v>Northwest State Community College</v>
          </cell>
          <cell r="O1202" t="str">
            <v>IQ30969049</v>
          </cell>
        </row>
        <row r="1204">
          <cell r="I1204" t="str">
            <v>Northeast Ohio Medical University</v>
          </cell>
          <cell r="O1204" t="str">
            <v>IQ6802527</v>
          </cell>
        </row>
        <row r="1217">
          <cell r="I1217" t="str">
            <v>Cuyahoga Valley Career Center Vocational School District</v>
          </cell>
          <cell r="O1217" t="str">
            <v>IQ49783906</v>
          </cell>
        </row>
        <row r="1218">
          <cell r="I1218" t="str">
            <v>Shawnee State University</v>
          </cell>
          <cell r="O1218" t="str">
            <v>IQ6681194</v>
          </cell>
        </row>
        <row r="1221">
          <cell r="I1221" t="str">
            <v>Southern State Community College</v>
          </cell>
          <cell r="O1221" t="str">
            <v>IQ4432703</v>
          </cell>
        </row>
        <row r="1222">
          <cell r="I1222" t="str">
            <v>Terra Community College</v>
          </cell>
          <cell r="O1222" t="str">
            <v>IQ6809936</v>
          </cell>
        </row>
        <row r="1223">
          <cell r="I1223" t="str">
            <v>The University of Toledo</v>
          </cell>
          <cell r="J1223" t="str">
            <v>The University of Toledo Foundation</v>
          </cell>
          <cell r="K1223" t="str">
            <v>University of Toledo Innovation Enterprises</v>
          </cell>
          <cell r="O1223" t="str">
            <v>IQ4203843</v>
          </cell>
          <cell r="P1223" t="str">
            <v>IQ58029503</v>
          </cell>
          <cell r="Q1223" t="str">
            <v>IQ226791266</v>
          </cell>
        </row>
        <row r="1227">
          <cell r="I1227" t="str">
            <v>Washington State Community College</v>
          </cell>
          <cell r="J1227" t="str">
            <v>Washington State Community College District 17</v>
          </cell>
          <cell r="O1227" t="str">
            <v>IQ38783036</v>
          </cell>
          <cell r="P1227" t="str">
            <v>IQ257187309</v>
          </cell>
        </row>
        <row r="1230">
          <cell r="I1230" t="str">
            <v>Youngstown State University</v>
          </cell>
          <cell r="J1230" t="str">
            <v>Youngstown State University Foundation</v>
          </cell>
          <cell r="K1230" t="str">
            <v>Youngstown State University's Williamson School of Business</v>
          </cell>
          <cell r="O1230" t="str">
            <v>IQ4256920</v>
          </cell>
          <cell r="P1230" t="str">
            <v>IQ142961299</v>
          </cell>
          <cell r="Q1230" t="str">
            <v>IQ7733524</v>
          </cell>
        </row>
        <row r="1232">
          <cell r="I1232" t="str">
            <v>Cameron University</v>
          </cell>
          <cell r="O1232" t="str">
            <v>IQ4525175</v>
          </cell>
        </row>
        <row r="1233">
          <cell r="I1233" t="str">
            <v>Carl Albert State College</v>
          </cell>
          <cell r="J1233" t="str">
            <v>Carl Albert State College Oklahoma Revenue</v>
          </cell>
          <cell r="O1233" t="str">
            <v>IQ4641509</v>
          </cell>
          <cell r="P1233" t="str">
            <v>IQ57986265</v>
          </cell>
        </row>
        <row r="1234">
          <cell r="I1234" t="str">
            <v>University of Central Oklahoma</v>
          </cell>
          <cell r="O1234" t="str">
            <v>IQ6188455</v>
          </cell>
        </row>
        <row r="1235">
          <cell r="I1235" t="str">
            <v>Connors State College</v>
          </cell>
          <cell r="O1235" t="str">
            <v>IQ81687173</v>
          </cell>
        </row>
        <row r="1236">
          <cell r="I1236" t="str">
            <v>East Central University</v>
          </cell>
          <cell r="O1236" t="str">
            <v>IQ54127001</v>
          </cell>
        </row>
        <row r="1238">
          <cell r="I1238" t="str">
            <v>Redlands Community College</v>
          </cell>
          <cell r="O1238" t="str">
            <v>IQ24226546</v>
          </cell>
        </row>
        <row r="1239">
          <cell r="I1239" t="str">
            <v>Langston University</v>
          </cell>
          <cell r="O1239" t="str">
            <v>IQ4470327</v>
          </cell>
        </row>
        <row r="1240">
          <cell r="I1240" t="str">
            <v>Murray State College</v>
          </cell>
          <cell r="O1240" t="str">
            <v>IQ257016308</v>
          </cell>
        </row>
        <row r="1241">
          <cell r="I1241" t="str">
            <v>Northeastern State University</v>
          </cell>
          <cell r="O1241" t="str">
            <v>IQ4392329</v>
          </cell>
        </row>
        <row r="1242">
          <cell r="I1242" t="str">
            <v>Northern Oklahoma College</v>
          </cell>
          <cell r="O1242" t="str">
            <v>IQ6857323</v>
          </cell>
        </row>
        <row r="1243">
          <cell r="I1243" t="str">
            <v>Northeastern Oklahoma Agricultural and Mechanical College</v>
          </cell>
          <cell r="O1243" t="str">
            <v>IQ38555283</v>
          </cell>
        </row>
        <row r="1244">
          <cell r="I1244" t="str">
            <v>Northwestern Oklahoma State University</v>
          </cell>
          <cell r="J1244" t="str">
            <v>Northwestern Oklahoma State University Foundation Inc.</v>
          </cell>
          <cell r="O1244" t="str">
            <v>IQ4640069</v>
          </cell>
          <cell r="P1244" t="str">
            <v>IQ144145183</v>
          </cell>
        </row>
        <row r="1246">
          <cell r="I1246" t="str">
            <v>University of Oklahoma Health Sciences Center</v>
          </cell>
          <cell r="O1246" t="str">
            <v>IQ6191738</v>
          </cell>
        </row>
        <row r="1247">
          <cell r="I1247" t="str">
            <v>Oklahoma Panhandle State University</v>
          </cell>
          <cell r="O1247" t="str">
            <v>IQ38304960</v>
          </cell>
        </row>
        <row r="1250">
          <cell r="I1250" t="str">
            <v>Oklahoma City Community College</v>
          </cell>
          <cell r="O1250" t="str">
            <v>IQ4516749</v>
          </cell>
        </row>
        <row r="1252">
          <cell r="I1252" t="str">
            <v>Oklahoma State University Institute of Technology - Okmulgee</v>
          </cell>
          <cell r="O1252" t="str">
            <v>IQ138824577</v>
          </cell>
        </row>
        <row r="1253">
          <cell r="I1253" t="str">
            <v>Rogers State University</v>
          </cell>
          <cell r="J1253" t="str">
            <v>Rogers State University Foundation, Inc.</v>
          </cell>
          <cell r="O1253" t="str">
            <v>IQ138673281</v>
          </cell>
          <cell r="P1253" t="str">
            <v>IQ4662557</v>
          </cell>
        </row>
        <row r="1254">
          <cell r="I1254" t="str">
            <v>Rose State College</v>
          </cell>
          <cell r="J1254" t="str">
            <v>Rose State College Technical Area Education District Oklahoma</v>
          </cell>
          <cell r="O1254" t="str">
            <v>IQ4564715</v>
          </cell>
          <cell r="P1254" t="str">
            <v>IQ58021548</v>
          </cell>
        </row>
        <row r="1255">
          <cell r="I1255" t="str">
            <v>University Of SCIENCE &amp; Arts Of Oklahoma</v>
          </cell>
          <cell r="J1255" t="str">
            <v>University Of Science And Arts Of Oklahoma Foundation, Inc</v>
          </cell>
          <cell r="O1255" t="str">
            <v>IQ58029470</v>
          </cell>
          <cell r="P1255" t="str">
            <v>IQ244455633</v>
          </cell>
        </row>
        <row r="1256">
          <cell r="I1256" t="str">
            <v>Seminole State College</v>
          </cell>
          <cell r="O1256" t="str">
            <v>IQ51810829</v>
          </cell>
        </row>
        <row r="1257">
          <cell r="I1257" t="str">
            <v>Southeastern Oklahoma State University</v>
          </cell>
          <cell r="O1257" t="str">
            <v>IQ4522620</v>
          </cell>
        </row>
        <row r="1258">
          <cell r="I1258" t="str">
            <v>Southwestern Oklahoma State University</v>
          </cell>
          <cell r="O1258" t="str">
            <v>IQ4518554</v>
          </cell>
        </row>
        <row r="1259">
          <cell r="I1259" t="str">
            <v>Tulsa Community College</v>
          </cell>
          <cell r="O1259" t="str">
            <v>IQ58028907</v>
          </cell>
        </row>
        <row r="1261">
          <cell r="I1261" t="str">
            <v>Western Oklahoma State College</v>
          </cell>
          <cell r="O1261" t="str">
            <v>IQ51892914</v>
          </cell>
        </row>
        <row r="1262">
          <cell r="I1262" t="str">
            <v>High Plains Technology Center, District No. 24</v>
          </cell>
          <cell r="O1262" t="str">
            <v>IQ182112457</v>
          </cell>
        </row>
        <row r="1263">
          <cell r="I1263" t="str">
            <v>Blue Mountain Community College</v>
          </cell>
          <cell r="O1263" t="str">
            <v>IQ4516772</v>
          </cell>
        </row>
        <row r="1264">
          <cell r="I1264" t="str">
            <v>Central Oregon Community College</v>
          </cell>
          <cell r="J1264" t="str">
            <v>Central Oregon Community College District</v>
          </cell>
          <cell r="O1264" t="str">
            <v>IQ4393412</v>
          </cell>
          <cell r="P1264" t="str">
            <v>IQ57986994</v>
          </cell>
        </row>
        <row r="1265">
          <cell r="I1265" t="str">
            <v>Chemeketa Community College District</v>
          </cell>
          <cell r="O1265" t="str">
            <v>IQ4279331</v>
          </cell>
        </row>
        <row r="1266">
          <cell r="I1266" t="str">
            <v>Clackamas Community College</v>
          </cell>
          <cell r="O1266" t="str">
            <v>IQ6493759</v>
          </cell>
        </row>
        <row r="1267">
          <cell r="I1267" t="str">
            <v>Clatsop Community College</v>
          </cell>
          <cell r="O1267" t="str">
            <v>IQ4595311</v>
          </cell>
        </row>
        <row r="1268">
          <cell r="I1268" t="str">
            <v>Eastern Oregon University Foundation</v>
          </cell>
          <cell r="O1268" t="str">
            <v>IQ4440452</v>
          </cell>
        </row>
        <row r="1269">
          <cell r="I1269" t="str">
            <v>Lane Community College</v>
          </cell>
          <cell r="O1269" t="str">
            <v>IQ4274011</v>
          </cell>
        </row>
        <row r="1270">
          <cell r="I1270" t="str">
            <v>Linn Benton Community College Foundation</v>
          </cell>
          <cell r="O1270" t="str">
            <v>IQ142836051</v>
          </cell>
        </row>
        <row r="1271">
          <cell r="I1271" t="str">
            <v>Mt. Hood Community College Foundation</v>
          </cell>
          <cell r="O1271" t="str">
            <v>IQ144110533</v>
          </cell>
        </row>
        <row r="1272">
          <cell r="I1272" t="str">
            <v>Oregon University System</v>
          </cell>
          <cell r="O1272" t="str">
            <v>IQ6153308</v>
          </cell>
        </row>
        <row r="1273">
          <cell r="I1273" t="str">
            <v>Oregon Health &amp; Science University</v>
          </cell>
          <cell r="O1273" t="str">
            <v>IQ4099696</v>
          </cell>
        </row>
        <row r="1274">
          <cell r="I1274" t="str">
            <v>Oregon Institute Of Technology</v>
          </cell>
          <cell r="O1274" t="str">
            <v>IQ4371995</v>
          </cell>
        </row>
        <row r="1275">
          <cell r="I1275" t="str">
            <v>Oregon State University</v>
          </cell>
          <cell r="O1275" t="str">
            <v>IQ4090370</v>
          </cell>
        </row>
        <row r="1276">
          <cell r="I1276" t="str">
            <v>University of Oregon</v>
          </cell>
          <cell r="J1276" t="str">
            <v>University Of Oregon Bookstore, Inc.</v>
          </cell>
          <cell r="K1276" t="str">
            <v>University of Oregon Foundation</v>
          </cell>
          <cell r="L1276" t="str">
            <v>University of Oregon School of Law</v>
          </cell>
          <cell r="M1276" t="str">
            <v>University of Oregon Foundation, Endowment Arm</v>
          </cell>
          <cell r="O1276" t="str">
            <v>IQ4099730</v>
          </cell>
          <cell r="P1276" t="str">
            <v>IQ4817374</v>
          </cell>
          <cell r="Q1276" t="str">
            <v>IQ224425308</v>
          </cell>
          <cell r="R1276" t="str">
            <v>IQ7707930</v>
          </cell>
          <cell r="S1276" t="str">
            <v>IQ3533776</v>
          </cell>
        </row>
        <row r="1277">
          <cell r="I1277" t="str">
            <v>Portland Community College</v>
          </cell>
          <cell r="J1277" t="str">
            <v>Portland Community College District</v>
          </cell>
          <cell r="O1277" t="str">
            <v>IQ4259748</v>
          </cell>
          <cell r="P1277" t="str">
            <v>IQ58019076</v>
          </cell>
        </row>
        <row r="1278">
          <cell r="I1278" t="str">
            <v>Portland State University</v>
          </cell>
          <cell r="J1278" t="str">
            <v>Portland State University Bookstore</v>
          </cell>
          <cell r="K1278" t="str">
            <v>Portland State University Ore Planned Service Agreement</v>
          </cell>
          <cell r="L1278" t="str">
            <v>Portland State University Foundation</v>
          </cell>
          <cell r="O1278" t="str">
            <v>IQ6182942</v>
          </cell>
          <cell r="P1278" t="str">
            <v>IQ212732503</v>
          </cell>
          <cell r="Q1278" t="str">
            <v>IQ58019094</v>
          </cell>
          <cell r="R1278" t="str">
            <v>IQ23872875</v>
          </cell>
        </row>
        <row r="1279">
          <cell r="I1279" t="str">
            <v>Rogue Community College District Ore</v>
          </cell>
          <cell r="J1279" t="str">
            <v>Rogue Community College Foundation</v>
          </cell>
          <cell r="O1279" t="str">
            <v>IQ58021446</v>
          </cell>
          <cell r="P1279" t="str">
            <v>IQ4399659</v>
          </cell>
        </row>
        <row r="1280">
          <cell r="I1280" t="str">
            <v>Southern Oregon University</v>
          </cell>
          <cell r="J1280" t="str">
            <v>Southern Oregon University Foundation</v>
          </cell>
          <cell r="O1280" t="str">
            <v>IQ4280038</v>
          </cell>
          <cell r="P1280" t="str">
            <v>IQ51844643</v>
          </cell>
        </row>
        <row r="1281">
          <cell r="I1281" t="str">
            <v>Southwestern Oregon Community College</v>
          </cell>
          <cell r="O1281" t="str">
            <v>IQ4438798</v>
          </cell>
        </row>
        <row r="1282">
          <cell r="I1282" t="str">
            <v>Treasure Valley Community College</v>
          </cell>
          <cell r="J1282" t="str">
            <v>Treasure VY Community Collection District Ore</v>
          </cell>
          <cell r="O1282" t="str">
            <v>IQ4534222</v>
          </cell>
          <cell r="P1282" t="str">
            <v>IQ58028567</v>
          </cell>
        </row>
        <row r="1283">
          <cell r="I1283" t="str">
            <v>Umpqua Community College</v>
          </cell>
          <cell r="O1283" t="str">
            <v>IQ6713659</v>
          </cell>
        </row>
        <row r="1284">
          <cell r="I1284" t="str">
            <v>Western Oregon University</v>
          </cell>
          <cell r="O1284" t="str">
            <v>IQ4291345</v>
          </cell>
        </row>
        <row r="1288">
          <cell r="I1288" t="str">
            <v>Bucks County Pennsylvania Community College Authority</v>
          </cell>
          <cell r="J1288" t="str">
            <v>Bucks County Community College</v>
          </cell>
          <cell r="O1288" t="str">
            <v>IQ57984911</v>
          </cell>
          <cell r="P1288" t="str">
            <v>IQ6758622</v>
          </cell>
        </row>
        <row r="1289">
          <cell r="I1289" t="str">
            <v>Butler County Community College</v>
          </cell>
          <cell r="O1289" t="str">
            <v>IQ4534248</v>
          </cell>
        </row>
        <row r="1290">
          <cell r="I1290" t="str">
            <v>California University of Pennsylvania</v>
          </cell>
          <cell r="O1290" t="str">
            <v>IQ6069091</v>
          </cell>
        </row>
        <row r="1291">
          <cell r="I1291" t="str">
            <v>Cheyney University Of Pennsylvania</v>
          </cell>
          <cell r="O1291" t="str">
            <v>IQ4422062</v>
          </cell>
        </row>
        <row r="1292">
          <cell r="I1292" t="str">
            <v>Clarion University Of Pennsylvania</v>
          </cell>
          <cell r="O1292" t="str">
            <v>IQ4272106</v>
          </cell>
        </row>
        <row r="1293">
          <cell r="I1293" t="str">
            <v>Delaware County Community College</v>
          </cell>
          <cell r="O1293" t="str">
            <v>IQ4331550</v>
          </cell>
        </row>
        <row r="1298">
          <cell r="I1298" t="str">
            <v>Kutztown University of Pennsylvania School Of Business</v>
          </cell>
          <cell r="O1298" t="str">
            <v>IQ116746341</v>
          </cell>
        </row>
        <row r="1299">
          <cell r="I1299" t="str">
            <v>Lehigh County Community College</v>
          </cell>
          <cell r="O1299" t="str">
            <v>IQ4806764</v>
          </cell>
        </row>
        <row r="1300">
          <cell r="I1300" t="str">
            <v>Lock Haven University Of Pennsylvania</v>
          </cell>
          <cell r="O1300" t="str">
            <v>IQ4322951</v>
          </cell>
        </row>
        <row r="1301">
          <cell r="I1301" t="str">
            <v>Luzerne County Community College</v>
          </cell>
          <cell r="O1301" t="str">
            <v>IQ6517501</v>
          </cell>
        </row>
        <row r="2017">
          <cell r="I2017" t="str">
            <v>Bank of America Corporation</v>
          </cell>
          <cell r="J2017" t="str">
            <v>Inter-American Development Bank</v>
          </cell>
          <cell r="O2017" t="str">
            <v>IQ19049</v>
          </cell>
          <cell r="P2017" t="str">
            <v>IQ3575859</v>
          </cell>
        </row>
        <row r="2025">
          <cell r="I2025" t="str">
            <v>BNP Paribas SA</v>
          </cell>
          <cell r="O2025" t="str">
            <v>IQ873976</v>
          </cell>
        </row>
      </sheetData>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mpanies"/>
      <sheetName val="People"/>
    </sheetNames>
    <sheetDataSet>
      <sheetData sheetId="0"/>
      <sheetData sheetId="1"/>
      <sheetData sheetId="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nies"/>
      <sheetName val="People"/>
    </sheetNames>
    <sheetDataSet>
      <sheetData sheetId="0">
        <row r="31">
          <cell r="I31" t="str">
            <v>The Telx Group, Inc.</v>
          </cell>
          <cell r="O31" t="str">
            <v>IQ697225</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_CIQHiddenCacheSheet"/>
      <sheetName val="Start Page"/>
      <sheetName val="Page One"/>
      <sheetName val="Financial Overview"/>
      <sheetName val="Investment Thesis"/>
      <sheetName val="Comp Data"/>
      <sheetName val="Historical Financials"/>
      <sheetName val="Comp Valuation"/>
      <sheetName val="Consensus"/>
      <sheetName val="Revision"/>
      <sheetName val="VAVP"/>
      <sheetName val="Share Details"/>
      <sheetName val="Earnings Surprise"/>
      <sheetName val="DashBoard"/>
      <sheetName val="Financials"/>
      <sheetName val="CAMEL"/>
      <sheetName val="Segment"/>
      <sheetName val="Operating Data"/>
      <sheetName val="Tables and Charts"/>
      <sheetName val="Comp output"/>
      <sheetName val="Comp Analysis"/>
      <sheetName val="Group Charts"/>
      <sheetName val="Sheet1"/>
    </sheetNames>
    <sheetDataSet>
      <sheetData sheetId="0"/>
      <sheetData sheetId="1"/>
      <sheetData sheetId="2"/>
      <sheetData sheetId="3"/>
      <sheetData sheetId="4"/>
      <sheetData sheetId="5"/>
      <sheetData sheetId="6"/>
      <sheetData sheetId="7"/>
      <sheetData sheetId="8"/>
      <sheetData sheetId="9">
        <row r="22">
          <cell r="S22" t="str">
            <v>Hold</v>
          </cell>
          <cell r="T22" t="str">
            <v>Hold</v>
          </cell>
          <cell r="U22" t="str">
            <v>Hold</v>
          </cell>
          <cell r="V22" t="str">
            <v>Hold</v>
          </cell>
          <cell r="W22" t="str">
            <v>Hold</v>
          </cell>
          <cell r="X22" t="str">
            <v>Hold</v>
          </cell>
          <cell r="Y22" t="str">
            <v>Hold</v>
          </cell>
          <cell r="Z22" t="str">
            <v>Hold</v>
          </cell>
          <cell r="AA22">
            <v>0</v>
          </cell>
          <cell r="AB22">
            <v>0</v>
          </cell>
          <cell r="AC22">
            <v>0</v>
          </cell>
          <cell r="AD22">
            <v>0</v>
          </cell>
          <cell r="AE22">
            <v>0</v>
          </cell>
        </row>
        <row r="23">
          <cell r="S23" t="str">
            <v>Hold</v>
          </cell>
          <cell r="T23" t="str">
            <v>Hold</v>
          </cell>
          <cell r="U23" t="str">
            <v>Hold</v>
          </cell>
          <cell r="V23" t="str">
            <v>Hold</v>
          </cell>
          <cell r="W23" t="str">
            <v>Hold</v>
          </cell>
          <cell r="X23" t="str">
            <v>Hold</v>
          </cell>
          <cell r="Y23" t="str">
            <v>Hold</v>
          </cell>
          <cell r="Z23" t="str">
            <v>Hold</v>
          </cell>
          <cell r="AA23" t="str">
            <v>Hold</v>
          </cell>
          <cell r="AB23" t="str">
            <v>Hold</v>
          </cell>
          <cell r="AC23" t="str">
            <v>Hold</v>
          </cell>
          <cell r="AD23" t="str">
            <v>Hold</v>
          </cell>
          <cell r="AE23" t="str">
            <v>Hold</v>
          </cell>
        </row>
        <row r="24">
          <cell r="S24">
            <v>0</v>
          </cell>
          <cell r="T24">
            <v>0</v>
          </cell>
          <cell r="U24">
            <v>0</v>
          </cell>
          <cell r="V24">
            <v>0</v>
          </cell>
          <cell r="W24">
            <v>0</v>
          </cell>
          <cell r="X24">
            <v>0</v>
          </cell>
          <cell r="Y24">
            <v>0</v>
          </cell>
          <cell r="Z24">
            <v>0</v>
          </cell>
          <cell r="AA24">
            <v>0</v>
          </cell>
          <cell r="AB24">
            <v>0</v>
          </cell>
          <cell r="AC24">
            <v>0</v>
          </cell>
          <cell r="AD24" t="str">
            <v>Buy</v>
          </cell>
          <cell r="AE24" t="str">
            <v>Buy</v>
          </cell>
        </row>
        <row r="25">
          <cell r="S25" t="str">
            <v>Outperform</v>
          </cell>
          <cell r="T25" t="str">
            <v>Outperform</v>
          </cell>
          <cell r="U25" t="str">
            <v>Outperform</v>
          </cell>
          <cell r="V25" t="str">
            <v>Outperform</v>
          </cell>
          <cell r="W25" t="str">
            <v>Outperform</v>
          </cell>
          <cell r="X25" t="str">
            <v>Outperform</v>
          </cell>
          <cell r="Y25" t="str">
            <v>Outperform</v>
          </cell>
          <cell r="Z25" t="str">
            <v>Outperform</v>
          </cell>
          <cell r="AA25" t="str">
            <v>Outperform</v>
          </cell>
          <cell r="AB25" t="str">
            <v>Outperform</v>
          </cell>
          <cell r="AC25" t="str">
            <v>Outperform</v>
          </cell>
          <cell r="AD25" t="str">
            <v>Outperform</v>
          </cell>
          <cell r="AE25" t="str">
            <v>Outperform</v>
          </cell>
        </row>
        <row r="26">
          <cell r="S26">
            <v>0</v>
          </cell>
          <cell r="T26">
            <v>0</v>
          </cell>
          <cell r="U26">
            <v>0</v>
          </cell>
          <cell r="V26">
            <v>0</v>
          </cell>
          <cell r="W26" t="str">
            <v>Outperform</v>
          </cell>
          <cell r="X26" t="str">
            <v>Outperform</v>
          </cell>
          <cell r="Y26" t="str">
            <v>Outperform</v>
          </cell>
          <cell r="Z26" t="str">
            <v>Outperform</v>
          </cell>
          <cell r="AA26" t="str">
            <v>Outperform</v>
          </cell>
          <cell r="AB26" t="str">
            <v>Outperform</v>
          </cell>
          <cell r="AC26" t="str">
            <v>Outperform</v>
          </cell>
          <cell r="AD26" t="str">
            <v>Outperform</v>
          </cell>
          <cell r="AE26" t="str">
            <v>Outperform</v>
          </cell>
        </row>
        <row r="27">
          <cell r="S27" t="str">
            <v>Hold</v>
          </cell>
          <cell r="T27" t="str">
            <v>Hold</v>
          </cell>
          <cell r="U27" t="str">
            <v>Hold</v>
          </cell>
          <cell r="V27" t="str">
            <v>Hold</v>
          </cell>
          <cell r="W27" t="str">
            <v>Hold</v>
          </cell>
          <cell r="X27" t="str">
            <v>Hold</v>
          </cell>
          <cell r="Y27" t="str">
            <v>Hold</v>
          </cell>
          <cell r="Z27" t="str">
            <v>Hold</v>
          </cell>
          <cell r="AA27" t="str">
            <v>Hold</v>
          </cell>
          <cell r="AB27" t="str">
            <v>Hold</v>
          </cell>
          <cell r="AC27" t="str">
            <v>Hold</v>
          </cell>
          <cell r="AD27" t="str">
            <v>Hold</v>
          </cell>
          <cell r="AE27" t="str">
            <v>Hold</v>
          </cell>
        </row>
        <row r="28">
          <cell r="S28" t="str">
            <v>Hold</v>
          </cell>
          <cell r="T28" t="str">
            <v>Hold</v>
          </cell>
          <cell r="U28" t="str">
            <v>Hold</v>
          </cell>
          <cell r="V28" t="str">
            <v>Hold</v>
          </cell>
          <cell r="W28" t="str">
            <v>Hold</v>
          </cell>
          <cell r="X28" t="str">
            <v>Hold</v>
          </cell>
          <cell r="Y28" t="str">
            <v>Hold</v>
          </cell>
          <cell r="Z28" t="str">
            <v>Hold</v>
          </cell>
          <cell r="AA28" t="str">
            <v>Hold</v>
          </cell>
          <cell r="AB28" t="str">
            <v>Hold</v>
          </cell>
          <cell r="AC28" t="str">
            <v>Hold</v>
          </cell>
          <cell r="AD28" t="str">
            <v>Hold</v>
          </cell>
          <cell r="AE28" t="str">
            <v>Hold</v>
          </cell>
        </row>
        <row r="29">
          <cell r="S29">
            <v>0</v>
          </cell>
          <cell r="T29">
            <v>0</v>
          </cell>
          <cell r="U29">
            <v>0</v>
          </cell>
          <cell r="V29">
            <v>0</v>
          </cell>
          <cell r="W29">
            <v>0</v>
          </cell>
          <cell r="X29">
            <v>0</v>
          </cell>
          <cell r="Y29">
            <v>0</v>
          </cell>
          <cell r="Z29" t="str">
            <v>Buy</v>
          </cell>
          <cell r="AA29" t="str">
            <v>Buy</v>
          </cell>
          <cell r="AB29" t="str">
            <v>Buy</v>
          </cell>
          <cell r="AC29" t="str">
            <v>Buy</v>
          </cell>
          <cell r="AD29" t="str">
            <v>Buy</v>
          </cell>
          <cell r="AE29" t="str">
            <v>Buy</v>
          </cell>
        </row>
        <row r="30">
          <cell r="S30" t="str">
            <v>Hold</v>
          </cell>
          <cell r="T30" t="str">
            <v>Hold</v>
          </cell>
          <cell r="U30" t="str">
            <v>Hold</v>
          </cell>
          <cell r="V30" t="str">
            <v>Hold</v>
          </cell>
          <cell r="W30" t="str">
            <v>Hold</v>
          </cell>
          <cell r="X30" t="str">
            <v>Hold</v>
          </cell>
          <cell r="Y30" t="str">
            <v>Hold</v>
          </cell>
          <cell r="Z30" t="str">
            <v>Hold</v>
          </cell>
          <cell r="AA30" t="str">
            <v>Hold</v>
          </cell>
          <cell r="AB30" t="str">
            <v>Hold</v>
          </cell>
          <cell r="AC30" t="str">
            <v>Hold</v>
          </cell>
          <cell r="AD30" t="str">
            <v>Hold</v>
          </cell>
          <cell r="AE30" t="str">
            <v>Hold</v>
          </cell>
        </row>
        <row r="31">
          <cell r="S31" t="str">
            <v>Hold</v>
          </cell>
          <cell r="T31" t="str">
            <v>Hold</v>
          </cell>
          <cell r="U31" t="str">
            <v>Hold</v>
          </cell>
          <cell r="V31" t="str">
            <v>Hold</v>
          </cell>
          <cell r="W31" t="str">
            <v>Hold</v>
          </cell>
          <cell r="X31" t="str">
            <v>Hold</v>
          </cell>
          <cell r="Y31" t="str">
            <v>Hold</v>
          </cell>
          <cell r="Z31" t="str">
            <v>Hold</v>
          </cell>
          <cell r="AA31" t="str">
            <v>Hold</v>
          </cell>
          <cell r="AB31" t="str">
            <v>Hold</v>
          </cell>
          <cell r="AC31" t="str">
            <v>Hold</v>
          </cell>
          <cell r="AD31" t="str">
            <v>Hold</v>
          </cell>
          <cell r="AE31" t="str">
            <v>Hold</v>
          </cell>
        </row>
        <row r="32">
          <cell r="S32" t="str">
            <v>Hold</v>
          </cell>
          <cell r="T32" t="str">
            <v>Hold</v>
          </cell>
          <cell r="U32" t="str">
            <v>Hold</v>
          </cell>
          <cell r="V32" t="str">
            <v>Hold</v>
          </cell>
          <cell r="W32" t="str">
            <v>Hold</v>
          </cell>
          <cell r="X32" t="str">
            <v>Hold</v>
          </cell>
          <cell r="Y32" t="str">
            <v>Hold</v>
          </cell>
          <cell r="Z32" t="str">
            <v>Hold</v>
          </cell>
          <cell r="AA32" t="str">
            <v>Hold</v>
          </cell>
          <cell r="AB32" t="str">
            <v>Hold</v>
          </cell>
          <cell r="AC32" t="str">
            <v>Hold</v>
          </cell>
          <cell r="AD32" t="str">
            <v>Hold</v>
          </cell>
          <cell r="AE32" t="str">
            <v>Hold</v>
          </cell>
        </row>
        <row r="33">
          <cell r="S33" t="str">
            <v>Buy</v>
          </cell>
          <cell r="T33" t="str">
            <v>Buy</v>
          </cell>
          <cell r="U33" t="str">
            <v>Buy</v>
          </cell>
          <cell r="V33" t="str">
            <v>Buy</v>
          </cell>
          <cell r="W33" t="str">
            <v>Buy</v>
          </cell>
          <cell r="X33" t="str">
            <v>Buy</v>
          </cell>
          <cell r="Y33" t="str">
            <v>Buy</v>
          </cell>
          <cell r="Z33" t="str">
            <v>Buy</v>
          </cell>
          <cell r="AA33" t="str">
            <v>Buy</v>
          </cell>
          <cell r="AB33" t="str">
            <v>Buy</v>
          </cell>
          <cell r="AC33" t="str">
            <v>Buy</v>
          </cell>
          <cell r="AD33" t="str">
            <v>Buy</v>
          </cell>
          <cell r="AE33" t="str">
            <v>Buy</v>
          </cell>
        </row>
        <row r="34">
          <cell r="S34">
            <v>0</v>
          </cell>
          <cell r="T34" t="str">
            <v>Sell</v>
          </cell>
          <cell r="U34" t="str">
            <v>Sell</v>
          </cell>
          <cell r="V34" t="str">
            <v>Sell</v>
          </cell>
          <cell r="W34" t="str">
            <v>Sell</v>
          </cell>
          <cell r="X34" t="str">
            <v>Sell</v>
          </cell>
          <cell r="Y34" t="str">
            <v>Sell</v>
          </cell>
          <cell r="Z34" t="str">
            <v>Sell</v>
          </cell>
          <cell r="AA34" t="str">
            <v>Sell</v>
          </cell>
          <cell r="AB34" t="str">
            <v>Sell</v>
          </cell>
          <cell r="AC34" t="str">
            <v>Sell</v>
          </cell>
          <cell r="AD34" t="str">
            <v>Sell</v>
          </cell>
          <cell r="AE34" t="str">
            <v>Sell</v>
          </cell>
        </row>
        <row r="35">
          <cell r="S35" t="str">
            <v>Hold</v>
          </cell>
          <cell r="T35" t="str">
            <v>Hold</v>
          </cell>
          <cell r="U35" t="str">
            <v>Hold</v>
          </cell>
          <cell r="V35" t="str">
            <v>Hold</v>
          </cell>
          <cell r="W35" t="str">
            <v>Hold</v>
          </cell>
          <cell r="X35" t="str">
            <v>Hold</v>
          </cell>
          <cell r="Y35" t="str">
            <v>Underperform</v>
          </cell>
          <cell r="Z35" t="str">
            <v>Underperform</v>
          </cell>
          <cell r="AA35" t="str">
            <v>Underperform</v>
          </cell>
          <cell r="AB35" t="str">
            <v>Underperform</v>
          </cell>
          <cell r="AC35" t="str">
            <v>Underperform</v>
          </cell>
          <cell r="AD35" t="str">
            <v>Hold</v>
          </cell>
          <cell r="AE35" t="str">
            <v>Hold</v>
          </cell>
        </row>
        <row r="36">
          <cell r="S36" t="str">
            <v>Buy</v>
          </cell>
          <cell r="T36" t="str">
            <v>Buy</v>
          </cell>
          <cell r="U36" t="str">
            <v>Buy</v>
          </cell>
          <cell r="V36" t="str">
            <v>Buy</v>
          </cell>
          <cell r="W36" t="str">
            <v>Hold</v>
          </cell>
          <cell r="X36" t="str">
            <v>Hold</v>
          </cell>
          <cell r="Y36" t="str">
            <v>Hold</v>
          </cell>
          <cell r="Z36" t="str">
            <v>Hold</v>
          </cell>
          <cell r="AA36" t="str">
            <v>Hold</v>
          </cell>
          <cell r="AB36" t="str">
            <v>Hold</v>
          </cell>
          <cell r="AC36" t="str">
            <v>Hold</v>
          </cell>
          <cell r="AD36" t="str">
            <v>Hold</v>
          </cell>
          <cell r="AE36" t="str">
            <v>Hold</v>
          </cell>
        </row>
        <row r="37">
          <cell r="S37" t="str">
            <v>Sell</v>
          </cell>
          <cell r="T37" t="str">
            <v>Sell</v>
          </cell>
          <cell r="U37" t="str">
            <v>Sell</v>
          </cell>
          <cell r="V37" t="str">
            <v>Sell</v>
          </cell>
          <cell r="W37" t="str">
            <v>Sell</v>
          </cell>
          <cell r="X37" t="str">
            <v>Sell</v>
          </cell>
          <cell r="Y37" t="str">
            <v>Sell</v>
          </cell>
          <cell r="Z37" t="str">
            <v>Sell</v>
          </cell>
          <cell r="AA37" t="str">
            <v>Sell</v>
          </cell>
          <cell r="AB37" t="str">
            <v>Sell</v>
          </cell>
          <cell r="AC37" t="str">
            <v>Sell</v>
          </cell>
          <cell r="AD37" t="str">
            <v>Sell</v>
          </cell>
          <cell r="AE37" t="str">
            <v>Sell</v>
          </cell>
        </row>
        <row r="38">
          <cell r="S38" t="str">
            <v>Hold</v>
          </cell>
          <cell r="T38" t="str">
            <v>Hold</v>
          </cell>
          <cell r="U38" t="str">
            <v>Hold</v>
          </cell>
          <cell r="V38" t="str">
            <v>Hold</v>
          </cell>
          <cell r="W38" t="str">
            <v>Hold</v>
          </cell>
          <cell r="X38" t="str">
            <v>Hold</v>
          </cell>
          <cell r="Y38" t="str">
            <v>Hold</v>
          </cell>
          <cell r="Z38" t="str">
            <v>Hold</v>
          </cell>
          <cell r="AA38" t="str">
            <v>Hold</v>
          </cell>
          <cell r="AB38" t="str">
            <v>Hold</v>
          </cell>
          <cell r="AC38" t="str">
            <v>Hold</v>
          </cell>
          <cell r="AD38" t="str">
            <v>Hold</v>
          </cell>
          <cell r="AE38" t="str">
            <v>Hold</v>
          </cell>
        </row>
        <row r="39">
          <cell r="S39" t="str">
            <v>Hold</v>
          </cell>
          <cell r="T39" t="str">
            <v>Hold</v>
          </cell>
          <cell r="U39" t="str">
            <v>Hold</v>
          </cell>
          <cell r="V39" t="str">
            <v>Hold</v>
          </cell>
          <cell r="W39" t="str">
            <v>Hold</v>
          </cell>
          <cell r="X39" t="str">
            <v>Hold</v>
          </cell>
          <cell r="Y39" t="str">
            <v>Hold</v>
          </cell>
          <cell r="Z39" t="str">
            <v>Hold</v>
          </cell>
          <cell r="AA39" t="str">
            <v>Hold</v>
          </cell>
          <cell r="AB39" t="str">
            <v>Hold</v>
          </cell>
          <cell r="AC39" t="str">
            <v>Hold</v>
          </cell>
          <cell r="AD39" t="str">
            <v>Hold</v>
          </cell>
          <cell r="AE39" t="str">
            <v>Hold</v>
          </cell>
        </row>
        <row r="40">
          <cell r="S40" t="str">
            <v>Buy</v>
          </cell>
          <cell r="T40" t="str">
            <v>Buy</v>
          </cell>
          <cell r="U40" t="str">
            <v>Buy</v>
          </cell>
          <cell r="V40" t="str">
            <v>Buy</v>
          </cell>
          <cell r="W40" t="str">
            <v>Outperform</v>
          </cell>
          <cell r="X40" t="str">
            <v>Outperform</v>
          </cell>
          <cell r="Y40" t="str">
            <v>Outperform</v>
          </cell>
          <cell r="Z40" t="str">
            <v>Outperform</v>
          </cell>
          <cell r="AA40" t="str">
            <v>Outperform</v>
          </cell>
          <cell r="AB40" t="str">
            <v>Outperform</v>
          </cell>
          <cell r="AC40" t="str">
            <v>Outperform</v>
          </cell>
          <cell r="AD40" t="str">
            <v>Outperform</v>
          </cell>
          <cell r="AE40" t="str">
            <v>Outperform</v>
          </cell>
        </row>
        <row r="41">
          <cell r="S41" t="str">
            <v>Hold</v>
          </cell>
          <cell r="T41" t="str">
            <v>Hold</v>
          </cell>
          <cell r="U41" t="str">
            <v>Hold</v>
          </cell>
          <cell r="V41" t="str">
            <v>Hold</v>
          </cell>
          <cell r="W41" t="str">
            <v>Hold</v>
          </cell>
          <cell r="X41" t="str">
            <v>Hold</v>
          </cell>
          <cell r="Y41" t="str">
            <v>Hold</v>
          </cell>
          <cell r="Z41" t="str">
            <v>Hold</v>
          </cell>
          <cell r="AA41" t="str">
            <v>Hold</v>
          </cell>
          <cell r="AB41" t="str">
            <v>Hold</v>
          </cell>
          <cell r="AC41" t="str">
            <v>Hold</v>
          </cell>
          <cell r="AD41" t="str">
            <v>Hold</v>
          </cell>
          <cell r="AE41" t="str">
            <v>Hold</v>
          </cell>
        </row>
        <row r="42">
          <cell r="S42" t="str">
            <v>Hold</v>
          </cell>
          <cell r="T42" t="str">
            <v>Hold</v>
          </cell>
          <cell r="U42" t="str">
            <v>Hold</v>
          </cell>
          <cell r="V42" t="str">
            <v>Hold</v>
          </cell>
          <cell r="W42" t="str">
            <v>Hold</v>
          </cell>
          <cell r="X42" t="str">
            <v>Hold</v>
          </cell>
          <cell r="Y42" t="str">
            <v>Hold</v>
          </cell>
          <cell r="Z42" t="str">
            <v>Hold</v>
          </cell>
          <cell r="AA42" t="str">
            <v>Hold</v>
          </cell>
          <cell r="AB42" t="str">
            <v>Hold</v>
          </cell>
          <cell r="AC42" t="str">
            <v>Hold</v>
          </cell>
          <cell r="AD42" t="str">
            <v>Hold</v>
          </cell>
          <cell r="AE42" t="str">
            <v>Hold</v>
          </cell>
        </row>
        <row r="43">
          <cell r="S43" t="str">
            <v>Hold</v>
          </cell>
          <cell r="T43" t="str">
            <v>Hold</v>
          </cell>
          <cell r="U43">
            <v>0</v>
          </cell>
          <cell r="V43">
            <v>0</v>
          </cell>
          <cell r="W43">
            <v>0</v>
          </cell>
          <cell r="X43">
            <v>0</v>
          </cell>
          <cell r="Y43">
            <v>0</v>
          </cell>
          <cell r="Z43" t="str">
            <v>Outperform</v>
          </cell>
          <cell r="AA43" t="str">
            <v>Outperform</v>
          </cell>
          <cell r="AB43" t="str">
            <v>Outperform</v>
          </cell>
          <cell r="AC43" t="str">
            <v>Outperform</v>
          </cell>
          <cell r="AD43" t="str">
            <v>Outperform</v>
          </cell>
          <cell r="AE43" t="str">
            <v>Outperform</v>
          </cell>
        </row>
        <row r="44">
          <cell r="S44">
            <v>0</v>
          </cell>
          <cell r="T44">
            <v>0</v>
          </cell>
          <cell r="U44">
            <v>0</v>
          </cell>
          <cell r="V44" t="str">
            <v>Buy</v>
          </cell>
          <cell r="W44" t="str">
            <v>Buy</v>
          </cell>
          <cell r="X44" t="str">
            <v>Buy</v>
          </cell>
          <cell r="Y44" t="str">
            <v>Buy</v>
          </cell>
          <cell r="Z44" t="str">
            <v>Buy</v>
          </cell>
          <cell r="AA44" t="str">
            <v>Buy</v>
          </cell>
          <cell r="AB44" t="str">
            <v>Buy</v>
          </cell>
          <cell r="AC44" t="str">
            <v>Buy</v>
          </cell>
          <cell r="AD44" t="str">
            <v>Buy</v>
          </cell>
          <cell r="AE44" t="str">
            <v>Buy</v>
          </cell>
        </row>
        <row r="45">
          <cell r="S45" t="str">
            <v>Outperform</v>
          </cell>
          <cell r="T45" t="str">
            <v>Outperform</v>
          </cell>
          <cell r="U45" t="str">
            <v>Outperform</v>
          </cell>
          <cell r="V45" t="str">
            <v>Outperform</v>
          </cell>
          <cell r="W45" t="str">
            <v>Outperform</v>
          </cell>
          <cell r="X45" t="str">
            <v>Outperform</v>
          </cell>
          <cell r="Y45" t="str">
            <v>Outperform</v>
          </cell>
          <cell r="Z45" t="str">
            <v>Outperform</v>
          </cell>
          <cell r="AA45" t="str">
            <v>Outperform</v>
          </cell>
          <cell r="AB45" t="str">
            <v>Outperform</v>
          </cell>
          <cell r="AC45" t="str">
            <v>Outperform</v>
          </cell>
          <cell r="AD45" t="str">
            <v>Outperform</v>
          </cell>
          <cell r="AE45" t="str">
            <v>Outperform</v>
          </cell>
        </row>
        <row r="46">
          <cell r="S46" t="str">
            <v>Hold</v>
          </cell>
          <cell r="T46" t="str">
            <v>Hold</v>
          </cell>
          <cell r="U46" t="str">
            <v>Hold</v>
          </cell>
          <cell r="V46" t="str">
            <v>Hold</v>
          </cell>
          <cell r="W46" t="str">
            <v>Hold</v>
          </cell>
          <cell r="X46" t="str">
            <v>Hold</v>
          </cell>
          <cell r="Y46" t="str">
            <v>Hold</v>
          </cell>
          <cell r="Z46" t="str">
            <v>Hold</v>
          </cell>
          <cell r="AA46" t="str">
            <v>Hold</v>
          </cell>
          <cell r="AB46" t="str">
            <v>Hold</v>
          </cell>
          <cell r="AC46" t="str">
            <v>Buy</v>
          </cell>
          <cell r="AD46" t="str">
            <v>Buy</v>
          </cell>
          <cell r="AE46" t="str">
            <v>Buy</v>
          </cell>
        </row>
        <row r="47">
          <cell r="S47" t="str">
            <v>Outperform</v>
          </cell>
          <cell r="T47" t="str">
            <v>Outperform</v>
          </cell>
          <cell r="U47" t="str">
            <v>Outperform</v>
          </cell>
          <cell r="V47" t="str">
            <v>Outperform</v>
          </cell>
          <cell r="W47" t="str">
            <v>Outperform</v>
          </cell>
          <cell r="X47" t="str">
            <v>Outperform</v>
          </cell>
          <cell r="Y47" t="str">
            <v>Outperform</v>
          </cell>
          <cell r="Z47" t="str">
            <v>Outperform</v>
          </cell>
          <cell r="AA47" t="str">
            <v>Outperform</v>
          </cell>
          <cell r="AB47" t="str">
            <v>Outperform</v>
          </cell>
          <cell r="AC47" t="str">
            <v>Outperform</v>
          </cell>
          <cell r="AD47" t="str">
            <v>Outperform</v>
          </cell>
          <cell r="AE47" t="str">
            <v>Outperform</v>
          </cell>
        </row>
        <row r="48">
          <cell r="S48" t="str">
            <v>Buy</v>
          </cell>
          <cell r="T48" t="str">
            <v>Buy</v>
          </cell>
          <cell r="U48" t="str">
            <v>Buy</v>
          </cell>
          <cell r="V48" t="str">
            <v>Buy</v>
          </cell>
          <cell r="W48" t="str">
            <v>Buy</v>
          </cell>
          <cell r="X48" t="str">
            <v>Buy</v>
          </cell>
          <cell r="Y48" t="str">
            <v>Buy</v>
          </cell>
          <cell r="Z48" t="str">
            <v>Buy</v>
          </cell>
          <cell r="AA48" t="str">
            <v>Buy</v>
          </cell>
          <cell r="AB48" t="str">
            <v>Buy</v>
          </cell>
          <cell r="AC48" t="str">
            <v>Buy</v>
          </cell>
          <cell r="AD48" t="str">
            <v>Buy</v>
          </cell>
          <cell r="AE48" t="str">
            <v>Buy</v>
          </cell>
        </row>
        <row r="49">
          <cell r="S49" t="str">
            <v>Hold</v>
          </cell>
          <cell r="T49" t="str">
            <v>Hold</v>
          </cell>
          <cell r="U49" t="str">
            <v>Hold</v>
          </cell>
          <cell r="V49" t="str">
            <v>Hold</v>
          </cell>
          <cell r="W49" t="str">
            <v>Hold</v>
          </cell>
          <cell r="X49" t="str">
            <v>Hold</v>
          </cell>
          <cell r="Y49" t="str">
            <v>Hold</v>
          </cell>
          <cell r="Z49" t="str">
            <v>Hold</v>
          </cell>
          <cell r="AA49" t="str">
            <v>Hold</v>
          </cell>
          <cell r="AB49" t="str">
            <v>Hold</v>
          </cell>
          <cell r="AC49" t="str">
            <v>Hold</v>
          </cell>
          <cell r="AD49" t="str">
            <v>Hold</v>
          </cell>
          <cell r="AE49" t="str">
            <v>Hold</v>
          </cell>
        </row>
        <row r="50">
          <cell r="S50" t="str">
            <v>Buy</v>
          </cell>
          <cell r="T50" t="str">
            <v>Buy</v>
          </cell>
          <cell r="U50" t="str">
            <v>Buy</v>
          </cell>
          <cell r="V50" t="str">
            <v>Buy</v>
          </cell>
          <cell r="W50" t="str">
            <v>Buy</v>
          </cell>
          <cell r="X50" t="str">
            <v>Buy</v>
          </cell>
          <cell r="Y50" t="str">
            <v>Buy</v>
          </cell>
          <cell r="Z50" t="str">
            <v>Buy</v>
          </cell>
          <cell r="AA50" t="str">
            <v>Buy</v>
          </cell>
          <cell r="AB50" t="str">
            <v>Buy</v>
          </cell>
          <cell r="AC50" t="str">
            <v>Buy</v>
          </cell>
          <cell r="AD50" t="str">
            <v>Buy</v>
          </cell>
          <cell r="AE50" t="str">
            <v>Buy</v>
          </cell>
        </row>
        <row r="51">
          <cell r="S51" t="str">
            <v>Hold</v>
          </cell>
          <cell r="T51" t="str">
            <v>Hold</v>
          </cell>
          <cell r="U51" t="str">
            <v>Hold</v>
          </cell>
          <cell r="V51" t="str">
            <v>Hold</v>
          </cell>
          <cell r="W51" t="str">
            <v>Hold</v>
          </cell>
          <cell r="X51" t="str">
            <v>Hold</v>
          </cell>
          <cell r="Y51" t="str">
            <v>Hold</v>
          </cell>
          <cell r="Z51" t="str">
            <v>Buy</v>
          </cell>
          <cell r="AA51" t="str">
            <v>Buy</v>
          </cell>
          <cell r="AB51" t="str">
            <v>Buy</v>
          </cell>
          <cell r="AC51" t="str">
            <v>Buy</v>
          </cell>
          <cell r="AD51" t="str">
            <v>Buy</v>
          </cell>
          <cell r="AE51" t="str">
            <v>Buy</v>
          </cell>
        </row>
        <row r="52">
          <cell r="S52" t="str">
            <v>Hold</v>
          </cell>
          <cell r="T52" t="str">
            <v>Hold</v>
          </cell>
          <cell r="U52" t="str">
            <v>Hold</v>
          </cell>
          <cell r="V52" t="str">
            <v>Hold</v>
          </cell>
          <cell r="W52" t="str">
            <v>Hold</v>
          </cell>
          <cell r="X52" t="str">
            <v>Hold</v>
          </cell>
          <cell r="Y52" t="str">
            <v>Hold</v>
          </cell>
          <cell r="Z52" t="str">
            <v>Hold</v>
          </cell>
          <cell r="AA52" t="str">
            <v>Hold</v>
          </cell>
          <cell r="AB52" t="str">
            <v>Hold</v>
          </cell>
          <cell r="AC52" t="str">
            <v>Hold</v>
          </cell>
          <cell r="AD52" t="str">
            <v>Hold</v>
          </cell>
          <cell r="AE52" t="str">
            <v>Hold</v>
          </cell>
        </row>
        <row r="53">
          <cell r="S53" t="str">
            <v>Hold</v>
          </cell>
          <cell r="T53" t="str">
            <v>Hold</v>
          </cell>
          <cell r="U53" t="str">
            <v>Hold</v>
          </cell>
          <cell r="V53" t="str">
            <v>Hold</v>
          </cell>
          <cell r="W53" t="str">
            <v>Hold</v>
          </cell>
          <cell r="X53" t="str">
            <v>Hold</v>
          </cell>
          <cell r="Y53" t="str">
            <v>Hold</v>
          </cell>
          <cell r="Z53" t="str">
            <v>Hold</v>
          </cell>
          <cell r="AA53" t="str">
            <v>Hold</v>
          </cell>
          <cell r="AB53" t="str">
            <v>Hold</v>
          </cell>
          <cell r="AC53">
            <v>0</v>
          </cell>
          <cell r="AD53">
            <v>0</v>
          </cell>
          <cell r="AE53">
            <v>0</v>
          </cell>
        </row>
        <row r="54">
          <cell r="S54" t="str">
            <v>Buy</v>
          </cell>
          <cell r="T54" t="str">
            <v>Buy</v>
          </cell>
          <cell r="U54" t="str">
            <v>Buy</v>
          </cell>
          <cell r="V54" t="str">
            <v>Buy</v>
          </cell>
          <cell r="W54" t="str">
            <v>Buy</v>
          </cell>
          <cell r="X54" t="str">
            <v>Hold</v>
          </cell>
          <cell r="Y54" t="str">
            <v>Buy</v>
          </cell>
          <cell r="Z54" t="str">
            <v>Buy</v>
          </cell>
          <cell r="AA54" t="str">
            <v>Buy</v>
          </cell>
          <cell r="AB54" t="str">
            <v>Hold</v>
          </cell>
          <cell r="AC54">
            <v>0</v>
          </cell>
          <cell r="AD54">
            <v>0</v>
          </cell>
          <cell r="AE54">
            <v>0</v>
          </cell>
        </row>
        <row r="55">
          <cell r="S55" t="str">
            <v>Sell</v>
          </cell>
          <cell r="T55" t="str">
            <v>Sell</v>
          </cell>
          <cell r="U55" t="str">
            <v>Sell</v>
          </cell>
          <cell r="V55" t="str">
            <v>Sell</v>
          </cell>
          <cell r="W55" t="str">
            <v>Sell</v>
          </cell>
          <cell r="X55" t="str">
            <v>Buy</v>
          </cell>
          <cell r="Y55" t="str">
            <v>Sell</v>
          </cell>
          <cell r="Z55" t="str">
            <v>Sell</v>
          </cell>
          <cell r="AA55" t="str">
            <v>Sell</v>
          </cell>
          <cell r="AB55" t="str">
            <v>Sell</v>
          </cell>
          <cell r="AC55" t="str">
            <v>Sell</v>
          </cell>
          <cell r="AD55" t="str">
            <v>Sell</v>
          </cell>
          <cell r="AE55" t="str">
            <v>Sell</v>
          </cell>
        </row>
        <row r="56">
          <cell r="S56">
            <v>0</v>
          </cell>
          <cell r="T56">
            <v>0</v>
          </cell>
          <cell r="U56">
            <v>0</v>
          </cell>
          <cell r="V56">
            <v>0</v>
          </cell>
          <cell r="W56">
            <v>0</v>
          </cell>
          <cell r="X56" t="str">
            <v>Sell</v>
          </cell>
          <cell r="Y56">
            <v>0</v>
          </cell>
          <cell r="Z56">
            <v>0</v>
          </cell>
          <cell r="AA56" t="str">
            <v>Sell</v>
          </cell>
          <cell r="AB56" t="str">
            <v>Sell</v>
          </cell>
          <cell r="AC56" t="str">
            <v>Sell</v>
          </cell>
          <cell r="AD56" t="str">
            <v>Sell</v>
          </cell>
          <cell r="AE56" t="str">
            <v>Sell</v>
          </cell>
        </row>
        <row r="57">
          <cell r="S57">
            <v>0</v>
          </cell>
          <cell r="T57">
            <v>0</v>
          </cell>
          <cell r="U57">
            <v>0</v>
          </cell>
          <cell r="V57">
            <v>0</v>
          </cell>
          <cell r="W57" t="str">
            <v>No Opinion</v>
          </cell>
          <cell r="X57">
            <v>0</v>
          </cell>
          <cell r="Y57" t="str">
            <v>No Opinion</v>
          </cell>
          <cell r="Z57" t="str">
            <v>No Opinion</v>
          </cell>
          <cell r="AA57" t="str">
            <v>No Opinion</v>
          </cell>
          <cell r="AB57" t="str">
            <v>No Opinion</v>
          </cell>
          <cell r="AC57" t="str">
            <v>No Opinion</v>
          </cell>
          <cell r="AD57" t="str">
            <v>No Opinion</v>
          </cell>
          <cell r="AE57" t="str">
            <v>No Opinion</v>
          </cell>
        </row>
        <row r="58">
          <cell r="S58" t="str">
            <v>Outperform</v>
          </cell>
          <cell r="T58" t="str">
            <v>Outperform</v>
          </cell>
          <cell r="U58" t="str">
            <v>Outperform</v>
          </cell>
          <cell r="V58" t="str">
            <v>Outperform</v>
          </cell>
          <cell r="W58" t="str">
            <v>Outperform</v>
          </cell>
          <cell r="X58" t="str">
            <v>No Opinion</v>
          </cell>
          <cell r="Y58">
            <v>0</v>
          </cell>
          <cell r="Z58">
            <v>0</v>
          </cell>
          <cell r="AA58">
            <v>0</v>
          </cell>
          <cell r="AB58">
            <v>0</v>
          </cell>
          <cell r="AC58">
            <v>0</v>
          </cell>
          <cell r="AD58">
            <v>0</v>
          </cell>
          <cell r="AE58">
            <v>0</v>
          </cell>
        </row>
        <row r="59">
          <cell r="S59">
            <v>0</v>
          </cell>
          <cell r="T59">
            <v>0</v>
          </cell>
          <cell r="U59">
            <v>0</v>
          </cell>
          <cell r="V59">
            <v>0</v>
          </cell>
          <cell r="W59" t="str">
            <v>Underperform</v>
          </cell>
          <cell r="X59">
            <v>0</v>
          </cell>
          <cell r="Y59" t="str">
            <v>Underperform</v>
          </cell>
          <cell r="Z59" t="str">
            <v>Underperform</v>
          </cell>
          <cell r="AA59" t="str">
            <v>Underperform</v>
          </cell>
          <cell r="AB59" t="str">
            <v>Underperform</v>
          </cell>
          <cell r="AC59">
            <v>0</v>
          </cell>
          <cell r="AD59">
            <v>0</v>
          </cell>
          <cell r="AE59">
            <v>0</v>
          </cell>
        </row>
        <row r="60">
          <cell r="S60" t="str">
            <v>Sell</v>
          </cell>
          <cell r="T60">
            <v>0</v>
          </cell>
          <cell r="U60">
            <v>0</v>
          </cell>
          <cell r="V60">
            <v>0</v>
          </cell>
          <cell r="W60">
            <v>0</v>
          </cell>
          <cell r="X60" t="str">
            <v>Underperform</v>
          </cell>
          <cell r="Y60">
            <v>0</v>
          </cell>
          <cell r="Z60">
            <v>0</v>
          </cell>
          <cell r="AA60">
            <v>0</v>
          </cell>
          <cell r="AB60">
            <v>0</v>
          </cell>
          <cell r="AC60">
            <v>0</v>
          </cell>
          <cell r="AD60">
            <v>0</v>
          </cell>
          <cell r="AE60">
            <v>0</v>
          </cell>
        </row>
        <row r="61">
          <cell r="S61" t="str">
            <v>Hold</v>
          </cell>
          <cell r="T61" t="str">
            <v>Hold</v>
          </cell>
          <cell r="U61" t="str">
            <v>Hold</v>
          </cell>
          <cell r="V61" t="str">
            <v>Hold</v>
          </cell>
          <cell r="W61">
            <v>0</v>
          </cell>
          <cell r="X61">
            <v>0</v>
          </cell>
          <cell r="Y61">
            <v>0</v>
          </cell>
          <cell r="Z61">
            <v>0</v>
          </cell>
          <cell r="AA61">
            <v>0</v>
          </cell>
          <cell r="AB61">
            <v>0</v>
          </cell>
          <cell r="AC61">
            <v>0</v>
          </cell>
          <cell r="AD61">
            <v>0</v>
          </cell>
          <cell r="AE61">
            <v>0</v>
          </cell>
        </row>
        <row r="62">
          <cell r="S62">
            <v>0</v>
          </cell>
          <cell r="T62">
            <v>0</v>
          </cell>
          <cell r="U62">
            <v>0</v>
          </cell>
          <cell r="V62">
            <v>0</v>
          </cell>
          <cell r="W62">
            <v>0</v>
          </cell>
          <cell r="X62">
            <v>0</v>
          </cell>
          <cell r="Y62">
            <v>0</v>
          </cell>
          <cell r="Z62">
            <v>0</v>
          </cell>
          <cell r="AA62">
            <v>0</v>
          </cell>
          <cell r="AB62">
            <v>0</v>
          </cell>
          <cell r="AC62">
            <v>0</v>
          </cell>
          <cell r="AD62">
            <v>0</v>
          </cell>
          <cell r="AE62">
            <v>0</v>
          </cell>
        </row>
        <row r="63">
          <cell r="S63">
            <v>0</v>
          </cell>
          <cell r="T63">
            <v>0</v>
          </cell>
          <cell r="U63">
            <v>0</v>
          </cell>
          <cell r="V63">
            <v>0</v>
          </cell>
          <cell r="W63">
            <v>0</v>
          </cell>
          <cell r="X63">
            <v>0</v>
          </cell>
          <cell r="Y63">
            <v>0</v>
          </cell>
          <cell r="Z63">
            <v>0</v>
          </cell>
          <cell r="AA63">
            <v>0</v>
          </cell>
          <cell r="AB63">
            <v>0</v>
          </cell>
          <cell r="AC63">
            <v>0</v>
          </cell>
          <cell r="AD63">
            <v>0</v>
          </cell>
          <cell r="AE63">
            <v>0</v>
          </cell>
        </row>
        <row r="64">
          <cell r="S64">
            <v>0</v>
          </cell>
          <cell r="T64">
            <v>0</v>
          </cell>
          <cell r="U64">
            <v>0</v>
          </cell>
          <cell r="V64">
            <v>0</v>
          </cell>
          <cell r="W64">
            <v>0</v>
          </cell>
          <cell r="X64">
            <v>0</v>
          </cell>
          <cell r="Y64">
            <v>0</v>
          </cell>
          <cell r="Z64">
            <v>0</v>
          </cell>
          <cell r="AA64">
            <v>0</v>
          </cell>
          <cell r="AB64">
            <v>0</v>
          </cell>
          <cell r="AC64">
            <v>0</v>
          </cell>
          <cell r="AD64">
            <v>0</v>
          </cell>
          <cell r="AE64">
            <v>0</v>
          </cell>
        </row>
        <row r="65">
          <cell r="S65">
            <v>0</v>
          </cell>
          <cell r="T65">
            <v>0</v>
          </cell>
          <cell r="U65">
            <v>0</v>
          </cell>
          <cell r="V65">
            <v>0</v>
          </cell>
          <cell r="W65">
            <v>0</v>
          </cell>
          <cell r="X65">
            <v>0</v>
          </cell>
          <cell r="Y65">
            <v>0</v>
          </cell>
          <cell r="Z65">
            <v>0</v>
          </cell>
          <cell r="AA65">
            <v>0</v>
          </cell>
          <cell r="AB65">
            <v>0</v>
          </cell>
          <cell r="AC65">
            <v>0</v>
          </cell>
          <cell r="AD65">
            <v>0</v>
          </cell>
          <cell r="AE65">
            <v>0</v>
          </cell>
        </row>
        <row r="66">
          <cell r="S66">
            <v>0</v>
          </cell>
          <cell r="T66">
            <v>0</v>
          </cell>
          <cell r="U66">
            <v>0</v>
          </cell>
          <cell r="V66">
            <v>0</v>
          </cell>
          <cell r="W66">
            <v>0</v>
          </cell>
          <cell r="X66">
            <v>0</v>
          </cell>
          <cell r="Y66">
            <v>0</v>
          </cell>
          <cell r="Z66">
            <v>0</v>
          </cell>
          <cell r="AA66">
            <v>0</v>
          </cell>
          <cell r="AB66">
            <v>0</v>
          </cell>
          <cell r="AC66">
            <v>0</v>
          </cell>
          <cell r="AD66">
            <v>0</v>
          </cell>
          <cell r="AE66">
            <v>0</v>
          </cell>
        </row>
        <row r="67">
          <cell r="S67">
            <v>0</v>
          </cell>
          <cell r="T67">
            <v>0</v>
          </cell>
          <cell r="U67">
            <v>0</v>
          </cell>
          <cell r="V67">
            <v>0</v>
          </cell>
          <cell r="W67">
            <v>0</v>
          </cell>
          <cell r="X67">
            <v>0</v>
          </cell>
          <cell r="Y67">
            <v>0</v>
          </cell>
          <cell r="Z67">
            <v>0</v>
          </cell>
          <cell r="AA67">
            <v>0</v>
          </cell>
          <cell r="AB67">
            <v>0</v>
          </cell>
          <cell r="AC67">
            <v>0</v>
          </cell>
          <cell r="AD67">
            <v>0</v>
          </cell>
          <cell r="AE67">
            <v>0</v>
          </cell>
        </row>
        <row r="68">
          <cell r="S68">
            <v>0</v>
          </cell>
          <cell r="T68">
            <v>0</v>
          </cell>
          <cell r="U68">
            <v>0</v>
          </cell>
          <cell r="V68">
            <v>0</v>
          </cell>
          <cell r="W68">
            <v>0</v>
          </cell>
          <cell r="X68">
            <v>0</v>
          </cell>
          <cell r="Y68">
            <v>0</v>
          </cell>
          <cell r="Z68">
            <v>0</v>
          </cell>
          <cell r="AA68">
            <v>0</v>
          </cell>
          <cell r="AB68">
            <v>0</v>
          </cell>
          <cell r="AC68">
            <v>0</v>
          </cell>
          <cell r="AD68">
            <v>0</v>
          </cell>
          <cell r="AE68">
            <v>0</v>
          </cell>
        </row>
        <row r="69">
          <cell r="S69">
            <v>0</v>
          </cell>
          <cell r="T69">
            <v>0</v>
          </cell>
          <cell r="U69">
            <v>0</v>
          </cell>
          <cell r="V69">
            <v>0</v>
          </cell>
          <cell r="W69">
            <v>0</v>
          </cell>
          <cell r="X69">
            <v>0</v>
          </cell>
          <cell r="Y69">
            <v>0</v>
          </cell>
          <cell r="Z69">
            <v>0</v>
          </cell>
          <cell r="AA69">
            <v>0</v>
          </cell>
          <cell r="AB69">
            <v>0</v>
          </cell>
          <cell r="AC69">
            <v>0</v>
          </cell>
          <cell r="AD69">
            <v>0</v>
          </cell>
          <cell r="AE69">
            <v>0</v>
          </cell>
        </row>
        <row r="70">
          <cell r="S70">
            <v>0</v>
          </cell>
          <cell r="T70">
            <v>0</v>
          </cell>
          <cell r="U70">
            <v>0</v>
          </cell>
          <cell r="V70">
            <v>0</v>
          </cell>
          <cell r="W70">
            <v>0</v>
          </cell>
          <cell r="X70">
            <v>0</v>
          </cell>
          <cell r="Y70">
            <v>0</v>
          </cell>
          <cell r="Z70">
            <v>0</v>
          </cell>
          <cell r="AA70">
            <v>0</v>
          </cell>
          <cell r="AB70">
            <v>0</v>
          </cell>
          <cell r="AC70">
            <v>0</v>
          </cell>
          <cell r="AD70">
            <v>0</v>
          </cell>
          <cell r="AE70">
            <v>0</v>
          </cell>
        </row>
        <row r="71">
          <cell r="S71">
            <v>0</v>
          </cell>
          <cell r="T71">
            <v>0</v>
          </cell>
          <cell r="U71">
            <v>0</v>
          </cell>
          <cell r="V71">
            <v>0</v>
          </cell>
          <cell r="W71">
            <v>0</v>
          </cell>
          <cell r="X71">
            <v>0</v>
          </cell>
          <cell r="Y71">
            <v>0</v>
          </cell>
          <cell r="Z71">
            <v>0</v>
          </cell>
          <cell r="AA71">
            <v>0</v>
          </cell>
          <cell r="AB71">
            <v>0</v>
          </cell>
          <cell r="AC71">
            <v>0</v>
          </cell>
          <cell r="AD71">
            <v>0</v>
          </cell>
          <cell r="AE71">
            <v>0</v>
          </cell>
        </row>
        <row r="72">
          <cell r="S72">
            <v>0</v>
          </cell>
          <cell r="T72">
            <v>0</v>
          </cell>
          <cell r="U72">
            <v>0</v>
          </cell>
          <cell r="V72">
            <v>0</v>
          </cell>
          <cell r="W72">
            <v>0</v>
          </cell>
          <cell r="X72">
            <v>0</v>
          </cell>
          <cell r="Y72">
            <v>0</v>
          </cell>
          <cell r="Z72">
            <v>0</v>
          </cell>
          <cell r="AA72">
            <v>0</v>
          </cell>
          <cell r="AB72">
            <v>0</v>
          </cell>
          <cell r="AC72">
            <v>0</v>
          </cell>
          <cell r="AD72">
            <v>0</v>
          </cell>
          <cell r="AE72">
            <v>0</v>
          </cell>
        </row>
        <row r="73">
          <cell r="S73">
            <v>0</v>
          </cell>
          <cell r="T73">
            <v>0</v>
          </cell>
          <cell r="U73">
            <v>0</v>
          </cell>
          <cell r="V73">
            <v>0</v>
          </cell>
          <cell r="W73">
            <v>0</v>
          </cell>
          <cell r="X73">
            <v>0</v>
          </cell>
          <cell r="Y73">
            <v>0</v>
          </cell>
          <cell r="Z73">
            <v>0</v>
          </cell>
          <cell r="AA73">
            <v>0</v>
          </cell>
          <cell r="AB73">
            <v>0</v>
          </cell>
          <cell r="AC73">
            <v>0</v>
          </cell>
          <cell r="AD73">
            <v>0</v>
          </cell>
          <cell r="AE73">
            <v>0</v>
          </cell>
        </row>
        <row r="74">
          <cell r="S74">
            <v>0</v>
          </cell>
          <cell r="T74">
            <v>0</v>
          </cell>
          <cell r="U74">
            <v>0</v>
          </cell>
          <cell r="V74">
            <v>0</v>
          </cell>
          <cell r="W74">
            <v>0</v>
          </cell>
          <cell r="X74">
            <v>0</v>
          </cell>
          <cell r="Y74">
            <v>0</v>
          </cell>
          <cell r="Z74">
            <v>0</v>
          </cell>
          <cell r="AA74">
            <v>0</v>
          </cell>
          <cell r="AB74">
            <v>0</v>
          </cell>
          <cell r="AC74">
            <v>0</v>
          </cell>
          <cell r="AD74">
            <v>0</v>
          </cell>
          <cell r="AE74">
            <v>0</v>
          </cell>
        </row>
        <row r="75">
          <cell r="S75">
            <v>0</v>
          </cell>
          <cell r="T75">
            <v>0</v>
          </cell>
          <cell r="U75">
            <v>0</v>
          </cell>
          <cell r="V75">
            <v>0</v>
          </cell>
          <cell r="W75">
            <v>0</v>
          </cell>
          <cell r="X75">
            <v>0</v>
          </cell>
          <cell r="Y75">
            <v>0</v>
          </cell>
          <cell r="Z75">
            <v>0</v>
          </cell>
          <cell r="AA75">
            <v>0</v>
          </cell>
          <cell r="AB75">
            <v>0</v>
          </cell>
          <cell r="AC75">
            <v>0</v>
          </cell>
          <cell r="AD75">
            <v>0</v>
          </cell>
          <cell r="AE75">
            <v>0</v>
          </cell>
        </row>
        <row r="76">
          <cell r="S76">
            <v>0</v>
          </cell>
          <cell r="T76">
            <v>0</v>
          </cell>
          <cell r="U76">
            <v>0</v>
          </cell>
          <cell r="V76">
            <v>0</v>
          </cell>
          <cell r="W76">
            <v>0</v>
          </cell>
          <cell r="X76">
            <v>0</v>
          </cell>
          <cell r="Y76">
            <v>0</v>
          </cell>
          <cell r="Z76">
            <v>0</v>
          </cell>
          <cell r="AA76">
            <v>0</v>
          </cell>
          <cell r="AB76">
            <v>0</v>
          </cell>
          <cell r="AC76">
            <v>0</v>
          </cell>
          <cell r="AD76">
            <v>0</v>
          </cell>
          <cell r="AE76">
            <v>0</v>
          </cell>
        </row>
        <row r="77">
          <cell r="S77">
            <v>0</v>
          </cell>
          <cell r="T77">
            <v>0</v>
          </cell>
          <cell r="U77">
            <v>0</v>
          </cell>
          <cell r="V77">
            <v>0</v>
          </cell>
          <cell r="W77">
            <v>0</v>
          </cell>
          <cell r="X77">
            <v>0</v>
          </cell>
          <cell r="Y77">
            <v>0</v>
          </cell>
          <cell r="Z77">
            <v>0</v>
          </cell>
          <cell r="AA77">
            <v>0</v>
          </cell>
          <cell r="AB77">
            <v>0</v>
          </cell>
          <cell r="AC77">
            <v>0</v>
          </cell>
          <cell r="AD77">
            <v>0</v>
          </cell>
          <cell r="AE77">
            <v>0</v>
          </cell>
        </row>
        <row r="78">
          <cell r="S78" t="str">
            <v>(Invalid Contributor)</v>
          </cell>
          <cell r="T78" t="str">
            <v>(Invalid Contributor)</v>
          </cell>
          <cell r="U78" t="str">
            <v>(Invalid Contributor)</v>
          </cell>
          <cell r="V78" t="str">
            <v>(Invalid Contributor)</v>
          </cell>
          <cell r="W78" t="str">
            <v>(Invalid Contributor)</v>
          </cell>
          <cell r="X78">
            <v>0</v>
          </cell>
          <cell r="Y78" t="str">
            <v>(Invalid Contributor)</v>
          </cell>
          <cell r="Z78" t="str">
            <v>(Invalid Contributor)</v>
          </cell>
          <cell r="AA78" t="str">
            <v>(Invalid Contributor)</v>
          </cell>
          <cell r="AB78">
            <v>0</v>
          </cell>
          <cell r="AC78">
            <v>0</v>
          </cell>
          <cell r="AD78">
            <v>0</v>
          </cell>
          <cell r="AE78">
            <v>0</v>
          </cell>
        </row>
        <row r="79">
          <cell r="S79">
            <v>0</v>
          </cell>
          <cell r="T79">
            <v>0</v>
          </cell>
          <cell r="U79">
            <v>0</v>
          </cell>
          <cell r="V79">
            <v>0</v>
          </cell>
          <cell r="W79">
            <v>0</v>
          </cell>
          <cell r="X79" t="str">
            <v>(Invalid Contributor)</v>
          </cell>
          <cell r="Y79">
            <v>0</v>
          </cell>
          <cell r="Z79">
            <v>0</v>
          </cell>
          <cell r="AA79">
            <v>0</v>
          </cell>
          <cell r="AB79">
            <v>0</v>
          </cell>
          <cell r="AC79">
            <v>0</v>
          </cell>
          <cell r="AD79">
            <v>0</v>
          </cell>
          <cell r="AE79">
            <v>0</v>
          </cell>
        </row>
        <row r="80">
          <cell r="S80">
            <v>0</v>
          </cell>
          <cell r="T80">
            <v>0</v>
          </cell>
          <cell r="U80">
            <v>0</v>
          </cell>
          <cell r="V80">
            <v>0</v>
          </cell>
          <cell r="W80">
            <v>0</v>
          </cell>
          <cell r="X80">
            <v>0</v>
          </cell>
          <cell r="Y80">
            <v>0</v>
          </cell>
          <cell r="Z80">
            <v>0</v>
          </cell>
          <cell r="AA80">
            <v>0</v>
          </cell>
          <cell r="AB80">
            <v>0</v>
          </cell>
          <cell r="AC80">
            <v>0</v>
          </cell>
          <cell r="AD80">
            <v>0</v>
          </cell>
          <cell r="AE80">
            <v>0</v>
          </cell>
        </row>
        <row r="81">
          <cell r="S81">
            <v>0</v>
          </cell>
          <cell r="T81">
            <v>0</v>
          </cell>
          <cell r="U81">
            <v>0</v>
          </cell>
          <cell r="V81">
            <v>0</v>
          </cell>
          <cell r="W81">
            <v>0</v>
          </cell>
          <cell r="X81">
            <v>0</v>
          </cell>
          <cell r="Y81">
            <v>0</v>
          </cell>
          <cell r="Z81">
            <v>0</v>
          </cell>
          <cell r="AA81">
            <v>0</v>
          </cell>
          <cell r="AB81">
            <v>0</v>
          </cell>
          <cell r="AC81">
            <v>0</v>
          </cell>
          <cell r="AD81">
            <v>0</v>
          </cell>
          <cell r="AE81">
            <v>0</v>
          </cell>
        </row>
        <row r="82">
          <cell r="S82">
            <v>0</v>
          </cell>
          <cell r="T82">
            <v>0</v>
          </cell>
          <cell r="U82">
            <v>0</v>
          </cell>
          <cell r="V82">
            <v>0</v>
          </cell>
          <cell r="W82">
            <v>0</v>
          </cell>
          <cell r="X82">
            <v>0</v>
          </cell>
          <cell r="Y82">
            <v>0</v>
          </cell>
          <cell r="Z82">
            <v>0</v>
          </cell>
          <cell r="AA82">
            <v>0</v>
          </cell>
          <cell r="AB82">
            <v>0</v>
          </cell>
          <cell r="AC82">
            <v>0</v>
          </cell>
          <cell r="AD82">
            <v>0</v>
          </cell>
          <cell r="AE82">
            <v>0</v>
          </cell>
        </row>
        <row r="83">
          <cell r="S83">
            <v>0</v>
          </cell>
          <cell r="T83">
            <v>0</v>
          </cell>
          <cell r="U83">
            <v>0</v>
          </cell>
          <cell r="V83">
            <v>0</v>
          </cell>
          <cell r="W83">
            <v>0</v>
          </cell>
          <cell r="X83">
            <v>0</v>
          </cell>
          <cell r="Y83">
            <v>0</v>
          </cell>
          <cell r="Z83">
            <v>0</v>
          </cell>
          <cell r="AA83">
            <v>0</v>
          </cell>
          <cell r="AB83">
            <v>0</v>
          </cell>
          <cell r="AC83">
            <v>0</v>
          </cell>
          <cell r="AD83">
            <v>0</v>
          </cell>
          <cell r="AE83">
            <v>0</v>
          </cell>
        </row>
        <row r="84">
          <cell r="S84">
            <v>0</v>
          </cell>
          <cell r="T84">
            <v>0</v>
          </cell>
          <cell r="U84">
            <v>0</v>
          </cell>
          <cell r="V84">
            <v>0</v>
          </cell>
          <cell r="W84">
            <v>0</v>
          </cell>
          <cell r="X84">
            <v>0</v>
          </cell>
          <cell r="Y84">
            <v>0</v>
          </cell>
          <cell r="Z84">
            <v>0</v>
          </cell>
          <cell r="AA84">
            <v>0</v>
          </cell>
          <cell r="AB84">
            <v>0</v>
          </cell>
          <cell r="AC84">
            <v>0</v>
          </cell>
          <cell r="AD84">
            <v>0</v>
          </cell>
          <cell r="AE84">
            <v>0</v>
          </cell>
        </row>
        <row r="85">
          <cell r="S85">
            <v>0</v>
          </cell>
          <cell r="T85">
            <v>0</v>
          </cell>
          <cell r="U85">
            <v>0</v>
          </cell>
          <cell r="V85">
            <v>0</v>
          </cell>
          <cell r="W85">
            <v>0</v>
          </cell>
          <cell r="X85">
            <v>0</v>
          </cell>
          <cell r="Y85">
            <v>0</v>
          </cell>
          <cell r="Z85">
            <v>0</v>
          </cell>
          <cell r="AA85">
            <v>0</v>
          </cell>
          <cell r="AB85">
            <v>0</v>
          </cell>
          <cell r="AC85">
            <v>0</v>
          </cell>
          <cell r="AD85">
            <v>0</v>
          </cell>
          <cell r="AE85">
            <v>0</v>
          </cell>
        </row>
        <row r="86">
          <cell r="S86">
            <v>0</v>
          </cell>
          <cell r="T86">
            <v>0</v>
          </cell>
          <cell r="U86">
            <v>0</v>
          </cell>
          <cell r="V86">
            <v>0</v>
          </cell>
          <cell r="W86">
            <v>0</v>
          </cell>
          <cell r="X86">
            <v>0</v>
          </cell>
          <cell r="Y86">
            <v>0</v>
          </cell>
          <cell r="Z86">
            <v>0</v>
          </cell>
          <cell r="AA86">
            <v>0</v>
          </cell>
          <cell r="AB86">
            <v>0</v>
          </cell>
          <cell r="AC86">
            <v>0</v>
          </cell>
          <cell r="AD86">
            <v>0</v>
          </cell>
          <cell r="AE86">
            <v>0</v>
          </cell>
        </row>
        <row r="87">
          <cell r="S87">
            <v>0</v>
          </cell>
          <cell r="T87">
            <v>0</v>
          </cell>
          <cell r="U87">
            <v>0</v>
          </cell>
          <cell r="V87">
            <v>0</v>
          </cell>
          <cell r="W87">
            <v>0</v>
          </cell>
          <cell r="X87">
            <v>0</v>
          </cell>
          <cell r="Y87">
            <v>0</v>
          </cell>
          <cell r="Z87">
            <v>0</v>
          </cell>
          <cell r="AA87">
            <v>0</v>
          </cell>
          <cell r="AB87">
            <v>0</v>
          </cell>
          <cell r="AC87">
            <v>0</v>
          </cell>
          <cell r="AD87">
            <v>0</v>
          </cell>
          <cell r="AE87">
            <v>0</v>
          </cell>
        </row>
        <row r="88">
          <cell r="S88">
            <v>0</v>
          </cell>
          <cell r="T88">
            <v>0</v>
          </cell>
          <cell r="U88">
            <v>0</v>
          </cell>
          <cell r="V88">
            <v>0</v>
          </cell>
          <cell r="W88">
            <v>0</v>
          </cell>
          <cell r="X88">
            <v>0</v>
          </cell>
          <cell r="Y88">
            <v>0</v>
          </cell>
          <cell r="Z88">
            <v>0</v>
          </cell>
          <cell r="AA88">
            <v>0</v>
          </cell>
          <cell r="AB88">
            <v>0</v>
          </cell>
          <cell r="AC88">
            <v>0</v>
          </cell>
          <cell r="AD88">
            <v>0</v>
          </cell>
          <cell r="AE88">
            <v>0</v>
          </cell>
        </row>
        <row r="89">
          <cell r="S89">
            <v>0</v>
          </cell>
          <cell r="T89">
            <v>0</v>
          </cell>
          <cell r="U89">
            <v>0</v>
          </cell>
          <cell r="V89">
            <v>0</v>
          </cell>
          <cell r="W89">
            <v>0</v>
          </cell>
          <cell r="X89">
            <v>0</v>
          </cell>
          <cell r="Y89">
            <v>0</v>
          </cell>
          <cell r="Z89">
            <v>0</v>
          </cell>
          <cell r="AA89">
            <v>0</v>
          </cell>
          <cell r="AB89">
            <v>0</v>
          </cell>
          <cell r="AC89">
            <v>0</v>
          </cell>
          <cell r="AD89">
            <v>0</v>
          </cell>
          <cell r="AE89">
            <v>0</v>
          </cell>
        </row>
        <row r="90">
          <cell r="S90">
            <v>0</v>
          </cell>
          <cell r="T90">
            <v>0</v>
          </cell>
          <cell r="U90">
            <v>0</v>
          </cell>
          <cell r="V90">
            <v>0</v>
          </cell>
          <cell r="W90">
            <v>0</v>
          </cell>
          <cell r="X90">
            <v>0</v>
          </cell>
          <cell r="Y90">
            <v>0</v>
          </cell>
          <cell r="Z90">
            <v>0</v>
          </cell>
          <cell r="AA90">
            <v>0</v>
          </cell>
          <cell r="AB90">
            <v>0</v>
          </cell>
          <cell r="AC90">
            <v>0</v>
          </cell>
          <cell r="AD90">
            <v>0</v>
          </cell>
          <cell r="AE90">
            <v>0</v>
          </cell>
        </row>
        <row r="91">
          <cell r="S91">
            <v>0</v>
          </cell>
          <cell r="T91">
            <v>0</v>
          </cell>
          <cell r="U91">
            <v>0</v>
          </cell>
          <cell r="V91">
            <v>0</v>
          </cell>
          <cell r="W91">
            <v>0</v>
          </cell>
          <cell r="X91">
            <v>0</v>
          </cell>
          <cell r="Y91">
            <v>0</v>
          </cell>
          <cell r="Z91">
            <v>0</v>
          </cell>
          <cell r="AA91">
            <v>0</v>
          </cell>
          <cell r="AB91">
            <v>0</v>
          </cell>
          <cell r="AC91">
            <v>0</v>
          </cell>
          <cell r="AD91">
            <v>0</v>
          </cell>
          <cell r="AE91">
            <v>0</v>
          </cell>
        </row>
        <row r="92">
          <cell r="S92">
            <v>0</v>
          </cell>
          <cell r="T92">
            <v>0</v>
          </cell>
          <cell r="U92">
            <v>0</v>
          </cell>
          <cell r="V92">
            <v>0</v>
          </cell>
          <cell r="W92">
            <v>0</v>
          </cell>
          <cell r="X92">
            <v>0</v>
          </cell>
          <cell r="Y92">
            <v>0</v>
          </cell>
          <cell r="Z92">
            <v>0</v>
          </cell>
          <cell r="AA92">
            <v>0</v>
          </cell>
          <cell r="AB92">
            <v>0</v>
          </cell>
          <cell r="AC92">
            <v>0</v>
          </cell>
          <cell r="AD92">
            <v>0</v>
          </cell>
          <cell r="AE92">
            <v>0</v>
          </cell>
        </row>
        <row r="93">
          <cell r="S93">
            <v>0</v>
          </cell>
          <cell r="T93">
            <v>0</v>
          </cell>
          <cell r="U93">
            <v>0</v>
          </cell>
          <cell r="V93">
            <v>0</v>
          </cell>
          <cell r="W93">
            <v>0</v>
          </cell>
          <cell r="X93">
            <v>0</v>
          </cell>
          <cell r="Y93">
            <v>0</v>
          </cell>
          <cell r="Z93">
            <v>0</v>
          </cell>
          <cell r="AA93">
            <v>0</v>
          </cell>
          <cell r="AB93">
            <v>0</v>
          </cell>
          <cell r="AC93">
            <v>0</v>
          </cell>
          <cell r="AD93">
            <v>0</v>
          </cell>
          <cell r="AE93">
            <v>0</v>
          </cell>
        </row>
        <row r="94">
          <cell r="S94">
            <v>0</v>
          </cell>
          <cell r="T94">
            <v>0</v>
          </cell>
          <cell r="U94">
            <v>0</v>
          </cell>
          <cell r="V94">
            <v>0</v>
          </cell>
          <cell r="W94">
            <v>0</v>
          </cell>
          <cell r="X94">
            <v>0</v>
          </cell>
          <cell r="Y94">
            <v>0</v>
          </cell>
          <cell r="Z94">
            <v>0</v>
          </cell>
          <cell r="AA94">
            <v>0</v>
          </cell>
          <cell r="AB94">
            <v>0</v>
          </cell>
          <cell r="AC94">
            <v>0</v>
          </cell>
          <cell r="AD94">
            <v>0</v>
          </cell>
          <cell r="AE94">
            <v>0</v>
          </cell>
        </row>
        <row r="95">
          <cell r="S95">
            <v>0</v>
          </cell>
          <cell r="T95">
            <v>0</v>
          </cell>
          <cell r="U95">
            <v>0</v>
          </cell>
          <cell r="V95">
            <v>0</v>
          </cell>
          <cell r="W95">
            <v>0</v>
          </cell>
          <cell r="X95">
            <v>0</v>
          </cell>
          <cell r="Y95">
            <v>0</v>
          </cell>
          <cell r="Z95">
            <v>0</v>
          </cell>
          <cell r="AA95">
            <v>0</v>
          </cell>
          <cell r="AB95">
            <v>0</v>
          </cell>
          <cell r="AC95">
            <v>0</v>
          </cell>
          <cell r="AD95">
            <v>0</v>
          </cell>
          <cell r="AE95">
            <v>0</v>
          </cell>
        </row>
        <row r="96">
          <cell r="S96">
            <v>0</v>
          </cell>
          <cell r="T96">
            <v>0</v>
          </cell>
          <cell r="U96">
            <v>0</v>
          </cell>
          <cell r="V96">
            <v>0</v>
          </cell>
          <cell r="W96">
            <v>0</v>
          </cell>
          <cell r="X96">
            <v>0</v>
          </cell>
          <cell r="Y96">
            <v>0</v>
          </cell>
          <cell r="Z96">
            <v>0</v>
          </cell>
          <cell r="AA96">
            <v>0</v>
          </cell>
          <cell r="AB96">
            <v>0</v>
          </cell>
          <cell r="AC96">
            <v>0</v>
          </cell>
          <cell r="AD96">
            <v>0</v>
          </cell>
          <cell r="AE96">
            <v>0</v>
          </cell>
        </row>
        <row r="97">
          <cell r="S97">
            <v>0</v>
          </cell>
          <cell r="T97">
            <v>0</v>
          </cell>
          <cell r="U97">
            <v>0</v>
          </cell>
          <cell r="V97">
            <v>0</v>
          </cell>
          <cell r="W97">
            <v>0</v>
          </cell>
          <cell r="X97">
            <v>0</v>
          </cell>
          <cell r="Y97">
            <v>0</v>
          </cell>
          <cell r="Z97">
            <v>0</v>
          </cell>
          <cell r="AA97">
            <v>0</v>
          </cell>
          <cell r="AB97">
            <v>0</v>
          </cell>
          <cell r="AC97">
            <v>0</v>
          </cell>
          <cell r="AD97">
            <v>0</v>
          </cell>
          <cell r="AE97">
            <v>0</v>
          </cell>
        </row>
        <row r="98">
          <cell r="S98">
            <v>0</v>
          </cell>
          <cell r="T98">
            <v>0</v>
          </cell>
          <cell r="U98">
            <v>0</v>
          </cell>
          <cell r="V98">
            <v>0</v>
          </cell>
          <cell r="W98">
            <v>0</v>
          </cell>
          <cell r="X98">
            <v>0</v>
          </cell>
          <cell r="Y98">
            <v>0</v>
          </cell>
          <cell r="Z98">
            <v>0</v>
          </cell>
          <cell r="AA98">
            <v>0</v>
          </cell>
          <cell r="AB98">
            <v>0</v>
          </cell>
          <cell r="AC98">
            <v>0</v>
          </cell>
          <cell r="AD98">
            <v>0</v>
          </cell>
          <cell r="AE98">
            <v>0</v>
          </cell>
        </row>
        <row r="99">
          <cell r="S99">
            <v>0</v>
          </cell>
          <cell r="T99">
            <v>0</v>
          </cell>
          <cell r="U99">
            <v>0</v>
          </cell>
          <cell r="V99">
            <v>0</v>
          </cell>
          <cell r="W99">
            <v>0</v>
          </cell>
          <cell r="X99">
            <v>0</v>
          </cell>
          <cell r="Y99">
            <v>0</v>
          </cell>
          <cell r="Z99">
            <v>0</v>
          </cell>
          <cell r="AA99">
            <v>0</v>
          </cell>
          <cell r="AB99">
            <v>0</v>
          </cell>
          <cell r="AC99">
            <v>0</v>
          </cell>
          <cell r="AD99">
            <v>0</v>
          </cell>
          <cell r="AE99">
            <v>0</v>
          </cell>
        </row>
        <row r="100">
          <cell r="S100">
            <v>0</v>
          </cell>
          <cell r="T100">
            <v>0</v>
          </cell>
          <cell r="U100">
            <v>0</v>
          </cell>
          <cell r="V100">
            <v>0</v>
          </cell>
          <cell r="W100">
            <v>0</v>
          </cell>
          <cell r="X100">
            <v>0</v>
          </cell>
          <cell r="Y100">
            <v>0</v>
          </cell>
          <cell r="Z100">
            <v>0</v>
          </cell>
          <cell r="AA100">
            <v>0</v>
          </cell>
          <cell r="AB100">
            <v>0</v>
          </cell>
          <cell r="AC100">
            <v>0</v>
          </cell>
          <cell r="AD100">
            <v>0</v>
          </cell>
          <cell r="AE100">
            <v>0</v>
          </cell>
        </row>
        <row r="101">
          <cell r="S101">
            <v>0</v>
          </cell>
          <cell r="T101">
            <v>0</v>
          </cell>
          <cell r="U101">
            <v>0</v>
          </cell>
          <cell r="V101">
            <v>0</v>
          </cell>
          <cell r="W101">
            <v>0</v>
          </cell>
          <cell r="X101">
            <v>0</v>
          </cell>
          <cell r="Y101">
            <v>0</v>
          </cell>
          <cell r="Z101">
            <v>0</v>
          </cell>
          <cell r="AA101">
            <v>0</v>
          </cell>
          <cell r="AB101">
            <v>0</v>
          </cell>
          <cell r="AC101">
            <v>0</v>
          </cell>
          <cell r="AD101">
            <v>0</v>
          </cell>
          <cell r="AE101">
            <v>0</v>
          </cell>
        </row>
        <row r="102">
          <cell r="S102">
            <v>0</v>
          </cell>
          <cell r="T102">
            <v>0</v>
          </cell>
          <cell r="U102">
            <v>0</v>
          </cell>
          <cell r="V102">
            <v>0</v>
          </cell>
          <cell r="W102">
            <v>0</v>
          </cell>
          <cell r="X102">
            <v>0</v>
          </cell>
          <cell r="Y102">
            <v>0</v>
          </cell>
          <cell r="Z102">
            <v>0</v>
          </cell>
          <cell r="AA102">
            <v>0</v>
          </cell>
          <cell r="AB102">
            <v>0</v>
          </cell>
          <cell r="AC102">
            <v>0</v>
          </cell>
          <cell r="AD102">
            <v>0</v>
          </cell>
          <cell r="AE102">
            <v>0</v>
          </cell>
        </row>
        <row r="103">
          <cell r="S103">
            <v>0</v>
          </cell>
          <cell r="T103">
            <v>0</v>
          </cell>
          <cell r="U103">
            <v>0</v>
          </cell>
          <cell r="V103">
            <v>0</v>
          </cell>
          <cell r="W103">
            <v>0</v>
          </cell>
          <cell r="X103">
            <v>0</v>
          </cell>
          <cell r="Y103">
            <v>0</v>
          </cell>
          <cell r="Z103">
            <v>0</v>
          </cell>
          <cell r="AA103">
            <v>0</v>
          </cell>
          <cell r="AB103">
            <v>0</v>
          </cell>
          <cell r="AC103">
            <v>0</v>
          </cell>
          <cell r="AD103">
            <v>0</v>
          </cell>
          <cell r="AE103">
            <v>0</v>
          </cell>
        </row>
        <row r="104">
          <cell r="S104">
            <v>0</v>
          </cell>
          <cell r="T104">
            <v>0</v>
          </cell>
          <cell r="U104">
            <v>0</v>
          </cell>
          <cell r="V104">
            <v>0</v>
          </cell>
          <cell r="W104">
            <v>0</v>
          </cell>
          <cell r="X104">
            <v>0</v>
          </cell>
          <cell r="Y104">
            <v>0</v>
          </cell>
          <cell r="Z104">
            <v>0</v>
          </cell>
          <cell r="AA104">
            <v>0</v>
          </cell>
          <cell r="AB104">
            <v>0</v>
          </cell>
          <cell r="AC104">
            <v>0</v>
          </cell>
          <cell r="AD104">
            <v>0</v>
          </cell>
          <cell r="AE104">
            <v>0</v>
          </cell>
        </row>
        <row r="105">
          <cell r="S105">
            <v>0</v>
          </cell>
          <cell r="T105">
            <v>0</v>
          </cell>
          <cell r="U105">
            <v>0</v>
          </cell>
          <cell r="V105">
            <v>0</v>
          </cell>
          <cell r="W105">
            <v>0</v>
          </cell>
          <cell r="X105">
            <v>0</v>
          </cell>
          <cell r="Y105">
            <v>0</v>
          </cell>
          <cell r="Z105">
            <v>0</v>
          </cell>
          <cell r="AA105">
            <v>0</v>
          </cell>
          <cell r="AB105">
            <v>0</v>
          </cell>
          <cell r="AC105">
            <v>0</v>
          </cell>
          <cell r="AD105">
            <v>0</v>
          </cell>
          <cell r="AE105">
            <v>0</v>
          </cell>
        </row>
        <row r="106">
          <cell r="S106">
            <v>0</v>
          </cell>
          <cell r="T106">
            <v>0</v>
          </cell>
          <cell r="U106">
            <v>0</v>
          </cell>
          <cell r="V106">
            <v>0</v>
          </cell>
          <cell r="W106">
            <v>0</v>
          </cell>
          <cell r="X106">
            <v>0</v>
          </cell>
          <cell r="Y106">
            <v>0</v>
          </cell>
          <cell r="Z106">
            <v>0</v>
          </cell>
          <cell r="AA106">
            <v>0</v>
          </cell>
          <cell r="AB106">
            <v>0</v>
          </cell>
          <cell r="AC106">
            <v>0</v>
          </cell>
          <cell r="AD106">
            <v>0</v>
          </cell>
          <cell r="AE106">
            <v>0</v>
          </cell>
        </row>
        <row r="107">
          <cell r="S107">
            <v>0</v>
          </cell>
          <cell r="T107">
            <v>0</v>
          </cell>
          <cell r="U107">
            <v>0</v>
          </cell>
          <cell r="V107">
            <v>0</v>
          </cell>
          <cell r="W107">
            <v>0</v>
          </cell>
          <cell r="X107">
            <v>0</v>
          </cell>
          <cell r="Y107">
            <v>0</v>
          </cell>
          <cell r="Z107">
            <v>0</v>
          </cell>
          <cell r="AA107">
            <v>0</v>
          </cell>
          <cell r="AB107">
            <v>0</v>
          </cell>
          <cell r="AC107">
            <v>0</v>
          </cell>
          <cell r="AD107">
            <v>0</v>
          </cell>
          <cell r="AE107">
            <v>0</v>
          </cell>
        </row>
        <row r="108">
          <cell r="S108">
            <v>0</v>
          </cell>
          <cell r="T108">
            <v>0</v>
          </cell>
          <cell r="U108">
            <v>0</v>
          </cell>
          <cell r="V108">
            <v>0</v>
          </cell>
          <cell r="W108">
            <v>0</v>
          </cell>
          <cell r="X108">
            <v>0</v>
          </cell>
          <cell r="Y108">
            <v>0</v>
          </cell>
          <cell r="Z108">
            <v>0</v>
          </cell>
          <cell r="AA108">
            <v>0</v>
          </cell>
          <cell r="AB108">
            <v>0</v>
          </cell>
          <cell r="AC108">
            <v>0</v>
          </cell>
          <cell r="AD108">
            <v>0</v>
          </cell>
          <cell r="AE108">
            <v>0</v>
          </cell>
        </row>
        <row r="109">
          <cell r="S109">
            <v>0</v>
          </cell>
          <cell r="T109">
            <v>0</v>
          </cell>
          <cell r="U109">
            <v>0</v>
          </cell>
          <cell r="V109">
            <v>0</v>
          </cell>
          <cell r="W109">
            <v>0</v>
          </cell>
          <cell r="X109">
            <v>0</v>
          </cell>
          <cell r="Y109">
            <v>0</v>
          </cell>
          <cell r="Z109">
            <v>0</v>
          </cell>
          <cell r="AA109">
            <v>0</v>
          </cell>
          <cell r="AB109">
            <v>0</v>
          </cell>
          <cell r="AC109">
            <v>0</v>
          </cell>
          <cell r="AD109">
            <v>0</v>
          </cell>
          <cell r="AE109">
            <v>0</v>
          </cell>
        </row>
        <row r="110">
          <cell r="X110">
            <v>0</v>
          </cell>
        </row>
      </sheetData>
      <sheetData sheetId="10">
        <row r="10">
          <cell r="S10">
            <v>41425</v>
          </cell>
        </row>
        <row r="11">
          <cell r="S11">
            <v>41432</v>
          </cell>
        </row>
        <row r="12">
          <cell r="S12">
            <v>41439</v>
          </cell>
        </row>
        <row r="13">
          <cell r="S13">
            <v>41446</v>
          </cell>
        </row>
        <row r="14">
          <cell r="S14">
            <v>41453</v>
          </cell>
        </row>
        <row r="15">
          <cell r="S15">
            <v>41460</v>
          </cell>
        </row>
        <row r="16">
          <cell r="S16">
            <v>41467</v>
          </cell>
        </row>
        <row r="17">
          <cell r="S17">
            <v>41474</v>
          </cell>
        </row>
        <row r="18">
          <cell r="S18">
            <v>41481</v>
          </cell>
        </row>
        <row r="19">
          <cell r="S19">
            <v>41488</v>
          </cell>
        </row>
        <row r="20">
          <cell r="S20">
            <v>41495</v>
          </cell>
        </row>
        <row r="21">
          <cell r="S21">
            <v>41502</v>
          </cell>
        </row>
        <row r="22">
          <cell r="S22">
            <v>41509</v>
          </cell>
        </row>
        <row r="23">
          <cell r="S23">
            <v>41516</v>
          </cell>
        </row>
        <row r="24">
          <cell r="S24">
            <v>41523</v>
          </cell>
        </row>
        <row r="25">
          <cell r="S25">
            <v>41530</v>
          </cell>
        </row>
        <row r="26">
          <cell r="S26">
            <v>41537</v>
          </cell>
        </row>
        <row r="27">
          <cell r="S27">
            <v>41544</v>
          </cell>
        </row>
        <row r="28">
          <cell r="S28">
            <v>41551</v>
          </cell>
        </row>
        <row r="29">
          <cell r="S29">
            <v>41558</v>
          </cell>
        </row>
        <row r="30">
          <cell r="S30">
            <v>41565</v>
          </cell>
        </row>
        <row r="31">
          <cell r="S31">
            <v>41572</v>
          </cell>
        </row>
        <row r="32">
          <cell r="S32">
            <v>41579</v>
          </cell>
        </row>
        <row r="33">
          <cell r="S33">
            <v>41586</v>
          </cell>
        </row>
        <row r="34">
          <cell r="S34">
            <v>41593</v>
          </cell>
        </row>
        <row r="35">
          <cell r="S35">
            <v>41600</v>
          </cell>
        </row>
        <row r="36">
          <cell r="S36">
            <v>41607</v>
          </cell>
        </row>
        <row r="37">
          <cell r="S37">
            <v>41614</v>
          </cell>
        </row>
        <row r="38">
          <cell r="S38">
            <v>41621</v>
          </cell>
        </row>
        <row r="39">
          <cell r="S39">
            <v>41628</v>
          </cell>
        </row>
        <row r="40">
          <cell r="S40">
            <v>41635</v>
          </cell>
        </row>
        <row r="41">
          <cell r="S41">
            <v>41642</v>
          </cell>
        </row>
        <row r="42">
          <cell r="S42">
            <v>41649</v>
          </cell>
        </row>
        <row r="43">
          <cell r="S43">
            <v>41656</v>
          </cell>
        </row>
        <row r="44">
          <cell r="S44">
            <v>41663</v>
          </cell>
        </row>
        <row r="45">
          <cell r="S45">
            <v>41670</v>
          </cell>
        </row>
        <row r="46">
          <cell r="S46">
            <v>41677</v>
          </cell>
        </row>
        <row r="47">
          <cell r="S47">
            <v>41684</v>
          </cell>
        </row>
        <row r="48">
          <cell r="S48">
            <v>41691</v>
          </cell>
        </row>
        <row r="49">
          <cell r="S49">
            <v>41698</v>
          </cell>
        </row>
        <row r="50">
          <cell r="S50">
            <v>41705</v>
          </cell>
        </row>
        <row r="51">
          <cell r="S51">
            <v>41712</v>
          </cell>
        </row>
        <row r="52">
          <cell r="S52">
            <v>41719</v>
          </cell>
        </row>
        <row r="53">
          <cell r="S53">
            <v>41726</v>
          </cell>
        </row>
        <row r="54">
          <cell r="S54">
            <v>41733</v>
          </cell>
        </row>
        <row r="55">
          <cell r="S55">
            <v>41740</v>
          </cell>
        </row>
        <row r="56">
          <cell r="S56">
            <v>41746</v>
          </cell>
        </row>
        <row r="57">
          <cell r="S57">
            <v>41754</v>
          </cell>
        </row>
        <row r="58">
          <cell r="S58">
            <v>41761</v>
          </cell>
        </row>
        <row r="59">
          <cell r="S59">
            <v>41768</v>
          </cell>
        </row>
        <row r="60">
          <cell r="S60">
            <v>41775</v>
          </cell>
        </row>
        <row r="61">
          <cell r="S61">
            <v>41782</v>
          </cell>
        </row>
      </sheetData>
      <sheetData sheetId="11">
        <row r="9">
          <cell r="AW9">
            <v>39962</v>
          </cell>
          <cell r="BG9">
            <v>40690</v>
          </cell>
          <cell r="BQ9">
            <v>41425</v>
          </cell>
        </row>
        <row r="10">
          <cell r="BG10">
            <v>40697</v>
          </cell>
          <cell r="BQ10">
            <v>41432</v>
          </cell>
        </row>
        <row r="11">
          <cell r="BG11">
            <v>40704</v>
          </cell>
          <cell r="BQ11">
            <v>41439</v>
          </cell>
        </row>
        <row r="12">
          <cell r="BG12">
            <v>40711</v>
          </cell>
          <cell r="BQ12">
            <v>41446</v>
          </cell>
        </row>
        <row r="13">
          <cell r="BG13">
            <v>40718</v>
          </cell>
          <cell r="BQ13">
            <v>41453</v>
          </cell>
        </row>
        <row r="14">
          <cell r="BG14">
            <v>40725</v>
          </cell>
          <cell r="BQ14">
            <v>41460</v>
          </cell>
        </row>
        <row r="15">
          <cell r="BG15">
            <v>40732</v>
          </cell>
          <cell r="BQ15">
            <v>41467</v>
          </cell>
        </row>
        <row r="16">
          <cell r="BG16">
            <v>40739</v>
          </cell>
          <cell r="BQ16">
            <v>41474</v>
          </cell>
        </row>
        <row r="17">
          <cell r="BG17">
            <v>40746</v>
          </cell>
          <cell r="BQ17">
            <v>41481</v>
          </cell>
        </row>
        <row r="18">
          <cell r="BG18">
            <v>40753</v>
          </cell>
          <cell r="BQ18">
            <v>41488</v>
          </cell>
        </row>
        <row r="19">
          <cell r="BG19">
            <v>40760</v>
          </cell>
          <cell r="BQ19">
            <v>41495</v>
          </cell>
        </row>
        <row r="20">
          <cell r="BG20">
            <v>40767</v>
          </cell>
          <cell r="BQ20">
            <v>41502</v>
          </cell>
        </row>
        <row r="21">
          <cell r="BG21">
            <v>40774</v>
          </cell>
          <cell r="BQ21">
            <v>41509</v>
          </cell>
        </row>
        <row r="22">
          <cell r="BG22">
            <v>40781</v>
          </cell>
          <cell r="BQ22">
            <v>41516</v>
          </cell>
        </row>
        <row r="23">
          <cell r="BG23">
            <v>40788</v>
          </cell>
          <cell r="BQ23">
            <v>41523</v>
          </cell>
        </row>
        <row r="24">
          <cell r="BG24">
            <v>40795</v>
          </cell>
          <cell r="BQ24">
            <v>41530</v>
          </cell>
        </row>
        <row r="25">
          <cell r="BG25">
            <v>40802</v>
          </cell>
          <cell r="BQ25">
            <v>41537</v>
          </cell>
        </row>
        <row r="26">
          <cell r="BG26">
            <v>40809</v>
          </cell>
          <cell r="BQ26">
            <v>41544</v>
          </cell>
        </row>
        <row r="27">
          <cell r="BG27">
            <v>40816</v>
          </cell>
          <cell r="BQ27">
            <v>41551</v>
          </cell>
        </row>
        <row r="28">
          <cell r="BG28">
            <v>40823</v>
          </cell>
          <cell r="BQ28">
            <v>41558</v>
          </cell>
        </row>
        <row r="29">
          <cell r="BG29">
            <v>40830</v>
          </cell>
          <cell r="BQ29">
            <v>41565</v>
          </cell>
        </row>
        <row r="30">
          <cell r="BG30">
            <v>40837</v>
          </cell>
          <cell r="BQ30">
            <v>41572</v>
          </cell>
        </row>
        <row r="31">
          <cell r="BG31">
            <v>40844</v>
          </cell>
          <cell r="BQ31">
            <v>41579</v>
          </cell>
        </row>
        <row r="32">
          <cell r="BG32">
            <v>40851</v>
          </cell>
          <cell r="BQ32">
            <v>41586</v>
          </cell>
        </row>
        <row r="33">
          <cell r="BG33">
            <v>40858</v>
          </cell>
          <cell r="BQ33">
            <v>41593</v>
          </cell>
        </row>
        <row r="34">
          <cell r="BG34">
            <v>40865</v>
          </cell>
          <cell r="BQ34">
            <v>41600</v>
          </cell>
        </row>
        <row r="35">
          <cell r="BG35">
            <v>40872</v>
          </cell>
          <cell r="BQ35">
            <v>41607</v>
          </cell>
        </row>
        <row r="36">
          <cell r="BG36">
            <v>40879</v>
          </cell>
          <cell r="BQ36">
            <v>41614</v>
          </cell>
        </row>
        <row r="37">
          <cell r="BG37">
            <v>40886</v>
          </cell>
          <cell r="BQ37">
            <v>41621</v>
          </cell>
        </row>
        <row r="38">
          <cell r="BG38">
            <v>40893</v>
          </cell>
          <cell r="BQ38">
            <v>41628</v>
          </cell>
        </row>
        <row r="39">
          <cell r="BG39">
            <v>40900</v>
          </cell>
          <cell r="BQ39">
            <v>41635</v>
          </cell>
        </row>
        <row r="40">
          <cell r="BG40">
            <v>40907</v>
          </cell>
          <cell r="BQ40">
            <v>41642</v>
          </cell>
        </row>
        <row r="41">
          <cell r="BG41">
            <v>40914</v>
          </cell>
          <cell r="BQ41">
            <v>41649</v>
          </cell>
        </row>
        <row r="42">
          <cell r="BG42">
            <v>40921</v>
          </cell>
          <cell r="BQ42">
            <v>41656</v>
          </cell>
        </row>
        <row r="43">
          <cell r="BG43">
            <v>40928</v>
          </cell>
          <cell r="BQ43">
            <v>41663</v>
          </cell>
        </row>
        <row r="44">
          <cell r="BG44">
            <v>40935</v>
          </cell>
          <cell r="BQ44">
            <v>41670</v>
          </cell>
        </row>
        <row r="45">
          <cell r="BG45">
            <v>40942</v>
          </cell>
          <cell r="BQ45">
            <v>41677</v>
          </cell>
        </row>
        <row r="46">
          <cell r="BG46">
            <v>40949</v>
          </cell>
          <cell r="BQ46">
            <v>41684</v>
          </cell>
        </row>
        <row r="47">
          <cell r="BG47">
            <v>40956</v>
          </cell>
          <cell r="BQ47">
            <v>41691</v>
          </cell>
        </row>
        <row r="48">
          <cell r="BG48">
            <v>40963</v>
          </cell>
          <cell r="BQ48">
            <v>41698</v>
          </cell>
        </row>
        <row r="49">
          <cell r="BG49">
            <v>40970</v>
          </cell>
          <cell r="BQ49">
            <v>41705</v>
          </cell>
        </row>
        <row r="50">
          <cell r="BG50">
            <v>40977</v>
          </cell>
          <cell r="BQ50">
            <v>41712</v>
          </cell>
        </row>
        <row r="51">
          <cell r="BG51">
            <v>40984</v>
          </cell>
          <cell r="BQ51">
            <v>41719</v>
          </cell>
        </row>
        <row r="52">
          <cell r="BG52">
            <v>40991</v>
          </cell>
          <cell r="BQ52">
            <v>41726</v>
          </cell>
        </row>
        <row r="53">
          <cell r="BG53">
            <v>40998</v>
          </cell>
          <cell r="BQ53">
            <v>41733</v>
          </cell>
        </row>
        <row r="54">
          <cell r="BG54">
            <v>41004</v>
          </cell>
          <cell r="BQ54">
            <v>41740</v>
          </cell>
        </row>
        <row r="55">
          <cell r="BG55">
            <v>41012</v>
          </cell>
          <cell r="BQ55">
            <v>41746</v>
          </cell>
        </row>
        <row r="56">
          <cell r="BG56">
            <v>41019</v>
          </cell>
          <cell r="BQ56">
            <v>41754</v>
          </cell>
        </row>
        <row r="57">
          <cell r="BG57">
            <v>41026</v>
          </cell>
          <cell r="BQ57">
            <v>41761</v>
          </cell>
        </row>
        <row r="58">
          <cell r="BG58">
            <v>41033</v>
          </cell>
          <cell r="BQ58">
            <v>41768</v>
          </cell>
        </row>
        <row r="59">
          <cell r="BG59">
            <v>41040</v>
          </cell>
          <cell r="BQ59">
            <v>41775</v>
          </cell>
        </row>
        <row r="60">
          <cell r="BG60">
            <v>41047</v>
          </cell>
          <cell r="BQ60">
            <v>41782</v>
          </cell>
        </row>
        <row r="61">
          <cell r="BG61">
            <v>41054</v>
          </cell>
        </row>
        <row r="62">
          <cell r="BG62">
            <v>41061</v>
          </cell>
        </row>
        <row r="63">
          <cell r="BG63">
            <v>41068</v>
          </cell>
        </row>
        <row r="64">
          <cell r="BG64">
            <v>41075</v>
          </cell>
        </row>
        <row r="65">
          <cell r="BG65">
            <v>41082</v>
          </cell>
        </row>
        <row r="66">
          <cell r="BG66">
            <v>41089</v>
          </cell>
        </row>
        <row r="67">
          <cell r="BG67">
            <v>41096</v>
          </cell>
        </row>
        <row r="68">
          <cell r="BG68">
            <v>41103</v>
          </cell>
        </row>
        <row r="69">
          <cell r="BG69">
            <v>41110</v>
          </cell>
        </row>
        <row r="70">
          <cell r="BG70">
            <v>41117</v>
          </cell>
        </row>
        <row r="71">
          <cell r="BG71">
            <v>41124</v>
          </cell>
        </row>
        <row r="72">
          <cell r="BG72">
            <v>41131</v>
          </cell>
        </row>
        <row r="73">
          <cell r="BG73">
            <v>41138</v>
          </cell>
        </row>
        <row r="74">
          <cell r="BG74">
            <v>41145</v>
          </cell>
        </row>
        <row r="75">
          <cell r="BG75">
            <v>41152</v>
          </cell>
        </row>
        <row r="76">
          <cell r="BG76">
            <v>41159</v>
          </cell>
        </row>
        <row r="77">
          <cell r="BG77">
            <v>41166</v>
          </cell>
        </row>
        <row r="78">
          <cell r="BG78">
            <v>41173</v>
          </cell>
        </row>
        <row r="79">
          <cell r="BG79">
            <v>41180</v>
          </cell>
        </row>
        <row r="80">
          <cell r="BG80">
            <v>41187</v>
          </cell>
        </row>
        <row r="81">
          <cell r="BG81">
            <v>41194</v>
          </cell>
        </row>
        <row r="82">
          <cell r="BG82">
            <v>41201</v>
          </cell>
        </row>
        <row r="83">
          <cell r="BG83">
            <v>41208</v>
          </cell>
        </row>
        <row r="84">
          <cell r="BG84">
            <v>41215</v>
          </cell>
        </row>
        <row r="85">
          <cell r="BG85">
            <v>41222</v>
          </cell>
        </row>
        <row r="86">
          <cell r="BG86">
            <v>41229</v>
          </cell>
        </row>
        <row r="87">
          <cell r="BG87">
            <v>41236</v>
          </cell>
        </row>
        <row r="88">
          <cell r="BG88">
            <v>41243</v>
          </cell>
        </row>
        <row r="89">
          <cell r="BG89">
            <v>41250</v>
          </cell>
        </row>
        <row r="90">
          <cell r="BG90">
            <v>41257</v>
          </cell>
        </row>
        <row r="91">
          <cell r="BG91">
            <v>41264</v>
          </cell>
        </row>
        <row r="92">
          <cell r="BG92">
            <v>41271</v>
          </cell>
        </row>
        <row r="93">
          <cell r="BG93">
            <v>41278</v>
          </cell>
        </row>
        <row r="94">
          <cell r="BG94">
            <v>41285</v>
          </cell>
        </row>
        <row r="95">
          <cell r="BG95">
            <v>41292</v>
          </cell>
        </row>
        <row r="96">
          <cell r="BG96">
            <v>41299</v>
          </cell>
        </row>
        <row r="97">
          <cell r="BG97">
            <v>41306</v>
          </cell>
        </row>
        <row r="98">
          <cell r="BG98">
            <v>41313</v>
          </cell>
        </row>
        <row r="99">
          <cell r="BG99">
            <v>41320</v>
          </cell>
        </row>
        <row r="100">
          <cell r="BG100">
            <v>41327</v>
          </cell>
        </row>
        <row r="101">
          <cell r="BG101">
            <v>41334</v>
          </cell>
        </row>
        <row r="102">
          <cell r="BG102">
            <v>41341</v>
          </cell>
        </row>
        <row r="103">
          <cell r="BG103">
            <v>41348</v>
          </cell>
        </row>
        <row r="104">
          <cell r="BG104">
            <v>41355</v>
          </cell>
        </row>
        <row r="105">
          <cell r="BG105">
            <v>41361</v>
          </cell>
        </row>
        <row r="106">
          <cell r="BG106">
            <v>41369</v>
          </cell>
        </row>
        <row r="107">
          <cell r="BG107">
            <v>41376</v>
          </cell>
        </row>
        <row r="108">
          <cell r="BG108">
            <v>41383</v>
          </cell>
        </row>
        <row r="109">
          <cell r="BG109">
            <v>41390</v>
          </cell>
        </row>
        <row r="110">
          <cell r="BG110">
            <v>41397</v>
          </cell>
        </row>
        <row r="111">
          <cell r="BG111">
            <v>41404</v>
          </cell>
        </row>
        <row r="112">
          <cell r="BG112">
            <v>41411</v>
          </cell>
        </row>
        <row r="113">
          <cell r="BG113">
            <v>41418</v>
          </cell>
        </row>
        <row r="114">
          <cell r="BG114">
            <v>41425</v>
          </cell>
        </row>
        <row r="115">
          <cell r="BG115">
            <v>41432</v>
          </cell>
        </row>
        <row r="116">
          <cell r="BG116">
            <v>41439</v>
          </cell>
        </row>
        <row r="117">
          <cell r="BG117">
            <v>41446</v>
          </cell>
        </row>
        <row r="118">
          <cell r="BG118">
            <v>41453</v>
          </cell>
        </row>
        <row r="119">
          <cell r="BG119">
            <v>41460</v>
          </cell>
        </row>
        <row r="120">
          <cell r="BG120">
            <v>41467</v>
          </cell>
        </row>
        <row r="121">
          <cell r="BG121">
            <v>41474</v>
          </cell>
        </row>
        <row r="122">
          <cell r="BG122">
            <v>41481</v>
          </cell>
        </row>
        <row r="123">
          <cell r="BG123">
            <v>41488</v>
          </cell>
        </row>
        <row r="124">
          <cell r="BG124">
            <v>41495</v>
          </cell>
        </row>
        <row r="125">
          <cell r="BG125">
            <v>41502</v>
          </cell>
        </row>
        <row r="126">
          <cell r="BG126">
            <v>41509</v>
          </cell>
        </row>
        <row r="127">
          <cell r="BG127">
            <v>41516</v>
          </cell>
        </row>
        <row r="128">
          <cell r="BG128">
            <v>41523</v>
          </cell>
        </row>
        <row r="129">
          <cell r="BG129">
            <v>41530</v>
          </cell>
        </row>
        <row r="130">
          <cell r="BG130">
            <v>41537</v>
          </cell>
        </row>
        <row r="131">
          <cell r="BG131">
            <v>41544</v>
          </cell>
        </row>
        <row r="132">
          <cell r="BG132">
            <v>41551</v>
          </cell>
        </row>
        <row r="133">
          <cell r="BG133">
            <v>41558</v>
          </cell>
        </row>
        <row r="134">
          <cell r="BG134">
            <v>41565</v>
          </cell>
        </row>
        <row r="135">
          <cell r="BG135">
            <v>41572</v>
          </cell>
        </row>
        <row r="136">
          <cell r="BG136">
            <v>41579</v>
          </cell>
        </row>
        <row r="137">
          <cell r="BG137">
            <v>41586</v>
          </cell>
        </row>
        <row r="138">
          <cell r="BG138">
            <v>41593</v>
          </cell>
        </row>
        <row r="139">
          <cell r="BG139">
            <v>41600</v>
          </cell>
        </row>
        <row r="140">
          <cell r="BG140">
            <v>41607</v>
          </cell>
        </row>
        <row r="141">
          <cell r="BG141">
            <v>41614</v>
          </cell>
        </row>
        <row r="142">
          <cell r="BG142">
            <v>41621</v>
          </cell>
        </row>
        <row r="143">
          <cell r="BG143">
            <v>41628</v>
          </cell>
        </row>
        <row r="144">
          <cell r="BG144">
            <v>41635</v>
          </cell>
        </row>
        <row r="145">
          <cell r="BG145">
            <v>41642</v>
          </cell>
        </row>
        <row r="146">
          <cell r="BG146">
            <v>41649</v>
          </cell>
        </row>
        <row r="147">
          <cell r="BG147">
            <v>41656</v>
          </cell>
        </row>
        <row r="148">
          <cell r="BG148">
            <v>41663</v>
          </cell>
        </row>
        <row r="149">
          <cell r="BG149">
            <v>41670</v>
          </cell>
        </row>
        <row r="150">
          <cell r="BG150">
            <v>41677</v>
          </cell>
        </row>
        <row r="151">
          <cell r="BG151">
            <v>41684</v>
          </cell>
        </row>
        <row r="152">
          <cell r="BG152">
            <v>41691</v>
          </cell>
        </row>
        <row r="153">
          <cell r="BG153">
            <v>41698</v>
          </cell>
        </row>
        <row r="154">
          <cell r="BG154">
            <v>41705</v>
          </cell>
        </row>
        <row r="155">
          <cell r="BG155">
            <v>41712</v>
          </cell>
        </row>
        <row r="156">
          <cell r="BG156">
            <v>41719</v>
          </cell>
        </row>
        <row r="157">
          <cell r="BG157">
            <v>41726</v>
          </cell>
        </row>
        <row r="158">
          <cell r="BG158">
            <v>41733</v>
          </cell>
        </row>
        <row r="159">
          <cell r="BG159">
            <v>41740</v>
          </cell>
        </row>
        <row r="160">
          <cell r="BG160">
            <v>41746</v>
          </cell>
        </row>
        <row r="161">
          <cell r="BG161">
            <v>41754</v>
          </cell>
        </row>
        <row r="162">
          <cell r="BG162">
            <v>41761</v>
          </cell>
        </row>
        <row r="163">
          <cell r="BG163">
            <v>41768</v>
          </cell>
        </row>
        <row r="164">
          <cell r="BG164">
            <v>41775</v>
          </cell>
        </row>
        <row r="165">
          <cell r="BG165">
            <v>41782</v>
          </cell>
        </row>
      </sheetData>
      <sheetData sheetId="12">
        <row r="28">
          <cell r="K28">
            <v>542108378</v>
          </cell>
          <cell r="L28">
            <v>5.1552499999999997</v>
          </cell>
        </row>
        <row r="29">
          <cell r="K29">
            <v>507941029</v>
          </cell>
          <cell r="L29">
            <v>4.83033</v>
          </cell>
        </row>
        <row r="30">
          <cell r="K30">
            <v>450764964</v>
          </cell>
          <cell r="L30">
            <v>4.2866099999999996</v>
          </cell>
        </row>
        <row r="31">
          <cell r="K31">
            <v>306899224</v>
          </cell>
          <cell r="L31">
            <v>2.9184999999999999</v>
          </cell>
        </row>
        <row r="32">
          <cell r="K32">
            <v>136686754</v>
          </cell>
          <cell r="L32">
            <v>1.2998400000000001</v>
          </cell>
        </row>
        <row r="33">
          <cell r="K33">
            <v>133857993</v>
          </cell>
          <cell r="L33">
            <v>1.27294</v>
          </cell>
        </row>
        <row r="34">
          <cell r="K34">
            <v>133736383</v>
          </cell>
          <cell r="L34">
            <v>1.2717799999999999</v>
          </cell>
        </row>
        <row r="35">
          <cell r="K35">
            <v>124668488</v>
          </cell>
          <cell r="L35">
            <v>1.1855500000000001</v>
          </cell>
        </row>
        <row r="36">
          <cell r="K36">
            <v>112125160</v>
          </cell>
          <cell r="L36">
            <v>1.0662700000000001</v>
          </cell>
        </row>
        <row r="37">
          <cell r="K37">
            <v>108164546</v>
          </cell>
          <cell r="L37">
            <v>1.0286</v>
          </cell>
        </row>
      </sheetData>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Page"/>
      <sheetName val="Page One"/>
      <sheetName val="Financial Overview"/>
      <sheetName val="_CIQHiddenCacheSheet"/>
      <sheetName val="Consensus"/>
      <sheetName val="Investment Thesis"/>
      <sheetName val="Comp Data"/>
      <sheetName val="Revision"/>
      <sheetName val="VAVP"/>
      <sheetName val="Comp output"/>
      <sheetName val="Comp Analysis"/>
      <sheetName val="Financials CIQ"/>
      <sheetName val="Financials"/>
      <sheetName val="Share Details"/>
      <sheetName val="Earnings Surprise"/>
      <sheetName val="Segment Data"/>
      <sheetName val="Segment Charts"/>
      <sheetName val="DashBoard"/>
      <sheetName val="Group Char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Q_ChartParameters"/>
      <sheetName val="Start Page"/>
      <sheetName val="_CIQHiddenCacheSheet"/>
      <sheetName val="Page one Draft"/>
      <sheetName val="Financial Overview"/>
      <sheetName val="Investment Thesis"/>
      <sheetName val="Graph &amp; EPS Data"/>
      <sheetName val="Charts Group Level Summary"/>
      <sheetName val="Group Level Data"/>
      <sheetName val="Charts - Segment"/>
      <sheetName val="Segment Data"/>
      <sheetName val="Share Price Snapshot"/>
      <sheetName val="Multiples"/>
      <sheetName val="Estimate Trends"/>
      <sheetName val="Valuation"/>
      <sheetName val="Ratios (Formula Driven)"/>
      <sheetName val="Comp Data"/>
      <sheetName val="Sheet2"/>
      <sheetName val="Sheet1"/>
      <sheetName val="Charts - Group Level "/>
      <sheetName val="Group Level Data &amp; Ratios"/>
      <sheetName val="Charts - Financial"/>
      <sheetName val="Earnings Surprise"/>
      <sheetName val="Brief Financial Snapshot"/>
      <sheetName val="Quality of Earnings"/>
      <sheetName val="DCF Valuation"/>
      <sheetName val="Guidance"/>
    </sheetNames>
    <sheetDataSet>
      <sheetData sheetId="0"/>
      <sheetData sheetId="1"/>
      <sheetData sheetId="2"/>
      <sheetData sheetId="3"/>
      <sheetData sheetId="4"/>
      <sheetData sheetId="5"/>
      <sheetData sheetId="6">
        <row r="9">
          <cell r="P9">
            <v>40753</v>
          </cell>
          <cell r="U9">
            <v>40753</v>
          </cell>
        </row>
        <row r="10">
          <cell r="P10">
            <v>40760</v>
          </cell>
          <cell r="U10">
            <v>40760</v>
          </cell>
        </row>
        <row r="11">
          <cell r="P11">
            <v>40767</v>
          </cell>
          <cell r="U11">
            <v>40767</v>
          </cell>
        </row>
        <row r="12">
          <cell r="P12">
            <v>40774</v>
          </cell>
          <cell r="U12">
            <v>40774</v>
          </cell>
        </row>
        <row r="13">
          <cell r="P13">
            <v>40781</v>
          </cell>
          <cell r="U13">
            <v>40781</v>
          </cell>
        </row>
        <row r="14">
          <cell r="P14">
            <v>40788</v>
          </cell>
          <cell r="U14">
            <v>40788</v>
          </cell>
        </row>
        <row r="15">
          <cell r="P15">
            <v>40795</v>
          </cell>
          <cell r="U15">
            <v>40795</v>
          </cell>
        </row>
        <row r="16">
          <cell r="P16">
            <v>40802</v>
          </cell>
          <cell r="U16">
            <v>40802</v>
          </cell>
        </row>
        <row r="17">
          <cell r="P17">
            <v>40809</v>
          </cell>
          <cell r="U17">
            <v>40809</v>
          </cell>
        </row>
        <row r="18">
          <cell r="P18">
            <v>40816</v>
          </cell>
          <cell r="U18">
            <v>40816</v>
          </cell>
        </row>
        <row r="19">
          <cell r="P19">
            <v>40823</v>
          </cell>
          <cell r="U19">
            <v>40823</v>
          </cell>
        </row>
        <row r="20">
          <cell r="P20">
            <v>40830</v>
          </cell>
          <cell r="U20">
            <v>40830</v>
          </cell>
        </row>
        <row r="21">
          <cell r="P21">
            <v>40837</v>
          </cell>
          <cell r="U21">
            <v>40837</v>
          </cell>
        </row>
        <row r="22">
          <cell r="P22">
            <v>40844</v>
          </cell>
          <cell r="U22">
            <v>40844</v>
          </cell>
        </row>
        <row r="23">
          <cell r="P23">
            <v>40851</v>
          </cell>
          <cell r="U23">
            <v>40851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Page"/>
      <sheetName val="Page One"/>
      <sheetName val="Financial Overview"/>
      <sheetName val="Investment Thesis"/>
      <sheetName val="Comp Data"/>
      <sheetName val="Consensus"/>
      <sheetName val="Revision"/>
      <sheetName val="VAVP"/>
      <sheetName val="Comp output"/>
      <sheetName val="_CIQHiddenCacheSheet"/>
      <sheetName val="Comp Analysis"/>
      <sheetName val="Financials"/>
      <sheetName val="Share Details"/>
      <sheetName val="Earnings Surprise"/>
      <sheetName val="Financials CIQ"/>
      <sheetName val="Segment Data"/>
      <sheetName val="Segment Charts"/>
      <sheetName val="DashBoard"/>
      <sheetName val="Industry Data"/>
      <sheetName val="Group Charts"/>
    </sheetNames>
    <sheetDataSet>
      <sheetData sheetId="0"/>
      <sheetData sheetId="1"/>
      <sheetData sheetId="2"/>
      <sheetData sheetId="3"/>
      <sheetData sheetId="4"/>
      <sheetData sheetId="5"/>
      <sheetData sheetId="6">
        <row r="8">
          <cell r="S8">
            <v>40879</v>
          </cell>
        </row>
        <row r="9">
          <cell r="S9">
            <v>40886</v>
          </cell>
        </row>
        <row r="10">
          <cell r="S10">
            <v>40893</v>
          </cell>
        </row>
        <row r="11">
          <cell r="S11">
            <v>40900</v>
          </cell>
        </row>
        <row r="12">
          <cell r="S12">
            <v>40907</v>
          </cell>
        </row>
        <row r="13">
          <cell r="S13">
            <v>40914</v>
          </cell>
        </row>
        <row r="14">
          <cell r="S14">
            <v>40921</v>
          </cell>
        </row>
        <row r="15">
          <cell r="S15">
            <v>40928</v>
          </cell>
        </row>
        <row r="16">
          <cell r="S16">
            <v>40935</v>
          </cell>
        </row>
        <row r="17">
          <cell r="S17">
            <v>40942</v>
          </cell>
        </row>
        <row r="18">
          <cell r="S18">
            <v>40949</v>
          </cell>
        </row>
        <row r="19">
          <cell r="S19">
            <v>40956</v>
          </cell>
        </row>
        <row r="20">
          <cell r="S20">
            <v>40963</v>
          </cell>
        </row>
        <row r="21">
          <cell r="S21">
            <v>40970</v>
          </cell>
        </row>
        <row r="22">
          <cell r="S22">
            <v>40977</v>
          </cell>
        </row>
        <row r="23">
          <cell r="S23">
            <v>40984</v>
          </cell>
        </row>
        <row r="24">
          <cell r="S24">
            <v>40991</v>
          </cell>
        </row>
        <row r="25">
          <cell r="S25">
            <v>40998</v>
          </cell>
        </row>
        <row r="26">
          <cell r="S26">
            <v>41004</v>
          </cell>
        </row>
        <row r="27">
          <cell r="S27">
            <v>41012</v>
          </cell>
        </row>
        <row r="28">
          <cell r="S28">
            <v>41019</v>
          </cell>
        </row>
        <row r="29">
          <cell r="S29">
            <v>41026</v>
          </cell>
        </row>
        <row r="30">
          <cell r="S30">
            <v>41033</v>
          </cell>
        </row>
        <row r="31">
          <cell r="S31">
            <v>41040</v>
          </cell>
        </row>
        <row r="32">
          <cell r="S32">
            <v>41047</v>
          </cell>
        </row>
        <row r="33">
          <cell r="S33">
            <v>41054</v>
          </cell>
        </row>
        <row r="34">
          <cell r="S34">
            <v>41061</v>
          </cell>
        </row>
        <row r="35">
          <cell r="S35">
            <v>41068</v>
          </cell>
        </row>
        <row r="36">
          <cell r="S36">
            <v>41075</v>
          </cell>
        </row>
        <row r="37">
          <cell r="S37">
            <v>41082</v>
          </cell>
        </row>
        <row r="38">
          <cell r="S38">
            <v>41089</v>
          </cell>
        </row>
        <row r="39">
          <cell r="S39">
            <v>41096</v>
          </cell>
        </row>
        <row r="40">
          <cell r="S40">
            <v>41103</v>
          </cell>
        </row>
        <row r="41">
          <cell r="S41">
            <v>41110</v>
          </cell>
        </row>
        <row r="42">
          <cell r="S42">
            <v>41117</v>
          </cell>
        </row>
        <row r="43">
          <cell r="S43">
            <v>41124</v>
          </cell>
        </row>
        <row r="44">
          <cell r="S44">
            <v>41131</v>
          </cell>
        </row>
        <row r="45">
          <cell r="S45">
            <v>41138</v>
          </cell>
        </row>
        <row r="46">
          <cell r="S46">
            <v>41145</v>
          </cell>
        </row>
        <row r="47">
          <cell r="S47">
            <v>41152</v>
          </cell>
        </row>
        <row r="48">
          <cell r="S48">
            <v>41159</v>
          </cell>
        </row>
        <row r="49">
          <cell r="S49">
            <v>41166</v>
          </cell>
        </row>
        <row r="50">
          <cell r="S50">
            <v>41173</v>
          </cell>
        </row>
        <row r="51">
          <cell r="S51">
            <v>41180</v>
          </cell>
        </row>
        <row r="52">
          <cell r="S52">
            <v>41187</v>
          </cell>
        </row>
        <row r="53">
          <cell r="S53">
            <v>41194</v>
          </cell>
        </row>
        <row r="54">
          <cell r="S54">
            <v>41201</v>
          </cell>
        </row>
        <row r="55">
          <cell r="S55">
            <v>41208</v>
          </cell>
        </row>
        <row r="56">
          <cell r="S56">
            <v>41215</v>
          </cell>
        </row>
        <row r="57">
          <cell r="S57">
            <v>41222</v>
          </cell>
        </row>
        <row r="58">
          <cell r="S58">
            <v>41229</v>
          </cell>
        </row>
        <row r="59">
          <cell r="S59">
            <v>41236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Q_ChartParameters"/>
      <sheetName val="_CIQHiddenCacheSheet"/>
      <sheetName val="Start Page"/>
      <sheetName val="Page One"/>
      <sheetName val="Financial Overview"/>
      <sheetName val="Comp Data"/>
      <sheetName val="Investment Thesis"/>
      <sheetName val="Snapshot Worksheet"/>
      <sheetName val="DashBoard"/>
      <sheetName val="Group Level Data &amp; Ratios"/>
      <sheetName val="Segment Data"/>
      <sheetName val="New Segment data"/>
      <sheetName val="Charts - Segment"/>
      <sheetName val="Segment growth structure"/>
      <sheetName val="New Segment growth structure"/>
      <sheetName val="Valuation &amp; Multiples"/>
      <sheetName val="Share Details"/>
      <sheetName val="Earnings Surprise &amp; Guidance"/>
      <sheetName val="Public Comps (1) - Pure Play"/>
      <sheetName val="Relative Valuation"/>
      <sheetName val="Charts - Group Level"/>
      <sheetName val="Brief Financial Snapshot"/>
      <sheetName val="Selected Charts - Group Leve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2">
          <cell r="FO12" t="str">
            <v>(User access restricted)</v>
          </cell>
          <cell r="FR12" t="str">
            <v>(User access restricted)</v>
          </cell>
          <cell r="GB12">
            <v>0</v>
          </cell>
          <cell r="GE12">
            <v>0</v>
          </cell>
        </row>
      </sheetData>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mprehensive"/>
      <sheetName val="Summary"/>
      <sheetName val="Estimates"/>
    </sheetNames>
    <sheetDataSet>
      <sheetData sheetId="0" refreshError="1"/>
      <sheetData sheetId="1" refreshError="1"/>
      <sheetData sheetId="2" refreshError="1"/>
      <sheetData sheetId="3">
        <row r="8">
          <cell r="D8" t="str">
            <v>NYSE:DD</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Q_ChartParameters"/>
      <sheetName val="Start Page"/>
      <sheetName val="Page One"/>
      <sheetName val="Snapshot Worksheet"/>
      <sheetName val="Financial Overview"/>
      <sheetName val="Investment Thesis"/>
      <sheetName val="Comp Data"/>
      <sheetName val="Chart"/>
      <sheetName val="Charts - Segment"/>
      <sheetName val="Segment - New Business Segments"/>
      <sheetName val="Data - Geography wise"/>
      <sheetName val="_CIQHiddenCacheSheet"/>
      <sheetName val="Group Level Data &amp; Ratios"/>
      <sheetName val="Segment Data - Old Reporting"/>
      <sheetName val="Other Data"/>
      <sheetName val="Valuation &amp; Multiples"/>
      <sheetName val="Share Details"/>
      <sheetName val="Earnings Surprise &amp; Guidance"/>
      <sheetName val="Public Comps (1) - Pure Play"/>
      <sheetName val="Relative Valuation"/>
    </sheetNames>
    <sheetDataSet>
      <sheetData sheetId="0"/>
      <sheetData sheetId="1"/>
      <sheetData sheetId="2"/>
      <sheetData sheetId="3"/>
      <sheetData sheetId="4"/>
      <sheetData sheetId="5"/>
      <sheetData sheetId="6"/>
      <sheetData sheetId="7"/>
      <sheetData sheetId="8"/>
      <sheetData sheetId="9">
        <row r="108">
          <cell r="O108" t="str">
            <v>Q1 09</v>
          </cell>
        </row>
      </sheetData>
      <sheetData sheetId="10"/>
      <sheetData sheetId="11"/>
      <sheetData sheetId="12">
        <row r="199">
          <cell r="R199" t="str">
            <v>Q2 07</v>
          </cell>
        </row>
      </sheetData>
      <sheetData sheetId="13">
        <row r="69">
          <cell r="B69" t="str">
            <v>Svk Materials Technology</v>
          </cell>
        </row>
      </sheetData>
      <sheetData sheetId="14">
        <row r="47">
          <cell r="B47" t="str">
            <v>Mining Industry</v>
          </cell>
        </row>
      </sheetData>
      <sheetData sheetId="15">
        <row r="9">
          <cell r="BU9">
            <v>39206</v>
          </cell>
          <cell r="CJ9">
            <v>40669</v>
          </cell>
          <cell r="EL9">
            <v>39206</v>
          </cell>
          <cell r="EQ9">
            <v>40669</v>
          </cell>
        </row>
        <row r="10">
          <cell r="BU10">
            <v>39213</v>
          </cell>
          <cell r="CJ10">
            <v>40676</v>
          </cell>
          <cell r="EL10">
            <v>39213</v>
          </cell>
          <cell r="EQ10">
            <v>40676</v>
          </cell>
        </row>
        <row r="11">
          <cell r="BU11">
            <v>39220</v>
          </cell>
          <cell r="CJ11">
            <v>40683</v>
          </cell>
          <cell r="EL11">
            <v>39220</v>
          </cell>
          <cell r="EQ11">
            <v>40683</v>
          </cell>
        </row>
        <row r="12">
          <cell r="BU12">
            <v>39227</v>
          </cell>
          <cell r="CJ12">
            <v>40690</v>
          </cell>
          <cell r="EL12">
            <v>39227</v>
          </cell>
          <cell r="EQ12">
            <v>40690</v>
          </cell>
        </row>
        <row r="13">
          <cell r="BU13">
            <v>39234</v>
          </cell>
          <cell r="CJ13">
            <v>40697</v>
          </cell>
          <cell r="EL13">
            <v>39234</v>
          </cell>
          <cell r="EQ13">
            <v>40697</v>
          </cell>
        </row>
        <row r="14">
          <cell r="BU14">
            <v>39241</v>
          </cell>
          <cell r="CJ14">
            <v>40704</v>
          </cell>
          <cell r="EL14">
            <v>39241</v>
          </cell>
          <cell r="EQ14">
            <v>40704</v>
          </cell>
        </row>
        <row r="15">
          <cell r="BU15">
            <v>39248</v>
          </cell>
          <cell r="CJ15">
            <v>40711</v>
          </cell>
          <cell r="EL15">
            <v>39248</v>
          </cell>
          <cell r="EQ15">
            <v>40711</v>
          </cell>
        </row>
        <row r="16">
          <cell r="BU16">
            <v>39254</v>
          </cell>
          <cell r="CJ16">
            <v>40717</v>
          </cell>
          <cell r="EL16">
            <v>39254</v>
          </cell>
          <cell r="EQ16">
            <v>40717</v>
          </cell>
        </row>
        <row r="17">
          <cell r="BU17">
            <v>39262</v>
          </cell>
          <cell r="CJ17">
            <v>40725</v>
          </cell>
          <cell r="EL17">
            <v>39262</v>
          </cell>
          <cell r="EQ17">
            <v>40725</v>
          </cell>
        </row>
        <row r="18">
          <cell r="BU18">
            <v>39269</v>
          </cell>
          <cell r="CJ18">
            <v>40732</v>
          </cell>
          <cell r="EL18">
            <v>39269</v>
          </cell>
          <cell r="EQ18">
            <v>40732</v>
          </cell>
        </row>
        <row r="19">
          <cell r="BU19">
            <v>39276</v>
          </cell>
          <cell r="CJ19">
            <v>40739</v>
          </cell>
          <cell r="EL19">
            <v>39276</v>
          </cell>
          <cell r="EQ19">
            <v>40739</v>
          </cell>
        </row>
        <row r="20">
          <cell r="BU20">
            <v>39283</v>
          </cell>
          <cell r="CJ20">
            <v>40746</v>
          </cell>
          <cell r="EL20">
            <v>39283</v>
          </cell>
          <cell r="EQ20">
            <v>40746</v>
          </cell>
        </row>
        <row r="21">
          <cell r="BU21">
            <v>39290</v>
          </cell>
          <cell r="CJ21">
            <v>40753</v>
          </cell>
          <cell r="EL21">
            <v>39290</v>
          </cell>
          <cell r="EQ21">
            <v>40753</v>
          </cell>
        </row>
        <row r="22">
          <cell r="BU22">
            <v>39297</v>
          </cell>
          <cell r="CJ22">
            <v>40760</v>
          </cell>
          <cell r="EL22">
            <v>39297</v>
          </cell>
          <cell r="EQ22">
            <v>40760</v>
          </cell>
        </row>
        <row r="23">
          <cell r="BU23">
            <v>39304</v>
          </cell>
          <cell r="CJ23">
            <v>40767</v>
          </cell>
          <cell r="EL23">
            <v>39304</v>
          </cell>
          <cell r="EQ23">
            <v>40767</v>
          </cell>
        </row>
        <row r="24">
          <cell r="BU24">
            <v>39311</v>
          </cell>
          <cell r="CJ24">
            <v>40774</v>
          </cell>
          <cell r="EL24">
            <v>39311</v>
          </cell>
          <cell r="EQ24">
            <v>40774</v>
          </cell>
        </row>
        <row r="25">
          <cell r="BU25">
            <v>39318</v>
          </cell>
          <cell r="CJ25">
            <v>40781</v>
          </cell>
          <cell r="EL25">
            <v>39318</v>
          </cell>
          <cell r="EQ25">
            <v>40781</v>
          </cell>
        </row>
        <row r="26">
          <cell r="BU26">
            <v>39325</v>
          </cell>
          <cell r="CJ26">
            <v>40788</v>
          </cell>
          <cell r="EL26">
            <v>39325</v>
          </cell>
          <cell r="EQ26">
            <v>40788</v>
          </cell>
        </row>
        <row r="27">
          <cell r="BU27">
            <v>39332</v>
          </cell>
          <cell r="CJ27">
            <v>40795</v>
          </cell>
          <cell r="EL27">
            <v>39332</v>
          </cell>
          <cell r="EQ27">
            <v>40795</v>
          </cell>
        </row>
        <row r="28">
          <cell r="BU28">
            <v>39339</v>
          </cell>
          <cell r="CJ28">
            <v>40802</v>
          </cell>
          <cell r="EL28">
            <v>39339</v>
          </cell>
          <cell r="EQ28">
            <v>40802</v>
          </cell>
        </row>
        <row r="29">
          <cell r="BU29">
            <v>39346</v>
          </cell>
          <cell r="CJ29">
            <v>40809</v>
          </cell>
          <cell r="EL29">
            <v>39346</v>
          </cell>
          <cell r="EQ29">
            <v>40809</v>
          </cell>
        </row>
        <row r="30">
          <cell r="BU30">
            <v>39353</v>
          </cell>
          <cell r="CJ30">
            <v>40816</v>
          </cell>
          <cell r="EL30">
            <v>39353</v>
          </cell>
          <cell r="EQ30">
            <v>40816</v>
          </cell>
        </row>
        <row r="31">
          <cell r="BU31">
            <v>39360</v>
          </cell>
          <cell r="CJ31">
            <v>40823</v>
          </cell>
          <cell r="EL31">
            <v>39360</v>
          </cell>
          <cell r="EQ31">
            <v>40823</v>
          </cell>
        </row>
        <row r="32">
          <cell r="BU32">
            <v>39367</v>
          </cell>
          <cell r="CJ32">
            <v>40830</v>
          </cell>
          <cell r="EL32">
            <v>39367</v>
          </cell>
          <cell r="EQ32">
            <v>40830</v>
          </cell>
        </row>
        <row r="33">
          <cell r="BU33">
            <v>39374</v>
          </cell>
          <cell r="CJ33">
            <v>40837</v>
          </cell>
          <cell r="EL33">
            <v>39374</v>
          </cell>
          <cell r="EQ33">
            <v>40837</v>
          </cell>
        </row>
        <row r="34">
          <cell r="BU34">
            <v>39381</v>
          </cell>
          <cell r="CJ34">
            <v>40844</v>
          </cell>
          <cell r="EL34">
            <v>39381</v>
          </cell>
          <cell r="EQ34">
            <v>40844</v>
          </cell>
        </row>
        <row r="35">
          <cell r="BU35">
            <v>39388</v>
          </cell>
          <cell r="CJ35">
            <v>40851</v>
          </cell>
          <cell r="EL35">
            <v>39388</v>
          </cell>
          <cell r="EQ35">
            <v>40851</v>
          </cell>
        </row>
        <row r="36">
          <cell r="BU36">
            <v>39395</v>
          </cell>
          <cell r="CJ36">
            <v>40858</v>
          </cell>
          <cell r="EL36">
            <v>39395</v>
          </cell>
          <cell r="EQ36">
            <v>40858</v>
          </cell>
        </row>
        <row r="37">
          <cell r="BU37">
            <v>39402</v>
          </cell>
          <cell r="CJ37">
            <v>40865</v>
          </cell>
          <cell r="EL37">
            <v>39402</v>
          </cell>
          <cell r="EQ37">
            <v>40865</v>
          </cell>
        </row>
        <row r="38">
          <cell r="BU38">
            <v>39409</v>
          </cell>
          <cell r="CJ38">
            <v>40872</v>
          </cell>
          <cell r="EL38">
            <v>39409</v>
          </cell>
          <cell r="EQ38">
            <v>40872</v>
          </cell>
        </row>
        <row r="39">
          <cell r="BU39">
            <v>39416</v>
          </cell>
          <cell r="CJ39">
            <v>40879</v>
          </cell>
          <cell r="EL39">
            <v>39416</v>
          </cell>
          <cell r="EQ39">
            <v>40879</v>
          </cell>
        </row>
        <row r="40">
          <cell r="BU40">
            <v>39423</v>
          </cell>
          <cell r="CJ40">
            <v>40886</v>
          </cell>
          <cell r="EL40">
            <v>39423</v>
          </cell>
          <cell r="EQ40">
            <v>40886</v>
          </cell>
        </row>
        <row r="41">
          <cell r="BU41">
            <v>39430</v>
          </cell>
          <cell r="CJ41">
            <v>40893</v>
          </cell>
          <cell r="EL41">
            <v>39430</v>
          </cell>
          <cell r="EQ41">
            <v>40893</v>
          </cell>
        </row>
        <row r="42">
          <cell r="BU42">
            <v>39437</v>
          </cell>
          <cell r="CJ42">
            <v>40900</v>
          </cell>
          <cell r="EL42">
            <v>39437</v>
          </cell>
          <cell r="EQ42">
            <v>40900</v>
          </cell>
        </row>
        <row r="43">
          <cell r="BU43">
            <v>39444</v>
          </cell>
          <cell r="CJ43">
            <v>40907</v>
          </cell>
          <cell r="EL43">
            <v>39444</v>
          </cell>
          <cell r="EQ43">
            <v>40907</v>
          </cell>
        </row>
        <row r="44">
          <cell r="BU44">
            <v>39451</v>
          </cell>
          <cell r="CJ44">
            <v>40913</v>
          </cell>
          <cell r="EL44">
            <v>39451</v>
          </cell>
          <cell r="EQ44">
            <v>40913</v>
          </cell>
        </row>
        <row r="45">
          <cell r="BU45">
            <v>39458</v>
          </cell>
          <cell r="CJ45">
            <v>40921</v>
          </cell>
          <cell r="EL45">
            <v>39458</v>
          </cell>
          <cell r="EQ45">
            <v>40921</v>
          </cell>
        </row>
        <row r="46">
          <cell r="BU46">
            <v>39465</v>
          </cell>
          <cell r="CJ46">
            <v>40928</v>
          </cell>
          <cell r="EL46">
            <v>39465</v>
          </cell>
          <cell r="EQ46">
            <v>40928</v>
          </cell>
        </row>
        <row r="47">
          <cell r="BU47">
            <v>39472</v>
          </cell>
          <cell r="CJ47">
            <v>40935</v>
          </cell>
          <cell r="EL47">
            <v>39472</v>
          </cell>
          <cell r="EQ47">
            <v>40935</v>
          </cell>
        </row>
        <row r="48">
          <cell r="BU48">
            <v>39479</v>
          </cell>
          <cell r="CJ48">
            <v>40942</v>
          </cell>
          <cell r="EL48">
            <v>39479</v>
          </cell>
          <cell r="EQ48">
            <v>40942</v>
          </cell>
        </row>
        <row r="49">
          <cell r="BU49">
            <v>39486</v>
          </cell>
          <cell r="CJ49">
            <v>40949</v>
          </cell>
          <cell r="EL49">
            <v>39486</v>
          </cell>
          <cell r="EQ49">
            <v>40949</v>
          </cell>
        </row>
        <row r="50">
          <cell r="BU50">
            <v>39493</v>
          </cell>
          <cell r="CJ50">
            <v>40956</v>
          </cell>
          <cell r="EL50">
            <v>39493</v>
          </cell>
          <cell r="EQ50">
            <v>40956</v>
          </cell>
        </row>
        <row r="51">
          <cell r="BU51">
            <v>39500</v>
          </cell>
          <cell r="CJ51">
            <v>40963</v>
          </cell>
          <cell r="EL51">
            <v>39500</v>
          </cell>
          <cell r="EQ51">
            <v>40963</v>
          </cell>
        </row>
        <row r="52">
          <cell r="BU52">
            <v>39507</v>
          </cell>
          <cell r="CJ52">
            <v>40970</v>
          </cell>
          <cell r="EL52">
            <v>39507</v>
          </cell>
          <cell r="EQ52">
            <v>40970</v>
          </cell>
        </row>
        <row r="53">
          <cell r="BU53">
            <v>39514</v>
          </cell>
          <cell r="CJ53">
            <v>40977</v>
          </cell>
          <cell r="EL53">
            <v>39514</v>
          </cell>
          <cell r="EQ53">
            <v>40977</v>
          </cell>
        </row>
        <row r="54">
          <cell r="BU54">
            <v>39521</v>
          </cell>
          <cell r="CJ54">
            <v>40984</v>
          </cell>
          <cell r="EL54">
            <v>39521</v>
          </cell>
          <cell r="EQ54">
            <v>40984</v>
          </cell>
        </row>
        <row r="55">
          <cell r="BU55">
            <v>39527</v>
          </cell>
          <cell r="CJ55">
            <v>40991</v>
          </cell>
          <cell r="EL55">
            <v>39527</v>
          </cell>
          <cell r="EQ55">
            <v>40991</v>
          </cell>
        </row>
        <row r="56">
          <cell r="BU56">
            <v>39535</v>
          </cell>
          <cell r="CJ56">
            <v>40998</v>
          </cell>
          <cell r="EL56">
            <v>39535</v>
          </cell>
          <cell r="EQ56">
            <v>40998</v>
          </cell>
        </row>
        <row r="57">
          <cell r="BU57">
            <v>39542</v>
          </cell>
          <cell r="CJ57">
            <v>41004</v>
          </cell>
          <cell r="EL57">
            <v>39542</v>
          </cell>
          <cell r="EQ57">
            <v>41004</v>
          </cell>
        </row>
        <row r="58">
          <cell r="BU58">
            <v>39549</v>
          </cell>
          <cell r="CJ58">
            <v>41012</v>
          </cell>
          <cell r="EL58">
            <v>39549</v>
          </cell>
          <cell r="EQ58">
            <v>41012</v>
          </cell>
        </row>
        <row r="59">
          <cell r="BU59">
            <v>39556</v>
          </cell>
          <cell r="CJ59">
            <v>41019</v>
          </cell>
          <cell r="EL59">
            <v>39556</v>
          </cell>
          <cell r="EQ59">
            <v>41019</v>
          </cell>
        </row>
        <row r="60">
          <cell r="BU60">
            <v>39563</v>
          </cell>
          <cell r="CJ60">
            <v>41026</v>
          </cell>
          <cell r="EL60">
            <v>39563</v>
          </cell>
          <cell r="EQ60">
            <v>41026</v>
          </cell>
        </row>
        <row r="61">
          <cell r="BU61">
            <v>39570</v>
          </cell>
          <cell r="EL61">
            <v>39570</v>
          </cell>
        </row>
        <row r="62">
          <cell r="BU62">
            <v>39577</v>
          </cell>
          <cell r="EL62">
            <v>39577</v>
          </cell>
        </row>
        <row r="63">
          <cell r="BU63">
            <v>39584</v>
          </cell>
          <cell r="EL63">
            <v>39584</v>
          </cell>
        </row>
        <row r="64">
          <cell r="BU64">
            <v>39591</v>
          </cell>
          <cell r="EL64">
            <v>39591</v>
          </cell>
        </row>
        <row r="65">
          <cell r="BU65">
            <v>39598</v>
          </cell>
          <cell r="EL65">
            <v>39598</v>
          </cell>
        </row>
        <row r="66">
          <cell r="BU66">
            <v>39604</v>
          </cell>
          <cell r="EL66">
            <v>39604</v>
          </cell>
        </row>
        <row r="67">
          <cell r="BU67">
            <v>39612</v>
          </cell>
          <cell r="EL67">
            <v>39612</v>
          </cell>
        </row>
        <row r="68">
          <cell r="BU68">
            <v>39618</v>
          </cell>
          <cell r="EL68">
            <v>39618</v>
          </cell>
        </row>
        <row r="69">
          <cell r="BU69">
            <v>39626</v>
          </cell>
          <cell r="EL69">
            <v>39626</v>
          </cell>
        </row>
        <row r="70">
          <cell r="BU70">
            <v>39633</v>
          </cell>
          <cell r="EL70">
            <v>39633</v>
          </cell>
        </row>
        <row r="71">
          <cell r="BU71">
            <v>39640</v>
          </cell>
          <cell r="EL71">
            <v>39640</v>
          </cell>
        </row>
        <row r="72">
          <cell r="BU72">
            <v>39647</v>
          </cell>
          <cell r="EL72">
            <v>39647</v>
          </cell>
        </row>
        <row r="73">
          <cell r="BU73">
            <v>39654</v>
          </cell>
          <cell r="EL73">
            <v>39654</v>
          </cell>
        </row>
        <row r="74">
          <cell r="BU74">
            <v>39661</v>
          </cell>
          <cell r="EL74">
            <v>39661</v>
          </cell>
        </row>
        <row r="75">
          <cell r="BU75">
            <v>39668</v>
          </cell>
          <cell r="EL75">
            <v>39668</v>
          </cell>
        </row>
        <row r="76">
          <cell r="BU76">
            <v>39675</v>
          </cell>
          <cell r="EL76">
            <v>39675</v>
          </cell>
        </row>
        <row r="77">
          <cell r="BU77">
            <v>39682</v>
          </cell>
          <cell r="EL77">
            <v>39682</v>
          </cell>
        </row>
        <row r="78">
          <cell r="BU78">
            <v>39689</v>
          </cell>
          <cell r="EL78">
            <v>39689</v>
          </cell>
        </row>
        <row r="79">
          <cell r="BU79">
            <v>39696</v>
          </cell>
          <cell r="EL79">
            <v>39696</v>
          </cell>
        </row>
        <row r="80">
          <cell r="BU80">
            <v>39703</v>
          </cell>
          <cell r="EL80">
            <v>39703</v>
          </cell>
        </row>
        <row r="81">
          <cell r="BU81">
            <v>39710</v>
          </cell>
          <cell r="EL81">
            <v>39710</v>
          </cell>
        </row>
        <row r="82">
          <cell r="BU82">
            <v>39717</v>
          </cell>
          <cell r="EL82">
            <v>39717</v>
          </cell>
        </row>
        <row r="83">
          <cell r="BU83">
            <v>39724</v>
          </cell>
          <cell r="EL83">
            <v>39724</v>
          </cell>
        </row>
        <row r="84">
          <cell r="BU84">
            <v>39731</v>
          </cell>
          <cell r="EL84">
            <v>39731</v>
          </cell>
        </row>
        <row r="85">
          <cell r="BU85">
            <v>39738</v>
          </cell>
          <cell r="EL85">
            <v>39738</v>
          </cell>
        </row>
        <row r="86">
          <cell r="BU86">
            <v>39745</v>
          </cell>
          <cell r="EL86">
            <v>39745</v>
          </cell>
        </row>
        <row r="87">
          <cell r="BU87">
            <v>39752</v>
          </cell>
          <cell r="EL87">
            <v>39752</v>
          </cell>
        </row>
        <row r="88">
          <cell r="BU88">
            <v>39759</v>
          </cell>
          <cell r="EL88">
            <v>39759</v>
          </cell>
        </row>
        <row r="89">
          <cell r="BU89">
            <v>39766</v>
          </cell>
          <cell r="EL89">
            <v>39766</v>
          </cell>
        </row>
        <row r="90">
          <cell r="BU90">
            <v>39773</v>
          </cell>
          <cell r="EL90">
            <v>39773</v>
          </cell>
        </row>
        <row r="91">
          <cell r="BU91">
            <v>39780</v>
          </cell>
          <cell r="EL91">
            <v>39780</v>
          </cell>
        </row>
        <row r="92">
          <cell r="BU92">
            <v>39787</v>
          </cell>
          <cell r="EL92">
            <v>39787</v>
          </cell>
        </row>
        <row r="93">
          <cell r="BU93">
            <v>39794</v>
          </cell>
          <cell r="EL93">
            <v>39794</v>
          </cell>
        </row>
        <row r="94">
          <cell r="BU94">
            <v>39801</v>
          </cell>
          <cell r="EL94">
            <v>39801</v>
          </cell>
        </row>
        <row r="95">
          <cell r="BU95">
            <v>39805</v>
          </cell>
          <cell r="EL95">
            <v>39805</v>
          </cell>
        </row>
        <row r="96">
          <cell r="BU96">
            <v>39815</v>
          </cell>
          <cell r="EL96">
            <v>39815</v>
          </cell>
        </row>
        <row r="97">
          <cell r="BU97">
            <v>39822</v>
          </cell>
          <cell r="EL97">
            <v>39822</v>
          </cell>
        </row>
        <row r="98">
          <cell r="BU98">
            <v>39829</v>
          </cell>
          <cell r="EL98">
            <v>39829</v>
          </cell>
        </row>
        <row r="99">
          <cell r="BU99">
            <v>39836</v>
          </cell>
          <cell r="EL99">
            <v>39836</v>
          </cell>
        </row>
        <row r="100">
          <cell r="BU100">
            <v>39843</v>
          </cell>
          <cell r="EL100">
            <v>39843</v>
          </cell>
        </row>
        <row r="101">
          <cell r="BU101">
            <v>39850</v>
          </cell>
          <cell r="EL101">
            <v>39850</v>
          </cell>
        </row>
        <row r="102">
          <cell r="BU102">
            <v>39857</v>
          </cell>
          <cell r="EL102">
            <v>39857</v>
          </cell>
        </row>
        <row r="103">
          <cell r="BU103">
            <v>39864</v>
          </cell>
          <cell r="EL103">
            <v>39864</v>
          </cell>
        </row>
        <row r="104">
          <cell r="BU104">
            <v>39871</v>
          </cell>
          <cell r="EL104">
            <v>39871</v>
          </cell>
        </row>
        <row r="105">
          <cell r="BU105">
            <v>39878</v>
          </cell>
          <cell r="EL105">
            <v>39878</v>
          </cell>
        </row>
        <row r="106">
          <cell r="BU106">
            <v>39885</v>
          </cell>
          <cell r="EL106">
            <v>39885</v>
          </cell>
        </row>
        <row r="107">
          <cell r="BU107">
            <v>39892</v>
          </cell>
          <cell r="EL107">
            <v>39892</v>
          </cell>
        </row>
        <row r="108">
          <cell r="BU108">
            <v>39899</v>
          </cell>
          <cell r="EL108">
            <v>39899</v>
          </cell>
        </row>
        <row r="109">
          <cell r="BU109">
            <v>39906</v>
          </cell>
          <cell r="EL109">
            <v>39906</v>
          </cell>
        </row>
        <row r="110">
          <cell r="BU110">
            <v>39912</v>
          </cell>
          <cell r="EL110">
            <v>39912</v>
          </cell>
        </row>
        <row r="111">
          <cell r="BU111">
            <v>39920</v>
          </cell>
          <cell r="EL111">
            <v>39920</v>
          </cell>
        </row>
        <row r="112">
          <cell r="BU112">
            <v>39927</v>
          </cell>
          <cell r="EL112">
            <v>39927</v>
          </cell>
        </row>
        <row r="113">
          <cell r="BU113">
            <v>39933</v>
          </cell>
          <cell r="EL113">
            <v>39933</v>
          </cell>
        </row>
        <row r="114">
          <cell r="BU114">
            <v>39941</v>
          </cell>
          <cell r="EL114">
            <v>39941</v>
          </cell>
        </row>
        <row r="115">
          <cell r="BU115">
            <v>39948</v>
          </cell>
          <cell r="EL115">
            <v>39948</v>
          </cell>
        </row>
        <row r="116">
          <cell r="BU116">
            <v>39955</v>
          </cell>
          <cell r="EL116">
            <v>39955</v>
          </cell>
        </row>
        <row r="117">
          <cell r="BU117">
            <v>39962</v>
          </cell>
          <cell r="EL117">
            <v>39962</v>
          </cell>
        </row>
        <row r="118">
          <cell r="BU118">
            <v>39969</v>
          </cell>
          <cell r="EL118">
            <v>39969</v>
          </cell>
        </row>
        <row r="119">
          <cell r="BU119">
            <v>39976</v>
          </cell>
          <cell r="EL119">
            <v>39976</v>
          </cell>
        </row>
        <row r="120">
          <cell r="BU120">
            <v>39982</v>
          </cell>
          <cell r="EL120">
            <v>39982</v>
          </cell>
        </row>
        <row r="121">
          <cell r="BU121">
            <v>39990</v>
          </cell>
          <cell r="EL121">
            <v>39990</v>
          </cell>
        </row>
        <row r="122">
          <cell r="BU122">
            <v>39997</v>
          </cell>
          <cell r="EL122">
            <v>39997</v>
          </cell>
        </row>
        <row r="123">
          <cell r="BU123">
            <v>40004</v>
          </cell>
          <cell r="EL123">
            <v>40004</v>
          </cell>
        </row>
        <row r="124">
          <cell r="BU124">
            <v>40011</v>
          </cell>
          <cell r="EL124">
            <v>40011</v>
          </cell>
        </row>
        <row r="125">
          <cell r="BU125">
            <v>40018</v>
          </cell>
          <cell r="EL125">
            <v>40018</v>
          </cell>
        </row>
        <row r="126">
          <cell r="BU126">
            <v>40025</v>
          </cell>
          <cell r="EL126">
            <v>40025</v>
          </cell>
        </row>
        <row r="127">
          <cell r="BU127">
            <v>40032</v>
          </cell>
          <cell r="EL127">
            <v>40032</v>
          </cell>
        </row>
        <row r="128">
          <cell r="BU128">
            <v>40039</v>
          </cell>
          <cell r="EL128">
            <v>40039</v>
          </cell>
        </row>
        <row r="129">
          <cell r="BU129">
            <v>40046</v>
          </cell>
          <cell r="EL129">
            <v>40046</v>
          </cell>
        </row>
        <row r="130">
          <cell r="BU130">
            <v>40053</v>
          </cell>
          <cell r="EL130">
            <v>40053</v>
          </cell>
        </row>
        <row r="131">
          <cell r="BU131">
            <v>40060</v>
          </cell>
          <cell r="EL131">
            <v>40060</v>
          </cell>
        </row>
        <row r="132">
          <cell r="BU132">
            <v>40067</v>
          </cell>
          <cell r="EL132">
            <v>40067</v>
          </cell>
        </row>
        <row r="133">
          <cell r="BU133">
            <v>40074</v>
          </cell>
          <cell r="EL133">
            <v>40074</v>
          </cell>
        </row>
        <row r="134">
          <cell r="BU134">
            <v>40081</v>
          </cell>
          <cell r="EL134">
            <v>40081</v>
          </cell>
        </row>
        <row r="135">
          <cell r="BU135">
            <v>40088</v>
          </cell>
          <cell r="EL135">
            <v>40088</v>
          </cell>
        </row>
        <row r="136">
          <cell r="BU136">
            <v>40095</v>
          </cell>
          <cell r="EL136">
            <v>40095</v>
          </cell>
        </row>
        <row r="137">
          <cell r="BU137">
            <v>40102</v>
          </cell>
          <cell r="EL137">
            <v>40102</v>
          </cell>
        </row>
        <row r="138">
          <cell r="BU138">
            <v>40109</v>
          </cell>
          <cell r="EL138">
            <v>40109</v>
          </cell>
        </row>
        <row r="139">
          <cell r="BU139">
            <v>40116</v>
          </cell>
          <cell r="EL139">
            <v>40116</v>
          </cell>
        </row>
        <row r="140">
          <cell r="BU140">
            <v>40123</v>
          </cell>
          <cell r="EL140">
            <v>40123</v>
          </cell>
        </row>
        <row r="141">
          <cell r="BU141">
            <v>40130</v>
          </cell>
          <cell r="EL141">
            <v>40130</v>
          </cell>
        </row>
        <row r="142">
          <cell r="BU142">
            <v>40137</v>
          </cell>
          <cell r="EL142">
            <v>40137</v>
          </cell>
        </row>
        <row r="143">
          <cell r="BU143">
            <v>40144</v>
          </cell>
          <cell r="EL143">
            <v>40144</v>
          </cell>
        </row>
        <row r="144">
          <cell r="BU144">
            <v>40151</v>
          </cell>
          <cell r="EL144">
            <v>40151</v>
          </cell>
        </row>
        <row r="145">
          <cell r="BU145">
            <v>40158</v>
          </cell>
          <cell r="EL145">
            <v>40158</v>
          </cell>
        </row>
        <row r="146">
          <cell r="BU146">
            <v>40165</v>
          </cell>
          <cell r="EL146">
            <v>40165</v>
          </cell>
        </row>
        <row r="147">
          <cell r="BU147">
            <v>40170</v>
          </cell>
          <cell r="EL147">
            <v>40170</v>
          </cell>
        </row>
        <row r="148">
          <cell r="BU148">
            <v>40177</v>
          </cell>
          <cell r="EL148">
            <v>40177</v>
          </cell>
        </row>
        <row r="149">
          <cell r="BU149">
            <v>40186</v>
          </cell>
          <cell r="EL149">
            <v>40186</v>
          </cell>
        </row>
        <row r="150">
          <cell r="BU150">
            <v>40193</v>
          </cell>
          <cell r="EL150">
            <v>40193</v>
          </cell>
        </row>
        <row r="151">
          <cell r="BU151">
            <v>40200</v>
          </cell>
          <cell r="EL151">
            <v>40200</v>
          </cell>
        </row>
        <row r="152">
          <cell r="BU152">
            <v>40207</v>
          </cell>
          <cell r="EL152">
            <v>40207</v>
          </cell>
        </row>
        <row r="153">
          <cell r="BU153">
            <v>40214</v>
          </cell>
          <cell r="EL153">
            <v>40214</v>
          </cell>
        </row>
        <row r="154">
          <cell r="BU154">
            <v>40221</v>
          </cell>
          <cell r="EL154">
            <v>40221</v>
          </cell>
        </row>
        <row r="155">
          <cell r="BU155">
            <v>40228</v>
          </cell>
          <cell r="EL155">
            <v>40228</v>
          </cell>
        </row>
        <row r="156">
          <cell r="BU156">
            <v>40235</v>
          </cell>
          <cell r="EL156">
            <v>40235</v>
          </cell>
        </row>
        <row r="157">
          <cell r="BU157">
            <v>40242</v>
          </cell>
          <cell r="EL157">
            <v>40242</v>
          </cell>
        </row>
        <row r="158">
          <cell r="BU158">
            <v>40249</v>
          </cell>
          <cell r="EL158">
            <v>40249</v>
          </cell>
        </row>
        <row r="159">
          <cell r="BU159">
            <v>40256</v>
          </cell>
          <cell r="EL159">
            <v>40256</v>
          </cell>
        </row>
        <row r="160">
          <cell r="BU160">
            <v>40263</v>
          </cell>
          <cell r="EL160">
            <v>40263</v>
          </cell>
        </row>
        <row r="161">
          <cell r="BU161">
            <v>40269</v>
          </cell>
          <cell r="EL161">
            <v>40269</v>
          </cell>
        </row>
        <row r="162">
          <cell r="BU162">
            <v>40277</v>
          </cell>
          <cell r="EL162">
            <v>40277</v>
          </cell>
        </row>
        <row r="163">
          <cell r="BU163">
            <v>40284</v>
          </cell>
          <cell r="EL163">
            <v>40284</v>
          </cell>
        </row>
        <row r="164">
          <cell r="BU164">
            <v>40291</v>
          </cell>
          <cell r="EL164">
            <v>40291</v>
          </cell>
        </row>
        <row r="165">
          <cell r="BU165">
            <v>40298</v>
          </cell>
          <cell r="EL165">
            <v>40298</v>
          </cell>
        </row>
        <row r="166">
          <cell r="BU166">
            <v>40305</v>
          </cell>
          <cell r="EL166">
            <v>40305</v>
          </cell>
        </row>
        <row r="167">
          <cell r="BU167">
            <v>40312</v>
          </cell>
          <cell r="EL167">
            <v>40312</v>
          </cell>
        </row>
        <row r="168">
          <cell r="BU168">
            <v>40319</v>
          </cell>
          <cell r="EL168">
            <v>40319</v>
          </cell>
        </row>
        <row r="169">
          <cell r="BU169">
            <v>40326</v>
          </cell>
          <cell r="EL169">
            <v>40326</v>
          </cell>
        </row>
        <row r="170">
          <cell r="BU170">
            <v>40333</v>
          </cell>
          <cell r="EL170">
            <v>40333</v>
          </cell>
        </row>
        <row r="171">
          <cell r="BU171">
            <v>40340</v>
          </cell>
          <cell r="EL171">
            <v>40340</v>
          </cell>
        </row>
        <row r="172">
          <cell r="BU172">
            <v>40347</v>
          </cell>
          <cell r="EL172">
            <v>40347</v>
          </cell>
        </row>
        <row r="173">
          <cell r="BU173">
            <v>40353</v>
          </cell>
          <cell r="EL173">
            <v>40353</v>
          </cell>
        </row>
        <row r="174">
          <cell r="BU174">
            <v>40361</v>
          </cell>
          <cell r="EL174">
            <v>40361</v>
          </cell>
        </row>
        <row r="175">
          <cell r="BU175">
            <v>40368</v>
          </cell>
          <cell r="EL175">
            <v>40368</v>
          </cell>
        </row>
        <row r="176">
          <cell r="BU176">
            <v>40375</v>
          </cell>
          <cell r="EL176">
            <v>40375</v>
          </cell>
        </row>
        <row r="177">
          <cell r="BU177">
            <v>40382</v>
          </cell>
          <cell r="EL177">
            <v>40382</v>
          </cell>
        </row>
        <row r="178">
          <cell r="BU178">
            <v>40389</v>
          </cell>
          <cell r="EL178">
            <v>40389</v>
          </cell>
        </row>
        <row r="179">
          <cell r="BU179">
            <v>40396</v>
          </cell>
          <cell r="EL179">
            <v>40396</v>
          </cell>
        </row>
        <row r="180">
          <cell r="BU180">
            <v>40403</v>
          </cell>
          <cell r="EL180">
            <v>40403</v>
          </cell>
        </row>
        <row r="181">
          <cell r="BU181">
            <v>40410</v>
          </cell>
          <cell r="EL181">
            <v>40410</v>
          </cell>
        </row>
        <row r="182">
          <cell r="BU182">
            <v>40417</v>
          </cell>
          <cell r="EL182">
            <v>40417</v>
          </cell>
        </row>
        <row r="183">
          <cell r="BU183">
            <v>40424</v>
          </cell>
          <cell r="EL183">
            <v>40424</v>
          </cell>
        </row>
        <row r="184">
          <cell r="BU184">
            <v>40431</v>
          </cell>
          <cell r="EL184">
            <v>40431</v>
          </cell>
        </row>
        <row r="185">
          <cell r="BU185">
            <v>40438</v>
          </cell>
          <cell r="EL185">
            <v>40438</v>
          </cell>
        </row>
        <row r="186">
          <cell r="BU186">
            <v>40445</v>
          </cell>
          <cell r="EL186">
            <v>40445</v>
          </cell>
        </row>
        <row r="187">
          <cell r="BU187">
            <v>40452</v>
          </cell>
          <cell r="EL187">
            <v>40452</v>
          </cell>
        </row>
        <row r="188">
          <cell r="BU188">
            <v>40459</v>
          </cell>
          <cell r="EL188">
            <v>40459</v>
          </cell>
        </row>
        <row r="189">
          <cell r="BU189">
            <v>40466</v>
          </cell>
          <cell r="EL189">
            <v>40466</v>
          </cell>
        </row>
        <row r="190">
          <cell r="BU190">
            <v>40473</v>
          </cell>
          <cell r="EL190">
            <v>40473</v>
          </cell>
        </row>
        <row r="191">
          <cell r="BU191">
            <v>40480</v>
          </cell>
          <cell r="EL191">
            <v>40480</v>
          </cell>
        </row>
        <row r="192">
          <cell r="BU192">
            <v>40487</v>
          </cell>
          <cell r="EL192">
            <v>40487</v>
          </cell>
        </row>
        <row r="193">
          <cell r="BU193">
            <v>40494</v>
          </cell>
          <cell r="EL193">
            <v>40494</v>
          </cell>
        </row>
        <row r="194">
          <cell r="BU194">
            <v>40501</v>
          </cell>
          <cell r="EL194">
            <v>40501</v>
          </cell>
        </row>
        <row r="195">
          <cell r="BU195">
            <v>40508</v>
          </cell>
          <cell r="EL195">
            <v>40508</v>
          </cell>
        </row>
        <row r="196">
          <cell r="BU196">
            <v>40515</v>
          </cell>
          <cell r="EL196">
            <v>40515</v>
          </cell>
        </row>
        <row r="197">
          <cell r="BU197">
            <v>40522</v>
          </cell>
          <cell r="EL197">
            <v>40522</v>
          </cell>
        </row>
        <row r="198">
          <cell r="BU198">
            <v>40529</v>
          </cell>
          <cell r="EL198">
            <v>40529</v>
          </cell>
        </row>
        <row r="199">
          <cell r="BU199">
            <v>40535</v>
          </cell>
          <cell r="EL199">
            <v>40535</v>
          </cell>
        </row>
        <row r="200">
          <cell r="BU200">
            <v>40542</v>
          </cell>
          <cell r="EL200">
            <v>40542</v>
          </cell>
        </row>
        <row r="201">
          <cell r="BU201">
            <v>40550</v>
          </cell>
          <cell r="EL201">
            <v>40550</v>
          </cell>
        </row>
        <row r="202">
          <cell r="BU202">
            <v>40557</v>
          </cell>
          <cell r="EL202">
            <v>40557</v>
          </cell>
        </row>
        <row r="203">
          <cell r="BU203">
            <v>40564</v>
          </cell>
          <cell r="EL203">
            <v>40564</v>
          </cell>
        </row>
        <row r="204">
          <cell r="BU204">
            <v>40571</v>
          </cell>
          <cell r="EL204">
            <v>40571</v>
          </cell>
        </row>
        <row r="205">
          <cell r="BU205">
            <v>40578</v>
          </cell>
          <cell r="EL205">
            <v>40578</v>
          </cell>
        </row>
        <row r="206">
          <cell r="BU206">
            <v>40585</v>
          </cell>
          <cell r="EL206">
            <v>40585</v>
          </cell>
        </row>
        <row r="207">
          <cell r="BU207">
            <v>40592</v>
          </cell>
          <cell r="EL207">
            <v>40592</v>
          </cell>
        </row>
        <row r="208">
          <cell r="BU208">
            <v>40599</v>
          </cell>
          <cell r="EL208">
            <v>40599</v>
          </cell>
        </row>
        <row r="209">
          <cell r="BU209">
            <v>40606</v>
          </cell>
          <cell r="EL209">
            <v>40606</v>
          </cell>
        </row>
        <row r="210">
          <cell r="BU210">
            <v>40613</v>
          </cell>
          <cell r="EL210">
            <v>40613</v>
          </cell>
        </row>
        <row r="211">
          <cell r="BU211">
            <v>40620</v>
          </cell>
          <cell r="EL211">
            <v>40620</v>
          </cell>
        </row>
        <row r="212">
          <cell r="BU212">
            <v>40627</v>
          </cell>
          <cell r="EL212">
            <v>40627</v>
          </cell>
        </row>
        <row r="213">
          <cell r="BU213">
            <v>40634</v>
          </cell>
          <cell r="EL213">
            <v>40634</v>
          </cell>
        </row>
        <row r="214">
          <cell r="BU214">
            <v>40641</v>
          </cell>
          <cell r="EL214">
            <v>40641</v>
          </cell>
        </row>
        <row r="215">
          <cell r="BU215">
            <v>40648</v>
          </cell>
          <cell r="EL215">
            <v>40648</v>
          </cell>
        </row>
        <row r="216">
          <cell r="BU216">
            <v>40654</v>
          </cell>
          <cell r="EL216">
            <v>40654</v>
          </cell>
        </row>
        <row r="217">
          <cell r="BU217">
            <v>40662</v>
          </cell>
          <cell r="EL217">
            <v>40662</v>
          </cell>
        </row>
        <row r="218">
          <cell r="BU218">
            <v>40669</v>
          </cell>
          <cell r="EL218">
            <v>40669</v>
          </cell>
        </row>
        <row r="219">
          <cell r="BU219">
            <v>40676</v>
          </cell>
          <cell r="EL219">
            <v>40676</v>
          </cell>
        </row>
        <row r="220">
          <cell r="BU220">
            <v>40683</v>
          </cell>
          <cell r="EL220">
            <v>40683</v>
          </cell>
        </row>
        <row r="221">
          <cell r="BU221">
            <v>40690</v>
          </cell>
          <cell r="EL221">
            <v>40690</v>
          </cell>
        </row>
        <row r="222">
          <cell r="BU222">
            <v>40697</v>
          </cell>
          <cell r="EL222">
            <v>40697</v>
          </cell>
        </row>
        <row r="223">
          <cell r="BU223">
            <v>40704</v>
          </cell>
          <cell r="EL223">
            <v>40704</v>
          </cell>
        </row>
        <row r="224">
          <cell r="BU224">
            <v>40711</v>
          </cell>
          <cell r="EL224">
            <v>40711</v>
          </cell>
        </row>
        <row r="225">
          <cell r="BU225">
            <v>40717</v>
          </cell>
          <cell r="EL225">
            <v>40717</v>
          </cell>
        </row>
        <row r="226">
          <cell r="BU226">
            <v>40725</v>
          </cell>
          <cell r="EL226">
            <v>40725</v>
          </cell>
        </row>
        <row r="227">
          <cell r="BU227">
            <v>40732</v>
          </cell>
          <cell r="EL227">
            <v>40732</v>
          </cell>
        </row>
        <row r="228">
          <cell r="BU228">
            <v>40739</v>
          </cell>
          <cell r="EL228">
            <v>40739</v>
          </cell>
        </row>
        <row r="229">
          <cell r="BU229">
            <v>40746</v>
          </cell>
          <cell r="EL229">
            <v>40746</v>
          </cell>
        </row>
        <row r="230">
          <cell r="BU230">
            <v>40753</v>
          </cell>
          <cell r="EL230">
            <v>40753</v>
          </cell>
        </row>
        <row r="231">
          <cell r="BU231">
            <v>40760</v>
          </cell>
          <cell r="EL231">
            <v>40760</v>
          </cell>
        </row>
        <row r="232">
          <cell r="BU232">
            <v>40767</v>
          </cell>
          <cell r="EL232">
            <v>40767</v>
          </cell>
        </row>
        <row r="233">
          <cell r="BU233">
            <v>40774</v>
          </cell>
          <cell r="EL233">
            <v>40774</v>
          </cell>
        </row>
        <row r="234">
          <cell r="BU234">
            <v>40781</v>
          </cell>
          <cell r="EL234">
            <v>40781</v>
          </cell>
        </row>
        <row r="235">
          <cell r="BU235">
            <v>40788</v>
          </cell>
          <cell r="EL235">
            <v>40788</v>
          </cell>
        </row>
        <row r="236">
          <cell r="BU236">
            <v>40795</v>
          </cell>
          <cell r="EL236">
            <v>40795</v>
          </cell>
        </row>
        <row r="237">
          <cell r="BU237">
            <v>40802</v>
          </cell>
          <cell r="EL237">
            <v>40802</v>
          </cell>
        </row>
        <row r="238">
          <cell r="BU238">
            <v>40809</v>
          </cell>
          <cell r="EL238">
            <v>40809</v>
          </cell>
        </row>
        <row r="239">
          <cell r="BU239">
            <v>40816</v>
          </cell>
          <cell r="EL239">
            <v>40816</v>
          </cell>
        </row>
        <row r="240">
          <cell r="BU240">
            <v>40823</v>
          </cell>
          <cell r="EL240">
            <v>40823</v>
          </cell>
        </row>
        <row r="241">
          <cell r="BU241">
            <v>40830</v>
          </cell>
          <cell r="EL241">
            <v>40830</v>
          </cell>
        </row>
        <row r="242">
          <cell r="BU242">
            <v>40837</v>
          </cell>
          <cell r="EL242">
            <v>40837</v>
          </cell>
        </row>
        <row r="243">
          <cell r="BU243">
            <v>40844</v>
          </cell>
          <cell r="EL243">
            <v>40844</v>
          </cell>
        </row>
        <row r="244">
          <cell r="BU244">
            <v>40851</v>
          </cell>
          <cell r="EL244">
            <v>40851</v>
          </cell>
        </row>
        <row r="245">
          <cell r="BU245">
            <v>40858</v>
          </cell>
          <cell r="EL245">
            <v>40858</v>
          </cell>
        </row>
        <row r="246">
          <cell r="BU246">
            <v>40865</v>
          </cell>
          <cell r="EL246">
            <v>40865</v>
          </cell>
        </row>
        <row r="247">
          <cell r="BU247">
            <v>40872</v>
          </cell>
          <cell r="EL247">
            <v>40872</v>
          </cell>
        </row>
        <row r="248">
          <cell r="BU248">
            <v>40879</v>
          </cell>
          <cell r="EL248">
            <v>40879</v>
          </cell>
        </row>
        <row r="249">
          <cell r="BU249">
            <v>40886</v>
          </cell>
          <cell r="EL249">
            <v>40886</v>
          </cell>
        </row>
        <row r="250">
          <cell r="BU250">
            <v>40893</v>
          </cell>
          <cell r="EL250">
            <v>40893</v>
          </cell>
        </row>
        <row r="251">
          <cell r="BU251">
            <v>40900</v>
          </cell>
          <cell r="EL251">
            <v>40900</v>
          </cell>
        </row>
        <row r="252">
          <cell r="BU252">
            <v>40907</v>
          </cell>
          <cell r="EL252">
            <v>40907</v>
          </cell>
        </row>
        <row r="253">
          <cell r="BU253">
            <v>40913</v>
          </cell>
          <cell r="EL253">
            <v>40913</v>
          </cell>
        </row>
        <row r="254">
          <cell r="BU254">
            <v>40921</v>
          </cell>
          <cell r="EL254">
            <v>40921</v>
          </cell>
        </row>
        <row r="255">
          <cell r="BU255">
            <v>40928</v>
          </cell>
          <cell r="EL255">
            <v>40928</v>
          </cell>
        </row>
        <row r="256">
          <cell r="BU256">
            <v>40935</v>
          </cell>
          <cell r="EL256">
            <v>40935</v>
          </cell>
        </row>
        <row r="257">
          <cell r="BU257">
            <v>40942</v>
          </cell>
          <cell r="EL257">
            <v>40942</v>
          </cell>
        </row>
        <row r="258">
          <cell r="BU258">
            <v>40949</v>
          </cell>
          <cell r="EL258">
            <v>40949</v>
          </cell>
        </row>
        <row r="259">
          <cell r="BU259">
            <v>40956</v>
          </cell>
          <cell r="EL259">
            <v>40956</v>
          </cell>
        </row>
        <row r="260">
          <cell r="BU260">
            <v>40963</v>
          </cell>
          <cell r="EL260">
            <v>40963</v>
          </cell>
        </row>
        <row r="261">
          <cell r="BU261">
            <v>40970</v>
          </cell>
          <cell r="EL261">
            <v>40970</v>
          </cell>
        </row>
        <row r="262">
          <cell r="BU262">
            <v>40977</v>
          </cell>
          <cell r="EL262">
            <v>40977</v>
          </cell>
        </row>
        <row r="263">
          <cell r="BU263">
            <v>40984</v>
          </cell>
          <cell r="EL263">
            <v>40984</v>
          </cell>
        </row>
        <row r="264">
          <cell r="BU264">
            <v>40991</v>
          </cell>
          <cell r="EL264">
            <v>40991</v>
          </cell>
        </row>
        <row r="265">
          <cell r="BU265">
            <v>40998</v>
          </cell>
          <cell r="EL265">
            <v>40998</v>
          </cell>
        </row>
        <row r="266">
          <cell r="BU266">
            <v>41004</v>
          </cell>
          <cell r="EL266">
            <v>41004</v>
          </cell>
        </row>
        <row r="267">
          <cell r="BU267">
            <v>41012</v>
          </cell>
          <cell r="EL267">
            <v>41012</v>
          </cell>
        </row>
        <row r="268">
          <cell r="BU268">
            <v>41019</v>
          </cell>
          <cell r="EL268">
            <v>41019</v>
          </cell>
        </row>
        <row r="269">
          <cell r="BU269">
            <v>41026</v>
          </cell>
          <cell r="EL269">
            <v>41026</v>
          </cell>
        </row>
      </sheetData>
      <sheetData sheetId="16"/>
      <sheetData sheetId="17"/>
      <sheetData sheetId="18"/>
      <sheetData sheetId="1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_CIQHiddenCacheSheet"/>
      <sheetName val="Start Page"/>
      <sheetName val="Page One"/>
      <sheetName val="Financials CIQ"/>
      <sheetName val="Consensus"/>
      <sheetName val="Revision"/>
      <sheetName val="VAVP"/>
      <sheetName val="Comp Valuation"/>
      <sheetName val="Group Charts"/>
      <sheetName val="Financials"/>
      <sheetName val="Surprise"/>
      <sheetName val="Share Details"/>
      <sheetName val="FQ Result"/>
      <sheetName val="Segments Data"/>
      <sheetName val="Segment Charts"/>
    </sheetNames>
    <sheetDataSet>
      <sheetData sheetId="0"/>
      <sheetData sheetId="1"/>
      <sheetData sheetId="2"/>
      <sheetData sheetId="3"/>
      <sheetData sheetId="4"/>
      <sheetData sheetId="5"/>
      <sheetData sheetId="6"/>
      <sheetData sheetId="7">
        <row r="61">
          <cell r="BM61">
            <v>0</v>
          </cell>
        </row>
        <row r="62">
          <cell r="BM62">
            <v>0</v>
          </cell>
        </row>
        <row r="63">
          <cell r="BM63">
            <v>0</v>
          </cell>
        </row>
        <row r="64">
          <cell r="BM64">
            <v>0</v>
          </cell>
        </row>
        <row r="65">
          <cell r="BM65">
            <v>0</v>
          </cell>
        </row>
        <row r="66">
          <cell r="BM66">
            <v>0</v>
          </cell>
        </row>
        <row r="67">
          <cell r="BM67">
            <v>0</v>
          </cell>
        </row>
        <row r="68">
          <cell r="BM68">
            <v>0</v>
          </cell>
        </row>
        <row r="69">
          <cell r="BM69">
            <v>0</v>
          </cell>
        </row>
        <row r="70">
          <cell r="BM70">
            <v>0</v>
          </cell>
        </row>
        <row r="71">
          <cell r="BM71">
            <v>0</v>
          </cell>
        </row>
        <row r="72">
          <cell r="BM72">
            <v>0</v>
          </cell>
        </row>
        <row r="73">
          <cell r="BM73">
            <v>0</v>
          </cell>
        </row>
        <row r="74">
          <cell r="BM74">
            <v>0</v>
          </cell>
        </row>
        <row r="75">
          <cell r="BM75">
            <v>0</v>
          </cell>
        </row>
        <row r="76">
          <cell r="BM76">
            <v>0</v>
          </cell>
        </row>
        <row r="77">
          <cell r="BM77">
            <v>0</v>
          </cell>
        </row>
        <row r="78">
          <cell r="BM78">
            <v>0</v>
          </cell>
        </row>
        <row r="79">
          <cell r="BM79">
            <v>0</v>
          </cell>
        </row>
        <row r="80">
          <cell r="BM80">
            <v>0</v>
          </cell>
        </row>
        <row r="81">
          <cell r="BM81">
            <v>0</v>
          </cell>
        </row>
        <row r="82">
          <cell r="BM82">
            <v>0</v>
          </cell>
        </row>
        <row r="83">
          <cell r="BM83">
            <v>0</v>
          </cell>
        </row>
        <row r="84">
          <cell r="BM84">
            <v>0</v>
          </cell>
        </row>
        <row r="85">
          <cell r="BM85">
            <v>0</v>
          </cell>
        </row>
        <row r="86">
          <cell r="BM86">
            <v>0</v>
          </cell>
        </row>
        <row r="87">
          <cell r="BM87">
            <v>0</v>
          </cell>
        </row>
        <row r="88">
          <cell r="BM88">
            <v>0</v>
          </cell>
        </row>
        <row r="89">
          <cell r="BM89">
            <v>0</v>
          </cell>
        </row>
        <row r="90">
          <cell r="BM90">
            <v>0</v>
          </cell>
        </row>
        <row r="91">
          <cell r="BM91">
            <v>0</v>
          </cell>
        </row>
        <row r="92">
          <cell r="BM92">
            <v>0</v>
          </cell>
        </row>
        <row r="93">
          <cell r="BM93">
            <v>0</v>
          </cell>
        </row>
        <row r="94">
          <cell r="BM94">
            <v>0</v>
          </cell>
        </row>
        <row r="95">
          <cell r="BM95">
            <v>0</v>
          </cell>
        </row>
        <row r="96">
          <cell r="BM96">
            <v>0</v>
          </cell>
        </row>
        <row r="97">
          <cell r="BM97">
            <v>0</v>
          </cell>
        </row>
        <row r="98">
          <cell r="BM98">
            <v>0</v>
          </cell>
        </row>
        <row r="99">
          <cell r="BM99">
            <v>0</v>
          </cell>
        </row>
        <row r="100">
          <cell r="BM100">
            <v>0</v>
          </cell>
        </row>
        <row r="101">
          <cell r="BM101">
            <v>0</v>
          </cell>
        </row>
        <row r="102">
          <cell r="BM102">
            <v>0</v>
          </cell>
        </row>
        <row r="103">
          <cell r="BM103">
            <v>0</v>
          </cell>
        </row>
        <row r="104">
          <cell r="BM104">
            <v>0</v>
          </cell>
        </row>
        <row r="105">
          <cell r="BM105">
            <v>0</v>
          </cell>
        </row>
        <row r="106">
          <cell r="BM106">
            <v>0</v>
          </cell>
        </row>
        <row r="107">
          <cell r="BM107">
            <v>0</v>
          </cell>
        </row>
        <row r="108">
          <cell r="BM108">
            <v>0</v>
          </cell>
        </row>
        <row r="109">
          <cell r="BM109">
            <v>0</v>
          </cell>
        </row>
        <row r="110">
          <cell r="BM110">
            <v>0</v>
          </cell>
        </row>
        <row r="111">
          <cell r="BM111">
            <v>0</v>
          </cell>
        </row>
        <row r="112">
          <cell r="BM112">
            <v>0</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Current A&amp;M Theme">
  <a:themeElements>
    <a:clrScheme name="AM Pitchbook template USL">
      <a:dk1>
        <a:srgbClr val="767171"/>
      </a:dk1>
      <a:lt1>
        <a:sysClr val="window" lastClr="FFFFFF"/>
      </a:lt1>
      <a:dk2>
        <a:srgbClr val="969696"/>
      </a:dk2>
      <a:lt2>
        <a:srgbClr val="CF7F00"/>
      </a:lt2>
      <a:accent1>
        <a:srgbClr val="002B49"/>
      </a:accent1>
      <a:accent2>
        <a:srgbClr val="0085CA"/>
      </a:accent2>
      <a:accent3>
        <a:srgbClr val="5E8AB4"/>
      </a:accent3>
      <a:accent4>
        <a:srgbClr val="29702A"/>
      </a:accent4>
      <a:accent5>
        <a:srgbClr val="00677F"/>
      </a:accent5>
      <a:accent6>
        <a:srgbClr val="51195D"/>
      </a:accent6>
      <a:hlink>
        <a:srgbClr val="CF7F00"/>
      </a:hlink>
      <a:folHlink>
        <a:srgbClr val="51195D"/>
      </a:folHlink>
    </a:clrScheme>
    <a:fontScheme name="Arial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solidFill>
        <a:ln>
          <a:noFill/>
        </a:ln>
      </a:spPr>
      <a:bodyPr rot="0" spcFirstLastPara="0" vertOverflow="overflow" horzOverflow="overflow" vert="horz" wrap="square" lIns="54000" tIns="54000" rIns="54000" bIns="54000" numCol="1" spcCol="0" rtlCol="0" fromWordArt="0" anchor="ctr" anchorCtr="0" forceAA="0" compatLnSpc="1">
        <a:prstTxWarp prst="textNoShape">
          <a:avLst/>
        </a:prstTxWarp>
        <a:noAutofit/>
      </a:bodyPr>
      <a:lstStyle>
        <a:defPPr marL="1588" algn="ctr">
          <a:spcAft>
            <a:spcPts val="400"/>
          </a:spcAft>
          <a:defRPr sz="1000" dirty="0">
            <a:solidFill>
              <a:schemeClr val="bg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bodyPr/>
      <a:lstStyle/>
      <a:style>
        <a:lnRef idx="1">
          <a:schemeClr val="accent1"/>
        </a:lnRef>
        <a:fillRef idx="0">
          <a:schemeClr val="accent1"/>
        </a:fillRef>
        <a:effectRef idx="0">
          <a:schemeClr val="accent1"/>
        </a:effectRef>
        <a:fontRef idx="minor">
          <a:schemeClr val="tx1"/>
        </a:fontRef>
      </a:style>
    </a:lnDef>
    <a:txDef>
      <a:spPr>
        <a:noFill/>
      </a:spPr>
      <a:bodyPr wrap="square" rtlCol="0">
        <a:spAutoFit/>
      </a:bodyPr>
      <a:lstStyle>
        <a:defPPr>
          <a:defRPr dirty="0" err="1" smtClean="0"/>
        </a:defPPr>
      </a:lstStyle>
    </a:txDef>
  </a:objectDefaults>
  <a:extraClrSchemeLst/>
  <a:extLst>
    <a:ext uri="{05A4C25C-085E-4340-85A3-A5531E510DB2}">
      <thm15:themeFamily xmlns:thm15="http://schemas.microsoft.com/office/thememl/2012/main" name="AM Report Template_US.potx" id="{95B55700-C53D-4EF8-A666-91B4E8AD094B}" vid="{76416690-18C5-4999-BD57-F5C0A6F130AF}"/>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4.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5.xml"/><Relationship Id="rId1" Type="http://schemas.openxmlformats.org/officeDocument/2006/relationships/printerSettings" Target="../printerSettings/printerSettings17.bin"/><Relationship Id="rId4" Type="http://schemas.openxmlformats.org/officeDocument/2006/relationships/ctrlProp" Target="../ctrlProps/ctrlProp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7.xml"/><Relationship Id="rId1" Type="http://schemas.openxmlformats.org/officeDocument/2006/relationships/printerSettings" Target="../printerSettings/printerSettings31.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Q38"/>
  <sheetViews>
    <sheetView showGridLines="0" zoomScaleNormal="100" workbookViewId="0">
      <selection activeCell="L4" sqref="L4"/>
    </sheetView>
  </sheetViews>
  <sheetFormatPr defaultColWidth="9" defaultRowHeight="15" x14ac:dyDescent="0.25"/>
  <cols>
    <col min="1" max="1" width="26.625" style="774" customWidth="1"/>
    <col min="2" max="2" width="20" style="774" customWidth="1"/>
    <col min="3" max="3" width="13.75" style="774" customWidth="1"/>
    <col min="4" max="4" width="15.625" style="774" bestFit="1" customWidth="1"/>
    <col min="5" max="5" width="9" style="774"/>
    <col min="6" max="6" width="9" style="775"/>
    <col min="7" max="11" width="9" style="774"/>
    <col min="12" max="12" width="10.75" style="774" customWidth="1"/>
    <col min="13" max="13" width="9" style="774"/>
    <col min="14" max="14" width="31.125" style="774" customWidth="1"/>
    <col min="15" max="15" width="34" style="774" customWidth="1"/>
    <col min="16" max="16" width="36.75" style="774" customWidth="1"/>
    <col min="17" max="17" width="34.75" style="774" customWidth="1"/>
    <col min="18" max="16384" width="9" style="774"/>
  </cols>
  <sheetData>
    <row r="1" spans="1:17" x14ac:dyDescent="0.25">
      <c r="A1" s="773" t="s">
        <v>485</v>
      </c>
    </row>
    <row r="2" spans="1:17" ht="15.75" thickBot="1" x14ac:dyDescent="0.3">
      <c r="A2" s="774" t="str">
        <f>Target</f>
        <v>NYSE:WMT</v>
      </c>
      <c r="C2" s="776"/>
      <c r="D2" s="776"/>
      <c r="H2" s="774" t="s">
        <v>1234</v>
      </c>
    </row>
    <row r="3" spans="1:17" ht="15.75" thickBot="1" x14ac:dyDescent="0.3">
      <c r="A3" s="777" t="s">
        <v>364</v>
      </c>
      <c r="B3" s="775" t="str">
        <f>TimePeriodType</f>
        <v>Annual</v>
      </c>
      <c r="C3" s="776"/>
      <c r="D3" s="778" t="s">
        <v>1235</v>
      </c>
      <c r="E3" s="779" t="str">
        <f>RIGHT(E7,4)</f>
        <v>2014</v>
      </c>
      <c r="F3" s="779" t="str">
        <f>RIGHT(F7,4)</f>
        <v>2022</v>
      </c>
      <c r="H3" s="780" t="s">
        <v>58</v>
      </c>
      <c r="I3" s="781" t="s">
        <v>188</v>
      </c>
      <c r="J3" s="782" t="s">
        <v>189</v>
      </c>
      <c r="L3" s="780" t="s">
        <v>362</v>
      </c>
      <c r="N3" s="780" t="s">
        <v>297</v>
      </c>
      <c r="O3" s="780" t="s">
        <v>296</v>
      </c>
      <c r="P3" s="780" t="s">
        <v>331</v>
      </c>
      <c r="Q3" s="780" t="s">
        <v>332</v>
      </c>
    </row>
    <row r="4" spans="1:17" ht="15.75" thickBot="1" x14ac:dyDescent="0.3">
      <c r="A4" s="777" t="s">
        <v>341</v>
      </c>
      <c r="B4" s="783">
        <f>B8</f>
        <v>9</v>
      </c>
      <c r="C4" s="776"/>
      <c r="D4" s="778" t="s">
        <v>1236</v>
      </c>
      <c r="E4" s="779" t="str">
        <f>IF(TimePeriodType="Annual","NA",INT(MID(E7,3,1)))</f>
        <v>NA</v>
      </c>
      <c r="F4" s="779" t="str">
        <f>IF(TimePeriodType="Annual","NA",INT(MID(F7,3,1)))</f>
        <v>NA</v>
      </c>
      <c r="H4" s="784">
        <f t="shared" ref="H4:H14" si="0">IF(H5=1,4,H5-1)</f>
        <v>1</v>
      </c>
      <c r="I4" s="784">
        <f t="shared" ref="I4:I14" si="1">IF(TimePeriodType="Quarter",IF(H4=4,I5-1,I5),I5-1)</f>
        <v>2010</v>
      </c>
      <c r="J4" s="774" t="str">
        <f t="shared" ref="J4:J14" si="2">IF(TimePeriodType="Quarter","CQ"&amp;H4&amp;" "&amp;I4,"CY" &amp; VALUE(RIGHT(J5,4))-1)</f>
        <v>CY2010</v>
      </c>
      <c r="L4" s="774" t="str">
        <f>IF(_xll.ciqfunctions.udf.CIQ($A$2, "IQ_QUICK_COMP", ROW(L5)-ROW($L$4))="NA","",_xll.ciqfunctions.udf.CIQ($A$2, "IQ_QUICK_COMP", ROW(L5)-ROW($L$4)))</f>
        <v>NasdaqGS:COST</v>
      </c>
      <c r="N4" s="774" t="s">
        <v>298</v>
      </c>
      <c r="O4" s="774" t="s">
        <v>271</v>
      </c>
      <c r="P4" s="774" t="s">
        <v>308</v>
      </c>
      <c r="Q4" s="774" t="s">
        <v>271</v>
      </c>
    </row>
    <row r="5" spans="1:17" x14ac:dyDescent="0.25">
      <c r="A5" s="777"/>
      <c r="B5" s="783"/>
      <c r="C5" s="776"/>
      <c r="D5" s="776"/>
      <c r="H5" s="784">
        <f t="shared" si="0"/>
        <v>2</v>
      </c>
      <c r="I5" s="784">
        <f t="shared" si="1"/>
        <v>2011</v>
      </c>
      <c r="J5" s="774" t="str">
        <f t="shared" si="2"/>
        <v>CY2011</v>
      </c>
      <c r="L5" s="774" t="str">
        <f>IF(_xll.ciqfunctions.udf.CIQ($A$2, "IQ_QUICK_COMP", ROW(L6)-ROW($L$4))="NA","",_xll.ciqfunctions.udf.CIQ($A$2, "IQ_QUICK_COMP", ROW(L6)-ROW($L$4)))</f>
        <v>NYSE:TGT</v>
      </c>
      <c r="N5" s="774" t="s">
        <v>299</v>
      </c>
      <c r="O5" s="774" t="s">
        <v>272</v>
      </c>
      <c r="P5" s="774" t="s">
        <v>309</v>
      </c>
      <c r="Q5" s="774" t="s">
        <v>333</v>
      </c>
    </row>
    <row r="6" spans="1:17" x14ac:dyDescent="0.25">
      <c r="A6" s="780" t="s">
        <v>350</v>
      </c>
      <c r="H6" s="784">
        <f t="shared" si="0"/>
        <v>3</v>
      </c>
      <c r="I6" s="784">
        <f t="shared" si="1"/>
        <v>2012</v>
      </c>
      <c r="J6" s="774" t="str">
        <f t="shared" si="2"/>
        <v>CY2012</v>
      </c>
      <c r="L6" s="774" t="str">
        <f>IF(_xll.ciqfunctions.udf.CIQ($A$2, "IQ_QUICK_COMP", ROW(L7)-ROW($L$4))="NA","",_xll.ciqfunctions.udf.CIQ($A$2, "IQ_QUICK_COMP", ROW(L7)-ROW($L$4)))</f>
        <v>NYSE:BJ</v>
      </c>
      <c r="N6" s="774" t="s">
        <v>300</v>
      </c>
      <c r="O6" s="774" t="s">
        <v>273</v>
      </c>
      <c r="P6" s="774" t="s">
        <v>310</v>
      </c>
      <c r="Q6" s="774" t="s">
        <v>334</v>
      </c>
    </row>
    <row r="7" spans="1:17" x14ac:dyDescent="0.25">
      <c r="C7" s="785"/>
      <c r="E7" s="774" t="str">
        <f>CompanyStartPeriod</f>
        <v>FY2014</v>
      </c>
      <c r="F7" s="774" t="str">
        <f>CompanyEndPeriod</f>
        <v>FY2022</v>
      </c>
      <c r="H7" s="784">
        <f t="shared" si="0"/>
        <v>4</v>
      </c>
      <c r="I7" s="784">
        <f t="shared" si="1"/>
        <v>2013</v>
      </c>
      <c r="J7" s="774" t="str">
        <f t="shared" si="2"/>
        <v>CY2013</v>
      </c>
      <c r="L7" s="774" t="str">
        <f>IF(_xll.ciqfunctions.udf.CIQ($A$2, "IQ_QUICK_COMP", ROW(L8)-ROW($L$4))="NA","",_xll.ciqfunctions.udf.CIQ($A$2, "IQ_QUICK_COMP", ROW(L8)-ROW($L$4)))</f>
        <v>NYSE:KR</v>
      </c>
      <c r="N7" s="774" t="s">
        <v>301</v>
      </c>
      <c r="O7" s="774" t="s">
        <v>274</v>
      </c>
      <c r="P7" s="774" t="s">
        <v>311</v>
      </c>
      <c r="Q7" s="774" t="s">
        <v>274</v>
      </c>
    </row>
    <row r="8" spans="1:17" x14ac:dyDescent="0.25">
      <c r="A8" s="777" t="s">
        <v>341</v>
      </c>
      <c r="B8" s="774">
        <f>CompanyNumberOfPeriods</f>
        <v>9</v>
      </c>
      <c r="H8" s="784">
        <f t="shared" si="0"/>
        <v>1</v>
      </c>
      <c r="I8" s="784">
        <f t="shared" si="1"/>
        <v>2014</v>
      </c>
      <c r="J8" s="774" t="str">
        <f t="shared" si="2"/>
        <v>CY2014</v>
      </c>
      <c r="L8" s="774" t="str">
        <f>IF(_xll.ciqfunctions.udf.CIQ($A$2, "IQ_QUICK_COMP", ROW(L9)-ROW($L$4))="NA","",_xll.ciqfunctions.udf.CIQ($A$2, "IQ_QUICK_COMP", ROW(L9)-ROW($L$4)))</f>
        <v>NYSE:BBY</v>
      </c>
      <c r="N8" s="774" t="s">
        <v>302</v>
      </c>
      <c r="O8" s="774" t="s">
        <v>275</v>
      </c>
      <c r="P8" s="774" t="s">
        <v>312</v>
      </c>
      <c r="Q8" s="774" t="s">
        <v>335</v>
      </c>
    </row>
    <row r="9" spans="1:17" x14ac:dyDescent="0.25">
      <c r="A9" s="777"/>
      <c r="H9" s="784">
        <f t="shared" si="0"/>
        <v>2</v>
      </c>
      <c r="I9" s="784">
        <f t="shared" si="1"/>
        <v>2015</v>
      </c>
      <c r="J9" s="774" t="str">
        <f t="shared" si="2"/>
        <v>CY2015</v>
      </c>
      <c r="L9" s="774" t="str">
        <f>IF(_xll.ciqfunctions.udf.CIQ($A$2, "IQ_QUICK_COMP", ROW(L10)-ROW($L$4))="NA","",_xll.ciqfunctions.udf.CIQ($A$2, "IQ_QUICK_COMP", ROW(L10)-ROW($L$4)))</f>
        <v>NasdaqGS:PSMT</v>
      </c>
      <c r="N9" s="774" t="s">
        <v>303</v>
      </c>
      <c r="O9" s="774" t="s">
        <v>276</v>
      </c>
      <c r="P9" s="774" t="s">
        <v>313</v>
      </c>
      <c r="Q9" s="774" t="s">
        <v>276</v>
      </c>
    </row>
    <row r="10" spans="1:17" x14ac:dyDescent="0.25">
      <c r="A10" s="774" t="s">
        <v>343</v>
      </c>
      <c r="B10" s="785">
        <f>EDATE(B15,-(B8-1)*3)</f>
        <v>43861</v>
      </c>
      <c r="H10" s="784">
        <f t="shared" si="0"/>
        <v>3</v>
      </c>
      <c r="I10" s="784">
        <f t="shared" si="1"/>
        <v>2016</v>
      </c>
      <c r="J10" s="774" t="str">
        <f t="shared" si="2"/>
        <v>CY2016</v>
      </c>
      <c r="L10" s="774" t="str">
        <f>IF(_xll.ciqfunctions.udf.CIQ($A$2, "IQ_QUICK_COMP", ROW(L11)-ROW($L$4))="NA","",_xll.ciqfunctions.udf.CIQ($A$2, "IQ_QUICK_COMP", ROW(L11)-ROW($L$4)))</f>
        <v>ENXTPA:CA</v>
      </c>
      <c r="N10" s="774" t="s">
        <v>304</v>
      </c>
      <c r="O10" s="774" t="s">
        <v>277</v>
      </c>
      <c r="P10" s="774" t="s">
        <v>314</v>
      </c>
      <c r="Q10" s="774" t="s">
        <v>336</v>
      </c>
    </row>
    <row r="11" spans="1:17" x14ac:dyDescent="0.25">
      <c r="A11" s="774" t="s">
        <v>347</v>
      </c>
      <c r="B11" s="774">
        <f>MONTH(B10)</f>
        <v>1</v>
      </c>
      <c r="H11" s="784">
        <f t="shared" si="0"/>
        <v>4</v>
      </c>
      <c r="I11" s="784">
        <f t="shared" si="1"/>
        <v>2017</v>
      </c>
      <c r="J11" s="774" t="str">
        <f t="shared" si="2"/>
        <v>CY2017</v>
      </c>
      <c r="L11" s="774" t="str">
        <f>IF(_xll.ciqfunctions.udf.CIQ($A$2, "IQ_QUICK_COMP", ROW(L12)-ROW($L$4))="NA","",_xll.ciqfunctions.udf.CIQ($A$2, "IQ_QUICK_COMP", ROW(L12)-ROW($L$4)))</f>
        <v>LSE:OKEY</v>
      </c>
      <c r="N11" s="774" t="s">
        <v>305</v>
      </c>
      <c r="O11" s="774" t="s">
        <v>278</v>
      </c>
      <c r="P11" s="774" t="s">
        <v>315</v>
      </c>
      <c r="Q11" s="774" t="s">
        <v>337</v>
      </c>
    </row>
    <row r="12" spans="1:17" x14ac:dyDescent="0.25">
      <c r="A12" s="774" t="s">
        <v>348</v>
      </c>
      <c r="B12" s="774">
        <f>IF(OR(B11=2,B11=3,B11=4),1,IF(OR(B11=5,B11=6,B11=7),2,IF(OR(B11=8,B11=9,B11=10),3,4)))</f>
        <v>4</v>
      </c>
      <c r="D12" s="780"/>
      <c r="H12" s="784">
        <f t="shared" si="0"/>
        <v>1</v>
      </c>
      <c r="I12" s="784">
        <f t="shared" si="1"/>
        <v>2018</v>
      </c>
      <c r="J12" s="774" t="str">
        <f t="shared" si="2"/>
        <v>CY2018</v>
      </c>
      <c r="L12" s="774" t="str">
        <f>IF(_xll.ciqfunctions.udf.CIQ($A$2, "IQ_QUICK_COMP", ROW(L13)-ROW($L$4))="NA","",_xll.ciqfunctions.udf.CIQ($A$2, "IQ_QUICK_COMP", ROW(L13)-ROW($L$4)))</f>
        <v>BMV:SORIANA B</v>
      </c>
      <c r="N12" s="774" t="s">
        <v>306</v>
      </c>
      <c r="O12" s="774" t="s">
        <v>279</v>
      </c>
      <c r="P12" s="774" t="s">
        <v>316</v>
      </c>
      <c r="Q12" s="774" t="s">
        <v>338</v>
      </c>
    </row>
    <row r="13" spans="1:17" x14ac:dyDescent="0.25">
      <c r="A13" s="774" t="s">
        <v>349</v>
      </c>
      <c r="B13" s="774">
        <f>IF(B11=1,YEAR(B10)-1,YEAR(B10))</f>
        <v>2019</v>
      </c>
      <c r="F13" s="774"/>
      <c r="H13" s="784">
        <f t="shared" si="0"/>
        <v>2</v>
      </c>
      <c r="I13" s="784">
        <f t="shared" si="1"/>
        <v>2019</v>
      </c>
      <c r="J13" s="774" t="str">
        <f t="shared" si="2"/>
        <v>CY2019</v>
      </c>
      <c r="L13" s="774" t="str">
        <f>IF(_xll.ciqfunctions.udf.CIQ($A$2, "IQ_QUICK_COMP", ROW(L14)-ROW($L$4))="NA","",_xll.ciqfunctions.udf.CIQ($A$2, "IQ_QUICK_COMP", ROW(L14)-ROW($L$4)))</f>
        <v>IDX:MPPA</v>
      </c>
      <c r="N13" s="774" t="s">
        <v>307</v>
      </c>
      <c r="O13" s="774" t="s">
        <v>280</v>
      </c>
      <c r="P13" s="774" t="s">
        <v>317</v>
      </c>
      <c r="Q13" s="774" t="s">
        <v>281</v>
      </c>
    </row>
    <row r="14" spans="1:17" x14ac:dyDescent="0.25">
      <c r="H14" s="784">
        <f t="shared" si="0"/>
        <v>3</v>
      </c>
      <c r="I14" s="784">
        <f t="shared" si="1"/>
        <v>2020</v>
      </c>
      <c r="J14" s="774" t="str">
        <f t="shared" si="2"/>
        <v>CY2020</v>
      </c>
      <c r="O14" s="774" t="s">
        <v>281</v>
      </c>
      <c r="P14" s="774" t="s">
        <v>318</v>
      </c>
      <c r="Q14" s="774" t="s">
        <v>339</v>
      </c>
    </row>
    <row r="15" spans="1:17" x14ac:dyDescent="0.25">
      <c r="A15" s="774" t="s">
        <v>342</v>
      </c>
      <c r="B15" s="785">
        <f>_xll.ciqfunctions.udf.CIQ(Target,"IQ_PERIODDATE_BS",IQ_FQ,Input!C8)</f>
        <v>44592</v>
      </c>
      <c r="F15" s="774"/>
      <c r="H15" s="784">
        <f>B17</f>
        <v>4</v>
      </c>
      <c r="I15" s="784">
        <f>B18</f>
        <v>2021</v>
      </c>
      <c r="J15" s="774" t="str">
        <f>IF(TimePeriodType="Quarter","CQ"&amp;H15&amp;" "&amp;I15,"CY" &amp; B29)</f>
        <v>CY2021</v>
      </c>
      <c r="O15" s="774" t="s">
        <v>282</v>
      </c>
      <c r="P15" s="774" t="s">
        <v>319</v>
      </c>
      <c r="Q15" s="774" t="s">
        <v>283</v>
      </c>
    </row>
    <row r="16" spans="1:17" x14ac:dyDescent="0.25">
      <c r="A16" s="774" t="s">
        <v>344</v>
      </c>
      <c r="B16" s="774">
        <f>MONTH(B15)</f>
        <v>1</v>
      </c>
      <c r="D16" s="785"/>
      <c r="O16" s="774" t="s">
        <v>283</v>
      </c>
      <c r="P16" s="774" t="s">
        <v>299</v>
      </c>
      <c r="Q16" s="774" t="s">
        <v>284</v>
      </c>
    </row>
    <row r="17" spans="1:17" x14ac:dyDescent="0.25">
      <c r="A17" s="774" t="s">
        <v>345</v>
      </c>
      <c r="B17" s="774">
        <f>IF(OR(B16=2,B16=3,B16=4),1,IF(OR(B16=5,B16=6,B16=7),2,IF(OR(B16=8,B16=9,B16=10),3,4)))</f>
        <v>4</v>
      </c>
      <c r="C17" s="785"/>
      <c r="O17" s="774" t="s">
        <v>284</v>
      </c>
      <c r="P17" s="774" t="s">
        <v>320</v>
      </c>
      <c r="Q17" s="774" t="s">
        <v>340</v>
      </c>
    </row>
    <row r="18" spans="1:17" x14ac:dyDescent="0.25">
      <c r="A18" s="774" t="s">
        <v>346</v>
      </c>
      <c r="B18" s="774">
        <f>IF(B16=1,YEAR(B15)-1,YEAR(B15))</f>
        <v>2021</v>
      </c>
      <c r="C18" s="785"/>
      <c r="O18" s="774" t="s">
        <v>285</v>
      </c>
      <c r="P18" s="774" t="s">
        <v>321</v>
      </c>
      <c r="Q18" s="774" t="s">
        <v>289</v>
      </c>
    </row>
    <row r="19" spans="1:17" x14ac:dyDescent="0.25">
      <c r="O19" s="774" t="s">
        <v>286</v>
      </c>
      <c r="P19" s="774" t="s">
        <v>322</v>
      </c>
      <c r="Q19" s="774" t="s">
        <v>290</v>
      </c>
    </row>
    <row r="20" spans="1:17" x14ac:dyDescent="0.25">
      <c r="O20" s="774" t="s">
        <v>287</v>
      </c>
      <c r="P20" s="774" t="s">
        <v>323</v>
      </c>
      <c r="Q20" s="774" t="s">
        <v>291</v>
      </c>
    </row>
    <row r="21" spans="1:17" x14ac:dyDescent="0.25">
      <c r="A21" s="774" t="s">
        <v>343</v>
      </c>
      <c r="B21" s="775" t="str">
        <f>"FQ"&amp;B12&amp;" "&amp;B13</f>
        <v>FQ4 2019</v>
      </c>
      <c r="O21" s="774" t="s">
        <v>288</v>
      </c>
      <c r="P21" s="774" t="s">
        <v>324</v>
      </c>
    </row>
    <row r="22" spans="1:17" x14ac:dyDescent="0.25">
      <c r="A22" s="774" t="s">
        <v>342</v>
      </c>
      <c r="B22" s="775" t="str">
        <f>"FQ"&amp;B17&amp;" "&amp;B18</f>
        <v>FQ4 2021</v>
      </c>
      <c r="O22" s="774" t="s">
        <v>289</v>
      </c>
      <c r="P22" s="774" t="s">
        <v>325</v>
      </c>
    </row>
    <row r="23" spans="1:17" x14ac:dyDescent="0.25">
      <c r="B23" s="775" t="str">
        <f>B21&amp;" - "&amp;B22</f>
        <v>FQ4 2019 - FQ4 2021</v>
      </c>
      <c r="H23" s="774" t="s">
        <v>1233</v>
      </c>
      <c r="O23" s="774" t="s">
        <v>290</v>
      </c>
      <c r="P23" s="774" t="s">
        <v>326</v>
      </c>
    </row>
    <row r="24" spans="1:17" x14ac:dyDescent="0.25">
      <c r="A24" s="780" t="s">
        <v>351</v>
      </c>
      <c r="H24" s="780" t="s">
        <v>58</v>
      </c>
      <c r="I24" s="781" t="s">
        <v>188</v>
      </c>
      <c r="J24" s="782" t="s">
        <v>189</v>
      </c>
      <c r="O24" s="774" t="s">
        <v>291</v>
      </c>
      <c r="P24" s="774" t="s">
        <v>327</v>
      </c>
    </row>
    <row r="25" spans="1:17" x14ac:dyDescent="0.25">
      <c r="H25" s="784">
        <f>IF(H26=1,4,H26-1)</f>
        <v>1</v>
      </c>
      <c r="I25" s="784">
        <f t="shared" ref="I25:I35" si="3">IF(TimePeriodType="Quarter",IF(H25=4,I26-1,I26),I26-1)</f>
        <v>2011</v>
      </c>
      <c r="J25" s="774" t="str">
        <f t="shared" ref="J25:J35" si="4">IF(TimePeriodType="Quarter","FQ"&amp;H25&amp;" "&amp;I25,"FY" &amp; VALUE(RIGHT(J26,4))-1)</f>
        <v>FY2011</v>
      </c>
      <c r="O25" s="774" t="s">
        <v>292</v>
      </c>
      <c r="P25" s="774" t="s">
        <v>328</v>
      </c>
    </row>
    <row r="26" spans="1:17" x14ac:dyDescent="0.25">
      <c r="A26" s="777" t="s">
        <v>341</v>
      </c>
      <c r="B26" s="774">
        <f>NumberOfPeriods</f>
        <v>1</v>
      </c>
      <c r="H26" s="784">
        <f>IF(H27=1,4,H27-1)</f>
        <v>2</v>
      </c>
      <c r="I26" s="784">
        <f t="shared" si="3"/>
        <v>2012</v>
      </c>
      <c r="J26" s="774" t="str">
        <f t="shared" si="4"/>
        <v>FY2012</v>
      </c>
      <c r="O26" s="774" t="s">
        <v>293</v>
      </c>
      <c r="P26" s="774" t="s">
        <v>329</v>
      </c>
    </row>
    <row r="27" spans="1:17" x14ac:dyDescent="0.25">
      <c r="H27" s="784">
        <f>IF(H28=1,4,H28-1)</f>
        <v>3</v>
      </c>
      <c r="I27" s="784">
        <f t="shared" si="3"/>
        <v>2013</v>
      </c>
      <c r="J27" s="774" t="str">
        <f t="shared" si="4"/>
        <v>FY2013</v>
      </c>
      <c r="O27" s="774" t="s">
        <v>294</v>
      </c>
      <c r="P27" s="774" t="s">
        <v>330</v>
      </c>
    </row>
    <row r="28" spans="1:17" x14ac:dyDescent="0.25">
      <c r="A28" s="774" t="s">
        <v>343</v>
      </c>
      <c r="B28" s="774">
        <f>B29-B26+1</f>
        <v>2021</v>
      </c>
      <c r="H28" s="784">
        <f t="shared" ref="H28:H35" si="5">IF(H29=1,4,H29-1)</f>
        <v>4</v>
      </c>
      <c r="I28" s="784">
        <f t="shared" si="3"/>
        <v>2014</v>
      </c>
      <c r="J28" s="774" t="str">
        <f t="shared" si="4"/>
        <v>FY2014</v>
      </c>
      <c r="O28" s="774" t="s">
        <v>295</v>
      </c>
    </row>
    <row r="29" spans="1:17" x14ac:dyDescent="0.25">
      <c r="A29" s="774" t="s">
        <v>342</v>
      </c>
      <c r="B29" s="774">
        <f>IF(B17=4,B18,B18-1)</f>
        <v>2021</v>
      </c>
      <c r="H29" s="784">
        <f t="shared" si="5"/>
        <v>1</v>
      </c>
      <c r="I29" s="784">
        <f t="shared" si="3"/>
        <v>2015</v>
      </c>
      <c r="J29" s="774" t="str">
        <f t="shared" si="4"/>
        <v>FY2015</v>
      </c>
    </row>
    <row r="30" spans="1:17" x14ac:dyDescent="0.25">
      <c r="B30" s="775" t="str">
        <f>B28&amp;" - "&amp;B29</f>
        <v>2021 - 2021</v>
      </c>
      <c r="H30" s="784">
        <f t="shared" si="5"/>
        <v>2</v>
      </c>
      <c r="I30" s="784">
        <f t="shared" si="3"/>
        <v>2016</v>
      </c>
      <c r="J30" s="774" t="str">
        <f t="shared" si="4"/>
        <v>FY2016</v>
      </c>
    </row>
    <row r="31" spans="1:17" x14ac:dyDescent="0.25">
      <c r="H31" s="784">
        <f t="shared" si="5"/>
        <v>3</v>
      </c>
      <c r="I31" s="784">
        <f t="shared" si="3"/>
        <v>2017</v>
      </c>
      <c r="J31" s="774" t="str">
        <f t="shared" si="4"/>
        <v>FY2017</v>
      </c>
    </row>
    <row r="32" spans="1:17" x14ac:dyDescent="0.25">
      <c r="A32" s="774" t="s">
        <v>270</v>
      </c>
      <c r="B32" s="775" t="str">
        <f>VLOOKUP(Input!$T$5,Input!$T$6:$U$8,2,0)</f>
        <v>Financials</v>
      </c>
      <c r="H32" s="784">
        <f t="shared" si="5"/>
        <v>4</v>
      </c>
      <c r="I32" s="784">
        <f t="shared" si="3"/>
        <v>2018</v>
      </c>
      <c r="J32" s="774" t="str">
        <f t="shared" si="4"/>
        <v>FY2018</v>
      </c>
    </row>
    <row r="33" spans="1:10" x14ac:dyDescent="0.25">
      <c r="H33" s="784">
        <f t="shared" si="5"/>
        <v>1</v>
      </c>
      <c r="I33" s="784">
        <f t="shared" si="3"/>
        <v>2019</v>
      </c>
      <c r="J33" s="774" t="str">
        <f t="shared" si="4"/>
        <v>FY2019</v>
      </c>
    </row>
    <row r="34" spans="1:10" x14ac:dyDescent="0.25">
      <c r="H34" s="784">
        <f t="shared" si="5"/>
        <v>2</v>
      </c>
      <c r="I34" s="784">
        <f t="shared" si="3"/>
        <v>2020</v>
      </c>
      <c r="J34" s="774" t="str">
        <f t="shared" si="4"/>
        <v>FY2020</v>
      </c>
    </row>
    <row r="35" spans="1:10" x14ac:dyDescent="0.25">
      <c r="A35" s="774" t="s">
        <v>1231</v>
      </c>
      <c r="B35" s="785">
        <f>_xll.ciqfunctions.udf.CIQ(Target,"IQ_PERIODDATE_BS",IQ_FY,Input!C8)</f>
        <v>44592</v>
      </c>
      <c r="H35" s="784">
        <f t="shared" si="5"/>
        <v>3</v>
      </c>
      <c r="I35" s="784">
        <f t="shared" si="3"/>
        <v>2021</v>
      </c>
      <c r="J35" s="774" t="str">
        <f t="shared" si="4"/>
        <v>FY2021</v>
      </c>
    </row>
    <row r="36" spans="1:10" x14ac:dyDescent="0.25">
      <c r="A36" s="774" t="s">
        <v>1237</v>
      </c>
      <c r="B36" s="1069">
        <f>MONTH(B35)</f>
        <v>1</v>
      </c>
      <c r="D36" s="785"/>
      <c r="H36" s="784">
        <f>IF(B35=B15,4,B37)</f>
        <v>4</v>
      </c>
      <c r="I36" s="784">
        <f>IF(AND(B15&gt;B35,TimePeriodType="Quarter"), B38+1, B38)</f>
        <v>2022</v>
      </c>
      <c r="J36" s="774" t="str">
        <f>IF(TimePeriodType="Quarter","FQ"&amp;H36&amp;" "&amp;I36,"FY" &amp; I36)</f>
        <v>FY2022</v>
      </c>
    </row>
    <row r="37" spans="1:10" x14ac:dyDescent="0.25">
      <c r="A37" s="774" t="s">
        <v>1238</v>
      </c>
      <c r="B37" s="1069">
        <f>IF(B38=B18,(B16-B36)/3, (12-B36)/3 + B16/3)</f>
        <v>4</v>
      </c>
    </row>
    <row r="38" spans="1:10" x14ac:dyDescent="0.25">
      <c r="A38" s="774" t="s">
        <v>1232</v>
      </c>
      <c r="B38" s="774">
        <f>YEAR(B35)</f>
        <v>2022</v>
      </c>
    </row>
  </sheetData>
  <dataConsolidate/>
  <dataValidations disablePrompts="1" count="2">
    <dataValidation showInputMessage="1" showErrorMessage="1" errorTitle="Invalid Time Span" error="The total number of time periods (20 Quarters or 20 Years) can not be exceeded." sqref="E3" xr:uid="{00000000-0002-0000-0000-000000000000}"/>
    <dataValidation showErrorMessage="1" errorTitle="Invalide Time Span" error="Time span must be less than 5 years and greater than 1 year." sqref="F3" xr:uid="{00000000-0002-0000-0000-000001000000}"/>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Q328"/>
  <sheetViews>
    <sheetView showGridLines="0" workbookViewId="0">
      <selection activeCell="G22" sqref="G22"/>
    </sheetView>
  </sheetViews>
  <sheetFormatPr defaultColWidth="9" defaultRowHeight="15" x14ac:dyDescent="0.25"/>
  <cols>
    <col min="1" max="1" width="2.625" style="787" customWidth="1"/>
    <col min="2" max="4" width="11.75" style="787" customWidth="1"/>
    <col min="5" max="5" width="26.75" style="787" customWidth="1"/>
    <col min="6" max="6" width="13.75" style="787" customWidth="1"/>
    <col min="7" max="7" width="51.25" style="787" customWidth="1"/>
    <col min="8" max="11" width="8.75" style="788" customWidth="1"/>
    <col min="12" max="12" width="15" style="788" bestFit="1" customWidth="1"/>
    <col min="13" max="13" width="22.75" style="774" customWidth="1"/>
    <col min="14" max="14" width="17.125" style="787" bestFit="1" customWidth="1"/>
    <col min="15" max="15" width="9" style="787"/>
    <col min="16" max="16" width="13.25" style="787" bestFit="1" customWidth="1"/>
    <col min="17" max="16384" width="9" style="787"/>
  </cols>
  <sheetData>
    <row r="1" spans="2:17" x14ac:dyDescent="0.25">
      <c r="B1" s="773" t="s">
        <v>435</v>
      </c>
      <c r="C1" s="786"/>
      <c r="D1" s="786"/>
      <c r="E1" s="829">
        <f>MAX(Professionals!$N$19:$N$68)</f>
        <v>4</v>
      </c>
      <c r="F1" s="787">
        <f>'Export (N)'!F1</f>
        <v>1</v>
      </c>
      <c r="G1" s="786" t="s">
        <v>939</v>
      </c>
      <c r="H1" s="788" t="b">
        <f>IF(F1=1,TRUE,FALSE)</f>
        <v>1</v>
      </c>
      <c r="I1" s="789" t="s">
        <v>937</v>
      </c>
      <c r="K1" s="787" t="b">
        <v>1</v>
      </c>
      <c r="L1" s="790" t="s">
        <v>1109</v>
      </c>
      <c r="M1" s="774">
        <v>10.45</v>
      </c>
      <c r="N1" s="787" t="s">
        <v>1212</v>
      </c>
      <c r="O1" s="1032">
        <f>IF(TimePeriodType="Annual",_xll.ciqfunctions.udf.CIQ(Target,"IQ_PERIODDATE_BS",IQ_FY,Input!C8),_xll.ciqfunctions.udf.CIQ(Target,"IQ_PERIODDATE_BS",IQ_FQ,Input!C8))</f>
        <v>44592</v>
      </c>
      <c r="P1" s="787" t="s">
        <v>1214</v>
      </c>
      <c r="Q1" s="1032">
        <f>_xll.ciqfunctions.udf.CIQ(Target,"IQ_PERIODDATE_BS",IQ_FY,Input!C8)</f>
        <v>44592</v>
      </c>
    </row>
    <row r="2" spans="2:17" x14ac:dyDescent="0.25">
      <c r="B2" s="786"/>
      <c r="C2" s="786"/>
      <c r="D2" s="786"/>
      <c r="E2" s="786">
        <f>MAX(Professionals!$N$84:$N$133)</f>
        <v>8</v>
      </c>
      <c r="G2" s="786" t="s">
        <v>940</v>
      </c>
      <c r="H2" s="788" t="b">
        <f>IF(F1=2,TRUE,FALSE)</f>
        <v>0</v>
      </c>
      <c r="I2" s="789" t="s">
        <v>938</v>
      </c>
      <c r="K2" s="788" t="b">
        <f>H2</f>
        <v>0</v>
      </c>
      <c r="L2" s="790" t="s">
        <v>1110</v>
      </c>
      <c r="M2" s="774">
        <v>6.375</v>
      </c>
      <c r="N2" s="787" t="s">
        <v>1213</v>
      </c>
      <c r="O2" s="1032">
        <f>IF(TimePeriodType="Annual",_xll.ciqfunctions.udf.CIQ(Target,"IQ_PERIODDATE_BS",IQ_CY,Input!C8),_xll.ciqfunctions.udf.CIQ(Target,"IQ_PERIODDATE_BS",IQ_CQ,Input!C8))</f>
        <v>44592</v>
      </c>
    </row>
    <row r="3" spans="2:17" ht="12.75" x14ac:dyDescent="0.2">
      <c r="B3" s="791">
        <v>2</v>
      </c>
      <c r="C3" s="791">
        <f>B3+1</f>
        <v>3</v>
      </c>
      <c r="D3" s="791">
        <f>C3+1</f>
        <v>4</v>
      </c>
      <c r="E3" s="791">
        <f>D3+1</f>
        <v>5</v>
      </c>
      <c r="F3" s="791">
        <f t="shared" ref="F3:L3" si="0">E3+1</f>
        <v>6</v>
      </c>
      <c r="G3" s="791">
        <f t="shared" si="0"/>
        <v>7</v>
      </c>
      <c r="H3" s="791">
        <f t="shared" si="0"/>
        <v>8</v>
      </c>
      <c r="I3" s="791">
        <f t="shared" si="0"/>
        <v>9</v>
      </c>
      <c r="J3" s="791">
        <f t="shared" si="0"/>
        <v>10</v>
      </c>
      <c r="K3" s="791">
        <f t="shared" si="0"/>
        <v>11</v>
      </c>
      <c r="L3" s="791">
        <f t="shared" si="0"/>
        <v>12</v>
      </c>
      <c r="M3" s="791">
        <f>COLUMN()</f>
        <v>13</v>
      </c>
      <c r="N3" s="791">
        <f>COLUMN()</f>
        <v>14</v>
      </c>
    </row>
    <row r="4" spans="2:17" ht="15" customHeight="1" x14ac:dyDescent="0.2">
      <c r="B4" s="833" t="s">
        <v>436</v>
      </c>
      <c r="C4" s="833" t="s">
        <v>437</v>
      </c>
      <c r="D4" s="834" t="s">
        <v>438</v>
      </c>
      <c r="E4" s="833" t="s">
        <v>439</v>
      </c>
      <c r="F4" s="833" t="s">
        <v>440</v>
      </c>
      <c r="G4" s="833" t="s">
        <v>60</v>
      </c>
      <c r="H4" s="835" t="s">
        <v>441</v>
      </c>
      <c r="I4" s="835" t="s">
        <v>442</v>
      </c>
      <c r="J4" s="835" t="s">
        <v>443</v>
      </c>
      <c r="K4" s="835" t="s">
        <v>444</v>
      </c>
      <c r="L4" s="835" t="s">
        <v>1204</v>
      </c>
      <c r="M4" s="792" t="s">
        <v>352</v>
      </c>
      <c r="N4" s="793" t="s">
        <v>477</v>
      </c>
    </row>
    <row r="5" spans="2:17" x14ac:dyDescent="0.25">
      <c r="B5" s="786"/>
      <c r="C5" s="786"/>
      <c r="D5" s="794"/>
      <c r="E5" s="786"/>
      <c r="F5" s="786"/>
      <c r="G5" s="786"/>
      <c r="H5" s="795"/>
      <c r="I5" s="795"/>
      <c r="J5" s="795"/>
      <c r="K5" s="795"/>
      <c r="L5" s="790"/>
    </row>
    <row r="6" spans="2:17" ht="12.75" x14ac:dyDescent="0.2">
      <c r="B6" s="836" t="s">
        <v>445</v>
      </c>
      <c r="C6" s="836" t="b">
        <v>1</v>
      </c>
      <c r="D6" s="837" t="s">
        <v>446</v>
      </c>
      <c r="E6" s="836" t="s">
        <v>445</v>
      </c>
      <c r="F6" s="836"/>
      <c r="G6" s="836"/>
      <c r="H6" s="838"/>
      <c r="I6" s="838"/>
      <c r="J6" s="838"/>
      <c r="K6" s="838"/>
      <c r="L6" s="790"/>
      <c r="M6" s="796" t="s">
        <v>456</v>
      </c>
      <c r="N6" s="786" t="s">
        <v>475</v>
      </c>
    </row>
    <row r="7" spans="2:17" ht="12.75" x14ac:dyDescent="0.2">
      <c r="B7" s="836" t="str">
        <f>"Slide "&amp;RIGHT(B6,LEN(B6)-FIND(" ",B6))+1</f>
        <v>Slide 2</v>
      </c>
      <c r="C7" s="836" t="b">
        <v>1</v>
      </c>
      <c r="D7" s="837" t="s">
        <v>446</v>
      </c>
      <c r="E7" s="836" t="s">
        <v>1258</v>
      </c>
      <c r="F7" s="836"/>
      <c r="G7" s="836"/>
      <c r="H7" s="836"/>
      <c r="I7" s="836"/>
      <c r="J7" s="836"/>
      <c r="K7" s="836"/>
      <c r="L7" s="790"/>
      <c r="M7" s="796" t="s">
        <v>457</v>
      </c>
      <c r="N7" s="786" t="s">
        <v>475</v>
      </c>
    </row>
    <row r="8" spans="2:17" ht="12.75" x14ac:dyDescent="0.2">
      <c r="B8" s="839" t="str">
        <f>"Slide "&amp;RIGHT(B7,LEN(B7)-FIND(" ",B7))+1</f>
        <v>Slide 3</v>
      </c>
      <c r="C8" s="839" t="b">
        <f>$K$1</f>
        <v>1</v>
      </c>
      <c r="D8" s="840" t="s">
        <v>446</v>
      </c>
      <c r="E8" s="839" t="s">
        <v>1261</v>
      </c>
      <c r="F8" s="839"/>
      <c r="G8" s="839"/>
      <c r="H8" s="841"/>
      <c r="I8" s="841"/>
      <c r="J8" s="841"/>
      <c r="K8" s="841"/>
      <c r="L8" s="790"/>
      <c r="M8" s="796" t="s">
        <v>458</v>
      </c>
      <c r="N8" s="786" t="s">
        <v>476</v>
      </c>
    </row>
    <row r="9" spans="2:17" ht="12.75" x14ac:dyDescent="0.2">
      <c r="B9" s="797" t="str">
        <f>IF(C9,"Slide "&amp;RIGHT(B8,LEN(B8)-FIND(" ",B8))+1,B8)</f>
        <v>Slide 4</v>
      </c>
      <c r="C9" s="797" t="b">
        <f>$K$1</f>
        <v>1</v>
      </c>
      <c r="D9" s="798" t="s">
        <v>447</v>
      </c>
      <c r="E9" s="797" t="s">
        <v>1293</v>
      </c>
      <c r="F9" s="1009" t="s">
        <v>1243</v>
      </c>
      <c r="G9" s="797" t="s">
        <v>1242</v>
      </c>
      <c r="H9" s="799"/>
      <c r="I9" s="799"/>
      <c r="J9" s="799"/>
      <c r="K9" s="799"/>
      <c r="L9" s="815"/>
      <c r="M9" s="796" t="s">
        <v>459</v>
      </c>
      <c r="N9" s="786" t="s">
        <v>475</v>
      </c>
    </row>
    <row r="10" spans="2:17" ht="12.75" x14ac:dyDescent="0.2">
      <c r="B10" s="797" t="str">
        <f>IF(C10,"Slide "&amp;RIGHT(B9,LEN(B9)-FIND(" ",B9))+1,B9)</f>
        <v>Slide 5</v>
      </c>
      <c r="C10" s="797" t="b">
        <f>$K$1</f>
        <v>1</v>
      </c>
      <c r="D10" s="798" t="s">
        <v>447</v>
      </c>
      <c r="E10" s="797" t="s">
        <v>1293</v>
      </c>
      <c r="F10" s="1009" t="str">
        <f>IF($H$1, "SlideTitle","")</f>
        <v>SlideTitle</v>
      </c>
      <c r="G10" s="797" t="str">
        <f>IF($H$1,Input!$C$9,"")</f>
        <v>Walmart Inc.</v>
      </c>
      <c r="H10" s="799"/>
      <c r="I10" s="799"/>
      <c r="J10" s="799"/>
      <c r="K10" s="799"/>
      <c r="L10" s="790"/>
      <c r="M10" s="796" t="s">
        <v>460</v>
      </c>
      <c r="N10" s="786" t="s">
        <v>476</v>
      </c>
    </row>
    <row r="11" spans="2:17" ht="12.75" x14ac:dyDescent="0.2">
      <c r="B11" s="800"/>
      <c r="C11" s="800"/>
      <c r="D11" s="800"/>
      <c r="E11" s="800"/>
      <c r="F11" s="1010" t="str">
        <f>IF($H$1, "RoadMap", "SlideTitle")</f>
        <v>RoadMap</v>
      </c>
      <c r="G11" s="800" t="str">
        <f>Overview!B3</f>
        <v>Company Snapshot</v>
      </c>
      <c r="H11" s="801"/>
      <c r="I11" s="801"/>
      <c r="J11" s="801"/>
      <c r="K11" s="801"/>
      <c r="L11" s="790"/>
      <c r="M11" s="796" t="s">
        <v>461</v>
      </c>
      <c r="N11" s="786" t="s">
        <v>476</v>
      </c>
    </row>
    <row r="12" spans="2:17" ht="12.75" x14ac:dyDescent="0.2">
      <c r="B12" s="788"/>
      <c r="C12" s="788"/>
      <c r="D12" s="788"/>
      <c r="E12" s="788"/>
      <c r="F12" s="788" t="s">
        <v>448</v>
      </c>
      <c r="G12" s="802">
        <f>Overview!B4:P39</f>
        <v>0</v>
      </c>
      <c r="H12" s="814">
        <v>0.58299999999999996</v>
      </c>
      <c r="I12" s="814">
        <f>IF($H$1,1.665,1.29)</f>
        <v>1.665</v>
      </c>
      <c r="J12" s="814">
        <v>9.92</v>
      </c>
      <c r="K12" s="814">
        <v>6.15</v>
      </c>
      <c r="L12" s="790" t="b">
        <f>TRUE</f>
        <v>1</v>
      </c>
      <c r="M12" s="796" t="s">
        <v>462</v>
      </c>
      <c r="N12" s="786" t="s">
        <v>476</v>
      </c>
    </row>
    <row r="13" spans="2:17" ht="12.75" x14ac:dyDescent="0.2">
      <c r="B13" s="788"/>
      <c r="C13" s="788"/>
      <c r="D13" s="788"/>
      <c r="E13" s="788"/>
      <c r="F13" s="788" t="s">
        <v>449</v>
      </c>
      <c r="G13" s="788" t="s">
        <v>1257</v>
      </c>
      <c r="H13" s="801"/>
      <c r="I13" s="801"/>
      <c r="J13" s="801"/>
      <c r="K13" s="801"/>
      <c r="L13" s="790"/>
      <c r="M13" s="796" t="s">
        <v>463</v>
      </c>
      <c r="N13" s="786" t="s">
        <v>475</v>
      </c>
    </row>
    <row r="14" spans="2:17" ht="12.75" x14ac:dyDescent="0.2">
      <c r="B14" s="788"/>
      <c r="C14" s="788"/>
      <c r="D14" s="788"/>
      <c r="E14" s="788"/>
      <c r="F14" s="788"/>
      <c r="G14" s="788"/>
      <c r="H14" s="804"/>
      <c r="I14" s="804"/>
      <c r="J14" s="804"/>
      <c r="K14" s="804"/>
      <c r="L14" s="790"/>
      <c r="M14" s="796" t="s">
        <v>464</v>
      </c>
      <c r="N14" s="786" t="s">
        <v>475</v>
      </c>
    </row>
    <row r="15" spans="2:17" ht="12.75" x14ac:dyDescent="0.2">
      <c r="B15" s="797" t="str">
        <f>IF(C15,"Slide "&amp;RIGHT(B10,LEN(B10)-FIND(" ",B10))+1,B10)</f>
        <v>Slide 6</v>
      </c>
      <c r="C15" s="797" t="b">
        <f>AND($K$1,NOT(G16=""))</f>
        <v>1</v>
      </c>
      <c r="D15" s="798" t="s">
        <v>447</v>
      </c>
      <c r="E15" s="797" t="s">
        <v>1294</v>
      </c>
      <c r="F15" s="1009" t="str">
        <f>IF($H$1, "SlideTitle","")</f>
        <v>SlideTitle</v>
      </c>
      <c r="G15" s="797" t="str">
        <f>IF($H$1,Input!$C$9,"")</f>
        <v>Walmart Inc.</v>
      </c>
      <c r="H15" s="799"/>
      <c r="I15" s="799"/>
      <c r="J15" s="799"/>
      <c r="K15" s="799"/>
      <c r="L15" s="815"/>
      <c r="M15" s="796" t="s">
        <v>465</v>
      </c>
      <c r="N15" s="786" t="s">
        <v>476</v>
      </c>
    </row>
    <row r="16" spans="2:17" ht="12.75" x14ac:dyDescent="0.2">
      <c r="B16" s="788"/>
      <c r="C16" s="788"/>
      <c r="D16" s="788"/>
      <c r="E16" s="788"/>
      <c r="F16" s="1010" t="str">
        <f>IF($H$1, "RoadMap", "SlideTitle")</f>
        <v>RoadMap</v>
      </c>
      <c r="G16" s="788" t="s">
        <v>1286</v>
      </c>
      <c r="L16" s="815"/>
      <c r="M16" s="796" t="s">
        <v>466</v>
      </c>
      <c r="N16" s="786" t="s">
        <v>476</v>
      </c>
    </row>
    <row r="17" spans="2:14" ht="12.75" x14ac:dyDescent="0.2">
      <c r="B17" s="788"/>
      <c r="C17" s="788"/>
      <c r="D17" s="788"/>
      <c r="E17" s="788"/>
      <c r="F17" s="1011" t="s">
        <v>448</v>
      </c>
      <c r="G17" s="788" t="s">
        <v>1285</v>
      </c>
      <c r="H17" s="814">
        <v>0.58299999999999996</v>
      </c>
      <c r="I17" s="814">
        <f>IF($H$1,1.665,1.29)</f>
        <v>1.665</v>
      </c>
      <c r="J17" s="803"/>
      <c r="K17" s="803"/>
      <c r="L17" s="815" t="b">
        <f>$L$12</f>
        <v>1</v>
      </c>
      <c r="M17" s="796" t="s">
        <v>467</v>
      </c>
      <c r="N17" s="786" t="s">
        <v>476</v>
      </c>
    </row>
    <row r="18" spans="2:14" ht="15" customHeight="1" x14ac:dyDescent="0.2">
      <c r="B18" s="788"/>
      <c r="C18" s="788"/>
      <c r="D18" s="788"/>
      <c r="E18" s="788"/>
      <c r="F18" s="1011" t="s">
        <v>448</v>
      </c>
      <c r="G18" s="788" t="s">
        <v>1287</v>
      </c>
      <c r="H18" s="814">
        <v>0.58299999999999996</v>
      </c>
      <c r="I18" s="814">
        <v>3.85</v>
      </c>
      <c r="J18" s="803"/>
      <c r="K18" s="803"/>
      <c r="L18" s="815" t="b">
        <f>$L$12</f>
        <v>1</v>
      </c>
      <c r="M18" s="796" t="s">
        <v>468</v>
      </c>
      <c r="N18" s="786" t="s">
        <v>476</v>
      </c>
    </row>
    <row r="19" spans="2:14" ht="12.75" x14ac:dyDescent="0.2">
      <c r="B19" s="788"/>
      <c r="C19" s="788"/>
      <c r="D19" s="788"/>
      <c r="E19" s="788"/>
      <c r="F19" s="1011" t="s">
        <v>449</v>
      </c>
      <c r="G19" s="788" t="s">
        <v>1257</v>
      </c>
      <c r="H19" s="801"/>
      <c r="I19" s="801"/>
      <c r="J19" s="801"/>
      <c r="K19" s="801"/>
      <c r="L19" s="815"/>
      <c r="M19" s="796" t="s">
        <v>469</v>
      </c>
      <c r="N19" s="786" t="s">
        <v>476</v>
      </c>
    </row>
    <row r="20" spans="2:14" ht="12.75" x14ac:dyDescent="0.2">
      <c r="B20" s="788"/>
      <c r="C20" s="788"/>
      <c r="D20" s="788"/>
      <c r="E20" s="788"/>
      <c r="F20" s="1011"/>
      <c r="G20" s="788"/>
      <c r="H20" s="805"/>
      <c r="I20" s="805"/>
      <c r="J20" s="805"/>
      <c r="K20" s="805"/>
      <c r="L20" s="815"/>
      <c r="M20" s="796" t="s">
        <v>470</v>
      </c>
      <c r="N20" s="786" t="s">
        <v>476</v>
      </c>
    </row>
    <row r="21" spans="2:14" ht="12.75" x14ac:dyDescent="0.2">
      <c r="B21" s="797" t="str">
        <f>IF(C21,"Slide "&amp;RIGHT(B15,LEN(B15)-FIND(" ",B15))+1,B15)</f>
        <v>Slide 7</v>
      </c>
      <c r="C21" s="797" t="b">
        <f>AND($K$1,NOT(G22=""))</f>
        <v>1</v>
      </c>
      <c r="D21" s="798" t="s">
        <v>447</v>
      </c>
      <c r="E21" s="797" t="s">
        <v>1294</v>
      </c>
      <c r="F21" s="1009" t="str">
        <f>IF($H$1, "SlideTitle","")</f>
        <v>SlideTitle</v>
      </c>
      <c r="G21" s="797" t="str">
        <f>IF($H$1,Input!$C$9,"")</f>
        <v>Walmart Inc.</v>
      </c>
      <c r="H21" s="799"/>
      <c r="I21" s="799"/>
      <c r="J21" s="799"/>
      <c r="K21" s="799"/>
      <c r="L21" s="815"/>
      <c r="M21" s="796" t="s">
        <v>471</v>
      </c>
      <c r="N21" s="786" t="s">
        <v>476</v>
      </c>
    </row>
    <row r="22" spans="2:14" ht="12.75" x14ac:dyDescent="0.2">
      <c r="B22" s="788"/>
      <c r="C22" s="788"/>
      <c r="D22" s="788"/>
      <c r="E22" s="788"/>
      <c r="F22" s="1010" t="str">
        <f>IF($H$1, "RoadMap", "SlideTitle")</f>
        <v>RoadMap</v>
      </c>
      <c r="G22" s="788" t="str">
        <f>IF(COUNTIF($E$4:E22,E21)-1&lt;=$E$1,IF($H$1, "Key Professionals", "Key Professionals (" &amp; COUNTIF($E$4:E22,E21)-1 &amp; "/" &amp; $E$1 &amp; ")"),"")</f>
        <v>Key Professionals</v>
      </c>
      <c r="L22" s="815"/>
      <c r="M22" s="796" t="s">
        <v>472</v>
      </c>
      <c r="N22" s="786" t="s">
        <v>476</v>
      </c>
    </row>
    <row r="23" spans="2:14" ht="12.75" x14ac:dyDescent="0.2">
      <c r="B23" s="788"/>
      <c r="C23" s="788"/>
      <c r="D23" s="788"/>
      <c r="E23" s="788"/>
      <c r="F23" s="1011" t="s">
        <v>448</v>
      </c>
      <c r="G23" s="788" t="str">
        <f>IF(G22="","",ADDRESS(ROW(Key_Professional)+MATCH(COUNTIF($E$4:E23,E21)-1,Professionals!$N$19:$N$68,0),COLUMN(Key_Professional)) &amp;":" &amp; ADDRESS(ROW(Key_Professional)+MATCH(COUNTIF($E$4:E23,E21)-1,Professionals!$N$19:$N$68,0)+COUNTIF(Professionals!$N$19:$N$68,COUNTIF($E$4:E23,E21)-1)-1,COLUMN(Key_Professional)+1))</f>
        <v>$B$19:$C$28</v>
      </c>
      <c r="H23" s="814">
        <v>0.58299999999999996</v>
      </c>
      <c r="I23" s="814">
        <f>IF($H$1,1.665,1.29)</f>
        <v>1.665</v>
      </c>
      <c r="J23" s="803"/>
      <c r="K23" s="803"/>
      <c r="L23" s="815" t="b">
        <f>$L$12</f>
        <v>1</v>
      </c>
      <c r="M23" s="796" t="s">
        <v>473</v>
      </c>
      <c r="N23" s="786" t="s">
        <v>475</v>
      </c>
    </row>
    <row r="24" spans="2:14" ht="12.75" x14ac:dyDescent="0.2">
      <c r="B24" s="788"/>
      <c r="C24" s="788"/>
      <c r="D24" s="788"/>
      <c r="E24" s="788"/>
      <c r="F24" s="1011" t="s">
        <v>449</v>
      </c>
      <c r="G24" s="788" t="s">
        <v>1257</v>
      </c>
      <c r="H24" s="801"/>
      <c r="I24" s="801"/>
      <c r="J24" s="801"/>
      <c r="K24" s="801"/>
      <c r="L24" s="815"/>
      <c r="M24" s="796" t="s">
        <v>474</v>
      </c>
      <c r="N24" s="786" t="s">
        <v>475</v>
      </c>
    </row>
    <row r="25" spans="2:14" ht="12.75" x14ac:dyDescent="0.2">
      <c r="B25" s="788"/>
      <c r="C25" s="788"/>
      <c r="D25" s="788"/>
      <c r="E25" s="788"/>
      <c r="F25" s="1011"/>
      <c r="G25" s="788"/>
      <c r="H25" s="805"/>
      <c r="I25" s="805"/>
      <c r="J25" s="805"/>
      <c r="K25" s="805"/>
      <c r="L25" s="815"/>
      <c r="M25" s="796"/>
      <c r="N25" s="786"/>
    </row>
    <row r="26" spans="2:14" x14ac:dyDescent="0.2">
      <c r="B26" s="797" t="str">
        <f>IF(C26,"Slide "&amp;RIGHT(B21,LEN(B21)-FIND(" ",B21))+1,B21)</f>
        <v>Slide 8</v>
      </c>
      <c r="C26" s="797" t="b">
        <f>AND($K$1,NOT(G27=""))</f>
        <v>1</v>
      </c>
      <c r="D26" s="798" t="s">
        <v>447</v>
      </c>
      <c r="E26" s="797" t="s">
        <v>1294</v>
      </c>
      <c r="F26" s="1009" t="str">
        <f>IF($H$1, "SlideTitle","")</f>
        <v>SlideTitle</v>
      </c>
      <c r="G26" s="797" t="str">
        <f>IF($H$1,Input!$C$9,"")</f>
        <v>Walmart Inc.</v>
      </c>
      <c r="H26" s="799"/>
      <c r="I26" s="799"/>
      <c r="J26" s="799"/>
      <c r="K26" s="799"/>
      <c r="L26" s="815"/>
      <c r="M26" s="806"/>
    </row>
    <row r="27" spans="2:14" x14ac:dyDescent="0.25">
      <c r="B27" s="788"/>
      <c r="C27" s="788"/>
      <c r="D27" s="788"/>
      <c r="E27" s="788"/>
      <c r="F27" s="1010" t="str">
        <f>IF($H$1, "RoadMap", "SlideTitle")</f>
        <v>RoadMap</v>
      </c>
      <c r="G27" s="788" t="str">
        <f>IF(COUNTIF($E$4:E27,E26)-1&lt;=$E$1,IF($H$1, "Key Professionals", "Key Professionals (" &amp; COUNTIF($E$4:E27,E26)-1 &amp; "/" &amp; $E$1 &amp; ")"),"")</f>
        <v>Key Professionals</v>
      </c>
      <c r="L27" s="815"/>
    </row>
    <row r="28" spans="2:14" x14ac:dyDescent="0.25">
      <c r="B28" s="788"/>
      <c r="C28" s="788"/>
      <c r="D28" s="788"/>
      <c r="E28" s="788"/>
      <c r="F28" s="1011" t="s">
        <v>448</v>
      </c>
      <c r="G28" s="788" t="str">
        <f>IF(G27="","",ADDRESS(ROW(Key_Professional)+MATCH(COUNTIF($E$4:E28,E26)-1,Professionals!$N$19:$N$68,0),COLUMN(Key_Professional)) &amp;":" &amp; ADDRESS(ROW(Key_Professional)+MATCH(COUNTIF($E$4:E28,E26)-1,Professionals!$N$19:$N$68,0)+COUNTIF(Professionals!$N$19:$N$68,COUNTIF($E$4:E28,E26)-1)-1,COLUMN(Key_Professional)+1))</f>
        <v>$B$29:$C$43</v>
      </c>
      <c r="H28" s="814">
        <v>0.58299999999999996</v>
      </c>
      <c r="I28" s="814">
        <f>IF($H$1,1.665,1.29)</f>
        <v>1.665</v>
      </c>
      <c r="J28" s="803"/>
      <c r="K28" s="803"/>
      <c r="L28" s="815" t="b">
        <f>$L$12</f>
        <v>1</v>
      </c>
    </row>
    <row r="29" spans="2:14" x14ac:dyDescent="0.25">
      <c r="B29" s="788"/>
      <c r="C29" s="788"/>
      <c r="D29" s="788"/>
      <c r="E29" s="788"/>
      <c r="F29" s="1011" t="s">
        <v>449</v>
      </c>
      <c r="G29" s="788" t="s">
        <v>1257</v>
      </c>
      <c r="H29" s="801"/>
      <c r="I29" s="801"/>
      <c r="J29" s="801"/>
      <c r="K29" s="801"/>
      <c r="L29" s="815"/>
    </row>
    <row r="30" spans="2:14" x14ac:dyDescent="0.25">
      <c r="B30" s="788"/>
      <c r="C30" s="788"/>
      <c r="D30" s="788"/>
      <c r="E30" s="788"/>
      <c r="F30" s="1011"/>
      <c r="G30" s="788"/>
      <c r="H30" s="805"/>
      <c r="I30" s="805"/>
      <c r="J30" s="805"/>
      <c r="K30" s="805"/>
      <c r="L30" s="815"/>
    </row>
    <row r="31" spans="2:14" x14ac:dyDescent="0.25">
      <c r="B31" s="797" t="str">
        <f>IF(C31,"Slide "&amp;RIGHT(B26,LEN(B26)-FIND(" ",B26))+1,B26)</f>
        <v>Slide 9</v>
      </c>
      <c r="C31" s="797" t="b">
        <f>AND($K$1,NOT(G32=""))</f>
        <v>1</v>
      </c>
      <c r="D31" s="798" t="s">
        <v>447</v>
      </c>
      <c r="E31" s="797" t="s">
        <v>1294</v>
      </c>
      <c r="F31" s="1009" t="str">
        <f>IF($H$1, "SlideTitle","")</f>
        <v>SlideTitle</v>
      </c>
      <c r="G31" s="797" t="str">
        <f>IF($H$1,Input!$C$9,"")</f>
        <v>Walmart Inc.</v>
      </c>
      <c r="H31" s="799"/>
      <c r="I31" s="799"/>
      <c r="J31" s="799"/>
      <c r="K31" s="799"/>
      <c r="L31" s="815"/>
    </row>
    <row r="32" spans="2:14" x14ac:dyDescent="0.25">
      <c r="B32" s="788"/>
      <c r="C32" s="788"/>
      <c r="D32" s="788"/>
      <c r="E32" s="788"/>
      <c r="F32" s="1010" t="str">
        <f>IF($H$1, "RoadMap", "SlideTitle")</f>
        <v>RoadMap</v>
      </c>
      <c r="G32" s="788" t="str">
        <f>IF(COUNTIF($E$4:E32,E31)-1&lt;=$E$1,IF($H$1, "Key Professionals", "Key Professionals (" &amp; COUNTIF($E$4:E32,E31)-1 &amp; "/" &amp; $E$1 &amp; ")"),"")</f>
        <v>Key Professionals</v>
      </c>
      <c r="L32" s="815"/>
    </row>
    <row r="33" spans="2:12" x14ac:dyDescent="0.25">
      <c r="B33" s="788"/>
      <c r="C33" s="788"/>
      <c r="D33" s="788"/>
      <c r="E33" s="788"/>
      <c r="F33" s="1011" t="s">
        <v>448</v>
      </c>
      <c r="G33" s="788" t="str">
        <f>IF(G32="","",ADDRESS(ROW(Key_Professional)+MATCH(COUNTIF($E$4:E33,E31)-1,Professionals!$N$19:$N$68,0),COLUMN(Key_Professional)) &amp;":" &amp; ADDRESS(ROW(Key_Professional)+MATCH(COUNTIF($E$4:E33,E31)-1,Professionals!$N$19:$N$68,0)+COUNTIF(Professionals!$N$19:$N$68,COUNTIF($E$4:E33,E31)-1)-1,COLUMN(Key_Professional)+1))</f>
        <v>$B$44:$C$53</v>
      </c>
      <c r="H33" s="814">
        <v>0.58299999999999996</v>
      </c>
      <c r="I33" s="814">
        <f>IF($H$1,1.665,1.29)</f>
        <v>1.665</v>
      </c>
      <c r="J33" s="803"/>
      <c r="K33" s="803"/>
      <c r="L33" s="815" t="b">
        <f>$L$12</f>
        <v>1</v>
      </c>
    </row>
    <row r="34" spans="2:12" x14ac:dyDescent="0.25">
      <c r="B34" s="788"/>
      <c r="C34" s="788"/>
      <c r="D34" s="788"/>
      <c r="E34" s="788"/>
      <c r="F34" s="1011" t="s">
        <v>449</v>
      </c>
      <c r="G34" s="788" t="s">
        <v>1257</v>
      </c>
      <c r="H34" s="801"/>
      <c r="I34" s="801"/>
      <c r="J34" s="801"/>
      <c r="K34" s="801"/>
      <c r="L34" s="815"/>
    </row>
    <row r="35" spans="2:12" x14ac:dyDescent="0.25">
      <c r="B35" s="788"/>
      <c r="C35" s="788"/>
      <c r="D35" s="788"/>
      <c r="E35" s="788"/>
      <c r="F35" s="1011"/>
      <c r="G35" s="788"/>
      <c r="H35" s="805"/>
      <c r="I35" s="805"/>
      <c r="J35" s="805"/>
      <c r="K35" s="805"/>
      <c r="L35" s="815"/>
    </row>
    <row r="36" spans="2:12" x14ac:dyDescent="0.25">
      <c r="B36" s="797" t="str">
        <f>IF(C36,"Slide "&amp;RIGHT(B31,LEN(B31)-FIND(" ",B31))+1,B31)</f>
        <v>Slide 10</v>
      </c>
      <c r="C36" s="797" t="b">
        <f>AND($K$1,NOT(G37=""))</f>
        <v>1</v>
      </c>
      <c r="D36" s="798" t="s">
        <v>447</v>
      </c>
      <c r="E36" s="797" t="s">
        <v>1294</v>
      </c>
      <c r="F36" s="1009" t="str">
        <f>IF($H$1, "SlideTitle","")</f>
        <v>SlideTitle</v>
      </c>
      <c r="G36" s="797" t="str">
        <f>IF($H$1,Input!$C$9,"")</f>
        <v>Walmart Inc.</v>
      </c>
      <c r="H36" s="799"/>
      <c r="I36" s="799"/>
      <c r="J36" s="799"/>
      <c r="K36" s="799"/>
      <c r="L36" s="815"/>
    </row>
    <row r="37" spans="2:12" x14ac:dyDescent="0.25">
      <c r="B37" s="788"/>
      <c r="C37" s="788"/>
      <c r="D37" s="788"/>
      <c r="E37" s="788"/>
      <c r="F37" s="1010" t="str">
        <f>IF($H$1, "RoadMap", "SlideTitle")</f>
        <v>RoadMap</v>
      </c>
      <c r="G37" s="788" t="str">
        <f>IF(COUNTIF($E$4:E37,E36)-1&lt;=$E$1,IF($H$1, "Key Professionals", "Key Professionals (" &amp; COUNTIF($E$4:E37,E36)-1 &amp; "/" &amp; $E$1 &amp; ")"),"")</f>
        <v>Key Professionals</v>
      </c>
      <c r="L37" s="815"/>
    </row>
    <row r="38" spans="2:12" x14ac:dyDescent="0.25">
      <c r="B38" s="788"/>
      <c r="C38" s="788"/>
      <c r="D38" s="788"/>
      <c r="E38" s="788"/>
      <c r="F38" s="1011" t="s">
        <v>448</v>
      </c>
      <c r="G38" s="788" t="str">
        <f>IF(G37="","",ADDRESS(ROW(Key_Professional)+MATCH(COUNTIF($E$4:E38,E36)-1,Professionals!$N$19:$N$68,0),COLUMN(Key_Professional)) &amp;":" &amp; ADDRESS(ROW(Key_Professional)+MATCH(COUNTIF($E$4:E38,E36)-1,Professionals!$N$19:$N$68,0)+COUNTIF(Professionals!$N$19:$N$68,COUNTIF($E$4:E38,E36)-1)-1,COLUMN(Key_Professional)+1))</f>
        <v>$B$54:$C$68</v>
      </c>
      <c r="H38" s="814">
        <v>0.58299999999999996</v>
      </c>
      <c r="I38" s="814">
        <f>IF($H$1,1.665,1.29)</f>
        <v>1.665</v>
      </c>
      <c r="J38" s="803"/>
      <c r="K38" s="803"/>
      <c r="L38" s="815" t="b">
        <f>$L$12</f>
        <v>1</v>
      </c>
    </row>
    <row r="39" spans="2:12" x14ac:dyDescent="0.25">
      <c r="B39" s="788"/>
      <c r="C39" s="788"/>
      <c r="D39" s="788"/>
      <c r="E39" s="788"/>
      <c r="F39" s="1011" t="s">
        <v>449</v>
      </c>
      <c r="G39" s="788" t="s">
        <v>1257</v>
      </c>
      <c r="H39" s="801"/>
      <c r="I39" s="801"/>
      <c r="J39" s="801"/>
      <c r="K39" s="801"/>
      <c r="L39" s="815"/>
    </row>
    <row r="40" spans="2:12" x14ac:dyDescent="0.25">
      <c r="B40" s="788"/>
      <c r="C40" s="788"/>
      <c r="D40" s="788"/>
      <c r="E40" s="788"/>
      <c r="F40" s="1011"/>
      <c r="G40" s="788"/>
      <c r="H40" s="805"/>
      <c r="I40" s="805"/>
      <c r="J40" s="805"/>
      <c r="K40" s="805"/>
      <c r="L40" s="815"/>
    </row>
    <row r="41" spans="2:12" x14ac:dyDescent="0.25">
      <c r="B41" s="797" t="str">
        <f>IF(C41,"Slide "&amp;RIGHT(B36,LEN(B36)-FIND(" ",B36))+1,B36)</f>
        <v>Slide 10</v>
      </c>
      <c r="C41" s="797" t="b">
        <f>AND($K$1,NOT(G42=""))</f>
        <v>0</v>
      </c>
      <c r="D41" s="798" t="s">
        <v>447</v>
      </c>
      <c r="E41" s="797" t="s">
        <v>1294</v>
      </c>
      <c r="F41" s="1009" t="str">
        <f>IF($H$1, "SlideTitle","")</f>
        <v>SlideTitle</v>
      </c>
      <c r="G41" s="797" t="str">
        <f>IF($H$1,Input!$C$9,"")</f>
        <v>Walmart Inc.</v>
      </c>
      <c r="H41" s="799"/>
      <c r="I41" s="799"/>
      <c r="J41" s="799"/>
      <c r="K41" s="799"/>
      <c r="L41" s="815"/>
    </row>
    <row r="42" spans="2:12" x14ac:dyDescent="0.25">
      <c r="B42" s="788"/>
      <c r="C42" s="788"/>
      <c r="D42" s="788"/>
      <c r="E42" s="788"/>
      <c r="F42" s="1010" t="str">
        <f>IF($H$1, "RoadMap", "SlideTitle")</f>
        <v>RoadMap</v>
      </c>
      <c r="G42" s="788" t="str">
        <f>IF(COUNTIF($E$4:E42,E41)-1&lt;=$E$1,IF($H$1, "Key Professionals", "Key Professionals (" &amp; COUNTIF($E$4:E42,E41)-1 &amp; "/" &amp; $E$1 &amp; ")"),"")</f>
        <v/>
      </c>
      <c r="L42" s="815"/>
    </row>
    <row r="43" spans="2:12" x14ac:dyDescent="0.25">
      <c r="B43" s="788"/>
      <c r="C43" s="788"/>
      <c r="D43" s="788"/>
      <c r="E43" s="788"/>
      <c r="F43" s="1011" t="s">
        <v>448</v>
      </c>
      <c r="G43" s="788" t="str">
        <f>IF(G42="","",ADDRESS(ROW(Key_Professional)+MATCH(COUNTIF($E$4:E43,E41)-1,Professionals!$N$19:$N$68,0),COLUMN(Key_Professional)) &amp;":" &amp; ADDRESS(ROW(Key_Professional)+MATCH(COUNTIF($E$4:E43,E41)-1,Professionals!$N$19:$N$68,0)+COUNTIF(Professionals!$N$19:$N$68,COUNTIF($E$4:E43,E41)-1)-1,COLUMN(Key_Professional)+1))</f>
        <v/>
      </c>
      <c r="H43" s="814">
        <v>0.58299999999999996</v>
      </c>
      <c r="I43" s="814">
        <f>IF($H$1,1.665,1.29)</f>
        <v>1.665</v>
      </c>
      <c r="J43" s="803"/>
      <c r="K43" s="803"/>
      <c r="L43" s="815" t="b">
        <f>$L$12</f>
        <v>1</v>
      </c>
    </row>
    <row r="44" spans="2:12" x14ac:dyDescent="0.25">
      <c r="B44" s="788"/>
      <c r="C44" s="788"/>
      <c r="D44" s="788"/>
      <c r="E44" s="788"/>
      <c r="F44" s="1011" t="s">
        <v>449</v>
      </c>
      <c r="G44" s="788" t="s">
        <v>1257</v>
      </c>
      <c r="H44" s="801"/>
      <c r="I44" s="801"/>
      <c r="J44" s="801"/>
      <c r="K44" s="801"/>
      <c r="L44" s="815"/>
    </row>
    <row r="45" spans="2:12" x14ac:dyDescent="0.25">
      <c r="B45" s="788"/>
      <c r="C45" s="788"/>
      <c r="D45" s="788"/>
      <c r="E45" s="788"/>
      <c r="F45" s="1011"/>
      <c r="G45" s="788"/>
      <c r="H45" s="805"/>
      <c r="I45" s="805"/>
      <c r="J45" s="805"/>
      <c r="K45" s="805"/>
      <c r="L45" s="815"/>
    </row>
    <row r="46" spans="2:12" x14ac:dyDescent="0.25">
      <c r="B46" s="797" t="str">
        <f>IF(C46,"Slide "&amp;RIGHT(B41,LEN(B41)-FIND(" ",B41))+1,B41)</f>
        <v>Slide 10</v>
      </c>
      <c r="C46" s="797" t="b">
        <f>AND($K$1,NOT(G47=""))</f>
        <v>0</v>
      </c>
      <c r="D46" s="798" t="s">
        <v>447</v>
      </c>
      <c r="E46" s="797" t="s">
        <v>1294</v>
      </c>
      <c r="F46" s="1009" t="str">
        <f>IF($H$1, "SlideTitle","")</f>
        <v>SlideTitle</v>
      </c>
      <c r="G46" s="797" t="str">
        <f>IF($H$1,Input!$C$9,"")</f>
        <v>Walmart Inc.</v>
      </c>
      <c r="H46" s="799"/>
      <c r="I46" s="799"/>
      <c r="J46" s="799"/>
      <c r="K46" s="799"/>
      <c r="L46" s="815"/>
    </row>
    <row r="47" spans="2:12" x14ac:dyDescent="0.25">
      <c r="B47" s="788"/>
      <c r="C47" s="788"/>
      <c r="D47" s="788"/>
      <c r="E47" s="788"/>
      <c r="F47" s="1010" t="str">
        <f>IF($H$1, "RoadMap", "SlideTitle")</f>
        <v>RoadMap</v>
      </c>
      <c r="G47" s="788" t="str">
        <f>IF(COUNTIF($E$4:E47,E46)-1&lt;=$E$1,IF($H$1, "Key Professionals", "Key Professionals (" &amp; COUNTIF($E$4:E47,E46)-1 &amp; "/" &amp; $E$1 &amp; ")"),"")</f>
        <v/>
      </c>
      <c r="L47" s="815"/>
    </row>
    <row r="48" spans="2:12" x14ac:dyDescent="0.25">
      <c r="B48" s="788"/>
      <c r="C48" s="788"/>
      <c r="D48" s="788"/>
      <c r="E48" s="788"/>
      <c r="F48" s="1011" t="s">
        <v>448</v>
      </c>
      <c r="G48" s="788" t="str">
        <f>IF(G47="","",ADDRESS(ROW(Key_Professional)+MATCH(COUNTIF($E$4:E48,E46)-1,Professionals!$N$19:$N$68,0),COLUMN(Key_Professional)) &amp;":" &amp; ADDRESS(ROW(Key_Professional)+MATCH(COUNTIF($E$4:E48,E46)-1,Professionals!$N$19:$N$68,0)+COUNTIF(Professionals!$N$19:$N$68,COUNTIF($E$4:E48,E46)-1)-1,COLUMN(Key_Professional)+1))</f>
        <v/>
      </c>
      <c r="H48" s="814">
        <v>0.58299999999999996</v>
      </c>
      <c r="I48" s="814">
        <f>IF($H$1,1.665,1.29)</f>
        <v>1.665</v>
      </c>
      <c r="J48" s="803"/>
      <c r="K48" s="803"/>
      <c r="L48" s="815" t="b">
        <f>$L$12</f>
        <v>1</v>
      </c>
    </row>
    <row r="49" spans="2:12" x14ac:dyDescent="0.25">
      <c r="B49" s="788"/>
      <c r="C49" s="788"/>
      <c r="D49" s="788"/>
      <c r="E49" s="788"/>
      <c r="F49" s="1011" t="s">
        <v>449</v>
      </c>
      <c r="G49" s="788" t="s">
        <v>1257</v>
      </c>
      <c r="H49" s="801"/>
      <c r="I49" s="801"/>
      <c r="J49" s="801"/>
      <c r="K49" s="801"/>
      <c r="L49" s="815"/>
    </row>
    <row r="50" spans="2:12" x14ac:dyDescent="0.25">
      <c r="B50" s="788"/>
      <c r="C50" s="788"/>
      <c r="D50" s="788"/>
      <c r="E50" s="788"/>
      <c r="F50" s="1011"/>
      <c r="G50" s="788"/>
      <c r="H50" s="805"/>
      <c r="I50" s="805"/>
      <c r="J50" s="805"/>
      <c r="K50" s="805"/>
      <c r="L50" s="815"/>
    </row>
    <row r="51" spans="2:12" x14ac:dyDescent="0.25">
      <c r="B51" s="797" t="str">
        <f>IF(C51,"Slide "&amp;RIGHT(B46,LEN(B46)-FIND(" ",B46))+1,B46)</f>
        <v>Slide 10</v>
      </c>
      <c r="C51" s="797" t="b">
        <f>AND($K$1,NOT(G52=""))</f>
        <v>0</v>
      </c>
      <c r="D51" s="798" t="s">
        <v>447</v>
      </c>
      <c r="E51" s="797" t="s">
        <v>1294</v>
      </c>
      <c r="F51" s="1009" t="str">
        <f>IF($H$1, "SlideTitle","")</f>
        <v>SlideTitle</v>
      </c>
      <c r="G51" s="797" t="str">
        <f>IF($H$1,Input!$C$9,"")</f>
        <v>Walmart Inc.</v>
      </c>
      <c r="H51" s="799"/>
      <c r="I51" s="799"/>
      <c r="J51" s="799"/>
      <c r="K51" s="799"/>
      <c r="L51" s="815"/>
    </row>
    <row r="52" spans="2:12" x14ac:dyDescent="0.25">
      <c r="B52" s="788"/>
      <c r="C52" s="788"/>
      <c r="D52" s="788"/>
      <c r="E52" s="788"/>
      <c r="F52" s="1010" t="str">
        <f>IF($H$1, "RoadMap", "SlideTitle")</f>
        <v>RoadMap</v>
      </c>
      <c r="G52" s="788" t="str">
        <f>IF(COUNTIF($E$4:E52,E51)-1&lt;=$E$1,IF($H$1, "Key Professionals", "Key Professionals (" &amp; COUNTIF($E$4:E52,E51)-1 &amp; "/" &amp; $E$1 &amp; ")"),"")</f>
        <v/>
      </c>
      <c r="L52" s="815"/>
    </row>
    <row r="53" spans="2:12" x14ac:dyDescent="0.25">
      <c r="B53" s="788"/>
      <c r="C53" s="788"/>
      <c r="D53" s="788"/>
      <c r="E53" s="788"/>
      <c r="F53" s="1011" t="s">
        <v>448</v>
      </c>
      <c r="G53" s="788" t="str">
        <f>IF(G52="","",ADDRESS(ROW(Key_Professional)+MATCH(COUNTIF($E$4:E53,E51)-1,Professionals!$N$19:$N$68,0),COLUMN(Key_Professional)) &amp;":" &amp; ADDRESS(ROW(Key_Professional)+MATCH(COUNTIF($E$4:E53,E51)-1,Professionals!$N$19:$N$68,0)+COUNTIF(Professionals!$N$19:$N$68,COUNTIF($E$4:E53,E51)-1)-1,COLUMN(Key_Professional)+1))</f>
        <v/>
      </c>
      <c r="H53" s="814">
        <v>0.58299999999999996</v>
      </c>
      <c r="I53" s="814">
        <f>IF($H$1,1.665,1.29)</f>
        <v>1.665</v>
      </c>
      <c r="J53" s="803"/>
      <c r="K53" s="803"/>
      <c r="L53" s="815" t="b">
        <f>$L$12</f>
        <v>1</v>
      </c>
    </row>
    <row r="54" spans="2:12" x14ac:dyDescent="0.25">
      <c r="B54" s="788"/>
      <c r="C54" s="788"/>
      <c r="D54" s="788"/>
      <c r="E54" s="788"/>
      <c r="F54" s="1011" t="s">
        <v>449</v>
      </c>
      <c r="G54" s="788" t="s">
        <v>1257</v>
      </c>
      <c r="H54" s="801"/>
      <c r="I54" s="801"/>
      <c r="J54" s="801"/>
      <c r="K54" s="801"/>
      <c r="L54" s="815"/>
    </row>
    <row r="55" spans="2:12" x14ac:dyDescent="0.25">
      <c r="B55" s="788"/>
      <c r="C55" s="788"/>
      <c r="D55" s="788"/>
      <c r="E55" s="788"/>
      <c r="F55" s="1011"/>
      <c r="G55" s="788"/>
      <c r="H55" s="805"/>
      <c r="I55" s="805"/>
      <c r="J55" s="805"/>
      <c r="K55" s="805"/>
      <c r="L55" s="815"/>
    </row>
    <row r="56" spans="2:12" x14ac:dyDescent="0.25">
      <c r="B56" s="797" t="str">
        <f>IF(C56,"Slide "&amp;RIGHT(B51,LEN(B51)-FIND(" ",B51))+1,B51)</f>
        <v>Slide 10</v>
      </c>
      <c r="C56" s="797" t="b">
        <f>AND($K$1,NOT(G57=""))</f>
        <v>0</v>
      </c>
      <c r="D56" s="798" t="s">
        <v>447</v>
      </c>
      <c r="E56" s="797" t="s">
        <v>1294</v>
      </c>
      <c r="F56" s="1009" t="str">
        <f>IF($H$1, "SlideTitle","")</f>
        <v>SlideTitle</v>
      </c>
      <c r="G56" s="797" t="str">
        <f>IF($H$1,Input!$C$9,"")</f>
        <v>Walmart Inc.</v>
      </c>
      <c r="H56" s="799"/>
      <c r="I56" s="799"/>
      <c r="J56" s="799"/>
      <c r="K56" s="799"/>
      <c r="L56" s="815"/>
    </row>
    <row r="57" spans="2:12" x14ac:dyDescent="0.25">
      <c r="B57" s="788"/>
      <c r="C57" s="788"/>
      <c r="D57" s="788"/>
      <c r="E57" s="788"/>
      <c r="F57" s="1010" t="str">
        <f>IF($H$1, "RoadMap", "SlideTitle")</f>
        <v>RoadMap</v>
      </c>
      <c r="G57" s="788" t="str">
        <f>IF(COUNTIF($E$4:E57,E56)-1&lt;=$E$1,IF($H$1, "Key Professionals", "Key Professionals (" &amp; COUNTIF($E$4:E57,E56)-1 &amp; "/" &amp; $E$1 &amp; ")"),"")</f>
        <v/>
      </c>
      <c r="L57" s="815"/>
    </row>
    <row r="58" spans="2:12" x14ac:dyDescent="0.25">
      <c r="B58" s="788"/>
      <c r="C58" s="788"/>
      <c r="D58" s="788"/>
      <c r="E58" s="788"/>
      <c r="F58" s="1011" t="s">
        <v>448</v>
      </c>
      <c r="G58" s="788" t="str">
        <f>IF(G57="","",ADDRESS(ROW(Key_Professional)+MATCH(COUNTIF($E$4:E58,E56)-1,Professionals!$N$19:$N$68,0),COLUMN(Key_Professional)) &amp;":" &amp; ADDRESS(ROW(Key_Professional)+MATCH(COUNTIF($E$4:E58,E56)-1,Professionals!$N$19:$N$68,0)+COUNTIF(Professionals!$N$19:$N$68,COUNTIF($E$4:E58,E56)-1)-1,COLUMN(Key_Professional)+1))</f>
        <v/>
      </c>
      <c r="H58" s="814">
        <v>0.58299999999999996</v>
      </c>
      <c r="I58" s="814">
        <f>IF($H$1,1.665,1.29)</f>
        <v>1.665</v>
      </c>
      <c r="J58" s="803"/>
      <c r="K58" s="803"/>
      <c r="L58" s="815" t="b">
        <f>$L$12</f>
        <v>1</v>
      </c>
    </row>
    <row r="59" spans="2:12" x14ac:dyDescent="0.25">
      <c r="B59" s="788"/>
      <c r="C59" s="788"/>
      <c r="D59" s="788"/>
      <c r="E59" s="788"/>
      <c r="F59" s="1011" t="s">
        <v>449</v>
      </c>
      <c r="G59" s="788" t="s">
        <v>1257</v>
      </c>
      <c r="H59" s="801"/>
      <c r="I59" s="801"/>
      <c r="J59" s="801"/>
      <c r="K59" s="801"/>
      <c r="L59" s="815"/>
    </row>
    <row r="60" spans="2:12" x14ac:dyDescent="0.25">
      <c r="B60" s="788"/>
      <c r="C60" s="788"/>
      <c r="D60" s="788"/>
      <c r="E60" s="788"/>
      <c r="F60" s="1011"/>
      <c r="G60" s="788"/>
      <c r="H60" s="801"/>
      <c r="I60" s="801"/>
      <c r="J60" s="801"/>
      <c r="K60" s="801"/>
      <c r="L60" s="815"/>
    </row>
    <row r="61" spans="2:12" x14ac:dyDescent="0.25">
      <c r="B61" s="797" t="str">
        <f>IF(C61,"Slide "&amp;RIGHT(B56,LEN(B56)-FIND(" ",B56))+1,B56)</f>
        <v>Slide 10</v>
      </c>
      <c r="C61" s="797" t="b">
        <f>AND($K$1,NOT(G62=""))</f>
        <v>0</v>
      </c>
      <c r="D61" s="798" t="s">
        <v>447</v>
      </c>
      <c r="E61" s="797" t="s">
        <v>1294</v>
      </c>
      <c r="F61" s="1009" t="str">
        <f>IF($H$1, "SlideTitle","")</f>
        <v>SlideTitle</v>
      </c>
      <c r="G61" s="797" t="str">
        <f>IF($H$1,Input!$C$9,"")</f>
        <v>Walmart Inc.</v>
      </c>
      <c r="H61" s="799"/>
      <c r="I61" s="799"/>
      <c r="J61" s="799"/>
      <c r="K61" s="799"/>
      <c r="L61" s="815"/>
    </row>
    <row r="62" spans="2:12" x14ac:dyDescent="0.25">
      <c r="B62" s="788"/>
      <c r="C62" s="788"/>
      <c r="D62" s="788"/>
      <c r="E62" s="788"/>
      <c r="F62" s="1010" t="str">
        <f>IF($H$1, "RoadMap", "SlideTitle")</f>
        <v>RoadMap</v>
      </c>
      <c r="G62" s="788" t="str">
        <f>IF(COUNTIF($E$4:E62,E61)-1&lt;=$E$1,IF($H$1, "Key Professionals", "Key Professionals (" &amp; COUNTIF($E$4:E62,E61)-1 &amp; "/" &amp; $E$1 &amp; ")"),"")</f>
        <v/>
      </c>
      <c r="L62" s="815"/>
    </row>
    <row r="63" spans="2:12" x14ac:dyDescent="0.25">
      <c r="B63" s="788"/>
      <c r="C63" s="788"/>
      <c r="D63" s="788"/>
      <c r="E63" s="788"/>
      <c r="F63" s="1011" t="s">
        <v>448</v>
      </c>
      <c r="G63" s="788" t="str">
        <f>IF(G62="","",ADDRESS(ROW(Key_Professional)+MATCH(COUNTIF($E$4:E63,E61)-1,Professionals!$N$19:$N$68,0),COLUMN(Key_Professional)) &amp;":" &amp; ADDRESS(ROW(Key_Professional)+MATCH(COUNTIF($E$4:E63,E61)-1,Professionals!$N$19:$N$68,0)+COUNTIF(Professionals!$N$19:$N$68,COUNTIF($E$4:E63,E61)-1)-1,COLUMN(Key_Professional)+1))</f>
        <v/>
      </c>
      <c r="H63" s="814">
        <v>0.58299999999999996</v>
      </c>
      <c r="I63" s="814">
        <f>IF($H$1,1.665,1.29)</f>
        <v>1.665</v>
      </c>
      <c r="J63" s="803"/>
      <c r="K63" s="803"/>
      <c r="L63" s="815" t="b">
        <f>$L$12</f>
        <v>1</v>
      </c>
    </row>
    <row r="64" spans="2:12" x14ac:dyDescent="0.25">
      <c r="B64" s="788"/>
      <c r="C64" s="788"/>
      <c r="D64" s="788"/>
      <c r="E64" s="788"/>
      <c r="F64" s="1011" t="s">
        <v>449</v>
      </c>
      <c r="G64" s="788" t="s">
        <v>1257</v>
      </c>
      <c r="H64" s="801"/>
      <c r="I64" s="801"/>
      <c r="J64" s="801"/>
      <c r="K64" s="801"/>
      <c r="L64" s="815"/>
    </row>
    <row r="65" spans="2:12" x14ac:dyDescent="0.25">
      <c r="B65" s="788"/>
      <c r="C65" s="788"/>
      <c r="D65" s="788"/>
      <c r="E65" s="788"/>
      <c r="F65" s="1011"/>
      <c r="G65" s="788"/>
      <c r="H65" s="805"/>
      <c r="I65" s="805"/>
      <c r="J65" s="805"/>
      <c r="K65" s="805"/>
      <c r="L65" s="815"/>
    </row>
    <row r="66" spans="2:12" x14ac:dyDescent="0.25">
      <c r="B66" s="797" t="str">
        <f>IF(C66,"Slide "&amp;RIGHT(B61,LEN(B61)-FIND(" ",B61))+1,B61)</f>
        <v>Slide 10</v>
      </c>
      <c r="C66" s="797" t="b">
        <f>AND($K$1,NOT(G67=""))</f>
        <v>0</v>
      </c>
      <c r="D66" s="798" t="s">
        <v>447</v>
      </c>
      <c r="E66" s="797" t="s">
        <v>1294</v>
      </c>
      <c r="F66" s="1009" t="str">
        <f>IF($H$1, "SlideTitle","")</f>
        <v>SlideTitle</v>
      </c>
      <c r="G66" s="797" t="str">
        <f>IF($H$1,Input!$C$9,"")</f>
        <v>Walmart Inc.</v>
      </c>
      <c r="H66" s="799"/>
      <c r="I66" s="799"/>
      <c r="J66" s="799"/>
      <c r="K66" s="799"/>
      <c r="L66" s="815"/>
    </row>
    <row r="67" spans="2:12" x14ac:dyDescent="0.25">
      <c r="B67" s="788"/>
      <c r="C67" s="788"/>
      <c r="D67" s="788"/>
      <c r="E67" s="788"/>
      <c r="F67" s="1010" t="str">
        <f>IF($H$1, "RoadMap", "SlideTitle")</f>
        <v>RoadMap</v>
      </c>
      <c r="G67" s="788" t="str">
        <f>IF(COUNTIF($E$4:E67,E66)-1&lt;=$E$1,IF($H$1, "Key Professionals", "Key Professionals (" &amp; COUNTIF($E$4:E67,E66)-1 &amp; "/" &amp; $E$1 &amp; ")"),"")</f>
        <v/>
      </c>
      <c r="L67" s="815"/>
    </row>
    <row r="68" spans="2:12" x14ac:dyDescent="0.25">
      <c r="B68" s="788"/>
      <c r="C68" s="788"/>
      <c r="D68" s="788"/>
      <c r="E68" s="788"/>
      <c r="F68" s="1011" t="s">
        <v>448</v>
      </c>
      <c r="G68" s="788" t="str">
        <f>IF(G67="","",ADDRESS(ROW(Key_Professional)+MATCH(COUNTIF($E$4:E68,E66)-1,Professionals!$N$19:$N$68,0),COLUMN(Key_Professional)) &amp;":" &amp; ADDRESS(ROW(Key_Professional)+MATCH(COUNTIF($E$4:E68,E66)-1,Professionals!$N$19:$N$68,0)+COUNTIF(Professionals!$N$19:$N$68,COUNTIF($E$4:E68,E66)-1)-1,COLUMN(Key_Professional)+1))</f>
        <v/>
      </c>
      <c r="H68" s="814">
        <v>0.58299999999999996</v>
      </c>
      <c r="I68" s="814">
        <f>IF($H$1,1.665,1.29)</f>
        <v>1.665</v>
      </c>
      <c r="J68" s="803"/>
      <c r="K68" s="803"/>
      <c r="L68" s="815" t="b">
        <f>$L$12</f>
        <v>1</v>
      </c>
    </row>
    <row r="69" spans="2:12" x14ac:dyDescent="0.25">
      <c r="B69" s="788"/>
      <c r="C69" s="788"/>
      <c r="D69" s="788"/>
      <c r="E69" s="788"/>
      <c r="F69" s="1011" t="s">
        <v>449</v>
      </c>
      <c r="G69" s="788" t="s">
        <v>1257</v>
      </c>
      <c r="H69" s="801"/>
      <c r="I69" s="801"/>
      <c r="J69" s="801"/>
      <c r="K69" s="801"/>
      <c r="L69" s="815"/>
    </row>
    <row r="70" spans="2:12" x14ac:dyDescent="0.25">
      <c r="B70" s="788"/>
      <c r="C70" s="788"/>
      <c r="D70" s="788"/>
      <c r="E70" s="788"/>
      <c r="F70" s="1011"/>
      <c r="G70" s="788"/>
      <c r="H70" s="805"/>
      <c r="I70" s="805"/>
      <c r="J70" s="805"/>
      <c r="K70" s="805"/>
      <c r="L70" s="815"/>
    </row>
    <row r="71" spans="2:12" x14ac:dyDescent="0.25">
      <c r="B71" s="797" t="str">
        <f>IF(C71,"Slide "&amp;RIGHT(B66,LEN(B66)-FIND(" ",B66))+1,B66)</f>
        <v>Slide 11</v>
      </c>
      <c r="C71" s="797" t="b">
        <f>AND($K$1,NOT(G72=""))</f>
        <v>1</v>
      </c>
      <c r="D71" s="798" t="s">
        <v>447</v>
      </c>
      <c r="E71" s="797" t="s">
        <v>1294</v>
      </c>
      <c r="F71" s="1009" t="str">
        <f>IF($H$1, "SlideTitle","")</f>
        <v>SlideTitle</v>
      </c>
      <c r="G71" s="797" t="str">
        <f>IF($H$1,Input!$C$9,"")</f>
        <v>Walmart Inc.</v>
      </c>
      <c r="H71" s="799"/>
      <c r="I71" s="799"/>
      <c r="J71" s="799"/>
      <c r="K71" s="799"/>
      <c r="L71" s="815"/>
    </row>
    <row r="72" spans="2:12" x14ac:dyDescent="0.25">
      <c r="B72" s="788"/>
      <c r="C72" s="788"/>
      <c r="D72" s="788"/>
      <c r="E72" s="788"/>
      <c r="F72" s="1010" t="str">
        <f>IF($H$1, "RoadMap", "SlideTitle")</f>
        <v>RoadMap</v>
      </c>
      <c r="G72" s="788" t="str">
        <f>IF(COUNTIF($E$4:E72,E71)-11&lt;=$E$2,IF($H$1, "Key Board Members", "Key Board Members (" &amp; COUNTIF($E$4:E72,E71)-11 &amp; "/" &amp; $E$2 &amp; ")"),"")</f>
        <v>Key Board Members</v>
      </c>
      <c r="L72" s="815"/>
    </row>
    <row r="73" spans="2:12" x14ac:dyDescent="0.25">
      <c r="B73" s="788"/>
      <c r="C73" s="788"/>
      <c r="D73" s="788"/>
      <c r="E73" s="788"/>
      <c r="F73" s="1011" t="s">
        <v>448</v>
      </c>
      <c r="G73" s="788" t="str">
        <f>IF(G72="","",ADDRESS(ROW(Board_Members)+MATCH(COUNTIF($E$4:E73,E71)-11,Professionals!$N$84:$N$133,0),COLUMN(Board_Members)) &amp;":" &amp; ADDRESS(ROW(Board_Members)+MATCH(COUNTIF($E$4:E73,E71)-11,Professionals!$N$84:$N$133,0)+COUNTIF(Professionals!$N$84:$N$133,COUNTIF($E$4:E73,E71)-11)-1,COLUMN(Board_Members)+1))</f>
        <v>$B$84:$C$88</v>
      </c>
      <c r="H73" s="814">
        <v>0.58299999999999996</v>
      </c>
      <c r="I73" s="814">
        <f>IF($H$1,1.665,1.29)</f>
        <v>1.665</v>
      </c>
      <c r="J73" s="803"/>
      <c r="K73" s="803"/>
      <c r="L73" s="815" t="b">
        <f>$L$12</f>
        <v>1</v>
      </c>
    </row>
    <row r="74" spans="2:12" x14ac:dyDescent="0.25">
      <c r="B74" s="788"/>
      <c r="C74" s="788"/>
      <c r="D74" s="788"/>
      <c r="E74" s="788"/>
      <c r="F74" s="1011" t="s">
        <v>449</v>
      </c>
      <c r="G74" s="788" t="s">
        <v>1257</v>
      </c>
      <c r="H74" s="801"/>
      <c r="I74" s="801"/>
      <c r="J74" s="801"/>
      <c r="K74" s="801"/>
      <c r="L74" s="815"/>
    </row>
    <row r="75" spans="2:12" x14ac:dyDescent="0.25">
      <c r="B75" s="788"/>
      <c r="C75" s="788"/>
      <c r="D75" s="788"/>
      <c r="E75" s="788"/>
      <c r="F75" s="1011"/>
      <c r="G75" s="788"/>
      <c r="H75" s="805"/>
      <c r="I75" s="805"/>
      <c r="J75" s="805"/>
      <c r="K75" s="805"/>
      <c r="L75" s="815"/>
    </row>
    <row r="76" spans="2:12" x14ac:dyDescent="0.25">
      <c r="B76" s="797" t="str">
        <f>IF(C76,"Slide "&amp;RIGHT(B71,LEN(B71)-FIND(" ",B71))+1,B71)</f>
        <v>Slide 12</v>
      </c>
      <c r="C76" s="797" t="b">
        <f>AND($K$1,NOT(G77=""))</f>
        <v>1</v>
      </c>
      <c r="D76" s="798" t="s">
        <v>447</v>
      </c>
      <c r="E76" s="797" t="s">
        <v>1294</v>
      </c>
      <c r="F76" s="1009" t="str">
        <f>IF($H$1, "SlideTitle","")</f>
        <v>SlideTitle</v>
      </c>
      <c r="G76" s="797" t="str">
        <f>IF($H$1,Input!$C$9,"")</f>
        <v>Walmart Inc.</v>
      </c>
      <c r="H76" s="799"/>
      <c r="I76" s="799"/>
      <c r="J76" s="799"/>
      <c r="K76" s="799"/>
      <c r="L76" s="815"/>
    </row>
    <row r="77" spans="2:12" x14ac:dyDescent="0.25">
      <c r="B77" s="788"/>
      <c r="C77" s="788"/>
      <c r="D77" s="788"/>
      <c r="E77" s="788"/>
      <c r="F77" s="1010" t="str">
        <f>IF($H$1, "RoadMap", "SlideTitle")</f>
        <v>RoadMap</v>
      </c>
      <c r="G77" s="788" t="str">
        <f>IF(COUNTIF($E$4:E77,E76)-11&lt;=$E$2,IF($H$1, "Key Board Members", "Key Board Members (" &amp; COUNTIF($E$4:E77,E76)-11 &amp; "/" &amp; $E$2 &amp; ")"),"")</f>
        <v>Key Board Members</v>
      </c>
      <c r="L77" s="815"/>
    </row>
    <row r="78" spans="2:12" x14ac:dyDescent="0.25">
      <c r="B78" s="788"/>
      <c r="C78" s="788"/>
      <c r="D78" s="788"/>
      <c r="E78" s="788"/>
      <c r="F78" s="1011" t="s">
        <v>448</v>
      </c>
      <c r="G78" s="788" t="str">
        <f>IF(G77="","",ADDRESS(ROW(Board_Members)+MATCH(COUNTIF($E$4:E78,E76)-11,Professionals!$N$84:$N$133,0),COLUMN(Board_Members)) &amp;":" &amp; ADDRESS(ROW(Board_Members)+MATCH(COUNTIF($E$4:E78,E76)-11,Professionals!$N$84:$N$133,0)+COUNTIF(Professionals!$N$84:$N$133,COUNTIF($E$4:E78,E76)-11)-1,COLUMN(Board_Members)+1))</f>
        <v>$B$89:$C$93</v>
      </c>
      <c r="H78" s="814">
        <v>0.58299999999999996</v>
      </c>
      <c r="I78" s="814">
        <f>IF($H$1,1.665,1.29)</f>
        <v>1.665</v>
      </c>
      <c r="J78" s="803"/>
      <c r="K78" s="803"/>
      <c r="L78" s="815" t="b">
        <f>$L$12</f>
        <v>1</v>
      </c>
    </row>
    <row r="79" spans="2:12" x14ac:dyDescent="0.25">
      <c r="B79" s="788"/>
      <c r="C79" s="788"/>
      <c r="D79" s="788"/>
      <c r="E79" s="788"/>
      <c r="F79" s="1011" t="s">
        <v>449</v>
      </c>
      <c r="G79" s="788" t="s">
        <v>1257</v>
      </c>
      <c r="H79" s="801"/>
      <c r="I79" s="801"/>
      <c r="J79" s="801"/>
      <c r="K79" s="801"/>
      <c r="L79" s="815"/>
    </row>
    <row r="80" spans="2:12" x14ac:dyDescent="0.25">
      <c r="B80" s="797" t="str">
        <f>IF(C80,"Slide "&amp;RIGHT(B76,LEN(B76)-FIND(" ",B76))+1,B76)</f>
        <v>Slide 13</v>
      </c>
      <c r="C80" s="797" t="b">
        <f>AND($K$1,NOT(G81=""))</f>
        <v>1</v>
      </c>
      <c r="D80" s="798" t="s">
        <v>447</v>
      </c>
      <c r="E80" s="797" t="s">
        <v>1294</v>
      </c>
      <c r="F80" s="1009" t="str">
        <f>IF($H$1, "SlideTitle","")</f>
        <v>SlideTitle</v>
      </c>
      <c r="G80" s="797" t="str">
        <f>IF($H$1,Input!$C$9,"")</f>
        <v>Walmart Inc.</v>
      </c>
      <c r="H80" s="799"/>
      <c r="I80" s="799"/>
      <c r="J80" s="799"/>
      <c r="K80" s="799"/>
      <c r="L80" s="815"/>
    </row>
    <row r="81" spans="2:12" x14ac:dyDescent="0.25">
      <c r="B81" s="788"/>
      <c r="C81" s="788"/>
      <c r="D81" s="788"/>
      <c r="E81" s="788"/>
      <c r="F81" s="1010" t="str">
        <f>IF($H$1, "RoadMap", "SlideTitle")</f>
        <v>RoadMap</v>
      </c>
      <c r="G81" s="788" t="str">
        <f>IF(COUNTIF($E$4:E81,E80)-11&lt;=$E$2,IF($H$1, "Key Board Members", "Key Board Members (" &amp; COUNTIF($E$4:E81,E80)-11 &amp; "/" &amp; $E$2 &amp; ")"),"")</f>
        <v>Key Board Members</v>
      </c>
      <c r="L81" s="815"/>
    </row>
    <row r="82" spans="2:12" x14ac:dyDescent="0.25">
      <c r="B82" s="788"/>
      <c r="C82" s="788"/>
      <c r="D82" s="788"/>
      <c r="E82" s="788"/>
      <c r="F82" s="1011" t="s">
        <v>448</v>
      </c>
      <c r="G82" s="788" t="str">
        <f>IF(G81="","",ADDRESS(ROW(Board_Members)+MATCH(COUNTIF($E$4:E82,E80)-11,Professionals!$N$84:$N$133,0),COLUMN(Board_Members)) &amp;":" &amp; ADDRESS(ROW(Board_Members)+MATCH(COUNTIF($E$4:E82,E80)-11,Professionals!$N$84:$N$133,0)+COUNTIF(Professionals!$N$84:$N$133,COUNTIF($E$4:E82,E80)-11)-1,COLUMN(Board_Members)+1))</f>
        <v>$B$94:$C$103</v>
      </c>
      <c r="H82" s="814">
        <v>0.58299999999999996</v>
      </c>
      <c r="I82" s="814">
        <f>IF($H$1,1.665,1.29)</f>
        <v>1.665</v>
      </c>
      <c r="J82" s="803"/>
      <c r="K82" s="803"/>
      <c r="L82" s="815" t="b">
        <f>$L$12</f>
        <v>1</v>
      </c>
    </row>
    <row r="83" spans="2:12" x14ac:dyDescent="0.25">
      <c r="B83" s="788"/>
      <c r="C83" s="788"/>
      <c r="D83" s="788"/>
      <c r="E83" s="788"/>
      <c r="F83" s="1011" t="s">
        <v>449</v>
      </c>
      <c r="G83" s="788" t="s">
        <v>1257</v>
      </c>
      <c r="H83" s="801"/>
      <c r="I83" s="801"/>
      <c r="J83" s="801"/>
      <c r="K83" s="801"/>
      <c r="L83" s="815"/>
    </row>
    <row r="84" spans="2:12" x14ac:dyDescent="0.25">
      <c r="B84" s="788"/>
      <c r="C84" s="788"/>
      <c r="D84" s="788"/>
      <c r="E84" s="788"/>
      <c r="F84" s="1011"/>
      <c r="G84" s="788"/>
      <c r="H84" s="805"/>
      <c r="I84" s="805"/>
      <c r="J84" s="805"/>
      <c r="K84" s="805"/>
      <c r="L84" s="815"/>
    </row>
    <row r="85" spans="2:12" x14ac:dyDescent="0.25">
      <c r="B85" s="797" t="str">
        <f>IF(C85,"Slide "&amp;RIGHT(B80,LEN(B80)-FIND(" ",B80))+1,B80)</f>
        <v>Slide 14</v>
      </c>
      <c r="C85" s="797" t="b">
        <f>AND($K$1,NOT(G86=""))</f>
        <v>1</v>
      </c>
      <c r="D85" s="798" t="s">
        <v>447</v>
      </c>
      <c r="E85" s="797" t="s">
        <v>1294</v>
      </c>
      <c r="F85" s="1009" t="str">
        <f>IF($H$1, "SlideTitle","")</f>
        <v>SlideTitle</v>
      </c>
      <c r="G85" s="797" t="str">
        <f>IF($H$1,Input!$C$9,"")</f>
        <v>Walmart Inc.</v>
      </c>
      <c r="H85" s="799"/>
      <c r="I85" s="799"/>
      <c r="J85" s="799"/>
      <c r="K85" s="799"/>
      <c r="L85" s="815"/>
    </row>
    <row r="86" spans="2:12" x14ac:dyDescent="0.25">
      <c r="B86" s="788"/>
      <c r="C86" s="788"/>
      <c r="D86" s="788"/>
      <c r="E86" s="788"/>
      <c r="F86" s="1010" t="str">
        <f>IF($H$1, "RoadMap", "SlideTitle")</f>
        <v>RoadMap</v>
      </c>
      <c r="G86" s="788" t="str">
        <f>IF(COUNTIF($E$4:E86,E85)-11&lt;=$E$2,IF($H$1, "Key Board Members", "Key Board Members (" &amp; COUNTIF($E$4:E86,E85)-11 &amp; "/" &amp; $E$2 &amp; ")"),"")</f>
        <v>Key Board Members</v>
      </c>
      <c r="L86" s="815"/>
    </row>
    <row r="87" spans="2:12" x14ac:dyDescent="0.25">
      <c r="B87" s="788"/>
      <c r="C87" s="788"/>
      <c r="D87" s="788"/>
      <c r="E87" s="788"/>
      <c r="F87" s="1011" t="s">
        <v>448</v>
      </c>
      <c r="G87" s="788" t="str">
        <f>IF(G86="","",ADDRESS(ROW(Board_Members)+MATCH(COUNTIF($E$4:E87,E85)-11,Professionals!$N$84:$N$133,0),COLUMN(Board_Members)) &amp;":" &amp; ADDRESS(ROW(Board_Members)+MATCH(COUNTIF($E$4:E87,E85)-11,Professionals!$N$84:$N$133,0)+COUNTIF(Professionals!$N$84:$N$133,COUNTIF($E$4:E87,E85)-11)-1,COLUMN(Board_Members)+1))</f>
        <v>$B$104:$C$108</v>
      </c>
      <c r="H87" s="814">
        <v>0.58299999999999996</v>
      </c>
      <c r="I87" s="814">
        <f>IF($H$1,1.665,1.29)</f>
        <v>1.665</v>
      </c>
      <c r="J87" s="803"/>
      <c r="K87" s="803"/>
      <c r="L87" s="815" t="b">
        <f>$L$12</f>
        <v>1</v>
      </c>
    </row>
    <row r="88" spans="2:12" x14ac:dyDescent="0.25">
      <c r="B88" s="788"/>
      <c r="C88" s="788"/>
      <c r="D88" s="788"/>
      <c r="E88" s="788"/>
      <c r="F88" s="1011" t="s">
        <v>449</v>
      </c>
      <c r="G88" s="788" t="s">
        <v>1257</v>
      </c>
      <c r="H88" s="801"/>
      <c r="I88" s="801"/>
      <c r="J88" s="801"/>
      <c r="K88" s="801"/>
      <c r="L88" s="815"/>
    </row>
    <row r="89" spans="2:12" x14ac:dyDescent="0.25">
      <c r="B89" s="788"/>
      <c r="C89" s="788"/>
      <c r="D89" s="788"/>
      <c r="E89" s="788"/>
      <c r="F89" s="1011"/>
      <c r="G89" s="788"/>
      <c r="H89" s="805"/>
      <c r="I89" s="805"/>
      <c r="J89" s="805"/>
      <c r="K89" s="805"/>
      <c r="L89" s="815"/>
    </row>
    <row r="90" spans="2:12" x14ac:dyDescent="0.25">
      <c r="B90" s="797" t="str">
        <f>IF(C90,"Slide "&amp;RIGHT(B85,LEN(B85)-FIND(" ",B85))+1,B85)</f>
        <v>Slide 15</v>
      </c>
      <c r="C90" s="797" t="b">
        <f>AND($K$1,NOT(G91=""))</f>
        <v>1</v>
      </c>
      <c r="D90" s="798" t="s">
        <v>447</v>
      </c>
      <c r="E90" s="797" t="s">
        <v>1294</v>
      </c>
      <c r="F90" s="1009" t="str">
        <f>IF($H$1, "SlideTitle","")</f>
        <v>SlideTitle</v>
      </c>
      <c r="G90" s="797" t="str">
        <f>IF($H$1,Input!$C$9,"")</f>
        <v>Walmart Inc.</v>
      </c>
      <c r="H90" s="799"/>
      <c r="I90" s="799"/>
      <c r="J90" s="799"/>
      <c r="K90" s="799"/>
      <c r="L90" s="815"/>
    </row>
    <row r="91" spans="2:12" x14ac:dyDescent="0.25">
      <c r="B91" s="788"/>
      <c r="C91" s="788"/>
      <c r="D91" s="788"/>
      <c r="E91" s="788"/>
      <c r="F91" s="1010" t="str">
        <f>IF($H$1, "RoadMap", "SlideTitle")</f>
        <v>RoadMap</v>
      </c>
      <c r="G91" s="788" t="str">
        <f>IF(COUNTIF($E$4:E91,E90)-11&lt;=$E$2,IF($H$1, "Key Board Members", "Key Board Members (" &amp; COUNTIF($E$4:E91,E90)-11 &amp; "/" &amp; $E$2 &amp; ")"),"")</f>
        <v>Key Board Members</v>
      </c>
      <c r="L91" s="815"/>
    </row>
    <row r="92" spans="2:12" x14ac:dyDescent="0.25">
      <c r="B92" s="788"/>
      <c r="C92" s="788"/>
      <c r="D92" s="788"/>
      <c r="E92" s="788"/>
      <c r="F92" s="1011" t="s">
        <v>448</v>
      </c>
      <c r="G92" s="788" t="str">
        <f>IF(G91="","",ADDRESS(ROW(Board_Members)+MATCH(COUNTIF($E$4:E92,E90)-11,Professionals!$N$84:$N$133,0),COLUMN(Board_Members)) &amp;":" &amp; ADDRESS(ROW(Board_Members)+MATCH(COUNTIF($E$4:E92,E90)-11,Professionals!$N$84:$N$133,0)+COUNTIF(Professionals!$N$84:$N$133,COUNTIF($E$4:E92,E90)-11)-1,COLUMN(Board_Members)+1))</f>
        <v>$B$109:$C$118</v>
      </c>
      <c r="H92" s="814">
        <v>0.58299999999999996</v>
      </c>
      <c r="I92" s="814">
        <f>IF($H$1,1.665,1.29)</f>
        <v>1.665</v>
      </c>
      <c r="J92" s="803"/>
      <c r="K92" s="803"/>
      <c r="L92" s="815" t="b">
        <f>$L$12</f>
        <v>1</v>
      </c>
    </row>
    <row r="93" spans="2:12" x14ac:dyDescent="0.25">
      <c r="B93" s="788"/>
      <c r="C93" s="788"/>
      <c r="D93" s="788"/>
      <c r="E93" s="788"/>
      <c r="F93" s="1011" t="s">
        <v>449</v>
      </c>
      <c r="G93" s="788" t="s">
        <v>1257</v>
      </c>
      <c r="H93" s="801"/>
      <c r="I93" s="801"/>
      <c r="J93" s="801"/>
      <c r="K93" s="801"/>
      <c r="L93" s="815"/>
    </row>
    <row r="94" spans="2:12" x14ac:dyDescent="0.25">
      <c r="B94" s="788"/>
      <c r="C94" s="788"/>
      <c r="D94" s="788"/>
      <c r="E94" s="788"/>
      <c r="F94" s="1011"/>
      <c r="G94" s="788"/>
      <c r="H94" s="805"/>
      <c r="I94" s="805"/>
      <c r="J94" s="805"/>
      <c r="K94" s="805"/>
      <c r="L94" s="815"/>
    </row>
    <row r="95" spans="2:12" x14ac:dyDescent="0.25">
      <c r="B95" s="797" t="str">
        <f>IF(C95,"Slide "&amp;RIGHT(B90,LEN(B90)-FIND(" ",B90))+1,B90)</f>
        <v>Slide 16</v>
      </c>
      <c r="C95" s="797" t="b">
        <f>AND($K$1,NOT(G96=""))</f>
        <v>1</v>
      </c>
      <c r="D95" s="798" t="s">
        <v>447</v>
      </c>
      <c r="E95" s="797" t="s">
        <v>1294</v>
      </c>
      <c r="F95" s="1009" t="str">
        <f>IF($H$1, "SlideTitle","")</f>
        <v>SlideTitle</v>
      </c>
      <c r="G95" s="797" t="str">
        <f>IF($H$1,Input!$C$9,"")</f>
        <v>Walmart Inc.</v>
      </c>
      <c r="H95" s="799"/>
      <c r="I95" s="799"/>
      <c r="J95" s="799"/>
      <c r="K95" s="799"/>
      <c r="L95" s="815"/>
    </row>
    <row r="96" spans="2:12" x14ac:dyDescent="0.25">
      <c r="B96" s="788"/>
      <c r="C96" s="788"/>
      <c r="D96" s="788"/>
      <c r="E96" s="788"/>
      <c r="F96" s="1010" t="str">
        <f>IF($H$1, "RoadMap", "SlideTitle")</f>
        <v>RoadMap</v>
      </c>
      <c r="G96" s="788" t="str">
        <f>IF(COUNTIF($E$4:E96,E95)-11&lt;=$E$2,IF($H$1, "Key Board Members", "Key Board Members (" &amp; COUNTIF($E$4:E96,E95)-11 &amp; "/" &amp; $E$2 &amp; ")"),"")</f>
        <v>Key Board Members</v>
      </c>
      <c r="L96" s="815"/>
    </row>
    <row r="97" spans="2:12" x14ac:dyDescent="0.25">
      <c r="B97" s="788"/>
      <c r="C97" s="788"/>
      <c r="D97" s="788"/>
      <c r="E97" s="788"/>
      <c r="F97" s="1011" t="s">
        <v>448</v>
      </c>
      <c r="G97" s="788" t="str">
        <f>IF(G96="","",ADDRESS(ROW(Board_Members)+MATCH(COUNTIF($E$4:E97,E95)-11,Professionals!$N$84:$N$133,0),COLUMN(Board_Members)) &amp;":" &amp; ADDRESS(ROW(Board_Members)+MATCH(COUNTIF($E$4:E97,E95)-11,Professionals!$N$84:$N$133,0)+COUNTIF(Professionals!$N$84:$N$133,COUNTIF($E$4:E97,E95)-11)-1,COLUMN(Board_Members)+1))</f>
        <v>$B$119:$C$123</v>
      </c>
      <c r="H97" s="814">
        <v>0.58299999999999996</v>
      </c>
      <c r="I97" s="814">
        <f>IF($H$1,1.665,1.29)</f>
        <v>1.665</v>
      </c>
      <c r="J97" s="803"/>
      <c r="K97" s="803"/>
      <c r="L97" s="815" t="b">
        <f>$L$12</f>
        <v>1</v>
      </c>
    </row>
    <row r="98" spans="2:12" x14ac:dyDescent="0.25">
      <c r="B98" s="788"/>
      <c r="C98" s="788"/>
      <c r="D98" s="788"/>
      <c r="E98" s="788"/>
      <c r="F98" s="1011" t="s">
        <v>449</v>
      </c>
      <c r="G98" s="788" t="s">
        <v>1257</v>
      </c>
      <c r="H98" s="801"/>
      <c r="I98" s="801"/>
      <c r="J98" s="801"/>
      <c r="K98" s="801"/>
      <c r="L98" s="815"/>
    </row>
    <row r="99" spans="2:12" x14ac:dyDescent="0.25">
      <c r="B99" s="797" t="str">
        <f>IF(C99,"Slide "&amp;RIGHT(B95,LEN(B95)-FIND(" ",B95))+1,B95)</f>
        <v>Slide 17</v>
      </c>
      <c r="C99" s="797" t="b">
        <f>AND($K$1,NOT(G100=""))</f>
        <v>1</v>
      </c>
      <c r="D99" s="798" t="s">
        <v>447</v>
      </c>
      <c r="E99" s="797" t="s">
        <v>1294</v>
      </c>
      <c r="F99" s="1009" t="str">
        <f>IF($H$1, "SlideTitle","")</f>
        <v>SlideTitle</v>
      </c>
      <c r="G99" s="797" t="str">
        <f>IF($H$1,Input!$C$9,"")</f>
        <v>Walmart Inc.</v>
      </c>
      <c r="H99" s="799"/>
      <c r="I99" s="799"/>
      <c r="J99" s="799"/>
      <c r="K99" s="799"/>
      <c r="L99" s="815"/>
    </row>
    <row r="100" spans="2:12" x14ac:dyDescent="0.25">
      <c r="B100" s="788"/>
      <c r="C100" s="788"/>
      <c r="D100" s="788"/>
      <c r="E100" s="788"/>
      <c r="F100" s="1010" t="str">
        <f>IF($H$1, "RoadMap", "SlideTitle")</f>
        <v>RoadMap</v>
      </c>
      <c r="G100" s="788" t="str">
        <f>IF(COUNTIF($E$4:E100,E99)-11&lt;=$E$2,IF($H$1, "Key Board Members", "Key Board Members (" &amp; COUNTIF($E$4:E100,E99)-11 &amp; "/" &amp; $E$2 &amp; ")"),"")</f>
        <v>Key Board Members</v>
      </c>
      <c r="L100" s="815"/>
    </row>
    <row r="101" spans="2:12" x14ac:dyDescent="0.25">
      <c r="B101" s="788"/>
      <c r="C101" s="788"/>
      <c r="D101" s="788"/>
      <c r="E101" s="788"/>
      <c r="F101" s="1011" t="s">
        <v>448</v>
      </c>
      <c r="G101" s="788" t="str">
        <f>IF(G100="","",ADDRESS(ROW(Board_Members)+MATCH(COUNTIF($E$4:E101,E99)-11,Professionals!$N$84:$N$133,0),COLUMN(Board_Members)) &amp;":" &amp; ADDRESS(ROW(Board_Members)+MATCH(COUNTIF($E$4:E101,E99)-11,Professionals!$N$84:$N$133,0)+COUNTIF(Professionals!$N$84:$N$133,COUNTIF($E$4:E101,E99)-11)-1,COLUMN(Board_Members)+1))</f>
        <v>$B$124:$C$128</v>
      </c>
      <c r="H101" s="814">
        <v>0.58299999999999996</v>
      </c>
      <c r="I101" s="814">
        <f>IF($H$1,1.665,1.29)</f>
        <v>1.665</v>
      </c>
      <c r="J101" s="803"/>
      <c r="K101" s="803"/>
      <c r="L101" s="815" t="b">
        <f>$L$12</f>
        <v>1</v>
      </c>
    </row>
    <row r="102" spans="2:12" x14ac:dyDescent="0.25">
      <c r="B102" s="788"/>
      <c r="C102" s="788"/>
      <c r="D102" s="788"/>
      <c r="E102" s="788"/>
      <c r="F102" s="1011" t="s">
        <v>449</v>
      </c>
      <c r="G102" s="788" t="s">
        <v>1257</v>
      </c>
      <c r="H102" s="801"/>
      <c r="I102" s="801"/>
      <c r="J102" s="801"/>
      <c r="K102" s="801"/>
      <c r="L102" s="815"/>
    </row>
    <row r="103" spans="2:12" x14ac:dyDescent="0.25">
      <c r="B103" s="788"/>
      <c r="C103" s="788"/>
      <c r="D103" s="788"/>
      <c r="E103" s="788"/>
      <c r="F103" s="1011"/>
      <c r="G103" s="788"/>
      <c r="H103" s="805"/>
      <c r="I103" s="805"/>
      <c r="J103" s="805"/>
      <c r="K103" s="805"/>
      <c r="L103" s="815"/>
    </row>
    <row r="104" spans="2:12" x14ac:dyDescent="0.25">
      <c r="B104" s="797" t="str">
        <f>IF(C104,"Slide "&amp;RIGHT(B99,LEN(B99)-FIND(" ",B99))+1,B99)</f>
        <v>Slide 18</v>
      </c>
      <c r="C104" s="797" t="b">
        <f>AND($K$1,NOT(G105=""))</f>
        <v>1</v>
      </c>
      <c r="D104" s="798" t="s">
        <v>447</v>
      </c>
      <c r="E104" s="797" t="s">
        <v>1294</v>
      </c>
      <c r="F104" s="1009" t="str">
        <f>IF($H$1, "SlideTitle","")</f>
        <v>SlideTitle</v>
      </c>
      <c r="G104" s="797" t="str">
        <f>IF($H$1,Input!$C$9,"")</f>
        <v>Walmart Inc.</v>
      </c>
      <c r="H104" s="799"/>
      <c r="I104" s="799"/>
      <c r="J104" s="799"/>
      <c r="K104" s="799"/>
      <c r="L104" s="815"/>
    </row>
    <row r="105" spans="2:12" x14ac:dyDescent="0.25">
      <c r="B105" s="788"/>
      <c r="C105" s="788"/>
      <c r="D105" s="788"/>
      <c r="E105" s="788"/>
      <c r="F105" s="1010" t="str">
        <f>IF($H$1, "RoadMap", "SlideTitle")</f>
        <v>RoadMap</v>
      </c>
      <c r="G105" s="788" t="str">
        <f>IF(COUNTIF($E$4:E105,E104)-11&lt;=$E$2,IF($H$1, "Key Board Members", "Key Board Members (" &amp; COUNTIF($E$4:E105,E104)-11 &amp; "/" &amp; $E$2 &amp; ")"),"")</f>
        <v>Key Board Members</v>
      </c>
      <c r="L105" s="815"/>
    </row>
    <row r="106" spans="2:12" x14ac:dyDescent="0.25">
      <c r="B106" s="788"/>
      <c r="C106" s="788"/>
      <c r="D106" s="788"/>
      <c r="E106" s="788"/>
      <c r="F106" s="1011" t="s">
        <v>448</v>
      </c>
      <c r="G106" s="788" t="str">
        <f>IF(G105="","",ADDRESS(ROW(Board_Members)+MATCH(COUNTIF($E$4:E106,E104)-11,Professionals!$N$84:$N$133,0),COLUMN(Board_Members)) &amp;":" &amp; ADDRESS(ROW(Board_Members)+MATCH(COUNTIF($E$4:E106,E104)-11,Professionals!$N$84:$N$133,0)+COUNTIF(Professionals!$N$84:$N$133,COUNTIF($E$4:E106,E104)-11)-1,COLUMN(Board_Members)+1))</f>
        <v>$B$129:$C$133</v>
      </c>
      <c r="H106" s="814">
        <v>0.58299999999999996</v>
      </c>
      <c r="I106" s="814">
        <f>IF($H$1,1.665,1.29)</f>
        <v>1.665</v>
      </c>
      <c r="J106" s="803"/>
      <c r="K106" s="803"/>
      <c r="L106" s="815" t="b">
        <f>$L$12</f>
        <v>1</v>
      </c>
    </row>
    <row r="107" spans="2:12" x14ac:dyDescent="0.25">
      <c r="B107" s="788"/>
      <c r="C107" s="788"/>
      <c r="D107" s="788"/>
      <c r="E107" s="788"/>
      <c r="F107" s="1011" t="s">
        <v>449</v>
      </c>
      <c r="G107" s="788" t="s">
        <v>1257</v>
      </c>
      <c r="H107" s="801"/>
      <c r="I107" s="801"/>
      <c r="J107" s="801"/>
      <c r="K107" s="801"/>
      <c r="L107" s="815"/>
    </row>
    <row r="108" spans="2:12" x14ac:dyDescent="0.25">
      <c r="B108" s="788"/>
      <c r="C108" s="788"/>
      <c r="D108" s="788"/>
      <c r="E108" s="788"/>
      <c r="F108" s="1011"/>
      <c r="G108" s="788"/>
      <c r="H108" s="805"/>
      <c r="I108" s="805"/>
      <c r="J108" s="805"/>
      <c r="K108" s="805"/>
      <c r="L108" s="815"/>
    </row>
    <row r="109" spans="2:12" x14ac:dyDescent="0.25">
      <c r="B109" s="797" t="str">
        <f>IF(C109,"Slide "&amp;RIGHT(B104,LEN(B104)-FIND(" ",B104))+1,B104)</f>
        <v>Slide 18</v>
      </c>
      <c r="C109" s="797" t="b">
        <f>AND($K$1,NOT(G110=""))</f>
        <v>0</v>
      </c>
      <c r="D109" s="798" t="s">
        <v>447</v>
      </c>
      <c r="E109" s="797" t="s">
        <v>1294</v>
      </c>
      <c r="F109" s="1009" t="str">
        <f>IF($H$1, "SlideTitle","")</f>
        <v>SlideTitle</v>
      </c>
      <c r="G109" s="797" t="str">
        <f>IF($H$1,Input!$C$9,"")</f>
        <v>Walmart Inc.</v>
      </c>
      <c r="H109" s="799"/>
      <c r="I109" s="799"/>
      <c r="J109" s="799"/>
      <c r="K109" s="799"/>
      <c r="L109" s="815"/>
    </row>
    <row r="110" spans="2:12" x14ac:dyDescent="0.25">
      <c r="B110" s="788"/>
      <c r="C110" s="788"/>
      <c r="D110" s="788"/>
      <c r="E110" s="788"/>
      <c r="F110" s="1010" t="str">
        <f>IF($H$1, "RoadMap", "SlideTitle")</f>
        <v>RoadMap</v>
      </c>
      <c r="G110" s="788" t="str">
        <f>IF(COUNTIF($E$4:E110,E109)-11&lt;=$E$2,IF($H$1, "Key Board Members", "Key Board Members (" &amp; COUNTIF($E$4:E110,E109)-11 &amp; "/" &amp; $E$2 &amp; ")"),"")</f>
        <v/>
      </c>
      <c r="L110" s="815"/>
    </row>
    <row r="111" spans="2:12" x14ac:dyDescent="0.25">
      <c r="B111" s="788"/>
      <c r="C111" s="788"/>
      <c r="D111" s="788"/>
      <c r="E111" s="788"/>
      <c r="F111" s="1011" t="s">
        <v>448</v>
      </c>
      <c r="G111" s="788" t="str">
        <f>IF(G110="","",ADDRESS(ROW(Board_Members)+MATCH(COUNTIF($E$4:E111,E109)-11,Professionals!$N$84:$N$133,0),COLUMN(Board_Members)) &amp;":" &amp; ADDRESS(ROW(Board_Members)+MATCH(COUNTIF($E$4:E111,E109)-11,Professionals!$N$84:$N$133,0)+COUNTIF(Professionals!$N$84:$N$133,COUNTIF($E$4:E111,E109)-11)-1,COLUMN(Board_Members)+1))</f>
        <v/>
      </c>
      <c r="H111" s="814">
        <v>0.58299999999999996</v>
      </c>
      <c r="I111" s="814">
        <f>IF($H$1,1.665,1.29)</f>
        <v>1.665</v>
      </c>
      <c r="J111" s="803"/>
      <c r="K111" s="803"/>
      <c r="L111" s="815" t="b">
        <f>$L$12</f>
        <v>1</v>
      </c>
    </row>
    <row r="112" spans="2:12" x14ac:dyDescent="0.25">
      <c r="B112" s="788"/>
      <c r="C112" s="788"/>
      <c r="D112" s="788"/>
      <c r="E112" s="788"/>
      <c r="F112" s="1011" t="s">
        <v>449</v>
      </c>
      <c r="G112" s="788" t="s">
        <v>1257</v>
      </c>
      <c r="H112" s="801"/>
      <c r="I112" s="801"/>
      <c r="J112" s="801"/>
      <c r="K112" s="801"/>
      <c r="L112" s="815"/>
    </row>
    <row r="113" spans="2:12" x14ac:dyDescent="0.25">
      <c r="B113" s="788"/>
      <c r="C113" s="788"/>
      <c r="D113" s="788"/>
      <c r="E113" s="788"/>
      <c r="F113" s="1011"/>
      <c r="G113" s="788"/>
      <c r="H113" s="805"/>
      <c r="I113" s="805"/>
      <c r="J113" s="805"/>
      <c r="K113" s="805"/>
      <c r="L113" s="815"/>
    </row>
    <row r="114" spans="2:12" x14ac:dyDescent="0.25">
      <c r="B114" s="797" t="str">
        <f>IF(C114,"Slide "&amp;RIGHT(B109,LEN(B109)-FIND(" ",B109))+1,B109)</f>
        <v>Slide 18</v>
      </c>
      <c r="C114" s="797" t="b">
        <f>AND($K$1,NOT(G115=""))</f>
        <v>0</v>
      </c>
      <c r="D114" s="798" t="s">
        <v>447</v>
      </c>
      <c r="E114" s="797" t="s">
        <v>1294</v>
      </c>
      <c r="F114" s="1009" t="str">
        <f>IF($H$1, "SlideTitle","")</f>
        <v>SlideTitle</v>
      </c>
      <c r="G114" s="797" t="str">
        <f>IF($H$1,Input!$C$9,"")</f>
        <v>Walmart Inc.</v>
      </c>
      <c r="H114" s="799"/>
      <c r="I114" s="799"/>
      <c r="J114" s="799"/>
      <c r="K114" s="799"/>
      <c r="L114" s="815"/>
    </row>
    <row r="115" spans="2:12" x14ac:dyDescent="0.25">
      <c r="B115" s="788"/>
      <c r="C115" s="788"/>
      <c r="D115" s="788"/>
      <c r="E115" s="788"/>
      <c r="F115" s="1010" t="str">
        <f>IF($H$1, "RoadMap", "SlideTitle")</f>
        <v>RoadMap</v>
      </c>
      <c r="G115" s="788" t="str">
        <f>IF(COUNTIF($E$4:E115,E114)-11&lt;=$E$2,IF($H$1, "Key Board Members", "Key Board Members (" &amp; COUNTIF($E$4:E115,E114)-11 &amp; "/" &amp; $E$2 &amp; ")"),"")</f>
        <v/>
      </c>
      <c r="L115" s="815"/>
    </row>
    <row r="116" spans="2:12" x14ac:dyDescent="0.25">
      <c r="B116" s="788"/>
      <c r="C116" s="788"/>
      <c r="D116" s="788"/>
      <c r="E116" s="788"/>
      <c r="F116" s="1011" t="s">
        <v>448</v>
      </c>
      <c r="G116" s="788" t="str">
        <f>IF(G115="","",ADDRESS(ROW(Board_Members)+MATCH(COUNTIF($E$4:E116,E114)-11,Professionals!$N$84:$N$133,0),COLUMN(Board_Members)) &amp;":" &amp; ADDRESS(ROW(Board_Members)+MATCH(COUNTIF($E$4:E116,E114)-11,Professionals!$N$84:$N$133,0)+COUNTIF(Professionals!$N$84:$N$133,COUNTIF($E$4:E116,E114)-11)-1,COLUMN(Board_Members)+1))</f>
        <v/>
      </c>
      <c r="H116" s="814">
        <v>0.58299999999999996</v>
      </c>
      <c r="I116" s="814">
        <f>IF($H$1,1.665,1.29)</f>
        <v>1.665</v>
      </c>
      <c r="J116" s="803"/>
      <c r="K116" s="803"/>
      <c r="L116" s="815" t="b">
        <f>$L$12</f>
        <v>1</v>
      </c>
    </row>
    <row r="117" spans="2:12" x14ac:dyDescent="0.25">
      <c r="B117" s="788"/>
      <c r="C117" s="788"/>
      <c r="D117" s="788"/>
      <c r="E117" s="788"/>
      <c r="F117" s="1011" t="s">
        <v>449</v>
      </c>
      <c r="G117" s="788" t="s">
        <v>1257</v>
      </c>
      <c r="H117" s="801"/>
      <c r="I117" s="801"/>
      <c r="J117" s="801"/>
      <c r="K117" s="801"/>
      <c r="L117" s="815"/>
    </row>
    <row r="118" spans="2:12" x14ac:dyDescent="0.25">
      <c r="B118" s="788"/>
      <c r="C118" s="788"/>
      <c r="D118" s="788"/>
      <c r="E118" s="788"/>
      <c r="F118" s="1011"/>
      <c r="G118" s="788"/>
      <c r="H118" s="805"/>
      <c r="I118" s="805"/>
      <c r="J118" s="805"/>
      <c r="K118" s="805"/>
      <c r="L118" s="815"/>
    </row>
    <row r="119" spans="2:12" x14ac:dyDescent="0.25">
      <c r="B119" s="797" t="str">
        <f>IF(C119,"Slide "&amp;RIGHT(B114,LEN(B114)-FIND(" ",B114))+1,B114)</f>
        <v>Slide 19</v>
      </c>
      <c r="C119" s="797" t="b">
        <f>$K$1</f>
        <v>1</v>
      </c>
      <c r="D119" s="798" t="s">
        <v>447</v>
      </c>
      <c r="E119" s="816" t="str">
        <f ca="1">$E$139</f>
        <v>Financial Analysis_H</v>
      </c>
      <c r="F119" s="1009" t="s">
        <v>1243</v>
      </c>
      <c r="G119" s="797" t="s">
        <v>412</v>
      </c>
      <c r="H119" s="799"/>
      <c r="I119" s="799"/>
      <c r="J119" s="799"/>
      <c r="K119" s="799"/>
      <c r="L119" s="815"/>
    </row>
    <row r="120" spans="2:12" x14ac:dyDescent="0.25">
      <c r="B120" s="797" t="str">
        <f>IF(C120,"Slide "&amp;RIGHT(B119,LEN(B119)-FIND(" ",B119))+1,B119)</f>
        <v>Slide 20</v>
      </c>
      <c r="C120" s="797" t="b">
        <f>$K$1</f>
        <v>1</v>
      </c>
      <c r="D120" s="798" t="s">
        <v>447</v>
      </c>
      <c r="E120" s="797" t="str">
        <f ca="1">MID(CELL("address",'Key Financials_H'!$B$1),SEARCH("]",CELL("address",'Key Financials_H'!$B$1))+1,SEARCH("'!$",CELL("address",'Key Financials_H'!$B$1))-SEARCH("]",CELL("address",'Key Financials_H'!$B$1))-1)</f>
        <v>Key Financials_H</v>
      </c>
      <c r="F120" s="1009" t="str">
        <f>IF($H$1, "SlideTitle","")</f>
        <v>SlideTitle</v>
      </c>
      <c r="G120" s="797" t="str">
        <f>IF($H$1,Input!$C$9,"")</f>
        <v>Walmart Inc.</v>
      </c>
      <c r="H120" s="799"/>
      <c r="I120" s="799"/>
      <c r="J120" s="799"/>
      <c r="K120" s="799"/>
      <c r="L120" s="790"/>
    </row>
    <row r="121" spans="2:12" x14ac:dyDescent="0.25">
      <c r="B121" s="788"/>
      <c r="C121" s="788"/>
      <c r="D121" s="788"/>
      <c r="E121" s="788"/>
      <c r="F121" s="1010" t="str">
        <f>IF($H$1, "RoadMap", "SlideTitle")</f>
        <v>RoadMap</v>
      </c>
      <c r="G121" s="788" t="s">
        <v>1160</v>
      </c>
      <c r="L121" s="790"/>
    </row>
    <row r="122" spans="2:12" x14ac:dyDescent="0.25">
      <c r="B122" s="788"/>
      <c r="C122" s="788"/>
      <c r="D122" s="788"/>
      <c r="E122" s="788"/>
      <c r="F122" s="788" t="s">
        <v>448</v>
      </c>
      <c r="G122" s="788" t="s">
        <v>1206</v>
      </c>
      <c r="H122" s="814">
        <v>0.58299999999999996</v>
      </c>
      <c r="I122" s="814">
        <f>IF($H$1,1.665,1.29)</f>
        <v>1.665</v>
      </c>
      <c r="J122" s="803"/>
      <c r="K122" s="803"/>
      <c r="L122" s="790" t="b">
        <f>L12</f>
        <v>1</v>
      </c>
    </row>
    <row r="123" spans="2:12" x14ac:dyDescent="0.25">
      <c r="B123" s="788"/>
      <c r="C123" s="788"/>
      <c r="D123" s="788"/>
      <c r="E123" s="788"/>
      <c r="F123" s="788" t="s">
        <v>449</v>
      </c>
      <c r="G123" s="788" t="s">
        <v>1257</v>
      </c>
      <c r="H123" s="801"/>
      <c r="I123" s="801"/>
      <c r="J123" s="801"/>
      <c r="K123" s="801"/>
      <c r="L123" s="790"/>
    </row>
    <row r="124" spans="2:12" x14ac:dyDescent="0.25">
      <c r="B124" s="788"/>
      <c r="C124" s="788"/>
      <c r="D124" s="788"/>
      <c r="E124" s="788"/>
      <c r="F124" s="788"/>
      <c r="G124" s="788"/>
      <c r="H124" s="805"/>
      <c r="I124" s="805"/>
      <c r="J124" s="805"/>
      <c r="K124" s="805"/>
      <c r="L124" s="790"/>
    </row>
    <row r="125" spans="2:12" x14ac:dyDescent="0.25">
      <c r="B125" s="797" t="str">
        <f>IF(C125,"Slide "&amp;RIGHT(B120,LEN(B120)-FIND(" ",B120))+1,B120)</f>
        <v>Slide 21</v>
      </c>
      <c r="C125" s="797" t="b">
        <f>$K$1</f>
        <v>1</v>
      </c>
      <c r="D125" s="798" t="s">
        <v>447</v>
      </c>
      <c r="E125" s="797" t="str">
        <f ca="1">MID(CELL("address",'Key Financials_H'!$B$1),SEARCH("]",CELL("address",'Key Financials_H'!$B$1))+1,SEARCH("'!$",CELL("address",'Key Financials_H'!$B$1))-SEARCH("]",CELL("address",'Key Financials_H'!$B$1))-1)</f>
        <v>Key Financials_H</v>
      </c>
      <c r="F125" s="1009" t="str">
        <f>IF($H$1, "SlideTitle","")</f>
        <v>SlideTitle</v>
      </c>
      <c r="G125" s="797" t="str">
        <f>IF($H$1,Input!$C$9,"")</f>
        <v>Walmart Inc.</v>
      </c>
      <c r="H125" s="799"/>
      <c r="I125" s="799"/>
      <c r="J125" s="799"/>
      <c r="K125" s="799"/>
      <c r="L125" s="790"/>
    </row>
    <row r="126" spans="2:12" x14ac:dyDescent="0.25">
      <c r="B126" s="788"/>
      <c r="C126" s="788"/>
      <c r="D126" s="788"/>
      <c r="E126" s="788"/>
      <c r="F126" s="1010" t="str">
        <f>IF($H$1, "RoadMap", "SlideTitle")</f>
        <v>RoadMap</v>
      </c>
      <c r="G126" s="788" t="s">
        <v>963</v>
      </c>
      <c r="L126" s="790"/>
    </row>
    <row r="127" spans="2:12" x14ac:dyDescent="0.25">
      <c r="B127" s="788"/>
      <c r="C127" s="788"/>
      <c r="D127" s="788"/>
      <c r="E127" s="788"/>
      <c r="F127" s="788" t="s">
        <v>448</v>
      </c>
      <c r="G127" s="788" t="s">
        <v>1137</v>
      </c>
      <c r="H127" s="814">
        <v>0.58299999999999996</v>
      </c>
      <c r="I127" s="814">
        <f>IF($H$1,1.665,1.29)</f>
        <v>1.665</v>
      </c>
      <c r="J127" s="803"/>
      <c r="K127" s="803"/>
      <c r="L127" s="790" t="b">
        <f>L12</f>
        <v>1</v>
      </c>
    </row>
    <row r="128" spans="2:12" x14ac:dyDescent="0.25">
      <c r="B128" s="788"/>
      <c r="C128" s="788"/>
      <c r="D128" s="788"/>
      <c r="E128" s="788"/>
      <c r="F128" s="788" t="s">
        <v>449</v>
      </c>
      <c r="G128" s="788" t="s">
        <v>1257</v>
      </c>
      <c r="H128" s="801"/>
      <c r="I128" s="801"/>
      <c r="J128" s="801"/>
      <c r="K128" s="801"/>
      <c r="L128" s="790"/>
    </row>
    <row r="129" spans="2:12" x14ac:dyDescent="0.25">
      <c r="B129" s="788"/>
      <c r="C129" s="788"/>
      <c r="D129" s="788"/>
      <c r="E129" s="788"/>
      <c r="F129" s="788"/>
      <c r="G129" s="788"/>
      <c r="H129" s="805"/>
      <c r="I129" s="805"/>
      <c r="J129" s="805"/>
      <c r="K129" s="805"/>
      <c r="L129" s="790"/>
    </row>
    <row r="130" spans="2:12" x14ac:dyDescent="0.25">
      <c r="B130" s="797" t="str">
        <f>IF(C130,"Slide "&amp;RIGHT(B125,LEN(B125)-FIND(" ",B125))+1,B125)</f>
        <v>Slide 22</v>
      </c>
      <c r="C130" s="807" t="b">
        <f>$K$1</f>
        <v>1</v>
      </c>
      <c r="D130" s="808" t="s">
        <v>447</v>
      </c>
      <c r="E130" s="797" t="str">
        <f ca="1">MID(CELL("address",'Key Financials_H'!$B$1),SEARCH("]",CELL("address",'Key Financials_H'!$B$1))+1,SEARCH("'!$",CELL("address",'Key Financials_H'!$B$1))-SEARCH("]",CELL("address",'Key Financials_H'!$B$1))-1)</f>
        <v>Key Financials_H</v>
      </c>
      <c r="F130" s="1009" t="str">
        <f>IF($H$1, "SlideTitle","")</f>
        <v>SlideTitle</v>
      </c>
      <c r="G130" s="797" t="str">
        <f>IF($H$1,Input!$C$9,"")</f>
        <v>Walmart Inc.</v>
      </c>
      <c r="H130" s="809"/>
      <c r="I130" s="809"/>
      <c r="J130" s="809"/>
      <c r="K130" s="809"/>
      <c r="L130" s="790"/>
    </row>
    <row r="131" spans="2:12" x14ac:dyDescent="0.25">
      <c r="B131" s="786"/>
      <c r="C131" s="786"/>
      <c r="D131" s="794"/>
      <c r="E131" s="786"/>
      <c r="F131" s="1010" t="str">
        <f>IF($H$1, "RoadMap", "SlideTitle")</f>
        <v>RoadMap</v>
      </c>
      <c r="G131" s="810" t="s">
        <v>1161</v>
      </c>
      <c r="H131" s="811"/>
      <c r="I131" s="811"/>
      <c r="J131" s="811"/>
      <c r="K131" s="811"/>
      <c r="L131" s="790"/>
    </row>
    <row r="132" spans="2:12" x14ac:dyDescent="0.25">
      <c r="B132" s="812"/>
      <c r="C132" s="812"/>
      <c r="D132" s="813"/>
      <c r="E132" s="810"/>
      <c r="F132" s="790" t="s">
        <v>451</v>
      </c>
      <c r="G132" s="790" t="s">
        <v>271</v>
      </c>
      <c r="H132" s="814">
        <v>0.56649280000000002</v>
      </c>
      <c r="I132" s="814">
        <f>IF($H$1,1.665,1.35)</f>
        <v>1.665</v>
      </c>
      <c r="J132" s="814">
        <v>4.8499999999999996</v>
      </c>
      <c r="K132" s="814">
        <v>2.99</v>
      </c>
      <c r="L132" s="790"/>
    </row>
    <row r="133" spans="2:12" x14ac:dyDescent="0.25">
      <c r="B133" s="812"/>
      <c r="C133" s="812"/>
      <c r="D133" s="813"/>
      <c r="E133" s="810"/>
      <c r="F133" s="790" t="s">
        <v>451</v>
      </c>
      <c r="G133" s="790" t="s">
        <v>928</v>
      </c>
      <c r="H133" s="814">
        <v>5.5666669999999998</v>
      </c>
      <c r="I133" s="811">
        <f>+I132</f>
        <v>1.665</v>
      </c>
      <c r="J133" s="811">
        <f t="shared" ref="J133:K135" si="1">J132</f>
        <v>4.8499999999999996</v>
      </c>
      <c r="K133" s="811">
        <f t="shared" si="1"/>
        <v>2.99</v>
      </c>
      <c r="L133" s="790"/>
    </row>
    <row r="134" spans="2:12" x14ac:dyDescent="0.25">
      <c r="B134" s="812"/>
      <c r="C134" s="812"/>
      <c r="D134" s="813"/>
      <c r="E134" s="810"/>
      <c r="F134" s="790" t="s">
        <v>451</v>
      </c>
      <c r="G134" s="790" t="s">
        <v>927</v>
      </c>
      <c r="H134" s="811">
        <f>+H132</f>
        <v>0.56649280000000002</v>
      </c>
      <c r="I134" s="814">
        <f>IF($H$1,4.745,4.43)</f>
        <v>4.7450000000000001</v>
      </c>
      <c r="J134" s="811">
        <f t="shared" si="1"/>
        <v>4.8499999999999996</v>
      </c>
      <c r="K134" s="811">
        <f t="shared" si="1"/>
        <v>2.99</v>
      </c>
      <c r="L134" s="790"/>
    </row>
    <row r="135" spans="2:12" x14ac:dyDescent="0.25">
      <c r="B135" s="812"/>
      <c r="C135" s="812"/>
      <c r="D135" s="813"/>
      <c r="E135" s="810"/>
      <c r="F135" s="790" t="s">
        <v>451</v>
      </c>
      <c r="G135" s="790" t="s">
        <v>926</v>
      </c>
      <c r="H135" s="811">
        <f>+H133</f>
        <v>5.5666669999999998</v>
      </c>
      <c r="I135" s="811">
        <f>+I134</f>
        <v>4.7450000000000001</v>
      </c>
      <c r="J135" s="811">
        <f t="shared" si="1"/>
        <v>4.8499999999999996</v>
      </c>
      <c r="K135" s="811">
        <f t="shared" si="1"/>
        <v>2.99</v>
      </c>
      <c r="L135" s="790"/>
    </row>
    <row r="136" spans="2:12" ht="25.5" x14ac:dyDescent="0.25">
      <c r="B136" s="812"/>
      <c r="C136" s="812"/>
      <c r="D136" s="813"/>
      <c r="E136" s="810"/>
      <c r="F136" s="790" t="s">
        <v>1159</v>
      </c>
      <c r="G136" s="970" t="str">
        <f>"Note: 1) Financial data for fiscal year ended " &amp; TEXT($Q$1, "mmmm yyyy") &amp; "; 2) " &amp; 'Key Financials_H'!R1</f>
        <v>Note: 1) Financial data for fiscal year ended January 2022; 2) CAGR is calculated for period from FY2017 to FY2022</v>
      </c>
      <c r="H136" s="811"/>
      <c r="I136" s="811"/>
      <c r="J136" s="814"/>
      <c r="K136" s="814"/>
      <c r="L136" s="815"/>
    </row>
    <row r="137" spans="2:12" x14ac:dyDescent="0.25">
      <c r="B137" s="812"/>
      <c r="C137" s="812"/>
      <c r="D137" s="813"/>
      <c r="E137" s="810"/>
      <c r="F137" s="790" t="s">
        <v>449</v>
      </c>
      <c r="G137" s="788" t="s">
        <v>1257</v>
      </c>
      <c r="H137" s="811"/>
      <c r="I137" s="811"/>
      <c r="J137" s="811"/>
      <c r="K137" s="811"/>
      <c r="L137" s="790"/>
    </row>
    <row r="138" spans="2:12" x14ac:dyDescent="0.25">
      <c r="B138" s="812"/>
      <c r="C138" s="812"/>
      <c r="D138" s="813"/>
      <c r="E138" s="810"/>
      <c r="F138" s="790"/>
      <c r="G138" s="790"/>
      <c r="H138" s="811"/>
      <c r="I138" s="811"/>
      <c r="J138" s="811"/>
      <c r="K138" s="811"/>
      <c r="L138" s="790"/>
    </row>
    <row r="139" spans="2:12" x14ac:dyDescent="0.25">
      <c r="B139" s="797" t="str">
        <f>IF(C139,"Slide "&amp;RIGHT(B130,LEN(B130)-FIND(" ",B130))+1,B130)</f>
        <v>Slide 23</v>
      </c>
      <c r="C139" s="807" t="b">
        <f>$K$1</f>
        <v>1</v>
      </c>
      <c r="D139" s="808" t="s">
        <v>447</v>
      </c>
      <c r="E139" s="816" t="str">
        <f ca="1">MID(CELL("address",'Financial Analysis_H'!$A$1),SEARCH("]",CELL("address",'Financial Analysis_H'!$A$1))+1,SEARCH("'!$",CELL("address",'Financial Analysis_H'!$A$1))-SEARCH("]",CELL("address",'Financial Analysis_H'!$A$1))-1)</f>
        <v>Financial Analysis_H</v>
      </c>
      <c r="F139" s="1009" t="str">
        <f>IF($H$1, "SlideTitle","")</f>
        <v>SlideTitle</v>
      </c>
      <c r="G139" s="797" t="str">
        <f>IF($H$1,Input!$C$9,"")</f>
        <v>Walmart Inc.</v>
      </c>
      <c r="H139" s="809"/>
      <c r="I139" s="809"/>
      <c r="J139" s="809"/>
      <c r="K139" s="809"/>
      <c r="L139" s="790"/>
    </row>
    <row r="140" spans="2:12" x14ac:dyDescent="0.25">
      <c r="B140" s="786"/>
      <c r="C140" s="786"/>
      <c r="D140" s="794"/>
      <c r="E140" s="786"/>
      <c r="F140" s="1010" t="str">
        <f>IF($H$1, "RoadMap", "SlideTitle")</f>
        <v>RoadMap</v>
      </c>
      <c r="G140" s="810" t="s">
        <v>450</v>
      </c>
      <c r="H140" s="811"/>
      <c r="I140" s="811"/>
      <c r="J140" s="811"/>
      <c r="K140" s="811"/>
      <c r="L140" s="790"/>
    </row>
    <row r="141" spans="2:12" x14ac:dyDescent="0.25">
      <c r="B141" s="812"/>
      <c r="C141" s="812"/>
      <c r="D141" s="813"/>
      <c r="E141" s="810"/>
      <c r="F141" s="790" t="s">
        <v>451</v>
      </c>
      <c r="G141" s="787" t="s">
        <v>1176</v>
      </c>
      <c r="H141" s="811">
        <f t="shared" ref="H141:K144" si="2">H132</f>
        <v>0.56649280000000002</v>
      </c>
      <c r="I141" s="811">
        <f t="shared" si="2"/>
        <v>1.665</v>
      </c>
      <c r="J141" s="811">
        <f t="shared" si="2"/>
        <v>4.8499999999999996</v>
      </c>
      <c r="K141" s="811">
        <f t="shared" si="2"/>
        <v>2.99</v>
      </c>
      <c r="L141" s="790"/>
    </row>
    <row r="142" spans="2:12" x14ac:dyDescent="0.25">
      <c r="B142" s="812"/>
      <c r="C142" s="812"/>
      <c r="D142" s="813"/>
      <c r="E142" s="810"/>
      <c r="F142" s="790" t="s">
        <v>451</v>
      </c>
      <c r="G142" s="787" t="s">
        <v>1177</v>
      </c>
      <c r="H142" s="811">
        <f t="shared" si="2"/>
        <v>5.5666669999999998</v>
      </c>
      <c r="I142" s="811">
        <f t="shared" si="2"/>
        <v>1.665</v>
      </c>
      <c r="J142" s="811">
        <f t="shared" si="2"/>
        <v>4.8499999999999996</v>
      </c>
      <c r="K142" s="811">
        <f t="shared" si="2"/>
        <v>2.99</v>
      </c>
      <c r="L142" s="790"/>
    </row>
    <row r="143" spans="2:12" x14ac:dyDescent="0.25">
      <c r="B143" s="812"/>
      <c r="C143" s="812"/>
      <c r="D143" s="813"/>
      <c r="E143" s="810"/>
      <c r="F143" s="790" t="s">
        <v>451</v>
      </c>
      <c r="G143" s="790" t="s">
        <v>309</v>
      </c>
      <c r="H143" s="811">
        <f t="shared" si="2"/>
        <v>0.56649280000000002</v>
      </c>
      <c r="I143" s="811">
        <f t="shared" si="2"/>
        <v>4.7450000000000001</v>
      </c>
      <c r="J143" s="811">
        <f t="shared" si="2"/>
        <v>4.8499999999999996</v>
      </c>
      <c r="K143" s="811">
        <f t="shared" si="2"/>
        <v>2.99</v>
      </c>
      <c r="L143" s="790"/>
    </row>
    <row r="144" spans="2:12" x14ac:dyDescent="0.25">
      <c r="B144" s="812"/>
      <c r="C144" s="812"/>
      <c r="D144" s="813"/>
      <c r="E144" s="810"/>
      <c r="F144" s="790" t="s">
        <v>451</v>
      </c>
      <c r="G144" s="790" t="s">
        <v>308</v>
      </c>
      <c r="H144" s="811">
        <f t="shared" si="2"/>
        <v>5.5666669999999998</v>
      </c>
      <c r="I144" s="811">
        <f t="shared" si="2"/>
        <v>4.7450000000000001</v>
      </c>
      <c r="J144" s="811">
        <f t="shared" si="2"/>
        <v>4.8499999999999996</v>
      </c>
      <c r="K144" s="811">
        <f t="shared" si="2"/>
        <v>2.99</v>
      </c>
      <c r="L144" s="790"/>
    </row>
    <row r="145" spans="1:13" x14ac:dyDescent="0.25">
      <c r="B145" s="812"/>
      <c r="C145" s="812"/>
      <c r="D145" s="813"/>
      <c r="E145" s="810"/>
      <c r="F145" s="1011" t="s">
        <v>1159</v>
      </c>
      <c r="G145" s="790" t="str">
        <f>"Note: Financial data for fiscal " &amp; IF(TimePeriodType="Annual", "year", "quarter") &amp; " ended " &amp; TEXT($O$1, "mmmm yyyy")</f>
        <v>Note: Financial data for fiscal year ended January 2022</v>
      </c>
      <c r="H145" s="814"/>
      <c r="I145" s="814"/>
      <c r="J145" s="814"/>
      <c r="K145" s="814"/>
      <c r="L145" s="790"/>
    </row>
    <row r="146" spans="1:13" x14ac:dyDescent="0.25">
      <c r="B146" s="812"/>
      <c r="C146" s="812"/>
      <c r="D146" s="813"/>
      <c r="E146" s="810"/>
      <c r="F146" s="790" t="s">
        <v>449</v>
      </c>
      <c r="G146" s="788" t="s">
        <v>1257</v>
      </c>
      <c r="H146" s="811"/>
      <c r="I146" s="811"/>
      <c r="J146" s="811"/>
      <c r="K146" s="811"/>
      <c r="L146" s="790"/>
    </row>
    <row r="147" spans="1:13" ht="12.75" x14ac:dyDescent="0.2">
      <c r="B147" s="812"/>
      <c r="C147" s="812"/>
      <c r="D147" s="813"/>
      <c r="E147" s="810"/>
      <c r="F147" s="790"/>
      <c r="G147" s="790"/>
      <c r="H147" s="811"/>
      <c r="I147" s="811"/>
      <c r="J147" s="811"/>
      <c r="K147" s="811"/>
      <c r="L147" s="790"/>
      <c r="M147" s="810"/>
    </row>
    <row r="148" spans="1:13" ht="12.75" x14ac:dyDescent="0.2">
      <c r="B148" s="797" t="str">
        <f>IF(C148,"Slide "&amp;RIGHT(B139,LEN(B139)-FIND(" ",B139))+1,B139)</f>
        <v>Slide 24</v>
      </c>
      <c r="C148" s="807" t="b">
        <f>$K$1</f>
        <v>1</v>
      </c>
      <c r="D148" s="808" t="s">
        <v>447</v>
      </c>
      <c r="E148" s="816" t="str">
        <f ca="1">$E$139</f>
        <v>Financial Analysis_H</v>
      </c>
      <c r="F148" s="1009" t="str">
        <f>IF($H$1, "SlideTitle","")</f>
        <v>SlideTitle</v>
      </c>
      <c r="G148" s="797" t="str">
        <f>IF($H$1,Input!$C$9,"")</f>
        <v>Walmart Inc.</v>
      </c>
      <c r="H148" s="809"/>
      <c r="I148" s="809"/>
      <c r="J148" s="809"/>
      <c r="K148" s="809"/>
      <c r="L148" s="790"/>
      <c r="M148" s="810"/>
    </row>
    <row r="149" spans="1:13" ht="12.75" x14ac:dyDescent="0.2">
      <c r="B149" s="786"/>
      <c r="C149" s="786"/>
      <c r="D149" s="794"/>
      <c r="E149" s="786"/>
      <c r="F149" s="1010" t="str">
        <f>IF($H$1, "RoadMap", "SlideTitle")</f>
        <v>RoadMap</v>
      </c>
      <c r="G149" s="810" t="s">
        <v>1189</v>
      </c>
      <c r="H149" s="811"/>
      <c r="I149" s="811"/>
      <c r="J149" s="811"/>
      <c r="K149" s="811"/>
      <c r="L149" s="790"/>
      <c r="M149" s="810"/>
    </row>
    <row r="150" spans="1:13" ht="12.75" x14ac:dyDescent="0.2">
      <c r="B150" s="786"/>
      <c r="C150" s="786"/>
      <c r="D150" s="794"/>
      <c r="E150" s="786"/>
      <c r="F150" s="790" t="s">
        <v>451</v>
      </c>
      <c r="G150" s="790" t="s">
        <v>314</v>
      </c>
      <c r="H150" s="811">
        <f t="shared" ref="H150:K150" si="3">H141</f>
        <v>0.56649280000000002</v>
      </c>
      <c r="I150" s="811">
        <f t="shared" si="3"/>
        <v>1.665</v>
      </c>
      <c r="J150" s="811">
        <f t="shared" si="3"/>
        <v>4.8499999999999996</v>
      </c>
      <c r="K150" s="811">
        <f t="shared" si="3"/>
        <v>2.99</v>
      </c>
      <c r="L150" s="790"/>
      <c r="M150" s="810"/>
    </row>
    <row r="151" spans="1:13" ht="12.75" x14ac:dyDescent="0.2">
      <c r="B151" s="786"/>
      <c r="C151" s="786"/>
      <c r="D151" s="794"/>
      <c r="E151" s="786"/>
      <c r="F151" s="790" t="s">
        <v>451</v>
      </c>
      <c r="G151" s="790" t="s">
        <v>1173</v>
      </c>
      <c r="H151" s="811">
        <f t="shared" ref="H151:K151" si="4">H142</f>
        <v>5.5666669999999998</v>
      </c>
      <c r="I151" s="811">
        <f t="shared" si="4"/>
        <v>1.665</v>
      </c>
      <c r="J151" s="811">
        <f t="shared" si="4"/>
        <v>4.8499999999999996</v>
      </c>
      <c r="K151" s="811">
        <f t="shared" si="4"/>
        <v>2.99</v>
      </c>
      <c r="L151" s="790"/>
      <c r="M151" s="810"/>
    </row>
    <row r="152" spans="1:13" ht="12.75" x14ac:dyDescent="0.2">
      <c r="B152" s="786"/>
      <c r="C152" s="786"/>
      <c r="D152" s="794"/>
      <c r="E152" s="786"/>
      <c r="F152" s="790" t="s">
        <v>451</v>
      </c>
      <c r="G152" s="790" t="s">
        <v>1174</v>
      </c>
      <c r="H152" s="811">
        <f t="shared" ref="H152:K152" si="5">H143</f>
        <v>0.56649280000000002</v>
      </c>
      <c r="I152" s="811">
        <f t="shared" si="5"/>
        <v>4.7450000000000001</v>
      </c>
      <c r="J152" s="811">
        <f t="shared" si="5"/>
        <v>4.8499999999999996</v>
      </c>
      <c r="K152" s="811">
        <f t="shared" si="5"/>
        <v>2.99</v>
      </c>
      <c r="L152" s="790"/>
      <c r="M152" s="810"/>
    </row>
    <row r="153" spans="1:13" s="788" customFormat="1" ht="12.75" x14ac:dyDescent="0.2">
      <c r="A153" s="787"/>
      <c r="B153" s="786"/>
      <c r="C153" s="786"/>
      <c r="D153" s="794"/>
      <c r="E153" s="786"/>
      <c r="F153" s="790" t="s">
        <v>451</v>
      </c>
      <c r="G153" s="790" t="s">
        <v>320</v>
      </c>
      <c r="H153" s="811">
        <f t="shared" ref="H153:K153" si="6">H144</f>
        <v>5.5666669999999998</v>
      </c>
      <c r="I153" s="811">
        <f t="shared" si="6"/>
        <v>4.7450000000000001</v>
      </c>
      <c r="J153" s="811">
        <f t="shared" si="6"/>
        <v>4.8499999999999996</v>
      </c>
      <c r="K153" s="811">
        <f t="shared" si="6"/>
        <v>2.99</v>
      </c>
      <c r="L153" s="790"/>
      <c r="M153" s="810"/>
    </row>
    <row r="154" spans="1:13" ht="12.75" x14ac:dyDescent="0.2">
      <c r="B154" s="786"/>
      <c r="C154" s="786"/>
      <c r="D154" s="794"/>
      <c r="E154" s="786"/>
      <c r="F154" s="1011" t="s">
        <v>1159</v>
      </c>
      <c r="G154" s="790" t="str">
        <f>"Note: Financial data for fiscal " &amp; IF(TimePeriodType="Annual", "year", "quarter") &amp; " ended " &amp; TEXT($O$1, "mmmm yyyy")</f>
        <v>Note: Financial data for fiscal year ended January 2022</v>
      </c>
      <c r="H154" s="811"/>
      <c r="I154" s="811"/>
      <c r="L154" s="790"/>
      <c r="M154" s="810"/>
    </row>
    <row r="155" spans="1:13" ht="12.75" x14ac:dyDescent="0.2">
      <c r="B155" s="786"/>
      <c r="C155" s="786"/>
      <c r="D155" s="794"/>
      <c r="E155" s="786"/>
      <c r="F155" s="790" t="s">
        <v>449</v>
      </c>
      <c r="G155" s="788" t="s">
        <v>1257</v>
      </c>
      <c r="H155" s="811"/>
      <c r="I155" s="811"/>
      <c r="J155" s="811"/>
      <c r="K155" s="811"/>
      <c r="L155" s="790"/>
      <c r="M155" s="790"/>
    </row>
    <row r="156" spans="1:13" ht="12.75" x14ac:dyDescent="0.2">
      <c r="B156" s="786"/>
      <c r="C156" s="786"/>
      <c r="D156" s="794"/>
      <c r="E156" s="790"/>
      <c r="F156" s="790"/>
      <c r="G156" s="790"/>
      <c r="H156" s="817"/>
      <c r="I156" s="817"/>
      <c r="J156" s="817"/>
      <c r="K156" s="817"/>
      <c r="L156" s="790"/>
      <c r="M156" s="790"/>
    </row>
    <row r="157" spans="1:13" ht="12.75" x14ac:dyDescent="0.2">
      <c r="B157" s="797" t="str">
        <f>IF(C157,"Slide "&amp;RIGHT(B148,LEN(B148)-FIND(" ",B148))+1,B148)</f>
        <v>Slide 25</v>
      </c>
      <c r="C157" s="807" t="b">
        <f>$K$1</f>
        <v>1</v>
      </c>
      <c r="D157" s="808" t="s">
        <v>447</v>
      </c>
      <c r="E157" s="816" t="str">
        <f ca="1">$E$139</f>
        <v>Financial Analysis_H</v>
      </c>
      <c r="F157" s="1009" t="str">
        <f>IF($H$1, "SlideTitle","")</f>
        <v>SlideTitle</v>
      </c>
      <c r="G157" s="797" t="str">
        <f>IF($H$1,Input!$C$9,"")</f>
        <v>Walmart Inc.</v>
      </c>
      <c r="H157" s="809"/>
      <c r="I157" s="809"/>
      <c r="J157" s="809"/>
      <c r="K157" s="809"/>
      <c r="L157" s="790"/>
      <c r="M157" s="810"/>
    </row>
    <row r="158" spans="1:13" ht="12.75" x14ac:dyDescent="0.2">
      <c r="B158" s="786"/>
      <c r="C158" s="786"/>
      <c r="D158" s="794"/>
      <c r="E158" s="786"/>
      <c r="F158" s="1010" t="str">
        <f>IF($H$1, "RoadMap", "SlideTitle")</f>
        <v>RoadMap</v>
      </c>
      <c r="G158" s="810" t="s">
        <v>1186</v>
      </c>
      <c r="H158" s="811"/>
      <c r="I158" s="811"/>
      <c r="J158" s="811"/>
      <c r="K158" s="811"/>
      <c r="L158" s="790"/>
      <c r="M158" s="810"/>
    </row>
    <row r="159" spans="1:13" ht="12.75" x14ac:dyDescent="0.2">
      <c r="B159" s="786"/>
      <c r="C159" s="786"/>
      <c r="D159" s="794"/>
      <c r="E159" s="786"/>
      <c r="F159" s="790" t="s">
        <v>451</v>
      </c>
      <c r="G159" s="790" t="s">
        <v>327</v>
      </c>
      <c r="H159" s="811">
        <f t="shared" ref="H159:K159" si="7">H150</f>
        <v>0.56649280000000002</v>
      </c>
      <c r="I159" s="811">
        <f t="shared" si="7"/>
        <v>1.665</v>
      </c>
      <c r="J159" s="811">
        <f t="shared" si="7"/>
        <v>4.8499999999999996</v>
      </c>
      <c r="K159" s="811">
        <f t="shared" si="7"/>
        <v>2.99</v>
      </c>
      <c r="L159" s="818"/>
      <c r="M159" s="810"/>
    </row>
    <row r="160" spans="1:13" ht="12.75" x14ac:dyDescent="0.2">
      <c r="B160" s="786"/>
      <c r="C160" s="786"/>
      <c r="D160" s="794"/>
      <c r="E160" s="786"/>
      <c r="F160" s="790" t="s">
        <v>451</v>
      </c>
      <c r="G160" s="790" t="s">
        <v>328</v>
      </c>
      <c r="H160" s="811">
        <f t="shared" ref="H160:K160" si="8">H151</f>
        <v>5.5666669999999998</v>
      </c>
      <c r="I160" s="811">
        <f t="shared" si="8"/>
        <v>1.665</v>
      </c>
      <c r="J160" s="811">
        <f t="shared" si="8"/>
        <v>4.8499999999999996</v>
      </c>
      <c r="K160" s="811">
        <f t="shared" si="8"/>
        <v>2.99</v>
      </c>
      <c r="L160" s="790"/>
      <c r="M160" s="810"/>
    </row>
    <row r="161" spans="2:13" ht="12.75" x14ac:dyDescent="0.2">
      <c r="B161" s="786"/>
      <c r="C161" s="786"/>
      <c r="D161" s="794"/>
      <c r="E161" s="786"/>
      <c r="F161" s="790" t="s">
        <v>451</v>
      </c>
      <c r="G161" s="790" t="s">
        <v>325</v>
      </c>
      <c r="H161" s="811">
        <f t="shared" ref="H161:K161" si="9">H152</f>
        <v>0.56649280000000002</v>
      </c>
      <c r="I161" s="811">
        <f t="shared" si="9"/>
        <v>4.7450000000000001</v>
      </c>
      <c r="J161" s="811">
        <f t="shared" si="9"/>
        <v>4.8499999999999996</v>
      </c>
      <c r="K161" s="811">
        <f t="shared" si="9"/>
        <v>2.99</v>
      </c>
      <c r="L161" s="790"/>
      <c r="M161" s="790"/>
    </row>
    <row r="162" spans="2:13" ht="12.75" x14ac:dyDescent="0.2">
      <c r="B162" s="786"/>
      <c r="C162" s="786"/>
      <c r="D162" s="794"/>
      <c r="E162" s="786"/>
      <c r="F162" s="790" t="s">
        <v>451</v>
      </c>
      <c r="G162" s="790" t="s">
        <v>326</v>
      </c>
      <c r="H162" s="811">
        <f t="shared" ref="H162:K162" si="10">H153</f>
        <v>5.5666669999999998</v>
      </c>
      <c r="I162" s="811">
        <f t="shared" si="10"/>
        <v>4.7450000000000001</v>
      </c>
      <c r="J162" s="811">
        <f t="shared" si="10"/>
        <v>4.8499999999999996</v>
      </c>
      <c r="K162" s="811">
        <f t="shared" si="10"/>
        <v>2.99</v>
      </c>
      <c r="L162" s="790"/>
      <c r="M162" s="790"/>
    </row>
    <row r="163" spans="2:13" ht="12.75" x14ac:dyDescent="0.2">
      <c r="B163" s="786"/>
      <c r="C163" s="786"/>
      <c r="D163" s="794"/>
      <c r="E163" s="786"/>
      <c r="F163" s="1011" t="s">
        <v>1159</v>
      </c>
      <c r="G163" s="790" t="str">
        <f>"Note: Financial data for fiscal " &amp; IF(TimePeriodType="Annual", "year", "quarter") &amp; " ended " &amp; TEXT($O$1, "mmmm yyyy")</f>
        <v>Note: Financial data for fiscal year ended January 2022</v>
      </c>
      <c r="H163" s="811"/>
      <c r="I163" s="811"/>
      <c r="J163" s="814"/>
      <c r="K163" s="814"/>
      <c r="L163" s="790"/>
      <c r="M163" s="790"/>
    </row>
    <row r="164" spans="2:13" ht="12.75" x14ac:dyDescent="0.2">
      <c r="B164" s="786"/>
      <c r="C164" s="786"/>
      <c r="D164" s="794"/>
      <c r="E164" s="786"/>
      <c r="F164" s="790" t="s">
        <v>449</v>
      </c>
      <c r="G164" s="788" t="s">
        <v>1257</v>
      </c>
      <c r="H164" s="811"/>
      <c r="I164" s="811"/>
      <c r="J164" s="811"/>
      <c r="K164" s="811"/>
      <c r="L164" s="790"/>
      <c r="M164" s="790"/>
    </row>
    <row r="165" spans="2:13" ht="12.75" x14ac:dyDescent="0.2">
      <c r="B165" s="786"/>
      <c r="C165" s="786"/>
      <c r="D165" s="794"/>
      <c r="E165" s="786"/>
      <c r="F165" s="786"/>
      <c r="G165" s="786"/>
      <c r="H165" s="811"/>
      <c r="I165" s="811"/>
      <c r="J165" s="811"/>
      <c r="K165" s="811"/>
      <c r="L165" s="790"/>
      <c r="M165" s="790"/>
    </row>
    <row r="166" spans="2:13" ht="12.75" x14ac:dyDescent="0.2">
      <c r="B166" s="797" t="str">
        <f>IF(C166,"Slide "&amp;RIGHT(B157,LEN(B157)-FIND(" ",B157))+1,B157)</f>
        <v>Slide 26</v>
      </c>
      <c r="C166" s="807" t="b">
        <f>$K$1</f>
        <v>1</v>
      </c>
      <c r="D166" s="808" t="s">
        <v>447</v>
      </c>
      <c r="E166" s="816" t="str">
        <f ca="1">$E$139</f>
        <v>Financial Analysis_H</v>
      </c>
      <c r="F166" s="1009" t="str">
        <f>IF($H$1, "SlideTitle","")</f>
        <v>SlideTitle</v>
      </c>
      <c r="G166" s="797" t="str">
        <f>IF($H$1,Input!$C$9,"")</f>
        <v>Walmart Inc.</v>
      </c>
      <c r="H166" s="809"/>
      <c r="I166" s="809"/>
      <c r="J166" s="809"/>
      <c r="K166" s="809"/>
      <c r="L166" s="790"/>
      <c r="M166" s="790"/>
    </row>
    <row r="167" spans="2:13" ht="12.75" x14ac:dyDescent="0.2">
      <c r="B167" s="786"/>
      <c r="C167" s="786"/>
      <c r="D167" s="794"/>
      <c r="E167" s="786"/>
      <c r="F167" s="1010" t="str">
        <f>IF($H$1, "RoadMap", "SlideTitle")</f>
        <v>RoadMap</v>
      </c>
      <c r="G167" s="810" t="s">
        <v>1195</v>
      </c>
      <c r="H167" s="811"/>
      <c r="I167" s="811"/>
      <c r="J167" s="811"/>
      <c r="K167" s="811"/>
      <c r="L167" s="790"/>
      <c r="M167" s="790"/>
    </row>
    <row r="168" spans="2:13" ht="12.75" x14ac:dyDescent="0.2">
      <c r="B168" s="786"/>
      <c r="C168" s="786"/>
      <c r="D168" s="794"/>
      <c r="E168" s="786"/>
      <c r="F168" s="790" t="s">
        <v>451</v>
      </c>
      <c r="G168" s="790" t="s">
        <v>321</v>
      </c>
      <c r="H168" s="811">
        <f t="shared" ref="H168:K171" si="11">H159</f>
        <v>0.56649280000000002</v>
      </c>
      <c r="I168" s="811">
        <f t="shared" si="11"/>
        <v>1.665</v>
      </c>
      <c r="J168" s="811">
        <f t="shared" si="11"/>
        <v>4.8499999999999996</v>
      </c>
      <c r="K168" s="811">
        <f t="shared" si="11"/>
        <v>2.99</v>
      </c>
      <c r="L168" s="790"/>
      <c r="M168" s="790"/>
    </row>
    <row r="169" spans="2:13" ht="12.75" x14ac:dyDescent="0.2">
      <c r="B169" s="786"/>
      <c r="C169" s="786"/>
      <c r="D169" s="794"/>
      <c r="E169" s="786"/>
      <c r="F169" s="790" t="s">
        <v>451</v>
      </c>
      <c r="G169" s="790" t="s">
        <v>1139</v>
      </c>
      <c r="H169" s="811">
        <f t="shared" si="11"/>
        <v>5.5666669999999998</v>
      </c>
      <c r="I169" s="811">
        <f t="shared" si="11"/>
        <v>1.665</v>
      </c>
      <c r="J169" s="811">
        <f t="shared" si="11"/>
        <v>4.8499999999999996</v>
      </c>
      <c r="K169" s="811">
        <f t="shared" si="11"/>
        <v>2.99</v>
      </c>
      <c r="L169" s="790"/>
      <c r="M169" s="790"/>
    </row>
    <row r="170" spans="2:13" ht="12.75" x14ac:dyDescent="0.2">
      <c r="B170" s="786"/>
      <c r="C170" s="786"/>
      <c r="D170" s="794"/>
      <c r="E170" s="786"/>
      <c r="F170" s="790" t="s">
        <v>451</v>
      </c>
      <c r="G170" s="790" t="s">
        <v>323</v>
      </c>
      <c r="H170" s="811">
        <f t="shared" si="11"/>
        <v>0.56649280000000002</v>
      </c>
      <c r="I170" s="811">
        <f t="shared" si="11"/>
        <v>4.7450000000000001</v>
      </c>
      <c r="J170" s="811">
        <f t="shared" si="11"/>
        <v>4.8499999999999996</v>
      </c>
      <c r="K170" s="811">
        <f t="shared" si="11"/>
        <v>2.99</v>
      </c>
      <c r="L170" s="790"/>
      <c r="M170" s="790"/>
    </row>
    <row r="171" spans="2:13" ht="12.75" x14ac:dyDescent="0.2">
      <c r="B171" s="786"/>
      <c r="C171" s="786"/>
      <c r="D171" s="794"/>
      <c r="E171" s="786"/>
      <c r="F171" s="790" t="s">
        <v>451</v>
      </c>
      <c r="G171" s="790" t="s">
        <v>1140</v>
      </c>
      <c r="H171" s="811">
        <f t="shared" si="11"/>
        <v>5.5666669999999998</v>
      </c>
      <c r="I171" s="811">
        <f t="shared" si="11"/>
        <v>4.7450000000000001</v>
      </c>
      <c r="J171" s="811">
        <f t="shared" si="11"/>
        <v>4.8499999999999996</v>
      </c>
      <c r="K171" s="811">
        <f t="shared" si="11"/>
        <v>2.99</v>
      </c>
      <c r="L171" s="790"/>
      <c r="M171" s="790"/>
    </row>
    <row r="172" spans="2:13" ht="12.75" x14ac:dyDescent="0.2">
      <c r="B172" s="786"/>
      <c r="C172" s="786"/>
      <c r="D172" s="794"/>
      <c r="E172" s="786"/>
      <c r="F172" s="1011" t="s">
        <v>1159</v>
      </c>
      <c r="G172" s="790" t="str">
        <f>"Note: Financial data for fiscal " &amp; IF(TimePeriodType="Annual", "year", "quarter") &amp; " ended " &amp; TEXT($O$1, "mmmm yyyy")</f>
        <v>Note: Financial data for fiscal year ended January 2022</v>
      </c>
      <c r="H172" s="811"/>
      <c r="I172" s="811"/>
      <c r="J172" s="814"/>
      <c r="K172" s="814"/>
      <c r="L172" s="790"/>
      <c r="M172" s="790"/>
    </row>
    <row r="173" spans="2:13" ht="12.75" x14ac:dyDescent="0.2">
      <c r="B173" s="786"/>
      <c r="C173" s="786"/>
      <c r="D173" s="794"/>
      <c r="E173" s="786"/>
      <c r="F173" s="790" t="s">
        <v>449</v>
      </c>
      <c r="G173" s="788" t="s">
        <v>1257</v>
      </c>
      <c r="H173" s="811"/>
      <c r="I173" s="811"/>
      <c r="J173" s="811"/>
      <c r="K173" s="811"/>
      <c r="L173" s="790"/>
      <c r="M173" s="790"/>
    </row>
    <row r="174" spans="2:13" ht="12.75" x14ac:dyDescent="0.2">
      <c r="B174" s="786"/>
      <c r="C174" s="786"/>
      <c r="D174" s="794"/>
      <c r="E174" s="786"/>
      <c r="F174" s="786"/>
      <c r="G174" s="786"/>
      <c r="H174" s="811"/>
      <c r="I174" s="811"/>
      <c r="J174" s="811"/>
      <c r="K174" s="811"/>
      <c r="L174" s="790"/>
      <c r="M174" s="790"/>
    </row>
    <row r="175" spans="2:13" ht="12.75" x14ac:dyDescent="0.2">
      <c r="B175" s="797" t="str">
        <f>IF(C175,"Slide "&amp;RIGHT(B166,LEN(B166)-FIND(" ",B166))+1,B166)</f>
        <v>Slide 27</v>
      </c>
      <c r="C175" s="807" t="b">
        <f>$K$1</f>
        <v>1</v>
      </c>
      <c r="D175" s="808" t="s">
        <v>447</v>
      </c>
      <c r="E175" s="816" t="str">
        <f ca="1">$E$139</f>
        <v>Financial Analysis_H</v>
      </c>
      <c r="F175" s="1009" t="str">
        <f>IF($H$1, "SlideTitle","")</f>
        <v>SlideTitle</v>
      </c>
      <c r="G175" s="797" t="str">
        <f>IF($H$1,Input!$C$9,"")</f>
        <v>Walmart Inc.</v>
      </c>
      <c r="H175" s="809"/>
      <c r="I175" s="809"/>
      <c r="J175" s="809"/>
      <c r="K175" s="809"/>
      <c r="L175" s="790"/>
      <c r="M175" s="790"/>
    </row>
    <row r="176" spans="2:13" ht="12.75" x14ac:dyDescent="0.2">
      <c r="B176" s="786"/>
      <c r="C176" s="786"/>
      <c r="D176" s="794"/>
      <c r="E176" s="786"/>
      <c r="F176" s="1010" t="str">
        <f>IF($H$1, "RoadMap", "SlideTitle")</f>
        <v>RoadMap</v>
      </c>
      <c r="G176" s="810" t="s">
        <v>1187</v>
      </c>
      <c r="H176" s="811"/>
      <c r="I176" s="811"/>
      <c r="J176" s="811"/>
      <c r="K176" s="811"/>
      <c r="L176" s="790"/>
      <c r="M176" s="790"/>
    </row>
    <row r="177" spans="2:13" ht="12.75" x14ac:dyDescent="0.2">
      <c r="B177" s="786"/>
      <c r="C177" s="786"/>
      <c r="D177" s="794"/>
      <c r="E177" s="786"/>
      <c r="F177" s="790" t="s">
        <v>451</v>
      </c>
      <c r="G177" s="790" t="s">
        <v>1175</v>
      </c>
      <c r="H177" s="811">
        <f t="shared" ref="H177:K177" si="12">H168</f>
        <v>0.56649280000000002</v>
      </c>
      <c r="I177" s="811">
        <f t="shared" si="12"/>
        <v>1.665</v>
      </c>
      <c r="J177" s="811">
        <f t="shared" si="12"/>
        <v>4.8499999999999996</v>
      </c>
      <c r="K177" s="811">
        <f t="shared" si="12"/>
        <v>2.99</v>
      </c>
      <c r="L177" s="790"/>
      <c r="M177" s="790"/>
    </row>
    <row r="178" spans="2:13" ht="12.75" x14ac:dyDescent="0.2">
      <c r="B178" s="786"/>
      <c r="C178" s="786"/>
      <c r="D178" s="794"/>
      <c r="E178" s="786"/>
      <c r="F178" s="790" t="s">
        <v>451</v>
      </c>
      <c r="G178" s="790" t="s">
        <v>1138</v>
      </c>
      <c r="H178" s="811">
        <f t="shared" ref="H178:K178" si="13">H169</f>
        <v>5.5666669999999998</v>
      </c>
      <c r="I178" s="811">
        <f t="shared" si="13"/>
        <v>1.665</v>
      </c>
      <c r="J178" s="811">
        <f t="shared" si="13"/>
        <v>4.8499999999999996</v>
      </c>
      <c r="K178" s="811">
        <f t="shared" si="13"/>
        <v>2.99</v>
      </c>
      <c r="L178" s="790"/>
      <c r="M178" s="790"/>
    </row>
    <row r="179" spans="2:13" ht="12.75" x14ac:dyDescent="0.2">
      <c r="B179" s="786"/>
      <c r="C179" s="786"/>
      <c r="D179" s="794"/>
      <c r="E179" s="786"/>
      <c r="F179" s="790" t="s">
        <v>451</v>
      </c>
      <c r="G179" s="790" t="s">
        <v>329</v>
      </c>
      <c r="H179" s="811">
        <f t="shared" ref="H179:K179" si="14">H170</f>
        <v>0.56649280000000002</v>
      </c>
      <c r="I179" s="811">
        <f t="shared" si="14"/>
        <v>4.7450000000000001</v>
      </c>
      <c r="J179" s="811">
        <f t="shared" si="14"/>
        <v>4.8499999999999996</v>
      </c>
      <c r="K179" s="811">
        <f t="shared" si="14"/>
        <v>2.99</v>
      </c>
      <c r="L179" s="790"/>
      <c r="M179" s="790"/>
    </row>
    <row r="180" spans="2:13" ht="12.75" x14ac:dyDescent="0.2">
      <c r="B180" s="786"/>
      <c r="C180" s="786"/>
      <c r="D180" s="794"/>
      <c r="E180" s="786"/>
      <c r="F180" s="790" t="s">
        <v>451</v>
      </c>
      <c r="G180" s="790" t="s">
        <v>318</v>
      </c>
      <c r="H180" s="811">
        <f t="shared" ref="H180:K180" si="15">H171</f>
        <v>5.5666669999999998</v>
      </c>
      <c r="I180" s="811">
        <f t="shared" si="15"/>
        <v>4.7450000000000001</v>
      </c>
      <c r="J180" s="811">
        <f t="shared" si="15"/>
        <v>4.8499999999999996</v>
      </c>
      <c r="K180" s="811">
        <f t="shared" si="15"/>
        <v>2.99</v>
      </c>
      <c r="L180" s="790"/>
      <c r="M180" s="790"/>
    </row>
    <row r="181" spans="2:13" x14ac:dyDescent="0.25">
      <c r="B181" s="786"/>
      <c r="C181" s="786"/>
      <c r="D181" s="794"/>
      <c r="E181" s="786"/>
      <c r="F181" s="1011" t="s">
        <v>1159</v>
      </c>
      <c r="G181" s="790" t="str">
        <f>"Note: Financial data for fiscal " &amp; IF(TimePeriodType="Annual", "year", "quarter") &amp; " ended " &amp; TEXT($O$1, "mmmm yyyy")</f>
        <v>Note: Financial data for fiscal year ended January 2022</v>
      </c>
      <c r="H181" s="811"/>
      <c r="I181" s="811"/>
      <c r="J181" s="814"/>
      <c r="K181" s="814"/>
      <c r="L181" s="790"/>
    </row>
    <row r="182" spans="2:13" x14ac:dyDescent="0.25">
      <c r="B182" s="786"/>
      <c r="C182" s="786"/>
      <c r="D182" s="794"/>
      <c r="E182" s="786"/>
      <c r="F182" s="790" t="s">
        <v>449</v>
      </c>
      <c r="G182" s="788" t="s">
        <v>1257</v>
      </c>
      <c r="H182" s="811"/>
      <c r="I182" s="811"/>
      <c r="J182" s="811"/>
      <c r="K182" s="811"/>
      <c r="L182" s="790"/>
    </row>
    <row r="183" spans="2:13" x14ac:dyDescent="0.25">
      <c r="B183" s="786"/>
      <c r="C183" s="786"/>
      <c r="D183" s="794"/>
      <c r="E183" s="786"/>
      <c r="F183" s="786"/>
      <c r="G183" s="786"/>
      <c r="H183" s="811"/>
      <c r="I183" s="811"/>
      <c r="J183" s="811"/>
      <c r="K183" s="811"/>
      <c r="L183" s="790"/>
    </row>
    <row r="184" spans="2:13" x14ac:dyDescent="0.25">
      <c r="B184" s="797" t="str">
        <f>IF(C184,"Slide "&amp;RIGHT(B175,LEN(B175)-FIND(" ",B175))+1,B175)</f>
        <v>Slide 28</v>
      </c>
      <c r="C184" s="807" t="b">
        <f>$K$1</f>
        <v>1</v>
      </c>
      <c r="D184" s="808" t="s">
        <v>447</v>
      </c>
      <c r="E184" s="816" t="str">
        <f ca="1">$E$139</f>
        <v>Financial Analysis_H</v>
      </c>
      <c r="F184" s="1009" t="str">
        <f>IF($H$1, "SlideTitle","")</f>
        <v>SlideTitle</v>
      </c>
      <c r="G184" s="797" t="str">
        <f>IF($H$1,Input!$C$9,"")</f>
        <v>Walmart Inc.</v>
      </c>
      <c r="H184" s="809"/>
      <c r="I184" s="809"/>
      <c r="J184" s="809"/>
      <c r="K184" s="809"/>
      <c r="L184" s="790"/>
    </row>
    <row r="185" spans="2:13" x14ac:dyDescent="0.25">
      <c r="B185" s="786"/>
      <c r="C185" s="786"/>
      <c r="D185" s="794"/>
      <c r="E185" s="786"/>
      <c r="F185" s="1010" t="str">
        <f>IF($H$1, "RoadMap", "SlideTitle")</f>
        <v>RoadMap</v>
      </c>
      <c r="G185" s="810" t="s">
        <v>1188</v>
      </c>
      <c r="H185" s="811"/>
      <c r="I185" s="811"/>
      <c r="J185" s="811"/>
      <c r="K185" s="811"/>
      <c r="L185" s="790"/>
    </row>
    <row r="186" spans="2:13" x14ac:dyDescent="0.25">
      <c r="B186" s="786"/>
      <c r="C186" s="786"/>
      <c r="D186" s="794"/>
      <c r="E186" s="786"/>
      <c r="F186" s="790" t="s">
        <v>451</v>
      </c>
      <c r="G186" s="790" t="s">
        <v>1156</v>
      </c>
      <c r="H186" s="811">
        <f t="shared" ref="H186:K186" si="16">H177</f>
        <v>0.56649280000000002</v>
      </c>
      <c r="I186" s="811">
        <f t="shared" si="16"/>
        <v>1.665</v>
      </c>
      <c r="J186" s="811">
        <f t="shared" si="16"/>
        <v>4.8499999999999996</v>
      </c>
      <c r="K186" s="811">
        <f t="shared" si="16"/>
        <v>2.99</v>
      </c>
      <c r="L186" s="790"/>
    </row>
    <row r="187" spans="2:13" x14ac:dyDescent="0.25">
      <c r="B187" s="786"/>
      <c r="C187" s="786"/>
      <c r="D187" s="794"/>
      <c r="E187" s="786"/>
      <c r="F187" s="790" t="s">
        <v>451</v>
      </c>
      <c r="G187" s="790" t="s">
        <v>1157</v>
      </c>
      <c r="H187" s="811">
        <f t="shared" ref="H187:K187" si="17">H178</f>
        <v>5.5666669999999998</v>
      </c>
      <c r="I187" s="811">
        <f t="shared" si="17"/>
        <v>1.665</v>
      </c>
      <c r="J187" s="811">
        <f t="shared" si="17"/>
        <v>4.8499999999999996</v>
      </c>
      <c r="K187" s="811">
        <f t="shared" si="17"/>
        <v>2.99</v>
      </c>
      <c r="L187" s="790"/>
    </row>
    <row r="188" spans="2:13" x14ac:dyDescent="0.25">
      <c r="B188" s="786"/>
      <c r="C188" s="786"/>
      <c r="D188" s="794"/>
      <c r="E188" s="786"/>
      <c r="F188" s="1011" t="s">
        <v>1159</v>
      </c>
      <c r="G188" s="790" t="str">
        <f>"Note: Financial data for fiscal " &amp; IF(TimePeriodType="Annual", "year", "quarter") &amp; " ended " &amp; TEXT($O$1, "mmmm yyyy")</f>
        <v>Note: Financial data for fiscal year ended January 2022</v>
      </c>
      <c r="H188" s="814"/>
      <c r="I188" s="814"/>
      <c r="J188" s="814"/>
      <c r="K188" s="814"/>
      <c r="L188" s="790"/>
    </row>
    <row r="189" spans="2:13" x14ac:dyDescent="0.25">
      <c r="B189" s="786"/>
      <c r="C189" s="786"/>
      <c r="D189" s="794"/>
      <c r="E189" s="786"/>
      <c r="F189" s="790" t="s">
        <v>449</v>
      </c>
      <c r="G189" s="788" t="s">
        <v>1257</v>
      </c>
      <c r="H189" s="811"/>
      <c r="I189" s="811"/>
      <c r="J189" s="811"/>
      <c r="K189" s="811"/>
      <c r="L189" s="790"/>
    </row>
    <row r="190" spans="2:13" x14ac:dyDescent="0.25">
      <c r="B190" s="786"/>
      <c r="C190" s="786"/>
      <c r="D190" s="794"/>
      <c r="E190" s="786"/>
      <c r="F190" s="786"/>
      <c r="G190" s="786"/>
      <c r="H190" s="811"/>
      <c r="I190" s="811"/>
      <c r="J190" s="811"/>
      <c r="K190" s="811"/>
      <c r="L190" s="790"/>
    </row>
    <row r="191" spans="2:13" x14ac:dyDescent="0.25">
      <c r="B191" s="797" t="str">
        <f>IF(C191,"Slide "&amp;RIGHT(B184,LEN(B184)-FIND(" ",B184))+1,B184)</f>
        <v>Slide 29</v>
      </c>
      <c r="C191" s="797" t="b">
        <f>$K$1</f>
        <v>1</v>
      </c>
      <c r="D191" s="798" t="s">
        <v>447</v>
      </c>
      <c r="E191" s="797" t="str">
        <f ca="1">MID(CELL("address",'Capital Structure_H'!$A$1),SEARCH("]",CELL("address",'Capital Structure_H'!$A$1))+1,SEARCH("'!$",CELL("address",'Capital Structure_H'!$A$1))-SEARCH("]",CELL("address",'Capital Structure_H'!$A$1))-1)</f>
        <v>Capital Structure_H</v>
      </c>
      <c r="F191" s="1009" t="str">
        <f>IF($H$1, "SlideTitle","")</f>
        <v>SlideTitle</v>
      </c>
      <c r="G191" s="797" t="str">
        <f>IF($H$1,Input!$C$9,"")</f>
        <v>Walmart Inc.</v>
      </c>
      <c r="H191" s="819"/>
      <c r="I191" s="819"/>
      <c r="J191" s="819"/>
      <c r="K191" s="819"/>
      <c r="L191" s="790"/>
    </row>
    <row r="192" spans="2:13" x14ac:dyDescent="0.25">
      <c r="B192" s="800"/>
      <c r="C192" s="800"/>
      <c r="D192" s="820"/>
      <c r="E192" s="800"/>
      <c r="F192" s="1010" t="str">
        <f>IF($H$1, "RoadMap", "SlideTitle")</f>
        <v>RoadMap</v>
      </c>
      <c r="G192" s="800" t="str">
        <f>"Capital Structure" &amp; IF($H$2," (1/2)","")</f>
        <v>Capital Structure</v>
      </c>
      <c r="H192" s="801"/>
      <c r="I192" s="801"/>
      <c r="J192" s="801"/>
      <c r="K192" s="801"/>
      <c r="L192" s="790"/>
    </row>
    <row r="193" spans="2:12" x14ac:dyDescent="0.25">
      <c r="B193" s="788"/>
      <c r="C193" s="788"/>
      <c r="D193" s="788"/>
      <c r="E193" s="788"/>
      <c r="F193" s="788" t="s">
        <v>448</v>
      </c>
      <c r="G193" s="821" t="s">
        <v>1367</v>
      </c>
      <c r="H193" s="814">
        <v>0.57170489999999996</v>
      </c>
      <c r="I193" s="814">
        <f>IF($H$1,1.665,1.29)</f>
        <v>1.665</v>
      </c>
      <c r="J193" s="803">
        <v>5.83</v>
      </c>
      <c r="K193" s="803">
        <v>5.88</v>
      </c>
      <c r="L193" s="901" t="b">
        <v>0</v>
      </c>
    </row>
    <row r="194" spans="2:12" x14ac:dyDescent="0.25">
      <c r="B194" s="788"/>
      <c r="C194" s="788"/>
      <c r="D194" s="788"/>
      <c r="E194" s="788"/>
      <c r="F194" s="788" t="s">
        <v>451</v>
      </c>
      <c r="G194" s="788" t="s">
        <v>271</v>
      </c>
      <c r="H194" s="814">
        <v>6.3449619999999998</v>
      </c>
      <c r="I194" s="814">
        <f>IF($H$1,1.665,1.29)</f>
        <v>1.665</v>
      </c>
      <c r="J194" s="803"/>
      <c r="K194" s="803"/>
      <c r="L194" s="790"/>
    </row>
    <row r="195" spans="2:12" x14ac:dyDescent="0.25">
      <c r="B195" s="788"/>
      <c r="C195" s="788"/>
      <c r="D195" s="788"/>
      <c r="E195" s="788"/>
      <c r="F195" s="788" t="s">
        <v>451</v>
      </c>
      <c r="G195" s="788" t="s">
        <v>928</v>
      </c>
      <c r="H195" s="814">
        <f>H194</f>
        <v>6.3449619999999998</v>
      </c>
      <c r="I195" s="814">
        <f>IF($H$1,4.9,4.54)</f>
        <v>4.9000000000000004</v>
      </c>
      <c r="J195" s="803"/>
      <c r="K195" s="803"/>
      <c r="L195" s="790"/>
    </row>
    <row r="196" spans="2:12" x14ac:dyDescent="0.25">
      <c r="B196" s="788"/>
      <c r="C196" s="788"/>
      <c r="D196" s="788"/>
      <c r="E196" s="788"/>
      <c r="F196" s="788" t="s">
        <v>449</v>
      </c>
      <c r="G196" s="788" t="s">
        <v>1257</v>
      </c>
      <c r="H196" s="801"/>
      <c r="I196" s="801"/>
      <c r="J196" s="801"/>
      <c r="K196" s="801"/>
      <c r="L196" s="790"/>
    </row>
    <row r="197" spans="2:12" x14ac:dyDescent="0.25">
      <c r="B197" s="788"/>
      <c r="C197" s="788"/>
      <c r="D197" s="788"/>
      <c r="E197" s="788"/>
      <c r="F197" s="788"/>
      <c r="G197" s="788"/>
      <c r="H197" s="805"/>
      <c r="I197" s="805"/>
      <c r="J197" s="805"/>
      <c r="K197" s="805"/>
      <c r="L197" s="790"/>
    </row>
    <row r="198" spans="2:12" x14ac:dyDescent="0.25">
      <c r="B198" s="797" t="str">
        <f>IF(C198,"Slide "&amp;RIGHT(B191,LEN(B191)-FIND(" ",B191))+1,B191)</f>
        <v>Slide 30</v>
      </c>
      <c r="C198" s="797" t="b">
        <f>$K$1</f>
        <v>1</v>
      </c>
      <c r="D198" s="798" t="s">
        <v>447</v>
      </c>
      <c r="E198" s="797" t="str">
        <f ca="1">MID(CELL("address",'Capital Structure_H'!$A$1),SEARCH("]",CELL("address",'Capital Structure_H'!$A$1))+1,SEARCH("'!$",CELL("address",'Capital Structure_H'!$A$1))-SEARCH("]",CELL("address",'Capital Structure_H'!$A$1))-1)</f>
        <v>Capital Structure_H</v>
      </c>
      <c r="F198" s="1009" t="str">
        <f>IF($H$1, "SlideTitle","")</f>
        <v>SlideTitle</v>
      </c>
      <c r="G198" s="797" t="str">
        <f>IF($H$1,Input!$C$9,"")</f>
        <v>Walmart Inc.</v>
      </c>
      <c r="H198" s="819"/>
      <c r="I198" s="819"/>
      <c r="J198" s="819"/>
      <c r="K198" s="819"/>
      <c r="L198" s="790"/>
    </row>
    <row r="199" spans="2:12" x14ac:dyDescent="0.25">
      <c r="B199" s="800"/>
      <c r="C199" s="800"/>
      <c r="D199" s="820"/>
      <c r="E199" s="800"/>
      <c r="F199" s="1010" t="str">
        <f>IF($H$1, "RoadMap", "SlideTitle")</f>
        <v>RoadMap</v>
      </c>
      <c r="G199" s="800" t="str">
        <f>"Capital Structure" &amp; IF($H$2," (2/2)","")</f>
        <v>Capital Structure</v>
      </c>
      <c r="H199" s="801"/>
      <c r="I199" s="801"/>
      <c r="J199" s="801"/>
      <c r="K199" s="801"/>
      <c r="L199" s="790"/>
    </row>
    <row r="200" spans="2:12" x14ac:dyDescent="0.25">
      <c r="B200" s="788"/>
      <c r="C200" s="788"/>
      <c r="D200" s="788"/>
      <c r="E200" s="788"/>
      <c r="F200" s="788" t="s">
        <v>451</v>
      </c>
      <c r="G200" s="788" t="s">
        <v>927</v>
      </c>
      <c r="H200" s="822">
        <f t="shared" ref="H200:K203" si="18">H132</f>
        <v>0.56649280000000002</v>
      </c>
      <c r="I200" s="822">
        <f t="shared" si="18"/>
        <v>1.665</v>
      </c>
      <c r="J200" s="822">
        <f t="shared" si="18"/>
        <v>4.8499999999999996</v>
      </c>
      <c r="K200" s="822">
        <f t="shared" si="18"/>
        <v>2.99</v>
      </c>
      <c r="L200" s="790"/>
    </row>
    <row r="201" spans="2:12" x14ac:dyDescent="0.25">
      <c r="B201" s="788"/>
      <c r="C201" s="788"/>
      <c r="D201" s="788"/>
      <c r="E201" s="788"/>
      <c r="F201" s="788" t="s">
        <v>451</v>
      </c>
      <c r="G201" s="788" t="s">
        <v>926</v>
      </c>
      <c r="H201" s="822">
        <f t="shared" si="18"/>
        <v>5.5666669999999998</v>
      </c>
      <c r="I201" s="822">
        <f t="shared" si="18"/>
        <v>1.665</v>
      </c>
      <c r="J201" s="822">
        <f t="shared" si="18"/>
        <v>4.8499999999999996</v>
      </c>
      <c r="K201" s="822">
        <f t="shared" si="18"/>
        <v>2.99</v>
      </c>
      <c r="L201" s="790"/>
    </row>
    <row r="202" spans="2:12" x14ac:dyDescent="0.25">
      <c r="B202" s="788"/>
      <c r="C202" s="788"/>
      <c r="D202" s="788"/>
      <c r="E202" s="788"/>
      <c r="F202" s="788" t="s">
        <v>451</v>
      </c>
      <c r="G202" s="788" t="s">
        <v>925</v>
      </c>
      <c r="H202" s="822">
        <f t="shared" si="18"/>
        <v>0.56649280000000002</v>
      </c>
      <c r="I202" s="822">
        <f t="shared" si="18"/>
        <v>4.7450000000000001</v>
      </c>
      <c r="J202" s="822">
        <f t="shared" si="18"/>
        <v>4.8499999999999996</v>
      </c>
      <c r="K202" s="822">
        <f t="shared" si="18"/>
        <v>2.99</v>
      </c>
      <c r="L202" s="790"/>
    </row>
    <row r="203" spans="2:12" x14ac:dyDescent="0.25">
      <c r="B203" s="788"/>
      <c r="C203" s="788"/>
      <c r="D203" s="788"/>
      <c r="E203" s="788"/>
      <c r="F203" s="788" t="s">
        <v>451</v>
      </c>
      <c r="G203" s="788" t="s">
        <v>924</v>
      </c>
      <c r="H203" s="822">
        <f t="shared" si="18"/>
        <v>5.5666669999999998</v>
      </c>
      <c r="I203" s="822">
        <f t="shared" si="18"/>
        <v>4.7450000000000001</v>
      </c>
      <c r="J203" s="822">
        <f t="shared" si="18"/>
        <v>4.8499999999999996</v>
      </c>
      <c r="K203" s="822">
        <f t="shared" si="18"/>
        <v>2.99</v>
      </c>
      <c r="L203" s="790"/>
    </row>
    <row r="204" spans="2:12" x14ac:dyDescent="0.25">
      <c r="B204" s="788"/>
      <c r="C204" s="788"/>
      <c r="D204" s="788"/>
      <c r="E204" s="788"/>
      <c r="F204" s="788" t="s">
        <v>1159</v>
      </c>
      <c r="G204" s="790" t="str">
        <f>"Note: Financial data for fiscal year ended " &amp; TEXT($Q$1, "mmmm yyyy")</f>
        <v>Note: Financial data for fiscal year ended January 2022</v>
      </c>
      <c r="H204" s="814"/>
      <c r="I204" s="814"/>
      <c r="J204" s="801"/>
      <c r="K204" s="801"/>
      <c r="L204" s="790"/>
    </row>
    <row r="205" spans="2:12" x14ac:dyDescent="0.25">
      <c r="B205" s="788"/>
      <c r="C205" s="788"/>
      <c r="D205" s="788"/>
      <c r="E205" s="788"/>
      <c r="F205" s="788" t="s">
        <v>449</v>
      </c>
      <c r="G205" s="788" t="s">
        <v>1257</v>
      </c>
      <c r="H205" s="801"/>
      <c r="I205" s="801"/>
      <c r="J205" s="801"/>
      <c r="K205" s="801"/>
      <c r="L205" s="790"/>
    </row>
    <row r="206" spans="2:12" x14ac:dyDescent="0.25">
      <c r="B206" s="788"/>
      <c r="C206" s="788"/>
      <c r="D206" s="788"/>
      <c r="E206" s="788"/>
      <c r="F206" s="788"/>
      <c r="G206" s="788"/>
      <c r="H206" s="805"/>
      <c r="I206" s="805"/>
      <c r="J206" s="805"/>
      <c r="K206" s="805"/>
      <c r="L206" s="790"/>
    </row>
    <row r="207" spans="2:12" x14ac:dyDescent="0.25">
      <c r="B207" s="797" t="str">
        <f>IF(C207,"Slide "&amp;RIGHT(B198,LEN(B198)-FIND(" ",B198))+1,B198)</f>
        <v>Slide 31</v>
      </c>
      <c r="C207" s="797" t="b">
        <f>$H$1</f>
        <v>1</v>
      </c>
      <c r="D207" s="798" t="s">
        <v>447</v>
      </c>
      <c r="E207" s="797" t="str">
        <f ca="1">MID(CELL("address",'Bond Prices'!$A$1),SEARCH("]",CELL("address",'Bond Prices'!$A$1))+1,SEARCH("'!$",CELL("address",'Bond Prices'!$A$1))-SEARCH("]",CELL("address",'Bond Prices'!$A$1))-1)</f>
        <v>Bond Prices</v>
      </c>
      <c r="F207" s="1009" t="str">
        <f>IF($H$1, "SlideTitle","")</f>
        <v>SlideTitle</v>
      </c>
      <c r="G207" s="797" t="str">
        <f>IF($H$1,Input!$C$9,"")</f>
        <v>Walmart Inc.</v>
      </c>
      <c r="H207" s="799"/>
      <c r="I207" s="799"/>
      <c r="J207" s="799"/>
      <c r="K207" s="799"/>
      <c r="L207" s="790"/>
    </row>
    <row r="208" spans="2:12" x14ac:dyDescent="0.25">
      <c r="B208" s="788"/>
      <c r="C208" s="788"/>
      <c r="D208" s="788"/>
      <c r="E208" s="788"/>
      <c r="F208" s="1010" t="str">
        <f>IF($H$1, "RoadMap", "SlideTitle")</f>
        <v>RoadMap</v>
      </c>
      <c r="G208" s="788" t="s">
        <v>923</v>
      </c>
      <c r="L208" s="790"/>
    </row>
    <row r="209" spans="2:13" ht="12.75" x14ac:dyDescent="0.2">
      <c r="B209" s="788"/>
      <c r="C209" s="788"/>
      <c r="D209" s="788"/>
      <c r="E209" s="788"/>
      <c r="F209" s="788" t="s">
        <v>451</v>
      </c>
      <c r="G209" s="788" t="s">
        <v>271</v>
      </c>
      <c r="H209" s="814">
        <v>0.64442259999999996</v>
      </c>
      <c r="I209" s="814">
        <f>IF($H$1,1.665,1.29)</f>
        <v>1.665</v>
      </c>
      <c r="J209" s="803"/>
      <c r="K209" s="803"/>
      <c r="L209" s="790"/>
      <c r="M209" s="788"/>
    </row>
    <row r="210" spans="2:13" x14ac:dyDescent="0.25">
      <c r="B210" s="788"/>
      <c r="C210" s="788"/>
      <c r="D210" s="788"/>
      <c r="E210" s="788"/>
      <c r="F210" s="788" t="s">
        <v>448</v>
      </c>
      <c r="G210" s="804" t="str">
        <f>'Bond Prices'!$G$1</f>
        <v>B5:H10</v>
      </c>
      <c r="H210" s="814">
        <v>0.66666559999999997</v>
      </c>
      <c r="I210" s="814">
        <f>IF($H$1,5.615,5.22)</f>
        <v>5.6150000000000002</v>
      </c>
      <c r="J210" s="803"/>
      <c r="K210" s="803"/>
      <c r="L210" s="901" t="b">
        <v>1</v>
      </c>
    </row>
    <row r="211" spans="2:13" x14ac:dyDescent="0.25">
      <c r="B211" s="788"/>
      <c r="C211" s="788"/>
      <c r="D211" s="788"/>
      <c r="E211" s="788"/>
      <c r="F211" s="788" t="s">
        <v>449</v>
      </c>
      <c r="G211" s="788" t="s">
        <v>1257</v>
      </c>
      <c r="H211" s="801"/>
      <c r="I211" s="801"/>
      <c r="J211" s="801"/>
      <c r="K211" s="801"/>
      <c r="L211" s="790"/>
    </row>
    <row r="212" spans="2:13" x14ac:dyDescent="0.25">
      <c r="B212" s="788"/>
      <c r="C212" s="788"/>
      <c r="D212" s="788"/>
      <c r="E212" s="788"/>
      <c r="F212" s="788"/>
      <c r="G212" s="788"/>
      <c r="H212" s="805"/>
      <c r="I212" s="805"/>
      <c r="J212" s="805"/>
      <c r="K212" s="805"/>
      <c r="L212" s="790"/>
    </row>
    <row r="213" spans="2:13" x14ac:dyDescent="0.25">
      <c r="B213" s="797" t="str">
        <f>IF(C213,"Slide "&amp;RIGHT(B207,LEN(B207)-FIND(" ",B207))+1,B207)</f>
        <v>Slide 31</v>
      </c>
      <c r="C213" s="807" t="b">
        <f>$K$2</f>
        <v>0</v>
      </c>
      <c r="D213" s="808" t="s">
        <v>447</v>
      </c>
      <c r="E213" s="816" t="str">
        <f ca="1">MID(CELL("address",'Market Data'!$A$1),SEARCH("]",CELL("address",'Market Data'!$A$1))+1,SEARCH("'!$",CELL("address",'Market Data'!$A$1))-SEARCH("]",CELL("address",'Market Data'!$A$1))-1)</f>
        <v>Market Data</v>
      </c>
      <c r="F213" s="1009" t="str">
        <f>IF($H$1, "SlideTitle","")</f>
        <v>SlideTitle</v>
      </c>
      <c r="G213" s="797" t="str">
        <f>IF($H$1,Input!$C$9,"")</f>
        <v>Walmart Inc.</v>
      </c>
      <c r="H213" s="823"/>
      <c r="I213" s="823"/>
      <c r="J213" s="823"/>
      <c r="K213" s="823"/>
      <c r="L213" s="790"/>
    </row>
    <row r="214" spans="2:13" x14ac:dyDescent="0.25">
      <c r="B214" s="786"/>
      <c r="C214" s="786"/>
      <c r="D214" s="794"/>
      <c r="E214" s="786"/>
      <c r="F214" s="1010" t="str">
        <f>IF($H$1, "RoadMap", "SlideTitle")</f>
        <v>RoadMap</v>
      </c>
      <c r="G214" s="790" t="str">
        <f>"Market Data (1/2)"</f>
        <v>Market Data (1/2)</v>
      </c>
      <c r="H214" s="811"/>
      <c r="I214" s="811"/>
      <c r="J214" s="811"/>
      <c r="K214" s="811"/>
      <c r="L214" s="790"/>
    </row>
    <row r="215" spans="2:13" ht="12.75" x14ac:dyDescent="0.2">
      <c r="B215" s="786"/>
      <c r="C215" s="786"/>
      <c r="D215" s="794"/>
      <c r="E215" s="790"/>
      <c r="F215" s="790" t="s">
        <v>451</v>
      </c>
      <c r="G215" s="824" t="s">
        <v>454</v>
      </c>
      <c r="H215" s="814">
        <v>0.73843610000000004</v>
      </c>
      <c r="I215" s="814">
        <v>1.2893509999999999</v>
      </c>
      <c r="J215" s="814"/>
      <c r="K215" s="814"/>
      <c r="L215" s="790"/>
      <c r="M215" s="788"/>
    </row>
    <row r="216" spans="2:13" x14ac:dyDescent="0.25">
      <c r="B216" s="786"/>
      <c r="C216" s="786"/>
      <c r="D216" s="794"/>
      <c r="E216" s="786"/>
      <c r="F216" s="790" t="s">
        <v>448</v>
      </c>
      <c r="G216" s="825" t="str">
        <f>'Peer Data'!C3</f>
        <v>$B$5:$L$7</v>
      </c>
      <c r="H216" s="814">
        <v>0.68229119999999999</v>
      </c>
      <c r="I216" s="814">
        <v>5.1128830000000001</v>
      </c>
      <c r="J216" s="814"/>
      <c r="K216" s="814"/>
      <c r="L216" s="790" t="b">
        <f>L210</f>
        <v>1</v>
      </c>
    </row>
    <row r="217" spans="2:13" ht="38.25" x14ac:dyDescent="0.25">
      <c r="B217" s="786"/>
      <c r="C217" s="786"/>
      <c r="D217" s="794"/>
      <c r="E217" s="786"/>
      <c r="F217" s="1011" t="s">
        <v>1159</v>
      </c>
      <c r="G217" s="1037" t="str">
        <f>"Note: 1) The share price growth is cumulative and is calculated by rebasing it to 0% on " &amp; TEXT('Price Data'!$D$2, "dd mmmm yyyy") &amp; "; 2) Financial data in table is based on Last Twelve months"</f>
        <v>Note: 1) The share price growth is cumulative and is calculated by rebasing it to 0% on 31 March 2017; 2) Financial data in table is based on Last Twelve months</v>
      </c>
      <c r="H217" s="814"/>
      <c r="I217" s="814"/>
      <c r="J217" s="814"/>
      <c r="K217" s="814"/>
      <c r="L217" s="790"/>
    </row>
    <row r="218" spans="2:13" x14ac:dyDescent="0.25">
      <c r="B218" s="786"/>
      <c r="C218" s="786"/>
      <c r="D218" s="794"/>
      <c r="E218" s="790"/>
      <c r="F218" s="790" t="s">
        <v>449</v>
      </c>
      <c r="G218" s="788" t="s">
        <v>1257</v>
      </c>
      <c r="H218" s="811"/>
      <c r="I218" s="811"/>
      <c r="J218" s="811"/>
      <c r="K218" s="811"/>
      <c r="L218" s="790"/>
    </row>
    <row r="219" spans="2:13" x14ac:dyDescent="0.25">
      <c r="B219" s="786"/>
      <c r="C219" s="786"/>
      <c r="D219" s="794"/>
      <c r="E219" s="786"/>
      <c r="F219" s="790"/>
      <c r="G219" s="790"/>
      <c r="H219" s="811"/>
      <c r="I219" s="811"/>
      <c r="J219" s="811"/>
      <c r="K219" s="811"/>
      <c r="L219" s="790"/>
    </row>
    <row r="220" spans="2:13" x14ac:dyDescent="0.25">
      <c r="B220" s="797" t="str">
        <f>IF(C220,"Slide "&amp;RIGHT(B213,LEN(B213)-FIND(" ",B213))+1,B213)</f>
        <v>Slide 31</v>
      </c>
      <c r="C220" s="807" t="b">
        <f>$K$2</f>
        <v>0</v>
      </c>
      <c r="D220" s="808" t="s">
        <v>447</v>
      </c>
      <c r="E220" s="816" t="str">
        <f ca="1">MID(CELL("address",'Market Data'!$A$1),SEARCH("]",CELL("address",'Market Data'!$A$1))+1,SEARCH("'!$",CELL("address",'Market Data'!$A$1))-SEARCH("]",CELL("address",'Market Data'!$A$1))-1)</f>
        <v>Market Data</v>
      </c>
      <c r="F220" s="1009" t="str">
        <f>IF($H$1, "SlideTitle","")</f>
        <v>SlideTitle</v>
      </c>
      <c r="G220" s="797" t="str">
        <f>IF($H$1,Input!$C$9,"")</f>
        <v>Walmart Inc.</v>
      </c>
      <c r="H220" s="823"/>
      <c r="I220" s="823"/>
      <c r="J220" s="823"/>
      <c r="K220" s="823"/>
      <c r="L220" s="790"/>
    </row>
    <row r="221" spans="2:13" x14ac:dyDescent="0.25">
      <c r="B221" s="786"/>
      <c r="C221" s="786"/>
      <c r="D221" s="794"/>
      <c r="E221" s="786"/>
      <c r="F221" s="1010" t="str">
        <f>IF($H$1, "RoadMap", "SlideTitle")</f>
        <v>RoadMap</v>
      </c>
      <c r="G221" s="790" t="str">
        <f ca="1">E220 &amp; " (2/2)"</f>
        <v>Market Data (2/2)</v>
      </c>
      <c r="H221" s="811"/>
      <c r="I221" s="811"/>
      <c r="J221" s="811"/>
      <c r="K221" s="811"/>
      <c r="L221" s="790"/>
    </row>
    <row r="222" spans="2:13" x14ac:dyDescent="0.25">
      <c r="B222" s="786"/>
      <c r="C222" s="786"/>
      <c r="D222" s="794"/>
      <c r="E222" s="790"/>
      <c r="F222" s="790" t="s">
        <v>451</v>
      </c>
      <c r="G222" s="824" t="s">
        <v>1124</v>
      </c>
      <c r="H222" s="814">
        <v>0.75</v>
      </c>
      <c r="I222" s="814">
        <v>1.2893509999999999</v>
      </c>
      <c r="J222" s="814">
        <v>9.5</v>
      </c>
      <c r="K222" s="814">
        <v>5.25</v>
      </c>
      <c r="L222" s="790"/>
    </row>
    <row r="223" spans="2:13" ht="25.5" x14ac:dyDescent="0.25">
      <c r="B223" s="786"/>
      <c r="C223" s="786"/>
      <c r="D223" s="794"/>
      <c r="E223" s="786"/>
      <c r="F223" s="1011" t="s">
        <v>1159</v>
      </c>
      <c r="G223" s="1037" t="str">
        <f>"Note: 1) The share price growth is cumulative and is calculated by rebasing it to 0% on " &amp; TEXT('Price Data'!$D$2, "dd mmmm yyyy")</f>
        <v>Note: 1) The share price growth is cumulative and is calculated by rebasing it to 0% on 31 March 2017</v>
      </c>
      <c r="H223" s="814"/>
      <c r="I223" s="814"/>
      <c r="J223" s="814"/>
      <c r="K223" s="814"/>
      <c r="L223" s="790"/>
    </row>
    <row r="224" spans="2:13" x14ac:dyDescent="0.25">
      <c r="B224" s="786"/>
      <c r="C224" s="786"/>
      <c r="D224" s="794"/>
      <c r="E224" s="790"/>
      <c r="F224" s="790" t="s">
        <v>449</v>
      </c>
      <c r="G224" s="788" t="s">
        <v>1257</v>
      </c>
      <c r="H224" s="811"/>
      <c r="I224" s="811"/>
      <c r="J224" s="811"/>
      <c r="K224" s="811"/>
      <c r="L224" s="790"/>
    </row>
    <row r="225" spans="1:12" x14ac:dyDescent="0.25">
      <c r="B225" s="786"/>
      <c r="C225" s="786"/>
      <c r="D225" s="794"/>
      <c r="E225" s="786"/>
      <c r="F225" s="790"/>
      <c r="G225" s="790"/>
      <c r="H225" s="811"/>
      <c r="I225" s="811"/>
      <c r="J225" s="811"/>
      <c r="K225" s="811"/>
      <c r="L225" s="790"/>
    </row>
    <row r="226" spans="1:12" x14ac:dyDescent="0.25">
      <c r="B226" s="797" t="str">
        <f>IF(C226,"Slide "&amp;RIGHT(B220,LEN(B220)-FIND(" ",B220))+1,B220)</f>
        <v>Slide 31</v>
      </c>
      <c r="C226" s="807" t="b">
        <f>$H$2</f>
        <v>0</v>
      </c>
      <c r="D226" s="798" t="s">
        <v>447</v>
      </c>
      <c r="E226" s="816" t="str">
        <f ca="1">MID(CELL("address",'Peer Analysis_H'!$A$1),SEARCH("]",CELL("address",'Peer Analysis_H'!$A$1))+1,SEARCH("'!$",CELL("address",'Peer Analysis_H'!$A$1))-SEARCH("]",CELL("address",'Peer Analysis_H'!$A$1))-1)</f>
        <v>Peer Analysis_H</v>
      </c>
      <c r="F226" s="1009" t="s">
        <v>1243</v>
      </c>
      <c r="G226" s="797" t="s">
        <v>413</v>
      </c>
      <c r="H226" s="799"/>
      <c r="I226" s="799"/>
      <c r="J226" s="799"/>
      <c r="K226" s="799"/>
      <c r="L226" s="815"/>
    </row>
    <row r="227" spans="1:12" x14ac:dyDescent="0.25">
      <c r="B227" s="797" t="str">
        <f>IF(C227,"Slide "&amp;RIGHT(B226,LEN(B226)-FIND(" ",B226))+1,B226)</f>
        <v>Slide 31</v>
      </c>
      <c r="C227" s="807" t="b">
        <f>$K$2</f>
        <v>0</v>
      </c>
      <c r="D227" s="808" t="s">
        <v>447</v>
      </c>
      <c r="E227" s="816" t="s">
        <v>1295</v>
      </c>
      <c r="F227" s="1009" t="str">
        <f>IF($H$1, "SlideTitle","")</f>
        <v>SlideTitle</v>
      </c>
      <c r="G227" s="797" t="str">
        <f>IF($H$1,Input!$C$9,"")</f>
        <v>Walmart Inc.</v>
      </c>
      <c r="H227" s="809"/>
      <c r="I227" s="809"/>
      <c r="J227" s="809"/>
      <c r="K227" s="809"/>
      <c r="L227" s="790"/>
    </row>
    <row r="228" spans="1:12" x14ac:dyDescent="0.25">
      <c r="B228" s="786"/>
      <c r="C228" s="786"/>
      <c r="D228" s="794"/>
      <c r="E228" s="786"/>
      <c r="F228" s="1010" t="str">
        <f>IF($H$1, "RoadMap", "SlideTitle")</f>
        <v>RoadMap</v>
      </c>
      <c r="G228" s="810" t="s">
        <v>1253</v>
      </c>
      <c r="H228" s="811"/>
      <c r="I228" s="811"/>
      <c r="J228" s="811"/>
      <c r="K228" s="811"/>
      <c r="L228" s="790"/>
    </row>
    <row r="229" spans="1:12" x14ac:dyDescent="0.25">
      <c r="B229" s="786"/>
      <c r="C229" s="786"/>
      <c r="D229" s="794"/>
      <c r="E229" s="786"/>
      <c r="F229" s="790" t="s">
        <v>448</v>
      </c>
      <c r="G229" s="825" t="str">
        <f>L231</f>
        <v>$B$18:$I$20</v>
      </c>
      <c r="H229" s="814">
        <v>0.61111110000000002</v>
      </c>
      <c r="I229" s="814">
        <v>1.2893509999999999</v>
      </c>
      <c r="J229" s="803"/>
      <c r="K229" s="803"/>
      <c r="L229" s="901" t="b">
        <v>1</v>
      </c>
    </row>
    <row r="230" spans="1:12" x14ac:dyDescent="0.25">
      <c r="B230" s="786"/>
      <c r="C230" s="786"/>
      <c r="D230" s="794"/>
      <c r="E230" s="786"/>
      <c r="F230" s="790" t="s">
        <v>1159</v>
      </c>
      <c r="G230" s="790" t="str">
        <f>"Note: Financial data for last twelve months ended " &amp; TEXT(ImpData!$B$15, "dd mmmm yyyy")</f>
        <v>Note: Financial data for last twelve months ended 31 January 2022</v>
      </c>
      <c r="H230" s="814"/>
      <c r="I230" s="814"/>
      <c r="J230" s="803"/>
      <c r="K230" s="803"/>
      <c r="L230" s="790"/>
    </row>
    <row r="231" spans="1:12" x14ac:dyDescent="0.25">
      <c r="B231" s="786"/>
      <c r="C231" s="786"/>
      <c r="D231" s="794"/>
      <c r="E231" s="786"/>
      <c r="F231" s="790" t="s">
        <v>449</v>
      </c>
      <c r="G231" s="788" t="s">
        <v>1257</v>
      </c>
      <c r="H231" s="811"/>
      <c r="I231" s="811"/>
      <c r="J231" s="811"/>
      <c r="K231" s="811"/>
      <c r="L231" s="790" t="str">
        <f>ADDRESS(ROW(Peers_Input),COLUMN(Peers_Input)) &amp; ":" &amp; ADDRESS(ROW(Peers_Input)+NumberOfPeers+1,COLUMN(Peers_Input)+7)</f>
        <v>$B$18:$I$20</v>
      </c>
    </row>
    <row r="232" spans="1:12" x14ac:dyDescent="0.25">
      <c r="B232" s="786"/>
      <c r="C232" s="786"/>
      <c r="D232" s="794"/>
      <c r="E232" s="786"/>
      <c r="F232" s="786"/>
      <c r="G232" s="786"/>
      <c r="H232" s="811"/>
      <c r="I232" s="811"/>
      <c r="J232" s="811"/>
      <c r="K232" s="811"/>
      <c r="L232" s="826"/>
    </row>
    <row r="233" spans="1:12" x14ac:dyDescent="0.25">
      <c r="B233" s="797" t="str">
        <f>IF(C233,"Slide "&amp;RIGHT(B227,LEN(B227)-FIND(" ",B227))+1,B227)</f>
        <v>Slide 31</v>
      </c>
      <c r="C233" s="807" t="b">
        <f>$K$2</f>
        <v>0</v>
      </c>
      <c r="D233" s="808" t="s">
        <v>447</v>
      </c>
      <c r="E233" s="816" t="str">
        <f ca="1">MID(CELL("address",'Peer Analysis_H'!$A$1),SEARCH("]",CELL("address",'Peer Analysis_H'!$A$1))+1,SEARCH("'!$",CELL("address",'Peer Analysis_H'!$A$1))-SEARCH("]",CELL("address",'Peer Analysis_H'!$A$1))-1)</f>
        <v>Peer Analysis_H</v>
      </c>
      <c r="F233" s="1009" t="str">
        <f>IF($H$1, "SlideTitle","")</f>
        <v>SlideTitle</v>
      </c>
      <c r="G233" s="797" t="str">
        <f>IF($H$1,Input!$C$9,"")</f>
        <v>Walmart Inc.</v>
      </c>
      <c r="H233" s="809"/>
      <c r="I233" s="809"/>
      <c r="J233" s="809"/>
      <c r="K233" s="809"/>
      <c r="L233" s="790"/>
    </row>
    <row r="234" spans="1:12" x14ac:dyDescent="0.25">
      <c r="B234" s="786"/>
      <c r="C234" s="786"/>
      <c r="D234" s="794"/>
      <c r="E234" s="786"/>
      <c r="F234" s="1010" t="str">
        <f>IF($H$1, "RoadMap", "SlideTitle")</f>
        <v>RoadMap</v>
      </c>
      <c r="G234" s="810" t="s">
        <v>414</v>
      </c>
      <c r="H234" s="811"/>
      <c r="I234" s="811"/>
      <c r="J234" s="811"/>
      <c r="K234" s="811"/>
      <c r="L234" s="790"/>
    </row>
    <row r="235" spans="1:12" x14ac:dyDescent="0.25">
      <c r="B235" s="786"/>
      <c r="C235" s="786"/>
      <c r="D235" s="794"/>
      <c r="E235" s="786"/>
      <c r="F235" s="790" t="s">
        <v>448</v>
      </c>
      <c r="G235" s="825" t="s">
        <v>1230</v>
      </c>
      <c r="H235" s="814">
        <v>0.76041669999999995</v>
      </c>
      <c r="I235" s="814">
        <v>1.2893509999999999</v>
      </c>
      <c r="J235" s="803"/>
      <c r="K235" s="803"/>
      <c r="L235" s="790" t="b">
        <f>L12</f>
        <v>1</v>
      </c>
    </row>
    <row r="236" spans="1:12" x14ac:dyDescent="0.25">
      <c r="B236" s="786"/>
      <c r="C236" s="786"/>
      <c r="D236" s="794"/>
      <c r="E236" s="786"/>
      <c r="F236" s="790" t="s">
        <v>1159</v>
      </c>
      <c r="G236" s="790" t="str">
        <f>"Note: Financial data for last twelve months ended " &amp; TEXT(ImpData!$B$15, "dd mmmm yyyy")</f>
        <v>Note: Financial data for last twelve months ended 31 January 2022</v>
      </c>
      <c r="H236" s="814"/>
      <c r="I236" s="814"/>
      <c r="J236" s="803"/>
      <c r="K236" s="803"/>
      <c r="L236" s="790"/>
    </row>
    <row r="237" spans="1:12" x14ac:dyDescent="0.25">
      <c r="B237" s="786"/>
      <c r="C237" s="786"/>
      <c r="D237" s="794"/>
      <c r="E237" s="786"/>
      <c r="F237" s="790" t="s">
        <v>449</v>
      </c>
      <c r="G237" s="788" t="s">
        <v>1257</v>
      </c>
      <c r="H237" s="811"/>
      <c r="I237" s="811"/>
      <c r="J237" s="811"/>
      <c r="K237" s="811"/>
      <c r="L237" s="790"/>
    </row>
    <row r="238" spans="1:12" x14ac:dyDescent="0.25">
      <c r="A238" s="788"/>
      <c r="B238" s="786"/>
      <c r="C238" s="786"/>
      <c r="D238" s="794"/>
      <c r="E238" s="786"/>
      <c r="F238" s="786"/>
      <c r="G238" s="786"/>
      <c r="H238" s="811"/>
      <c r="I238" s="811"/>
      <c r="J238" s="811"/>
      <c r="K238" s="811"/>
      <c r="L238" s="826"/>
    </row>
    <row r="239" spans="1:12" x14ac:dyDescent="0.25">
      <c r="B239" s="797" t="str">
        <f>IF(C239,"Slide "&amp;RIGHT(B233,LEN(B233)-FIND(" ",B233))+1,B233)</f>
        <v>Slide 31</v>
      </c>
      <c r="C239" s="807" t="b">
        <f>$K$2</f>
        <v>0</v>
      </c>
      <c r="D239" s="808" t="s">
        <v>447</v>
      </c>
      <c r="E239" s="816" t="str">
        <f ca="1">$E$233</f>
        <v>Peer Analysis_H</v>
      </c>
      <c r="F239" s="1009" t="str">
        <f>IF($H$1, "SlideTitle","")</f>
        <v>SlideTitle</v>
      </c>
      <c r="G239" s="797" t="str">
        <f>IF($H$1,Input!$C$9,"")</f>
        <v>Walmart Inc.</v>
      </c>
      <c r="H239" s="809"/>
      <c r="I239" s="809"/>
      <c r="J239" s="809"/>
      <c r="K239" s="809"/>
      <c r="L239" s="826"/>
    </row>
    <row r="240" spans="1:12" x14ac:dyDescent="0.25">
      <c r="B240" s="786"/>
      <c r="C240" s="786"/>
      <c r="D240" s="794"/>
      <c r="E240" s="786"/>
      <c r="F240" s="1010" t="str">
        <f>IF($H$1, "RoadMap", "SlideTitle")</f>
        <v>RoadMap</v>
      </c>
      <c r="G240" s="810" t="s">
        <v>1269</v>
      </c>
      <c r="H240" s="811"/>
      <c r="I240" s="811"/>
      <c r="J240" s="811"/>
      <c r="K240" s="811"/>
      <c r="L240" s="826"/>
    </row>
    <row r="241" spans="2:12" x14ac:dyDescent="0.25">
      <c r="B241" s="786"/>
      <c r="C241" s="786"/>
      <c r="D241" s="794"/>
      <c r="E241" s="786"/>
      <c r="F241" s="790" t="s">
        <v>451</v>
      </c>
      <c r="G241" s="810" t="s">
        <v>333</v>
      </c>
      <c r="H241" s="811">
        <f t="shared" ref="H241:I244" si="19">H141</f>
        <v>0.56649280000000002</v>
      </c>
      <c r="I241" s="811">
        <f t="shared" si="19"/>
        <v>1.665</v>
      </c>
      <c r="J241" s="814">
        <v>4.8499999999999996</v>
      </c>
      <c r="K241" s="814">
        <v>2.99</v>
      </c>
      <c r="L241" s="790"/>
    </row>
    <row r="242" spans="2:12" x14ac:dyDescent="0.25">
      <c r="B242" s="786"/>
      <c r="C242" s="786"/>
      <c r="D242" s="794"/>
      <c r="E242" s="786"/>
      <c r="F242" s="790" t="s">
        <v>451</v>
      </c>
      <c r="G242" s="810" t="s">
        <v>334</v>
      </c>
      <c r="H242" s="811">
        <f t="shared" si="19"/>
        <v>5.5666669999999998</v>
      </c>
      <c r="I242" s="811">
        <f t="shared" si="19"/>
        <v>1.665</v>
      </c>
      <c r="J242" s="811">
        <f t="shared" ref="J242:K244" si="20">J241</f>
        <v>4.8499999999999996</v>
      </c>
      <c r="K242" s="811">
        <f t="shared" si="20"/>
        <v>2.99</v>
      </c>
      <c r="L242" s="790"/>
    </row>
    <row r="243" spans="2:12" x14ac:dyDescent="0.25">
      <c r="B243" s="786"/>
      <c r="C243" s="786"/>
      <c r="D243" s="794"/>
      <c r="E243" s="786"/>
      <c r="F243" s="790" t="s">
        <v>451</v>
      </c>
      <c r="G243" s="810" t="s">
        <v>274</v>
      </c>
      <c r="H243" s="811">
        <f t="shared" si="19"/>
        <v>0.56649280000000002</v>
      </c>
      <c r="I243" s="811">
        <f t="shared" si="19"/>
        <v>4.7450000000000001</v>
      </c>
      <c r="J243" s="811">
        <f t="shared" si="20"/>
        <v>4.8499999999999996</v>
      </c>
      <c r="K243" s="811">
        <f t="shared" si="20"/>
        <v>2.99</v>
      </c>
      <c r="L243" s="790"/>
    </row>
    <row r="244" spans="2:12" x14ac:dyDescent="0.25">
      <c r="B244" s="786"/>
      <c r="C244" s="786"/>
      <c r="D244" s="794"/>
      <c r="E244" s="786"/>
      <c r="F244" s="790" t="s">
        <v>451</v>
      </c>
      <c r="G244" s="790" t="s">
        <v>289</v>
      </c>
      <c r="H244" s="811">
        <f t="shared" si="19"/>
        <v>5.5666669999999998</v>
      </c>
      <c r="I244" s="811">
        <f t="shared" si="19"/>
        <v>4.7450000000000001</v>
      </c>
      <c r="J244" s="811">
        <f t="shared" si="20"/>
        <v>4.8499999999999996</v>
      </c>
      <c r="K244" s="811">
        <f t="shared" si="20"/>
        <v>2.99</v>
      </c>
      <c r="L244" s="790"/>
    </row>
    <row r="245" spans="2:12" x14ac:dyDescent="0.25">
      <c r="B245" s="786"/>
      <c r="C245" s="786"/>
      <c r="D245" s="794"/>
      <c r="E245" s="786"/>
      <c r="F245" s="1011" t="s">
        <v>1159</v>
      </c>
      <c r="G245" s="790" t="str">
        <f>"Note: Financial data for calendar " &amp; IF(TimePeriodType="Annual", "year", "quarter") &amp; " ended " &amp; TEXT($O$2, "mmmm yyyy")</f>
        <v>Note: Financial data for calendar year ended January 2022</v>
      </c>
      <c r="H245" s="811"/>
      <c r="I245" s="811"/>
      <c r="J245" s="814"/>
      <c r="K245" s="814"/>
      <c r="L245" s="790"/>
    </row>
    <row r="246" spans="2:12" x14ac:dyDescent="0.25">
      <c r="B246" s="786"/>
      <c r="C246" s="786"/>
      <c r="D246" s="794"/>
      <c r="E246" s="786"/>
      <c r="F246" s="790" t="s">
        <v>449</v>
      </c>
      <c r="G246" s="788" t="s">
        <v>1257</v>
      </c>
      <c r="H246" s="811"/>
      <c r="I246" s="811"/>
      <c r="J246" s="811"/>
      <c r="K246" s="811"/>
      <c r="L246" s="790"/>
    </row>
    <row r="247" spans="2:12" x14ac:dyDescent="0.25">
      <c r="B247" s="786"/>
      <c r="C247" s="786"/>
      <c r="D247" s="794"/>
      <c r="E247" s="786"/>
      <c r="F247" s="786"/>
      <c r="G247" s="786"/>
      <c r="H247" s="811"/>
      <c r="I247" s="811"/>
      <c r="J247" s="811"/>
      <c r="K247" s="811"/>
      <c r="L247" s="790"/>
    </row>
    <row r="248" spans="2:12" x14ac:dyDescent="0.25">
      <c r="B248" s="797" t="str">
        <f>IF(C248,"Slide "&amp;RIGHT(B239,LEN(B239)-FIND(" ",B239))+1,B239)</f>
        <v>Slide 31</v>
      </c>
      <c r="C248" s="807" t="b">
        <f>$K$2</f>
        <v>0</v>
      </c>
      <c r="D248" s="808" t="s">
        <v>447</v>
      </c>
      <c r="E248" s="816" t="str">
        <f ca="1">$E$233</f>
        <v>Peer Analysis_H</v>
      </c>
      <c r="F248" s="1009" t="str">
        <f>IF($H$1, "SlideTitle","")</f>
        <v>SlideTitle</v>
      </c>
      <c r="G248" s="797" t="str">
        <f>IF($H$1,Input!$C$9,"")</f>
        <v>Walmart Inc.</v>
      </c>
      <c r="H248" s="809"/>
      <c r="I248" s="809"/>
      <c r="J248" s="809"/>
      <c r="K248" s="809"/>
      <c r="L248" s="790"/>
    </row>
    <row r="249" spans="2:12" x14ac:dyDescent="0.25">
      <c r="B249" s="786"/>
      <c r="C249" s="786"/>
      <c r="D249" s="794"/>
      <c r="E249" s="786"/>
      <c r="F249" s="1010" t="str">
        <f>IF($H$1, "RoadMap", "SlideTitle")</f>
        <v>RoadMap</v>
      </c>
      <c r="G249" s="810" t="s">
        <v>1270</v>
      </c>
      <c r="H249" s="811"/>
      <c r="I249" s="811"/>
      <c r="J249" s="811"/>
      <c r="K249" s="811"/>
      <c r="L249" s="790"/>
    </row>
    <row r="250" spans="2:12" x14ac:dyDescent="0.25">
      <c r="B250" s="786"/>
      <c r="C250" s="786"/>
      <c r="D250" s="794"/>
      <c r="E250" s="786"/>
      <c r="F250" s="790" t="s">
        <v>451</v>
      </c>
      <c r="G250" s="790" t="s">
        <v>340</v>
      </c>
      <c r="H250" s="811">
        <f t="shared" ref="H250:K251" si="21">H241</f>
        <v>0.56649280000000002</v>
      </c>
      <c r="I250" s="811">
        <f t="shared" si="21"/>
        <v>1.665</v>
      </c>
      <c r="J250" s="811">
        <f t="shared" si="21"/>
        <v>4.8499999999999996</v>
      </c>
      <c r="K250" s="811">
        <f t="shared" si="21"/>
        <v>2.99</v>
      </c>
      <c r="L250" s="790"/>
    </row>
    <row r="251" spans="2:12" x14ac:dyDescent="0.25">
      <c r="B251" s="786"/>
      <c r="C251" s="786"/>
      <c r="D251" s="794"/>
      <c r="E251" s="786"/>
      <c r="F251" s="790" t="s">
        <v>451</v>
      </c>
      <c r="G251" s="790" t="s">
        <v>284</v>
      </c>
      <c r="H251" s="811">
        <f t="shared" si="21"/>
        <v>5.5666669999999998</v>
      </c>
      <c r="I251" s="811">
        <f t="shared" si="21"/>
        <v>1.665</v>
      </c>
      <c r="J251" s="811">
        <f t="shared" si="21"/>
        <v>4.8499999999999996</v>
      </c>
      <c r="K251" s="811">
        <f t="shared" si="21"/>
        <v>2.99</v>
      </c>
      <c r="L251" s="790"/>
    </row>
    <row r="252" spans="2:12" x14ac:dyDescent="0.25">
      <c r="B252" s="786"/>
      <c r="C252" s="786"/>
      <c r="D252" s="794"/>
      <c r="E252" s="786"/>
      <c r="F252" s="1011" t="s">
        <v>1159</v>
      </c>
      <c r="G252" s="790" t="str">
        <f>"Note: Financial data for calendar " &amp; IF(TimePeriodType="Annual", "year", "quarter") &amp; " ended " &amp; TEXT($O$2, "mmmm yyyy")</f>
        <v>Note: Financial data for calendar year ended January 2022</v>
      </c>
      <c r="H252" s="811"/>
      <c r="I252" s="811"/>
      <c r="J252" s="814"/>
      <c r="K252" s="814"/>
      <c r="L252" s="790"/>
    </row>
    <row r="253" spans="2:12" x14ac:dyDescent="0.25">
      <c r="B253" s="786"/>
      <c r="C253" s="786"/>
      <c r="D253" s="794"/>
      <c r="E253" s="786"/>
      <c r="F253" s="790" t="s">
        <v>449</v>
      </c>
      <c r="G253" s="788" t="s">
        <v>1257</v>
      </c>
      <c r="H253" s="811"/>
      <c r="I253" s="811"/>
      <c r="J253" s="811"/>
      <c r="K253" s="811"/>
      <c r="L253" s="790"/>
    </row>
    <row r="254" spans="2:12" x14ac:dyDescent="0.25">
      <c r="B254" s="786"/>
      <c r="C254" s="786"/>
      <c r="D254" s="794"/>
      <c r="E254" s="786"/>
      <c r="F254" s="786"/>
      <c r="G254" s="786"/>
      <c r="H254" s="811"/>
      <c r="I254" s="811"/>
      <c r="J254" s="811"/>
      <c r="K254" s="811"/>
      <c r="L254" s="790"/>
    </row>
    <row r="255" spans="2:12" x14ac:dyDescent="0.25">
      <c r="B255" s="797" t="str">
        <f>IF(C255,"Slide "&amp;RIGHT(B248,LEN(B248)-FIND(" ",B248))+1,B248)</f>
        <v>Slide 31</v>
      </c>
      <c r="C255" s="807" t="b">
        <f>$K$2</f>
        <v>0</v>
      </c>
      <c r="D255" s="808" t="s">
        <v>447</v>
      </c>
      <c r="E255" s="816" t="str">
        <f ca="1">$E$233</f>
        <v>Peer Analysis_H</v>
      </c>
      <c r="F255" s="1009" t="str">
        <f>IF($H$1, "SlideTitle","")</f>
        <v>SlideTitle</v>
      </c>
      <c r="G255" s="797" t="str">
        <f>IF($H$1,Input!$C$9,"")</f>
        <v>Walmart Inc.</v>
      </c>
      <c r="H255" s="809"/>
      <c r="I255" s="809"/>
      <c r="J255" s="809"/>
      <c r="K255" s="809"/>
      <c r="L255" s="790"/>
    </row>
    <row r="256" spans="2:12" x14ac:dyDescent="0.25">
      <c r="B256" s="786"/>
      <c r="C256" s="786"/>
      <c r="D256" s="794"/>
      <c r="E256" s="786"/>
      <c r="F256" s="1010" t="str">
        <f>IF($H$1, "RoadMap", "SlideTitle")</f>
        <v>RoadMap</v>
      </c>
      <c r="G256" s="810" t="s">
        <v>959</v>
      </c>
      <c r="H256" s="811"/>
      <c r="I256" s="811"/>
      <c r="J256" s="811"/>
      <c r="K256" s="811"/>
      <c r="L256" s="790"/>
    </row>
    <row r="257" spans="2:12" x14ac:dyDescent="0.25">
      <c r="B257" s="786"/>
      <c r="C257" s="786"/>
      <c r="D257" s="794"/>
      <c r="E257" s="786"/>
      <c r="F257" s="790" t="s">
        <v>451</v>
      </c>
      <c r="G257" s="790" t="s">
        <v>1128</v>
      </c>
      <c r="H257" s="811">
        <f t="shared" ref="H257:K260" si="22">H241</f>
        <v>0.56649280000000002</v>
      </c>
      <c r="I257" s="811">
        <f t="shared" si="22"/>
        <v>1.665</v>
      </c>
      <c r="J257" s="811">
        <f t="shared" si="22"/>
        <v>4.8499999999999996</v>
      </c>
      <c r="K257" s="811">
        <f t="shared" si="22"/>
        <v>2.99</v>
      </c>
      <c r="L257" s="790"/>
    </row>
    <row r="258" spans="2:12" x14ac:dyDescent="0.25">
      <c r="B258" s="786"/>
      <c r="C258" s="786"/>
      <c r="D258" s="794"/>
      <c r="E258" s="786"/>
      <c r="F258" s="790" t="s">
        <v>451</v>
      </c>
      <c r="G258" s="810" t="s">
        <v>335</v>
      </c>
      <c r="H258" s="811">
        <f t="shared" si="22"/>
        <v>5.5666669999999998</v>
      </c>
      <c r="I258" s="811">
        <f t="shared" si="22"/>
        <v>1.665</v>
      </c>
      <c r="J258" s="811">
        <f t="shared" si="22"/>
        <v>4.8499999999999996</v>
      </c>
      <c r="K258" s="811">
        <f t="shared" si="22"/>
        <v>2.99</v>
      </c>
      <c r="L258" s="790"/>
    </row>
    <row r="259" spans="2:12" x14ac:dyDescent="0.25">
      <c r="B259" s="786"/>
      <c r="C259" s="786"/>
      <c r="D259" s="794"/>
      <c r="E259" s="786"/>
      <c r="F259" s="790" t="s">
        <v>451</v>
      </c>
      <c r="G259" s="810" t="s">
        <v>1194</v>
      </c>
      <c r="H259" s="811">
        <f t="shared" si="22"/>
        <v>0.56649280000000002</v>
      </c>
      <c r="I259" s="811">
        <f t="shared" si="22"/>
        <v>4.7450000000000001</v>
      </c>
      <c r="J259" s="811">
        <f t="shared" si="22"/>
        <v>4.8499999999999996</v>
      </c>
      <c r="K259" s="811">
        <f t="shared" si="22"/>
        <v>2.99</v>
      </c>
      <c r="L259" s="790"/>
    </row>
    <row r="260" spans="2:12" x14ac:dyDescent="0.25">
      <c r="B260" s="786"/>
      <c r="C260" s="786"/>
      <c r="D260" s="794"/>
      <c r="E260" s="786"/>
      <c r="F260" s="790" t="s">
        <v>451</v>
      </c>
      <c r="G260" s="810" t="s">
        <v>336</v>
      </c>
      <c r="H260" s="811">
        <f t="shared" si="22"/>
        <v>5.5666669999999998</v>
      </c>
      <c r="I260" s="811">
        <f t="shared" si="22"/>
        <v>4.7450000000000001</v>
      </c>
      <c r="J260" s="811">
        <f t="shared" si="22"/>
        <v>4.8499999999999996</v>
      </c>
      <c r="K260" s="811">
        <f t="shared" si="22"/>
        <v>2.99</v>
      </c>
      <c r="L260" s="790"/>
    </row>
    <row r="261" spans="2:12" x14ac:dyDescent="0.25">
      <c r="B261" s="786"/>
      <c r="C261" s="786"/>
      <c r="D261" s="794"/>
      <c r="E261" s="786"/>
      <c r="F261" s="1011" t="s">
        <v>1159</v>
      </c>
      <c r="G261" s="790" t="str">
        <f>"Note: Financial data for calendar " &amp; IF(TimePeriodType="Annual", "year", "quarter") &amp; " ended " &amp; TEXT($O$2, "mmmm yyyy")</f>
        <v>Note: Financial data for calendar year ended January 2022</v>
      </c>
      <c r="H261" s="811"/>
      <c r="I261" s="811"/>
      <c r="J261" s="814"/>
      <c r="K261" s="814"/>
      <c r="L261" s="790"/>
    </row>
    <row r="262" spans="2:12" x14ac:dyDescent="0.25">
      <c r="B262" s="786"/>
      <c r="C262" s="786"/>
      <c r="D262" s="794"/>
      <c r="E262" s="786"/>
      <c r="F262" s="790" t="s">
        <v>449</v>
      </c>
      <c r="G262" s="788" t="s">
        <v>1257</v>
      </c>
      <c r="H262" s="811"/>
      <c r="I262" s="811"/>
      <c r="J262" s="811"/>
      <c r="K262" s="811"/>
      <c r="L262" s="790"/>
    </row>
    <row r="263" spans="2:12" x14ac:dyDescent="0.25">
      <c r="B263" s="786"/>
      <c r="C263" s="786"/>
      <c r="D263" s="794"/>
      <c r="E263" s="786"/>
      <c r="F263" s="786"/>
      <c r="G263" s="786"/>
      <c r="H263" s="811"/>
      <c r="I263" s="811"/>
      <c r="J263" s="811"/>
      <c r="K263" s="811"/>
      <c r="L263" s="790"/>
    </row>
    <row r="264" spans="2:12" x14ac:dyDescent="0.25">
      <c r="B264" s="797" t="str">
        <f>IF(C264,"Slide "&amp;RIGHT(B255,LEN(B255)-FIND(" ",B255))+1,B255)</f>
        <v>Slide 31</v>
      </c>
      <c r="C264" s="807" t="b">
        <f>$K$2</f>
        <v>0</v>
      </c>
      <c r="D264" s="808" t="s">
        <v>447</v>
      </c>
      <c r="E264" s="816" t="str">
        <f ca="1">$E$233</f>
        <v>Peer Analysis_H</v>
      </c>
      <c r="F264" s="1009" t="str">
        <f>IF($H$1, "SlideTitle","")</f>
        <v>SlideTitle</v>
      </c>
      <c r="G264" s="797" t="str">
        <f>IF($H$1,Input!$C$9,"")</f>
        <v>Walmart Inc.</v>
      </c>
      <c r="H264" s="809"/>
      <c r="I264" s="809"/>
      <c r="J264" s="809"/>
      <c r="K264" s="809"/>
      <c r="L264" s="790"/>
    </row>
    <row r="265" spans="2:12" x14ac:dyDescent="0.25">
      <c r="B265" s="786"/>
      <c r="C265" s="786"/>
      <c r="D265" s="794"/>
      <c r="E265" s="786"/>
      <c r="F265" s="1010" t="str">
        <f>IF($H$1, "RoadMap", "SlideTitle")</f>
        <v>RoadMap</v>
      </c>
      <c r="G265" s="810" t="s">
        <v>1228</v>
      </c>
      <c r="H265" s="811"/>
      <c r="I265" s="811"/>
      <c r="J265" s="811"/>
      <c r="K265" s="811"/>
      <c r="L265" s="790"/>
    </row>
    <row r="266" spans="2:12" x14ac:dyDescent="0.25">
      <c r="B266" s="786"/>
      <c r="C266" s="786"/>
      <c r="D266" s="794"/>
      <c r="E266" s="786"/>
      <c r="F266" s="790" t="s">
        <v>451</v>
      </c>
      <c r="G266" s="810" t="s">
        <v>337</v>
      </c>
      <c r="H266" s="811">
        <f t="shared" ref="H266:K266" si="23">H250</f>
        <v>0.56649280000000002</v>
      </c>
      <c r="I266" s="811">
        <f t="shared" si="23"/>
        <v>1.665</v>
      </c>
      <c r="J266" s="811">
        <f t="shared" si="23"/>
        <v>4.8499999999999996</v>
      </c>
      <c r="K266" s="811">
        <f t="shared" si="23"/>
        <v>2.99</v>
      </c>
      <c r="L266" s="790"/>
    </row>
    <row r="267" spans="2:12" x14ac:dyDescent="0.25">
      <c r="B267" s="786"/>
      <c r="C267" s="786"/>
      <c r="D267" s="794"/>
      <c r="E267" s="786"/>
      <c r="F267" s="790" t="s">
        <v>451</v>
      </c>
      <c r="G267" s="790" t="s">
        <v>1129</v>
      </c>
      <c r="H267" s="811">
        <f t="shared" ref="H267:K267" si="24">H251</f>
        <v>5.5666669999999998</v>
      </c>
      <c r="I267" s="811">
        <f t="shared" si="24"/>
        <v>1.665</v>
      </c>
      <c r="J267" s="811">
        <f t="shared" si="24"/>
        <v>4.8499999999999996</v>
      </c>
      <c r="K267" s="811">
        <f t="shared" si="24"/>
        <v>2.99</v>
      </c>
      <c r="L267" s="790"/>
    </row>
    <row r="268" spans="2:12" x14ac:dyDescent="0.25">
      <c r="B268" s="786"/>
      <c r="C268" s="786"/>
      <c r="D268" s="794"/>
      <c r="E268" s="786"/>
      <c r="F268" s="1011" t="s">
        <v>1159</v>
      </c>
      <c r="G268" s="790" t="str">
        <f>"Note: Financial data for calendar " &amp; IF(TimePeriodType="Annual", "year", "quarter") &amp; " ended " &amp; TEXT($O$2, "mmmm yyyy")</f>
        <v>Note: Financial data for calendar year ended January 2022</v>
      </c>
      <c r="H268" s="811"/>
      <c r="I268" s="811"/>
      <c r="J268" s="814"/>
      <c r="K268" s="814"/>
      <c r="L268" s="790"/>
    </row>
    <row r="269" spans="2:12" x14ac:dyDescent="0.25">
      <c r="B269" s="786"/>
      <c r="C269" s="786"/>
      <c r="D269" s="794"/>
      <c r="E269" s="786"/>
      <c r="F269" s="790" t="s">
        <v>449</v>
      </c>
      <c r="G269" s="788" t="s">
        <v>1257</v>
      </c>
      <c r="H269" s="811"/>
      <c r="I269" s="811"/>
      <c r="J269" s="811"/>
      <c r="K269" s="811"/>
      <c r="L269" s="790"/>
    </row>
    <row r="270" spans="2:12" x14ac:dyDescent="0.25">
      <c r="B270" s="786"/>
      <c r="C270" s="786"/>
      <c r="D270" s="794"/>
      <c r="E270" s="786"/>
      <c r="F270" s="786"/>
      <c r="G270" s="786"/>
      <c r="H270" s="811"/>
      <c r="I270" s="811"/>
      <c r="J270" s="811"/>
      <c r="K270" s="811"/>
      <c r="L270" s="790"/>
    </row>
    <row r="271" spans="2:12" x14ac:dyDescent="0.25">
      <c r="B271" s="797" t="str">
        <f>IF(C271,"Slide "&amp;RIGHT(B264,LEN(B264)-FIND(" ",B264))+1,B264)</f>
        <v>Slide 31</v>
      </c>
      <c r="C271" s="807" t="b">
        <f>$K$2</f>
        <v>0</v>
      </c>
      <c r="D271" s="808" t="s">
        <v>447</v>
      </c>
      <c r="E271" s="816" t="str">
        <f ca="1">$E$233</f>
        <v>Peer Analysis_H</v>
      </c>
      <c r="F271" s="1009" t="str">
        <f>IF($H$1, "SlideTitle","")</f>
        <v>SlideTitle</v>
      </c>
      <c r="G271" s="797" t="str">
        <f>IF($H$1,Input!$C$9,"")</f>
        <v>Walmart Inc.</v>
      </c>
      <c r="H271" s="809"/>
      <c r="I271" s="809"/>
      <c r="J271" s="809"/>
      <c r="K271" s="809"/>
      <c r="L271" s="790"/>
    </row>
    <row r="272" spans="2:12" x14ac:dyDescent="0.25">
      <c r="B272" s="786"/>
      <c r="C272" s="786"/>
      <c r="D272" s="794"/>
      <c r="E272" s="786"/>
      <c r="F272" s="1010" t="str">
        <f>IF($H$1, "RoadMap", "SlideTitle")</f>
        <v>RoadMap</v>
      </c>
      <c r="G272" s="810" t="s">
        <v>1229</v>
      </c>
      <c r="H272" s="811"/>
      <c r="I272" s="811"/>
      <c r="J272" s="811"/>
      <c r="K272" s="811"/>
      <c r="L272" s="790"/>
    </row>
    <row r="273" spans="2:12" x14ac:dyDescent="0.25">
      <c r="B273" s="786"/>
      <c r="C273" s="786"/>
      <c r="D273" s="794"/>
      <c r="E273" s="786"/>
      <c r="F273" s="790" t="s">
        <v>451</v>
      </c>
      <c r="G273" s="790" t="s">
        <v>339</v>
      </c>
      <c r="H273" s="811">
        <f t="shared" ref="H273:K273" si="25">H257</f>
        <v>0.56649280000000002</v>
      </c>
      <c r="I273" s="811">
        <f t="shared" si="25"/>
        <v>1.665</v>
      </c>
      <c r="J273" s="811">
        <f t="shared" si="25"/>
        <v>4.8499999999999996</v>
      </c>
      <c r="K273" s="811">
        <f t="shared" si="25"/>
        <v>2.99</v>
      </c>
      <c r="L273" s="790"/>
    </row>
    <row r="274" spans="2:12" x14ac:dyDescent="0.25">
      <c r="B274" s="786"/>
      <c r="C274" s="786"/>
      <c r="D274" s="794"/>
      <c r="E274" s="786"/>
      <c r="F274" s="790" t="s">
        <v>451</v>
      </c>
      <c r="G274" s="790" t="s">
        <v>1130</v>
      </c>
      <c r="H274" s="811">
        <f t="shared" ref="H274:K274" si="26">H258</f>
        <v>5.5666669999999998</v>
      </c>
      <c r="I274" s="811">
        <f t="shared" si="26"/>
        <v>1.665</v>
      </c>
      <c r="J274" s="811">
        <f t="shared" si="26"/>
        <v>4.8499999999999996</v>
      </c>
      <c r="K274" s="811">
        <f t="shared" si="26"/>
        <v>2.99</v>
      </c>
      <c r="L274" s="790"/>
    </row>
    <row r="275" spans="2:12" x14ac:dyDescent="0.25">
      <c r="B275" s="786"/>
      <c r="C275" s="786"/>
      <c r="D275" s="794"/>
      <c r="E275" s="786"/>
      <c r="F275" s="790" t="s">
        <v>451</v>
      </c>
      <c r="G275" s="790" t="s">
        <v>1168</v>
      </c>
      <c r="H275" s="811">
        <f t="shared" ref="H275:K275" si="27">H259</f>
        <v>0.56649280000000002</v>
      </c>
      <c r="I275" s="811">
        <f t="shared" si="27"/>
        <v>4.7450000000000001</v>
      </c>
      <c r="J275" s="811">
        <f t="shared" si="27"/>
        <v>4.8499999999999996</v>
      </c>
      <c r="K275" s="811">
        <f t="shared" si="27"/>
        <v>2.99</v>
      </c>
      <c r="L275" s="790"/>
    </row>
    <row r="276" spans="2:12" x14ac:dyDescent="0.25">
      <c r="B276" s="786"/>
      <c r="C276" s="786"/>
      <c r="D276" s="794"/>
      <c r="E276" s="786"/>
      <c r="F276" s="1011" t="s">
        <v>1159</v>
      </c>
      <c r="G276" s="790" t="str">
        <f>"Note: Financial data for calendar " &amp; IF(TimePeriodType="Annual", "year", "quarter") &amp; " ended " &amp; TEXT($O$2, "mmmm yyyy")</f>
        <v>Note: Financial data for calendar year ended January 2022</v>
      </c>
      <c r="H276" s="811"/>
      <c r="I276" s="811"/>
      <c r="J276" s="814"/>
      <c r="K276" s="814"/>
      <c r="L276" s="790"/>
    </row>
    <row r="277" spans="2:12" x14ac:dyDescent="0.25">
      <c r="B277" s="786"/>
      <c r="C277" s="786"/>
      <c r="D277" s="794"/>
      <c r="E277" s="786"/>
      <c r="F277" s="790" t="s">
        <v>449</v>
      </c>
      <c r="G277" s="788" t="s">
        <v>1257</v>
      </c>
      <c r="H277" s="811"/>
      <c r="I277" s="811"/>
      <c r="J277" s="811"/>
      <c r="K277" s="811"/>
      <c r="L277" s="790"/>
    </row>
    <row r="278" spans="2:12" x14ac:dyDescent="0.25">
      <c r="B278" s="786"/>
      <c r="C278" s="786"/>
      <c r="D278" s="794"/>
      <c r="E278" s="786"/>
      <c r="F278" s="786"/>
      <c r="G278" s="786"/>
      <c r="H278" s="811"/>
      <c r="I278" s="811"/>
      <c r="J278" s="811"/>
      <c r="K278" s="811"/>
      <c r="L278" s="790"/>
    </row>
    <row r="279" spans="2:12" x14ac:dyDescent="0.25">
      <c r="B279" s="797" t="str">
        <f>IF(C279,"Slide "&amp;RIGHT(B271,LEN(B271)-FIND(" ",B271))+1,B271)</f>
        <v>Slide 32</v>
      </c>
      <c r="C279" s="797" t="b">
        <f>$H$1</f>
        <v>1</v>
      </c>
      <c r="D279" s="798" t="s">
        <v>447</v>
      </c>
      <c r="E279" s="797" t="str">
        <f ca="1">MID(CELL("address",'Private Ownership'!$A$1),SEARCH("]",CELL("address",'Private Ownership'!$A$1))+1,SEARCH("'!$",CELL("address",'Private Ownership'!$A$1))-SEARCH("]",CELL("address",'Private Ownership'!$A$1))-1)</f>
        <v>Private Ownership</v>
      </c>
      <c r="F279" s="1009" t="s">
        <v>1243</v>
      </c>
      <c r="G279" s="797" t="s">
        <v>1255</v>
      </c>
      <c r="H279" s="799"/>
      <c r="I279" s="799"/>
      <c r="J279" s="799"/>
      <c r="K279" s="799"/>
      <c r="L279" s="815"/>
    </row>
    <row r="280" spans="2:12" x14ac:dyDescent="0.25">
      <c r="B280" s="797" t="str">
        <f>IF(C280,"Slide "&amp;RIGHT(B279,LEN(B279)-FIND(" ",B279))+1,B279)</f>
        <v>Slide 33</v>
      </c>
      <c r="C280" s="797" t="b">
        <f>$H$1</f>
        <v>1</v>
      </c>
      <c r="D280" s="798" t="s">
        <v>447</v>
      </c>
      <c r="E280" s="797" t="str">
        <f ca="1">MID(CELL("address",'Private Ownership'!$A$1),SEARCH("]",CELL("address",'Private Ownership'!$A$1))+1,SEARCH("'!$",CELL("address",'Private Ownership'!$A$1))-SEARCH("]",CELL("address",'Private Ownership'!$A$1))-1)</f>
        <v>Private Ownership</v>
      </c>
      <c r="F280" s="1009" t="str">
        <f>IF($H$1, "SlideTitle","")</f>
        <v>SlideTitle</v>
      </c>
      <c r="G280" s="797" t="str">
        <f>IF($H$1,Input!$C$9,"")</f>
        <v>Walmart Inc.</v>
      </c>
      <c r="H280" s="799"/>
      <c r="I280" s="799"/>
      <c r="J280" s="799"/>
      <c r="K280" s="799"/>
      <c r="L280" s="790"/>
    </row>
    <row r="281" spans="2:12" x14ac:dyDescent="0.25">
      <c r="B281" s="788"/>
      <c r="C281" s="788"/>
      <c r="D281" s="788"/>
      <c r="E281" s="788"/>
      <c r="F281" s="1010" t="str">
        <f>IF($H$1, "RoadMap", "SlideTitle")</f>
        <v>RoadMap</v>
      </c>
      <c r="G281" s="788" t="s">
        <v>590</v>
      </c>
      <c r="L281" s="790"/>
    </row>
    <row r="282" spans="2:12" x14ac:dyDescent="0.25">
      <c r="B282" s="788"/>
      <c r="C282" s="788"/>
      <c r="D282" s="788"/>
      <c r="E282" s="788"/>
      <c r="F282" s="788" t="s">
        <v>448</v>
      </c>
      <c r="G282" s="804" t="str">
        <f>+'Private Ownership'!G1</f>
        <v>B5:I9</v>
      </c>
      <c r="H282" s="814">
        <v>0.25</v>
      </c>
      <c r="I282" s="814">
        <f>IF($H$1,1.665,1.29)</f>
        <v>1.665</v>
      </c>
      <c r="J282" s="803"/>
      <c r="K282" s="803"/>
      <c r="L282" s="826" t="b">
        <f>L235</f>
        <v>1</v>
      </c>
    </row>
    <row r="283" spans="2:12" x14ac:dyDescent="0.25">
      <c r="B283" s="788"/>
      <c r="C283" s="788"/>
      <c r="D283" s="788"/>
      <c r="E283" s="788"/>
      <c r="F283" s="788" t="s">
        <v>449</v>
      </c>
      <c r="G283" s="788" t="s">
        <v>1257</v>
      </c>
      <c r="H283" s="801"/>
      <c r="I283" s="801"/>
      <c r="J283" s="801"/>
      <c r="K283" s="801"/>
      <c r="L283" s="790"/>
    </row>
    <row r="284" spans="2:12" x14ac:dyDescent="0.25">
      <c r="B284" s="788"/>
      <c r="C284" s="788"/>
      <c r="D284" s="788"/>
      <c r="E284" s="788"/>
      <c r="F284" s="788"/>
      <c r="G284" s="788"/>
      <c r="H284" s="805"/>
      <c r="I284" s="805"/>
      <c r="J284" s="805"/>
      <c r="K284" s="805"/>
      <c r="L284" s="790"/>
    </row>
    <row r="285" spans="2:12" x14ac:dyDescent="0.25">
      <c r="B285" s="797" t="str">
        <f>IF(C285,"Slide "&amp;RIGHT(B280,LEN(B280)-FIND(" ",B280))+1,B280)</f>
        <v>Slide 34</v>
      </c>
      <c r="C285" s="797" t="b">
        <f>$K$1</f>
        <v>1</v>
      </c>
      <c r="D285" s="798" t="s">
        <v>447</v>
      </c>
      <c r="E285" s="797" t="str">
        <f ca="1">MID(CELL("address",'M&amp;A Transactions'!$A$2),SEARCH("]",CELL("address",'M&amp;A Transactions'!$A$2))+1,SEARCH("'!$",CELL("address",'M&amp;A Transactions'!$A$2))-SEARCH("]",CELL("address",'M&amp;A Transactions'!$A$2))-1)</f>
        <v>M&amp;A Transactions</v>
      </c>
      <c r="F285" s="1009" t="s">
        <v>1243</v>
      </c>
      <c r="G285" s="797" t="str">
        <f>IF($H$2, "M&amp;A Deals", "Advisors and M&amp;A Deals")</f>
        <v>Advisors and M&amp;A Deals</v>
      </c>
      <c r="H285" s="799"/>
      <c r="I285" s="799"/>
      <c r="J285" s="799"/>
      <c r="K285" s="799"/>
      <c r="L285" s="815"/>
    </row>
    <row r="286" spans="2:12" x14ac:dyDescent="0.25">
      <c r="B286" s="797" t="str">
        <f>IF(C286,"Slide "&amp;RIGHT(B285,LEN(B285)-FIND(" ",B285))+1,B285)</f>
        <v>Slide 35</v>
      </c>
      <c r="C286" s="797" t="b">
        <f>$H$1</f>
        <v>1</v>
      </c>
      <c r="D286" s="798" t="s">
        <v>447</v>
      </c>
      <c r="E286" s="797" t="s">
        <v>629</v>
      </c>
      <c r="F286" s="1009" t="str">
        <f>IF($H$1, "SlideTitle","")</f>
        <v>SlideTitle</v>
      </c>
      <c r="G286" s="797" t="str">
        <f>IF($H$1,Input!$C$9,"")</f>
        <v>Walmart Inc.</v>
      </c>
      <c r="H286" s="799"/>
      <c r="I286" s="799"/>
      <c r="J286" s="799"/>
      <c r="K286" s="799"/>
      <c r="L286" s="790"/>
    </row>
    <row r="287" spans="2:12" x14ac:dyDescent="0.25">
      <c r="B287" s="788"/>
      <c r="C287" s="788"/>
      <c r="D287" s="788"/>
      <c r="E287" s="788"/>
      <c r="F287" s="1010" t="str">
        <f>IF($H$1, "RoadMap", "SlideTitle")</f>
        <v>RoadMap</v>
      </c>
      <c r="G287" s="788" t="str">
        <f>Advisors!$B$3</f>
        <v>Financial and Legal Advisors</v>
      </c>
      <c r="L287" s="790"/>
    </row>
    <row r="288" spans="2:12" x14ac:dyDescent="0.25">
      <c r="B288" s="788"/>
      <c r="C288" s="788"/>
      <c r="D288" s="788"/>
      <c r="E288" s="788"/>
      <c r="F288" s="788" t="s">
        <v>448</v>
      </c>
      <c r="G288" s="788" t="str">
        <f>Advisors!$C$1</f>
        <v>B5:E22</v>
      </c>
      <c r="H288" s="814">
        <v>1.19</v>
      </c>
      <c r="I288" s="814">
        <f>IF($H$1,1.665,1.29)</f>
        <v>1.665</v>
      </c>
      <c r="J288" s="803"/>
      <c r="K288" s="803"/>
      <c r="L288" s="826" t="b">
        <f>L282</f>
        <v>1</v>
      </c>
    </row>
    <row r="289" spans="2:12" ht="39" x14ac:dyDescent="0.25">
      <c r="B289" s="788"/>
      <c r="C289" s="788"/>
      <c r="D289" s="788"/>
      <c r="E289" s="788"/>
      <c r="F289" s="788" t="s">
        <v>1159</v>
      </c>
      <c r="G289" s="846" t="s">
        <v>1248</v>
      </c>
      <c r="H289" s="803"/>
      <c r="I289" s="803"/>
      <c r="J289" s="803"/>
      <c r="K289" s="803"/>
      <c r="L289" s="815"/>
    </row>
    <row r="290" spans="2:12" x14ac:dyDescent="0.25">
      <c r="B290" s="788"/>
      <c r="C290" s="788"/>
      <c r="D290" s="788"/>
      <c r="E290" s="788"/>
      <c r="F290" s="788" t="s">
        <v>449</v>
      </c>
      <c r="G290" s="788" t="s">
        <v>1257</v>
      </c>
      <c r="H290" s="801"/>
      <c r="I290" s="801"/>
      <c r="J290" s="801"/>
      <c r="K290" s="801"/>
      <c r="L290" s="786"/>
    </row>
    <row r="291" spans="2:12" x14ac:dyDescent="0.25">
      <c r="B291" s="788"/>
      <c r="C291" s="788"/>
      <c r="D291" s="788"/>
      <c r="E291" s="788"/>
      <c r="F291" s="788"/>
      <c r="G291" s="788"/>
      <c r="H291" s="804"/>
      <c r="I291" s="804"/>
      <c r="J291" s="804"/>
      <c r="K291" s="804"/>
      <c r="L291" s="786"/>
    </row>
    <row r="292" spans="2:12" x14ac:dyDescent="0.25">
      <c r="B292" s="797" t="str">
        <f>IF(C292,"Slide "&amp;RIGHT(B286,LEN(B286)-FIND(" ",B286))+1,B286)</f>
        <v>Slide 36</v>
      </c>
      <c r="C292" s="797" t="b">
        <f>$K$1</f>
        <v>1</v>
      </c>
      <c r="D292" s="798" t="s">
        <v>447</v>
      </c>
      <c r="E292" s="797" t="str">
        <f ca="1">MID(CELL("address",'M&amp;A Transactions'!$A$2),SEARCH("]",CELL("address",'M&amp;A Transactions'!$A$2))+1,SEARCH("'!$",CELL("address",'M&amp;A Transactions'!$A$2))-SEARCH("]",CELL("address",'M&amp;A Transactions'!$A$2))-1)</f>
        <v>M&amp;A Transactions</v>
      </c>
      <c r="F292" s="1009" t="str">
        <f>IF($H$1, "SlideTitle","")</f>
        <v>SlideTitle</v>
      </c>
      <c r="G292" s="797" t="str">
        <f>IF($H$1,Input!$C$9,"")</f>
        <v>Walmart Inc.</v>
      </c>
      <c r="H292" s="799"/>
      <c r="I292" s="799"/>
      <c r="J292" s="799"/>
      <c r="K292" s="799"/>
      <c r="L292" s="786"/>
    </row>
    <row r="293" spans="2:12" x14ac:dyDescent="0.25">
      <c r="B293" s="788"/>
      <c r="C293" s="788"/>
      <c r="D293" s="788"/>
      <c r="E293" s="788"/>
      <c r="F293" s="1010" t="str">
        <f>IF($H$1, "RoadMap", "SlideTitle")</f>
        <v>RoadMap</v>
      </c>
      <c r="G293" s="788" t="s">
        <v>1154</v>
      </c>
      <c r="L293" s="786"/>
    </row>
    <row r="294" spans="2:12" x14ac:dyDescent="0.25">
      <c r="B294" s="788"/>
      <c r="C294" s="788"/>
      <c r="D294" s="788"/>
      <c r="E294" s="788"/>
      <c r="F294" s="788" t="s">
        <v>448</v>
      </c>
      <c r="G294" s="827" t="str">
        <f>'M&amp;A Transactions'!C1</f>
        <v>A4:F20</v>
      </c>
      <c r="H294" s="814">
        <v>0.57325669999999995</v>
      </c>
      <c r="I294" s="814">
        <f>IF($H$1,1.665,1.29)</f>
        <v>1.665</v>
      </c>
      <c r="J294" s="803"/>
      <c r="K294" s="803"/>
      <c r="L294" s="829" t="b">
        <f>L288</f>
        <v>1</v>
      </c>
    </row>
    <row r="295" spans="2:12" ht="38.25" x14ac:dyDescent="0.25">
      <c r="B295" s="788"/>
      <c r="C295" s="788"/>
      <c r="D295" s="788"/>
      <c r="E295" s="788"/>
      <c r="F295" s="788" t="s">
        <v>1159</v>
      </c>
      <c r="G295" s="847" t="s">
        <v>1249</v>
      </c>
      <c r="H295" s="828"/>
      <c r="I295" s="828"/>
      <c r="J295" s="803"/>
      <c r="K295" s="803"/>
      <c r="L295" s="815"/>
    </row>
    <row r="296" spans="2:12" x14ac:dyDescent="0.25">
      <c r="B296" s="788"/>
      <c r="C296" s="788"/>
      <c r="D296" s="788"/>
      <c r="E296" s="788"/>
      <c r="F296" s="788" t="s">
        <v>449</v>
      </c>
      <c r="G296" s="788" t="s">
        <v>1257</v>
      </c>
      <c r="H296" s="801"/>
      <c r="I296" s="801"/>
      <c r="J296" s="801"/>
      <c r="K296" s="801"/>
      <c r="L296" s="786"/>
    </row>
    <row r="297" spans="2:12" x14ac:dyDescent="0.25">
      <c r="B297" s="788"/>
      <c r="C297" s="788"/>
      <c r="D297" s="788"/>
      <c r="E297" s="788"/>
      <c r="F297" s="788"/>
      <c r="G297" s="788"/>
      <c r="H297" s="804"/>
      <c r="I297" s="804"/>
      <c r="J297" s="804"/>
      <c r="K297" s="804"/>
      <c r="L297" s="786"/>
    </row>
    <row r="298" spans="2:12" x14ac:dyDescent="0.25">
      <c r="B298" s="797" t="str">
        <f>IF(C298,"Slide "&amp;RIGHT(B292,LEN(B292)-FIND(" ",B292))+1,B292)</f>
        <v>Slide 37</v>
      </c>
      <c r="C298" s="797" t="b">
        <f>$K$1</f>
        <v>1</v>
      </c>
      <c r="D298" s="798" t="s">
        <v>447</v>
      </c>
      <c r="E298" s="797" t="str">
        <f ca="1">MID(CELL("address",'Key Developments'!$A$1),SEARCH("]",CELL("address",'Key Developments'!$A$1))+1,SEARCH("'!$",CELL("address",'Key Developments'!$A$1))-SEARCH("]",CELL("address",'Key Developments'!$A$1))-1)</f>
        <v>Key Developments</v>
      </c>
      <c r="F298" s="1009" t="s">
        <v>1243</v>
      </c>
      <c r="G298" s="797" t="s">
        <v>1246</v>
      </c>
      <c r="H298" s="799"/>
      <c r="I298" s="799"/>
      <c r="J298" s="799"/>
      <c r="K298" s="799"/>
      <c r="L298" s="815"/>
    </row>
    <row r="299" spans="2:12" x14ac:dyDescent="0.25">
      <c r="B299" s="797" t="str">
        <f>IF(C299,"Slide "&amp;RIGHT(B298,LEN(B298)-FIND(" ",B298))+1,B298)</f>
        <v>Slide 38</v>
      </c>
      <c r="C299" s="797" t="b">
        <f>IF(AND($K$1,G301&lt;&gt;0),TRUE,FALSE)</f>
        <v>1</v>
      </c>
      <c r="D299" s="798" t="s">
        <v>447</v>
      </c>
      <c r="E299" s="797" t="str">
        <f ca="1">MID(CELL("address",'Key Developments'!$A$1),SEARCH("]",CELL("address",'Key Developments'!$A$1))+1,SEARCH("'!$",CELL("address",'Key Developments'!$A$1))-SEARCH("]",CELL("address",'Key Developments'!$A$1))-1)</f>
        <v>Key Developments</v>
      </c>
      <c r="F299" s="1009" t="str">
        <f>IF($H$1, "SlideTitle","")</f>
        <v>SlideTitle</v>
      </c>
      <c r="G299" s="797" t="str">
        <f>IF($H$1,Input!$C$9,"")</f>
        <v>Walmart Inc.</v>
      </c>
      <c r="H299" s="799"/>
      <c r="I299" s="799"/>
      <c r="J299" s="799"/>
      <c r="K299" s="799"/>
      <c r="L299" s="790"/>
    </row>
    <row r="300" spans="2:12" x14ac:dyDescent="0.25">
      <c r="B300" s="788"/>
      <c r="C300" s="788"/>
      <c r="D300" s="788"/>
      <c r="E300" s="788"/>
      <c r="F300" s="1010" t="str">
        <f>IF($H$1, "RoadMap", "SlideTitle")</f>
        <v>RoadMap</v>
      </c>
      <c r="G300" s="788" t="str">
        <f>IF($H$1,'Key Developments'!A3,'Key Developments'!A3 &amp;" (1/" &amp; COUNTIF(C299:C317,TRUE) &amp; ")")</f>
        <v>Key Developments</v>
      </c>
      <c r="L300" s="790"/>
    </row>
    <row r="301" spans="2:12" x14ac:dyDescent="0.25">
      <c r="B301" s="788"/>
      <c r="C301" s="788"/>
      <c r="D301" s="788"/>
      <c r="E301" s="788"/>
      <c r="F301" s="788" t="s">
        <v>448</v>
      </c>
      <c r="G301" s="788" t="str">
        <f>'Key Developments'!A1</f>
        <v>A5:C49</v>
      </c>
      <c r="H301" s="814">
        <v>0.25</v>
      </c>
      <c r="I301" s="814">
        <f>IF($H$1,1.665,1.29)</f>
        <v>1.665</v>
      </c>
      <c r="J301" s="830"/>
      <c r="K301" s="830"/>
      <c r="L301" s="826" t="b">
        <f>L294</f>
        <v>1</v>
      </c>
    </row>
    <row r="302" spans="2:12" x14ac:dyDescent="0.25">
      <c r="B302" s="788"/>
      <c r="C302" s="788"/>
      <c r="D302" s="788"/>
      <c r="E302" s="788"/>
      <c r="F302" s="788" t="s">
        <v>1159</v>
      </c>
      <c r="G302" s="847" t="s">
        <v>1217</v>
      </c>
      <c r="H302" s="831"/>
      <c r="I302" s="831"/>
      <c r="J302" s="803"/>
      <c r="K302" s="803"/>
      <c r="L302" s="815"/>
    </row>
    <row r="303" spans="2:12" x14ac:dyDescent="0.25">
      <c r="B303" s="788"/>
      <c r="C303" s="788"/>
      <c r="D303" s="788"/>
      <c r="E303" s="788"/>
      <c r="F303" s="788" t="s">
        <v>449</v>
      </c>
      <c r="G303" s="788" t="s">
        <v>1257</v>
      </c>
      <c r="H303" s="801"/>
      <c r="I303" s="801"/>
      <c r="J303" s="801"/>
      <c r="K303" s="801"/>
      <c r="L303" s="790"/>
    </row>
    <row r="304" spans="2:12" x14ac:dyDescent="0.25">
      <c r="B304" s="788"/>
      <c r="C304" s="788"/>
      <c r="D304" s="788"/>
      <c r="E304" s="788"/>
      <c r="F304" s="788"/>
      <c r="G304" s="788"/>
      <c r="H304" s="805"/>
      <c r="I304" s="805"/>
      <c r="J304" s="805"/>
      <c r="K304" s="805"/>
      <c r="L304" s="790"/>
    </row>
    <row r="305" spans="2:12" x14ac:dyDescent="0.25">
      <c r="B305" s="797" t="str">
        <f>IF(C305,"Slide "&amp;RIGHT(B299,LEN(B299)-FIND(" ",B299))+1,B299)</f>
        <v>Slide 39</v>
      </c>
      <c r="C305" s="797" t="b">
        <f>IF(AND($K$1,G307&lt;&gt;0),TRUE,FALSE)</f>
        <v>1</v>
      </c>
      <c r="D305" s="798" t="s">
        <v>447</v>
      </c>
      <c r="E305" s="797" t="str">
        <f ca="1">MID(CELL("address",'Key Developments'!$A$1),SEARCH("]",CELL("address",'Key Developments'!$A$1))+1,SEARCH("'!$",CELL("address",'Key Developments'!$A$1))-SEARCH("]",CELL("address",'Key Developments'!$A$1))-1)</f>
        <v>Key Developments</v>
      </c>
      <c r="F305" s="1009" t="str">
        <f>IF($H$1, "SlideTitle","")</f>
        <v>SlideTitle</v>
      </c>
      <c r="G305" s="797" t="str">
        <f>IF($H$1,Input!$C$9,"")</f>
        <v>Walmart Inc.</v>
      </c>
      <c r="H305" s="799"/>
      <c r="I305" s="799"/>
      <c r="J305" s="799"/>
      <c r="K305" s="799"/>
      <c r="L305" s="790"/>
    </row>
    <row r="306" spans="2:12" x14ac:dyDescent="0.25">
      <c r="B306" s="788"/>
      <c r="C306" s="788"/>
      <c r="D306" s="788"/>
      <c r="E306" s="788"/>
      <c r="F306" s="1010" t="str">
        <f>IF($H$1, "RoadMap", "SlideTitle")</f>
        <v>RoadMap</v>
      </c>
      <c r="G306" s="788" t="str">
        <f>IF($H$1,'Key Developments'!A3,LEFT(G300, SEARCH("(",G300,1)) &amp; VALUE(MID(G300, SEARCH("(",G300,1)+1, SEARCH("/",G300,1)-SEARCH("(",G300,1)-1))+1 &amp; RIGHT(G300, LEN(G300)-SEARCH("/",G300,1)+1))</f>
        <v>Key Developments</v>
      </c>
      <c r="L306" s="790"/>
    </row>
    <row r="307" spans="2:12" x14ac:dyDescent="0.25">
      <c r="B307" s="788"/>
      <c r="C307" s="788"/>
      <c r="D307" s="788"/>
      <c r="E307" s="788"/>
      <c r="F307" s="788" t="s">
        <v>448</v>
      </c>
      <c r="G307" s="788" t="str">
        <f>'Key Developments'!B1</f>
        <v>A51:C164</v>
      </c>
      <c r="H307" s="831">
        <f>H301</f>
        <v>0.25</v>
      </c>
      <c r="I307" s="831">
        <f>I301</f>
        <v>1.665</v>
      </c>
      <c r="J307" s="830"/>
      <c r="K307" s="830"/>
      <c r="L307" s="829" t="b">
        <f>L301</f>
        <v>1</v>
      </c>
    </row>
    <row r="308" spans="2:12" x14ac:dyDescent="0.25">
      <c r="B308" s="788"/>
      <c r="C308" s="788"/>
      <c r="D308" s="788"/>
      <c r="E308" s="788"/>
      <c r="F308" s="788" t="s">
        <v>1159</v>
      </c>
      <c r="G308" s="847" t="s">
        <v>1217</v>
      </c>
      <c r="H308" s="831"/>
      <c r="I308" s="831"/>
      <c r="J308" s="803"/>
      <c r="K308" s="803"/>
      <c r="L308" s="815"/>
    </row>
    <row r="309" spans="2:12" x14ac:dyDescent="0.25">
      <c r="B309" s="788"/>
      <c r="C309" s="788"/>
      <c r="D309" s="788"/>
      <c r="E309" s="788"/>
      <c r="F309" s="788" t="s">
        <v>449</v>
      </c>
      <c r="G309" s="788" t="s">
        <v>1257</v>
      </c>
      <c r="H309" s="801"/>
      <c r="I309" s="801"/>
      <c r="J309" s="801"/>
      <c r="K309" s="801"/>
      <c r="L309" s="790"/>
    </row>
    <row r="310" spans="2:12" x14ac:dyDescent="0.25">
      <c r="B310" s="788"/>
      <c r="C310" s="788"/>
      <c r="D310" s="788"/>
      <c r="E310" s="788"/>
      <c r="F310" s="788"/>
      <c r="G310" s="788"/>
      <c r="H310" s="805"/>
      <c r="I310" s="805"/>
      <c r="J310" s="805"/>
      <c r="K310" s="805"/>
      <c r="L310" s="790"/>
    </row>
    <row r="311" spans="2:12" x14ac:dyDescent="0.25">
      <c r="B311" s="797" t="str">
        <f>IF(C311,"Slide "&amp;RIGHT(B305,LEN(B305)-FIND(" ",B305))+1,B305)</f>
        <v>Slide 40</v>
      </c>
      <c r="C311" s="797" t="b">
        <f>IF(AND($K$1,G313&lt;&gt;0),TRUE,FALSE)</f>
        <v>1</v>
      </c>
      <c r="D311" s="798" t="s">
        <v>447</v>
      </c>
      <c r="E311" s="797" t="str">
        <f ca="1">MID(CELL("address",'Key Developments'!$A$1),SEARCH("]",CELL("address",'Key Developments'!$A$1))+1,SEARCH("'!$",CELL("address",'Key Developments'!$A$1))-SEARCH("]",CELL("address",'Key Developments'!$A$1))-1)</f>
        <v>Key Developments</v>
      </c>
      <c r="F311" s="1009" t="str">
        <f>IF($H$1, "SlideTitle","")</f>
        <v>SlideTitle</v>
      </c>
      <c r="G311" s="797" t="str">
        <f>IF($H$1,Input!$C$9,"")</f>
        <v>Walmart Inc.</v>
      </c>
      <c r="H311" s="799"/>
      <c r="I311" s="799"/>
      <c r="J311" s="799"/>
      <c r="K311" s="799"/>
      <c r="L311" s="790"/>
    </row>
    <row r="312" spans="2:12" x14ac:dyDescent="0.25">
      <c r="B312" s="788"/>
      <c r="C312" s="788"/>
      <c r="D312" s="788"/>
      <c r="E312" s="788"/>
      <c r="F312" s="1010" t="str">
        <f>IF($H$1, "RoadMap", "SlideTitle")</f>
        <v>RoadMap</v>
      </c>
      <c r="G312" s="788" t="str">
        <f>IF($H$1,'Key Developments'!A3,LEFT(G306, SEARCH("(",G306,1)) &amp; VALUE(MID(G306, SEARCH("(",G306,1)+1, SEARCH("/",G306,1)-SEARCH("(",G306,1)-1))+1 &amp; RIGHT(G306, LEN(G306)-SEARCH("/",G306,1)+1))</f>
        <v>Key Developments</v>
      </c>
      <c r="L312" s="790"/>
    </row>
    <row r="313" spans="2:12" x14ac:dyDescent="0.25">
      <c r="B313" s="788"/>
      <c r="C313" s="788"/>
      <c r="D313" s="788"/>
      <c r="E313" s="788"/>
      <c r="F313" s="788" t="s">
        <v>448</v>
      </c>
      <c r="G313" s="788" t="str">
        <f>'Key Developments'!C1</f>
        <v>A166:C233</v>
      </c>
      <c r="H313" s="831">
        <f>H307</f>
        <v>0.25</v>
      </c>
      <c r="I313" s="831">
        <f>I307</f>
        <v>1.665</v>
      </c>
      <c r="J313" s="830"/>
      <c r="K313" s="830"/>
      <c r="L313" s="826" t="b">
        <f>L307</f>
        <v>1</v>
      </c>
    </row>
    <row r="314" spans="2:12" x14ac:dyDescent="0.25">
      <c r="B314" s="788"/>
      <c r="C314" s="788"/>
      <c r="D314" s="788"/>
      <c r="E314" s="788"/>
      <c r="F314" s="788" t="s">
        <v>1159</v>
      </c>
      <c r="G314" s="847" t="s">
        <v>1217</v>
      </c>
      <c r="H314" s="831"/>
      <c r="I314" s="831"/>
      <c r="J314" s="803"/>
      <c r="K314" s="803"/>
      <c r="L314" s="815"/>
    </row>
    <row r="315" spans="2:12" x14ac:dyDescent="0.25">
      <c r="B315" s="788"/>
      <c r="C315" s="788"/>
      <c r="D315" s="788"/>
      <c r="E315" s="788"/>
      <c r="F315" s="788" t="s">
        <v>449</v>
      </c>
      <c r="G315" s="788" t="s">
        <v>1257</v>
      </c>
      <c r="H315" s="801"/>
      <c r="I315" s="801"/>
      <c r="J315" s="801"/>
      <c r="K315" s="801"/>
      <c r="L315" s="790"/>
    </row>
    <row r="316" spans="2:12" x14ac:dyDescent="0.25">
      <c r="B316" s="788"/>
      <c r="C316" s="788"/>
      <c r="D316" s="788"/>
      <c r="E316" s="788"/>
      <c r="F316" s="788"/>
      <c r="G316" s="788"/>
      <c r="H316" s="805"/>
      <c r="I316" s="805"/>
      <c r="J316" s="805"/>
      <c r="K316" s="805"/>
      <c r="L316" s="790"/>
    </row>
    <row r="317" spans="2:12" x14ac:dyDescent="0.25">
      <c r="B317" s="797" t="str">
        <f>IF(C317,"Slide "&amp;RIGHT(B311,LEN(B311)-FIND(" ",B311))+1,B311)</f>
        <v>Slide 41</v>
      </c>
      <c r="C317" s="797" t="b">
        <f>IF(AND($K$1,G319&lt;&gt;0),TRUE,FALSE)</f>
        <v>1</v>
      </c>
      <c r="D317" s="798" t="s">
        <v>447</v>
      </c>
      <c r="E317" s="797" t="str">
        <f ca="1">MID(CELL("address",'Key Developments'!$A$1),SEARCH("]",CELL("address",'Key Developments'!$A$1))+1,SEARCH("'!$",CELL("address",'Key Developments'!$A$1))-SEARCH("]",CELL("address",'Key Developments'!$A$1))-1)</f>
        <v>Key Developments</v>
      </c>
      <c r="F317" s="1009" t="str">
        <f>IF($H$1, "SlideTitle","")</f>
        <v>SlideTitle</v>
      </c>
      <c r="G317" s="797" t="str">
        <f>IF($H$1,Input!$C$9,"")</f>
        <v>Walmart Inc.</v>
      </c>
      <c r="H317" s="799"/>
      <c r="I317" s="799"/>
      <c r="J317" s="799"/>
      <c r="K317" s="799"/>
      <c r="L317" s="790"/>
    </row>
    <row r="318" spans="2:12" x14ac:dyDescent="0.25">
      <c r="B318" s="788"/>
      <c r="C318" s="788"/>
      <c r="D318" s="788"/>
      <c r="E318" s="788"/>
      <c r="F318" s="1010" t="str">
        <f>IF($H$1, "RoadMap", "SlideTitle")</f>
        <v>RoadMap</v>
      </c>
      <c r="G318" s="788" t="str">
        <f>IF($H$1,'Key Developments'!A3,LEFT(G312, SEARCH("(",G312,1)) &amp; VALUE(MID(G312, SEARCH("(",G312,1)+1, SEARCH("/",G312,1)-SEARCH("(",G312,1)-1))+1 &amp; RIGHT(G312, LEN(G312)-SEARCH("/",G312,1)+1))</f>
        <v>Key Developments</v>
      </c>
      <c r="L318" s="790"/>
    </row>
    <row r="319" spans="2:12" x14ac:dyDescent="0.25">
      <c r="B319" s="788"/>
      <c r="C319" s="788"/>
      <c r="D319" s="788"/>
      <c r="E319" s="788"/>
      <c r="F319" s="788" t="s">
        <v>448</v>
      </c>
      <c r="G319" s="788" t="str">
        <f>'Key Developments'!D1</f>
        <v>A235:C325</v>
      </c>
      <c r="H319" s="831">
        <f>H313</f>
        <v>0.25</v>
      </c>
      <c r="I319" s="831">
        <f>I313</f>
        <v>1.665</v>
      </c>
      <c r="J319" s="830"/>
      <c r="K319" s="830"/>
      <c r="L319" s="826" t="b">
        <f>L313</f>
        <v>1</v>
      </c>
    </row>
    <row r="320" spans="2:12" x14ac:dyDescent="0.25">
      <c r="B320" s="788"/>
      <c r="C320" s="788"/>
      <c r="D320" s="788"/>
      <c r="E320" s="788"/>
      <c r="F320" s="788" t="s">
        <v>1159</v>
      </c>
      <c r="G320" s="847" t="s">
        <v>1217</v>
      </c>
      <c r="H320" s="831"/>
      <c r="I320" s="831"/>
      <c r="J320" s="803"/>
      <c r="K320" s="803"/>
      <c r="L320" s="815"/>
    </row>
    <row r="321" spans="2:12" x14ac:dyDescent="0.25">
      <c r="B321" s="788"/>
      <c r="C321" s="788"/>
      <c r="D321" s="788"/>
      <c r="E321" s="788"/>
      <c r="F321" s="788" t="s">
        <v>449</v>
      </c>
      <c r="G321" s="788" t="s">
        <v>1257</v>
      </c>
      <c r="H321" s="801"/>
      <c r="I321" s="801"/>
      <c r="J321" s="801"/>
      <c r="K321" s="801"/>
    </row>
    <row r="322" spans="2:12" x14ac:dyDescent="0.25">
      <c r="B322" s="797" t="str">
        <f>IF(C322,"Slide "&amp;RIGHT(B317,LEN(B317)-FIND(" ",B317))+1,B317)</f>
        <v>Slide 42</v>
      </c>
      <c r="C322" s="797" t="b">
        <f>$K$1</f>
        <v>1</v>
      </c>
      <c r="D322" s="798" t="s">
        <v>446</v>
      </c>
      <c r="E322" s="797" t="s">
        <v>1264</v>
      </c>
      <c r="F322" s="1009" t="s">
        <v>1263</v>
      </c>
      <c r="G322" s="797" t="s">
        <v>1262</v>
      </c>
      <c r="H322" s="799"/>
      <c r="I322" s="799"/>
      <c r="J322" s="799"/>
      <c r="K322" s="799"/>
      <c r="L322" s="815"/>
    </row>
    <row r="323" spans="2:12" x14ac:dyDescent="0.25">
      <c r="B323" s="836" t="str">
        <f>"Slide "&amp;RIGHT(B322,LEN(B322)-FIND(" ",B322))+1</f>
        <v>Slide 43</v>
      </c>
      <c r="C323" s="836" t="b">
        <v>1</v>
      </c>
      <c r="D323" s="837" t="s">
        <v>446</v>
      </c>
      <c r="E323" s="836" t="s">
        <v>1259</v>
      </c>
      <c r="F323" s="836"/>
      <c r="G323" s="836"/>
      <c r="H323" s="838"/>
      <c r="I323" s="838"/>
      <c r="J323" s="838"/>
      <c r="K323" s="838"/>
      <c r="L323" s="790"/>
    </row>
    <row r="324" spans="2:12" x14ac:dyDescent="0.25">
      <c r="B324" s="836" t="str">
        <f>"Slide "&amp;RIGHT(B323,LEN(B323)-FIND(" ",B323))+1</f>
        <v>Slide 44</v>
      </c>
      <c r="C324" s="836" t="b">
        <v>1</v>
      </c>
      <c r="D324" s="837" t="s">
        <v>446</v>
      </c>
      <c r="E324" s="836" t="s">
        <v>1247</v>
      </c>
      <c r="F324" s="836"/>
      <c r="G324" s="836"/>
      <c r="H324" s="836"/>
      <c r="I324" s="836"/>
      <c r="J324" s="836"/>
      <c r="K324" s="836"/>
    </row>
    <row r="325" spans="2:12" x14ac:dyDescent="0.25">
      <c r="B325" s="836" t="str">
        <f>"Slide "&amp;RIGHT(B324,LEN(B324)-FIND(" ",B324))+1</f>
        <v>Slide 45</v>
      </c>
      <c r="C325" s="836" t="b">
        <v>1</v>
      </c>
      <c r="D325" s="837" t="s">
        <v>446</v>
      </c>
      <c r="E325" s="836" t="s">
        <v>1266</v>
      </c>
      <c r="F325" s="836"/>
      <c r="G325" s="836"/>
      <c r="H325" s="836"/>
      <c r="I325" s="836"/>
      <c r="J325" s="836"/>
      <c r="K325" s="836"/>
    </row>
    <row r="326" spans="2:12" x14ac:dyDescent="0.25">
      <c r="B326" s="836" t="str">
        <f>"Slide "&amp;RIGHT(B325,LEN(B325)-FIND(" ",B325))+1</f>
        <v>Slide 46</v>
      </c>
      <c r="C326" s="836" t="b">
        <v>1</v>
      </c>
      <c r="D326" s="837" t="s">
        <v>446</v>
      </c>
      <c r="E326" s="836" t="s">
        <v>1288</v>
      </c>
      <c r="F326" s="836"/>
      <c r="G326" s="836"/>
      <c r="H326" s="836"/>
      <c r="I326" s="836"/>
      <c r="J326" s="836"/>
      <c r="K326" s="836"/>
    </row>
    <row r="327" spans="2:12" x14ac:dyDescent="0.25">
      <c r="B327" s="786"/>
      <c r="C327" s="786"/>
      <c r="D327" s="786"/>
      <c r="E327" s="786"/>
      <c r="F327" s="786"/>
      <c r="G327" s="786"/>
      <c r="H327" s="786"/>
      <c r="I327" s="786"/>
      <c r="J327" s="786"/>
      <c r="K327" s="786"/>
    </row>
    <row r="328" spans="2:12" x14ac:dyDescent="0.25">
      <c r="B328" s="850" t="s">
        <v>452</v>
      </c>
      <c r="C328" s="850"/>
      <c r="D328" s="850"/>
      <c r="E328" s="850"/>
      <c r="F328" s="850"/>
      <c r="G328" s="850"/>
      <c r="H328" s="850"/>
      <c r="I328" s="850"/>
      <c r="J328" s="850"/>
      <c r="K328" s="850"/>
    </row>
  </sheetData>
  <dataConsolidate/>
  <conditionalFormatting sqref="C130:C135 C321 C315:C319 C309:C313 C303:C307 C299:C301 C280:C284 C286:C288 C207:C222 C137:C190 C227:C229 C231:C278 C224:C225 C10:C12 C290:C291 C14">
    <cfRule type="containsText" dxfId="388" priority="90" operator="containsText" text="false">
      <formula>NOT(ISERROR(SEARCH("false",C10)))</formula>
    </cfRule>
  </conditionalFormatting>
  <conditionalFormatting sqref="C120:C124">
    <cfRule type="containsText" dxfId="387" priority="89" operator="containsText" text="false">
      <formula>NOT(ISERROR(SEARCH("false",C120)))</formula>
    </cfRule>
  </conditionalFormatting>
  <conditionalFormatting sqref="C125:C129">
    <cfRule type="containsText" dxfId="386" priority="88" operator="containsText" text="false">
      <formula>NOT(ISERROR(SEARCH("false",C125)))</formula>
    </cfRule>
  </conditionalFormatting>
  <conditionalFormatting sqref="C292:C294 C296:C297">
    <cfRule type="containsText" dxfId="385" priority="79" operator="containsText" text="false">
      <formula>NOT(ISERROR(SEARCH("false",C292)))</formula>
    </cfRule>
  </conditionalFormatting>
  <conditionalFormatting sqref="C136">
    <cfRule type="containsText" dxfId="384" priority="77" operator="containsText" text="false">
      <formula>NOT(ISERROR(SEARCH("false",C137)))</formula>
    </cfRule>
  </conditionalFormatting>
  <conditionalFormatting sqref="C9 C15:C20">
    <cfRule type="containsText" dxfId="383" priority="68" operator="containsText" text="FALSE">
      <formula>NOT(ISERROR(SEARCH("FALSE",C9)))</formula>
    </cfRule>
  </conditionalFormatting>
  <conditionalFormatting sqref="C191:C206">
    <cfRule type="containsText" dxfId="382" priority="61" operator="containsText" text="false">
      <formula>NOT(ISERROR(SEARCH("false",C191)))</formula>
    </cfRule>
  </conditionalFormatting>
  <conditionalFormatting sqref="C230">
    <cfRule type="containsText" dxfId="381" priority="60" operator="containsText" text="false">
      <formula>NOT(ISERROR(SEARCH("false",C230)))</formula>
    </cfRule>
  </conditionalFormatting>
  <conditionalFormatting sqref="C223">
    <cfRule type="containsText" dxfId="380" priority="59" operator="containsText" text="false">
      <formula>NOT(ISERROR(SEARCH("false",C223)))</formula>
    </cfRule>
  </conditionalFormatting>
  <conditionalFormatting sqref="C279">
    <cfRule type="containsText" dxfId="379" priority="63" operator="containsText" text="FALSE">
      <formula>NOT(ISERROR(SEARCH("FALSE",C279)))</formula>
    </cfRule>
  </conditionalFormatting>
  <conditionalFormatting sqref="C285">
    <cfRule type="containsText" dxfId="378" priority="58" operator="containsText" text="FALSE">
      <formula>NOT(ISERROR(SEARCH("FALSE",C285)))</formula>
    </cfRule>
  </conditionalFormatting>
  <conditionalFormatting sqref="C13">
    <cfRule type="containsText" dxfId="377" priority="57" operator="containsText" text="false">
      <formula>NOT(ISERROR(SEARCH("false",C13)))</formula>
    </cfRule>
  </conditionalFormatting>
  <conditionalFormatting sqref="C119">
    <cfRule type="containsText" dxfId="376" priority="53" operator="containsText" text="FALSE">
      <formula>NOT(ISERROR(SEARCH("FALSE",C119)))</formula>
    </cfRule>
  </conditionalFormatting>
  <conditionalFormatting sqref="C298">
    <cfRule type="containsText" dxfId="375" priority="52" operator="containsText" text="FALSE">
      <formula>NOT(ISERROR(SEARCH("FALSE",C298)))</formula>
    </cfRule>
  </conditionalFormatting>
  <conditionalFormatting sqref="C21:C25">
    <cfRule type="containsText" dxfId="374" priority="51" operator="containsText" text="FALSE">
      <formula>NOT(ISERROR(SEARCH("FALSE",C21)))</formula>
    </cfRule>
  </conditionalFormatting>
  <conditionalFormatting sqref="C77:C79">
    <cfRule type="containsText" dxfId="373" priority="21" operator="containsText" text="FALSE">
      <formula>NOT(ISERROR(SEARCH("FALSE",C77)))</formula>
    </cfRule>
  </conditionalFormatting>
  <conditionalFormatting sqref="C72:C75">
    <cfRule type="containsText" dxfId="372" priority="20" operator="containsText" text="FALSE">
      <formula>NOT(ISERROR(SEARCH("FALSE",C72)))</formula>
    </cfRule>
  </conditionalFormatting>
  <conditionalFormatting sqref="C96:C98">
    <cfRule type="containsText" dxfId="371" priority="19" operator="containsText" text="FALSE">
      <formula>NOT(ISERROR(SEARCH("FALSE",C96)))</formula>
    </cfRule>
  </conditionalFormatting>
  <conditionalFormatting sqref="C81:C84">
    <cfRule type="containsText" dxfId="370" priority="18" operator="containsText" text="FALSE">
      <formula>NOT(ISERROR(SEARCH("FALSE",C81)))</formula>
    </cfRule>
  </conditionalFormatting>
  <conditionalFormatting sqref="C86:C89">
    <cfRule type="containsText" dxfId="369" priority="17" operator="containsText" text="FALSE">
      <formula>NOT(ISERROR(SEARCH("FALSE",C86)))</formula>
    </cfRule>
  </conditionalFormatting>
  <conditionalFormatting sqref="C91:C94">
    <cfRule type="containsText" dxfId="368" priority="16" operator="containsText" text="FALSE">
      <formula>NOT(ISERROR(SEARCH("FALSE",C91)))</formula>
    </cfRule>
  </conditionalFormatting>
  <conditionalFormatting sqref="C100:C103">
    <cfRule type="containsText" dxfId="367" priority="15" operator="containsText" text="FALSE">
      <formula>NOT(ISERROR(SEARCH("FALSE",C100)))</formula>
    </cfRule>
  </conditionalFormatting>
  <conditionalFormatting sqref="C105:C108">
    <cfRule type="containsText" dxfId="366" priority="14" operator="containsText" text="FALSE">
      <formula>NOT(ISERROR(SEARCH("FALSE",C105)))</formula>
    </cfRule>
  </conditionalFormatting>
  <conditionalFormatting sqref="C110:C113">
    <cfRule type="containsText" dxfId="365" priority="13" operator="containsText" text="FALSE">
      <formula>NOT(ISERROR(SEARCH("FALSE",C110)))</formula>
    </cfRule>
  </conditionalFormatting>
  <conditionalFormatting sqref="C71">
    <cfRule type="containsText" dxfId="364" priority="12" operator="containsText" text="FALSE">
      <formula>NOT(ISERROR(SEARCH("FALSE",C71)))</formula>
    </cfRule>
  </conditionalFormatting>
  <conditionalFormatting sqref="C76">
    <cfRule type="containsText" dxfId="363" priority="11" operator="containsText" text="FALSE">
      <formula>NOT(ISERROR(SEARCH("FALSE",C76)))</formula>
    </cfRule>
  </conditionalFormatting>
  <conditionalFormatting sqref="C80">
    <cfRule type="containsText" dxfId="362" priority="10" operator="containsText" text="FALSE">
      <formula>NOT(ISERROR(SEARCH("FALSE",C80)))</formula>
    </cfRule>
  </conditionalFormatting>
  <conditionalFormatting sqref="C85">
    <cfRule type="containsText" dxfId="361" priority="9" operator="containsText" text="FALSE">
      <formula>NOT(ISERROR(SEARCH("FALSE",C85)))</formula>
    </cfRule>
  </conditionalFormatting>
  <conditionalFormatting sqref="C90">
    <cfRule type="containsText" dxfId="360" priority="8" operator="containsText" text="FALSE">
      <formula>NOT(ISERROR(SEARCH("FALSE",C90)))</formula>
    </cfRule>
  </conditionalFormatting>
  <conditionalFormatting sqref="C95">
    <cfRule type="containsText" dxfId="359" priority="7" operator="containsText" text="FALSE">
      <formula>NOT(ISERROR(SEARCH("FALSE",C95)))</formula>
    </cfRule>
  </conditionalFormatting>
  <conditionalFormatting sqref="C99">
    <cfRule type="containsText" dxfId="358" priority="6" operator="containsText" text="FALSE">
      <formula>NOT(ISERROR(SEARCH("FALSE",C99)))</formula>
    </cfRule>
  </conditionalFormatting>
  <conditionalFormatting sqref="C104">
    <cfRule type="containsText" dxfId="357" priority="5" operator="containsText" text="FALSE">
      <formula>NOT(ISERROR(SEARCH("FALSE",C104)))</formula>
    </cfRule>
  </conditionalFormatting>
  <conditionalFormatting sqref="C109">
    <cfRule type="containsText" dxfId="356" priority="4" operator="containsText" text="FALSE">
      <formula>NOT(ISERROR(SEARCH("FALSE",C109)))</formula>
    </cfRule>
  </conditionalFormatting>
  <conditionalFormatting sqref="C114">
    <cfRule type="containsText" dxfId="355" priority="3" operator="containsText" text="FALSE">
      <formula>NOT(ISERROR(SEARCH("FALSE",C114)))</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76" operator="containsText" text="FALSE" id="{DCAB4A75-CAA1-4E70-BB05-914D712349B8}">
            <xm:f>NOT(ISERROR(SEARCH("FALSE",'Export (N)'!C357)))</xm:f>
            <x14:dxf>
              <font>
                <color rgb="FF9C0006"/>
              </font>
              <fill>
                <patternFill>
                  <bgColor rgb="FFFFC7CE"/>
                </patternFill>
              </fill>
            </x14:dxf>
          </x14:cfRule>
          <xm:sqref>C320 C314 C308</xm:sqref>
        </x14:conditionalFormatting>
        <x14:conditionalFormatting xmlns:xm="http://schemas.microsoft.com/office/excel/2006/main">
          <x14:cfRule type="containsText" priority="71" operator="containsText" text="FALSE" id="{5398AAF3-D22A-4989-BB6B-2487B7A636A9}">
            <xm:f>NOT(ISERROR(SEARCH("FALSE",'Export (N)'!C342)))</xm:f>
            <x14:dxf>
              <font>
                <color rgb="FF9C0006"/>
              </font>
              <fill>
                <patternFill>
                  <bgColor rgb="FFFFC7CE"/>
                </patternFill>
              </fill>
            </x14:dxf>
          </x14:cfRule>
          <xm:sqref>C289</xm:sqref>
        </x14:conditionalFormatting>
        <x14:conditionalFormatting xmlns:xm="http://schemas.microsoft.com/office/excel/2006/main">
          <x14:cfRule type="containsText" priority="67" operator="containsText" text="FALSE" id="{654F4521-A029-4637-B583-E97063CBD329}">
            <xm:f>NOT(ISERROR(SEARCH("FALSE",'Export (N)'!C317)))</xm:f>
            <x14:dxf>
              <font>
                <color rgb="FF9C0006"/>
              </font>
              <fill>
                <patternFill>
                  <bgColor rgb="FFFFC7CE"/>
                </patternFill>
              </fill>
            </x14:dxf>
          </x14:cfRule>
          <xm:sqref>C322</xm:sqref>
        </x14:conditionalFormatting>
        <x14:conditionalFormatting xmlns:xm="http://schemas.microsoft.com/office/excel/2006/main">
          <x14:cfRule type="containsText" priority="624" operator="containsText" text="FALSE" id="{654F4521-A029-4637-B583-E97063CBD329}">
            <xm:f>NOT(ISERROR(SEARCH("FALSE",'Export (N)'!C239)))</xm:f>
            <x14:dxf>
              <font>
                <color rgb="FF9C0006"/>
              </font>
              <fill>
                <patternFill>
                  <bgColor rgb="FFFFC7CE"/>
                </patternFill>
              </fill>
            </x14:dxf>
          </x14:cfRule>
          <xm:sqref>C226</xm:sqref>
        </x14:conditionalFormatting>
        <x14:conditionalFormatting xmlns:xm="http://schemas.microsoft.com/office/excel/2006/main">
          <x14:cfRule type="containsText" priority="631" operator="containsText" text="FALSE" id="{DCAB4A75-CAA1-4E70-BB05-914D712349B8}">
            <xm:f>NOT(ISERROR(SEARCH("FALSE",'Export (N)'!C349)))</xm:f>
            <x14:dxf>
              <font>
                <color rgb="FF9C0006"/>
              </font>
              <fill>
                <patternFill>
                  <bgColor rgb="FFFFC7CE"/>
                </patternFill>
              </fill>
            </x14:dxf>
          </x14:cfRule>
          <xm:sqref>C302</xm:sqref>
        </x14:conditionalFormatting>
        <x14:conditionalFormatting xmlns:xm="http://schemas.microsoft.com/office/excel/2006/main">
          <x14:cfRule type="containsText" priority="50" operator="containsText" text="FALSE" id="{43514077-AE0F-4BED-815A-6226E4C0EBCA}">
            <xm:f>NOT(ISERROR(SEARCH("FALSE",'Export (N)'!C26)))</xm:f>
            <x14:dxf>
              <font>
                <color rgb="FF9C0006"/>
              </font>
              <fill>
                <patternFill>
                  <bgColor rgb="FFFFC7CE"/>
                </patternFill>
              </fill>
            </x14:dxf>
          </x14:cfRule>
          <xm:sqref>C26:C70 C115:C118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dimension ref="B1:U363"/>
  <sheetViews>
    <sheetView showGridLines="0" workbookViewId="0">
      <selection activeCell="G12" sqref="G12"/>
    </sheetView>
  </sheetViews>
  <sheetFormatPr defaultColWidth="9" defaultRowHeight="12.75" x14ac:dyDescent="0.2"/>
  <cols>
    <col min="1" max="1" width="2.625" style="787" customWidth="1"/>
    <col min="2" max="4" width="11.75" style="787" customWidth="1"/>
    <col min="5" max="5" width="26.75" style="787" customWidth="1"/>
    <col min="6" max="6" width="13.75" style="1004" customWidth="1"/>
    <col min="7" max="7" width="38.75" style="787" customWidth="1"/>
    <col min="8" max="11" width="8.75" style="788" customWidth="1"/>
    <col min="12" max="12" width="15" style="849" bestFit="1" customWidth="1"/>
    <col min="13" max="13" width="9" style="788" customWidth="1"/>
    <col min="14" max="17" width="9" style="787"/>
    <col min="18" max="18" width="25.75" style="787" bestFit="1" customWidth="1"/>
    <col min="19" max="19" width="23.75" style="787" bestFit="1" customWidth="1"/>
    <col min="20" max="20" width="25.75" style="787" bestFit="1" customWidth="1"/>
    <col min="21" max="16384" width="9" style="787"/>
  </cols>
  <sheetData>
    <row r="1" spans="2:21" ht="15" x14ac:dyDescent="0.25">
      <c r="B1" s="773" t="s">
        <v>435</v>
      </c>
      <c r="C1" s="786"/>
      <c r="D1" s="786"/>
      <c r="E1" s="786">
        <f>MAX(Professionals!$N$19:$N$68)</f>
        <v>4</v>
      </c>
      <c r="F1" s="1004">
        <v>1</v>
      </c>
      <c r="G1" s="786" t="s">
        <v>939</v>
      </c>
      <c r="H1" s="788" t="b">
        <f>IF(F1=1,TRUE,FALSE)</f>
        <v>1</v>
      </c>
      <c r="I1" s="789" t="s">
        <v>937</v>
      </c>
      <c r="K1" s="787" t="b">
        <v>1</v>
      </c>
      <c r="L1" s="815" t="s">
        <v>1109</v>
      </c>
      <c r="M1" s="774">
        <f>pMaxWidth</f>
        <v>10.45</v>
      </c>
    </row>
    <row r="2" spans="2:21" ht="15" x14ac:dyDescent="0.25">
      <c r="B2" s="786"/>
      <c r="C2" s="786"/>
      <c r="D2" s="786"/>
      <c r="E2" s="786">
        <f>MAX(Professionals!$N$84:$N$133)</f>
        <v>8</v>
      </c>
      <c r="G2" s="786" t="s">
        <v>940</v>
      </c>
      <c r="H2" s="788" t="b">
        <f>IF(F1=2,TRUE,FALSE)</f>
        <v>0</v>
      </c>
      <c r="I2" s="789" t="s">
        <v>938</v>
      </c>
      <c r="K2" s="788" t="b">
        <f>H2</f>
        <v>0</v>
      </c>
      <c r="L2" s="815" t="s">
        <v>1110</v>
      </c>
      <c r="M2" s="774">
        <f>pMaxHeight</f>
        <v>6.375</v>
      </c>
      <c r="R2" s="793" t="s">
        <v>939</v>
      </c>
      <c r="S2" s="793" t="s">
        <v>1205</v>
      </c>
      <c r="T2" s="793" t="s">
        <v>940</v>
      </c>
      <c r="U2" s="793" t="s">
        <v>1205</v>
      </c>
    </row>
    <row r="3" spans="2:21" x14ac:dyDescent="0.2">
      <c r="B3" s="791">
        <v>2</v>
      </c>
      <c r="C3" s="791">
        <f>B3+1</f>
        <v>3</v>
      </c>
      <c r="D3" s="791">
        <f>C3+1</f>
        <v>4</v>
      </c>
      <c r="E3" s="791">
        <f>D3+1</f>
        <v>5</v>
      </c>
      <c r="F3" s="1005">
        <f t="shared" ref="F3:K3" si="0">E3+1</f>
        <v>6</v>
      </c>
      <c r="G3" s="791">
        <f t="shared" si="0"/>
        <v>7</v>
      </c>
      <c r="H3" s="791">
        <f t="shared" si="0"/>
        <v>8</v>
      </c>
      <c r="I3" s="791">
        <f t="shared" si="0"/>
        <v>9</v>
      </c>
      <c r="J3" s="791">
        <f t="shared" si="0"/>
        <v>10</v>
      </c>
      <c r="K3" s="791">
        <f t="shared" si="0"/>
        <v>11</v>
      </c>
      <c r="L3" s="791">
        <f t="shared" ref="L3" si="1">K3+1</f>
        <v>12</v>
      </c>
      <c r="M3" s="791">
        <f t="shared" ref="M3" si="2">L3+1</f>
        <v>13</v>
      </c>
      <c r="Q3" s="787">
        <f>Q2+1</f>
        <v>1</v>
      </c>
      <c r="R3" s="790" t="s">
        <v>933</v>
      </c>
      <c r="S3" s="787" t="s">
        <v>1202</v>
      </c>
      <c r="T3" s="790" t="s">
        <v>932</v>
      </c>
      <c r="U3" s="787" t="s">
        <v>1200</v>
      </c>
    </row>
    <row r="4" spans="2:21" ht="15" customHeight="1" x14ac:dyDescent="0.2">
      <c r="B4" s="833" t="s">
        <v>436</v>
      </c>
      <c r="C4" s="833" t="s">
        <v>437</v>
      </c>
      <c r="D4" s="834" t="s">
        <v>438</v>
      </c>
      <c r="E4" s="833" t="s">
        <v>439</v>
      </c>
      <c r="F4" s="1006" t="s">
        <v>440</v>
      </c>
      <c r="G4" s="833" t="s">
        <v>60</v>
      </c>
      <c r="H4" s="835" t="s">
        <v>441</v>
      </c>
      <c r="I4" s="835" t="s">
        <v>442</v>
      </c>
      <c r="J4" s="835" t="s">
        <v>443</v>
      </c>
      <c r="K4" s="835" t="s">
        <v>444</v>
      </c>
      <c r="L4" s="835" t="s">
        <v>1204</v>
      </c>
      <c r="M4" s="835" t="s">
        <v>1203</v>
      </c>
      <c r="Q4" s="787">
        <f t="shared" ref="Q4:Q20" si="3">Q3+1</f>
        <v>2</v>
      </c>
      <c r="R4" s="790" t="s">
        <v>1115</v>
      </c>
      <c r="T4" s="790" t="s">
        <v>962</v>
      </c>
    </row>
    <row r="5" spans="2:21" x14ac:dyDescent="0.2">
      <c r="B5" s="786"/>
      <c r="C5" s="786"/>
      <c r="D5" s="794"/>
      <c r="E5" s="786"/>
      <c r="G5" s="786"/>
      <c r="H5" s="795"/>
      <c r="I5" s="795"/>
      <c r="J5" s="795"/>
      <c r="K5" s="795"/>
      <c r="L5" s="815"/>
      <c r="M5" s="790"/>
      <c r="Q5" s="787">
        <f t="shared" si="3"/>
        <v>3</v>
      </c>
      <c r="R5" s="790" t="s">
        <v>935</v>
      </c>
      <c r="T5" s="790" t="s">
        <v>307</v>
      </c>
    </row>
    <row r="6" spans="2:21" x14ac:dyDescent="0.2">
      <c r="B6" s="836" t="s">
        <v>1260</v>
      </c>
      <c r="C6" s="836" t="b">
        <v>1</v>
      </c>
      <c r="D6" s="837" t="s">
        <v>446</v>
      </c>
      <c r="E6" s="836" t="s">
        <v>445</v>
      </c>
      <c r="F6" s="1007"/>
      <c r="G6" s="836"/>
      <c r="H6" s="838"/>
      <c r="I6" s="838"/>
      <c r="J6" s="838"/>
      <c r="K6" s="838"/>
      <c r="L6" s="815"/>
      <c r="M6" s="790"/>
      <c r="Q6" s="787">
        <f t="shared" si="3"/>
        <v>4</v>
      </c>
      <c r="R6" s="790" t="s">
        <v>1117</v>
      </c>
      <c r="T6" s="790" t="s">
        <v>298</v>
      </c>
    </row>
    <row r="7" spans="2:21" x14ac:dyDescent="0.2">
      <c r="B7" s="836" t="str">
        <f>"Slide "&amp;RIGHT(B6,LEN(B6)-FIND(" ",B6))+1</f>
        <v>Slide 1</v>
      </c>
      <c r="C7" s="836" t="b">
        <v>1</v>
      </c>
      <c r="D7" s="837" t="s">
        <v>446</v>
      </c>
      <c r="E7" s="836" t="s">
        <v>1258</v>
      </c>
      <c r="F7" s="1007"/>
      <c r="G7" s="836"/>
      <c r="H7" s="836"/>
      <c r="I7" s="836"/>
      <c r="J7" s="836"/>
      <c r="K7" s="836"/>
      <c r="L7" s="815"/>
      <c r="M7" s="790"/>
      <c r="Q7" s="787">
        <f t="shared" si="3"/>
        <v>5</v>
      </c>
      <c r="R7" s="790" t="s">
        <v>934</v>
      </c>
      <c r="S7" s="787" t="s">
        <v>1202</v>
      </c>
      <c r="T7" s="790" t="s">
        <v>305</v>
      </c>
      <c r="U7" s="787" t="s">
        <v>1189</v>
      </c>
    </row>
    <row r="8" spans="2:21" x14ac:dyDescent="0.2">
      <c r="B8" s="839" t="str">
        <f>"Slide "&amp;RIGHT(B7,LEN(B7)-FIND(" ",B7))+1</f>
        <v>Slide 2</v>
      </c>
      <c r="C8" s="839" t="b">
        <f>$K$1</f>
        <v>1</v>
      </c>
      <c r="D8" s="840" t="s">
        <v>446</v>
      </c>
      <c r="E8" s="839" t="s">
        <v>1261</v>
      </c>
      <c r="F8" s="1008"/>
      <c r="G8" s="839"/>
      <c r="H8" s="841"/>
      <c r="I8" s="841"/>
      <c r="J8" s="841"/>
      <c r="K8" s="841"/>
      <c r="L8" s="815"/>
      <c r="M8" s="790"/>
      <c r="Q8" s="787">
        <f t="shared" si="3"/>
        <v>6</v>
      </c>
      <c r="R8" s="790" t="s">
        <v>1116</v>
      </c>
      <c r="T8" s="790" t="s">
        <v>306</v>
      </c>
    </row>
    <row r="9" spans="2:21" x14ac:dyDescent="0.2">
      <c r="B9" s="797" t="str">
        <f>IF(C9,"Slide "&amp;RIGHT(B8,LEN(B8)-FIND(" ",B8))+1,B8)</f>
        <v>Slide 3</v>
      </c>
      <c r="C9" s="797" t="b">
        <f>$K$1</f>
        <v>1</v>
      </c>
      <c r="D9" s="798" t="s">
        <v>447</v>
      </c>
      <c r="E9" s="797" t="s">
        <v>1293</v>
      </c>
      <c r="F9" s="1009" t="s">
        <v>1243</v>
      </c>
      <c r="G9" s="797" t="s">
        <v>1242</v>
      </c>
      <c r="H9" s="799"/>
      <c r="I9" s="799"/>
      <c r="J9" s="799"/>
      <c r="K9" s="799"/>
      <c r="L9" s="815"/>
      <c r="M9" s="790"/>
      <c r="Q9" s="787">
        <f t="shared" si="3"/>
        <v>7</v>
      </c>
      <c r="T9" s="790" t="s">
        <v>300</v>
      </c>
    </row>
    <row r="10" spans="2:21" x14ac:dyDescent="0.2">
      <c r="B10" s="797" t="str">
        <f>IF(C10,"Slide "&amp;RIGHT(B9,LEN(B9)-FIND(" ",B9))+1,B9)</f>
        <v>Slide 4</v>
      </c>
      <c r="C10" s="797" t="b">
        <f>$K$1</f>
        <v>1</v>
      </c>
      <c r="D10" s="798" t="s">
        <v>447</v>
      </c>
      <c r="E10" s="797" t="s">
        <v>1293</v>
      </c>
      <c r="F10" s="1009" t="str">
        <f>IF($H$1, "SlideTitle","")</f>
        <v>SlideTitle</v>
      </c>
      <c r="G10" s="797" t="str">
        <f>IF($H$1,Input!$C$9,"")</f>
        <v>Walmart Inc.</v>
      </c>
      <c r="H10" s="799"/>
      <c r="I10" s="799"/>
      <c r="J10" s="799"/>
      <c r="K10" s="799"/>
      <c r="L10" s="815"/>
      <c r="M10" s="790"/>
      <c r="Q10" s="787">
        <f t="shared" si="3"/>
        <v>8</v>
      </c>
      <c r="T10" s="790" t="s">
        <v>301</v>
      </c>
    </row>
    <row r="11" spans="2:21" x14ac:dyDescent="0.2">
      <c r="B11" s="800"/>
      <c r="C11" s="800"/>
      <c r="D11" s="800"/>
      <c r="E11" s="800"/>
      <c r="F11" s="1010" t="str">
        <f>IF($H$1, "RoadMap", "SlideTitle")</f>
        <v>RoadMap</v>
      </c>
      <c r="G11" s="800" t="str">
        <f>Overview!B3</f>
        <v>Company Snapshot</v>
      </c>
      <c r="H11" s="801"/>
      <c r="I11" s="801"/>
      <c r="J11" s="801"/>
      <c r="K11" s="801"/>
      <c r="L11" s="815"/>
      <c r="M11" s="790"/>
      <c r="Q11" s="787">
        <f t="shared" si="3"/>
        <v>9</v>
      </c>
      <c r="R11" s="790" t="s">
        <v>932</v>
      </c>
      <c r="S11" s="787" t="s">
        <v>1200</v>
      </c>
      <c r="T11" s="790" t="s">
        <v>933</v>
      </c>
      <c r="U11" s="787" t="s">
        <v>1267</v>
      </c>
    </row>
    <row r="12" spans="2:21" x14ac:dyDescent="0.2">
      <c r="B12" s="788"/>
      <c r="C12" s="788"/>
      <c r="D12" s="788"/>
      <c r="E12" s="788"/>
      <c r="F12" s="1011" t="s">
        <v>448</v>
      </c>
      <c r="G12" s="802">
        <f>Overview!B4:P39</f>
        <v>0</v>
      </c>
      <c r="H12" s="814">
        <v>0.58299999999999996</v>
      </c>
      <c r="I12" s="814">
        <f>IF($H$1,1.665,1.29)</f>
        <v>1.665</v>
      </c>
      <c r="J12" s="814">
        <v>9.92</v>
      </c>
      <c r="K12" s="814">
        <v>6.15</v>
      </c>
      <c r="L12" s="815" t="b">
        <v>1</v>
      </c>
      <c r="M12" s="790"/>
      <c r="Q12" s="787">
        <f t="shared" si="3"/>
        <v>10</v>
      </c>
      <c r="R12" s="790" t="s">
        <v>962</v>
      </c>
      <c r="T12" s="790" t="s">
        <v>1115</v>
      </c>
    </row>
    <row r="13" spans="2:21" x14ac:dyDescent="0.2">
      <c r="B13" s="788"/>
      <c r="C13" s="788"/>
      <c r="D13" s="788"/>
      <c r="E13" s="788"/>
      <c r="F13" s="1011" t="s">
        <v>449</v>
      </c>
      <c r="G13" s="788" t="s">
        <v>1257</v>
      </c>
      <c r="H13" s="801"/>
      <c r="I13" s="801"/>
      <c r="J13" s="801"/>
      <c r="K13" s="801"/>
      <c r="L13" s="815"/>
      <c r="M13" s="786"/>
      <c r="Q13" s="787">
        <f t="shared" si="3"/>
        <v>11</v>
      </c>
      <c r="R13" s="790" t="s">
        <v>307</v>
      </c>
      <c r="T13" s="790" t="s">
        <v>934</v>
      </c>
    </row>
    <row r="14" spans="2:21" x14ac:dyDescent="0.2">
      <c r="B14" s="788"/>
      <c r="C14" s="788"/>
      <c r="D14" s="788"/>
      <c r="E14" s="788"/>
      <c r="F14" s="1011"/>
      <c r="G14" s="788"/>
      <c r="H14" s="804"/>
      <c r="I14" s="804"/>
      <c r="J14" s="804"/>
      <c r="K14" s="804"/>
      <c r="L14" s="815"/>
      <c r="M14" s="790"/>
      <c r="Q14" s="787">
        <f t="shared" si="3"/>
        <v>12</v>
      </c>
      <c r="R14" s="790" t="s">
        <v>298</v>
      </c>
      <c r="T14" s="790" t="s">
        <v>1116</v>
      </c>
    </row>
    <row r="15" spans="2:21" x14ac:dyDescent="0.2">
      <c r="B15" s="797" t="str">
        <f>IF(C15,"Slide "&amp;RIGHT(B10,LEN(B10)-FIND(" ",B10))+1,B10)</f>
        <v>Slide 5</v>
      </c>
      <c r="C15" s="797" t="b">
        <f>AND($K$1,NOT(G16=""))</f>
        <v>1</v>
      </c>
      <c r="D15" s="798" t="s">
        <v>447</v>
      </c>
      <c r="E15" s="797" t="s">
        <v>1294</v>
      </c>
      <c r="F15" s="1009" t="str">
        <f>IF($H$1, "SlideTitle","")</f>
        <v>SlideTitle</v>
      </c>
      <c r="G15" s="797" t="str">
        <f>IF($H$1,Input!$C$9,"")</f>
        <v>Walmart Inc.</v>
      </c>
      <c r="H15" s="799"/>
      <c r="I15" s="799"/>
      <c r="J15" s="799"/>
      <c r="K15" s="799"/>
      <c r="L15" s="815"/>
      <c r="M15" s="790"/>
      <c r="Q15" s="787">
        <f t="shared" si="3"/>
        <v>13</v>
      </c>
      <c r="R15" s="790" t="s">
        <v>305</v>
      </c>
      <c r="S15" s="787" t="s">
        <v>1189</v>
      </c>
      <c r="T15" s="790" t="s">
        <v>935</v>
      </c>
      <c r="U15" s="787" t="s">
        <v>1268</v>
      </c>
    </row>
    <row r="16" spans="2:21" x14ac:dyDescent="0.2">
      <c r="B16" s="788"/>
      <c r="C16" s="788"/>
      <c r="D16" s="788"/>
      <c r="E16" s="788"/>
      <c r="F16" s="1010" t="str">
        <f>IF($H$1, "RoadMap", "SlideTitle")</f>
        <v>RoadMap</v>
      </c>
      <c r="G16" s="788" t="s">
        <v>1286</v>
      </c>
      <c r="L16" s="815"/>
      <c r="M16" s="790"/>
      <c r="Q16" s="787">
        <f t="shared" si="3"/>
        <v>14</v>
      </c>
      <c r="R16" s="790" t="s">
        <v>306</v>
      </c>
      <c r="T16" s="790" t="s">
        <v>1117</v>
      </c>
    </row>
    <row r="17" spans="2:21" x14ac:dyDescent="0.2">
      <c r="B17" s="788"/>
      <c r="C17" s="788"/>
      <c r="D17" s="788"/>
      <c r="E17" s="788"/>
      <c r="F17" s="1011" t="s">
        <v>448</v>
      </c>
      <c r="G17" s="788" t="s">
        <v>1285</v>
      </c>
      <c r="H17" s="814">
        <v>0.58299999999999996</v>
      </c>
      <c r="I17" s="814">
        <f>IF($H$1,1.665,1.29)</f>
        <v>1.665</v>
      </c>
      <c r="J17" s="803"/>
      <c r="K17" s="803"/>
      <c r="L17" s="815" t="b">
        <f>$L$12</f>
        <v>1</v>
      </c>
      <c r="M17" s="790"/>
      <c r="Q17" s="787">
        <f t="shared" si="3"/>
        <v>15</v>
      </c>
      <c r="R17" s="790" t="s">
        <v>300</v>
      </c>
      <c r="T17" s="790"/>
    </row>
    <row r="18" spans="2:21" x14ac:dyDescent="0.2">
      <c r="B18" s="788"/>
      <c r="C18" s="788"/>
      <c r="D18" s="788"/>
      <c r="E18" s="788"/>
      <c r="F18" s="1011" t="s">
        <v>448</v>
      </c>
      <c r="G18" s="788" t="s">
        <v>1287</v>
      </c>
      <c r="H18" s="814">
        <v>0.58299999999999996</v>
      </c>
      <c r="I18" s="814">
        <v>3.85</v>
      </c>
      <c r="J18" s="803"/>
      <c r="K18" s="803"/>
      <c r="L18" s="815" t="b">
        <f>$L$12</f>
        <v>1</v>
      </c>
      <c r="M18" s="790"/>
      <c r="Q18" s="787">
        <f t="shared" si="3"/>
        <v>16</v>
      </c>
      <c r="R18" s="790" t="s">
        <v>301</v>
      </c>
    </row>
    <row r="19" spans="2:21" x14ac:dyDescent="0.2">
      <c r="B19" s="788"/>
      <c r="C19" s="788"/>
      <c r="D19" s="788"/>
      <c r="E19" s="788"/>
      <c r="F19" s="1011" t="s">
        <v>449</v>
      </c>
      <c r="G19" s="788" t="s">
        <v>1257</v>
      </c>
      <c r="H19" s="801"/>
      <c r="I19" s="801"/>
      <c r="J19" s="801"/>
      <c r="K19" s="801"/>
      <c r="L19" s="815"/>
      <c r="M19" s="786"/>
      <c r="Q19" s="787">
        <f t="shared" si="3"/>
        <v>17</v>
      </c>
      <c r="R19" s="790" t="s">
        <v>936</v>
      </c>
      <c r="S19" s="787" t="s">
        <v>1201</v>
      </c>
      <c r="T19" s="790" t="s">
        <v>936</v>
      </c>
      <c r="U19" s="787" t="s">
        <v>1201</v>
      </c>
    </row>
    <row r="20" spans="2:21" x14ac:dyDescent="0.2">
      <c r="B20" s="788"/>
      <c r="C20" s="788"/>
      <c r="D20" s="788"/>
      <c r="E20" s="788"/>
      <c r="F20" s="1011"/>
      <c r="G20" s="788"/>
      <c r="H20" s="805"/>
      <c r="I20" s="805"/>
      <c r="J20" s="805"/>
      <c r="K20" s="805"/>
      <c r="L20" s="815"/>
      <c r="M20" s="790"/>
      <c r="Q20" s="787">
        <f t="shared" si="3"/>
        <v>18</v>
      </c>
      <c r="R20" s="790" t="s">
        <v>303</v>
      </c>
      <c r="T20" s="790" t="s">
        <v>303</v>
      </c>
    </row>
    <row r="21" spans="2:21" x14ac:dyDescent="0.2">
      <c r="B21" s="797" t="str">
        <f>IF(C21,"Slide "&amp;RIGHT(B15,LEN(B15)-FIND(" ",B15))+1,B15)</f>
        <v>Slide 6</v>
      </c>
      <c r="C21" s="797" t="b">
        <f>AND($K$1,NOT(G22=""))</f>
        <v>1</v>
      </c>
      <c r="D21" s="798" t="s">
        <v>447</v>
      </c>
      <c r="E21" s="797" t="s">
        <v>1294</v>
      </c>
      <c r="F21" s="1009" t="str">
        <f>IF($H$1, "SlideTitle","")</f>
        <v>SlideTitle</v>
      </c>
      <c r="G21" s="797" t="str">
        <f>IF($H$1,Input!$C$9,"")</f>
        <v>Walmart Inc.</v>
      </c>
      <c r="H21" s="799"/>
      <c r="I21" s="799"/>
      <c r="J21" s="799"/>
      <c r="K21" s="799"/>
      <c r="L21" s="815"/>
      <c r="M21" s="790"/>
      <c r="Q21" s="787">
        <v>19</v>
      </c>
      <c r="R21" s="790" t="s">
        <v>302</v>
      </c>
      <c r="T21" s="790" t="s">
        <v>302</v>
      </c>
    </row>
    <row r="22" spans="2:21" x14ac:dyDescent="0.2">
      <c r="B22" s="788"/>
      <c r="C22" s="788"/>
      <c r="D22" s="788"/>
      <c r="E22" s="788"/>
      <c r="F22" s="1010" t="str">
        <f>IF($H$1, "RoadMap", "SlideTitle")</f>
        <v>RoadMap</v>
      </c>
      <c r="G22" s="788" t="str">
        <f>IF(COUNTIF($E$4:E22,E21)-1&lt;=$E$1,IF($H$1,"Key Professionals", "Key Professionals (" &amp; COUNTIF($E$4:E22,E21)-1 &amp; "/" &amp; $E$1 &amp; ")"),"")</f>
        <v>Key Professionals</v>
      </c>
      <c r="L22" s="815"/>
      <c r="M22" s="790"/>
      <c r="Q22" s="787">
        <v>20</v>
      </c>
      <c r="R22" s="790" t="s">
        <v>304</v>
      </c>
      <c r="T22" s="790" t="s">
        <v>304</v>
      </c>
    </row>
    <row r="23" spans="2:21" x14ac:dyDescent="0.2">
      <c r="B23" s="788"/>
      <c r="C23" s="788"/>
      <c r="D23" s="788"/>
      <c r="E23" s="788"/>
      <c r="F23" s="1011" t="s">
        <v>448</v>
      </c>
      <c r="G23" s="788" t="str">
        <f>IF(G22="","",ADDRESS(ROW(Key_Professional)+MATCH(COUNTIF($E$4:E23,E21)-1,Professionals!$N$19:$N$68,0),COLUMN(Key_Professional)) &amp;":" &amp; ADDRESS(ROW(Key_Professional)+MATCH(COUNTIF($E$4:E23,E21)-1,Professionals!$N$19:$N$68,0)+COUNTIF(Professionals!$N$19:$N$68,COUNTIF($E$4:E23,E21)-1)-1,COLUMN(Key_Professional)+1))</f>
        <v>$B$19:$C$28</v>
      </c>
      <c r="H23" s="814">
        <v>0.58299999999999996</v>
      </c>
      <c r="I23" s="814">
        <f>IF($H$1,1.665,1.29)</f>
        <v>1.665</v>
      </c>
      <c r="J23" s="803"/>
      <c r="K23" s="803"/>
      <c r="L23" s="815" t="b">
        <f>$L$12</f>
        <v>1</v>
      </c>
      <c r="M23" s="790"/>
      <c r="R23" s="790"/>
      <c r="T23" s="790"/>
    </row>
    <row r="24" spans="2:21" x14ac:dyDescent="0.2">
      <c r="B24" s="788"/>
      <c r="C24" s="788"/>
      <c r="D24" s="788"/>
      <c r="E24" s="788"/>
      <c r="F24" s="1011" t="s">
        <v>449</v>
      </c>
      <c r="G24" s="788" t="s">
        <v>1257</v>
      </c>
      <c r="H24" s="801"/>
      <c r="I24" s="801"/>
      <c r="J24" s="801"/>
      <c r="K24" s="801"/>
      <c r="L24" s="815"/>
      <c r="M24" s="786"/>
    </row>
    <row r="25" spans="2:21" x14ac:dyDescent="0.2">
      <c r="B25" s="788"/>
      <c r="C25" s="788"/>
      <c r="D25" s="788"/>
      <c r="E25" s="788"/>
      <c r="F25" s="1011"/>
      <c r="G25" s="788"/>
      <c r="H25" s="805"/>
      <c r="I25" s="805"/>
      <c r="J25" s="805"/>
      <c r="K25" s="805"/>
      <c r="L25" s="815"/>
      <c r="M25" s="790"/>
    </row>
    <row r="26" spans="2:21" x14ac:dyDescent="0.2">
      <c r="B26" s="797" t="str">
        <f>IF(C26,"Slide "&amp;RIGHT(B21,LEN(B21)-FIND(" ",B21))+1,B21)</f>
        <v>Slide 7</v>
      </c>
      <c r="C26" s="797" t="b">
        <f>AND($K$1,NOT(G27=""))</f>
        <v>1</v>
      </c>
      <c r="D26" s="798" t="s">
        <v>447</v>
      </c>
      <c r="E26" s="797" t="s">
        <v>1294</v>
      </c>
      <c r="F26" s="1009" t="str">
        <f>IF($H$1, "SlideTitle","")</f>
        <v>SlideTitle</v>
      </c>
      <c r="G26" s="797" t="str">
        <f>IF($H$1,Input!$C$9,"")</f>
        <v>Walmart Inc.</v>
      </c>
      <c r="H26" s="799"/>
      <c r="I26" s="799"/>
      <c r="J26" s="799"/>
      <c r="K26" s="799"/>
      <c r="L26" s="815"/>
      <c r="M26" s="790"/>
    </row>
    <row r="27" spans="2:21" x14ac:dyDescent="0.2">
      <c r="B27" s="788"/>
      <c r="C27" s="788"/>
      <c r="D27" s="788"/>
      <c r="E27" s="788"/>
      <c r="F27" s="1010" t="str">
        <f>IF($H$1, "RoadMap", "SlideTitle")</f>
        <v>RoadMap</v>
      </c>
      <c r="G27" s="788" t="str">
        <f>IF(COUNTIF($E$4:E27,E26)-1&lt;=$E$1,IF($H$1,"Key Professionals", "Key Professionals (" &amp; COUNTIF($E$4:E27,E26)-1 &amp; "/" &amp; $E$1 &amp; ")"),"")</f>
        <v>Key Professionals</v>
      </c>
      <c r="L27" s="815"/>
      <c r="M27" s="790"/>
    </row>
    <row r="28" spans="2:21" x14ac:dyDescent="0.2">
      <c r="B28" s="788"/>
      <c r="C28" s="788"/>
      <c r="D28" s="788"/>
      <c r="E28" s="788"/>
      <c r="F28" s="1011" t="s">
        <v>448</v>
      </c>
      <c r="G28" s="788" t="str">
        <f>IF(G27="","",ADDRESS(ROW(Key_Professional)+MATCH(COUNTIF($E$4:E28,E26)-1,Professionals!$N$19:$N$68,0),COLUMN(Key_Professional)) &amp;":" &amp; ADDRESS(ROW(Key_Professional)+MATCH(COUNTIF($E$4:E28,E26)-1,Professionals!$N$19:$N$68,0)+COUNTIF(Professionals!$N$19:$N$68,COUNTIF($E$4:E28,E26)-1)-1,COLUMN(Key_Professional)+1))</f>
        <v>$B$29:$C$43</v>
      </c>
      <c r="H28" s="814">
        <v>0.58299999999999996</v>
      </c>
      <c r="I28" s="814">
        <f>IF($H$1,1.665,1.29)</f>
        <v>1.665</v>
      </c>
      <c r="J28" s="803"/>
      <c r="K28" s="803"/>
      <c r="L28" s="815" t="b">
        <f>$L$12</f>
        <v>1</v>
      </c>
      <c r="M28" s="790"/>
    </row>
    <row r="29" spans="2:21" x14ac:dyDescent="0.2">
      <c r="B29" s="788"/>
      <c r="C29" s="788"/>
      <c r="D29" s="788"/>
      <c r="E29" s="788"/>
      <c r="F29" s="1011" t="s">
        <v>449</v>
      </c>
      <c r="G29" s="788" t="s">
        <v>1257</v>
      </c>
      <c r="H29" s="801"/>
      <c r="I29" s="801"/>
      <c r="J29" s="801"/>
      <c r="K29" s="801"/>
      <c r="L29" s="815"/>
      <c r="M29" s="786"/>
    </row>
    <row r="30" spans="2:21" x14ac:dyDescent="0.2">
      <c r="B30" s="788"/>
      <c r="C30" s="788"/>
      <c r="D30" s="788"/>
      <c r="E30" s="788"/>
      <c r="F30" s="1011"/>
      <c r="G30" s="788"/>
      <c r="H30" s="805"/>
      <c r="I30" s="805"/>
      <c r="J30" s="805"/>
      <c r="K30" s="805"/>
      <c r="L30" s="815"/>
      <c r="M30" s="790"/>
    </row>
    <row r="31" spans="2:21" x14ac:dyDescent="0.2">
      <c r="B31" s="797" t="str">
        <f>IF(C31,"Slide "&amp;RIGHT(B26,LEN(B26)-FIND(" ",B26))+1,B26)</f>
        <v>Slide 8</v>
      </c>
      <c r="C31" s="797" t="b">
        <f>AND($K$1,NOT(G32=""))</f>
        <v>1</v>
      </c>
      <c r="D31" s="798" t="s">
        <v>447</v>
      </c>
      <c r="E31" s="797" t="s">
        <v>1294</v>
      </c>
      <c r="F31" s="1009" t="str">
        <f>IF($H$1, "SlideTitle","")</f>
        <v>SlideTitle</v>
      </c>
      <c r="G31" s="797" t="str">
        <f>IF($H$1,Input!$C$9,"")</f>
        <v>Walmart Inc.</v>
      </c>
      <c r="H31" s="799"/>
      <c r="I31" s="799"/>
      <c r="J31" s="799"/>
      <c r="K31" s="799"/>
      <c r="L31" s="815"/>
      <c r="M31" s="790"/>
    </row>
    <row r="32" spans="2:21" x14ac:dyDescent="0.2">
      <c r="B32" s="788"/>
      <c r="C32" s="788"/>
      <c r="D32" s="788"/>
      <c r="E32" s="788"/>
      <c r="F32" s="1010" t="str">
        <f>IF($H$1, "RoadMap", "SlideTitle")</f>
        <v>RoadMap</v>
      </c>
      <c r="G32" s="788" t="str">
        <f>IF(COUNTIF($E$4:E32,E31)-1&lt;=$E$1,IF($H$1,"Key Professionals", "Key Professionals (" &amp; COUNTIF($E$4:E32,E31)-1 &amp; "/" &amp; $E$1 &amp; ")"),"")</f>
        <v>Key Professionals</v>
      </c>
      <c r="L32" s="815"/>
      <c r="M32" s="790"/>
    </row>
    <row r="33" spans="2:13" x14ac:dyDescent="0.2">
      <c r="B33" s="788"/>
      <c r="C33" s="788"/>
      <c r="D33" s="788"/>
      <c r="E33" s="788"/>
      <c r="F33" s="1011" t="s">
        <v>448</v>
      </c>
      <c r="G33" s="788" t="str">
        <f>IF(G32="","",ADDRESS(ROW(Key_Professional)+MATCH(COUNTIF($E$4:E33,E31)-1,Professionals!$N$19:$N$68,0),COLUMN(Key_Professional)) &amp;":" &amp; ADDRESS(ROW(Key_Professional)+MATCH(COUNTIF($E$4:E33,E31)-1,Professionals!$N$19:$N$68,0)+COUNTIF(Professionals!$N$19:$N$68,COUNTIF($E$4:E33,E31)-1)-1,COLUMN(Key_Professional)+1))</f>
        <v>$B$44:$C$53</v>
      </c>
      <c r="H33" s="814">
        <v>0.58299999999999996</v>
      </c>
      <c r="I33" s="814">
        <f>IF($H$1,1.665,1.29)</f>
        <v>1.665</v>
      </c>
      <c r="J33" s="803"/>
      <c r="K33" s="803"/>
      <c r="L33" s="815" t="b">
        <f>$L$12</f>
        <v>1</v>
      </c>
      <c r="M33" s="790"/>
    </row>
    <row r="34" spans="2:13" x14ac:dyDescent="0.2">
      <c r="B34" s="788"/>
      <c r="C34" s="788"/>
      <c r="D34" s="788"/>
      <c r="E34" s="788"/>
      <c r="F34" s="1011" t="s">
        <v>449</v>
      </c>
      <c r="G34" s="788" t="s">
        <v>1257</v>
      </c>
      <c r="H34" s="801"/>
      <c r="I34" s="801"/>
      <c r="J34" s="801"/>
      <c r="K34" s="801"/>
      <c r="L34" s="815"/>
      <c r="M34" s="786"/>
    </row>
    <row r="35" spans="2:13" x14ac:dyDescent="0.2">
      <c r="B35" s="788"/>
      <c r="C35" s="788"/>
      <c r="D35" s="788"/>
      <c r="E35" s="788"/>
      <c r="F35" s="1011"/>
      <c r="G35" s="788"/>
      <c r="H35" s="805"/>
      <c r="I35" s="805"/>
      <c r="J35" s="805"/>
      <c r="K35" s="805"/>
      <c r="L35" s="815"/>
      <c r="M35" s="790"/>
    </row>
    <row r="36" spans="2:13" ht="12" customHeight="1" x14ac:dyDescent="0.2">
      <c r="B36" s="797" t="str">
        <f>IF(C36,"Slide "&amp;RIGHT(B31,LEN(B31)-FIND(" ",B31))+1,B31)</f>
        <v>Slide 9</v>
      </c>
      <c r="C36" s="797" t="b">
        <f>AND($K$1,NOT(G37=""))</f>
        <v>1</v>
      </c>
      <c r="D36" s="798" t="s">
        <v>447</v>
      </c>
      <c r="E36" s="797" t="s">
        <v>1294</v>
      </c>
      <c r="F36" s="1009" t="str">
        <f>IF($H$1, "SlideTitle","")</f>
        <v>SlideTitle</v>
      </c>
      <c r="G36" s="797" t="str">
        <f>IF($H$1,Input!$C$9,"")</f>
        <v>Walmart Inc.</v>
      </c>
      <c r="H36" s="799"/>
      <c r="I36" s="799"/>
      <c r="J36" s="799"/>
      <c r="K36" s="799"/>
      <c r="L36" s="815"/>
      <c r="M36" s="790"/>
    </row>
    <row r="37" spans="2:13" x14ac:dyDescent="0.2">
      <c r="B37" s="788"/>
      <c r="C37" s="788"/>
      <c r="D37" s="788"/>
      <c r="E37" s="788"/>
      <c r="F37" s="1010" t="str">
        <f>IF($H$1, "RoadMap", "SlideTitle")</f>
        <v>RoadMap</v>
      </c>
      <c r="G37" s="788" t="str">
        <f>IF(COUNTIF($E$4:E37,E36)-1&lt;=$E$1,IF($H$1,"Key Professionals", "Key Professionals (" &amp; COUNTIF($E$4:E37,E36)-1 &amp; "/" &amp; $E$1 &amp; ")"),"")</f>
        <v>Key Professionals</v>
      </c>
      <c r="L37" s="815"/>
      <c r="M37" s="790"/>
    </row>
    <row r="38" spans="2:13" x14ac:dyDescent="0.2">
      <c r="B38" s="788"/>
      <c r="C38" s="788"/>
      <c r="D38" s="788"/>
      <c r="E38" s="788"/>
      <c r="F38" s="1011" t="s">
        <v>448</v>
      </c>
      <c r="G38" s="788" t="str">
        <f>IF(G37="","",ADDRESS(ROW(Key_Professional)+MATCH(COUNTIF($E$4:E38,E36)-1,Professionals!$N$19:$N$68,0),COLUMN(Key_Professional)) &amp;":" &amp; ADDRESS(ROW(Key_Professional)+MATCH(COUNTIF($E$4:E38,E36)-1,Professionals!$N$19:$N$68,0)+COUNTIF(Professionals!$N$19:$N$68,COUNTIF($E$4:E38,E36)-1)-1,COLUMN(Key_Professional)+1))</f>
        <v>$B$54:$C$68</v>
      </c>
      <c r="H38" s="814">
        <v>0.58299999999999996</v>
      </c>
      <c r="I38" s="814">
        <f>IF($H$1,1.665,1.29)</f>
        <v>1.665</v>
      </c>
      <c r="J38" s="803"/>
      <c r="K38" s="803"/>
      <c r="L38" s="815" t="b">
        <f>$L$12</f>
        <v>1</v>
      </c>
      <c r="M38" s="790"/>
    </row>
    <row r="39" spans="2:13" x14ac:dyDescent="0.2">
      <c r="B39" s="788"/>
      <c r="C39" s="788"/>
      <c r="D39" s="788"/>
      <c r="E39" s="788"/>
      <c r="F39" s="1011" t="s">
        <v>449</v>
      </c>
      <c r="G39" s="788" t="s">
        <v>1257</v>
      </c>
      <c r="H39" s="801"/>
      <c r="I39" s="801"/>
      <c r="J39" s="801"/>
      <c r="K39" s="801"/>
      <c r="L39" s="815"/>
      <c r="M39" s="786"/>
    </row>
    <row r="40" spans="2:13" x14ac:dyDescent="0.2">
      <c r="B40" s="788"/>
      <c r="C40" s="788"/>
      <c r="D40" s="788"/>
      <c r="E40" s="788"/>
      <c r="F40" s="1011"/>
      <c r="G40" s="788"/>
      <c r="H40" s="805"/>
      <c r="I40" s="805"/>
      <c r="J40" s="805"/>
      <c r="K40" s="805"/>
      <c r="L40" s="815"/>
      <c r="M40" s="790"/>
    </row>
    <row r="41" spans="2:13" x14ac:dyDescent="0.2">
      <c r="B41" s="797" t="str">
        <f>IF(C41,"Slide "&amp;RIGHT(B36,LEN(B36)-FIND(" ",B36))+1,B36)</f>
        <v>Slide 9</v>
      </c>
      <c r="C41" s="797" t="b">
        <f>AND($K$1,NOT(G42=""))</f>
        <v>0</v>
      </c>
      <c r="D41" s="798" t="s">
        <v>447</v>
      </c>
      <c r="E41" s="797" t="s">
        <v>1294</v>
      </c>
      <c r="F41" s="1009" t="str">
        <f>IF($H$1, "SlideTitle","")</f>
        <v>SlideTitle</v>
      </c>
      <c r="G41" s="797" t="str">
        <f>IF($H$1,Input!$C$9,"")</f>
        <v>Walmart Inc.</v>
      </c>
      <c r="H41" s="799"/>
      <c r="I41" s="799"/>
      <c r="J41" s="799"/>
      <c r="K41" s="799"/>
      <c r="L41" s="815"/>
      <c r="M41" s="790"/>
    </row>
    <row r="42" spans="2:13" x14ac:dyDescent="0.2">
      <c r="B42" s="788"/>
      <c r="C42" s="788"/>
      <c r="D42" s="788"/>
      <c r="E42" s="788"/>
      <c r="F42" s="1010" t="str">
        <f>IF($H$1, "RoadMap", "SlideTitle")</f>
        <v>RoadMap</v>
      </c>
      <c r="G42" s="788" t="str">
        <f>IF(COUNTIF($E$4:E42,E41)-1&lt;=$E$1,IF($H$1,"Key Professionals", "Key Professionals (" &amp; COUNTIF($E$4:E42,E41)-1 &amp; "/" &amp; $E$1 &amp; ")"),"")</f>
        <v/>
      </c>
      <c r="L42" s="815"/>
      <c r="M42" s="790"/>
    </row>
    <row r="43" spans="2:13" x14ac:dyDescent="0.2">
      <c r="B43" s="788"/>
      <c r="C43" s="788"/>
      <c r="D43" s="788"/>
      <c r="E43" s="788"/>
      <c r="F43" s="1011" t="s">
        <v>448</v>
      </c>
      <c r="G43" s="788" t="str">
        <f>IF(G42="","",ADDRESS(ROW(Key_Professional)+MATCH(COUNTIF($E$4:E43,E41)-1,Professionals!$N$19:$N$68,0),COLUMN(Key_Professional)) &amp;":" &amp; ADDRESS(ROW(Key_Professional)+MATCH(COUNTIF($E$4:E43,E41)-1,Professionals!$N$19:$N$68,0)+COUNTIF(Professionals!$N$19:$N$68,COUNTIF($E$4:E43,E41)-1)-1,COLUMN(Key_Professional)+1))</f>
        <v/>
      </c>
      <c r="H43" s="814">
        <v>0.58299999999999996</v>
      </c>
      <c r="I43" s="814">
        <f>IF($H$1,1.665,1.29)</f>
        <v>1.665</v>
      </c>
      <c r="J43" s="803"/>
      <c r="K43" s="803"/>
      <c r="L43" s="815" t="b">
        <f>$L$12</f>
        <v>1</v>
      </c>
      <c r="M43" s="790"/>
    </row>
    <row r="44" spans="2:13" x14ac:dyDescent="0.2">
      <c r="B44" s="788"/>
      <c r="C44" s="788"/>
      <c r="D44" s="788"/>
      <c r="E44" s="788"/>
      <c r="F44" s="1011" t="s">
        <v>449</v>
      </c>
      <c r="G44" s="788" t="s">
        <v>1257</v>
      </c>
      <c r="H44" s="801"/>
      <c r="I44" s="801"/>
      <c r="J44" s="801"/>
      <c r="K44" s="801"/>
      <c r="L44" s="815"/>
      <c r="M44" s="786"/>
    </row>
    <row r="45" spans="2:13" x14ac:dyDescent="0.2">
      <c r="B45" s="788"/>
      <c r="C45" s="788"/>
      <c r="D45" s="788"/>
      <c r="E45" s="788"/>
      <c r="F45" s="1011"/>
      <c r="G45" s="788"/>
      <c r="H45" s="805"/>
      <c r="I45" s="805"/>
      <c r="J45" s="805"/>
      <c r="K45" s="805"/>
      <c r="L45" s="815"/>
      <c r="M45" s="790"/>
    </row>
    <row r="46" spans="2:13" x14ac:dyDescent="0.2">
      <c r="B46" s="797" t="str">
        <f>IF(C46,"Slide "&amp;RIGHT(B41,LEN(B41)-FIND(" ",B41))+1,B41)</f>
        <v>Slide 9</v>
      </c>
      <c r="C46" s="797" t="b">
        <f>AND($K$1,NOT(G47=""))</f>
        <v>0</v>
      </c>
      <c r="D46" s="798" t="s">
        <v>447</v>
      </c>
      <c r="E46" s="797" t="s">
        <v>1294</v>
      </c>
      <c r="F46" s="1009" t="str">
        <f>IF($H$1, "SlideTitle","")</f>
        <v>SlideTitle</v>
      </c>
      <c r="G46" s="797" t="str">
        <f>IF($H$1,Input!$C$9,"")</f>
        <v>Walmart Inc.</v>
      </c>
      <c r="H46" s="799"/>
      <c r="I46" s="799"/>
      <c r="J46" s="799"/>
      <c r="K46" s="799"/>
      <c r="L46" s="815"/>
      <c r="M46" s="790"/>
    </row>
    <row r="47" spans="2:13" x14ac:dyDescent="0.2">
      <c r="B47" s="788"/>
      <c r="C47" s="788"/>
      <c r="D47" s="788"/>
      <c r="E47" s="788"/>
      <c r="F47" s="1010" t="str">
        <f>IF($H$1, "RoadMap", "SlideTitle")</f>
        <v>RoadMap</v>
      </c>
      <c r="G47" s="788" t="str">
        <f>IF(COUNTIF($E$4:E47,E46)-1&lt;=$E$1,IF($H$1,"Key Professionals", "Key Professionals (" &amp; COUNTIF($E$4:E47,E46)-1 &amp; "/" &amp; $E$1 &amp; ")"),"")</f>
        <v/>
      </c>
      <c r="L47" s="815"/>
      <c r="M47" s="790"/>
    </row>
    <row r="48" spans="2:13" x14ac:dyDescent="0.2">
      <c r="B48" s="788"/>
      <c r="C48" s="788"/>
      <c r="D48" s="788"/>
      <c r="E48" s="788"/>
      <c r="F48" s="1011" t="s">
        <v>448</v>
      </c>
      <c r="G48" s="788" t="str">
        <f>IF(G47="","",ADDRESS(ROW(Key_Professional)+MATCH(COUNTIF($E$4:E48,E46)-1,Professionals!$N$19:$N$68,0),COLUMN(Key_Professional)) &amp;":" &amp; ADDRESS(ROW(Key_Professional)+MATCH(COUNTIF($E$4:E48,E46)-1,Professionals!$N$19:$N$68,0)+COUNTIF(Professionals!$N$19:$N$68,COUNTIF($E$4:E48,E46)-1)-1,COLUMN(Key_Professional)+1))</f>
        <v/>
      </c>
      <c r="H48" s="814">
        <v>0.58299999999999996</v>
      </c>
      <c r="I48" s="814">
        <f>IF($H$1,1.665,1.29)</f>
        <v>1.665</v>
      </c>
      <c r="J48" s="803"/>
      <c r="K48" s="803"/>
      <c r="L48" s="815" t="b">
        <f>$L$12</f>
        <v>1</v>
      </c>
      <c r="M48" s="790"/>
    </row>
    <row r="49" spans="2:13" x14ac:dyDescent="0.2">
      <c r="B49" s="788"/>
      <c r="C49" s="788"/>
      <c r="D49" s="788"/>
      <c r="E49" s="788"/>
      <c r="F49" s="1011" t="s">
        <v>449</v>
      </c>
      <c r="G49" s="788" t="s">
        <v>1257</v>
      </c>
      <c r="H49" s="801"/>
      <c r="I49" s="801"/>
      <c r="J49" s="801"/>
      <c r="K49" s="801"/>
      <c r="L49" s="815"/>
      <c r="M49" s="786"/>
    </row>
    <row r="50" spans="2:13" x14ac:dyDescent="0.2">
      <c r="B50" s="788"/>
      <c r="C50" s="788"/>
      <c r="D50" s="788"/>
      <c r="E50" s="788"/>
      <c r="F50" s="1011"/>
      <c r="G50" s="788"/>
      <c r="H50" s="805"/>
      <c r="I50" s="805"/>
      <c r="J50" s="805"/>
      <c r="K50" s="805"/>
      <c r="L50" s="815"/>
      <c r="M50" s="790"/>
    </row>
    <row r="51" spans="2:13" x14ac:dyDescent="0.2">
      <c r="B51" s="797" t="str">
        <f>IF(C51,"Slide "&amp;RIGHT(B46,LEN(B46)-FIND(" ",B46))+1,B46)</f>
        <v>Slide 9</v>
      </c>
      <c r="C51" s="797" t="b">
        <f>AND($K$1,NOT(G52=""))</f>
        <v>0</v>
      </c>
      <c r="D51" s="798" t="s">
        <v>447</v>
      </c>
      <c r="E51" s="797" t="s">
        <v>1294</v>
      </c>
      <c r="F51" s="1009" t="str">
        <f>IF($H$1, "SlideTitle","")</f>
        <v>SlideTitle</v>
      </c>
      <c r="G51" s="797" t="str">
        <f>IF($H$1,Input!$C$9,"")</f>
        <v>Walmart Inc.</v>
      </c>
      <c r="H51" s="799"/>
      <c r="I51" s="799"/>
      <c r="J51" s="799"/>
      <c r="K51" s="799"/>
      <c r="L51" s="815"/>
      <c r="M51" s="790"/>
    </row>
    <row r="52" spans="2:13" x14ac:dyDescent="0.2">
      <c r="B52" s="788"/>
      <c r="C52" s="788"/>
      <c r="D52" s="788"/>
      <c r="E52" s="788"/>
      <c r="F52" s="1010" t="str">
        <f>IF($H$1, "RoadMap", "SlideTitle")</f>
        <v>RoadMap</v>
      </c>
      <c r="G52" s="788" t="str">
        <f>IF(COUNTIF($E$4:E52,E51)-1&lt;=$E$1,IF($H$1,"Key Professionals", "Key Professionals (" &amp; COUNTIF($E$4:E52,E51)-1 &amp; "/" &amp; $E$1 &amp; ")"),"")</f>
        <v/>
      </c>
      <c r="L52" s="815"/>
      <c r="M52" s="790"/>
    </row>
    <row r="53" spans="2:13" x14ac:dyDescent="0.2">
      <c r="B53" s="788"/>
      <c r="C53" s="788"/>
      <c r="D53" s="788"/>
      <c r="E53" s="788"/>
      <c r="F53" s="1011" t="s">
        <v>448</v>
      </c>
      <c r="G53" s="788" t="str">
        <f>IF(G52="","",ADDRESS(ROW(Key_Professional)+MATCH(COUNTIF($E$4:E53,E51)-1,Professionals!$N$19:$N$68,0),COLUMN(Key_Professional)) &amp;":" &amp; ADDRESS(ROW(Key_Professional)+MATCH(COUNTIF($E$4:E53,E51)-1,Professionals!$N$19:$N$68,0)+COUNTIF(Professionals!$N$19:$N$68,COUNTIF($E$4:E53,E51)-1)-1,COLUMN(Key_Professional)+1))</f>
        <v/>
      </c>
      <c r="H53" s="814">
        <v>0.58299999999999996</v>
      </c>
      <c r="I53" s="814">
        <f>IF($H$1,1.665,1.29)</f>
        <v>1.665</v>
      </c>
      <c r="J53" s="803"/>
      <c r="K53" s="803"/>
      <c r="L53" s="815" t="b">
        <f>$L$12</f>
        <v>1</v>
      </c>
      <c r="M53" s="790"/>
    </row>
    <row r="54" spans="2:13" x14ac:dyDescent="0.2">
      <c r="B54" s="788"/>
      <c r="C54" s="788"/>
      <c r="D54" s="788"/>
      <c r="E54" s="788"/>
      <c r="F54" s="1011" t="s">
        <v>449</v>
      </c>
      <c r="G54" s="788" t="s">
        <v>1257</v>
      </c>
      <c r="H54" s="801"/>
      <c r="I54" s="801"/>
      <c r="J54" s="801"/>
      <c r="K54" s="801"/>
      <c r="L54" s="815"/>
      <c r="M54" s="786"/>
    </row>
    <row r="55" spans="2:13" x14ac:dyDescent="0.2">
      <c r="B55" s="788"/>
      <c r="C55" s="788"/>
      <c r="D55" s="788"/>
      <c r="E55" s="788"/>
      <c r="F55" s="1011"/>
      <c r="G55" s="788"/>
      <c r="H55" s="805"/>
      <c r="I55" s="805"/>
      <c r="J55" s="805"/>
      <c r="K55" s="805"/>
      <c r="L55" s="815"/>
      <c r="M55" s="790"/>
    </row>
    <row r="56" spans="2:13" x14ac:dyDescent="0.2">
      <c r="B56" s="797" t="str">
        <f>IF(C56,"Slide "&amp;RIGHT(B51,LEN(B51)-FIND(" ",B51))+1,B51)</f>
        <v>Slide 9</v>
      </c>
      <c r="C56" s="797" t="b">
        <f>AND($K$1,NOT(G57=""))</f>
        <v>0</v>
      </c>
      <c r="D56" s="798" t="s">
        <v>447</v>
      </c>
      <c r="E56" s="797" t="s">
        <v>1294</v>
      </c>
      <c r="F56" s="1009" t="str">
        <f>IF($H$1, "SlideTitle","")</f>
        <v>SlideTitle</v>
      </c>
      <c r="G56" s="797" t="str">
        <f>IF($H$1,Input!$C$9,"")</f>
        <v>Walmart Inc.</v>
      </c>
      <c r="H56" s="799"/>
      <c r="I56" s="799"/>
      <c r="J56" s="799"/>
      <c r="K56" s="799"/>
      <c r="L56" s="815"/>
      <c r="M56" s="790"/>
    </row>
    <row r="57" spans="2:13" x14ac:dyDescent="0.2">
      <c r="B57" s="788"/>
      <c r="C57" s="788"/>
      <c r="D57" s="788"/>
      <c r="E57" s="788"/>
      <c r="F57" s="1010" t="str">
        <f>IF($H$1, "RoadMap", "SlideTitle")</f>
        <v>RoadMap</v>
      </c>
      <c r="G57" s="788" t="str">
        <f>IF(COUNTIF($E$4:E57,E56)-1&lt;=$E$1,IF($H$1,"Key Professionals", "Key Professionals (" &amp; COUNTIF($E$4:E57,E56)-1 &amp; "/" &amp; $E$1 &amp; ")"),"")</f>
        <v/>
      </c>
      <c r="L57" s="815"/>
      <c r="M57" s="790"/>
    </row>
    <row r="58" spans="2:13" x14ac:dyDescent="0.2">
      <c r="B58" s="788"/>
      <c r="C58" s="788"/>
      <c r="D58" s="788"/>
      <c r="E58" s="788"/>
      <c r="F58" s="1011" t="s">
        <v>448</v>
      </c>
      <c r="G58" s="788" t="str">
        <f>IF(G57="","",ADDRESS(ROW(Key_Professional)+MATCH(COUNTIF($E$4:E58,E56)-1,Professionals!$N$19:$N$68,0),COLUMN(Key_Professional)) &amp;":" &amp; ADDRESS(ROW(Key_Professional)+MATCH(COUNTIF($E$4:E58,E56)-1,Professionals!$N$19:$N$68,0)+COUNTIF(Professionals!$N$19:$N$68,COUNTIF($E$4:E58,E56)-1)-1,COLUMN(Key_Professional)+1))</f>
        <v/>
      </c>
      <c r="H58" s="814">
        <v>0.58299999999999996</v>
      </c>
      <c r="I58" s="814">
        <f>IF($H$1,1.665,1.29)</f>
        <v>1.665</v>
      </c>
      <c r="J58" s="803"/>
      <c r="K58" s="803"/>
      <c r="L58" s="815" t="b">
        <f>$L$12</f>
        <v>1</v>
      </c>
      <c r="M58" s="790"/>
    </row>
    <row r="59" spans="2:13" x14ac:dyDescent="0.2">
      <c r="B59" s="788"/>
      <c r="C59" s="788"/>
      <c r="D59" s="788"/>
      <c r="E59" s="788"/>
      <c r="F59" s="1011" t="s">
        <v>449</v>
      </c>
      <c r="G59" s="788" t="s">
        <v>1257</v>
      </c>
      <c r="H59" s="801"/>
      <c r="I59" s="801"/>
      <c r="J59" s="801"/>
      <c r="K59" s="801"/>
      <c r="L59" s="815"/>
      <c r="M59" s="786"/>
    </row>
    <row r="60" spans="2:13" x14ac:dyDescent="0.2">
      <c r="B60" s="788"/>
      <c r="C60" s="788"/>
      <c r="D60" s="788"/>
      <c r="E60" s="788"/>
      <c r="F60" s="1011"/>
      <c r="G60" s="788"/>
      <c r="H60" s="801"/>
      <c r="I60" s="801"/>
      <c r="J60" s="801"/>
      <c r="K60" s="801"/>
      <c r="L60" s="815"/>
      <c r="M60" s="786"/>
    </row>
    <row r="61" spans="2:13" x14ac:dyDescent="0.2">
      <c r="B61" s="797" t="str">
        <f>IF(C61,"Slide "&amp;RIGHT(B56,LEN(B56)-FIND(" ",B56))+1,B56)</f>
        <v>Slide 9</v>
      </c>
      <c r="C61" s="797" t="b">
        <f>AND($K$1,NOT(G62=""))</f>
        <v>0</v>
      </c>
      <c r="D61" s="798" t="s">
        <v>447</v>
      </c>
      <c r="E61" s="797" t="s">
        <v>1294</v>
      </c>
      <c r="F61" s="1009" t="str">
        <f>IF($H$1, "SlideTitle","")</f>
        <v>SlideTitle</v>
      </c>
      <c r="G61" s="797" t="str">
        <f>IF($H$1,Input!$C$9,"")</f>
        <v>Walmart Inc.</v>
      </c>
      <c r="H61" s="799"/>
      <c r="I61" s="799"/>
      <c r="J61" s="799"/>
      <c r="K61" s="799"/>
      <c r="L61" s="815"/>
      <c r="M61" s="790"/>
    </row>
    <row r="62" spans="2:13" x14ac:dyDescent="0.2">
      <c r="B62" s="788"/>
      <c r="C62" s="788"/>
      <c r="D62" s="788"/>
      <c r="E62" s="788"/>
      <c r="F62" s="1010" t="str">
        <f>IF($H$1, "RoadMap", "SlideTitle")</f>
        <v>RoadMap</v>
      </c>
      <c r="G62" s="788" t="str">
        <f>IF(COUNTIF($E$4:E62,E61)-1&lt;=$E$1,IF($H$1,"Key Professionals", "Key Professionals (" &amp; COUNTIF($E$4:E62,E61)-1 &amp; "/" &amp; $E$1 &amp; ")"),"")</f>
        <v/>
      </c>
      <c r="L62" s="815"/>
      <c r="M62" s="790"/>
    </row>
    <row r="63" spans="2:13" x14ac:dyDescent="0.2">
      <c r="B63" s="788"/>
      <c r="C63" s="788"/>
      <c r="D63" s="788"/>
      <c r="E63" s="788"/>
      <c r="F63" s="1011" t="s">
        <v>448</v>
      </c>
      <c r="G63" s="788" t="str">
        <f>IF(G62="","",ADDRESS(ROW(Key_Professional)+MATCH(COUNTIF($E$4:E63,E61)-1,Professionals!$N$19:$N$68,0),COLUMN(Key_Professional)) &amp;":" &amp; ADDRESS(ROW(Key_Professional)+MATCH(COUNTIF($E$4:E63,E61)-1,Professionals!$N$19:$N$68,0)+COUNTIF(Professionals!$N$19:$N$68,COUNTIF($E$4:E63,E61)-1)-1,COLUMN(Key_Professional)+1))</f>
        <v/>
      </c>
      <c r="H63" s="814">
        <v>0.58299999999999996</v>
      </c>
      <c r="I63" s="814">
        <f>IF($H$1,1.665,1.29)</f>
        <v>1.665</v>
      </c>
      <c r="J63" s="803"/>
      <c r="K63" s="803"/>
      <c r="L63" s="815" t="b">
        <f>$L$12</f>
        <v>1</v>
      </c>
      <c r="M63" s="790"/>
    </row>
    <row r="64" spans="2:13" x14ac:dyDescent="0.2">
      <c r="B64" s="788"/>
      <c r="C64" s="788"/>
      <c r="D64" s="788"/>
      <c r="E64" s="788"/>
      <c r="F64" s="1011" t="s">
        <v>449</v>
      </c>
      <c r="G64" s="788" t="s">
        <v>1257</v>
      </c>
      <c r="H64" s="801"/>
      <c r="I64" s="801"/>
      <c r="J64" s="801"/>
      <c r="K64" s="801"/>
      <c r="L64" s="815"/>
      <c r="M64" s="786"/>
    </row>
    <row r="65" spans="2:13" x14ac:dyDescent="0.2">
      <c r="B65" s="788"/>
      <c r="C65" s="788"/>
      <c r="D65" s="788"/>
      <c r="E65" s="788"/>
      <c r="F65" s="1011"/>
      <c r="G65" s="788"/>
      <c r="H65" s="805"/>
      <c r="I65" s="805"/>
      <c r="J65" s="805"/>
      <c r="K65" s="805"/>
      <c r="L65" s="815"/>
      <c r="M65" s="790"/>
    </row>
    <row r="66" spans="2:13" x14ac:dyDescent="0.2">
      <c r="B66" s="797" t="str">
        <f>IF(C66,"Slide "&amp;RIGHT(B61,LEN(B61)-FIND(" ",B61))+1,B61)</f>
        <v>Slide 9</v>
      </c>
      <c r="C66" s="797" t="b">
        <f>AND($K$1,NOT(G67=""))</f>
        <v>0</v>
      </c>
      <c r="D66" s="798" t="s">
        <v>447</v>
      </c>
      <c r="E66" s="797" t="s">
        <v>1294</v>
      </c>
      <c r="F66" s="1009" t="str">
        <f>IF($H$1, "SlideTitle","")</f>
        <v>SlideTitle</v>
      </c>
      <c r="G66" s="797" t="str">
        <f>IF($H$1,Input!$C$9,"")</f>
        <v>Walmart Inc.</v>
      </c>
      <c r="H66" s="799"/>
      <c r="I66" s="799"/>
      <c r="J66" s="799"/>
      <c r="K66" s="799"/>
      <c r="L66" s="815"/>
      <c r="M66" s="790"/>
    </row>
    <row r="67" spans="2:13" x14ac:dyDescent="0.2">
      <c r="B67" s="788"/>
      <c r="C67" s="788"/>
      <c r="D67" s="788"/>
      <c r="E67" s="788"/>
      <c r="F67" s="1010" t="str">
        <f>IF($H$1, "RoadMap", "SlideTitle")</f>
        <v>RoadMap</v>
      </c>
      <c r="G67" s="788" t="str">
        <f>IF(COUNTIF($E$4:E67,E66)-1&lt;=$E$1,IF($H$1,"Key Professionals", "Key Professionals (" &amp; COUNTIF($E$4:E67,E66)-1 &amp; "/" &amp; $E$1 &amp; ")"),"")</f>
        <v/>
      </c>
      <c r="L67" s="815"/>
      <c r="M67" s="790"/>
    </row>
    <row r="68" spans="2:13" x14ac:dyDescent="0.2">
      <c r="B68" s="788"/>
      <c r="C68" s="788"/>
      <c r="D68" s="788"/>
      <c r="E68" s="788"/>
      <c r="F68" s="1011" t="s">
        <v>448</v>
      </c>
      <c r="G68" s="788" t="str">
        <f>IF(G67="","",ADDRESS(ROW(Key_Professional)+MATCH(COUNTIF($E$4:E68,E66)-1,Professionals!$N$19:$N$68,0),COLUMN(Key_Professional)) &amp;":" &amp; ADDRESS(ROW(Key_Professional)+MATCH(COUNTIF($E$4:E68,E66)-1,Professionals!$N$19:$N$68,0)+COUNTIF(Professionals!$N$19:$N$68,COUNTIF($E$4:E68,E66)-1)-1,COLUMN(Key_Professional)+1))</f>
        <v/>
      </c>
      <c r="H68" s="814">
        <v>0.58299999999999996</v>
      </c>
      <c r="I68" s="814">
        <f>IF($H$1,1.665,1.29)</f>
        <v>1.665</v>
      </c>
      <c r="J68" s="803"/>
      <c r="K68" s="803"/>
      <c r="L68" s="815" t="b">
        <f>$L$12</f>
        <v>1</v>
      </c>
      <c r="M68" s="790"/>
    </row>
    <row r="69" spans="2:13" x14ac:dyDescent="0.2">
      <c r="B69" s="788"/>
      <c r="C69" s="788"/>
      <c r="D69" s="788"/>
      <c r="E69" s="788"/>
      <c r="F69" s="1011" t="s">
        <v>449</v>
      </c>
      <c r="G69" s="788" t="s">
        <v>1257</v>
      </c>
      <c r="H69" s="801"/>
      <c r="I69" s="801"/>
      <c r="J69" s="801"/>
      <c r="K69" s="801"/>
      <c r="L69" s="815"/>
      <c r="M69" s="786"/>
    </row>
    <row r="70" spans="2:13" x14ac:dyDescent="0.2">
      <c r="B70" s="788"/>
      <c r="C70" s="788"/>
      <c r="D70" s="788"/>
      <c r="E70" s="788"/>
      <c r="F70" s="1011"/>
      <c r="G70" s="788"/>
      <c r="H70" s="805"/>
      <c r="I70" s="805"/>
      <c r="J70" s="805"/>
      <c r="K70" s="805"/>
      <c r="L70" s="815"/>
      <c r="M70" s="790"/>
    </row>
    <row r="71" spans="2:13" x14ac:dyDescent="0.2">
      <c r="B71" s="797" t="str">
        <f>IF(C71,"Slide "&amp;RIGHT(B66,LEN(B66)-FIND(" ",B66))+1,B66)</f>
        <v>Slide 10</v>
      </c>
      <c r="C71" s="797" t="b">
        <f>AND($K$1,NOT(G72=""))</f>
        <v>1</v>
      </c>
      <c r="D71" s="798" t="s">
        <v>447</v>
      </c>
      <c r="E71" s="797" t="s">
        <v>1294</v>
      </c>
      <c r="F71" s="1009" t="str">
        <f>IF($H$1, "SlideTitle","")</f>
        <v>SlideTitle</v>
      </c>
      <c r="G71" s="797" t="str">
        <f>IF($H$1,Input!$C$9,"")</f>
        <v>Walmart Inc.</v>
      </c>
      <c r="H71" s="799"/>
      <c r="I71" s="799"/>
      <c r="J71" s="799"/>
      <c r="K71" s="799"/>
      <c r="L71" s="815"/>
      <c r="M71" s="790"/>
    </row>
    <row r="72" spans="2:13" x14ac:dyDescent="0.2">
      <c r="B72" s="788"/>
      <c r="C72" s="788"/>
      <c r="D72" s="788"/>
      <c r="E72" s="788"/>
      <c r="F72" s="1010" t="str">
        <f>IF($H$1, "RoadMap", "SlideTitle")</f>
        <v>RoadMap</v>
      </c>
      <c r="G72" s="788" t="str">
        <f>IF(COUNTIF($E$4:E72,E71)-11&lt;=$E$2,IF($H$1,"Key Board Members", "Key Board Members (" &amp; COUNTIF($E$4:E72,E71)-11 &amp; "/" &amp; $E$2 &amp; ")"),"")</f>
        <v>Key Board Members</v>
      </c>
      <c r="L72" s="815"/>
      <c r="M72" s="790"/>
    </row>
    <row r="73" spans="2:13" x14ac:dyDescent="0.2">
      <c r="B73" s="788"/>
      <c r="C73" s="788"/>
      <c r="D73" s="788"/>
      <c r="E73" s="788"/>
      <c r="F73" s="1011" t="s">
        <v>448</v>
      </c>
      <c r="G73" s="788" t="str">
        <f>IF(G72="","",ADDRESS(ROW(Board_Members)+MATCH(COUNTIF($E$4:E73,E71)-11,Professionals!$N$84:$N$133,0),COLUMN(Board_Members)) &amp;":" &amp; ADDRESS(ROW(Board_Members)+MATCH(COUNTIF($E$4:E73,E71)-11,Professionals!$N$84:$N$133,0)+COUNTIF(Professionals!$N$84:$N$133,COUNTIF($E$4:E73,E71)-11)-1,COLUMN(Board_Members)+1))</f>
        <v>$B$84:$C$88</v>
      </c>
      <c r="H73" s="814">
        <v>0.58299999999999996</v>
      </c>
      <c r="I73" s="814">
        <f>IF($H$1,1.665,1.29)</f>
        <v>1.665</v>
      </c>
      <c r="J73" s="803"/>
      <c r="K73" s="803"/>
      <c r="L73" s="815" t="b">
        <f>$L$12</f>
        <v>1</v>
      </c>
      <c r="M73" s="790"/>
    </row>
    <row r="74" spans="2:13" x14ac:dyDescent="0.2">
      <c r="B74" s="788"/>
      <c r="C74" s="788"/>
      <c r="D74" s="788"/>
      <c r="E74" s="788"/>
      <c r="F74" s="1011" t="s">
        <v>449</v>
      </c>
      <c r="G74" s="788" t="s">
        <v>1257</v>
      </c>
      <c r="H74" s="801"/>
      <c r="I74" s="801"/>
      <c r="J74" s="801"/>
      <c r="K74" s="801"/>
      <c r="L74" s="815"/>
      <c r="M74" s="786"/>
    </row>
    <row r="75" spans="2:13" x14ac:dyDescent="0.2">
      <c r="B75" s="788"/>
      <c r="C75" s="788"/>
      <c r="D75" s="788"/>
      <c r="E75" s="788"/>
      <c r="F75" s="1011"/>
      <c r="G75" s="788"/>
      <c r="H75" s="805"/>
      <c r="I75" s="805"/>
      <c r="J75" s="805"/>
      <c r="K75" s="805"/>
      <c r="L75" s="815"/>
      <c r="M75" s="790"/>
    </row>
    <row r="76" spans="2:13" x14ac:dyDescent="0.2">
      <c r="B76" s="797" t="str">
        <f>IF(C76,"Slide "&amp;RIGHT(B71,LEN(B71)-FIND(" ",B71))+1,B71)</f>
        <v>Slide 11</v>
      </c>
      <c r="C76" s="797" t="b">
        <f>AND($K$1,NOT(G77=""))</f>
        <v>1</v>
      </c>
      <c r="D76" s="798" t="s">
        <v>447</v>
      </c>
      <c r="E76" s="797" t="s">
        <v>1294</v>
      </c>
      <c r="F76" s="1009" t="str">
        <f>IF($H$1, "SlideTitle","")</f>
        <v>SlideTitle</v>
      </c>
      <c r="G76" s="797" t="str">
        <f>IF($H$1,Input!$C$9,"")</f>
        <v>Walmart Inc.</v>
      </c>
      <c r="H76" s="799"/>
      <c r="I76" s="799"/>
      <c r="J76" s="799"/>
      <c r="K76" s="799"/>
      <c r="L76" s="815"/>
      <c r="M76" s="790"/>
    </row>
    <row r="77" spans="2:13" x14ac:dyDescent="0.2">
      <c r="B77" s="788"/>
      <c r="C77" s="788"/>
      <c r="D77" s="788"/>
      <c r="E77" s="788"/>
      <c r="F77" s="1010" t="str">
        <f>IF($H$1, "RoadMap", "SlideTitle")</f>
        <v>RoadMap</v>
      </c>
      <c r="G77" s="788" t="str">
        <f>IF(COUNTIF($E$4:E77,E76)-11&lt;=$E$2,IF($H$1,"Key Board Members", "Key Board Members (" &amp; COUNTIF($E$4:E77,E76)-11 &amp; "/" &amp; $E$2 &amp; ")"),"")</f>
        <v>Key Board Members</v>
      </c>
      <c r="L77" s="815"/>
      <c r="M77" s="790"/>
    </row>
    <row r="78" spans="2:13" x14ac:dyDescent="0.2">
      <c r="B78" s="788"/>
      <c r="C78" s="788"/>
      <c r="D78" s="788"/>
      <c r="E78" s="788"/>
      <c r="F78" s="1011" t="s">
        <v>448</v>
      </c>
      <c r="G78" s="788" t="str">
        <f>IF(G77="","",ADDRESS(ROW(Board_Members)+MATCH(COUNTIF($E$4:E78,E76)-11,Professionals!$N$84:$N$133,0),COLUMN(Board_Members)) &amp;":" &amp; ADDRESS(ROW(Board_Members)+MATCH(COUNTIF($E$4:E78,E76)-11,Professionals!$N$84:$N$133,0)+COUNTIF(Professionals!$N$84:$N$133,COUNTIF($E$4:E78,E76)-11)-1,COLUMN(Board_Members)+1))</f>
        <v>$B$89:$C$93</v>
      </c>
      <c r="H78" s="814">
        <v>0.58299999999999996</v>
      </c>
      <c r="I78" s="814">
        <f>IF($H$1,1.665,1.29)</f>
        <v>1.665</v>
      </c>
      <c r="J78" s="803"/>
      <c r="K78" s="803"/>
      <c r="L78" s="815" t="b">
        <f>$L$12</f>
        <v>1</v>
      </c>
      <c r="M78" s="790"/>
    </row>
    <row r="79" spans="2:13" x14ac:dyDescent="0.2">
      <c r="B79" s="788"/>
      <c r="C79" s="788"/>
      <c r="D79" s="788"/>
      <c r="E79" s="788"/>
      <c r="F79" s="1011" t="s">
        <v>449</v>
      </c>
      <c r="G79" s="788" t="s">
        <v>1257</v>
      </c>
      <c r="H79" s="801"/>
      <c r="I79" s="801"/>
      <c r="J79" s="801"/>
      <c r="K79" s="801"/>
      <c r="L79" s="815"/>
      <c r="M79" s="786"/>
    </row>
    <row r="80" spans="2:13" x14ac:dyDescent="0.2">
      <c r="B80" s="797" t="str">
        <f>IF(C80,"Slide "&amp;RIGHT(B76,LEN(B76)-FIND(" ",B76))+1,B76)</f>
        <v>Slide 12</v>
      </c>
      <c r="C80" s="797" t="b">
        <f>AND($K$1,NOT(G81=""))</f>
        <v>1</v>
      </c>
      <c r="D80" s="798" t="s">
        <v>447</v>
      </c>
      <c r="E80" s="797" t="s">
        <v>1294</v>
      </c>
      <c r="F80" s="1009" t="str">
        <f>IF($H$1, "SlideTitle","")</f>
        <v>SlideTitle</v>
      </c>
      <c r="G80" s="797" t="str">
        <f>IF($H$1,Input!$C$9,"")</f>
        <v>Walmart Inc.</v>
      </c>
      <c r="H80" s="799"/>
      <c r="I80" s="799"/>
      <c r="J80" s="799"/>
      <c r="K80" s="799"/>
      <c r="L80" s="815"/>
      <c r="M80" s="790"/>
    </row>
    <row r="81" spans="2:13" x14ac:dyDescent="0.2">
      <c r="B81" s="788"/>
      <c r="C81" s="788"/>
      <c r="D81" s="788"/>
      <c r="E81" s="788"/>
      <c r="F81" s="1010" t="str">
        <f>IF($H$1, "RoadMap", "SlideTitle")</f>
        <v>RoadMap</v>
      </c>
      <c r="G81" s="788" t="str">
        <f>IF(COUNTIF($E$4:E81,E80)-11&lt;=$E$2,IF($H$1,"Key Board Members", "Key Board Members (" &amp; COUNTIF($E$4:E81,E80)-11 &amp; "/" &amp; $E$2 &amp; ")"),"")</f>
        <v>Key Board Members</v>
      </c>
      <c r="L81" s="815"/>
      <c r="M81" s="790"/>
    </row>
    <row r="82" spans="2:13" x14ac:dyDescent="0.2">
      <c r="B82" s="788"/>
      <c r="C82" s="788"/>
      <c r="D82" s="788"/>
      <c r="E82" s="788"/>
      <c r="F82" s="1011" t="s">
        <v>448</v>
      </c>
      <c r="G82" s="788" t="str">
        <f>IF(G81="","",ADDRESS(ROW(Board_Members)+MATCH(COUNTIF($E$4:E82,E80)-11,Professionals!$N$84:$N$133,0),COLUMN(Board_Members)) &amp;":" &amp; ADDRESS(ROW(Board_Members)+MATCH(COUNTIF($E$4:E82,E80)-11,Professionals!$N$84:$N$133,0)+COUNTIF(Professionals!$N$84:$N$133,COUNTIF($E$4:E82,E80)-11)-1,COLUMN(Board_Members)+1))</f>
        <v>$B$94:$C$103</v>
      </c>
      <c r="H82" s="814">
        <v>0.58299999999999996</v>
      </c>
      <c r="I82" s="814">
        <f>IF($H$1,1.665,1.29)</f>
        <v>1.665</v>
      </c>
      <c r="J82" s="803"/>
      <c r="K82" s="803"/>
      <c r="L82" s="815" t="b">
        <f>$L$12</f>
        <v>1</v>
      </c>
      <c r="M82" s="790"/>
    </row>
    <row r="83" spans="2:13" x14ac:dyDescent="0.2">
      <c r="B83" s="788"/>
      <c r="C83" s="788"/>
      <c r="D83" s="788"/>
      <c r="E83" s="788"/>
      <c r="F83" s="1011" t="s">
        <v>449</v>
      </c>
      <c r="G83" s="788" t="s">
        <v>1257</v>
      </c>
      <c r="H83" s="801"/>
      <c r="I83" s="801"/>
      <c r="J83" s="801"/>
      <c r="K83" s="801"/>
      <c r="L83" s="815"/>
      <c r="M83" s="786"/>
    </row>
    <row r="84" spans="2:13" x14ac:dyDescent="0.2">
      <c r="B84" s="788"/>
      <c r="C84" s="788"/>
      <c r="D84" s="788"/>
      <c r="E84" s="788"/>
      <c r="F84" s="1011"/>
      <c r="G84" s="788"/>
      <c r="H84" s="805"/>
      <c r="I84" s="805"/>
      <c r="J84" s="805"/>
      <c r="K84" s="805"/>
      <c r="L84" s="815"/>
      <c r="M84" s="790"/>
    </row>
    <row r="85" spans="2:13" x14ac:dyDescent="0.2">
      <c r="B85" s="797" t="str">
        <f>IF(C85,"Slide "&amp;RIGHT(B80,LEN(B80)-FIND(" ",B80))+1,B80)</f>
        <v>Slide 13</v>
      </c>
      <c r="C85" s="797" t="b">
        <f>AND($K$1,NOT(G86=""))</f>
        <v>1</v>
      </c>
      <c r="D85" s="798" t="s">
        <v>447</v>
      </c>
      <c r="E85" s="797" t="s">
        <v>1294</v>
      </c>
      <c r="F85" s="1009" t="str">
        <f>IF($H$1, "SlideTitle","")</f>
        <v>SlideTitle</v>
      </c>
      <c r="G85" s="797" t="str">
        <f>IF($H$1,Input!$C$9,"")</f>
        <v>Walmart Inc.</v>
      </c>
      <c r="H85" s="799"/>
      <c r="I85" s="799"/>
      <c r="J85" s="799"/>
      <c r="K85" s="799"/>
      <c r="L85" s="815"/>
      <c r="M85" s="790"/>
    </row>
    <row r="86" spans="2:13" x14ac:dyDescent="0.2">
      <c r="B86" s="788"/>
      <c r="C86" s="788"/>
      <c r="D86" s="788"/>
      <c r="E86" s="788"/>
      <c r="F86" s="1010" t="str">
        <f>IF($H$1, "RoadMap", "SlideTitle")</f>
        <v>RoadMap</v>
      </c>
      <c r="G86" s="788" t="str">
        <f>IF(COUNTIF($E$4:E86,E85)-11&lt;=$E$2,IF($H$1,"Key Board Members", "Key Board Members (" &amp; COUNTIF($E$4:E86,E85)-11 &amp; "/" &amp; $E$2 &amp; ")"),"")</f>
        <v>Key Board Members</v>
      </c>
      <c r="L86" s="815"/>
      <c r="M86" s="790"/>
    </row>
    <row r="87" spans="2:13" x14ac:dyDescent="0.2">
      <c r="B87" s="788"/>
      <c r="C87" s="788"/>
      <c r="D87" s="788"/>
      <c r="E87" s="788"/>
      <c r="F87" s="1011" t="s">
        <v>448</v>
      </c>
      <c r="G87" s="788" t="str">
        <f>IF(G86="","",ADDRESS(ROW(Board_Members)+MATCH(COUNTIF($E$4:E87,E85)-11,Professionals!$N$84:$N$133,0),COLUMN(Board_Members)) &amp;":" &amp; ADDRESS(ROW(Board_Members)+MATCH(COUNTIF($E$4:E87,E85)-11,Professionals!$N$84:$N$133,0)+COUNTIF(Professionals!$N$84:$N$133,COUNTIF($E$4:E87,E85)-11)-1,COLUMN(Board_Members)+1))</f>
        <v>$B$104:$C$108</v>
      </c>
      <c r="H87" s="814">
        <v>0.58299999999999996</v>
      </c>
      <c r="I87" s="814">
        <f>IF($H$1,1.665,1.29)</f>
        <v>1.665</v>
      </c>
      <c r="J87" s="803"/>
      <c r="K87" s="803"/>
      <c r="L87" s="815" t="b">
        <f>$L$12</f>
        <v>1</v>
      </c>
      <c r="M87" s="790"/>
    </row>
    <row r="88" spans="2:13" x14ac:dyDescent="0.2">
      <c r="B88" s="788"/>
      <c r="C88" s="788"/>
      <c r="D88" s="788"/>
      <c r="E88" s="788"/>
      <c r="F88" s="1011" t="s">
        <v>449</v>
      </c>
      <c r="G88" s="788" t="s">
        <v>1257</v>
      </c>
      <c r="H88" s="801"/>
      <c r="I88" s="801"/>
      <c r="J88" s="801"/>
      <c r="K88" s="801"/>
      <c r="L88" s="815"/>
      <c r="M88" s="786"/>
    </row>
    <row r="89" spans="2:13" x14ac:dyDescent="0.2">
      <c r="B89" s="788"/>
      <c r="C89" s="788"/>
      <c r="D89" s="788"/>
      <c r="E89" s="788"/>
      <c r="F89" s="1011"/>
      <c r="G89" s="788"/>
      <c r="H89" s="805"/>
      <c r="I89" s="805"/>
      <c r="J89" s="805"/>
      <c r="K89" s="805"/>
      <c r="L89" s="815"/>
      <c r="M89" s="790"/>
    </row>
    <row r="90" spans="2:13" x14ac:dyDescent="0.2">
      <c r="B90" s="797" t="str">
        <f>IF(C90,"Slide "&amp;RIGHT(B85,LEN(B85)-FIND(" ",B85))+1,B85)</f>
        <v>Slide 14</v>
      </c>
      <c r="C90" s="797" t="b">
        <f>AND($K$1,NOT(G91=""))</f>
        <v>1</v>
      </c>
      <c r="D90" s="798" t="s">
        <v>447</v>
      </c>
      <c r="E90" s="797" t="s">
        <v>1294</v>
      </c>
      <c r="F90" s="1009" t="str">
        <f>IF($H$1, "SlideTitle","")</f>
        <v>SlideTitle</v>
      </c>
      <c r="G90" s="797" t="str">
        <f>IF($H$1,Input!$C$9,"")</f>
        <v>Walmart Inc.</v>
      </c>
      <c r="H90" s="799"/>
      <c r="I90" s="799"/>
      <c r="J90" s="799"/>
      <c r="K90" s="799"/>
      <c r="L90" s="815"/>
      <c r="M90" s="790"/>
    </row>
    <row r="91" spans="2:13" x14ac:dyDescent="0.2">
      <c r="B91" s="788"/>
      <c r="C91" s="788"/>
      <c r="D91" s="788"/>
      <c r="E91" s="788"/>
      <c r="F91" s="1010" t="str">
        <f>IF($H$1, "RoadMap", "SlideTitle")</f>
        <v>RoadMap</v>
      </c>
      <c r="G91" s="788" t="str">
        <f>IF(COUNTIF($E$4:E91,E90)-11&lt;=$E$2,IF($H$1,"Key Board Members", "Key Board Members (" &amp; COUNTIF($E$4:E91,E90)-11 &amp; "/" &amp; $E$2 &amp; ")"),"")</f>
        <v>Key Board Members</v>
      </c>
      <c r="L91" s="815"/>
      <c r="M91" s="790"/>
    </row>
    <row r="92" spans="2:13" x14ac:dyDescent="0.2">
      <c r="B92" s="788"/>
      <c r="C92" s="788"/>
      <c r="D92" s="788"/>
      <c r="E92" s="788"/>
      <c r="F92" s="1011" t="s">
        <v>448</v>
      </c>
      <c r="G92" s="788" t="str">
        <f>IF(G91="","",ADDRESS(ROW(Board_Members)+MATCH(COUNTIF($E$4:E92,E90)-11,Professionals!$N$84:$N$133,0),COLUMN(Board_Members)) &amp;":" &amp; ADDRESS(ROW(Board_Members)+MATCH(COUNTIF($E$4:E92,E90)-11,Professionals!$N$84:$N$133,0)+COUNTIF(Professionals!$N$84:$N$133,COUNTIF($E$4:E92,E90)-11)-1,COLUMN(Board_Members)+1))</f>
        <v>$B$109:$C$118</v>
      </c>
      <c r="H92" s="814">
        <v>0.58299999999999996</v>
      </c>
      <c r="I92" s="814">
        <f>IF($H$1,1.665,1.29)</f>
        <v>1.665</v>
      </c>
      <c r="J92" s="803"/>
      <c r="K92" s="803"/>
      <c r="L92" s="815" t="b">
        <f>$L$12</f>
        <v>1</v>
      </c>
      <c r="M92" s="790"/>
    </row>
    <row r="93" spans="2:13" x14ac:dyDescent="0.2">
      <c r="B93" s="788"/>
      <c r="C93" s="788"/>
      <c r="D93" s="788"/>
      <c r="E93" s="788"/>
      <c r="F93" s="1011" t="s">
        <v>449</v>
      </c>
      <c r="G93" s="788" t="s">
        <v>1257</v>
      </c>
      <c r="H93" s="801"/>
      <c r="I93" s="801"/>
      <c r="J93" s="801"/>
      <c r="K93" s="801"/>
      <c r="L93" s="815"/>
      <c r="M93" s="786"/>
    </row>
    <row r="94" spans="2:13" x14ac:dyDescent="0.2">
      <c r="B94" s="788"/>
      <c r="C94" s="788"/>
      <c r="D94" s="788"/>
      <c r="E94" s="788"/>
      <c r="F94" s="1011"/>
      <c r="G94" s="788"/>
      <c r="H94" s="805"/>
      <c r="I94" s="805"/>
      <c r="J94" s="805"/>
      <c r="K94" s="805"/>
      <c r="L94" s="815"/>
      <c r="M94" s="790"/>
    </row>
    <row r="95" spans="2:13" x14ac:dyDescent="0.2">
      <c r="B95" s="797" t="str">
        <f>IF(C95,"Slide "&amp;RIGHT(B90,LEN(B90)-FIND(" ",B90))+1,B90)</f>
        <v>Slide 15</v>
      </c>
      <c r="C95" s="797" t="b">
        <f>AND($K$1,NOT(G96=""))</f>
        <v>1</v>
      </c>
      <c r="D95" s="798" t="s">
        <v>447</v>
      </c>
      <c r="E95" s="797" t="s">
        <v>1294</v>
      </c>
      <c r="F95" s="1009" t="str">
        <f>IF($H$1, "SlideTitle","")</f>
        <v>SlideTitle</v>
      </c>
      <c r="G95" s="797" t="str">
        <f>IF($H$1,Input!$C$9,"")</f>
        <v>Walmart Inc.</v>
      </c>
      <c r="H95" s="799"/>
      <c r="I95" s="799"/>
      <c r="J95" s="799"/>
      <c r="K95" s="799"/>
      <c r="L95" s="815"/>
      <c r="M95" s="790"/>
    </row>
    <row r="96" spans="2:13" x14ac:dyDescent="0.2">
      <c r="B96" s="788"/>
      <c r="C96" s="788"/>
      <c r="D96" s="788"/>
      <c r="E96" s="788"/>
      <c r="F96" s="1010" t="str">
        <f>IF($H$1, "RoadMap", "SlideTitle")</f>
        <v>RoadMap</v>
      </c>
      <c r="G96" s="788" t="str">
        <f>IF(COUNTIF($E$4:E96,E95)-11&lt;=$E$2,IF($H$1,"Key Board Members", "Key Board Members (" &amp; COUNTIF($E$4:E96,E95)-11 &amp; "/" &amp; $E$2 &amp; ")"),"")</f>
        <v>Key Board Members</v>
      </c>
      <c r="L96" s="815"/>
      <c r="M96" s="790"/>
    </row>
    <row r="97" spans="2:13" x14ac:dyDescent="0.2">
      <c r="B97" s="788"/>
      <c r="C97" s="788"/>
      <c r="D97" s="788"/>
      <c r="E97" s="788"/>
      <c r="F97" s="1011" t="s">
        <v>448</v>
      </c>
      <c r="G97" s="788" t="str">
        <f>IF(G96="","",ADDRESS(ROW(Board_Members)+MATCH(COUNTIF($E$4:E97,E95)-11,Professionals!$N$84:$N$133,0),COLUMN(Board_Members)) &amp;":" &amp; ADDRESS(ROW(Board_Members)+MATCH(COUNTIF($E$4:E97,E95)-11,Professionals!$N$84:$N$133,0)+COUNTIF(Professionals!$N$84:$N$133,COUNTIF($E$4:E97,E95)-11)-1,COLUMN(Board_Members)+1))</f>
        <v>$B$119:$C$123</v>
      </c>
      <c r="H97" s="814">
        <v>0.58299999999999996</v>
      </c>
      <c r="I97" s="814">
        <f>IF($H$1,1.665,1.29)</f>
        <v>1.665</v>
      </c>
      <c r="J97" s="803"/>
      <c r="K97" s="803"/>
      <c r="L97" s="815" t="b">
        <f>$L$12</f>
        <v>1</v>
      </c>
      <c r="M97" s="790"/>
    </row>
    <row r="98" spans="2:13" x14ac:dyDescent="0.2">
      <c r="B98" s="788"/>
      <c r="C98" s="788"/>
      <c r="D98" s="788"/>
      <c r="E98" s="788"/>
      <c r="F98" s="1011" t="s">
        <v>449</v>
      </c>
      <c r="G98" s="788" t="s">
        <v>1257</v>
      </c>
      <c r="H98" s="801"/>
      <c r="I98" s="801"/>
      <c r="J98" s="801"/>
      <c r="K98" s="801"/>
      <c r="L98" s="815"/>
      <c r="M98" s="786"/>
    </row>
    <row r="99" spans="2:13" x14ac:dyDescent="0.2">
      <c r="B99" s="797" t="str">
        <f>IF(C99,"Slide "&amp;RIGHT(B95,LEN(B95)-FIND(" ",B95))+1,B95)</f>
        <v>Slide 16</v>
      </c>
      <c r="C99" s="797" t="b">
        <f>AND($K$1,NOT(G100=""))</f>
        <v>1</v>
      </c>
      <c r="D99" s="798" t="s">
        <v>447</v>
      </c>
      <c r="E99" s="797" t="s">
        <v>1294</v>
      </c>
      <c r="F99" s="1009" t="str">
        <f>IF($H$1, "SlideTitle","")</f>
        <v>SlideTitle</v>
      </c>
      <c r="G99" s="797" t="str">
        <f>IF($H$1,Input!$C$9,"")</f>
        <v>Walmart Inc.</v>
      </c>
      <c r="H99" s="799"/>
      <c r="I99" s="799"/>
      <c r="J99" s="799"/>
      <c r="K99" s="799"/>
      <c r="L99" s="815"/>
      <c r="M99" s="790"/>
    </row>
    <row r="100" spans="2:13" x14ac:dyDescent="0.2">
      <c r="B100" s="788"/>
      <c r="C100" s="788"/>
      <c r="D100" s="788"/>
      <c r="E100" s="788"/>
      <c r="F100" s="1010" t="str">
        <f>IF($H$1, "RoadMap", "SlideTitle")</f>
        <v>RoadMap</v>
      </c>
      <c r="G100" s="788" t="str">
        <f>IF(COUNTIF($E$4:E100,E99)-11&lt;=$E$2,IF($H$1,"Key Board Members", "Key Board Members (" &amp; COUNTIF($E$4:E100,E99)-11 &amp; "/" &amp; $E$2 &amp; ")"),"")</f>
        <v>Key Board Members</v>
      </c>
      <c r="L100" s="815"/>
      <c r="M100" s="790"/>
    </row>
    <row r="101" spans="2:13" x14ac:dyDescent="0.2">
      <c r="B101" s="788"/>
      <c r="C101" s="788"/>
      <c r="D101" s="788"/>
      <c r="E101" s="788"/>
      <c r="F101" s="1011" t="s">
        <v>448</v>
      </c>
      <c r="G101" s="788" t="str">
        <f>IF(G100="","",ADDRESS(ROW(Board_Members)+MATCH(COUNTIF($E$4:E101,E99)-11,Professionals!$N$84:$N$133,0),COLUMN(Board_Members)) &amp;":" &amp; ADDRESS(ROW(Board_Members)+MATCH(COUNTIF($E$4:E101,E99)-11,Professionals!$N$84:$N$133,0)+COUNTIF(Professionals!$N$84:$N$133,COUNTIF($E$4:E101,E99)-11)-1,COLUMN(Board_Members)+1))</f>
        <v>$B$124:$C$128</v>
      </c>
      <c r="H101" s="814">
        <v>0.58299999999999996</v>
      </c>
      <c r="I101" s="814">
        <f>IF($H$1,1.665,1.29)</f>
        <v>1.665</v>
      </c>
      <c r="J101" s="803"/>
      <c r="K101" s="803"/>
      <c r="L101" s="815" t="b">
        <f>$L$12</f>
        <v>1</v>
      </c>
      <c r="M101" s="790"/>
    </row>
    <row r="102" spans="2:13" x14ac:dyDescent="0.2">
      <c r="B102" s="788"/>
      <c r="C102" s="788"/>
      <c r="D102" s="788"/>
      <c r="E102" s="788"/>
      <c r="F102" s="1011" t="s">
        <v>449</v>
      </c>
      <c r="G102" s="788" t="s">
        <v>1257</v>
      </c>
      <c r="H102" s="801"/>
      <c r="I102" s="801"/>
      <c r="J102" s="801"/>
      <c r="K102" s="801"/>
      <c r="L102" s="815"/>
      <c r="M102" s="786"/>
    </row>
    <row r="103" spans="2:13" x14ac:dyDescent="0.2">
      <c r="B103" s="788"/>
      <c r="C103" s="788"/>
      <c r="D103" s="788"/>
      <c r="E103" s="788"/>
      <c r="F103" s="1011"/>
      <c r="G103" s="788"/>
      <c r="H103" s="805"/>
      <c r="I103" s="805"/>
      <c r="J103" s="805"/>
      <c r="K103" s="805"/>
      <c r="L103" s="815"/>
      <c r="M103" s="790"/>
    </row>
    <row r="104" spans="2:13" x14ac:dyDescent="0.2">
      <c r="B104" s="797" t="str">
        <f>IF(C104,"Slide "&amp;RIGHT(B99,LEN(B99)-FIND(" ",B99))+1,B99)</f>
        <v>Slide 17</v>
      </c>
      <c r="C104" s="797" t="b">
        <f>AND($K$1,NOT(G105=""))</f>
        <v>1</v>
      </c>
      <c r="D104" s="798" t="s">
        <v>447</v>
      </c>
      <c r="E104" s="797" t="s">
        <v>1294</v>
      </c>
      <c r="F104" s="1009" t="str">
        <f>IF($H$1, "SlideTitle","")</f>
        <v>SlideTitle</v>
      </c>
      <c r="G104" s="797" t="str">
        <f>IF($H$1,Input!$C$9,"")</f>
        <v>Walmart Inc.</v>
      </c>
      <c r="H104" s="799"/>
      <c r="I104" s="799"/>
      <c r="J104" s="799"/>
      <c r="K104" s="799"/>
      <c r="L104" s="815"/>
      <c r="M104" s="790"/>
    </row>
    <row r="105" spans="2:13" x14ac:dyDescent="0.2">
      <c r="B105" s="788"/>
      <c r="C105" s="788"/>
      <c r="D105" s="788"/>
      <c r="E105" s="788"/>
      <c r="F105" s="1010" t="str">
        <f>IF($H$1, "RoadMap", "SlideTitle")</f>
        <v>RoadMap</v>
      </c>
      <c r="G105" s="788" t="str">
        <f>IF(COUNTIF($E$4:E105,E104)-11&lt;=$E$2,IF($H$1,"Key Board Members", "Key Board Members (" &amp; COUNTIF($E$4:E105,E104)-11 &amp; "/" &amp; $E$2 &amp; ")"),"")</f>
        <v>Key Board Members</v>
      </c>
      <c r="L105" s="815"/>
      <c r="M105" s="790"/>
    </row>
    <row r="106" spans="2:13" x14ac:dyDescent="0.2">
      <c r="B106" s="788"/>
      <c r="C106" s="788"/>
      <c r="D106" s="788"/>
      <c r="E106" s="788"/>
      <c r="F106" s="1011" t="s">
        <v>448</v>
      </c>
      <c r="G106" s="788" t="str">
        <f>IF(G105="","",ADDRESS(ROW(Board_Members)+MATCH(COUNTIF($E$4:E106,E104)-11,Professionals!$N$84:$N$133,0),COLUMN(Board_Members)) &amp;":" &amp; ADDRESS(ROW(Board_Members)+MATCH(COUNTIF($E$4:E106,E104)-11,Professionals!$N$84:$N$133,0)+COUNTIF(Professionals!$N$84:$N$133,COUNTIF($E$4:E106,E104)-11)-1,COLUMN(Board_Members)+1))</f>
        <v>$B$129:$C$133</v>
      </c>
      <c r="H106" s="814">
        <v>0.58299999999999996</v>
      </c>
      <c r="I106" s="814">
        <f>IF($H$1,1.665,1.29)</f>
        <v>1.665</v>
      </c>
      <c r="J106" s="803"/>
      <c r="K106" s="803"/>
      <c r="L106" s="815" t="b">
        <f>$L$12</f>
        <v>1</v>
      </c>
      <c r="M106" s="790"/>
    </row>
    <row r="107" spans="2:13" x14ac:dyDescent="0.2">
      <c r="B107" s="788"/>
      <c r="C107" s="788"/>
      <c r="D107" s="788"/>
      <c r="E107" s="788"/>
      <c r="F107" s="1011" t="s">
        <v>449</v>
      </c>
      <c r="G107" s="788" t="s">
        <v>1257</v>
      </c>
      <c r="H107" s="801"/>
      <c r="I107" s="801"/>
      <c r="J107" s="801"/>
      <c r="K107" s="801"/>
      <c r="L107" s="815"/>
      <c r="M107" s="786"/>
    </row>
    <row r="108" spans="2:13" x14ac:dyDescent="0.2">
      <c r="B108" s="788"/>
      <c r="C108" s="788"/>
      <c r="D108" s="788"/>
      <c r="E108" s="788"/>
      <c r="F108" s="1011"/>
      <c r="G108" s="788"/>
      <c r="H108" s="805"/>
      <c r="I108" s="805"/>
      <c r="J108" s="805"/>
      <c r="K108" s="805"/>
      <c r="L108" s="815"/>
      <c r="M108" s="790"/>
    </row>
    <row r="109" spans="2:13" x14ac:dyDescent="0.2">
      <c r="B109" s="797" t="str">
        <f>IF(C109,"Slide "&amp;RIGHT(B104,LEN(B104)-FIND(" ",B104))+1,B104)</f>
        <v>Slide 17</v>
      </c>
      <c r="C109" s="797" t="b">
        <f>AND($K$1,NOT(G110=""))</f>
        <v>0</v>
      </c>
      <c r="D109" s="798" t="s">
        <v>447</v>
      </c>
      <c r="E109" s="797" t="s">
        <v>1294</v>
      </c>
      <c r="F109" s="1009" t="str">
        <f>IF($H$1, "SlideTitle","")</f>
        <v>SlideTitle</v>
      </c>
      <c r="G109" s="797" t="str">
        <f>IF($H$1,Input!$C$9,"")</f>
        <v>Walmart Inc.</v>
      </c>
      <c r="H109" s="799"/>
      <c r="I109" s="799"/>
      <c r="J109" s="799"/>
      <c r="K109" s="799"/>
      <c r="L109" s="815"/>
      <c r="M109" s="790"/>
    </row>
    <row r="110" spans="2:13" x14ac:dyDescent="0.2">
      <c r="B110" s="788"/>
      <c r="C110" s="788"/>
      <c r="D110" s="788"/>
      <c r="E110" s="788"/>
      <c r="F110" s="1010" t="str">
        <f>IF($H$1, "RoadMap", "SlideTitle")</f>
        <v>RoadMap</v>
      </c>
      <c r="G110" s="788" t="str">
        <f>IF(COUNTIF($E$4:E110,E109)-11&lt;=$E$2,IF($H$1,"Key Board Members", "Key Board Members (" &amp; COUNTIF($E$4:E110,E109)-11 &amp; "/" &amp; $E$2 &amp; ")"),"")</f>
        <v/>
      </c>
      <c r="L110" s="815"/>
      <c r="M110" s="790"/>
    </row>
    <row r="111" spans="2:13" x14ac:dyDescent="0.2">
      <c r="B111" s="788"/>
      <c r="C111" s="788"/>
      <c r="D111" s="788"/>
      <c r="E111" s="788"/>
      <c r="F111" s="1011" t="s">
        <v>448</v>
      </c>
      <c r="G111" s="788" t="str">
        <f>IF(G110="","",ADDRESS(ROW(Board_Members)+MATCH(COUNTIF($E$4:E111,E109)-11,Professionals!$N$84:$N$133,0),COLUMN(Board_Members)) &amp;":" &amp; ADDRESS(ROW(Board_Members)+MATCH(COUNTIF($E$4:E111,E109)-11,Professionals!$N$84:$N$133,0)+COUNTIF(Professionals!$N$84:$N$133,COUNTIF($E$4:E111,E109)-11)-1,COLUMN(Board_Members)+1))</f>
        <v/>
      </c>
      <c r="H111" s="814">
        <v>0.58299999999999996</v>
      </c>
      <c r="I111" s="814">
        <f>IF($H$1,1.665,1.29)</f>
        <v>1.665</v>
      </c>
      <c r="J111" s="803"/>
      <c r="K111" s="803"/>
      <c r="L111" s="815" t="b">
        <f>$L$12</f>
        <v>1</v>
      </c>
      <c r="M111" s="790"/>
    </row>
    <row r="112" spans="2:13" x14ac:dyDescent="0.2">
      <c r="B112" s="788"/>
      <c r="C112" s="788"/>
      <c r="D112" s="788"/>
      <c r="E112" s="788"/>
      <c r="F112" s="1011" t="s">
        <v>449</v>
      </c>
      <c r="G112" s="788" t="s">
        <v>1257</v>
      </c>
      <c r="H112" s="801"/>
      <c r="I112" s="801"/>
      <c r="J112" s="801"/>
      <c r="K112" s="801"/>
      <c r="L112" s="815"/>
      <c r="M112" s="786"/>
    </row>
    <row r="113" spans="2:13" x14ac:dyDescent="0.2">
      <c r="B113" s="788"/>
      <c r="C113" s="788"/>
      <c r="D113" s="788"/>
      <c r="E113" s="788"/>
      <c r="F113" s="1011"/>
      <c r="G113" s="788"/>
      <c r="H113" s="805"/>
      <c r="I113" s="805"/>
      <c r="J113" s="805"/>
      <c r="K113" s="805"/>
      <c r="L113" s="815"/>
      <c r="M113" s="790"/>
    </row>
    <row r="114" spans="2:13" x14ac:dyDescent="0.2">
      <c r="B114" s="797" t="str">
        <f>IF(C114,"Slide "&amp;RIGHT(B109,LEN(B109)-FIND(" ",B109))+1,B109)</f>
        <v>Slide 17</v>
      </c>
      <c r="C114" s="797" t="b">
        <f>AND($K$1,NOT(G115=""))</f>
        <v>0</v>
      </c>
      <c r="D114" s="798" t="s">
        <v>447</v>
      </c>
      <c r="E114" s="797" t="s">
        <v>1294</v>
      </c>
      <c r="F114" s="1009" t="str">
        <f>IF($H$1, "SlideTitle","")</f>
        <v>SlideTitle</v>
      </c>
      <c r="G114" s="797" t="str">
        <f>IF($H$1,Input!$C$9,"")</f>
        <v>Walmart Inc.</v>
      </c>
      <c r="H114" s="799"/>
      <c r="I114" s="799"/>
      <c r="J114" s="799"/>
      <c r="K114" s="799"/>
      <c r="L114" s="815"/>
      <c r="M114" s="790"/>
    </row>
    <row r="115" spans="2:13" x14ac:dyDescent="0.2">
      <c r="B115" s="788"/>
      <c r="C115" s="788"/>
      <c r="D115" s="788"/>
      <c r="E115" s="788"/>
      <c r="F115" s="1010" t="str">
        <f>IF($H$1, "RoadMap", "SlideTitle")</f>
        <v>RoadMap</v>
      </c>
      <c r="G115" s="788" t="str">
        <f>IF(COUNTIF($E$4:E115,E114)-11&lt;=$E$2,IF($H$1,"Key Board Members", "Key Board Members (" &amp; COUNTIF($E$4:E115,E114)-11 &amp; "/" &amp; $E$2 &amp; ")"),"")</f>
        <v/>
      </c>
      <c r="L115" s="815"/>
      <c r="M115" s="790"/>
    </row>
    <row r="116" spans="2:13" x14ac:dyDescent="0.2">
      <c r="B116" s="788"/>
      <c r="C116" s="788"/>
      <c r="D116" s="788"/>
      <c r="E116" s="788"/>
      <c r="F116" s="1011" t="s">
        <v>448</v>
      </c>
      <c r="G116" s="788" t="str">
        <f>IF(G115="","",ADDRESS(ROW(Board_Members)+MATCH(COUNTIF($E$4:E116,E114)-11,Professionals!$N$84:$N$133,0),COLUMN(Board_Members)) &amp;":" &amp; ADDRESS(ROW(Board_Members)+MATCH(COUNTIF($E$4:E116,E114)-11,Professionals!$N$84:$N$133,0)+COUNTIF(Professionals!$N$84:$N$133,COUNTIF($E$4:E116,E114)-11)-1,COLUMN(Board_Members)+1))</f>
        <v/>
      </c>
      <c r="H116" s="814">
        <v>0.58299999999999996</v>
      </c>
      <c r="I116" s="814">
        <f>IF($H$1,1.665,1.29)</f>
        <v>1.665</v>
      </c>
      <c r="J116" s="803"/>
      <c r="K116" s="803"/>
      <c r="L116" s="815" t="b">
        <f>$L$12</f>
        <v>1</v>
      </c>
      <c r="M116" s="790"/>
    </row>
    <row r="117" spans="2:13" x14ac:dyDescent="0.2">
      <c r="B117" s="788"/>
      <c r="C117" s="788"/>
      <c r="D117" s="788"/>
      <c r="E117" s="788"/>
      <c r="F117" s="1011" t="s">
        <v>449</v>
      </c>
      <c r="G117" s="788" t="s">
        <v>1257</v>
      </c>
      <c r="H117" s="801"/>
      <c r="I117" s="801"/>
      <c r="J117" s="801"/>
      <c r="K117" s="801"/>
      <c r="L117" s="815"/>
      <c r="M117" s="786"/>
    </row>
    <row r="118" spans="2:13" x14ac:dyDescent="0.2">
      <c r="B118" s="788"/>
      <c r="C118" s="788"/>
      <c r="D118" s="788"/>
      <c r="E118" s="788"/>
      <c r="F118" s="1011"/>
      <c r="G118" s="788"/>
      <c r="H118" s="805"/>
      <c r="I118" s="805"/>
      <c r="J118" s="805"/>
      <c r="K118" s="805"/>
      <c r="L118" s="815"/>
      <c r="M118" s="790"/>
    </row>
    <row r="119" spans="2:13" x14ac:dyDescent="0.2">
      <c r="B119" s="797" t="str">
        <f>IF(C119,"Slide "&amp;RIGHT(B114,LEN(B114)-FIND(" ",B114))+1,B114)</f>
        <v>Slide 18</v>
      </c>
      <c r="C119" s="797" t="b">
        <f>$K$1</f>
        <v>1</v>
      </c>
      <c r="D119" s="798" t="s">
        <v>447</v>
      </c>
      <c r="E119" s="816" t="str">
        <f ca="1">$E$139</f>
        <v>Financial Analysis</v>
      </c>
      <c r="F119" s="1009" t="s">
        <v>1243</v>
      </c>
      <c r="G119" s="797" t="s">
        <v>412</v>
      </c>
      <c r="H119" s="799"/>
      <c r="I119" s="799"/>
      <c r="J119" s="799"/>
      <c r="K119" s="799"/>
      <c r="L119" s="815"/>
      <c r="M119" s="790"/>
    </row>
    <row r="120" spans="2:13" x14ac:dyDescent="0.2">
      <c r="B120" s="797" t="str">
        <f>IF(C120,"Slide "&amp;RIGHT(B119,LEN(B119)-FIND(" ",B119))+1,B119)</f>
        <v>Slide 19</v>
      </c>
      <c r="C120" s="797" t="b">
        <f>$K$1</f>
        <v>1</v>
      </c>
      <c r="D120" s="798" t="s">
        <v>447</v>
      </c>
      <c r="E120" s="816" t="str">
        <f ca="1">MID(CELL("address",'Key Financials'!$A$1),SEARCH("]",CELL("address",'Key Financials'!$A$1))+1,SEARCH("'!$",CELL("address",'Key Financials'!$A$1))-SEARCH("]",CELL("address",'Key Financials'!$A$1))-1)</f>
        <v>Key Financials</v>
      </c>
      <c r="F120" s="1009" t="str">
        <f>IF($H$1, "SlideTitle","")</f>
        <v>SlideTitle</v>
      </c>
      <c r="G120" s="797" t="str">
        <f>IF($H$1,Input!$C$9,"")</f>
        <v>Walmart Inc.</v>
      </c>
      <c r="H120" s="799"/>
      <c r="I120" s="799"/>
      <c r="J120" s="799"/>
      <c r="K120" s="799"/>
      <c r="L120" s="815"/>
      <c r="M120" s="786"/>
    </row>
    <row r="121" spans="2:13" x14ac:dyDescent="0.2">
      <c r="B121" s="788"/>
      <c r="C121" s="788"/>
      <c r="D121" s="788"/>
      <c r="E121" s="788"/>
      <c r="F121" s="1010" t="str">
        <f>IF($H$1, "RoadMap", "SlideTitle")</f>
        <v>RoadMap</v>
      </c>
      <c r="G121" s="788" t="s">
        <v>1160</v>
      </c>
      <c r="L121" s="815"/>
      <c r="M121" s="786"/>
    </row>
    <row r="122" spans="2:13" x14ac:dyDescent="0.2">
      <c r="B122" s="788"/>
      <c r="C122" s="788"/>
      <c r="D122" s="788"/>
      <c r="E122" s="788"/>
      <c r="F122" s="1011" t="s">
        <v>448</v>
      </c>
      <c r="G122" s="788" t="s">
        <v>1135</v>
      </c>
      <c r="H122" s="814">
        <v>0.58299999999999996</v>
      </c>
      <c r="I122" s="814">
        <f>IF($H$1,1.665,1.29)</f>
        <v>1.665</v>
      </c>
      <c r="J122" s="803"/>
      <c r="K122" s="803"/>
      <c r="L122" s="815" t="b">
        <f>$L$12</f>
        <v>1</v>
      </c>
      <c r="M122" s="786"/>
    </row>
    <row r="123" spans="2:13" x14ac:dyDescent="0.2">
      <c r="B123" s="788"/>
      <c r="C123" s="788"/>
      <c r="D123" s="788"/>
      <c r="E123" s="788"/>
      <c r="F123" s="1011" t="s">
        <v>449</v>
      </c>
      <c r="G123" s="788" t="s">
        <v>1257</v>
      </c>
      <c r="H123" s="801"/>
      <c r="I123" s="801"/>
      <c r="J123" s="801"/>
      <c r="K123" s="801"/>
      <c r="L123" s="815"/>
      <c r="M123" s="786"/>
    </row>
    <row r="124" spans="2:13" x14ac:dyDescent="0.2">
      <c r="B124" s="788"/>
      <c r="C124" s="788"/>
      <c r="D124" s="788"/>
      <c r="E124" s="788"/>
      <c r="F124" s="1011"/>
      <c r="G124" s="788"/>
      <c r="H124" s="805"/>
      <c r="I124" s="805"/>
      <c r="J124" s="805"/>
      <c r="K124" s="805"/>
      <c r="L124" s="815"/>
      <c r="M124" s="786"/>
    </row>
    <row r="125" spans="2:13" x14ac:dyDescent="0.2">
      <c r="B125" s="797" t="str">
        <f>IF(C125,"Slide "&amp;RIGHT(B120,LEN(B120)-FIND(" ",B120))+1,B120)</f>
        <v>Slide 20</v>
      </c>
      <c r="C125" s="797" t="b">
        <f>$K$1</f>
        <v>1</v>
      </c>
      <c r="D125" s="798" t="s">
        <v>447</v>
      </c>
      <c r="E125" s="816" t="str">
        <f ca="1">MID(CELL("address",'Key Financials'!$A$1),SEARCH("]",CELL("address",'Key Financials'!$A$1))+1,SEARCH("'!$",CELL("address",'Key Financials'!$A$1))-SEARCH("]",CELL("address",'Key Financials'!$A$1))-1)</f>
        <v>Key Financials</v>
      </c>
      <c r="F125" s="1009" t="str">
        <f>IF($H$1, "SlideTitle","")</f>
        <v>SlideTitle</v>
      </c>
      <c r="G125" s="797" t="str">
        <f>IF($H$1,Input!$C$9,"")</f>
        <v>Walmart Inc.</v>
      </c>
      <c r="H125" s="799"/>
      <c r="I125" s="799"/>
      <c r="J125" s="799"/>
      <c r="K125" s="799"/>
      <c r="L125" s="815"/>
      <c r="M125" s="786"/>
    </row>
    <row r="126" spans="2:13" x14ac:dyDescent="0.2">
      <c r="B126" s="788"/>
      <c r="C126" s="788"/>
      <c r="D126" s="788"/>
      <c r="E126" s="788"/>
      <c r="F126" s="1010" t="str">
        <f>IF($H$1, "RoadMap", "SlideTitle")</f>
        <v>RoadMap</v>
      </c>
      <c r="G126" s="788" t="s">
        <v>963</v>
      </c>
      <c r="L126" s="815"/>
      <c r="M126" s="786"/>
    </row>
    <row r="127" spans="2:13" x14ac:dyDescent="0.2">
      <c r="B127" s="788"/>
      <c r="C127" s="788"/>
      <c r="D127" s="788"/>
      <c r="E127" s="788"/>
      <c r="F127" s="1011" t="s">
        <v>448</v>
      </c>
      <c r="G127" s="788" t="s">
        <v>1134</v>
      </c>
      <c r="H127" s="814">
        <v>0.58299999999999996</v>
      </c>
      <c r="I127" s="814">
        <f>IF($H$1,1.665,1.29)</f>
        <v>1.665</v>
      </c>
      <c r="J127" s="803"/>
      <c r="K127" s="803"/>
      <c r="L127" s="842" t="b">
        <f>$L$12</f>
        <v>1</v>
      </c>
      <c r="M127" s="786"/>
    </row>
    <row r="128" spans="2:13" x14ac:dyDescent="0.2">
      <c r="B128" s="788"/>
      <c r="C128" s="788"/>
      <c r="D128" s="788"/>
      <c r="E128" s="788"/>
      <c r="F128" s="1011" t="s">
        <v>449</v>
      </c>
      <c r="G128" s="788" t="s">
        <v>1257</v>
      </c>
      <c r="H128" s="801"/>
      <c r="I128" s="801"/>
      <c r="J128" s="801"/>
      <c r="K128" s="801"/>
      <c r="L128" s="815"/>
      <c r="M128" s="786"/>
    </row>
    <row r="129" spans="2:13" x14ac:dyDescent="0.2">
      <c r="B129" s="788"/>
      <c r="C129" s="788"/>
      <c r="D129" s="788"/>
      <c r="E129" s="788"/>
      <c r="F129" s="1011"/>
      <c r="G129" s="788"/>
      <c r="H129" s="805"/>
      <c r="I129" s="805"/>
      <c r="J129" s="805"/>
      <c r="K129" s="805"/>
      <c r="L129" s="815"/>
      <c r="M129" s="786"/>
    </row>
    <row r="130" spans="2:13" x14ac:dyDescent="0.2">
      <c r="B130" s="797" t="str">
        <f>IF(C130,"Slide "&amp;RIGHT(B125,LEN(B125)-FIND(" ",B125))+1,B125)</f>
        <v>Slide 21</v>
      </c>
      <c r="C130" s="807" t="b">
        <f>$K$1</f>
        <v>1</v>
      </c>
      <c r="D130" s="808" t="s">
        <v>447</v>
      </c>
      <c r="E130" s="816" t="str">
        <f ca="1">MID(CELL("address",'Key Financials'!$A$1),SEARCH("]",CELL("address",'Key Financials'!$A$1))+1,SEARCH("'!$",CELL("address",'Key Financials'!$A$1))-SEARCH("]",CELL("address",'Key Financials'!$A$1))-1)</f>
        <v>Key Financials</v>
      </c>
      <c r="F130" s="1009" t="str">
        <f>IF($H$1, "SlideTitle","")</f>
        <v>SlideTitle</v>
      </c>
      <c r="G130" s="797" t="str">
        <f>IF($H$1,Input!$C$9,"")</f>
        <v>Walmart Inc.</v>
      </c>
      <c r="H130" s="809"/>
      <c r="I130" s="809"/>
      <c r="J130" s="809"/>
      <c r="K130" s="809"/>
      <c r="L130" s="815"/>
      <c r="M130" s="786"/>
    </row>
    <row r="131" spans="2:13" x14ac:dyDescent="0.2">
      <c r="B131" s="786"/>
      <c r="C131" s="786"/>
      <c r="D131" s="794"/>
      <c r="E131" s="786"/>
      <c r="F131" s="1010" t="str">
        <f>IF($H$1, "RoadMap", "SlideTitle")</f>
        <v>RoadMap</v>
      </c>
      <c r="G131" s="810" t="s">
        <v>1161</v>
      </c>
      <c r="H131" s="811"/>
      <c r="I131" s="811"/>
      <c r="J131" s="811"/>
      <c r="K131" s="811"/>
      <c r="L131" s="815"/>
      <c r="M131" s="786"/>
    </row>
    <row r="132" spans="2:13" x14ac:dyDescent="0.2">
      <c r="B132" s="812"/>
      <c r="C132" s="812"/>
      <c r="D132" s="813"/>
      <c r="E132" s="810"/>
      <c r="F132" s="1011" t="s">
        <v>451</v>
      </c>
      <c r="G132" s="790" t="s">
        <v>1111</v>
      </c>
      <c r="H132" s="814">
        <v>0.56649280000000002</v>
      </c>
      <c r="I132" s="814">
        <f>IF($H$1,1.665,1.35)</f>
        <v>1.665</v>
      </c>
      <c r="J132" s="814">
        <v>4.8499999999999996</v>
      </c>
      <c r="K132" s="814">
        <v>2.99</v>
      </c>
      <c r="L132" s="815"/>
    </row>
    <row r="133" spans="2:13" x14ac:dyDescent="0.2">
      <c r="B133" s="812"/>
      <c r="C133" s="812"/>
      <c r="D133" s="813"/>
      <c r="E133" s="810"/>
      <c r="F133" s="1011" t="s">
        <v>451</v>
      </c>
      <c r="G133" s="790" t="s">
        <v>1112</v>
      </c>
      <c r="H133" s="814">
        <v>5.5666669999999998</v>
      </c>
      <c r="I133" s="811">
        <f>+I132</f>
        <v>1.665</v>
      </c>
      <c r="J133" s="811">
        <f t="shared" ref="J133:K135" si="4">J132</f>
        <v>4.8499999999999996</v>
      </c>
      <c r="K133" s="811">
        <f t="shared" si="4"/>
        <v>2.99</v>
      </c>
      <c r="L133" s="815"/>
    </row>
    <row r="134" spans="2:13" x14ac:dyDescent="0.2">
      <c r="B134" s="812"/>
      <c r="C134" s="812"/>
      <c r="D134" s="813"/>
      <c r="E134" s="810"/>
      <c r="F134" s="1011" t="s">
        <v>451</v>
      </c>
      <c r="G134" s="790" t="s">
        <v>1113</v>
      </c>
      <c r="H134" s="811">
        <f>+H132</f>
        <v>0.56649280000000002</v>
      </c>
      <c r="I134" s="814">
        <f>IF($H$1,4.745,4.43)</f>
        <v>4.7450000000000001</v>
      </c>
      <c r="J134" s="811">
        <f t="shared" si="4"/>
        <v>4.8499999999999996</v>
      </c>
      <c r="K134" s="811">
        <f t="shared" si="4"/>
        <v>2.99</v>
      </c>
      <c r="L134" s="815"/>
    </row>
    <row r="135" spans="2:13" x14ac:dyDescent="0.2">
      <c r="B135" s="812"/>
      <c r="C135" s="812"/>
      <c r="D135" s="813"/>
      <c r="E135" s="810"/>
      <c r="F135" s="1011" t="s">
        <v>451</v>
      </c>
      <c r="G135" s="790" t="s">
        <v>1114</v>
      </c>
      <c r="H135" s="811">
        <f>+H133</f>
        <v>5.5666669999999998</v>
      </c>
      <c r="I135" s="811">
        <f>+I134</f>
        <v>4.7450000000000001</v>
      </c>
      <c r="J135" s="811">
        <f t="shared" si="4"/>
        <v>4.8499999999999996</v>
      </c>
      <c r="K135" s="811">
        <f t="shared" si="4"/>
        <v>2.99</v>
      </c>
      <c r="L135" s="815"/>
    </row>
    <row r="136" spans="2:13" ht="38.25" x14ac:dyDescent="0.2">
      <c r="B136" s="812"/>
      <c r="C136" s="812"/>
      <c r="D136" s="813"/>
      <c r="E136" s="810"/>
      <c r="F136" s="1011" t="s">
        <v>1159</v>
      </c>
      <c r="G136" s="970" t="str">
        <f>"Note: 1) Financial data for fiscal year ended " &amp; TEXT('Export (F)'!$Q$1, "mmmm yyyy") &amp; " 2) " &amp; 'Key Financials'!R1</f>
        <v>Note: 1) Financial data for fiscal year ended January 2022 2) CAGR is calculated for period from FY2017 to FY2022</v>
      </c>
      <c r="H136" s="811"/>
      <c r="I136" s="811"/>
      <c r="J136" s="814"/>
      <c r="K136" s="814"/>
      <c r="L136" s="815"/>
    </row>
    <row r="137" spans="2:13" x14ac:dyDescent="0.2">
      <c r="B137" s="812"/>
      <c r="C137" s="812"/>
      <c r="D137" s="813"/>
      <c r="E137" s="810"/>
      <c r="F137" s="1011" t="s">
        <v>449</v>
      </c>
      <c r="G137" s="788" t="s">
        <v>1257</v>
      </c>
      <c r="H137" s="811"/>
      <c r="I137" s="811"/>
      <c r="J137" s="811"/>
      <c r="K137" s="811"/>
      <c r="L137" s="815"/>
    </row>
    <row r="138" spans="2:13" x14ac:dyDescent="0.2">
      <c r="B138" s="812"/>
      <c r="C138" s="812"/>
      <c r="D138" s="813"/>
      <c r="E138" s="810"/>
      <c r="F138" s="1011"/>
      <c r="G138" s="790"/>
      <c r="H138" s="811"/>
      <c r="I138" s="811"/>
      <c r="J138" s="811"/>
      <c r="K138" s="811"/>
      <c r="L138" s="815"/>
    </row>
    <row r="139" spans="2:13" x14ac:dyDescent="0.2">
      <c r="B139" s="797" t="str">
        <f>IF(C139,"Slide "&amp;RIGHT(B130,LEN(B130)-FIND(" ",B130))+1,B130)</f>
        <v>Slide 22</v>
      </c>
      <c r="C139" s="807" t="b">
        <f>$K$1</f>
        <v>1</v>
      </c>
      <c r="D139" s="808" t="s">
        <v>447</v>
      </c>
      <c r="E139" s="816" t="str">
        <f ca="1">MID(CELL("address",'Financial Analysis'!$A$1),SEARCH("]",CELL("address",'Financial Analysis'!$A$1))+1,SEARCH("'!$",CELL("address",'Financial Analysis'!$A$1))-SEARCH("]",CELL("address",'Financial Analysis'!$A$1))-1)</f>
        <v>Financial Analysis</v>
      </c>
      <c r="F139" s="1009" t="str">
        <f>IF($H$1, "SlideTitle","")</f>
        <v>SlideTitle</v>
      </c>
      <c r="G139" s="797" t="str">
        <f>IF($H$1,Input!$C$9,"")</f>
        <v>Walmart Inc.</v>
      </c>
      <c r="H139" s="809"/>
      <c r="I139" s="809"/>
      <c r="J139" s="809"/>
      <c r="K139" s="809"/>
      <c r="L139" s="815"/>
      <c r="M139" s="790"/>
    </row>
    <row r="140" spans="2:13" x14ac:dyDescent="0.2">
      <c r="B140" s="786"/>
      <c r="C140" s="786"/>
      <c r="D140" s="794"/>
      <c r="E140" s="786"/>
      <c r="F140" s="1010" t="str">
        <f>IF($H$1, "RoadMap", "SlideTitle")</f>
        <v>RoadMap</v>
      </c>
      <c r="G140" s="810" t="str">
        <f>IF($H$1,INDEX($S$3:$S$23,MATCH($M141,$Q$3:$Q$23,0)),INDEX($U$3:$U$23,MATCH($M141,$Q$3:$Q$23,0)))</f>
        <v>Historical Analysis (Profitability Analysis)</v>
      </c>
      <c r="H140" s="811"/>
      <c r="I140" s="811"/>
      <c r="J140" s="811"/>
      <c r="K140" s="811"/>
      <c r="L140" s="815"/>
      <c r="M140" s="790"/>
    </row>
    <row r="141" spans="2:13" x14ac:dyDescent="0.2">
      <c r="B141" s="812"/>
      <c r="C141" s="812"/>
      <c r="D141" s="813"/>
      <c r="E141" s="810"/>
      <c r="F141" s="1011" t="s">
        <v>451</v>
      </c>
      <c r="G141" s="790" t="str">
        <f>IF($H$1,IF(INDEX($R$3:$R$23,MATCH($M141,$Q$3:$Q$23,0))="",NA(),INDEX($R$3:$R$23,MATCH($M141,$Q$3:$Q$23,0))),IF(INDEX($T$3:$T$23,MATCH($M141,$Q$3:$Q$23,0))="",NA(),INDEX($T$3:$T$23,MATCH($M141,$Q$3:$Q$23,0))))</f>
        <v>GraphEBITDAAndGrowth</v>
      </c>
      <c r="H141" s="811">
        <f t="shared" ref="H141:I144" si="5">H132</f>
        <v>0.56649280000000002</v>
      </c>
      <c r="I141" s="811">
        <f t="shared" si="5"/>
        <v>1.665</v>
      </c>
      <c r="J141" s="811">
        <f t="shared" ref="J141:K144" si="6">J132</f>
        <v>4.8499999999999996</v>
      </c>
      <c r="K141" s="811">
        <f t="shared" si="6"/>
        <v>2.99</v>
      </c>
      <c r="L141" s="815"/>
      <c r="M141" s="987">
        <v>1</v>
      </c>
    </row>
    <row r="142" spans="2:13" x14ac:dyDescent="0.2">
      <c r="B142" s="812"/>
      <c r="C142" s="812"/>
      <c r="D142" s="813"/>
      <c r="E142" s="810"/>
      <c r="F142" s="1011" t="s">
        <v>451</v>
      </c>
      <c r="G142" s="790" t="str">
        <f>IF($H$1,IF(INDEX($R$3:$R$23,MATCH($M142,$Q$3:$Q$23,0))="",NA(),INDEX($R$3:$R$23,MATCH($M142,$Q$3:$Q$23,0))),IF(INDEX($T$3:$T$23,MATCH($M142,$Q$3:$Q$23,0))="",NA(),INDEX($T$3:$T$23,MATCH($M142,$Q$3:$Q$23,0))))</f>
        <v>GraphEBITDAMargins</v>
      </c>
      <c r="H142" s="811">
        <f t="shared" si="5"/>
        <v>5.5666669999999998</v>
      </c>
      <c r="I142" s="811">
        <f t="shared" si="5"/>
        <v>1.665</v>
      </c>
      <c r="J142" s="811">
        <f t="shared" si="6"/>
        <v>4.8499999999999996</v>
      </c>
      <c r="K142" s="811">
        <f t="shared" si="6"/>
        <v>2.99</v>
      </c>
      <c r="L142" s="815"/>
      <c r="M142" s="987">
        <v>2</v>
      </c>
    </row>
    <row r="143" spans="2:13" x14ac:dyDescent="0.2">
      <c r="B143" s="812"/>
      <c r="C143" s="812"/>
      <c r="D143" s="813"/>
      <c r="E143" s="810"/>
      <c r="F143" s="1011" t="s">
        <v>451</v>
      </c>
      <c r="G143" s="790" t="str">
        <f>IF($H$1,IF(INDEX($R$3:$R$23,MATCH($M143,$Q$3:$Q$23,0))="",NA(),INDEX($R$3:$R$23,MATCH($M143,$Q$3:$Q$23,0))),IF(INDEX($T$3:$T$23,MATCH($M143,$Q$3:$Q$23,0))="",NA(),INDEX($T$3:$T$23,MATCH($M143,$Q$3:$Q$23,0))))</f>
        <v>GraphNetProfitAndGrowth</v>
      </c>
      <c r="H143" s="811">
        <f t="shared" si="5"/>
        <v>0.56649280000000002</v>
      </c>
      <c r="I143" s="811">
        <f t="shared" si="5"/>
        <v>4.7450000000000001</v>
      </c>
      <c r="J143" s="811">
        <f t="shared" si="6"/>
        <v>4.8499999999999996</v>
      </c>
      <c r="K143" s="811">
        <f t="shared" si="6"/>
        <v>2.99</v>
      </c>
      <c r="L143" s="815"/>
      <c r="M143" s="987">
        <v>3</v>
      </c>
    </row>
    <row r="144" spans="2:13" x14ac:dyDescent="0.2">
      <c r="B144" s="812"/>
      <c r="C144" s="812"/>
      <c r="D144" s="813"/>
      <c r="E144" s="810"/>
      <c r="F144" s="1011" t="s">
        <v>451</v>
      </c>
      <c r="G144" s="790" t="str">
        <f>IF($H$1,IF(INDEX($R$3:$R$23,MATCH($M144,$Q$3:$Q$23,0))="",NA(),INDEX($R$3:$R$23,MATCH($M144,$Q$3:$Q$23,0))),IF(INDEX($T$3:$T$23,MATCH($M144,$Q$3:$Q$23,0))="",NA(),INDEX($T$3:$T$23,MATCH($M144,$Q$3:$Q$23,0))))</f>
        <v>GraphNetProfitMargins</v>
      </c>
      <c r="H144" s="811">
        <f t="shared" si="5"/>
        <v>5.5666669999999998</v>
      </c>
      <c r="I144" s="811">
        <f t="shared" si="5"/>
        <v>4.7450000000000001</v>
      </c>
      <c r="J144" s="811">
        <f t="shared" si="6"/>
        <v>4.8499999999999996</v>
      </c>
      <c r="K144" s="811">
        <f t="shared" si="6"/>
        <v>2.99</v>
      </c>
      <c r="L144" s="815"/>
      <c r="M144" s="987">
        <v>4</v>
      </c>
    </row>
    <row r="145" spans="2:13" x14ac:dyDescent="0.2">
      <c r="B145" s="812"/>
      <c r="C145" s="812"/>
      <c r="D145" s="813"/>
      <c r="E145" s="810"/>
      <c r="F145" s="1011" t="s">
        <v>1159</v>
      </c>
      <c r="G145" s="790" t="str">
        <f>"Note: Financial data for fiscal " &amp; IF(TimePeriodType="Annual", "year", "quarter") &amp; " ended " &amp; TEXT('Export (F)'!$O$1, "mmmm yyyy")</f>
        <v>Note: Financial data for fiscal year ended January 2022</v>
      </c>
      <c r="H145" s="811"/>
      <c r="I145" s="811"/>
      <c r="J145" s="814"/>
      <c r="K145" s="814"/>
      <c r="L145" s="815"/>
      <c r="M145" s="987"/>
    </row>
    <row r="146" spans="2:13" x14ac:dyDescent="0.2">
      <c r="B146" s="812"/>
      <c r="C146" s="812"/>
      <c r="D146" s="813"/>
      <c r="E146" s="810"/>
      <c r="F146" s="1011" t="s">
        <v>449</v>
      </c>
      <c r="G146" s="788" t="s">
        <v>1257</v>
      </c>
      <c r="H146" s="811"/>
      <c r="I146" s="811"/>
      <c r="J146" s="811"/>
      <c r="K146" s="811"/>
      <c r="L146" s="815"/>
      <c r="M146" s="786"/>
    </row>
    <row r="147" spans="2:13" x14ac:dyDescent="0.2">
      <c r="B147" s="812"/>
      <c r="C147" s="812"/>
      <c r="D147" s="813"/>
      <c r="E147" s="810"/>
      <c r="F147" s="1011"/>
      <c r="G147" s="790"/>
      <c r="H147" s="811"/>
      <c r="I147" s="811"/>
      <c r="J147" s="811"/>
      <c r="K147" s="811"/>
      <c r="L147" s="815"/>
      <c r="M147" s="786"/>
    </row>
    <row r="148" spans="2:13" x14ac:dyDescent="0.2">
      <c r="B148" s="797" t="str">
        <f>IF(C148,"Slide "&amp;RIGHT(B139,LEN(B139)-FIND(" ",B139))+1,B139)</f>
        <v>Slide 23</v>
      </c>
      <c r="C148" s="807" t="b">
        <f>$K$1</f>
        <v>1</v>
      </c>
      <c r="D148" s="808" t="s">
        <v>447</v>
      </c>
      <c r="E148" s="816" t="str">
        <f ca="1">$E$139</f>
        <v>Financial Analysis</v>
      </c>
      <c r="F148" s="1009" t="str">
        <f>IF($H$1, "SlideTitle","")</f>
        <v>SlideTitle</v>
      </c>
      <c r="G148" s="797" t="str">
        <f>IF($H$1,Input!$C$9,"")</f>
        <v>Walmart Inc.</v>
      </c>
      <c r="H148" s="809"/>
      <c r="I148" s="809"/>
      <c r="J148" s="809"/>
      <c r="K148" s="809"/>
      <c r="L148" s="815"/>
      <c r="M148" s="786"/>
    </row>
    <row r="149" spans="2:13" x14ac:dyDescent="0.2">
      <c r="B149" s="786"/>
      <c r="C149" s="786"/>
      <c r="D149" s="794"/>
      <c r="E149" s="786"/>
      <c r="F149" s="1010" t="str">
        <f>IF($H$1, "RoadMap", "SlideTitle")</f>
        <v>RoadMap</v>
      </c>
      <c r="G149" s="810" t="str">
        <f>IF($H$1,INDEX($S$3:$S$23,MATCH($M150,$Q$3:$Q$23,0)),INDEX($U$3:$U$23,MATCH($M150,$Q$3:$Q$23,0)))</f>
        <v>Historical Analysis (Profitability Analysis)</v>
      </c>
      <c r="H149" s="811"/>
      <c r="I149" s="811"/>
      <c r="J149" s="811"/>
      <c r="K149" s="811"/>
      <c r="L149" s="815"/>
      <c r="M149" s="786"/>
    </row>
    <row r="150" spans="2:13" x14ac:dyDescent="0.2">
      <c r="B150" s="786"/>
      <c r="C150" s="786"/>
      <c r="D150" s="794"/>
      <c r="E150" s="786"/>
      <c r="F150" s="1011" t="s">
        <v>451</v>
      </c>
      <c r="G150" s="790" t="str">
        <f>IF($H$1,IF(INDEX($R$3:$R$23,MATCH($M150,$Q$3:$Q$23,0))="",NA(),INDEX($R$3:$R$23,MATCH($M150,$Q$3:$Q$23,0))),IF(INDEX($T$3:$T$23,MATCH($M150,$Q$3:$Q$23,0))="",NA(),INDEX($T$3:$T$23,MATCH($M150,$Q$3:$Q$23,0))))</f>
        <v>GraphEBITAndGrowth</v>
      </c>
      <c r="H150" s="811">
        <f t="shared" ref="H150:I153" si="7">H141</f>
        <v>0.56649280000000002</v>
      </c>
      <c r="I150" s="811">
        <f t="shared" si="7"/>
        <v>1.665</v>
      </c>
      <c r="J150" s="811">
        <f t="shared" ref="J150:K153" si="8">J141</f>
        <v>4.8499999999999996</v>
      </c>
      <c r="K150" s="811">
        <f t="shared" si="8"/>
        <v>2.99</v>
      </c>
      <c r="L150" s="815"/>
      <c r="M150" s="987">
        <v>5</v>
      </c>
    </row>
    <row r="151" spans="2:13" x14ac:dyDescent="0.2">
      <c r="B151" s="786"/>
      <c r="C151" s="786"/>
      <c r="D151" s="794"/>
      <c r="E151" s="786"/>
      <c r="F151" s="1011" t="s">
        <v>451</v>
      </c>
      <c r="G151" s="790" t="str">
        <f>IF($H$1,IF(INDEX($R$3:$R$23,MATCH($M151,$Q$3:$Q$23,0))="",NA(),INDEX($R$3:$R$23,MATCH($M151,$Q$3:$Q$23,0))),IF(INDEX($T$3:$T$23,MATCH($M151,$Q$3:$Q$23,0))="",NA(),INDEX($T$3:$T$23,MATCH($M151,$Q$3:$Q$23,0))))</f>
        <v>GraphEBITMargins</v>
      </c>
      <c r="H151" s="811">
        <f t="shared" si="7"/>
        <v>5.5666669999999998</v>
      </c>
      <c r="I151" s="811">
        <f t="shared" si="7"/>
        <v>1.665</v>
      </c>
      <c r="J151" s="811">
        <f t="shared" si="8"/>
        <v>4.8499999999999996</v>
      </c>
      <c r="K151" s="811">
        <f t="shared" si="8"/>
        <v>2.99</v>
      </c>
      <c r="L151" s="815"/>
      <c r="M151" s="987">
        <v>6</v>
      </c>
    </row>
    <row r="152" spans="2:13" x14ac:dyDescent="0.2">
      <c r="B152" s="786"/>
      <c r="C152" s="786"/>
      <c r="D152" s="794"/>
      <c r="E152" s="786"/>
      <c r="F152" s="1011" t="s">
        <v>451</v>
      </c>
      <c r="G152" s="790" t="e">
        <f>IF($H$1,IF(INDEX($R$3:$R$23,MATCH($M152,$Q$3:$Q$23,0))="",NA(),INDEX($R$3:$R$23,MATCH($M152,$Q$3:$Q$23,0))),IF(INDEX($T$3:$T$23,MATCH($M152,$Q$3:$Q$23,0))="",NA(),INDEX($T$3:$T$23,MATCH($M152,$Q$3:$Q$23,0))))</f>
        <v>#N/A</v>
      </c>
      <c r="H152" s="811">
        <f t="shared" si="7"/>
        <v>0.56649280000000002</v>
      </c>
      <c r="I152" s="811">
        <f t="shared" si="7"/>
        <v>4.7450000000000001</v>
      </c>
      <c r="J152" s="811">
        <f t="shared" si="8"/>
        <v>4.8499999999999996</v>
      </c>
      <c r="K152" s="811">
        <f t="shared" si="8"/>
        <v>2.99</v>
      </c>
      <c r="L152" s="815"/>
      <c r="M152" s="987">
        <v>7</v>
      </c>
    </row>
    <row r="153" spans="2:13" x14ac:dyDescent="0.2">
      <c r="B153" s="786"/>
      <c r="C153" s="786"/>
      <c r="D153" s="794"/>
      <c r="E153" s="786"/>
      <c r="F153" s="1011" t="s">
        <v>451</v>
      </c>
      <c r="G153" s="790" t="e">
        <f>IF($H$1,IF(INDEX($R$3:$R$23,MATCH($M153,$Q$3:$Q$23,0))="",NA(),INDEX($R$3:$R$23,MATCH($M153,$Q$3:$Q$23,0))),IF(INDEX($T$3:$T$23,MATCH($M153,$Q$3:$Q$23,0))="",NA(),INDEX($T$3:$T$23,MATCH($M153,$Q$3:$Q$23,0))))</f>
        <v>#N/A</v>
      </c>
      <c r="H153" s="811">
        <f t="shared" si="7"/>
        <v>5.5666669999999998</v>
      </c>
      <c r="I153" s="811">
        <f t="shared" si="7"/>
        <v>4.7450000000000001</v>
      </c>
      <c r="J153" s="811">
        <f t="shared" si="8"/>
        <v>4.8499999999999996</v>
      </c>
      <c r="K153" s="811">
        <f t="shared" si="8"/>
        <v>2.99</v>
      </c>
      <c r="L153" s="815"/>
      <c r="M153" s="987">
        <v>8</v>
      </c>
    </row>
    <row r="154" spans="2:13" x14ac:dyDescent="0.2">
      <c r="B154" s="786"/>
      <c r="C154" s="786"/>
      <c r="D154" s="794"/>
      <c r="E154" s="786"/>
      <c r="F154" s="1011" t="s">
        <v>1159</v>
      </c>
      <c r="G154" s="790" t="str">
        <f>"Note: Financial data for fiscal " &amp; IF(TimePeriodType="Annual", "year", "quarter") &amp; " ended " &amp; TEXT('Export (F)'!$O$1, "mmmm yyyy")</f>
        <v>Note: Financial data for fiscal year ended January 2022</v>
      </c>
      <c r="H154" s="811"/>
      <c r="I154" s="811"/>
      <c r="L154" s="815"/>
      <c r="M154" s="987"/>
    </row>
    <row r="155" spans="2:13" x14ac:dyDescent="0.2">
      <c r="B155" s="786"/>
      <c r="C155" s="786"/>
      <c r="D155" s="794"/>
      <c r="E155" s="786"/>
      <c r="F155" s="1011" t="s">
        <v>449</v>
      </c>
      <c r="G155" s="788" t="s">
        <v>1257</v>
      </c>
      <c r="H155" s="811"/>
      <c r="I155" s="811"/>
      <c r="J155" s="811"/>
      <c r="K155" s="811"/>
      <c r="L155" s="815"/>
      <c r="M155" s="790"/>
    </row>
    <row r="156" spans="2:13" x14ac:dyDescent="0.2">
      <c r="B156" s="786"/>
      <c r="C156" s="786"/>
      <c r="D156" s="794"/>
      <c r="E156" s="790"/>
      <c r="F156" s="1011"/>
      <c r="G156" s="790"/>
      <c r="H156" s="817"/>
      <c r="I156" s="817"/>
      <c r="J156" s="817"/>
      <c r="K156" s="817"/>
      <c r="L156" s="815"/>
      <c r="M156" s="790"/>
    </row>
    <row r="157" spans="2:13" x14ac:dyDescent="0.2">
      <c r="B157" s="797" t="str">
        <f>IF(C157,"Slide "&amp;RIGHT(B148,LEN(B148)-FIND(" ",B148))+1,B148)</f>
        <v>Slide 24</v>
      </c>
      <c r="C157" s="807" t="b">
        <f>$K$1</f>
        <v>1</v>
      </c>
      <c r="D157" s="808" t="s">
        <v>447</v>
      </c>
      <c r="E157" s="816" t="str">
        <f ca="1">$E$139</f>
        <v>Financial Analysis</v>
      </c>
      <c r="F157" s="1009" t="str">
        <f>IF($H$1, "SlideTitle","")</f>
        <v>SlideTitle</v>
      </c>
      <c r="G157" s="797" t="str">
        <f>IF($H$1,Input!$C$9,"")</f>
        <v>Walmart Inc.</v>
      </c>
      <c r="H157" s="809"/>
      <c r="I157" s="809"/>
      <c r="J157" s="809"/>
      <c r="K157" s="809"/>
      <c r="L157" s="815"/>
    </row>
    <row r="158" spans="2:13" x14ac:dyDescent="0.2">
      <c r="B158" s="786"/>
      <c r="C158" s="786"/>
      <c r="D158" s="794"/>
      <c r="E158" s="786"/>
      <c r="F158" s="1010" t="str">
        <f>IF($H$1, "RoadMap", "SlideTitle")</f>
        <v>RoadMap</v>
      </c>
      <c r="G158" s="810" t="str">
        <f>IF($H$1,INDEX($S$3:$S$23,MATCH($M159,$Q$3:$Q$23,0)),INDEX($U$3:$U$23,MATCH($M159,$Q$3:$Q$23,0)))</f>
        <v>Historical Analysis (Top-Line Analysis)</v>
      </c>
      <c r="H158" s="811"/>
      <c r="I158" s="811"/>
      <c r="J158" s="811"/>
      <c r="K158" s="811"/>
      <c r="L158" s="815"/>
    </row>
    <row r="159" spans="2:13" x14ac:dyDescent="0.2">
      <c r="B159" s="786"/>
      <c r="C159" s="786"/>
      <c r="D159" s="794"/>
      <c r="E159" s="786"/>
      <c r="F159" s="1011" t="s">
        <v>451</v>
      </c>
      <c r="G159" s="790" t="str">
        <f>IF($H$1,IF(INDEX($R$3:$R$23,MATCH($M159,$Q$3:$Q$23,0))="",NA(),INDEX($R$3:$R$23,MATCH($M159,$Q$3:$Q$23,0))),IF(INDEX($T$3:$T$23,MATCH($M159,$Q$3:$Q$23,0))="",NA(),INDEX($T$3:$T$23,MATCH($M159,$Q$3:$Q$23,0))))</f>
        <v>GraphRevenueAndGrowth</v>
      </c>
      <c r="H159" s="811">
        <f t="shared" ref="H159:K162" si="9">H150</f>
        <v>0.56649280000000002</v>
      </c>
      <c r="I159" s="811">
        <f t="shared" si="9"/>
        <v>1.665</v>
      </c>
      <c r="J159" s="811">
        <f t="shared" si="9"/>
        <v>4.8499999999999996</v>
      </c>
      <c r="K159" s="811">
        <f t="shared" si="9"/>
        <v>2.99</v>
      </c>
      <c r="L159" s="815"/>
      <c r="M159" s="987">
        <v>9</v>
      </c>
    </row>
    <row r="160" spans="2:13" x14ac:dyDescent="0.2">
      <c r="B160" s="786"/>
      <c r="C160" s="786"/>
      <c r="D160" s="794"/>
      <c r="E160" s="786"/>
      <c r="F160" s="1011" t="s">
        <v>451</v>
      </c>
      <c r="G160" s="790" t="str">
        <f>IF($H$1,IF(INDEX($R$3:$R$23,MATCH($M160,$Q$3:$Q$23,0))="",NA(),INDEX($R$3:$R$23,MATCH($M160,$Q$3:$Q$23,0))),IF(INDEX($T$3:$T$23,MATCH($M160,$Q$3:$Q$23,0))="",NA(),INDEX($T$3:$T$23,MATCH($M160,$Q$3:$Q$23,0))))</f>
        <v>GraphGPAndGrowth</v>
      </c>
      <c r="H160" s="811">
        <f t="shared" si="9"/>
        <v>5.5666669999999998</v>
      </c>
      <c r="I160" s="811">
        <f t="shared" si="9"/>
        <v>1.665</v>
      </c>
      <c r="J160" s="811">
        <f t="shared" si="9"/>
        <v>4.8499999999999996</v>
      </c>
      <c r="K160" s="811">
        <f t="shared" si="9"/>
        <v>2.99</v>
      </c>
      <c r="L160" s="815"/>
      <c r="M160" s="987">
        <v>10</v>
      </c>
    </row>
    <row r="161" spans="2:13" x14ac:dyDescent="0.2">
      <c r="B161" s="786"/>
      <c r="C161" s="786"/>
      <c r="D161" s="794"/>
      <c r="E161" s="786"/>
      <c r="F161" s="1011" t="s">
        <v>451</v>
      </c>
      <c r="G161" s="790" t="str">
        <f>IF($H$1,IF(INDEX($R$3:$R$23,MATCH($M161,$Q$3:$Q$23,0))="",NA(),INDEX($R$3:$R$23,MATCH($M161,$Q$3:$Q$23,0))),IF(INDEX($T$3:$T$23,MATCH($M161,$Q$3:$Q$23,0))="",NA(),INDEX($T$3:$T$23,MATCH($M161,$Q$3:$Q$23,0))))</f>
        <v>GraphRevenueVsExpenses</v>
      </c>
      <c r="H161" s="811">
        <f t="shared" si="9"/>
        <v>0.56649280000000002</v>
      </c>
      <c r="I161" s="811">
        <f t="shared" si="9"/>
        <v>4.7450000000000001</v>
      </c>
      <c r="J161" s="811">
        <f t="shared" si="9"/>
        <v>4.8499999999999996</v>
      </c>
      <c r="K161" s="811">
        <f t="shared" si="9"/>
        <v>2.99</v>
      </c>
      <c r="L161" s="815"/>
      <c r="M161" s="987">
        <v>11</v>
      </c>
    </row>
    <row r="162" spans="2:13" x14ac:dyDescent="0.2">
      <c r="B162" s="786"/>
      <c r="C162" s="786"/>
      <c r="D162" s="794"/>
      <c r="E162" s="786"/>
      <c r="F162" s="1011" t="s">
        <v>451</v>
      </c>
      <c r="G162" s="790" t="str">
        <f>IF($H$1,IF(INDEX($R$3:$R$23,MATCH($M162,$Q$3:$Q$23,0))="",NA(),INDEX($R$3:$R$23,MATCH($M162,$Q$3:$Q$23,0))),IF(INDEX($T$3:$T$23,MATCH($M162,$Q$3:$Q$23,0))="",NA(),INDEX($T$3:$T$23,MATCH($M162,$Q$3:$Q$23,0))))</f>
        <v>GraphRevenueVsExpensesGrowth</v>
      </c>
      <c r="H162" s="811">
        <f t="shared" si="9"/>
        <v>5.5666669999999998</v>
      </c>
      <c r="I162" s="811">
        <f t="shared" si="9"/>
        <v>4.7450000000000001</v>
      </c>
      <c r="J162" s="811">
        <f t="shared" si="9"/>
        <v>4.8499999999999996</v>
      </c>
      <c r="K162" s="811">
        <f t="shared" si="9"/>
        <v>2.99</v>
      </c>
      <c r="L162" s="815"/>
      <c r="M162" s="987">
        <v>12</v>
      </c>
    </row>
    <row r="163" spans="2:13" x14ac:dyDescent="0.2">
      <c r="B163" s="786"/>
      <c r="C163" s="786"/>
      <c r="D163" s="794"/>
      <c r="E163" s="786"/>
      <c r="F163" s="1011" t="s">
        <v>1159</v>
      </c>
      <c r="G163" s="790" t="str">
        <f>"Note: Financial data for fiscal " &amp; IF(TimePeriodType="Annual", "year", "quarter") &amp; " ended " &amp; TEXT('Export (F)'!$O$1, "mmmm yyyy")</f>
        <v>Note: Financial data for fiscal year ended January 2022</v>
      </c>
      <c r="H163" s="814"/>
      <c r="I163" s="814"/>
      <c r="J163" s="814"/>
      <c r="K163" s="814"/>
      <c r="L163" s="815"/>
      <c r="M163" s="987"/>
    </row>
    <row r="164" spans="2:13" x14ac:dyDescent="0.2">
      <c r="B164" s="786"/>
      <c r="C164" s="786"/>
      <c r="D164" s="794"/>
      <c r="E164" s="786"/>
      <c r="F164" s="1011" t="s">
        <v>449</v>
      </c>
      <c r="G164" s="788" t="s">
        <v>1257</v>
      </c>
      <c r="H164" s="811"/>
      <c r="I164" s="811"/>
      <c r="J164" s="811"/>
      <c r="K164" s="811"/>
      <c r="L164" s="815"/>
      <c r="M164" s="786"/>
    </row>
    <row r="165" spans="2:13" x14ac:dyDescent="0.2">
      <c r="B165" s="786"/>
      <c r="C165" s="786"/>
      <c r="D165" s="794"/>
      <c r="E165" s="786"/>
      <c r="G165" s="786"/>
      <c r="H165" s="811"/>
      <c r="I165" s="811"/>
      <c r="J165" s="811"/>
      <c r="K165" s="811"/>
      <c r="L165" s="815"/>
    </row>
    <row r="166" spans="2:13" x14ac:dyDescent="0.2">
      <c r="B166" s="797" t="str">
        <f>IF(C166,"Slide "&amp;RIGHT(B157,LEN(B157)-FIND(" ",B157))+1,B157)</f>
        <v>Slide 25</v>
      </c>
      <c r="C166" s="807" t="b">
        <f>$K$1</f>
        <v>1</v>
      </c>
      <c r="D166" s="808" t="s">
        <v>447</v>
      </c>
      <c r="E166" s="816" t="str">
        <f ca="1">$E$139</f>
        <v>Financial Analysis</v>
      </c>
      <c r="F166" s="1009" t="str">
        <f>IF($H$1, "SlideTitle","")</f>
        <v>SlideTitle</v>
      </c>
      <c r="G166" s="797" t="str">
        <f>IF($H$1,Input!$C$9,"")</f>
        <v>Walmart Inc.</v>
      </c>
      <c r="H166" s="809"/>
      <c r="I166" s="809"/>
      <c r="J166" s="809"/>
      <c r="K166" s="809"/>
      <c r="L166" s="815"/>
    </row>
    <row r="167" spans="2:13" x14ac:dyDescent="0.2">
      <c r="B167" s="786"/>
      <c r="C167" s="786"/>
      <c r="D167" s="794"/>
      <c r="E167" s="786"/>
      <c r="F167" s="1010" t="str">
        <f>IF($H$1, "RoadMap", "SlideTitle")</f>
        <v>RoadMap</v>
      </c>
      <c r="G167" s="810" t="str">
        <f>IF($H$1,INDEX($S$3:$S$23,MATCH($M168,$Q$3:$Q$23,0)),INDEX($U$3:$U$23,MATCH($M168,$Q$3:$Q$23,0)))</f>
        <v>Historical Analysis (Expense Analysis)</v>
      </c>
      <c r="H167" s="811"/>
      <c r="I167" s="811"/>
      <c r="J167" s="811"/>
      <c r="K167" s="811"/>
      <c r="L167" s="815"/>
      <c r="M167" s="790"/>
    </row>
    <row r="168" spans="2:13" x14ac:dyDescent="0.2">
      <c r="B168" s="786"/>
      <c r="C168" s="786"/>
      <c r="D168" s="794"/>
      <c r="E168" s="786"/>
      <c r="F168" s="1011" t="s">
        <v>451</v>
      </c>
      <c r="G168" s="790" t="str">
        <f>IF($H$1,IF(INDEX($R$3:$R$23,MATCH($M168,$Q$3:$Q$23,0))="",NA(),INDEX($R$3:$R$23,MATCH($M168,$Q$3:$Q$23,0))),IF(INDEX($T$3:$T$23,MATCH($M168,$Q$3:$Q$23,0))="",NA(),INDEX($T$3:$T$23,MATCH($M168,$Q$3:$Q$23,0))))</f>
        <v>GraphExpenseSummary</v>
      </c>
      <c r="H168" s="811">
        <f t="shared" ref="H168:K171" si="10">H159</f>
        <v>0.56649280000000002</v>
      </c>
      <c r="I168" s="811">
        <f t="shared" si="10"/>
        <v>1.665</v>
      </c>
      <c r="J168" s="811">
        <f t="shared" si="10"/>
        <v>4.8499999999999996</v>
      </c>
      <c r="K168" s="811">
        <f t="shared" si="10"/>
        <v>2.99</v>
      </c>
      <c r="L168" s="815"/>
      <c r="M168" s="987">
        <v>13</v>
      </c>
    </row>
    <row r="169" spans="2:13" x14ac:dyDescent="0.2">
      <c r="B169" s="786"/>
      <c r="C169" s="786"/>
      <c r="D169" s="794"/>
      <c r="E169" s="786"/>
      <c r="F169" s="1011" t="s">
        <v>451</v>
      </c>
      <c r="G169" s="790" t="str">
        <f>IF($H$1,IF(INDEX($R$3:$R$23,MATCH($M169,$Q$3:$Q$23,0))="",NA(),INDEX($R$3:$R$23,MATCH($M169,$Q$3:$Q$23,0))),IF(INDEX($T$3:$T$23,MATCH($M169,$Q$3:$Q$23,0))="",NA(),INDEX($T$3:$T$23,MATCH($M169,$Q$3:$Q$23,0))))</f>
        <v>GraphExpenseDistributionSummary</v>
      </c>
      <c r="H169" s="811">
        <f t="shared" si="10"/>
        <v>5.5666669999999998</v>
      </c>
      <c r="I169" s="811">
        <f t="shared" si="10"/>
        <v>1.665</v>
      </c>
      <c r="J169" s="811">
        <f t="shared" si="10"/>
        <v>4.8499999999999996</v>
      </c>
      <c r="K169" s="811">
        <f t="shared" si="10"/>
        <v>2.99</v>
      </c>
      <c r="L169" s="815"/>
      <c r="M169" s="987">
        <v>14</v>
      </c>
    </row>
    <row r="170" spans="2:13" x14ac:dyDescent="0.2">
      <c r="B170" s="786"/>
      <c r="C170" s="786"/>
      <c r="D170" s="794"/>
      <c r="E170" s="786"/>
      <c r="F170" s="1011" t="s">
        <v>451</v>
      </c>
      <c r="G170" s="790" t="str">
        <f>IF($H$1,IF(INDEX($R$3:$R$23,MATCH($M170,$Q$3:$Q$23,0))="",NA(),INDEX($R$3:$R$23,MATCH($M170,$Q$3:$Q$23,0))),IF(INDEX($T$3:$T$23,MATCH($M170,$Q$3:$Q$23,0))="",NA(),INDEX($T$3:$T$23,MATCH($M170,$Q$3:$Q$23,0))))</f>
        <v>GraphExpenseMargins</v>
      </c>
      <c r="H170" s="811">
        <f t="shared" si="10"/>
        <v>0.56649280000000002</v>
      </c>
      <c r="I170" s="811">
        <f t="shared" si="10"/>
        <v>4.7450000000000001</v>
      </c>
      <c r="J170" s="811">
        <f t="shared" si="10"/>
        <v>4.8499999999999996</v>
      </c>
      <c r="K170" s="811">
        <f t="shared" si="10"/>
        <v>2.99</v>
      </c>
      <c r="L170" s="815"/>
      <c r="M170" s="987">
        <v>15</v>
      </c>
    </row>
    <row r="171" spans="2:13" x14ac:dyDescent="0.2">
      <c r="B171" s="786"/>
      <c r="C171" s="786"/>
      <c r="D171" s="794"/>
      <c r="E171" s="786"/>
      <c r="F171" s="1011" t="s">
        <v>451</v>
      </c>
      <c r="G171" s="790" t="str">
        <f>IF($H$1,IF(INDEX($R$3:$R$23,MATCH($M171,$Q$3:$Q$23,0))="",NA(),INDEX($R$3:$R$23,MATCH($M171,$Q$3:$Q$23,0))),IF(INDEX($T$3:$T$23,MATCH($M171,$Q$3:$Q$23,0))="",NA(),INDEX($T$3:$T$23,MATCH($M171,$Q$3:$Q$23,0))))</f>
        <v>GraphExpenseGrowth</v>
      </c>
      <c r="H171" s="811">
        <f t="shared" si="10"/>
        <v>5.5666669999999998</v>
      </c>
      <c r="I171" s="811">
        <f t="shared" si="10"/>
        <v>4.7450000000000001</v>
      </c>
      <c r="J171" s="811">
        <f t="shared" si="10"/>
        <v>4.8499999999999996</v>
      </c>
      <c r="K171" s="811">
        <f t="shared" si="10"/>
        <v>2.99</v>
      </c>
      <c r="L171" s="815"/>
      <c r="M171" s="987">
        <v>16</v>
      </c>
    </row>
    <row r="172" spans="2:13" x14ac:dyDescent="0.2">
      <c r="B172" s="786"/>
      <c r="C172" s="786"/>
      <c r="D172" s="794"/>
      <c r="E172" s="786"/>
      <c r="F172" s="1011" t="s">
        <v>1159</v>
      </c>
      <c r="G172" s="790" t="str">
        <f>"Note: Financial data for fiscal " &amp; IF(TimePeriodType="Annual", "year", "quarter") &amp; " ended " &amp; TEXT('Export (F)'!$O$1, "mmmm yyyy")</f>
        <v>Note: Financial data for fiscal year ended January 2022</v>
      </c>
      <c r="H172" s="811"/>
      <c r="I172" s="811"/>
      <c r="J172" s="814"/>
      <c r="K172" s="814"/>
      <c r="L172" s="815"/>
      <c r="M172" s="987"/>
    </row>
    <row r="173" spans="2:13" x14ac:dyDescent="0.2">
      <c r="B173" s="786"/>
      <c r="C173" s="786"/>
      <c r="D173" s="794"/>
      <c r="E173" s="786"/>
      <c r="F173" s="1011" t="s">
        <v>449</v>
      </c>
      <c r="G173" s="788" t="s">
        <v>1257</v>
      </c>
      <c r="H173" s="811"/>
      <c r="I173" s="811"/>
      <c r="J173" s="811"/>
      <c r="K173" s="811"/>
      <c r="L173" s="815"/>
      <c r="M173" s="790"/>
    </row>
    <row r="174" spans="2:13" x14ac:dyDescent="0.2">
      <c r="B174" s="786"/>
      <c r="C174" s="786"/>
      <c r="D174" s="794"/>
      <c r="E174" s="786"/>
      <c r="G174" s="786"/>
      <c r="H174" s="811"/>
      <c r="I174" s="811"/>
      <c r="J174" s="811"/>
      <c r="K174" s="811"/>
      <c r="L174" s="815"/>
      <c r="M174" s="790"/>
    </row>
    <row r="175" spans="2:13" x14ac:dyDescent="0.2">
      <c r="B175" s="797" t="str">
        <f>IF(C175,"Slide "&amp;RIGHT(B166,LEN(B166)-FIND(" ",B166))+1,B166)</f>
        <v>Slide 26</v>
      </c>
      <c r="C175" s="807" t="b">
        <f>$K$1</f>
        <v>1</v>
      </c>
      <c r="D175" s="808" t="s">
        <v>447</v>
      </c>
      <c r="E175" s="816" t="str">
        <f ca="1">$E$139</f>
        <v>Financial Analysis</v>
      </c>
      <c r="F175" s="1009" t="str">
        <f>IF($H$1, "SlideTitle","")</f>
        <v>SlideTitle</v>
      </c>
      <c r="G175" s="797" t="str">
        <f>IF($H$1,Input!$C$9,"")</f>
        <v>Walmart Inc.</v>
      </c>
      <c r="H175" s="809"/>
      <c r="I175" s="809"/>
      <c r="J175" s="809"/>
      <c r="K175" s="809"/>
      <c r="L175" s="815"/>
      <c r="M175" s="790"/>
    </row>
    <row r="176" spans="2:13" x14ac:dyDescent="0.2">
      <c r="B176" s="786"/>
      <c r="C176" s="786"/>
      <c r="D176" s="794"/>
      <c r="E176" s="786"/>
      <c r="F176" s="1010" t="str">
        <f>IF($H$1, "RoadMap", "SlideTitle")</f>
        <v>RoadMap</v>
      </c>
      <c r="G176" s="810" t="str">
        <f>IF($H$1,INDEX($S$3:$S$23,MATCH($M177,$Q$3:$Q$23,0)),INDEX($U$3:$U$23,MATCH($M177,$Q$3:$Q$23,0)))</f>
        <v>Historical Analysis (Ratio Analysis)</v>
      </c>
      <c r="H176" s="811"/>
      <c r="I176" s="811"/>
      <c r="J176" s="811"/>
      <c r="K176" s="811"/>
      <c r="L176" s="815"/>
      <c r="M176" s="790"/>
    </row>
    <row r="177" spans="2:13" x14ac:dyDescent="0.2">
      <c r="B177" s="786"/>
      <c r="C177" s="786"/>
      <c r="D177" s="794"/>
      <c r="E177" s="786"/>
      <c r="F177" s="1011" t="s">
        <v>451</v>
      </c>
      <c r="G177" s="790" t="str">
        <f>IF($H$1,IF(INDEX($R$3:$R$23,MATCH($M177,$Q$3:$Q$23,0))="",NA(),INDEX($R$3:$R$23,MATCH($M177,$Q$3:$Q$23,0))),IF(INDEX($T$3:$T$23,MATCH($M177,$Q$3:$Q$23,0))="",NA(),INDEX($T$3:$T$23,MATCH($M177,$Q$3:$Q$23,0))))</f>
        <v>GraphReturns</v>
      </c>
      <c r="H177" s="811">
        <f t="shared" ref="H177:K180" si="11">H168</f>
        <v>0.56649280000000002</v>
      </c>
      <c r="I177" s="811">
        <f t="shared" si="11"/>
        <v>1.665</v>
      </c>
      <c r="J177" s="811">
        <f t="shared" si="11"/>
        <v>4.8499999999999996</v>
      </c>
      <c r="K177" s="811">
        <f t="shared" si="11"/>
        <v>2.99</v>
      </c>
      <c r="L177" s="815"/>
      <c r="M177" s="987">
        <v>17</v>
      </c>
    </row>
    <row r="178" spans="2:13" x14ac:dyDescent="0.2">
      <c r="B178" s="786"/>
      <c r="C178" s="786"/>
      <c r="D178" s="794"/>
      <c r="E178" s="786"/>
      <c r="F178" s="1011" t="s">
        <v>451</v>
      </c>
      <c r="G178" s="790" t="str">
        <f>IF($H$1,IF(INDEX($R$3:$R$23,MATCH($M178,$Q$3:$Q$23,0))="",NA(),INDEX($R$3:$R$23,MATCH($M178,$Q$3:$Q$23,0))),IF(INDEX($T$3:$T$23,MATCH($M178,$Q$3:$Q$23,0))="",NA(),INDEX($T$3:$T$23,MATCH($M178,$Q$3:$Q$23,0))))</f>
        <v>GraphWorkingCapital</v>
      </c>
      <c r="H178" s="811">
        <f t="shared" si="11"/>
        <v>5.5666669999999998</v>
      </c>
      <c r="I178" s="811">
        <f t="shared" si="11"/>
        <v>1.665</v>
      </c>
      <c r="J178" s="811">
        <f t="shared" si="11"/>
        <v>4.8499999999999996</v>
      </c>
      <c r="K178" s="811">
        <f t="shared" si="11"/>
        <v>2.99</v>
      </c>
      <c r="L178" s="815"/>
      <c r="M178" s="987">
        <v>18</v>
      </c>
    </row>
    <row r="179" spans="2:13" x14ac:dyDescent="0.2">
      <c r="B179" s="786"/>
      <c r="C179" s="786"/>
      <c r="D179" s="794"/>
      <c r="E179" s="786"/>
      <c r="F179" s="1011" t="s">
        <v>451</v>
      </c>
      <c r="G179" s="790" t="str">
        <f>IF($H$1,IF(INDEX($R$3:$R$23,MATCH($M179,$Q$3:$Q$23,0))="",NA(),INDEX($R$3:$R$23,MATCH($M179,$Q$3:$Q$23,0))),IF(INDEX($T$3:$T$23,MATCH($M179,$Q$3:$Q$23,0))="",NA(),INDEX($T$3:$T$23,MATCH($M179,$Q$3:$Q$23,0))))</f>
        <v>GraphAssetTurnover</v>
      </c>
      <c r="H179" s="811">
        <f t="shared" si="11"/>
        <v>0.56649280000000002</v>
      </c>
      <c r="I179" s="811">
        <f t="shared" si="11"/>
        <v>4.7450000000000001</v>
      </c>
      <c r="J179" s="811">
        <f t="shared" si="11"/>
        <v>4.8499999999999996</v>
      </c>
      <c r="K179" s="811">
        <f t="shared" si="11"/>
        <v>2.99</v>
      </c>
      <c r="L179" s="815"/>
      <c r="M179" s="987">
        <v>19</v>
      </c>
    </row>
    <row r="180" spans="2:13" x14ac:dyDescent="0.2">
      <c r="B180" s="786"/>
      <c r="C180" s="786"/>
      <c r="D180" s="794"/>
      <c r="E180" s="786"/>
      <c r="F180" s="1011" t="s">
        <v>451</v>
      </c>
      <c r="G180" s="790" t="str">
        <f>IF($H$1,IF(INDEX($R$3:$R$23,MATCH($M180,$Q$3:$Q$23,0))="",NA(),INDEX($R$3:$R$23,MATCH($M180,$Q$3:$Q$23,0))),IF(INDEX($T$3:$T$23,MATCH($M180,$Q$3:$Q$23,0))="",NA(),INDEX($T$3:$T$23,MATCH($M180,$Q$3:$Q$23,0))))</f>
        <v>GraphCashFlow</v>
      </c>
      <c r="H180" s="811">
        <f t="shared" si="11"/>
        <v>5.5666669999999998</v>
      </c>
      <c r="I180" s="811">
        <f t="shared" si="11"/>
        <v>4.7450000000000001</v>
      </c>
      <c r="J180" s="811">
        <f t="shared" si="11"/>
        <v>4.8499999999999996</v>
      </c>
      <c r="K180" s="811">
        <f t="shared" si="11"/>
        <v>2.99</v>
      </c>
      <c r="L180" s="815"/>
      <c r="M180" s="987">
        <v>20</v>
      </c>
    </row>
    <row r="181" spans="2:13" x14ac:dyDescent="0.2">
      <c r="B181" s="786"/>
      <c r="C181" s="786"/>
      <c r="D181" s="794"/>
      <c r="E181" s="786"/>
      <c r="F181" s="1011" t="s">
        <v>1159</v>
      </c>
      <c r="G181" s="790" t="str">
        <f>"Note: Financial data for fiscal " &amp; IF(TimePeriodType="Annual", "year", "quarter") &amp; " ended " &amp; TEXT('Export (F)'!$O$1, "mmmm yyyy")</f>
        <v>Note: Financial data for fiscal year ended January 2022</v>
      </c>
      <c r="H181" s="811"/>
      <c r="I181" s="811"/>
      <c r="J181" s="814"/>
      <c r="K181" s="814"/>
      <c r="L181" s="815"/>
    </row>
    <row r="182" spans="2:13" x14ac:dyDescent="0.2">
      <c r="B182" s="786"/>
      <c r="C182" s="786"/>
      <c r="D182" s="794"/>
      <c r="E182" s="786"/>
      <c r="F182" s="1011" t="s">
        <v>449</v>
      </c>
      <c r="G182" s="788" t="s">
        <v>1257</v>
      </c>
      <c r="H182" s="811"/>
      <c r="I182" s="811"/>
      <c r="J182" s="811"/>
      <c r="K182" s="811"/>
      <c r="L182" s="815"/>
    </row>
    <row r="183" spans="2:13" x14ac:dyDescent="0.2">
      <c r="B183" s="786"/>
      <c r="C183" s="786"/>
      <c r="D183" s="794"/>
      <c r="E183" s="786"/>
      <c r="G183" s="786"/>
      <c r="H183" s="811"/>
      <c r="I183" s="811"/>
      <c r="J183" s="811"/>
      <c r="K183" s="811"/>
      <c r="L183" s="815"/>
    </row>
    <row r="184" spans="2:13" x14ac:dyDescent="0.2">
      <c r="B184" s="797" t="str">
        <f>IF(C184,"Slide "&amp;RIGHT(B175,LEN(B175)-FIND(" ",B175))+1,B175)</f>
        <v>Slide 27</v>
      </c>
      <c r="C184" s="807" t="b">
        <f>$K$1</f>
        <v>1</v>
      </c>
      <c r="D184" s="808" t="s">
        <v>447</v>
      </c>
      <c r="E184" s="816" t="str">
        <f ca="1">$E$139</f>
        <v>Financial Analysis</v>
      </c>
      <c r="F184" s="1009" t="str">
        <f>IF($H$1, "SlideTitle","")</f>
        <v>SlideTitle</v>
      </c>
      <c r="G184" s="797" t="str">
        <f>IF($H$1,Input!$C$9,"")</f>
        <v>Walmart Inc.</v>
      </c>
      <c r="H184" s="809"/>
      <c r="I184" s="809"/>
      <c r="J184" s="809"/>
      <c r="K184" s="809"/>
      <c r="L184" s="815"/>
    </row>
    <row r="185" spans="2:13" x14ac:dyDescent="0.2">
      <c r="B185" s="786"/>
      <c r="C185" s="786"/>
      <c r="D185" s="794"/>
      <c r="E185" s="786"/>
      <c r="F185" s="1010" t="str">
        <f>IF($H$1, "RoadMap", "SlideTitle")</f>
        <v>RoadMap</v>
      </c>
      <c r="G185" s="810" t="str">
        <f>'Financial Analysis'!$B$160</f>
        <v>Financial Decomposition</v>
      </c>
      <c r="H185" s="811"/>
      <c r="I185" s="811"/>
      <c r="J185" s="811"/>
      <c r="K185" s="811"/>
      <c r="L185" s="815"/>
    </row>
    <row r="186" spans="2:13" x14ac:dyDescent="0.2">
      <c r="B186" s="786"/>
      <c r="C186" s="786"/>
      <c r="D186" s="794"/>
      <c r="E186" s="786"/>
      <c r="F186" s="1011" t="s">
        <v>1368</v>
      </c>
      <c r="G186" s="790" t="s">
        <v>1369</v>
      </c>
      <c r="H186" s="814">
        <v>0.73697290000000004</v>
      </c>
      <c r="I186" s="814">
        <f>IF($H$1,1.665,1.29)</f>
        <v>1.665</v>
      </c>
      <c r="J186" s="814">
        <v>9.51</v>
      </c>
      <c r="K186" s="814">
        <v>5.97</v>
      </c>
      <c r="L186" s="843" t="b">
        <v>1</v>
      </c>
    </row>
    <row r="187" spans="2:13" x14ac:dyDescent="0.2">
      <c r="B187" s="786"/>
      <c r="C187" s="786"/>
      <c r="D187" s="794"/>
      <c r="E187" s="786"/>
      <c r="F187" s="1011" t="s">
        <v>1159</v>
      </c>
      <c r="G187" s="790" t="str">
        <f>"Note: Financial data for fiscal " &amp; IF(TimePeriodType="Annual", "year", "quarter") &amp; " ended " &amp; TEXT('Export (F)'!$O$1, "mmmm yyyy")</f>
        <v>Note: Financial data for fiscal year ended January 2022</v>
      </c>
      <c r="H187" s="814"/>
      <c r="I187" s="814"/>
      <c r="J187" s="814"/>
      <c r="K187" s="814"/>
      <c r="L187" s="843"/>
    </row>
    <row r="188" spans="2:13" x14ac:dyDescent="0.2">
      <c r="B188" s="786"/>
      <c r="C188" s="786"/>
      <c r="D188" s="794"/>
      <c r="E188" s="786"/>
      <c r="F188" s="1011" t="s">
        <v>449</v>
      </c>
      <c r="G188" s="788" t="s">
        <v>1257</v>
      </c>
      <c r="H188" s="811"/>
      <c r="I188" s="811"/>
      <c r="J188" s="811"/>
      <c r="K188" s="811"/>
      <c r="L188" s="815"/>
    </row>
    <row r="189" spans="2:13" x14ac:dyDescent="0.2">
      <c r="B189" s="786"/>
      <c r="C189" s="786"/>
      <c r="D189" s="794"/>
      <c r="E189" s="786"/>
      <c r="G189" s="786"/>
      <c r="H189" s="811"/>
      <c r="I189" s="811"/>
      <c r="J189" s="811"/>
      <c r="K189" s="811"/>
      <c r="L189" s="815"/>
    </row>
    <row r="190" spans="2:13" x14ac:dyDescent="0.2">
      <c r="B190" s="797" t="str">
        <f>IF(C190,"Slide "&amp;RIGHT(B184,LEN(B184)-FIND(" ",B184))+1,B184)</f>
        <v>Slide 28</v>
      </c>
      <c r="C190" s="797" t="b">
        <f>$K$1</f>
        <v>1</v>
      </c>
      <c r="D190" s="798" t="s">
        <v>447</v>
      </c>
      <c r="E190" s="797" t="str">
        <f ca="1">MID(CELL("address",'Capital Structure'!$A$1),SEARCH("]",CELL("address",'Capital Structure'!$A$1))+1,SEARCH("'!$",CELL("address",'Capital Structure'!$A$1))-SEARCH("]",CELL("address",'Capital Structure'!$A$1))-1)</f>
        <v>Capital Structure</v>
      </c>
      <c r="F190" s="1009" t="str">
        <f>IF($H$1, "SlideTitle","")</f>
        <v>SlideTitle</v>
      </c>
      <c r="G190" s="797" t="str">
        <f>IF($H$1,Input!$C$9,"")</f>
        <v>Walmart Inc.</v>
      </c>
      <c r="H190" s="819"/>
      <c r="I190" s="819"/>
      <c r="J190" s="819"/>
      <c r="K190" s="819"/>
      <c r="L190" s="815"/>
    </row>
    <row r="191" spans="2:13" x14ac:dyDescent="0.2">
      <c r="B191" s="800"/>
      <c r="C191" s="800"/>
      <c r="D191" s="820"/>
      <c r="E191" s="800"/>
      <c r="F191" s="1010" t="str">
        <f>IF($H$1, "RoadMap", "SlideTitle")</f>
        <v>RoadMap</v>
      </c>
      <c r="G191" s="800" t="str">
        <f>"Capital Structure" &amp; IF($H$2," (1/2)","")</f>
        <v>Capital Structure</v>
      </c>
      <c r="H191" s="801"/>
      <c r="I191" s="801"/>
      <c r="J191" s="801"/>
      <c r="K191" s="801"/>
      <c r="L191" s="815"/>
    </row>
    <row r="192" spans="2:13" x14ac:dyDescent="0.2">
      <c r="B192" s="788"/>
      <c r="C192" s="788"/>
      <c r="D192" s="788"/>
      <c r="E192" s="788"/>
      <c r="F192" s="788" t="s">
        <v>448</v>
      </c>
      <c r="G192" s="821" t="s">
        <v>1366</v>
      </c>
      <c r="H192" s="814">
        <v>0.57170489999999996</v>
      </c>
      <c r="I192" s="814">
        <f>IF($H$1,1.665,1.29)</f>
        <v>1.665</v>
      </c>
      <c r="J192" s="803">
        <v>5.83</v>
      </c>
      <c r="K192" s="803">
        <v>5.88</v>
      </c>
      <c r="L192" s="901" t="b">
        <v>0</v>
      </c>
    </row>
    <row r="193" spans="2:12" x14ac:dyDescent="0.2">
      <c r="B193" s="788"/>
      <c r="C193" s="788"/>
      <c r="D193" s="788"/>
      <c r="E193" s="788"/>
      <c r="F193" s="788" t="s">
        <v>451</v>
      </c>
      <c r="G193" s="788" t="s">
        <v>271</v>
      </c>
      <c r="H193" s="814">
        <v>6.3449619999999998</v>
      </c>
      <c r="I193" s="814">
        <f>IF($H$1,1.665,1.29)</f>
        <v>1.665</v>
      </c>
      <c r="J193" s="803"/>
      <c r="K193" s="803"/>
      <c r="L193" s="790"/>
    </row>
    <row r="194" spans="2:12" x14ac:dyDescent="0.2">
      <c r="B194" s="788"/>
      <c r="C194" s="788"/>
      <c r="D194" s="788"/>
      <c r="E194" s="788"/>
      <c r="F194" s="788" t="s">
        <v>451</v>
      </c>
      <c r="G194" s="788" t="s">
        <v>928</v>
      </c>
      <c r="H194" s="814">
        <f>H193</f>
        <v>6.3449619999999998</v>
      </c>
      <c r="I194" s="814">
        <f>IF($H$1,4.9,4.54)</f>
        <v>4.9000000000000004</v>
      </c>
      <c r="J194" s="803"/>
      <c r="K194" s="803"/>
      <c r="L194" s="790"/>
    </row>
    <row r="195" spans="2:12" x14ac:dyDescent="0.2">
      <c r="B195" s="788"/>
      <c r="C195" s="788"/>
      <c r="D195" s="788"/>
      <c r="E195" s="788"/>
      <c r="F195" s="1011" t="s">
        <v>449</v>
      </c>
      <c r="G195" s="788" t="s">
        <v>1257</v>
      </c>
      <c r="H195" s="801"/>
      <c r="I195" s="801"/>
      <c r="J195" s="801"/>
      <c r="K195" s="801"/>
      <c r="L195" s="815"/>
    </row>
    <row r="196" spans="2:12" x14ac:dyDescent="0.2">
      <c r="B196" s="788"/>
      <c r="C196" s="788"/>
      <c r="D196" s="788"/>
      <c r="E196" s="788"/>
      <c r="F196" s="1011"/>
      <c r="G196" s="788"/>
      <c r="H196" s="805"/>
      <c r="I196" s="805"/>
      <c r="J196" s="805"/>
      <c r="K196" s="805"/>
      <c r="L196" s="815"/>
    </row>
    <row r="197" spans="2:12" x14ac:dyDescent="0.2">
      <c r="B197" s="797" t="str">
        <f>IF(C197,"Slide "&amp;RIGHT(B190,LEN(B190)-FIND(" ",B190))+1,B190)</f>
        <v>Slide 29</v>
      </c>
      <c r="C197" s="797" t="b">
        <f>$K$1</f>
        <v>1</v>
      </c>
      <c r="D197" s="798" t="s">
        <v>447</v>
      </c>
      <c r="E197" s="797" t="str">
        <f ca="1">MID(CELL("address",'Capital Structure'!$A$1),SEARCH("]",CELL("address",'Capital Structure'!$A$1))+1,SEARCH("'!$",CELL("address",'Capital Structure'!$A$1))-SEARCH("]",CELL("address",'Capital Structure'!$A$1))-1)</f>
        <v>Capital Structure</v>
      </c>
      <c r="F197" s="1009" t="str">
        <f>IF($H$1, "SlideTitle","")</f>
        <v>SlideTitle</v>
      </c>
      <c r="G197" s="797" t="str">
        <f>IF($H$1,Input!$C$9,"")</f>
        <v>Walmart Inc.</v>
      </c>
      <c r="H197" s="819"/>
      <c r="I197" s="819"/>
      <c r="J197" s="819"/>
      <c r="K197" s="819"/>
      <c r="L197" s="815"/>
    </row>
    <row r="198" spans="2:12" x14ac:dyDescent="0.2">
      <c r="B198" s="800"/>
      <c r="C198" s="800"/>
      <c r="D198" s="820"/>
      <c r="E198" s="800"/>
      <c r="F198" s="1010" t="str">
        <f>IF($H$1, "RoadMap", "SlideTitle")</f>
        <v>RoadMap</v>
      </c>
      <c r="G198" s="800" t="str">
        <f>"Capital Structure" &amp; IF($H$2," (2/2)","")</f>
        <v>Capital Structure</v>
      </c>
      <c r="H198" s="801"/>
      <c r="I198" s="801"/>
      <c r="J198" s="801"/>
      <c r="K198" s="801"/>
      <c r="L198" s="815"/>
    </row>
    <row r="199" spans="2:12" x14ac:dyDescent="0.2">
      <c r="B199" s="788"/>
      <c r="C199" s="788"/>
      <c r="D199" s="788"/>
      <c r="E199" s="788"/>
      <c r="F199" s="1011" t="s">
        <v>451</v>
      </c>
      <c r="G199" s="788" t="s">
        <v>927</v>
      </c>
      <c r="H199" s="822">
        <f t="shared" ref="H199:I202" si="12">H132</f>
        <v>0.56649280000000002</v>
      </c>
      <c r="I199" s="822">
        <f t="shared" si="12"/>
        <v>1.665</v>
      </c>
      <c r="J199" s="822">
        <f t="shared" ref="J199:K202" si="13">J177</f>
        <v>4.8499999999999996</v>
      </c>
      <c r="K199" s="822">
        <f t="shared" si="13"/>
        <v>2.99</v>
      </c>
      <c r="L199" s="815"/>
    </row>
    <row r="200" spans="2:12" x14ac:dyDescent="0.2">
      <c r="B200" s="788"/>
      <c r="C200" s="788"/>
      <c r="D200" s="788"/>
      <c r="E200" s="788"/>
      <c r="F200" s="1011" t="s">
        <v>451</v>
      </c>
      <c r="G200" s="788" t="s">
        <v>926</v>
      </c>
      <c r="H200" s="822">
        <f t="shared" si="12"/>
        <v>5.5666669999999998</v>
      </c>
      <c r="I200" s="822">
        <f t="shared" si="12"/>
        <v>1.665</v>
      </c>
      <c r="J200" s="822">
        <f t="shared" si="13"/>
        <v>4.8499999999999996</v>
      </c>
      <c r="K200" s="822">
        <f t="shared" si="13"/>
        <v>2.99</v>
      </c>
      <c r="L200" s="815"/>
    </row>
    <row r="201" spans="2:12" x14ac:dyDescent="0.2">
      <c r="B201" s="788"/>
      <c r="C201" s="788"/>
      <c r="D201" s="788"/>
      <c r="E201" s="788"/>
      <c r="F201" s="1011" t="s">
        <v>451</v>
      </c>
      <c r="G201" s="788" t="s">
        <v>925</v>
      </c>
      <c r="H201" s="822">
        <f t="shared" si="12"/>
        <v>0.56649280000000002</v>
      </c>
      <c r="I201" s="822">
        <f t="shared" si="12"/>
        <v>4.7450000000000001</v>
      </c>
      <c r="J201" s="822">
        <f t="shared" si="13"/>
        <v>4.8499999999999996</v>
      </c>
      <c r="K201" s="822">
        <f t="shared" si="13"/>
        <v>2.99</v>
      </c>
      <c r="L201" s="815"/>
    </row>
    <row r="202" spans="2:12" x14ac:dyDescent="0.2">
      <c r="B202" s="788"/>
      <c r="C202" s="788"/>
      <c r="D202" s="788"/>
      <c r="E202" s="788"/>
      <c r="F202" s="1011" t="s">
        <v>451</v>
      </c>
      <c r="G202" s="788" t="s">
        <v>924</v>
      </c>
      <c r="H202" s="822">
        <f t="shared" si="12"/>
        <v>5.5666669999999998</v>
      </c>
      <c r="I202" s="822">
        <f t="shared" si="12"/>
        <v>4.7450000000000001</v>
      </c>
      <c r="J202" s="822">
        <f t="shared" si="13"/>
        <v>4.8499999999999996</v>
      </c>
      <c r="K202" s="822">
        <f t="shared" si="13"/>
        <v>2.99</v>
      </c>
      <c r="L202" s="815"/>
    </row>
    <row r="203" spans="2:12" x14ac:dyDescent="0.2">
      <c r="B203" s="788"/>
      <c r="C203" s="788"/>
      <c r="D203" s="788"/>
      <c r="E203" s="788"/>
      <c r="F203" s="1011" t="s">
        <v>1159</v>
      </c>
      <c r="G203" s="790" t="str">
        <f>"Note: Financial data for fiscal year ended " &amp; TEXT('Export (F)'!$Q$1, "mmmm yyyy")</f>
        <v>Note: Financial data for fiscal year ended January 2022</v>
      </c>
      <c r="H203" s="822"/>
      <c r="I203" s="822"/>
      <c r="J203" s="801"/>
      <c r="K203" s="801"/>
      <c r="L203" s="815"/>
    </row>
    <row r="204" spans="2:12" x14ac:dyDescent="0.2">
      <c r="B204" s="788"/>
      <c r="C204" s="788"/>
      <c r="D204" s="788"/>
      <c r="E204" s="788"/>
      <c r="F204" s="1011" t="s">
        <v>449</v>
      </c>
      <c r="G204" s="788" t="s">
        <v>1257</v>
      </c>
      <c r="H204" s="801"/>
      <c r="I204" s="801"/>
      <c r="J204" s="801"/>
      <c r="K204" s="801"/>
      <c r="L204" s="815"/>
    </row>
    <row r="205" spans="2:12" x14ac:dyDescent="0.2">
      <c r="B205" s="788"/>
      <c r="C205" s="788"/>
      <c r="D205" s="788"/>
      <c r="E205" s="788"/>
      <c r="F205" s="1011"/>
      <c r="G205" s="788"/>
      <c r="H205" s="805"/>
      <c r="I205" s="805"/>
      <c r="J205" s="805"/>
      <c r="K205" s="805"/>
      <c r="L205" s="815"/>
    </row>
    <row r="206" spans="2:12" x14ac:dyDescent="0.2">
      <c r="B206" s="797" t="str">
        <f>IF(C206,"Slide "&amp;RIGHT(B197,LEN(B197)-FIND(" ",B197))+1,B197)</f>
        <v>Slide 30</v>
      </c>
      <c r="C206" s="797" t="b">
        <f>$H$1</f>
        <v>1</v>
      </c>
      <c r="D206" s="798" t="s">
        <v>447</v>
      </c>
      <c r="E206" s="797" t="str">
        <f ca="1">MID(CELL("address",'Bond Prices'!$A$1),SEARCH("]",CELL("address",'Bond Prices'!$A$1))+1,SEARCH("'!$",CELL("address",'Bond Prices'!$A$1))-SEARCH("]",CELL("address",'Bond Prices'!$A$1))-1)</f>
        <v>Bond Prices</v>
      </c>
      <c r="F206" s="1009" t="str">
        <f>IF($H$1, "SlideTitle","")</f>
        <v>SlideTitle</v>
      </c>
      <c r="G206" s="797" t="str">
        <f>IF($H$1,Input!$C$9,"")</f>
        <v>Walmart Inc.</v>
      </c>
      <c r="H206" s="799"/>
      <c r="I206" s="799"/>
      <c r="J206" s="799"/>
      <c r="K206" s="799"/>
      <c r="L206" s="815"/>
    </row>
    <row r="207" spans="2:12" x14ac:dyDescent="0.2">
      <c r="B207" s="788"/>
      <c r="C207" s="788"/>
      <c r="D207" s="788"/>
      <c r="E207" s="788"/>
      <c r="F207" s="1010" t="str">
        <f>IF($H$1, "RoadMap", "SlideTitle")</f>
        <v>RoadMap</v>
      </c>
      <c r="G207" s="788" t="s">
        <v>923</v>
      </c>
      <c r="L207" s="815"/>
    </row>
    <row r="208" spans="2:12" x14ac:dyDescent="0.2">
      <c r="B208" s="788"/>
      <c r="C208" s="788"/>
      <c r="D208" s="788"/>
      <c r="E208" s="788"/>
      <c r="F208" s="1011" t="s">
        <v>451</v>
      </c>
      <c r="G208" s="788" t="s">
        <v>271</v>
      </c>
      <c r="H208" s="814">
        <v>0.64442259999999996</v>
      </c>
      <c r="I208" s="814">
        <f>IF($H$1,1.665,1.29)</f>
        <v>1.665</v>
      </c>
      <c r="J208" s="803"/>
      <c r="K208" s="803"/>
      <c r="L208" s="815"/>
    </row>
    <row r="209" spans="2:12" x14ac:dyDescent="0.2">
      <c r="B209" s="788"/>
      <c r="C209" s="788"/>
      <c r="D209" s="788"/>
      <c r="E209" s="788"/>
      <c r="F209" s="1011" t="s">
        <v>448</v>
      </c>
      <c r="G209" s="804" t="str">
        <f>'Bond Prices'!$G$1</f>
        <v>B5:H10</v>
      </c>
      <c r="H209" s="814">
        <v>0.66666559999999997</v>
      </c>
      <c r="I209" s="814">
        <f>IF($H$1,5.615,5.22)</f>
        <v>5.6150000000000002</v>
      </c>
      <c r="J209" s="803"/>
      <c r="K209" s="803"/>
      <c r="L209" s="815" t="b">
        <v>1</v>
      </c>
    </row>
    <row r="210" spans="2:12" x14ac:dyDescent="0.2">
      <c r="B210" s="788"/>
      <c r="C210" s="788"/>
      <c r="D210" s="788"/>
      <c r="E210" s="788"/>
      <c r="F210" s="1011" t="s">
        <v>449</v>
      </c>
      <c r="G210" s="788" t="s">
        <v>1257</v>
      </c>
      <c r="H210" s="801"/>
      <c r="I210" s="801"/>
      <c r="J210" s="801"/>
      <c r="K210" s="801"/>
      <c r="L210" s="815"/>
    </row>
    <row r="211" spans="2:12" x14ac:dyDescent="0.2">
      <c r="B211" s="788"/>
      <c r="C211" s="788"/>
      <c r="D211" s="788"/>
      <c r="E211" s="788"/>
      <c r="F211" s="1011"/>
      <c r="G211" s="788"/>
      <c r="H211" s="805"/>
      <c r="I211" s="805"/>
      <c r="J211" s="805"/>
      <c r="K211" s="805"/>
      <c r="L211" s="815"/>
    </row>
    <row r="212" spans="2:12" x14ac:dyDescent="0.2">
      <c r="B212" s="797" t="str">
        <f>IF(C212,"Slide "&amp;RIGHT(B206,LEN(B206)-FIND(" ",B206))+1,B206)</f>
        <v>Slide 30</v>
      </c>
      <c r="C212" s="807" t="b">
        <f>$K$2</f>
        <v>0</v>
      </c>
      <c r="D212" s="808" t="s">
        <v>447</v>
      </c>
      <c r="E212" s="816" t="str">
        <f ca="1">MID(CELL("address",'Market Data'!$A$1),SEARCH("]",CELL("address",'Market Data'!$A$1))+1,SEARCH("'!$",CELL("address",'Market Data'!$A$1))-SEARCH("]",CELL("address",'Market Data'!$A$1))-1)</f>
        <v>Market Data</v>
      </c>
      <c r="F212" s="1009" t="str">
        <f>IF($H$1, "SlideTitle","")</f>
        <v>SlideTitle</v>
      </c>
      <c r="G212" s="797" t="str">
        <f>IF($H$1,Input!$C$9,"")</f>
        <v>Walmart Inc.</v>
      </c>
      <c r="H212" s="823"/>
      <c r="I212" s="823"/>
      <c r="J212" s="823"/>
      <c r="K212" s="823"/>
      <c r="L212" s="790"/>
    </row>
    <row r="213" spans="2:12" x14ac:dyDescent="0.2">
      <c r="B213" s="786"/>
      <c r="C213" s="786"/>
      <c r="D213" s="794"/>
      <c r="E213" s="786"/>
      <c r="F213" s="1010" t="str">
        <f>IF($H$1, "RoadMap", "SlideTitle")</f>
        <v>RoadMap</v>
      </c>
      <c r="G213" s="790" t="str">
        <f>"Market Data (1/2)"</f>
        <v>Market Data (1/2)</v>
      </c>
      <c r="H213" s="811"/>
      <c r="I213" s="811"/>
      <c r="J213" s="811"/>
      <c r="K213" s="811"/>
      <c r="L213" s="790"/>
    </row>
    <row r="214" spans="2:12" x14ac:dyDescent="0.2">
      <c r="B214" s="786"/>
      <c r="C214" s="786"/>
      <c r="D214" s="794"/>
      <c r="E214" s="790"/>
      <c r="F214" s="790" t="s">
        <v>451</v>
      </c>
      <c r="G214" s="824" t="s">
        <v>454</v>
      </c>
      <c r="H214" s="814">
        <v>0.73843610000000004</v>
      </c>
      <c r="I214" s="814">
        <v>1.2893509999999999</v>
      </c>
      <c r="J214" s="814"/>
      <c r="K214" s="814"/>
      <c r="L214" s="790"/>
    </row>
    <row r="215" spans="2:12" x14ac:dyDescent="0.2">
      <c r="B215" s="786"/>
      <c r="C215" s="786"/>
      <c r="D215" s="794"/>
      <c r="E215" s="786"/>
      <c r="F215" s="790" t="s">
        <v>448</v>
      </c>
      <c r="G215" s="825" t="str">
        <f>'Peer Data'!C3</f>
        <v>$B$5:$L$7</v>
      </c>
      <c r="H215" s="814">
        <v>0.68229119999999999</v>
      </c>
      <c r="I215" s="814">
        <v>5.1128830000000001</v>
      </c>
      <c r="J215" s="814"/>
      <c r="K215" s="814"/>
      <c r="L215" s="790" t="b">
        <f>L209</f>
        <v>1</v>
      </c>
    </row>
    <row r="216" spans="2:12" ht="51" x14ac:dyDescent="0.2">
      <c r="B216" s="786"/>
      <c r="C216" s="786"/>
      <c r="D216" s="794"/>
      <c r="E216" s="786"/>
      <c r="F216" s="1011" t="s">
        <v>1159</v>
      </c>
      <c r="G216" s="1037" t="str">
        <f>"Note: 1) The share price growth is cumulative and is calculated by rebasing it to 0% on " &amp; TEXT('Price Data'!$D$2, "dd mmmm yyyy") &amp; "; 2) Financial data in table is based on Last Twelve months"</f>
        <v>Note: 1) The share price growth is cumulative and is calculated by rebasing it to 0% on 31 March 2017; 2) Financial data in table is based on Last Twelve months</v>
      </c>
      <c r="H216" s="814"/>
      <c r="I216" s="814"/>
      <c r="J216" s="814"/>
      <c r="K216" s="814"/>
      <c r="L216" s="790"/>
    </row>
    <row r="217" spans="2:12" x14ac:dyDescent="0.2">
      <c r="B217" s="786"/>
      <c r="C217" s="786"/>
      <c r="D217" s="794"/>
      <c r="E217" s="790"/>
      <c r="F217" s="790" t="s">
        <v>449</v>
      </c>
      <c r="G217" s="788" t="s">
        <v>1257</v>
      </c>
      <c r="H217" s="811"/>
      <c r="I217" s="811"/>
      <c r="J217" s="811"/>
      <c r="K217" s="811"/>
      <c r="L217" s="790"/>
    </row>
    <row r="218" spans="2:12" x14ac:dyDescent="0.2">
      <c r="B218" s="786"/>
      <c r="C218" s="786"/>
      <c r="D218" s="794"/>
      <c r="E218" s="786"/>
      <c r="F218" s="790"/>
      <c r="G218" s="790"/>
      <c r="H218" s="811"/>
      <c r="I218" s="811"/>
      <c r="J218" s="811"/>
      <c r="K218" s="811"/>
      <c r="L218" s="790"/>
    </row>
    <row r="219" spans="2:12" x14ac:dyDescent="0.2">
      <c r="B219" s="797" t="str">
        <f>IF(C219,"Slide "&amp;RIGHT(B212,LEN(B212)-FIND(" ",B212))+1,B212)</f>
        <v>Slide 30</v>
      </c>
      <c r="C219" s="807" t="b">
        <f>$K$2</f>
        <v>0</v>
      </c>
      <c r="D219" s="808" t="s">
        <v>447</v>
      </c>
      <c r="E219" s="816" t="str">
        <f ca="1">MID(CELL("address",'Market Data'!$A$1),SEARCH("]",CELL("address",'Market Data'!$A$1))+1,SEARCH("'!$",CELL("address",'Market Data'!$A$1))-SEARCH("]",CELL("address",'Market Data'!$A$1))-1)</f>
        <v>Market Data</v>
      </c>
      <c r="F219" s="1009" t="str">
        <f>IF($H$1, "SlideTitle","")</f>
        <v>SlideTitle</v>
      </c>
      <c r="G219" s="797" t="str">
        <f>IF($H$1,Input!$C$9,"")</f>
        <v>Walmart Inc.</v>
      </c>
      <c r="H219" s="823"/>
      <c r="I219" s="823"/>
      <c r="J219" s="823"/>
      <c r="K219" s="823"/>
      <c r="L219" s="815"/>
    </row>
    <row r="220" spans="2:12" x14ac:dyDescent="0.2">
      <c r="B220" s="786"/>
      <c r="C220" s="786"/>
      <c r="D220" s="794"/>
      <c r="E220" s="786"/>
      <c r="F220" s="1010" t="str">
        <f>IF($H$1, "RoadMap", "SlideTitle")</f>
        <v>RoadMap</v>
      </c>
      <c r="G220" s="790" t="str">
        <f ca="1">E219 &amp; " (2/2)"</f>
        <v>Market Data (2/2)</v>
      </c>
      <c r="H220" s="811"/>
      <c r="I220" s="811"/>
      <c r="J220" s="811"/>
      <c r="K220" s="811"/>
      <c r="L220" s="815"/>
    </row>
    <row r="221" spans="2:12" x14ac:dyDescent="0.2">
      <c r="B221" s="786"/>
      <c r="C221" s="786"/>
      <c r="D221" s="794"/>
      <c r="E221" s="790"/>
      <c r="F221" s="1011" t="s">
        <v>451</v>
      </c>
      <c r="G221" s="824" t="s">
        <v>1124</v>
      </c>
      <c r="H221" s="814">
        <v>0.75</v>
      </c>
      <c r="I221" s="814">
        <v>1.2893509999999999</v>
      </c>
      <c r="J221" s="814">
        <v>9.5</v>
      </c>
      <c r="K221" s="814">
        <v>3.1</v>
      </c>
      <c r="L221" s="815"/>
    </row>
    <row r="222" spans="2:12" x14ac:dyDescent="0.2">
      <c r="B222" s="786"/>
      <c r="C222" s="786"/>
      <c r="D222" s="794"/>
      <c r="E222" s="790"/>
      <c r="F222" s="1011" t="s">
        <v>451</v>
      </c>
      <c r="G222" s="824" t="s">
        <v>1125</v>
      </c>
      <c r="H222" s="814">
        <v>0.75</v>
      </c>
      <c r="I222" s="814">
        <v>3.6555550000000001</v>
      </c>
      <c r="J222" s="814">
        <v>9.5</v>
      </c>
      <c r="K222" s="814">
        <v>3.1</v>
      </c>
      <c r="L222" s="815"/>
    </row>
    <row r="223" spans="2:12" ht="25.5" x14ac:dyDescent="0.2">
      <c r="B223" s="786"/>
      <c r="C223" s="786"/>
      <c r="D223" s="794"/>
      <c r="E223" s="790"/>
      <c r="F223" s="1011" t="s">
        <v>1159</v>
      </c>
      <c r="G223" s="1037" t="str">
        <f>"Note: The share price growth is cumulative and is calculated by rebasing it to 0% on " &amp; TEXT('Price Data'!$D$2, "dd mmmm yyyy")</f>
        <v>Note: The share price growth is cumulative and is calculated by rebasing it to 0% on 31 March 2017</v>
      </c>
      <c r="H223" s="814"/>
      <c r="I223" s="814"/>
      <c r="J223" s="814"/>
      <c r="K223" s="814"/>
      <c r="L223" s="815"/>
    </row>
    <row r="224" spans="2:12" x14ac:dyDescent="0.2">
      <c r="B224" s="786"/>
      <c r="C224" s="786"/>
      <c r="D224" s="794"/>
      <c r="E224" s="790"/>
      <c r="F224" s="1011" t="s">
        <v>449</v>
      </c>
      <c r="G224" s="788" t="s">
        <v>1257</v>
      </c>
      <c r="H224" s="811"/>
      <c r="I224" s="811"/>
      <c r="J224" s="811"/>
      <c r="K224" s="811"/>
      <c r="L224" s="815"/>
    </row>
    <row r="225" spans="2:13" x14ac:dyDescent="0.2">
      <c r="B225" s="786"/>
      <c r="C225" s="786"/>
      <c r="D225" s="794"/>
      <c r="E225" s="786"/>
      <c r="F225" s="1011"/>
      <c r="G225" s="790"/>
      <c r="H225" s="811"/>
      <c r="I225" s="811"/>
      <c r="J225" s="811"/>
      <c r="K225" s="811"/>
      <c r="L225" s="815"/>
    </row>
    <row r="226" spans="2:13" x14ac:dyDescent="0.2">
      <c r="B226" s="797" t="str">
        <f>IF(C226,"Slide "&amp;RIGHT(B219,LEN(B219)-FIND(" ",B219))+1,B219)</f>
        <v>Slide 30</v>
      </c>
      <c r="C226" s="807" t="b">
        <f>$H$2</f>
        <v>0</v>
      </c>
      <c r="D226" s="798" t="s">
        <v>447</v>
      </c>
      <c r="E226" s="816" t="str">
        <f ca="1">MID(CELL("address",'Peer Analysis'!$A$1),SEARCH("]",CELL("address",'Peer Analysis'!$A$1))+1,SEARCH("'!$",CELL("address",'Peer Analysis'!$A$1))-SEARCH("]",CELL("address",'Peer Analysis'!$A$1))-1)</f>
        <v>Peer Analysis</v>
      </c>
      <c r="F226" s="1009" t="s">
        <v>1243</v>
      </c>
      <c r="G226" s="797" t="s">
        <v>413</v>
      </c>
      <c r="H226" s="799"/>
      <c r="I226" s="799"/>
      <c r="J226" s="799"/>
      <c r="K226" s="799"/>
      <c r="L226" s="815"/>
      <c r="M226" s="790"/>
    </row>
    <row r="227" spans="2:13" x14ac:dyDescent="0.2">
      <c r="B227" s="797" t="str">
        <f>IF(C227,"Slide "&amp;RIGHT(B226,LEN(B226)-FIND(" ",B226))+1,B226)</f>
        <v>Slide 30</v>
      </c>
      <c r="C227" s="807" t="b">
        <f>$K$2</f>
        <v>0</v>
      </c>
      <c r="D227" s="808" t="s">
        <v>447</v>
      </c>
      <c r="E227" s="816" t="s">
        <v>1295</v>
      </c>
      <c r="F227" s="1009" t="str">
        <f>IF($H$1, "SlideTitle","")</f>
        <v>SlideTitle</v>
      </c>
      <c r="G227" s="797" t="str">
        <f>IF($H$1,Input!$C$9,"")</f>
        <v>Walmart Inc.</v>
      </c>
      <c r="H227" s="809"/>
      <c r="I227" s="809"/>
      <c r="J227" s="809"/>
      <c r="K227" s="809"/>
      <c r="L227" s="815"/>
    </row>
    <row r="228" spans="2:13" x14ac:dyDescent="0.2">
      <c r="B228" s="786"/>
      <c r="C228" s="786"/>
      <c r="D228" s="794"/>
      <c r="E228" s="786"/>
      <c r="F228" s="1010" t="str">
        <f>IF($H$1, "RoadMap", "SlideTitle")</f>
        <v>RoadMap</v>
      </c>
      <c r="G228" s="810" t="s">
        <v>1253</v>
      </c>
      <c r="H228" s="811"/>
      <c r="I228" s="811"/>
      <c r="J228" s="811"/>
      <c r="K228" s="811"/>
      <c r="L228" s="815"/>
    </row>
    <row r="229" spans="2:13" x14ac:dyDescent="0.2">
      <c r="B229" s="786"/>
      <c r="C229" s="786"/>
      <c r="D229" s="794"/>
      <c r="E229" s="786"/>
      <c r="F229" s="1011" t="s">
        <v>448</v>
      </c>
      <c r="G229" s="825" t="str">
        <f>L231</f>
        <v>$B$18:$I$20</v>
      </c>
      <c r="H229" s="814">
        <v>0.61111110000000002</v>
      </c>
      <c r="I229" s="814">
        <v>1.2893509999999999</v>
      </c>
      <c r="J229" s="803"/>
      <c r="K229" s="803"/>
      <c r="L229" s="815" t="b">
        <f>$L$12</f>
        <v>1</v>
      </c>
    </row>
    <row r="230" spans="2:13" x14ac:dyDescent="0.2">
      <c r="B230" s="786"/>
      <c r="C230" s="786"/>
      <c r="D230" s="794"/>
      <c r="E230" s="786"/>
      <c r="F230" s="1011" t="s">
        <v>1159</v>
      </c>
      <c r="G230" s="825" t="str">
        <f>"Note: Financial data for last twelve months ended " &amp; TEXT(ImpData!$B$15, "dd mmmm yyyy")</f>
        <v>Note: Financial data for last twelve months ended 31 January 2022</v>
      </c>
      <c r="H230" s="814"/>
      <c r="I230" s="814"/>
      <c r="J230" s="803"/>
      <c r="K230" s="803"/>
      <c r="L230" s="815"/>
    </row>
    <row r="231" spans="2:13" x14ac:dyDescent="0.2">
      <c r="B231" s="786"/>
      <c r="C231" s="786"/>
      <c r="D231" s="794"/>
      <c r="E231" s="786"/>
      <c r="F231" s="1011" t="s">
        <v>449</v>
      </c>
      <c r="G231" s="788" t="s">
        <v>1257</v>
      </c>
      <c r="H231" s="811"/>
      <c r="I231" s="811"/>
      <c r="J231" s="811"/>
      <c r="K231" s="811"/>
      <c r="L231" s="815" t="str">
        <f>ADDRESS(ROW(Peers_Input),COLUMN(Peers_Input)) &amp; ":" &amp; ADDRESS(ROW(Peers_Input)+NumberOfPeers+1,COLUMN(Peers_Input)+7)</f>
        <v>$B$18:$I$20</v>
      </c>
    </row>
    <row r="232" spans="2:13" x14ac:dyDescent="0.2">
      <c r="B232" s="786"/>
      <c r="C232" s="786"/>
      <c r="D232" s="794"/>
      <c r="E232" s="786"/>
      <c r="G232" s="786"/>
      <c r="H232" s="811"/>
      <c r="I232" s="811"/>
      <c r="J232" s="811"/>
      <c r="K232" s="811"/>
      <c r="L232" s="815"/>
    </row>
    <row r="233" spans="2:13" x14ac:dyDescent="0.2">
      <c r="B233" s="797" t="str">
        <f>IF(C233,"Slide "&amp;RIGHT(B227,LEN(B227)-FIND(" ",B227))+1,B227)</f>
        <v>Slide 30</v>
      </c>
      <c r="C233" s="807" t="b">
        <f>$K$2</f>
        <v>0</v>
      </c>
      <c r="D233" s="808" t="s">
        <v>447</v>
      </c>
      <c r="E233" s="816" t="str">
        <f ca="1">MID(CELL("address",'Peer Analysis'!$A$1),SEARCH("]",CELL("address",'Peer Analysis'!$A$1))+1,SEARCH("'!$",CELL("address",'Peer Analysis'!$A$1))-SEARCH("]",CELL("address",'Peer Analysis'!$A$1))-1)</f>
        <v>Peer Analysis</v>
      </c>
      <c r="F233" s="1009" t="str">
        <f>IF($H$1, "SlideTitle","")</f>
        <v>SlideTitle</v>
      </c>
      <c r="G233" s="807" t="str">
        <f>IF($H$1,Input!$C$9,"PEER ANALYSIS (2/9)")</f>
        <v>Walmart Inc.</v>
      </c>
      <c r="H233" s="809"/>
      <c r="I233" s="809"/>
      <c r="J233" s="809"/>
      <c r="K233" s="809"/>
      <c r="L233" s="815"/>
    </row>
    <row r="234" spans="2:13" x14ac:dyDescent="0.2">
      <c r="B234" s="786"/>
      <c r="C234" s="786"/>
      <c r="D234" s="794"/>
      <c r="E234" s="786"/>
      <c r="F234" s="1010" t="str">
        <f>IF($H$1, "RoadMap", "SlideTitle")</f>
        <v>RoadMap</v>
      </c>
      <c r="G234" s="810" t="s">
        <v>414</v>
      </c>
      <c r="H234" s="811"/>
      <c r="I234" s="811"/>
      <c r="J234" s="811"/>
      <c r="K234" s="811"/>
      <c r="L234" s="815"/>
    </row>
    <row r="235" spans="2:13" x14ac:dyDescent="0.2">
      <c r="B235" s="786"/>
      <c r="C235" s="786"/>
      <c r="D235" s="794"/>
      <c r="E235" s="786"/>
      <c r="F235" s="1011" t="s">
        <v>448</v>
      </c>
      <c r="G235" s="825" t="s">
        <v>1226</v>
      </c>
      <c r="H235" s="814">
        <v>0.76041669999999995</v>
      </c>
      <c r="I235" s="814">
        <v>1.2893509999999999</v>
      </c>
      <c r="J235" s="803"/>
      <c r="K235" s="803"/>
      <c r="L235" s="815" t="b">
        <f>$L$12</f>
        <v>1</v>
      </c>
    </row>
    <row r="236" spans="2:13" x14ac:dyDescent="0.2">
      <c r="B236" s="786"/>
      <c r="C236" s="786"/>
      <c r="D236" s="794"/>
      <c r="E236" s="786"/>
      <c r="F236" s="1011" t="s">
        <v>1159</v>
      </c>
      <c r="G236" s="825" t="str">
        <f>"Note: Financial data for last twelve months ended " &amp; TEXT(ImpData!$B$15, "dd mmmm yyyy")</f>
        <v>Note: Financial data for last twelve months ended 31 January 2022</v>
      </c>
      <c r="H236" s="814"/>
      <c r="I236" s="814"/>
      <c r="J236" s="803"/>
      <c r="K236" s="803"/>
      <c r="L236" s="815"/>
    </row>
    <row r="237" spans="2:13" x14ac:dyDescent="0.2">
      <c r="B237" s="786"/>
      <c r="C237" s="786"/>
      <c r="D237" s="794"/>
      <c r="E237" s="786"/>
      <c r="F237" s="1011" t="s">
        <v>449</v>
      </c>
      <c r="G237" s="788" t="s">
        <v>1257</v>
      </c>
      <c r="H237" s="811"/>
      <c r="I237" s="811"/>
      <c r="J237" s="811"/>
      <c r="K237" s="811"/>
      <c r="L237" s="815"/>
    </row>
    <row r="238" spans="2:13" x14ac:dyDescent="0.2">
      <c r="B238" s="786"/>
      <c r="C238" s="786"/>
      <c r="D238" s="794"/>
      <c r="E238" s="786"/>
      <c r="G238" s="786"/>
      <c r="H238" s="811"/>
      <c r="I238" s="811"/>
      <c r="J238" s="811"/>
      <c r="K238" s="811"/>
      <c r="L238" s="815"/>
    </row>
    <row r="239" spans="2:13" x14ac:dyDescent="0.2">
      <c r="B239" s="797" t="str">
        <f>IF(C239,"Slide "&amp;RIGHT(B233,LEN(B233)-FIND(" ",B233))+1,B233)</f>
        <v>Slide 30</v>
      </c>
      <c r="C239" s="807" t="b">
        <f>$K$2</f>
        <v>0</v>
      </c>
      <c r="D239" s="808" t="s">
        <v>447</v>
      </c>
      <c r="E239" s="816" t="str">
        <f ca="1">$E$233</f>
        <v>Peer Analysis</v>
      </c>
      <c r="F239" s="1009" t="str">
        <f>IF($H$1, "SlideTitle","")</f>
        <v>SlideTitle</v>
      </c>
      <c r="G239" s="797" t="str">
        <f>IF($H$1,Input!$C$9,"")</f>
        <v>Walmart Inc.</v>
      </c>
      <c r="H239" s="809"/>
      <c r="I239" s="809"/>
      <c r="J239" s="809"/>
      <c r="K239" s="809"/>
      <c r="L239" s="815"/>
    </row>
    <row r="240" spans="2:13" x14ac:dyDescent="0.2">
      <c r="B240" s="786"/>
      <c r="C240" s="786"/>
      <c r="D240" s="794"/>
      <c r="E240" s="786"/>
      <c r="F240" s="1010" t="str">
        <f>IF($H$1, "RoadMap", "SlideTitle")</f>
        <v>RoadMap</v>
      </c>
      <c r="G240" s="810" t="s">
        <v>1220</v>
      </c>
      <c r="H240" s="811"/>
      <c r="I240" s="811"/>
      <c r="J240" s="811"/>
      <c r="K240" s="811"/>
      <c r="L240" s="815"/>
    </row>
    <row r="241" spans="2:13" x14ac:dyDescent="0.2">
      <c r="B241" s="786"/>
      <c r="C241" s="786"/>
      <c r="D241" s="794"/>
      <c r="E241" s="786"/>
      <c r="F241" s="1011" t="s">
        <v>451</v>
      </c>
      <c r="G241" s="810" t="s">
        <v>272</v>
      </c>
      <c r="H241" s="811">
        <f t="shared" ref="H241:I244" si="14">H141</f>
        <v>0.56649280000000002</v>
      </c>
      <c r="I241" s="811">
        <f t="shared" si="14"/>
        <v>1.665</v>
      </c>
      <c r="J241" s="814">
        <v>4.8499999999999996</v>
      </c>
      <c r="K241" s="814">
        <v>2.99</v>
      </c>
      <c r="L241" s="815"/>
      <c r="M241" s="790"/>
    </row>
    <row r="242" spans="2:13" x14ac:dyDescent="0.2">
      <c r="B242" s="786"/>
      <c r="C242" s="786"/>
      <c r="D242" s="794"/>
      <c r="E242" s="786"/>
      <c r="F242" s="1011" t="s">
        <v>451</v>
      </c>
      <c r="G242" s="810" t="s">
        <v>273</v>
      </c>
      <c r="H242" s="811">
        <f t="shared" si="14"/>
        <v>5.5666669999999998</v>
      </c>
      <c r="I242" s="811">
        <f t="shared" si="14"/>
        <v>1.665</v>
      </c>
      <c r="J242" s="811">
        <f t="shared" ref="J242:K244" si="15">J241</f>
        <v>4.8499999999999996</v>
      </c>
      <c r="K242" s="811">
        <f t="shared" si="15"/>
        <v>2.99</v>
      </c>
      <c r="L242" s="815"/>
      <c r="M242" s="790"/>
    </row>
    <row r="243" spans="2:13" x14ac:dyDescent="0.2">
      <c r="B243" s="786"/>
      <c r="C243" s="786"/>
      <c r="D243" s="794"/>
      <c r="E243" s="786"/>
      <c r="F243" s="1011" t="s">
        <v>451</v>
      </c>
      <c r="G243" s="810" t="s">
        <v>285</v>
      </c>
      <c r="H243" s="811">
        <f t="shared" si="14"/>
        <v>0.56649280000000002</v>
      </c>
      <c r="I243" s="811">
        <f t="shared" si="14"/>
        <v>4.7450000000000001</v>
      </c>
      <c r="J243" s="811">
        <f t="shared" si="15"/>
        <v>4.8499999999999996</v>
      </c>
      <c r="K243" s="811">
        <f t="shared" si="15"/>
        <v>2.99</v>
      </c>
      <c r="L243" s="815"/>
      <c r="M243" s="790"/>
    </row>
    <row r="244" spans="2:13" x14ac:dyDescent="0.2">
      <c r="B244" s="786"/>
      <c r="C244" s="786"/>
      <c r="D244" s="794"/>
      <c r="E244" s="786"/>
      <c r="F244" s="1011" t="s">
        <v>451</v>
      </c>
      <c r="G244" s="810" t="s">
        <v>274</v>
      </c>
      <c r="H244" s="811">
        <f t="shared" si="14"/>
        <v>5.5666669999999998</v>
      </c>
      <c r="I244" s="811">
        <f t="shared" si="14"/>
        <v>4.7450000000000001</v>
      </c>
      <c r="J244" s="811">
        <f t="shared" si="15"/>
        <v>4.8499999999999996</v>
      </c>
      <c r="K244" s="811">
        <f t="shared" si="15"/>
        <v>2.99</v>
      </c>
      <c r="L244" s="815"/>
      <c r="M244" s="790"/>
    </row>
    <row r="245" spans="2:13" x14ac:dyDescent="0.2">
      <c r="B245" s="786"/>
      <c r="C245" s="786"/>
      <c r="D245" s="794"/>
      <c r="E245" s="786"/>
      <c r="F245" s="1011" t="s">
        <v>1159</v>
      </c>
      <c r="G245" s="790" t="str">
        <f>"Note: Financial data for calendar " &amp; IF(TimePeriodType="Annual", "year", "quarter") &amp; " ended " &amp; TEXT('Export (F)'!$O$2, "mmmm yyyy")</f>
        <v>Note: Financial data for calendar year ended January 2022</v>
      </c>
      <c r="H245" s="811"/>
      <c r="I245" s="811"/>
      <c r="J245" s="814"/>
      <c r="K245" s="814"/>
      <c r="L245" s="815"/>
      <c r="M245" s="790"/>
    </row>
    <row r="246" spans="2:13" x14ac:dyDescent="0.2">
      <c r="B246" s="786"/>
      <c r="C246" s="786"/>
      <c r="D246" s="794"/>
      <c r="E246" s="786"/>
      <c r="F246" s="1011" t="s">
        <v>449</v>
      </c>
      <c r="G246" s="788" t="s">
        <v>1257</v>
      </c>
      <c r="H246" s="811"/>
      <c r="I246" s="811"/>
      <c r="J246" s="811"/>
      <c r="K246" s="811"/>
      <c r="L246" s="815"/>
      <c r="M246" s="790"/>
    </row>
    <row r="247" spans="2:13" x14ac:dyDescent="0.2">
      <c r="B247" s="786"/>
      <c r="C247" s="786"/>
      <c r="D247" s="794"/>
      <c r="E247" s="786"/>
      <c r="G247" s="786"/>
      <c r="H247" s="811"/>
      <c r="I247" s="811"/>
      <c r="J247" s="811"/>
      <c r="K247" s="811"/>
      <c r="L247" s="815"/>
      <c r="M247" s="790"/>
    </row>
    <row r="248" spans="2:13" x14ac:dyDescent="0.2">
      <c r="B248" s="797" t="str">
        <f>IF(C248,"Slide "&amp;RIGHT(B239,LEN(B239)-FIND(" ",B239))+1,B239)</f>
        <v>Slide 30</v>
      </c>
      <c r="C248" s="807" t="b">
        <f>$K$2</f>
        <v>0</v>
      </c>
      <c r="D248" s="808" t="s">
        <v>447</v>
      </c>
      <c r="E248" s="816" t="str">
        <f ca="1">$E$233</f>
        <v>Peer Analysis</v>
      </c>
      <c r="F248" s="1009" t="str">
        <f>IF($H$1, "SlideTitle","")</f>
        <v>SlideTitle</v>
      </c>
      <c r="G248" s="797" t="str">
        <f>IF($H$1,Input!$C$9,"")</f>
        <v>Walmart Inc.</v>
      </c>
      <c r="H248" s="809"/>
      <c r="I248" s="809"/>
      <c r="J248" s="809"/>
      <c r="K248" s="809"/>
      <c r="L248" s="815"/>
      <c r="M248" s="790"/>
    </row>
    <row r="249" spans="2:13" x14ac:dyDescent="0.2">
      <c r="B249" s="786"/>
      <c r="C249" s="786"/>
      <c r="D249" s="794"/>
      <c r="E249" s="786"/>
      <c r="F249" s="1010" t="str">
        <f>IF($H$1, "RoadMap", "SlideTitle")</f>
        <v>RoadMap</v>
      </c>
      <c r="G249" s="810" t="s">
        <v>1221</v>
      </c>
      <c r="H249" s="811"/>
      <c r="I249" s="811"/>
      <c r="J249" s="811"/>
      <c r="K249" s="811"/>
      <c r="L249" s="815"/>
      <c r="M249" s="790"/>
    </row>
    <row r="250" spans="2:13" x14ac:dyDescent="0.2">
      <c r="B250" s="786"/>
      <c r="C250" s="786"/>
      <c r="D250" s="794"/>
      <c r="E250" s="786"/>
      <c r="F250" s="1011" t="s">
        <v>451</v>
      </c>
      <c r="G250" s="810" t="s">
        <v>287</v>
      </c>
      <c r="H250" s="811">
        <f t="shared" ref="H250:I253" si="16">H241</f>
        <v>0.56649280000000002</v>
      </c>
      <c r="I250" s="811">
        <f t="shared" si="16"/>
        <v>1.665</v>
      </c>
      <c r="J250" s="811">
        <f t="shared" ref="J250:K253" si="17">J241</f>
        <v>4.8499999999999996</v>
      </c>
      <c r="K250" s="811">
        <f t="shared" si="17"/>
        <v>2.99</v>
      </c>
      <c r="L250" s="815"/>
      <c r="M250" s="790"/>
    </row>
    <row r="251" spans="2:13" x14ac:dyDescent="0.2">
      <c r="B251" s="786"/>
      <c r="C251" s="786"/>
      <c r="D251" s="794"/>
      <c r="E251" s="786"/>
      <c r="F251" s="1011" t="s">
        <v>451</v>
      </c>
      <c r="G251" s="810" t="s">
        <v>286</v>
      </c>
      <c r="H251" s="811">
        <f t="shared" si="16"/>
        <v>5.5666669999999998</v>
      </c>
      <c r="I251" s="811">
        <f t="shared" si="16"/>
        <v>1.665</v>
      </c>
      <c r="J251" s="811">
        <f t="shared" si="17"/>
        <v>4.8499999999999996</v>
      </c>
      <c r="K251" s="811">
        <f t="shared" si="17"/>
        <v>2.99</v>
      </c>
      <c r="L251" s="815"/>
      <c r="M251" s="786"/>
    </row>
    <row r="252" spans="2:13" x14ac:dyDescent="0.2">
      <c r="B252" s="786"/>
      <c r="C252" s="786"/>
      <c r="D252" s="794"/>
      <c r="E252" s="786"/>
      <c r="F252" s="1011" t="s">
        <v>451</v>
      </c>
      <c r="G252" s="810" t="s">
        <v>276</v>
      </c>
      <c r="H252" s="811">
        <f t="shared" si="16"/>
        <v>0.56649280000000002</v>
      </c>
      <c r="I252" s="811">
        <f t="shared" si="16"/>
        <v>4.7450000000000001</v>
      </c>
      <c r="J252" s="811">
        <f t="shared" si="17"/>
        <v>4.8499999999999996</v>
      </c>
      <c r="K252" s="811">
        <f t="shared" si="17"/>
        <v>2.99</v>
      </c>
      <c r="L252" s="815"/>
      <c r="M252" s="790"/>
    </row>
    <row r="253" spans="2:13" x14ac:dyDescent="0.2">
      <c r="B253" s="786"/>
      <c r="C253" s="786"/>
      <c r="D253" s="794"/>
      <c r="E253" s="786"/>
      <c r="F253" s="1011" t="s">
        <v>451</v>
      </c>
      <c r="G253" s="810" t="s">
        <v>275</v>
      </c>
      <c r="H253" s="811">
        <f t="shared" si="16"/>
        <v>5.5666669999999998</v>
      </c>
      <c r="I253" s="811">
        <f t="shared" si="16"/>
        <v>4.7450000000000001</v>
      </c>
      <c r="J253" s="811">
        <f t="shared" si="17"/>
        <v>4.8499999999999996</v>
      </c>
      <c r="K253" s="811">
        <f t="shared" si="17"/>
        <v>2.99</v>
      </c>
      <c r="L253" s="815"/>
      <c r="M253" s="790"/>
    </row>
    <row r="254" spans="2:13" x14ac:dyDescent="0.2">
      <c r="B254" s="786"/>
      <c r="C254" s="786"/>
      <c r="D254" s="794"/>
      <c r="E254" s="786"/>
      <c r="F254" s="1011" t="s">
        <v>1159</v>
      </c>
      <c r="G254" s="790" t="str">
        <f>"Note: Financial data for calendar " &amp; IF(TimePeriodType="Annual", "year", "quarter") &amp; " ended " &amp; TEXT('Export (F)'!$O$2, "mmmm yyyy")</f>
        <v>Note: Financial data for calendar year ended January 2022</v>
      </c>
      <c r="H254" s="811"/>
      <c r="I254" s="811"/>
      <c r="J254" s="814"/>
      <c r="K254" s="814"/>
      <c r="L254" s="815"/>
      <c r="M254" s="790"/>
    </row>
    <row r="255" spans="2:13" x14ac:dyDescent="0.2">
      <c r="B255" s="786"/>
      <c r="C255" s="786"/>
      <c r="D255" s="794"/>
      <c r="E255" s="786"/>
      <c r="F255" s="1011" t="s">
        <v>449</v>
      </c>
      <c r="G255" s="788" t="s">
        <v>1257</v>
      </c>
      <c r="H255" s="811"/>
      <c r="I255" s="811"/>
      <c r="J255" s="811"/>
      <c r="K255" s="811"/>
      <c r="L255" s="815"/>
      <c r="M255" s="790"/>
    </row>
    <row r="256" spans="2:13" x14ac:dyDescent="0.2">
      <c r="B256" s="786"/>
      <c r="C256" s="786"/>
      <c r="D256" s="794"/>
      <c r="E256" s="786"/>
      <c r="G256" s="786"/>
      <c r="H256" s="811"/>
      <c r="I256" s="811"/>
      <c r="J256" s="811"/>
      <c r="K256" s="811"/>
      <c r="L256" s="815"/>
      <c r="M256" s="790"/>
    </row>
    <row r="257" spans="2:13" x14ac:dyDescent="0.2">
      <c r="B257" s="797" t="str">
        <f>IF(C257,"Slide "&amp;RIGHT(B248,LEN(B248)-FIND(" ",B248))+1,B248)</f>
        <v>Slide 30</v>
      </c>
      <c r="C257" s="807" t="b">
        <f>$K$2</f>
        <v>0</v>
      </c>
      <c r="D257" s="808" t="s">
        <v>447</v>
      </c>
      <c r="E257" s="816" t="str">
        <f ca="1">$E$233</f>
        <v>Peer Analysis</v>
      </c>
      <c r="F257" s="1009" t="str">
        <f>IF($H$1, "SlideTitle","")</f>
        <v>SlideTitle</v>
      </c>
      <c r="G257" s="797" t="str">
        <f>IF($H$1,Input!$C$9,"")</f>
        <v>Walmart Inc.</v>
      </c>
      <c r="H257" s="809"/>
      <c r="I257" s="809"/>
      <c r="J257" s="809"/>
      <c r="K257" s="809"/>
      <c r="L257" s="815"/>
      <c r="M257" s="790"/>
    </row>
    <row r="258" spans="2:13" x14ac:dyDescent="0.2">
      <c r="B258" s="786"/>
      <c r="C258" s="786"/>
      <c r="D258" s="794"/>
      <c r="E258" s="786"/>
      <c r="F258" s="1010" t="str">
        <f>IF($H$1, "RoadMap", "SlideTitle")</f>
        <v>RoadMap</v>
      </c>
      <c r="G258" s="810" t="s">
        <v>1222</v>
      </c>
      <c r="H258" s="811"/>
      <c r="I258" s="811"/>
      <c r="J258" s="811"/>
      <c r="K258" s="811"/>
      <c r="L258" s="815"/>
      <c r="M258" s="790"/>
    </row>
    <row r="259" spans="2:13" x14ac:dyDescent="0.2">
      <c r="B259" s="786"/>
      <c r="C259" s="786"/>
      <c r="D259" s="794"/>
      <c r="E259" s="786"/>
      <c r="F259" s="1011" t="s">
        <v>451</v>
      </c>
      <c r="G259" s="790" t="s">
        <v>277</v>
      </c>
      <c r="H259" s="811">
        <f t="shared" ref="H259:I262" si="18">H250</f>
        <v>0.56649280000000002</v>
      </c>
      <c r="I259" s="811">
        <f t="shared" si="18"/>
        <v>1.665</v>
      </c>
      <c r="J259" s="811">
        <f t="shared" ref="J259:K262" si="19">J250</f>
        <v>4.8499999999999996</v>
      </c>
      <c r="K259" s="811">
        <f t="shared" si="19"/>
        <v>2.99</v>
      </c>
      <c r="L259" s="815"/>
      <c r="M259" s="790"/>
    </row>
    <row r="260" spans="2:13" x14ac:dyDescent="0.2">
      <c r="B260" s="786"/>
      <c r="C260" s="786"/>
      <c r="D260" s="794"/>
      <c r="E260" s="786"/>
      <c r="F260" s="1011" t="s">
        <v>451</v>
      </c>
      <c r="G260" s="790" t="s">
        <v>278</v>
      </c>
      <c r="H260" s="811">
        <f t="shared" si="18"/>
        <v>5.5666669999999998</v>
      </c>
      <c r="I260" s="811">
        <f t="shared" si="18"/>
        <v>1.665</v>
      </c>
      <c r="J260" s="811">
        <f t="shared" si="19"/>
        <v>4.8499999999999996</v>
      </c>
      <c r="K260" s="811">
        <f t="shared" si="19"/>
        <v>2.99</v>
      </c>
      <c r="L260" s="815"/>
      <c r="M260" s="790"/>
    </row>
    <row r="261" spans="2:13" x14ac:dyDescent="0.2">
      <c r="B261" s="786"/>
      <c r="C261" s="786"/>
      <c r="D261" s="794"/>
      <c r="E261" s="786"/>
      <c r="F261" s="1011" t="s">
        <v>451</v>
      </c>
      <c r="G261" s="790" t="s">
        <v>279</v>
      </c>
      <c r="H261" s="811">
        <f t="shared" si="18"/>
        <v>0.56649280000000002</v>
      </c>
      <c r="I261" s="811">
        <f t="shared" si="18"/>
        <v>4.7450000000000001</v>
      </c>
      <c r="J261" s="811">
        <f t="shared" si="19"/>
        <v>4.8499999999999996</v>
      </c>
      <c r="K261" s="811">
        <f t="shared" si="19"/>
        <v>2.99</v>
      </c>
      <c r="L261" s="815"/>
      <c r="M261" s="790"/>
    </row>
    <row r="262" spans="2:13" x14ac:dyDescent="0.2">
      <c r="B262" s="786"/>
      <c r="C262" s="786"/>
      <c r="D262" s="794"/>
      <c r="E262" s="786"/>
      <c r="F262" s="1011" t="s">
        <v>451</v>
      </c>
      <c r="G262" s="790" t="s">
        <v>280</v>
      </c>
      <c r="H262" s="811">
        <f t="shared" si="18"/>
        <v>5.5666669999999998</v>
      </c>
      <c r="I262" s="811">
        <f t="shared" si="18"/>
        <v>4.7450000000000001</v>
      </c>
      <c r="J262" s="811">
        <f t="shared" si="19"/>
        <v>4.8499999999999996</v>
      </c>
      <c r="K262" s="811">
        <f t="shared" si="19"/>
        <v>2.99</v>
      </c>
      <c r="L262" s="815"/>
      <c r="M262" s="790"/>
    </row>
    <row r="263" spans="2:13" x14ac:dyDescent="0.2">
      <c r="B263" s="786"/>
      <c r="C263" s="786"/>
      <c r="D263" s="794"/>
      <c r="E263" s="786"/>
      <c r="F263" s="1011" t="s">
        <v>1159</v>
      </c>
      <c r="G263" s="790" t="str">
        <f>"Note: Financial data for calendar " &amp; IF(TimePeriodType="Annual", "year", "quarter") &amp; " ended " &amp; TEXT('Export (F)'!$O$2, "mmmm yyyy")</f>
        <v>Note: Financial data for calendar year ended January 2022</v>
      </c>
      <c r="H263" s="811"/>
      <c r="I263" s="811"/>
      <c r="J263" s="814"/>
      <c r="K263" s="814"/>
      <c r="L263" s="815"/>
      <c r="M263" s="790"/>
    </row>
    <row r="264" spans="2:13" x14ac:dyDescent="0.2">
      <c r="B264" s="786"/>
      <c r="C264" s="786"/>
      <c r="D264" s="794"/>
      <c r="E264" s="786"/>
      <c r="F264" s="1011" t="s">
        <v>449</v>
      </c>
      <c r="G264" s="788" t="s">
        <v>1257</v>
      </c>
      <c r="H264" s="811"/>
      <c r="I264" s="811"/>
      <c r="J264" s="811"/>
      <c r="K264" s="811"/>
      <c r="L264" s="815"/>
      <c r="M264" s="790"/>
    </row>
    <row r="265" spans="2:13" x14ac:dyDescent="0.2">
      <c r="B265" s="786"/>
      <c r="C265" s="786"/>
      <c r="D265" s="794"/>
      <c r="E265" s="786"/>
      <c r="G265" s="786"/>
      <c r="H265" s="811"/>
      <c r="I265" s="811"/>
      <c r="J265" s="811"/>
      <c r="K265" s="811"/>
      <c r="L265" s="815"/>
      <c r="M265" s="790"/>
    </row>
    <row r="266" spans="2:13" x14ac:dyDescent="0.2">
      <c r="B266" s="797" t="str">
        <f>IF(C266,"Slide "&amp;RIGHT(B257,LEN(B257)-FIND(" ",B257))+1,B257)</f>
        <v>Slide 30</v>
      </c>
      <c r="C266" s="807" t="b">
        <f>$K$2</f>
        <v>0</v>
      </c>
      <c r="D266" s="808" t="s">
        <v>447</v>
      </c>
      <c r="E266" s="816" t="str">
        <f ca="1">$E$233</f>
        <v>Peer Analysis</v>
      </c>
      <c r="F266" s="1009" t="str">
        <f>IF($H$1, "SlideTitle","")</f>
        <v>SlideTitle</v>
      </c>
      <c r="G266" s="797" t="str">
        <f>IF($H$1,Input!$C$9,"")</f>
        <v>Walmart Inc.</v>
      </c>
      <c r="H266" s="809"/>
      <c r="I266" s="809"/>
      <c r="J266" s="809"/>
      <c r="K266" s="809"/>
      <c r="L266" s="815"/>
      <c r="M266" s="786"/>
    </row>
    <row r="267" spans="2:13" x14ac:dyDescent="0.2">
      <c r="B267" s="786"/>
      <c r="C267" s="786"/>
      <c r="D267" s="794"/>
      <c r="E267" s="786"/>
      <c r="F267" s="1010" t="str">
        <f>IF($H$1, "RoadMap", "SlideTitle")</f>
        <v>RoadMap</v>
      </c>
      <c r="G267" s="810" t="s">
        <v>1223</v>
      </c>
      <c r="H267" s="811"/>
      <c r="I267" s="811"/>
      <c r="J267" s="811"/>
      <c r="K267" s="811"/>
      <c r="L267" s="815"/>
      <c r="M267" s="790"/>
    </row>
    <row r="268" spans="2:13" x14ac:dyDescent="0.2">
      <c r="B268" s="786"/>
      <c r="C268" s="786"/>
      <c r="D268" s="794"/>
      <c r="E268" s="786"/>
      <c r="F268" s="1011" t="s">
        <v>451</v>
      </c>
      <c r="G268" s="790" t="s">
        <v>289</v>
      </c>
      <c r="H268" s="811">
        <f t="shared" ref="H268:I271" si="20">H259</f>
        <v>0.56649280000000002</v>
      </c>
      <c r="I268" s="811">
        <f t="shared" si="20"/>
        <v>1.665</v>
      </c>
      <c r="J268" s="811">
        <f t="shared" ref="J268:K271" si="21">J259</f>
        <v>4.8499999999999996</v>
      </c>
      <c r="K268" s="811">
        <f t="shared" si="21"/>
        <v>2.99</v>
      </c>
      <c r="L268" s="815"/>
      <c r="M268" s="790"/>
    </row>
    <row r="269" spans="2:13" x14ac:dyDescent="0.2">
      <c r="B269" s="786"/>
      <c r="C269" s="786"/>
      <c r="D269" s="794"/>
      <c r="E269" s="786"/>
      <c r="F269" s="1011" t="s">
        <v>451</v>
      </c>
      <c r="G269" s="790" t="s">
        <v>284</v>
      </c>
      <c r="H269" s="811">
        <f t="shared" si="20"/>
        <v>5.5666669999999998</v>
      </c>
      <c r="I269" s="811">
        <f t="shared" si="20"/>
        <v>1.665</v>
      </c>
      <c r="J269" s="811">
        <f t="shared" si="21"/>
        <v>4.8499999999999996</v>
      </c>
      <c r="K269" s="811">
        <f t="shared" si="21"/>
        <v>2.99</v>
      </c>
      <c r="L269" s="815"/>
      <c r="M269" s="790"/>
    </row>
    <row r="270" spans="2:13" x14ac:dyDescent="0.2">
      <c r="B270" s="786"/>
      <c r="C270" s="786"/>
      <c r="D270" s="794"/>
      <c r="E270" s="786"/>
      <c r="F270" s="1011" t="s">
        <v>451</v>
      </c>
      <c r="G270" s="790" t="s">
        <v>1121</v>
      </c>
      <c r="H270" s="811">
        <f t="shared" si="20"/>
        <v>0.56649280000000002</v>
      </c>
      <c r="I270" s="811">
        <f t="shared" si="20"/>
        <v>4.7450000000000001</v>
      </c>
      <c r="J270" s="811">
        <f t="shared" si="21"/>
        <v>4.8499999999999996</v>
      </c>
      <c r="K270" s="811">
        <f t="shared" si="21"/>
        <v>2.99</v>
      </c>
      <c r="L270" s="815"/>
      <c r="M270" s="786"/>
    </row>
    <row r="271" spans="2:13" x14ac:dyDescent="0.2">
      <c r="B271" s="786"/>
      <c r="C271" s="786"/>
      <c r="D271" s="794"/>
      <c r="E271" s="786"/>
      <c r="F271" s="1011" t="s">
        <v>451</v>
      </c>
      <c r="G271" s="790" t="s">
        <v>288</v>
      </c>
      <c r="H271" s="811">
        <f t="shared" si="20"/>
        <v>5.5666669999999998</v>
      </c>
      <c r="I271" s="811">
        <f t="shared" si="20"/>
        <v>4.7450000000000001</v>
      </c>
      <c r="J271" s="811">
        <f t="shared" si="21"/>
        <v>4.8499999999999996</v>
      </c>
      <c r="K271" s="811">
        <f t="shared" si="21"/>
        <v>2.99</v>
      </c>
      <c r="L271" s="815"/>
      <c r="M271" s="786"/>
    </row>
    <row r="272" spans="2:13" x14ac:dyDescent="0.2">
      <c r="B272" s="786"/>
      <c r="C272" s="786"/>
      <c r="D272" s="794"/>
      <c r="E272" s="786"/>
      <c r="F272" s="1011" t="s">
        <v>1159</v>
      </c>
      <c r="G272" s="790" t="str">
        <f>"Note: Financial data for calendar " &amp; IF(TimePeriodType="Annual", "year", "quarter") &amp; " ended " &amp; TEXT('Export (F)'!$O$2, "mmmm yyyy")</f>
        <v>Note: Financial data for calendar year ended January 2022</v>
      </c>
      <c r="H272" s="811"/>
      <c r="I272" s="811"/>
      <c r="J272" s="814"/>
      <c r="K272" s="814"/>
      <c r="L272" s="815"/>
      <c r="M272" s="786"/>
    </row>
    <row r="273" spans="2:13" x14ac:dyDescent="0.2">
      <c r="B273" s="786"/>
      <c r="C273" s="786"/>
      <c r="D273" s="794"/>
      <c r="E273" s="786"/>
      <c r="F273" s="1011" t="s">
        <v>449</v>
      </c>
      <c r="G273" s="788" t="s">
        <v>1257</v>
      </c>
      <c r="H273" s="811"/>
      <c r="I273" s="811"/>
      <c r="J273" s="811"/>
      <c r="K273" s="811"/>
      <c r="L273" s="815"/>
      <c r="M273" s="790"/>
    </row>
    <row r="274" spans="2:13" x14ac:dyDescent="0.2">
      <c r="B274" s="786"/>
      <c r="C274" s="786"/>
      <c r="D274" s="794"/>
      <c r="E274" s="786"/>
      <c r="G274" s="786"/>
      <c r="H274" s="811"/>
      <c r="I274" s="811"/>
      <c r="J274" s="811"/>
      <c r="K274" s="811"/>
      <c r="L274" s="815"/>
      <c r="M274" s="790"/>
    </row>
    <row r="275" spans="2:13" x14ac:dyDescent="0.2">
      <c r="B275" s="797" t="str">
        <f>IF(C275,"Slide "&amp;RIGHT(B266,LEN(B266)-FIND(" ",B266))+1,B266)</f>
        <v>Slide 30</v>
      </c>
      <c r="C275" s="807" t="b">
        <f>$K$2</f>
        <v>0</v>
      </c>
      <c r="D275" s="808" t="s">
        <v>447</v>
      </c>
      <c r="E275" s="816" t="str">
        <f ca="1">$E$233</f>
        <v>Peer Analysis</v>
      </c>
      <c r="F275" s="1009" t="str">
        <f>IF($H$1, "SlideTitle","")</f>
        <v>SlideTitle</v>
      </c>
      <c r="G275" s="797" t="str">
        <f>IF($H$1,Input!$C$9,"")</f>
        <v>Walmart Inc.</v>
      </c>
      <c r="H275" s="809"/>
      <c r="I275" s="809"/>
      <c r="J275" s="809"/>
      <c r="K275" s="809"/>
      <c r="L275" s="815"/>
    </row>
    <row r="276" spans="2:13" x14ac:dyDescent="0.2">
      <c r="B276" s="786"/>
      <c r="C276" s="786"/>
      <c r="D276" s="794"/>
      <c r="E276" s="786"/>
      <c r="F276" s="1010" t="str">
        <f>IF($H$1, "RoadMap", "SlideTitle")</f>
        <v>RoadMap</v>
      </c>
      <c r="G276" s="810" t="s">
        <v>1245</v>
      </c>
      <c r="H276" s="811"/>
      <c r="I276" s="811"/>
      <c r="J276" s="811"/>
      <c r="K276" s="811"/>
      <c r="L276" s="815"/>
    </row>
    <row r="277" spans="2:13" x14ac:dyDescent="0.2">
      <c r="B277" s="786"/>
      <c r="C277" s="786"/>
      <c r="D277" s="794"/>
      <c r="E277" s="786"/>
      <c r="F277" s="1011" t="s">
        <v>451</v>
      </c>
      <c r="G277" s="810" t="s">
        <v>1126</v>
      </c>
      <c r="H277" s="811">
        <f t="shared" ref="H277:I280" si="22">H268</f>
        <v>0.56649280000000002</v>
      </c>
      <c r="I277" s="811">
        <f t="shared" si="22"/>
        <v>1.665</v>
      </c>
      <c r="J277" s="811">
        <f t="shared" ref="J277:K280" si="23">J268</f>
        <v>4.8499999999999996</v>
      </c>
      <c r="K277" s="811">
        <f t="shared" si="23"/>
        <v>2.99</v>
      </c>
      <c r="L277" s="815"/>
    </row>
    <row r="278" spans="2:13" x14ac:dyDescent="0.2">
      <c r="B278" s="786"/>
      <c r="C278" s="786"/>
      <c r="D278" s="794"/>
      <c r="E278" s="786"/>
      <c r="F278" s="1011" t="s">
        <v>451</v>
      </c>
      <c r="G278" s="810" t="s">
        <v>1127</v>
      </c>
      <c r="H278" s="811">
        <f t="shared" si="22"/>
        <v>5.5666669999999998</v>
      </c>
      <c r="I278" s="811">
        <f t="shared" si="22"/>
        <v>1.665</v>
      </c>
      <c r="J278" s="811">
        <f t="shared" si="23"/>
        <v>4.8499999999999996</v>
      </c>
      <c r="K278" s="811">
        <f t="shared" si="23"/>
        <v>2.99</v>
      </c>
      <c r="L278" s="815"/>
    </row>
    <row r="279" spans="2:13" x14ac:dyDescent="0.2">
      <c r="B279" s="786"/>
      <c r="C279" s="786"/>
      <c r="D279" s="794"/>
      <c r="E279" s="786"/>
      <c r="F279" s="1011" t="s">
        <v>451</v>
      </c>
      <c r="G279" s="790" t="s">
        <v>282</v>
      </c>
      <c r="H279" s="811">
        <f t="shared" si="22"/>
        <v>0.56649280000000002</v>
      </c>
      <c r="I279" s="811">
        <f t="shared" si="22"/>
        <v>4.7450000000000001</v>
      </c>
      <c r="J279" s="811">
        <f t="shared" si="23"/>
        <v>4.8499999999999996</v>
      </c>
      <c r="K279" s="811">
        <f t="shared" si="23"/>
        <v>2.99</v>
      </c>
      <c r="L279" s="815"/>
    </row>
    <row r="280" spans="2:13" x14ac:dyDescent="0.2">
      <c r="B280" s="786"/>
      <c r="C280" s="786"/>
      <c r="D280" s="794"/>
      <c r="E280" s="786"/>
      <c r="F280" s="1011" t="s">
        <v>451</v>
      </c>
      <c r="G280" s="787" t="s">
        <v>1164</v>
      </c>
      <c r="H280" s="811">
        <f t="shared" si="22"/>
        <v>5.5666669999999998</v>
      </c>
      <c r="I280" s="811">
        <f t="shared" si="22"/>
        <v>4.7450000000000001</v>
      </c>
      <c r="J280" s="811">
        <f t="shared" si="23"/>
        <v>4.8499999999999996</v>
      </c>
      <c r="K280" s="811">
        <f t="shared" si="23"/>
        <v>2.99</v>
      </c>
      <c r="L280" s="815"/>
    </row>
    <row r="281" spans="2:13" x14ac:dyDescent="0.2">
      <c r="B281" s="786"/>
      <c r="C281" s="786"/>
      <c r="D281" s="794"/>
      <c r="E281" s="786"/>
      <c r="F281" s="1011" t="s">
        <v>1159</v>
      </c>
      <c r="G281" s="790" t="str">
        <f>"Note: Financial data for calendar " &amp; IF(TimePeriodType="Annual", "year", "quarter") &amp; " ended " &amp; TEXT('Export (F)'!$O$2, "mmmm yyyy")</f>
        <v>Note: Financial data for calendar year ended January 2022</v>
      </c>
      <c r="H281" s="811"/>
      <c r="I281" s="811"/>
      <c r="J281" s="814"/>
      <c r="K281" s="814"/>
      <c r="L281" s="815"/>
    </row>
    <row r="282" spans="2:13" x14ac:dyDescent="0.2">
      <c r="B282" s="786"/>
      <c r="C282" s="786"/>
      <c r="D282" s="794"/>
      <c r="E282" s="786"/>
      <c r="F282" s="1011" t="s">
        <v>449</v>
      </c>
      <c r="G282" s="788" t="s">
        <v>1257</v>
      </c>
      <c r="H282" s="811"/>
      <c r="I282" s="811"/>
      <c r="J282" s="811"/>
      <c r="K282" s="811"/>
      <c r="L282" s="815"/>
    </row>
    <row r="283" spans="2:13" x14ac:dyDescent="0.2">
      <c r="B283" s="786"/>
      <c r="C283" s="786"/>
      <c r="D283" s="794"/>
      <c r="E283" s="786"/>
      <c r="G283" s="786"/>
      <c r="H283" s="811"/>
      <c r="I283" s="811"/>
      <c r="J283" s="811"/>
      <c r="K283" s="811"/>
      <c r="L283" s="815"/>
    </row>
    <row r="284" spans="2:13" x14ac:dyDescent="0.2">
      <c r="B284" s="797" t="str">
        <f>IF(C284,"Slide "&amp;RIGHT(B275,LEN(B275)-FIND(" ",B275))+1,B275)</f>
        <v>Slide 30</v>
      </c>
      <c r="C284" s="807" t="b">
        <f>$K$2</f>
        <v>0</v>
      </c>
      <c r="D284" s="808" t="s">
        <v>447</v>
      </c>
      <c r="E284" s="816" t="str">
        <f ca="1">$E$233</f>
        <v>Peer Analysis</v>
      </c>
      <c r="F284" s="1009" t="str">
        <f>IF($H$1, "SlideTitle","")</f>
        <v>SlideTitle</v>
      </c>
      <c r="G284" s="797" t="str">
        <f>IF($H$1,Input!$C$9,"")</f>
        <v>Walmart Inc.</v>
      </c>
      <c r="H284" s="809"/>
      <c r="I284" s="809"/>
      <c r="J284" s="809"/>
      <c r="K284" s="809"/>
      <c r="L284" s="815"/>
    </row>
    <row r="285" spans="2:13" x14ac:dyDescent="0.2">
      <c r="B285" s="786"/>
      <c r="C285" s="786"/>
      <c r="D285" s="794"/>
      <c r="E285" s="786"/>
      <c r="F285" s="1010" t="str">
        <f>IF($H$1, "RoadMap", "SlideTitle")</f>
        <v>RoadMap</v>
      </c>
      <c r="G285" s="810" t="s">
        <v>1244</v>
      </c>
      <c r="H285" s="811"/>
      <c r="I285" s="811"/>
      <c r="J285" s="811"/>
      <c r="K285" s="811"/>
      <c r="L285" s="815"/>
    </row>
    <row r="286" spans="2:13" x14ac:dyDescent="0.2">
      <c r="B286" s="786"/>
      <c r="C286" s="786"/>
      <c r="D286" s="794"/>
      <c r="E286" s="786"/>
      <c r="F286" s="1011" t="s">
        <v>451</v>
      </c>
      <c r="G286" s="790" t="s">
        <v>292</v>
      </c>
      <c r="H286" s="811">
        <f t="shared" ref="H286:K289" si="24">H277</f>
        <v>0.56649280000000002</v>
      </c>
      <c r="I286" s="811">
        <f t="shared" si="24"/>
        <v>1.665</v>
      </c>
      <c r="J286" s="811">
        <f t="shared" si="24"/>
        <v>4.8499999999999996</v>
      </c>
      <c r="K286" s="811">
        <f t="shared" si="24"/>
        <v>2.99</v>
      </c>
      <c r="L286" s="815"/>
    </row>
    <row r="287" spans="2:13" x14ac:dyDescent="0.2">
      <c r="B287" s="786"/>
      <c r="C287" s="786"/>
      <c r="D287" s="794"/>
      <c r="E287" s="786"/>
      <c r="F287" s="1011" t="s">
        <v>451</v>
      </c>
      <c r="G287" s="790" t="s">
        <v>293</v>
      </c>
      <c r="H287" s="811">
        <f t="shared" si="24"/>
        <v>5.5666669999999998</v>
      </c>
      <c r="I287" s="811">
        <f t="shared" si="24"/>
        <v>1.665</v>
      </c>
      <c r="J287" s="811">
        <f t="shared" si="24"/>
        <v>4.8499999999999996</v>
      </c>
      <c r="K287" s="811">
        <f t="shared" si="24"/>
        <v>2.99</v>
      </c>
      <c r="L287" s="815"/>
    </row>
    <row r="288" spans="2:13" x14ac:dyDescent="0.2">
      <c r="B288" s="786"/>
      <c r="C288" s="786"/>
      <c r="D288" s="794"/>
      <c r="E288" s="786"/>
      <c r="F288" s="1011" t="s">
        <v>451</v>
      </c>
      <c r="G288" s="790" t="s">
        <v>295</v>
      </c>
      <c r="H288" s="811">
        <f t="shared" si="24"/>
        <v>0.56649280000000002</v>
      </c>
      <c r="I288" s="811">
        <f t="shared" si="24"/>
        <v>4.7450000000000001</v>
      </c>
      <c r="J288" s="811">
        <f t="shared" si="24"/>
        <v>4.8499999999999996</v>
      </c>
      <c r="K288" s="811">
        <f t="shared" si="24"/>
        <v>2.99</v>
      </c>
      <c r="L288" s="815"/>
    </row>
    <row r="289" spans="2:12" x14ac:dyDescent="0.2">
      <c r="B289" s="786"/>
      <c r="C289" s="786"/>
      <c r="D289" s="794"/>
      <c r="E289" s="786"/>
      <c r="F289" s="1011" t="s">
        <v>451</v>
      </c>
      <c r="G289" s="790" t="s">
        <v>294</v>
      </c>
      <c r="H289" s="811">
        <f t="shared" si="24"/>
        <v>5.5666669999999998</v>
      </c>
      <c r="I289" s="811">
        <f t="shared" si="24"/>
        <v>4.7450000000000001</v>
      </c>
      <c r="J289" s="811">
        <f t="shared" si="24"/>
        <v>4.8499999999999996</v>
      </c>
      <c r="K289" s="811">
        <f t="shared" si="24"/>
        <v>2.99</v>
      </c>
      <c r="L289" s="815"/>
    </row>
    <row r="290" spans="2:12" x14ac:dyDescent="0.2">
      <c r="B290" s="786"/>
      <c r="C290" s="786"/>
      <c r="D290" s="794"/>
      <c r="E290" s="786"/>
      <c r="F290" s="1011" t="s">
        <v>1159</v>
      </c>
      <c r="G290" s="790" t="str">
        <f>"Note: Financial data for calendar " &amp; IF(TimePeriodType="Annual", "year", "quarter") &amp; " ended " &amp; TEXT('Export (F)'!$O$2, "mmmm yyyy")</f>
        <v>Note: Financial data for calendar year ended January 2022</v>
      </c>
      <c r="H290" s="811"/>
      <c r="I290" s="811"/>
      <c r="J290" s="814"/>
      <c r="K290" s="814"/>
      <c r="L290" s="815"/>
    </row>
    <row r="291" spans="2:12" x14ac:dyDescent="0.2">
      <c r="B291" s="786"/>
      <c r="C291" s="786"/>
      <c r="D291" s="794"/>
      <c r="E291" s="786"/>
      <c r="F291" s="1011" t="s">
        <v>449</v>
      </c>
      <c r="G291" s="788" t="s">
        <v>1257</v>
      </c>
      <c r="H291" s="811"/>
      <c r="I291" s="811"/>
      <c r="J291" s="811"/>
      <c r="K291" s="811"/>
      <c r="L291" s="815"/>
    </row>
    <row r="292" spans="2:12" x14ac:dyDescent="0.2">
      <c r="B292" s="786"/>
      <c r="C292" s="786"/>
      <c r="D292" s="794"/>
      <c r="E292" s="786"/>
      <c r="F292" s="1011"/>
      <c r="G292" s="790"/>
      <c r="H292" s="811"/>
      <c r="I292" s="811"/>
      <c r="J292" s="811"/>
      <c r="K292" s="811"/>
      <c r="L292" s="815"/>
    </row>
    <row r="293" spans="2:12" x14ac:dyDescent="0.2">
      <c r="B293" s="797" t="str">
        <f>IF(C293,"Slide "&amp;RIGHT(B284,LEN(B284)-FIND(" ",B284))+1,B284)</f>
        <v>Slide 30</v>
      </c>
      <c r="C293" s="807" t="b">
        <f>$K$2</f>
        <v>0</v>
      </c>
      <c r="D293" s="808" t="s">
        <v>447</v>
      </c>
      <c r="E293" s="816" t="str">
        <f ca="1">$E$233</f>
        <v>Peer Analysis</v>
      </c>
      <c r="F293" s="1009" t="str">
        <f>IF($H$1, "SlideTitle","")</f>
        <v>SlideTitle</v>
      </c>
      <c r="G293" s="797" t="str">
        <f>IF($H$1,Input!$C$9,"")</f>
        <v>Walmart Inc.</v>
      </c>
      <c r="H293" s="809"/>
      <c r="I293" s="809"/>
      <c r="J293" s="809"/>
      <c r="K293" s="809"/>
      <c r="L293" s="815"/>
    </row>
    <row r="294" spans="2:12" x14ac:dyDescent="0.2">
      <c r="B294" s="786"/>
      <c r="C294" s="786"/>
      <c r="D294" s="794"/>
      <c r="E294" s="786"/>
      <c r="F294" s="1010" t="str">
        <f>IF($H$1, "RoadMap", "SlideTitle")</f>
        <v>RoadMap</v>
      </c>
      <c r="G294" s="810" t="s">
        <v>1224</v>
      </c>
      <c r="H294" s="811"/>
      <c r="I294" s="811"/>
      <c r="J294" s="811"/>
      <c r="K294" s="811"/>
      <c r="L294" s="815"/>
    </row>
    <row r="295" spans="2:12" x14ac:dyDescent="0.2">
      <c r="B295" s="786"/>
      <c r="C295" s="786"/>
      <c r="D295" s="794"/>
      <c r="E295" s="786"/>
      <c r="F295" s="1011" t="s">
        <v>451</v>
      </c>
      <c r="G295" s="790" t="s">
        <v>1120</v>
      </c>
      <c r="H295" s="811">
        <f t="shared" ref="H295:K298" si="25">H286</f>
        <v>0.56649280000000002</v>
      </c>
      <c r="I295" s="811">
        <f t="shared" si="25"/>
        <v>1.665</v>
      </c>
      <c r="J295" s="811">
        <f t="shared" si="25"/>
        <v>4.8499999999999996</v>
      </c>
      <c r="K295" s="811">
        <f t="shared" si="25"/>
        <v>2.99</v>
      </c>
      <c r="L295" s="815"/>
    </row>
    <row r="296" spans="2:12" x14ac:dyDescent="0.2">
      <c r="B296" s="786"/>
      <c r="C296" s="786"/>
      <c r="D296" s="794"/>
      <c r="E296" s="786"/>
      <c r="F296" s="1011" t="s">
        <v>451</v>
      </c>
      <c r="G296" s="790" t="s">
        <v>283</v>
      </c>
      <c r="H296" s="811">
        <f t="shared" si="25"/>
        <v>5.5666669999999998</v>
      </c>
      <c r="I296" s="811">
        <f t="shared" si="25"/>
        <v>1.665</v>
      </c>
      <c r="J296" s="811">
        <f t="shared" si="25"/>
        <v>4.8499999999999996</v>
      </c>
      <c r="K296" s="811">
        <f t="shared" si="25"/>
        <v>2.99</v>
      </c>
      <c r="L296" s="815"/>
    </row>
    <row r="297" spans="2:12" x14ac:dyDescent="0.2">
      <c r="B297" s="786"/>
      <c r="C297" s="786"/>
      <c r="D297" s="794"/>
      <c r="E297" s="786"/>
      <c r="F297" s="1011" t="s">
        <v>451</v>
      </c>
      <c r="G297" s="790" t="s">
        <v>281</v>
      </c>
      <c r="H297" s="811">
        <f t="shared" si="25"/>
        <v>0.56649280000000002</v>
      </c>
      <c r="I297" s="811">
        <f t="shared" si="25"/>
        <v>4.7450000000000001</v>
      </c>
      <c r="J297" s="811">
        <f t="shared" si="25"/>
        <v>4.8499999999999996</v>
      </c>
      <c r="K297" s="811">
        <f t="shared" si="25"/>
        <v>2.99</v>
      </c>
      <c r="L297" s="815"/>
    </row>
    <row r="298" spans="2:12" x14ac:dyDescent="0.2">
      <c r="B298" s="786"/>
      <c r="C298" s="786"/>
      <c r="D298" s="794"/>
      <c r="E298" s="786"/>
      <c r="F298" s="1011" t="s">
        <v>451</v>
      </c>
      <c r="G298" s="810" t="s">
        <v>1155</v>
      </c>
      <c r="H298" s="811">
        <f t="shared" si="25"/>
        <v>5.5666669999999998</v>
      </c>
      <c r="I298" s="811">
        <f t="shared" si="25"/>
        <v>4.7450000000000001</v>
      </c>
      <c r="J298" s="811">
        <f t="shared" si="25"/>
        <v>4.8499999999999996</v>
      </c>
      <c r="K298" s="811">
        <f t="shared" si="25"/>
        <v>2.99</v>
      </c>
      <c r="L298" s="815"/>
    </row>
    <row r="299" spans="2:12" x14ac:dyDescent="0.2">
      <c r="B299" s="786"/>
      <c r="C299" s="786"/>
      <c r="D299" s="794"/>
      <c r="E299" s="786"/>
      <c r="F299" s="1011" t="s">
        <v>1159</v>
      </c>
      <c r="G299" s="790" t="str">
        <f>"Note: Financial data for calendar " &amp; IF(TimePeriodType="Annual", "year", "quarter") &amp; " ended " &amp; TEXT('Export (F)'!$O$2, "mmmm yyyy")</f>
        <v>Note: Financial data for calendar year ended January 2022</v>
      </c>
      <c r="H299" s="811"/>
      <c r="I299" s="811"/>
      <c r="J299" s="814"/>
      <c r="K299" s="814"/>
      <c r="L299" s="815"/>
    </row>
    <row r="300" spans="2:12" x14ac:dyDescent="0.2">
      <c r="B300" s="786"/>
      <c r="C300" s="786"/>
      <c r="D300" s="794"/>
      <c r="E300" s="786"/>
      <c r="F300" s="1011" t="s">
        <v>449</v>
      </c>
      <c r="G300" s="788" t="s">
        <v>1257</v>
      </c>
      <c r="H300" s="811"/>
      <c r="I300" s="811"/>
      <c r="J300" s="811"/>
      <c r="K300" s="811"/>
      <c r="L300" s="815"/>
    </row>
    <row r="301" spans="2:12" x14ac:dyDescent="0.2">
      <c r="B301" s="786"/>
      <c r="C301" s="786"/>
      <c r="D301" s="794"/>
      <c r="E301" s="786"/>
      <c r="F301" s="1011"/>
      <c r="G301" s="790"/>
      <c r="H301" s="811"/>
      <c r="I301" s="811"/>
      <c r="J301" s="811"/>
      <c r="K301" s="811"/>
      <c r="L301" s="815"/>
    </row>
    <row r="302" spans="2:12" x14ac:dyDescent="0.2">
      <c r="B302" s="797" t="str">
        <f>IF(C302,"Slide "&amp;RIGHT(B293,LEN(B293)-FIND(" ",B293))+1,B293)</f>
        <v>Slide 30</v>
      </c>
      <c r="C302" s="807" t="b">
        <v>0</v>
      </c>
      <c r="D302" s="808" t="s">
        <v>447</v>
      </c>
      <c r="E302" s="816" t="str">
        <f ca="1">$E$233</f>
        <v>Peer Analysis</v>
      </c>
      <c r="F302" s="1009" t="str">
        <f>IF($H$1, "SlideTitle","")</f>
        <v>SlideTitle</v>
      </c>
      <c r="G302" s="797" t="str">
        <f>IF($H$1,Input!$C$9,"")</f>
        <v>Walmart Inc.</v>
      </c>
      <c r="H302" s="809"/>
      <c r="I302" s="809"/>
      <c r="J302" s="809"/>
      <c r="K302" s="809"/>
      <c r="L302" s="815"/>
    </row>
    <row r="303" spans="2:12" x14ac:dyDescent="0.2">
      <c r="B303" s="786"/>
      <c r="C303" s="786"/>
      <c r="D303" s="794"/>
      <c r="E303" s="786"/>
      <c r="F303" s="1010" t="str">
        <f>IF($H$1, "RoadMap", "SlideTitle")</f>
        <v>RoadMap</v>
      </c>
      <c r="G303" s="810" t="str">
        <f>$G$234 &amp; " (Performance Analysis)"</f>
        <v>Summary (Performance Analysis)</v>
      </c>
      <c r="H303" s="811"/>
      <c r="I303" s="811"/>
      <c r="J303" s="811"/>
      <c r="K303" s="811"/>
      <c r="L303" s="815"/>
    </row>
    <row r="304" spans="2:12" x14ac:dyDescent="0.2">
      <c r="B304" s="786"/>
      <c r="C304" s="786"/>
      <c r="D304" s="794"/>
      <c r="E304" s="786"/>
      <c r="F304" s="1011" t="s">
        <v>451</v>
      </c>
      <c r="G304" s="790" t="s">
        <v>1122</v>
      </c>
      <c r="H304" s="811">
        <f t="shared" ref="H304:I304" si="26">H295</f>
        <v>0.56649280000000002</v>
      </c>
      <c r="I304" s="811">
        <f t="shared" si="26"/>
        <v>1.665</v>
      </c>
      <c r="J304" s="811">
        <v>4.8499999999999996</v>
      </c>
      <c r="K304" s="811">
        <v>4.8499999999999996</v>
      </c>
      <c r="L304" s="815"/>
    </row>
    <row r="305" spans="2:13" x14ac:dyDescent="0.2">
      <c r="B305" s="786"/>
      <c r="C305" s="786"/>
      <c r="D305" s="794"/>
      <c r="E305" s="786"/>
      <c r="F305" s="1011" t="s">
        <v>451</v>
      </c>
      <c r="G305" s="790" t="s">
        <v>1163</v>
      </c>
      <c r="H305" s="811">
        <f t="shared" ref="H305:I305" si="27">H296</f>
        <v>5.5666669999999998</v>
      </c>
      <c r="I305" s="811">
        <f t="shared" si="27"/>
        <v>1.665</v>
      </c>
      <c r="J305" s="811">
        <v>4.8499999999999996</v>
      </c>
      <c r="K305" s="811">
        <v>4.8499999999999996</v>
      </c>
      <c r="L305" s="832"/>
    </row>
    <row r="306" spans="2:13" x14ac:dyDescent="0.2">
      <c r="B306" s="786"/>
      <c r="C306" s="786"/>
      <c r="D306" s="794"/>
      <c r="E306" s="786"/>
      <c r="F306" s="1011" t="s">
        <v>1159</v>
      </c>
      <c r="G306" s="790" t="str">
        <f>"Note: Financial data for calendar " &amp; IF(TimePeriodType="Annual", "year", "quarter") &amp; " ended " &amp; TEXT('Export (F)'!$O$2, "mmmm yyyy")</f>
        <v>Note: Financial data for calendar year ended January 2022</v>
      </c>
      <c r="H306" s="811"/>
      <c r="I306" s="811"/>
      <c r="J306" s="811"/>
      <c r="K306" s="811"/>
      <c r="L306" s="815"/>
    </row>
    <row r="307" spans="2:13" x14ac:dyDescent="0.2">
      <c r="B307" s="786"/>
      <c r="C307" s="786"/>
      <c r="D307" s="794"/>
      <c r="E307" s="786"/>
      <c r="F307" s="1011" t="s">
        <v>449</v>
      </c>
      <c r="G307" s="788" t="s">
        <v>1257</v>
      </c>
      <c r="H307" s="811"/>
      <c r="I307" s="811"/>
      <c r="J307" s="811"/>
      <c r="K307" s="811"/>
      <c r="L307" s="815"/>
    </row>
    <row r="308" spans="2:13" x14ac:dyDescent="0.2">
      <c r="B308" s="786"/>
      <c r="C308" s="786"/>
      <c r="D308" s="794"/>
      <c r="E308" s="786"/>
      <c r="F308" s="1011"/>
      <c r="G308" s="790"/>
      <c r="H308" s="811"/>
      <c r="I308" s="811"/>
      <c r="J308" s="811"/>
      <c r="K308" s="811"/>
      <c r="L308" s="815"/>
    </row>
    <row r="309" spans="2:13" x14ac:dyDescent="0.2">
      <c r="B309" s="797" t="str">
        <f>IF(C309,"Slide "&amp;RIGHT(B302,LEN(B302)-FIND(" ",B302))+1,B302)</f>
        <v>Slide 31</v>
      </c>
      <c r="C309" s="797" t="b">
        <f>$H$1</f>
        <v>1</v>
      </c>
      <c r="D309" s="798" t="s">
        <v>447</v>
      </c>
      <c r="E309" s="797" t="str">
        <f ca="1">MID(CELL("address",'Private Ownership'!$A$1),SEARCH("]",CELL("address",'Private Ownership'!$A$1))+1,SEARCH("'!$",CELL("address",'Private Ownership'!$A$1))-SEARCH("]",CELL("address",'Private Ownership'!$A$1))-1)</f>
        <v>Private Ownership</v>
      </c>
      <c r="F309" s="1009" t="s">
        <v>1243</v>
      </c>
      <c r="G309" s="797" t="s">
        <v>1255</v>
      </c>
      <c r="H309" s="799"/>
      <c r="I309" s="799"/>
      <c r="J309" s="799"/>
      <c r="K309" s="799"/>
      <c r="L309" s="815"/>
      <c r="M309" s="790"/>
    </row>
    <row r="310" spans="2:13" x14ac:dyDescent="0.2">
      <c r="B310" s="797" t="str">
        <f>IF(C310,"Slide "&amp;RIGHT(B309,LEN(B309)-FIND(" ",B309))+1,B309)</f>
        <v>Slide 32</v>
      </c>
      <c r="C310" s="797" t="b">
        <f>$H$1</f>
        <v>1</v>
      </c>
      <c r="D310" s="798" t="s">
        <v>447</v>
      </c>
      <c r="E310" s="797" t="str">
        <f ca="1">MID(CELL("address",'Private Ownership'!$A$1),SEARCH("]",CELL("address",'Private Ownership'!$A$1))+1,SEARCH("'!$",CELL("address",'Private Ownership'!$A$1))-SEARCH("]",CELL("address",'Private Ownership'!$A$1))-1)</f>
        <v>Private Ownership</v>
      </c>
      <c r="F310" s="1009" t="str">
        <f>IF($H$1, "SlideTitle","")</f>
        <v>SlideTitle</v>
      </c>
      <c r="G310" s="797" t="str">
        <f>IF($H$1,Input!$C$9,"")</f>
        <v>Walmart Inc.</v>
      </c>
      <c r="H310" s="799"/>
      <c r="I310" s="799"/>
      <c r="J310" s="799"/>
      <c r="K310" s="799"/>
      <c r="L310" s="815"/>
    </row>
    <row r="311" spans="2:13" x14ac:dyDescent="0.2">
      <c r="B311" s="788"/>
      <c r="C311" s="788"/>
      <c r="D311" s="788"/>
      <c r="E311" s="788"/>
      <c r="F311" s="1010" t="str">
        <f>IF($H$1, "RoadMap", "SlideTitle")</f>
        <v>RoadMap</v>
      </c>
      <c r="G311" s="788" t="s">
        <v>590</v>
      </c>
      <c r="L311" s="815"/>
    </row>
    <row r="312" spans="2:13" x14ac:dyDescent="0.2">
      <c r="B312" s="788"/>
      <c r="C312" s="788"/>
      <c r="D312" s="788"/>
      <c r="E312" s="788"/>
      <c r="F312" s="1011" t="s">
        <v>448</v>
      </c>
      <c r="G312" s="804" t="str">
        <f>+'Private Ownership'!G1</f>
        <v>B5:I9</v>
      </c>
      <c r="H312" s="814">
        <v>0.25</v>
      </c>
      <c r="I312" s="814">
        <f>IF($H$1,1.665,1.29)</f>
        <v>1.665</v>
      </c>
      <c r="J312" s="803"/>
      <c r="K312" s="803"/>
      <c r="L312" s="815" t="b">
        <f>$L$235</f>
        <v>1</v>
      </c>
    </row>
    <row r="313" spans="2:13" x14ac:dyDescent="0.2">
      <c r="B313" s="788"/>
      <c r="C313" s="788"/>
      <c r="D313" s="788"/>
      <c r="E313" s="788"/>
      <c r="F313" s="1011" t="s">
        <v>449</v>
      </c>
      <c r="G313" s="788" t="s">
        <v>1257</v>
      </c>
      <c r="H313" s="801"/>
      <c r="I313" s="801"/>
      <c r="J313" s="801"/>
      <c r="K313" s="801"/>
      <c r="L313" s="815"/>
    </row>
    <row r="314" spans="2:13" x14ac:dyDescent="0.2">
      <c r="B314" s="788"/>
      <c r="C314" s="788"/>
      <c r="D314" s="788"/>
      <c r="E314" s="788"/>
      <c r="F314" s="1011"/>
      <c r="G314" s="788"/>
      <c r="H314" s="805"/>
      <c r="I314" s="805"/>
      <c r="J314" s="805"/>
      <c r="K314" s="805"/>
      <c r="L314" s="844"/>
    </row>
    <row r="315" spans="2:13" x14ac:dyDescent="0.2">
      <c r="B315" s="797" t="str">
        <f>IF(C315,"Slide "&amp;RIGHT(B310,LEN(B310)-FIND(" ",B310))+1,B310)</f>
        <v>Slide 33</v>
      </c>
      <c r="C315" s="797" t="b">
        <f>$K$1</f>
        <v>1</v>
      </c>
      <c r="D315" s="798" t="s">
        <v>447</v>
      </c>
      <c r="E315" s="797" t="str">
        <f ca="1">MID(CELL("address",'M&amp;A Transactions'!$A$2),SEARCH("]",CELL("address",'M&amp;A Transactions'!$A$2))+1,SEARCH("'!$",CELL("address",'M&amp;A Transactions'!$A$2))-SEARCH("]",CELL("address",'M&amp;A Transactions'!$A$2))-1)</f>
        <v>M&amp;A Transactions</v>
      </c>
      <c r="F315" s="1009" t="s">
        <v>1243</v>
      </c>
      <c r="G315" s="797" t="str">
        <f>IF($H$2, "M&amp;A Deals", "Advisors and M&amp;A Deals")</f>
        <v>Advisors and M&amp;A Deals</v>
      </c>
      <c r="H315" s="799"/>
      <c r="I315" s="799"/>
      <c r="J315" s="799"/>
      <c r="K315" s="799"/>
      <c r="L315" s="815"/>
      <c r="M315" s="790"/>
    </row>
    <row r="316" spans="2:13" x14ac:dyDescent="0.2">
      <c r="B316" s="797" t="str">
        <f>IF(C316,"Slide "&amp;RIGHT(B315,LEN(B315)-FIND(" ",B315))+1,B315)</f>
        <v>Slide 34</v>
      </c>
      <c r="C316" s="797" t="b">
        <f>$H$1</f>
        <v>1</v>
      </c>
      <c r="D316" s="798" t="s">
        <v>447</v>
      </c>
      <c r="E316" s="797" t="s">
        <v>629</v>
      </c>
      <c r="F316" s="1009" t="str">
        <f>IF($H$1, "SlideTitle","")</f>
        <v>SlideTitle</v>
      </c>
      <c r="G316" s="797" t="str">
        <f>IF($H$1,Input!$C$9,"")</f>
        <v>Walmart Inc.</v>
      </c>
      <c r="H316" s="799"/>
      <c r="I316" s="799"/>
      <c r="J316" s="799"/>
      <c r="K316" s="799"/>
      <c r="L316" s="845"/>
    </row>
    <row r="317" spans="2:13" x14ac:dyDescent="0.2">
      <c r="B317" s="788"/>
      <c r="C317" s="788"/>
      <c r="D317" s="788"/>
      <c r="E317" s="788"/>
      <c r="F317" s="1010" t="str">
        <f>IF($H$1, "RoadMap", "SlideTitle")</f>
        <v>RoadMap</v>
      </c>
      <c r="G317" s="788" t="str">
        <f>Advisors!$B$3</f>
        <v>Financial and Legal Advisors</v>
      </c>
      <c r="L317" s="845"/>
    </row>
    <row r="318" spans="2:13" x14ac:dyDescent="0.2">
      <c r="B318" s="788"/>
      <c r="C318" s="788"/>
      <c r="D318" s="788"/>
      <c r="E318" s="788"/>
      <c r="F318" s="1011" t="s">
        <v>448</v>
      </c>
      <c r="G318" s="788" t="str">
        <f>Advisors!$C$1</f>
        <v>B5:E22</v>
      </c>
      <c r="H318" s="814">
        <v>1.19</v>
      </c>
      <c r="I318" s="814">
        <f>IF($H$1,1.665,1.29)</f>
        <v>1.665</v>
      </c>
      <c r="J318" s="803"/>
      <c r="K318" s="803"/>
      <c r="L318" s="815" t="b">
        <v>1</v>
      </c>
    </row>
    <row r="319" spans="2:13" ht="38.25" x14ac:dyDescent="0.2">
      <c r="B319" s="788"/>
      <c r="C319" s="788"/>
      <c r="D319" s="788"/>
      <c r="E319" s="788"/>
      <c r="F319" s="1011" t="s">
        <v>1159</v>
      </c>
      <c r="G319" s="846" t="s">
        <v>1248</v>
      </c>
      <c r="H319" s="803"/>
      <c r="I319" s="803"/>
      <c r="J319" s="803"/>
      <c r="K319" s="803"/>
      <c r="L319" s="815"/>
    </row>
    <row r="320" spans="2:13" x14ac:dyDescent="0.2">
      <c r="B320" s="788"/>
      <c r="C320" s="788"/>
      <c r="D320" s="788"/>
      <c r="E320" s="788"/>
      <c r="F320" s="1011" t="s">
        <v>449</v>
      </c>
      <c r="G320" s="788" t="s">
        <v>1257</v>
      </c>
      <c r="H320" s="801"/>
      <c r="I320" s="801"/>
      <c r="J320" s="801"/>
      <c r="K320" s="801"/>
      <c r="L320" s="845"/>
    </row>
    <row r="321" spans="2:13" x14ac:dyDescent="0.2">
      <c r="B321" s="788"/>
      <c r="C321" s="788"/>
      <c r="D321" s="788"/>
      <c r="E321" s="788"/>
      <c r="F321" s="1011"/>
      <c r="G321" s="788"/>
      <c r="H321" s="804"/>
      <c r="I321" s="804"/>
      <c r="J321" s="804"/>
      <c r="K321" s="804"/>
      <c r="L321" s="845"/>
    </row>
    <row r="322" spans="2:13" x14ac:dyDescent="0.2">
      <c r="B322" s="797" t="str">
        <f>IF(C322,"Slide "&amp;RIGHT(B316,LEN(B316)-FIND(" ",B316))+1,B316)</f>
        <v>Slide 35</v>
      </c>
      <c r="C322" s="797" t="b">
        <f>$K$1</f>
        <v>1</v>
      </c>
      <c r="D322" s="798" t="s">
        <v>447</v>
      </c>
      <c r="E322" s="797" t="str">
        <f ca="1">MID(CELL("address",'M&amp;A Transactions'!$A$2),SEARCH("]",CELL("address",'M&amp;A Transactions'!$A$2))+1,SEARCH("'!$",CELL("address",'M&amp;A Transactions'!$A$2))-SEARCH("]",CELL("address",'M&amp;A Transactions'!$A$2))-1)</f>
        <v>M&amp;A Transactions</v>
      </c>
      <c r="F322" s="1009" t="str">
        <f>IF($H$1, "SlideTitle","")</f>
        <v>SlideTitle</v>
      </c>
      <c r="G322" s="797" t="str">
        <f>IF($H$1,Input!$C$9,"")</f>
        <v>Walmart Inc.</v>
      </c>
      <c r="H322" s="799"/>
      <c r="I322" s="799"/>
      <c r="J322" s="799"/>
      <c r="K322" s="799"/>
      <c r="L322" s="845"/>
      <c r="M322" s="790"/>
    </row>
    <row r="323" spans="2:13" x14ac:dyDescent="0.2">
      <c r="B323" s="788"/>
      <c r="C323" s="788"/>
      <c r="D323" s="788"/>
      <c r="E323" s="788"/>
      <c r="F323" s="1010" t="str">
        <f>IF($H$1, "RoadMap", "SlideTitle")</f>
        <v>RoadMap</v>
      </c>
      <c r="G323" s="788" t="s">
        <v>1154</v>
      </c>
      <c r="L323" s="815"/>
      <c r="M323" s="790"/>
    </row>
    <row r="324" spans="2:13" x14ac:dyDescent="0.2">
      <c r="B324" s="788"/>
      <c r="C324" s="788"/>
      <c r="D324" s="788"/>
      <c r="E324" s="788"/>
      <c r="F324" s="1011" t="s">
        <v>448</v>
      </c>
      <c r="G324" s="788" t="str">
        <f>'M&amp;A Transactions'!C1</f>
        <v>A4:F20</v>
      </c>
      <c r="H324" s="814">
        <v>0.57325669999999995</v>
      </c>
      <c r="I324" s="814">
        <f>IF($H$1,1.665,1.29)</f>
        <v>1.665</v>
      </c>
      <c r="J324" s="803"/>
      <c r="K324" s="803"/>
      <c r="L324" s="815" t="b">
        <f>L318</f>
        <v>1</v>
      </c>
      <c r="M324" s="790"/>
    </row>
    <row r="325" spans="2:13" ht="51" x14ac:dyDescent="0.2">
      <c r="B325" s="788"/>
      <c r="C325" s="788"/>
      <c r="D325" s="788"/>
      <c r="E325" s="788"/>
      <c r="F325" s="1011" t="s">
        <v>1159</v>
      </c>
      <c r="G325" s="847" t="s">
        <v>1249</v>
      </c>
      <c r="H325" s="828"/>
      <c r="I325" s="828"/>
      <c r="J325" s="803"/>
      <c r="K325" s="803"/>
      <c r="L325" s="815"/>
      <c r="M325" s="790"/>
    </row>
    <row r="326" spans="2:13" x14ac:dyDescent="0.2">
      <c r="B326" s="788"/>
      <c r="C326" s="788"/>
      <c r="D326" s="788"/>
      <c r="E326" s="788"/>
      <c r="F326" s="1011" t="s">
        <v>449</v>
      </c>
      <c r="G326" s="788" t="s">
        <v>1257</v>
      </c>
      <c r="H326" s="801"/>
      <c r="I326" s="801"/>
      <c r="J326" s="801"/>
      <c r="K326" s="801"/>
      <c r="L326" s="815"/>
      <c r="M326" s="790"/>
    </row>
    <row r="327" spans="2:13" x14ac:dyDescent="0.2">
      <c r="B327" s="788"/>
      <c r="C327" s="788"/>
      <c r="D327" s="788"/>
      <c r="E327" s="788"/>
      <c r="F327" s="1011"/>
      <c r="G327" s="788"/>
      <c r="H327" s="804"/>
      <c r="I327" s="804"/>
      <c r="J327" s="804"/>
      <c r="K327" s="804"/>
      <c r="L327" s="815"/>
      <c r="M327" s="786"/>
    </row>
    <row r="328" spans="2:13" x14ac:dyDescent="0.2">
      <c r="B328" s="797" t="str">
        <f>IF(C328,"Slide "&amp;RIGHT(B322,LEN(B322)-FIND(" ",B322))+1,B322)</f>
        <v>Slide 36</v>
      </c>
      <c r="C328" s="797" t="b">
        <f>$K$1</f>
        <v>1</v>
      </c>
      <c r="D328" s="798" t="s">
        <v>447</v>
      </c>
      <c r="E328" s="797" t="str">
        <f ca="1">MID(CELL("address",'Key Developments'!$A$1),SEARCH("]",CELL("address",'Key Developments'!$A$1))+1,SEARCH("'!$",CELL("address",'Key Developments'!$A$1))-SEARCH("]",CELL("address",'Key Developments'!$A$1))-1)</f>
        <v>Key Developments</v>
      </c>
      <c r="F328" s="1009" t="s">
        <v>1243</v>
      </c>
      <c r="G328" s="797" t="s">
        <v>1246</v>
      </c>
      <c r="H328" s="799"/>
      <c r="I328" s="799"/>
      <c r="J328" s="799"/>
      <c r="K328" s="799"/>
      <c r="L328" s="815"/>
      <c r="M328" s="790"/>
    </row>
    <row r="329" spans="2:13" x14ac:dyDescent="0.2">
      <c r="B329" s="797" t="str">
        <f>IF(C329,"Slide "&amp;RIGHT(B328,LEN(B328)-FIND(" ",B328))+1,B328)</f>
        <v>Slide 37</v>
      </c>
      <c r="C329" s="797" t="b">
        <f>IF(AND($K$1,G331&lt;&gt;0),TRUE,FALSE)</f>
        <v>1</v>
      </c>
      <c r="D329" s="798" t="s">
        <v>447</v>
      </c>
      <c r="E329" s="797" t="str">
        <f ca="1">MID(CELL("address",'Key Developments'!$A$1),SEARCH("]",CELL("address",'Key Developments'!$A$1))+1,SEARCH("'!$",CELL("address",'Key Developments'!$A$1))-SEARCH("]",CELL("address",'Key Developments'!$A$1))-1)</f>
        <v>Key Developments</v>
      </c>
      <c r="F329" s="1009" t="str">
        <f>IF($H$1, "SlideTitle","")</f>
        <v>SlideTitle</v>
      </c>
      <c r="G329" s="797" t="str">
        <f>IF($H$1,Input!$C$9,"")</f>
        <v>Walmart Inc.</v>
      </c>
      <c r="H329" s="799"/>
      <c r="I329" s="799"/>
      <c r="J329" s="799"/>
      <c r="K329" s="799"/>
      <c r="L329" s="815"/>
    </row>
    <row r="330" spans="2:13" x14ac:dyDescent="0.2">
      <c r="B330" s="788"/>
      <c r="C330" s="788"/>
      <c r="D330" s="788"/>
      <c r="E330" s="788"/>
      <c r="F330" s="1010" t="str">
        <f>IF($H$1, "RoadMap", "SlideTitle")</f>
        <v>RoadMap</v>
      </c>
      <c r="G330" s="788" t="str">
        <f>IF($H$1,'Key Developments'!A3,'Key Developments'!A3 &amp;" (1/" &amp; COUNTIF(C329:C347,TRUE) &amp; ")")</f>
        <v>Key Developments</v>
      </c>
      <c r="L330" s="815"/>
    </row>
    <row r="331" spans="2:13" x14ac:dyDescent="0.2">
      <c r="B331" s="788"/>
      <c r="C331" s="788"/>
      <c r="D331" s="788"/>
      <c r="E331" s="788"/>
      <c r="F331" s="1011" t="s">
        <v>448</v>
      </c>
      <c r="G331" s="788" t="str">
        <f>'Key Developments'!A1</f>
        <v>A5:C49</v>
      </c>
      <c r="H331" s="814">
        <v>0.25</v>
      </c>
      <c r="I331" s="814">
        <f>IF($H$1,1.665,1.29)</f>
        <v>1.665</v>
      </c>
      <c r="J331" s="803"/>
      <c r="K331" s="803"/>
      <c r="L331" s="815" t="b">
        <f>L324</f>
        <v>1</v>
      </c>
    </row>
    <row r="332" spans="2:13" x14ac:dyDescent="0.2">
      <c r="B332" s="788"/>
      <c r="C332" s="788"/>
      <c r="D332" s="788"/>
      <c r="E332" s="788"/>
      <c r="F332" s="1011" t="s">
        <v>1159</v>
      </c>
      <c r="G332" s="847" t="s">
        <v>1217</v>
      </c>
      <c r="H332" s="828"/>
      <c r="I332" s="828"/>
      <c r="J332" s="803"/>
      <c r="K332" s="803"/>
      <c r="L332" s="815"/>
    </row>
    <row r="333" spans="2:13" x14ac:dyDescent="0.2">
      <c r="B333" s="788"/>
      <c r="C333" s="788"/>
      <c r="D333" s="788"/>
      <c r="E333" s="788"/>
      <c r="F333" s="1011" t="s">
        <v>449</v>
      </c>
      <c r="G333" s="788" t="s">
        <v>1257</v>
      </c>
      <c r="H333" s="801"/>
      <c r="I333" s="801"/>
      <c r="J333" s="801"/>
      <c r="K333" s="801"/>
      <c r="L333" s="815"/>
    </row>
    <row r="334" spans="2:13" x14ac:dyDescent="0.2">
      <c r="B334" s="788"/>
      <c r="C334" s="788"/>
      <c r="D334" s="788"/>
      <c r="E334" s="788"/>
      <c r="F334" s="1011"/>
      <c r="G334" s="788"/>
      <c r="H334" s="805"/>
      <c r="I334" s="805"/>
      <c r="J334" s="805"/>
      <c r="K334" s="805"/>
      <c r="L334" s="848"/>
    </row>
    <row r="335" spans="2:13" x14ac:dyDescent="0.2">
      <c r="B335" s="797" t="str">
        <f>IF(C335,"Slide "&amp;RIGHT(B329,LEN(B329)-FIND(" ",B329))+1,B329)</f>
        <v>Slide 38</v>
      </c>
      <c r="C335" s="797" t="b">
        <f>IF(AND($K$1,G337&lt;&gt;0),TRUE,FALSE)</f>
        <v>1</v>
      </c>
      <c r="D335" s="798" t="s">
        <v>447</v>
      </c>
      <c r="E335" s="797" t="str">
        <f ca="1">MID(CELL("address",'Key Developments'!$A$1),SEARCH("]",CELL("address",'Key Developments'!$A$1))+1,SEARCH("'!$",CELL("address",'Key Developments'!$A$1))-SEARCH("]",CELL("address",'Key Developments'!$A$1))-1)</f>
        <v>Key Developments</v>
      </c>
      <c r="F335" s="1009" t="str">
        <f>IF($H$1, "SlideTitle","")</f>
        <v>SlideTitle</v>
      </c>
      <c r="G335" s="797" t="str">
        <f>IF($H$1,Input!$C$9,"")</f>
        <v>Walmart Inc.</v>
      </c>
      <c r="H335" s="799"/>
      <c r="I335" s="799"/>
      <c r="J335" s="799"/>
      <c r="K335" s="799"/>
      <c r="L335" s="848"/>
    </row>
    <row r="336" spans="2:13" x14ac:dyDescent="0.2">
      <c r="B336" s="788"/>
      <c r="C336" s="788"/>
      <c r="D336" s="788"/>
      <c r="E336" s="788"/>
      <c r="F336" s="1010" t="str">
        <f>IF($H$1, "RoadMap", "SlideTitle")</f>
        <v>RoadMap</v>
      </c>
      <c r="G336" s="788" t="str">
        <f>IF($H$1,'Key Developments'!A3,LEFT(G330, SEARCH("(",G330,1)) &amp; VALUE(MID(G330, SEARCH("(",G330,1)+1, SEARCH("/",G330,1)-SEARCH("(",G330,1)-1))+1 &amp; RIGHT(G330, LEN(G330)-SEARCH("/",G330,1)+1))</f>
        <v>Key Developments</v>
      </c>
      <c r="L336" s="848"/>
    </row>
    <row r="337" spans="2:13" x14ac:dyDescent="0.2">
      <c r="B337" s="788"/>
      <c r="C337" s="788"/>
      <c r="D337" s="788"/>
      <c r="E337" s="788"/>
      <c r="F337" s="1011" t="s">
        <v>448</v>
      </c>
      <c r="G337" s="788" t="str">
        <f>'Key Developments'!B1</f>
        <v>A51:C164</v>
      </c>
      <c r="H337" s="831">
        <f>H331</f>
        <v>0.25</v>
      </c>
      <c r="I337" s="831">
        <f>I331</f>
        <v>1.665</v>
      </c>
      <c r="J337" s="803"/>
      <c r="K337" s="803"/>
      <c r="L337" s="848" t="b">
        <f>L331</f>
        <v>1</v>
      </c>
    </row>
    <row r="338" spans="2:13" x14ac:dyDescent="0.2">
      <c r="B338" s="788"/>
      <c r="C338" s="788"/>
      <c r="D338" s="788"/>
      <c r="E338" s="788"/>
      <c r="F338" s="1011" t="s">
        <v>1159</v>
      </c>
      <c r="G338" s="847" t="s">
        <v>1217</v>
      </c>
      <c r="H338" s="828"/>
      <c r="I338" s="828"/>
      <c r="J338" s="803"/>
      <c r="K338" s="803"/>
      <c r="L338" s="815"/>
    </row>
    <row r="339" spans="2:13" x14ac:dyDescent="0.2">
      <c r="B339" s="788"/>
      <c r="C339" s="788"/>
      <c r="D339" s="788"/>
      <c r="E339" s="788"/>
      <c r="F339" s="1011" t="s">
        <v>449</v>
      </c>
      <c r="G339" s="788" t="s">
        <v>1257</v>
      </c>
      <c r="H339" s="801"/>
      <c r="I339" s="801"/>
      <c r="J339" s="801"/>
      <c r="K339" s="801"/>
      <c r="L339" s="848"/>
    </row>
    <row r="340" spans="2:13" x14ac:dyDescent="0.2">
      <c r="B340" s="788"/>
      <c r="C340" s="788"/>
      <c r="D340" s="788"/>
      <c r="E340" s="788"/>
      <c r="F340" s="1011"/>
      <c r="G340" s="788"/>
      <c r="H340" s="805"/>
      <c r="I340" s="805"/>
      <c r="J340" s="805"/>
      <c r="K340" s="805"/>
      <c r="L340" s="848"/>
    </row>
    <row r="341" spans="2:13" x14ac:dyDescent="0.2">
      <c r="B341" s="797" t="str">
        <f>IF(C341,"Slide "&amp;RIGHT(B335,LEN(B335)-FIND(" ",B335))+1,B335)</f>
        <v>Slide 39</v>
      </c>
      <c r="C341" s="797" t="b">
        <f>IF(AND($K$1,G343&lt;&gt;0),TRUE,FALSE)</f>
        <v>1</v>
      </c>
      <c r="D341" s="798" t="s">
        <v>447</v>
      </c>
      <c r="E341" s="797" t="str">
        <f ca="1">MID(CELL("address",'Key Developments'!$A$1),SEARCH("]",CELL("address",'Key Developments'!$A$1))+1,SEARCH("'!$",CELL("address",'Key Developments'!$A$1))-SEARCH("]",CELL("address",'Key Developments'!$A$1))-1)</f>
        <v>Key Developments</v>
      </c>
      <c r="F341" s="1009" t="str">
        <f>IF($H$1, "SlideTitle","")</f>
        <v>SlideTitle</v>
      </c>
      <c r="G341" s="797" t="str">
        <f>IF($H$1,Input!$C$9,"")</f>
        <v>Walmart Inc.</v>
      </c>
      <c r="H341" s="799"/>
      <c r="I341" s="799"/>
      <c r="J341" s="799"/>
      <c r="K341" s="799"/>
      <c r="L341" s="848"/>
    </row>
    <row r="342" spans="2:13" x14ac:dyDescent="0.2">
      <c r="B342" s="788"/>
      <c r="C342" s="788"/>
      <c r="D342" s="788"/>
      <c r="E342" s="788"/>
      <c r="F342" s="1010" t="str">
        <f>IF($H$1, "RoadMap", "SlideTitle")</f>
        <v>RoadMap</v>
      </c>
      <c r="G342" s="788" t="str">
        <f>IF($H$1,'Key Developments'!A3,LEFT(G336, SEARCH("(",G336,1)) &amp; VALUE(MID(G336, SEARCH("(",G336,1)+1, SEARCH("/",G336,1)-SEARCH("(",G336,1)-1))+1 &amp; RIGHT(G336, LEN(G336)-SEARCH("/",G336,1)+1))</f>
        <v>Key Developments</v>
      </c>
      <c r="L342" s="815"/>
    </row>
    <row r="343" spans="2:13" x14ac:dyDescent="0.2">
      <c r="B343" s="788"/>
      <c r="C343" s="788"/>
      <c r="D343" s="788"/>
      <c r="E343" s="788"/>
      <c r="F343" s="1011" t="s">
        <v>448</v>
      </c>
      <c r="G343" s="788" t="str">
        <f>'Key Developments'!C1</f>
        <v>A166:C233</v>
      </c>
      <c r="H343" s="831">
        <f>H337</f>
        <v>0.25</v>
      </c>
      <c r="I343" s="831">
        <f>I337</f>
        <v>1.665</v>
      </c>
      <c r="J343" s="803"/>
      <c r="K343" s="803"/>
      <c r="L343" s="815" t="b">
        <f>L337</f>
        <v>1</v>
      </c>
    </row>
    <row r="344" spans="2:13" x14ac:dyDescent="0.2">
      <c r="B344" s="788"/>
      <c r="C344" s="788"/>
      <c r="D344" s="788"/>
      <c r="E344" s="788"/>
      <c r="F344" s="1011" t="s">
        <v>1159</v>
      </c>
      <c r="G344" s="847" t="s">
        <v>1217</v>
      </c>
      <c r="H344" s="831"/>
      <c r="I344" s="831"/>
      <c r="J344" s="803"/>
      <c r="K344" s="803"/>
      <c r="L344" s="815"/>
    </row>
    <row r="345" spans="2:13" x14ac:dyDescent="0.2">
      <c r="B345" s="788"/>
      <c r="C345" s="788"/>
      <c r="D345" s="788"/>
      <c r="E345" s="788"/>
      <c r="F345" s="1011" t="s">
        <v>449</v>
      </c>
      <c r="G345" s="788" t="s">
        <v>1257</v>
      </c>
      <c r="H345" s="801"/>
      <c r="I345" s="801"/>
      <c r="J345" s="801"/>
      <c r="K345" s="801"/>
      <c r="L345" s="815"/>
    </row>
    <row r="346" spans="2:13" x14ac:dyDescent="0.2">
      <c r="B346" s="788"/>
      <c r="C346" s="788"/>
      <c r="D346" s="788"/>
      <c r="E346" s="788"/>
      <c r="F346" s="1011"/>
      <c r="G346" s="788"/>
      <c r="H346" s="805"/>
      <c r="I346" s="805"/>
      <c r="J346" s="805"/>
      <c r="K346" s="805"/>
      <c r="L346" s="815"/>
    </row>
    <row r="347" spans="2:13" x14ac:dyDescent="0.2">
      <c r="B347" s="797" t="str">
        <f>IF(C347,"Slide "&amp;RIGHT(B341,LEN(B341)-FIND(" ",B341))+1,B341)</f>
        <v>Slide 40</v>
      </c>
      <c r="C347" s="797" t="b">
        <f>IF(AND($K$1,G349&lt;&gt;0),TRUE,FALSE)</f>
        <v>1</v>
      </c>
      <c r="D347" s="798" t="s">
        <v>447</v>
      </c>
      <c r="E347" s="797" t="str">
        <f ca="1">MID(CELL("address",'Key Developments'!$A$1),SEARCH("]",CELL("address",'Key Developments'!$A$1))+1,SEARCH("'!$",CELL("address",'Key Developments'!$A$1))-SEARCH("]",CELL("address",'Key Developments'!$A$1))-1)</f>
        <v>Key Developments</v>
      </c>
      <c r="F347" s="1009" t="str">
        <f>IF($H$1, "SlideTitle","")</f>
        <v>SlideTitle</v>
      </c>
      <c r="G347" s="797" t="str">
        <f>IF($H$1,Input!$C$9,"")</f>
        <v>Walmart Inc.</v>
      </c>
      <c r="H347" s="799"/>
      <c r="I347" s="799"/>
      <c r="J347" s="799"/>
      <c r="K347" s="799"/>
      <c r="L347" s="815"/>
    </row>
    <row r="348" spans="2:13" x14ac:dyDescent="0.2">
      <c r="B348" s="788"/>
      <c r="C348" s="788"/>
      <c r="D348" s="788"/>
      <c r="E348" s="788"/>
      <c r="F348" s="1010" t="str">
        <f>IF($H$1, "RoadMap", "SlideTitle")</f>
        <v>RoadMap</v>
      </c>
      <c r="G348" s="788" t="str">
        <f>IF($H$1,'Key Developments'!A3,LEFT(G342, SEARCH("(",G342,1)) &amp; VALUE(MID(G342, SEARCH("(",G342,1)+1, SEARCH("/",G342,1)-SEARCH("(",G342,1)-1))+1 &amp; RIGHT(G342, LEN(G342)-SEARCH("/",G342,1)+1))</f>
        <v>Key Developments</v>
      </c>
      <c r="L348" s="815"/>
    </row>
    <row r="349" spans="2:13" x14ac:dyDescent="0.2">
      <c r="B349" s="788"/>
      <c r="C349" s="788"/>
      <c r="D349" s="788"/>
      <c r="E349" s="788"/>
      <c r="F349" s="1011" t="s">
        <v>448</v>
      </c>
      <c r="G349" s="788" t="str">
        <f>'Key Developments'!D1</f>
        <v>A235:C325</v>
      </c>
      <c r="H349" s="831">
        <f>H343</f>
        <v>0.25</v>
      </c>
      <c r="I349" s="831">
        <f>I343</f>
        <v>1.665</v>
      </c>
      <c r="J349" s="803"/>
      <c r="K349" s="803"/>
      <c r="L349" s="815" t="b">
        <f>L343</f>
        <v>1</v>
      </c>
    </row>
    <row r="350" spans="2:13" x14ac:dyDescent="0.2">
      <c r="B350" s="788"/>
      <c r="C350" s="788"/>
      <c r="D350" s="788"/>
      <c r="E350" s="788"/>
      <c r="F350" s="1011" t="s">
        <v>1159</v>
      </c>
      <c r="G350" s="847" t="s">
        <v>1217</v>
      </c>
      <c r="H350" s="831"/>
      <c r="I350" s="831"/>
      <c r="J350" s="803"/>
      <c r="K350" s="803"/>
      <c r="L350" s="815"/>
    </row>
    <row r="351" spans="2:13" x14ac:dyDescent="0.2">
      <c r="B351" s="788"/>
      <c r="C351" s="788"/>
      <c r="D351" s="788"/>
      <c r="E351" s="788"/>
      <c r="F351" s="1011" t="s">
        <v>449</v>
      </c>
      <c r="G351" s="788" t="s">
        <v>1257</v>
      </c>
      <c r="H351" s="801"/>
      <c r="I351" s="801"/>
      <c r="J351" s="801"/>
      <c r="K351" s="801"/>
      <c r="L351" s="848"/>
    </row>
    <row r="352" spans="2:13" x14ac:dyDescent="0.2">
      <c r="B352" s="797" t="str">
        <f>IF(C352,"Slide "&amp;RIGHT(B347,LEN(B347)-FIND(" ",B347))+1,B347)</f>
        <v>Slide 41</v>
      </c>
      <c r="C352" s="797" t="b">
        <f>$K$1</f>
        <v>1</v>
      </c>
      <c r="D352" s="798" t="s">
        <v>446</v>
      </c>
      <c r="E352" s="797" t="s">
        <v>1264</v>
      </c>
      <c r="F352" s="1009" t="s">
        <v>1263</v>
      </c>
      <c r="G352" s="797" t="s">
        <v>1262</v>
      </c>
      <c r="H352" s="799"/>
      <c r="I352" s="799"/>
      <c r="J352" s="799"/>
      <c r="K352" s="799"/>
      <c r="L352" s="815"/>
      <c r="M352" s="790"/>
    </row>
    <row r="353" spans="2:13" x14ac:dyDescent="0.2">
      <c r="B353" s="836" t="str">
        <f>IF(C353,"Slide "&amp;RIGHT(B352,LEN(B352)-FIND(" ",B352))+1,B352)</f>
        <v>Slide 42</v>
      </c>
      <c r="C353" s="836" t="b">
        <v>1</v>
      </c>
      <c r="D353" s="837" t="s">
        <v>446</v>
      </c>
      <c r="E353" s="836" t="s">
        <v>1259</v>
      </c>
      <c r="F353" s="1007"/>
      <c r="G353" s="836"/>
      <c r="H353" s="836"/>
      <c r="I353" s="836"/>
      <c r="J353" s="836"/>
      <c r="K353" s="836"/>
      <c r="L353" s="815"/>
    </row>
    <row r="354" spans="2:13" x14ac:dyDescent="0.2">
      <c r="B354" s="836" t="str">
        <f>"Slide "&amp;RIGHT(B353,LEN(B353)-FIND(" ",B353))+1</f>
        <v>Slide 43</v>
      </c>
      <c r="C354" s="836" t="b">
        <v>1</v>
      </c>
      <c r="D354" s="837" t="s">
        <v>446</v>
      </c>
      <c r="E354" s="836" t="s">
        <v>1247</v>
      </c>
      <c r="F354" s="1007"/>
      <c r="G354" s="836"/>
      <c r="H354" s="838"/>
      <c r="I354" s="838"/>
      <c r="J354" s="838"/>
      <c r="K354" s="838"/>
      <c r="L354" s="815"/>
      <c r="M354" s="790"/>
    </row>
    <row r="355" spans="2:13" x14ac:dyDescent="0.2">
      <c r="B355" s="836" t="str">
        <f>"Slide "&amp;RIGHT(B354,LEN(B354)-FIND(" ",B354))+1</f>
        <v>Slide 44</v>
      </c>
      <c r="C355" s="836" t="b">
        <v>1</v>
      </c>
      <c r="D355" s="837" t="s">
        <v>446</v>
      </c>
      <c r="E355" s="836" t="s">
        <v>1266</v>
      </c>
      <c r="F355" s="1007"/>
      <c r="G355" s="836"/>
      <c r="H355" s="838"/>
      <c r="I355" s="838"/>
      <c r="J355" s="838"/>
      <c r="K355" s="838"/>
      <c r="L355" s="815"/>
    </row>
    <row r="356" spans="2:13" x14ac:dyDescent="0.2">
      <c r="B356" s="836" t="str">
        <f>"Slide "&amp;RIGHT(B355,LEN(B355)-FIND(" ",B355))+1</f>
        <v>Slide 45</v>
      </c>
      <c r="C356" s="836" t="b">
        <v>1</v>
      </c>
      <c r="D356" s="837" t="s">
        <v>446</v>
      </c>
      <c r="E356" s="836" t="s">
        <v>1288</v>
      </c>
      <c r="F356" s="1007"/>
      <c r="G356" s="836"/>
      <c r="H356" s="838"/>
      <c r="I356" s="838"/>
      <c r="J356" s="838"/>
      <c r="K356" s="838"/>
      <c r="L356" s="815"/>
    </row>
    <row r="357" spans="2:13" x14ac:dyDescent="0.2">
      <c r="B357" s="786"/>
      <c r="C357" s="786"/>
      <c r="D357" s="794"/>
      <c r="E357" s="786"/>
      <c r="G357" s="786"/>
      <c r="H357" s="817"/>
      <c r="I357" s="817"/>
      <c r="J357" s="817"/>
      <c r="K357" s="817"/>
      <c r="L357" s="815"/>
    </row>
    <row r="358" spans="2:13" x14ac:dyDescent="0.2">
      <c r="B358" s="850" t="s">
        <v>452</v>
      </c>
      <c r="C358" s="850"/>
      <c r="D358" s="850"/>
      <c r="E358" s="850"/>
      <c r="F358" s="1012"/>
      <c r="G358" s="850"/>
      <c r="H358" s="850"/>
      <c r="I358" s="850"/>
      <c r="J358" s="850"/>
      <c r="K358" s="850"/>
      <c r="L358" s="815"/>
    </row>
    <row r="359" spans="2:13" x14ac:dyDescent="0.2">
      <c r="L359" s="815"/>
    </row>
    <row r="360" spans="2:13" x14ac:dyDescent="0.2">
      <c r="L360" s="815"/>
    </row>
    <row r="361" spans="2:13" x14ac:dyDescent="0.2">
      <c r="L361" s="815"/>
    </row>
    <row r="362" spans="2:13" x14ac:dyDescent="0.2">
      <c r="L362" s="815"/>
    </row>
    <row r="363" spans="2:13" x14ac:dyDescent="0.2">
      <c r="L363" s="815"/>
    </row>
  </sheetData>
  <conditionalFormatting sqref="C336:C337 C342:C346 C348:C351 C330:C334 C339:C340 C139:C183 C227:C229 C231:C308 C206:C211 C224:C225 C10:C12 C316:C327 C118 C56:C60 C14:C25 C219:C222">
    <cfRule type="containsText" dxfId="348" priority="76" operator="containsText" text="FALSE">
      <formula>NOT(ISERROR(SEARCH("FALSE",C10)))</formula>
    </cfRule>
  </conditionalFormatting>
  <conditionalFormatting sqref="C329">
    <cfRule type="containsText" dxfId="347" priority="75" operator="containsText" text="false">
      <formula>NOT(ISERROR(SEARCH("false",C329)))</formula>
    </cfRule>
  </conditionalFormatting>
  <conditionalFormatting sqref="C335">
    <cfRule type="containsText" dxfId="346" priority="74" operator="containsText" text="false">
      <formula>NOT(ISERROR(SEARCH("false",C335)))</formula>
    </cfRule>
  </conditionalFormatting>
  <conditionalFormatting sqref="C341">
    <cfRule type="containsText" dxfId="345" priority="73" operator="containsText" text="false">
      <formula>NOT(ISERROR(SEARCH("false",C341)))</formula>
    </cfRule>
  </conditionalFormatting>
  <conditionalFormatting sqref="C347">
    <cfRule type="containsText" dxfId="344" priority="72" operator="containsText" text="false">
      <formula>NOT(ISERROR(SEARCH("false",C347)))</formula>
    </cfRule>
  </conditionalFormatting>
  <conditionalFormatting sqref="C338">
    <cfRule type="containsText" dxfId="343" priority="59" operator="containsText" text="FALSE">
      <formula>NOT(ISERROR(SEARCH("FALSE",C338)))</formula>
    </cfRule>
  </conditionalFormatting>
  <conditionalFormatting sqref="C9">
    <cfRule type="containsText" dxfId="342" priority="58" operator="containsText" text="FALSE">
      <formula>NOT(ISERROR(SEARCH("FALSE",C9)))</formula>
    </cfRule>
  </conditionalFormatting>
  <conditionalFormatting sqref="C310:C314">
    <cfRule type="containsText" dxfId="341" priority="56" operator="containsText" text="FALSE">
      <formula>NOT(ISERROR(SEARCH("FALSE",C310)))</formula>
    </cfRule>
  </conditionalFormatting>
  <conditionalFormatting sqref="C119">
    <cfRule type="containsText" dxfId="340" priority="55" operator="containsText" text="FALSE">
      <formula>NOT(ISERROR(SEARCH("FALSE",C119)))</formula>
    </cfRule>
  </conditionalFormatting>
  <conditionalFormatting sqref="C184:C189">
    <cfRule type="containsText" dxfId="339" priority="54" operator="containsText" text="FALSE">
      <formula>NOT(ISERROR(SEARCH("FALSE",C184)))</formula>
    </cfRule>
  </conditionalFormatting>
  <conditionalFormatting sqref="C190:C205">
    <cfRule type="containsText" dxfId="338" priority="53" operator="containsText" text="FALSE">
      <formula>NOT(ISERROR(SEARCH("FALSE",C190)))</formula>
    </cfRule>
  </conditionalFormatting>
  <conditionalFormatting sqref="C328">
    <cfRule type="containsText" dxfId="337" priority="51" operator="containsText" text="FALSE">
      <formula>NOT(ISERROR(SEARCH("FALSE",C328)))</formula>
    </cfRule>
  </conditionalFormatting>
  <conditionalFormatting sqref="C226">
    <cfRule type="containsText" dxfId="336" priority="50" operator="containsText" text="FALSE">
      <formula>NOT(ISERROR(SEARCH("FALSE",C226)))</formula>
    </cfRule>
  </conditionalFormatting>
  <conditionalFormatting sqref="C309">
    <cfRule type="containsText" dxfId="335" priority="48" operator="containsText" text="FALSE">
      <formula>NOT(ISERROR(SEARCH("FALSE",C309)))</formula>
    </cfRule>
  </conditionalFormatting>
  <conditionalFormatting sqref="C315">
    <cfRule type="containsText" dxfId="334" priority="47" operator="containsText" text="FALSE">
      <formula>NOT(ISERROR(SEARCH("FALSE",C315)))</formula>
    </cfRule>
  </conditionalFormatting>
  <conditionalFormatting sqref="C230">
    <cfRule type="containsText" dxfId="333" priority="46" operator="containsText" text="FALSE">
      <formula>NOT(ISERROR(SEARCH("FALSE",C230)))</formula>
    </cfRule>
  </conditionalFormatting>
  <conditionalFormatting sqref="C223">
    <cfRule type="containsText" dxfId="332" priority="45" operator="containsText" text="FALSE">
      <formula>NOT(ISERROR(SEARCH("FALSE",C223)))</formula>
    </cfRule>
  </conditionalFormatting>
  <conditionalFormatting sqref="C13">
    <cfRule type="containsText" dxfId="331" priority="44" operator="containsText" text="FALSE">
      <formula>NOT(ISERROR(SEARCH("FALSE",C13)))</formula>
    </cfRule>
  </conditionalFormatting>
  <conditionalFormatting sqref="C352">
    <cfRule type="containsText" dxfId="330" priority="42" operator="containsText" text="FALSE">
      <formula>NOT(ISERROR(SEARCH("FALSE",C352)))</formula>
    </cfRule>
  </conditionalFormatting>
  <conditionalFormatting sqref="C27:C30">
    <cfRule type="containsText" dxfId="329" priority="41" operator="containsText" text="FALSE">
      <formula>NOT(ISERROR(SEARCH("FALSE",C27)))</formula>
    </cfRule>
  </conditionalFormatting>
  <conditionalFormatting sqref="C32:C35">
    <cfRule type="containsText" dxfId="328" priority="40" operator="containsText" text="FALSE">
      <formula>NOT(ISERROR(SEARCH("FALSE",C32)))</formula>
    </cfRule>
  </conditionalFormatting>
  <conditionalFormatting sqref="C37:C40">
    <cfRule type="containsText" dxfId="327" priority="39" operator="containsText" text="FALSE">
      <formula>NOT(ISERROR(SEARCH("FALSE",C37)))</formula>
    </cfRule>
  </conditionalFormatting>
  <conditionalFormatting sqref="C42:C45">
    <cfRule type="containsText" dxfId="326" priority="38" operator="containsText" text="FALSE">
      <formula>NOT(ISERROR(SEARCH("FALSE",C42)))</formula>
    </cfRule>
  </conditionalFormatting>
  <conditionalFormatting sqref="C47:C50">
    <cfRule type="containsText" dxfId="325" priority="37" operator="containsText" text="FALSE">
      <formula>NOT(ISERROR(SEARCH("FALSE",C47)))</formula>
    </cfRule>
  </conditionalFormatting>
  <conditionalFormatting sqref="C52:C55">
    <cfRule type="containsText" dxfId="324" priority="36" operator="containsText" text="FALSE">
      <formula>NOT(ISERROR(SEARCH("FALSE",C52)))</formula>
    </cfRule>
  </conditionalFormatting>
  <conditionalFormatting sqref="C77:C79">
    <cfRule type="containsText" dxfId="323" priority="34" operator="containsText" text="FALSE">
      <formula>NOT(ISERROR(SEARCH("FALSE",C77)))</formula>
    </cfRule>
  </conditionalFormatting>
  <conditionalFormatting sqref="C62:C65">
    <cfRule type="containsText" dxfId="322" priority="33" operator="containsText" text="FALSE">
      <formula>NOT(ISERROR(SEARCH("FALSE",C62)))</formula>
    </cfRule>
  </conditionalFormatting>
  <conditionalFormatting sqref="C67:C70">
    <cfRule type="containsText" dxfId="321" priority="32" operator="containsText" text="FALSE">
      <formula>NOT(ISERROR(SEARCH("FALSE",C67)))</formula>
    </cfRule>
  </conditionalFormatting>
  <conditionalFormatting sqref="C72:C75">
    <cfRule type="containsText" dxfId="320" priority="31" operator="containsText" text="FALSE">
      <formula>NOT(ISERROR(SEARCH("FALSE",C72)))</formula>
    </cfRule>
  </conditionalFormatting>
  <conditionalFormatting sqref="C96:C98">
    <cfRule type="containsText" dxfId="319" priority="30" operator="containsText" text="FALSE">
      <formula>NOT(ISERROR(SEARCH("FALSE",C96)))</formula>
    </cfRule>
  </conditionalFormatting>
  <conditionalFormatting sqref="C81:C84">
    <cfRule type="containsText" dxfId="318" priority="29" operator="containsText" text="FALSE">
      <formula>NOT(ISERROR(SEARCH("FALSE",C81)))</formula>
    </cfRule>
  </conditionalFormatting>
  <conditionalFormatting sqref="C86:C89">
    <cfRule type="containsText" dxfId="317" priority="28" operator="containsText" text="FALSE">
      <formula>NOT(ISERROR(SEARCH("FALSE",C86)))</formula>
    </cfRule>
  </conditionalFormatting>
  <conditionalFormatting sqref="C91:C94">
    <cfRule type="containsText" dxfId="316" priority="27" operator="containsText" text="FALSE">
      <formula>NOT(ISERROR(SEARCH("FALSE",C91)))</formula>
    </cfRule>
  </conditionalFormatting>
  <conditionalFormatting sqref="C115:C117">
    <cfRule type="containsText" dxfId="315" priority="26" operator="containsText" text="FALSE">
      <formula>NOT(ISERROR(SEARCH("FALSE",C115)))</formula>
    </cfRule>
  </conditionalFormatting>
  <conditionalFormatting sqref="C100:C103">
    <cfRule type="containsText" dxfId="314" priority="25" operator="containsText" text="FALSE">
      <formula>NOT(ISERROR(SEARCH("FALSE",C100)))</formula>
    </cfRule>
  </conditionalFormatting>
  <conditionalFormatting sqref="C105:C108">
    <cfRule type="containsText" dxfId="313" priority="24" operator="containsText" text="FALSE">
      <formula>NOT(ISERROR(SEARCH("FALSE",C105)))</formula>
    </cfRule>
  </conditionalFormatting>
  <conditionalFormatting sqref="C110:C113">
    <cfRule type="containsText" dxfId="312" priority="23" operator="containsText" text="FALSE">
      <formula>NOT(ISERROR(SEARCH("FALSE",C110)))</formula>
    </cfRule>
  </conditionalFormatting>
  <conditionalFormatting sqref="C26">
    <cfRule type="containsText" dxfId="311" priority="22" operator="containsText" text="FALSE">
      <formula>NOT(ISERROR(SEARCH("FALSE",C26)))</formula>
    </cfRule>
  </conditionalFormatting>
  <conditionalFormatting sqref="C31">
    <cfRule type="containsText" dxfId="310" priority="21" operator="containsText" text="FALSE">
      <formula>NOT(ISERROR(SEARCH("FALSE",C31)))</formula>
    </cfRule>
  </conditionalFormatting>
  <conditionalFormatting sqref="C36">
    <cfRule type="containsText" dxfId="309" priority="20" operator="containsText" text="FALSE">
      <formula>NOT(ISERROR(SEARCH("FALSE",C36)))</formula>
    </cfRule>
  </conditionalFormatting>
  <conditionalFormatting sqref="C41">
    <cfRule type="containsText" dxfId="308" priority="19" operator="containsText" text="FALSE">
      <formula>NOT(ISERROR(SEARCH("FALSE",C41)))</formula>
    </cfRule>
  </conditionalFormatting>
  <conditionalFormatting sqref="C46">
    <cfRule type="containsText" dxfId="307" priority="18" operator="containsText" text="FALSE">
      <formula>NOT(ISERROR(SEARCH("FALSE",C46)))</formula>
    </cfRule>
  </conditionalFormatting>
  <conditionalFormatting sqref="C51">
    <cfRule type="containsText" dxfId="306" priority="17" operator="containsText" text="FALSE">
      <formula>NOT(ISERROR(SEARCH("FALSE",C51)))</formula>
    </cfRule>
  </conditionalFormatting>
  <conditionalFormatting sqref="C61">
    <cfRule type="containsText" dxfId="305" priority="16" operator="containsText" text="FALSE">
      <formula>NOT(ISERROR(SEARCH("FALSE",C61)))</formula>
    </cfRule>
  </conditionalFormatting>
  <conditionalFormatting sqref="C66">
    <cfRule type="containsText" dxfId="304" priority="15" operator="containsText" text="FALSE">
      <formula>NOT(ISERROR(SEARCH("FALSE",C66)))</formula>
    </cfRule>
  </conditionalFormatting>
  <conditionalFormatting sqref="C71">
    <cfRule type="containsText" dxfId="303" priority="12" operator="containsText" text="FALSE">
      <formula>NOT(ISERROR(SEARCH("FALSE",C71)))</formula>
    </cfRule>
  </conditionalFormatting>
  <conditionalFormatting sqref="C76">
    <cfRule type="containsText" dxfId="302" priority="11" operator="containsText" text="FALSE">
      <formula>NOT(ISERROR(SEARCH("FALSE",C76)))</formula>
    </cfRule>
  </conditionalFormatting>
  <conditionalFormatting sqref="C80">
    <cfRule type="containsText" dxfId="301" priority="10" operator="containsText" text="FALSE">
      <formula>NOT(ISERROR(SEARCH("FALSE",C80)))</formula>
    </cfRule>
  </conditionalFormatting>
  <conditionalFormatting sqref="C85">
    <cfRule type="containsText" dxfId="300" priority="9" operator="containsText" text="FALSE">
      <formula>NOT(ISERROR(SEARCH("FALSE",C85)))</formula>
    </cfRule>
  </conditionalFormatting>
  <conditionalFormatting sqref="C90">
    <cfRule type="containsText" dxfId="299" priority="8" operator="containsText" text="FALSE">
      <formula>NOT(ISERROR(SEARCH("FALSE",C90)))</formula>
    </cfRule>
  </conditionalFormatting>
  <conditionalFormatting sqref="C95">
    <cfRule type="containsText" dxfId="298" priority="7" operator="containsText" text="FALSE">
      <formula>NOT(ISERROR(SEARCH("FALSE",C95)))</formula>
    </cfRule>
  </conditionalFormatting>
  <conditionalFormatting sqref="C99">
    <cfRule type="containsText" dxfId="297" priority="6" operator="containsText" text="FALSE">
      <formula>NOT(ISERROR(SEARCH("FALSE",C99)))</formula>
    </cfRule>
  </conditionalFormatting>
  <conditionalFormatting sqref="C104">
    <cfRule type="containsText" dxfId="296" priority="5" operator="containsText" text="FALSE">
      <formula>NOT(ISERROR(SEARCH("FALSE",C104)))</formula>
    </cfRule>
  </conditionalFormatting>
  <conditionalFormatting sqref="C109">
    <cfRule type="containsText" dxfId="295" priority="4" operator="containsText" text="FALSE">
      <formula>NOT(ISERROR(SEARCH("FALSE",C109)))</formula>
    </cfRule>
  </conditionalFormatting>
  <conditionalFormatting sqref="C114">
    <cfRule type="containsText" dxfId="294" priority="3" operator="containsText" text="FALSE">
      <formula>NOT(ISERROR(SEARCH("FALSE",C114)))</formula>
    </cfRule>
  </conditionalFormatting>
  <conditionalFormatting sqref="C212:C218">
    <cfRule type="containsText" dxfId="293" priority="1" operator="containsText" text="false">
      <formula>NOT(ISERROR(SEARCH("false",C212)))</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71" operator="containsText" text="false" id="{C678C86F-C676-445F-BCD2-6C88663DDCCC}">
            <xm:f>NOT(ISERROR(SEARCH("false",'Export (F)'!C120)))</xm:f>
            <x14:dxf>
              <font>
                <color rgb="FF9C0006"/>
              </font>
              <fill>
                <patternFill>
                  <bgColor rgb="FFFFC7CE"/>
                </patternFill>
              </fill>
            </x14:dxf>
          </x14:cfRule>
          <xm:sqref>C120:C135 C137:C138</xm:sqref>
        </x14:conditionalFormatting>
        <x14:conditionalFormatting xmlns:xm="http://schemas.microsoft.com/office/excel/2006/main">
          <x14:cfRule type="containsText" priority="586" operator="containsText" text="false" id="{C678C86F-C676-445F-BCD2-6C88663DDCCC}">
            <xm:f>NOT(ISERROR(SEARCH("false",'Export (F)'!C137)))</xm:f>
            <x14:dxf>
              <font>
                <color rgb="FF9C0006"/>
              </font>
              <fill>
                <patternFill>
                  <bgColor rgb="FFFFC7CE"/>
                </patternFill>
              </fill>
            </x14:dxf>
          </x14:cfRule>
          <xm:sqref>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B43C9-1F44-4A0B-ABE2-C40DBA2C024F}">
  <sheetPr codeName="Sheet37"/>
  <dimension ref="A1:IV3"/>
  <sheetViews>
    <sheetView workbookViewId="0"/>
  </sheetViews>
  <sheetFormatPr defaultRowHeight="14.25" x14ac:dyDescent="0.2"/>
  <sheetData>
    <row r="1" spans="1:256" x14ac:dyDescent="0.2">
      <c r="A1">
        <v>707</v>
      </c>
      <c r="B1" t="s">
        <v>2095</v>
      </c>
      <c r="C1" t="s">
        <v>2096</v>
      </c>
      <c r="D1" t="s">
        <v>2097</v>
      </c>
      <c r="E1" t="s">
        <v>2098</v>
      </c>
      <c r="F1" t="s">
        <v>2099</v>
      </c>
      <c r="G1" t="s">
        <v>2100</v>
      </c>
      <c r="H1" t="s">
        <v>2101</v>
      </c>
      <c r="I1" t="s">
        <v>2102</v>
      </c>
      <c r="J1" t="s">
        <v>2103</v>
      </c>
      <c r="K1" t="s">
        <v>2104</v>
      </c>
      <c r="L1" t="s">
        <v>2105</v>
      </c>
      <c r="M1" t="s">
        <v>2106</v>
      </c>
      <c r="N1" t="s">
        <v>2107</v>
      </c>
      <c r="O1" t="s">
        <v>2108</v>
      </c>
      <c r="P1" t="s">
        <v>2109</v>
      </c>
      <c r="Q1" t="s">
        <v>2110</v>
      </c>
      <c r="R1" t="s">
        <v>2111</v>
      </c>
      <c r="S1" t="s">
        <v>2112</v>
      </c>
      <c r="T1" t="s">
        <v>2113</v>
      </c>
      <c r="U1" t="s">
        <v>2114</v>
      </c>
      <c r="V1" t="s">
        <v>2115</v>
      </c>
      <c r="W1" t="s">
        <v>2116</v>
      </c>
      <c r="X1" t="s">
        <v>2117</v>
      </c>
      <c r="Y1" t="s">
        <v>2118</v>
      </c>
      <c r="Z1" t="s">
        <v>2119</v>
      </c>
      <c r="AA1" t="s">
        <v>2120</v>
      </c>
      <c r="AB1" t="s">
        <v>2121</v>
      </c>
      <c r="AC1" t="s">
        <v>2122</v>
      </c>
      <c r="AD1" t="s">
        <v>2123</v>
      </c>
      <c r="AE1" t="s">
        <v>2124</v>
      </c>
      <c r="AF1" t="s">
        <v>2125</v>
      </c>
      <c r="AG1" t="s">
        <v>2126</v>
      </c>
      <c r="AH1" t="s">
        <v>2127</v>
      </c>
      <c r="AI1" t="s">
        <v>2128</v>
      </c>
      <c r="AJ1" t="s">
        <v>2129</v>
      </c>
      <c r="AK1" t="s">
        <v>2130</v>
      </c>
      <c r="AL1" t="s">
        <v>2131</v>
      </c>
      <c r="AM1" t="s">
        <v>2132</v>
      </c>
      <c r="AN1" t="s">
        <v>2133</v>
      </c>
      <c r="AO1" t="s">
        <v>2134</v>
      </c>
      <c r="AP1" t="s">
        <v>2135</v>
      </c>
      <c r="AQ1" t="s">
        <v>2136</v>
      </c>
      <c r="AR1" t="s">
        <v>2137</v>
      </c>
      <c r="AS1" t="s">
        <v>2138</v>
      </c>
      <c r="AT1" t="s">
        <v>2139</v>
      </c>
      <c r="AU1" t="s">
        <v>2140</v>
      </c>
      <c r="AV1" t="s">
        <v>2141</v>
      </c>
      <c r="AW1" t="s">
        <v>2142</v>
      </c>
      <c r="AX1" t="s">
        <v>2143</v>
      </c>
      <c r="AY1" t="s">
        <v>2144</v>
      </c>
      <c r="AZ1" t="s">
        <v>2145</v>
      </c>
      <c r="BA1" t="s">
        <v>2146</v>
      </c>
      <c r="BB1" t="s">
        <v>2147</v>
      </c>
      <c r="BC1" t="s">
        <v>2148</v>
      </c>
      <c r="BD1" t="s">
        <v>2149</v>
      </c>
      <c r="BE1" t="s">
        <v>2150</v>
      </c>
      <c r="BF1" t="s">
        <v>2151</v>
      </c>
      <c r="BG1" t="s">
        <v>2152</v>
      </c>
      <c r="BH1" t="s">
        <v>2153</v>
      </c>
      <c r="BI1" t="s">
        <v>2154</v>
      </c>
      <c r="BJ1" t="s">
        <v>2155</v>
      </c>
      <c r="BK1" t="s">
        <v>1450</v>
      </c>
      <c r="BL1" t="s">
        <v>1451</v>
      </c>
      <c r="BM1" t="s">
        <v>1452</v>
      </c>
      <c r="BN1" t="s">
        <v>1453</v>
      </c>
      <c r="BO1" t="s">
        <v>1454</v>
      </c>
      <c r="BP1" t="s">
        <v>1455</v>
      </c>
      <c r="BQ1" t="s">
        <v>1456</v>
      </c>
      <c r="BR1" t="s">
        <v>1457</v>
      </c>
      <c r="BS1" t="s">
        <v>1458</v>
      </c>
      <c r="BT1" t="s">
        <v>1459</v>
      </c>
      <c r="BU1" t="s">
        <v>1460</v>
      </c>
      <c r="BV1" t="s">
        <v>1461</v>
      </c>
      <c r="BW1" t="s">
        <v>1462</v>
      </c>
      <c r="BX1" t="s">
        <v>1463</v>
      </c>
      <c r="BY1" t="s">
        <v>1464</v>
      </c>
      <c r="BZ1" t="s">
        <v>1465</v>
      </c>
      <c r="CA1" t="s">
        <v>1466</v>
      </c>
      <c r="CB1" t="s">
        <v>1467</v>
      </c>
      <c r="CC1" t="s">
        <v>1468</v>
      </c>
      <c r="CD1" t="s">
        <v>1469</v>
      </c>
      <c r="CE1" t="s">
        <v>1470</v>
      </c>
      <c r="CF1" t="s">
        <v>1471</v>
      </c>
      <c r="CG1" t="s">
        <v>1472</v>
      </c>
      <c r="CH1" t="s">
        <v>1473</v>
      </c>
      <c r="CI1" t="s">
        <v>1474</v>
      </c>
      <c r="CJ1" t="s">
        <v>1475</v>
      </c>
      <c r="CK1" t="s">
        <v>1476</v>
      </c>
      <c r="CL1" t="s">
        <v>1477</v>
      </c>
      <c r="CM1" t="s">
        <v>1478</v>
      </c>
      <c r="CN1" t="s">
        <v>1479</v>
      </c>
      <c r="CO1" t="s">
        <v>1480</v>
      </c>
      <c r="CP1" t="s">
        <v>1481</v>
      </c>
      <c r="CQ1" t="s">
        <v>1482</v>
      </c>
      <c r="CR1" t="s">
        <v>1483</v>
      </c>
      <c r="CS1" t="s">
        <v>1484</v>
      </c>
      <c r="CT1" t="s">
        <v>1485</v>
      </c>
      <c r="CU1" t="s">
        <v>1486</v>
      </c>
      <c r="CV1" t="s">
        <v>1487</v>
      </c>
      <c r="CW1" t="s">
        <v>1488</v>
      </c>
      <c r="CX1" t="s">
        <v>1489</v>
      </c>
      <c r="CY1" t="s">
        <v>1490</v>
      </c>
      <c r="CZ1" t="s">
        <v>1491</v>
      </c>
      <c r="DA1" t="s">
        <v>1492</v>
      </c>
      <c r="DB1" t="s">
        <v>1493</v>
      </c>
      <c r="DC1" t="s">
        <v>1494</v>
      </c>
      <c r="DD1" t="s">
        <v>1495</v>
      </c>
      <c r="DE1" t="s">
        <v>1496</v>
      </c>
      <c r="DF1" t="s">
        <v>1497</v>
      </c>
      <c r="DG1" t="s">
        <v>1498</v>
      </c>
      <c r="DH1" t="s">
        <v>1499</v>
      </c>
      <c r="DI1" t="s">
        <v>1500</v>
      </c>
      <c r="DJ1" t="s">
        <v>1501</v>
      </c>
      <c r="DK1" t="s">
        <v>1502</v>
      </c>
      <c r="DL1" t="s">
        <v>1503</v>
      </c>
      <c r="DM1" t="s">
        <v>1504</v>
      </c>
      <c r="DN1" t="s">
        <v>1505</v>
      </c>
      <c r="DO1" t="s">
        <v>1506</v>
      </c>
      <c r="DP1" t="s">
        <v>1507</v>
      </c>
      <c r="DQ1" t="s">
        <v>1508</v>
      </c>
      <c r="DR1" t="s">
        <v>1509</v>
      </c>
      <c r="DS1" t="s">
        <v>1510</v>
      </c>
      <c r="DT1" t="s">
        <v>1511</v>
      </c>
      <c r="DU1" t="s">
        <v>1512</v>
      </c>
      <c r="DV1" t="s">
        <v>1513</v>
      </c>
      <c r="DW1" t="s">
        <v>1514</v>
      </c>
      <c r="DX1" t="s">
        <v>1515</v>
      </c>
      <c r="DY1" t="s">
        <v>1516</v>
      </c>
      <c r="DZ1" t="s">
        <v>1517</v>
      </c>
      <c r="EA1" t="s">
        <v>1518</v>
      </c>
      <c r="EB1" t="s">
        <v>1519</v>
      </c>
      <c r="EC1" t="s">
        <v>1520</v>
      </c>
      <c r="ED1" t="s">
        <v>1521</v>
      </c>
      <c r="EE1" t="s">
        <v>1522</v>
      </c>
      <c r="EF1" t="s">
        <v>1523</v>
      </c>
      <c r="EG1" t="s">
        <v>1524</v>
      </c>
      <c r="EH1" t="s">
        <v>1525</v>
      </c>
      <c r="EI1" t="s">
        <v>1526</v>
      </c>
      <c r="EJ1" t="s">
        <v>1527</v>
      </c>
      <c r="EK1" t="s">
        <v>1528</v>
      </c>
      <c r="EL1" t="s">
        <v>1529</v>
      </c>
      <c r="EM1" t="s">
        <v>1530</v>
      </c>
      <c r="EN1" t="s">
        <v>1531</v>
      </c>
      <c r="EO1" t="s">
        <v>1532</v>
      </c>
      <c r="EP1" t="s">
        <v>1533</v>
      </c>
      <c r="EQ1" t="s">
        <v>1534</v>
      </c>
      <c r="ER1" t="s">
        <v>1535</v>
      </c>
      <c r="ES1" t="s">
        <v>1536</v>
      </c>
      <c r="ET1" t="s">
        <v>1537</v>
      </c>
      <c r="EU1" t="s">
        <v>1538</v>
      </c>
      <c r="EV1" t="s">
        <v>1539</v>
      </c>
      <c r="EW1" t="s">
        <v>1540</v>
      </c>
      <c r="EX1" t="s">
        <v>1541</v>
      </c>
      <c r="EY1" t="s">
        <v>1542</v>
      </c>
      <c r="EZ1" t="s">
        <v>1543</v>
      </c>
      <c r="FA1" t="s">
        <v>1544</v>
      </c>
      <c r="FB1" t="s">
        <v>1545</v>
      </c>
      <c r="FC1" t="s">
        <v>1546</v>
      </c>
      <c r="FD1" t="s">
        <v>1547</v>
      </c>
      <c r="FE1" t="s">
        <v>1548</v>
      </c>
      <c r="FF1" t="s">
        <v>1549</v>
      </c>
      <c r="FG1" t="s">
        <v>1550</v>
      </c>
      <c r="FH1" t="s">
        <v>1551</v>
      </c>
      <c r="FI1" t="s">
        <v>1552</v>
      </c>
      <c r="FJ1" t="s">
        <v>1553</v>
      </c>
      <c r="FK1" t="s">
        <v>1554</v>
      </c>
      <c r="FL1" t="s">
        <v>1555</v>
      </c>
      <c r="FM1" t="s">
        <v>1556</v>
      </c>
      <c r="FN1" t="s">
        <v>1557</v>
      </c>
      <c r="FO1" t="s">
        <v>1558</v>
      </c>
      <c r="FP1" t="s">
        <v>1559</v>
      </c>
      <c r="FQ1" t="s">
        <v>1560</v>
      </c>
      <c r="FR1" t="s">
        <v>1561</v>
      </c>
      <c r="FS1" t="s">
        <v>1562</v>
      </c>
      <c r="FT1" t="s">
        <v>1563</v>
      </c>
      <c r="FU1" t="s">
        <v>1564</v>
      </c>
      <c r="FV1" t="s">
        <v>1565</v>
      </c>
      <c r="FW1" t="s">
        <v>1566</v>
      </c>
      <c r="FX1" t="s">
        <v>1567</v>
      </c>
      <c r="FY1" t="s">
        <v>1568</v>
      </c>
      <c r="FZ1" t="s">
        <v>1569</v>
      </c>
      <c r="GA1" t="s">
        <v>1570</v>
      </c>
      <c r="GB1" t="s">
        <v>1571</v>
      </c>
      <c r="GC1" t="s">
        <v>1572</v>
      </c>
      <c r="GD1" t="s">
        <v>1573</v>
      </c>
      <c r="GE1" t="s">
        <v>1574</v>
      </c>
      <c r="GF1" t="s">
        <v>1575</v>
      </c>
      <c r="GG1" t="s">
        <v>1576</v>
      </c>
      <c r="GH1" t="s">
        <v>1577</v>
      </c>
      <c r="GI1" t="s">
        <v>1578</v>
      </c>
      <c r="GJ1" t="s">
        <v>1579</v>
      </c>
      <c r="GK1" t="s">
        <v>1580</v>
      </c>
      <c r="GL1" t="s">
        <v>1581</v>
      </c>
      <c r="GM1" t="s">
        <v>1582</v>
      </c>
      <c r="GN1" t="s">
        <v>1583</v>
      </c>
      <c r="GO1" t="s">
        <v>1584</v>
      </c>
      <c r="GP1" t="s">
        <v>1585</v>
      </c>
      <c r="GQ1" t="s">
        <v>1586</v>
      </c>
      <c r="GR1" t="s">
        <v>1587</v>
      </c>
      <c r="GS1" t="s">
        <v>1588</v>
      </c>
      <c r="GT1" t="s">
        <v>1589</v>
      </c>
      <c r="GU1" t="s">
        <v>1590</v>
      </c>
      <c r="GV1" t="s">
        <v>1591</v>
      </c>
      <c r="GW1" t="s">
        <v>1592</v>
      </c>
      <c r="GX1" t="s">
        <v>1593</v>
      </c>
      <c r="GY1" t="s">
        <v>1594</v>
      </c>
      <c r="GZ1" t="s">
        <v>1595</v>
      </c>
      <c r="HA1" t="s">
        <v>1596</v>
      </c>
      <c r="HB1" t="s">
        <v>1597</v>
      </c>
      <c r="HC1" t="s">
        <v>1598</v>
      </c>
      <c r="HD1" t="s">
        <v>1599</v>
      </c>
      <c r="HE1" t="s">
        <v>1600</v>
      </c>
      <c r="HF1" t="s">
        <v>1601</v>
      </c>
      <c r="HG1" t="s">
        <v>1602</v>
      </c>
      <c r="HH1" t="s">
        <v>1603</v>
      </c>
      <c r="HI1" t="s">
        <v>1604</v>
      </c>
      <c r="HJ1" t="s">
        <v>1605</v>
      </c>
      <c r="HK1" t="s">
        <v>1606</v>
      </c>
      <c r="HL1" t="s">
        <v>1607</v>
      </c>
      <c r="HM1" t="s">
        <v>1608</v>
      </c>
      <c r="HN1" t="s">
        <v>1609</v>
      </c>
      <c r="HO1" t="s">
        <v>1610</v>
      </c>
      <c r="HP1" t="s">
        <v>1611</v>
      </c>
      <c r="HQ1" t="s">
        <v>1612</v>
      </c>
      <c r="HR1" t="s">
        <v>1613</v>
      </c>
      <c r="HS1" t="s">
        <v>1614</v>
      </c>
      <c r="HT1" t="s">
        <v>1615</v>
      </c>
      <c r="HU1" t="s">
        <v>1616</v>
      </c>
      <c r="HV1" t="s">
        <v>1617</v>
      </c>
      <c r="HW1" t="s">
        <v>1618</v>
      </c>
      <c r="HX1" t="s">
        <v>1619</v>
      </c>
      <c r="HY1" t="s">
        <v>1620</v>
      </c>
      <c r="HZ1" t="s">
        <v>1621</v>
      </c>
      <c r="IA1" t="s">
        <v>1622</v>
      </c>
      <c r="IB1" t="s">
        <v>1623</v>
      </c>
      <c r="IC1" t="s">
        <v>1624</v>
      </c>
      <c r="ID1" t="s">
        <v>1625</v>
      </c>
      <c r="IE1" t="s">
        <v>1626</v>
      </c>
      <c r="IF1" t="s">
        <v>1627</v>
      </c>
      <c r="IG1" t="s">
        <v>1628</v>
      </c>
      <c r="IH1" t="s">
        <v>1629</v>
      </c>
      <c r="II1" t="s">
        <v>1630</v>
      </c>
      <c r="IJ1" t="s">
        <v>1631</v>
      </c>
      <c r="IK1" t="s">
        <v>1632</v>
      </c>
      <c r="IL1" t="s">
        <v>1633</v>
      </c>
      <c r="IM1" t="s">
        <v>1634</v>
      </c>
      <c r="IN1" t="s">
        <v>1635</v>
      </c>
      <c r="IO1" t="s">
        <v>1636</v>
      </c>
      <c r="IP1" t="s">
        <v>1637</v>
      </c>
      <c r="IQ1" t="s">
        <v>1638</v>
      </c>
      <c r="IR1" t="s">
        <v>1639</v>
      </c>
      <c r="IS1" t="s">
        <v>1640</v>
      </c>
      <c r="IT1" t="s">
        <v>1641</v>
      </c>
      <c r="IU1" t="s">
        <v>1642</v>
      </c>
      <c r="IV1" t="s">
        <v>1643</v>
      </c>
    </row>
    <row r="2" spans="1:256" x14ac:dyDescent="0.2">
      <c r="A2" t="s">
        <v>1644</v>
      </c>
      <c r="B2" t="s">
        <v>1645</v>
      </c>
      <c r="C2" t="s">
        <v>1646</v>
      </c>
      <c r="D2" t="s">
        <v>1647</v>
      </c>
      <c r="E2" t="s">
        <v>1648</v>
      </c>
      <c r="F2" t="s">
        <v>1649</v>
      </c>
      <c r="G2" t="s">
        <v>1650</v>
      </c>
      <c r="H2" t="s">
        <v>1651</v>
      </c>
      <c r="I2" t="s">
        <v>1652</v>
      </c>
      <c r="J2" t="s">
        <v>1653</v>
      </c>
      <c r="K2" t="s">
        <v>1654</v>
      </c>
      <c r="L2" t="s">
        <v>1655</v>
      </c>
      <c r="M2" t="s">
        <v>1656</v>
      </c>
      <c r="N2" t="s">
        <v>1657</v>
      </c>
      <c r="O2" t="s">
        <v>1658</v>
      </c>
      <c r="P2" t="s">
        <v>1659</v>
      </c>
      <c r="Q2" t="s">
        <v>1660</v>
      </c>
      <c r="R2" t="s">
        <v>1661</v>
      </c>
      <c r="S2" t="s">
        <v>1662</v>
      </c>
      <c r="T2" t="s">
        <v>1663</v>
      </c>
      <c r="U2" t="s">
        <v>1664</v>
      </c>
      <c r="V2" t="s">
        <v>1665</v>
      </c>
      <c r="W2" t="s">
        <v>1666</v>
      </c>
      <c r="X2" t="s">
        <v>1667</v>
      </c>
      <c r="Y2" t="s">
        <v>1668</v>
      </c>
      <c r="Z2" t="s">
        <v>1669</v>
      </c>
      <c r="AA2" t="s">
        <v>1670</v>
      </c>
      <c r="AB2" t="s">
        <v>1671</v>
      </c>
      <c r="AC2" t="s">
        <v>1672</v>
      </c>
      <c r="AD2" t="s">
        <v>1673</v>
      </c>
      <c r="AE2" t="s">
        <v>1674</v>
      </c>
      <c r="AF2" t="s">
        <v>1675</v>
      </c>
      <c r="AG2" t="s">
        <v>1676</v>
      </c>
      <c r="AH2" t="s">
        <v>1677</v>
      </c>
      <c r="AI2" t="s">
        <v>1678</v>
      </c>
      <c r="AJ2" t="s">
        <v>1679</v>
      </c>
      <c r="AK2" t="s">
        <v>1680</v>
      </c>
      <c r="AL2" t="s">
        <v>1681</v>
      </c>
      <c r="AM2" t="s">
        <v>1682</v>
      </c>
      <c r="AN2" t="s">
        <v>1683</v>
      </c>
      <c r="AO2" t="s">
        <v>1684</v>
      </c>
      <c r="AP2" t="s">
        <v>1685</v>
      </c>
      <c r="AQ2" t="s">
        <v>1686</v>
      </c>
      <c r="AR2" t="s">
        <v>1687</v>
      </c>
      <c r="AS2" t="s">
        <v>1688</v>
      </c>
      <c r="AT2" t="s">
        <v>1689</v>
      </c>
      <c r="AU2" t="s">
        <v>1690</v>
      </c>
      <c r="AV2" t="s">
        <v>1691</v>
      </c>
      <c r="AW2" t="s">
        <v>1692</v>
      </c>
      <c r="AX2" t="s">
        <v>1693</v>
      </c>
      <c r="AY2" t="s">
        <v>1694</v>
      </c>
      <c r="AZ2" t="s">
        <v>1695</v>
      </c>
      <c r="BA2" t="s">
        <v>1696</v>
      </c>
      <c r="BB2" t="s">
        <v>1697</v>
      </c>
      <c r="BC2" t="s">
        <v>1698</v>
      </c>
      <c r="BD2" t="s">
        <v>1699</v>
      </c>
      <c r="BE2" t="s">
        <v>1700</v>
      </c>
      <c r="BF2" t="s">
        <v>1701</v>
      </c>
      <c r="BG2" t="s">
        <v>1702</v>
      </c>
      <c r="BH2" t="s">
        <v>1703</v>
      </c>
      <c r="BI2" t="s">
        <v>1704</v>
      </c>
      <c r="BJ2" t="s">
        <v>1705</v>
      </c>
      <c r="BK2" t="s">
        <v>1706</v>
      </c>
      <c r="BL2" t="s">
        <v>1707</v>
      </c>
      <c r="BM2" t="s">
        <v>1708</v>
      </c>
      <c r="BN2" t="s">
        <v>1709</v>
      </c>
      <c r="BO2" t="s">
        <v>1710</v>
      </c>
      <c r="BP2" t="s">
        <v>1711</v>
      </c>
      <c r="BQ2" t="s">
        <v>1712</v>
      </c>
      <c r="BR2" t="s">
        <v>1713</v>
      </c>
      <c r="BS2" t="s">
        <v>1714</v>
      </c>
      <c r="BT2" t="s">
        <v>1715</v>
      </c>
      <c r="BU2" t="s">
        <v>1716</v>
      </c>
      <c r="BV2" t="s">
        <v>1717</v>
      </c>
      <c r="BW2" t="s">
        <v>1718</v>
      </c>
      <c r="BX2" t="s">
        <v>1719</v>
      </c>
      <c r="BY2" t="s">
        <v>1720</v>
      </c>
      <c r="BZ2" t="s">
        <v>1721</v>
      </c>
      <c r="CA2" t="s">
        <v>1722</v>
      </c>
      <c r="CB2" t="s">
        <v>1723</v>
      </c>
      <c r="CC2" t="s">
        <v>1724</v>
      </c>
      <c r="CD2" t="s">
        <v>1725</v>
      </c>
      <c r="CE2" t="s">
        <v>1726</v>
      </c>
      <c r="CF2" t="s">
        <v>1727</v>
      </c>
      <c r="CG2" t="s">
        <v>1728</v>
      </c>
      <c r="CH2" t="s">
        <v>1729</v>
      </c>
      <c r="CI2" t="s">
        <v>1730</v>
      </c>
      <c r="CJ2" t="s">
        <v>1731</v>
      </c>
      <c r="CK2" t="s">
        <v>1732</v>
      </c>
      <c r="CL2" t="s">
        <v>1733</v>
      </c>
      <c r="CM2" t="s">
        <v>1734</v>
      </c>
      <c r="CN2" t="s">
        <v>1735</v>
      </c>
      <c r="CO2" t="s">
        <v>1736</v>
      </c>
      <c r="CP2" t="s">
        <v>1737</v>
      </c>
      <c r="CQ2" t="s">
        <v>1738</v>
      </c>
      <c r="CR2" t="s">
        <v>1739</v>
      </c>
      <c r="CS2" t="s">
        <v>1740</v>
      </c>
      <c r="CT2" t="s">
        <v>1741</v>
      </c>
      <c r="CU2" t="s">
        <v>1742</v>
      </c>
      <c r="CV2" t="s">
        <v>1743</v>
      </c>
      <c r="CW2" t="s">
        <v>1744</v>
      </c>
      <c r="CX2" t="s">
        <v>1745</v>
      </c>
      <c r="CY2" t="s">
        <v>1746</v>
      </c>
      <c r="CZ2" t="s">
        <v>1747</v>
      </c>
      <c r="DA2" t="s">
        <v>1748</v>
      </c>
      <c r="DB2" t="s">
        <v>1749</v>
      </c>
      <c r="DC2" t="s">
        <v>1750</v>
      </c>
      <c r="DD2" t="s">
        <v>1751</v>
      </c>
      <c r="DE2" t="s">
        <v>1752</v>
      </c>
      <c r="DF2" t="s">
        <v>1753</v>
      </c>
      <c r="DG2" t="s">
        <v>1754</v>
      </c>
      <c r="DH2" t="s">
        <v>1755</v>
      </c>
      <c r="DI2" t="s">
        <v>1756</v>
      </c>
      <c r="DJ2" t="s">
        <v>1757</v>
      </c>
      <c r="DK2" t="s">
        <v>1758</v>
      </c>
      <c r="DL2" t="s">
        <v>1759</v>
      </c>
      <c r="DM2" t="s">
        <v>1760</v>
      </c>
      <c r="DN2" t="s">
        <v>1761</v>
      </c>
      <c r="DO2" t="s">
        <v>1762</v>
      </c>
      <c r="DP2" t="s">
        <v>1763</v>
      </c>
      <c r="DQ2" t="s">
        <v>1764</v>
      </c>
      <c r="DR2" t="s">
        <v>1765</v>
      </c>
      <c r="DS2" t="s">
        <v>1766</v>
      </c>
      <c r="DT2" t="s">
        <v>1767</v>
      </c>
      <c r="DU2" t="s">
        <v>1768</v>
      </c>
      <c r="DV2" t="s">
        <v>1769</v>
      </c>
      <c r="DW2" t="s">
        <v>1770</v>
      </c>
      <c r="DX2" t="s">
        <v>1771</v>
      </c>
      <c r="DY2" t="s">
        <v>1772</v>
      </c>
      <c r="DZ2" t="s">
        <v>1773</v>
      </c>
      <c r="EA2" t="s">
        <v>1774</v>
      </c>
      <c r="EB2" t="s">
        <v>1775</v>
      </c>
      <c r="EC2" t="s">
        <v>1776</v>
      </c>
      <c r="ED2" t="s">
        <v>1777</v>
      </c>
      <c r="EE2" t="s">
        <v>1778</v>
      </c>
      <c r="EF2" t="s">
        <v>1779</v>
      </c>
      <c r="EG2" t="s">
        <v>1780</v>
      </c>
      <c r="EH2" t="s">
        <v>1781</v>
      </c>
      <c r="EI2" t="s">
        <v>1782</v>
      </c>
      <c r="EJ2" t="s">
        <v>1783</v>
      </c>
      <c r="EK2" t="s">
        <v>1784</v>
      </c>
      <c r="EL2" t="s">
        <v>1785</v>
      </c>
      <c r="EM2" t="s">
        <v>1786</v>
      </c>
      <c r="EN2" t="s">
        <v>1787</v>
      </c>
      <c r="EO2" t="s">
        <v>1788</v>
      </c>
      <c r="EP2" t="s">
        <v>1789</v>
      </c>
      <c r="EQ2" t="s">
        <v>1790</v>
      </c>
      <c r="ER2" t="s">
        <v>1791</v>
      </c>
      <c r="ES2" t="s">
        <v>1792</v>
      </c>
      <c r="ET2" t="s">
        <v>1793</v>
      </c>
      <c r="EU2" t="s">
        <v>1794</v>
      </c>
      <c r="EV2" t="s">
        <v>1795</v>
      </c>
      <c r="EW2" t="s">
        <v>1796</v>
      </c>
      <c r="EX2" t="s">
        <v>1797</v>
      </c>
      <c r="EY2" t="s">
        <v>1798</v>
      </c>
      <c r="EZ2" t="s">
        <v>1799</v>
      </c>
      <c r="FA2" t="s">
        <v>1800</v>
      </c>
      <c r="FB2" t="s">
        <v>1801</v>
      </c>
      <c r="FC2" t="s">
        <v>1802</v>
      </c>
      <c r="FD2" t="s">
        <v>1803</v>
      </c>
      <c r="FE2" t="s">
        <v>1804</v>
      </c>
      <c r="FF2" t="s">
        <v>1805</v>
      </c>
      <c r="FG2" t="s">
        <v>1806</v>
      </c>
      <c r="FH2" t="s">
        <v>1807</v>
      </c>
      <c r="FI2" t="s">
        <v>1808</v>
      </c>
      <c r="FJ2" t="s">
        <v>1809</v>
      </c>
      <c r="FK2" t="s">
        <v>1810</v>
      </c>
      <c r="FL2" t="s">
        <v>1811</v>
      </c>
      <c r="FM2" t="s">
        <v>1812</v>
      </c>
      <c r="FN2" t="s">
        <v>1813</v>
      </c>
      <c r="FO2" t="s">
        <v>1814</v>
      </c>
      <c r="FP2" t="s">
        <v>1815</v>
      </c>
      <c r="FQ2" t="s">
        <v>1816</v>
      </c>
      <c r="FR2" t="s">
        <v>1817</v>
      </c>
      <c r="FS2" t="s">
        <v>1818</v>
      </c>
      <c r="FT2" t="s">
        <v>1819</v>
      </c>
      <c r="FU2" t="s">
        <v>1820</v>
      </c>
      <c r="FV2" t="s">
        <v>1821</v>
      </c>
      <c r="FW2" t="s">
        <v>1822</v>
      </c>
      <c r="FX2" t="s">
        <v>1823</v>
      </c>
      <c r="FY2" t="s">
        <v>1824</v>
      </c>
      <c r="FZ2" t="s">
        <v>1825</v>
      </c>
      <c r="GA2" t="s">
        <v>1826</v>
      </c>
      <c r="GB2" t="s">
        <v>1827</v>
      </c>
      <c r="GC2" t="s">
        <v>1828</v>
      </c>
      <c r="GD2" t="s">
        <v>1829</v>
      </c>
      <c r="GE2" t="s">
        <v>1830</v>
      </c>
      <c r="GF2" t="s">
        <v>1831</v>
      </c>
      <c r="GG2" t="s">
        <v>1832</v>
      </c>
      <c r="GH2" t="s">
        <v>1833</v>
      </c>
      <c r="GI2" t="s">
        <v>1834</v>
      </c>
      <c r="GJ2" t="s">
        <v>1835</v>
      </c>
      <c r="GK2" t="s">
        <v>1836</v>
      </c>
      <c r="GL2" t="s">
        <v>1837</v>
      </c>
      <c r="GM2" t="s">
        <v>1838</v>
      </c>
      <c r="GN2" t="s">
        <v>1839</v>
      </c>
      <c r="GO2" t="s">
        <v>1840</v>
      </c>
      <c r="GP2" t="s">
        <v>1841</v>
      </c>
      <c r="GQ2" t="s">
        <v>1842</v>
      </c>
      <c r="GR2" t="s">
        <v>1843</v>
      </c>
      <c r="GS2" t="s">
        <v>1844</v>
      </c>
      <c r="GT2" t="s">
        <v>1845</v>
      </c>
      <c r="GU2" t="s">
        <v>1846</v>
      </c>
      <c r="GV2" t="s">
        <v>1847</v>
      </c>
      <c r="GW2" t="s">
        <v>1848</v>
      </c>
      <c r="GX2" t="s">
        <v>1849</v>
      </c>
      <c r="GY2" t="s">
        <v>1850</v>
      </c>
      <c r="GZ2" t="s">
        <v>1851</v>
      </c>
      <c r="HA2" t="s">
        <v>1852</v>
      </c>
      <c r="HB2" t="s">
        <v>1853</v>
      </c>
      <c r="HC2" t="s">
        <v>1854</v>
      </c>
      <c r="HD2" t="s">
        <v>1855</v>
      </c>
      <c r="HE2" t="s">
        <v>1856</v>
      </c>
      <c r="HF2" t="s">
        <v>1857</v>
      </c>
      <c r="HG2" t="s">
        <v>1858</v>
      </c>
      <c r="HH2" t="s">
        <v>1859</v>
      </c>
      <c r="HI2" t="s">
        <v>1860</v>
      </c>
      <c r="HJ2" t="s">
        <v>1861</v>
      </c>
      <c r="HK2" t="s">
        <v>1862</v>
      </c>
      <c r="HL2" t="s">
        <v>1863</v>
      </c>
      <c r="HM2" t="s">
        <v>1864</v>
      </c>
      <c r="HN2" t="s">
        <v>1865</v>
      </c>
      <c r="HO2" t="s">
        <v>1866</v>
      </c>
      <c r="HP2" t="s">
        <v>1867</v>
      </c>
      <c r="HQ2" t="s">
        <v>1868</v>
      </c>
      <c r="HR2" t="s">
        <v>1869</v>
      </c>
      <c r="HS2" t="s">
        <v>1870</v>
      </c>
      <c r="HT2" t="s">
        <v>1871</v>
      </c>
      <c r="HU2" t="s">
        <v>1872</v>
      </c>
      <c r="HV2" t="s">
        <v>1873</v>
      </c>
      <c r="HW2" t="s">
        <v>1874</v>
      </c>
      <c r="HX2" t="s">
        <v>1875</v>
      </c>
      <c r="HY2" t="s">
        <v>1876</v>
      </c>
      <c r="HZ2" t="s">
        <v>1877</v>
      </c>
      <c r="IA2" t="s">
        <v>1878</v>
      </c>
      <c r="IB2" t="s">
        <v>1879</v>
      </c>
      <c r="IC2" t="s">
        <v>1880</v>
      </c>
      <c r="ID2" t="s">
        <v>1881</v>
      </c>
      <c r="IE2" t="s">
        <v>1882</v>
      </c>
      <c r="IF2" t="s">
        <v>1883</v>
      </c>
      <c r="IG2" t="s">
        <v>1884</v>
      </c>
      <c r="IH2" t="s">
        <v>1885</v>
      </c>
      <c r="II2" t="s">
        <v>1886</v>
      </c>
      <c r="IJ2" t="s">
        <v>1887</v>
      </c>
      <c r="IK2" t="s">
        <v>1888</v>
      </c>
      <c r="IL2" t="s">
        <v>1889</v>
      </c>
      <c r="IM2" t="s">
        <v>1890</v>
      </c>
      <c r="IN2" t="s">
        <v>1891</v>
      </c>
      <c r="IO2" t="s">
        <v>1892</v>
      </c>
      <c r="IP2" t="s">
        <v>1893</v>
      </c>
      <c r="IQ2" t="s">
        <v>1894</v>
      </c>
      <c r="IR2" t="s">
        <v>1895</v>
      </c>
      <c r="IS2" t="s">
        <v>1896</v>
      </c>
      <c r="IT2" t="s">
        <v>1897</v>
      </c>
      <c r="IU2" t="s">
        <v>1898</v>
      </c>
      <c r="IV2" t="s">
        <v>1899</v>
      </c>
    </row>
    <row r="3" spans="1:256" x14ac:dyDescent="0.2">
      <c r="A3" t="s">
        <v>1900</v>
      </c>
      <c r="B3" t="s">
        <v>1901</v>
      </c>
      <c r="C3" t="s">
        <v>1902</v>
      </c>
      <c r="D3" t="s">
        <v>1903</v>
      </c>
      <c r="E3" t="s">
        <v>1904</v>
      </c>
      <c r="F3" t="s">
        <v>1905</v>
      </c>
      <c r="G3" t="s">
        <v>1906</v>
      </c>
      <c r="H3" t="s">
        <v>1907</v>
      </c>
      <c r="I3" t="s">
        <v>1908</v>
      </c>
      <c r="J3" t="s">
        <v>1909</v>
      </c>
      <c r="K3" t="s">
        <v>1910</v>
      </c>
      <c r="L3" t="s">
        <v>1911</v>
      </c>
      <c r="M3" t="s">
        <v>1912</v>
      </c>
      <c r="N3" t="s">
        <v>1913</v>
      </c>
      <c r="O3" t="s">
        <v>1914</v>
      </c>
      <c r="P3" t="s">
        <v>1915</v>
      </c>
      <c r="Q3" t="s">
        <v>1916</v>
      </c>
      <c r="R3" t="s">
        <v>1917</v>
      </c>
      <c r="S3" t="s">
        <v>1918</v>
      </c>
      <c r="T3" t="s">
        <v>1919</v>
      </c>
      <c r="U3" t="s">
        <v>1920</v>
      </c>
      <c r="V3" t="s">
        <v>1921</v>
      </c>
      <c r="W3" t="s">
        <v>1922</v>
      </c>
      <c r="X3" t="s">
        <v>1923</v>
      </c>
      <c r="Y3" t="s">
        <v>1924</v>
      </c>
      <c r="Z3" t="s">
        <v>1925</v>
      </c>
      <c r="AA3" t="s">
        <v>1926</v>
      </c>
      <c r="AB3" t="s">
        <v>1927</v>
      </c>
      <c r="AC3" t="s">
        <v>1928</v>
      </c>
      <c r="AD3" t="s">
        <v>1929</v>
      </c>
      <c r="AE3" t="s">
        <v>1930</v>
      </c>
      <c r="AF3" t="s">
        <v>1931</v>
      </c>
      <c r="AG3" t="s">
        <v>1932</v>
      </c>
      <c r="AH3" t="s">
        <v>1933</v>
      </c>
      <c r="AI3" t="s">
        <v>1934</v>
      </c>
      <c r="AJ3" t="s">
        <v>1935</v>
      </c>
      <c r="AK3" t="s">
        <v>1936</v>
      </c>
      <c r="AL3" t="s">
        <v>1937</v>
      </c>
      <c r="AM3" t="s">
        <v>1938</v>
      </c>
      <c r="AN3" t="s">
        <v>1939</v>
      </c>
      <c r="AO3" t="s">
        <v>1940</v>
      </c>
      <c r="AP3" t="s">
        <v>1941</v>
      </c>
      <c r="AQ3" t="s">
        <v>1942</v>
      </c>
      <c r="AR3" t="s">
        <v>1943</v>
      </c>
      <c r="AS3" t="s">
        <v>1944</v>
      </c>
      <c r="AT3" t="s">
        <v>1945</v>
      </c>
      <c r="AU3" t="s">
        <v>1946</v>
      </c>
      <c r="AV3" t="s">
        <v>1947</v>
      </c>
      <c r="AW3" t="s">
        <v>1948</v>
      </c>
      <c r="AX3" t="s">
        <v>1949</v>
      </c>
      <c r="AY3" t="s">
        <v>1950</v>
      </c>
      <c r="AZ3" t="s">
        <v>1951</v>
      </c>
      <c r="BA3" t="s">
        <v>1952</v>
      </c>
      <c r="BB3" t="s">
        <v>1953</v>
      </c>
      <c r="BC3" t="s">
        <v>1954</v>
      </c>
      <c r="BD3" t="s">
        <v>1955</v>
      </c>
      <c r="BE3" t="s">
        <v>1956</v>
      </c>
      <c r="BF3" t="s">
        <v>1957</v>
      </c>
      <c r="BG3" t="s">
        <v>1958</v>
      </c>
      <c r="BH3" t="s">
        <v>1959</v>
      </c>
      <c r="BI3" t="s">
        <v>1960</v>
      </c>
      <c r="BJ3" t="s">
        <v>1961</v>
      </c>
      <c r="BK3" t="s">
        <v>1962</v>
      </c>
      <c r="BL3" t="s">
        <v>1963</v>
      </c>
      <c r="BM3" t="s">
        <v>1964</v>
      </c>
      <c r="BN3" t="s">
        <v>1965</v>
      </c>
      <c r="BO3" t="s">
        <v>1966</v>
      </c>
      <c r="BP3" t="s">
        <v>1967</v>
      </c>
      <c r="BQ3" t="s">
        <v>1968</v>
      </c>
      <c r="BR3" t="s">
        <v>1969</v>
      </c>
      <c r="BS3" t="s">
        <v>1970</v>
      </c>
      <c r="BT3" t="s">
        <v>1971</v>
      </c>
      <c r="BU3" t="s">
        <v>1972</v>
      </c>
      <c r="BV3" t="s">
        <v>1973</v>
      </c>
      <c r="BW3" t="s">
        <v>1974</v>
      </c>
      <c r="BX3" t="s">
        <v>1975</v>
      </c>
      <c r="BY3" t="s">
        <v>1976</v>
      </c>
      <c r="BZ3" t="s">
        <v>1977</v>
      </c>
      <c r="CA3" t="s">
        <v>1978</v>
      </c>
      <c r="CB3" t="s">
        <v>1979</v>
      </c>
      <c r="CC3" t="s">
        <v>1980</v>
      </c>
      <c r="CD3" t="s">
        <v>1981</v>
      </c>
      <c r="CE3" t="s">
        <v>1982</v>
      </c>
      <c r="CF3" t="s">
        <v>1983</v>
      </c>
      <c r="CG3" t="s">
        <v>1984</v>
      </c>
      <c r="CH3" t="s">
        <v>1985</v>
      </c>
      <c r="CI3" t="s">
        <v>1986</v>
      </c>
      <c r="CJ3" t="s">
        <v>1987</v>
      </c>
      <c r="CK3" t="s">
        <v>1988</v>
      </c>
      <c r="CL3" t="s">
        <v>1989</v>
      </c>
      <c r="CM3" t="s">
        <v>1990</v>
      </c>
      <c r="CN3" t="s">
        <v>1991</v>
      </c>
      <c r="CO3" t="s">
        <v>1992</v>
      </c>
      <c r="CP3" t="s">
        <v>1993</v>
      </c>
      <c r="CQ3" t="s">
        <v>1994</v>
      </c>
      <c r="CR3" t="s">
        <v>1995</v>
      </c>
      <c r="CS3" t="s">
        <v>1996</v>
      </c>
      <c r="CT3" t="s">
        <v>1997</v>
      </c>
      <c r="CU3" t="s">
        <v>1998</v>
      </c>
      <c r="CV3" t="s">
        <v>1999</v>
      </c>
      <c r="CW3" t="s">
        <v>2000</v>
      </c>
      <c r="CX3" t="s">
        <v>2001</v>
      </c>
      <c r="CY3" t="s">
        <v>2002</v>
      </c>
      <c r="CZ3" t="s">
        <v>2003</v>
      </c>
      <c r="DA3" t="s">
        <v>2004</v>
      </c>
      <c r="DB3" t="s">
        <v>2005</v>
      </c>
      <c r="DC3" t="s">
        <v>2006</v>
      </c>
      <c r="DD3" t="s">
        <v>2007</v>
      </c>
      <c r="DE3" t="s">
        <v>2008</v>
      </c>
      <c r="DF3" t="s">
        <v>2009</v>
      </c>
      <c r="DG3" t="s">
        <v>2010</v>
      </c>
      <c r="DH3" t="s">
        <v>2011</v>
      </c>
      <c r="DI3" t="s">
        <v>2012</v>
      </c>
      <c r="DJ3" t="s">
        <v>2013</v>
      </c>
      <c r="DK3" t="s">
        <v>2014</v>
      </c>
      <c r="DL3" t="s">
        <v>2015</v>
      </c>
      <c r="DM3" t="s">
        <v>2016</v>
      </c>
      <c r="DN3" t="s">
        <v>2017</v>
      </c>
      <c r="DO3" t="s">
        <v>2018</v>
      </c>
      <c r="DP3" t="s">
        <v>2019</v>
      </c>
      <c r="DQ3" t="s">
        <v>2020</v>
      </c>
      <c r="DR3" t="s">
        <v>2021</v>
      </c>
      <c r="DS3" t="s">
        <v>2022</v>
      </c>
      <c r="DT3" t="s">
        <v>2023</v>
      </c>
      <c r="DU3" t="s">
        <v>2024</v>
      </c>
      <c r="DV3" t="s">
        <v>2025</v>
      </c>
      <c r="DW3" t="s">
        <v>2026</v>
      </c>
      <c r="DX3" t="s">
        <v>2027</v>
      </c>
      <c r="DY3" t="s">
        <v>2028</v>
      </c>
      <c r="DZ3" t="s">
        <v>2029</v>
      </c>
      <c r="EA3" t="s">
        <v>2030</v>
      </c>
      <c r="EB3" t="s">
        <v>2031</v>
      </c>
      <c r="EC3" t="s">
        <v>2032</v>
      </c>
      <c r="ED3" t="s">
        <v>2033</v>
      </c>
      <c r="EE3" t="s">
        <v>2034</v>
      </c>
      <c r="EF3" t="s">
        <v>2035</v>
      </c>
      <c r="EG3" t="s">
        <v>2036</v>
      </c>
      <c r="EH3" t="s">
        <v>2037</v>
      </c>
      <c r="EI3" t="s">
        <v>2038</v>
      </c>
      <c r="EJ3" t="s">
        <v>2039</v>
      </c>
      <c r="EK3" t="s">
        <v>2040</v>
      </c>
      <c r="EL3" t="s">
        <v>2041</v>
      </c>
      <c r="EM3" t="s">
        <v>2042</v>
      </c>
      <c r="EN3" t="s">
        <v>2043</v>
      </c>
      <c r="EO3" t="s">
        <v>2044</v>
      </c>
      <c r="EP3" t="s">
        <v>2045</v>
      </c>
      <c r="EQ3" t="s">
        <v>2046</v>
      </c>
      <c r="ER3" t="s">
        <v>2047</v>
      </c>
      <c r="ES3" t="s">
        <v>2048</v>
      </c>
      <c r="ET3" t="s">
        <v>2049</v>
      </c>
      <c r="EU3" t="s">
        <v>2050</v>
      </c>
      <c r="EV3" t="s">
        <v>2051</v>
      </c>
      <c r="EW3" t="s">
        <v>2052</v>
      </c>
      <c r="EX3" t="s">
        <v>2053</v>
      </c>
      <c r="EY3" t="s">
        <v>2054</v>
      </c>
      <c r="EZ3" t="s">
        <v>2055</v>
      </c>
      <c r="FA3" t="s">
        <v>2056</v>
      </c>
      <c r="FB3" t="s">
        <v>2057</v>
      </c>
      <c r="FC3" t="s">
        <v>2058</v>
      </c>
      <c r="FD3" t="s">
        <v>2059</v>
      </c>
      <c r="FE3" t="s">
        <v>2060</v>
      </c>
      <c r="FF3" t="s">
        <v>2061</v>
      </c>
      <c r="FG3" t="s">
        <v>2062</v>
      </c>
      <c r="FH3" t="s">
        <v>2063</v>
      </c>
      <c r="FI3" t="s">
        <v>2064</v>
      </c>
      <c r="FJ3" t="s">
        <v>2065</v>
      </c>
      <c r="FK3" t="s">
        <v>2066</v>
      </c>
      <c r="FL3" t="s">
        <v>2067</v>
      </c>
      <c r="FM3" t="s">
        <v>2068</v>
      </c>
      <c r="FN3" t="s">
        <v>2069</v>
      </c>
      <c r="FO3" t="s">
        <v>2070</v>
      </c>
      <c r="FP3" t="s">
        <v>2071</v>
      </c>
      <c r="FQ3" t="s">
        <v>2072</v>
      </c>
      <c r="FR3" t="s">
        <v>2073</v>
      </c>
      <c r="FS3" t="s">
        <v>2074</v>
      </c>
      <c r="FT3" t="s">
        <v>2075</v>
      </c>
      <c r="FU3" t="s">
        <v>2076</v>
      </c>
      <c r="FV3" t="s">
        <v>2077</v>
      </c>
      <c r="FW3" t="s">
        <v>2078</v>
      </c>
      <c r="FX3" t="s">
        <v>2079</v>
      </c>
      <c r="FY3" t="s">
        <v>2080</v>
      </c>
      <c r="FZ3" t="s">
        <v>2081</v>
      </c>
      <c r="GA3" t="s">
        <v>2082</v>
      </c>
      <c r="GB3" t="s">
        <v>2083</v>
      </c>
      <c r="GC3" t="s">
        <v>2084</v>
      </c>
      <c r="GD3" t="s">
        <v>2085</v>
      </c>
      <c r="GE3" t="s">
        <v>2086</v>
      </c>
      <c r="GF3" t="s">
        <v>2087</v>
      </c>
      <c r="GG3" t="s">
        <v>2088</v>
      </c>
      <c r="GH3" t="s">
        <v>2089</v>
      </c>
      <c r="GI3" t="s">
        <v>2090</v>
      </c>
      <c r="GJ3" t="s">
        <v>2091</v>
      </c>
      <c r="GK3" t="s">
        <v>2092</v>
      </c>
      <c r="GL3" t="s">
        <v>2093</v>
      </c>
      <c r="GM3" t="s">
        <v>2094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FFCC"/>
    <pageSetUpPr fitToPage="1"/>
  </sheetPr>
  <dimension ref="A1:V45"/>
  <sheetViews>
    <sheetView showGridLines="0" tabSelected="1" zoomScaleNormal="100" workbookViewId="0">
      <selection activeCell="D16" sqref="D16"/>
    </sheetView>
  </sheetViews>
  <sheetFormatPr defaultColWidth="9" defaultRowHeight="12.75" x14ac:dyDescent="0.2"/>
  <cols>
    <col min="1" max="1" width="3.625" style="5" customWidth="1"/>
    <col min="2" max="2" width="20.625" style="2" customWidth="1"/>
    <col min="3" max="3" width="18.75" style="2" customWidth="1"/>
    <col min="4" max="4" width="16.5" style="2" customWidth="1"/>
    <col min="5" max="5" width="13.5" style="3" customWidth="1"/>
    <col min="6" max="6" width="11.125" style="4" customWidth="1"/>
    <col min="7" max="9" width="11.125" style="5" customWidth="1"/>
    <col min="10" max="10" width="8.625" style="5" customWidth="1"/>
    <col min="11" max="11" width="3.25" style="5" customWidth="1"/>
    <col min="12" max="12" width="9" style="5" customWidth="1"/>
    <col min="13" max="16384" width="9" style="5"/>
  </cols>
  <sheetData>
    <row r="1" spans="1:21" s="9" customFormat="1" ht="20.100000000000001" customHeight="1" x14ac:dyDescent="0.2">
      <c r="A1" s="147"/>
      <c r="B1" s="1252" t="s">
        <v>412</v>
      </c>
      <c r="C1" s="1253"/>
      <c r="D1" s="1253"/>
      <c r="E1" s="1254"/>
      <c r="F1" s="1255"/>
      <c r="G1" s="1253"/>
      <c r="H1" s="1253"/>
      <c r="I1" s="1253"/>
      <c r="J1" s="25"/>
      <c r="K1" s="1253"/>
      <c r="L1" s="1253"/>
      <c r="M1" s="1253"/>
      <c r="N1" s="1253"/>
      <c r="O1" s="1253"/>
      <c r="P1" s="1253"/>
      <c r="Q1" s="1253"/>
      <c r="R1" s="1253"/>
      <c r="S1" s="1253"/>
      <c r="T1" s="1253"/>
    </row>
    <row r="2" spans="1:21" ht="15" customHeight="1" x14ac:dyDescent="0.2">
      <c r="A2" s="147"/>
      <c r="B2" s="148"/>
      <c r="C2" s="149"/>
      <c r="D2" s="149"/>
      <c r="E2" s="150"/>
      <c r="F2" s="134"/>
      <c r="G2" s="141"/>
      <c r="H2" s="141"/>
      <c r="I2" s="141"/>
      <c r="J2" s="19"/>
    </row>
    <row r="3" spans="1:21" ht="15" customHeight="1" thickBot="1" x14ac:dyDescent="0.3">
      <c r="A3" s="147"/>
      <c r="B3" s="1256" t="s">
        <v>931</v>
      </c>
      <c r="C3" s="1257"/>
      <c r="D3" s="1257"/>
      <c r="E3" s="1257"/>
      <c r="F3" s="1257"/>
      <c r="G3" s="1257"/>
      <c r="H3" s="1257"/>
      <c r="I3" s="1257"/>
      <c r="J3" s="19"/>
      <c r="K3" s="1256" t="s">
        <v>417</v>
      </c>
      <c r="L3" s="1384"/>
      <c r="M3" s="1257"/>
      <c r="N3" s="1257"/>
      <c r="O3" s="1257"/>
      <c r="P3" s="1257"/>
      <c r="Q3" s="1257"/>
      <c r="R3" s="1257"/>
      <c r="S3" s="1257"/>
      <c r="T3" s="1257"/>
    </row>
    <row r="4" spans="1:21" ht="15" customHeight="1" x14ac:dyDescent="0.2">
      <c r="A4" s="147"/>
      <c r="B4" s="148"/>
      <c r="C4" s="149"/>
      <c r="D4" s="149"/>
      <c r="E4" s="150"/>
      <c r="F4" s="134"/>
      <c r="G4" s="141"/>
      <c r="H4" s="141"/>
      <c r="I4" s="141"/>
      <c r="J4" s="19"/>
    </row>
    <row r="5" spans="1:21" ht="15" customHeight="1" x14ac:dyDescent="0.2">
      <c r="A5" s="147"/>
      <c r="B5" s="1322" t="s">
        <v>363</v>
      </c>
      <c r="C5" s="1266" t="s">
        <v>1370</v>
      </c>
      <c r="D5" s="149"/>
      <c r="G5" s="1327" t="s">
        <v>364</v>
      </c>
      <c r="H5" s="134"/>
      <c r="I5" s="1258" t="s">
        <v>1252</v>
      </c>
      <c r="J5" s="19"/>
      <c r="K5" s="523"/>
      <c r="L5" s="524"/>
      <c r="M5" s="524"/>
      <c r="N5" s="524"/>
      <c r="O5" s="525"/>
      <c r="T5" s="5">
        <v>1</v>
      </c>
    </row>
    <row r="6" spans="1:21" ht="15" customHeight="1" x14ac:dyDescent="0.2">
      <c r="A6" s="151"/>
      <c r="B6" s="1322" t="s">
        <v>500</v>
      </c>
      <c r="C6" s="1086" t="str">
        <f>_xll.ciqfunctions.udf.CIQ(Target,"IQ_FILING_CURRENCY")</f>
        <v>USD</v>
      </c>
      <c r="D6" s="553"/>
      <c r="J6" s="19"/>
      <c r="K6" s="526"/>
      <c r="L6" s="527"/>
      <c r="M6" s="527"/>
      <c r="N6" s="527"/>
      <c r="O6" s="528"/>
      <c r="T6" s="5">
        <v>1</v>
      </c>
      <c r="U6" s="5" t="s">
        <v>1290</v>
      </c>
    </row>
    <row r="7" spans="1:21" ht="15" customHeight="1" x14ac:dyDescent="0.2">
      <c r="A7" s="151"/>
      <c r="B7" s="1322" t="s">
        <v>499</v>
      </c>
      <c r="C7" s="1086" t="str">
        <f>_xll.ciqfunctions.udf.CIQ(Target,"IQ_TRADING_CURRENCY")</f>
        <v>USD</v>
      </c>
      <c r="D7" s="529"/>
      <c r="G7" s="1328" t="s">
        <v>1239</v>
      </c>
      <c r="J7" s="19"/>
      <c r="K7" s="610"/>
      <c r="L7" s="610"/>
      <c r="M7" s="610"/>
      <c r="N7" s="610"/>
      <c r="O7" s="610"/>
      <c r="P7" s="610"/>
      <c r="T7" s="5">
        <v>2</v>
      </c>
      <c r="U7" s="5" t="s">
        <v>1291</v>
      </c>
    </row>
    <row r="8" spans="1:21" ht="15" customHeight="1" x14ac:dyDescent="0.2">
      <c r="A8" s="152"/>
      <c r="B8" s="1322" t="s">
        <v>59</v>
      </c>
      <c r="C8" s="376" cm="1">
        <f t="array" ref="C8">_xll.ciqfunctions.udf.CIQGETDATE(IQ_TODAY)</f>
        <v>44645</v>
      </c>
      <c r="D8" s="138"/>
      <c r="G8" s="1329" t="str">
        <f>"Number of "&amp;IF(TimePeriodType="Quarter","Quarters","Years")</f>
        <v>Number of Years</v>
      </c>
      <c r="H8" s="6"/>
      <c r="I8" s="1258">
        <v>9</v>
      </c>
      <c r="J8" s="19"/>
      <c r="T8" s="5">
        <v>3</v>
      </c>
      <c r="U8" s="5" t="s">
        <v>1365</v>
      </c>
    </row>
    <row r="9" spans="1:21" ht="15" customHeight="1" x14ac:dyDescent="0.2">
      <c r="A9" s="152"/>
      <c r="B9" s="1323" t="s">
        <v>70</v>
      </c>
      <c r="C9" s="1205" t="str">
        <f>+_xll.ciqfunctions.udf.CIQ($C$5,"IQ_COMPANY_NAME")</f>
        <v>Walmart Inc.</v>
      </c>
      <c r="D9" s="138"/>
      <c r="G9" s="1330" t="s">
        <v>1241</v>
      </c>
      <c r="H9" s="1260" t="s">
        <v>1431</v>
      </c>
      <c r="I9" s="1259" t="s">
        <v>1432</v>
      </c>
      <c r="J9" s="19"/>
      <c r="K9" s="851"/>
      <c r="L9" s="852"/>
      <c r="M9" s="261"/>
      <c r="N9" s="261"/>
      <c r="O9" s="262"/>
    </row>
    <row r="10" spans="1:21" ht="15" customHeight="1" x14ac:dyDescent="0.2">
      <c r="A10" s="152"/>
      <c r="B10" s="1323" t="s">
        <v>483</v>
      </c>
      <c r="C10" s="1205" t="str">
        <f>_xll.ciqfunctions.udf.CIQ(Target,"IQ_INDUSTRY_SECTOR")</f>
        <v>Consumer Staples</v>
      </c>
      <c r="D10" s="138"/>
      <c r="J10" s="19"/>
      <c r="K10" s="1250" t="s">
        <v>418</v>
      </c>
      <c r="L10" s="853"/>
      <c r="M10" s="263"/>
      <c r="N10" s="263"/>
      <c r="O10" s="264"/>
    </row>
    <row r="11" spans="1:21" ht="15" customHeight="1" x14ac:dyDescent="0.2">
      <c r="A11" s="151"/>
      <c r="B11" s="1323" t="s">
        <v>365</v>
      </c>
      <c r="C11" s="1205" t="str">
        <f>_xll.ciqfunctions.udf.CIQ(C5, "IQ_PRIMARY_INDUSTRY")</f>
        <v>Hypermarkets and Super Centers</v>
      </c>
      <c r="G11" s="1327" t="s">
        <v>352</v>
      </c>
      <c r="J11" s="19"/>
      <c r="K11" s="854"/>
      <c r="L11" s="855"/>
      <c r="M11" s="265"/>
      <c r="N11" s="265"/>
      <c r="O11" s="266"/>
    </row>
    <row r="12" spans="1:21" x14ac:dyDescent="0.2">
      <c r="A12" s="362"/>
      <c r="B12" s="1323" t="s">
        <v>484</v>
      </c>
      <c r="C12" s="1205" t="str">
        <f>_xll.ciqfunctions.udf.CIQ(Target,"IQ_COUNTRY_NAME")</f>
        <v>United States</v>
      </c>
      <c r="G12" s="1326" t="s">
        <v>1240</v>
      </c>
      <c r="H12" s="1261" t="s">
        <v>1431</v>
      </c>
      <c r="I12" s="1262" t="s">
        <v>1432</v>
      </c>
      <c r="J12" s="19"/>
      <c r="K12" s="851"/>
      <c r="L12" s="852"/>
      <c r="M12" s="261"/>
      <c r="N12" s="261"/>
      <c r="O12" s="262"/>
    </row>
    <row r="13" spans="1:21" ht="15" customHeight="1" x14ac:dyDescent="0.2">
      <c r="A13" s="29"/>
      <c r="B13" s="136"/>
      <c r="C13" s="136"/>
      <c r="J13" s="29"/>
      <c r="K13" s="1250" t="s">
        <v>455</v>
      </c>
      <c r="L13" s="853"/>
      <c r="M13" s="263"/>
      <c r="N13" s="263"/>
      <c r="O13" s="264"/>
    </row>
    <row r="14" spans="1:21" ht="15" customHeight="1" thickBot="1" x14ac:dyDescent="0.25">
      <c r="B14" s="1256" t="s">
        <v>420</v>
      </c>
      <c r="C14" s="1257"/>
      <c r="D14" s="1257"/>
      <c r="E14" s="1257"/>
      <c r="F14" s="1257"/>
      <c r="G14" s="1257"/>
      <c r="H14" s="1257"/>
      <c r="I14" s="1257"/>
      <c r="J14" s="19"/>
      <c r="K14" s="854"/>
      <c r="L14" s="855"/>
      <c r="M14" s="265"/>
      <c r="N14" s="265"/>
      <c r="O14" s="266"/>
    </row>
    <row r="15" spans="1:21" ht="15" customHeight="1" x14ac:dyDescent="0.2">
      <c r="A15" s="135"/>
      <c r="B15" s="136"/>
      <c r="C15" s="136"/>
      <c r="D15" s="136"/>
      <c r="E15" s="137"/>
      <c r="F15" s="32"/>
      <c r="G15" s="29"/>
      <c r="H15" s="29"/>
      <c r="I15" s="29"/>
      <c r="J15" s="29"/>
    </row>
    <row r="16" spans="1:21" ht="15" customHeight="1" x14ac:dyDescent="0.2">
      <c r="A16" s="29"/>
      <c r="B16" s="1322" t="s">
        <v>366</v>
      </c>
      <c r="C16" s="1265">
        <v>1</v>
      </c>
      <c r="D16" s="1324" t="str">
        <f>"Number of "&amp;IF(TimePeriodType="Quarter","Quarters","Years")</f>
        <v>Number of Years</v>
      </c>
      <c r="E16" s="1264">
        <v>1</v>
      </c>
      <c r="G16" s="1325" t="s">
        <v>1241</v>
      </c>
      <c r="H16" s="1263" t="s">
        <v>1430</v>
      </c>
      <c r="I16" s="1259" t="s">
        <v>1430</v>
      </c>
      <c r="J16" s="29"/>
    </row>
    <row r="17" spans="1:21" ht="15" customHeight="1" x14ac:dyDescent="0.2">
      <c r="A17" s="29"/>
      <c r="B17" s="136"/>
      <c r="C17" s="136"/>
      <c r="D17" s="136"/>
      <c r="E17" s="29"/>
      <c r="F17" s="137"/>
      <c r="G17" s="32"/>
      <c r="I17" s="29"/>
      <c r="J17" s="610"/>
      <c r="K17" s="610"/>
      <c r="L17" s="610"/>
      <c r="M17" s="610"/>
      <c r="N17" s="610"/>
      <c r="O17" s="610"/>
      <c r="P17" s="610"/>
      <c r="Q17" s="610"/>
      <c r="R17" s="610"/>
      <c r="S17" s="610"/>
      <c r="T17" s="610"/>
      <c r="U17" s="610"/>
    </row>
    <row r="18" spans="1:21" ht="26.25" customHeight="1" x14ac:dyDescent="0.2">
      <c r="B18" s="1453" t="s">
        <v>419</v>
      </c>
      <c r="C18" s="1454" t="s">
        <v>60</v>
      </c>
      <c r="D18" s="1455"/>
      <c r="E18" s="1456" t="s">
        <v>479</v>
      </c>
      <c r="F18" s="1456" t="str">
        <f>"Market Cap (" &amp; $C$6 &amp; " mn)"</f>
        <v>Market Cap (USD mn)</v>
      </c>
      <c r="G18" s="1456" t="str">
        <f>"Revenue (" &amp; $C$6 &amp; " mn)"</f>
        <v>Revenue (USD mn)</v>
      </c>
      <c r="H18" s="1456" t="str">
        <f>"Net Profit (" &amp; $C$6 &amp; " mn)"</f>
        <v>Net Profit (USD mn)</v>
      </c>
      <c r="I18" s="1457" t="s">
        <v>65</v>
      </c>
      <c r="J18" s="610"/>
      <c r="K18" s="610"/>
      <c r="L18" s="610"/>
      <c r="M18" s="610"/>
      <c r="N18" s="610"/>
      <c r="O18" s="610"/>
      <c r="P18" s="610"/>
      <c r="Q18" s="610"/>
      <c r="R18" s="610"/>
      <c r="S18" s="610"/>
      <c r="T18" s="610"/>
      <c r="U18" s="610"/>
    </row>
    <row r="19" spans="1:21" ht="15" customHeight="1" x14ac:dyDescent="0.2">
      <c r="B19" s="1319" t="str">
        <f>$C$5</f>
        <v>NYSE:WMT</v>
      </c>
      <c r="C19" s="270" t="str">
        <f>IF(B19="","",_xll.ciqfunctions.udf.CIQ(B19, "IQ_COMPANY_NAME"))</f>
        <v>Walmart Inc.</v>
      </c>
      <c r="D19" s="271"/>
      <c r="E19" s="1266" t="s">
        <v>1428</v>
      </c>
      <c r="F19" s="1320">
        <f>IF($B19="","",_xll.ciqfunctions.udf.CIQ($B19, "IQ_MARKETCAP", $C$8, $C$6, "H"))</f>
        <v>393036.68440999999</v>
      </c>
      <c r="G19" s="1320">
        <f>IF($B19="","",_xll.ciqfunctions.udf.CIQ($B19, "IQ_TOTAL_REV", IQ_LTM,,,,$C$6))</f>
        <v>572754</v>
      </c>
      <c r="H19" s="1320">
        <f>IF($B19="","",_xll.ciqfunctions.udf.CIQ($B19, "IQ_NI", IQ_LTM,,,,$C$6))</f>
        <v>13673</v>
      </c>
      <c r="I19" s="1321">
        <f>IF(B19="","",_xll.ciqfunctions.udf.CIQ($B19, "IQ_EMPLOYEES"))</f>
        <v>2300000</v>
      </c>
      <c r="J19" s="610"/>
      <c r="K19" s="610"/>
      <c r="L19" s="610"/>
      <c r="M19" s="610"/>
      <c r="N19" s="610"/>
      <c r="O19" s="610"/>
      <c r="P19" s="610"/>
      <c r="Q19" s="610"/>
      <c r="R19" s="610"/>
      <c r="S19" s="610"/>
      <c r="T19" s="610"/>
      <c r="U19" s="610"/>
    </row>
    <row r="20" spans="1:21" ht="15" customHeight="1" x14ac:dyDescent="0.2">
      <c r="B20" s="1266" t="str">
        <f>ImpData!$L4</f>
        <v>NasdaqGS:COST</v>
      </c>
      <c r="C20" s="270" t="str">
        <f>IF(B20="","",_xll.ciqfunctions.udf.CIQ(B20, "IQ_COMPANY_NAME"))</f>
        <v>Costco Wholesale Corporation</v>
      </c>
      <c r="D20" s="271"/>
      <c r="E20" s="1266" t="s">
        <v>1429</v>
      </c>
      <c r="F20" s="555">
        <f>IF(B20="","",_xll.ciqfunctions.udf.CIQ(B20, "IQ_MARKETCAP", $C$8, $C$6, "H"))</f>
        <v>247367.90849</v>
      </c>
      <c r="G20" s="555">
        <f>IF(B20="","",_xll.ciqfunctions.udf.CIQ(B20, "IQ_TOTAL_REV", IQ_LTM,,,,$C$6))</f>
        <v>210219</v>
      </c>
      <c r="H20" s="1206">
        <f>IF($B20="","",_xll.ciqfunctions.udf.CIQ($B20, "IQ_NI", IQ_LTM,,,,$C$6))</f>
        <v>5513</v>
      </c>
      <c r="I20" s="556">
        <f>IF(B20="","",_xll.ciqfunctions.udf.CIQ($B20, "IQ_EMPLOYEES"))</f>
        <v>288000</v>
      </c>
      <c r="J20" s="610"/>
      <c r="K20" s="610"/>
      <c r="L20" s="610"/>
      <c r="M20" s="610"/>
      <c r="N20" s="610"/>
      <c r="O20" s="610"/>
      <c r="P20" s="610"/>
      <c r="Q20" s="610"/>
      <c r="R20" s="610"/>
      <c r="S20" s="610"/>
      <c r="T20" s="610"/>
      <c r="U20" s="610"/>
    </row>
    <row r="21" spans="1:21" ht="15" customHeight="1" x14ac:dyDescent="0.2">
      <c r="B21" s="1266"/>
      <c r="C21" s="270" t="str">
        <f>IF(B21="","",_xll.ciqfunctions.udf.CIQ(B21, "IQ_COMPANY_NAME"))</f>
        <v/>
      </c>
      <c r="D21" s="271"/>
      <c r="E21" s="1266"/>
      <c r="F21" s="555" t="str">
        <f>IF(B21="","",_xll.ciqfunctions.udf.CIQ(B21, "IQ_MARKETCAP", $C$8, $C$6, "H"))</f>
        <v/>
      </c>
      <c r="G21" s="555" t="str">
        <f>IF(B21="","",_xll.ciqfunctions.udf.CIQ(B21, "IQ_TOTAL_REV", IQ_LTM,,,,$C$6))</f>
        <v/>
      </c>
      <c r="H21" s="1206" t="str">
        <f>IF($B21="","",_xll.ciqfunctions.udf.CIQ($B21, "IQ_NI", IQ_LTM,,,,$C$6))</f>
        <v/>
      </c>
      <c r="I21" s="556" t="str">
        <f>IF(B21="","",_xll.ciqfunctions.udf.CIQ($B21, "IQ_EMPLOYEES"))</f>
        <v/>
      </c>
      <c r="J21" s="610"/>
      <c r="K21" s="610"/>
      <c r="L21" s="610"/>
      <c r="M21" s="610"/>
      <c r="N21" s="610"/>
      <c r="O21" s="610"/>
      <c r="P21" s="610"/>
      <c r="Q21" s="610"/>
      <c r="R21" s="610"/>
      <c r="S21" s="610"/>
      <c r="T21" s="610"/>
      <c r="U21" s="610"/>
    </row>
    <row r="22" spans="1:21" ht="15" customHeight="1" x14ac:dyDescent="0.2">
      <c r="B22" s="1266"/>
      <c r="C22" s="270" t="str">
        <f>IF(B22="","",_xll.ciqfunctions.udf.CIQ(B22, "IQ_COMPANY_NAME"))</f>
        <v/>
      </c>
      <c r="D22" s="271"/>
      <c r="E22" s="1266"/>
      <c r="F22" s="555" t="str">
        <f>IF(B22="","",_xll.ciqfunctions.udf.CIQ(B22, "IQ_MARKETCAP", $C$8, $C$6, "H"))</f>
        <v/>
      </c>
      <c r="G22" s="555" t="str">
        <f>IF(B22="","",_xll.ciqfunctions.udf.CIQ(B22, "IQ_TOTAL_REV", IQ_LTM,,,,$C$6))</f>
        <v/>
      </c>
      <c r="H22" s="1206" t="str">
        <f>IF($B22="","",_xll.ciqfunctions.udf.CIQ($B22, "IQ_NI", IQ_LTM,,,,$C$6))</f>
        <v/>
      </c>
      <c r="I22" s="556" t="str">
        <f>IF(B22="","",_xll.ciqfunctions.udf.CIQ($B22, "IQ_EMPLOYEES"))</f>
        <v/>
      </c>
      <c r="J22" s="610"/>
      <c r="K22" s="610"/>
      <c r="L22" s="610"/>
      <c r="M22" s="610"/>
      <c r="N22" s="610"/>
      <c r="O22" s="610"/>
      <c r="P22" s="610"/>
      <c r="Q22" s="610"/>
      <c r="R22" s="610"/>
      <c r="S22" s="610"/>
      <c r="T22" s="610"/>
      <c r="U22" s="610"/>
    </row>
    <row r="23" spans="1:21" ht="15" customHeight="1" x14ac:dyDescent="0.2">
      <c r="B23" s="1266"/>
      <c r="C23" s="270" t="str">
        <f>IF(B23="","",_xll.ciqfunctions.udf.CIQ(B23, "IQ_COMPANY_NAME"))</f>
        <v/>
      </c>
      <c r="D23" s="271"/>
      <c r="E23" s="1266"/>
      <c r="F23" s="555" t="str">
        <f>IF(B23="","",_xll.ciqfunctions.udf.CIQ(B23, "IQ_MARKETCAP", $C$8, $C$6, "H"))</f>
        <v/>
      </c>
      <c r="G23" s="555" t="str">
        <f>IF(B23="","",_xll.ciqfunctions.udf.CIQ(B23, "IQ_TOTAL_REV", IQ_LTM,,,,$C$6))</f>
        <v/>
      </c>
      <c r="H23" s="1206" t="str">
        <f>IF($B23="","",_xll.ciqfunctions.udf.CIQ($B23, "IQ_NI", IQ_LTM,,,,$C$6))</f>
        <v/>
      </c>
      <c r="I23" s="556" t="str">
        <f>IF(B23="","",_xll.ciqfunctions.udf.CIQ($B23, "IQ_EMPLOYEES"))</f>
        <v/>
      </c>
      <c r="J23" s="610"/>
      <c r="K23" s="610"/>
      <c r="L23" s="610"/>
      <c r="M23" s="610"/>
      <c r="N23" s="610"/>
      <c r="O23" s="610"/>
      <c r="P23" s="610"/>
      <c r="Q23" s="610"/>
      <c r="R23" s="610"/>
      <c r="S23" s="610"/>
      <c r="T23" s="610"/>
      <c r="U23" s="610"/>
    </row>
    <row r="24" spans="1:21" ht="15" customHeight="1" x14ac:dyDescent="0.2">
      <c r="B24" s="1266"/>
      <c r="C24" s="270" t="str">
        <f>IF(B24="","",_xll.ciqfunctions.udf.CIQ(B24, "IQ_COMPANY_NAME"))</f>
        <v/>
      </c>
      <c r="D24" s="271"/>
      <c r="E24" s="1266"/>
      <c r="F24" s="555" t="str">
        <f>IF(B24="","",_xll.ciqfunctions.udf.CIQ(B24, "IQ_MARKETCAP", $C$8, $C$6, "H"))</f>
        <v/>
      </c>
      <c r="G24" s="555" t="str">
        <f>IF(B24="","",_xll.ciqfunctions.udf.CIQ(B24, "IQ_TOTAL_REV", IQ_LTM,,,,$C$6))</f>
        <v/>
      </c>
      <c r="H24" s="1206" t="str">
        <f>IF($B24="","",_xll.ciqfunctions.udf.CIQ($B24, "IQ_NI", IQ_LTM,,,,$C$6))</f>
        <v/>
      </c>
      <c r="I24" s="556" t="str">
        <f>IF(B24="","",_xll.ciqfunctions.udf.CIQ($B24, "IQ_EMPLOYEES"))</f>
        <v/>
      </c>
      <c r="J24" s="610"/>
      <c r="K24" s="610"/>
      <c r="L24" s="610"/>
      <c r="M24" s="610"/>
      <c r="N24" s="610"/>
      <c r="O24" s="610"/>
      <c r="P24" s="610"/>
      <c r="Q24" s="610"/>
      <c r="R24" s="610"/>
      <c r="S24" s="610"/>
      <c r="T24" s="610"/>
      <c r="U24" s="610"/>
    </row>
    <row r="25" spans="1:21" ht="15" customHeight="1" x14ac:dyDescent="0.2">
      <c r="B25" s="1266"/>
      <c r="C25" s="270" t="str">
        <f>IF(B25="","",_xll.ciqfunctions.udf.CIQ(B25, "IQ_COMPANY_NAME"))</f>
        <v/>
      </c>
      <c r="D25" s="271"/>
      <c r="E25" s="1266"/>
      <c r="F25" s="555" t="str">
        <f>IF(B25="","",_xll.ciqfunctions.udf.CIQ(B25, "IQ_MARKETCAP", $C$8, $C$6, "H"))</f>
        <v/>
      </c>
      <c r="G25" s="555" t="str">
        <f>IF(B25="","",_xll.ciqfunctions.udf.CIQ(B25, "IQ_TOTAL_REV", IQ_LTM,,,,$C$6))</f>
        <v/>
      </c>
      <c r="H25" s="1206" t="str">
        <f>IF($B25="","",_xll.ciqfunctions.udf.CIQ($B25, "IQ_NI", IQ_LTM,,,,$C$6))</f>
        <v/>
      </c>
      <c r="I25" s="556" t="str">
        <f>IF(B25="","",_xll.ciqfunctions.udf.CIQ($B25, "IQ_EMPLOYEES"))</f>
        <v/>
      </c>
      <c r="J25" s="610"/>
      <c r="K25" s="610"/>
      <c r="L25" s="610"/>
      <c r="M25" s="610"/>
      <c r="N25" s="610"/>
      <c r="O25" s="610"/>
      <c r="P25" s="610"/>
      <c r="Q25" s="610"/>
      <c r="R25" s="610"/>
      <c r="S25" s="610"/>
      <c r="T25" s="610"/>
      <c r="U25" s="610"/>
    </row>
    <row r="26" spans="1:21" ht="15" customHeight="1" x14ac:dyDescent="0.2">
      <c r="B26" s="1266"/>
      <c r="C26" s="270" t="str">
        <f>IF(B26="","",_xll.ciqfunctions.udf.CIQ(B26, "IQ_COMPANY_NAME"))</f>
        <v/>
      </c>
      <c r="D26" s="271"/>
      <c r="E26" s="1266"/>
      <c r="F26" s="555" t="str">
        <f>IF(B26="","",_xll.ciqfunctions.udf.CIQ(B26, "IQ_MARKETCAP", $C$8, $C$6, "H"))</f>
        <v/>
      </c>
      <c r="G26" s="555" t="str">
        <f>IF(B26="","",_xll.ciqfunctions.udf.CIQ(B26, "IQ_TOTAL_REV", IQ_LTM,,,,$C$6))</f>
        <v/>
      </c>
      <c r="H26" s="1206" t="str">
        <f>IF($B26="","",_xll.ciqfunctions.udf.CIQ($B26, "IQ_NI", IQ_LTM,,,,$C$6))</f>
        <v/>
      </c>
      <c r="I26" s="556" t="str">
        <f>IF(B26="","",_xll.ciqfunctions.udf.CIQ($B26, "IQ_EMPLOYEES"))</f>
        <v/>
      </c>
      <c r="J26" s="610"/>
      <c r="K26" s="610"/>
      <c r="L26" s="610"/>
      <c r="M26" s="610"/>
      <c r="N26" s="610"/>
      <c r="O26" s="610"/>
      <c r="P26" s="610"/>
      <c r="Q26" s="610"/>
      <c r="R26" s="610"/>
      <c r="S26" s="610"/>
      <c r="T26" s="610"/>
      <c r="U26" s="610"/>
    </row>
    <row r="27" spans="1:21" ht="15" customHeight="1" x14ac:dyDescent="0.2">
      <c r="B27" s="1266"/>
      <c r="C27" s="270" t="str">
        <f>IF(B27="","",_xll.ciqfunctions.udf.CIQ(B27, "IQ_COMPANY_NAME"))</f>
        <v/>
      </c>
      <c r="D27" s="271"/>
      <c r="E27" s="1266"/>
      <c r="F27" s="555" t="str">
        <f>IF(B27="","",_xll.ciqfunctions.udf.CIQ(B27, "IQ_MARKETCAP", $C$8, $C$6, "H"))</f>
        <v/>
      </c>
      <c r="G27" s="555" t="str">
        <f>IF(B27="","",_xll.ciqfunctions.udf.CIQ(B27, "IQ_TOTAL_REV", IQ_LTM,,,,$C$6))</f>
        <v/>
      </c>
      <c r="H27" s="1206" t="str">
        <f>IF($B27="","",_xll.ciqfunctions.udf.CIQ($B27, "IQ_NI", IQ_LTM,,,,$C$6))</f>
        <v/>
      </c>
      <c r="I27" s="556" t="str">
        <f>IF(B27="","",_xll.ciqfunctions.udf.CIQ($B27, "IQ_EMPLOYEES"))</f>
        <v/>
      </c>
      <c r="J27" s="610"/>
      <c r="K27" s="610"/>
      <c r="L27" s="610"/>
      <c r="M27" s="610"/>
      <c r="N27" s="610"/>
      <c r="O27" s="610"/>
      <c r="P27" s="610"/>
      <c r="Q27" s="610"/>
      <c r="R27" s="610"/>
      <c r="S27" s="610"/>
      <c r="T27" s="610"/>
      <c r="U27" s="610"/>
    </row>
    <row r="28" spans="1:21" ht="15" customHeight="1" x14ac:dyDescent="0.2">
      <c r="B28" s="1266"/>
      <c r="C28" s="270" t="str">
        <f>IF(B28="","",_xll.ciqfunctions.udf.CIQ(B28, "IQ_COMPANY_NAME"))</f>
        <v/>
      </c>
      <c r="D28" s="271"/>
      <c r="E28" s="1266"/>
      <c r="F28" s="555" t="str">
        <f>IF(B28="","",_xll.ciqfunctions.udf.CIQ(B28, "IQ_MARKETCAP", $C$8, $C$6, "H"))</f>
        <v/>
      </c>
      <c r="G28" s="555" t="str">
        <f>IF(B28="","",_xll.ciqfunctions.udf.CIQ(B28, "IQ_TOTAL_REV", IQ_LTM,,,,$C$6))</f>
        <v/>
      </c>
      <c r="H28" s="1206" t="str">
        <f>IF($B28="","",_xll.ciqfunctions.udf.CIQ($B28, "IQ_NI", IQ_LTM,,,,$C$6))</f>
        <v/>
      </c>
      <c r="I28" s="556" t="str">
        <f>IF(B28="","",_xll.ciqfunctions.udf.CIQ($B28, "IQ_EMPLOYEES"))</f>
        <v/>
      </c>
      <c r="J28" s="610"/>
      <c r="K28" s="610"/>
      <c r="L28" s="610"/>
      <c r="M28" s="610"/>
      <c r="N28" s="610"/>
      <c r="O28" s="610"/>
      <c r="P28" s="610"/>
      <c r="Q28" s="610"/>
      <c r="R28" s="610"/>
      <c r="S28" s="610"/>
      <c r="T28" s="610"/>
      <c r="U28" s="610"/>
    </row>
    <row r="29" spans="1:21" ht="15" customHeight="1" x14ac:dyDescent="0.2">
      <c r="B29" s="1266"/>
      <c r="C29" s="270" t="str">
        <f>IF(B29="","",_xll.ciqfunctions.udf.CIQ(B29, "IQ_COMPANY_NAME"))</f>
        <v/>
      </c>
      <c r="D29" s="271"/>
      <c r="E29" s="1266"/>
      <c r="F29" s="555" t="str">
        <f>IF(B29="","",_xll.ciqfunctions.udf.CIQ(B29, "IQ_MARKETCAP", $C$8, $C$6, "H"))</f>
        <v/>
      </c>
      <c r="G29" s="555" t="str">
        <f>IF(B29="","",_xll.ciqfunctions.udf.CIQ(B29, "IQ_TOTAL_REV", IQ_LTM,,,,$C$6))</f>
        <v/>
      </c>
      <c r="H29" s="1206" t="str">
        <f>IF($B29="","",_xll.ciqfunctions.udf.CIQ($B29, "IQ_NI", IQ_LTM,,,,$C$6))</f>
        <v/>
      </c>
      <c r="I29" s="556" t="str">
        <f>IF(B29="","",_xll.ciqfunctions.udf.CIQ($B29, "IQ_EMPLOYEES"))</f>
        <v/>
      </c>
      <c r="J29" s="610"/>
      <c r="K29" s="610"/>
      <c r="L29" s="610"/>
      <c r="M29" s="610"/>
      <c r="N29" s="610"/>
      <c r="O29" s="610"/>
      <c r="P29" s="610"/>
      <c r="Q29" s="610"/>
      <c r="R29" s="610"/>
      <c r="S29" s="610"/>
      <c r="T29" s="610"/>
      <c r="U29" s="610"/>
    </row>
    <row r="30" spans="1:21" ht="15" customHeight="1" x14ac:dyDescent="0.2">
      <c r="A30" s="135"/>
      <c r="B30" s="136"/>
      <c r="C30" s="136"/>
      <c r="D30" s="136"/>
      <c r="E30" s="29"/>
      <c r="F30" s="137"/>
      <c r="G30" s="32"/>
      <c r="H30" s="245"/>
      <c r="I30" s="153"/>
      <c r="J30" s="610"/>
      <c r="K30" s="610"/>
      <c r="L30" s="610"/>
      <c r="M30" s="610"/>
      <c r="N30" s="610"/>
      <c r="O30" s="610"/>
      <c r="P30" s="610"/>
      <c r="Q30" s="610"/>
      <c r="R30" s="610"/>
      <c r="S30" s="610"/>
      <c r="T30" s="610"/>
      <c r="U30" s="610"/>
    </row>
    <row r="31" spans="1:21" x14ac:dyDescent="0.2">
      <c r="J31" s="610"/>
      <c r="K31" s="610"/>
      <c r="L31" s="610"/>
      <c r="M31" s="610"/>
      <c r="N31" s="610"/>
      <c r="O31" s="610"/>
      <c r="P31" s="610"/>
      <c r="Q31" s="610"/>
      <c r="R31" s="610"/>
      <c r="S31" s="610"/>
      <c r="T31" s="610"/>
      <c r="U31" s="610"/>
    </row>
    <row r="32" spans="1:21" x14ac:dyDescent="0.2">
      <c r="J32" s="610"/>
      <c r="K32" s="610"/>
      <c r="L32" s="610"/>
      <c r="M32" s="610"/>
      <c r="N32" s="610"/>
      <c r="O32" s="610"/>
      <c r="P32" s="610"/>
      <c r="Q32" s="610"/>
      <c r="R32" s="610"/>
      <c r="S32" s="610"/>
      <c r="T32" s="610"/>
      <c r="U32" s="610"/>
    </row>
    <row r="33" spans="10:22" x14ac:dyDescent="0.2">
      <c r="J33" s="610"/>
      <c r="K33" s="610"/>
      <c r="L33" s="610"/>
      <c r="M33" s="610"/>
      <c r="N33" s="610"/>
      <c r="O33" s="610"/>
      <c r="P33" s="610"/>
      <c r="Q33" s="610"/>
      <c r="R33" s="610"/>
      <c r="S33" s="610"/>
      <c r="T33" s="610"/>
      <c r="U33" s="610"/>
      <c r="V33" s="9"/>
    </row>
    <row r="34" spans="10:22" x14ac:dyDescent="0.2">
      <c r="J34" s="610"/>
      <c r="K34" s="610"/>
      <c r="L34" s="610"/>
      <c r="M34" s="610"/>
      <c r="N34" s="610"/>
      <c r="O34" s="610"/>
      <c r="P34" s="610"/>
      <c r="Q34" s="610"/>
      <c r="R34" s="610"/>
      <c r="S34" s="610"/>
      <c r="T34" s="610"/>
      <c r="U34" s="610"/>
    </row>
    <row r="35" spans="10:22" x14ac:dyDescent="0.2">
      <c r="J35" s="610"/>
      <c r="K35" s="610"/>
      <c r="L35" s="610"/>
      <c r="M35" s="610"/>
      <c r="N35" s="610"/>
      <c r="O35" s="610"/>
      <c r="P35" s="610"/>
      <c r="Q35" s="610"/>
      <c r="R35" s="610"/>
      <c r="S35" s="610"/>
      <c r="T35" s="610"/>
      <c r="U35" s="610"/>
    </row>
    <row r="36" spans="10:22" x14ac:dyDescent="0.2">
      <c r="J36" s="610"/>
      <c r="K36" s="610"/>
      <c r="L36" s="610"/>
      <c r="M36" s="610"/>
      <c r="N36" s="610"/>
      <c r="O36" s="610"/>
      <c r="P36" s="610"/>
      <c r="Q36" s="610"/>
      <c r="R36" s="610"/>
      <c r="S36" s="610"/>
      <c r="T36" s="610"/>
      <c r="U36" s="610"/>
    </row>
    <row r="37" spans="10:22" x14ac:dyDescent="0.2">
      <c r="J37" s="610"/>
      <c r="K37" s="610"/>
      <c r="L37" s="610"/>
      <c r="M37" s="610"/>
      <c r="N37" s="610"/>
      <c r="O37" s="610"/>
      <c r="P37" s="610"/>
      <c r="Q37" s="610"/>
      <c r="R37" s="610"/>
      <c r="S37" s="610"/>
      <c r="T37" s="610"/>
      <c r="U37" s="610"/>
    </row>
    <row r="38" spans="10:22" x14ac:dyDescent="0.2">
      <c r="J38" s="610"/>
      <c r="K38" s="610"/>
      <c r="L38" s="610"/>
      <c r="M38" s="610"/>
      <c r="N38" s="610"/>
      <c r="O38" s="610"/>
      <c r="P38" s="610"/>
      <c r="Q38" s="610"/>
      <c r="R38" s="610"/>
      <c r="S38" s="610"/>
      <c r="T38" s="610"/>
      <c r="U38" s="610"/>
    </row>
    <row r="39" spans="10:22" x14ac:dyDescent="0.2">
      <c r="J39" s="610"/>
      <c r="K39" s="610"/>
      <c r="L39" s="610"/>
      <c r="M39" s="610"/>
      <c r="N39" s="610"/>
      <c r="O39" s="610"/>
      <c r="P39" s="610"/>
      <c r="Q39" s="610"/>
      <c r="R39" s="610"/>
      <c r="S39" s="610"/>
      <c r="T39" s="610"/>
      <c r="U39" s="610"/>
    </row>
    <row r="40" spans="10:22" x14ac:dyDescent="0.2">
      <c r="J40" s="610"/>
      <c r="K40" s="610"/>
      <c r="L40" s="610"/>
      <c r="M40" s="610"/>
      <c r="N40" s="610"/>
      <c r="O40" s="610"/>
      <c r="P40" s="610"/>
      <c r="Q40" s="610"/>
      <c r="R40" s="610"/>
      <c r="S40" s="610"/>
      <c r="T40" s="610"/>
      <c r="U40" s="610"/>
    </row>
    <row r="41" spans="10:22" x14ac:dyDescent="0.2">
      <c r="J41" s="610"/>
      <c r="K41" s="610"/>
      <c r="L41" s="610"/>
      <c r="M41" s="610"/>
      <c r="N41" s="610"/>
      <c r="O41" s="610"/>
      <c r="P41" s="610"/>
      <c r="Q41" s="610"/>
      <c r="R41" s="610"/>
      <c r="S41" s="610"/>
      <c r="T41" s="610"/>
      <c r="U41" s="610"/>
    </row>
    <row r="42" spans="10:22" x14ac:dyDescent="0.2">
      <c r="J42" s="610"/>
      <c r="K42" s="610"/>
      <c r="L42" s="610"/>
      <c r="M42" s="610"/>
      <c r="N42" s="610"/>
      <c r="O42" s="610"/>
      <c r="P42" s="610"/>
      <c r="Q42" s="610"/>
      <c r="R42" s="610"/>
      <c r="S42" s="610"/>
      <c r="T42" s="610"/>
      <c r="U42" s="610"/>
    </row>
    <row r="43" spans="10:22" x14ac:dyDescent="0.2">
      <c r="S43" s="9"/>
      <c r="T43" s="9"/>
    </row>
    <row r="44" spans="10:22" x14ac:dyDescent="0.2">
      <c r="O44" s="9"/>
      <c r="P44" s="9"/>
      <c r="Q44" s="9"/>
      <c r="R44" s="9"/>
      <c r="S44" s="9"/>
      <c r="T44" s="9"/>
    </row>
    <row r="45" spans="10:22" x14ac:dyDescent="0.2">
      <c r="O45" s="9"/>
      <c r="P45" s="9"/>
      <c r="Q45" s="9"/>
      <c r="R45" s="9"/>
    </row>
  </sheetData>
  <sortState xmlns:xlrd2="http://schemas.microsoft.com/office/spreadsheetml/2017/richdata2" ref="B34:H61">
    <sortCondition descending="1" ref="G34:G61"/>
    <sortCondition descending="1" ref="H34:H61"/>
    <sortCondition descending="1" ref="F34:F61"/>
  </sortState>
  <dataValidations count="3">
    <dataValidation type="list" allowBlank="1" showInputMessage="1" showErrorMessage="1" sqref="I5" xr:uid="{00000000-0002-0000-0400-000000000000}">
      <formula1>"Annual, Quarter"</formula1>
    </dataValidation>
    <dataValidation type="decimal" showInputMessage="1" showErrorMessage="1" error="Maximum number of peers allowed is 10" sqref="C16" xr:uid="{00000000-0002-0000-0400-000001000000}">
      <formula1>1</formula1>
      <formula2>10</formula2>
    </dataValidation>
    <dataValidation type="decimal" showInputMessage="1" showErrorMessage="1" error="Maximum number of periods allowed is 12" sqref="E16 I8" xr:uid="{00000000-0002-0000-0400-000002000000}">
      <formula1>1</formula1>
      <formula2>12</formula2>
    </dataValidation>
  </dataValidations>
  <printOptions horizontalCentered="1"/>
  <pageMargins left="0.5" right="0.5" top="0.5" bottom="0.5" header="0.3" footer="0.3"/>
  <pageSetup scale="41"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UpdateAnalysis">
                <anchor moveWithCells="1">
                  <from>
                    <xdr:col>12</xdr:col>
                    <xdr:colOff>190500</xdr:colOff>
                    <xdr:row>8</xdr:row>
                    <xdr:rowOff>104775</xdr:rowOff>
                  </from>
                  <to>
                    <xdr:col>14</xdr:col>
                    <xdr:colOff>285750</xdr:colOff>
                    <xdr:row>10</xdr:row>
                    <xdr:rowOff>95250</xdr:rowOff>
                  </to>
                </anchor>
              </controlPr>
            </control>
          </mc:Choice>
        </mc:AlternateContent>
        <mc:AlternateContent xmlns:mc="http://schemas.openxmlformats.org/markup-compatibility/2006">
          <mc:Choice Requires="x14">
            <control shapeId="2130" r:id="rId5" name="Button 82">
              <controlPr defaultSize="0" print="0" autoFill="0" autoPict="0" macro="[0]!CreatePowerPoint_UForm">
                <anchor moveWithCells="1">
                  <from>
                    <xdr:col>12</xdr:col>
                    <xdr:colOff>209550</xdr:colOff>
                    <xdr:row>11</xdr:row>
                    <xdr:rowOff>114300</xdr:rowOff>
                  </from>
                  <to>
                    <xdr:col>14</xdr:col>
                    <xdr:colOff>295275</xdr:colOff>
                    <xdr:row>13</xdr:row>
                    <xdr:rowOff>133350</xdr:rowOff>
                  </to>
                </anchor>
              </controlPr>
            </control>
          </mc:Choice>
        </mc:AlternateContent>
        <mc:AlternateContent xmlns:mc="http://schemas.openxmlformats.org/markup-compatibility/2006">
          <mc:Choice Requires="x14">
            <control shapeId="2133" r:id="rId6" name="AnalysisType">
              <controlPr defaultSize="0" autoFill="0" autoLine="0" autoPict="0">
                <anchor moveWithCells="1">
                  <from>
                    <xdr:col>10</xdr:col>
                    <xdr:colOff>142875</xdr:colOff>
                    <xdr:row>3</xdr:row>
                    <xdr:rowOff>142875</xdr:rowOff>
                  </from>
                  <to>
                    <xdr:col>14</xdr:col>
                    <xdr:colOff>114300</xdr:colOff>
                    <xdr:row>4</xdr:row>
                    <xdr:rowOff>180975</xdr:rowOff>
                  </to>
                </anchor>
              </controlPr>
            </control>
          </mc:Choice>
        </mc:AlternateContent>
        <mc:AlternateContent xmlns:mc="http://schemas.openxmlformats.org/markup-compatibility/2006">
          <mc:Choice Requires="x14">
            <control shapeId="2134" r:id="rId7" name="Option Button 86">
              <controlPr defaultSize="0" autoFill="0" autoLine="0" autoPict="0">
                <anchor moveWithCells="1">
                  <from>
                    <xdr:col>10</xdr:col>
                    <xdr:colOff>133350</xdr:colOff>
                    <xdr:row>4</xdr:row>
                    <xdr:rowOff>152400</xdr:rowOff>
                  </from>
                  <to>
                    <xdr:col>14</xdr:col>
                    <xdr:colOff>104775</xdr:colOff>
                    <xdr:row>6</xdr:row>
                    <xdr:rowOff>0</xdr:rowOff>
                  </to>
                </anchor>
              </controlPr>
            </control>
          </mc:Choice>
        </mc:AlternateContent>
        <mc:AlternateContent xmlns:mc="http://schemas.openxmlformats.org/markup-compatibility/2006">
          <mc:Choice Requires="x14">
            <control shapeId="2138" r:id="rId8" name="Drop Down 90">
              <controlPr defaultSize="0" autoLine="0" autoPict="0">
                <anchor moveWithCells="1">
                  <from>
                    <xdr:col>12</xdr:col>
                    <xdr:colOff>38100</xdr:colOff>
                    <xdr:row>6</xdr:row>
                    <xdr:rowOff>95250</xdr:rowOff>
                  </from>
                  <to>
                    <xdr:col>14</xdr:col>
                    <xdr:colOff>619125</xdr:colOff>
                    <xdr:row>7</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3000000}">
          <x14:formula1>
            <xm:f>ImpData!$J$4:$J$15</xm:f>
          </x14:formula1>
          <xm:sqref>H16</xm:sqref>
        </x14:dataValidation>
        <x14:dataValidation type="list" allowBlank="1" showInputMessage="1" showErrorMessage="1" xr:uid="{00000000-0002-0000-0400-000005000000}">
          <x14:formula1>
            <xm:f>ImpData!$J$25:$J$36</xm:f>
          </x14:formula1>
          <xm:sqref>H9</xm:sqref>
        </x14:dataValidation>
        <x14:dataValidation type="list" allowBlank="1" showInputMessage="1" showErrorMessage="1" xr:uid="{1ADF9529-B9CA-47B3-85C8-5EA9863D4B52}">
          <x14:formula1>
            <xm:f>ImpData!$J$15:$J$15</xm:f>
          </x14:formula1>
          <xm:sqref>I16</xm:sqref>
        </x14:dataValidation>
        <x14:dataValidation type="list" allowBlank="1" showInputMessage="1" showErrorMessage="1" xr:uid="{B7420C5F-931A-46B2-BB4E-9F573B98295F}">
          <x14:formula1>
            <xm:f>ImpData!$J$28:$J$36</xm:f>
          </x14:formula1>
          <xm:sqref>I9 H12 I12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E211"/>
  <sheetViews>
    <sheetView showGridLines="0" workbookViewId="0">
      <selection activeCell="O2" sqref="O2"/>
    </sheetView>
  </sheetViews>
  <sheetFormatPr defaultColWidth="9" defaultRowHeight="12" outlineLevelRow="1" x14ac:dyDescent="0.2"/>
  <cols>
    <col min="1" max="1" width="2.625" style="380" customWidth="1"/>
    <col min="2" max="2" width="13.25" style="383" customWidth="1"/>
    <col min="3" max="3" width="9.25" style="383" customWidth="1"/>
    <col min="4" max="4" width="9.5" style="383" customWidth="1"/>
    <col min="5" max="5" width="2.5" style="383" customWidth="1"/>
    <col min="6" max="6" width="22.25" style="383" customWidth="1"/>
    <col min="7" max="7" width="1.25" style="383" customWidth="1"/>
    <col min="8" max="13" width="8.125" style="383" customWidth="1"/>
    <col min="14" max="16" width="8.125" style="379" customWidth="1"/>
    <col min="17" max="19" width="9" style="379" customWidth="1"/>
    <col min="20" max="20" width="9" style="378" customWidth="1"/>
    <col min="21" max="16384" width="9" style="378"/>
  </cols>
  <sheetData>
    <row r="1" spans="2:21" ht="15" customHeight="1" outlineLevel="1" x14ac:dyDescent="0.2">
      <c r="B1" s="1267" t="s">
        <v>501</v>
      </c>
      <c r="C1" s="1267"/>
      <c r="D1" s="1268" t="str">
        <f>+Target</f>
        <v>NYSE:WMT</v>
      </c>
      <c r="E1" s="1269"/>
      <c r="F1" s="1270"/>
      <c r="G1" s="1270"/>
      <c r="H1" s="1271" t="s">
        <v>572</v>
      </c>
      <c r="I1" s="1271" t="s">
        <v>527</v>
      </c>
      <c r="J1" s="1271" t="s">
        <v>526</v>
      </c>
      <c r="K1" s="1272" t="s">
        <v>525</v>
      </c>
      <c r="L1" s="1272"/>
      <c r="M1" s="1273" t="str">
        <f>Input!C6</f>
        <v>USD</v>
      </c>
      <c r="N1" s="1270"/>
      <c r="O1" s="1272">
        <f>_xll.ciqfunctions.udf.CIQ(D1, "IQ_COMPANY_STREET2")</f>
        <v>0</v>
      </c>
      <c r="P1" s="1270"/>
      <c r="Q1" s="397"/>
      <c r="S1" s="378"/>
    </row>
    <row r="2" spans="2:21" ht="15" customHeight="1" outlineLevel="1" thickBot="1" x14ac:dyDescent="0.25">
      <c r="B2" s="1267" t="s">
        <v>59</v>
      </c>
      <c r="C2" s="1267"/>
      <c r="D2" s="1270">
        <f>Input!C8</f>
        <v>44645</v>
      </c>
      <c r="E2" s="1274"/>
      <c r="F2" s="1270"/>
      <c r="G2" s="1270"/>
      <c r="H2" s="1274"/>
      <c r="I2" s="1274"/>
      <c r="J2" s="1274"/>
      <c r="K2" s="1272" t="s">
        <v>524</v>
      </c>
      <c r="L2" s="1272"/>
      <c r="M2" s="1273" t="str">
        <f>Input!C7</f>
        <v>USD</v>
      </c>
      <c r="N2" s="1270"/>
      <c r="O2" s="1270" t="str">
        <f>_xll.ciqfunctions.udf.CIQ(D1,"IQ_BUSINESS_DESCRIPTION")</f>
        <v>Walmart Inc. engages in the operation of retail, wholesale, and other units worldwide. The company operates through three segments: Walmart U.S., Walmart International, and Sam's Club. It operates supercenters, supermarkets, hypermarkets, warehouse clubs, cash and carry stores, and discount stores; membership-only warehouse clubs; ecommerce websites, such as walmart.com, walmart.com.mx, walmart.ca, flipkart.com, and samsclub.com; and mobile commerce applications. The company offers grocery and consumables, which includes dairy, meat, bakery, deli, produce, dry, chilled or frozen packaged foods, alcoholic and nonalcoholic beverages, floral, snack foods, candy, other grocery items, health and beauty aids, paper goods, laundry and home care, baby care, pet supplies, and other consumable items; and health and wellness products covering pharmacy, over-the-counter drugs and other medical products, and optical and hearing services. It also provides gasoline stations and tobacco; home improvement, outdoor living, gardening, furniture, apparel, jewelry, tools and power equipment, housewares, toys, seasonal items, mattresses, and tire and battery centers; and consumer electronics and accessories, software, video games, office supplies, appliances, and third-party gift cards. In addition, the company offers fuel and financial services and related products, including money orders, prepaid cards, money transfers, and check cashing and bill payment, as well as various types of installment lending. It operates approximately 10,500 stores and various e-commerce websites under 46 banners in 24 countries. The company was formerly known as Wal-Mart Stores, Inc. and changed its name to Walmart Inc. in February 2018. The company was founded in 1945 and is based in Bentonville, Arkansas.</v>
      </c>
      <c r="P2" s="1270"/>
      <c r="Q2" s="396"/>
      <c r="S2" s="378"/>
    </row>
    <row r="3" spans="2:21" ht="20.100000000000001" customHeight="1" x14ac:dyDescent="0.2">
      <c r="B3" s="1252" t="s">
        <v>523</v>
      </c>
      <c r="C3" s="1252"/>
      <c r="D3" s="1252"/>
      <c r="E3" s="1252"/>
      <c r="F3" s="1252"/>
      <c r="G3" s="1252"/>
      <c r="H3" s="1252"/>
      <c r="I3" s="1252"/>
      <c r="J3" s="1252"/>
      <c r="K3" s="1252"/>
      <c r="L3" s="1252"/>
      <c r="M3" s="1252"/>
      <c r="N3" s="1252"/>
      <c r="O3" s="1252"/>
      <c r="P3" s="1275" t="str">
        <f>Input!$C$9</f>
        <v>Walmart Inc.</v>
      </c>
      <c r="Q3" s="378"/>
      <c r="S3" s="378"/>
    </row>
    <row r="4" spans="2:21" ht="7.5" customHeight="1" x14ac:dyDescent="0.2">
      <c r="B4" s="1490" t="str">
        <f>_xll.ciqfunctions.udf.CIQ($D$1, "IQ_INDUSTRY_SECTOR") &amp; " | " &amp; _xll.ciqfunctions.udf.CIQ($D$1, "IQ_PRIMARY_INDUSTRY")</f>
        <v>Consumer Staples | Hypermarkets and Super Centers</v>
      </c>
      <c r="C4" s="1491"/>
      <c r="D4" s="1491"/>
      <c r="E4" s="1487"/>
      <c r="N4" s="383"/>
      <c r="O4" s="383"/>
      <c r="P4" s="383"/>
      <c r="Q4" s="378"/>
      <c r="S4" s="378"/>
    </row>
    <row r="5" spans="2:21" ht="16.5" customHeight="1" x14ac:dyDescent="0.2">
      <c r="B5" s="1491"/>
      <c r="C5" s="1491"/>
      <c r="D5" s="1491"/>
      <c r="E5" s="1487"/>
      <c r="F5" s="1394" t="str">
        <f>+"Employees:"&amp;" "&amp;TEXT(_xll.ciqfunctions.udf.CIQ(D1, "IQ_EMPLOYEES"),"#,###")</f>
        <v>Employees: 2,300,000</v>
      </c>
      <c r="G5" s="394"/>
      <c r="H5" s="395"/>
      <c r="I5" s="1393" t="str">
        <f>+"S&amp;P Issuer Credit Rating FC LT:"&amp;" "&amp;_xll.ciqfunctions.udf.CIQ(D1, "IQ_SP_ISSUER_RATING")</f>
        <v>S&amp;P Issuer Credit Rating FC LT: AA</v>
      </c>
      <c r="J5" s="394"/>
      <c r="K5" s="394"/>
      <c r="L5" s="394"/>
      <c r="M5" s="1393"/>
      <c r="N5" s="1395"/>
      <c r="O5" s="393"/>
      <c r="P5" s="1396" t="str">
        <f>"Next Earnings Release:"&amp;" "&amp; TEXT(IF(NOT(ISNUMBER(_xll.ciqfunctions.udf.CIQ($D1,"IQ_NEXT_EARNINGS_DATE"))),_xll.ciqfunctions.udf.CIQ($D1,"IQ_EST_NEXT_EARNINGS_DATE"),_xll.ciqfunctions.udf.CIQ($D1,"IQ_NEXT_EARNINGS_DATE")),"DD MMM YYYY")</f>
        <v>Next Earnings Release: 17 May 2022</v>
      </c>
      <c r="Q5" s="378"/>
      <c r="S5" s="378"/>
    </row>
    <row r="6" spans="2:21" ht="3.75" customHeight="1" thickBot="1" x14ac:dyDescent="0.25">
      <c r="B6" s="1390"/>
      <c r="C6" s="1388"/>
      <c r="D6" s="1388"/>
      <c r="E6" s="1388"/>
      <c r="F6" s="1388"/>
      <c r="G6" s="1388"/>
      <c r="H6" s="1388"/>
      <c r="I6" s="1388"/>
      <c r="J6" s="1388"/>
      <c r="K6" s="1388"/>
      <c r="L6" s="1388"/>
      <c r="M6" s="1388"/>
      <c r="N6" s="1388"/>
      <c r="O6" s="1388"/>
      <c r="P6" s="1388"/>
      <c r="S6" s="378"/>
    </row>
    <row r="7" spans="2:21" ht="3" customHeight="1" x14ac:dyDescent="0.2">
      <c r="B7" s="392"/>
      <c r="C7" s="392"/>
      <c r="D7" s="392"/>
      <c r="E7" s="392"/>
      <c r="F7" s="392"/>
      <c r="G7" s="392"/>
      <c r="H7" s="392"/>
      <c r="I7" s="392"/>
      <c r="J7" s="392"/>
      <c r="K7" s="392"/>
      <c r="L7" s="392"/>
      <c r="M7" s="392"/>
      <c r="N7" s="392"/>
      <c r="O7" s="392"/>
      <c r="P7" s="392"/>
      <c r="S7" s="378"/>
    </row>
    <row r="8" spans="2:21" ht="209.25" customHeight="1" x14ac:dyDescent="0.2">
      <c r="B8" s="1492" t="str">
        <f>D100</f>
        <v>702 South West 8th Street
Bentonville, AR 72716
United States
Phone: 479 273 4000
www.stock.walmart.com</v>
      </c>
      <c r="C8" s="1493"/>
      <c r="D8" s="1493"/>
      <c r="E8" s="387"/>
      <c r="F8" s="1494" t="str" cm="1">
        <f t="array" ref="F8">_xll.ciqfunctions.udf.CIQ($D$1, "IQ_BUSINESS_DESCRIPTION")</f>
        <v>Walmart Inc. engages in the operation of retail, wholesale, and other units worldwide. The company operates through three segments: Walmart U.S., Walmart International, and Sam's Club. It operates supercenters, supermarkets, hypermarkets, warehouse clubs, cash and carry stores, and discount stores; membership-only warehouse clubs; ecommerce websites, such as walmart.com, walmart.com.mx, walmart.ca, flipkart.com, and samsclub.com; and mobile commerce applications. The company offers grocery and consumables, which includes dairy, meat, bakery, deli, produce, dry, chilled or frozen packaged foods, alcoholic and nonalcoholic beverages, floral, snack foods, candy, other grocery items, health and beauty aids, paper goods, laundry and home care, baby care, pet supplies, and other consumable items; and health and wellness products covering pharmacy, over-the-counter drugs and other medical products, and optical and hearing services. It also provides gasoline stations and tobacco; home improvement, outdoor living, gardening, furniture, apparel, jewelry, tools and power equipment, housewares, toys, seasonal items, mattresses, and tire and battery centers; and consumer electronics and accessories, software, video games, office supplies, appliances, and third-party gift cards. In addition, the company offers fuel and financial services and related products, including money orders, prepaid cards, money transfers, and check cashing and bill payment, as well as various types of installment lending. It operates approximately 10,500 stores and various e-commerce websites under 46 banners in 24 countries. The company was formerly known as Wal-Mart Stores, Inc. and changed its name to Walmart Inc. in February 2018. The company was founded in 1945 and is based in Bentonville, Arkansas.</v>
      </c>
      <c r="G8" s="1495"/>
      <c r="H8" s="1495"/>
      <c r="I8" s="1495"/>
      <c r="J8" s="1495"/>
      <c r="K8" s="1495"/>
      <c r="L8" s="1495"/>
      <c r="M8" s="1495"/>
      <c r="N8" s="1495"/>
      <c r="O8" s="1495"/>
      <c r="P8" s="1495"/>
      <c r="S8" s="391"/>
    </row>
    <row r="9" spans="2:21" ht="15" hidden="1" customHeight="1" x14ac:dyDescent="0.2">
      <c r="B9" s="334"/>
      <c r="C9" s="388"/>
      <c r="D9" s="387"/>
      <c r="E9" s="387"/>
      <c r="F9" s="1488"/>
      <c r="G9" s="1488"/>
      <c r="H9" s="1488"/>
      <c r="I9" s="1488"/>
      <c r="J9" s="1488"/>
      <c r="K9" s="1488"/>
      <c r="L9" s="1488"/>
      <c r="M9" s="1488"/>
      <c r="N9" s="1488"/>
      <c r="O9" s="1488"/>
      <c r="P9" s="1488"/>
      <c r="S9" s="390"/>
      <c r="T9" s="379"/>
    </row>
    <row r="10" spans="2:21" ht="15" hidden="1" customHeight="1" x14ac:dyDescent="0.2">
      <c r="B10" s="334"/>
      <c r="C10" s="388"/>
      <c r="D10" s="387"/>
      <c r="E10" s="387"/>
      <c r="F10" s="1488"/>
      <c r="G10" s="1488"/>
      <c r="H10" s="1488"/>
      <c r="I10" s="1488"/>
      <c r="J10" s="1488"/>
      <c r="K10" s="1488"/>
      <c r="L10" s="1488"/>
      <c r="M10" s="1488"/>
      <c r="N10" s="1488"/>
      <c r="O10" s="1488"/>
      <c r="P10" s="1488"/>
      <c r="S10" s="384"/>
      <c r="T10" s="379"/>
    </row>
    <row r="11" spans="2:21" ht="15" hidden="1" customHeight="1" x14ac:dyDescent="0.2">
      <c r="B11" s="334"/>
      <c r="C11" s="388"/>
      <c r="D11" s="387"/>
      <c r="E11" s="387"/>
      <c r="F11" s="1488"/>
      <c r="G11" s="1488"/>
      <c r="H11" s="1488"/>
      <c r="I11" s="1488"/>
      <c r="J11" s="1488"/>
      <c r="K11" s="1488"/>
      <c r="L11" s="1488"/>
      <c r="M11" s="1488"/>
      <c r="N11" s="1488"/>
      <c r="O11" s="1488"/>
      <c r="P11" s="1488"/>
      <c r="T11" s="379"/>
    </row>
    <row r="12" spans="2:21" ht="15" hidden="1" customHeight="1" x14ac:dyDescent="0.2">
      <c r="B12" s="334"/>
      <c r="C12" s="388"/>
      <c r="D12" s="387"/>
      <c r="E12" s="387"/>
      <c r="F12" s="1488"/>
      <c r="G12" s="1488"/>
      <c r="H12" s="1488"/>
      <c r="I12" s="1488"/>
      <c r="J12" s="1488"/>
      <c r="K12" s="1488"/>
      <c r="L12" s="1488"/>
      <c r="M12" s="1488"/>
      <c r="N12" s="1488"/>
      <c r="O12" s="1488"/>
      <c r="P12" s="1488"/>
      <c r="T12" s="384"/>
    </row>
    <row r="13" spans="2:21" ht="15" hidden="1" customHeight="1" x14ac:dyDescent="0.2">
      <c r="B13" s="389"/>
      <c r="C13" s="388"/>
      <c r="D13" s="387"/>
      <c r="E13" s="387"/>
      <c r="F13" s="1488"/>
      <c r="G13" s="1488"/>
      <c r="H13" s="1488"/>
      <c r="I13" s="1488"/>
      <c r="J13" s="1488"/>
      <c r="K13" s="1488"/>
      <c r="L13" s="1488"/>
      <c r="M13" s="1488"/>
      <c r="N13" s="1488"/>
      <c r="O13" s="1488"/>
      <c r="P13" s="1488"/>
      <c r="T13" s="384"/>
    </row>
    <row r="14" spans="2:21" ht="8.1" hidden="1" customHeight="1" x14ac:dyDescent="0.2">
      <c r="B14" s="389"/>
      <c r="C14" s="388"/>
      <c r="D14" s="387"/>
      <c r="E14" s="387"/>
      <c r="F14" s="386"/>
      <c r="G14" s="386"/>
      <c r="H14" s="386"/>
      <c r="I14" s="386"/>
      <c r="J14" s="386"/>
      <c r="K14" s="386"/>
      <c r="L14" s="386"/>
      <c r="M14" s="386"/>
      <c r="N14" s="386"/>
      <c r="O14" s="386"/>
      <c r="P14" s="386"/>
      <c r="T14" s="384"/>
    </row>
    <row r="15" spans="2:21" ht="15" customHeight="1" thickBot="1" x14ac:dyDescent="0.25">
      <c r="B15" s="1386" t="s">
        <v>930</v>
      </c>
      <c r="C15" s="1387"/>
      <c r="D15" s="1387"/>
      <c r="E15" s="379"/>
      <c r="F15" s="1397" t="s">
        <v>521</v>
      </c>
      <c r="G15" s="1398"/>
      <c r="H15" s="1399" t="s">
        <v>520</v>
      </c>
      <c r="I15" s="1400"/>
      <c r="J15" s="1400"/>
      <c r="K15" s="1400"/>
      <c r="L15" s="1400"/>
      <c r="M15" s="1401"/>
      <c r="N15" s="1402" t="s">
        <v>519</v>
      </c>
      <c r="O15" s="1403" t="s">
        <v>518</v>
      </c>
      <c r="P15" s="1404"/>
      <c r="T15" s="384"/>
    </row>
    <row r="16" spans="2:21" ht="15" customHeight="1" x14ac:dyDescent="0.2">
      <c r="B16" s="1331" t="s">
        <v>63</v>
      </c>
      <c r="D16" s="973" t="str">
        <f>IF(OR(_xll.ciqfunctions.udf.CIQ(Target, "IQ_chAIRMAN_NAME")=0,_xll.ciqfunctions.udf.CIQ(Target, "IQ_chAIRMAN_NAME")="NA"),"NA",_xll.ciqfunctions.udf.CIQ(Target, "IQ_chAIRMAN_NAME"))</f>
        <v>Penner, Gregory</v>
      </c>
      <c r="E16" s="379"/>
      <c r="F16" s="1334" t="str">
        <f>Input!$C$6&amp;" million"</f>
        <v>USD million</v>
      </c>
      <c r="G16" s="1335"/>
      <c r="H16" s="1451">
        <f>+'Overview (Hidden)'!H8</f>
        <v>42766</v>
      </c>
      <c r="I16" s="1451">
        <f>+'Overview (Hidden)'!I8</f>
        <v>43131</v>
      </c>
      <c r="J16" s="1451">
        <f>+'Overview (Hidden)'!J8</f>
        <v>43496</v>
      </c>
      <c r="K16" s="1451">
        <f>+'Overview (Hidden)'!K8</f>
        <v>43861</v>
      </c>
      <c r="L16" s="1451">
        <f>+'Overview (Hidden)'!L8</f>
        <v>44227</v>
      </c>
      <c r="M16" s="1451">
        <f>+'Overview (Hidden)'!M8</f>
        <v>44592</v>
      </c>
      <c r="N16" s="1451">
        <f>+'Overview (Hidden)'!O8</f>
        <v>44592</v>
      </c>
      <c r="O16" s="1451">
        <f>+'Overview (Hidden)'!P8</f>
        <v>44957</v>
      </c>
      <c r="P16" s="1451">
        <f>+'Overview (Hidden)'!Q8</f>
        <v>45322</v>
      </c>
      <c r="T16" s="384"/>
      <c r="U16" s="880"/>
    </row>
    <row r="17" spans="1:19" ht="15" customHeight="1" x14ac:dyDescent="0.2">
      <c r="B17" s="1331" t="s">
        <v>61</v>
      </c>
      <c r="D17" s="973" t="str">
        <f>IF(OR(_xll.ciqfunctions.udf.CIQ(Target, "IQ_CEO_NAME")=0,_xll.ciqfunctions.udf.CIQ(Target, "IQ_CEO_NAME")="NA"),"NA",_xll.ciqfunctions.udf.CIQ(Target, "IQ_CEO_NAME"))</f>
        <v>McMillon, C.</v>
      </c>
      <c r="E17" s="379"/>
      <c r="F17" s="1355" t="str">
        <f>IF(TargetIndustry="Non Financials",'Overview (Hidden)'!E9,'Overview (Hidden)'!E26)</f>
        <v>Total Income</v>
      </c>
      <c r="G17" s="537"/>
      <c r="H17" s="985">
        <f>IF(TargetIndustry="Non Financials",'Overview (Hidden)'!H9,'Overview (Hidden)'!H26)</f>
        <v>0</v>
      </c>
      <c r="I17" s="985">
        <f>IF(TargetIndustry="Non Financials",'Overview (Hidden)'!I9,'Overview (Hidden)'!I26)</f>
        <v>0</v>
      </c>
      <c r="J17" s="985">
        <f>IF(TargetIndustry="Non Financials",'Overview (Hidden)'!J9,'Overview (Hidden)'!J26)</f>
        <v>0</v>
      </c>
      <c r="K17" s="985">
        <f>IF(TargetIndustry="Non Financials",'Overview (Hidden)'!K9,'Overview (Hidden)'!K26)</f>
        <v>0</v>
      </c>
      <c r="L17" s="985">
        <f>IF(TargetIndustry="Non Financials",'Overview (Hidden)'!L9,'Overview (Hidden)'!L26)</f>
        <v>0</v>
      </c>
      <c r="M17" s="985">
        <f>IF(TargetIndustry="Non Financials",'Overview (Hidden)'!M9,'Overview (Hidden)'!M26)</f>
        <v>0</v>
      </c>
      <c r="N17" s="985">
        <f>IF(TargetIndustry="Non Financials",'Overview (Hidden)'!O9,'Overview (Hidden)'!O26)</f>
        <v>0</v>
      </c>
      <c r="O17" s="985" t="str">
        <f>IF(TargetIndustry="Non Financials",'Overview (Hidden)'!P9,'Overview (Hidden)'!P26)</f>
        <v>NA</v>
      </c>
      <c r="P17" s="985" t="str">
        <f>IF(TargetIndustry="Non Financials",'Overview (Hidden)'!Q9,'Overview (Hidden)'!Q26)</f>
        <v>NA</v>
      </c>
      <c r="S17" s="384"/>
    </row>
    <row r="18" spans="1:19" ht="15" customHeight="1" x14ac:dyDescent="0.2">
      <c r="B18" s="1331" t="s">
        <v>62</v>
      </c>
      <c r="D18" s="973" t="str">
        <f>IF(OR(_xll.ciqfunctions.udf.CIQ(Target, "IQ_CFO_NAME")=0,_xll.ciqfunctions.udf.CIQ(Target, "IQ_CFO_NAME")="NA"),"NA",_xll.ciqfunctions.udf.CIQ(Target, "IQ_CFO_NAME"))</f>
        <v>Biggs, M.</v>
      </c>
      <c r="E18" s="379"/>
      <c r="F18" s="1355" t="str">
        <f>IF(TargetIndustry="Non Financials",'Overview (Hidden)'!E10,'Overview (Hidden)'!E27)</f>
        <v>Net Interest Income</v>
      </c>
      <c r="G18" s="538"/>
      <c r="H18" s="986">
        <f>IF(TargetIndustry="Non Financials",'Overview (Hidden)'!H10,'Overview (Hidden)'!H27)</f>
        <v>0</v>
      </c>
      <c r="I18" s="986">
        <f>IF(TargetIndustry="Non Financials",'Overview (Hidden)'!I10,'Overview (Hidden)'!I27)</f>
        <v>0</v>
      </c>
      <c r="J18" s="986">
        <f>IF(TargetIndustry="Non Financials",'Overview (Hidden)'!J10,'Overview (Hidden)'!J27)</f>
        <v>0</v>
      </c>
      <c r="K18" s="986">
        <f>IF(TargetIndustry="Non Financials",'Overview (Hidden)'!K10,'Overview (Hidden)'!K27)</f>
        <v>0</v>
      </c>
      <c r="L18" s="986">
        <f>IF(TargetIndustry="Non Financials",'Overview (Hidden)'!L10,'Overview (Hidden)'!L27)</f>
        <v>0</v>
      </c>
      <c r="M18" s="986">
        <f>IF(TargetIndustry="Non Financials",'Overview (Hidden)'!M10,'Overview (Hidden)'!M27)</f>
        <v>0</v>
      </c>
      <c r="N18" s="986">
        <f>IF(TargetIndustry="Non Financials",'Overview (Hidden)'!O10,'Overview (Hidden)'!O27)</f>
        <v>0</v>
      </c>
      <c r="O18" s="986" t="str">
        <f>IF(TargetIndustry="Non Financials",'Overview (Hidden)'!P10,'Overview (Hidden)'!P27)</f>
        <v>NA</v>
      </c>
      <c r="P18" s="986" t="str">
        <f>IF(TargetIndustry="Non Financials",'Overview (Hidden)'!Q10,'Overview (Hidden)'!Q27)</f>
        <v>NA</v>
      </c>
      <c r="R18" s="385"/>
      <c r="S18" s="384"/>
    </row>
    <row r="19" spans="1:19" ht="15" customHeight="1" x14ac:dyDescent="0.2">
      <c r="E19" s="379"/>
      <c r="F19" s="1355" t="str">
        <f>IF(TargetIndustry="Non Financials",'Overview (Hidden)'!E11,'Overview (Hidden)'!E28)</f>
        <v>EBT</v>
      </c>
      <c r="G19" s="538"/>
      <c r="H19" s="986">
        <f>IF(TargetIndustry="Non Financials",'Overview (Hidden)'!H11,'Overview (Hidden)'!H28)</f>
        <v>20497</v>
      </c>
      <c r="I19" s="986">
        <f>IF(TargetIndustry="Non Financials",'Overview (Hidden)'!I11,'Overview (Hidden)'!I28)</f>
        <v>15123</v>
      </c>
      <c r="J19" s="986">
        <f>IF(TargetIndustry="Non Financials",'Overview (Hidden)'!J11,'Overview (Hidden)'!J28)</f>
        <v>11460</v>
      </c>
      <c r="K19" s="986">
        <f>IF(TargetIndustry="Non Financials",'Overview (Hidden)'!K11,'Overview (Hidden)'!K28)</f>
        <v>20116</v>
      </c>
      <c r="L19" s="986">
        <f>IF(TargetIndustry="Non Financials",'Overview (Hidden)'!L11,'Overview (Hidden)'!L28)</f>
        <v>20564</v>
      </c>
      <c r="M19" s="986">
        <f>IF(TargetIndustry="Non Financials",'Overview (Hidden)'!M11,'Overview (Hidden)'!M28)</f>
        <v>18696</v>
      </c>
      <c r="N19" s="986">
        <f>IF(TargetIndustry="Non Financials",'Overview (Hidden)'!O11,'Overview (Hidden)'!O28)</f>
        <v>18696</v>
      </c>
      <c r="O19" s="986">
        <f>IF(TargetIndustry="Non Financials",'Overview (Hidden)'!P11,'Overview (Hidden)'!P28)</f>
        <v>25283.165400000002</v>
      </c>
      <c r="P19" s="986">
        <f>IF(TargetIndustry="Non Financials",'Overview (Hidden)'!Q11,'Overview (Hidden)'!Q28)</f>
        <v>26608.59691</v>
      </c>
      <c r="S19" s="384"/>
    </row>
    <row r="20" spans="1:19" ht="15" customHeight="1" thickBot="1" x14ac:dyDescent="0.25">
      <c r="B20" s="1386" t="s">
        <v>522</v>
      </c>
      <c r="C20" s="1388"/>
      <c r="D20" s="1388"/>
      <c r="F20" s="1355" t="str">
        <f>IF(TargetIndustry="Non Financials",'Overview (Hidden)'!E12,'Overview (Hidden)'!E29)</f>
        <v>Diluted EPS (adj.)</v>
      </c>
      <c r="G20" s="539"/>
      <c r="H20" s="984">
        <f>IF(TargetIndustry="Non Financials",'Overview (Hidden)'!H12,'Overview (Hidden)'!H29)</f>
        <v>4.38</v>
      </c>
      <c r="I20" s="984">
        <f>IF(TargetIndustry="Non Financials",'Overview (Hidden)'!I12,'Overview (Hidden)'!I29)</f>
        <v>3.28</v>
      </c>
      <c r="J20" s="984">
        <f>IF(TargetIndustry="Non Financials",'Overview (Hidden)'!J12,'Overview (Hidden)'!J29)</f>
        <v>2.2599999999999998</v>
      </c>
      <c r="K20" s="984">
        <f>IF(TargetIndustry="Non Financials",'Overview (Hidden)'!K12,'Overview (Hidden)'!K29)</f>
        <v>5.19</v>
      </c>
      <c r="L20" s="984">
        <f>IF(TargetIndustry="Non Financials",'Overview (Hidden)'!L12,'Overview (Hidden)'!L29)</f>
        <v>4.75</v>
      </c>
      <c r="M20" s="984">
        <f>IF(TargetIndustry="Non Financials",'Overview (Hidden)'!M12,'Overview (Hidden)'!M29)</f>
        <v>4.87</v>
      </c>
      <c r="N20" s="984">
        <f>IF(TargetIndustry="Non Financials",'Overview (Hidden)'!O12,'Overview (Hidden)'!O29)</f>
        <v>4.87</v>
      </c>
      <c r="O20" s="984">
        <f>IF(TargetIndustry="Non Financials",'Overview (Hidden)'!P12,'Overview (Hidden)'!P29)</f>
        <v>6.7588600000000003</v>
      </c>
      <c r="P20" s="984">
        <f>IF(TargetIndustry="Non Financials",'Overview (Hidden)'!Q12,'Overview (Hidden)'!Q29)</f>
        <v>7.25528</v>
      </c>
    </row>
    <row r="21" spans="1:19" ht="15" customHeight="1" x14ac:dyDescent="0.2">
      <c r="B21" s="1331" t="s">
        <v>517</v>
      </c>
      <c r="C21" s="974"/>
      <c r="D21" s="975" t="str">
        <f>IF(_xll.ciqfunctions.udf.CIQ(D1, "IQ_AVG_BROKER_REC")&lt;&gt;"NA",_xll.ciqfunctions.udf.CIQ(D1, "IQ_AVG_BROKER_REC") &amp; " (" &amp; TEXT(_xll.ciqfunctions.udf.CIQ(D1, "IQ_AVG_BROKER_REC_NO"),"0.00")&amp;")","NA")</f>
        <v>Outperform (1.76)</v>
      </c>
      <c r="F21" s="1356" t="str">
        <f>IF(TargetIndustry="Non Financials",'Overview (Hidden)'!E13,'Overview (Hidden)'!E30)</f>
        <v>Net Loans</v>
      </c>
      <c r="G21" s="1081"/>
      <c r="H21" s="1082" t="str">
        <f>IF(TargetIndustry="Non Financials",TEXT('Overview (Hidden)'!H13,"0.0%;[Red](0.0%)"),TEXT('Overview (Hidden)'!H30,"#,##0;[Red](#,##0)"))</f>
        <v>0</v>
      </c>
      <c r="I21" s="1082" t="str">
        <f>IF(TargetIndustry="Non Financials",TEXT('Overview (Hidden)'!I13,"0.0%;[Red](0.0%)"),TEXT('Overview (Hidden)'!I30,"#,##0;[Red](#,##0)"))</f>
        <v>0</v>
      </c>
      <c r="J21" s="1082" t="str">
        <f>IF(TargetIndustry="Non Financials",TEXT('Overview (Hidden)'!J13,"0.0%;[Red](0.0%)"),TEXT('Overview (Hidden)'!J30,"#,##0;[Red](#,##0)"))</f>
        <v>0</v>
      </c>
      <c r="K21" s="1082" t="str">
        <f>IF(TargetIndustry="Non Financials",TEXT('Overview (Hidden)'!K13,"0.0%;[Red](0.0%)"),TEXT('Overview (Hidden)'!K30,"#,##0;[Red](#,##0)"))</f>
        <v>0</v>
      </c>
      <c r="L21" s="1082" t="str">
        <f>IF(TargetIndustry="Non Financials",TEXT('Overview (Hidden)'!L13,"0.0%;[Red](0.0%)"),TEXT('Overview (Hidden)'!L30,"#,##0;[Red](#,##0)"))</f>
        <v>0</v>
      </c>
      <c r="M21" s="1082" t="str">
        <f>IF(TargetIndustry="Non Financials",TEXT('Overview (Hidden)'!M13,"0.0%;[Red](0.0%)"),TEXT('Overview (Hidden)'!M30,"#,##0;[Red](#,##0)"))</f>
        <v>0</v>
      </c>
      <c r="N21" s="1082" t="str">
        <f>IF(TargetIndustry="Non Financials",TEXT('Overview (Hidden)'!O13,"0.0%;[Red](0.0%)"),TEXT('Overview (Hidden)'!O30,"#,##0;[Red](#,##0)"))</f>
        <v>0</v>
      </c>
      <c r="O21" s="1082" t="str">
        <f>IF(TargetIndustry="Non Financials",TEXT('Overview (Hidden)'!P13,"0.0%;[Red](0.0%)"),TEXT('Overview (Hidden)'!P30,"#,##0;[Red](#,##0)"))</f>
        <v>NA</v>
      </c>
      <c r="P21" s="1082" t="str">
        <f>IF(TargetIndustry="Non Financials",TEXT('Overview (Hidden)'!Q13,"0.0%;[Red](0.0%)"),TEXT('Overview (Hidden)'!Q30,"#,##0;[Red](#,##0)"))</f>
        <v>NA</v>
      </c>
    </row>
    <row r="22" spans="1:19" ht="15" customHeight="1" x14ac:dyDescent="0.2">
      <c r="B22" s="1332" t="s">
        <v>516</v>
      </c>
      <c r="C22" s="974"/>
      <c r="D22" s="1077" t="str">
        <f>IFERROR(IF(ISNUMBER(_xll.ciqfunctions.udf.CIQ($D$1,"iq_price_target_ciq",,D2,,,$M$2)), Input!C7&amp; " "&amp;TEXT(_xll.ciqfunctions.udf.CIQ($D$1,"iq_price_target_ciq",,D2,,,$M$2),"0.00"), "NA"),"NA")</f>
        <v>USD 164.36</v>
      </c>
      <c r="F22" s="1356" t="str">
        <f>IF(TargetIndustry="Non Financials",'Overview (Hidden)'!E14,'Overview (Hidden)'!E31)</f>
        <v>Total Deposits</v>
      </c>
      <c r="G22" s="1081"/>
      <c r="H22" s="1082" t="str">
        <f>IF(TargetIndustry="Non Financials",TEXT('Overview (Hidden)'!H14,"0.0%;[Red](0.0%)"),TEXT('Overview (Hidden)'!H31,"#,##0;[Red](#,##0)"))</f>
        <v>0</v>
      </c>
      <c r="I22" s="1082" t="str">
        <f>IF(TargetIndustry="Non Financials",TEXT('Overview (Hidden)'!I14,"0.0%;[Red](0.0%)"),TEXT('Overview (Hidden)'!I31,"#,##0;[Red](#,##0)"))</f>
        <v>0</v>
      </c>
      <c r="J22" s="1082" t="str">
        <f>IF(TargetIndustry="Non Financials",TEXT('Overview (Hidden)'!J14,"0.0%;[Red](0.0%)"),TEXT('Overview (Hidden)'!J31,"#,##0;[Red](#,##0)"))</f>
        <v>0</v>
      </c>
      <c r="K22" s="1082" t="str">
        <f>IF(TargetIndustry="Non Financials",TEXT('Overview (Hidden)'!K14,"0.0%;[Red](0.0%)"),TEXT('Overview (Hidden)'!K31,"#,##0;[Red](#,##0)"))</f>
        <v>0</v>
      </c>
      <c r="L22" s="1082" t="str">
        <f>IF(TargetIndustry="Non Financials",TEXT('Overview (Hidden)'!L14,"0.0%;[Red](0.0%)"),TEXT('Overview (Hidden)'!L31,"#,##0;[Red](#,##0)"))</f>
        <v>0</v>
      </c>
      <c r="M22" s="1082" t="str">
        <f>IF(TargetIndustry="Non Financials",TEXT('Overview (Hidden)'!M14,"0.0%;[Red](0.0%)"),TEXT('Overview (Hidden)'!M31,"#,##0;[Red](#,##0)"))</f>
        <v>0</v>
      </c>
      <c r="N22" s="1082" t="str">
        <f>IF(TargetIndustry="Non Financials",TEXT('Overview (Hidden)'!O14,"0.0%;[Red](0.0%)"),TEXT('Overview (Hidden)'!O31,"#,##0;[Red](#,##0)"))</f>
        <v>0</v>
      </c>
      <c r="O22" s="1082" t="str">
        <f>IF(TargetIndustry="Non Financials",TEXT('Overview (Hidden)'!P14,"0.0%;[Red](0.0%)"),TEXT('Overview (Hidden)'!P31,"#,##0;[Red](#,##0)"))</f>
        <v>NA</v>
      </c>
      <c r="P22" s="1082" t="str">
        <f>IF(TargetIndustry="Non Financials",TEXT('Overview (Hidden)'!Q14,"0.0%;[Red](0.0%)"),TEXT('Overview (Hidden)'!Q31,"#,##0;[Red](#,##0)"))</f>
        <v>NA</v>
      </c>
    </row>
    <row r="23" spans="1:19" ht="15" customHeight="1" x14ac:dyDescent="0.2">
      <c r="B23" s="1332" t="str">
        <f>"Share Price ("&amp;TEXT($D$2,"dd mmm yyyy")&amp;")"</f>
        <v>Share Price (25 Mar 2022)</v>
      </c>
      <c r="C23" s="974"/>
      <c r="D23" s="1078" t="str">
        <f>IF(ISNUMBER(_xll.ciqfunctions.udf.CIQ($D$1,"IQ_LASTSALEPRICE",$D$2,$M$2)),Input!C7&amp; " " &amp;TEXT(_xll.ciqfunctions.udf.CIQ($D$1,"IQ_LASTSALEPRICE",$D$2,$M$2),"0.00"),"NA")</f>
        <v>USD 143.80</v>
      </c>
      <c r="F23" s="1356" t="str">
        <f>IF(TargetIndustry="Non Financials",'Overview (Hidden)'!E15,'Overview (Hidden)'!E32)</f>
        <v>NII Growth %</v>
      </c>
      <c r="G23" s="1081"/>
      <c r="H23" s="1082" t="str">
        <f>IF(TargetIndustry="Non Financials",'Overview (Hidden)'!H15,'Overview (Hidden)'!H32)</f>
        <v>NM</v>
      </c>
      <c r="I23" s="1082" t="str">
        <f>IF(TargetIndustry="Non Financials",'Overview (Hidden)'!I15,'Overview (Hidden)'!I32)</f>
        <v>NM</v>
      </c>
      <c r="J23" s="1082" t="str">
        <f>IF(TargetIndustry="Non Financials",'Overview (Hidden)'!J15,'Overview (Hidden)'!J32)</f>
        <v>NM</v>
      </c>
      <c r="K23" s="1082" t="str">
        <f>IF(TargetIndustry="Non Financials",'Overview (Hidden)'!K15,'Overview (Hidden)'!K32)</f>
        <v>NM</v>
      </c>
      <c r="L23" s="1082" t="str">
        <f>IF(TargetIndustry="Non Financials",'Overview (Hidden)'!L15,'Overview (Hidden)'!L32)</f>
        <v>NM</v>
      </c>
      <c r="M23" s="1082" t="str">
        <f>IF(TargetIndustry="Non Financials",'Overview (Hidden)'!M15,'Overview (Hidden)'!M32)</f>
        <v>NM</v>
      </c>
      <c r="N23" s="1082" t="str">
        <f>IF(TargetIndustry="Non Financials",'Overview (Hidden)'!O15,'Overview (Hidden)'!O32)</f>
        <v>NM</v>
      </c>
      <c r="O23" s="1082" t="str">
        <f>IF(TargetIndustry="Non Financials",'Overview (Hidden)'!P15,'Overview (Hidden)'!P32)</f>
        <v>NM</v>
      </c>
      <c r="P23" s="1082" t="str">
        <f>IF(TargetIndustry="Non Financials",'Overview (Hidden)'!Q15,'Overview (Hidden)'!Q32)</f>
        <v>NM</v>
      </c>
    </row>
    <row r="24" spans="1:19" ht="15" customHeight="1" x14ac:dyDescent="0.2">
      <c r="B24" s="1322" t="s">
        <v>64</v>
      </c>
      <c r="C24" s="1079"/>
      <c r="D24" s="1080" t="str">
        <f>IF(ISNUMBER(_xll.ciqfunctions.udf.CIQ($D$1,"IQ_MARKETCAP",$D$2,$M$2)), Input!C7&amp; " " &amp;TEXT(_xll.ciqfunctions.udf.CIQ($D$1,"IQ_MARKETCAP",$D$2,$M$2),"###,#"),"NA")</f>
        <v>USD 393,037</v>
      </c>
      <c r="F24" s="1356" t="str">
        <f>IF(TargetIndustry="Non Financials",'Overview (Hidden)'!E16,'Overview (Hidden)'!E33)</f>
        <v>EBT Growth y/y%</v>
      </c>
      <c r="G24" s="1081"/>
      <c r="H24" s="1082">
        <f>IF(TargetIndustry="Non Financials",'Overview (Hidden)'!H16,'Overview (Hidden)'!H33)</f>
        <v>-5.2731306035677973E-2</v>
      </c>
      <c r="I24" s="1082">
        <f>IF(TargetIndustry="Non Financials",'Overview (Hidden)'!I16,'Overview (Hidden)'!I33)</f>
        <v>-0.26218470995755477</v>
      </c>
      <c r="J24" s="1082">
        <f>IF(TargetIndustry="Non Financials",'Overview (Hidden)'!J16,'Overview (Hidden)'!J33)</f>
        <v>-0.2422138464590359</v>
      </c>
      <c r="K24" s="1082">
        <f>IF(TargetIndustry="Non Financials",'Overview (Hidden)'!K16,'Overview (Hidden)'!K33)</f>
        <v>0.7553228621291449</v>
      </c>
      <c r="L24" s="1082">
        <f>IF(TargetIndustry="Non Financials",'Overview (Hidden)'!L16,'Overview (Hidden)'!L33)</f>
        <v>2.2270829190693973E-2</v>
      </c>
      <c r="M24" s="1082">
        <f>IF(TargetIndustry="Non Financials",'Overview (Hidden)'!M16,'Overview (Hidden)'!M33)</f>
        <v>-9.0838358296051358E-2</v>
      </c>
      <c r="N24" s="1082">
        <f>IF(TargetIndustry="Non Financials",'Overview (Hidden)'!O16,'Overview (Hidden)'!O33)</f>
        <v>-9.0838358296051358E-2</v>
      </c>
      <c r="O24" s="1082">
        <f>IF(TargetIndustry="Non Financials",'Overview (Hidden)'!P16,'Overview (Hidden)'!P33)</f>
        <v>0.35233019897304246</v>
      </c>
      <c r="P24" s="1082">
        <f>IF(TargetIndustry="Non Financials",'Overview (Hidden)'!Q16,'Overview (Hidden)'!Q33)</f>
        <v>5.2423479775202453E-2</v>
      </c>
      <c r="R24" s="378"/>
      <c r="S24" s="378"/>
    </row>
    <row r="25" spans="1:19" ht="15" customHeight="1" x14ac:dyDescent="0.2">
      <c r="F25" s="1356" t="str">
        <f>IF(TargetIndustry="Non Financials",'Overview (Hidden)'!E17,'Overview (Hidden)'!E34)</f>
        <v>Net Loans Growth y/y%</v>
      </c>
      <c r="G25" s="1083"/>
      <c r="H25" s="1082" t="str">
        <f>IF(TargetIndustry="Non Financials",'Overview (Hidden)'!H17,'Overview (Hidden)'!H34)</f>
        <v>NM</v>
      </c>
      <c r="I25" s="1082" t="str">
        <f>IF(TargetIndustry="Non Financials",'Overview (Hidden)'!I17,'Overview (Hidden)'!I34)</f>
        <v>NM</v>
      </c>
      <c r="J25" s="1082" t="str">
        <f>IF(TargetIndustry="Non Financials",'Overview (Hidden)'!J17,'Overview (Hidden)'!J34)</f>
        <v>NM</v>
      </c>
      <c r="K25" s="1082" t="str">
        <f>IF(TargetIndustry="Non Financials",'Overview (Hidden)'!K17,'Overview (Hidden)'!K34)</f>
        <v>NM</v>
      </c>
      <c r="L25" s="1082" t="str">
        <f>IF(TargetIndustry="Non Financials",'Overview (Hidden)'!L17,'Overview (Hidden)'!L34)</f>
        <v>NM</v>
      </c>
      <c r="M25" s="1082" t="str">
        <f>IF(TargetIndustry="Non Financials",'Overview (Hidden)'!M17,'Overview (Hidden)'!M34)</f>
        <v>NM</v>
      </c>
      <c r="N25" s="1082" t="str">
        <f>IF(TargetIndustry="Non Financials",'Overview (Hidden)'!O17,'Overview (Hidden)'!O34)</f>
        <v>NM</v>
      </c>
      <c r="O25" s="1082" t="str">
        <f>IF(TargetIndustry="Non Financials",'Overview (Hidden)'!P17,'Overview (Hidden)'!P34)</f>
        <v>NM</v>
      </c>
      <c r="P25" s="1082" t="str">
        <f>IF(TargetIndustry="Non Financials",'Overview (Hidden)'!Q17,'Overview (Hidden)'!Q34)</f>
        <v>NM</v>
      </c>
      <c r="R25" s="378"/>
      <c r="S25" s="378"/>
    </row>
    <row r="26" spans="1:19" ht="15" customHeight="1" thickBot="1" x14ac:dyDescent="0.25">
      <c r="B26" s="1386" t="s">
        <v>513</v>
      </c>
      <c r="C26" s="1389"/>
      <c r="D26" s="1389"/>
      <c r="F26" s="1356" t="str">
        <f>IF(TargetIndustry="Non Financials",'Overview (Hidden)'!E18,'Overview (Hidden)'!E35)</f>
        <v>Total Deposits Growth y/y%</v>
      </c>
      <c r="G26" s="1083"/>
      <c r="H26" s="1082" t="str">
        <f>IF(TargetIndustry="Non Financials",'Overview (Hidden)'!H18,'Overview (Hidden)'!H35)</f>
        <v>NM</v>
      </c>
      <c r="I26" s="1082" t="str">
        <f>IF(TargetIndustry="Non Financials",'Overview (Hidden)'!I18,'Overview (Hidden)'!I35)</f>
        <v>NM</v>
      </c>
      <c r="J26" s="1082" t="str">
        <f>IF(TargetIndustry="Non Financials",'Overview (Hidden)'!J18,'Overview (Hidden)'!J35)</f>
        <v>NM</v>
      </c>
      <c r="K26" s="1082" t="str">
        <f>IF(TargetIndustry="Non Financials",'Overview (Hidden)'!K18,'Overview (Hidden)'!K35)</f>
        <v>NM</v>
      </c>
      <c r="L26" s="1082" t="str">
        <f>IF(TargetIndustry="Non Financials",'Overview (Hidden)'!L18,'Overview (Hidden)'!L35)</f>
        <v>NM</v>
      </c>
      <c r="M26" s="1082" t="str">
        <f>IF(TargetIndustry="Non Financials",'Overview (Hidden)'!M18,'Overview (Hidden)'!M35)</f>
        <v>NM</v>
      </c>
      <c r="N26" s="1082" t="str">
        <f>IF(TargetIndustry="Non Financials",'Overview (Hidden)'!O18,'Overview (Hidden)'!O35)</f>
        <v>NM</v>
      </c>
      <c r="O26" s="1082" t="str">
        <f>IF(TargetIndustry="Non Financials",'Overview (Hidden)'!P18,'Overview (Hidden)'!P35)</f>
        <v>NM</v>
      </c>
      <c r="P26" s="1082" t="str">
        <f>IF(TargetIndustry="Non Financials",'Overview (Hidden)'!Q18,'Overview (Hidden)'!Q35)</f>
        <v>NM</v>
      </c>
      <c r="R26" s="378"/>
      <c r="S26" s="378"/>
    </row>
    <row r="27" spans="1:19" ht="15" customHeight="1" x14ac:dyDescent="0.2">
      <c r="F27" s="1356" t="str">
        <f>IF(TargetIndustry="Non Financials",'Overview (Hidden)'!E19,'Overview (Hidden)'!E36)</f>
        <v>Net Interest Margin %</v>
      </c>
      <c r="G27" s="1083"/>
      <c r="H27" s="1082">
        <f>IF(TargetIndustry="Non Financials",'Overview (Hidden)'!H19,'Overview (Hidden)'!H36)</f>
        <v>0</v>
      </c>
      <c r="I27" s="1082">
        <f>IF(TargetIndustry="Non Financials",'Overview (Hidden)'!I19,'Overview (Hidden)'!I36)</f>
        <v>0</v>
      </c>
      <c r="J27" s="1082">
        <f>IF(TargetIndustry="Non Financials",'Overview (Hidden)'!J19,'Overview (Hidden)'!J36)</f>
        <v>0</v>
      </c>
      <c r="K27" s="1082">
        <f>IF(TargetIndustry="Non Financials",'Overview (Hidden)'!K19,'Overview (Hidden)'!K36)</f>
        <v>0</v>
      </c>
      <c r="L27" s="1082">
        <f>IF(TargetIndustry="Non Financials",'Overview (Hidden)'!L19,'Overview (Hidden)'!L36)</f>
        <v>0</v>
      </c>
      <c r="M27" s="1082">
        <f>IF(TargetIndustry="Non Financials",'Overview (Hidden)'!M19,'Overview (Hidden)'!M36)</f>
        <v>0</v>
      </c>
      <c r="N27" s="1082">
        <f>IF(TargetIndustry="Non Financials",'Overview (Hidden)'!O19,'Overview (Hidden)'!O36)</f>
        <v>0</v>
      </c>
      <c r="O27" s="1082" t="str">
        <f>IF(TargetIndustry="Non Financials",'Overview (Hidden)'!P19,'Overview (Hidden)'!P36)</f>
        <v>NA</v>
      </c>
      <c r="P27" s="1082" t="str">
        <f>IF(TargetIndustry="Non Financials",'Overview (Hidden)'!Q19,'Overview (Hidden)'!Q36)</f>
        <v>NA</v>
      </c>
      <c r="S27" s="378"/>
    </row>
    <row r="28" spans="1:19" ht="15" customHeight="1" x14ac:dyDescent="0.2">
      <c r="F28" s="1356" t="str">
        <f>IF(TargetIndustry="Non Financials",'Overview (Hidden)'!E20,'Overview (Hidden)'!E37)</f>
        <v>EBT Margin %</v>
      </c>
      <c r="G28" s="1083"/>
      <c r="H28" s="1082" t="str">
        <f>IF(TargetIndustry="Non Financials",'Overview (Hidden)'!H20,'Overview (Hidden)'!H37)</f>
        <v>NA</v>
      </c>
      <c r="I28" s="1082" t="str">
        <f>IF(TargetIndustry="Non Financials",'Overview (Hidden)'!I20,'Overview (Hidden)'!I37)</f>
        <v>NA</v>
      </c>
      <c r="J28" s="1082" t="str">
        <f>IF(TargetIndustry="Non Financials",'Overview (Hidden)'!J20,'Overview (Hidden)'!J37)</f>
        <v>NA</v>
      </c>
      <c r="K28" s="1082" t="str">
        <f>IF(TargetIndustry="Non Financials",'Overview (Hidden)'!K20,'Overview (Hidden)'!K37)</f>
        <v>NA</v>
      </c>
      <c r="L28" s="1082" t="str">
        <f>IF(TargetIndustry="Non Financials",'Overview (Hidden)'!L20,'Overview (Hidden)'!L37)</f>
        <v>NA</v>
      </c>
      <c r="M28" s="1082" t="str">
        <f>IF(TargetIndustry="Non Financials",'Overview (Hidden)'!M20,'Overview (Hidden)'!M37)</f>
        <v>NA</v>
      </c>
      <c r="N28" s="1082" t="str">
        <f>IF(TargetIndustry="Non Financials",'Overview (Hidden)'!O20,'Overview (Hidden)'!O37)</f>
        <v>NA</v>
      </c>
      <c r="O28" s="1082" t="str">
        <f>IF(TargetIndustry="Non Financials",'Overview (Hidden)'!P20,'Overview (Hidden)'!P37)</f>
        <v>NA</v>
      </c>
      <c r="P28" s="1082" t="str">
        <f>IF(TargetIndustry="Non Financials",'Overview (Hidden)'!Q20,'Overview (Hidden)'!Q37)</f>
        <v>NA</v>
      </c>
      <c r="S28" s="378"/>
    </row>
    <row r="29" spans="1:19" ht="8.1" customHeight="1" x14ac:dyDescent="0.2">
      <c r="R29" s="378"/>
      <c r="S29" s="378"/>
    </row>
    <row r="30" spans="1:19" ht="15" customHeight="1" thickBot="1" x14ac:dyDescent="0.25">
      <c r="F30" s="1489" t="str">
        <f>"Revenue by Geographic Segments (" &amp; Input!C6 &amp; " million)"</f>
        <v>Revenue by Geographic Segments (USD million)</v>
      </c>
      <c r="G30" s="1489"/>
      <c r="H30" s="1489"/>
      <c r="I30" s="1489"/>
      <c r="J30" s="1489"/>
      <c r="K30" s="1489"/>
      <c r="L30" s="1489"/>
      <c r="M30" s="1489"/>
      <c r="N30" s="1489"/>
      <c r="O30" s="1489"/>
      <c r="P30" s="1489"/>
      <c r="S30" s="378"/>
    </row>
    <row r="31" spans="1:19" ht="15" customHeight="1" x14ac:dyDescent="0.2">
      <c r="S31" s="378"/>
    </row>
    <row r="32" spans="1:19" s="379" customFormat="1" ht="15" customHeight="1" x14ac:dyDescent="0.2">
      <c r="A32" s="384"/>
      <c r="F32" s="1041"/>
      <c r="N32" s="1042"/>
    </row>
    <row r="33" spans="1:20" s="379" customFormat="1" ht="15" customHeight="1" x14ac:dyDescent="0.2">
      <c r="A33" s="384"/>
      <c r="F33" s="1041"/>
      <c r="N33" s="1042"/>
    </row>
    <row r="34" spans="1:20" s="379" customFormat="1" ht="15" customHeight="1" thickBot="1" x14ac:dyDescent="0.25">
      <c r="A34" s="384"/>
      <c r="B34" s="1391" t="s">
        <v>506</v>
      </c>
      <c r="C34" s="1392" t="str">
        <f>+"FY"&amp;" " &amp;RIGHT(_xll.ciqfunctions.udf.CIQ($D$1, "IQ_FISCAL_Y", H1)+1,2)&amp;"E"</f>
        <v>FY 23E</v>
      </c>
      <c r="D34" s="1392" t="str">
        <f>+"FY"&amp;" " &amp;RIGHT(_xll.ciqfunctions.udf.CIQ($D$1, "IQ_FISCAL_Y", H1)+2,2)&amp;"E"</f>
        <v>FY 24E</v>
      </c>
      <c r="F34" s="1041"/>
      <c r="N34" s="1042"/>
    </row>
    <row r="35" spans="1:20" s="379" customFormat="1" ht="15" customHeight="1" x14ac:dyDescent="0.2">
      <c r="A35" s="384"/>
      <c r="B35" s="1333" t="s">
        <v>505</v>
      </c>
      <c r="C35" s="1043">
        <f>IFERROR(IF(NOT(ISNUMBER(_xll.ciqfunctions.udf.CIQ($D$1,"IQ_TEV_TOTAL_REV_FWD",I$1,$D$2))),"NA",_xll.ciqfunctions.udf.CIQ($D$1,"IQ_TEV_TOTAL_REV_FWD",I$1,$D$2)),"NA")</f>
        <v>0.75624000000000002</v>
      </c>
      <c r="D35" s="1043">
        <f>IFERROR(IF(NOT(ISNUMBER(_xll.ciqfunctions.udf.CIQ($D$1,"IQ_TEV_TOTAL_REV_FWD",J$1,$D$2))),"NA",_xll.ciqfunctions.udf.CIQ($D$1,"IQ_TEV_TOTAL_REV_FWD",J$1,$D$2)),"NA")</f>
        <v>0.73263</v>
      </c>
      <c r="F35" s="1041"/>
      <c r="N35" s="1042"/>
    </row>
    <row r="36" spans="1:20" s="379" customFormat="1" ht="15" customHeight="1" x14ac:dyDescent="0.2">
      <c r="A36" s="384"/>
      <c r="B36" s="1333" t="s">
        <v>504</v>
      </c>
      <c r="C36" s="1043">
        <f>IFERROR(IF(NOT(ISNUMBER(_xll.ciqfunctions.udf.CIQ($D$1, "IQ_TEV_EBITDA_FWD", I$1, $D$2))),"NA",_xll.ciqfunctions.udf.CIQ($D$1, "IQ_TEV_EBITDA_FWD", I$1, $D$2)),"NA")</f>
        <v>11.71345</v>
      </c>
      <c r="D36" s="1043">
        <f>IFERROR(IF(NOT(ISNUMBER(_xll.ciqfunctions.udf.CIQ($D$1, "IQ_TEV_EBITDA_FWD", J$1, $D$2))),"NA",_xll.ciqfunctions.udf.CIQ($D$1, "IQ_TEV_EBITDA_FWD", J$1, $D$2)),"NA")</f>
        <v>11.164949999999999</v>
      </c>
      <c r="F36" s="1041"/>
      <c r="N36" s="1042"/>
    </row>
    <row r="37" spans="1:20" s="379" customFormat="1" ht="15" customHeight="1" x14ac:dyDescent="0.2">
      <c r="A37" s="384"/>
      <c r="B37" s="1333" t="s">
        <v>503</v>
      </c>
      <c r="C37" s="1043">
        <f>IFERROR(IF(NOT(ISNUMBER(_xll.ciqfunctions.udf.CIQ($D$1,"IQ_PE_EXCL_FWD", I$1, $D$2))),"NA",_xll.ciqfunctions.udf.CIQ($D$1,"IQ_PE_EXCL_FWD", I$1, $D$2)),"NA")</f>
        <v>21.132259999999999</v>
      </c>
      <c r="D37" s="1043">
        <f>IFERROR(IF(NOT(ISNUMBER(_xll.ciqfunctions.udf.CIQ($D$1,"IQ_PE_EXCL_FWD", J$1, $D$2))),"NA",_xll.ciqfunctions.udf.CIQ($D$1,"IQ_PE_EXCL_FWD", J$1, $D$2)),"NA")</f>
        <v>19.686350000000001</v>
      </c>
      <c r="F37" s="1041"/>
      <c r="N37" s="1042"/>
    </row>
    <row r="38" spans="1:20" s="379" customFormat="1" ht="15" customHeight="1" x14ac:dyDescent="0.2">
      <c r="A38" s="384"/>
      <c r="B38" s="1333" t="s">
        <v>502</v>
      </c>
      <c r="C38" s="1043">
        <f>IFERROR(IF(NOT(ISNUMBER(_xll.ciqfunctions.udf.CIQ($D$1, "IQ_PBV_FWD", I$1, $D$2))),"NA",_xll.ciqfunctions.udf.CIQ($D$1, "IQ_PBV_FWD", I$1, $D$2)),"NA")</f>
        <v>4.5228000000000002</v>
      </c>
      <c r="D38" s="1043">
        <f>IFERROR(IF(NOT(ISNUMBER(_xll.ciqfunctions.udf.CIQ($D$1, "IQ_PBV_FWD", J$1, $D$2))),"NA",_xll.ciqfunctions.udf.CIQ($D$1, "IQ_PBV_FWD", J$1, $D$2)),"NA")</f>
        <v>4.1613199999999999</v>
      </c>
      <c r="F38" s="1041"/>
      <c r="N38" s="1042"/>
      <c r="S38" s="384"/>
      <c r="T38" s="384"/>
    </row>
    <row r="39" spans="1:20" s="1038" customFormat="1" ht="15" customHeight="1" x14ac:dyDescent="0.2">
      <c r="A39" s="1039"/>
      <c r="B39" s="1044"/>
      <c r="C39" s="1044"/>
      <c r="D39" s="1044"/>
      <c r="F39" s="1041"/>
      <c r="N39" s="1045"/>
      <c r="S39" s="1039"/>
      <c r="T39" s="1039"/>
    </row>
    <row r="40" spans="1:20" s="1038" customFormat="1" ht="15" customHeight="1" x14ac:dyDescent="0.2">
      <c r="A40" s="1039"/>
      <c r="S40" s="1039"/>
      <c r="T40" s="1039"/>
    </row>
    <row r="41" spans="1:20" s="1038" customFormat="1" ht="15" customHeight="1" x14ac:dyDescent="0.2">
      <c r="A41" s="1039"/>
      <c r="J41" s="1046"/>
      <c r="R41" s="1040"/>
      <c r="S41" s="1039"/>
      <c r="T41" s="1039"/>
    </row>
    <row r="42" spans="1:20" s="1038" customFormat="1" ht="15" customHeight="1" x14ac:dyDescent="0.2">
      <c r="A42" s="1039"/>
      <c r="R42" s="1040"/>
      <c r="S42" s="1039"/>
      <c r="T42" s="1039"/>
    </row>
    <row r="43" spans="1:20" ht="15" customHeight="1" x14ac:dyDescent="0.2">
      <c r="R43" s="382"/>
      <c r="S43" s="381"/>
      <c r="T43" s="381"/>
    </row>
    <row r="44" spans="1:20" ht="15" customHeight="1" x14ac:dyDescent="0.2">
      <c r="R44" s="382"/>
      <c r="S44" s="381"/>
      <c r="T44" s="381"/>
    </row>
    <row r="45" spans="1:20" ht="15" customHeight="1" x14ac:dyDescent="0.2">
      <c r="R45" s="382"/>
      <c r="S45" s="381"/>
      <c r="T45" s="381"/>
    </row>
    <row r="46" spans="1:20" ht="15" customHeight="1" x14ac:dyDescent="0.2">
      <c r="E46" s="379"/>
      <c r="R46" s="382"/>
      <c r="S46" s="381"/>
      <c r="T46" s="381"/>
    </row>
    <row r="47" spans="1:20" ht="15" customHeight="1" x14ac:dyDescent="0.2">
      <c r="E47" s="379"/>
      <c r="R47" s="382"/>
      <c r="S47" s="381"/>
      <c r="T47" s="381"/>
    </row>
    <row r="48" spans="1:20" ht="15" customHeight="1" x14ac:dyDescent="0.2">
      <c r="E48" s="379"/>
      <c r="R48" s="382"/>
      <c r="S48" s="381"/>
      <c r="T48" s="381"/>
    </row>
    <row r="49" spans="5:20" ht="15" customHeight="1" x14ac:dyDescent="0.2">
      <c r="E49" s="379"/>
      <c r="R49" s="382"/>
      <c r="S49" s="381"/>
      <c r="T49" s="381"/>
    </row>
    <row r="50" spans="5:20" x14ac:dyDescent="0.2">
      <c r="E50" s="379"/>
    </row>
    <row r="51" spans="5:20" x14ac:dyDescent="0.2">
      <c r="E51" s="379"/>
    </row>
    <row r="100" spans="2:4" ht="144" x14ac:dyDescent="0.2">
      <c r="B100" s="334" t="str">
        <f>_xll.ciqfunctions.udf.CIQ($D$1, "IQ_COMPANY_STREET1")</f>
        <v>702 South West 8th Street</v>
      </c>
      <c r="C100" s="388" t="str">
        <f>B100&amp;CHAR(10)</f>
        <v xml:space="preserve">702 South West 8th Street
</v>
      </c>
      <c r="D100" s="387" t="str">
        <f>C100&amp;C101&amp;C102&amp;C103&amp;C104&amp;C105</f>
        <v>702 South West 8th Street
Bentonville, AR 72716
United States
Phone: 479 273 4000
www.stock.walmart.com</v>
      </c>
    </row>
    <row r="101" spans="2:4" x14ac:dyDescent="0.2">
      <c r="B101" s="334">
        <f>_xll.ciqfunctions.udf.CIQ($D$1, "IQ_COMPANY_STREET2")</f>
        <v>0</v>
      </c>
      <c r="C101" s="334" t="str">
        <f>IF(B101&lt;&gt;0, B101&amp;CHAR(10),"")</f>
        <v/>
      </c>
      <c r="D101" s="387"/>
    </row>
    <row r="102" spans="2:4" x14ac:dyDescent="0.2">
      <c r="B102" s="334" t="str">
        <f>_xll.ciqfunctions.udf.CIQ($D$1,"IQ_CITY")&amp;", "&amp;_xll.ciqfunctions.udf.CIQ($D$1,"IQ_STATE")&amp;" "&amp;_xll.ciqfunctions.udf.CIQ($D$1,"IQ_COMPANY_ZIP")</f>
        <v>Bentonville, AR 72716</v>
      </c>
      <c r="C102" s="388" t="str">
        <f>B102&amp;CHAR(10)</f>
        <v xml:space="preserve">Bentonville, AR 72716
</v>
      </c>
      <c r="D102" s="387"/>
    </row>
    <row r="103" spans="2:4" x14ac:dyDescent="0.2">
      <c r="B103" s="334" t="str" cm="1">
        <f t="array" ref="B103">_xll.ciqfunctions.udf.CIQ($D$1, "IQ_COUNTRY_NAME")</f>
        <v>United States</v>
      </c>
      <c r="C103" s="388" t="str">
        <f>B103&amp;CHAR(10)</f>
        <v xml:space="preserve">United States
</v>
      </c>
      <c r="D103" s="387"/>
    </row>
    <row r="104" spans="2:4" x14ac:dyDescent="0.2">
      <c r="B104" s="334" t="str" cm="1">
        <f t="array" ref="B104">_xll.ciqfunctions.udf.CIQ($D$1, "IQ_COMPANY_PHONE")</f>
        <v>479 273 4000</v>
      </c>
      <c r="C104" s="334" t="str">
        <f>IF(B104&lt;&gt;"", "Phone: " &amp; B104&amp;CHAR(10), "")</f>
        <v xml:space="preserve">Phone: 479 273 4000
</v>
      </c>
      <c r="D104" s="387"/>
    </row>
    <row r="105" spans="2:4" x14ac:dyDescent="0.2">
      <c r="B105" s="389" t="str">
        <f>_xll.ciqfunctions.udf.CIQ($D$1, "IQ_COMPANY_WEBSITE")</f>
        <v>www.stock.walmart.com</v>
      </c>
      <c r="C105" s="388" t="str">
        <f>B105</f>
        <v>www.stock.walmart.com</v>
      </c>
      <c r="D105" s="387"/>
    </row>
    <row r="210" spans="17:57" x14ac:dyDescent="0.2">
      <c r="T210" s="379"/>
      <c r="U210" s="379"/>
      <c r="V210" s="379"/>
      <c r="W210" s="379"/>
      <c r="X210" s="379"/>
      <c r="Y210" s="379"/>
      <c r="Z210" s="379"/>
      <c r="AA210" s="379"/>
      <c r="AX210" s="379"/>
      <c r="AY210" s="379"/>
      <c r="AZ210" s="379"/>
      <c r="BA210" s="379"/>
      <c r="BB210" s="379"/>
      <c r="BC210" s="379"/>
      <c r="BD210" s="379"/>
      <c r="BE210" s="379"/>
    </row>
    <row r="211" spans="17:57" x14ac:dyDescent="0.2">
      <c r="Q211" s="378"/>
      <c r="R211" s="378"/>
      <c r="S211" s="378"/>
    </row>
  </sheetData>
  <mergeCells count="4">
    <mergeCell ref="F30:P30"/>
    <mergeCell ref="B4:D5"/>
    <mergeCell ref="B8:D8"/>
    <mergeCell ref="F8:P8"/>
  </mergeCells>
  <conditionalFormatting sqref="H21:P22">
    <cfRule type="expression" dxfId="290" priority="2">
      <formula>IFERROR(AND(FIND("(",H21,1)&gt;0,FIND(")",H21,1)&gt;0),FALSE)</formula>
    </cfRule>
  </conditionalFormatting>
  <hyperlinks>
    <hyperlink ref="B105" xr:uid="{792B289C-022F-4569-A1AF-C1176136C769}"/>
  </hyperlinks>
  <printOptions horizontalCentered="1"/>
  <pageMargins left="0" right="0" top="0.25" bottom="0.25" header="0" footer="0"/>
  <pageSetup scale="62" fitToHeight="1000" orientation="landscape" r:id="rId1"/>
  <headerFooter>
    <oddFooter>&amp;R&amp;"-,Bold"&amp;9&amp;K002060Page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B1:Q37"/>
  <sheetViews>
    <sheetView showGridLines="0" topLeftCell="D7" workbookViewId="0">
      <selection activeCell="G3" sqref="G3"/>
    </sheetView>
  </sheetViews>
  <sheetFormatPr defaultRowHeight="14.25" outlineLevelRow="1" outlineLevelCol="1" x14ac:dyDescent="0.2"/>
  <cols>
    <col min="3" max="3" width="20.25" customWidth="1" outlineLevel="1"/>
    <col min="4" max="4" width="24" customWidth="1" outlineLevel="1"/>
    <col min="6" max="6" width="13.25" customWidth="1"/>
    <col min="7" max="7" width="11.5" customWidth="1" outlineLevel="1"/>
    <col min="8" max="8" width="9" style="1"/>
    <col min="14" max="14" width="9" hidden="1" customWidth="1" outlineLevel="1"/>
    <col min="15" max="15" width="9" style="1" collapsed="1"/>
  </cols>
  <sheetData>
    <row r="1" spans="2:17" s="774" customFormat="1" ht="15" outlineLevel="1" x14ac:dyDescent="0.25">
      <c r="B1" s="774" t="str">
        <f>Target</f>
        <v>NYSE:WMT</v>
      </c>
      <c r="C1" s="774" t="str">
        <f>Input!$C$6</f>
        <v>USD</v>
      </c>
      <c r="D1" s="868">
        <f>Input!C8</f>
        <v>44645</v>
      </c>
      <c r="F1" s="784"/>
      <c r="G1" s="784" t="s">
        <v>578</v>
      </c>
      <c r="H1" s="784" t="s">
        <v>577</v>
      </c>
      <c r="I1" s="784" t="s">
        <v>576</v>
      </c>
      <c r="J1" s="784" t="s">
        <v>575</v>
      </c>
      <c r="K1" s="784" t="s">
        <v>574</v>
      </c>
      <c r="L1" s="784" t="s">
        <v>573</v>
      </c>
      <c r="M1" s="784" t="s">
        <v>572</v>
      </c>
      <c r="N1" s="784" t="s">
        <v>625</v>
      </c>
      <c r="O1" s="774" t="s">
        <v>406</v>
      </c>
      <c r="P1" s="774" t="s">
        <v>527</v>
      </c>
      <c r="Q1" s="774" t="s">
        <v>526</v>
      </c>
    </row>
    <row r="2" spans="2:17" s="774" customFormat="1" ht="15" outlineLevel="1" x14ac:dyDescent="0.25">
      <c r="D2" s="774" t="s">
        <v>624</v>
      </c>
      <c r="G2" s="774" t="str">
        <f>IF(OR(_xll.ciqfunctions.udf.CIQ($B$1,$C9,G$1,,,,$C$1)=0,_xll.ciqfunctions.udf.CIQ($B$1,$C9,G$1,,,,$C$1)="NA"),"O","L")</f>
        <v>L</v>
      </c>
      <c r="H2" s="774" t="str">
        <f>IF(OR(_xll.ciqfunctions.udf.CIQ($B$1,$C9,H$1,,,,$C$1)=0,_xll.ciqfunctions.udf.CIQ($B$1,$C9,H$1,,,,$C$1)="NA"),"O","L")</f>
        <v>L</v>
      </c>
      <c r="I2" s="774" t="str">
        <f>IF(OR(_xll.ciqfunctions.udf.CIQ($B$1,$C9,I$1,,,,$C$1)=0,_xll.ciqfunctions.udf.CIQ($B$1,$C9,I$1,,,,$C$1)="NA"),"O","L")</f>
        <v>L</v>
      </c>
      <c r="J2" s="774" t="str">
        <f>IF(OR(_xll.ciqfunctions.udf.CIQ($B$1,$C9,J$1,,,,$C$1)=0,_xll.ciqfunctions.udf.CIQ($B$1,$C9,J$1,,,,$C$1)="NA"),"O","L")</f>
        <v>L</v>
      </c>
      <c r="K2" s="774" t="str">
        <f>IF(OR(_xll.ciqfunctions.udf.CIQ($B$1,$C9,K$1,,,,$C$1)=0,_xll.ciqfunctions.udf.CIQ($B$1,$C9,K$1,,,,$C$1)="NA"),"O","L")</f>
        <v>L</v>
      </c>
      <c r="L2" s="774" t="str">
        <f>IF(OR(_xll.ciqfunctions.udf.CIQ($B$1,$C9,L$1,,,,$C$1)=0,_xll.ciqfunctions.udf.CIQ($B$1,$C9,L$1,,,,$C$1)="NA"),"O","L")</f>
        <v>L</v>
      </c>
      <c r="M2" s="774" t="str">
        <f>IF(OR(_xll.ciqfunctions.udf.CIQ($B$1,$C9,M$1,,,,$C$1)=0,_xll.ciqfunctions.udf.CIQ($B$1,$C9,M$1,,,,$C$1)="NA"),"O","L")</f>
        <v>L</v>
      </c>
      <c r="N2" s="774" t="str">
        <f>IF(OR(_xll.ciqfunctions.udf.CIQ($B$1,$C9,N$1,,,,$C$1)=0,_xll.ciqfunctions.udf.CIQ($B$1,$C9,N$1,,,,$C$1)="NA"),"O","L")</f>
        <v>L</v>
      </c>
      <c r="O2" s="774" t="str">
        <f>IF(OR(_xll.ciqfunctions.udf.CIQ($B$1,$C9,O$1,,,,$C$1)=0,_xll.ciqfunctions.udf.CIQ($B$1,$C9,O$1,,,,$C$1)="NA"),"O","L")</f>
        <v>L</v>
      </c>
    </row>
    <row r="3" spans="2:17" s="1" customFormat="1" x14ac:dyDescent="0.2"/>
    <row r="4" spans="2:17" s="1" customFormat="1" x14ac:dyDescent="0.2"/>
    <row r="5" spans="2:17" s="1" customFormat="1" x14ac:dyDescent="0.2"/>
    <row r="6" spans="2:17" s="1" customFormat="1" x14ac:dyDescent="0.2"/>
    <row r="7" spans="2:17" x14ac:dyDescent="0.2">
      <c r="E7" s="544" t="s">
        <v>521</v>
      </c>
      <c r="F7" s="545"/>
      <c r="G7" s="545"/>
      <c r="H7" s="546" t="s">
        <v>520</v>
      </c>
      <c r="I7" s="547"/>
      <c r="J7" s="547"/>
      <c r="K7" s="547"/>
      <c r="L7" s="547"/>
      <c r="M7" s="548"/>
      <c r="N7" s="552" t="s">
        <v>953</v>
      </c>
      <c r="O7" s="549" t="s">
        <v>519</v>
      </c>
      <c r="P7" s="550" t="s">
        <v>518</v>
      </c>
      <c r="Q7" s="551"/>
    </row>
    <row r="8" spans="2:17" x14ac:dyDescent="0.2">
      <c r="E8" s="866" t="str">
        <f>Input!$C$6&amp;" million"</f>
        <v>USD million</v>
      </c>
      <c r="F8" s="856"/>
      <c r="G8" s="867">
        <f>_xll.ciqfunctions.udf.CIQ($B$1,"IQ_PERIODDATE_BS",G$1,$D$1,,$D$2)</f>
        <v>42400</v>
      </c>
      <c r="H8" s="857">
        <f>_xll.ciqfunctions.udf.CIQ($B$1,"IQ_PERIODDATE_BS",H$1,$D$1,,$D$2)</f>
        <v>42766</v>
      </c>
      <c r="I8" s="857">
        <f>_xll.ciqfunctions.udf.CIQ($B$1,"IQ_PERIODDATE_BS",I$1,$D$1,,$D$2)</f>
        <v>43131</v>
      </c>
      <c r="J8" s="857">
        <f>_xll.ciqfunctions.udf.CIQ($B$1,"IQ_PERIODDATE_BS",J$1,$D$1,,$D$2)</f>
        <v>43496</v>
      </c>
      <c r="K8" s="857">
        <f>_xll.ciqfunctions.udf.CIQ($B$1,"IQ_PERIODDATE_BS",K$1,$D$1,,$D$2)</f>
        <v>43861</v>
      </c>
      <c r="L8" s="857">
        <f>_xll.ciqfunctions.udf.CIQ($B$1,"IQ_PERIODDATE_BS",L$1,$D$1,,$D$2)</f>
        <v>44227</v>
      </c>
      <c r="M8" s="857">
        <f>_xll.ciqfunctions.udf.CIQ($B$1,"IQ_PERIODDATE_BS",M$1,$D$1,,$D$2)</f>
        <v>44592</v>
      </c>
      <c r="N8" s="857">
        <f>_xll.ciqfunctions.udf.CIQ($B$1,"IQ_PERIODDATE_BS",N$1,$D$1,,$D$2)</f>
        <v>44227</v>
      </c>
      <c r="O8" s="857">
        <f>_xll.ciqfunctions.udf.CIQ($B$1,"IQ_PERIODDATE_BS",O$1,$D$1,,$D$2)</f>
        <v>44592</v>
      </c>
      <c r="P8" s="857">
        <f>DATE(YEAR(M8)+1,MONTH(M8),DAY(M8))</f>
        <v>44957</v>
      </c>
      <c r="Q8" s="857">
        <f>DATE(YEAR(P8)+1,MONTH(P8),DAY(P8))</f>
        <v>45322</v>
      </c>
    </row>
    <row r="9" spans="2:17" x14ac:dyDescent="0.2">
      <c r="C9" t="s">
        <v>613</v>
      </c>
      <c r="D9" t="s">
        <v>612</v>
      </c>
      <c r="E9" s="542" t="s">
        <v>33</v>
      </c>
      <c r="F9" s="537"/>
      <c r="G9" s="537">
        <f>_xll.ciqfunctions.udf.CIQ($B$1,$C9,G$1,$D$1,G$2,$D$2,$C$1)</f>
        <v>482130</v>
      </c>
      <c r="H9" s="533">
        <f>_xll.ciqfunctions.udf.CIQ($B$1,$C9,H$1,$D$1,H$2,$D$2,$C$1)</f>
        <v>485873</v>
      </c>
      <c r="I9" s="533">
        <f>_xll.ciqfunctions.udf.CIQ($B$1,$C9,I$1,$D$1,I$2,$D$2,$C$1)</f>
        <v>500343</v>
      </c>
      <c r="J9" s="533">
        <f>_xll.ciqfunctions.udf.CIQ($B$1,$C9,J$1,$D$1,J$2,$D$2,$C$1)</f>
        <v>514405</v>
      </c>
      <c r="K9" s="533">
        <f>_xll.ciqfunctions.udf.CIQ($B$1,$C9,K$1,$D$1,K$2,$D$2,$C$1)</f>
        <v>523964</v>
      </c>
      <c r="L9" s="533">
        <f>_xll.ciqfunctions.udf.CIQ($B$1,$C9,L$1,$D$1,L$2,$D$2,$C$1)</f>
        <v>559151</v>
      </c>
      <c r="M9" s="533">
        <f>_xll.ciqfunctions.udf.CIQ($B$1,$C9,M$1,$D$1,M$2,$D$2,$C$1)</f>
        <v>572754</v>
      </c>
      <c r="N9" s="533">
        <f>_xll.ciqfunctions.udf.CIQ($B$1,$C9,N$1,$D$1,N$2,$D$2,$C$1)</f>
        <v>559151</v>
      </c>
      <c r="O9" s="533">
        <f>_xll.ciqfunctions.udf.CIQ($B$1,$C9,O$1,$D$1,O$2,$D$2,$C$1)</f>
        <v>572754</v>
      </c>
      <c r="P9" s="533">
        <f>_xll.ciqfunctions.udf.CIQ($B$1,$D9,P$1,$D$1,,$D$2,$C$1)</f>
        <v>588877.03824000002</v>
      </c>
      <c r="Q9" s="533">
        <f>_xll.ciqfunctions.udf.CIQ($B$1,$D9,Q$1,$D$1,,$D$2,$C$1)</f>
        <v>607858.67741999996</v>
      </c>
    </row>
    <row r="10" spans="2:17" x14ac:dyDescent="0.2">
      <c r="C10" s="232" t="s">
        <v>378</v>
      </c>
      <c r="D10" t="s">
        <v>611</v>
      </c>
      <c r="E10" s="542" t="s">
        <v>515</v>
      </c>
      <c r="F10" s="538"/>
      <c r="G10" s="538">
        <f>_xll.ciqfunctions.udf.CIQ($B$1,$C10,G$1,$D$1,G$2,$D$2,$C$1)</f>
        <v>33559</v>
      </c>
      <c r="H10" s="534">
        <f>_xll.ciqfunctions.udf.CIQ($B$1,$C10,H$1,$D$1,H$2,$D$2,$C$1)</f>
        <v>32844</v>
      </c>
      <c r="I10" s="534">
        <f>_xll.ciqfunctions.udf.CIQ($B$1,$C10,I$1,$D$1,I$2,$D$2,$C$1)</f>
        <v>31466</v>
      </c>
      <c r="J10" s="534">
        <f>_xll.ciqfunctions.udf.CIQ($B$1,$C10,J$1,$D$1,J$2,$D$2,$C$1)</f>
        <v>32635</v>
      </c>
      <c r="K10" s="534">
        <f>_xll.ciqfunctions.udf.CIQ($B$1,$C10,K$1,$D$1,K$2,$D$2,$C$1)</f>
        <v>32455</v>
      </c>
      <c r="L10" s="534">
        <f>_xll.ciqfunctions.udf.CIQ($B$1,$C10,L$1,$D$1,L$2,$D$2,$C$1)</f>
        <v>38100</v>
      </c>
      <c r="M10" s="534">
        <f>_xll.ciqfunctions.udf.CIQ($B$1,$C10,M$1,$D$1,M$2,$D$2,$C$1)</f>
        <v>36600</v>
      </c>
      <c r="N10" s="534">
        <f>_xll.ciqfunctions.udf.CIQ($B$1,$C10,N$1,$D$1,N$2,$D$2,$C$1)</f>
        <v>38100</v>
      </c>
      <c r="O10" s="534">
        <f>_xll.ciqfunctions.udf.CIQ($B$1,$C10,O$1,$D$1,O$2,$D$2,$C$1)</f>
        <v>36600</v>
      </c>
      <c r="P10" s="534">
        <f>_xll.ciqfunctions.udf.CIQ($B$1,$D10,P$1,$D$1,,$D$2,$C$1)</f>
        <v>38018.905429999999</v>
      </c>
      <c r="Q10" s="534">
        <f>_xll.ciqfunctions.udf.CIQ($B$1,$D10,Q$1,$D$1,,$D$2,$C$1)</f>
        <v>39886.685879999997</v>
      </c>
    </row>
    <row r="11" spans="2:17" x14ac:dyDescent="0.2">
      <c r="C11" s="232" t="s">
        <v>379</v>
      </c>
      <c r="D11" t="s">
        <v>610</v>
      </c>
      <c r="E11" s="542" t="s">
        <v>514</v>
      </c>
      <c r="F11" s="538"/>
      <c r="G11" s="538">
        <f>_xll.ciqfunctions.udf.CIQ($B$1,$C11,G$1,$D$1,G$2,$D$2,$C$1)</f>
        <v>24105</v>
      </c>
      <c r="H11" s="534">
        <f>_xll.ciqfunctions.udf.CIQ($B$1,$C11,H$1,$D$1,H$2,$D$2,$C$1)</f>
        <v>22764</v>
      </c>
      <c r="I11" s="534">
        <f>_xll.ciqfunctions.udf.CIQ($B$1,$C11,I$1,$D$1,I$2,$D$2,$C$1)</f>
        <v>20937</v>
      </c>
      <c r="J11" s="534">
        <f>_xll.ciqfunctions.udf.CIQ($B$1,$C11,J$1,$D$1,J$2,$D$2,$C$1)</f>
        <v>21957</v>
      </c>
      <c r="K11" s="534">
        <f>_xll.ciqfunctions.udf.CIQ($B$1,$C11,K$1,$D$1,K$2,$D$2,$C$1)</f>
        <v>21468</v>
      </c>
      <c r="L11" s="534">
        <f>_xll.ciqfunctions.udf.CIQ($B$1,$C11,L$1,$D$1,L$2,$D$2,$C$1)</f>
        <v>26948</v>
      </c>
      <c r="M11" s="534">
        <f>_xll.ciqfunctions.udf.CIQ($B$1,$C11,M$1,$D$1,M$2,$D$2,$C$1)</f>
        <v>25942</v>
      </c>
      <c r="N11" s="534">
        <f>_xll.ciqfunctions.udf.CIQ($B$1,$C11,N$1,$D$1,N$2,$D$2,$C$1)</f>
        <v>26948</v>
      </c>
      <c r="O11" s="534">
        <f>_xll.ciqfunctions.udf.CIQ($B$1,$C11,O$1,$D$1,O$2,$D$2,$C$1)</f>
        <v>25942</v>
      </c>
      <c r="P11" s="534">
        <f>_xll.ciqfunctions.udf.CIQ($B$1,$D11,P$1,$D$1,,$D$2,$C$1)</f>
        <v>27049.568429999999</v>
      </c>
      <c r="Q11" s="534">
        <f>_xll.ciqfunctions.udf.CIQ($B$1,$D11,Q$1,$D$1,,$D$2,$C$1)</f>
        <v>28444.616180000001</v>
      </c>
    </row>
    <row r="12" spans="2:17" x14ac:dyDescent="0.2">
      <c r="C12" s="1" t="s">
        <v>609</v>
      </c>
      <c r="D12" t="s">
        <v>608</v>
      </c>
      <c r="E12" s="542" t="s">
        <v>512</v>
      </c>
      <c r="F12" s="539"/>
      <c r="G12" s="539">
        <f>_xll.ciqfunctions.udf.CIQ($B$1,$C12,G$1,$D$1,G$2,$D$2,$C$1)</f>
        <v>4.57</v>
      </c>
      <c r="H12" s="535">
        <f>_xll.ciqfunctions.udf.CIQ($B$1,$C12,H$1,$D$1,H$2,$D$2,$C$1)</f>
        <v>4.38</v>
      </c>
      <c r="I12" s="535">
        <f>_xll.ciqfunctions.udf.CIQ($B$1,$C12,I$1,$D$1,I$2,$D$2,$C$1)</f>
        <v>3.28</v>
      </c>
      <c r="J12" s="535">
        <f>_xll.ciqfunctions.udf.CIQ($B$1,$C12,J$1,$D$1,J$2,$D$2,$C$1)</f>
        <v>2.2599999999999998</v>
      </c>
      <c r="K12" s="535">
        <f>_xll.ciqfunctions.udf.CIQ($B$1,$C12,K$1,$D$1,K$2,$D$2,$C$1)</f>
        <v>5.19</v>
      </c>
      <c r="L12" s="535">
        <f>_xll.ciqfunctions.udf.CIQ($B$1,$C12,L$1,$D$1,L$2,$D$2,$C$1)</f>
        <v>4.75</v>
      </c>
      <c r="M12" s="535">
        <f>_xll.ciqfunctions.udf.CIQ($B$1,$C12,M$1,$D$1,M$2,$D$2,$C$1)</f>
        <v>4.87</v>
      </c>
      <c r="N12" s="535">
        <f>_xll.ciqfunctions.udf.CIQ($B$1,$C12,N$1,$D$1,N$2,$D$2,$C$1)</f>
        <v>4.75</v>
      </c>
      <c r="O12" s="535">
        <f>_xll.ciqfunctions.udf.CIQ($B$1,$C12,O$1,$D$1,O$2,$D$2,$C$1)</f>
        <v>4.87</v>
      </c>
      <c r="P12" s="535">
        <f>_xll.ciqfunctions.udf.CIQ($B$1,$D12,P$1,$D$1,,$D$2,$C$1)</f>
        <v>6.7588600000000003</v>
      </c>
      <c r="Q12" s="535">
        <f>_xll.ciqfunctions.udf.CIQ($B$1,$D12,Q$1,$D$1,,$D$2,$C$1)</f>
        <v>7.25528</v>
      </c>
    </row>
    <row r="13" spans="2:17" x14ac:dyDescent="0.2">
      <c r="E13" s="543" t="s">
        <v>511</v>
      </c>
      <c r="F13" s="540"/>
      <c r="G13" s="540" t="str">
        <f>IFERROR(IF(G9&gt;F9,ABS((G9-F9)/F9),-ABS((G9-F9)/F9)),"NM")</f>
        <v>NM</v>
      </c>
      <c r="H13" s="536">
        <f t="shared" ref="H13:O13" si="0">IFERROR(IF(H9&gt;G9,ABS((H9-G9)/G9),-ABS((H9-G9)/G9)),"NM")</f>
        <v>7.7634662850268599E-3</v>
      </c>
      <c r="I13" s="536">
        <f t="shared" si="0"/>
        <v>2.9781444945489871E-2</v>
      </c>
      <c r="J13" s="536">
        <f t="shared" si="0"/>
        <v>2.8104720161968889E-2</v>
      </c>
      <c r="K13" s="536">
        <f t="shared" si="0"/>
        <v>1.8582634305654107E-2</v>
      </c>
      <c r="L13" s="536">
        <f t="shared" si="0"/>
        <v>6.7155377086975443E-2</v>
      </c>
      <c r="M13" s="536">
        <f t="shared" si="0"/>
        <v>2.4327954345069579E-2</v>
      </c>
      <c r="N13" s="536"/>
      <c r="O13" s="536">
        <f t="shared" si="0"/>
        <v>2.4327954345069579E-2</v>
      </c>
      <c r="P13" s="536">
        <f>IFERROR(IF(P9&gt;M9,ABS((P9-M9)/M9),-ABS((P9-M9)/M9)),"NM")</f>
        <v>2.8150022941786566E-2</v>
      </c>
      <c r="Q13" s="536">
        <f>IFERROR(IF(Q9&gt;P9,ABS((Q9-P9)/P9),-ABS((Q9-P9)/P9)),"NM")</f>
        <v>3.2233620853567513E-2</v>
      </c>
    </row>
    <row r="14" spans="2:17" x14ac:dyDescent="0.2">
      <c r="E14" s="543" t="s">
        <v>510</v>
      </c>
      <c r="F14" s="540"/>
      <c r="G14" s="540" t="str">
        <f t="shared" ref="G14:M14" si="1">IFERROR(IF(G10&gt;F10,ABS((G10-F10)/F10),-ABS((G10-F10)/F10)),"NM")</f>
        <v>NM</v>
      </c>
      <c r="H14" s="536">
        <f t="shared" si="1"/>
        <v>-2.1305760004767721E-2</v>
      </c>
      <c r="I14" s="536">
        <f t="shared" si="1"/>
        <v>-4.1955912799902573E-2</v>
      </c>
      <c r="J14" s="536">
        <f t="shared" si="1"/>
        <v>3.7151210830737941E-2</v>
      </c>
      <c r="K14" s="536">
        <f t="shared" si="1"/>
        <v>-5.5155507890301825E-3</v>
      </c>
      <c r="L14" s="536">
        <f t="shared" si="1"/>
        <v>0.17393313819134185</v>
      </c>
      <c r="M14" s="536">
        <f t="shared" si="1"/>
        <v>-3.937007874015748E-2</v>
      </c>
      <c r="N14" s="536"/>
      <c r="O14" s="536">
        <f>IFERROR(IF(O10&gt;N10,ABS((O10-N10)/N10),-ABS((O10-N10)/N10)),"NM")</f>
        <v>-3.937007874015748E-2</v>
      </c>
      <c r="P14" s="536">
        <f>IFERROR(IF(P10&gt;M10,ABS((P10-M10)/M10),-ABS((P10-M10)/M10)),"NM")</f>
        <v>3.8767907923497234E-2</v>
      </c>
      <c r="Q14" s="536">
        <f>IFERROR(IF(Q10&gt;P10,ABS((Q10-P10)/P10),-ABS((Q10-P10)/P10)),"NM")</f>
        <v>4.9127675530768126E-2</v>
      </c>
    </row>
    <row r="15" spans="2:17" x14ac:dyDescent="0.2">
      <c r="E15" s="543" t="s">
        <v>509</v>
      </c>
      <c r="F15" s="540"/>
      <c r="G15" s="540" t="str">
        <f t="shared" ref="G15:M15" si="2">IFERROR(IF(G11&gt;F11,ABS((G11-F11)/F11),-ABS((G11-F11)/F11)),"NM")</f>
        <v>NM</v>
      </c>
      <c r="H15" s="536">
        <f t="shared" si="2"/>
        <v>-5.5631611698817675E-2</v>
      </c>
      <c r="I15" s="536">
        <f t="shared" si="2"/>
        <v>-8.0258302583025826E-2</v>
      </c>
      <c r="J15" s="536">
        <f t="shared" si="2"/>
        <v>4.8717581315374694E-2</v>
      </c>
      <c r="K15" s="536">
        <f t="shared" si="2"/>
        <v>-2.2270802022134172E-2</v>
      </c>
      <c r="L15" s="536">
        <f t="shared" si="2"/>
        <v>0.25526364822060743</v>
      </c>
      <c r="M15" s="536">
        <f t="shared" si="2"/>
        <v>-3.7331156301024196E-2</v>
      </c>
      <c r="N15" s="536"/>
      <c r="O15" s="536">
        <f>IFERROR(IF(O11&gt;N11,ABS((O11-N11)/N11),-ABS((O11-N11)/N11)),"NM")</f>
        <v>-3.7331156301024196E-2</v>
      </c>
      <c r="P15" s="536">
        <f>IFERROR(IF(P11&gt;M11,ABS((P11-M11)/M11),-ABS((P11-M11)/M11)),"NM")</f>
        <v>4.2694026289414821E-2</v>
      </c>
      <c r="Q15" s="536">
        <f>IFERROR(IF(Q11&gt;P11,ABS((Q11-P11)/P11),-ABS((Q11-P11)/P11)),"NM")</f>
        <v>5.1573752594617703E-2</v>
      </c>
    </row>
    <row r="16" spans="2:17" x14ac:dyDescent="0.2">
      <c r="E16" s="543" t="s">
        <v>508</v>
      </c>
      <c r="F16" s="540"/>
      <c r="G16" s="540" t="str">
        <f t="shared" ref="G16:M16" si="3">IFERROR(IF(G12&gt;F12,ABS((G12-F12)/F12),-ABS((G12-F12)/F12)),"NM")</f>
        <v>NM</v>
      </c>
      <c r="H16" s="536">
        <f t="shared" si="3"/>
        <v>-4.1575492341356754E-2</v>
      </c>
      <c r="I16" s="536">
        <f t="shared" si="3"/>
        <v>-0.25114155251141557</v>
      </c>
      <c r="J16" s="536">
        <f t="shared" si="3"/>
        <v>-0.31097560975609756</v>
      </c>
      <c r="K16" s="536">
        <f t="shared" si="3"/>
        <v>1.2964601769911508</v>
      </c>
      <c r="L16" s="536">
        <f t="shared" si="3"/>
        <v>-8.477842003853571E-2</v>
      </c>
      <c r="M16" s="536">
        <f t="shared" si="3"/>
        <v>2.5263157894736866E-2</v>
      </c>
      <c r="N16" s="536"/>
      <c r="O16" s="536">
        <f>IFERROR(IF(O12&gt;N12,ABS((O12-N12)/N12),-ABS((O12-N12)/N12)),"NM")</f>
        <v>2.5263157894736866E-2</v>
      </c>
      <c r="P16" s="536">
        <f>IFERROR(IF(P12&gt;M12,ABS((P12-M12)/M12),-ABS((P12-M12)/M12)),"NM")</f>
        <v>0.38785626283367558</v>
      </c>
      <c r="Q16" s="536">
        <f>IFERROR(IF(Q12&gt;P12,ABS((Q12-P12)/P12),-ABS((Q12-P12)/P12)),"NM")</f>
        <v>7.3447297325288527E-2</v>
      </c>
    </row>
    <row r="17" spans="3:17" x14ac:dyDescent="0.2">
      <c r="E17" s="543" t="s">
        <v>507</v>
      </c>
      <c r="F17" s="541"/>
      <c r="G17" s="541">
        <f>IFERROR(G10/G$9,"NA")</f>
        <v>6.9605708004065292E-2</v>
      </c>
      <c r="H17" s="536">
        <f t="shared" ref="H17:Q18" si="4">IFERROR(H10/H$9,"NA")</f>
        <v>6.7597911388366919E-2</v>
      </c>
      <c r="I17" s="536">
        <f t="shared" si="4"/>
        <v>6.2888858243245138E-2</v>
      </c>
      <c r="J17" s="536">
        <f t="shared" si="4"/>
        <v>6.3442229371798484E-2</v>
      </c>
      <c r="K17" s="536">
        <f t="shared" si="4"/>
        <v>6.1941278408440277E-2</v>
      </c>
      <c r="L17" s="536">
        <f t="shared" si="4"/>
        <v>6.8139017903929344E-2</v>
      </c>
      <c r="M17" s="536">
        <f>IFERROR(M10/M$9,"NA")</f>
        <v>6.3901779821703558E-2</v>
      </c>
      <c r="N17" s="536">
        <f t="shared" si="4"/>
        <v>6.8139017903929344E-2</v>
      </c>
      <c r="O17" s="536">
        <f t="shared" si="4"/>
        <v>6.3901779821703558E-2</v>
      </c>
      <c r="P17" s="536">
        <f t="shared" si="4"/>
        <v>6.4561704670347816E-2</v>
      </c>
      <c r="Q17" s="536">
        <f t="shared" si="4"/>
        <v>6.5618354005071294E-2</v>
      </c>
    </row>
    <row r="18" spans="3:17" x14ac:dyDescent="0.2">
      <c r="E18" s="543" t="s">
        <v>951</v>
      </c>
      <c r="F18" s="541"/>
      <c r="G18" s="541">
        <f>IFERROR(G11/G$9,"NA")</f>
        <v>4.9996888805923713E-2</v>
      </c>
      <c r="H18" s="536">
        <f t="shared" si="4"/>
        <v>4.6851749325441013E-2</v>
      </c>
      <c r="I18" s="536">
        <f t="shared" si="4"/>
        <v>4.1845294128228037E-2</v>
      </c>
      <c r="J18" s="536">
        <f t="shared" si="4"/>
        <v>4.268426628823592E-2</v>
      </c>
      <c r="K18" s="536">
        <f t="shared" si="4"/>
        <v>4.0972280538357594E-2</v>
      </c>
      <c r="L18" s="536">
        <f t="shared" si="4"/>
        <v>4.8194494868112552E-2</v>
      </c>
      <c r="M18" s="536">
        <f t="shared" si="4"/>
        <v>4.5293441861602016E-2</v>
      </c>
      <c r="N18" s="536">
        <f t="shared" si="4"/>
        <v>4.8194494868112552E-2</v>
      </c>
      <c r="O18" s="536">
        <f t="shared" si="4"/>
        <v>4.5293441861602016E-2</v>
      </c>
      <c r="P18" s="536">
        <f t="shared" si="4"/>
        <v>4.5934153776557685E-2</v>
      </c>
      <c r="Q18" s="536">
        <f t="shared" si="4"/>
        <v>4.6794785098290527E-2</v>
      </c>
    </row>
    <row r="19" spans="3:17" x14ac:dyDescent="0.2">
      <c r="C19" t="s">
        <v>617</v>
      </c>
      <c r="E19" s="543" t="s">
        <v>531</v>
      </c>
      <c r="F19" s="541"/>
      <c r="G19" s="541">
        <f>IFERROR(_xll.ciqfunctions.udf.CIQ($B$1,$C19,G$1,$D$1,G$2,$D$2,$C$1)/100,"NA")</f>
        <v>0.11114599999999999</v>
      </c>
      <c r="H19" s="536">
        <f>IFERROR(_xll.ciqfunctions.udf.CIQ($B$1,$C19,H$1,$D$1,H$2,$D$2,$C$1)/100,"NA")</f>
        <v>0.10882</v>
      </c>
      <c r="I19" s="536">
        <f>IFERROR(_xll.ciqfunctions.udf.CIQ($B$1,$C19,I$1,$D$1,I$2,$D$2,$C$1)/100,"NA")</f>
        <v>0.10279400000000001</v>
      </c>
      <c r="J19" s="536">
        <f>IFERROR(_xll.ciqfunctions.udf.CIQ($B$1,$C19,J$1,$D$1,J$2,$D$2,$C$1)/100,"NA")</f>
        <v>0.10334</v>
      </c>
      <c r="K19" s="536">
        <f>IFERROR(_xll.ciqfunctions.udf.CIQ($B$1,$C19,K$1,$D$1,K$2,$D$2,$C$1)/100,"NA")</f>
        <v>9.1656999999999988E-2</v>
      </c>
      <c r="L19" s="536">
        <f>IFERROR(_xll.ciqfunctions.udf.CIQ($B$1,$C19,L$1,$D$1,L$2,$D$2,$C$1)/100,"NA")</f>
        <v>0.11013400000000001</v>
      </c>
      <c r="M19" s="536">
        <f>IFERROR(_xll.ciqfunctions.udf.CIQ($B$1,$C19,M$1,$D$1,M$2,$D$2,$C$1)/100,"NA")</f>
        <v>0.107561</v>
      </c>
      <c r="N19" s="536">
        <f>IFERROR(_xll.ciqfunctions.udf.CIQ($B$1,$C19,N$1,$D$1,N$2,$D$2,$C$1)/100,"NA")</f>
        <v>0.11013400000000001</v>
      </c>
      <c r="O19" s="536">
        <f>IFERROR(_xll.ciqfunctions.udf.CIQ($B$1,$C19,O$1,$D$1,O$2,$D$2,$C$1)/100,"NA")</f>
        <v>0.107561</v>
      </c>
      <c r="P19" s="536" t="s">
        <v>942</v>
      </c>
      <c r="Q19" s="536" t="s">
        <v>942</v>
      </c>
    </row>
    <row r="20" spans="3:17" x14ac:dyDescent="0.2">
      <c r="C20" t="s">
        <v>392</v>
      </c>
      <c r="D20" t="s">
        <v>952</v>
      </c>
      <c r="E20" s="543" t="s">
        <v>530</v>
      </c>
      <c r="F20" s="541"/>
      <c r="G20" s="541">
        <f>IFERROR(_xll.ciqfunctions.udf.CIQ($B$1,$C20,G$1,$D$1,G$2,$D$2,$C$1)/100,"NA")</f>
        <v>0.17788399999999999</v>
      </c>
      <c r="H20" s="536">
        <f>IFERROR(_xll.ciqfunctions.udf.CIQ($B$1,$C20,H$1,$D$1,H$2,$D$2,$C$1)/100,"NA")</f>
        <v>0.174149</v>
      </c>
      <c r="I20" s="536">
        <f>IFERROR(_xll.ciqfunctions.udf.CIQ($B$1,$C20,I$1,$D$1,I$2,$D$2,$C$1)/100,"NA")</f>
        <v>0.13043100000000002</v>
      </c>
      <c r="J20" s="536">
        <f>IFERROR(_xll.ciqfunctions.udf.CIQ($B$1,$C20,J$1,$D$1,J$2,$D$2,$C$1)/100,"NA")</f>
        <v>8.9482000000000006E-2</v>
      </c>
      <c r="K20" s="536">
        <f>IFERROR(_xll.ciqfunctions.udf.CIQ($B$1,$C20,K$1,$D$1,K$2,$D$2,$C$1)/100,"NA")</f>
        <v>0.188614</v>
      </c>
      <c r="L20" s="536">
        <f>IFERROR(_xll.ciqfunctions.udf.CIQ($B$1,$C20,L$1,$D$1,L$2,$D$2,$C$1)/100,"NA")</f>
        <v>0.16212099999999999</v>
      </c>
      <c r="M20" s="536">
        <f>IFERROR(_xll.ciqfunctions.udf.CIQ($B$1,$C20,M$1,$D$1,M$2,$D$2,$C$1)/100,"NA")</f>
        <v>0.155387</v>
      </c>
      <c r="N20" s="536">
        <f>IFERROR(_xll.ciqfunctions.udf.CIQ($B$1,$C20,N$1,$D$1,N$2,$D$2,$C$1)/100,"NA")</f>
        <v>0.16212099999999999</v>
      </c>
      <c r="O20" s="536">
        <f>IFERROR(_xll.ciqfunctions.udf.CIQ($B$1,$C20,O$1,$D$1,O$2,$D$2,$C$1)/100,"NA")</f>
        <v>0.155387</v>
      </c>
      <c r="P20" s="536">
        <f>IFERROR(_xll.ciqfunctions.udf.CIQ($B$1,$D20,P$1,$D$1,,$D$2,$C$1)/100,"NA")</f>
        <v>0.20412680000000002</v>
      </c>
      <c r="Q20" s="536">
        <f>IFERROR(_xll.ciqfunctions.udf.CIQ($B$1,$D20,Q$1,$D$1,,$D$2,$C$1)/100,"NA")</f>
        <v>0.218837</v>
      </c>
    </row>
    <row r="21" spans="3:17" x14ac:dyDescent="0.2">
      <c r="G21" s="1"/>
      <c r="H21"/>
      <c r="N21" s="1"/>
      <c r="O21"/>
    </row>
    <row r="22" spans="3:17" x14ac:dyDescent="0.2">
      <c r="G22" s="1"/>
      <c r="H22"/>
      <c r="N22" s="1"/>
      <c r="O22"/>
    </row>
    <row r="23" spans="3:17" x14ac:dyDescent="0.2">
      <c r="G23" s="1"/>
      <c r="H23"/>
      <c r="N23" s="1"/>
      <c r="O23"/>
    </row>
    <row r="24" spans="3:17" x14ac:dyDescent="0.2">
      <c r="E24" s="544" t="s">
        <v>521</v>
      </c>
      <c r="F24" s="545"/>
      <c r="G24" s="545"/>
      <c r="H24" s="546" t="s">
        <v>520</v>
      </c>
      <c r="I24" s="547"/>
      <c r="J24" s="547"/>
      <c r="K24" s="547"/>
      <c r="L24" s="547"/>
      <c r="M24" s="548"/>
      <c r="N24" s="552" t="s">
        <v>953</v>
      </c>
      <c r="O24" s="549" t="s">
        <v>519</v>
      </c>
      <c r="P24" s="550" t="s">
        <v>518</v>
      </c>
      <c r="Q24" s="551"/>
    </row>
    <row r="25" spans="3:17" x14ac:dyDescent="0.2">
      <c r="E25" s="866" t="str">
        <f>Input!$C$6&amp;" million"</f>
        <v>USD million</v>
      </c>
      <c r="F25" s="856"/>
      <c r="G25" s="867">
        <f>_xll.ciqfunctions.udf.CIQ($B$1,"IQ_PERIODDATE_BS",G$1,$D$1,,$D$2)</f>
        <v>42400</v>
      </c>
      <c r="H25" s="857">
        <f>_xll.ciqfunctions.udf.CIQ($B$1,"IQ_PERIODDATE_BS",H$1,$D$1,,$D$2)</f>
        <v>42766</v>
      </c>
      <c r="I25" s="857">
        <f>_xll.ciqfunctions.udf.CIQ($B$1,"IQ_PERIODDATE_BS",I$1,$D$1,,$D$2)</f>
        <v>43131</v>
      </c>
      <c r="J25" s="857">
        <f>_xll.ciqfunctions.udf.CIQ($B$1,"IQ_PERIODDATE_BS",J$1,$D$1,,$D$2)</f>
        <v>43496</v>
      </c>
      <c r="K25" s="857">
        <f>_xll.ciqfunctions.udf.CIQ($B$1,"IQ_PERIODDATE_BS",K$1,$D$1,,$D$2)</f>
        <v>43861</v>
      </c>
      <c r="L25" s="857">
        <f>_xll.ciqfunctions.udf.CIQ($B$1,"IQ_PERIODDATE_BS",L$1,$D$1,,$D$2)</f>
        <v>44227</v>
      </c>
      <c r="M25" s="857">
        <f>_xll.ciqfunctions.udf.CIQ($B$1,"IQ_PERIODDATE_BS",M$1,$D$1,,$D$2)</f>
        <v>44592</v>
      </c>
      <c r="N25" s="857">
        <f>_xll.ciqfunctions.udf.CIQ($B$1,"IQ_PERIODDATE_BS",N$1,$D$1,,$D$2)</f>
        <v>44227</v>
      </c>
      <c r="O25" s="857">
        <f>_xll.ciqfunctions.udf.CIQ($B$1,"IQ_PERIODDATE_BS",O$1,$D$1,,$D$2)</f>
        <v>44592</v>
      </c>
      <c r="P25" s="857">
        <f>DATE(YEAR(M25)+1,MONTH(M25),DAY(M25))</f>
        <v>44957</v>
      </c>
      <c r="Q25" s="857">
        <f>DATE(YEAR(P25)+1,MONTH(P25),DAY(P25))</f>
        <v>45322</v>
      </c>
    </row>
    <row r="26" spans="3:17" x14ac:dyDescent="0.2">
      <c r="C26" t="s">
        <v>221</v>
      </c>
      <c r="D26" t="s">
        <v>222</v>
      </c>
      <c r="E26" s="542" t="s">
        <v>255</v>
      </c>
      <c r="F26" s="537"/>
      <c r="G26" s="537">
        <f>IFERROR(IF(OR(NOT(ISNUMBER(_xll.ciqfunctions.udf.CIQ($B$1,$C26,G$1,$D$1,G$2,$D$2,$C$1))), NOT(ISNUMBER(_xll.ciqfunctions.udf.CIQ($B$1,$D26,G$1,$D$1,G$2,$D$2,$C$1)))),_xll.ciqfunctions.udf.CIQ($B$1,$C26,G$1,$D$1,"O",$D$2,$C$1) + _xll.ciqfunctions.udf.CIQ($B$1,$D26,G$1,$D$1,"O",$D$2,$C$1), _xll.ciqfunctions.udf.CIQ($B$1,$C26,G$1,$D$1,G$2,$D$2,$C$1)+ _xll.ciqfunctions.udf.CIQ($B$1,$D26,G$1,$D$1,G$2,$D$2,$C$1)),"")</f>
        <v>0</v>
      </c>
      <c r="H26" s="537">
        <f>IFERROR(IF(OR(NOT(ISNUMBER(_xll.ciqfunctions.udf.CIQ($B$1,$C26,H$1,$D$1,H$2,$D$2,$C$1))), NOT(ISNUMBER(_xll.ciqfunctions.udf.CIQ($B$1,$D26,H$1,$D$1,H$2,$D$2,$C$1)))),_xll.ciqfunctions.udf.CIQ($B$1,$C26,H$1,$D$1,"O",$D$2,$C$1) + _xll.ciqfunctions.udf.CIQ($B$1,$D26,H$1,$D$1,"O",$D$2,$C$1), _xll.ciqfunctions.udf.CIQ($B$1,$C26,H$1,$D$1,H$2,$D$2,$C$1)+ _xll.ciqfunctions.udf.CIQ($B$1,$D26,H$1,$D$1,H$2,$D$2,$C$1)),"")</f>
        <v>0</v>
      </c>
      <c r="I26" s="537">
        <f>IFERROR(IF(OR(NOT(ISNUMBER(_xll.ciqfunctions.udf.CIQ($B$1,$C26,I$1,$D$1,I$2,$D$2,$C$1))), NOT(ISNUMBER(_xll.ciqfunctions.udf.CIQ($B$1,$D26,I$1,$D$1,I$2,$D$2,$C$1)))),_xll.ciqfunctions.udf.CIQ($B$1,$C26,I$1,$D$1,"O",$D$2,$C$1) + _xll.ciqfunctions.udf.CIQ($B$1,$D26,I$1,$D$1,"O",$D$2,$C$1), _xll.ciqfunctions.udf.CIQ($B$1,$C26,I$1,$D$1,I$2,$D$2,$C$1)+ _xll.ciqfunctions.udf.CIQ($B$1,$D26,I$1,$D$1,I$2,$D$2,$C$1)),"")</f>
        <v>0</v>
      </c>
      <c r="J26" s="537">
        <f>IFERROR(IF(OR(NOT(ISNUMBER(_xll.ciqfunctions.udf.CIQ($B$1,$C26,J$1,$D$1,J$2,$D$2,$C$1))), NOT(ISNUMBER(_xll.ciqfunctions.udf.CIQ($B$1,$D26,J$1,$D$1,J$2,$D$2,$C$1)))),_xll.ciqfunctions.udf.CIQ($B$1,$C26,J$1,$D$1,"O",$D$2,$C$1) + _xll.ciqfunctions.udf.CIQ($B$1,$D26,J$1,$D$1,"O",$D$2,$C$1), _xll.ciqfunctions.udf.CIQ($B$1,$C26,J$1,$D$1,J$2,$D$2,$C$1)+ _xll.ciqfunctions.udf.CIQ($B$1,$D26,J$1,$D$1,J$2,$D$2,$C$1)),"")</f>
        <v>0</v>
      </c>
      <c r="K26" s="537">
        <f>IFERROR(IF(OR(NOT(ISNUMBER(_xll.ciqfunctions.udf.CIQ($B$1,$C26,K$1,$D$1,K$2,$D$2,$C$1))), NOT(ISNUMBER(_xll.ciqfunctions.udf.CIQ($B$1,$D26,K$1,$D$1,K$2,$D$2,$C$1)))),_xll.ciqfunctions.udf.CIQ($B$1,$C26,K$1,$D$1,"O",$D$2,$C$1) + _xll.ciqfunctions.udf.CIQ($B$1,$D26,K$1,$D$1,"O",$D$2,$C$1), _xll.ciqfunctions.udf.CIQ($B$1,$C26,K$1,$D$1,K$2,$D$2,$C$1)+ _xll.ciqfunctions.udf.CIQ($B$1,$D26,K$1,$D$1,K$2,$D$2,$C$1)),"")</f>
        <v>0</v>
      </c>
      <c r="L26" s="537">
        <f>IFERROR(IF(OR(NOT(ISNUMBER(_xll.ciqfunctions.udf.CIQ($B$1,$C26,L$1,$D$1,L$2,$D$2,$C$1))), NOT(ISNUMBER(_xll.ciqfunctions.udf.CIQ($B$1,$D26,L$1,$D$1,L$2,$D$2,$C$1)))),_xll.ciqfunctions.udf.CIQ($B$1,$C26,L$1,$D$1,"O",$D$2,$C$1) + _xll.ciqfunctions.udf.CIQ($B$1,$D26,L$1,$D$1,"O",$D$2,$C$1), _xll.ciqfunctions.udf.CIQ($B$1,$C26,L$1,$D$1,L$2,$D$2,$C$1)+ _xll.ciqfunctions.udf.CIQ($B$1,$D26,L$1,$D$1,L$2,$D$2,$C$1)),"")</f>
        <v>0</v>
      </c>
      <c r="M26" s="537">
        <f>IFERROR(IF(OR(NOT(ISNUMBER(_xll.ciqfunctions.udf.CIQ($B$1,$C26,M$1,$D$1,M$2,$D$2,$C$1))), NOT(ISNUMBER(_xll.ciqfunctions.udf.CIQ($B$1,$D26,M$1,$D$1,M$2,$D$2,$C$1)))),_xll.ciqfunctions.udf.CIQ($B$1,$C26,M$1,$D$1,"O",$D$2,$C$1) + _xll.ciqfunctions.udf.CIQ($B$1,$D26,M$1,$D$1,"O",$D$2,$C$1), _xll.ciqfunctions.udf.CIQ($B$1,$C26,M$1,$D$1,M$2,$D$2,$C$1)+ _xll.ciqfunctions.udf.CIQ($B$1,$D26,M$1,$D$1,M$2,$D$2,$C$1)),"")</f>
        <v>0</v>
      </c>
      <c r="N26" s="537">
        <f>IFERROR(IF(OR(NOT(ISNUMBER(_xll.ciqfunctions.udf.CIQ($B$1,$C26,N$1,$D$1,N$2,$D$2,$C$1))), NOT(ISNUMBER(_xll.ciqfunctions.udf.CIQ($B$1,$D26,N$1,$D$1,N$2,$D$2,$C$1)))),_xll.ciqfunctions.udf.CIQ($B$1,$C26,N$1,$D$1,"O",$D$2,$C$1) + _xll.ciqfunctions.udf.CIQ($B$1,$D26,N$1,$D$1,"O",$D$2,$C$1), _xll.ciqfunctions.udf.CIQ($B$1,$C26,N$1,$D$1,N$2,$D$2,$C$1)+ _xll.ciqfunctions.udf.CIQ($B$1,$D26,N$1,$D$1,N$2,$D$2,$C$1)),"")</f>
        <v>0</v>
      </c>
      <c r="O26" s="537">
        <f>IFERROR(IF(OR(NOT(ISNUMBER(_xll.ciqfunctions.udf.CIQ($B$1,$C26,O$1,$D$1,O$2,$D$2,$C$1))), NOT(ISNUMBER(_xll.ciqfunctions.udf.CIQ($B$1,$D26,O$1,$D$1,O$2,$D$2,$C$1)))),_xll.ciqfunctions.udf.CIQ($B$1,$C26,O$1,$D$1,"O",$D$2,$C$1) + _xll.ciqfunctions.udf.CIQ($B$1,$D26,O$1,$D$1,"O",$D$2,$C$1), _xll.ciqfunctions.udf.CIQ($B$1,$C26,O$1,$D$1,O$2,$D$2,$C$1)+ _xll.ciqfunctions.udf.CIQ($B$1,$D26,O$1,$D$1,O$2,$D$2,$C$1)),"")</f>
        <v>0</v>
      </c>
      <c r="P26" s="533" t="s">
        <v>942</v>
      </c>
      <c r="Q26" s="533" t="s">
        <v>942</v>
      </c>
    </row>
    <row r="27" spans="3:17" x14ac:dyDescent="0.2">
      <c r="C27" t="s">
        <v>393</v>
      </c>
      <c r="E27" s="542" t="s">
        <v>238</v>
      </c>
      <c r="F27" s="538"/>
      <c r="G27" s="538">
        <f>IFERROR(IF(NOT(ISNUMBER(_xll.ciqfunctions.udf.CIQ($B$1,$C27,G$1,$D$1,G$2,$D$2,$C$1))),_xll.ciqfunctions.udf.CIQ($B$1,$C27,G$1,$D$1,"O",$D$2,$C$1),_xll.ciqfunctions.udf.CIQ($B$1,$C27,G$1,$D$1,G$2,$D$2,$C$1)),"")</f>
        <v>0</v>
      </c>
      <c r="H27" s="534">
        <f>IFERROR(IF(NOT(ISNUMBER(_xll.ciqfunctions.udf.CIQ($B$1,$C27,H$1,$D$1,H$2,$D$2,$C$1))),_xll.ciqfunctions.udf.CIQ($B$1,$C27,H$1,$D$1,"O",$D$2,$C$1),_xll.ciqfunctions.udf.CIQ($B$1,$C27,H$1,$D$1,H$2,$D$2,$C$1)),"")</f>
        <v>0</v>
      </c>
      <c r="I27" s="534">
        <f>IFERROR(IF(NOT(ISNUMBER(_xll.ciqfunctions.udf.CIQ($B$1,$C27,I$1,$D$1,I$2,$D$2,$C$1))),_xll.ciqfunctions.udf.CIQ($B$1,$C27,I$1,$D$1,"O",$D$2,$C$1),_xll.ciqfunctions.udf.CIQ($B$1,$C27,I$1,$D$1,I$2,$D$2,$C$1)),"")</f>
        <v>0</v>
      </c>
      <c r="J27" s="534">
        <f>IFERROR(IF(NOT(ISNUMBER(_xll.ciqfunctions.udf.CIQ($B$1,$C27,J$1,$D$1,J$2,$D$2,$C$1))),_xll.ciqfunctions.udf.CIQ($B$1,$C27,J$1,$D$1,"O",$D$2,$C$1),_xll.ciqfunctions.udf.CIQ($B$1,$C27,J$1,$D$1,J$2,$D$2,$C$1)),"")</f>
        <v>0</v>
      </c>
      <c r="K27" s="534">
        <f>IFERROR(IF(NOT(ISNUMBER(_xll.ciqfunctions.udf.CIQ($B$1,$C27,K$1,$D$1,K$2,$D$2,$C$1))),_xll.ciqfunctions.udf.CIQ($B$1,$C27,K$1,$D$1,"O",$D$2,$C$1),_xll.ciqfunctions.udf.CIQ($B$1,$C27,K$1,$D$1,K$2,$D$2,$C$1)),"")</f>
        <v>0</v>
      </c>
      <c r="L27" s="534">
        <f>IFERROR(IF(NOT(ISNUMBER(_xll.ciqfunctions.udf.CIQ($B$1,$C27,L$1,$D$1,L$2,$D$2,$C$1))),_xll.ciqfunctions.udf.CIQ($B$1,$C27,L$1,$D$1,"O",$D$2,$C$1),_xll.ciqfunctions.udf.CIQ($B$1,$C27,L$1,$D$1,L$2,$D$2,$C$1)),"")</f>
        <v>0</v>
      </c>
      <c r="M27" s="534">
        <f>IFERROR(IF(NOT(ISNUMBER(_xll.ciqfunctions.udf.CIQ($B$1,$C27,M$1,$D$1,M$2,$D$2,$C$1))),_xll.ciqfunctions.udf.CIQ($B$1,$C27,M$1,$D$1,"O",$D$2,$C$1),_xll.ciqfunctions.udf.CIQ($B$1,$C27,M$1,$D$1,M$2,$D$2,$C$1)),"")</f>
        <v>0</v>
      </c>
      <c r="N27" s="534">
        <f>IFERROR(IF(NOT(ISNUMBER(_xll.ciqfunctions.udf.CIQ($B$1,$C27,N$1,$D$1,N$2,$D$2,$C$1))),_xll.ciqfunctions.udf.CIQ($B$1,$C27,N$1,$D$1,"O",$D$2,$C$1),_xll.ciqfunctions.udf.CIQ($B$1,$C27,N$1,$D$1,N$2,$D$2,$C$1)),"")</f>
        <v>0</v>
      </c>
      <c r="O27" s="534">
        <f>IFERROR(IF(NOT(ISNUMBER(_xll.ciqfunctions.udf.CIQ($B$1,$C27,O$1,$D$1,O$2,$D$2,$C$1))),_xll.ciqfunctions.udf.CIQ($B$1,$C27,O$1,$D$1,"O",$D$2,$C$1),_xll.ciqfunctions.udf.CIQ($B$1,$C27,O$1,$D$1,O$2,$D$2,$C$1)),"")</f>
        <v>0</v>
      </c>
      <c r="P27" s="534" t="s">
        <v>942</v>
      </c>
      <c r="Q27" s="534" t="s">
        <v>942</v>
      </c>
    </row>
    <row r="28" spans="3:17" x14ac:dyDescent="0.2">
      <c r="C28" t="s">
        <v>380</v>
      </c>
      <c r="D28" t="s">
        <v>954</v>
      </c>
      <c r="E28" s="542" t="s">
        <v>50</v>
      </c>
      <c r="F28" s="538"/>
      <c r="G28" s="538">
        <f>IF(NOT(ISNUMBER(_xll.ciqfunctions.udf.CIQ($B$1,$C28,G$1,$D$1,G$2,$D$2,$C$1))),_xll.ciqfunctions.udf.CIQ($B$1,$C28,G$1,$D$1,"O",$D$2,$C$1),_xll.ciqfunctions.udf.CIQ($B$1,$C28,G$1,$D$1,G$2,$D$2,$C$1))</f>
        <v>21638</v>
      </c>
      <c r="H28" s="534">
        <f>IF(NOT(ISNUMBER(_xll.ciqfunctions.udf.CIQ($B$1,$C28,H$1,$D$1,H$2,$D$2,$C$1))),_xll.ciqfunctions.udf.CIQ($B$1,$C28,H$1,$D$1,"O",$D$2,$C$1),_xll.ciqfunctions.udf.CIQ($B$1,$C28,H$1,$D$1,H$2,$D$2,$C$1))</f>
        <v>20497</v>
      </c>
      <c r="I28" s="534">
        <f>IF(NOT(ISNUMBER(_xll.ciqfunctions.udf.CIQ($B$1,$C28,I$1,$D$1,I$2,$D$2,$C$1))),_xll.ciqfunctions.udf.CIQ($B$1,$C28,I$1,$D$1,"O",$D$2,$C$1),_xll.ciqfunctions.udf.CIQ($B$1,$C28,I$1,$D$1,I$2,$D$2,$C$1))</f>
        <v>15123</v>
      </c>
      <c r="J28" s="534">
        <f>IF(NOT(ISNUMBER(_xll.ciqfunctions.udf.CIQ($B$1,$C28,J$1,$D$1,J$2,$D$2,$C$1))),_xll.ciqfunctions.udf.CIQ($B$1,$C28,J$1,$D$1,"O",$D$2,$C$1),_xll.ciqfunctions.udf.CIQ($B$1,$C28,J$1,$D$1,J$2,$D$2,$C$1))</f>
        <v>11460</v>
      </c>
      <c r="K28" s="534">
        <f>IF(NOT(ISNUMBER(_xll.ciqfunctions.udf.CIQ($B$1,$C28,K$1,$D$1,K$2,$D$2,$C$1))),_xll.ciqfunctions.udf.CIQ($B$1,$C28,K$1,$D$1,"O",$D$2,$C$1),_xll.ciqfunctions.udf.CIQ($B$1,$C28,K$1,$D$1,K$2,$D$2,$C$1))</f>
        <v>20116</v>
      </c>
      <c r="L28" s="534">
        <f>IF(NOT(ISNUMBER(_xll.ciqfunctions.udf.CIQ($B$1,$C28,L$1,$D$1,L$2,$D$2,$C$1))),_xll.ciqfunctions.udf.CIQ($B$1,$C28,L$1,$D$1,"O",$D$2,$C$1),_xll.ciqfunctions.udf.CIQ($B$1,$C28,L$1,$D$1,L$2,$D$2,$C$1))</f>
        <v>20564</v>
      </c>
      <c r="M28" s="534">
        <f>IF(NOT(ISNUMBER(_xll.ciqfunctions.udf.CIQ($B$1,$C28,M$1,$D$1,M$2,$D$2,$C$1))),_xll.ciqfunctions.udf.CIQ($B$1,$C28,M$1,$D$1,"O",$D$2,$C$1),_xll.ciqfunctions.udf.CIQ($B$1,$C28,M$1,$D$1,M$2,$D$2,$C$1))</f>
        <v>18696</v>
      </c>
      <c r="N28" s="534">
        <f>IF(NOT(ISNUMBER(_xll.ciqfunctions.udf.CIQ($B$1,$C28,N$1,$D$1,N$2,$D$2,$C$1))),_xll.ciqfunctions.udf.CIQ($B$1,$C28,N$1,$D$1,"O",$D$2,$C$1),_xll.ciqfunctions.udf.CIQ($B$1,$C28,N$1,$D$1,N$2,$D$2,$C$1))</f>
        <v>20564</v>
      </c>
      <c r="O28" s="534">
        <f>IF(NOT(ISNUMBER(_xll.ciqfunctions.udf.CIQ($B$1,$C28,O$1,$D$1,O$2,$D$2,$C$1))),_xll.ciqfunctions.udf.CIQ($B$1,$C28,O$1,$D$1,"O",$D$2,$C$1),_xll.ciqfunctions.udf.CIQ($B$1,$C28,O$1,$D$1,O$2,$D$2,$C$1))</f>
        <v>18696</v>
      </c>
      <c r="P28" s="534">
        <f>IF(NOT(ISNUMBER(_xll.ciqfunctions.udf.CIQ($B$1,$D28,P$1,$D$1,,$D$2,$C$1))),"",_xll.ciqfunctions.udf.CIQ($B$1,$D28,P$1,$D$1,,$D$2,$C$1))</f>
        <v>25283.165400000002</v>
      </c>
      <c r="Q28" s="534">
        <f>IF(NOT(ISNUMBER(_xll.ciqfunctions.udf.CIQ($B$1,$D28,Q$1,$D$1,,$D$2,$C$1))),"",_xll.ciqfunctions.udf.CIQ($B$1,$D28,Q$1,$D$1,,$D$2,$C$1))</f>
        <v>26608.59691</v>
      </c>
    </row>
    <row r="29" spans="3:17" x14ac:dyDescent="0.2">
      <c r="C29" t="s">
        <v>609</v>
      </c>
      <c r="D29" s="1" t="s">
        <v>608</v>
      </c>
      <c r="E29" s="542" t="s">
        <v>512</v>
      </c>
      <c r="F29" s="539"/>
      <c r="G29" s="539">
        <f>IF(NOT(ISNUMBER(_xll.ciqfunctions.udf.CIQ($B$1,$C29,G$1,$D$1,G$2,$D$2,$C$1))),_xll.ciqfunctions.udf.CIQ($B$1,$C29,G$1,$D$1,"O",$D$2,$C$1),_xll.ciqfunctions.udf.CIQ($B$1,$C29,G$1,$D$1,G$2,$D$2,$C$1))</f>
        <v>4.57</v>
      </c>
      <c r="H29" s="535">
        <f>IF(NOT(ISNUMBER(_xll.ciqfunctions.udf.CIQ($B$1,$C29,H$1,$D$1,H$2,$D$2,$C$1))),_xll.ciqfunctions.udf.CIQ($B$1,$C29,H$1,$D$1,"O",$D$2,$C$1),_xll.ciqfunctions.udf.CIQ($B$1,$C29,H$1,$D$1,H$2,$D$2,$C$1))</f>
        <v>4.38</v>
      </c>
      <c r="I29" s="535">
        <f>IF(NOT(ISNUMBER(_xll.ciqfunctions.udf.CIQ($B$1,$C29,I$1,$D$1,I$2,$D$2,$C$1))),_xll.ciqfunctions.udf.CIQ($B$1,$C29,I$1,$D$1,"O",$D$2,$C$1),_xll.ciqfunctions.udf.CIQ($B$1,$C29,I$1,$D$1,I$2,$D$2,$C$1))</f>
        <v>3.28</v>
      </c>
      <c r="J29" s="535">
        <f>IF(NOT(ISNUMBER(_xll.ciqfunctions.udf.CIQ($B$1,$C29,J$1,$D$1,J$2,$D$2,$C$1))),_xll.ciqfunctions.udf.CIQ($B$1,$C29,J$1,$D$1,"O",$D$2,$C$1),_xll.ciqfunctions.udf.CIQ($B$1,$C29,J$1,$D$1,J$2,$D$2,$C$1))</f>
        <v>2.2599999999999998</v>
      </c>
      <c r="K29" s="535">
        <f>IF(NOT(ISNUMBER(_xll.ciqfunctions.udf.CIQ($B$1,$C29,K$1,$D$1,K$2,$D$2,$C$1))),_xll.ciqfunctions.udf.CIQ($B$1,$C29,K$1,$D$1,"O",$D$2,$C$1),_xll.ciqfunctions.udf.CIQ($B$1,$C29,K$1,$D$1,K$2,$D$2,$C$1))</f>
        <v>5.19</v>
      </c>
      <c r="L29" s="535">
        <f>IF(NOT(ISNUMBER(_xll.ciqfunctions.udf.CIQ($B$1,$C29,L$1,$D$1,L$2,$D$2,$C$1))),_xll.ciqfunctions.udf.CIQ($B$1,$C29,L$1,$D$1,"O",$D$2,$C$1),_xll.ciqfunctions.udf.CIQ($B$1,$C29,L$1,$D$1,L$2,$D$2,$C$1))</f>
        <v>4.75</v>
      </c>
      <c r="M29" s="535">
        <f>IF(NOT(ISNUMBER(_xll.ciqfunctions.udf.CIQ($B$1,$C29,M$1,$D$1,M$2,$D$2,$C$1))),_xll.ciqfunctions.udf.CIQ($B$1,$C29,M$1,$D$1,"O",$D$2,$C$1),_xll.ciqfunctions.udf.CIQ($B$1,$C29,M$1,$D$1,M$2,$D$2,$C$1))</f>
        <v>4.87</v>
      </c>
      <c r="N29" s="535">
        <f>IF(NOT(ISNUMBER(_xll.ciqfunctions.udf.CIQ($B$1,$C29,N$1,$D$1,N$2,$D$2,$C$1))),_xll.ciqfunctions.udf.CIQ($B$1,$C29,N$1,$D$1,"O",$D$2,$C$1),_xll.ciqfunctions.udf.CIQ($B$1,$C29,N$1,$D$1,N$2,$D$2,$C$1))</f>
        <v>4.75</v>
      </c>
      <c r="O29" s="535">
        <f>IF(NOT(ISNUMBER(_xll.ciqfunctions.udf.CIQ($B$1,$C29,O$1,$D$1,O$2,$D$2,$C$1))),_xll.ciqfunctions.udf.CIQ($B$1,$C29,O$1,$D$1,"O",$D$2,$C$1),_xll.ciqfunctions.udf.CIQ($B$1,$C29,O$1,$D$1,O$2,$D$2,$C$1))</f>
        <v>4.87</v>
      </c>
      <c r="P29" s="535">
        <f>IF(NOT(ISNUMBER(_xll.ciqfunctions.udf.CIQ($B$1,$D29,P$1,$D$1,,$D$2,$C$1))),"",_xll.ciqfunctions.udf.CIQ($B$1,$D29,P$1,$D$1,,$D$2,$C$1))</f>
        <v>6.7588600000000003</v>
      </c>
      <c r="Q29" s="535">
        <f>IF(NOT(ISNUMBER(_xll.ciqfunctions.udf.CIQ($B$1,$D29,Q$1,$D$1,,$D$2,$C$1))),"",_xll.ciqfunctions.udf.CIQ($B$1,$D29,Q$1,$D$1,,$D$2,$C$1))</f>
        <v>7.25528</v>
      </c>
    </row>
    <row r="30" spans="3:17" x14ac:dyDescent="0.2">
      <c r="C30" t="s">
        <v>233</v>
      </c>
      <c r="E30" s="543" t="s">
        <v>232</v>
      </c>
      <c r="F30" s="540"/>
      <c r="G30" s="538">
        <f>IF(NOT(ISNUMBER(_xll.ciqfunctions.udf.CIQ($B$1,$C30,G$1,$D$1,G$2,$D$2,$C$1))),_xll.ciqfunctions.udf.CIQ($B$1,$C30,G$1,$D$1,"O",$D$2,$C$1),_xll.ciqfunctions.udf.CIQ($B$1,$C30,G$1,$D$1,G$2,$D$2,$C$1))</f>
        <v>0</v>
      </c>
      <c r="H30" s="534">
        <f>IF(NOT(ISNUMBER(_xll.ciqfunctions.udf.CIQ($B$1,$C30,H$1,$D$1,H$2,$D$2,$C$1))),_xll.ciqfunctions.udf.CIQ($B$1,$C30,H$1,$D$1,"O",$D$2,$C$1),_xll.ciqfunctions.udf.CIQ($B$1,$C30,H$1,$D$1,H$2,$D$2,$C$1))</f>
        <v>0</v>
      </c>
      <c r="I30" s="534">
        <f>IF(NOT(ISNUMBER(_xll.ciqfunctions.udf.CIQ($B$1,$C30,I$1,$D$1,I$2,$D$2,$C$1))),_xll.ciqfunctions.udf.CIQ($B$1,$C30,I$1,$D$1,"O",$D$2,$C$1),_xll.ciqfunctions.udf.CIQ($B$1,$C30,I$1,$D$1,I$2,$D$2,$C$1))</f>
        <v>0</v>
      </c>
      <c r="J30" s="534">
        <f>IF(NOT(ISNUMBER(_xll.ciqfunctions.udf.CIQ($B$1,$C30,J$1,$D$1,J$2,$D$2,$C$1))),_xll.ciqfunctions.udf.CIQ($B$1,$C30,J$1,$D$1,"O",$D$2,$C$1),_xll.ciqfunctions.udf.CIQ($B$1,$C30,J$1,$D$1,J$2,$D$2,$C$1))</f>
        <v>0</v>
      </c>
      <c r="K30" s="534">
        <f>IF(NOT(ISNUMBER(_xll.ciqfunctions.udf.CIQ($B$1,$C30,K$1,$D$1,K$2,$D$2,$C$1))),_xll.ciqfunctions.udf.CIQ($B$1,$C30,K$1,$D$1,"O",$D$2,$C$1),_xll.ciqfunctions.udf.CIQ($B$1,$C30,K$1,$D$1,K$2,$D$2,$C$1))</f>
        <v>0</v>
      </c>
      <c r="L30" s="534">
        <f>IF(NOT(ISNUMBER(_xll.ciqfunctions.udf.CIQ($B$1,$C30,L$1,$D$1,L$2,$D$2,$C$1))),_xll.ciqfunctions.udf.CIQ($B$1,$C30,L$1,$D$1,"O",$D$2,$C$1),_xll.ciqfunctions.udf.CIQ($B$1,$C30,L$1,$D$1,L$2,$D$2,$C$1))</f>
        <v>0</v>
      </c>
      <c r="M30" s="534">
        <f>IF(NOT(ISNUMBER(_xll.ciqfunctions.udf.CIQ($B$1,$C30,M$1,$D$1,M$2,$D$2,$C$1))),_xll.ciqfunctions.udf.CIQ($B$1,$C30,M$1,$D$1,"O",$D$2,$C$1),_xll.ciqfunctions.udf.CIQ($B$1,$C30,M$1,$D$1,M$2,$D$2,$C$1))</f>
        <v>0</v>
      </c>
      <c r="N30" s="534">
        <f>IF(NOT(ISNUMBER(_xll.ciqfunctions.udf.CIQ($B$1,$C30,N$1,$D$1,N$2,$D$2,$C$1))),_xll.ciqfunctions.udf.CIQ($B$1,$C30,N$1,$D$1,"O",$D$2,$C$1),_xll.ciqfunctions.udf.CIQ($B$1,$C30,N$1,$D$1,N$2,$D$2,$C$1))</f>
        <v>0</v>
      </c>
      <c r="O30" s="534">
        <f>IF(NOT(ISNUMBER(_xll.ciqfunctions.udf.CIQ($B$1,$C30,O$1,$D$1,O$2,$D$2,$C$1))),_xll.ciqfunctions.udf.CIQ($B$1,$C30,O$1,$D$1,"O",$D$2,$C$1),_xll.ciqfunctions.udf.CIQ($B$1,$C30,O$1,$D$1,O$2,$D$2,$C$1))</f>
        <v>0</v>
      </c>
      <c r="P30" s="534" t="s">
        <v>942</v>
      </c>
      <c r="Q30" s="534" t="s">
        <v>942</v>
      </c>
    </row>
    <row r="31" spans="3:17" x14ac:dyDescent="0.2">
      <c r="C31" t="s">
        <v>237</v>
      </c>
      <c r="E31" s="543" t="s">
        <v>946</v>
      </c>
      <c r="F31" s="540"/>
      <c r="G31" s="538">
        <f>IF(NOT(ISNUMBER(_xll.ciqfunctions.udf.CIQ($B$1,$C31,G$1,$D$1,G$2,$D$2,$C$1))),_xll.ciqfunctions.udf.CIQ($B$1,$C31,G$1,$D$1,"O",$D$2,$C$1),_xll.ciqfunctions.udf.CIQ($B$1,$C31,G$1,$D$1,G$2,$D$2,$C$1))</f>
        <v>0</v>
      </c>
      <c r="H31" s="534">
        <f>IF(NOT(ISNUMBER(_xll.ciqfunctions.udf.CIQ($B$1,$C31,H$1,$D$1,H$2,$D$2,$C$1))),_xll.ciqfunctions.udf.CIQ($B$1,$C31,H$1,$D$1,"O",$D$2,$C$1),_xll.ciqfunctions.udf.CIQ($B$1,$C31,H$1,$D$1,H$2,$D$2,$C$1))</f>
        <v>0</v>
      </c>
      <c r="I31" s="534">
        <f>IF(NOT(ISNUMBER(_xll.ciqfunctions.udf.CIQ($B$1,$C31,I$1,$D$1,I$2,$D$2,$C$1))),_xll.ciqfunctions.udf.CIQ($B$1,$C31,I$1,$D$1,"O",$D$2,$C$1),_xll.ciqfunctions.udf.CIQ($B$1,$C31,I$1,$D$1,I$2,$D$2,$C$1))</f>
        <v>0</v>
      </c>
      <c r="J31" s="534">
        <f>IF(NOT(ISNUMBER(_xll.ciqfunctions.udf.CIQ($B$1,$C31,J$1,$D$1,J$2,$D$2,$C$1))),_xll.ciqfunctions.udf.CIQ($B$1,$C31,J$1,$D$1,"O",$D$2,$C$1),_xll.ciqfunctions.udf.CIQ($B$1,$C31,J$1,$D$1,J$2,$D$2,$C$1))</f>
        <v>0</v>
      </c>
      <c r="K31" s="534">
        <f>IF(NOT(ISNUMBER(_xll.ciqfunctions.udf.CIQ($B$1,$C31,K$1,$D$1,K$2,$D$2,$C$1))),_xll.ciqfunctions.udf.CIQ($B$1,$C31,K$1,$D$1,"O",$D$2,$C$1),_xll.ciqfunctions.udf.CIQ($B$1,$C31,K$1,$D$1,K$2,$D$2,$C$1))</f>
        <v>0</v>
      </c>
      <c r="L31" s="534">
        <f>IF(NOT(ISNUMBER(_xll.ciqfunctions.udf.CIQ($B$1,$C31,L$1,$D$1,L$2,$D$2,$C$1))),_xll.ciqfunctions.udf.CIQ($B$1,$C31,L$1,$D$1,"O",$D$2,$C$1),_xll.ciqfunctions.udf.CIQ($B$1,$C31,L$1,$D$1,L$2,$D$2,$C$1))</f>
        <v>0</v>
      </c>
      <c r="M31" s="534">
        <f>IF(NOT(ISNUMBER(_xll.ciqfunctions.udf.CIQ($B$1,$C31,M$1,$D$1,M$2,$D$2,$C$1))),_xll.ciqfunctions.udf.CIQ($B$1,$C31,M$1,$D$1,"O",$D$2,$C$1),_xll.ciqfunctions.udf.CIQ($B$1,$C31,M$1,$D$1,M$2,$D$2,$C$1))</f>
        <v>0</v>
      </c>
      <c r="N31" s="534">
        <f>IF(NOT(ISNUMBER(_xll.ciqfunctions.udf.CIQ($B$1,$C31,N$1,$D$1,N$2,$D$2,$C$1))),_xll.ciqfunctions.udf.CIQ($B$1,$C31,N$1,$D$1,"O",$D$2,$C$1),_xll.ciqfunctions.udf.CIQ($B$1,$C31,N$1,$D$1,N$2,$D$2,$C$1))</f>
        <v>0</v>
      </c>
      <c r="O31" s="534">
        <f>IF(NOT(ISNUMBER(_xll.ciqfunctions.udf.CIQ($B$1,$C31,O$1,$D$1,O$2,$D$2,$C$1))),_xll.ciqfunctions.udf.CIQ($B$1,$C31,O$1,$D$1,"O",$D$2,$C$1),_xll.ciqfunctions.udf.CIQ($B$1,$C31,O$1,$D$1,O$2,$D$2,$C$1))</f>
        <v>0</v>
      </c>
      <c r="P31" s="534" t="s">
        <v>942</v>
      </c>
      <c r="Q31" s="534" t="s">
        <v>942</v>
      </c>
    </row>
    <row r="32" spans="3:17" x14ac:dyDescent="0.2">
      <c r="E32" s="543" t="s">
        <v>950</v>
      </c>
      <c r="F32" s="540"/>
      <c r="G32" s="540" t="str">
        <f t="shared" ref="G32:M32" si="5">IFERROR(IF(G26&gt;F26,ABS((G26-F26)/F26),-ABS((G26-F26)/F26)),"NM")</f>
        <v>NM</v>
      </c>
      <c r="H32" s="536" t="str">
        <f t="shared" si="5"/>
        <v>NM</v>
      </c>
      <c r="I32" s="536" t="str">
        <f t="shared" si="5"/>
        <v>NM</v>
      </c>
      <c r="J32" s="536" t="str">
        <f t="shared" si="5"/>
        <v>NM</v>
      </c>
      <c r="K32" s="536" t="str">
        <f t="shared" si="5"/>
        <v>NM</v>
      </c>
      <c r="L32" s="536" t="str">
        <f t="shared" si="5"/>
        <v>NM</v>
      </c>
      <c r="M32" s="536" t="str">
        <f t="shared" si="5"/>
        <v>NM</v>
      </c>
      <c r="N32" s="536"/>
      <c r="O32" s="536" t="str">
        <f>IFERROR(IF(O26&gt;N26,ABS((O26-N26)/N26),-ABS((O26-N26)/N26)),"NM")</f>
        <v>NM</v>
      </c>
      <c r="P32" s="536" t="str">
        <f>IFERROR(IF(P26&gt;M26,ABS((P26-M26)/M26),-ABS((P26-M26)/M26)),"NM")</f>
        <v>NM</v>
      </c>
      <c r="Q32" s="536" t="str">
        <f>IFERROR(IF(Q26&gt;P26,ABS((Q26-P26)/P26),-ABS((Q26-P26)/P26)),"NM")</f>
        <v>NM</v>
      </c>
    </row>
    <row r="33" spans="3:17" x14ac:dyDescent="0.2">
      <c r="E33" s="543" t="s">
        <v>943</v>
      </c>
      <c r="F33" s="540"/>
      <c r="G33" s="540" t="str">
        <f>IFERROR(IF(G28&gt;F28,ABS((G28-F28)/F28),-ABS((G28-F28)/F28)),"NM")</f>
        <v>NM</v>
      </c>
      <c r="H33" s="536">
        <f t="shared" ref="H33:M33" si="6">IFERROR(IF(H28&gt;G28,ABS((H28-G28)/G28),-ABS((H28-G28)/G28)),"NM")</f>
        <v>-5.2731306035677973E-2</v>
      </c>
      <c r="I33" s="536">
        <f t="shared" si="6"/>
        <v>-0.26218470995755477</v>
      </c>
      <c r="J33" s="536">
        <f t="shared" si="6"/>
        <v>-0.2422138464590359</v>
      </c>
      <c r="K33" s="536">
        <f t="shared" si="6"/>
        <v>0.7553228621291449</v>
      </c>
      <c r="L33" s="536">
        <f t="shared" si="6"/>
        <v>2.2270829190693973E-2</v>
      </c>
      <c r="M33" s="536">
        <f t="shared" si="6"/>
        <v>-9.0838358296051358E-2</v>
      </c>
      <c r="N33" s="536"/>
      <c r="O33" s="536">
        <f>IFERROR(IF(O28&gt;N28,ABS((O28-N28)/N28),-ABS((O28-N28)/N28)),"NM")</f>
        <v>-9.0838358296051358E-2</v>
      </c>
      <c r="P33" s="536">
        <f>IFERROR(IF(P28&gt;M28,ABS((P28-M28)/M28),-ABS((P28-M28)/M28)),"NM")</f>
        <v>0.35233019897304246</v>
      </c>
      <c r="Q33" s="536">
        <f>IFERROR(IF(Q28&gt;P28,ABS((Q28-P28)/P28),-ABS((Q28-P28)/P28)),"NM")</f>
        <v>5.2423479775202453E-2</v>
      </c>
    </row>
    <row r="34" spans="3:17" x14ac:dyDescent="0.2">
      <c r="E34" s="543" t="s">
        <v>947</v>
      </c>
      <c r="F34" s="541"/>
      <c r="G34" s="541" t="str">
        <f>IFERROR(IF(G30&gt;F30,ABS((G30-F30)/F30),-ABS((G30-F30)/F30)),"NM")</f>
        <v>NM</v>
      </c>
      <c r="H34" s="536" t="str">
        <f t="shared" ref="H34:M35" si="7">IFERROR(IF(H30&gt;G30,ABS((H30-G30)/G30),-ABS((H30-G30)/G30)),"NM")</f>
        <v>NM</v>
      </c>
      <c r="I34" s="536" t="str">
        <f t="shared" si="7"/>
        <v>NM</v>
      </c>
      <c r="J34" s="536" t="str">
        <f t="shared" si="7"/>
        <v>NM</v>
      </c>
      <c r="K34" s="536" t="str">
        <f t="shared" si="7"/>
        <v>NM</v>
      </c>
      <c r="L34" s="536" t="str">
        <f t="shared" si="7"/>
        <v>NM</v>
      </c>
      <c r="M34" s="536" t="str">
        <f t="shared" si="7"/>
        <v>NM</v>
      </c>
      <c r="N34" s="536"/>
      <c r="O34" s="536" t="str">
        <f>IFERROR(IF(O30&gt;N30,ABS((O30-N30)/N30),-ABS((O30-N30)/N30)),"NM")</f>
        <v>NM</v>
      </c>
      <c r="P34" s="536" t="str">
        <f>IFERROR(IF(P30&gt;M30,ABS((P30-M30)/M30),-ABS((P30-M30)/M30)),"NM")</f>
        <v>NM</v>
      </c>
      <c r="Q34" s="536" t="str">
        <f>IFERROR(IF(Q30&gt;P30,ABS((Q30-P30)/P30),-ABS((Q30-P30)/P30)),"NM")</f>
        <v>NM</v>
      </c>
    </row>
    <row r="35" spans="3:17" x14ac:dyDescent="0.2">
      <c r="E35" s="543" t="s">
        <v>948</v>
      </c>
      <c r="F35" s="541"/>
      <c r="G35" s="541" t="str">
        <f>IFERROR(IF(G31&gt;F31,ABS((G31-F31)/F31),-ABS((G31-F31)/F31)),"NM")</f>
        <v>NM</v>
      </c>
      <c r="H35" s="536" t="str">
        <f t="shared" si="7"/>
        <v>NM</v>
      </c>
      <c r="I35" s="536" t="str">
        <f t="shared" si="7"/>
        <v>NM</v>
      </c>
      <c r="J35" s="536" t="str">
        <f t="shared" si="7"/>
        <v>NM</v>
      </c>
      <c r="K35" s="536" t="str">
        <f t="shared" si="7"/>
        <v>NM</v>
      </c>
      <c r="L35" s="536" t="str">
        <f t="shared" si="7"/>
        <v>NM</v>
      </c>
      <c r="M35" s="536" t="str">
        <f t="shared" si="7"/>
        <v>NM</v>
      </c>
      <c r="N35" s="536"/>
      <c r="O35" s="536" t="str">
        <f>IFERROR(IF(O31&gt;N31,ABS((O31-N31)/N31),-ABS((O31-N31)/N31)),"NM")</f>
        <v>NM</v>
      </c>
      <c r="P35" s="536" t="str">
        <f>IFERROR(IF(P31&gt;M31,ABS((P31-M31)/M31),-ABS((P31-M31)/M31)),"NM")</f>
        <v>NM</v>
      </c>
      <c r="Q35" s="536" t="str">
        <f>IFERROR(IF(Q31&gt;P31,ABS((Q31-P31)/P31),-ABS((Q31-P31)/P31)),"NM")</f>
        <v>NM</v>
      </c>
    </row>
    <row r="36" spans="3:17" x14ac:dyDescent="0.2">
      <c r="C36" t="s">
        <v>949</v>
      </c>
      <c r="E36" s="543" t="s">
        <v>944</v>
      </c>
      <c r="F36" s="541"/>
      <c r="G36" s="541">
        <f>IFERROR(IF(NOT(ISNUMBER(_xll.ciqfunctions.udf.CIQ($B$1,$C36,G$1,$D$1,G$2,$D$2,$C$1))),_xll.ciqfunctions.udf.CIQ($B$1,$C36,G$1,$D$1,"O",$D$2,$C$1)/100,_xll.ciqfunctions.udf.CIQ($B$1,$C36,G$1,$D$1,G$2,$D$2,$C$1)/100),"NA")</f>
        <v>0</v>
      </c>
      <c r="H36" s="536">
        <f>IFERROR(IF(NOT(ISNUMBER(_xll.ciqfunctions.udf.CIQ($B$1,$C36,H$1,$D$1,H$2,$D$2,$C$1))),_xll.ciqfunctions.udf.CIQ($B$1,$C36,H$1,$D$1,"O",$D$2,$C$1)/100,_xll.ciqfunctions.udf.CIQ($B$1,$C36,H$1,$D$1,H$2,$D$2,$C$1)/100),"NA")</f>
        <v>0</v>
      </c>
      <c r="I36" s="536">
        <f>IFERROR(IF(NOT(ISNUMBER(_xll.ciqfunctions.udf.CIQ($B$1,$C36,I$1,$D$1,I$2,$D$2,$C$1))),_xll.ciqfunctions.udf.CIQ($B$1,$C36,I$1,$D$1,"O",$D$2,$C$1)/100,_xll.ciqfunctions.udf.CIQ($B$1,$C36,I$1,$D$1,I$2,$D$2,$C$1)/100),"NA")</f>
        <v>0</v>
      </c>
      <c r="J36" s="536">
        <f>IFERROR(IF(NOT(ISNUMBER(_xll.ciqfunctions.udf.CIQ($B$1,$C36,J$1,$D$1,J$2,$D$2,$C$1))),_xll.ciqfunctions.udf.CIQ($B$1,$C36,J$1,$D$1,"O",$D$2,$C$1)/100,_xll.ciqfunctions.udf.CIQ($B$1,$C36,J$1,$D$1,J$2,$D$2,$C$1)/100),"NA")</f>
        <v>0</v>
      </c>
      <c r="K36" s="536">
        <f>IFERROR(IF(NOT(ISNUMBER(_xll.ciqfunctions.udf.CIQ($B$1,$C36,K$1,$D$1,K$2,$D$2,$C$1))),_xll.ciqfunctions.udf.CIQ($B$1,$C36,K$1,$D$1,"O",$D$2,$C$1)/100,_xll.ciqfunctions.udf.CIQ($B$1,$C36,K$1,$D$1,K$2,$D$2,$C$1)/100),"NA")</f>
        <v>0</v>
      </c>
      <c r="L36" s="536">
        <f>IFERROR(IF(NOT(ISNUMBER(_xll.ciqfunctions.udf.CIQ($B$1,$C36,L$1,$D$1,L$2,$D$2,$C$1))),_xll.ciqfunctions.udf.CIQ($B$1,$C36,L$1,$D$1,"O",$D$2,$C$1)/100,_xll.ciqfunctions.udf.CIQ($B$1,$C36,L$1,$D$1,L$2,$D$2,$C$1)/100),"NA")</f>
        <v>0</v>
      </c>
      <c r="M36" s="536">
        <f>IFERROR(IF(NOT(ISNUMBER(_xll.ciqfunctions.udf.CIQ($B$1,$C36,M$1,$D$1,M$2,$D$2,$C$1))),_xll.ciqfunctions.udf.CIQ($B$1,$C36,M$1,$D$1,"O",$D$2,$C$1)/100,_xll.ciqfunctions.udf.CIQ($B$1,$C36,M$1,$D$1,M$2,$D$2,$C$1)/100),"NA")</f>
        <v>0</v>
      </c>
      <c r="N36" s="536">
        <f>IFERROR(IF(NOT(ISNUMBER(_xll.ciqfunctions.udf.CIQ($B$1,$C36,N$1,$D$1,N$2,$D$2,$C$1))),_xll.ciqfunctions.udf.CIQ($B$1,$C36,N$1,$D$1,"O",$D$2,$C$1)/100,_xll.ciqfunctions.udf.CIQ($B$1,$C36,N$1,$D$1,N$2,$D$2,$C$1)/100),"NA")</f>
        <v>0</v>
      </c>
      <c r="O36" s="536">
        <f>IFERROR(IF(NOT(ISNUMBER(_xll.ciqfunctions.udf.CIQ($B$1,$C36,O$1,$D$1,O$2,$D$2,$C$1))),_xll.ciqfunctions.udf.CIQ($B$1,$C36,O$1,$D$1,"O",$D$2,$C$1)/100,_xll.ciqfunctions.udf.CIQ($B$1,$C36,O$1,$D$1,O$2,$D$2,$C$1)/100),"NA")</f>
        <v>0</v>
      </c>
      <c r="P36" s="536" t="s">
        <v>942</v>
      </c>
      <c r="Q36" s="536" t="s">
        <v>942</v>
      </c>
    </row>
    <row r="37" spans="3:17" x14ac:dyDescent="0.2">
      <c r="E37" s="543" t="s">
        <v>945</v>
      </c>
      <c r="F37" s="541"/>
      <c r="G37" s="541" t="str">
        <f t="shared" ref="G37:Q37" si="8">IFERROR(G28/G$27,"NA")</f>
        <v>NA</v>
      </c>
      <c r="H37" s="536" t="str">
        <f t="shared" si="8"/>
        <v>NA</v>
      </c>
      <c r="I37" s="536" t="str">
        <f t="shared" si="8"/>
        <v>NA</v>
      </c>
      <c r="J37" s="536" t="str">
        <f t="shared" si="8"/>
        <v>NA</v>
      </c>
      <c r="K37" s="536" t="str">
        <f t="shared" si="8"/>
        <v>NA</v>
      </c>
      <c r="L37" s="536" t="str">
        <f t="shared" si="8"/>
        <v>NA</v>
      </c>
      <c r="M37" s="536" t="str">
        <f t="shared" si="8"/>
        <v>NA</v>
      </c>
      <c r="N37" s="536" t="str">
        <f t="shared" si="8"/>
        <v>NA</v>
      </c>
      <c r="O37" s="536" t="str">
        <f t="shared" si="8"/>
        <v>NA</v>
      </c>
      <c r="P37" s="536" t="str">
        <f t="shared" si="8"/>
        <v>NA</v>
      </c>
      <c r="Q37" s="536" t="str">
        <f t="shared" si="8"/>
        <v>NA</v>
      </c>
    </row>
  </sheetData>
  <pageMargins left="0.7" right="0.7" top="0.75" bottom="0.75" header="0.3" footer="0.3"/>
  <pageSetup orientation="portrait" horizontalDpi="4294967295" verticalDpi="4294967295" r:id="rId1"/>
  <ignoredErrors>
    <ignoredError sqref="P13:P16 P32:P35"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ZZ133"/>
  <sheetViews>
    <sheetView showGridLines="0" zoomScale="90" zoomScaleNormal="90" workbookViewId="0">
      <selection activeCell="B1" sqref="B1"/>
    </sheetView>
  </sheetViews>
  <sheetFormatPr defaultColWidth="9" defaultRowHeight="12.75" outlineLevelRow="1" outlineLevelCol="1" x14ac:dyDescent="0.2"/>
  <cols>
    <col min="1" max="1" width="2.625" style="421" customWidth="1"/>
    <col min="2" max="2" width="40" style="421" customWidth="1"/>
    <col min="3" max="3" width="75.625" style="421" customWidth="1"/>
    <col min="4" max="8" width="9" style="421"/>
    <col min="9" max="9" width="0" style="421" hidden="1" customWidth="1" outlineLevel="1"/>
    <col min="10" max="10" width="9" style="421" hidden="1" customWidth="1" outlineLevel="1"/>
    <col min="11" max="11" width="58" style="421" hidden="1" customWidth="1" outlineLevel="1"/>
    <col min="12" max="14" width="9" style="421" hidden="1" customWidth="1" outlineLevel="1"/>
    <col min="15" max="15" width="9" style="421" collapsed="1"/>
    <col min="16" max="700" width="9" style="421"/>
    <col min="701" max="701" width="122.25" style="421" customWidth="1"/>
    <col min="702" max="702" width="9" style="421" customWidth="1"/>
    <col min="703" max="16384" width="9" style="421"/>
  </cols>
  <sheetData>
    <row r="1" spans="1:702" outlineLevel="1" x14ac:dyDescent="0.2">
      <c r="A1" s="423"/>
      <c r="B1" s="858" t="str">
        <f>+Target</f>
        <v>NYSE:WMT</v>
      </c>
      <c r="C1" s="858" t="s">
        <v>1265</v>
      </c>
      <c r="I1" s="421">
        <v>1</v>
      </c>
      <c r="J1" s="421">
        <v>420</v>
      </c>
      <c r="N1" s="421">
        <f>VLOOKUP(ProfileType,$I$1:$J$2,2,0)</f>
        <v>420</v>
      </c>
      <c r="ZY1" s="1480"/>
    </row>
    <row r="2" spans="1:702" ht="13.5" outlineLevel="1" thickBot="1" x14ac:dyDescent="0.25">
      <c r="B2" s="859"/>
      <c r="C2" s="859"/>
      <c r="I2" s="421">
        <v>2</v>
      </c>
      <c r="J2" s="421">
        <v>460</v>
      </c>
    </row>
    <row r="3" spans="1:702" s="402" customFormat="1" ht="15.75" x14ac:dyDescent="0.2">
      <c r="B3" s="1252" t="s">
        <v>593</v>
      </c>
      <c r="C3" s="1275" t="str">
        <f>Input!$C$9</f>
        <v>Walmart Inc.</v>
      </c>
    </row>
    <row r="4" spans="1:702" x14ac:dyDescent="0.2">
      <c r="ZY4" s="1480"/>
      <c r="ZZ4" s="1480"/>
    </row>
    <row r="5" spans="1:702" s="511" customFormat="1" x14ac:dyDescent="0.2">
      <c r="B5" s="1477" t="s">
        <v>592</v>
      </c>
      <c r="C5" s="1478"/>
    </row>
    <row r="6" spans="1:702" s="511" customFormat="1" x14ac:dyDescent="0.2">
      <c r="B6" s="1481" t="s">
        <v>60</v>
      </c>
      <c r="C6" s="1482" t="s">
        <v>1282</v>
      </c>
    </row>
    <row r="7" spans="1:702" s="511" customFormat="1" x14ac:dyDescent="0.2">
      <c r="B7" s="1483" t="str">
        <f>VLOOKUP(Professionals!$J7,'CIQ Professionals'!$A$3:$J$13,3,0)</f>
        <v>McMillon, C.</v>
      </c>
      <c r="C7" s="1084" t="str">
        <f>VLOOKUP(Professionals!$J7,'CIQ Professionals'!$A$3:$J$13,4,0)</f>
        <v>President, CEO &amp; Director</v>
      </c>
      <c r="J7" s="511">
        <v>1</v>
      </c>
    </row>
    <row r="8" spans="1:702" s="511" customFormat="1" x14ac:dyDescent="0.2">
      <c r="B8" s="673" t="str">
        <f>VLOOKUP(Professionals!$J8,'CIQ Professionals'!$A$3:$J$13,3,0)</f>
        <v>Biggs, M.</v>
      </c>
      <c r="C8" s="1085" t="str">
        <f>VLOOKUP(Professionals!$J8,'CIQ Professionals'!$A$3:$J$13,4,0)</f>
        <v>Executive VP &amp; CFO</v>
      </c>
      <c r="J8" s="511">
        <v>2</v>
      </c>
    </row>
    <row r="9" spans="1:702" s="511" customFormat="1" x14ac:dyDescent="0.2">
      <c r="B9" s="673" t="str">
        <f>VLOOKUP(Professionals!$J9,'CIQ Professionals'!$A$3:$J$13,3,0)</f>
        <v>Kumar, Suresh</v>
      </c>
      <c r="C9" s="1085" t="str">
        <f>VLOOKUP(Professionals!$J9,'CIQ Professionals'!$A$3:$J$13,4,0)</f>
        <v>Global CTO, Chief Development Officer &amp; Executive VP</v>
      </c>
      <c r="J9" s="511">
        <v>3</v>
      </c>
    </row>
    <row r="10" spans="1:702" s="511" customFormat="1" x14ac:dyDescent="0.2">
      <c r="B10" s="673" t="str">
        <f>VLOOKUP(Professionals!$J10,'CIQ Professionals'!$A$3:$J$13,3,0)</f>
        <v>McKenna, Judith</v>
      </c>
      <c r="C10" s="1085" t="str">
        <f>VLOOKUP(Professionals!$J10,'CIQ Professionals'!$A$3:$J$13,4,0)</f>
        <v>Executive VP, President &amp; CEO of Walmart International</v>
      </c>
      <c r="J10" s="511">
        <v>4</v>
      </c>
    </row>
    <row r="11" spans="1:702" s="511" customFormat="1" x14ac:dyDescent="0.2">
      <c r="B11" s="673" t="str">
        <f>VLOOKUP(Professionals!$J11,'CIQ Professionals'!$A$3:$J$13,3,0)</f>
        <v>Furner, John</v>
      </c>
      <c r="C11" s="1085" t="str">
        <f>VLOOKUP(Professionals!$J11,'CIQ Professionals'!$A$3:$J$13,4,0)</f>
        <v>Executive VP, CEO &amp; President of Walmart US</v>
      </c>
      <c r="J11" s="511">
        <v>5</v>
      </c>
    </row>
    <row r="12" spans="1:702" s="511" customFormat="1" x14ac:dyDescent="0.2">
      <c r="B12" s="673" t="str">
        <f>VLOOKUP(Professionals!$J12,'CIQ Professionals'!$A$3:$J$13,3,0)</f>
        <v>McLay, Kathryn</v>
      </c>
      <c r="C12" s="1085" t="str">
        <f>VLOOKUP(Professionals!$J12,'CIQ Professionals'!$A$3:$J$13,4,0)</f>
        <v>Executive VP, President &amp; CEO of Sam’s Club Division</v>
      </c>
      <c r="J12" s="511">
        <v>6</v>
      </c>
    </row>
    <row r="13" spans="1:702" s="511" customFormat="1" x14ac:dyDescent="0.2">
      <c r="B13" s="673" t="str">
        <f>VLOOKUP(Professionals!$J13,'CIQ Professionals'!$A$3:$J$13,3,0)</f>
        <v>Nicholas, Christopher</v>
      </c>
      <c r="C13" s="1085" t="str">
        <f>VLOOKUP(Professionals!$J13,'CIQ Professionals'!$A$3:$J$13,4,0)</f>
        <v>Executive VP &amp; COO</v>
      </c>
      <c r="J13" s="511">
        <v>7</v>
      </c>
    </row>
    <row r="14" spans="1:702" s="511" customFormat="1" x14ac:dyDescent="0.2">
      <c r="B14" s="673" t="str">
        <f>VLOOKUP(Professionals!$J14,'CIQ Professionals'!$A$3:$J$13,3,0)</f>
        <v>Binder, Daniel</v>
      </c>
      <c r="C14" s="1085" t="str">
        <f>VLOOKUP(Professionals!$J14,'CIQ Professionals'!$A$3:$J$13,4,0)</f>
        <v>Senior Vice President of Investor Relations</v>
      </c>
      <c r="J14" s="511">
        <v>8</v>
      </c>
    </row>
    <row r="15" spans="1:702" s="511" customFormat="1" x14ac:dyDescent="0.2">
      <c r="B15" s="673" t="str">
        <f>VLOOKUP(Professionals!$J15,'CIQ Professionals'!$A$3:$J$13,3,0)</f>
        <v>Brand, Rachel</v>
      </c>
      <c r="C15" s="1085" t="str">
        <f>VLOOKUP(Professionals!$J15,'CIQ Professionals'!$A$3:$J$13,4,0)</f>
        <v>Executive VP of Global Governance, Chief Legal Officer &amp; Corporate Secretary</v>
      </c>
      <c r="J15" s="511">
        <v>9</v>
      </c>
    </row>
    <row r="16" spans="1:702" s="511" customFormat="1" x14ac:dyDescent="0.2">
      <c r="B16" s="675" t="str">
        <f>VLOOKUP(Professionals!$J16,'CIQ Professionals'!$A$3:$J$13,3,0)</f>
        <v>Miner, Matthew</v>
      </c>
      <c r="C16" s="1484" t="str">
        <f>VLOOKUP(Professionals!$J16,'CIQ Professionals'!$A$3:$J$13,4,0)</f>
        <v>Executive VP and Global Chief Ethics &amp; Compliance Officer</v>
      </c>
      <c r="J16" s="511">
        <v>10</v>
      </c>
    </row>
    <row r="17" spans="2:14" s="511" customFormat="1" x14ac:dyDescent="0.2"/>
    <row r="18" spans="2:14" x14ac:dyDescent="0.2">
      <c r="B18" s="1477" t="s">
        <v>1283</v>
      </c>
      <c r="C18" s="1478"/>
      <c r="J18" s="421">
        <v>0</v>
      </c>
      <c r="N18" s="421">
        <v>0</v>
      </c>
    </row>
    <row r="19" spans="2:14" x14ac:dyDescent="0.2">
      <c r="B19" s="1479" t="str">
        <f>VLOOKUP(Professionals!$J19,'CIQ Professionals'!$A$3:$J$13,3,0)</f>
        <v>McMillon, C.</v>
      </c>
      <c r="C19" s="1479" t="str">
        <f>VLOOKUP(Professionals!$J19,'CIQ Professionals'!$A$3:$J$13,4,0)</f>
        <v>President, CEO &amp; Director</v>
      </c>
      <c r="J19" s="681">
        <f>J18+1</f>
        <v>1</v>
      </c>
      <c r="L19" s="421">
        <v>204</v>
      </c>
      <c r="M19" s="421">
        <f t="shared" ref="M19:M50" si="0">IF(J18=0,L19,IF(J19=J18,M18,IF(M18+L19&gt;$N$1,L19,M18+L19)))</f>
        <v>204</v>
      </c>
      <c r="N19" s="421">
        <f t="shared" ref="N19:N50" si="1">IF(N18=0,1,IF(AND(J19&lt;&gt;J18,L19=M19),N18+1,N18))</f>
        <v>1</v>
      </c>
    </row>
    <row r="20" spans="2:14" ht="135" customHeight="1" x14ac:dyDescent="0.2">
      <c r="B20" s="1496" t="str">
        <f>VLOOKUP(Professionals!$J20,'CIQ Professionals'!$A$3:$J$13,5,0)</f>
        <v>Mr. C. Douglas McMillon, also known as Doug, has been the Chief Executive Officer and President of Walmart Inc. (formerly known as Wal-Mart Stores, Inc.) since February 1, 2014. Mr. McMillon served as the President and Chief Executive Officer of Wal-Mart International Operations at Walmart Inc. (formerly known as Wal-Mart Stores, Inc.) from February 1, 2009 to January 2014. He served as an Executive Vice President of Walmart Inc. (formerly known as Wal-Mart Stores, Inc.) since August 4, 2005. He served as the Chief Executive Officer of Sam's Club Discount Warehouse Stores Operations from August 4, 2005 to February 1, 2009. He served as the Chief Executive Officer and President of SAM'S West, Inc. from August 4, 2005 to January 2009. He was responsible for the overall corporate strategy and direction of Sam's Club. Mr. McMillon served as an Executive Vice President of Merchandising and Replenishment of Sam's Club of Walmart Inc. (formerly known as Wal-Mart Stores, Inc.) until August 2005. He worked two consecutive summers as an Associate at the Wal-Mart Distribution Centers in Northwest Arkansas. He served as a Buyer Trainee for Wal-Mart working in Store #894 in Tulsa, OK. Mr. McMillon served as a Buyer for Food and Candy, Ladieswear and Crafts, a Divisional Merchandise Manager for Home Furnishings and Infants and Toddlers, Vice President and General Merchandise Manager at Sam’s Club International and Senior Vice President and General Merchandise Manager at Walmart Inc. (formerly known as Wal-Mart Stores, Inc.), where he oversaw purchases for Toys, Electronics, Video Games, Photo, Sporting Goods, Stationary and Office Supplies. He serves as a Director of National Chapter of Students in Free Enterprise (SIFE). He has been a Director of Walmart Inc. (formerly known as Wal-Mart Stores, Inc.) since November 25, 2013. He serves as of Director of US-China Business Council, Inc. He serves on the Executive Board of Director of Center of Retailing Excellence at the University of Arkansas and on the Corporate Board of Advisors for National Council at La Raza. He has been a Director of Walmart Inc. (formerly known as Wal-Mart Stores, Inc.) since November 25, 2013. He served as Director of Massmart Holdings Limited from June 20, 2011 to August 20, 2012. He served as a Director of Wal-Mart de Mexico SAB De CV since 2009. He has been recognized as a Young Global Leader by the World Economic Forum. Mr. McMillon also serves as a member of the executive committee of the Business Roundtable, and serves as a member of the boards of directors of a number of organizations, including The Consumer Goods Forum, The US-China Business Council, and Crystal Bridges Museum of American Art. Mr. McMillon graduated from the University of Arkansas in Fayetteville, with a Bachelor of Science in Business Administration (BSBA) in Accounting. Mr. McMillon received an M.B.A. in Finance from the University of Tulsa. He was Chief Executive Officer and President of Walmart Inc. at Wal-Mart.com USA, LLC.</v>
      </c>
      <c r="C20" s="1497"/>
      <c r="J20" s="681">
        <v>1</v>
      </c>
      <c r="L20" s="421">
        <v>204</v>
      </c>
      <c r="M20" s="421">
        <f t="shared" si="0"/>
        <v>204</v>
      </c>
      <c r="N20" s="511">
        <f t="shared" si="1"/>
        <v>1</v>
      </c>
    </row>
    <row r="21" spans="2:14" ht="22.5" customHeight="1" x14ac:dyDescent="0.2">
      <c r="B21" s="1498" t="s">
        <v>1318</v>
      </c>
      <c r="C21" s="1497"/>
      <c r="J21" s="421">
        <v>1</v>
      </c>
      <c r="K21" s="511" t="str">
        <f>"Job functions: " &amp; VLOOKUP(Professionals!$J21,'CIQ Professionals'!$A$3:$J$13,10,0)</f>
        <v>Job functions: Chief Executive Officer, Member of the Board of Directors, President, Senior Key Executive(Prior), Unit CEO(Prior), Unit President(Prior)</v>
      </c>
      <c r="L21" s="421">
        <v>204</v>
      </c>
      <c r="M21" s="421">
        <f t="shared" si="0"/>
        <v>204</v>
      </c>
      <c r="N21" s="511">
        <f t="shared" si="1"/>
        <v>1</v>
      </c>
    </row>
    <row r="22" spans="2:14" ht="12.75" customHeight="1" x14ac:dyDescent="0.2">
      <c r="B22" s="1498" t="s">
        <v>1319</v>
      </c>
      <c r="C22" s="1497"/>
      <c r="J22" s="421">
        <v>1</v>
      </c>
      <c r="K22" s="511" t="str">
        <f>"Board Memberships: [Active] " &amp; VLOOKUP(Professionals!$J19,'CIQ Professionals'!$A$3:$J$13,8,0) &amp; " [Prior] " &amp; VLOOKUP(Professionals!$J22,'CIQ Professionals'!$A$3:$J$13,9,0)</f>
        <v>Board Memberships: [Active] Walmart Inc. [Prior] Massmart Holdings Limited, Wal-Mart de México, S.A.B. de C.V.</v>
      </c>
      <c r="L22" s="421">
        <v>204</v>
      </c>
      <c r="M22" s="421">
        <f t="shared" si="0"/>
        <v>204</v>
      </c>
      <c r="N22" s="511">
        <f t="shared" si="1"/>
        <v>1</v>
      </c>
    </row>
    <row r="23" spans="2:14" ht="21" customHeight="1" x14ac:dyDescent="0.2">
      <c r="B23" s="1486" t="s">
        <v>1320</v>
      </c>
      <c r="C23" s="1485"/>
      <c r="J23" s="421">
        <v>1</v>
      </c>
      <c r="K23" s="511" t="str">
        <f>"Other Company Affiliations:" &amp; IF(VLOOKUP(Professionals!$J20,'CIQ Professionals'!$A$3:$J$13,6,0)=Input!$C$9,""," [Active] " &amp; REPLACE(VLOOKUP(Professionals!$J20,'CIQ Professionals'!$A$3:$J$13,6,0),SEARCH(Input!$C$9,VLOOKUP(Professionals!$J20,'CIQ Professionals'!$A$3:$J$13,6,0),1), LEN(Input!$C$9)+1,"")) &amp; " [Prior] " &amp; VLOOKUP(Professionals!$J23,'CIQ Professionals'!$A$3:$J$13,7,0)</f>
        <v>Other Company Affiliations: [Prior] Sam's West, Inc., Wal-Mart Canada Corp., Wal-Mart de México, S.A.B. de C.V., Wal-Mart International, Wal-Mart.com USA, LLC</v>
      </c>
      <c r="L23" s="421">
        <v>204</v>
      </c>
      <c r="M23" s="421">
        <f t="shared" si="0"/>
        <v>204</v>
      </c>
      <c r="N23" s="511">
        <f t="shared" si="1"/>
        <v>1</v>
      </c>
    </row>
    <row r="24" spans="2:14" x14ac:dyDescent="0.2">
      <c r="B24" s="1479" t="str">
        <f>VLOOKUP(Professionals!$J24,'CIQ Professionals'!$A$3:$J$13,3,0)</f>
        <v>Biggs, M.</v>
      </c>
      <c r="C24" s="1479" t="str">
        <f>VLOOKUP(Professionals!$J24,'CIQ Professionals'!$A$3:$J$13,4,0)</f>
        <v>Executive VP &amp; CFO</v>
      </c>
      <c r="J24" s="421">
        <v>2</v>
      </c>
      <c r="K24" s="511"/>
      <c r="L24" s="421">
        <v>141</v>
      </c>
      <c r="M24" s="421">
        <f t="shared" si="0"/>
        <v>345</v>
      </c>
      <c r="N24" s="511">
        <f t="shared" si="1"/>
        <v>1</v>
      </c>
    </row>
    <row r="25" spans="2:14" ht="90" customHeight="1" x14ac:dyDescent="0.2">
      <c r="B25" s="1496" t="str">
        <f>VLOOKUP(Professionals!$J25,'CIQ Professionals'!$A$3:$J$13,5,0)</f>
        <v>Mr. M. Brett Biggs serves as Director at Adobe Inc since January 10, 2022. He has been the Chief Financial Officer and Executive Vice President at Walmart Inc. (formerly known as Wal-Mart Stores, Inc.) since January 1, 2016., where he is responsible for all global finance and indirect procurement functions as well as corporate strategy. His oversight has also included the company’s global Enterprise Business Services work to drive innovation and deliver digital technology and finance transformation initiatives worldwide. Mr. Biggs served as the Executive Vice President &amp; Chief Financial Officer of International Division at Walmart Inc. (formerly known as Wal-Mart Stores, Inc.) from January 2014 to December 31, 2015. He joined Wal-Mart in 2000 and is responsible for all financial activities and strategy for Sam’s Club. Mr. Biggs worked in all of the retailer's three major divisions since 2000. Mr. Biggs served as Chief Financial Officer of Sam's West, Inc. He served as Chief Financial Officer of Walmart U.S. from January 2013 to January 2014 and held senior positions in the Sam's Club division before that. Previous to that, he served in various capacities including Senior Vice President of Global Finance and Senior Vice President of International Strategy and Mergers &amp; Acquisitions. He serves on the American Red Cross Board of Governors, Walton Arts Center Board and the Board of Regents at Pepperdine University. Within Walmart, he serves on the Walmart Foundation Board and is an executive sponsor for the Hispanic/Latino Resource Group. He led the strategy and execution for Wal-Mart’s entry into Japan and India as well as acquisitions and Partnerships in China, the U.K., Brazil and Central America. He was Senior Vice President of Corporate Finance and Senior Vice President of Operations for Sam’s Club. Prior to joining Wal-Mart, Mr. Biggs served various M&amp;A and corporate finance positions with Leggett &amp; Platt, a Fortune 500 diversified manufacturing company, Phillips Petroleum Co. and Price Waterhouse. He served as a Director of Wal-Mart de Mexico SAB De CV since 2014 until 2016. Mr. Biggs graduated Summa Cum Laude from Harding University with a B.A. in Accounting and an MBA with Honors from Oklahoma State University.</v>
      </c>
      <c r="C25" s="1497"/>
      <c r="J25" s="421">
        <v>2</v>
      </c>
      <c r="L25" s="421">
        <v>141</v>
      </c>
      <c r="M25" s="421">
        <f t="shared" si="0"/>
        <v>345</v>
      </c>
      <c r="N25" s="511">
        <f t="shared" si="1"/>
        <v>1</v>
      </c>
    </row>
    <row r="26" spans="2:14" ht="12.75" customHeight="1" x14ac:dyDescent="0.2">
      <c r="B26" s="1498" t="s">
        <v>1321</v>
      </c>
      <c r="C26" s="1497"/>
      <c r="J26" s="421">
        <v>2</v>
      </c>
      <c r="K26" s="511" t="str">
        <f>"Job functions: " &amp; VLOOKUP(Professionals!$J26,'CIQ Professionals'!$A$3:$J$13,10,0)</f>
        <v>Job functions: Chief Financial Officer, Finance and Accounting Professional(Prior), Senior Key Executive(Prior)</v>
      </c>
      <c r="L26" s="421">
        <v>141</v>
      </c>
      <c r="M26" s="421">
        <f t="shared" si="0"/>
        <v>345</v>
      </c>
      <c r="N26" s="511">
        <f t="shared" si="1"/>
        <v>1</v>
      </c>
    </row>
    <row r="27" spans="2:14" ht="12.75" customHeight="1" x14ac:dyDescent="0.2">
      <c r="B27" s="1498" t="s">
        <v>1292</v>
      </c>
      <c r="C27" s="1497"/>
      <c r="J27" s="421">
        <v>2</v>
      </c>
      <c r="K27" s="511" t="str">
        <f>"Board Memberships: [Active] " &amp; VLOOKUP(Professionals!$J24,'CIQ Professionals'!$A$3:$J$13,8,0) &amp; " [Prior] " &amp; VLOOKUP(Professionals!$J27,'CIQ Professionals'!$A$3:$J$13,9,0)</f>
        <v>Board Memberships: [Active] Adobe Inc. [Prior] Wal-Mart de México, S.A.B. de C.V.</v>
      </c>
      <c r="L27" s="421">
        <v>141</v>
      </c>
      <c r="M27" s="421">
        <f t="shared" si="0"/>
        <v>345</v>
      </c>
      <c r="N27" s="511">
        <f t="shared" si="1"/>
        <v>1</v>
      </c>
    </row>
    <row r="28" spans="2:14" ht="13.15" customHeight="1" x14ac:dyDescent="0.2">
      <c r="B28" s="1486" t="s">
        <v>1322</v>
      </c>
      <c r="C28" s="1485"/>
      <c r="J28" s="421">
        <v>2</v>
      </c>
      <c r="K28" s="511" t="str">
        <f>"Other Company Affiliations:" &amp; IF(VLOOKUP(Professionals!$J25,'CIQ Professionals'!$A$3:$J$13,6,0)=Input!$C$9,""," [Active] " &amp; REPLACE(VLOOKUP(Professionals!$J25,'CIQ Professionals'!$A$3:$J$13,6,0),SEARCH(Input!$C$9,VLOOKUP(Professionals!$J25,'CIQ Professionals'!$A$3:$J$13,6,0),1), LEN(Input!$C$9)+1,"")) &amp; " [Prior] " &amp; VLOOKUP(Professionals!$J28,'CIQ Professionals'!$A$3:$J$13,7,0)</f>
        <v>Other Company Affiliations: [Prior] Sam's West, Inc.</v>
      </c>
      <c r="L28" s="421">
        <v>141</v>
      </c>
      <c r="M28" s="421">
        <f t="shared" si="0"/>
        <v>345</v>
      </c>
      <c r="N28" s="511">
        <f t="shared" si="1"/>
        <v>1</v>
      </c>
    </row>
    <row r="29" spans="2:14" x14ac:dyDescent="0.2">
      <c r="B29" s="1479" t="str">
        <f>VLOOKUP(Professionals!$J29,'CIQ Professionals'!$A$3:$J$13,3,0)</f>
        <v>Kumar, Suresh</v>
      </c>
      <c r="C29" s="1479" t="str">
        <f>VLOOKUP(Professionals!$J29,'CIQ Professionals'!$A$3:$J$13,4,0)</f>
        <v>Global CTO, Chief Development Officer &amp; Executive VP</v>
      </c>
      <c r="J29" s="511">
        <v>3</v>
      </c>
      <c r="L29" s="421">
        <v>141</v>
      </c>
      <c r="M29" s="421">
        <f t="shared" si="0"/>
        <v>141</v>
      </c>
      <c r="N29" s="511">
        <f t="shared" si="1"/>
        <v>2</v>
      </c>
    </row>
    <row r="30" spans="2:14" ht="90" customHeight="1" x14ac:dyDescent="0.2">
      <c r="B30" s="1496" t="str">
        <f>VLOOKUP(Professionals!$J30,'CIQ Professionals'!$A$3:$J$13,5,0)</f>
        <v>Mr. Suresh Kumar serves as Director at Flipkart Online Services Pvt. Ltd. since 2021. Mr. Kumar serves as  Executive Vice President, Global Chief Technology Officer and Chief Development Officer at Walmart Inc. since July 2019. He has experience of technology leadership experience coming from Google, Microsoft, Amazon and IBM. He was most recently at Google, serving as vice president and general manager of display, video, app ads and analytics. From February 2018 until June 2019, Mr. Kumar was Vice President and General Manager at Google LLC. Prior to Google, he was the corporate vice president of Microsoft’s cloud infrastructure and operations from May 2014 to February 2018. He spent 15 years at Amazon in various leadership roles, including vice president of technology for retail systems and operations, and he led Amazon’s retail supply chain and inventory management systems. Before Amazon, he was a research staff member at the IBM Thomas J. Watson Research Center. He holds a PhD in Engineering from Princeton University, and a Bachelor of Technology from the Indian Institute of Technology, Madras.</v>
      </c>
      <c r="C30" s="1497"/>
      <c r="J30" s="511">
        <v>3</v>
      </c>
      <c r="L30" s="421">
        <v>141</v>
      </c>
      <c r="M30" s="421">
        <f t="shared" si="0"/>
        <v>141</v>
      </c>
      <c r="N30" s="511">
        <f t="shared" si="1"/>
        <v>2</v>
      </c>
    </row>
    <row r="31" spans="2:14" ht="12.75" customHeight="1" x14ac:dyDescent="0.2">
      <c r="B31" s="1498" t="s">
        <v>1323</v>
      </c>
      <c r="C31" s="1497"/>
      <c r="J31" s="511">
        <v>3</v>
      </c>
      <c r="K31" s="511" t="str">
        <f>"Job functions: " &amp; VLOOKUP(Professionals!$J31,'CIQ Professionals'!$A$3:$J$13,10,0)</f>
        <v>Job functions: Chief Technology Officer</v>
      </c>
      <c r="L31" s="421">
        <v>141</v>
      </c>
      <c r="M31" s="421">
        <f t="shared" si="0"/>
        <v>141</v>
      </c>
      <c r="N31" s="511">
        <f t="shared" si="1"/>
        <v>2</v>
      </c>
    </row>
    <row r="32" spans="2:14" ht="12.75" customHeight="1" x14ac:dyDescent="0.2">
      <c r="B32" s="1498" t="s">
        <v>1292</v>
      </c>
      <c r="C32" s="1497"/>
      <c r="J32" s="511">
        <v>3</v>
      </c>
      <c r="K32" s="511" t="str">
        <f>"Board Memberships: [Active] " &amp; VLOOKUP(Professionals!$J29,'CIQ Professionals'!$A$3:$J$13,8,0) &amp; " [Prior] " &amp; VLOOKUP(Professionals!$J32,'CIQ Professionals'!$A$3:$J$13,9,0)</f>
        <v>Board Memberships: [Active] Flipkart Online Services Pvt. Ltd. [Prior] 0</v>
      </c>
      <c r="L32" s="421">
        <v>141</v>
      </c>
      <c r="M32" s="421">
        <f t="shared" si="0"/>
        <v>141</v>
      </c>
      <c r="N32" s="511">
        <f t="shared" si="1"/>
        <v>2</v>
      </c>
    </row>
    <row r="33" spans="2:14" ht="13.15" customHeight="1" x14ac:dyDescent="0.2">
      <c r="B33" s="1486" t="s">
        <v>1320</v>
      </c>
      <c r="C33" s="1485"/>
      <c r="J33" s="511">
        <v>3</v>
      </c>
      <c r="K33" s="511" t="str">
        <f>"Other Company Affiliations:" &amp; IF(VLOOKUP(Professionals!$J30,'CIQ Professionals'!$A$3:$J$13,6,0)=Input!$C$9,""," [Active] " &amp; REPLACE(VLOOKUP(Professionals!$J30,'CIQ Professionals'!$A$3:$J$13,6,0),SEARCH(Input!$C$9,VLOOKUP(Professionals!$J30,'CIQ Professionals'!$A$3:$J$13,6,0),1), LEN(Input!$C$9)+1,"")) &amp; " [Prior] " &amp; VLOOKUP(Professionals!$J33,'CIQ Professionals'!$A$3:$J$13,7,0)</f>
        <v>Other Company Affiliations: [Prior] 0</v>
      </c>
      <c r="L33" s="421">
        <v>141</v>
      </c>
      <c r="M33" s="421">
        <f t="shared" si="0"/>
        <v>141</v>
      </c>
      <c r="N33" s="511">
        <f t="shared" si="1"/>
        <v>2</v>
      </c>
    </row>
    <row r="34" spans="2:14" x14ac:dyDescent="0.2">
      <c r="B34" s="1479" t="str">
        <f>VLOOKUP(Professionals!$J34,'CIQ Professionals'!$A$3:$J$13,3,0)</f>
        <v>McKenna, Judith</v>
      </c>
      <c r="C34" s="1479" t="str">
        <f>VLOOKUP(Professionals!$J34,'CIQ Professionals'!$A$3:$J$13,4,0)</f>
        <v>Executive VP, President &amp; CEO of Walmart International</v>
      </c>
      <c r="J34" s="511">
        <v>4</v>
      </c>
      <c r="L34" s="421">
        <v>152.25</v>
      </c>
      <c r="M34" s="421">
        <f t="shared" si="0"/>
        <v>293.25</v>
      </c>
      <c r="N34" s="511">
        <f t="shared" si="1"/>
        <v>2</v>
      </c>
    </row>
    <row r="35" spans="2:14" ht="101.25" customHeight="1" x14ac:dyDescent="0.2">
      <c r="B35" s="1496" t="str">
        <f>VLOOKUP(Professionals!$J35,'CIQ Professionals'!$A$3:$J$13,5,0)</f>
        <v>Ms. Judith McKenna has been President and Chief Executive Officer of Walmart International since February 1, 2018. Ms. McKenna has been Executive Vice President, President and Chief Executive Officer (CEO) of Walmart International at Walmart Inc. (formerly known as Wal-Mart Stores, Inc.) since February 1, 2018. Ms. McKenna served as the Chief Operating Officer at Wal-Mart.com USA, LLC from February 2015 to January 2018 and Executive Vice President since April 2014 with responsibilities for its U.S. store operations, including more than 4,500 retail locations. Ms. McKenna served as Chief Development Officer of Walmart Inc. (formerly known as Wal-Mart Stores, Inc.) from April 2014 to February 2015. She led the strategy, development and growth of Walmart’s small-format business and Walmart Services, as well as the development of new formats and the integration of digital commerce into existing store formats. She served as Executive Vice President of Strategy and International Development for Walmart International from April 2013 to April 2014. There, she led several areas including international strategy, real estate, mergers and acquisitions, integration, global format development and purchase leverage. She served as the Chief Operating Officer of ASDA Group Ltd. from July 2011 to April 2013 and ASDA Stores Limited. Ms. McKenna served in a variety of roles since joining Walmart Inc. (formerly known as Wal-Mart Stores, Inc.) in 1996, including as the Chief Financial Officer of ASDA Group Ltd. She has been Director of Wal-Mart Stores (UK) Ltd Since April 29, 2018. She is a passionate ambassador for diversity and a respected judge for a number of equality and diversity awards in the U.K. She is a Trustee of Asda’s Tickled Pink charity which has raised $58 million for Breast Cancer charities over the last 17 years and in 2012 she was awarded the prestigious “Retail Woman of the Year” award. Prior to joining Asda, she worked at Allied Domecq in the leisure and brewing industry in a variety of finance roles. She graduated with an honours degree in law from Hull University in England before gaining her ICAEW accounting qualification at KPMG, one of the U.K.’s leading accounting firms. In 2013, she was awarded an honorary doctorate in law from Hull University.</v>
      </c>
      <c r="C35" s="1497"/>
      <c r="J35" s="511">
        <v>4</v>
      </c>
      <c r="L35" s="421">
        <v>152.25</v>
      </c>
      <c r="M35" s="421">
        <f t="shared" si="0"/>
        <v>293.25</v>
      </c>
      <c r="N35" s="511">
        <f t="shared" si="1"/>
        <v>2</v>
      </c>
    </row>
    <row r="36" spans="2:14" ht="12.75" customHeight="1" x14ac:dyDescent="0.2">
      <c r="B36" s="1498" t="s">
        <v>1324</v>
      </c>
      <c r="C36" s="1497"/>
      <c r="J36" s="511">
        <v>4</v>
      </c>
      <c r="K36" s="511" t="str">
        <f>"Job functions: " &amp; VLOOKUP(Professionals!$J36,'CIQ Professionals'!$A$3:$J$13,10,0)</f>
        <v>Job functions: Operations Professional(Prior), Other Key Executive(Prior), Senior Key Executive</v>
      </c>
      <c r="L36" s="421">
        <v>152.25</v>
      </c>
      <c r="M36" s="421">
        <f t="shared" si="0"/>
        <v>293.25</v>
      </c>
      <c r="N36" s="511">
        <f t="shared" si="1"/>
        <v>2</v>
      </c>
    </row>
    <row r="37" spans="2:14" ht="12.75" customHeight="1" x14ac:dyDescent="0.2">
      <c r="B37" s="1498" t="s">
        <v>1292</v>
      </c>
      <c r="C37" s="1497"/>
      <c r="J37" s="511">
        <v>4</v>
      </c>
      <c r="K37" s="511" t="str">
        <f>"Board Memberships: [Active] " &amp; VLOOKUP(Professionals!$J34,'CIQ Professionals'!$A$3:$J$13,8,0) &amp; " [Prior] " &amp; VLOOKUP(Professionals!$J37,'CIQ Professionals'!$A$3:$J$13,9,0)</f>
        <v>Board Memberships: [Active] Wal-Mart Stores (UK) Limited [Prior] 0</v>
      </c>
      <c r="L37" s="421">
        <v>152.25</v>
      </c>
      <c r="M37" s="421">
        <f t="shared" si="0"/>
        <v>293.25</v>
      </c>
      <c r="N37" s="511">
        <f t="shared" si="1"/>
        <v>2</v>
      </c>
    </row>
    <row r="38" spans="2:14" ht="13.15" customHeight="1" x14ac:dyDescent="0.2">
      <c r="B38" s="1486" t="s">
        <v>1325</v>
      </c>
      <c r="C38" s="1485"/>
      <c r="J38" s="511">
        <v>4</v>
      </c>
      <c r="K38" s="511" t="str">
        <f>"Other Company Affiliations:" &amp; IF(VLOOKUP(Professionals!$J35,'CIQ Professionals'!$A$3:$J$13,6,0)=Input!$C$9,""," [Active] " &amp; REPLACE(VLOOKUP(Professionals!$J35,'CIQ Professionals'!$A$3:$J$13,6,0),SEARCH(Input!$C$9,VLOOKUP(Professionals!$J35,'CIQ Professionals'!$A$3:$J$13,6,0),1), LEN(Input!$C$9)+1,"")) &amp; " [Prior] " &amp; VLOOKUP(Professionals!$J38,'CIQ Professionals'!$A$3:$J$13,7,0)</f>
        <v>Other Company Affiliations: [Active] Wal-Mart International,  [Prior] ASDA Group Limited, Asda Stores Limited, Wal-Mart.com USA, LLC</v>
      </c>
      <c r="L38" s="421">
        <v>152.25</v>
      </c>
      <c r="M38" s="421">
        <f t="shared" si="0"/>
        <v>293.25</v>
      </c>
      <c r="N38" s="511">
        <f t="shared" si="1"/>
        <v>2</v>
      </c>
    </row>
    <row r="39" spans="2:14" x14ac:dyDescent="0.2">
      <c r="B39" s="1479" t="str">
        <f>VLOOKUP(Professionals!$J39,'CIQ Professionals'!$A$3:$J$13,3,0)</f>
        <v>Furner, John</v>
      </c>
      <c r="C39" s="1479" t="str">
        <f>VLOOKUP(Professionals!$J39,'CIQ Professionals'!$A$3:$J$13,4,0)</f>
        <v>Executive VP, CEO &amp; President of Walmart US</v>
      </c>
      <c r="J39" s="511">
        <v>5</v>
      </c>
      <c r="L39" s="421">
        <v>118.5</v>
      </c>
      <c r="M39" s="421">
        <f t="shared" si="0"/>
        <v>411.75</v>
      </c>
      <c r="N39" s="511">
        <f t="shared" si="1"/>
        <v>2</v>
      </c>
    </row>
    <row r="40" spans="2:14" ht="67.5" customHeight="1" x14ac:dyDescent="0.2">
      <c r="B40" s="1496" t="str">
        <f>VLOOKUP(Professionals!$J40,'CIQ Professionals'!$A$3:$J$13,5,0)</f>
        <v>Mr. John R. Furner serves as Executive Vice President of Walmart Inc. and has been its President &amp; Chief Executive Officer of Walmart U.S. since November 2019. Mr. Furner has been President and Chief Executive Officer of Wal-Mart.com USA, LLC, since November 1, 2019. He served as Executive Vice President, Chief Executive Officer and President of Sam’s Club at Walmart Inc. (formerly known as Wal-Mart Stor</v>
      </c>
      <c r="C40" s="1497"/>
      <c r="J40" s="511">
        <v>5</v>
      </c>
      <c r="L40" s="421">
        <v>118.5</v>
      </c>
      <c r="M40" s="421">
        <f t="shared" si="0"/>
        <v>411.75</v>
      </c>
      <c r="N40" s="511">
        <f t="shared" si="1"/>
        <v>2</v>
      </c>
    </row>
    <row r="41" spans="2:14" ht="12.75" customHeight="1" x14ac:dyDescent="0.2">
      <c r="B41" s="1498" t="s">
        <v>1326</v>
      </c>
      <c r="C41" s="1497"/>
      <c r="J41" s="511">
        <v>5</v>
      </c>
      <c r="K41" s="511" t="str">
        <f>"Job functions: " &amp; VLOOKUP(Professionals!$J41,'CIQ Professionals'!$A$3:$J$13,10,0)</f>
        <v>Job functions: Marketing Professional(Prior), Senior Key Executive, Senior Key Executive(Prior)</v>
      </c>
      <c r="L41" s="421">
        <v>118.5</v>
      </c>
      <c r="M41" s="421">
        <f t="shared" si="0"/>
        <v>411.75</v>
      </c>
      <c r="N41" s="511">
        <f t="shared" si="1"/>
        <v>2</v>
      </c>
    </row>
    <row r="42" spans="2:14" ht="12.75" customHeight="1" x14ac:dyDescent="0.2">
      <c r="B42" s="1498" t="s">
        <v>1292</v>
      </c>
      <c r="C42" s="1497"/>
      <c r="J42" s="511">
        <v>5</v>
      </c>
      <c r="K42" s="511" t="str">
        <f>"Board Memberships: [Active] " &amp; VLOOKUP(Professionals!$J39,'CIQ Professionals'!$A$3:$J$13,8,0) &amp; " [Prior] " &amp; VLOOKUP(Professionals!$J42,'CIQ Professionals'!$A$3:$J$13,9,0)</f>
        <v>Board Memberships: [Active] 0 [Prior] 0</v>
      </c>
      <c r="L42" s="421">
        <v>118.5</v>
      </c>
      <c r="M42" s="421">
        <f t="shared" si="0"/>
        <v>411.75</v>
      </c>
      <c r="N42" s="511">
        <f t="shared" si="1"/>
        <v>2</v>
      </c>
    </row>
    <row r="43" spans="2:14" ht="13.15" customHeight="1" x14ac:dyDescent="0.2">
      <c r="B43" s="1486" t="s">
        <v>1327</v>
      </c>
      <c r="C43" s="1485"/>
      <c r="J43" s="511">
        <v>5</v>
      </c>
      <c r="K43" s="511" t="str">
        <f>"Other Company Affiliations:" &amp; IF(VLOOKUP(Professionals!$J40,'CIQ Professionals'!$A$3:$J$13,6,0)=Input!$C$9,""," [Active] " &amp; REPLACE(VLOOKUP(Professionals!$J40,'CIQ Professionals'!$A$3:$J$13,6,0),SEARCH(Input!$C$9,VLOOKUP(Professionals!$J40,'CIQ Professionals'!$A$3:$J$13,6,0),1), LEN(Input!$C$9)+1,"")) &amp; " [Prior] " &amp; VLOOKUP(Professionals!$J43,'CIQ Professionals'!$A$3:$J$13,7,0)</f>
        <v>Other Company Affiliations: [Prior] Sam's West, Inc., Wal-Mart.com USA, LLC</v>
      </c>
      <c r="L43" s="421">
        <v>118.5</v>
      </c>
      <c r="M43" s="421">
        <f t="shared" si="0"/>
        <v>411.75</v>
      </c>
      <c r="N43" s="511">
        <f t="shared" si="1"/>
        <v>2</v>
      </c>
    </row>
    <row r="44" spans="2:14" x14ac:dyDescent="0.2">
      <c r="B44" s="1479" t="str">
        <f>VLOOKUP(Professionals!$J44,'CIQ Professionals'!$A$3:$J$13,3,0)</f>
        <v>McLay, Kathryn</v>
      </c>
      <c r="C44" s="1479" t="str">
        <f>VLOOKUP(Professionals!$J44,'CIQ Professionals'!$A$3:$J$13,4,0)</f>
        <v>Executive VP, President &amp; CEO of Sam’s Club Division</v>
      </c>
      <c r="J44" s="511">
        <v>6</v>
      </c>
      <c r="L44" s="421">
        <v>163.5</v>
      </c>
      <c r="M44" s="421">
        <f t="shared" si="0"/>
        <v>163.5</v>
      </c>
      <c r="N44" s="511">
        <f t="shared" si="1"/>
        <v>3</v>
      </c>
    </row>
    <row r="45" spans="2:14" ht="112.5" customHeight="1" x14ac:dyDescent="0.2">
      <c r="B45" s="1496" t="str">
        <f>VLOOKUP(Professionals!$J45,'CIQ Professionals'!$A$3:$J$13,5,0)</f>
        <v>Ms. Kathryn McLay has been Corporate Executive Vice President, President and Chief Executive Officer at Sam's West, Inc. since November 15, 2019. She has been Executive Vice President, President and Chief Executive Officer of Sam’s Club Division at Walmart Inc. since November 15, 2019. She served as Executive Vice President of Neighborhood Markets, Walmart U.S. since February 2019 until November 15, 2019. Her responsibilities include the growth and overall operations of Neighborhood Markets across the U.S. Ms. McLay joined Walmart in April 2015 as the Vice President of U.S. Finance and Strategy, where she led the Legacy strategy – a set of initiatives identified by Walmart U.S. as critical to transforming the U.S. business. She was then promoted to Senior Vice President of supply chain, where she had oversight of U.S. flow. In this role, she led the organization to develop an integrated end-to-end Walmart U.S. supply chain. In addition to her strategic role, she led the Import and Reverse Supply Chain teams, where she was responsible for ensuring product flows throughout international and domestic distribution channels to and from stores at the right time and with the highest quality. Ms. McLay commenced her career in 1992 at Deloitte as an undergraduate cadet .After years in both external and internal audit, she moved to Qantas where she was promoted to Internal Audit Manager. In 2001, Kathryn joined Australian retailer Woolworths as the Corporate Audit Manager and completed her professional studies as a Certified Internal Auditor. In 2004, Ms. McLay was appointed Head of Audit reporting to the CEO and the Audit Committee Chair. In 2007, she was selected as the General Manager for Business Development and subsequently held executive leadership roles throughout Woolworths’ retail and supply chain, including the General Manager for Cost, Northern Logistics Operations Manager for warehousing and transportation, and General Manager of Replenishment. She also played an active role within the professional auditing and retailing communities. In 2004, she joined the Board of the Institute of Internal Auditors as a Director. She was later appointed as President and Chairman of the Institute of Internal Auditors in 2007. In 2012, Ms. McLay was also appointed to the Board of ECRA, an industry Board comprised of Retailers and Suppliers. She finished her business degree and her postgraduate studies in psychology.</v>
      </c>
      <c r="C45" s="1497"/>
      <c r="J45" s="511">
        <v>6</v>
      </c>
      <c r="L45" s="421">
        <v>163.5</v>
      </c>
      <c r="M45" s="421">
        <f t="shared" si="0"/>
        <v>163.5</v>
      </c>
      <c r="N45" s="511">
        <f t="shared" si="1"/>
        <v>3</v>
      </c>
    </row>
    <row r="46" spans="2:14" ht="12.75" customHeight="1" x14ac:dyDescent="0.2">
      <c r="B46" s="1498" t="s">
        <v>1328</v>
      </c>
      <c r="C46" s="1497"/>
      <c r="J46" s="511">
        <v>6</v>
      </c>
      <c r="K46" s="511" t="str">
        <f>"Job functions: " &amp; VLOOKUP(Professionals!$J46,'CIQ Professionals'!$A$3:$J$13,10,0)</f>
        <v>Job functions: Senior Key Executive</v>
      </c>
      <c r="L46" s="421">
        <v>163.5</v>
      </c>
      <c r="M46" s="421">
        <f t="shared" si="0"/>
        <v>163.5</v>
      </c>
      <c r="N46" s="511">
        <f t="shared" si="1"/>
        <v>3</v>
      </c>
    </row>
    <row r="47" spans="2:14" ht="12.75" customHeight="1" x14ac:dyDescent="0.2">
      <c r="B47" s="1498" t="s">
        <v>1292</v>
      </c>
      <c r="C47" s="1497"/>
      <c r="J47" s="511">
        <v>6</v>
      </c>
      <c r="K47" s="511" t="str">
        <f>"Board Memberships: [Active] " &amp; VLOOKUP(Professionals!$J44,'CIQ Professionals'!$A$3:$J$13,8,0) &amp; " [Prior] " &amp; VLOOKUP(Professionals!$J47,'CIQ Professionals'!$A$3:$J$13,9,0)</f>
        <v>Board Memberships: [Active] 0 [Prior] 0</v>
      </c>
      <c r="L47" s="421">
        <v>163.5</v>
      </c>
      <c r="M47" s="421">
        <f t="shared" si="0"/>
        <v>163.5</v>
      </c>
      <c r="N47" s="511">
        <f t="shared" si="1"/>
        <v>3</v>
      </c>
    </row>
    <row r="48" spans="2:14" ht="13.15" customHeight="1" x14ac:dyDescent="0.2">
      <c r="B48" s="1486" t="s">
        <v>1320</v>
      </c>
      <c r="C48" s="1485"/>
      <c r="J48" s="511">
        <v>6</v>
      </c>
      <c r="K48" s="511" t="str">
        <f>"Other Company Affiliations:" &amp; IF(VLOOKUP(Professionals!$J45,'CIQ Professionals'!$A$3:$J$13,6,0)=Input!$C$9,""," [Active] " &amp; REPLACE(VLOOKUP(Professionals!$J45,'CIQ Professionals'!$A$3:$J$13,6,0),SEARCH(Input!$C$9,VLOOKUP(Professionals!$J45,'CIQ Professionals'!$A$3:$J$13,6,0),1), LEN(Input!$C$9)+1,"")) &amp; " [Prior] " &amp; VLOOKUP(Professionals!$J48,'CIQ Professionals'!$A$3:$J$13,7,0)</f>
        <v>Other Company Affiliations: [Active] Sam's West, Inc.,  [Prior] 0</v>
      </c>
      <c r="L48" s="421">
        <v>163.5</v>
      </c>
      <c r="M48" s="421">
        <f t="shared" si="0"/>
        <v>163.5</v>
      </c>
      <c r="N48" s="511">
        <f t="shared" si="1"/>
        <v>3</v>
      </c>
    </row>
    <row r="49" spans="2:14" x14ac:dyDescent="0.2">
      <c r="B49" s="1479" t="str">
        <f>VLOOKUP(Professionals!$J49,'CIQ Professionals'!$A$3:$J$13,3,0)</f>
        <v>Nicholas, Christopher</v>
      </c>
      <c r="C49" s="1479" t="str">
        <f>VLOOKUP(Professionals!$J49,'CIQ Professionals'!$A$3:$J$13,4,0)</f>
        <v>Executive VP &amp; COO</v>
      </c>
      <c r="J49" s="511">
        <v>7</v>
      </c>
      <c r="L49" s="421">
        <v>253.5</v>
      </c>
      <c r="M49" s="421">
        <f t="shared" si="0"/>
        <v>417</v>
      </c>
      <c r="N49" s="511">
        <f t="shared" si="1"/>
        <v>3</v>
      </c>
    </row>
    <row r="50" spans="2:14" ht="202.5" customHeight="1" x14ac:dyDescent="0.2">
      <c r="B50" s="1496" t="str">
        <f>VLOOKUP(Professionals!$J50,'CIQ Professionals'!$A$3:$J$13,5,0)</f>
        <v>Mr. Christopher Nicholas, also known as Chris, serves as Director of ASDA Group Limited. He serves as Executive Vice President since 2021 &amp; Chief Operating Officer since October 6, 2021 of Walmart Inc. He served as Executive Vice President and Chief Financial Officer of Walmart International at Walmart Inc. since January 4, 2020 until 2021 and served as its Executive Vice President and Chief Financial Officer of Walmart U.S. since 2021 until October 6, 2021. He joined Walmart in August 2018 as senior Vice President and deputy Chief Financial Officerof Walmart International. He served as Director of Wal-Mart de México SAB. de C.V. He is the Chief Financial Officer of Salling Group A/S. Mr. Christopher Nicholas serves as Chief Financial Officer of Salling Group A/S (formerly known as Dansk Supermarked A/S). He joined Walmart Inc. in 2018 as Senior Vice President and Deputy Director of Finance leading the following teams: Business Performance (FP&amp;A), Global Sourcing, Technology Finance and ISM Commercial. During his career, Christopher has held senior leadership positions across several core retail functions, including Merchandising, GNFR, Real Estate, Audit, Treasury, Investor Relations, M&amp;A, Strategy and a number of internationally based Chief Financial Officer roles for Tesco. He is a chartered Accountant and has a BSc in Management Sciences (Economics) from the University of Manchester Institute of Science and Technology.</v>
      </c>
      <c r="C50" s="1497"/>
      <c r="J50" s="511">
        <v>7</v>
      </c>
      <c r="L50" s="421">
        <v>253.5</v>
      </c>
      <c r="M50" s="421">
        <f t="shared" si="0"/>
        <v>417</v>
      </c>
      <c r="N50" s="511">
        <f t="shared" si="1"/>
        <v>3</v>
      </c>
    </row>
    <row r="51" spans="2:14" ht="12.75" customHeight="1" x14ac:dyDescent="0.2">
      <c r="B51" s="1498" t="s">
        <v>1329</v>
      </c>
      <c r="C51" s="1497"/>
      <c r="J51" s="511">
        <v>7</v>
      </c>
      <c r="K51" s="511" t="str">
        <f>"Job functions: " &amp; VLOOKUP(Professionals!$J51,'CIQ Professionals'!$A$3:$J$13,10,0)</f>
        <v>Job functions: Chief Operating Officer, Finance and Accounting Professional(Prior), Senior Key Executive(Prior)</v>
      </c>
      <c r="L51" s="421">
        <v>253.5</v>
      </c>
      <c r="M51" s="421">
        <f t="shared" ref="M51:M68" si="2">IF(J50=0,L51,IF(J51=J50,M50,IF(M50+L51&gt;$N$1,L51,M50+L51)))</f>
        <v>417</v>
      </c>
      <c r="N51" s="511">
        <f t="shared" ref="N51:N68" si="3">IF(N50=0,1,IF(AND(J51&lt;&gt;J50,L51=M51),N50+1,N50))</f>
        <v>3</v>
      </c>
    </row>
    <row r="52" spans="2:14" ht="12.75" customHeight="1" x14ac:dyDescent="0.2">
      <c r="B52" s="1498" t="s">
        <v>1330</v>
      </c>
      <c r="C52" s="1497"/>
      <c r="J52" s="511">
        <v>7</v>
      </c>
      <c r="K52" s="511" t="str">
        <f>"Board Memberships: [Active] " &amp; VLOOKUP(Professionals!$J49,'CIQ Professionals'!$A$3:$J$13,8,0) &amp; " [Prior] " &amp; VLOOKUP(Professionals!$J52,'CIQ Professionals'!$A$3:$J$13,9,0)</f>
        <v>Board Memberships: [Active] ASDA Group Limited [Prior] Wal-Mart de México, S.A.B. de C.V.</v>
      </c>
      <c r="L52" s="421">
        <v>253.5</v>
      </c>
      <c r="M52" s="421">
        <f t="shared" si="2"/>
        <v>417</v>
      </c>
      <c r="N52" s="511">
        <f t="shared" si="3"/>
        <v>3</v>
      </c>
    </row>
    <row r="53" spans="2:14" ht="12.75" customHeight="1" x14ac:dyDescent="0.2">
      <c r="B53" s="1498" t="s">
        <v>1320</v>
      </c>
      <c r="C53" s="1497"/>
      <c r="J53" s="511">
        <v>7</v>
      </c>
      <c r="K53" s="511" t="str">
        <f>"Other Company Affiliations:" &amp; IF(VLOOKUP(Professionals!$J50,'CIQ Professionals'!$A$3:$J$13,6,0)=Input!$C$9,""," [Active] " &amp; REPLACE(VLOOKUP(Professionals!$J50,'CIQ Professionals'!$A$3:$J$13,6,0),SEARCH(Input!$C$9,VLOOKUP(Professionals!$J50,'CIQ Professionals'!$A$3:$J$13,6,0),1), LEN(Input!$C$9)+1,"")) &amp; " [Prior] " &amp; VLOOKUP(Professionals!$J53,'CIQ Professionals'!$A$3:$J$13,7,0)</f>
        <v>Other Company Affiliations: [Active] Salling Group A/S,  [Prior] 0</v>
      </c>
      <c r="L53" s="421">
        <v>253.5</v>
      </c>
      <c r="M53" s="421">
        <f t="shared" si="2"/>
        <v>417</v>
      </c>
      <c r="N53" s="511">
        <f t="shared" si="3"/>
        <v>3</v>
      </c>
    </row>
    <row r="54" spans="2:14" x14ac:dyDescent="0.2">
      <c r="B54" s="1479" t="str">
        <f>VLOOKUP(Professionals!$J54,'CIQ Professionals'!$A$3:$J$13,3,0)</f>
        <v>Binder, Daniel</v>
      </c>
      <c r="C54" s="1479" t="str">
        <f>VLOOKUP(Professionals!$J54,'CIQ Professionals'!$A$3:$J$13,4,0)</f>
        <v>Senior Vice President of Investor Relations</v>
      </c>
      <c r="J54" s="511">
        <v>8</v>
      </c>
      <c r="L54" s="421">
        <v>141</v>
      </c>
      <c r="M54" s="421">
        <f t="shared" si="2"/>
        <v>141</v>
      </c>
      <c r="N54" s="511">
        <f t="shared" si="3"/>
        <v>4</v>
      </c>
    </row>
    <row r="55" spans="2:14" ht="90" customHeight="1" x14ac:dyDescent="0.2">
      <c r="B55" s="1496" t="str">
        <f>VLOOKUP(Professionals!$J55,'CIQ Professionals'!$A$3:$J$13,5,0)</f>
        <v>Mr. Daniel Thomas Binder, CFA, also known as Dan, is Senior Vice President of Investor Relations at Walmart Inc. He was Vice President of Investor Relations at Walmart Inc. since July 2018. Mr. Binder served as a Managing Director and Senior Equity Research Analyst at Jefferies LLC, Research Division. He covered the broadline retail, department stores, consumer products, and hardline retail within the consumer sector of United States equity research. Mr. Binder joined Jefferies in July 2007 and has up to 18 years of experience as an Equity Research Analyst. Prior to this, he was at The Buckingham Research Group, where he spent over seven years as a Senior Vice President covering the broadline and hardline retail sectors. Prior to this, he held an Equity Research Analyst position at Brown Brothers Harriman &amp; Co., Research Division, where he spent nearly three years covering the broadline and hardline retail sectors. Mr. Binder began his career in retail equity research at Morgan Stanley Dean Witter, where he spent two and a half years. He has also been ranked in the past in the Best on the Street Annual Analyst Survey conducted by The Wall Street Journal. Mr. Binder is a CFA charterholder. He holds a Bachelor of Science from St. John’s University, where he graduated with honors.</v>
      </c>
      <c r="C55" s="1497"/>
      <c r="J55" s="511">
        <v>8</v>
      </c>
      <c r="L55" s="421">
        <v>141</v>
      </c>
      <c r="M55" s="421">
        <f t="shared" si="2"/>
        <v>141</v>
      </c>
      <c r="N55" s="511">
        <f t="shared" si="3"/>
        <v>4</v>
      </c>
    </row>
    <row r="56" spans="2:14" ht="12.75" customHeight="1" x14ac:dyDescent="0.2">
      <c r="B56" s="1498" t="s">
        <v>1331</v>
      </c>
      <c r="C56" s="1497"/>
      <c r="J56" s="511">
        <v>8</v>
      </c>
      <c r="K56" s="511" t="str">
        <f>"Job functions: " &amp; VLOOKUP(Professionals!$J56,'CIQ Professionals'!$A$3:$J$13,10,0)</f>
        <v>Job functions: Head of Investor Relations, Investor Relations Professional, Other Key Executive(Prior)</v>
      </c>
      <c r="L56" s="421">
        <v>141</v>
      </c>
      <c r="M56" s="421">
        <f t="shared" si="2"/>
        <v>141</v>
      </c>
      <c r="N56" s="511">
        <f t="shared" si="3"/>
        <v>4</v>
      </c>
    </row>
    <row r="57" spans="2:14" ht="12.75" customHeight="1" x14ac:dyDescent="0.2">
      <c r="B57" s="1498" t="s">
        <v>1292</v>
      </c>
      <c r="C57" s="1497"/>
      <c r="J57" s="511">
        <v>8</v>
      </c>
      <c r="K57" s="511" t="str">
        <f>"Board Memberships: [Active] " &amp; VLOOKUP(Professionals!$J54,'CIQ Professionals'!$A$3:$J$13,8,0) &amp; " [Prior] " &amp; VLOOKUP(Professionals!$J57,'CIQ Professionals'!$A$3:$J$13,9,0)</f>
        <v>Board Memberships: [Active] 0 [Prior] 0</v>
      </c>
      <c r="L57" s="421">
        <v>141</v>
      </c>
      <c r="M57" s="421">
        <f t="shared" si="2"/>
        <v>141</v>
      </c>
      <c r="N57" s="511">
        <f t="shared" si="3"/>
        <v>4</v>
      </c>
    </row>
    <row r="58" spans="2:14" ht="12.75" customHeight="1" x14ac:dyDescent="0.2">
      <c r="B58" s="1498" t="s">
        <v>1320</v>
      </c>
      <c r="C58" s="1497"/>
      <c r="J58" s="511">
        <v>8</v>
      </c>
      <c r="K58" s="511" t="str">
        <f>"Other Company Affiliations:" &amp; IF(VLOOKUP(Professionals!$J55,'CIQ Professionals'!$A$3:$J$13,6,0)=Input!$C$9,""," [Active] " &amp; REPLACE(VLOOKUP(Professionals!$J55,'CIQ Professionals'!$A$3:$J$13,6,0),SEARCH(Input!$C$9,VLOOKUP(Professionals!$J55,'CIQ Professionals'!$A$3:$J$13,6,0),1), LEN(Input!$C$9)+1,"")) &amp; " [Prior] " &amp; VLOOKUP(Professionals!$J58,'CIQ Professionals'!$A$3:$J$13,7,0)</f>
        <v>Other Company Affiliations: [Prior] Brown Brothers Harriman &amp; Co., Research Division, Jefferies LLC, Research Division, The Buckingham Research Group Incorporated</v>
      </c>
      <c r="L58" s="421">
        <v>141</v>
      </c>
      <c r="M58" s="421">
        <f t="shared" si="2"/>
        <v>141</v>
      </c>
      <c r="N58" s="511">
        <f t="shared" si="3"/>
        <v>4</v>
      </c>
    </row>
    <row r="59" spans="2:14" x14ac:dyDescent="0.2">
      <c r="B59" s="1479" t="str">
        <f>VLOOKUP(Professionals!$J59,'CIQ Professionals'!$A$3:$J$13,3,0)</f>
        <v>Brand, Rachel</v>
      </c>
      <c r="C59" s="1479" t="str">
        <f>VLOOKUP(Professionals!$J59,'CIQ Professionals'!$A$3:$J$13,4,0)</f>
        <v>Executive VP of Global Governance, Chief Legal Officer &amp; Corporate Secretary</v>
      </c>
      <c r="J59" s="511">
        <v>9</v>
      </c>
      <c r="L59" s="421">
        <v>118.5</v>
      </c>
      <c r="M59" s="421">
        <f t="shared" si="2"/>
        <v>259.5</v>
      </c>
      <c r="N59" s="511">
        <f t="shared" si="3"/>
        <v>4</v>
      </c>
    </row>
    <row r="60" spans="2:14" ht="67.5" customHeight="1" x14ac:dyDescent="0.2">
      <c r="B60" s="1496" t="str">
        <f>VLOOKUP(Professionals!$J60,'CIQ Professionals'!$A$3:$J$13,5,0)</f>
        <v>Ms. Rachel L. Brand has been Executive Vice President of Global Governance, Chief Legal Officer and Corporate Secretary at Walmart Inc. (formerly known as Wal-Mart Stores Inc.) since April 2, 2018. Ms. Brand is responsible for the organization’s Legal, Global Ethics and Compliance and Global Investigation, Security, Aviation and Travel departments, along with her role as corporate secretary. She has deep academic and professional experience to her role, coming to the company from the U.S. Department of Justice, where she served as Associate Attorney General from May 2017 to February 2018, the department’s third-ranking position. Ms. Brand, the first woman to serve as Associate Attorney General, was confirmed by the U.S. Senate and sworn into office May 22, 2017. As Associate Attorney General, she oversaw thousands of attorneys and professionals across the department’s civil law divisions, including Antitrust, Tax and Environment and Natural Resources. After graduating from Harvard Law School, where she served as deputy editor-in-chief of the Harvard Journal of Law and Public Policy, she clerked on the Massachusetts Supreme Court and then the U.S. Supreme Court, where she clerked for Justice Anthony Kennedy. She previously served as Assistant Attorney General for the Office of Legal Policy in the George W. Bush administration and was appointed by President Barack Obama to served on the Privacy and Civil Liberties Oversight Board from August 2012 to February 2017. Outside of government, she served as an Associate Professor of law at George Mason University’s Antonin Scalia Law School from January 2017 to May 2017, an adjunct professor at George Washington University Law School and a private-practice lawyer in Washington, D.C. She earned a Bachelor of Arts degree from the University of Minnesota-Morris and her J.D. from Harvard Law School.</v>
      </c>
      <c r="C60" s="1497"/>
      <c r="J60" s="511">
        <v>9</v>
      </c>
      <c r="L60" s="421">
        <v>118.5</v>
      </c>
      <c r="M60" s="421">
        <f t="shared" si="2"/>
        <v>259.5</v>
      </c>
      <c r="N60" s="511">
        <f t="shared" si="3"/>
        <v>4</v>
      </c>
    </row>
    <row r="61" spans="2:14" ht="12.75" customHeight="1" x14ac:dyDescent="0.2">
      <c r="B61" s="1498" t="s">
        <v>1332</v>
      </c>
      <c r="C61" s="1497"/>
      <c r="J61" s="511">
        <v>9</v>
      </c>
      <c r="K61" s="511" t="str">
        <f>"Job functions: " &amp; VLOOKUP(Professionals!$J61,'CIQ Professionals'!$A$3:$J$13,10,0)</f>
        <v>Job functions: Chief Legal Officer, Secretary</v>
      </c>
      <c r="L61" s="421">
        <v>118.5</v>
      </c>
      <c r="M61" s="421">
        <f t="shared" si="2"/>
        <v>259.5</v>
      </c>
      <c r="N61" s="511">
        <f t="shared" si="3"/>
        <v>4</v>
      </c>
    </row>
    <row r="62" spans="2:14" ht="12.75" customHeight="1" x14ac:dyDescent="0.2">
      <c r="B62" s="1498" t="s">
        <v>1292</v>
      </c>
      <c r="C62" s="1497"/>
      <c r="J62" s="511">
        <v>9</v>
      </c>
      <c r="K62" s="511" t="str">
        <f>"Board Memberships: [Active] " &amp; VLOOKUP(Professionals!$J59,'CIQ Professionals'!$A$3:$J$13,8,0) &amp; " [Prior] " &amp; VLOOKUP(Professionals!$J62,'CIQ Professionals'!$A$3:$J$13,9,0)</f>
        <v>Board Memberships: [Active] 0 [Prior] 0</v>
      </c>
      <c r="L62" s="421">
        <v>118.5</v>
      </c>
      <c r="M62" s="421">
        <f t="shared" si="2"/>
        <v>259.5</v>
      </c>
      <c r="N62" s="511">
        <f t="shared" si="3"/>
        <v>4</v>
      </c>
    </row>
    <row r="63" spans="2:14" ht="12.75" customHeight="1" x14ac:dyDescent="0.2">
      <c r="B63" s="1498" t="s">
        <v>1320</v>
      </c>
      <c r="C63" s="1497"/>
      <c r="J63" s="511">
        <v>9</v>
      </c>
      <c r="K63" s="511" t="str">
        <f>"Other Company Affiliations:" &amp; IF(VLOOKUP(Professionals!$J60,'CIQ Professionals'!$A$3:$J$13,6,0)=Input!$C$9,""," [Active] " &amp; REPLACE(VLOOKUP(Professionals!$J60,'CIQ Professionals'!$A$3:$J$13,6,0),SEARCH(Input!$C$9,VLOOKUP(Professionals!$J60,'CIQ Professionals'!$A$3:$J$13,6,0),1), LEN(Input!$C$9)+1,"")) &amp; " [Prior] " &amp; VLOOKUP(Professionals!$J63,'CIQ Professionals'!$A$3:$J$13,7,0)</f>
        <v>Other Company Affiliations: [Prior] 0</v>
      </c>
      <c r="L63" s="421">
        <v>118.5</v>
      </c>
      <c r="M63" s="421">
        <f t="shared" si="2"/>
        <v>259.5</v>
      </c>
      <c r="N63" s="511">
        <f t="shared" si="3"/>
        <v>4</v>
      </c>
    </row>
    <row r="64" spans="2:14" x14ac:dyDescent="0.2">
      <c r="B64" s="1479" t="str">
        <f>VLOOKUP(Professionals!$J64,'CIQ Professionals'!$A$3:$J$13,3,0)</f>
        <v>Miner, Matthew</v>
      </c>
      <c r="C64" s="1479" t="str">
        <f>VLOOKUP(Professionals!$J64,'CIQ Professionals'!$A$3:$J$13,4,0)</f>
        <v>Executive VP and Global Chief Ethics &amp; Compliance Officer</v>
      </c>
      <c r="J64" s="511">
        <v>10</v>
      </c>
      <c r="L64" s="421">
        <v>152.25</v>
      </c>
      <c r="M64" s="421">
        <f t="shared" si="2"/>
        <v>411.75</v>
      </c>
      <c r="N64" s="511">
        <f t="shared" si="3"/>
        <v>4</v>
      </c>
    </row>
    <row r="65" spans="2:14" ht="101.25" customHeight="1" x14ac:dyDescent="0.2">
      <c r="B65" s="1496" t="str">
        <f>VLOOKUP(Professionals!$J65,'CIQ Professionals'!$A$3:$J$13,5,0)</f>
        <v>Mr. Matthew Miner, also known as Matt, serves as Executive Vice President and Global Chief Ethics and Compliance Officer of Walmart Inc. since August 2021. He was also a partner at Morgan, Lewis &amp; Bockius LLP from 2012 to February 2018 and its Leader of the Washington White Collar Litigation and Government Enforcement Practice before being appointed to the Justice Department. He had been a Partner at White &amp; Case, L.L.P. since May 2011. Mr. Miner joined White &amp; Case from the US Senate, where he was Minority Staff Director on the Judiciary and where he had also served as counsel on Investigations. Prior to that, he served as a Deputy Assistant Attorney General in the Criminal Division of the U.S. Department of Justice. Among his accomplishments, he was the architect of the Division’s groundbreaking Evaluation of Corporate Compliance Program (ECCP) guidance, as well as first-of-its-kind training to educate prosecutors on compliance program design and key compliance challenges. He managed the Criminal Division’s Fraud and Appellate Sections, including the Department’s Foreign Corrupt Practices Act (FCPA) Unit, the Market Integrity and Major Frauds Unit, and the nationwide Medicare Fraud Strike Force program. He has served as minority deputy staff director and senior counsel and as minority chief counsel of its Administrative Oversight and the Courts. Mr. Miner has also held the positions of majority chief counsel for crime, terrorism and oversight for the Senate Judiciary and as majority counsel for the Senate Permanent on Investigations. As part of his Senate staff responsibilities, Mr. Miner has handled key criminal law and national security legislation such as the Fair Sentencing Act, reauthorization of the Patriot Act and efforts to revise the honest services fraud statute following the US Supreme Court decision in Skilling v. United States. He also helped manage numerous high-level confirmation hearings, including the Supreme Court nominations of Elena Kagan and Sonia Sotomayor and the US Attorney General nomination of Eric Holder. In 2007, Mr. Miner served as the lead minority counsel in one of the largest congressional oversight investigations in recent history. Prior to his Senate service, Mr. Miner was an Assistant US Attorney in the Office of the US Attorney in the Middle District of Alabama, where he served as corporate fraud coordinator and managed the largest corporate fraud investigation in the district's history. He holds a Bachelor of Arts in Economics from the University of Cincinnati and a Juris Doctor from the University of Michigan Law School.</v>
      </c>
      <c r="C65" s="1497"/>
      <c r="J65" s="511">
        <v>10</v>
      </c>
      <c r="L65" s="421">
        <v>152.25</v>
      </c>
      <c r="M65" s="421">
        <f t="shared" si="2"/>
        <v>411.75</v>
      </c>
      <c r="N65" s="511">
        <f t="shared" si="3"/>
        <v>4</v>
      </c>
    </row>
    <row r="66" spans="2:14" ht="12.75" customHeight="1" x14ac:dyDescent="0.2">
      <c r="B66" s="1498" t="s">
        <v>1333</v>
      </c>
      <c r="C66" s="1497"/>
      <c r="J66" s="511">
        <v>10</v>
      </c>
      <c r="K66" s="511" t="str">
        <f>"Job functions: " &amp; VLOOKUP(Professionals!$J66,'CIQ Professionals'!$A$3:$J$13,10,0)</f>
        <v>Job functions: Chief Compliance Officer</v>
      </c>
      <c r="L66" s="421">
        <v>152.25</v>
      </c>
      <c r="M66" s="421">
        <f t="shared" si="2"/>
        <v>411.75</v>
      </c>
      <c r="N66" s="511">
        <f t="shared" si="3"/>
        <v>4</v>
      </c>
    </row>
    <row r="67" spans="2:14" ht="12.75" customHeight="1" x14ac:dyDescent="0.2">
      <c r="B67" s="1498" t="s">
        <v>1292</v>
      </c>
      <c r="C67" s="1497"/>
      <c r="J67" s="511">
        <v>10</v>
      </c>
      <c r="K67" s="511" t="str">
        <f>"Board Memberships: [Active] " &amp; VLOOKUP(Professionals!$J64,'CIQ Professionals'!$A$3:$J$13,8,0) &amp; " [Prior] " &amp; VLOOKUP(Professionals!$J67,'CIQ Professionals'!$A$3:$J$13,9,0)</f>
        <v>Board Memberships: [Active] 0 [Prior] 0</v>
      </c>
      <c r="L67" s="421">
        <v>152.25</v>
      </c>
      <c r="M67" s="421">
        <f t="shared" si="2"/>
        <v>411.75</v>
      </c>
      <c r="N67" s="511">
        <f t="shared" si="3"/>
        <v>4</v>
      </c>
    </row>
    <row r="68" spans="2:14" ht="12.75" customHeight="1" x14ac:dyDescent="0.2">
      <c r="B68" s="1498" t="s">
        <v>1320</v>
      </c>
      <c r="C68" s="1497"/>
      <c r="J68" s="511">
        <v>10</v>
      </c>
      <c r="K68" s="511" t="str">
        <f>"Other Company Affiliations:" &amp; IF(VLOOKUP(Professionals!$J65,'CIQ Professionals'!$A$3:$J$13,6,0)=Input!$C$9,""," [Active] " &amp; REPLACE(VLOOKUP(Professionals!$J65,'CIQ Professionals'!$A$3:$J$13,6,0),SEARCH(Input!$C$9,VLOOKUP(Professionals!$J65,'CIQ Professionals'!$A$3:$J$13,6,0),1), LEN(Input!$C$9)+1,"")) &amp; " [Prior] " &amp; VLOOKUP(Professionals!$J68,'CIQ Professionals'!$A$3:$J$13,7,0)</f>
        <v>Other Company Affiliations: [Prior] White &amp; Case LLP</v>
      </c>
      <c r="L68" s="421">
        <v>152.25</v>
      </c>
      <c r="M68" s="421">
        <f t="shared" si="2"/>
        <v>411.75</v>
      </c>
      <c r="N68" s="511">
        <f t="shared" si="3"/>
        <v>4</v>
      </c>
    </row>
    <row r="69" spans="2:14" x14ac:dyDescent="0.2">
      <c r="B69" s="655"/>
      <c r="C69" s="655"/>
    </row>
    <row r="70" spans="2:14" s="511" customFormat="1" x14ac:dyDescent="0.2">
      <c r="B70" s="1477" t="s">
        <v>591</v>
      </c>
      <c r="C70" s="655"/>
    </row>
    <row r="71" spans="2:14" s="511" customFormat="1" x14ac:dyDescent="0.2">
      <c r="B71" s="1481" t="s">
        <v>60</v>
      </c>
      <c r="C71" s="1482" t="s">
        <v>1282</v>
      </c>
    </row>
    <row r="72" spans="2:14" s="511" customFormat="1" x14ac:dyDescent="0.2">
      <c r="B72" s="1483" t="str">
        <f>VLOOKUP(Professionals!$J72,'CIQ Professionals'!$A$16:$J$26,3,0)</f>
        <v>Penner, Gregory</v>
      </c>
      <c r="C72" s="1084" t="str">
        <f>VLOOKUP(Professionals!$J72,'CIQ Professionals'!$A$16:$J$26,4,0)</f>
        <v>Chairman</v>
      </c>
      <c r="J72" s="511">
        <v>1</v>
      </c>
    </row>
    <row r="73" spans="2:14" s="511" customFormat="1" x14ac:dyDescent="0.2">
      <c r="B73" s="673" t="str">
        <f>VLOOKUP(Professionals!$J73,'CIQ Professionals'!$A$16:$J$26,3,0)</f>
        <v>McMillon, C.</v>
      </c>
      <c r="C73" s="1085" t="str">
        <f>VLOOKUP(Professionals!$J73,'CIQ Professionals'!$A$16:$J$26,4,0)</f>
        <v>President, CEO &amp; Director</v>
      </c>
      <c r="J73" s="511">
        <v>2</v>
      </c>
    </row>
    <row r="74" spans="2:14" s="511" customFormat="1" x14ac:dyDescent="0.2">
      <c r="B74" s="673" t="str">
        <f>VLOOKUP(Professionals!$J74,'CIQ Professionals'!$A$16:$J$26,3,0)</f>
        <v>Reinemund, Steven</v>
      </c>
      <c r="C74" s="1085" t="str">
        <f>VLOOKUP(Professionals!$J74,'CIQ Professionals'!$A$16:$J$26,4,0)</f>
        <v>Independent Director</v>
      </c>
      <c r="J74" s="511">
        <v>3</v>
      </c>
    </row>
    <row r="75" spans="2:14" s="511" customFormat="1" x14ac:dyDescent="0.2">
      <c r="B75" s="673" t="str">
        <f>VLOOKUP(Professionals!$J75,'CIQ Professionals'!$A$16:$J$26,3,0)</f>
        <v>Flynn, Timothy</v>
      </c>
      <c r="C75" s="1085" t="str">
        <f>VLOOKUP(Professionals!$J75,'CIQ Professionals'!$A$16:$J$26,4,0)</f>
        <v>Independent Director</v>
      </c>
      <c r="J75" s="511">
        <v>4</v>
      </c>
    </row>
    <row r="76" spans="2:14" s="511" customFormat="1" x14ac:dyDescent="0.2">
      <c r="B76" s="673" t="str">
        <f>VLOOKUP(Professionals!$J76,'CIQ Professionals'!$A$16:$J$26,3,0)</f>
        <v>Horton, Thomas</v>
      </c>
      <c r="C76" s="1085" t="str">
        <f>VLOOKUP(Professionals!$J76,'CIQ Professionals'!$A$16:$J$26,4,0)</f>
        <v>Lead Independent Director</v>
      </c>
      <c r="J76" s="511">
        <v>5</v>
      </c>
    </row>
    <row r="77" spans="2:14" s="511" customFormat="1" x14ac:dyDescent="0.2">
      <c r="B77" s="673" t="str">
        <f>VLOOKUP(Professionals!$J77,'CIQ Professionals'!$A$16:$J$26,3,0)</f>
        <v>Friar, Sarah</v>
      </c>
      <c r="C77" s="1085" t="str">
        <f>VLOOKUP(Professionals!$J77,'CIQ Professionals'!$A$16:$J$26,4,0)</f>
        <v>Independent Director</v>
      </c>
      <c r="J77" s="511">
        <v>6</v>
      </c>
    </row>
    <row r="78" spans="2:14" s="511" customFormat="1" x14ac:dyDescent="0.2">
      <c r="B78" s="673" t="str">
        <f>VLOOKUP(Professionals!$J78,'CIQ Professionals'!$A$16:$J$26,3,0)</f>
        <v>Walton, S.</v>
      </c>
      <c r="C78" s="1085" t="str">
        <f>VLOOKUP(Professionals!$J78,'CIQ Professionals'!$A$16:$J$26,4,0)</f>
        <v>Director</v>
      </c>
      <c r="J78" s="511">
        <v>7</v>
      </c>
    </row>
    <row r="79" spans="2:14" s="511" customFormat="1" x14ac:dyDescent="0.2">
      <c r="B79" s="673" t="str">
        <f>VLOOKUP(Professionals!$J79,'CIQ Professionals'!$A$16:$J$26,3,0)</f>
        <v>Mayer, Marissa</v>
      </c>
      <c r="C79" s="1085" t="str">
        <f>VLOOKUP(Professionals!$J79,'CIQ Professionals'!$A$16:$J$26,4,0)</f>
        <v>Independent Director</v>
      </c>
      <c r="J79" s="511">
        <v>8</v>
      </c>
    </row>
    <row r="80" spans="2:14" s="511" customFormat="1" x14ac:dyDescent="0.2">
      <c r="B80" s="673" t="str">
        <f>VLOOKUP(Professionals!$J80,'CIQ Professionals'!$A$16:$J$26,3,0)</f>
        <v>Walton, Steuart</v>
      </c>
      <c r="C80" s="1085" t="str">
        <f>VLOOKUP(Professionals!$J80,'CIQ Professionals'!$A$16:$J$26,4,0)</f>
        <v>Director</v>
      </c>
      <c r="J80" s="511">
        <v>9</v>
      </c>
    </row>
    <row r="81" spans="2:14" s="511" customFormat="1" x14ac:dyDescent="0.2">
      <c r="B81" s="675" t="str">
        <f>VLOOKUP(Professionals!$J81,'CIQ Professionals'!$A$16:$J$26,3,0)</f>
        <v>Harris, Carla</v>
      </c>
      <c r="C81" s="1484" t="str">
        <f>VLOOKUP(Professionals!$J81,'CIQ Professionals'!$A$16:$J$26,4,0)</f>
        <v>Independent Director</v>
      </c>
      <c r="J81" s="511">
        <v>10</v>
      </c>
    </row>
    <row r="82" spans="2:14" s="511" customFormat="1" x14ac:dyDescent="0.2">
      <c r="B82" s="655"/>
      <c r="C82" s="655"/>
    </row>
    <row r="83" spans="2:14" x14ac:dyDescent="0.2">
      <c r="B83" s="1477" t="s">
        <v>1284</v>
      </c>
      <c r="C83" s="1478"/>
      <c r="J83" s="511">
        <v>0</v>
      </c>
      <c r="N83" s="421">
        <v>0</v>
      </c>
    </row>
    <row r="84" spans="2:14" x14ac:dyDescent="0.2">
      <c r="B84" s="1479" t="str">
        <f>VLOOKUP(Professionals!$J84,'CIQ Professionals'!$A$16:$J$26,3,0)</f>
        <v>Penner, Gregory</v>
      </c>
      <c r="C84" s="1479" t="str">
        <f>VLOOKUP(Professionals!$J84,'CIQ Professionals'!$A$16:$J$26,4,0)</f>
        <v>Chairman</v>
      </c>
      <c r="J84" s="681">
        <f>J83+1</f>
        <v>1</v>
      </c>
      <c r="L84" s="421">
        <v>395.25</v>
      </c>
      <c r="M84" s="511">
        <f t="shared" ref="M84:M115" si="4">IF(J83=0,L84,IF(J84=J83,M83,IF(M83+L84&gt;$N$1,L84,M83+L84)))</f>
        <v>395.25</v>
      </c>
      <c r="N84" s="511">
        <f t="shared" ref="N84:N115" si="5">IF(N83=0,1,IF(AND(J84&lt;&gt;J83,L84=M84),N83+1,N83))</f>
        <v>1</v>
      </c>
    </row>
    <row r="85" spans="2:14" ht="258.75" customHeight="1" x14ac:dyDescent="0.2">
      <c r="B85" s="1496" t="str">
        <f>VLOOKUP(Professionals!$J84,'CIQ Professionals'!$A$16:$J$26,5,0)</f>
        <v>Mr. Gregory Boyd Penner, also known as Greg, is the Founder and General Partner at Madrone Capital Partners, LLC since 2005. Mr. Penner serves as a General Partner at DT Capital Partners. From 2002 to 2005, he served as a Senior Vice President and the Chief Financial Officer at Wal-Mart Japan. From 2000 to 2002, he was responsible for the business development, legal and finance affairs at Walmart.com. He served as Senior Vice President of Finance and Strategy for Walmart.com from 2000 to 2002. He was a General Partner at Peninsula Capital Management Inc from 1997 to 2000. He was a Manager at Peninsula Capital and a Financial Analyst for Goldman, Sachs &amp; Co. He serves as Co-Chairman of Charter Fund, Inc. Mr. Penner has been the Chairman of the Board at Walmart Inc. (formerly known as Wal-Mart Stores, Inc.), since June 5, 2015. He serves as a Director of Teach For America, Inc and Outcome Software Inc. He served as a Director of Castleton Commodities International LLC, eHarmony, Inc. Since August 2018, Mr. Penner has served on the board of directors of Quibi. Mr. Penner was a Director of 99Bill Corporation since August 11, 2005. He served as a Vice Chairman of Walmart Inc. (formerly known as Wal-Mart Stores, Inc.), from June 2014 to June 2015 and as its Director since June 6, 2008. He serves as Director of Seiyu GK (formerly known as The Seiyu, Ltd.), from 2003 to 2008. He served as an Independent Director of Baidu, Inc. since May 2004 until February 26, 2017. He served as Director of Hyatt Hotels Corporation from October 2007 to September 11, 2014. He served as a Director of BioSpace.com, Inc. and Cuil, Inc. Mr. Penner holds an M.B.A. degree from the Stanford Graduate School of Business in 1997 and a B.S. in International Economics from the School of Foreign Service from the Georgetown University in 1992.</v>
      </c>
      <c r="C85" s="1497"/>
      <c r="J85" s="681">
        <v>1</v>
      </c>
      <c r="L85" s="421">
        <v>395.25</v>
      </c>
      <c r="M85" s="511">
        <f t="shared" si="4"/>
        <v>395.25</v>
      </c>
      <c r="N85" s="511">
        <f t="shared" si="5"/>
        <v>1</v>
      </c>
    </row>
    <row r="86" spans="2:14" ht="33.75" customHeight="1" x14ac:dyDescent="0.2">
      <c r="B86" s="1498" t="s">
        <v>1334</v>
      </c>
      <c r="C86" s="1497"/>
      <c r="J86" s="511">
        <v>1</v>
      </c>
      <c r="K86" s="511" t="str">
        <f>"Job functions: " &amp; VLOOKUP(Professionals!$J86,'CIQ Professionals'!$A$16:$J$26,10,0)</f>
        <v>Job functions: Chairman of Technology/Science/R&amp;D Committee(Prior), Chairman of the Board, Member of Compensation Committee(Prior), Member of Executive Committee, Member of Stock Options Committee(Prior), Member of Strategy/Strategic Planning Committee(Prior), Member of Technology/Science/R&amp;D Committee(Prior), Member of the Board of Directors, Vice Chairman(Prior)</v>
      </c>
      <c r="L86" s="421">
        <v>395.25</v>
      </c>
      <c r="M86" s="511">
        <f t="shared" si="4"/>
        <v>395.25</v>
      </c>
      <c r="N86" s="511">
        <f t="shared" si="5"/>
        <v>1</v>
      </c>
    </row>
    <row r="87" spans="2:14" ht="67.5" customHeight="1" x14ac:dyDescent="0.2">
      <c r="B87" s="1498" t="s">
        <v>1335</v>
      </c>
      <c r="C87" s="1497"/>
      <c r="J87" s="511">
        <v>1</v>
      </c>
      <c r="K87" s="511" t="str">
        <f>"Other Boards:" &amp; IF(VLOOKUP(Professionals!$J87,'CIQ Professionals'!$A$16:$J$26,8,0)=Input!$C$9,""," [Active] " &amp; IF(ISERROR(SEARCH(Input!$C$9,VLOOKUP(Professionals!$J87,'CIQ Professionals'!$A$16:$J$26,8,0),1)),VLOOKUP(Professionals!$J87,'CIQ Professionals'!$A$16:$J$26,8,0),REPLACE(VLOOKUP(Professionals!$J87,'CIQ Professionals'!$A$16:$J$26,8,0),SEARCH(Input!$C$9,VLOOKUP(Professionals!$J87,'CIQ Professionals'!$A$16:$J$26,8,0),1), LEN(Input!$C$9)+1,""))) &amp; " [Prior] " &amp; VLOOKUP(Professionals!$J87,'CIQ Professionals'!$A$16:$J$26,9,0)</f>
        <v>Other Boards: [Active] eHarmony, Inc., Outcome Software, Inc., Seiyu GK,  [Prior] 99Bill Corporation, Baidu, Inc., BioSpace, Inc., Cuil, Inc., Hyatt Hotels Corporation</v>
      </c>
      <c r="L87" s="421">
        <v>395.25</v>
      </c>
      <c r="M87" s="511">
        <f t="shared" si="4"/>
        <v>395.25</v>
      </c>
      <c r="N87" s="511">
        <f t="shared" si="5"/>
        <v>1</v>
      </c>
    </row>
    <row r="88" spans="2:14" ht="22.5" customHeight="1" x14ac:dyDescent="0.2">
      <c r="B88" s="1498" t="s">
        <v>1336</v>
      </c>
      <c r="C88" s="1497"/>
      <c r="J88" s="511">
        <v>1</v>
      </c>
      <c r="K88" s="511" t="str">
        <f>"Other Company Affiliations:" &amp; " [Active] " &amp; IF(VLOOKUP(Professionals!$J85,'CIQ Professionals'!$A$16:$J$26,6,0)=Input!$C$9,"NA", IF(ISERROR(SEARCH(Input!$C$9,VLOOKUP(Professionals!$J85,'CIQ Professionals'!$A$16:$J$26,6,0),1)),VLOOKUP(Professionals!$J85,'CIQ Professionals'!$A$16:$J$26,6,0),REPLACE(VLOOKUP(Professionals!$J85,'CIQ Professionals'!$A$16:$J$26,6,0),SEARCH(Input!$C$9,VLOOKUP(Professionals!$J85,'CIQ Professionals'!$A$16:$J$26,6,0),1), LEN(Input!$C$9)+1,""))) &amp; " [Prior] " &amp; VLOOKUP(Professionals!$J88,'CIQ Professionals'!$A$16:$J$26,7,0)</f>
        <v>Other Company Affiliations: [Active] DT Capital Partners, Madrone Capital Partners [Prior] Peninsula Capital Management, Inc., The Goldman Sachs Group, Inc.</v>
      </c>
      <c r="L88" s="421">
        <v>395.25</v>
      </c>
      <c r="M88" s="511">
        <f t="shared" si="4"/>
        <v>395.25</v>
      </c>
      <c r="N88" s="511">
        <f t="shared" si="5"/>
        <v>1</v>
      </c>
    </row>
    <row r="89" spans="2:14" x14ac:dyDescent="0.2">
      <c r="B89" s="1479" t="str">
        <f>VLOOKUP(Professionals!$J89,'CIQ Professionals'!$A$16:$J$26,3,0)</f>
        <v>McMillon, C.</v>
      </c>
      <c r="C89" s="1479" t="str">
        <f>VLOOKUP(Professionals!$J89,'CIQ Professionals'!$A$16:$J$26,4,0)</f>
        <v>President, CEO &amp; Director</v>
      </c>
      <c r="J89" s="511">
        <v>2</v>
      </c>
      <c r="L89" s="421">
        <v>195.75</v>
      </c>
      <c r="M89" s="511">
        <f t="shared" si="4"/>
        <v>195.75</v>
      </c>
      <c r="N89" s="511">
        <f t="shared" si="5"/>
        <v>2</v>
      </c>
    </row>
    <row r="90" spans="2:14" ht="135" customHeight="1" x14ac:dyDescent="0.2">
      <c r="B90" s="1496" t="str">
        <f>VLOOKUP(Professionals!$J89,'CIQ Professionals'!$A$16:$J$26,5,0)</f>
        <v>Mr. C. Douglas McMillon, also known as Doug, has been the Chief Executive Officer and President of Walmart Inc. (formerly known as Wal-Mart Stores, Inc.) since February 1, 2014. Mr. McMillon served as the President and Chief Executive Officer of Wal-Mart International Operations at Walmart Inc. (formerly known as Wal-Mart Stores, Inc.) from February 1, 2009 to January 2014. He served as an Executive Vice President of Walmart Inc. (formerly known as Wal-Mart Stores, Inc.) since August 4, 2005. He served as the Chief Executive Officer of Sam's Club Discount Warehouse Stores Operations from August 4, 2005 to February 1, 2009. He served as the Chief Executive Officer and President of SAM'S West, Inc. from August 4, 2005 to January 2009. He was responsible for the overall corporate strategy and direction of Sam's Club. Mr. McMillon served as an Executive Vice President of Merchandising and Replenishment of Sam's Club of Walmart Inc. (formerly known as Wal-Mart Stores, Inc.) until August 2005. He worked two consecutive summers as an Associate at the Wal-Mart Distribution Centers in Northwest Arkansas. He served as a Buyer Trainee for Wal-Mart working in Store #894 in Tulsa, OK. Mr. McMillon served as a Buyer for Food and Candy, Ladieswear and Crafts, a Divisional Merchandise Manager for Home Furnishings and Infants and Toddlers, Vice President and General Merchandise Manager at Sam’s Club International and Senior Vice President and General Merchandise Manager at Walmart Inc. (formerly known as Wal-Mart Stores, Inc.), where he oversaw purchases for Toys, Electronics, Video Games, Photo, Sporting Goods, Stationary and Office Supplies. He serves as a Director of National Chapter of Students in Free Enterprise (SIFE). He has been a Director of Walmart Inc. (formerly known as Wal-Mart Stores, Inc.) since November 25, 2013. He serves as of Director of US-China Business Council, Inc. He serves on the Executive Board of Director of Center of Retailing Excellence at the University of Arkansas and on the Corporate Board of Advisors for National Council at La Raza. He has been a Director of Walmart Inc. (formerly known as Wal-Mart Stores, Inc.) since November 25, 2013. He served as Director of Massmart Holdings Limited from June 20, 2011 to August 20, 2012. He served as a Director of Wal-Mart de Mexico SAB De CV since 2009. He has been recognized as a Young Global Leader by the World Economic Forum. Mr. McMillon also serves as a member of the executive committee of the Business Roundtable, and serves as a member of the boards of directors of a number of organizations, including The Consumer Goods Forum, The US-China Business Council, and Crystal Bridges Museum of American Art. Mr. McMillon graduated from the University of Arkansas in Fayetteville, with a Bachelor of Science in Business Administration (BSBA) in Accounting. Mr. McMillon received an M.B.A. in Finance from the University of Tulsa. He was Chief Executive Officer and President of Walmart Inc. at Wal-Mart.com USA, LLC.</v>
      </c>
      <c r="C90" s="1497"/>
      <c r="J90" s="511">
        <v>2</v>
      </c>
      <c r="L90" s="421">
        <v>195.75</v>
      </c>
      <c r="M90" s="511">
        <f t="shared" si="4"/>
        <v>195.75</v>
      </c>
      <c r="N90" s="511">
        <f t="shared" si="5"/>
        <v>2</v>
      </c>
    </row>
    <row r="91" spans="2:14" ht="22.5" customHeight="1" x14ac:dyDescent="0.2">
      <c r="B91" s="1498" t="s">
        <v>1318</v>
      </c>
      <c r="C91" s="1497"/>
      <c r="J91" s="511">
        <v>2</v>
      </c>
      <c r="K91" s="511" t="str">
        <f>"Job functions: " &amp; VLOOKUP(Professionals!$J91,'CIQ Professionals'!$A$16:$J$26,10,0)</f>
        <v>Job functions: Chief Executive Officer, Member of the Board of Directors, President, Senior Key Executive(Prior), Unit CEO(Prior), Unit President(Prior)</v>
      </c>
      <c r="L91" s="421">
        <v>195.75</v>
      </c>
      <c r="M91" s="511">
        <f t="shared" si="4"/>
        <v>195.75</v>
      </c>
      <c r="N91" s="511">
        <f t="shared" si="5"/>
        <v>2</v>
      </c>
    </row>
    <row r="92" spans="2:14" ht="12.75" customHeight="1" x14ac:dyDescent="0.2">
      <c r="B92" s="1498" t="s">
        <v>1337</v>
      </c>
      <c r="C92" s="1497"/>
      <c r="J92" s="511">
        <v>2</v>
      </c>
      <c r="K92" s="511" t="str">
        <f>"Other Boards:" &amp; IF(VLOOKUP(Professionals!$J92,'CIQ Professionals'!$A$16:$J$26,8,0)=Input!$C$9,""," [Active] " &amp; IF(ISERROR(SEARCH(Input!$C$9,VLOOKUP(Professionals!$J92,'CIQ Professionals'!$A$16:$J$26,8,0),1)),VLOOKUP(Professionals!$J92,'CIQ Professionals'!$A$16:$J$26,8,0),REPLACE(VLOOKUP(Professionals!$J92,'CIQ Professionals'!$A$16:$J$26,8,0),SEARCH(Input!$C$9,VLOOKUP(Professionals!$J92,'CIQ Professionals'!$A$16:$J$26,8,0),1), LEN(Input!$C$9)+1,""))) &amp; " [Prior] " &amp; VLOOKUP(Professionals!$J92,'CIQ Professionals'!$A$16:$J$26,9,0)</f>
        <v>Other Boards: [Prior] Massmart Holdings Limited, Wal-Mart de México, S.A.B. de C.V.</v>
      </c>
      <c r="L92" s="421">
        <v>195.75</v>
      </c>
      <c r="M92" s="511">
        <f t="shared" si="4"/>
        <v>195.75</v>
      </c>
      <c r="N92" s="511">
        <f t="shared" si="5"/>
        <v>2</v>
      </c>
    </row>
    <row r="93" spans="2:14" ht="12.75" customHeight="1" x14ac:dyDescent="0.2">
      <c r="B93" s="1498" t="s">
        <v>1296</v>
      </c>
      <c r="C93" s="1497"/>
      <c r="J93" s="511">
        <v>2</v>
      </c>
      <c r="K93" s="511" t="str">
        <f>"Other Company Affiliations:" &amp; " [Active] " &amp; IF(VLOOKUP(Professionals!$J90,'CIQ Professionals'!$A$16:$J$26,6,0)=Input!$C$9,"NA", IF(ISERROR(SEARCH(Input!$C$9,VLOOKUP(Professionals!$J90,'CIQ Professionals'!$A$16:$J$26,6,0),1)),VLOOKUP(Professionals!$J90,'CIQ Professionals'!$A$16:$J$26,6,0),REPLACE(VLOOKUP(Professionals!$J90,'CIQ Professionals'!$A$16:$J$26,6,0),SEARCH(Input!$C$9,VLOOKUP(Professionals!$J90,'CIQ Professionals'!$A$16:$J$26,6,0),1), LEN(Input!$C$9)+1,""))) &amp; " [Prior] " &amp; VLOOKUP(Professionals!$J93,'CIQ Professionals'!$A$16:$J$26,7,0)</f>
        <v>Other Company Affiliations: [Active] NA [Prior] Sam's West, Inc., Wal-Mart Canada Corp., Wal-Mart de México, S.A.B. de C.V., Wal-Mart International, Wal-Mart.com USA, LLC</v>
      </c>
      <c r="L93" s="421">
        <v>195.75</v>
      </c>
      <c r="M93" s="511">
        <f t="shared" si="4"/>
        <v>195.75</v>
      </c>
      <c r="N93" s="511">
        <f t="shared" si="5"/>
        <v>2</v>
      </c>
    </row>
    <row r="94" spans="2:14" x14ac:dyDescent="0.2">
      <c r="B94" s="1479" t="str">
        <f>VLOOKUP(Professionals!$J94,'CIQ Professionals'!$A$16:$J$26,3,0)</f>
        <v>Reinemund, Steven</v>
      </c>
      <c r="C94" s="1479" t="str">
        <f>VLOOKUP(Professionals!$J94,'CIQ Professionals'!$A$16:$J$26,4,0)</f>
        <v>Independent Director</v>
      </c>
      <c r="J94" s="511">
        <v>3</v>
      </c>
      <c r="L94" s="421">
        <v>273</v>
      </c>
      <c r="M94" s="511">
        <f t="shared" si="4"/>
        <v>273</v>
      </c>
      <c r="N94" s="511">
        <f t="shared" si="5"/>
        <v>3</v>
      </c>
    </row>
    <row r="95" spans="2:14" ht="202.5" customHeight="1" x14ac:dyDescent="0.2">
      <c r="B95" s="1496" t="str">
        <f>VLOOKUP(Professionals!$J94,'CIQ Professionals'!$A$16:$J$26,5,0)</f>
        <v>Mr. Steven S. Reinemund, also known as Steve, has been a Director at Vertiv Group Corporation. He served as an Independent Director of GS Acquisition Holdings Corp II since June 29, 2020. Mr. Reinemund was a Director of GS Acquisition Holdings Corp. since June 12, 2018. Mr. Reinemund serves as an Independent Director at Vertiv Holdings Co. since February 7, 2020. He serves as Director of Vertiv Holdings, LLC. He is a Managing Partner at Highline Group. He served as a Dean of the Calloway School of Business and Accountancy at Wake Forest University and Babcock Graduate School of Management at Wake Forest University. He was executive in residence at Wake Forest University. Mr. Reinemund served as Dean of Business and Professor of Leadership and Strategy at Wake Forest University since July 1, 2008 until June 2014. Mr. Reinemund held a distinguished career with PepsiCo, Inc. He served as the Executive Chairman of Pepsico Inc., from October 1, 2006 to May 2, 2007 and also served as its Chief Executive Officer from May 2001 to October 1, 2006 and as Chairman and Chief Executive Officer from May 2001 to October 2006. He served as the President and Chief Operating Officer of PepsiCo Inc., from September 1999 to May 2001. He began his career with PepsiCo Inc., in 1984 as a Senior Operating Officer of Pizza Hut Inc., and also served as its President and Chief Executive Officer since 1986. He served as the President and Chief Executive Officer of Pizza Hut Worldwide since 1991. He served as the Chief Executive Officer and President at Frito-Lay Inc., since 1992 and also served as its Chairman. He served as the Chairman and Chief Executive Officer of PepsiCo's global Frito-Lay business from 1996 to 1999. From 1992 to 1996, he led Frito-Lay North America. He served five years as an Officer in the United States Marine Corps, achieved the rank of Captain. He served as the Chairman of PepsiCo Inc., since May 2007. From 1990 to 1999, he served as the Chairman of Salvation Army from 1996 to 1999 and also serves on National Advisory Board. He served as the Chairman of the National Minority Supplier Development Council from 2005 to 2007. He served as an Independent Non-Executive Director at Exxon Mobil Corporation since May 30, 2007 until May 2020 and served as its Presiding Director since 2016. He has been an Independent Director of Walmart Inc. (formerly known as Wal-Mart Stores, Inc.), since 2010 and Chick-fil-A, Inc. since July 2015. He served as an Independent Director of Marriott International, Inc. from April 27, 2007 to May 8, 2020. He serves as a Director of The Cooper Institute since 2010. He serves as a Member of Advisory Board at The British-American Business Council. He served as a Director at American Express Company from 2007 to May 11, 2015. He served as a Board Member at Defense Business Board. He served as a Director of Business Council of New York State Inc. Mr. Reinemund served as a Director of Johnson &amp; Johnson from October 14, 2003 to April 24, 2008. He served as a Director of Frito-Lay, Inc. He serves as a Director of the United States Naval Academy Foundation. Mr. Reinemund served as a Director of Grocery Manufacturers Association. He served as a Director of PepsiCo Inc., from 1996 to May 2, 2007. He served on National Council of La Raza and honored with its President's Award in 1997. He was also awarded the Salvation Army's top volunteer award, The Order of Auxiliary Service Medal. He was honored with the William Booth Award in 1999 and the 1998 Excellence in Board Leadership Award from The National Assembly of National Voluntary Health and Social Welfare Organizations. He serves as an Independent Director at Catalyst Partners Acquisition Corp. since May 2021. He was twice named to Barron’s “World’s Most Respected CEO List" and was named to Businessweek’s Top 25 “Managers of the Year” in 2002 and 2005. He is a seasoned business executive with deep operational leadership experience. He holds a Master's of Business Adminis</v>
      </c>
      <c r="C95" s="1497"/>
      <c r="J95" s="511">
        <v>3</v>
      </c>
      <c r="L95" s="421">
        <v>273</v>
      </c>
      <c r="M95" s="511">
        <f t="shared" si="4"/>
        <v>273</v>
      </c>
      <c r="N95" s="511">
        <f t="shared" si="5"/>
        <v>3</v>
      </c>
    </row>
    <row r="96" spans="2:14" ht="22.5" customHeight="1" x14ac:dyDescent="0.2">
      <c r="B96" s="1498" t="s">
        <v>1338</v>
      </c>
      <c r="C96" s="1497"/>
      <c r="J96" s="511">
        <v>3</v>
      </c>
      <c r="K96" s="511" t="str">
        <f>"Job functions: " &amp; VLOOKUP(Professionals!$J96,'CIQ Professionals'!$A$16:$J$26,10,0)</f>
        <v>Job functions: Chairman of Compensation Committee, Chairman of Finance Committee, Chairman of Strategy/Strategic Planning Committee, Member of Compensation Committee, Member of Compensation Committee(Prior), Member of Corporate Governance Committee, Member of Finance Committee(Prior), Member of Nominating Committee, Member of Strategy/Strategic Planning Committee(Prior), Member of the Board of Directors</v>
      </c>
      <c r="L96" s="421">
        <v>273</v>
      </c>
      <c r="M96" s="511">
        <f t="shared" si="4"/>
        <v>273</v>
      </c>
      <c r="N96" s="511">
        <f t="shared" si="5"/>
        <v>3</v>
      </c>
    </row>
    <row r="97" spans="2:14" ht="22.5" customHeight="1" x14ac:dyDescent="0.2">
      <c r="B97" s="1498" t="s">
        <v>1339</v>
      </c>
      <c r="C97" s="1497"/>
      <c r="J97" s="511">
        <v>3</v>
      </c>
      <c r="K97" s="511" t="str">
        <f>"Other Boards:" &amp; IF(VLOOKUP(Professionals!$J97,'CIQ Professionals'!$A$16:$J$26,8,0)=Input!$C$9,""," [Active] " &amp; IF(ISERROR(SEARCH(Input!$C$9,VLOOKUP(Professionals!$J97,'CIQ Professionals'!$A$16:$J$26,8,0),1)),VLOOKUP(Professionals!$J97,'CIQ Professionals'!$A$16:$J$26,8,0),REPLACE(VLOOKUP(Professionals!$J97,'CIQ Professionals'!$A$16:$J$26,8,0),SEARCH(Input!$C$9,VLOOKUP(Professionals!$J97,'CIQ Professionals'!$A$16:$J$26,8,0),1), LEN(Input!$C$9)+1,""))) &amp; " [Prior] " &amp; VLOOKUP(Professionals!$J97,'CIQ Professionals'!$A$16:$J$26,9,0)</f>
        <v>Other Boards: [Active] Catalyst Partners Acquisition Corp., Chick-fil-A, Inc., Vertiv Group Corporation, Vertiv Holding Corporation, Vertiv Holdings Co,  [Prior] American Express Company, Business Council of New York State Inc., Defense Business Board, Exxon Mobil Corporation, Frito-Lay, Inc., Grocery Manufacturers Association, GS Acquisition Holdings Corp, GS Acquisition Holdings Corp II, Johnson &amp; Johnson, Marriott International, Inc., PepsiCo, Inc.</v>
      </c>
      <c r="L97" s="421">
        <v>273</v>
      </c>
      <c r="M97" s="511">
        <f t="shared" si="4"/>
        <v>273</v>
      </c>
      <c r="N97" s="511">
        <f t="shared" si="5"/>
        <v>3</v>
      </c>
    </row>
    <row r="98" spans="2:14" ht="12.75" customHeight="1" x14ac:dyDescent="0.2">
      <c r="B98" s="1498" t="s">
        <v>1340</v>
      </c>
      <c r="C98" s="1497"/>
      <c r="J98" s="511">
        <v>3</v>
      </c>
      <c r="K98" s="511" t="str">
        <f>"Other Company Affiliations:" &amp; " [Active] " &amp; IF(VLOOKUP(Professionals!$J95,'CIQ Professionals'!$A$16:$J$26,6,0)=Input!$C$9,"NA", IF(ISERROR(SEARCH(Input!$C$9,VLOOKUP(Professionals!$J95,'CIQ Professionals'!$A$16:$J$26,6,0),1)),VLOOKUP(Professionals!$J95,'CIQ Professionals'!$A$16:$J$26,6,0),REPLACE(VLOOKUP(Professionals!$J95,'CIQ Professionals'!$A$16:$J$26,6,0),SEARCH(Input!$C$9,VLOOKUP(Professionals!$J95,'CIQ Professionals'!$A$16:$J$26,6,0),1), LEN(Input!$C$9)+1,""))) &amp; " [Prior] " &amp; VLOOKUP(Professionals!$J98,'CIQ Professionals'!$A$16:$J$26,7,0)</f>
        <v>Other Company Affiliations: [Active] Highline Group [Prior] Babcock Graduate School of Management, Wake Forest University, Calloway School of Business and Accountancy, Wake Forest University, Frito-Lay, Inc., PepsiCo, Inc.</v>
      </c>
      <c r="L98" s="421">
        <v>273</v>
      </c>
      <c r="M98" s="511">
        <f t="shared" si="4"/>
        <v>273</v>
      </c>
      <c r="N98" s="511">
        <f t="shared" si="5"/>
        <v>3</v>
      </c>
    </row>
    <row r="99" spans="2:14" x14ac:dyDescent="0.2">
      <c r="B99" s="1479" t="str">
        <f>VLOOKUP(Professionals!$J99,'CIQ Professionals'!$A$16:$J$26,3,0)</f>
        <v>Flynn, Timothy</v>
      </c>
      <c r="C99" s="1479" t="str">
        <f>VLOOKUP(Professionals!$J99,'CIQ Professionals'!$A$16:$J$26,4,0)</f>
        <v>Independent Director</v>
      </c>
      <c r="J99" s="511">
        <v>4</v>
      </c>
      <c r="L99" s="421">
        <v>139.5</v>
      </c>
      <c r="M99" s="511">
        <f t="shared" si="4"/>
        <v>412.5</v>
      </c>
      <c r="N99" s="511">
        <f t="shared" si="5"/>
        <v>3</v>
      </c>
    </row>
    <row r="100" spans="2:14" ht="78.75" customHeight="1" x14ac:dyDescent="0.2">
      <c r="B100" s="1496" t="str">
        <f>VLOOKUP(Professionals!$J99,'CIQ Professionals'!$A$16:$J$26,5,0)</f>
        <v>Mr. Timothy Patrick Flynn, also known as Tim, has been an Independent Director of UnitedHealth Group Incorporated since January 17, 2017. Mr. Flynn served as Advisory Chairman of BT Americas Inc. Mr. Flynn served as the Chief Executive Officer at KPMG LLP from 2005 to 2008. Mr. Flynn served as Global Managing Partner of Audit for KPMG International. As the global managing Partner, where he Chaired the global audit steering group and served as a Member of the International Executive Team of KPMG International. Mr. Flynn held a number of key leadership positions throughout his 32 years at KPMG, providing him with perspective on the issues facing major companies and the evolving business environment. He joined a predecessor of KPMG in 1979 and became a Partner in 1988. He served as an Audit Partner on accounts for technology and manufacturing companies. He served as Client Service Partner for some of KPMG's largest clients, including those in the financial services industry and led a cultural transformation that made that firm one of Fortune's Top 100 Great Places to Work. He served as the Chairman of KPMG International Cooperative from October 1, 2007 to September 30, 2011 and led a team of senior Partners responsible for the management and operations of the global network and led a Board of senior Partners responsible for strategy, oversight, risk management and governance of the global network. During his Chairmanship of KPMG LLP, he led the redesign of governance, compensation and incentive programs focusing on integrity, professionalism and personal accountability. He served as the Chairman of KPMG International from 2007 until October 2011. He served as the Chairman of KPMG LLP from 2005 to June 2010. Mr. Flynn served as Vice Chairman of Audit &amp; Risk Advisory Services for KPMG LLP and also served as Vice Chairman of Human Resources from 1996 to 2001. He has been an Independent Director at Walmart Inc. since July 27, 2012. He has been a Director of kCura LLC since August 28, 2017. He has been an Independent Director of JPMorgan Chase &amp; Co. since May 15, 2012. He had been an Independent Director of Alcoa Corporation since November 1, 2016 until May 6, 2021. He is a Director of J.P. Morgan Securities Plc. since June 3, 2020. He is a Director of JPMorgan Chase Bank, Dearborn. He is a Director of JPMorgan Chase Bank, National Association since 2016. He is a Director of Relativity ODA LLC since August 28, 2017. He serves on the Board of Directors of the New York YMCA and Alcoa. Mr. Flynn serves as a Member of Strategic Board of Governors of Opus College of Business. He served as a Director of Committee Encouraging Corporate Philanthropy. He served as a Trustee of Financial Accounting Foundation Inc. He served as a Director of KPMG International Cooperative until September 30, 2011. He served as Director of The Chubb Corporation from September 4, 2013 until January 2016. He served as a Director at KPMG LLP until June 2010. He serves as a Member of the Dean's Advisory Council within Villanova University's College of Commerce and Finance. He serves as a Trustee of The University of St. Thomas, St. Paul, Minnesota. He served as a Trustee of the Financial Accounting Standards Board, a Member of the World Economic Forum's International Business Council and a Founding Member of The Prince of Wales' International Integrated Reporting Committee. Mr. Flynn holds a Bachelor's Degree in Accounting from The University of St. Thomas, St. Paul, Minnesota. He served as Director of Chase Bank USA, N.A.</v>
      </c>
      <c r="C100" s="1497"/>
      <c r="J100" s="511">
        <v>4</v>
      </c>
      <c r="L100" s="421">
        <v>139.5</v>
      </c>
      <c r="M100" s="511">
        <f t="shared" si="4"/>
        <v>412.5</v>
      </c>
      <c r="N100" s="511">
        <f t="shared" si="5"/>
        <v>3</v>
      </c>
    </row>
    <row r="101" spans="2:14" ht="22.5" customHeight="1" x14ac:dyDescent="0.2">
      <c r="B101" s="1498" t="s">
        <v>1341</v>
      </c>
      <c r="C101" s="1497"/>
      <c r="J101" s="511">
        <v>4</v>
      </c>
      <c r="K101" s="511" t="str">
        <f>"Job functions: " &amp; VLOOKUP(Professionals!$J101,'CIQ Professionals'!$A$16:$J$26,10,0)</f>
        <v>Job functions: Chairman of Audit Committee, Member of Audit Committee, Member of Finance Committee(Prior), Member of Strategy/Strategic Planning Committee(Prior), Member of the Board of Directors</v>
      </c>
      <c r="L101" s="421">
        <v>139.5</v>
      </c>
      <c r="M101" s="511">
        <f t="shared" si="4"/>
        <v>412.5</v>
      </c>
      <c r="N101" s="511">
        <f t="shared" si="5"/>
        <v>3</v>
      </c>
    </row>
    <row r="102" spans="2:14" ht="12.75" customHeight="1" x14ac:dyDescent="0.2">
      <c r="B102" s="1498" t="s">
        <v>1342</v>
      </c>
      <c r="C102" s="1497"/>
      <c r="J102" s="511">
        <v>4</v>
      </c>
      <c r="K102" s="511" t="str">
        <f>"Other Boards:" &amp; IF(VLOOKUP(Professionals!$J102,'CIQ Professionals'!$A$16:$J$26,8,0)=Input!$C$9,""," [Active] " &amp; IF(ISERROR(SEARCH(Input!$C$9,VLOOKUP(Professionals!$J102,'CIQ Professionals'!$A$16:$J$26,8,0),1)),VLOOKUP(Professionals!$J102,'CIQ Professionals'!$A$16:$J$26,8,0),REPLACE(VLOOKUP(Professionals!$J102,'CIQ Professionals'!$A$16:$J$26,8,0),SEARCH(Input!$C$9,VLOOKUP(Professionals!$J102,'CIQ Professionals'!$A$16:$J$26,8,0),1), LEN(Input!$C$9)+1,""))) &amp; " [Prior] " &amp; VLOOKUP(Professionals!$J102,'CIQ Professionals'!$A$16:$J$26,9,0)</f>
        <v>Other Boards: [Active] J.P. Morgan Securities plc, JPMorgan Chase &amp; Co., JPMorgan Chase Bank, Dearborn, JPMorgan Chase Bank, National Association, Relativity ODA LLC, UnitedHealth Group Incorporated,  [Prior] Alcoa Corporation, BT Americas Inc., Chase Bank USA, N.A., Financial Accounting Foundation Inc., KPMG International Cooperative, KPMG LLP, The Chubb Corporation</v>
      </c>
      <c r="L102" s="421">
        <v>139.5</v>
      </c>
      <c r="M102" s="511">
        <f t="shared" si="4"/>
        <v>412.5</v>
      </c>
      <c r="N102" s="511">
        <f t="shared" si="5"/>
        <v>3</v>
      </c>
    </row>
    <row r="103" spans="2:14" ht="12.75" customHeight="1" x14ac:dyDescent="0.2">
      <c r="B103" s="1498" t="s">
        <v>1343</v>
      </c>
      <c r="C103" s="1497"/>
      <c r="J103" s="511">
        <v>4</v>
      </c>
      <c r="K103" s="511" t="str">
        <f>"Other Company Affiliations:" &amp; " [Active] " &amp; IF(VLOOKUP(Professionals!$J100,'CIQ Professionals'!$A$16:$J$26,6,0)=Input!$C$9,"NA", IF(ISERROR(SEARCH(Input!$C$9,VLOOKUP(Professionals!$J100,'CIQ Professionals'!$A$16:$J$26,6,0),1)),VLOOKUP(Professionals!$J100,'CIQ Professionals'!$A$16:$J$26,6,0),REPLACE(VLOOKUP(Professionals!$J100,'CIQ Professionals'!$A$16:$J$26,6,0),SEARCH(Input!$C$9,VLOOKUP(Professionals!$J100,'CIQ Professionals'!$A$16:$J$26,6,0),1), LEN(Input!$C$9)+1,""))) &amp; " [Prior] " &amp; VLOOKUP(Professionals!$J103,'CIQ Professionals'!$A$16:$J$26,7,0)</f>
        <v>Other Company Affiliations: [Active] 0 [Prior] KPMG LLP</v>
      </c>
      <c r="L103" s="421">
        <v>139.5</v>
      </c>
      <c r="M103" s="511">
        <f t="shared" si="4"/>
        <v>412.5</v>
      </c>
      <c r="N103" s="511">
        <f t="shared" si="5"/>
        <v>3</v>
      </c>
    </row>
    <row r="104" spans="2:14" x14ac:dyDescent="0.2">
      <c r="B104" s="1479" t="str">
        <f>VLOOKUP(Professionals!$J104,'CIQ Professionals'!$A$16:$J$26,3,0)</f>
        <v>Horton, Thomas</v>
      </c>
      <c r="C104" s="1479" t="str">
        <f>VLOOKUP(Professionals!$J104,'CIQ Professionals'!$A$16:$J$26,4,0)</f>
        <v>Lead Independent Director</v>
      </c>
      <c r="J104" s="511">
        <v>5</v>
      </c>
      <c r="L104" s="421">
        <v>285.75</v>
      </c>
      <c r="M104" s="511">
        <f t="shared" si="4"/>
        <v>285.75</v>
      </c>
      <c r="N104" s="511">
        <f t="shared" si="5"/>
        <v>4</v>
      </c>
    </row>
    <row r="105" spans="2:14" ht="225" customHeight="1" x14ac:dyDescent="0.2">
      <c r="B105" s="1496" t="str">
        <f>VLOOKUP(Professionals!$J104,'CIQ Professionals'!$A$16:$J$26,5,0)</f>
        <v>Mr. Thomas W. Horton, also known as Tom, has been Director of EnLink Midstream Manager, LLC, Managing Member of EnLink Midstream LLC since August 2019. He is a Partner at Global Infrastructure Partners, an infrastructure investment fund, New York, NY since 2019. Mr. Horton serves as Director at EnLink Midstream Partners, LP. Mr. Horton has been an Independent Director of General Electric Company since April 25, 2018 and as its Lead Independent Director since October 1, 2018. Mr. Horton had been a Senior Advisor at Warburg Pincus since October 20, 2015 until 2019. Mr. Horton is a part of Industrials and Business Services Group. He served as the Chief Executive Officer of American Airlines Group Inc. from November 28, 2011 to December 2013 and its President from July 2010 to December 2013. Mr. Horton served as the Chairman and Chief Executive Officer of American Airlines, Inc. from 2011 to 2014. He served as the Chief Financial Officer of American Airlines Group Inc. since March 29, 2006 and also served as its Executive Vice President of Finance &amp; Planning and Principal Accounting Officer. He served as the Chief Financial Officer of American Airlines, Inc. since March 2006 and served as its Executive Vice President of Finance &amp; Planning and Principal Accounting Officer. He has business and financial experience. He served as an Executive Vice President and Chief Financial Officer of American Airlines Group Inc and American Airlines, Inc., from March 2006 to July 2010. Mr. Horton served as an Executive Vice President of Finance and Planning at American Airlines Group Inc. from March 29, 2006 to 2010. Mr. Horton served as a Senior Vice President of Finance at American Airlines, Inc and also served as a Senior Vice President and Chief Financial Officer of American Airlines Group Inc. from January 2000 to 2002. Mr. Horton joined American Airlines Group Inc. in 1985 and held a range of senior financial positions including Vice President and Controller. Mr. Horton served as Vice President of Europe of American Airlines from January 1998 to January 2000 and Vice President and Controller of American Airlines from 1994 to 1998. Prior to American Airlines Group Inc., and American Airlines, Mr. Horton served as a Senior Executive Vice President and Chief Financial Officer of AT&amp;T Corp., since June 2002 until February 2006. From 1998 to 2000, he served as Vice President with general management responsibility for American Airlines Group’s primary international operations. He was Chairman and Chief Executive Officer of AMR Corporation from 2010 to 2013 and served as its Chief Financial Officer from 2006 to 2010. During his tenure as Chief Financial Officer, he oversaw American's acquisition of TWA in 2001. He is a highly respected business executive and Partner at GIP. He has been Chairman of The Oneworld Alliance since December 15, 2011. He serves as the Chairman of US Airways Group, Inc. and US Airways Inc. Mr. Horton served as the Chairman of American Airlines Group Inc. since December 2013 until June 4, 2014. He served as Vice Chairman of AT&amp;T Corp., from January 2005 to February 2006. He serves as a Director of American Airlines, Inc. He has been an Independent Director of Walmart Inc. (formerly known as Wal-Mart Stores, Inc.), since November 21, 2014 and its Lead Independent Director since June 05, 2018. He had been Lead Director and Director of QUALCOMM Incorporated since December 12, 2008 until March 2019 and its Lead Director since 2015. He has been a Director of US Airways Inc. and US Airways Group, Inc. since December 9, 2013. He serves as a Member of Executive Board at the Cox School of Business at Southern Methodist University. He served as a Director of Orbitz, Inc., since September 2000. He served as a Director of Expressjet Holdings Inc., from August 12, 2005 to March 29, 2006. He is Member of the Board of the National Air and Space Museum. Mr. Horton is a Certified Public Accountant. He holds a B.B.A. degree magna cum laude in</v>
      </c>
      <c r="C105" s="1497"/>
      <c r="J105" s="511">
        <v>5</v>
      </c>
      <c r="L105" s="421">
        <v>285.75</v>
      </c>
      <c r="M105" s="511">
        <f t="shared" si="4"/>
        <v>285.75</v>
      </c>
      <c r="N105" s="511">
        <f t="shared" si="5"/>
        <v>4</v>
      </c>
    </row>
    <row r="106" spans="2:14" ht="12.75" customHeight="1" x14ac:dyDescent="0.2">
      <c r="B106" s="1498" t="s">
        <v>1344</v>
      </c>
      <c r="C106" s="1497"/>
      <c r="J106" s="511">
        <v>5</v>
      </c>
      <c r="K106" s="511" t="str">
        <f>"Job functions: " &amp; VLOOKUP(Professionals!$J106,'CIQ Professionals'!$A$16:$J$26,10,0)</f>
        <v>Job functions: Chairman of Corporate Governance Committee, Chairman of Finance Committee(Prior), Chairman of Nominating Committee, Chairman of Strategy/Strategic Planning Committee(Prior), Lead Director, Member of Audit Committee, Member of Corporate Governance Committee, Member of Executive Committee, Member of Finance Committee, Member of Nominating Committee, Member of the Board of Directors</v>
      </c>
      <c r="L106" s="421">
        <v>285.75</v>
      </c>
      <c r="M106" s="511">
        <f t="shared" si="4"/>
        <v>285.75</v>
      </c>
      <c r="N106" s="511">
        <f t="shared" si="5"/>
        <v>4</v>
      </c>
    </row>
    <row r="107" spans="2:14" ht="22.5" customHeight="1" x14ac:dyDescent="0.2">
      <c r="B107" s="1498" t="s">
        <v>1345</v>
      </c>
      <c r="C107" s="1497"/>
      <c r="J107" s="511">
        <v>5</v>
      </c>
      <c r="K107" s="511" t="str">
        <f>"Other Boards:" &amp; IF(VLOOKUP(Professionals!$J107,'CIQ Professionals'!$A$16:$J$26,8,0)=Input!$C$9,""," [Active] " &amp; IF(ISERROR(SEARCH(Input!$C$9,VLOOKUP(Professionals!$J107,'CIQ Professionals'!$A$16:$J$26,8,0),1)),VLOOKUP(Professionals!$J107,'CIQ Professionals'!$A$16:$J$26,8,0),REPLACE(VLOOKUP(Professionals!$J107,'CIQ Professionals'!$A$16:$J$26,8,0),SEARCH(Input!$C$9,VLOOKUP(Professionals!$J107,'CIQ Professionals'!$A$16:$J$26,8,0),1), LEN(Input!$C$9)+1,""))) &amp; " [Prior] " &amp; VLOOKUP(Professionals!$J107,'CIQ Professionals'!$A$16:$J$26,9,0)</f>
        <v>Other Boards: [Active] American Airlines, Inc., EnLink Midstream Partners, LP, EnLink Midstream, LLC, General Electric Company, The Oneworld Alliance,  [Prior] American Airlines Group Inc., AT&amp;T Corp., ExpressJet Holdings Inc., Orbitz, Inc., QUALCOMM Incorporated, US Airways Group, Inc., US Airways Inc.</v>
      </c>
      <c r="L107" s="421">
        <v>285.75</v>
      </c>
      <c r="M107" s="511">
        <f t="shared" si="4"/>
        <v>285.75</v>
      </c>
      <c r="N107" s="511">
        <f t="shared" si="5"/>
        <v>4</v>
      </c>
    </row>
    <row r="108" spans="2:14" ht="12.75" customHeight="1" x14ac:dyDescent="0.2">
      <c r="B108" s="1498" t="s">
        <v>1346</v>
      </c>
      <c r="C108" s="1497"/>
      <c r="J108" s="511">
        <v>5</v>
      </c>
      <c r="K108" s="511" t="str">
        <f>"Other Company Affiliations:" &amp; " [Active] " &amp; IF(VLOOKUP(Professionals!$J105,'CIQ Professionals'!$A$16:$J$26,6,0)=Input!$C$9,"NA", IF(ISERROR(SEARCH(Input!$C$9,VLOOKUP(Professionals!$J105,'CIQ Professionals'!$A$16:$J$26,6,0),1)),VLOOKUP(Professionals!$J105,'CIQ Professionals'!$A$16:$J$26,6,0),REPLACE(VLOOKUP(Professionals!$J105,'CIQ Professionals'!$A$16:$J$26,6,0),SEARCH(Input!$C$9,VLOOKUP(Professionals!$J105,'CIQ Professionals'!$A$16:$J$26,6,0),1), LEN(Input!$C$9)+1,""))) &amp; " [Prior] " &amp; VLOOKUP(Professionals!$J108,'CIQ Professionals'!$A$16:$J$26,7,0)</f>
        <v>Other Company Affiliations: [Active] 0 [Prior] American Airlines Group Inc., American Airlines, Inc., AT&amp;T Corp., Warburg Pincus LLC</v>
      </c>
      <c r="L108" s="421">
        <v>285.75</v>
      </c>
      <c r="M108" s="511">
        <f t="shared" si="4"/>
        <v>285.75</v>
      </c>
      <c r="N108" s="511">
        <f t="shared" si="5"/>
        <v>4</v>
      </c>
    </row>
    <row r="109" spans="2:14" x14ac:dyDescent="0.2">
      <c r="B109" s="1479" t="str">
        <f>VLOOKUP(Professionals!$J109,'CIQ Professionals'!$A$16:$J$26,3,0)</f>
        <v>Friar, Sarah</v>
      </c>
      <c r="C109" s="1479" t="str">
        <f>VLOOKUP(Professionals!$J109,'CIQ Professionals'!$A$16:$J$26,4,0)</f>
        <v>Independent Director</v>
      </c>
      <c r="J109" s="511">
        <v>6</v>
      </c>
      <c r="L109" s="421">
        <v>173.25</v>
      </c>
      <c r="M109" s="511">
        <f t="shared" si="4"/>
        <v>173.25</v>
      </c>
      <c r="N109" s="511">
        <f t="shared" si="5"/>
        <v>5</v>
      </c>
    </row>
    <row r="110" spans="2:14" ht="112.5" customHeight="1" x14ac:dyDescent="0.2">
      <c r="B110" s="1496" t="str">
        <f>VLOOKUP(Professionals!$J109,'CIQ Professionals'!$A$16:$J$26,5,0)</f>
        <v>Ms. Sarah J. Friar is Co-Founder of Ladies Who Launch, L.L.C. She serves as an Independent Director at Dragoneer Growth Opportunities Corp. II. Ms. Friar has been Member of Strategic Advisory Board since March 2021 at Anthemis Group SA. She has been an Independent Director of Dragoneer Growth Opportunities Corp. III since March 22, 2021. She serves as Member of Advisors at States Title Holding, Inc. Ms. Friar has been an Independent Director at Dragoneer Growth Opportunities Corp., since August 13, 2020. She has been Chief Executive Officer at Nextdoor Holdings, Inc. (formerly known as Nextdoor, Inc.) since December 2018 and President and as Chairperson of the Board of Directors since November 2021. She is Director at Nextdoor Holdings, Inc. (formerly known as Nextdoor, Inc.) Ms. Friar has been an Independent Director of Walmart Inc. since February 8, 2018. She served as Chief Financial Officer and Treasurer at Square, Inc. since July 2012 until November 16, 2018. She served as the Senior Vice President of Finance &amp; Strategy at Salesforce.com, Inc., from April 2011 to July 2012. Previously, she served in various positions from 2002 to 2012 at The Goldman Sachs Group, Inc. She was an Analyst at Goldman Sachs Group Inc., Research Division. Ms. Friar served as the Managing Director, Business Unit Leader for Technology and Lead Software Analyst/Analyst at Goldman Sachs Group Inc., Research Division. From July 2000 to April 2011, she spent at Goldman Sachs in corporate finance, M&amp;A and equity research and ultimately as Business Leader for the GS Technology Research group. Ms. Friar joined Goldman Sachs in 2000 as an Associate in the Technology Investment Banking Group. In 2002, she joined Global Investment Research to cover software stocks. Ms. Friar served as Managing Director at Goldman Sachs since 2006. Since 2007, at Goldman, she was the Business Unit Leader for the Technology sector, part of the broader TMT Research group in Americas Equity Research. Prior to joining Goldman, Ms. Friar worked as a Consultant for McKinsey &amp; Company in both London and South Africa. She is Vice-Chair of the Board of Spark Program Inc. She served as an Independent Director of New Relic, Inc., from June 2014 to April 30, 2018. She has been Independent Director of Slack Technologies, Inc., since March 2017. She serves as a Member of Business Advisory Council at Illuminate Ventures. She served as a Director of Model N, Inc., from September 2012 to May 31, 2015. Ms. Friar holds an MBA from Stanford University Graduate School of Business (1998-2000) and a Masters of Engineering, in Metallurgy, Economics and Management from the University of Oxford in (1992-1996).</v>
      </c>
      <c r="C110" s="1497"/>
      <c r="J110" s="511">
        <v>6</v>
      </c>
      <c r="L110" s="421">
        <v>173.25</v>
      </c>
      <c r="M110" s="511">
        <f t="shared" si="4"/>
        <v>173.25</v>
      </c>
      <c r="N110" s="511">
        <f t="shared" si="5"/>
        <v>5</v>
      </c>
    </row>
    <row r="111" spans="2:14" ht="22.5" customHeight="1" x14ac:dyDescent="0.2">
      <c r="B111" s="1498" t="s">
        <v>1347</v>
      </c>
      <c r="C111" s="1497"/>
      <c r="J111" s="511">
        <v>6</v>
      </c>
      <c r="K111" s="511" t="str">
        <f>"Job functions: " &amp; VLOOKUP(Professionals!$J111,'CIQ Professionals'!$A$16:$J$26,10,0)</f>
        <v>Job functions: Chairman of Finance Committee, Member of Audit Committee, Member of Finance Committee, Member of the Board of Directors</v>
      </c>
      <c r="L111" s="421">
        <v>173.25</v>
      </c>
      <c r="M111" s="511">
        <f t="shared" si="4"/>
        <v>173.25</v>
      </c>
      <c r="N111" s="511">
        <f t="shared" si="5"/>
        <v>5</v>
      </c>
    </row>
    <row r="112" spans="2:14" ht="12.75" customHeight="1" x14ac:dyDescent="0.2">
      <c r="B112" s="1498" t="s">
        <v>1348</v>
      </c>
      <c r="C112" s="1497"/>
      <c r="J112" s="511">
        <v>6</v>
      </c>
      <c r="K112" s="511" t="str">
        <f>"Other Boards:" &amp; IF(VLOOKUP(Professionals!$J112,'CIQ Professionals'!$A$16:$J$26,8,0)=Input!$C$9,""," [Active] " &amp; IF(ISERROR(SEARCH(Input!$C$9,VLOOKUP(Professionals!$J112,'CIQ Professionals'!$A$16:$J$26,8,0),1)),VLOOKUP(Professionals!$J112,'CIQ Professionals'!$A$16:$J$26,8,0),REPLACE(VLOOKUP(Professionals!$J112,'CIQ Professionals'!$A$16:$J$26,8,0),SEARCH(Input!$C$9,VLOOKUP(Professionals!$J112,'CIQ Professionals'!$A$16:$J$26,8,0),1), LEN(Input!$C$9)+1,""))) &amp; " [Prior] " &amp; VLOOKUP(Professionals!$J112,'CIQ Professionals'!$A$16:$J$26,9,0)</f>
        <v>Other Boards: [Active] Anthemis Group SA, Doma Holdings Inc., Dragoneer Growth Opportunities Corp. III, Illuminate Ventures, Nextdoor Holdings, Inc., Slack Technologies, Inc.,  [Prior] Dragoneer Growth Opportunities Corp., Dragoneer Growth Opportunities Corp. II, Model N, Inc., New Relic, Inc.</v>
      </c>
      <c r="L112" s="421">
        <v>173.25</v>
      </c>
      <c r="M112" s="511">
        <f t="shared" si="4"/>
        <v>173.25</v>
      </c>
      <c r="N112" s="511">
        <f t="shared" si="5"/>
        <v>5</v>
      </c>
    </row>
    <row r="113" spans="2:14" ht="12.75" customHeight="1" x14ac:dyDescent="0.2">
      <c r="B113" s="1498" t="s">
        <v>1349</v>
      </c>
      <c r="C113" s="1497"/>
      <c r="J113" s="511">
        <v>6</v>
      </c>
      <c r="K113" s="511" t="str">
        <f>"Other Company Affiliations:" &amp; " [Active] " &amp; IF(VLOOKUP(Professionals!$J110,'CIQ Professionals'!$A$16:$J$26,6,0)=Input!$C$9,"NA", IF(ISERROR(SEARCH(Input!$C$9,VLOOKUP(Professionals!$J110,'CIQ Professionals'!$A$16:$J$26,6,0),1)),VLOOKUP(Professionals!$J110,'CIQ Professionals'!$A$16:$J$26,6,0),REPLACE(VLOOKUP(Professionals!$J110,'CIQ Professionals'!$A$16:$J$26,6,0),SEARCH(Input!$C$9,VLOOKUP(Professionals!$J110,'CIQ Professionals'!$A$16:$J$26,6,0),1), LEN(Input!$C$9)+1,""))) &amp; " [Prior] " &amp; VLOOKUP(Professionals!$J113,'CIQ Professionals'!$A$16:$J$26,7,0)</f>
        <v>Other Company Affiliations: [Active] Ladies Who Launch, L.L.C., Nextdoor Holdings, Inc. [Prior] Block, Inc., Goldman Sachs Group, Inc., Research Division</v>
      </c>
      <c r="L113" s="421">
        <v>173.25</v>
      </c>
      <c r="M113" s="511">
        <f t="shared" si="4"/>
        <v>173.25</v>
      </c>
      <c r="N113" s="511">
        <f t="shared" si="5"/>
        <v>5</v>
      </c>
    </row>
    <row r="114" spans="2:14" x14ac:dyDescent="0.2">
      <c r="B114" s="1479" t="str">
        <f>VLOOKUP(Professionals!$J114,'CIQ Professionals'!$A$16:$J$26,3,0)</f>
        <v>Walton, S.</v>
      </c>
      <c r="C114" s="1479" t="str">
        <f>VLOOKUP(Professionals!$J114,'CIQ Professionals'!$A$16:$J$26,4,0)</f>
        <v>Director</v>
      </c>
      <c r="J114" s="511">
        <v>7</v>
      </c>
      <c r="L114" s="421">
        <v>195.75</v>
      </c>
      <c r="M114" s="511">
        <f t="shared" si="4"/>
        <v>369</v>
      </c>
      <c r="N114" s="511">
        <f t="shared" si="5"/>
        <v>5</v>
      </c>
    </row>
    <row r="115" spans="2:14" ht="135" customHeight="1" x14ac:dyDescent="0.2">
      <c r="B115" s="1496" t="str">
        <f>VLOOKUP(Professionals!$J114,'CIQ Professionals'!$A$16:$J$26,5,0)</f>
        <v>Mr. S. Robson Walton, also known as Rob, J.D., serves as an Advisor of Greener Capital Management, LLC. Mr. Walton served as Senior Vice President, Secretary and General Counsel of Walmart Inc. (formerly known as Wal-Mart Stores, Inc.) since joined in 1969. Prior to Walmart Inc. (formerly known as Wal-Mart Stores, Inc.), he was in private law practice as a Partner with the law firm of Conner and Winters in Tulsa, Okla. Mr. Walton served as the Chairman of Walmart Inc. (formerly known as Wal-Mart Stores, Inc.), from 1992 to June 5, 2015 and previously served as its Vice Chairman. He has been a Director at Walmart Inc. (formerly known as Wal-Mart Stores, Inc.), since 1978. He served as a Director of Hope Enterprise Corporation and Walton Family Foundation Inc., The. He serves as a Trustee at Wooster College. He serves as a Director and Member of Executive Committee of Conservation International. Mr. Walton serves as a Member of Campaign Advisory Committee, Program Committee and Corporate Partnership Committee Chairman and Business Chairman on the Conservation International Center for Environmental Leadership. In addition to his duties at Walmart, Mr. Walton is involved with a number of non-profit and educational organizations, including Conservation International, where he serves as Chairman of that organization’s executive committee and the College of Wooster, where he is an Emeritus Life Trustee for the college. He received a J.D. degree in 1969 from the Columbia University School of Law in New York. Mr. Walton attended Wooster College and graduated from the University of Arkansas in 1966 with a B.S. degree in Business Administration.</v>
      </c>
      <c r="C115" s="1497"/>
      <c r="J115" s="511">
        <v>7</v>
      </c>
      <c r="L115" s="421">
        <v>195.75</v>
      </c>
      <c r="M115" s="511">
        <f t="shared" si="4"/>
        <v>369</v>
      </c>
      <c r="N115" s="511">
        <f t="shared" si="5"/>
        <v>5</v>
      </c>
    </row>
    <row r="116" spans="2:14" ht="22.5" customHeight="1" x14ac:dyDescent="0.2">
      <c r="B116" s="1498" t="s">
        <v>1350</v>
      </c>
      <c r="C116" s="1497"/>
      <c r="J116" s="511">
        <v>7</v>
      </c>
      <c r="K116" s="511" t="str">
        <f>"Job functions: " &amp; VLOOKUP(Professionals!$J116,'CIQ Professionals'!$A$16:$J$26,10,0)</f>
        <v>Job functions: Chairman of the Board(Prior), Member of Compensation Committee(Prior), Member of Executive Committee, Member of Finance Committee, Member of the Board of Directors</v>
      </c>
      <c r="L116" s="421">
        <v>195.75</v>
      </c>
      <c r="M116" s="511">
        <f t="shared" ref="M116:M133" si="6">IF(J115=0,L116,IF(J116=J115,M115,IF(M115+L116&gt;$N$1,L116,M115+L116)))</f>
        <v>369</v>
      </c>
      <c r="N116" s="511">
        <f t="shared" ref="N116:N133" si="7">IF(N115=0,1,IF(AND(J116&lt;&gt;J115,L116=M116),N115+1,N115))</f>
        <v>5</v>
      </c>
    </row>
    <row r="117" spans="2:14" ht="12.75" customHeight="1" x14ac:dyDescent="0.2">
      <c r="B117" s="1498" t="s">
        <v>1351</v>
      </c>
      <c r="C117" s="1497"/>
      <c r="J117" s="511">
        <v>7</v>
      </c>
      <c r="K117" s="511" t="str">
        <f>"Other Boards:" &amp; IF(VLOOKUP(Professionals!$J117,'CIQ Professionals'!$A$16:$J$26,8,0)=Input!$C$9,""," [Active] " &amp; IF(ISERROR(SEARCH(Input!$C$9,VLOOKUP(Professionals!$J117,'CIQ Professionals'!$A$16:$J$26,8,0),1)),VLOOKUP(Professionals!$J117,'CIQ Professionals'!$A$16:$J$26,8,0),REPLACE(VLOOKUP(Professionals!$J117,'CIQ Professionals'!$A$16:$J$26,8,0),SEARCH(Input!$C$9,VLOOKUP(Professionals!$J117,'CIQ Professionals'!$A$16:$J$26,8,0),1), LEN(Input!$C$9)+1,""))) &amp; " [Prior] " &amp; VLOOKUP(Professionals!$J117,'CIQ Professionals'!$A$16:$J$26,9,0)</f>
        <v>Other Boards: [Prior] Hope Enterprise Corporation</v>
      </c>
      <c r="L117" s="421">
        <v>195.75</v>
      </c>
      <c r="M117" s="511">
        <f t="shared" si="6"/>
        <v>369</v>
      </c>
      <c r="N117" s="511">
        <f t="shared" si="7"/>
        <v>5</v>
      </c>
    </row>
    <row r="118" spans="2:14" ht="12.75" customHeight="1" x14ac:dyDescent="0.2">
      <c r="B118" s="1498" t="s">
        <v>1352</v>
      </c>
      <c r="C118" s="1497"/>
      <c r="J118" s="511">
        <v>7</v>
      </c>
      <c r="K118" s="511" t="str">
        <f>"Other Company Affiliations:" &amp; " [Active] " &amp; IF(VLOOKUP(Professionals!$J115,'CIQ Professionals'!$A$16:$J$26,6,0)=Input!$C$9,"NA", IF(ISERROR(SEARCH(Input!$C$9,VLOOKUP(Professionals!$J115,'CIQ Professionals'!$A$16:$J$26,6,0),1)),VLOOKUP(Professionals!$J115,'CIQ Professionals'!$A$16:$J$26,6,0),REPLACE(VLOOKUP(Professionals!$J115,'CIQ Professionals'!$A$16:$J$26,6,0),SEARCH(Input!$C$9,VLOOKUP(Professionals!$J115,'CIQ Professionals'!$A$16:$J$26,6,0),1), LEN(Input!$C$9)+1,""))) &amp; " [Prior] " &amp; VLOOKUP(Professionals!$J118,'CIQ Professionals'!$A$16:$J$26,7,0)</f>
        <v>Other Company Affiliations: [Active] Greener Capital Management, LLC [Prior] 0</v>
      </c>
      <c r="L118" s="421">
        <v>195.75</v>
      </c>
      <c r="M118" s="511">
        <f t="shared" si="6"/>
        <v>369</v>
      </c>
      <c r="N118" s="511">
        <f t="shared" si="7"/>
        <v>5</v>
      </c>
    </row>
    <row r="119" spans="2:14" x14ac:dyDescent="0.2">
      <c r="B119" s="1479" t="str">
        <f>VLOOKUP(Professionals!$J119,'CIQ Professionals'!$A$16:$J$26,3,0)</f>
        <v>Mayer, Marissa</v>
      </c>
      <c r="C119" s="1479" t="str">
        <f>VLOOKUP(Professionals!$J119,'CIQ Professionals'!$A$16:$J$26,4,0)</f>
        <v>Independent Director</v>
      </c>
      <c r="J119" s="511">
        <v>8</v>
      </c>
      <c r="L119" s="421">
        <v>308.25</v>
      </c>
      <c r="M119" s="511">
        <f t="shared" si="6"/>
        <v>308.25</v>
      </c>
      <c r="N119" s="511">
        <f t="shared" si="7"/>
        <v>6</v>
      </c>
    </row>
    <row r="120" spans="2:14" ht="247.5" customHeight="1" x14ac:dyDescent="0.2">
      <c r="B120" s="1496" t="str">
        <f>VLOOKUP(Professionals!$J119,'CIQ Professionals'!$A$16:$J$26,5,0)</f>
        <v>Ms. Marissa A. Mayer has been a Director of Lucile Packard Children's Hospital Stanford since April 1, 2018. Ms. Mayer has been Director of Maisonette Inc. since June 7, 2019. Ms. Mayer co-founded Lumi Labs Inc., a technology incubator focused on consumer internet technologies in March 2018. Ms. Mayer served as the Chief Executive Officer and President of Yahoo! Inc. (Now known as Altaba Inc.) from July 17, 2012 to June 13, 2017. Prior to Yahoo, Ms. Mayer served as a Vice President of Location &amp; Local Services of Alphabet Inc. (also known as Google, Inc.) from October 12, 2010 to July 16, 2012. She served as Vice President of Search Products &amp; User Experience of Google Inc. She served as Vice President of Local and Maps of Google, where she oversaw product management, engineering, design and strategy for its suite of local and geographical products, including Google Maps, Google Earth, Zagat, Street View and local search, for desktop and mobile. She also curated the Google Doodle program, celebrating special events on Google's homepage around the world. During her 13 Years at Google, Ms. Mayer served numerous positions, including engineer, designer, product Manager and executive and launched more than 100 well-known features and products. She played an instrumental role in Google search, leading the product management effort for more than 10 years, a period during which Google Search grew from a few hundred thousand to well over a billion searches per day. She led the development of some of Google's most successful services including image, book and product search, toolbar and iGoogle and defined such pivotal products as Google News and Gmail. Ms. Mayer is listed as an inventor on several patents in artificial intelligence and interface design. She joined Google as first female engineer in 1999 and played an important role in developing Google's culture. Her contributions included overseeing the look-and-feel of Google's iconic homepage and founding the Associate Product Manager program, which has hired over 300 of Google's future leaders and is considered the industry's ideal standard in transforming new computer science graduates into executive leaders. Prior to Google, she served at the UBS research lab in Zurich, Switzerland and at SRI International in Menlo Park, California. Ms. Mayer served as an Independent Director at AliphCom, Inc. since May 1, 2013 until October 2016. She has been a Director of Walmart Inc. (formerly known as Wal-Mart Stores, Inc.) since 2012. She served as Director of Yahoo! Inc. from July 17, 2012 to June 13, 2017. She serves as a Trustee of San Francisco Ballet Association. She serves on the Board of Directors of Walmart and Jawbone. She has been a Member of Executive Council at TechNet since March 14, 2013. She serves on the boards of various non-profits, including Stanford Children’s Hospital and San Francisco Museum of Modern Art. She served as a Director of New York City Ballet, Inc. Ms. Mayer has been honored with the Matrix Award by the New York Women in Communications, as a Young Global Leader by the World Economic Forum and as "Woman of the Year" by Glamour magazine. Fortune has named Ms. Mayer has been featured in various publications, including Newsweek ("10 Tech Leaders of the Future"), Red Herring ("15 Women to Watch"), Business 2.0 ("Silicon Valley Dream Team"), BusinessWeek, Fortune and Fast Company. While at Stanford, she taught computer programming to more than 3000 students and received the Centennial Teaching and Forsythe Awards for Ms. Mayer contributions to undergraduate education. She is credited as an inventor on several patents in artificial intelligence and interface design. In 2008, the Illinois Institute of Technology awarded Ms. Mayer an honorary doctorate of engineering. She graduated with honors from Stanford University with a B.S. in Symbolic Systems and Artificial Intelligence and M.S. in Computer Science and Artificial Intelligence.</v>
      </c>
      <c r="C120" s="1497"/>
      <c r="J120" s="511">
        <v>8</v>
      </c>
      <c r="L120" s="421">
        <v>308.25</v>
      </c>
      <c r="M120" s="511">
        <f t="shared" si="6"/>
        <v>308.25</v>
      </c>
      <c r="N120" s="511">
        <f t="shared" si="7"/>
        <v>6</v>
      </c>
    </row>
    <row r="121" spans="2:14" ht="12.75" customHeight="1" x14ac:dyDescent="0.2">
      <c r="B121" s="1498" t="s">
        <v>1344</v>
      </c>
      <c r="C121" s="1497"/>
      <c r="J121" s="511">
        <v>8</v>
      </c>
      <c r="K121" s="511" t="str">
        <f>"Job functions: " &amp; VLOOKUP(Professionals!$J121,'CIQ Professionals'!$A$16:$J$26,10,0)</f>
        <v>Job functions: Member of Compensation Committee, Member of Compensation Committee(Prior), Member of Corporate Governance Committee(Prior), Member of Nominating Committee(Prior), Member of Strategy/Strategic Planning Committee(Prior), Member of the Board of Directors</v>
      </c>
      <c r="L121" s="421">
        <v>308.25</v>
      </c>
      <c r="M121" s="511">
        <f t="shared" si="6"/>
        <v>308.25</v>
      </c>
      <c r="N121" s="511">
        <f t="shared" si="7"/>
        <v>6</v>
      </c>
    </row>
    <row r="122" spans="2:14" ht="22.5" customHeight="1" x14ac:dyDescent="0.2">
      <c r="B122" s="1498" t="s">
        <v>1353</v>
      </c>
      <c r="C122" s="1497"/>
      <c r="J122" s="511">
        <v>8</v>
      </c>
      <c r="K122" s="511" t="str">
        <f>"Other Boards:" &amp; IF(VLOOKUP(Professionals!$J122,'CIQ Professionals'!$A$16:$J$26,8,0)=Input!$C$9,""," [Active] " &amp; IF(ISERROR(SEARCH(Input!$C$9,VLOOKUP(Professionals!$J122,'CIQ Professionals'!$A$16:$J$26,8,0),1)),VLOOKUP(Professionals!$J122,'CIQ Professionals'!$A$16:$J$26,8,0),REPLACE(VLOOKUP(Professionals!$J122,'CIQ Professionals'!$A$16:$J$26,8,0),SEARCH(Input!$C$9,VLOOKUP(Professionals!$J122,'CIQ Professionals'!$A$16:$J$26,8,0),1), LEN(Input!$C$9)+1,""))) &amp; " [Prior] " &amp; VLOOKUP(Professionals!$J122,'CIQ Professionals'!$A$16:$J$26,9,0)</f>
        <v>Other Boards: [Active] Lucile Packard Children's Hospital Stanford, Maisonette Inc., San Francisco Ballet Association,  [Prior] AliphCom, Inc., Altaba Inc., New York City Ballet, Inc.</v>
      </c>
      <c r="L122" s="421">
        <v>308.25</v>
      </c>
      <c r="M122" s="511">
        <f t="shared" si="6"/>
        <v>308.25</v>
      </c>
      <c r="N122" s="511">
        <f t="shared" si="7"/>
        <v>6</v>
      </c>
    </row>
    <row r="123" spans="2:14" ht="12.75" customHeight="1" x14ac:dyDescent="0.2">
      <c r="B123" s="1498" t="s">
        <v>1354</v>
      </c>
      <c r="C123" s="1497"/>
      <c r="J123" s="511">
        <v>8</v>
      </c>
      <c r="K123" s="511" t="str">
        <f>"Other Company Affiliations:" &amp; " [Active] " &amp; IF(VLOOKUP(Professionals!$J120,'CIQ Professionals'!$A$16:$J$26,6,0)=Input!$C$9,"NA", IF(ISERROR(SEARCH(Input!$C$9,VLOOKUP(Professionals!$J120,'CIQ Professionals'!$A$16:$J$26,6,0),1)),VLOOKUP(Professionals!$J120,'CIQ Professionals'!$A$16:$J$26,6,0),REPLACE(VLOOKUP(Professionals!$J120,'CIQ Professionals'!$A$16:$J$26,6,0),SEARCH(Input!$C$9,VLOOKUP(Professionals!$J120,'CIQ Professionals'!$A$16:$J$26,6,0),1), LEN(Input!$C$9)+1,""))) &amp; " [Prior] " &amp; VLOOKUP(Professionals!$J123,'CIQ Professionals'!$A$16:$J$26,7,0)</f>
        <v>Other Company Affiliations: [Active] Sunshine Inc [Prior] Alphabet Inc., Altaba Inc., TechNet, Yahoo! UK Limited</v>
      </c>
      <c r="L123" s="421">
        <v>308.25</v>
      </c>
      <c r="M123" s="511">
        <f t="shared" si="6"/>
        <v>308.25</v>
      </c>
      <c r="N123" s="511">
        <f t="shared" si="7"/>
        <v>6</v>
      </c>
    </row>
    <row r="124" spans="2:14" x14ac:dyDescent="0.2">
      <c r="B124" s="1479" t="str">
        <f>VLOOKUP(Professionals!$J124,'CIQ Professionals'!$A$16:$J$26,3,0)</f>
        <v>Walton, Steuart</v>
      </c>
      <c r="C124" s="1479" t="str">
        <f>VLOOKUP(Professionals!$J124,'CIQ Professionals'!$A$16:$J$26,4,0)</f>
        <v>Director</v>
      </c>
      <c r="J124" s="511">
        <v>9</v>
      </c>
      <c r="L124" s="421">
        <v>263.25</v>
      </c>
      <c r="M124" s="511">
        <f t="shared" si="6"/>
        <v>263.25</v>
      </c>
      <c r="N124" s="511">
        <f t="shared" si="7"/>
        <v>7</v>
      </c>
    </row>
    <row r="125" spans="2:14" ht="202.5" customHeight="1" x14ac:dyDescent="0.2">
      <c r="B125" s="1496" t="str">
        <f>VLOOKUP(Professionals!$J124,'CIQ Professionals'!$A$16:$J$26,5,0)</f>
        <v>Mr. Steuart L. Walton is the founder and Chairman of RZC Investments, LLC, an investment business which he founded in May 2016. Mr. Walton Founded Game Composites, Ltd., in February 2013 and served as its Chief Executive Officer since February 2013 until November 2017. Before founding Game Composites, Mr. Walton worked in Wal-Mart's International division as a Senior Director, International Mergers and Acquisitions from June 2011 to January 2013. Prior to his service at Walmart Inc. (formerly known as Wal-Mart Stores, Inc.), he served as an Associate at Allen &amp; Overy, LLP in London from 2007 to 2010, where he advised companies on securities offerings. In 2004, he served in the offices of U.S. Senator Peter Fitzgerald. He has been a Director of Walmart Inc. (formerly known as Wal-Mart Stores, Inc.) since June 3, 2016. Mr. Walton is also a Member of the boards of Directors of Rapha Racing Limited, Crystal Bridges Museum of American Art, Leadership for Educational Equity, the Smithsonian National Air and Space Museum and the Walton Family Foundation. He is a graduate of Georgetown University Law Center and he holds a bachelor’s degree in business administration from the University of Colorado, Boulder.</v>
      </c>
      <c r="C125" s="1497"/>
      <c r="J125" s="511">
        <v>9</v>
      </c>
      <c r="L125" s="421">
        <v>263.25</v>
      </c>
      <c r="M125" s="511">
        <f t="shared" si="6"/>
        <v>263.25</v>
      </c>
      <c r="N125" s="511">
        <f t="shared" si="7"/>
        <v>7</v>
      </c>
    </row>
    <row r="126" spans="2:14" ht="22.5" customHeight="1" x14ac:dyDescent="0.2">
      <c r="B126" s="1498" t="s">
        <v>1347</v>
      </c>
      <c r="C126" s="1497"/>
      <c r="J126" s="511">
        <v>9</v>
      </c>
      <c r="K126" s="511" t="str">
        <f>"Job functions: " &amp; VLOOKUP(Professionals!$J126,'CIQ Professionals'!$A$16:$J$26,10,0)</f>
        <v>Job functions: Member of Finance Committee(Prior), Member of Strategy/Strategic Planning Committee(Prior), Member of the Board of Directors</v>
      </c>
      <c r="L126" s="421">
        <v>263.25</v>
      </c>
      <c r="M126" s="511">
        <f t="shared" si="6"/>
        <v>263.25</v>
      </c>
      <c r="N126" s="511">
        <f t="shared" si="7"/>
        <v>7</v>
      </c>
    </row>
    <row r="127" spans="2:14" ht="12.75" customHeight="1" x14ac:dyDescent="0.2">
      <c r="B127" s="1498" t="s">
        <v>1355</v>
      </c>
      <c r="C127" s="1497"/>
      <c r="J127" s="511">
        <v>9</v>
      </c>
      <c r="K127" s="511" t="str">
        <f>"Other Boards:" &amp; IF(VLOOKUP(Professionals!$J127,'CIQ Professionals'!$A$16:$J$26,8,0)=Input!$C$9,""," [Active] " &amp; IF(ISERROR(SEARCH(Input!$C$9,VLOOKUP(Professionals!$J127,'CIQ Professionals'!$A$16:$J$26,8,0),1)),VLOOKUP(Professionals!$J127,'CIQ Professionals'!$A$16:$J$26,8,0),REPLACE(VLOOKUP(Professionals!$J127,'CIQ Professionals'!$A$16:$J$26,8,0),SEARCH(Input!$C$9,VLOOKUP(Professionals!$J127,'CIQ Professionals'!$A$16:$J$26,8,0),1), LEN(Input!$C$9)+1,""))) &amp; " [Prior] " &amp; VLOOKUP(Professionals!$J127,'CIQ Professionals'!$A$16:$J$26,9,0)</f>
        <v>Other Boards: [Prior] 0</v>
      </c>
      <c r="L127" s="421">
        <v>263.25</v>
      </c>
      <c r="M127" s="511">
        <f t="shared" si="6"/>
        <v>263.25</v>
      </c>
      <c r="N127" s="511">
        <f t="shared" si="7"/>
        <v>7</v>
      </c>
    </row>
    <row r="128" spans="2:14" ht="12.75" customHeight="1" x14ac:dyDescent="0.2">
      <c r="B128" s="1498" t="s">
        <v>1356</v>
      </c>
      <c r="C128" s="1497"/>
      <c r="J128" s="511">
        <v>9</v>
      </c>
      <c r="K128" s="511" t="str">
        <f>"Other Company Affiliations:" &amp; " [Active] " &amp; IF(VLOOKUP(Professionals!$J125,'CIQ Professionals'!$A$16:$J$26,6,0)=Input!$C$9,"NA", IF(ISERROR(SEARCH(Input!$C$9,VLOOKUP(Professionals!$J125,'CIQ Professionals'!$A$16:$J$26,6,0),1)),VLOOKUP(Professionals!$J125,'CIQ Professionals'!$A$16:$J$26,6,0),REPLACE(VLOOKUP(Professionals!$J125,'CIQ Professionals'!$A$16:$J$26,6,0),SEARCH(Input!$C$9,VLOOKUP(Professionals!$J125,'CIQ Professionals'!$A$16:$J$26,6,0),1), LEN(Input!$C$9)+1,""))) &amp; " [Prior] " &amp; VLOOKUP(Professionals!$J128,'CIQ Professionals'!$A$16:$J$26,7,0)</f>
        <v>Other Company Affiliations: [Active] 0 [Prior] 0</v>
      </c>
      <c r="L128" s="421">
        <v>263.25</v>
      </c>
      <c r="M128" s="511">
        <f t="shared" si="6"/>
        <v>263.25</v>
      </c>
      <c r="N128" s="511">
        <f t="shared" si="7"/>
        <v>7</v>
      </c>
    </row>
    <row r="129" spans="2:14" x14ac:dyDescent="0.2">
      <c r="B129" s="1479" t="str">
        <f>VLOOKUP(Professionals!$J129,'CIQ Professionals'!$A$16:$J$26,3,0)</f>
        <v>Harris, Carla</v>
      </c>
      <c r="C129" s="1479" t="str">
        <f>VLOOKUP(Professionals!$J129,'CIQ Professionals'!$A$16:$J$26,4,0)</f>
        <v>Independent Director</v>
      </c>
      <c r="J129" s="511">
        <v>10</v>
      </c>
      <c r="L129" s="421">
        <v>287.25</v>
      </c>
      <c r="M129" s="511">
        <f t="shared" si="6"/>
        <v>287.25</v>
      </c>
      <c r="N129" s="511">
        <f t="shared" si="7"/>
        <v>8</v>
      </c>
    </row>
    <row r="130" spans="2:14" ht="236.25" customHeight="1" x14ac:dyDescent="0.2">
      <c r="B130" s="1496" t="str">
        <f>VLOOKUP(Professionals!$J129,'CIQ Professionals'!$A$16:$J$26,5,0)</f>
        <v>Ms. Carla A. Harris has been Senior Client Advisor at Morgan Stanley since August 2013 and served as Vice Chairman of Global Wealth Management since August 2013 until December 2021. Ms. Harris serves as an Independent Director at Cummins Inc. since May 11, 2021. Ms. Harris served as Managing Director and Senior Client Advisor of Morgan Stanley &amp; Company, Inc. since June 2012. She joined Morgan Stanley in 1987. She serves as Treasurer of The Apollo Theater Foundation, Inc. She serves as the Chairman of The Food Bank For New York City. She serves as Director at St. Vincent's Medical Center Inc. She has been a Director at Walmart Inc. (formerly known as Wal-Mart Stores, Inc.) since June 2, 2017. She also serves as Director of The Apollo Theater Foundation, Inc. In August 2013, she was appointed by President Barack Obama to Chair the National Women’s Business Council. For more than a decade, Ms. Harris was a senior member of the equity syndicate desk and executed such transactions as initial public offerings for UPS, Martha Stewart Living Omnimedia, Ariba, Redback, the General Motors sub-IPO of Delphi Automotive, and the $3.2 Billion common stock transaction for Immunex Corporation, one of the largest biotechnology common stock transactions in U.S. history. Ms. Harris currently serves on the board of several nonprofit organizations including Seize Every Opportunity and Harvard University Board of Overseers. She serves as a Trustee of The Mount Sinai Hospital. She served as a Director of The Harvard Business School Club of New York, Inc. She serves as Member of Advisory Board at Oath Inc. since November 2017. She was Chair of the Morgan Stanley Foundation from 2005 to 2014 and sits on the boards of several community organizations. Ms. Harris is a Gospel Recording Artist and A Popular Public Speaker, who gives impact full career guidance to corporate audiences based on her book, “Expect to Win”. Ms. Harris completed her M.B.A. from Harvard Business School and holds an A.B. in Economics from Harvard University.</v>
      </c>
      <c r="C130" s="1497"/>
      <c r="J130" s="511">
        <v>10</v>
      </c>
      <c r="L130" s="421">
        <v>287.25</v>
      </c>
      <c r="M130" s="511">
        <f t="shared" si="6"/>
        <v>287.25</v>
      </c>
      <c r="N130" s="511">
        <f t="shared" si="7"/>
        <v>8</v>
      </c>
    </row>
    <row r="131" spans="2:14" ht="12.75" customHeight="1" x14ac:dyDescent="0.2">
      <c r="B131" s="1498" t="s">
        <v>1344</v>
      </c>
      <c r="C131" s="1497"/>
      <c r="J131" s="511">
        <v>10</v>
      </c>
      <c r="K131" s="511" t="str">
        <f>"Job functions: " &amp; VLOOKUP(Professionals!$J131,'CIQ Professionals'!$A$16:$J$26,10,0)</f>
        <v>Job functions: Member of Compensation Committee, Member of Corporate Governance Committee, Member of Finance Committee, Member of Nominating Committee, Member of the Board of Directors</v>
      </c>
      <c r="L131" s="421">
        <v>287.25</v>
      </c>
      <c r="M131" s="511">
        <f t="shared" si="6"/>
        <v>287.25</v>
      </c>
      <c r="N131" s="511">
        <f t="shared" si="7"/>
        <v>8</v>
      </c>
    </row>
    <row r="132" spans="2:14" ht="12.75" customHeight="1" x14ac:dyDescent="0.2">
      <c r="B132" s="1498" t="s">
        <v>1357</v>
      </c>
      <c r="C132" s="1497"/>
      <c r="J132" s="511">
        <v>10</v>
      </c>
      <c r="K132" s="511" t="str">
        <f>"Other Boards:" &amp; IF(VLOOKUP(Professionals!$J132,'CIQ Professionals'!$A$16:$J$26,8,0)=Input!$C$9,""," [Active] " &amp; IF(ISERROR(SEARCH(Input!$C$9,VLOOKUP(Professionals!$J132,'CIQ Professionals'!$A$16:$J$26,8,0),1)),VLOOKUP(Professionals!$J132,'CIQ Professionals'!$A$16:$J$26,8,0),REPLACE(VLOOKUP(Professionals!$J132,'CIQ Professionals'!$A$16:$J$26,8,0),SEARCH(Input!$C$9,VLOOKUP(Professionals!$J132,'CIQ Professionals'!$A$16:$J$26,8,0),1), LEN(Input!$C$9)+1,""))) &amp; " [Prior] " &amp; VLOOKUP(Professionals!$J132,'CIQ Professionals'!$A$16:$J$26,9,0)</f>
        <v>Other Boards: [Active] Cummins Inc., St. Vincent's Medical Center Inc., The Mount Sinai Hospital,  Yahoo Inc. [Prior] The Apollo Theater Foundation, Inc., The Harvard Business School Club of New York, Inc.</v>
      </c>
      <c r="L132" s="421">
        <v>287.25</v>
      </c>
      <c r="M132" s="511">
        <f t="shared" si="6"/>
        <v>287.25</v>
      </c>
      <c r="N132" s="511">
        <f t="shared" si="7"/>
        <v>8</v>
      </c>
    </row>
    <row r="133" spans="2:14" ht="12.75" customHeight="1" x14ac:dyDescent="0.2">
      <c r="B133" s="1498" t="s">
        <v>1358</v>
      </c>
      <c r="C133" s="1497"/>
      <c r="J133" s="511">
        <v>10</v>
      </c>
      <c r="K133" s="511" t="str">
        <f>"Other Company Affiliations:" &amp; " [Active] " &amp; IF(VLOOKUP(Professionals!$J130,'CIQ Professionals'!$A$16:$J$26,6,0)=Input!$C$9,"NA", IF(ISERROR(SEARCH(Input!$C$9,VLOOKUP(Professionals!$J130,'CIQ Professionals'!$A$16:$J$26,6,0),1)),VLOOKUP(Professionals!$J130,'CIQ Professionals'!$A$16:$J$26,6,0),REPLACE(VLOOKUP(Professionals!$J130,'CIQ Professionals'!$A$16:$J$26,6,0),SEARCH(Input!$C$9,VLOOKUP(Professionals!$J130,'CIQ Professionals'!$A$16:$J$26,6,0),1), LEN(Input!$C$9)+1,""))) &amp; " [Prior] " &amp; VLOOKUP(Professionals!$J133,'CIQ Professionals'!$A$16:$J$26,7,0)</f>
        <v>Other Company Affiliations: [Active] 0 [Prior] Morgan Stanley, The Apollo Theater Foundation, Inc.</v>
      </c>
      <c r="L133" s="421">
        <v>287.25</v>
      </c>
      <c r="M133" s="511">
        <f t="shared" si="6"/>
        <v>287.25</v>
      </c>
      <c r="N133" s="511">
        <f t="shared" si="7"/>
        <v>8</v>
      </c>
    </row>
  </sheetData>
  <mergeCells count="74">
    <mergeCell ref="B51:C51"/>
    <mergeCell ref="B56:C56"/>
    <mergeCell ref="B47:C47"/>
    <mergeCell ref="B46:C46"/>
    <mergeCell ref="B20:C20"/>
    <mergeCell ref="B25:C25"/>
    <mergeCell ref="B30:C30"/>
    <mergeCell ref="B35:C35"/>
    <mergeCell ref="B40:C40"/>
    <mergeCell ref="B32:C32"/>
    <mergeCell ref="B22:C22"/>
    <mergeCell ref="B27:C27"/>
    <mergeCell ref="B37:C37"/>
    <mergeCell ref="B42:C42"/>
    <mergeCell ref="B41:C41"/>
    <mergeCell ref="B50:C50"/>
    <mergeCell ref="B58:C58"/>
    <mergeCell ref="B62:C62"/>
    <mergeCell ref="B63:C63"/>
    <mergeCell ref="B61:C61"/>
    <mergeCell ref="B52:C52"/>
    <mergeCell ref="B53:C53"/>
    <mergeCell ref="B57:C57"/>
    <mergeCell ref="B133:C133"/>
    <mergeCell ref="B21:C21"/>
    <mergeCell ref="B26:C26"/>
    <mergeCell ref="B31:C31"/>
    <mergeCell ref="B36:C36"/>
    <mergeCell ref="B127:C127"/>
    <mergeCell ref="B128:C128"/>
    <mergeCell ref="B132:C132"/>
    <mergeCell ref="B126:C126"/>
    <mergeCell ref="B131:C131"/>
    <mergeCell ref="B118:C118"/>
    <mergeCell ref="B122:C122"/>
    <mergeCell ref="B123:C123"/>
    <mergeCell ref="B65:C65"/>
    <mergeCell ref="B60:C60"/>
    <mergeCell ref="B55:C55"/>
    <mergeCell ref="B92:C92"/>
    <mergeCell ref="B93:C93"/>
    <mergeCell ref="B91:C91"/>
    <mergeCell ref="B121:C121"/>
    <mergeCell ref="B112:C112"/>
    <mergeCell ref="B113:C113"/>
    <mergeCell ref="B117:C117"/>
    <mergeCell ref="B111:C111"/>
    <mergeCell ref="B116:C116"/>
    <mergeCell ref="B103:C103"/>
    <mergeCell ref="B107:C107"/>
    <mergeCell ref="B108:C108"/>
    <mergeCell ref="B106:C106"/>
    <mergeCell ref="B105:C105"/>
    <mergeCell ref="B45:C45"/>
    <mergeCell ref="B97:C97"/>
    <mergeCell ref="B98:C98"/>
    <mergeCell ref="B102:C102"/>
    <mergeCell ref="B96:C96"/>
    <mergeCell ref="B101:C101"/>
    <mergeCell ref="B100:C100"/>
    <mergeCell ref="B67:C67"/>
    <mergeCell ref="B68:C68"/>
    <mergeCell ref="B87:C87"/>
    <mergeCell ref="B66:C66"/>
    <mergeCell ref="B86:C86"/>
    <mergeCell ref="B95:C95"/>
    <mergeCell ref="B90:C90"/>
    <mergeCell ref="B85:C85"/>
    <mergeCell ref="B88:C88"/>
    <mergeCell ref="B130:C130"/>
    <mergeCell ref="B125:C125"/>
    <mergeCell ref="B120:C120"/>
    <mergeCell ref="B115:C115"/>
    <mergeCell ref="B110:C1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dimension ref="A1:AF360"/>
  <sheetViews>
    <sheetView showGridLines="0" workbookViewId="0">
      <selection activeCell="A3" sqref="A3"/>
    </sheetView>
  </sheetViews>
  <sheetFormatPr defaultColWidth="9" defaultRowHeight="12.75" outlineLevelRow="1" outlineLevelCol="1" x14ac:dyDescent="0.2"/>
  <cols>
    <col min="1" max="1" width="2.5" style="653" customWidth="1"/>
    <col min="2" max="2" width="35.25" style="681" bestFit="1" customWidth="1"/>
    <col min="3" max="3" width="25.5" style="657" hidden="1" customWidth="1" outlineLevel="1"/>
    <col min="4" max="4" width="10.125" style="657" hidden="1" customWidth="1" outlineLevel="1"/>
    <col min="5" max="5" width="6.375" style="657" hidden="1" customWidth="1" outlineLevel="1"/>
    <col min="6" max="6" width="7.875" style="657" bestFit="1" customWidth="1" collapsed="1"/>
    <col min="7" max="11" width="7.875" style="657" bestFit="1" customWidth="1"/>
    <col min="12" max="12" width="20.75" style="654" hidden="1" customWidth="1" outlineLevel="1"/>
    <col min="13" max="13" width="7.5" style="653" hidden="1" customWidth="1" outlineLevel="1"/>
    <col min="14" max="14" width="8.625" style="653" bestFit="1" customWidth="1" collapsed="1"/>
    <col min="15" max="15" width="8.375" style="653" bestFit="1" customWidth="1"/>
    <col min="16" max="16" width="7.875" style="653" bestFit="1" customWidth="1"/>
    <col min="17" max="17" width="24.375" style="653" bestFit="1" customWidth="1"/>
    <col min="18" max="18" width="38.25" style="653" bestFit="1" customWidth="1"/>
    <col min="19" max="19" width="8.25" style="653" customWidth="1"/>
    <col min="20" max="20" width="6.75" style="653" customWidth="1"/>
    <col min="21" max="21" width="12.125" style="653" bestFit="1" customWidth="1"/>
    <col min="22" max="22" width="25.5" style="653" bestFit="1" customWidth="1"/>
    <col min="23" max="16384" width="9" style="653"/>
  </cols>
  <sheetData>
    <row r="1" spans="2:31" outlineLevel="1" x14ac:dyDescent="0.2">
      <c r="B1" s="882" t="str">
        <f>Target</f>
        <v>NYSE:WMT</v>
      </c>
      <c r="C1" s="883" t="str">
        <f>Input!C6</f>
        <v>USD</v>
      </c>
      <c r="D1" s="884">
        <f>Input!C8</f>
        <v>44645</v>
      </c>
      <c r="E1" s="885" t="s">
        <v>578</v>
      </c>
      <c r="F1" s="885" t="s">
        <v>577</v>
      </c>
      <c r="G1" s="885" t="s">
        <v>576</v>
      </c>
      <c r="H1" s="885" t="s">
        <v>575</v>
      </c>
      <c r="I1" s="885" t="s">
        <v>574</v>
      </c>
      <c r="J1" s="885" t="s">
        <v>573</v>
      </c>
      <c r="K1" s="885" t="s">
        <v>572</v>
      </c>
      <c r="L1" s="885"/>
      <c r="M1" s="885" t="s">
        <v>625</v>
      </c>
      <c r="N1" s="885" t="s">
        <v>406</v>
      </c>
      <c r="O1" s="885" t="s">
        <v>527</v>
      </c>
      <c r="P1" s="885" t="s">
        <v>526</v>
      </c>
      <c r="Q1" s="886"/>
      <c r="R1" s="887" t="str">
        <f>"CAGR is calculated for period from FY" &amp; TEXT(F66, "yyyy") &amp; " to FY" &amp; TEXT(K66, "yyyy")</f>
        <v>CAGR is calculated for period from FY2017 to FY2022</v>
      </c>
      <c r="S1" s="885"/>
      <c r="T1" s="885"/>
    </row>
    <row r="2" spans="2:31" ht="13.5" outlineLevel="1" thickBot="1" x14ac:dyDescent="0.25">
      <c r="B2" s="882"/>
      <c r="C2" s="882" t="s">
        <v>371</v>
      </c>
      <c r="D2" s="924" t="s">
        <v>624</v>
      </c>
      <c r="E2" s="885" t="s">
        <v>1250</v>
      </c>
      <c r="F2" s="885" t="s">
        <v>578</v>
      </c>
      <c r="G2" s="885" t="s">
        <v>577</v>
      </c>
      <c r="H2" s="885" t="s">
        <v>576</v>
      </c>
      <c r="I2" s="885" t="s">
        <v>575</v>
      </c>
      <c r="J2" s="885" t="s">
        <v>574</v>
      </c>
      <c r="K2" s="885" t="s">
        <v>573</v>
      </c>
      <c r="L2" s="885"/>
      <c r="M2" s="885" t="s">
        <v>1251</v>
      </c>
      <c r="N2" s="885" t="s">
        <v>625</v>
      </c>
      <c r="O2" s="885"/>
      <c r="P2" s="885"/>
      <c r="Q2" s="890" t="s">
        <v>1162</v>
      </c>
      <c r="R2" s="889">
        <v>10</v>
      </c>
      <c r="S2" s="885"/>
      <c r="T2" s="885"/>
    </row>
    <row r="3" spans="2:31" ht="15.75" x14ac:dyDescent="0.2">
      <c r="B3" s="1252" t="s">
        <v>963</v>
      </c>
      <c r="C3" s="1252"/>
      <c r="D3" s="1252"/>
      <c r="E3" s="1252"/>
      <c r="F3" s="1252"/>
      <c r="G3" s="1252"/>
      <c r="H3" s="1252"/>
      <c r="I3" s="1252"/>
      <c r="J3" s="1252"/>
      <c r="K3" s="1252"/>
      <c r="L3" s="1252"/>
      <c r="M3" s="1252"/>
      <c r="N3" s="1252"/>
      <c r="O3" s="1252"/>
      <c r="P3" s="1275"/>
      <c r="Q3" s="1275" t="str">
        <f>Input!$C$9</f>
        <v>Walmart Inc.</v>
      </c>
      <c r="R3" s="654"/>
    </row>
    <row r="4" spans="2:31" x14ac:dyDescent="0.2">
      <c r="B4" s="655"/>
      <c r="C4" s="656"/>
      <c r="D4" s="656"/>
      <c r="E4" s="656"/>
      <c r="F4" s="656"/>
      <c r="G4" s="656"/>
      <c r="H4" s="656"/>
      <c r="I4" s="656"/>
      <c r="J4" s="656"/>
      <c r="K4" s="656"/>
      <c r="L4" s="656"/>
    </row>
    <row r="5" spans="2:31" ht="15" customHeight="1" x14ac:dyDescent="0.2">
      <c r="B5" s="1469" t="s">
        <v>963</v>
      </c>
      <c r="C5" s="1475"/>
      <c r="D5" s="1475"/>
      <c r="E5" s="1471"/>
      <c r="F5" s="1471" t="s">
        <v>520</v>
      </c>
      <c r="G5" s="1471"/>
      <c r="H5" s="1471"/>
      <c r="I5" s="1471"/>
      <c r="J5" s="1471"/>
      <c r="K5" s="1471"/>
      <c r="L5" s="1472"/>
      <c r="M5" s="1471"/>
      <c r="N5" s="1471" t="s">
        <v>519</v>
      </c>
      <c r="O5" s="1473" t="s">
        <v>1132</v>
      </c>
      <c r="P5" s="1474"/>
    </row>
    <row r="6" spans="2:31" x14ac:dyDescent="0.2">
      <c r="B6" s="1339" t="str">
        <f>Input!$C$6 &amp; " million, except per share data"</f>
        <v>USD million, except per share data</v>
      </c>
      <c r="C6" s="1365"/>
      <c r="D6" s="1365"/>
      <c r="E6" s="1341"/>
      <c r="F6" s="1446">
        <f>_xll.ciqfunctions.udf.CIQ($B$1,"IQ_PERIODDATE_BS",F$1,$D$1,,$D$2)</f>
        <v>42766</v>
      </c>
      <c r="G6" s="1446">
        <f>_xll.ciqfunctions.udf.CIQ($B$1,"IQ_PERIODDATE_BS",G$1,$D$1,,$D$2)</f>
        <v>43131</v>
      </c>
      <c r="H6" s="1446">
        <f>_xll.ciqfunctions.udf.CIQ($B$1,"IQ_PERIODDATE_BS",H$1,$D$1,,$D$2)</f>
        <v>43496</v>
      </c>
      <c r="I6" s="1446">
        <f>_xll.ciqfunctions.udf.CIQ($B$1,"IQ_PERIODDATE_BS",I$1,$D$1,,$D$2)</f>
        <v>43861</v>
      </c>
      <c r="J6" s="1446">
        <f>_xll.ciqfunctions.udf.CIQ($B$1,"IQ_PERIODDATE_BS",J$1,$D$1,,$D$2)</f>
        <v>44227</v>
      </c>
      <c r="K6" s="1446">
        <f>_xll.ciqfunctions.udf.CIQ($B$1,"IQ_PERIODDATE_BS",K$1,$D$1,,$D$2)</f>
        <v>44592</v>
      </c>
      <c r="L6" s="1476"/>
      <c r="M6" s="1446"/>
      <c r="N6" s="1446">
        <f>_xll.ciqfunctions.udf.CIQ($B$1,"IQ_PERIODDATE_BS",N$1,$D$1,,$D$2)</f>
        <v>44592</v>
      </c>
      <c r="O6" s="1446">
        <f>DATE(YEAR(K6)+1,MONTH(K6),DAY(K6))</f>
        <v>44957</v>
      </c>
      <c r="P6" s="1446">
        <f>DATE(YEAR(O6)+1,MONTH(O6),DAY(O6))</f>
        <v>45322</v>
      </c>
      <c r="T6" s="659"/>
      <c r="U6" s="659"/>
      <c r="V6" s="659"/>
      <c r="W6" s="659"/>
      <c r="X6" s="659"/>
      <c r="Y6" s="659"/>
      <c r="Z6" s="659"/>
      <c r="AA6" s="659"/>
      <c r="AB6" s="659"/>
      <c r="AC6" s="659"/>
      <c r="AD6" s="659"/>
      <c r="AE6" s="659"/>
    </row>
    <row r="7" spans="2:31" x14ac:dyDescent="0.2">
      <c r="B7" s="1349" t="s">
        <v>238</v>
      </c>
      <c r="C7" s="1208" t="str">
        <f>"IQ_NET_INT_INC_BNK"</f>
        <v>IQ_NET_INT_INC_BNK</v>
      </c>
      <c r="D7" s="1208"/>
      <c r="E7" s="660">
        <f>IFERROR(_xll.ciqfunctions.udf.CIQ($B$1,$C7,E$1,$D$1,$C$2, ,$C$1),"")</f>
        <v>0</v>
      </c>
      <c r="F7" s="660">
        <f>IFERROR(_xll.ciqfunctions.udf.CIQ($B$1,$C7,F$1,$D$1,$C$2, ,$C$1),"")</f>
        <v>0</v>
      </c>
      <c r="G7" s="660">
        <f>IFERROR(_xll.ciqfunctions.udf.CIQ($B$1,$C7,G$1,$D$1,$C$2, ,$C$1),"")</f>
        <v>0</v>
      </c>
      <c r="H7" s="660">
        <f>IFERROR(_xll.ciqfunctions.udf.CIQ($B$1,$C7,H$1,$D$1,$C$2, ,$C$1),"")</f>
        <v>0</v>
      </c>
      <c r="I7" s="660">
        <f>IFERROR(_xll.ciqfunctions.udf.CIQ($B$1,$C7,I$1,$D$1,$C$2, ,$C$1),"")</f>
        <v>0</v>
      </c>
      <c r="J7" s="660">
        <f>IFERROR(_xll.ciqfunctions.udf.CIQ($B$1,$C7,J$1,$D$1,$C$2, ,$C$1),"")</f>
        <v>0</v>
      </c>
      <c r="K7" s="660">
        <f>IFERROR(_xll.ciqfunctions.udf.CIQ($B$1,$C7,K$1,$D$1,$C$2, ,$C$1),"")</f>
        <v>0</v>
      </c>
      <c r="L7" s="1209"/>
      <c r="M7" s="660">
        <f>IFERROR(_xll.ciqfunctions.udf.CIQ($B$1,$C7,M$1,$D$1,$C$2, ,$C$1),"")</f>
        <v>0</v>
      </c>
      <c r="N7" s="660">
        <f>IFERROR(_xll.ciqfunctions.udf.CIQ($B$1,$C7,N$1,$D$1,$C$2, ,$C$1),"")</f>
        <v>0</v>
      </c>
      <c r="O7" s="861" t="s">
        <v>942</v>
      </c>
      <c r="P7" s="861" t="s">
        <v>942</v>
      </c>
      <c r="R7" s="661"/>
      <c r="T7" s="659"/>
      <c r="U7" s="659"/>
      <c r="V7" s="659"/>
      <c r="W7" s="659"/>
      <c r="X7" s="659"/>
      <c r="Y7" s="659"/>
      <c r="Z7" s="659"/>
      <c r="AA7" s="659"/>
      <c r="AB7" s="659"/>
      <c r="AC7" s="659"/>
      <c r="AD7" s="659"/>
      <c r="AE7" s="659"/>
    </row>
    <row r="8" spans="2:31" x14ac:dyDescent="0.2">
      <c r="B8" s="1350" t="s">
        <v>965</v>
      </c>
      <c r="C8" s="1208"/>
      <c r="D8" s="1208"/>
      <c r="E8" s="1112"/>
      <c r="F8" s="1113" t="str">
        <f t="shared" ref="F8:K8" si="0">IFERROR(IF(OR(E7="",F7=""),"",IF(ABS((F7-E7)/E7)&gt;=$R$2,"NA",IF(F7&gt;E7,ABS((F7-E7)/E7),-ABS((F7-E7)/E7)))),"NM")</f>
        <v>NM</v>
      </c>
      <c r="G8" s="1113" t="str">
        <f t="shared" si="0"/>
        <v>NM</v>
      </c>
      <c r="H8" s="1113" t="str">
        <f t="shared" si="0"/>
        <v>NM</v>
      </c>
      <c r="I8" s="1113" t="str">
        <f t="shared" si="0"/>
        <v>NM</v>
      </c>
      <c r="J8" s="1113" t="str">
        <f t="shared" si="0"/>
        <v>NM</v>
      </c>
      <c r="K8" s="1113" t="str">
        <f t="shared" si="0"/>
        <v>NM</v>
      </c>
      <c r="L8" s="1096"/>
      <c r="M8" s="1096"/>
      <c r="N8" s="1113" t="str">
        <f>IFERROR(IF(OR(M7="",N7=""),"",IF(ABS((N7-M7)/M7)&gt;=$R$2,"NA",IF(N7&gt;M7,ABS((N7-M7)/M7),-ABS((N7-M7)/M7)))),"NM")</f>
        <v>NM</v>
      </c>
      <c r="O8" s="1114" t="s">
        <v>1131</v>
      </c>
      <c r="P8" s="1114" t="s">
        <v>1131</v>
      </c>
      <c r="R8" s="661"/>
      <c r="T8" s="659"/>
      <c r="U8" s="659"/>
      <c r="V8" s="659"/>
      <c r="W8" s="659"/>
      <c r="X8" s="659"/>
      <c r="Y8" s="659"/>
      <c r="Z8" s="659"/>
      <c r="AA8" s="659"/>
      <c r="AB8" s="659"/>
      <c r="AC8" s="659"/>
      <c r="AD8" s="659"/>
      <c r="AE8" s="659"/>
    </row>
    <row r="9" spans="2:31" x14ac:dyDescent="0.2">
      <c r="B9" s="1352" t="s">
        <v>1069</v>
      </c>
      <c r="C9" s="1208" t="s">
        <v>394</v>
      </c>
      <c r="D9" s="1208"/>
      <c r="E9" s="737" t="str">
        <f>IFERROR(IF(ABS(E7*2/(_xll.ciqfunctions.udf.CIQ($B$1,$C9,E$1,$D$1,$C$2, ,$C$1)+_xll.ciqfunctions.udf.CIQ($B$1,$C9,E$2,$D$1,$C$2, ,$C$1)))&gt;=$R$2,"NA",E7*2/(_xll.ciqfunctions.udf.CIQ($B$1,$C9,E$1,$D$1,$C$2, ,$C$1)+_xll.ciqfunctions.udf.CIQ($B$1,$C9,E$2,$D$1,$C$2, ,$C$1))),"")</f>
        <v/>
      </c>
      <c r="F9" s="969" t="str">
        <f>IFERROR(IF(ABS(F7*2/(_xll.ciqfunctions.udf.CIQ($B$1,$C9,F$1,$D$1,$C$2, ,$C$1)+_xll.ciqfunctions.udf.CIQ($B$1,$C9,F$2,$D$1,$C$2, ,$C$1)))&gt;=$R$2,"NA",F7*2/(_xll.ciqfunctions.udf.CIQ($B$1,$C9,F$1,$D$1,$C$2, ,$C$1)+_xll.ciqfunctions.udf.CIQ($B$1,$C9,F$2,$D$1,$C$2, ,$C$1))),"")</f>
        <v/>
      </c>
      <c r="G9" s="969" t="str">
        <f>IFERROR(IF(ABS(G7*2/(_xll.ciqfunctions.udf.CIQ($B$1,$C9,G$1,$D$1,$C$2, ,$C$1)+_xll.ciqfunctions.udf.CIQ($B$1,$C9,G$2,$D$1,$C$2, ,$C$1)))&gt;=$R$2,"NA",G7*2/(_xll.ciqfunctions.udf.CIQ($B$1,$C9,G$1,$D$1,$C$2, ,$C$1)+_xll.ciqfunctions.udf.CIQ($B$1,$C9,G$2,$D$1,$C$2, ,$C$1))),"")</f>
        <v/>
      </c>
      <c r="H9" s="969" t="str">
        <f>IFERROR(IF(ABS(H7*2/(_xll.ciqfunctions.udf.CIQ($B$1,$C9,H$1,$D$1,$C$2, ,$C$1)+_xll.ciqfunctions.udf.CIQ($B$1,$C9,H$2,$D$1,$C$2, ,$C$1)))&gt;=$R$2,"NA",H7*2/(_xll.ciqfunctions.udf.CIQ($B$1,$C9,H$1,$D$1,$C$2, ,$C$1)+_xll.ciqfunctions.udf.CIQ($B$1,$C9,H$2,$D$1,$C$2, ,$C$1))),"")</f>
        <v/>
      </c>
      <c r="I9" s="969" t="str">
        <f>IFERROR(IF(ABS(I7*2/(_xll.ciqfunctions.udf.CIQ($B$1,$C9,I$1,$D$1,$C$2, ,$C$1)+_xll.ciqfunctions.udf.CIQ($B$1,$C9,I$2,$D$1,$C$2, ,$C$1)))&gt;=$R$2,"NA",I7*2/(_xll.ciqfunctions.udf.CIQ($B$1,$C9,I$1,$D$1,$C$2, ,$C$1)+_xll.ciqfunctions.udf.CIQ($B$1,$C9,I$2,$D$1,$C$2, ,$C$1))),"")</f>
        <v/>
      </c>
      <c r="J9" s="969" t="str">
        <f>IFERROR(IF(ABS(J7*2/(_xll.ciqfunctions.udf.CIQ($B$1,$C9,J$1,$D$1,$C$2, ,$C$1)+_xll.ciqfunctions.udf.CIQ($B$1,$C9,J$2,$D$1,$C$2, ,$C$1)))&gt;=$R$2,"NA",J7*2/(_xll.ciqfunctions.udf.CIQ($B$1,$C9,J$1,$D$1,$C$2, ,$C$1)+_xll.ciqfunctions.udf.CIQ($B$1,$C9,J$2,$D$1,$C$2, ,$C$1))),"")</f>
        <v/>
      </c>
      <c r="K9" s="969" t="str">
        <f>IFERROR(IF(ABS(K7*2/(_xll.ciqfunctions.udf.CIQ($B$1,$C9,K$1,$D$1,$C$2, ,$C$1)+_xll.ciqfunctions.udf.CIQ($B$1,$C9,K$2,$D$1,$C$2, ,$C$1)))&gt;=$R$2,"NA",K7*2/(_xll.ciqfunctions.udf.CIQ($B$1,$C9,K$1,$D$1,$C$2, ,$C$1)+_xll.ciqfunctions.udf.CIQ($B$1,$C9,K$2,$D$1,$C$2, ,$C$1))),"")</f>
        <v/>
      </c>
      <c r="L9" s="1096"/>
      <c r="M9" s="969" t="str">
        <f>IFERROR(IF(ABS(M7*2/(_xll.ciqfunctions.udf.CIQ($B$1,$C9,M$1,$D$1,$C$2, ,$C$1)+_xll.ciqfunctions.udf.CIQ($B$1,$C9,M$2,$D$1,$C$2, ,$C$1)))&gt;=$R$2,"NA",M7*2/(_xll.ciqfunctions.udf.CIQ($B$1,$C9,M$1,$D$1,$C$2, ,$C$1)+_xll.ciqfunctions.udf.CIQ($B$1,$C9,M$2,$D$1,$C$2, ,$C$1))),"")</f>
        <v/>
      </c>
      <c r="N9" s="969" t="str">
        <f>IFERROR(IF(ABS(N7*2/(_xll.ciqfunctions.udf.CIQ($B$1,$C9,N$1,$D$1,$C$2, ,$C$1)+_xll.ciqfunctions.udf.CIQ($B$1,$C9,N$2,$D$1,$C$2, ,$C$1)))&gt;=$R$2,"NA",N7*2/(_xll.ciqfunctions.udf.CIQ($B$1,$C9,N$1,$D$1,$C$2, ,$C$1)+_xll.ciqfunctions.udf.CIQ($B$1,$C9,N$2,$D$1,$C$2, ,$C$1))),"")</f>
        <v/>
      </c>
      <c r="O9" s="1087" t="s">
        <v>942</v>
      </c>
      <c r="P9" s="1087" t="s">
        <v>942</v>
      </c>
      <c r="R9" s="661"/>
      <c r="T9" s="659"/>
      <c r="U9" s="659"/>
      <c r="V9" s="659"/>
      <c r="W9" s="659"/>
      <c r="X9" s="659"/>
      <c r="Y9" s="659"/>
      <c r="Z9" s="659"/>
      <c r="AA9" s="659"/>
      <c r="AB9" s="659"/>
      <c r="AC9" s="659"/>
      <c r="AD9" s="659"/>
      <c r="AE9" s="659"/>
    </row>
    <row r="10" spans="2:31" x14ac:dyDescent="0.2">
      <c r="B10" s="1366"/>
      <c r="C10" s="1210"/>
      <c r="D10" s="1210"/>
      <c r="E10" s="1120"/>
      <c r="F10" s="1120"/>
      <c r="G10" s="1120"/>
      <c r="H10" s="1120"/>
      <c r="I10" s="1120"/>
      <c r="J10" s="1120"/>
      <c r="K10" s="1120"/>
      <c r="L10" s="1117"/>
      <c r="M10" s="1120"/>
      <c r="N10" s="1120"/>
      <c r="O10" s="1118"/>
      <c r="P10" s="1118"/>
      <c r="R10" s="661"/>
      <c r="T10" s="659"/>
      <c r="U10" s="659"/>
      <c r="V10" s="659"/>
      <c r="W10" s="659"/>
      <c r="X10" s="659"/>
      <c r="Y10" s="659"/>
      <c r="Z10" s="659"/>
      <c r="AA10" s="659"/>
      <c r="AB10" s="659"/>
      <c r="AC10" s="659"/>
      <c r="AD10" s="659"/>
      <c r="AE10" s="659"/>
    </row>
    <row r="11" spans="2:31" x14ac:dyDescent="0.2">
      <c r="B11" s="1349" t="s">
        <v>964</v>
      </c>
      <c r="C11" s="1211" t="s">
        <v>1086</v>
      </c>
      <c r="D11" s="1211"/>
      <c r="E11" s="660">
        <f>IFERROR(_xll.ciqfunctions.udf.CIQ($B$1,$C11,E$1,$D$1,$C$2, ,$C$1),"")</f>
        <v>0</v>
      </c>
      <c r="F11" s="660">
        <f>IFERROR(_xll.ciqfunctions.udf.CIQ($B$1,$C11,F$1,$D$1,$C$2, ,$C$1),"")</f>
        <v>0</v>
      </c>
      <c r="G11" s="660">
        <f>IFERROR(_xll.ciqfunctions.udf.CIQ($B$1,$C11,G$1,$D$1,$C$2, ,$C$1),"")</f>
        <v>0</v>
      </c>
      <c r="H11" s="660">
        <f>IFERROR(_xll.ciqfunctions.udf.CIQ($B$1,$C11,H$1,$D$1,$C$2, ,$C$1),"")</f>
        <v>0</v>
      </c>
      <c r="I11" s="660">
        <f>IFERROR(_xll.ciqfunctions.udf.CIQ($B$1,$C11,I$1,$D$1,$C$2, ,$C$1),"")</f>
        <v>0</v>
      </c>
      <c r="J11" s="660">
        <f>IFERROR(_xll.ciqfunctions.udf.CIQ($B$1,$C11,J$1,$D$1,$C$2, ,$C$1),"")</f>
        <v>0</v>
      </c>
      <c r="K11" s="660">
        <f>IFERROR(_xll.ciqfunctions.udf.CIQ($B$1,$C11,K$1,$D$1,$C$2, ,$C$1),"")</f>
        <v>0</v>
      </c>
      <c r="L11" s="1110" t="s">
        <v>612</v>
      </c>
      <c r="M11" s="660">
        <f>IFERROR(_xll.ciqfunctions.udf.CIQ($B$1,$C11,M$1,$D$1,$C$2, ,$C$1),"")</f>
        <v>0</v>
      </c>
      <c r="N11" s="660">
        <f>IFERROR(_xll.ciqfunctions.udf.CIQ($B$1,$C11,N$1,$D$1,$C$2, ,$C$1),"")</f>
        <v>0</v>
      </c>
      <c r="O11" s="861">
        <f>IFERROR(_xll.ciqfunctions.udf.CIQ($B$1,$L11,O$1,$D$1,$C$2, ,$C$1),"")</f>
        <v>588877.03824000002</v>
      </c>
      <c r="P11" s="861">
        <f>IFERROR(_xll.ciqfunctions.udf.CIQ($B$1,$L11,P$1,$D$1,$C$2, ,$C$1),"")</f>
        <v>607858.67741999996</v>
      </c>
      <c r="R11" s="661"/>
      <c r="T11" s="659"/>
      <c r="U11" s="659"/>
      <c r="V11" s="659"/>
      <c r="W11" s="659"/>
      <c r="X11" s="659"/>
      <c r="Y11" s="659"/>
      <c r="Z11" s="659"/>
      <c r="AA11" s="659"/>
      <c r="AB11" s="659"/>
      <c r="AC11" s="659"/>
      <c r="AD11" s="659"/>
      <c r="AE11" s="659"/>
    </row>
    <row r="12" spans="2:31" x14ac:dyDescent="0.2">
      <c r="B12" s="1367" t="s">
        <v>965</v>
      </c>
      <c r="C12" s="1211"/>
      <c r="D12" s="1211"/>
      <c r="E12" s="1212"/>
      <c r="F12" s="676" t="str">
        <f t="shared" ref="F12:K12" si="1">IFERROR(IF(OR(E11="",F11=""),"",IF(ABS((F11-E11)/E11)&gt;=$R$2,"NA",IF(F11&gt;E11,ABS((F11-E11)/E11),-ABS((F11-E11)/E11)))),"NM")</f>
        <v>NM</v>
      </c>
      <c r="G12" s="676" t="str">
        <f t="shared" si="1"/>
        <v>NM</v>
      </c>
      <c r="H12" s="676" t="str">
        <f t="shared" si="1"/>
        <v>NM</v>
      </c>
      <c r="I12" s="676" t="str">
        <f t="shared" si="1"/>
        <v>NM</v>
      </c>
      <c r="J12" s="676" t="str">
        <f t="shared" si="1"/>
        <v>NM</v>
      </c>
      <c r="K12" s="676" t="str">
        <f t="shared" si="1"/>
        <v>NM</v>
      </c>
      <c r="L12" s="1096"/>
      <c r="M12" s="1096"/>
      <c r="N12" s="676" t="str">
        <f>IFERROR(IF(OR(M11="",N11=""),"",IF(ABS((N11-M11)/M11)&gt;=$R$2,"NA",IF(N11&gt;M11,ABS((N11-M11)/M11),-ABS((N11-M11)/M11)))),"NM")</f>
        <v>NM</v>
      </c>
      <c r="O12" s="1087" t="str">
        <f>IFERROR(IF(OR(K11="",O11=""),"",IF(ABS((O11-K11)/K11)&gt;=$R$2,"NA",IF(O11&gt;K11,ABS((O11-K11)/K11),-ABS((O11-K11)/K11)))),"NM")</f>
        <v>NM</v>
      </c>
      <c r="P12" s="1087">
        <f>IFERROR(IF(OR(O11="",P11=""),"",IF(ABS((P11-O11)/O11)&gt;=$R$2,"NA",IF(P11&gt;O11,ABS((P11-O11)/O11),-ABS((P11-O11)/O11)))),"NM")</f>
        <v>3.2233620853567513E-2</v>
      </c>
      <c r="R12" s="661"/>
      <c r="T12" s="659"/>
      <c r="U12" s="659"/>
      <c r="V12" s="659"/>
      <c r="W12" s="659"/>
      <c r="X12" s="659"/>
      <c r="Y12" s="659"/>
      <c r="Z12" s="659"/>
      <c r="AA12" s="659"/>
      <c r="AB12" s="659"/>
      <c r="AC12" s="659"/>
      <c r="AD12" s="659"/>
      <c r="AE12" s="659"/>
    </row>
    <row r="13" spans="2:31" x14ac:dyDescent="0.2">
      <c r="B13" s="1368"/>
      <c r="C13" s="1213"/>
      <c r="D13" s="1213"/>
      <c r="E13" s="1118"/>
      <c r="F13" s="1118"/>
      <c r="G13" s="1118"/>
      <c r="H13" s="1118"/>
      <c r="I13" s="1118"/>
      <c r="J13" s="1118"/>
      <c r="K13" s="1117"/>
      <c r="L13" s="1117"/>
      <c r="M13" s="1117"/>
      <c r="N13" s="1118"/>
      <c r="O13" s="1116"/>
      <c r="P13" s="1116"/>
      <c r="R13" s="661"/>
      <c r="T13" s="659"/>
      <c r="U13" s="659"/>
      <c r="V13" s="659"/>
      <c r="W13" s="659"/>
      <c r="X13" s="659"/>
      <c r="Y13" s="659"/>
      <c r="Z13" s="659"/>
      <c r="AA13" s="659"/>
      <c r="AB13" s="659"/>
      <c r="AC13" s="659"/>
      <c r="AD13" s="659"/>
      <c r="AE13" s="659"/>
    </row>
    <row r="14" spans="2:31" x14ac:dyDescent="0.2">
      <c r="B14" s="1349" t="s">
        <v>50</v>
      </c>
      <c r="C14" s="1211" t="s">
        <v>380</v>
      </c>
      <c r="D14" s="1211"/>
      <c r="E14" s="660">
        <f>IFERROR(_xll.ciqfunctions.udf.CIQ($B$1,$C14,E$1,$D$1,$C$2, ,$C$1),"")</f>
        <v>21638</v>
      </c>
      <c r="F14" s="660">
        <f>IFERROR(_xll.ciqfunctions.udf.CIQ($B$1,$C14,F$1,$D$1,$C$2, ,$C$1),"")</f>
        <v>20497</v>
      </c>
      <c r="G14" s="660">
        <f>IFERROR(_xll.ciqfunctions.udf.CIQ($B$1,$C14,G$1,$D$1,$C$2, ,$C$1),"")</f>
        <v>15123</v>
      </c>
      <c r="H14" s="660">
        <f>IFERROR(_xll.ciqfunctions.udf.CIQ($B$1,$C14,H$1,$D$1,$C$2, ,$C$1),"")</f>
        <v>11460</v>
      </c>
      <c r="I14" s="660">
        <f>IFERROR(_xll.ciqfunctions.udf.CIQ($B$1,$C14,I$1,$D$1,$C$2, ,$C$1),"")</f>
        <v>20116</v>
      </c>
      <c r="J14" s="660">
        <f>IFERROR(_xll.ciqfunctions.udf.CIQ($B$1,$C14,J$1,$D$1,$C$2, ,$C$1),"")</f>
        <v>20564</v>
      </c>
      <c r="K14" s="660">
        <f>IFERROR(_xll.ciqfunctions.udf.CIQ($B$1,$C14,K$1,$D$1,$C$2, ,$C$1),"")</f>
        <v>18696</v>
      </c>
      <c r="L14" s="1209" t="s">
        <v>954</v>
      </c>
      <c r="M14" s="660">
        <f>IFERROR(_xll.ciqfunctions.udf.CIQ($B$1,$C14,M$1,$D$1,$C$2, ,$C$1),"")</f>
        <v>20564</v>
      </c>
      <c r="N14" s="660">
        <f>IFERROR(_xll.ciqfunctions.udf.CIQ($B$1,$C14,N$1,$D$1,$C$2, ,$C$1),"")</f>
        <v>18696</v>
      </c>
      <c r="O14" s="861">
        <f>IFERROR(_xll.ciqfunctions.udf.CIQ($B$1,$L14,O$1,$D$1,$C$2, ,$C$1),"")</f>
        <v>25283.165400000002</v>
      </c>
      <c r="P14" s="861">
        <f>IFERROR(_xll.ciqfunctions.udf.CIQ($B$1,$L14,P$1,$D$1,$C$2, ,$C$1),"")</f>
        <v>26608.59691</v>
      </c>
      <c r="R14" s="661"/>
      <c r="T14" s="659"/>
      <c r="U14" s="659"/>
      <c r="V14" s="659"/>
      <c r="W14" s="659"/>
      <c r="X14" s="659"/>
      <c r="Y14" s="659"/>
      <c r="Z14" s="659"/>
      <c r="AA14" s="659"/>
      <c r="AB14" s="659"/>
      <c r="AC14" s="659"/>
      <c r="AD14" s="659"/>
      <c r="AE14" s="659"/>
    </row>
    <row r="15" spans="2:31" x14ac:dyDescent="0.2">
      <c r="B15" s="1367" t="s">
        <v>965</v>
      </c>
      <c r="C15" s="1214"/>
      <c r="D15" s="1214"/>
      <c r="E15" s="1212"/>
      <c r="F15" s="1113">
        <f t="shared" ref="F15:K15" si="2">IFERROR(IF(OR(E14="",F14=""),"",IF(ABS((F14-E14)/E14)&gt;=$R$2,"NA",IF(F14&gt;E14,ABS((F14-E14)/E14),-ABS((F14-E14)/E14)))),"NM")</f>
        <v>-5.2731306035677973E-2</v>
      </c>
      <c r="G15" s="1113">
        <f t="shared" si="2"/>
        <v>-0.26218470995755477</v>
      </c>
      <c r="H15" s="1113">
        <f t="shared" si="2"/>
        <v>-0.2422138464590359</v>
      </c>
      <c r="I15" s="1113">
        <f t="shared" si="2"/>
        <v>0.7553228621291449</v>
      </c>
      <c r="J15" s="1113">
        <f t="shared" si="2"/>
        <v>2.2270829190693973E-2</v>
      </c>
      <c r="K15" s="1113">
        <f t="shared" si="2"/>
        <v>-9.0838358296051358E-2</v>
      </c>
      <c r="L15" s="1096"/>
      <c r="M15" s="1096"/>
      <c r="N15" s="1113">
        <f>IFERROR(IF(OR(M14="",N14=""),"",IF(ABS((N14-M14)/M14)&gt;=$R$2,"NA",IF(N14&gt;M14,ABS((N14-M14)/M14),-ABS((N14-M14)/M14)))),"NM")</f>
        <v>-9.0838358296051358E-2</v>
      </c>
      <c r="O15" s="1114">
        <f>IFERROR(IF(OR(K14="",O14=""),"",IF(ABS((O14-K14)/K14)&gt;=$R$2,"NA",IF(O14&gt;K14,ABS((O14-K14)/K14),-ABS((O14-K14)/K14)))),"NM")</f>
        <v>0.35233019897304246</v>
      </c>
      <c r="P15" s="1114">
        <f>IFERROR(IF(OR(O14="",P14=""),"",IF(ABS((P14-O14)/O14)&gt;=$R$2,"NA",IF(P14&gt;O14,ABS((P14-O14)/O14),-ABS((P14-O14)/O14)))),"NM")</f>
        <v>5.2423479775202453E-2</v>
      </c>
      <c r="R15" s="661"/>
      <c r="T15" s="659"/>
      <c r="U15" s="659"/>
      <c r="V15" s="659"/>
      <c r="W15" s="659"/>
      <c r="X15" s="659"/>
      <c r="Y15" s="659"/>
      <c r="Z15" s="659"/>
      <c r="AA15" s="659"/>
      <c r="AB15" s="659"/>
      <c r="AC15" s="659"/>
      <c r="AD15" s="659"/>
      <c r="AE15" s="659"/>
    </row>
    <row r="16" spans="2:31" x14ac:dyDescent="0.2">
      <c r="B16" s="1369" t="s">
        <v>945</v>
      </c>
      <c r="C16" s="1214"/>
      <c r="D16" s="1214"/>
      <c r="E16" s="1215" t="str">
        <f t="shared" ref="E16:K16" si="3">IFERROR(IF(ABS(E14/E$11)&gt;=$R$2,"NA",E14/E$11),"NM")</f>
        <v>NM</v>
      </c>
      <c r="F16" s="1216" t="str">
        <f t="shared" si="3"/>
        <v>NM</v>
      </c>
      <c r="G16" s="1216" t="str">
        <f t="shared" si="3"/>
        <v>NM</v>
      </c>
      <c r="H16" s="1216" t="str">
        <f t="shared" si="3"/>
        <v>NM</v>
      </c>
      <c r="I16" s="1216" t="str">
        <f t="shared" si="3"/>
        <v>NM</v>
      </c>
      <c r="J16" s="1216" t="str">
        <f t="shared" si="3"/>
        <v>NM</v>
      </c>
      <c r="K16" s="1216" t="str">
        <f t="shared" si="3"/>
        <v>NM</v>
      </c>
      <c r="L16" s="1096" t="s">
        <v>967</v>
      </c>
      <c r="M16" s="1216" t="str">
        <f t="shared" ref="M16:P16" si="4">IFERROR(IF(ABS(M14/M$11)&gt;=$R$2,"NA",M14/M$11),"NM")</f>
        <v>NM</v>
      </c>
      <c r="N16" s="1216" t="str">
        <f t="shared" si="4"/>
        <v>NM</v>
      </c>
      <c r="O16" s="1087">
        <f t="shared" si="4"/>
        <v>4.2934541098027516E-2</v>
      </c>
      <c r="P16" s="1087">
        <f t="shared" si="4"/>
        <v>4.3774314488587603E-2</v>
      </c>
      <c r="R16" s="661"/>
      <c r="T16" s="659"/>
      <c r="U16" s="659"/>
      <c r="V16" s="659"/>
      <c r="W16" s="659"/>
      <c r="X16" s="659"/>
      <c r="Y16" s="659"/>
      <c r="Z16" s="659"/>
      <c r="AA16" s="659"/>
      <c r="AB16" s="659"/>
      <c r="AC16" s="659"/>
      <c r="AD16" s="659"/>
      <c r="AE16" s="659"/>
    </row>
    <row r="17" spans="2:31" x14ac:dyDescent="0.2">
      <c r="B17" s="1368"/>
      <c r="C17" s="1217"/>
      <c r="D17" s="1217"/>
      <c r="E17" s="1121"/>
      <c r="F17" s="1121"/>
      <c r="G17" s="1121"/>
      <c r="H17" s="1121"/>
      <c r="I17" s="1121"/>
      <c r="J17" s="1121"/>
      <c r="K17" s="1117"/>
      <c r="L17" s="1117"/>
      <c r="M17" s="1117"/>
      <c r="N17" s="1121"/>
      <c r="O17" s="1120"/>
      <c r="P17" s="1120"/>
      <c r="R17" s="661"/>
      <c r="T17" s="659"/>
      <c r="U17" s="659"/>
      <c r="V17" s="659"/>
      <c r="W17" s="659"/>
      <c r="X17" s="659"/>
      <c r="Y17" s="659"/>
      <c r="Z17" s="659"/>
      <c r="AA17" s="659"/>
      <c r="AB17" s="659"/>
      <c r="AC17" s="659"/>
      <c r="AD17" s="659"/>
      <c r="AE17" s="659"/>
    </row>
    <row r="18" spans="2:31" x14ac:dyDescent="0.2">
      <c r="B18" s="1349" t="s">
        <v>6</v>
      </c>
      <c r="C18" s="1214" t="s">
        <v>14</v>
      </c>
      <c r="D18" s="1214"/>
      <c r="E18" s="660">
        <f>IFERROR(_xll.ciqfunctions.udf.CIQ($B$1,$C18,E$1,$D$1,$C$2, ,$C$1),"")</f>
        <v>14694</v>
      </c>
      <c r="F18" s="660">
        <f>IFERROR(_xll.ciqfunctions.udf.CIQ($B$1,$C18,F$1,$D$1,$C$2, ,$C$1),"")</f>
        <v>13643</v>
      </c>
      <c r="G18" s="660">
        <f>IFERROR(_xll.ciqfunctions.udf.CIQ($B$1,$C18,G$1,$D$1,$C$2, ,$C$1),"")</f>
        <v>9862</v>
      </c>
      <c r="H18" s="660">
        <f>IFERROR(_xll.ciqfunctions.udf.CIQ($B$1,$C18,H$1,$D$1,$C$2, ,$C$1),"")</f>
        <v>6670</v>
      </c>
      <c r="I18" s="660">
        <f>IFERROR(_xll.ciqfunctions.udf.CIQ($B$1,$C18,I$1,$D$1,$C$2, ,$C$1),"")</f>
        <v>14881</v>
      </c>
      <c r="J18" s="660">
        <f>IFERROR(_xll.ciqfunctions.udf.CIQ($B$1,$C18,J$1,$D$1,$C$2, ,$C$1),"")</f>
        <v>13510</v>
      </c>
      <c r="K18" s="660">
        <f>IFERROR(_xll.ciqfunctions.udf.CIQ($B$1,$C18,K$1,$D$1,$C$2, ,$C$1),"")</f>
        <v>13673</v>
      </c>
      <c r="L18" s="1209" t="s">
        <v>979</v>
      </c>
      <c r="M18" s="660">
        <f>IFERROR(_xll.ciqfunctions.udf.CIQ($B$1,$C18,M$1,$D$1,$C$2, ,$C$1),"")</f>
        <v>13510</v>
      </c>
      <c r="N18" s="660">
        <f>IFERROR(_xll.ciqfunctions.udf.CIQ($B$1,$C18,N$1,$D$1,$C$2, ,$C$1),"")</f>
        <v>13673</v>
      </c>
      <c r="O18" s="861">
        <f>IFERROR(_xll.ciqfunctions.udf.CIQ($B$1,$L18,O$1,$D$1,$C$2, ,$C$1),"")</f>
        <v>18575.060170000001</v>
      </c>
      <c r="P18" s="861">
        <f>IFERROR(_xll.ciqfunctions.udf.CIQ($B$1,$L18,P$1,$D$1,$C$2, ,$C$1),"")</f>
        <v>19564.7343</v>
      </c>
      <c r="R18" s="661"/>
      <c r="T18" s="659"/>
      <c r="U18" s="659"/>
      <c r="V18" s="659"/>
      <c r="W18" s="659"/>
      <c r="X18" s="659"/>
      <c r="Y18" s="659"/>
      <c r="Z18" s="659"/>
      <c r="AA18" s="659"/>
      <c r="AB18" s="659"/>
      <c r="AC18" s="659"/>
      <c r="AD18" s="659"/>
      <c r="AE18" s="659"/>
    </row>
    <row r="19" spans="2:31" x14ac:dyDescent="0.2">
      <c r="B19" s="1350" t="s">
        <v>965</v>
      </c>
      <c r="C19" s="663"/>
      <c r="D19" s="663"/>
      <c r="E19" s="1112"/>
      <c r="F19" s="1113">
        <f t="shared" ref="F19:K19" si="5">IFERROR(IF(OR(E18="",F18=""),"",IF(ABS((F18-E18)/E18)&gt;=$R$2,"NA",IF(F18&gt;E18,ABS((F18-E18)/E18),-ABS((F18-E18)/E18)))),"NM")</f>
        <v>-7.1525792840615221E-2</v>
      </c>
      <c r="G19" s="1113">
        <f t="shared" si="5"/>
        <v>-0.27713845928314884</v>
      </c>
      <c r="H19" s="1113">
        <f t="shared" si="5"/>
        <v>-0.32366659906712636</v>
      </c>
      <c r="I19" s="1113">
        <f t="shared" si="5"/>
        <v>1.2310344827586206</v>
      </c>
      <c r="J19" s="1113">
        <f t="shared" si="5"/>
        <v>-9.2130905181103423E-2</v>
      </c>
      <c r="K19" s="1113">
        <f t="shared" si="5"/>
        <v>1.2065136935603257E-2</v>
      </c>
      <c r="L19" s="1096"/>
      <c r="M19" s="1096"/>
      <c r="N19" s="1113">
        <f>IFERROR(IF(OR(M18="",N18=""),"",IF(ABS((N18-M18)/M18)&gt;=$R$2,"NA",IF(N18&gt;M18,ABS((N18-M18)/M18),-ABS((N18-M18)/M18)))),"NM")</f>
        <v>1.2065136935603257E-2</v>
      </c>
      <c r="O19" s="1114">
        <f>IFERROR(IF(OR(K18="",O18=""),"",IF(ABS((O18-K18)/K18)&gt;=$R$2,"NA",IF(O18&gt;K18,ABS((O18-K18)/K18),-ABS((O18-K18)/K18)))),"NM")</f>
        <v>0.35852118554816065</v>
      </c>
      <c r="P19" s="1114">
        <f>IFERROR(IF(OR(O18="",P18=""),"",IF(ABS((P18-O18)/O18)&gt;=$R$2,"NA",IF(P18&gt;O18,ABS((P18-O18)/O18),-ABS((P18-O18)/O18)))),"NM")</f>
        <v>5.3279726738026466E-2</v>
      </c>
      <c r="R19" s="661"/>
      <c r="T19" s="659"/>
      <c r="U19" s="659"/>
      <c r="V19" s="659"/>
      <c r="W19" s="659"/>
      <c r="X19" s="659"/>
      <c r="Y19" s="659"/>
      <c r="Z19" s="659"/>
      <c r="AA19" s="659"/>
      <c r="AB19" s="659"/>
      <c r="AC19" s="659"/>
      <c r="AD19" s="659"/>
      <c r="AE19" s="659"/>
    </row>
    <row r="20" spans="2:31" x14ac:dyDescent="0.2">
      <c r="B20" s="1353" t="s">
        <v>1070</v>
      </c>
      <c r="C20" s="663"/>
      <c r="D20" s="663"/>
      <c r="E20" s="1215" t="str">
        <f t="shared" ref="E20:K20" si="6">IFERROR(IF(ABS(E18/E$11)&gt;=$R$2,"NA",E18/E$11),"NM")</f>
        <v>NM</v>
      </c>
      <c r="F20" s="1216" t="str">
        <f t="shared" si="6"/>
        <v>NM</v>
      </c>
      <c r="G20" s="1216" t="str">
        <f t="shared" si="6"/>
        <v>NM</v>
      </c>
      <c r="H20" s="1216" t="str">
        <f t="shared" si="6"/>
        <v>NM</v>
      </c>
      <c r="I20" s="1216" t="str">
        <f t="shared" si="6"/>
        <v>NM</v>
      </c>
      <c r="J20" s="1216" t="str">
        <f t="shared" si="6"/>
        <v>NM</v>
      </c>
      <c r="K20" s="1216" t="str">
        <f t="shared" si="6"/>
        <v>NM</v>
      </c>
      <c r="L20" s="1096"/>
      <c r="M20" s="1216" t="str">
        <f t="shared" ref="M20:P20" si="7">IFERROR(IF(ABS(M18/M$11)&gt;=$R$2,"NA",M18/M$11),"NM")</f>
        <v>NM</v>
      </c>
      <c r="N20" s="1216" t="str">
        <f t="shared" si="7"/>
        <v>NM</v>
      </c>
      <c r="O20" s="1087">
        <f t="shared" si="7"/>
        <v>3.1543189772717264E-2</v>
      </c>
      <c r="P20" s="1087">
        <f t="shared" si="7"/>
        <v>3.2186320647820163E-2</v>
      </c>
      <c r="R20" s="661"/>
      <c r="T20" s="659"/>
      <c r="U20" s="659"/>
      <c r="V20" s="659"/>
      <c r="W20" s="659"/>
      <c r="X20" s="659"/>
      <c r="Y20" s="659"/>
      <c r="Z20" s="659"/>
      <c r="AA20" s="659"/>
      <c r="AB20" s="659"/>
      <c r="AC20" s="659"/>
      <c r="AD20" s="659"/>
      <c r="AE20" s="659"/>
    </row>
    <row r="21" spans="2:31" x14ac:dyDescent="0.2">
      <c r="B21" s="1351"/>
      <c r="C21" s="1115"/>
      <c r="D21" s="1115"/>
      <c r="E21" s="1116"/>
      <c r="F21" s="1116"/>
      <c r="G21" s="1116"/>
      <c r="H21" s="1116"/>
      <c r="I21" s="1116"/>
      <c r="J21" s="1116"/>
      <c r="K21" s="1117"/>
      <c r="L21" s="1117"/>
      <c r="M21" s="1117"/>
      <c r="N21" s="1116"/>
      <c r="O21" s="1116"/>
      <c r="P21" s="1116"/>
      <c r="R21" s="661"/>
      <c r="T21" s="659"/>
      <c r="U21" s="659"/>
      <c r="V21" s="659"/>
      <c r="W21" s="659"/>
      <c r="X21" s="659"/>
      <c r="Y21" s="659"/>
      <c r="Z21" s="659"/>
      <c r="AA21" s="659"/>
      <c r="AB21" s="659"/>
      <c r="AC21" s="659"/>
      <c r="AD21" s="659"/>
      <c r="AE21" s="659"/>
    </row>
    <row r="22" spans="2:31" ht="14.25" x14ac:dyDescent="0.2">
      <c r="B22" s="1349" t="s">
        <v>232</v>
      </c>
      <c r="C22" s="663" t="str">
        <f>"IQ_NET_LOANS"</f>
        <v>IQ_NET_LOANS</v>
      </c>
      <c r="D22" s="663"/>
      <c r="E22" s="660">
        <f>IFERROR(_xll.ciqfunctions.udf.CIQ($B$1,$C22,E$1,$D$1,$C$2, ,$C$1),"")</f>
        <v>0</v>
      </c>
      <c r="F22" s="660">
        <f>IFERROR(_xll.ciqfunctions.udf.CIQ($B$1,$C22,F$1,$D$1,$C$2, ,$C$1),"")</f>
        <v>0</v>
      </c>
      <c r="G22" s="660">
        <f>IFERROR(_xll.ciqfunctions.udf.CIQ($B$1,$C22,G$1,$D$1,$C$2, ,$C$1),"")</f>
        <v>0</v>
      </c>
      <c r="H22" s="660">
        <f>IFERROR(_xll.ciqfunctions.udf.CIQ($B$1,$C22,H$1,$D$1,$C$2, ,$C$1),"")</f>
        <v>0</v>
      </c>
      <c r="I22" s="660">
        <f>IFERROR(_xll.ciqfunctions.udf.CIQ($B$1,$C22,I$1,$D$1,$C$2, ,$C$1),"")</f>
        <v>0</v>
      </c>
      <c r="J22" s="660">
        <f>IFERROR(_xll.ciqfunctions.udf.CIQ($B$1,$C22,J$1,$D$1,$C$2, ,$C$1),"")</f>
        <v>0</v>
      </c>
      <c r="K22" s="660">
        <f>IFERROR(_xll.ciqfunctions.udf.CIQ($B$1,$C22,K$1,$D$1,$C$2, ,$C$1),"")</f>
        <v>0</v>
      </c>
      <c r="L22" s="1110"/>
      <c r="M22" s="660">
        <f>IFERROR(_xll.ciqfunctions.udf.CIQ($B$1,$C22,M$1,$D$1,$C$2, ,$C$1),"")</f>
        <v>0</v>
      </c>
      <c r="N22" s="660">
        <f>IFERROR(_xll.ciqfunctions.udf.CIQ($B$1,$C22,N$1,$D$1,$C$2, ,$C$1),"")</f>
        <v>0</v>
      </c>
      <c r="O22" s="861" t="s">
        <v>942</v>
      </c>
      <c r="P22" s="861" t="s">
        <v>942</v>
      </c>
      <c r="R22" s="661"/>
      <c r="S22" s="694"/>
      <c r="T22" s="659"/>
      <c r="U22" s="659"/>
      <c r="V22" s="659"/>
      <c r="W22" s="659"/>
      <c r="X22" s="659"/>
      <c r="Y22" s="659"/>
      <c r="Z22" s="659"/>
      <c r="AA22" s="659"/>
      <c r="AB22" s="659"/>
      <c r="AC22" s="659"/>
      <c r="AD22" s="659"/>
      <c r="AE22" s="659"/>
    </row>
    <row r="23" spans="2:31" x14ac:dyDescent="0.2">
      <c r="B23" s="1350" t="s">
        <v>965</v>
      </c>
      <c r="C23" s="1218"/>
      <c r="D23" s="1218"/>
      <c r="E23" s="1112"/>
      <c r="F23" s="1113" t="str">
        <f t="shared" ref="F23:K23" si="8">IFERROR(IF(OR(E22="",F22=""),"",IF(F22&gt;E22,ABS((F22-E22)/E22),-ABS((F22-E22)/E22))),"NM")</f>
        <v>NM</v>
      </c>
      <c r="G23" s="1113" t="str">
        <f t="shared" si="8"/>
        <v>NM</v>
      </c>
      <c r="H23" s="1113" t="str">
        <f t="shared" si="8"/>
        <v>NM</v>
      </c>
      <c r="I23" s="1113" t="str">
        <f t="shared" si="8"/>
        <v>NM</v>
      </c>
      <c r="J23" s="1113" t="str">
        <f t="shared" si="8"/>
        <v>NM</v>
      </c>
      <c r="K23" s="1113" t="str">
        <f t="shared" si="8"/>
        <v>NM</v>
      </c>
      <c r="L23" s="1219"/>
      <c r="M23" s="1219"/>
      <c r="N23" s="1113" t="str">
        <f>IFERROR(IF(OR(M22="",N22=""),"",IF(ABS((N22-M22)/M22)&gt;=$R$2,"NA",IF(N22&gt;M22,ABS((N22-M22)/M22),-ABS((N22-M22)/M22)))),"NM")</f>
        <v>NM</v>
      </c>
      <c r="O23" s="1114" t="str">
        <f>IFERROR(IF(OR(K22="",O22=""),"",IF(ABS((O22-K22)/K22)&gt;=$R$2,"NA",IF(O22&gt;K22,ABS((O22-K22)/K22),-ABS((O22-K22)/K22)))),"NM")</f>
        <v>NM</v>
      </c>
      <c r="P23" s="1114" t="str">
        <f>IFERROR(IF(OR(O22="",P22=""),"",IF(ABS((P22-O22)/O22)&gt;=$R$2,"NA",IF(P22&gt;O22,ABS((P22-O22)/O22),-ABS((P22-O22)/O22)))),"NM")</f>
        <v>NM</v>
      </c>
      <c r="R23" s="661"/>
      <c r="T23" s="659"/>
      <c r="U23" s="659"/>
      <c r="V23" s="659"/>
      <c r="W23" s="659"/>
      <c r="X23" s="659"/>
      <c r="Y23" s="659"/>
      <c r="Z23" s="659"/>
      <c r="AA23" s="659"/>
      <c r="AB23" s="659"/>
      <c r="AC23" s="659"/>
      <c r="AD23" s="659"/>
      <c r="AE23" s="659"/>
    </row>
    <row r="24" spans="2:31" x14ac:dyDescent="0.2">
      <c r="B24" s="1351"/>
      <c r="C24" s="1115"/>
      <c r="D24" s="1115"/>
      <c r="E24" s="1116"/>
      <c r="F24" s="1116"/>
      <c r="G24" s="1116"/>
      <c r="H24" s="1116"/>
      <c r="I24" s="1116"/>
      <c r="J24" s="1116"/>
      <c r="K24" s="1117"/>
      <c r="L24" s="1117"/>
      <c r="M24" s="1117"/>
      <c r="N24" s="1116"/>
      <c r="O24" s="1116"/>
      <c r="P24" s="1116"/>
      <c r="R24" s="732"/>
      <c r="T24" s="659"/>
      <c r="U24" s="659"/>
      <c r="V24" s="659"/>
      <c r="W24" s="659"/>
      <c r="X24" s="659"/>
      <c r="Y24" s="659"/>
      <c r="Z24" s="659"/>
      <c r="AA24" s="659"/>
      <c r="AB24" s="659"/>
      <c r="AC24" s="659"/>
      <c r="AD24" s="659"/>
      <c r="AE24" s="659"/>
    </row>
    <row r="25" spans="2:31" x14ac:dyDescent="0.2">
      <c r="B25" s="1353" t="s">
        <v>981</v>
      </c>
      <c r="C25" s="663" t="s">
        <v>982</v>
      </c>
      <c r="D25" s="663"/>
      <c r="E25" s="734">
        <f>IFERROR(_xll.ciqfunctions.udf.CIQ($B$1,$C25,E$1,$D$1,$C$2, ,$C$1),"")</f>
        <v>4.57</v>
      </c>
      <c r="F25" s="965">
        <f>IFERROR(_xll.ciqfunctions.udf.CIQ($B$1,$C25,F$1,$D$1,$C$2, ,$C$1),"")</f>
        <v>4.38</v>
      </c>
      <c r="G25" s="965">
        <f>IFERROR(_xll.ciqfunctions.udf.CIQ($B$1,$C25,G$1,$D$1,$C$2, ,$C$1),"")</f>
        <v>3.28</v>
      </c>
      <c r="H25" s="965">
        <f>IFERROR(_xll.ciqfunctions.udf.CIQ($B$1,$C25,H$1,$D$1,$C$2, ,$C$1),"")</f>
        <v>2.2599999999999998</v>
      </c>
      <c r="I25" s="965">
        <f>IFERROR(_xll.ciqfunctions.udf.CIQ($B$1,$C25,I$1,$D$1,$C$2, ,$C$1),"")</f>
        <v>5.19</v>
      </c>
      <c r="J25" s="965">
        <f>IFERROR(_xll.ciqfunctions.udf.CIQ($B$1,$C25,J$1,$D$1,$C$2, ,$C$1),"")</f>
        <v>4.75</v>
      </c>
      <c r="K25" s="965">
        <f>IFERROR(_xll.ciqfunctions.udf.CIQ($B$1,$C25,K$1,$D$1,$C$2, ,$C$1),"")</f>
        <v>4.87</v>
      </c>
      <c r="L25" s="1220" t="s">
        <v>983</v>
      </c>
      <c r="M25" s="965">
        <f>IFERROR(_xll.ciqfunctions.udf.CIQ($B$1,$C25,M$1,$D$1,$C$2, ,$C$1),"")</f>
        <v>4.75</v>
      </c>
      <c r="N25" s="965">
        <f>IFERROR(_xll.ciqfunctions.udf.CIQ($B$1,$C25,N$1,$D$1,$C$2, ,$C$1),"")</f>
        <v>4.87</v>
      </c>
      <c r="O25" s="966">
        <f>IFERROR(_xll.ciqfunctions.udf.CIQ($B$1,$L25,O$1,$D$1,$C$2, ,$C$1),"")</f>
        <v>6.7613300000000001</v>
      </c>
      <c r="P25" s="966">
        <f>IFERROR(_xll.ciqfunctions.udf.CIQ($B$1,$L25,P$1,$D$1,$C$2, ,$C$1),"")</f>
        <v>7.2535699999999999</v>
      </c>
      <c r="R25" s="661"/>
      <c r="T25" s="659"/>
      <c r="U25" s="659"/>
      <c r="V25" s="659"/>
      <c r="W25" s="659"/>
      <c r="X25" s="659"/>
      <c r="Y25" s="659"/>
      <c r="Z25" s="659"/>
      <c r="AA25" s="659"/>
      <c r="AB25" s="659"/>
      <c r="AC25" s="659"/>
      <c r="AD25" s="659"/>
      <c r="AE25" s="659"/>
    </row>
    <row r="26" spans="2:31" x14ac:dyDescent="0.2">
      <c r="B26" s="1349" t="s">
        <v>512</v>
      </c>
      <c r="C26" s="663" t="s">
        <v>609</v>
      </c>
      <c r="D26" s="663"/>
      <c r="E26" s="734">
        <f>IFERROR(_xll.ciqfunctions.udf.CIQ($B$1,$C26,E$1,$D$1,$C$2, ,$C$1),"")</f>
        <v>4.57</v>
      </c>
      <c r="F26" s="734">
        <f>IFERROR(_xll.ciqfunctions.udf.CIQ($B$1,$C26,F$1,$D$1,$C$2, ,$C$1),"")</f>
        <v>4.38</v>
      </c>
      <c r="G26" s="734">
        <f>IFERROR(_xll.ciqfunctions.udf.CIQ($B$1,$C26,G$1,$D$1,$C$2, ,$C$1),"")</f>
        <v>3.28</v>
      </c>
      <c r="H26" s="734">
        <f>IFERROR(_xll.ciqfunctions.udf.CIQ($B$1,$C26,H$1,$D$1,$C$2, ,$C$1),"")</f>
        <v>2.2599999999999998</v>
      </c>
      <c r="I26" s="734">
        <f>IFERROR(_xll.ciqfunctions.udf.CIQ($B$1,$C26,I$1,$D$1,$C$2, ,$C$1),"")</f>
        <v>5.19</v>
      </c>
      <c r="J26" s="734">
        <f>IFERROR(_xll.ciqfunctions.udf.CIQ($B$1,$C26,J$1,$D$1,$C$2, ,$C$1),"")</f>
        <v>4.75</v>
      </c>
      <c r="K26" s="734">
        <f>IFERROR(_xll.ciqfunctions.udf.CIQ($B$1,$C26,K$1,$D$1,$C$2, ,$C$1),"")</f>
        <v>4.87</v>
      </c>
      <c r="L26" s="1122" t="s">
        <v>608</v>
      </c>
      <c r="M26" s="734">
        <f>IFERROR(_xll.ciqfunctions.udf.CIQ($B$1,$C26,M$1,$D$1,$C$2, ,$C$1),"")</f>
        <v>4.75</v>
      </c>
      <c r="N26" s="734">
        <f>IFERROR(_xll.ciqfunctions.udf.CIQ($B$1,$C26,N$1,$D$1,$C$2, ,$C$1),"")</f>
        <v>4.87</v>
      </c>
      <c r="O26" s="888">
        <f>IFERROR(_xll.ciqfunctions.udf.CIQ($B$1,$L26,O$1,$D$1,$C$2, ,$C$1),"")</f>
        <v>6.7588600000000003</v>
      </c>
      <c r="P26" s="888">
        <f>IFERROR(_xll.ciqfunctions.udf.CIQ($B$1,$L26,P$1,$D$1,$C$2, ,$C$1),"")</f>
        <v>7.25528</v>
      </c>
      <c r="R26" s="661"/>
      <c r="T26" s="659"/>
      <c r="U26" s="659"/>
      <c r="V26" s="659"/>
      <c r="W26" s="659"/>
      <c r="X26" s="659"/>
      <c r="Y26" s="659"/>
      <c r="Z26" s="659"/>
      <c r="AA26" s="659"/>
      <c r="AB26" s="659"/>
      <c r="AC26" s="659"/>
      <c r="AD26" s="659"/>
      <c r="AE26" s="659"/>
    </row>
    <row r="27" spans="2:31" x14ac:dyDescent="0.2">
      <c r="B27" s="1350" t="s">
        <v>965</v>
      </c>
      <c r="C27" s="1218"/>
      <c r="D27" s="1218"/>
      <c r="E27" s="1212"/>
      <c r="F27" s="1113">
        <f t="shared" ref="F27:K27" si="9">IFERROR(IF(OR(E26="",F26=""),"",IF(F26&gt;E26,ABS((F26-E26)/E26),-ABS((F26-E26)/E26))),"NM")</f>
        <v>-4.1575492341356754E-2</v>
      </c>
      <c r="G27" s="1113">
        <f t="shared" si="9"/>
        <v>-0.25114155251141557</v>
      </c>
      <c r="H27" s="1113">
        <f t="shared" si="9"/>
        <v>-0.31097560975609756</v>
      </c>
      <c r="I27" s="1113">
        <f t="shared" si="9"/>
        <v>1.2964601769911508</v>
      </c>
      <c r="J27" s="1113">
        <f t="shared" si="9"/>
        <v>-8.477842003853571E-2</v>
      </c>
      <c r="K27" s="1113">
        <f t="shared" si="9"/>
        <v>2.5263157894736866E-2</v>
      </c>
      <c r="L27" s="1219"/>
      <c r="M27" s="1219"/>
      <c r="N27" s="1113">
        <f>IFERROR(IF(OR(M26="",N26=""),"",IF(ABS((N26-M26)/M26)&gt;=$R$2,"NA",IF(N26&gt;M26,ABS((N26-M26)/M26),-ABS((N26-M26)/M26)))),"NM")</f>
        <v>2.5263157894736866E-2</v>
      </c>
      <c r="O27" s="1114">
        <f>IFERROR(IF(OR(K26="",O26=""),"",IF(ABS((O26-K26)/K26)&gt;=$R$2,"NA",IF(O26&gt;K26,ABS((O26-K26)/K26),-ABS((O26-K26)/K26)))),"NM")</f>
        <v>0.38785626283367558</v>
      </c>
      <c r="P27" s="1114">
        <f>IFERROR(IF(OR(O26="",P26=""),"",IF(ABS((P26-O26)/O26)&gt;=$R$2,"NA",IF(P26&gt;O26,ABS((P26-O26)/O26),-ABS((P26-O26)/O26)))),"NM")</f>
        <v>7.3447297325288527E-2</v>
      </c>
      <c r="R27" s="661"/>
      <c r="T27" s="659"/>
      <c r="U27" s="659"/>
      <c r="V27" s="659"/>
      <c r="W27" s="659"/>
      <c r="X27" s="659"/>
      <c r="Y27" s="659"/>
      <c r="Z27" s="659"/>
      <c r="AA27" s="659"/>
      <c r="AB27" s="659"/>
      <c r="AC27" s="659"/>
      <c r="AD27" s="659"/>
      <c r="AE27" s="659"/>
    </row>
    <row r="28" spans="2:31" x14ac:dyDescent="0.2">
      <c r="B28" s="664"/>
      <c r="E28" s="666"/>
      <c r="F28" s="666"/>
      <c r="G28" s="666"/>
      <c r="H28" s="666"/>
      <c r="I28" s="666"/>
      <c r="J28" s="666"/>
      <c r="K28" s="666"/>
      <c r="L28" s="666"/>
      <c r="N28" s="659"/>
      <c r="O28" s="659"/>
      <c r="P28" s="659"/>
      <c r="R28" s="661"/>
      <c r="T28" s="659"/>
      <c r="U28" s="659"/>
      <c r="V28" s="659"/>
      <c r="W28" s="659"/>
      <c r="X28" s="659"/>
      <c r="Y28" s="659"/>
      <c r="Z28" s="659"/>
      <c r="AA28" s="659"/>
      <c r="AB28" s="659"/>
      <c r="AC28" s="659"/>
      <c r="AD28" s="659"/>
      <c r="AE28" s="659"/>
    </row>
    <row r="29" spans="2:31" x14ac:dyDescent="0.2">
      <c r="B29" s="667"/>
      <c r="E29" s="668"/>
      <c r="F29" s="668"/>
      <c r="G29" s="668"/>
      <c r="H29" s="668"/>
      <c r="I29" s="668"/>
      <c r="J29" s="668"/>
      <c r="K29" s="668"/>
      <c r="L29" s="668"/>
      <c r="N29" s="659"/>
      <c r="O29" s="659"/>
      <c r="P29" s="659"/>
      <c r="R29" s="661"/>
      <c r="T29" s="659"/>
      <c r="U29" s="659"/>
      <c r="V29" s="659"/>
      <c r="W29" s="659"/>
      <c r="X29" s="659"/>
      <c r="Y29" s="659"/>
      <c r="Z29" s="659"/>
      <c r="AA29" s="659"/>
      <c r="AB29" s="659"/>
      <c r="AC29" s="659"/>
      <c r="AD29" s="659"/>
      <c r="AE29" s="659"/>
    </row>
    <row r="30" spans="2:31" x14ac:dyDescent="0.2">
      <c r="B30" s="655"/>
      <c r="E30" s="656"/>
      <c r="F30" s="656"/>
      <c r="G30" s="656"/>
      <c r="H30" s="656"/>
      <c r="I30" s="656"/>
      <c r="J30" s="656"/>
      <c r="K30" s="656"/>
      <c r="L30" s="656"/>
      <c r="N30" s="659"/>
      <c r="O30" s="659"/>
      <c r="P30" s="659"/>
      <c r="R30" s="661"/>
      <c r="T30" s="659"/>
      <c r="U30" s="659"/>
      <c r="V30" s="659"/>
      <c r="W30" s="659"/>
      <c r="X30" s="659"/>
      <c r="Y30" s="659"/>
      <c r="Z30" s="659"/>
      <c r="AA30" s="659"/>
      <c r="AB30" s="659"/>
      <c r="AC30" s="659"/>
      <c r="AD30" s="659"/>
      <c r="AE30" s="659"/>
    </row>
    <row r="31" spans="2:31" ht="15" customHeight="1" x14ac:dyDescent="0.2">
      <c r="B31" s="1469" t="s">
        <v>984</v>
      </c>
      <c r="C31" s="1470"/>
      <c r="D31" s="1470"/>
      <c r="E31" s="1471"/>
      <c r="F31" s="1471" t="s">
        <v>520</v>
      </c>
      <c r="G31" s="1471"/>
      <c r="H31" s="1471"/>
      <c r="I31" s="1471"/>
      <c r="J31" s="1471"/>
      <c r="K31" s="1471"/>
      <c r="L31" s="1472"/>
      <c r="M31" s="1473"/>
      <c r="N31" s="1473" t="s">
        <v>519</v>
      </c>
      <c r="O31" s="1474" t="s">
        <v>985</v>
      </c>
      <c r="P31" s="659"/>
      <c r="R31" s="661"/>
      <c r="T31" s="659"/>
      <c r="U31" s="659"/>
      <c r="V31" s="659"/>
      <c r="W31" s="659"/>
      <c r="X31" s="659"/>
      <c r="Y31" s="659"/>
      <c r="Z31" s="659"/>
      <c r="AA31" s="659"/>
      <c r="AB31" s="659"/>
      <c r="AC31" s="659"/>
      <c r="AD31" s="659"/>
    </row>
    <row r="32" spans="2:31" x14ac:dyDescent="0.2">
      <c r="B32" s="1339" t="str">
        <f>Input!$C$6 &amp; " million, except per share data"</f>
        <v>USD million, except per share data</v>
      </c>
      <c r="C32" s="1340"/>
      <c r="D32" s="1340"/>
      <c r="E32" s="1341"/>
      <c r="F32" s="1446">
        <f>_xll.ciqfunctions.udf.CIQ($B$1,"IQ_PERIODDATE_BS",F$1,$D$1,,$D$2)</f>
        <v>42766</v>
      </c>
      <c r="G32" s="1446">
        <f>_xll.ciqfunctions.udf.CIQ($B$1,"IQ_PERIODDATE_BS",G$1,$D$1,,$D$2)</f>
        <v>43131</v>
      </c>
      <c r="H32" s="1446">
        <f>_xll.ciqfunctions.udf.CIQ($B$1,"IQ_PERIODDATE_BS",H$1,$D$1,,$D$2)</f>
        <v>43496</v>
      </c>
      <c r="I32" s="1446">
        <f>_xll.ciqfunctions.udf.CIQ($B$1,"IQ_PERIODDATE_BS",I$1,$D$1,,$D$2)</f>
        <v>43861</v>
      </c>
      <c r="J32" s="1446">
        <f>_xll.ciqfunctions.udf.CIQ($B$1,"IQ_PERIODDATE_BS",J$1,$D$1,,$D$2)</f>
        <v>44227</v>
      </c>
      <c r="K32" s="1446">
        <f>_xll.ciqfunctions.udf.CIQ($B$1,"IQ_PERIODDATE_BS",K$1,$D$1,,$D$2)</f>
        <v>44592</v>
      </c>
      <c r="L32" s="1476"/>
      <c r="M32" s="1446"/>
      <c r="N32" s="1446">
        <f>N6</f>
        <v>44592</v>
      </c>
      <c r="O32" s="1448" t="str">
        <f>IFERROR(YEAR(F32) &amp; "-" &amp; YEAR(K32),"NM")</f>
        <v>2017-2022</v>
      </c>
      <c r="P32" s="659"/>
      <c r="R32" s="661"/>
      <c r="T32" s="659"/>
      <c r="U32" s="659"/>
      <c r="V32" s="659"/>
      <c r="W32" s="659"/>
      <c r="X32" s="659"/>
      <c r="Y32" s="659"/>
      <c r="Z32" s="659"/>
      <c r="AA32" s="659"/>
      <c r="AB32" s="659"/>
      <c r="AC32" s="659"/>
      <c r="AD32" s="659"/>
    </row>
    <row r="33" spans="1:30" ht="4.5" customHeight="1" x14ac:dyDescent="0.2">
      <c r="B33" s="1097"/>
      <c r="C33" s="1088"/>
      <c r="D33" s="1088"/>
      <c r="E33" s="735"/>
      <c r="F33" s="735"/>
      <c r="G33" s="735"/>
      <c r="H33" s="735"/>
      <c r="I33" s="735"/>
      <c r="J33" s="735"/>
      <c r="K33" s="1099"/>
      <c r="L33" s="1099"/>
      <c r="M33" s="1099"/>
      <c r="N33" s="1099"/>
      <c r="O33" s="735"/>
      <c r="R33" s="670"/>
      <c r="S33" s="659"/>
      <c r="T33" s="659"/>
      <c r="U33" s="659"/>
      <c r="V33" s="659"/>
      <c r="W33" s="659"/>
      <c r="X33" s="659"/>
      <c r="Y33" s="659"/>
      <c r="Z33" s="659"/>
      <c r="AA33" s="659"/>
      <c r="AB33" s="659"/>
      <c r="AC33" s="659"/>
      <c r="AD33" s="659"/>
    </row>
    <row r="34" spans="1:30" s="669" customFormat="1" x14ac:dyDescent="0.2">
      <c r="A34" s="653"/>
      <c r="B34" s="1343" t="s">
        <v>1071</v>
      </c>
      <c r="C34" s="1093"/>
      <c r="D34" s="1093"/>
      <c r="E34" s="1094"/>
      <c r="F34" s="1094"/>
      <c r="G34" s="1094"/>
      <c r="H34" s="1094"/>
      <c r="I34" s="1094"/>
      <c r="J34" s="1094"/>
      <c r="K34" s="1095"/>
      <c r="L34" s="1095"/>
      <c r="M34" s="1095"/>
      <c r="N34" s="1094"/>
      <c r="O34" s="1094"/>
      <c r="P34" s="659"/>
      <c r="R34" s="661"/>
      <c r="S34" s="653"/>
      <c r="T34" s="659"/>
      <c r="U34" s="659"/>
      <c r="V34" s="659"/>
      <c r="W34" s="659"/>
      <c r="X34" s="659"/>
      <c r="Y34" s="659"/>
      <c r="Z34" s="659"/>
      <c r="AA34" s="659"/>
      <c r="AB34" s="659"/>
      <c r="AC34" s="659"/>
      <c r="AD34" s="659"/>
    </row>
    <row r="35" spans="1:30" x14ac:dyDescent="0.2">
      <c r="B35" s="1344" t="s">
        <v>1072</v>
      </c>
      <c r="C35" s="663" t="s">
        <v>1094</v>
      </c>
      <c r="D35" s="663"/>
      <c r="E35" s="676" t="str">
        <f>IFERROR(IF(ABS((_xll.ciqfunctions.udf.CIQ($B$1,"IQ_TIER_ONE_CAPITAL",E$1,$D$1,$C$2,$D$2,$C$1)+_xll.ciqfunctions.udf.CIQ($B$1,"IQ_TIER_TWO_CAPITAL",E$1,$D$1,$C$2,$D$2,$C$1)-_xll.ciqfunctions.udf.CIQ($B$1,"IQ_GW",E$1,$D$1,$C$2,$D$2,$C$1))/_xll.ciqfunctions.udf.CIQ($B$1,$C35,E$1,$D$1,$C$2,$D$2,$C$1))&gt;=$R$2,"NA",(_xll.ciqfunctions.udf.CIQ($B$1,"IQ_TIER_ONE_CAPITAL",E$1,$D$1,$C$2,$D$2,$C$1)+_xll.ciqfunctions.udf.CIQ($B$1,"IQ_TIER_TWO_CAPITAL",E$1,$D$1,$C$2,$D$2,$C$1)-_xll.ciqfunctions.udf.CIQ($B$1,"IQ_GW",E$1,$D$1,$C$2,$D$2,$C$1))/_xll.ciqfunctions.udf.CIQ($B$1,$C35,E$1,$D$1,$C$2,$D$2,$C$1)),"NA")</f>
        <v>NA</v>
      </c>
      <c r="F35" s="676" t="str">
        <f>IFERROR(IF(ABS((_xll.ciqfunctions.udf.CIQ($B$1,"IQ_TIER_ONE_CAPITAL",F$1,$D$1,$C$2,$D$2,$C$1)+_xll.ciqfunctions.udf.CIQ($B$1,"IQ_TIER_TWO_CAPITAL",F$1,$D$1,$C$2,$D$2,$C$1)-_xll.ciqfunctions.udf.CIQ($B$1,"IQ_GW",F$1,$D$1,$C$2,$D$2,$C$1))/_xll.ciqfunctions.udf.CIQ($B$1,$C35,F$1,$D$1,$C$2,$D$2,$C$1))&gt;=$R$2,"NA",(_xll.ciqfunctions.udf.CIQ($B$1,"IQ_TIER_ONE_CAPITAL",F$1,$D$1,$C$2,$D$2,$C$1)+_xll.ciqfunctions.udf.CIQ($B$1,"IQ_TIER_TWO_CAPITAL",F$1,$D$1,$C$2,$D$2,$C$1)-_xll.ciqfunctions.udf.CIQ($B$1,"IQ_GW",F$1,$D$1,$C$2,$D$2,$C$1))/_xll.ciqfunctions.udf.CIQ($B$1,$C35,F$1,$D$1,$C$2,$D$2,$C$1)),"NA")</f>
        <v>NA</v>
      </c>
      <c r="G35" s="676" t="str">
        <f>IFERROR(IF(ABS((_xll.ciqfunctions.udf.CIQ($B$1,"IQ_TIER_ONE_CAPITAL",G$1,$D$1,$C$2,$D$2,$C$1)+_xll.ciqfunctions.udf.CIQ($B$1,"IQ_TIER_TWO_CAPITAL",G$1,$D$1,$C$2,$D$2,$C$1)-_xll.ciqfunctions.udf.CIQ($B$1,"IQ_GW",G$1,$D$1,$C$2,$D$2,$C$1))/_xll.ciqfunctions.udf.CIQ($B$1,$C35,G$1,$D$1,$C$2,$D$2,$C$1))&gt;=$R$2,"NA",(_xll.ciqfunctions.udf.CIQ($B$1,"IQ_TIER_ONE_CAPITAL",G$1,$D$1,$C$2,$D$2,$C$1)+_xll.ciqfunctions.udf.CIQ($B$1,"IQ_TIER_TWO_CAPITAL",G$1,$D$1,$C$2,$D$2,$C$1)-_xll.ciqfunctions.udf.CIQ($B$1,"IQ_GW",G$1,$D$1,$C$2,$D$2,$C$1))/_xll.ciqfunctions.udf.CIQ($B$1,$C35,G$1,$D$1,$C$2,$D$2,$C$1)),"NA")</f>
        <v>NA</v>
      </c>
      <c r="H35" s="676" t="str">
        <f>IFERROR(IF(ABS((_xll.ciqfunctions.udf.CIQ($B$1,"IQ_TIER_ONE_CAPITAL",H$1,$D$1,$C$2,$D$2,$C$1)+_xll.ciqfunctions.udf.CIQ($B$1,"IQ_TIER_TWO_CAPITAL",H$1,$D$1,$C$2,$D$2,$C$1)-_xll.ciqfunctions.udf.CIQ($B$1,"IQ_GW",H$1,$D$1,$C$2,$D$2,$C$1))/_xll.ciqfunctions.udf.CIQ($B$1,$C35,H$1,$D$1,$C$2,$D$2,$C$1))&gt;=$R$2,"NA",(_xll.ciqfunctions.udf.CIQ($B$1,"IQ_TIER_ONE_CAPITAL",H$1,$D$1,$C$2,$D$2,$C$1)+_xll.ciqfunctions.udf.CIQ($B$1,"IQ_TIER_TWO_CAPITAL",H$1,$D$1,$C$2,$D$2,$C$1)-_xll.ciqfunctions.udf.CIQ($B$1,"IQ_GW",H$1,$D$1,$C$2,$D$2,$C$1))/_xll.ciqfunctions.udf.CIQ($B$1,$C35,H$1,$D$1,$C$2,$D$2,$C$1)),"NA")</f>
        <v>NA</v>
      </c>
      <c r="I35" s="676" t="str">
        <f>IFERROR(IF(ABS((_xll.ciqfunctions.udf.CIQ($B$1,"IQ_TIER_ONE_CAPITAL",I$1,$D$1,$C$2,$D$2,$C$1)+_xll.ciqfunctions.udf.CIQ($B$1,"IQ_TIER_TWO_CAPITAL",I$1,$D$1,$C$2,$D$2,$C$1)-_xll.ciqfunctions.udf.CIQ($B$1,"IQ_GW",I$1,$D$1,$C$2,$D$2,$C$1))/_xll.ciqfunctions.udf.CIQ($B$1,$C35,I$1,$D$1,$C$2,$D$2,$C$1))&gt;=$R$2,"NA",(_xll.ciqfunctions.udf.CIQ($B$1,"IQ_TIER_ONE_CAPITAL",I$1,$D$1,$C$2,$D$2,$C$1)+_xll.ciqfunctions.udf.CIQ($B$1,"IQ_TIER_TWO_CAPITAL",I$1,$D$1,$C$2,$D$2,$C$1)-_xll.ciqfunctions.udf.CIQ($B$1,"IQ_GW",I$1,$D$1,$C$2,$D$2,$C$1))/_xll.ciqfunctions.udf.CIQ($B$1,$C35,I$1,$D$1,$C$2,$D$2,$C$1)),"NA")</f>
        <v>NA</v>
      </c>
      <c r="J35" s="676" t="str">
        <f>IFERROR(IF(ABS((_xll.ciqfunctions.udf.CIQ($B$1,"IQ_TIER_ONE_CAPITAL",J$1,$D$1,$C$2,$D$2,$C$1)+_xll.ciqfunctions.udf.CIQ($B$1,"IQ_TIER_TWO_CAPITAL",J$1,$D$1,$C$2,$D$2,$C$1)-_xll.ciqfunctions.udf.CIQ($B$1,"IQ_GW",J$1,$D$1,$C$2,$D$2,$C$1))/_xll.ciqfunctions.udf.CIQ($B$1,$C35,J$1,$D$1,$C$2,$D$2,$C$1))&gt;=$R$2,"NA",(_xll.ciqfunctions.udf.CIQ($B$1,"IQ_TIER_ONE_CAPITAL",J$1,$D$1,$C$2,$D$2,$C$1)+_xll.ciqfunctions.udf.CIQ($B$1,"IQ_TIER_TWO_CAPITAL",J$1,$D$1,$C$2,$D$2,$C$1)-_xll.ciqfunctions.udf.CIQ($B$1,"IQ_GW",J$1,$D$1,$C$2,$D$2,$C$1))/_xll.ciqfunctions.udf.CIQ($B$1,$C35,J$1,$D$1,$C$2,$D$2,$C$1)),"NA")</f>
        <v>NA</v>
      </c>
      <c r="K35" s="676" t="str">
        <f>IFERROR(IF(ABS((_xll.ciqfunctions.udf.CIQ($B$1,"IQ_TIER_ONE_CAPITAL",K$1,$D$1,$C$2,$D$2,$C$1)+_xll.ciqfunctions.udf.CIQ($B$1,"IQ_TIER_TWO_CAPITAL",K$1,$D$1,$C$2,$D$2,$C$1)-_xll.ciqfunctions.udf.CIQ($B$1,"IQ_GW",K$1,$D$1,$C$2,$D$2,$C$1))/_xll.ciqfunctions.udf.CIQ($B$1,$C35,K$1,$D$1,$C$2,$D$2,$C$1))&gt;=$R$2,"NA",(_xll.ciqfunctions.udf.CIQ($B$1,"IQ_TIER_ONE_CAPITAL",K$1,$D$1,$C$2,$D$2,$C$1)+_xll.ciqfunctions.udf.CIQ($B$1,"IQ_TIER_TWO_CAPITAL",K$1,$D$1,$C$2,$D$2,$C$1)-_xll.ciqfunctions.udf.CIQ($B$1,"IQ_GW",K$1,$D$1,$C$2,$D$2,$C$1))/_xll.ciqfunctions.udf.CIQ($B$1,$C35,K$1,$D$1,$C$2,$D$2,$C$1)),"NA")</f>
        <v>NA</v>
      </c>
      <c r="L35" s="1096"/>
      <c r="M35" s="676" t="str">
        <f>IFERROR(IF(ABS((_xll.ciqfunctions.udf.CIQ($B$1,"IQ_TIER_ONE_CAPITAL",M$1,$D$1,$C$2,$D$2,$C$1)+_xll.ciqfunctions.udf.CIQ($B$1,"IQ_TIER_TWO_CAPITAL",M$1,$D$1,$C$2,$D$2,$C$1)-_xll.ciqfunctions.udf.CIQ($B$1,"IQ_GW",M$1,$D$1,$C$2,$D$2,$C$1))/_xll.ciqfunctions.udf.CIQ($B$1,$C35,M$1,$D$1,$C$2,$D$2,$C$1))&gt;=$R$2,"NA",(_xll.ciqfunctions.udf.CIQ($B$1,"IQ_TIER_ONE_CAPITAL",M$1,$D$1,$C$2,$D$2,$C$1)+_xll.ciqfunctions.udf.CIQ($B$1,"IQ_TIER_TWO_CAPITAL",M$1,$D$1,$C$2,$D$2,$C$1)-_xll.ciqfunctions.udf.CIQ($B$1,"IQ_GW",M$1,$D$1,$C$2,$D$2,$C$1))/_xll.ciqfunctions.udf.CIQ($B$1,$C35,M$1,$D$1,$C$2,$D$2,$C$1)),"NA")</f>
        <v>NA</v>
      </c>
      <c r="N35" s="676" t="str">
        <f>IFERROR(IF(ABS((_xll.ciqfunctions.udf.CIQ($B$1,"IQ_TIER_ONE_CAPITAL",N$1,$D$1,$C$2,$D$2,$C$1)+_xll.ciqfunctions.udf.CIQ($B$1,"IQ_TIER_TWO_CAPITAL",N$1,$D$1,$C$2,$D$2,$C$1)-_xll.ciqfunctions.udf.CIQ($B$1,"IQ_GW",N$1,$D$1,$C$2,$D$2,$C$1))/_xll.ciqfunctions.udf.CIQ($B$1,$C35,N$1,$D$1,$C$2,$D$2,$C$1))&gt;=$R$2,"NA",(_xll.ciqfunctions.udf.CIQ($B$1,"IQ_TIER_ONE_CAPITAL",N$1,$D$1,$C$2,$D$2,$C$1)+_xll.ciqfunctions.udf.CIQ($B$1,"IQ_TIER_TWO_CAPITAL",N$1,$D$1,$C$2,$D$2,$C$1)-_xll.ciqfunctions.udf.CIQ($B$1,"IQ_GW",N$1,$D$1,$C$2,$D$2,$C$1))/_xll.ciqfunctions.udf.CIQ($B$1,$C35,N$1,$D$1,$C$2,$D$2,$C$1)),"NA")</f>
        <v>NA</v>
      </c>
      <c r="O35" s="1087" t="str">
        <f>IFERROR(IF(OR(F35&lt;=0,K35&lt;=0),"NM",(K35/F35)^(1/5)-1),"NM")</f>
        <v>NM</v>
      </c>
      <c r="P35" s="730"/>
      <c r="R35" s="670"/>
      <c r="S35" s="659"/>
      <c r="T35" s="659"/>
      <c r="U35" s="659"/>
      <c r="V35" s="659"/>
      <c r="W35" s="659"/>
      <c r="X35" s="659"/>
      <c r="Y35" s="659"/>
      <c r="Z35" s="659"/>
      <c r="AA35" s="659"/>
      <c r="AB35" s="659"/>
      <c r="AC35" s="659"/>
      <c r="AD35" s="659"/>
    </row>
    <row r="36" spans="1:30" x14ac:dyDescent="0.2">
      <c r="A36" s="669"/>
      <c r="B36" s="1344" t="s">
        <v>1093</v>
      </c>
      <c r="C36" s="663" t="s">
        <v>1073</v>
      </c>
      <c r="D36" s="663"/>
      <c r="E36" s="676">
        <f>IFERROR(IF(ABS(_xll.ciqfunctions.udf.CIQ($B$1,$C36,E$1,$D$1,$C$2,$D$2,$C$1)/_xll.ciqfunctions.udf.CIQ($B$1,"IQ_TOTAL_ASSETS",E$1,$D$1,$C$2,$D$2,$C$1))&gt;=$R$2,"NA",_xll.ciqfunctions.udf.CIQ($B$1,$C36,E$1,$D$1,$C$2,$D$2,$C$1)/_xll.ciqfunctions.udf.CIQ($B$1,"IQ_TOTAL_ASSETS",E$1,$D$1,$C$2,$D$2,$C$1)),"NA")</f>
        <v>0</v>
      </c>
      <c r="F36" s="676">
        <f>IFERROR(IF(ABS(_xll.ciqfunctions.udf.CIQ($B$1,$C36,F$1,$D$1,$C$2,$D$2,$C$1)/_xll.ciqfunctions.udf.CIQ($B$1,"IQ_TOTAL_ASSETS",F$1,$D$1,$C$2,$D$2,$C$1))&gt;=$R$2,"NA",_xll.ciqfunctions.udf.CIQ($B$1,$C36,F$1,$D$1,$C$2,$D$2,$C$1)/_xll.ciqfunctions.udf.CIQ($B$1,"IQ_TOTAL_ASSETS",F$1,$D$1,$C$2,$D$2,$C$1)),"NA")</f>
        <v>0</v>
      </c>
      <c r="G36" s="676">
        <f>IFERROR(IF(ABS(_xll.ciqfunctions.udf.CIQ($B$1,$C36,G$1,$D$1,$C$2,$D$2,$C$1)/_xll.ciqfunctions.udf.CIQ($B$1,"IQ_TOTAL_ASSETS",G$1,$D$1,$C$2,$D$2,$C$1))&gt;=$R$2,"NA",_xll.ciqfunctions.udf.CIQ($B$1,$C36,G$1,$D$1,$C$2,$D$2,$C$1)/_xll.ciqfunctions.udf.CIQ($B$1,"IQ_TOTAL_ASSETS",G$1,$D$1,$C$2,$D$2,$C$1)),"NA")</f>
        <v>0</v>
      </c>
      <c r="H36" s="676">
        <f>IFERROR(IF(ABS(_xll.ciqfunctions.udf.CIQ($B$1,$C36,H$1,$D$1,$C$2,$D$2,$C$1)/_xll.ciqfunctions.udf.CIQ($B$1,"IQ_TOTAL_ASSETS",H$1,$D$1,$C$2,$D$2,$C$1))&gt;=$R$2,"NA",_xll.ciqfunctions.udf.CIQ($B$1,$C36,H$1,$D$1,$C$2,$D$2,$C$1)/_xll.ciqfunctions.udf.CIQ($B$1,"IQ_TOTAL_ASSETS",H$1,$D$1,$C$2,$D$2,$C$1)),"NA")</f>
        <v>0</v>
      </c>
      <c r="I36" s="676">
        <f>IFERROR(IF(ABS(_xll.ciqfunctions.udf.CIQ($B$1,$C36,I$1,$D$1,$C$2,$D$2,$C$1)/_xll.ciqfunctions.udf.CIQ($B$1,"IQ_TOTAL_ASSETS",I$1,$D$1,$C$2,$D$2,$C$1))&gt;=$R$2,"NA",_xll.ciqfunctions.udf.CIQ($B$1,$C36,I$1,$D$1,$C$2,$D$2,$C$1)/_xll.ciqfunctions.udf.CIQ($B$1,"IQ_TOTAL_ASSETS",I$1,$D$1,$C$2,$D$2,$C$1)),"NA")</f>
        <v>0</v>
      </c>
      <c r="J36" s="676">
        <f>IFERROR(IF(ABS(_xll.ciqfunctions.udf.CIQ($B$1,$C36,J$1,$D$1,$C$2,$D$2,$C$1)/_xll.ciqfunctions.udf.CIQ($B$1,"IQ_TOTAL_ASSETS",J$1,$D$1,$C$2,$D$2,$C$1))&gt;=$R$2,"NA",_xll.ciqfunctions.udf.CIQ($B$1,$C36,J$1,$D$1,$C$2,$D$2,$C$1)/_xll.ciqfunctions.udf.CIQ($B$1,"IQ_TOTAL_ASSETS",J$1,$D$1,$C$2,$D$2,$C$1)),"NA")</f>
        <v>0</v>
      </c>
      <c r="K36" s="676">
        <f>IFERROR(IF(ABS(_xll.ciqfunctions.udf.CIQ($B$1,$C36,K$1,$D$1,$C$2,$D$2,$C$1)/_xll.ciqfunctions.udf.CIQ($B$1,"IQ_TOTAL_ASSETS",K$1,$D$1,$C$2,$D$2,$C$1))&gt;=$R$2,"NA",_xll.ciqfunctions.udf.CIQ($B$1,$C36,K$1,$D$1,$C$2,$D$2,$C$1)/_xll.ciqfunctions.udf.CIQ($B$1,"IQ_TOTAL_ASSETS",K$1,$D$1,$C$2,$D$2,$C$1)),"NA")</f>
        <v>0</v>
      </c>
      <c r="L36" s="1096"/>
      <c r="M36" s="676">
        <f>IFERROR(IF(ABS(_xll.ciqfunctions.udf.CIQ($B$1,$C36,M$1,$D$1,$C$2,$D$2,$C$1)/_xll.ciqfunctions.udf.CIQ($B$1,"IQ_TOTAL_ASSETS",M$1,$D$1,$C$2,$D$2,$C$1))&gt;=$R$2,"NA",_xll.ciqfunctions.udf.CIQ($B$1,$C36,M$1,$D$1,$C$2,$D$2,$C$1)/_xll.ciqfunctions.udf.CIQ($B$1,"IQ_TOTAL_ASSETS",M$1,$D$1,$C$2,$D$2,$C$1)),"NA")</f>
        <v>0</v>
      </c>
      <c r="N36" s="676">
        <f>IFERROR(IF(ABS(_xll.ciqfunctions.udf.CIQ($B$1,$C36,N$1,$D$1,$C$2,$D$2,$C$1)/_xll.ciqfunctions.udf.CIQ($B$1,"IQ_TOTAL_ASSETS",N$1,$D$1,$C$2,$D$2,$C$1))&gt;=$R$2,"NA",_xll.ciqfunctions.udf.CIQ($B$1,$C36,N$1,$D$1,$C$2,$D$2,$C$1)/_xll.ciqfunctions.udf.CIQ($B$1,"IQ_TOTAL_ASSETS",N$1,$D$1,$C$2,$D$2,$C$1)),"NA")</f>
        <v>0</v>
      </c>
      <c r="O36" s="1087" t="str">
        <f>IFERROR(IF(OR(F36&lt;=0,K36&lt;=0),"NM",(K36/F36)^(1/5)-1),"NM")</f>
        <v>NM</v>
      </c>
      <c r="P36" s="730"/>
      <c r="R36" s="670"/>
      <c r="S36" s="659"/>
      <c r="T36" s="659"/>
      <c r="U36" s="659"/>
      <c r="V36" s="659"/>
      <c r="W36" s="659"/>
      <c r="X36" s="659"/>
      <c r="Y36" s="659"/>
      <c r="Z36" s="659"/>
      <c r="AA36" s="659"/>
      <c r="AB36" s="659"/>
      <c r="AC36" s="659"/>
      <c r="AD36" s="659"/>
    </row>
    <row r="37" spans="1:30" ht="4.5" customHeight="1" x14ac:dyDescent="0.2">
      <c r="B37" s="1345"/>
      <c r="C37" s="1088"/>
      <c r="D37" s="1088"/>
      <c r="E37" s="735"/>
      <c r="F37" s="735"/>
      <c r="G37" s="735"/>
      <c r="H37" s="735"/>
      <c r="I37" s="735"/>
      <c r="J37" s="735"/>
      <c r="K37" s="1099"/>
      <c r="L37" s="1099"/>
      <c r="M37" s="1099"/>
      <c r="N37" s="1099"/>
      <c r="O37" s="735"/>
      <c r="R37" s="670"/>
      <c r="S37" s="659"/>
      <c r="T37" s="659"/>
      <c r="U37" s="659"/>
      <c r="V37" s="659"/>
      <c r="W37" s="659"/>
      <c r="X37" s="659"/>
      <c r="Y37" s="659"/>
      <c r="Z37" s="659"/>
      <c r="AA37" s="659"/>
      <c r="AB37" s="659"/>
      <c r="AC37" s="659"/>
      <c r="AD37" s="659"/>
    </row>
    <row r="38" spans="1:30" x14ac:dyDescent="0.2">
      <c r="B38" s="1343" t="s">
        <v>1074</v>
      </c>
      <c r="C38" s="1100"/>
      <c r="D38" s="1100"/>
      <c r="E38" s="1102"/>
      <c r="F38" s="1102"/>
      <c r="G38" s="1102"/>
      <c r="H38" s="1102"/>
      <c r="I38" s="1102"/>
      <c r="J38" s="1102"/>
      <c r="K38" s="1103"/>
      <c r="L38" s="1103"/>
      <c r="M38" s="1103"/>
      <c r="N38" s="1103"/>
      <c r="O38" s="736"/>
      <c r="R38" s="670"/>
      <c r="S38" s="659"/>
      <c r="T38" s="659"/>
      <c r="U38" s="659"/>
      <c r="V38" s="659"/>
      <c r="W38" s="659"/>
      <c r="X38" s="659"/>
      <c r="Y38" s="659"/>
      <c r="Z38" s="659"/>
      <c r="AA38" s="659"/>
      <c r="AB38" s="659"/>
      <c r="AC38" s="659"/>
      <c r="AD38" s="659"/>
    </row>
    <row r="39" spans="1:30" x14ac:dyDescent="0.2">
      <c r="B39" s="1344" t="s">
        <v>1075</v>
      </c>
      <c r="C39" s="663" t="s">
        <v>397</v>
      </c>
      <c r="D39" s="663"/>
      <c r="E39" s="676" t="str">
        <f>IFERROR(IF(ABS(_xll.ciqfunctions.udf.CIQ($B$1,$C39,E$1,$D$1,$C$2,$D$2,$C$1)/_xll.ciqfunctions.udf.CIQ($B$1,"IQ_TOTAL_LOANS",E$1,$D$1,$C$2,$D$2,$C$1))&gt;=$R$2,"NA",_xll.ciqfunctions.udf.CIQ($B$1,$C39,E$1,$D$1,$C$2,$D$2,$C$1)/_xll.ciqfunctions.udf.CIQ($B$1,"IQ_TOTAL_LOANS",E$1,$D$1,$C$2,$D$2,$C$1)),"NA")</f>
        <v>NA</v>
      </c>
      <c r="F39" s="676" t="str">
        <f>IFERROR(IF(ABS(_xll.ciqfunctions.udf.CIQ($B$1,$C39,F$1,$D$1,$C$2,$D$2,$C$1)/_xll.ciqfunctions.udf.CIQ($B$1,"IQ_TOTAL_LOANS",F$1,$D$1,$C$2,$D$2,$C$1))&gt;=$R$2,"NA",_xll.ciqfunctions.udf.CIQ($B$1,$C39,F$1,$D$1,$C$2,$D$2,$C$1)/_xll.ciqfunctions.udf.CIQ($B$1,"IQ_TOTAL_LOANS",F$1,$D$1,$C$2,$D$2,$C$1)),"NA")</f>
        <v>NA</v>
      </c>
      <c r="G39" s="676" t="str">
        <f>IFERROR(IF(ABS(_xll.ciqfunctions.udf.CIQ($B$1,$C39,G$1,$D$1,$C$2,$D$2,$C$1)/_xll.ciqfunctions.udf.CIQ($B$1,"IQ_TOTAL_LOANS",G$1,$D$1,$C$2,$D$2,$C$1))&gt;=$R$2,"NA",_xll.ciqfunctions.udf.CIQ($B$1,$C39,G$1,$D$1,$C$2,$D$2,$C$1)/_xll.ciqfunctions.udf.CIQ($B$1,"IQ_TOTAL_LOANS",G$1,$D$1,$C$2,$D$2,$C$1)),"NA")</f>
        <v>NA</v>
      </c>
      <c r="H39" s="676" t="str">
        <f>IFERROR(IF(ABS(_xll.ciqfunctions.udf.CIQ($B$1,$C39,H$1,$D$1,$C$2,$D$2,$C$1)/_xll.ciqfunctions.udf.CIQ($B$1,"IQ_TOTAL_LOANS",H$1,$D$1,$C$2,$D$2,$C$1))&gt;=$R$2,"NA",_xll.ciqfunctions.udf.CIQ($B$1,$C39,H$1,$D$1,$C$2,$D$2,$C$1)/_xll.ciqfunctions.udf.CIQ($B$1,"IQ_TOTAL_LOANS",H$1,$D$1,$C$2,$D$2,$C$1)),"NA")</f>
        <v>NA</v>
      </c>
      <c r="I39" s="676" t="str">
        <f>IFERROR(IF(ABS(_xll.ciqfunctions.udf.CIQ($B$1,$C39,I$1,$D$1,$C$2,$D$2,$C$1)/_xll.ciqfunctions.udf.CIQ($B$1,"IQ_TOTAL_LOANS",I$1,$D$1,$C$2,$D$2,$C$1))&gt;=$R$2,"NA",_xll.ciqfunctions.udf.CIQ($B$1,$C39,I$1,$D$1,$C$2,$D$2,$C$1)/_xll.ciqfunctions.udf.CIQ($B$1,"IQ_TOTAL_LOANS",I$1,$D$1,$C$2,$D$2,$C$1)),"NA")</f>
        <v>NA</v>
      </c>
      <c r="J39" s="676" t="str">
        <f>IFERROR(IF(ABS(_xll.ciqfunctions.udf.CIQ($B$1,$C39,J$1,$D$1,$C$2,$D$2,$C$1)/_xll.ciqfunctions.udf.CIQ($B$1,"IQ_TOTAL_LOANS",J$1,$D$1,$C$2,$D$2,$C$1))&gt;=$R$2,"NA",_xll.ciqfunctions.udf.CIQ($B$1,$C39,J$1,$D$1,$C$2,$D$2,$C$1)/_xll.ciqfunctions.udf.CIQ($B$1,"IQ_TOTAL_LOANS",J$1,$D$1,$C$2,$D$2,$C$1)),"NA")</f>
        <v>NA</v>
      </c>
      <c r="K39" s="676" t="str">
        <f>IFERROR(IF(ABS(_xll.ciqfunctions.udf.CIQ($B$1,$C39,K$1,$D$1,$C$2,$D$2,$C$1)/_xll.ciqfunctions.udf.CIQ($B$1,"IQ_TOTAL_LOANS",K$1,$D$1,$C$2,$D$2,$C$1))&gt;=$R$2,"NA",_xll.ciqfunctions.udf.CIQ($B$1,$C39,K$1,$D$1,$C$2,$D$2,$C$1)/_xll.ciqfunctions.udf.CIQ($B$1,"IQ_TOTAL_LOANS",K$1,$D$1,$C$2,$D$2,$C$1)),"NA")</f>
        <v>NA</v>
      </c>
      <c r="L39" s="1096"/>
      <c r="M39" s="676" t="str">
        <f>IFERROR(IF(ABS(_xll.ciqfunctions.udf.CIQ($B$1,$C39,M$1,$D$1,$C$2,$D$2,$C$1)/_xll.ciqfunctions.udf.CIQ($B$1,"IQ_TOTAL_LOANS",M$1,$D$1,$C$2,$D$2,$C$1))&gt;=$R$2,"NA",_xll.ciqfunctions.udf.CIQ($B$1,$C39,M$1,$D$1,$C$2,$D$2,$C$1)/_xll.ciqfunctions.udf.CIQ($B$1,"IQ_TOTAL_LOANS",M$1,$D$1,$C$2,$D$2,$C$1)),"NA")</f>
        <v>NA</v>
      </c>
      <c r="N39" s="676" t="str">
        <f>IFERROR(IF(ABS(_xll.ciqfunctions.udf.CIQ($B$1,$C39,N$1,$D$1,$C$2,$D$2,$C$1)/_xll.ciqfunctions.udf.CIQ($B$1,"IQ_TOTAL_LOANS",N$1,$D$1,$C$2,$D$2,$C$1))&gt;=$R$2,"NA",_xll.ciqfunctions.udf.CIQ($B$1,$C39,N$1,$D$1,$C$2,$D$2,$C$1)/_xll.ciqfunctions.udf.CIQ($B$1,"IQ_TOTAL_LOANS",N$1,$D$1,$C$2,$D$2,$C$1)),"NA")</f>
        <v>NA</v>
      </c>
      <c r="O39" s="1087" t="str">
        <f>IFERROR(IF(OR(F39&lt;=0,K39&lt;=0),"NM",(K39/F39)^(1/5)-1),"NM")</f>
        <v>NM</v>
      </c>
      <c r="P39" s="730"/>
      <c r="R39" s="661"/>
      <c r="S39" s="659"/>
      <c r="T39" s="659"/>
      <c r="U39" s="659"/>
      <c r="V39" s="659"/>
      <c r="W39" s="659"/>
      <c r="X39" s="659"/>
      <c r="Y39" s="659"/>
      <c r="Z39" s="659"/>
      <c r="AA39" s="659"/>
      <c r="AB39" s="659"/>
      <c r="AC39" s="659"/>
      <c r="AD39" s="659"/>
    </row>
    <row r="40" spans="1:30" x14ac:dyDescent="0.2">
      <c r="B40" s="1344" t="s">
        <v>1185</v>
      </c>
      <c r="C40" s="663" t="s">
        <v>957</v>
      </c>
      <c r="D40" s="663"/>
      <c r="E40" s="676" t="str">
        <f>IFERROR(IF(ABS(_xll.ciqfunctions.udf.CIQ($B$1,$C40,E$1,$D$1,$C$2,$D$2,$C$1)/_xll.ciqfunctions.udf.CIQ($B$1,"IQ_GROSS_LOANS",E$1,$D$1,$C$2,$D$2,$C$1))&gt;=$R$2,"NA",_xll.ciqfunctions.udf.CIQ($B$1,$C40,E$1,$D$1,$C$2,$D$2,$C$1)/_xll.ciqfunctions.udf.CIQ($B$1,"IQ_GROSS_LOANS",E$1,$D$1,$C$2,$D$2,$C$1)),"NA")</f>
        <v>NA</v>
      </c>
      <c r="F40" s="676" t="str">
        <f>IFERROR(IF(ABS(_xll.ciqfunctions.udf.CIQ($B$1,$C40,F$1,$D$1,$C$2,$D$2,$C$1)/_xll.ciqfunctions.udf.CIQ($B$1,"IQ_GROSS_LOANS",F$1,$D$1,$C$2,$D$2,$C$1))&gt;=$R$2,"NA",_xll.ciqfunctions.udf.CIQ($B$1,$C40,F$1,$D$1,$C$2,$D$2,$C$1)/_xll.ciqfunctions.udf.CIQ($B$1,"IQ_GROSS_LOANS",F$1,$D$1,$C$2,$D$2,$C$1)),"NA")</f>
        <v>NA</v>
      </c>
      <c r="G40" s="676" t="str">
        <f>IFERROR(IF(ABS(_xll.ciqfunctions.udf.CIQ($B$1,$C40,G$1,$D$1,$C$2,$D$2,$C$1)/_xll.ciqfunctions.udf.CIQ($B$1,"IQ_GROSS_LOANS",G$1,$D$1,$C$2,$D$2,$C$1))&gt;=$R$2,"NA",_xll.ciqfunctions.udf.CIQ($B$1,$C40,G$1,$D$1,$C$2,$D$2,$C$1)/_xll.ciqfunctions.udf.CIQ($B$1,"IQ_GROSS_LOANS",G$1,$D$1,$C$2,$D$2,$C$1)),"NA")</f>
        <v>NA</v>
      </c>
      <c r="H40" s="676" t="str">
        <f>IFERROR(IF(ABS(_xll.ciqfunctions.udf.CIQ($B$1,$C40,H$1,$D$1,$C$2,$D$2,$C$1)/_xll.ciqfunctions.udf.CIQ($B$1,"IQ_GROSS_LOANS",H$1,$D$1,$C$2,$D$2,$C$1))&gt;=$R$2,"NA",_xll.ciqfunctions.udf.CIQ($B$1,$C40,H$1,$D$1,$C$2,$D$2,$C$1)/_xll.ciqfunctions.udf.CIQ($B$1,"IQ_GROSS_LOANS",H$1,$D$1,$C$2,$D$2,$C$1)),"NA")</f>
        <v>NA</v>
      </c>
      <c r="I40" s="676" t="str">
        <f>IFERROR(IF(ABS(_xll.ciqfunctions.udf.CIQ($B$1,$C40,I$1,$D$1,$C$2,$D$2,$C$1)/_xll.ciqfunctions.udf.CIQ($B$1,"IQ_GROSS_LOANS",I$1,$D$1,$C$2,$D$2,$C$1))&gt;=$R$2,"NA",_xll.ciqfunctions.udf.CIQ($B$1,$C40,I$1,$D$1,$C$2,$D$2,$C$1)/_xll.ciqfunctions.udf.CIQ($B$1,"IQ_GROSS_LOANS",I$1,$D$1,$C$2,$D$2,$C$1)),"NA")</f>
        <v>NA</v>
      </c>
      <c r="J40" s="676" t="str">
        <f>IFERROR(IF(ABS(_xll.ciqfunctions.udf.CIQ($B$1,$C40,J$1,$D$1,$C$2,$D$2,$C$1)/_xll.ciqfunctions.udf.CIQ($B$1,"IQ_GROSS_LOANS",J$1,$D$1,$C$2,$D$2,$C$1))&gt;=$R$2,"NA",_xll.ciqfunctions.udf.CIQ($B$1,$C40,J$1,$D$1,$C$2,$D$2,$C$1)/_xll.ciqfunctions.udf.CIQ($B$1,"IQ_GROSS_LOANS",J$1,$D$1,$C$2,$D$2,$C$1)),"NA")</f>
        <v>NA</v>
      </c>
      <c r="K40" s="676" t="str">
        <f>IFERROR(IF(ABS(_xll.ciqfunctions.udf.CIQ($B$1,$C40,K$1,$D$1,$C$2,$D$2,$C$1)/_xll.ciqfunctions.udf.CIQ($B$1,"IQ_GROSS_LOANS",K$1,$D$1,$C$2,$D$2,$C$1))&gt;=$R$2,"NA",_xll.ciqfunctions.udf.CIQ($B$1,$C40,K$1,$D$1,$C$2,$D$2,$C$1)/_xll.ciqfunctions.udf.CIQ($B$1,"IQ_GROSS_LOANS",K$1,$D$1,$C$2,$D$2,$C$1)),"NA")</f>
        <v>NA</v>
      </c>
      <c r="L40" s="1096"/>
      <c r="M40" s="676" t="str">
        <f>IFERROR(IF(ABS(_xll.ciqfunctions.udf.CIQ($B$1,$C40,M$1,$D$1,$C$2,$D$2,$C$1)/_xll.ciqfunctions.udf.CIQ($B$1,"IQ_GROSS_LOANS",M$1,$D$1,$C$2,$D$2,$C$1))&gt;=$R$2,"NA",_xll.ciqfunctions.udf.CIQ($B$1,$C40,M$1,$D$1,$C$2,$D$2,$C$1)/_xll.ciqfunctions.udf.CIQ($B$1,"IQ_GROSS_LOANS",M$1,$D$1,$C$2,$D$2,$C$1)),"NA")</f>
        <v>NA</v>
      </c>
      <c r="N40" s="676" t="str">
        <f>IFERROR(IF(ABS(_xll.ciqfunctions.udf.CIQ($B$1,$C40,N$1,$D$1,$C$2,$D$2,$C$1)/_xll.ciqfunctions.udf.CIQ($B$1,"IQ_GROSS_LOANS",N$1,$D$1,$C$2,$D$2,$C$1))&gt;=$R$2,"NA",_xll.ciqfunctions.udf.CIQ($B$1,$C40,N$1,$D$1,$C$2,$D$2,$C$1)/_xll.ciqfunctions.udf.CIQ($B$1,"IQ_GROSS_LOANS",N$1,$D$1,$C$2,$D$2,$C$1)),"NA")</f>
        <v>NA</v>
      </c>
      <c r="O40" s="1087" t="str">
        <f>IFERROR(IF(OR(F40&lt;=0,K40&lt;=0),"NM",(K40/F40)^(1/5)-1),"NM")</f>
        <v>NM</v>
      </c>
      <c r="P40" s="730"/>
      <c r="S40" s="659"/>
      <c r="T40" s="659"/>
      <c r="U40" s="659"/>
      <c r="V40" s="672"/>
      <c r="W40" s="659"/>
      <c r="X40" s="659"/>
      <c r="Y40" s="659"/>
      <c r="Z40" s="659"/>
      <c r="AA40" s="659"/>
      <c r="AB40" s="659"/>
      <c r="AC40" s="659"/>
      <c r="AD40" s="659"/>
    </row>
    <row r="41" spans="1:30" x14ac:dyDescent="0.2">
      <c r="B41" s="1353" t="s">
        <v>1100</v>
      </c>
      <c r="C41" s="663" t="s">
        <v>226</v>
      </c>
      <c r="D41" s="663"/>
      <c r="E41" s="676" t="str">
        <f>IFERROR(IF(ABS((_xll.ciqfunctions.udf.CIQ($B$1,$C41,E$1,$D$1,$C$2,$D$2,$C$1)+_xll.ciqfunctions.udf.CIQ($B$1,$C41,E$2,$D$1,$C$2,$D$2,$C$1))*0.5/_xll.ciqfunctions.udf.CIQ($B$1,"IQ_NET_LOANS",E$1,$D$1,$C$2,$D$2,$C$1))&gt;=$R$2,"NA",(_xll.ciqfunctions.udf.CIQ($B$1,$C41,E$1,$D$1,$C$2,$D$2,$C$1)+_xll.ciqfunctions.udf.CIQ($B$1,$C41,E$2,$D$1,$C$2,$D$2,$C$1))*0.5/_xll.ciqfunctions.udf.CIQ($B$1,"IQ_NET_LOANS",E$1,$D$1,$C$2,$D$2,$C$1)),"NA")</f>
        <v>NA</v>
      </c>
      <c r="F41" s="676" t="str">
        <f>IFERROR(IF(ABS((_xll.ciqfunctions.udf.CIQ($B$1,$C41,F$1,$D$1,$C$2,$D$2,$C$1)+_xll.ciqfunctions.udf.CIQ($B$1,$C41,F$2,$D$1,$C$2,$D$2,$C$1))*0.5/_xll.ciqfunctions.udf.CIQ($B$1,"IQ_NET_LOANS",F$1,$D$1,$C$2,$D$2,$C$1))&gt;=$R$2,"NA",(_xll.ciqfunctions.udf.CIQ($B$1,$C41,F$1,$D$1,$C$2,$D$2,$C$1)+_xll.ciqfunctions.udf.CIQ($B$1,$C41,F$2,$D$1,$C$2,$D$2,$C$1))*0.5/_xll.ciqfunctions.udf.CIQ($B$1,"IQ_NET_LOANS",F$1,$D$1,$C$2,$D$2,$C$1)),"NA")</f>
        <v>NA</v>
      </c>
      <c r="G41" s="676" t="str">
        <f>IFERROR(IF(ABS((_xll.ciqfunctions.udf.CIQ($B$1,$C41,G$1,$D$1,$C$2,$D$2,$C$1)+_xll.ciqfunctions.udf.CIQ($B$1,$C41,G$2,$D$1,$C$2,$D$2,$C$1))*0.5/_xll.ciqfunctions.udf.CIQ($B$1,"IQ_NET_LOANS",G$1,$D$1,$C$2,$D$2,$C$1))&gt;=$R$2,"NA",(_xll.ciqfunctions.udf.CIQ($B$1,$C41,G$1,$D$1,$C$2,$D$2,$C$1)+_xll.ciqfunctions.udf.CIQ($B$1,$C41,G$2,$D$1,$C$2,$D$2,$C$1))*0.5/_xll.ciqfunctions.udf.CIQ($B$1,"IQ_NET_LOANS",G$1,$D$1,$C$2,$D$2,$C$1)),"NA")</f>
        <v>NA</v>
      </c>
      <c r="H41" s="676" t="str">
        <f>IFERROR(IF(ABS((_xll.ciqfunctions.udf.CIQ($B$1,$C41,H$1,$D$1,$C$2,$D$2,$C$1)+_xll.ciqfunctions.udf.CIQ($B$1,$C41,H$2,$D$1,$C$2,$D$2,$C$1))*0.5/_xll.ciqfunctions.udf.CIQ($B$1,"IQ_NET_LOANS",H$1,$D$1,$C$2,$D$2,$C$1))&gt;=$R$2,"NA",(_xll.ciqfunctions.udf.CIQ($B$1,$C41,H$1,$D$1,$C$2,$D$2,$C$1)+_xll.ciqfunctions.udf.CIQ($B$1,$C41,H$2,$D$1,$C$2,$D$2,$C$1))*0.5/_xll.ciqfunctions.udf.CIQ($B$1,"IQ_NET_LOANS",H$1,$D$1,$C$2,$D$2,$C$1)),"NA")</f>
        <v>NA</v>
      </c>
      <c r="I41" s="676" t="str">
        <f>IFERROR(IF(ABS((_xll.ciqfunctions.udf.CIQ($B$1,$C41,I$1,$D$1,$C$2,$D$2,$C$1)+_xll.ciqfunctions.udf.CIQ($B$1,$C41,I$2,$D$1,$C$2,$D$2,$C$1))*0.5/_xll.ciqfunctions.udf.CIQ($B$1,"IQ_NET_LOANS",I$1,$D$1,$C$2,$D$2,$C$1))&gt;=$R$2,"NA",(_xll.ciqfunctions.udf.CIQ($B$1,$C41,I$1,$D$1,$C$2,$D$2,$C$1)+_xll.ciqfunctions.udf.CIQ($B$1,$C41,I$2,$D$1,$C$2,$D$2,$C$1))*0.5/_xll.ciqfunctions.udf.CIQ($B$1,"IQ_NET_LOANS",I$1,$D$1,$C$2,$D$2,$C$1)),"NA")</f>
        <v>NA</v>
      </c>
      <c r="J41" s="676" t="str">
        <f>IFERROR(IF(ABS((_xll.ciqfunctions.udf.CIQ($B$1,$C41,J$1,$D$1,$C$2,$D$2,$C$1)+_xll.ciqfunctions.udf.CIQ($B$1,$C41,J$2,$D$1,$C$2,$D$2,$C$1))*0.5/_xll.ciqfunctions.udf.CIQ($B$1,"IQ_NET_LOANS",J$1,$D$1,$C$2,$D$2,$C$1))&gt;=$R$2,"NA",(_xll.ciqfunctions.udf.CIQ($B$1,$C41,J$1,$D$1,$C$2,$D$2,$C$1)+_xll.ciqfunctions.udf.CIQ($B$1,$C41,J$2,$D$1,$C$2,$D$2,$C$1))*0.5/_xll.ciqfunctions.udf.CIQ($B$1,"IQ_NET_LOANS",J$1,$D$1,$C$2,$D$2,$C$1)),"NA")</f>
        <v>NA</v>
      </c>
      <c r="K41" s="676" t="str">
        <f>IFERROR(IF(ABS((_xll.ciqfunctions.udf.CIQ($B$1,$C41,K$1,$D$1,$C$2,$D$2,$C$1)+_xll.ciqfunctions.udf.CIQ($B$1,$C41,K$2,$D$1,$C$2,$D$2,$C$1))*0.5/_xll.ciqfunctions.udf.CIQ($B$1,"IQ_NET_LOANS",K$1,$D$1,$C$2,$D$2,$C$1))&gt;=$R$2,"NA",(_xll.ciqfunctions.udf.CIQ($B$1,$C41,K$1,$D$1,$C$2,$D$2,$C$1)+_xll.ciqfunctions.udf.CIQ($B$1,$C41,K$2,$D$1,$C$2,$D$2,$C$1))*0.5/_xll.ciqfunctions.udf.CIQ($B$1,"IQ_NET_LOANS",K$1,$D$1,$C$2,$D$2,$C$1)),"NA")</f>
        <v>NA</v>
      </c>
      <c r="L41" s="1096"/>
      <c r="M41" s="676" t="str">
        <f>IFERROR(IF(ABS((_xll.ciqfunctions.udf.CIQ($B$1,$C41,M$1,$D$1,$C$2,$D$2,$C$1)+_xll.ciqfunctions.udf.CIQ($B$1,$C41,M$2,$D$1,$C$2,$D$2,$C$1))*0.5/_xll.ciqfunctions.udf.CIQ($B$1,"IQ_NET_LOANS",M$1,$D$1,$C$2,$D$2,$C$1))&gt;=$R$2,"NA",(_xll.ciqfunctions.udf.CIQ($B$1,$C41,M$1,$D$1,$C$2,$D$2,$C$1)+_xll.ciqfunctions.udf.CIQ($B$1,$C41,M$2,$D$1,$C$2,$D$2,$C$1))*0.5/_xll.ciqfunctions.udf.CIQ($B$1,"IQ_NET_LOANS",M$1,$D$1,$C$2,$D$2,$C$1)),"NA")</f>
        <v>NA</v>
      </c>
      <c r="N41" s="676" t="str">
        <f>IFERROR(IF(ABS((_xll.ciqfunctions.udf.CIQ($B$1,$C41,N$1,$D$1,$C$2,$D$2,$C$1)+_xll.ciqfunctions.udf.CIQ($B$1,$C41,N$2,$D$1,$C$2,$D$2,$C$1))*0.5/_xll.ciqfunctions.udf.CIQ($B$1,"IQ_NET_LOANS",N$1,$D$1,$C$2,$D$2,$C$1))&gt;=$R$2,"NA",(_xll.ciqfunctions.udf.CIQ($B$1,$C41,N$1,$D$1,$C$2,$D$2,$C$1)+_xll.ciqfunctions.udf.CIQ($B$1,$C41,N$2,$D$1,$C$2,$D$2,$C$1))*0.5/_xll.ciqfunctions.udf.CIQ($B$1,"IQ_NET_LOANS",N$1,$D$1,$C$2,$D$2,$C$1)),"NA")</f>
        <v>NA</v>
      </c>
      <c r="O41" s="1087" t="str">
        <f>IFERROR(IF(OR(F41&lt;=0,K41&lt;=0),"NM",(K41/F41)^(1/5)-1),"NM")</f>
        <v>NM</v>
      </c>
      <c r="P41" s="730"/>
      <c r="S41" s="659"/>
      <c r="T41" s="659"/>
      <c r="U41" s="659"/>
      <c r="V41" s="672"/>
      <c r="W41" s="659"/>
      <c r="X41" s="659"/>
      <c r="Y41" s="659"/>
      <c r="Z41" s="659"/>
      <c r="AA41" s="659"/>
      <c r="AB41" s="659"/>
      <c r="AC41" s="659"/>
      <c r="AD41" s="659"/>
    </row>
    <row r="42" spans="1:30" ht="4.5" customHeight="1" x14ac:dyDescent="0.2">
      <c r="B42" s="1345"/>
      <c r="C42" s="1088"/>
      <c r="D42" s="1088"/>
      <c r="E42" s="735"/>
      <c r="F42" s="735"/>
      <c r="G42" s="735"/>
      <c r="H42" s="735"/>
      <c r="I42" s="735"/>
      <c r="J42" s="735"/>
      <c r="K42" s="1099"/>
      <c r="L42" s="1099"/>
      <c r="M42" s="1099"/>
      <c r="N42" s="1099"/>
      <c r="O42" s="735"/>
      <c r="R42" s="670"/>
      <c r="S42" s="659"/>
      <c r="T42" s="659"/>
      <c r="U42" s="659"/>
      <c r="V42" s="659"/>
      <c r="W42" s="659"/>
      <c r="X42" s="659"/>
      <c r="Y42" s="659"/>
      <c r="Z42" s="659"/>
      <c r="AA42" s="659"/>
      <c r="AB42" s="659"/>
      <c r="AC42" s="659"/>
      <c r="AD42" s="659"/>
    </row>
    <row r="43" spans="1:30" x14ac:dyDescent="0.2">
      <c r="B43" s="1343" t="s">
        <v>930</v>
      </c>
      <c r="C43" s="1100"/>
      <c r="D43" s="1100"/>
      <c r="E43" s="1102"/>
      <c r="F43" s="1102"/>
      <c r="G43" s="1102"/>
      <c r="H43" s="1102"/>
      <c r="I43" s="1102"/>
      <c r="J43" s="1102"/>
      <c r="K43" s="1103"/>
      <c r="L43" s="1103"/>
      <c r="M43" s="1103"/>
      <c r="N43" s="1103"/>
      <c r="O43" s="736"/>
      <c r="R43" s="670"/>
      <c r="S43" s="659"/>
      <c r="T43" s="659"/>
      <c r="U43" s="659"/>
      <c r="V43" s="659"/>
      <c r="W43" s="659"/>
      <c r="X43" s="659"/>
      <c r="Y43" s="659"/>
      <c r="Z43" s="659"/>
      <c r="AA43" s="659"/>
      <c r="AB43" s="659"/>
      <c r="AC43" s="659"/>
      <c r="AD43" s="659"/>
    </row>
    <row r="44" spans="1:30" x14ac:dyDescent="0.2">
      <c r="B44" s="1344" t="s">
        <v>1178</v>
      </c>
      <c r="C44" s="673" t="str">
        <f>"IQ_NUM_BRANCHES"</f>
        <v>IQ_NUM_BRANCHES</v>
      </c>
      <c r="D44" s="673"/>
      <c r="E44" s="971" t="str">
        <f>IFERROR(_xll.ciqfunctions.udf.CIQ($B$1,"IQ_TOTAL_LOANS",E$1,$D$1,$C$2,$D$2,$C$1)/_xll.ciqfunctions.udf.CIQ($B$1,$C44,E$1,$D$1,$C$2,$D$2,$C$1),"NA")</f>
        <v>NA</v>
      </c>
      <c r="F44" s="971" t="str">
        <f>IFERROR(_xll.ciqfunctions.udf.CIQ($B$1,"IQ_TOTAL_LOANS",F$1,$D$1,$C$2,$D$2,$C$1)/_xll.ciqfunctions.udf.CIQ($B$1,$C44,F$1,$D$1,$C$2,$D$2,$C$1),"NA")</f>
        <v>NA</v>
      </c>
      <c r="G44" s="971" t="str">
        <f>IFERROR(_xll.ciqfunctions.udf.CIQ($B$1,"IQ_TOTAL_LOANS",G$1,$D$1,$C$2,$D$2,$C$1)/_xll.ciqfunctions.udf.CIQ($B$1,$C44,G$1,$D$1,$C$2,$D$2,$C$1),"NA")</f>
        <v>NA</v>
      </c>
      <c r="H44" s="971" t="str">
        <f>IFERROR(_xll.ciqfunctions.udf.CIQ($B$1,"IQ_TOTAL_LOANS",H$1,$D$1,$C$2,$D$2,$C$1)/_xll.ciqfunctions.udf.CIQ($B$1,$C44,H$1,$D$1,$C$2,$D$2,$C$1),"NA")</f>
        <v>NA</v>
      </c>
      <c r="I44" s="971" t="str">
        <f>IFERROR(_xll.ciqfunctions.udf.CIQ($B$1,"IQ_TOTAL_LOANS",I$1,$D$1,$C$2,$D$2,$C$1)/_xll.ciqfunctions.udf.CIQ($B$1,$C44,I$1,$D$1,$C$2,$D$2,$C$1),"NA")</f>
        <v>NA</v>
      </c>
      <c r="J44" s="971" t="str">
        <f>IFERROR(_xll.ciqfunctions.udf.CIQ($B$1,"IQ_TOTAL_LOANS",J$1,$D$1,$C$2,$D$2,$C$1)/_xll.ciqfunctions.udf.CIQ($B$1,$C44,J$1,$D$1,$C$2,$D$2,$C$1),"NA")</f>
        <v>NA</v>
      </c>
      <c r="K44" s="971" t="str">
        <f>IFERROR(_xll.ciqfunctions.udf.CIQ($B$1,"IQ_TOTAL_LOANS",K$1,$D$1,$C$2,$D$2,$C$1)/_xll.ciqfunctions.udf.CIQ($B$1,$C44,K$1,$D$1,$C$2,$D$2,$C$1),"NA")</f>
        <v>NA</v>
      </c>
      <c r="L44" s="1221"/>
      <c r="M44" s="971" t="str">
        <f>IFERROR(_xll.ciqfunctions.udf.CIQ($B$1,"IQ_TOTAL_LOANS",M$1,$D$1,$C$2,$D$2,$C$1)/_xll.ciqfunctions.udf.CIQ($B$1,$C44,M$1,$D$1,$C$2,$D$2,$C$1),"NA")</f>
        <v>NA</v>
      </c>
      <c r="N44" s="971" t="str">
        <f>IFERROR(_xll.ciqfunctions.udf.CIQ($B$1,"IQ_TOTAL_LOANS",N$1,$D$1,$C$2,$D$2,$C$1)/_xll.ciqfunctions.udf.CIQ($B$1,$C44,N$1,$D$1,$C$2,$D$2,$C$1),"NA")</f>
        <v>NA</v>
      </c>
      <c r="O44" s="1087" t="str">
        <f>IFERROR(IF(OR(F44&lt;=0,K44&lt;=0),"NM",(K44/F44)^(1/5)-1),"NM")</f>
        <v>NM</v>
      </c>
      <c r="R44" s="661"/>
      <c r="S44" s="659"/>
      <c r="T44" s="659"/>
      <c r="U44" s="659"/>
      <c r="V44" s="659"/>
      <c r="W44" s="659"/>
      <c r="X44" s="659"/>
      <c r="Y44" s="659"/>
      <c r="Z44" s="659"/>
      <c r="AA44" s="659"/>
      <c r="AB44" s="659"/>
      <c r="AC44" s="659"/>
      <c r="AD44" s="659"/>
    </row>
    <row r="45" spans="1:30" s="669" customFormat="1" x14ac:dyDescent="0.2">
      <c r="A45" s="653"/>
      <c r="B45" s="1344" t="s">
        <v>1179</v>
      </c>
      <c r="C45" s="673" t="str">
        <f t="shared" ref="C45:C46" si="10">"IQ_NUM_BRANCHES"</f>
        <v>IQ_NUM_BRANCHES</v>
      </c>
      <c r="D45" s="673"/>
      <c r="E45" s="971" t="str">
        <f>IFERROR(_xll.ciqfunctions.udf.CIQ($B$1,"IQ_TOTAL_DEPOSITS",E$1,$D$1,$C$2,$D$2,$C$1)/_xll.ciqfunctions.udf.CIQ($B$1,$C45,E$1,$D$1,$C$2,$D$2,$C$1),"NA")</f>
        <v>NA</v>
      </c>
      <c r="F45" s="971" t="str">
        <f>IFERROR(_xll.ciqfunctions.udf.CIQ($B$1,"IQ_TOTAL_DEPOSITS",F$1,$D$1,$C$2,$D$2,$C$1)/_xll.ciqfunctions.udf.CIQ($B$1,$C45,F$1,$D$1,$C$2,$D$2,$C$1),"NA")</f>
        <v>NA</v>
      </c>
      <c r="G45" s="971" t="str">
        <f>IFERROR(_xll.ciqfunctions.udf.CIQ($B$1,"IQ_TOTAL_DEPOSITS",G$1,$D$1,$C$2,$D$2,$C$1)/_xll.ciqfunctions.udf.CIQ($B$1,$C45,G$1,$D$1,$C$2,$D$2,$C$1),"NA")</f>
        <v>NA</v>
      </c>
      <c r="H45" s="971" t="str">
        <f>IFERROR(_xll.ciqfunctions.udf.CIQ($B$1,"IQ_TOTAL_DEPOSITS",H$1,$D$1,$C$2,$D$2,$C$1)/_xll.ciqfunctions.udf.CIQ($B$1,$C45,H$1,$D$1,$C$2,$D$2,$C$1),"NA")</f>
        <v>NA</v>
      </c>
      <c r="I45" s="971" t="str">
        <f>IFERROR(_xll.ciqfunctions.udf.CIQ($B$1,"IQ_TOTAL_DEPOSITS",I$1,$D$1,$C$2,$D$2,$C$1)/_xll.ciqfunctions.udf.CIQ($B$1,$C45,I$1,$D$1,$C$2,$D$2,$C$1),"NA")</f>
        <v>NA</v>
      </c>
      <c r="J45" s="971" t="str">
        <f>IFERROR(_xll.ciqfunctions.udf.CIQ($B$1,"IQ_TOTAL_DEPOSITS",J$1,$D$1,$C$2,$D$2,$C$1)/_xll.ciqfunctions.udf.CIQ($B$1,$C45,J$1,$D$1,$C$2,$D$2,$C$1),"NA")</f>
        <v>NA</v>
      </c>
      <c r="K45" s="971" t="str">
        <f>IFERROR(_xll.ciqfunctions.udf.CIQ($B$1,"IQ_TOTAL_DEPOSITS",K$1,$D$1,$C$2,$D$2,$C$1)/_xll.ciqfunctions.udf.CIQ($B$1,$C45,K$1,$D$1,$C$2,$D$2,$C$1),"NA")</f>
        <v>NA</v>
      </c>
      <c r="L45" s="1221"/>
      <c r="M45" s="971" t="str">
        <f>IFERROR(_xll.ciqfunctions.udf.CIQ($B$1,"IQ_TOTAL_DEPOSITS",M$1,$D$1,$C$2,$D$2,$C$1)/_xll.ciqfunctions.udf.CIQ($B$1,$C45,M$1,$D$1,$C$2,$D$2,$C$1),"NA")</f>
        <v>NA</v>
      </c>
      <c r="N45" s="971" t="str">
        <f>IFERROR(_xll.ciqfunctions.udf.CIQ($B$1,"IQ_TOTAL_DEPOSITS",N$1,$D$1,$C$2,$D$2,$C$1)/_xll.ciqfunctions.udf.CIQ($B$1,$C45,N$1,$D$1,$C$2,$D$2,$C$1),"NA")</f>
        <v>NA</v>
      </c>
      <c r="O45" s="1087" t="str">
        <f>IFERROR(IF(OR(F45&lt;=0,K45&lt;=0),"NM",(K45/F45)^(1/5)-1),"NM")</f>
        <v>NM</v>
      </c>
      <c r="P45" s="730"/>
      <c r="Q45" s="674"/>
      <c r="R45" s="671"/>
      <c r="S45" s="659"/>
      <c r="T45" s="659"/>
      <c r="U45" s="659"/>
      <c r="V45" s="659"/>
      <c r="W45" s="659"/>
      <c r="X45" s="659"/>
      <c r="Y45" s="659"/>
      <c r="Z45" s="659"/>
      <c r="AA45" s="659"/>
      <c r="AB45" s="659"/>
      <c r="AC45" s="659"/>
      <c r="AD45" s="659"/>
    </row>
    <row r="46" spans="1:30" x14ac:dyDescent="0.2">
      <c r="B46" s="1344" t="s">
        <v>1180</v>
      </c>
      <c r="C46" s="673" t="str">
        <f t="shared" si="10"/>
        <v>IQ_NUM_BRANCHES</v>
      </c>
      <c r="D46" s="673"/>
      <c r="E46" s="971" t="str">
        <f>IFERROR(_xll.ciqfunctions.udf.CIQ($B$1,"IQ_NI",E$1,$D$1,$C$2,$D$2,$C$1)/_xll.ciqfunctions.udf.CIQ($B$1,$C46,E$1,$D$1,$C$2,$D$2,$C$1),"NA")</f>
        <v>NA</v>
      </c>
      <c r="F46" s="971" t="str">
        <f>IFERROR(_xll.ciqfunctions.udf.CIQ($B$1,"IQ_NI",F$1,$D$1,$C$2,$D$2,$C$1)/_xll.ciqfunctions.udf.CIQ($B$1,$C46,F$1,$D$1,$C$2,$D$2,$C$1),"NA")</f>
        <v>NA</v>
      </c>
      <c r="G46" s="971" t="str">
        <f>IFERROR(_xll.ciqfunctions.udf.CIQ($B$1,"IQ_NI",G$1,$D$1,$C$2,$D$2,$C$1)/_xll.ciqfunctions.udf.CIQ($B$1,$C46,G$1,$D$1,$C$2,$D$2,$C$1),"NA")</f>
        <v>NA</v>
      </c>
      <c r="H46" s="971" t="str">
        <f>IFERROR(_xll.ciqfunctions.udf.CIQ($B$1,"IQ_NI",H$1,$D$1,$C$2,$D$2,$C$1)/_xll.ciqfunctions.udf.CIQ($B$1,$C46,H$1,$D$1,$C$2,$D$2,$C$1),"NA")</f>
        <v>NA</v>
      </c>
      <c r="I46" s="971" t="str">
        <f>IFERROR(_xll.ciqfunctions.udf.CIQ($B$1,"IQ_NI",I$1,$D$1,$C$2,$D$2,$C$1)/_xll.ciqfunctions.udf.CIQ($B$1,$C46,I$1,$D$1,$C$2,$D$2,$C$1),"NA")</f>
        <v>NA</v>
      </c>
      <c r="J46" s="971" t="str">
        <f>IFERROR(_xll.ciqfunctions.udf.CIQ($B$1,"IQ_NI",J$1,$D$1,$C$2,$D$2,$C$1)/_xll.ciqfunctions.udf.CIQ($B$1,$C46,J$1,$D$1,$C$2,$D$2,$C$1),"NA")</f>
        <v>NA</v>
      </c>
      <c r="K46" s="971" t="str">
        <f>IFERROR(_xll.ciqfunctions.udf.CIQ($B$1,"IQ_NI",K$1,$D$1,$C$2,$D$2,$C$1)/_xll.ciqfunctions.udf.CIQ($B$1,$C46,K$1,$D$1,$C$2,$D$2,$C$1),"NA")</f>
        <v>NA</v>
      </c>
      <c r="L46" s="1221"/>
      <c r="M46" s="971" t="str">
        <f>IFERROR(_xll.ciqfunctions.udf.CIQ($B$1,"IQ_NI",M$1,$D$1,$C$2,$D$2,$C$1)/_xll.ciqfunctions.udf.CIQ($B$1,$C46,M$1,$D$1,$C$2,$D$2,$C$1),"NA")</f>
        <v>NA</v>
      </c>
      <c r="N46" s="971" t="str">
        <f>IFERROR(_xll.ciqfunctions.udf.CIQ($B$1,"IQ_NI",N$1,$D$1,$C$2,$D$2,$C$1)/_xll.ciqfunctions.udf.CIQ($B$1,$C46,N$1,$D$1,$C$2,$D$2,$C$1),"NA")</f>
        <v>NA</v>
      </c>
      <c r="O46" s="1087" t="str">
        <f>IFERROR(IF(OR(F46&lt;=0,K46&lt;=0),"NM",(K46/F46)^(1/5)-1),"NM")</f>
        <v>NM</v>
      </c>
      <c r="P46" s="730"/>
      <c r="S46" s="659"/>
      <c r="T46" s="659"/>
      <c r="U46" s="659"/>
      <c r="V46" s="659"/>
      <c r="W46" s="672"/>
      <c r="X46" s="659"/>
      <c r="Y46" s="659"/>
      <c r="Z46" s="659"/>
      <c r="AA46" s="659"/>
      <c r="AB46" s="659"/>
      <c r="AC46" s="659"/>
      <c r="AD46" s="659"/>
    </row>
    <row r="47" spans="1:30" ht="4.5" customHeight="1" x14ac:dyDescent="0.2">
      <c r="B47" s="1345"/>
      <c r="C47" s="1088"/>
      <c r="D47" s="1088"/>
      <c r="E47" s="735"/>
      <c r="F47" s="735"/>
      <c r="G47" s="735"/>
      <c r="H47" s="735"/>
      <c r="I47" s="735"/>
      <c r="J47" s="735"/>
      <c r="K47" s="1099"/>
      <c r="L47" s="1099"/>
      <c r="M47" s="1099"/>
      <c r="N47" s="1099"/>
      <c r="O47" s="735"/>
      <c r="R47" s="670"/>
      <c r="S47" s="659"/>
      <c r="T47" s="659"/>
      <c r="U47" s="659"/>
      <c r="V47" s="659"/>
      <c r="W47" s="659"/>
      <c r="X47" s="659"/>
      <c r="Y47" s="659"/>
      <c r="Z47" s="659"/>
      <c r="AA47" s="659"/>
      <c r="AB47" s="659"/>
      <c r="AC47" s="659"/>
      <c r="AD47" s="659"/>
    </row>
    <row r="48" spans="1:30" x14ac:dyDescent="0.2">
      <c r="B48" s="1343" t="s">
        <v>1077</v>
      </c>
      <c r="C48" s="1100"/>
      <c r="D48" s="1100"/>
      <c r="E48" s="1102"/>
      <c r="F48" s="1102"/>
      <c r="G48" s="1102"/>
      <c r="H48" s="1102"/>
      <c r="I48" s="1102"/>
      <c r="J48" s="1102"/>
      <c r="K48" s="1103"/>
      <c r="L48" s="1103"/>
      <c r="M48" s="1103"/>
      <c r="N48" s="1103"/>
      <c r="O48" s="736"/>
      <c r="R48" s="670"/>
      <c r="S48" s="659"/>
      <c r="T48" s="659"/>
      <c r="U48" s="659"/>
      <c r="V48" s="659"/>
      <c r="W48" s="659"/>
      <c r="X48" s="659"/>
      <c r="Y48" s="659"/>
      <c r="Z48" s="659"/>
      <c r="AA48" s="659"/>
      <c r="AB48" s="659"/>
      <c r="AC48" s="659"/>
      <c r="AD48" s="659"/>
    </row>
    <row r="49" spans="2:30" x14ac:dyDescent="0.2">
      <c r="B49" s="1342" t="s">
        <v>256</v>
      </c>
      <c r="C49" s="673" t="s">
        <v>949</v>
      </c>
      <c r="D49" s="673"/>
      <c r="E49" s="676" t="str">
        <f t="shared" ref="E49:K49" si="11">E9</f>
        <v/>
      </c>
      <c r="F49" s="676" t="str">
        <f t="shared" si="11"/>
        <v/>
      </c>
      <c r="G49" s="676" t="str">
        <f t="shared" si="11"/>
        <v/>
      </c>
      <c r="H49" s="676" t="str">
        <f t="shared" si="11"/>
        <v/>
      </c>
      <c r="I49" s="676" t="str">
        <f t="shared" si="11"/>
        <v/>
      </c>
      <c r="J49" s="676" t="str">
        <f t="shared" si="11"/>
        <v/>
      </c>
      <c r="K49" s="676" t="str">
        <f t="shared" si="11"/>
        <v/>
      </c>
      <c r="L49" s="1096"/>
      <c r="M49" s="676" t="str">
        <f>M9</f>
        <v/>
      </c>
      <c r="N49" s="676" t="str">
        <f>N9</f>
        <v/>
      </c>
      <c r="O49" s="1087" t="str">
        <f>IFERROR(IF(OR(F49&lt;=0,K49&lt;=0),"NM",(K49/F49)^(1/5)-1),"NM")</f>
        <v>NM</v>
      </c>
      <c r="R49" s="661"/>
      <c r="S49" s="659"/>
      <c r="T49" s="659"/>
      <c r="U49" s="659"/>
      <c r="V49" s="659"/>
      <c r="W49" s="659"/>
      <c r="X49" s="659"/>
      <c r="Y49" s="659"/>
      <c r="Z49" s="659"/>
      <c r="AA49" s="659"/>
      <c r="AB49" s="659"/>
      <c r="AC49" s="659"/>
      <c r="AD49" s="659"/>
    </row>
    <row r="50" spans="2:30" x14ac:dyDescent="0.2">
      <c r="B50" s="1342" t="s">
        <v>1078</v>
      </c>
      <c r="C50" s="662" t="str">
        <f>"IQ_TOTAL_OPER_EXPEN"</f>
        <v>IQ_TOTAL_OPER_EXPEN</v>
      </c>
      <c r="D50" s="662"/>
      <c r="E50" s="676" t="str">
        <f>IFERROR(IF(ABS((_xll.ciqfunctions.udf.CIQ($B$1,$C50,E$1,$D$1,$C$2,$D$2,$C$1)-_xll.ciqfunctions.udf.CIQ($B$1,"IQ_LL",E$1,$D$1,$C$2,$D$2,$C$1))/_xll.ciqfunctions.udf.CIQ($B$1,"IQ_INT_INC_TOTAL",E$1,$D$1,$C$2,$D$2,$C$1))&gt;=$R$2,"NA",(_xll.ciqfunctions.udf.CIQ($B$1,$C50,E$1,$D$1,$C$2,$D$2,$C$1)-_xll.ciqfunctions.udf.CIQ($B$1,"IQ_LL",E$1,$D$1,$C$2,$D$2,$C$1))/_xll.ciqfunctions.udf.CIQ($B$1,"IQ_INT_INC_TOTAL",E$1,$D$1,$C$2,$D$2,$C$1)),"NA")</f>
        <v>NA</v>
      </c>
      <c r="F50" s="676" t="str">
        <f>IFERROR(IF(ABS((_xll.ciqfunctions.udf.CIQ($B$1,$C50,F$1,$D$1,$C$2,$D$2,$C$1)-_xll.ciqfunctions.udf.CIQ($B$1,"IQ_LL",F$1,$D$1,$C$2,$D$2,$C$1))/_xll.ciqfunctions.udf.CIQ($B$1,"IQ_INT_INC_TOTAL",F$1,$D$1,$C$2,$D$2,$C$1))&gt;=$R$2,"NA",(_xll.ciqfunctions.udf.CIQ($B$1,$C50,F$1,$D$1,$C$2,$D$2,$C$1)-_xll.ciqfunctions.udf.CIQ($B$1,"IQ_LL",F$1,$D$1,$C$2,$D$2,$C$1))/_xll.ciqfunctions.udf.CIQ($B$1,"IQ_INT_INC_TOTAL",F$1,$D$1,$C$2,$D$2,$C$1)),"NA")</f>
        <v>NA</v>
      </c>
      <c r="G50" s="676" t="str">
        <f>IFERROR(IF(ABS((_xll.ciqfunctions.udf.CIQ($B$1,$C50,G$1,$D$1,$C$2,$D$2,$C$1)-_xll.ciqfunctions.udf.CIQ($B$1,"IQ_LL",G$1,$D$1,$C$2,$D$2,$C$1))/_xll.ciqfunctions.udf.CIQ($B$1,"IQ_INT_INC_TOTAL",G$1,$D$1,$C$2,$D$2,$C$1))&gt;=$R$2,"NA",(_xll.ciqfunctions.udf.CIQ($B$1,$C50,G$1,$D$1,$C$2,$D$2,$C$1)-_xll.ciqfunctions.udf.CIQ($B$1,"IQ_LL",G$1,$D$1,$C$2,$D$2,$C$1))/_xll.ciqfunctions.udf.CIQ($B$1,"IQ_INT_INC_TOTAL",G$1,$D$1,$C$2,$D$2,$C$1)),"NA")</f>
        <v>NA</v>
      </c>
      <c r="H50" s="676" t="str">
        <f>IFERROR(IF(ABS((_xll.ciqfunctions.udf.CIQ($B$1,$C50,H$1,$D$1,$C$2,$D$2,$C$1)-_xll.ciqfunctions.udf.CIQ($B$1,"IQ_LL",H$1,$D$1,$C$2,$D$2,$C$1))/_xll.ciqfunctions.udf.CIQ($B$1,"IQ_INT_INC_TOTAL",H$1,$D$1,$C$2,$D$2,$C$1))&gt;=$R$2,"NA",(_xll.ciqfunctions.udf.CIQ($B$1,$C50,H$1,$D$1,$C$2,$D$2,$C$1)-_xll.ciqfunctions.udf.CIQ($B$1,"IQ_LL",H$1,$D$1,$C$2,$D$2,$C$1))/_xll.ciqfunctions.udf.CIQ($B$1,"IQ_INT_INC_TOTAL",H$1,$D$1,$C$2,$D$2,$C$1)),"NA")</f>
        <v>NA</v>
      </c>
      <c r="I50" s="676" t="str">
        <f>IFERROR(IF(ABS((_xll.ciqfunctions.udf.CIQ($B$1,$C50,I$1,$D$1,$C$2,$D$2,$C$1)-_xll.ciqfunctions.udf.CIQ($B$1,"IQ_LL",I$1,$D$1,$C$2,$D$2,$C$1))/_xll.ciqfunctions.udf.CIQ($B$1,"IQ_INT_INC_TOTAL",I$1,$D$1,$C$2,$D$2,$C$1))&gt;=$R$2,"NA",(_xll.ciqfunctions.udf.CIQ($B$1,$C50,I$1,$D$1,$C$2,$D$2,$C$1)-_xll.ciqfunctions.udf.CIQ($B$1,"IQ_LL",I$1,$D$1,$C$2,$D$2,$C$1))/_xll.ciqfunctions.udf.CIQ($B$1,"IQ_INT_INC_TOTAL",I$1,$D$1,$C$2,$D$2,$C$1)),"NA")</f>
        <v>NA</v>
      </c>
      <c r="J50" s="676" t="str">
        <f>IFERROR(IF(ABS((_xll.ciqfunctions.udf.CIQ($B$1,$C50,J$1,$D$1,$C$2,$D$2,$C$1)-_xll.ciqfunctions.udf.CIQ($B$1,"IQ_LL",J$1,$D$1,$C$2,$D$2,$C$1))/_xll.ciqfunctions.udf.CIQ($B$1,"IQ_INT_INC_TOTAL",J$1,$D$1,$C$2,$D$2,$C$1))&gt;=$R$2,"NA",(_xll.ciqfunctions.udf.CIQ($B$1,$C50,J$1,$D$1,$C$2,$D$2,$C$1)-_xll.ciqfunctions.udf.CIQ($B$1,"IQ_LL",J$1,$D$1,$C$2,$D$2,$C$1))/_xll.ciqfunctions.udf.CIQ($B$1,"IQ_INT_INC_TOTAL",J$1,$D$1,$C$2,$D$2,$C$1)),"NA")</f>
        <v>NA</v>
      </c>
      <c r="K50" s="676" t="str">
        <f>IFERROR(IF(ABS((_xll.ciqfunctions.udf.CIQ($B$1,$C50,K$1,$D$1,$C$2,$D$2,$C$1)-_xll.ciqfunctions.udf.CIQ($B$1,"IQ_LL",K$1,$D$1,$C$2,$D$2,$C$1))/_xll.ciqfunctions.udf.CIQ($B$1,"IQ_INT_INC_TOTAL",K$1,$D$1,$C$2,$D$2,$C$1))&gt;=$R$2,"NA",(_xll.ciqfunctions.udf.CIQ($B$1,$C50,K$1,$D$1,$C$2,$D$2,$C$1)-_xll.ciqfunctions.udf.CIQ($B$1,"IQ_LL",K$1,$D$1,$C$2,$D$2,$C$1))/_xll.ciqfunctions.udf.CIQ($B$1,"IQ_INT_INC_TOTAL",K$1,$D$1,$C$2,$D$2,$C$1)),"NA")</f>
        <v>NA</v>
      </c>
      <c r="L50" s="1096"/>
      <c r="M50" s="676" t="str">
        <f>IFERROR(IF(ABS((_xll.ciqfunctions.udf.CIQ($B$1,$C50,M$1,$D$1,$C$2,$D$2,$C$1)-_xll.ciqfunctions.udf.CIQ($B$1,"IQ_LL",M$1,$D$1,$C$2,$D$2,$C$1))/_xll.ciqfunctions.udf.CIQ($B$1,"IQ_INT_INC_TOTAL",M$1,$D$1,$C$2,$D$2,$C$1))&gt;=$R$2,"NA",(_xll.ciqfunctions.udf.CIQ($B$1,$C50,M$1,$D$1,$C$2,$D$2,$C$1)-_xll.ciqfunctions.udf.CIQ($B$1,"IQ_LL",M$1,$D$1,$C$2,$D$2,$C$1))/_xll.ciqfunctions.udf.CIQ($B$1,"IQ_INT_INC_TOTAL",M$1,$D$1,$C$2,$D$2,$C$1)),"NA")</f>
        <v>NA</v>
      </c>
      <c r="N50" s="676" t="str">
        <f>IFERROR(IF(ABS((_xll.ciqfunctions.udf.CIQ($B$1,$C50,N$1,$D$1,$C$2,$D$2,$C$1)-_xll.ciqfunctions.udf.CIQ($B$1,"IQ_LL",N$1,$D$1,$C$2,$D$2,$C$1))/_xll.ciqfunctions.udf.CIQ($B$1,"IQ_INT_INC_TOTAL",N$1,$D$1,$C$2,$D$2,$C$1))&gt;=$R$2,"NA",(_xll.ciqfunctions.udf.CIQ($B$1,$C50,N$1,$D$1,$C$2,$D$2,$C$1)-_xll.ciqfunctions.udf.CIQ($B$1,"IQ_LL",N$1,$D$1,$C$2,$D$2,$C$1))/_xll.ciqfunctions.udf.CIQ($B$1,"IQ_INT_INC_TOTAL",N$1,$D$1,$C$2,$D$2,$C$1)),"NA")</f>
        <v>NA</v>
      </c>
      <c r="O50" s="1087" t="str">
        <f>IFERROR(IF(OR(F50&lt;=0,K50&lt;=0),"NM",(K50/F50)^(1/5)-1),"NM")</f>
        <v>NM</v>
      </c>
      <c r="P50" s="730"/>
      <c r="R50" s="661"/>
      <c r="S50" s="659"/>
      <c r="T50" s="659"/>
      <c r="U50" s="659"/>
      <c r="V50" s="659"/>
      <c r="W50" s="659"/>
      <c r="X50" s="659"/>
      <c r="Y50" s="659"/>
      <c r="Z50" s="659"/>
      <c r="AA50" s="659"/>
      <c r="AB50" s="659"/>
      <c r="AC50" s="659"/>
      <c r="AD50" s="659"/>
    </row>
    <row r="51" spans="2:30" x14ac:dyDescent="0.2">
      <c r="B51" s="1342" t="s">
        <v>1079</v>
      </c>
      <c r="C51" s="673" t="str">
        <f>"IQ_RETURN_ASSETS_BANK"</f>
        <v>IQ_RETURN_ASSETS_BANK</v>
      </c>
      <c r="D51" s="673"/>
      <c r="E51" s="676">
        <f>IFERROR(IF(ABS(_xll.ciqfunctions.udf.CIQ($B$1,$C51,E$1,$D$1,$C$2,$D$2,$C$1))&gt;=$R$2*100,"NA",_xll.ciqfunctions.udf.CIQ($B$1,$C51,E$1,$D$1,$C$2,$D$2,$C$1)/100),"NA")</f>
        <v>7.4754000000000001E-2</v>
      </c>
      <c r="F51" s="676">
        <f>IFERROR(IF(ABS(_xll.ciqfunctions.udf.CIQ($B$1,$C51,F$1,$D$1,$C$2,$D$2,$C$1))&gt;=$R$2*100,"NA",_xll.ciqfunctions.udf.CIQ($B$1,$C51,F$1,$D$1,$C$2,$D$2,$C$1)/100),"NA")</f>
        <v>7.1421999999999999E-2</v>
      </c>
      <c r="G51" s="676">
        <f>IFERROR(IF(ABS(_xll.ciqfunctions.udf.CIQ($B$1,$C51,G$1,$D$1,$C$2,$D$2,$C$1))&gt;=$R$2*100,"NA",_xll.ciqfunctions.udf.CIQ($B$1,$C51,G$1,$D$1,$C$2,$D$2,$C$1)/100),"NA")</f>
        <v>6.4884999999999998E-2</v>
      </c>
      <c r="H51" s="676">
        <f>IFERROR(IF(ABS(_xll.ciqfunctions.udf.CIQ($B$1,$C51,H$1,$D$1,$C$2,$D$2,$C$1))&gt;=$R$2*100,"NA",_xll.ciqfunctions.udf.CIQ($B$1,$C51,H$1,$D$1,$C$2,$D$2,$C$1)/100),"NA")</f>
        <v>6.4758999999999997E-2</v>
      </c>
      <c r="I51" s="676">
        <f>IFERROR(IF(ABS(_xll.ciqfunctions.udf.CIQ($B$1,$C51,I$1,$D$1,$C$2,$D$2,$C$1))&gt;=$R$2*100,"NA",_xll.ciqfunctions.udf.CIQ($B$1,$C51,I$1,$D$1,$C$2,$D$2,$C$1)/100),"NA")</f>
        <v>5.8875000000000004E-2</v>
      </c>
      <c r="J51" s="676">
        <f>IFERROR(IF(ABS(_xll.ciqfunctions.udf.CIQ($B$1,$C51,J$1,$D$1,$C$2,$D$2,$C$1))&gt;=$R$2*100,"NA",_xll.ciqfunctions.udf.CIQ($B$1,$C51,J$1,$D$1,$C$2,$D$2,$C$1)/100),"NA")</f>
        <v>6.8886000000000003E-2</v>
      </c>
      <c r="K51" s="676">
        <f>IFERROR(IF(ABS(_xll.ciqfunctions.udf.CIQ($B$1,$C51,K$1,$D$1,$C$2,$D$2,$C$1))&gt;=$R$2*100,"NA",_xll.ciqfunctions.udf.CIQ($B$1,$C51,K$1,$D$1,$C$2,$D$2,$C$1)/100),"NA")</f>
        <v>6.5198999999999993E-2</v>
      </c>
      <c r="L51" s="1096"/>
      <c r="M51" s="676">
        <f>IFERROR(IF(ABS(_xll.ciqfunctions.udf.CIQ($B$1,$C51,M$1,$D$1,$C$2,$D$2,$C$1))&gt;=$R$2*100,"NA",_xll.ciqfunctions.udf.CIQ($B$1,$C51,M$1,$D$1,$C$2,$D$2,$C$1)/100),"NA")</f>
        <v>6.8886000000000003E-2</v>
      </c>
      <c r="N51" s="676">
        <f>IFERROR(IF(ABS(_xll.ciqfunctions.udf.CIQ($B$1,$C51,N$1,$D$1,$C$2,$D$2,$C$1))&gt;=$R$2*100,"NA",_xll.ciqfunctions.udf.CIQ($B$1,$C51,N$1,$D$1,$C$2,$D$2,$C$1)/100),"NA")</f>
        <v>6.5198999999999993E-2</v>
      </c>
      <c r="O51" s="1087">
        <f>IFERROR(IF(OR(F51&lt;=0,K51&lt;=0),"NM",(K51/F51)^(1/5)-1),"NM")</f>
        <v>-1.8067158766149727E-2</v>
      </c>
      <c r="P51" s="730"/>
      <c r="S51" s="659"/>
      <c r="T51" s="659"/>
      <c r="U51" s="659"/>
      <c r="V51" s="659"/>
      <c r="X51" s="659"/>
      <c r="Y51" s="659"/>
      <c r="Z51" s="659"/>
      <c r="AA51" s="659"/>
      <c r="AB51" s="659"/>
      <c r="AC51" s="659"/>
      <c r="AD51" s="659"/>
    </row>
    <row r="52" spans="2:30" x14ac:dyDescent="0.2">
      <c r="B52" s="1342" t="s">
        <v>105</v>
      </c>
      <c r="C52" s="675" t="str">
        <f>"IQ_RETURN_EQUITY_BANK"</f>
        <v>IQ_RETURN_EQUITY_BANK</v>
      </c>
      <c r="D52" s="675"/>
      <c r="E52" s="676">
        <f>IFERROR(IF(ABS(_xll.ciqfunctions.udf.CIQ($B$1,$C52,E$1,$D$1,$C$2,$D$2,$C$1))&gt;=$R$2*100,"NA",_xll.ciqfunctions.udf.CIQ($B$1,$C52,E$1,$D$1,$C$2,$D$2,$C$1)/100),"NA")</f>
        <v>0.17788399999999999</v>
      </c>
      <c r="F52" s="676">
        <f>IFERROR(IF(ABS(_xll.ciqfunctions.udf.CIQ($B$1,$C52,F$1,$D$1,$C$2,$D$2,$C$1))&gt;=$R$2*100,"NA",_xll.ciqfunctions.udf.CIQ($B$1,$C52,F$1,$D$1,$C$2,$D$2,$C$1)/100),"NA")</f>
        <v>0.174149</v>
      </c>
      <c r="G52" s="676">
        <f>IFERROR(IF(ABS(_xll.ciqfunctions.udf.CIQ($B$1,$C52,G$1,$D$1,$C$2,$D$2,$C$1))&gt;=$R$2*100,"NA",_xll.ciqfunctions.udf.CIQ($B$1,$C52,G$1,$D$1,$C$2,$D$2,$C$1)/100),"NA")</f>
        <v>0.13043100000000002</v>
      </c>
      <c r="H52" s="676">
        <f>IFERROR(IF(ABS(_xll.ciqfunctions.udf.CIQ($B$1,$C52,H$1,$D$1,$C$2,$D$2,$C$1))&gt;=$R$2*100,"NA",_xll.ciqfunctions.udf.CIQ($B$1,$C52,H$1,$D$1,$C$2,$D$2,$C$1)/100),"NA")</f>
        <v>8.9482000000000006E-2</v>
      </c>
      <c r="I52" s="676">
        <f>IFERROR(IF(ABS(_xll.ciqfunctions.udf.CIQ($B$1,$C52,I$1,$D$1,$C$2,$D$2,$C$1))&gt;=$R$2*100,"NA",_xll.ciqfunctions.udf.CIQ($B$1,$C52,I$1,$D$1,$C$2,$D$2,$C$1)/100),"NA")</f>
        <v>0.188614</v>
      </c>
      <c r="J52" s="676">
        <f>IFERROR(IF(ABS(_xll.ciqfunctions.udf.CIQ($B$1,$C52,J$1,$D$1,$C$2,$D$2,$C$1))&gt;=$R$2*100,"NA",_xll.ciqfunctions.udf.CIQ($B$1,$C52,J$1,$D$1,$C$2,$D$2,$C$1)/100),"NA")</f>
        <v>0.16212099999999999</v>
      </c>
      <c r="K52" s="676">
        <f>IFERROR(IF(ABS(_xll.ciqfunctions.udf.CIQ($B$1,$C52,K$1,$D$1,$C$2,$D$2,$C$1))&gt;=$R$2*100,"NA",_xll.ciqfunctions.udf.CIQ($B$1,$C52,K$1,$D$1,$C$2,$D$2,$C$1)/100),"NA")</f>
        <v>0.155387</v>
      </c>
      <c r="L52" s="1096"/>
      <c r="M52" s="676">
        <f>IFERROR(IF(ABS(_xll.ciqfunctions.udf.CIQ($B$1,$C52,M$1,$D$1,$C$2,$D$2,$C$1))&gt;=$R$2*100,"NA",_xll.ciqfunctions.udf.CIQ($B$1,$C52,M$1,$D$1,$C$2,$D$2,$C$1)/100),"NA")</f>
        <v>0.16212099999999999</v>
      </c>
      <c r="N52" s="676">
        <f>IFERROR(IF(ABS(_xll.ciqfunctions.udf.CIQ($B$1,$C52,N$1,$D$1,$C$2,$D$2,$C$1))&gt;=$R$2*100,"NA",_xll.ciqfunctions.udf.CIQ($B$1,$C52,N$1,$D$1,$C$2,$D$2,$C$1)/100),"NA")</f>
        <v>0.155387</v>
      </c>
      <c r="O52" s="1087">
        <f>IFERROR(IF(OR(F52&lt;=0,K52&lt;=0),"NM",(K52/F52)^(1/5)-1),"NM")</f>
        <v>-2.2540573160599764E-2</v>
      </c>
      <c r="P52" s="730"/>
      <c r="S52" s="659"/>
      <c r="T52" s="659"/>
      <c r="U52" s="659"/>
      <c r="V52" s="659"/>
      <c r="W52" s="672"/>
      <c r="X52" s="659"/>
      <c r="Y52" s="659"/>
      <c r="Z52" s="659"/>
      <c r="AA52" s="659"/>
      <c r="AB52" s="659"/>
      <c r="AC52" s="659"/>
      <c r="AD52" s="659"/>
    </row>
    <row r="53" spans="2:30" ht="4.5" customHeight="1" x14ac:dyDescent="0.2">
      <c r="B53" s="1345"/>
      <c r="C53" s="1088"/>
      <c r="D53" s="1088"/>
      <c r="E53" s="735"/>
      <c r="F53" s="735"/>
      <c r="G53" s="735"/>
      <c r="H53" s="735"/>
      <c r="I53" s="735"/>
      <c r="J53" s="735"/>
      <c r="K53" s="1099"/>
      <c r="L53" s="1099"/>
      <c r="M53" s="1099"/>
      <c r="N53" s="1099"/>
      <c r="O53" s="735"/>
      <c r="R53" s="670"/>
      <c r="S53" s="659"/>
      <c r="T53" s="659"/>
      <c r="U53" s="659"/>
      <c r="V53" s="659"/>
      <c r="W53" s="659"/>
      <c r="X53" s="659"/>
      <c r="Y53" s="659"/>
      <c r="Z53" s="659"/>
      <c r="AA53" s="659"/>
      <c r="AB53" s="659"/>
      <c r="AC53" s="659"/>
      <c r="AD53" s="659"/>
    </row>
    <row r="54" spans="2:30" x14ac:dyDescent="0.2">
      <c r="B54" s="1343" t="s">
        <v>1080</v>
      </c>
      <c r="C54" s="1100"/>
      <c r="D54" s="1100"/>
      <c r="E54" s="1102"/>
      <c r="F54" s="1102"/>
      <c r="G54" s="1102"/>
      <c r="H54" s="1102"/>
      <c r="I54" s="1102"/>
      <c r="J54" s="1102"/>
      <c r="K54" s="1103"/>
      <c r="L54" s="1103"/>
      <c r="M54" s="1103"/>
      <c r="N54" s="1103"/>
      <c r="O54" s="736"/>
      <c r="R54" s="670"/>
      <c r="S54" s="659"/>
      <c r="T54" s="659"/>
      <c r="U54" s="659"/>
      <c r="V54" s="659"/>
      <c r="W54" s="659"/>
      <c r="X54" s="659"/>
      <c r="Y54" s="659"/>
      <c r="Z54" s="659"/>
      <c r="AA54" s="659"/>
      <c r="AB54" s="659"/>
      <c r="AC54" s="659"/>
      <c r="AD54" s="659"/>
    </row>
    <row r="55" spans="2:30" x14ac:dyDescent="0.2">
      <c r="B55" s="1353" t="s">
        <v>1081</v>
      </c>
      <c r="C55" s="663" t="str">
        <f>"IQ_TOTAL_DEPOSITS"</f>
        <v>IQ_TOTAL_DEPOSITS</v>
      </c>
      <c r="D55" s="663"/>
      <c r="E55" s="676">
        <f>IFERROR(IF(ABS(_xll.ciqfunctions.udf.CIQ($B$1,$C55,E$1,$D$1,$C$2,$D$2,$C$1)/_xll.ciqfunctions.udf.CIQ($B$1,"IQ_TOTAL_ASSETS",E$1,$D$1,$C$2,$D$2,$C$1))&gt;=$R$2,"NA",_xll.ciqfunctions.udf.CIQ($B$1,$C55,E$1,$D$1,$C$2,$D$2,$C$1)/_xll.ciqfunctions.udf.CIQ($B$1,"IQ_TOTAL_ASSETS",E$1,$D$1,$C$2,$D$2,$C$1)),"NA")</f>
        <v>0</v>
      </c>
      <c r="F55" s="676">
        <f>IFERROR(IF(ABS(_xll.ciqfunctions.udf.CIQ($B$1,$C55,F$1,$D$1,$C$2,$D$2,$C$1)/_xll.ciqfunctions.udf.CIQ($B$1,"IQ_TOTAL_ASSETS",F$1,$D$1,$C$2,$D$2,$C$1))&gt;=$R$2,"NA",_xll.ciqfunctions.udf.CIQ($B$1,$C55,F$1,$D$1,$C$2,$D$2,$C$1)/_xll.ciqfunctions.udf.CIQ($B$1,"IQ_TOTAL_ASSETS",F$1,$D$1,$C$2,$D$2,$C$1)),"NA")</f>
        <v>0</v>
      </c>
      <c r="G55" s="676">
        <f>IFERROR(IF(ABS(_xll.ciqfunctions.udf.CIQ($B$1,$C55,G$1,$D$1,$C$2,$D$2,$C$1)/_xll.ciqfunctions.udf.CIQ($B$1,"IQ_TOTAL_ASSETS",G$1,$D$1,$C$2,$D$2,$C$1))&gt;=$R$2,"NA",_xll.ciqfunctions.udf.CIQ($B$1,$C55,G$1,$D$1,$C$2,$D$2,$C$1)/_xll.ciqfunctions.udf.CIQ($B$1,"IQ_TOTAL_ASSETS",G$1,$D$1,$C$2,$D$2,$C$1)),"NA")</f>
        <v>0</v>
      </c>
      <c r="H55" s="676">
        <f>IFERROR(IF(ABS(_xll.ciqfunctions.udf.CIQ($B$1,$C55,H$1,$D$1,$C$2,$D$2,$C$1)/_xll.ciqfunctions.udf.CIQ($B$1,"IQ_TOTAL_ASSETS",H$1,$D$1,$C$2,$D$2,$C$1))&gt;=$R$2,"NA",_xll.ciqfunctions.udf.CIQ($B$1,$C55,H$1,$D$1,$C$2,$D$2,$C$1)/_xll.ciqfunctions.udf.CIQ($B$1,"IQ_TOTAL_ASSETS",H$1,$D$1,$C$2,$D$2,$C$1)),"NA")</f>
        <v>0</v>
      </c>
      <c r="I55" s="676">
        <f>IFERROR(IF(ABS(_xll.ciqfunctions.udf.CIQ($B$1,$C55,I$1,$D$1,$C$2,$D$2,$C$1)/_xll.ciqfunctions.udf.CIQ($B$1,"IQ_TOTAL_ASSETS",I$1,$D$1,$C$2,$D$2,$C$1))&gt;=$R$2,"NA",_xll.ciqfunctions.udf.CIQ($B$1,$C55,I$1,$D$1,$C$2,$D$2,$C$1)/_xll.ciqfunctions.udf.CIQ($B$1,"IQ_TOTAL_ASSETS",I$1,$D$1,$C$2,$D$2,$C$1)),"NA")</f>
        <v>0</v>
      </c>
      <c r="J55" s="676">
        <f>IFERROR(IF(ABS(_xll.ciqfunctions.udf.CIQ($B$1,$C55,J$1,$D$1,$C$2,$D$2,$C$1)/_xll.ciqfunctions.udf.CIQ($B$1,"IQ_TOTAL_ASSETS",J$1,$D$1,$C$2,$D$2,$C$1))&gt;=$R$2,"NA",_xll.ciqfunctions.udf.CIQ($B$1,$C55,J$1,$D$1,$C$2,$D$2,$C$1)/_xll.ciqfunctions.udf.CIQ($B$1,"IQ_TOTAL_ASSETS",J$1,$D$1,$C$2,$D$2,$C$1)),"NA")</f>
        <v>0</v>
      </c>
      <c r="K55" s="676">
        <f>IFERROR(IF(ABS(_xll.ciqfunctions.udf.CIQ($B$1,$C55,K$1,$D$1,$C$2,$D$2,$C$1)/_xll.ciqfunctions.udf.CIQ($B$1,"IQ_TOTAL_ASSETS",K$1,$D$1,$C$2,$D$2,$C$1))&gt;=$R$2,"NA",_xll.ciqfunctions.udf.CIQ($B$1,$C55,K$1,$D$1,$C$2,$D$2,$C$1)/_xll.ciqfunctions.udf.CIQ($B$1,"IQ_TOTAL_ASSETS",K$1,$D$1,$C$2,$D$2,$C$1)),"NA")</f>
        <v>0</v>
      </c>
      <c r="L55" s="1096"/>
      <c r="M55" s="676">
        <f>IFERROR(IF(ABS(_xll.ciqfunctions.udf.CIQ($B$1,$C55,M$1,$D$1,$C$2,$D$2,$C$1)/_xll.ciqfunctions.udf.CIQ($B$1,"IQ_TOTAL_ASSETS",M$1,$D$1,$C$2,$D$2,$C$1))&gt;=$R$2,"NA",_xll.ciqfunctions.udf.CIQ($B$1,$C55,M$1,$D$1,$C$2,$D$2,$C$1)/_xll.ciqfunctions.udf.CIQ($B$1,"IQ_TOTAL_ASSETS",M$1,$D$1,$C$2,$D$2,$C$1)),"NA")</f>
        <v>0</v>
      </c>
      <c r="N55" s="676">
        <f>IFERROR(IF(ABS(_xll.ciqfunctions.udf.CIQ($B$1,$C55,N$1,$D$1,$C$2,$D$2,$C$1)/_xll.ciqfunctions.udf.CIQ($B$1,"IQ_TOTAL_ASSETS",N$1,$D$1,$C$2,$D$2,$C$1))&gt;=$R$2,"NA",_xll.ciqfunctions.udf.CIQ($B$1,$C55,N$1,$D$1,$C$2,$D$2,$C$1)/_xll.ciqfunctions.udf.CIQ($B$1,"IQ_TOTAL_ASSETS",N$1,$D$1,$C$2,$D$2,$C$1)),"NA")</f>
        <v>0</v>
      </c>
      <c r="O55" s="1087" t="str">
        <f>IFERROR(IF(OR(F55&lt;=0,K55&lt;=0),"NM",(K55/F55)^(1/5)-1),"NM")</f>
        <v>NM</v>
      </c>
      <c r="R55" s="669"/>
      <c r="S55" s="659"/>
      <c r="T55" s="659"/>
      <c r="U55" s="659"/>
      <c r="V55" s="659"/>
      <c r="W55" s="672"/>
      <c r="X55" s="659"/>
      <c r="Y55" s="659"/>
      <c r="Z55" s="659"/>
      <c r="AA55" s="659"/>
      <c r="AB55" s="659"/>
      <c r="AC55" s="659"/>
      <c r="AD55" s="659"/>
    </row>
    <row r="56" spans="2:30" x14ac:dyDescent="0.2">
      <c r="B56" s="1353" t="s">
        <v>1082</v>
      </c>
      <c r="C56" s="663" t="str">
        <f>"IQ_TOTAL_DEPOSITS"</f>
        <v>IQ_TOTAL_DEPOSITS</v>
      </c>
      <c r="D56" s="663"/>
      <c r="E56" s="676" t="str">
        <f>IFERROR(IF(ABS(_xll.ciqfunctions.udf.CIQ($B$1,"IQ_TOTAL_LOANS",E$1,$D$1,$C$2,$D$2,$C$1)/_xll.ciqfunctions.udf.CIQ($B$1,$C56,E$1,$D$1,$C$2,$D$2,$C$1))&gt;=$R$2,"NA",_xll.ciqfunctions.udf.CIQ($B$1,"IQ_TOTAL_LOANS",E$1,$D$1,$C$2,$D$2,$C$1)/_xll.ciqfunctions.udf.CIQ($B$1,$C56,E$1,$D$1,$C$2,$D$2,$C$1)),"NA")</f>
        <v>NA</v>
      </c>
      <c r="F56" s="676" t="str">
        <f>IFERROR(IF(ABS(_xll.ciqfunctions.udf.CIQ($B$1,"IQ_TOTAL_LOANS",F$1,$D$1,$C$2,$D$2,$C$1)/_xll.ciqfunctions.udf.CIQ($B$1,$C56,F$1,$D$1,$C$2,$D$2,$C$1))&gt;=$R$2,"NA",_xll.ciqfunctions.udf.CIQ($B$1,"IQ_TOTAL_LOANS",F$1,$D$1,$C$2,$D$2,$C$1)/_xll.ciqfunctions.udf.CIQ($B$1,$C56,F$1,$D$1,$C$2,$D$2,$C$1)),"NA")</f>
        <v>NA</v>
      </c>
      <c r="G56" s="676" t="str">
        <f>IFERROR(IF(ABS(_xll.ciqfunctions.udf.CIQ($B$1,"IQ_TOTAL_LOANS",G$1,$D$1,$C$2,$D$2,$C$1)/_xll.ciqfunctions.udf.CIQ($B$1,$C56,G$1,$D$1,$C$2,$D$2,$C$1))&gt;=$R$2,"NA",_xll.ciqfunctions.udf.CIQ($B$1,"IQ_TOTAL_LOANS",G$1,$D$1,$C$2,$D$2,$C$1)/_xll.ciqfunctions.udf.CIQ($B$1,$C56,G$1,$D$1,$C$2,$D$2,$C$1)),"NA")</f>
        <v>NA</v>
      </c>
      <c r="H56" s="676" t="str">
        <f>IFERROR(IF(ABS(_xll.ciqfunctions.udf.CIQ($B$1,"IQ_TOTAL_LOANS",H$1,$D$1,$C$2,$D$2,$C$1)/_xll.ciqfunctions.udf.CIQ($B$1,$C56,H$1,$D$1,$C$2,$D$2,$C$1))&gt;=$R$2,"NA",_xll.ciqfunctions.udf.CIQ($B$1,"IQ_TOTAL_LOANS",H$1,$D$1,$C$2,$D$2,$C$1)/_xll.ciqfunctions.udf.CIQ($B$1,$C56,H$1,$D$1,$C$2,$D$2,$C$1)),"NA")</f>
        <v>NA</v>
      </c>
      <c r="I56" s="676" t="str">
        <f>IFERROR(IF(ABS(_xll.ciqfunctions.udf.CIQ($B$1,"IQ_TOTAL_LOANS",I$1,$D$1,$C$2,$D$2,$C$1)/_xll.ciqfunctions.udf.CIQ($B$1,$C56,I$1,$D$1,$C$2,$D$2,$C$1))&gt;=$R$2,"NA",_xll.ciqfunctions.udf.CIQ($B$1,"IQ_TOTAL_LOANS",I$1,$D$1,$C$2,$D$2,$C$1)/_xll.ciqfunctions.udf.CIQ($B$1,$C56,I$1,$D$1,$C$2,$D$2,$C$1)),"NA")</f>
        <v>NA</v>
      </c>
      <c r="J56" s="676" t="str">
        <f>IFERROR(IF(ABS(_xll.ciqfunctions.udf.CIQ($B$1,"IQ_TOTAL_LOANS",J$1,$D$1,$C$2,$D$2,$C$1)/_xll.ciqfunctions.udf.CIQ($B$1,$C56,J$1,$D$1,$C$2,$D$2,$C$1))&gt;=$R$2,"NA",_xll.ciqfunctions.udf.CIQ($B$1,"IQ_TOTAL_LOANS",J$1,$D$1,$C$2,$D$2,$C$1)/_xll.ciqfunctions.udf.CIQ($B$1,$C56,J$1,$D$1,$C$2,$D$2,$C$1)),"NA")</f>
        <v>NA</v>
      </c>
      <c r="K56" s="676" t="str">
        <f>IFERROR(IF(ABS(_xll.ciqfunctions.udf.CIQ($B$1,"IQ_TOTAL_LOANS",K$1,$D$1,$C$2,$D$2,$C$1)/_xll.ciqfunctions.udf.CIQ($B$1,$C56,K$1,$D$1,$C$2,$D$2,$C$1))&gt;=$R$2,"NA",_xll.ciqfunctions.udf.CIQ($B$1,"IQ_TOTAL_LOANS",K$1,$D$1,$C$2,$D$2,$C$1)/_xll.ciqfunctions.udf.CIQ($B$1,$C56,K$1,$D$1,$C$2,$D$2,$C$1)),"NA")</f>
        <v>NA</v>
      </c>
      <c r="L56" s="1096"/>
      <c r="M56" s="676" t="str">
        <f>IFERROR(IF(ABS(_xll.ciqfunctions.udf.CIQ($B$1,"IQ_TOTAL_LOANS",M$1,$D$1,$C$2,$D$2,$C$1)/_xll.ciqfunctions.udf.CIQ($B$1,$C56,M$1,$D$1,$C$2,$D$2,$C$1))&gt;=$R$2,"NA",_xll.ciqfunctions.udf.CIQ($B$1,"IQ_TOTAL_LOANS",M$1,$D$1,$C$2,$D$2,$C$1)/_xll.ciqfunctions.udf.CIQ($B$1,$C56,M$1,$D$1,$C$2,$D$2,$C$1)),"NA")</f>
        <v>NA</v>
      </c>
      <c r="N56" s="676" t="str">
        <f>IFERROR(IF(ABS(_xll.ciqfunctions.udf.CIQ($B$1,"IQ_TOTAL_LOANS",N$1,$D$1,$C$2,$D$2,$C$1)/_xll.ciqfunctions.udf.CIQ($B$1,$C56,N$1,$D$1,$C$2,$D$2,$C$1))&gt;=$R$2,"NA",_xll.ciqfunctions.udf.CIQ($B$1,"IQ_TOTAL_LOANS",N$1,$D$1,$C$2,$D$2,$C$1)/_xll.ciqfunctions.udf.CIQ($B$1,$C56,N$1,$D$1,$C$2,$D$2,$C$1)),"NA")</f>
        <v>NA</v>
      </c>
      <c r="O56" s="1087" t="str">
        <f>IFERROR(IF(OR(F56&lt;=0,K56&lt;=0),"NM",(K56/F56)^(1/5)-1),"NM")</f>
        <v>NM</v>
      </c>
      <c r="P56" s="730"/>
      <c r="S56" s="659"/>
      <c r="T56" s="659"/>
      <c r="U56" s="659"/>
      <c r="V56" s="659"/>
      <c r="X56" s="659"/>
      <c r="Y56" s="659"/>
      <c r="Z56" s="659"/>
      <c r="AA56" s="659"/>
      <c r="AB56" s="659"/>
      <c r="AC56" s="659"/>
      <c r="AD56" s="659"/>
    </row>
    <row r="57" spans="2:30" ht="4.5" customHeight="1" x14ac:dyDescent="0.2">
      <c r="B57" s="1345"/>
      <c r="C57" s="1088"/>
      <c r="D57" s="1088"/>
      <c r="E57" s="735"/>
      <c r="F57" s="735"/>
      <c r="G57" s="735"/>
      <c r="H57" s="735"/>
      <c r="I57" s="735"/>
      <c r="J57" s="735"/>
      <c r="K57" s="1099"/>
      <c r="L57" s="1099"/>
      <c r="M57" s="1099"/>
      <c r="N57" s="1099"/>
      <c r="O57" s="735"/>
      <c r="R57" s="670"/>
      <c r="S57" s="659"/>
      <c r="T57" s="659"/>
      <c r="U57" s="659"/>
      <c r="V57" s="659"/>
      <c r="W57" s="659"/>
      <c r="X57" s="659"/>
      <c r="Y57" s="659"/>
      <c r="Z57" s="659"/>
      <c r="AA57" s="659"/>
      <c r="AB57" s="659"/>
      <c r="AC57" s="659"/>
      <c r="AD57" s="659"/>
    </row>
    <row r="58" spans="2:30" x14ac:dyDescent="0.2">
      <c r="B58" s="1343" t="str">
        <f>"Revenue, Earnings and Cash (" &amp; Input!C6 &amp; " million)"</f>
        <v>Revenue, Earnings and Cash (USD million)</v>
      </c>
      <c r="C58" s="1100"/>
      <c r="D58" s="1100"/>
      <c r="E58" s="1102"/>
      <c r="F58" s="1102"/>
      <c r="G58" s="1102"/>
      <c r="H58" s="1102"/>
      <c r="I58" s="1102"/>
      <c r="J58" s="1102"/>
      <c r="K58" s="1103"/>
      <c r="L58" s="1103"/>
      <c r="M58" s="1103"/>
      <c r="N58" s="1103"/>
      <c r="O58" s="736"/>
      <c r="R58" s="670"/>
      <c r="S58" s="659"/>
      <c r="T58" s="659"/>
      <c r="U58" s="659"/>
      <c r="V58" s="659"/>
      <c r="W58" s="659"/>
      <c r="X58" s="659"/>
      <c r="Y58" s="659"/>
      <c r="Z58" s="659"/>
      <c r="AA58" s="659"/>
      <c r="AB58" s="659"/>
      <c r="AC58" s="659"/>
      <c r="AD58" s="659"/>
    </row>
    <row r="59" spans="2:30" x14ac:dyDescent="0.2">
      <c r="B59" s="1353" t="s">
        <v>2</v>
      </c>
      <c r="C59" s="663"/>
      <c r="D59" s="663"/>
      <c r="E59" s="717">
        <f t="shared" ref="E59:K59" si="12">E11</f>
        <v>0</v>
      </c>
      <c r="F59" s="717">
        <f t="shared" si="12"/>
        <v>0</v>
      </c>
      <c r="G59" s="717">
        <f t="shared" si="12"/>
        <v>0</v>
      </c>
      <c r="H59" s="717">
        <f t="shared" si="12"/>
        <v>0</v>
      </c>
      <c r="I59" s="717">
        <f t="shared" si="12"/>
        <v>0</v>
      </c>
      <c r="J59" s="717">
        <f t="shared" si="12"/>
        <v>0</v>
      </c>
      <c r="K59" s="717">
        <f t="shared" si="12"/>
        <v>0</v>
      </c>
      <c r="L59" s="1110"/>
      <c r="M59" s="717">
        <f>M11</f>
        <v>0</v>
      </c>
      <c r="N59" s="717">
        <f>N11</f>
        <v>0</v>
      </c>
      <c r="O59" s="1087" t="str">
        <f>IFERROR(IF(OR(F59&lt;=0,K59&lt;=0),"NM",(K59/F59)^(1/5)-1),"NM")</f>
        <v>NM</v>
      </c>
      <c r="R59" s="670"/>
      <c r="S59" s="659"/>
      <c r="T59" s="659"/>
      <c r="U59" s="659"/>
      <c r="V59" s="659"/>
      <c r="W59" s="659"/>
      <c r="X59" s="659"/>
      <c r="Y59" s="659"/>
      <c r="Z59" s="659"/>
      <c r="AA59" s="659"/>
      <c r="AB59" s="659"/>
      <c r="AC59" s="659"/>
      <c r="AD59" s="659"/>
    </row>
    <row r="60" spans="2:30" x14ac:dyDescent="0.2">
      <c r="B60" s="1353" t="s">
        <v>50</v>
      </c>
      <c r="C60" s="663"/>
      <c r="D60" s="663"/>
      <c r="E60" s="717">
        <f t="shared" ref="E60:K60" si="13">E14</f>
        <v>21638</v>
      </c>
      <c r="F60" s="717">
        <f t="shared" si="13"/>
        <v>20497</v>
      </c>
      <c r="G60" s="717">
        <f t="shared" si="13"/>
        <v>15123</v>
      </c>
      <c r="H60" s="717">
        <f t="shared" si="13"/>
        <v>11460</v>
      </c>
      <c r="I60" s="717">
        <f t="shared" si="13"/>
        <v>20116</v>
      </c>
      <c r="J60" s="717">
        <f t="shared" si="13"/>
        <v>20564</v>
      </c>
      <c r="K60" s="717">
        <f t="shared" si="13"/>
        <v>18696</v>
      </c>
      <c r="L60" s="1110"/>
      <c r="M60" s="717">
        <f>M14</f>
        <v>20564</v>
      </c>
      <c r="N60" s="717">
        <f>N14</f>
        <v>18696</v>
      </c>
      <c r="O60" s="1087">
        <f>IFERROR(IF(OR(F60&lt;=0,K60&lt;=0),"NM",(K60/F60)^(1/5)-1),"NM")</f>
        <v>-1.8225654087931975E-2</v>
      </c>
      <c r="R60" s="661"/>
      <c r="S60" s="659"/>
      <c r="T60" s="659"/>
      <c r="U60" s="659"/>
      <c r="V60" s="659"/>
      <c r="W60" s="659"/>
      <c r="X60" s="659"/>
      <c r="Y60" s="659"/>
      <c r="Z60" s="659"/>
      <c r="AA60" s="659"/>
      <c r="AB60" s="659"/>
      <c r="AC60" s="659"/>
      <c r="AD60" s="659"/>
    </row>
    <row r="61" spans="2:30" x14ac:dyDescent="0.2">
      <c r="B61" s="1353" t="s">
        <v>238</v>
      </c>
      <c r="C61" s="663"/>
      <c r="D61" s="663"/>
      <c r="E61" s="717">
        <f t="shared" ref="E61:K61" si="14">E7</f>
        <v>0</v>
      </c>
      <c r="F61" s="717">
        <f t="shared" si="14"/>
        <v>0</v>
      </c>
      <c r="G61" s="717">
        <f t="shared" si="14"/>
        <v>0</v>
      </c>
      <c r="H61" s="717">
        <f t="shared" si="14"/>
        <v>0</v>
      </c>
      <c r="I61" s="717">
        <f t="shared" si="14"/>
        <v>0</v>
      </c>
      <c r="J61" s="717">
        <f t="shared" si="14"/>
        <v>0</v>
      </c>
      <c r="K61" s="717">
        <f t="shared" si="14"/>
        <v>0</v>
      </c>
      <c r="L61" s="1110"/>
      <c r="M61" s="717">
        <f>M7</f>
        <v>0</v>
      </c>
      <c r="N61" s="717">
        <f>N7</f>
        <v>0</v>
      </c>
      <c r="O61" s="1087" t="str">
        <f>IFERROR(IF(OR(F61&lt;=0,K61&lt;=0),"NM",(K61/F61)^(1/5)-1),"NM")</f>
        <v>NM</v>
      </c>
      <c r="P61" s="730"/>
      <c r="S61" s="659"/>
      <c r="T61" s="659"/>
      <c r="U61" s="659"/>
      <c r="V61" s="659"/>
      <c r="W61" s="659"/>
      <c r="X61" s="659"/>
      <c r="Y61" s="659"/>
      <c r="Z61" s="659"/>
      <c r="AA61" s="659"/>
      <c r="AB61" s="659"/>
      <c r="AC61" s="659"/>
      <c r="AD61" s="659"/>
    </row>
    <row r="62" spans="2:30" x14ac:dyDescent="0.2">
      <c r="B62" s="1353" t="s">
        <v>1102</v>
      </c>
      <c r="C62" s="663" t="s">
        <v>1133</v>
      </c>
      <c r="D62" s="663"/>
      <c r="E62" s="717">
        <f>IFERROR(_xll.ciqfunctions.udf.CIQ($B$1,$C62,E$1,$D$1,$C$2, ,$C$1),"")</f>
        <v>8705</v>
      </c>
      <c r="F62" s="717">
        <f>IFERROR(_xll.ciqfunctions.udf.CIQ($B$1,$C62,F$1,$D$1,$C$2, ,$C$1),"")</f>
        <v>6867</v>
      </c>
      <c r="G62" s="717">
        <f>IFERROR(_xll.ciqfunctions.udf.CIQ($B$1,$C62,G$1,$D$1,$C$2, ,$C$1),"")</f>
        <v>6756</v>
      </c>
      <c r="H62" s="717">
        <f>IFERROR(_xll.ciqfunctions.udf.CIQ($B$1,$C62,H$1,$D$1,$C$2, ,$C$1),"")</f>
        <v>7722</v>
      </c>
      <c r="I62" s="717">
        <f>IFERROR(_xll.ciqfunctions.udf.CIQ($B$1,$C62,I$1,$D$1,$C$2, ,$C$1),"")</f>
        <v>9465</v>
      </c>
      <c r="J62" s="717">
        <f>IFERROR(_xll.ciqfunctions.udf.CIQ($B$1,$C62,J$1,$D$1,$C$2, ,$C$1),"")</f>
        <v>17741</v>
      </c>
      <c r="K62" s="717">
        <f>IFERROR(_xll.ciqfunctions.udf.CIQ($B$1,$C62,K$1,$D$1,$C$2, ,$C$1),"")</f>
        <v>14760</v>
      </c>
      <c r="L62" s="1110"/>
      <c r="M62" s="717">
        <f>IFERROR(_xll.ciqfunctions.udf.CIQ($B$1,$C62,M$1,$D$1,$C$2, ,$C$1),"")</f>
        <v>17741</v>
      </c>
      <c r="N62" s="717">
        <f>IFERROR(_xll.ciqfunctions.udf.CIQ($B$1,$C62,N$1,$D$1,$C$2, ,$C$1),"")</f>
        <v>14760</v>
      </c>
      <c r="O62" s="1087">
        <f>IFERROR(IF(OR(F62&lt;=0,K62&lt;=0),"NM",(K62/F62)^(1/5)-1),"NM")</f>
        <v>0.16537007545267968</v>
      </c>
      <c r="P62" s="730"/>
      <c r="S62" s="659"/>
      <c r="T62" s="659"/>
      <c r="U62" s="659"/>
      <c r="V62" s="659"/>
      <c r="W62" s="659"/>
      <c r="X62" s="659"/>
      <c r="Y62" s="659"/>
      <c r="Z62" s="659"/>
      <c r="AA62" s="659"/>
      <c r="AB62" s="659"/>
      <c r="AC62" s="659"/>
      <c r="AD62" s="659"/>
    </row>
    <row r="63" spans="2:30" x14ac:dyDescent="0.2">
      <c r="B63" s="654"/>
      <c r="C63" s="658"/>
      <c r="D63" s="658"/>
      <c r="E63" s="665"/>
      <c r="F63" s="665"/>
      <c r="G63" s="665"/>
      <c r="H63" s="665"/>
      <c r="I63" s="677"/>
      <c r="J63" s="678"/>
      <c r="K63" s="678"/>
      <c r="L63" s="679"/>
      <c r="M63" s="680"/>
      <c r="N63" s="659"/>
      <c r="O63" s="659"/>
      <c r="P63" s="730"/>
      <c r="S63" s="659"/>
      <c r="T63" s="659"/>
      <c r="U63" s="659"/>
      <c r="V63" s="659"/>
      <c r="W63" s="659"/>
      <c r="X63" s="659"/>
      <c r="Y63" s="659"/>
      <c r="Z63" s="659"/>
      <c r="AA63" s="659"/>
      <c r="AB63" s="659"/>
      <c r="AC63" s="659"/>
      <c r="AD63" s="659"/>
    </row>
    <row r="64" spans="2:30" x14ac:dyDescent="0.2">
      <c r="N64" s="659"/>
      <c r="O64" s="659"/>
      <c r="P64" s="730"/>
      <c r="S64" s="659"/>
      <c r="T64" s="659"/>
      <c r="U64" s="659"/>
      <c r="V64" s="659"/>
      <c r="W64" s="659"/>
      <c r="X64" s="659"/>
      <c r="Y64" s="659"/>
      <c r="Z64" s="659"/>
      <c r="AA64" s="659"/>
      <c r="AB64" s="659"/>
      <c r="AC64" s="659"/>
      <c r="AD64" s="659"/>
    </row>
    <row r="65" spans="2:32" ht="15" customHeight="1" x14ac:dyDescent="0.2">
      <c r="B65" s="1469" t="s">
        <v>1105</v>
      </c>
      <c r="C65" s="1470"/>
      <c r="D65" s="1470"/>
      <c r="E65" s="1471"/>
      <c r="F65" s="1471" t="s">
        <v>520</v>
      </c>
      <c r="G65" s="1471"/>
      <c r="H65" s="1471"/>
      <c r="I65" s="1471"/>
      <c r="J65" s="1471"/>
      <c r="K65" s="1471"/>
      <c r="L65" s="1472"/>
      <c r="M65" s="1473"/>
      <c r="N65" s="1473" t="s">
        <v>519</v>
      </c>
      <c r="O65" s="1474" t="s">
        <v>985</v>
      </c>
      <c r="P65" s="730"/>
      <c r="S65" s="659"/>
      <c r="T65" s="659"/>
      <c r="U65" s="659"/>
      <c r="V65" s="659"/>
      <c r="W65" s="659"/>
      <c r="X65" s="659"/>
      <c r="Y65" s="659"/>
      <c r="Z65" s="659"/>
      <c r="AA65" s="659"/>
      <c r="AB65" s="659"/>
      <c r="AC65" s="659"/>
      <c r="AD65" s="659"/>
    </row>
    <row r="66" spans="2:32" x14ac:dyDescent="0.2">
      <c r="B66" s="1339" t="str">
        <f>Input!$C$6 &amp; " million, except per share data"</f>
        <v>USD million, except per share data</v>
      </c>
      <c r="C66" s="1340"/>
      <c r="D66" s="1370"/>
      <c r="E66" s="1354"/>
      <c r="F66" s="1450">
        <f t="shared" ref="F66:K66" si="15">F32</f>
        <v>42766</v>
      </c>
      <c r="G66" s="1450">
        <f t="shared" si="15"/>
        <v>43131</v>
      </c>
      <c r="H66" s="1450">
        <f t="shared" si="15"/>
        <v>43496</v>
      </c>
      <c r="I66" s="1450">
        <f t="shared" si="15"/>
        <v>43861</v>
      </c>
      <c r="J66" s="1450">
        <f t="shared" si="15"/>
        <v>44227</v>
      </c>
      <c r="K66" s="1450">
        <f t="shared" si="15"/>
        <v>44592</v>
      </c>
      <c r="L66" s="1476"/>
      <c r="M66" s="1450"/>
      <c r="N66" s="1450" t="str">
        <f>TEXT(N6,"mmm yyyy") &amp;"*"</f>
        <v>Jan 2022*</v>
      </c>
      <c r="O66" s="1448" t="str">
        <f>IFERROR(YEAR(F66) &amp; "-" &amp; YEAR(K66),"NM")</f>
        <v>2017-2022</v>
      </c>
      <c r="P66" s="659"/>
      <c r="Q66" s="659"/>
      <c r="T66" s="659"/>
      <c r="U66" s="659"/>
      <c r="V66" s="659"/>
      <c r="W66" s="659"/>
      <c r="Y66" s="659"/>
      <c r="Z66" s="659"/>
      <c r="AA66" s="659"/>
      <c r="AB66" s="659"/>
      <c r="AC66" s="659"/>
      <c r="AD66" s="659"/>
      <c r="AE66" s="659"/>
    </row>
    <row r="67" spans="2:32" x14ac:dyDescent="0.2">
      <c r="B67" s="1353" t="s">
        <v>1095</v>
      </c>
      <c r="C67" s="1222"/>
      <c r="D67" s="1222"/>
      <c r="E67" s="1104" t="str">
        <f t="shared" ref="E67:K67" si="16">E56</f>
        <v>NA</v>
      </c>
      <c r="F67" s="1104" t="str">
        <f t="shared" si="16"/>
        <v>NA</v>
      </c>
      <c r="G67" s="1104" t="str">
        <f t="shared" si="16"/>
        <v>NA</v>
      </c>
      <c r="H67" s="1104" t="str">
        <f t="shared" si="16"/>
        <v>NA</v>
      </c>
      <c r="I67" s="1104" t="str">
        <f t="shared" si="16"/>
        <v>NA</v>
      </c>
      <c r="J67" s="1104" t="str">
        <f t="shared" si="16"/>
        <v>NA</v>
      </c>
      <c r="K67" s="1104" t="str">
        <f t="shared" si="16"/>
        <v>NA</v>
      </c>
      <c r="L67" s="1107"/>
      <c r="M67" s="1104" t="str">
        <f>M56</f>
        <v>NA</v>
      </c>
      <c r="N67" s="1104" t="str">
        <f>N56</f>
        <v>NA</v>
      </c>
      <c r="O67" s="1087" t="str">
        <f>IFERROR(IF(OR(F67&lt;=0,K67&lt;=0),"NM",(K67/F67)^(1/5)-1),"NM")</f>
        <v>NM</v>
      </c>
      <c r="P67" s="659"/>
      <c r="Q67" s="659"/>
      <c r="T67" s="659"/>
      <c r="U67" s="659"/>
      <c r="V67" s="659"/>
      <c r="W67" s="659"/>
      <c r="X67" s="672"/>
      <c r="Y67" s="659"/>
      <c r="Z67" s="659"/>
      <c r="AA67" s="659"/>
      <c r="AB67" s="659"/>
      <c r="AC67" s="659"/>
      <c r="AD67" s="659"/>
      <c r="AE67" s="659"/>
    </row>
    <row r="68" spans="2:32" x14ac:dyDescent="0.2">
      <c r="B68" s="1353" t="s">
        <v>232</v>
      </c>
      <c r="C68" s="1222"/>
      <c r="D68" s="1222"/>
      <c r="E68" s="1223">
        <f t="shared" ref="E68:K68" si="17">E22</f>
        <v>0</v>
      </c>
      <c r="F68" s="1223">
        <f t="shared" si="17"/>
        <v>0</v>
      </c>
      <c r="G68" s="1223">
        <f t="shared" si="17"/>
        <v>0</v>
      </c>
      <c r="H68" s="1223">
        <f t="shared" si="17"/>
        <v>0</v>
      </c>
      <c r="I68" s="1223">
        <f t="shared" si="17"/>
        <v>0</v>
      </c>
      <c r="J68" s="1223">
        <f t="shared" si="17"/>
        <v>0</v>
      </c>
      <c r="K68" s="1223">
        <f t="shared" si="17"/>
        <v>0</v>
      </c>
      <c r="L68" s="1110"/>
      <c r="M68" s="1110">
        <f>M22</f>
        <v>0</v>
      </c>
      <c r="N68" s="1110">
        <f>N22</f>
        <v>0</v>
      </c>
      <c r="O68" s="1087" t="str">
        <f>IFERROR(IF(OR(F68&lt;=0,K68&lt;=0),"NM",(K68/F68)^(1/5)-1),"NM")</f>
        <v>NM</v>
      </c>
      <c r="P68" s="659"/>
      <c r="Q68" s="659"/>
      <c r="T68" s="659"/>
      <c r="U68" s="659"/>
      <c r="V68" s="659"/>
      <c r="W68" s="659"/>
      <c r="Y68" s="659"/>
      <c r="Z68" s="659"/>
      <c r="AA68" s="659"/>
      <c r="AB68" s="659"/>
      <c r="AC68" s="659"/>
      <c r="AD68" s="659"/>
      <c r="AE68" s="659"/>
    </row>
    <row r="69" spans="2:32" x14ac:dyDescent="0.2">
      <c r="B69" s="1353" t="s">
        <v>50</v>
      </c>
      <c r="C69" s="680"/>
      <c r="D69" s="680"/>
      <c r="E69" s="1110">
        <f t="shared" ref="E69:K69" si="18">E14</f>
        <v>21638</v>
      </c>
      <c r="F69" s="1110">
        <f t="shared" si="18"/>
        <v>20497</v>
      </c>
      <c r="G69" s="1110">
        <f t="shared" si="18"/>
        <v>15123</v>
      </c>
      <c r="H69" s="1110">
        <f t="shared" si="18"/>
        <v>11460</v>
      </c>
      <c r="I69" s="1110">
        <f t="shared" si="18"/>
        <v>20116</v>
      </c>
      <c r="J69" s="1110">
        <f t="shared" si="18"/>
        <v>20564</v>
      </c>
      <c r="K69" s="1110">
        <f t="shared" si="18"/>
        <v>18696</v>
      </c>
      <c r="L69" s="1110"/>
      <c r="M69" s="1110">
        <f>M14</f>
        <v>20564</v>
      </c>
      <c r="N69" s="1110">
        <f>N14</f>
        <v>18696</v>
      </c>
      <c r="O69" s="1087">
        <f>IFERROR(IF(OR(F69&lt;=0,K69&lt;=0),"NM",(K69/F69)^(1/5)-1),"NM")</f>
        <v>-1.8225654087931975E-2</v>
      </c>
      <c r="P69" s="659"/>
      <c r="Q69" s="659"/>
      <c r="S69" s="661"/>
      <c r="T69" s="659"/>
      <c r="U69" s="659"/>
      <c r="V69" s="659"/>
      <c r="W69" s="659"/>
      <c r="X69" s="659"/>
      <c r="Y69" s="659"/>
      <c r="Z69" s="659"/>
      <c r="AA69" s="659"/>
      <c r="AB69" s="659"/>
      <c r="AC69" s="659"/>
      <c r="AD69" s="659"/>
      <c r="AE69" s="659"/>
    </row>
    <row r="70" spans="2:32" x14ac:dyDescent="0.2">
      <c r="B70" s="1353" t="s">
        <v>238</v>
      </c>
      <c r="C70" s="680"/>
      <c r="D70" s="680"/>
      <c r="E70" s="1110">
        <f t="shared" ref="E70:K70" si="19">E18</f>
        <v>14694</v>
      </c>
      <c r="F70" s="1110">
        <f t="shared" si="19"/>
        <v>13643</v>
      </c>
      <c r="G70" s="1110">
        <f t="shared" si="19"/>
        <v>9862</v>
      </c>
      <c r="H70" s="1110">
        <f t="shared" si="19"/>
        <v>6670</v>
      </c>
      <c r="I70" s="1110">
        <f t="shared" si="19"/>
        <v>14881</v>
      </c>
      <c r="J70" s="1110">
        <f t="shared" si="19"/>
        <v>13510</v>
      </c>
      <c r="K70" s="1110">
        <f t="shared" si="19"/>
        <v>13673</v>
      </c>
      <c r="L70" s="1110"/>
      <c r="M70" s="1110">
        <f>M7</f>
        <v>0</v>
      </c>
      <c r="N70" s="1110">
        <f>N7</f>
        <v>0</v>
      </c>
      <c r="O70" s="1087">
        <f>IFERROR(IF(OR(F70&lt;=0,K70&lt;=0),"NM",(K70/F70)^(1/5)-1),"NM")</f>
        <v>4.3939965700157124E-4</v>
      </c>
      <c r="P70" s="659"/>
      <c r="Q70" s="659"/>
      <c r="S70" s="661"/>
      <c r="T70" s="659"/>
      <c r="U70" s="731" t="str">
        <f>"CAGR = " &amp; TEXT(O67,"0.0%;[Red](0.0%)")</f>
        <v>CAGR = NM</v>
      </c>
      <c r="V70" s="731"/>
      <c r="W70" s="659"/>
      <c r="X70" s="659"/>
      <c r="Y70" s="659"/>
      <c r="Z70" s="659"/>
      <c r="AA70" s="659"/>
      <c r="AB70" s="659"/>
      <c r="AC70" s="659"/>
      <c r="AD70" s="659"/>
      <c r="AE70" s="659"/>
    </row>
    <row r="71" spans="2:32" x14ac:dyDescent="0.2">
      <c r="B71" s="653"/>
      <c r="C71" s="653"/>
      <c r="D71" s="653"/>
      <c r="E71" s="653"/>
      <c r="F71" s="760"/>
      <c r="G71" s="761"/>
      <c r="H71" s="761"/>
      <c r="I71" s="761"/>
      <c r="J71" s="761"/>
      <c r="K71" s="761"/>
      <c r="L71" s="653"/>
      <c r="N71" s="659"/>
      <c r="O71" s="659"/>
      <c r="P71" s="659"/>
      <c r="Q71" s="659"/>
      <c r="T71" s="659"/>
      <c r="U71" s="731" t="str">
        <f>"CAGR = " &amp; TEXT(O68,"0.0%;[Red](0.0%)")</f>
        <v>CAGR = NM</v>
      </c>
      <c r="V71" s="731" t="str">
        <f>B68 &amp; " (" &amp; Input!$C$6 &amp; " million)"</f>
        <v>Net Loans (USD million)</v>
      </c>
      <c r="W71" s="659"/>
      <c r="X71" s="659"/>
      <c r="Y71" s="659"/>
      <c r="Z71" s="659"/>
      <c r="AA71" s="659"/>
      <c r="AB71" s="659"/>
      <c r="AC71" s="659"/>
      <c r="AD71" s="659"/>
      <c r="AE71" s="659"/>
    </row>
    <row r="72" spans="2:32" x14ac:dyDescent="0.2">
      <c r="B72" s="653"/>
      <c r="C72" s="653"/>
      <c r="D72" s="653"/>
      <c r="E72" s="653"/>
      <c r="F72" s="653"/>
      <c r="G72" s="653"/>
      <c r="H72" s="653"/>
      <c r="I72" s="653"/>
      <c r="J72" s="653"/>
      <c r="K72" s="653"/>
      <c r="L72" s="653"/>
      <c r="N72" s="659"/>
      <c r="O72" s="659"/>
      <c r="P72" s="659"/>
      <c r="Q72" s="659"/>
      <c r="T72" s="659"/>
      <c r="U72" s="731" t="str">
        <f>"CAGR = " &amp; TEXT(O69,"0.0%;[Red](0.0%)")</f>
        <v>CAGR = (1.8%)</v>
      </c>
      <c r="V72" s="731" t="str">
        <f>B69 &amp; " (" &amp; Input!$C$6 &amp; " million)"</f>
        <v>EBT (USD million)</v>
      </c>
      <c r="W72" s="659"/>
      <c r="Y72" s="659"/>
      <c r="Z72" s="659"/>
      <c r="AA72" s="659"/>
      <c r="AB72" s="659"/>
      <c r="AC72" s="659"/>
      <c r="AD72" s="659"/>
      <c r="AE72" s="659"/>
    </row>
    <row r="73" spans="2:32" x14ac:dyDescent="0.2">
      <c r="B73" s="653"/>
      <c r="C73" s="653"/>
      <c r="D73" s="653"/>
      <c r="E73" s="653"/>
      <c r="F73" s="653"/>
      <c r="G73" s="653"/>
      <c r="H73" s="653"/>
      <c r="I73" s="653"/>
      <c r="J73" s="653"/>
      <c r="K73" s="653"/>
      <c r="L73" s="653"/>
      <c r="N73" s="659"/>
      <c r="O73" s="659"/>
      <c r="P73" s="659"/>
      <c r="Q73" s="659"/>
      <c r="T73" s="659"/>
      <c r="U73" s="731" t="str">
        <f>"CAGR = " &amp; TEXT(O70,"0.0%;[Red](0.0%)")</f>
        <v>CAGR = 0.0%</v>
      </c>
      <c r="V73" s="731" t="str">
        <f>B70 &amp; " (" &amp; Input!$C$6 &amp; " million)"</f>
        <v>Net Interest Income (USD million)</v>
      </c>
      <c r="W73" s="659"/>
      <c r="X73" s="672"/>
      <c r="Y73" s="659"/>
      <c r="Z73" s="659"/>
      <c r="AA73" s="659"/>
      <c r="AB73" s="659"/>
      <c r="AC73" s="659"/>
      <c r="AD73" s="659"/>
      <c r="AE73" s="659"/>
    </row>
    <row r="74" spans="2:32" x14ac:dyDescent="0.2">
      <c r="B74" s="653"/>
      <c r="C74" s="653"/>
      <c r="D74" s="653"/>
      <c r="E74" s="653"/>
      <c r="F74" s="653"/>
      <c r="G74" s="653"/>
      <c r="H74" s="653"/>
      <c r="I74" s="653"/>
      <c r="J74" s="653"/>
      <c r="K74" s="653"/>
      <c r="L74" s="653"/>
      <c r="N74" s="659"/>
      <c r="O74" s="659"/>
      <c r="P74" s="659"/>
      <c r="Q74" s="659"/>
      <c r="T74" s="659"/>
      <c r="U74" s="659"/>
      <c r="V74" s="659"/>
      <c r="W74" s="659"/>
      <c r="X74" s="659"/>
      <c r="Y74" s="659"/>
      <c r="Z74" s="659"/>
      <c r="AA74" s="659"/>
      <c r="AB74" s="659"/>
      <c r="AC74" s="659"/>
      <c r="AD74" s="659"/>
      <c r="AE74" s="659"/>
    </row>
    <row r="75" spans="2:32" x14ac:dyDescent="0.2">
      <c r="B75" s="653"/>
      <c r="C75" s="653"/>
      <c r="D75" s="653"/>
      <c r="E75" s="653"/>
      <c r="F75" s="653"/>
      <c r="G75" s="653"/>
      <c r="H75" s="653"/>
      <c r="I75" s="653"/>
      <c r="J75" s="653"/>
      <c r="K75" s="653"/>
      <c r="L75" s="653"/>
      <c r="N75" s="659"/>
      <c r="O75" s="659"/>
      <c r="P75" s="659"/>
      <c r="Q75" s="659"/>
      <c r="T75" s="659"/>
      <c r="U75" s="731" t="str">
        <f>"FY" &amp; TEXT(F6,"yyyy")</f>
        <v>FY2017</v>
      </c>
      <c r="AA75" s="659"/>
      <c r="AB75" s="659"/>
      <c r="AC75" s="659"/>
      <c r="AD75" s="659"/>
      <c r="AE75" s="659"/>
    </row>
    <row r="76" spans="2:32" x14ac:dyDescent="0.2">
      <c r="B76" s="653"/>
      <c r="C76" s="653"/>
      <c r="D76" s="653"/>
      <c r="E76" s="653"/>
      <c r="F76" s="653"/>
      <c r="G76" s="653"/>
      <c r="H76" s="653"/>
      <c r="I76" s="653"/>
      <c r="J76" s="653"/>
      <c r="K76" s="653"/>
      <c r="L76" s="653"/>
      <c r="N76" s="659"/>
      <c r="O76" s="659"/>
      <c r="P76" s="659"/>
      <c r="Q76" s="659"/>
      <c r="T76" s="659"/>
      <c r="U76" s="731" t="str">
        <f>"FY" &amp; TEXT(G6,"yyyy")</f>
        <v>FY2018</v>
      </c>
      <c r="V76" s="659"/>
      <c r="W76" s="659"/>
      <c r="X76" s="659"/>
      <c r="Y76" s="659"/>
      <c r="Z76" s="659"/>
      <c r="AA76" s="659"/>
      <c r="AB76" s="659"/>
      <c r="AC76" s="659"/>
      <c r="AD76" s="659"/>
      <c r="AE76" s="659"/>
    </row>
    <row r="77" spans="2:32" x14ac:dyDescent="0.2">
      <c r="B77" s="653"/>
      <c r="C77" s="653"/>
      <c r="D77" s="653"/>
      <c r="E77" s="653"/>
      <c r="F77" s="653"/>
      <c r="G77" s="653"/>
      <c r="H77" s="653"/>
      <c r="I77" s="653"/>
      <c r="J77" s="653"/>
      <c r="K77" s="653"/>
      <c r="L77" s="653"/>
      <c r="N77" s="659"/>
      <c r="O77" s="659"/>
      <c r="P77" s="659"/>
      <c r="Q77" s="659"/>
      <c r="T77" s="659"/>
      <c r="U77" s="731" t="str">
        <f>"FY" &amp; TEXT(H6,"yyyy")</f>
        <v>FY2019</v>
      </c>
      <c r="V77" s="659"/>
      <c r="W77" s="659"/>
      <c r="X77" s="659"/>
      <c r="Y77" s="659"/>
      <c r="Z77" s="659"/>
      <c r="AA77" s="659"/>
      <c r="AB77" s="659"/>
      <c r="AC77" s="659"/>
      <c r="AD77" s="659"/>
      <c r="AE77" s="659"/>
      <c r="AF77" s="659"/>
    </row>
    <row r="78" spans="2:32" x14ac:dyDescent="0.2">
      <c r="B78" s="653"/>
      <c r="C78" s="653"/>
      <c r="D78" s="653"/>
      <c r="E78" s="653"/>
      <c r="F78" s="653"/>
      <c r="G78" s="653"/>
      <c r="H78" s="653"/>
      <c r="I78" s="653"/>
      <c r="J78" s="653"/>
      <c r="K78" s="653"/>
      <c r="L78" s="653"/>
      <c r="N78" s="659"/>
      <c r="O78" s="659"/>
      <c r="P78" s="659"/>
      <c r="Q78" s="659"/>
      <c r="T78" s="659"/>
      <c r="U78" s="731" t="str">
        <f>"FY" &amp; TEXT(I6,"yyyy")</f>
        <v>FY2020</v>
      </c>
      <c r="V78" s="659"/>
      <c r="W78" s="659"/>
      <c r="X78" s="659"/>
      <c r="Y78" s="659"/>
      <c r="Z78" s="659"/>
      <c r="AA78" s="659"/>
      <c r="AB78" s="659"/>
      <c r="AC78" s="659"/>
      <c r="AD78" s="659"/>
      <c r="AE78" s="659"/>
      <c r="AF78" s="659"/>
    </row>
    <row r="79" spans="2:32" x14ac:dyDescent="0.2">
      <c r="B79" s="653"/>
      <c r="C79" s="653"/>
      <c r="D79" s="653"/>
      <c r="E79" s="653"/>
      <c r="F79" s="653"/>
      <c r="G79" s="653"/>
      <c r="H79" s="653"/>
      <c r="I79" s="653"/>
      <c r="J79" s="653"/>
      <c r="K79" s="653"/>
      <c r="L79" s="653"/>
      <c r="N79" s="659"/>
      <c r="O79" s="659"/>
      <c r="P79" s="659"/>
      <c r="Q79" s="659"/>
      <c r="S79" s="659"/>
      <c r="T79" s="659"/>
      <c r="U79" s="731" t="str">
        <f>"FY" &amp; TEXT(J6,"yyyy")</f>
        <v>FY2021</v>
      </c>
      <c r="V79" s="659"/>
      <c r="W79" s="659"/>
      <c r="X79" s="659"/>
      <c r="Y79" s="659"/>
      <c r="Z79" s="659"/>
      <c r="AA79" s="659"/>
      <c r="AB79" s="659"/>
      <c r="AC79" s="659"/>
      <c r="AD79" s="659"/>
      <c r="AE79" s="659"/>
      <c r="AF79" s="659"/>
    </row>
    <row r="80" spans="2:32" x14ac:dyDescent="0.2">
      <c r="B80" s="653"/>
      <c r="C80" s="653"/>
      <c r="D80" s="653"/>
      <c r="E80" s="653"/>
      <c r="F80" s="653"/>
      <c r="G80" s="653"/>
      <c r="H80" s="653"/>
      <c r="I80" s="653"/>
      <c r="J80" s="653"/>
      <c r="K80" s="653"/>
      <c r="L80" s="653"/>
      <c r="N80" s="659"/>
      <c r="O80" s="659"/>
      <c r="P80" s="659"/>
      <c r="Q80" s="659"/>
      <c r="S80" s="659"/>
      <c r="T80" s="659"/>
      <c r="U80" s="731" t="str">
        <f>"FY" &amp; TEXT(K6,"yyyy")</f>
        <v>FY2022</v>
      </c>
      <c r="V80" s="659"/>
      <c r="W80" s="659"/>
      <c r="X80" s="659"/>
      <c r="Y80" s="659"/>
      <c r="Z80" s="659"/>
      <c r="AA80" s="659"/>
      <c r="AB80" s="659"/>
      <c r="AC80" s="659"/>
      <c r="AD80" s="659"/>
      <c r="AE80" s="659"/>
      <c r="AF80" s="659"/>
    </row>
    <row r="81" spans="2:32" x14ac:dyDescent="0.2">
      <c r="B81" s="653"/>
      <c r="C81" s="653"/>
      <c r="D81" s="653"/>
      <c r="E81" s="653"/>
      <c r="F81" s="653"/>
      <c r="G81" s="653"/>
      <c r="H81" s="653"/>
      <c r="I81" s="653"/>
      <c r="J81" s="653"/>
      <c r="K81" s="653"/>
      <c r="L81" s="653"/>
      <c r="N81" s="659"/>
      <c r="O81" s="659"/>
      <c r="P81" s="659"/>
      <c r="Q81" s="659"/>
      <c r="S81" s="659"/>
      <c r="T81" s="659"/>
      <c r="U81" s="731" t="str">
        <f>"LTM Q" &amp; ImpData!$H$36 &amp; "'" &amp; RIGHT(IF(ImpData!B15&gt;ImpData!B35,ImpData!B38+1,ImpData!B38),2)</f>
        <v>LTM Q4'22</v>
      </c>
      <c r="V81" s="659"/>
      <c r="W81" s="659"/>
      <c r="X81" s="659"/>
      <c r="Y81" s="659"/>
      <c r="Z81" s="659"/>
      <c r="AA81" s="659"/>
      <c r="AB81" s="659"/>
      <c r="AC81" s="659"/>
      <c r="AD81" s="659"/>
      <c r="AE81" s="659"/>
      <c r="AF81" s="659"/>
    </row>
    <row r="82" spans="2:32" x14ac:dyDescent="0.2">
      <c r="B82" s="653"/>
      <c r="C82" s="653"/>
      <c r="D82" s="653"/>
      <c r="E82" s="653"/>
      <c r="F82" s="653"/>
      <c r="G82" s="653"/>
      <c r="H82" s="653"/>
      <c r="I82" s="653"/>
      <c r="J82" s="653"/>
      <c r="K82" s="653"/>
      <c r="L82" s="653"/>
      <c r="N82" s="659"/>
      <c r="O82" s="659"/>
      <c r="P82" s="659"/>
      <c r="Q82" s="659"/>
      <c r="S82" s="659"/>
      <c r="T82" s="659"/>
      <c r="U82" s="659"/>
      <c r="V82" s="659"/>
      <c r="W82" s="659"/>
      <c r="X82" s="659"/>
      <c r="Y82" s="659"/>
      <c r="Z82" s="659"/>
      <c r="AA82" s="659"/>
      <c r="AB82" s="659"/>
      <c r="AC82" s="659"/>
      <c r="AD82" s="659"/>
      <c r="AE82" s="659"/>
      <c r="AF82" s="659"/>
    </row>
    <row r="83" spans="2:32" x14ac:dyDescent="0.2">
      <c r="B83" s="653"/>
      <c r="C83" s="653"/>
      <c r="D83" s="653"/>
      <c r="E83" s="653"/>
      <c r="F83" s="653"/>
      <c r="G83" s="653"/>
      <c r="H83" s="653"/>
      <c r="I83" s="653"/>
      <c r="J83" s="653"/>
      <c r="K83" s="653"/>
      <c r="L83" s="653"/>
      <c r="N83" s="659"/>
      <c r="O83" s="659"/>
      <c r="P83" s="659"/>
      <c r="Q83" s="659"/>
      <c r="S83" s="659"/>
      <c r="T83" s="659"/>
      <c r="U83" s="659"/>
      <c r="V83" s="659"/>
      <c r="W83" s="659"/>
      <c r="X83" s="659"/>
      <c r="Y83" s="659"/>
      <c r="Z83" s="659"/>
      <c r="AA83" s="659"/>
      <c r="AB83" s="659"/>
      <c r="AC83" s="659"/>
      <c r="AD83" s="659"/>
      <c r="AE83" s="659"/>
      <c r="AF83" s="659"/>
    </row>
    <row r="84" spans="2:32" x14ac:dyDescent="0.2">
      <c r="B84" s="653"/>
      <c r="C84" s="653"/>
      <c r="D84" s="653"/>
      <c r="E84" s="653"/>
      <c r="F84" s="653"/>
      <c r="G84" s="653"/>
      <c r="H84" s="653"/>
      <c r="I84" s="653"/>
      <c r="J84" s="653"/>
      <c r="K84" s="653"/>
      <c r="L84" s="653"/>
      <c r="N84" s="659"/>
      <c r="O84" s="659"/>
      <c r="P84" s="659"/>
      <c r="Q84" s="659"/>
      <c r="R84" s="659"/>
      <c r="S84" s="659"/>
      <c r="T84" s="659"/>
      <c r="U84" s="659"/>
      <c r="V84" s="659"/>
      <c r="W84" s="659"/>
      <c r="X84" s="659"/>
      <c r="Y84" s="659"/>
      <c r="Z84" s="659"/>
      <c r="AA84" s="659"/>
      <c r="AB84" s="659"/>
      <c r="AC84" s="659"/>
      <c r="AD84" s="659"/>
      <c r="AE84" s="659"/>
      <c r="AF84" s="659"/>
    </row>
    <row r="85" spans="2:32" x14ac:dyDescent="0.2">
      <c r="B85" s="653"/>
      <c r="C85" s="653"/>
      <c r="D85" s="653"/>
      <c r="E85" s="653"/>
      <c r="F85" s="653"/>
      <c r="G85" s="653"/>
      <c r="H85" s="653"/>
      <c r="I85" s="653"/>
      <c r="J85" s="653"/>
      <c r="K85" s="653"/>
      <c r="L85" s="653"/>
      <c r="N85" s="659"/>
      <c r="O85" s="659"/>
      <c r="P85" s="659"/>
      <c r="Q85" s="659"/>
      <c r="R85" s="659"/>
      <c r="S85" s="659"/>
      <c r="T85" s="659"/>
      <c r="U85" s="659"/>
      <c r="V85" s="659"/>
      <c r="W85" s="659"/>
      <c r="X85" s="659"/>
      <c r="Y85" s="659"/>
      <c r="Z85" s="659"/>
      <c r="AA85" s="659"/>
      <c r="AB85" s="659"/>
      <c r="AC85" s="659"/>
      <c r="AD85" s="659"/>
      <c r="AE85" s="659"/>
      <c r="AF85" s="659"/>
    </row>
    <row r="86" spans="2:32" x14ac:dyDescent="0.2">
      <c r="B86" s="653"/>
      <c r="C86" s="653"/>
      <c r="D86" s="653"/>
      <c r="E86" s="653"/>
      <c r="F86" s="653"/>
      <c r="G86" s="653"/>
      <c r="H86" s="653"/>
      <c r="I86" s="653"/>
      <c r="J86" s="653"/>
      <c r="K86" s="653"/>
      <c r="L86" s="653"/>
      <c r="N86" s="659"/>
      <c r="O86" s="659"/>
      <c r="P86" s="659"/>
      <c r="Q86" s="659"/>
      <c r="R86" s="659"/>
      <c r="S86" s="659"/>
      <c r="T86" s="659"/>
      <c r="U86" s="659"/>
      <c r="V86" s="659"/>
      <c r="W86" s="659"/>
      <c r="X86" s="659"/>
      <c r="Y86" s="659"/>
      <c r="Z86" s="659"/>
      <c r="AA86" s="659"/>
      <c r="AB86" s="659"/>
      <c r="AC86" s="659"/>
      <c r="AD86" s="659"/>
      <c r="AE86" s="659"/>
      <c r="AF86" s="659"/>
    </row>
    <row r="87" spans="2:32" x14ac:dyDescent="0.2">
      <c r="B87" s="653"/>
      <c r="C87" s="653"/>
      <c r="D87" s="653"/>
      <c r="E87" s="653"/>
      <c r="F87" s="653"/>
      <c r="G87" s="653"/>
      <c r="H87" s="653"/>
      <c r="I87" s="653"/>
      <c r="J87" s="653"/>
      <c r="K87" s="653"/>
      <c r="L87" s="653"/>
      <c r="N87" s="659"/>
      <c r="O87" s="659"/>
      <c r="P87" s="659"/>
      <c r="Q87" s="659"/>
      <c r="R87" s="659"/>
      <c r="S87" s="659"/>
      <c r="T87" s="659"/>
      <c r="U87" s="659"/>
      <c r="V87" s="659"/>
      <c r="W87" s="659"/>
      <c r="X87" s="659"/>
      <c r="Y87" s="659"/>
      <c r="Z87" s="659"/>
      <c r="AA87" s="659"/>
      <c r="AB87" s="659"/>
      <c r="AC87" s="659"/>
      <c r="AD87" s="659"/>
      <c r="AE87" s="659"/>
      <c r="AF87" s="659"/>
    </row>
    <row r="88" spans="2:32" x14ac:dyDescent="0.2">
      <c r="B88" s="653"/>
      <c r="C88" s="653"/>
      <c r="D88" s="653"/>
      <c r="E88" s="653"/>
      <c r="F88" s="653"/>
      <c r="G88" s="653"/>
      <c r="H88" s="653"/>
      <c r="I88" s="653"/>
      <c r="J88" s="653"/>
      <c r="K88" s="653"/>
      <c r="L88" s="653"/>
      <c r="N88" s="659"/>
      <c r="O88" s="659"/>
      <c r="P88" s="659"/>
      <c r="Q88" s="659"/>
      <c r="R88" s="659"/>
      <c r="S88" s="659"/>
      <c r="T88" s="659"/>
      <c r="U88" s="659"/>
      <c r="V88" s="659"/>
      <c r="W88" s="659"/>
      <c r="X88" s="659"/>
      <c r="Y88" s="659"/>
      <c r="Z88" s="659"/>
      <c r="AA88" s="659"/>
      <c r="AB88" s="659"/>
      <c r="AC88" s="659"/>
      <c r="AD88" s="659"/>
      <c r="AE88" s="659"/>
      <c r="AF88" s="659"/>
    </row>
    <row r="89" spans="2:32" x14ac:dyDescent="0.2">
      <c r="B89" s="653"/>
      <c r="C89" s="653"/>
      <c r="D89" s="653"/>
      <c r="E89" s="653"/>
      <c r="F89" s="653"/>
      <c r="G89" s="653"/>
      <c r="H89" s="653"/>
      <c r="I89" s="653"/>
      <c r="J89" s="653"/>
      <c r="K89" s="653"/>
      <c r="L89" s="653"/>
      <c r="N89" s="659"/>
      <c r="O89" s="659"/>
      <c r="P89" s="659"/>
      <c r="Q89" s="659"/>
      <c r="R89" s="659"/>
      <c r="S89" s="659"/>
      <c r="T89" s="659"/>
      <c r="U89" s="659"/>
      <c r="V89" s="659"/>
      <c r="W89" s="659"/>
      <c r="X89" s="659"/>
      <c r="Y89" s="659"/>
      <c r="Z89" s="659"/>
      <c r="AA89" s="659"/>
      <c r="AB89" s="659"/>
      <c r="AC89" s="659"/>
      <c r="AD89" s="659"/>
      <c r="AE89" s="659"/>
      <c r="AF89" s="659"/>
    </row>
    <row r="90" spans="2:32" x14ac:dyDescent="0.2">
      <c r="B90" s="653"/>
      <c r="C90" s="653"/>
      <c r="D90" s="653"/>
      <c r="E90" s="653"/>
      <c r="F90" s="653"/>
      <c r="G90" s="653"/>
      <c r="H90" s="653"/>
      <c r="I90" s="653"/>
      <c r="J90" s="653"/>
      <c r="K90" s="653"/>
      <c r="L90" s="653"/>
      <c r="N90" s="659"/>
      <c r="O90" s="659"/>
      <c r="P90" s="659"/>
      <c r="Q90" s="659"/>
      <c r="R90" s="659"/>
      <c r="S90" s="659"/>
      <c r="T90" s="659"/>
      <c r="U90" s="659"/>
      <c r="V90" s="659"/>
      <c r="W90" s="659"/>
      <c r="X90" s="659"/>
      <c r="Y90" s="659"/>
      <c r="Z90" s="659"/>
      <c r="AA90" s="659"/>
      <c r="AB90" s="659"/>
      <c r="AC90" s="659"/>
      <c r="AD90" s="659"/>
      <c r="AE90" s="659"/>
      <c r="AF90" s="659"/>
    </row>
    <row r="91" spans="2:32" x14ac:dyDescent="0.2">
      <c r="B91" s="653"/>
      <c r="C91" s="653"/>
      <c r="D91" s="653"/>
      <c r="E91" s="653"/>
      <c r="F91" s="653"/>
      <c r="G91" s="653"/>
      <c r="H91" s="653"/>
      <c r="I91" s="653"/>
      <c r="J91" s="653"/>
      <c r="K91" s="653"/>
      <c r="L91" s="653"/>
      <c r="N91" s="659"/>
      <c r="O91" s="659"/>
      <c r="P91" s="659"/>
      <c r="Q91" s="659"/>
      <c r="R91" s="659"/>
      <c r="S91" s="659"/>
      <c r="T91" s="659"/>
      <c r="U91" s="659"/>
      <c r="V91" s="659"/>
      <c r="W91" s="659"/>
      <c r="X91" s="659"/>
      <c r="Y91" s="659"/>
      <c r="Z91" s="659"/>
      <c r="AA91" s="659"/>
      <c r="AB91" s="659"/>
      <c r="AC91" s="659"/>
      <c r="AD91" s="659"/>
      <c r="AE91" s="659"/>
      <c r="AF91" s="659"/>
    </row>
    <row r="92" spans="2:32" x14ac:dyDescent="0.2">
      <c r="B92" s="653"/>
      <c r="C92" s="653"/>
      <c r="D92" s="653"/>
      <c r="E92" s="653"/>
      <c r="F92" s="653"/>
      <c r="G92" s="653"/>
      <c r="H92" s="653"/>
      <c r="I92" s="653"/>
      <c r="J92" s="653"/>
      <c r="K92" s="653"/>
      <c r="L92" s="653"/>
      <c r="N92" s="659"/>
      <c r="O92" s="659"/>
      <c r="P92" s="659"/>
      <c r="Q92" s="659"/>
      <c r="R92" s="659"/>
      <c r="S92" s="659"/>
      <c r="T92" s="659"/>
      <c r="U92" s="659"/>
      <c r="V92" s="659"/>
      <c r="W92" s="659"/>
      <c r="X92" s="659"/>
      <c r="Y92" s="659"/>
      <c r="Z92" s="659"/>
      <c r="AA92" s="659"/>
      <c r="AB92" s="659"/>
      <c r="AC92" s="659"/>
      <c r="AD92" s="659"/>
      <c r="AE92" s="659"/>
      <c r="AF92" s="659"/>
    </row>
    <row r="93" spans="2:32" x14ac:dyDescent="0.2">
      <c r="B93" s="653"/>
      <c r="C93" s="653"/>
      <c r="D93" s="653"/>
      <c r="E93" s="653"/>
      <c r="F93" s="653"/>
      <c r="G93" s="653"/>
      <c r="H93" s="653"/>
      <c r="I93" s="653"/>
      <c r="J93" s="653"/>
      <c r="K93" s="653"/>
      <c r="L93" s="653"/>
      <c r="N93" s="659"/>
      <c r="O93" s="659"/>
      <c r="P93" s="659"/>
      <c r="Q93" s="659"/>
      <c r="R93" s="659"/>
      <c r="S93" s="659"/>
      <c r="T93" s="659"/>
      <c r="U93" s="659"/>
      <c r="V93" s="659"/>
      <c r="W93" s="659"/>
      <c r="X93" s="659"/>
      <c r="Y93" s="659"/>
      <c r="Z93" s="659"/>
      <c r="AA93" s="659"/>
      <c r="AB93" s="659"/>
      <c r="AC93" s="659"/>
      <c r="AD93" s="659"/>
      <c r="AE93" s="659"/>
      <c r="AF93" s="659"/>
    </row>
    <row r="94" spans="2:32" x14ac:dyDescent="0.2">
      <c r="B94" s="653"/>
      <c r="C94" s="653"/>
      <c r="D94" s="653"/>
      <c r="E94" s="653"/>
      <c r="F94" s="653"/>
      <c r="G94" s="653"/>
      <c r="H94" s="653"/>
      <c r="I94" s="653"/>
      <c r="J94" s="653"/>
      <c r="K94" s="653"/>
      <c r="L94" s="653"/>
      <c r="N94" s="659"/>
      <c r="O94" s="659"/>
      <c r="P94" s="659"/>
      <c r="Q94" s="659"/>
      <c r="R94" s="659"/>
      <c r="S94" s="659"/>
      <c r="T94" s="659"/>
      <c r="U94" s="659"/>
      <c r="V94" s="659"/>
      <c r="W94" s="659"/>
      <c r="X94" s="659"/>
      <c r="Y94" s="659"/>
      <c r="Z94" s="659"/>
      <c r="AA94" s="659"/>
      <c r="AB94" s="659"/>
      <c r="AC94" s="659"/>
      <c r="AD94" s="659"/>
      <c r="AE94" s="659"/>
      <c r="AF94" s="659"/>
    </row>
    <row r="95" spans="2:32" x14ac:dyDescent="0.2">
      <c r="B95" s="653"/>
      <c r="C95" s="653"/>
      <c r="D95" s="653"/>
      <c r="E95" s="653"/>
      <c r="F95" s="653"/>
      <c r="G95" s="653"/>
      <c r="H95" s="653"/>
      <c r="I95" s="653"/>
      <c r="J95" s="653"/>
      <c r="K95" s="653"/>
      <c r="L95" s="653"/>
      <c r="N95" s="659"/>
      <c r="O95" s="659"/>
      <c r="P95" s="659"/>
      <c r="Q95" s="659"/>
      <c r="R95" s="659"/>
      <c r="S95" s="659"/>
      <c r="T95" s="659"/>
      <c r="U95" s="659"/>
      <c r="V95" s="659"/>
      <c r="W95" s="659"/>
      <c r="X95" s="659"/>
      <c r="Y95" s="659"/>
      <c r="Z95" s="659"/>
      <c r="AA95" s="659"/>
      <c r="AB95" s="659"/>
      <c r="AC95" s="659"/>
      <c r="AD95" s="659"/>
      <c r="AE95" s="659"/>
      <c r="AF95" s="659"/>
    </row>
    <row r="96" spans="2:32" x14ac:dyDescent="0.2">
      <c r="B96" s="653"/>
      <c r="C96" s="653"/>
      <c r="D96" s="653"/>
      <c r="E96" s="653"/>
      <c r="F96" s="653"/>
      <c r="G96" s="653"/>
      <c r="H96" s="653"/>
      <c r="I96" s="653"/>
      <c r="J96" s="653"/>
      <c r="K96" s="653"/>
      <c r="L96" s="653"/>
      <c r="N96" s="659"/>
      <c r="O96" s="659"/>
      <c r="P96" s="659"/>
      <c r="Q96" s="659"/>
      <c r="R96" s="659"/>
      <c r="S96" s="659"/>
      <c r="T96" s="659"/>
      <c r="U96" s="659"/>
      <c r="V96" s="659"/>
      <c r="W96" s="659"/>
      <c r="X96" s="659"/>
      <c r="Y96" s="659"/>
      <c r="Z96" s="659"/>
      <c r="AA96" s="659"/>
      <c r="AB96" s="659"/>
      <c r="AC96" s="659"/>
      <c r="AD96" s="659"/>
      <c r="AE96" s="659"/>
      <c r="AF96" s="659"/>
    </row>
    <row r="97" spans="2:32" x14ac:dyDescent="0.2">
      <c r="B97" s="653"/>
      <c r="C97" s="653"/>
      <c r="D97" s="653"/>
      <c r="E97" s="653"/>
      <c r="F97" s="653"/>
      <c r="G97" s="653"/>
      <c r="H97" s="653"/>
      <c r="I97" s="653"/>
      <c r="J97" s="653"/>
      <c r="K97" s="653"/>
      <c r="L97" s="653"/>
      <c r="N97" s="659"/>
      <c r="O97" s="659"/>
      <c r="P97" s="659"/>
      <c r="Q97" s="659"/>
      <c r="R97" s="659"/>
      <c r="S97" s="659"/>
      <c r="T97" s="659"/>
      <c r="U97" s="659"/>
      <c r="V97" s="659"/>
      <c r="W97" s="659"/>
      <c r="X97" s="659"/>
      <c r="Y97" s="659"/>
      <c r="Z97" s="659"/>
      <c r="AA97" s="659"/>
      <c r="AB97" s="659"/>
      <c r="AC97" s="659"/>
      <c r="AD97" s="659"/>
      <c r="AE97" s="659"/>
      <c r="AF97" s="659"/>
    </row>
    <row r="98" spans="2:32" x14ac:dyDescent="0.2">
      <c r="B98" s="653"/>
      <c r="C98" s="653"/>
      <c r="D98" s="653"/>
      <c r="E98" s="653"/>
      <c r="F98" s="653"/>
      <c r="G98" s="653"/>
      <c r="H98" s="653"/>
      <c r="I98" s="653"/>
      <c r="J98" s="653"/>
      <c r="K98" s="653"/>
      <c r="L98" s="653"/>
      <c r="N98" s="659"/>
      <c r="O98" s="659"/>
      <c r="P98" s="659"/>
      <c r="Q98" s="659"/>
      <c r="R98" s="659"/>
      <c r="S98" s="659"/>
      <c r="T98" s="659"/>
      <c r="U98" s="659"/>
      <c r="V98" s="659"/>
      <c r="W98" s="659"/>
      <c r="X98" s="659"/>
      <c r="Y98" s="659"/>
      <c r="Z98" s="659"/>
      <c r="AA98" s="659"/>
      <c r="AB98" s="659"/>
      <c r="AC98" s="659"/>
      <c r="AD98" s="659"/>
      <c r="AE98" s="659"/>
      <c r="AF98" s="659"/>
    </row>
    <row r="99" spans="2:32" x14ac:dyDescent="0.2">
      <c r="B99" s="653"/>
      <c r="C99" s="653"/>
      <c r="D99" s="653"/>
      <c r="E99" s="653"/>
      <c r="F99" s="653"/>
      <c r="G99" s="653"/>
      <c r="H99" s="653"/>
      <c r="I99" s="653"/>
      <c r="J99" s="653"/>
      <c r="K99" s="653"/>
      <c r="L99" s="653"/>
      <c r="N99" s="659"/>
      <c r="O99" s="659"/>
      <c r="P99" s="659"/>
      <c r="Q99" s="659"/>
      <c r="R99" s="659"/>
      <c r="S99" s="659"/>
      <c r="T99" s="659"/>
      <c r="U99" s="659"/>
      <c r="V99" s="659"/>
      <c r="W99" s="659"/>
      <c r="X99" s="659"/>
      <c r="Y99" s="659"/>
      <c r="Z99" s="659"/>
      <c r="AA99" s="659"/>
      <c r="AB99" s="659"/>
      <c r="AC99" s="659"/>
      <c r="AD99" s="659"/>
      <c r="AE99" s="659"/>
      <c r="AF99" s="659"/>
    </row>
    <row r="100" spans="2:32" x14ac:dyDescent="0.2">
      <c r="B100" s="653"/>
      <c r="C100" s="653"/>
      <c r="D100" s="653"/>
      <c r="E100" s="653"/>
      <c r="F100" s="653"/>
      <c r="G100" s="653"/>
      <c r="H100" s="653"/>
      <c r="I100" s="653"/>
      <c r="J100" s="653"/>
      <c r="K100" s="653"/>
      <c r="L100" s="653"/>
      <c r="N100" s="659"/>
      <c r="O100" s="659"/>
      <c r="P100" s="659"/>
      <c r="Q100" s="659"/>
      <c r="R100" s="659"/>
      <c r="S100" s="659"/>
      <c r="T100" s="659"/>
      <c r="U100" s="659"/>
      <c r="V100" s="659"/>
      <c r="W100" s="659"/>
      <c r="X100" s="659"/>
      <c r="Y100" s="659"/>
      <c r="Z100" s="659"/>
      <c r="AA100" s="659"/>
      <c r="AB100" s="659"/>
      <c r="AC100" s="659"/>
      <c r="AD100" s="659"/>
      <c r="AE100" s="659"/>
      <c r="AF100" s="659"/>
    </row>
    <row r="101" spans="2:32" x14ac:dyDescent="0.2">
      <c r="B101" s="653"/>
      <c r="C101" s="653"/>
      <c r="D101" s="653"/>
      <c r="E101" s="653"/>
      <c r="F101" s="653"/>
      <c r="G101" s="653"/>
      <c r="H101" s="653"/>
      <c r="I101" s="653"/>
      <c r="J101" s="653"/>
      <c r="K101" s="653"/>
      <c r="L101" s="653"/>
      <c r="N101" s="659"/>
      <c r="O101" s="659"/>
      <c r="P101" s="659"/>
      <c r="Q101" s="659"/>
      <c r="R101" s="659"/>
      <c r="S101" s="659"/>
      <c r="T101" s="659"/>
      <c r="U101" s="659"/>
      <c r="V101" s="659"/>
      <c r="W101" s="659"/>
      <c r="X101" s="659"/>
      <c r="Y101" s="659"/>
      <c r="Z101" s="659"/>
      <c r="AA101" s="659"/>
      <c r="AB101" s="659"/>
      <c r="AC101" s="659"/>
      <c r="AD101" s="659"/>
      <c r="AE101" s="659"/>
      <c r="AF101" s="659"/>
    </row>
    <row r="102" spans="2:32" x14ac:dyDescent="0.2">
      <c r="B102" s="653"/>
      <c r="C102" s="653"/>
      <c r="D102" s="653"/>
      <c r="E102" s="653"/>
      <c r="F102" s="653"/>
      <c r="G102" s="653"/>
      <c r="H102" s="653"/>
      <c r="I102" s="653"/>
      <c r="J102" s="653"/>
      <c r="K102" s="653"/>
      <c r="L102" s="653"/>
      <c r="N102" s="659"/>
      <c r="O102" s="659"/>
      <c r="P102" s="659"/>
      <c r="Q102" s="659"/>
      <c r="R102" s="659"/>
      <c r="S102" s="659"/>
      <c r="T102" s="659"/>
      <c r="U102" s="659"/>
      <c r="V102" s="659"/>
      <c r="W102" s="659"/>
      <c r="X102" s="659"/>
      <c r="Y102" s="659"/>
      <c r="Z102" s="659"/>
      <c r="AA102" s="659"/>
      <c r="AB102" s="659"/>
      <c r="AC102" s="659"/>
      <c r="AD102" s="659"/>
      <c r="AE102" s="659"/>
      <c r="AF102" s="659"/>
    </row>
    <row r="103" spans="2:32" x14ac:dyDescent="0.2">
      <c r="B103" s="653"/>
      <c r="C103" s="653"/>
      <c r="D103" s="653"/>
      <c r="E103" s="653"/>
      <c r="F103" s="653"/>
      <c r="G103" s="653"/>
      <c r="H103" s="653"/>
      <c r="I103" s="653"/>
      <c r="J103" s="653"/>
      <c r="K103" s="653"/>
      <c r="L103" s="653"/>
      <c r="N103" s="659"/>
      <c r="O103" s="659"/>
      <c r="P103" s="659"/>
      <c r="Q103" s="659"/>
      <c r="R103" s="659"/>
      <c r="S103" s="659"/>
      <c r="T103" s="659"/>
      <c r="U103" s="659"/>
      <c r="V103" s="659"/>
      <c r="W103" s="659"/>
      <c r="X103" s="659"/>
      <c r="Y103" s="659"/>
      <c r="Z103" s="659"/>
      <c r="AA103" s="659"/>
      <c r="AB103" s="659"/>
      <c r="AC103" s="659"/>
      <c r="AD103" s="659"/>
      <c r="AE103" s="659"/>
      <c r="AF103" s="659"/>
    </row>
    <row r="104" spans="2:32" x14ac:dyDescent="0.2">
      <c r="B104" s="653"/>
      <c r="C104" s="653"/>
      <c r="D104" s="653"/>
      <c r="E104" s="653"/>
      <c r="F104" s="653"/>
      <c r="G104" s="653"/>
      <c r="H104" s="653"/>
      <c r="I104" s="653"/>
      <c r="J104" s="653"/>
      <c r="K104" s="653"/>
      <c r="L104" s="653"/>
      <c r="N104" s="659"/>
      <c r="O104" s="659"/>
      <c r="P104" s="659"/>
      <c r="Q104" s="659"/>
      <c r="R104" s="659"/>
      <c r="S104" s="659"/>
      <c r="T104" s="659"/>
      <c r="U104" s="659"/>
      <c r="V104" s="659"/>
      <c r="W104" s="659"/>
      <c r="X104" s="659"/>
      <c r="Y104" s="659"/>
      <c r="Z104" s="659"/>
      <c r="AA104" s="659"/>
      <c r="AB104" s="659"/>
      <c r="AC104" s="659"/>
      <c r="AD104" s="659"/>
      <c r="AE104" s="659"/>
      <c r="AF104" s="659"/>
    </row>
    <row r="105" spans="2:32" x14ac:dyDescent="0.2">
      <c r="B105" s="653"/>
      <c r="C105" s="653"/>
      <c r="D105" s="653"/>
      <c r="E105" s="653"/>
      <c r="F105" s="653"/>
      <c r="G105" s="653"/>
      <c r="H105" s="653"/>
      <c r="I105" s="653"/>
      <c r="J105" s="653"/>
      <c r="K105" s="653"/>
      <c r="L105" s="653"/>
      <c r="N105" s="659"/>
      <c r="O105" s="659"/>
      <c r="P105" s="659"/>
      <c r="Q105" s="659"/>
      <c r="R105" s="659"/>
      <c r="S105" s="659"/>
      <c r="T105" s="659"/>
      <c r="U105" s="659"/>
      <c r="V105" s="659"/>
      <c r="W105" s="659"/>
      <c r="X105" s="659"/>
      <c r="Y105" s="659"/>
      <c r="Z105" s="659"/>
      <c r="AA105" s="659"/>
      <c r="AB105" s="659"/>
      <c r="AC105" s="659"/>
      <c r="AD105" s="659"/>
      <c r="AE105" s="659"/>
      <c r="AF105" s="659"/>
    </row>
    <row r="106" spans="2:32" x14ac:dyDescent="0.2">
      <c r="B106" s="653"/>
      <c r="C106" s="653"/>
      <c r="D106" s="653"/>
      <c r="E106" s="653"/>
      <c r="F106" s="653"/>
      <c r="G106" s="653"/>
      <c r="H106" s="653"/>
      <c r="I106" s="653"/>
      <c r="J106" s="653"/>
      <c r="K106" s="653"/>
      <c r="L106" s="653"/>
      <c r="N106" s="659"/>
      <c r="O106" s="659"/>
      <c r="P106" s="659"/>
      <c r="Q106" s="659"/>
      <c r="R106" s="659"/>
      <c r="S106" s="659"/>
      <c r="T106" s="659"/>
      <c r="U106" s="659"/>
      <c r="V106" s="659"/>
      <c r="W106" s="659"/>
      <c r="X106" s="659"/>
      <c r="Y106" s="659"/>
      <c r="Z106" s="659"/>
      <c r="AA106" s="659"/>
      <c r="AB106" s="659"/>
      <c r="AC106" s="659"/>
      <c r="AD106" s="659"/>
      <c r="AE106" s="659"/>
      <c r="AF106" s="659"/>
    </row>
    <row r="107" spans="2:32" x14ac:dyDescent="0.2">
      <c r="B107" s="653"/>
      <c r="C107" s="653"/>
      <c r="D107" s="653"/>
      <c r="E107" s="653"/>
      <c r="F107" s="653"/>
      <c r="G107" s="653"/>
      <c r="H107" s="653"/>
      <c r="I107" s="653"/>
      <c r="J107" s="653"/>
      <c r="K107" s="653"/>
      <c r="L107" s="653"/>
      <c r="N107" s="659"/>
      <c r="O107" s="659"/>
      <c r="P107" s="659"/>
      <c r="Q107" s="659"/>
      <c r="R107" s="659"/>
      <c r="S107" s="659"/>
      <c r="T107" s="659"/>
      <c r="U107" s="659"/>
      <c r="V107" s="659"/>
      <c r="W107" s="659"/>
      <c r="X107" s="659"/>
      <c r="Y107" s="659"/>
      <c r="Z107" s="659"/>
      <c r="AA107" s="659"/>
      <c r="AB107" s="659"/>
      <c r="AC107" s="659"/>
      <c r="AD107" s="659"/>
      <c r="AE107" s="659"/>
      <c r="AF107" s="659"/>
    </row>
    <row r="108" spans="2:32" x14ac:dyDescent="0.2">
      <c r="B108" s="653"/>
      <c r="C108" s="653"/>
      <c r="D108" s="653"/>
      <c r="E108" s="653"/>
      <c r="F108" s="653"/>
      <c r="G108" s="653"/>
      <c r="H108" s="653"/>
      <c r="I108" s="653"/>
      <c r="J108" s="653"/>
      <c r="K108" s="653"/>
      <c r="L108" s="653"/>
      <c r="N108" s="659"/>
      <c r="O108" s="659"/>
      <c r="P108" s="659"/>
      <c r="Q108" s="659"/>
      <c r="R108" s="659"/>
      <c r="S108" s="659"/>
      <c r="T108" s="659"/>
      <c r="U108" s="659"/>
      <c r="V108" s="659"/>
      <c r="W108" s="659"/>
      <c r="X108" s="659"/>
      <c r="Y108" s="659"/>
      <c r="Z108" s="659"/>
      <c r="AA108" s="659"/>
      <c r="AB108" s="659"/>
      <c r="AC108" s="659"/>
      <c r="AD108" s="659"/>
      <c r="AE108" s="659"/>
      <c r="AF108" s="659"/>
    </row>
    <row r="109" spans="2:32" x14ac:dyDescent="0.2">
      <c r="B109" s="653"/>
      <c r="C109" s="653"/>
      <c r="D109" s="653"/>
      <c r="E109" s="653"/>
      <c r="F109" s="653"/>
      <c r="G109" s="653"/>
      <c r="H109" s="653"/>
      <c r="I109" s="653"/>
      <c r="J109" s="653"/>
      <c r="K109" s="653"/>
      <c r="L109" s="653"/>
      <c r="N109" s="659"/>
      <c r="O109" s="659"/>
      <c r="P109" s="659"/>
      <c r="Q109" s="659"/>
      <c r="R109" s="659"/>
      <c r="S109" s="659"/>
      <c r="T109" s="659"/>
      <c r="U109" s="659"/>
      <c r="V109" s="659"/>
      <c r="W109" s="659"/>
      <c r="X109" s="659"/>
      <c r="Y109" s="659"/>
      <c r="Z109" s="659"/>
      <c r="AA109" s="659"/>
      <c r="AB109" s="659"/>
      <c r="AC109" s="659"/>
      <c r="AD109" s="659"/>
      <c r="AE109" s="659"/>
      <c r="AF109" s="659"/>
    </row>
    <row r="110" spans="2:32" x14ac:dyDescent="0.2">
      <c r="B110" s="653"/>
      <c r="C110" s="653"/>
      <c r="D110" s="653"/>
      <c r="E110" s="653"/>
      <c r="F110" s="653"/>
      <c r="G110" s="653"/>
      <c r="H110" s="653"/>
      <c r="I110" s="653"/>
      <c r="J110" s="653"/>
      <c r="K110" s="653"/>
      <c r="L110" s="653"/>
      <c r="N110" s="659"/>
      <c r="O110" s="659"/>
      <c r="P110" s="659"/>
      <c r="Q110" s="659"/>
      <c r="R110" s="659"/>
      <c r="S110" s="659"/>
      <c r="T110" s="659"/>
      <c r="U110" s="659"/>
      <c r="V110" s="659"/>
      <c r="W110" s="659"/>
      <c r="X110" s="659"/>
      <c r="Y110" s="659"/>
      <c r="Z110" s="659"/>
      <c r="AA110" s="659"/>
      <c r="AB110" s="659"/>
      <c r="AC110" s="659"/>
      <c r="AD110" s="659"/>
      <c r="AE110" s="659"/>
      <c r="AF110" s="659"/>
    </row>
    <row r="111" spans="2:32" x14ac:dyDescent="0.2">
      <c r="B111" s="653"/>
      <c r="C111" s="653"/>
      <c r="D111" s="653"/>
      <c r="E111" s="653"/>
      <c r="F111" s="653"/>
      <c r="G111" s="653"/>
      <c r="H111" s="653"/>
      <c r="I111" s="653"/>
      <c r="J111" s="653"/>
      <c r="K111" s="653"/>
      <c r="L111" s="653"/>
      <c r="N111" s="659"/>
      <c r="O111" s="659"/>
      <c r="P111" s="659"/>
      <c r="Q111" s="659"/>
      <c r="R111" s="659"/>
      <c r="S111" s="659"/>
      <c r="T111" s="659"/>
      <c r="U111" s="659"/>
      <c r="V111" s="659"/>
      <c r="W111" s="659"/>
      <c r="X111" s="659"/>
      <c r="Y111" s="659"/>
      <c r="Z111" s="659"/>
      <c r="AA111" s="659"/>
      <c r="AB111" s="659"/>
      <c r="AC111" s="659"/>
      <c r="AD111" s="659"/>
      <c r="AE111" s="659"/>
      <c r="AF111" s="659"/>
    </row>
    <row r="112" spans="2:32" x14ac:dyDescent="0.2">
      <c r="B112" s="653"/>
      <c r="C112" s="653"/>
      <c r="D112" s="653"/>
      <c r="E112" s="653"/>
      <c r="F112" s="653"/>
      <c r="G112" s="653"/>
      <c r="H112" s="653"/>
      <c r="I112" s="653"/>
      <c r="J112" s="653"/>
      <c r="K112" s="653"/>
      <c r="L112" s="653"/>
      <c r="N112" s="659"/>
      <c r="O112" s="659"/>
      <c r="P112" s="659"/>
      <c r="Q112" s="659"/>
      <c r="R112" s="659"/>
      <c r="S112" s="659"/>
      <c r="T112" s="659"/>
      <c r="U112" s="659"/>
      <c r="V112" s="659"/>
      <c r="W112" s="659"/>
      <c r="X112" s="659"/>
      <c r="Y112" s="659"/>
      <c r="Z112" s="659"/>
      <c r="AA112" s="659"/>
      <c r="AB112" s="659"/>
      <c r="AC112" s="659"/>
      <c r="AD112" s="659"/>
      <c r="AE112" s="659"/>
      <c r="AF112" s="659"/>
    </row>
    <row r="113" spans="2:32" x14ac:dyDescent="0.2">
      <c r="B113" s="653"/>
      <c r="C113" s="653"/>
      <c r="D113" s="653"/>
      <c r="E113" s="653"/>
      <c r="F113" s="653"/>
      <c r="G113" s="653"/>
      <c r="H113" s="653"/>
      <c r="I113" s="653"/>
      <c r="J113" s="653"/>
      <c r="K113" s="653"/>
      <c r="L113" s="653"/>
      <c r="N113" s="659"/>
      <c r="O113" s="659"/>
      <c r="P113" s="659"/>
      <c r="Q113" s="659"/>
      <c r="R113" s="659"/>
      <c r="S113" s="659"/>
      <c r="T113" s="659"/>
      <c r="U113" s="659"/>
      <c r="V113" s="659"/>
      <c r="W113" s="659"/>
      <c r="X113" s="659"/>
      <c r="Y113" s="659"/>
      <c r="Z113" s="659"/>
      <c r="AA113" s="659"/>
      <c r="AB113" s="659"/>
      <c r="AC113" s="659"/>
      <c r="AD113" s="659"/>
      <c r="AE113" s="659"/>
      <c r="AF113" s="659"/>
    </row>
    <row r="114" spans="2:32" x14ac:dyDescent="0.2">
      <c r="B114" s="653"/>
      <c r="C114" s="653"/>
      <c r="D114" s="653"/>
      <c r="E114" s="653"/>
      <c r="F114" s="653"/>
      <c r="G114" s="653"/>
      <c r="H114" s="653"/>
      <c r="I114" s="653"/>
      <c r="J114" s="653"/>
      <c r="K114" s="653"/>
      <c r="L114" s="653"/>
      <c r="N114" s="659"/>
      <c r="O114" s="659"/>
      <c r="P114" s="659"/>
      <c r="Q114" s="659"/>
      <c r="R114" s="659"/>
      <c r="S114" s="659"/>
      <c r="T114" s="659"/>
      <c r="U114" s="659"/>
      <c r="V114" s="659"/>
      <c r="W114" s="659"/>
      <c r="X114" s="659"/>
      <c r="Y114" s="659"/>
      <c r="Z114" s="659"/>
      <c r="AA114" s="659"/>
      <c r="AB114" s="659"/>
      <c r="AC114" s="659"/>
      <c r="AD114" s="659"/>
      <c r="AE114" s="659"/>
      <c r="AF114" s="659"/>
    </row>
    <row r="115" spans="2:32" x14ac:dyDescent="0.2">
      <c r="B115" s="653"/>
      <c r="C115" s="653"/>
      <c r="D115" s="653"/>
      <c r="E115" s="653"/>
      <c r="F115" s="653"/>
      <c r="G115" s="653"/>
      <c r="H115" s="653"/>
      <c r="I115" s="653"/>
      <c r="J115" s="653"/>
      <c r="K115" s="653"/>
      <c r="L115" s="653"/>
      <c r="N115" s="659"/>
      <c r="O115" s="659"/>
      <c r="P115" s="659"/>
      <c r="Q115" s="659"/>
      <c r="R115" s="659"/>
      <c r="S115" s="659"/>
      <c r="T115" s="659"/>
      <c r="U115" s="659"/>
      <c r="V115" s="659"/>
      <c r="W115" s="659"/>
      <c r="X115" s="659"/>
      <c r="Y115" s="659"/>
      <c r="Z115" s="659"/>
      <c r="AA115" s="659"/>
      <c r="AB115" s="659"/>
      <c r="AC115" s="659"/>
      <c r="AD115" s="659"/>
      <c r="AE115" s="659"/>
      <c r="AF115" s="659"/>
    </row>
    <row r="116" spans="2:32" x14ac:dyDescent="0.2">
      <c r="B116" s="653"/>
      <c r="C116" s="653"/>
      <c r="D116" s="653"/>
      <c r="E116" s="653"/>
      <c r="F116" s="653"/>
      <c r="G116" s="653"/>
      <c r="H116" s="653"/>
      <c r="I116" s="653"/>
      <c r="J116" s="653"/>
      <c r="K116" s="653"/>
      <c r="L116" s="653"/>
      <c r="N116" s="659"/>
      <c r="O116" s="659"/>
      <c r="P116" s="659"/>
      <c r="Q116" s="659"/>
      <c r="R116" s="659"/>
      <c r="S116" s="659"/>
      <c r="T116" s="659"/>
      <c r="U116" s="659"/>
      <c r="V116" s="659"/>
      <c r="W116" s="659"/>
      <c r="X116" s="659"/>
      <c r="Y116" s="659"/>
      <c r="Z116" s="659"/>
      <c r="AA116" s="659"/>
      <c r="AB116" s="659"/>
      <c r="AC116" s="659"/>
      <c r="AD116" s="659"/>
      <c r="AE116" s="659"/>
      <c r="AF116" s="659"/>
    </row>
    <row r="117" spans="2:32" x14ac:dyDescent="0.2">
      <c r="B117" s="653"/>
      <c r="C117" s="653"/>
      <c r="D117" s="653"/>
      <c r="E117" s="653"/>
      <c r="F117" s="653"/>
      <c r="G117" s="653"/>
      <c r="H117" s="653"/>
      <c r="I117" s="653"/>
      <c r="J117" s="653"/>
      <c r="K117" s="653"/>
      <c r="L117" s="653"/>
      <c r="N117" s="659"/>
      <c r="O117" s="659"/>
      <c r="P117" s="659"/>
      <c r="Q117" s="659"/>
      <c r="R117" s="659"/>
      <c r="S117" s="659"/>
      <c r="T117" s="659"/>
      <c r="U117" s="659"/>
      <c r="V117" s="659"/>
      <c r="W117" s="659"/>
      <c r="X117" s="659"/>
      <c r="Y117" s="659"/>
      <c r="Z117" s="659"/>
      <c r="AA117" s="659"/>
      <c r="AB117" s="659"/>
      <c r="AC117" s="659"/>
      <c r="AD117" s="659"/>
      <c r="AE117" s="659"/>
      <c r="AF117" s="659"/>
    </row>
    <row r="118" spans="2:32" x14ac:dyDescent="0.2">
      <c r="B118" s="653"/>
      <c r="C118" s="653"/>
      <c r="D118" s="653"/>
      <c r="E118" s="653"/>
      <c r="F118" s="653"/>
      <c r="G118" s="653"/>
      <c r="H118" s="653"/>
      <c r="I118" s="653"/>
      <c r="J118" s="653"/>
      <c r="K118" s="653"/>
      <c r="L118" s="653"/>
      <c r="N118" s="659"/>
      <c r="O118" s="659"/>
      <c r="P118" s="659"/>
      <c r="Q118" s="659"/>
      <c r="R118" s="659"/>
      <c r="S118" s="659"/>
      <c r="T118" s="659"/>
      <c r="U118" s="659"/>
      <c r="V118" s="659"/>
      <c r="W118" s="659"/>
      <c r="X118" s="659"/>
      <c r="Y118" s="659"/>
      <c r="Z118" s="659"/>
      <c r="AA118" s="659"/>
      <c r="AB118" s="659"/>
      <c r="AC118" s="659"/>
      <c r="AD118" s="659"/>
      <c r="AE118" s="659"/>
      <c r="AF118" s="659"/>
    </row>
    <row r="119" spans="2:32" x14ac:dyDescent="0.2">
      <c r="B119" s="653"/>
      <c r="C119" s="653"/>
      <c r="D119" s="653"/>
      <c r="E119" s="653"/>
      <c r="F119" s="653"/>
      <c r="G119" s="653"/>
      <c r="H119" s="653"/>
      <c r="I119" s="653"/>
      <c r="J119" s="653"/>
      <c r="K119" s="653"/>
      <c r="L119" s="653"/>
      <c r="N119" s="659"/>
      <c r="O119" s="659"/>
      <c r="P119" s="659"/>
      <c r="Q119" s="659"/>
      <c r="R119" s="659"/>
      <c r="S119" s="659"/>
      <c r="T119" s="659"/>
      <c r="U119" s="659"/>
      <c r="V119" s="659"/>
      <c r="W119" s="659"/>
      <c r="X119" s="659"/>
      <c r="Y119" s="659"/>
      <c r="Z119" s="659"/>
      <c r="AA119" s="659"/>
      <c r="AB119" s="659"/>
      <c r="AC119" s="659"/>
      <c r="AD119" s="659"/>
      <c r="AE119" s="659"/>
      <c r="AF119" s="659"/>
    </row>
    <row r="120" spans="2:32" x14ac:dyDescent="0.2">
      <c r="B120" s="653"/>
      <c r="C120" s="653"/>
      <c r="D120" s="653"/>
      <c r="E120" s="653"/>
      <c r="F120" s="653"/>
      <c r="G120" s="653"/>
      <c r="H120" s="653"/>
      <c r="I120" s="653"/>
      <c r="J120" s="653"/>
      <c r="K120" s="653"/>
      <c r="L120" s="653"/>
      <c r="N120" s="659"/>
      <c r="O120" s="659"/>
      <c r="P120" s="659"/>
      <c r="Q120" s="659"/>
      <c r="R120" s="659"/>
      <c r="S120" s="659"/>
      <c r="T120" s="659"/>
      <c r="U120" s="659"/>
      <c r="V120" s="659"/>
      <c r="W120" s="659"/>
      <c r="X120" s="659"/>
      <c r="Y120" s="659"/>
      <c r="Z120" s="659"/>
      <c r="AA120" s="659"/>
      <c r="AB120" s="659"/>
      <c r="AC120" s="659"/>
      <c r="AD120" s="659"/>
      <c r="AE120" s="659"/>
      <c r="AF120" s="659"/>
    </row>
    <row r="121" spans="2:32" x14ac:dyDescent="0.2">
      <c r="B121" s="653"/>
      <c r="C121" s="653"/>
      <c r="D121" s="653"/>
      <c r="E121" s="653"/>
      <c r="F121" s="653"/>
      <c r="G121" s="653"/>
      <c r="H121" s="653"/>
      <c r="I121" s="653"/>
      <c r="J121" s="653"/>
      <c r="K121" s="653"/>
      <c r="L121" s="653"/>
      <c r="N121" s="659"/>
      <c r="O121" s="659"/>
      <c r="P121" s="659"/>
      <c r="Q121" s="659"/>
      <c r="R121" s="659"/>
      <c r="S121" s="659"/>
      <c r="T121" s="659"/>
      <c r="U121" s="659"/>
      <c r="V121" s="659"/>
      <c r="W121" s="659"/>
      <c r="X121" s="659"/>
      <c r="Y121" s="659"/>
      <c r="Z121" s="659"/>
      <c r="AA121" s="659"/>
      <c r="AB121" s="659"/>
      <c r="AC121" s="659"/>
      <c r="AD121" s="659"/>
      <c r="AE121" s="659"/>
      <c r="AF121" s="659"/>
    </row>
    <row r="122" spans="2:32" x14ac:dyDescent="0.2">
      <c r="B122" s="653"/>
      <c r="C122" s="653"/>
      <c r="D122" s="653"/>
      <c r="E122" s="653"/>
      <c r="F122" s="653"/>
      <c r="G122" s="653"/>
      <c r="H122" s="653"/>
      <c r="I122" s="653"/>
      <c r="J122" s="653"/>
      <c r="K122" s="653"/>
      <c r="L122" s="653"/>
      <c r="N122" s="659"/>
      <c r="O122" s="659"/>
      <c r="P122" s="659"/>
      <c r="Q122" s="659"/>
      <c r="R122" s="659"/>
      <c r="S122" s="659"/>
      <c r="T122" s="659"/>
      <c r="U122" s="659"/>
      <c r="V122" s="659"/>
      <c r="W122" s="659"/>
      <c r="X122" s="659"/>
      <c r="Y122" s="659"/>
      <c r="Z122" s="659"/>
      <c r="AA122" s="659"/>
      <c r="AB122" s="659"/>
      <c r="AC122" s="659"/>
      <c r="AD122" s="659"/>
      <c r="AE122" s="659"/>
      <c r="AF122" s="659"/>
    </row>
    <row r="123" spans="2:32" x14ac:dyDescent="0.2">
      <c r="B123" s="653"/>
      <c r="C123" s="653"/>
      <c r="D123" s="653"/>
      <c r="E123" s="653"/>
      <c r="F123" s="653"/>
      <c r="G123" s="653"/>
      <c r="H123" s="653"/>
      <c r="I123" s="653"/>
      <c r="J123" s="653"/>
      <c r="K123" s="653"/>
      <c r="L123" s="653"/>
      <c r="N123" s="659"/>
      <c r="O123" s="659"/>
      <c r="P123" s="659"/>
      <c r="Q123" s="659"/>
      <c r="R123" s="659"/>
      <c r="S123" s="659"/>
      <c r="T123" s="659"/>
      <c r="U123" s="659"/>
      <c r="V123" s="659"/>
      <c r="W123" s="659"/>
      <c r="X123" s="659"/>
      <c r="Y123" s="659"/>
      <c r="Z123" s="659"/>
      <c r="AA123" s="659"/>
      <c r="AB123" s="659"/>
      <c r="AC123" s="659"/>
      <c r="AD123" s="659"/>
      <c r="AE123" s="659"/>
      <c r="AF123" s="659"/>
    </row>
    <row r="124" spans="2:32" x14ac:dyDescent="0.2">
      <c r="B124" s="653"/>
      <c r="C124" s="653"/>
      <c r="D124" s="653"/>
      <c r="E124" s="653"/>
      <c r="F124" s="653"/>
      <c r="G124" s="653"/>
      <c r="H124" s="653"/>
      <c r="I124" s="653"/>
      <c r="J124" s="653"/>
      <c r="K124" s="653"/>
      <c r="L124" s="653"/>
      <c r="N124" s="659"/>
      <c r="O124" s="659"/>
      <c r="P124" s="659"/>
      <c r="Q124" s="659"/>
      <c r="R124" s="659"/>
      <c r="S124" s="659"/>
      <c r="T124" s="659"/>
      <c r="U124" s="659"/>
      <c r="V124" s="659"/>
      <c r="W124" s="659"/>
      <c r="X124" s="659"/>
      <c r="Y124" s="659"/>
      <c r="Z124" s="659"/>
      <c r="AA124" s="659"/>
      <c r="AB124" s="659"/>
      <c r="AC124" s="659"/>
      <c r="AD124" s="659"/>
      <c r="AE124" s="659"/>
      <c r="AF124" s="659"/>
    </row>
    <row r="125" spans="2:32" x14ac:dyDescent="0.2">
      <c r="B125" s="653"/>
      <c r="C125" s="653"/>
      <c r="D125" s="653"/>
      <c r="E125" s="653"/>
      <c r="F125" s="653"/>
      <c r="G125" s="653"/>
      <c r="H125" s="653"/>
      <c r="I125" s="653"/>
      <c r="J125" s="653"/>
      <c r="K125" s="653"/>
      <c r="L125" s="653"/>
      <c r="N125" s="659"/>
      <c r="O125" s="659"/>
      <c r="P125" s="659"/>
      <c r="Q125" s="659"/>
      <c r="R125" s="659"/>
      <c r="S125" s="659"/>
      <c r="T125" s="659"/>
      <c r="U125" s="659"/>
      <c r="V125" s="659"/>
      <c r="W125" s="659"/>
      <c r="X125" s="659"/>
      <c r="Y125" s="659"/>
      <c r="Z125" s="659"/>
      <c r="AA125" s="659"/>
      <c r="AB125" s="659"/>
      <c r="AC125" s="659"/>
      <c r="AD125" s="659"/>
      <c r="AE125" s="659"/>
      <c r="AF125" s="659"/>
    </row>
    <row r="126" spans="2:32" x14ac:dyDescent="0.2">
      <c r="B126" s="653"/>
      <c r="C126" s="653"/>
      <c r="D126" s="653"/>
      <c r="E126" s="653"/>
      <c r="F126" s="653"/>
      <c r="G126" s="653"/>
      <c r="H126" s="653"/>
      <c r="I126" s="653"/>
      <c r="J126" s="653"/>
      <c r="K126" s="653"/>
      <c r="L126" s="653"/>
      <c r="N126" s="659"/>
      <c r="O126" s="659"/>
      <c r="P126" s="659"/>
      <c r="Q126" s="659"/>
      <c r="R126" s="659"/>
      <c r="S126" s="659"/>
      <c r="T126" s="659"/>
      <c r="U126" s="659"/>
      <c r="V126" s="659"/>
      <c r="W126" s="659"/>
      <c r="X126" s="659"/>
      <c r="Y126" s="659"/>
      <c r="Z126" s="659"/>
      <c r="AA126" s="659"/>
      <c r="AB126" s="659"/>
      <c r="AC126" s="659"/>
      <c r="AD126" s="659"/>
      <c r="AE126" s="659"/>
      <c r="AF126" s="659"/>
    </row>
    <row r="127" spans="2:32" x14ac:dyDescent="0.2">
      <c r="B127" s="653"/>
      <c r="C127" s="653"/>
      <c r="D127" s="653"/>
      <c r="E127" s="653"/>
      <c r="F127" s="653"/>
      <c r="G127" s="653"/>
      <c r="H127" s="653"/>
      <c r="I127" s="653"/>
      <c r="J127" s="653"/>
      <c r="K127" s="653"/>
      <c r="L127" s="653"/>
      <c r="N127" s="659"/>
      <c r="O127" s="659"/>
      <c r="P127" s="659"/>
      <c r="Q127" s="659"/>
      <c r="R127" s="659"/>
      <c r="S127" s="659"/>
      <c r="T127" s="659"/>
      <c r="U127" s="659"/>
      <c r="V127" s="659"/>
      <c r="W127" s="659"/>
      <c r="X127" s="659"/>
      <c r="Y127" s="659"/>
      <c r="Z127" s="659"/>
      <c r="AA127" s="659"/>
      <c r="AB127" s="659"/>
      <c r="AC127" s="659"/>
      <c r="AD127" s="659"/>
      <c r="AE127" s="659"/>
      <c r="AF127" s="659"/>
    </row>
    <row r="128" spans="2:32" x14ac:dyDescent="0.2">
      <c r="B128" s="653"/>
      <c r="C128" s="653"/>
      <c r="D128" s="653"/>
      <c r="E128" s="653"/>
      <c r="F128" s="653"/>
      <c r="G128" s="653"/>
      <c r="H128" s="653"/>
      <c r="I128" s="653"/>
      <c r="J128" s="653"/>
      <c r="K128" s="653"/>
      <c r="L128" s="653"/>
      <c r="N128" s="659"/>
      <c r="O128" s="659"/>
      <c r="P128" s="659"/>
      <c r="Q128" s="659"/>
      <c r="R128" s="659"/>
      <c r="S128" s="659"/>
      <c r="T128" s="659"/>
      <c r="U128" s="659"/>
      <c r="V128" s="659"/>
      <c r="W128" s="659"/>
      <c r="X128" s="659"/>
      <c r="Y128" s="659"/>
      <c r="Z128" s="659"/>
      <c r="AA128" s="659"/>
      <c r="AB128" s="659"/>
      <c r="AC128" s="659"/>
      <c r="AD128" s="659"/>
      <c r="AE128" s="659"/>
      <c r="AF128" s="659"/>
    </row>
    <row r="129" spans="2:32" x14ac:dyDescent="0.2">
      <c r="B129" s="653"/>
      <c r="C129" s="653"/>
      <c r="D129" s="653"/>
      <c r="E129" s="653"/>
      <c r="F129" s="653"/>
      <c r="G129" s="653"/>
      <c r="H129" s="653"/>
      <c r="I129" s="653"/>
      <c r="J129" s="653"/>
      <c r="K129" s="653"/>
      <c r="L129" s="653"/>
      <c r="N129" s="659"/>
      <c r="O129" s="659"/>
      <c r="P129" s="659"/>
      <c r="Q129" s="659"/>
      <c r="R129" s="659"/>
      <c r="S129" s="659"/>
      <c r="T129" s="659"/>
      <c r="U129" s="659"/>
      <c r="V129" s="659"/>
      <c r="W129" s="659"/>
      <c r="X129" s="659"/>
      <c r="Y129" s="659"/>
      <c r="Z129" s="659"/>
      <c r="AA129" s="659"/>
      <c r="AB129" s="659"/>
      <c r="AC129" s="659"/>
      <c r="AD129" s="659"/>
      <c r="AE129" s="659"/>
      <c r="AF129" s="659"/>
    </row>
    <row r="130" spans="2:32" x14ac:dyDescent="0.2">
      <c r="B130" s="653"/>
      <c r="C130" s="653"/>
      <c r="D130" s="653"/>
      <c r="E130" s="653"/>
      <c r="F130" s="653"/>
      <c r="G130" s="653"/>
      <c r="H130" s="653"/>
      <c r="I130" s="653"/>
      <c r="J130" s="653"/>
      <c r="K130" s="653"/>
      <c r="L130" s="653"/>
      <c r="N130" s="659"/>
      <c r="O130" s="659"/>
      <c r="P130" s="659"/>
      <c r="Q130" s="659"/>
      <c r="R130" s="659"/>
      <c r="S130" s="659"/>
      <c r="T130" s="659"/>
      <c r="U130" s="659"/>
      <c r="V130" s="659"/>
      <c r="W130" s="659"/>
      <c r="X130" s="659"/>
      <c r="Y130" s="659"/>
      <c r="Z130" s="659"/>
      <c r="AA130" s="659"/>
      <c r="AB130" s="659"/>
      <c r="AC130" s="659"/>
      <c r="AD130" s="659"/>
      <c r="AE130" s="659"/>
      <c r="AF130" s="659"/>
    </row>
    <row r="131" spans="2:32" x14ac:dyDescent="0.2">
      <c r="B131" s="653"/>
      <c r="C131" s="653"/>
      <c r="D131" s="653"/>
      <c r="E131" s="653"/>
      <c r="F131" s="653"/>
      <c r="G131" s="653"/>
      <c r="H131" s="653"/>
      <c r="I131" s="653"/>
      <c r="J131" s="653"/>
      <c r="K131" s="653"/>
      <c r="L131" s="653"/>
      <c r="N131" s="659"/>
      <c r="O131" s="659"/>
      <c r="P131" s="659"/>
      <c r="Q131" s="659"/>
      <c r="R131" s="659"/>
      <c r="S131" s="659"/>
      <c r="T131" s="659"/>
      <c r="U131" s="659"/>
      <c r="V131" s="659"/>
      <c r="W131" s="659"/>
      <c r="X131" s="659"/>
      <c r="Y131" s="659"/>
      <c r="Z131" s="659"/>
      <c r="AA131" s="659"/>
      <c r="AB131" s="659"/>
      <c r="AC131" s="659"/>
      <c r="AD131" s="659"/>
      <c r="AE131" s="659"/>
      <c r="AF131" s="659"/>
    </row>
    <row r="132" spans="2:32" x14ac:dyDescent="0.2">
      <c r="B132" s="653"/>
      <c r="C132" s="653"/>
      <c r="D132" s="653"/>
      <c r="E132" s="653"/>
      <c r="F132" s="653"/>
      <c r="G132" s="653"/>
      <c r="H132" s="653"/>
      <c r="I132" s="653"/>
      <c r="J132" s="653"/>
      <c r="K132" s="653"/>
      <c r="L132" s="653"/>
      <c r="N132" s="659"/>
      <c r="O132" s="659"/>
      <c r="P132" s="659"/>
      <c r="Q132" s="659"/>
      <c r="R132" s="659"/>
      <c r="S132" s="659"/>
      <c r="T132" s="659"/>
      <c r="U132" s="659"/>
      <c r="V132" s="659"/>
      <c r="W132" s="659"/>
      <c r="X132" s="659"/>
      <c r="Y132" s="659"/>
      <c r="Z132" s="659"/>
      <c r="AA132" s="659"/>
      <c r="AB132" s="659"/>
      <c r="AC132" s="659"/>
      <c r="AD132" s="659"/>
      <c r="AE132" s="659"/>
      <c r="AF132" s="659"/>
    </row>
    <row r="133" spans="2:32" x14ac:dyDescent="0.2">
      <c r="B133" s="653"/>
      <c r="C133" s="653"/>
      <c r="D133" s="653"/>
      <c r="E133" s="653"/>
      <c r="F133" s="653"/>
      <c r="G133" s="653"/>
      <c r="H133" s="653"/>
      <c r="I133" s="653"/>
      <c r="J133" s="653"/>
      <c r="K133" s="653"/>
      <c r="L133" s="653"/>
      <c r="N133" s="659"/>
      <c r="O133" s="659"/>
      <c r="P133" s="659"/>
      <c r="Q133" s="659"/>
      <c r="R133" s="659"/>
      <c r="S133" s="659"/>
      <c r="T133" s="659"/>
      <c r="U133" s="659"/>
      <c r="V133" s="659"/>
      <c r="W133" s="659"/>
      <c r="X133" s="659"/>
      <c r="Y133" s="659"/>
      <c r="Z133" s="659"/>
      <c r="AA133" s="659"/>
      <c r="AB133" s="659"/>
      <c r="AC133" s="659"/>
      <c r="AD133" s="659"/>
      <c r="AE133" s="659"/>
      <c r="AF133" s="659"/>
    </row>
    <row r="134" spans="2:32" x14ac:dyDescent="0.2">
      <c r="B134" s="653"/>
      <c r="C134" s="653"/>
      <c r="D134" s="653"/>
      <c r="E134" s="653"/>
      <c r="F134" s="653"/>
      <c r="G134" s="653"/>
      <c r="H134" s="653"/>
      <c r="I134" s="653"/>
      <c r="J134" s="653"/>
      <c r="K134" s="653"/>
      <c r="L134" s="653"/>
      <c r="N134" s="659"/>
      <c r="O134" s="659"/>
      <c r="P134" s="659"/>
      <c r="Q134" s="659"/>
      <c r="R134" s="659"/>
      <c r="S134" s="659"/>
      <c r="T134" s="659"/>
      <c r="U134" s="659"/>
      <c r="V134" s="659"/>
      <c r="W134" s="659"/>
      <c r="X134" s="659"/>
      <c r="Y134" s="659"/>
      <c r="Z134" s="659"/>
      <c r="AA134" s="659"/>
      <c r="AB134" s="659"/>
      <c r="AC134" s="659"/>
      <c r="AD134" s="659"/>
      <c r="AE134" s="659"/>
      <c r="AF134" s="659"/>
    </row>
    <row r="135" spans="2:32" x14ac:dyDescent="0.2">
      <c r="B135" s="653"/>
      <c r="C135" s="653"/>
      <c r="D135" s="653"/>
      <c r="E135" s="653"/>
      <c r="F135" s="653"/>
      <c r="G135" s="653"/>
      <c r="H135" s="653"/>
      <c r="I135" s="653"/>
      <c r="J135" s="653"/>
      <c r="K135" s="653"/>
      <c r="L135" s="653"/>
      <c r="N135" s="659"/>
      <c r="O135" s="659"/>
      <c r="P135" s="659"/>
      <c r="Q135" s="659"/>
      <c r="R135" s="659"/>
      <c r="S135" s="659"/>
      <c r="T135" s="659"/>
      <c r="U135" s="659"/>
      <c r="V135" s="659"/>
      <c r="W135" s="659"/>
      <c r="X135" s="659"/>
      <c r="Y135" s="659"/>
      <c r="Z135" s="659"/>
      <c r="AA135" s="659"/>
      <c r="AB135" s="659"/>
      <c r="AC135" s="659"/>
      <c r="AD135" s="659"/>
      <c r="AE135" s="659"/>
      <c r="AF135" s="659"/>
    </row>
    <row r="136" spans="2:32" x14ac:dyDescent="0.2">
      <c r="B136" s="653"/>
      <c r="C136" s="653"/>
      <c r="D136" s="653"/>
      <c r="E136" s="653"/>
      <c r="F136" s="653"/>
      <c r="G136" s="653"/>
      <c r="H136" s="653"/>
      <c r="I136" s="653"/>
      <c r="J136" s="653"/>
      <c r="K136" s="653"/>
      <c r="L136" s="653"/>
      <c r="N136" s="659"/>
      <c r="O136" s="659"/>
      <c r="P136" s="659"/>
      <c r="Q136" s="659"/>
      <c r="R136" s="659"/>
      <c r="S136" s="659"/>
      <c r="T136" s="659"/>
      <c r="U136" s="659"/>
      <c r="V136" s="659"/>
      <c r="W136" s="659"/>
      <c r="X136" s="659"/>
      <c r="Y136" s="659"/>
      <c r="Z136" s="659"/>
      <c r="AA136" s="659"/>
      <c r="AB136" s="659"/>
      <c r="AC136" s="659"/>
      <c r="AD136" s="659"/>
      <c r="AE136" s="659"/>
      <c r="AF136" s="659"/>
    </row>
    <row r="137" spans="2:32" x14ac:dyDescent="0.2">
      <c r="B137" s="653"/>
      <c r="C137" s="653"/>
      <c r="D137" s="653"/>
      <c r="E137" s="653"/>
      <c r="F137" s="653"/>
      <c r="G137" s="653"/>
      <c r="H137" s="653"/>
      <c r="I137" s="653"/>
      <c r="J137" s="653"/>
      <c r="K137" s="653"/>
      <c r="L137" s="653"/>
      <c r="N137" s="659"/>
      <c r="O137" s="659"/>
      <c r="P137" s="659"/>
      <c r="Q137" s="659"/>
      <c r="R137" s="659"/>
      <c r="S137" s="659"/>
      <c r="T137" s="659"/>
      <c r="U137" s="659"/>
      <c r="V137" s="659"/>
      <c r="W137" s="659"/>
      <c r="X137" s="659"/>
      <c r="Y137" s="659"/>
      <c r="Z137" s="659"/>
      <c r="AA137" s="659"/>
      <c r="AB137" s="659"/>
      <c r="AC137" s="659"/>
      <c r="AD137" s="659"/>
      <c r="AE137" s="659"/>
      <c r="AF137" s="659"/>
    </row>
    <row r="138" spans="2:32" x14ac:dyDescent="0.2">
      <c r="B138" s="653"/>
      <c r="C138" s="653"/>
      <c r="D138" s="653"/>
      <c r="E138" s="653"/>
      <c r="F138" s="653"/>
      <c r="G138" s="653"/>
      <c r="H138" s="653"/>
      <c r="I138" s="653"/>
      <c r="J138" s="653"/>
      <c r="K138" s="653"/>
      <c r="L138" s="653"/>
      <c r="N138" s="659"/>
      <c r="O138" s="659"/>
      <c r="P138" s="659"/>
      <c r="Q138" s="659"/>
      <c r="R138" s="659"/>
      <c r="S138" s="659"/>
      <c r="T138" s="659"/>
      <c r="U138" s="659"/>
      <c r="V138" s="659"/>
      <c r="W138" s="659"/>
      <c r="X138" s="659"/>
      <c r="Y138" s="659"/>
      <c r="Z138" s="659"/>
      <c r="AA138" s="659"/>
      <c r="AB138" s="659"/>
      <c r="AC138" s="659"/>
      <c r="AD138" s="659"/>
      <c r="AE138" s="659"/>
      <c r="AF138" s="659"/>
    </row>
    <row r="139" spans="2:32" x14ac:dyDescent="0.2">
      <c r="B139" s="653"/>
      <c r="C139" s="653"/>
      <c r="D139" s="653"/>
      <c r="E139" s="653"/>
      <c r="F139" s="653"/>
      <c r="G139" s="653"/>
      <c r="H139" s="653"/>
      <c r="I139" s="653"/>
      <c r="J139" s="653"/>
      <c r="K139" s="653"/>
      <c r="L139" s="653"/>
      <c r="N139" s="659"/>
      <c r="O139" s="659"/>
      <c r="P139" s="659"/>
      <c r="Q139" s="659"/>
      <c r="R139" s="659"/>
      <c r="S139" s="659"/>
      <c r="T139" s="659"/>
      <c r="U139" s="659"/>
      <c r="V139" s="659"/>
      <c r="W139" s="659"/>
      <c r="X139" s="659"/>
      <c r="Y139" s="659"/>
      <c r="Z139" s="659"/>
      <c r="AA139" s="659"/>
      <c r="AB139" s="659"/>
      <c r="AC139" s="659"/>
      <c r="AD139" s="659"/>
      <c r="AE139" s="659"/>
      <c r="AF139" s="659"/>
    </row>
    <row r="140" spans="2:32" x14ac:dyDescent="0.2">
      <c r="B140" s="653"/>
      <c r="C140" s="653"/>
      <c r="D140" s="653"/>
      <c r="E140" s="653"/>
      <c r="F140" s="653"/>
      <c r="G140" s="653"/>
      <c r="H140" s="653"/>
      <c r="I140" s="653"/>
      <c r="J140" s="653"/>
      <c r="K140" s="653"/>
      <c r="L140" s="653"/>
      <c r="N140" s="659"/>
      <c r="O140" s="659"/>
      <c r="P140" s="659"/>
      <c r="Q140" s="659"/>
      <c r="R140" s="659"/>
      <c r="S140" s="659"/>
      <c r="T140" s="659"/>
      <c r="U140" s="659"/>
      <c r="V140" s="659"/>
      <c r="W140" s="659"/>
      <c r="X140" s="659"/>
      <c r="Y140" s="659"/>
      <c r="Z140" s="659"/>
      <c r="AA140" s="659"/>
      <c r="AB140" s="659"/>
      <c r="AC140" s="659"/>
      <c r="AD140" s="659"/>
      <c r="AE140" s="659"/>
      <c r="AF140" s="659"/>
    </row>
    <row r="141" spans="2:32" x14ac:dyDescent="0.2">
      <c r="B141" s="653"/>
      <c r="C141" s="653"/>
      <c r="D141" s="653"/>
      <c r="E141" s="653"/>
      <c r="F141" s="653"/>
      <c r="G141" s="653"/>
      <c r="H141" s="653"/>
      <c r="I141" s="653"/>
      <c r="J141" s="653"/>
      <c r="K141" s="653"/>
      <c r="L141" s="653"/>
      <c r="N141" s="659"/>
      <c r="O141" s="659"/>
      <c r="P141" s="659"/>
      <c r="Q141" s="659"/>
      <c r="R141" s="659"/>
      <c r="S141" s="659"/>
      <c r="T141" s="659"/>
      <c r="U141" s="659"/>
      <c r="V141" s="659"/>
      <c r="W141" s="659"/>
      <c r="X141" s="659"/>
      <c r="Y141" s="659"/>
      <c r="Z141" s="659"/>
      <c r="AA141" s="659"/>
      <c r="AB141" s="659"/>
      <c r="AC141" s="659"/>
      <c r="AD141" s="659"/>
      <c r="AE141" s="659"/>
      <c r="AF141" s="659"/>
    </row>
    <row r="142" spans="2:32" x14ac:dyDescent="0.2">
      <c r="B142" s="653"/>
      <c r="C142" s="653"/>
      <c r="D142" s="653"/>
      <c r="E142" s="653"/>
      <c r="F142" s="653"/>
      <c r="G142" s="653"/>
      <c r="H142" s="653"/>
      <c r="I142" s="653"/>
      <c r="J142" s="653"/>
      <c r="K142" s="653"/>
      <c r="L142" s="653"/>
      <c r="N142" s="659"/>
      <c r="O142" s="659"/>
      <c r="P142" s="659"/>
      <c r="Q142" s="659"/>
      <c r="R142" s="659"/>
      <c r="S142" s="659"/>
      <c r="T142" s="659"/>
      <c r="U142" s="659"/>
      <c r="V142" s="659"/>
      <c r="W142" s="659"/>
      <c r="X142" s="659"/>
      <c r="Y142" s="659"/>
      <c r="Z142" s="659"/>
      <c r="AA142" s="659"/>
      <c r="AB142" s="659"/>
      <c r="AC142" s="659"/>
      <c r="AD142" s="659"/>
      <c r="AE142" s="659"/>
      <c r="AF142" s="659"/>
    </row>
    <row r="143" spans="2:32" x14ac:dyDescent="0.2">
      <c r="B143" s="653"/>
      <c r="C143" s="653"/>
      <c r="D143" s="653"/>
      <c r="E143" s="653"/>
      <c r="F143" s="653"/>
      <c r="G143" s="653"/>
      <c r="H143" s="653"/>
      <c r="I143" s="653"/>
      <c r="J143" s="653"/>
      <c r="K143" s="653"/>
      <c r="L143" s="653"/>
      <c r="N143" s="659"/>
      <c r="O143" s="659"/>
      <c r="P143" s="659"/>
      <c r="Q143" s="659"/>
      <c r="R143" s="659"/>
      <c r="S143" s="659"/>
      <c r="T143" s="659"/>
      <c r="U143" s="659"/>
      <c r="V143" s="659"/>
      <c r="W143" s="659"/>
      <c r="X143" s="659"/>
      <c r="Y143" s="659"/>
      <c r="Z143" s="659"/>
      <c r="AA143" s="659"/>
      <c r="AB143" s="659"/>
      <c r="AC143" s="659"/>
      <c r="AD143" s="659"/>
      <c r="AE143" s="659"/>
      <c r="AF143" s="659"/>
    </row>
    <row r="144" spans="2:32" x14ac:dyDescent="0.2">
      <c r="B144" s="653"/>
      <c r="C144" s="653"/>
      <c r="D144" s="653"/>
      <c r="E144" s="653"/>
      <c r="F144" s="653"/>
      <c r="G144" s="653"/>
      <c r="H144" s="653"/>
      <c r="I144" s="653"/>
      <c r="J144" s="653"/>
      <c r="K144" s="653"/>
      <c r="L144" s="653"/>
      <c r="N144" s="659"/>
      <c r="O144" s="659"/>
      <c r="P144" s="659"/>
      <c r="Q144" s="659"/>
      <c r="R144" s="659"/>
      <c r="S144" s="659"/>
      <c r="T144" s="659"/>
      <c r="U144" s="659"/>
      <c r="V144" s="659"/>
      <c r="W144" s="659"/>
      <c r="X144" s="659"/>
      <c r="Y144" s="659"/>
      <c r="Z144" s="659"/>
      <c r="AA144" s="659"/>
      <c r="AB144" s="659"/>
      <c r="AC144" s="659"/>
      <c r="AD144" s="659"/>
      <c r="AE144" s="659"/>
      <c r="AF144" s="659"/>
    </row>
    <row r="145" spans="2:32" x14ac:dyDescent="0.2">
      <c r="B145" s="653"/>
      <c r="C145" s="653"/>
      <c r="D145" s="653"/>
      <c r="E145" s="653"/>
      <c r="F145" s="653"/>
      <c r="G145" s="653"/>
      <c r="H145" s="653"/>
      <c r="I145" s="653"/>
      <c r="J145" s="653"/>
      <c r="K145" s="653"/>
      <c r="L145" s="653"/>
      <c r="N145" s="659"/>
      <c r="O145" s="659"/>
      <c r="P145" s="659"/>
      <c r="Q145" s="659"/>
      <c r="R145" s="659"/>
      <c r="S145" s="659"/>
      <c r="T145" s="659"/>
      <c r="U145" s="659"/>
      <c r="V145" s="659"/>
      <c r="W145" s="659"/>
      <c r="X145" s="659"/>
      <c r="Y145" s="659"/>
      <c r="Z145" s="659"/>
      <c r="AA145" s="659"/>
      <c r="AB145" s="659"/>
      <c r="AC145" s="659"/>
      <c r="AD145" s="659"/>
      <c r="AE145" s="659"/>
      <c r="AF145" s="659"/>
    </row>
    <row r="146" spans="2:32" x14ac:dyDescent="0.2">
      <c r="B146" s="653"/>
      <c r="C146" s="653"/>
      <c r="D146" s="653"/>
      <c r="E146" s="653"/>
      <c r="F146" s="653"/>
      <c r="G146" s="653"/>
      <c r="H146" s="653"/>
      <c r="I146" s="653"/>
      <c r="J146" s="653"/>
      <c r="K146" s="653"/>
      <c r="L146" s="653"/>
      <c r="N146" s="659"/>
      <c r="O146" s="659"/>
      <c r="P146" s="659"/>
      <c r="Q146" s="659"/>
      <c r="R146" s="659"/>
      <c r="S146" s="659"/>
      <c r="T146" s="659"/>
      <c r="U146" s="659"/>
      <c r="V146" s="659"/>
      <c r="W146" s="659"/>
      <c r="X146" s="659"/>
      <c r="Y146" s="659"/>
      <c r="Z146" s="659"/>
      <c r="AA146" s="659"/>
      <c r="AB146" s="659"/>
      <c r="AC146" s="659"/>
      <c r="AD146" s="659"/>
      <c r="AE146" s="659"/>
      <c r="AF146" s="659"/>
    </row>
    <row r="147" spans="2:32" x14ac:dyDescent="0.2">
      <c r="B147" s="653"/>
      <c r="C147" s="653"/>
      <c r="D147" s="653"/>
      <c r="E147" s="653"/>
      <c r="F147" s="653"/>
      <c r="G147" s="653"/>
      <c r="H147" s="653"/>
      <c r="I147" s="653"/>
      <c r="J147" s="653"/>
      <c r="K147" s="653"/>
      <c r="L147" s="653"/>
      <c r="N147" s="659"/>
      <c r="O147" s="659"/>
      <c r="P147" s="659"/>
      <c r="Q147" s="659"/>
      <c r="R147" s="659"/>
      <c r="S147" s="659"/>
      <c r="T147" s="659"/>
      <c r="U147" s="659"/>
      <c r="V147" s="659"/>
      <c r="W147" s="659"/>
      <c r="X147" s="659"/>
      <c r="Y147" s="659"/>
      <c r="Z147" s="659"/>
      <c r="AA147" s="659"/>
      <c r="AB147" s="659"/>
      <c r="AC147" s="659"/>
      <c r="AD147" s="659"/>
      <c r="AE147" s="659"/>
      <c r="AF147" s="659"/>
    </row>
    <row r="148" spans="2:32" x14ac:dyDescent="0.2">
      <c r="B148" s="653"/>
      <c r="C148" s="653"/>
      <c r="D148" s="653"/>
      <c r="E148" s="653"/>
      <c r="F148" s="653"/>
      <c r="G148" s="653"/>
      <c r="H148" s="653"/>
      <c r="I148" s="653"/>
      <c r="J148" s="653"/>
      <c r="K148" s="653"/>
      <c r="L148" s="653"/>
      <c r="N148" s="659"/>
      <c r="O148" s="659"/>
      <c r="P148" s="659"/>
      <c r="Q148" s="659"/>
      <c r="R148" s="659"/>
      <c r="S148" s="659"/>
      <c r="T148" s="659"/>
      <c r="U148" s="659"/>
      <c r="V148" s="659"/>
      <c r="W148" s="659"/>
      <c r="X148" s="659"/>
      <c r="Y148" s="659"/>
      <c r="Z148" s="659"/>
      <c r="AA148" s="659"/>
      <c r="AB148" s="659"/>
      <c r="AC148" s="659"/>
      <c r="AD148" s="659"/>
      <c r="AE148" s="659"/>
      <c r="AF148" s="659"/>
    </row>
    <row r="149" spans="2:32" x14ac:dyDescent="0.2">
      <c r="B149" s="653"/>
      <c r="C149" s="653"/>
      <c r="D149" s="653"/>
      <c r="E149" s="653"/>
      <c r="F149" s="653"/>
      <c r="G149" s="653"/>
      <c r="H149" s="653"/>
      <c r="I149" s="653"/>
      <c r="J149" s="653"/>
      <c r="K149" s="653"/>
      <c r="L149" s="653"/>
      <c r="N149" s="659"/>
      <c r="O149" s="659"/>
      <c r="P149" s="659"/>
      <c r="Q149" s="659"/>
      <c r="R149" s="659"/>
      <c r="S149" s="659"/>
      <c r="T149" s="659"/>
      <c r="U149" s="659"/>
      <c r="V149" s="659"/>
      <c r="W149" s="659"/>
      <c r="X149" s="659"/>
      <c r="Y149" s="659"/>
      <c r="Z149" s="659"/>
      <c r="AA149" s="659"/>
      <c r="AB149" s="659"/>
      <c r="AC149" s="659"/>
      <c r="AD149" s="659"/>
      <c r="AE149" s="659"/>
      <c r="AF149" s="659"/>
    </row>
    <row r="150" spans="2:32" x14ac:dyDescent="0.2">
      <c r="B150" s="653"/>
      <c r="C150" s="653"/>
      <c r="D150" s="653"/>
      <c r="E150" s="653"/>
      <c r="F150" s="653"/>
      <c r="G150" s="653"/>
      <c r="H150" s="653"/>
      <c r="I150" s="653"/>
      <c r="J150" s="653"/>
      <c r="K150" s="653"/>
      <c r="L150" s="653"/>
      <c r="N150" s="659"/>
      <c r="O150" s="659"/>
      <c r="P150" s="659"/>
      <c r="Q150" s="659"/>
      <c r="R150" s="659"/>
      <c r="S150" s="659"/>
      <c r="T150" s="659"/>
      <c r="U150" s="659"/>
      <c r="V150" s="659"/>
      <c r="W150" s="659"/>
      <c r="X150" s="659"/>
      <c r="Y150" s="659"/>
      <c r="Z150" s="659"/>
      <c r="AA150" s="659"/>
      <c r="AB150" s="659"/>
      <c r="AC150" s="659"/>
      <c r="AD150" s="659"/>
      <c r="AE150" s="659"/>
      <c r="AF150" s="659"/>
    </row>
    <row r="151" spans="2:32" x14ac:dyDescent="0.2">
      <c r="B151" s="653"/>
      <c r="C151" s="653"/>
      <c r="D151" s="653"/>
      <c r="E151" s="653"/>
      <c r="F151" s="653"/>
      <c r="G151" s="653"/>
      <c r="H151" s="653"/>
      <c r="I151" s="653"/>
      <c r="J151" s="653"/>
      <c r="K151" s="653"/>
      <c r="L151" s="653"/>
      <c r="N151" s="659"/>
      <c r="O151" s="659"/>
      <c r="P151" s="659"/>
      <c r="Q151" s="659"/>
      <c r="R151" s="659"/>
      <c r="S151" s="659"/>
      <c r="T151" s="659"/>
      <c r="U151" s="659"/>
      <c r="V151" s="659"/>
      <c r="W151" s="659"/>
      <c r="X151" s="659"/>
      <c r="Y151" s="659"/>
      <c r="Z151" s="659"/>
      <c r="AA151" s="659"/>
      <c r="AB151" s="659"/>
      <c r="AC151" s="659"/>
      <c r="AD151" s="659"/>
      <c r="AE151" s="659"/>
      <c r="AF151" s="659"/>
    </row>
    <row r="152" spans="2:32" x14ac:dyDescent="0.2">
      <c r="B152" s="653"/>
      <c r="C152" s="653"/>
      <c r="D152" s="653"/>
      <c r="E152" s="653"/>
      <c r="F152" s="653"/>
      <c r="G152" s="653"/>
      <c r="H152" s="653"/>
      <c r="I152" s="653"/>
      <c r="J152" s="653"/>
      <c r="K152" s="653"/>
      <c r="L152" s="653"/>
      <c r="N152" s="659"/>
      <c r="O152" s="659"/>
      <c r="P152" s="659"/>
      <c r="Q152" s="659"/>
      <c r="R152" s="659"/>
      <c r="S152" s="659"/>
      <c r="T152" s="659"/>
      <c r="U152" s="659"/>
      <c r="V152" s="659"/>
      <c r="W152" s="659"/>
      <c r="X152" s="659"/>
      <c r="Y152" s="659"/>
      <c r="Z152" s="659"/>
      <c r="AA152" s="659"/>
      <c r="AB152" s="659"/>
      <c r="AC152" s="659"/>
      <c r="AD152" s="659"/>
      <c r="AE152" s="659"/>
      <c r="AF152" s="659"/>
    </row>
    <row r="153" spans="2:32" x14ac:dyDescent="0.2">
      <c r="B153" s="653"/>
      <c r="C153" s="653"/>
      <c r="D153" s="653"/>
      <c r="E153" s="653"/>
      <c r="F153" s="653"/>
      <c r="G153" s="653"/>
      <c r="H153" s="653"/>
      <c r="I153" s="653"/>
      <c r="J153" s="653"/>
      <c r="K153" s="653"/>
      <c r="L153" s="653"/>
      <c r="N153" s="659"/>
      <c r="O153" s="659"/>
      <c r="P153" s="659"/>
      <c r="Q153" s="659"/>
      <c r="R153" s="659"/>
      <c r="S153" s="659"/>
      <c r="T153" s="659"/>
      <c r="U153" s="659"/>
      <c r="V153" s="659"/>
      <c r="W153" s="659"/>
      <c r="X153" s="659"/>
      <c r="Y153" s="659"/>
      <c r="Z153" s="659"/>
      <c r="AA153" s="659"/>
      <c r="AB153" s="659"/>
      <c r="AC153" s="659"/>
      <c r="AD153" s="659"/>
      <c r="AE153" s="659"/>
      <c r="AF153" s="659"/>
    </row>
    <row r="154" spans="2:32" x14ac:dyDescent="0.2">
      <c r="B154" s="653"/>
      <c r="C154" s="653"/>
      <c r="D154" s="653"/>
      <c r="E154" s="653"/>
      <c r="F154" s="653"/>
      <c r="G154" s="653"/>
      <c r="H154" s="653"/>
      <c r="I154" s="653"/>
      <c r="J154" s="653"/>
      <c r="K154" s="653"/>
      <c r="L154" s="653"/>
      <c r="N154" s="659"/>
      <c r="O154" s="659"/>
      <c r="P154" s="659"/>
      <c r="Q154" s="659"/>
      <c r="R154" s="659"/>
      <c r="S154" s="659"/>
      <c r="T154" s="659"/>
      <c r="U154" s="659"/>
      <c r="V154" s="659"/>
      <c r="W154" s="659"/>
      <c r="X154" s="659"/>
      <c r="Y154" s="659"/>
      <c r="Z154" s="659"/>
      <c r="AA154" s="659"/>
      <c r="AB154" s="659"/>
      <c r="AC154" s="659"/>
      <c r="AD154" s="659"/>
      <c r="AE154" s="659"/>
      <c r="AF154" s="659"/>
    </row>
    <row r="155" spans="2:32" x14ac:dyDescent="0.2">
      <c r="B155" s="653"/>
      <c r="C155" s="653"/>
      <c r="D155" s="653"/>
      <c r="E155" s="653"/>
      <c r="F155" s="653"/>
      <c r="G155" s="653"/>
      <c r="H155" s="653"/>
      <c r="I155" s="653"/>
      <c r="J155" s="653"/>
      <c r="K155" s="653"/>
      <c r="L155" s="653"/>
      <c r="N155" s="659"/>
      <c r="O155" s="659"/>
      <c r="P155" s="659"/>
      <c r="Q155" s="659"/>
      <c r="R155" s="659"/>
      <c r="S155" s="659"/>
      <c r="T155" s="659"/>
      <c r="U155" s="659"/>
      <c r="V155" s="659"/>
      <c r="W155" s="659"/>
      <c r="X155" s="659"/>
      <c r="Y155" s="659"/>
      <c r="Z155" s="659"/>
      <c r="AA155" s="659"/>
      <c r="AB155" s="659"/>
      <c r="AC155" s="659"/>
      <c r="AD155" s="659"/>
      <c r="AE155" s="659"/>
      <c r="AF155" s="659"/>
    </row>
    <row r="156" spans="2:32" x14ac:dyDescent="0.2">
      <c r="B156" s="653"/>
      <c r="C156" s="653"/>
      <c r="D156" s="653"/>
      <c r="E156" s="653"/>
      <c r="F156" s="653"/>
      <c r="G156" s="653"/>
      <c r="H156" s="653"/>
      <c r="I156" s="653"/>
      <c r="J156" s="653"/>
      <c r="K156" s="653"/>
      <c r="L156" s="653"/>
      <c r="N156" s="659"/>
      <c r="O156" s="659"/>
      <c r="P156" s="659"/>
      <c r="Q156" s="659"/>
      <c r="R156" s="659"/>
      <c r="S156" s="659"/>
      <c r="T156" s="659"/>
      <c r="U156" s="659"/>
      <c r="V156" s="659"/>
      <c r="W156" s="659"/>
      <c r="X156" s="659"/>
      <c r="Y156" s="659"/>
      <c r="Z156" s="659"/>
      <c r="AA156" s="659"/>
      <c r="AB156" s="659"/>
      <c r="AC156" s="659"/>
      <c r="AD156" s="659"/>
      <c r="AE156" s="659"/>
      <c r="AF156" s="659"/>
    </row>
    <row r="157" spans="2:32" x14ac:dyDescent="0.2">
      <c r="B157" s="653"/>
      <c r="C157" s="653"/>
      <c r="D157" s="653"/>
      <c r="E157" s="653"/>
      <c r="F157" s="653"/>
      <c r="G157" s="653"/>
      <c r="H157" s="653"/>
      <c r="I157" s="653"/>
      <c r="J157" s="653"/>
      <c r="K157" s="653"/>
      <c r="L157" s="653"/>
      <c r="N157" s="659"/>
      <c r="O157" s="659"/>
      <c r="P157" s="659"/>
      <c r="Q157" s="659"/>
      <c r="R157" s="659"/>
      <c r="S157" s="659"/>
      <c r="T157" s="659"/>
      <c r="U157" s="659"/>
      <c r="V157" s="659"/>
      <c r="W157" s="659"/>
      <c r="X157" s="659"/>
      <c r="Y157" s="659"/>
      <c r="Z157" s="659"/>
      <c r="AA157" s="659"/>
      <c r="AB157" s="659"/>
      <c r="AC157" s="659"/>
      <c r="AD157" s="659"/>
      <c r="AE157" s="659"/>
      <c r="AF157" s="659"/>
    </row>
    <row r="158" spans="2:32" x14ac:dyDescent="0.2">
      <c r="B158" s="653"/>
      <c r="C158" s="653"/>
      <c r="D158" s="653"/>
      <c r="E158" s="653"/>
      <c r="F158" s="653"/>
      <c r="G158" s="653"/>
      <c r="H158" s="653"/>
      <c r="I158" s="653"/>
      <c r="J158" s="653"/>
      <c r="K158" s="653"/>
      <c r="L158" s="653"/>
      <c r="N158" s="659"/>
      <c r="O158" s="659"/>
      <c r="P158" s="659"/>
      <c r="Q158" s="659"/>
      <c r="R158" s="659"/>
      <c r="S158" s="659"/>
      <c r="T158" s="659"/>
      <c r="U158" s="659"/>
      <c r="V158" s="659"/>
      <c r="W158" s="659"/>
      <c r="X158" s="659"/>
      <c r="Y158" s="659"/>
      <c r="Z158" s="659"/>
      <c r="AA158" s="659"/>
      <c r="AB158" s="659"/>
      <c r="AC158" s="659"/>
      <c r="AD158" s="659"/>
      <c r="AE158" s="659"/>
      <c r="AF158" s="659"/>
    </row>
    <row r="159" spans="2:32" x14ac:dyDescent="0.2">
      <c r="B159" s="653"/>
      <c r="C159" s="653"/>
      <c r="D159" s="653"/>
      <c r="E159" s="653"/>
      <c r="F159" s="653"/>
      <c r="G159" s="653"/>
      <c r="H159" s="653"/>
      <c r="I159" s="653"/>
      <c r="J159" s="653"/>
      <c r="K159" s="653"/>
      <c r="L159" s="653"/>
      <c r="N159" s="659"/>
      <c r="O159" s="659"/>
      <c r="P159" s="659"/>
      <c r="Q159" s="659"/>
      <c r="R159" s="659"/>
      <c r="S159" s="659"/>
      <c r="T159" s="659"/>
      <c r="U159" s="659"/>
      <c r="V159" s="659"/>
      <c r="W159" s="659"/>
      <c r="X159" s="659"/>
      <c r="Y159" s="659"/>
      <c r="Z159" s="659"/>
      <c r="AA159" s="659"/>
      <c r="AB159" s="659"/>
      <c r="AC159" s="659"/>
      <c r="AD159" s="659"/>
      <c r="AE159" s="659"/>
      <c r="AF159" s="659"/>
    </row>
    <row r="160" spans="2:32" x14ac:dyDescent="0.2">
      <c r="B160" s="653"/>
      <c r="C160" s="653"/>
      <c r="D160" s="653"/>
      <c r="E160" s="653"/>
      <c r="F160" s="653"/>
      <c r="G160" s="653"/>
      <c r="H160" s="653"/>
      <c r="I160" s="653"/>
      <c r="J160" s="653"/>
      <c r="K160" s="653"/>
      <c r="L160" s="653"/>
      <c r="N160" s="659"/>
      <c r="O160" s="659"/>
      <c r="P160" s="659"/>
      <c r="Q160" s="659"/>
      <c r="R160" s="659"/>
      <c r="S160" s="659"/>
      <c r="T160" s="659"/>
      <c r="U160" s="659"/>
      <c r="V160" s="659"/>
      <c r="W160" s="659"/>
      <c r="X160" s="659"/>
      <c r="Y160" s="659"/>
      <c r="Z160" s="659"/>
      <c r="AA160" s="659"/>
      <c r="AB160" s="659"/>
      <c r="AC160" s="659"/>
      <c r="AD160" s="659"/>
      <c r="AE160" s="659"/>
      <c r="AF160" s="659"/>
    </row>
    <row r="161" spans="2:32" x14ac:dyDescent="0.2">
      <c r="B161" s="653"/>
      <c r="C161" s="653"/>
      <c r="D161" s="653"/>
      <c r="E161" s="653"/>
      <c r="F161" s="653"/>
      <c r="G161" s="653"/>
      <c r="H161" s="653"/>
      <c r="I161" s="653"/>
      <c r="J161" s="653"/>
      <c r="K161" s="653"/>
      <c r="L161" s="653"/>
      <c r="N161" s="659"/>
      <c r="O161" s="659"/>
      <c r="P161" s="659"/>
      <c r="Q161" s="659"/>
      <c r="R161" s="659"/>
      <c r="S161" s="659"/>
      <c r="T161" s="659"/>
      <c r="U161" s="659"/>
      <c r="V161" s="659"/>
      <c r="W161" s="659"/>
      <c r="X161" s="659"/>
      <c r="Y161" s="659"/>
      <c r="Z161" s="659"/>
      <c r="AA161" s="659"/>
      <c r="AB161" s="659"/>
      <c r="AC161" s="659"/>
      <c r="AD161" s="659"/>
      <c r="AE161" s="659"/>
      <c r="AF161" s="659"/>
    </row>
    <row r="162" spans="2:32" x14ac:dyDescent="0.2">
      <c r="B162" s="653"/>
      <c r="C162" s="653"/>
      <c r="D162" s="653"/>
      <c r="E162" s="653"/>
      <c r="F162" s="653"/>
      <c r="G162" s="653"/>
      <c r="H162" s="653"/>
      <c r="I162" s="653"/>
      <c r="J162" s="653"/>
      <c r="K162" s="653"/>
      <c r="L162" s="653"/>
      <c r="N162" s="659"/>
      <c r="O162" s="659"/>
      <c r="P162" s="659"/>
      <c r="Q162" s="659"/>
      <c r="R162" s="659"/>
      <c r="S162" s="659"/>
      <c r="T162" s="659"/>
      <c r="U162" s="659"/>
      <c r="V162" s="659"/>
      <c r="W162" s="659"/>
      <c r="X162" s="659"/>
      <c r="Y162" s="659"/>
      <c r="Z162" s="659"/>
      <c r="AA162" s="659"/>
      <c r="AB162" s="659"/>
      <c r="AC162" s="659"/>
      <c r="AD162" s="659"/>
      <c r="AE162" s="659"/>
      <c r="AF162" s="659"/>
    </row>
    <row r="163" spans="2:32" x14ac:dyDescent="0.2">
      <c r="B163" s="653"/>
      <c r="C163" s="653"/>
      <c r="D163" s="653"/>
      <c r="E163" s="653"/>
      <c r="F163" s="653"/>
      <c r="G163" s="653"/>
      <c r="H163" s="653"/>
      <c r="I163" s="653"/>
      <c r="J163" s="653"/>
      <c r="K163" s="653"/>
      <c r="L163" s="653"/>
      <c r="N163" s="659"/>
      <c r="O163" s="659"/>
      <c r="P163" s="659"/>
      <c r="Q163" s="659"/>
      <c r="R163" s="659"/>
      <c r="S163" s="659"/>
      <c r="T163" s="659"/>
      <c r="U163" s="659"/>
      <c r="V163" s="659"/>
      <c r="W163" s="659"/>
      <c r="X163" s="659"/>
      <c r="Y163" s="659"/>
      <c r="Z163" s="659"/>
      <c r="AA163" s="659"/>
      <c r="AB163" s="659"/>
      <c r="AC163" s="659"/>
      <c r="AD163" s="659"/>
      <c r="AE163" s="659"/>
      <c r="AF163" s="659"/>
    </row>
    <row r="164" spans="2:32" x14ac:dyDescent="0.2">
      <c r="B164" s="653"/>
      <c r="C164" s="653"/>
      <c r="D164" s="653"/>
      <c r="E164" s="653"/>
      <c r="F164" s="653"/>
      <c r="G164" s="653"/>
      <c r="H164" s="653"/>
      <c r="I164" s="653"/>
      <c r="J164" s="653"/>
      <c r="K164" s="653"/>
      <c r="L164" s="653"/>
      <c r="N164" s="659"/>
      <c r="O164" s="659"/>
      <c r="P164" s="659"/>
      <c r="Q164" s="659"/>
      <c r="R164" s="659"/>
      <c r="S164" s="659"/>
      <c r="T164" s="659"/>
      <c r="U164" s="659"/>
      <c r="V164" s="659"/>
      <c r="W164" s="659"/>
      <c r="X164" s="659"/>
      <c r="Y164" s="659"/>
      <c r="Z164" s="659"/>
      <c r="AA164" s="659"/>
      <c r="AB164" s="659"/>
      <c r="AC164" s="659"/>
      <c r="AD164" s="659"/>
      <c r="AE164" s="659"/>
      <c r="AF164" s="659"/>
    </row>
    <row r="165" spans="2:32" x14ac:dyDescent="0.2">
      <c r="B165" s="653"/>
      <c r="C165" s="653"/>
      <c r="D165" s="653"/>
      <c r="E165" s="653"/>
      <c r="F165" s="653"/>
      <c r="G165" s="653"/>
      <c r="H165" s="653"/>
      <c r="I165" s="653"/>
      <c r="J165" s="653"/>
      <c r="K165" s="653"/>
      <c r="L165" s="653"/>
      <c r="N165" s="659"/>
      <c r="O165" s="659"/>
      <c r="P165" s="659"/>
      <c r="Q165" s="659"/>
      <c r="R165" s="659"/>
      <c r="S165" s="659"/>
      <c r="T165" s="659"/>
      <c r="U165" s="659"/>
      <c r="V165" s="659"/>
      <c r="W165" s="659"/>
      <c r="X165" s="659"/>
      <c r="Y165" s="659"/>
      <c r="Z165" s="659"/>
      <c r="AA165" s="659"/>
      <c r="AB165" s="659"/>
      <c r="AC165" s="659"/>
      <c r="AD165" s="659"/>
      <c r="AE165" s="659"/>
      <c r="AF165" s="659"/>
    </row>
    <row r="166" spans="2:32" x14ac:dyDescent="0.2">
      <c r="B166" s="653"/>
      <c r="C166" s="653"/>
      <c r="D166" s="653"/>
      <c r="E166" s="653"/>
      <c r="F166" s="653"/>
      <c r="G166" s="653"/>
      <c r="H166" s="653"/>
      <c r="I166" s="653"/>
      <c r="J166" s="653"/>
      <c r="K166" s="653"/>
      <c r="L166" s="653"/>
      <c r="N166" s="659"/>
      <c r="O166" s="659"/>
      <c r="P166" s="659"/>
      <c r="Q166" s="659"/>
      <c r="R166" s="659"/>
      <c r="S166" s="659"/>
      <c r="T166" s="659"/>
      <c r="U166" s="659"/>
      <c r="V166" s="659"/>
      <c r="W166" s="659"/>
      <c r="X166" s="659"/>
      <c r="Y166" s="659"/>
      <c r="Z166" s="659"/>
      <c r="AA166" s="659"/>
      <c r="AB166" s="659"/>
      <c r="AC166" s="659"/>
      <c r="AD166" s="659"/>
      <c r="AE166" s="659"/>
      <c r="AF166" s="659"/>
    </row>
    <row r="167" spans="2:32" x14ac:dyDescent="0.2">
      <c r="B167" s="653"/>
      <c r="C167" s="653"/>
      <c r="D167" s="653"/>
      <c r="E167" s="653"/>
      <c r="F167" s="653"/>
      <c r="G167" s="653"/>
      <c r="H167" s="653"/>
      <c r="I167" s="653"/>
      <c r="J167" s="653"/>
      <c r="K167" s="653"/>
      <c r="L167" s="653"/>
      <c r="N167" s="659"/>
      <c r="O167" s="659"/>
      <c r="P167" s="659"/>
      <c r="Q167" s="659"/>
      <c r="R167" s="659"/>
      <c r="S167" s="659"/>
      <c r="T167" s="659"/>
      <c r="U167" s="659"/>
      <c r="V167" s="659"/>
      <c r="W167" s="659"/>
      <c r="X167" s="659"/>
      <c r="Y167" s="659"/>
      <c r="Z167" s="659"/>
      <c r="AA167" s="659"/>
      <c r="AB167" s="659"/>
      <c r="AC167" s="659"/>
      <c r="AD167" s="659"/>
      <c r="AE167" s="659"/>
      <c r="AF167" s="659"/>
    </row>
    <row r="168" spans="2:32" x14ac:dyDescent="0.2">
      <c r="B168" s="653"/>
      <c r="C168" s="653"/>
      <c r="D168" s="653"/>
      <c r="E168" s="653"/>
      <c r="F168" s="653"/>
      <c r="G168" s="653"/>
      <c r="H168" s="653"/>
      <c r="I168" s="653"/>
      <c r="J168" s="653"/>
      <c r="K168" s="653"/>
      <c r="L168" s="653"/>
      <c r="N168" s="659"/>
      <c r="O168" s="659"/>
      <c r="P168" s="659"/>
      <c r="Q168" s="659"/>
      <c r="R168" s="659"/>
      <c r="S168" s="659"/>
      <c r="T168" s="659"/>
      <c r="U168" s="659"/>
      <c r="V168" s="659"/>
      <c r="W168" s="659"/>
      <c r="X168" s="659"/>
      <c r="Y168" s="659"/>
      <c r="Z168" s="659"/>
      <c r="AA168" s="659"/>
      <c r="AB168" s="659"/>
      <c r="AC168" s="659"/>
      <c r="AD168" s="659"/>
      <c r="AE168" s="659"/>
      <c r="AF168" s="659"/>
    </row>
    <row r="169" spans="2:32" x14ac:dyDescent="0.2">
      <c r="B169" s="653"/>
      <c r="C169" s="653"/>
      <c r="D169" s="653"/>
      <c r="E169" s="653"/>
      <c r="F169" s="653"/>
      <c r="G169" s="653"/>
      <c r="H169" s="653"/>
      <c r="I169" s="653"/>
      <c r="J169" s="653"/>
      <c r="K169" s="653"/>
      <c r="L169" s="653"/>
      <c r="N169" s="659"/>
      <c r="O169" s="659"/>
      <c r="P169" s="659"/>
      <c r="Q169" s="659"/>
      <c r="R169" s="659"/>
      <c r="S169" s="659"/>
      <c r="T169" s="659"/>
      <c r="U169" s="659"/>
      <c r="V169" s="659"/>
      <c r="W169" s="659"/>
      <c r="X169" s="659"/>
      <c r="Y169" s="659"/>
      <c r="Z169" s="659"/>
      <c r="AA169" s="659"/>
      <c r="AB169" s="659"/>
      <c r="AC169" s="659"/>
      <c r="AD169" s="659"/>
      <c r="AE169" s="659"/>
      <c r="AF169" s="659"/>
    </row>
    <row r="170" spans="2:32" x14ac:dyDescent="0.2">
      <c r="B170" s="653"/>
      <c r="C170" s="653"/>
      <c r="D170" s="653"/>
      <c r="E170" s="653"/>
      <c r="F170" s="653"/>
      <c r="G170" s="653"/>
      <c r="H170" s="653"/>
      <c r="I170" s="653"/>
      <c r="J170" s="653"/>
      <c r="K170" s="653"/>
      <c r="L170" s="653"/>
      <c r="N170" s="659"/>
      <c r="O170" s="659"/>
      <c r="P170" s="659"/>
      <c r="Q170" s="659"/>
      <c r="R170" s="659"/>
      <c r="S170" s="659"/>
      <c r="T170" s="659"/>
      <c r="U170" s="659"/>
      <c r="V170" s="659"/>
      <c r="W170" s="659"/>
      <c r="X170" s="659"/>
      <c r="Y170" s="659"/>
      <c r="Z170" s="659"/>
      <c r="AA170" s="659"/>
      <c r="AB170" s="659"/>
      <c r="AC170" s="659"/>
      <c r="AD170" s="659"/>
      <c r="AE170" s="659"/>
      <c r="AF170" s="659"/>
    </row>
    <row r="171" spans="2:32" x14ac:dyDescent="0.2">
      <c r="B171" s="653"/>
      <c r="C171" s="653"/>
      <c r="D171" s="653"/>
      <c r="E171" s="653"/>
      <c r="F171" s="653"/>
      <c r="G171" s="653"/>
      <c r="H171" s="653"/>
      <c r="I171" s="653"/>
      <c r="J171" s="653"/>
      <c r="K171" s="653"/>
      <c r="L171" s="653"/>
      <c r="N171" s="659"/>
      <c r="O171" s="659"/>
      <c r="P171" s="659"/>
      <c r="Q171" s="659"/>
      <c r="R171" s="659"/>
      <c r="S171" s="659"/>
      <c r="T171" s="659"/>
      <c r="U171" s="659"/>
      <c r="V171" s="659"/>
      <c r="W171" s="659"/>
      <c r="X171" s="659"/>
      <c r="Y171" s="659"/>
      <c r="Z171" s="659"/>
      <c r="AA171" s="659"/>
      <c r="AB171" s="659"/>
      <c r="AC171" s="659"/>
      <c r="AD171" s="659"/>
      <c r="AE171" s="659"/>
      <c r="AF171" s="659"/>
    </row>
    <row r="172" spans="2:32" x14ac:dyDescent="0.2">
      <c r="B172" s="653"/>
      <c r="C172" s="653"/>
      <c r="D172" s="653"/>
      <c r="E172" s="653"/>
      <c r="F172" s="653"/>
      <c r="G172" s="653"/>
      <c r="H172" s="653"/>
      <c r="I172" s="653"/>
      <c r="J172" s="653"/>
      <c r="K172" s="653"/>
      <c r="L172" s="653"/>
      <c r="N172" s="659"/>
      <c r="O172" s="659"/>
      <c r="P172" s="659"/>
      <c r="Q172" s="659"/>
      <c r="R172" s="659"/>
      <c r="S172" s="659"/>
      <c r="T172" s="659"/>
      <c r="U172" s="659"/>
      <c r="V172" s="659"/>
      <c r="W172" s="659"/>
      <c r="X172" s="659"/>
      <c r="Y172" s="659"/>
      <c r="Z172" s="659"/>
      <c r="AA172" s="659"/>
      <c r="AB172" s="659"/>
      <c r="AC172" s="659"/>
      <c r="AD172" s="659"/>
      <c r="AE172" s="659"/>
      <c r="AF172" s="659"/>
    </row>
    <row r="173" spans="2:32" x14ac:dyDescent="0.2">
      <c r="B173" s="653"/>
      <c r="C173" s="653"/>
      <c r="D173" s="653"/>
      <c r="E173" s="653"/>
      <c r="F173" s="653"/>
      <c r="G173" s="653"/>
      <c r="H173" s="653"/>
      <c r="I173" s="653"/>
      <c r="J173" s="653"/>
      <c r="K173" s="653"/>
      <c r="L173" s="653"/>
      <c r="N173" s="659"/>
      <c r="O173" s="659"/>
      <c r="P173" s="659"/>
      <c r="Q173" s="659"/>
      <c r="R173" s="659"/>
      <c r="S173" s="659"/>
      <c r="T173" s="659"/>
      <c r="U173" s="659"/>
      <c r="V173" s="659"/>
      <c r="W173" s="659"/>
      <c r="X173" s="659"/>
      <c r="Y173" s="659"/>
      <c r="Z173" s="659"/>
      <c r="AA173" s="659"/>
      <c r="AB173" s="659"/>
      <c r="AC173" s="659"/>
      <c r="AD173" s="659"/>
      <c r="AE173" s="659"/>
      <c r="AF173" s="659"/>
    </row>
    <row r="174" spans="2:32" x14ac:dyDescent="0.2">
      <c r="B174" s="653"/>
      <c r="C174" s="653"/>
      <c r="D174" s="653"/>
      <c r="E174" s="653"/>
      <c r="F174" s="653"/>
      <c r="G174" s="653"/>
      <c r="H174" s="653"/>
      <c r="I174" s="653"/>
      <c r="J174" s="653"/>
      <c r="K174" s="653"/>
      <c r="L174" s="653"/>
      <c r="N174" s="659"/>
      <c r="O174" s="659"/>
      <c r="P174" s="659"/>
      <c r="Q174" s="659"/>
      <c r="R174" s="659"/>
      <c r="S174" s="659"/>
      <c r="T174" s="659"/>
      <c r="U174" s="659"/>
      <c r="V174" s="659"/>
      <c r="W174" s="659"/>
      <c r="X174" s="659"/>
      <c r="Y174" s="659"/>
      <c r="Z174" s="659"/>
      <c r="AA174" s="659"/>
      <c r="AB174" s="659"/>
      <c r="AC174" s="659"/>
      <c r="AD174" s="659"/>
      <c r="AE174" s="659"/>
      <c r="AF174" s="659"/>
    </row>
    <row r="175" spans="2:32" x14ac:dyDescent="0.2">
      <c r="B175" s="653"/>
      <c r="C175" s="653"/>
      <c r="D175" s="653"/>
      <c r="E175" s="653"/>
      <c r="F175" s="653"/>
      <c r="G175" s="653"/>
      <c r="H175" s="653"/>
      <c r="I175" s="653"/>
      <c r="J175" s="653"/>
      <c r="K175" s="653"/>
      <c r="L175" s="653"/>
      <c r="N175" s="659"/>
      <c r="O175" s="659"/>
      <c r="P175" s="659"/>
      <c r="Q175" s="659"/>
      <c r="R175" s="659"/>
      <c r="S175" s="659"/>
      <c r="T175" s="659"/>
      <c r="U175" s="659"/>
      <c r="V175" s="659"/>
      <c r="W175" s="659"/>
      <c r="X175" s="659"/>
      <c r="Y175" s="659"/>
      <c r="Z175" s="659"/>
      <c r="AA175" s="659"/>
      <c r="AB175" s="659"/>
      <c r="AC175" s="659"/>
      <c r="AD175" s="659"/>
      <c r="AE175" s="659"/>
      <c r="AF175" s="659"/>
    </row>
    <row r="176" spans="2:32" x14ac:dyDescent="0.2">
      <c r="B176" s="653"/>
      <c r="C176" s="653"/>
      <c r="D176" s="653"/>
      <c r="E176" s="653"/>
      <c r="F176" s="653"/>
      <c r="G176" s="653"/>
      <c r="H176" s="653"/>
      <c r="I176" s="653"/>
      <c r="J176" s="653"/>
      <c r="K176" s="653"/>
      <c r="L176" s="653"/>
      <c r="N176" s="659"/>
      <c r="O176" s="659"/>
      <c r="P176" s="659"/>
      <c r="Q176" s="659"/>
      <c r="R176" s="659"/>
      <c r="S176" s="659"/>
      <c r="T176" s="659"/>
      <c r="U176" s="659"/>
      <c r="V176" s="659"/>
      <c r="W176" s="659"/>
      <c r="X176" s="659"/>
      <c r="Y176" s="659"/>
      <c r="Z176" s="659"/>
      <c r="AA176" s="659"/>
      <c r="AB176" s="659"/>
      <c r="AC176" s="659"/>
      <c r="AD176" s="659"/>
      <c r="AE176" s="659"/>
      <c r="AF176" s="659"/>
    </row>
    <row r="177" spans="2:32" x14ac:dyDescent="0.2">
      <c r="B177" s="653"/>
      <c r="C177" s="653"/>
      <c r="D177" s="653"/>
      <c r="E177" s="653"/>
      <c r="F177" s="653"/>
      <c r="G177" s="653"/>
      <c r="H177" s="653"/>
      <c r="I177" s="653"/>
      <c r="J177" s="653"/>
      <c r="K177" s="653"/>
      <c r="L177" s="653"/>
      <c r="N177" s="659"/>
      <c r="O177" s="659"/>
      <c r="P177" s="659"/>
      <c r="Q177" s="659"/>
      <c r="R177" s="659"/>
      <c r="S177" s="659"/>
      <c r="T177" s="659"/>
      <c r="U177" s="659"/>
      <c r="V177" s="659"/>
      <c r="W177" s="659"/>
      <c r="X177" s="659"/>
      <c r="Y177" s="659"/>
      <c r="Z177" s="659"/>
      <c r="AA177" s="659"/>
      <c r="AB177" s="659"/>
      <c r="AC177" s="659"/>
      <c r="AD177" s="659"/>
      <c r="AE177" s="659"/>
      <c r="AF177" s="659"/>
    </row>
    <row r="178" spans="2:32" x14ac:dyDescent="0.2">
      <c r="B178" s="653"/>
      <c r="C178" s="653"/>
      <c r="D178" s="653"/>
      <c r="E178" s="653"/>
      <c r="F178" s="653"/>
      <c r="G178" s="653"/>
      <c r="H178" s="653"/>
      <c r="I178" s="653"/>
      <c r="J178" s="653"/>
      <c r="K178" s="653"/>
      <c r="L178" s="653"/>
      <c r="N178" s="659"/>
      <c r="O178" s="659"/>
      <c r="P178" s="659"/>
      <c r="Q178" s="659"/>
      <c r="R178" s="659"/>
      <c r="S178" s="659"/>
      <c r="T178" s="659"/>
      <c r="U178" s="659"/>
      <c r="V178" s="659"/>
      <c r="W178" s="659"/>
      <c r="X178" s="659"/>
      <c r="Y178" s="659"/>
      <c r="Z178" s="659"/>
      <c r="AA178" s="659"/>
      <c r="AB178" s="659"/>
      <c r="AC178" s="659"/>
      <c r="AD178" s="659"/>
      <c r="AE178" s="659"/>
      <c r="AF178" s="659"/>
    </row>
    <row r="179" spans="2:32" x14ac:dyDescent="0.2">
      <c r="B179" s="653"/>
      <c r="C179" s="653"/>
      <c r="D179" s="653"/>
      <c r="E179" s="653"/>
      <c r="F179" s="653"/>
      <c r="G179" s="653"/>
      <c r="H179" s="653"/>
      <c r="I179" s="653"/>
      <c r="J179" s="653"/>
      <c r="K179" s="653"/>
      <c r="L179" s="653"/>
      <c r="N179" s="659"/>
      <c r="O179" s="659"/>
      <c r="P179" s="659"/>
      <c r="Q179" s="659"/>
      <c r="R179" s="659"/>
      <c r="S179" s="659"/>
      <c r="T179" s="659"/>
      <c r="U179" s="659"/>
      <c r="V179" s="659"/>
      <c r="W179" s="659"/>
      <c r="X179" s="659"/>
      <c r="Y179" s="659"/>
      <c r="Z179" s="659"/>
      <c r="AA179" s="659"/>
      <c r="AB179" s="659"/>
      <c r="AC179" s="659"/>
      <c r="AD179" s="659"/>
      <c r="AE179" s="659"/>
      <c r="AF179" s="659"/>
    </row>
    <row r="180" spans="2:32" x14ac:dyDescent="0.2">
      <c r="B180" s="653"/>
      <c r="C180" s="653"/>
      <c r="D180" s="653"/>
      <c r="E180" s="653"/>
      <c r="F180" s="653"/>
      <c r="G180" s="653"/>
      <c r="H180" s="653"/>
      <c r="I180" s="653"/>
      <c r="J180" s="653"/>
      <c r="K180" s="653"/>
      <c r="L180" s="653"/>
      <c r="N180" s="659"/>
      <c r="O180" s="659"/>
      <c r="P180" s="659"/>
      <c r="Q180" s="659"/>
      <c r="R180" s="659"/>
      <c r="S180" s="659"/>
      <c r="T180" s="659"/>
      <c r="U180" s="659"/>
      <c r="V180" s="659"/>
      <c r="W180" s="659"/>
      <c r="X180" s="659"/>
      <c r="Y180" s="659"/>
      <c r="Z180" s="659"/>
      <c r="AA180" s="659"/>
      <c r="AB180" s="659"/>
      <c r="AC180" s="659"/>
      <c r="AD180" s="659"/>
      <c r="AE180" s="659"/>
      <c r="AF180" s="659"/>
    </row>
    <row r="181" spans="2:32" x14ac:dyDescent="0.2">
      <c r="B181" s="653"/>
      <c r="C181" s="653"/>
      <c r="D181" s="653"/>
      <c r="E181" s="653"/>
      <c r="F181" s="653"/>
      <c r="G181" s="653"/>
      <c r="H181" s="653"/>
      <c r="I181" s="653"/>
      <c r="J181" s="653"/>
      <c r="K181" s="653"/>
      <c r="L181" s="653"/>
      <c r="N181" s="659"/>
      <c r="O181" s="659"/>
      <c r="P181" s="659"/>
      <c r="Q181" s="659"/>
      <c r="R181" s="659"/>
      <c r="S181" s="659"/>
      <c r="T181" s="659"/>
      <c r="U181" s="659"/>
      <c r="V181" s="659"/>
      <c r="W181" s="659"/>
      <c r="X181" s="659"/>
      <c r="Y181" s="659"/>
      <c r="Z181" s="659"/>
      <c r="AA181" s="659"/>
      <c r="AB181" s="659"/>
      <c r="AC181" s="659"/>
      <c r="AD181" s="659"/>
      <c r="AE181" s="659"/>
      <c r="AF181" s="659"/>
    </row>
    <row r="182" spans="2:32" x14ac:dyDescent="0.2">
      <c r="B182" s="653"/>
      <c r="C182" s="653"/>
      <c r="D182" s="653"/>
      <c r="E182" s="653"/>
      <c r="F182" s="653"/>
      <c r="G182" s="653"/>
      <c r="H182" s="653"/>
      <c r="I182" s="653"/>
      <c r="J182" s="653"/>
      <c r="K182" s="653"/>
      <c r="L182" s="653"/>
      <c r="N182" s="659"/>
      <c r="O182" s="659"/>
      <c r="P182" s="659"/>
      <c r="Q182" s="659"/>
      <c r="R182" s="659"/>
      <c r="S182" s="659"/>
      <c r="T182" s="659"/>
      <c r="U182" s="659"/>
      <c r="V182" s="659"/>
      <c r="W182" s="659"/>
      <c r="X182" s="659"/>
      <c r="Y182" s="659"/>
      <c r="Z182" s="659"/>
      <c r="AA182" s="659"/>
      <c r="AB182" s="659"/>
      <c r="AC182" s="659"/>
      <c r="AD182" s="659"/>
      <c r="AE182" s="659"/>
      <c r="AF182" s="659"/>
    </row>
    <row r="183" spans="2:32" x14ac:dyDescent="0.2">
      <c r="B183" s="653"/>
      <c r="C183" s="653"/>
      <c r="D183" s="653"/>
      <c r="E183" s="653"/>
      <c r="F183" s="653"/>
      <c r="G183" s="653"/>
      <c r="H183" s="653"/>
      <c r="I183" s="653"/>
      <c r="J183" s="653"/>
      <c r="K183" s="653"/>
      <c r="L183" s="653"/>
      <c r="N183" s="659"/>
      <c r="O183" s="659"/>
      <c r="P183" s="659"/>
      <c r="Q183" s="659"/>
      <c r="R183" s="659"/>
      <c r="S183" s="659"/>
      <c r="T183" s="659"/>
      <c r="U183" s="659"/>
      <c r="V183" s="659"/>
      <c r="W183" s="659"/>
      <c r="X183" s="659"/>
      <c r="Y183" s="659"/>
      <c r="Z183" s="659"/>
      <c r="AA183" s="659"/>
      <c r="AB183" s="659"/>
      <c r="AC183" s="659"/>
      <c r="AD183" s="659"/>
      <c r="AE183" s="659"/>
      <c r="AF183" s="659"/>
    </row>
    <row r="184" spans="2:32" x14ac:dyDescent="0.2">
      <c r="B184" s="653"/>
      <c r="C184" s="653"/>
      <c r="D184" s="653"/>
      <c r="E184" s="653"/>
      <c r="F184" s="653"/>
      <c r="G184" s="653"/>
      <c r="H184" s="653"/>
      <c r="I184" s="653"/>
      <c r="J184" s="653"/>
      <c r="K184" s="653"/>
      <c r="L184" s="653"/>
      <c r="N184" s="659"/>
      <c r="O184" s="659"/>
      <c r="P184" s="659"/>
      <c r="Q184" s="659"/>
      <c r="R184" s="659"/>
      <c r="S184" s="659"/>
      <c r="T184" s="659"/>
      <c r="U184" s="659"/>
      <c r="V184" s="659"/>
      <c r="W184" s="659"/>
      <c r="X184" s="659"/>
      <c r="Y184" s="659"/>
      <c r="Z184" s="659"/>
      <c r="AA184" s="659"/>
      <c r="AB184" s="659"/>
      <c r="AC184" s="659"/>
      <c r="AD184" s="659"/>
      <c r="AE184" s="659"/>
      <c r="AF184" s="659"/>
    </row>
    <row r="185" spans="2:32" x14ac:dyDescent="0.2">
      <c r="B185" s="653"/>
      <c r="C185" s="653"/>
      <c r="D185" s="653"/>
      <c r="E185" s="653"/>
      <c r="F185" s="653"/>
      <c r="G185" s="653"/>
      <c r="H185" s="653"/>
      <c r="I185" s="653"/>
      <c r="J185" s="653"/>
      <c r="K185" s="653"/>
      <c r="L185" s="653"/>
      <c r="N185" s="659"/>
      <c r="O185" s="659"/>
      <c r="P185" s="659"/>
      <c r="Q185" s="659"/>
      <c r="R185" s="659"/>
      <c r="S185" s="659"/>
      <c r="T185" s="659"/>
      <c r="U185" s="659"/>
      <c r="V185" s="659"/>
      <c r="W185" s="659"/>
      <c r="X185" s="659"/>
      <c r="Y185" s="659"/>
      <c r="Z185" s="659"/>
      <c r="AA185" s="659"/>
      <c r="AB185" s="659"/>
      <c r="AC185" s="659"/>
      <c r="AD185" s="659"/>
      <c r="AE185" s="659"/>
      <c r="AF185" s="659"/>
    </row>
    <row r="186" spans="2:32" x14ac:dyDescent="0.2">
      <c r="B186" s="653"/>
      <c r="C186" s="653"/>
      <c r="D186" s="653"/>
      <c r="E186" s="653"/>
      <c r="F186" s="653"/>
      <c r="G186" s="653"/>
      <c r="H186" s="653"/>
      <c r="I186" s="653"/>
      <c r="J186" s="653"/>
      <c r="K186" s="653"/>
      <c r="L186" s="653"/>
      <c r="N186" s="659"/>
      <c r="O186" s="659"/>
      <c r="P186" s="659"/>
      <c r="Q186" s="659"/>
      <c r="R186" s="659"/>
      <c r="S186" s="659"/>
      <c r="T186" s="659"/>
      <c r="U186" s="659"/>
      <c r="V186" s="659"/>
      <c r="W186" s="659"/>
      <c r="X186" s="659"/>
      <c r="Y186" s="659"/>
      <c r="Z186" s="659"/>
      <c r="AA186" s="659"/>
      <c r="AB186" s="659"/>
      <c r="AC186" s="659"/>
      <c r="AD186" s="659"/>
      <c r="AE186" s="659"/>
      <c r="AF186" s="659"/>
    </row>
    <row r="187" spans="2:32" x14ac:dyDescent="0.2">
      <c r="B187" s="653"/>
      <c r="C187" s="653"/>
      <c r="D187" s="653"/>
      <c r="E187" s="653"/>
      <c r="F187" s="653"/>
      <c r="G187" s="653"/>
      <c r="H187" s="653"/>
      <c r="I187" s="653"/>
      <c r="J187" s="653"/>
      <c r="K187" s="653"/>
      <c r="L187" s="653"/>
      <c r="N187" s="659"/>
      <c r="O187" s="659"/>
      <c r="P187" s="659"/>
      <c r="Q187" s="659"/>
      <c r="R187" s="659"/>
      <c r="S187" s="659"/>
      <c r="T187" s="659"/>
      <c r="U187" s="659"/>
      <c r="V187" s="659"/>
      <c r="W187" s="659"/>
      <c r="X187" s="659"/>
      <c r="Y187" s="659"/>
      <c r="Z187" s="659"/>
      <c r="AA187" s="659"/>
      <c r="AB187" s="659"/>
      <c r="AC187" s="659"/>
      <c r="AD187" s="659"/>
      <c r="AE187" s="659"/>
      <c r="AF187" s="659"/>
    </row>
    <row r="188" spans="2:32" x14ac:dyDescent="0.2">
      <c r="B188" s="653"/>
      <c r="C188" s="653"/>
      <c r="D188" s="653"/>
      <c r="E188" s="653"/>
      <c r="F188" s="653"/>
      <c r="G188" s="653"/>
      <c r="H188" s="653"/>
      <c r="I188" s="653"/>
      <c r="J188" s="653"/>
      <c r="K188" s="653"/>
      <c r="L188" s="653"/>
      <c r="N188" s="659"/>
      <c r="O188" s="659"/>
      <c r="P188" s="659"/>
      <c r="Q188" s="659"/>
      <c r="R188" s="659"/>
      <c r="S188" s="659"/>
      <c r="T188" s="659"/>
      <c r="U188" s="659"/>
      <c r="V188" s="659"/>
      <c r="W188" s="659"/>
      <c r="X188" s="659"/>
      <c r="Y188" s="659"/>
      <c r="Z188" s="659"/>
      <c r="AA188" s="659"/>
      <c r="AB188" s="659"/>
      <c r="AC188" s="659"/>
      <c r="AD188" s="659"/>
      <c r="AE188" s="659"/>
      <c r="AF188" s="659"/>
    </row>
    <row r="189" spans="2:32" x14ac:dyDescent="0.2">
      <c r="B189" s="653"/>
      <c r="C189" s="653"/>
      <c r="D189" s="653"/>
      <c r="E189" s="653"/>
      <c r="F189" s="653"/>
      <c r="G189" s="653"/>
      <c r="H189" s="653"/>
      <c r="I189" s="653"/>
      <c r="J189" s="653"/>
      <c r="K189" s="653"/>
      <c r="L189" s="653"/>
      <c r="N189" s="659"/>
      <c r="O189" s="659"/>
      <c r="P189" s="659"/>
      <c r="Q189" s="659"/>
      <c r="R189" s="659"/>
      <c r="S189" s="659"/>
      <c r="T189" s="659"/>
      <c r="U189" s="659"/>
      <c r="V189" s="659"/>
      <c r="W189" s="659"/>
      <c r="X189" s="659"/>
      <c r="Y189" s="659"/>
      <c r="Z189" s="659"/>
      <c r="AA189" s="659"/>
      <c r="AB189" s="659"/>
      <c r="AC189" s="659"/>
      <c r="AD189" s="659"/>
      <c r="AE189" s="659"/>
      <c r="AF189" s="659"/>
    </row>
    <row r="190" spans="2:32" x14ac:dyDescent="0.2">
      <c r="B190" s="653"/>
      <c r="C190" s="653"/>
      <c r="D190" s="653"/>
      <c r="E190" s="653"/>
      <c r="F190" s="653"/>
      <c r="G190" s="653"/>
      <c r="H190" s="653"/>
      <c r="I190" s="653"/>
      <c r="J190" s="653"/>
      <c r="K190" s="653"/>
      <c r="L190" s="653"/>
      <c r="N190" s="659"/>
      <c r="O190" s="659"/>
      <c r="P190" s="659"/>
      <c r="Q190" s="659"/>
      <c r="R190" s="659"/>
      <c r="S190" s="659"/>
      <c r="T190" s="659"/>
      <c r="U190" s="659"/>
      <c r="V190" s="659"/>
      <c r="W190" s="659"/>
      <c r="X190" s="659"/>
      <c r="Y190" s="659"/>
      <c r="Z190" s="659"/>
      <c r="AA190" s="659"/>
      <c r="AB190" s="659"/>
      <c r="AC190" s="659"/>
      <c r="AD190" s="659"/>
      <c r="AE190" s="659"/>
      <c r="AF190" s="659"/>
    </row>
    <row r="191" spans="2:32" x14ac:dyDescent="0.2">
      <c r="B191" s="653"/>
      <c r="C191" s="653"/>
      <c r="D191" s="653"/>
      <c r="E191" s="653"/>
      <c r="F191" s="653"/>
      <c r="G191" s="653"/>
      <c r="H191" s="653"/>
      <c r="I191" s="653"/>
      <c r="J191" s="653"/>
      <c r="K191" s="653"/>
      <c r="L191" s="653"/>
      <c r="N191" s="659"/>
      <c r="O191" s="659"/>
      <c r="P191" s="659"/>
      <c r="Q191" s="659"/>
      <c r="R191" s="659"/>
      <c r="S191" s="659"/>
      <c r="T191" s="659"/>
      <c r="U191" s="659"/>
      <c r="V191" s="659"/>
      <c r="W191" s="659"/>
      <c r="X191" s="659"/>
      <c r="Y191" s="659"/>
      <c r="Z191" s="659"/>
      <c r="AA191" s="659"/>
      <c r="AB191" s="659"/>
      <c r="AC191" s="659"/>
      <c r="AD191" s="659"/>
      <c r="AE191" s="659"/>
      <c r="AF191" s="659"/>
    </row>
    <row r="192" spans="2:32" x14ac:dyDescent="0.2">
      <c r="B192" s="653"/>
      <c r="C192" s="653"/>
      <c r="D192" s="653"/>
      <c r="E192" s="653"/>
      <c r="F192" s="653"/>
      <c r="G192" s="653"/>
      <c r="H192" s="653"/>
      <c r="I192" s="653"/>
      <c r="J192" s="653"/>
      <c r="K192" s="653"/>
      <c r="L192" s="653"/>
      <c r="N192" s="659"/>
      <c r="O192" s="659"/>
      <c r="P192" s="659"/>
      <c r="Q192" s="659"/>
      <c r="R192" s="659"/>
      <c r="S192" s="659"/>
      <c r="T192" s="659"/>
      <c r="U192" s="659"/>
      <c r="V192" s="659"/>
      <c r="W192" s="659"/>
      <c r="X192" s="659"/>
      <c r="Y192" s="659"/>
      <c r="Z192" s="659"/>
      <c r="AA192" s="659"/>
      <c r="AB192" s="659"/>
      <c r="AC192" s="659"/>
      <c r="AD192" s="659"/>
      <c r="AE192" s="659"/>
      <c r="AF192" s="659"/>
    </row>
    <row r="193" spans="2:32" x14ac:dyDescent="0.2">
      <c r="B193" s="653"/>
      <c r="C193" s="653"/>
      <c r="D193" s="653"/>
      <c r="E193" s="653"/>
      <c r="F193" s="653"/>
      <c r="G193" s="653"/>
      <c r="H193" s="653"/>
      <c r="I193" s="653"/>
      <c r="J193" s="653"/>
      <c r="K193" s="653"/>
      <c r="L193" s="653"/>
      <c r="N193" s="659"/>
      <c r="O193" s="659"/>
      <c r="P193" s="659"/>
      <c r="Q193" s="659"/>
      <c r="R193" s="659"/>
      <c r="S193" s="659"/>
      <c r="T193" s="659"/>
      <c r="U193" s="659"/>
      <c r="V193" s="659"/>
      <c r="W193" s="659"/>
      <c r="X193" s="659"/>
      <c r="Y193" s="659"/>
      <c r="Z193" s="659"/>
      <c r="AA193" s="659"/>
      <c r="AB193" s="659"/>
      <c r="AC193" s="659"/>
      <c r="AD193" s="659"/>
      <c r="AE193" s="659"/>
      <c r="AF193" s="659"/>
    </row>
    <row r="194" spans="2:32" x14ac:dyDescent="0.2">
      <c r="B194" s="653"/>
      <c r="C194" s="653"/>
      <c r="D194" s="653"/>
      <c r="E194" s="653"/>
      <c r="F194" s="653"/>
      <c r="G194" s="653"/>
      <c r="H194" s="653"/>
      <c r="I194" s="653"/>
      <c r="J194" s="653"/>
      <c r="K194" s="653"/>
      <c r="L194" s="653"/>
      <c r="N194" s="659"/>
      <c r="O194" s="659"/>
      <c r="P194" s="659"/>
      <c r="Q194" s="659"/>
      <c r="R194" s="659"/>
      <c r="S194" s="659"/>
      <c r="T194" s="659"/>
      <c r="U194" s="659"/>
      <c r="V194" s="659"/>
      <c r="W194" s="659"/>
      <c r="X194" s="659"/>
      <c r="Y194" s="659"/>
      <c r="Z194" s="659"/>
      <c r="AA194" s="659"/>
      <c r="AB194" s="659"/>
      <c r="AC194" s="659"/>
      <c r="AD194" s="659"/>
      <c r="AE194" s="659"/>
      <c r="AF194" s="659"/>
    </row>
    <row r="195" spans="2:32" x14ac:dyDescent="0.2">
      <c r="B195" s="653"/>
      <c r="C195" s="653"/>
      <c r="D195" s="653"/>
      <c r="E195" s="653"/>
      <c r="F195" s="653"/>
      <c r="G195" s="653"/>
      <c r="H195" s="653"/>
      <c r="I195" s="653"/>
      <c r="J195" s="653"/>
      <c r="K195" s="653"/>
      <c r="L195" s="653"/>
      <c r="N195" s="659"/>
      <c r="O195" s="659"/>
      <c r="P195" s="659"/>
      <c r="Q195" s="659"/>
      <c r="R195" s="659"/>
      <c r="S195" s="659"/>
      <c r="T195" s="659"/>
      <c r="U195" s="659"/>
      <c r="V195" s="659"/>
      <c r="W195" s="659"/>
      <c r="X195" s="659"/>
      <c r="Y195" s="659"/>
      <c r="Z195" s="659"/>
      <c r="AA195" s="659"/>
      <c r="AB195" s="659"/>
      <c r="AC195" s="659"/>
      <c r="AD195" s="659"/>
      <c r="AE195" s="659"/>
      <c r="AF195" s="659"/>
    </row>
    <row r="196" spans="2:32" x14ac:dyDescent="0.2">
      <c r="B196" s="653"/>
      <c r="C196" s="653"/>
      <c r="D196" s="653"/>
      <c r="E196" s="653"/>
      <c r="F196" s="653"/>
      <c r="G196" s="653"/>
      <c r="H196" s="653"/>
      <c r="I196" s="653"/>
      <c r="J196" s="653"/>
      <c r="K196" s="653"/>
      <c r="L196" s="653"/>
      <c r="N196" s="659"/>
      <c r="O196" s="659"/>
      <c r="P196" s="659"/>
      <c r="Q196" s="659"/>
      <c r="R196" s="659"/>
      <c r="S196" s="659"/>
      <c r="T196" s="659"/>
      <c r="U196" s="659"/>
      <c r="V196" s="659"/>
      <c r="W196" s="659"/>
      <c r="X196" s="659"/>
      <c r="Y196" s="659"/>
      <c r="Z196" s="659"/>
      <c r="AA196" s="659"/>
      <c r="AB196" s="659"/>
      <c r="AC196" s="659"/>
      <c r="AD196" s="659"/>
      <c r="AE196" s="659"/>
      <c r="AF196" s="659"/>
    </row>
    <row r="197" spans="2:32" x14ac:dyDescent="0.2">
      <c r="B197" s="653"/>
      <c r="C197" s="653"/>
      <c r="D197" s="653"/>
      <c r="E197" s="653"/>
      <c r="F197" s="653"/>
      <c r="G197" s="653"/>
      <c r="H197" s="653"/>
      <c r="I197" s="653"/>
      <c r="J197" s="653"/>
      <c r="K197" s="653"/>
      <c r="L197" s="653"/>
      <c r="N197" s="659"/>
      <c r="O197" s="659"/>
      <c r="P197" s="659"/>
      <c r="Q197" s="659"/>
      <c r="R197" s="659"/>
      <c r="S197" s="659"/>
      <c r="T197" s="659"/>
      <c r="U197" s="659"/>
      <c r="V197" s="659"/>
      <c r="W197" s="659"/>
      <c r="X197" s="659"/>
      <c r="Y197" s="659"/>
      <c r="Z197" s="659"/>
      <c r="AA197" s="659"/>
      <c r="AB197" s="659"/>
      <c r="AC197" s="659"/>
      <c r="AD197" s="659"/>
      <c r="AE197" s="659"/>
      <c r="AF197" s="659"/>
    </row>
    <row r="198" spans="2:32" x14ac:dyDescent="0.2">
      <c r="B198" s="653"/>
      <c r="C198" s="653"/>
      <c r="D198" s="653"/>
      <c r="E198" s="653"/>
      <c r="F198" s="653"/>
      <c r="G198" s="653"/>
      <c r="H198" s="653"/>
      <c r="I198" s="653"/>
      <c r="J198" s="653"/>
      <c r="K198" s="653"/>
      <c r="L198" s="653"/>
      <c r="N198" s="659"/>
      <c r="O198" s="659"/>
      <c r="P198" s="659"/>
      <c r="Q198" s="659"/>
      <c r="R198" s="659"/>
      <c r="S198" s="659"/>
      <c r="T198" s="659"/>
      <c r="U198" s="659"/>
      <c r="V198" s="659"/>
      <c r="W198" s="659"/>
      <c r="X198" s="659"/>
      <c r="Y198" s="659"/>
      <c r="Z198" s="659"/>
      <c r="AA198" s="659"/>
      <c r="AB198" s="659"/>
      <c r="AC198" s="659"/>
      <c r="AD198" s="659"/>
      <c r="AE198" s="659"/>
      <c r="AF198" s="659"/>
    </row>
    <row r="199" spans="2:32" x14ac:dyDescent="0.2">
      <c r="B199" s="653"/>
      <c r="C199" s="653"/>
      <c r="D199" s="653"/>
      <c r="E199" s="653"/>
      <c r="F199" s="653"/>
      <c r="G199" s="653"/>
      <c r="H199" s="653"/>
      <c r="I199" s="653"/>
      <c r="J199" s="653"/>
      <c r="K199" s="653"/>
      <c r="L199" s="653"/>
      <c r="N199" s="659"/>
      <c r="O199" s="659"/>
      <c r="P199" s="659"/>
      <c r="Q199" s="659"/>
      <c r="R199" s="659"/>
      <c r="S199" s="659"/>
      <c r="T199" s="659"/>
      <c r="U199" s="659"/>
      <c r="V199" s="659"/>
      <c r="W199" s="659"/>
      <c r="X199" s="659"/>
      <c r="Y199" s="659"/>
      <c r="Z199" s="659"/>
      <c r="AA199" s="659"/>
      <c r="AB199" s="659"/>
      <c r="AC199" s="659"/>
      <c r="AD199" s="659"/>
      <c r="AE199" s="659"/>
      <c r="AF199" s="659"/>
    </row>
    <row r="200" spans="2:32" x14ac:dyDescent="0.2">
      <c r="B200" s="653"/>
      <c r="C200" s="653"/>
      <c r="D200" s="653"/>
      <c r="E200" s="653"/>
      <c r="F200" s="653"/>
      <c r="G200" s="653"/>
      <c r="H200" s="653"/>
      <c r="I200" s="653"/>
      <c r="J200" s="653"/>
      <c r="K200" s="653"/>
      <c r="L200" s="653"/>
      <c r="N200" s="659"/>
      <c r="O200" s="659"/>
      <c r="P200" s="659"/>
      <c r="Q200" s="659"/>
      <c r="R200" s="659"/>
      <c r="S200" s="659"/>
      <c r="T200" s="659"/>
      <c r="U200" s="659"/>
      <c r="V200" s="659"/>
      <c r="W200" s="659"/>
      <c r="X200" s="659"/>
      <c r="Y200" s="659"/>
      <c r="Z200" s="659"/>
      <c r="AA200" s="659"/>
      <c r="AB200" s="659"/>
      <c r="AC200" s="659"/>
      <c r="AD200" s="659"/>
      <c r="AE200" s="659"/>
      <c r="AF200" s="659"/>
    </row>
    <row r="201" spans="2:32" x14ac:dyDescent="0.2">
      <c r="B201" s="653"/>
      <c r="C201" s="653"/>
      <c r="D201" s="653"/>
      <c r="E201" s="653"/>
      <c r="F201" s="653"/>
      <c r="G201" s="653"/>
      <c r="H201" s="653"/>
      <c r="I201" s="653"/>
      <c r="J201" s="653"/>
      <c r="K201" s="653"/>
      <c r="L201" s="653"/>
      <c r="N201" s="659"/>
      <c r="O201" s="659"/>
      <c r="P201" s="659"/>
      <c r="Q201" s="659"/>
      <c r="R201" s="659"/>
      <c r="S201" s="659"/>
      <c r="T201" s="659"/>
      <c r="U201" s="659"/>
      <c r="V201" s="659"/>
      <c r="W201" s="659"/>
      <c r="X201" s="659"/>
      <c r="Y201" s="659"/>
      <c r="Z201" s="659"/>
      <c r="AA201" s="659"/>
      <c r="AB201" s="659"/>
      <c r="AC201" s="659"/>
      <c r="AD201" s="659"/>
      <c r="AE201" s="659"/>
      <c r="AF201" s="659"/>
    </row>
    <row r="202" spans="2:32" x14ac:dyDescent="0.2">
      <c r="B202" s="653"/>
      <c r="C202" s="653"/>
      <c r="D202" s="653"/>
      <c r="E202" s="653"/>
      <c r="F202" s="653"/>
      <c r="G202" s="653"/>
      <c r="H202" s="653"/>
      <c r="I202" s="653"/>
      <c r="J202" s="653"/>
      <c r="K202" s="653"/>
      <c r="L202" s="653"/>
      <c r="N202" s="659"/>
      <c r="O202" s="659"/>
      <c r="P202" s="659"/>
      <c r="Q202" s="659"/>
      <c r="R202" s="659"/>
      <c r="S202" s="659"/>
      <c r="T202" s="659"/>
      <c r="U202" s="659"/>
      <c r="V202" s="659"/>
      <c r="W202" s="659"/>
      <c r="X202" s="659"/>
      <c r="Y202" s="659"/>
      <c r="Z202" s="659"/>
      <c r="AA202" s="659"/>
      <c r="AB202" s="659"/>
      <c r="AC202" s="659"/>
      <c r="AD202" s="659"/>
      <c r="AE202" s="659"/>
      <c r="AF202" s="659"/>
    </row>
    <row r="203" spans="2:32" x14ac:dyDescent="0.2">
      <c r="B203" s="653"/>
      <c r="C203" s="653"/>
      <c r="D203" s="653"/>
      <c r="E203" s="653"/>
      <c r="F203" s="653"/>
      <c r="G203" s="653"/>
      <c r="H203" s="653"/>
      <c r="I203" s="653"/>
      <c r="J203" s="653"/>
      <c r="K203" s="653"/>
      <c r="L203" s="653"/>
      <c r="N203" s="659"/>
      <c r="O203" s="659"/>
      <c r="P203" s="659"/>
      <c r="Q203" s="659"/>
      <c r="R203" s="659"/>
      <c r="S203" s="659"/>
      <c r="T203" s="659"/>
      <c r="U203" s="659"/>
      <c r="V203" s="659"/>
      <c r="W203" s="659"/>
      <c r="X203" s="659"/>
      <c r="Y203" s="659"/>
      <c r="Z203" s="659"/>
      <c r="AA203" s="659"/>
      <c r="AB203" s="659"/>
      <c r="AC203" s="659"/>
      <c r="AD203" s="659"/>
      <c r="AE203" s="659"/>
      <c r="AF203" s="659"/>
    </row>
    <row r="204" spans="2:32" x14ac:dyDescent="0.2">
      <c r="B204" s="653"/>
      <c r="C204" s="653"/>
      <c r="D204" s="653"/>
      <c r="E204" s="653"/>
      <c r="F204" s="653"/>
      <c r="G204" s="653"/>
      <c r="H204" s="653"/>
      <c r="I204" s="653"/>
      <c r="J204" s="653"/>
      <c r="K204" s="653"/>
      <c r="L204" s="653"/>
      <c r="N204" s="659"/>
      <c r="O204" s="659"/>
      <c r="P204" s="659"/>
      <c r="Q204" s="659"/>
      <c r="R204" s="659"/>
      <c r="S204" s="659"/>
      <c r="T204" s="659"/>
      <c r="U204" s="659"/>
      <c r="V204" s="659"/>
      <c r="W204" s="659"/>
      <c r="X204" s="659"/>
      <c r="Y204" s="659"/>
      <c r="Z204" s="659"/>
      <c r="AA204" s="659"/>
      <c r="AB204" s="659"/>
      <c r="AC204" s="659"/>
      <c r="AD204" s="659"/>
      <c r="AE204" s="659"/>
      <c r="AF204" s="659"/>
    </row>
    <row r="205" spans="2:32" x14ac:dyDescent="0.2">
      <c r="B205" s="653"/>
      <c r="C205" s="653"/>
      <c r="D205" s="653"/>
      <c r="E205" s="653"/>
      <c r="F205" s="653"/>
      <c r="G205" s="653"/>
      <c r="H205" s="653"/>
      <c r="I205" s="653"/>
      <c r="J205" s="653"/>
      <c r="K205" s="653"/>
      <c r="L205" s="653"/>
      <c r="N205" s="659"/>
      <c r="O205" s="659"/>
      <c r="P205" s="659"/>
      <c r="Q205" s="659"/>
      <c r="R205" s="659"/>
      <c r="S205" s="659"/>
      <c r="T205" s="659"/>
      <c r="U205" s="659"/>
      <c r="V205" s="659"/>
      <c r="W205" s="659"/>
      <c r="X205" s="659"/>
      <c r="Y205" s="659"/>
      <c r="Z205" s="659"/>
      <c r="AA205" s="659"/>
      <c r="AB205" s="659"/>
      <c r="AC205" s="659"/>
      <c r="AD205" s="659"/>
      <c r="AE205" s="659"/>
      <c r="AF205" s="659"/>
    </row>
    <row r="206" spans="2:32" x14ac:dyDescent="0.2">
      <c r="B206" s="653"/>
      <c r="C206" s="653"/>
      <c r="D206" s="653"/>
      <c r="E206" s="653"/>
      <c r="F206" s="653"/>
      <c r="G206" s="653"/>
      <c r="H206" s="653"/>
      <c r="I206" s="653"/>
      <c r="J206" s="653"/>
      <c r="K206" s="653"/>
      <c r="L206" s="653"/>
      <c r="N206" s="659"/>
      <c r="O206" s="659"/>
      <c r="P206" s="659"/>
      <c r="Q206" s="659"/>
      <c r="R206" s="659"/>
      <c r="S206" s="659"/>
      <c r="T206" s="659"/>
      <c r="U206" s="659"/>
      <c r="V206" s="659"/>
      <c r="W206" s="659"/>
      <c r="X206" s="659"/>
      <c r="Y206" s="659"/>
      <c r="Z206" s="659"/>
      <c r="AA206" s="659"/>
      <c r="AB206" s="659"/>
      <c r="AC206" s="659"/>
      <c r="AD206" s="659"/>
      <c r="AE206" s="659"/>
      <c r="AF206" s="659"/>
    </row>
    <row r="207" spans="2:32" x14ac:dyDescent="0.2">
      <c r="B207" s="653"/>
      <c r="C207" s="653"/>
      <c r="D207" s="653"/>
      <c r="E207" s="653"/>
      <c r="F207" s="653"/>
      <c r="G207" s="653"/>
      <c r="H207" s="653"/>
      <c r="I207" s="653"/>
      <c r="J207" s="653"/>
      <c r="K207" s="653"/>
      <c r="L207" s="653"/>
      <c r="N207" s="659"/>
      <c r="O207" s="659"/>
      <c r="P207" s="659"/>
      <c r="Q207" s="659"/>
      <c r="R207" s="659"/>
      <c r="S207" s="659"/>
      <c r="T207" s="659"/>
      <c r="U207" s="659"/>
      <c r="V207" s="659"/>
      <c r="W207" s="659"/>
      <c r="X207" s="659"/>
      <c r="Y207" s="659"/>
      <c r="Z207" s="659"/>
      <c r="AA207" s="659"/>
      <c r="AB207" s="659"/>
      <c r="AC207" s="659"/>
      <c r="AD207" s="659"/>
      <c r="AE207" s="659"/>
      <c r="AF207" s="659"/>
    </row>
    <row r="208" spans="2:32" x14ac:dyDescent="0.2">
      <c r="B208" s="653"/>
      <c r="C208" s="653"/>
      <c r="D208" s="653"/>
      <c r="E208" s="653"/>
      <c r="F208" s="653"/>
      <c r="G208" s="653"/>
      <c r="H208" s="653"/>
      <c r="I208" s="653"/>
      <c r="J208" s="653"/>
      <c r="K208" s="653"/>
      <c r="L208" s="653"/>
      <c r="N208" s="659"/>
      <c r="O208" s="659"/>
      <c r="P208" s="659"/>
      <c r="Q208" s="659"/>
      <c r="R208" s="659"/>
      <c r="S208" s="659"/>
      <c r="T208" s="659"/>
      <c r="U208" s="659"/>
      <c r="V208" s="659"/>
      <c r="W208" s="659"/>
      <c r="X208" s="659"/>
      <c r="Y208" s="659"/>
      <c r="Z208" s="659"/>
      <c r="AA208" s="659"/>
      <c r="AB208" s="659"/>
      <c r="AC208" s="659"/>
      <c r="AD208" s="659"/>
      <c r="AE208" s="659"/>
      <c r="AF208" s="659"/>
    </row>
    <row r="209" spans="2:32" x14ac:dyDescent="0.2">
      <c r="B209" s="653"/>
      <c r="C209" s="653"/>
      <c r="D209" s="653"/>
      <c r="E209" s="653"/>
      <c r="F209" s="653"/>
      <c r="G209" s="653"/>
      <c r="H209" s="653"/>
      <c r="I209" s="653"/>
      <c r="J209" s="653"/>
      <c r="K209" s="653"/>
      <c r="L209" s="653"/>
      <c r="N209" s="659"/>
      <c r="O209" s="659"/>
      <c r="P209" s="659"/>
      <c r="Q209" s="659"/>
      <c r="R209" s="659"/>
      <c r="S209" s="659"/>
      <c r="T209" s="659"/>
      <c r="U209" s="659"/>
      <c r="V209" s="659"/>
      <c r="W209" s="659"/>
      <c r="X209" s="659"/>
      <c r="Y209" s="659"/>
      <c r="Z209" s="659"/>
      <c r="AA209" s="659"/>
      <c r="AB209" s="659"/>
      <c r="AC209" s="659"/>
      <c r="AD209" s="659"/>
      <c r="AE209" s="659"/>
      <c r="AF209" s="659"/>
    </row>
    <row r="210" spans="2:32" x14ac:dyDescent="0.2">
      <c r="B210" s="653"/>
      <c r="C210" s="653"/>
      <c r="D210" s="653"/>
      <c r="E210" s="653"/>
      <c r="F210" s="653"/>
      <c r="G210" s="653"/>
      <c r="H210" s="653"/>
      <c r="I210" s="653"/>
      <c r="J210" s="653"/>
      <c r="K210" s="653"/>
      <c r="L210" s="653"/>
      <c r="N210" s="659"/>
      <c r="O210" s="659"/>
      <c r="P210" s="659"/>
      <c r="Q210" s="659"/>
      <c r="R210" s="659"/>
      <c r="S210" s="659"/>
      <c r="T210" s="659"/>
      <c r="U210" s="659"/>
      <c r="V210" s="659"/>
      <c r="W210" s="659"/>
      <c r="X210" s="659"/>
      <c r="Y210" s="659"/>
      <c r="Z210" s="659"/>
      <c r="AA210" s="659"/>
      <c r="AB210" s="659"/>
      <c r="AC210" s="659"/>
      <c r="AD210" s="659"/>
      <c r="AE210" s="659"/>
      <c r="AF210" s="659"/>
    </row>
    <row r="211" spans="2:32" x14ac:dyDescent="0.2">
      <c r="B211" s="653"/>
      <c r="C211" s="653"/>
      <c r="D211" s="653"/>
      <c r="E211" s="653"/>
      <c r="F211" s="653"/>
      <c r="G211" s="653"/>
      <c r="H211" s="653"/>
      <c r="I211" s="653"/>
      <c r="J211" s="653"/>
      <c r="K211" s="653"/>
      <c r="L211" s="653"/>
      <c r="N211" s="659"/>
      <c r="O211" s="659"/>
      <c r="P211" s="659"/>
      <c r="Q211" s="659"/>
      <c r="R211" s="659"/>
      <c r="S211" s="659"/>
      <c r="T211" s="659"/>
      <c r="U211" s="659"/>
      <c r="V211" s="659"/>
      <c r="W211" s="659"/>
      <c r="X211" s="659"/>
      <c r="Y211" s="659"/>
      <c r="Z211" s="659"/>
      <c r="AA211" s="659"/>
      <c r="AB211" s="659"/>
      <c r="AC211" s="659"/>
      <c r="AD211" s="659"/>
      <c r="AE211" s="659"/>
      <c r="AF211" s="659"/>
    </row>
    <row r="212" spans="2:32" x14ac:dyDescent="0.2">
      <c r="B212" s="653"/>
      <c r="C212" s="653"/>
      <c r="D212" s="653"/>
      <c r="E212" s="653"/>
      <c r="F212" s="653"/>
      <c r="G212" s="653"/>
      <c r="H212" s="653"/>
      <c r="I212" s="653"/>
      <c r="J212" s="653"/>
      <c r="K212" s="653"/>
      <c r="L212" s="653"/>
      <c r="N212" s="659"/>
      <c r="O212" s="659"/>
      <c r="P212" s="659"/>
      <c r="Q212" s="659"/>
      <c r="R212" s="659"/>
      <c r="S212" s="659"/>
      <c r="T212" s="659"/>
      <c r="U212" s="659"/>
      <c r="V212" s="659"/>
      <c r="W212" s="659"/>
      <c r="X212" s="659"/>
      <c r="Y212" s="659"/>
      <c r="Z212" s="659"/>
      <c r="AA212" s="659"/>
      <c r="AB212" s="659"/>
      <c r="AC212" s="659"/>
      <c r="AD212" s="659"/>
      <c r="AE212" s="659"/>
      <c r="AF212" s="659"/>
    </row>
    <row r="213" spans="2:32" x14ac:dyDescent="0.2">
      <c r="B213" s="653"/>
      <c r="C213" s="653"/>
      <c r="D213" s="653"/>
      <c r="E213" s="653"/>
      <c r="F213" s="653"/>
      <c r="G213" s="653"/>
      <c r="H213" s="653"/>
      <c r="I213" s="653"/>
      <c r="J213" s="653"/>
      <c r="K213" s="653"/>
      <c r="L213" s="653"/>
      <c r="N213" s="659"/>
      <c r="O213" s="659"/>
      <c r="P213" s="659"/>
      <c r="Q213" s="659"/>
      <c r="R213" s="659"/>
      <c r="S213" s="659"/>
      <c r="T213" s="659"/>
      <c r="U213" s="659"/>
      <c r="V213" s="659"/>
      <c r="W213" s="659"/>
      <c r="X213" s="659"/>
      <c r="Y213" s="659"/>
      <c r="Z213" s="659"/>
      <c r="AA213" s="659"/>
      <c r="AB213" s="659"/>
      <c r="AC213" s="659"/>
      <c r="AD213" s="659"/>
      <c r="AE213" s="659"/>
      <c r="AF213" s="659"/>
    </row>
    <row r="214" spans="2:32" x14ac:dyDescent="0.2">
      <c r="B214" s="653"/>
      <c r="C214" s="653"/>
      <c r="D214" s="653"/>
      <c r="E214" s="653"/>
      <c r="F214" s="653"/>
      <c r="G214" s="653"/>
      <c r="H214" s="653"/>
      <c r="I214" s="653"/>
      <c r="J214" s="653"/>
      <c r="K214" s="653"/>
      <c r="L214" s="653"/>
      <c r="N214" s="659"/>
      <c r="O214" s="659"/>
      <c r="P214" s="659"/>
      <c r="Q214" s="659"/>
      <c r="R214" s="659"/>
      <c r="S214" s="659"/>
      <c r="T214" s="659"/>
      <c r="U214" s="659"/>
      <c r="V214" s="659"/>
      <c r="W214" s="659"/>
      <c r="X214" s="659"/>
      <c r="Y214" s="659"/>
      <c r="Z214" s="659"/>
      <c r="AA214" s="659"/>
      <c r="AB214" s="659"/>
      <c r="AC214" s="659"/>
      <c r="AD214" s="659"/>
      <c r="AE214" s="659"/>
      <c r="AF214" s="659"/>
    </row>
    <row r="215" spans="2:32" x14ac:dyDescent="0.2">
      <c r="B215" s="653"/>
      <c r="C215" s="653"/>
      <c r="D215" s="653"/>
      <c r="E215" s="653"/>
      <c r="F215" s="653"/>
      <c r="G215" s="653"/>
      <c r="H215" s="653"/>
      <c r="I215" s="653"/>
      <c r="J215" s="653"/>
      <c r="K215" s="653"/>
      <c r="L215" s="653"/>
      <c r="N215" s="659"/>
      <c r="O215" s="659"/>
      <c r="P215" s="659"/>
      <c r="Q215" s="659"/>
      <c r="R215" s="659"/>
      <c r="S215" s="659"/>
      <c r="T215" s="659"/>
      <c r="U215" s="659"/>
      <c r="V215" s="659"/>
      <c r="W215" s="659"/>
      <c r="X215" s="659"/>
      <c r="Y215" s="659"/>
      <c r="Z215" s="659"/>
      <c r="AA215" s="659"/>
      <c r="AB215" s="659"/>
      <c r="AC215" s="659"/>
      <c r="AD215" s="659"/>
      <c r="AE215" s="659"/>
      <c r="AF215" s="659"/>
    </row>
    <row r="216" spans="2:32" x14ac:dyDescent="0.2">
      <c r="B216" s="653"/>
      <c r="C216" s="653"/>
      <c r="D216" s="653"/>
      <c r="E216" s="653"/>
      <c r="F216" s="653"/>
      <c r="G216" s="653"/>
      <c r="H216" s="653"/>
      <c r="I216" s="653"/>
      <c r="J216" s="653"/>
      <c r="K216" s="653"/>
      <c r="L216" s="653"/>
      <c r="N216" s="659"/>
      <c r="O216" s="659"/>
      <c r="P216" s="659"/>
      <c r="Q216" s="659"/>
      <c r="R216" s="659"/>
      <c r="S216" s="659"/>
      <c r="T216" s="659"/>
      <c r="U216" s="659"/>
      <c r="V216" s="659"/>
      <c r="W216" s="659"/>
      <c r="X216" s="659"/>
      <c r="Y216" s="659"/>
      <c r="Z216" s="659"/>
      <c r="AA216" s="659"/>
      <c r="AB216" s="659"/>
      <c r="AC216" s="659"/>
      <c r="AD216" s="659"/>
      <c r="AE216" s="659"/>
      <c r="AF216" s="659"/>
    </row>
    <row r="217" spans="2:32" x14ac:dyDescent="0.2">
      <c r="B217" s="653"/>
      <c r="C217" s="653"/>
      <c r="D217" s="653"/>
      <c r="E217" s="653"/>
      <c r="F217" s="653"/>
      <c r="G217" s="653"/>
      <c r="H217" s="653"/>
      <c r="I217" s="653"/>
      <c r="J217" s="653"/>
      <c r="K217" s="653"/>
      <c r="L217" s="653"/>
      <c r="N217" s="659"/>
      <c r="O217" s="659"/>
      <c r="P217" s="659"/>
      <c r="Q217" s="659"/>
      <c r="R217" s="659"/>
      <c r="S217" s="659"/>
      <c r="T217" s="659"/>
      <c r="U217" s="659"/>
      <c r="V217" s="659"/>
      <c r="W217" s="659"/>
      <c r="X217" s="659"/>
      <c r="Y217" s="659"/>
      <c r="Z217" s="659"/>
      <c r="AA217" s="659"/>
      <c r="AB217" s="659"/>
      <c r="AC217" s="659"/>
      <c r="AD217" s="659"/>
      <c r="AE217" s="659"/>
      <c r="AF217" s="659"/>
    </row>
    <row r="218" spans="2:32" x14ac:dyDescent="0.2">
      <c r="B218" s="653"/>
      <c r="C218" s="653"/>
      <c r="D218" s="653"/>
      <c r="E218" s="653"/>
      <c r="F218" s="653"/>
      <c r="G218" s="653"/>
      <c r="H218" s="653"/>
      <c r="I218" s="653"/>
      <c r="J218" s="653"/>
      <c r="K218" s="653"/>
      <c r="L218" s="653"/>
      <c r="N218" s="659"/>
      <c r="O218" s="659"/>
      <c r="P218" s="659"/>
      <c r="Q218" s="659"/>
      <c r="R218" s="659"/>
      <c r="S218" s="659"/>
      <c r="T218" s="659"/>
      <c r="U218" s="659"/>
      <c r="V218" s="659"/>
      <c r="W218" s="659"/>
      <c r="X218" s="659"/>
      <c r="Y218" s="659"/>
      <c r="Z218" s="659"/>
      <c r="AA218" s="659"/>
      <c r="AB218" s="659"/>
      <c r="AC218" s="659"/>
      <c r="AD218" s="659"/>
      <c r="AE218" s="659"/>
      <c r="AF218" s="659"/>
    </row>
    <row r="219" spans="2:32" x14ac:dyDescent="0.2">
      <c r="B219" s="653"/>
      <c r="C219" s="653"/>
      <c r="D219" s="653"/>
      <c r="E219" s="653"/>
      <c r="F219" s="653"/>
      <c r="G219" s="653"/>
      <c r="H219" s="653"/>
      <c r="I219" s="653"/>
      <c r="J219" s="653"/>
      <c r="K219" s="653"/>
      <c r="L219" s="653"/>
      <c r="N219" s="659"/>
      <c r="O219" s="659"/>
      <c r="P219" s="659"/>
      <c r="Q219" s="659"/>
      <c r="R219" s="659"/>
      <c r="S219" s="659"/>
      <c r="T219" s="659"/>
      <c r="U219" s="659"/>
      <c r="V219" s="659"/>
      <c r="W219" s="659"/>
      <c r="X219" s="659"/>
      <c r="Y219" s="659"/>
      <c r="Z219" s="659"/>
      <c r="AA219" s="659"/>
      <c r="AB219" s="659"/>
      <c r="AC219" s="659"/>
      <c r="AD219" s="659"/>
      <c r="AE219" s="659"/>
      <c r="AF219" s="659"/>
    </row>
    <row r="220" spans="2:32" x14ac:dyDescent="0.2">
      <c r="B220" s="653"/>
      <c r="C220" s="653"/>
      <c r="D220" s="653"/>
      <c r="E220" s="653"/>
      <c r="F220" s="653"/>
      <c r="G220" s="653"/>
      <c r="H220" s="653"/>
      <c r="I220" s="653"/>
      <c r="J220" s="653"/>
      <c r="K220" s="653"/>
      <c r="L220" s="653"/>
      <c r="N220" s="659"/>
      <c r="O220" s="659"/>
      <c r="P220" s="659"/>
      <c r="Q220" s="659"/>
      <c r="R220" s="659"/>
      <c r="S220" s="659"/>
      <c r="T220" s="659"/>
      <c r="U220" s="659"/>
      <c r="V220" s="659"/>
      <c r="W220" s="659"/>
      <c r="X220" s="659"/>
      <c r="Y220" s="659"/>
      <c r="Z220" s="659"/>
      <c r="AA220" s="659"/>
      <c r="AB220" s="659"/>
      <c r="AC220" s="659"/>
      <c r="AD220" s="659"/>
      <c r="AE220" s="659"/>
      <c r="AF220" s="659"/>
    </row>
    <row r="221" spans="2:32" x14ac:dyDescent="0.2">
      <c r="B221" s="653"/>
      <c r="C221" s="653"/>
      <c r="D221" s="653"/>
      <c r="E221" s="653"/>
      <c r="F221" s="653"/>
      <c r="G221" s="653"/>
      <c r="H221" s="653"/>
      <c r="I221" s="653"/>
      <c r="J221" s="653"/>
      <c r="K221" s="653"/>
      <c r="L221" s="653"/>
      <c r="N221" s="659"/>
      <c r="O221" s="659"/>
      <c r="P221" s="659"/>
      <c r="Q221" s="659"/>
      <c r="R221" s="659"/>
      <c r="S221" s="659"/>
      <c r="T221" s="659"/>
      <c r="U221" s="659"/>
      <c r="V221" s="659"/>
      <c r="W221" s="659"/>
      <c r="X221" s="659"/>
      <c r="Y221" s="659"/>
      <c r="Z221" s="659"/>
      <c r="AA221" s="659"/>
      <c r="AB221" s="659"/>
      <c r="AC221" s="659"/>
      <c r="AD221" s="659"/>
      <c r="AE221" s="659"/>
      <c r="AF221" s="659"/>
    </row>
    <row r="222" spans="2:32" x14ac:dyDescent="0.2">
      <c r="B222" s="653"/>
      <c r="C222" s="653"/>
      <c r="D222" s="653"/>
      <c r="E222" s="653"/>
      <c r="F222" s="653"/>
      <c r="G222" s="653"/>
      <c r="H222" s="653"/>
      <c r="I222" s="653"/>
      <c r="J222" s="653"/>
      <c r="K222" s="653"/>
      <c r="L222" s="653"/>
      <c r="N222" s="659"/>
      <c r="O222" s="659"/>
      <c r="P222" s="659"/>
      <c r="Q222" s="659"/>
      <c r="R222" s="659"/>
      <c r="S222" s="659"/>
      <c r="T222" s="659"/>
      <c r="U222" s="659"/>
      <c r="V222" s="659"/>
      <c r="W222" s="659"/>
      <c r="X222" s="659"/>
      <c r="Y222" s="659"/>
      <c r="Z222" s="659"/>
      <c r="AA222" s="659"/>
      <c r="AB222" s="659"/>
      <c r="AC222" s="659"/>
      <c r="AD222" s="659"/>
      <c r="AE222" s="659"/>
      <c r="AF222" s="659"/>
    </row>
    <row r="223" spans="2:32" x14ac:dyDescent="0.2">
      <c r="B223" s="653"/>
      <c r="C223" s="653"/>
      <c r="D223" s="653"/>
      <c r="E223" s="653"/>
      <c r="F223" s="653"/>
      <c r="G223" s="653"/>
      <c r="H223" s="653"/>
      <c r="I223" s="653"/>
      <c r="J223" s="653"/>
      <c r="K223" s="653"/>
      <c r="L223" s="653"/>
      <c r="N223" s="659"/>
      <c r="O223" s="659"/>
      <c r="P223" s="659"/>
      <c r="Q223" s="659"/>
      <c r="R223" s="659"/>
      <c r="S223" s="659"/>
      <c r="T223" s="659"/>
      <c r="U223" s="659"/>
      <c r="V223" s="659"/>
      <c r="W223" s="659"/>
      <c r="X223" s="659"/>
      <c r="Y223" s="659"/>
      <c r="Z223" s="659"/>
      <c r="AA223" s="659"/>
      <c r="AB223" s="659"/>
      <c r="AC223" s="659"/>
      <c r="AD223" s="659"/>
      <c r="AE223" s="659"/>
      <c r="AF223" s="659"/>
    </row>
    <row r="224" spans="2:32" x14ac:dyDescent="0.2">
      <c r="B224" s="653"/>
      <c r="C224" s="653"/>
      <c r="D224" s="653"/>
      <c r="E224" s="653"/>
      <c r="F224" s="653"/>
      <c r="G224" s="653"/>
      <c r="H224" s="653"/>
      <c r="I224" s="653"/>
      <c r="J224" s="653"/>
      <c r="K224" s="653"/>
      <c r="L224" s="653"/>
      <c r="N224" s="659"/>
      <c r="O224" s="659"/>
      <c r="P224" s="659"/>
      <c r="Q224" s="659"/>
      <c r="R224" s="659"/>
      <c r="S224" s="659"/>
      <c r="T224" s="659"/>
      <c r="U224" s="659"/>
      <c r="V224" s="659"/>
      <c r="W224" s="659"/>
      <c r="X224" s="659"/>
      <c r="Y224" s="659"/>
      <c r="Z224" s="659"/>
      <c r="AA224" s="659"/>
      <c r="AB224" s="659"/>
      <c r="AC224" s="659"/>
      <c r="AD224" s="659"/>
      <c r="AE224" s="659"/>
      <c r="AF224" s="659"/>
    </row>
    <row r="225" spans="2:32" x14ac:dyDescent="0.2">
      <c r="B225" s="653"/>
      <c r="C225" s="653"/>
      <c r="D225" s="653"/>
      <c r="E225" s="653"/>
      <c r="F225" s="653"/>
      <c r="G225" s="653"/>
      <c r="H225" s="653"/>
      <c r="I225" s="653"/>
      <c r="J225" s="653"/>
      <c r="K225" s="653"/>
      <c r="L225" s="653"/>
      <c r="N225" s="659"/>
      <c r="O225" s="659"/>
      <c r="P225" s="659"/>
      <c r="Q225" s="659"/>
      <c r="R225" s="659"/>
      <c r="S225" s="659"/>
      <c r="T225" s="659"/>
      <c r="U225" s="659"/>
      <c r="V225" s="659"/>
      <c r="W225" s="659"/>
      <c r="X225" s="659"/>
      <c r="Y225" s="659"/>
      <c r="Z225" s="659"/>
      <c r="AA225" s="659"/>
      <c r="AB225" s="659"/>
      <c r="AC225" s="659"/>
      <c r="AD225" s="659"/>
      <c r="AE225" s="659"/>
      <c r="AF225" s="659"/>
    </row>
    <row r="226" spans="2:32" x14ac:dyDescent="0.2">
      <c r="B226" s="653"/>
      <c r="C226" s="653"/>
      <c r="D226" s="653"/>
      <c r="E226" s="653"/>
      <c r="F226" s="653"/>
      <c r="G226" s="653"/>
      <c r="H226" s="653"/>
      <c r="I226" s="653"/>
      <c r="J226" s="653"/>
      <c r="K226" s="653"/>
      <c r="L226" s="653"/>
      <c r="N226" s="659"/>
      <c r="O226" s="659"/>
      <c r="P226" s="659"/>
      <c r="Q226" s="659"/>
      <c r="R226" s="659"/>
      <c r="S226" s="659"/>
      <c r="T226" s="659"/>
      <c r="U226" s="659"/>
      <c r="V226" s="659"/>
      <c r="W226" s="659"/>
      <c r="X226" s="659"/>
      <c r="Y226" s="659"/>
      <c r="Z226" s="659"/>
      <c r="AA226" s="659"/>
      <c r="AB226" s="659"/>
      <c r="AC226" s="659"/>
      <c r="AD226" s="659"/>
      <c r="AE226" s="659"/>
      <c r="AF226" s="659"/>
    </row>
    <row r="227" spans="2:32" x14ac:dyDescent="0.2">
      <c r="B227" s="653"/>
      <c r="C227" s="653"/>
      <c r="D227" s="653"/>
      <c r="E227" s="653"/>
      <c r="F227" s="653"/>
      <c r="G227" s="653"/>
      <c r="H227" s="653"/>
      <c r="I227" s="653"/>
      <c r="J227" s="653"/>
      <c r="K227" s="653"/>
      <c r="L227" s="653"/>
      <c r="N227" s="659"/>
      <c r="O227" s="659"/>
      <c r="P227" s="659"/>
      <c r="Q227" s="659"/>
      <c r="R227" s="659"/>
      <c r="S227" s="659"/>
      <c r="T227" s="659"/>
      <c r="U227" s="659"/>
      <c r="V227" s="659"/>
      <c r="W227" s="659"/>
      <c r="X227" s="659"/>
      <c r="Y227" s="659"/>
      <c r="Z227" s="659"/>
      <c r="AA227" s="659"/>
      <c r="AB227" s="659"/>
      <c r="AC227" s="659"/>
      <c r="AD227" s="659"/>
      <c r="AE227" s="659"/>
      <c r="AF227" s="659"/>
    </row>
    <row r="228" spans="2:32" x14ac:dyDescent="0.2">
      <c r="B228" s="653"/>
      <c r="C228" s="653"/>
      <c r="D228" s="653"/>
      <c r="E228" s="653"/>
      <c r="F228" s="653"/>
      <c r="G228" s="653"/>
      <c r="H228" s="653"/>
      <c r="I228" s="653"/>
      <c r="J228" s="653"/>
      <c r="K228" s="653"/>
      <c r="L228" s="653"/>
      <c r="N228" s="659"/>
      <c r="O228" s="659"/>
      <c r="P228" s="659"/>
      <c r="Q228" s="659"/>
      <c r="R228" s="659"/>
      <c r="S228" s="659"/>
      <c r="T228" s="659"/>
      <c r="U228" s="659"/>
      <c r="V228" s="659"/>
      <c r="W228" s="659"/>
      <c r="X228" s="659"/>
      <c r="Y228" s="659"/>
      <c r="Z228" s="659"/>
      <c r="AA228" s="659"/>
      <c r="AB228" s="659"/>
      <c r="AC228" s="659"/>
      <c r="AD228" s="659"/>
      <c r="AE228" s="659"/>
      <c r="AF228" s="659"/>
    </row>
    <row r="229" spans="2:32" x14ac:dyDescent="0.2">
      <c r="B229" s="653"/>
      <c r="C229" s="653"/>
      <c r="D229" s="653"/>
      <c r="E229" s="653"/>
      <c r="F229" s="653"/>
      <c r="G229" s="653"/>
      <c r="H229" s="653"/>
      <c r="I229" s="653"/>
      <c r="J229" s="653"/>
      <c r="K229" s="653"/>
      <c r="L229" s="653"/>
      <c r="N229" s="659"/>
      <c r="O229" s="659"/>
      <c r="P229" s="659"/>
      <c r="Q229" s="659"/>
      <c r="R229" s="659"/>
      <c r="S229" s="659"/>
      <c r="T229" s="659"/>
      <c r="U229" s="659"/>
      <c r="V229" s="659"/>
      <c r="W229" s="659"/>
      <c r="X229" s="659"/>
      <c r="Y229" s="659"/>
      <c r="Z229" s="659"/>
      <c r="AA229" s="659"/>
      <c r="AB229" s="659"/>
      <c r="AC229" s="659"/>
      <c r="AD229" s="659"/>
      <c r="AE229" s="659"/>
      <c r="AF229" s="659"/>
    </row>
    <row r="230" spans="2:32" x14ac:dyDescent="0.2">
      <c r="B230" s="653"/>
      <c r="C230" s="653"/>
      <c r="D230" s="653"/>
      <c r="E230" s="653"/>
      <c r="F230" s="653"/>
      <c r="G230" s="653"/>
      <c r="H230" s="653"/>
      <c r="I230" s="653"/>
      <c r="J230" s="653"/>
      <c r="K230" s="653"/>
      <c r="L230" s="653"/>
      <c r="N230" s="659"/>
      <c r="O230" s="659"/>
      <c r="P230" s="659"/>
      <c r="Q230" s="659"/>
      <c r="R230" s="659"/>
      <c r="S230" s="659"/>
      <c r="T230" s="659"/>
      <c r="U230" s="659"/>
      <c r="V230" s="659"/>
      <c r="W230" s="659"/>
      <c r="X230" s="659"/>
      <c r="Y230" s="659"/>
      <c r="Z230" s="659"/>
      <c r="AA230" s="659"/>
      <c r="AB230" s="659"/>
      <c r="AC230" s="659"/>
      <c r="AD230" s="659"/>
      <c r="AE230" s="659"/>
      <c r="AF230" s="659"/>
    </row>
    <row r="231" spans="2:32" x14ac:dyDescent="0.2">
      <c r="B231" s="653"/>
      <c r="C231" s="653"/>
      <c r="D231" s="653"/>
      <c r="E231" s="653"/>
      <c r="F231" s="653"/>
      <c r="G231" s="653"/>
      <c r="H231" s="653"/>
      <c r="I231" s="653"/>
      <c r="J231" s="653"/>
      <c r="K231" s="653"/>
      <c r="L231" s="653"/>
      <c r="N231" s="659"/>
      <c r="O231" s="659"/>
      <c r="P231" s="659"/>
      <c r="Q231" s="659"/>
      <c r="R231" s="659"/>
      <c r="S231" s="659"/>
      <c r="T231" s="659"/>
      <c r="U231" s="659"/>
      <c r="V231" s="659"/>
      <c r="W231" s="659"/>
      <c r="X231" s="659"/>
      <c r="Y231" s="659"/>
      <c r="Z231" s="659"/>
      <c r="AA231" s="659"/>
      <c r="AB231" s="659"/>
      <c r="AC231" s="659"/>
      <c r="AD231" s="659"/>
      <c r="AE231" s="659"/>
      <c r="AF231" s="659"/>
    </row>
    <row r="232" spans="2:32" x14ac:dyDescent="0.2">
      <c r="B232" s="653"/>
      <c r="C232" s="653"/>
      <c r="D232" s="653"/>
      <c r="E232" s="653"/>
      <c r="F232" s="653"/>
      <c r="G232" s="653"/>
      <c r="H232" s="653"/>
      <c r="I232" s="653"/>
      <c r="J232" s="653"/>
      <c r="K232" s="653"/>
      <c r="L232" s="653"/>
      <c r="N232" s="659"/>
      <c r="O232" s="659"/>
      <c r="P232" s="659"/>
      <c r="Q232" s="659"/>
      <c r="R232" s="659"/>
      <c r="S232" s="659"/>
      <c r="T232" s="659"/>
      <c r="U232" s="659"/>
      <c r="V232" s="659"/>
      <c r="W232" s="659"/>
      <c r="X232" s="659"/>
      <c r="Y232" s="659"/>
      <c r="Z232" s="659"/>
      <c r="AA232" s="659"/>
      <c r="AB232" s="659"/>
      <c r="AC232" s="659"/>
      <c r="AD232" s="659"/>
      <c r="AE232" s="659"/>
      <c r="AF232" s="659"/>
    </row>
    <row r="233" spans="2:32" x14ac:dyDescent="0.2">
      <c r="B233" s="653"/>
      <c r="C233" s="653"/>
      <c r="D233" s="653"/>
      <c r="E233" s="653"/>
      <c r="F233" s="653"/>
      <c r="G233" s="653"/>
      <c r="H233" s="653"/>
      <c r="I233" s="653"/>
      <c r="J233" s="653"/>
      <c r="K233" s="653"/>
      <c r="L233" s="653"/>
      <c r="N233" s="659"/>
      <c r="O233" s="659"/>
      <c r="P233" s="659"/>
      <c r="Q233" s="659"/>
      <c r="R233" s="659"/>
      <c r="S233" s="659"/>
      <c r="T233" s="659"/>
      <c r="U233" s="659"/>
      <c r="V233" s="659"/>
      <c r="W233" s="659"/>
      <c r="X233" s="659"/>
      <c r="Y233" s="659"/>
      <c r="Z233" s="659"/>
      <c r="AA233" s="659"/>
      <c r="AB233" s="659"/>
      <c r="AC233" s="659"/>
      <c r="AD233" s="659"/>
      <c r="AE233" s="659"/>
      <c r="AF233" s="659"/>
    </row>
    <row r="234" spans="2:32" x14ac:dyDescent="0.2">
      <c r="B234" s="653"/>
      <c r="C234" s="653"/>
      <c r="D234" s="653"/>
      <c r="E234" s="653"/>
      <c r="F234" s="653"/>
      <c r="G234" s="653"/>
      <c r="H234" s="653"/>
      <c r="I234" s="653"/>
      <c r="J234" s="653"/>
      <c r="K234" s="653"/>
      <c r="L234" s="653"/>
      <c r="N234" s="659"/>
      <c r="O234" s="659"/>
      <c r="P234" s="659"/>
      <c r="Q234" s="659"/>
      <c r="R234" s="659"/>
      <c r="S234" s="659"/>
      <c r="T234" s="659"/>
      <c r="U234" s="659"/>
      <c r="V234" s="659"/>
      <c r="W234" s="659"/>
      <c r="X234" s="659"/>
      <c r="Y234" s="659"/>
      <c r="Z234" s="659"/>
      <c r="AA234" s="659"/>
      <c r="AB234" s="659"/>
      <c r="AC234" s="659"/>
      <c r="AD234" s="659"/>
      <c r="AE234" s="659"/>
      <c r="AF234" s="659"/>
    </row>
    <row r="235" spans="2:32" x14ac:dyDescent="0.2">
      <c r="B235" s="653"/>
      <c r="C235" s="653"/>
      <c r="D235" s="653"/>
      <c r="E235" s="653"/>
      <c r="F235" s="653"/>
      <c r="G235" s="653"/>
      <c r="H235" s="653"/>
      <c r="I235" s="653"/>
      <c r="J235" s="653"/>
      <c r="K235" s="653"/>
      <c r="L235" s="653"/>
      <c r="N235" s="659"/>
      <c r="O235" s="659"/>
      <c r="P235" s="659"/>
      <c r="Q235" s="659"/>
      <c r="R235" s="659"/>
      <c r="S235" s="659"/>
      <c r="T235" s="659"/>
      <c r="U235" s="659"/>
      <c r="V235" s="659"/>
      <c r="W235" s="659"/>
      <c r="X235" s="659"/>
      <c r="Y235" s="659"/>
      <c r="Z235" s="659"/>
      <c r="AA235" s="659"/>
      <c r="AB235" s="659"/>
      <c r="AC235" s="659"/>
      <c r="AD235" s="659"/>
      <c r="AE235" s="659"/>
      <c r="AF235" s="659"/>
    </row>
    <row r="236" spans="2:32" x14ac:dyDescent="0.2">
      <c r="B236" s="653"/>
      <c r="C236" s="653"/>
      <c r="D236" s="653"/>
      <c r="E236" s="653"/>
      <c r="F236" s="653"/>
      <c r="G236" s="653"/>
      <c r="H236" s="653"/>
      <c r="I236" s="653"/>
      <c r="J236" s="653"/>
      <c r="K236" s="653"/>
      <c r="L236" s="653"/>
      <c r="N236" s="659"/>
      <c r="O236" s="659"/>
      <c r="P236" s="659"/>
      <c r="Q236" s="659"/>
      <c r="R236" s="659"/>
      <c r="S236" s="659"/>
      <c r="T236" s="659"/>
      <c r="U236" s="659"/>
      <c r="V236" s="659"/>
      <c r="W236" s="659"/>
      <c r="X236" s="659"/>
      <c r="Y236" s="659"/>
      <c r="Z236" s="659"/>
      <c r="AA236" s="659"/>
      <c r="AB236" s="659"/>
      <c r="AC236" s="659"/>
      <c r="AD236" s="659"/>
      <c r="AE236" s="659"/>
      <c r="AF236" s="659"/>
    </row>
    <row r="237" spans="2:32" x14ac:dyDescent="0.2">
      <c r="B237" s="653"/>
      <c r="C237" s="653"/>
      <c r="D237" s="653"/>
      <c r="E237" s="653"/>
      <c r="F237" s="653"/>
      <c r="G237" s="653"/>
      <c r="H237" s="653"/>
      <c r="I237" s="653"/>
      <c r="J237" s="653"/>
      <c r="K237" s="653"/>
      <c r="L237" s="653"/>
      <c r="N237" s="659"/>
      <c r="O237" s="659"/>
      <c r="P237" s="659"/>
      <c r="Q237" s="659"/>
      <c r="R237" s="659"/>
      <c r="S237" s="659"/>
      <c r="T237" s="659"/>
      <c r="U237" s="659"/>
      <c r="V237" s="659"/>
      <c r="W237" s="659"/>
      <c r="X237" s="659"/>
      <c r="Y237" s="659"/>
      <c r="Z237" s="659"/>
      <c r="AA237" s="659"/>
      <c r="AB237" s="659"/>
      <c r="AC237" s="659"/>
      <c r="AD237" s="659"/>
      <c r="AE237" s="659"/>
      <c r="AF237" s="659"/>
    </row>
    <row r="238" spans="2:32" x14ac:dyDescent="0.2">
      <c r="B238" s="653"/>
      <c r="C238" s="653"/>
      <c r="D238" s="653"/>
      <c r="E238" s="653"/>
      <c r="F238" s="653"/>
      <c r="G238" s="653"/>
      <c r="H238" s="653"/>
      <c r="I238" s="653"/>
      <c r="J238" s="653"/>
      <c r="K238" s="653"/>
      <c r="L238" s="653"/>
      <c r="N238" s="659"/>
      <c r="O238" s="659"/>
      <c r="P238" s="659"/>
      <c r="Q238" s="659"/>
      <c r="R238" s="659"/>
      <c r="S238" s="659"/>
      <c r="T238" s="659"/>
      <c r="U238" s="659"/>
      <c r="V238" s="659"/>
      <c r="W238" s="659"/>
      <c r="X238" s="659"/>
      <c r="Y238" s="659"/>
      <c r="Z238" s="659"/>
      <c r="AA238" s="659"/>
      <c r="AB238" s="659"/>
      <c r="AC238" s="659"/>
      <c r="AD238" s="659"/>
      <c r="AE238" s="659"/>
      <c r="AF238" s="659"/>
    </row>
    <row r="239" spans="2:32" x14ac:dyDescent="0.2">
      <c r="B239" s="653"/>
      <c r="C239" s="653"/>
      <c r="D239" s="653"/>
      <c r="E239" s="653"/>
      <c r="F239" s="653"/>
      <c r="G239" s="653"/>
      <c r="H239" s="653"/>
      <c r="I239" s="653"/>
      <c r="J239" s="653"/>
      <c r="K239" s="653"/>
      <c r="L239" s="653"/>
      <c r="N239" s="659"/>
      <c r="O239" s="659"/>
      <c r="P239" s="659"/>
      <c r="Q239" s="659"/>
      <c r="R239" s="659"/>
      <c r="S239" s="659"/>
      <c r="T239" s="659"/>
      <c r="U239" s="659"/>
      <c r="V239" s="659"/>
      <c r="W239" s="659"/>
      <c r="X239" s="659"/>
      <c r="Y239" s="659"/>
      <c r="Z239" s="659"/>
      <c r="AA239" s="659"/>
      <c r="AB239" s="659"/>
      <c r="AC239" s="659"/>
      <c r="AD239" s="659"/>
      <c r="AE239" s="659"/>
      <c r="AF239" s="659"/>
    </row>
    <row r="240" spans="2:32" x14ac:dyDescent="0.2">
      <c r="B240" s="653"/>
      <c r="C240" s="653"/>
      <c r="D240" s="653"/>
      <c r="E240" s="653"/>
      <c r="F240" s="653"/>
      <c r="G240" s="653"/>
      <c r="H240" s="653"/>
      <c r="I240" s="653"/>
      <c r="J240" s="653"/>
      <c r="K240" s="653"/>
      <c r="L240" s="653"/>
      <c r="N240" s="659"/>
      <c r="O240" s="659"/>
      <c r="P240" s="659"/>
      <c r="Q240" s="659"/>
      <c r="R240" s="659"/>
      <c r="S240" s="659"/>
      <c r="T240" s="659"/>
      <c r="U240" s="659"/>
      <c r="V240" s="659"/>
      <c r="W240" s="659"/>
      <c r="X240" s="659"/>
      <c r="Y240" s="659"/>
      <c r="Z240" s="659"/>
      <c r="AA240" s="659"/>
      <c r="AB240" s="659"/>
      <c r="AC240" s="659"/>
      <c r="AD240" s="659"/>
      <c r="AE240" s="659"/>
      <c r="AF240" s="659"/>
    </row>
    <row r="241" spans="2:32" x14ac:dyDescent="0.2">
      <c r="B241" s="653"/>
      <c r="C241" s="653"/>
      <c r="D241" s="653"/>
      <c r="E241" s="653"/>
      <c r="F241" s="653"/>
      <c r="G241" s="653"/>
      <c r="H241" s="653"/>
      <c r="I241" s="653"/>
      <c r="J241" s="653"/>
      <c r="K241" s="653"/>
      <c r="L241" s="653"/>
      <c r="N241" s="659"/>
      <c r="O241" s="659"/>
      <c r="P241" s="659"/>
      <c r="Q241" s="659"/>
      <c r="R241" s="659"/>
      <c r="S241" s="659"/>
      <c r="T241" s="659"/>
      <c r="U241" s="659"/>
      <c r="V241" s="659"/>
      <c r="W241" s="659"/>
      <c r="X241" s="659"/>
      <c r="Y241" s="659"/>
      <c r="Z241" s="659"/>
      <c r="AA241" s="659"/>
      <c r="AB241" s="659"/>
      <c r="AC241" s="659"/>
      <c r="AD241" s="659"/>
      <c r="AE241" s="659"/>
      <c r="AF241" s="659"/>
    </row>
    <row r="242" spans="2:32" x14ac:dyDescent="0.2">
      <c r="B242" s="653"/>
      <c r="C242" s="653"/>
      <c r="D242" s="653"/>
      <c r="E242" s="653"/>
      <c r="F242" s="653"/>
      <c r="G242" s="653"/>
      <c r="H242" s="653"/>
      <c r="I242" s="653"/>
      <c r="J242" s="653"/>
      <c r="K242" s="653"/>
      <c r="L242" s="653"/>
      <c r="N242" s="659"/>
      <c r="O242" s="659"/>
      <c r="P242" s="659"/>
      <c r="Q242" s="659"/>
      <c r="R242" s="659"/>
      <c r="S242" s="659"/>
      <c r="T242" s="659"/>
      <c r="U242" s="659"/>
      <c r="V242" s="659"/>
      <c r="W242" s="659"/>
      <c r="X242" s="659"/>
      <c r="Y242" s="659"/>
      <c r="Z242" s="659"/>
      <c r="AA242" s="659"/>
      <c r="AB242" s="659"/>
      <c r="AC242" s="659"/>
      <c r="AD242" s="659"/>
      <c r="AE242" s="659"/>
      <c r="AF242" s="659"/>
    </row>
    <row r="243" spans="2:32" x14ac:dyDescent="0.2">
      <c r="B243" s="653"/>
      <c r="C243" s="653"/>
      <c r="D243" s="653"/>
      <c r="E243" s="653"/>
      <c r="F243" s="653"/>
      <c r="G243" s="653"/>
      <c r="H243" s="653"/>
      <c r="I243" s="653"/>
      <c r="J243" s="653"/>
      <c r="K243" s="653"/>
      <c r="L243" s="653"/>
      <c r="N243" s="659"/>
      <c r="O243" s="659"/>
      <c r="P243" s="659"/>
      <c r="Q243" s="659"/>
      <c r="R243" s="659"/>
      <c r="S243" s="659"/>
      <c r="T243" s="659"/>
      <c r="U243" s="659"/>
      <c r="V243" s="659"/>
      <c r="W243" s="659"/>
      <c r="X243" s="659"/>
      <c r="Y243" s="659"/>
      <c r="Z243" s="659"/>
      <c r="AA243" s="659"/>
      <c r="AB243" s="659"/>
      <c r="AC243" s="659"/>
      <c r="AD243" s="659"/>
      <c r="AE243" s="659"/>
      <c r="AF243" s="659"/>
    </row>
    <row r="244" spans="2:32" x14ac:dyDescent="0.2">
      <c r="B244" s="653"/>
      <c r="C244" s="653"/>
      <c r="D244" s="653"/>
      <c r="E244" s="653"/>
      <c r="F244" s="653"/>
      <c r="G244" s="653"/>
      <c r="H244" s="653"/>
      <c r="I244" s="653"/>
      <c r="J244" s="653"/>
      <c r="K244" s="653"/>
      <c r="L244" s="653"/>
      <c r="N244" s="659"/>
      <c r="O244" s="659"/>
      <c r="P244" s="659"/>
      <c r="Q244" s="659"/>
      <c r="R244" s="659"/>
      <c r="S244" s="659"/>
      <c r="T244" s="659"/>
      <c r="U244" s="659"/>
      <c r="V244" s="659"/>
      <c r="W244" s="659"/>
      <c r="X244" s="659"/>
      <c r="Y244" s="659"/>
      <c r="Z244" s="659"/>
      <c r="AA244" s="659"/>
      <c r="AB244" s="659"/>
      <c r="AC244" s="659"/>
      <c r="AD244" s="659"/>
      <c r="AE244" s="659"/>
      <c r="AF244" s="659"/>
    </row>
    <row r="245" spans="2:32" x14ac:dyDescent="0.2">
      <c r="B245" s="653"/>
      <c r="C245" s="653"/>
      <c r="D245" s="653"/>
      <c r="E245" s="653"/>
      <c r="F245" s="653"/>
      <c r="G245" s="653"/>
      <c r="H245" s="653"/>
      <c r="I245" s="653"/>
      <c r="J245" s="653"/>
      <c r="K245" s="653"/>
      <c r="L245" s="653"/>
      <c r="N245" s="659"/>
      <c r="O245" s="659"/>
      <c r="P245" s="659"/>
      <c r="Q245" s="659"/>
      <c r="R245" s="659"/>
      <c r="S245" s="659"/>
      <c r="T245" s="659"/>
      <c r="U245" s="659"/>
      <c r="V245" s="659"/>
      <c r="W245" s="659"/>
      <c r="X245" s="659"/>
      <c r="Y245" s="659"/>
      <c r="Z245" s="659"/>
      <c r="AA245" s="659"/>
      <c r="AB245" s="659"/>
      <c r="AC245" s="659"/>
      <c r="AD245" s="659"/>
      <c r="AE245" s="659"/>
      <c r="AF245" s="659"/>
    </row>
    <row r="246" spans="2:32" x14ac:dyDescent="0.2">
      <c r="B246" s="653"/>
      <c r="C246" s="653"/>
      <c r="D246" s="653"/>
      <c r="E246" s="653"/>
      <c r="F246" s="653"/>
      <c r="G246" s="653"/>
      <c r="H246" s="653"/>
      <c r="I246" s="653"/>
      <c r="J246" s="653"/>
      <c r="K246" s="653"/>
      <c r="L246" s="653"/>
      <c r="N246" s="659"/>
      <c r="O246" s="659"/>
      <c r="P246" s="659"/>
      <c r="Q246" s="659"/>
      <c r="R246" s="659"/>
      <c r="S246" s="659"/>
      <c r="T246" s="659"/>
      <c r="U246" s="659"/>
      <c r="V246" s="659"/>
      <c r="W246" s="659"/>
      <c r="X246" s="659"/>
      <c r="Y246" s="659"/>
      <c r="Z246" s="659"/>
      <c r="AA246" s="659"/>
      <c r="AB246" s="659"/>
      <c r="AC246" s="659"/>
      <c r="AD246" s="659"/>
      <c r="AE246" s="659"/>
      <c r="AF246" s="659"/>
    </row>
    <row r="247" spans="2:32" x14ac:dyDescent="0.2">
      <c r="B247" s="653"/>
      <c r="C247" s="653"/>
      <c r="D247" s="653"/>
      <c r="E247" s="653"/>
      <c r="F247" s="653"/>
      <c r="G247" s="653"/>
      <c r="H247" s="653"/>
      <c r="I247" s="653"/>
      <c r="J247" s="653"/>
      <c r="K247" s="653"/>
      <c r="L247" s="653"/>
      <c r="N247" s="659"/>
      <c r="O247" s="659"/>
      <c r="P247" s="659"/>
      <c r="Q247" s="659"/>
      <c r="R247" s="659"/>
      <c r="S247" s="659"/>
      <c r="T247" s="659"/>
      <c r="U247" s="659"/>
      <c r="V247" s="659"/>
      <c r="W247" s="659"/>
      <c r="X247" s="659"/>
      <c r="Y247" s="659"/>
      <c r="Z247" s="659"/>
      <c r="AA247" s="659"/>
      <c r="AB247" s="659"/>
      <c r="AC247" s="659"/>
      <c r="AD247" s="659"/>
      <c r="AE247" s="659"/>
      <c r="AF247" s="659"/>
    </row>
    <row r="248" spans="2:32" x14ac:dyDescent="0.2">
      <c r="B248" s="653"/>
      <c r="C248" s="653"/>
      <c r="D248" s="653"/>
      <c r="E248" s="653"/>
      <c r="F248" s="653"/>
      <c r="G248" s="653"/>
      <c r="H248" s="653"/>
      <c r="I248" s="653"/>
      <c r="J248" s="653"/>
      <c r="K248" s="653"/>
      <c r="L248" s="653"/>
      <c r="N248" s="659"/>
      <c r="O248" s="659"/>
      <c r="P248" s="659"/>
      <c r="Q248" s="659"/>
      <c r="R248" s="659"/>
      <c r="S248" s="659"/>
      <c r="T248" s="659"/>
      <c r="U248" s="659"/>
      <c r="V248" s="659"/>
      <c r="W248" s="659"/>
      <c r="X248" s="659"/>
      <c r="Y248" s="659"/>
      <c r="Z248" s="659"/>
      <c r="AA248" s="659"/>
      <c r="AB248" s="659"/>
      <c r="AC248" s="659"/>
      <c r="AD248" s="659"/>
      <c r="AE248" s="659"/>
      <c r="AF248" s="659"/>
    </row>
    <row r="249" spans="2:32" x14ac:dyDescent="0.2">
      <c r="B249" s="653"/>
      <c r="C249" s="653"/>
      <c r="D249" s="653"/>
      <c r="E249" s="653"/>
      <c r="F249" s="653"/>
      <c r="G249" s="653"/>
      <c r="H249" s="653"/>
      <c r="I249" s="653"/>
      <c r="J249" s="653"/>
      <c r="K249" s="653"/>
      <c r="L249" s="653"/>
      <c r="N249" s="659"/>
      <c r="O249" s="659"/>
      <c r="P249" s="659"/>
      <c r="Q249" s="659"/>
      <c r="R249" s="659"/>
      <c r="S249" s="659"/>
      <c r="T249" s="659"/>
      <c r="U249" s="659"/>
      <c r="V249" s="659"/>
      <c r="W249" s="659"/>
      <c r="X249" s="659"/>
      <c r="Y249" s="659"/>
      <c r="Z249" s="659"/>
      <c r="AA249" s="659"/>
      <c r="AB249" s="659"/>
      <c r="AC249" s="659"/>
      <c r="AD249" s="659"/>
      <c r="AE249" s="659"/>
      <c r="AF249" s="659"/>
    </row>
    <row r="250" spans="2:32" x14ac:dyDescent="0.2">
      <c r="B250" s="653"/>
      <c r="C250" s="653"/>
      <c r="D250" s="653"/>
      <c r="E250" s="653"/>
      <c r="F250" s="653"/>
      <c r="G250" s="653"/>
      <c r="H250" s="653"/>
      <c r="I250" s="653"/>
      <c r="J250" s="653"/>
      <c r="K250" s="653"/>
      <c r="L250" s="653"/>
      <c r="N250" s="659"/>
      <c r="O250" s="659"/>
      <c r="P250" s="659"/>
      <c r="Q250" s="659"/>
      <c r="R250" s="659"/>
      <c r="S250" s="659"/>
      <c r="T250" s="659"/>
      <c r="U250" s="659"/>
      <c r="V250" s="659"/>
      <c r="W250" s="659"/>
      <c r="X250" s="659"/>
      <c r="Y250" s="659"/>
      <c r="Z250" s="659"/>
      <c r="AA250" s="659"/>
      <c r="AB250" s="659"/>
      <c r="AC250" s="659"/>
      <c r="AD250" s="659"/>
      <c r="AE250" s="659"/>
      <c r="AF250" s="659"/>
    </row>
    <row r="251" spans="2:32" x14ac:dyDescent="0.2">
      <c r="B251" s="653"/>
      <c r="C251" s="653"/>
      <c r="D251" s="653"/>
      <c r="E251" s="653"/>
      <c r="F251" s="653"/>
      <c r="G251" s="653"/>
      <c r="H251" s="653"/>
      <c r="I251" s="653"/>
      <c r="J251" s="653"/>
      <c r="K251" s="653"/>
      <c r="L251" s="653"/>
      <c r="N251" s="659"/>
      <c r="O251" s="659"/>
      <c r="P251" s="659"/>
      <c r="Q251" s="659"/>
      <c r="R251" s="659"/>
      <c r="S251" s="659"/>
      <c r="T251" s="659"/>
      <c r="U251" s="659"/>
      <c r="V251" s="659"/>
      <c r="W251" s="659"/>
      <c r="X251" s="659"/>
      <c r="Y251" s="659"/>
      <c r="Z251" s="659"/>
      <c r="AA251" s="659"/>
      <c r="AB251" s="659"/>
      <c r="AC251" s="659"/>
      <c r="AD251" s="659"/>
      <c r="AE251" s="659"/>
      <c r="AF251" s="659"/>
    </row>
    <row r="252" spans="2:32" x14ac:dyDescent="0.2">
      <c r="B252" s="653"/>
      <c r="C252" s="653"/>
      <c r="D252" s="653"/>
      <c r="E252" s="653"/>
      <c r="F252" s="653"/>
      <c r="G252" s="653"/>
      <c r="H252" s="653"/>
      <c r="I252" s="653"/>
      <c r="J252" s="653"/>
      <c r="K252" s="653"/>
      <c r="L252" s="653"/>
      <c r="N252" s="659"/>
      <c r="O252" s="659"/>
      <c r="P252" s="659"/>
      <c r="Q252" s="659"/>
      <c r="R252" s="659"/>
      <c r="S252" s="659"/>
      <c r="T252" s="659"/>
      <c r="U252" s="659"/>
      <c r="V252" s="659"/>
      <c r="W252" s="659"/>
      <c r="X252" s="659"/>
      <c r="Y252" s="659"/>
      <c r="Z252" s="659"/>
      <c r="AA252" s="659"/>
      <c r="AB252" s="659"/>
      <c r="AC252" s="659"/>
      <c r="AD252" s="659"/>
      <c r="AE252" s="659"/>
      <c r="AF252" s="659"/>
    </row>
    <row r="253" spans="2:32" x14ac:dyDescent="0.2">
      <c r="B253" s="653"/>
      <c r="C253" s="653"/>
      <c r="D253" s="653"/>
      <c r="E253" s="653"/>
      <c r="F253" s="653"/>
      <c r="G253" s="653"/>
      <c r="H253" s="653"/>
      <c r="I253" s="653"/>
      <c r="J253" s="653"/>
      <c r="K253" s="653"/>
      <c r="L253" s="653"/>
      <c r="N253" s="659"/>
      <c r="O253" s="659"/>
      <c r="P253" s="659"/>
      <c r="Q253" s="659"/>
      <c r="R253" s="659"/>
      <c r="S253" s="659"/>
      <c r="T253" s="659"/>
      <c r="U253" s="659"/>
      <c r="V253" s="659"/>
      <c r="W253" s="659"/>
      <c r="X253" s="659"/>
      <c r="Y253" s="659"/>
      <c r="Z253" s="659"/>
      <c r="AA253" s="659"/>
      <c r="AB253" s="659"/>
      <c r="AC253" s="659"/>
      <c r="AD253" s="659"/>
      <c r="AE253" s="659"/>
      <c r="AF253" s="659"/>
    </row>
    <row r="254" spans="2:32" x14ac:dyDescent="0.2">
      <c r="B254" s="653"/>
      <c r="C254" s="653"/>
      <c r="D254" s="653"/>
      <c r="E254" s="653"/>
      <c r="F254" s="653"/>
      <c r="G254" s="653"/>
      <c r="H254" s="653"/>
      <c r="I254" s="653"/>
      <c r="J254" s="653"/>
      <c r="K254" s="653"/>
      <c r="L254" s="653"/>
      <c r="N254" s="659"/>
      <c r="O254" s="659"/>
      <c r="P254" s="659"/>
      <c r="Q254" s="659"/>
      <c r="R254" s="659"/>
      <c r="S254" s="659"/>
      <c r="T254" s="659"/>
      <c r="U254" s="659"/>
      <c r="V254" s="659"/>
      <c r="W254" s="659"/>
      <c r="X254" s="659"/>
      <c r="Y254" s="659"/>
      <c r="Z254" s="659"/>
      <c r="AA254" s="659"/>
      <c r="AB254" s="659"/>
      <c r="AC254" s="659"/>
      <c r="AD254" s="659"/>
      <c r="AE254" s="659"/>
      <c r="AF254" s="659"/>
    </row>
    <row r="255" spans="2:32" x14ac:dyDescent="0.2">
      <c r="B255" s="653"/>
      <c r="C255" s="653"/>
      <c r="D255" s="653"/>
      <c r="E255" s="653"/>
      <c r="F255" s="653"/>
      <c r="G255" s="653"/>
      <c r="H255" s="653"/>
      <c r="I255" s="653"/>
      <c r="J255" s="653"/>
      <c r="K255" s="653"/>
      <c r="L255" s="653"/>
      <c r="N255" s="659"/>
      <c r="O255" s="659"/>
      <c r="P255" s="659"/>
      <c r="Q255" s="659"/>
      <c r="R255" s="659"/>
      <c r="S255" s="659"/>
      <c r="T255" s="659"/>
      <c r="U255" s="659"/>
      <c r="V255" s="659"/>
      <c r="W255" s="659"/>
      <c r="X255" s="659"/>
      <c r="Y255" s="659"/>
      <c r="Z255" s="659"/>
      <c r="AA255" s="659"/>
      <c r="AB255" s="659"/>
      <c r="AC255" s="659"/>
      <c r="AD255" s="659"/>
      <c r="AE255" s="659"/>
      <c r="AF255" s="659"/>
    </row>
    <row r="256" spans="2:32" x14ac:dyDescent="0.2">
      <c r="B256" s="653"/>
      <c r="C256" s="653"/>
      <c r="D256" s="653"/>
      <c r="E256" s="653"/>
      <c r="F256" s="653"/>
      <c r="G256" s="653"/>
      <c r="H256" s="653"/>
      <c r="I256" s="653"/>
      <c r="J256" s="653"/>
      <c r="K256" s="653"/>
      <c r="L256" s="653"/>
      <c r="N256" s="659"/>
      <c r="O256" s="659"/>
      <c r="P256" s="659"/>
      <c r="Q256" s="659"/>
      <c r="R256" s="659"/>
      <c r="S256" s="659"/>
      <c r="T256" s="659"/>
      <c r="U256" s="659"/>
      <c r="V256" s="659"/>
      <c r="W256" s="659"/>
      <c r="X256" s="659"/>
      <c r="Y256" s="659"/>
      <c r="Z256" s="659"/>
      <c r="AA256" s="659"/>
      <c r="AB256" s="659"/>
      <c r="AC256" s="659"/>
      <c r="AD256" s="659"/>
      <c r="AE256" s="659"/>
      <c r="AF256" s="659"/>
    </row>
    <row r="257" spans="2:32" x14ac:dyDescent="0.2">
      <c r="B257" s="653"/>
      <c r="C257" s="653"/>
      <c r="D257" s="653"/>
      <c r="E257" s="653"/>
      <c r="F257" s="653"/>
      <c r="G257" s="653"/>
      <c r="H257" s="653"/>
      <c r="I257" s="653"/>
      <c r="J257" s="653"/>
      <c r="K257" s="653"/>
      <c r="L257" s="653"/>
      <c r="N257" s="659"/>
      <c r="O257" s="659"/>
      <c r="P257" s="659"/>
      <c r="Q257" s="659"/>
      <c r="R257" s="659"/>
      <c r="S257" s="659"/>
      <c r="T257" s="659"/>
      <c r="U257" s="659"/>
      <c r="V257" s="659"/>
      <c r="W257" s="659"/>
      <c r="X257" s="659"/>
      <c r="Y257" s="659"/>
      <c r="Z257" s="659"/>
      <c r="AA257" s="659"/>
      <c r="AB257" s="659"/>
      <c r="AC257" s="659"/>
      <c r="AD257" s="659"/>
      <c r="AE257" s="659"/>
      <c r="AF257" s="659"/>
    </row>
    <row r="258" spans="2:32" x14ac:dyDescent="0.2">
      <c r="B258" s="653"/>
      <c r="C258" s="653"/>
      <c r="D258" s="653"/>
      <c r="E258" s="653"/>
      <c r="F258" s="653"/>
      <c r="G258" s="653"/>
      <c r="H258" s="653"/>
      <c r="I258" s="653"/>
      <c r="J258" s="653"/>
      <c r="K258" s="653"/>
      <c r="L258" s="653"/>
      <c r="N258" s="659"/>
      <c r="O258" s="659"/>
      <c r="P258" s="659"/>
      <c r="Q258" s="659"/>
      <c r="R258" s="659"/>
      <c r="S258" s="659"/>
      <c r="T258" s="659"/>
      <c r="U258" s="659"/>
      <c r="V258" s="659"/>
      <c r="W258" s="659"/>
      <c r="X258" s="659"/>
      <c r="Y258" s="659"/>
      <c r="Z258" s="659"/>
      <c r="AA258" s="659"/>
      <c r="AB258" s="659"/>
      <c r="AC258" s="659"/>
      <c r="AD258" s="659"/>
      <c r="AE258" s="659"/>
      <c r="AF258" s="659"/>
    </row>
    <row r="259" spans="2:32" x14ac:dyDescent="0.2">
      <c r="B259" s="653"/>
      <c r="C259" s="653"/>
      <c r="D259" s="653"/>
      <c r="E259" s="653"/>
      <c r="F259" s="653"/>
      <c r="G259" s="653"/>
      <c r="H259" s="653"/>
      <c r="I259" s="653"/>
      <c r="J259" s="653"/>
      <c r="K259" s="653"/>
      <c r="L259" s="653"/>
      <c r="N259" s="659"/>
      <c r="O259" s="659"/>
      <c r="P259" s="659"/>
      <c r="Q259" s="659"/>
      <c r="R259" s="659"/>
      <c r="S259" s="659"/>
      <c r="T259" s="659"/>
      <c r="U259" s="659"/>
      <c r="V259" s="659"/>
      <c r="W259" s="659"/>
      <c r="X259" s="659"/>
      <c r="Y259" s="659"/>
      <c r="Z259" s="659"/>
      <c r="AA259" s="659"/>
      <c r="AB259" s="659"/>
      <c r="AC259" s="659"/>
      <c r="AD259" s="659"/>
      <c r="AE259" s="659"/>
      <c r="AF259" s="659"/>
    </row>
    <row r="260" spans="2:32" x14ac:dyDescent="0.2">
      <c r="B260" s="653"/>
      <c r="C260" s="653"/>
      <c r="D260" s="653"/>
      <c r="E260" s="653"/>
      <c r="F260" s="653"/>
      <c r="G260" s="653"/>
      <c r="H260" s="653"/>
      <c r="I260" s="653"/>
      <c r="J260" s="653"/>
      <c r="K260" s="653"/>
      <c r="L260" s="653"/>
      <c r="N260" s="659"/>
      <c r="O260" s="659"/>
      <c r="P260" s="659"/>
      <c r="Q260" s="659"/>
      <c r="R260" s="659"/>
      <c r="S260" s="659"/>
      <c r="T260" s="659"/>
      <c r="U260" s="659"/>
      <c r="V260" s="659"/>
      <c r="W260" s="659"/>
      <c r="X260" s="659"/>
      <c r="Y260" s="659"/>
      <c r="Z260" s="659"/>
      <c r="AA260" s="659"/>
      <c r="AB260" s="659"/>
      <c r="AC260" s="659"/>
      <c r="AD260" s="659"/>
      <c r="AE260" s="659"/>
      <c r="AF260" s="659"/>
    </row>
    <row r="261" spans="2:32" x14ac:dyDescent="0.2">
      <c r="B261" s="653"/>
      <c r="C261" s="653"/>
      <c r="D261" s="653"/>
      <c r="E261" s="653"/>
      <c r="F261" s="653"/>
      <c r="G261" s="653"/>
      <c r="H261" s="653"/>
      <c r="I261" s="653"/>
      <c r="J261" s="653"/>
      <c r="K261" s="653"/>
      <c r="L261" s="653"/>
      <c r="N261" s="659"/>
      <c r="O261" s="659"/>
      <c r="P261" s="659"/>
      <c r="Q261" s="659"/>
      <c r="R261" s="659"/>
      <c r="S261" s="659"/>
      <c r="T261" s="659"/>
      <c r="U261" s="659"/>
      <c r="V261" s="659"/>
      <c r="W261" s="659"/>
      <c r="X261" s="659"/>
      <c r="Y261" s="659"/>
      <c r="Z261" s="659"/>
      <c r="AA261" s="659"/>
      <c r="AB261" s="659"/>
      <c r="AC261" s="659"/>
      <c r="AD261" s="659"/>
      <c r="AE261" s="659"/>
      <c r="AF261" s="659"/>
    </row>
    <row r="262" spans="2:32" x14ac:dyDescent="0.2">
      <c r="B262" s="653"/>
      <c r="C262" s="653"/>
      <c r="D262" s="653"/>
      <c r="E262" s="653"/>
      <c r="F262" s="653"/>
      <c r="G262" s="653"/>
      <c r="H262" s="653"/>
      <c r="I262" s="653"/>
      <c r="J262" s="653"/>
      <c r="K262" s="653"/>
      <c r="L262" s="653"/>
      <c r="N262" s="659"/>
      <c r="O262" s="659"/>
      <c r="P262" s="659"/>
      <c r="Q262" s="659"/>
      <c r="R262" s="659"/>
      <c r="S262" s="659"/>
      <c r="T262" s="659"/>
      <c r="U262" s="659"/>
      <c r="V262" s="659"/>
      <c r="W262" s="659"/>
      <c r="X262" s="659"/>
      <c r="Y262" s="659"/>
      <c r="Z262" s="659"/>
      <c r="AA262" s="659"/>
      <c r="AB262" s="659"/>
      <c r="AC262" s="659"/>
      <c r="AD262" s="659"/>
      <c r="AE262" s="659"/>
      <c r="AF262" s="659"/>
    </row>
    <row r="263" spans="2:32" x14ac:dyDescent="0.2">
      <c r="B263" s="653"/>
      <c r="C263" s="653"/>
      <c r="D263" s="653"/>
      <c r="E263" s="653"/>
      <c r="F263" s="653"/>
      <c r="G263" s="653"/>
      <c r="H263" s="653"/>
      <c r="I263" s="653"/>
      <c r="J263" s="653"/>
      <c r="K263" s="653"/>
      <c r="L263" s="653"/>
      <c r="N263" s="659"/>
      <c r="O263" s="659"/>
      <c r="P263" s="659"/>
      <c r="Q263" s="659"/>
      <c r="R263" s="659"/>
      <c r="S263" s="659"/>
      <c r="T263" s="659"/>
      <c r="U263" s="659"/>
      <c r="V263" s="659"/>
      <c r="W263" s="659"/>
      <c r="X263" s="659"/>
      <c r="Y263" s="659"/>
      <c r="Z263" s="659"/>
      <c r="AA263" s="659"/>
      <c r="AB263" s="659"/>
      <c r="AC263" s="659"/>
      <c r="AD263" s="659"/>
      <c r="AE263" s="659"/>
      <c r="AF263" s="659"/>
    </row>
    <row r="264" spans="2:32" x14ac:dyDescent="0.2">
      <c r="B264" s="653"/>
      <c r="C264" s="653"/>
      <c r="D264" s="653"/>
      <c r="E264" s="653"/>
      <c r="F264" s="653"/>
      <c r="G264" s="653"/>
      <c r="H264" s="653"/>
      <c r="I264" s="653"/>
      <c r="J264" s="653"/>
      <c r="K264" s="653"/>
      <c r="L264" s="653"/>
      <c r="N264" s="659"/>
      <c r="O264" s="659"/>
      <c r="P264" s="659"/>
      <c r="Q264" s="659"/>
      <c r="R264" s="659"/>
      <c r="S264" s="659"/>
      <c r="T264" s="659"/>
      <c r="U264" s="659"/>
      <c r="V264" s="659"/>
      <c r="W264" s="659"/>
      <c r="X264" s="659"/>
      <c r="Y264" s="659"/>
      <c r="Z264" s="659"/>
      <c r="AA264" s="659"/>
      <c r="AB264" s="659"/>
      <c r="AC264" s="659"/>
      <c r="AD264" s="659"/>
      <c r="AE264" s="659"/>
      <c r="AF264" s="659"/>
    </row>
    <row r="265" spans="2:32" x14ac:dyDescent="0.2">
      <c r="B265" s="653"/>
      <c r="C265" s="653"/>
      <c r="D265" s="653"/>
      <c r="E265" s="653"/>
      <c r="F265" s="653"/>
      <c r="G265" s="653"/>
      <c r="H265" s="653"/>
      <c r="I265" s="653"/>
      <c r="J265" s="653"/>
      <c r="K265" s="653"/>
      <c r="L265" s="653"/>
      <c r="N265" s="659"/>
      <c r="O265" s="659"/>
      <c r="P265" s="659"/>
      <c r="Q265" s="659"/>
      <c r="R265" s="659"/>
      <c r="S265" s="659"/>
      <c r="T265" s="659"/>
      <c r="U265" s="659"/>
      <c r="V265" s="659"/>
      <c r="W265" s="659"/>
      <c r="X265" s="659"/>
      <c r="Y265" s="659"/>
      <c r="Z265" s="659"/>
      <c r="AA265" s="659"/>
      <c r="AB265" s="659"/>
      <c r="AC265" s="659"/>
      <c r="AD265" s="659"/>
      <c r="AE265" s="659"/>
      <c r="AF265" s="659"/>
    </row>
    <row r="266" spans="2:32" x14ac:dyDescent="0.2">
      <c r="B266" s="653"/>
      <c r="C266" s="653"/>
      <c r="D266" s="653"/>
      <c r="E266" s="653"/>
      <c r="F266" s="653"/>
      <c r="G266" s="653"/>
      <c r="H266" s="653"/>
      <c r="I266" s="653"/>
      <c r="J266" s="653"/>
      <c r="K266" s="653"/>
      <c r="L266" s="653"/>
      <c r="N266" s="659"/>
      <c r="O266" s="659"/>
      <c r="P266" s="659"/>
      <c r="Q266" s="659"/>
      <c r="R266" s="659"/>
      <c r="S266" s="659"/>
      <c r="T266" s="659"/>
      <c r="U266" s="659"/>
      <c r="V266" s="659"/>
      <c r="W266" s="659"/>
      <c r="X266" s="659"/>
      <c r="Y266" s="659"/>
      <c r="Z266" s="659"/>
      <c r="AA266" s="659"/>
      <c r="AB266" s="659"/>
      <c r="AC266" s="659"/>
      <c r="AD266" s="659"/>
      <c r="AE266" s="659"/>
      <c r="AF266" s="659"/>
    </row>
    <row r="267" spans="2:32" x14ac:dyDescent="0.2">
      <c r="B267" s="653"/>
      <c r="C267" s="653"/>
      <c r="D267" s="653"/>
      <c r="E267" s="653"/>
      <c r="F267" s="653"/>
      <c r="G267" s="653"/>
      <c r="H267" s="653"/>
      <c r="I267" s="653"/>
      <c r="J267" s="653"/>
      <c r="K267" s="653"/>
      <c r="L267" s="653"/>
      <c r="N267" s="659"/>
      <c r="O267" s="659"/>
      <c r="P267" s="659"/>
      <c r="Q267" s="659"/>
      <c r="R267" s="659"/>
      <c r="S267" s="659"/>
      <c r="T267" s="659"/>
      <c r="U267" s="659"/>
      <c r="V267" s="659"/>
      <c r="W267" s="659"/>
      <c r="X267" s="659"/>
      <c r="Y267" s="659"/>
      <c r="Z267" s="659"/>
      <c r="AA267" s="659"/>
      <c r="AB267" s="659"/>
      <c r="AC267" s="659"/>
      <c r="AD267" s="659"/>
      <c r="AE267" s="659"/>
      <c r="AF267" s="659"/>
    </row>
    <row r="268" spans="2:32" x14ac:dyDescent="0.2">
      <c r="B268" s="653"/>
      <c r="C268" s="653"/>
      <c r="D268" s="653"/>
      <c r="E268" s="653"/>
      <c r="F268" s="653"/>
      <c r="G268" s="653"/>
      <c r="H268" s="653"/>
      <c r="I268" s="653"/>
      <c r="J268" s="653"/>
      <c r="K268" s="653"/>
      <c r="L268" s="653"/>
      <c r="N268" s="659"/>
      <c r="O268" s="659"/>
      <c r="P268" s="659"/>
      <c r="Q268" s="659"/>
      <c r="R268" s="659"/>
      <c r="S268" s="659"/>
      <c r="T268" s="659"/>
      <c r="U268" s="659"/>
      <c r="V268" s="659"/>
      <c r="W268" s="659"/>
      <c r="X268" s="659"/>
      <c r="Y268" s="659"/>
      <c r="Z268" s="659"/>
      <c r="AA268" s="659"/>
      <c r="AB268" s="659"/>
      <c r="AC268" s="659"/>
      <c r="AD268" s="659"/>
      <c r="AE268" s="659"/>
      <c r="AF268" s="659"/>
    </row>
    <row r="269" spans="2:32" x14ac:dyDescent="0.2">
      <c r="B269" s="653"/>
      <c r="C269" s="653"/>
      <c r="D269" s="653"/>
      <c r="E269" s="653"/>
      <c r="F269" s="653"/>
      <c r="G269" s="653"/>
      <c r="H269" s="653"/>
      <c r="I269" s="653"/>
      <c r="J269" s="653"/>
      <c r="K269" s="653"/>
      <c r="L269" s="653"/>
      <c r="N269" s="659"/>
      <c r="O269" s="659"/>
      <c r="P269" s="659"/>
      <c r="Q269" s="659"/>
      <c r="R269" s="659"/>
      <c r="S269" s="659"/>
      <c r="T269" s="659"/>
      <c r="U269" s="659"/>
      <c r="V269" s="659"/>
      <c r="W269" s="659"/>
      <c r="X269" s="659"/>
      <c r="Y269" s="659"/>
      <c r="Z269" s="659"/>
      <c r="AA269" s="659"/>
      <c r="AB269" s="659"/>
      <c r="AC269" s="659"/>
      <c r="AD269" s="659"/>
      <c r="AE269" s="659"/>
      <c r="AF269" s="659"/>
    </row>
    <row r="270" spans="2:32" x14ac:dyDescent="0.2">
      <c r="B270" s="653"/>
      <c r="C270" s="653"/>
      <c r="D270" s="653"/>
      <c r="E270" s="653"/>
      <c r="F270" s="653"/>
      <c r="G270" s="653"/>
      <c r="H270" s="653"/>
      <c r="I270" s="653"/>
      <c r="J270" s="653"/>
      <c r="K270" s="653"/>
      <c r="L270" s="653"/>
      <c r="N270" s="659"/>
      <c r="O270" s="659"/>
      <c r="P270" s="659"/>
      <c r="Q270" s="659"/>
      <c r="R270" s="659"/>
      <c r="S270" s="659"/>
      <c r="T270" s="659"/>
      <c r="U270" s="659"/>
      <c r="V270" s="659"/>
      <c r="W270" s="659"/>
      <c r="X270" s="659"/>
      <c r="Y270" s="659"/>
      <c r="Z270" s="659"/>
      <c r="AA270" s="659"/>
      <c r="AB270" s="659"/>
      <c r="AC270" s="659"/>
      <c r="AD270" s="659"/>
      <c r="AE270" s="659"/>
      <c r="AF270" s="659"/>
    </row>
    <row r="271" spans="2:32" x14ac:dyDescent="0.2">
      <c r="B271" s="653"/>
      <c r="C271" s="653"/>
      <c r="D271" s="653"/>
      <c r="E271" s="653"/>
      <c r="F271" s="653"/>
      <c r="G271" s="653"/>
      <c r="H271" s="653"/>
      <c r="I271" s="653"/>
      <c r="J271" s="653"/>
      <c r="K271" s="653"/>
      <c r="L271" s="653"/>
      <c r="N271" s="659"/>
      <c r="O271" s="659"/>
      <c r="P271" s="659"/>
      <c r="Q271" s="659"/>
      <c r="R271" s="659"/>
      <c r="S271" s="659"/>
      <c r="T271" s="659"/>
      <c r="U271" s="659"/>
      <c r="V271" s="659"/>
      <c r="W271" s="659"/>
      <c r="X271" s="659"/>
      <c r="Y271" s="659"/>
      <c r="Z271" s="659"/>
      <c r="AA271" s="659"/>
      <c r="AB271" s="659"/>
      <c r="AC271" s="659"/>
      <c r="AD271" s="659"/>
      <c r="AE271" s="659"/>
      <c r="AF271" s="659"/>
    </row>
    <row r="272" spans="2:32" x14ac:dyDescent="0.2">
      <c r="B272" s="653"/>
      <c r="C272" s="653"/>
      <c r="D272" s="653"/>
      <c r="E272" s="653"/>
      <c r="F272" s="653"/>
      <c r="G272" s="653"/>
      <c r="H272" s="653"/>
      <c r="I272" s="653"/>
      <c r="J272" s="653"/>
      <c r="K272" s="653"/>
      <c r="L272" s="653"/>
      <c r="N272" s="659"/>
      <c r="O272" s="659"/>
      <c r="P272" s="659"/>
      <c r="Q272" s="659"/>
      <c r="R272" s="659"/>
      <c r="S272" s="659"/>
      <c r="T272" s="659"/>
      <c r="U272" s="659"/>
      <c r="V272" s="659"/>
      <c r="W272" s="659"/>
      <c r="X272" s="659"/>
      <c r="Y272" s="659"/>
      <c r="Z272" s="659"/>
      <c r="AA272" s="659"/>
      <c r="AB272" s="659"/>
      <c r="AC272" s="659"/>
      <c r="AD272" s="659"/>
      <c r="AE272" s="659"/>
      <c r="AF272" s="659"/>
    </row>
    <row r="273" spans="2:32" x14ac:dyDescent="0.2">
      <c r="B273" s="653"/>
      <c r="C273" s="653"/>
      <c r="D273" s="653"/>
      <c r="E273" s="653"/>
      <c r="F273" s="653"/>
      <c r="G273" s="653"/>
      <c r="H273" s="653"/>
      <c r="I273" s="653"/>
      <c r="J273" s="653"/>
      <c r="K273" s="653"/>
      <c r="L273" s="653"/>
      <c r="N273" s="659"/>
      <c r="O273" s="659"/>
      <c r="P273" s="659"/>
      <c r="Q273" s="659"/>
      <c r="R273" s="659"/>
      <c r="S273" s="659"/>
      <c r="T273" s="659"/>
      <c r="U273" s="659"/>
      <c r="V273" s="659"/>
      <c r="W273" s="659"/>
      <c r="X273" s="659"/>
      <c r="Y273" s="659"/>
      <c r="Z273" s="659"/>
      <c r="AA273" s="659"/>
      <c r="AB273" s="659"/>
      <c r="AC273" s="659"/>
      <c r="AD273" s="659"/>
      <c r="AE273" s="659"/>
      <c r="AF273" s="659"/>
    </row>
    <row r="274" spans="2:32" x14ac:dyDescent="0.2">
      <c r="B274" s="653"/>
      <c r="C274" s="653"/>
      <c r="D274" s="653"/>
      <c r="E274" s="653"/>
      <c r="F274" s="653"/>
      <c r="G274" s="653"/>
      <c r="H274" s="653"/>
      <c r="I274" s="653"/>
      <c r="J274" s="653"/>
      <c r="K274" s="653"/>
      <c r="L274" s="653"/>
      <c r="N274" s="659"/>
      <c r="O274" s="659"/>
      <c r="P274" s="659"/>
      <c r="Q274" s="659"/>
      <c r="R274" s="659"/>
      <c r="S274" s="659"/>
      <c r="T274" s="659"/>
      <c r="U274" s="659"/>
      <c r="V274" s="659"/>
      <c r="W274" s="659"/>
      <c r="X274" s="659"/>
      <c r="Y274" s="659"/>
      <c r="Z274" s="659"/>
      <c r="AA274" s="659"/>
      <c r="AB274" s="659"/>
      <c r="AC274" s="659"/>
      <c r="AD274" s="659"/>
      <c r="AE274" s="659"/>
      <c r="AF274" s="659"/>
    </row>
    <row r="275" spans="2:32" x14ac:dyDescent="0.2">
      <c r="B275" s="653"/>
      <c r="C275" s="653"/>
      <c r="D275" s="653"/>
      <c r="E275" s="653"/>
      <c r="F275" s="653"/>
      <c r="G275" s="653"/>
      <c r="H275" s="653"/>
      <c r="I275" s="653"/>
      <c r="J275" s="653"/>
      <c r="K275" s="653"/>
      <c r="L275" s="653"/>
      <c r="N275" s="659"/>
      <c r="O275" s="659"/>
      <c r="P275" s="659"/>
      <c r="Q275" s="659"/>
      <c r="R275" s="659"/>
      <c r="S275" s="659"/>
      <c r="T275" s="659"/>
      <c r="U275" s="659"/>
      <c r="V275" s="659"/>
      <c r="W275" s="659"/>
      <c r="X275" s="659"/>
      <c r="Y275" s="659"/>
      <c r="Z275" s="659"/>
      <c r="AA275" s="659"/>
      <c r="AB275" s="659"/>
      <c r="AC275" s="659"/>
      <c r="AD275" s="659"/>
      <c r="AE275" s="659"/>
      <c r="AF275" s="659"/>
    </row>
    <row r="276" spans="2:32" x14ac:dyDescent="0.2">
      <c r="B276" s="653"/>
      <c r="C276" s="653"/>
      <c r="D276" s="653"/>
      <c r="E276" s="653"/>
      <c r="F276" s="653"/>
      <c r="G276" s="653"/>
      <c r="H276" s="653"/>
      <c r="I276" s="653"/>
      <c r="J276" s="653"/>
      <c r="K276" s="653"/>
      <c r="L276" s="653"/>
      <c r="N276" s="659"/>
      <c r="O276" s="659"/>
      <c r="P276" s="659"/>
      <c r="Q276" s="659"/>
      <c r="R276" s="659"/>
      <c r="S276" s="659"/>
      <c r="T276" s="659"/>
      <c r="U276" s="659"/>
      <c r="V276" s="659"/>
      <c r="W276" s="659"/>
      <c r="X276" s="659"/>
      <c r="Y276" s="659"/>
      <c r="Z276" s="659"/>
      <c r="AA276" s="659"/>
      <c r="AB276" s="659"/>
      <c r="AC276" s="659"/>
      <c r="AD276" s="659"/>
      <c r="AE276" s="659"/>
      <c r="AF276" s="659"/>
    </row>
    <row r="277" spans="2:32" x14ac:dyDescent="0.2">
      <c r="B277" s="653"/>
      <c r="C277" s="653"/>
      <c r="D277" s="653"/>
      <c r="E277" s="653"/>
      <c r="F277" s="653"/>
      <c r="G277" s="653"/>
      <c r="H277" s="653"/>
      <c r="I277" s="653"/>
      <c r="J277" s="653"/>
      <c r="K277" s="653"/>
      <c r="L277" s="653"/>
      <c r="N277" s="659"/>
      <c r="O277" s="659"/>
      <c r="P277" s="659"/>
      <c r="Q277" s="659"/>
      <c r="R277" s="659"/>
      <c r="S277" s="659"/>
      <c r="T277" s="659"/>
      <c r="U277" s="659"/>
      <c r="V277" s="659"/>
      <c r="W277" s="659"/>
      <c r="X277" s="659"/>
      <c r="Y277" s="659"/>
      <c r="Z277" s="659"/>
      <c r="AA277" s="659"/>
      <c r="AB277" s="659"/>
      <c r="AC277" s="659"/>
      <c r="AD277" s="659"/>
      <c r="AE277" s="659"/>
      <c r="AF277" s="659"/>
    </row>
    <row r="278" spans="2:32" x14ac:dyDescent="0.2">
      <c r="B278" s="653"/>
      <c r="C278" s="653"/>
      <c r="D278" s="653"/>
      <c r="E278" s="653"/>
      <c r="F278" s="653"/>
      <c r="G278" s="653"/>
      <c r="H278" s="653"/>
      <c r="I278" s="653"/>
      <c r="J278" s="653"/>
      <c r="K278" s="653"/>
      <c r="L278" s="653"/>
      <c r="N278" s="659"/>
      <c r="O278" s="659"/>
      <c r="P278" s="659"/>
      <c r="Q278" s="659"/>
      <c r="R278" s="659"/>
      <c r="S278" s="659"/>
      <c r="T278" s="659"/>
      <c r="U278" s="659"/>
      <c r="V278" s="659"/>
      <c r="W278" s="659"/>
      <c r="X278" s="659"/>
      <c r="Y278" s="659"/>
      <c r="Z278" s="659"/>
      <c r="AA278" s="659"/>
      <c r="AB278" s="659"/>
      <c r="AC278" s="659"/>
      <c r="AD278" s="659"/>
      <c r="AE278" s="659"/>
      <c r="AF278" s="659"/>
    </row>
    <row r="279" spans="2:32" x14ac:dyDescent="0.2">
      <c r="B279" s="653"/>
      <c r="C279" s="653"/>
      <c r="D279" s="653"/>
      <c r="E279" s="653"/>
      <c r="F279" s="653"/>
      <c r="G279" s="653"/>
      <c r="H279" s="653"/>
      <c r="I279" s="653"/>
      <c r="J279" s="653"/>
      <c r="K279" s="653"/>
      <c r="L279" s="653"/>
      <c r="N279" s="659"/>
      <c r="O279" s="659"/>
      <c r="P279" s="659"/>
      <c r="Q279" s="659"/>
      <c r="R279" s="659"/>
      <c r="S279" s="659"/>
      <c r="T279" s="659"/>
      <c r="U279" s="659"/>
      <c r="V279" s="659"/>
      <c r="W279" s="659"/>
      <c r="X279" s="659"/>
      <c r="Y279" s="659"/>
      <c r="Z279" s="659"/>
      <c r="AA279" s="659"/>
      <c r="AB279" s="659"/>
      <c r="AC279" s="659"/>
      <c r="AD279" s="659"/>
      <c r="AE279" s="659"/>
      <c r="AF279" s="659"/>
    </row>
    <row r="280" spans="2:32" x14ac:dyDescent="0.2">
      <c r="B280" s="653"/>
      <c r="C280" s="653"/>
      <c r="D280" s="653"/>
      <c r="E280" s="653"/>
      <c r="F280" s="653"/>
      <c r="G280" s="653"/>
      <c r="H280" s="653"/>
      <c r="I280" s="653"/>
      <c r="J280" s="653"/>
      <c r="K280" s="653"/>
      <c r="L280" s="653"/>
      <c r="N280" s="659"/>
      <c r="O280" s="659"/>
      <c r="P280" s="659"/>
      <c r="Q280" s="659"/>
      <c r="R280" s="659"/>
      <c r="S280" s="659"/>
      <c r="T280" s="659"/>
      <c r="U280" s="659"/>
      <c r="V280" s="659"/>
      <c r="W280" s="659"/>
      <c r="X280" s="659"/>
      <c r="Y280" s="659"/>
      <c r="Z280" s="659"/>
      <c r="AA280" s="659"/>
      <c r="AB280" s="659"/>
      <c r="AC280" s="659"/>
      <c r="AD280" s="659"/>
      <c r="AE280" s="659"/>
      <c r="AF280" s="659"/>
    </row>
    <row r="281" spans="2:32" x14ac:dyDescent="0.2">
      <c r="B281" s="653"/>
      <c r="C281" s="653"/>
      <c r="D281" s="653"/>
      <c r="E281" s="653"/>
      <c r="F281" s="653"/>
      <c r="G281" s="653"/>
      <c r="H281" s="653"/>
      <c r="I281" s="653"/>
      <c r="J281" s="653"/>
      <c r="K281" s="653"/>
      <c r="L281" s="653"/>
      <c r="N281" s="659"/>
      <c r="O281" s="659"/>
      <c r="P281" s="659"/>
      <c r="Q281" s="659"/>
      <c r="R281" s="659"/>
      <c r="S281" s="659"/>
      <c r="T281" s="659"/>
      <c r="U281" s="659"/>
      <c r="V281" s="659"/>
      <c r="W281" s="659"/>
      <c r="X281" s="659"/>
      <c r="Y281" s="659"/>
      <c r="Z281" s="659"/>
      <c r="AA281" s="659"/>
      <c r="AB281" s="659"/>
      <c r="AC281" s="659"/>
      <c r="AD281" s="659"/>
      <c r="AE281" s="659"/>
      <c r="AF281" s="659"/>
    </row>
    <row r="282" spans="2:32" x14ac:dyDescent="0.2">
      <c r="B282" s="653"/>
      <c r="C282" s="653"/>
      <c r="D282" s="653"/>
      <c r="E282" s="653"/>
      <c r="F282" s="653"/>
      <c r="G282" s="653"/>
      <c r="H282" s="653"/>
      <c r="I282" s="653"/>
      <c r="J282" s="653"/>
      <c r="K282" s="653"/>
      <c r="L282" s="653"/>
      <c r="N282" s="659"/>
      <c r="O282" s="659"/>
      <c r="P282" s="659"/>
      <c r="Q282" s="659"/>
      <c r="R282" s="659"/>
      <c r="S282" s="659"/>
      <c r="T282" s="659"/>
      <c r="U282" s="659"/>
      <c r="V282" s="659"/>
      <c r="W282" s="659"/>
      <c r="X282" s="659"/>
      <c r="Y282" s="659"/>
      <c r="Z282" s="659"/>
      <c r="AA282" s="659"/>
      <c r="AB282" s="659"/>
      <c r="AC282" s="659"/>
      <c r="AD282" s="659"/>
      <c r="AE282" s="659"/>
      <c r="AF282" s="659"/>
    </row>
    <row r="283" spans="2:32" x14ac:dyDescent="0.2">
      <c r="B283" s="653"/>
      <c r="C283" s="653"/>
      <c r="D283" s="653"/>
      <c r="E283" s="653"/>
      <c r="F283" s="653"/>
      <c r="G283" s="653"/>
      <c r="H283" s="653"/>
      <c r="I283" s="653"/>
      <c r="J283" s="653"/>
      <c r="K283" s="653"/>
      <c r="L283" s="653"/>
      <c r="N283" s="659"/>
      <c r="O283" s="659"/>
      <c r="P283" s="659"/>
      <c r="Q283" s="659"/>
      <c r="R283" s="659"/>
      <c r="S283" s="659"/>
      <c r="T283" s="659"/>
      <c r="U283" s="659"/>
      <c r="V283" s="659"/>
      <c r="W283" s="659"/>
      <c r="X283" s="659"/>
      <c r="Y283" s="659"/>
      <c r="Z283" s="659"/>
      <c r="AA283" s="659"/>
      <c r="AB283" s="659"/>
      <c r="AC283" s="659"/>
      <c r="AD283" s="659"/>
      <c r="AE283" s="659"/>
      <c r="AF283" s="659"/>
    </row>
    <row r="284" spans="2:32" x14ac:dyDescent="0.2">
      <c r="B284" s="653"/>
      <c r="C284" s="653"/>
      <c r="D284" s="653"/>
      <c r="E284" s="653"/>
      <c r="F284" s="653"/>
      <c r="G284" s="653"/>
      <c r="H284" s="653"/>
      <c r="I284" s="653"/>
      <c r="J284" s="653"/>
      <c r="K284" s="653"/>
      <c r="L284" s="653"/>
      <c r="N284" s="659"/>
      <c r="O284" s="659"/>
      <c r="P284" s="659"/>
      <c r="Q284" s="659"/>
      <c r="R284" s="659"/>
      <c r="S284" s="659"/>
      <c r="T284" s="659"/>
      <c r="U284" s="659"/>
      <c r="V284" s="659"/>
      <c r="W284" s="659"/>
      <c r="X284" s="659"/>
      <c r="Y284" s="659"/>
      <c r="Z284" s="659"/>
      <c r="AA284" s="659"/>
      <c r="AB284" s="659"/>
      <c r="AC284" s="659"/>
      <c r="AD284" s="659"/>
      <c r="AE284" s="659"/>
      <c r="AF284" s="659"/>
    </row>
    <row r="285" spans="2:32" x14ac:dyDescent="0.2">
      <c r="B285" s="653"/>
      <c r="C285" s="653"/>
      <c r="D285" s="653"/>
      <c r="E285" s="653"/>
      <c r="F285" s="653"/>
      <c r="G285" s="653"/>
      <c r="H285" s="653"/>
      <c r="I285" s="653"/>
      <c r="J285" s="653"/>
      <c r="K285" s="653"/>
      <c r="L285" s="653"/>
      <c r="N285" s="659"/>
      <c r="O285" s="659"/>
      <c r="P285" s="659"/>
      <c r="Q285" s="659"/>
      <c r="R285" s="659"/>
      <c r="S285" s="659"/>
      <c r="T285" s="659"/>
      <c r="U285" s="659"/>
      <c r="V285" s="659"/>
      <c r="W285" s="659"/>
      <c r="X285" s="659"/>
      <c r="Y285" s="659"/>
      <c r="Z285" s="659"/>
      <c r="AA285" s="659"/>
      <c r="AB285" s="659"/>
      <c r="AC285" s="659"/>
      <c r="AD285" s="659"/>
      <c r="AE285" s="659"/>
      <c r="AF285" s="659"/>
    </row>
    <row r="286" spans="2:32" x14ac:dyDescent="0.2">
      <c r="B286" s="653"/>
      <c r="C286" s="653"/>
      <c r="D286" s="653"/>
      <c r="E286" s="653"/>
      <c r="F286" s="653"/>
      <c r="G286" s="653"/>
      <c r="H286" s="653"/>
      <c r="I286" s="653"/>
      <c r="J286" s="653"/>
      <c r="K286" s="653"/>
      <c r="L286" s="653"/>
      <c r="N286" s="659"/>
      <c r="O286" s="659"/>
      <c r="P286" s="659"/>
      <c r="Q286" s="659"/>
      <c r="R286" s="659"/>
      <c r="S286" s="659"/>
      <c r="T286" s="659"/>
      <c r="U286" s="659"/>
      <c r="V286" s="659"/>
      <c r="W286" s="659"/>
      <c r="X286" s="659"/>
      <c r="Y286" s="659"/>
      <c r="Z286" s="659"/>
      <c r="AA286" s="659"/>
      <c r="AB286" s="659"/>
      <c r="AC286" s="659"/>
      <c r="AD286" s="659"/>
      <c r="AE286" s="659"/>
      <c r="AF286" s="659"/>
    </row>
    <row r="287" spans="2:32" x14ac:dyDescent="0.2">
      <c r="B287" s="653"/>
      <c r="C287" s="653"/>
      <c r="D287" s="653"/>
      <c r="E287" s="653"/>
      <c r="F287" s="653"/>
      <c r="G287" s="653"/>
      <c r="H287" s="653"/>
      <c r="I287" s="653"/>
      <c r="J287" s="653"/>
      <c r="K287" s="653"/>
      <c r="L287" s="653"/>
      <c r="N287" s="659"/>
      <c r="O287" s="659"/>
      <c r="P287" s="659"/>
      <c r="Q287" s="659"/>
      <c r="R287" s="659"/>
      <c r="S287" s="659"/>
      <c r="T287" s="659"/>
      <c r="U287" s="659"/>
      <c r="V287" s="659"/>
      <c r="W287" s="659"/>
      <c r="X287" s="659"/>
      <c r="Y287" s="659"/>
      <c r="Z287" s="659"/>
      <c r="AA287" s="659"/>
      <c r="AB287" s="659"/>
      <c r="AC287" s="659"/>
      <c r="AD287" s="659"/>
      <c r="AE287" s="659"/>
      <c r="AF287" s="659"/>
    </row>
    <row r="288" spans="2:32" x14ac:dyDescent="0.2">
      <c r="B288" s="653"/>
      <c r="C288" s="653"/>
      <c r="D288" s="653"/>
      <c r="E288" s="653"/>
      <c r="F288" s="653"/>
      <c r="G288" s="653"/>
      <c r="H288" s="653"/>
      <c r="I288" s="653"/>
      <c r="J288" s="653"/>
      <c r="K288" s="653"/>
      <c r="L288" s="653"/>
      <c r="N288" s="659"/>
      <c r="O288" s="659"/>
      <c r="P288" s="659"/>
      <c r="Q288" s="659"/>
      <c r="R288" s="659"/>
      <c r="S288" s="659"/>
      <c r="T288" s="659"/>
      <c r="U288" s="659"/>
      <c r="V288" s="659"/>
      <c r="W288" s="659"/>
      <c r="X288" s="659"/>
      <c r="Y288" s="659"/>
      <c r="Z288" s="659"/>
      <c r="AA288" s="659"/>
      <c r="AB288" s="659"/>
      <c r="AC288" s="659"/>
      <c r="AD288" s="659"/>
      <c r="AE288" s="659"/>
      <c r="AF288" s="659"/>
    </row>
    <row r="289" spans="2:32" x14ac:dyDescent="0.2">
      <c r="B289" s="653"/>
      <c r="C289" s="653"/>
      <c r="D289" s="653"/>
      <c r="E289" s="653"/>
      <c r="F289" s="653"/>
      <c r="G289" s="653"/>
      <c r="H289" s="653"/>
      <c r="I289" s="653"/>
      <c r="J289" s="653"/>
      <c r="K289" s="653"/>
      <c r="L289" s="653"/>
      <c r="N289" s="659"/>
      <c r="O289" s="659"/>
      <c r="P289" s="659"/>
      <c r="Q289" s="659"/>
      <c r="R289" s="659"/>
      <c r="S289" s="659"/>
      <c r="T289" s="659"/>
      <c r="U289" s="659"/>
      <c r="V289" s="659"/>
      <c r="W289" s="659"/>
      <c r="X289" s="659"/>
      <c r="Y289" s="659"/>
      <c r="Z289" s="659"/>
      <c r="AA289" s="659"/>
      <c r="AB289" s="659"/>
      <c r="AC289" s="659"/>
      <c r="AD289" s="659"/>
      <c r="AE289" s="659"/>
      <c r="AF289" s="659"/>
    </row>
    <row r="290" spans="2:32" x14ac:dyDescent="0.2">
      <c r="B290" s="653"/>
      <c r="C290" s="653"/>
      <c r="D290" s="653"/>
      <c r="E290" s="653"/>
      <c r="F290" s="653"/>
      <c r="G290" s="653"/>
      <c r="H290" s="653"/>
      <c r="I290" s="653"/>
      <c r="J290" s="653"/>
      <c r="K290" s="653"/>
      <c r="L290" s="653"/>
      <c r="N290" s="659"/>
      <c r="O290" s="659"/>
      <c r="P290" s="659"/>
      <c r="Q290" s="659"/>
      <c r="R290" s="659"/>
      <c r="S290" s="659"/>
      <c r="T290" s="659"/>
      <c r="U290" s="659"/>
      <c r="V290" s="659"/>
      <c r="W290" s="659"/>
      <c r="X290" s="659"/>
      <c r="Y290" s="659"/>
      <c r="Z290" s="659"/>
      <c r="AA290" s="659"/>
      <c r="AB290" s="659"/>
      <c r="AC290" s="659"/>
      <c r="AD290" s="659"/>
      <c r="AE290" s="659"/>
      <c r="AF290" s="659"/>
    </row>
    <row r="291" spans="2:32" x14ac:dyDescent="0.2">
      <c r="B291" s="653"/>
      <c r="C291" s="653"/>
      <c r="D291" s="653"/>
      <c r="E291" s="653"/>
      <c r="F291" s="653"/>
      <c r="G291" s="653"/>
      <c r="H291" s="653"/>
      <c r="I291" s="653"/>
      <c r="J291" s="653"/>
      <c r="K291" s="653"/>
      <c r="L291" s="653"/>
      <c r="N291" s="659"/>
      <c r="O291" s="659"/>
      <c r="P291" s="659"/>
      <c r="Q291" s="659"/>
      <c r="R291" s="659"/>
      <c r="S291" s="659"/>
      <c r="T291" s="659"/>
      <c r="U291" s="659"/>
      <c r="V291" s="659"/>
      <c r="W291" s="659"/>
      <c r="X291" s="659"/>
      <c r="Y291" s="659"/>
      <c r="Z291" s="659"/>
      <c r="AA291" s="659"/>
      <c r="AB291" s="659"/>
      <c r="AC291" s="659"/>
      <c r="AD291" s="659"/>
      <c r="AE291" s="659"/>
      <c r="AF291" s="659"/>
    </row>
    <row r="292" spans="2:32" x14ac:dyDescent="0.2">
      <c r="B292" s="653"/>
      <c r="C292" s="653"/>
      <c r="D292" s="653"/>
      <c r="E292" s="653"/>
      <c r="F292" s="653"/>
      <c r="G292" s="653"/>
      <c r="H292" s="653"/>
      <c r="I292" s="653"/>
      <c r="J292" s="653"/>
      <c r="K292" s="653"/>
      <c r="L292" s="653"/>
      <c r="N292" s="659"/>
      <c r="O292" s="659"/>
      <c r="P292" s="659"/>
      <c r="Q292" s="659"/>
      <c r="R292" s="659"/>
      <c r="S292" s="659"/>
      <c r="T292" s="659"/>
      <c r="U292" s="659"/>
      <c r="V292" s="659"/>
      <c r="W292" s="659"/>
      <c r="X292" s="659"/>
      <c r="Y292" s="659"/>
      <c r="Z292" s="659"/>
      <c r="AA292" s="659"/>
      <c r="AB292" s="659"/>
      <c r="AC292" s="659"/>
      <c r="AD292" s="659"/>
      <c r="AE292" s="659"/>
      <c r="AF292" s="659"/>
    </row>
    <row r="293" spans="2:32" x14ac:dyDescent="0.2">
      <c r="B293" s="653"/>
      <c r="C293" s="653"/>
      <c r="D293" s="653"/>
      <c r="E293" s="653"/>
      <c r="F293" s="653"/>
      <c r="G293" s="653"/>
      <c r="H293" s="653"/>
      <c r="I293" s="653"/>
      <c r="J293" s="653"/>
      <c r="K293" s="653"/>
      <c r="L293" s="653"/>
      <c r="N293" s="659"/>
      <c r="O293" s="659"/>
      <c r="P293" s="659"/>
      <c r="Q293" s="659"/>
      <c r="R293" s="659"/>
      <c r="S293" s="659"/>
      <c r="T293" s="659"/>
      <c r="U293" s="659"/>
      <c r="V293" s="659"/>
      <c r="W293" s="659"/>
      <c r="X293" s="659"/>
      <c r="Y293" s="659"/>
      <c r="Z293" s="659"/>
      <c r="AA293" s="659"/>
      <c r="AB293" s="659"/>
      <c r="AC293" s="659"/>
      <c r="AD293" s="659"/>
      <c r="AE293" s="659"/>
      <c r="AF293" s="659"/>
    </row>
    <row r="294" spans="2:32" x14ac:dyDescent="0.2">
      <c r="B294" s="653"/>
      <c r="C294" s="653"/>
      <c r="D294" s="653"/>
      <c r="E294" s="653"/>
      <c r="F294" s="653"/>
      <c r="G294" s="653"/>
      <c r="H294" s="653"/>
      <c r="I294" s="653"/>
      <c r="J294" s="653"/>
      <c r="K294" s="653"/>
      <c r="L294" s="653"/>
      <c r="N294" s="659"/>
      <c r="O294" s="659"/>
      <c r="P294" s="659"/>
      <c r="Q294" s="659"/>
      <c r="R294" s="659"/>
      <c r="S294" s="659"/>
      <c r="T294" s="659"/>
      <c r="U294" s="659"/>
      <c r="V294" s="659"/>
      <c r="W294" s="659"/>
      <c r="X294" s="659"/>
      <c r="Y294" s="659"/>
      <c r="Z294" s="659"/>
      <c r="AA294" s="659"/>
      <c r="AB294" s="659"/>
      <c r="AC294" s="659"/>
      <c r="AD294" s="659"/>
      <c r="AE294" s="659"/>
      <c r="AF294" s="659"/>
    </row>
    <row r="295" spans="2:32" x14ac:dyDescent="0.2">
      <c r="B295" s="653"/>
      <c r="C295" s="653"/>
      <c r="D295" s="653"/>
      <c r="E295" s="653"/>
      <c r="F295" s="653"/>
      <c r="G295" s="653"/>
      <c r="H295" s="653"/>
      <c r="I295" s="653"/>
      <c r="J295" s="653"/>
      <c r="K295" s="653"/>
      <c r="L295" s="653"/>
      <c r="N295" s="659"/>
      <c r="O295" s="659"/>
      <c r="P295" s="659"/>
      <c r="Q295" s="659"/>
      <c r="R295" s="659"/>
      <c r="S295" s="659"/>
      <c r="T295" s="659"/>
      <c r="U295" s="659"/>
      <c r="V295" s="659"/>
      <c r="W295" s="659"/>
      <c r="X295" s="659"/>
      <c r="Y295" s="659"/>
      <c r="Z295" s="659"/>
      <c r="AA295" s="659"/>
      <c r="AB295" s="659"/>
      <c r="AC295" s="659"/>
      <c r="AD295" s="659"/>
      <c r="AE295" s="659"/>
      <c r="AF295" s="659"/>
    </row>
    <row r="296" spans="2:32" x14ac:dyDescent="0.2">
      <c r="B296" s="653"/>
      <c r="C296" s="653"/>
      <c r="D296" s="653"/>
      <c r="E296" s="653"/>
      <c r="F296" s="653"/>
      <c r="G296" s="653"/>
      <c r="H296" s="653"/>
      <c r="I296" s="653"/>
      <c r="J296" s="653"/>
      <c r="K296" s="653"/>
      <c r="L296" s="653"/>
      <c r="N296" s="659"/>
      <c r="O296" s="659"/>
      <c r="P296" s="659"/>
      <c r="Q296" s="659"/>
      <c r="R296" s="659"/>
      <c r="S296" s="659"/>
      <c r="T296" s="659"/>
      <c r="U296" s="659"/>
      <c r="V296" s="659"/>
      <c r="W296" s="659"/>
      <c r="X296" s="659"/>
      <c r="Y296" s="659"/>
      <c r="Z296" s="659"/>
      <c r="AA296" s="659"/>
      <c r="AB296" s="659"/>
      <c r="AC296" s="659"/>
      <c r="AD296" s="659"/>
      <c r="AE296" s="659"/>
      <c r="AF296" s="659"/>
    </row>
    <row r="297" spans="2:32" x14ac:dyDescent="0.2">
      <c r="B297" s="653"/>
      <c r="C297" s="653"/>
      <c r="D297" s="653"/>
      <c r="E297" s="653"/>
      <c r="F297" s="653"/>
      <c r="G297" s="653"/>
      <c r="H297" s="653"/>
      <c r="I297" s="653"/>
      <c r="J297" s="653"/>
      <c r="K297" s="653"/>
      <c r="L297" s="653"/>
      <c r="N297" s="659"/>
      <c r="O297" s="659"/>
      <c r="P297" s="659"/>
      <c r="Q297" s="659"/>
      <c r="R297" s="659"/>
      <c r="S297" s="659"/>
      <c r="T297" s="659"/>
      <c r="U297" s="659"/>
      <c r="V297" s="659"/>
      <c r="W297" s="659"/>
      <c r="X297" s="659"/>
      <c r="Y297" s="659"/>
      <c r="Z297" s="659"/>
      <c r="AA297" s="659"/>
      <c r="AB297" s="659"/>
      <c r="AC297" s="659"/>
      <c r="AD297" s="659"/>
      <c r="AE297" s="659"/>
      <c r="AF297" s="659"/>
    </row>
    <row r="298" spans="2:32" x14ac:dyDescent="0.2">
      <c r="B298" s="653"/>
      <c r="C298" s="653"/>
      <c r="D298" s="653"/>
      <c r="E298" s="653"/>
      <c r="F298" s="653"/>
      <c r="G298" s="653"/>
      <c r="H298" s="653"/>
      <c r="I298" s="653"/>
      <c r="J298" s="653"/>
      <c r="K298" s="653"/>
      <c r="L298" s="653"/>
      <c r="N298" s="659"/>
      <c r="O298" s="659"/>
      <c r="P298" s="659"/>
      <c r="Q298" s="659"/>
      <c r="R298" s="659"/>
      <c r="S298" s="659"/>
      <c r="T298" s="659"/>
      <c r="U298" s="659"/>
      <c r="V298" s="659"/>
      <c r="W298" s="659"/>
      <c r="X298" s="659"/>
      <c r="Y298" s="659"/>
      <c r="Z298" s="659"/>
      <c r="AA298" s="659"/>
      <c r="AB298" s="659"/>
      <c r="AC298" s="659"/>
      <c r="AD298" s="659"/>
      <c r="AE298" s="659"/>
      <c r="AF298" s="659"/>
    </row>
    <row r="299" spans="2:32" x14ac:dyDescent="0.2">
      <c r="B299" s="653"/>
      <c r="C299" s="653"/>
      <c r="D299" s="653"/>
      <c r="E299" s="653"/>
      <c r="F299" s="653"/>
      <c r="G299" s="653"/>
      <c r="H299" s="653"/>
      <c r="I299" s="653"/>
      <c r="J299" s="653"/>
      <c r="K299" s="653"/>
      <c r="L299" s="653"/>
      <c r="N299" s="659"/>
      <c r="O299" s="659"/>
      <c r="P299" s="659"/>
      <c r="Q299" s="659"/>
      <c r="R299" s="659"/>
      <c r="S299" s="659"/>
      <c r="T299" s="659"/>
      <c r="U299" s="659"/>
      <c r="V299" s="659"/>
      <c r="W299" s="659"/>
      <c r="X299" s="659"/>
      <c r="Y299" s="659"/>
      <c r="Z299" s="659"/>
      <c r="AA299" s="659"/>
      <c r="AB299" s="659"/>
      <c r="AC299" s="659"/>
      <c r="AD299" s="659"/>
      <c r="AE299" s="659"/>
      <c r="AF299" s="659"/>
    </row>
    <row r="300" spans="2:32" x14ac:dyDescent="0.2">
      <c r="B300" s="653"/>
      <c r="C300" s="653"/>
      <c r="D300" s="653"/>
      <c r="E300" s="653"/>
      <c r="F300" s="653"/>
      <c r="G300" s="653"/>
      <c r="H300" s="653"/>
      <c r="I300" s="653"/>
      <c r="J300" s="653"/>
      <c r="K300" s="653"/>
      <c r="L300" s="653"/>
      <c r="N300" s="659"/>
      <c r="O300" s="659"/>
      <c r="P300" s="659"/>
      <c r="Q300" s="659"/>
      <c r="R300" s="659"/>
      <c r="S300" s="659"/>
      <c r="T300" s="659"/>
      <c r="U300" s="659"/>
      <c r="V300" s="659"/>
      <c r="W300" s="659"/>
      <c r="X300" s="659"/>
      <c r="Y300" s="659"/>
      <c r="Z300" s="659"/>
      <c r="AA300" s="659"/>
      <c r="AB300" s="659"/>
      <c r="AC300" s="659"/>
      <c r="AD300" s="659"/>
      <c r="AE300" s="659"/>
      <c r="AF300" s="659"/>
    </row>
    <row r="301" spans="2:32" x14ac:dyDescent="0.2">
      <c r="B301" s="653"/>
      <c r="C301" s="653"/>
      <c r="D301" s="653"/>
      <c r="E301" s="653"/>
      <c r="F301" s="653"/>
      <c r="G301" s="653"/>
      <c r="H301" s="653"/>
      <c r="I301" s="653"/>
      <c r="J301" s="653"/>
      <c r="K301" s="653"/>
      <c r="L301" s="653"/>
      <c r="N301" s="659"/>
      <c r="O301" s="659"/>
      <c r="P301" s="659"/>
      <c r="Q301" s="659"/>
      <c r="R301" s="659"/>
      <c r="S301" s="659"/>
      <c r="T301" s="659"/>
      <c r="U301" s="659"/>
      <c r="V301" s="659"/>
      <c r="W301" s="659"/>
      <c r="X301" s="659"/>
      <c r="Y301" s="659"/>
      <c r="Z301" s="659"/>
      <c r="AA301" s="659"/>
      <c r="AB301" s="659"/>
      <c r="AC301" s="659"/>
      <c r="AD301" s="659"/>
      <c r="AE301" s="659"/>
      <c r="AF301" s="659"/>
    </row>
    <row r="302" spans="2:32" x14ac:dyDescent="0.2">
      <c r="B302" s="653"/>
      <c r="C302" s="653"/>
      <c r="D302" s="653"/>
      <c r="E302" s="653"/>
      <c r="F302" s="653"/>
      <c r="G302" s="653"/>
      <c r="H302" s="653"/>
      <c r="I302" s="653"/>
      <c r="J302" s="653"/>
      <c r="K302" s="653"/>
      <c r="L302" s="653"/>
      <c r="N302" s="659"/>
      <c r="O302" s="659"/>
      <c r="P302" s="659"/>
      <c r="Q302" s="659"/>
      <c r="R302" s="659"/>
      <c r="S302" s="659"/>
      <c r="T302" s="659"/>
      <c r="U302" s="659"/>
      <c r="V302" s="659"/>
      <c r="W302" s="659"/>
      <c r="X302" s="659"/>
      <c r="Y302" s="659"/>
      <c r="Z302" s="659"/>
      <c r="AA302" s="659"/>
      <c r="AB302" s="659"/>
      <c r="AC302" s="659"/>
      <c r="AD302" s="659"/>
      <c r="AE302" s="659"/>
      <c r="AF302" s="659"/>
    </row>
    <row r="303" spans="2:32" x14ac:dyDescent="0.2">
      <c r="B303" s="653"/>
      <c r="C303" s="653"/>
      <c r="D303" s="653"/>
      <c r="E303" s="653"/>
      <c r="F303" s="653"/>
      <c r="G303" s="653"/>
      <c r="H303" s="653"/>
      <c r="I303" s="653"/>
      <c r="J303" s="653"/>
      <c r="K303" s="653"/>
      <c r="L303" s="653"/>
      <c r="N303" s="659"/>
      <c r="O303" s="659"/>
      <c r="P303" s="659"/>
      <c r="Q303" s="659"/>
      <c r="R303" s="659"/>
      <c r="S303" s="659"/>
      <c r="T303" s="659"/>
      <c r="U303" s="659"/>
      <c r="V303" s="659"/>
      <c r="W303" s="659"/>
      <c r="X303" s="659"/>
      <c r="Y303" s="659"/>
      <c r="Z303" s="659"/>
      <c r="AA303" s="659"/>
      <c r="AB303" s="659"/>
      <c r="AC303" s="659"/>
      <c r="AD303" s="659"/>
      <c r="AE303" s="659"/>
      <c r="AF303" s="659"/>
    </row>
    <row r="304" spans="2:32" x14ac:dyDescent="0.2">
      <c r="B304" s="653"/>
      <c r="C304" s="653"/>
      <c r="D304" s="653"/>
      <c r="E304" s="653"/>
      <c r="F304" s="653"/>
      <c r="G304" s="653"/>
      <c r="H304" s="653"/>
      <c r="I304" s="653"/>
      <c r="J304" s="653"/>
      <c r="K304" s="653"/>
      <c r="L304" s="653"/>
      <c r="N304" s="659"/>
      <c r="O304" s="659"/>
      <c r="P304" s="659"/>
      <c r="Q304" s="659"/>
      <c r="R304" s="659"/>
      <c r="S304" s="659"/>
      <c r="T304" s="659"/>
      <c r="U304" s="659"/>
      <c r="V304" s="659"/>
      <c r="W304" s="659"/>
      <c r="X304" s="659"/>
      <c r="Y304" s="659"/>
      <c r="Z304" s="659"/>
      <c r="AA304" s="659"/>
      <c r="AB304" s="659"/>
      <c r="AC304" s="659"/>
      <c r="AD304" s="659"/>
      <c r="AE304" s="659"/>
      <c r="AF304" s="659"/>
    </row>
    <row r="305" spans="2:32" x14ac:dyDescent="0.2">
      <c r="B305" s="653"/>
      <c r="C305" s="653"/>
      <c r="D305" s="653"/>
      <c r="E305" s="653"/>
      <c r="F305" s="653"/>
      <c r="G305" s="653"/>
      <c r="H305" s="653"/>
      <c r="I305" s="653"/>
      <c r="J305" s="653"/>
      <c r="K305" s="653"/>
      <c r="L305" s="653"/>
      <c r="N305" s="659"/>
      <c r="O305" s="659"/>
      <c r="P305" s="659"/>
      <c r="Q305" s="659"/>
      <c r="R305" s="659"/>
      <c r="S305" s="659"/>
      <c r="T305" s="659"/>
      <c r="U305" s="659"/>
      <c r="V305" s="659"/>
      <c r="W305" s="659"/>
      <c r="X305" s="659"/>
      <c r="Y305" s="659"/>
      <c r="Z305" s="659"/>
      <c r="AA305" s="659"/>
      <c r="AB305" s="659"/>
      <c r="AC305" s="659"/>
      <c r="AD305" s="659"/>
      <c r="AE305" s="659"/>
      <c r="AF305" s="659"/>
    </row>
    <row r="306" spans="2:32" x14ac:dyDescent="0.2">
      <c r="B306" s="653"/>
      <c r="C306" s="653"/>
      <c r="D306" s="653"/>
      <c r="E306" s="653"/>
      <c r="F306" s="653"/>
      <c r="G306" s="653"/>
      <c r="H306" s="653"/>
      <c r="I306" s="653"/>
      <c r="J306" s="653"/>
      <c r="K306" s="653"/>
      <c r="L306" s="653"/>
      <c r="N306" s="659"/>
      <c r="O306" s="659"/>
      <c r="P306" s="659"/>
      <c r="Q306" s="659"/>
      <c r="R306" s="659"/>
      <c r="S306" s="659"/>
      <c r="T306" s="659"/>
      <c r="U306" s="659"/>
      <c r="V306" s="659"/>
      <c r="W306" s="659"/>
      <c r="X306" s="659"/>
      <c r="Y306" s="659"/>
      <c r="Z306" s="659"/>
      <c r="AA306" s="659"/>
      <c r="AB306" s="659"/>
      <c r="AC306" s="659"/>
      <c r="AD306" s="659"/>
      <c r="AE306" s="659"/>
      <c r="AF306" s="659"/>
    </row>
    <row r="307" spans="2:32" x14ac:dyDescent="0.2">
      <c r="B307" s="653"/>
      <c r="C307" s="653"/>
      <c r="D307" s="653"/>
      <c r="E307" s="653"/>
      <c r="F307" s="653"/>
      <c r="G307" s="653"/>
      <c r="H307" s="653"/>
      <c r="I307" s="653"/>
      <c r="J307" s="653"/>
      <c r="K307" s="653"/>
      <c r="L307" s="653"/>
      <c r="N307" s="659"/>
      <c r="O307" s="659"/>
      <c r="P307" s="659"/>
      <c r="Q307" s="659"/>
      <c r="R307" s="659"/>
      <c r="S307" s="659"/>
      <c r="T307" s="659"/>
      <c r="U307" s="659"/>
      <c r="V307" s="659"/>
      <c r="W307" s="659"/>
      <c r="X307" s="659"/>
      <c r="Y307" s="659"/>
      <c r="Z307" s="659"/>
      <c r="AA307" s="659"/>
      <c r="AB307" s="659"/>
      <c r="AC307" s="659"/>
      <c r="AD307" s="659"/>
      <c r="AE307" s="659"/>
      <c r="AF307" s="659"/>
    </row>
    <row r="308" spans="2:32" x14ac:dyDescent="0.2">
      <c r="B308" s="653"/>
      <c r="C308" s="653"/>
      <c r="D308" s="653"/>
      <c r="E308" s="653"/>
      <c r="F308" s="653"/>
      <c r="G308" s="653"/>
      <c r="H308" s="653"/>
      <c r="I308" s="653"/>
      <c r="J308" s="653"/>
      <c r="K308" s="653"/>
      <c r="L308" s="653"/>
      <c r="N308" s="659"/>
      <c r="O308" s="659"/>
      <c r="P308" s="659"/>
      <c r="Q308" s="659"/>
      <c r="R308" s="659"/>
      <c r="S308" s="659"/>
      <c r="T308" s="659"/>
      <c r="U308" s="659"/>
      <c r="V308" s="659"/>
      <c r="W308" s="659"/>
      <c r="X308" s="659"/>
      <c r="Y308" s="659"/>
      <c r="Z308" s="659"/>
      <c r="AA308" s="659"/>
      <c r="AB308" s="659"/>
      <c r="AC308" s="659"/>
      <c r="AD308" s="659"/>
      <c r="AE308" s="659"/>
      <c r="AF308" s="659"/>
    </row>
    <row r="309" spans="2:32" x14ac:dyDescent="0.2">
      <c r="B309" s="653"/>
      <c r="C309" s="653"/>
      <c r="D309" s="653"/>
      <c r="E309" s="653"/>
      <c r="F309" s="653"/>
      <c r="G309" s="653"/>
      <c r="H309" s="653"/>
      <c r="I309" s="653"/>
      <c r="J309" s="653"/>
      <c r="K309" s="653"/>
      <c r="L309" s="653"/>
      <c r="N309" s="659"/>
      <c r="O309" s="659"/>
      <c r="P309" s="659"/>
      <c r="Q309" s="659"/>
      <c r="R309" s="659"/>
      <c r="S309" s="659"/>
      <c r="T309" s="659"/>
      <c r="U309" s="659"/>
      <c r="V309" s="659"/>
      <c r="W309" s="659"/>
      <c r="X309" s="659"/>
      <c r="Y309" s="659"/>
      <c r="Z309" s="659"/>
      <c r="AA309" s="659"/>
      <c r="AB309" s="659"/>
      <c r="AC309" s="659"/>
      <c r="AD309" s="659"/>
      <c r="AE309" s="659"/>
      <c r="AF309" s="659"/>
    </row>
    <row r="310" spans="2:32" x14ac:dyDescent="0.2">
      <c r="B310" s="653"/>
      <c r="C310" s="653"/>
      <c r="D310" s="653"/>
      <c r="E310" s="653"/>
      <c r="F310" s="653"/>
      <c r="G310" s="653"/>
      <c r="H310" s="653"/>
      <c r="I310" s="653"/>
      <c r="J310" s="653"/>
      <c r="K310" s="653"/>
      <c r="L310" s="653"/>
      <c r="N310" s="659"/>
      <c r="O310" s="659"/>
      <c r="P310" s="659"/>
      <c r="Q310" s="659"/>
      <c r="R310" s="659"/>
      <c r="S310" s="659"/>
      <c r="T310" s="659"/>
      <c r="U310" s="659"/>
      <c r="V310" s="659"/>
      <c r="W310" s="659"/>
      <c r="X310" s="659"/>
      <c r="Y310" s="659"/>
      <c r="Z310" s="659"/>
      <c r="AA310" s="659"/>
      <c r="AB310" s="659"/>
      <c r="AC310" s="659"/>
      <c r="AD310" s="659"/>
      <c r="AE310" s="659"/>
      <c r="AF310" s="659"/>
    </row>
    <row r="311" spans="2:32" x14ac:dyDescent="0.2">
      <c r="B311" s="653"/>
      <c r="C311" s="653"/>
      <c r="D311" s="653"/>
      <c r="E311" s="653"/>
      <c r="F311" s="653"/>
      <c r="G311" s="653"/>
      <c r="H311" s="653"/>
      <c r="I311" s="653"/>
      <c r="J311" s="653"/>
      <c r="K311" s="653"/>
      <c r="L311" s="653"/>
      <c r="N311" s="659"/>
      <c r="O311" s="659"/>
      <c r="P311" s="659"/>
      <c r="Q311" s="659"/>
      <c r="R311" s="659"/>
      <c r="S311" s="659"/>
      <c r="T311" s="659"/>
      <c r="U311" s="659"/>
      <c r="V311" s="659"/>
      <c r="W311" s="659"/>
      <c r="X311" s="659"/>
      <c r="Y311" s="659"/>
      <c r="Z311" s="659"/>
      <c r="AA311" s="659"/>
      <c r="AB311" s="659"/>
      <c r="AC311" s="659"/>
      <c r="AD311" s="659"/>
      <c r="AE311" s="659"/>
      <c r="AF311" s="659"/>
    </row>
    <row r="312" spans="2:32" x14ac:dyDescent="0.2">
      <c r="B312" s="653"/>
      <c r="C312" s="653"/>
      <c r="D312" s="653"/>
      <c r="E312" s="653"/>
      <c r="F312" s="653"/>
      <c r="G312" s="653"/>
      <c r="H312" s="653"/>
      <c r="I312" s="653"/>
      <c r="J312" s="653"/>
      <c r="K312" s="653"/>
      <c r="L312" s="653"/>
      <c r="N312" s="659"/>
      <c r="O312" s="659"/>
      <c r="P312" s="659"/>
      <c r="Q312" s="659"/>
      <c r="R312" s="659"/>
      <c r="S312" s="659"/>
      <c r="T312" s="659"/>
      <c r="U312" s="659"/>
      <c r="V312" s="659"/>
      <c r="W312" s="659"/>
      <c r="X312" s="659"/>
      <c r="Y312" s="659"/>
      <c r="Z312" s="659"/>
      <c r="AA312" s="659"/>
      <c r="AB312" s="659"/>
      <c r="AC312" s="659"/>
      <c r="AD312" s="659"/>
      <c r="AE312" s="659"/>
      <c r="AF312" s="659"/>
    </row>
    <row r="313" spans="2:32" x14ac:dyDescent="0.2">
      <c r="B313" s="653"/>
      <c r="C313" s="653"/>
      <c r="D313" s="653"/>
      <c r="E313" s="653"/>
      <c r="F313" s="653"/>
      <c r="G313" s="653"/>
      <c r="H313" s="653"/>
      <c r="I313" s="653"/>
      <c r="J313" s="653"/>
      <c r="K313" s="653"/>
      <c r="L313" s="653"/>
      <c r="N313" s="659"/>
      <c r="O313" s="659"/>
      <c r="P313" s="659"/>
      <c r="Q313" s="659"/>
      <c r="R313" s="659"/>
      <c r="S313" s="659"/>
      <c r="T313" s="659"/>
      <c r="U313" s="659"/>
      <c r="V313" s="659"/>
      <c r="W313" s="659"/>
      <c r="X313" s="659"/>
      <c r="Y313" s="659"/>
      <c r="Z313" s="659"/>
      <c r="AA313" s="659"/>
      <c r="AB313" s="659"/>
      <c r="AC313" s="659"/>
      <c r="AD313" s="659"/>
      <c r="AE313" s="659"/>
      <c r="AF313" s="659"/>
    </row>
    <row r="314" spans="2:32" x14ac:dyDescent="0.2">
      <c r="B314" s="653"/>
      <c r="C314" s="653"/>
      <c r="D314" s="653"/>
      <c r="E314" s="653"/>
      <c r="F314" s="653"/>
      <c r="G314" s="653"/>
      <c r="H314" s="653"/>
      <c r="I314" s="653"/>
      <c r="J314" s="653"/>
      <c r="K314" s="653"/>
      <c r="L314" s="653"/>
      <c r="N314" s="659"/>
      <c r="O314" s="659"/>
      <c r="P314" s="659"/>
      <c r="Q314" s="659"/>
      <c r="R314" s="659"/>
      <c r="S314" s="659"/>
      <c r="T314" s="659"/>
      <c r="U314" s="659"/>
      <c r="V314" s="659"/>
      <c r="W314" s="659"/>
      <c r="X314" s="659"/>
      <c r="Y314" s="659"/>
      <c r="Z314" s="659"/>
      <c r="AA314" s="659"/>
      <c r="AB314" s="659"/>
      <c r="AC314" s="659"/>
      <c r="AD314" s="659"/>
      <c r="AE314" s="659"/>
      <c r="AF314" s="659"/>
    </row>
    <row r="315" spans="2:32" x14ac:dyDescent="0.2">
      <c r="B315" s="653"/>
      <c r="C315" s="653"/>
      <c r="D315" s="653"/>
      <c r="E315" s="653"/>
      <c r="F315" s="653"/>
      <c r="G315" s="653"/>
      <c r="H315" s="653"/>
      <c r="I315" s="653"/>
      <c r="J315" s="653"/>
      <c r="K315" s="653"/>
      <c r="L315" s="653"/>
      <c r="N315" s="659"/>
      <c r="O315" s="659"/>
      <c r="P315" s="659"/>
      <c r="Q315" s="659"/>
      <c r="R315" s="659"/>
      <c r="S315" s="659"/>
      <c r="T315" s="659"/>
      <c r="U315" s="659"/>
      <c r="V315" s="659"/>
      <c r="W315" s="659"/>
      <c r="X315" s="659"/>
      <c r="Y315" s="659"/>
      <c r="Z315" s="659"/>
      <c r="AA315" s="659"/>
      <c r="AB315" s="659"/>
      <c r="AC315" s="659"/>
      <c r="AD315" s="659"/>
      <c r="AE315" s="659"/>
      <c r="AF315" s="659"/>
    </row>
    <row r="316" spans="2:32" x14ac:dyDescent="0.2">
      <c r="B316" s="653"/>
      <c r="C316" s="653"/>
      <c r="D316" s="653"/>
      <c r="E316" s="653"/>
      <c r="F316" s="653"/>
      <c r="G316" s="653"/>
      <c r="H316" s="653"/>
      <c r="I316" s="653"/>
      <c r="J316" s="653"/>
      <c r="K316" s="653"/>
      <c r="L316" s="653"/>
      <c r="N316" s="659"/>
      <c r="O316" s="659"/>
      <c r="P316" s="659"/>
      <c r="Q316" s="659"/>
      <c r="R316" s="659"/>
      <c r="S316" s="659"/>
      <c r="T316" s="659"/>
      <c r="U316" s="659"/>
      <c r="V316" s="659"/>
      <c r="W316" s="659"/>
      <c r="X316" s="659"/>
      <c r="Y316" s="659"/>
      <c r="Z316" s="659"/>
      <c r="AA316" s="659"/>
      <c r="AB316" s="659"/>
      <c r="AC316" s="659"/>
      <c r="AD316" s="659"/>
      <c r="AE316" s="659"/>
      <c r="AF316" s="659"/>
    </row>
    <row r="317" spans="2:32" x14ac:dyDescent="0.2">
      <c r="B317" s="653"/>
      <c r="C317" s="653"/>
      <c r="D317" s="653"/>
      <c r="E317" s="653"/>
      <c r="F317" s="653"/>
      <c r="G317" s="653"/>
      <c r="H317" s="653"/>
      <c r="I317" s="653"/>
      <c r="J317" s="653"/>
      <c r="K317" s="653"/>
      <c r="L317" s="653"/>
      <c r="N317" s="659"/>
      <c r="O317" s="659"/>
      <c r="P317" s="659"/>
      <c r="Q317" s="659"/>
      <c r="R317" s="659"/>
      <c r="S317" s="659"/>
      <c r="T317" s="659"/>
      <c r="U317" s="659"/>
      <c r="V317" s="659"/>
      <c r="W317" s="659"/>
      <c r="X317" s="659"/>
      <c r="Y317" s="659"/>
      <c r="Z317" s="659"/>
      <c r="AA317" s="659"/>
      <c r="AB317" s="659"/>
      <c r="AC317" s="659"/>
      <c r="AD317" s="659"/>
      <c r="AE317" s="659"/>
      <c r="AF317" s="659"/>
    </row>
    <row r="318" spans="2:32" x14ac:dyDescent="0.2">
      <c r="B318" s="653"/>
      <c r="C318" s="653"/>
      <c r="D318" s="653"/>
      <c r="E318" s="653"/>
      <c r="F318" s="653"/>
      <c r="G318" s="653"/>
      <c r="H318" s="653"/>
      <c r="I318" s="653"/>
      <c r="J318" s="653"/>
      <c r="K318" s="653"/>
      <c r="L318" s="653"/>
      <c r="N318" s="659"/>
      <c r="O318" s="659"/>
      <c r="P318" s="659"/>
      <c r="Q318" s="659"/>
      <c r="R318" s="659"/>
      <c r="S318" s="659"/>
      <c r="T318" s="659"/>
      <c r="U318" s="659"/>
      <c r="V318" s="659"/>
      <c r="W318" s="659"/>
      <c r="X318" s="659"/>
      <c r="Y318" s="659"/>
      <c r="Z318" s="659"/>
      <c r="AA318" s="659"/>
      <c r="AB318" s="659"/>
      <c r="AC318" s="659"/>
      <c r="AD318" s="659"/>
      <c r="AE318" s="659"/>
      <c r="AF318" s="659"/>
    </row>
    <row r="319" spans="2:32" x14ac:dyDescent="0.2">
      <c r="B319" s="653"/>
      <c r="C319" s="653"/>
      <c r="D319" s="653"/>
      <c r="E319" s="653"/>
      <c r="F319" s="653"/>
      <c r="G319" s="653"/>
      <c r="H319" s="653"/>
      <c r="I319" s="653"/>
      <c r="J319" s="653"/>
      <c r="K319" s="653"/>
      <c r="L319" s="653"/>
      <c r="N319" s="659"/>
      <c r="O319" s="659"/>
      <c r="P319" s="659"/>
      <c r="Q319" s="659"/>
      <c r="R319" s="659"/>
      <c r="S319" s="659"/>
      <c r="T319" s="659"/>
      <c r="U319" s="659"/>
      <c r="V319" s="659"/>
      <c r="W319" s="659"/>
      <c r="X319" s="659"/>
      <c r="Y319" s="659"/>
      <c r="Z319" s="659"/>
      <c r="AA319" s="659"/>
      <c r="AB319" s="659"/>
      <c r="AC319" s="659"/>
      <c r="AD319" s="659"/>
      <c r="AE319" s="659"/>
      <c r="AF319" s="659"/>
    </row>
    <row r="320" spans="2:32" x14ac:dyDescent="0.2">
      <c r="B320" s="653"/>
      <c r="C320" s="653"/>
      <c r="D320" s="653"/>
      <c r="E320" s="653"/>
      <c r="F320" s="653"/>
      <c r="G320" s="653"/>
      <c r="H320" s="653"/>
      <c r="I320" s="653"/>
      <c r="J320" s="653"/>
      <c r="K320" s="653"/>
      <c r="L320" s="653"/>
      <c r="N320" s="659"/>
      <c r="O320" s="659"/>
      <c r="P320" s="659"/>
      <c r="Q320" s="659"/>
      <c r="R320" s="659"/>
      <c r="S320" s="659"/>
      <c r="T320" s="659"/>
      <c r="U320" s="659"/>
      <c r="V320" s="659"/>
      <c r="W320" s="659"/>
      <c r="X320" s="659"/>
      <c r="Y320" s="659"/>
      <c r="Z320" s="659"/>
      <c r="AA320" s="659"/>
      <c r="AB320" s="659"/>
      <c r="AC320" s="659"/>
      <c r="AD320" s="659"/>
      <c r="AE320" s="659"/>
      <c r="AF320" s="659"/>
    </row>
    <row r="321" spans="2:32" x14ac:dyDescent="0.2">
      <c r="B321" s="653"/>
      <c r="C321" s="653"/>
      <c r="D321" s="653"/>
      <c r="E321" s="653"/>
      <c r="F321" s="653"/>
      <c r="G321" s="653"/>
      <c r="H321" s="653"/>
      <c r="I321" s="653"/>
      <c r="J321" s="653"/>
      <c r="K321" s="653"/>
      <c r="L321" s="653"/>
      <c r="N321" s="659"/>
      <c r="O321" s="659"/>
      <c r="P321" s="659"/>
      <c r="Q321" s="659"/>
      <c r="R321" s="659"/>
      <c r="S321" s="659"/>
      <c r="T321" s="659"/>
      <c r="U321" s="659"/>
      <c r="V321" s="659"/>
      <c r="W321" s="659"/>
      <c r="X321" s="659"/>
      <c r="Y321" s="659"/>
      <c r="Z321" s="659"/>
      <c r="AA321" s="659"/>
      <c r="AB321" s="659"/>
      <c r="AC321" s="659"/>
      <c r="AD321" s="659"/>
      <c r="AE321" s="659"/>
      <c r="AF321" s="659"/>
    </row>
    <row r="322" spans="2:32" x14ac:dyDescent="0.2">
      <c r="B322" s="653"/>
      <c r="C322" s="653"/>
      <c r="D322" s="653"/>
      <c r="E322" s="653"/>
      <c r="F322" s="653"/>
      <c r="G322" s="653"/>
      <c r="H322" s="653"/>
      <c r="I322" s="653"/>
      <c r="J322" s="653"/>
      <c r="K322" s="653"/>
      <c r="L322" s="653"/>
      <c r="N322" s="659"/>
      <c r="O322" s="659"/>
      <c r="P322" s="659"/>
      <c r="Q322" s="659"/>
      <c r="R322" s="659"/>
      <c r="S322" s="659"/>
      <c r="T322" s="659"/>
      <c r="U322" s="659"/>
      <c r="V322" s="659"/>
      <c r="W322" s="659"/>
      <c r="X322" s="659"/>
      <c r="Y322" s="659"/>
      <c r="Z322" s="659"/>
      <c r="AA322" s="659"/>
      <c r="AB322" s="659"/>
      <c r="AC322" s="659"/>
      <c r="AD322" s="659"/>
      <c r="AE322" s="659"/>
      <c r="AF322" s="659"/>
    </row>
    <row r="323" spans="2:32" x14ac:dyDescent="0.2">
      <c r="B323" s="653"/>
      <c r="C323" s="653"/>
      <c r="D323" s="653"/>
      <c r="E323" s="653"/>
      <c r="F323" s="653"/>
      <c r="G323" s="653"/>
      <c r="H323" s="653"/>
      <c r="I323" s="653"/>
      <c r="J323" s="653"/>
      <c r="K323" s="653"/>
      <c r="L323" s="653"/>
      <c r="N323" s="659"/>
      <c r="O323" s="659"/>
      <c r="P323" s="659"/>
      <c r="Q323" s="659"/>
      <c r="R323" s="659"/>
      <c r="S323" s="659"/>
      <c r="T323" s="659"/>
      <c r="U323" s="659"/>
      <c r="V323" s="659"/>
      <c r="W323" s="659"/>
      <c r="X323" s="659"/>
      <c r="Y323" s="659"/>
      <c r="Z323" s="659"/>
      <c r="AA323" s="659"/>
      <c r="AB323" s="659"/>
      <c r="AC323" s="659"/>
      <c r="AD323" s="659"/>
      <c r="AE323" s="659"/>
      <c r="AF323" s="659"/>
    </row>
    <row r="324" spans="2:32" x14ac:dyDescent="0.2">
      <c r="B324" s="653"/>
      <c r="C324" s="653"/>
      <c r="D324" s="653"/>
      <c r="E324" s="653"/>
      <c r="F324" s="653"/>
      <c r="G324" s="653"/>
      <c r="H324" s="653"/>
      <c r="I324" s="653"/>
      <c r="J324" s="653"/>
      <c r="K324" s="653"/>
      <c r="L324" s="653"/>
      <c r="N324" s="659"/>
      <c r="O324" s="659"/>
      <c r="P324" s="659"/>
      <c r="Q324" s="659"/>
      <c r="R324" s="659"/>
      <c r="S324" s="659"/>
      <c r="T324" s="659"/>
      <c r="U324" s="659"/>
      <c r="V324" s="659"/>
      <c r="W324" s="659"/>
      <c r="X324" s="659"/>
      <c r="Y324" s="659"/>
      <c r="Z324" s="659"/>
      <c r="AA324" s="659"/>
      <c r="AB324" s="659"/>
      <c r="AC324" s="659"/>
      <c r="AD324" s="659"/>
      <c r="AE324" s="659"/>
      <c r="AF324" s="659"/>
    </row>
    <row r="325" spans="2:32" x14ac:dyDescent="0.2">
      <c r="B325" s="653"/>
      <c r="C325" s="653"/>
      <c r="D325" s="653"/>
      <c r="E325" s="653"/>
      <c r="F325" s="653"/>
      <c r="G325" s="653"/>
      <c r="H325" s="653"/>
      <c r="I325" s="653"/>
      <c r="J325" s="653"/>
      <c r="K325" s="653"/>
      <c r="L325" s="653"/>
      <c r="N325" s="659"/>
      <c r="O325" s="659"/>
      <c r="P325" s="659"/>
      <c r="Q325" s="659"/>
      <c r="R325" s="659"/>
      <c r="S325" s="659"/>
      <c r="T325" s="659"/>
      <c r="U325" s="659"/>
      <c r="V325" s="659"/>
      <c r="W325" s="659"/>
      <c r="X325" s="659"/>
      <c r="Y325" s="659"/>
      <c r="Z325" s="659"/>
      <c r="AA325" s="659"/>
      <c r="AB325" s="659"/>
      <c r="AC325" s="659"/>
      <c r="AD325" s="659"/>
      <c r="AE325" s="659"/>
      <c r="AF325" s="659"/>
    </row>
    <row r="326" spans="2:32" x14ac:dyDescent="0.2">
      <c r="B326" s="653"/>
      <c r="C326" s="653"/>
      <c r="D326" s="653"/>
      <c r="E326" s="653"/>
      <c r="F326" s="653"/>
      <c r="G326" s="653"/>
      <c r="H326" s="653"/>
      <c r="I326" s="653"/>
      <c r="J326" s="653"/>
      <c r="K326" s="653"/>
      <c r="L326" s="653"/>
      <c r="N326" s="659"/>
      <c r="O326" s="659"/>
      <c r="P326" s="659"/>
      <c r="Q326" s="659"/>
      <c r="R326" s="659"/>
      <c r="S326" s="659"/>
      <c r="T326" s="659"/>
      <c r="U326" s="659"/>
      <c r="V326" s="659"/>
      <c r="W326" s="659"/>
      <c r="X326" s="659"/>
      <c r="Y326" s="659"/>
      <c r="Z326" s="659"/>
      <c r="AA326" s="659"/>
      <c r="AB326" s="659"/>
      <c r="AC326" s="659"/>
      <c r="AD326" s="659"/>
      <c r="AE326" s="659"/>
      <c r="AF326" s="659"/>
    </row>
    <row r="327" spans="2:32" x14ac:dyDescent="0.2">
      <c r="B327" s="653"/>
      <c r="C327" s="653"/>
      <c r="D327" s="653"/>
      <c r="E327" s="653"/>
      <c r="F327" s="653"/>
      <c r="G327" s="653"/>
      <c r="H327" s="653"/>
      <c r="I327" s="653"/>
      <c r="J327" s="653"/>
      <c r="K327" s="653"/>
      <c r="L327" s="653"/>
      <c r="N327" s="659"/>
      <c r="O327" s="659"/>
      <c r="P327" s="659"/>
      <c r="Q327" s="659"/>
      <c r="R327" s="659"/>
      <c r="S327" s="659"/>
      <c r="T327" s="659"/>
      <c r="U327" s="659"/>
      <c r="V327" s="659"/>
      <c r="W327" s="659"/>
      <c r="X327" s="659"/>
      <c r="Y327" s="659"/>
      <c r="Z327" s="659"/>
      <c r="AA327" s="659"/>
      <c r="AB327" s="659"/>
      <c r="AC327" s="659"/>
      <c r="AD327" s="659"/>
      <c r="AE327" s="659"/>
      <c r="AF327" s="659"/>
    </row>
    <row r="328" spans="2:32" x14ac:dyDescent="0.2">
      <c r="B328" s="653"/>
      <c r="C328" s="653"/>
      <c r="D328" s="653"/>
      <c r="E328" s="653"/>
      <c r="F328" s="653"/>
      <c r="G328" s="653"/>
      <c r="H328" s="653"/>
      <c r="I328" s="653"/>
      <c r="J328" s="653"/>
      <c r="K328" s="653"/>
      <c r="L328" s="653"/>
      <c r="N328" s="659"/>
      <c r="O328" s="659"/>
      <c r="P328" s="659"/>
      <c r="Q328" s="659"/>
      <c r="R328" s="659"/>
      <c r="S328" s="659"/>
      <c r="T328" s="659"/>
      <c r="U328" s="659"/>
      <c r="V328" s="659"/>
      <c r="W328" s="659"/>
      <c r="X328" s="659"/>
      <c r="Y328" s="659"/>
      <c r="Z328" s="659"/>
      <c r="AA328" s="659"/>
      <c r="AB328" s="659"/>
      <c r="AC328" s="659"/>
      <c r="AD328" s="659"/>
      <c r="AE328" s="659"/>
      <c r="AF328" s="659"/>
    </row>
    <row r="329" spans="2:32" x14ac:dyDescent="0.2">
      <c r="B329" s="653"/>
      <c r="C329" s="653"/>
      <c r="D329" s="653"/>
      <c r="E329" s="653"/>
      <c r="F329" s="653"/>
      <c r="G329" s="653"/>
      <c r="H329" s="653"/>
      <c r="I329" s="653"/>
      <c r="J329" s="653"/>
      <c r="K329" s="653"/>
      <c r="L329" s="653"/>
      <c r="N329" s="659"/>
      <c r="O329" s="659"/>
      <c r="P329" s="659"/>
      <c r="Q329" s="659"/>
      <c r="R329" s="659"/>
      <c r="S329" s="659"/>
      <c r="T329" s="659"/>
      <c r="U329" s="659"/>
      <c r="V329" s="659"/>
      <c r="W329" s="659"/>
      <c r="X329" s="659"/>
      <c r="Y329" s="659"/>
      <c r="Z329" s="659"/>
      <c r="AA329" s="659"/>
      <c r="AB329" s="659"/>
      <c r="AC329" s="659"/>
      <c r="AD329" s="659"/>
      <c r="AE329" s="659"/>
      <c r="AF329" s="659"/>
    </row>
    <row r="330" spans="2:32" x14ac:dyDescent="0.2">
      <c r="B330" s="653"/>
      <c r="C330" s="653"/>
      <c r="D330" s="653"/>
      <c r="E330" s="653"/>
      <c r="F330" s="653"/>
      <c r="G330" s="653"/>
      <c r="H330" s="653"/>
      <c r="I330" s="653"/>
      <c r="J330" s="653"/>
      <c r="K330" s="653"/>
      <c r="L330" s="653"/>
      <c r="N330" s="659"/>
      <c r="O330" s="659"/>
      <c r="P330" s="659"/>
      <c r="Q330" s="659"/>
      <c r="R330" s="659"/>
      <c r="S330" s="659"/>
      <c r="T330" s="659"/>
      <c r="U330" s="659"/>
      <c r="V330" s="659"/>
      <c r="W330" s="659"/>
      <c r="X330" s="659"/>
      <c r="Y330" s="659"/>
      <c r="Z330" s="659"/>
      <c r="AA330" s="659"/>
      <c r="AB330" s="659"/>
      <c r="AC330" s="659"/>
      <c r="AD330" s="659"/>
      <c r="AE330" s="659"/>
      <c r="AF330" s="659"/>
    </row>
    <row r="331" spans="2:32" x14ac:dyDescent="0.2">
      <c r="B331" s="653"/>
      <c r="C331" s="653"/>
      <c r="D331" s="653"/>
      <c r="E331" s="653"/>
      <c r="F331" s="653"/>
      <c r="G331" s="653"/>
      <c r="H331" s="653"/>
      <c r="I331" s="653"/>
      <c r="J331" s="653"/>
      <c r="K331" s="653"/>
      <c r="L331" s="653"/>
      <c r="N331" s="659"/>
      <c r="O331" s="659"/>
      <c r="P331" s="659"/>
      <c r="Q331" s="659"/>
      <c r="R331" s="659"/>
      <c r="S331" s="659"/>
      <c r="T331" s="659"/>
      <c r="U331" s="659"/>
      <c r="V331" s="659"/>
      <c r="W331" s="659"/>
      <c r="X331" s="659"/>
      <c r="Y331" s="659"/>
      <c r="Z331" s="659"/>
      <c r="AA331" s="659"/>
      <c r="AB331" s="659"/>
      <c r="AC331" s="659"/>
      <c r="AD331" s="659"/>
      <c r="AE331" s="659"/>
      <c r="AF331" s="659"/>
    </row>
    <row r="332" spans="2:32" x14ac:dyDescent="0.2">
      <c r="B332" s="653"/>
      <c r="C332" s="653"/>
      <c r="D332" s="653"/>
      <c r="E332" s="653"/>
      <c r="F332" s="653"/>
      <c r="G332" s="653"/>
      <c r="H332" s="653"/>
      <c r="I332" s="653"/>
      <c r="J332" s="653"/>
      <c r="K332" s="653"/>
      <c r="L332" s="653"/>
      <c r="N332" s="659"/>
      <c r="O332" s="659"/>
      <c r="P332" s="659"/>
      <c r="Q332" s="659"/>
      <c r="R332" s="659"/>
      <c r="S332" s="659"/>
      <c r="T332" s="659"/>
      <c r="U332" s="659"/>
      <c r="V332" s="659"/>
      <c r="W332" s="659"/>
      <c r="X332" s="659"/>
      <c r="Y332" s="659"/>
      <c r="Z332" s="659"/>
      <c r="AA332" s="659"/>
      <c r="AB332" s="659"/>
      <c r="AC332" s="659"/>
      <c r="AD332" s="659"/>
      <c r="AE332" s="659"/>
      <c r="AF332" s="659"/>
    </row>
    <row r="333" spans="2:32" x14ac:dyDescent="0.2">
      <c r="B333" s="653"/>
      <c r="C333" s="653"/>
      <c r="D333" s="653"/>
      <c r="E333" s="653"/>
      <c r="F333" s="653"/>
      <c r="G333" s="653"/>
      <c r="H333" s="653"/>
      <c r="I333" s="653"/>
      <c r="J333" s="653"/>
      <c r="K333" s="653"/>
      <c r="L333" s="653"/>
      <c r="N333" s="659"/>
      <c r="O333" s="659"/>
      <c r="P333" s="659"/>
      <c r="Q333" s="659"/>
      <c r="R333" s="659"/>
      <c r="S333" s="659"/>
      <c r="T333" s="659"/>
      <c r="U333" s="659"/>
      <c r="V333" s="659"/>
      <c r="W333" s="659"/>
      <c r="X333" s="659"/>
      <c r="Y333" s="659"/>
      <c r="Z333" s="659"/>
      <c r="AA333" s="659"/>
      <c r="AB333" s="659"/>
      <c r="AC333" s="659"/>
      <c r="AD333" s="659"/>
      <c r="AE333" s="659"/>
      <c r="AF333" s="659"/>
    </row>
    <row r="334" spans="2:32" x14ac:dyDescent="0.2">
      <c r="B334" s="653"/>
      <c r="C334" s="653"/>
      <c r="D334" s="653"/>
      <c r="E334" s="653"/>
      <c r="F334" s="653"/>
      <c r="G334" s="653"/>
      <c r="H334" s="653"/>
      <c r="I334" s="653"/>
      <c r="J334" s="653"/>
      <c r="K334" s="653"/>
      <c r="L334" s="653"/>
      <c r="N334" s="659"/>
      <c r="O334" s="659"/>
      <c r="P334" s="659"/>
      <c r="Q334" s="659"/>
      <c r="R334" s="659"/>
      <c r="S334" s="659"/>
      <c r="T334" s="659"/>
      <c r="U334" s="659"/>
      <c r="V334" s="659"/>
      <c r="W334" s="659"/>
      <c r="X334" s="659"/>
      <c r="Y334" s="659"/>
      <c r="Z334" s="659"/>
      <c r="AA334" s="659"/>
      <c r="AB334" s="659"/>
      <c r="AC334" s="659"/>
      <c r="AD334" s="659"/>
      <c r="AE334" s="659"/>
      <c r="AF334" s="659"/>
    </row>
    <row r="335" spans="2:32" x14ac:dyDescent="0.2">
      <c r="B335" s="653"/>
      <c r="C335" s="653"/>
      <c r="D335" s="653"/>
      <c r="E335" s="653"/>
      <c r="F335" s="653"/>
      <c r="G335" s="653"/>
      <c r="H335" s="653"/>
      <c r="I335" s="653"/>
      <c r="J335" s="653"/>
      <c r="K335" s="653"/>
      <c r="L335" s="653"/>
      <c r="P335" s="659"/>
      <c r="Q335" s="659"/>
      <c r="R335" s="659"/>
      <c r="S335" s="659"/>
      <c r="T335" s="659"/>
      <c r="U335" s="659"/>
      <c r="V335" s="659"/>
      <c r="W335" s="659"/>
      <c r="X335" s="659"/>
      <c r="Y335" s="659"/>
      <c r="Z335" s="659"/>
      <c r="AA335" s="659"/>
      <c r="AB335" s="659"/>
      <c r="AC335" s="659"/>
      <c r="AD335" s="659"/>
      <c r="AE335" s="659"/>
      <c r="AF335" s="659"/>
    </row>
    <row r="336" spans="2:32" x14ac:dyDescent="0.2">
      <c r="P336" s="659"/>
      <c r="Q336" s="659"/>
      <c r="R336" s="659"/>
      <c r="S336" s="659"/>
      <c r="T336" s="659"/>
      <c r="U336" s="659"/>
      <c r="V336" s="659"/>
      <c r="W336" s="659"/>
      <c r="X336" s="659"/>
      <c r="Y336" s="659"/>
      <c r="Z336" s="659"/>
      <c r="AA336" s="659"/>
      <c r="AB336" s="659"/>
      <c r="AC336" s="659"/>
      <c r="AD336" s="659"/>
      <c r="AE336" s="659"/>
      <c r="AF336" s="659"/>
    </row>
    <row r="337" spans="16:32" x14ac:dyDescent="0.2">
      <c r="P337" s="659"/>
      <c r="Q337" s="659"/>
      <c r="R337" s="659"/>
      <c r="S337" s="659"/>
      <c r="T337" s="659"/>
      <c r="U337" s="659"/>
      <c r="V337" s="659"/>
      <c r="W337" s="659"/>
      <c r="X337" s="659"/>
      <c r="Y337" s="659"/>
      <c r="Z337" s="659"/>
      <c r="AA337" s="659"/>
      <c r="AB337" s="659"/>
      <c r="AC337" s="659"/>
      <c r="AD337" s="659"/>
      <c r="AE337" s="659"/>
      <c r="AF337" s="659"/>
    </row>
    <row r="338" spans="16:32" x14ac:dyDescent="0.2">
      <c r="Q338" s="659"/>
      <c r="R338" s="659"/>
      <c r="S338" s="659"/>
      <c r="T338" s="659"/>
      <c r="U338" s="659"/>
      <c r="V338" s="659"/>
      <c r="W338" s="659"/>
      <c r="X338" s="659"/>
      <c r="Y338" s="659"/>
      <c r="Z338" s="659"/>
      <c r="AA338" s="659"/>
      <c r="AB338" s="659"/>
      <c r="AC338" s="659"/>
      <c r="AD338" s="659"/>
      <c r="AE338" s="659"/>
      <c r="AF338" s="659"/>
    </row>
    <row r="339" spans="16:32" x14ac:dyDescent="0.2">
      <c r="Q339" s="659"/>
      <c r="R339" s="659"/>
      <c r="S339" s="659"/>
      <c r="T339" s="659"/>
      <c r="U339" s="659"/>
      <c r="V339" s="659"/>
      <c r="W339" s="659"/>
      <c r="X339" s="659"/>
      <c r="Y339" s="659"/>
      <c r="Z339" s="659"/>
      <c r="AA339" s="659"/>
      <c r="AB339" s="659"/>
      <c r="AC339" s="659"/>
      <c r="AD339" s="659"/>
      <c r="AE339" s="659"/>
      <c r="AF339" s="659"/>
    </row>
    <row r="340" spans="16:32" x14ac:dyDescent="0.2">
      <c r="Q340" s="659"/>
      <c r="R340" s="659"/>
      <c r="S340" s="659"/>
      <c r="T340" s="659"/>
      <c r="U340" s="659"/>
      <c r="V340" s="659"/>
      <c r="W340" s="659"/>
      <c r="X340" s="659"/>
      <c r="Y340" s="659"/>
      <c r="Z340" s="659"/>
      <c r="AA340" s="659"/>
      <c r="AB340" s="659"/>
      <c r="AC340" s="659"/>
      <c r="AD340" s="659"/>
      <c r="AE340" s="659"/>
      <c r="AF340" s="659"/>
    </row>
    <row r="341" spans="16:32" x14ac:dyDescent="0.2">
      <c r="Q341" s="659"/>
      <c r="R341" s="659"/>
      <c r="S341" s="659"/>
      <c r="T341" s="659"/>
      <c r="U341" s="659"/>
      <c r="V341" s="659"/>
      <c r="W341" s="659"/>
      <c r="X341" s="659"/>
      <c r="Y341" s="659"/>
      <c r="Z341" s="659"/>
      <c r="AA341" s="659"/>
      <c r="AB341" s="659"/>
      <c r="AC341" s="659"/>
      <c r="AD341" s="659"/>
      <c r="AE341" s="659"/>
      <c r="AF341" s="659"/>
    </row>
    <row r="342" spans="16:32" x14ac:dyDescent="0.2">
      <c r="Q342" s="659"/>
      <c r="R342" s="659"/>
      <c r="S342" s="659"/>
      <c r="T342" s="659"/>
      <c r="U342" s="659"/>
      <c r="V342" s="659"/>
      <c r="W342" s="659"/>
      <c r="X342" s="659"/>
      <c r="Y342" s="659"/>
      <c r="Z342" s="659"/>
      <c r="AA342" s="659"/>
      <c r="AB342" s="659"/>
      <c r="AC342" s="659"/>
      <c r="AD342" s="659"/>
      <c r="AE342" s="659"/>
      <c r="AF342" s="659"/>
    </row>
    <row r="343" spans="16:32" x14ac:dyDescent="0.2">
      <c r="Q343" s="659"/>
      <c r="R343" s="659"/>
      <c r="S343" s="659"/>
      <c r="T343" s="659"/>
      <c r="U343" s="659"/>
      <c r="V343" s="659"/>
      <c r="W343" s="659"/>
      <c r="X343" s="659"/>
      <c r="Y343" s="659"/>
      <c r="Z343" s="659"/>
      <c r="AA343" s="659"/>
      <c r="AB343" s="659"/>
      <c r="AC343" s="659"/>
      <c r="AD343" s="659"/>
      <c r="AE343" s="659"/>
      <c r="AF343" s="659"/>
    </row>
    <row r="344" spans="16:32" x14ac:dyDescent="0.2">
      <c r="Q344" s="659"/>
      <c r="R344" s="659"/>
      <c r="S344" s="659"/>
      <c r="T344" s="659"/>
      <c r="U344" s="659"/>
      <c r="V344" s="659"/>
      <c r="W344" s="659"/>
      <c r="X344" s="659"/>
      <c r="Y344" s="659"/>
      <c r="Z344" s="659"/>
      <c r="AA344" s="659"/>
      <c r="AB344" s="659"/>
      <c r="AC344" s="659"/>
      <c r="AD344" s="659"/>
      <c r="AE344" s="659"/>
      <c r="AF344" s="659"/>
    </row>
    <row r="345" spans="16:32" x14ac:dyDescent="0.2">
      <c r="Q345" s="659"/>
      <c r="R345" s="659"/>
      <c r="S345" s="659"/>
      <c r="T345" s="659"/>
      <c r="U345" s="659"/>
      <c r="V345" s="659"/>
      <c r="W345" s="659"/>
      <c r="X345" s="659"/>
      <c r="Y345" s="659"/>
      <c r="Z345" s="659"/>
      <c r="AA345" s="659"/>
      <c r="AB345" s="659"/>
      <c r="AC345" s="659"/>
      <c r="AD345" s="659"/>
      <c r="AE345" s="659"/>
      <c r="AF345" s="659"/>
    </row>
    <row r="346" spans="16:32" x14ac:dyDescent="0.2">
      <c r="Q346" s="659"/>
      <c r="R346" s="659"/>
      <c r="S346" s="659"/>
      <c r="T346" s="659"/>
      <c r="U346" s="659"/>
      <c r="V346" s="659"/>
      <c r="W346" s="659"/>
      <c r="X346" s="659"/>
      <c r="Y346" s="659"/>
      <c r="Z346" s="659"/>
      <c r="AA346" s="659"/>
      <c r="AB346" s="659"/>
      <c r="AC346" s="659"/>
      <c r="AD346" s="659"/>
      <c r="AE346" s="659"/>
      <c r="AF346" s="659"/>
    </row>
    <row r="347" spans="16:32" x14ac:dyDescent="0.2">
      <c r="Q347" s="659"/>
      <c r="R347" s="659"/>
      <c r="S347" s="659"/>
      <c r="T347" s="659"/>
      <c r="U347" s="659"/>
      <c r="V347" s="659"/>
      <c r="W347" s="659"/>
      <c r="X347" s="659"/>
      <c r="Y347" s="659"/>
      <c r="Z347" s="659"/>
      <c r="AA347" s="659"/>
      <c r="AB347" s="659"/>
      <c r="AC347" s="659"/>
      <c r="AD347" s="659"/>
      <c r="AE347" s="659"/>
      <c r="AF347" s="659"/>
    </row>
    <row r="348" spans="16:32" x14ac:dyDescent="0.2">
      <c r="Q348" s="659"/>
      <c r="R348" s="659"/>
      <c r="S348" s="659"/>
      <c r="T348" s="659"/>
      <c r="U348" s="659"/>
      <c r="V348" s="659"/>
      <c r="W348" s="659"/>
      <c r="X348" s="659"/>
      <c r="Y348" s="659"/>
      <c r="Z348" s="659"/>
      <c r="AA348" s="659"/>
      <c r="AB348" s="659"/>
      <c r="AC348" s="659"/>
      <c r="AD348" s="659"/>
      <c r="AE348" s="659"/>
      <c r="AF348" s="659"/>
    </row>
    <row r="349" spans="16:32" x14ac:dyDescent="0.2">
      <c r="R349" s="659"/>
      <c r="S349" s="659"/>
      <c r="T349" s="659"/>
      <c r="U349" s="659"/>
      <c r="V349" s="659"/>
      <c r="W349" s="659"/>
      <c r="X349" s="659"/>
      <c r="Y349" s="659"/>
      <c r="Z349" s="659"/>
      <c r="AA349" s="659"/>
      <c r="AB349" s="659"/>
      <c r="AC349" s="659"/>
      <c r="AD349" s="659"/>
      <c r="AE349" s="659"/>
      <c r="AF349" s="659"/>
    </row>
    <row r="350" spans="16:32" x14ac:dyDescent="0.2">
      <c r="R350" s="659"/>
      <c r="S350" s="659"/>
      <c r="T350" s="659"/>
      <c r="U350" s="659"/>
      <c r="V350" s="659"/>
      <c r="W350" s="659"/>
      <c r="X350" s="659"/>
      <c r="Y350" s="659"/>
      <c r="Z350" s="659"/>
      <c r="AA350" s="659"/>
      <c r="AB350" s="659"/>
      <c r="AC350" s="659"/>
      <c r="AD350" s="659"/>
      <c r="AE350" s="659"/>
      <c r="AF350" s="659"/>
    </row>
    <row r="351" spans="16:32" x14ac:dyDescent="0.2">
      <c r="R351" s="659"/>
      <c r="S351" s="659"/>
      <c r="T351" s="659"/>
      <c r="U351" s="659"/>
      <c r="V351" s="659"/>
      <c r="W351" s="659"/>
      <c r="X351" s="659"/>
      <c r="Y351" s="659"/>
      <c r="Z351" s="659"/>
      <c r="AA351" s="659"/>
      <c r="AB351" s="659"/>
      <c r="AC351" s="659"/>
      <c r="AD351" s="659"/>
      <c r="AE351" s="659"/>
      <c r="AF351" s="659"/>
    </row>
    <row r="352" spans="16:32" x14ac:dyDescent="0.2">
      <c r="R352" s="659"/>
      <c r="S352" s="659"/>
      <c r="T352" s="659"/>
      <c r="U352" s="659"/>
      <c r="V352" s="659"/>
      <c r="W352" s="659"/>
      <c r="X352" s="659"/>
      <c r="Y352" s="659"/>
      <c r="Z352" s="659"/>
      <c r="AA352" s="659"/>
      <c r="AB352" s="659"/>
      <c r="AC352" s="659"/>
      <c r="AD352" s="659"/>
      <c r="AE352" s="659"/>
      <c r="AF352" s="659"/>
    </row>
    <row r="353" spans="18:26" x14ac:dyDescent="0.2">
      <c r="R353" s="659"/>
      <c r="S353" s="659"/>
      <c r="T353" s="659"/>
      <c r="U353" s="659"/>
      <c r="V353" s="659"/>
      <c r="W353" s="659"/>
      <c r="X353" s="659"/>
      <c r="Y353" s="659"/>
      <c r="Z353" s="659"/>
    </row>
    <row r="354" spans="18:26" x14ac:dyDescent="0.2">
      <c r="R354" s="659"/>
      <c r="S354" s="659"/>
      <c r="T354" s="659"/>
      <c r="U354" s="659"/>
      <c r="V354" s="659"/>
      <c r="W354" s="659"/>
      <c r="X354" s="659"/>
      <c r="Y354" s="659"/>
      <c r="Z354" s="659"/>
    </row>
    <row r="355" spans="18:26" x14ac:dyDescent="0.2">
      <c r="R355" s="659"/>
      <c r="S355" s="659"/>
      <c r="T355" s="659"/>
      <c r="U355" s="659"/>
      <c r="V355" s="659"/>
      <c r="W355" s="659"/>
      <c r="X355" s="659"/>
      <c r="Y355" s="659"/>
      <c r="Z355" s="659"/>
    </row>
    <row r="356" spans="18:26" x14ac:dyDescent="0.2">
      <c r="S356" s="659"/>
      <c r="T356" s="659"/>
      <c r="U356" s="659"/>
      <c r="V356" s="659"/>
      <c r="W356" s="659"/>
      <c r="X356" s="659"/>
      <c r="Z356" s="659"/>
    </row>
    <row r="357" spans="18:26" x14ac:dyDescent="0.2">
      <c r="S357" s="659"/>
      <c r="T357" s="659"/>
    </row>
    <row r="358" spans="18:26" x14ac:dyDescent="0.2">
      <c r="S358" s="659"/>
      <c r="T358" s="659"/>
    </row>
    <row r="359" spans="18:26" x14ac:dyDescent="0.2">
      <c r="S359" s="659"/>
      <c r="T359" s="659"/>
    </row>
    <row r="360" spans="18:26" x14ac:dyDescent="0.2">
      <c r="S360" s="659"/>
      <c r="T360" s="659"/>
    </row>
  </sheetData>
  <dataConsolidate/>
  <pageMargins left="0.7" right="0.7" top="0.75" bottom="0.75" header="0.3" footer="0.3"/>
  <pageSetup orientation="portrait" horizontalDpi="4294967295" verticalDpi="4294967295" r:id="rId1"/>
  <ignoredErrors>
    <ignoredError sqref="O12:O13 O10 O19 O15 O18 O25:O27 O24 O17 O21:O23 E45:K45"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E348"/>
  <sheetViews>
    <sheetView showGridLines="0" workbookViewId="0">
      <selection activeCell="B3" sqref="B3"/>
    </sheetView>
  </sheetViews>
  <sheetFormatPr defaultColWidth="9" defaultRowHeight="12.75" outlineLevelRow="1" outlineLevelCol="1" x14ac:dyDescent="0.2"/>
  <cols>
    <col min="1" max="1" width="1.75" style="557" customWidth="1"/>
    <col min="2" max="2" width="32.625" style="512" bestFit="1" customWidth="1"/>
    <col min="3" max="3" width="21.375" style="561" hidden="1" customWidth="1" outlineLevel="1"/>
    <col min="4" max="4" width="10.875" style="561" hidden="1" customWidth="1" outlineLevel="1"/>
    <col min="5" max="5" width="6.125" style="561" hidden="1" customWidth="1" outlineLevel="1"/>
    <col min="6" max="6" width="7.5" style="561" bestFit="1" customWidth="1" collapsed="1"/>
    <col min="7" max="10" width="7.5" style="561" bestFit="1" customWidth="1"/>
    <col min="11" max="11" width="7.5" style="558" bestFit="1" customWidth="1"/>
    <col min="12" max="12" width="20.75" style="557" hidden="1" customWidth="1" outlineLevel="1"/>
    <col min="13" max="13" width="7.375" style="557" hidden="1" customWidth="1" outlineLevel="1"/>
    <col min="14" max="14" width="7.875" style="557" bestFit="1" customWidth="1" collapsed="1"/>
    <col min="15" max="15" width="8.375" style="557" bestFit="1" customWidth="1"/>
    <col min="16" max="16" width="7.5" style="557" bestFit="1" customWidth="1"/>
    <col min="17" max="17" width="26.125" style="557" bestFit="1" customWidth="1"/>
    <col min="18" max="18" width="38" style="557" bestFit="1" customWidth="1"/>
    <col min="19" max="19" width="10.5" style="557" bestFit="1" customWidth="1"/>
    <col min="20" max="20" width="13.75" style="557" customWidth="1"/>
    <col min="21" max="21" width="22.25" style="557" customWidth="1"/>
    <col min="22" max="16384" width="9" style="557"/>
  </cols>
  <sheetData>
    <row r="1" spans="1:31" s="788" customFormat="1" outlineLevel="1" x14ac:dyDescent="0.2">
      <c r="A1" s="863"/>
      <c r="B1" s="1276" t="str">
        <f>Target</f>
        <v>NYSE:WMT</v>
      </c>
      <c r="C1" s="1277" t="str">
        <f>Input!$C$6</f>
        <v>USD</v>
      </c>
      <c r="D1" s="1278">
        <f>Input!C8</f>
        <v>44645</v>
      </c>
      <c r="E1" s="1279" t="s">
        <v>578</v>
      </c>
      <c r="F1" s="1279" t="s">
        <v>577</v>
      </c>
      <c r="G1" s="1279" t="s">
        <v>576</v>
      </c>
      <c r="H1" s="1279" t="s">
        <v>575</v>
      </c>
      <c r="I1" s="1279" t="s">
        <v>574</v>
      </c>
      <c r="J1" s="1279" t="s">
        <v>573</v>
      </c>
      <c r="K1" s="1279" t="s">
        <v>572</v>
      </c>
      <c r="L1" s="1279"/>
      <c r="M1" s="1279" t="s">
        <v>625</v>
      </c>
      <c r="N1" s="1279" t="s">
        <v>406</v>
      </c>
      <c r="O1" s="1279" t="s">
        <v>527</v>
      </c>
      <c r="P1" s="1279" t="s">
        <v>526</v>
      </c>
      <c r="Q1" s="1280"/>
      <c r="R1" s="865" t="str">
        <f>"CAGR is calculated for period from FY"&amp;TEXT(F70,"yyyy")&amp;" to FY"&amp;TEXT(K70,"yyyy")</f>
        <v>CAGR is calculated for period from FY2017 to FY2022</v>
      </c>
      <c r="S1" s="864"/>
    </row>
    <row r="2" spans="1:31" s="788" customFormat="1" ht="13.5" outlineLevel="1" thickBot="1" x14ac:dyDescent="0.25">
      <c r="A2" s="863"/>
      <c r="B2" s="1276"/>
      <c r="C2" s="1276" t="s">
        <v>371</v>
      </c>
      <c r="D2" s="1281" t="s">
        <v>624</v>
      </c>
      <c r="E2" s="1279"/>
      <c r="F2" s="1279"/>
      <c r="G2" s="1279"/>
      <c r="H2" s="1279"/>
      <c r="I2" s="1279"/>
      <c r="J2" s="1279"/>
      <c r="K2" s="1279"/>
      <c r="L2" s="1279"/>
      <c r="M2" s="1279"/>
      <c r="N2" s="1279"/>
      <c r="O2" s="1279"/>
      <c r="P2" s="1282"/>
      <c r="Q2" s="1283" t="s">
        <v>1162</v>
      </c>
      <c r="R2" s="881">
        <v>10</v>
      </c>
      <c r="S2" s="864"/>
    </row>
    <row r="3" spans="1:31" ht="18" customHeight="1" x14ac:dyDescent="0.2">
      <c r="B3" s="1252" t="s">
        <v>963</v>
      </c>
      <c r="C3" s="1252"/>
      <c r="D3" s="1252"/>
      <c r="E3" s="1252"/>
      <c r="F3" s="1252"/>
      <c r="G3" s="1252"/>
      <c r="H3" s="1252"/>
      <c r="I3" s="1252"/>
      <c r="J3" s="1252"/>
      <c r="K3" s="1252"/>
      <c r="L3" s="1252"/>
      <c r="M3" s="1252"/>
      <c r="N3" s="1275"/>
      <c r="O3" s="1275"/>
      <c r="P3" s="1275"/>
      <c r="Q3" s="1275" t="str">
        <f>Input!$C$9</f>
        <v>Walmart Inc.</v>
      </c>
    </row>
    <row r="4" spans="1:31" x14ac:dyDescent="0.2">
      <c r="B4" s="559"/>
      <c r="C4" s="560"/>
      <c r="D4" s="560"/>
      <c r="E4" s="560"/>
      <c r="F4" s="560"/>
      <c r="G4" s="560"/>
      <c r="H4" s="560"/>
      <c r="I4" s="560"/>
      <c r="J4" s="560"/>
      <c r="K4" s="560"/>
    </row>
    <row r="5" spans="1:31" ht="15" customHeight="1" x14ac:dyDescent="0.2">
      <c r="B5" s="1406" t="s">
        <v>963</v>
      </c>
      <c r="C5" s="1407"/>
      <c r="D5" s="1408"/>
      <c r="E5" s="1408"/>
      <c r="F5" s="1408" t="s">
        <v>520</v>
      </c>
      <c r="G5" s="1408"/>
      <c r="H5" s="1408"/>
      <c r="I5" s="1408"/>
      <c r="J5" s="1408"/>
      <c r="K5" s="1408"/>
      <c r="L5" s="1409"/>
      <c r="M5" s="1408"/>
      <c r="N5" s="1408" t="s">
        <v>519</v>
      </c>
      <c r="O5" s="1410" t="s">
        <v>1132</v>
      </c>
      <c r="P5" s="1411"/>
    </row>
    <row r="6" spans="1:31" x14ac:dyDescent="0.2">
      <c r="B6" s="1348" t="str">
        <f>Input!$C$6 &amp; " million, except per share data"</f>
        <v>USD million, except per share data</v>
      </c>
      <c r="C6" s="1284"/>
      <c r="D6" s="1285"/>
      <c r="E6" s="1285"/>
      <c r="F6" s="1446">
        <f>_xll.ciqfunctions.udf.CIQ($B$1,"IQ_PERIODDATE_BS",F$1,$D$1,,$D$2)</f>
        <v>42766</v>
      </c>
      <c r="G6" s="1446">
        <f>_xll.ciqfunctions.udf.CIQ($B$1,"IQ_PERIODDATE_BS",G$1,$D$1,,$D$2)</f>
        <v>43131</v>
      </c>
      <c r="H6" s="1446">
        <f>_xll.ciqfunctions.udf.CIQ($B$1,"IQ_PERIODDATE_BS",H$1,$D$1,,$D$2)</f>
        <v>43496</v>
      </c>
      <c r="I6" s="1446">
        <f>_xll.ciqfunctions.udf.CIQ($B$1,"IQ_PERIODDATE_BS",I$1,$D$1,,$D$2)</f>
        <v>43861</v>
      </c>
      <c r="J6" s="1446">
        <f>_xll.ciqfunctions.udf.CIQ($B$1,"IQ_PERIODDATE_BS",J$1,$D$1,,$D$2)</f>
        <v>44227</v>
      </c>
      <c r="K6" s="1446">
        <f>_xll.ciqfunctions.udf.CIQ($B$1,"IQ_PERIODDATE_BS",K$1,$D$1,,$D$2)</f>
        <v>44592</v>
      </c>
      <c r="L6" s="1449"/>
      <c r="M6" s="1450"/>
      <c r="N6" s="1446">
        <f>_xll.ciqfunctions.udf.CIQ($B$1,"IQ_PERIODDATE_BS",N$1,$D$1,,$D$2)</f>
        <v>44592</v>
      </c>
      <c r="O6" s="1446">
        <f>DATE(YEAR(K6)+1,MONTH(K6),DAY(K6))</f>
        <v>44957</v>
      </c>
      <c r="P6" s="1446">
        <f>DATE(YEAR(O6)+1,MONTH(O6),DAY(O6))</f>
        <v>45322</v>
      </c>
      <c r="Q6" s="686"/>
      <c r="S6" s="653"/>
      <c r="T6" s="562"/>
      <c r="U6" s="562"/>
      <c r="V6" s="562"/>
      <c r="W6" s="562"/>
      <c r="X6" s="562"/>
      <c r="Y6" s="562"/>
      <c r="Z6" s="562"/>
      <c r="AA6" s="562"/>
      <c r="AB6" s="562"/>
      <c r="AC6" s="562"/>
      <c r="AD6" s="562"/>
      <c r="AE6" s="562"/>
    </row>
    <row r="7" spans="1:31" x14ac:dyDescent="0.2">
      <c r="B7" s="1349" t="s">
        <v>964</v>
      </c>
      <c r="C7" s="663" t="s">
        <v>373</v>
      </c>
      <c r="D7" s="563"/>
      <c r="E7" s="660">
        <f>IFERROR(_xll.ciqfunctions.udf.CIQ($B$1,$C7,E$1,$D$1,$C$2, ,$C$1),"")</f>
        <v>482130</v>
      </c>
      <c r="F7" s="660">
        <f>IFERROR(_xll.ciqfunctions.udf.CIQ($B$1,$C7,F$1,$D$1,$C$2, ,$C$1),"")</f>
        <v>485873</v>
      </c>
      <c r="G7" s="660">
        <f>IFERROR(_xll.ciqfunctions.udf.CIQ($B$1,$C7,G$1,$D$1,$C$2, ,$C$1),"")</f>
        <v>500343</v>
      </c>
      <c r="H7" s="660">
        <f>IFERROR(_xll.ciqfunctions.udf.CIQ($B$1,$C7,H$1,$D$1,$C$2, ,$C$1),"")</f>
        <v>514405</v>
      </c>
      <c r="I7" s="660">
        <f>IFERROR(_xll.ciqfunctions.udf.CIQ($B$1,$C7,I$1,$D$1,$C$2, ,$C$1),"")</f>
        <v>523964</v>
      </c>
      <c r="J7" s="660">
        <f>IFERROR(_xll.ciqfunctions.udf.CIQ($B$1,$C7,J$1,$D$1,$C$2, ,$C$1),"")</f>
        <v>559151</v>
      </c>
      <c r="K7" s="660">
        <f>IFERROR(_xll.ciqfunctions.udf.CIQ($B$1,$C7,K$1,$D$1,$C$2, ,$C$1),"")</f>
        <v>572754</v>
      </c>
      <c r="L7" s="1111" t="s">
        <v>612</v>
      </c>
      <c r="M7" s="660">
        <f>IFERROR(_xll.ciqfunctions.udf.CIQ($B$1,$C7,M$1,$D$1,$C$2, ,$C$1),"")</f>
        <v>559151</v>
      </c>
      <c r="N7" s="660">
        <f>IFERROR(_xll.ciqfunctions.udf.CIQ($B$1,$C7,N$1,$D$1,$C$2, ,$C$1),"")</f>
        <v>572754</v>
      </c>
      <c r="O7" s="861">
        <f>IFERROR(_xll.ciqfunctions.udf.CIQ($B$1,$L7,O$1,$D$1,$C$2,$D$2,$C$1),"NA")</f>
        <v>588877.03824000002</v>
      </c>
      <c r="P7" s="861">
        <f>IFERROR(_xll.ciqfunctions.udf.CIQ($B$1,$L7,P$1,$D$1,$C$2,$D$2,$C$1),"NA")</f>
        <v>607858.67741999996</v>
      </c>
      <c r="S7" s="653"/>
      <c r="T7" s="562"/>
      <c r="U7" s="562"/>
      <c r="V7" s="562"/>
      <c r="W7" s="562"/>
      <c r="X7" s="562"/>
      <c r="Y7" s="562"/>
      <c r="Z7" s="562"/>
      <c r="AA7" s="562"/>
      <c r="AB7" s="562"/>
      <c r="AC7" s="562"/>
      <c r="AD7" s="562"/>
      <c r="AE7" s="562"/>
    </row>
    <row r="8" spans="1:31" x14ac:dyDescent="0.2">
      <c r="B8" s="1350" t="s">
        <v>965</v>
      </c>
      <c r="C8" s="663"/>
      <c r="D8" s="1112"/>
      <c r="E8" s="1112"/>
      <c r="F8" s="1113">
        <f t="shared" ref="F8:K8" si="0">IFERROR(IF(OR(E7="",F7=""),"",IF(ABS((F7-E7)/E7)&gt;=$R$2,"NA",IF(F7&gt;E7,ABS((F7-E7)/E7),-ABS((F7-E7)/E7)))),"NM")</f>
        <v>7.7634662850268599E-3</v>
      </c>
      <c r="G8" s="1113">
        <f t="shared" si="0"/>
        <v>2.9781444945489871E-2</v>
      </c>
      <c r="H8" s="1113">
        <f t="shared" si="0"/>
        <v>2.8104720161968889E-2</v>
      </c>
      <c r="I8" s="1113">
        <f t="shared" si="0"/>
        <v>1.8582634305654107E-2</v>
      </c>
      <c r="J8" s="1113">
        <f t="shared" si="0"/>
        <v>6.7155377086975443E-2</v>
      </c>
      <c r="K8" s="1113">
        <f t="shared" si="0"/>
        <v>2.4327954345069579E-2</v>
      </c>
      <c r="L8" s="1096"/>
      <c r="M8" s="1096"/>
      <c r="N8" s="1113">
        <f>IFERROR(IF(OR(M7="",N7=""),"",IF(ABS((N7-M7)/M7)&gt;=$R$2,"NA",IF(N7&gt;M7,ABS((N7-M7)/M7),-ABS((N7-M7)/M7)))),"NM")</f>
        <v>2.4327954345069579E-2</v>
      </c>
      <c r="O8" s="1114">
        <f>IFERROR(IF(OR(K7="",O7=""),"",IF(ABS((O7-K7)/K7)&gt;=$R$2,"NA",IF(O7&gt;K7,ABS((O7-K7)/K7),-ABS((O7-K7)/K7)))),"NM")</f>
        <v>2.8150022941786566E-2</v>
      </c>
      <c r="P8" s="1114">
        <f>IFERROR(IF(OR(O7="",P7=""),"",IF(ABS((P7-O7)/O7)&gt;=$R$2,"NA",IF(P7&gt;O7,ABS((P7-O7)/O7),-ABS((P7-O7)/O7)))),"NM")</f>
        <v>3.2233620853567513E-2</v>
      </c>
      <c r="S8" s="967"/>
      <c r="T8" s="562"/>
      <c r="U8" s="562"/>
      <c r="V8" s="562"/>
      <c r="W8" s="562"/>
      <c r="X8" s="562"/>
      <c r="Y8" s="562"/>
      <c r="Z8" s="562"/>
      <c r="AA8" s="562"/>
      <c r="AB8" s="562"/>
      <c r="AC8" s="562"/>
      <c r="AD8" s="562"/>
      <c r="AE8" s="562"/>
    </row>
    <row r="9" spans="1:31" x14ac:dyDescent="0.2">
      <c r="B9" s="1351"/>
      <c r="C9" s="1115"/>
      <c r="D9" s="1116"/>
      <c r="E9" s="1116"/>
      <c r="F9" s="1116"/>
      <c r="G9" s="1116"/>
      <c r="H9" s="1116"/>
      <c r="I9" s="1116"/>
      <c r="J9" s="1116"/>
      <c r="K9" s="1117"/>
      <c r="L9" s="1117"/>
      <c r="M9" s="1117"/>
      <c r="N9" s="1118"/>
      <c r="O9" s="1116"/>
      <c r="P9" s="1116"/>
      <c r="T9" s="562"/>
      <c r="U9" s="562"/>
      <c r="V9" s="562"/>
      <c r="W9" s="562"/>
      <c r="X9" s="562"/>
      <c r="Y9" s="562"/>
      <c r="Z9" s="562"/>
      <c r="AA9" s="562"/>
      <c r="AB9" s="562"/>
      <c r="AC9" s="562"/>
      <c r="AD9" s="562"/>
      <c r="AE9" s="562"/>
    </row>
    <row r="10" spans="1:31" x14ac:dyDescent="0.2">
      <c r="B10" s="1349" t="s">
        <v>30</v>
      </c>
      <c r="C10" s="663" t="s">
        <v>478</v>
      </c>
      <c r="D10" s="563"/>
      <c r="E10" s="660">
        <f>IFERROR(_xll.ciqfunctions.udf.CIQ($B$1,$C10,E$1,$D$1,$C$2, ,$C$1),"")</f>
        <v>121146</v>
      </c>
      <c r="F10" s="660">
        <f>IFERROR(_xll.ciqfunctions.udf.CIQ($B$1,$C10,F$1,$D$1,$C$2, ,$C$1),"")</f>
        <v>124617</v>
      </c>
      <c r="G10" s="660">
        <f>IFERROR(_xll.ciqfunctions.udf.CIQ($B$1,$C10,G$1,$D$1,$C$2, ,$C$1),"")</f>
        <v>126947</v>
      </c>
      <c r="H10" s="660">
        <f>IFERROR(_xll.ciqfunctions.udf.CIQ($B$1,$C10,H$1,$D$1,$C$2, ,$C$1),"")</f>
        <v>129104</v>
      </c>
      <c r="I10" s="660">
        <f>IFERROR(_xll.ciqfunctions.udf.CIQ($B$1,$C10,I$1,$D$1,$C$2, ,$C$1),"")</f>
        <v>129359</v>
      </c>
      <c r="J10" s="660">
        <f>IFERROR(_xll.ciqfunctions.udf.CIQ($B$1,$C10,J$1,$D$1,$C$2, ,$C$1),"")</f>
        <v>138836</v>
      </c>
      <c r="K10" s="660">
        <f>IFERROR(_xll.ciqfunctions.udf.CIQ($B$1,$C10,K$1,$D$1,$C$2, ,$C$1),"")</f>
        <v>143754</v>
      </c>
      <c r="L10" s="1111"/>
      <c r="M10" s="632">
        <f>IFERROR(_xll.ciqfunctions.udf.CIQ($B$1,$C10,M$1,$D$1,$C$2,$D$2,$C$1),"NA")</f>
        <v>138836</v>
      </c>
      <c r="N10" s="632">
        <f>IFERROR(_xll.ciqfunctions.udf.CIQ($B$1,$C10,N$1,$D$1,$C$2,$D$2,$C$1),"NA")</f>
        <v>143754</v>
      </c>
      <c r="O10" s="861">
        <f>IFERROR(O7*O12,"NA")</f>
        <v>145250.70250886751</v>
      </c>
      <c r="P10" s="861">
        <f>IFERROR(P7*P12,"NA")</f>
        <v>149663.92426096532</v>
      </c>
      <c r="T10" s="562"/>
      <c r="U10" s="562"/>
      <c r="V10" s="562"/>
      <c r="W10" s="562"/>
      <c r="X10" s="562"/>
      <c r="Y10" s="562"/>
      <c r="Z10" s="562"/>
      <c r="AA10" s="562"/>
      <c r="AB10" s="562"/>
      <c r="AC10" s="562"/>
      <c r="AD10" s="562"/>
      <c r="AE10" s="562"/>
    </row>
    <row r="11" spans="1:31" x14ac:dyDescent="0.2">
      <c r="B11" s="1350" t="s">
        <v>965</v>
      </c>
      <c r="C11" s="663"/>
      <c r="D11" s="1112"/>
      <c r="E11" s="1112"/>
      <c r="F11" s="1113">
        <f t="shared" ref="F11:K11" si="1">IFERROR(IF(OR(E10="",F10=""),"",IF(ABS((F10-E10)/E10)&gt;=$R$2,"NA",IF(F10&gt;E10,ABS((F10-E10)/E10),-ABS((F10-E10)/E10)))),"NM")</f>
        <v>2.8651379327423111E-2</v>
      </c>
      <c r="G11" s="1113">
        <f t="shared" si="1"/>
        <v>1.8697288491939301E-2</v>
      </c>
      <c r="H11" s="1113">
        <f t="shared" si="1"/>
        <v>1.6991342843863975E-2</v>
      </c>
      <c r="I11" s="1113">
        <f t="shared" si="1"/>
        <v>1.9751518155905318E-3</v>
      </c>
      <c r="J11" s="1113">
        <f t="shared" si="1"/>
        <v>7.3261234239596781E-2</v>
      </c>
      <c r="K11" s="1113">
        <f t="shared" si="1"/>
        <v>3.5423089112333973E-2</v>
      </c>
      <c r="L11" s="1096"/>
      <c r="M11" s="1096"/>
      <c r="N11" s="1113">
        <f>IFERROR(IF(OR(M10="",N10=""),"",IF(ABS((N10-M10)/M10)&gt;=$R$2,"NA",IF(N10&gt;M10,ABS((N10-M10)/M10),-ABS((N10-M10)/M10)))),"NM")</f>
        <v>3.5423089112333973E-2</v>
      </c>
      <c r="O11" s="1114">
        <f>IFERROR(IF(OR(K10="",O10=""),"",IF(ABS((O10-K10)/K10)&gt;=$R$2,"NA",IF(O10&gt;K10,ABS((O10-K10)/K10),-ABS((O10-K10)/K10)))),"NM")</f>
        <v>1.0411553827145781E-2</v>
      </c>
      <c r="P11" s="1114">
        <f>IFERROR(IF(OR(O10="",P10=""),"",IF(ABS((P10-O10)/O10)&gt;=$R$2,"NA",IF(P10&gt;O10,ABS((P10-O10)/O10),-ABS((P10-O10)/O10)))),"NM")</f>
        <v>3.0383479569252858E-2</v>
      </c>
      <c r="T11" s="562"/>
      <c r="U11" s="562"/>
      <c r="V11" s="562"/>
      <c r="W11" s="562"/>
      <c r="X11" s="562"/>
      <c r="Y11" s="562"/>
      <c r="Z11" s="562"/>
      <c r="AA11" s="562"/>
      <c r="AB11" s="562"/>
      <c r="AC11" s="562"/>
      <c r="AD11" s="562"/>
      <c r="AE11" s="562"/>
    </row>
    <row r="12" spans="1:31" x14ac:dyDescent="0.2">
      <c r="B12" s="1352" t="s">
        <v>966</v>
      </c>
      <c r="C12" s="663"/>
      <c r="D12" s="1119"/>
      <c r="E12" s="1119">
        <f t="shared" ref="E12:K12" si="2">IFERROR(IF(ABS(E10/E$7)&gt;=$R$2,"NA",E10/E$7),"NM")</f>
        <v>0.25127247837720118</v>
      </c>
      <c r="F12" s="676">
        <f t="shared" si="2"/>
        <v>0.25648060295591646</v>
      </c>
      <c r="G12" s="676">
        <f t="shared" si="2"/>
        <v>0.25371994811559273</v>
      </c>
      <c r="H12" s="676">
        <f t="shared" si="2"/>
        <v>0.25097734275522204</v>
      </c>
      <c r="I12" s="676">
        <f t="shared" si="2"/>
        <v>0.24688528219495995</v>
      </c>
      <c r="J12" s="676">
        <f t="shared" si="2"/>
        <v>0.24829786587165184</v>
      </c>
      <c r="K12" s="676">
        <f t="shared" si="2"/>
        <v>0.25098733487675334</v>
      </c>
      <c r="L12" s="1096" t="s">
        <v>967</v>
      </c>
      <c r="M12" s="676">
        <f t="shared" ref="M12:N12" si="3">IFERROR(IF(ABS(M10/M$7)&gt;=$R$2,"NA",M10/M$7),"NM")</f>
        <v>0.24829786587165184</v>
      </c>
      <c r="N12" s="676">
        <f t="shared" si="3"/>
        <v>0.25098733487675334</v>
      </c>
      <c r="O12" s="968">
        <f>IFERROR(IF(ABS(_xll.ciqfunctions.udf.CIQ($B$1,$L12,O$1,$D$1,$C$2,$D$2,$C$1))&gt;=$R$2*100,"NA",_xll.ciqfunctions.udf.CIQ($B$1,$L12,O$1,$D$1,$C$2,$D$2,$C$1)/100),"NA")</f>
        <v>0.24665710000000002</v>
      </c>
      <c r="P12" s="968">
        <f>IFERROR(IF(ABS(_xll.ciqfunctions.udf.CIQ($B$1,$L12,P$1,$D$1,$C$2,$D$2,$C$1))&gt;=$R$2*100,"NA",_xll.ciqfunctions.udf.CIQ($B$1,$L12,P$1,$D$1,$C$2,$D$2,$C$1)/100),"NA")</f>
        <v>0.24621500000000002</v>
      </c>
      <c r="T12" s="562"/>
      <c r="U12" s="562"/>
      <c r="V12" s="562"/>
      <c r="W12" s="562"/>
      <c r="X12" s="562"/>
      <c r="Y12" s="562"/>
      <c r="Z12" s="562"/>
      <c r="AA12" s="562"/>
      <c r="AB12" s="562"/>
      <c r="AC12" s="562"/>
      <c r="AD12" s="562"/>
      <c r="AE12" s="562"/>
    </row>
    <row r="13" spans="1:31" x14ac:dyDescent="0.2">
      <c r="B13" s="1351"/>
      <c r="C13" s="1115"/>
      <c r="D13" s="1120"/>
      <c r="E13" s="1120"/>
      <c r="F13" s="1120"/>
      <c r="G13" s="1120"/>
      <c r="H13" s="1120"/>
      <c r="I13" s="1120"/>
      <c r="J13" s="1120"/>
      <c r="K13" s="1117"/>
      <c r="L13" s="1117"/>
      <c r="M13" s="1117"/>
      <c r="N13" s="1121"/>
      <c r="O13" s="1120"/>
      <c r="P13" s="1120"/>
      <c r="T13" s="562"/>
      <c r="U13" s="562"/>
      <c r="V13" s="562"/>
      <c r="W13" s="562"/>
      <c r="X13" s="562"/>
      <c r="Y13" s="562"/>
      <c r="Z13" s="562"/>
      <c r="AA13" s="562"/>
      <c r="AB13" s="562"/>
      <c r="AC13" s="562"/>
      <c r="AD13" s="562"/>
      <c r="AE13" s="562"/>
    </row>
    <row r="14" spans="1:31" x14ac:dyDescent="0.2">
      <c r="B14" s="1349" t="s">
        <v>970</v>
      </c>
      <c r="C14" s="663" t="s">
        <v>969</v>
      </c>
      <c r="D14" s="563"/>
      <c r="E14" s="660">
        <f>IFERROR(IF(NOT(ISNUMBER(_xll.ciqfunctions.udf.CIQ($B$1,$C14,E$1,$D$1,$C$2, ,$C$1))),_xll.ciqfunctions.udf.CIQ($B$1,$C14,E$1,$D$1,$C$2, ,$C$1),_xll.ciqfunctions.udf.CIQ($B$1,"IQ_EBITDA",E$1,$D$1,$C$2, ,$C$1)),"")</f>
        <v>33559</v>
      </c>
      <c r="F14" s="660">
        <f>IFERROR(IF(NOT(ISNUMBER(_xll.ciqfunctions.udf.CIQ($B$1,$C14,F$1,$D$1,$C$2, ,$C$1))),_xll.ciqfunctions.udf.CIQ($B$1,$C14,F$1,$D$1,$C$2, ,$C$1),_xll.ciqfunctions.udf.CIQ($B$1,"IQ_EBITDA",F$1,$D$1,$C$2, ,$C$1)),"")</f>
        <v>32844</v>
      </c>
      <c r="G14" s="660">
        <f>IFERROR(IF(NOT(ISNUMBER(_xll.ciqfunctions.udf.CIQ($B$1,$C14,G$1,$D$1,$C$2, ,$C$1))),_xll.ciqfunctions.udf.CIQ($B$1,$C14,G$1,$D$1,$C$2, ,$C$1),_xll.ciqfunctions.udf.CIQ($B$1,"IQ_EBITDA",G$1,$D$1,$C$2, ,$C$1)),"")</f>
        <v>31466</v>
      </c>
      <c r="H14" s="660">
        <f>IFERROR(IF(NOT(ISNUMBER(_xll.ciqfunctions.udf.CIQ($B$1,$C14,H$1,$D$1,$C$2, ,$C$1))),_xll.ciqfunctions.udf.CIQ($B$1,$C14,H$1,$D$1,$C$2, ,$C$1),_xll.ciqfunctions.udf.CIQ($B$1,"IQ_EBITDA",H$1,$D$1,$C$2, ,$C$1)),"")</f>
        <v>32635</v>
      </c>
      <c r="I14" s="660">
        <f>IFERROR(IF(NOT(ISNUMBER(_xll.ciqfunctions.udf.CIQ($B$1,$C14,I$1,$D$1,$C$2, ,$C$1))),_xll.ciqfunctions.udf.CIQ($B$1,$C14,I$1,$D$1,$C$2, ,$C$1),_xll.ciqfunctions.udf.CIQ($B$1,"IQ_EBITDA",I$1,$D$1,$C$2, ,$C$1)),"")</f>
        <v>32455</v>
      </c>
      <c r="J14" s="660">
        <f>IFERROR(IF(NOT(ISNUMBER(_xll.ciqfunctions.udf.CIQ($B$1,$C14,J$1,$D$1,$C$2, ,$C$1))),_xll.ciqfunctions.udf.CIQ($B$1,$C14,J$1,$D$1,$C$2, ,$C$1),_xll.ciqfunctions.udf.CIQ($B$1,"IQ_EBITDA",J$1,$D$1,$C$2, ,$C$1)),"")</f>
        <v>38100</v>
      </c>
      <c r="K14" s="660">
        <f>IFERROR(IF(NOT(ISNUMBER(_xll.ciqfunctions.udf.CIQ($B$1,$C14,K$1,$D$1,$C$2, ,$C$1))),_xll.ciqfunctions.udf.CIQ($B$1,$C14,K$1,$D$1,$C$2, ,$C$1),_xll.ciqfunctions.udf.CIQ($B$1,"IQ_EBITDA",K$1,$D$1,$C$2, ,$C$1)),"")</f>
        <v>36600</v>
      </c>
      <c r="L14" s="1111" t="s">
        <v>611</v>
      </c>
      <c r="M14" s="660">
        <f>IFERROR(IF(_xll.ciqfunctions.udf.CIQ($B$1,$C14,M$1,$D$1,$C$2, ,$C$1)&lt;&gt;0,_xll.ciqfunctions.udf.CIQ($B$1,$C14,M$1,$D$1,$C$2, ,$C$1),_xll.ciqfunctions.udf.CIQ($B$1,"IQ_EBITDA",M$1,$D$1,$C$2, ,$C$1)),"")</f>
        <v>38100</v>
      </c>
      <c r="N14" s="660">
        <f>IFERROR(IF(_xll.ciqfunctions.udf.CIQ($B$1,$C14,N$1,$D$1,$C$2, ,$C$1)&lt;&gt;0,_xll.ciqfunctions.udf.CIQ($B$1,$C14,N$1,$D$1,$C$2, ,$C$1),_xll.ciqfunctions.udf.CIQ($B$1,"IQ_EBITDA",N$1,$D$1,$C$2, ,$C$1)),"")</f>
        <v>36600</v>
      </c>
      <c r="O14" s="861">
        <f>IFERROR(_xll.ciqfunctions.udf.CIQ($B$1,$L14,O$1,$D$1,$C$2,$D$2,$C$1),"NA")</f>
        <v>38018.905429999999</v>
      </c>
      <c r="P14" s="861">
        <f>IFERROR(_xll.ciqfunctions.udf.CIQ($B$1,$L14,P$1,$D$1,$C$2,$D$2,$C$1),"NA")</f>
        <v>39886.685879999997</v>
      </c>
      <c r="T14" s="562"/>
      <c r="U14" s="562"/>
      <c r="V14" s="562"/>
      <c r="W14" s="562"/>
      <c r="X14" s="562"/>
      <c r="Y14" s="562"/>
      <c r="Z14" s="562"/>
      <c r="AA14" s="562"/>
      <c r="AB14" s="562"/>
      <c r="AC14" s="562"/>
      <c r="AD14" s="562"/>
      <c r="AE14" s="562"/>
    </row>
    <row r="15" spans="1:31" x14ac:dyDescent="0.2">
      <c r="B15" s="1350" t="s">
        <v>965</v>
      </c>
      <c r="C15" s="663"/>
      <c r="D15" s="1112"/>
      <c r="E15" s="1112"/>
      <c r="F15" s="1113">
        <f t="shared" ref="F15:K15" si="4">IFERROR(IF(OR(E14="",F14=""),"",IF(ABS((F14-E14)/E14)&gt;=$R$2,"NA",IF(F14&gt;E14,ABS((F14-E14)/E14),-ABS((F14-E14)/E14)))),"NM")</f>
        <v>-2.1305760004767721E-2</v>
      </c>
      <c r="G15" s="1113">
        <f t="shared" si="4"/>
        <v>-4.1955912799902573E-2</v>
      </c>
      <c r="H15" s="1113">
        <f t="shared" si="4"/>
        <v>3.7151210830737941E-2</v>
      </c>
      <c r="I15" s="1113">
        <f t="shared" si="4"/>
        <v>-5.5155507890301825E-3</v>
      </c>
      <c r="J15" s="1113">
        <f t="shared" si="4"/>
        <v>0.17393313819134185</v>
      </c>
      <c r="K15" s="1113">
        <f t="shared" si="4"/>
        <v>-3.937007874015748E-2</v>
      </c>
      <c r="L15" s="1096"/>
      <c r="M15" s="1096"/>
      <c r="N15" s="1113">
        <f>IFERROR(IF(OR(M14="",N14=""),"",IF(ABS((N14-M14)/M14)&gt;=$R$2,"NA",IF(N14&gt;M14,ABS((N14-M14)/M14),-ABS((N14-M14)/M14)))),"NM")</f>
        <v>-3.937007874015748E-2</v>
      </c>
      <c r="O15" s="1114">
        <f>IFERROR(IF(OR(K14="",O14=""),"",IF(ABS((O14-K14)/K14)&gt;=$R$2,"NA",IF(O14&gt;K14,ABS((O14-K14)/K14),-ABS((O14-K14)/K14)))),"NM")</f>
        <v>3.8767907923497234E-2</v>
      </c>
      <c r="P15" s="1114">
        <f>IFERROR(IF(OR(O14="",P14=""),"",IF(ABS((P14-O14)/O14)&gt;=$R$2,"NA",IF(P14&gt;O14,ABS((P14-O14)/O14),-ABS((P14-O14)/O14)))),"NM")</f>
        <v>4.9127675530768126E-2</v>
      </c>
      <c r="T15" s="562"/>
      <c r="U15" s="562"/>
      <c r="V15" s="562"/>
      <c r="W15" s="562"/>
      <c r="X15" s="562"/>
      <c r="Y15" s="562"/>
      <c r="Z15" s="562"/>
      <c r="AA15" s="562"/>
      <c r="AB15" s="562"/>
      <c r="AC15" s="562"/>
      <c r="AD15" s="562"/>
      <c r="AE15" s="562"/>
    </row>
    <row r="16" spans="1:31" x14ac:dyDescent="0.2">
      <c r="B16" s="1352" t="s">
        <v>971</v>
      </c>
      <c r="C16" s="663"/>
      <c r="D16" s="1119"/>
      <c r="E16" s="1119">
        <f t="shared" ref="E16:K16" si="5">IFERROR(IF(ABS(E14/E$7)&gt;=$R$2,"NA",E14/E$7),"NM")</f>
        <v>6.9605708004065292E-2</v>
      </c>
      <c r="F16" s="676">
        <f t="shared" si="5"/>
        <v>6.7597911388366919E-2</v>
      </c>
      <c r="G16" s="676">
        <f t="shared" si="5"/>
        <v>6.2888858243245138E-2</v>
      </c>
      <c r="H16" s="676">
        <f t="shared" si="5"/>
        <v>6.3442229371798484E-2</v>
      </c>
      <c r="I16" s="676">
        <f t="shared" si="5"/>
        <v>6.1941278408440277E-2</v>
      </c>
      <c r="J16" s="676">
        <f t="shared" si="5"/>
        <v>6.8139017903929344E-2</v>
      </c>
      <c r="K16" s="676">
        <f t="shared" si="5"/>
        <v>6.3901779821703558E-2</v>
      </c>
      <c r="L16" s="1096"/>
      <c r="M16" s="676">
        <f t="shared" ref="M16:P16" si="6">IFERROR(IF(ABS(M14/M$7)&gt;=$R$2,"NA",M14/M$7),"NM")</f>
        <v>6.8139017903929344E-2</v>
      </c>
      <c r="N16" s="676">
        <f t="shared" si="6"/>
        <v>6.3901779821703558E-2</v>
      </c>
      <c r="O16" s="1087">
        <f t="shared" si="6"/>
        <v>6.4561704670347816E-2</v>
      </c>
      <c r="P16" s="1087">
        <f t="shared" si="6"/>
        <v>6.5618354005071294E-2</v>
      </c>
      <c r="T16" s="562"/>
      <c r="U16" s="562"/>
      <c r="V16" s="562"/>
      <c r="W16" s="562"/>
      <c r="X16" s="562"/>
      <c r="Y16" s="562"/>
      <c r="Z16" s="562"/>
      <c r="AA16" s="562"/>
      <c r="AB16" s="562"/>
      <c r="AC16" s="562"/>
      <c r="AD16" s="562"/>
      <c r="AE16" s="562"/>
    </row>
    <row r="17" spans="1:31" x14ac:dyDescent="0.2">
      <c r="B17" s="1351"/>
      <c r="C17" s="1115"/>
      <c r="D17" s="1116"/>
      <c r="E17" s="1116"/>
      <c r="F17" s="1116"/>
      <c r="G17" s="1116"/>
      <c r="H17" s="1116"/>
      <c r="I17" s="1116"/>
      <c r="J17" s="1116"/>
      <c r="K17" s="1117"/>
      <c r="L17" s="1117"/>
      <c r="M17" s="1117"/>
      <c r="N17" s="1118"/>
      <c r="O17" s="1116"/>
      <c r="P17" s="1116"/>
      <c r="T17" s="562"/>
      <c r="U17" s="562"/>
      <c r="V17" s="562"/>
      <c r="W17" s="562"/>
      <c r="X17" s="562"/>
      <c r="Y17" s="562"/>
      <c r="Z17" s="562"/>
      <c r="AA17" s="562"/>
      <c r="AB17" s="562"/>
      <c r="AC17" s="562"/>
      <c r="AD17" s="562"/>
      <c r="AE17" s="562"/>
    </row>
    <row r="18" spans="1:31" x14ac:dyDescent="0.2">
      <c r="B18" s="1349" t="s">
        <v>974</v>
      </c>
      <c r="C18" s="663" t="s">
        <v>973</v>
      </c>
      <c r="D18" s="563"/>
      <c r="E18" s="660">
        <f>IFERROR(IF(NOT(ISNUMBER(_xll.ciqfunctions.udf.CIQ($B$1,$C18,E$1,$D$1,$C$2, ,$C$1))),_xll.ciqfunctions.udf.CIQ($B$1,$C18,E$1,$D$1,$C$2, ,$C$1),_xll.ciqfunctions.udf.CIQ($B$1,"IQ_EBIT",E$1,$D$1,$C$2, ,$C$1)),"")</f>
        <v>24105</v>
      </c>
      <c r="F18" s="660">
        <f>IFERROR(IF(NOT(ISNUMBER(_xll.ciqfunctions.udf.CIQ($B$1,$C18,F$1,$D$1,$C$2, ,$C$1))),_xll.ciqfunctions.udf.CIQ($B$1,$C18,F$1,$D$1,$C$2, ,$C$1),_xll.ciqfunctions.udf.CIQ($B$1,"IQ_EBIT",F$1,$D$1,$C$2, ,$C$1)),"")</f>
        <v>22764</v>
      </c>
      <c r="G18" s="660">
        <f>IFERROR(IF(NOT(ISNUMBER(_xll.ciqfunctions.udf.CIQ($B$1,$C18,G$1,$D$1,$C$2, ,$C$1))),_xll.ciqfunctions.udf.CIQ($B$1,$C18,G$1,$D$1,$C$2, ,$C$1),_xll.ciqfunctions.udf.CIQ($B$1,"IQ_EBIT",G$1,$D$1,$C$2, ,$C$1)),"")</f>
        <v>20937</v>
      </c>
      <c r="H18" s="660">
        <f>IFERROR(IF(NOT(ISNUMBER(_xll.ciqfunctions.udf.CIQ($B$1,$C18,H$1,$D$1,$C$2, ,$C$1))),_xll.ciqfunctions.udf.CIQ($B$1,$C18,H$1,$D$1,$C$2, ,$C$1),_xll.ciqfunctions.udf.CIQ($B$1,"IQ_EBIT",H$1,$D$1,$C$2, ,$C$1)),"")</f>
        <v>21957</v>
      </c>
      <c r="I18" s="660">
        <f>IFERROR(IF(NOT(ISNUMBER(_xll.ciqfunctions.udf.CIQ($B$1,$C18,I$1,$D$1,$C$2, ,$C$1))),_xll.ciqfunctions.udf.CIQ($B$1,$C18,I$1,$D$1,$C$2, ,$C$1),_xll.ciqfunctions.udf.CIQ($B$1,"IQ_EBIT",I$1,$D$1,$C$2, ,$C$1)),"")</f>
        <v>21468</v>
      </c>
      <c r="J18" s="660">
        <f>IFERROR(IF(NOT(ISNUMBER(_xll.ciqfunctions.udf.CIQ($B$1,$C18,J$1,$D$1,$C$2, ,$C$1))),_xll.ciqfunctions.udf.CIQ($B$1,$C18,J$1,$D$1,$C$2, ,$C$1),_xll.ciqfunctions.udf.CIQ($B$1,"IQ_EBIT",J$1,$D$1,$C$2, ,$C$1)),"")</f>
        <v>26948</v>
      </c>
      <c r="K18" s="660">
        <f>IFERROR(IF(NOT(ISNUMBER(_xll.ciqfunctions.udf.CIQ($B$1,$C18,K$1,$D$1,$C$2, ,$C$1))),_xll.ciqfunctions.udf.CIQ($B$1,$C18,K$1,$D$1,$C$2, ,$C$1),_xll.ciqfunctions.udf.CIQ($B$1,"IQ_EBIT",K$1,$D$1,$C$2, ,$C$1)),"")</f>
        <v>25942</v>
      </c>
      <c r="L18" s="1111" t="s">
        <v>610</v>
      </c>
      <c r="M18" s="660">
        <f>IFERROR(IF(_xll.ciqfunctions.udf.CIQ($B$1,$C18,M$1,$D$1,$C$2, ,$C$1)&lt;&gt;0,_xll.ciqfunctions.udf.CIQ($B$1,$C18,M$1,$D$1,$C$2, ,$C$1),_xll.ciqfunctions.udf.CIQ($B$1,"IQ_EBIT",M$1,$D$1,$C$2, ,$C$1)),"")</f>
        <v>26948</v>
      </c>
      <c r="N18" s="660">
        <f>IFERROR(IF(_xll.ciqfunctions.udf.CIQ($B$1,$C18,N$1,$D$1,$C$2, ,$C$1)&lt;&gt;0,_xll.ciqfunctions.udf.CIQ($B$1,$C18,N$1,$D$1,$C$2, ,$C$1),_xll.ciqfunctions.udf.CIQ($B$1,"IQ_EBIT",N$1,$D$1,$C$2, ,$C$1)),"")</f>
        <v>25942</v>
      </c>
      <c r="O18" s="861">
        <f>IFERROR(_xll.ciqfunctions.udf.CIQ($B$1,$L18,O$1,$D$1,$C$2,$D$2,$C$1),"NA")</f>
        <v>27049.568429999999</v>
      </c>
      <c r="P18" s="861">
        <f>IFERROR(_xll.ciqfunctions.udf.CIQ($B$1,$L18,P$1,$D$1,$C$2,$D$2,$C$1),"NA")</f>
        <v>28444.616180000001</v>
      </c>
      <c r="T18" s="562"/>
      <c r="U18" s="562"/>
      <c r="V18" s="562"/>
      <c r="W18" s="562"/>
      <c r="X18" s="562"/>
      <c r="Y18" s="562"/>
      <c r="Z18" s="562"/>
      <c r="AA18" s="562"/>
      <c r="AB18" s="562"/>
      <c r="AC18" s="562"/>
      <c r="AD18" s="562"/>
      <c r="AE18" s="562"/>
    </row>
    <row r="19" spans="1:31" x14ac:dyDescent="0.2">
      <c r="B19" s="1350" t="s">
        <v>965</v>
      </c>
      <c r="C19" s="663"/>
      <c r="D19" s="1112"/>
      <c r="E19" s="1112"/>
      <c r="F19" s="1113">
        <f t="shared" ref="F19:K19" si="7">IFERROR(IF(OR(E18="",F18=""),"",IF(ABS((F18-E18)/E18)&gt;=$R$2,"NA",IF(F18&gt;E18,ABS((F18-E18)/E18),-ABS((F18-E18)/E18)))),"NM")</f>
        <v>-5.5631611698817675E-2</v>
      </c>
      <c r="G19" s="1113">
        <f t="shared" si="7"/>
        <v>-8.0258302583025826E-2</v>
      </c>
      <c r="H19" s="1113">
        <f t="shared" si="7"/>
        <v>4.8717581315374694E-2</v>
      </c>
      <c r="I19" s="1113">
        <f t="shared" si="7"/>
        <v>-2.2270802022134172E-2</v>
      </c>
      <c r="J19" s="1113">
        <f t="shared" si="7"/>
        <v>0.25526364822060743</v>
      </c>
      <c r="K19" s="1113">
        <f t="shared" si="7"/>
        <v>-3.7331156301024196E-2</v>
      </c>
      <c r="L19" s="1096"/>
      <c r="M19" s="1096"/>
      <c r="N19" s="1113">
        <f>IFERROR(IF(OR(M18="",N18=""),"",IF(ABS((N18-M18)/M18)&gt;=$R$2,"NA",IF(N18&gt;M18,ABS((N18-M18)/M18),-ABS((N18-M18)/M18)))),"NM")</f>
        <v>-3.7331156301024196E-2</v>
      </c>
      <c r="O19" s="1114">
        <f>IFERROR(IF(OR(K18="",O18=""),"",IF(ABS((O18-K18)/K18)&gt;=$R$2,"NA",IF(O18&gt;K18,ABS((O18-K18)/K18),-ABS((O18-K18)/K18)))),"NM")</f>
        <v>4.2694026289414821E-2</v>
      </c>
      <c r="P19" s="1114">
        <f>IFERROR(IF(OR(O18="",P18=""),"",IF(ABS((P18-O18)/O18)&gt;=$R$2,"NA",IF(P18&gt;O18,ABS((P18-O18)/O18),-ABS((P18-O18)/O18)))),"NM")</f>
        <v>5.1573752594617703E-2</v>
      </c>
      <c r="S19" s="1068"/>
      <c r="T19" s="659"/>
      <c r="U19" s="562"/>
      <c r="V19" s="562"/>
      <c r="W19" s="562"/>
      <c r="X19" s="562"/>
      <c r="Y19" s="562"/>
      <c r="Z19" s="562"/>
      <c r="AA19" s="562"/>
      <c r="AB19" s="562"/>
      <c r="AC19" s="562"/>
      <c r="AD19" s="562"/>
      <c r="AE19" s="562"/>
    </row>
    <row r="20" spans="1:31" x14ac:dyDescent="0.2">
      <c r="B20" s="1352" t="s">
        <v>975</v>
      </c>
      <c r="C20" s="663"/>
      <c r="D20" s="1119"/>
      <c r="E20" s="1119">
        <f t="shared" ref="E20:K20" si="8">IFERROR(IF(ABS(E18/E$7)&gt;=$R$2,"NA",E18/E$7),"NM")</f>
        <v>4.9996888805923713E-2</v>
      </c>
      <c r="F20" s="676">
        <f t="shared" si="8"/>
        <v>4.6851749325441013E-2</v>
      </c>
      <c r="G20" s="676">
        <f t="shared" si="8"/>
        <v>4.1845294128228037E-2</v>
      </c>
      <c r="H20" s="676">
        <f t="shared" si="8"/>
        <v>4.268426628823592E-2</v>
      </c>
      <c r="I20" s="676">
        <f t="shared" si="8"/>
        <v>4.0972280538357594E-2</v>
      </c>
      <c r="J20" s="676">
        <f t="shared" si="8"/>
        <v>4.8194494868112552E-2</v>
      </c>
      <c r="K20" s="676">
        <f t="shared" si="8"/>
        <v>4.5293441861602016E-2</v>
      </c>
      <c r="L20" s="1096"/>
      <c r="M20" s="676">
        <f t="shared" ref="M20:P20" si="9">IFERROR(IF(ABS(M18/M$7)&gt;=$R$2,"NA",M18/M$7),"NM")</f>
        <v>4.8194494868112552E-2</v>
      </c>
      <c r="N20" s="676">
        <f t="shared" si="9"/>
        <v>4.5293441861602016E-2</v>
      </c>
      <c r="O20" s="1087">
        <f t="shared" si="9"/>
        <v>4.5934153776557685E-2</v>
      </c>
      <c r="P20" s="1087">
        <f t="shared" si="9"/>
        <v>4.6794785098290527E-2</v>
      </c>
      <c r="S20" s="653"/>
      <c r="T20" s="659"/>
      <c r="U20" s="562"/>
      <c r="V20" s="562"/>
      <c r="W20" s="562"/>
      <c r="X20" s="562"/>
      <c r="Y20" s="562"/>
      <c r="Z20" s="562"/>
      <c r="AA20" s="562"/>
      <c r="AB20" s="562"/>
      <c r="AC20" s="562"/>
      <c r="AD20" s="562"/>
      <c r="AE20" s="562"/>
    </row>
    <row r="21" spans="1:31" x14ac:dyDescent="0.2">
      <c r="B21" s="1351"/>
      <c r="C21" s="1115"/>
      <c r="D21" s="1116"/>
      <c r="E21" s="1116"/>
      <c r="F21" s="1116"/>
      <c r="G21" s="1116"/>
      <c r="H21" s="1116"/>
      <c r="I21" s="1116"/>
      <c r="J21" s="1116"/>
      <c r="K21" s="1117"/>
      <c r="L21" s="1117"/>
      <c r="M21" s="1117"/>
      <c r="N21" s="1118"/>
      <c r="O21" s="1116"/>
      <c r="P21" s="1116"/>
      <c r="S21" s="653"/>
      <c r="T21" s="659"/>
      <c r="U21" s="562"/>
      <c r="V21" s="562"/>
      <c r="W21" s="562"/>
      <c r="X21" s="562"/>
      <c r="Y21" s="562"/>
      <c r="Z21" s="562"/>
      <c r="AA21" s="562"/>
      <c r="AB21" s="562"/>
      <c r="AC21" s="562"/>
      <c r="AD21" s="562"/>
      <c r="AE21" s="562"/>
    </row>
    <row r="22" spans="1:31" x14ac:dyDescent="0.2">
      <c r="B22" s="1349" t="s">
        <v>978</v>
      </c>
      <c r="C22" s="663" t="s">
        <v>977</v>
      </c>
      <c r="D22" s="563"/>
      <c r="E22" s="660">
        <f>IFERROR(IF(NOT(ISNUMBER(_xll.ciqfunctions.udf.CIQ($B$1,$C22,E$1,$D$1,$C$2, ,$C$1))),_xll.ciqfunctions.udf.CIQ($B$1,$C22,E$1,$D$1,$C$2, ,$C$1),_xll.ciqfunctions.udf.CIQ($B$1,"IQ_NI",E$1,$D$1,$C$2, ,$C$1)),"")</f>
        <v>14694</v>
      </c>
      <c r="F22" s="660">
        <f>IFERROR(IF(NOT(ISNUMBER(_xll.ciqfunctions.udf.CIQ($B$1,$C22,F$1,$D$1,$C$2, ,$C$1))),_xll.ciqfunctions.udf.CIQ($B$1,$C22,F$1,$D$1,$C$2, ,$C$1),_xll.ciqfunctions.udf.CIQ($B$1,"IQ_NI",F$1,$D$1,$C$2, ,$C$1)),"")</f>
        <v>13643</v>
      </c>
      <c r="G22" s="660">
        <f>IFERROR(IF(NOT(ISNUMBER(_xll.ciqfunctions.udf.CIQ($B$1,$C22,G$1,$D$1,$C$2, ,$C$1))),_xll.ciqfunctions.udf.CIQ($B$1,$C22,G$1,$D$1,$C$2, ,$C$1),_xll.ciqfunctions.udf.CIQ($B$1,"IQ_NI",G$1,$D$1,$C$2, ,$C$1)),"")</f>
        <v>9862</v>
      </c>
      <c r="H22" s="660">
        <f>IFERROR(IF(NOT(ISNUMBER(_xll.ciqfunctions.udf.CIQ($B$1,$C22,H$1,$D$1,$C$2, ,$C$1))),_xll.ciqfunctions.udf.CIQ($B$1,$C22,H$1,$D$1,$C$2, ,$C$1),_xll.ciqfunctions.udf.CIQ($B$1,"IQ_NI",H$1,$D$1,$C$2, ,$C$1)),"")</f>
        <v>6670</v>
      </c>
      <c r="I22" s="660">
        <f>IFERROR(IF(NOT(ISNUMBER(_xll.ciqfunctions.udf.CIQ($B$1,$C22,I$1,$D$1,$C$2, ,$C$1))),_xll.ciqfunctions.udf.CIQ($B$1,$C22,I$1,$D$1,$C$2, ,$C$1),_xll.ciqfunctions.udf.CIQ($B$1,"IQ_NI",I$1,$D$1,$C$2, ,$C$1)),"")</f>
        <v>14881</v>
      </c>
      <c r="J22" s="660">
        <f>IFERROR(IF(NOT(ISNUMBER(_xll.ciqfunctions.udf.CIQ($B$1,$C22,J$1,$D$1,$C$2, ,$C$1))),_xll.ciqfunctions.udf.CIQ($B$1,$C22,J$1,$D$1,$C$2, ,$C$1),_xll.ciqfunctions.udf.CIQ($B$1,"IQ_NI",J$1,$D$1,$C$2, ,$C$1)),"")</f>
        <v>13510</v>
      </c>
      <c r="K22" s="660">
        <f>IFERROR(IF(NOT(ISNUMBER(_xll.ciqfunctions.udf.CIQ($B$1,$C22,K$1,$D$1,$C$2, ,$C$1))),_xll.ciqfunctions.udf.CIQ($B$1,$C22,K$1,$D$1,$C$2, ,$C$1),_xll.ciqfunctions.udf.CIQ($B$1,"IQ_NI",K$1,$D$1,$C$2, ,$C$1)),"")</f>
        <v>13673</v>
      </c>
      <c r="L22" s="1111" t="s">
        <v>979</v>
      </c>
      <c r="M22" s="660">
        <f>IFERROR(IF(_xll.ciqfunctions.udf.CIQ($B$1,$C22,M$1,$D$1,$C$2, ,$C$1)&lt;&gt;0,_xll.ciqfunctions.udf.CIQ($B$1,$C22,M$1,$D$1,$C$2, ,$C$1),_xll.ciqfunctions.udf.CIQ($B$1,"IQ_NI",M$1,$D$1,$C$2, ,$C$1)),"")</f>
        <v>13510</v>
      </c>
      <c r="N22" s="660">
        <f>IFERROR(IF(_xll.ciqfunctions.udf.CIQ($B$1,$C22,N$1,$D$1,$C$2, ,$C$1)&lt;&gt;0,_xll.ciqfunctions.udf.CIQ($B$1,$C22,N$1,$D$1,$C$2, ,$C$1),_xll.ciqfunctions.udf.CIQ($B$1,"IQ_NI",N$1,$D$1,$C$2, ,$C$1)),"")</f>
        <v>13673</v>
      </c>
      <c r="O22" s="861">
        <f>IFERROR(_xll.ciqfunctions.udf.CIQ($B$1,$L22,O$1,$D$1,$C$2,$D$2,$C$1),"NA")</f>
        <v>18575.060170000001</v>
      </c>
      <c r="P22" s="861">
        <f>IFERROR(_xll.ciqfunctions.udf.CIQ($B$1,$L22,P$1,$D$1,$C$2,$D$2,$C$1),"NA")</f>
        <v>19564.7343</v>
      </c>
      <c r="S22" s="653"/>
      <c r="T22" s="659"/>
      <c r="U22" s="562"/>
      <c r="V22" s="562"/>
      <c r="W22" s="562"/>
      <c r="X22" s="562"/>
      <c r="Y22" s="562"/>
      <c r="Z22" s="562"/>
      <c r="AA22" s="562"/>
      <c r="AB22" s="562"/>
      <c r="AC22" s="562"/>
      <c r="AD22" s="562"/>
      <c r="AE22" s="562"/>
    </row>
    <row r="23" spans="1:31" x14ac:dyDescent="0.2">
      <c r="B23" s="1350" t="s">
        <v>965</v>
      </c>
      <c r="C23" s="663"/>
      <c r="D23" s="1112"/>
      <c r="E23" s="1112"/>
      <c r="F23" s="1113">
        <f t="shared" ref="F23:K23" si="10">IFERROR(IF(OR(E22="",F22=""),"",IF(ABS((F22-E22)/E22)&gt;=$R$2,"NA",IF(F22&gt;E22,ABS((F22-E22)/E22),-ABS((F22-E22)/E22)))),"NM")</f>
        <v>-7.1525792840615221E-2</v>
      </c>
      <c r="G23" s="1113">
        <f t="shared" si="10"/>
        <v>-0.27713845928314884</v>
      </c>
      <c r="H23" s="1113">
        <f t="shared" si="10"/>
        <v>-0.32366659906712636</v>
      </c>
      <c r="I23" s="1113">
        <f t="shared" si="10"/>
        <v>1.2310344827586206</v>
      </c>
      <c r="J23" s="1113">
        <f t="shared" si="10"/>
        <v>-9.2130905181103423E-2</v>
      </c>
      <c r="K23" s="1113">
        <f t="shared" si="10"/>
        <v>1.2065136935603257E-2</v>
      </c>
      <c r="L23" s="1096"/>
      <c r="M23" s="1096"/>
      <c r="N23" s="1113">
        <f>IFERROR(IF(OR(M22="",N22=""),"",IF(ABS((N22-M22)/M22)&gt;=$R$2,"NA",IF(N22&gt;M22,ABS((N22-M22)/M22),-ABS((N22-M22)/M22)))),"NM")</f>
        <v>1.2065136935603257E-2</v>
      </c>
      <c r="O23" s="1114">
        <f>IFERROR(IF(OR(K22="",O22=""),"",IF(ABS((O22-K22)/K22)&gt;=$R$2,"NA",IF(O22&gt;K22,ABS((O22-K22)/K22),-ABS((O22-K22)/K22)))),"NM")</f>
        <v>0.35852118554816065</v>
      </c>
      <c r="P23" s="1114">
        <f>IFERROR(IF(OR(O22="",P22=""),"",IF(ABS((P22-O22)/O22)&gt;=$R$2,"NA",IF(P22&gt;O22,ABS((P22-O22)/O22),-ABS((P22-O22)/O22)))),"NM")</f>
        <v>5.3279726738026466E-2</v>
      </c>
      <c r="S23" s="653"/>
      <c r="T23" s="659"/>
      <c r="U23" s="562"/>
      <c r="V23" s="562"/>
      <c r="W23" s="562"/>
      <c r="X23" s="562"/>
      <c r="Y23" s="562"/>
      <c r="Z23" s="562"/>
      <c r="AA23" s="562"/>
      <c r="AB23" s="562"/>
      <c r="AC23" s="562"/>
      <c r="AD23" s="562"/>
      <c r="AE23" s="562"/>
    </row>
    <row r="24" spans="1:31" x14ac:dyDescent="0.2">
      <c r="B24" s="1352" t="s">
        <v>980</v>
      </c>
      <c r="C24" s="663"/>
      <c r="D24" s="1119"/>
      <c r="E24" s="1119">
        <f t="shared" ref="E24:K24" si="11">IFERROR(IF(ABS(E22/E$7)&gt;=$R$2,"NA",E22/E$7),"NM")</f>
        <v>3.0477257171302344E-2</v>
      </c>
      <c r="F24" s="676">
        <f t="shared" si="11"/>
        <v>2.8079354069890691E-2</v>
      </c>
      <c r="G24" s="676">
        <f t="shared" si="11"/>
        <v>1.9710478611672393E-2</v>
      </c>
      <c r="H24" s="676">
        <f t="shared" si="11"/>
        <v>1.2966436951429322E-2</v>
      </c>
      <c r="I24" s="676">
        <f t="shared" si="11"/>
        <v>2.8400806162255422E-2</v>
      </c>
      <c r="J24" s="676">
        <f t="shared" si="11"/>
        <v>2.4161630758059986E-2</v>
      </c>
      <c r="K24" s="676">
        <f t="shared" si="11"/>
        <v>2.3872378019184501E-2</v>
      </c>
      <c r="L24" s="1096"/>
      <c r="M24" s="676">
        <f t="shared" ref="M24:P24" si="12">IFERROR(IF(ABS(M22/M$7)&gt;=$R$2,"NA",M22/M$7),"NM")</f>
        <v>2.4161630758059986E-2</v>
      </c>
      <c r="N24" s="676">
        <f t="shared" si="12"/>
        <v>2.3872378019184501E-2</v>
      </c>
      <c r="O24" s="1087">
        <f t="shared" si="12"/>
        <v>3.1543189772717264E-2</v>
      </c>
      <c r="P24" s="1087">
        <f t="shared" si="12"/>
        <v>3.2186320647820163E-2</v>
      </c>
      <c r="T24" s="562"/>
      <c r="U24" s="562"/>
      <c r="V24" s="562"/>
      <c r="W24" s="562"/>
      <c r="X24" s="562"/>
      <c r="Y24" s="562"/>
      <c r="Z24" s="562"/>
      <c r="AA24" s="562"/>
      <c r="AB24" s="562"/>
      <c r="AC24" s="562"/>
      <c r="AD24" s="562"/>
      <c r="AE24" s="562"/>
    </row>
    <row r="25" spans="1:31" x14ac:dyDescent="0.2">
      <c r="B25" s="1351"/>
      <c r="C25" s="1115"/>
      <c r="D25" s="1116"/>
      <c r="E25" s="1116"/>
      <c r="F25" s="1116"/>
      <c r="G25" s="1116"/>
      <c r="H25" s="1116"/>
      <c r="I25" s="1116"/>
      <c r="J25" s="1116"/>
      <c r="K25" s="1117"/>
      <c r="L25" s="1117"/>
      <c r="M25" s="1117"/>
      <c r="N25" s="1118"/>
      <c r="O25" s="1116"/>
      <c r="P25" s="1116"/>
      <c r="T25" s="562"/>
      <c r="U25" s="562"/>
      <c r="V25" s="562"/>
      <c r="W25" s="562"/>
      <c r="X25" s="562"/>
      <c r="Y25" s="562"/>
      <c r="Z25" s="562"/>
      <c r="AA25" s="562"/>
      <c r="AB25" s="562"/>
      <c r="AC25" s="562"/>
      <c r="AD25" s="562"/>
    </row>
    <row r="26" spans="1:31" x14ac:dyDescent="0.2">
      <c r="B26" s="1353" t="s">
        <v>981</v>
      </c>
      <c r="C26" s="663" t="s">
        <v>982</v>
      </c>
      <c r="D26" s="564"/>
      <c r="E26" s="564">
        <f>IFERROR(_xll.ciqfunctions.udf.CIQ($B$1,$C26,E$1,$D$1,$C$2,$D$2,$C$1),"NA")</f>
        <v>4.57</v>
      </c>
      <c r="F26" s="564">
        <f>IFERROR(_xll.ciqfunctions.udf.CIQ($B$1,$C26,F$1,$D$1,$C$2,$D$2,$C$1),"NA")</f>
        <v>4.38</v>
      </c>
      <c r="G26" s="564">
        <f>IFERROR(_xll.ciqfunctions.udf.CIQ($B$1,$C26,G$1,$D$1,$C$2,$D$2,$C$1),"NA")</f>
        <v>3.28</v>
      </c>
      <c r="H26" s="564">
        <f>IFERROR(_xll.ciqfunctions.udf.CIQ($B$1,$C26,H$1,$D$1,$C$2,$D$2,$C$1),"NA")</f>
        <v>2.2599999999999998</v>
      </c>
      <c r="I26" s="564">
        <f>IFERROR(_xll.ciqfunctions.udf.CIQ($B$1,$C26,I$1,$D$1,$C$2,$D$2,$C$1),"NA")</f>
        <v>5.19</v>
      </c>
      <c r="J26" s="564">
        <f>IFERROR(_xll.ciqfunctions.udf.CIQ($B$1,$C26,J$1,$D$1,$C$2,$D$2,$C$1),"NA")</f>
        <v>4.75</v>
      </c>
      <c r="K26" s="564">
        <f>IFERROR(_xll.ciqfunctions.udf.CIQ($B$1,$C26,K$1,$D$1,$C$2,$D$2,$C$1),"NA")</f>
        <v>4.87</v>
      </c>
      <c r="L26" s="1122" t="s">
        <v>983</v>
      </c>
      <c r="M26" s="564">
        <f>IFERROR(_xll.ciqfunctions.udf.CIQ($B$1,$C26,M$1,$D$1,$C$2,$D$2,$C$1),"NA")</f>
        <v>4.75</v>
      </c>
      <c r="N26" s="564">
        <f>IFERROR(_xll.ciqfunctions.udf.CIQ($B$1,$C26,N$1,$D$1,$C$2,$D$2,$C$1),"NA")</f>
        <v>4.87</v>
      </c>
      <c r="O26" s="895">
        <f>IFERROR(_xll.ciqfunctions.udf.CIQ($B$1,$L26,O$1,$D$1,$C$2,$D$2,$C$1),"NA")</f>
        <v>6.7613300000000001</v>
      </c>
      <c r="P26" s="895">
        <f>IFERROR(_xll.ciqfunctions.udf.CIQ($B$1,$L26,P$1,$D$1,$C$2,$D$2,$C$1),"NA")</f>
        <v>7.2535699999999999</v>
      </c>
      <c r="T26" s="562"/>
      <c r="U26" s="562"/>
      <c r="V26" s="562"/>
      <c r="W26" s="562"/>
      <c r="X26" s="562"/>
      <c r="Y26" s="562"/>
      <c r="Z26" s="562"/>
      <c r="AA26" s="562"/>
      <c r="AB26" s="562"/>
      <c r="AC26" s="562"/>
      <c r="AD26" s="562"/>
    </row>
    <row r="27" spans="1:31" s="566" customFormat="1" x14ac:dyDescent="0.2">
      <c r="A27" s="557"/>
      <c r="B27" s="1349" t="s">
        <v>512</v>
      </c>
      <c r="C27" s="894" t="s">
        <v>609</v>
      </c>
      <c r="D27" s="565"/>
      <c r="E27" s="565">
        <f>IFERROR(_xll.ciqfunctions.udf.CIQ($B$1,$C27,E$1,$D$1,$C$2,$D$2,$C$1),"NA")</f>
        <v>4.57</v>
      </c>
      <c r="F27" s="565">
        <f>IFERROR(_xll.ciqfunctions.udf.CIQ($B$1,$C27,F$1,$D$1,$C$2,$D$2,$C$1),"NA")</f>
        <v>4.38</v>
      </c>
      <c r="G27" s="565">
        <f>IFERROR(_xll.ciqfunctions.udf.CIQ($B$1,$C27,G$1,$D$1,$C$2,$D$2,$C$1),"NA")</f>
        <v>3.28</v>
      </c>
      <c r="H27" s="565">
        <f>IFERROR(_xll.ciqfunctions.udf.CIQ($B$1,$C27,H$1,$D$1,$C$2,$D$2,$C$1),"NA")</f>
        <v>2.2599999999999998</v>
      </c>
      <c r="I27" s="565">
        <f>IFERROR(_xll.ciqfunctions.udf.CIQ($B$1,$C27,I$1,$D$1,$C$2,$D$2,$C$1),"NA")</f>
        <v>5.19</v>
      </c>
      <c r="J27" s="565">
        <f>IFERROR(_xll.ciqfunctions.udf.CIQ($B$1,$C27,J$1,$D$1,$C$2,$D$2,$C$1),"NA")</f>
        <v>4.75</v>
      </c>
      <c r="K27" s="565">
        <f>IFERROR(_xll.ciqfunctions.udf.CIQ($B$1,$C27,K$1,$D$1,$C$2,$D$2,$C$1),"NA")</f>
        <v>4.87</v>
      </c>
      <c r="L27" s="1123" t="s">
        <v>608</v>
      </c>
      <c r="M27" s="565">
        <f>IFERROR(_xll.ciqfunctions.udf.CIQ($B$1,$C27,M$1,$D$1,$C$2,$D$2,$C$1),"NA")</f>
        <v>4.75</v>
      </c>
      <c r="N27" s="565">
        <f>IFERROR(_xll.ciqfunctions.udf.CIQ($B$1,$C27,N$1,$D$1,$C$2,$D$2,$C$1),"NA")</f>
        <v>4.87</v>
      </c>
      <c r="O27" s="862">
        <f>IFERROR(_xll.ciqfunctions.udf.CIQ($B$1,$L27,O$1,$D$1,$C$2,$D$2,$C$1),"NA")</f>
        <v>6.7588600000000003</v>
      </c>
      <c r="P27" s="862">
        <f>IFERROR(_xll.ciqfunctions.udf.CIQ($B$1,$L27,P$1,$D$1,$C$2,$D$2,$C$1),"NA")</f>
        <v>7.25528</v>
      </c>
      <c r="R27" s="557"/>
      <c r="S27" s="557"/>
      <c r="T27" s="562"/>
      <c r="U27" s="562"/>
      <c r="V27" s="562"/>
      <c r="W27" s="562"/>
      <c r="X27" s="562"/>
      <c r="Y27" s="562"/>
      <c r="Z27" s="562"/>
      <c r="AA27" s="562"/>
      <c r="AB27" s="562"/>
      <c r="AC27" s="562"/>
      <c r="AD27" s="562"/>
    </row>
    <row r="28" spans="1:31" x14ac:dyDescent="0.2">
      <c r="B28" s="1350" t="s">
        <v>965</v>
      </c>
      <c r="C28" s="663"/>
      <c r="D28" s="1112"/>
      <c r="E28" s="1112"/>
      <c r="F28" s="1113">
        <f t="shared" ref="F28:G28" si="13">IFERROR(IF(OR(E27="",F27=""),"",IF(F27&gt;E27,ABS((F27-E27)/E27),-ABS((F27-E27)/E27))),"NM")</f>
        <v>-4.1575492341356754E-2</v>
      </c>
      <c r="G28" s="1113">
        <f t="shared" si="13"/>
        <v>-0.25114155251141557</v>
      </c>
      <c r="H28" s="1113">
        <f>IFERROR(IF(OR(G27="",H27=""),"",IF(H27&gt;G27,ABS((H27-G27)/G27),-ABS((H27-G27)/G27))),"NM")</f>
        <v>-0.31097560975609756</v>
      </c>
      <c r="I28" s="1113">
        <f>IFERROR(IF(OR(H27="",I27=""),"",IF(I27&gt;H27,ABS((I27-H27)/H27),-ABS((I27-H27)/H27))),"NM")</f>
        <v>1.2964601769911508</v>
      </c>
      <c r="J28" s="1113">
        <f>IFERROR(IF(OR(I27="",J27=""),"",IF(J27&gt;I27,ABS((J27-I27)/I27),-ABS((J27-I27)/I27))),"NM")</f>
        <v>-8.477842003853571E-2</v>
      </c>
      <c r="K28" s="1113">
        <f>IFERROR(IF(OR(J27="",K27=""),"",IF(K27&gt;J27,ABS((K27-J27)/J27),-ABS((K27-J27)/J27))),"NM")</f>
        <v>2.5263157894736866E-2</v>
      </c>
      <c r="L28" s="1096"/>
      <c r="M28" s="1096"/>
      <c r="N28" s="1113">
        <f t="shared" ref="N28" si="14">IFERROR(IF(OR(M27="",N27=""),"",IF(N27&gt;M27,ABS((N27-M27)/M27),-ABS((N27-M27)/M27))),"NM")</f>
        <v>2.5263157894736866E-2</v>
      </c>
      <c r="O28" s="1114">
        <f>IFERROR(IF(OR(K27="",O27=""),"",IF(ABS((O27-K27)/K27)&gt;=$R$2,"NA",IF(O27&gt;K27,ABS((O27-K27)/K27),-ABS((O27-K27)/K27)))),"NM")</f>
        <v>0.38785626283367558</v>
      </c>
      <c r="P28" s="1114">
        <f>IFERROR(IF(OR(O27="",P27=""),"",IF(ABS((P27-O27)/O27)&gt;=$R$2,"NA",IF(P27&gt;O27,ABS((P27-O27)/O27),-ABS((P27-O27)/O27)))),"NM")</f>
        <v>7.3447297325288527E-2</v>
      </c>
      <c r="R28" s="562"/>
      <c r="S28" s="562"/>
      <c r="T28" s="562"/>
      <c r="U28" s="562"/>
      <c r="V28" s="562"/>
      <c r="W28" s="562"/>
      <c r="X28" s="562"/>
      <c r="Y28" s="562"/>
      <c r="Z28" s="562"/>
      <c r="AA28" s="562"/>
      <c r="AB28" s="562"/>
      <c r="AC28" s="562"/>
      <c r="AD28" s="562"/>
    </row>
    <row r="29" spans="1:31" x14ac:dyDescent="0.2">
      <c r="A29" s="566"/>
      <c r="B29" s="567"/>
      <c r="E29" s="568"/>
      <c r="F29" s="568"/>
      <c r="G29" s="568"/>
      <c r="H29" s="568"/>
      <c r="I29" s="568"/>
      <c r="J29" s="568"/>
      <c r="K29" s="568"/>
      <c r="L29" s="568"/>
      <c r="N29" s="562"/>
      <c r="O29" s="562"/>
      <c r="P29" s="562"/>
      <c r="R29" s="562"/>
      <c r="S29" s="562"/>
      <c r="T29" s="562"/>
      <c r="U29" s="562"/>
      <c r="V29" s="562"/>
      <c r="W29" s="562"/>
      <c r="X29" s="562"/>
      <c r="Y29" s="562"/>
      <c r="Z29" s="562"/>
      <c r="AA29" s="562"/>
      <c r="AB29" s="562"/>
      <c r="AC29" s="562"/>
      <c r="AD29" s="562"/>
    </row>
    <row r="30" spans="1:31" x14ac:dyDescent="0.2">
      <c r="B30" s="559"/>
      <c r="E30" s="560"/>
      <c r="F30" s="560"/>
      <c r="G30" s="560"/>
      <c r="H30" s="560"/>
      <c r="I30" s="560"/>
      <c r="J30" s="560"/>
      <c r="K30" s="560"/>
      <c r="L30" s="560"/>
      <c r="N30" s="562"/>
      <c r="O30" s="562"/>
      <c r="P30" s="562"/>
      <c r="R30" s="562"/>
      <c r="S30" s="562"/>
      <c r="T30" s="562"/>
      <c r="U30" s="562"/>
      <c r="V30" s="562"/>
      <c r="W30" s="562"/>
      <c r="X30" s="562"/>
      <c r="Y30" s="562"/>
      <c r="Z30" s="562"/>
      <c r="AA30" s="562"/>
      <c r="AB30" s="562"/>
      <c r="AC30" s="562"/>
      <c r="AD30" s="562"/>
    </row>
    <row r="31" spans="1:31" ht="15" customHeight="1" x14ac:dyDescent="0.2">
      <c r="B31" s="1406" t="s">
        <v>984</v>
      </c>
      <c r="C31" s="1407"/>
      <c r="D31" s="1408"/>
      <c r="E31" s="1408"/>
      <c r="F31" s="1408" t="s">
        <v>520</v>
      </c>
      <c r="G31" s="1408"/>
      <c r="H31" s="1408"/>
      <c r="I31" s="1408"/>
      <c r="J31" s="1408"/>
      <c r="K31" s="1408"/>
      <c r="L31" s="1409"/>
      <c r="M31" s="1408"/>
      <c r="N31" s="1408" t="s">
        <v>519</v>
      </c>
      <c r="O31" s="1411" t="s">
        <v>985</v>
      </c>
      <c r="P31" s="562"/>
      <c r="R31" s="562"/>
      <c r="S31" s="562"/>
      <c r="T31" s="562"/>
      <c r="U31" s="562"/>
      <c r="V31" s="562"/>
      <c r="W31" s="562"/>
      <c r="X31" s="562"/>
      <c r="Y31" s="562"/>
      <c r="Z31" s="562"/>
      <c r="AA31" s="562"/>
      <c r="AB31" s="562"/>
      <c r="AC31" s="562"/>
      <c r="AD31" s="562"/>
    </row>
    <row r="32" spans="1:31" x14ac:dyDescent="0.2">
      <c r="B32" s="1348" t="str">
        <f>Input!$C$6 &amp; " million, except per share data"</f>
        <v>USD million, except per share data</v>
      </c>
      <c r="C32" s="1340"/>
      <c r="D32" s="1341"/>
      <c r="E32" s="1341"/>
      <c r="F32" s="1446">
        <f>F6</f>
        <v>42766</v>
      </c>
      <c r="G32" s="1446">
        <f t="shared" ref="G32:K32" si="15">G6</f>
        <v>43131</v>
      </c>
      <c r="H32" s="1446">
        <f t="shared" si="15"/>
        <v>43496</v>
      </c>
      <c r="I32" s="1446">
        <f t="shared" si="15"/>
        <v>43861</v>
      </c>
      <c r="J32" s="1446">
        <f t="shared" si="15"/>
        <v>44227</v>
      </c>
      <c r="K32" s="1446">
        <f t="shared" si="15"/>
        <v>44592</v>
      </c>
      <c r="L32" s="1447"/>
      <c r="M32" s="1446"/>
      <c r="N32" s="1446">
        <f>N6</f>
        <v>44592</v>
      </c>
      <c r="O32" s="1448" t="str">
        <f>IFERROR(YEAR(F32) &amp; "-" &amp; YEAR(K32),"NM")</f>
        <v>2017-2022</v>
      </c>
      <c r="P32" s="562"/>
      <c r="R32" s="562"/>
      <c r="S32" s="562"/>
      <c r="T32" s="562"/>
      <c r="U32" s="562"/>
      <c r="V32" s="562"/>
      <c r="W32" s="562"/>
      <c r="X32" s="562"/>
      <c r="Y32" s="562"/>
      <c r="Z32" s="562"/>
      <c r="AA32" s="562"/>
      <c r="AB32" s="562"/>
      <c r="AC32" s="562"/>
      <c r="AD32" s="562"/>
    </row>
    <row r="33" spans="1:30" ht="4.5" customHeight="1" x14ac:dyDescent="0.2">
      <c r="A33" s="654"/>
      <c r="B33" s="893"/>
      <c r="C33" s="1088"/>
      <c r="D33" s="892"/>
      <c r="E33" s="892"/>
      <c r="F33" s="892"/>
      <c r="G33" s="892"/>
      <c r="H33" s="1089"/>
      <c r="I33" s="1090"/>
      <c r="J33" s="1090"/>
      <c r="K33" s="1091"/>
      <c r="L33" s="893"/>
      <c r="M33" s="1092"/>
      <c r="N33" s="1092"/>
      <c r="O33" s="1092"/>
      <c r="P33" s="562"/>
      <c r="R33" s="562"/>
      <c r="S33" s="562"/>
      <c r="T33" s="562"/>
      <c r="U33" s="562"/>
      <c r="V33" s="562"/>
      <c r="W33" s="562"/>
      <c r="X33" s="562"/>
      <c r="Y33" s="562"/>
      <c r="Z33" s="562"/>
      <c r="AA33" s="562"/>
      <c r="AB33" s="562"/>
      <c r="AC33" s="562"/>
      <c r="AD33" s="562"/>
    </row>
    <row r="34" spans="1:30" x14ac:dyDescent="0.2">
      <c r="B34" s="1343" t="s">
        <v>986</v>
      </c>
      <c r="C34" s="1093"/>
      <c r="D34" s="1093"/>
      <c r="E34" s="1094"/>
      <c r="F34" s="1094"/>
      <c r="G34" s="1094"/>
      <c r="H34" s="1094"/>
      <c r="I34" s="1094"/>
      <c r="J34" s="1094"/>
      <c r="K34" s="1095"/>
      <c r="L34" s="1095"/>
      <c r="M34" s="1095"/>
      <c r="N34" s="1094"/>
      <c r="O34" s="1094"/>
      <c r="P34" s="562"/>
      <c r="R34" s="562"/>
      <c r="S34" s="562"/>
      <c r="T34" s="562"/>
      <c r="U34" s="562"/>
      <c r="V34" s="562"/>
      <c r="W34" s="562"/>
      <c r="X34" s="562"/>
      <c r="Y34" s="562"/>
      <c r="Z34" s="562"/>
      <c r="AA34" s="562"/>
      <c r="AB34" s="562"/>
      <c r="AC34" s="562"/>
      <c r="AD34" s="562"/>
    </row>
    <row r="35" spans="1:30" x14ac:dyDescent="0.2">
      <c r="B35" s="1344" t="s">
        <v>987</v>
      </c>
      <c r="C35" s="663" t="s">
        <v>391</v>
      </c>
      <c r="D35" s="676"/>
      <c r="E35" s="737">
        <f>IFERROR(IF(ABS(_xll.ciqfunctions.udf.CIQ($B$1,$C35,E$1,$D$1,$C$2,$D$2,$C$1))&gt;=$R$2*100,"NA",_xll.ciqfunctions.udf.CIQ($B$1,$C35,E$1,$D$1,$C$2,$D$2,$C$1)/100),"NM")</f>
        <v>7.4754000000000001E-2</v>
      </c>
      <c r="F35" s="969">
        <f>IFERROR(IF(ABS(_xll.ciqfunctions.udf.CIQ($B$1,$C35,F$1,$D$1,$C$2,$D$2,$C$1))&gt;=$R$2*100,"NA",_xll.ciqfunctions.udf.CIQ($B$1,$C35,F$1,$D$1,$C$2,$D$2,$C$1)/100),"NM")</f>
        <v>7.1421999999999999E-2</v>
      </c>
      <c r="G35" s="969">
        <f>IFERROR(IF(ABS(_xll.ciqfunctions.udf.CIQ($B$1,$C35,G$1,$D$1,$C$2,$D$2,$C$1))&gt;=$R$2*100,"NA",_xll.ciqfunctions.udf.CIQ($B$1,$C35,G$1,$D$1,$C$2,$D$2,$C$1)/100),"NM")</f>
        <v>6.4884999999999998E-2</v>
      </c>
      <c r="H35" s="969">
        <f>IFERROR(IF(ABS(_xll.ciqfunctions.udf.CIQ($B$1,$C35,H$1,$D$1,$C$2,$D$2,$C$1))&gt;=$R$2*100,"NA",_xll.ciqfunctions.udf.CIQ($B$1,$C35,H$1,$D$1,$C$2,$D$2,$C$1)/100),"NM")</f>
        <v>6.4758999999999997E-2</v>
      </c>
      <c r="I35" s="969">
        <f>IFERROR(IF(ABS(_xll.ciqfunctions.udf.CIQ($B$1,$C35,I$1,$D$1,$C$2,$D$2,$C$1))&gt;=$R$2*100,"NA",_xll.ciqfunctions.udf.CIQ($B$1,$C35,I$1,$D$1,$C$2,$D$2,$C$1)/100),"NM")</f>
        <v>5.8875000000000004E-2</v>
      </c>
      <c r="J35" s="969">
        <f>IFERROR(IF(ABS(_xll.ciqfunctions.udf.CIQ($B$1,$C35,J$1,$D$1,$C$2,$D$2,$C$1))&gt;=$R$2*100,"NA",_xll.ciqfunctions.udf.CIQ($B$1,$C35,J$1,$D$1,$C$2,$D$2,$C$1)/100),"NM")</f>
        <v>6.8886000000000003E-2</v>
      </c>
      <c r="K35" s="969">
        <f>IFERROR(IF(ABS(_xll.ciqfunctions.udf.CIQ($B$1,$C35,K$1,$D$1,$C$2,$D$2,$C$1))&gt;=$R$2*100,"NA",_xll.ciqfunctions.udf.CIQ($B$1,$C35,K$1,$D$1,$C$2,$D$2,$C$1)/100),"NM")</f>
        <v>6.5198999999999993E-2</v>
      </c>
      <c r="L35" s="1096"/>
      <c r="M35" s="969">
        <f>IFERROR(IF(ABS(_xll.ciqfunctions.udf.CIQ($B$1,$C35,M$1,$D$1,$C$2,$D$2,$C$1))&gt;=$R$2*100,"NA",_xll.ciqfunctions.udf.CIQ($B$1,$C35,M$1,$D$1,$C$2,$D$2,$C$1)/100),"NM")</f>
        <v>6.8886000000000003E-2</v>
      </c>
      <c r="N35" s="969">
        <f>IFERROR(IF(ABS(_xll.ciqfunctions.udf.CIQ($B$1,$C35,N$1,$D$1,$C$2,$D$2,$C$1))&gt;=$R$2*100,"NA",_xll.ciqfunctions.udf.CIQ($B$1,$C35,N$1,$D$1,$C$2,$D$2,$C$1)/100),"NM")</f>
        <v>6.5198999999999993E-2</v>
      </c>
      <c r="O35" s="1087">
        <f>IFERROR(IF(OR(F35&lt;=0,K35&lt;=0),"NM",(K35/F35)^(1/5)-1),"NM")</f>
        <v>-1.8067158766149727E-2</v>
      </c>
      <c r="P35" s="562"/>
      <c r="R35" s="562"/>
      <c r="S35" s="562"/>
      <c r="T35" s="562"/>
      <c r="U35" s="562"/>
      <c r="V35" s="562"/>
      <c r="W35" s="562"/>
      <c r="X35" s="562"/>
      <c r="Y35" s="562"/>
      <c r="Z35" s="562"/>
      <c r="AA35" s="562"/>
      <c r="AB35" s="562"/>
      <c r="AC35" s="562"/>
      <c r="AD35" s="562"/>
    </row>
    <row r="36" spans="1:30" x14ac:dyDescent="0.2">
      <c r="B36" s="1344" t="s">
        <v>531</v>
      </c>
      <c r="C36" s="663" t="s">
        <v>617</v>
      </c>
      <c r="D36" s="676"/>
      <c r="E36" s="737">
        <f>IFERROR(IF(ABS(_xll.ciqfunctions.udf.CIQ($B$1,$C36,E$1,$D$1,$C$2,$D$2,$C$1))&gt;=$R$2*100,"NA",_xll.ciqfunctions.udf.CIQ($B$1,$C36,E$1,$D$1,$C$2,$D$2,$C$1)/100),"NM")</f>
        <v>0.11114599999999999</v>
      </c>
      <c r="F36" s="969">
        <f>IFERROR(IF(ABS(_xll.ciqfunctions.udf.CIQ($B$1,$C36,F$1,$D$1,$C$2,$D$2,$C$1))&gt;=$R$2*100,"NA",_xll.ciqfunctions.udf.CIQ($B$1,$C36,F$1,$D$1,$C$2,$D$2,$C$1)/100),"NM")</f>
        <v>0.10882</v>
      </c>
      <c r="G36" s="969">
        <f>IFERROR(IF(ABS(_xll.ciqfunctions.udf.CIQ($B$1,$C36,G$1,$D$1,$C$2,$D$2,$C$1))&gt;=$R$2*100,"NA",_xll.ciqfunctions.udf.CIQ($B$1,$C36,G$1,$D$1,$C$2,$D$2,$C$1)/100),"NM")</f>
        <v>0.10279400000000001</v>
      </c>
      <c r="H36" s="969">
        <f>IFERROR(IF(ABS(_xll.ciqfunctions.udf.CIQ($B$1,$C36,H$1,$D$1,$C$2,$D$2,$C$1))&gt;=$R$2*100,"NA",_xll.ciqfunctions.udf.CIQ($B$1,$C36,H$1,$D$1,$C$2,$D$2,$C$1)/100),"NM")</f>
        <v>0.10334</v>
      </c>
      <c r="I36" s="969">
        <f>IFERROR(IF(ABS(_xll.ciqfunctions.udf.CIQ($B$1,$C36,I$1,$D$1,$C$2,$D$2,$C$1))&gt;=$R$2*100,"NA",_xll.ciqfunctions.udf.CIQ($B$1,$C36,I$1,$D$1,$C$2,$D$2,$C$1)/100),"NM")</f>
        <v>9.1656999999999988E-2</v>
      </c>
      <c r="J36" s="969">
        <f>IFERROR(IF(ABS(_xll.ciqfunctions.udf.CIQ($B$1,$C36,J$1,$D$1,$C$2,$D$2,$C$1))&gt;=$R$2*100,"NA",_xll.ciqfunctions.udf.CIQ($B$1,$C36,J$1,$D$1,$C$2,$D$2,$C$1)/100),"NM")</f>
        <v>0.11013400000000001</v>
      </c>
      <c r="K36" s="969">
        <f>IFERROR(IF(ABS(_xll.ciqfunctions.udf.CIQ($B$1,$C36,K$1,$D$1,$C$2,$D$2,$C$1))&gt;=$R$2*100,"NA",_xll.ciqfunctions.udf.CIQ($B$1,$C36,K$1,$D$1,$C$2,$D$2,$C$1)/100),"NM")</f>
        <v>0.107561</v>
      </c>
      <c r="L36" s="1096"/>
      <c r="M36" s="969">
        <f>IFERROR(IF(ABS(_xll.ciqfunctions.udf.CIQ($B$1,$C36,M$1,$D$1,$C$2,$D$2,$C$1))&gt;=$R$2*100,"NA",_xll.ciqfunctions.udf.CIQ($B$1,$C36,M$1,$D$1,$C$2,$D$2,$C$1)/100),"NM")</f>
        <v>0.11013400000000001</v>
      </c>
      <c r="N36" s="969">
        <f>IFERROR(IF(ABS(_xll.ciqfunctions.udf.CIQ($B$1,$C36,N$1,$D$1,$C$2,$D$2,$C$1))&gt;=$R$2*100,"NA",_xll.ciqfunctions.udf.CIQ($B$1,$C36,N$1,$D$1,$C$2,$D$2,$C$1)/100),"NM")</f>
        <v>0.107561</v>
      </c>
      <c r="O36" s="1087">
        <f>IFERROR(IF(OR(F36&lt;=0,K36&lt;=0),"NM",(K36/F36)^(1/5)-1),"NM")</f>
        <v>-2.3246962114999992E-3</v>
      </c>
      <c r="P36" s="562"/>
      <c r="R36" s="562"/>
      <c r="S36" s="562"/>
      <c r="T36" s="562"/>
      <c r="U36" s="562"/>
      <c r="V36" s="562"/>
      <c r="W36" s="562"/>
      <c r="X36" s="562"/>
      <c r="Y36" s="562"/>
      <c r="Z36" s="562"/>
      <c r="AA36" s="562"/>
      <c r="AB36" s="562"/>
      <c r="AC36" s="562"/>
      <c r="AD36" s="562"/>
    </row>
    <row r="37" spans="1:30" x14ac:dyDescent="0.2">
      <c r="B37" s="1344" t="s">
        <v>530</v>
      </c>
      <c r="C37" s="663" t="s">
        <v>392</v>
      </c>
      <c r="D37" s="676"/>
      <c r="E37" s="737">
        <f>IFERROR(IF(ABS(_xll.ciqfunctions.udf.CIQ($B$1,$C37,E$1,$D$1,$C$2,$D$2,$C$1))&gt;=$R$2*100,"NA",_xll.ciqfunctions.udf.CIQ($B$1,$C37,E$1,$D$1,$C$2,$D$2,$C$1)/100),"NM")</f>
        <v>0.17788399999999999</v>
      </c>
      <c r="F37" s="969">
        <f>IFERROR(IF(ABS(_xll.ciqfunctions.udf.CIQ($B$1,$C37,F$1,$D$1,$C$2,$D$2,$C$1))&gt;=$R$2*100,"NA",_xll.ciqfunctions.udf.CIQ($B$1,$C37,F$1,$D$1,$C$2,$D$2,$C$1)/100),"NM")</f>
        <v>0.174149</v>
      </c>
      <c r="G37" s="969">
        <f>IFERROR(IF(ABS(_xll.ciqfunctions.udf.CIQ($B$1,$C37,G$1,$D$1,$C$2,$D$2,$C$1))&gt;=$R$2*100,"NA",_xll.ciqfunctions.udf.CIQ($B$1,$C37,G$1,$D$1,$C$2,$D$2,$C$1)/100),"NM")</f>
        <v>0.13043100000000002</v>
      </c>
      <c r="H37" s="969">
        <f>IFERROR(IF(ABS(_xll.ciqfunctions.udf.CIQ($B$1,$C37,H$1,$D$1,$C$2,$D$2,$C$1))&gt;=$R$2*100,"NA",_xll.ciqfunctions.udf.CIQ($B$1,$C37,H$1,$D$1,$C$2,$D$2,$C$1)/100),"NM")</f>
        <v>8.9482000000000006E-2</v>
      </c>
      <c r="I37" s="969">
        <f>IFERROR(IF(ABS(_xll.ciqfunctions.udf.CIQ($B$1,$C37,I$1,$D$1,$C$2,$D$2,$C$1))&gt;=$R$2*100,"NA",_xll.ciqfunctions.udf.CIQ($B$1,$C37,I$1,$D$1,$C$2,$D$2,$C$1)/100),"NM")</f>
        <v>0.188614</v>
      </c>
      <c r="J37" s="969">
        <f>IFERROR(IF(ABS(_xll.ciqfunctions.udf.CIQ($B$1,$C37,J$1,$D$1,$C$2,$D$2,$C$1))&gt;=$R$2*100,"NA",_xll.ciqfunctions.udf.CIQ($B$1,$C37,J$1,$D$1,$C$2,$D$2,$C$1)/100),"NM")</f>
        <v>0.16212099999999999</v>
      </c>
      <c r="K37" s="969">
        <f>IFERROR(IF(ABS(_xll.ciqfunctions.udf.CIQ($B$1,$C37,K$1,$D$1,$C$2,$D$2,$C$1))&gt;=$R$2*100,"NA",_xll.ciqfunctions.udf.CIQ($B$1,$C37,K$1,$D$1,$C$2,$D$2,$C$1)/100),"NM")</f>
        <v>0.155387</v>
      </c>
      <c r="L37" s="1096"/>
      <c r="M37" s="969">
        <f>IFERROR(IF(ABS(_xll.ciqfunctions.udf.CIQ($B$1,$C37,M$1,$D$1,$C$2,$D$2,$C$1))&gt;=$R$2*100,"NA",_xll.ciqfunctions.udf.CIQ($B$1,$C37,M$1,$D$1,$C$2,$D$2,$C$1)/100),"NM")</f>
        <v>0.16212099999999999</v>
      </c>
      <c r="N37" s="969">
        <f>IFERROR(IF(ABS(_xll.ciqfunctions.udf.CIQ($B$1,$C37,N$1,$D$1,$C$2,$D$2,$C$1))&gt;=$R$2*100,"NA",_xll.ciqfunctions.udf.CIQ($B$1,$C37,N$1,$D$1,$C$2,$D$2,$C$1)/100),"NM")</f>
        <v>0.155387</v>
      </c>
      <c r="O37" s="1087">
        <f>IFERROR(IF(OR(F37&lt;=0,K37&lt;=0),"NM",(K37/F37)^(1/5)-1),"NM")</f>
        <v>-2.2540573160599764E-2</v>
      </c>
      <c r="P37" s="562"/>
      <c r="R37" s="562"/>
      <c r="S37" s="562"/>
      <c r="T37" s="562"/>
      <c r="U37" s="562"/>
      <c r="V37" s="562"/>
      <c r="W37" s="562"/>
      <c r="X37" s="562"/>
      <c r="Y37" s="562"/>
      <c r="Z37" s="562"/>
      <c r="AA37" s="562"/>
      <c r="AB37" s="562"/>
      <c r="AC37" s="562"/>
      <c r="AD37" s="562"/>
    </row>
    <row r="38" spans="1:30" s="566" customFormat="1" ht="4.5" customHeight="1" x14ac:dyDescent="0.2">
      <c r="A38" s="557"/>
      <c r="B38" s="1345"/>
      <c r="C38" s="1088"/>
      <c r="D38" s="1098"/>
      <c r="E38" s="735"/>
      <c r="F38" s="735"/>
      <c r="G38" s="735"/>
      <c r="H38" s="735"/>
      <c r="I38" s="735"/>
      <c r="J38" s="735"/>
      <c r="K38" s="1099"/>
      <c r="L38" s="1099"/>
      <c r="M38" s="1099"/>
      <c r="N38" s="735"/>
      <c r="O38" s="735"/>
      <c r="P38" s="562"/>
      <c r="R38" s="562"/>
      <c r="S38" s="562"/>
      <c r="T38" s="562"/>
      <c r="U38" s="562"/>
      <c r="V38" s="562"/>
      <c r="W38" s="562"/>
      <c r="X38" s="562"/>
      <c r="Y38" s="562"/>
      <c r="Z38" s="562"/>
      <c r="AA38" s="562"/>
      <c r="AB38" s="562"/>
      <c r="AC38" s="562"/>
      <c r="AD38" s="562"/>
    </row>
    <row r="39" spans="1:30" x14ac:dyDescent="0.2">
      <c r="B39" s="1343" t="s">
        <v>988</v>
      </c>
      <c r="C39" s="1100"/>
      <c r="D39" s="1101"/>
      <c r="E39" s="1102"/>
      <c r="F39" s="1102"/>
      <c r="G39" s="1102"/>
      <c r="H39" s="1102"/>
      <c r="I39" s="1102"/>
      <c r="J39" s="1102"/>
      <c r="K39" s="1103"/>
      <c r="L39" s="1103"/>
      <c r="M39" s="1103"/>
      <c r="N39" s="1102"/>
      <c r="O39" s="736"/>
      <c r="P39" s="562"/>
      <c r="R39" s="562"/>
      <c r="S39" s="562"/>
      <c r="T39" s="562"/>
      <c r="U39" s="562"/>
      <c r="V39" s="562"/>
      <c r="W39" s="562"/>
      <c r="X39" s="562"/>
      <c r="Y39" s="562"/>
      <c r="Z39" s="562"/>
      <c r="AA39" s="562"/>
      <c r="AB39" s="562"/>
      <c r="AC39" s="562"/>
      <c r="AD39" s="562"/>
    </row>
    <row r="40" spans="1:30" x14ac:dyDescent="0.2">
      <c r="A40" s="566"/>
      <c r="B40" s="1344" t="s">
        <v>966</v>
      </c>
      <c r="C40" s="663"/>
      <c r="D40" s="1104"/>
      <c r="E40" s="1104">
        <f>E12</f>
        <v>0.25127247837720118</v>
      </c>
      <c r="F40" s="1104">
        <f t="shared" ref="F40:K40" si="16">F12</f>
        <v>0.25648060295591646</v>
      </c>
      <c r="G40" s="1104">
        <f t="shared" si="16"/>
        <v>0.25371994811559273</v>
      </c>
      <c r="H40" s="1104">
        <f t="shared" si="16"/>
        <v>0.25097734275522204</v>
      </c>
      <c r="I40" s="1104">
        <f t="shared" si="16"/>
        <v>0.24688528219495995</v>
      </c>
      <c r="J40" s="1104">
        <f t="shared" si="16"/>
        <v>0.24829786587165184</v>
      </c>
      <c r="K40" s="1104">
        <f t="shared" si="16"/>
        <v>0.25098733487675334</v>
      </c>
      <c r="L40" s="1096"/>
      <c r="M40" s="1104">
        <f>M12</f>
        <v>0.24829786587165184</v>
      </c>
      <c r="N40" s="1104">
        <f>N12</f>
        <v>0.25098733487675334</v>
      </c>
      <c r="O40" s="1087">
        <f>IFERROR(IF(OR(F40&lt;=0,K40&lt;=0),"NM",(K40/F40)^(1/5)-1),"NM")</f>
        <v>-4.320750690784303E-3</v>
      </c>
      <c r="P40" s="562"/>
      <c r="R40" s="562"/>
      <c r="S40" s="562"/>
      <c r="T40" s="562"/>
      <c r="U40" s="562"/>
      <c r="V40" s="562"/>
      <c r="W40" s="562"/>
      <c r="X40" s="562"/>
      <c r="Y40" s="562"/>
      <c r="Z40" s="562"/>
      <c r="AA40" s="562"/>
      <c r="AB40" s="562"/>
      <c r="AC40" s="562"/>
      <c r="AD40" s="562"/>
    </row>
    <row r="41" spans="1:30" x14ac:dyDescent="0.2">
      <c r="B41" s="1344" t="s">
        <v>989</v>
      </c>
      <c r="C41" s="1096" t="s">
        <v>1064</v>
      </c>
      <c r="D41" s="676"/>
      <c r="E41" s="676">
        <f>IFERROR(IF(ABS(_xll.ciqfunctions.udf.CIQ($B$1,$C41,E$1,$D$1,$C$2,$D$2,$C$1)/E$7)&gt;=$R$2,"NA",_xll.ciqfunctions.udf.CIQ($B$1,$C41,E$1,$D$1,$C$2,$D$2,$C$1)/E$7),"NA")</f>
        <v>0.20127558957127745</v>
      </c>
      <c r="F41" s="676">
        <f>IFERROR(IF(ABS(_xll.ciqfunctions.udf.CIQ($B$1,$C41,F$1,$D$1,$C$2,$D$2,$C$1)/F$7)&gt;=$R$2,"NA",_xll.ciqfunctions.udf.CIQ($B$1,$C41,F$1,$D$1,$C$2,$D$2,$C$1)/F$7),"NA")</f>
        <v>0.20962885363047545</v>
      </c>
      <c r="G41" s="676">
        <f>IFERROR(IF(ABS(_xll.ciqfunctions.udf.CIQ($B$1,$C41,G$1,$D$1,$C$2,$D$2,$C$1)/G$7)&gt;=$R$2,"NA",_xll.ciqfunctions.udf.CIQ($B$1,$C41,G$1,$D$1,$C$2,$D$2,$C$1)/G$7),"NA")</f>
        <v>0.21187465398736466</v>
      </c>
      <c r="H41" s="676">
        <f>IFERROR(IF(ABS(_xll.ciqfunctions.udf.CIQ($B$1,$C41,H$1,$D$1,$C$2,$D$2,$C$1)/H$7)&gt;=$R$2,"NA",_xll.ciqfunctions.udf.CIQ($B$1,$C41,H$1,$D$1,$C$2,$D$2,$C$1)/H$7),"NA")</f>
        <v>0.20829307646698614</v>
      </c>
      <c r="I41" s="676">
        <f>IFERROR(IF(ABS(_xll.ciqfunctions.udf.CIQ($B$1,$C41,I$1,$D$1,$C$2,$D$2,$C$1)/I$7)&gt;=$R$2,"NA",_xll.ciqfunctions.udf.CIQ($B$1,$C41,I$1,$D$1,$C$2,$D$2,$C$1)/I$7),"NA")</f>
        <v>0.20591300165660237</v>
      </c>
      <c r="J41" s="676">
        <f>IFERROR(IF(ABS(_xll.ciqfunctions.udf.CIQ($B$1,$C41,J$1,$D$1,$C$2,$D$2,$C$1)/J$7)&gt;=$R$2,"NA",_xll.ciqfunctions.udf.CIQ($B$1,$C41,J$1,$D$1,$C$2,$D$2,$C$1)/J$7),"NA")</f>
        <v>0.20010337100353928</v>
      </c>
      <c r="K41" s="676">
        <f>IFERROR(IF(ABS(_xll.ciqfunctions.udf.CIQ($B$1,$C41,K$1,$D$1,$C$2,$D$2,$C$1)/K$7)&gt;=$R$2,"NA",_xll.ciqfunctions.udf.CIQ($B$1,$C41,K$1,$D$1,$C$2,$D$2,$C$1)/K$7),"NA")</f>
        <v>0.20569389301515137</v>
      </c>
      <c r="L41" s="1096"/>
      <c r="M41" s="676">
        <f>IFERROR(IF(ABS(_xll.ciqfunctions.udf.CIQ($B$1,$C41,M$1,$D$1,$C$2,$D$2,$C$1)/M$7)&gt;=$R$2,"NA",_xll.ciqfunctions.udf.CIQ($B$1,$C41,M$1,$D$1,$C$2,$D$2,$C$1)/M$7),"NA")</f>
        <v>0.20010337100353928</v>
      </c>
      <c r="N41" s="676">
        <f>IFERROR(IF(ABS(_xll.ciqfunctions.udf.CIQ($B$1,$C41,N$1,$D$1,$C$2,$D$2,$C$1)/N$7)&gt;=$R$2,"NA",_xll.ciqfunctions.udf.CIQ($B$1,$C41,N$1,$D$1,$C$2,$D$2,$C$1)/N$7),"NA")</f>
        <v>0.20569389301515137</v>
      </c>
      <c r="O41" s="1087">
        <f>IFERROR(IF(OR(F41&lt;=0,K41&lt;=0),"NM",(K41/F41)^(1/5)-1),"NM")</f>
        <v>-3.7827265957841583E-3</v>
      </c>
      <c r="P41" s="562"/>
      <c r="R41" s="562"/>
      <c r="S41" s="562"/>
      <c r="T41" s="562"/>
      <c r="U41" s="562"/>
      <c r="V41" s="562"/>
      <c r="W41" s="562"/>
      <c r="X41" s="562"/>
      <c r="Y41" s="562"/>
      <c r="Z41" s="562"/>
      <c r="AA41" s="562"/>
      <c r="AB41" s="562"/>
      <c r="AC41" s="562"/>
      <c r="AD41" s="562"/>
    </row>
    <row r="42" spans="1:30" x14ac:dyDescent="0.2">
      <c r="B42" s="1344" t="s">
        <v>971</v>
      </c>
      <c r="C42" s="1096" t="s">
        <v>1065</v>
      </c>
      <c r="D42" s="676"/>
      <c r="E42" s="737">
        <f>IFERROR(IF(ABS(_xll.ciqfunctions.udf.CIQ($B$1,$C42,E$1,$D$1,$C$2,$D$2,$C$1))&gt;=$R$2*100,"NA",_xll.ciqfunctions.udf.CIQ($B$1,$C42,E$1,$D$1,$C$2,$D$2,$C$1)/100),"NA")</f>
        <v>6.9605E-2</v>
      </c>
      <c r="F42" s="969">
        <f>IFERROR(IF(ABS(_xll.ciqfunctions.udf.CIQ($B$1,$C42,F$1,$D$1,$C$2,$D$2,$C$1))&gt;=$R$2*100,"NA",_xll.ciqfunctions.udf.CIQ($B$1,$C42,F$1,$D$1,$C$2,$D$2,$C$1)/100),"NA")</f>
        <v>6.759699999999999E-2</v>
      </c>
      <c r="G42" s="969">
        <f>IFERROR(IF(ABS(_xll.ciqfunctions.udf.CIQ($B$1,$C42,G$1,$D$1,$C$2,$D$2,$C$1))&gt;=$R$2*100,"NA",_xll.ciqfunctions.udf.CIQ($B$1,$C42,G$1,$D$1,$C$2,$D$2,$C$1)/100),"NA")</f>
        <v>6.2887999999999999E-2</v>
      </c>
      <c r="H42" s="969">
        <f>IFERROR(IF(ABS(_xll.ciqfunctions.udf.CIQ($B$1,$C42,H$1,$D$1,$C$2,$D$2,$C$1))&gt;=$R$2*100,"NA",_xll.ciqfunctions.udf.CIQ($B$1,$C42,H$1,$D$1,$C$2,$D$2,$C$1)/100),"NA")</f>
        <v>6.3441999999999998E-2</v>
      </c>
      <c r="I42" s="969">
        <f>IFERROR(IF(ABS(_xll.ciqfunctions.udf.CIQ($B$1,$C42,I$1,$D$1,$C$2,$D$2,$C$1))&gt;=$R$2*100,"NA",_xll.ciqfunctions.udf.CIQ($B$1,$C42,I$1,$D$1,$C$2,$D$2,$C$1)/100),"NA")</f>
        <v>6.1940999999999996E-2</v>
      </c>
      <c r="J42" s="969">
        <f>IFERROR(IF(ABS(_xll.ciqfunctions.udf.CIQ($B$1,$C42,J$1,$D$1,$C$2,$D$2,$C$1))&gt;=$R$2*100,"NA",_xll.ciqfunctions.udf.CIQ($B$1,$C42,J$1,$D$1,$C$2,$D$2,$C$1)/100),"NA")</f>
        <v>6.8139000000000005E-2</v>
      </c>
      <c r="K42" s="969">
        <f>IFERROR(IF(ABS(_xll.ciqfunctions.udf.CIQ($B$1,$C42,K$1,$D$1,$C$2,$D$2,$C$1))&gt;=$R$2*100,"NA",_xll.ciqfunctions.udf.CIQ($B$1,$C42,K$1,$D$1,$C$2,$D$2,$C$1)/100),"NA")</f>
        <v>6.3900999999999999E-2</v>
      </c>
      <c r="L42" s="1096"/>
      <c r="M42" s="969">
        <f>IFERROR(IF(ABS(_xll.ciqfunctions.udf.CIQ($B$1,$C42,M$1,$D$1,$C$2,$D$2,$C$1))&gt;=$R$2*100,"NA",_xll.ciqfunctions.udf.CIQ($B$1,$C42,M$1,$D$1,$C$2,$D$2,$C$1)/100),"NA")</f>
        <v>6.8139000000000005E-2</v>
      </c>
      <c r="N42" s="969">
        <f>IFERROR(IF(ABS(_xll.ciqfunctions.udf.CIQ($B$1,$C42,N$1,$D$1,$C$2,$D$2,$C$1))&gt;=$R$2*100,"NA",_xll.ciqfunctions.udf.CIQ($B$1,$C42,N$1,$D$1,$C$2,$D$2,$C$1)/100),"NA")</f>
        <v>6.3900999999999999E-2</v>
      </c>
      <c r="O42" s="1087">
        <f>IFERROR(IF(OR(F42&lt;=0,K42&lt;=0),"NM",(K42/F42)^(1/5)-1),"NM")</f>
        <v>-1.1182721806836549E-2</v>
      </c>
      <c r="P42" s="562"/>
      <c r="R42" s="562"/>
      <c r="S42" s="562"/>
      <c r="T42" s="562"/>
      <c r="U42" s="562"/>
      <c r="V42" s="562"/>
      <c r="W42" s="562"/>
      <c r="X42" s="562"/>
      <c r="Y42" s="562"/>
      <c r="Z42" s="562"/>
      <c r="AA42" s="562"/>
      <c r="AB42" s="562"/>
      <c r="AC42" s="562"/>
      <c r="AD42" s="562"/>
    </row>
    <row r="43" spans="1:30" x14ac:dyDescent="0.2">
      <c r="B43" s="1346" t="s">
        <v>990</v>
      </c>
      <c r="C43" s="663" t="s">
        <v>991</v>
      </c>
      <c r="D43" s="676"/>
      <c r="E43" s="737">
        <f>IFERROR(IF(ABS(_xll.ciqfunctions.udf.CIQ($B$1,$C43,E$1,$D$1,$C$2,$D$2,$C$1))&gt;=$R$2*100,"NA",_xll.ciqfunctions.udf.CIQ($B$1,$C43,E$1,$D$1,$C$2,$D$2,$C$1)/100),"NA")</f>
        <v>3.0158000000000001E-2</v>
      </c>
      <c r="F43" s="969">
        <f>IFERROR(IF(ABS(_xll.ciqfunctions.udf.CIQ($B$1,$C43,F$1,$D$1,$C$2,$D$2,$C$1))&gt;=$R$2*100,"NA",_xll.ciqfunctions.udf.CIQ($B$1,$C43,F$1,$D$1,$C$2,$D$2,$C$1)/100),"NA")</f>
        <v>3.6861000000000005E-2</v>
      </c>
      <c r="G43" s="969">
        <f>IFERROR(IF(ABS(_xll.ciqfunctions.udf.CIQ($B$1,$C43,G$1,$D$1,$C$2,$D$2,$C$1))&gt;=$R$2*100,"NA",_xll.ciqfunctions.udf.CIQ($B$1,$C43,G$1,$D$1,$C$2,$D$2,$C$1)/100),"NA")</f>
        <v>3.2974000000000003E-2</v>
      </c>
      <c r="H43" s="969">
        <f>IFERROR(IF(ABS(_xll.ciqfunctions.udf.CIQ($B$1,$C43,H$1,$D$1,$C$2,$D$2,$C$1))&gt;=$R$2*100,"NA",_xll.ciqfunctions.udf.CIQ($B$1,$C43,H$1,$D$1,$C$2,$D$2,$C$1)/100),"NA")</f>
        <v>2.5048000000000001E-2</v>
      </c>
      <c r="I43" s="969">
        <f>IFERROR(IF(ABS(_xll.ciqfunctions.udf.CIQ($B$1,$C43,I$1,$D$1,$C$2,$D$2,$C$1))&gt;=$R$2*100,"NA",_xll.ciqfunctions.udf.CIQ($B$1,$C43,I$1,$D$1,$C$2,$D$2,$C$1)/100),"NA")</f>
        <v>2.7987999999999999E-2</v>
      </c>
      <c r="J43" s="969">
        <f>IFERROR(IF(ABS(_xll.ciqfunctions.udf.CIQ($B$1,$C43,J$1,$D$1,$C$2,$D$2,$C$1))&gt;=$R$2*100,"NA",_xll.ciqfunctions.udf.CIQ($B$1,$C43,J$1,$D$1,$C$2,$D$2,$C$1)/100),"NA")</f>
        <v>2.7305000000000003E-2</v>
      </c>
      <c r="K43" s="969">
        <f>IFERROR(IF(ABS(_xll.ciqfunctions.udf.CIQ($B$1,$C43,K$1,$D$1,$C$2,$D$2,$C$1))&gt;=$R$2*100,"NA",_xll.ciqfunctions.udf.CIQ($B$1,$C43,K$1,$D$1,$C$2,$D$2,$C$1)/100),"NA")</f>
        <v>2.5353000000000001E-2</v>
      </c>
      <c r="L43" s="1096"/>
      <c r="M43" s="969">
        <f>IFERROR(IF(ABS(_xll.ciqfunctions.udf.CIQ($B$1,$C43,M$1,$D$1,$C$2,$D$2,$C$1))&gt;=$R$2*100,"NA",_xll.ciqfunctions.udf.CIQ($B$1,$C43,M$1,$D$1,$C$2,$D$2,$C$1)/100),"NA")</f>
        <v>2.7305000000000003E-2</v>
      </c>
      <c r="N43" s="969">
        <f>IFERROR(IF(ABS(_xll.ciqfunctions.udf.CIQ($B$1,$C43,N$1,$D$1,$C$2,$D$2,$C$1))&gt;=$R$2*100,"NA",_xll.ciqfunctions.udf.CIQ($B$1,$C43,N$1,$D$1,$C$2,$D$2,$C$1)/100),"NA")</f>
        <v>2.5353000000000001E-2</v>
      </c>
      <c r="O43" s="1087">
        <f>IFERROR(IF(OR(F43&lt;=0,K43&lt;=0),"NM",(K43/F43)^(1/5)-1),"NM")</f>
        <v>-7.2118643589275777E-2</v>
      </c>
      <c r="P43" s="562"/>
      <c r="R43" s="562"/>
      <c r="S43" s="562"/>
      <c r="T43" s="562"/>
      <c r="U43" s="562"/>
      <c r="V43" s="562"/>
      <c r="W43" s="562"/>
      <c r="X43" s="562"/>
      <c r="Y43" s="562"/>
      <c r="Z43" s="562"/>
      <c r="AA43" s="562"/>
      <c r="AB43" s="562"/>
      <c r="AC43" s="562"/>
      <c r="AD43" s="562"/>
    </row>
    <row r="44" spans="1:30" x14ac:dyDescent="0.2">
      <c r="B44" s="1346" t="s">
        <v>992</v>
      </c>
      <c r="C44" s="663" t="s">
        <v>993</v>
      </c>
      <c r="D44" s="676"/>
      <c r="E44" s="737">
        <f>IFERROR(IF(ABS(_xll.ciqfunctions.udf.CIQ($B$1,$C44,E$1,$D$1,$C$2,$D$2,$C$1))&gt;=$R$2*100,"NA",_xll.ciqfunctions.udf.CIQ($B$1,$C44,E$1,$D$1,$C$2,$D$2,$C$1)/100),"NA")</f>
        <v>3.3460999999999998E-2</v>
      </c>
      <c r="F44" s="969">
        <f>IFERROR(IF(ABS(_xll.ciqfunctions.udf.CIQ($B$1,$C44,F$1,$D$1,$C$2,$D$2,$C$1))&gt;=$R$2*100,"NA",_xll.ciqfunctions.udf.CIQ($B$1,$C44,F$1,$D$1,$C$2,$D$2,$C$1)/100),"NA")</f>
        <v>3.9906000000000004E-2</v>
      </c>
      <c r="G44" s="969">
        <f>IFERROR(IF(ABS(_xll.ciqfunctions.udf.CIQ($B$1,$C44,G$1,$D$1,$C$2,$D$2,$C$1))&gt;=$R$2*100,"NA",_xll.ciqfunctions.udf.CIQ($B$1,$C44,G$1,$D$1,$C$2,$D$2,$C$1)/100),"NA")</f>
        <v>3.5883999999999999E-2</v>
      </c>
      <c r="H44" s="969">
        <f>IFERROR(IF(ABS(_xll.ciqfunctions.udf.CIQ($B$1,$C44,H$1,$D$1,$C$2,$D$2,$C$1))&gt;=$R$2*100,"NA",_xll.ciqfunctions.udf.CIQ($B$1,$C44,H$1,$D$1,$C$2,$D$2,$C$1)/100),"NA")</f>
        <v>2.7897999999999999E-2</v>
      </c>
      <c r="I44" s="969">
        <f>IFERROR(IF(ABS(_xll.ciqfunctions.udf.CIQ($B$1,$C44,I$1,$D$1,$C$2,$D$2,$C$1))&gt;=$R$2*100,"NA",_xll.ciqfunctions.udf.CIQ($B$1,$C44,I$1,$D$1,$C$2,$D$2,$C$1)/100),"NA")</f>
        <v>3.1088000000000001E-2</v>
      </c>
      <c r="J44" s="969">
        <f>IFERROR(IF(ABS(_xll.ciqfunctions.udf.CIQ($B$1,$C44,J$1,$D$1,$C$2,$D$2,$C$1))&gt;=$R$2*100,"NA",_xll.ciqfunctions.udf.CIQ($B$1,$C44,J$1,$D$1,$C$2,$D$2,$C$1)/100),"NA")</f>
        <v>2.9891999999999998E-2</v>
      </c>
      <c r="K44" s="969">
        <f>IFERROR(IF(ABS(_xll.ciqfunctions.udf.CIQ($B$1,$C44,K$1,$D$1,$C$2,$D$2,$C$1))&gt;=$R$2*100,"NA",_xll.ciqfunctions.udf.CIQ($B$1,$C44,K$1,$D$1,$C$2,$D$2,$C$1)/100),"NA")</f>
        <v>2.7528999999999998E-2</v>
      </c>
      <c r="L44" s="1096"/>
      <c r="M44" s="969">
        <f>IFERROR(IF(ABS(_xll.ciqfunctions.udf.CIQ($B$1,$C44,M$1,$D$1,$C$2,$D$2,$C$1))&gt;=$R$2*100,"NA",_xll.ciqfunctions.udf.CIQ($B$1,$C44,M$1,$D$1,$C$2,$D$2,$C$1)/100),"NA")</f>
        <v>2.9891999999999998E-2</v>
      </c>
      <c r="N44" s="969">
        <f>IFERROR(IF(ABS(_xll.ciqfunctions.udf.CIQ($B$1,$C44,N$1,$D$1,$C$2,$D$2,$C$1))&gt;=$R$2*100,"NA",_xll.ciqfunctions.udf.CIQ($B$1,$C44,N$1,$D$1,$C$2,$D$2,$C$1)/100),"NA")</f>
        <v>2.7528999999999998E-2</v>
      </c>
      <c r="O44" s="1087">
        <f>IFERROR(IF(OR(F44&lt;=0,K44&lt;=0),"NM",(K44/F44)^(1/5)-1),"NM")</f>
        <v>-7.1567258679295698E-2</v>
      </c>
      <c r="P44" s="562"/>
      <c r="R44" s="562"/>
      <c r="S44" s="562"/>
      <c r="T44" s="562"/>
      <c r="U44" s="562"/>
      <c r="V44" s="562"/>
      <c r="W44" s="562"/>
      <c r="X44" s="562"/>
      <c r="Y44" s="562"/>
      <c r="Z44" s="562"/>
      <c r="AA44" s="562"/>
      <c r="AB44" s="562"/>
      <c r="AC44" s="562"/>
      <c r="AD44" s="562"/>
    </row>
    <row r="45" spans="1:30" ht="4.5" customHeight="1" x14ac:dyDescent="0.2">
      <c r="B45" s="1345"/>
      <c r="C45" s="1088"/>
      <c r="D45" s="1098"/>
      <c r="E45" s="735"/>
      <c r="F45" s="735"/>
      <c r="G45" s="735"/>
      <c r="H45" s="735"/>
      <c r="I45" s="735"/>
      <c r="J45" s="735"/>
      <c r="K45" s="1099"/>
      <c r="L45" s="1099"/>
      <c r="M45" s="1099"/>
      <c r="N45" s="735"/>
      <c r="O45" s="735"/>
      <c r="P45" s="562"/>
      <c r="R45" s="562"/>
      <c r="S45" s="562"/>
      <c r="T45" s="562"/>
      <c r="U45" s="562"/>
      <c r="V45" s="562"/>
      <c r="W45" s="562"/>
      <c r="X45" s="562"/>
      <c r="Y45" s="562"/>
      <c r="Z45" s="562"/>
      <c r="AA45" s="562"/>
      <c r="AB45" s="562"/>
      <c r="AC45" s="562"/>
      <c r="AD45" s="562"/>
    </row>
    <row r="46" spans="1:30" x14ac:dyDescent="0.2">
      <c r="B46" s="1343" t="s">
        <v>428</v>
      </c>
      <c r="C46" s="1100"/>
      <c r="D46" s="1101"/>
      <c r="E46" s="1102"/>
      <c r="F46" s="1102"/>
      <c r="G46" s="1102"/>
      <c r="H46" s="1102"/>
      <c r="I46" s="1102"/>
      <c r="J46" s="1102"/>
      <c r="K46" s="1103"/>
      <c r="L46" s="1103"/>
      <c r="M46" s="1103"/>
      <c r="N46" s="1102"/>
      <c r="O46" s="736"/>
      <c r="P46" s="562"/>
      <c r="R46" s="562"/>
      <c r="S46" s="562"/>
      <c r="T46" s="562"/>
      <c r="U46" s="562"/>
      <c r="V46" s="562"/>
      <c r="W46" s="562"/>
      <c r="X46" s="562"/>
      <c r="Y46" s="562"/>
      <c r="Z46" s="562"/>
      <c r="AA46" s="562"/>
      <c r="AB46" s="562"/>
      <c r="AC46" s="562"/>
      <c r="AD46" s="562"/>
    </row>
    <row r="47" spans="1:30" x14ac:dyDescent="0.2">
      <c r="B47" s="1344" t="s">
        <v>36</v>
      </c>
      <c r="C47" s="1105" t="s">
        <v>381</v>
      </c>
      <c r="D47" s="569"/>
      <c r="E47" s="569">
        <f>IFERROR(_xll.ciqfunctions.udf.CIQ($B$1,$C47,E$1,$D$1,$C$2,$D$2,$C$1),"NA")</f>
        <v>2.39228</v>
      </c>
      <c r="F47" s="569">
        <f>IFERROR(_xll.ciqfunctions.udf.CIQ($B$1,$C47,F$1,$D$1,$C$2,$D$2,$C$1),"NA")</f>
        <v>2.4390800000000001</v>
      </c>
      <c r="G47" s="569">
        <f>IFERROR(_xll.ciqfunctions.udf.CIQ($B$1,$C47,G$1,$D$1,$C$2,$D$2,$C$1),"NA")</f>
        <v>2.4809600000000001</v>
      </c>
      <c r="H47" s="569">
        <f>IFERROR(_xll.ciqfunctions.udf.CIQ($B$1,$C47,H$1,$D$1,$C$2,$D$2,$C$1),"NA")</f>
        <v>2.4274900000000001</v>
      </c>
      <c r="I47" s="569">
        <f>IFERROR(_xll.ciqfunctions.udf.CIQ($B$1,$C47,I$1,$D$1,$C$2,$D$2,$C$1),"NA")</f>
        <v>2.29915</v>
      </c>
      <c r="J47" s="569">
        <f>IFERROR(_xll.ciqfunctions.udf.CIQ($B$1,$C47,J$1,$D$1,$C$2,$D$2,$C$1),"NA")</f>
        <v>2.2869600000000001</v>
      </c>
      <c r="K47" s="569">
        <f>IFERROR(_xll.ciqfunctions.udf.CIQ($B$1,$C47,K$1,$D$1,$C$2,$D$2,$C$1),"NA")</f>
        <v>2.3031999999999999</v>
      </c>
      <c r="L47" s="1106"/>
      <c r="M47" s="569">
        <f>IFERROR(_xll.ciqfunctions.udf.CIQ($B$1,$C47,M$1,$D$1,$C$2,$D$2,$C$1),"NA")</f>
        <v>2.2869600000000001</v>
      </c>
      <c r="N47" s="569">
        <f>IFERROR(_xll.ciqfunctions.udf.CIQ($B$1,$C47,N$1,$D$1,$C$2,$D$2,$C$1),"NA")</f>
        <v>2.3031999999999999</v>
      </c>
      <c r="O47" s="1087">
        <f>IFERROR(IF(OR(F47&lt;=0,K47&lt;=0),"NM",(K47/F47)^(1/5)-1),"NM")</f>
        <v>-1.1398827156225311E-2</v>
      </c>
      <c r="P47" s="562"/>
      <c r="R47" s="562"/>
      <c r="S47" s="562"/>
      <c r="T47" s="562"/>
      <c r="U47" s="562"/>
      <c r="V47" s="562"/>
      <c r="W47" s="562"/>
      <c r="X47" s="562"/>
      <c r="Y47" s="562"/>
      <c r="Z47" s="562"/>
      <c r="AA47" s="562"/>
      <c r="AB47" s="562"/>
      <c r="AC47" s="562"/>
      <c r="AD47" s="562"/>
    </row>
    <row r="48" spans="1:30" x14ac:dyDescent="0.2">
      <c r="B48" s="1344" t="s">
        <v>37</v>
      </c>
      <c r="C48" s="1105" t="s">
        <v>382</v>
      </c>
      <c r="D48" s="569"/>
      <c r="E48" s="569">
        <f>IFERROR(_xll.ciqfunctions.udf.CIQ($B$1,$C48,E$1,$D$1,$C$2,$D$2,$C$1),"NA")</f>
        <v>4.1354199999999999</v>
      </c>
      <c r="F48" s="569">
        <f>IFERROR(_xll.ciqfunctions.udf.CIQ($B$1,$C48,F$1,$D$1,$C$2,$D$2,$C$1),"NA")</f>
        <v>4.2122700000000002</v>
      </c>
      <c r="G48" s="569">
        <f>IFERROR(_xll.ciqfunctions.udf.CIQ($B$1,$C48,G$1,$D$1,$C$2,$D$2,$C$1),"NA")</f>
        <v>4.3698800000000002</v>
      </c>
      <c r="H48" s="569">
        <f>IFERROR(_xll.ciqfunctions.udf.CIQ($B$1,$C48,H$1,$D$1,$C$2,$D$2,$C$1),"NA")</f>
        <v>4.5479700000000003</v>
      </c>
      <c r="I48" s="569">
        <f>IFERROR(_xll.ciqfunctions.udf.CIQ($B$1,$C48,I$1,$D$1,$C$2,$D$2,$C$1),"NA")</f>
        <v>4.3948600000000004</v>
      </c>
      <c r="J48" s="569">
        <f>IFERROR(_xll.ciqfunctions.udf.CIQ($B$1,$C48,J$1,$D$1,$C$2,$D$2,$C$1),"NA")</f>
        <v>4.7206299999999999</v>
      </c>
      <c r="K48" s="569">
        <f>IFERROR(_xll.ciqfunctions.udf.CIQ($B$1,$C48,K$1,$D$1,$C$2,$D$2,$C$1),"NA")</f>
        <v>5.149</v>
      </c>
      <c r="L48" s="1106"/>
      <c r="M48" s="569">
        <f>IFERROR(_xll.ciqfunctions.udf.CIQ($B$1,$C48,M$1,$D$1,$C$2,$D$2,$C$1),"NA")</f>
        <v>4.7206299999999999</v>
      </c>
      <c r="N48" s="569">
        <f>IFERROR(_xll.ciqfunctions.udf.CIQ($B$1,$C48,N$1,$D$1,$C$2,$D$2,$C$1),"NA")</f>
        <v>5.149</v>
      </c>
      <c r="O48" s="1087">
        <f>IFERROR(IF(OR(F48&lt;=0,K48&lt;=0),"NM",(K48/F48)^(1/5)-1),"NM")</f>
        <v>4.097748926766176E-2</v>
      </c>
      <c r="P48" s="562"/>
      <c r="R48" s="562"/>
      <c r="S48" s="562"/>
      <c r="T48" s="562"/>
      <c r="U48" s="562"/>
      <c r="V48" s="562"/>
      <c r="W48" s="562"/>
      <c r="X48" s="562"/>
      <c r="Y48" s="562"/>
      <c r="Z48" s="562"/>
      <c r="AA48" s="562"/>
      <c r="AB48" s="562"/>
      <c r="AC48" s="562"/>
      <c r="AD48" s="562"/>
    </row>
    <row r="49" spans="2:31" x14ac:dyDescent="0.2">
      <c r="B49" s="1344" t="s">
        <v>994</v>
      </c>
      <c r="C49" s="1105" t="s">
        <v>384</v>
      </c>
      <c r="D49" s="569"/>
      <c r="E49" s="569">
        <f>IFERROR(_xll.ciqfunctions.udf.CIQ($B$1,$C49,E$1,$D$1,$C$2,$D$2,$C$1),"NA")</f>
        <v>77.750360000000001</v>
      </c>
      <c r="F49" s="569">
        <f>IFERROR(_xll.ciqfunctions.udf.CIQ($B$1,$C49,F$1,$D$1,$C$2,$D$2,$C$1),"NA")</f>
        <v>84.801990000000004</v>
      </c>
      <c r="G49" s="569">
        <f>IFERROR(_xll.ciqfunctions.udf.CIQ($B$1,$C49,G$1,$D$1,$C$2,$D$2,$C$1),"NA")</f>
        <v>87.403790000000001</v>
      </c>
      <c r="H49" s="569">
        <f>IFERROR(_xll.ciqfunctions.udf.CIQ($B$1,$C49,H$1,$D$1,$C$2,$D$2,$C$1),"NA")</f>
        <v>86.476420000000005</v>
      </c>
      <c r="I49" s="569">
        <f>IFERROR(_xll.ciqfunctions.udf.CIQ($B$1,$C49,I$1,$D$1,$C$2,$D$2,$C$1),"NA")</f>
        <v>83.387280000000004</v>
      </c>
      <c r="J49" s="569">
        <f>IFERROR(_xll.ciqfunctions.udf.CIQ($B$1,$C49,J$1,$D$1,$C$2,$D$2,$C$1),"NA")</f>
        <v>87.367339999999999</v>
      </c>
      <c r="K49" s="569">
        <f>IFERROR(_xll.ciqfunctions.udf.CIQ($B$1,$C49,K$1,$D$1,$C$2,$D$2,$C$1),"NA")</f>
        <v>77.420109999999994</v>
      </c>
      <c r="L49" s="1106"/>
      <c r="M49" s="569">
        <f>IFERROR(_xll.ciqfunctions.udf.CIQ($B$1,$C49,M$1,$D$1,$C$2,$D$2,$C$1),"NA")</f>
        <v>87.367339999999999</v>
      </c>
      <c r="N49" s="569">
        <f>IFERROR(_xll.ciqfunctions.udf.CIQ($B$1,$C49,N$1,$D$1,$C$2,$D$2,$C$1),"NA")</f>
        <v>77.420109999999994</v>
      </c>
      <c r="O49" s="1087">
        <f>IFERROR(IF(OR(F49&lt;=0,K49&lt;=0),"NM",(K49/F49)^(1/5)-1),"NM")</f>
        <v>-1.8049607500589038E-2</v>
      </c>
      <c r="P49" s="562"/>
      <c r="R49" s="562"/>
      <c r="S49" s="562"/>
      <c r="T49" s="562"/>
      <c r="U49" s="562"/>
      <c r="V49" s="562"/>
      <c r="W49" s="562"/>
      <c r="X49" s="562"/>
      <c r="Y49" s="562"/>
      <c r="Z49" s="562"/>
      <c r="AA49" s="562"/>
      <c r="AB49" s="562"/>
      <c r="AC49" s="562"/>
      <c r="AD49" s="562"/>
    </row>
    <row r="50" spans="2:31" x14ac:dyDescent="0.2">
      <c r="B50" s="1344" t="s">
        <v>44</v>
      </c>
      <c r="C50" s="1105" t="s">
        <v>383</v>
      </c>
      <c r="D50" s="569"/>
      <c r="E50" s="569">
        <f>IFERROR(_xll.ciqfunctions.udf.CIQ($B$1,$C50,E$1,$D$1,$C$2,$D$2,$C$1),"NA")</f>
        <v>8.0567799999999998</v>
      </c>
      <c r="F50" s="569">
        <f>IFERROR(_xll.ciqfunctions.udf.CIQ($B$1,$C50,F$1,$D$1,$C$2,$D$2,$C$1),"NA")</f>
        <v>8.2558600000000002</v>
      </c>
      <c r="G50" s="569">
        <f>IFERROR(_xll.ciqfunctions.udf.CIQ($B$1,$C50,G$1,$D$1,$C$2,$D$2,$C$1),"NA")</f>
        <v>8.6007200000000008</v>
      </c>
      <c r="H50" s="569">
        <f>IFERROR(_xll.ciqfunctions.udf.CIQ($B$1,$C50,H$1,$D$1,$C$2,$D$2,$C$1),"NA")</f>
        <v>8.7516700000000007</v>
      </c>
      <c r="I50" s="569">
        <f>IFERROR(_xll.ciqfunctions.udf.CIQ($B$1,$C50,I$1,$D$1,$C$2,$D$2,$C$1),"NA")</f>
        <v>8.8971199999999993</v>
      </c>
      <c r="J50" s="569">
        <f>IFERROR(_xll.ciqfunctions.udf.CIQ($B$1,$C50,J$1,$D$1,$C$2,$D$2,$C$1),"NA")</f>
        <v>9.4047000000000001</v>
      </c>
      <c r="K50" s="569">
        <f>IFERROR(_xll.ciqfunctions.udf.CIQ($B$1,$C50,K$1,$D$1,$C$2,$D$2,$C$1),"NA")</f>
        <v>8.4565300000000008</v>
      </c>
      <c r="L50" s="1106"/>
      <c r="M50" s="569">
        <f>IFERROR(_xll.ciqfunctions.udf.CIQ($B$1,$C50,M$1,$D$1,$C$2,$D$2,$C$1),"NA")</f>
        <v>9.4047000000000001</v>
      </c>
      <c r="N50" s="569">
        <f>IFERROR(_xll.ciqfunctions.udf.CIQ($B$1,$C50,N$1,$D$1,$C$2,$D$2,$C$1),"NA")</f>
        <v>8.4565300000000008</v>
      </c>
      <c r="O50" s="1087">
        <f>IFERROR(IF(OR(F50&lt;=0,K50&lt;=0),"NM",(K50/F50)^(1/5)-1),"NM")</f>
        <v>4.8146880934027969E-3</v>
      </c>
      <c r="P50" s="562"/>
      <c r="R50" s="562"/>
      <c r="S50" s="562"/>
      <c r="T50" s="562"/>
      <c r="U50" s="562"/>
      <c r="V50" s="562"/>
      <c r="W50" s="562"/>
      <c r="X50" s="562"/>
      <c r="Y50" s="562"/>
      <c r="Z50" s="562"/>
      <c r="AA50" s="562"/>
      <c r="AB50" s="562"/>
      <c r="AC50" s="562"/>
      <c r="AD50" s="562"/>
    </row>
    <row r="51" spans="2:31" ht="4.5" customHeight="1" x14ac:dyDescent="0.2">
      <c r="B51" s="1345"/>
      <c r="C51" s="1088"/>
      <c r="D51" s="1098"/>
      <c r="E51" s="735"/>
      <c r="F51" s="735"/>
      <c r="G51" s="735"/>
      <c r="H51" s="735"/>
      <c r="I51" s="735"/>
      <c r="J51" s="735"/>
      <c r="K51" s="1099"/>
      <c r="L51" s="1099"/>
      <c r="M51" s="1099"/>
      <c r="N51" s="735"/>
      <c r="O51" s="735"/>
      <c r="P51" s="562"/>
      <c r="R51" s="562"/>
      <c r="S51" s="562"/>
      <c r="T51" s="562"/>
      <c r="U51" s="562"/>
      <c r="V51" s="562"/>
      <c r="W51" s="562"/>
      <c r="X51" s="562"/>
      <c r="Y51" s="562"/>
      <c r="Z51" s="562"/>
      <c r="AA51" s="562"/>
      <c r="AB51" s="562"/>
      <c r="AC51" s="562"/>
      <c r="AD51" s="562"/>
    </row>
    <row r="52" spans="2:31" x14ac:dyDescent="0.2">
      <c r="B52" s="1343" t="s">
        <v>995</v>
      </c>
      <c r="C52" s="1100"/>
      <c r="D52" s="1101"/>
      <c r="E52" s="1102"/>
      <c r="F52" s="1102"/>
      <c r="G52" s="1102"/>
      <c r="H52" s="1102"/>
      <c r="I52" s="1102"/>
      <c r="J52" s="1102"/>
      <c r="K52" s="1103"/>
      <c r="L52" s="1103"/>
      <c r="M52" s="1103"/>
      <c r="N52" s="1102"/>
      <c r="O52" s="736"/>
      <c r="P52" s="562"/>
      <c r="R52" s="562"/>
      <c r="S52" s="562"/>
      <c r="T52" s="562"/>
      <c r="U52" s="562"/>
      <c r="V52" s="562"/>
      <c r="W52" s="562"/>
      <c r="X52" s="562"/>
      <c r="Y52" s="562"/>
      <c r="Z52" s="562"/>
      <c r="AA52" s="562"/>
      <c r="AB52" s="562"/>
      <c r="AC52" s="562"/>
      <c r="AD52" s="562"/>
    </row>
    <row r="53" spans="2:31" x14ac:dyDescent="0.2">
      <c r="B53" s="1344" t="s">
        <v>996</v>
      </c>
      <c r="C53" s="1105" t="s">
        <v>997</v>
      </c>
      <c r="D53" s="569"/>
      <c r="E53" s="569">
        <f>IFERROR(_xll.ciqfunctions.udf.CIQ($B$1,$C53,E$1,$D$1,$C$2,$D$2,$C$1),"NA")</f>
        <v>0.93222000000000005</v>
      </c>
      <c r="F53" s="569">
        <f>IFERROR(_xll.ciqfunctions.udf.CIQ($B$1,$C53,F$1,$D$1,$C$2,$D$2,$C$1),"NA")</f>
        <v>0.86195999999999995</v>
      </c>
      <c r="G53" s="569">
        <f>IFERROR(_xll.ciqfunctions.udf.CIQ($B$1,$C53,G$1,$D$1,$C$2,$D$2,$C$1),"NA")</f>
        <v>0.75985000000000003</v>
      </c>
      <c r="H53" s="569">
        <f>IFERROR(_xll.ciqfunctions.udf.CIQ($B$1,$C53,H$1,$D$1,$C$2,$D$2,$C$1),"NA")</f>
        <v>0.79891000000000001</v>
      </c>
      <c r="I53" s="569">
        <f>IFERROR(_xll.ciqfunctions.udf.CIQ($B$1,$C53,I$1,$D$1,$C$2,$D$2,$C$1),"NA")</f>
        <v>0.79452</v>
      </c>
      <c r="J53" s="569">
        <f>IFERROR(_xll.ciqfunctions.udf.CIQ($B$1,$C53,J$1,$D$1,$C$2,$D$2,$C$1),"NA")</f>
        <v>0.97216999999999998</v>
      </c>
      <c r="K53" s="569">
        <f>IFERROR(_xll.ciqfunctions.udf.CIQ($B$1,$C53,K$1,$D$1,$C$2,$D$2,$C$1),"NA")</f>
        <v>0.92779999999999996</v>
      </c>
      <c r="L53" s="1106"/>
      <c r="M53" s="569">
        <f>IFERROR(_xll.ciqfunctions.udf.CIQ($B$1,$C53,M$1,$D$1,$C$2,$D$2,$C$1),"NA")</f>
        <v>0.97216999999999998</v>
      </c>
      <c r="N53" s="569">
        <f>IFERROR(_xll.ciqfunctions.udf.CIQ($B$1,$C53,N$1,$D$1,$C$2,$D$2,$C$1),"NA")</f>
        <v>0.92779999999999996</v>
      </c>
      <c r="O53" s="1087">
        <f>IFERROR(IF(OR(F53&lt;=0,K53&lt;=0),"NM",(K53/F53)^(1/5)-1),"NM")</f>
        <v>1.4830359764598899E-2</v>
      </c>
      <c r="P53" s="562"/>
      <c r="R53" s="562"/>
      <c r="S53" s="562"/>
      <c r="T53" s="562"/>
      <c r="U53" s="562"/>
      <c r="V53" s="562"/>
      <c r="W53" s="562"/>
      <c r="X53" s="562"/>
      <c r="Y53" s="562"/>
      <c r="Z53" s="562"/>
      <c r="AA53" s="562"/>
      <c r="AB53" s="562"/>
      <c r="AC53" s="562"/>
      <c r="AD53" s="562"/>
    </row>
    <row r="54" spans="2:31" x14ac:dyDescent="0.2">
      <c r="B54" s="1344" t="s">
        <v>998</v>
      </c>
      <c r="C54" s="1105" t="s">
        <v>999</v>
      </c>
      <c r="D54" s="569"/>
      <c r="E54" s="569">
        <f>IFERROR(_xll.ciqfunctions.udf.CIQ($B$1,$C54,E$1,$D$1,$C$2,$D$2,$C$1),"NA")</f>
        <v>0.22175</v>
      </c>
      <c r="F54" s="569">
        <f>IFERROR(_xll.ciqfunctions.udf.CIQ($B$1,$C54,F$1,$D$1,$C$2,$D$2,$C$1),"NA")</f>
        <v>0.18978999999999999</v>
      </c>
      <c r="G54" s="569">
        <f>IFERROR(_xll.ciqfunctions.udf.CIQ($B$1,$C54,G$1,$D$1,$C$2,$D$2,$C$1),"NA")</f>
        <v>0.15754000000000001</v>
      </c>
      <c r="H54" s="569">
        <f>IFERROR(_xll.ciqfunctions.udf.CIQ($B$1,$C54,H$1,$D$1,$C$2,$D$2,$C$1),"NA")</f>
        <v>0.18076</v>
      </c>
      <c r="I54" s="569">
        <f>IFERROR(_xll.ciqfunctions.udf.CIQ($B$1,$C54,I$1,$D$1,$C$2,$D$2,$C$1),"NA")</f>
        <v>0.20246</v>
      </c>
      <c r="J54" s="569">
        <f>IFERROR(_xll.ciqfunctions.udf.CIQ($B$1,$C54,J$1,$D$1,$C$2,$D$2,$C$1),"NA")</f>
        <v>0.26183000000000001</v>
      </c>
      <c r="K54" s="569">
        <f>IFERROR(_xll.ciqfunctions.udf.CIQ($B$1,$C54,K$1,$D$1,$C$2,$D$2,$C$1),"NA")</f>
        <v>0.26368000000000003</v>
      </c>
      <c r="L54" s="1106"/>
      <c r="M54" s="569">
        <f>IFERROR(_xll.ciqfunctions.udf.CIQ($B$1,$C54,M$1,$D$1,$C$2,$D$2,$C$1),"NA")</f>
        <v>0.26183000000000001</v>
      </c>
      <c r="N54" s="569">
        <f>IFERROR(_xll.ciqfunctions.udf.CIQ($B$1,$C54,N$1,$D$1,$C$2,$D$2,$C$1),"NA")</f>
        <v>0.26368000000000003</v>
      </c>
      <c r="O54" s="1087">
        <f>IFERROR(IF(OR(F54&lt;=0,K54&lt;=0),"NM",(K54/F54)^(1/5)-1),"NM")</f>
        <v>6.7974228676833226E-2</v>
      </c>
      <c r="P54" s="562"/>
      <c r="R54" s="562"/>
      <c r="S54" s="562"/>
      <c r="T54" s="562"/>
      <c r="U54" s="562"/>
      <c r="V54" s="562"/>
      <c r="W54" s="562"/>
      <c r="X54" s="562"/>
      <c r="Y54" s="562"/>
      <c r="Z54" s="562"/>
      <c r="AA54" s="562"/>
      <c r="AB54" s="562"/>
      <c r="AC54" s="562"/>
      <c r="AD54" s="562"/>
    </row>
    <row r="55" spans="2:31" ht="4.5" customHeight="1" x14ac:dyDescent="0.2">
      <c r="B55" s="1345"/>
      <c r="C55" s="1088"/>
      <c r="D55" s="1098"/>
      <c r="E55" s="735"/>
      <c r="F55" s="735"/>
      <c r="G55" s="735"/>
      <c r="H55" s="735"/>
      <c r="I55" s="735"/>
      <c r="J55" s="735"/>
      <c r="K55" s="1099"/>
      <c r="L55" s="1099"/>
      <c r="M55" s="1099"/>
      <c r="N55" s="735"/>
      <c r="O55" s="735"/>
      <c r="P55" s="562"/>
      <c r="R55" s="562"/>
      <c r="S55" s="562"/>
      <c r="T55" s="562"/>
      <c r="U55" s="562"/>
      <c r="V55" s="562"/>
      <c r="W55" s="562"/>
      <c r="X55" s="562"/>
      <c r="Y55" s="562"/>
      <c r="Z55" s="562"/>
      <c r="AA55" s="562"/>
      <c r="AB55" s="562"/>
      <c r="AC55" s="562"/>
      <c r="AD55" s="562"/>
    </row>
    <row r="56" spans="2:31" x14ac:dyDescent="0.2">
      <c r="B56" s="1343" t="s">
        <v>1000</v>
      </c>
      <c r="C56" s="1100"/>
      <c r="D56" s="1101"/>
      <c r="E56" s="1102"/>
      <c r="F56" s="1102"/>
      <c r="G56" s="1102"/>
      <c r="H56" s="1102"/>
      <c r="I56" s="1102"/>
      <c r="J56" s="1102"/>
      <c r="K56" s="1103"/>
      <c r="L56" s="1103"/>
      <c r="M56" s="1103"/>
      <c r="N56" s="1102"/>
      <c r="O56" s="736"/>
      <c r="P56" s="562"/>
      <c r="R56" s="562"/>
      <c r="S56" s="562"/>
      <c r="T56" s="562"/>
      <c r="U56" s="562"/>
      <c r="V56" s="562"/>
      <c r="W56" s="562"/>
      <c r="X56" s="562"/>
      <c r="Y56" s="562"/>
      <c r="Z56" s="562"/>
      <c r="AA56" s="562"/>
      <c r="AB56" s="562"/>
      <c r="AC56" s="562"/>
      <c r="AD56" s="562"/>
    </row>
    <row r="57" spans="2:31" x14ac:dyDescent="0.2">
      <c r="B57" s="1344" t="s">
        <v>960</v>
      </c>
      <c r="C57" s="662" t="s">
        <v>616</v>
      </c>
      <c r="D57" s="676"/>
      <c r="E57" s="737">
        <f>IFERROR(IF(ABS(_xll.ciqfunctions.udf.CIQ($B$1,$C57,E$1,$D$1,$C$2,$D$2,$C$1))&gt;=$R$2*100,"NA",_xll.ciqfunctions.udf.CIQ($B$1,$C57,E$1,$D$1,$C$2,$D$2,$C$1)/100),"NA")</f>
        <v>0.60724</v>
      </c>
      <c r="F57" s="969">
        <f>IFERROR(IF(ABS(_xll.ciqfunctions.udf.CIQ($B$1,$C57,F$1,$D$1,$C$2,$D$2,$C$1))&gt;=$R$2*100,"NA",_xll.ciqfunctions.udf.CIQ($B$1,$C57,F$1,$D$1,$C$2,$D$2,$C$1)/100),"NA")</f>
        <v>0.578233</v>
      </c>
      <c r="G57" s="969">
        <f>IFERROR(IF(ABS(_xll.ciqfunctions.udf.CIQ($B$1,$C57,G$1,$D$1,$C$2,$D$2,$C$1))&gt;=$R$2*100,"NA",_xll.ciqfunctions.udf.CIQ($B$1,$C57,G$1,$D$1,$C$2,$D$2,$C$1)/100),"NA")</f>
        <v>0.57747799999999994</v>
      </c>
      <c r="H57" s="969">
        <f>IFERROR(IF(ABS(_xll.ciqfunctions.udf.CIQ($B$1,$C57,H$1,$D$1,$C$2,$D$2,$C$1))&gt;=$R$2*100,"NA",_xll.ciqfunctions.udf.CIQ($B$1,$C57,H$1,$D$1,$C$2,$D$2,$C$1)/100),"NA")</f>
        <v>0.73412099999999991</v>
      </c>
      <c r="I57" s="969">
        <f>IFERROR(IF(ABS(_xll.ciqfunctions.udf.CIQ($B$1,$C57,I$1,$D$1,$C$2,$D$2,$C$1))&gt;=$R$2*100,"NA",_xll.ciqfunctions.udf.CIQ($B$1,$C57,I$1,$D$1,$C$2,$D$2,$C$1)/100),"NA")</f>
        <v>0.89671599999999996</v>
      </c>
      <c r="J57" s="969">
        <f>IFERROR(IF(ABS(_xll.ciqfunctions.udf.CIQ($B$1,$C57,J$1,$D$1,$C$2,$D$2,$C$1))&gt;=$R$2*100,"NA",_xll.ciqfunctions.udf.CIQ($B$1,$C57,J$1,$D$1,$C$2,$D$2,$C$1)/100),"NA")</f>
        <v>0.72705600000000004</v>
      </c>
      <c r="K57" s="969">
        <f>IFERROR(IF(ABS(_xll.ciqfunctions.udf.CIQ($B$1,$C57,K$1,$D$1,$C$2,$D$2,$C$1))&gt;=$R$2*100,"NA",_xll.ciqfunctions.udf.CIQ($B$1,$C57,K$1,$D$1,$C$2,$D$2,$C$1)/100),"NA")</f>
        <v>0.63573099999999994</v>
      </c>
      <c r="L57" s="1096"/>
      <c r="M57" s="969">
        <f>IFERROR(IF(ABS(_xll.ciqfunctions.udf.CIQ($B$1,$C57,M$1,$D$1,$C$2,$D$2,$C$1))&gt;=$R$2*100,"NA",_xll.ciqfunctions.udf.CIQ($B$1,$C57,M$1,$D$1,$C$2,$D$2,$C$1)/100),"NA")</f>
        <v>0.72705600000000004</v>
      </c>
      <c r="N57" s="969">
        <f>IFERROR(IF(ABS(_xll.ciqfunctions.udf.CIQ($B$1,$C57,N$1,$D$1,$C$2,$D$2,$C$1))&gt;=$R$2*100,"NA",_xll.ciqfunctions.udf.CIQ($B$1,$C57,N$1,$D$1,$C$2,$D$2,$C$1)/100),"NA")</f>
        <v>0.63573099999999994</v>
      </c>
      <c r="O57" s="1087">
        <f>IFERROR(IF(OR(F57&lt;=0,K57&lt;=0),"NM",(K57/F57)^(1/5)-1),"NM")</f>
        <v>1.9140600122377505E-2</v>
      </c>
      <c r="P57" s="562"/>
      <c r="R57" s="562"/>
      <c r="S57" s="562"/>
      <c r="T57" s="562"/>
      <c r="U57" s="562"/>
      <c r="V57" s="562"/>
      <c r="W57" s="562"/>
      <c r="X57" s="562"/>
      <c r="Y57" s="562"/>
      <c r="Z57" s="562"/>
      <c r="AA57" s="562"/>
      <c r="AB57" s="562"/>
      <c r="AC57" s="562"/>
      <c r="AD57" s="562"/>
    </row>
    <row r="58" spans="2:31" x14ac:dyDescent="0.2">
      <c r="B58" s="1344" t="s">
        <v>529</v>
      </c>
      <c r="C58" s="662" t="s">
        <v>615</v>
      </c>
      <c r="D58" s="676"/>
      <c r="E58" s="737">
        <f>IFERROR(IF(ABS(_xll.ciqfunctions.udf.CIQ($B$1,$C58,E$1,$D$1,$C$2,$D$2,$C$1))&gt;=$R$2*100,"NA",_xll.ciqfunctions.udf.CIQ($B$1,$C58,E$1,$D$1,$C$2,$D$2,$C$1)/100),"NA")</f>
        <v>0.37781500000000001</v>
      </c>
      <c r="F58" s="969">
        <f>IFERROR(IF(ABS(_xll.ciqfunctions.udf.CIQ($B$1,$C58,F$1,$D$1,$C$2,$D$2,$C$1))&gt;=$R$2*100,"NA",_xll.ciqfunctions.udf.CIQ($B$1,$C58,F$1,$D$1,$C$2,$D$2,$C$1)/100),"NA")</f>
        <v>0.36637999999999998</v>
      </c>
      <c r="G58" s="969">
        <f>IFERROR(IF(ABS(_xll.ciqfunctions.udf.CIQ($B$1,$C58,G$1,$D$1,$C$2,$D$2,$C$1))&gt;=$R$2*100,"NA",_xll.ciqfunctions.udf.CIQ($B$1,$C58,G$1,$D$1,$C$2,$D$2,$C$1)/100),"NA")</f>
        <v>0.36607699999999999</v>
      </c>
      <c r="H58" s="969">
        <f>IFERROR(IF(ABS(_xll.ciqfunctions.udf.CIQ($B$1,$C58,H$1,$D$1,$C$2,$D$2,$C$1))&gt;=$R$2*100,"NA",_xll.ciqfunctions.udf.CIQ($B$1,$C58,H$1,$D$1,$C$2,$D$2,$C$1)/100),"NA")</f>
        <v>0.42333900000000002</v>
      </c>
      <c r="I58" s="969">
        <f>IFERROR(IF(ABS(_xll.ciqfunctions.udf.CIQ($B$1,$C58,I$1,$D$1,$C$2,$D$2,$C$1))&gt;=$R$2*100,"NA",_xll.ciqfunctions.udf.CIQ($B$1,$C58,I$1,$D$1,$C$2,$D$2,$C$1)/100),"NA")</f>
        <v>0.47277200000000003</v>
      </c>
      <c r="J58" s="969">
        <f>IFERROR(IF(ABS(_xll.ciqfunctions.udf.CIQ($B$1,$C58,J$1,$D$1,$C$2,$D$2,$C$1))&gt;=$R$2*100,"NA",_xll.ciqfunctions.udf.CIQ($B$1,$C58,J$1,$D$1,$C$2,$D$2,$C$1)/100),"NA")</f>
        <v>0.42097999999999997</v>
      </c>
      <c r="K58" s="969">
        <f>IFERROR(IF(ABS(_xll.ciqfunctions.udf.CIQ($B$1,$C58,K$1,$D$1,$C$2,$D$2,$C$1))&gt;=$R$2*100,"NA",_xll.ciqfunctions.udf.CIQ($B$1,$C58,K$1,$D$1,$C$2,$D$2,$C$1)/100),"NA")</f>
        <v>0.388652</v>
      </c>
      <c r="L58" s="1096"/>
      <c r="M58" s="969">
        <f>IFERROR(IF(ABS(_xll.ciqfunctions.udf.CIQ($B$1,$C58,M$1,$D$1,$C$2,$D$2,$C$1))&gt;=$R$2*100,"NA",_xll.ciqfunctions.udf.CIQ($B$1,$C58,M$1,$D$1,$C$2,$D$2,$C$1)/100),"NA")</f>
        <v>0.42097999999999997</v>
      </c>
      <c r="N58" s="969">
        <f>IFERROR(IF(ABS(_xll.ciqfunctions.udf.CIQ($B$1,$C58,N$1,$D$1,$C$2,$D$2,$C$1))&gt;=$R$2*100,"NA",_xll.ciqfunctions.udf.CIQ($B$1,$C58,N$1,$D$1,$C$2,$D$2,$C$1)/100),"NA")</f>
        <v>0.388652</v>
      </c>
      <c r="O58" s="1087">
        <f>IFERROR(IF(OR(F58&lt;=0,K58&lt;=0),"NM",(K58/F58)^(1/5)-1),"NM")</f>
        <v>1.1872585320060747E-2</v>
      </c>
      <c r="P58" s="562"/>
      <c r="R58" s="562"/>
      <c r="S58" s="562"/>
      <c r="T58" s="562"/>
      <c r="U58" s="562"/>
      <c r="V58" s="562"/>
      <c r="W58" s="562"/>
      <c r="X58" s="562"/>
      <c r="Y58" s="562"/>
      <c r="Z58" s="562"/>
      <c r="AA58" s="562"/>
      <c r="AB58" s="562"/>
      <c r="AC58" s="562"/>
      <c r="AD58" s="562"/>
    </row>
    <row r="59" spans="2:31" x14ac:dyDescent="0.2">
      <c r="B59" s="1344" t="s">
        <v>1001</v>
      </c>
      <c r="C59" s="675" t="s">
        <v>536</v>
      </c>
      <c r="D59" s="569"/>
      <c r="E59" s="569">
        <f>IFERROR(_xll.ciqfunctions.udf.CIQ($B$1,$C59,E$1,$D$1,$C$2,$D$2,$C$1),"NA")</f>
        <v>1.51292</v>
      </c>
      <c r="F59" s="569">
        <f>IFERROR(_xll.ciqfunctions.udf.CIQ($B$1,$C59,F$1,$D$1,$C$2,$D$2,$C$1),"NA")</f>
        <v>1.4178500000000001</v>
      </c>
      <c r="G59" s="569">
        <f>IFERROR(_xll.ciqfunctions.udf.CIQ($B$1,$C59,G$1,$D$1,$C$2,$D$2,$C$1),"NA")</f>
        <v>1.4832799999999999</v>
      </c>
      <c r="H59" s="569">
        <f>IFERROR(_xll.ciqfunctions.udf.CIQ($B$1,$C59,H$1,$D$1,$C$2,$D$2,$C$1),"NA")</f>
        <v>1.7913600000000001</v>
      </c>
      <c r="I59" s="569">
        <f>IFERROR(_xll.ciqfunctions.udf.CIQ($B$1,$C59,I$1,$D$1,$C$2,$D$2,$C$1),"NA")</f>
        <v>2.0417999999999998</v>
      </c>
      <c r="J59" s="569">
        <f>IFERROR(_xll.ciqfunctions.udf.CIQ($B$1,$C59,J$1,$D$1,$C$2,$D$2,$C$1),"NA")</f>
        <v>1.53338</v>
      </c>
      <c r="K59" s="569">
        <f>IFERROR(_xll.ciqfunctions.udf.CIQ($B$1,$C59,K$1,$D$1,$C$2,$D$2,$C$1),"NA")</f>
        <v>1.4716</v>
      </c>
      <c r="L59" s="1106"/>
      <c r="M59" s="569">
        <f>IFERROR(_xll.ciqfunctions.udf.CIQ($B$1,$C59,M$1,$D$1,$C$2,$D$2,$C$1),"NA")</f>
        <v>1.53338</v>
      </c>
      <c r="N59" s="569">
        <f>IFERROR(_xll.ciqfunctions.udf.CIQ($B$1,$C59,N$1,$D$1,$C$2,$D$2,$C$1),"NA")</f>
        <v>1.4716</v>
      </c>
      <c r="O59" s="1087">
        <f>IFERROR(IF(OR(F59&lt;=0,K59&lt;=0),"NM",(K59/F59)^(1/5)-1),"NM")</f>
        <v>7.4694793244178825E-3</v>
      </c>
      <c r="P59" s="562"/>
      <c r="R59" s="562"/>
      <c r="S59" s="562"/>
      <c r="U59" s="562"/>
      <c r="V59" s="562"/>
      <c r="W59" s="562"/>
      <c r="X59" s="562"/>
      <c r="Y59" s="562"/>
      <c r="Z59" s="562"/>
      <c r="AA59" s="562"/>
      <c r="AB59" s="562"/>
      <c r="AC59" s="562"/>
      <c r="AD59" s="562"/>
    </row>
    <row r="60" spans="2:31" x14ac:dyDescent="0.2">
      <c r="B60" s="1344" t="s">
        <v>1002</v>
      </c>
      <c r="C60" s="675" t="s">
        <v>537</v>
      </c>
      <c r="D60" s="570"/>
      <c r="E60" s="569">
        <f>IFERROR(_xll.ciqfunctions.udf.CIQ($B$1,$C60,E$1,$D$1,$C$2,$D$2,$C$1),"NA")</f>
        <v>1.25352</v>
      </c>
      <c r="F60" s="569">
        <f>IFERROR(_xll.ciqfunctions.udf.CIQ($B$1,$C60,F$1,$D$1,$C$2,$D$2,$C$1),"NA")</f>
        <v>1.2087699999999999</v>
      </c>
      <c r="G60" s="569">
        <f>IFERROR(_xll.ciqfunctions.udf.CIQ($B$1,$C60,G$1,$D$1,$C$2,$D$2,$C$1),"NA")</f>
        <v>1.26858</v>
      </c>
      <c r="H60" s="569">
        <f>IFERROR(_xll.ciqfunctions.udf.CIQ($B$1,$C60,H$1,$D$1,$C$2,$D$2,$C$1),"NA")</f>
        <v>1.55474</v>
      </c>
      <c r="I60" s="569">
        <f>IFERROR(_xll.ciqfunctions.udf.CIQ($B$1,$C60,I$1,$D$1,$C$2,$D$2,$C$1),"NA")</f>
        <v>1.7775300000000001</v>
      </c>
      <c r="J60" s="569">
        <f>IFERROR(_xll.ciqfunctions.udf.CIQ($B$1,$C60,J$1,$D$1,$C$2,$D$2,$C$1),"NA")</f>
        <v>1.10592</v>
      </c>
      <c r="K60" s="569">
        <f>IFERROR(_xll.ciqfunctions.udf.CIQ($B$1,$C60,K$1,$D$1,$C$2,$D$2,$C$1),"NA")</f>
        <v>1.09978</v>
      </c>
      <c r="L60" s="1107"/>
      <c r="M60" s="569">
        <f>IFERROR(_xll.ciqfunctions.udf.CIQ($B$1,$C60,M$1,$D$1,$C$2,$D$2,$C$1),"NA")</f>
        <v>1.10592</v>
      </c>
      <c r="N60" s="569">
        <f>IFERROR(_xll.ciqfunctions.udf.CIQ($B$1,$C60,N$1,$D$1,$C$2,$D$2,$C$1),"NA")</f>
        <v>1.09978</v>
      </c>
      <c r="O60" s="1087">
        <f>IFERROR(IF(OR(F60&lt;=0,K60&lt;=0),"NM",(K60/F60)^(1/5)-1),"NM")</f>
        <v>-1.8721171322448771E-2</v>
      </c>
      <c r="P60" s="562"/>
      <c r="R60" s="562"/>
      <c r="S60" s="562"/>
      <c r="T60" s="562"/>
      <c r="U60" s="562"/>
      <c r="V60" s="562"/>
      <c r="W60" s="562"/>
      <c r="X60" s="562"/>
      <c r="Y60" s="562"/>
      <c r="Z60" s="562"/>
      <c r="AA60" s="562"/>
      <c r="AB60" s="562"/>
      <c r="AC60" s="562"/>
      <c r="AD60" s="562"/>
    </row>
    <row r="61" spans="2:31" x14ac:dyDescent="0.2">
      <c r="B61" s="1347" t="s">
        <v>1101</v>
      </c>
      <c r="C61" s="1105" t="s">
        <v>1103</v>
      </c>
      <c r="D61" s="1108"/>
      <c r="E61" s="752">
        <f>IFERROR(_xll.ciqfunctions.udf.CIQ($B$1,$C61,E$1,$D$1,$C$2,$D$2),"NA")</f>
        <v>4.5940500000000002</v>
      </c>
      <c r="F61" s="752">
        <f>IFERROR(_xll.ciqfunctions.udf.CIQ($B$1,$C61,F$1,$D$1,$C$2,$D$2),"NA")</f>
        <v>4.5010700000000003</v>
      </c>
      <c r="G61" s="752">
        <f>IFERROR(_xll.ciqfunctions.udf.CIQ($B$1,$C61,G$1,$D$1,$C$2,$D$2),"NA")</f>
        <v>4.4507199999999996</v>
      </c>
      <c r="H61" s="752">
        <f>IFERROR(_xll.ciqfunctions.udf.CIQ($B$1,$C61,H$1,$D$1,$C$2,$D$2),"NA")</f>
        <v>4.2652799999999997</v>
      </c>
      <c r="I61" s="752">
        <f>IFERROR(_xll.ciqfunctions.udf.CIQ($B$1,$C61,I$1,$D$1,$C$2,$D$2),"NA")</f>
        <v>4.1495499999999996</v>
      </c>
      <c r="J61" s="752">
        <f>IFERROR(_xll.ciqfunctions.udf.CIQ($B$1,$C61,J$1,$D$1,$C$2,$D$2),"NA")</f>
        <v>4.4060499999999996</v>
      </c>
      <c r="K61" s="752">
        <f>IFERROR(_xll.ciqfunctions.udf.CIQ($B$1,$C61,K$1,$D$1,$C$2,$D$2),"NA")</f>
        <v>4.7071899999999998</v>
      </c>
      <c r="L61" s="1109"/>
      <c r="M61" s="752">
        <f>IFERROR(_xll.ciqfunctions.udf.CIQ($B$1,$C61,M$1,$D$1,$C$2,$D$2),"NA")</f>
        <v>4.4060499999999996</v>
      </c>
      <c r="N61" s="752">
        <f>IFERROR(_xll.ciqfunctions.udf.CIQ($B$1,$C61,N$1,$D$1,$C$2,$D$2),"NA")</f>
        <v>4.7071899999999998</v>
      </c>
      <c r="O61" s="1087">
        <f>IFERROR(IF(OR(F61&lt;=0,K61&lt;=0),"NM",(K61/F61)^(1/5)-1),"NM")</f>
        <v>8.9954138775503178E-3</v>
      </c>
      <c r="P61" s="562"/>
      <c r="R61" s="562"/>
      <c r="S61" s="562"/>
      <c r="T61" s="562"/>
      <c r="U61" s="562"/>
      <c r="V61" s="562"/>
      <c r="W61" s="562"/>
      <c r="X61" s="562"/>
      <c r="Y61" s="562"/>
      <c r="Z61" s="562"/>
      <c r="AA61" s="562"/>
      <c r="AB61" s="562"/>
      <c r="AC61" s="562"/>
      <c r="AD61" s="562"/>
      <c r="AE61" s="562"/>
    </row>
    <row r="62" spans="2:31" ht="4.5" customHeight="1" x14ac:dyDescent="0.2">
      <c r="B62" s="1345"/>
      <c r="C62" s="1088"/>
      <c r="D62" s="1098"/>
      <c r="E62" s="735"/>
      <c r="F62" s="735"/>
      <c r="G62" s="735"/>
      <c r="H62" s="735"/>
      <c r="I62" s="735"/>
      <c r="J62" s="735"/>
      <c r="K62" s="1099"/>
      <c r="L62" s="1099"/>
      <c r="M62" s="1099"/>
      <c r="N62" s="735"/>
      <c r="O62" s="735"/>
      <c r="P62" s="562"/>
      <c r="R62" s="562"/>
      <c r="S62" s="562"/>
      <c r="T62" s="562"/>
      <c r="U62" s="562"/>
      <c r="V62" s="562"/>
      <c r="W62" s="562"/>
      <c r="X62" s="562"/>
      <c r="Y62" s="562"/>
      <c r="Z62" s="562"/>
      <c r="AA62" s="562"/>
      <c r="AB62" s="562"/>
      <c r="AC62" s="562"/>
      <c r="AD62" s="562"/>
      <c r="AE62" s="562"/>
    </row>
    <row r="63" spans="2:31" x14ac:dyDescent="0.2">
      <c r="B63" s="1343" t="s">
        <v>1166</v>
      </c>
      <c r="C63" s="1100"/>
      <c r="D63" s="1101"/>
      <c r="E63" s="1102"/>
      <c r="F63" s="1102"/>
      <c r="G63" s="1102"/>
      <c r="H63" s="1102"/>
      <c r="I63" s="1102"/>
      <c r="J63" s="1102"/>
      <c r="K63" s="1103"/>
      <c r="L63" s="1103"/>
      <c r="M63" s="1103"/>
      <c r="N63" s="1102"/>
      <c r="O63" s="736"/>
      <c r="P63" s="562"/>
      <c r="R63" s="562"/>
      <c r="S63" s="562"/>
      <c r="T63" s="562"/>
      <c r="U63" s="562"/>
      <c r="V63" s="562"/>
      <c r="W63" s="562"/>
      <c r="X63" s="562"/>
      <c r="Y63" s="562"/>
      <c r="Z63" s="562"/>
      <c r="AA63" s="562"/>
      <c r="AB63" s="562"/>
      <c r="AC63" s="562"/>
      <c r="AD63" s="562"/>
      <c r="AE63" s="562"/>
    </row>
    <row r="64" spans="2:31" x14ac:dyDescent="0.2">
      <c r="B64" s="1347" t="s">
        <v>2</v>
      </c>
      <c r="C64" s="1107"/>
      <c r="D64" s="1108"/>
      <c r="E64" s="717">
        <f t="shared" ref="E64:K64" si="17">E7</f>
        <v>482130</v>
      </c>
      <c r="F64" s="717">
        <f t="shared" si="17"/>
        <v>485873</v>
      </c>
      <c r="G64" s="717">
        <f t="shared" si="17"/>
        <v>500343</v>
      </c>
      <c r="H64" s="717">
        <f t="shared" si="17"/>
        <v>514405</v>
      </c>
      <c r="I64" s="717">
        <f t="shared" si="17"/>
        <v>523964</v>
      </c>
      <c r="J64" s="717">
        <f t="shared" si="17"/>
        <v>559151</v>
      </c>
      <c r="K64" s="717">
        <f t="shared" si="17"/>
        <v>572754</v>
      </c>
      <c r="L64" s="1110"/>
      <c r="M64" s="717">
        <f>M7</f>
        <v>559151</v>
      </c>
      <c r="N64" s="717">
        <f>N7</f>
        <v>572754</v>
      </c>
      <c r="O64" s="1087">
        <f>IFERROR(IF(OR(F64&lt;=0,K64&lt;=0),"NM",(K64/F64)^(1/5)-1),"NM")</f>
        <v>3.3449056233565866E-2</v>
      </c>
      <c r="P64" s="562"/>
      <c r="R64" s="562"/>
      <c r="S64" s="562"/>
      <c r="U64" s="562"/>
      <c r="V64" s="562"/>
      <c r="W64" s="562"/>
      <c r="X64" s="562"/>
      <c r="Y64" s="562"/>
      <c r="Z64" s="562"/>
      <c r="AA64" s="562"/>
      <c r="AB64" s="562"/>
      <c r="AC64" s="562"/>
      <c r="AD64" s="562"/>
      <c r="AE64" s="562"/>
    </row>
    <row r="65" spans="2:31" x14ac:dyDescent="0.2">
      <c r="B65" s="1347" t="s">
        <v>42</v>
      </c>
      <c r="C65" s="1107" t="s">
        <v>378</v>
      </c>
      <c r="D65" s="1108"/>
      <c r="E65" s="717">
        <f>IFERROR(_xll.ciqfunctions.udf.CIQ($B$1,$C65,E$1,$D$1,$C$2, ,$C$1),"")</f>
        <v>33559</v>
      </c>
      <c r="F65" s="717">
        <f>IFERROR(_xll.ciqfunctions.udf.CIQ($B$1,$C65,F$1,$D$1,$C$2, ,$C$1),"")</f>
        <v>32844</v>
      </c>
      <c r="G65" s="717">
        <f>IFERROR(_xll.ciqfunctions.udf.CIQ($B$1,$C65,G$1,$D$1,$C$2, ,$C$1),"")</f>
        <v>31466</v>
      </c>
      <c r="H65" s="717">
        <f>IFERROR(_xll.ciqfunctions.udf.CIQ($B$1,$C65,H$1,$D$1,$C$2, ,$C$1),"")</f>
        <v>32635</v>
      </c>
      <c r="I65" s="717">
        <f>IFERROR(_xll.ciqfunctions.udf.CIQ($B$1,$C65,I$1,$D$1,$C$2, ,$C$1),"")</f>
        <v>32455</v>
      </c>
      <c r="J65" s="717">
        <f>IFERROR(_xll.ciqfunctions.udf.CIQ($B$1,$C65,J$1,$D$1,$C$2, ,$C$1),"")</f>
        <v>38100</v>
      </c>
      <c r="K65" s="717">
        <f>IFERROR(_xll.ciqfunctions.udf.CIQ($B$1,$C65,K$1,$D$1,$C$2, ,$C$1),"")</f>
        <v>36600</v>
      </c>
      <c r="L65" s="1110"/>
      <c r="M65" s="717">
        <f>IFERROR(_xll.ciqfunctions.udf.CIQ($B$1,$C65,M$1,$D$1,$C$2, ,$C$1),"")</f>
        <v>38100</v>
      </c>
      <c r="N65" s="717">
        <f>IFERROR(_xll.ciqfunctions.udf.CIQ($B$1,$C65,N$1,$D$1,$C$2, ,$C$1),"")</f>
        <v>36600</v>
      </c>
      <c r="O65" s="1087">
        <f>IFERROR(IF(OR(F65&lt;=0,K65&lt;=0),"NM",(K65/F65)^(1/5)-1),"NM")</f>
        <v>2.1892021522502692E-2</v>
      </c>
      <c r="P65" s="562"/>
      <c r="R65" s="562"/>
      <c r="S65" s="562"/>
      <c r="V65" s="562"/>
      <c r="W65" s="562"/>
      <c r="X65" s="562"/>
      <c r="Y65" s="562"/>
      <c r="Z65" s="562"/>
      <c r="AA65" s="562"/>
      <c r="AB65" s="562"/>
      <c r="AC65" s="562"/>
      <c r="AD65" s="562"/>
      <c r="AE65" s="562"/>
    </row>
    <row r="66" spans="2:31" x14ac:dyDescent="0.2">
      <c r="B66" s="1347" t="s">
        <v>6</v>
      </c>
      <c r="C66" s="1107" t="s">
        <v>14</v>
      </c>
      <c r="D66" s="1108"/>
      <c r="E66" s="717">
        <f>IFERROR(_xll.ciqfunctions.udf.CIQ($B$1,$C66,E$1,$D$1,$C$2, ,$C$1),"")</f>
        <v>14694</v>
      </c>
      <c r="F66" s="717">
        <f>IFERROR(_xll.ciqfunctions.udf.CIQ($B$1,$C66,F$1,$D$1,$C$2, ,$C$1),"")</f>
        <v>13643</v>
      </c>
      <c r="G66" s="717">
        <f>IFERROR(_xll.ciqfunctions.udf.CIQ($B$1,$C66,G$1,$D$1,$C$2, ,$C$1),"")</f>
        <v>9862</v>
      </c>
      <c r="H66" s="717">
        <f>IFERROR(_xll.ciqfunctions.udf.CIQ($B$1,$C66,H$1,$D$1,$C$2, ,$C$1),"")</f>
        <v>6670</v>
      </c>
      <c r="I66" s="717">
        <f>IFERROR(_xll.ciqfunctions.udf.CIQ($B$1,$C66,I$1,$D$1,$C$2, ,$C$1),"")</f>
        <v>14881</v>
      </c>
      <c r="J66" s="717">
        <f>IFERROR(_xll.ciqfunctions.udf.CIQ($B$1,$C66,J$1,$D$1,$C$2, ,$C$1),"")</f>
        <v>13510</v>
      </c>
      <c r="K66" s="717">
        <f>IFERROR(_xll.ciqfunctions.udf.CIQ($B$1,$C66,K$1,$D$1,$C$2, ,$C$1),"")</f>
        <v>13673</v>
      </c>
      <c r="L66" s="1110"/>
      <c r="M66" s="717">
        <f>IFERROR(_xll.ciqfunctions.udf.CIQ($B$1,$C66,M$1,$D$1,$C$2, ,$C$1),"")</f>
        <v>13510</v>
      </c>
      <c r="N66" s="717">
        <f>IFERROR(_xll.ciqfunctions.udf.CIQ($B$1,$C66,N$1,$D$1,$C$2, ,$C$1),"")</f>
        <v>13673</v>
      </c>
      <c r="O66" s="1087">
        <f>IFERROR(IF(OR(F66&lt;=0,K66&lt;=0),"NM",(K66/F66)^(1/5)-1),"NM")</f>
        <v>4.3939965700157124E-4</v>
      </c>
      <c r="P66" s="562"/>
      <c r="R66" s="562"/>
      <c r="S66" s="562"/>
      <c r="V66" s="562"/>
      <c r="W66" s="562"/>
      <c r="X66" s="562"/>
      <c r="Y66" s="562"/>
      <c r="Z66" s="562"/>
      <c r="AA66" s="562"/>
      <c r="AB66" s="562"/>
      <c r="AC66" s="562"/>
      <c r="AD66" s="562"/>
      <c r="AE66" s="562"/>
    </row>
    <row r="67" spans="2:31" x14ac:dyDescent="0.2">
      <c r="B67" s="1342" t="s">
        <v>1102</v>
      </c>
      <c r="C67" s="1107" t="s">
        <v>1133</v>
      </c>
      <c r="D67" s="1107"/>
      <c r="E67" s="1110">
        <f>IFERROR(_xll.ciqfunctions.udf.CIQ($B$1,$C67,E$1,$D$1,$C$2,$D$2,$C$1),"NA")</f>
        <v>8705</v>
      </c>
      <c r="F67" s="1110">
        <f>IFERROR(_xll.ciqfunctions.udf.CIQ($B$1,$C67,F$1,$D$1,$C$2,$D$2,$C$1),"NA")</f>
        <v>6867</v>
      </c>
      <c r="G67" s="1110">
        <f>IFERROR(_xll.ciqfunctions.udf.CIQ($B$1,$C67,G$1,$D$1,$C$2,$D$2,$C$1),"NA")</f>
        <v>6756</v>
      </c>
      <c r="H67" s="1110">
        <f>IFERROR(_xll.ciqfunctions.udf.CIQ($B$1,$C67,H$1,$D$1,$C$2,$D$2,$C$1),"NA")</f>
        <v>7722</v>
      </c>
      <c r="I67" s="1110">
        <f>IFERROR(_xll.ciqfunctions.udf.CIQ($B$1,$C67,I$1,$D$1,$C$2,$D$2,$C$1),"NA")</f>
        <v>9465</v>
      </c>
      <c r="J67" s="1110">
        <f>IFERROR(_xll.ciqfunctions.udf.CIQ($B$1,$C67,J$1,$D$1,$C$2,$D$2,$C$1),"NA")</f>
        <v>17741</v>
      </c>
      <c r="K67" s="1110">
        <f>IFERROR(_xll.ciqfunctions.udf.CIQ($B$1,$C67,K$1,$D$1,$C$2,$D$2,$C$1),"NA")</f>
        <v>14760</v>
      </c>
      <c r="L67" s="1110"/>
      <c r="M67" s="1110">
        <f>IFERROR(_xll.ciqfunctions.udf.CIQ($B$1,$C67,M$1,$D$1,$C$2,$D$2,$C$1),"NA")</f>
        <v>17741</v>
      </c>
      <c r="N67" s="1110">
        <f>IFERROR(_xll.ciqfunctions.udf.CIQ($B$1,$C67,N$1,$D$1,$C$2,$D$2,$C$1),"NA")</f>
        <v>14760</v>
      </c>
      <c r="O67" s="1087">
        <f>IFERROR(IF(OR(F67&lt;=0,K67&lt;=0),"NM",(K67/F67)^(1/5)-1),"NM")</f>
        <v>0.16537007545267968</v>
      </c>
      <c r="P67" s="562"/>
      <c r="R67" s="562"/>
      <c r="S67" s="562"/>
      <c r="V67" s="562"/>
      <c r="W67" s="562"/>
      <c r="X67" s="562"/>
      <c r="Y67" s="562"/>
      <c r="Z67" s="562"/>
      <c r="AA67" s="562"/>
      <c r="AB67" s="562"/>
      <c r="AC67" s="562"/>
      <c r="AD67" s="562"/>
      <c r="AE67" s="562"/>
    </row>
    <row r="68" spans="2:31" x14ac:dyDescent="0.2">
      <c r="B68" s="557"/>
      <c r="C68" s="557"/>
      <c r="D68" s="557"/>
      <c r="E68" s="557"/>
      <c r="F68" s="557"/>
      <c r="G68" s="557"/>
      <c r="H68" s="557"/>
      <c r="I68" s="557"/>
      <c r="J68" s="557"/>
      <c r="K68" s="557"/>
      <c r="M68" s="562"/>
      <c r="N68" s="562"/>
      <c r="O68" s="562"/>
      <c r="P68" s="562"/>
      <c r="R68" s="562"/>
      <c r="S68" s="562"/>
      <c r="T68" s="562"/>
      <c r="U68" s="562"/>
      <c r="V68" s="562"/>
      <c r="W68" s="562"/>
      <c r="X68" s="562"/>
      <c r="Y68" s="562"/>
      <c r="Z68" s="562"/>
      <c r="AA68" s="562"/>
      <c r="AB68" s="562"/>
      <c r="AC68" s="562"/>
      <c r="AD68" s="562"/>
      <c r="AE68" s="562"/>
    </row>
    <row r="69" spans="2:31" ht="15" customHeight="1" x14ac:dyDescent="0.2">
      <c r="B69" s="1406" t="s">
        <v>984</v>
      </c>
      <c r="C69" s="1407"/>
      <c r="D69" s="1408"/>
      <c r="E69" s="1408"/>
      <c r="F69" s="1408" t="s">
        <v>520</v>
      </c>
      <c r="G69" s="1408"/>
      <c r="H69" s="1408"/>
      <c r="I69" s="1408"/>
      <c r="J69" s="1408"/>
      <c r="K69" s="1408"/>
      <c r="L69" s="1409"/>
      <c r="M69" s="1408"/>
      <c r="N69" s="1408" t="s">
        <v>519</v>
      </c>
      <c r="O69" s="1411" t="s">
        <v>985</v>
      </c>
      <c r="P69" s="562"/>
      <c r="R69" s="562"/>
      <c r="S69" s="562"/>
      <c r="T69" s="562"/>
      <c r="U69" s="562"/>
      <c r="V69" s="562"/>
      <c r="W69" s="562"/>
      <c r="X69" s="562"/>
      <c r="Y69" s="562"/>
      <c r="Z69" s="562"/>
      <c r="AA69" s="562"/>
      <c r="AB69" s="562"/>
      <c r="AC69" s="562"/>
      <c r="AD69" s="562"/>
      <c r="AE69" s="562"/>
    </row>
    <row r="70" spans="2:31" ht="25.5" x14ac:dyDescent="0.2">
      <c r="B70" s="1348" t="str">
        <f>Input!$C$6 &amp; " million, except per share data"</f>
        <v>USD million, except per share data</v>
      </c>
      <c r="C70" s="1340"/>
      <c r="D70" s="1341"/>
      <c r="E70" s="1341"/>
      <c r="F70" s="1446">
        <f t="shared" ref="F70:K70" si="18">F32</f>
        <v>42766</v>
      </c>
      <c r="G70" s="1446">
        <f t="shared" si="18"/>
        <v>43131</v>
      </c>
      <c r="H70" s="1446">
        <f t="shared" si="18"/>
        <v>43496</v>
      </c>
      <c r="I70" s="1446">
        <f t="shared" si="18"/>
        <v>43861</v>
      </c>
      <c r="J70" s="1446">
        <f t="shared" si="18"/>
        <v>44227</v>
      </c>
      <c r="K70" s="1446">
        <f t="shared" si="18"/>
        <v>44592</v>
      </c>
      <c r="L70" s="1447"/>
      <c r="M70" s="1446"/>
      <c r="N70" s="1446" t="str">
        <f>TEXT(N6,"mmm yyyy") &amp; "*"</f>
        <v>Jan 2022*</v>
      </c>
      <c r="O70" s="1448" t="str">
        <f>IFERROR(YEAR(F70) &amp; "-" &amp; YEAR(K70),"NM")</f>
        <v>2017-2022</v>
      </c>
      <c r="P70" s="562"/>
      <c r="R70" s="562"/>
      <c r="S70" s="562"/>
      <c r="T70" s="562"/>
      <c r="U70" s="562"/>
      <c r="V70" s="562"/>
      <c r="W70" s="562"/>
      <c r="X70" s="562"/>
      <c r="Y70" s="562"/>
      <c r="Z70" s="562"/>
      <c r="AA70" s="562"/>
      <c r="AB70" s="562"/>
      <c r="AC70" s="562"/>
      <c r="AD70" s="562"/>
      <c r="AE70" s="562"/>
    </row>
    <row r="71" spans="2:31" x14ac:dyDescent="0.2">
      <c r="B71" s="1342" t="s">
        <v>528</v>
      </c>
      <c r="C71" s="1107"/>
      <c r="D71" s="1107"/>
      <c r="E71" s="1106">
        <f t="shared" ref="E71:K71" si="19">E59</f>
        <v>1.51292</v>
      </c>
      <c r="F71" s="1106">
        <f t="shared" si="19"/>
        <v>1.4178500000000001</v>
      </c>
      <c r="G71" s="1106">
        <f t="shared" si="19"/>
        <v>1.4832799999999999</v>
      </c>
      <c r="H71" s="1106">
        <f t="shared" si="19"/>
        <v>1.7913600000000001</v>
      </c>
      <c r="I71" s="1106">
        <f t="shared" si="19"/>
        <v>2.0417999999999998</v>
      </c>
      <c r="J71" s="1106">
        <f t="shared" si="19"/>
        <v>1.53338</v>
      </c>
      <c r="K71" s="1106">
        <f t="shared" si="19"/>
        <v>1.4716</v>
      </c>
      <c r="L71" s="1107"/>
      <c r="M71" s="1106">
        <f>M59</f>
        <v>1.53338</v>
      </c>
      <c r="N71" s="1106">
        <f>N59</f>
        <v>1.4716</v>
      </c>
      <c r="O71" s="1087">
        <f>IFERROR(IF(OR(F71&lt;=0,K71&lt;=0),"NM",(K71/F71)^(1/5)-1),"NM")</f>
        <v>7.4694793244178825E-3</v>
      </c>
      <c r="P71" s="562"/>
      <c r="R71" s="562"/>
      <c r="S71" s="562"/>
      <c r="V71" s="562"/>
      <c r="W71" s="562"/>
      <c r="X71" s="562"/>
      <c r="Y71" s="562"/>
      <c r="Z71" s="562"/>
      <c r="AA71" s="562"/>
      <c r="AB71" s="562"/>
      <c r="AC71" s="562"/>
      <c r="AD71" s="562"/>
      <c r="AE71" s="562"/>
    </row>
    <row r="72" spans="2:31" x14ac:dyDescent="0.2">
      <c r="B72" s="1342" t="s">
        <v>1104</v>
      </c>
      <c r="C72" s="1110" t="s">
        <v>623</v>
      </c>
      <c r="D72" s="1107"/>
      <c r="E72" s="1110">
        <f>IFERROR(_xll.ciqfunctions.udf.CIQ($B$1,$C72,E$1,$D$1,$C$2,$D$2,$C$1),"NA")</f>
        <v>8705</v>
      </c>
      <c r="F72" s="1110">
        <f>IFERROR(_xll.ciqfunctions.udf.CIQ($B$1,$C72,F$1,$D$1,$C$2,$D$2,$C$1),"NA")</f>
        <v>6867</v>
      </c>
      <c r="G72" s="1110">
        <f>IFERROR(_xll.ciqfunctions.udf.CIQ($B$1,$C72,G$1,$D$1,$C$2,$D$2,$C$1),"NA")</f>
        <v>6756</v>
      </c>
      <c r="H72" s="1110">
        <f>IFERROR(_xll.ciqfunctions.udf.CIQ($B$1,$C72,H$1,$D$1,$C$2,$D$2,$C$1),"NA")</f>
        <v>7722</v>
      </c>
      <c r="I72" s="1110">
        <f>IFERROR(_xll.ciqfunctions.udf.CIQ($B$1,$C72,I$1,$D$1,$C$2,$D$2,$C$1),"NA")</f>
        <v>9465</v>
      </c>
      <c r="J72" s="1110">
        <f>IFERROR(_xll.ciqfunctions.udf.CIQ($B$1,$C72,J$1,$D$1,$C$2,$D$2,$C$1),"NA")</f>
        <v>17741</v>
      </c>
      <c r="K72" s="1110">
        <f>IFERROR(_xll.ciqfunctions.udf.CIQ($B$1,$C72,K$1,$D$1,$C$2,$D$2,$C$1),"NA")</f>
        <v>14760</v>
      </c>
      <c r="L72" s="1110"/>
      <c r="M72" s="1110">
        <f>IFERROR(_xll.ciqfunctions.udf.CIQ($B$1,$C72,M$1,$D$1,$C$2,$D$2,$C$1),"NA")</f>
        <v>17741</v>
      </c>
      <c r="N72" s="1110">
        <f>IFERROR(_xll.ciqfunctions.udf.CIQ($B$1,$C72,N$1,$D$1,$C$2,$D$2,$C$1),"NA")</f>
        <v>14760</v>
      </c>
      <c r="O72" s="1087">
        <f>IFERROR(IF(OR(F72&lt;=0,K72&lt;=0),"NM",(K72/F72)^(1/5)-1),"NM")</f>
        <v>0.16537007545267968</v>
      </c>
      <c r="P72" s="562"/>
      <c r="R72" s="562"/>
      <c r="S72" s="562"/>
      <c r="V72" s="562"/>
      <c r="W72" s="562"/>
      <c r="X72" s="562"/>
      <c r="Y72" s="562"/>
      <c r="Z72" s="562"/>
      <c r="AA72" s="562"/>
      <c r="AB72" s="562"/>
      <c r="AC72" s="562"/>
      <c r="AD72" s="562"/>
      <c r="AE72" s="562"/>
    </row>
    <row r="73" spans="2:31" x14ac:dyDescent="0.2">
      <c r="B73" s="1342" t="s">
        <v>42</v>
      </c>
      <c r="C73" s="1107"/>
      <c r="D73" s="1107"/>
      <c r="E73" s="1110">
        <f t="shared" ref="E73:K73" si="20">E65</f>
        <v>33559</v>
      </c>
      <c r="F73" s="1110">
        <f t="shared" si="20"/>
        <v>32844</v>
      </c>
      <c r="G73" s="1110">
        <f t="shared" si="20"/>
        <v>31466</v>
      </c>
      <c r="H73" s="1110">
        <f t="shared" si="20"/>
        <v>32635</v>
      </c>
      <c r="I73" s="1110">
        <f t="shared" si="20"/>
        <v>32455</v>
      </c>
      <c r="J73" s="1110">
        <f t="shared" si="20"/>
        <v>38100</v>
      </c>
      <c r="K73" s="1110">
        <f t="shared" si="20"/>
        <v>36600</v>
      </c>
      <c r="L73" s="1110"/>
      <c r="M73" s="1110">
        <f t="shared" ref="M73:N73" si="21">M65</f>
        <v>38100</v>
      </c>
      <c r="N73" s="1110">
        <f t="shared" si="21"/>
        <v>36600</v>
      </c>
      <c r="O73" s="1087">
        <f>IFERROR(IF(OR(F73&lt;=0,K73&lt;=0),"NM",(K73/F73)^(1/5)-1),"NM")</f>
        <v>2.1892021522502692E-2</v>
      </c>
      <c r="P73" s="562"/>
      <c r="R73" s="562"/>
      <c r="S73" s="562"/>
      <c r="V73" s="562"/>
      <c r="W73" s="562"/>
      <c r="X73" s="562"/>
      <c r="Y73" s="562"/>
      <c r="Z73" s="562"/>
      <c r="AA73" s="562"/>
      <c r="AB73" s="562"/>
      <c r="AC73" s="562"/>
      <c r="AD73" s="562"/>
      <c r="AE73" s="562"/>
    </row>
    <row r="74" spans="2:31" x14ac:dyDescent="0.2">
      <c r="B74" s="1342" t="s">
        <v>6</v>
      </c>
      <c r="C74" s="1107"/>
      <c r="D74" s="1107"/>
      <c r="E74" s="1110">
        <f t="shared" ref="E74:K74" si="22">E66</f>
        <v>14694</v>
      </c>
      <c r="F74" s="1110">
        <f t="shared" si="22"/>
        <v>13643</v>
      </c>
      <c r="G74" s="1110">
        <f t="shared" si="22"/>
        <v>9862</v>
      </c>
      <c r="H74" s="1110">
        <f t="shared" si="22"/>
        <v>6670</v>
      </c>
      <c r="I74" s="1110">
        <f t="shared" si="22"/>
        <v>14881</v>
      </c>
      <c r="J74" s="1110">
        <f t="shared" si="22"/>
        <v>13510</v>
      </c>
      <c r="K74" s="1110">
        <f t="shared" si="22"/>
        <v>13673</v>
      </c>
      <c r="L74" s="1110"/>
      <c r="M74" s="1110">
        <f t="shared" ref="M74:N74" si="23">M66</f>
        <v>13510</v>
      </c>
      <c r="N74" s="1110">
        <f t="shared" si="23"/>
        <v>13673</v>
      </c>
      <c r="O74" s="1087">
        <f>IFERROR(IF(OR(F74&lt;=0,K74&lt;=0),"NM",(K74/F74)^(1/5)-1),"NM")</f>
        <v>4.3939965700157124E-4</v>
      </c>
      <c r="P74" s="562"/>
      <c r="R74" s="562"/>
      <c r="S74" s="562"/>
      <c r="V74" s="562"/>
      <c r="W74" s="562"/>
      <c r="X74" s="562"/>
      <c r="Y74" s="562"/>
      <c r="Z74" s="562"/>
      <c r="AA74" s="562"/>
      <c r="AB74" s="562"/>
      <c r="AC74" s="562"/>
      <c r="AD74" s="562"/>
      <c r="AE74" s="562"/>
    </row>
    <row r="75" spans="2:31" x14ac:dyDescent="0.2">
      <c r="B75" s="557"/>
      <c r="C75" s="557"/>
      <c r="D75" s="557"/>
      <c r="E75" s="557"/>
      <c r="F75" s="557"/>
      <c r="G75" s="557"/>
      <c r="H75" s="557"/>
      <c r="I75" s="557"/>
      <c r="J75" s="557"/>
      <c r="K75" s="557"/>
      <c r="M75" s="562"/>
      <c r="N75" s="562"/>
      <c r="O75" s="562"/>
      <c r="P75" s="562"/>
      <c r="R75" s="562"/>
      <c r="S75" s="562"/>
      <c r="T75" s="562"/>
      <c r="V75" s="562"/>
      <c r="W75" s="562"/>
      <c r="X75" s="562"/>
      <c r="Y75" s="562"/>
      <c r="Z75" s="562"/>
      <c r="AA75" s="562"/>
      <c r="AB75" s="562"/>
      <c r="AC75" s="562"/>
      <c r="AD75" s="562"/>
      <c r="AE75" s="562"/>
    </row>
    <row r="76" spans="2:31" x14ac:dyDescent="0.2">
      <c r="B76" s="557"/>
      <c r="C76" s="557"/>
      <c r="D76" s="557"/>
      <c r="E76" s="557"/>
      <c r="F76" s="557"/>
      <c r="G76" s="557"/>
      <c r="H76" s="557"/>
      <c r="I76" s="557"/>
      <c r="J76" s="557"/>
      <c r="K76" s="557"/>
      <c r="M76" s="562"/>
      <c r="N76" s="562"/>
      <c r="O76" s="562"/>
      <c r="P76" s="562"/>
      <c r="Q76" s="562"/>
      <c r="R76" s="562"/>
      <c r="S76" s="562"/>
      <c r="T76" s="562"/>
      <c r="V76" s="562"/>
      <c r="W76" s="562"/>
      <c r="X76" s="562"/>
      <c r="Y76" s="562"/>
      <c r="Z76" s="562"/>
      <c r="AA76" s="562"/>
      <c r="AB76" s="562"/>
      <c r="AC76" s="562"/>
      <c r="AD76" s="562"/>
      <c r="AE76" s="562"/>
    </row>
    <row r="77" spans="2:31" x14ac:dyDescent="0.2">
      <c r="B77" s="557"/>
      <c r="C77" s="557"/>
      <c r="D77" s="557"/>
      <c r="E77" s="557"/>
      <c r="F77" s="557"/>
      <c r="G77" s="557"/>
      <c r="H77" s="557"/>
      <c r="I77" s="557"/>
      <c r="J77" s="557"/>
      <c r="K77" s="557"/>
      <c r="M77" s="562"/>
      <c r="N77" s="562"/>
      <c r="O77" s="562"/>
      <c r="P77" s="562"/>
      <c r="Q77" s="562"/>
      <c r="R77" s="562"/>
      <c r="S77" s="562"/>
      <c r="T77" s="562"/>
      <c r="V77" s="562"/>
      <c r="W77" s="562"/>
      <c r="X77" s="562"/>
      <c r="Y77" s="562"/>
      <c r="Z77" s="562"/>
      <c r="AA77" s="562"/>
      <c r="AB77" s="562"/>
      <c r="AC77" s="562"/>
      <c r="AD77" s="562"/>
      <c r="AE77" s="562"/>
    </row>
    <row r="78" spans="2:31" x14ac:dyDescent="0.2">
      <c r="B78" s="557" t="str">
        <f>"CAGR = " &amp; TEXT(O71,"0.0%;[Red](0.0%)")</f>
        <v>CAGR = 0.7%</v>
      </c>
      <c r="C78" s="557"/>
      <c r="D78" s="557"/>
      <c r="E78" s="557"/>
      <c r="F78" s="557"/>
      <c r="G78" s="557"/>
      <c r="H78" s="557"/>
      <c r="I78" s="557"/>
      <c r="J78" s="557"/>
      <c r="K78" s="557"/>
      <c r="M78" s="562"/>
      <c r="N78" s="562"/>
      <c r="O78" s="562"/>
      <c r="P78" s="562"/>
      <c r="Q78" s="562"/>
      <c r="R78" s="562"/>
      <c r="S78" s="562"/>
      <c r="T78" s="562"/>
      <c r="V78" s="562"/>
      <c r="W78" s="562"/>
      <c r="X78" s="562"/>
      <c r="Y78" s="562"/>
      <c r="Z78" s="562"/>
      <c r="AA78" s="562"/>
      <c r="AB78" s="562"/>
      <c r="AC78" s="562"/>
      <c r="AD78" s="562"/>
      <c r="AE78" s="562"/>
    </row>
    <row r="79" spans="2:31" x14ac:dyDescent="0.2">
      <c r="B79" s="653" t="str">
        <f t="shared" ref="B79:B81" si="24">"CAGR = " &amp; TEXT(O72,"0.0%;[Red](0.0%)")</f>
        <v>CAGR = 16.5%</v>
      </c>
      <c r="C79" s="557" t="str">
        <f>B72 &amp; " (" &amp; Input!$C$6 &amp; " million)"</f>
        <v>Total Cash (USD million)</v>
      </c>
      <c r="D79" s="557"/>
      <c r="E79" s="557"/>
      <c r="F79" s="557"/>
      <c r="G79" s="557"/>
      <c r="H79" s="557"/>
      <c r="I79" s="557"/>
      <c r="J79" s="557"/>
      <c r="K79" s="557"/>
      <c r="M79" s="562"/>
      <c r="N79" s="562"/>
      <c r="O79" s="562"/>
      <c r="P79" s="562"/>
      <c r="Q79" s="562"/>
      <c r="R79" s="562"/>
      <c r="S79" s="562"/>
      <c r="T79" s="562"/>
      <c r="V79" s="562"/>
      <c r="W79" s="562"/>
      <c r="X79" s="562"/>
      <c r="Y79" s="562"/>
      <c r="Z79" s="562"/>
      <c r="AA79" s="562"/>
      <c r="AB79" s="562"/>
      <c r="AC79" s="562"/>
      <c r="AD79" s="562"/>
      <c r="AE79" s="562"/>
    </row>
    <row r="80" spans="2:31" x14ac:dyDescent="0.2">
      <c r="B80" s="653" t="str">
        <f t="shared" si="24"/>
        <v>CAGR = 2.2%</v>
      </c>
      <c r="C80" s="557" t="str">
        <f>B73 &amp; " (" &amp; Input!$C$6 &amp; " million)"</f>
        <v>EBITDA (USD million)</v>
      </c>
      <c r="D80" s="557"/>
      <c r="E80" s="557"/>
      <c r="F80" s="557"/>
      <c r="G80" s="557"/>
      <c r="H80" s="557"/>
      <c r="I80" s="557"/>
      <c r="J80" s="557"/>
      <c r="K80" s="557"/>
      <c r="M80" s="562"/>
      <c r="N80" s="562"/>
      <c r="O80" s="562"/>
      <c r="P80" s="562"/>
      <c r="Q80" s="562"/>
      <c r="R80" s="562"/>
      <c r="S80" s="562"/>
      <c r="T80" s="562"/>
      <c r="V80" s="562"/>
      <c r="W80" s="562"/>
      <c r="X80" s="562"/>
      <c r="Y80" s="562"/>
      <c r="Z80" s="562"/>
      <c r="AA80" s="562"/>
      <c r="AB80" s="562"/>
      <c r="AC80" s="562"/>
      <c r="AD80" s="562"/>
      <c r="AE80" s="562"/>
    </row>
    <row r="81" spans="2:31" x14ac:dyDescent="0.2">
      <c r="B81" s="653" t="str">
        <f t="shared" si="24"/>
        <v>CAGR = 0.0%</v>
      </c>
      <c r="C81" s="557" t="str">
        <f>B74 &amp; " (" &amp; Input!$C$6 &amp; " million)"</f>
        <v>Net Income (USD million)</v>
      </c>
      <c r="D81" s="557"/>
      <c r="E81" s="557"/>
      <c r="F81" s="557"/>
      <c r="G81" s="557"/>
      <c r="H81" s="557"/>
      <c r="I81" s="557"/>
      <c r="J81" s="557"/>
      <c r="K81" s="557"/>
      <c r="M81" s="562"/>
      <c r="N81" s="562"/>
      <c r="O81" s="562"/>
      <c r="P81" s="562"/>
      <c r="Q81" s="562"/>
      <c r="R81" s="562"/>
      <c r="S81" s="562"/>
      <c r="T81" s="562"/>
      <c r="V81" s="562"/>
      <c r="W81" s="562"/>
      <c r="X81" s="562"/>
      <c r="Y81" s="562"/>
      <c r="Z81" s="562"/>
      <c r="AA81" s="562"/>
      <c r="AB81" s="562"/>
      <c r="AC81" s="562"/>
      <c r="AD81" s="562"/>
      <c r="AE81" s="562"/>
    </row>
    <row r="82" spans="2:31" x14ac:dyDescent="0.2">
      <c r="B82" s="653"/>
      <c r="C82" s="557"/>
      <c r="D82" s="557"/>
      <c r="E82" s="557"/>
      <c r="F82" s="557"/>
      <c r="G82" s="557"/>
      <c r="H82" s="557"/>
      <c r="I82" s="557"/>
      <c r="J82" s="557"/>
      <c r="K82" s="557"/>
      <c r="M82" s="562"/>
      <c r="N82" s="562"/>
      <c r="O82" s="562"/>
      <c r="P82" s="562"/>
      <c r="Q82" s="562"/>
      <c r="R82" s="562"/>
      <c r="S82" s="562"/>
      <c r="T82" s="562"/>
      <c r="U82" s="562"/>
      <c r="V82" s="562"/>
      <c r="W82" s="562"/>
      <c r="X82" s="562"/>
      <c r="Y82" s="562"/>
      <c r="Z82" s="562"/>
      <c r="AA82" s="562"/>
      <c r="AB82" s="562"/>
      <c r="AC82" s="562"/>
      <c r="AD82" s="562"/>
      <c r="AE82" s="562"/>
    </row>
    <row r="83" spans="2:31" x14ac:dyDescent="0.2">
      <c r="B83" s="653" t="str">
        <f>"FY" &amp; TEXT(F6,"yyyy")</f>
        <v>FY2017</v>
      </c>
      <c r="C83" s="557"/>
      <c r="D83" s="557"/>
      <c r="E83" s="557"/>
      <c r="F83" s="557"/>
      <c r="G83" s="557"/>
      <c r="H83" s="557"/>
      <c r="I83" s="557"/>
      <c r="J83" s="557"/>
      <c r="K83" s="557"/>
      <c r="M83" s="562"/>
      <c r="N83" s="562"/>
      <c r="O83" s="562"/>
      <c r="P83" s="562"/>
      <c r="Q83" s="562"/>
      <c r="R83" s="562"/>
      <c r="S83" s="562"/>
      <c r="T83" s="562"/>
      <c r="U83" s="562"/>
      <c r="V83" s="562"/>
      <c r="W83" s="562"/>
      <c r="X83" s="562"/>
      <c r="Y83" s="562"/>
      <c r="Z83" s="562"/>
      <c r="AA83" s="562"/>
      <c r="AB83" s="562"/>
      <c r="AC83" s="562"/>
      <c r="AD83" s="562"/>
      <c r="AE83" s="562"/>
    </row>
    <row r="84" spans="2:31" x14ac:dyDescent="0.2">
      <c r="B84" s="653" t="str">
        <f>"FY" &amp; TEXT(G6,"yyyy")</f>
        <v>FY2018</v>
      </c>
      <c r="C84" s="557"/>
      <c r="D84" s="557"/>
      <c r="E84" s="557"/>
      <c r="F84" s="557"/>
      <c r="G84" s="557"/>
      <c r="H84" s="557"/>
      <c r="I84" s="557"/>
      <c r="J84" s="557"/>
      <c r="K84" s="557"/>
      <c r="M84" s="562"/>
      <c r="N84" s="562"/>
      <c r="O84" s="562"/>
      <c r="P84" s="562"/>
      <c r="Q84" s="562"/>
      <c r="R84" s="562"/>
      <c r="S84" s="562"/>
      <c r="T84" s="562"/>
      <c r="U84" s="562"/>
      <c r="V84" s="562"/>
      <c r="W84" s="562"/>
      <c r="X84" s="562"/>
      <c r="Y84" s="562"/>
      <c r="Z84" s="562"/>
      <c r="AA84" s="562"/>
      <c r="AB84" s="562"/>
      <c r="AC84" s="562"/>
      <c r="AD84" s="562"/>
      <c r="AE84" s="562"/>
    </row>
    <row r="85" spans="2:31" x14ac:dyDescent="0.2">
      <c r="B85" s="653" t="str">
        <f>"FY" &amp; TEXT(H6,"yyyy")</f>
        <v>FY2019</v>
      </c>
      <c r="C85" s="557"/>
      <c r="D85" s="557"/>
      <c r="E85" s="557"/>
      <c r="F85" s="557"/>
      <c r="G85" s="557"/>
      <c r="H85" s="557"/>
      <c r="I85" s="557"/>
      <c r="J85" s="557"/>
      <c r="K85" s="557"/>
      <c r="M85" s="562"/>
      <c r="N85" s="562"/>
      <c r="O85" s="562"/>
      <c r="P85" s="562"/>
      <c r="Q85" s="562"/>
      <c r="R85" s="562"/>
      <c r="S85" s="562"/>
      <c r="T85" s="562"/>
      <c r="U85" s="562"/>
      <c r="V85" s="562"/>
      <c r="W85" s="562"/>
      <c r="X85" s="562"/>
      <c r="Y85" s="562"/>
      <c r="Z85" s="562"/>
      <c r="AA85" s="562"/>
      <c r="AB85" s="562"/>
      <c r="AC85" s="562"/>
      <c r="AD85" s="562"/>
      <c r="AE85" s="562"/>
    </row>
    <row r="86" spans="2:31" x14ac:dyDescent="0.2">
      <c r="B86" s="653" t="str">
        <f>"FY" &amp; TEXT(I6,"yyyy")</f>
        <v>FY2020</v>
      </c>
      <c r="C86" s="557"/>
      <c r="D86" s="557"/>
      <c r="E86" s="557"/>
      <c r="F86" s="557"/>
      <c r="G86" s="557"/>
      <c r="H86" s="557"/>
      <c r="I86" s="557"/>
      <c r="J86" s="557"/>
      <c r="K86" s="557"/>
      <c r="M86" s="562"/>
      <c r="N86" s="562"/>
      <c r="O86" s="562"/>
      <c r="P86" s="562"/>
      <c r="Q86" s="562"/>
      <c r="R86" s="562"/>
      <c r="S86" s="562"/>
      <c r="T86" s="562"/>
      <c r="U86" s="562"/>
      <c r="V86" s="562"/>
      <c r="W86" s="562"/>
      <c r="X86" s="562"/>
      <c r="Y86" s="562"/>
      <c r="Z86" s="562"/>
      <c r="AA86" s="562"/>
      <c r="AB86" s="562"/>
      <c r="AC86" s="562"/>
      <c r="AD86" s="562"/>
      <c r="AE86" s="562"/>
    </row>
    <row r="87" spans="2:31" x14ac:dyDescent="0.2">
      <c r="B87" s="653" t="str">
        <f>"FY" &amp; TEXT(J6,"yyyy")</f>
        <v>FY2021</v>
      </c>
      <c r="C87" s="557"/>
      <c r="D87" s="557"/>
      <c r="E87" s="557"/>
      <c r="F87" s="557"/>
      <c r="G87" s="557"/>
      <c r="H87" s="557"/>
      <c r="I87" s="557"/>
      <c r="J87" s="557"/>
      <c r="K87" s="557"/>
      <c r="M87" s="562"/>
      <c r="N87" s="562"/>
      <c r="O87" s="562"/>
      <c r="P87" s="562"/>
      <c r="Q87" s="562"/>
      <c r="R87" s="562"/>
      <c r="S87" s="562"/>
      <c r="T87" s="562"/>
      <c r="U87" s="562"/>
      <c r="V87" s="562"/>
      <c r="W87" s="562"/>
      <c r="X87" s="562"/>
      <c r="Y87" s="562"/>
      <c r="Z87" s="562"/>
      <c r="AA87" s="562"/>
      <c r="AB87" s="562"/>
      <c r="AC87" s="562"/>
      <c r="AD87" s="562"/>
      <c r="AE87" s="562"/>
    </row>
    <row r="88" spans="2:31" x14ac:dyDescent="0.2">
      <c r="B88" s="653" t="str">
        <f>"FY" &amp; TEXT(K6,"yyyy")</f>
        <v>FY2022</v>
      </c>
      <c r="C88" s="557"/>
      <c r="D88" s="557"/>
      <c r="E88" s="557"/>
      <c r="F88" s="557"/>
      <c r="G88" s="557"/>
      <c r="H88" s="557"/>
      <c r="I88" s="557"/>
      <c r="J88" s="557"/>
      <c r="K88" s="557"/>
      <c r="M88" s="562"/>
      <c r="N88" s="562"/>
      <c r="O88" s="562"/>
      <c r="P88" s="562"/>
      <c r="Q88" s="562"/>
      <c r="R88" s="562"/>
      <c r="S88" s="562"/>
      <c r="T88" s="562"/>
      <c r="U88" s="562"/>
      <c r="V88" s="562"/>
      <c r="W88" s="562"/>
      <c r="X88" s="562"/>
      <c r="Y88" s="562"/>
      <c r="Z88" s="562"/>
      <c r="AA88" s="562"/>
      <c r="AB88" s="562"/>
      <c r="AC88" s="562"/>
      <c r="AD88" s="562"/>
      <c r="AE88" s="562"/>
    </row>
    <row r="89" spans="2:31" x14ac:dyDescent="0.2">
      <c r="B89" s="653" t="str">
        <f>"LTM Q" &amp; ImpData!$H$36 &amp; "'" &amp; RIGHT(IF(ImpData!B15&gt;ImpData!B35,ImpData!B38+1,ImpData!B38),2)</f>
        <v>LTM Q4'22</v>
      </c>
      <c r="C89" s="557"/>
      <c r="D89" s="557"/>
      <c r="E89" s="557"/>
      <c r="F89" s="557"/>
      <c r="G89" s="557"/>
      <c r="H89" s="557"/>
      <c r="I89" s="557"/>
      <c r="J89" s="557"/>
      <c r="K89" s="557"/>
      <c r="M89" s="562"/>
      <c r="N89" s="562"/>
      <c r="O89" s="562"/>
      <c r="P89" s="562"/>
      <c r="Q89" s="562"/>
      <c r="R89" s="562"/>
      <c r="S89" s="562"/>
      <c r="T89" s="562"/>
      <c r="U89" s="562"/>
      <c r="V89" s="562"/>
      <c r="W89" s="562"/>
      <c r="X89" s="562"/>
      <c r="Y89" s="562"/>
      <c r="Z89" s="562"/>
      <c r="AA89" s="562"/>
      <c r="AB89" s="562"/>
      <c r="AC89" s="562"/>
      <c r="AD89" s="562"/>
      <c r="AE89" s="562"/>
    </row>
    <row r="90" spans="2:31" x14ac:dyDescent="0.2">
      <c r="B90" s="653"/>
      <c r="C90" s="557"/>
      <c r="D90" s="557"/>
      <c r="E90" s="557"/>
      <c r="F90" s="557"/>
      <c r="G90" s="557"/>
      <c r="H90" s="557"/>
      <c r="I90" s="557"/>
      <c r="J90" s="557"/>
      <c r="K90" s="557"/>
      <c r="M90" s="562"/>
      <c r="N90" s="562"/>
      <c r="O90" s="562"/>
      <c r="P90" s="562"/>
      <c r="Q90" s="562"/>
      <c r="R90" s="562"/>
      <c r="S90" s="562"/>
      <c r="T90" s="562"/>
      <c r="U90" s="562"/>
      <c r="V90" s="562"/>
      <c r="W90" s="562"/>
      <c r="X90" s="562"/>
      <c r="Y90" s="562"/>
      <c r="Z90" s="562"/>
      <c r="AA90" s="562"/>
      <c r="AB90" s="562"/>
      <c r="AC90" s="562"/>
      <c r="AD90" s="562"/>
      <c r="AE90" s="562"/>
    </row>
    <row r="91" spans="2:31" x14ac:dyDescent="0.2">
      <c r="B91" s="653"/>
      <c r="C91" s="557"/>
      <c r="D91" s="557"/>
      <c r="E91" s="557"/>
      <c r="F91" s="557"/>
      <c r="G91" s="557"/>
      <c r="H91" s="557"/>
      <c r="I91" s="557"/>
      <c r="J91" s="557"/>
      <c r="K91" s="557"/>
      <c r="M91" s="562"/>
      <c r="N91" s="562"/>
      <c r="O91" s="562"/>
      <c r="P91" s="562"/>
      <c r="Q91" s="562"/>
      <c r="R91" s="562"/>
      <c r="S91" s="562"/>
      <c r="T91" s="562"/>
      <c r="U91" s="562"/>
      <c r="V91" s="562"/>
      <c r="W91" s="562"/>
      <c r="X91" s="562"/>
      <c r="Y91" s="562"/>
      <c r="Z91" s="562"/>
      <c r="AA91" s="562"/>
      <c r="AB91" s="562"/>
      <c r="AC91" s="562"/>
      <c r="AD91" s="562"/>
      <c r="AE91" s="562"/>
    </row>
    <row r="92" spans="2:31" x14ac:dyDescent="0.2">
      <c r="B92" s="557"/>
      <c r="C92" s="557"/>
      <c r="D92" s="557"/>
      <c r="E92" s="557"/>
      <c r="F92" s="557"/>
      <c r="G92" s="557"/>
      <c r="H92" s="557"/>
      <c r="I92" s="557"/>
      <c r="J92" s="557"/>
      <c r="K92" s="557"/>
      <c r="M92" s="562"/>
      <c r="N92" s="562"/>
      <c r="O92" s="562"/>
      <c r="P92" s="562"/>
      <c r="Q92" s="562"/>
      <c r="R92" s="562"/>
      <c r="S92" s="562"/>
      <c r="T92" s="562"/>
      <c r="U92" s="562"/>
      <c r="V92" s="562"/>
      <c r="W92" s="562"/>
      <c r="X92" s="562"/>
      <c r="Y92" s="562"/>
      <c r="Z92" s="562"/>
      <c r="AA92" s="562"/>
      <c r="AB92" s="562"/>
      <c r="AC92" s="562"/>
      <c r="AD92" s="562"/>
      <c r="AE92" s="562"/>
    </row>
    <row r="93" spans="2:31" x14ac:dyDescent="0.2">
      <c r="B93" s="557"/>
      <c r="C93" s="557"/>
      <c r="D93" s="557"/>
      <c r="E93" s="557"/>
      <c r="F93" s="557"/>
      <c r="G93" s="557"/>
      <c r="H93" s="557"/>
      <c r="I93" s="557"/>
      <c r="J93" s="557"/>
      <c r="K93" s="557"/>
      <c r="M93" s="562"/>
      <c r="N93" s="562"/>
      <c r="P93" s="562"/>
      <c r="Q93" s="562"/>
      <c r="R93" s="562"/>
      <c r="S93" s="562"/>
      <c r="T93" s="562"/>
      <c r="U93" s="562"/>
      <c r="V93" s="562"/>
      <c r="W93" s="562"/>
      <c r="X93" s="562"/>
      <c r="Y93" s="562"/>
      <c r="Z93" s="562"/>
      <c r="AA93" s="562"/>
      <c r="AB93" s="562"/>
      <c r="AC93" s="562"/>
      <c r="AD93" s="562"/>
      <c r="AE93" s="562"/>
    </row>
    <row r="94" spans="2:31" x14ac:dyDescent="0.2">
      <c r="B94" s="557"/>
      <c r="C94" s="557"/>
      <c r="D94" s="557"/>
      <c r="E94" s="557"/>
      <c r="F94" s="557"/>
      <c r="G94" s="557"/>
      <c r="H94" s="557"/>
      <c r="I94" s="557"/>
      <c r="J94" s="557"/>
      <c r="K94" s="557"/>
      <c r="M94" s="562"/>
      <c r="N94" s="562"/>
      <c r="O94" s="562"/>
      <c r="P94" s="562"/>
      <c r="Q94" s="562"/>
      <c r="R94" s="562"/>
      <c r="S94" s="562"/>
      <c r="T94" s="562"/>
      <c r="U94" s="562"/>
      <c r="V94" s="562"/>
      <c r="W94" s="562"/>
      <c r="X94" s="562"/>
      <c r="Y94" s="562"/>
      <c r="Z94" s="562"/>
      <c r="AA94" s="562"/>
      <c r="AB94" s="562"/>
      <c r="AC94" s="562"/>
      <c r="AD94" s="562"/>
      <c r="AE94" s="562"/>
    </row>
    <row r="95" spans="2:31" x14ac:dyDescent="0.2">
      <c r="B95" s="557"/>
      <c r="C95" s="557"/>
      <c r="D95" s="557"/>
      <c r="E95" s="557"/>
      <c r="F95" s="557"/>
      <c r="G95" s="557"/>
      <c r="H95" s="557"/>
      <c r="I95" s="557"/>
      <c r="J95" s="557"/>
      <c r="K95" s="557"/>
      <c r="M95" s="562"/>
      <c r="N95" s="562"/>
      <c r="O95" s="562"/>
      <c r="P95" s="562"/>
      <c r="Q95" s="562"/>
      <c r="R95" s="562"/>
      <c r="S95" s="562"/>
      <c r="T95" s="562"/>
      <c r="U95" s="562"/>
      <c r="V95" s="562"/>
      <c r="W95" s="562"/>
      <c r="X95" s="562"/>
      <c r="Y95" s="562"/>
      <c r="Z95" s="562"/>
      <c r="AA95" s="562"/>
      <c r="AB95" s="562"/>
      <c r="AC95" s="562"/>
      <c r="AD95" s="562"/>
      <c r="AE95" s="562"/>
    </row>
    <row r="96" spans="2:31" x14ac:dyDescent="0.2">
      <c r="B96" s="557"/>
      <c r="C96" s="557"/>
      <c r="D96" s="557"/>
      <c r="E96" s="557"/>
      <c r="F96" s="557"/>
      <c r="G96" s="557"/>
      <c r="H96" s="557"/>
      <c r="I96" s="557"/>
      <c r="J96" s="557"/>
      <c r="K96" s="557"/>
      <c r="M96" s="562"/>
      <c r="N96" s="562"/>
      <c r="O96" s="562"/>
      <c r="P96" s="562"/>
      <c r="Q96" s="562"/>
      <c r="R96" s="562"/>
      <c r="S96" s="562"/>
      <c r="T96" s="562"/>
      <c r="U96" s="562"/>
      <c r="V96" s="562"/>
      <c r="W96" s="562"/>
      <c r="X96" s="562"/>
      <c r="Y96" s="562"/>
      <c r="Z96" s="562"/>
      <c r="AA96" s="562"/>
      <c r="AB96" s="562"/>
      <c r="AC96" s="562"/>
      <c r="AD96" s="562"/>
      <c r="AE96" s="562"/>
    </row>
    <row r="97" spans="2:31" x14ac:dyDescent="0.2">
      <c r="B97" s="557"/>
      <c r="C97" s="557"/>
      <c r="D97" s="557"/>
      <c r="E97" s="557"/>
      <c r="F97" s="557"/>
      <c r="G97" s="557"/>
      <c r="H97" s="557"/>
      <c r="I97" s="557"/>
      <c r="J97" s="557"/>
      <c r="K97" s="557"/>
      <c r="M97" s="562"/>
      <c r="N97" s="562"/>
      <c r="O97" s="562"/>
      <c r="P97" s="562"/>
      <c r="Q97" s="562"/>
      <c r="R97" s="562"/>
      <c r="S97" s="562"/>
      <c r="T97" s="562"/>
      <c r="U97" s="562"/>
      <c r="V97" s="562"/>
      <c r="W97" s="562"/>
      <c r="X97" s="562"/>
      <c r="Y97" s="562"/>
      <c r="Z97" s="562"/>
      <c r="AA97" s="562"/>
      <c r="AB97" s="562"/>
      <c r="AC97" s="562"/>
      <c r="AD97" s="562"/>
      <c r="AE97" s="562"/>
    </row>
    <row r="98" spans="2:31" x14ac:dyDescent="0.2">
      <c r="B98" s="557"/>
      <c r="C98" s="557"/>
      <c r="D98" s="557"/>
      <c r="E98" s="557"/>
      <c r="F98" s="557"/>
      <c r="G98" s="557"/>
      <c r="H98" s="557"/>
      <c r="I98" s="557"/>
      <c r="J98" s="557"/>
      <c r="K98" s="557"/>
      <c r="M98" s="562"/>
      <c r="N98" s="562"/>
      <c r="O98" s="562"/>
      <c r="P98" s="562"/>
      <c r="Q98" s="562"/>
      <c r="R98" s="562"/>
      <c r="S98" s="562"/>
      <c r="T98" s="562"/>
      <c r="U98" s="562"/>
      <c r="V98" s="562"/>
      <c r="W98" s="562"/>
      <c r="X98" s="562"/>
      <c r="Y98" s="562"/>
      <c r="Z98" s="562"/>
      <c r="AA98" s="562"/>
      <c r="AB98" s="562"/>
      <c r="AC98" s="562"/>
      <c r="AD98" s="562"/>
      <c r="AE98" s="562"/>
    </row>
    <row r="99" spans="2:31" x14ac:dyDescent="0.2">
      <c r="B99" s="557"/>
      <c r="C99" s="557"/>
      <c r="D99" s="557"/>
      <c r="E99" s="557"/>
      <c r="F99" s="557"/>
      <c r="G99" s="557"/>
      <c r="H99" s="557"/>
      <c r="I99" s="557"/>
      <c r="J99" s="557"/>
      <c r="K99" s="557"/>
      <c r="M99" s="562"/>
      <c r="N99" s="562"/>
      <c r="O99" s="562"/>
      <c r="P99" s="562"/>
      <c r="Q99" s="562"/>
      <c r="R99" s="562"/>
      <c r="S99" s="562"/>
      <c r="T99" s="562"/>
      <c r="U99" s="562"/>
      <c r="V99" s="562"/>
      <c r="W99" s="562"/>
      <c r="X99" s="562"/>
      <c r="Y99" s="562"/>
      <c r="Z99" s="562"/>
      <c r="AA99" s="562"/>
      <c r="AB99" s="562"/>
      <c r="AC99" s="562"/>
      <c r="AD99" s="562"/>
      <c r="AE99" s="562"/>
    </row>
    <row r="100" spans="2:31" x14ac:dyDescent="0.2">
      <c r="B100" s="557"/>
      <c r="C100" s="557"/>
      <c r="D100" s="557"/>
      <c r="E100" s="557"/>
      <c r="F100" s="557"/>
      <c r="G100" s="557"/>
      <c r="H100" s="557"/>
      <c r="I100" s="557"/>
      <c r="J100" s="557"/>
      <c r="K100" s="557"/>
      <c r="M100" s="562"/>
      <c r="N100" s="562"/>
      <c r="O100" s="562"/>
      <c r="P100" s="562"/>
      <c r="Q100" s="562"/>
      <c r="R100" s="562"/>
      <c r="S100" s="562"/>
      <c r="T100" s="562"/>
      <c r="U100" s="562"/>
      <c r="V100" s="562"/>
      <c r="W100" s="562"/>
      <c r="X100" s="562"/>
      <c r="Y100" s="562"/>
      <c r="Z100" s="562"/>
      <c r="AA100" s="562"/>
      <c r="AB100" s="562"/>
      <c r="AC100" s="562"/>
      <c r="AD100" s="562"/>
      <c r="AE100" s="562"/>
    </row>
    <row r="101" spans="2:31" x14ac:dyDescent="0.2">
      <c r="B101" s="557"/>
      <c r="C101" s="557"/>
      <c r="D101" s="557"/>
      <c r="E101" s="557"/>
      <c r="F101" s="557"/>
      <c r="G101" s="557"/>
      <c r="H101" s="557"/>
      <c r="I101" s="557"/>
      <c r="J101" s="557"/>
      <c r="K101" s="557"/>
      <c r="M101" s="562"/>
      <c r="N101" s="562"/>
      <c r="O101" s="562"/>
      <c r="P101" s="562"/>
      <c r="Q101" s="562"/>
      <c r="R101" s="562"/>
      <c r="S101" s="562"/>
      <c r="T101" s="562"/>
      <c r="U101" s="562"/>
      <c r="V101" s="562"/>
      <c r="W101" s="562"/>
      <c r="X101" s="562"/>
      <c r="Y101" s="562"/>
      <c r="Z101" s="562"/>
      <c r="AA101" s="562"/>
      <c r="AB101" s="562"/>
      <c r="AC101" s="562"/>
      <c r="AD101" s="562"/>
      <c r="AE101" s="562"/>
    </row>
    <row r="102" spans="2:31" x14ac:dyDescent="0.2">
      <c r="B102" s="557"/>
      <c r="C102" s="557"/>
      <c r="D102" s="557"/>
      <c r="E102" s="557"/>
      <c r="F102" s="557"/>
      <c r="G102" s="557"/>
      <c r="H102" s="557"/>
      <c r="I102" s="557"/>
      <c r="J102" s="557"/>
      <c r="K102" s="557"/>
      <c r="M102" s="562"/>
      <c r="N102" s="562"/>
      <c r="O102" s="562"/>
      <c r="P102" s="562"/>
      <c r="Q102" s="562"/>
      <c r="R102" s="562"/>
      <c r="S102" s="562"/>
      <c r="T102" s="562"/>
      <c r="U102" s="562"/>
      <c r="V102" s="562"/>
      <c r="W102" s="562"/>
      <c r="X102" s="562"/>
      <c r="Y102" s="562"/>
      <c r="Z102" s="562"/>
      <c r="AA102" s="562"/>
      <c r="AB102" s="562"/>
      <c r="AC102" s="562"/>
      <c r="AD102" s="562"/>
      <c r="AE102" s="562"/>
    </row>
    <row r="103" spans="2:31" x14ac:dyDescent="0.2">
      <c r="B103" s="557"/>
      <c r="C103" s="557"/>
      <c r="D103" s="557"/>
      <c r="E103" s="557"/>
      <c r="F103" s="557"/>
      <c r="G103" s="557"/>
      <c r="H103" s="557"/>
      <c r="I103" s="557"/>
      <c r="J103" s="557"/>
      <c r="K103" s="557"/>
      <c r="M103" s="562"/>
      <c r="N103" s="562"/>
      <c r="O103" s="562"/>
      <c r="P103" s="562"/>
      <c r="Q103" s="562"/>
      <c r="R103" s="562"/>
      <c r="S103" s="562"/>
      <c r="T103" s="562"/>
      <c r="U103" s="562"/>
      <c r="V103" s="562"/>
      <c r="W103" s="562"/>
      <c r="X103" s="562"/>
      <c r="Y103" s="562"/>
      <c r="Z103" s="562"/>
      <c r="AA103" s="562"/>
      <c r="AB103" s="562"/>
      <c r="AC103" s="562"/>
      <c r="AD103" s="562"/>
      <c r="AE103" s="562"/>
    </row>
    <row r="104" spans="2:31" x14ac:dyDescent="0.2">
      <c r="B104" s="557"/>
      <c r="C104" s="557"/>
      <c r="D104" s="557"/>
      <c r="E104" s="557"/>
      <c r="F104" s="557"/>
      <c r="G104" s="557"/>
      <c r="H104" s="557"/>
      <c r="I104" s="557"/>
      <c r="J104" s="557"/>
      <c r="K104" s="557"/>
      <c r="M104" s="562"/>
      <c r="N104" s="562"/>
      <c r="O104" s="562"/>
      <c r="P104" s="562"/>
      <c r="Q104" s="562"/>
      <c r="R104" s="562"/>
      <c r="S104" s="562"/>
      <c r="T104" s="562"/>
      <c r="U104" s="562"/>
      <c r="V104" s="562"/>
      <c r="W104" s="562"/>
      <c r="X104" s="562"/>
      <c r="Y104" s="562"/>
      <c r="Z104" s="562"/>
      <c r="AA104" s="562"/>
      <c r="AB104" s="562"/>
      <c r="AC104" s="562"/>
      <c r="AD104" s="562"/>
      <c r="AE104" s="562"/>
    </row>
    <row r="105" spans="2:31" x14ac:dyDescent="0.2">
      <c r="B105" s="557"/>
      <c r="C105" s="557"/>
      <c r="D105" s="557"/>
      <c r="E105" s="557"/>
      <c r="F105" s="557"/>
      <c r="G105" s="557"/>
      <c r="H105" s="557"/>
      <c r="I105" s="557"/>
      <c r="J105" s="557"/>
      <c r="K105" s="557"/>
      <c r="M105" s="562"/>
      <c r="N105" s="562"/>
      <c r="O105" s="562"/>
      <c r="P105" s="562"/>
      <c r="Q105" s="562"/>
      <c r="R105" s="562"/>
      <c r="S105" s="562"/>
      <c r="T105" s="562"/>
      <c r="U105" s="562"/>
      <c r="V105" s="562"/>
      <c r="W105" s="562"/>
      <c r="X105" s="562"/>
      <c r="Y105" s="562"/>
      <c r="Z105" s="562"/>
      <c r="AA105" s="562"/>
      <c r="AB105" s="562"/>
      <c r="AC105" s="562"/>
      <c r="AD105" s="562"/>
      <c r="AE105" s="562"/>
    </row>
    <row r="106" spans="2:31" x14ac:dyDescent="0.2">
      <c r="B106" s="557"/>
      <c r="C106" s="557"/>
      <c r="D106" s="557"/>
      <c r="E106" s="557"/>
      <c r="F106" s="557"/>
      <c r="G106" s="557"/>
      <c r="H106" s="557"/>
      <c r="I106" s="557"/>
      <c r="J106" s="557"/>
      <c r="K106" s="557"/>
      <c r="M106" s="562"/>
      <c r="N106" s="562"/>
      <c r="O106" s="562"/>
      <c r="P106" s="562"/>
      <c r="Q106" s="562"/>
      <c r="R106" s="562"/>
      <c r="S106" s="562"/>
      <c r="T106" s="562"/>
      <c r="U106" s="562"/>
      <c r="V106" s="562"/>
      <c r="W106" s="562"/>
      <c r="X106" s="562"/>
      <c r="Y106" s="562"/>
      <c r="Z106" s="562"/>
      <c r="AA106" s="562"/>
      <c r="AB106" s="562"/>
      <c r="AC106" s="562"/>
      <c r="AD106" s="562"/>
      <c r="AE106" s="562"/>
    </row>
    <row r="107" spans="2:31" x14ac:dyDescent="0.2">
      <c r="B107" s="557"/>
      <c r="C107" s="557"/>
      <c r="D107" s="557"/>
      <c r="E107" s="557"/>
      <c r="F107" s="557"/>
      <c r="G107" s="557"/>
      <c r="H107" s="557"/>
      <c r="I107" s="557"/>
      <c r="J107" s="557"/>
      <c r="K107" s="557"/>
      <c r="M107" s="562"/>
      <c r="N107" s="562"/>
      <c r="O107" s="562"/>
      <c r="P107" s="562"/>
      <c r="Q107" s="562"/>
      <c r="R107" s="562"/>
      <c r="S107" s="562"/>
      <c r="T107" s="562"/>
      <c r="U107" s="562"/>
      <c r="V107" s="562"/>
      <c r="W107" s="562"/>
      <c r="X107" s="562"/>
      <c r="Y107" s="562"/>
      <c r="Z107" s="562"/>
      <c r="AA107" s="562"/>
      <c r="AB107" s="562"/>
      <c r="AC107" s="562"/>
      <c r="AD107" s="562"/>
      <c r="AE107" s="562"/>
    </row>
    <row r="108" spans="2:31" x14ac:dyDescent="0.2">
      <c r="B108" s="557"/>
      <c r="C108" s="557"/>
      <c r="D108" s="557"/>
      <c r="E108" s="557"/>
      <c r="F108" s="557"/>
      <c r="G108" s="557"/>
      <c r="H108" s="557"/>
      <c r="I108" s="557"/>
      <c r="J108" s="557"/>
      <c r="K108" s="557"/>
      <c r="M108" s="562"/>
      <c r="N108" s="562"/>
      <c r="O108" s="562"/>
      <c r="P108" s="562"/>
      <c r="Q108" s="562"/>
      <c r="R108" s="562"/>
      <c r="S108" s="562"/>
      <c r="T108" s="562"/>
      <c r="U108" s="562"/>
      <c r="V108" s="562"/>
      <c r="W108" s="562"/>
      <c r="X108" s="562"/>
      <c r="Y108" s="562"/>
      <c r="Z108" s="562"/>
      <c r="AA108" s="562"/>
      <c r="AB108" s="562"/>
      <c r="AC108" s="562"/>
      <c r="AD108" s="562"/>
      <c r="AE108" s="562"/>
    </row>
    <row r="109" spans="2:31" x14ac:dyDescent="0.2">
      <c r="B109" s="557"/>
      <c r="C109" s="557"/>
      <c r="D109" s="557"/>
      <c r="E109" s="557"/>
      <c r="F109" s="557"/>
      <c r="G109" s="557"/>
      <c r="H109" s="557"/>
      <c r="I109" s="557"/>
      <c r="J109" s="557"/>
      <c r="K109" s="557"/>
      <c r="M109" s="562"/>
      <c r="N109" s="562"/>
      <c r="O109" s="562"/>
      <c r="P109" s="562"/>
      <c r="Q109" s="562"/>
      <c r="R109" s="562"/>
      <c r="S109" s="562"/>
      <c r="T109" s="562"/>
      <c r="U109" s="562"/>
      <c r="V109" s="562"/>
      <c r="W109" s="562"/>
      <c r="X109" s="562"/>
      <c r="Y109" s="562"/>
      <c r="Z109" s="562"/>
      <c r="AA109" s="562"/>
      <c r="AB109" s="562"/>
      <c r="AC109" s="562"/>
      <c r="AD109" s="562"/>
      <c r="AE109" s="562"/>
    </row>
    <row r="110" spans="2:31" x14ac:dyDescent="0.2">
      <c r="B110" s="557"/>
      <c r="C110" s="557"/>
      <c r="D110" s="557"/>
      <c r="E110" s="557"/>
      <c r="F110" s="557"/>
      <c r="G110" s="557"/>
      <c r="H110" s="557"/>
      <c r="I110" s="557"/>
      <c r="J110" s="557"/>
      <c r="K110" s="557"/>
      <c r="M110" s="562"/>
      <c r="N110" s="562"/>
      <c r="O110" s="562"/>
      <c r="P110" s="562"/>
      <c r="Q110" s="562"/>
      <c r="R110" s="562"/>
      <c r="S110" s="562"/>
      <c r="T110" s="562"/>
      <c r="U110" s="562"/>
      <c r="V110" s="562"/>
      <c r="W110" s="562"/>
      <c r="X110" s="562"/>
      <c r="Y110" s="562"/>
      <c r="Z110" s="562"/>
      <c r="AA110" s="562"/>
      <c r="AB110" s="562"/>
      <c r="AC110" s="562"/>
      <c r="AD110" s="562"/>
      <c r="AE110" s="562"/>
    </row>
    <row r="111" spans="2:31" x14ac:dyDescent="0.2">
      <c r="B111" s="557"/>
      <c r="C111" s="557"/>
      <c r="D111" s="557"/>
      <c r="E111" s="557"/>
      <c r="F111" s="557"/>
      <c r="G111" s="557"/>
      <c r="H111" s="557"/>
      <c r="I111" s="557"/>
      <c r="J111" s="557"/>
      <c r="K111" s="557"/>
      <c r="M111" s="562"/>
      <c r="N111" s="562"/>
      <c r="O111" s="562"/>
      <c r="P111" s="562"/>
      <c r="Q111" s="562"/>
      <c r="R111" s="562"/>
      <c r="S111" s="562"/>
      <c r="T111" s="562"/>
      <c r="U111" s="562"/>
      <c r="V111" s="562"/>
      <c r="W111" s="562"/>
      <c r="X111" s="562"/>
      <c r="Y111" s="562"/>
      <c r="Z111" s="562"/>
      <c r="AA111" s="562"/>
      <c r="AB111" s="562"/>
      <c r="AC111" s="562"/>
      <c r="AD111" s="562"/>
      <c r="AE111" s="562"/>
    </row>
    <row r="112" spans="2:31" x14ac:dyDescent="0.2">
      <c r="B112" s="557"/>
      <c r="C112" s="557"/>
      <c r="D112" s="557"/>
      <c r="E112" s="557"/>
      <c r="F112" s="557"/>
      <c r="G112" s="557"/>
      <c r="H112" s="557"/>
      <c r="I112" s="557"/>
      <c r="J112" s="557"/>
      <c r="K112" s="557"/>
      <c r="M112" s="562"/>
      <c r="N112" s="562"/>
      <c r="O112" s="562"/>
      <c r="P112" s="562"/>
      <c r="Q112" s="562"/>
      <c r="R112" s="562"/>
      <c r="S112" s="562"/>
      <c r="T112" s="562"/>
      <c r="U112" s="562"/>
      <c r="V112" s="562"/>
      <c r="W112" s="562"/>
      <c r="X112" s="562"/>
      <c r="Y112" s="562"/>
      <c r="Z112" s="562"/>
      <c r="AA112" s="562"/>
      <c r="AB112" s="562"/>
      <c r="AC112" s="562"/>
      <c r="AD112" s="562"/>
      <c r="AE112" s="562"/>
    </row>
    <row r="113" spans="2:31" x14ac:dyDescent="0.2">
      <c r="B113" s="557"/>
      <c r="C113" s="557"/>
      <c r="D113" s="557"/>
      <c r="E113" s="557"/>
      <c r="F113" s="557"/>
      <c r="G113" s="557"/>
      <c r="H113" s="557"/>
      <c r="I113" s="557"/>
      <c r="J113" s="557"/>
      <c r="K113" s="557"/>
      <c r="M113" s="562"/>
      <c r="N113" s="562"/>
      <c r="O113" s="562"/>
      <c r="P113" s="562"/>
      <c r="Q113" s="562"/>
      <c r="R113" s="562"/>
      <c r="S113" s="562"/>
      <c r="T113" s="562"/>
      <c r="U113" s="562"/>
      <c r="V113" s="562"/>
      <c r="W113" s="562"/>
      <c r="X113" s="562"/>
      <c r="Y113" s="562"/>
      <c r="Z113" s="562"/>
      <c r="AA113" s="562"/>
      <c r="AB113" s="562"/>
      <c r="AC113" s="562"/>
      <c r="AD113" s="562"/>
      <c r="AE113" s="562"/>
    </row>
    <row r="114" spans="2:31" x14ac:dyDescent="0.2">
      <c r="B114" s="557"/>
      <c r="C114" s="557"/>
      <c r="D114" s="557"/>
      <c r="E114" s="557"/>
      <c r="F114" s="557"/>
      <c r="G114" s="557"/>
      <c r="H114" s="557"/>
      <c r="I114" s="557"/>
      <c r="J114" s="557"/>
      <c r="K114" s="557"/>
      <c r="M114" s="562"/>
      <c r="N114" s="562"/>
      <c r="O114" s="562"/>
      <c r="P114" s="562"/>
      <c r="Q114" s="562"/>
      <c r="R114" s="562"/>
      <c r="S114" s="562"/>
      <c r="T114" s="562"/>
      <c r="U114" s="562"/>
      <c r="V114" s="562"/>
      <c r="W114" s="562"/>
      <c r="X114" s="562"/>
      <c r="Y114" s="562"/>
      <c r="Z114" s="562"/>
      <c r="AA114" s="562"/>
      <c r="AB114" s="562"/>
      <c r="AC114" s="562"/>
      <c r="AD114" s="562"/>
      <c r="AE114" s="562"/>
    </row>
    <row r="115" spans="2:31" x14ac:dyDescent="0.2">
      <c r="B115" s="557"/>
      <c r="C115" s="557"/>
      <c r="D115" s="557"/>
      <c r="E115" s="557"/>
      <c r="F115" s="557"/>
      <c r="G115" s="557"/>
      <c r="H115" s="557"/>
      <c r="I115" s="557"/>
      <c r="J115" s="557"/>
      <c r="K115" s="557"/>
      <c r="M115" s="562"/>
      <c r="N115" s="562"/>
      <c r="O115" s="562"/>
      <c r="P115" s="562"/>
      <c r="Q115" s="562"/>
      <c r="R115" s="562"/>
      <c r="S115" s="562"/>
      <c r="T115" s="562"/>
      <c r="U115" s="562"/>
      <c r="V115" s="562"/>
      <c r="W115" s="562"/>
      <c r="X115" s="562"/>
      <c r="Y115" s="562"/>
      <c r="Z115" s="562"/>
      <c r="AA115" s="562"/>
      <c r="AB115" s="562"/>
      <c r="AC115" s="562"/>
      <c r="AD115" s="562"/>
      <c r="AE115" s="562"/>
    </row>
    <row r="116" spans="2:31" x14ac:dyDescent="0.2">
      <c r="B116" s="557"/>
      <c r="C116" s="557"/>
      <c r="D116" s="557"/>
      <c r="E116" s="557"/>
      <c r="F116" s="557"/>
      <c r="G116" s="557"/>
      <c r="H116" s="557"/>
      <c r="I116" s="557"/>
      <c r="J116" s="557"/>
      <c r="K116" s="557"/>
      <c r="M116" s="562"/>
      <c r="N116" s="562"/>
      <c r="O116" s="562"/>
      <c r="P116" s="562"/>
      <c r="Q116" s="562"/>
      <c r="R116" s="562"/>
      <c r="S116" s="562"/>
      <c r="T116" s="562"/>
      <c r="U116" s="562"/>
      <c r="V116" s="562"/>
      <c r="W116" s="562"/>
      <c r="X116" s="562"/>
      <c r="Y116" s="562"/>
      <c r="Z116" s="562"/>
      <c r="AA116" s="562"/>
      <c r="AB116" s="562"/>
      <c r="AC116" s="562"/>
      <c r="AD116" s="562"/>
      <c r="AE116" s="562"/>
    </row>
    <row r="117" spans="2:31" x14ac:dyDescent="0.2">
      <c r="B117" s="557"/>
      <c r="C117" s="557"/>
      <c r="D117" s="557"/>
      <c r="E117" s="557"/>
      <c r="F117" s="557"/>
      <c r="G117" s="557"/>
      <c r="H117" s="557"/>
      <c r="I117" s="557"/>
      <c r="J117" s="557"/>
      <c r="K117" s="557"/>
      <c r="M117" s="562"/>
      <c r="N117" s="562"/>
      <c r="O117" s="562"/>
      <c r="P117" s="562"/>
      <c r="Q117" s="562"/>
      <c r="R117" s="562"/>
      <c r="S117" s="562"/>
      <c r="T117" s="562"/>
      <c r="U117" s="562"/>
      <c r="V117" s="562"/>
      <c r="W117" s="562"/>
      <c r="X117" s="562"/>
      <c r="Y117" s="562"/>
      <c r="Z117" s="562"/>
      <c r="AA117" s="562"/>
      <c r="AB117" s="562"/>
      <c r="AC117" s="562"/>
      <c r="AD117" s="562"/>
      <c r="AE117" s="562"/>
    </row>
    <row r="118" spans="2:31" x14ac:dyDescent="0.2">
      <c r="B118" s="557"/>
      <c r="C118" s="557"/>
      <c r="D118" s="557"/>
      <c r="E118" s="557"/>
      <c r="F118" s="557"/>
      <c r="G118" s="557"/>
      <c r="H118" s="557"/>
      <c r="I118" s="557"/>
      <c r="J118" s="557"/>
      <c r="K118" s="557"/>
      <c r="M118" s="562"/>
      <c r="N118" s="562"/>
      <c r="O118" s="562"/>
      <c r="P118" s="562"/>
      <c r="Q118" s="562"/>
      <c r="R118" s="562"/>
      <c r="S118" s="562"/>
      <c r="T118" s="562"/>
      <c r="U118" s="562"/>
      <c r="V118" s="562"/>
      <c r="W118" s="562"/>
      <c r="X118" s="562"/>
      <c r="Y118" s="562"/>
      <c r="Z118" s="562"/>
      <c r="AA118" s="562"/>
      <c r="AB118" s="562"/>
      <c r="AC118" s="562"/>
      <c r="AD118" s="562"/>
      <c r="AE118" s="562"/>
    </row>
    <row r="119" spans="2:31" x14ac:dyDescent="0.2">
      <c r="B119" s="557"/>
      <c r="C119" s="557"/>
      <c r="D119" s="557"/>
      <c r="E119" s="557"/>
      <c r="F119" s="557"/>
      <c r="G119" s="557"/>
      <c r="H119" s="557"/>
      <c r="I119" s="557"/>
      <c r="J119" s="557"/>
      <c r="K119" s="557"/>
      <c r="M119" s="562"/>
      <c r="N119" s="562"/>
      <c r="O119" s="562"/>
      <c r="P119" s="562"/>
      <c r="Q119" s="562"/>
      <c r="R119" s="562"/>
      <c r="S119" s="562"/>
      <c r="T119" s="562"/>
      <c r="U119" s="562"/>
      <c r="V119" s="562"/>
      <c r="W119" s="562"/>
      <c r="X119" s="562"/>
      <c r="Y119" s="562"/>
      <c r="Z119" s="562"/>
      <c r="AA119" s="562"/>
      <c r="AB119" s="562"/>
      <c r="AC119" s="562"/>
      <c r="AD119" s="562"/>
      <c r="AE119" s="562"/>
    </row>
    <row r="120" spans="2:31" x14ac:dyDescent="0.2">
      <c r="B120" s="557"/>
      <c r="C120" s="557"/>
      <c r="D120" s="557"/>
      <c r="E120" s="557"/>
      <c r="F120" s="557"/>
      <c r="G120" s="557"/>
      <c r="H120" s="557"/>
      <c r="I120" s="557"/>
      <c r="J120" s="557"/>
      <c r="K120" s="557"/>
      <c r="M120" s="562"/>
      <c r="N120" s="562"/>
      <c r="O120" s="562"/>
      <c r="P120" s="562"/>
      <c r="Q120" s="562"/>
      <c r="R120" s="562"/>
      <c r="S120" s="562"/>
      <c r="T120" s="562"/>
      <c r="U120" s="562"/>
      <c r="V120" s="562"/>
      <c r="W120" s="562"/>
      <c r="X120" s="562"/>
      <c r="Y120" s="562"/>
      <c r="Z120" s="562"/>
      <c r="AA120" s="562"/>
      <c r="AB120" s="562"/>
      <c r="AC120" s="562"/>
      <c r="AD120" s="562"/>
      <c r="AE120" s="562"/>
    </row>
    <row r="121" spans="2:31" x14ac:dyDescent="0.2">
      <c r="B121" s="557"/>
      <c r="C121" s="557"/>
      <c r="D121" s="557"/>
      <c r="E121" s="557"/>
      <c r="F121" s="557"/>
      <c r="G121" s="557"/>
      <c r="H121" s="557"/>
      <c r="I121" s="557"/>
      <c r="J121" s="557"/>
      <c r="K121" s="557"/>
      <c r="M121" s="562"/>
      <c r="N121" s="562"/>
      <c r="O121" s="562"/>
      <c r="P121" s="562"/>
      <c r="Q121" s="562"/>
      <c r="R121" s="562"/>
      <c r="S121" s="562"/>
      <c r="T121" s="562"/>
      <c r="U121" s="562"/>
      <c r="V121" s="562"/>
      <c r="W121" s="562"/>
      <c r="X121" s="562"/>
      <c r="Y121" s="562"/>
      <c r="Z121" s="562"/>
      <c r="AA121" s="562"/>
      <c r="AB121" s="562"/>
      <c r="AC121" s="562"/>
      <c r="AD121" s="562"/>
      <c r="AE121" s="562"/>
    </row>
    <row r="122" spans="2:31" x14ac:dyDescent="0.2">
      <c r="B122" s="557"/>
      <c r="C122" s="557"/>
      <c r="D122" s="557"/>
      <c r="E122" s="557"/>
      <c r="F122" s="557"/>
      <c r="G122" s="557"/>
      <c r="H122" s="557"/>
      <c r="I122" s="557"/>
      <c r="J122" s="557"/>
      <c r="K122" s="557"/>
      <c r="M122" s="562"/>
      <c r="N122" s="562"/>
      <c r="O122" s="562"/>
      <c r="P122" s="562"/>
      <c r="Q122" s="562"/>
      <c r="R122" s="562"/>
      <c r="S122" s="562"/>
      <c r="T122" s="562"/>
      <c r="U122" s="562"/>
      <c r="V122" s="562"/>
      <c r="W122" s="562"/>
      <c r="X122" s="562"/>
      <c r="Y122" s="562"/>
      <c r="Z122" s="562"/>
      <c r="AA122" s="562"/>
      <c r="AB122" s="562"/>
      <c r="AC122" s="562"/>
      <c r="AD122" s="562"/>
      <c r="AE122" s="562"/>
    </row>
    <row r="123" spans="2:31" x14ac:dyDescent="0.2">
      <c r="B123" s="557"/>
      <c r="C123" s="557"/>
      <c r="D123" s="557"/>
      <c r="E123" s="557"/>
      <c r="F123" s="557"/>
      <c r="G123" s="557"/>
      <c r="H123" s="557"/>
      <c r="I123" s="557"/>
      <c r="J123" s="557"/>
      <c r="K123" s="557"/>
      <c r="M123" s="562"/>
      <c r="N123" s="562"/>
      <c r="O123" s="562"/>
      <c r="P123" s="562"/>
      <c r="Q123" s="562"/>
      <c r="R123" s="562"/>
      <c r="S123" s="562"/>
      <c r="T123" s="562"/>
      <c r="U123" s="562"/>
      <c r="V123" s="562"/>
      <c r="W123" s="562"/>
      <c r="X123" s="562"/>
      <c r="Y123" s="562"/>
      <c r="Z123" s="562"/>
      <c r="AA123" s="562"/>
      <c r="AB123" s="562"/>
      <c r="AC123" s="562"/>
      <c r="AD123" s="562"/>
      <c r="AE123" s="562"/>
    </row>
    <row r="124" spans="2:31" x14ac:dyDescent="0.2">
      <c r="B124" s="557"/>
      <c r="C124" s="557"/>
      <c r="D124" s="557"/>
      <c r="E124" s="557"/>
      <c r="F124" s="557"/>
      <c r="G124" s="557"/>
      <c r="H124" s="557"/>
      <c r="I124" s="557"/>
      <c r="J124" s="557"/>
      <c r="K124" s="557"/>
      <c r="M124" s="562"/>
      <c r="N124" s="562"/>
      <c r="O124" s="562"/>
      <c r="P124" s="562"/>
      <c r="Q124" s="562"/>
      <c r="R124" s="562"/>
      <c r="S124" s="562"/>
      <c r="T124" s="562"/>
      <c r="U124" s="562"/>
      <c r="V124" s="562"/>
      <c r="W124" s="562"/>
      <c r="X124" s="562"/>
      <c r="Y124" s="562"/>
      <c r="Z124" s="562"/>
      <c r="AA124" s="562"/>
      <c r="AB124" s="562"/>
      <c r="AC124" s="562"/>
      <c r="AD124" s="562"/>
      <c r="AE124" s="562"/>
    </row>
    <row r="125" spans="2:31" x14ac:dyDescent="0.2">
      <c r="B125" s="557"/>
      <c r="C125" s="557"/>
      <c r="D125" s="557"/>
      <c r="E125" s="557"/>
      <c r="F125" s="557"/>
      <c r="G125" s="557"/>
      <c r="H125" s="557"/>
      <c r="I125" s="557"/>
      <c r="J125" s="557"/>
      <c r="K125" s="557"/>
      <c r="M125" s="562"/>
      <c r="N125" s="562"/>
      <c r="O125" s="562"/>
      <c r="P125" s="562"/>
      <c r="Q125" s="562"/>
      <c r="R125" s="562"/>
      <c r="S125" s="562"/>
      <c r="T125" s="562"/>
      <c r="U125" s="562"/>
      <c r="V125" s="562"/>
      <c r="W125" s="562"/>
      <c r="X125" s="562"/>
      <c r="Y125" s="562"/>
      <c r="Z125" s="562"/>
      <c r="AA125" s="562"/>
      <c r="AB125" s="562"/>
      <c r="AC125" s="562"/>
      <c r="AD125" s="562"/>
      <c r="AE125" s="562"/>
    </row>
    <row r="126" spans="2:31" x14ac:dyDescent="0.2">
      <c r="B126" s="557"/>
      <c r="C126" s="557"/>
      <c r="D126" s="557"/>
      <c r="E126" s="557"/>
      <c r="F126" s="557"/>
      <c r="G126" s="557"/>
      <c r="H126" s="557"/>
      <c r="I126" s="557"/>
      <c r="J126" s="557"/>
      <c r="K126" s="557"/>
      <c r="M126" s="562"/>
      <c r="N126" s="562"/>
      <c r="O126" s="562"/>
      <c r="P126" s="562"/>
      <c r="Q126" s="562"/>
      <c r="R126" s="562"/>
      <c r="S126" s="562"/>
      <c r="T126" s="562"/>
      <c r="U126" s="562"/>
      <c r="V126" s="562"/>
      <c r="W126" s="562"/>
      <c r="X126" s="562"/>
      <c r="Y126" s="562"/>
      <c r="Z126" s="562"/>
      <c r="AA126" s="562"/>
      <c r="AB126" s="562"/>
      <c r="AC126" s="562"/>
      <c r="AD126" s="562"/>
      <c r="AE126" s="562"/>
    </row>
    <row r="127" spans="2:31" x14ac:dyDescent="0.2">
      <c r="B127" s="557"/>
      <c r="C127" s="557"/>
      <c r="D127" s="557"/>
      <c r="E127" s="557"/>
      <c r="F127" s="557"/>
      <c r="G127" s="557"/>
      <c r="H127" s="557"/>
      <c r="I127" s="557"/>
      <c r="J127" s="557"/>
      <c r="K127" s="557"/>
      <c r="M127" s="562"/>
      <c r="N127" s="562"/>
      <c r="O127" s="562"/>
      <c r="P127" s="562"/>
      <c r="Q127" s="562"/>
      <c r="R127" s="562"/>
      <c r="S127" s="562"/>
      <c r="T127" s="562"/>
      <c r="U127" s="562"/>
      <c r="V127" s="562"/>
      <c r="W127" s="562"/>
      <c r="X127" s="562"/>
      <c r="Y127" s="562"/>
      <c r="Z127" s="562"/>
      <c r="AA127" s="562"/>
      <c r="AB127" s="562"/>
      <c r="AC127" s="562"/>
      <c r="AD127" s="562"/>
      <c r="AE127" s="562"/>
    </row>
    <row r="128" spans="2:31" x14ac:dyDescent="0.2">
      <c r="B128" s="557"/>
      <c r="C128" s="557"/>
      <c r="D128" s="557"/>
      <c r="E128" s="557"/>
      <c r="F128" s="557"/>
      <c r="G128" s="557"/>
      <c r="H128" s="557"/>
      <c r="I128" s="557"/>
      <c r="J128" s="557"/>
      <c r="K128" s="557"/>
      <c r="M128" s="562"/>
      <c r="N128" s="562"/>
      <c r="O128" s="562"/>
      <c r="P128" s="562"/>
      <c r="Q128" s="562"/>
      <c r="R128" s="562"/>
      <c r="S128" s="562"/>
      <c r="T128" s="562"/>
      <c r="U128" s="562"/>
      <c r="V128" s="562"/>
      <c r="W128" s="562"/>
      <c r="X128" s="562"/>
      <c r="Y128" s="562"/>
      <c r="Z128" s="562"/>
      <c r="AA128" s="562"/>
      <c r="AB128" s="562"/>
      <c r="AC128" s="562"/>
      <c r="AD128" s="562"/>
      <c r="AE128" s="562"/>
    </row>
    <row r="129" spans="2:31" x14ac:dyDescent="0.2">
      <c r="B129" s="557"/>
      <c r="C129" s="557"/>
      <c r="D129" s="557"/>
      <c r="E129" s="557"/>
      <c r="F129" s="557"/>
      <c r="G129" s="557"/>
      <c r="H129" s="557"/>
      <c r="I129" s="557"/>
      <c r="J129" s="557"/>
      <c r="K129" s="557"/>
      <c r="M129" s="562"/>
      <c r="N129" s="562"/>
      <c r="O129" s="562"/>
      <c r="P129" s="562"/>
      <c r="Q129" s="562"/>
      <c r="R129" s="562"/>
      <c r="S129" s="562"/>
      <c r="T129" s="562"/>
      <c r="U129" s="562"/>
      <c r="V129" s="562"/>
      <c r="W129" s="562"/>
      <c r="X129" s="562"/>
      <c r="Y129" s="562"/>
      <c r="Z129" s="562"/>
      <c r="AA129" s="562"/>
      <c r="AB129" s="562"/>
      <c r="AC129" s="562"/>
      <c r="AD129" s="562"/>
      <c r="AE129" s="562"/>
    </row>
    <row r="130" spans="2:31" x14ac:dyDescent="0.2">
      <c r="B130" s="557"/>
      <c r="C130" s="557"/>
      <c r="D130" s="557"/>
      <c r="E130" s="557"/>
      <c r="F130" s="557"/>
      <c r="G130" s="557"/>
      <c r="H130" s="557"/>
      <c r="I130" s="557"/>
      <c r="J130" s="557"/>
      <c r="K130" s="557"/>
      <c r="M130" s="562"/>
      <c r="N130" s="562"/>
      <c r="O130" s="562"/>
      <c r="P130" s="562"/>
      <c r="Q130" s="562"/>
      <c r="R130" s="562"/>
      <c r="S130" s="562"/>
      <c r="T130" s="562"/>
      <c r="U130" s="562"/>
      <c r="V130" s="562"/>
      <c r="W130" s="562"/>
      <c r="X130" s="562"/>
      <c r="Y130" s="562"/>
      <c r="Z130" s="562"/>
      <c r="AA130" s="562"/>
      <c r="AB130" s="562"/>
      <c r="AC130" s="562"/>
      <c r="AD130" s="562"/>
      <c r="AE130" s="562"/>
    </row>
    <row r="131" spans="2:31" x14ac:dyDescent="0.2">
      <c r="B131" s="557"/>
      <c r="C131" s="557"/>
      <c r="D131" s="557"/>
      <c r="E131" s="557"/>
      <c r="F131" s="557"/>
      <c r="G131" s="557"/>
      <c r="H131" s="557"/>
      <c r="I131" s="557"/>
      <c r="J131" s="557"/>
      <c r="K131" s="557"/>
      <c r="M131" s="562"/>
      <c r="N131" s="562"/>
      <c r="O131" s="562"/>
      <c r="P131" s="562"/>
      <c r="Q131" s="562"/>
      <c r="R131" s="562"/>
      <c r="S131" s="562"/>
      <c r="T131" s="562"/>
      <c r="U131" s="562"/>
      <c r="V131" s="562"/>
      <c r="W131" s="562"/>
      <c r="X131" s="562"/>
      <c r="Y131" s="562"/>
      <c r="Z131" s="562"/>
      <c r="AA131" s="562"/>
      <c r="AB131" s="562"/>
      <c r="AC131" s="562"/>
      <c r="AD131" s="562"/>
      <c r="AE131" s="562"/>
    </row>
    <row r="132" spans="2:31" x14ac:dyDescent="0.2">
      <c r="B132" s="557"/>
      <c r="C132" s="557"/>
      <c r="D132" s="557"/>
      <c r="E132" s="557"/>
      <c r="F132" s="557"/>
      <c r="G132" s="557"/>
      <c r="H132" s="557"/>
      <c r="I132" s="557"/>
      <c r="J132" s="557"/>
      <c r="K132" s="557"/>
      <c r="M132" s="562"/>
      <c r="N132" s="562"/>
      <c r="O132" s="562"/>
      <c r="P132" s="562"/>
      <c r="Q132" s="562"/>
      <c r="R132" s="562"/>
      <c r="S132" s="562"/>
      <c r="T132" s="562"/>
      <c r="U132" s="562"/>
      <c r="V132" s="562"/>
      <c r="W132" s="562"/>
      <c r="X132" s="562"/>
      <c r="Y132" s="562"/>
      <c r="Z132" s="562"/>
      <c r="AA132" s="562"/>
      <c r="AB132" s="562"/>
      <c r="AC132" s="562"/>
      <c r="AD132" s="562"/>
      <c r="AE132" s="562"/>
    </row>
    <row r="133" spans="2:31" x14ac:dyDescent="0.2">
      <c r="B133" s="557"/>
      <c r="C133" s="557"/>
      <c r="D133" s="557"/>
      <c r="E133" s="557"/>
      <c r="F133" s="557"/>
      <c r="G133" s="557"/>
      <c r="H133" s="557"/>
      <c r="I133" s="557"/>
      <c r="J133" s="557"/>
      <c r="K133" s="557"/>
      <c r="M133" s="562"/>
      <c r="N133" s="562"/>
      <c r="O133" s="562"/>
      <c r="P133" s="562"/>
      <c r="Q133" s="562"/>
      <c r="R133" s="562"/>
      <c r="S133" s="562"/>
      <c r="T133" s="562"/>
      <c r="U133" s="562"/>
      <c r="V133" s="562"/>
      <c r="W133" s="562"/>
      <c r="X133" s="562"/>
      <c r="Y133" s="562"/>
      <c r="Z133" s="562"/>
      <c r="AA133" s="562"/>
      <c r="AB133" s="562"/>
      <c r="AC133" s="562"/>
      <c r="AD133" s="562"/>
      <c r="AE133" s="562"/>
    </row>
    <row r="134" spans="2:31" x14ac:dyDescent="0.2">
      <c r="B134" s="557"/>
      <c r="C134" s="557"/>
      <c r="D134" s="557"/>
      <c r="E134" s="557"/>
      <c r="F134" s="557"/>
      <c r="G134" s="557"/>
      <c r="H134" s="557"/>
      <c r="I134" s="557"/>
      <c r="J134" s="557"/>
      <c r="K134" s="557"/>
      <c r="M134" s="562"/>
      <c r="N134" s="562"/>
      <c r="O134" s="562"/>
      <c r="P134" s="562"/>
      <c r="Q134" s="562"/>
      <c r="R134" s="562"/>
      <c r="S134" s="562"/>
      <c r="T134" s="562"/>
      <c r="U134" s="562"/>
      <c r="V134" s="562"/>
      <c r="W134" s="562"/>
      <c r="X134" s="562"/>
      <c r="Y134" s="562"/>
      <c r="Z134" s="562"/>
      <c r="AA134" s="562"/>
      <c r="AB134" s="562"/>
      <c r="AC134" s="562"/>
      <c r="AD134" s="562"/>
      <c r="AE134" s="562"/>
    </row>
    <row r="135" spans="2:31" x14ac:dyDescent="0.2">
      <c r="B135" s="557"/>
      <c r="C135" s="557"/>
      <c r="D135" s="557"/>
      <c r="E135" s="557"/>
      <c r="F135" s="557"/>
      <c r="G135" s="557"/>
      <c r="H135" s="557"/>
      <c r="I135" s="557"/>
      <c r="J135" s="557"/>
      <c r="K135" s="557"/>
      <c r="M135" s="562"/>
      <c r="N135" s="562"/>
      <c r="O135" s="562"/>
      <c r="P135" s="562"/>
      <c r="Q135" s="562"/>
      <c r="R135" s="562"/>
      <c r="S135" s="562"/>
      <c r="T135" s="562"/>
      <c r="U135" s="562"/>
      <c r="V135" s="562"/>
      <c r="W135" s="562"/>
      <c r="X135" s="562"/>
      <c r="Y135" s="562"/>
      <c r="Z135" s="562"/>
      <c r="AA135" s="562"/>
      <c r="AB135" s="562"/>
      <c r="AC135" s="562"/>
      <c r="AD135" s="562"/>
      <c r="AE135" s="562"/>
    </row>
    <row r="136" spans="2:31" x14ac:dyDescent="0.2">
      <c r="B136" s="557"/>
      <c r="C136" s="557"/>
      <c r="D136" s="557"/>
      <c r="E136" s="557"/>
      <c r="F136" s="557"/>
      <c r="G136" s="557"/>
      <c r="H136" s="557"/>
      <c r="I136" s="557"/>
      <c r="J136" s="557"/>
      <c r="K136" s="557"/>
      <c r="M136" s="562"/>
      <c r="N136" s="562"/>
      <c r="O136" s="562"/>
      <c r="P136" s="562"/>
      <c r="Q136" s="562"/>
      <c r="R136" s="562"/>
      <c r="S136" s="562"/>
      <c r="T136" s="562"/>
      <c r="U136" s="562"/>
      <c r="V136" s="562"/>
      <c r="W136" s="562"/>
      <c r="X136" s="562"/>
      <c r="Y136" s="562"/>
      <c r="Z136" s="562"/>
      <c r="AA136" s="562"/>
      <c r="AB136" s="562"/>
      <c r="AC136" s="562"/>
      <c r="AD136" s="562"/>
      <c r="AE136" s="562"/>
    </row>
    <row r="137" spans="2:31" x14ac:dyDescent="0.2">
      <c r="B137" s="557"/>
      <c r="C137" s="557"/>
      <c r="D137" s="557"/>
      <c r="E137" s="557"/>
      <c r="F137" s="557"/>
      <c r="G137" s="557"/>
      <c r="H137" s="557"/>
      <c r="I137" s="557"/>
      <c r="J137" s="557"/>
      <c r="K137" s="557"/>
      <c r="M137" s="562"/>
      <c r="N137" s="562"/>
      <c r="O137" s="562"/>
      <c r="P137" s="562"/>
      <c r="Q137" s="562"/>
      <c r="R137" s="562"/>
      <c r="S137" s="562"/>
      <c r="T137" s="562"/>
      <c r="U137" s="562"/>
      <c r="V137" s="562"/>
      <c r="W137" s="562"/>
      <c r="X137" s="562"/>
      <c r="Y137" s="562"/>
      <c r="Z137" s="562"/>
      <c r="AA137" s="562"/>
      <c r="AB137" s="562"/>
      <c r="AC137" s="562"/>
      <c r="AD137" s="562"/>
      <c r="AE137" s="562"/>
    </row>
    <row r="138" spans="2:31" x14ac:dyDescent="0.2">
      <c r="B138" s="557"/>
      <c r="C138" s="557"/>
      <c r="D138" s="557"/>
      <c r="E138" s="557"/>
      <c r="F138" s="557"/>
      <c r="G138" s="557"/>
      <c r="H138" s="557"/>
      <c r="I138" s="557"/>
      <c r="J138" s="557"/>
      <c r="K138" s="557"/>
      <c r="M138" s="562"/>
      <c r="N138" s="562"/>
      <c r="O138" s="562"/>
      <c r="P138" s="562"/>
      <c r="Q138" s="562"/>
      <c r="R138" s="562"/>
      <c r="S138" s="562"/>
      <c r="T138" s="562"/>
      <c r="U138" s="562"/>
      <c r="V138" s="562"/>
      <c r="W138" s="562"/>
      <c r="X138" s="562"/>
      <c r="Y138" s="562"/>
      <c r="Z138" s="562"/>
      <c r="AA138" s="562"/>
      <c r="AB138" s="562"/>
      <c r="AC138" s="562"/>
      <c r="AD138" s="562"/>
      <c r="AE138" s="562"/>
    </row>
    <row r="139" spans="2:31" x14ac:dyDescent="0.2">
      <c r="B139" s="557"/>
      <c r="C139" s="557"/>
      <c r="D139" s="557"/>
      <c r="E139" s="557"/>
      <c r="F139" s="557"/>
      <c r="G139" s="557"/>
      <c r="H139" s="557"/>
      <c r="I139" s="557"/>
      <c r="J139" s="557"/>
      <c r="K139" s="557"/>
      <c r="M139" s="562"/>
      <c r="N139" s="562"/>
      <c r="O139" s="562"/>
      <c r="P139" s="562"/>
      <c r="Q139" s="562"/>
      <c r="R139" s="562"/>
      <c r="S139" s="562"/>
      <c r="T139" s="562"/>
      <c r="U139" s="562"/>
      <c r="V139" s="562"/>
      <c r="W139" s="562"/>
      <c r="X139" s="562"/>
      <c r="Y139" s="562"/>
      <c r="Z139" s="562"/>
      <c r="AA139" s="562"/>
      <c r="AB139" s="562"/>
      <c r="AC139" s="562"/>
      <c r="AD139" s="562"/>
      <c r="AE139" s="562"/>
    </row>
    <row r="140" spans="2:31" x14ac:dyDescent="0.2">
      <c r="B140" s="557"/>
      <c r="C140" s="557"/>
      <c r="D140" s="557"/>
      <c r="E140" s="557"/>
      <c r="F140" s="557"/>
      <c r="G140" s="557"/>
      <c r="H140" s="557"/>
      <c r="I140" s="557"/>
      <c r="J140" s="557"/>
      <c r="K140" s="557"/>
      <c r="M140" s="562"/>
      <c r="N140" s="562"/>
      <c r="O140" s="562"/>
      <c r="P140" s="562"/>
      <c r="Q140" s="562"/>
      <c r="R140" s="562"/>
      <c r="S140" s="562"/>
      <c r="T140" s="562"/>
      <c r="U140" s="562"/>
      <c r="V140" s="562"/>
      <c r="W140" s="562"/>
      <c r="X140" s="562"/>
      <c r="Y140" s="562"/>
      <c r="Z140" s="562"/>
      <c r="AA140" s="562"/>
      <c r="AB140" s="562"/>
      <c r="AC140" s="562"/>
      <c r="AD140" s="562"/>
      <c r="AE140" s="562"/>
    </row>
    <row r="141" spans="2:31" x14ac:dyDescent="0.2">
      <c r="B141" s="557"/>
      <c r="C141" s="557"/>
      <c r="D141" s="557"/>
      <c r="E141" s="557"/>
      <c r="F141" s="557"/>
      <c r="G141" s="557"/>
      <c r="H141" s="557"/>
      <c r="I141" s="557"/>
      <c r="J141" s="557"/>
      <c r="K141" s="557"/>
      <c r="M141" s="562"/>
      <c r="N141" s="562"/>
      <c r="O141" s="562"/>
      <c r="P141" s="562"/>
      <c r="Q141" s="562"/>
      <c r="R141" s="562"/>
      <c r="S141" s="562"/>
      <c r="T141" s="562"/>
      <c r="U141" s="562"/>
      <c r="V141" s="562"/>
      <c r="W141" s="562"/>
      <c r="X141" s="562"/>
      <c r="Y141" s="562"/>
      <c r="Z141" s="562"/>
      <c r="AA141" s="562"/>
      <c r="AB141" s="562"/>
      <c r="AC141" s="562"/>
      <c r="AD141" s="562"/>
      <c r="AE141" s="562"/>
    </row>
    <row r="142" spans="2:31" x14ac:dyDescent="0.2">
      <c r="B142" s="557"/>
      <c r="C142" s="557"/>
      <c r="D142" s="557"/>
      <c r="E142" s="557"/>
      <c r="F142" s="557"/>
      <c r="G142" s="557"/>
      <c r="H142" s="557"/>
      <c r="I142" s="557"/>
      <c r="J142" s="557"/>
      <c r="K142" s="557"/>
      <c r="M142" s="562"/>
      <c r="N142" s="562"/>
      <c r="O142" s="562"/>
      <c r="P142" s="562"/>
      <c r="Q142" s="562"/>
      <c r="R142" s="562"/>
      <c r="S142" s="562"/>
      <c r="T142" s="562"/>
      <c r="U142" s="562"/>
      <c r="V142" s="562"/>
      <c r="W142" s="562"/>
      <c r="X142" s="562"/>
      <c r="Y142" s="562"/>
      <c r="Z142" s="562"/>
      <c r="AA142" s="562"/>
      <c r="AB142" s="562"/>
      <c r="AC142" s="562"/>
      <c r="AD142" s="562"/>
      <c r="AE142" s="562"/>
    </row>
    <row r="143" spans="2:31" x14ac:dyDescent="0.2">
      <c r="B143" s="557"/>
      <c r="C143" s="557"/>
      <c r="D143" s="557"/>
      <c r="E143" s="557"/>
      <c r="F143" s="557"/>
      <c r="G143" s="557"/>
      <c r="H143" s="557"/>
      <c r="I143" s="557"/>
      <c r="J143" s="557"/>
      <c r="K143" s="557"/>
      <c r="M143" s="562"/>
      <c r="N143" s="562"/>
      <c r="O143" s="562"/>
      <c r="P143" s="562"/>
      <c r="Q143" s="562"/>
      <c r="R143" s="562"/>
      <c r="S143" s="562"/>
      <c r="T143" s="562"/>
      <c r="U143" s="562"/>
      <c r="V143" s="562"/>
      <c r="W143" s="562"/>
      <c r="X143" s="562"/>
      <c r="Y143" s="562"/>
      <c r="Z143" s="562"/>
      <c r="AA143" s="562"/>
      <c r="AB143" s="562"/>
      <c r="AC143" s="562"/>
      <c r="AD143" s="562"/>
      <c r="AE143" s="562"/>
    </row>
    <row r="144" spans="2:31" x14ac:dyDescent="0.2">
      <c r="B144" s="557"/>
      <c r="C144" s="557"/>
      <c r="D144" s="557"/>
      <c r="E144" s="557"/>
      <c r="F144" s="557"/>
      <c r="G144" s="557"/>
      <c r="H144" s="557"/>
      <c r="I144" s="557"/>
      <c r="J144" s="557"/>
      <c r="K144" s="557"/>
      <c r="M144" s="562"/>
      <c r="N144" s="562"/>
      <c r="O144" s="562"/>
      <c r="P144" s="562"/>
      <c r="Q144" s="562"/>
      <c r="R144" s="562"/>
      <c r="S144" s="562"/>
      <c r="T144" s="562"/>
      <c r="U144" s="562"/>
      <c r="V144" s="562"/>
      <c r="W144" s="562"/>
      <c r="X144" s="562"/>
      <c r="Y144" s="562"/>
      <c r="Z144" s="562"/>
      <c r="AA144" s="562"/>
      <c r="AB144" s="562"/>
      <c r="AC144" s="562"/>
      <c r="AD144" s="562"/>
      <c r="AE144" s="562"/>
    </row>
    <row r="145" spans="2:31" x14ac:dyDescent="0.2">
      <c r="B145" s="557"/>
      <c r="C145" s="557"/>
      <c r="D145" s="557"/>
      <c r="E145" s="557"/>
      <c r="F145" s="557"/>
      <c r="G145" s="557"/>
      <c r="H145" s="557"/>
      <c r="I145" s="557"/>
      <c r="J145" s="557"/>
      <c r="K145" s="557"/>
      <c r="M145" s="562"/>
      <c r="N145" s="562"/>
      <c r="O145" s="562"/>
      <c r="P145" s="562"/>
      <c r="Q145" s="562"/>
      <c r="R145" s="562"/>
      <c r="S145" s="562"/>
      <c r="T145" s="562"/>
      <c r="U145" s="562"/>
      <c r="V145" s="562"/>
      <c r="W145" s="562"/>
      <c r="X145" s="562"/>
      <c r="Y145" s="562"/>
      <c r="Z145" s="562"/>
      <c r="AA145" s="562"/>
      <c r="AB145" s="562"/>
      <c r="AC145" s="562"/>
      <c r="AD145" s="562"/>
      <c r="AE145" s="562"/>
    </row>
    <row r="146" spans="2:31" x14ac:dyDescent="0.2">
      <c r="B146" s="557"/>
      <c r="C146" s="557"/>
      <c r="D146" s="557"/>
      <c r="E146" s="557"/>
      <c r="F146" s="557"/>
      <c r="G146" s="557"/>
      <c r="H146" s="557"/>
      <c r="I146" s="557"/>
      <c r="J146" s="557"/>
      <c r="K146" s="557"/>
      <c r="M146" s="562"/>
      <c r="N146" s="562"/>
      <c r="O146" s="562"/>
      <c r="P146" s="562"/>
      <c r="Q146" s="562"/>
      <c r="R146" s="562"/>
      <c r="S146" s="562"/>
      <c r="T146" s="562"/>
      <c r="U146" s="562"/>
      <c r="V146" s="562"/>
      <c r="W146" s="562"/>
      <c r="X146" s="562"/>
      <c r="Y146" s="562"/>
      <c r="Z146" s="562"/>
      <c r="AA146" s="562"/>
      <c r="AB146" s="562"/>
      <c r="AC146" s="562"/>
      <c r="AD146" s="562"/>
      <c r="AE146" s="562"/>
    </row>
    <row r="147" spans="2:31" x14ac:dyDescent="0.2">
      <c r="B147" s="557"/>
      <c r="C147" s="557"/>
      <c r="D147" s="557"/>
      <c r="E147" s="557"/>
      <c r="F147" s="557"/>
      <c r="G147" s="557"/>
      <c r="H147" s="557"/>
      <c r="I147" s="557"/>
      <c r="J147" s="557"/>
      <c r="K147" s="557"/>
      <c r="M147" s="562"/>
      <c r="N147" s="562"/>
      <c r="O147" s="562"/>
      <c r="P147" s="562"/>
      <c r="Q147" s="562"/>
      <c r="R147" s="562"/>
      <c r="S147" s="562"/>
      <c r="T147" s="562"/>
      <c r="U147" s="562"/>
      <c r="V147" s="562"/>
      <c r="W147" s="562"/>
      <c r="X147" s="562"/>
      <c r="Y147" s="562"/>
      <c r="Z147" s="562"/>
      <c r="AA147" s="562"/>
      <c r="AB147" s="562"/>
      <c r="AC147" s="562"/>
      <c r="AD147" s="562"/>
      <c r="AE147" s="562"/>
    </row>
    <row r="148" spans="2:31" x14ac:dyDescent="0.2">
      <c r="B148" s="557"/>
      <c r="C148" s="557"/>
      <c r="D148" s="557"/>
      <c r="E148" s="557"/>
      <c r="F148" s="557"/>
      <c r="G148" s="557"/>
      <c r="H148" s="557"/>
      <c r="I148" s="557"/>
      <c r="J148" s="557"/>
      <c r="K148" s="557"/>
      <c r="M148" s="562"/>
      <c r="N148" s="562"/>
      <c r="O148" s="562"/>
      <c r="P148" s="562"/>
      <c r="Q148" s="562"/>
      <c r="R148" s="562"/>
      <c r="S148" s="562"/>
      <c r="T148" s="562"/>
      <c r="U148" s="562"/>
      <c r="V148" s="562"/>
      <c r="W148" s="562"/>
      <c r="X148" s="562"/>
      <c r="Y148" s="562"/>
      <c r="Z148" s="562"/>
      <c r="AA148" s="562"/>
      <c r="AB148" s="562"/>
      <c r="AC148" s="562"/>
      <c r="AD148" s="562"/>
      <c r="AE148" s="562"/>
    </row>
    <row r="149" spans="2:31" x14ac:dyDescent="0.2">
      <c r="B149" s="557"/>
      <c r="C149" s="557"/>
      <c r="D149" s="557"/>
      <c r="E149" s="557"/>
      <c r="F149" s="557"/>
      <c r="G149" s="557"/>
      <c r="H149" s="557"/>
      <c r="I149" s="557"/>
      <c r="J149" s="557"/>
      <c r="K149" s="557"/>
      <c r="M149" s="562"/>
      <c r="N149" s="562"/>
      <c r="O149" s="562"/>
      <c r="P149" s="562"/>
      <c r="Q149" s="562"/>
      <c r="R149" s="562"/>
      <c r="S149" s="562"/>
      <c r="T149" s="562"/>
      <c r="U149" s="562"/>
      <c r="V149" s="562"/>
      <c r="W149" s="562"/>
      <c r="X149" s="562"/>
      <c r="Y149" s="562"/>
      <c r="Z149" s="562"/>
      <c r="AA149" s="562"/>
      <c r="AB149" s="562"/>
      <c r="AC149" s="562"/>
      <c r="AD149" s="562"/>
      <c r="AE149" s="562"/>
    </row>
    <row r="150" spans="2:31" x14ac:dyDescent="0.2">
      <c r="B150" s="557"/>
      <c r="C150" s="557"/>
      <c r="D150" s="557"/>
      <c r="E150" s="557"/>
      <c r="F150" s="557"/>
      <c r="G150" s="557"/>
      <c r="H150" s="557"/>
      <c r="I150" s="557"/>
      <c r="J150" s="557"/>
      <c r="K150" s="557"/>
      <c r="M150" s="562"/>
      <c r="N150" s="562"/>
      <c r="O150" s="562"/>
      <c r="P150" s="562"/>
      <c r="Q150" s="562"/>
      <c r="R150" s="562"/>
      <c r="S150" s="562"/>
      <c r="T150" s="562"/>
      <c r="U150" s="562"/>
      <c r="V150" s="562"/>
      <c r="W150" s="562"/>
      <c r="X150" s="562"/>
      <c r="Y150" s="562"/>
      <c r="Z150" s="562"/>
      <c r="AA150" s="562"/>
      <c r="AB150" s="562"/>
      <c r="AC150" s="562"/>
      <c r="AD150" s="562"/>
      <c r="AE150" s="562"/>
    </row>
    <row r="151" spans="2:31" x14ac:dyDescent="0.2">
      <c r="B151" s="557"/>
      <c r="C151" s="557"/>
      <c r="D151" s="557"/>
      <c r="E151" s="557"/>
      <c r="F151" s="557"/>
      <c r="G151" s="557"/>
      <c r="H151" s="557"/>
      <c r="I151" s="557"/>
      <c r="J151" s="557"/>
      <c r="K151" s="557"/>
      <c r="M151" s="562"/>
      <c r="N151" s="562"/>
      <c r="O151" s="562"/>
      <c r="P151" s="562"/>
      <c r="Q151" s="562"/>
      <c r="R151" s="562"/>
      <c r="S151" s="562"/>
      <c r="T151" s="562"/>
      <c r="U151" s="562"/>
      <c r="V151" s="562"/>
      <c r="W151" s="562"/>
      <c r="X151" s="562"/>
      <c r="Y151" s="562"/>
      <c r="Z151" s="562"/>
      <c r="AA151" s="562"/>
      <c r="AB151" s="562"/>
      <c r="AC151" s="562"/>
      <c r="AD151" s="562"/>
      <c r="AE151" s="562"/>
    </row>
    <row r="152" spans="2:31" x14ac:dyDescent="0.2">
      <c r="B152" s="557"/>
      <c r="C152" s="557"/>
      <c r="D152" s="557"/>
      <c r="E152" s="557"/>
      <c r="F152" s="557"/>
      <c r="G152" s="557"/>
      <c r="H152" s="557"/>
      <c r="I152" s="557"/>
      <c r="J152" s="557"/>
      <c r="K152" s="557"/>
      <c r="M152" s="562"/>
      <c r="N152" s="562"/>
      <c r="O152" s="562"/>
      <c r="P152" s="562"/>
      <c r="Q152" s="562"/>
      <c r="R152" s="562"/>
      <c r="S152" s="562"/>
      <c r="T152" s="562"/>
      <c r="U152" s="562"/>
      <c r="V152" s="562"/>
      <c r="W152" s="562"/>
      <c r="X152" s="562"/>
      <c r="Y152" s="562"/>
      <c r="Z152" s="562"/>
      <c r="AA152" s="562"/>
      <c r="AB152" s="562"/>
      <c r="AC152" s="562"/>
      <c r="AD152" s="562"/>
      <c r="AE152" s="562"/>
    </row>
    <row r="153" spans="2:31" x14ac:dyDescent="0.2">
      <c r="B153" s="557"/>
      <c r="C153" s="557"/>
      <c r="D153" s="557"/>
      <c r="E153" s="557"/>
      <c r="F153" s="557"/>
      <c r="G153" s="557"/>
      <c r="H153" s="557"/>
      <c r="I153" s="557"/>
      <c r="J153" s="557"/>
      <c r="K153" s="557"/>
      <c r="M153" s="562"/>
      <c r="N153" s="562"/>
      <c r="O153" s="562"/>
      <c r="P153" s="562"/>
      <c r="Q153" s="562"/>
      <c r="R153" s="562"/>
      <c r="S153" s="562"/>
      <c r="T153" s="562"/>
      <c r="U153" s="562"/>
      <c r="V153" s="562"/>
      <c r="W153" s="562"/>
      <c r="X153" s="562"/>
      <c r="Y153" s="562"/>
      <c r="Z153" s="562"/>
      <c r="AA153" s="562"/>
      <c r="AB153" s="562"/>
      <c r="AC153" s="562"/>
      <c r="AD153" s="562"/>
      <c r="AE153" s="562"/>
    </row>
    <row r="154" spans="2:31" x14ac:dyDescent="0.2">
      <c r="B154" s="557"/>
      <c r="C154" s="557"/>
      <c r="D154" s="557"/>
      <c r="E154" s="557"/>
      <c r="F154" s="557"/>
      <c r="G154" s="557"/>
      <c r="H154" s="557"/>
      <c r="I154" s="557"/>
      <c r="J154" s="557"/>
      <c r="K154" s="557"/>
      <c r="M154" s="562"/>
      <c r="N154" s="562"/>
      <c r="O154" s="562"/>
      <c r="P154" s="562"/>
      <c r="Q154" s="562"/>
      <c r="R154" s="562"/>
      <c r="S154" s="562"/>
      <c r="T154" s="562"/>
      <c r="U154" s="562"/>
      <c r="V154" s="562"/>
      <c r="W154" s="562"/>
      <c r="X154" s="562"/>
      <c r="Y154" s="562"/>
      <c r="Z154" s="562"/>
      <c r="AA154" s="562"/>
      <c r="AB154" s="562"/>
      <c r="AC154" s="562"/>
      <c r="AD154" s="562"/>
      <c r="AE154" s="562"/>
    </row>
    <row r="155" spans="2:31" x14ac:dyDescent="0.2">
      <c r="B155" s="557"/>
      <c r="C155" s="557"/>
      <c r="D155" s="557"/>
      <c r="E155" s="557"/>
      <c r="F155" s="557"/>
      <c r="G155" s="557"/>
      <c r="H155" s="557"/>
      <c r="I155" s="557"/>
      <c r="J155" s="557"/>
      <c r="K155" s="557"/>
      <c r="M155" s="562"/>
      <c r="N155" s="562"/>
      <c r="O155" s="562"/>
      <c r="P155" s="562"/>
      <c r="Q155" s="562"/>
      <c r="R155" s="562"/>
      <c r="S155" s="562"/>
      <c r="T155" s="562"/>
      <c r="U155" s="562"/>
      <c r="V155" s="562"/>
      <c r="W155" s="562"/>
      <c r="X155" s="562"/>
      <c r="Y155" s="562"/>
      <c r="Z155" s="562"/>
      <c r="AA155" s="562"/>
      <c r="AB155" s="562"/>
      <c r="AC155" s="562"/>
      <c r="AD155" s="562"/>
      <c r="AE155" s="562"/>
    </row>
    <row r="156" spans="2:31" x14ac:dyDescent="0.2">
      <c r="B156" s="557"/>
      <c r="C156" s="557"/>
      <c r="D156" s="557"/>
      <c r="E156" s="557"/>
      <c r="F156" s="557"/>
      <c r="G156" s="557"/>
      <c r="H156" s="557"/>
      <c r="I156" s="557"/>
      <c r="J156" s="557"/>
      <c r="K156" s="557"/>
      <c r="M156" s="562"/>
      <c r="N156" s="562"/>
      <c r="O156" s="562"/>
      <c r="P156" s="562"/>
      <c r="Q156" s="562"/>
      <c r="R156" s="562"/>
      <c r="S156" s="562"/>
      <c r="T156" s="562"/>
      <c r="U156" s="562"/>
      <c r="V156" s="562"/>
      <c r="W156" s="562"/>
      <c r="X156" s="562"/>
      <c r="Y156" s="562"/>
      <c r="Z156" s="562"/>
      <c r="AA156" s="562"/>
      <c r="AB156" s="562"/>
      <c r="AC156" s="562"/>
      <c r="AD156" s="562"/>
      <c r="AE156" s="562"/>
    </row>
    <row r="157" spans="2:31" x14ac:dyDescent="0.2">
      <c r="B157" s="557"/>
      <c r="C157" s="557"/>
      <c r="D157" s="557"/>
      <c r="E157" s="557"/>
      <c r="F157" s="557"/>
      <c r="G157" s="557"/>
      <c r="H157" s="557"/>
      <c r="I157" s="557"/>
      <c r="J157" s="557"/>
      <c r="K157" s="557"/>
      <c r="M157" s="562"/>
      <c r="N157" s="562"/>
      <c r="O157" s="562"/>
      <c r="P157" s="562"/>
      <c r="Q157" s="562"/>
      <c r="R157" s="562"/>
      <c r="S157" s="562"/>
      <c r="T157" s="562"/>
      <c r="U157" s="562"/>
      <c r="V157" s="562"/>
      <c r="W157" s="562"/>
      <c r="X157" s="562"/>
      <c r="Y157" s="562"/>
      <c r="Z157" s="562"/>
      <c r="AA157" s="562"/>
      <c r="AB157" s="562"/>
      <c r="AC157" s="562"/>
      <c r="AD157" s="562"/>
      <c r="AE157" s="562"/>
    </row>
    <row r="158" spans="2:31" x14ac:dyDescent="0.2">
      <c r="B158" s="557"/>
      <c r="C158" s="557"/>
      <c r="D158" s="557"/>
      <c r="E158" s="557"/>
      <c r="F158" s="557"/>
      <c r="G158" s="557"/>
      <c r="H158" s="557"/>
      <c r="I158" s="557"/>
      <c r="J158" s="557"/>
      <c r="K158" s="557"/>
      <c r="M158" s="562"/>
      <c r="N158" s="562"/>
      <c r="O158" s="562"/>
      <c r="P158" s="562"/>
      <c r="Q158" s="562"/>
      <c r="R158" s="562"/>
      <c r="S158" s="562"/>
      <c r="T158" s="562"/>
      <c r="U158" s="562"/>
      <c r="V158" s="562"/>
      <c r="W158" s="562"/>
      <c r="X158" s="562"/>
      <c r="Y158" s="562"/>
      <c r="Z158" s="562"/>
      <c r="AA158" s="562"/>
      <c r="AB158" s="562"/>
      <c r="AC158" s="562"/>
      <c r="AD158" s="562"/>
      <c r="AE158" s="562"/>
    </row>
    <row r="159" spans="2:31" x14ac:dyDescent="0.2">
      <c r="B159" s="557"/>
      <c r="C159" s="557"/>
      <c r="D159" s="557"/>
      <c r="E159" s="557"/>
      <c r="F159" s="557"/>
      <c r="G159" s="557"/>
      <c r="H159" s="557"/>
      <c r="I159" s="557"/>
      <c r="J159" s="557"/>
      <c r="K159" s="557"/>
      <c r="M159" s="562"/>
      <c r="N159" s="562"/>
      <c r="O159" s="562"/>
      <c r="P159" s="562"/>
      <c r="Q159" s="562"/>
      <c r="R159" s="562"/>
      <c r="S159" s="562"/>
      <c r="T159" s="562"/>
      <c r="U159" s="562"/>
      <c r="V159" s="562"/>
      <c r="W159" s="562"/>
      <c r="X159" s="562"/>
      <c r="Y159" s="562"/>
      <c r="Z159" s="562"/>
      <c r="AA159" s="562"/>
      <c r="AB159" s="562"/>
      <c r="AC159" s="562"/>
      <c r="AD159" s="562"/>
      <c r="AE159" s="562"/>
    </row>
    <row r="160" spans="2:31" x14ac:dyDescent="0.2">
      <c r="B160" s="557"/>
      <c r="C160" s="557"/>
      <c r="D160" s="557"/>
      <c r="E160" s="557"/>
      <c r="F160" s="557"/>
      <c r="G160" s="557"/>
      <c r="H160" s="557"/>
      <c r="I160" s="557"/>
      <c r="J160" s="557"/>
      <c r="K160" s="557"/>
      <c r="M160" s="562"/>
      <c r="N160" s="562"/>
      <c r="O160" s="562"/>
      <c r="P160" s="562"/>
      <c r="Q160" s="562"/>
      <c r="R160" s="562"/>
      <c r="S160" s="562"/>
      <c r="T160" s="562"/>
      <c r="U160" s="562"/>
      <c r="V160" s="562"/>
      <c r="W160" s="562"/>
      <c r="X160" s="562"/>
      <c r="Y160" s="562"/>
      <c r="Z160" s="562"/>
      <c r="AA160" s="562"/>
      <c r="AB160" s="562"/>
      <c r="AC160" s="562"/>
      <c r="AD160" s="562"/>
      <c r="AE160" s="562"/>
    </row>
    <row r="161" spans="2:31" x14ac:dyDescent="0.2">
      <c r="B161" s="557"/>
      <c r="C161" s="557"/>
      <c r="D161" s="557"/>
      <c r="E161" s="557"/>
      <c r="F161" s="557"/>
      <c r="G161" s="557"/>
      <c r="H161" s="557"/>
      <c r="I161" s="557"/>
      <c r="J161" s="557"/>
      <c r="K161" s="557"/>
      <c r="M161" s="562"/>
      <c r="N161" s="562"/>
      <c r="O161" s="562"/>
      <c r="P161" s="562"/>
      <c r="Q161" s="562"/>
      <c r="R161" s="562"/>
      <c r="S161" s="562"/>
      <c r="T161" s="562"/>
      <c r="U161" s="562"/>
      <c r="V161" s="562"/>
      <c r="W161" s="562"/>
      <c r="X161" s="562"/>
      <c r="Y161" s="562"/>
      <c r="Z161" s="562"/>
      <c r="AA161" s="562"/>
      <c r="AB161" s="562"/>
      <c r="AC161" s="562"/>
      <c r="AD161" s="562"/>
      <c r="AE161" s="562"/>
    </row>
    <row r="162" spans="2:31" x14ac:dyDescent="0.2">
      <c r="B162" s="557"/>
      <c r="C162" s="557"/>
      <c r="D162" s="557"/>
      <c r="E162" s="557"/>
      <c r="F162" s="557"/>
      <c r="G162" s="557"/>
      <c r="H162" s="557"/>
      <c r="I162" s="557"/>
      <c r="J162" s="557"/>
      <c r="K162" s="557"/>
      <c r="M162" s="562"/>
      <c r="N162" s="562"/>
      <c r="O162" s="562"/>
      <c r="P162" s="562"/>
      <c r="Q162" s="562"/>
      <c r="R162" s="562"/>
      <c r="S162" s="562"/>
      <c r="T162" s="562"/>
      <c r="U162" s="562"/>
      <c r="V162" s="562"/>
      <c r="W162" s="562"/>
      <c r="X162" s="562"/>
      <c r="Y162" s="562"/>
      <c r="Z162" s="562"/>
      <c r="AA162" s="562"/>
      <c r="AB162" s="562"/>
      <c r="AC162" s="562"/>
      <c r="AD162" s="562"/>
      <c r="AE162" s="562"/>
    </row>
    <row r="163" spans="2:31" x14ac:dyDescent="0.2">
      <c r="B163" s="557"/>
      <c r="C163" s="557"/>
      <c r="D163" s="557"/>
      <c r="E163" s="557"/>
      <c r="F163" s="557"/>
      <c r="G163" s="557"/>
      <c r="H163" s="557"/>
      <c r="I163" s="557"/>
      <c r="J163" s="557"/>
      <c r="K163" s="557"/>
      <c r="M163" s="562"/>
      <c r="N163" s="562"/>
      <c r="O163" s="562"/>
      <c r="P163" s="562"/>
      <c r="Q163" s="562"/>
      <c r="R163" s="562"/>
      <c r="S163" s="562"/>
      <c r="T163" s="562"/>
      <c r="U163" s="562"/>
      <c r="V163" s="562"/>
      <c r="W163" s="562"/>
      <c r="X163" s="562"/>
      <c r="Y163" s="562"/>
      <c r="Z163" s="562"/>
      <c r="AA163" s="562"/>
      <c r="AB163" s="562"/>
      <c r="AC163" s="562"/>
      <c r="AD163" s="562"/>
      <c r="AE163" s="562"/>
    </row>
    <row r="164" spans="2:31" x14ac:dyDescent="0.2">
      <c r="B164" s="557"/>
      <c r="C164" s="557"/>
      <c r="D164" s="557"/>
      <c r="E164" s="557"/>
      <c r="F164" s="557"/>
      <c r="G164" s="557"/>
      <c r="H164" s="557"/>
      <c r="I164" s="557"/>
      <c r="J164" s="557"/>
      <c r="K164" s="557"/>
      <c r="M164" s="562"/>
      <c r="N164" s="562"/>
      <c r="O164" s="562"/>
      <c r="P164" s="562"/>
      <c r="Q164" s="562"/>
      <c r="R164" s="562"/>
      <c r="S164" s="562"/>
      <c r="T164" s="562"/>
      <c r="U164" s="562"/>
      <c r="V164" s="562"/>
      <c r="W164" s="562"/>
      <c r="X164" s="562"/>
      <c r="Y164" s="562"/>
      <c r="Z164" s="562"/>
      <c r="AA164" s="562"/>
      <c r="AB164" s="562"/>
      <c r="AC164" s="562"/>
      <c r="AD164" s="562"/>
      <c r="AE164" s="562"/>
    </row>
    <row r="165" spans="2:31" x14ac:dyDescent="0.2">
      <c r="B165" s="557"/>
      <c r="C165" s="557"/>
      <c r="D165" s="557"/>
      <c r="E165" s="557"/>
      <c r="F165" s="557"/>
      <c r="G165" s="557"/>
      <c r="H165" s="557"/>
      <c r="I165" s="557"/>
      <c r="J165" s="557"/>
      <c r="K165" s="557"/>
      <c r="M165" s="562"/>
      <c r="N165" s="562"/>
      <c r="O165" s="562"/>
      <c r="P165" s="562"/>
      <c r="Q165" s="562"/>
      <c r="R165" s="562"/>
      <c r="S165" s="562"/>
      <c r="T165" s="562"/>
      <c r="U165" s="562"/>
      <c r="V165" s="562"/>
      <c r="W165" s="562"/>
      <c r="X165" s="562"/>
      <c r="Y165" s="562"/>
      <c r="Z165" s="562"/>
      <c r="AA165" s="562"/>
      <c r="AB165" s="562"/>
      <c r="AC165" s="562"/>
      <c r="AD165" s="562"/>
      <c r="AE165" s="562"/>
    </row>
    <row r="166" spans="2:31" x14ac:dyDescent="0.2">
      <c r="B166" s="557"/>
      <c r="C166" s="557"/>
      <c r="D166" s="557"/>
      <c r="E166" s="557"/>
      <c r="F166" s="557"/>
      <c r="G166" s="557"/>
      <c r="H166" s="557"/>
      <c r="I166" s="557"/>
      <c r="J166" s="557"/>
      <c r="K166" s="557"/>
      <c r="M166" s="562"/>
      <c r="N166" s="562"/>
      <c r="O166" s="562"/>
      <c r="P166" s="562"/>
      <c r="Q166" s="562"/>
      <c r="R166" s="562"/>
      <c r="S166" s="562"/>
      <c r="T166" s="562"/>
      <c r="U166" s="562"/>
      <c r="V166" s="562"/>
      <c r="W166" s="562"/>
      <c r="X166" s="562"/>
      <c r="Y166" s="562"/>
      <c r="Z166" s="562"/>
      <c r="AA166" s="562"/>
      <c r="AB166" s="562"/>
      <c r="AC166" s="562"/>
      <c r="AD166" s="562"/>
      <c r="AE166" s="562"/>
    </row>
    <row r="167" spans="2:31" x14ac:dyDescent="0.2">
      <c r="B167" s="557"/>
      <c r="C167" s="557"/>
      <c r="D167" s="557"/>
      <c r="E167" s="557"/>
      <c r="F167" s="557"/>
      <c r="G167" s="557"/>
      <c r="H167" s="557"/>
      <c r="I167" s="557"/>
      <c r="J167" s="557"/>
      <c r="K167" s="557"/>
      <c r="M167" s="562"/>
      <c r="N167" s="562"/>
      <c r="O167" s="562"/>
      <c r="P167" s="562"/>
      <c r="Q167" s="562"/>
      <c r="R167" s="562"/>
      <c r="S167" s="562"/>
      <c r="T167" s="562"/>
      <c r="U167" s="562"/>
      <c r="V167" s="562"/>
      <c r="W167" s="562"/>
      <c r="X167" s="562"/>
      <c r="Y167" s="562"/>
      <c r="Z167" s="562"/>
      <c r="AA167" s="562"/>
      <c r="AB167" s="562"/>
      <c r="AC167" s="562"/>
      <c r="AD167" s="562"/>
      <c r="AE167" s="562"/>
    </row>
    <row r="168" spans="2:31" x14ac:dyDescent="0.2">
      <c r="B168" s="557"/>
      <c r="C168" s="557"/>
      <c r="D168" s="557"/>
      <c r="E168" s="557"/>
      <c r="F168" s="557"/>
      <c r="G168" s="557"/>
      <c r="H168" s="557"/>
      <c r="I168" s="557"/>
      <c r="J168" s="557"/>
      <c r="K168" s="557"/>
      <c r="M168" s="562"/>
      <c r="N168" s="562"/>
      <c r="O168" s="562"/>
      <c r="P168" s="562"/>
      <c r="Q168" s="562"/>
      <c r="R168" s="562"/>
      <c r="S168" s="562"/>
      <c r="T168" s="562"/>
      <c r="U168" s="562"/>
      <c r="V168" s="562"/>
      <c r="W168" s="562"/>
      <c r="X168" s="562"/>
      <c r="Y168" s="562"/>
      <c r="Z168" s="562"/>
      <c r="AA168" s="562"/>
      <c r="AB168" s="562"/>
      <c r="AC168" s="562"/>
      <c r="AD168" s="562"/>
      <c r="AE168" s="562"/>
    </row>
    <row r="169" spans="2:31" x14ac:dyDescent="0.2">
      <c r="B169" s="557"/>
      <c r="C169" s="557"/>
      <c r="D169" s="557"/>
      <c r="E169" s="557"/>
      <c r="F169" s="557"/>
      <c r="G169" s="557"/>
      <c r="H169" s="557"/>
      <c r="I169" s="557"/>
      <c r="J169" s="557"/>
      <c r="K169" s="557"/>
      <c r="M169" s="562"/>
      <c r="N169" s="562"/>
      <c r="O169" s="562"/>
      <c r="P169" s="562"/>
      <c r="Q169" s="562"/>
      <c r="R169" s="562"/>
      <c r="S169" s="562"/>
      <c r="T169" s="562"/>
      <c r="U169" s="562"/>
      <c r="V169" s="562"/>
      <c r="W169" s="562"/>
      <c r="X169" s="562"/>
      <c r="Y169" s="562"/>
      <c r="Z169" s="562"/>
      <c r="AA169" s="562"/>
      <c r="AB169" s="562"/>
      <c r="AC169" s="562"/>
      <c r="AD169" s="562"/>
      <c r="AE169" s="562"/>
    </row>
    <row r="170" spans="2:31" x14ac:dyDescent="0.2">
      <c r="B170" s="557"/>
      <c r="C170" s="557"/>
      <c r="D170" s="557"/>
      <c r="E170" s="557"/>
      <c r="F170" s="557"/>
      <c r="G170" s="557"/>
      <c r="H170" s="557"/>
      <c r="I170" s="557"/>
      <c r="J170" s="557"/>
      <c r="K170" s="557"/>
      <c r="M170" s="562"/>
      <c r="N170" s="562"/>
      <c r="O170" s="562"/>
      <c r="P170" s="562"/>
      <c r="Q170" s="562"/>
      <c r="R170" s="562"/>
      <c r="S170" s="562"/>
      <c r="T170" s="562"/>
      <c r="U170" s="562"/>
      <c r="V170" s="562"/>
      <c r="W170" s="562"/>
      <c r="X170" s="562"/>
      <c r="Y170" s="562"/>
      <c r="Z170" s="562"/>
      <c r="AA170" s="562"/>
      <c r="AB170" s="562"/>
      <c r="AC170" s="562"/>
      <c r="AD170" s="562"/>
      <c r="AE170" s="562"/>
    </row>
    <row r="171" spans="2:31" x14ac:dyDescent="0.2">
      <c r="B171" s="557"/>
      <c r="C171" s="557"/>
      <c r="D171" s="557"/>
      <c r="E171" s="557"/>
      <c r="F171" s="557"/>
      <c r="G171" s="557"/>
      <c r="H171" s="557"/>
      <c r="I171" s="557"/>
      <c r="J171" s="557"/>
      <c r="K171" s="557"/>
      <c r="M171" s="562"/>
      <c r="N171" s="562"/>
      <c r="O171" s="562"/>
      <c r="P171" s="562"/>
      <c r="Q171" s="562"/>
      <c r="R171" s="562"/>
      <c r="S171" s="562"/>
      <c r="T171" s="562"/>
      <c r="U171" s="562"/>
      <c r="V171" s="562"/>
      <c r="W171" s="562"/>
      <c r="X171" s="562"/>
      <c r="Y171" s="562"/>
      <c r="Z171" s="562"/>
      <c r="AA171" s="562"/>
      <c r="AB171" s="562"/>
      <c r="AC171" s="562"/>
      <c r="AD171" s="562"/>
      <c r="AE171" s="562"/>
    </row>
    <row r="172" spans="2:31" x14ac:dyDescent="0.2">
      <c r="B172" s="557"/>
      <c r="C172" s="557"/>
      <c r="D172" s="557"/>
      <c r="E172" s="557"/>
      <c r="F172" s="557"/>
      <c r="G172" s="557"/>
      <c r="H172" s="557"/>
      <c r="I172" s="557"/>
      <c r="J172" s="557"/>
      <c r="K172" s="557"/>
      <c r="M172" s="562"/>
      <c r="N172" s="562"/>
      <c r="O172" s="562"/>
      <c r="P172" s="562"/>
      <c r="Q172" s="562"/>
      <c r="R172" s="562"/>
      <c r="S172" s="562"/>
      <c r="T172" s="562"/>
      <c r="U172" s="562"/>
      <c r="V172" s="562"/>
      <c r="W172" s="562"/>
      <c r="X172" s="562"/>
      <c r="Y172" s="562"/>
      <c r="Z172" s="562"/>
      <c r="AA172" s="562"/>
      <c r="AB172" s="562"/>
      <c r="AC172" s="562"/>
      <c r="AD172" s="562"/>
      <c r="AE172" s="562"/>
    </row>
    <row r="173" spans="2:31" x14ac:dyDescent="0.2">
      <c r="B173" s="557"/>
      <c r="C173" s="557"/>
      <c r="D173" s="557"/>
      <c r="E173" s="557"/>
      <c r="F173" s="557"/>
      <c r="G173" s="557"/>
      <c r="H173" s="557"/>
      <c r="I173" s="557"/>
      <c r="J173" s="557"/>
      <c r="K173" s="557"/>
      <c r="M173" s="562"/>
      <c r="N173" s="562"/>
      <c r="O173" s="562"/>
      <c r="P173" s="562"/>
      <c r="Q173" s="562"/>
      <c r="R173" s="562"/>
      <c r="S173" s="562"/>
      <c r="T173" s="562"/>
      <c r="U173" s="562"/>
      <c r="V173" s="562"/>
      <c r="W173" s="562"/>
      <c r="X173" s="562"/>
      <c r="Y173" s="562"/>
      <c r="Z173" s="562"/>
      <c r="AA173" s="562"/>
      <c r="AB173" s="562"/>
      <c r="AC173" s="562"/>
      <c r="AD173" s="562"/>
      <c r="AE173" s="562"/>
    </row>
    <row r="174" spans="2:31" x14ac:dyDescent="0.2">
      <c r="B174" s="557"/>
      <c r="C174" s="557"/>
      <c r="D174" s="557"/>
      <c r="E174" s="557"/>
      <c r="F174" s="557"/>
      <c r="G174" s="557"/>
      <c r="H174" s="557"/>
      <c r="I174" s="557"/>
      <c r="J174" s="557"/>
      <c r="K174" s="557"/>
      <c r="M174" s="562"/>
      <c r="N174" s="562"/>
      <c r="O174" s="562"/>
      <c r="P174" s="562"/>
      <c r="Q174" s="562"/>
      <c r="R174" s="562"/>
      <c r="S174" s="562"/>
      <c r="T174" s="562"/>
      <c r="U174" s="562"/>
      <c r="V174" s="562"/>
      <c r="W174" s="562"/>
      <c r="X174" s="562"/>
      <c r="Y174" s="562"/>
      <c r="Z174" s="562"/>
      <c r="AA174" s="562"/>
      <c r="AB174" s="562"/>
      <c r="AC174" s="562"/>
      <c r="AD174" s="562"/>
      <c r="AE174" s="562"/>
    </row>
    <row r="175" spans="2:31" x14ac:dyDescent="0.2">
      <c r="B175" s="557"/>
      <c r="C175" s="557"/>
      <c r="D175" s="557"/>
      <c r="E175" s="557"/>
      <c r="F175" s="557"/>
      <c r="G175" s="557"/>
      <c r="H175" s="557"/>
      <c r="I175" s="557"/>
      <c r="J175" s="557"/>
      <c r="K175" s="557"/>
      <c r="M175" s="562"/>
      <c r="N175" s="562"/>
      <c r="O175" s="562"/>
      <c r="P175" s="562"/>
      <c r="Q175" s="562"/>
      <c r="R175" s="562"/>
      <c r="S175" s="562"/>
      <c r="T175" s="562"/>
      <c r="U175" s="562"/>
      <c r="V175" s="562"/>
      <c r="W175" s="562"/>
      <c r="X175" s="562"/>
      <c r="Y175" s="562"/>
      <c r="Z175" s="562"/>
      <c r="AA175" s="562"/>
      <c r="AB175" s="562"/>
      <c r="AC175" s="562"/>
      <c r="AD175" s="562"/>
      <c r="AE175" s="562"/>
    </row>
    <row r="176" spans="2:31" x14ac:dyDescent="0.2">
      <c r="B176" s="557"/>
      <c r="C176" s="557"/>
      <c r="D176" s="557"/>
      <c r="E176" s="557"/>
      <c r="F176" s="557"/>
      <c r="G176" s="557"/>
      <c r="H176" s="557"/>
      <c r="I176" s="557"/>
      <c r="J176" s="557"/>
      <c r="K176" s="557"/>
      <c r="M176" s="562"/>
      <c r="N176" s="562"/>
      <c r="O176" s="562"/>
      <c r="P176" s="562"/>
      <c r="Q176" s="562"/>
      <c r="R176" s="562"/>
      <c r="S176" s="562"/>
      <c r="T176" s="562"/>
      <c r="U176" s="562"/>
      <c r="V176" s="562"/>
      <c r="W176" s="562"/>
      <c r="X176" s="562"/>
      <c r="Y176" s="562"/>
      <c r="Z176" s="562"/>
      <c r="AA176" s="562"/>
      <c r="AB176" s="562"/>
      <c r="AC176" s="562"/>
      <c r="AD176" s="562"/>
      <c r="AE176" s="562"/>
    </row>
    <row r="177" spans="2:31" x14ac:dyDescent="0.2">
      <c r="B177" s="557"/>
      <c r="C177" s="557"/>
      <c r="D177" s="557"/>
      <c r="E177" s="557"/>
      <c r="F177" s="557"/>
      <c r="G177" s="557"/>
      <c r="H177" s="557"/>
      <c r="I177" s="557"/>
      <c r="J177" s="557"/>
      <c r="K177" s="557"/>
      <c r="M177" s="562"/>
      <c r="N177" s="562"/>
      <c r="O177" s="562"/>
      <c r="P177" s="562"/>
      <c r="Q177" s="562"/>
      <c r="R177" s="562"/>
      <c r="S177" s="562"/>
      <c r="T177" s="562"/>
      <c r="U177" s="562"/>
      <c r="V177" s="562"/>
      <c r="W177" s="562"/>
      <c r="X177" s="562"/>
      <c r="Y177" s="562"/>
      <c r="Z177" s="562"/>
      <c r="AA177" s="562"/>
      <c r="AB177" s="562"/>
      <c r="AC177" s="562"/>
      <c r="AD177" s="562"/>
      <c r="AE177" s="562"/>
    </row>
    <row r="178" spans="2:31" x14ac:dyDescent="0.2">
      <c r="B178" s="557"/>
      <c r="C178" s="557"/>
      <c r="D178" s="557"/>
      <c r="E178" s="557"/>
      <c r="F178" s="557"/>
      <c r="G178" s="557"/>
      <c r="H178" s="557"/>
      <c r="I178" s="557"/>
      <c r="J178" s="557"/>
      <c r="K178" s="557"/>
      <c r="M178" s="562"/>
      <c r="N178" s="562"/>
      <c r="O178" s="562"/>
      <c r="P178" s="562"/>
      <c r="Q178" s="562"/>
      <c r="R178" s="562"/>
      <c r="S178" s="562"/>
      <c r="T178" s="562"/>
      <c r="U178" s="562"/>
      <c r="V178" s="562"/>
      <c r="W178" s="562"/>
      <c r="X178" s="562"/>
      <c r="Y178" s="562"/>
      <c r="Z178" s="562"/>
      <c r="AA178" s="562"/>
      <c r="AB178" s="562"/>
      <c r="AC178" s="562"/>
      <c r="AD178" s="562"/>
      <c r="AE178" s="562"/>
    </row>
    <row r="179" spans="2:31" x14ac:dyDescent="0.2">
      <c r="B179" s="557"/>
      <c r="C179" s="557"/>
      <c r="D179" s="557"/>
      <c r="E179" s="557"/>
      <c r="F179" s="557"/>
      <c r="G179" s="557"/>
      <c r="H179" s="557"/>
      <c r="I179" s="557"/>
      <c r="J179" s="557"/>
      <c r="K179" s="557"/>
      <c r="M179" s="562"/>
      <c r="N179" s="562"/>
      <c r="O179" s="562"/>
      <c r="P179" s="562"/>
      <c r="Q179" s="562"/>
      <c r="R179" s="562"/>
      <c r="S179" s="562"/>
      <c r="T179" s="562"/>
      <c r="U179" s="562"/>
      <c r="V179" s="562"/>
      <c r="W179" s="562"/>
      <c r="X179" s="562"/>
      <c r="Y179" s="562"/>
      <c r="Z179" s="562"/>
      <c r="AA179" s="562"/>
      <c r="AB179" s="562"/>
      <c r="AC179" s="562"/>
      <c r="AD179" s="562"/>
      <c r="AE179" s="562"/>
    </row>
    <row r="180" spans="2:31" x14ac:dyDescent="0.2">
      <c r="B180" s="557"/>
      <c r="C180" s="557"/>
      <c r="D180" s="557"/>
      <c r="E180" s="557"/>
      <c r="F180" s="557"/>
      <c r="G180" s="557"/>
      <c r="H180" s="557"/>
      <c r="I180" s="557"/>
      <c r="J180" s="557"/>
      <c r="K180" s="557"/>
      <c r="M180" s="562"/>
      <c r="N180" s="562"/>
      <c r="O180" s="562"/>
      <c r="P180" s="562"/>
      <c r="Q180" s="562"/>
      <c r="R180" s="562"/>
      <c r="S180" s="562"/>
      <c r="T180" s="562"/>
      <c r="U180" s="562"/>
      <c r="V180" s="562"/>
      <c r="W180" s="562"/>
      <c r="X180" s="562"/>
      <c r="Y180" s="562"/>
      <c r="Z180" s="562"/>
      <c r="AA180" s="562"/>
      <c r="AB180" s="562"/>
      <c r="AC180" s="562"/>
      <c r="AD180" s="562"/>
      <c r="AE180" s="562"/>
    </row>
    <row r="181" spans="2:31" x14ac:dyDescent="0.2">
      <c r="B181" s="557"/>
      <c r="C181" s="557"/>
      <c r="D181" s="557"/>
      <c r="E181" s="557"/>
      <c r="F181" s="557"/>
      <c r="G181" s="557"/>
      <c r="H181" s="557"/>
      <c r="I181" s="557"/>
      <c r="J181" s="557"/>
      <c r="K181" s="557"/>
      <c r="M181" s="562"/>
      <c r="N181" s="562"/>
      <c r="O181" s="562"/>
      <c r="P181" s="562"/>
      <c r="Q181" s="562"/>
      <c r="R181" s="562"/>
      <c r="S181" s="562"/>
      <c r="T181" s="562"/>
      <c r="U181" s="562"/>
      <c r="V181" s="562"/>
      <c r="W181" s="562"/>
      <c r="X181" s="562"/>
      <c r="Y181" s="562"/>
      <c r="Z181" s="562"/>
      <c r="AA181" s="562"/>
      <c r="AB181" s="562"/>
      <c r="AC181" s="562"/>
      <c r="AD181" s="562"/>
      <c r="AE181" s="562"/>
    </row>
    <row r="182" spans="2:31" x14ac:dyDescent="0.2">
      <c r="B182" s="557"/>
      <c r="C182" s="557"/>
      <c r="D182" s="557"/>
      <c r="E182" s="557"/>
      <c r="F182" s="557"/>
      <c r="G182" s="557"/>
      <c r="H182" s="557"/>
      <c r="I182" s="557"/>
      <c r="J182" s="557"/>
      <c r="K182" s="557"/>
      <c r="M182" s="562"/>
      <c r="N182" s="562"/>
      <c r="O182" s="562"/>
      <c r="P182" s="562"/>
      <c r="Q182" s="562"/>
      <c r="R182" s="562"/>
      <c r="S182" s="562"/>
      <c r="T182" s="562"/>
      <c r="U182" s="562"/>
      <c r="V182" s="562"/>
      <c r="W182" s="562"/>
      <c r="X182" s="562"/>
      <c r="Y182" s="562"/>
      <c r="Z182" s="562"/>
      <c r="AA182" s="562"/>
      <c r="AB182" s="562"/>
      <c r="AC182" s="562"/>
      <c r="AD182" s="562"/>
      <c r="AE182" s="562"/>
    </row>
    <row r="183" spans="2:31" x14ac:dyDescent="0.2">
      <c r="B183" s="557"/>
      <c r="C183" s="557"/>
      <c r="D183" s="557"/>
      <c r="E183" s="557"/>
      <c r="F183" s="557"/>
      <c r="G183" s="557"/>
      <c r="H183" s="557"/>
      <c r="I183" s="557"/>
      <c r="J183" s="557"/>
      <c r="K183" s="557"/>
      <c r="M183" s="562"/>
      <c r="N183" s="562"/>
      <c r="O183" s="562"/>
      <c r="P183" s="562"/>
      <c r="Q183" s="562"/>
      <c r="R183" s="562"/>
      <c r="S183" s="562"/>
      <c r="T183" s="562"/>
      <c r="U183" s="562"/>
      <c r="V183" s="562"/>
      <c r="W183" s="562"/>
      <c r="X183" s="562"/>
      <c r="Y183" s="562"/>
      <c r="Z183" s="562"/>
      <c r="AA183" s="562"/>
      <c r="AB183" s="562"/>
      <c r="AC183" s="562"/>
      <c r="AD183" s="562"/>
      <c r="AE183" s="562"/>
    </row>
    <row r="184" spans="2:31" x14ac:dyDescent="0.2">
      <c r="B184" s="557"/>
      <c r="C184" s="557"/>
      <c r="D184" s="557"/>
      <c r="E184" s="557"/>
      <c r="F184" s="557"/>
      <c r="G184" s="557"/>
      <c r="H184" s="557"/>
      <c r="I184" s="557"/>
      <c r="J184" s="557"/>
      <c r="K184" s="557"/>
      <c r="M184" s="562"/>
      <c r="N184" s="562"/>
      <c r="O184" s="562"/>
      <c r="P184" s="562"/>
      <c r="Q184" s="562"/>
      <c r="R184" s="562"/>
      <c r="S184" s="562"/>
      <c r="T184" s="562"/>
      <c r="U184" s="562"/>
      <c r="V184" s="562"/>
      <c r="W184" s="562"/>
      <c r="X184" s="562"/>
      <c r="Y184" s="562"/>
      <c r="Z184" s="562"/>
      <c r="AA184" s="562"/>
      <c r="AB184" s="562"/>
      <c r="AC184" s="562"/>
      <c r="AD184" s="562"/>
      <c r="AE184" s="562"/>
    </row>
    <row r="185" spans="2:31" x14ac:dyDescent="0.2">
      <c r="B185" s="557"/>
      <c r="C185" s="557"/>
      <c r="D185" s="557"/>
      <c r="E185" s="557"/>
      <c r="F185" s="557"/>
      <c r="G185" s="557"/>
      <c r="H185" s="557"/>
      <c r="I185" s="557"/>
      <c r="J185" s="557"/>
      <c r="K185" s="557"/>
      <c r="M185" s="562"/>
      <c r="N185" s="562"/>
      <c r="O185" s="562"/>
      <c r="P185" s="562"/>
      <c r="Q185" s="562"/>
      <c r="R185" s="562"/>
      <c r="S185" s="562"/>
      <c r="T185" s="562"/>
      <c r="U185" s="562"/>
      <c r="V185" s="562"/>
      <c r="W185" s="562"/>
      <c r="X185" s="562"/>
      <c r="Y185" s="562"/>
      <c r="Z185" s="562"/>
      <c r="AA185" s="562"/>
      <c r="AB185" s="562"/>
      <c r="AC185" s="562"/>
      <c r="AD185" s="562"/>
      <c r="AE185" s="562"/>
    </row>
    <row r="186" spans="2:31" x14ac:dyDescent="0.2">
      <c r="B186" s="557"/>
      <c r="C186" s="557"/>
      <c r="D186" s="557"/>
      <c r="E186" s="557"/>
      <c r="F186" s="557"/>
      <c r="G186" s="557"/>
      <c r="H186" s="557"/>
      <c r="I186" s="557"/>
      <c r="J186" s="557"/>
      <c r="K186" s="557"/>
      <c r="M186" s="562"/>
      <c r="N186" s="562"/>
      <c r="O186" s="562"/>
      <c r="P186" s="562"/>
      <c r="Q186" s="562"/>
      <c r="R186" s="562"/>
      <c r="S186" s="562"/>
      <c r="T186" s="562"/>
      <c r="U186" s="562"/>
      <c r="V186" s="562"/>
      <c r="W186" s="562"/>
      <c r="X186" s="562"/>
      <c r="Y186" s="562"/>
      <c r="Z186" s="562"/>
      <c r="AA186" s="562"/>
      <c r="AB186" s="562"/>
      <c r="AC186" s="562"/>
      <c r="AD186" s="562"/>
      <c r="AE186" s="562"/>
    </row>
    <row r="187" spans="2:31" x14ac:dyDescent="0.2">
      <c r="B187" s="557"/>
      <c r="C187" s="557"/>
      <c r="D187" s="557"/>
      <c r="E187" s="557"/>
      <c r="F187" s="557"/>
      <c r="G187" s="557"/>
      <c r="H187" s="557"/>
      <c r="I187" s="557"/>
      <c r="J187" s="557"/>
      <c r="K187" s="557"/>
      <c r="M187" s="562"/>
      <c r="N187" s="562"/>
      <c r="O187" s="562"/>
      <c r="P187" s="562"/>
      <c r="Q187" s="562"/>
      <c r="R187" s="562"/>
      <c r="S187" s="562"/>
      <c r="T187" s="562"/>
      <c r="U187" s="562"/>
      <c r="V187" s="562"/>
      <c r="W187" s="562"/>
      <c r="X187" s="562"/>
      <c r="Y187" s="562"/>
      <c r="Z187" s="562"/>
      <c r="AA187" s="562"/>
      <c r="AB187" s="562"/>
      <c r="AC187" s="562"/>
      <c r="AD187" s="562"/>
      <c r="AE187" s="562"/>
    </row>
    <row r="188" spans="2:31" x14ac:dyDescent="0.2">
      <c r="B188" s="557"/>
      <c r="C188" s="557"/>
      <c r="D188" s="557"/>
      <c r="E188" s="557"/>
      <c r="F188" s="557"/>
      <c r="G188" s="557"/>
      <c r="H188" s="557"/>
      <c r="I188" s="557"/>
      <c r="J188" s="557"/>
      <c r="K188" s="557"/>
      <c r="M188" s="562"/>
      <c r="N188" s="562"/>
      <c r="O188" s="562"/>
      <c r="P188" s="562"/>
      <c r="Q188" s="562"/>
      <c r="R188" s="562"/>
      <c r="S188" s="562"/>
      <c r="T188" s="562"/>
      <c r="U188" s="562"/>
      <c r="V188" s="562"/>
      <c r="W188" s="562"/>
      <c r="X188" s="562"/>
      <c r="Y188" s="562"/>
      <c r="Z188" s="562"/>
      <c r="AA188" s="562"/>
      <c r="AB188" s="562"/>
      <c r="AC188" s="562"/>
      <c r="AD188" s="562"/>
      <c r="AE188" s="562"/>
    </row>
    <row r="189" spans="2:31" x14ac:dyDescent="0.2">
      <c r="B189" s="557"/>
      <c r="C189" s="557"/>
      <c r="D189" s="557"/>
      <c r="E189" s="557"/>
      <c r="F189" s="557"/>
      <c r="G189" s="557"/>
      <c r="H189" s="557"/>
      <c r="I189" s="557"/>
      <c r="J189" s="557"/>
      <c r="K189" s="557"/>
      <c r="M189" s="562"/>
      <c r="N189" s="562"/>
      <c r="O189" s="562"/>
      <c r="P189" s="562"/>
      <c r="Q189" s="562"/>
      <c r="R189" s="562"/>
      <c r="S189" s="562"/>
      <c r="T189" s="562"/>
      <c r="U189" s="562"/>
      <c r="V189" s="562"/>
      <c r="W189" s="562"/>
      <c r="X189" s="562"/>
      <c r="Y189" s="562"/>
      <c r="Z189" s="562"/>
      <c r="AA189" s="562"/>
      <c r="AB189" s="562"/>
      <c r="AC189" s="562"/>
      <c r="AD189" s="562"/>
      <c r="AE189" s="562"/>
    </row>
    <row r="190" spans="2:31" x14ac:dyDescent="0.2">
      <c r="B190" s="557"/>
      <c r="C190" s="557"/>
      <c r="D190" s="557"/>
      <c r="E190" s="557"/>
      <c r="F190" s="557"/>
      <c r="G190" s="557"/>
      <c r="H190" s="557"/>
      <c r="I190" s="557"/>
      <c r="J190" s="557"/>
      <c r="K190" s="557"/>
      <c r="M190" s="562"/>
      <c r="N190" s="562"/>
      <c r="O190" s="562"/>
      <c r="P190" s="562"/>
      <c r="Q190" s="562"/>
      <c r="R190" s="562"/>
      <c r="S190" s="562"/>
      <c r="T190" s="562"/>
      <c r="U190" s="562"/>
      <c r="V190" s="562"/>
      <c r="W190" s="562"/>
      <c r="X190" s="562"/>
      <c r="Y190" s="562"/>
      <c r="Z190" s="562"/>
      <c r="AA190" s="562"/>
      <c r="AB190" s="562"/>
      <c r="AC190" s="562"/>
      <c r="AD190" s="562"/>
      <c r="AE190" s="562"/>
    </row>
    <row r="191" spans="2:31" x14ac:dyDescent="0.2">
      <c r="B191" s="557"/>
      <c r="C191" s="557"/>
      <c r="D191" s="557"/>
      <c r="E191" s="557"/>
      <c r="F191" s="557"/>
      <c r="G191" s="557"/>
      <c r="H191" s="557"/>
      <c r="I191" s="557"/>
      <c r="J191" s="557"/>
      <c r="K191" s="557"/>
      <c r="M191" s="562"/>
      <c r="N191" s="562"/>
      <c r="O191" s="562"/>
      <c r="P191" s="562"/>
      <c r="Q191" s="562"/>
      <c r="R191" s="562"/>
      <c r="S191" s="562"/>
      <c r="T191" s="562"/>
      <c r="U191" s="562"/>
      <c r="V191" s="562"/>
      <c r="W191" s="562"/>
      <c r="X191" s="562"/>
      <c r="Y191" s="562"/>
      <c r="Z191" s="562"/>
      <c r="AA191" s="562"/>
      <c r="AB191" s="562"/>
      <c r="AC191" s="562"/>
      <c r="AD191" s="562"/>
      <c r="AE191" s="562"/>
    </row>
    <row r="192" spans="2:31" x14ac:dyDescent="0.2">
      <c r="B192" s="557"/>
      <c r="C192" s="557"/>
      <c r="D192" s="557"/>
      <c r="E192" s="557"/>
      <c r="F192" s="557"/>
      <c r="G192" s="557"/>
      <c r="H192" s="557"/>
      <c r="I192" s="557"/>
      <c r="J192" s="557"/>
      <c r="K192" s="557"/>
      <c r="M192" s="562"/>
      <c r="N192" s="562"/>
      <c r="O192" s="562"/>
      <c r="P192" s="562"/>
      <c r="Q192" s="562"/>
      <c r="R192" s="562"/>
      <c r="S192" s="562"/>
      <c r="T192" s="562"/>
      <c r="U192" s="562"/>
      <c r="V192" s="562"/>
      <c r="W192" s="562"/>
      <c r="X192" s="562"/>
      <c r="Y192" s="562"/>
      <c r="Z192" s="562"/>
      <c r="AA192" s="562"/>
      <c r="AB192" s="562"/>
      <c r="AC192" s="562"/>
      <c r="AD192" s="562"/>
      <c r="AE192" s="562"/>
    </row>
    <row r="193" spans="2:31" x14ac:dyDescent="0.2">
      <c r="B193" s="557"/>
      <c r="C193" s="557"/>
      <c r="D193" s="557"/>
      <c r="E193" s="557"/>
      <c r="F193" s="557"/>
      <c r="G193" s="557"/>
      <c r="H193" s="557"/>
      <c r="I193" s="557"/>
      <c r="J193" s="557"/>
      <c r="K193" s="557"/>
      <c r="M193" s="562"/>
      <c r="N193" s="562"/>
      <c r="O193" s="562"/>
      <c r="P193" s="562"/>
      <c r="Q193" s="562"/>
      <c r="R193" s="562"/>
      <c r="S193" s="562"/>
      <c r="T193" s="562"/>
      <c r="U193" s="562"/>
      <c r="V193" s="562"/>
      <c r="W193" s="562"/>
      <c r="X193" s="562"/>
      <c r="Y193" s="562"/>
      <c r="Z193" s="562"/>
      <c r="AA193" s="562"/>
      <c r="AB193" s="562"/>
      <c r="AC193" s="562"/>
      <c r="AD193" s="562"/>
      <c r="AE193" s="562"/>
    </row>
    <row r="194" spans="2:31" x14ac:dyDescent="0.2">
      <c r="B194" s="557"/>
      <c r="C194" s="557"/>
      <c r="D194" s="557"/>
      <c r="E194" s="557"/>
      <c r="F194" s="557"/>
      <c r="G194" s="557"/>
      <c r="H194" s="557"/>
      <c r="I194" s="557"/>
      <c r="J194" s="557"/>
      <c r="K194" s="557"/>
      <c r="M194" s="562"/>
      <c r="N194" s="562"/>
      <c r="O194" s="562"/>
      <c r="P194" s="562"/>
      <c r="Q194" s="562"/>
      <c r="R194" s="562"/>
      <c r="S194" s="562"/>
      <c r="T194" s="562"/>
      <c r="U194" s="562"/>
      <c r="V194" s="562"/>
      <c r="W194" s="562"/>
      <c r="X194" s="562"/>
      <c r="Y194" s="562"/>
      <c r="Z194" s="562"/>
      <c r="AA194" s="562"/>
      <c r="AB194" s="562"/>
      <c r="AC194" s="562"/>
      <c r="AD194" s="562"/>
      <c r="AE194" s="562"/>
    </row>
    <row r="195" spans="2:31" x14ac:dyDescent="0.2">
      <c r="B195" s="557"/>
      <c r="C195" s="557"/>
      <c r="D195" s="557"/>
      <c r="E195" s="557"/>
      <c r="F195" s="557"/>
      <c r="G195" s="557"/>
      <c r="H195" s="557"/>
      <c r="I195" s="557"/>
      <c r="J195" s="557"/>
      <c r="K195" s="557"/>
      <c r="M195" s="562"/>
      <c r="N195" s="562"/>
      <c r="O195" s="562"/>
      <c r="P195" s="562"/>
      <c r="Q195" s="562"/>
      <c r="R195" s="562"/>
      <c r="S195" s="562"/>
      <c r="T195" s="562"/>
      <c r="U195" s="562"/>
      <c r="V195" s="562"/>
      <c r="W195" s="562"/>
      <c r="X195" s="562"/>
      <c r="Y195" s="562"/>
      <c r="Z195" s="562"/>
      <c r="AA195" s="562"/>
      <c r="AB195" s="562"/>
      <c r="AC195" s="562"/>
      <c r="AD195" s="562"/>
      <c r="AE195" s="562"/>
    </row>
    <row r="196" spans="2:31" x14ac:dyDescent="0.2">
      <c r="B196" s="557"/>
      <c r="C196" s="557"/>
      <c r="D196" s="557"/>
      <c r="E196" s="557"/>
      <c r="F196" s="557"/>
      <c r="G196" s="557"/>
      <c r="H196" s="557"/>
      <c r="I196" s="557"/>
      <c r="J196" s="557"/>
      <c r="K196" s="557"/>
      <c r="M196" s="562"/>
      <c r="N196" s="562"/>
      <c r="O196" s="562"/>
      <c r="P196" s="562"/>
      <c r="Q196" s="562"/>
      <c r="R196" s="562"/>
      <c r="S196" s="562"/>
      <c r="T196" s="562"/>
      <c r="U196" s="562"/>
      <c r="V196" s="562"/>
      <c r="W196" s="562"/>
      <c r="X196" s="562"/>
      <c r="Y196" s="562"/>
      <c r="Z196" s="562"/>
      <c r="AA196" s="562"/>
      <c r="AB196" s="562"/>
      <c r="AC196" s="562"/>
      <c r="AD196" s="562"/>
      <c r="AE196" s="562"/>
    </row>
    <row r="197" spans="2:31" x14ac:dyDescent="0.2">
      <c r="B197" s="557"/>
      <c r="C197" s="557"/>
      <c r="D197" s="557"/>
      <c r="E197" s="557"/>
      <c r="F197" s="557"/>
      <c r="G197" s="557"/>
      <c r="H197" s="557"/>
      <c r="I197" s="557"/>
      <c r="J197" s="557"/>
      <c r="K197" s="557"/>
      <c r="M197" s="562"/>
      <c r="N197" s="562"/>
      <c r="O197" s="562"/>
      <c r="P197" s="562"/>
      <c r="Q197" s="562"/>
      <c r="R197" s="562"/>
      <c r="S197" s="562"/>
      <c r="T197" s="562"/>
      <c r="U197" s="562"/>
      <c r="V197" s="562"/>
      <c r="W197" s="562"/>
      <c r="X197" s="562"/>
      <c r="Y197" s="562"/>
      <c r="Z197" s="562"/>
      <c r="AA197" s="562"/>
      <c r="AB197" s="562"/>
      <c r="AC197" s="562"/>
      <c r="AD197" s="562"/>
      <c r="AE197" s="562"/>
    </row>
    <row r="198" spans="2:31" x14ac:dyDescent="0.2">
      <c r="B198" s="557"/>
      <c r="C198" s="557"/>
      <c r="D198" s="557"/>
      <c r="E198" s="557"/>
      <c r="F198" s="557"/>
      <c r="G198" s="557"/>
      <c r="H198" s="557"/>
      <c r="I198" s="557"/>
      <c r="J198" s="557"/>
      <c r="K198" s="557"/>
      <c r="M198" s="562"/>
      <c r="N198" s="562"/>
      <c r="O198" s="562"/>
      <c r="P198" s="562"/>
      <c r="Q198" s="562"/>
      <c r="R198" s="562"/>
      <c r="S198" s="562"/>
      <c r="T198" s="562"/>
      <c r="U198" s="562"/>
      <c r="V198" s="562"/>
      <c r="W198" s="562"/>
      <c r="X198" s="562"/>
      <c r="Y198" s="562"/>
      <c r="Z198" s="562"/>
      <c r="AA198" s="562"/>
      <c r="AB198" s="562"/>
      <c r="AC198" s="562"/>
      <c r="AD198" s="562"/>
      <c r="AE198" s="562"/>
    </row>
    <row r="199" spans="2:31" x14ac:dyDescent="0.2">
      <c r="B199" s="557"/>
      <c r="C199" s="557"/>
      <c r="D199" s="557"/>
      <c r="E199" s="557"/>
      <c r="F199" s="557"/>
      <c r="G199" s="557"/>
      <c r="H199" s="557"/>
      <c r="I199" s="557"/>
      <c r="J199" s="557"/>
      <c r="K199" s="557"/>
      <c r="M199" s="562"/>
      <c r="N199" s="562"/>
      <c r="O199" s="562"/>
      <c r="P199" s="562"/>
      <c r="Q199" s="562"/>
      <c r="R199" s="562"/>
      <c r="S199" s="562"/>
      <c r="T199" s="562"/>
      <c r="U199" s="562"/>
      <c r="V199" s="562"/>
      <c r="W199" s="562"/>
      <c r="X199" s="562"/>
      <c r="Y199" s="562"/>
      <c r="Z199" s="562"/>
      <c r="AA199" s="562"/>
      <c r="AB199" s="562"/>
      <c r="AC199" s="562"/>
      <c r="AD199" s="562"/>
      <c r="AE199" s="562"/>
    </row>
    <row r="200" spans="2:31" x14ac:dyDescent="0.2">
      <c r="B200" s="557"/>
      <c r="C200" s="557"/>
      <c r="D200" s="557"/>
      <c r="E200" s="557"/>
      <c r="F200" s="557"/>
      <c r="G200" s="557"/>
      <c r="H200" s="557"/>
      <c r="I200" s="557"/>
      <c r="J200" s="557"/>
      <c r="K200" s="557"/>
      <c r="M200" s="562"/>
      <c r="N200" s="562"/>
      <c r="O200" s="562"/>
      <c r="P200" s="562"/>
      <c r="Q200" s="562"/>
      <c r="R200" s="562"/>
      <c r="S200" s="562"/>
      <c r="T200" s="562"/>
      <c r="U200" s="562"/>
      <c r="V200" s="562"/>
      <c r="W200" s="562"/>
      <c r="X200" s="562"/>
      <c r="Y200" s="562"/>
      <c r="Z200" s="562"/>
      <c r="AA200" s="562"/>
      <c r="AB200" s="562"/>
      <c r="AC200" s="562"/>
      <c r="AD200" s="562"/>
      <c r="AE200" s="562"/>
    </row>
    <row r="201" spans="2:31" x14ac:dyDescent="0.2">
      <c r="B201" s="557"/>
      <c r="C201" s="557"/>
      <c r="D201" s="557"/>
      <c r="E201" s="557"/>
      <c r="F201" s="557"/>
      <c r="G201" s="557"/>
      <c r="H201" s="557"/>
      <c r="I201" s="557"/>
      <c r="J201" s="557"/>
      <c r="K201" s="557"/>
      <c r="M201" s="562"/>
      <c r="N201" s="562"/>
      <c r="O201" s="562"/>
      <c r="P201" s="562"/>
      <c r="Q201" s="562"/>
      <c r="R201" s="562"/>
      <c r="S201" s="562"/>
      <c r="T201" s="562"/>
      <c r="U201" s="562"/>
      <c r="V201" s="562"/>
      <c r="W201" s="562"/>
      <c r="X201" s="562"/>
      <c r="Y201" s="562"/>
      <c r="Z201" s="562"/>
      <c r="AA201" s="562"/>
      <c r="AB201" s="562"/>
      <c r="AC201" s="562"/>
      <c r="AD201" s="562"/>
      <c r="AE201" s="562"/>
    </row>
    <row r="202" spans="2:31" x14ac:dyDescent="0.2">
      <c r="B202" s="557"/>
      <c r="C202" s="557"/>
      <c r="D202" s="557"/>
      <c r="E202" s="557"/>
      <c r="F202" s="557"/>
      <c r="G202" s="557"/>
      <c r="H202" s="557"/>
      <c r="I202" s="557"/>
      <c r="J202" s="557"/>
      <c r="K202" s="557"/>
      <c r="M202" s="562"/>
      <c r="N202" s="562"/>
      <c r="O202" s="562"/>
      <c r="P202" s="562"/>
      <c r="Q202" s="562"/>
      <c r="R202" s="562"/>
      <c r="S202" s="562"/>
      <c r="T202" s="562"/>
      <c r="U202" s="562"/>
      <c r="V202" s="562"/>
      <c r="W202" s="562"/>
      <c r="X202" s="562"/>
      <c r="Y202" s="562"/>
      <c r="Z202" s="562"/>
      <c r="AA202" s="562"/>
      <c r="AB202" s="562"/>
      <c r="AC202" s="562"/>
      <c r="AD202" s="562"/>
      <c r="AE202" s="562"/>
    </row>
    <row r="203" spans="2:31" x14ac:dyDescent="0.2">
      <c r="B203" s="557"/>
      <c r="C203" s="557"/>
      <c r="D203" s="557"/>
      <c r="E203" s="557"/>
      <c r="F203" s="557"/>
      <c r="G203" s="557"/>
      <c r="H203" s="557"/>
      <c r="I203" s="557"/>
      <c r="J203" s="557"/>
      <c r="K203" s="557"/>
      <c r="M203" s="562"/>
      <c r="N203" s="562"/>
      <c r="O203" s="562"/>
      <c r="P203" s="562"/>
      <c r="Q203" s="562"/>
      <c r="R203" s="562"/>
      <c r="S203" s="562"/>
      <c r="T203" s="562"/>
      <c r="U203" s="562"/>
      <c r="V203" s="562"/>
      <c r="W203" s="562"/>
      <c r="X203" s="562"/>
      <c r="Y203" s="562"/>
      <c r="Z203" s="562"/>
      <c r="AA203" s="562"/>
      <c r="AB203" s="562"/>
      <c r="AC203" s="562"/>
      <c r="AD203" s="562"/>
      <c r="AE203" s="562"/>
    </row>
    <row r="204" spans="2:31" x14ac:dyDescent="0.2">
      <c r="B204" s="557"/>
      <c r="C204" s="557"/>
      <c r="D204" s="557"/>
      <c r="E204" s="557"/>
      <c r="F204" s="557"/>
      <c r="G204" s="557"/>
      <c r="H204" s="557"/>
      <c r="I204" s="557"/>
      <c r="J204" s="557"/>
      <c r="K204" s="557"/>
      <c r="M204" s="562"/>
      <c r="N204" s="562"/>
      <c r="O204" s="562"/>
      <c r="P204" s="562"/>
      <c r="Q204" s="562"/>
      <c r="R204" s="562"/>
      <c r="S204" s="562"/>
      <c r="T204" s="562"/>
      <c r="U204" s="562"/>
      <c r="V204" s="562"/>
      <c r="W204" s="562"/>
      <c r="X204" s="562"/>
      <c r="Y204" s="562"/>
      <c r="Z204" s="562"/>
      <c r="AA204" s="562"/>
      <c r="AB204" s="562"/>
      <c r="AC204" s="562"/>
      <c r="AD204" s="562"/>
      <c r="AE204" s="562"/>
    </row>
    <row r="205" spans="2:31" x14ac:dyDescent="0.2">
      <c r="B205" s="557"/>
      <c r="C205" s="557"/>
      <c r="D205" s="557"/>
      <c r="E205" s="557"/>
      <c r="F205" s="557"/>
      <c r="G205" s="557"/>
      <c r="H205" s="557"/>
      <c r="I205" s="557"/>
      <c r="J205" s="557"/>
      <c r="K205" s="557"/>
      <c r="M205" s="562"/>
      <c r="N205" s="562"/>
      <c r="O205" s="562"/>
      <c r="P205" s="562"/>
      <c r="Q205" s="562"/>
      <c r="R205" s="562"/>
      <c r="S205" s="562"/>
      <c r="T205" s="562"/>
      <c r="U205" s="562"/>
      <c r="V205" s="562"/>
      <c r="W205" s="562"/>
      <c r="X205" s="562"/>
      <c r="Y205" s="562"/>
      <c r="Z205" s="562"/>
      <c r="AA205" s="562"/>
      <c r="AB205" s="562"/>
      <c r="AC205" s="562"/>
      <c r="AD205" s="562"/>
      <c r="AE205" s="562"/>
    </row>
    <row r="206" spans="2:31" x14ac:dyDescent="0.2">
      <c r="B206" s="557"/>
      <c r="C206" s="557"/>
      <c r="D206" s="557"/>
      <c r="E206" s="557"/>
      <c r="F206" s="557"/>
      <c r="G206" s="557"/>
      <c r="H206" s="557"/>
      <c r="I206" s="557"/>
      <c r="J206" s="557"/>
      <c r="K206" s="557"/>
      <c r="M206" s="562"/>
      <c r="N206" s="562"/>
      <c r="O206" s="562"/>
      <c r="P206" s="562"/>
      <c r="Q206" s="562"/>
      <c r="R206" s="562"/>
      <c r="S206" s="562"/>
      <c r="T206" s="562"/>
      <c r="U206" s="562"/>
      <c r="V206" s="562"/>
      <c r="W206" s="562"/>
      <c r="X206" s="562"/>
      <c r="Y206" s="562"/>
      <c r="Z206" s="562"/>
      <c r="AA206" s="562"/>
      <c r="AB206" s="562"/>
      <c r="AC206" s="562"/>
      <c r="AD206" s="562"/>
      <c r="AE206" s="562"/>
    </row>
    <row r="207" spans="2:31" x14ac:dyDescent="0.2">
      <c r="B207" s="557"/>
      <c r="C207" s="557"/>
      <c r="D207" s="557"/>
      <c r="E207" s="557"/>
      <c r="F207" s="557"/>
      <c r="G207" s="557"/>
      <c r="H207" s="557"/>
      <c r="I207" s="557"/>
      <c r="J207" s="557"/>
      <c r="K207" s="557"/>
      <c r="M207" s="562"/>
      <c r="N207" s="562"/>
      <c r="O207" s="562"/>
      <c r="P207" s="562"/>
      <c r="Q207" s="562"/>
      <c r="R207" s="562"/>
      <c r="S207" s="562"/>
      <c r="T207" s="562"/>
      <c r="U207" s="562"/>
      <c r="V207" s="562"/>
      <c r="W207" s="562"/>
      <c r="X207" s="562"/>
      <c r="Y207" s="562"/>
      <c r="Z207" s="562"/>
      <c r="AA207" s="562"/>
      <c r="AB207" s="562"/>
      <c r="AC207" s="562"/>
      <c r="AD207" s="562"/>
      <c r="AE207" s="562"/>
    </row>
    <row r="208" spans="2:31" x14ac:dyDescent="0.2">
      <c r="B208" s="557"/>
      <c r="C208" s="557"/>
      <c r="D208" s="557"/>
      <c r="E208" s="557"/>
      <c r="F208" s="557"/>
      <c r="G208" s="557"/>
      <c r="H208" s="557"/>
      <c r="I208" s="557"/>
      <c r="J208" s="557"/>
      <c r="K208" s="557"/>
      <c r="M208" s="562"/>
      <c r="N208" s="562"/>
      <c r="O208" s="562"/>
      <c r="P208" s="562"/>
      <c r="Q208" s="562"/>
      <c r="R208" s="562"/>
      <c r="S208" s="562"/>
      <c r="T208" s="562"/>
      <c r="U208" s="562"/>
      <c r="V208" s="562"/>
      <c r="W208" s="562"/>
      <c r="X208" s="562"/>
      <c r="Y208" s="562"/>
      <c r="Z208" s="562"/>
      <c r="AA208" s="562"/>
      <c r="AB208" s="562"/>
      <c r="AC208" s="562"/>
      <c r="AD208" s="562"/>
      <c r="AE208" s="562"/>
    </row>
    <row r="209" spans="2:31" x14ac:dyDescent="0.2">
      <c r="B209" s="557"/>
      <c r="C209" s="557"/>
      <c r="D209" s="557"/>
      <c r="E209" s="557"/>
      <c r="F209" s="557"/>
      <c r="G209" s="557"/>
      <c r="H209" s="557"/>
      <c r="I209" s="557"/>
      <c r="J209" s="557"/>
      <c r="K209" s="557"/>
      <c r="M209" s="562"/>
      <c r="N209" s="562"/>
      <c r="O209" s="562"/>
      <c r="P209" s="562"/>
      <c r="Q209" s="562"/>
      <c r="R209" s="562"/>
      <c r="S209" s="562"/>
      <c r="T209" s="562"/>
      <c r="U209" s="562"/>
      <c r="V209" s="562"/>
      <c r="W209" s="562"/>
      <c r="X209" s="562"/>
      <c r="Y209" s="562"/>
      <c r="Z209" s="562"/>
      <c r="AA209" s="562"/>
      <c r="AB209" s="562"/>
      <c r="AC209" s="562"/>
      <c r="AD209" s="562"/>
      <c r="AE209" s="562"/>
    </row>
    <row r="210" spans="2:31" x14ac:dyDescent="0.2">
      <c r="B210" s="557"/>
      <c r="C210" s="557"/>
      <c r="D210" s="557"/>
      <c r="E210" s="557"/>
      <c r="F210" s="557"/>
      <c r="G210" s="557"/>
      <c r="H210" s="557"/>
      <c r="I210" s="557"/>
      <c r="J210" s="557"/>
      <c r="K210" s="557"/>
      <c r="M210" s="562"/>
      <c r="N210" s="562"/>
      <c r="O210" s="562"/>
      <c r="P210" s="562"/>
      <c r="Q210" s="562"/>
      <c r="R210" s="562"/>
      <c r="S210" s="562"/>
      <c r="T210" s="562"/>
      <c r="U210" s="562"/>
      <c r="V210" s="562"/>
      <c r="W210" s="562"/>
      <c r="X210" s="562"/>
      <c r="Y210" s="562"/>
      <c r="Z210" s="562"/>
      <c r="AA210" s="562"/>
      <c r="AB210" s="562"/>
      <c r="AC210" s="562"/>
      <c r="AD210" s="562"/>
      <c r="AE210" s="562"/>
    </row>
    <row r="211" spans="2:31" x14ac:dyDescent="0.2">
      <c r="B211" s="557"/>
      <c r="C211" s="557"/>
      <c r="D211" s="557"/>
      <c r="E211" s="557"/>
      <c r="F211" s="557"/>
      <c r="G211" s="557"/>
      <c r="H211" s="557"/>
      <c r="I211" s="557"/>
      <c r="J211" s="557"/>
      <c r="K211" s="557"/>
      <c r="M211" s="562"/>
      <c r="N211" s="562"/>
      <c r="O211" s="562"/>
      <c r="P211" s="562"/>
      <c r="Q211" s="562"/>
      <c r="R211" s="562"/>
      <c r="S211" s="562"/>
      <c r="T211" s="562"/>
      <c r="U211" s="562"/>
      <c r="V211" s="562"/>
      <c r="W211" s="562"/>
      <c r="X211" s="562"/>
      <c r="Y211" s="562"/>
      <c r="Z211" s="562"/>
      <c r="AA211" s="562"/>
      <c r="AB211" s="562"/>
      <c r="AC211" s="562"/>
      <c r="AD211" s="562"/>
      <c r="AE211" s="562"/>
    </row>
    <row r="212" spans="2:31" x14ac:dyDescent="0.2">
      <c r="B212" s="557"/>
      <c r="C212" s="557"/>
      <c r="D212" s="557"/>
      <c r="E212" s="557"/>
      <c r="F212" s="557"/>
      <c r="G212" s="557"/>
      <c r="H212" s="557"/>
      <c r="I212" s="557"/>
      <c r="J212" s="557"/>
      <c r="K212" s="557"/>
      <c r="M212" s="562"/>
      <c r="N212" s="562"/>
      <c r="O212" s="562"/>
      <c r="P212" s="562"/>
      <c r="Q212" s="562"/>
      <c r="R212" s="562"/>
      <c r="S212" s="562"/>
      <c r="T212" s="562"/>
      <c r="U212" s="562"/>
      <c r="V212" s="562"/>
      <c r="W212" s="562"/>
      <c r="X212" s="562"/>
      <c r="Y212" s="562"/>
      <c r="Z212" s="562"/>
      <c r="AA212" s="562"/>
      <c r="AB212" s="562"/>
      <c r="AC212" s="562"/>
      <c r="AD212" s="562"/>
      <c r="AE212" s="562"/>
    </row>
    <row r="213" spans="2:31" x14ac:dyDescent="0.2">
      <c r="B213" s="557"/>
      <c r="C213" s="557"/>
      <c r="D213" s="557"/>
      <c r="E213" s="557"/>
      <c r="F213" s="557"/>
      <c r="G213" s="557"/>
      <c r="H213" s="557"/>
      <c r="I213" s="557"/>
      <c r="J213" s="557"/>
      <c r="K213" s="557"/>
      <c r="M213" s="562"/>
      <c r="N213" s="562"/>
      <c r="O213" s="562"/>
      <c r="P213" s="562"/>
      <c r="Q213" s="562"/>
      <c r="R213" s="562"/>
      <c r="S213" s="562"/>
      <c r="T213" s="562"/>
      <c r="U213" s="562"/>
      <c r="V213" s="562"/>
      <c r="W213" s="562"/>
      <c r="X213" s="562"/>
      <c r="Y213" s="562"/>
      <c r="Z213" s="562"/>
      <c r="AA213" s="562"/>
      <c r="AB213" s="562"/>
      <c r="AC213" s="562"/>
      <c r="AD213" s="562"/>
      <c r="AE213" s="562"/>
    </row>
    <row r="214" spans="2:31" x14ac:dyDescent="0.2">
      <c r="B214" s="557"/>
      <c r="C214" s="557"/>
      <c r="D214" s="557"/>
      <c r="E214" s="557"/>
      <c r="F214" s="557"/>
      <c r="G214" s="557"/>
      <c r="H214" s="557"/>
      <c r="I214" s="557"/>
      <c r="J214" s="557"/>
      <c r="K214" s="557"/>
      <c r="M214" s="562"/>
      <c r="N214" s="562"/>
      <c r="O214" s="562"/>
      <c r="P214" s="562"/>
      <c r="Q214" s="562"/>
      <c r="R214" s="562"/>
      <c r="S214" s="562"/>
      <c r="T214" s="562"/>
      <c r="U214" s="562"/>
      <c r="V214" s="562"/>
      <c r="W214" s="562"/>
      <c r="X214" s="562"/>
      <c r="Y214" s="562"/>
      <c r="Z214" s="562"/>
      <c r="AA214" s="562"/>
      <c r="AB214" s="562"/>
      <c r="AC214" s="562"/>
      <c r="AD214" s="562"/>
      <c r="AE214" s="562"/>
    </row>
    <row r="215" spans="2:31" x14ac:dyDescent="0.2">
      <c r="B215" s="557"/>
      <c r="C215" s="557"/>
      <c r="D215" s="557"/>
      <c r="E215" s="557"/>
      <c r="F215" s="557"/>
      <c r="G215" s="557"/>
      <c r="H215" s="557"/>
      <c r="I215" s="557"/>
      <c r="J215" s="557"/>
      <c r="K215" s="557"/>
      <c r="M215" s="562"/>
      <c r="N215" s="562"/>
      <c r="O215" s="562"/>
      <c r="P215" s="562"/>
      <c r="Q215" s="562"/>
      <c r="R215" s="562"/>
      <c r="S215" s="562"/>
      <c r="T215" s="562"/>
      <c r="U215" s="562"/>
      <c r="V215" s="562"/>
      <c r="W215" s="562"/>
      <c r="X215" s="562"/>
      <c r="Y215" s="562"/>
      <c r="Z215" s="562"/>
      <c r="AA215" s="562"/>
      <c r="AB215" s="562"/>
      <c r="AC215" s="562"/>
      <c r="AD215" s="562"/>
      <c r="AE215" s="562"/>
    </row>
    <row r="216" spans="2:31" x14ac:dyDescent="0.2">
      <c r="B216" s="557"/>
      <c r="C216" s="557"/>
      <c r="D216" s="557"/>
      <c r="E216" s="557"/>
      <c r="F216" s="557"/>
      <c r="G216" s="557"/>
      <c r="H216" s="557"/>
      <c r="I216" s="557"/>
      <c r="J216" s="557"/>
      <c r="K216" s="557"/>
      <c r="M216" s="562"/>
      <c r="N216" s="562"/>
      <c r="O216" s="562"/>
      <c r="P216" s="562"/>
      <c r="Q216" s="562"/>
      <c r="R216" s="562"/>
      <c r="S216" s="562"/>
      <c r="T216" s="562"/>
      <c r="U216" s="562"/>
      <c r="V216" s="562"/>
      <c r="W216" s="562"/>
      <c r="X216" s="562"/>
      <c r="Y216" s="562"/>
      <c r="Z216" s="562"/>
      <c r="AA216" s="562"/>
      <c r="AB216" s="562"/>
      <c r="AC216" s="562"/>
      <c r="AD216" s="562"/>
      <c r="AE216" s="562"/>
    </row>
    <row r="217" spans="2:31" x14ac:dyDescent="0.2">
      <c r="B217" s="557"/>
      <c r="C217" s="557"/>
      <c r="D217" s="557"/>
      <c r="E217" s="557"/>
      <c r="F217" s="557"/>
      <c r="G217" s="557"/>
      <c r="H217" s="557"/>
      <c r="I217" s="557"/>
      <c r="J217" s="557"/>
      <c r="K217" s="557"/>
      <c r="M217" s="562"/>
      <c r="N217" s="562"/>
      <c r="O217" s="562"/>
      <c r="P217" s="562"/>
      <c r="Q217" s="562"/>
      <c r="R217" s="562"/>
      <c r="S217" s="562"/>
      <c r="T217" s="562"/>
      <c r="U217" s="562"/>
      <c r="V217" s="562"/>
      <c r="W217" s="562"/>
      <c r="X217" s="562"/>
      <c r="Y217" s="562"/>
      <c r="Z217" s="562"/>
      <c r="AA217" s="562"/>
      <c r="AB217" s="562"/>
      <c r="AC217" s="562"/>
      <c r="AD217" s="562"/>
      <c r="AE217" s="562"/>
    </row>
    <row r="218" spans="2:31" x14ac:dyDescent="0.2">
      <c r="B218" s="557"/>
      <c r="C218" s="557"/>
      <c r="D218" s="557"/>
      <c r="E218" s="557"/>
      <c r="F218" s="557"/>
      <c r="G218" s="557"/>
      <c r="H218" s="557"/>
      <c r="I218" s="557"/>
      <c r="J218" s="557"/>
      <c r="K218" s="557"/>
      <c r="M218" s="562"/>
      <c r="N218" s="562"/>
      <c r="O218" s="562"/>
      <c r="P218" s="562"/>
      <c r="Q218" s="562"/>
      <c r="R218" s="562"/>
      <c r="S218" s="562"/>
      <c r="T218" s="562"/>
      <c r="U218" s="562"/>
      <c r="V218" s="562"/>
      <c r="W218" s="562"/>
      <c r="X218" s="562"/>
      <c r="Y218" s="562"/>
      <c r="Z218" s="562"/>
      <c r="AA218" s="562"/>
      <c r="AB218" s="562"/>
      <c r="AC218" s="562"/>
      <c r="AD218" s="562"/>
      <c r="AE218" s="562"/>
    </row>
    <row r="219" spans="2:31" x14ac:dyDescent="0.2">
      <c r="B219" s="557"/>
      <c r="C219" s="557"/>
      <c r="D219" s="557"/>
      <c r="E219" s="557"/>
      <c r="F219" s="557"/>
      <c r="G219" s="557"/>
      <c r="H219" s="557"/>
      <c r="I219" s="557"/>
      <c r="J219" s="557"/>
      <c r="K219" s="557"/>
      <c r="M219" s="562"/>
      <c r="N219" s="562"/>
      <c r="O219" s="562"/>
      <c r="P219" s="562"/>
      <c r="Q219" s="562"/>
      <c r="R219" s="562"/>
      <c r="S219" s="562"/>
      <c r="T219" s="562"/>
      <c r="U219" s="562"/>
      <c r="V219" s="562"/>
      <c r="W219" s="562"/>
      <c r="X219" s="562"/>
      <c r="Y219" s="562"/>
      <c r="Z219" s="562"/>
      <c r="AA219" s="562"/>
      <c r="AB219" s="562"/>
      <c r="AC219" s="562"/>
      <c r="AD219" s="562"/>
      <c r="AE219" s="562"/>
    </row>
    <row r="220" spans="2:31" x14ac:dyDescent="0.2">
      <c r="B220" s="557"/>
      <c r="C220" s="557"/>
      <c r="D220" s="557"/>
      <c r="E220" s="557"/>
      <c r="F220" s="557"/>
      <c r="G220" s="557"/>
      <c r="H220" s="557"/>
      <c r="I220" s="557"/>
      <c r="J220" s="557"/>
      <c r="K220" s="557"/>
      <c r="M220" s="562"/>
      <c r="N220" s="562"/>
      <c r="O220" s="562"/>
      <c r="P220" s="562"/>
      <c r="Q220" s="562"/>
      <c r="R220" s="562"/>
      <c r="S220" s="562"/>
      <c r="T220" s="562"/>
      <c r="U220" s="562"/>
      <c r="V220" s="562"/>
      <c r="W220" s="562"/>
      <c r="X220" s="562"/>
      <c r="Y220" s="562"/>
      <c r="Z220" s="562"/>
      <c r="AA220" s="562"/>
      <c r="AB220" s="562"/>
      <c r="AC220" s="562"/>
      <c r="AD220" s="562"/>
      <c r="AE220" s="562"/>
    </row>
    <row r="221" spans="2:31" x14ac:dyDescent="0.2">
      <c r="B221" s="557"/>
      <c r="C221" s="557"/>
      <c r="D221" s="557"/>
      <c r="E221" s="557"/>
      <c r="F221" s="557"/>
      <c r="G221" s="557"/>
      <c r="H221" s="557"/>
      <c r="I221" s="557"/>
      <c r="J221" s="557"/>
      <c r="K221" s="557"/>
      <c r="M221" s="562"/>
      <c r="N221" s="562"/>
      <c r="O221" s="562"/>
      <c r="P221" s="562"/>
      <c r="Q221" s="562"/>
      <c r="R221" s="562"/>
      <c r="S221" s="562"/>
      <c r="T221" s="562"/>
      <c r="U221" s="562"/>
      <c r="V221" s="562"/>
      <c r="W221" s="562"/>
      <c r="X221" s="562"/>
      <c r="Y221" s="562"/>
      <c r="Z221" s="562"/>
      <c r="AA221" s="562"/>
      <c r="AB221" s="562"/>
      <c r="AC221" s="562"/>
      <c r="AD221" s="562"/>
      <c r="AE221" s="562"/>
    </row>
    <row r="222" spans="2:31" x14ac:dyDescent="0.2">
      <c r="B222" s="557"/>
      <c r="C222" s="557"/>
      <c r="D222" s="557"/>
      <c r="E222" s="557"/>
      <c r="F222" s="557"/>
      <c r="G222" s="557"/>
      <c r="H222" s="557"/>
      <c r="I222" s="557"/>
      <c r="J222" s="557"/>
      <c r="K222" s="557"/>
      <c r="M222" s="562"/>
      <c r="N222" s="562"/>
      <c r="O222" s="562"/>
      <c r="P222" s="562"/>
      <c r="Q222" s="562"/>
      <c r="R222" s="562"/>
      <c r="S222" s="562"/>
      <c r="T222" s="562"/>
      <c r="U222" s="562"/>
      <c r="V222" s="562"/>
      <c r="W222" s="562"/>
      <c r="X222" s="562"/>
      <c r="Y222" s="562"/>
      <c r="Z222" s="562"/>
      <c r="AA222" s="562"/>
      <c r="AB222" s="562"/>
      <c r="AC222" s="562"/>
      <c r="AD222" s="562"/>
      <c r="AE222" s="562"/>
    </row>
    <row r="223" spans="2:31" x14ac:dyDescent="0.2">
      <c r="B223" s="557"/>
      <c r="C223" s="557"/>
      <c r="D223" s="557"/>
      <c r="E223" s="557"/>
      <c r="F223" s="557"/>
      <c r="G223" s="557"/>
      <c r="H223" s="557"/>
      <c r="I223" s="557"/>
      <c r="J223" s="557"/>
      <c r="K223" s="557"/>
      <c r="M223" s="562"/>
      <c r="N223" s="562"/>
      <c r="O223" s="562"/>
      <c r="P223" s="562"/>
      <c r="Q223" s="562"/>
      <c r="R223" s="562"/>
      <c r="S223" s="562"/>
      <c r="T223" s="562"/>
      <c r="U223" s="562"/>
      <c r="V223" s="562"/>
      <c r="W223" s="562"/>
      <c r="X223" s="562"/>
      <c r="Y223" s="562"/>
      <c r="Z223" s="562"/>
      <c r="AA223" s="562"/>
      <c r="AB223" s="562"/>
      <c r="AC223" s="562"/>
      <c r="AD223" s="562"/>
      <c r="AE223" s="562"/>
    </row>
    <row r="224" spans="2:31" x14ac:dyDescent="0.2">
      <c r="B224" s="557"/>
      <c r="C224" s="557"/>
      <c r="D224" s="557"/>
      <c r="E224" s="557"/>
      <c r="F224" s="557"/>
      <c r="G224" s="557"/>
      <c r="H224" s="557"/>
      <c r="I224" s="557"/>
      <c r="J224" s="557"/>
      <c r="K224" s="557"/>
      <c r="M224" s="562"/>
      <c r="N224" s="562"/>
      <c r="O224" s="562"/>
      <c r="P224" s="562"/>
      <c r="Q224" s="562"/>
      <c r="R224" s="562"/>
      <c r="S224" s="562"/>
      <c r="T224" s="562"/>
      <c r="U224" s="562"/>
      <c r="V224" s="562"/>
      <c r="W224" s="562"/>
      <c r="X224" s="562"/>
      <c r="Y224" s="562"/>
      <c r="Z224" s="562"/>
      <c r="AA224" s="562"/>
      <c r="AB224" s="562"/>
      <c r="AC224" s="562"/>
      <c r="AD224" s="562"/>
      <c r="AE224" s="562"/>
    </row>
    <row r="225" spans="2:31" x14ac:dyDescent="0.2">
      <c r="B225" s="557"/>
      <c r="C225" s="557"/>
      <c r="D225" s="557"/>
      <c r="E225" s="557"/>
      <c r="F225" s="557"/>
      <c r="G225" s="557"/>
      <c r="H225" s="557"/>
      <c r="I225" s="557"/>
      <c r="J225" s="557"/>
      <c r="K225" s="557"/>
      <c r="M225" s="562"/>
      <c r="N225" s="562"/>
      <c r="O225" s="562"/>
      <c r="P225" s="562"/>
      <c r="Q225" s="562"/>
      <c r="R225" s="562"/>
      <c r="S225" s="562"/>
      <c r="T225" s="562"/>
      <c r="U225" s="562"/>
      <c r="V225" s="562"/>
      <c r="W225" s="562"/>
      <c r="X225" s="562"/>
      <c r="Y225" s="562"/>
      <c r="Z225" s="562"/>
      <c r="AA225" s="562"/>
      <c r="AB225" s="562"/>
      <c r="AC225" s="562"/>
      <c r="AD225" s="562"/>
      <c r="AE225" s="562"/>
    </row>
    <row r="226" spans="2:31" x14ac:dyDescent="0.2">
      <c r="B226" s="557"/>
      <c r="C226" s="557"/>
      <c r="D226" s="557"/>
      <c r="E226" s="557"/>
      <c r="F226" s="557"/>
      <c r="G226" s="557"/>
      <c r="H226" s="557"/>
      <c r="I226" s="557"/>
      <c r="J226" s="557"/>
      <c r="K226" s="557"/>
      <c r="M226" s="562"/>
      <c r="N226" s="562"/>
      <c r="O226" s="562"/>
      <c r="P226" s="562"/>
      <c r="Q226" s="562"/>
      <c r="R226" s="562"/>
      <c r="S226" s="562"/>
      <c r="T226" s="562"/>
      <c r="U226" s="562"/>
      <c r="V226" s="562"/>
      <c r="W226" s="562"/>
      <c r="X226" s="562"/>
      <c r="Y226" s="562"/>
      <c r="Z226" s="562"/>
      <c r="AA226" s="562"/>
      <c r="AB226" s="562"/>
      <c r="AC226" s="562"/>
      <c r="AD226" s="562"/>
      <c r="AE226" s="562"/>
    </row>
    <row r="227" spans="2:31" x14ac:dyDescent="0.2">
      <c r="B227" s="557"/>
      <c r="C227" s="557"/>
      <c r="D227" s="557"/>
      <c r="E227" s="557"/>
      <c r="F227" s="557"/>
      <c r="G227" s="557"/>
      <c r="H227" s="557"/>
      <c r="I227" s="557"/>
      <c r="J227" s="557"/>
      <c r="K227" s="557"/>
      <c r="M227" s="562"/>
      <c r="N227" s="562"/>
      <c r="O227" s="562"/>
      <c r="P227" s="562"/>
      <c r="Q227" s="562"/>
      <c r="R227" s="562"/>
      <c r="S227" s="562"/>
      <c r="T227" s="562"/>
      <c r="U227" s="562"/>
      <c r="V227" s="562"/>
      <c r="W227" s="562"/>
      <c r="X227" s="562"/>
      <c r="Y227" s="562"/>
      <c r="Z227" s="562"/>
      <c r="AA227" s="562"/>
      <c r="AB227" s="562"/>
      <c r="AC227" s="562"/>
      <c r="AD227" s="562"/>
      <c r="AE227" s="562"/>
    </row>
    <row r="228" spans="2:31" x14ac:dyDescent="0.2">
      <c r="B228" s="557"/>
      <c r="C228" s="557"/>
      <c r="D228" s="557"/>
      <c r="E228" s="557"/>
      <c r="F228" s="557"/>
      <c r="G228" s="557"/>
      <c r="H228" s="557"/>
      <c r="I228" s="557"/>
      <c r="J228" s="557"/>
      <c r="K228" s="557"/>
      <c r="M228" s="562"/>
      <c r="N228" s="562"/>
      <c r="O228" s="562"/>
      <c r="P228" s="562"/>
      <c r="Q228" s="562"/>
      <c r="R228" s="562"/>
      <c r="S228" s="562"/>
      <c r="T228" s="562"/>
      <c r="U228" s="562"/>
      <c r="V228" s="562"/>
      <c r="W228" s="562"/>
      <c r="X228" s="562"/>
      <c r="Y228" s="562"/>
      <c r="Z228" s="562"/>
      <c r="AA228" s="562"/>
      <c r="AB228" s="562"/>
      <c r="AC228" s="562"/>
      <c r="AD228" s="562"/>
      <c r="AE228" s="562"/>
    </row>
    <row r="229" spans="2:31" x14ac:dyDescent="0.2">
      <c r="B229" s="557"/>
      <c r="C229" s="557"/>
      <c r="D229" s="557"/>
      <c r="E229" s="557"/>
      <c r="F229" s="557"/>
      <c r="G229" s="557"/>
      <c r="H229" s="557"/>
      <c r="I229" s="557"/>
      <c r="J229" s="557"/>
      <c r="K229" s="557"/>
      <c r="M229" s="562"/>
      <c r="N229" s="562"/>
      <c r="O229" s="562"/>
      <c r="P229" s="562"/>
      <c r="Q229" s="562"/>
      <c r="R229" s="562"/>
      <c r="S229" s="562"/>
      <c r="T229" s="562"/>
      <c r="U229" s="562"/>
      <c r="V229" s="562"/>
      <c r="W229" s="562"/>
      <c r="X229" s="562"/>
      <c r="Y229" s="562"/>
      <c r="Z229" s="562"/>
      <c r="AA229" s="562"/>
      <c r="AB229" s="562"/>
      <c r="AC229" s="562"/>
      <c r="AD229" s="562"/>
      <c r="AE229" s="562"/>
    </row>
    <row r="230" spans="2:31" x14ac:dyDescent="0.2">
      <c r="B230" s="557"/>
      <c r="C230" s="557"/>
      <c r="D230" s="557"/>
      <c r="E230" s="557"/>
      <c r="F230" s="557"/>
      <c r="G230" s="557"/>
      <c r="H230" s="557"/>
      <c r="I230" s="557"/>
      <c r="J230" s="557"/>
      <c r="K230" s="557"/>
      <c r="M230" s="562"/>
      <c r="N230" s="562"/>
      <c r="O230" s="562"/>
      <c r="P230" s="562"/>
      <c r="Q230" s="562"/>
      <c r="R230" s="562"/>
      <c r="S230" s="562"/>
      <c r="T230" s="562"/>
      <c r="U230" s="562"/>
      <c r="V230" s="562"/>
      <c r="W230" s="562"/>
      <c r="X230" s="562"/>
      <c r="Y230" s="562"/>
      <c r="Z230" s="562"/>
      <c r="AA230" s="562"/>
      <c r="AB230" s="562"/>
      <c r="AC230" s="562"/>
      <c r="AD230" s="562"/>
      <c r="AE230" s="562"/>
    </row>
    <row r="231" spans="2:31" x14ac:dyDescent="0.2">
      <c r="B231" s="557"/>
      <c r="C231" s="557"/>
      <c r="D231" s="557"/>
      <c r="E231" s="557"/>
      <c r="F231" s="557"/>
      <c r="G231" s="557"/>
      <c r="H231" s="557"/>
      <c r="I231" s="557"/>
      <c r="J231" s="557"/>
      <c r="K231" s="557"/>
      <c r="M231" s="562"/>
      <c r="N231" s="562"/>
      <c r="O231" s="562"/>
      <c r="P231" s="562"/>
      <c r="Q231" s="562"/>
      <c r="R231" s="562"/>
      <c r="S231" s="562"/>
      <c r="T231" s="562"/>
      <c r="U231" s="562"/>
      <c r="V231" s="562"/>
      <c r="W231" s="562"/>
      <c r="X231" s="562"/>
      <c r="Y231" s="562"/>
      <c r="Z231" s="562"/>
      <c r="AA231" s="562"/>
      <c r="AB231" s="562"/>
      <c r="AC231" s="562"/>
      <c r="AD231" s="562"/>
      <c r="AE231" s="562"/>
    </row>
    <row r="232" spans="2:31" x14ac:dyDescent="0.2">
      <c r="B232" s="557"/>
      <c r="C232" s="557"/>
      <c r="D232" s="557"/>
      <c r="E232" s="557"/>
      <c r="F232" s="557"/>
      <c r="G232" s="557"/>
      <c r="H232" s="557"/>
      <c r="I232" s="557"/>
      <c r="J232" s="557"/>
      <c r="K232" s="557"/>
      <c r="M232" s="562"/>
      <c r="N232" s="562"/>
      <c r="O232" s="562"/>
      <c r="P232" s="562"/>
      <c r="Q232" s="562"/>
      <c r="R232" s="562"/>
      <c r="S232" s="562"/>
      <c r="T232" s="562"/>
      <c r="U232" s="562"/>
      <c r="V232" s="562"/>
      <c r="W232" s="562"/>
      <c r="X232" s="562"/>
      <c r="Y232" s="562"/>
      <c r="Z232" s="562"/>
      <c r="AA232" s="562"/>
      <c r="AB232" s="562"/>
      <c r="AC232" s="562"/>
      <c r="AD232" s="562"/>
      <c r="AE232" s="562"/>
    </row>
    <row r="233" spans="2:31" x14ac:dyDescent="0.2">
      <c r="B233" s="557"/>
      <c r="C233" s="557"/>
      <c r="D233" s="557"/>
      <c r="E233" s="557"/>
      <c r="F233" s="557"/>
      <c r="G233" s="557"/>
      <c r="H233" s="557"/>
      <c r="I233" s="557"/>
      <c r="J233" s="557"/>
      <c r="K233" s="557"/>
      <c r="M233" s="562"/>
      <c r="N233" s="562"/>
      <c r="O233" s="562"/>
      <c r="P233" s="562"/>
      <c r="Q233" s="562"/>
      <c r="R233" s="562"/>
      <c r="S233" s="562"/>
      <c r="T233" s="562"/>
      <c r="U233" s="562"/>
      <c r="V233" s="562"/>
      <c r="W233" s="562"/>
      <c r="X233" s="562"/>
      <c r="Y233" s="562"/>
      <c r="Z233" s="562"/>
      <c r="AA233" s="562"/>
      <c r="AB233" s="562"/>
      <c r="AC233" s="562"/>
      <c r="AD233" s="562"/>
      <c r="AE233" s="562"/>
    </row>
    <row r="234" spans="2:31" x14ac:dyDescent="0.2">
      <c r="B234" s="557"/>
      <c r="C234" s="557"/>
      <c r="D234" s="557"/>
      <c r="E234" s="557"/>
      <c r="F234" s="557"/>
      <c r="G234" s="557"/>
      <c r="H234" s="557"/>
      <c r="I234" s="557"/>
      <c r="J234" s="557"/>
      <c r="K234" s="557"/>
      <c r="M234" s="562"/>
      <c r="N234" s="562"/>
      <c r="O234" s="562"/>
      <c r="P234" s="562"/>
      <c r="Q234" s="562"/>
      <c r="R234" s="562"/>
      <c r="S234" s="562"/>
      <c r="T234" s="562"/>
      <c r="U234" s="562"/>
      <c r="V234" s="562"/>
      <c r="W234" s="562"/>
      <c r="X234" s="562"/>
      <c r="Y234" s="562"/>
      <c r="Z234" s="562"/>
      <c r="AA234" s="562"/>
      <c r="AB234" s="562"/>
      <c r="AC234" s="562"/>
      <c r="AD234" s="562"/>
      <c r="AE234" s="562"/>
    </row>
    <row r="235" spans="2:31" x14ac:dyDescent="0.2">
      <c r="B235" s="557"/>
      <c r="C235" s="557"/>
      <c r="D235" s="557"/>
      <c r="E235" s="557"/>
      <c r="F235" s="557"/>
      <c r="G235" s="557"/>
      <c r="H235" s="557"/>
      <c r="I235" s="557"/>
      <c r="J235" s="557"/>
      <c r="K235" s="557"/>
      <c r="M235" s="562"/>
      <c r="N235" s="562"/>
      <c r="O235" s="562"/>
      <c r="P235" s="562"/>
      <c r="Q235" s="562"/>
      <c r="R235" s="562"/>
      <c r="S235" s="562"/>
      <c r="T235" s="562"/>
      <c r="U235" s="562"/>
      <c r="V235" s="562"/>
      <c r="W235" s="562"/>
      <c r="X235" s="562"/>
      <c r="Y235" s="562"/>
      <c r="Z235" s="562"/>
      <c r="AA235" s="562"/>
      <c r="AB235" s="562"/>
      <c r="AC235" s="562"/>
      <c r="AD235" s="562"/>
      <c r="AE235" s="562"/>
    </row>
    <row r="236" spans="2:31" x14ac:dyDescent="0.2">
      <c r="B236" s="557"/>
      <c r="C236" s="557"/>
      <c r="D236" s="557"/>
      <c r="E236" s="557"/>
      <c r="F236" s="557"/>
      <c r="G236" s="557"/>
      <c r="H236" s="557"/>
      <c r="I236" s="557"/>
      <c r="J236" s="557"/>
      <c r="K236" s="557"/>
      <c r="M236" s="562"/>
      <c r="N236" s="562"/>
      <c r="O236" s="562"/>
      <c r="P236" s="562"/>
      <c r="Q236" s="562"/>
      <c r="R236" s="562"/>
      <c r="S236" s="562"/>
      <c r="T236" s="562"/>
      <c r="U236" s="562"/>
      <c r="V236" s="562"/>
      <c r="W236" s="562"/>
      <c r="X236" s="562"/>
      <c r="Y236" s="562"/>
      <c r="Z236" s="562"/>
      <c r="AA236" s="562"/>
      <c r="AB236" s="562"/>
      <c r="AC236" s="562"/>
      <c r="AD236" s="562"/>
      <c r="AE236" s="562"/>
    </row>
    <row r="237" spans="2:31" x14ac:dyDescent="0.2">
      <c r="B237" s="557"/>
      <c r="C237" s="557"/>
      <c r="D237" s="557"/>
      <c r="E237" s="557"/>
      <c r="F237" s="557"/>
      <c r="G237" s="557"/>
      <c r="H237" s="557"/>
      <c r="I237" s="557"/>
      <c r="J237" s="557"/>
      <c r="K237" s="557"/>
      <c r="M237" s="562"/>
      <c r="N237" s="562"/>
      <c r="O237" s="562"/>
      <c r="P237" s="562"/>
      <c r="Q237" s="562"/>
      <c r="R237" s="562"/>
      <c r="S237" s="562"/>
      <c r="T237" s="562"/>
      <c r="U237" s="562"/>
      <c r="V237" s="562"/>
      <c r="W237" s="562"/>
      <c r="X237" s="562"/>
      <c r="Y237" s="562"/>
      <c r="Z237" s="562"/>
      <c r="AA237" s="562"/>
      <c r="AB237" s="562"/>
      <c r="AC237" s="562"/>
      <c r="AD237" s="562"/>
      <c r="AE237" s="562"/>
    </row>
    <row r="238" spans="2:31" x14ac:dyDescent="0.2">
      <c r="B238" s="557"/>
      <c r="C238" s="557"/>
      <c r="D238" s="557"/>
      <c r="E238" s="557"/>
      <c r="F238" s="557"/>
      <c r="G238" s="557"/>
      <c r="H238" s="557"/>
      <c r="I238" s="557"/>
      <c r="J238" s="557"/>
      <c r="K238" s="557"/>
      <c r="M238" s="562"/>
      <c r="N238" s="562"/>
      <c r="O238" s="562"/>
      <c r="P238" s="562"/>
      <c r="Q238" s="562"/>
      <c r="R238" s="562"/>
      <c r="S238" s="562"/>
      <c r="T238" s="562"/>
      <c r="U238" s="562"/>
      <c r="V238" s="562"/>
      <c r="W238" s="562"/>
      <c r="X238" s="562"/>
      <c r="Y238" s="562"/>
      <c r="Z238" s="562"/>
      <c r="AA238" s="562"/>
      <c r="AB238" s="562"/>
      <c r="AC238" s="562"/>
      <c r="AD238" s="562"/>
      <c r="AE238" s="562"/>
    </row>
    <row r="239" spans="2:31" x14ac:dyDescent="0.2">
      <c r="B239" s="557"/>
      <c r="C239" s="557"/>
      <c r="D239" s="557"/>
      <c r="E239" s="557"/>
      <c r="F239" s="557"/>
      <c r="G239" s="557"/>
      <c r="H239" s="557"/>
      <c r="I239" s="557"/>
      <c r="J239" s="557"/>
      <c r="K239" s="557"/>
      <c r="M239" s="562"/>
      <c r="N239" s="562"/>
      <c r="O239" s="562"/>
      <c r="P239" s="562"/>
      <c r="Q239" s="562"/>
      <c r="R239" s="562"/>
      <c r="S239" s="562"/>
      <c r="T239" s="562"/>
      <c r="U239" s="562"/>
      <c r="V239" s="562"/>
      <c r="W239" s="562"/>
      <c r="X239" s="562"/>
      <c r="Y239" s="562"/>
      <c r="Z239" s="562"/>
      <c r="AA239" s="562"/>
      <c r="AB239" s="562"/>
      <c r="AC239" s="562"/>
      <c r="AD239" s="562"/>
      <c r="AE239" s="562"/>
    </row>
    <row r="240" spans="2:31" x14ac:dyDescent="0.2">
      <c r="B240" s="557"/>
      <c r="C240" s="557"/>
      <c r="D240" s="557"/>
      <c r="E240" s="557"/>
      <c r="F240" s="557"/>
      <c r="G240" s="557"/>
      <c r="H240" s="557"/>
      <c r="I240" s="557"/>
      <c r="J240" s="557"/>
      <c r="K240" s="557"/>
      <c r="M240" s="562"/>
      <c r="N240" s="562"/>
      <c r="O240" s="562"/>
      <c r="P240" s="562"/>
      <c r="Q240" s="562"/>
      <c r="R240" s="562"/>
      <c r="S240" s="562"/>
      <c r="T240" s="562"/>
      <c r="U240" s="562"/>
      <c r="V240" s="562"/>
      <c r="W240" s="562"/>
      <c r="X240" s="562"/>
      <c r="Y240" s="562"/>
      <c r="Z240" s="562"/>
      <c r="AA240" s="562"/>
      <c r="AB240" s="562"/>
      <c r="AC240" s="562"/>
      <c r="AD240" s="562"/>
      <c r="AE240" s="562"/>
    </row>
    <row r="241" spans="2:31" x14ac:dyDescent="0.2">
      <c r="B241" s="557"/>
      <c r="C241" s="557"/>
      <c r="D241" s="557"/>
      <c r="E241" s="557"/>
      <c r="F241" s="557"/>
      <c r="G241" s="557"/>
      <c r="H241" s="557"/>
      <c r="I241" s="557"/>
      <c r="J241" s="557"/>
      <c r="K241" s="557"/>
      <c r="M241" s="562"/>
      <c r="N241" s="562"/>
      <c r="O241" s="562"/>
      <c r="P241" s="562"/>
      <c r="Q241" s="562"/>
      <c r="R241" s="562"/>
      <c r="S241" s="562"/>
      <c r="T241" s="562"/>
      <c r="U241" s="562"/>
      <c r="V241" s="562"/>
      <c r="W241" s="562"/>
      <c r="X241" s="562"/>
      <c r="Y241" s="562"/>
      <c r="Z241" s="562"/>
      <c r="AA241" s="562"/>
      <c r="AB241" s="562"/>
      <c r="AC241" s="562"/>
      <c r="AD241" s="562"/>
      <c r="AE241" s="562"/>
    </row>
    <row r="242" spans="2:31" x14ac:dyDescent="0.2">
      <c r="B242" s="557"/>
      <c r="C242" s="557"/>
      <c r="D242" s="557"/>
      <c r="E242" s="557"/>
      <c r="F242" s="557"/>
      <c r="G242" s="557"/>
      <c r="H242" s="557"/>
      <c r="I242" s="557"/>
      <c r="J242" s="557"/>
      <c r="K242" s="557"/>
      <c r="M242" s="562"/>
      <c r="N242" s="562"/>
      <c r="O242" s="562"/>
      <c r="P242" s="562"/>
      <c r="Q242" s="562"/>
      <c r="R242" s="562"/>
      <c r="S242" s="562"/>
      <c r="T242" s="562"/>
      <c r="U242" s="562"/>
      <c r="V242" s="562"/>
      <c r="W242" s="562"/>
      <c r="X242" s="562"/>
      <c r="Y242" s="562"/>
      <c r="Z242" s="562"/>
      <c r="AA242" s="562"/>
      <c r="AB242" s="562"/>
      <c r="AC242" s="562"/>
      <c r="AD242" s="562"/>
      <c r="AE242" s="562"/>
    </row>
    <row r="243" spans="2:31" x14ac:dyDescent="0.2">
      <c r="B243" s="557"/>
      <c r="C243" s="557"/>
      <c r="D243" s="557"/>
      <c r="E243" s="557"/>
      <c r="F243" s="557"/>
      <c r="G243" s="557"/>
      <c r="H243" s="557"/>
      <c r="I243" s="557"/>
      <c r="J243" s="557"/>
      <c r="K243" s="557"/>
      <c r="M243" s="562"/>
      <c r="N243" s="562"/>
      <c r="O243" s="562"/>
      <c r="P243" s="562"/>
      <c r="Q243" s="562"/>
      <c r="R243" s="562"/>
      <c r="S243" s="562"/>
      <c r="T243" s="562"/>
      <c r="U243" s="562"/>
      <c r="V243" s="562"/>
      <c r="W243" s="562"/>
      <c r="X243" s="562"/>
      <c r="Y243" s="562"/>
      <c r="Z243" s="562"/>
      <c r="AA243" s="562"/>
      <c r="AB243" s="562"/>
      <c r="AC243" s="562"/>
      <c r="AD243" s="562"/>
      <c r="AE243" s="562"/>
    </row>
    <row r="244" spans="2:31" x14ac:dyDescent="0.2">
      <c r="B244" s="557"/>
      <c r="C244" s="557"/>
      <c r="D244" s="557"/>
      <c r="E244" s="557"/>
      <c r="F244" s="557"/>
      <c r="G244" s="557"/>
      <c r="H244" s="557"/>
      <c r="I244" s="557"/>
      <c r="J244" s="557"/>
      <c r="K244" s="557"/>
      <c r="M244" s="562"/>
      <c r="N244" s="562"/>
      <c r="O244" s="562"/>
      <c r="P244" s="562"/>
      <c r="Q244" s="562"/>
      <c r="R244" s="562"/>
      <c r="S244" s="562"/>
      <c r="T244" s="562"/>
      <c r="U244" s="562"/>
      <c r="V244" s="562"/>
      <c r="W244" s="562"/>
      <c r="X244" s="562"/>
      <c r="Y244" s="562"/>
      <c r="Z244" s="562"/>
      <c r="AA244" s="562"/>
      <c r="AB244" s="562"/>
      <c r="AC244" s="562"/>
      <c r="AD244" s="562"/>
      <c r="AE244" s="562"/>
    </row>
    <row r="245" spans="2:31" x14ac:dyDescent="0.2">
      <c r="B245" s="557"/>
      <c r="C245" s="557"/>
      <c r="D245" s="557"/>
      <c r="E245" s="557"/>
      <c r="F245" s="557"/>
      <c r="G245" s="557"/>
      <c r="H245" s="557"/>
      <c r="I245" s="557"/>
      <c r="J245" s="557"/>
      <c r="K245" s="557"/>
      <c r="M245" s="562"/>
      <c r="N245" s="562"/>
      <c r="O245" s="562"/>
      <c r="P245" s="562"/>
      <c r="Q245" s="562"/>
      <c r="R245" s="562"/>
      <c r="S245" s="562"/>
      <c r="T245" s="562"/>
      <c r="U245" s="562"/>
      <c r="V245" s="562"/>
      <c r="W245" s="562"/>
      <c r="X245" s="562"/>
      <c r="Y245" s="562"/>
      <c r="Z245" s="562"/>
      <c r="AA245" s="562"/>
      <c r="AB245" s="562"/>
      <c r="AC245" s="562"/>
      <c r="AD245" s="562"/>
      <c r="AE245" s="562"/>
    </row>
    <row r="246" spans="2:31" x14ac:dyDescent="0.2">
      <c r="B246" s="557"/>
      <c r="C246" s="557"/>
      <c r="D246" s="557"/>
      <c r="E246" s="557"/>
      <c r="F246" s="557"/>
      <c r="G246" s="557"/>
      <c r="H246" s="557"/>
      <c r="I246" s="557"/>
      <c r="J246" s="557"/>
      <c r="K246" s="557"/>
      <c r="M246" s="562"/>
      <c r="N246" s="562"/>
      <c r="O246" s="562"/>
      <c r="P246" s="562"/>
      <c r="Q246" s="562"/>
      <c r="R246" s="562"/>
      <c r="S246" s="562"/>
      <c r="T246" s="562"/>
      <c r="U246" s="562"/>
      <c r="V246" s="562"/>
      <c r="W246" s="562"/>
      <c r="X246" s="562"/>
      <c r="Y246" s="562"/>
      <c r="Z246" s="562"/>
      <c r="AA246" s="562"/>
      <c r="AB246" s="562"/>
      <c r="AC246" s="562"/>
      <c r="AD246" s="562"/>
      <c r="AE246" s="562"/>
    </row>
    <row r="247" spans="2:31" x14ac:dyDescent="0.2">
      <c r="B247" s="557"/>
      <c r="C247" s="557"/>
      <c r="D247" s="557"/>
      <c r="E247" s="557"/>
      <c r="F247" s="557"/>
      <c r="G247" s="557"/>
      <c r="H247" s="557"/>
      <c r="I247" s="557"/>
      <c r="J247" s="557"/>
      <c r="K247" s="557"/>
      <c r="M247" s="562"/>
      <c r="N247" s="562"/>
      <c r="O247" s="562"/>
      <c r="P247" s="562"/>
      <c r="Q247" s="562"/>
      <c r="R247" s="562"/>
      <c r="S247" s="562"/>
      <c r="T247" s="562"/>
      <c r="U247" s="562"/>
      <c r="V247" s="562"/>
      <c r="W247" s="562"/>
      <c r="X247" s="562"/>
      <c r="Y247" s="562"/>
      <c r="Z247" s="562"/>
      <c r="AA247" s="562"/>
      <c r="AB247" s="562"/>
      <c r="AC247" s="562"/>
      <c r="AD247" s="562"/>
      <c r="AE247" s="562"/>
    </row>
    <row r="248" spans="2:31" x14ac:dyDescent="0.2">
      <c r="B248" s="557"/>
      <c r="C248" s="557"/>
      <c r="D248" s="557"/>
      <c r="E248" s="557"/>
      <c r="F248" s="557"/>
      <c r="G248" s="557"/>
      <c r="H248" s="557"/>
      <c r="I248" s="557"/>
      <c r="J248" s="557"/>
      <c r="K248" s="557"/>
      <c r="M248" s="562"/>
      <c r="N248" s="562"/>
      <c r="O248" s="562"/>
      <c r="P248" s="562"/>
      <c r="Q248" s="562"/>
      <c r="R248" s="562"/>
      <c r="S248" s="562"/>
      <c r="T248" s="562"/>
      <c r="U248" s="562"/>
      <c r="V248" s="562"/>
      <c r="W248" s="562"/>
      <c r="X248" s="562"/>
      <c r="Y248" s="562"/>
      <c r="Z248" s="562"/>
      <c r="AA248" s="562"/>
      <c r="AB248" s="562"/>
      <c r="AC248" s="562"/>
      <c r="AD248" s="562"/>
      <c r="AE248" s="562"/>
    </row>
    <row r="249" spans="2:31" x14ac:dyDescent="0.2">
      <c r="B249" s="557"/>
      <c r="C249" s="557"/>
      <c r="D249" s="557"/>
      <c r="E249" s="557"/>
      <c r="F249" s="557"/>
      <c r="G249" s="557"/>
      <c r="H249" s="557"/>
      <c r="I249" s="557"/>
      <c r="J249" s="557"/>
      <c r="K249" s="557"/>
      <c r="M249" s="562"/>
      <c r="N249" s="562"/>
      <c r="O249" s="562"/>
      <c r="P249" s="562"/>
      <c r="Q249" s="562"/>
      <c r="R249" s="562"/>
      <c r="S249" s="562"/>
      <c r="T249" s="562"/>
      <c r="U249" s="562"/>
      <c r="V249" s="562"/>
      <c r="W249" s="562"/>
      <c r="X249" s="562"/>
      <c r="Y249" s="562"/>
      <c r="Z249" s="562"/>
      <c r="AA249" s="562"/>
      <c r="AB249" s="562"/>
      <c r="AC249" s="562"/>
      <c r="AD249" s="562"/>
      <c r="AE249" s="562"/>
    </row>
    <row r="250" spans="2:31" x14ac:dyDescent="0.2">
      <c r="B250" s="557"/>
      <c r="C250" s="557"/>
      <c r="D250" s="557"/>
      <c r="E250" s="557"/>
      <c r="F250" s="557"/>
      <c r="G250" s="557"/>
      <c r="H250" s="557"/>
      <c r="I250" s="557"/>
      <c r="J250" s="557"/>
      <c r="K250" s="557"/>
      <c r="M250" s="562"/>
      <c r="N250" s="562"/>
      <c r="O250" s="562"/>
      <c r="P250" s="562"/>
      <c r="Q250" s="562"/>
      <c r="R250" s="562"/>
      <c r="S250" s="562"/>
      <c r="T250" s="562"/>
      <c r="U250" s="562"/>
      <c r="V250" s="562"/>
      <c r="W250" s="562"/>
      <c r="X250" s="562"/>
      <c r="Y250" s="562"/>
      <c r="Z250" s="562"/>
      <c r="AA250" s="562"/>
      <c r="AB250" s="562"/>
      <c r="AC250" s="562"/>
      <c r="AD250" s="562"/>
      <c r="AE250" s="562"/>
    </row>
    <row r="251" spans="2:31" x14ac:dyDescent="0.2">
      <c r="B251" s="557"/>
      <c r="C251" s="557"/>
      <c r="D251" s="557"/>
      <c r="E251" s="557"/>
      <c r="F251" s="557"/>
      <c r="G251" s="557"/>
      <c r="H251" s="557"/>
      <c r="I251" s="557"/>
      <c r="J251" s="557"/>
      <c r="K251" s="557"/>
      <c r="M251" s="562"/>
      <c r="N251" s="562"/>
      <c r="O251" s="562"/>
      <c r="P251" s="562"/>
      <c r="Q251" s="562"/>
      <c r="R251" s="562"/>
      <c r="S251" s="562"/>
      <c r="T251" s="562"/>
      <c r="U251" s="562"/>
      <c r="V251" s="562"/>
      <c r="W251" s="562"/>
      <c r="X251" s="562"/>
      <c r="Y251" s="562"/>
      <c r="Z251" s="562"/>
      <c r="AA251" s="562"/>
      <c r="AB251" s="562"/>
      <c r="AC251" s="562"/>
      <c r="AD251" s="562"/>
      <c r="AE251" s="562"/>
    </row>
    <row r="252" spans="2:31" x14ac:dyDescent="0.2">
      <c r="B252" s="557"/>
      <c r="C252" s="557"/>
      <c r="D252" s="557"/>
      <c r="E252" s="557"/>
      <c r="F252" s="557"/>
      <c r="G252" s="557"/>
      <c r="H252" s="557"/>
      <c r="I252" s="557"/>
      <c r="J252" s="557"/>
      <c r="K252" s="557"/>
      <c r="M252" s="562"/>
      <c r="N252" s="562"/>
      <c r="O252" s="562"/>
      <c r="P252" s="562"/>
      <c r="Q252" s="562"/>
      <c r="R252" s="562"/>
      <c r="S252" s="562"/>
      <c r="T252" s="562"/>
      <c r="U252" s="562"/>
      <c r="V252" s="562"/>
      <c r="W252" s="562"/>
      <c r="X252" s="562"/>
      <c r="Y252" s="562"/>
      <c r="Z252" s="562"/>
      <c r="AA252" s="562"/>
      <c r="AB252" s="562"/>
      <c r="AC252" s="562"/>
      <c r="AD252" s="562"/>
      <c r="AE252" s="562"/>
    </row>
    <row r="253" spans="2:31" x14ac:dyDescent="0.2">
      <c r="B253" s="557"/>
      <c r="C253" s="557"/>
      <c r="D253" s="557"/>
      <c r="E253" s="557"/>
      <c r="F253" s="557"/>
      <c r="G253" s="557"/>
      <c r="H253" s="557"/>
      <c r="I253" s="557"/>
      <c r="J253" s="557"/>
      <c r="K253" s="557"/>
      <c r="M253" s="562"/>
      <c r="N253" s="562"/>
      <c r="O253" s="562"/>
      <c r="P253" s="562"/>
      <c r="Q253" s="562"/>
      <c r="R253" s="562"/>
      <c r="S253" s="562"/>
      <c r="T253" s="562"/>
      <c r="U253" s="562"/>
      <c r="V253" s="562"/>
      <c r="W253" s="562"/>
      <c r="X253" s="562"/>
      <c r="Y253" s="562"/>
      <c r="Z253" s="562"/>
      <c r="AA253" s="562"/>
      <c r="AB253" s="562"/>
      <c r="AC253" s="562"/>
      <c r="AD253" s="562"/>
      <c r="AE253" s="562"/>
    </row>
    <row r="254" spans="2:31" x14ac:dyDescent="0.2">
      <c r="B254" s="557"/>
      <c r="C254" s="557"/>
      <c r="D254" s="557"/>
      <c r="E254" s="557"/>
      <c r="F254" s="557"/>
      <c r="G254" s="557"/>
      <c r="H254" s="557"/>
      <c r="I254" s="557"/>
      <c r="J254" s="557"/>
      <c r="K254" s="557"/>
      <c r="M254" s="562"/>
      <c r="N254" s="562"/>
      <c r="O254" s="562"/>
      <c r="P254" s="562"/>
      <c r="Q254" s="562"/>
      <c r="R254" s="562"/>
      <c r="S254" s="562"/>
      <c r="T254" s="562"/>
      <c r="U254" s="562"/>
      <c r="V254" s="562"/>
      <c r="W254" s="562"/>
      <c r="X254" s="562"/>
      <c r="Y254" s="562"/>
      <c r="Z254" s="562"/>
      <c r="AA254" s="562"/>
      <c r="AB254" s="562"/>
      <c r="AC254" s="562"/>
      <c r="AD254" s="562"/>
      <c r="AE254" s="562"/>
    </row>
    <row r="255" spans="2:31" x14ac:dyDescent="0.2">
      <c r="B255" s="557"/>
      <c r="C255" s="557"/>
      <c r="D255" s="557"/>
      <c r="E255" s="557"/>
      <c r="F255" s="557"/>
      <c r="G255" s="557"/>
      <c r="H255" s="557"/>
      <c r="I255" s="557"/>
      <c r="J255" s="557"/>
      <c r="K255" s="557"/>
      <c r="M255" s="562"/>
      <c r="N255" s="562"/>
      <c r="O255" s="562"/>
      <c r="P255" s="562"/>
      <c r="Q255" s="562"/>
      <c r="R255" s="562"/>
      <c r="S255" s="562"/>
      <c r="T255" s="562"/>
      <c r="U255" s="562"/>
      <c r="V255" s="562"/>
      <c r="W255" s="562"/>
      <c r="X255" s="562"/>
      <c r="Y255" s="562"/>
      <c r="Z255" s="562"/>
      <c r="AA255" s="562"/>
      <c r="AB255" s="562"/>
      <c r="AC255" s="562"/>
      <c r="AD255" s="562"/>
      <c r="AE255" s="562"/>
    </row>
    <row r="256" spans="2:31" x14ac:dyDescent="0.2">
      <c r="B256" s="557"/>
      <c r="C256" s="557"/>
      <c r="D256" s="557"/>
      <c r="E256" s="557"/>
      <c r="F256" s="557"/>
      <c r="G256" s="557"/>
      <c r="H256" s="557"/>
      <c r="I256" s="557"/>
      <c r="J256" s="557"/>
      <c r="K256" s="557"/>
      <c r="M256" s="562"/>
      <c r="N256" s="562"/>
      <c r="O256" s="562"/>
      <c r="P256" s="562"/>
      <c r="Q256" s="562"/>
      <c r="R256" s="562"/>
      <c r="S256" s="562"/>
      <c r="T256" s="562"/>
      <c r="U256" s="562"/>
      <c r="V256" s="562"/>
      <c r="W256" s="562"/>
      <c r="X256" s="562"/>
      <c r="Y256" s="562"/>
      <c r="Z256" s="562"/>
      <c r="AA256" s="562"/>
      <c r="AB256" s="562"/>
      <c r="AC256" s="562"/>
      <c r="AD256" s="562"/>
      <c r="AE256" s="562"/>
    </row>
    <row r="257" spans="2:31" x14ac:dyDescent="0.2">
      <c r="B257" s="557"/>
      <c r="C257" s="557"/>
      <c r="D257" s="557"/>
      <c r="E257" s="557"/>
      <c r="F257" s="557"/>
      <c r="G257" s="557"/>
      <c r="H257" s="557"/>
      <c r="I257" s="557"/>
      <c r="J257" s="557"/>
      <c r="K257" s="557"/>
      <c r="M257" s="562"/>
      <c r="N257" s="562"/>
      <c r="O257" s="562"/>
      <c r="P257" s="562"/>
      <c r="Q257" s="562"/>
      <c r="R257" s="562"/>
      <c r="S257" s="562"/>
      <c r="T257" s="562"/>
      <c r="U257" s="562"/>
      <c r="V257" s="562"/>
      <c r="W257" s="562"/>
      <c r="X257" s="562"/>
      <c r="Y257" s="562"/>
      <c r="Z257" s="562"/>
      <c r="AA257" s="562"/>
      <c r="AB257" s="562"/>
      <c r="AC257" s="562"/>
      <c r="AD257" s="562"/>
      <c r="AE257" s="562"/>
    </row>
    <row r="258" spans="2:31" x14ac:dyDescent="0.2">
      <c r="B258" s="557"/>
      <c r="C258" s="557"/>
      <c r="D258" s="557"/>
      <c r="E258" s="557"/>
      <c r="F258" s="557"/>
      <c r="G258" s="557"/>
      <c r="H258" s="557"/>
      <c r="I258" s="557"/>
      <c r="J258" s="557"/>
      <c r="K258" s="557"/>
      <c r="M258" s="562"/>
      <c r="N258" s="562"/>
      <c r="O258" s="562"/>
      <c r="P258" s="562"/>
      <c r="Q258" s="562"/>
      <c r="R258" s="562"/>
      <c r="S258" s="562"/>
      <c r="T258" s="562"/>
      <c r="U258" s="562"/>
      <c r="V258" s="562"/>
      <c r="W258" s="562"/>
      <c r="X258" s="562"/>
      <c r="Y258" s="562"/>
      <c r="Z258" s="562"/>
      <c r="AA258" s="562"/>
      <c r="AB258" s="562"/>
      <c r="AC258" s="562"/>
      <c r="AD258" s="562"/>
      <c r="AE258" s="562"/>
    </row>
    <row r="259" spans="2:31" x14ac:dyDescent="0.2">
      <c r="B259" s="557"/>
      <c r="C259" s="557"/>
      <c r="D259" s="557"/>
      <c r="E259" s="557"/>
      <c r="F259" s="557"/>
      <c r="G259" s="557"/>
      <c r="H259" s="557"/>
      <c r="I259" s="557"/>
      <c r="J259" s="557"/>
      <c r="K259" s="557"/>
      <c r="M259" s="562"/>
      <c r="N259" s="562"/>
      <c r="O259" s="562"/>
      <c r="P259" s="562"/>
      <c r="Q259" s="562"/>
      <c r="R259" s="562"/>
      <c r="S259" s="562"/>
      <c r="T259" s="562"/>
      <c r="U259" s="562"/>
      <c r="V259" s="562"/>
      <c r="W259" s="562"/>
      <c r="X259" s="562"/>
      <c r="Y259" s="562"/>
      <c r="Z259" s="562"/>
      <c r="AA259" s="562"/>
      <c r="AB259" s="562"/>
      <c r="AC259" s="562"/>
      <c r="AD259" s="562"/>
      <c r="AE259" s="562"/>
    </row>
    <row r="260" spans="2:31" x14ac:dyDescent="0.2">
      <c r="B260" s="557"/>
      <c r="C260" s="557"/>
      <c r="D260" s="557"/>
      <c r="E260" s="557"/>
      <c r="F260" s="557"/>
      <c r="G260" s="557"/>
      <c r="H260" s="557"/>
      <c r="I260" s="557"/>
      <c r="J260" s="557"/>
      <c r="K260" s="557"/>
      <c r="M260" s="562"/>
      <c r="N260" s="562"/>
      <c r="O260" s="562"/>
      <c r="P260" s="562"/>
      <c r="Q260" s="562"/>
      <c r="R260" s="562"/>
      <c r="S260" s="562"/>
      <c r="T260" s="562"/>
      <c r="U260" s="562"/>
      <c r="V260" s="562"/>
      <c r="W260" s="562"/>
      <c r="X260" s="562"/>
      <c r="Y260" s="562"/>
      <c r="Z260" s="562"/>
      <c r="AA260" s="562"/>
      <c r="AB260" s="562"/>
      <c r="AC260" s="562"/>
      <c r="AD260" s="562"/>
      <c r="AE260" s="562"/>
    </row>
    <row r="261" spans="2:31" x14ac:dyDescent="0.2">
      <c r="B261" s="557"/>
      <c r="C261" s="557"/>
      <c r="D261" s="557"/>
      <c r="E261" s="557"/>
      <c r="F261" s="557"/>
      <c r="G261" s="557"/>
      <c r="H261" s="557"/>
      <c r="I261" s="557"/>
      <c r="J261" s="557"/>
      <c r="K261" s="557"/>
      <c r="M261" s="562"/>
      <c r="N261" s="562"/>
      <c r="O261" s="562"/>
      <c r="P261" s="562"/>
      <c r="Q261" s="562"/>
      <c r="R261" s="562"/>
      <c r="S261" s="562"/>
      <c r="T261" s="562"/>
      <c r="U261" s="562"/>
      <c r="V261" s="562"/>
      <c r="W261" s="562"/>
      <c r="X261" s="562"/>
      <c r="Y261" s="562"/>
      <c r="Z261" s="562"/>
      <c r="AA261" s="562"/>
      <c r="AB261" s="562"/>
      <c r="AC261" s="562"/>
      <c r="AD261" s="562"/>
      <c r="AE261" s="562"/>
    </row>
    <row r="262" spans="2:31" x14ac:dyDescent="0.2">
      <c r="B262" s="557"/>
      <c r="C262" s="557"/>
      <c r="D262" s="557"/>
      <c r="E262" s="557"/>
      <c r="F262" s="557"/>
      <c r="G262" s="557"/>
      <c r="H262" s="557"/>
      <c r="I262" s="557"/>
      <c r="J262" s="557"/>
      <c r="K262" s="557"/>
      <c r="M262" s="562"/>
      <c r="N262" s="562"/>
      <c r="O262" s="562"/>
      <c r="P262" s="562"/>
      <c r="Q262" s="562"/>
      <c r="R262" s="562"/>
      <c r="S262" s="562"/>
      <c r="T262" s="562"/>
      <c r="U262" s="562"/>
      <c r="V262" s="562"/>
      <c r="W262" s="562"/>
      <c r="X262" s="562"/>
      <c r="Y262" s="562"/>
      <c r="Z262" s="562"/>
      <c r="AA262" s="562"/>
      <c r="AB262" s="562"/>
      <c r="AC262" s="562"/>
      <c r="AD262" s="562"/>
      <c r="AE262" s="562"/>
    </row>
    <row r="263" spans="2:31" x14ac:dyDescent="0.2">
      <c r="B263" s="557"/>
      <c r="C263" s="557"/>
      <c r="D263" s="557"/>
      <c r="E263" s="557"/>
      <c r="F263" s="557"/>
      <c r="G263" s="557"/>
      <c r="H263" s="557"/>
      <c r="I263" s="557"/>
      <c r="J263" s="557"/>
      <c r="K263" s="557"/>
      <c r="M263" s="562"/>
      <c r="N263" s="562"/>
      <c r="O263" s="562"/>
      <c r="P263" s="562"/>
      <c r="Q263" s="562"/>
      <c r="R263" s="562"/>
      <c r="S263" s="562"/>
      <c r="T263" s="562"/>
      <c r="U263" s="562"/>
      <c r="V263" s="562"/>
      <c r="W263" s="562"/>
      <c r="X263" s="562"/>
      <c r="Y263" s="562"/>
      <c r="Z263" s="562"/>
      <c r="AA263" s="562"/>
      <c r="AB263" s="562"/>
      <c r="AC263" s="562"/>
      <c r="AD263" s="562"/>
      <c r="AE263" s="562"/>
    </row>
    <row r="264" spans="2:31" x14ac:dyDescent="0.2">
      <c r="B264" s="557"/>
      <c r="C264" s="557"/>
      <c r="D264" s="557"/>
      <c r="E264" s="557"/>
      <c r="F264" s="557"/>
      <c r="G264" s="557"/>
      <c r="H264" s="557"/>
      <c r="I264" s="557"/>
      <c r="J264" s="557"/>
      <c r="K264" s="557"/>
      <c r="M264" s="562"/>
      <c r="N264" s="562"/>
      <c r="O264" s="562"/>
      <c r="P264" s="562"/>
      <c r="Q264" s="562"/>
      <c r="R264" s="562"/>
      <c r="S264" s="562"/>
      <c r="T264" s="562"/>
      <c r="U264" s="562"/>
      <c r="V264" s="562"/>
      <c r="W264" s="562"/>
      <c r="X264" s="562"/>
      <c r="Y264" s="562"/>
      <c r="Z264" s="562"/>
      <c r="AA264" s="562"/>
      <c r="AB264" s="562"/>
      <c r="AC264" s="562"/>
      <c r="AD264" s="562"/>
      <c r="AE264" s="562"/>
    </row>
    <row r="265" spans="2:31" x14ac:dyDescent="0.2">
      <c r="B265" s="557"/>
      <c r="C265" s="557"/>
      <c r="D265" s="557"/>
      <c r="E265" s="557"/>
      <c r="F265" s="557"/>
      <c r="G265" s="557"/>
      <c r="H265" s="557"/>
      <c r="I265" s="557"/>
      <c r="J265" s="557"/>
      <c r="K265" s="557"/>
      <c r="M265" s="562"/>
      <c r="N265" s="562"/>
      <c r="O265" s="562"/>
      <c r="P265" s="562"/>
      <c r="Q265" s="562"/>
      <c r="R265" s="562"/>
      <c r="S265" s="562"/>
      <c r="T265" s="562"/>
      <c r="U265" s="562"/>
      <c r="V265" s="562"/>
      <c r="W265" s="562"/>
      <c r="X265" s="562"/>
      <c r="Y265" s="562"/>
      <c r="Z265" s="562"/>
      <c r="AA265" s="562"/>
      <c r="AB265" s="562"/>
      <c r="AC265" s="562"/>
      <c r="AD265" s="562"/>
      <c r="AE265" s="562"/>
    </row>
    <row r="266" spans="2:31" x14ac:dyDescent="0.2">
      <c r="B266" s="557"/>
      <c r="C266" s="557"/>
      <c r="D266" s="557"/>
      <c r="E266" s="557"/>
      <c r="F266" s="557"/>
      <c r="G266" s="557"/>
      <c r="H266" s="557"/>
      <c r="I266" s="557"/>
      <c r="J266" s="557"/>
      <c r="K266" s="557"/>
      <c r="M266" s="562"/>
      <c r="N266" s="562"/>
      <c r="O266" s="562"/>
      <c r="P266" s="562"/>
      <c r="Q266" s="562"/>
      <c r="R266" s="562"/>
      <c r="S266" s="562"/>
      <c r="T266" s="562"/>
      <c r="U266" s="562"/>
      <c r="V266" s="562"/>
      <c r="W266" s="562"/>
      <c r="X266" s="562"/>
      <c r="Y266" s="562"/>
      <c r="Z266" s="562"/>
      <c r="AA266" s="562"/>
      <c r="AB266" s="562"/>
      <c r="AC266" s="562"/>
      <c r="AD266" s="562"/>
      <c r="AE266" s="562"/>
    </row>
    <row r="267" spans="2:31" x14ac:dyDescent="0.2">
      <c r="B267" s="557"/>
      <c r="C267" s="557"/>
      <c r="D267" s="557"/>
      <c r="E267" s="557"/>
      <c r="F267" s="557"/>
      <c r="G267" s="557"/>
      <c r="H267" s="557"/>
      <c r="I267" s="557"/>
      <c r="J267" s="557"/>
      <c r="K267" s="557"/>
      <c r="M267" s="562"/>
      <c r="N267" s="562"/>
      <c r="O267" s="562"/>
      <c r="P267" s="562"/>
      <c r="Q267" s="562"/>
      <c r="R267" s="562"/>
      <c r="S267" s="562"/>
      <c r="T267" s="562"/>
      <c r="U267" s="562"/>
      <c r="V267" s="562"/>
      <c r="W267" s="562"/>
      <c r="X267" s="562"/>
      <c r="Y267" s="562"/>
      <c r="Z267" s="562"/>
      <c r="AA267" s="562"/>
      <c r="AB267" s="562"/>
      <c r="AC267" s="562"/>
      <c r="AD267" s="562"/>
      <c r="AE267" s="562"/>
    </row>
    <row r="268" spans="2:31" x14ac:dyDescent="0.2">
      <c r="B268" s="557"/>
      <c r="C268" s="557"/>
      <c r="D268" s="557"/>
      <c r="E268" s="557"/>
      <c r="F268" s="557"/>
      <c r="G268" s="557"/>
      <c r="H268" s="557"/>
      <c r="I268" s="557"/>
      <c r="J268" s="557"/>
      <c r="K268" s="557"/>
      <c r="M268" s="562"/>
      <c r="N268" s="562"/>
      <c r="O268" s="562"/>
      <c r="P268" s="562"/>
      <c r="Q268" s="562"/>
      <c r="R268" s="562"/>
      <c r="S268" s="562"/>
      <c r="T268" s="562"/>
      <c r="U268" s="562"/>
      <c r="V268" s="562"/>
      <c r="W268" s="562"/>
      <c r="X268" s="562"/>
      <c r="Y268" s="562"/>
      <c r="Z268" s="562"/>
      <c r="AA268" s="562"/>
      <c r="AB268" s="562"/>
      <c r="AC268" s="562"/>
      <c r="AD268" s="562"/>
      <c r="AE268" s="562"/>
    </row>
    <row r="269" spans="2:31" x14ac:dyDescent="0.2">
      <c r="B269" s="557"/>
      <c r="C269" s="557"/>
      <c r="D269" s="557"/>
      <c r="E269" s="557"/>
      <c r="F269" s="557"/>
      <c r="G269" s="557"/>
      <c r="H269" s="557"/>
      <c r="I269" s="557"/>
      <c r="J269" s="557"/>
      <c r="K269" s="557"/>
      <c r="M269" s="562"/>
      <c r="N269" s="562"/>
      <c r="O269" s="562"/>
      <c r="P269" s="562"/>
      <c r="Q269" s="562"/>
      <c r="R269" s="562"/>
      <c r="S269" s="562"/>
      <c r="T269" s="562"/>
      <c r="U269" s="562"/>
      <c r="V269" s="562"/>
      <c r="W269" s="562"/>
      <c r="X269" s="562"/>
      <c r="Y269" s="562"/>
      <c r="Z269" s="562"/>
      <c r="AA269" s="562"/>
      <c r="AB269" s="562"/>
      <c r="AC269" s="562"/>
      <c r="AD269" s="562"/>
      <c r="AE269" s="562"/>
    </row>
    <row r="270" spans="2:31" x14ac:dyDescent="0.2">
      <c r="B270" s="557"/>
      <c r="C270" s="557"/>
      <c r="D270" s="557"/>
      <c r="E270" s="557"/>
      <c r="F270" s="557"/>
      <c r="G270" s="557"/>
      <c r="H270" s="557"/>
      <c r="I270" s="557"/>
      <c r="J270" s="557"/>
      <c r="K270" s="557"/>
      <c r="M270" s="562"/>
      <c r="N270" s="562"/>
      <c r="O270" s="562"/>
      <c r="P270" s="562"/>
      <c r="Q270" s="562"/>
      <c r="R270" s="562"/>
      <c r="S270" s="562"/>
      <c r="T270" s="562"/>
      <c r="U270" s="562"/>
      <c r="V270" s="562"/>
      <c r="W270" s="562"/>
      <c r="X270" s="562"/>
      <c r="Y270" s="562"/>
      <c r="Z270" s="562"/>
      <c r="AA270" s="562"/>
      <c r="AB270" s="562"/>
      <c r="AC270" s="562"/>
      <c r="AD270" s="562"/>
      <c r="AE270" s="562"/>
    </row>
    <row r="271" spans="2:31" x14ac:dyDescent="0.2">
      <c r="B271" s="557"/>
      <c r="C271" s="557"/>
      <c r="D271" s="557"/>
      <c r="E271" s="557"/>
      <c r="F271" s="557"/>
      <c r="G271" s="557"/>
      <c r="H271" s="557"/>
      <c r="I271" s="557"/>
      <c r="J271" s="557"/>
      <c r="K271" s="557"/>
      <c r="M271" s="562"/>
      <c r="N271" s="562"/>
      <c r="O271" s="562"/>
      <c r="P271" s="562"/>
      <c r="Q271" s="562"/>
      <c r="R271" s="562"/>
      <c r="S271" s="562"/>
      <c r="T271" s="562"/>
      <c r="U271" s="562"/>
      <c r="V271" s="562"/>
      <c r="W271" s="562"/>
      <c r="X271" s="562"/>
      <c r="Y271" s="562"/>
      <c r="Z271" s="562"/>
      <c r="AA271" s="562"/>
      <c r="AB271" s="562"/>
      <c r="AC271" s="562"/>
      <c r="AD271" s="562"/>
      <c r="AE271" s="562"/>
    </row>
    <row r="272" spans="2:31" x14ac:dyDescent="0.2">
      <c r="B272" s="557"/>
      <c r="C272" s="557"/>
      <c r="D272" s="557"/>
      <c r="E272" s="557"/>
      <c r="F272" s="557"/>
      <c r="G272" s="557"/>
      <c r="H272" s="557"/>
      <c r="I272" s="557"/>
      <c r="J272" s="557"/>
      <c r="K272" s="557"/>
      <c r="M272" s="562"/>
      <c r="N272" s="562"/>
      <c r="O272" s="562"/>
      <c r="P272" s="562"/>
      <c r="Q272" s="562"/>
      <c r="R272" s="562"/>
      <c r="S272" s="562"/>
      <c r="T272" s="562"/>
      <c r="U272" s="562"/>
      <c r="V272" s="562"/>
      <c r="W272" s="562"/>
      <c r="X272" s="562"/>
      <c r="Y272" s="562"/>
      <c r="Z272" s="562"/>
      <c r="AA272" s="562"/>
      <c r="AB272" s="562"/>
      <c r="AC272" s="562"/>
      <c r="AD272" s="562"/>
      <c r="AE272" s="562"/>
    </row>
    <row r="273" spans="2:31" x14ac:dyDescent="0.2">
      <c r="B273" s="557"/>
      <c r="C273" s="557"/>
      <c r="D273" s="557"/>
      <c r="E273" s="557"/>
      <c r="F273" s="557"/>
      <c r="G273" s="557"/>
      <c r="H273" s="557"/>
      <c r="I273" s="557"/>
      <c r="J273" s="557"/>
      <c r="K273" s="557"/>
      <c r="M273" s="562"/>
      <c r="N273" s="562"/>
      <c r="O273" s="562"/>
      <c r="P273" s="562"/>
      <c r="Q273" s="562"/>
      <c r="R273" s="562"/>
      <c r="S273" s="562"/>
      <c r="T273" s="562"/>
      <c r="U273" s="562"/>
      <c r="V273" s="562"/>
      <c r="W273" s="562"/>
      <c r="X273" s="562"/>
      <c r="Y273" s="562"/>
      <c r="Z273" s="562"/>
      <c r="AA273" s="562"/>
      <c r="AB273" s="562"/>
      <c r="AC273" s="562"/>
      <c r="AD273" s="562"/>
      <c r="AE273" s="562"/>
    </row>
    <row r="274" spans="2:31" x14ac:dyDescent="0.2">
      <c r="B274" s="557"/>
      <c r="C274" s="557"/>
      <c r="D274" s="557"/>
      <c r="E274" s="557"/>
      <c r="F274" s="557"/>
      <c r="G274" s="557"/>
      <c r="H274" s="557"/>
      <c r="I274" s="557"/>
      <c r="J274" s="557"/>
      <c r="K274" s="557"/>
      <c r="M274" s="562"/>
      <c r="N274" s="562"/>
      <c r="O274" s="562"/>
      <c r="P274" s="562"/>
      <c r="Q274" s="562"/>
      <c r="R274" s="562"/>
      <c r="S274" s="562"/>
      <c r="T274" s="562"/>
      <c r="U274" s="562"/>
      <c r="V274" s="562"/>
      <c r="W274" s="562"/>
      <c r="X274" s="562"/>
      <c r="Y274" s="562"/>
      <c r="Z274" s="562"/>
      <c r="AA274" s="562"/>
      <c r="AB274" s="562"/>
      <c r="AC274" s="562"/>
      <c r="AD274" s="562"/>
      <c r="AE274" s="562"/>
    </row>
    <row r="275" spans="2:31" x14ac:dyDescent="0.2">
      <c r="B275" s="557"/>
      <c r="C275" s="557"/>
      <c r="D275" s="557"/>
      <c r="E275" s="557"/>
      <c r="F275" s="557"/>
      <c r="G275" s="557"/>
      <c r="H275" s="557"/>
      <c r="I275" s="557"/>
      <c r="J275" s="557"/>
      <c r="K275" s="557"/>
      <c r="M275" s="562"/>
      <c r="N275" s="562"/>
      <c r="O275" s="562"/>
      <c r="P275" s="562"/>
      <c r="Q275" s="562"/>
      <c r="R275" s="562"/>
      <c r="S275" s="562"/>
      <c r="T275" s="562"/>
      <c r="U275" s="562"/>
      <c r="V275" s="562"/>
      <c r="W275" s="562"/>
      <c r="X275" s="562"/>
      <c r="Y275" s="562"/>
      <c r="Z275" s="562"/>
      <c r="AA275" s="562"/>
      <c r="AB275" s="562"/>
      <c r="AC275" s="562"/>
      <c r="AD275" s="562"/>
      <c r="AE275" s="562"/>
    </row>
    <row r="276" spans="2:31" x14ac:dyDescent="0.2">
      <c r="B276" s="557"/>
      <c r="C276" s="557"/>
      <c r="D276" s="557"/>
      <c r="E276" s="557"/>
      <c r="F276" s="557"/>
      <c r="G276" s="557"/>
      <c r="H276" s="557"/>
      <c r="I276" s="557"/>
      <c r="J276" s="557"/>
      <c r="K276" s="557"/>
      <c r="M276" s="562"/>
      <c r="N276" s="562"/>
      <c r="O276" s="562"/>
      <c r="P276" s="562"/>
      <c r="Q276" s="562"/>
      <c r="R276" s="562"/>
      <c r="S276" s="562"/>
      <c r="T276" s="562"/>
      <c r="U276" s="562"/>
      <c r="V276" s="562"/>
      <c r="W276" s="562"/>
      <c r="X276" s="562"/>
      <c r="Y276" s="562"/>
      <c r="Z276" s="562"/>
      <c r="AA276" s="562"/>
      <c r="AB276" s="562"/>
      <c r="AC276" s="562"/>
      <c r="AD276" s="562"/>
      <c r="AE276" s="562"/>
    </row>
    <row r="277" spans="2:31" x14ac:dyDescent="0.2">
      <c r="B277" s="557"/>
      <c r="C277" s="557"/>
      <c r="D277" s="557"/>
      <c r="E277" s="557"/>
      <c r="F277" s="557"/>
      <c r="G277" s="557"/>
      <c r="H277" s="557"/>
      <c r="I277" s="557"/>
      <c r="J277" s="557"/>
      <c r="K277" s="557"/>
      <c r="M277" s="562"/>
      <c r="N277" s="562"/>
      <c r="O277" s="562"/>
      <c r="P277" s="562"/>
      <c r="Q277" s="562"/>
      <c r="R277" s="562"/>
      <c r="S277" s="562"/>
      <c r="T277" s="562"/>
      <c r="U277" s="562"/>
      <c r="V277" s="562"/>
      <c r="W277" s="562"/>
      <c r="X277" s="562"/>
      <c r="Y277" s="562"/>
      <c r="Z277" s="562"/>
      <c r="AA277" s="562"/>
      <c r="AB277" s="562"/>
      <c r="AC277" s="562"/>
      <c r="AD277" s="562"/>
      <c r="AE277" s="562"/>
    </row>
    <row r="278" spans="2:31" x14ac:dyDescent="0.2">
      <c r="B278" s="557"/>
      <c r="C278" s="557"/>
      <c r="D278" s="557"/>
      <c r="E278" s="557"/>
      <c r="F278" s="557"/>
      <c r="G278" s="557"/>
      <c r="H278" s="557"/>
      <c r="I278" s="557"/>
      <c r="J278" s="557"/>
      <c r="K278" s="557"/>
      <c r="M278" s="562"/>
      <c r="N278" s="562"/>
      <c r="O278" s="562"/>
      <c r="P278" s="562"/>
      <c r="Q278" s="562"/>
      <c r="R278" s="562"/>
      <c r="S278" s="562"/>
      <c r="T278" s="562"/>
      <c r="U278" s="562"/>
      <c r="V278" s="562"/>
      <c r="W278" s="562"/>
      <c r="X278" s="562"/>
      <c r="Y278" s="562"/>
      <c r="Z278" s="562"/>
      <c r="AA278" s="562"/>
      <c r="AB278" s="562"/>
      <c r="AC278" s="562"/>
      <c r="AD278" s="562"/>
      <c r="AE278" s="562"/>
    </row>
    <row r="279" spans="2:31" x14ac:dyDescent="0.2">
      <c r="B279" s="557"/>
      <c r="C279" s="557"/>
      <c r="D279" s="557"/>
      <c r="E279" s="557"/>
      <c r="F279" s="557"/>
      <c r="G279" s="557"/>
      <c r="H279" s="557"/>
      <c r="I279" s="557"/>
      <c r="J279" s="557"/>
      <c r="K279" s="557"/>
      <c r="M279" s="562"/>
      <c r="N279" s="562"/>
      <c r="O279" s="562"/>
      <c r="P279" s="562"/>
      <c r="Q279" s="562"/>
      <c r="R279" s="562"/>
      <c r="S279" s="562"/>
      <c r="T279" s="562"/>
      <c r="U279" s="562"/>
      <c r="V279" s="562"/>
      <c r="W279" s="562"/>
      <c r="X279" s="562"/>
      <c r="Y279" s="562"/>
      <c r="Z279" s="562"/>
      <c r="AA279" s="562"/>
      <c r="AB279" s="562"/>
      <c r="AC279" s="562"/>
      <c r="AD279" s="562"/>
      <c r="AE279" s="562"/>
    </row>
    <row r="280" spans="2:31" x14ac:dyDescent="0.2">
      <c r="B280" s="557"/>
      <c r="C280" s="557"/>
      <c r="D280" s="557"/>
      <c r="E280" s="557"/>
      <c r="F280" s="557"/>
      <c r="G280" s="557"/>
      <c r="H280" s="557"/>
      <c r="I280" s="557"/>
      <c r="J280" s="557"/>
      <c r="K280" s="557"/>
      <c r="M280" s="562"/>
      <c r="N280" s="562"/>
      <c r="O280" s="562"/>
      <c r="P280" s="562"/>
      <c r="Q280" s="562"/>
      <c r="R280" s="562"/>
      <c r="S280" s="562"/>
      <c r="T280" s="562"/>
      <c r="U280" s="562"/>
      <c r="V280" s="562"/>
      <c r="W280" s="562"/>
      <c r="X280" s="562"/>
      <c r="Y280" s="562"/>
      <c r="Z280" s="562"/>
      <c r="AA280" s="562"/>
      <c r="AB280" s="562"/>
      <c r="AC280" s="562"/>
      <c r="AD280" s="562"/>
      <c r="AE280" s="562"/>
    </row>
    <row r="281" spans="2:31" x14ac:dyDescent="0.2">
      <c r="B281" s="557"/>
      <c r="C281" s="557"/>
      <c r="D281" s="557"/>
      <c r="E281" s="557"/>
      <c r="F281" s="557"/>
      <c r="G281" s="557"/>
      <c r="H281" s="557"/>
      <c r="I281" s="557"/>
      <c r="J281" s="557"/>
      <c r="K281" s="557"/>
      <c r="M281" s="562"/>
      <c r="N281" s="562"/>
      <c r="O281" s="562"/>
      <c r="P281" s="562"/>
      <c r="Q281" s="562"/>
      <c r="R281" s="562"/>
      <c r="S281" s="562"/>
      <c r="T281" s="562"/>
      <c r="U281" s="562"/>
      <c r="V281" s="562"/>
      <c r="W281" s="562"/>
      <c r="X281" s="562"/>
      <c r="Y281" s="562"/>
      <c r="Z281" s="562"/>
      <c r="AA281" s="562"/>
      <c r="AB281" s="562"/>
      <c r="AC281" s="562"/>
      <c r="AD281" s="562"/>
      <c r="AE281" s="562"/>
    </row>
    <row r="282" spans="2:31" x14ac:dyDescent="0.2">
      <c r="B282" s="557"/>
      <c r="C282" s="557"/>
      <c r="D282" s="557"/>
      <c r="E282" s="557"/>
      <c r="F282" s="557"/>
      <c r="G282" s="557"/>
      <c r="H282" s="557"/>
      <c r="I282" s="557"/>
      <c r="J282" s="557"/>
      <c r="K282" s="557"/>
      <c r="M282" s="562"/>
      <c r="N282" s="562"/>
      <c r="O282" s="562"/>
      <c r="P282" s="562"/>
      <c r="Q282" s="562"/>
      <c r="R282" s="562"/>
      <c r="S282" s="562"/>
      <c r="T282" s="562"/>
      <c r="U282" s="562"/>
      <c r="V282" s="562"/>
      <c r="W282" s="562"/>
      <c r="X282" s="562"/>
      <c r="Y282" s="562"/>
      <c r="Z282" s="562"/>
      <c r="AA282" s="562"/>
      <c r="AB282" s="562"/>
      <c r="AC282" s="562"/>
      <c r="AD282" s="562"/>
      <c r="AE282" s="562"/>
    </row>
    <row r="283" spans="2:31" x14ac:dyDescent="0.2">
      <c r="B283" s="557"/>
      <c r="C283" s="557"/>
      <c r="D283" s="557"/>
      <c r="E283" s="557"/>
      <c r="F283" s="557"/>
      <c r="G283" s="557"/>
      <c r="H283" s="557"/>
      <c r="I283" s="557"/>
      <c r="J283" s="557"/>
      <c r="K283" s="557"/>
      <c r="M283" s="562"/>
      <c r="N283" s="562"/>
      <c r="O283" s="562"/>
      <c r="P283" s="562"/>
      <c r="Q283" s="562"/>
      <c r="R283" s="562"/>
      <c r="S283" s="562"/>
      <c r="T283" s="562"/>
      <c r="U283" s="562"/>
      <c r="V283" s="562"/>
      <c r="W283" s="562"/>
      <c r="X283" s="562"/>
      <c r="Y283" s="562"/>
      <c r="Z283" s="562"/>
      <c r="AA283" s="562"/>
      <c r="AB283" s="562"/>
      <c r="AC283" s="562"/>
      <c r="AD283" s="562"/>
      <c r="AE283" s="562"/>
    </row>
    <row r="284" spans="2:31" x14ac:dyDescent="0.2">
      <c r="B284" s="557"/>
      <c r="C284" s="557"/>
      <c r="D284" s="557"/>
      <c r="E284" s="557"/>
      <c r="F284" s="557"/>
      <c r="G284" s="557"/>
      <c r="H284" s="557"/>
      <c r="I284" s="557"/>
      <c r="J284" s="557"/>
      <c r="K284" s="557"/>
      <c r="M284" s="562"/>
      <c r="N284" s="562"/>
      <c r="O284" s="562"/>
      <c r="P284" s="562"/>
      <c r="Q284" s="562"/>
      <c r="R284" s="562"/>
      <c r="S284" s="562"/>
      <c r="T284" s="562"/>
      <c r="U284" s="562"/>
      <c r="V284" s="562"/>
      <c r="W284" s="562"/>
      <c r="X284" s="562"/>
      <c r="Y284" s="562"/>
      <c r="Z284" s="562"/>
      <c r="AA284" s="562"/>
      <c r="AB284" s="562"/>
      <c r="AC284" s="562"/>
      <c r="AD284" s="562"/>
      <c r="AE284" s="562"/>
    </row>
    <row r="285" spans="2:31" x14ac:dyDescent="0.2">
      <c r="B285" s="557"/>
      <c r="C285" s="557"/>
      <c r="D285" s="557"/>
      <c r="E285" s="557"/>
      <c r="F285" s="557"/>
      <c r="G285" s="557"/>
      <c r="H285" s="557"/>
      <c r="I285" s="557"/>
      <c r="J285" s="557"/>
      <c r="K285" s="557"/>
      <c r="M285" s="562"/>
      <c r="N285" s="562"/>
      <c r="O285" s="562"/>
      <c r="P285" s="562"/>
      <c r="Q285" s="562"/>
      <c r="R285" s="562"/>
      <c r="S285" s="562"/>
      <c r="T285" s="562"/>
      <c r="U285" s="562"/>
      <c r="V285" s="562"/>
      <c r="W285" s="562"/>
      <c r="X285" s="562"/>
      <c r="Y285" s="562"/>
      <c r="Z285" s="562"/>
      <c r="AA285" s="562"/>
      <c r="AB285" s="562"/>
      <c r="AC285" s="562"/>
      <c r="AD285" s="562"/>
      <c r="AE285" s="562"/>
    </row>
    <row r="286" spans="2:31" x14ac:dyDescent="0.2">
      <c r="B286" s="557"/>
      <c r="C286" s="557"/>
      <c r="D286" s="557"/>
      <c r="E286" s="557"/>
      <c r="F286" s="557"/>
      <c r="G286" s="557"/>
      <c r="H286" s="557"/>
      <c r="I286" s="557"/>
      <c r="J286" s="557"/>
      <c r="K286" s="557"/>
      <c r="M286" s="562"/>
      <c r="N286" s="562"/>
      <c r="O286" s="562"/>
      <c r="P286" s="562"/>
      <c r="Q286" s="562"/>
      <c r="R286" s="562"/>
      <c r="S286" s="562"/>
      <c r="T286" s="562"/>
      <c r="U286" s="562"/>
      <c r="V286" s="562"/>
      <c r="W286" s="562"/>
      <c r="X286" s="562"/>
      <c r="Y286" s="562"/>
      <c r="Z286" s="562"/>
      <c r="AA286" s="562"/>
      <c r="AB286" s="562"/>
      <c r="AC286" s="562"/>
      <c r="AD286" s="562"/>
      <c r="AE286" s="562"/>
    </row>
    <row r="287" spans="2:31" x14ac:dyDescent="0.2">
      <c r="B287" s="557"/>
      <c r="C287" s="557"/>
      <c r="D287" s="557"/>
      <c r="E287" s="557"/>
      <c r="F287" s="557"/>
      <c r="G287" s="557"/>
      <c r="H287" s="557"/>
      <c r="I287" s="557"/>
      <c r="J287" s="557"/>
      <c r="K287" s="557"/>
      <c r="M287" s="562"/>
      <c r="N287" s="562"/>
      <c r="O287" s="562"/>
      <c r="P287" s="562"/>
      <c r="Q287" s="562"/>
      <c r="R287" s="562"/>
      <c r="S287" s="562"/>
      <c r="T287" s="562"/>
      <c r="U287" s="562"/>
      <c r="V287" s="562"/>
      <c r="W287" s="562"/>
      <c r="X287" s="562"/>
      <c r="Y287" s="562"/>
      <c r="Z287" s="562"/>
      <c r="AA287" s="562"/>
      <c r="AB287" s="562"/>
      <c r="AC287" s="562"/>
      <c r="AD287" s="562"/>
      <c r="AE287" s="562"/>
    </row>
    <row r="288" spans="2:31" x14ac:dyDescent="0.2">
      <c r="B288" s="557"/>
      <c r="C288" s="557"/>
      <c r="D288" s="557"/>
      <c r="E288" s="557"/>
      <c r="F288" s="557"/>
      <c r="G288" s="557"/>
      <c r="H288" s="557"/>
      <c r="I288" s="557"/>
      <c r="J288" s="557"/>
      <c r="K288" s="557"/>
      <c r="M288" s="562"/>
      <c r="N288" s="562"/>
      <c r="O288" s="562"/>
      <c r="P288" s="562"/>
      <c r="Q288" s="562"/>
      <c r="R288" s="562"/>
      <c r="S288" s="562"/>
      <c r="T288" s="562"/>
      <c r="U288" s="562"/>
      <c r="V288" s="562"/>
      <c r="W288" s="562"/>
      <c r="X288" s="562"/>
      <c r="Y288" s="562"/>
      <c r="Z288" s="562"/>
      <c r="AA288" s="562"/>
      <c r="AB288" s="562"/>
      <c r="AC288" s="562"/>
      <c r="AD288" s="562"/>
      <c r="AE288" s="562"/>
    </row>
    <row r="289" spans="2:31" x14ac:dyDescent="0.2">
      <c r="B289" s="557"/>
      <c r="C289" s="557"/>
      <c r="D289" s="557"/>
      <c r="E289" s="557"/>
      <c r="F289" s="557"/>
      <c r="G289" s="557"/>
      <c r="H289" s="557"/>
      <c r="I289" s="557"/>
      <c r="J289" s="557"/>
      <c r="K289" s="557"/>
      <c r="M289" s="562"/>
      <c r="N289" s="562"/>
      <c r="O289" s="562"/>
      <c r="P289" s="562"/>
      <c r="Q289" s="562"/>
      <c r="R289" s="562"/>
      <c r="S289" s="562"/>
      <c r="T289" s="562"/>
      <c r="U289" s="562"/>
      <c r="V289" s="562"/>
      <c r="W289" s="562"/>
      <c r="X289" s="562"/>
      <c r="Y289" s="562"/>
      <c r="Z289" s="562"/>
      <c r="AA289" s="562"/>
      <c r="AB289" s="562"/>
      <c r="AC289" s="562"/>
      <c r="AD289" s="562"/>
      <c r="AE289" s="562"/>
    </row>
    <row r="290" spans="2:31" x14ac:dyDescent="0.2">
      <c r="B290" s="557"/>
      <c r="C290" s="557"/>
      <c r="D290" s="557"/>
      <c r="E290" s="557"/>
      <c r="F290" s="557"/>
      <c r="G290" s="557"/>
      <c r="H290" s="557"/>
      <c r="I290" s="557"/>
      <c r="J290" s="557"/>
      <c r="K290" s="557"/>
      <c r="M290" s="562"/>
      <c r="N290" s="562"/>
      <c r="O290" s="562"/>
      <c r="P290" s="562"/>
      <c r="Q290" s="562"/>
      <c r="R290" s="562"/>
      <c r="S290" s="562"/>
      <c r="T290" s="562"/>
      <c r="U290" s="562"/>
      <c r="V290" s="562"/>
      <c r="W290" s="562"/>
      <c r="X290" s="562"/>
      <c r="Y290" s="562"/>
      <c r="Z290" s="562"/>
      <c r="AA290" s="562"/>
      <c r="AB290" s="562"/>
      <c r="AC290" s="562"/>
      <c r="AD290" s="562"/>
      <c r="AE290" s="562"/>
    </row>
    <row r="291" spans="2:31" x14ac:dyDescent="0.2">
      <c r="B291" s="557"/>
      <c r="C291" s="557"/>
      <c r="D291" s="557"/>
      <c r="E291" s="557"/>
      <c r="F291" s="557"/>
      <c r="G291" s="557"/>
      <c r="H291" s="557"/>
      <c r="I291" s="557"/>
      <c r="J291" s="557"/>
      <c r="K291" s="557"/>
      <c r="M291" s="562"/>
      <c r="N291" s="562"/>
      <c r="O291" s="562"/>
      <c r="P291" s="562"/>
      <c r="Q291" s="562"/>
      <c r="R291" s="562"/>
      <c r="S291" s="562"/>
      <c r="T291" s="562"/>
      <c r="U291" s="562"/>
      <c r="V291" s="562"/>
      <c r="W291" s="562"/>
      <c r="X291" s="562"/>
      <c r="Y291" s="562"/>
      <c r="Z291" s="562"/>
      <c r="AA291" s="562"/>
      <c r="AB291" s="562"/>
      <c r="AC291" s="562"/>
      <c r="AD291" s="562"/>
      <c r="AE291" s="562"/>
    </row>
    <row r="292" spans="2:31" x14ac:dyDescent="0.2">
      <c r="B292" s="557"/>
      <c r="C292" s="557"/>
      <c r="D292" s="557"/>
      <c r="E292" s="557"/>
      <c r="F292" s="557"/>
      <c r="G292" s="557"/>
      <c r="H292" s="557"/>
      <c r="I292" s="557"/>
      <c r="J292" s="557"/>
      <c r="K292" s="557"/>
      <c r="M292" s="562"/>
      <c r="N292" s="562"/>
      <c r="O292" s="562"/>
      <c r="P292" s="562"/>
      <c r="Q292" s="562"/>
      <c r="R292" s="562"/>
      <c r="S292" s="562"/>
      <c r="T292" s="562"/>
      <c r="U292" s="562"/>
      <c r="V292" s="562"/>
      <c r="W292" s="562"/>
      <c r="X292" s="562"/>
      <c r="Y292" s="562"/>
      <c r="Z292" s="562"/>
      <c r="AA292" s="562"/>
      <c r="AB292" s="562"/>
      <c r="AC292" s="562"/>
      <c r="AD292" s="562"/>
      <c r="AE292" s="562"/>
    </row>
    <row r="293" spans="2:31" x14ac:dyDescent="0.2">
      <c r="B293" s="557"/>
      <c r="C293" s="557"/>
      <c r="D293" s="557"/>
      <c r="E293" s="557"/>
      <c r="F293" s="557"/>
      <c r="G293" s="557"/>
      <c r="H293" s="557"/>
      <c r="I293" s="557"/>
      <c r="J293" s="557"/>
      <c r="K293" s="557"/>
      <c r="M293" s="562"/>
      <c r="N293" s="562"/>
      <c r="O293" s="562"/>
      <c r="P293" s="562"/>
      <c r="Q293" s="562"/>
      <c r="R293" s="562"/>
      <c r="S293" s="562"/>
      <c r="T293" s="562"/>
      <c r="U293" s="562"/>
      <c r="V293" s="562"/>
      <c r="W293" s="562"/>
      <c r="X293" s="562"/>
      <c r="Y293" s="562"/>
      <c r="Z293" s="562"/>
      <c r="AA293" s="562"/>
      <c r="AB293" s="562"/>
      <c r="AC293" s="562"/>
      <c r="AD293" s="562"/>
      <c r="AE293" s="562"/>
    </row>
    <row r="294" spans="2:31" x14ac:dyDescent="0.2">
      <c r="B294" s="557"/>
      <c r="C294" s="557"/>
      <c r="D294" s="557"/>
      <c r="E294" s="557"/>
      <c r="F294" s="557"/>
      <c r="G294" s="557"/>
      <c r="H294" s="557"/>
      <c r="I294" s="557"/>
      <c r="J294" s="557"/>
      <c r="K294" s="557"/>
      <c r="M294" s="562"/>
      <c r="N294" s="562"/>
      <c r="O294" s="562"/>
      <c r="P294" s="562"/>
      <c r="Q294" s="562"/>
      <c r="R294" s="562"/>
      <c r="S294" s="562"/>
      <c r="T294" s="562"/>
      <c r="U294" s="562"/>
      <c r="V294" s="562"/>
      <c r="W294" s="562"/>
      <c r="X294" s="562"/>
      <c r="Y294" s="562"/>
      <c r="Z294" s="562"/>
      <c r="AA294" s="562"/>
      <c r="AB294" s="562"/>
      <c r="AC294" s="562"/>
      <c r="AD294" s="562"/>
      <c r="AE294" s="562"/>
    </row>
    <row r="295" spans="2:31" x14ac:dyDescent="0.2">
      <c r="B295" s="557"/>
      <c r="C295" s="557"/>
      <c r="D295" s="557"/>
      <c r="E295" s="557"/>
      <c r="F295" s="557"/>
      <c r="G295" s="557"/>
      <c r="H295" s="557"/>
      <c r="I295" s="557"/>
      <c r="J295" s="557"/>
      <c r="K295" s="557"/>
      <c r="M295" s="562"/>
      <c r="N295" s="562"/>
      <c r="O295" s="562"/>
      <c r="P295" s="562"/>
      <c r="Q295" s="562"/>
      <c r="R295" s="562"/>
      <c r="S295" s="562"/>
      <c r="T295" s="562"/>
      <c r="U295" s="562"/>
      <c r="V295" s="562"/>
      <c r="W295" s="562"/>
      <c r="X295" s="562"/>
      <c r="Y295" s="562"/>
      <c r="Z295" s="562"/>
      <c r="AA295" s="562"/>
      <c r="AB295" s="562"/>
      <c r="AC295" s="562"/>
      <c r="AD295" s="562"/>
      <c r="AE295" s="562"/>
    </row>
    <row r="296" spans="2:31" x14ac:dyDescent="0.2">
      <c r="B296" s="557"/>
      <c r="C296" s="557"/>
      <c r="D296" s="557"/>
      <c r="E296" s="557"/>
      <c r="F296" s="557"/>
      <c r="G296" s="557"/>
      <c r="H296" s="557"/>
      <c r="I296" s="557"/>
      <c r="J296" s="557"/>
      <c r="K296" s="557"/>
      <c r="M296" s="562"/>
      <c r="N296" s="562"/>
      <c r="O296" s="562"/>
      <c r="P296" s="562"/>
      <c r="Q296" s="562"/>
      <c r="R296" s="562"/>
      <c r="S296" s="562"/>
      <c r="T296" s="562"/>
      <c r="U296" s="562"/>
      <c r="V296" s="562"/>
      <c r="W296" s="562"/>
      <c r="X296" s="562"/>
      <c r="Y296" s="562"/>
      <c r="Z296" s="562"/>
      <c r="AA296" s="562"/>
      <c r="AB296" s="562"/>
      <c r="AC296" s="562"/>
      <c r="AD296" s="562"/>
      <c r="AE296" s="562"/>
    </row>
    <row r="297" spans="2:31" x14ac:dyDescent="0.2">
      <c r="B297" s="557"/>
      <c r="C297" s="557"/>
      <c r="D297" s="557"/>
      <c r="E297" s="557"/>
      <c r="F297" s="557"/>
      <c r="G297" s="557"/>
      <c r="H297" s="557"/>
      <c r="I297" s="557"/>
      <c r="J297" s="557"/>
      <c r="K297" s="557"/>
      <c r="M297" s="562"/>
      <c r="N297" s="562"/>
      <c r="O297" s="562"/>
      <c r="P297" s="562"/>
      <c r="Q297" s="562"/>
      <c r="R297" s="562"/>
      <c r="S297" s="562"/>
      <c r="T297" s="562"/>
      <c r="U297" s="562"/>
      <c r="V297" s="562"/>
      <c r="W297" s="562"/>
      <c r="X297" s="562"/>
      <c r="Y297" s="562"/>
      <c r="Z297" s="562"/>
      <c r="AA297" s="562"/>
      <c r="AB297" s="562"/>
      <c r="AC297" s="562"/>
      <c r="AD297" s="562"/>
      <c r="AE297" s="562"/>
    </row>
    <row r="298" spans="2:31" x14ac:dyDescent="0.2">
      <c r="B298" s="557"/>
      <c r="C298" s="557"/>
      <c r="D298" s="557"/>
      <c r="E298" s="557"/>
      <c r="F298" s="557"/>
      <c r="G298" s="557"/>
      <c r="H298" s="557"/>
      <c r="I298" s="557"/>
      <c r="J298" s="557"/>
      <c r="K298" s="557"/>
      <c r="M298" s="562"/>
      <c r="N298" s="562"/>
      <c r="O298" s="562"/>
      <c r="P298" s="562"/>
      <c r="Q298" s="562"/>
      <c r="R298" s="562"/>
      <c r="S298" s="562"/>
      <c r="T298" s="562"/>
      <c r="U298" s="562"/>
      <c r="V298" s="562"/>
      <c r="W298" s="562"/>
      <c r="X298" s="562"/>
      <c r="Y298" s="562"/>
      <c r="Z298" s="562"/>
      <c r="AA298" s="562"/>
      <c r="AB298" s="562"/>
      <c r="AC298" s="562"/>
      <c r="AD298" s="562"/>
      <c r="AE298" s="562"/>
    </row>
    <row r="299" spans="2:31" x14ac:dyDescent="0.2">
      <c r="B299" s="557"/>
      <c r="C299" s="557"/>
      <c r="D299" s="557"/>
      <c r="E299" s="557"/>
      <c r="F299" s="557"/>
      <c r="G299" s="557"/>
      <c r="H299" s="557"/>
      <c r="I299" s="557"/>
      <c r="J299" s="557"/>
      <c r="K299" s="557"/>
      <c r="M299" s="562"/>
      <c r="N299" s="562"/>
      <c r="O299" s="562"/>
      <c r="P299" s="562"/>
      <c r="Q299" s="562"/>
      <c r="R299" s="562"/>
      <c r="S299" s="562"/>
      <c r="T299" s="562"/>
      <c r="U299" s="562"/>
      <c r="V299" s="562"/>
      <c r="W299" s="562"/>
      <c r="X299" s="562"/>
      <c r="Y299" s="562"/>
      <c r="Z299" s="562"/>
      <c r="AA299" s="562"/>
      <c r="AB299" s="562"/>
      <c r="AC299" s="562"/>
      <c r="AD299" s="562"/>
      <c r="AE299" s="562"/>
    </row>
    <row r="300" spans="2:31" x14ac:dyDescent="0.2">
      <c r="B300" s="557"/>
      <c r="C300" s="557"/>
      <c r="D300" s="557"/>
      <c r="E300" s="557"/>
      <c r="F300" s="557"/>
      <c r="G300" s="557"/>
      <c r="H300" s="557"/>
      <c r="I300" s="557"/>
      <c r="J300" s="557"/>
      <c r="K300" s="557"/>
      <c r="M300" s="562"/>
      <c r="N300" s="562"/>
      <c r="O300" s="562"/>
      <c r="P300" s="562"/>
      <c r="Q300" s="562"/>
      <c r="R300" s="562"/>
      <c r="S300" s="562"/>
      <c r="T300" s="562"/>
      <c r="U300" s="562"/>
      <c r="V300" s="562"/>
      <c r="W300" s="562"/>
      <c r="X300" s="562"/>
      <c r="Y300" s="562"/>
      <c r="Z300" s="562"/>
      <c r="AA300" s="562"/>
      <c r="AB300" s="562"/>
      <c r="AC300" s="562"/>
      <c r="AD300" s="562"/>
      <c r="AE300" s="562"/>
    </row>
    <row r="301" spans="2:31" x14ac:dyDescent="0.2">
      <c r="B301" s="557"/>
      <c r="C301" s="557"/>
      <c r="D301" s="557"/>
      <c r="E301" s="557"/>
      <c r="F301" s="557"/>
      <c r="G301" s="557"/>
      <c r="H301" s="557"/>
      <c r="I301" s="557"/>
      <c r="J301" s="557"/>
      <c r="K301" s="557"/>
      <c r="M301" s="562"/>
      <c r="N301" s="562"/>
      <c r="O301" s="562"/>
      <c r="P301" s="562"/>
      <c r="Q301" s="562"/>
      <c r="R301" s="562"/>
      <c r="S301" s="562"/>
      <c r="T301" s="562"/>
      <c r="U301" s="562"/>
      <c r="V301" s="562"/>
      <c r="W301" s="562"/>
      <c r="X301" s="562"/>
      <c r="Y301" s="562"/>
      <c r="Z301" s="562"/>
      <c r="AA301" s="562"/>
      <c r="AB301" s="562"/>
      <c r="AC301" s="562"/>
      <c r="AD301" s="562"/>
      <c r="AE301" s="562"/>
    </row>
    <row r="302" spans="2:31" x14ac:dyDescent="0.2">
      <c r="B302" s="557"/>
      <c r="C302" s="557"/>
      <c r="D302" s="557"/>
      <c r="E302" s="557"/>
      <c r="F302" s="557"/>
      <c r="G302" s="557"/>
      <c r="H302" s="557"/>
      <c r="I302" s="557"/>
      <c r="J302" s="557"/>
      <c r="K302" s="557"/>
      <c r="M302" s="562"/>
      <c r="N302" s="562"/>
      <c r="O302" s="562"/>
      <c r="P302" s="562"/>
      <c r="Q302" s="562"/>
      <c r="R302" s="562"/>
      <c r="S302" s="562"/>
      <c r="T302" s="562"/>
      <c r="U302" s="562"/>
      <c r="V302" s="562"/>
      <c r="W302" s="562"/>
      <c r="X302" s="562"/>
      <c r="Y302" s="562"/>
      <c r="Z302" s="562"/>
      <c r="AA302" s="562"/>
      <c r="AB302" s="562"/>
      <c r="AC302" s="562"/>
      <c r="AD302" s="562"/>
      <c r="AE302" s="562"/>
    </row>
    <row r="303" spans="2:31" x14ac:dyDescent="0.2">
      <c r="B303" s="557"/>
      <c r="C303" s="557"/>
      <c r="D303" s="557"/>
      <c r="E303" s="557"/>
      <c r="F303" s="557"/>
      <c r="G303" s="557"/>
      <c r="H303" s="557"/>
      <c r="I303" s="557"/>
      <c r="J303" s="557"/>
      <c r="K303" s="557"/>
      <c r="M303" s="562"/>
      <c r="N303" s="562"/>
      <c r="O303" s="562"/>
      <c r="P303" s="562"/>
      <c r="Q303" s="562"/>
      <c r="R303" s="562"/>
      <c r="S303" s="562"/>
      <c r="T303" s="562"/>
      <c r="U303" s="562"/>
      <c r="V303" s="562"/>
      <c r="W303" s="562"/>
      <c r="X303" s="562"/>
      <c r="Y303" s="562"/>
      <c r="Z303" s="562"/>
      <c r="AA303" s="562"/>
      <c r="AB303" s="562"/>
      <c r="AC303" s="562"/>
      <c r="AD303" s="562"/>
      <c r="AE303" s="562"/>
    </row>
    <row r="304" spans="2:31" x14ac:dyDescent="0.2">
      <c r="B304" s="557"/>
      <c r="C304" s="557"/>
      <c r="D304" s="557"/>
      <c r="E304" s="557"/>
      <c r="F304" s="557"/>
      <c r="G304" s="557"/>
      <c r="H304" s="557"/>
      <c r="I304" s="557"/>
      <c r="J304" s="557"/>
      <c r="K304" s="557"/>
      <c r="M304" s="562"/>
      <c r="N304" s="562"/>
      <c r="O304" s="562"/>
      <c r="P304" s="562"/>
      <c r="Q304" s="562"/>
      <c r="R304" s="562"/>
      <c r="S304" s="562"/>
      <c r="T304" s="562"/>
      <c r="U304" s="562"/>
      <c r="V304" s="562"/>
      <c r="W304" s="562"/>
      <c r="X304" s="562"/>
      <c r="Y304" s="562"/>
      <c r="Z304" s="562"/>
      <c r="AA304" s="562"/>
      <c r="AB304" s="562"/>
      <c r="AC304" s="562"/>
      <c r="AD304" s="562"/>
      <c r="AE304" s="562"/>
    </row>
    <row r="305" spans="2:31" x14ac:dyDescent="0.2">
      <c r="B305" s="557"/>
      <c r="C305" s="557"/>
      <c r="D305" s="557"/>
      <c r="E305" s="557"/>
      <c r="F305" s="557"/>
      <c r="G305" s="557"/>
      <c r="H305" s="557"/>
      <c r="I305" s="557"/>
      <c r="J305" s="557"/>
      <c r="K305" s="557"/>
      <c r="M305" s="562"/>
      <c r="N305" s="562"/>
      <c r="O305" s="562"/>
      <c r="P305" s="562"/>
      <c r="Q305" s="562"/>
      <c r="R305" s="562"/>
      <c r="S305" s="562"/>
      <c r="T305" s="562"/>
      <c r="U305" s="562"/>
      <c r="V305" s="562"/>
      <c r="W305" s="562"/>
      <c r="X305" s="562"/>
      <c r="Y305" s="562"/>
      <c r="Z305" s="562"/>
      <c r="AA305" s="562"/>
      <c r="AB305" s="562"/>
      <c r="AC305" s="562"/>
      <c r="AD305" s="562"/>
      <c r="AE305" s="562"/>
    </row>
    <row r="306" spans="2:31" x14ac:dyDescent="0.2">
      <c r="B306" s="557"/>
      <c r="C306" s="557"/>
      <c r="D306" s="557"/>
      <c r="E306" s="557"/>
      <c r="F306" s="557"/>
      <c r="G306" s="557"/>
      <c r="H306" s="557"/>
      <c r="I306" s="557"/>
      <c r="J306" s="557"/>
      <c r="K306" s="557"/>
      <c r="M306" s="562"/>
      <c r="N306" s="562"/>
      <c r="O306" s="562"/>
      <c r="P306" s="562"/>
      <c r="Q306" s="562"/>
      <c r="R306" s="562"/>
      <c r="S306" s="562"/>
      <c r="T306" s="562"/>
      <c r="U306" s="562"/>
      <c r="V306" s="562"/>
      <c r="W306" s="562"/>
      <c r="X306" s="562"/>
      <c r="Y306" s="562"/>
      <c r="Z306" s="562"/>
      <c r="AA306" s="562"/>
      <c r="AB306" s="562"/>
      <c r="AC306" s="562"/>
      <c r="AD306" s="562"/>
      <c r="AE306" s="562"/>
    </row>
    <row r="307" spans="2:31" x14ac:dyDescent="0.2">
      <c r="B307" s="557"/>
      <c r="C307" s="557"/>
      <c r="D307" s="557"/>
      <c r="E307" s="557"/>
      <c r="F307" s="557"/>
      <c r="G307" s="557"/>
      <c r="H307" s="557"/>
      <c r="I307" s="557"/>
      <c r="J307" s="557"/>
      <c r="K307" s="557"/>
      <c r="M307" s="562"/>
      <c r="N307" s="562"/>
      <c r="O307" s="562"/>
      <c r="P307" s="562"/>
      <c r="Q307" s="562"/>
      <c r="R307" s="562"/>
      <c r="S307" s="562"/>
      <c r="T307" s="562"/>
      <c r="U307" s="562"/>
      <c r="V307" s="562"/>
      <c r="W307" s="562"/>
      <c r="X307" s="562"/>
      <c r="Y307" s="562"/>
      <c r="Z307" s="562"/>
      <c r="AA307" s="562"/>
      <c r="AB307" s="562"/>
      <c r="AC307" s="562"/>
      <c r="AD307" s="562"/>
      <c r="AE307" s="562"/>
    </row>
    <row r="308" spans="2:31" x14ac:dyDescent="0.2">
      <c r="B308" s="557"/>
      <c r="C308" s="557"/>
      <c r="D308" s="557"/>
      <c r="E308" s="557"/>
      <c r="F308" s="557"/>
      <c r="G308" s="557"/>
      <c r="H308" s="557"/>
      <c r="I308" s="557"/>
      <c r="J308" s="557"/>
      <c r="K308" s="557"/>
      <c r="M308" s="562"/>
      <c r="N308" s="562"/>
      <c r="O308" s="562"/>
      <c r="P308" s="562"/>
      <c r="Q308" s="562"/>
      <c r="R308" s="562"/>
      <c r="S308" s="562"/>
      <c r="T308" s="562"/>
      <c r="U308" s="562"/>
      <c r="V308" s="562"/>
      <c r="W308" s="562"/>
      <c r="X308" s="562"/>
      <c r="Y308" s="562"/>
      <c r="Z308" s="562"/>
      <c r="AA308" s="562"/>
      <c r="AB308" s="562"/>
      <c r="AC308" s="562"/>
      <c r="AD308" s="562"/>
      <c r="AE308" s="562"/>
    </row>
    <row r="309" spans="2:31" x14ac:dyDescent="0.2">
      <c r="B309" s="557"/>
      <c r="C309" s="557"/>
      <c r="D309" s="557"/>
      <c r="E309" s="557"/>
      <c r="F309" s="557"/>
      <c r="G309" s="557"/>
      <c r="H309" s="557"/>
      <c r="I309" s="557"/>
      <c r="J309" s="557"/>
      <c r="K309" s="557"/>
      <c r="M309" s="562"/>
      <c r="N309" s="562"/>
      <c r="O309" s="562"/>
      <c r="P309" s="562"/>
      <c r="Q309" s="562"/>
      <c r="R309" s="562"/>
      <c r="S309" s="562"/>
      <c r="T309" s="562"/>
      <c r="U309" s="562"/>
      <c r="V309" s="562"/>
      <c r="W309" s="562"/>
      <c r="X309" s="562"/>
      <c r="Y309" s="562"/>
      <c r="Z309" s="562"/>
      <c r="AA309" s="562"/>
      <c r="AB309" s="562"/>
      <c r="AC309" s="562"/>
      <c r="AD309" s="562"/>
      <c r="AE309" s="562"/>
    </row>
    <row r="310" spans="2:31" x14ac:dyDescent="0.2">
      <c r="B310" s="557"/>
      <c r="C310" s="557"/>
      <c r="D310" s="557"/>
      <c r="E310" s="557"/>
      <c r="F310" s="557"/>
      <c r="G310" s="557"/>
      <c r="H310" s="557"/>
      <c r="I310" s="557"/>
      <c r="J310" s="557"/>
      <c r="K310" s="557"/>
      <c r="M310" s="562"/>
      <c r="N310" s="562"/>
      <c r="O310" s="562"/>
      <c r="P310" s="562"/>
      <c r="Q310" s="562"/>
      <c r="R310" s="562"/>
      <c r="S310" s="562"/>
      <c r="T310" s="562"/>
      <c r="U310" s="562"/>
      <c r="V310" s="562"/>
      <c r="W310" s="562"/>
      <c r="X310" s="562"/>
      <c r="Y310" s="562"/>
      <c r="Z310" s="562"/>
      <c r="AA310" s="562"/>
      <c r="AB310" s="562"/>
      <c r="AC310" s="562"/>
      <c r="AD310" s="562"/>
      <c r="AE310" s="562"/>
    </row>
    <row r="311" spans="2:31" x14ac:dyDescent="0.2">
      <c r="B311" s="557"/>
      <c r="C311" s="557"/>
      <c r="D311" s="557"/>
      <c r="E311" s="557"/>
      <c r="F311" s="557"/>
      <c r="G311" s="557"/>
      <c r="H311" s="557"/>
      <c r="I311" s="557"/>
      <c r="J311" s="557"/>
      <c r="K311" s="557"/>
      <c r="M311" s="562"/>
      <c r="N311" s="562"/>
      <c r="O311" s="562"/>
      <c r="P311" s="562"/>
      <c r="Q311" s="562"/>
      <c r="R311" s="562"/>
      <c r="S311" s="562"/>
      <c r="T311" s="562"/>
      <c r="U311" s="562"/>
      <c r="V311" s="562"/>
      <c r="W311" s="562"/>
      <c r="X311" s="562"/>
      <c r="Y311" s="562"/>
      <c r="Z311" s="562"/>
      <c r="AA311" s="562"/>
      <c r="AB311" s="562"/>
      <c r="AC311" s="562"/>
      <c r="AD311" s="562"/>
      <c r="AE311" s="562"/>
    </row>
    <row r="312" spans="2:31" x14ac:dyDescent="0.2">
      <c r="B312" s="557"/>
      <c r="C312" s="557"/>
      <c r="D312" s="557"/>
      <c r="E312" s="557"/>
      <c r="F312" s="557"/>
      <c r="G312" s="557"/>
      <c r="H312" s="557"/>
      <c r="I312" s="557"/>
      <c r="J312" s="557"/>
      <c r="K312" s="557"/>
      <c r="M312" s="562"/>
      <c r="N312" s="562"/>
      <c r="O312" s="562"/>
      <c r="P312" s="562"/>
      <c r="Q312" s="562"/>
      <c r="R312" s="562"/>
      <c r="S312" s="562"/>
      <c r="T312" s="562"/>
      <c r="U312" s="562"/>
      <c r="V312" s="562"/>
      <c r="W312" s="562"/>
      <c r="X312" s="562"/>
      <c r="Y312" s="562"/>
      <c r="Z312" s="562"/>
      <c r="AA312" s="562"/>
      <c r="AB312" s="562"/>
      <c r="AC312" s="562"/>
      <c r="AD312" s="562"/>
      <c r="AE312" s="562"/>
    </row>
    <row r="313" spans="2:31" x14ac:dyDescent="0.2">
      <c r="B313" s="557"/>
      <c r="C313" s="557"/>
      <c r="D313" s="557"/>
      <c r="E313" s="557"/>
      <c r="F313" s="557"/>
      <c r="G313" s="557"/>
      <c r="H313" s="557"/>
      <c r="I313" s="557"/>
      <c r="J313" s="557"/>
      <c r="K313" s="557"/>
      <c r="M313" s="562"/>
      <c r="N313" s="562"/>
      <c r="O313" s="562"/>
      <c r="P313" s="562"/>
      <c r="Q313" s="562"/>
      <c r="R313" s="562"/>
      <c r="S313" s="562"/>
      <c r="T313" s="562"/>
      <c r="U313" s="562"/>
      <c r="V313" s="562"/>
      <c r="W313" s="562"/>
      <c r="X313" s="562"/>
      <c r="Y313" s="562"/>
      <c r="Z313" s="562"/>
      <c r="AA313" s="562"/>
      <c r="AB313" s="562"/>
      <c r="AC313" s="562"/>
      <c r="AD313" s="562"/>
      <c r="AE313" s="562"/>
    </row>
    <row r="314" spans="2:31" x14ac:dyDescent="0.2">
      <c r="B314" s="557"/>
      <c r="C314" s="557"/>
      <c r="D314" s="557"/>
      <c r="E314" s="557"/>
      <c r="F314" s="557"/>
      <c r="G314" s="557"/>
      <c r="H314" s="557"/>
      <c r="I314" s="557"/>
      <c r="J314" s="557"/>
      <c r="K314" s="557"/>
      <c r="M314" s="562"/>
      <c r="N314" s="562"/>
      <c r="O314" s="562"/>
      <c r="P314" s="562"/>
      <c r="Q314" s="562"/>
      <c r="R314" s="562"/>
      <c r="S314" s="562"/>
      <c r="T314" s="562"/>
      <c r="U314" s="562"/>
      <c r="V314" s="562"/>
      <c r="W314" s="562"/>
      <c r="X314" s="562"/>
      <c r="Y314" s="562"/>
      <c r="Z314" s="562"/>
      <c r="AA314" s="562"/>
      <c r="AB314" s="562"/>
      <c r="AC314" s="562"/>
      <c r="AD314" s="562"/>
      <c r="AE314" s="562"/>
    </row>
    <row r="315" spans="2:31" x14ac:dyDescent="0.2">
      <c r="B315" s="557"/>
      <c r="C315" s="557"/>
      <c r="D315" s="557"/>
      <c r="E315" s="557"/>
      <c r="F315" s="557"/>
      <c r="G315" s="557"/>
      <c r="H315" s="557"/>
      <c r="I315" s="557"/>
      <c r="J315" s="557"/>
      <c r="K315" s="557"/>
      <c r="M315" s="562"/>
      <c r="N315" s="562"/>
      <c r="O315" s="562"/>
      <c r="P315" s="562"/>
      <c r="Q315" s="562"/>
      <c r="R315" s="562"/>
      <c r="S315" s="562"/>
      <c r="T315" s="562"/>
      <c r="U315" s="562"/>
      <c r="V315" s="562"/>
      <c r="W315" s="562"/>
      <c r="X315" s="562"/>
      <c r="Y315" s="562"/>
      <c r="Z315" s="562"/>
      <c r="AA315" s="562"/>
      <c r="AB315" s="562"/>
      <c r="AC315" s="562"/>
      <c r="AD315" s="562"/>
      <c r="AE315" s="562"/>
    </row>
    <row r="316" spans="2:31" x14ac:dyDescent="0.2">
      <c r="B316" s="557"/>
      <c r="C316" s="557"/>
      <c r="D316" s="557"/>
      <c r="E316" s="557"/>
      <c r="F316" s="557"/>
      <c r="G316" s="557"/>
      <c r="H316" s="557"/>
      <c r="I316" s="557"/>
      <c r="J316" s="557"/>
      <c r="K316" s="557"/>
      <c r="M316" s="562"/>
      <c r="N316" s="562"/>
      <c r="O316" s="562"/>
      <c r="P316" s="562"/>
      <c r="Q316" s="562"/>
      <c r="R316" s="562"/>
      <c r="S316" s="562"/>
      <c r="T316" s="562"/>
      <c r="U316" s="562"/>
      <c r="V316" s="562"/>
      <c r="W316" s="562"/>
      <c r="X316" s="562"/>
      <c r="Y316" s="562"/>
      <c r="Z316" s="562"/>
      <c r="AA316" s="562"/>
      <c r="AB316" s="562"/>
      <c r="AC316" s="562"/>
      <c r="AD316" s="562"/>
      <c r="AE316" s="562"/>
    </row>
    <row r="317" spans="2:31" x14ac:dyDescent="0.2">
      <c r="B317" s="557"/>
      <c r="C317" s="557"/>
      <c r="D317" s="557"/>
      <c r="E317" s="557"/>
      <c r="F317" s="557"/>
      <c r="G317" s="557"/>
      <c r="H317" s="557"/>
      <c r="I317" s="557"/>
      <c r="J317" s="557"/>
      <c r="K317" s="557"/>
      <c r="M317" s="562"/>
      <c r="N317" s="562"/>
      <c r="O317" s="562"/>
      <c r="P317" s="562"/>
      <c r="Q317" s="562"/>
      <c r="R317" s="562"/>
      <c r="S317" s="562"/>
      <c r="T317" s="562"/>
      <c r="U317" s="562"/>
      <c r="V317" s="562"/>
      <c r="W317" s="562"/>
      <c r="X317" s="562"/>
      <c r="Y317" s="562"/>
      <c r="Z317" s="562"/>
      <c r="AA317" s="562"/>
      <c r="AB317" s="562"/>
      <c r="AC317" s="562"/>
      <c r="AD317" s="562"/>
      <c r="AE317" s="562"/>
    </row>
    <row r="318" spans="2:31" x14ac:dyDescent="0.2">
      <c r="B318" s="557"/>
      <c r="C318" s="557"/>
      <c r="D318" s="557"/>
      <c r="E318" s="557"/>
      <c r="F318" s="557"/>
      <c r="G318" s="557"/>
      <c r="H318" s="557"/>
      <c r="I318" s="557"/>
      <c r="J318" s="557"/>
      <c r="K318" s="557"/>
      <c r="M318" s="562"/>
      <c r="N318" s="562"/>
      <c r="O318" s="562"/>
      <c r="P318" s="562"/>
      <c r="Q318" s="562"/>
      <c r="R318" s="562"/>
      <c r="S318" s="562"/>
      <c r="T318" s="562"/>
      <c r="U318" s="562"/>
      <c r="V318" s="562"/>
      <c r="W318" s="562"/>
      <c r="X318" s="562"/>
      <c r="Y318" s="562"/>
      <c r="Z318" s="562"/>
      <c r="AA318" s="562"/>
      <c r="AB318" s="562"/>
      <c r="AC318" s="562"/>
      <c r="AD318" s="562"/>
      <c r="AE318" s="562"/>
    </row>
    <row r="319" spans="2:31" x14ac:dyDescent="0.2">
      <c r="B319" s="557"/>
      <c r="C319" s="557"/>
      <c r="D319" s="557"/>
      <c r="E319" s="557"/>
      <c r="F319" s="557"/>
      <c r="G319" s="557"/>
      <c r="H319" s="557"/>
      <c r="I319" s="557"/>
      <c r="J319" s="557"/>
      <c r="K319" s="557"/>
      <c r="M319" s="562"/>
      <c r="N319" s="562"/>
      <c r="O319" s="562"/>
      <c r="P319" s="562"/>
      <c r="Q319" s="562"/>
      <c r="R319" s="562"/>
      <c r="S319" s="562"/>
      <c r="T319" s="562"/>
      <c r="U319" s="562"/>
      <c r="V319" s="562"/>
      <c r="W319" s="562"/>
      <c r="X319" s="562"/>
      <c r="Y319" s="562"/>
      <c r="Z319" s="562"/>
      <c r="AA319" s="562"/>
      <c r="AB319" s="562"/>
      <c r="AC319" s="562"/>
      <c r="AD319" s="562"/>
      <c r="AE319" s="562"/>
    </row>
    <row r="320" spans="2:31" x14ac:dyDescent="0.2">
      <c r="B320" s="557"/>
      <c r="C320" s="557"/>
      <c r="D320" s="557"/>
      <c r="E320" s="557"/>
      <c r="F320" s="557"/>
      <c r="G320" s="557"/>
      <c r="H320" s="557"/>
      <c r="I320" s="557"/>
      <c r="J320" s="557"/>
      <c r="K320" s="557"/>
      <c r="M320" s="562"/>
      <c r="N320" s="562"/>
      <c r="O320" s="562"/>
      <c r="P320" s="562"/>
      <c r="Q320" s="562"/>
      <c r="R320" s="562"/>
      <c r="S320" s="562"/>
      <c r="T320" s="562"/>
      <c r="U320" s="562"/>
      <c r="V320" s="562"/>
      <c r="W320" s="562"/>
      <c r="X320" s="562"/>
      <c r="Y320" s="562"/>
      <c r="Z320" s="562"/>
      <c r="AA320" s="562"/>
      <c r="AB320" s="562"/>
      <c r="AC320" s="562"/>
      <c r="AD320" s="562"/>
      <c r="AE320" s="562"/>
    </row>
    <row r="321" spans="2:31" x14ac:dyDescent="0.2">
      <c r="B321" s="557"/>
      <c r="C321" s="557"/>
      <c r="D321" s="557"/>
      <c r="E321" s="557"/>
      <c r="F321" s="557"/>
      <c r="G321" s="557"/>
      <c r="H321" s="557"/>
      <c r="I321" s="557"/>
      <c r="J321" s="557"/>
      <c r="K321" s="557"/>
      <c r="M321" s="562"/>
      <c r="N321" s="562"/>
      <c r="O321" s="562"/>
      <c r="P321" s="562"/>
      <c r="Q321" s="562"/>
      <c r="R321" s="562"/>
      <c r="S321" s="562"/>
      <c r="T321" s="562"/>
      <c r="U321" s="562"/>
      <c r="V321" s="562"/>
      <c r="W321" s="562"/>
      <c r="X321" s="562"/>
      <c r="Y321" s="562"/>
      <c r="Z321" s="562"/>
      <c r="AA321" s="562"/>
      <c r="AB321" s="562"/>
      <c r="AC321" s="562"/>
      <c r="AD321" s="562"/>
      <c r="AE321" s="562"/>
    </row>
    <row r="322" spans="2:31" x14ac:dyDescent="0.2">
      <c r="B322" s="557"/>
      <c r="C322" s="557"/>
      <c r="D322" s="557"/>
      <c r="E322" s="557"/>
      <c r="F322" s="557"/>
      <c r="G322" s="557"/>
      <c r="H322" s="557"/>
      <c r="I322" s="557"/>
      <c r="J322" s="557"/>
      <c r="K322" s="557"/>
      <c r="M322" s="562"/>
      <c r="N322" s="562"/>
      <c r="O322" s="562"/>
      <c r="P322" s="562"/>
      <c r="Q322" s="562"/>
      <c r="R322" s="562"/>
      <c r="S322" s="562"/>
      <c r="T322" s="562"/>
      <c r="U322" s="562"/>
      <c r="V322" s="562"/>
      <c r="W322" s="562"/>
      <c r="X322" s="562"/>
      <c r="Y322" s="562"/>
      <c r="Z322" s="562"/>
      <c r="AA322" s="562"/>
      <c r="AB322" s="562"/>
      <c r="AC322" s="562"/>
      <c r="AD322" s="562"/>
      <c r="AE322" s="562"/>
    </row>
    <row r="323" spans="2:31" x14ac:dyDescent="0.2">
      <c r="B323" s="557"/>
      <c r="C323" s="557"/>
      <c r="D323" s="557"/>
      <c r="E323" s="557"/>
      <c r="F323" s="557"/>
      <c r="G323" s="557"/>
      <c r="H323" s="557"/>
      <c r="I323" s="557"/>
      <c r="J323" s="557"/>
      <c r="K323" s="557"/>
      <c r="M323" s="562"/>
      <c r="N323" s="562"/>
      <c r="O323" s="562"/>
      <c r="P323" s="562"/>
      <c r="Q323" s="562"/>
      <c r="R323" s="562"/>
      <c r="S323" s="562"/>
      <c r="T323" s="562"/>
      <c r="U323" s="562"/>
      <c r="V323" s="562"/>
      <c r="W323" s="562"/>
      <c r="X323" s="562"/>
      <c r="Y323" s="562"/>
      <c r="Z323" s="562"/>
      <c r="AA323" s="562"/>
      <c r="AB323" s="562"/>
      <c r="AC323" s="562"/>
      <c r="AD323" s="562"/>
      <c r="AE323" s="562"/>
    </row>
    <row r="324" spans="2:31" x14ac:dyDescent="0.2">
      <c r="B324" s="557"/>
      <c r="C324" s="557"/>
      <c r="D324" s="557"/>
      <c r="E324" s="557"/>
      <c r="F324" s="557"/>
      <c r="G324" s="557"/>
      <c r="H324" s="557"/>
      <c r="I324" s="557"/>
      <c r="J324" s="557"/>
      <c r="K324" s="557"/>
      <c r="M324" s="562"/>
      <c r="N324" s="562"/>
      <c r="O324" s="562"/>
      <c r="P324" s="562"/>
      <c r="Q324" s="562"/>
      <c r="R324" s="562"/>
      <c r="S324" s="562"/>
      <c r="T324" s="562"/>
      <c r="U324" s="562"/>
      <c r="V324" s="562"/>
      <c r="W324" s="562"/>
      <c r="X324" s="562"/>
      <c r="Y324" s="562"/>
      <c r="Z324" s="562"/>
      <c r="AA324" s="562"/>
      <c r="AB324" s="562"/>
      <c r="AC324" s="562"/>
      <c r="AD324" s="562"/>
      <c r="AE324" s="562"/>
    </row>
    <row r="325" spans="2:31" x14ac:dyDescent="0.2">
      <c r="B325" s="557"/>
      <c r="C325" s="557"/>
      <c r="D325" s="557"/>
      <c r="E325" s="557"/>
      <c r="F325" s="557"/>
      <c r="G325" s="557"/>
      <c r="H325" s="557"/>
      <c r="I325" s="557"/>
      <c r="J325" s="557"/>
      <c r="K325" s="557"/>
      <c r="M325" s="562"/>
      <c r="N325" s="562"/>
      <c r="O325" s="562"/>
      <c r="P325" s="562"/>
      <c r="Q325" s="562"/>
      <c r="R325" s="562"/>
      <c r="S325" s="562"/>
      <c r="T325" s="562"/>
      <c r="U325" s="562"/>
      <c r="V325" s="562"/>
      <c r="W325" s="562"/>
      <c r="X325" s="562"/>
      <c r="Y325" s="562"/>
      <c r="Z325" s="562"/>
      <c r="AA325" s="562"/>
      <c r="AB325" s="562"/>
      <c r="AC325" s="562"/>
      <c r="AD325" s="562"/>
      <c r="AE325" s="562"/>
    </row>
    <row r="326" spans="2:31" x14ac:dyDescent="0.2">
      <c r="B326" s="557"/>
      <c r="C326" s="557"/>
      <c r="D326" s="557"/>
      <c r="E326" s="557"/>
      <c r="F326" s="557"/>
      <c r="G326" s="557"/>
      <c r="H326" s="557"/>
      <c r="I326" s="557"/>
      <c r="J326" s="557"/>
      <c r="K326" s="557"/>
      <c r="M326" s="562"/>
      <c r="N326" s="562"/>
      <c r="O326" s="562"/>
      <c r="P326" s="562"/>
      <c r="Q326" s="562"/>
      <c r="R326" s="562"/>
      <c r="S326" s="562"/>
      <c r="T326" s="562"/>
      <c r="U326" s="562"/>
      <c r="V326" s="562"/>
      <c r="W326" s="562"/>
      <c r="X326" s="562"/>
      <c r="Y326" s="562"/>
      <c r="Z326" s="562"/>
      <c r="AA326" s="562"/>
      <c r="AB326" s="562"/>
      <c r="AC326" s="562"/>
      <c r="AD326" s="562"/>
      <c r="AE326" s="562"/>
    </row>
    <row r="327" spans="2:31" x14ac:dyDescent="0.2">
      <c r="B327" s="557"/>
      <c r="C327" s="557"/>
      <c r="D327" s="557"/>
      <c r="E327" s="557"/>
      <c r="F327" s="557"/>
      <c r="G327" s="557"/>
      <c r="H327" s="557"/>
      <c r="I327" s="557"/>
      <c r="J327" s="557"/>
      <c r="K327" s="557"/>
      <c r="M327" s="562"/>
      <c r="N327" s="562"/>
      <c r="O327" s="562"/>
      <c r="P327" s="562"/>
      <c r="Q327" s="562"/>
      <c r="R327" s="562"/>
      <c r="S327" s="562"/>
      <c r="T327" s="562"/>
      <c r="U327" s="562"/>
      <c r="V327" s="562"/>
      <c r="W327" s="562"/>
      <c r="X327" s="562"/>
      <c r="Y327" s="562"/>
      <c r="Z327" s="562"/>
      <c r="AA327" s="562"/>
      <c r="AB327" s="562"/>
      <c r="AC327" s="562"/>
      <c r="AD327" s="562"/>
      <c r="AE327" s="562"/>
    </row>
    <row r="328" spans="2:31" x14ac:dyDescent="0.2">
      <c r="B328" s="557"/>
      <c r="C328" s="557"/>
      <c r="D328" s="557"/>
      <c r="E328" s="557"/>
      <c r="F328" s="557"/>
      <c r="G328" s="557"/>
      <c r="H328" s="557"/>
      <c r="I328" s="557"/>
      <c r="J328" s="557"/>
      <c r="K328" s="557"/>
      <c r="M328" s="562"/>
      <c r="N328" s="562"/>
      <c r="O328" s="562"/>
      <c r="P328" s="562"/>
      <c r="Q328" s="562"/>
      <c r="R328" s="562"/>
      <c r="S328" s="562"/>
      <c r="T328" s="562"/>
      <c r="U328" s="562"/>
      <c r="V328" s="562"/>
      <c r="W328" s="562"/>
      <c r="X328" s="562"/>
      <c r="Y328" s="562"/>
      <c r="Z328" s="562"/>
      <c r="AA328" s="562"/>
      <c r="AB328" s="562"/>
      <c r="AC328" s="562"/>
      <c r="AD328" s="562"/>
      <c r="AE328" s="562"/>
    </row>
    <row r="329" spans="2:31" x14ac:dyDescent="0.2">
      <c r="B329" s="557"/>
      <c r="C329" s="557"/>
      <c r="D329" s="557"/>
      <c r="E329" s="557"/>
      <c r="F329" s="557"/>
      <c r="G329" s="557"/>
      <c r="H329" s="557"/>
      <c r="I329" s="557"/>
      <c r="J329" s="557"/>
      <c r="K329" s="557"/>
      <c r="M329" s="562"/>
      <c r="N329" s="562"/>
      <c r="O329" s="562"/>
      <c r="P329" s="562"/>
      <c r="Q329" s="562"/>
      <c r="R329" s="562"/>
      <c r="S329" s="562"/>
      <c r="T329" s="562"/>
      <c r="U329" s="562"/>
      <c r="V329" s="562"/>
      <c r="W329" s="562"/>
      <c r="X329" s="562"/>
      <c r="Y329" s="562"/>
      <c r="Z329" s="562"/>
      <c r="AA329" s="562"/>
      <c r="AB329" s="562"/>
      <c r="AC329" s="562"/>
      <c r="AD329" s="562"/>
      <c r="AE329" s="562"/>
    </row>
    <row r="330" spans="2:31" x14ac:dyDescent="0.2">
      <c r="B330" s="557"/>
      <c r="C330" s="557"/>
      <c r="D330" s="557"/>
      <c r="E330" s="557"/>
      <c r="F330" s="557"/>
      <c r="G330" s="557"/>
      <c r="H330" s="557"/>
      <c r="I330" s="557"/>
      <c r="J330" s="557"/>
      <c r="K330" s="557"/>
      <c r="M330" s="562"/>
      <c r="N330" s="562"/>
      <c r="O330" s="562"/>
      <c r="P330" s="562"/>
      <c r="Q330" s="562"/>
      <c r="R330" s="562"/>
      <c r="S330" s="562"/>
      <c r="T330" s="562"/>
      <c r="U330" s="562"/>
      <c r="V330" s="562"/>
      <c r="W330" s="562"/>
      <c r="X330" s="562"/>
      <c r="Y330" s="562"/>
      <c r="Z330" s="562"/>
      <c r="AA330" s="562"/>
      <c r="AB330" s="562"/>
      <c r="AC330" s="562"/>
      <c r="AD330" s="562"/>
      <c r="AE330" s="562"/>
    </row>
    <row r="331" spans="2:31" x14ac:dyDescent="0.2">
      <c r="B331" s="557"/>
      <c r="C331" s="557"/>
      <c r="D331" s="557"/>
      <c r="E331" s="557"/>
      <c r="F331" s="557"/>
      <c r="G331" s="557"/>
      <c r="H331" s="557"/>
      <c r="I331" s="557"/>
      <c r="J331" s="557"/>
      <c r="K331" s="557"/>
      <c r="M331" s="562"/>
      <c r="N331" s="562"/>
      <c r="O331" s="562"/>
      <c r="P331" s="562"/>
      <c r="Q331" s="562"/>
      <c r="R331" s="562"/>
      <c r="S331" s="562"/>
      <c r="T331" s="562"/>
      <c r="U331" s="562"/>
      <c r="V331" s="562"/>
      <c r="W331" s="562"/>
      <c r="X331" s="562"/>
      <c r="Y331" s="562"/>
      <c r="Z331" s="562"/>
      <c r="AA331" s="562"/>
      <c r="AB331" s="562"/>
      <c r="AC331" s="562"/>
      <c r="AD331" s="562"/>
      <c r="AE331" s="562"/>
    </row>
    <row r="332" spans="2:31" x14ac:dyDescent="0.2">
      <c r="B332" s="557"/>
      <c r="C332" s="557"/>
      <c r="D332" s="557"/>
      <c r="E332" s="557"/>
      <c r="F332" s="557"/>
      <c r="G332" s="557"/>
      <c r="H332" s="557"/>
      <c r="I332" s="557"/>
      <c r="J332" s="557"/>
      <c r="K332" s="557"/>
      <c r="M332" s="562"/>
      <c r="N332" s="562"/>
      <c r="O332" s="562"/>
      <c r="P332" s="562"/>
      <c r="Q332" s="562"/>
      <c r="R332" s="562"/>
      <c r="S332" s="562"/>
      <c r="T332" s="562"/>
      <c r="U332" s="562"/>
      <c r="V332" s="562"/>
      <c r="W332" s="562"/>
      <c r="X332" s="562"/>
      <c r="Y332" s="562"/>
      <c r="Z332" s="562"/>
      <c r="AA332" s="562"/>
      <c r="AB332" s="562"/>
      <c r="AC332" s="562"/>
      <c r="AD332" s="562"/>
      <c r="AE332" s="562"/>
    </row>
    <row r="333" spans="2:31" x14ac:dyDescent="0.2">
      <c r="B333" s="557"/>
      <c r="C333" s="557"/>
      <c r="D333" s="557"/>
      <c r="E333" s="557"/>
      <c r="F333" s="557"/>
      <c r="G333" s="557"/>
      <c r="H333" s="557"/>
      <c r="I333" s="557"/>
      <c r="J333" s="557"/>
      <c r="K333" s="557"/>
      <c r="M333" s="562"/>
      <c r="N333" s="562"/>
      <c r="O333" s="562"/>
      <c r="P333" s="562"/>
      <c r="Q333" s="562"/>
      <c r="R333" s="562"/>
      <c r="S333" s="562"/>
      <c r="T333" s="562"/>
      <c r="U333" s="562"/>
      <c r="V333" s="562"/>
      <c r="W333" s="562"/>
      <c r="X333" s="562"/>
      <c r="Y333" s="562"/>
      <c r="Z333" s="562"/>
      <c r="AA333" s="562"/>
      <c r="AB333" s="562"/>
      <c r="AC333" s="562"/>
      <c r="AD333" s="562"/>
      <c r="AE333" s="562"/>
    </row>
    <row r="334" spans="2:31" x14ac:dyDescent="0.2">
      <c r="B334" s="557"/>
      <c r="C334" s="557"/>
      <c r="D334" s="557"/>
      <c r="E334" s="557"/>
      <c r="F334" s="557"/>
      <c r="G334" s="557"/>
      <c r="H334" s="557"/>
      <c r="I334" s="557"/>
      <c r="J334" s="557"/>
      <c r="K334" s="557"/>
      <c r="M334" s="562"/>
      <c r="N334" s="562"/>
      <c r="O334" s="562"/>
      <c r="P334" s="562"/>
      <c r="Q334" s="562"/>
      <c r="R334" s="562"/>
      <c r="S334" s="562"/>
      <c r="T334" s="562"/>
      <c r="U334" s="562"/>
      <c r="V334" s="562"/>
      <c r="W334" s="562"/>
      <c r="X334" s="562"/>
      <c r="Y334" s="562"/>
      <c r="Z334" s="562"/>
      <c r="AA334" s="562"/>
      <c r="AB334" s="562"/>
      <c r="AC334" s="562"/>
      <c r="AD334" s="562"/>
      <c r="AE334" s="562"/>
    </row>
    <row r="335" spans="2:31" x14ac:dyDescent="0.2">
      <c r="B335" s="557"/>
      <c r="C335" s="557"/>
      <c r="D335" s="557"/>
      <c r="E335" s="557"/>
      <c r="F335" s="557"/>
      <c r="G335" s="557"/>
      <c r="H335" s="557"/>
      <c r="I335" s="557"/>
      <c r="J335" s="557"/>
      <c r="K335" s="557"/>
      <c r="M335" s="562"/>
      <c r="N335" s="562"/>
      <c r="O335" s="562"/>
      <c r="P335" s="562"/>
      <c r="Q335" s="562"/>
      <c r="R335" s="562"/>
      <c r="S335" s="562"/>
      <c r="T335" s="562"/>
      <c r="U335" s="562"/>
      <c r="V335" s="562"/>
      <c r="W335" s="562"/>
      <c r="X335" s="562"/>
      <c r="Y335" s="562"/>
      <c r="Z335" s="562"/>
      <c r="AA335" s="562"/>
      <c r="AB335" s="562"/>
      <c r="AC335" s="562"/>
      <c r="AD335" s="562"/>
      <c r="AE335" s="562"/>
    </row>
    <row r="336" spans="2:31" x14ac:dyDescent="0.2">
      <c r="B336" s="557"/>
      <c r="C336" s="557"/>
      <c r="D336" s="557"/>
      <c r="E336" s="557"/>
      <c r="F336" s="557"/>
      <c r="G336" s="557"/>
      <c r="H336" s="557"/>
      <c r="I336" s="557"/>
      <c r="J336" s="557"/>
      <c r="K336" s="557"/>
      <c r="M336" s="562"/>
      <c r="N336" s="562"/>
      <c r="O336" s="562"/>
      <c r="P336" s="562"/>
      <c r="Q336" s="562"/>
      <c r="R336" s="562"/>
      <c r="S336" s="562"/>
      <c r="T336" s="562"/>
      <c r="U336" s="562"/>
      <c r="V336" s="562"/>
      <c r="W336" s="562"/>
      <c r="X336" s="562"/>
      <c r="Y336" s="562"/>
      <c r="Z336" s="562"/>
      <c r="AA336" s="562"/>
      <c r="AB336" s="562"/>
      <c r="AC336" s="562"/>
      <c r="AD336" s="562"/>
      <c r="AE336" s="562"/>
    </row>
    <row r="337" spans="2:31" x14ac:dyDescent="0.2">
      <c r="B337" s="557"/>
      <c r="C337" s="557"/>
      <c r="D337" s="557"/>
      <c r="E337" s="557"/>
      <c r="F337" s="557"/>
      <c r="G337" s="557"/>
      <c r="H337" s="557"/>
      <c r="I337" s="557"/>
      <c r="J337" s="557"/>
      <c r="K337" s="557"/>
      <c r="M337" s="562"/>
      <c r="N337" s="562"/>
      <c r="O337" s="562"/>
      <c r="P337" s="562"/>
      <c r="Q337" s="562"/>
      <c r="R337" s="562"/>
      <c r="S337" s="562"/>
      <c r="T337" s="562"/>
      <c r="U337" s="562"/>
      <c r="V337" s="562"/>
      <c r="W337" s="562"/>
      <c r="X337" s="562"/>
      <c r="Y337" s="562"/>
      <c r="Z337" s="562"/>
      <c r="AA337" s="562"/>
      <c r="AB337" s="562"/>
      <c r="AC337" s="562"/>
      <c r="AD337" s="562"/>
      <c r="AE337" s="562"/>
    </row>
    <row r="338" spans="2:31" x14ac:dyDescent="0.2">
      <c r="B338" s="557"/>
      <c r="C338" s="557"/>
      <c r="D338" s="557"/>
      <c r="E338" s="557"/>
      <c r="F338" s="557"/>
      <c r="G338" s="557"/>
      <c r="H338" s="557"/>
      <c r="I338" s="557"/>
      <c r="J338" s="557"/>
      <c r="K338" s="557"/>
      <c r="M338" s="562"/>
      <c r="N338" s="562"/>
      <c r="O338" s="562"/>
      <c r="P338" s="562"/>
      <c r="Q338" s="562"/>
      <c r="R338" s="562"/>
      <c r="S338" s="562"/>
      <c r="T338" s="562"/>
      <c r="U338" s="562"/>
      <c r="V338" s="562"/>
      <c r="W338" s="562"/>
      <c r="X338" s="562"/>
      <c r="Y338" s="562"/>
      <c r="Z338" s="562"/>
      <c r="AA338" s="562"/>
      <c r="AB338" s="562"/>
      <c r="AC338" s="562"/>
      <c r="AD338" s="562"/>
      <c r="AE338" s="562"/>
    </row>
    <row r="339" spans="2:31" x14ac:dyDescent="0.2">
      <c r="B339" s="557"/>
      <c r="C339" s="557"/>
      <c r="D339" s="557"/>
      <c r="E339" s="557"/>
      <c r="F339" s="557"/>
      <c r="G339" s="557"/>
      <c r="H339" s="557"/>
      <c r="I339" s="557"/>
      <c r="J339" s="557"/>
      <c r="K339" s="557"/>
      <c r="M339" s="562"/>
      <c r="N339" s="562"/>
      <c r="O339" s="562"/>
      <c r="P339" s="562"/>
      <c r="Q339" s="562"/>
      <c r="R339" s="562"/>
      <c r="S339" s="562"/>
      <c r="T339" s="562"/>
      <c r="U339" s="562"/>
      <c r="V339" s="562"/>
      <c r="W339" s="562"/>
      <c r="X339" s="562"/>
      <c r="Y339" s="562"/>
      <c r="Z339" s="562"/>
      <c r="AA339" s="562"/>
      <c r="AB339" s="562"/>
      <c r="AC339" s="562"/>
      <c r="AD339" s="562"/>
      <c r="AE339" s="562"/>
    </row>
    <row r="340" spans="2:31" x14ac:dyDescent="0.2">
      <c r="B340" s="557"/>
      <c r="C340" s="557"/>
      <c r="D340" s="557"/>
      <c r="E340" s="557"/>
      <c r="F340" s="557"/>
      <c r="G340" s="557"/>
      <c r="H340" s="557"/>
      <c r="I340" s="557"/>
      <c r="J340" s="557"/>
      <c r="K340" s="557"/>
      <c r="P340" s="562"/>
      <c r="Q340" s="562"/>
      <c r="R340" s="562"/>
      <c r="S340" s="562"/>
      <c r="T340" s="562"/>
      <c r="U340" s="562"/>
      <c r="V340" s="562"/>
      <c r="W340" s="562"/>
      <c r="X340" s="562"/>
      <c r="Y340" s="562"/>
      <c r="Z340" s="562"/>
      <c r="AA340" s="562"/>
      <c r="AB340" s="562"/>
      <c r="AC340" s="562"/>
      <c r="AD340" s="562"/>
      <c r="AE340" s="562"/>
    </row>
    <row r="341" spans="2:31" x14ac:dyDescent="0.2">
      <c r="P341" s="562"/>
      <c r="Q341" s="562"/>
      <c r="R341" s="562"/>
      <c r="S341" s="562"/>
      <c r="T341" s="562"/>
      <c r="U341" s="562"/>
      <c r="V341" s="562"/>
      <c r="W341" s="562"/>
      <c r="X341" s="562"/>
      <c r="Y341" s="562"/>
      <c r="Z341" s="562"/>
      <c r="AA341" s="562"/>
      <c r="AB341" s="562"/>
      <c r="AC341" s="562"/>
      <c r="AD341" s="562"/>
      <c r="AE341" s="562"/>
    </row>
    <row r="342" spans="2:31" x14ac:dyDescent="0.2">
      <c r="P342" s="562"/>
      <c r="Q342" s="562"/>
      <c r="R342" s="562"/>
      <c r="S342" s="562"/>
      <c r="T342" s="562"/>
      <c r="U342" s="562"/>
      <c r="V342" s="562"/>
      <c r="W342" s="562"/>
      <c r="X342" s="562"/>
      <c r="Y342" s="562"/>
      <c r="Z342" s="562"/>
      <c r="AA342" s="562"/>
      <c r="AB342" s="562"/>
      <c r="AC342" s="562"/>
      <c r="AD342" s="562"/>
      <c r="AE342" s="562"/>
    </row>
    <row r="343" spans="2:31" x14ac:dyDescent="0.2">
      <c r="P343" s="562"/>
      <c r="Q343" s="562"/>
      <c r="R343" s="562"/>
      <c r="S343" s="562"/>
      <c r="T343" s="562"/>
      <c r="U343" s="562"/>
      <c r="V343" s="562"/>
      <c r="W343" s="562"/>
      <c r="X343" s="562"/>
      <c r="Y343" s="562"/>
      <c r="Z343" s="562"/>
      <c r="AA343" s="562"/>
      <c r="AB343" s="562"/>
      <c r="AC343" s="562"/>
      <c r="AD343" s="562"/>
      <c r="AE343" s="562"/>
    </row>
    <row r="344" spans="2:31" x14ac:dyDescent="0.2">
      <c r="P344" s="562"/>
      <c r="Q344" s="562"/>
      <c r="R344" s="562"/>
      <c r="S344" s="562"/>
      <c r="T344" s="562"/>
      <c r="U344" s="562"/>
      <c r="V344" s="562"/>
      <c r="W344" s="562"/>
      <c r="X344" s="562"/>
      <c r="Y344" s="562"/>
      <c r="Z344" s="562"/>
      <c r="AA344" s="562"/>
      <c r="AB344" s="562"/>
      <c r="AC344" s="562"/>
      <c r="AD344" s="562"/>
      <c r="AE344" s="562"/>
    </row>
    <row r="345" spans="2:31" x14ac:dyDescent="0.2">
      <c r="P345" s="562"/>
      <c r="Q345" s="562"/>
      <c r="R345" s="562"/>
      <c r="S345" s="562"/>
    </row>
    <row r="346" spans="2:31" x14ac:dyDescent="0.2">
      <c r="P346" s="562"/>
      <c r="Q346" s="562"/>
      <c r="R346" s="562"/>
      <c r="S346" s="562"/>
    </row>
    <row r="347" spans="2:31" x14ac:dyDescent="0.2">
      <c r="P347" s="562"/>
      <c r="Q347" s="562"/>
      <c r="R347" s="562"/>
      <c r="S347" s="562"/>
    </row>
    <row r="348" spans="2:31" x14ac:dyDescent="0.2">
      <c r="R348" s="562"/>
      <c r="S348" s="562"/>
    </row>
  </sheetData>
  <dataConsolidate topLabels="1" link="1">
    <dataRefs count="1">
      <dataRef ref="S7:W12" sheet="Key Financials"/>
    </dataRefs>
  </dataConsolidate>
  <pageMargins left="0.7" right="0.7" top="0.75" bottom="0.75" header="0.3" footer="0.3"/>
  <pageSetup orientation="portrait" r:id="rId1"/>
  <ignoredErrors>
    <ignoredError sqref="O25 O17 O21 O8 O22:O23 O18:O19 O14:O15 O10:O11" formula="1"/>
    <ignoredError sqref="P13 P9 O9 O13" evalError="1" formula="1"/>
    <ignoredError sqref="N6 N14 N13 N9:N10 O7:P7" evalError="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AB217"/>
  <sheetViews>
    <sheetView showGridLines="0" zoomScaleNormal="100" workbookViewId="0"/>
  </sheetViews>
  <sheetFormatPr defaultColWidth="9" defaultRowHeight="14.25" x14ac:dyDescent="0.2"/>
  <cols>
    <col min="1" max="1" width="2.625" style="1" customWidth="1"/>
    <col min="2" max="27" width="9" style="1"/>
    <col min="28" max="28" width="19.125" style="1" bestFit="1" customWidth="1"/>
    <col min="29" max="16384" width="9" style="1"/>
  </cols>
  <sheetData>
    <row r="1" spans="1:28" ht="20.100000000000001" customHeight="1" x14ac:dyDescent="0.4">
      <c r="A1" s="210"/>
      <c r="B1" s="1286" t="s">
        <v>412</v>
      </c>
      <c r="C1" s="1287"/>
      <c r="D1" s="1288"/>
      <c r="E1" s="1288"/>
      <c r="F1" s="1289"/>
      <c r="G1" s="1290"/>
      <c r="H1" s="1288"/>
      <c r="I1" s="1288"/>
      <c r="J1" s="1288"/>
      <c r="K1" s="1288"/>
      <c r="L1" s="1288"/>
      <c r="M1" s="1291"/>
      <c r="N1" s="1288"/>
      <c r="O1" s="1292" t="str">
        <f>Input!C9</f>
        <v>Walmart Inc.</v>
      </c>
    </row>
    <row r="3" spans="1:28" ht="15" x14ac:dyDescent="0.25">
      <c r="AB3" s="508" t="s">
        <v>1029</v>
      </c>
    </row>
    <row r="4" spans="1:28" ht="15" x14ac:dyDescent="0.25">
      <c r="AB4" s="508" t="s">
        <v>404</v>
      </c>
    </row>
    <row r="5" spans="1:28" x14ac:dyDescent="0.2">
      <c r="AB5" s="1" t="s">
        <v>1028</v>
      </c>
    </row>
    <row r="6" spans="1:28" x14ac:dyDescent="0.2">
      <c r="AB6" s="1" t="s">
        <v>1025</v>
      </c>
    </row>
    <row r="7" spans="1:28" ht="15" x14ac:dyDescent="0.25">
      <c r="AB7" s="508" t="s">
        <v>1084</v>
      </c>
    </row>
    <row r="8" spans="1:28" x14ac:dyDescent="0.2">
      <c r="AB8" s="1">
        <v>2</v>
      </c>
    </row>
    <row r="9" spans="1:28" ht="15" x14ac:dyDescent="0.25">
      <c r="AB9" s="508" t="s">
        <v>1085</v>
      </c>
    </row>
    <row r="10" spans="1:28" x14ac:dyDescent="0.2">
      <c r="AB10" s="1" t="str">
        <f>INDEX(AB5:AB6,AB8)</f>
        <v>Incremental</v>
      </c>
    </row>
    <row r="11" spans="1:28" x14ac:dyDescent="0.2">
      <c r="AB11" s="1" t="str">
        <f>chartType_Fin&amp;" % Growth"</f>
        <v>Incremental % Growth</v>
      </c>
    </row>
    <row r="13" spans="1:28" x14ac:dyDescent="0.2">
      <c r="AB13" s="1" t="str">
        <f>Input!C6 &amp; " million"</f>
        <v>USD million</v>
      </c>
    </row>
    <row r="87" s="571" customFormat="1" x14ac:dyDescent="0.2"/>
    <row r="88" s="571" customFormat="1" x14ac:dyDescent="0.2"/>
    <row r="89" s="571" customFormat="1" x14ac:dyDescent="0.2"/>
    <row r="90" s="571" customFormat="1" x14ac:dyDescent="0.2"/>
    <row r="91" s="571" customFormat="1" x14ac:dyDescent="0.2"/>
    <row r="92" s="571" customFormat="1" x14ac:dyDescent="0.2"/>
    <row r="93" s="571" customFormat="1" x14ac:dyDescent="0.2"/>
    <row r="94" s="571" customFormat="1" x14ac:dyDescent="0.2"/>
    <row r="95" s="571" customFormat="1" x14ac:dyDescent="0.2"/>
    <row r="96" s="571" customFormat="1" x14ac:dyDescent="0.2"/>
    <row r="97" s="571" customFormat="1" x14ac:dyDescent="0.2"/>
    <row r="98" s="571" customFormat="1" x14ac:dyDescent="0.2"/>
    <row r="99" s="571" customFormat="1" x14ac:dyDescent="0.2"/>
    <row r="100" s="571" customFormat="1" x14ac:dyDescent="0.2"/>
    <row r="101" s="571" customFormat="1" x14ac:dyDescent="0.2"/>
    <row r="102" s="571" customFormat="1" x14ac:dyDescent="0.2"/>
    <row r="103" s="571" customFormat="1" x14ac:dyDescent="0.2"/>
    <row r="104" s="571" customFormat="1" x14ac:dyDescent="0.2"/>
    <row r="105" s="571" customFormat="1" x14ac:dyDescent="0.2"/>
    <row r="106" s="571" customFormat="1" x14ac:dyDescent="0.2"/>
    <row r="107" s="571" customFormat="1" x14ac:dyDescent="0.2"/>
    <row r="108" s="571" customFormat="1" x14ac:dyDescent="0.2"/>
    <row r="109" s="571" customFormat="1" x14ac:dyDescent="0.2"/>
    <row r="110" s="571" customFormat="1" x14ac:dyDescent="0.2"/>
    <row r="111" s="571" customFormat="1" x14ac:dyDescent="0.2"/>
    <row r="112" s="571" customFormat="1" x14ac:dyDescent="0.2"/>
    <row r="113" s="571" customFormat="1" x14ac:dyDescent="0.2"/>
    <row r="114" s="571" customFormat="1" x14ac:dyDescent="0.2"/>
    <row r="186" spans="2:16" ht="16.5" thickBot="1" x14ac:dyDescent="0.25">
      <c r="B186" s="1412" t="s">
        <v>352</v>
      </c>
      <c r="C186" s="1413"/>
      <c r="D186" s="1413"/>
      <c r="E186" s="1412"/>
      <c r="F186" s="1413"/>
      <c r="G186" s="1413"/>
      <c r="H186" s="1413"/>
      <c r="I186" s="1413"/>
      <c r="J186" s="1413"/>
      <c r="K186" s="1413"/>
      <c r="L186" s="1413"/>
      <c r="M186" s="1413"/>
      <c r="N186" s="1413"/>
      <c r="O186" s="1413"/>
    </row>
    <row r="192" spans="2:16" ht="23.25" x14ac:dyDescent="0.35">
      <c r="P192" s="333"/>
    </row>
    <row r="216" spans="2:15" x14ac:dyDescent="0.2">
      <c r="B216" s="246" t="s">
        <v>410</v>
      </c>
    </row>
    <row r="217" spans="2:15" ht="30" customHeight="1" x14ac:dyDescent="0.2">
      <c r="B217" s="1495" t="s">
        <v>498</v>
      </c>
      <c r="C217" s="1495"/>
      <c r="D217" s="1495"/>
      <c r="E217" s="1495"/>
      <c r="F217" s="1495"/>
      <c r="G217" s="1495"/>
      <c r="H217" s="1495"/>
      <c r="I217" s="1495"/>
      <c r="J217" s="1495"/>
      <c r="K217" s="1495"/>
      <c r="L217" s="1495"/>
      <c r="M217" s="1495"/>
      <c r="N217" s="1495"/>
      <c r="O217" s="1495"/>
    </row>
  </sheetData>
  <mergeCells count="1">
    <mergeCell ref="B217:O217"/>
  </mergeCells>
  <pageMargins left="0.7" right="0.7" top="0.75" bottom="0.75" header="0.3" footer="0.3"/>
  <pageSetup scale="36"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anchor moveWithCells="1">
                  <from>
                    <xdr:col>12</xdr:col>
                    <xdr:colOff>666750</xdr:colOff>
                    <xdr:row>16</xdr:row>
                    <xdr:rowOff>28575</xdr:rowOff>
                  </from>
                  <to>
                    <xdr:col>14</xdr:col>
                    <xdr:colOff>142875</xdr:colOff>
                    <xdr:row>17</xdr:row>
                    <xdr:rowOff>57150</xdr:rowOff>
                  </to>
                </anchor>
              </controlPr>
            </control>
          </mc:Choice>
        </mc:AlternateContent>
        <mc:AlternateContent xmlns:mc="http://schemas.openxmlformats.org/markup-compatibility/2006">
          <mc:Choice Requires="x14">
            <control shapeId="4100" r:id="rId5" name="Drop Down 4">
              <controlPr defaultSize="0" autoLine="0" autoPict="0">
                <anchor moveWithCells="1">
                  <from>
                    <xdr:col>12</xdr:col>
                    <xdr:colOff>676275</xdr:colOff>
                    <xdr:row>44</xdr:row>
                    <xdr:rowOff>28575</xdr:rowOff>
                  </from>
                  <to>
                    <xdr:col>14</xdr:col>
                    <xdr:colOff>152400</xdr:colOff>
                    <xdr:row>45</xdr:row>
                    <xdr:rowOff>57150</xdr:rowOff>
                  </to>
                </anchor>
              </controlPr>
            </control>
          </mc:Choice>
        </mc:AlternateContent>
        <mc:AlternateContent xmlns:mc="http://schemas.openxmlformats.org/markup-compatibility/2006">
          <mc:Choice Requires="x14">
            <control shapeId="4106" r:id="rId6" name="Drop Down 10">
              <controlPr defaultSize="0" autoLine="0" autoPict="0">
                <anchor moveWithCells="1">
                  <from>
                    <xdr:col>12</xdr:col>
                    <xdr:colOff>666750</xdr:colOff>
                    <xdr:row>86</xdr:row>
                    <xdr:rowOff>57150</xdr:rowOff>
                  </from>
                  <to>
                    <xdr:col>14</xdr:col>
                    <xdr:colOff>133350</xdr:colOff>
                    <xdr:row>87</xdr:row>
                    <xdr:rowOff>76200</xdr:rowOff>
                  </to>
                </anchor>
              </controlPr>
            </control>
          </mc:Choice>
        </mc:AlternateContent>
        <mc:AlternateContent xmlns:mc="http://schemas.openxmlformats.org/markup-compatibility/2006">
          <mc:Choice Requires="x14">
            <control shapeId="4108" r:id="rId7" name="Drop Down 12">
              <controlPr defaultSize="0" autoLine="0" autoPict="0">
                <anchor moveWithCells="1">
                  <from>
                    <xdr:col>12</xdr:col>
                    <xdr:colOff>666750</xdr:colOff>
                    <xdr:row>114</xdr:row>
                    <xdr:rowOff>38100</xdr:rowOff>
                  </from>
                  <to>
                    <xdr:col>14</xdr:col>
                    <xdr:colOff>133350</xdr:colOff>
                    <xdr:row>115</xdr:row>
                    <xdr:rowOff>57150</xdr:rowOff>
                  </to>
                </anchor>
              </controlPr>
            </control>
          </mc:Choice>
        </mc:AlternateContent>
        <mc:AlternateContent xmlns:mc="http://schemas.openxmlformats.org/markup-compatibility/2006">
          <mc:Choice Requires="x14">
            <control shapeId="4112" r:id="rId8" name="Drop Down 16">
              <controlPr defaultSize="0" autoLine="0" autoPict="0">
                <anchor moveWithCells="1">
                  <from>
                    <xdr:col>12</xdr:col>
                    <xdr:colOff>666750</xdr:colOff>
                    <xdr:row>142</xdr:row>
                    <xdr:rowOff>28575</xdr:rowOff>
                  </from>
                  <to>
                    <xdr:col>14</xdr:col>
                    <xdr:colOff>133350</xdr:colOff>
                    <xdr:row>143</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pageSetUpPr fitToPage="1"/>
  </sheetPr>
  <dimension ref="A1:AJ193"/>
  <sheetViews>
    <sheetView showGridLines="0" topLeftCell="A152" workbookViewId="0">
      <selection activeCell="B193" sqref="B193:O193"/>
    </sheetView>
  </sheetViews>
  <sheetFormatPr defaultRowHeight="14.25" x14ac:dyDescent="0.2"/>
  <cols>
    <col min="1" max="1" width="2.625" style="1" customWidth="1"/>
    <col min="14" max="14" width="3.75" customWidth="1"/>
    <col min="17" max="17" width="18.625" customWidth="1"/>
    <col min="23" max="23" width="18.5" customWidth="1"/>
    <col min="35" max="36" width="9" customWidth="1"/>
  </cols>
  <sheetData>
    <row r="1" spans="2:36" s="1" customFormat="1" ht="20.100000000000001" customHeight="1" x14ac:dyDescent="0.4">
      <c r="B1" s="1286" t="s">
        <v>412</v>
      </c>
      <c r="C1" s="1287"/>
      <c r="D1" s="1288"/>
      <c r="E1" s="1288"/>
      <c r="F1" s="1289"/>
      <c r="G1" s="1290"/>
      <c r="H1" s="1288"/>
      <c r="I1" s="1288"/>
      <c r="J1" s="1288"/>
      <c r="K1" s="1288"/>
      <c r="L1" s="1288"/>
      <c r="M1" s="1291"/>
      <c r="N1" s="1288"/>
      <c r="O1" s="1292" t="str">
        <f>Input!$C$9</f>
        <v>Walmart Inc.</v>
      </c>
      <c r="Q1" s="532"/>
    </row>
    <row r="2" spans="2:36" s="1" customFormat="1" x14ac:dyDescent="0.2">
      <c r="AI2" s="582" t="s">
        <v>1029</v>
      </c>
    </row>
    <row r="3" spans="2:36" s="5" customFormat="1" ht="20.100000000000001" customHeight="1" thickBot="1" x14ac:dyDescent="0.25">
      <c r="B3" s="1412" t="str">
        <f>B1</f>
        <v>Financial Analysis</v>
      </c>
      <c r="C3" s="1413"/>
      <c r="D3" s="1413"/>
      <c r="E3" s="1412"/>
      <c r="F3" s="1413"/>
      <c r="G3" s="1413"/>
      <c r="H3" s="1413"/>
      <c r="I3" s="1413"/>
      <c r="J3" s="1413"/>
      <c r="K3" s="1413"/>
      <c r="L3" s="1413"/>
      <c r="M3" s="1413"/>
      <c r="N3" s="1413"/>
      <c r="O3" s="1413"/>
      <c r="P3" s="571"/>
      <c r="AI3" s="2">
        <v>1</v>
      </c>
      <c r="AJ3" s="581" t="s">
        <v>1025</v>
      </c>
    </row>
    <row r="4" spans="2:36" s="5" customFormat="1" ht="15" customHeight="1" x14ac:dyDescent="0.2">
      <c r="B4" s="530"/>
      <c r="C4" s="531"/>
      <c r="D4" s="531"/>
      <c r="E4" s="530"/>
      <c r="F4" s="531"/>
      <c r="G4" s="531"/>
      <c r="H4" s="531"/>
      <c r="I4" s="531"/>
      <c r="J4" s="531"/>
      <c r="K4" s="531"/>
      <c r="L4" s="531"/>
      <c r="M4" s="531"/>
      <c r="N4" s="531"/>
      <c r="O4" s="531"/>
      <c r="P4" s="1"/>
      <c r="AI4" s="2"/>
      <c r="AJ4" s="581" t="s">
        <v>1028</v>
      </c>
    </row>
    <row r="5" spans="2:36" s="5" customFormat="1" ht="15" customHeight="1" x14ac:dyDescent="0.2">
      <c r="B5" s="530"/>
      <c r="C5" s="531"/>
      <c r="D5" s="531"/>
      <c r="E5" s="530"/>
      <c r="F5" s="531"/>
      <c r="G5" s="531"/>
      <c r="H5" s="531"/>
      <c r="I5" s="531"/>
      <c r="J5" s="531"/>
      <c r="K5" s="531"/>
      <c r="L5" s="531"/>
      <c r="M5" s="531"/>
      <c r="N5" s="531"/>
      <c r="O5" s="531"/>
      <c r="P5" s="1"/>
      <c r="AI5" s="2"/>
      <c r="AJ5" s="581" t="str">
        <f>INDEX(AJ3:AJ4,AI3)</f>
        <v>Incremental</v>
      </c>
    </row>
    <row r="6" spans="2:36" s="5" customFormat="1" ht="15" customHeight="1" x14ac:dyDescent="0.2">
      <c r="B6" s="530"/>
      <c r="C6" s="531"/>
      <c r="D6" s="531"/>
      <c r="E6" s="530"/>
      <c r="F6" s="531"/>
      <c r="G6" s="531"/>
      <c r="H6" s="531"/>
      <c r="I6" s="531"/>
      <c r="J6" s="531"/>
      <c r="K6" s="531"/>
      <c r="L6" s="531"/>
      <c r="M6" s="531"/>
      <c r="N6" s="531"/>
      <c r="O6" s="531"/>
      <c r="P6" s="1"/>
      <c r="AI6" s="2"/>
      <c r="AJ6" s="581"/>
    </row>
    <row r="7" spans="2:36" s="5" customFormat="1" ht="15" customHeight="1" x14ac:dyDescent="0.2">
      <c r="B7" s="530"/>
      <c r="C7" s="531"/>
      <c r="D7" s="531"/>
      <c r="E7" s="530"/>
      <c r="F7" s="531"/>
      <c r="G7" s="531"/>
      <c r="H7" s="531"/>
      <c r="I7" s="531"/>
      <c r="J7" s="531"/>
      <c r="K7" s="531"/>
      <c r="L7" s="531"/>
      <c r="M7" s="531"/>
      <c r="N7" s="531"/>
      <c r="O7" s="531"/>
      <c r="P7" s="1"/>
      <c r="AI7" s="2"/>
      <c r="AJ7" s="581" t="str">
        <f>chartType&amp; " % Growth"</f>
        <v>Incremental % Growth</v>
      </c>
    </row>
    <row r="8" spans="2:36" s="5" customFormat="1" ht="15" customHeight="1" x14ac:dyDescent="0.2">
      <c r="B8" s="530"/>
      <c r="C8" s="531"/>
      <c r="D8" s="531"/>
      <c r="E8" s="530"/>
      <c r="F8" s="531"/>
      <c r="G8" s="531"/>
      <c r="H8" s="531"/>
      <c r="I8" s="531"/>
      <c r="J8" s="531"/>
      <c r="K8" s="531"/>
      <c r="L8" s="531"/>
      <c r="M8" s="531"/>
      <c r="N8" s="531"/>
      <c r="O8" s="531"/>
      <c r="P8" s="1"/>
    </row>
    <row r="9" spans="2:36" s="5" customFormat="1" ht="15" customHeight="1" x14ac:dyDescent="0.2">
      <c r="B9" s="530"/>
      <c r="C9" s="531"/>
      <c r="D9" s="531"/>
      <c r="E9" s="530"/>
      <c r="F9" s="531"/>
      <c r="G9" s="531"/>
      <c r="H9" s="531"/>
      <c r="I9" s="531"/>
      <c r="J9" s="531"/>
      <c r="K9" s="531"/>
      <c r="L9" s="531"/>
      <c r="M9" s="531"/>
      <c r="N9" s="531"/>
      <c r="O9" s="531"/>
      <c r="P9" s="1"/>
      <c r="AJ9" s="5" t="str">
        <f>Input!C6 &amp; " million"</f>
        <v>USD million</v>
      </c>
    </row>
    <row r="10" spans="2:36" s="5" customFormat="1" ht="15" customHeight="1" x14ac:dyDescent="0.2">
      <c r="B10" s="530"/>
      <c r="C10" s="531"/>
      <c r="D10" s="531"/>
      <c r="E10" s="530"/>
      <c r="F10" s="531"/>
      <c r="G10" s="531"/>
      <c r="H10" s="531"/>
      <c r="I10" s="531"/>
      <c r="J10" s="531"/>
      <c r="K10" s="531"/>
      <c r="L10" s="531"/>
      <c r="M10" s="531"/>
      <c r="N10" s="531"/>
      <c r="O10" s="531"/>
      <c r="P10" s="1"/>
    </row>
    <row r="11" spans="2:36" s="5" customFormat="1" ht="15" customHeight="1" x14ac:dyDescent="0.2">
      <c r="B11" s="530"/>
      <c r="C11" s="531"/>
      <c r="D11" s="531"/>
      <c r="E11" s="530"/>
      <c r="F11" s="531"/>
      <c r="G11" s="531"/>
      <c r="H11" s="531"/>
      <c r="I11" s="531"/>
      <c r="J11" s="531"/>
      <c r="K11" s="531"/>
      <c r="L11" s="531"/>
      <c r="M11" s="531"/>
      <c r="N11" s="531"/>
      <c r="O11" s="531"/>
      <c r="P11" s="1"/>
      <c r="Q11" s="139"/>
    </row>
    <row r="12" spans="2:36" s="5" customFormat="1" ht="15" customHeight="1" x14ac:dyDescent="0.2">
      <c r="B12" s="530"/>
      <c r="C12" s="531"/>
      <c r="D12" s="531"/>
      <c r="E12" s="530"/>
      <c r="F12" s="531"/>
      <c r="G12" s="531"/>
      <c r="H12" s="531"/>
      <c r="I12" s="531"/>
      <c r="J12" s="531"/>
      <c r="K12" s="531"/>
      <c r="L12" s="531"/>
      <c r="M12" s="531"/>
      <c r="N12" s="531"/>
      <c r="O12" s="531"/>
      <c r="P12" s="1"/>
    </row>
    <row r="13" spans="2:36" s="5" customFormat="1" ht="15" customHeight="1" x14ac:dyDescent="0.2">
      <c r="B13" s="530"/>
      <c r="C13" s="531"/>
      <c r="D13" s="531"/>
      <c r="E13" s="530"/>
      <c r="F13" s="531"/>
      <c r="G13" s="531"/>
      <c r="H13" s="531"/>
      <c r="I13" s="531"/>
      <c r="J13" s="531"/>
      <c r="K13" s="531"/>
      <c r="L13" s="531"/>
      <c r="M13" s="531"/>
      <c r="N13" s="531"/>
      <c r="O13" s="531"/>
      <c r="P13" s="1"/>
    </row>
    <row r="14" spans="2:36" s="5" customFormat="1" ht="15" customHeight="1" x14ac:dyDescent="0.2">
      <c r="B14" s="530"/>
      <c r="C14" s="531"/>
      <c r="D14" s="531"/>
      <c r="E14" s="530"/>
      <c r="F14" s="531"/>
      <c r="G14" s="531"/>
      <c r="H14" s="531"/>
      <c r="I14" s="531"/>
      <c r="J14" s="531"/>
      <c r="K14" s="531"/>
      <c r="L14" s="531"/>
      <c r="M14" s="531"/>
      <c r="N14" s="531"/>
      <c r="O14" s="531"/>
      <c r="P14" s="1"/>
    </row>
    <row r="15" spans="2:36" s="5" customFormat="1" ht="15" customHeight="1" x14ac:dyDescent="0.2">
      <c r="B15" s="530"/>
      <c r="C15" s="531"/>
      <c r="D15" s="531"/>
      <c r="E15" s="530"/>
      <c r="F15" s="531"/>
      <c r="G15" s="531"/>
      <c r="H15" s="531"/>
      <c r="I15" s="531"/>
      <c r="J15" s="531"/>
      <c r="K15" s="531"/>
      <c r="L15" s="531"/>
      <c r="M15" s="531"/>
      <c r="N15" s="531"/>
      <c r="O15" s="531"/>
      <c r="P15" s="1"/>
    </row>
    <row r="16" spans="2:36" s="5" customFormat="1" ht="15" customHeight="1" x14ac:dyDescent="0.2">
      <c r="B16" s="530"/>
      <c r="C16" s="531"/>
      <c r="D16" s="531"/>
      <c r="E16" s="530"/>
      <c r="F16" s="531"/>
      <c r="G16" s="531"/>
      <c r="H16" s="531"/>
      <c r="I16" s="531"/>
      <c r="J16" s="531"/>
      <c r="K16" s="531"/>
      <c r="L16" s="531"/>
      <c r="M16" s="531"/>
      <c r="N16" s="531"/>
      <c r="O16" s="531"/>
      <c r="P16" s="1"/>
    </row>
    <row r="17" spans="2:16" s="5" customFormat="1" ht="15" customHeight="1" x14ac:dyDescent="0.2">
      <c r="B17" s="530"/>
      <c r="C17" s="531"/>
      <c r="D17" s="531"/>
      <c r="E17" s="530"/>
      <c r="F17" s="531"/>
      <c r="G17" s="531"/>
      <c r="H17" s="531"/>
      <c r="I17" s="531"/>
      <c r="J17" s="531"/>
      <c r="K17" s="531"/>
      <c r="L17" s="531"/>
      <c r="M17" s="531"/>
      <c r="N17" s="531"/>
      <c r="O17" s="531"/>
      <c r="P17" s="1"/>
    </row>
    <row r="18" spans="2:16" s="5" customFormat="1" ht="15" customHeight="1" x14ac:dyDescent="0.2">
      <c r="B18" s="530"/>
      <c r="C18" s="531"/>
      <c r="D18" s="531"/>
      <c r="E18" s="530"/>
      <c r="F18" s="531"/>
      <c r="G18" s="531"/>
      <c r="H18" s="531"/>
      <c r="I18" s="531"/>
      <c r="J18" s="531"/>
      <c r="K18" s="531"/>
      <c r="L18" s="531"/>
      <c r="M18" s="531"/>
      <c r="N18" s="531"/>
      <c r="O18" s="531"/>
      <c r="P18" s="1"/>
    </row>
    <row r="49" spans="35:36" x14ac:dyDescent="0.2">
      <c r="AI49" s="2"/>
      <c r="AJ49" s="581"/>
    </row>
    <row r="50" spans="35:36" x14ac:dyDescent="0.2">
      <c r="AI50" s="2"/>
      <c r="AJ50" s="581"/>
    </row>
    <row r="51" spans="35:36" x14ac:dyDescent="0.2">
      <c r="AI51" s="2"/>
      <c r="AJ51" s="581"/>
    </row>
    <row r="52" spans="35:36" x14ac:dyDescent="0.2">
      <c r="AI52" s="2"/>
      <c r="AJ52" s="581"/>
    </row>
    <row r="53" spans="35:36" x14ac:dyDescent="0.2">
      <c r="AI53" s="2"/>
      <c r="AJ53" s="581"/>
    </row>
    <row r="71" s="1" customFormat="1" x14ac:dyDescent="0.2"/>
    <row r="72" s="1" customFormat="1" x14ac:dyDescent="0.2"/>
    <row r="73" s="1" customFormat="1" x14ac:dyDescent="0.2"/>
    <row r="74" s="1" customFormat="1" x14ac:dyDescent="0.2"/>
    <row r="75" s="1" customFormat="1" x14ac:dyDescent="0.2"/>
    <row r="76" s="1" customFormat="1" x14ac:dyDescent="0.2"/>
    <row r="77" s="571" customFormat="1" x14ac:dyDescent="0.2"/>
    <row r="78" s="571" customFormat="1" x14ac:dyDescent="0.2"/>
    <row r="79" s="571" customFormat="1" x14ac:dyDescent="0.2"/>
    <row r="80" s="571" customFormat="1" x14ac:dyDescent="0.2"/>
    <row r="81" s="571" customFormat="1" x14ac:dyDescent="0.2"/>
    <row r="82" s="571" customFormat="1" x14ac:dyDescent="0.2"/>
    <row r="83" s="571" customFormat="1" x14ac:dyDescent="0.2"/>
    <row r="84" s="571" customFormat="1" x14ac:dyDescent="0.2"/>
    <row r="85" s="571" customFormat="1" x14ac:dyDescent="0.2"/>
    <row r="86" s="571" customFormat="1" x14ac:dyDescent="0.2"/>
    <row r="87" s="571" customFormat="1" x14ac:dyDescent="0.2"/>
    <row r="88" s="571" customFormat="1" x14ac:dyDescent="0.2"/>
    <row r="89" s="571" customFormat="1" x14ac:dyDescent="0.2"/>
    <row r="90" s="571" customFormat="1" x14ac:dyDescent="0.2"/>
    <row r="91" s="57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36" s="571" customFormat="1" x14ac:dyDescent="0.2"/>
    <row r="137" s="571" customFormat="1" x14ac:dyDescent="0.2"/>
    <row r="138" s="571" customFormat="1" x14ac:dyDescent="0.2"/>
    <row r="139" s="571" customFormat="1" x14ac:dyDescent="0.2"/>
    <row r="140" s="571" customFormat="1" x14ac:dyDescent="0.2"/>
    <row r="141" s="571" customFormat="1" x14ac:dyDescent="0.2"/>
    <row r="142" s="571" customFormat="1" x14ac:dyDescent="0.2"/>
    <row r="143" s="571" customFormat="1" x14ac:dyDescent="0.2"/>
    <row r="144" s="571" customFormat="1" x14ac:dyDescent="0.2"/>
    <row r="145" spans="2:15" s="571" customFormat="1" x14ac:dyDescent="0.2"/>
    <row r="146" spans="2:15" s="571" customFormat="1" x14ac:dyDescent="0.2"/>
    <row r="147" spans="2:15" s="571" customFormat="1" x14ac:dyDescent="0.2"/>
    <row r="148" spans="2:15" s="571" customFormat="1" x14ac:dyDescent="0.2"/>
    <row r="149" spans="2:15" s="571" customFormat="1" x14ac:dyDescent="0.2"/>
    <row r="150" spans="2:15" s="571" customFormat="1" x14ac:dyDescent="0.2"/>
    <row r="152" spans="2:15" s="571" customFormat="1" x14ac:dyDescent="0.2"/>
    <row r="153" spans="2:15" s="571" customFormat="1" x14ac:dyDescent="0.2"/>
    <row r="154" spans="2:15" s="571" customFormat="1" x14ac:dyDescent="0.2"/>
    <row r="155" spans="2:15" s="571" customFormat="1" x14ac:dyDescent="0.2"/>
    <row r="156" spans="2:15" s="571" customFormat="1" x14ac:dyDescent="0.2"/>
    <row r="157" spans="2:15" s="571" customFormat="1" x14ac:dyDescent="0.2"/>
    <row r="158" spans="2:15" s="571" customFormat="1" x14ac:dyDescent="0.2"/>
    <row r="159" spans="2:15" s="571" customFormat="1" x14ac:dyDescent="0.2"/>
    <row r="160" spans="2:15" ht="16.5" thickBot="1" x14ac:dyDescent="0.25">
      <c r="B160" s="1412" t="s">
        <v>352</v>
      </c>
      <c r="C160" s="1413"/>
      <c r="D160" s="1413"/>
      <c r="E160" s="1412"/>
      <c r="F160" s="1413"/>
      <c r="G160" s="1413"/>
      <c r="H160" s="1413"/>
      <c r="I160" s="1413"/>
      <c r="J160" s="1413"/>
      <c r="K160" s="1413"/>
      <c r="L160" s="1413"/>
      <c r="M160" s="1413"/>
      <c r="N160" s="1413"/>
      <c r="O160" s="531"/>
    </row>
    <row r="161" spans="2:15" s="571" customFormat="1" ht="15.75" x14ac:dyDescent="0.2">
      <c r="B161" s="530"/>
      <c r="C161" s="531"/>
      <c r="D161" s="531"/>
      <c r="E161" s="530"/>
      <c r="F161" s="531"/>
      <c r="G161" s="531"/>
      <c r="H161" s="531"/>
      <c r="I161" s="531"/>
      <c r="J161" s="531"/>
      <c r="K161" s="531"/>
      <c r="L161" s="531"/>
      <c r="M161" s="531"/>
      <c r="N161" s="531"/>
      <c r="O161" s="531"/>
    </row>
    <row r="191" spans="2:15" ht="30.75" customHeight="1" x14ac:dyDescent="0.2"/>
    <row r="192" spans="2:15" x14ac:dyDescent="0.2">
      <c r="B192" s="246" t="s">
        <v>410</v>
      </c>
      <c r="C192" s="377"/>
      <c r="D192" s="377"/>
      <c r="E192" s="377"/>
      <c r="F192" s="377"/>
      <c r="G192" s="377"/>
      <c r="H192" s="377"/>
      <c r="I192" s="377"/>
      <c r="J192" s="377"/>
      <c r="K192" s="377"/>
      <c r="L192" s="377"/>
      <c r="M192" s="377"/>
      <c r="N192" s="377"/>
      <c r="O192" s="377"/>
    </row>
    <row r="193" spans="2:15" ht="32.25" customHeight="1" x14ac:dyDescent="0.2">
      <c r="B193" s="1495" t="s">
        <v>497</v>
      </c>
      <c r="C193" s="1495"/>
      <c r="D193" s="1495"/>
      <c r="E193" s="1495"/>
      <c r="F193" s="1495"/>
      <c r="G193" s="1495"/>
      <c r="H193" s="1495"/>
      <c r="I193" s="1495"/>
      <c r="J193" s="1495"/>
      <c r="K193" s="1495"/>
      <c r="L193" s="1495"/>
      <c r="M193" s="1495"/>
      <c r="N193" s="1495"/>
      <c r="O193" s="1495"/>
    </row>
  </sheetData>
  <mergeCells count="1">
    <mergeCell ref="B193:O193"/>
  </mergeCells>
  <printOptions horizontalCentered="1"/>
  <pageMargins left="0.5" right="0.5" top="0.5" bottom="0.5" header="0.3" footer="0.3"/>
  <pageSetup scale="73"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anchor moveWithCells="1">
                  <from>
                    <xdr:col>12</xdr:col>
                    <xdr:colOff>361950</xdr:colOff>
                    <xdr:row>18</xdr:row>
                    <xdr:rowOff>28575</xdr:rowOff>
                  </from>
                  <to>
                    <xdr:col>14</xdr:col>
                    <xdr:colOff>304800</xdr:colOff>
                    <xdr:row>19</xdr:row>
                    <xdr:rowOff>57150</xdr:rowOff>
                  </to>
                </anchor>
              </controlPr>
            </control>
          </mc:Choice>
        </mc:AlternateContent>
        <mc:AlternateContent xmlns:mc="http://schemas.openxmlformats.org/markup-compatibility/2006">
          <mc:Choice Requires="x14">
            <control shapeId="5123" r:id="rId5" name="Drop Down 3">
              <controlPr defaultSize="0" autoLine="0" autoPict="0">
                <anchor moveWithCells="1">
                  <from>
                    <xdr:col>12</xdr:col>
                    <xdr:colOff>361950</xdr:colOff>
                    <xdr:row>46</xdr:row>
                    <xdr:rowOff>28575</xdr:rowOff>
                  </from>
                  <to>
                    <xdr:col>14</xdr:col>
                    <xdr:colOff>304800</xdr:colOff>
                    <xdr:row>47</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AB63"/>
  <sheetViews>
    <sheetView showGridLines="0" workbookViewId="0"/>
  </sheetViews>
  <sheetFormatPr defaultColWidth="9" defaultRowHeight="12.75" outlineLevelRow="1" outlineLevelCol="1" x14ac:dyDescent="0.2"/>
  <cols>
    <col min="1" max="1" width="2.625" style="399" customWidth="1"/>
    <col min="2" max="2" width="22" style="681" customWidth="1"/>
    <col min="3" max="3" width="25.625" style="681" hidden="1" customWidth="1" outlineLevel="1"/>
    <col min="4" max="4" width="9.625" style="681" hidden="1" customWidth="1" outlineLevel="1"/>
    <col min="5" max="5" width="7.75" style="681" customWidth="1" collapsed="1"/>
    <col min="6" max="10" width="7.75" style="681" customWidth="1"/>
    <col min="11" max="11" width="6.25" style="399" bestFit="1" customWidth="1"/>
    <col min="12" max="19" width="9" style="399"/>
    <col min="20" max="20" width="10.625" style="399" customWidth="1"/>
    <col min="21" max="21" width="18.75" style="399" customWidth="1"/>
    <col min="22" max="22" width="9" style="399" hidden="1" customWidth="1" outlineLevel="1"/>
    <col min="23" max="23" width="9" style="399" customWidth="1" collapsed="1"/>
    <col min="24" max="16384" width="9" style="399"/>
  </cols>
  <sheetData>
    <row r="1" spans="1:28" ht="12.75" customHeight="1" outlineLevel="1" x14ac:dyDescent="0.2">
      <c r="A1" s="418"/>
      <c r="B1" s="1293" t="str">
        <f>+Target</f>
        <v>NYSE:WMT</v>
      </c>
      <c r="C1" s="1294">
        <f>Input!C8</f>
        <v>44645</v>
      </c>
      <c r="D1" s="1295"/>
      <c r="E1" s="1295" t="str">
        <f>Input!$C$6</f>
        <v>USD</v>
      </c>
      <c r="F1" s="1293" t="s">
        <v>371</v>
      </c>
      <c r="G1" s="1296" t="s">
        <v>525</v>
      </c>
      <c r="H1" s="1296"/>
      <c r="I1" s="1296" t="str">
        <f>Input!$C$6</f>
        <v>USD</v>
      </c>
      <c r="J1" s="1295"/>
      <c r="K1" s="1295" t="s">
        <v>578</v>
      </c>
      <c r="L1" s="1295" t="s">
        <v>577</v>
      </c>
      <c r="M1" s="1295" t="s">
        <v>576</v>
      </c>
      <c r="N1" s="1295" t="s">
        <v>575</v>
      </c>
      <c r="O1" s="1295" t="s">
        <v>574</v>
      </c>
      <c r="P1" s="1295" t="s">
        <v>573</v>
      </c>
      <c r="Q1" s="1295" t="s">
        <v>572</v>
      </c>
      <c r="R1" s="1297"/>
      <c r="T1" s="413" t="str">
        <f>+" Debt Profile ("&amp;Input!C6&amp;" million, as of "&amp;TEXT(I2,"mmmm yyyy")&amp;")"</f>
        <v xml:space="preserve"> Debt Profile (USD million, as of January 2022)</v>
      </c>
    </row>
    <row r="2" spans="1:28" ht="13.5" customHeight="1" outlineLevel="1" thickBot="1" x14ac:dyDescent="0.25">
      <c r="B2" s="1298"/>
      <c r="C2" s="1298" t="s">
        <v>624</v>
      </c>
      <c r="D2" s="1298"/>
      <c r="E2" s="1298"/>
      <c r="F2" s="1298"/>
      <c r="G2" s="1298" t="s">
        <v>571</v>
      </c>
      <c r="H2" s="1298"/>
      <c r="I2" s="1299">
        <f>_xll.ciqfunctions.udf.CIQ($B$1,"IQ_PERIODDATE_BS",Q$1,$C$1,,$C$2)</f>
        <v>44592</v>
      </c>
      <c r="J2" s="1298"/>
      <c r="K2" s="1298"/>
      <c r="L2" s="1298"/>
      <c r="M2" s="1298"/>
      <c r="N2" s="1298"/>
      <c r="O2" s="1298"/>
      <c r="P2" s="1298"/>
      <c r="Q2" s="1298"/>
      <c r="R2" s="1298"/>
      <c r="T2" s="413" t="str">
        <f>+" Debt Maturity Schedule ("&amp;Input!C6&amp;" million)"</f>
        <v xml:space="preserve"> Debt Maturity Schedule (USD million)</v>
      </c>
    </row>
    <row r="3" spans="1:28" s="402" customFormat="1" ht="20.100000000000001" customHeight="1" x14ac:dyDescent="0.2">
      <c r="B3" s="1252" t="s">
        <v>570</v>
      </c>
      <c r="C3" s="1252"/>
      <c r="D3" s="1252"/>
      <c r="E3" s="1252"/>
      <c r="F3" s="1252"/>
      <c r="G3" s="1252"/>
      <c r="H3" s="1252"/>
      <c r="I3" s="1252"/>
      <c r="J3" s="1252"/>
      <c r="K3" s="1252"/>
      <c r="L3" s="1252"/>
      <c r="M3" s="1252"/>
      <c r="N3" s="1252"/>
      <c r="O3" s="1252"/>
      <c r="P3" s="1252"/>
      <c r="Q3" s="1252"/>
      <c r="R3" s="1275" t="str">
        <f>Input!$C$9</f>
        <v>Walmart Inc.</v>
      </c>
    </row>
    <row r="4" spans="1:28" x14ac:dyDescent="0.2">
      <c r="B4" s="412"/>
      <c r="C4" s="406"/>
      <c r="D4" s="406"/>
      <c r="E4" s="406"/>
      <c r="F4" s="406"/>
      <c r="G4" s="406"/>
      <c r="H4" s="406"/>
      <c r="I4" s="406"/>
      <c r="J4" s="406"/>
      <c r="T4" s="582" t="s">
        <v>569</v>
      </c>
      <c r="U4" s="19"/>
      <c r="V4" s="19"/>
      <c r="W4" s="19"/>
    </row>
    <row r="5" spans="1:28" ht="15" customHeight="1" x14ac:dyDescent="0.2">
      <c r="B5" s="1415" t="s">
        <v>568</v>
      </c>
      <c r="C5" s="1419"/>
      <c r="D5" s="1499" t="s">
        <v>520</v>
      </c>
      <c r="E5" s="1500"/>
      <c r="F5" s="1500"/>
      <c r="G5" s="1500"/>
      <c r="H5" s="1500"/>
      <c r="I5" s="1500"/>
      <c r="J5" s="1501"/>
      <c r="M5" s="405"/>
      <c r="N5" s="405"/>
      <c r="O5" s="405"/>
      <c r="P5" s="405"/>
      <c r="Q5" s="405"/>
      <c r="R5" s="405"/>
      <c r="T5" s="1141"/>
      <c r="U5" s="19"/>
      <c r="V5" s="19"/>
      <c r="W5" s="19"/>
    </row>
    <row r="6" spans="1:28" x14ac:dyDescent="0.2">
      <c r="B6" s="1357" t="str">
        <f>Input!$C$6&amp;" million"</f>
        <v>USD million</v>
      </c>
      <c r="C6" s="1358"/>
      <c r="D6" s="1359" t="str">
        <f>TEXT(_xll.ciqfunctions.udf.CIQ($B$1,"IQ_PERIODDATE_BS",K$1,$C$1,,$C$2),"mmm yyyy")</f>
        <v>Jan 2016</v>
      </c>
      <c r="E6" s="1445" t="str">
        <f>TEXT(_xll.ciqfunctions.udf.CIQ($B$1,"IQ_PERIODDATE_BS",L$1,$C$1,,$C$2),"mmm yyyy")</f>
        <v>Jan 2017</v>
      </c>
      <c r="F6" s="1445" t="str">
        <f>TEXT(_xll.ciqfunctions.udf.CIQ($B$1,"IQ_PERIODDATE_BS",M$1,$C$1,,$C$2),"mmm yyyy")</f>
        <v>Jan 2018</v>
      </c>
      <c r="G6" s="1445" t="str">
        <f>TEXT(_xll.ciqfunctions.udf.CIQ($B$1,"IQ_PERIODDATE_BS",N$1,$C$1,,$C$2),"mmm yyyy")</f>
        <v>Jan 2019</v>
      </c>
      <c r="H6" s="1445" t="str">
        <f>TEXT(_xll.ciqfunctions.udf.CIQ($B$1,"IQ_PERIODDATE_BS",O$1,$C$1,,$C$2),"mmm yyyy")</f>
        <v>Jan 2020</v>
      </c>
      <c r="I6" s="1445" t="str">
        <f>TEXT(_xll.ciqfunctions.udf.CIQ($B$1,"IQ_PERIODDATE_BS",P$1,$C$1,,$C$2),"mmm yyyy")</f>
        <v>Jan 2021</v>
      </c>
      <c r="J6" s="1445" t="str">
        <f>TEXT(_xll.ciqfunctions.udf.CIQ($B$1,"IQ_PERIODDATE_BS",Q$1,$C$1,,$C$2),"mmm yyyy")</f>
        <v>Jan 2022</v>
      </c>
      <c r="T6" s="1142">
        <f>DATE(YEAR(I2)+1,MONTH(I2),DAY(I2))</f>
        <v>44957</v>
      </c>
      <c r="U6" s="19" t="s">
        <v>567</v>
      </c>
      <c r="V6" s="19"/>
      <c r="W6" s="1143">
        <f>_xll.ciqfunctions.udf.CIQ($B$1, $U6, $Q$1, $C$1, $F$1, , $E$1)</f>
        <v>3314</v>
      </c>
    </row>
    <row r="7" spans="1:28" x14ac:dyDescent="0.2">
      <c r="B7" s="1347" t="s">
        <v>546</v>
      </c>
      <c r="C7" s="675" t="s">
        <v>619</v>
      </c>
      <c r="D7" s="1126">
        <f>_xll.ciqfunctions.udf.CIQ($B$1,$C7,K$1,$C$1,$F$1,$C$2,$E$1)</f>
        <v>50772</v>
      </c>
      <c r="E7" s="1126">
        <f>_xll.ciqfunctions.udf.CIQ($B$1,$C7,L$1,$C$1,$F$1,$C$2,$E$1)</f>
        <v>46568</v>
      </c>
      <c r="F7" s="717">
        <f>_xll.ciqfunctions.udf.CIQ($B$1,$C7,M$1,$C$1,$F$1,$C$2,$E$1)</f>
        <v>46673</v>
      </c>
      <c r="G7" s="717">
        <f>_xll.ciqfunctions.udf.CIQ($B$1,$C7,N$1,$C$1,$F$1,$C$2,$E$1)</f>
        <v>58461</v>
      </c>
      <c r="H7" s="717">
        <f>_xll.ciqfunctions.udf.CIQ($B$1,$C7,O$1,$C$1,$F$1,$C$2,$E$1)</f>
        <v>73129</v>
      </c>
      <c r="I7" s="717">
        <f>_xll.ciqfunctions.udf.CIQ($B$1,$C7,P$1,$C$1,$F$1,$C$2,$E$1)</f>
        <v>63640</v>
      </c>
      <c r="J7" s="717">
        <f>_xll.ciqfunctions.udf.CIQ($B$1,$C7,Q$1,$C$1,$F$1,$C$2,$E$1)</f>
        <v>58418</v>
      </c>
      <c r="T7" s="1142">
        <f>DATE(YEAR(T6)+1,MONTH(T6),DAY(T6))</f>
        <v>45322</v>
      </c>
      <c r="U7" s="19" t="s">
        <v>566</v>
      </c>
      <c r="V7" s="19"/>
      <c r="W7" s="1143">
        <f>_xll.ciqfunctions.udf.CIQ($B$1, $U7, $Q$1, $C$1, $F$1, , $E$1)</f>
        <v>4615.7954900000004</v>
      </c>
    </row>
    <row r="8" spans="1:28" x14ac:dyDescent="0.2">
      <c r="B8" s="1347" t="s">
        <v>565</v>
      </c>
      <c r="C8" s="675" t="s">
        <v>621</v>
      </c>
      <c r="D8" s="1126">
        <f>_xll.ciqfunctions.udf.CIQ($B$1,$C8,K$1,$C$1,$F$1,$C$2,$E$1)</f>
        <v>80546</v>
      </c>
      <c r="E8" s="1126">
        <f>_xll.ciqfunctions.udf.CIQ($B$1,$C8,L$1,$C$1,$F$1,$C$2,$E$1)</f>
        <v>77798</v>
      </c>
      <c r="F8" s="717">
        <f>_xll.ciqfunctions.udf.CIQ($B$1,$C8,M$1,$C$1,$F$1,$C$2,$E$1)</f>
        <v>77869</v>
      </c>
      <c r="G8" s="717">
        <f>_xll.ciqfunctions.udf.CIQ($B$1,$C8,N$1,$C$1,$F$1,$C$2,$E$1)</f>
        <v>72496</v>
      </c>
      <c r="H8" s="717">
        <f>_xll.ciqfunctions.udf.CIQ($B$1,$C8,O$1,$C$1,$F$1,$C$2,$E$1)</f>
        <v>74669</v>
      </c>
      <c r="I8" s="717">
        <f>_xll.ciqfunctions.udf.CIQ($B$1,$C8,P$1,$C$1,$F$1,$C$2,$E$1)</f>
        <v>80925</v>
      </c>
      <c r="J8" s="717">
        <f>_xll.ciqfunctions.udf.CIQ($B$1,$C8,Q$1,$C$1,$F$1,$C$2,$E$1)</f>
        <v>83253</v>
      </c>
      <c r="T8" s="1142">
        <f>DATE(YEAR(T7)+1,MONTH(T7),DAY(T7))</f>
        <v>45688</v>
      </c>
      <c r="U8" s="19" t="s">
        <v>564</v>
      </c>
      <c r="V8" s="19"/>
      <c r="W8" s="1143">
        <f>_xll.ciqfunctions.udf.CIQ($B$1, $U8, $Q$1, $C$1, $F$1, , $E$1)</f>
        <v>3919.6474699999999</v>
      </c>
    </row>
    <row r="9" spans="1:28" x14ac:dyDescent="0.2">
      <c r="B9" s="1360" t="s">
        <v>563</v>
      </c>
      <c r="C9" s="1127" t="s">
        <v>618</v>
      </c>
      <c r="D9" s="1128">
        <f>SUM(D7:D8)</f>
        <v>131318</v>
      </c>
      <c r="E9" s="1128">
        <f t="shared" ref="E9:J9" si="0">SUM(E7:E8)</f>
        <v>124366</v>
      </c>
      <c r="F9" s="1128">
        <f t="shared" si="0"/>
        <v>124542</v>
      </c>
      <c r="G9" s="1128">
        <f t="shared" si="0"/>
        <v>130957</v>
      </c>
      <c r="H9" s="1128">
        <f t="shared" si="0"/>
        <v>147798</v>
      </c>
      <c r="I9" s="1128">
        <f t="shared" si="0"/>
        <v>144565</v>
      </c>
      <c r="J9" s="1128">
        <f t="shared" si="0"/>
        <v>141671</v>
      </c>
      <c r="T9" s="1142">
        <f>DATE(YEAR(T8)+1,MONTH(T8),DAY(T8))</f>
        <v>46053</v>
      </c>
      <c r="U9" s="19" t="s">
        <v>562</v>
      </c>
      <c r="V9" s="19"/>
      <c r="W9" s="1143">
        <f>_xll.ciqfunctions.udf.CIQ($B$1, $U9, $Q$1, $C$1, $F$1, , $E$1)</f>
        <v>1179.1429599999999</v>
      </c>
    </row>
    <row r="10" spans="1:28" x14ac:dyDescent="0.2">
      <c r="B10" s="520"/>
      <c r="E10" s="406"/>
      <c r="F10" s="406"/>
      <c r="G10" s="406"/>
      <c r="H10" s="406"/>
      <c r="I10" s="406"/>
      <c r="J10" s="406"/>
      <c r="T10" s="1142">
        <f>DATE(YEAR(T9)+1,MONTH(T9),DAY(T9))</f>
        <v>46418</v>
      </c>
      <c r="U10" s="19" t="s">
        <v>561</v>
      </c>
      <c r="V10" s="19"/>
      <c r="W10" s="1143">
        <f>_xll.ciqfunctions.udf.CIQ($B$1, $U10, $Q$1, $C$1, $F$1, , $E$1)</f>
        <v>3036.7710000000002</v>
      </c>
    </row>
    <row r="11" spans="1:28" s="681" customFormat="1" ht="15" customHeight="1" x14ac:dyDescent="0.2">
      <c r="B11" s="1415" t="s">
        <v>559</v>
      </c>
      <c r="C11" s="1419"/>
      <c r="D11" s="1499" t="s">
        <v>520</v>
      </c>
      <c r="E11" s="1500"/>
      <c r="F11" s="1500"/>
      <c r="G11" s="1500"/>
      <c r="H11" s="1500"/>
      <c r="I11" s="1500"/>
      <c r="J11" s="1501"/>
      <c r="M11" s="405"/>
      <c r="N11" s="405"/>
      <c r="O11" s="405"/>
      <c r="P11" s="405"/>
      <c r="Q11" s="405"/>
      <c r="R11" s="405"/>
      <c r="T11" s="1141" t="str">
        <f>+"Beyond"&amp;" "&amp;TEXT(T10,"mmm yyyy")</f>
        <v>Beyond Jan 2027</v>
      </c>
      <c r="U11" s="19" t="s">
        <v>560</v>
      </c>
      <c r="V11" s="19"/>
      <c r="W11" s="19">
        <f>_xll.ciqfunctions.udf.CIQ($B$1, $U11, $Q$1, $C$1, $F$1, , $E$1)</f>
        <v>26355.643090000001</v>
      </c>
    </row>
    <row r="12" spans="1:28" x14ac:dyDescent="0.2">
      <c r="B12" s="1357" t="str">
        <f>+B6</f>
        <v>USD million</v>
      </c>
      <c r="C12" s="1300"/>
      <c r="D12" s="1301" t="str">
        <f>TEXT(_xll.ciqfunctions.udf.CIQ($B$1,"IQ_PERIODDATE_BS",K$1,$C$1,,$C$2),"mmm yyyy")</f>
        <v>Jan 2016</v>
      </c>
      <c r="E12" s="1445" t="str">
        <f>TEXT(_xll.ciqfunctions.udf.CIQ($B$1,"IQ_PERIODDATE_BS",L$1,$C$1,,$C$2),"mmm yyyy")</f>
        <v>Jan 2017</v>
      </c>
      <c r="F12" s="1445" t="str">
        <f>TEXT(_xll.ciqfunctions.udf.CIQ($B$1,"IQ_PERIODDATE_BS",M$1,$C$1,,$C$2),"mmm yyyy")</f>
        <v>Jan 2018</v>
      </c>
      <c r="G12" s="1445" t="str">
        <f>TEXT(_xll.ciqfunctions.udf.CIQ($B$1,"IQ_PERIODDATE_BS",N$1,$C$1,,$C$2),"mmm yyyy")</f>
        <v>Jan 2019</v>
      </c>
      <c r="H12" s="1445" t="str">
        <f>TEXT(_xll.ciqfunctions.udf.CIQ($B$1,"IQ_PERIODDATE_BS",O$1,$C$1,,$C$2),"mmm yyyy")</f>
        <v>Jan 2020</v>
      </c>
      <c r="I12" s="1445" t="str">
        <f>TEXT(_xll.ciqfunctions.udf.CIQ($B$1,"IQ_PERIODDATE_BS",P$1,$C$1,,$C$2),"mmm yyyy")</f>
        <v>Jan 2021</v>
      </c>
      <c r="J12" s="1445" t="str">
        <f>TEXT(_xll.ciqfunctions.udf.CIQ($B$1,"IQ_PERIODDATE_BS",Q$1,$C$1,,$C$2),"mmm yyyy")</f>
        <v>Jan 2022</v>
      </c>
    </row>
    <row r="13" spans="1:28" x14ac:dyDescent="0.2">
      <c r="B13" s="1347" t="s">
        <v>558</v>
      </c>
      <c r="C13" s="675" t="s">
        <v>557</v>
      </c>
      <c r="D13" s="1129">
        <f>IFERROR(_xll.ciqfunctions.udf.CIQ($B$1, $C13, K$1, $C$1, $F$1, , $E$1),"NA")</f>
        <v>0</v>
      </c>
      <c r="E13" s="717">
        <f>IFERROR(_xll.ciqfunctions.udf.CIQ($B$1, $C13, L$1, $C$1, $F$1, , $E$1),"NA")</f>
        <v>0</v>
      </c>
      <c r="F13" s="717">
        <f>IFERROR(_xll.ciqfunctions.udf.CIQ($B$1, $C13, M$1, $C$1, $F$1, , $E$1),"NA")</f>
        <v>0</v>
      </c>
      <c r="G13" s="717">
        <f>IFERROR(_xll.ciqfunctions.udf.CIQ($B$1, $C13, N$1, $C$1, $F$1, , $E$1),"NA")</f>
        <v>0</v>
      </c>
      <c r="H13" s="717">
        <f>IFERROR(_xll.ciqfunctions.udf.CIQ($B$1, $C13, O$1, $C$1, $F$1, , $E$1),"NA")</f>
        <v>0</v>
      </c>
      <c r="I13" s="717">
        <f>IFERROR(_xll.ciqfunctions.udf.CIQ($B$1, $C13, P$1, $C$1, $F$1, , $E$1),"NA")</f>
        <v>0</v>
      </c>
      <c r="J13" s="717">
        <f>IFERROR(_xll.ciqfunctions.udf.CIQ($B$1, $C13, Q$1, $C$1, $F$1, , $E$1),"NA")</f>
        <v>0</v>
      </c>
    </row>
    <row r="14" spans="1:28" ht="15" x14ac:dyDescent="0.2">
      <c r="B14" s="1347" t="s">
        <v>555</v>
      </c>
      <c r="C14" s="675" t="s">
        <v>554</v>
      </c>
      <c r="D14" s="1129">
        <f>IFERROR(_xll.ciqfunctions.udf.CIQ($B$1, $C14, K$1, $C$1, $F$1, , $E$1),"NA")</f>
        <v>40833.221129999998</v>
      </c>
      <c r="E14" s="717">
        <f>IFERROR(_xll.ciqfunctions.udf.CIQ($B$1, $C14, L$1, $C$1, $F$1, , $E$1),"NA")</f>
        <v>38670.436809999999</v>
      </c>
      <c r="F14" s="717">
        <f>IFERROR(_xll.ciqfunctions.udf.CIQ($B$1, $C14, M$1, $C$1, $F$1, , $E$1),"NA")</f>
        <v>33760.83971</v>
      </c>
      <c r="G14" s="717">
        <f>IFERROR(_xll.ciqfunctions.udf.CIQ($B$1, $C14, N$1, $C$1, $F$1, , $E$1),"NA")</f>
        <v>46774.191050000001</v>
      </c>
      <c r="H14" s="717">
        <f>IFERROR(_xll.ciqfunctions.udf.CIQ($B$1, $C14, O$1, $C$1, $F$1, , $E$1),"NA")</f>
        <v>49804.442159999999</v>
      </c>
      <c r="I14" s="717">
        <f>IFERROR(_xll.ciqfunctions.udf.CIQ($B$1, $C14, P$1, $C$1, $F$1, , $E$1),"NA")</f>
        <v>44757.976289999999</v>
      </c>
      <c r="J14" s="717">
        <f>IFERROR(_xll.ciqfunctions.udf.CIQ($B$1, $C14, Q$1, $C$1, $F$1, , $E$1),"NA")</f>
        <v>39220.984519999998</v>
      </c>
      <c r="T14" s="1415" t="s">
        <v>556</v>
      </c>
      <c r="U14" s="1416"/>
      <c r="V14" s="1416"/>
      <c r="W14" s="1417"/>
      <c r="X14" s="1417" t="s">
        <v>520</v>
      </c>
      <c r="Y14" s="1417"/>
      <c r="Z14" s="1417"/>
      <c r="AA14" s="1417"/>
      <c r="AB14" s="1418"/>
    </row>
    <row r="15" spans="1:28" x14ac:dyDescent="0.2">
      <c r="B15" s="1347" t="s">
        <v>553</v>
      </c>
      <c r="C15" s="675" t="s">
        <v>552</v>
      </c>
      <c r="D15" s="1129">
        <f>IFERROR(_xll.ciqfunctions.udf.CIQ($B$1, $C15, K$1, $C$1, $F$1, , $E$1),"NA")</f>
        <v>0</v>
      </c>
      <c r="E15" s="717">
        <f>IFERROR(_xll.ciqfunctions.udf.CIQ($B$1, $C15, L$1, $C$1, $F$1, , $E$1),"NA")</f>
        <v>0</v>
      </c>
      <c r="F15" s="717">
        <f>IFERROR(_xll.ciqfunctions.udf.CIQ($B$1, $C15, M$1, $C$1, $F$1, , $E$1),"NA")</f>
        <v>0</v>
      </c>
      <c r="G15" s="717">
        <f>IFERROR(_xll.ciqfunctions.udf.CIQ($B$1, $C15, N$1, $C$1, $F$1, , $E$1),"NA")</f>
        <v>200</v>
      </c>
      <c r="H15" s="717">
        <f>IFERROR(_xll.ciqfunctions.udf.CIQ($B$1, $C15, O$1, $C$1, $F$1, , $E$1),"NA")</f>
        <v>0</v>
      </c>
      <c r="I15" s="717">
        <f>IFERROR(_xll.ciqfunctions.udf.CIQ($B$1, $C15, P$1, $C$1, $F$1, , $E$1),"NA")</f>
        <v>0</v>
      </c>
      <c r="J15" s="717">
        <f>IFERROR(_xll.ciqfunctions.udf.CIQ($B$1, $C15, Q$1, $C$1, $F$1, , $E$1),"NA")</f>
        <v>0</v>
      </c>
      <c r="T15" s="1302" t="str">
        <f>+B6</f>
        <v>USD million</v>
      </c>
      <c r="U15" s="1303"/>
      <c r="V15" s="1414"/>
      <c r="W15" s="1445" t="str">
        <f>TEXT(_xll.ciqfunctions.udf.CIQ($B$1,"IQ_PERIODDATE_BS",L$1,$C$1,,$C$2),"mmm yyyy")</f>
        <v>Jan 2017</v>
      </c>
      <c r="X15" s="1445" t="str">
        <f>TEXT(_xll.ciqfunctions.udf.CIQ($B$1,"IQ_PERIODDATE_BS",M$1,$C$1,,$C$2),"mmm yyyy")</f>
        <v>Jan 2018</v>
      </c>
      <c r="Y15" s="1445" t="str">
        <f>TEXT(_xll.ciqfunctions.udf.CIQ($B$1,"IQ_PERIODDATE_BS",N$1,$C$1,,$C$2),"mmm yyyy")</f>
        <v>Jan 2019</v>
      </c>
      <c r="Z15" s="1445" t="str">
        <f>TEXT(_xll.ciqfunctions.udf.CIQ($B$1,"IQ_PERIODDATE_BS",O$1,$C$1,,$C$2),"mmm yyyy")</f>
        <v>Jan 2020</v>
      </c>
      <c r="AA15" s="1445" t="str">
        <f>TEXT(_xll.ciqfunctions.udf.CIQ($B$1,"IQ_PERIODDATE_BS",P$1,$C$1,,$C$2),"mmm yyyy")</f>
        <v>Jan 2021</v>
      </c>
      <c r="AB15" s="1445" t="str">
        <f>TEXT(_xll.ciqfunctions.udf.CIQ($B$1,"IQ_PERIODDATE_BS",Q$1,$C$1,,$C$2),"mmm yyyy")</f>
        <v>Jan 2022</v>
      </c>
    </row>
    <row r="16" spans="1:28" x14ac:dyDescent="0.2">
      <c r="B16" s="1347" t="s">
        <v>550</v>
      </c>
      <c r="C16" s="675" t="s">
        <v>549</v>
      </c>
      <c r="D16" s="1129">
        <f>IFERROR(_xll.ciqfunctions.udf.CIQ($B$1, $C16, K$1, $C$1, $F$1, , $E$1),"NA")</f>
        <v>6367</v>
      </c>
      <c r="E16" s="717">
        <f>IFERROR(_xll.ciqfunctions.udf.CIQ($B$1, $C16, L$1, $C$1, $F$1, , $E$1),"NA")</f>
        <v>6568</v>
      </c>
      <c r="F16" s="717">
        <f>IFERROR(_xll.ciqfunctions.udf.CIQ($B$1, $C16, M$1, $C$1, $F$1, , $E$1),"NA")</f>
        <v>7447</v>
      </c>
      <c r="G16" s="717">
        <f>IFERROR(_xll.ciqfunctions.udf.CIQ($B$1, $C16, N$1, $C$1, $F$1, , $E$1),"NA")</f>
        <v>7412</v>
      </c>
      <c r="H16" s="717">
        <f>IFERROR(_xll.ciqfunctions.udf.CIQ($B$1, $C16, O$1, $C$1, $F$1, , $E$1),"NA")</f>
        <v>22782</v>
      </c>
      <c r="I16" s="717">
        <f>IFERROR(_xll.ciqfunctions.udf.CIQ($B$1, $C16, P$1, $C$1, $F$1, , $E$1),"NA")</f>
        <v>18713</v>
      </c>
      <c r="J16" s="717">
        <f>IFERROR(_xll.ciqfunctions.udf.CIQ($B$1, $C16, Q$1, $C$1, $F$1, , $E$1),"NA")</f>
        <v>19246</v>
      </c>
      <c r="T16" s="1144" t="s">
        <v>551</v>
      </c>
      <c r="U16" s="1145"/>
      <c r="V16" s="1146" t="s">
        <v>623</v>
      </c>
      <c r="W16" s="1147">
        <f>IFERROR(_xll.ciqfunctions.udf.CIQ($B$1,$V16,L$1,$C$1,$F$1,$C$2,$E$1),"NA")</f>
        <v>6867</v>
      </c>
      <c r="X16" s="1148">
        <f>IFERROR(_xll.ciqfunctions.udf.CIQ($B$1,$V16,M$1,$C$1,$F$1,$C$2,$E$1),"NA")</f>
        <v>6756</v>
      </c>
      <c r="Y16" s="1148">
        <f>IFERROR(_xll.ciqfunctions.udf.CIQ($B$1,$V16,N$1,$C$1,$F$1,$C$2,$E$1),"NA")</f>
        <v>7722</v>
      </c>
      <c r="Z16" s="1148">
        <f>IFERROR(_xll.ciqfunctions.udf.CIQ($B$1,$V16,O$1,$C$1,$F$1,$C$2,$E$1),"NA")</f>
        <v>9465</v>
      </c>
      <c r="AA16" s="1148">
        <f>IFERROR(_xll.ciqfunctions.udf.CIQ($B$1,$V16,P$1,$C$1,$F$1,$C$2,$E$1),"NA")</f>
        <v>17741</v>
      </c>
      <c r="AB16" s="1148">
        <f>IFERROR(_xll.ciqfunctions.udf.CIQ($B$1,$V16,Q$1,$C$1,$F$1,$C$2,$E$1),"NA")</f>
        <v>14760</v>
      </c>
    </row>
    <row r="17" spans="2:28" x14ac:dyDescent="0.2">
      <c r="B17" s="1361" t="s">
        <v>540</v>
      </c>
      <c r="C17" s="1130" t="s">
        <v>547</v>
      </c>
      <c r="D17" s="1131">
        <f t="shared" ref="D17" si="1">IF(SUM(D13:D16)&gt;D18,SUM(D13:D16)-D18,IF(D18&gt;SUM(D13:D16),D18-SUM(D13:D16),0))</f>
        <v>3571.7788700000019</v>
      </c>
      <c r="E17" s="980">
        <f t="shared" ref="E17:J17" si="2">IFERROR(IF(SUM(E13:E16)&gt;E18,SUM(E13:E16)-E18,IF(E18&gt;SUM(E13:E16),E18-SUM(E13:E16),0)),"NA")</f>
        <v>1329.5631900000008</v>
      </c>
      <c r="F17" s="980">
        <f t="shared" si="2"/>
        <v>5465.1602899999998</v>
      </c>
      <c r="G17" s="980">
        <f t="shared" si="2"/>
        <v>4074.8089499999987</v>
      </c>
      <c r="H17" s="980">
        <f t="shared" si="2"/>
        <v>542.55783999999403</v>
      </c>
      <c r="I17" s="980">
        <f t="shared" si="2"/>
        <v>169.0237100000013</v>
      </c>
      <c r="J17" s="1132">
        <f t="shared" si="2"/>
        <v>48.984519999998156</v>
      </c>
      <c r="T17" s="1149" t="s">
        <v>548</v>
      </c>
      <c r="U17" s="1150"/>
      <c r="V17" s="1151"/>
      <c r="W17" s="1152">
        <f>IFERROR((W16-_xll.ciqfunctions.udf.CIQ($B$1,$V16,K$1,$C$1,$F$1,$C$2,$E$1))/ABS(_xll.ciqfunctions.udf.CIQ($B$1,$V16,K$1,$C$1,$F$1,$C$2,$E$1)), "NM")</f>
        <v>-0.21114302125215392</v>
      </c>
      <c r="X17" s="1152">
        <f>+IFERROR(IF(X16&gt;W16,ABS((X16-W16)/W16),-ABS((X16-W16)/W16)),"NM")</f>
        <v>-1.616426387068589E-2</v>
      </c>
      <c r="Y17" s="1152">
        <f>+IFERROR(IF(Y16&gt;X16,ABS((Y16-X16)/X16),-ABS((Y16-X16)/X16)),"NM")</f>
        <v>0.14298401420959148</v>
      </c>
      <c r="Z17" s="1152">
        <f>+IFERROR(IF(Z16&gt;Y16,ABS((Z16-Y16)/Y16),-ABS((Z16-Y16)/Y16)),"NM")</f>
        <v>0.22571872571872573</v>
      </c>
      <c r="AA17" s="1152">
        <f>+IFERROR(IF(AA16&gt;Z16,ABS((AA16-Z16)/Z16),-ABS((AA16-Z16)/Z16)),"NM")</f>
        <v>0.87437929212889598</v>
      </c>
      <c r="AB17" s="1152">
        <f>+IFERROR(IF(AB16&gt;AA16,ABS((AB16-AA16)/AA16),-ABS((AB16-AA16)/AA16)),"NM")</f>
        <v>-0.16802885970351164</v>
      </c>
    </row>
    <row r="18" spans="2:28" x14ac:dyDescent="0.2">
      <c r="B18" s="1362" t="s">
        <v>546</v>
      </c>
      <c r="C18" s="675"/>
      <c r="D18" s="1133">
        <f t="shared" ref="D18:J18" si="3">+D7</f>
        <v>50772</v>
      </c>
      <c r="E18" s="660">
        <f t="shared" si="3"/>
        <v>46568</v>
      </c>
      <c r="F18" s="660">
        <f t="shared" si="3"/>
        <v>46673</v>
      </c>
      <c r="G18" s="660">
        <f t="shared" si="3"/>
        <v>58461</v>
      </c>
      <c r="H18" s="660">
        <f t="shared" si="3"/>
        <v>73129</v>
      </c>
      <c r="I18" s="660">
        <f t="shared" si="3"/>
        <v>63640</v>
      </c>
      <c r="J18" s="660">
        <f t="shared" si="3"/>
        <v>58418</v>
      </c>
    </row>
    <row r="19" spans="2:28" x14ac:dyDescent="0.2">
      <c r="B19" s="1363" t="s">
        <v>545</v>
      </c>
      <c r="C19" s="1134" t="s">
        <v>544</v>
      </c>
      <c r="D19" s="1135">
        <f>_xll.ciqfunctions.udf.CIQ($B$1, $C19, K$1, $C$1, $F$1, , $E$1)</f>
        <v>12292</v>
      </c>
      <c r="E19" s="717">
        <f>_xll.ciqfunctions.udf.CIQ($B$1, $C19, L$1, $C$1, $F$1, , $E$1)</f>
        <v>11401</v>
      </c>
      <c r="F19" s="717">
        <f>IFERROR(_xll.ciqfunctions.udf.CIQ($B$1, $C19, M$1, $C$1, $F$1, , $E$1),"NA")</f>
        <v>11543</v>
      </c>
      <c r="G19" s="717">
        <f>IFERROR(_xll.ciqfunctions.udf.CIQ($B$1, $C19, N$1, $C$1, $F$1, , $E$1),"NA")</f>
        <v>12975</v>
      </c>
      <c r="H19" s="717">
        <f>IFERROR(_xll.ciqfunctions.udf.CIQ($B$1, $C19, O$1, $C$1, $F$1, , $E$1),"NA")</f>
        <v>15200</v>
      </c>
      <c r="I19" s="717">
        <f>IFERROR(_xll.ciqfunctions.udf.CIQ($B$1, $C19, P$1, $C$1, $F$1, , $E$1),"NA")</f>
        <v>15000</v>
      </c>
      <c r="J19" s="717">
        <f>IFERROR(_xll.ciqfunctions.udf.CIQ($B$1, $C19, Q$1, $C$1, $F$1, , $E$1),"NA")</f>
        <v>15100</v>
      </c>
    </row>
    <row r="20" spans="2:28" x14ac:dyDescent="0.2">
      <c r="E20" s="406"/>
      <c r="F20" s="406"/>
      <c r="G20" s="406"/>
      <c r="H20" s="406"/>
      <c r="I20" s="406"/>
      <c r="J20" s="406"/>
    </row>
    <row r="21" spans="2:28" s="681" customFormat="1" ht="15" customHeight="1" x14ac:dyDescent="0.2">
      <c r="B21" s="1415" t="s">
        <v>543</v>
      </c>
      <c r="C21" s="1420"/>
      <c r="D21" s="1499" t="s">
        <v>520</v>
      </c>
      <c r="E21" s="1500"/>
      <c r="F21" s="1500"/>
      <c r="G21" s="1500"/>
      <c r="H21" s="1500"/>
      <c r="I21" s="1500"/>
      <c r="J21" s="1501"/>
      <c r="M21" s="405"/>
      <c r="N21" s="405"/>
      <c r="O21" s="405"/>
      <c r="P21" s="405"/>
      <c r="Q21" s="405"/>
      <c r="R21" s="405"/>
      <c r="T21" s="411"/>
    </row>
    <row r="22" spans="2:28" x14ac:dyDescent="0.2">
      <c r="B22" s="1357" t="str">
        <f>+B6</f>
        <v>USD million</v>
      </c>
      <c r="C22" s="1300"/>
      <c r="D22" s="1301" t="str">
        <f>TEXT(_xll.ciqfunctions.udf.CIQ($B$1,"IQ_PERIODDATE_BS",K$1,$C$1,,$C$2),"mmm yyyy")</f>
        <v>Jan 2016</v>
      </c>
      <c r="E22" s="1445" t="str">
        <f>TEXT(_xll.ciqfunctions.udf.CIQ($B$1,"IQ_PERIODDATE_BS",L$1,$C$1,,$C$2),"mmm yyyy")</f>
        <v>Jan 2017</v>
      </c>
      <c r="F22" s="1445" t="str">
        <f>TEXT(_xll.ciqfunctions.udf.CIQ($B$1,"IQ_PERIODDATE_BS",M$1,$C$1,,$C$2),"mmm yyyy")</f>
        <v>Jan 2018</v>
      </c>
      <c r="G22" s="1445" t="str">
        <f>TEXT(_xll.ciqfunctions.udf.CIQ($B$1,"IQ_PERIODDATE_BS",N$1,$C$1,,$C$2),"mmm yyyy")</f>
        <v>Jan 2019</v>
      </c>
      <c r="H22" s="1445" t="str">
        <f>TEXT(_xll.ciqfunctions.udf.CIQ($B$1,"IQ_PERIODDATE_BS",O$1,$C$1,,$C$2),"mmm yyyy")</f>
        <v>Jan 2020</v>
      </c>
      <c r="I22" s="1445" t="str">
        <f>TEXT(_xll.ciqfunctions.udf.CIQ($B$1,"IQ_PERIODDATE_BS",P$1,$C$1,,$C$2),"mmm yyyy")</f>
        <v>Jan 2021</v>
      </c>
      <c r="J22" s="1445" t="str">
        <f>TEXT(_xll.ciqfunctions.udf.CIQ($B$1,"IQ_PERIODDATE_BS",Q$1,$C$1,,$C$2),"mmm yyyy")</f>
        <v>Jan 2022</v>
      </c>
    </row>
    <row r="23" spans="2:28" x14ac:dyDescent="0.2">
      <c r="B23" s="1347" t="s">
        <v>542</v>
      </c>
      <c r="C23" s="675" t="str">
        <f>"IQ_SECURED_DEBT"</f>
        <v>IQ_SECURED_DEBT</v>
      </c>
      <c r="D23" s="1136">
        <f>_xll.ciqfunctions.udf.CIQ($B$1, $C23, K$1, $C$1, $F$1, , $E$1)</f>
        <v>6367</v>
      </c>
      <c r="E23" s="717">
        <f>_xll.ciqfunctions.udf.CIQ($B$1, $C23, L$1, $C$1, $F$1, , $E$1)</f>
        <v>6568</v>
      </c>
      <c r="F23" s="717">
        <f>IFERROR(_xll.ciqfunctions.udf.CIQ($B$1, $C23, M$1, $C$1, $F$1, , $E$1),"NA")</f>
        <v>7447</v>
      </c>
      <c r="G23" s="717">
        <f>IFERROR(_xll.ciqfunctions.udf.CIQ($B$1, $C23, N$1, $C$1, $F$1, , $E$1),"NA")</f>
        <v>7412</v>
      </c>
      <c r="H23" s="717">
        <f>IFERROR(_xll.ciqfunctions.udf.CIQ($B$1, $C23, O$1, $C$1, $F$1, , $E$1),"NA")</f>
        <v>22782</v>
      </c>
      <c r="I23" s="717">
        <f>IFERROR(_xll.ciqfunctions.udf.CIQ($B$1, $C23, P$1, $C$1, $F$1, , $E$1),"NA")</f>
        <v>18713</v>
      </c>
      <c r="J23" s="717">
        <f>IFERROR(_xll.ciqfunctions.udf.CIQ($B$1, $C23, Q$1, $C$1, $F$1, , $E$1),"NA")</f>
        <v>19246</v>
      </c>
    </row>
    <row r="24" spans="2:28" x14ac:dyDescent="0.2">
      <c r="B24" s="1347" t="s">
        <v>541</v>
      </c>
      <c r="C24" s="675" t="str">
        <f>"IQ_UNSECURED_DEBT"</f>
        <v>IQ_UNSECURED_DEBT</v>
      </c>
      <c r="D24" s="1136">
        <f>_xll.ciqfunctions.udf.CIQ($B$1, $C24, K$1, $C$1, $F$1, , $E$1)</f>
        <v>43666.99985</v>
      </c>
      <c r="E24" s="717">
        <f>_xll.ciqfunctions.udf.CIQ($B$1, $C24, L$1, $C$1, $F$1, , $E$1)</f>
        <v>39769.436809999999</v>
      </c>
      <c r="F24" s="717">
        <f>IFERROR(_xll.ciqfunctions.udf.CIQ($B$1, $C24, M$1, $C$1, $F$1, , $E$1),"NA")</f>
        <v>39039.999689999997</v>
      </c>
      <c r="G24" s="717">
        <f>IFERROR(_xll.ciqfunctions.udf.CIQ($B$1, $C24, N$1, $C$1, $F$1, , $E$1),"NA")</f>
        <v>51999.191050000001</v>
      </c>
      <c r="H24" s="717">
        <f>IFERROR(_xll.ciqfunctions.udf.CIQ($B$1, $C24, O$1, $C$1, $F$1, , $E$1),"NA")</f>
        <v>50379.442159999999</v>
      </c>
      <c r="I24" s="717">
        <f>IFERROR(_xll.ciqfunctions.udf.CIQ($B$1, $C24, P$1, $C$1, $F$1, , $E$1),"NA")</f>
        <v>44981.976289999999</v>
      </c>
      <c r="J24" s="717">
        <f>IFERROR(_xll.ciqfunctions.udf.CIQ($B$1, $C24, Q$1, $C$1, $F$1, , $E$1),"NA")</f>
        <v>39630.984519999998</v>
      </c>
    </row>
    <row r="25" spans="2:28" x14ac:dyDescent="0.2">
      <c r="B25" s="1364" t="s">
        <v>540</v>
      </c>
      <c r="C25" s="1130"/>
      <c r="D25" s="1137">
        <f>IF(SUM(D23:D24)&gt;D26,SUM(D23:D24)-D26,IF(D26&gt;SUM(D23:D24),D26-SUM(D23:D24),0))</f>
        <v>738.00014999999985</v>
      </c>
      <c r="E25" s="1132">
        <f t="shared" ref="E25:J25" si="4">IFERROR(IF(SUM(E23:E24)&gt;E26,SUM(E23:E24)-E26,IF(E26&gt;SUM(E23:E24),E26-SUM(E23:E24),0)),"NA")</f>
        <v>230.56319000000076</v>
      </c>
      <c r="F25" s="1132">
        <f t="shared" si="4"/>
        <v>186.00031000000308</v>
      </c>
      <c r="G25" s="1132">
        <f t="shared" si="4"/>
        <v>950.19105000000127</v>
      </c>
      <c r="H25" s="1132">
        <f t="shared" si="4"/>
        <v>32.44216000000597</v>
      </c>
      <c r="I25" s="1132">
        <f t="shared" si="4"/>
        <v>54.976289999998698</v>
      </c>
      <c r="J25" s="1132">
        <f t="shared" si="4"/>
        <v>458.98451999999816</v>
      </c>
      <c r="U25" s="404"/>
    </row>
    <row r="26" spans="2:28" x14ac:dyDescent="0.2">
      <c r="B26" s="1362" t="s">
        <v>539</v>
      </c>
      <c r="C26" s="675"/>
      <c r="D26" s="401">
        <f>D18</f>
        <v>50772</v>
      </c>
      <c r="E26" s="660">
        <f t="shared" ref="E26:J26" si="5">E18</f>
        <v>46568</v>
      </c>
      <c r="F26" s="660">
        <f t="shared" si="5"/>
        <v>46673</v>
      </c>
      <c r="G26" s="660">
        <f t="shared" si="5"/>
        <v>58461</v>
      </c>
      <c r="H26" s="660">
        <f t="shared" si="5"/>
        <v>73129</v>
      </c>
      <c r="I26" s="660">
        <f t="shared" si="5"/>
        <v>63640</v>
      </c>
      <c r="J26" s="660">
        <f t="shared" si="5"/>
        <v>58418</v>
      </c>
      <c r="U26" s="404"/>
    </row>
    <row r="27" spans="2:28" x14ac:dyDescent="0.2">
      <c r="V27" s="681" t="str">
        <f>"FY" &amp; _xll.ciqfunctions.udf.CIQ($B$1,"IQ_FISCAL_Y",K$1)</f>
        <v>FY2016</v>
      </c>
    </row>
    <row r="28" spans="2:28" s="681" customFormat="1" ht="15" customHeight="1" x14ac:dyDescent="0.2">
      <c r="B28" s="1415" t="s">
        <v>538</v>
      </c>
      <c r="C28" s="1420"/>
      <c r="D28" s="1499" t="s">
        <v>520</v>
      </c>
      <c r="E28" s="1500"/>
      <c r="F28" s="1500"/>
      <c r="G28" s="1500"/>
      <c r="H28" s="1500"/>
      <c r="I28" s="1500"/>
      <c r="J28" s="1501"/>
      <c r="M28" s="405"/>
      <c r="N28" s="405"/>
      <c r="O28" s="405"/>
      <c r="P28" s="405"/>
      <c r="Q28" s="405"/>
      <c r="R28" s="405"/>
      <c r="T28" s="411"/>
      <c r="V28" s="681" t="str">
        <f>"FY" &amp; _xll.ciqfunctions.udf.CIQ($B$1,"IQ_FISCAL_Y",L$1)</f>
        <v>FY2017</v>
      </c>
    </row>
    <row r="29" spans="2:28" x14ac:dyDescent="0.2">
      <c r="B29" s="1357" t="str">
        <f>+B6</f>
        <v>USD million</v>
      </c>
      <c r="C29" s="1300"/>
      <c r="D29" s="1301" t="str">
        <f>TEXT(_xll.ciqfunctions.udf.CIQ($B$1,"IQ_PERIODDATE_BS",K$1,$C$1,,$C$2),"mmm yyyy")</f>
        <v>Jan 2016</v>
      </c>
      <c r="E29" s="1445" t="str">
        <f>TEXT(_xll.ciqfunctions.udf.CIQ($B$1,"IQ_PERIODDATE_BS",L$1,$C$1,,$C$2),"mmm yyyy")</f>
        <v>Jan 2017</v>
      </c>
      <c r="F29" s="1445" t="str">
        <f>TEXT(_xll.ciqfunctions.udf.CIQ($B$1,"IQ_PERIODDATE_BS",M$1,$C$1,,$C$2),"mmm yyyy")</f>
        <v>Jan 2018</v>
      </c>
      <c r="G29" s="1445" t="str">
        <f>TEXT(_xll.ciqfunctions.udf.CIQ($B$1,"IQ_PERIODDATE_BS",N$1,$C$1,,$C$2),"mmm yyyy")</f>
        <v>Jan 2019</v>
      </c>
      <c r="H29" s="1445" t="str">
        <f>TEXT(_xll.ciqfunctions.udf.CIQ($B$1,"IQ_PERIODDATE_BS",O$1,$C$1,,$C$2),"mmm yyyy")</f>
        <v>Jan 2020</v>
      </c>
      <c r="I29" s="1445" t="str">
        <f>TEXT(_xll.ciqfunctions.udf.CIQ($B$1,"IQ_PERIODDATE_BS",P$1,$C$1,,$C$2),"mmm yyyy")</f>
        <v>Jan 2021</v>
      </c>
      <c r="J29" s="1445" t="str">
        <f>TEXT(_xll.ciqfunctions.udf.CIQ($B$1,"IQ_PERIODDATE_BS",Q$1,$C$1,,$C$2),"mmm yyyy")</f>
        <v>Jan 2022</v>
      </c>
      <c r="V29" s="681" t="str">
        <f>"FY" &amp; _xll.ciqfunctions.udf.CIQ($B$1,"IQ_FISCAL_Y",M$1)</f>
        <v>FY2018</v>
      </c>
    </row>
    <row r="30" spans="2:28" x14ac:dyDescent="0.2">
      <c r="B30" s="1342" t="s">
        <v>1002</v>
      </c>
      <c r="C30" s="675" t="s">
        <v>537</v>
      </c>
      <c r="D30" s="1138">
        <f>IFERROR(_xll.ciqfunctions.udf.CIQ($B$1,$C30,K$1,$C$1,$F$1,$C$2,$E$1),"NM")</f>
        <v>1.25352</v>
      </c>
      <c r="E30" s="1138">
        <f>IFERROR(_xll.ciqfunctions.udf.CIQ($B$1,$C30,L$1,$C$1,$F$1,$C$2,$E$1),"NM")</f>
        <v>1.2087699999999999</v>
      </c>
      <c r="F30" s="1138">
        <f>IFERROR(_xll.ciqfunctions.udf.CIQ($B$1,$C30,M$1,$C$1,$F$1,$C$2,$E$1),"NM")</f>
        <v>1.26858</v>
      </c>
      <c r="G30" s="1138">
        <f>IFERROR(_xll.ciqfunctions.udf.CIQ($B$1,$C30,N$1,$C$1,$F$1,$C$2,$E$1),"NM")</f>
        <v>1.55474</v>
      </c>
      <c r="H30" s="1138">
        <f>IFERROR(_xll.ciqfunctions.udf.CIQ($B$1,$C30,O$1,$C$1,$F$1,$C$2,$E$1),"NM")</f>
        <v>1.7775300000000001</v>
      </c>
      <c r="I30" s="1138">
        <f>IFERROR(_xll.ciqfunctions.udf.CIQ($B$1,$C30,P$1,$C$1,$F$1,$C$2,$E$1),"NM")</f>
        <v>1.10592</v>
      </c>
      <c r="J30" s="1138">
        <f>IFERROR(_xll.ciqfunctions.udf.CIQ($B$1,$C30,Q$1,$C$1,$F$1,$C$2,$E$1),"NM")</f>
        <v>1.09978</v>
      </c>
      <c r="V30" s="681" t="str">
        <f>"FY" &amp; _xll.ciqfunctions.udf.CIQ($B$1,"IQ_FISCAL_Y",N$1)</f>
        <v>FY2019</v>
      </c>
    </row>
    <row r="31" spans="2:28" x14ac:dyDescent="0.2">
      <c r="B31" s="1342" t="s">
        <v>1001</v>
      </c>
      <c r="C31" s="675" t="s">
        <v>536</v>
      </c>
      <c r="D31" s="1138">
        <f>IFERROR(_xll.ciqfunctions.udf.CIQ($B$1,$C31,K$1,$C$1,$F$1,$C$2,$E$1),"NM")</f>
        <v>1.51292</v>
      </c>
      <c r="E31" s="1138">
        <f>IFERROR(_xll.ciqfunctions.udf.CIQ($B$1,$C31,L$1,$C$1,$F$1,$C$2,$E$1),"NM")</f>
        <v>1.4178500000000001</v>
      </c>
      <c r="F31" s="1138">
        <f>IFERROR(_xll.ciqfunctions.udf.CIQ($B$1,$C31,M$1,$C$1,$F$1,$C$2,$E$1),"NM")</f>
        <v>1.4832799999999999</v>
      </c>
      <c r="G31" s="1138">
        <f>IFERROR(_xll.ciqfunctions.udf.CIQ($B$1,$C31,N$1,$C$1,$F$1,$C$2,$E$1),"NM")</f>
        <v>1.7913600000000001</v>
      </c>
      <c r="H31" s="1138">
        <f>IFERROR(_xll.ciqfunctions.udf.CIQ($B$1,$C31,O$1,$C$1,$F$1,$C$2,$E$1),"NM")</f>
        <v>2.0417999999999998</v>
      </c>
      <c r="I31" s="1138">
        <f>IFERROR(_xll.ciqfunctions.udf.CIQ($B$1,$C31,P$1,$C$1,$F$1,$C$2,$E$1),"NM")</f>
        <v>1.53338</v>
      </c>
      <c r="J31" s="1138">
        <f>IFERROR(_xll.ciqfunctions.udf.CIQ($B$1,$C31,Q$1,$C$1,$F$1,$C$2,$E$1),"NM")</f>
        <v>1.4716</v>
      </c>
      <c r="V31" s="681" t="str">
        <f>"FY" &amp; _xll.ciqfunctions.udf.CIQ($B$1,"IQ_FISCAL_Y",O$1)</f>
        <v>FY2020</v>
      </c>
    </row>
    <row r="32" spans="2:28" x14ac:dyDescent="0.2">
      <c r="B32" s="1342" t="s">
        <v>1199</v>
      </c>
      <c r="C32" s="675" t="s">
        <v>535</v>
      </c>
      <c r="D32" s="1138">
        <f>IFERROR(_xll.ciqfunctions.udf.CIQ($B$1,$C32,K$1,$C$1,$F$1,$C$2,$E$1),"NM")</f>
        <v>1.9050400000000001</v>
      </c>
      <c r="E32" s="1138">
        <f>IFERROR(_xll.ciqfunctions.udf.CIQ($B$1,$C32,L$1,$C$1,$F$1,$C$2,$E$1),"NM")</f>
        <v>1.7863199999999999</v>
      </c>
      <c r="F32" s="1138">
        <f>IFERROR(_xll.ciqfunctions.udf.CIQ($B$1,$C32,M$1,$C$1,$F$1,$C$2,$E$1),"NM")</f>
        <v>1.8639699999999999</v>
      </c>
      <c r="G32" s="1138">
        <f>IFERROR(_xll.ciqfunctions.udf.CIQ($B$1,$C32,N$1,$C$1,$F$1,$C$2,$E$1),"NM")</f>
        <v>2.2762099999999998</v>
      </c>
      <c r="H32" s="1138">
        <f>IFERROR(_xll.ciqfunctions.udf.CIQ($B$1,$C32,O$1,$C$1,$F$1,$C$2,$E$1),"NM")</f>
        <v>2.5352999999999999</v>
      </c>
      <c r="I32" s="1138">
        <f>IFERROR(_xll.ciqfunctions.udf.CIQ($B$1,$C32,P$1,$C$1,$F$1,$C$2,$E$1),"NM")</f>
        <v>1.46929</v>
      </c>
      <c r="J32" s="1138">
        <f>IFERROR(_xll.ciqfunctions.udf.CIQ($B$1,$C32,Q$1,$C$1,$F$1,$C$2,$E$1),"NM")</f>
        <v>1.6418299999999999</v>
      </c>
      <c r="V32" s="681" t="str">
        <f>"FY" &amp; _xll.ciqfunctions.udf.CIQ($B$1,"IQ_FISCAL_Y",P$1)</f>
        <v>FY2021</v>
      </c>
    </row>
    <row r="33" spans="2:22" x14ac:dyDescent="0.2">
      <c r="B33" s="1342" t="s">
        <v>1198</v>
      </c>
      <c r="C33" s="675" t="s">
        <v>534</v>
      </c>
      <c r="D33" s="1138">
        <f>IFERROR(_xll.ciqfunctions.udf.CIQ($B$1,$C33,K$1,$C$1,$F$1,$C$2,$E$1),"NM")</f>
        <v>2.2992499999999998</v>
      </c>
      <c r="E33" s="1138">
        <f>IFERROR(_xll.ciqfunctions.udf.CIQ($B$1,$C33,L$1,$C$1,$F$1,$C$2,$E$1),"NM")</f>
        <v>2.0952999999999999</v>
      </c>
      <c r="F33" s="1138">
        <f>IFERROR(_xll.ciqfunctions.udf.CIQ($B$1,$C33,M$1,$C$1,$F$1,$C$2,$E$1),"NM")</f>
        <v>2.1794500000000001</v>
      </c>
      <c r="G33" s="1138">
        <f>IFERROR(_xll.ciqfunctions.udf.CIQ($B$1,$C33,N$1,$C$1,$F$1,$C$2,$E$1),"NM")</f>
        <v>2.62263</v>
      </c>
      <c r="H33" s="1138">
        <f>IFERROR(_xll.ciqfunctions.udf.CIQ($B$1,$C33,O$1,$C$1,$F$1,$C$2,$E$1),"NM")</f>
        <v>2.9122300000000001</v>
      </c>
      <c r="I33" s="1138">
        <f>IFERROR(_xll.ciqfunctions.udf.CIQ($B$1,$C33,P$1,$C$1,$F$1,$C$2,$E$1),"NM")</f>
        <v>2.0371999999999999</v>
      </c>
      <c r="J33" s="1138">
        <f>IFERROR(_xll.ciqfunctions.udf.CIQ($B$1,$C33,Q$1,$C$1,$F$1,$C$2,$E$1),"NM")</f>
        <v>2.1969099999999999</v>
      </c>
      <c r="V33" s="681" t="str">
        <f>"FY" &amp; _xll.ciqfunctions.udf.CIQ($B$1,"IQ_FISCAL_Y",Q$1)</f>
        <v>FY2022</v>
      </c>
    </row>
    <row r="34" spans="2:22" x14ac:dyDescent="0.2">
      <c r="B34" s="1342" t="s">
        <v>960</v>
      </c>
      <c r="C34" s="675" t="s">
        <v>616</v>
      </c>
      <c r="D34" s="1139">
        <f>IFERROR(_xll.ciqfunctions.udf.CIQ($B$1,$C34,K$1,$C$1,$F$1,$C$2,$E$1)/100,"NM")</f>
        <v>0.60724</v>
      </c>
      <c r="E34" s="1139">
        <f>IFERROR(_xll.ciqfunctions.udf.CIQ($B$1,$C34,L$1,$C$1,$F$1,$C$2,$E$1)/100,"NM")</f>
        <v>0.578233</v>
      </c>
      <c r="F34" s="1139">
        <f>IFERROR(_xll.ciqfunctions.udf.CIQ($B$1,$C34,M$1,$C$1,$F$1,$C$2,$E$1)/100,"NM")</f>
        <v>0.57747799999999994</v>
      </c>
      <c r="G34" s="1139">
        <f>IFERROR(_xll.ciqfunctions.udf.CIQ($B$1,$C34,N$1,$C$1,$F$1,$C$2,$E$1)/100,"NM")</f>
        <v>0.73412099999999991</v>
      </c>
      <c r="H34" s="1139">
        <f>IFERROR(_xll.ciqfunctions.udf.CIQ($B$1,$C34,O$1,$C$1,$F$1,$C$2,$E$1)/100,"NM")</f>
        <v>0.89671599999999996</v>
      </c>
      <c r="I34" s="1139">
        <f>IFERROR(_xll.ciqfunctions.udf.CIQ($B$1,$C34,P$1,$C$1,$F$1,$C$2,$E$1)/100,"NM")</f>
        <v>0.72705600000000004</v>
      </c>
      <c r="J34" s="1139">
        <f>IFERROR(_xll.ciqfunctions.udf.CIQ($B$1,$C34,Q$1,$C$1,$F$1,$C$2,$E$1)/100,"NM")</f>
        <v>0.63573099999999994</v>
      </c>
    </row>
    <row r="35" spans="2:22" x14ac:dyDescent="0.2">
      <c r="B35" s="1353" t="s">
        <v>529</v>
      </c>
      <c r="C35" s="675" t="s">
        <v>615</v>
      </c>
      <c r="D35" s="1139">
        <f>IFERROR(_xll.ciqfunctions.udf.CIQ($B$1,$C35,K$1,$C$1,$F$1,$C$2,$E$1)/100,"NM")</f>
        <v>0.37781500000000001</v>
      </c>
      <c r="E35" s="1139">
        <f>IFERROR(_xll.ciqfunctions.udf.CIQ($B$1,$C35,L$1,$C$1,$F$1,$C$2,$E$1)/100,"NM")</f>
        <v>0.36637999999999998</v>
      </c>
      <c r="F35" s="1139">
        <f>IFERROR(_xll.ciqfunctions.udf.CIQ($B$1,$C35,M$1,$C$1,$F$1,$C$2,$E$1)/100,"NM")</f>
        <v>0.36607699999999999</v>
      </c>
      <c r="G35" s="1139">
        <f>IFERROR(_xll.ciqfunctions.udf.CIQ($B$1,$C35,N$1,$C$1,$F$1,$C$2,$E$1)/100,"NM")</f>
        <v>0.42333900000000002</v>
      </c>
      <c r="H35" s="1139">
        <f>IFERROR(_xll.ciqfunctions.udf.CIQ($B$1,$C35,O$1,$C$1,$F$1,$C$2,$E$1)/100,"NM")</f>
        <v>0.47277200000000003</v>
      </c>
      <c r="I35" s="1139">
        <f>IFERROR(_xll.ciqfunctions.udf.CIQ($B$1,$C35,P$1,$C$1,$F$1,$C$2,$E$1)/100,"NM")</f>
        <v>0.42097999999999997</v>
      </c>
      <c r="J35" s="1139">
        <f>IFERROR(_xll.ciqfunctions.udf.CIQ($B$1,$C35,Q$1,$C$1,$F$1,$C$2,$E$1)/100,"NM")</f>
        <v>0.388652</v>
      </c>
    </row>
    <row r="36" spans="2:22" x14ac:dyDescent="0.2">
      <c r="B36" s="1363" t="s">
        <v>533</v>
      </c>
      <c r="C36" s="675" t="s">
        <v>614</v>
      </c>
      <c r="D36" s="1140">
        <f>IFERROR(_xll.ciqfunctions.udf.CIQ($B$1,$C36,K$1,$C$1,$F$1,$C$2,$E$1),"NM")</f>
        <v>13.170719999999999</v>
      </c>
      <c r="E36" s="1140">
        <f>IFERROR(_xll.ciqfunctions.udf.CIQ($B$1,$C36,L$1,$C$1,$F$1,$C$2,$E$1),"NM")</f>
        <v>13.87579</v>
      </c>
      <c r="F36" s="1140">
        <f>IFERROR(_xll.ciqfunctions.udf.CIQ($B$1,$C36,M$1,$C$1,$F$1,$C$2,$E$1),"NM")</f>
        <v>13.504720000000001</v>
      </c>
      <c r="G36" s="1140">
        <f>IFERROR(_xll.ciqfunctions.udf.CIQ($B$1,$C36,N$1,$C$1,$F$1,$C$2,$E$1),"NM")</f>
        <v>13.910909999999999</v>
      </c>
      <c r="H36" s="1140">
        <f>IFERROR(_xll.ciqfunctions.udf.CIQ($B$1,$C36,O$1,$C$1,$F$1,$C$2,$E$1),"NM")</f>
        <v>13.78068</v>
      </c>
      <c r="I36" s="1140">
        <f>IFERROR(_xll.ciqfunctions.udf.CIQ($B$1,$C36,P$1,$C$1,$F$1,$C$2,$E$1),"NM")</f>
        <v>17.927859999999999</v>
      </c>
      <c r="J36" s="1140">
        <f>IFERROR(_xll.ciqfunctions.udf.CIQ($B$1,$C36,Q$1,$C$1,$F$1,$C$2,$E$1),"NM")</f>
        <v>19.90822</v>
      </c>
    </row>
    <row r="40" spans="2:22" x14ac:dyDescent="0.2">
      <c r="B40" s="876" t="s">
        <v>528</v>
      </c>
      <c r="C40" s="877"/>
      <c r="D40" s="877"/>
      <c r="E40" s="877"/>
      <c r="F40" s="877"/>
      <c r="G40" s="877"/>
      <c r="H40" s="877"/>
      <c r="I40" s="877"/>
      <c r="J40" s="877"/>
    </row>
    <row r="41" spans="2:22" x14ac:dyDescent="0.2">
      <c r="B41" s="655"/>
      <c r="C41" s="655"/>
      <c r="D41" s="655"/>
      <c r="E41" s="655"/>
      <c r="F41" s="655"/>
      <c r="G41" s="655"/>
      <c r="H41" s="655"/>
      <c r="I41" s="655"/>
      <c r="J41" s="655"/>
    </row>
    <row r="42" spans="2:22" x14ac:dyDescent="0.2">
      <c r="L42" s="403"/>
      <c r="M42" s="405"/>
      <c r="N42" s="405"/>
      <c r="O42" s="405"/>
      <c r="P42" s="405"/>
      <c r="Q42" s="405"/>
      <c r="R42" s="405"/>
    </row>
    <row r="43" spans="2:22" x14ac:dyDescent="0.2">
      <c r="K43" s="400"/>
      <c r="L43" s="703" t="s">
        <v>532</v>
      </c>
      <c r="M43" s="405"/>
      <c r="N43" s="405"/>
      <c r="O43" s="405"/>
      <c r="P43" s="405"/>
      <c r="Q43" s="405"/>
      <c r="R43" s="405"/>
    </row>
    <row r="44" spans="2:22" x14ac:dyDescent="0.2">
      <c r="K44" s="400"/>
      <c r="L44" s="400"/>
      <c r="M44" s="400"/>
      <c r="N44" s="400"/>
      <c r="O44" s="400"/>
      <c r="P44" s="400"/>
      <c r="Q44" s="400"/>
      <c r="R44" s="400"/>
    </row>
    <row r="58" spans="1:18" x14ac:dyDescent="0.2">
      <c r="B58" s="655"/>
      <c r="C58" s="655"/>
      <c r="D58" s="655"/>
      <c r="E58" s="655"/>
      <c r="F58" s="655"/>
      <c r="G58" s="655"/>
      <c r="H58" s="655"/>
      <c r="I58" s="655"/>
      <c r="J58" s="655"/>
    </row>
    <row r="59" spans="1:18" x14ac:dyDescent="0.2">
      <c r="B59" s="876" t="str">
        <f>+"Total Debt ("&amp;Input!C6&amp;" million)"&amp;" and Debt/Capital"</f>
        <v>Total Debt (USD million) and Debt/Capital</v>
      </c>
      <c r="C59" s="877"/>
      <c r="D59" s="877"/>
      <c r="E59" s="877"/>
      <c r="F59" s="877"/>
      <c r="G59" s="877"/>
      <c r="H59" s="877"/>
      <c r="I59" s="877"/>
      <c r="J59" s="877"/>
    </row>
    <row r="60" spans="1:18" x14ac:dyDescent="0.2">
      <c r="B60" s="655"/>
      <c r="C60" s="655"/>
      <c r="D60" s="655"/>
      <c r="E60" s="655"/>
      <c r="F60" s="655"/>
      <c r="G60" s="655"/>
      <c r="H60" s="655"/>
      <c r="I60" s="655"/>
      <c r="J60" s="655"/>
    </row>
    <row r="61" spans="1:18" x14ac:dyDescent="0.2">
      <c r="A61" s="400"/>
      <c r="K61" s="400"/>
      <c r="L61" s="400"/>
      <c r="M61" s="400"/>
      <c r="N61" s="400"/>
      <c r="O61" s="400"/>
      <c r="P61" s="400"/>
      <c r="Q61" s="400"/>
      <c r="R61" s="400"/>
    </row>
    <row r="62" spans="1:18" x14ac:dyDescent="0.2">
      <c r="A62" s="400"/>
      <c r="K62" s="400"/>
      <c r="L62" s="703" t="str">
        <f>+"Total Cash ("&amp;Input!C6&amp;" million)"&amp;" and Cash Growth"</f>
        <v>Total Cash (USD million) and Cash Growth</v>
      </c>
      <c r="M62" s="405"/>
      <c r="N62" s="405"/>
      <c r="O62" s="405"/>
      <c r="P62" s="405"/>
      <c r="Q62" s="405"/>
      <c r="R62" s="405"/>
    </row>
    <row r="63" spans="1:18" x14ac:dyDescent="0.2">
      <c r="A63" s="400"/>
      <c r="K63" s="400"/>
      <c r="L63" s="403"/>
      <c r="M63" s="405"/>
      <c r="N63" s="405"/>
      <c r="O63" s="405"/>
      <c r="P63" s="405"/>
      <c r="Q63" s="405"/>
      <c r="R63" s="405"/>
    </row>
  </sheetData>
  <mergeCells count="4">
    <mergeCell ref="D5:J5"/>
    <mergeCell ref="D11:J11"/>
    <mergeCell ref="D21:J21"/>
    <mergeCell ref="D28:J28"/>
  </mergeCells>
  <pageMargins left="0.7" right="0.7" top="0.75" bottom="0.75" header="0.3" footer="0.3"/>
  <pageSetup orientation="portrait" r:id="rId1"/>
  <ignoredErrors>
    <ignoredError sqref="F18:J18"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AB63"/>
  <sheetViews>
    <sheetView showGridLines="0" topLeftCell="A3" workbookViewId="0">
      <selection activeCell="E8" sqref="E8"/>
    </sheetView>
  </sheetViews>
  <sheetFormatPr defaultColWidth="9" defaultRowHeight="12.75" outlineLevelRow="1" outlineLevelCol="1" x14ac:dyDescent="0.2"/>
  <cols>
    <col min="1" max="1" width="2.625" style="399" customWidth="1"/>
    <col min="2" max="2" width="22.125" style="399" customWidth="1"/>
    <col min="3" max="3" width="25.625" style="399" hidden="1" customWidth="1" outlineLevel="1"/>
    <col min="4" max="4" width="9.625" style="399" hidden="1" customWidth="1" outlineLevel="1"/>
    <col min="5" max="5" width="7.75" style="399" bestFit="1" customWidth="1" collapsed="1"/>
    <col min="6" max="6" width="7.75" style="399" bestFit="1" customWidth="1"/>
    <col min="7" max="10" width="7.75" style="399" customWidth="1"/>
    <col min="11" max="11" width="6.25" style="399" bestFit="1" customWidth="1"/>
    <col min="12" max="19" width="9" style="399"/>
    <col min="20" max="20" width="10.625" style="399" customWidth="1"/>
    <col min="21" max="21" width="18.75" style="399" customWidth="1"/>
    <col min="22" max="22" width="9" style="399" hidden="1" customWidth="1" outlineLevel="1"/>
    <col min="23" max="23" width="9" style="399" customWidth="1" collapsed="1"/>
    <col min="24" max="16384" width="9" style="399"/>
  </cols>
  <sheetData>
    <row r="1" spans="1:28" hidden="1" outlineLevel="1" x14ac:dyDescent="0.2">
      <c r="A1" s="418"/>
      <c r="B1" s="869" t="str">
        <f>+Target</f>
        <v>NYSE:WMT</v>
      </c>
      <c r="C1" s="870">
        <f>Input!C8</f>
        <v>44645</v>
      </c>
      <c r="D1" s="871"/>
      <c r="E1" s="871" t="str">
        <f>Input!$C$6</f>
        <v>USD</v>
      </c>
      <c r="F1" s="869" t="s">
        <v>371</v>
      </c>
      <c r="G1" s="872" t="s">
        <v>525</v>
      </c>
      <c r="H1" s="872"/>
      <c r="I1" s="872" t="str">
        <f>Input!$C$6</f>
        <v>USD</v>
      </c>
      <c r="J1" s="871"/>
      <c r="K1" s="871" t="s">
        <v>578</v>
      </c>
      <c r="L1" s="871" t="s">
        <v>577</v>
      </c>
      <c r="M1" s="871" t="s">
        <v>576</v>
      </c>
      <c r="N1" s="871" t="s">
        <v>575</v>
      </c>
      <c r="O1" s="871" t="s">
        <v>574</v>
      </c>
      <c r="P1" s="871" t="s">
        <v>573</v>
      </c>
      <c r="Q1" s="871" t="s">
        <v>572</v>
      </c>
      <c r="R1" s="860"/>
      <c r="T1" s="1070" t="str">
        <f>"Debt Profile (" &amp; Input!C6 &amp; " million, as of " &amp; TEXT(I2,"mmmm yyyy") &amp; ")"</f>
        <v>Debt Profile (USD million, as of January 2022)</v>
      </c>
    </row>
    <row r="2" spans="1:28" ht="13.5" hidden="1" outlineLevel="1" thickBot="1" x14ac:dyDescent="0.25">
      <c r="B2" s="873"/>
      <c r="C2" s="873" t="s">
        <v>624</v>
      </c>
      <c r="D2" s="873"/>
      <c r="E2" s="873"/>
      <c r="F2" s="873"/>
      <c r="G2" s="873" t="s">
        <v>571</v>
      </c>
      <c r="H2" s="873"/>
      <c r="I2" s="874">
        <f>_xll.ciqfunctions.udf.CIQ($B$1,"IQ_PERIODDATE_BS",Q$1,$C$1,,$C$2)</f>
        <v>44592</v>
      </c>
      <c r="J2" s="873"/>
      <c r="K2" s="873"/>
      <c r="L2" s="873"/>
      <c r="M2" s="873"/>
      <c r="N2" s="873"/>
      <c r="O2" s="873"/>
      <c r="P2" s="873"/>
      <c r="Q2" s="873"/>
      <c r="R2" s="873"/>
      <c r="T2" s="413" t="str">
        <f>"Debt Maturity Schedule ("&amp;Input!C6&amp;" million)"</f>
        <v>Debt Maturity Schedule (USD million)</v>
      </c>
    </row>
    <row r="3" spans="1:28" s="402" customFormat="1" ht="20.100000000000001" customHeight="1" collapsed="1" x14ac:dyDescent="0.2">
      <c r="B3" s="1252" t="s">
        <v>570</v>
      </c>
      <c r="C3" s="1252"/>
      <c r="D3" s="1252"/>
      <c r="E3" s="1252"/>
      <c r="F3" s="1252"/>
      <c r="G3" s="1252"/>
      <c r="H3" s="1252"/>
      <c r="I3" s="1252"/>
      <c r="J3" s="1252"/>
      <c r="K3" s="1252"/>
      <c r="L3" s="1252"/>
      <c r="M3" s="1252"/>
      <c r="N3" s="1252"/>
      <c r="O3" s="1252"/>
      <c r="P3" s="1252"/>
      <c r="Q3" s="1252"/>
      <c r="R3" s="1275" t="str">
        <f>Input!$C$9</f>
        <v>Walmart Inc.</v>
      </c>
    </row>
    <row r="4" spans="1:28" x14ac:dyDescent="0.2">
      <c r="B4" s="412"/>
      <c r="C4" s="406"/>
      <c r="D4" s="406"/>
      <c r="E4" s="406"/>
      <c r="F4" s="406"/>
      <c r="G4" s="406"/>
      <c r="H4" s="406"/>
      <c r="I4" s="406"/>
      <c r="J4" s="406"/>
      <c r="T4" s="407" t="s">
        <v>569</v>
      </c>
    </row>
    <row r="5" spans="1:28" ht="15" x14ac:dyDescent="0.2">
      <c r="B5" s="1460" t="s">
        <v>568</v>
      </c>
      <c r="C5" s="1461"/>
      <c r="D5" s="1502" t="s">
        <v>520</v>
      </c>
      <c r="E5" s="1503"/>
      <c r="F5" s="1503"/>
      <c r="G5" s="1503"/>
      <c r="H5" s="1503"/>
      <c r="I5" s="1503"/>
      <c r="J5" s="1504"/>
      <c r="M5" s="405"/>
      <c r="N5" s="405"/>
      <c r="O5" s="405"/>
      <c r="P5" s="405"/>
      <c r="Q5" s="405"/>
      <c r="R5" s="405"/>
      <c r="T5" s="411"/>
    </row>
    <row r="6" spans="1:28" x14ac:dyDescent="0.2">
      <c r="B6" s="1371" t="str">
        <f>Input!$C$6&amp;" million"</f>
        <v>USD million</v>
      </c>
      <c r="C6" s="1373"/>
      <c r="D6" s="1372" t="str">
        <f>TEXT(_xll.ciqfunctions.udf.CIQ($B$1,"IQ_PERIODDATE_BS",K$1,$C$1,,$C$2),"mmm yyyy")</f>
        <v>Jan 2016</v>
      </c>
      <c r="E6" s="1468" t="str">
        <f>TEXT(_xll.ciqfunctions.udf.CIQ($B$1,"IQ_PERIODDATE_BS",L$1,$C$1,,$C$2),"mmm yyyy")</f>
        <v>Jan 2017</v>
      </c>
      <c r="F6" s="1468" t="str">
        <f>TEXT(_xll.ciqfunctions.udf.CIQ($B$1,"IQ_PERIODDATE_BS",M$1,$C$1,,$C$2),"mmm yyyy")</f>
        <v>Jan 2018</v>
      </c>
      <c r="G6" s="1468" t="str">
        <f>TEXT(_xll.ciqfunctions.udf.CIQ($B$1,"IQ_PERIODDATE_BS",N$1,$C$1,,$C$2),"mmm yyyy")</f>
        <v>Jan 2019</v>
      </c>
      <c r="H6" s="1468" t="str">
        <f>TEXT(_xll.ciqfunctions.udf.CIQ($B$1,"IQ_PERIODDATE_BS",O$1,$C$1,,$C$2),"mmm yyyy")</f>
        <v>Jan 2020</v>
      </c>
      <c r="I6" s="1468" t="str">
        <f>TEXT(_xll.ciqfunctions.udf.CIQ($B$1,"IQ_PERIODDATE_BS",P$1,$C$1,,$C$2),"mmm yyyy")</f>
        <v>Jan 2021</v>
      </c>
      <c r="J6" s="1468" t="str">
        <f>TEXT(_xll.ciqfunctions.udf.CIQ($B$1,"IQ_PERIODDATE_BS",Q$1,$C$1,,$C$2),"mmm yyyy")</f>
        <v>Jan 2022</v>
      </c>
      <c r="T6" s="410">
        <f>DATE(YEAR(I2)+1,MONTH(I2),DAY(I2))</f>
        <v>44957</v>
      </c>
      <c r="U6" s="399" t="s">
        <v>567</v>
      </c>
      <c r="W6" s="408">
        <f>_xll.ciqfunctions.udf.CIQ($B$1, $U6, $Q$1, $C$1, $F$1, , $E$1)</f>
        <v>3314</v>
      </c>
    </row>
    <row r="7" spans="1:28" x14ac:dyDescent="0.2">
      <c r="B7" s="1347" t="s">
        <v>546</v>
      </c>
      <c r="C7" s="675" t="s">
        <v>619</v>
      </c>
      <c r="D7" s="1126">
        <f>_xll.ciqfunctions.udf.CIQ($B$1,$C7,K$1,$C$1,$F$1,$C$2,$E$1)</f>
        <v>50772</v>
      </c>
      <c r="E7" s="717">
        <f>_xll.ciqfunctions.udf.CIQ($B$1,$C7,L$1,$C$1,$F$1,$C$2,$E$1)</f>
        <v>46568</v>
      </c>
      <c r="F7" s="717">
        <f>_xll.ciqfunctions.udf.CIQ($B$1,$C7,M$1,$C$1,$F$1,$C$2,$E$1)</f>
        <v>46673</v>
      </c>
      <c r="G7" s="717">
        <f>_xll.ciqfunctions.udf.CIQ($B$1,$C7,N$1,$C$1,$F$1,$C$2,$E$1)</f>
        <v>58461</v>
      </c>
      <c r="H7" s="717">
        <f>_xll.ciqfunctions.udf.CIQ($B$1,$C7,O$1,$C$1,$F$1,$C$2,$E$1)</f>
        <v>73129</v>
      </c>
      <c r="I7" s="717">
        <f>_xll.ciqfunctions.udf.CIQ($B$1,$C7,P$1,$C$1,$F$1,$C$2,$E$1)</f>
        <v>63640</v>
      </c>
      <c r="J7" s="717">
        <f>_xll.ciqfunctions.udf.CIQ($B$1,$C7,Q$1,$C$1,$F$1,$C$2,$E$1)</f>
        <v>58418</v>
      </c>
      <c r="T7" s="410">
        <f>DATE(YEAR(T6)+1,MONTH(T6),DAY(T6))</f>
        <v>45322</v>
      </c>
      <c r="U7" s="399" t="s">
        <v>566</v>
      </c>
      <c r="W7" s="408">
        <f>_xll.ciqfunctions.udf.CIQ($B$1, $U7, $Q$1, $C$1, $F$1, , $E$1)</f>
        <v>4615.7954900000004</v>
      </c>
    </row>
    <row r="8" spans="1:28" x14ac:dyDescent="0.2">
      <c r="B8" s="1347" t="s">
        <v>565</v>
      </c>
      <c r="C8" s="675" t="s">
        <v>621</v>
      </c>
      <c r="D8" s="1126">
        <f>_xll.ciqfunctions.udf.CIQ($B$1,$C8,K$1,$C$1,$F$1,$C$2,$E$1)</f>
        <v>80546</v>
      </c>
      <c r="E8" s="717">
        <f>_xll.ciqfunctions.udf.CIQ($B$1,$C8,L$1,$C$1,$F$1,$C$2,$E$1)</f>
        <v>77798</v>
      </c>
      <c r="F8" s="717">
        <f>_xll.ciqfunctions.udf.CIQ($B$1,$C8,M$1,$C$1,$F$1,$C$2,$E$1)</f>
        <v>77869</v>
      </c>
      <c r="G8" s="717">
        <f>_xll.ciqfunctions.udf.CIQ($B$1,$C8,N$1,$C$1,$F$1,$C$2,$E$1)</f>
        <v>72496</v>
      </c>
      <c r="H8" s="717">
        <f>_xll.ciqfunctions.udf.CIQ($B$1,$C8,O$1,$C$1,$F$1,$C$2,$E$1)</f>
        <v>74669</v>
      </c>
      <c r="I8" s="717">
        <f>_xll.ciqfunctions.udf.CIQ($B$1,$C8,P$1,$C$1,$F$1,$C$2,$E$1)</f>
        <v>80925</v>
      </c>
      <c r="J8" s="717">
        <f>_xll.ciqfunctions.udf.CIQ($B$1,$C8,Q$1,$C$1,$F$1,$C$2,$E$1)</f>
        <v>83253</v>
      </c>
      <c r="T8" s="410">
        <f>DATE(YEAR(T7)+1,MONTH(T7),DAY(T7))</f>
        <v>45688</v>
      </c>
      <c r="U8" s="399" t="s">
        <v>564</v>
      </c>
      <c r="W8" s="408">
        <f>_xll.ciqfunctions.udf.CIQ($B$1, $U8, $Q$1, $C$1, $F$1, , $E$1)</f>
        <v>3919.6474699999999</v>
      </c>
    </row>
    <row r="9" spans="1:28" x14ac:dyDescent="0.2">
      <c r="B9" s="1360" t="s">
        <v>563</v>
      </c>
      <c r="C9" s="1226" t="s">
        <v>1073</v>
      </c>
      <c r="D9" s="1227">
        <f>_xll.ciqfunctions.udf.CIQ($B$1,$C9,K$1,$C$1,$F$1,$C$2,$E$1)</f>
        <v>0</v>
      </c>
      <c r="E9" s="660">
        <f>SUM(E7:E8)</f>
        <v>124366</v>
      </c>
      <c r="F9" s="660">
        <f t="shared" ref="F9:J9" si="0">SUM(F7:F8)</f>
        <v>124542</v>
      </c>
      <c r="G9" s="660">
        <f t="shared" si="0"/>
        <v>130957</v>
      </c>
      <c r="H9" s="660">
        <f t="shared" si="0"/>
        <v>147798</v>
      </c>
      <c r="I9" s="660">
        <f t="shared" si="0"/>
        <v>144565</v>
      </c>
      <c r="J9" s="660">
        <f t="shared" si="0"/>
        <v>141671</v>
      </c>
      <c r="T9" s="410">
        <f>DATE(YEAR(T8)+1,MONTH(T8),DAY(T8))</f>
        <v>46053</v>
      </c>
      <c r="U9" s="399" t="s">
        <v>562</v>
      </c>
      <c r="W9" s="408">
        <f>_xll.ciqfunctions.udf.CIQ($B$1, $U9, $Q$1, $C$1, $F$1, , $E$1)</f>
        <v>1179.1429599999999</v>
      </c>
    </row>
    <row r="10" spans="1:28" x14ac:dyDescent="0.2">
      <c r="B10" s="407"/>
      <c r="E10" s="406"/>
      <c r="F10" s="406"/>
      <c r="G10" s="406"/>
      <c r="H10" s="406"/>
      <c r="I10" s="406"/>
      <c r="J10" s="406"/>
      <c r="T10" s="410">
        <f>DATE(YEAR(T9)+1,MONTH(T9),DAY(T9))</f>
        <v>46418</v>
      </c>
      <c r="U10" s="399" t="s">
        <v>561</v>
      </c>
      <c r="W10" s="408">
        <f>_xll.ciqfunctions.udf.CIQ($B$1, $U10, $Q$1, $C$1, $F$1, , $E$1)</f>
        <v>3036.7710000000002</v>
      </c>
    </row>
    <row r="11" spans="1:28" ht="15" customHeight="1" x14ac:dyDescent="0.2">
      <c r="B11" s="1460" t="s">
        <v>559</v>
      </c>
      <c r="C11" s="1461"/>
      <c r="D11" s="1502" t="s">
        <v>520</v>
      </c>
      <c r="E11" s="1503"/>
      <c r="F11" s="1503"/>
      <c r="G11" s="1503"/>
      <c r="H11" s="1503"/>
      <c r="I11" s="1503"/>
      <c r="J11" s="1504"/>
      <c r="T11" s="409" t="str">
        <f>+"Beyond"&amp;" "&amp;TEXT(T10,"mmm yyyy")</f>
        <v>Beyond Jan 2027</v>
      </c>
      <c r="U11" s="399" t="s">
        <v>560</v>
      </c>
      <c r="W11" s="408">
        <f>_xll.ciqfunctions.udf.CIQ($B$1, $U11, $Q$1, $C$1, $F$1, , $E$1)</f>
        <v>26355.643090000001</v>
      </c>
    </row>
    <row r="12" spans="1:28" x14ac:dyDescent="0.2">
      <c r="B12" s="1371" t="str">
        <f>+B6</f>
        <v>USD million</v>
      </c>
      <c r="C12" s="1124"/>
      <c r="D12" s="1125" t="str">
        <f>TEXT(_xll.ciqfunctions.udf.CIQ($B$1,"IQ_PERIODDATE_BS",K$1,$C$1,,$C$2),"mmm yyyy")</f>
        <v>Jan 2016</v>
      </c>
      <c r="E12" s="1468" t="str">
        <f>TEXT(_xll.ciqfunctions.udf.CIQ($B$1,"IQ_PERIODDATE_BS",L$1,$C$1,,$C$2),"mmm yyyy")</f>
        <v>Jan 2017</v>
      </c>
      <c r="F12" s="1468" t="str">
        <f>TEXT(_xll.ciqfunctions.udf.CIQ($B$1,"IQ_PERIODDATE_BS",M$1,$C$1,,$C$2),"mmm yyyy")</f>
        <v>Jan 2018</v>
      </c>
      <c r="G12" s="1468" t="str">
        <f>TEXT(_xll.ciqfunctions.udf.CIQ($B$1,"IQ_PERIODDATE_BS",N$1,$C$1,,$C$2),"mmm yyyy")</f>
        <v>Jan 2019</v>
      </c>
      <c r="H12" s="1468" t="str">
        <f>TEXT(_xll.ciqfunctions.udf.CIQ($B$1,"IQ_PERIODDATE_BS",O$1,$C$1,,$C$2),"mmm yyyy")</f>
        <v>Jan 2020</v>
      </c>
      <c r="I12" s="1468" t="str">
        <f>TEXT(_xll.ciqfunctions.udf.CIQ($B$1,"IQ_PERIODDATE_BS",P$1,$C$1,,$C$2),"mmm yyyy")</f>
        <v>Jan 2021</v>
      </c>
      <c r="J12" s="1468" t="str">
        <f>TEXT(_xll.ciqfunctions.udf.CIQ($B$1,"IQ_PERIODDATE_BS",Q$1,$C$1,,$C$2),"mmm yyyy")</f>
        <v>Jan 2022</v>
      </c>
    </row>
    <row r="13" spans="1:28" x14ac:dyDescent="0.2">
      <c r="B13" s="1347" t="s">
        <v>558</v>
      </c>
      <c r="C13" s="675" t="s">
        <v>557</v>
      </c>
      <c r="D13" s="1129">
        <f>IFERROR(_xll.ciqfunctions.udf.CIQ($B$1, $C13, K$1, $C$1, $F$1, , $E$1),"NA")</f>
        <v>0</v>
      </c>
      <c r="E13" s="717">
        <f>IFERROR(_xll.ciqfunctions.udf.CIQ($B$1, $C13, L$1, $C$1, $F$1, , $E$1),"NA")</f>
        <v>0</v>
      </c>
      <c r="F13" s="717">
        <f>IFERROR(_xll.ciqfunctions.udf.CIQ($B$1, $C13, M$1, $C$1, $F$1, , $E$1),"NA")</f>
        <v>0</v>
      </c>
      <c r="G13" s="717">
        <f>IFERROR(_xll.ciqfunctions.udf.CIQ($B$1, $C13, N$1, $C$1, $F$1, , $E$1),"NA")</f>
        <v>0</v>
      </c>
      <c r="H13" s="717">
        <f>IFERROR(_xll.ciqfunctions.udf.CIQ($B$1, $C13, O$1, $C$1, $F$1, , $E$1),"NA")</f>
        <v>0</v>
      </c>
      <c r="I13" s="717">
        <f>IFERROR(_xll.ciqfunctions.udf.CIQ($B$1, $C13, P$1, $C$1, $F$1, , $E$1),"NA")</f>
        <v>0</v>
      </c>
      <c r="J13" s="717">
        <f>IFERROR(_xll.ciqfunctions.udf.CIQ($B$1, $C13, Q$1, $C$1, $F$1, , $E$1),"NA")</f>
        <v>0</v>
      </c>
    </row>
    <row r="14" spans="1:28" ht="12.75" customHeight="1" x14ac:dyDescent="0.2">
      <c r="B14" s="1347" t="s">
        <v>555</v>
      </c>
      <c r="C14" s="675" t="s">
        <v>554</v>
      </c>
      <c r="D14" s="1129">
        <f>IFERROR(_xll.ciqfunctions.udf.CIQ($B$1, $C14, K$1, $C$1, $F$1, , $E$1),"NA")</f>
        <v>40833.221129999998</v>
      </c>
      <c r="E14" s="717">
        <f>IFERROR(_xll.ciqfunctions.udf.CIQ($B$1, $C14, L$1, $C$1, $F$1, , $E$1),"NA")</f>
        <v>38670.436809999999</v>
      </c>
      <c r="F14" s="717">
        <f>IFERROR(_xll.ciqfunctions.udf.CIQ($B$1, $C14, M$1, $C$1, $F$1, , $E$1),"NA")</f>
        <v>33760.83971</v>
      </c>
      <c r="G14" s="717">
        <f>IFERROR(_xll.ciqfunctions.udf.CIQ($B$1, $C14, N$1, $C$1, $F$1, , $E$1),"NA")</f>
        <v>46774.191050000001</v>
      </c>
      <c r="H14" s="717">
        <f>IFERROR(_xll.ciqfunctions.udf.CIQ($B$1, $C14, O$1, $C$1, $F$1, , $E$1),"NA")</f>
        <v>49804.442159999999</v>
      </c>
      <c r="I14" s="717">
        <f>IFERROR(_xll.ciqfunctions.udf.CIQ($B$1, $C14, P$1, $C$1, $F$1, , $E$1),"NA")</f>
        <v>44757.976289999999</v>
      </c>
      <c r="J14" s="717">
        <f>IFERROR(_xll.ciqfunctions.udf.CIQ($B$1, $C14, Q$1, $C$1, $F$1, , $E$1),"NA")</f>
        <v>39220.984519999998</v>
      </c>
      <c r="T14" s="1464" t="s">
        <v>556</v>
      </c>
      <c r="U14" s="1465"/>
      <c r="V14" s="1465"/>
      <c r="W14" s="1466"/>
      <c r="X14" s="1466" t="s">
        <v>520</v>
      </c>
      <c r="Y14" s="1466"/>
      <c r="Z14" s="1466"/>
      <c r="AA14" s="1466"/>
      <c r="AB14" s="1467"/>
    </row>
    <row r="15" spans="1:28" x14ac:dyDescent="0.2">
      <c r="B15" s="1347" t="s">
        <v>553</v>
      </c>
      <c r="C15" s="675" t="s">
        <v>552</v>
      </c>
      <c r="D15" s="1129">
        <f>IFERROR(_xll.ciqfunctions.udf.CIQ($B$1, $C15, K$1, $C$1, $F$1, , $E$1),"NA")</f>
        <v>0</v>
      </c>
      <c r="E15" s="717">
        <f>IFERROR(_xll.ciqfunctions.udf.CIQ($B$1, $C15, L$1, $C$1, $F$1, , $E$1),"NA")</f>
        <v>0</v>
      </c>
      <c r="F15" s="717">
        <f>IFERROR(_xll.ciqfunctions.udf.CIQ($B$1, $C15, M$1, $C$1, $F$1, , $E$1),"NA")</f>
        <v>0</v>
      </c>
      <c r="G15" s="717">
        <f>IFERROR(_xll.ciqfunctions.udf.CIQ($B$1, $C15, N$1, $C$1, $F$1, , $E$1),"NA")</f>
        <v>200</v>
      </c>
      <c r="H15" s="717">
        <f>IFERROR(_xll.ciqfunctions.udf.CIQ($B$1, $C15, O$1, $C$1, $F$1, , $E$1),"NA")</f>
        <v>0</v>
      </c>
      <c r="I15" s="717">
        <f>IFERROR(_xll.ciqfunctions.udf.CIQ($B$1, $C15, P$1, $C$1, $F$1, , $E$1),"NA")</f>
        <v>0</v>
      </c>
      <c r="J15" s="717">
        <f>IFERROR(_xll.ciqfunctions.udf.CIQ($B$1, $C15, Q$1, $C$1, $F$1, , $E$1),"NA")</f>
        <v>0</v>
      </c>
      <c r="T15" s="1374" t="str">
        <f>+B6</f>
        <v>USD million</v>
      </c>
      <c r="U15" s="1204"/>
      <c r="V15" s="875"/>
      <c r="W15" s="1468" t="str">
        <f>TEXT(_xll.ciqfunctions.udf.CIQ($B$1,"IQ_PERIODDATE_BS",L$1,$C$1,,$C$2),"mmm yyyy")</f>
        <v>Jan 2017</v>
      </c>
      <c r="X15" s="1468" t="str">
        <f>TEXT(_xll.ciqfunctions.udf.CIQ($B$1,"IQ_PERIODDATE_BS",M$1,$C$1,,$C$2),"mmm yyyy")</f>
        <v>Jan 2018</v>
      </c>
      <c r="Y15" s="1468" t="str">
        <f>TEXT(_xll.ciqfunctions.udf.CIQ($B$1,"IQ_PERIODDATE_BS",N$1,$C$1,,$C$2),"mmm yyyy")</f>
        <v>Jan 2019</v>
      </c>
      <c r="Z15" s="1468" t="str">
        <f>TEXT(_xll.ciqfunctions.udf.CIQ($B$1,"IQ_PERIODDATE_BS",O$1,$C$1,,$C$2),"mmm yyyy")</f>
        <v>Jan 2020</v>
      </c>
      <c r="AA15" s="1468" t="str">
        <f>TEXT(_xll.ciqfunctions.udf.CIQ($B$1,"IQ_PERIODDATE_BS",P$1,$C$1,,$C$2),"mmm yyyy")</f>
        <v>Jan 2021</v>
      </c>
      <c r="AB15" s="1468" t="str">
        <f>TEXT(_xll.ciqfunctions.udf.CIQ($B$1,"IQ_PERIODDATE_BS",Q$1,$C$1,,$C$2),"mmm yyyy")</f>
        <v>Jan 2022</v>
      </c>
    </row>
    <row r="16" spans="1:28" x14ac:dyDescent="0.2">
      <c r="B16" s="1347" t="s">
        <v>550</v>
      </c>
      <c r="C16" s="675" t="s">
        <v>549</v>
      </c>
      <c r="D16" s="1129">
        <f>IFERROR(_xll.ciqfunctions.udf.CIQ($B$1, $C16, K$1, $C$1, $F$1, , $E$1),"NA")</f>
        <v>6367</v>
      </c>
      <c r="E16" s="717">
        <f>IFERROR(_xll.ciqfunctions.udf.CIQ($B$1, $C16, L$1, $C$1, $F$1, , $E$1),"NA")</f>
        <v>6568</v>
      </c>
      <c r="F16" s="717">
        <f>IFERROR(_xll.ciqfunctions.udf.CIQ($B$1, $C16, M$1, $C$1, $F$1, , $E$1),"NA")</f>
        <v>7447</v>
      </c>
      <c r="G16" s="717">
        <f>IFERROR(_xll.ciqfunctions.udf.CIQ($B$1, $C16, N$1, $C$1, $F$1, , $E$1),"NA")</f>
        <v>7412</v>
      </c>
      <c r="H16" s="717">
        <f>IFERROR(_xll.ciqfunctions.udf.CIQ($B$1, $C16, O$1, $C$1, $F$1, , $E$1),"NA")</f>
        <v>22782</v>
      </c>
      <c r="I16" s="717">
        <f>IFERROR(_xll.ciqfunctions.udf.CIQ($B$1, $C16, P$1, $C$1, $F$1, , $E$1),"NA")</f>
        <v>18713</v>
      </c>
      <c r="J16" s="717">
        <f>IFERROR(_xll.ciqfunctions.udf.CIQ($B$1, $C16, Q$1, $C$1, $F$1, , $E$1),"NA")</f>
        <v>19246</v>
      </c>
      <c r="T16" s="1375" t="s">
        <v>551</v>
      </c>
      <c r="U16" s="1145"/>
      <c r="V16" s="1146" t="s">
        <v>623</v>
      </c>
      <c r="W16" s="1147">
        <f>IFERROR(_xll.ciqfunctions.udf.CIQ($B$1,$V16,L$1,$C$1,$F$1,$C$2,$E$1),"NA")</f>
        <v>6867</v>
      </c>
      <c r="X16" s="1148">
        <f>IFERROR(_xll.ciqfunctions.udf.CIQ($B$1,$V16,M$1,$C$1,$F$1,$C$2,$E$1),"NA")</f>
        <v>6756</v>
      </c>
      <c r="Y16" s="1148">
        <f>IFERROR(_xll.ciqfunctions.udf.CIQ($B$1,$V16,N$1,$C$1,$F$1,$C$2,$E$1),"NA")</f>
        <v>7722</v>
      </c>
      <c r="Z16" s="1148">
        <f>IFERROR(_xll.ciqfunctions.udf.CIQ($B$1,$V16,O$1,$C$1,$F$1,$C$2,$E$1),"NA")</f>
        <v>9465</v>
      </c>
      <c r="AA16" s="1148">
        <f>IFERROR(_xll.ciqfunctions.udf.CIQ($B$1,$V16,P$1,$C$1,$F$1,$C$2,$E$1),"NA")</f>
        <v>17741</v>
      </c>
      <c r="AB16" s="1148">
        <f>IFERROR(_xll.ciqfunctions.udf.CIQ($B$1,$V16,Q$1,$C$1,$F$1,$C$2,$E$1),"NA")</f>
        <v>14760</v>
      </c>
    </row>
    <row r="17" spans="2:28" x14ac:dyDescent="0.2">
      <c r="B17" s="1361" t="s">
        <v>540</v>
      </c>
      <c r="C17" s="1130" t="s">
        <v>547</v>
      </c>
      <c r="D17" s="1131">
        <f t="shared" ref="D17:I17" si="1">IF(SUM(D13:D16)&gt;D18,SUM(D13:D16)-D18,IF(D18&gt;SUM(D13:D16),D18-SUM(D13:D16),0))</f>
        <v>3571.7788700000019</v>
      </c>
      <c r="E17" s="980">
        <f t="shared" si="1"/>
        <v>1329.5631900000008</v>
      </c>
      <c r="F17" s="980">
        <f t="shared" si="1"/>
        <v>5465.1602899999998</v>
      </c>
      <c r="G17" s="980">
        <f t="shared" si="1"/>
        <v>4074.8089499999987</v>
      </c>
      <c r="H17" s="980">
        <f t="shared" si="1"/>
        <v>542.55783999999403</v>
      </c>
      <c r="I17" s="980">
        <f t="shared" si="1"/>
        <v>169.0237100000013</v>
      </c>
      <c r="J17" s="1132">
        <f>IF(SUM(J13:J16)&gt;J18,SUM(J13:J16)-J18,IF(J18&gt;SUM(J13:J16),J18-SUM(J13:J16),0))</f>
        <v>48.984519999998156</v>
      </c>
      <c r="T17" s="1376" t="s">
        <v>548</v>
      </c>
      <c r="U17" s="1150"/>
      <c r="V17" s="1151"/>
      <c r="W17" s="1152">
        <f>IFERROR((W16-_xll.ciqfunctions.udf.CIQ($B$1,$V16,K$1,$C$1,$F$1,$C$2,$E$1))/ABS(_xll.ciqfunctions.udf.CIQ($B$1,$V16,K$1,$C$1,$F$1,$C$2,$E$1)), "NM")</f>
        <v>-0.21114302125215392</v>
      </c>
      <c r="X17" s="1152">
        <f>+IFERROR(IF(X16&gt;W16,ABS((X16-W16)/W16),-ABS((X16-W16)/W16)),"NM")</f>
        <v>-1.616426387068589E-2</v>
      </c>
      <c r="Y17" s="1152">
        <f>+IFERROR(IF(Y16&gt;X16,ABS((Y16-X16)/X16),-ABS((Y16-X16)/X16)),"NM")</f>
        <v>0.14298401420959148</v>
      </c>
      <c r="Z17" s="1152">
        <f>+IFERROR(IF(Z16&gt;Y16,ABS((Z16-Y16)/Y16),-ABS((Z16-Y16)/Y16)),"NM")</f>
        <v>0.22571872571872573</v>
      </c>
      <c r="AA17" s="1152">
        <f>+IFERROR(IF(AA16&gt;Z16,ABS((AA16-Z16)/Z16),-ABS((AA16-Z16)/Z16)),"NM")</f>
        <v>0.87437929212889598</v>
      </c>
      <c r="AB17" s="1152">
        <f>+IFERROR(IF(AB16&gt;AA16,ABS((AB16-AA16)/AA16),-ABS((AB16-AA16)/AA16)),"NM")</f>
        <v>-0.16802885970351164</v>
      </c>
    </row>
    <row r="18" spans="2:28" x14ac:dyDescent="0.2">
      <c r="B18" s="1362" t="s">
        <v>546</v>
      </c>
      <c r="C18" s="675"/>
      <c r="D18" s="1133">
        <f t="shared" ref="D18:I18" si="2">+D7</f>
        <v>50772</v>
      </c>
      <c r="E18" s="660">
        <f t="shared" si="2"/>
        <v>46568</v>
      </c>
      <c r="F18" s="660">
        <f t="shared" si="2"/>
        <v>46673</v>
      </c>
      <c r="G18" s="660">
        <f t="shared" si="2"/>
        <v>58461</v>
      </c>
      <c r="H18" s="660">
        <f t="shared" si="2"/>
        <v>73129</v>
      </c>
      <c r="I18" s="660">
        <f t="shared" si="2"/>
        <v>63640</v>
      </c>
      <c r="J18" s="660">
        <f>+J7</f>
        <v>58418</v>
      </c>
    </row>
    <row r="19" spans="2:28" x14ac:dyDescent="0.2">
      <c r="B19" s="1363" t="s">
        <v>545</v>
      </c>
      <c r="C19" s="1134" t="s">
        <v>544</v>
      </c>
      <c r="D19" s="1135">
        <f>_xll.ciqfunctions.udf.CIQ($B$1, $C19, K$1, $C$1, $F$1, , $E$1)</f>
        <v>12292</v>
      </c>
      <c r="E19" s="717">
        <f>_xll.ciqfunctions.udf.CIQ($B$1, $C19, L$1, $C$1, $F$1, , $E$1)</f>
        <v>11401</v>
      </c>
      <c r="F19" s="717">
        <f>IFERROR(_xll.ciqfunctions.udf.CIQ($B$1, $C19, M$1, $C$1, $F$1, , $E$1),"NA")</f>
        <v>11543</v>
      </c>
      <c r="G19" s="717">
        <f>IFERROR(_xll.ciqfunctions.udf.CIQ($B$1, $C19, N$1, $C$1, $F$1, , $E$1),"NA")</f>
        <v>12975</v>
      </c>
      <c r="H19" s="717">
        <f>IFERROR(_xll.ciqfunctions.udf.CIQ($B$1, $C19, O$1, $C$1, $F$1, , $E$1),"NA")</f>
        <v>15200</v>
      </c>
      <c r="I19" s="717">
        <f>IFERROR(_xll.ciqfunctions.udf.CIQ($B$1, $C19, P$1, $C$1, $F$1, , $E$1),"NA")</f>
        <v>15000</v>
      </c>
      <c r="J19" s="717">
        <f>IFERROR(_xll.ciqfunctions.udf.CIQ($B$1, $C19, Q$1, $C$1, $F$1, , $E$1),"NA")</f>
        <v>15100</v>
      </c>
    </row>
    <row r="20" spans="2:28" x14ac:dyDescent="0.2">
      <c r="E20" s="406"/>
      <c r="F20" s="406"/>
      <c r="G20" s="406"/>
      <c r="H20" s="406"/>
      <c r="I20" s="406"/>
      <c r="J20" s="406"/>
    </row>
    <row r="21" spans="2:28" ht="15" customHeight="1" x14ac:dyDescent="0.2">
      <c r="B21" s="1460" t="s">
        <v>543</v>
      </c>
      <c r="C21" s="1461"/>
      <c r="D21" s="1502" t="s">
        <v>520</v>
      </c>
      <c r="E21" s="1503"/>
      <c r="F21" s="1503"/>
      <c r="G21" s="1503"/>
      <c r="H21" s="1503"/>
      <c r="I21" s="1503"/>
      <c r="J21" s="1504"/>
    </row>
    <row r="22" spans="2:28" ht="12.75" customHeight="1" x14ac:dyDescent="0.2">
      <c r="B22" s="1371" t="str">
        <f>+B6</f>
        <v>USD million</v>
      </c>
      <c r="C22" s="1373"/>
      <c r="D22" s="1372" t="str">
        <f>TEXT(_xll.ciqfunctions.udf.CIQ($B$1,"IQ_PERIODDATE_BS",K$1,$C$1,,$C$2),"mmm yyyy")</f>
        <v>Jan 2016</v>
      </c>
      <c r="E22" s="1468" t="str">
        <f>TEXT(_xll.ciqfunctions.udf.CIQ($B$1,"IQ_PERIODDATE_BS",L$1,$C$1,,$C$2),"mmm yyyy")</f>
        <v>Jan 2017</v>
      </c>
      <c r="F22" s="1468" t="str">
        <f>TEXT(_xll.ciqfunctions.udf.CIQ($B$1,"IQ_PERIODDATE_BS",M$1,$C$1,,$C$2),"mmm yyyy")</f>
        <v>Jan 2018</v>
      </c>
      <c r="G22" s="1468" t="str">
        <f>TEXT(_xll.ciqfunctions.udf.CIQ($B$1,"IQ_PERIODDATE_BS",N$1,$C$1,,$C$2),"mmm yyyy")</f>
        <v>Jan 2019</v>
      </c>
      <c r="H22" s="1468" t="str">
        <f>TEXT(_xll.ciqfunctions.udf.CIQ($B$1,"IQ_PERIODDATE_BS",O$1,$C$1,,$C$2),"mmm yyyy")</f>
        <v>Jan 2020</v>
      </c>
      <c r="I22" s="1468" t="str">
        <f>TEXT(_xll.ciqfunctions.udf.CIQ($B$1,"IQ_PERIODDATE_BS",P$1,$C$1,,$C$2),"mmm yyyy")</f>
        <v>Jan 2021</v>
      </c>
      <c r="J22" s="1468" t="str">
        <f>TEXT(_xll.ciqfunctions.udf.CIQ($B$1,"IQ_PERIODDATE_BS",Q$1,$C$1,,$C$2),"mmm yyyy")</f>
        <v>Jan 2022</v>
      </c>
    </row>
    <row r="23" spans="2:28" ht="12.75" customHeight="1" x14ac:dyDescent="0.2">
      <c r="B23" s="1347" t="s">
        <v>542</v>
      </c>
      <c r="C23" s="675" t="str">
        <f>"IQ_SECURED_DEBT"</f>
        <v>IQ_SECURED_DEBT</v>
      </c>
      <c r="D23" s="1129">
        <f>IFERROR(_xll.ciqfunctions.udf.CIQ($B$1, $C23, K$1, $C$1, $F$1, , $E$1),"NA")</f>
        <v>6367</v>
      </c>
      <c r="E23" s="1223">
        <f>IFERROR(_xll.ciqfunctions.udf.CIQ($B$1, $C23, L$1, $C$1, $F$1, , $E$1),"NA")</f>
        <v>6568</v>
      </c>
      <c r="F23" s="1223">
        <f>IFERROR(_xll.ciqfunctions.udf.CIQ($B$1, $C23, M$1, $C$1, $F$1, , $E$1),"NA")</f>
        <v>7447</v>
      </c>
      <c r="G23" s="1223">
        <f>IFERROR(_xll.ciqfunctions.udf.CIQ($B$1, $C23, N$1, $C$1, $F$1, , $E$1),"NA")</f>
        <v>7412</v>
      </c>
      <c r="H23" s="1223">
        <f>IFERROR(_xll.ciqfunctions.udf.CIQ($B$1, $C23, O$1, $C$1, $F$1, , $E$1),"NA")</f>
        <v>22782</v>
      </c>
      <c r="I23" s="1223">
        <f>IFERROR(_xll.ciqfunctions.udf.CIQ($B$1, $C23, P$1, $C$1, $F$1, , $E$1),"NA")</f>
        <v>18713</v>
      </c>
      <c r="J23" s="1223">
        <f>IFERROR(_xll.ciqfunctions.udf.CIQ($B$1, $C23, Q$1, $C$1, $F$1, , $E$1),"NA")</f>
        <v>19246</v>
      </c>
      <c r="U23" s="512"/>
      <c r="V23" s="512"/>
      <c r="W23" s="512"/>
      <c r="X23" s="512"/>
      <c r="Y23" s="512"/>
      <c r="Z23" s="512"/>
    </row>
    <row r="24" spans="2:28" x14ac:dyDescent="0.2">
      <c r="B24" s="1347" t="s">
        <v>541</v>
      </c>
      <c r="C24" s="675" t="str">
        <f>"IQ_UNSECURED_DEBT"</f>
        <v>IQ_UNSECURED_DEBT</v>
      </c>
      <c r="D24" s="1129">
        <f>IFERROR(_xll.ciqfunctions.udf.CIQ($B$1, $C24, K$1, $C$1, $F$1, , $E$1),"NA")</f>
        <v>43666.99985</v>
      </c>
      <c r="E24" s="1223">
        <f>IFERROR(_xll.ciqfunctions.udf.CIQ($B$1, $C24, L$1, $C$1, $F$1, , $E$1),"NA")</f>
        <v>39769.436809999999</v>
      </c>
      <c r="F24" s="1223">
        <f>IFERROR(_xll.ciqfunctions.udf.CIQ($B$1, $C24, M$1, $C$1, $F$1, , $E$1),"NA")</f>
        <v>39039.999689999997</v>
      </c>
      <c r="G24" s="1223">
        <f>IFERROR(_xll.ciqfunctions.udf.CIQ($B$1, $C24, N$1, $C$1, $F$1, , $E$1),"NA")</f>
        <v>51999.191050000001</v>
      </c>
      <c r="H24" s="1223">
        <f>IFERROR(_xll.ciqfunctions.udf.CIQ($B$1, $C24, O$1, $C$1, $F$1, , $E$1),"NA")</f>
        <v>50379.442159999999</v>
      </c>
      <c r="I24" s="1223">
        <f>IFERROR(_xll.ciqfunctions.udf.CIQ($B$1, $C24, P$1, $C$1, $F$1, , $E$1),"NA")</f>
        <v>44981.976289999999</v>
      </c>
      <c r="J24" s="1223">
        <f>IFERROR(_xll.ciqfunctions.udf.CIQ($B$1, $C24, Q$1, $C$1, $F$1, , $E$1),"NA")</f>
        <v>39630.984519999998</v>
      </c>
      <c r="U24" s="512"/>
      <c r="W24" s="512"/>
      <c r="X24" s="512"/>
      <c r="Y24" s="512"/>
    </row>
    <row r="25" spans="2:28" x14ac:dyDescent="0.2">
      <c r="B25" s="1364" t="s">
        <v>540</v>
      </c>
      <c r="C25" s="1130"/>
      <c r="D25" s="1137">
        <f t="shared" ref="D25:J25" si="3">IF(SUM(D23:D24)&gt;D26,SUM(D23:D24)-D26,IF(D26&gt;SUM(D23:D24),D26-SUM(D23:D24),0))</f>
        <v>738.00014999999985</v>
      </c>
      <c r="E25" s="1132">
        <f t="shared" si="3"/>
        <v>230.56319000000076</v>
      </c>
      <c r="F25" s="1132">
        <f t="shared" si="3"/>
        <v>186.00031000000308</v>
      </c>
      <c r="G25" s="1132">
        <f t="shared" si="3"/>
        <v>950.19105000000127</v>
      </c>
      <c r="H25" s="1132">
        <f t="shared" si="3"/>
        <v>32.44216000000597</v>
      </c>
      <c r="I25" s="1132">
        <f t="shared" si="3"/>
        <v>54.976289999998698</v>
      </c>
      <c r="J25" s="1132">
        <f t="shared" si="3"/>
        <v>458.98451999999816</v>
      </c>
      <c r="T25" s="681"/>
      <c r="U25" s="404"/>
    </row>
    <row r="26" spans="2:28" x14ac:dyDescent="0.2">
      <c r="B26" s="1362" t="s">
        <v>539</v>
      </c>
      <c r="C26" s="675"/>
      <c r="D26" s="401">
        <f t="shared" ref="D26:J26" si="4">D18</f>
        <v>50772</v>
      </c>
      <c r="E26" s="660">
        <f t="shared" si="4"/>
        <v>46568</v>
      </c>
      <c r="F26" s="660">
        <f t="shared" si="4"/>
        <v>46673</v>
      </c>
      <c r="G26" s="660">
        <f t="shared" si="4"/>
        <v>58461</v>
      </c>
      <c r="H26" s="660">
        <f t="shared" si="4"/>
        <v>73129</v>
      </c>
      <c r="I26" s="660">
        <f t="shared" si="4"/>
        <v>63640</v>
      </c>
      <c r="J26" s="660">
        <f t="shared" si="4"/>
        <v>58418</v>
      </c>
      <c r="U26" s="404"/>
      <c r="W26" s="681"/>
      <c r="X26" s="681"/>
      <c r="Y26" s="681"/>
      <c r="Z26" s="681"/>
      <c r="AA26" s="681"/>
      <c r="AB26" s="681"/>
    </row>
    <row r="27" spans="2:28" x14ac:dyDescent="0.2">
      <c r="V27" s="399" t="str">
        <f>"FY" &amp; _xll.ciqfunctions.udf.CIQ($B$1,"IQ_FISCAL_Y",K$1)</f>
        <v>FY2016</v>
      </c>
    </row>
    <row r="28" spans="2:28" ht="25.5" x14ac:dyDescent="0.2">
      <c r="B28" s="1462" t="s">
        <v>955</v>
      </c>
      <c r="C28" s="1463"/>
      <c r="D28" s="1505" t="s">
        <v>520</v>
      </c>
      <c r="E28" s="1506"/>
      <c r="F28" s="1506"/>
      <c r="G28" s="1506"/>
      <c r="H28" s="1506"/>
      <c r="I28" s="1506"/>
      <c r="J28" s="1507"/>
      <c r="K28" s="681"/>
      <c r="L28" s="681"/>
      <c r="M28" s="681"/>
      <c r="N28" s="681"/>
      <c r="O28" s="681"/>
      <c r="P28" s="681"/>
      <c r="Q28" s="681"/>
      <c r="R28" s="681"/>
      <c r="S28" s="681"/>
      <c r="T28" s="681"/>
      <c r="U28" s="681"/>
      <c r="V28" s="681" t="str">
        <f>"FY" &amp; _xll.ciqfunctions.udf.CIQ($B$1,"IQ_FISCAL_Y",L$1)</f>
        <v>FY2017</v>
      </c>
      <c r="W28" s="681"/>
      <c r="X28" s="681"/>
      <c r="Y28" s="681"/>
      <c r="Z28" s="681"/>
      <c r="AA28" s="681"/>
      <c r="AB28" s="681"/>
    </row>
    <row r="29" spans="2:28" ht="12.75" customHeight="1" x14ac:dyDescent="0.2">
      <c r="B29" s="1371" t="str">
        <f>+B6</f>
        <v>USD million</v>
      </c>
      <c r="C29" s="1373"/>
      <c r="D29" s="1372" t="str">
        <f>TEXT(_xll.ciqfunctions.udf.CIQ($B$1,"IQ_PERIODDATE_BS",K$1,$C$1,,$C$2),"mmm yyyy")</f>
        <v>Jan 2016</v>
      </c>
      <c r="E29" s="1468" t="str">
        <f>TEXT(_xll.ciqfunctions.udf.CIQ($B$1,"IQ_PERIODDATE_BS",L$1,$C$1,,$C$2),"mmm yyyy")</f>
        <v>Jan 2017</v>
      </c>
      <c r="F29" s="1468" t="str">
        <f>TEXT(_xll.ciqfunctions.udf.CIQ($B$1,"IQ_PERIODDATE_BS",M$1,$C$1,,$C$2),"mmm yyyy")</f>
        <v>Jan 2018</v>
      </c>
      <c r="G29" s="1468" t="str">
        <f>TEXT(_xll.ciqfunctions.udf.CIQ($B$1,"IQ_PERIODDATE_BS",N$1,$C$1,,$C$2),"mmm yyyy")</f>
        <v>Jan 2019</v>
      </c>
      <c r="H29" s="1468" t="str">
        <f>TEXT(_xll.ciqfunctions.udf.CIQ($B$1,"IQ_PERIODDATE_BS",O$1,$C$1,,$C$2),"mmm yyyy")</f>
        <v>Jan 2020</v>
      </c>
      <c r="I29" s="1468" t="str">
        <f>TEXT(_xll.ciqfunctions.udf.CIQ($B$1,"IQ_PERIODDATE_BS",P$1,$C$1,,$C$2),"mmm yyyy")</f>
        <v>Jan 2021</v>
      </c>
      <c r="J29" s="1468" t="str">
        <f>TEXT(_xll.ciqfunctions.udf.CIQ($B$1,"IQ_PERIODDATE_BS",Q$1,$C$1,,$C$2),"mmm yyyy")</f>
        <v>Jan 2022</v>
      </c>
      <c r="V29" s="399" t="str">
        <f>"FY" &amp; _xll.ciqfunctions.udf.CIQ($B$1,"IQ_FISCAL_Y",M$1)</f>
        <v>FY2018</v>
      </c>
    </row>
    <row r="30" spans="2:28" x14ac:dyDescent="0.2">
      <c r="B30" s="1342" t="s">
        <v>267</v>
      </c>
      <c r="C30" s="19" t="s">
        <v>395</v>
      </c>
      <c r="D30" s="1104">
        <f>IFERROR(_xll.ciqfunctions.udf.CIQ($B$1, $C30, K$1, $C$1, $F$1, , $E$1)/100,"NA")</f>
        <v>0</v>
      </c>
      <c r="E30" s="1104">
        <f>IFERROR(_xll.ciqfunctions.udf.CIQ($B$1, $C30, L$1, $C$1, $F$1, , $E$1)/100,"NA")</f>
        <v>0</v>
      </c>
      <c r="F30" s="1104">
        <f>IFERROR(_xll.ciqfunctions.udf.CIQ($B$1, $C30, M$1, $C$1, $F$1, , $E$1)/100,"NA")</f>
        <v>0</v>
      </c>
      <c r="G30" s="1104">
        <f>IFERROR(_xll.ciqfunctions.udf.CIQ($B$1, $C30, N$1, $C$1, $F$1, , $E$1)/100,"NA")</f>
        <v>0</v>
      </c>
      <c r="H30" s="1104">
        <f>IFERROR(_xll.ciqfunctions.udf.CIQ($B$1, $C30, O$1, $C$1, $F$1, , $E$1)/100,"NA")</f>
        <v>0</v>
      </c>
      <c r="I30" s="1104">
        <f>IFERROR(_xll.ciqfunctions.udf.CIQ($B$1, $C30, P$1, $C$1, $F$1, , $E$1)/100,"NA")</f>
        <v>0</v>
      </c>
      <c r="J30" s="1104">
        <f>IFERROR(_xll.ciqfunctions.udf.CIQ($B$1, $C30, Q$1, $C$1, $F$1, , $E$1)/100,"NA")</f>
        <v>0</v>
      </c>
      <c r="V30" s="399" t="str">
        <f>"FY" &amp; _xll.ciqfunctions.udf.CIQ($B$1,"IQ_FISCAL_Y",N$1)</f>
        <v>FY2019</v>
      </c>
    </row>
    <row r="31" spans="2:28" x14ac:dyDescent="0.2">
      <c r="B31" s="1342" t="s">
        <v>961</v>
      </c>
      <c r="C31" s="675"/>
      <c r="D31" s="1224">
        <f t="shared" ref="D31:J31" si="5">IFERROR(D32-D30,"NA")</f>
        <v>0</v>
      </c>
      <c r="E31" s="1224">
        <f t="shared" si="5"/>
        <v>0</v>
      </c>
      <c r="F31" s="1224">
        <f t="shared" si="5"/>
        <v>0</v>
      </c>
      <c r="G31" s="1224">
        <f t="shared" si="5"/>
        <v>0</v>
      </c>
      <c r="H31" s="1224">
        <f t="shared" si="5"/>
        <v>0</v>
      </c>
      <c r="I31" s="1224">
        <f t="shared" si="5"/>
        <v>0</v>
      </c>
      <c r="J31" s="1224">
        <f t="shared" si="5"/>
        <v>0</v>
      </c>
      <c r="V31" s="399" t="str">
        <f>"FY" &amp; _xll.ciqfunctions.udf.CIQ($B$1,"IQ_FISCAL_Y",O$1)</f>
        <v>FY2020</v>
      </c>
    </row>
    <row r="32" spans="2:28" x14ac:dyDescent="0.2">
      <c r="B32" s="1342" t="s">
        <v>259</v>
      </c>
      <c r="C32" s="19" t="s">
        <v>396</v>
      </c>
      <c r="D32" s="1104">
        <f>IFERROR(_xll.ciqfunctions.udf.CIQ($B$1, $C32, K$1, $C$1, $F$1, , $E$1)/100,"NA")</f>
        <v>0</v>
      </c>
      <c r="E32" s="1104">
        <f>IFERROR(_xll.ciqfunctions.udf.CIQ($B$1, $C32, L$1, $C$1, $F$1, , $E$1)/100,"NA")</f>
        <v>0</v>
      </c>
      <c r="F32" s="1104">
        <f>IFERROR(_xll.ciqfunctions.udf.CIQ($B$1, $C32, M$1, $C$1, $F$1, , $E$1)/100,"NA")</f>
        <v>0</v>
      </c>
      <c r="G32" s="1104">
        <f>IFERROR(_xll.ciqfunctions.udf.CIQ($B$1, $C32, N$1, $C$1, $F$1, , $E$1)/100,"NA")</f>
        <v>0</v>
      </c>
      <c r="H32" s="1104">
        <f>IFERROR(_xll.ciqfunctions.udf.CIQ($B$1, $C32, O$1, $C$1, $F$1, , $E$1)/100,"NA")</f>
        <v>0</v>
      </c>
      <c r="I32" s="1104">
        <f>IFERROR(_xll.ciqfunctions.udf.CIQ($B$1, $C32, P$1, $C$1, $F$1, , $E$1)/100,"NA")</f>
        <v>0</v>
      </c>
      <c r="J32" s="1104">
        <f>IFERROR(_xll.ciqfunctions.udf.CIQ($B$1, $C32, Q$1, $C$1, $F$1, , $E$1)/100,"NA")</f>
        <v>0</v>
      </c>
      <c r="K32" s="981"/>
      <c r="V32" s="399" t="str">
        <f>"FY" &amp; _xll.ciqfunctions.udf.CIQ($B$1,"IQ_FISCAL_Y",P$1)</f>
        <v>FY2021</v>
      </c>
    </row>
    <row r="33" spans="2:22" x14ac:dyDescent="0.2">
      <c r="B33" s="1342" t="s">
        <v>960</v>
      </c>
      <c r="C33" s="675"/>
      <c r="D33" s="1138">
        <f>IFERROR(IF(AND(D7&gt;0,D8&gt;0),D7/D8,IF(D8&lt;0,"NM",D7/D8)),"")</f>
        <v>0.63034787574801976</v>
      </c>
      <c r="E33" s="1138">
        <f t="shared" ref="E33:J33" si="6">IFERROR(IF(AND(E7&gt;0,E8&gt;0),E7/E8,IF(E8&lt;0,"NM",E7/E8)),"")</f>
        <v>0.59857579886372403</v>
      </c>
      <c r="F33" s="1138">
        <f t="shared" si="6"/>
        <v>0.59937844328294954</v>
      </c>
      <c r="G33" s="1138">
        <f t="shared" si="6"/>
        <v>0.80640311189582869</v>
      </c>
      <c r="H33" s="1138">
        <f t="shared" si="6"/>
        <v>0.97937564451110903</v>
      </c>
      <c r="I33" s="1138">
        <f t="shared" si="6"/>
        <v>0.78640716713005865</v>
      </c>
      <c r="J33" s="1138">
        <f t="shared" si="6"/>
        <v>0.70169243150396987</v>
      </c>
      <c r="K33" s="982"/>
      <c r="V33" s="399" t="str">
        <f>"FY" &amp; _xll.ciqfunctions.udf.CIQ($B$1,"IQ_FISCAL_Y",Q$1)</f>
        <v>FY2022</v>
      </c>
    </row>
    <row r="34" spans="2:22" x14ac:dyDescent="0.2">
      <c r="B34" s="1342" t="s">
        <v>1210</v>
      </c>
      <c r="C34" s="675" t="s">
        <v>397</v>
      </c>
      <c r="D34" s="1138" t="str">
        <f>IFERROR(_xll.ciqfunctions.udf.CIQ($B$1,$C34,K$1,$C$1,$F$1,$C$2,$E$1)/_xll.ciqfunctions.udf.CIQ($B$1,"IQ_TOTAL_LOANS",K$1,$C$1,$F$1,$C$2,$E$1),"NM")</f>
        <v>NM</v>
      </c>
      <c r="E34" s="1139" t="str">
        <f>IFERROR(_xll.ciqfunctions.udf.CIQ($B$1,$C34,L$1,$C$1,$F$1,$C$2,$E$1)/_xll.ciqfunctions.udf.CIQ($B$1,"IQ_TOTAL_LOANS",L$1,$C$1,$F$1,$C$2,$E$1),"NM")</f>
        <v>NM</v>
      </c>
      <c r="F34" s="1139" t="str">
        <f>IFERROR(_xll.ciqfunctions.udf.CIQ($B$1,$C34,M$1,$C$1,$F$1,$C$2,$E$1)/_xll.ciqfunctions.udf.CIQ($B$1,"IQ_TOTAL_LOANS",M$1,$C$1,$F$1,$C$2,$E$1),"NM")</f>
        <v>NM</v>
      </c>
      <c r="G34" s="1139" t="str">
        <f>IFERROR(_xll.ciqfunctions.udf.CIQ($B$1,$C34,N$1,$C$1,$F$1,$C$2,$E$1)/_xll.ciqfunctions.udf.CIQ($B$1,"IQ_TOTAL_LOANS",N$1,$C$1,$F$1,$C$2,$E$1),"NM")</f>
        <v>NM</v>
      </c>
      <c r="H34" s="1139" t="str">
        <f>IFERROR(_xll.ciqfunctions.udf.CIQ($B$1,$C34,O$1,$C$1,$F$1,$C$2,$E$1)/_xll.ciqfunctions.udf.CIQ($B$1,"IQ_TOTAL_LOANS",O$1,$C$1,$F$1,$C$2,$E$1),"NM")</f>
        <v>NM</v>
      </c>
      <c r="I34" s="1139" t="str">
        <f>IFERROR(_xll.ciqfunctions.udf.CIQ($B$1,$C34,P$1,$C$1,$F$1,$C$2,$E$1)/_xll.ciqfunctions.udf.CIQ($B$1,"IQ_TOTAL_LOANS",P$1,$C$1,$F$1,$C$2,$E$1),"NM")</f>
        <v>NM</v>
      </c>
      <c r="J34" s="1139" t="str">
        <f>IFERROR(_xll.ciqfunctions.udf.CIQ($B$1,$C34,Q$1,$C$1,$F$1,$C$2,$E$1)/_xll.ciqfunctions.udf.CIQ($B$1,"IQ_TOTAL_LOANS",Q$1,$C$1,$F$1,$C$2,$E$1),"NM")</f>
        <v>NM</v>
      </c>
      <c r="K34" s="982"/>
    </row>
    <row r="35" spans="2:22" x14ac:dyDescent="0.2">
      <c r="B35" s="1353" t="s">
        <v>956</v>
      </c>
      <c r="C35" s="675" t="s">
        <v>957</v>
      </c>
      <c r="D35" s="1138" t="str">
        <f>IFERROR((-_xll.ciqfunctions.udf.CIQ($B$1,$C35,K$1,$C$1,$F$1,$C$2,$E$1)/_xll.ciqfunctions.udf.CIQ($B$1,"IQ_NON_PERFORMING_LOANS",K$1,$C$1,$F$1,$C$2,$E$1)),"NM")</f>
        <v>NM</v>
      </c>
      <c r="E35" s="1138" t="str">
        <f>IFERROR((-_xll.ciqfunctions.udf.CIQ($B$1,$C35,L$1,$C$1,$F$1,$C$2,$E$1)/_xll.ciqfunctions.udf.CIQ($B$1,"IQ_NON_PERFORMING_LOANS",L$1,$C$1,$F$1,$C$2,$E$1)),"NM")</f>
        <v>NM</v>
      </c>
      <c r="F35" s="1138" t="str">
        <f>IFERROR((-_xll.ciqfunctions.udf.CIQ($B$1,$C35,M$1,$C$1,$F$1,$C$2,$E$1)/_xll.ciqfunctions.udf.CIQ($B$1,"IQ_NON_PERFORMING_LOANS",M$1,$C$1,$F$1,$C$2,$E$1)),"NM")</f>
        <v>NM</v>
      </c>
      <c r="G35" s="1138" t="str">
        <f>IFERROR((-_xll.ciqfunctions.udf.CIQ($B$1,$C35,N$1,$C$1,$F$1,$C$2,$E$1)/_xll.ciqfunctions.udf.CIQ($B$1,"IQ_NON_PERFORMING_LOANS",N$1,$C$1,$F$1,$C$2,$E$1)),"NM")</f>
        <v>NM</v>
      </c>
      <c r="H35" s="1138" t="str">
        <f>IFERROR((-_xll.ciqfunctions.udf.CIQ($B$1,$C35,O$1,$C$1,$F$1,$C$2,$E$1)/_xll.ciqfunctions.udf.CIQ($B$1,"IQ_NON_PERFORMING_LOANS",O$1,$C$1,$F$1,$C$2,$E$1)),"NM")</f>
        <v>NM</v>
      </c>
      <c r="I35" s="1138" t="str">
        <f>IFERROR((-_xll.ciqfunctions.udf.CIQ($B$1,$C35,P$1,$C$1,$F$1,$C$2,$E$1)/_xll.ciqfunctions.udf.CIQ($B$1,"IQ_NON_PERFORMING_LOANS",P$1,$C$1,$F$1,$C$2,$E$1)),"NM")</f>
        <v>NM</v>
      </c>
      <c r="J35" s="1138" t="str">
        <f>IFERROR((-_xll.ciqfunctions.udf.CIQ($B$1,$C35,Q$1,$C$1,$F$1,$C$2,$E$1)/_xll.ciqfunctions.udf.CIQ($B$1,"IQ_NON_PERFORMING_LOANS",Q$1,$C$1,$F$1,$C$2,$E$1)),"NM")</f>
        <v>NM</v>
      </c>
      <c r="K35" s="982"/>
    </row>
    <row r="36" spans="2:22" x14ac:dyDescent="0.2">
      <c r="B36" s="1363" t="s">
        <v>958</v>
      </c>
      <c r="C36" s="675" t="s">
        <v>237</v>
      </c>
      <c r="D36" s="1138" t="str">
        <f>IFERROR(_xll.ciqfunctions.udf.CIQ($B$1,"IQ_TOTAL_LOANS",K$1,$C$1,$F$1,$C$2,$E$1)/_xll.ciqfunctions.udf.CIQ($B$1,$C36,K$1,$C$1,$F$1,$C$2,$E$1),"NM")</f>
        <v>NM</v>
      </c>
      <c r="E36" s="1138" t="str">
        <f>IFERROR(_xll.ciqfunctions.udf.CIQ($B$1,"IQ_TOTAL_LOANS",L$1,$C$1,$F$1,$C$2,$E$1)/_xll.ciqfunctions.udf.CIQ($B$1,$C36,L$1,$C$1,$F$1,$C$2,$E$1),"NM")</f>
        <v>NM</v>
      </c>
      <c r="F36" s="1225" t="str">
        <f>IFERROR(_xll.ciqfunctions.udf.CIQ($B$1,"IQ_TOTAL_LOANS",M$1,$C$1,$F$1,$C$2,$E$1)/_xll.ciqfunctions.udf.CIQ($B$1,$C36,M$1,$C$1,$F$1,$C$2,$E$1),"NM")</f>
        <v>NM</v>
      </c>
      <c r="G36" s="1225" t="str">
        <f>IFERROR(_xll.ciqfunctions.udf.CIQ($B$1,"IQ_TOTAL_LOANS",N$1,$C$1,$F$1,$C$2,$E$1)/_xll.ciqfunctions.udf.CIQ($B$1,$C36,N$1,$C$1,$F$1,$C$2,$E$1),"NM")</f>
        <v>NM</v>
      </c>
      <c r="H36" s="1225" t="str">
        <f>IFERROR(_xll.ciqfunctions.udf.CIQ($B$1,"IQ_TOTAL_LOANS",O$1,$C$1,$F$1,$C$2,$E$1)/_xll.ciqfunctions.udf.CIQ($B$1,$C36,O$1,$C$1,$F$1,$C$2,$E$1),"NM")</f>
        <v>NM</v>
      </c>
      <c r="I36" s="1225" t="str">
        <f>IFERROR(_xll.ciqfunctions.udf.CIQ($B$1,"IQ_TOTAL_LOANS",P$1,$C$1,$F$1,$C$2,$E$1)/_xll.ciqfunctions.udf.CIQ($B$1,$C36,P$1,$C$1,$F$1,$C$2,$E$1),"NM")</f>
        <v>NM</v>
      </c>
      <c r="J36" s="1225" t="str">
        <f>IFERROR(_xll.ciqfunctions.udf.CIQ($B$1,"IQ_TOTAL_LOANS",Q$1,$C$1,$F$1,$C$2,$E$1)/_xll.ciqfunctions.udf.CIQ($B$1,$C36,Q$1,$C$1,$F$1,$C$2,$E$1),"NM")</f>
        <v>NM</v>
      </c>
      <c r="K36" s="982"/>
    </row>
    <row r="37" spans="2:22" x14ac:dyDescent="0.2">
      <c r="K37" s="983"/>
    </row>
    <row r="38" spans="2:22" x14ac:dyDescent="0.2">
      <c r="E38" s="554"/>
      <c r="K38" s="983"/>
    </row>
    <row r="39" spans="2:22" x14ac:dyDescent="0.2">
      <c r="K39" s="983"/>
    </row>
    <row r="40" spans="2:22" x14ac:dyDescent="0.2">
      <c r="B40" s="703" t="s">
        <v>959</v>
      </c>
      <c r="C40" s="405"/>
      <c r="D40" s="405"/>
      <c r="E40" s="405"/>
      <c r="F40" s="405"/>
      <c r="G40" s="405"/>
      <c r="H40" s="405"/>
      <c r="I40" s="405"/>
      <c r="J40" s="405"/>
      <c r="K40" s="655"/>
    </row>
    <row r="41" spans="2:22" x14ac:dyDescent="0.2">
      <c r="B41" s="400"/>
      <c r="C41" s="400"/>
      <c r="D41" s="400"/>
      <c r="E41" s="400"/>
      <c r="F41" s="400"/>
      <c r="G41" s="400"/>
      <c r="H41" s="400"/>
      <c r="I41" s="400"/>
      <c r="J41" s="400"/>
      <c r="K41" s="655"/>
    </row>
    <row r="42" spans="2:22" x14ac:dyDescent="0.2">
      <c r="K42" s="655"/>
      <c r="L42" s="403"/>
      <c r="M42" s="405"/>
      <c r="N42" s="405"/>
      <c r="O42" s="405"/>
      <c r="P42" s="405"/>
      <c r="Q42" s="405"/>
      <c r="R42" s="405"/>
    </row>
    <row r="43" spans="2:22" x14ac:dyDescent="0.2">
      <c r="K43" s="655"/>
      <c r="L43" s="703" t="s">
        <v>960</v>
      </c>
      <c r="N43" s="405"/>
      <c r="O43" s="405"/>
      <c r="P43" s="405"/>
      <c r="Q43" s="405"/>
      <c r="R43" s="405"/>
    </row>
    <row r="44" spans="2:22" x14ac:dyDescent="0.2">
      <c r="K44" s="655"/>
      <c r="L44" s="400"/>
      <c r="M44" s="400"/>
      <c r="N44" s="400"/>
      <c r="O44" s="400"/>
      <c r="P44" s="400"/>
      <c r="Q44" s="400"/>
      <c r="R44" s="400"/>
    </row>
    <row r="45" spans="2:22" x14ac:dyDescent="0.2">
      <c r="K45" s="655"/>
    </row>
    <row r="46" spans="2:22" x14ac:dyDescent="0.2">
      <c r="K46" s="655"/>
    </row>
    <row r="58" spans="1:18" x14ac:dyDescent="0.2">
      <c r="B58" s="400"/>
      <c r="C58" s="400"/>
      <c r="D58" s="400"/>
      <c r="E58" s="400"/>
      <c r="F58" s="400"/>
      <c r="G58" s="400"/>
      <c r="H58" s="400"/>
      <c r="I58" s="400"/>
      <c r="J58" s="400"/>
    </row>
    <row r="59" spans="1:18" x14ac:dyDescent="0.2">
      <c r="B59" s="703" t="str">
        <f>"NPL / Total Loans" &amp; " and Coverage Ratio"</f>
        <v>NPL / Total Loans and Coverage Ratio</v>
      </c>
      <c r="C59" s="405"/>
      <c r="D59" s="405"/>
      <c r="E59" s="405"/>
      <c r="F59" s="405"/>
      <c r="G59" s="405"/>
      <c r="H59" s="405"/>
      <c r="I59" s="405"/>
      <c r="J59" s="405"/>
    </row>
    <row r="60" spans="1:18" x14ac:dyDescent="0.2">
      <c r="B60" s="400"/>
      <c r="C60" s="400"/>
      <c r="D60" s="400"/>
      <c r="E60" s="400"/>
      <c r="F60" s="400"/>
      <c r="G60" s="400"/>
      <c r="H60" s="400"/>
      <c r="I60" s="400"/>
      <c r="J60" s="400"/>
    </row>
    <row r="61" spans="1:18" x14ac:dyDescent="0.2">
      <c r="A61" s="400"/>
      <c r="K61" s="400"/>
      <c r="L61" s="400"/>
      <c r="M61" s="400"/>
      <c r="N61" s="400"/>
      <c r="O61" s="400"/>
      <c r="P61" s="400"/>
      <c r="Q61" s="400"/>
      <c r="R61" s="400"/>
    </row>
    <row r="62" spans="1:18" x14ac:dyDescent="0.2">
      <c r="A62" s="400"/>
      <c r="K62" s="400"/>
      <c r="L62" s="703" t="s">
        <v>958</v>
      </c>
      <c r="M62" s="405"/>
      <c r="N62" s="405"/>
      <c r="O62" s="405"/>
      <c r="P62" s="405"/>
      <c r="Q62" s="405"/>
      <c r="R62" s="405"/>
    </row>
    <row r="63" spans="1:18" x14ac:dyDescent="0.2">
      <c r="A63" s="400"/>
      <c r="K63" s="400"/>
      <c r="L63" s="403"/>
      <c r="M63" s="405"/>
      <c r="N63" s="405"/>
      <c r="O63" s="405"/>
      <c r="P63" s="405"/>
      <c r="Q63" s="405"/>
      <c r="R63" s="405"/>
    </row>
  </sheetData>
  <mergeCells count="4">
    <mergeCell ref="D5:J5"/>
    <mergeCell ref="D11:J11"/>
    <mergeCell ref="D21:J21"/>
    <mergeCell ref="D28:J28"/>
  </mergeCells>
  <pageMargins left="0.7" right="0.7" top="0.75" bottom="0.75" header="0.3" footer="0.3"/>
  <pageSetup orientation="portrait" r:id="rId1"/>
  <ignoredErrors>
    <ignoredError sqref="D31:J3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dimension ref="A1:CZ267"/>
  <sheetViews>
    <sheetView showGridLines="0" zoomScaleNormal="100" workbookViewId="0">
      <selection activeCell="B6" sqref="B6"/>
    </sheetView>
  </sheetViews>
  <sheetFormatPr defaultColWidth="9" defaultRowHeight="14.25" outlineLevelRow="1" x14ac:dyDescent="0.2"/>
  <cols>
    <col min="1" max="1" width="2.625" style="399" customWidth="1"/>
    <col min="2" max="2" width="33.75" style="681" customWidth="1"/>
    <col min="3" max="3" width="15.25" style="681" customWidth="1"/>
    <col min="4" max="4" width="17.75" style="681" bestFit="1" customWidth="1"/>
    <col min="5" max="5" width="14.5" style="681" customWidth="1"/>
    <col min="6" max="6" width="11.25" style="681" customWidth="1"/>
    <col min="7" max="7" width="10.5" style="571" customWidth="1"/>
    <col min="8" max="8" width="14.25" style="571" customWidth="1"/>
    <col min="9" max="9" width="13.5" style="402" customWidth="1"/>
    <col min="10" max="10" width="12.5" style="759" customWidth="1"/>
    <col min="11" max="11" width="9" style="399" customWidth="1"/>
    <col min="12" max="12" width="12.75" style="399" customWidth="1"/>
    <col min="13" max="13" width="10.75" style="399" customWidth="1"/>
    <col min="14" max="14" width="9.25" style="399" customWidth="1"/>
    <col min="15" max="15" width="9" style="399"/>
    <col min="16" max="16" width="7.25" style="399" customWidth="1"/>
    <col min="17" max="17" width="9" style="399" customWidth="1"/>
    <col min="18" max="18" width="9" style="399" hidden="1" customWidth="1"/>
    <col min="19" max="99" width="9" style="399" customWidth="1"/>
    <col min="100" max="100" width="8.75" style="399" customWidth="1"/>
    <col min="101" max="103" width="9" style="399" customWidth="1"/>
    <col min="104" max="104" width="11" style="399" customWidth="1"/>
    <col min="105" max="1012" width="9" style="399" customWidth="1"/>
    <col min="1013" max="16384" width="9" style="399"/>
  </cols>
  <sheetData>
    <row r="1" spans="1:104" ht="15" customHeight="1" outlineLevel="1" x14ac:dyDescent="0.2">
      <c r="A1" s="438"/>
      <c r="B1" s="1157" t="str">
        <f>+Target</f>
        <v>NYSE:WMT</v>
      </c>
      <c r="C1" s="1157"/>
      <c r="D1" s="1157" t="str">
        <f>Input!$C$6</f>
        <v>USD</v>
      </c>
      <c r="E1" s="1157"/>
      <c r="F1" s="1157"/>
      <c r="G1" s="1157" t="s">
        <v>1289</v>
      </c>
      <c r="H1" s="1157"/>
      <c r="I1" s="416"/>
      <c r="J1" s="757"/>
      <c r="K1" s="416"/>
      <c r="L1" s="415" t="s">
        <v>416</v>
      </c>
      <c r="M1" s="417">
        <f>WORKDAY(M2-365,0)</f>
        <v>44279</v>
      </c>
      <c r="N1" s="415"/>
      <c r="O1" s="416"/>
      <c r="P1" s="415">
        <f>COUNTA(M3:Q3)</f>
        <v>5</v>
      </c>
      <c r="Q1" s="414"/>
    </row>
    <row r="2" spans="1:104" ht="15" customHeight="1" outlineLevel="1" x14ac:dyDescent="0.2">
      <c r="A2" s="437"/>
      <c r="B2" s="1157" t="str">
        <f>"IQ_ISSUE_NAME"</f>
        <v>IQ_ISSUE_NAME</v>
      </c>
      <c r="C2" s="1157" t="str">
        <f>"IQ_ISIN"</f>
        <v>IQ_ISIN</v>
      </c>
      <c r="D2" s="1157" t="str">
        <f>"IQ_SECURITY_TYPE"</f>
        <v>IQ_SECURITY_TYPE</v>
      </c>
      <c r="E2" s="1157" t="str">
        <f>"IQ_SECURITY_LEVEL"</f>
        <v>IQ_SECURITY_LEVEL</v>
      </c>
      <c r="F2" s="1157" t="str">
        <f>"IQ_AMT_OUT"</f>
        <v>IQ_AMT_OUT</v>
      </c>
      <c r="G2" s="1157" t="str">
        <f>"IQ_MATURITY_DATE"</f>
        <v>IQ_MATURITY_DATE</v>
      </c>
      <c r="H2" s="1157" t="str">
        <f>"IQ_SP_ISSUE_RATING"</f>
        <v>IQ_SP_ISSUE_RATING</v>
      </c>
      <c r="I2" s="416"/>
      <c r="J2" s="758"/>
      <c r="K2" s="416"/>
      <c r="L2" s="415" t="s">
        <v>602</v>
      </c>
      <c r="M2" s="417" cm="1">
        <f t="array" ref="M2">WORKDAY(_xll.ciqfunctions.udf.CIQGETDATE(IQ_TODAY),-1)</f>
        <v>44644</v>
      </c>
      <c r="N2" s="415"/>
      <c r="O2" s="416"/>
      <c r="P2" s="415"/>
      <c r="Q2" s="414"/>
    </row>
    <row r="3" spans="1:104" ht="20.100000000000001" customHeight="1" x14ac:dyDescent="0.2">
      <c r="B3" s="1252" t="s">
        <v>601</v>
      </c>
      <c r="C3" s="1252"/>
      <c r="D3" s="1252"/>
      <c r="E3" s="1252"/>
      <c r="F3" s="1252"/>
      <c r="G3" s="1252"/>
      <c r="H3" s="1275" t="str">
        <f>Input!$C$9</f>
        <v>Walmart Inc.</v>
      </c>
      <c r="L3" s="407" t="str">
        <f>_xll.ciqfunctions.udf.CIQRANGEA(B1, "IQ_FIXED_INCOME_LIST", 1, 1000, , , , , "Fixed Income Identifiers")</f>
        <v>Fixed Income Identifiers</v>
      </c>
      <c r="M3" s="407" t="str">
        <f>_xll.ciqfunctions.udf.CIQ("NYSE:WMT", "IQ_FIXED_INCOME_LIST", 1)</f>
        <v>IQT261381017</v>
      </c>
      <c r="N3" s="407" t="str">
        <f>_xll.ciqfunctions.udf.CIQ("NYSE:WMT", "IQ_FIXED_INCOME_LIST", 2)</f>
        <v>IQT434221693</v>
      </c>
      <c r="O3" s="407" t="str">
        <f>_xll.ciqfunctions.udf.CIQ("NYSE:WMT", "IQ_FIXED_INCOME_LIST", 3)</f>
        <v>IQT540591588</v>
      </c>
      <c r="P3" s="407" t="str">
        <f>_xll.ciqfunctions.udf.CIQ("NYSE:WMT", "IQ_FIXED_INCOME_LIST", 4)</f>
        <v>IQT235518345</v>
      </c>
      <c r="Q3" s="407" t="str">
        <f>_xll.ciqfunctions.udf.CIQ("NYSE:WMT", "IQ_FIXED_INCOME_LIST", 5)</f>
        <v>IQT571380411</v>
      </c>
      <c r="R3" s="436" t="str">
        <f>_xll.ciqfunctions.udf.CIQ("NYSE:WMT", "IQ_FIXED_INCOME_LIST", 6)</f>
        <v>IQT14202069</v>
      </c>
      <c r="S3" s="436" t="str">
        <f>_xll.ciqfunctions.udf.CIQ("NYSE:WMT", "IQ_FIXED_INCOME_LIST", 7)</f>
        <v>IQT262175200</v>
      </c>
      <c r="T3" s="436" t="str">
        <f>_xll.ciqfunctions.udf.CIQ("NYSE:WMT", "IQ_FIXED_INCOME_LIST", 8)</f>
        <v>IQT610819289</v>
      </c>
      <c r="U3" s="436" t="str">
        <f>_xll.ciqfunctions.udf.CIQ("NYSE:WMT", "IQ_FIXED_INCOME_LIST", 9)</f>
        <v>IQT529527119</v>
      </c>
      <c r="V3" s="436" t="str">
        <f>_xll.ciqfunctions.udf.CIQ("NYSE:WMT", "IQ_FIXED_INCOME_LIST", 10)</f>
        <v>IQT540592564</v>
      </c>
      <c r="W3" s="436" t="str">
        <f>_xll.ciqfunctions.udf.CIQ("NYSE:WMT", "IQ_FIXED_INCOME_LIST", 11)</f>
        <v>IQT571380405</v>
      </c>
      <c r="X3" s="436" t="str">
        <f>_xll.ciqfunctions.udf.CIQ("NYSE:WMT", "IQ_FIXED_INCOME_LIST", 12)</f>
        <v>IQT261381018</v>
      </c>
      <c r="Y3" s="436" t="str">
        <f>_xll.ciqfunctions.udf.CIQ("NYSE:WMT", "IQ_FIXED_INCOME_LIST", 13)</f>
        <v>IQT610819290</v>
      </c>
      <c r="Z3" s="436" t="str">
        <f>_xll.ciqfunctions.udf.CIQ("NYSE:WMT", "IQ_FIXED_INCOME_LIST", 14)</f>
        <v>IQT1681410748</v>
      </c>
      <c r="AA3" s="404" t="str">
        <f>_xll.ciqfunctions.udf.CIQ("NYSE:WMT", "IQ_FIXED_INCOME_LIST", 15)</f>
        <v>IQT160926232</v>
      </c>
      <c r="AB3" s="399" t="str">
        <f>_xll.ciqfunctions.udf.CIQ("NYSE:WMT", "IQ_FIXED_INCOME_LIST", 16)</f>
        <v>IQT529527120</v>
      </c>
      <c r="AC3" s="399" t="str">
        <f>_xll.ciqfunctions.udf.CIQ("NYSE:WMT", "IQ_FIXED_INCOME_LIST", 17)</f>
        <v>IQT571380406</v>
      </c>
      <c r="AD3" s="399" t="str">
        <f>_xll.ciqfunctions.udf.CIQ("NYSE:WMT", "IQ_FIXED_INCOME_LIST", 18)</f>
        <v>IQT1679234484</v>
      </c>
      <c r="AE3" s="399" t="str">
        <f>_xll.ciqfunctions.udf.CIQ("NYSE:WMT", "IQ_FIXED_INCOME_LIST", 19)</f>
        <v>IQT610819291</v>
      </c>
      <c r="AF3" s="399" t="str">
        <f>_xll.ciqfunctions.udf.CIQ("NYSE:WMT", "IQ_FIXED_INCOME_LIST", 20)</f>
        <v>IQT67710298</v>
      </c>
      <c r="AG3" s="399" t="str">
        <f>_xll.ciqfunctions.udf.CIQ("NYSE:WMT", "IQ_FIXED_INCOME_LIST", 21)</f>
        <v>IQT634586273</v>
      </c>
      <c r="AH3" s="399" t="str">
        <f>_xll.ciqfunctions.udf.CIQ("NYSE:WMT", "IQ_FIXED_INCOME_LIST", 22)</f>
        <v>IQT40864563</v>
      </c>
      <c r="AI3" s="399" t="str">
        <f>_xll.ciqfunctions.udf.CIQ("NYSE:WMT", "IQ_FIXED_INCOME_LIST", 23)</f>
        <v>IQT14271377</v>
      </c>
      <c r="AJ3" s="399" t="str">
        <f>_xll.ciqfunctions.udf.CIQ("NYSE:WMT", "IQ_FIXED_INCOME_LIST", 24)</f>
        <v>IQT1681891021</v>
      </c>
      <c r="AK3" s="399" t="str">
        <f>_xll.ciqfunctions.udf.CIQ("NYSE:WMT", "IQ_FIXED_INCOME_LIST", 25)</f>
        <v>IQT62339085</v>
      </c>
      <c r="AL3" s="399" t="str">
        <f>_xll.ciqfunctions.udf.CIQ("NYSE:WMT", "IQ_FIXED_INCOME_LIST", 26)</f>
        <v>IQT14544009</v>
      </c>
      <c r="AM3" s="399" t="str">
        <f>_xll.ciqfunctions.udf.CIQ("NYSE:WMT", "IQ_FIXED_INCOME_LIST", 27)</f>
        <v>IQT31777938</v>
      </c>
      <c r="AN3" s="399" t="str">
        <f>_xll.ciqfunctions.udf.CIQ("NYSE:WMT", "IQ_FIXED_INCOME_LIST", 28)</f>
        <v>IQT36365833</v>
      </c>
      <c r="AO3" s="399" t="str">
        <f>_xll.ciqfunctions.udf.CIQ("NYSE:WMT", "IQ_FIXED_INCOME_LIST", 29)</f>
        <v>IQT281171843</v>
      </c>
      <c r="AP3" s="399" t="str">
        <f>_xll.ciqfunctions.udf.CIQ("NYSE:WMT", "IQ_FIXED_INCOME_LIST", 30)</f>
        <v>IQT571380403</v>
      </c>
      <c r="AQ3" s="399" t="str">
        <f>_xll.ciqfunctions.udf.CIQ("NYSE:WMT", "IQ_FIXED_INCOME_LIST", 31)</f>
        <v>IQT31787079</v>
      </c>
      <c r="AR3" s="399" t="str">
        <f>_xll.ciqfunctions.udf.CIQ("NYSE:WMT", "IQ_FIXED_INCOME_LIST", 32)</f>
        <v>IQT99983736</v>
      </c>
      <c r="AS3" s="399" t="str">
        <f>_xll.ciqfunctions.udf.CIQ("NYSE:WMT", "IQ_FIXED_INCOME_LIST", 33)</f>
        <v>IQT129652543</v>
      </c>
      <c r="AT3" s="399" t="str">
        <f>_xll.ciqfunctions.udf.CIQ("NYSE:WMT", "IQ_FIXED_INCOME_LIST", 34)</f>
        <v>IQT160926048</v>
      </c>
      <c r="AU3" s="399" t="str">
        <f>_xll.ciqfunctions.udf.CIQ("NYSE:WMT", "IQ_FIXED_INCOME_LIST", 35)</f>
        <v>IQT129752023</v>
      </c>
      <c r="AV3" s="399" t="str">
        <f>_xll.ciqfunctions.udf.CIQ("NYSE:WMT", "IQ_FIXED_INCOME_LIST", 36)</f>
        <v>IQT1681718043</v>
      </c>
      <c r="AW3" s="399" t="str">
        <f>_xll.ciqfunctions.udf.CIQ("NYSE:WMT", "IQ_FIXED_INCOME_LIST", 37)</f>
        <v>IQT234803177</v>
      </c>
      <c r="AX3" s="399" t="str">
        <f>_xll.ciqfunctions.udf.CIQ("NYSE:WMT", "IQ_FIXED_INCOME_LIST", 38)</f>
        <v>IQT247460789</v>
      </c>
      <c r="AY3" s="399" t="str">
        <f>_xll.ciqfunctions.udf.CIQ("NYSE:WMT", "IQ_FIXED_INCOME_LIST", 39)</f>
        <v>IQT262175199</v>
      </c>
      <c r="AZ3" s="399" t="str">
        <f>_xll.ciqfunctions.udf.CIQ("NYSE:WMT", "IQ_FIXED_INCOME_LIST", 40)</f>
        <v>IQT540593270</v>
      </c>
      <c r="BA3" s="399" t="str">
        <f>_xll.ciqfunctions.udf.CIQ("NYSE:WMT", "IQ_FIXED_INCOME_LIST", 41)</f>
        <v>IQT571380404</v>
      </c>
      <c r="BB3" s="399" t="str">
        <f>_xll.ciqfunctions.udf.CIQ("NYSE:WMT", "IQ_FIXED_INCOME_LIST", 42)</f>
        <v>IQT634586274</v>
      </c>
      <c r="BC3" s="399" t="str">
        <f>_xll.ciqfunctions.udf.CIQ("NYSE:WMT", "IQ_FIXED_INCOME_LIST", 43)</f>
        <v>IQT1681410749</v>
      </c>
    </row>
    <row r="4" spans="1:104" ht="15" customHeight="1" x14ac:dyDescent="0.2">
      <c r="D4" s="571"/>
      <c r="E4" s="571"/>
      <c r="F4" s="571"/>
      <c r="L4" s="435" t="s">
        <v>600</v>
      </c>
      <c r="M4" s="426" t="str">
        <f>+IF(LEN(M3)&gt;0,IF(OR(_xll.ciqfunctions.udf.CIQ(M$3,$B$2)=0,_xll.ciqfunctions.udf.CIQ(M$3,$B$2)="NA"),"NA",_xll.ciqfunctions.udf.CIQ(M$3,$B$2)),"")</f>
        <v>EUR$ GLOBAL NT 1.900 Apr-8-2022</v>
      </c>
      <c r="N4" s="426" t="str">
        <f>+IF(LEN(N3)&gt;0,IF(OR(_xll.ciqfunctions.udf.CIQ(N$3,$B$2)=0,_xll.ciqfunctions.udf.CIQ(N$3,$B$2)="NA"),"NA",_xll.ciqfunctions.udf.CIQ(N$3,$B$2)),"")</f>
        <v>JPY$ SR NT 0.183 Jul-15-2022</v>
      </c>
      <c r="O4" s="426" t="str">
        <f>+IF(LEN(O3)&gt;0,IF(OR(_xll.ciqfunctions.udf.CIQ(O$3,$B$2)=0,_xll.ciqfunctions.udf.CIQ(O$3,$B$2)="NA"),"NA",_xll.ciqfunctions.udf.CIQ(O$3,$B$2)),"")</f>
        <v>NT 2.350 Dec-15-2022</v>
      </c>
      <c r="P4" s="426" t="str">
        <f>+IF(LEN(P3)&gt;0,IF(OR(_xll.ciqfunctions.udf.CIQ(P$3,$B$2)=0,_xll.ciqfunctions.udf.CIQ(P$3,$B$2)="NA"),"NA",_xll.ciqfunctions.udf.CIQ(P$3,$B$2)),"")</f>
        <v>GLOBAL NT 2.550 Apr-11-2023</v>
      </c>
      <c r="Q4" s="426" t="str">
        <f>+IF(LEN(Q3)&gt;0,IF(OR(_xll.ciqfunctions.udf.CIQ(Q$3,$B$2)=0,_xll.ciqfunctions.udf.CIQ(Q$3,$B$2)="NA"),"NA",_xll.ciqfunctions.udf.CIQ(Q$3,$B$2)),"")</f>
        <v>GLOBAL NT 3.400 Jun-26-2023</v>
      </c>
      <c r="R4" s="434" t="str">
        <f>+IF(LEN(R3)&gt;0,_xll.ciqfunctions.udf.CIQ(R$3,$B$2),"")</f>
        <v>DEB 6.750 Oct-15-2023</v>
      </c>
      <c r="S4" s="434" t="str">
        <f>+IF(LEN(S3)&gt;0,_xll.ciqfunctions.udf.CIQ(S$3,$B$2),"")</f>
        <v>GLOBAL NT 3.300 Apr-22-2024</v>
      </c>
      <c r="T4" s="434" t="str">
        <f>+IF(LEN(T3)&gt;0,_xll.ciqfunctions.udf.CIQ(T$3,$B$2),"")</f>
        <v>GLOBAL NT 2.850 Jul-8-2024</v>
      </c>
      <c r="U4" s="434" t="str">
        <f>+IF(LEN(U3)&gt;0,_xll.ciqfunctions.udf.CIQ(U$3,$B$2),"")</f>
        <v>JPY$ SR NT 0.298 Jul-18-2024</v>
      </c>
      <c r="V4" s="434" t="str">
        <f>+IF(LEN(V3)&gt;0,_xll.ciqfunctions.udf.CIQ(V$3,$B$2),"")</f>
        <v>NT 2.650 Dec-15-2024</v>
      </c>
      <c r="W4" s="434" t="str">
        <f>+IF(LEN(W3)&gt;0,_xll.ciqfunctions.udf.CIQ(W$3,$B$2),"")</f>
        <v>GLOBAL NT 3.550 Jun-26-2025</v>
      </c>
      <c r="X4" s="434" t="str">
        <f>+IF(LEN(X3)&gt;0,_xll.ciqfunctions.udf.CIQ(X$3,$B$2),"")</f>
        <v>EUR$ GLOBAL NT 2.550 Apr-8-2026</v>
      </c>
      <c r="Y4" s="434" t="str">
        <f>+IF(LEN(Y3)&gt;0,_xll.ciqfunctions.udf.CIQ(Y$3,$B$2),"")</f>
        <v>GLOBAL NT 3.050 Jul-8-2026</v>
      </c>
      <c r="Z4" s="434" t="str">
        <f>+IF(LEN(Z3)&gt;0,_xll.ciqfunctions.udf.CIQ(Z$3,$B$2),"")</f>
        <v>SR GLBL NT 26</v>
      </c>
      <c r="AA4" s="404"/>
    </row>
    <row r="5" spans="1:104" ht="38.25" x14ac:dyDescent="0.2">
      <c r="B5" s="1436" t="s">
        <v>599</v>
      </c>
      <c r="C5" s="1437" t="s">
        <v>598</v>
      </c>
      <c r="D5" s="1437" t="s">
        <v>597</v>
      </c>
      <c r="E5" s="1437" t="s">
        <v>596</v>
      </c>
      <c r="F5" s="1437" t="str">
        <f>+"Amount Outstanding ("&amp;Input!$C$6&amp;" mn)"</f>
        <v>Amount Outstanding (USD mn)</v>
      </c>
      <c r="G5" s="1437" t="s">
        <v>595</v>
      </c>
      <c r="H5" s="1452" t="s">
        <v>594</v>
      </c>
      <c r="I5" s="433">
        <f>IF(LEN(M3)&gt;0,1,"")</f>
        <v>1</v>
      </c>
      <c r="J5" s="431" t="str">
        <f>+IFERROR(VLOOKUP($L$3,$L$3:$AH$4,I5+1,FALSE),"")</f>
        <v>IQT261381017</v>
      </c>
      <c r="L5" s="425">
        <f>+IF(WORKDAY($M$1,K5)&lt;=$M$2,WORKDAY($M$1,K5),"")</f>
        <v>44279</v>
      </c>
      <c r="M5" s="424">
        <f>IF(AND($L5&lt;&gt;"",M$3&lt;&gt;""),IF(NOT(ISNUMBER(_xll.ciqfunctions.udf.CIQ(M$3, "IQ_BOND_PRICE", $L5))),NA(),_xll.ciqfunctions.udf.CIQ(M$3, "IQ_BOND_PRICE", $L5)),"")</f>
        <v>101.84</v>
      </c>
      <c r="N5" s="424">
        <f>IF(AND($L5&lt;&gt;"",N$3&lt;&gt;""),IF(NOT(ISNUMBER(_xll.ciqfunctions.udf.CIQ(N$3, "IQ_BOND_PRICE", $L5))),NA(),_xll.ciqfunctions.udf.CIQ(N$3, "IQ_BOND_PRICE", $L5)),"")</f>
        <v>0</v>
      </c>
      <c r="O5" s="424">
        <f>IF(AND($L5&lt;&gt;"",O$3&lt;&gt;""),IF(NOT(ISNUMBER(_xll.ciqfunctions.udf.CIQ(O$3, "IQ_BOND_PRICE", $L5))),NA(),_xll.ciqfunctions.udf.CIQ(O$3, "IQ_BOND_PRICE", $L5)),"")</f>
        <v>103.411</v>
      </c>
      <c r="P5" s="424">
        <f>IF(AND($L5&lt;&gt;"",P$3&lt;&gt;""),IF(NOT(ISNUMBER(_xll.ciqfunctions.udf.CIQ(P$3, "IQ_BOND_PRICE", $L5))),NA(),_xll.ciqfunctions.udf.CIQ(P$3, "IQ_BOND_PRICE", $L5)),"")</f>
        <v>104.02719</v>
      </c>
      <c r="Q5" s="424">
        <f>IF(AND($L5&lt;&gt;"",Q$3&lt;&gt;""),IF(NOT(ISNUMBER(_xll.ciqfunctions.udf.CIQ(Q$3, "IQ_BOND_PRICE", $L5))),NA(),_xll.ciqfunctions.udf.CIQ(Q$3, "IQ_BOND_PRICE", $L5)),"")</f>
        <v>106.657</v>
      </c>
      <c r="R5" s="424">
        <f>IF(AND($L5&lt;&gt;"",R$3&lt;&gt;""),IF(NOT(ISNUMBER(_xll.ciqfunctions.udf.CIQ(R$3, "IQ_BOND_PRICE", $L5))),NA(),_xll.ciqfunctions.udf.CIQ(R$3, "IQ_BOND_PRICE", $L5)),"")</f>
        <v>115.65</v>
      </c>
      <c r="S5" s="424">
        <f>IF(AND($L5&lt;&gt;"",S$3&lt;&gt;""),IF(NOT(ISNUMBER(_xll.ciqfunctions.udf.CIQ(S$3, "IQ_BOND_PRICE", $L5))),NA(),_xll.ciqfunctions.udf.CIQ(S$3, "IQ_BOND_PRICE", $L5)),"")</f>
        <v>107.837</v>
      </c>
      <c r="T5" s="424">
        <f>IF(AND($L5&lt;&gt;"",T$3&lt;&gt;""),IF(NOT(ISNUMBER(_xll.ciqfunctions.udf.CIQ(T$3, "IQ_BOND_PRICE", $L5))),NA(),_xll.ciqfunctions.udf.CIQ(T$3, "IQ_BOND_PRICE", $L5)),"")</f>
        <v>107.193</v>
      </c>
      <c r="U5" s="424">
        <f>IF(AND($L5&lt;&gt;"",U$3&lt;&gt;""),IF(NOT(ISNUMBER(_xll.ciqfunctions.udf.CIQ(U$3, "IQ_BOND_PRICE", $L5))),NA(),_xll.ciqfunctions.udf.CIQ(U$3, "IQ_BOND_PRICE", $L5)),"")</f>
        <v>99.869489999999999</v>
      </c>
      <c r="V5" s="424">
        <f>IF(AND($L5&lt;&gt;"",V$3&lt;&gt;""),IF(NOT(ISNUMBER(_xll.ciqfunctions.udf.CIQ(V$3, "IQ_BOND_PRICE", $L5))),NA(),_xll.ciqfunctions.udf.CIQ(V$3, "IQ_BOND_PRICE", $L5)),"")</f>
        <v>107.09456</v>
      </c>
      <c r="W5" s="424">
        <f>IF(AND($L5&lt;&gt;"",W$3&lt;&gt;""),IF(NOT(ISNUMBER(_xll.ciqfunctions.udf.CIQ(W$3, "IQ_BOND_PRICE", $L5))),NA(),_xll.ciqfunctions.udf.CIQ(W$3, "IQ_BOND_PRICE", $L5)),"")</f>
        <v>110.53700000000001</v>
      </c>
      <c r="X5" s="424">
        <f>IF(AND($L5&lt;&gt;"",X$3&lt;&gt;""),IF(NOT(ISNUMBER(_xll.ciqfunctions.udf.CIQ(X$3, "IQ_BOND_PRICE", $L5))),NA(),_xll.ciqfunctions.udf.CIQ(X$3, "IQ_BOND_PRICE", $L5)),"")</f>
        <v>113.011</v>
      </c>
      <c r="Y5" s="424">
        <f>IF(AND($L5&lt;&gt;"",Y$3&lt;&gt;""),IF(NOT(ISNUMBER(_xll.ciqfunctions.udf.CIQ(Y$3, "IQ_BOND_PRICE", $L5))),NA(),_xll.ciqfunctions.udf.CIQ(Y$3, "IQ_BOND_PRICE", $L5)),"")</f>
        <v>109.134</v>
      </c>
      <c r="Z5" s="424">
        <f>IF(AND($L5&lt;&gt;"",Z$3&lt;&gt;""),IF(NOT(ISNUMBER(_xll.ciqfunctions.udf.CIQ(Z$3, "IQ_BOND_PRICE", $L5))),NA(),_xll.ciqfunctions.udf.CIQ(Z$3, "IQ_BOND_PRICE", $L5)),"")</f>
        <v>0</v>
      </c>
      <c r="AA5" s="404"/>
      <c r="CZ5" s="426"/>
    </row>
    <row r="6" spans="1:104" ht="25.5" x14ac:dyDescent="0.2">
      <c r="B6" s="891" t="str">
        <f>+IFERROR(IF(LEN($J5)&gt;0,IF(OR(_xll.ciqfunctions.udf.CIQ($J5,B$2)=0,_xll.ciqfunctions.udf.CIQ($J5,B$2)="NA"),"NA",_xll.ciqfunctions.udf.CIQ($J5,B$2)),""),"NA")</f>
        <v>EUR$ GLOBAL NT 1.900 Apr-8-2022</v>
      </c>
      <c r="C6" s="1084" t="str">
        <f>+IFERROR(IF(LEN($J5)&gt;0,RIGHT(_xll.ciqfunctions.udf.CIQ($J5,C$2),LEN(_xll.ciqfunctions.udf.CIQ($J5,C$2))-2),""),"NA")</f>
        <v>XS1054528457</v>
      </c>
      <c r="D6" s="1153" t="str">
        <f>+IFERROR(IF(LEN($J5)&gt;0,IF(OR(B6=0,B6="NA"),"NA",_xll.ciqfunctions.udf.CIQ($J5,D$2)),""),"NA")</f>
        <v>Foreign Currency Debenture</v>
      </c>
      <c r="E6" s="1154" t="str">
        <f>+IFERROR(IF(LEN($J5)&gt;0,IF(OR(B6=0,B6="NA"),"NA",_xll.ciqfunctions.udf.CIQ($J5,E$2)),""),"NA")</f>
        <v>Senior Unsecured</v>
      </c>
      <c r="F6" s="1155">
        <f>+IFERROR(IF(LEN($J5)&gt;0,IF(OR(B6=0,B6="NA"),"NA",_xll.ciqfunctions.udf.CIQ($J5,F$2)),""),"NA")</f>
        <v>1173.62789</v>
      </c>
      <c r="G6" s="1154" t="str">
        <f>+IFERROR(IF(LEN($J5)&gt;0,IF(OR(B6=0,B6="NA"),"NA",TEXT(_xll.ciqfunctions.udf.CIQ($J5,G$2),"mmm yyyy")),""),"NA")</f>
        <v>Apr 2022</v>
      </c>
      <c r="H6" s="1154" t="str">
        <f>+IFERROR(IF(LEN($J5)&gt;0,IF(_xll.ciqfunctions.udf.CIQ($J5,H$2)=0,"NA",_xll.ciqfunctions.udf.CIQ($J5,H$2)),""),"NA")</f>
        <v>NA</v>
      </c>
      <c r="I6" s="432">
        <f>+IFERROR(IF(I5+1&lt;=$P$1,I5+1,""),"")</f>
        <v>2</v>
      </c>
      <c r="J6" s="431" t="str">
        <f>+IFERROR(VLOOKUP($L$3,$L$3:$AH$4,I6+1,FALSE),"")</f>
        <v>IQT434221693</v>
      </c>
      <c r="L6" s="425">
        <f t="shared" ref="L6:L69" si="0">+IF(WORKDAY($L5,1)&lt;=$M$2,WORKDAY($L5,1),"")</f>
        <v>44280</v>
      </c>
      <c r="M6" s="424">
        <f>IF(AND($L6&lt;&gt;"",M$3&lt;&gt;""),IF(NOT(ISNUMBER(_xll.ciqfunctions.udf.CIQ(M$3, "IQ_BOND_PRICE", $L6))),NA(),_xll.ciqfunctions.udf.CIQ(M$3, "IQ_BOND_PRICE", $L6)),"")</f>
        <v>101.818</v>
      </c>
      <c r="N6" s="424">
        <f>IF(AND($L6&lt;&gt;"",N$3&lt;&gt;""),IF(NOT(ISNUMBER(_xll.ciqfunctions.udf.CIQ(N$3, "IQ_BOND_PRICE", $L6))),NA(),_xll.ciqfunctions.udf.CIQ(N$3, "IQ_BOND_PRICE", $L6)),"")</f>
        <v>0</v>
      </c>
      <c r="O6" s="424">
        <f>IF(AND($L6&lt;&gt;"",O$3&lt;&gt;""),IF(NOT(ISNUMBER(_xll.ciqfunctions.udf.CIQ(O$3, "IQ_BOND_PRICE", $L6))),NA(),_xll.ciqfunctions.udf.CIQ(O$3, "IQ_BOND_PRICE", $L6)),"")</f>
        <v>103.40707999999999</v>
      </c>
      <c r="P6" s="424">
        <f>IF(AND($L6&lt;&gt;"",P$3&lt;&gt;""),IF(NOT(ISNUMBER(_xll.ciqfunctions.udf.CIQ(P$3, "IQ_BOND_PRICE", $L6))),NA(),_xll.ciqfunctions.udf.CIQ(P$3, "IQ_BOND_PRICE", $L6)),"")</f>
        <v>104.00127000000001</v>
      </c>
      <c r="Q6" s="424">
        <f>IF(AND($L6&lt;&gt;"",Q$3&lt;&gt;""),IF(NOT(ISNUMBER(_xll.ciqfunctions.udf.CIQ(Q$3, "IQ_BOND_PRICE", $L6))),NA(),_xll.ciqfunctions.udf.CIQ(Q$3, "IQ_BOND_PRICE", $L6)),"")</f>
        <v>106.628</v>
      </c>
      <c r="R6" s="424">
        <f>IF(AND($L6&lt;&gt;"",R$3&lt;&gt;""),IF(NOT(ISNUMBER(_xll.ciqfunctions.udf.CIQ(R$3, "IQ_BOND_PRICE", $L6))),NA(),_xll.ciqfunctions.udf.CIQ(R$3, "IQ_BOND_PRICE", $L6)),"")</f>
        <v>115.655</v>
      </c>
      <c r="S6" s="424">
        <f>IF(AND($L6&lt;&gt;"",S$3&lt;&gt;""),IF(NOT(ISNUMBER(_xll.ciqfunctions.udf.CIQ(S$3, "IQ_BOND_PRICE", $L6))),NA(),_xll.ciqfunctions.udf.CIQ(S$3, "IQ_BOND_PRICE", $L6)),"")</f>
        <v>107.773</v>
      </c>
      <c r="T6" s="424">
        <f>IF(AND($L6&lt;&gt;"",T$3&lt;&gt;""),IF(NOT(ISNUMBER(_xll.ciqfunctions.udf.CIQ(T$3, "IQ_BOND_PRICE", $L6))),NA(),_xll.ciqfunctions.udf.CIQ(T$3, "IQ_BOND_PRICE", $L6)),"")</f>
        <v>107.21</v>
      </c>
      <c r="U6" s="424">
        <f>IF(AND($L6&lt;&gt;"",U$3&lt;&gt;""),IF(NOT(ISNUMBER(_xll.ciqfunctions.udf.CIQ(U$3, "IQ_BOND_PRICE", $L6))),NA(),_xll.ciqfunctions.udf.CIQ(U$3, "IQ_BOND_PRICE", $L6)),"")</f>
        <v>99.885760000000005</v>
      </c>
      <c r="V6" s="424">
        <f>IF(AND($L6&lt;&gt;"",V$3&lt;&gt;""),IF(NOT(ISNUMBER(_xll.ciqfunctions.udf.CIQ(V$3, "IQ_BOND_PRICE", $L6))),NA(),_xll.ciqfunctions.udf.CIQ(V$3, "IQ_BOND_PRICE", $L6)),"")</f>
        <v>107.13428</v>
      </c>
      <c r="W6" s="424">
        <f>IF(AND($L6&lt;&gt;"",W$3&lt;&gt;""),IF(NOT(ISNUMBER(_xll.ciqfunctions.udf.CIQ(W$3, "IQ_BOND_PRICE", $L6))),NA(),_xll.ciqfunctions.udf.CIQ(W$3, "IQ_BOND_PRICE", $L6)),"")</f>
        <v>110.623</v>
      </c>
      <c r="X6" s="424">
        <f>IF(AND($L6&lt;&gt;"",X$3&lt;&gt;""),IF(NOT(ISNUMBER(_xll.ciqfunctions.udf.CIQ(X$3, "IQ_BOND_PRICE", $L6))),NA(),_xll.ciqfunctions.udf.CIQ(X$3, "IQ_BOND_PRICE", $L6)),"")</f>
        <v>113.009</v>
      </c>
      <c r="Y6" s="424">
        <f>IF(AND($L6&lt;&gt;"",Y$3&lt;&gt;""),IF(NOT(ISNUMBER(_xll.ciqfunctions.udf.CIQ(Y$3, "IQ_BOND_PRICE", $L6))),NA(),_xll.ciqfunctions.udf.CIQ(Y$3, "IQ_BOND_PRICE", $L6)),"")</f>
        <v>109.187</v>
      </c>
      <c r="Z6" s="424">
        <f>IF(AND($L6&lt;&gt;"",Z$3&lt;&gt;""),IF(NOT(ISNUMBER(_xll.ciqfunctions.udf.CIQ(Z$3, "IQ_BOND_PRICE", $L6))),NA(),_xll.ciqfunctions.udf.CIQ(Z$3, "IQ_BOND_PRICE", $L6)),"")</f>
        <v>0</v>
      </c>
      <c r="AA6" s="404"/>
      <c r="CZ6" s="426"/>
    </row>
    <row r="7" spans="1:104" ht="25.5" x14ac:dyDescent="0.2">
      <c r="B7" s="891" t="str">
        <f>+IFERROR(IF(LEN($J6)&gt;0,IF(OR(_xll.ciqfunctions.udf.CIQ($J6,B$2)=0,_xll.ciqfunctions.udf.CIQ($J6,B$2)="NA"),"NA",_xll.ciqfunctions.udf.CIQ($J6,B$2)),""),"NA")</f>
        <v>JPY$ SR NT 0.183 Jul-15-2022</v>
      </c>
      <c r="C7" s="1085" t="str">
        <f>+IFERROR(IF(LEN($J6)&gt;0,RIGHT(_xll.ciqfunctions.udf.CIQ($J6,C$2),LEN(_xll.ciqfunctions.udf.CIQ($J6,C$2))-2),""),"NA")</f>
        <v>XS1645683852</v>
      </c>
      <c r="D7" s="1153" t="str">
        <f>+IFERROR(IF(LEN($J6)&gt;0,IF(OR(B7=0,B7="NA"),"NA",_xll.ciqfunctions.udf.CIQ($J6,D$2)),""),"NA")</f>
        <v>Foreign Currency Debenture</v>
      </c>
      <c r="E7" s="1154" t="str">
        <f>+IFERROR(IF(LEN($J6)&gt;0,IF(OR(B7=0,B7="NA"),"NA",_xll.ciqfunctions.udf.CIQ($J6,E$2)),""),"NA")</f>
        <v>Senior Unsecured</v>
      </c>
      <c r="F7" s="1155">
        <f>+IFERROR(IF(LEN($J6)&gt;0,IF(OR(B7=0,B7="NA"),"NA",_xll.ciqfunctions.udf.CIQ($J6,F$2)),""),"NA")</f>
        <v>613.49694</v>
      </c>
      <c r="G7" s="1154" t="str">
        <f>+IFERROR(IF(LEN($J6)&gt;0,IF(OR(B7=0,B7="NA"),"NA",TEXT(_xll.ciqfunctions.udf.CIQ($J6,G$2),"mmm yyyy")),""),"NA")</f>
        <v>Jul 2022</v>
      </c>
      <c r="H7" s="1156" t="str">
        <f>+IFERROR(IF(LEN($J6)&gt;0,IF(_xll.ciqfunctions.udf.CIQ($J6,H$2)=0,"NA",_xll.ciqfunctions.udf.CIQ($J6,H$2)),""),"NA")</f>
        <v>NA</v>
      </c>
      <c r="I7" s="432">
        <f>+IFERROR(IF(I6+1&lt;=$P$1,I6+1,""),"")</f>
        <v>3</v>
      </c>
      <c r="J7" s="431" t="str">
        <f>+IFERROR(VLOOKUP($L$3,$L$3:$AH$4,I7+1,FALSE),"")</f>
        <v>IQT540591588</v>
      </c>
      <c r="L7" s="425">
        <f t="shared" si="0"/>
        <v>44281</v>
      </c>
      <c r="M7" s="424">
        <f>IF(AND($L7&lt;&gt;"",M$3&lt;&gt;""),IF(NOT(ISNUMBER(_xll.ciqfunctions.udf.CIQ(M$3, "IQ_BOND_PRICE", $L7))),NA(),_xll.ciqfunctions.udf.CIQ(M$3, "IQ_BOND_PRICE", $L7)),"")</f>
        <v>101.818</v>
      </c>
      <c r="N7" s="424">
        <f>IF(AND($L7&lt;&gt;"",N$3&lt;&gt;""),IF(NOT(ISNUMBER(_xll.ciqfunctions.udf.CIQ(N$3, "IQ_BOND_PRICE", $L7))),NA(),_xll.ciqfunctions.udf.CIQ(N$3, "IQ_BOND_PRICE", $L7)),"")</f>
        <v>0</v>
      </c>
      <c r="O7" s="424">
        <f>IF(AND($L7&lt;&gt;"",O$3&lt;&gt;""),IF(NOT(ISNUMBER(_xll.ciqfunctions.udf.CIQ(O$3, "IQ_BOND_PRICE", $L7))),NA(),_xll.ciqfunctions.udf.CIQ(O$3, "IQ_BOND_PRICE", $L7)),"")</f>
        <v>103.40900000000001</v>
      </c>
      <c r="P7" s="424">
        <f>IF(AND($L7&lt;&gt;"",P$3&lt;&gt;""),IF(NOT(ISNUMBER(_xll.ciqfunctions.udf.CIQ(P$3, "IQ_BOND_PRICE", $L7))),NA(),_xll.ciqfunctions.udf.CIQ(P$3, "IQ_BOND_PRICE", $L7)),"")</f>
        <v>104.06901000000001</v>
      </c>
      <c r="Q7" s="424">
        <f>IF(AND($L7&lt;&gt;"",Q$3&lt;&gt;""),IF(NOT(ISNUMBER(_xll.ciqfunctions.udf.CIQ(Q$3, "IQ_BOND_PRICE", $L7))),NA(),_xll.ciqfunctions.udf.CIQ(Q$3, "IQ_BOND_PRICE", $L7)),"")</f>
        <v>106.639</v>
      </c>
      <c r="R7" s="424">
        <f>IF(AND($L7&lt;&gt;"",R$3&lt;&gt;""),IF(NOT(ISNUMBER(_xll.ciqfunctions.udf.CIQ(R$3, "IQ_BOND_PRICE", $L7))),NA(),_xll.ciqfunctions.udf.CIQ(R$3, "IQ_BOND_PRICE", $L7)),"")</f>
        <v>115.62</v>
      </c>
      <c r="S7" s="424">
        <f>IF(AND($L7&lt;&gt;"",S$3&lt;&gt;""),IF(NOT(ISNUMBER(_xll.ciqfunctions.udf.CIQ(S$3, "IQ_BOND_PRICE", $L7))),NA(),_xll.ciqfunctions.udf.CIQ(S$3, "IQ_BOND_PRICE", $L7)),"")</f>
        <v>107.845</v>
      </c>
      <c r="T7" s="424">
        <f>IF(AND($L7&lt;&gt;"",T$3&lt;&gt;""),IF(NOT(ISNUMBER(_xll.ciqfunctions.udf.CIQ(T$3, "IQ_BOND_PRICE", $L7))),NA(),_xll.ciqfunctions.udf.CIQ(T$3, "IQ_BOND_PRICE", $L7)),"")</f>
        <v>107.431</v>
      </c>
      <c r="U7" s="424">
        <f>IF(AND($L7&lt;&gt;"",U$3&lt;&gt;""),IF(NOT(ISNUMBER(_xll.ciqfunctions.udf.CIQ(U$3, "IQ_BOND_PRICE", $L7))),NA(),_xll.ciqfunctions.udf.CIQ(U$3, "IQ_BOND_PRICE", $L7)),"")</f>
        <v>99.86403</v>
      </c>
      <c r="V7" s="424">
        <f>IF(AND($L7&lt;&gt;"",V$3&lt;&gt;""),IF(NOT(ISNUMBER(_xll.ciqfunctions.udf.CIQ(V$3, "IQ_BOND_PRICE", $L7))),NA(),_xll.ciqfunctions.udf.CIQ(V$3, "IQ_BOND_PRICE", $L7)),"")</f>
        <v>107.21762</v>
      </c>
      <c r="W7" s="424">
        <f>IF(AND($L7&lt;&gt;"",W$3&lt;&gt;""),IF(NOT(ISNUMBER(_xll.ciqfunctions.udf.CIQ(W$3, "IQ_BOND_PRICE", $L7))),NA(),_xll.ciqfunctions.udf.CIQ(W$3, "IQ_BOND_PRICE", $L7)),"")</f>
        <v>110.392</v>
      </c>
      <c r="X7" s="424">
        <f>IF(AND($L7&lt;&gt;"",X$3&lt;&gt;""),IF(NOT(ISNUMBER(_xll.ciqfunctions.udf.CIQ(X$3, "IQ_BOND_PRICE", $L7))),NA(),_xll.ciqfunctions.udf.CIQ(X$3, "IQ_BOND_PRICE", $L7)),"")</f>
        <v>112.953</v>
      </c>
      <c r="Y7" s="424">
        <f>IF(AND($L7&lt;&gt;"",Y$3&lt;&gt;""),IF(NOT(ISNUMBER(_xll.ciqfunctions.udf.CIQ(Y$3, "IQ_BOND_PRICE", $L7))),NA(),_xll.ciqfunctions.udf.CIQ(Y$3, "IQ_BOND_PRICE", $L7)),"")</f>
        <v>108.91500000000001</v>
      </c>
      <c r="Z7" s="424">
        <f>IF(AND($L7&lt;&gt;"",Z$3&lt;&gt;""),IF(NOT(ISNUMBER(_xll.ciqfunctions.udf.CIQ(Z$3, "IQ_BOND_PRICE", $L7))),NA(),_xll.ciqfunctions.udf.CIQ(Z$3, "IQ_BOND_PRICE", $L7)),"")</f>
        <v>0</v>
      </c>
      <c r="AA7" s="404"/>
      <c r="CZ7" s="426"/>
    </row>
    <row r="8" spans="1:104" ht="12.75" x14ac:dyDescent="0.2">
      <c r="B8" s="891" t="str">
        <f>+IFERROR(IF(LEN($J7)&gt;0,IF(OR(_xll.ciqfunctions.udf.CIQ($J7,B$2)=0,_xll.ciqfunctions.udf.CIQ($J7,B$2)="NA"),"NA",_xll.ciqfunctions.udf.CIQ($J7,B$2)),""),"NA")</f>
        <v>NT 2.350 Dec-15-2022</v>
      </c>
      <c r="C8" s="1085" t="str">
        <f>+IFERROR(IF(LEN($J7)&gt;0,RIGHT(_xll.ciqfunctions.udf.CIQ($J7,C$2),LEN(_xll.ciqfunctions.udf.CIQ($J7,C$2))-2),""),"NA")</f>
        <v>US931142DU48</v>
      </c>
      <c r="D8" s="1153" t="str">
        <f>+IFERROR(IF(LEN($J7)&gt;0,IF(OR(B8=0,B8="NA"),"NA",_xll.ciqfunctions.udf.CIQ($J7,D$2)),""),"NA")</f>
        <v>Corporate Debentures</v>
      </c>
      <c r="E8" s="1154" t="str">
        <f>+IFERROR(IF(LEN($J7)&gt;0,IF(OR(B8=0,B8="NA"),"NA",_xll.ciqfunctions.udf.CIQ($J7,E$2)),""),"NA")</f>
        <v>Senior Unsecured</v>
      </c>
      <c r="F8" s="1155">
        <f>+IFERROR(IF(LEN($J7)&gt;0,IF(OR(B8=0,B8="NA"),"NA",_xll.ciqfunctions.udf.CIQ($J7,F$2)),""),"NA")</f>
        <v>1250</v>
      </c>
      <c r="G8" s="1154" t="str">
        <f>+IFERROR(IF(LEN($J7)&gt;0,IF(OR(B8=0,B8="NA"),"NA",TEXT(_xll.ciqfunctions.udf.CIQ($J7,G$2),"mmm yyyy")),""),"NA")</f>
        <v>Dec 2022</v>
      </c>
      <c r="H8" s="1156" t="str">
        <f>+IFERROR(IF(LEN($J7)&gt;0,IF(_xll.ciqfunctions.udf.CIQ($J7,H$2)=0,"NA",_xll.ciqfunctions.udf.CIQ($J7,H$2)),""),"NA")</f>
        <v>AA</v>
      </c>
      <c r="I8" s="432">
        <f>+IFERROR(IF(I7+1&lt;=$P$1,I7+1,""),"")</f>
        <v>4</v>
      </c>
      <c r="J8" s="431" t="str">
        <f>+IFERROR(VLOOKUP($L$3,$L$3:$AH$4,I8+1,FALSE),"")</f>
        <v>IQT235518345</v>
      </c>
      <c r="L8" s="425">
        <f t="shared" si="0"/>
        <v>44284</v>
      </c>
      <c r="M8" s="424">
        <f>IF(AND($L8&lt;&gt;"",M$3&lt;&gt;""),IF(NOT(ISNUMBER(_xll.ciqfunctions.udf.CIQ(M$3, "IQ_BOND_PRICE", $L8))),NA(),_xll.ciqfunctions.udf.CIQ(M$3, "IQ_BOND_PRICE", $L8)),"")</f>
        <v>101.812</v>
      </c>
      <c r="N8" s="424">
        <f>IF(AND($L8&lt;&gt;"",N$3&lt;&gt;""),IF(NOT(ISNUMBER(_xll.ciqfunctions.udf.CIQ(N$3, "IQ_BOND_PRICE", $L8))),NA(),_xll.ciqfunctions.udf.CIQ(N$3, "IQ_BOND_PRICE", $L8)),"")</f>
        <v>0</v>
      </c>
      <c r="O8" s="424">
        <f>IF(AND($L8&lt;&gt;"",O$3&lt;&gt;""),IF(NOT(ISNUMBER(_xll.ciqfunctions.udf.CIQ(O$3, "IQ_BOND_PRICE", $L8))),NA(),_xll.ciqfunctions.udf.CIQ(O$3, "IQ_BOND_PRICE", $L8)),"")</f>
        <v>103.39722999999999</v>
      </c>
      <c r="P8" s="424">
        <f>IF(AND($L8&lt;&gt;"",P$3&lt;&gt;""),IF(NOT(ISNUMBER(_xll.ciqfunctions.udf.CIQ(P$3, "IQ_BOND_PRICE", $L8))),NA(),_xll.ciqfunctions.udf.CIQ(P$3, "IQ_BOND_PRICE", $L8)),"")</f>
        <v>104.05443</v>
      </c>
      <c r="Q8" s="424">
        <f>IF(AND($L8&lt;&gt;"",Q$3&lt;&gt;""),IF(NOT(ISNUMBER(_xll.ciqfunctions.udf.CIQ(Q$3, "IQ_BOND_PRICE", $L8))),NA(),_xll.ciqfunctions.udf.CIQ(Q$3, "IQ_BOND_PRICE", $L8)),"")</f>
        <v>106.621</v>
      </c>
      <c r="R8" s="424">
        <f>IF(AND($L8&lt;&gt;"",R$3&lt;&gt;""),IF(NOT(ISNUMBER(_xll.ciqfunctions.udf.CIQ(R$3, "IQ_BOND_PRICE", $L8))),NA(),_xll.ciqfunctions.udf.CIQ(R$3, "IQ_BOND_PRICE", $L8)),"")</f>
        <v>115.57599999999999</v>
      </c>
      <c r="S8" s="424">
        <f>IF(AND($L8&lt;&gt;"",S$3&lt;&gt;""),IF(NOT(ISNUMBER(_xll.ciqfunctions.udf.CIQ(S$3, "IQ_BOND_PRICE", $L8))),NA(),_xll.ciqfunctions.udf.CIQ(S$3, "IQ_BOND_PRICE", $L8)),"")</f>
        <v>107.791</v>
      </c>
      <c r="T8" s="424">
        <f>IF(AND($L8&lt;&gt;"",T$3&lt;&gt;""),IF(NOT(ISNUMBER(_xll.ciqfunctions.udf.CIQ(T$3, "IQ_BOND_PRICE", $L8))),NA(),_xll.ciqfunctions.udf.CIQ(T$3, "IQ_BOND_PRICE", $L8)),"")</f>
        <v>107.199</v>
      </c>
      <c r="U8" s="424">
        <f>IF(AND($L8&lt;&gt;"",U$3&lt;&gt;""),IF(NOT(ISNUMBER(_xll.ciqfunctions.udf.CIQ(U$3, "IQ_BOND_PRICE", $L8))),NA(),_xll.ciqfunctions.udf.CIQ(U$3, "IQ_BOND_PRICE", $L8)),"")</f>
        <v>99.887510000000006</v>
      </c>
      <c r="V8" s="424">
        <f>IF(AND($L8&lt;&gt;"",V$3&lt;&gt;""),IF(NOT(ISNUMBER(_xll.ciqfunctions.udf.CIQ(V$3, "IQ_BOND_PRICE", $L8))),NA(),_xll.ciqfunctions.udf.CIQ(V$3, "IQ_BOND_PRICE", $L8)),"")</f>
        <v>107.06829999999999</v>
      </c>
      <c r="W8" s="424">
        <f>IF(AND($L8&lt;&gt;"",W$3&lt;&gt;""),IF(NOT(ISNUMBER(_xll.ciqfunctions.udf.CIQ(W$3, "IQ_BOND_PRICE", $L8))),NA(),_xll.ciqfunctions.udf.CIQ(W$3, "IQ_BOND_PRICE", $L8)),"")</f>
        <v>110.331</v>
      </c>
      <c r="X8" s="424">
        <f>IF(AND($L8&lt;&gt;"",X$3&lt;&gt;""),IF(NOT(ISNUMBER(_xll.ciqfunctions.udf.CIQ(X$3, "IQ_BOND_PRICE", $L8))),NA(),_xll.ciqfunctions.udf.CIQ(X$3, "IQ_BOND_PRICE", $L8)),"")</f>
        <v>112.83199999999999</v>
      </c>
      <c r="Y8" s="424">
        <f>IF(AND($L8&lt;&gt;"",Y$3&lt;&gt;""),IF(NOT(ISNUMBER(_xll.ciqfunctions.udf.CIQ(Y$3, "IQ_BOND_PRICE", $L8))),NA(),_xll.ciqfunctions.udf.CIQ(Y$3, "IQ_BOND_PRICE", $L8)),"")</f>
        <v>108.66800000000001</v>
      </c>
      <c r="Z8" s="424">
        <f>IF(AND($L8&lt;&gt;"",Z$3&lt;&gt;""),IF(NOT(ISNUMBER(_xll.ciqfunctions.udf.CIQ(Z$3, "IQ_BOND_PRICE", $L8))),NA(),_xll.ciqfunctions.udf.CIQ(Z$3, "IQ_BOND_PRICE", $L8)),"")</f>
        <v>0</v>
      </c>
      <c r="AA8" s="404"/>
      <c r="CZ8" s="426"/>
    </row>
    <row r="9" spans="1:104" ht="12.75" x14ac:dyDescent="0.2">
      <c r="B9" s="891" t="str">
        <f>+IFERROR(IF(LEN($J8)&gt;0,IF(OR(_xll.ciqfunctions.udf.CIQ($J8,B$2)=0,_xll.ciqfunctions.udf.CIQ($J8,B$2)="NA"),"NA",_xll.ciqfunctions.udf.CIQ($J8,B$2)),""),"NA")</f>
        <v>GLOBAL NT 2.550 Apr-11-2023</v>
      </c>
      <c r="C9" s="1085" t="str">
        <f>+IFERROR(IF(LEN($J8)&gt;0,RIGHT(_xll.ciqfunctions.udf.CIQ($J8,C$2),LEN(_xll.ciqfunctions.udf.CIQ($J8,C$2))-2),""),"NA")</f>
        <v>US931142DH37</v>
      </c>
      <c r="D9" s="1153" t="str">
        <f>+IFERROR(IF(LEN($J8)&gt;0,IF(OR(B9=0,B9="NA"),"NA",_xll.ciqfunctions.udf.CIQ($J8,D$2)),""),"NA")</f>
        <v>Corporate Debentures</v>
      </c>
      <c r="E9" s="1154" t="str">
        <f>+IFERROR(IF(LEN($J8)&gt;0,IF(OR(B9=0,B9="NA"),"NA",_xll.ciqfunctions.udf.CIQ($J8,E$2)),""),"NA")</f>
        <v>Senior Unsecured</v>
      </c>
      <c r="F9" s="1155">
        <f>+IFERROR(IF(LEN($J8)&gt;0,IF(OR(B9=0,B9="NA"),"NA",_xll.ciqfunctions.udf.CIQ($J8,F$2)),""),"NA")</f>
        <v>1750</v>
      </c>
      <c r="G9" s="1154" t="str">
        <f>+IFERROR(IF(LEN($J8)&gt;0,IF(OR(B9=0,B9="NA"),"NA",TEXT(_xll.ciqfunctions.udf.CIQ($J8,G$2),"mmm yyyy")),""),"NA")</f>
        <v>Apr 2023</v>
      </c>
      <c r="H9" s="1156" t="str">
        <f>+IFERROR(IF(LEN($J8)&gt;0,IF(_xll.ciqfunctions.udf.CIQ($J8,H$2)=0,"NA",_xll.ciqfunctions.udf.CIQ($J8,H$2)),""),"NA")</f>
        <v>AA</v>
      </c>
      <c r="I9" s="432">
        <f>+IFERROR(IF(I8+1&lt;=$P$1,I8+1,""),"")</f>
        <v>5</v>
      </c>
      <c r="J9" s="431" t="str">
        <f>+IFERROR(VLOOKUP($L$3,$L$3:$AH$4,I9+1,FALSE),"")</f>
        <v>IQT571380411</v>
      </c>
      <c r="L9" s="425">
        <f t="shared" si="0"/>
        <v>44285</v>
      </c>
      <c r="M9" s="424">
        <f>IF(AND($L9&lt;&gt;"",M$3&lt;&gt;""),IF(NOT(ISNUMBER(_xll.ciqfunctions.udf.CIQ(M$3, "IQ_BOND_PRICE", $L9))),NA(),_xll.ciqfunctions.udf.CIQ(M$3, "IQ_BOND_PRICE", $L9)),"")</f>
        <v>101.79600000000001</v>
      </c>
      <c r="N9" s="424">
        <f>IF(AND($L9&lt;&gt;"",N$3&lt;&gt;""),IF(NOT(ISNUMBER(_xll.ciqfunctions.udf.CIQ(N$3, "IQ_BOND_PRICE", $L9))),NA(),_xll.ciqfunctions.udf.CIQ(N$3, "IQ_BOND_PRICE", $L9)),"")</f>
        <v>0</v>
      </c>
      <c r="O9" s="424">
        <f>IF(AND($L9&lt;&gt;"",O$3&lt;&gt;""),IF(NOT(ISNUMBER(_xll.ciqfunctions.udf.CIQ(O$3, "IQ_BOND_PRICE", $L9))),NA(),_xll.ciqfunctions.udf.CIQ(O$3, "IQ_BOND_PRICE", $L9)),"")</f>
        <v>103.54052</v>
      </c>
      <c r="P9" s="424">
        <f>IF(AND($L9&lt;&gt;"",P$3&lt;&gt;""),IF(NOT(ISNUMBER(_xll.ciqfunctions.udf.CIQ(P$3, "IQ_BOND_PRICE", $L9))),NA(),_xll.ciqfunctions.udf.CIQ(P$3, "IQ_BOND_PRICE", $L9)),"")</f>
        <v>104.04588</v>
      </c>
      <c r="Q9" s="424">
        <f>IF(AND($L9&lt;&gt;"",Q$3&lt;&gt;""),IF(NOT(ISNUMBER(_xll.ciqfunctions.udf.CIQ(Q$3, "IQ_BOND_PRICE", $L9))),NA(),_xll.ciqfunctions.udf.CIQ(Q$3, "IQ_BOND_PRICE", $L9)),"")</f>
        <v>106.613</v>
      </c>
      <c r="R9" s="424">
        <f>IF(AND($L9&lt;&gt;"",R$3&lt;&gt;""),IF(NOT(ISNUMBER(_xll.ciqfunctions.udf.CIQ(R$3, "IQ_BOND_PRICE", $L9))),NA(),_xll.ciqfunctions.udf.CIQ(R$3, "IQ_BOND_PRICE", $L9)),"")</f>
        <v>115.569</v>
      </c>
      <c r="S9" s="424">
        <f>IF(AND($L9&lt;&gt;"",S$3&lt;&gt;""),IF(NOT(ISNUMBER(_xll.ciqfunctions.udf.CIQ(S$3, "IQ_BOND_PRICE", $L9))),NA(),_xll.ciqfunctions.udf.CIQ(S$3, "IQ_BOND_PRICE", $L9)),"")</f>
        <v>107.714</v>
      </c>
      <c r="T9" s="424">
        <f>IF(AND($L9&lt;&gt;"",T$3&lt;&gt;""),IF(NOT(ISNUMBER(_xll.ciqfunctions.udf.CIQ(T$3, "IQ_BOND_PRICE", $L9))),NA(),_xll.ciqfunctions.udf.CIQ(T$3, "IQ_BOND_PRICE", $L9)),"")</f>
        <v>107.19499999999999</v>
      </c>
      <c r="U9" s="424">
        <f>IF(AND($L9&lt;&gt;"",U$3&lt;&gt;""),IF(NOT(ISNUMBER(_xll.ciqfunctions.udf.CIQ(U$3, "IQ_BOND_PRICE", $L9))),NA(),_xll.ciqfunctions.udf.CIQ(U$3, "IQ_BOND_PRICE", $L9)),"")</f>
        <v>99.866169999999997</v>
      </c>
      <c r="V9" s="424">
        <f>IF(AND($L9&lt;&gt;"",V$3&lt;&gt;""),IF(NOT(ISNUMBER(_xll.ciqfunctions.udf.CIQ(V$3, "IQ_BOND_PRICE", $L9))),NA(),_xll.ciqfunctions.udf.CIQ(V$3, "IQ_BOND_PRICE", $L9)),"")</f>
        <v>107.13836000000001</v>
      </c>
      <c r="W9" s="424">
        <f>IF(AND($L9&lt;&gt;"",W$3&lt;&gt;""),IF(NOT(ISNUMBER(_xll.ciqfunctions.udf.CIQ(W$3, "IQ_BOND_PRICE", $L9))),NA(),_xll.ciqfunctions.udf.CIQ(W$3, "IQ_BOND_PRICE", $L9)),"")</f>
        <v>110.336</v>
      </c>
      <c r="X9" s="424">
        <f>IF(AND($L9&lt;&gt;"",X$3&lt;&gt;""),IF(NOT(ISNUMBER(_xll.ciqfunctions.udf.CIQ(X$3, "IQ_BOND_PRICE", $L9))),NA(),_xll.ciqfunctions.udf.CIQ(X$3, "IQ_BOND_PRICE", $L9)),"")</f>
        <v>112.76300000000001</v>
      </c>
      <c r="Y9" s="424">
        <f>IF(AND($L9&lt;&gt;"",Y$3&lt;&gt;""),IF(NOT(ISNUMBER(_xll.ciqfunctions.udf.CIQ(Y$3, "IQ_BOND_PRICE", $L9))),NA(),_xll.ciqfunctions.udf.CIQ(Y$3, "IQ_BOND_PRICE", $L9)),"")</f>
        <v>108.569</v>
      </c>
      <c r="Z9" s="424">
        <f>IF(AND($L9&lt;&gt;"",Z$3&lt;&gt;""),IF(NOT(ISNUMBER(_xll.ciqfunctions.udf.CIQ(Z$3, "IQ_BOND_PRICE", $L9))),NA(),_xll.ciqfunctions.udf.CIQ(Z$3, "IQ_BOND_PRICE", $L9)),"")</f>
        <v>0</v>
      </c>
      <c r="AA9" s="404"/>
      <c r="CZ9" s="426"/>
    </row>
    <row r="10" spans="1:104" ht="12.75" x14ac:dyDescent="0.2">
      <c r="B10" s="891" t="str">
        <f>+IFERROR(IF(LEN($J9)&gt;0,IF(OR(_xll.ciqfunctions.udf.CIQ($J9,B$2)=0,_xll.ciqfunctions.udf.CIQ($J9,B$2)="NA"),"NA",_xll.ciqfunctions.udf.CIQ($J9,B$2)),""),"NA")</f>
        <v>GLOBAL NT 3.400 Jun-26-2023</v>
      </c>
      <c r="C10" s="1085" t="str">
        <f>+IFERROR(IF(LEN($J9)&gt;0,RIGHT(_xll.ciqfunctions.udf.CIQ($J9,C$2),LEN(_xll.ciqfunctions.udf.CIQ($J9,C$2))-2),""),"NA")</f>
        <v>US931142EK56</v>
      </c>
      <c r="D10" s="1153" t="str">
        <f>+IFERROR(IF(LEN($J9)&gt;0,IF(OR(B10=0,B10="NA"),"NA",_xll.ciqfunctions.udf.CIQ($J9,D$2)),""),"NA")</f>
        <v>Corporate Debentures</v>
      </c>
      <c r="E10" s="1154" t="str">
        <f>+IFERROR(IF(LEN($J9)&gt;0,IF(OR(B10=0,B10="NA"),"NA",_xll.ciqfunctions.udf.CIQ($J9,E$2)),""),"NA")</f>
        <v>Senior Unsecured</v>
      </c>
      <c r="F10" s="1155">
        <f>+IFERROR(IF(LEN($J9)&gt;0,IF(OR(B10=0,B10="NA"),"NA",_xll.ciqfunctions.udf.CIQ($J9,F$2)),""),"NA")</f>
        <v>2280.154</v>
      </c>
      <c r="G10" s="1154" t="str">
        <f>+IFERROR(IF(LEN($J9)&gt;0,IF(OR(B10=0,B10="NA"),"NA",TEXT(_xll.ciqfunctions.udf.CIQ($J9,G$2),"mmm yyyy")),""),"NA")</f>
        <v>Jun 2023</v>
      </c>
      <c r="H10" s="1156" t="str">
        <f>+IFERROR(IF(LEN($J9)&gt;0,IF(_xll.ciqfunctions.udf.CIQ($J9,H$2)=0,"NA",_xll.ciqfunctions.udf.CIQ($J9,H$2)),""),"NA")</f>
        <v>AA</v>
      </c>
      <c r="I10" s="399"/>
      <c r="L10" s="425">
        <f t="shared" si="0"/>
        <v>44286</v>
      </c>
      <c r="M10" s="424">
        <f>IF(AND($L10&lt;&gt;"",M$3&lt;&gt;""),IF(NOT(ISNUMBER(_xll.ciqfunctions.udf.CIQ(M$3, "IQ_BOND_PRICE", $L10))),NA(),_xll.ciqfunctions.udf.CIQ(M$3, "IQ_BOND_PRICE", $L10)),"")</f>
        <v>101.77500000000001</v>
      </c>
      <c r="N10" s="424">
        <f>IF(AND($L10&lt;&gt;"",N$3&lt;&gt;""),IF(NOT(ISNUMBER(_xll.ciqfunctions.udf.CIQ(N$3, "IQ_BOND_PRICE", $L10))),NA(),_xll.ciqfunctions.udf.CIQ(N$3, "IQ_BOND_PRICE", $L10)),"")</f>
        <v>0</v>
      </c>
      <c r="O10" s="424">
        <f>IF(AND($L10&lt;&gt;"",O$3&lt;&gt;""),IF(NOT(ISNUMBER(_xll.ciqfunctions.udf.CIQ(O$3, "IQ_BOND_PRICE", $L10))),NA(),_xll.ciqfunctions.udf.CIQ(O$3, "IQ_BOND_PRICE", $L10)),"")</f>
        <v>103.50012</v>
      </c>
      <c r="P10" s="424">
        <f>IF(AND($L10&lt;&gt;"",P$3&lt;&gt;""),IF(NOT(ISNUMBER(_xll.ciqfunctions.udf.CIQ(P$3, "IQ_BOND_PRICE", $L10))),NA(),_xll.ciqfunctions.udf.CIQ(P$3, "IQ_BOND_PRICE", $L10)),"")</f>
        <v>104.10451999999999</v>
      </c>
      <c r="Q10" s="424">
        <f>IF(AND($L10&lt;&gt;"",Q$3&lt;&gt;""),IF(NOT(ISNUMBER(_xll.ciqfunctions.udf.CIQ(Q$3, "IQ_BOND_PRICE", $L10))),NA(),_xll.ciqfunctions.udf.CIQ(Q$3, "IQ_BOND_PRICE", $L10)),"")</f>
        <v>106.654</v>
      </c>
      <c r="R10" s="424">
        <f>IF(AND($L10&lt;&gt;"",R$3&lt;&gt;""),IF(NOT(ISNUMBER(_xll.ciqfunctions.udf.CIQ(R$3, "IQ_BOND_PRICE", $L10))),NA(),_xll.ciqfunctions.udf.CIQ(R$3, "IQ_BOND_PRICE", $L10)),"")</f>
        <v>115.559</v>
      </c>
      <c r="S10" s="424">
        <f>IF(AND($L10&lt;&gt;"",S$3&lt;&gt;""),IF(NOT(ISNUMBER(_xll.ciqfunctions.udf.CIQ(S$3, "IQ_BOND_PRICE", $L10))),NA(),_xll.ciqfunctions.udf.CIQ(S$3, "IQ_BOND_PRICE", $L10)),"")</f>
        <v>107.637</v>
      </c>
      <c r="T10" s="424">
        <f>IF(AND($L10&lt;&gt;"",T$3&lt;&gt;""),IF(NOT(ISNUMBER(_xll.ciqfunctions.udf.CIQ(T$3, "IQ_BOND_PRICE", $L10))),NA(),_xll.ciqfunctions.udf.CIQ(T$3, "IQ_BOND_PRICE", $L10)),"")</f>
        <v>107.30200000000001</v>
      </c>
      <c r="U10" s="424">
        <f>IF(AND($L10&lt;&gt;"",U$3&lt;&gt;""),IF(NOT(ISNUMBER(_xll.ciqfunctions.udf.CIQ(U$3, "IQ_BOND_PRICE", $L10))),NA(),_xll.ciqfunctions.udf.CIQ(U$3, "IQ_BOND_PRICE", $L10)),"")</f>
        <v>99.884749999999997</v>
      </c>
      <c r="V10" s="424">
        <f>IF(AND($L10&lt;&gt;"",V$3&lt;&gt;""),IF(NOT(ISNUMBER(_xll.ciqfunctions.udf.CIQ(V$3, "IQ_BOND_PRICE", $L10))),NA(),_xll.ciqfunctions.udf.CIQ(V$3, "IQ_BOND_PRICE", $L10)),"")</f>
        <v>107.05797</v>
      </c>
      <c r="W10" s="424">
        <f>IF(AND($L10&lt;&gt;"",W$3&lt;&gt;""),IF(NOT(ISNUMBER(_xll.ciqfunctions.udf.CIQ(W$3, "IQ_BOND_PRICE", $L10))),NA(),_xll.ciqfunctions.udf.CIQ(W$3, "IQ_BOND_PRICE", $L10)),"")</f>
        <v>110.21299999999999</v>
      </c>
      <c r="X10" s="424">
        <f>IF(AND($L10&lt;&gt;"",X$3&lt;&gt;""),IF(NOT(ISNUMBER(_xll.ciqfunctions.udf.CIQ(X$3, "IQ_BOND_PRICE", $L10))),NA(),_xll.ciqfunctions.udf.CIQ(X$3, "IQ_BOND_PRICE", $L10)),"")</f>
        <v>112.809</v>
      </c>
      <c r="Y10" s="424">
        <f>IF(AND($L10&lt;&gt;"",Y$3&lt;&gt;""),IF(NOT(ISNUMBER(_xll.ciqfunctions.udf.CIQ(Y$3, "IQ_BOND_PRICE", $L10))),NA(),_xll.ciqfunctions.udf.CIQ(Y$3, "IQ_BOND_PRICE", $L10)),"")</f>
        <v>108.608</v>
      </c>
      <c r="Z10" s="424">
        <f>IF(AND($L10&lt;&gt;"",Z$3&lt;&gt;""),IF(NOT(ISNUMBER(_xll.ciqfunctions.udf.CIQ(Z$3, "IQ_BOND_PRICE", $L10))),NA(),_xll.ciqfunctions.udf.CIQ(Z$3, "IQ_BOND_PRICE", $L10)),"")</f>
        <v>0</v>
      </c>
      <c r="AA10" s="404"/>
      <c r="CZ10" s="426"/>
    </row>
    <row r="11" spans="1:104" ht="15" customHeight="1" x14ac:dyDescent="0.2">
      <c r="D11" s="430"/>
      <c r="F11" s="429"/>
      <c r="L11" s="425">
        <f t="shared" si="0"/>
        <v>44287</v>
      </c>
      <c r="M11" s="424">
        <f>IF(AND($L11&lt;&gt;"",M$3&lt;&gt;""),IF(NOT(ISNUMBER(_xll.ciqfunctions.udf.CIQ(M$3, "IQ_BOND_PRICE", $L11))),NA(),_xll.ciqfunctions.udf.CIQ(M$3, "IQ_BOND_PRICE", $L11)),"")</f>
        <v>101.773</v>
      </c>
      <c r="N11" s="424">
        <f>IF(AND($L11&lt;&gt;"",N$3&lt;&gt;""),IF(NOT(ISNUMBER(_xll.ciqfunctions.udf.CIQ(N$3, "IQ_BOND_PRICE", $L11))),NA(),_xll.ciqfunctions.udf.CIQ(N$3, "IQ_BOND_PRICE", $L11)),"")</f>
        <v>0</v>
      </c>
      <c r="O11" s="424">
        <f>IF(AND($L11&lt;&gt;"",O$3&lt;&gt;""),IF(NOT(ISNUMBER(_xll.ciqfunctions.udf.CIQ(O$3, "IQ_BOND_PRICE", $L11))),NA(),_xll.ciqfunctions.udf.CIQ(O$3, "IQ_BOND_PRICE", $L11)),"")</f>
        <v>103.47469</v>
      </c>
      <c r="P11" s="424">
        <f>IF(AND($L11&lt;&gt;"",P$3&lt;&gt;""),IF(NOT(ISNUMBER(_xll.ciqfunctions.udf.CIQ(P$3, "IQ_BOND_PRICE", $L11))),NA(),_xll.ciqfunctions.udf.CIQ(P$3, "IQ_BOND_PRICE", $L11)),"")</f>
        <v>104.00111</v>
      </c>
      <c r="Q11" s="424">
        <f>IF(AND($L11&lt;&gt;"",Q$3&lt;&gt;""),IF(NOT(ISNUMBER(_xll.ciqfunctions.udf.CIQ(Q$3, "IQ_BOND_PRICE", $L11))),NA(),_xll.ciqfunctions.udf.CIQ(Q$3, "IQ_BOND_PRICE", $L11)),"")</f>
        <v>106.625</v>
      </c>
      <c r="R11" s="424">
        <f>IF(AND($L11&lt;&gt;"",R$3&lt;&gt;""),IF(NOT(ISNUMBER(_xll.ciqfunctions.udf.CIQ(R$3, "IQ_BOND_PRICE", $L11))),NA(),_xll.ciqfunctions.udf.CIQ(R$3, "IQ_BOND_PRICE", $L11)),"")</f>
        <v>115.471</v>
      </c>
      <c r="S11" s="424">
        <f>IF(AND($L11&lt;&gt;"",S$3&lt;&gt;""),IF(NOT(ISNUMBER(_xll.ciqfunctions.udf.CIQ(S$3, "IQ_BOND_PRICE", $L11))),NA(),_xll.ciqfunctions.udf.CIQ(S$3, "IQ_BOND_PRICE", $L11)),"")</f>
        <v>107.64400000000001</v>
      </c>
      <c r="T11" s="424">
        <f>IF(AND($L11&lt;&gt;"",T$3&lt;&gt;""),IF(NOT(ISNUMBER(_xll.ciqfunctions.udf.CIQ(T$3, "IQ_BOND_PRICE", $L11))),NA(),_xll.ciqfunctions.udf.CIQ(T$3, "IQ_BOND_PRICE", $L11)),"")</f>
        <v>107.148</v>
      </c>
      <c r="U11" s="424">
        <f>IF(AND($L11&lt;&gt;"",U$3&lt;&gt;""),IF(NOT(ISNUMBER(_xll.ciqfunctions.udf.CIQ(U$3, "IQ_BOND_PRICE", $L11))),NA(),_xll.ciqfunctions.udf.CIQ(U$3, "IQ_BOND_PRICE", $L11)),"")</f>
        <v>99.859080000000006</v>
      </c>
      <c r="V11" s="424">
        <f>IF(AND($L11&lt;&gt;"",V$3&lt;&gt;""),IF(NOT(ISNUMBER(_xll.ciqfunctions.udf.CIQ(V$3, "IQ_BOND_PRICE", $L11))),NA(),_xll.ciqfunctions.udf.CIQ(V$3, "IQ_BOND_PRICE", $L11)),"")</f>
        <v>107.036</v>
      </c>
      <c r="W11" s="424">
        <f>IF(AND($L11&lt;&gt;"",W$3&lt;&gt;""),IF(NOT(ISNUMBER(_xll.ciqfunctions.udf.CIQ(W$3, "IQ_BOND_PRICE", $L11))),NA(),_xll.ciqfunctions.udf.CIQ(W$3, "IQ_BOND_PRICE", $L11)),"")</f>
        <v>110.408</v>
      </c>
      <c r="X11" s="424">
        <f>IF(AND($L11&lt;&gt;"",X$3&lt;&gt;""),IF(NOT(ISNUMBER(_xll.ciqfunctions.udf.CIQ(X$3, "IQ_BOND_PRICE", $L11))),NA(),_xll.ciqfunctions.udf.CIQ(X$3, "IQ_BOND_PRICE", $L11)),"")</f>
        <v>112.943</v>
      </c>
      <c r="Y11" s="424">
        <f>IF(AND($L11&lt;&gt;"",Y$3&lt;&gt;""),IF(NOT(ISNUMBER(_xll.ciqfunctions.udf.CIQ(Y$3, "IQ_BOND_PRICE", $L11))),NA(),_xll.ciqfunctions.udf.CIQ(Y$3, "IQ_BOND_PRICE", $L11)),"")</f>
        <v>108.95</v>
      </c>
      <c r="Z11" s="424">
        <f>IF(AND($L11&lt;&gt;"",Z$3&lt;&gt;""),IF(NOT(ISNUMBER(_xll.ciqfunctions.udf.CIQ(Z$3, "IQ_BOND_PRICE", $L11))),NA(),_xll.ciqfunctions.udf.CIQ(Z$3, "IQ_BOND_PRICE", $L11)),"")</f>
        <v>0</v>
      </c>
      <c r="AA11" s="404"/>
      <c r="CZ11" s="426"/>
    </row>
    <row r="12" spans="1:104" x14ac:dyDescent="0.2">
      <c r="D12" s="430"/>
      <c r="F12" s="429"/>
      <c r="L12" s="425">
        <f t="shared" si="0"/>
        <v>44288</v>
      </c>
      <c r="M12" s="424">
        <f>IF(AND($L12&lt;&gt;"",M$3&lt;&gt;""),IF(NOT(ISNUMBER(_xll.ciqfunctions.udf.CIQ(M$3, "IQ_BOND_PRICE", $L12))),NA(),_xll.ciqfunctions.udf.CIQ(M$3, "IQ_BOND_PRICE", $L12)),"")</f>
        <v>101.773</v>
      </c>
      <c r="N12" s="424">
        <f>IF(AND($L12&lt;&gt;"",N$3&lt;&gt;""),IF(NOT(ISNUMBER(_xll.ciqfunctions.udf.CIQ(N$3, "IQ_BOND_PRICE", $L12))),NA(),_xll.ciqfunctions.udf.CIQ(N$3, "IQ_BOND_PRICE", $L12)),"")</f>
        <v>0</v>
      </c>
      <c r="O12" s="424">
        <f>IF(AND($L12&lt;&gt;"",O$3&lt;&gt;""),IF(NOT(ISNUMBER(_xll.ciqfunctions.udf.CIQ(O$3, "IQ_BOND_PRICE", $L12))),NA(),_xll.ciqfunctions.udf.CIQ(O$3, "IQ_BOND_PRICE", $L12)),"")</f>
        <v>103.47469</v>
      </c>
      <c r="P12" s="424">
        <f>IF(AND($L12&lt;&gt;"",P$3&lt;&gt;""),IF(NOT(ISNUMBER(_xll.ciqfunctions.udf.CIQ(P$3, "IQ_BOND_PRICE", $L12))),NA(),_xll.ciqfunctions.udf.CIQ(P$3, "IQ_BOND_PRICE", $L12)),"")</f>
        <v>104.00111</v>
      </c>
      <c r="Q12" s="424">
        <f>IF(AND($L12&lt;&gt;"",Q$3&lt;&gt;""),IF(NOT(ISNUMBER(_xll.ciqfunctions.udf.CIQ(Q$3, "IQ_BOND_PRICE", $L12))),NA(),_xll.ciqfunctions.udf.CIQ(Q$3, "IQ_BOND_PRICE", $L12)),"")</f>
        <v>106.625</v>
      </c>
      <c r="R12" s="424">
        <f>IF(AND($L12&lt;&gt;"",R$3&lt;&gt;""),IF(NOT(ISNUMBER(_xll.ciqfunctions.udf.CIQ(R$3, "IQ_BOND_PRICE", $L12))),NA(),_xll.ciqfunctions.udf.CIQ(R$3, "IQ_BOND_PRICE", $L12)),"")</f>
        <v>115.35599999999999</v>
      </c>
      <c r="S12" s="424">
        <f>IF(AND($L12&lt;&gt;"",S$3&lt;&gt;""),IF(NOT(ISNUMBER(_xll.ciqfunctions.udf.CIQ(S$3, "IQ_BOND_PRICE", $L12))),NA(),_xll.ciqfunctions.udf.CIQ(S$3, "IQ_BOND_PRICE", $L12)),"")</f>
        <v>107.505</v>
      </c>
      <c r="T12" s="424">
        <f>IF(AND($L12&lt;&gt;"",T$3&lt;&gt;""),IF(NOT(ISNUMBER(_xll.ciqfunctions.udf.CIQ(T$3, "IQ_BOND_PRICE", $L12))),NA(),_xll.ciqfunctions.udf.CIQ(T$3, "IQ_BOND_PRICE", $L12)),"")</f>
        <v>107.148</v>
      </c>
      <c r="U12" s="424">
        <f>IF(AND($L12&lt;&gt;"",U$3&lt;&gt;""),IF(NOT(ISNUMBER(_xll.ciqfunctions.udf.CIQ(U$3, "IQ_BOND_PRICE", $L12))),NA(),_xll.ciqfunctions.udf.CIQ(U$3, "IQ_BOND_PRICE", $L12)),"")</f>
        <v>99.859080000000006</v>
      </c>
      <c r="V12" s="424">
        <f>IF(AND($L12&lt;&gt;"",V$3&lt;&gt;""),IF(NOT(ISNUMBER(_xll.ciqfunctions.udf.CIQ(V$3, "IQ_BOND_PRICE", $L12))),NA(),_xll.ciqfunctions.udf.CIQ(V$3, "IQ_BOND_PRICE", $L12)),"")</f>
        <v>107.036</v>
      </c>
      <c r="W12" s="424">
        <f>IF(AND($L12&lt;&gt;"",W$3&lt;&gt;""),IF(NOT(ISNUMBER(_xll.ciqfunctions.udf.CIQ(W$3, "IQ_BOND_PRICE", $L12))),NA(),_xll.ciqfunctions.udf.CIQ(W$3, "IQ_BOND_PRICE", $L12)),"")</f>
        <v>110.408</v>
      </c>
      <c r="X12" s="424">
        <f>IF(AND($L12&lt;&gt;"",X$3&lt;&gt;""),IF(NOT(ISNUMBER(_xll.ciqfunctions.udf.CIQ(X$3, "IQ_BOND_PRICE", $L12))),NA(),_xll.ciqfunctions.udf.CIQ(X$3, "IQ_BOND_PRICE", $L12)),"")</f>
        <v>112.943</v>
      </c>
      <c r="Y12" s="424">
        <f>IF(AND($L12&lt;&gt;"",Y$3&lt;&gt;""),IF(NOT(ISNUMBER(_xll.ciqfunctions.udf.CIQ(Y$3, "IQ_BOND_PRICE", $L12))),NA(),_xll.ciqfunctions.udf.CIQ(Y$3, "IQ_BOND_PRICE", $L12)),"")</f>
        <v>108.95</v>
      </c>
      <c r="Z12" s="424">
        <f>IF(AND($L12&lt;&gt;"",Z$3&lt;&gt;""),IF(NOT(ISNUMBER(_xll.ciqfunctions.udf.CIQ(Z$3, "IQ_BOND_PRICE", $L12))),NA(),_xll.ciqfunctions.udf.CIQ(Z$3, "IQ_BOND_PRICE", $L12)),"")</f>
        <v>0</v>
      </c>
      <c r="AA12" s="404"/>
      <c r="CZ12" s="426"/>
    </row>
    <row r="13" spans="1:104" ht="20.100000000000001" customHeight="1" x14ac:dyDescent="0.2">
      <c r="D13" s="430"/>
      <c r="F13" s="429"/>
      <c r="L13" s="425">
        <f t="shared" si="0"/>
        <v>44291</v>
      </c>
      <c r="M13" s="424">
        <f>IF(AND($L13&lt;&gt;"",M$3&lt;&gt;""),IF(NOT(ISNUMBER(_xll.ciqfunctions.udf.CIQ(M$3, "IQ_BOND_PRICE", $L13))),NA(),_xll.ciqfunctions.udf.CIQ(M$3, "IQ_BOND_PRICE", $L13)),"")</f>
        <v>101.773</v>
      </c>
      <c r="N13" s="424">
        <f>IF(AND($L13&lt;&gt;"",N$3&lt;&gt;""),IF(NOT(ISNUMBER(_xll.ciqfunctions.udf.CIQ(N$3, "IQ_BOND_PRICE", $L13))),NA(),_xll.ciqfunctions.udf.CIQ(N$3, "IQ_BOND_PRICE", $L13)),"")</f>
        <v>0</v>
      </c>
      <c r="O13" s="424">
        <f>IF(AND($L13&lt;&gt;"",O$3&lt;&gt;""),IF(NOT(ISNUMBER(_xll.ciqfunctions.udf.CIQ(O$3, "IQ_BOND_PRICE", $L13))),NA(),_xll.ciqfunctions.udf.CIQ(O$3, "IQ_BOND_PRICE", $L13)),"")</f>
        <v>103.44596</v>
      </c>
      <c r="P13" s="424">
        <f>IF(AND($L13&lt;&gt;"",P$3&lt;&gt;""),IF(NOT(ISNUMBER(_xll.ciqfunctions.udf.CIQ(P$3, "IQ_BOND_PRICE", $L13))),NA(),_xll.ciqfunctions.udf.CIQ(P$3, "IQ_BOND_PRICE", $L13)),"")</f>
        <v>104.00649</v>
      </c>
      <c r="Q13" s="424">
        <f>IF(AND($L13&lt;&gt;"",Q$3&lt;&gt;""),IF(NOT(ISNUMBER(_xll.ciqfunctions.udf.CIQ(Q$3, "IQ_BOND_PRICE", $L13))),NA(),_xll.ciqfunctions.udf.CIQ(Q$3, "IQ_BOND_PRICE", $L13)),"")</f>
        <v>106.634</v>
      </c>
      <c r="R13" s="424">
        <f>IF(AND($L13&lt;&gt;"",R$3&lt;&gt;""),IF(NOT(ISNUMBER(_xll.ciqfunctions.udf.CIQ(R$3, "IQ_BOND_PRICE", $L13))),NA(),_xll.ciqfunctions.udf.CIQ(R$3, "IQ_BOND_PRICE", $L13)),"")</f>
        <v>115.431</v>
      </c>
      <c r="S13" s="424">
        <f>IF(AND($L13&lt;&gt;"",S$3&lt;&gt;""),IF(NOT(ISNUMBER(_xll.ciqfunctions.udf.CIQ(S$3, "IQ_BOND_PRICE", $L13))),NA(),_xll.ciqfunctions.udf.CIQ(S$3, "IQ_BOND_PRICE", $L13)),"")</f>
        <v>107.559</v>
      </c>
      <c r="T13" s="424">
        <f>IF(AND($L13&lt;&gt;"",T$3&lt;&gt;""),IF(NOT(ISNUMBER(_xll.ciqfunctions.udf.CIQ(T$3, "IQ_BOND_PRICE", $L13))),NA(),_xll.ciqfunctions.udf.CIQ(T$3, "IQ_BOND_PRICE", $L13)),"")</f>
        <v>107.054</v>
      </c>
      <c r="U13" s="424">
        <f>IF(AND($L13&lt;&gt;"",U$3&lt;&gt;""),IF(NOT(ISNUMBER(_xll.ciqfunctions.udf.CIQ(U$3, "IQ_BOND_PRICE", $L13))),NA(),_xll.ciqfunctions.udf.CIQ(U$3, "IQ_BOND_PRICE", $L13)),"")</f>
        <v>99.847170000000006</v>
      </c>
      <c r="V13" s="424">
        <f>IF(AND($L13&lt;&gt;"",V$3&lt;&gt;""),IF(NOT(ISNUMBER(_xll.ciqfunctions.udf.CIQ(V$3, "IQ_BOND_PRICE", $L13))),NA(),_xll.ciqfunctions.udf.CIQ(V$3, "IQ_BOND_PRICE", $L13)),"")</f>
        <v>106.97973</v>
      </c>
      <c r="W13" s="424">
        <f>IF(AND($L13&lt;&gt;"",W$3&lt;&gt;""),IF(NOT(ISNUMBER(_xll.ciqfunctions.udf.CIQ(W$3, "IQ_BOND_PRICE", $L13))),NA(),_xll.ciqfunctions.udf.CIQ(W$3, "IQ_BOND_PRICE", $L13)),"")</f>
        <v>110.251</v>
      </c>
      <c r="X13" s="424">
        <f>IF(AND($L13&lt;&gt;"",X$3&lt;&gt;""),IF(NOT(ISNUMBER(_xll.ciqfunctions.udf.CIQ(X$3, "IQ_BOND_PRICE", $L13))),NA(),_xll.ciqfunctions.udf.CIQ(X$3, "IQ_BOND_PRICE", $L13)),"")</f>
        <v>112.943</v>
      </c>
      <c r="Y13" s="424">
        <f>IF(AND($L13&lt;&gt;"",Y$3&lt;&gt;""),IF(NOT(ISNUMBER(_xll.ciqfunctions.udf.CIQ(Y$3, "IQ_BOND_PRICE", $L13))),NA(),_xll.ciqfunctions.udf.CIQ(Y$3, "IQ_BOND_PRICE", $L13)),"")</f>
        <v>108.91200000000001</v>
      </c>
      <c r="Z13" s="424">
        <f>IF(AND($L13&lt;&gt;"",Z$3&lt;&gt;""),IF(NOT(ISNUMBER(_xll.ciqfunctions.udf.CIQ(Z$3, "IQ_BOND_PRICE", $L13))),NA(),_xll.ciqfunctions.udf.CIQ(Z$3, "IQ_BOND_PRICE", $L13)),"")</f>
        <v>0</v>
      </c>
      <c r="AA13" s="404"/>
      <c r="CZ13" s="426"/>
    </row>
    <row r="14" spans="1:104" ht="20.100000000000001" customHeight="1" x14ac:dyDescent="0.2">
      <c r="D14" s="430"/>
      <c r="F14" s="429"/>
      <c r="L14" s="425">
        <f t="shared" si="0"/>
        <v>44292</v>
      </c>
      <c r="M14" s="424">
        <f>IF(AND($L14&lt;&gt;"",M$3&lt;&gt;""),IF(NOT(ISNUMBER(_xll.ciqfunctions.udf.CIQ(M$3, "IQ_BOND_PRICE", $L14))),NA(),_xll.ciqfunctions.udf.CIQ(M$3, "IQ_BOND_PRICE", $L14)),"")</f>
        <v>101.773</v>
      </c>
      <c r="N14" s="424">
        <f>IF(AND($L14&lt;&gt;"",N$3&lt;&gt;""),IF(NOT(ISNUMBER(_xll.ciqfunctions.udf.CIQ(N$3, "IQ_BOND_PRICE", $L14))),NA(),_xll.ciqfunctions.udf.CIQ(N$3, "IQ_BOND_PRICE", $L14)),"")</f>
        <v>0</v>
      </c>
      <c r="O14" s="424">
        <f>IF(AND($L14&lt;&gt;"",O$3&lt;&gt;""),IF(NOT(ISNUMBER(_xll.ciqfunctions.udf.CIQ(O$3, "IQ_BOND_PRICE", $L14))),NA(),_xll.ciqfunctions.udf.CIQ(O$3, "IQ_BOND_PRICE", $L14)),"")</f>
        <v>103.46254</v>
      </c>
      <c r="P14" s="424">
        <f>IF(AND($L14&lt;&gt;"",P$3&lt;&gt;""),IF(NOT(ISNUMBER(_xll.ciqfunctions.udf.CIQ(P$3, "IQ_BOND_PRICE", $L14))),NA(),_xll.ciqfunctions.udf.CIQ(P$3, "IQ_BOND_PRICE", $L14)),"")</f>
        <v>104.04834</v>
      </c>
      <c r="Q14" s="424">
        <f>IF(AND($L14&lt;&gt;"",Q$3&lt;&gt;""),IF(NOT(ISNUMBER(_xll.ciqfunctions.udf.CIQ(Q$3, "IQ_BOND_PRICE", $L14))),NA(),_xll.ciqfunctions.udf.CIQ(Q$3, "IQ_BOND_PRICE", $L14)),"")</f>
        <v>106.68899999999999</v>
      </c>
      <c r="R14" s="424">
        <f>IF(AND($L14&lt;&gt;"",R$3&lt;&gt;""),IF(NOT(ISNUMBER(_xll.ciqfunctions.udf.CIQ(R$3, "IQ_BOND_PRICE", $L14))),NA(),_xll.ciqfunctions.udf.CIQ(R$3, "IQ_BOND_PRICE", $L14)),"")</f>
        <v>115.505</v>
      </c>
      <c r="S14" s="424">
        <f>IF(AND($L14&lt;&gt;"",S$3&lt;&gt;""),IF(NOT(ISNUMBER(_xll.ciqfunctions.udf.CIQ(S$3, "IQ_BOND_PRICE", $L14))),NA(),_xll.ciqfunctions.udf.CIQ(S$3, "IQ_BOND_PRICE", $L14)),"")</f>
        <v>107.636</v>
      </c>
      <c r="T14" s="424">
        <f>IF(AND($L14&lt;&gt;"",T$3&lt;&gt;""),IF(NOT(ISNUMBER(_xll.ciqfunctions.udf.CIQ(T$3, "IQ_BOND_PRICE", $L14))),NA(),_xll.ciqfunctions.udf.CIQ(T$3, "IQ_BOND_PRICE", $L14)),"")</f>
        <v>107.223</v>
      </c>
      <c r="U14" s="424">
        <f>IF(AND($L14&lt;&gt;"",U$3&lt;&gt;""),IF(NOT(ISNUMBER(_xll.ciqfunctions.udf.CIQ(U$3, "IQ_BOND_PRICE", $L14))),NA(),_xll.ciqfunctions.udf.CIQ(U$3, "IQ_BOND_PRICE", $L14)),"")</f>
        <v>99.859080000000006</v>
      </c>
      <c r="V14" s="424">
        <f>IF(AND($L14&lt;&gt;"",V$3&lt;&gt;""),IF(NOT(ISNUMBER(_xll.ciqfunctions.udf.CIQ(V$3, "IQ_BOND_PRICE", $L14))),NA(),_xll.ciqfunctions.udf.CIQ(V$3, "IQ_BOND_PRICE", $L14)),"")</f>
        <v>107.08051</v>
      </c>
      <c r="W14" s="424">
        <f>IF(AND($L14&lt;&gt;"",W$3&lt;&gt;""),IF(NOT(ISNUMBER(_xll.ciqfunctions.udf.CIQ(W$3, "IQ_BOND_PRICE", $L14))),NA(),_xll.ciqfunctions.udf.CIQ(W$3, "IQ_BOND_PRICE", $L14)),"")</f>
        <v>110.574</v>
      </c>
      <c r="X14" s="424">
        <f>IF(AND($L14&lt;&gt;"",X$3&lt;&gt;""),IF(NOT(ISNUMBER(_xll.ciqfunctions.udf.CIQ(X$3, "IQ_BOND_PRICE", $L14))),NA(),_xll.ciqfunctions.udf.CIQ(X$3, "IQ_BOND_PRICE", $L14)),"")</f>
        <v>112.943</v>
      </c>
      <c r="Y14" s="424">
        <f>IF(AND($L14&lt;&gt;"",Y$3&lt;&gt;""),IF(NOT(ISNUMBER(_xll.ciqfunctions.udf.CIQ(Y$3, "IQ_BOND_PRICE", $L14))),NA(),_xll.ciqfunctions.udf.CIQ(Y$3, "IQ_BOND_PRICE", $L14)),"")</f>
        <v>109.217</v>
      </c>
      <c r="Z14" s="424">
        <f>IF(AND($L14&lt;&gt;"",Z$3&lt;&gt;""),IF(NOT(ISNUMBER(_xll.ciqfunctions.udf.CIQ(Z$3, "IQ_BOND_PRICE", $L14))),NA(),_xll.ciqfunctions.udf.CIQ(Z$3, "IQ_BOND_PRICE", $L14)),"")</f>
        <v>0</v>
      </c>
      <c r="AA14" s="404"/>
      <c r="CZ14" s="426"/>
    </row>
    <row r="15" spans="1:104" ht="20.100000000000001" customHeight="1" x14ac:dyDescent="0.2">
      <c r="D15" s="430"/>
      <c r="F15" s="429"/>
      <c r="L15" s="425">
        <f t="shared" si="0"/>
        <v>44293</v>
      </c>
      <c r="M15" s="424">
        <f>IF(AND($L15&lt;&gt;"",M$3&lt;&gt;""),IF(NOT(ISNUMBER(_xll.ciqfunctions.udf.CIQ(M$3, "IQ_BOND_PRICE", $L15))),NA(),_xll.ciqfunctions.udf.CIQ(M$3, "IQ_BOND_PRICE", $L15)),"")</f>
        <v>101.765</v>
      </c>
      <c r="N15" s="424">
        <f>IF(AND($L15&lt;&gt;"",N$3&lt;&gt;""),IF(NOT(ISNUMBER(_xll.ciqfunctions.udf.CIQ(N$3, "IQ_BOND_PRICE", $L15))),NA(),_xll.ciqfunctions.udf.CIQ(N$3, "IQ_BOND_PRICE", $L15)),"")</f>
        <v>0</v>
      </c>
      <c r="O15" s="424">
        <f>IF(AND($L15&lt;&gt;"",O$3&lt;&gt;""),IF(NOT(ISNUMBER(_xll.ciqfunctions.udf.CIQ(O$3, "IQ_BOND_PRICE", $L15))),NA(),_xll.ciqfunctions.udf.CIQ(O$3, "IQ_BOND_PRICE", $L15)),"")</f>
        <v>103.44689</v>
      </c>
      <c r="P15" s="424">
        <f>IF(AND($L15&lt;&gt;"",P$3&lt;&gt;""),IF(NOT(ISNUMBER(_xll.ciqfunctions.udf.CIQ(P$3, "IQ_BOND_PRICE", $L15))),NA(),_xll.ciqfunctions.udf.CIQ(P$3, "IQ_BOND_PRICE", $L15)),"")</f>
        <v>104.06357</v>
      </c>
      <c r="Q15" s="424">
        <f>IF(AND($L15&lt;&gt;"",Q$3&lt;&gt;""),IF(NOT(ISNUMBER(_xll.ciqfunctions.udf.CIQ(Q$3, "IQ_BOND_PRICE", $L15))),NA(),_xll.ciqfunctions.udf.CIQ(Q$3, "IQ_BOND_PRICE", $L15)),"")</f>
        <v>106.595</v>
      </c>
      <c r="R15" s="424">
        <f>IF(AND($L15&lt;&gt;"",R$3&lt;&gt;""),IF(NOT(ISNUMBER(_xll.ciqfunctions.udf.CIQ(R$3, "IQ_BOND_PRICE", $L15))),NA(),_xll.ciqfunctions.udf.CIQ(R$3, "IQ_BOND_PRICE", $L15)),"")</f>
        <v>115.55500000000001</v>
      </c>
      <c r="S15" s="424">
        <f>IF(AND($L15&lt;&gt;"",S$3&lt;&gt;""),IF(NOT(ISNUMBER(_xll.ciqfunctions.udf.CIQ(S$3, "IQ_BOND_PRICE", $L15))),NA(),_xll.ciqfunctions.udf.CIQ(S$3, "IQ_BOND_PRICE", $L15)),"")</f>
        <v>108.044</v>
      </c>
      <c r="T15" s="424">
        <f>IF(AND($L15&lt;&gt;"",T$3&lt;&gt;""),IF(NOT(ISNUMBER(_xll.ciqfunctions.udf.CIQ(T$3, "IQ_BOND_PRICE", $L15))),NA(),_xll.ciqfunctions.udf.CIQ(T$3, "IQ_BOND_PRICE", $L15)),"")</f>
        <v>107.352</v>
      </c>
      <c r="U15" s="424">
        <f>IF(AND($L15&lt;&gt;"",U$3&lt;&gt;""),IF(NOT(ISNUMBER(_xll.ciqfunctions.udf.CIQ(U$3, "IQ_BOND_PRICE", $L15))),NA(),_xll.ciqfunctions.udf.CIQ(U$3, "IQ_BOND_PRICE", $L15)),"")</f>
        <v>99.854150000000004</v>
      </c>
      <c r="V15" s="424">
        <f>IF(AND($L15&lt;&gt;"",V$3&lt;&gt;""),IF(NOT(ISNUMBER(_xll.ciqfunctions.udf.CIQ(V$3, "IQ_BOND_PRICE", $L15))),NA(),_xll.ciqfunctions.udf.CIQ(V$3, "IQ_BOND_PRICE", $L15)),"")</f>
        <v>107.07768</v>
      </c>
      <c r="W15" s="424">
        <f>IF(AND($L15&lt;&gt;"",W$3&lt;&gt;""),IF(NOT(ISNUMBER(_xll.ciqfunctions.udf.CIQ(W$3, "IQ_BOND_PRICE", $L15))),NA(),_xll.ciqfunctions.udf.CIQ(W$3, "IQ_BOND_PRICE", $L15)),"")</f>
        <v>110.60899999999999</v>
      </c>
      <c r="X15" s="424">
        <f>IF(AND($L15&lt;&gt;"",X$3&lt;&gt;""),IF(NOT(ISNUMBER(_xll.ciqfunctions.udf.CIQ(X$3, "IQ_BOND_PRICE", $L15))),NA(),_xll.ciqfunctions.udf.CIQ(X$3, "IQ_BOND_PRICE", $L15)),"")</f>
        <v>112.935</v>
      </c>
      <c r="Y15" s="424">
        <f>IF(AND($L15&lt;&gt;"",Y$3&lt;&gt;""),IF(NOT(ISNUMBER(_xll.ciqfunctions.udf.CIQ(Y$3, "IQ_BOND_PRICE", $L15))),NA(),_xll.ciqfunctions.udf.CIQ(Y$3, "IQ_BOND_PRICE", $L15)),"")</f>
        <v>109.157</v>
      </c>
      <c r="Z15" s="424">
        <f>IF(AND($L15&lt;&gt;"",Z$3&lt;&gt;""),IF(NOT(ISNUMBER(_xll.ciqfunctions.udf.CIQ(Z$3, "IQ_BOND_PRICE", $L15))),NA(),_xll.ciqfunctions.udf.CIQ(Z$3, "IQ_BOND_PRICE", $L15)),"")</f>
        <v>0</v>
      </c>
      <c r="AA15" s="404"/>
      <c r="CZ15" s="426"/>
    </row>
    <row r="16" spans="1:104" ht="20.100000000000001" customHeight="1" x14ac:dyDescent="0.2">
      <c r="D16" s="430"/>
      <c r="F16" s="429"/>
      <c r="L16" s="425">
        <f t="shared" si="0"/>
        <v>44294</v>
      </c>
      <c r="M16" s="424">
        <f>IF(AND($L16&lt;&gt;"",M$3&lt;&gt;""),IF(NOT(ISNUMBER(_xll.ciqfunctions.udf.CIQ(M$3, "IQ_BOND_PRICE", $L16))),NA(),_xll.ciqfunctions.udf.CIQ(M$3, "IQ_BOND_PRICE", $L16)),"")</f>
        <v>101.753</v>
      </c>
      <c r="N16" s="424">
        <f>IF(AND($L16&lt;&gt;"",N$3&lt;&gt;""),IF(NOT(ISNUMBER(_xll.ciqfunctions.udf.CIQ(N$3, "IQ_BOND_PRICE", $L16))),NA(),_xll.ciqfunctions.udf.CIQ(N$3, "IQ_BOND_PRICE", $L16)),"")</f>
        <v>0</v>
      </c>
      <c r="O16" s="424">
        <f>IF(AND($L16&lt;&gt;"",O$3&lt;&gt;""),IF(NOT(ISNUMBER(_xll.ciqfunctions.udf.CIQ(O$3, "IQ_BOND_PRICE", $L16))),NA(),_xll.ciqfunctions.udf.CIQ(O$3, "IQ_BOND_PRICE", $L16)),"")</f>
        <v>103.44177999999999</v>
      </c>
      <c r="P16" s="424">
        <f>IF(AND($L16&lt;&gt;"",P$3&lt;&gt;""),IF(NOT(ISNUMBER(_xll.ciqfunctions.udf.CIQ(P$3, "IQ_BOND_PRICE", $L16))),NA(),_xll.ciqfunctions.udf.CIQ(P$3, "IQ_BOND_PRICE", $L16)),"")</f>
        <v>104.06903</v>
      </c>
      <c r="Q16" s="424">
        <f>IF(AND($L16&lt;&gt;"",Q$3&lt;&gt;""),IF(NOT(ISNUMBER(_xll.ciqfunctions.udf.CIQ(Q$3, "IQ_BOND_PRICE", $L16))),NA(),_xll.ciqfunctions.udf.CIQ(Q$3, "IQ_BOND_PRICE", $L16)),"")</f>
        <v>106.55</v>
      </c>
      <c r="R16" s="424">
        <f>IF(AND($L16&lt;&gt;"",R$3&lt;&gt;""),IF(NOT(ISNUMBER(_xll.ciqfunctions.udf.CIQ(R$3, "IQ_BOND_PRICE", $L16))),NA(),_xll.ciqfunctions.udf.CIQ(R$3, "IQ_BOND_PRICE", $L16)),"")</f>
        <v>115.52500000000001</v>
      </c>
      <c r="S16" s="424">
        <f>IF(AND($L16&lt;&gt;"",S$3&lt;&gt;""),IF(NOT(ISNUMBER(_xll.ciqfunctions.udf.CIQ(S$3, "IQ_BOND_PRICE", $L16))),NA(),_xll.ciqfunctions.udf.CIQ(S$3, "IQ_BOND_PRICE", $L16)),"")</f>
        <v>107.90600000000001</v>
      </c>
      <c r="T16" s="424">
        <f>IF(AND($L16&lt;&gt;"",T$3&lt;&gt;""),IF(NOT(ISNUMBER(_xll.ciqfunctions.udf.CIQ(T$3, "IQ_BOND_PRICE", $L16))),NA(),_xll.ciqfunctions.udf.CIQ(T$3, "IQ_BOND_PRICE", $L16)),"")</f>
        <v>107.462</v>
      </c>
      <c r="U16" s="424">
        <f>IF(AND($L16&lt;&gt;"",U$3&lt;&gt;""),IF(NOT(ISNUMBER(_xll.ciqfunctions.udf.CIQ(U$3, "IQ_BOND_PRICE", $L16))),NA(),_xll.ciqfunctions.udf.CIQ(U$3, "IQ_BOND_PRICE", $L16)),"")</f>
        <v>99.85445</v>
      </c>
      <c r="V16" s="424">
        <f>IF(AND($L16&lt;&gt;"",V$3&lt;&gt;""),IF(NOT(ISNUMBER(_xll.ciqfunctions.udf.CIQ(V$3, "IQ_BOND_PRICE", $L16))),NA(),_xll.ciqfunctions.udf.CIQ(V$3, "IQ_BOND_PRICE", $L16)),"")</f>
        <v>107.07053999999999</v>
      </c>
      <c r="W16" s="424">
        <f>IF(AND($L16&lt;&gt;"",W$3&lt;&gt;""),IF(NOT(ISNUMBER(_xll.ciqfunctions.udf.CIQ(W$3, "IQ_BOND_PRICE", $L16))),NA(),_xll.ciqfunctions.udf.CIQ(W$3, "IQ_BOND_PRICE", $L16)),"")</f>
        <v>110.655</v>
      </c>
      <c r="X16" s="424">
        <f>IF(AND($L16&lt;&gt;"",X$3&lt;&gt;""),IF(NOT(ISNUMBER(_xll.ciqfunctions.udf.CIQ(X$3, "IQ_BOND_PRICE", $L16))),NA(),_xll.ciqfunctions.udf.CIQ(X$3, "IQ_BOND_PRICE", $L16)),"")</f>
        <v>112.96899999999999</v>
      </c>
      <c r="Y16" s="424">
        <f>IF(AND($L16&lt;&gt;"",Y$3&lt;&gt;""),IF(NOT(ISNUMBER(_xll.ciqfunctions.udf.CIQ(Y$3, "IQ_BOND_PRICE", $L16))),NA(),_xll.ciqfunctions.udf.CIQ(Y$3, "IQ_BOND_PRICE", $L16)),"")</f>
        <v>109.22499999999999</v>
      </c>
      <c r="Z16" s="424">
        <f>IF(AND($L16&lt;&gt;"",Z$3&lt;&gt;""),IF(NOT(ISNUMBER(_xll.ciqfunctions.udf.CIQ(Z$3, "IQ_BOND_PRICE", $L16))),NA(),_xll.ciqfunctions.udf.CIQ(Z$3, "IQ_BOND_PRICE", $L16)),"")</f>
        <v>0</v>
      </c>
      <c r="AA16" s="404"/>
      <c r="CZ16" s="426"/>
    </row>
    <row r="17" spans="2:104" ht="20.100000000000001" customHeight="1" x14ac:dyDescent="0.2">
      <c r="D17" s="430"/>
      <c r="F17" s="429"/>
      <c r="L17" s="425">
        <f t="shared" si="0"/>
        <v>44295</v>
      </c>
      <c r="M17" s="424">
        <f>IF(AND($L17&lt;&gt;"",M$3&lt;&gt;""),IF(NOT(ISNUMBER(_xll.ciqfunctions.udf.CIQ(M$3, "IQ_BOND_PRICE", $L17))),NA(),_xll.ciqfunctions.udf.CIQ(M$3, "IQ_BOND_PRICE", $L17)),"")</f>
        <v>101.73399999999999</v>
      </c>
      <c r="N17" s="424">
        <f>IF(AND($L17&lt;&gt;"",N$3&lt;&gt;""),IF(NOT(ISNUMBER(_xll.ciqfunctions.udf.CIQ(N$3, "IQ_BOND_PRICE", $L17))),NA(),_xll.ciqfunctions.udf.CIQ(N$3, "IQ_BOND_PRICE", $L17)),"")</f>
        <v>0</v>
      </c>
      <c r="O17" s="424">
        <f>IF(AND($L17&lt;&gt;"",O$3&lt;&gt;""),IF(NOT(ISNUMBER(_xll.ciqfunctions.udf.CIQ(O$3, "IQ_BOND_PRICE", $L17))),NA(),_xll.ciqfunctions.udf.CIQ(O$3, "IQ_BOND_PRICE", $L17)),"")</f>
        <v>103.4195</v>
      </c>
      <c r="P17" s="424">
        <f>IF(AND($L17&lt;&gt;"",P$3&lt;&gt;""),IF(NOT(ISNUMBER(_xll.ciqfunctions.udf.CIQ(P$3, "IQ_BOND_PRICE", $L17))),NA(),_xll.ciqfunctions.udf.CIQ(P$3, "IQ_BOND_PRICE", $L17)),"")</f>
        <v>104.06447</v>
      </c>
      <c r="Q17" s="424">
        <f>IF(AND($L17&lt;&gt;"",Q$3&lt;&gt;""),IF(NOT(ISNUMBER(_xll.ciqfunctions.udf.CIQ(Q$3, "IQ_BOND_PRICE", $L17))),NA(),_xll.ciqfunctions.udf.CIQ(Q$3, "IQ_BOND_PRICE", $L17)),"")</f>
        <v>106.63800000000001</v>
      </c>
      <c r="R17" s="424">
        <f>IF(AND($L17&lt;&gt;"",R$3&lt;&gt;""),IF(NOT(ISNUMBER(_xll.ciqfunctions.udf.CIQ(R$3, "IQ_BOND_PRICE", $L17))),NA(),_xll.ciqfunctions.udf.CIQ(R$3, "IQ_BOND_PRICE", $L17)),"")</f>
        <v>115.58799999999999</v>
      </c>
      <c r="S17" s="424">
        <f>IF(AND($L17&lt;&gt;"",S$3&lt;&gt;""),IF(NOT(ISNUMBER(_xll.ciqfunctions.udf.CIQ(S$3, "IQ_BOND_PRICE", $L17))),NA(),_xll.ciqfunctions.udf.CIQ(S$3, "IQ_BOND_PRICE", $L17)),"")</f>
        <v>107.898</v>
      </c>
      <c r="T17" s="424">
        <f>IF(AND($L17&lt;&gt;"",T$3&lt;&gt;""),IF(NOT(ISNUMBER(_xll.ciqfunctions.udf.CIQ(T$3, "IQ_BOND_PRICE", $L17))),NA(),_xll.ciqfunctions.udf.CIQ(T$3, "IQ_BOND_PRICE", $L17)),"")</f>
        <v>107.411</v>
      </c>
      <c r="U17" s="424">
        <f>IF(AND($L17&lt;&gt;"",U$3&lt;&gt;""),IF(NOT(ISNUMBER(_xll.ciqfunctions.udf.CIQ(U$3, "IQ_BOND_PRICE", $L17))),NA(),_xll.ciqfunctions.udf.CIQ(U$3, "IQ_BOND_PRICE", $L17)),"")</f>
        <v>99.871629999999996</v>
      </c>
      <c r="V17" s="424">
        <f>IF(AND($L17&lt;&gt;"",V$3&lt;&gt;""),IF(NOT(ISNUMBER(_xll.ciqfunctions.udf.CIQ(V$3, "IQ_BOND_PRICE", $L17))),NA(),_xll.ciqfunctions.udf.CIQ(V$3, "IQ_BOND_PRICE", $L17)),"")</f>
        <v>107.22150999999999</v>
      </c>
      <c r="W17" s="424">
        <f>IF(AND($L17&lt;&gt;"",W$3&lt;&gt;""),IF(NOT(ISNUMBER(_xll.ciqfunctions.udf.CIQ(W$3, "IQ_BOND_PRICE", $L17))),NA(),_xll.ciqfunctions.udf.CIQ(W$3, "IQ_BOND_PRICE", $L17)),"")</f>
        <v>110.532</v>
      </c>
      <c r="X17" s="424">
        <f>IF(AND($L17&lt;&gt;"",X$3&lt;&gt;""),IF(NOT(ISNUMBER(_xll.ciqfunctions.udf.CIQ(X$3, "IQ_BOND_PRICE", $L17))),NA(),_xll.ciqfunctions.udf.CIQ(X$3, "IQ_BOND_PRICE", $L17)),"")</f>
        <v>112.854</v>
      </c>
      <c r="Y17" s="424">
        <f>IF(AND($L17&lt;&gt;"",Y$3&lt;&gt;""),IF(NOT(ISNUMBER(_xll.ciqfunctions.udf.CIQ(Y$3, "IQ_BOND_PRICE", $L17))),NA(),_xll.ciqfunctions.udf.CIQ(Y$3, "IQ_BOND_PRICE", $L17)),"")</f>
        <v>109.10299999999999</v>
      </c>
      <c r="Z17" s="424">
        <f>IF(AND($L17&lt;&gt;"",Z$3&lt;&gt;""),IF(NOT(ISNUMBER(_xll.ciqfunctions.udf.CIQ(Z$3, "IQ_BOND_PRICE", $L17))),NA(),_xll.ciqfunctions.udf.CIQ(Z$3, "IQ_BOND_PRICE", $L17)),"")</f>
        <v>0</v>
      </c>
      <c r="AA17" s="404"/>
      <c r="CZ17" s="426"/>
    </row>
    <row r="18" spans="2:104" ht="20.100000000000001" customHeight="1" x14ac:dyDescent="0.2">
      <c r="D18" s="430"/>
      <c r="F18" s="429"/>
      <c r="L18" s="425">
        <f t="shared" si="0"/>
        <v>44298</v>
      </c>
      <c r="M18" s="424">
        <f>IF(AND($L18&lt;&gt;"",M$3&lt;&gt;""),IF(NOT(ISNUMBER(_xll.ciqfunctions.udf.CIQ(M$3, "IQ_BOND_PRICE", $L18))),NA(),_xll.ciqfunctions.udf.CIQ(M$3, "IQ_BOND_PRICE", $L18)),"")</f>
        <v>101.73099999999999</v>
      </c>
      <c r="N18" s="424">
        <f>IF(AND($L18&lt;&gt;"",N$3&lt;&gt;""),IF(NOT(ISNUMBER(_xll.ciqfunctions.udf.CIQ(N$3, "IQ_BOND_PRICE", $L18))),NA(),_xll.ciqfunctions.udf.CIQ(N$3, "IQ_BOND_PRICE", $L18)),"")</f>
        <v>0</v>
      </c>
      <c r="O18" s="424">
        <f>IF(AND($L18&lt;&gt;"",O$3&lt;&gt;""),IF(NOT(ISNUMBER(_xll.ciqfunctions.udf.CIQ(O$3, "IQ_BOND_PRICE", $L18))),NA(),_xll.ciqfunctions.udf.CIQ(O$3, "IQ_BOND_PRICE", $L18)),"")</f>
        <v>103.40631</v>
      </c>
      <c r="P18" s="424">
        <f>IF(AND($L18&lt;&gt;"",P$3&lt;&gt;""),IF(NOT(ISNUMBER(_xll.ciqfunctions.udf.CIQ(P$3, "IQ_BOND_PRICE", $L18))),NA(),_xll.ciqfunctions.udf.CIQ(P$3, "IQ_BOND_PRICE", $L18)),"")</f>
        <v>103.97118</v>
      </c>
      <c r="Q18" s="424">
        <f>IF(AND($L18&lt;&gt;"",Q$3&lt;&gt;""),IF(NOT(ISNUMBER(_xll.ciqfunctions.udf.CIQ(Q$3, "IQ_BOND_PRICE", $L18))),NA(),_xll.ciqfunctions.udf.CIQ(Q$3, "IQ_BOND_PRICE", $L18)),"")</f>
        <v>106.54</v>
      </c>
      <c r="R18" s="424">
        <f>IF(AND($L18&lt;&gt;"",R$3&lt;&gt;""),IF(NOT(ISNUMBER(_xll.ciqfunctions.udf.CIQ(R$3, "IQ_BOND_PRICE", $L18))),NA(),_xll.ciqfunctions.udf.CIQ(R$3, "IQ_BOND_PRICE", $L18)),"")</f>
        <v>115.482</v>
      </c>
      <c r="S18" s="424">
        <f>IF(AND($L18&lt;&gt;"",S$3&lt;&gt;""),IF(NOT(ISNUMBER(_xll.ciqfunctions.udf.CIQ(S$3, "IQ_BOND_PRICE", $L18))),NA(),_xll.ciqfunctions.udf.CIQ(S$3, "IQ_BOND_PRICE", $L18)),"")</f>
        <v>107.89400000000001</v>
      </c>
      <c r="T18" s="424">
        <f>IF(AND($L18&lt;&gt;"",T$3&lt;&gt;""),IF(NOT(ISNUMBER(_xll.ciqfunctions.udf.CIQ(T$3, "IQ_BOND_PRICE", $L18))),NA(),_xll.ciqfunctions.udf.CIQ(T$3, "IQ_BOND_PRICE", $L18)),"")</f>
        <v>107.377</v>
      </c>
      <c r="U18" s="424">
        <f>IF(AND($L18&lt;&gt;"",U$3&lt;&gt;""),IF(NOT(ISNUMBER(_xll.ciqfunctions.udf.CIQ(U$3, "IQ_BOND_PRICE", $L18))),NA(),_xll.ciqfunctions.udf.CIQ(U$3, "IQ_BOND_PRICE", $L18)),"")</f>
        <v>99.882649999999998</v>
      </c>
      <c r="V18" s="424">
        <f>IF(AND($L18&lt;&gt;"",V$3&lt;&gt;""),IF(NOT(ISNUMBER(_xll.ciqfunctions.udf.CIQ(V$3, "IQ_BOND_PRICE", $L18))),NA(),_xll.ciqfunctions.udf.CIQ(V$3, "IQ_BOND_PRICE", $L18)),"")</f>
        <v>107.06147</v>
      </c>
      <c r="W18" s="424">
        <f>IF(AND($L18&lt;&gt;"",W$3&lt;&gt;""),IF(NOT(ISNUMBER(_xll.ciqfunctions.udf.CIQ(W$3, "IQ_BOND_PRICE", $L18))),NA(),_xll.ciqfunctions.udf.CIQ(W$3, "IQ_BOND_PRICE", $L18)),"")</f>
        <v>110.43</v>
      </c>
      <c r="X18" s="424">
        <f>IF(AND($L18&lt;&gt;"",X$3&lt;&gt;""),IF(NOT(ISNUMBER(_xll.ciqfunctions.udf.CIQ(X$3, "IQ_BOND_PRICE", $L18))),NA(),_xll.ciqfunctions.udf.CIQ(X$3, "IQ_BOND_PRICE", $L18)),"")</f>
        <v>112.86799999999999</v>
      </c>
      <c r="Y18" s="424">
        <f>IF(AND($L18&lt;&gt;"",Y$3&lt;&gt;""),IF(NOT(ISNUMBER(_xll.ciqfunctions.udf.CIQ(Y$3, "IQ_BOND_PRICE", $L18))),NA(),_xll.ciqfunctions.udf.CIQ(Y$3, "IQ_BOND_PRICE", $L18)),"")</f>
        <v>108.98099999999999</v>
      </c>
      <c r="Z18" s="424">
        <f>IF(AND($L18&lt;&gt;"",Z$3&lt;&gt;""),IF(NOT(ISNUMBER(_xll.ciqfunctions.udf.CIQ(Z$3, "IQ_BOND_PRICE", $L18))),NA(),_xll.ciqfunctions.udf.CIQ(Z$3, "IQ_BOND_PRICE", $L18)),"")</f>
        <v>0</v>
      </c>
      <c r="AA18" s="404"/>
      <c r="CZ18" s="426"/>
    </row>
    <row r="19" spans="2:104" ht="20.100000000000001" customHeight="1" x14ac:dyDescent="0.2">
      <c r="D19" s="430"/>
      <c r="F19" s="429"/>
      <c r="L19" s="425">
        <f t="shared" si="0"/>
        <v>44299</v>
      </c>
      <c r="M19" s="424">
        <f>IF(AND($L19&lt;&gt;"",M$3&lt;&gt;""),IF(NOT(ISNUMBER(_xll.ciqfunctions.udf.CIQ(M$3, "IQ_BOND_PRICE", $L19))),NA(),_xll.ciqfunctions.udf.CIQ(M$3, "IQ_BOND_PRICE", $L19)),"")</f>
        <v>101.723</v>
      </c>
      <c r="N19" s="424">
        <f>IF(AND($L19&lt;&gt;"",N$3&lt;&gt;""),IF(NOT(ISNUMBER(_xll.ciqfunctions.udf.CIQ(N$3, "IQ_BOND_PRICE", $L19))),NA(),_xll.ciqfunctions.udf.CIQ(N$3, "IQ_BOND_PRICE", $L19)),"")</f>
        <v>0</v>
      </c>
      <c r="O19" s="424">
        <f>IF(AND($L19&lt;&gt;"",O$3&lt;&gt;""),IF(NOT(ISNUMBER(_xll.ciqfunctions.udf.CIQ(O$3, "IQ_BOND_PRICE", $L19))),NA(),_xll.ciqfunctions.udf.CIQ(O$3, "IQ_BOND_PRICE", $L19)),"")</f>
        <v>103.41316</v>
      </c>
      <c r="P19" s="424">
        <f>IF(AND($L19&lt;&gt;"",P$3&lt;&gt;""),IF(NOT(ISNUMBER(_xll.ciqfunctions.udf.CIQ(P$3, "IQ_BOND_PRICE", $L19))),NA(),_xll.ciqfunctions.udf.CIQ(P$3, "IQ_BOND_PRICE", $L19)),"")</f>
        <v>103.93868999999999</v>
      </c>
      <c r="Q19" s="424">
        <f>IF(AND($L19&lt;&gt;"",Q$3&lt;&gt;""),IF(NOT(ISNUMBER(_xll.ciqfunctions.udf.CIQ(Q$3, "IQ_BOND_PRICE", $L19))),NA(),_xll.ciqfunctions.udf.CIQ(Q$3, "IQ_BOND_PRICE", $L19)),"")</f>
        <v>106.541</v>
      </c>
      <c r="R19" s="424">
        <f>IF(AND($L19&lt;&gt;"",R$3&lt;&gt;""),IF(NOT(ISNUMBER(_xll.ciqfunctions.udf.CIQ(R$3, "IQ_BOND_PRICE", $L19))),NA(),_xll.ciqfunctions.udf.CIQ(R$3, "IQ_BOND_PRICE", $L19)),"")</f>
        <v>115.506</v>
      </c>
      <c r="S19" s="424">
        <f>IF(AND($L19&lt;&gt;"",S$3&lt;&gt;""),IF(NOT(ISNUMBER(_xll.ciqfunctions.udf.CIQ(S$3, "IQ_BOND_PRICE", $L19))),NA(),_xll.ciqfunctions.udf.CIQ(S$3, "IQ_BOND_PRICE", $L19)),"")</f>
        <v>107.895</v>
      </c>
      <c r="T19" s="424">
        <f>IF(AND($L19&lt;&gt;"",T$3&lt;&gt;""),IF(NOT(ISNUMBER(_xll.ciqfunctions.udf.CIQ(T$3, "IQ_BOND_PRICE", $L19))),NA(),_xll.ciqfunctions.udf.CIQ(T$3, "IQ_BOND_PRICE", $L19)),"")</f>
        <v>107.452</v>
      </c>
      <c r="U19" s="424">
        <f>IF(AND($L19&lt;&gt;"",U$3&lt;&gt;""),IF(NOT(ISNUMBER(_xll.ciqfunctions.udf.CIQ(U$3, "IQ_BOND_PRICE", $L19))),NA(),_xll.ciqfunctions.udf.CIQ(U$3, "IQ_BOND_PRICE", $L19)),"")</f>
        <v>99.880470000000003</v>
      </c>
      <c r="V19" s="424">
        <f>IF(AND($L19&lt;&gt;"",V$3&lt;&gt;""),IF(NOT(ISNUMBER(_xll.ciqfunctions.udf.CIQ(V$3, "IQ_BOND_PRICE", $L19))),NA(),_xll.ciqfunctions.udf.CIQ(V$3, "IQ_BOND_PRICE", $L19)),"")</f>
        <v>107.14295</v>
      </c>
      <c r="W19" s="424">
        <f>IF(AND($L19&lt;&gt;"",W$3&lt;&gt;""),IF(NOT(ISNUMBER(_xll.ciqfunctions.udf.CIQ(W$3, "IQ_BOND_PRICE", $L19))),NA(),_xll.ciqfunctions.udf.CIQ(W$3, "IQ_BOND_PRICE", $L19)),"")</f>
        <v>110.72199999999999</v>
      </c>
      <c r="X19" s="424">
        <f>IF(AND($L19&lt;&gt;"",X$3&lt;&gt;""),IF(NOT(ISNUMBER(_xll.ciqfunctions.udf.CIQ(X$3, "IQ_BOND_PRICE", $L19))),NA(),_xll.ciqfunctions.udf.CIQ(X$3, "IQ_BOND_PRICE", $L19)),"")</f>
        <v>112.839</v>
      </c>
      <c r="Y19" s="424">
        <f>IF(AND($L19&lt;&gt;"",Y$3&lt;&gt;""),IF(NOT(ISNUMBER(_xll.ciqfunctions.udf.CIQ(Y$3, "IQ_BOND_PRICE", $L19))),NA(),_xll.ciqfunctions.udf.CIQ(Y$3, "IQ_BOND_PRICE", $L19)),"")</f>
        <v>109.34</v>
      </c>
      <c r="Z19" s="424">
        <f>IF(AND($L19&lt;&gt;"",Z$3&lt;&gt;""),IF(NOT(ISNUMBER(_xll.ciqfunctions.udf.CIQ(Z$3, "IQ_BOND_PRICE", $L19))),NA(),_xll.ciqfunctions.udf.CIQ(Z$3, "IQ_BOND_PRICE", $L19)),"")</f>
        <v>0</v>
      </c>
      <c r="AA19" s="404"/>
      <c r="CZ19" s="426"/>
    </row>
    <row r="20" spans="2:104" ht="20.100000000000001" customHeight="1" x14ac:dyDescent="0.2">
      <c r="D20" s="430"/>
      <c r="F20" s="429"/>
      <c r="L20" s="425">
        <f t="shared" si="0"/>
        <v>44300</v>
      </c>
      <c r="M20" s="424">
        <f>IF(AND($L20&lt;&gt;"",M$3&lt;&gt;""),IF(NOT(ISNUMBER(_xll.ciqfunctions.udf.CIQ(M$3, "IQ_BOND_PRICE", $L20))),NA(),_xll.ciqfunctions.udf.CIQ(M$3, "IQ_BOND_PRICE", $L20)),"")</f>
        <v>101.705</v>
      </c>
      <c r="N20" s="424">
        <f>IF(AND($L20&lt;&gt;"",N$3&lt;&gt;""),IF(NOT(ISNUMBER(_xll.ciqfunctions.udf.CIQ(N$3, "IQ_BOND_PRICE", $L20))),NA(),_xll.ciqfunctions.udf.CIQ(N$3, "IQ_BOND_PRICE", $L20)),"")</f>
        <v>0</v>
      </c>
      <c r="O20" s="424">
        <f>IF(AND($L20&lt;&gt;"",O$3&lt;&gt;""),IF(NOT(ISNUMBER(_xll.ciqfunctions.udf.CIQ(O$3, "IQ_BOND_PRICE", $L20))),NA(),_xll.ciqfunctions.udf.CIQ(O$3, "IQ_BOND_PRICE", $L20)),"")</f>
        <v>103.4071</v>
      </c>
      <c r="P20" s="424">
        <f>IF(AND($L20&lt;&gt;"",P$3&lt;&gt;""),IF(NOT(ISNUMBER(_xll.ciqfunctions.udf.CIQ(P$3, "IQ_BOND_PRICE", $L20))),NA(),_xll.ciqfunctions.udf.CIQ(P$3, "IQ_BOND_PRICE", $L20)),"")</f>
        <v>103.92533</v>
      </c>
      <c r="Q20" s="424">
        <f>IF(AND($L20&lt;&gt;"",Q$3&lt;&gt;""),IF(NOT(ISNUMBER(_xll.ciqfunctions.udf.CIQ(Q$3, "IQ_BOND_PRICE", $L20))),NA(),_xll.ciqfunctions.udf.CIQ(Q$3, "IQ_BOND_PRICE", $L20)),"")</f>
        <v>106.52200000000001</v>
      </c>
      <c r="R20" s="424">
        <f>IF(AND($L20&lt;&gt;"",R$3&lt;&gt;""),IF(NOT(ISNUMBER(_xll.ciqfunctions.udf.CIQ(R$3, "IQ_BOND_PRICE", $L20))),NA(),_xll.ciqfunctions.udf.CIQ(R$3, "IQ_BOND_PRICE", $L20)),"")</f>
        <v>115.474</v>
      </c>
      <c r="S20" s="424">
        <f>IF(AND($L20&lt;&gt;"",S$3&lt;&gt;""),IF(NOT(ISNUMBER(_xll.ciqfunctions.udf.CIQ(S$3, "IQ_BOND_PRICE", $L20))),NA(),_xll.ciqfunctions.udf.CIQ(S$3, "IQ_BOND_PRICE", $L20)),"")</f>
        <v>107.872</v>
      </c>
      <c r="T20" s="424">
        <f>IF(AND($L20&lt;&gt;"",T$3&lt;&gt;""),IF(NOT(ISNUMBER(_xll.ciqfunctions.udf.CIQ(T$3, "IQ_BOND_PRICE", $L20))),NA(),_xll.ciqfunctions.udf.CIQ(T$3, "IQ_BOND_PRICE", $L20)),"")</f>
        <v>107.43899999999999</v>
      </c>
      <c r="U20" s="424">
        <f>IF(AND($L20&lt;&gt;"",U$3&lt;&gt;""),IF(NOT(ISNUMBER(_xll.ciqfunctions.udf.CIQ(U$3, "IQ_BOND_PRICE", $L20))),NA(),_xll.ciqfunctions.udf.CIQ(U$3, "IQ_BOND_PRICE", $L20)),"")</f>
        <v>99.891970000000001</v>
      </c>
      <c r="V20" s="424">
        <f>IF(AND($L20&lt;&gt;"",V$3&lt;&gt;""),IF(NOT(ISNUMBER(_xll.ciqfunctions.udf.CIQ(V$3, "IQ_BOND_PRICE", $L20))),NA(),_xll.ciqfunctions.udf.CIQ(V$3, "IQ_BOND_PRICE", $L20)),"")</f>
        <v>107.11766</v>
      </c>
      <c r="W20" s="424">
        <f>IF(AND($L20&lt;&gt;"",W$3&lt;&gt;""),IF(NOT(ISNUMBER(_xll.ciqfunctions.udf.CIQ(W$3, "IQ_BOND_PRICE", $L20))),NA(),_xll.ciqfunctions.udf.CIQ(W$3, "IQ_BOND_PRICE", $L20)),"")</f>
        <v>110.633</v>
      </c>
      <c r="X20" s="424">
        <f>IF(AND($L20&lt;&gt;"",X$3&lt;&gt;""),IF(NOT(ISNUMBER(_xll.ciqfunctions.udf.CIQ(X$3, "IQ_BOND_PRICE", $L20))),NA(),_xll.ciqfunctions.udf.CIQ(X$3, "IQ_BOND_PRICE", $L20)),"")</f>
        <v>112.759</v>
      </c>
      <c r="Y20" s="424">
        <f>IF(AND($L20&lt;&gt;"",Y$3&lt;&gt;""),IF(NOT(ISNUMBER(_xll.ciqfunctions.udf.CIQ(Y$3, "IQ_BOND_PRICE", $L20))),NA(),_xll.ciqfunctions.udf.CIQ(Y$3, "IQ_BOND_PRICE", $L20)),"")</f>
        <v>109.235</v>
      </c>
      <c r="Z20" s="424">
        <f>IF(AND($L20&lt;&gt;"",Z$3&lt;&gt;""),IF(NOT(ISNUMBER(_xll.ciqfunctions.udf.CIQ(Z$3, "IQ_BOND_PRICE", $L20))),NA(),_xll.ciqfunctions.udf.CIQ(Z$3, "IQ_BOND_PRICE", $L20)),"")</f>
        <v>0</v>
      </c>
      <c r="AA20" s="404"/>
      <c r="CZ20" s="426"/>
    </row>
    <row r="21" spans="2:104" ht="20.100000000000001" customHeight="1" x14ac:dyDescent="0.2">
      <c r="D21" s="427"/>
      <c r="E21" s="427"/>
      <c r="L21" s="425">
        <f t="shared" si="0"/>
        <v>44301</v>
      </c>
      <c r="M21" s="424">
        <f>IF(AND($L21&lt;&gt;"",M$3&lt;&gt;""),IF(NOT(ISNUMBER(_xll.ciqfunctions.udf.CIQ(M$3, "IQ_BOND_PRICE", $L21))),NA(),_xll.ciqfunctions.udf.CIQ(M$3, "IQ_BOND_PRICE", $L21)),"")</f>
        <v>101.70099999999999</v>
      </c>
      <c r="N21" s="424">
        <f>IF(AND($L21&lt;&gt;"",N$3&lt;&gt;""),IF(NOT(ISNUMBER(_xll.ciqfunctions.udf.CIQ(N$3, "IQ_BOND_PRICE", $L21))),NA(),_xll.ciqfunctions.udf.CIQ(N$3, "IQ_BOND_PRICE", $L21)),"")</f>
        <v>0</v>
      </c>
      <c r="O21" s="424">
        <f>IF(AND($L21&lt;&gt;"",O$3&lt;&gt;""),IF(NOT(ISNUMBER(_xll.ciqfunctions.udf.CIQ(O$3, "IQ_BOND_PRICE", $L21))),NA(),_xll.ciqfunctions.udf.CIQ(O$3, "IQ_BOND_PRICE", $L21)),"")</f>
        <v>103.39109999999999</v>
      </c>
      <c r="P21" s="424">
        <f>IF(AND($L21&lt;&gt;"",P$3&lt;&gt;""),IF(NOT(ISNUMBER(_xll.ciqfunctions.udf.CIQ(P$3, "IQ_BOND_PRICE", $L21))),NA(),_xll.ciqfunctions.udf.CIQ(P$3, "IQ_BOND_PRICE", $L21)),"")</f>
        <v>103.91777</v>
      </c>
      <c r="Q21" s="424">
        <f>IF(AND($L21&lt;&gt;"",Q$3&lt;&gt;""),IF(NOT(ISNUMBER(_xll.ciqfunctions.udf.CIQ(Q$3, "IQ_BOND_PRICE", $L21))),NA(),_xll.ciqfunctions.udf.CIQ(Q$3, "IQ_BOND_PRICE", $L21)),"")</f>
        <v>106.51300000000001</v>
      </c>
      <c r="R21" s="424">
        <f>IF(AND($L21&lt;&gt;"",R$3&lt;&gt;""),IF(NOT(ISNUMBER(_xll.ciqfunctions.udf.CIQ(R$3, "IQ_BOND_PRICE", $L21))),NA(),_xll.ciqfunctions.udf.CIQ(R$3, "IQ_BOND_PRICE", $L21)),"")</f>
        <v>115.468</v>
      </c>
      <c r="S21" s="424">
        <f>IF(AND($L21&lt;&gt;"",S$3&lt;&gt;""),IF(NOT(ISNUMBER(_xll.ciqfunctions.udf.CIQ(S$3, "IQ_BOND_PRICE", $L21))),NA(),_xll.ciqfunctions.udf.CIQ(S$3, "IQ_BOND_PRICE", $L21)),"")</f>
        <v>107.929</v>
      </c>
      <c r="T21" s="424">
        <f>IF(AND($L21&lt;&gt;"",T$3&lt;&gt;""),IF(NOT(ISNUMBER(_xll.ciqfunctions.udf.CIQ(T$3, "IQ_BOND_PRICE", $L21))),NA(),_xll.ciqfunctions.udf.CIQ(T$3, "IQ_BOND_PRICE", $L21)),"")</f>
        <v>107.479</v>
      </c>
      <c r="U21" s="424">
        <f>IF(AND($L21&lt;&gt;"",U$3&lt;&gt;""),IF(NOT(ISNUMBER(_xll.ciqfunctions.udf.CIQ(U$3, "IQ_BOND_PRICE", $L21))),NA(),_xll.ciqfunctions.udf.CIQ(U$3, "IQ_BOND_PRICE", $L21)),"")</f>
        <v>99.899739999999994</v>
      </c>
      <c r="V21" s="424">
        <f>IF(AND($L21&lt;&gt;"",V$3&lt;&gt;""),IF(NOT(ISNUMBER(_xll.ciqfunctions.udf.CIQ(V$3, "IQ_BOND_PRICE", $L21))),NA(),_xll.ciqfunctions.udf.CIQ(V$3, "IQ_BOND_PRICE", $L21)),"")</f>
        <v>107.23633</v>
      </c>
      <c r="W21" s="424">
        <f>IF(AND($L21&lt;&gt;"",W$3&lt;&gt;""),IF(NOT(ISNUMBER(_xll.ciqfunctions.udf.CIQ(W$3, "IQ_BOND_PRICE", $L21))),NA(),_xll.ciqfunctions.udf.CIQ(W$3, "IQ_BOND_PRICE", $L21)),"")</f>
        <v>110.98099999999999</v>
      </c>
      <c r="X21" s="424">
        <f>IF(AND($L21&lt;&gt;"",X$3&lt;&gt;""),IF(NOT(ISNUMBER(_xll.ciqfunctions.udf.CIQ(X$3, "IQ_BOND_PRICE", $L21))),NA(),_xll.ciqfunctions.udf.CIQ(X$3, "IQ_BOND_PRICE", $L21)),"")</f>
        <v>112.79</v>
      </c>
      <c r="Y21" s="424">
        <f>IF(AND($L21&lt;&gt;"",Y$3&lt;&gt;""),IF(NOT(ISNUMBER(_xll.ciqfunctions.udf.CIQ(Y$3, "IQ_BOND_PRICE", $L21))),NA(),_xll.ciqfunctions.udf.CIQ(Y$3, "IQ_BOND_PRICE", $L21)),"")</f>
        <v>109.578</v>
      </c>
      <c r="Z21" s="424">
        <f>IF(AND($L21&lt;&gt;"",Z$3&lt;&gt;""),IF(NOT(ISNUMBER(_xll.ciqfunctions.udf.CIQ(Z$3, "IQ_BOND_PRICE", $L21))),NA(),_xll.ciqfunctions.udf.CIQ(Z$3, "IQ_BOND_PRICE", $L21)),"")</f>
        <v>0</v>
      </c>
      <c r="AA21" s="404"/>
      <c r="CZ21" s="426"/>
    </row>
    <row r="22" spans="2:104" ht="20.100000000000001" customHeight="1" x14ac:dyDescent="0.2">
      <c r="B22" s="428"/>
      <c r="C22" s="427"/>
      <c r="D22" s="427"/>
      <c r="E22" s="427"/>
      <c r="L22" s="425">
        <f t="shared" si="0"/>
        <v>44302</v>
      </c>
      <c r="M22" s="424">
        <f>IF(AND($L22&lt;&gt;"",M$3&lt;&gt;""),IF(NOT(ISNUMBER(_xll.ciqfunctions.udf.CIQ(M$3, "IQ_BOND_PRICE", $L22))),NA(),_xll.ciqfunctions.udf.CIQ(M$3, "IQ_BOND_PRICE", $L22)),"")</f>
        <v>101.69</v>
      </c>
      <c r="N22" s="424">
        <f>IF(AND($L22&lt;&gt;"",N$3&lt;&gt;""),IF(NOT(ISNUMBER(_xll.ciqfunctions.udf.CIQ(N$3, "IQ_BOND_PRICE", $L22))),NA(),_xll.ciqfunctions.udf.CIQ(N$3, "IQ_BOND_PRICE", $L22)),"")</f>
        <v>0</v>
      </c>
      <c r="O22" s="424">
        <f>IF(AND($L22&lt;&gt;"",O$3&lt;&gt;""),IF(NOT(ISNUMBER(_xll.ciqfunctions.udf.CIQ(O$3, "IQ_BOND_PRICE", $L22))),NA(),_xll.ciqfunctions.udf.CIQ(O$3, "IQ_BOND_PRICE", $L22)),"")</f>
        <v>103.36883</v>
      </c>
      <c r="P22" s="424">
        <f>IF(AND($L22&lt;&gt;"",P$3&lt;&gt;""),IF(NOT(ISNUMBER(_xll.ciqfunctions.udf.CIQ(P$3, "IQ_BOND_PRICE", $L22))),NA(),_xll.ciqfunctions.udf.CIQ(P$3, "IQ_BOND_PRICE", $L22)),"")</f>
        <v>103.88421</v>
      </c>
      <c r="Q22" s="424">
        <f>IF(AND($L22&lt;&gt;"",Q$3&lt;&gt;""),IF(NOT(ISNUMBER(_xll.ciqfunctions.udf.CIQ(Q$3, "IQ_BOND_PRICE", $L22))),NA(),_xll.ciqfunctions.udf.CIQ(Q$3, "IQ_BOND_PRICE", $L22)),"")</f>
        <v>106.566</v>
      </c>
      <c r="R22" s="424">
        <f>IF(AND($L22&lt;&gt;"",R$3&lt;&gt;""),IF(NOT(ISNUMBER(_xll.ciqfunctions.udf.CIQ(R$3, "IQ_BOND_PRICE", $L22))),NA(),_xll.ciqfunctions.udf.CIQ(R$3, "IQ_BOND_PRICE", $L22)),"")</f>
        <v>115.402</v>
      </c>
      <c r="S22" s="424">
        <f>IF(AND($L22&lt;&gt;"",S$3&lt;&gt;""),IF(NOT(ISNUMBER(_xll.ciqfunctions.udf.CIQ(S$3, "IQ_BOND_PRICE", $L22))),NA(),_xll.ciqfunctions.udf.CIQ(S$3, "IQ_BOND_PRICE", $L22)),"")</f>
        <v>107.85899999999999</v>
      </c>
      <c r="T22" s="424">
        <f>IF(AND($L22&lt;&gt;"",T$3&lt;&gt;""),IF(NOT(ISNUMBER(_xll.ciqfunctions.udf.CIQ(T$3, "IQ_BOND_PRICE", $L22))),NA(),_xll.ciqfunctions.udf.CIQ(T$3, "IQ_BOND_PRICE", $L22)),"")</f>
        <v>107.405</v>
      </c>
      <c r="U22" s="424">
        <f>IF(AND($L22&lt;&gt;"",U$3&lt;&gt;""),IF(NOT(ISNUMBER(_xll.ciqfunctions.udf.CIQ(U$3, "IQ_BOND_PRICE", $L22))),NA(),_xll.ciqfunctions.udf.CIQ(U$3, "IQ_BOND_PRICE", $L22)),"")</f>
        <v>99.899190000000004</v>
      </c>
      <c r="V22" s="424">
        <f>IF(AND($L22&lt;&gt;"",V$3&lt;&gt;""),IF(NOT(ISNUMBER(_xll.ciqfunctions.udf.CIQ(V$3, "IQ_BOND_PRICE", $L22))),NA(),_xll.ciqfunctions.udf.CIQ(V$3, "IQ_BOND_PRICE", $L22)),"")</f>
        <v>107.15242000000001</v>
      </c>
      <c r="W22" s="424">
        <f>IF(AND($L22&lt;&gt;"",W$3&lt;&gt;""),IF(NOT(ISNUMBER(_xll.ciqfunctions.udf.CIQ(W$3, "IQ_BOND_PRICE", $L22))),NA(),_xll.ciqfunctions.udf.CIQ(W$3, "IQ_BOND_PRICE", $L22)),"")</f>
        <v>110.845</v>
      </c>
      <c r="X22" s="424">
        <f>IF(AND($L22&lt;&gt;"",X$3&lt;&gt;""),IF(NOT(ISNUMBER(_xll.ciqfunctions.udf.CIQ(X$3, "IQ_BOND_PRICE", $L22))),NA(),_xll.ciqfunctions.udf.CIQ(X$3, "IQ_BOND_PRICE", $L22)),"")</f>
        <v>112.751</v>
      </c>
      <c r="Y22" s="424">
        <f>IF(AND($L22&lt;&gt;"",Y$3&lt;&gt;""),IF(NOT(ISNUMBER(_xll.ciqfunctions.udf.CIQ(Y$3, "IQ_BOND_PRICE", $L22))),NA(),_xll.ciqfunctions.udf.CIQ(Y$3, "IQ_BOND_PRICE", $L22)),"")</f>
        <v>109.414</v>
      </c>
      <c r="Z22" s="424">
        <f>IF(AND($L22&lt;&gt;"",Z$3&lt;&gt;""),IF(NOT(ISNUMBER(_xll.ciqfunctions.udf.CIQ(Z$3, "IQ_BOND_PRICE", $L22))),NA(),_xll.ciqfunctions.udf.CIQ(Z$3, "IQ_BOND_PRICE", $L22)),"")</f>
        <v>0</v>
      </c>
      <c r="CZ22" s="426"/>
    </row>
    <row r="23" spans="2:104" ht="20.100000000000001" customHeight="1" x14ac:dyDescent="0.2">
      <c r="B23" s="428"/>
      <c r="C23" s="427"/>
      <c r="D23" s="427"/>
      <c r="E23" s="427"/>
      <c r="L23" s="425">
        <f t="shared" si="0"/>
        <v>44305</v>
      </c>
      <c r="M23" s="424">
        <f>IF(AND($L23&lt;&gt;"",M$3&lt;&gt;""),IF(NOT(ISNUMBER(_xll.ciqfunctions.udf.CIQ(M$3, "IQ_BOND_PRICE", $L23))),NA(),_xll.ciqfunctions.udf.CIQ(M$3, "IQ_BOND_PRICE", $L23)),"")</f>
        <v>101.67400000000001</v>
      </c>
      <c r="N23" s="424">
        <f>IF(AND($L23&lt;&gt;"",N$3&lt;&gt;""),IF(NOT(ISNUMBER(_xll.ciqfunctions.udf.CIQ(N$3, "IQ_BOND_PRICE", $L23))),NA(),_xll.ciqfunctions.udf.CIQ(N$3, "IQ_BOND_PRICE", $L23)),"")</f>
        <v>0</v>
      </c>
      <c r="O23" s="424">
        <f>IF(AND($L23&lt;&gt;"",O$3&lt;&gt;""),IF(NOT(ISNUMBER(_xll.ciqfunctions.udf.CIQ(O$3, "IQ_BOND_PRICE", $L23))),NA(),_xll.ciqfunctions.udf.CIQ(O$3, "IQ_BOND_PRICE", $L23)),"")</f>
        <v>103.37494</v>
      </c>
      <c r="P23" s="424">
        <f>IF(AND($L23&lt;&gt;"",P$3&lt;&gt;""),IF(NOT(ISNUMBER(_xll.ciqfunctions.udf.CIQ(P$3, "IQ_BOND_PRICE", $L23))),NA(),_xll.ciqfunctions.udf.CIQ(P$3, "IQ_BOND_PRICE", $L23)),"")</f>
        <v>103.97056000000001</v>
      </c>
      <c r="Q23" s="424">
        <f>IF(AND($L23&lt;&gt;"",Q$3&lt;&gt;""),IF(NOT(ISNUMBER(_xll.ciqfunctions.udf.CIQ(Q$3, "IQ_BOND_PRICE", $L23))),NA(),_xll.ciqfunctions.udf.CIQ(Q$3, "IQ_BOND_PRICE", $L23)),"")</f>
        <v>106.541</v>
      </c>
      <c r="R23" s="424">
        <f>IF(AND($L23&lt;&gt;"",R$3&lt;&gt;""),IF(NOT(ISNUMBER(_xll.ciqfunctions.udf.CIQ(R$3, "IQ_BOND_PRICE", $L23))),NA(),_xll.ciqfunctions.udf.CIQ(R$3, "IQ_BOND_PRICE", $L23)),"")</f>
        <v>115.46899999999999</v>
      </c>
      <c r="S23" s="424">
        <f>IF(AND($L23&lt;&gt;"",S$3&lt;&gt;""),IF(NOT(ISNUMBER(_xll.ciqfunctions.udf.CIQ(S$3, "IQ_BOND_PRICE", $L23))),NA(),_xll.ciqfunctions.udf.CIQ(S$3, "IQ_BOND_PRICE", $L23)),"")</f>
        <v>107.92</v>
      </c>
      <c r="T23" s="424">
        <f>IF(AND($L23&lt;&gt;"",T$3&lt;&gt;""),IF(NOT(ISNUMBER(_xll.ciqfunctions.udf.CIQ(T$3, "IQ_BOND_PRICE", $L23))),NA(),_xll.ciqfunctions.udf.CIQ(T$3, "IQ_BOND_PRICE", $L23)),"")</f>
        <v>107.482</v>
      </c>
      <c r="U23" s="424">
        <f>IF(AND($L23&lt;&gt;"",U$3&lt;&gt;""),IF(NOT(ISNUMBER(_xll.ciqfunctions.udf.CIQ(U$3, "IQ_BOND_PRICE", $L23))),NA(),_xll.ciqfunctions.udf.CIQ(U$3, "IQ_BOND_PRICE", $L23)),"")</f>
        <v>99.928179999999998</v>
      </c>
      <c r="V23" s="424">
        <f>IF(AND($L23&lt;&gt;"",V$3&lt;&gt;""),IF(NOT(ISNUMBER(_xll.ciqfunctions.udf.CIQ(V$3, "IQ_BOND_PRICE", $L23))),NA(),_xll.ciqfunctions.udf.CIQ(V$3, "IQ_BOND_PRICE", $L23)),"")</f>
        <v>107.17100000000001</v>
      </c>
      <c r="W23" s="424">
        <f>IF(AND($L23&lt;&gt;"",W$3&lt;&gt;""),IF(NOT(ISNUMBER(_xll.ciqfunctions.udf.CIQ(W$3, "IQ_BOND_PRICE", $L23))),NA(),_xll.ciqfunctions.udf.CIQ(W$3, "IQ_BOND_PRICE", $L23)),"")</f>
        <v>110.806</v>
      </c>
      <c r="X23" s="424">
        <f>IF(AND($L23&lt;&gt;"",X$3&lt;&gt;""),IF(NOT(ISNUMBER(_xll.ciqfunctions.udf.CIQ(X$3, "IQ_BOND_PRICE", $L23))),NA(),_xll.ciqfunctions.udf.CIQ(X$3, "IQ_BOND_PRICE", $L23)),"")</f>
        <v>112.68600000000001</v>
      </c>
      <c r="Y23" s="424">
        <f>IF(AND($L23&lt;&gt;"",Y$3&lt;&gt;""),IF(NOT(ISNUMBER(_xll.ciqfunctions.udf.CIQ(Y$3, "IQ_BOND_PRICE", $L23))),NA(),_xll.ciqfunctions.udf.CIQ(Y$3, "IQ_BOND_PRICE", $L23)),"")</f>
        <v>109.173</v>
      </c>
      <c r="Z23" s="424">
        <f>IF(AND($L23&lt;&gt;"",Z$3&lt;&gt;""),IF(NOT(ISNUMBER(_xll.ciqfunctions.udf.CIQ(Z$3, "IQ_BOND_PRICE", $L23))),NA(),_xll.ciqfunctions.udf.CIQ(Z$3, "IQ_BOND_PRICE", $L23)),"")</f>
        <v>0</v>
      </c>
      <c r="CZ23" s="426"/>
    </row>
    <row r="24" spans="2:104" ht="20.100000000000001" customHeight="1" x14ac:dyDescent="0.2">
      <c r="B24" s="428"/>
      <c r="C24" s="427"/>
      <c r="D24" s="427"/>
      <c r="E24" s="427"/>
      <c r="L24" s="425">
        <f t="shared" si="0"/>
        <v>44306</v>
      </c>
      <c r="M24" s="424">
        <f>IF(AND($L24&lt;&gt;"",M$3&lt;&gt;""),IF(NOT(ISNUMBER(_xll.ciqfunctions.udf.CIQ(M$3, "IQ_BOND_PRICE", $L24))),NA(),_xll.ciqfunctions.udf.CIQ(M$3, "IQ_BOND_PRICE", $L24)),"")</f>
        <v>101.67700000000001</v>
      </c>
      <c r="N24" s="424">
        <f>IF(AND($L24&lt;&gt;"",N$3&lt;&gt;""),IF(NOT(ISNUMBER(_xll.ciqfunctions.udf.CIQ(N$3, "IQ_BOND_PRICE", $L24))),NA(),_xll.ciqfunctions.udf.CIQ(N$3, "IQ_BOND_PRICE", $L24)),"")</f>
        <v>0</v>
      </c>
      <c r="O24" s="424">
        <f>IF(AND($L24&lt;&gt;"",O$3&lt;&gt;""),IF(NOT(ISNUMBER(_xll.ciqfunctions.udf.CIQ(O$3, "IQ_BOND_PRICE", $L24))),NA(),_xll.ciqfunctions.udf.CIQ(O$3, "IQ_BOND_PRICE", $L24)),"")</f>
        <v>103.38818000000001</v>
      </c>
      <c r="P24" s="424">
        <f>IF(AND($L24&lt;&gt;"",P$3&lt;&gt;""),IF(NOT(ISNUMBER(_xll.ciqfunctions.udf.CIQ(P$3, "IQ_BOND_PRICE", $L24))),NA(),_xll.ciqfunctions.udf.CIQ(P$3, "IQ_BOND_PRICE", $L24)),"")</f>
        <v>103.91376</v>
      </c>
      <c r="Q24" s="424">
        <f>IF(AND($L24&lt;&gt;"",Q$3&lt;&gt;""),IF(NOT(ISNUMBER(_xll.ciqfunctions.udf.CIQ(Q$3, "IQ_BOND_PRICE", $L24))),NA(),_xll.ciqfunctions.udf.CIQ(Q$3, "IQ_BOND_PRICE", $L24)),"")</f>
        <v>106.485</v>
      </c>
      <c r="R24" s="424">
        <f>IF(AND($L24&lt;&gt;"",R$3&lt;&gt;""),IF(NOT(ISNUMBER(_xll.ciqfunctions.udf.CIQ(R$3, "IQ_BOND_PRICE", $L24))),NA(),_xll.ciqfunctions.udf.CIQ(R$3, "IQ_BOND_PRICE", $L24)),"")</f>
        <v>115.411</v>
      </c>
      <c r="S24" s="424">
        <f>IF(AND($L24&lt;&gt;"",S$3&lt;&gt;""),IF(NOT(ISNUMBER(_xll.ciqfunctions.udf.CIQ(S$3, "IQ_BOND_PRICE", $L24))),NA(),_xll.ciqfunctions.udf.CIQ(S$3, "IQ_BOND_PRICE", $L24)),"")</f>
        <v>107.803</v>
      </c>
      <c r="T24" s="424">
        <f>IF(AND($L24&lt;&gt;"",T$3&lt;&gt;""),IF(NOT(ISNUMBER(_xll.ciqfunctions.udf.CIQ(T$3, "IQ_BOND_PRICE", $L24))),NA(),_xll.ciqfunctions.udf.CIQ(T$3, "IQ_BOND_PRICE", $L24)),"")</f>
        <v>107.38500000000001</v>
      </c>
      <c r="U24" s="424">
        <f>IF(AND($L24&lt;&gt;"",U$3&lt;&gt;""),IF(NOT(ISNUMBER(_xll.ciqfunctions.udf.CIQ(U$3, "IQ_BOND_PRICE", $L24))),NA(),_xll.ciqfunctions.udf.CIQ(U$3, "IQ_BOND_PRICE", $L24)),"")</f>
        <v>99.913989999999998</v>
      </c>
      <c r="V24" s="424">
        <f>IF(AND($L24&lt;&gt;"",V$3&lt;&gt;""),IF(NOT(ISNUMBER(_xll.ciqfunctions.udf.CIQ(V$3, "IQ_BOND_PRICE", $L24))),NA(),_xll.ciqfunctions.udf.CIQ(V$3, "IQ_BOND_PRICE", $L24)),"")</f>
        <v>107.11984</v>
      </c>
      <c r="W24" s="424">
        <f>IF(AND($L24&lt;&gt;"",W$3&lt;&gt;""),IF(NOT(ISNUMBER(_xll.ciqfunctions.udf.CIQ(W$3, "IQ_BOND_PRICE", $L24))),NA(),_xll.ciqfunctions.udf.CIQ(W$3, "IQ_BOND_PRICE", $L24)),"")</f>
        <v>110.941</v>
      </c>
      <c r="X24" s="424">
        <f>IF(AND($L24&lt;&gt;"",X$3&lt;&gt;""),IF(NOT(ISNUMBER(_xll.ciqfunctions.udf.CIQ(X$3, "IQ_BOND_PRICE", $L24))),NA(),_xll.ciqfunctions.udf.CIQ(X$3, "IQ_BOND_PRICE", $L24)),"")</f>
        <v>112.71899999999999</v>
      </c>
      <c r="Y24" s="424">
        <f>IF(AND($L24&lt;&gt;"",Y$3&lt;&gt;""),IF(NOT(ISNUMBER(_xll.ciqfunctions.udf.CIQ(Y$3, "IQ_BOND_PRICE", $L24))),NA(),_xll.ciqfunctions.udf.CIQ(Y$3, "IQ_BOND_PRICE", $L24)),"")</f>
        <v>109.629</v>
      </c>
      <c r="Z24" s="424">
        <f>IF(AND($L24&lt;&gt;"",Z$3&lt;&gt;""),IF(NOT(ISNUMBER(_xll.ciqfunctions.udf.CIQ(Z$3, "IQ_BOND_PRICE", $L24))),NA(),_xll.ciqfunctions.udf.CIQ(Z$3, "IQ_BOND_PRICE", $L24)),"")</f>
        <v>0</v>
      </c>
      <c r="CZ24" s="426"/>
    </row>
    <row r="25" spans="2:104" ht="20.100000000000001" customHeight="1" x14ac:dyDescent="0.2">
      <c r="B25" s="404"/>
      <c r="C25" s="427"/>
      <c r="D25" s="427"/>
      <c r="E25" s="427"/>
      <c r="L25" s="425">
        <f t="shared" si="0"/>
        <v>44307</v>
      </c>
      <c r="M25" s="424">
        <f>IF(AND($L25&lt;&gt;"",M$3&lt;&gt;""),IF(NOT(ISNUMBER(_xll.ciqfunctions.udf.CIQ(M$3, "IQ_BOND_PRICE", $L25))),NA(),_xll.ciqfunctions.udf.CIQ(M$3, "IQ_BOND_PRICE", $L25)),"")</f>
        <v>101.67400000000001</v>
      </c>
      <c r="N25" s="424">
        <f>IF(AND($L25&lt;&gt;"",N$3&lt;&gt;""),IF(NOT(ISNUMBER(_xll.ciqfunctions.udf.CIQ(N$3, "IQ_BOND_PRICE", $L25))),NA(),_xll.ciqfunctions.udf.CIQ(N$3, "IQ_BOND_PRICE", $L25)),"")</f>
        <v>0</v>
      </c>
      <c r="O25" s="424">
        <f>IF(AND($L25&lt;&gt;"",O$3&lt;&gt;""),IF(NOT(ISNUMBER(_xll.ciqfunctions.udf.CIQ(O$3, "IQ_BOND_PRICE", $L25))),NA(),_xll.ciqfunctions.udf.CIQ(O$3, "IQ_BOND_PRICE", $L25)),"")</f>
        <v>103.34305999999999</v>
      </c>
      <c r="P25" s="424">
        <f>IF(AND($L25&lt;&gt;"",P$3&lt;&gt;""),IF(NOT(ISNUMBER(_xll.ciqfunctions.udf.CIQ(P$3, "IQ_BOND_PRICE", $L25))),NA(),_xll.ciqfunctions.udf.CIQ(P$3, "IQ_BOND_PRICE", $L25)),"")</f>
        <v>103.85729000000001</v>
      </c>
      <c r="Q25" s="424">
        <f>IF(AND($L25&lt;&gt;"",Q$3&lt;&gt;""),IF(NOT(ISNUMBER(_xll.ciqfunctions.udf.CIQ(Q$3, "IQ_BOND_PRICE", $L25))),NA(),_xll.ciqfunctions.udf.CIQ(Q$3, "IQ_BOND_PRICE", $L25)),"")</f>
        <v>106.425</v>
      </c>
      <c r="R25" s="424">
        <f>IF(AND($L25&lt;&gt;"",R$3&lt;&gt;""),IF(NOT(ISNUMBER(_xll.ciqfunctions.udf.CIQ(R$3, "IQ_BOND_PRICE", $L25))),NA(),_xll.ciqfunctions.udf.CIQ(R$3, "IQ_BOND_PRICE", $L25)),"")</f>
        <v>115.34399999999999</v>
      </c>
      <c r="S25" s="424">
        <f>IF(AND($L25&lt;&gt;"",S$3&lt;&gt;""),IF(NOT(ISNUMBER(_xll.ciqfunctions.udf.CIQ(S$3, "IQ_BOND_PRICE", $L25))),NA(),_xll.ciqfunctions.udf.CIQ(S$3, "IQ_BOND_PRICE", $L25)),"")</f>
        <v>107.913</v>
      </c>
      <c r="T25" s="424">
        <f>IF(AND($L25&lt;&gt;"",T$3&lt;&gt;""),IF(NOT(ISNUMBER(_xll.ciqfunctions.udf.CIQ(T$3, "IQ_BOND_PRICE", $L25))),NA(),_xll.ciqfunctions.udf.CIQ(T$3, "IQ_BOND_PRICE", $L25)),"")</f>
        <v>107.378</v>
      </c>
      <c r="U25" s="424">
        <f>IF(AND($L25&lt;&gt;"",U$3&lt;&gt;""),IF(NOT(ISNUMBER(_xll.ciqfunctions.udf.CIQ(U$3, "IQ_BOND_PRICE", $L25))),NA(),_xll.ciqfunctions.udf.CIQ(U$3, "IQ_BOND_PRICE", $L25)),"")</f>
        <v>99.907030000000006</v>
      </c>
      <c r="V25" s="424">
        <f>IF(AND($L25&lt;&gt;"",V$3&lt;&gt;""),IF(NOT(ISNUMBER(_xll.ciqfunctions.udf.CIQ(V$3, "IQ_BOND_PRICE", $L25))),NA(),_xll.ciqfunctions.udf.CIQ(V$3, "IQ_BOND_PRICE", $L25)),"")</f>
        <v>107.1144</v>
      </c>
      <c r="W25" s="424">
        <f>IF(AND($L25&lt;&gt;"",W$3&lt;&gt;""),IF(NOT(ISNUMBER(_xll.ciqfunctions.udf.CIQ(W$3, "IQ_BOND_PRICE", $L25))),NA(),_xll.ciqfunctions.udf.CIQ(W$3, "IQ_BOND_PRICE", $L25)),"")</f>
        <v>110.821</v>
      </c>
      <c r="X25" s="424">
        <f>IF(AND($L25&lt;&gt;"",X$3&lt;&gt;""),IF(NOT(ISNUMBER(_xll.ciqfunctions.udf.CIQ(X$3, "IQ_BOND_PRICE", $L25))),NA(),_xll.ciqfunctions.udf.CIQ(X$3, "IQ_BOND_PRICE", $L25)),"")</f>
        <v>112.753</v>
      </c>
      <c r="Y25" s="424">
        <f>IF(AND($L25&lt;&gt;"",Y$3&lt;&gt;""),IF(NOT(ISNUMBER(_xll.ciqfunctions.udf.CIQ(Y$3, "IQ_BOND_PRICE", $L25))),NA(),_xll.ciqfunctions.udf.CIQ(Y$3, "IQ_BOND_PRICE", $L25)),"")</f>
        <v>109.599</v>
      </c>
      <c r="Z25" s="424">
        <f>IF(AND($L25&lt;&gt;"",Z$3&lt;&gt;""),IF(NOT(ISNUMBER(_xll.ciqfunctions.udf.CIQ(Z$3, "IQ_BOND_PRICE", $L25))),NA(),_xll.ciqfunctions.udf.CIQ(Z$3, "IQ_BOND_PRICE", $L25)),"")</f>
        <v>0</v>
      </c>
      <c r="CZ25" s="426"/>
    </row>
    <row r="26" spans="2:104" ht="20.100000000000001" customHeight="1" x14ac:dyDescent="0.2">
      <c r="B26" s="404"/>
      <c r="C26" s="427"/>
      <c r="D26" s="427"/>
      <c r="E26" s="427"/>
      <c r="L26" s="425">
        <f t="shared" si="0"/>
        <v>44308</v>
      </c>
      <c r="M26" s="424">
        <f>IF(AND($L26&lt;&gt;"",M$3&lt;&gt;""),IF(NOT(ISNUMBER(_xll.ciqfunctions.udf.CIQ(M$3, "IQ_BOND_PRICE", $L26))),NA(),_xll.ciqfunctions.udf.CIQ(M$3, "IQ_BOND_PRICE", $L26)),"")</f>
        <v>101.649</v>
      </c>
      <c r="N26" s="424">
        <f>IF(AND($L26&lt;&gt;"",N$3&lt;&gt;""),IF(NOT(ISNUMBER(_xll.ciqfunctions.udf.CIQ(N$3, "IQ_BOND_PRICE", $L26))),NA(),_xll.ciqfunctions.udf.CIQ(N$3, "IQ_BOND_PRICE", $L26)),"")</f>
        <v>0</v>
      </c>
      <c r="O26" s="424">
        <f>IF(AND($L26&lt;&gt;"",O$3&lt;&gt;""),IF(NOT(ISNUMBER(_xll.ciqfunctions.udf.CIQ(O$3, "IQ_BOND_PRICE", $L26))),NA(),_xll.ciqfunctions.udf.CIQ(O$3, "IQ_BOND_PRICE", $L26)),"")</f>
        <v>103.13914</v>
      </c>
      <c r="P26" s="424">
        <f>IF(AND($L26&lt;&gt;"",P$3&lt;&gt;""),IF(NOT(ISNUMBER(_xll.ciqfunctions.udf.CIQ(P$3, "IQ_BOND_PRICE", $L26))),NA(),_xll.ciqfunctions.udf.CIQ(P$3, "IQ_BOND_PRICE", $L26)),"")</f>
        <v>103.83797</v>
      </c>
      <c r="Q26" s="424">
        <f>IF(AND($L26&lt;&gt;"",Q$3&lt;&gt;""),IF(NOT(ISNUMBER(_xll.ciqfunctions.udf.CIQ(Q$3, "IQ_BOND_PRICE", $L26))),NA(),_xll.ciqfunctions.udf.CIQ(Q$3, "IQ_BOND_PRICE", $L26)),"")</f>
        <v>106.373</v>
      </c>
      <c r="R26" s="424">
        <f>IF(AND($L26&lt;&gt;"",R$3&lt;&gt;""),IF(NOT(ISNUMBER(_xll.ciqfunctions.udf.CIQ(R$3, "IQ_BOND_PRICE", $L26))),NA(),_xll.ciqfunctions.udf.CIQ(R$3, "IQ_BOND_PRICE", $L26)),"")</f>
        <v>115.221</v>
      </c>
      <c r="S26" s="424">
        <f>IF(AND($L26&lt;&gt;"",S$3&lt;&gt;""),IF(NOT(ISNUMBER(_xll.ciqfunctions.udf.CIQ(S$3, "IQ_BOND_PRICE", $L26))),NA(),_xll.ciqfunctions.udf.CIQ(S$3, "IQ_BOND_PRICE", $L26)),"")</f>
        <v>107.80500000000001</v>
      </c>
      <c r="T26" s="424">
        <f>IF(AND($L26&lt;&gt;"",T$3&lt;&gt;""),IF(NOT(ISNUMBER(_xll.ciqfunctions.udf.CIQ(T$3, "IQ_BOND_PRICE", $L26))),NA(),_xll.ciqfunctions.udf.CIQ(T$3, "IQ_BOND_PRICE", $L26)),"")</f>
        <v>107.372</v>
      </c>
      <c r="U26" s="424">
        <f>IF(AND($L26&lt;&gt;"",U$3&lt;&gt;""),IF(NOT(ISNUMBER(_xll.ciqfunctions.udf.CIQ(U$3, "IQ_BOND_PRICE", $L26))),NA(),_xll.ciqfunctions.udf.CIQ(U$3, "IQ_BOND_PRICE", $L26)),"")</f>
        <v>99.931600000000003</v>
      </c>
      <c r="V26" s="424">
        <f>IF(AND($L26&lt;&gt;"",V$3&lt;&gt;""),IF(NOT(ISNUMBER(_xll.ciqfunctions.udf.CIQ(V$3, "IQ_BOND_PRICE", $L26))),NA(),_xll.ciqfunctions.udf.CIQ(V$3, "IQ_BOND_PRICE", $L26)),"")</f>
        <v>107.03214</v>
      </c>
      <c r="W26" s="424">
        <f>IF(AND($L26&lt;&gt;"",W$3&lt;&gt;""),IF(NOT(ISNUMBER(_xll.ciqfunctions.udf.CIQ(W$3, "IQ_BOND_PRICE", $L26))),NA(),_xll.ciqfunctions.udf.CIQ(W$3, "IQ_BOND_PRICE", $L26)),"")</f>
        <v>110.87</v>
      </c>
      <c r="X26" s="424">
        <f>IF(AND($L26&lt;&gt;"",X$3&lt;&gt;""),IF(NOT(ISNUMBER(_xll.ciqfunctions.udf.CIQ(X$3, "IQ_BOND_PRICE", $L26))),NA(),_xll.ciqfunctions.udf.CIQ(X$3, "IQ_BOND_PRICE", $L26)),"")</f>
        <v>112.71</v>
      </c>
      <c r="Y26" s="424">
        <f>IF(AND($L26&lt;&gt;"",Y$3&lt;&gt;""),IF(NOT(ISNUMBER(_xll.ciqfunctions.udf.CIQ(Y$3, "IQ_BOND_PRICE", $L26))),NA(),_xll.ciqfunctions.udf.CIQ(Y$3, "IQ_BOND_PRICE", $L26)),"")</f>
        <v>109.709</v>
      </c>
      <c r="Z26" s="424">
        <f>IF(AND($L26&lt;&gt;"",Z$3&lt;&gt;""),IF(NOT(ISNUMBER(_xll.ciqfunctions.udf.CIQ(Z$3, "IQ_BOND_PRICE", $L26))),NA(),_xll.ciqfunctions.udf.CIQ(Z$3, "IQ_BOND_PRICE", $L26)),"")</f>
        <v>0</v>
      </c>
      <c r="CZ26" s="426"/>
    </row>
    <row r="27" spans="2:104" x14ac:dyDescent="0.2">
      <c r="B27" s="404"/>
      <c r="C27" s="427"/>
      <c r="D27" s="427"/>
      <c r="E27" s="427"/>
      <c r="L27" s="425">
        <f t="shared" si="0"/>
        <v>44309</v>
      </c>
      <c r="M27" s="424">
        <f>IF(AND($L27&lt;&gt;"",M$3&lt;&gt;""),IF(NOT(ISNUMBER(_xll.ciqfunctions.udf.CIQ(M$3, "IQ_BOND_PRICE", $L27))),NA(),_xll.ciqfunctions.udf.CIQ(M$3, "IQ_BOND_PRICE", $L27)),"")</f>
        <v>101.65300000000001</v>
      </c>
      <c r="N27" s="424">
        <f>IF(AND($L27&lt;&gt;"",N$3&lt;&gt;""),IF(NOT(ISNUMBER(_xll.ciqfunctions.udf.CIQ(N$3, "IQ_BOND_PRICE", $L27))),NA(),_xll.ciqfunctions.udf.CIQ(N$3, "IQ_BOND_PRICE", $L27)),"")</f>
        <v>0</v>
      </c>
      <c r="O27" s="424">
        <f>IF(AND($L27&lt;&gt;"",O$3&lt;&gt;""),IF(NOT(ISNUMBER(_xll.ciqfunctions.udf.CIQ(O$3, "IQ_BOND_PRICE", $L27))),NA(),_xll.ciqfunctions.udf.CIQ(O$3, "IQ_BOND_PRICE", $L27)),"")</f>
        <v>103.12376</v>
      </c>
      <c r="P27" s="424">
        <f>IF(AND($L27&lt;&gt;"",P$3&lt;&gt;""),IF(NOT(ISNUMBER(_xll.ciqfunctions.udf.CIQ(P$3, "IQ_BOND_PRICE", $L27))),NA(),_xll.ciqfunctions.udf.CIQ(P$3, "IQ_BOND_PRICE", $L27)),"")</f>
        <v>103.81686999999999</v>
      </c>
      <c r="Q27" s="424">
        <f>IF(AND($L27&lt;&gt;"",Q$3&lt;&gt;""),IF(NOT(ISNUMBER(_xll.ciqfunctions.udf.CIQ(Q$3, "IQ_BOND_PRICE", $L27))),NA(),_xll.ciqfunctions.udf.CIQ(Q$3, "IQ_BOND_PRICE", $L27)),"")</f>
        <v>106.43600000000001</v>
      </c>
      <c r="R27" s="424">
        <f>IF(AND($L27&lt;&gt;"",R$3&lt;&gt;""),IF(NOT(ISNUMBER(_xll.ciqfunctions.udf.CIQ(R$3, "IQ_BOND_PRICE", $L27))),NA(),_xll.ciqfunctions.udf.CIQ(R$3, "IQ_BOND_PRICE", $L27)),"")</f>
        <v>115.181</v>
      </c>
      <c r="S27" s="424">
        <f>IF(AND($L27&lt;&gt;"",S$3&lt;&gt;""),IF(NOT(ISNUMBER(_xll.ciqfunctions.udf.CIQ(S$3, "IQ_BOND_PRICE", $L27))),NA(),_xll.ciqfunctions.udf.CIQ(S$3, "IQ_BOND_PRICE", $L27)),"")</f>
        <v>107.753</v>
      </c>
      <c r="T27" s="424">
        <f>IF(AND($L27&lt;&gt;"",T$3&lt;&gt;""),IF(NOT(ISNUMBER(_xll.ciqfunctions.udf.CIQ(T$3, "IQ_BOND_PRICE", $L27))),NA(),_xll.ciqfunctions.udf.CIQ(T$3, "IQ_BOND_PRICE", $L27)),"")</f>
        <v>107.315</v>
      </c>
      <c r="U27" s="424">
        <f>IF(AND($L27&lt;&gt;"",U$3&lt;&gt;""),IF(NOT(ISNUMBER(_xll.ciqfunctions.udf.CIQ(U$3, "IQ_BOND_PRICE", $L27))),NA(),_xll.ciqfunctions.udf.CIQ(U$3, "IQ_BOND_PRICE", $L27)),"")</f>
        <v>99.93235</v>
      </c>
      <c r="V27" s="424">
        <f>IF(AND($L27&lt;&gt;"",V$3&lt;&gt;""),IF(NOT(ISNUMBER(_xll.ciqfunctions.udf.CIQ(V$3, "IQ_BOND_PRICE", $L27))),NA(),_xll.ciqfunctions.udf.CIQ(V$3, "IQ_BOND_PRICE", $L27)),"")</f>
        <v>106.9385</v>
      </c>
      <c r="W27" s="424">
        <f>IF(AND($L27&lt;&gt;"",W$3&lt;&gt;""),IF(NOT(ISNUMBER(_xll.ciqfunctions.udf.CIQ(W$3, "IQ_BOND_PRICE", $L27))),NA(),_xll.ciqfunctions.udf.CIQ(W$3, "IQ_BOND_PRICE", $L27)),"")</f>
        <v>110.92</v>
      </c>
      <c r="X27" s="424">
        <f>IF(AND($L27&lt;&gt;"",X$3&lt;&gt;""),IF(NOT(ISNUMBER(_xll.ciqfunctions.udf.CIQ(X$3, "IQ_BOND_PRICE", $L27))),NA(),_xll.ciqfunctions.udf.CIQ(X$3, "IQ_BOND_PRICE", $L27)),"")</f>
        <v>112.696</v>
      </c>
      <c r="Y27" s="424">
        <f>IF(AND($L27&lt;&gt;"",Y$3&lt;&gt;""),IF(NOT(ISNUMBER(_xll.ciqfunctions.udf.CIQ(Y$3, "IQ_BOND_PRICE", $L27))),NA(),_xll.ciqfunctions.udf.CIQ(Y$3, "IQ_BOND_PRICE", $L27)),"")</f>
        <v>109.628</v>
      </c>
      <c r="Z27" s="424">
        <f>IF(AND($L27&lt;&gt;"",Z$3&lt;&gt;""),IF(NOT(ISNUMBER(_xll.ciqfunctions.udf.CIQ(Z$3, "IQ_BOND_PRICE", $L27))),NA(),_xll.ciqfunctions.udf.CIQ(Z$3, "IQ_BOND_PRICE", $L27)),"")</f>
        <v>0</v>
      </c>
      <c r="CZ27" s="426"/>
    </row>
    <row r="28" spans="2:104" x14ac:dyDescent="0.2">
      <c r="B28" s="404"/>
      <c r="C28" s="427"/>
      <c r="D28" s="427"/>
      <c r="E28" s="427"/>
      <c r="L28" s="425">
        <f t="shared" si="0"/>
        <v>44312</v>
      </c>
      <c r="M28" s="424">
        <f>IF(AND($L28&lt;&gt;"",M$3&lt;&gt;""),IF(NOT(ISNUMBER(_xll.ciqfunctions.udf.CIQ(M$3, "IQ_BOND_PRICE", $L28))),NA(),_xll.ciqfunctions.udf.CIQ(M$3, "IQ_BOND_PRICE", $L28)),"")</f>
        <v>101.64400000000001</v>
      </c>
      <c r="N28" s="424">
        <f>IF(AND($L28&lt;&gt;"",N$3&lt;&gt;""),IF(NOT(ISNUMBER(_xll.ciqfunctions.udf.CIQ(N$3, "IQ_BOND_PRICE", $L28))),NA(),_xll.ciqfunctions.udf.CIQ(N$3, "IQ_BOND_PRICE", $L28)),"")</f>
        <v>0</v>
      </c>
      <c r="O28" s="424">
        <f>IF(AND($L28&lt;&gt;"",O$3&lt;&gt;""),IF(NOT(ISNUMBER(_xll.ciqfunctions.udf.CIQ(O$3, "IQ_BOND_PRICE", $L28))),NA(),_xll.ciqfunctions.udf.CIQ(O$3, "IQ_BOND_PRICE", $L28)),"")</f>
        <v>103.09571</v>
      </c>
      <c r="P28" s="424">
        <f>IF(AND($L28&lt;&gt;"",P$3&lt;&gt;""),IF(NOT(ISNUMBER(_xll.ciqfunctions.udf.CIQ(P$3, "IQ_BOND_PRICE", $L28))),NA(),_xll.ciqfunctions.udf.CIQ(P$3, "IQ_BOND_PRICE", $L28)),"")</f>
        <v>103.89899</v>
      </c>
      <c r="Q28" s="424">
        <f>IF(AND($L28&lt;&gt;"",Q$3&lt;&gt;""),IF(NOT(ISNUMBER(_xll.ciqfunctions.udf.CIQ(Q$3, "IQ_BOND_PRICE", $L28))),NA(),_xll.ciqfunctions.udf.CIQ(Q$3, "IQ_BOND_PRICE", $L28)),"")</f>
        <v>106.389</v>
      </c>
      <c r="R28" s="424">
        <f>IF(AND($L28&lt;&gt;"",R$3&lt;&gt;""),IF(NOT(ISNUMBER(_xll.ciqfunctions.udf.CIQ(R$3, "IQ_BOND_PRICE", $L28))),NA(),_xll.ciqfunctions.udf.CIQ(R$3, "IQ_BOND_PRICE", $L28)),"")</f>
        <v>115.129</v>
      </c>
      <c r="S28" s="424">
        <f>IF(AND($L28&lt;&gt;"",S$3&lt;&gt;""),IF(NOT(ISNUMBER(_xll.ciqfunctions.udf.CIQ(S$3, "IQ_BOND_PRICE", $L28))),NA(),_xll.ciqfunctions.udf.CIQ(S$3, "IQ_BOND_PRICE", $L28)),"")</f>
        <v>107.777</v>
      </c>
      <c r="T28" s="424">
        <f>IF(AND($L28&lt;&gt;"",T$3&lt;&gt;""),IF(NOT(ISNUMBER(_xll.ciqfunctions.udf.CIQ(T$3, "IQ_BOND_PRICE", $L28))),NA(),_xll.ciqfunctions.udf.CIQ(T$3, "IQ_BOND_PRICE", $L28)),"")</f>
        <v>107.32899999999999</v>
      </c>
      <c r="U28" s="424">
        <f>IF(AND($L28&lt;&gt;"",U$3&lt;&gt;""),IF(NOT(ISNUMBER(_xll.ciqfunctions.udf.CIQ(U$3, "IQ_BOND_PRICE", $L28))),NA(),_xll.ciqfunctions.udf.CIQ(U$3, "IQ_BOND_PRICE", $L28)),"")</f>
        <v>99.92895</v>
      </c>
      <c r="V28" s="424">
        <f>IF(AND($L28&lt;&gt;"",V$3&lt;&gt;""),IF(NOT(ISNUMBER(_xll.ciqfunctions.udf.CIQ(V$3, "IQ_BOND_PRICE", $L28))),NA(),_xll.ciqfunctions.udf.CIQ(V$3, "IQ_BOND_PRICE", $L28)),"")</f>
        <v>106.88607</v>
      </c>
      <c r="W28" s="424">
        <f>IF(AND($L28&lt;&gt;"",W$3&lt;&gt;""),IF(NOT(ISNUMBER(_xll.ciqfunctions.udf.CIQ(W$3, "IQ_BOND_PRICE", $L28))),NA(),_xll.ciqfunctions.udf.CIQ(W$3, "IQ_BOND_PRICE", $L28)),"")</f>
        <v>110.854</v>
      </c>
      <c r="X28" s="424">
        <f>IF(AND($L28&lt;&gt;"",X$3&lt;&gt;""),IF(NOT(ISNUMBER(_xll.ciqfunctions.udf.CIQ(X$3, "IQ_BOND_PRICE", $L28))),NA(),_xll.ciqfunctions.udf.CIQ(X$3, "IQ_BOND_PRICE", $L28)),"")</f>
        <v>112.678</v>
      </c>
      <c r="Y28" s="424">
        <f>IF(AND($L28&lt;&gt;"",Y$3&lt;&gt;""),IF(NOT(ISNUMBER(_xll.ciqfunctions.udf.CIQ(Y$3, "IQ_BOND_PRICE", $L28))),NA(),_xll.ciqfunctions.udf.CIQ(Y$3, "IQ_BOND_PRICE", $L28)),"")</f>
        <v>109.52500000000001</v>
      </c>
      <c r="Z28" s="424">
        <f>IF(AND($L28&lt;&gt;"",Z$3&lt;&gt;""),IF(NOT(ISNUMBER(_xll.ciqfunctions.udf.CIQ(Z$3, "IQ_BOND_PRICE", $L28))),NA(),_xll.ciqfunctions.udf.CIQ(Z$3, "IQ_BOND_PRICE", $L28)),"")</f>
        <v>0</v>
      </c>
      <c r="CZ28" s="426"/>
    </row>
    <row r="29" spans="2:104" x14ac:dyDescent="0.2">
      <c r="L29" s="425">
        <f t="shared" si="0"/>
        <v>44313</v>
      </c>
      <c r="M29" s="424">
        <f>IF(AND($L29&lt;&gt;"",M$3&lt;&gt;""),IF(NOT(ISNUMBER(_xll.ciqfunctions.udf.CIQ(M$3, "IQ_BOND_PRICE", $L29))),NA(),_xll.ciqfunctions.udf.CIQ(M$3, "IQ_BOND_PRICE", $L29)),"")</f>
        <v>101.649</v>
      </c>
      <c r="N29" s="424">
        <f>IF(AND($L29&lt;&gt;"",N$3&lt;&gt;""),IF(NOT(ISNUMBER(_xll.ciqfunctions.udf.CIQ(N$3, "IQ_BOND_PRICE", $L29))),NA(),_xll.ciqfunctions.udf.CIQ(N$3, "IQ_BOND_PRICE", $L29)),"")</f>
        <v>0</v>
      </c>
      <c r="O29" s="424">
        <f>IF(AND($L29&lt;&gt;"",O$3&lt;&gt;""),IF(NOT(ISNUMBER(_xll.ciqfunctions.udf.CIQ(O$3, "IQ_BOND_PRICE", $L29))),NA(),_xll.ciqfunctions.udf.CIQ(O$3, "IQ_BOND_PRICE", $L29)),"")</f>
        <v>103.09327</v>
      </c>
      <c r="P29" s="424">
        <f>IF(AND($L29&lt;&gt;"",P$3&lt;&gt;""),IF(NOT(ISNUMBER(_xll.ciqfunctions.udf.CIQ(P$3, "IQ_BOND_PRICE", $L29))),NA(),_xll.ciqfunctions.udf.CIQ(P$3, "IQ_BOND_PRICE", $L29)),"")</f>
        <v>103.95034</v>
      </c>
      <c r="Q29" s="424">
        <f>IF(AND($L29&lt;&gt;"",Q$3&lt;&gt;""),IF(NOT(ISNUMBER(_xll.ciqfunctions.udf.CIQ(Q$3, "IQ_BOND_PRICE", $L29))),NA(),_xll.ciqfunctions.udf.CIQ(Q$3, "IQ_BOND_PRICE", $L29)),"")</f>
        <v>106.438</v>
      </c>
      <c r="R29" s="424">
        <f>IF(AND($L29&lt;&gt;"",R$3&lt;&gt;""),IF(NOT(ISNUMBER(_xll.ciqfunctions.udf.CIQ(R$3, "IQ_BOND_PRICE", $L29))),NA(),_xll.ciqfunctions.udf.CIQ(R$3, "IQ_BOND_PRICE", $L29)),"")</f>
        <v>115.15</v>
      </c>
      <c r="S29" s="424">
        <f>IF(AND($L29&lt;&gt;"",S$3&lt;&gt;""),IF(NOT(ISNUMBER(_xll.ciqfunctions.udf.CIQ(S$3, "IQ_BOND_PRICE", $L29))),NA(),_xll.ciqfunctions.udf.CIQ(S$3, "IQ_BOND_PRICE", $L29)),"")</f>
        <v>107.803</v>
      </c>
      <c r="T29" s="424">
        <f>IF(AND($L29&lt;&gt;"",T$3&lt;&gt;""),IF(NOT(ISNUMBER(_xll.ciqfunctions.udf.CIQ(T$3, "IQ_BOND_PRICE", $L29))),NA(),_xll.ciqfunctions.udf.CIQ(T$3, "IQ_BOND_PRICE", $L29)),"")</f>
        <v>107.297</v>
      </c>
      <c r="U29" s="424">
        <f>IF(AND($L29&lt;&gt;"",U$3&lt;&gt;""),IF(NOT(ISNUMBER(_xll.ciqfunctions.udf.CIQ(U$3, "IQ_BOND_PRICE", $L29))),NA(),_xll.ciqfunctions.udf.CIQ(U$3, "IQ_BOND_PRICE", $L29)),"")</f>
        <v>99.913060000000002</v>
      </c>
      <c r="V29" s="424">
        <f>IF(AND($L29&lt;&gt;"",V$3&lt;&gt;""),IF(NOT(ISNUMBER(_xll.ciqfunctions.udf.CIQ(V$3, "IQ_BOND_PRICE", $L29))),NA(),_xll.ciqfunctions.udf.CIQ(V$3, "IQ_BOND_PRICE", $L29)),"")</f>
        <v>106.85245999999999</v>
      </c>
      <c r="W29" s="424">
        <f>IF(AND($L29&lt;&gt;"",W$3&lt;&gt;""),IF(NOT(ISNUMBER(_xll.ciqfunctions.udf.CIQ(W$3, "IQ_BOND_PRICE", $L29))),NA(),_xll.ciqfunctions.udf.CIQ(W$3, "IQ_BOND_PRICE", $L29)),"")</f>
        <v>110.78700000000001</v>
      </c>
      <c r="X29" s="424">
        <f>IF(AND($L29&lt;&gt;"",X$3&lt;&gt;""),IF(NOT(ISNUMBER(_xll.ciqfunctions.udf.CIQ(X$3, "IQ_BOND_PRICE", $L29))),NA(),_xll.ciqfunctions.udf.CIQ(X$3, "IQ_BOND_PRICE", $L29)),"")</f>
        <v>112.66</v>
      </c>
      <c r="Y29" s="424">
        <f>IF(AND($L29&lt;&gt;"",Y$3&lt;&gt;""),IF(NOT(ISNUMBER(_xll.ciqfunctions.udf.CIQ(Y$3, "IQ_BOND_PRICE", $L29))),NA(),_xll.ciqfunctions.udf.CIQ(Y$3, "IQ_BOND_PRICE", $L29)),"")</f>
        <v>109.378</v>
      </c>
      <c r="Z29" s="424">
        <f>IF(AND($L29&lt;&gt;"",Z$3&lt;&gt;""),IF(NOT(ISNUMBER(_xll.ciqfunctions.udf.CIQ(Z$3, "IQ_BOND_PRICE", $L29))),NA(),_xll.ciqfunctions.udf.CIQ(Z$3, "IQ_BOND_PRICE", $L29)),"")</f>
        <v>0</v>
      </c>
      <c r="CZ29" s="426"/>
    </row>
    <row r="30" spans="2:104" x14ac:dyDescent="0.2">
      <c r="L30" s="425">
        <f t="shared" si="0"/>
        <v>44314</v>
      </c>
      <c r="M30" s="424">
        <f>IF(AND($L30&lt;&gt;"",M$3&lt;&gt;""),IF(NOT(ISNUMBER(_xll.ciqfunctions.udf.CIQ(M$3, "IQ_BOND_PRICE", $L30))),NA(),_xll.ciqfunctions.udf.CIQ(M$3, "IQ_BOND_PRICE", $L30)),"")</f>
        <v>101.64</v>
      </c>
      <c r="N30" s="424">
        <f>IF(AND($L30&lt;&gt;"",N$3&lt;&gt;""),IF(NOT(ISNUMBER(_xll.ciqfunctions.udf.CIQ(N$3, "IQ_BOND_PRICE", $L30))),NA(),_xll.ciqfunctions.udf.CIQ(N$3, "IQ_BOND_PRICE", $L30)),"")</f>
        <v>0</v>
      </c>
      <c r="O30" s="424">
        <f>IF(AND($L30&lt;&gt;"",O$3&lt;&gt;""),IF(NOT(ISNUMBER(_xll.ciqfunctions.udf.CIQ(O$3, "IQ_BOND_PRICE", $L30))),NA(),_xll.ciqfunctions.udf.CIQ(O$3, "IQ_BOND_PRICE", $L30)),"")</f>
        <v>103.09721</v>
      </c>
      <c r="P30" s="424">
        <f>IF(AND($L30&lt;&gt;"",P$3&lt;&gt;""),IF(NOT(ISNUMBER(_xll.ciqfunctions.udf.CIQ(P$3, "IQ_BOND_PRICE", $L30))),NA(),_xll.ciqfunctions.udf.CIQ(P$3, "IQ_BOND_PRICE", $L30)),"")</f>
        <v>103.90904</v>
      </c>
      <c r="Q30" s="424">
        <f>IF(AND($L30&lt;&gt;"",Q$3&lt;&gt;""),IF(NOT(ISNUMBER(_xll.ciqfunctions.udf.CIQ(Q$3, "IQ_BOND_PRICE", $L30))),NA(),_xll.ciqfunctions.udf.CIQ(Q$3, "IQ_BOND_PRICE", $L30)),"")</f>
        <v>106.482</v>
      </c>
      <c r="R30" s="424">
        <f>IF(AND($L30&lt;&gt;"",R$3&lt;&gt;""),IF(NOT(ISNUMBER(_xll.ciqfunctions.udf.CIQ(R$3, "IQ_BOND_PRICE", $L30))),NA(),_xll.ciqfunctions.udf.CIQ(R$3, "IQ_BOND_PRICE", $L30)),"")</f>
        <v>115.181</v>
      </c>
      <c r="S30" s="424">
        <f>IF(AND($L30&lt;&gt;"",S$3&lt;&gt;""),IF(NOT(ISNUMBER(_xll.ciqfunctions.udf.CIQ(S$3, "IQ_BOND_PRICE", $L30))),NA(),_xll.ciqfunctions.udf.CIQ(S$3, "IQ_BOND_PRICE", $L30)),"")</f>
        <v>107.831</v>
      </c>
      <c r="T30" s="424">
        <f>IF(AND($L30&lt;&gt;"",T$3&lt;&gt;""),IF(NOT(ISNUMBER(_xll.ciqfunctions.udf.CIQ(T$3, "IQ_BOND_PRICE", $L30))),NA(),_xll.ciqfunctions.udf.CIQ(T$3, "IQ_BOND_PRICE", $L30)),"")</f>
        <v>107.271</v>
      </c>
      <c r="U30" s="424">
        <f>IF(AND($L30&lt;&gt;"",U$3&lt;&gt;""),IF(NOT(ISNUMBER(_xll.ciqfunctions.udf.CIQ(U$3, "IQ_BOND_PRICE", $L30))),NA(),_xll.ciqfunctions.udf.CIQ(U$3, "IQ_BOND_PRICE", $L30)),"")</f>
        <v>99.914010000000005</v>
      </c>
      <c r="V30" s="424">
        <f>IF(AND($L30&lt;&gt;"",V$3&lt;&gt;""),IF(NOT(ISNUMBER(_xll.ciqfunctions.udf.CIQ(V$3, "IQ_BOND_PRICE", $L30))),NA(),_xll.ciqfunctions.udf.CIQ(V$3, "IQ_BOND_PRICE", $L30)),"")</f>
        <v>107.06442</v>
      </c>
      <c r="W30" s="424">
        <f>IF(AND($L30&lt;&gt;"",W$3&lt;&gt;""),IF(NOT(ISNUMBER(_xll.ciqfunctions.udf.CIQ(W$3, "IQ_BOND_PRICE", $L30))),NA(),_xll.ciqfunctions.udf.CIQ(W$3, "IQ_BOND_PRICE", $L30)),"")</f>
        <v>110.833</v>
      </c>
      <c r="X30" s="424">
        <f>IF(AND($L30&lt;&gt;"",X$3&lt;&gt;""),IF(NOT(ISNUMBER(_xll.ciqfunctions.udf.CIQ(X$3, "IQ_BOND_PRICE", $L30))),NA(),_xll.ciqfunctions.udf.CIQ(X$3, "IQ_BOND_PRICE", $L30)),"")</f>
        <v>112.623</v>
      </c>
      <c r="Y30" s="424">
        <f>IF(AND($L30&lt;&gt;"",Y$3&lt;&gt;""),IF(NOT(ISNUMBER(_xll.ciqfunctions.udf.CIQ(Y$3, "IQ_BOND_PRICE", $L30))),NA(),_xll.ciqfunctions.udf.CIQ(Y$3, "IQ_BOND_PRICE", $L30)),"")</f>
        <v>109.443</v>
      </c>
      <c r="Z30" s="424">
        <f>IF(AND($L30&lt;&gt;"",Z$3&lt;&gt;""),IF(NOT(ISNUMBER(_xll.ciqfunctions.udf.CIQ(Z$3, "IQ_BOND_PRICE", $L30))),NA(),_xll.ciqfunctions.udf.CIQ(Z$3, "IQ_BOND_PRICE", $L30)),"")</f>
        <v>0</v>
      </c>
      <c r="CZ30" s="426"/>
    </row>
    <row r="31" spans="2:104" x14ac:dyDescent="0.2">
      <c r="L31" s="425">
        <f t="shared" si="0"/>
        <v>44315</v>
      </c>
      <c r="M31" s="424">
        <f>IF(AND($L31&lt;&gt;"",M$3&lt;&gt;""),IF(NOT(ISNUMBER(_xll.ciqfunctions.udf.CIQ(M$3, "IQ_BOND_PRICE", $L31))),NA(),_xll.ciqfunctions.udf.CIQ(M$3, "IQ_BOND_PRICE", $L31)),"")</f>
        <v>101.608</v>
      </c>
      <c r="N31" s="424">
        <f>IF(AND($L31&lt;&gt;"",N$3&lt;&gt;""),IF(NOT(ISNUMBER(_xll.ciqfunctions.udf.CIQ(N$3, "IQ_BOND_PRICE", $L31))),NA(),_xll.ciqfunctions.udf.CIQ(N$3, "IQ_BOND_PRICE", $L31)),"")</f>
        <v>0</v>
      </c>
      <c r="O31" s="424">
        <f>IF(AND($L31&lt;&gt;"",O$3&lt;&gt;""),IF(NOT(ISNUMBER(_xll.ciqfunctions.udf.CIQ(O$3, "IQ_BOND_PRICE", $L31))),NA(),_xll.ciqfunctions.udf.CIQ(O$3, "IQ_BOND_PRICE", $L31)),"")</f>
        <v>103.19816</v>
      </c>
      <c r="P31" s="424">
        <f>IF(AND($L31&lt;&gt;"",P$3&lt;&gt;""),IF(NOT(ISNUMBER(_xll.ciqfunctions.udf.CIQ(P$3, "IQ_BOND_PRICE", $L31))),NA(),_xll.ciqfunctions.udf.CIQ(P$3, "IQ_BOND_PRICE", $L31)),"")</f>
        <v>103.94139</v>
      </c>
      <c r="Q31" s="424">
        <f>IF(AND($L31&lt;&gt;"",Q$3&lt;&gt;""),IF(NOT(ISNUMBER(_xll.ciqfunctions.udf.CIQ(Q$3, "IQ_BOND_PRICE", $L31))),NA(),_xll.ciqfunctions.udf.CIQ(Q$3, "IQ_BOND_PRICE", $L31)),"")</f>
        <v>106.467</v>
      </c>
      <c r="R31" s="424">
        <f>IF(AND($L31&lt;&gt;"",R$3&lt;&gt;""),IF(NOT(ISNUMBER(_xll.ciqfunctions.udf.CIQ(R$3, "IQ_BOND_PRICE", $L31))),NA(),_xll.ciqfunctions.udf.CIQ(R$3, "IQ_BOND_PRICE", $L31)),"")</f>
        <v>115.179</v>
      </c>
      <c r="S31" s="424">
        <f>IF(AND($L31&lt;&gt;"",S$3&lt;&gt;""),IF(NOT(ISNUMBER(_xll.ciqfunctions.udf.CIQ(S$3, "IQ_BOND_PRICE", $L31))),NA(),_xll.ciqfunctions.udf.CIQ(S$3, "IQ_BOND_PRICE", $L31)),"")</f>
        <v>107.816</v>
      </c>
      <c r="T31" s="424">
        <f>IF(AND($L31&lt;&gt;"",T$3&lt;&gt;""),IF(NOT(ISNUMBER(_xll.ciqfunctions.udf.CIQ(T$3, "IQ_BOND_PRICE", $L31))),NA(),_xll.ciqfunctions.udf.CIQ(T$3, "IQ_BOND_PRICE", $L31)),"")</f>
        <v>107.34399999999999</v>
      </c>
      <c r="U31" s="424">
        <f>IF(AND($L31&lt;&gt;"",U$3&lt;&gt;""),IF(NOT(ISNUMBER(_xll.ciqfunctions.udf.CIQ(U$3, "IQ_BOND_PRICE", $L31))),NA(),_xll.ciqfunctions.udf.CIQ(U$3, "IQ_BOND_PRICE", $L31)),"")</f>
        <v>99.914109999999994</v>
      </c>
      <c r="V31" s="424">
        <f>IF(AND($L31&lt;&gt;"",V$3&lt;&gt;""),IF(NOT(ISNUMBER(_xll.ciqfunctions.udf.CIQ(V$3, "IQ_BOND_PRICE", $L31))),NA(),_xll.ciqfunctions.udf.CIQ(V$3, "IQ_BOND_PRICE", $L31)),"")</f>
        <v>107.03829</v>
      </c>
      <c r="W31" s="424">
        <f>IF(AND($L31&lt;&gt;"",W$3&lt;&gt;""),IF(NOT(ISNUMBER(_xll.ciqfunctions.udf.CIQ(W$3, "IQ_BOND_PRICE", $L31))),NA(),_xll.ciqfunctions.udf.CIQ(W$3, "IQ_BOND_PRICE", $L31)),"")</f>
        <v>110.79</v>
      </c>
      <c r="X31" s="424">
        <f>IF(AND($L31&lt;&gt;"",X$3&lt;&gt;""),IF(NOT(ISNUMBER(_xll.ciqfunctions.udf.CIQ(X$3, "IQ_BOND_PRICE", $L31))),NA(),_xll.ciqfunctions.udf.CIQ(X$3, "IQ_BOND_PRICE", $L31)),"")</f>
        <v>112.51600000000001</v>
      </c>
      <c r="Y31" s="424">
        <f>IF(AND($L31&lt;&gt;"",Y$3&lt;&gt;""),IF(NOT(ISNUMBER(_xll.ciqfunctions.udf.CIQ(Y$3, "IQ_BOND_PRICE", $L31))),NA(),_xll.ciqfunctions.udf.CIQ(Y$3, "IQ_BOND_PRICE", $L31)),"")</f>
        <v>109.40300000000001</v>
      </c>
      <c r="Z31" s="424">
        <f>IF(AND($L31&lt;&gt;"",Z$3&lt;&gt;""),IF(NOT(ISNUMBER(_xll.ciqfunctions.udf.CIQ(Z$3, "IQ_BOND_PRICE", $L31))),NA(),_xll.ciqfunctions.udf.CIQ(Z$3, "IQ_BOND_PRICE", $L31)),"")</f>
        <v>0</v>
      </c>
      <c r="CZ31" s="426"/>
    </row>
    <row r="32" spans="2:104" x14ac:dyDescent="0.2">
      <c r="L32" s="425">
        <f t="shared" si="0"/>
        <v>44316</v>
      </c>
      <c r="M32" s="424">
        <f>IF(AND($L32&lt;&gt;"",M$3&lt;&gt;""),IF(NOT(ISNUMBER(_xll.ciqfunctions.udf.CIQ(M$3, "IQ_BOND_PRICE", $L32))),NA(),_xll.ciqfunctions.udf.CIQ(M$3, "IQ_BOND_PRICE", $L32)),"")</f>
        <v>101.602</v>
      </c>
      <c r="N32" s="424">
        <f>IF(AND($L32&lt;&gt;"",N$3&lt;&gt;""),IF(NOT(ISNUMBER(_xll.ciqfunctions.udf.CIQ(N$3, "IQ_BOND_PRICE", $L32))),NA(),_xll.ciqfunctions.udf.CIQ(N$3, "IQ_BOND_PRICE", $L32)),"")</f>
        <v>0</v>
      </c>
      <c r="O32" s="424">
        <f>IF(AND($L32&lt;&gt;"",O$3&lt;&gt;""),IF(NOT(ISNUMBER(_xll.ciqfunctions.udf.CIQ(O$3, "IQ_BOND_PRICE", $L32))),NA(),_xll.ciqfunctions.udf.CIQ(O$3, "IQ_BOND_PRICE", $L32)),"")</f>
        <v>103.19853000000001</v>
      </c>
      <c r="P32" s="424">
        <f>IF(AND($L32&lt;&gt;"",P$3&lt;&gt;""),IF(NOT(ISNUMBER(_xll.ciqfunctions.udf.CIQ(P$3, "IQ_BOND_PRICE", $L32))),NA(),_xll.ciqfunctions.udf.CIQ(P$3, "IQ_BOND_PRICE", $L32)),"")</f>
        <v>103.92415</v>
      </c>
      <c r="Q32" s="424">
        <f>IF(AND($L32&lt;&gt;"",Q$3&lt;&gt;""),IF(NOT(ISNUMBER(_xll.ciqfunctions.udf.CIQ(Q$3, "IQ_BOND_PRICE", $L32))),NA(),_xll.ciqfunctions.udf.CIQ(Q$3, "IQ_BOND_PRICE", $L32)),"")</f>
        <v>106.5</v>
      </c>
      <c r="R32" s="424">
        <f>IF(AND($L32&lt;&gt;"",R$3&lt;&gt;""),IF(NOT(ISNUMBER(_xll.ciqfunctions.udf.CIQ(R$3, "IQ_BOND_PRICE", $L32))),NA(),_xll.ciqfunctions.udf.CIQ(R$3, "IQ_BOND_PRICE", $L32)),"")</f>
        <v>115.17</v>
      </c>
      <c r="S32" s="424">
        <f>IF(AND($L32&lt;&gt;"",S$3&lt;&gt;""),IF(NOT(ISNUMBER(_xll.ciqfunctions.udf.CIQ(S$3, "IQ_BOND_PRICE", $L32))),NA(),_xll.ciqfunctions.udf.CIQ(S$3, "IQ_BOND_PRICE", $L32)),"")</f>
        <v>107.846</v>
      </c>
      <c r="T32" s="424">
        <f>IF(AND($L32&lt;&gt;"",T$3&lt;&gt;""),IF(NOT(ISNUMBER(_xll.ciqfunctions.udf.CIQ(T$3, "IQ_BOND_PRICE", $L32))),NA(),_xll.ciqfunctions.udf.CIQ(T$3, "IQ_BOND_PRICE", $L32)),"")</f>
        <v>107.378</v>
      </c>
      <c r="U32" s="424">
        <f>IF(AND($L32&lt;&gt;"",U$3&lt;&gt;""),IF(NOT(ISNUMBER(_xll.ciqfunctions.udf.CIQ(U$3, "IQ_BOND_PRICE", $L32))),NA(),_xll.ciqfunctions.udf.CIQ(U$3, "IQ_BOND_PRICE", $L32)),"")</f>
        <v>99.904449999999997</v>
      </c>
      <c r="V32" s="424">
        <f>IF(AND($L32&lt;&gt;"",V$3&lt;&gt;""),IF(NOT(ISNUMBER(_xll.ciqfunctions.udf.CIQ(V$3, "IQ_BOND_PRICE", $L32))),NA(),_xll.ciqfunctions.udf.CIQ(V$3, "IQ_BOND_PRICE", $L32)),"")</f>
        <v>107.04246000000001</v>
      </c>
      <c r="W32" s="424">
        <f>IF(AND($L32&lt;&gt;"",W$3&lt;&gt;""),IF(NOT(ISNUMBER(_xll.ciqfunctions.udf.CIQ(W$3, "IQ_BOND_PRICE", $L32))),NA(),_xll.ciqfunctions.udf.CIQ(W$3, "IQ_BOND_PRICE", $L32)),"")</f>
        <v>110.82299999999999</v>
      </c>
      <c r="X32" s="424">
        <f>IF(AND($L32&lt;&gt;"",X$3&lt;&gt;""),IF(NOT(ISNUMBER(_xll.ciqfunctions.udf.CIQ(X$3, "IQ_BOND_PRICE", $L32))),NA(),_xll.ciqfunctions.udf.CIQ(X$3, "IQ_BOND_PRICE", $L32)),"")</f>
        <v>112.541</v>
      </c>
      <c r="Y32" s="424">
        <f>IF(AND($L32&lt;&gt;"",Y$3&lt;&gt;""),IF(NOT(ISNUMBER(_xll.ciqfunctions.udf.CIQ(Y$3, "IQ_BOND_PRICE", $L32))),NA(),_xll.ciqfunctions.udf.CIQ(Y$3, "IQ_BOND_PRICE", $L32)),"")</f>
        <v>109.584</v>
      </c>
      <c r="Z32" s="424">
        <f>IF(AND($L32&lt;&gt;"",Z$3&lt;&gt;""),IF(NOT(ISNUMBER(_xll.ciqfunctions.udf.CIQ(Z$3, "IQ_BOND_PRICE", $L32))),NA(),_xll.ciqfunctions.udf.CIQ(Z$3, "IQ_BOND_PRICE", $L32)),"")</f>
        <v>0</v>
      </c>
      <c r="CZ32" s="426"/>
    </row>
    <row r="33" spans="12:104" x14ac:dyDescent="0.2">
      <c r="L33" s="425">
        <f t="shared" si="0"/>
        <v>44319</v>
      </c>
      <c r="M33" s="424">
        <f>IF(AND($L33&lt;&gt;"",M$3&lt;&gt;""),IF(NOT(ISNUMBER(_xll.ciqfunctions.udf.CIQ(M$3, "IQ_BOND_PRICE", $L33))),NA(),_xll.ciqfunctions.udf.CIQ(M$3, "IQ_BOND_PRICE", $L33)),"")</f>
        <v>101.58199999999999</v>
      </c>
      <c r="N33" s="424">
        <f>IF(AND($L33&lt;&gt;"",N$3&lt;&gt;""),IF(NOT(ISNUMBER(_xll.ciqfunctions.udf.CIQ(N$3, "IQ_BOND_PRICE", $L33))),NA(),_xll.ciqfunctions.udf.CIQ(N$3, "IQ_BOND_PRICE", $L33)),"")</f>
        <v>0</v>
      </c>
      <c r="O33" s="424">
        <f>IF(AND($L33&lt;&gt;"",O$3&lt;&gt;""),IF(NOT(ISNUMBER(_xll.ciqfunctions.udf.CIQ(O$3, "IQ_BOND_PRICE", $L33))),NA(),_xll.ciqfunctions.udf.CIQ(O$3, "IQ_BOND_PRICE", $L33)),"")</f>
        <v>103.20453000000001</v>
      </c>
      <c r="P33" s="424">
        <f>IF(AND($L33&lt;&gt;"",P$3&lt;&gt;""),IF(NOT(ISNUMBER(_xll.ciqfunctions.udf.CIQ(P$3, "IQ_BOND_PRICE", $L33))),NA(),_xll.ciqfunctions.udf.CIQ(P$3, "IQ_BOND_PRICE", $L33)),"")</f>
        <v>103.85518</v>
      </c>
      <c r="Q33" s="424">
        <f>IF(AND($L33&lt;&gt;"",Q$3&lt;&gt;""),IF(NOT(ISNUMBER(_xll.ciqfunctions.udf.CIQ(Q$3, "IQ_BOND_PRICE", $L33))),NA(),_xll.ciqfunctions.udf.CIQ(Q$3, "IQ_BOND_PRICE", $L33)),"")</f>
        <v>106.476</v>
      </c>
      <c r="R33" s="424">
        <f>IF(AND($L33&lt;&gt;"",R$3&lt;&gt;""),IF(NOT(ISNUMBER(_xll.ciqfunctions.udf.CIQ(R$3, "IQ_BOND_PRICE", $L33))),NA(),_xll.ciqfunctions.udf.CIQ(R$3, "IQ_BOND_PRICE", $L33)),"")</f>
        <v>115.11499999999999</v>
      </c>
      <c r="S33" s="424">
        <f>IF(AND($L33&lt;&gt;"",S$3&lt;&gt;""),IF(NOT(ISNUMBER(_xll.ciqfunctions.udf.CIQ(S$3, "IQ_BOND_PRICE", $L33))),NA(),_xll.ciqfunctions.udf.CIQ(S$3, "IQ_BOND_PRICE", $L33)),"")</f>
        <v>107.837</v>
      </c>
      <c r="T33" s="424">
        <f>IF(AND($L33&lt;&gt;"",T$3&lt;&gt;""),IF(NOT(ISNUMBER(_xll.ciqfunctions.udf.CIQ(T$3, "IQ_BOND_PRICE", $L33))),NA(),_xll.ciqfunctions.udf.CIQ(T$3, "IQ_BOND_PRICE", $L33)),"")</f>
        <v>107.36</v>
      </c>
      <c r="U33" s="424">
        <f>IF(AND($L33&lt;&gt;"",U$3&lt;&gt;""),IF(NOT(ISNUMBER(_xll.ciqfunctions.udf.CIQ(U$3, "IQ_BOND_PRICE", $L33))),NA(),_xll.ciqfunctions.udf.CIQ(U$3, "IQ_BOND_PRICE", $L33)),"")</f>
        <v>99.904740000000004</v>
      </c>
      <c r="V33" s="424">
        <f>IF(AND($L33&lt;&gt;"",V$3&lt;&gt;""),IF(NOT(ISNUMBER(_xll.ciqfunctions.udf.CIQ(V$3, "IQ_BOND_PRICE", $L33))),NA(),_xll.ciqfunctions.udf.CIQ(V$3, "IQ_BOND_PRICE", $L33)),"")</f>
        <v>107.0936</v>
      </c>
      <c r="W33" s="424">
        <f>IF(AND($L33&lt;&gt;"",W$3&lt;&gt;""),IF(NOT(ISNUMBER(_xll.ciqfunctions.udf.CIQ(W$3, "IQ_BOND_PRICE", $L33))),NA(),_xll.ciqfunctions.udf.CIQ(W$3, "IQ_BOND_PRICE", $L33)),"")</f>
        <v>110.79900000000001</v>
      </c>
      <c r="X33" s="424">
        <f>IF(AND($L33&lt;&gt;"",X$3&lt;&gt;""),IF(NOT(ISNUMBER(_xll.ciqfunctions.udf.CIQ(X$3, "IQ_BOND_PRICE", $L33))),NA(),_xll.ciqfunctions.udf.CIQ(X$3, "IQ_BOND_PRICE", $L33)),"")</f>
        <v>112.57</v>
      </c>
      <c r="Y33" s="424">
        <f>IF(AND($L33&lt;&gt;"",Y$3&lt;&gt;""),IF(NOT(ISNUMBER(_xll.ciqfunctions.udf.CIQ(Y$3, "IQ_BOND_PRICE", $L33))),NA(),_xll.ciqfunctions.udf.CIQ(Y$3, "IQ_BOND_PRICE", $L33)),"")</f>
        <v>109.682</v>
      </c>
      <c r="Z33" s="424">
        <f>IF(AND($L33&lt;&gt;"",Z$3&lt;&gt;""),IF(NOT(ISNUMBER(_xll.ciqfunctions.udf.CIQ(Z$3, "IQ_BOND_PRICE", $L33))),NA(),_xll.ciqfunctions.udf.CIQ(Z$3, "IQ_BOND_PRICE", $L33)),"")</f>
        <v>0</v>
      </c>
      <c r="CZ33" s="426"/>
    </row>
    <row r="34" spans="12:104" x14ac:dyDescent="0.2">
      <c r="L34" s="425">
        <f t="shared" si="0"/>
        <v>44320</v>
      </c>
      <c r="M34" s="424">
        <f>IF(AND($L34&lt;&gt;"",M$3&lt;&gt;""),IF(NOT(ISNUMBER(_xll.ciqfunctions.udf.CIQ(M$3, "IQ_BOND_PRICE", $L34))),NA(),_xll.ciqfunctions.udf.CIQ(M$3, "IQ_BOND_PRICE", $L34)),"")</f>
        <v>101.575</v>
      </c>
      <c r="N34" s="424">
        <f>IF(AND($L34&lt;&gt;"",N$3&lt;&gt;""),IF(NOT(ISNUMBER(_xll.ciqfunctions.udf.CIQ(N$3, "IQ_BOND_PRICE", $L34))),NA(),_xll.ciqfunctions.udf.CIQ(N$3, "IQ_BOND_PRICE", $L34)),"")</f>
        <v>0</v>
      </c>
      <c r="O34" s="424">
        <f>IF(AND($L34&lt;&gt;"",O$3&lt;&gt;""),IF(NOT(ISNUMBER(_xll.ciqfunctions.udf.CIQ(O$3, "IQ_BOND_PRICE", $L34))),NA(),_xll.ciqfunctions.udf.CIQ(O$3, "IQ_BOND_PRICE", $L34)),"")</f>
        <v>103.19558000000001</v>
      </c>
      <c r="P34" s="424">
        <f>IF(AND($L34&lt;&gt;"",P$3&lt;&gt;""),IF(NOT(ISNUMBER(_xll.ciqfunctions.udf.CIQ(P$3, "IQ_BOND_PRICE", $L34))),NA(),_xll.ciqfunctions.udf.CIQ(P$3, "IQ_BOND_PRICE", $L34)),"")</f>
        <v>103.92513</v>
      </c>
      <c r="Q34" s="424">
        <f>IF(AND($L34&lt;&gt;"",Q$3&lt;&gt;""),IF(NOT(ISNUMBER(_xll.ciqfunctions.udf.CIQ(Q$3, "IQ_BOND_PRICE", $L34))),NA(),_xll.ciqfunctions.udf.CIQ(Q$3, "IQ_BOND_PRICE", $L34)),"")</f>
        <v>106.548</v>
      </c>
      <c r="R34" s="424">
        <f>IF(AND($L34&lt;&gt;"",R$3&lt;&gt;""),IF(NOT(ISNUMBER(_xll.ciqfunctions.udf.CIQ(R$3, "IQ_BOND_PRICE", $L34))),NA(),_xll.ciqfunctions.udf.CIQ(R$3, "IQ_BOND_PRICE", $L34)),"")</f>
        <v>115.169</v>
      </c>
      <c r="S34" s="424">
        <f>IF(AND($L34&lt;&gt;"",S$3&lt;&gt;""),IF(NOT(ISNUMBER(_xll.ciqfunctions.udf.CIQ(S$3, "IQ_BOND_PRICE", $L34))),NA(),_xll.ciqfunctions.udf.CIQ(S$3, "IQ_BOND_PRICE", $L34)),"")</f>
        <v>107.849</v>
      </c>
      <c r="T34" s="424">
        <f>IF(AND($L34&lt;&gt;"",T$3&lt;&gt;""),IF(NOT(ISNUMBER(_xll.ciqfunctions.udf.CIQ(T$3, "IQ_BOND_PRICE", $L34))),NA(),_xll.ciqfunctions.udf.CIQ(T$3, "IQ_BOND_PRICE", $L34)),"")</f>
        <v>107.357</v>
      </c>
      <c r="U34" s="424">
        <f>IF(AND($L34&lt;&gt;"",U$3&lt;&gt;""),IF(NOT(ISNUMBER(_xll.ciqfunctions.udf.CIQ(U$3, "IQ_BOND_PRICE", $L34))),NA(),_xll.ciqfunctions.udf.CIQ(U$3, "IQ_BOND_PRICE", $L34)),"")</f>
        <v>99.904979999999995</v>
      </c>
      <c r="V34" s="424">
        <f>IF(AND($L34&lt;&gt;"",V$3&lt;&gt;""),IF(NOT(ISNUMBER(_xll.ciqfunctions.udf.CIQ(V$3, "IQ_BOND_PRICE", $L34))),NA(),_xll.ciqfunctions.udf.CIQ(V$3, "IQ_BOND_PRICE", $L34)),"")</f>
        <v>107.107</v>
      </c>
      <c r="W34" s="424">
        <f>IF(AND($L34&lt;&gt;"",W$3&lt;&gt;""),IF(NOT(ISNUMBER(_xll.ciqfunctions.udf.CIQ(W$3, "IQ_BOND_PRICE", $L34))),NA(),_xll.ciqfunctions.udf.CIQ(W$3, "IQ_BOND_PRICE", $L34)),"")</f>
        <v>110.825</v>
      </c>
      <c r="X34" s="424">
        <f>IF(AND($L34&lt;&gt;"",X$3&lt;&gt;""),IF(NOT(ISNUMBER(_xll.ciqfunctions.udf.CIQ(X$3, "IQ_BOND_PRICE", $L34))),NA(),_xll.ciqfunctions.udf.CIQ(X$3, "IQ_BOND_PRICE", $L34)),"")</f>
        <v>112.614</v>
      </c>
      <c r="Y34" s="424">
        <f>IF(AND($L34&lt;&gt;"",Y$3&lt;&gt;""),IF(NOT(ISNUMBER(_xll.ciqfunctions.udf.CIQ(Y$3, "IQ_BOND_PRICE", $L34))),NA(),_xll.ciqfunctions.udf.CIQ(Y$3, "IQ_BOND_PRICE", $L34)),"")</f>
        <v>109.706</v>
      </c>
      <c r="Z34" s="424">
        <f>IF(AND($L34&lt;&gt;"",Z$3&lt;&gt;""),IF(NOT(ISNUMBER(_xll.ciqfunctions.udf.CIQ(Z$3, "IQ_BOND_PRICE", $L34))),NA(),_xll.ciqfunctions.udf.CIQ(Z$3, "IQ_BOND_PRICE", $L34)),"")</f>
        <v>0</v>
      </c>
      <c r="CZ34" s="426"/>
    </row>
    <row r="35" spans="12:104" x14ac:dyDescent="0.2">
      <c r="L35" s="425">
        <f t="shared" si="0"/>
        <v>44321</v>
      </c>
      <c r="M35" s="424">
        <f>IF(AND($L35&lt;&gt;"",M$3&lt;&gt;""),IF(NOT(ISNUMBER(_xll.ciqfunctions.udf.CIQ(M$3, "IQ_BOND_PRICE", $L35))),NA(),_xll.ciqfunctions.udf.CIQ(M$3, "IQ_BOND_PRICE", $L35)),"")</f>
        <v>101.58199999999999</v>
      </c>
      <c r="N35" s="424">
        <f>IF(AND($L35&lt;&gt;"",N$3&lt;&gt;""),IF(NOT(ISNUMBER(_xll.ciqfunctions.udf.CIQ(N$3, "IQ_BOND_PRICE", $L35))),NA(),_xll.ciqfunctions.udf.CIQ(N$3, "IQ_BOND_PRICE", $L35)),"")</f>
        <v>0</v>
      </c>
      <c r="O35" s="424">
        <f>IF(AND($L35&lt;&gt;"",O$3&lt;&gt;""),IF(NOT(ISNUMBER(_xll.ciqfunctions.udf.CIQ(O$3, "IQ_BOND_PRICE", $L35))),NA(),_xll.ciqfunctions.udf.CIQ(O$3, "IQ_BOND_PRICE", $L35)),"")</f>
        <v>103.25700000000001</v>
      </c>
      <c r="P35" s="424">
        <f>IF(AND($L35&lt;&gt;"",P$3&lt;&gt;""),IF(NOT(ISNUMBER(_xll.ciqfunctions.udf.CIQ(P$3, "IQ_BOND_PRICE", $L35))),NA(),_xll.ciqfunctions.udf.CIQ(P$3, "IQ_BOND_PRICE", $L35)),"")</f>
        <v>103.961</v>
      </c>
      <c r="Q35" s="424">
        <f>IF(AND($L35&lt;&gt;"",Q$3&lt;&gt;""),IF(NOT(ISNUMBER(_xll.ciqfunctions.udf.CIQ(Q$3, "IQ_BOND_PRICE", $L35))),NA(),_xll.ciqfunctions.udf.CIQ(Q$3, "IQ_BOND_PRICE", $L35)),"")</f>
        <v>106.586</v>
      </c>
      <c r="R35" s="424">
        <f>IF(AND($L35&lt;&gt;"",R$3&lt;&gt;""),IF(NOT(ISNUMBER(_xll.ciqfunctions.udf.CIQ(R$3, "IQ_BOND_PRICE", $L35))),NA(),_xll.ciqfunctions.udf.CIQ(R$3, "IQ_BOND_PRICE", $L35)),"")</f>
        <v>115.209</v>
      </c>
      <c r="S35" s="424">
        <f>IF(AND($L35&lt;&gt;"",S$3&lt;&gt;""),IF(NOT(ISNUMBER(_xll.ciqfunctions.udf.CIQ(S$3, "IQ_BOND_PRICE", $L35))),NA(),_xll.ciqfunctions.udf.CIQ(S$3, "IQ_BOND_PRICE", $L35)),"")</f>
        <v>107.904</v>
      </c>
      <c r="T35" s="424">
        <f>IF(AND($L35&lt;&gt;"",T$3&lt;&gt;""),IF(NOT(ISNUMBER(_xll.ciqfunctions.udf.CIQ(T$3, "IQ_BOND_PRICE", $L35))),NA(),_xll.ciqfunctions.udf.CIQ(T$3, "IQ_BOND_PRICE", $L35)),"")</f>
        <v>107.43</v>
      </c>
      <c r="U35" s="424">
        <f>IF(AND($L35&lt;&gt;"",U$3&lt;&gt;""),IF(NOT(ISNUMBER(_xll.ciqfunctions.udf.CIQ(U$3, "IQ_BOND_PRICE", $L35))),NA(),_xll.ciqfunctions.udf.CIQ(U$3, "IQ_BOND_PRICE", $L35)),"")</f>
        <v>99.905079999999998</v>
      </c>
      <c r="V35" s="424">
        <f>IF(AND($L35&lt;&gt;"",V$3&lt;&gt;""),IF(NOT(ISNUMBER(_xll.ciqfunctions.udf.CIQ(V$3, "IQ_BOND_PRICE", $L35))),NA(),_xll.ciqfunctions.udf.CIQ(V$3, "IQ_BOND_PRICE", $L35)),"")</f>
        <v>107.12984</v>
      </c>
      <c r="W35" s="424">
        <f>IF(AND($L35&lt;&gt;"",W$3&lt;&gt;""),IF(NOT(ISNUMBER(_xll.ciqfunctions.udf.CIQ(W$3, "IQ_BOND_PRICE", $L35))),NA(),_xll.ciqfunctions.udf.CIQ(W$3, "IQ_BOND_PRICE", $L35)),"")</f>
        <v>110.89</v>
      </c>
      <c r="X35" s="424">
        <f>IF(AND($L35&lt;&gt;"",X$3&lt;&gt;""),IF(NOT(ISNUMBER(_xll.ciqfunctions.udf.CIQ(X$3, "IQ_BOND_PRICE", $L35))),NA(),_xll.ciqfunctions.udf.CIQ(X$3, "IQ_BOND_PRICE", $L35)),"")</f>
        <v>112.628</v>
      </c>
      <c r="Y35" s="424">
        <f>IF(AND($L35&lt;&gt;"",Y$3&lt;&gt;""),IF(NOT(ISNUMBER(_xll.ciqfunctions.udf.CIQ(Y$3, "IQ_BOND_PRICE", $L35))),NA(),_xll.ciqfunctions.udf.CIQ(Y$3, "IQ_BOND_PRICE", $L35)),"")</f>
        <v>109.768</v>
      </c>
      <c r="Z35" s="424">
        <f>IF(AND($L35&lt;&gt;"",Z$3&lt;&gt;""),IF(NOT(ISNUMBER(_xll.ciqfunctions.udf.CIQ(Z$3, "IQ_BOND_PRICE", $L35))),NA(),_xll.ciqfunctions.udf.CIQ(Z$3, "IQ_BOND_PRICE", $L35)),"")</f>
        <v>0</v>
      </c>
      <c r="CZ35" s="426"/>
    </row>
    <row r="36" spans="12:104" x14ac:dyDescent="0.2">
      <c r="L36" s="425">
        <f t="shared" si="0"/>
        <v>44322</v>
      </c>
      <c r="M36" s="424">
        <f>IF(AND($L36&lt;&gt;"",M$3&lt;&gt;""),IF(NOT(ISNUMBER(_xll.ciqfunctions.udf.CIQ(M$3, "IQ_BOND_PRICE", $L36))),NA(),_xll.ciqfunctions.udf.CIQ(M$3, "IQ_BOND_PRICE", $L36)),"")</f>
        <v>101.568</v>
      </c>
      <c r="N36" s="424">
        <f>IF(AND($L36&lt;&gt;"",N$3&lt;&gt;""),IF(NOT(ISNUMBER(_xll.ciqfunctions.udf.CIQ(N$3, "IQ_BOND_PRICE", $L36))),NA(),_xll.ciqfunctions.udf.CIQ(N$3, "IQ_BOND_PRICE", $L36)),"")</f>
        <v>0</v>
      </c>
      <c r="O36" s="424">
        <f>IF(AND($L36&lt;&gt;"",O$3&lt;&gt;""),IF(NOT(ISNUMBER(_xll.ciqfunctions.udf.CIQ(O$3, "IQ_BOND_PRICE", $L36))),NA(),_xll.ciqfunctions.udf.CIQ(O$3, "IQ_BOND_PRICE", $L36)),"")</f>
        <v>103.291</v>
      </c>
      <c r="P36" s="424">
        <f>IF(AND($L36&lt;&gt;"",P$3&lt;&gt;""),IF(NOT(ISNUMBER(_xll.ciqfunctions.udf.CIQ(P$3, "IQ_BOND_PRICE", $L36))),NA(),_xll.ciqfunctions.udf.CIQ(P$3, "IQ_BOND_PRICE", $L36)),"")</f>
        <v>104.01908</v>
      </c>
      <c r="Q36" s="424">
        <f>IF(AND($L36&lt;&gt;"",Q$3&lt;&gt;""),IF(NOT(ISNUMBER(_xll.ciqfunctions.udf.CIQ(Q$3, "IQ_BOND_PRICE", $L36))),NA(),_xll.ciqfunctions.udf.CIQ(Q$3, "IQ_BOND_PRICE", $L36)),"")</f>
        <v>106.639</v>
      </c>
      <c r="R36" s="424">
        <f>IF(AND($L36&lt;&gt;"",R$3&lt;&gt;""),IF(NOT(ISNUMBER(_xll.ciqfunctions.udf.CIQ(R$3, "IQ_BOND_PRICE", $L36))),NA(),_xll.ciqfunctions.udf.CIQ(R$3, "IQ_BOND_PRICE", $L36)),"")</f>
        <v>115.242</v>
      </c>
      <c r="S36" s="424">
        <f>IF(AND($L36&lt;&gt;"",S$3&lt;&gt;""),IF(NOT(ISNUMBER(_xll.ciqfunctions.udf.CIQ(S$3, "IQ_BOND_PRICE", $L36))),NA(),_xll.ciqfunctions.udf.CIQ(S$3, "IQ_BOND_PRICE", $L36)),"")</f>
        <v>107.872</v>
      </c>
      <c r="T36" s="424">
        <f>IF(AND($L36&lt;&gt;"",T$3&lt;&gt;""),IF(NOT(ISNUMBER(_xll.ciqfunctions.udf.CIQ(T$3, "IQ_BOND_PRICE", $L36))),NA(),_xll.ciqfunctions.udf.CIQ(T$3, "IQ_BOND_PRICE", $L36)),"")</f>
        <v>107.42700000000001</v>
      </c>
      <c r="U36" s="424">
        <f>IF(AND($L36&lt;&gt;"",U$3&lt;&gt;""),IF(NOT(ISNUMBER(_xll.ciqfunctions.udf.CIQ(U$3, "IQ_BOND_PRICE", $L36))),NA(),_xll.ciqfunctions.udf.CIQ(U$3, "IQ_BOND_PRICE", $L36)),"")</f>
        <v>99.907880000000006</v>
      </c>
      <c r="V36" s="424">
        <f>IF(AND($L36&lt;&gt;"",V$3&lt;&gt;""),IF(NOT(ISNUMBER(_xll.ciqfunctions.udf.CIQ(V$3, "IQ_BOND_PRICE", $L36))),NA(),_xll.ciqfunctions.udf.CIQ(V$3, "IQ_BOND_PRICE", $L36)),"")</f>
        <v>107.29300000000001</v>
      </c>
      <c r="W36" s="424">
        <f>IF(AND($L36&lt;&gt;"",W$3&lt;&gt;""),IF(NOT(ISNUMBER(_xll.ciqfunctions.udf.CIQ(W$3, "IQ_BOND_PRICE", $L36))),NA(),_xll.ciqfunctions.udf.CIQ(W$3, "IQ_BOND_PRICE", $L36)),"")</f>
        <v>110.998</v>
      </c>
      <c r="X36" s="424">
        <f>IF(AND($L36&lt;&gt;"",X$3&lt;&gt;""),IF(NOT(ISNUMBER(_xll.ciqfunctions.udf.CIQ(X$3, "IQ_BOND_PRICE", $L36))),NA(),_xll.ciqfunctions.udf.CIQ(X$3, "IQ_BOND_PRICE", $L36)),"")</f>
        <v>112.608</v>
      </c>
      <c r="Y36" s="424">
        <f>IF(AND($L36&lt;&gt;"",Y$3&lt;&gt;""),IF(NOT(ISNUMBER(_xll.ciqfunctions.udf.CIQ(Y$3, "IQ_BOND_PRICE", $L36))),NA(),_xll.ciqfunctions.udf.CIQ(Y$3, "IQ_BOND_PRICE", $L36)),"")</f>
        <v>109.753</v>
      </c>
      <c r="Z36" s="424">
        <f>IF(AND($L36&lt;&gt;"",Z$3&lt;&gt;""),IF(NOT(ISNUMBER(_xll.ciqfunctions.udf.CIQ(Z$3, "IQ_BOND_PRICE", $L36))),NA(),_xll.ciqfunctions.udf.CIQ(Z$3, "IQ_BOND_PRICE", $L36)),"")</f>
        <v>0</v>
      </c>
      <c r="CZ36" s="426"/>
    </row>
    <row r="37" spans="12:104" x14ac:dyDescent="0.2">
      <c r="L37" s="425">
        <f t="shared" si="0"/>
        <v>44323</v>
      </c>
      <c r="M37" s="424">
        <f>IF(AND($L37&lt;&gt;"",M$3&lt;&gt;""),IF(NOT(ISNUMBER(_xll.ciqfunctions.udf.CIQ(M$3, "IQ_BOND_PRICE", $L37))),NA(),_xll.ciqfunctions.udf.CIQ(M$3, "IQ_BOND_PRICE", $L37)),"")</f>
        <v>101.56399999999999</v>
      </c>
      <c r="N37" s="424">
        <f>IF(AND($L37&lt;&gt;"",N$3&lt;&gt;""),IF(NOT(ISNUMBER(_xll.ciqfunctions.udf.CIQ(N$3, "IQ_BOND_PRICE", $L37))),NA(),_xll.ciqfunctions.udf.CIQ(N$3, "IQ_BOND_PRICE", $L37)),"")</f>
        <v>0</v>
      </c>
      <c r="O37" s="424">
        <f>IF(AND($L37&lt;&gt;"",O$3&lt;&gt;""),IF(NOT(ISNUMBER(_xll.ciqfunctions.udf.CIQ(O$3, "IQ_BOND_PRICE", $L37))),NA(),_xll.ciqfunctions.udf.CIQ(O$3, "IQ_BOND_PRICE", $L37)),"")</f>
        <v>103.30312000000001</v>
      </c>
      <c r="P37" s="424">
        <f>IF(AND($L37&lt;&gt;"",P$3&lt;&gt;""),IF(NOT(ISNUMBER(_xll.ciqfunctions.udf.CIQ(P$3, "IQ_BOND_PRICE", $L37))),NA(),_xll.ciqfunctions.udf.CIQ(P$3, "IQ_BOND_PRICE", $L37)),"")</f>
        <v>104.17198</v>
      </c>
      <c r="Q37" s="424">
        <f>IF(AND($L37&lt;&gt;"",Q$3&lt;&gt;""),IF(NOT(ISNUMBER(_xll.ciqfunctions.udf.CIQ(Q$3, "IQ_BOND_PRICE", $L37))),NA(),_xll.ciqfunctions.udf.CIQ(Q$3, "IQ_BOND_PRICE", $L37)),"")</f>
        <v>106.654</v>
      </c>
      <c r="R37" s="424">
        <f>IF(AND($L37&lt;&gt;"",R$3&lt;&gt;""),IF(NOT(ISNUMBER(_xll.ciqfunctions.udf.CIQ(R$3, "IQ_BOND_PRICE", $L37))),NA(),_xll.ciqfunctions.udf.CIQ(R$3, "IQ_BOND_PRICE", $L37)),"")</f>
        <v>115.387</v>
      </c>
      <c r="S37" s="424">
        <f>IF(AND($L37&lt;&gt;"",S$3&lt;&gt;""),IF(NOT(ISNUMBER(_xll.ciqfunctions.udf.CIQ(S$3, "IQ_BOND_PRICE", $L37))),NA(),_xll.ciqfunctions.udf.CIQ(S$3, "IQ_BOND_PRICE", $L37)),"")</f>
        <v>107.932</v>
      </c>
      <c r="T37" s="424">
        <f>IF(AND($L37&lt;&gt;"",T$3&lt;&gt;""),IF(NOT(ISNUMBER(_xll.ciqfunctions.udf.CIQ(T$3, "IQ_BOND_PRICE", $L37))),NA(),_xll.ciqfunctions.udf.CIQ(T$3, "IQ_BOND_PRICE", $L37)),"")</f>
        <v>107.58</v>
      </c>
      <c r="U37" s="424">
        <f>IF(AND($L37&lt;&gt;"",U$3&lt;&gt;""),IF(NOT(ISNUMBER(_xll.ciqfunctions.udf.CIQ(U$3, "IQ_BOND_PRICE", $L37))),NA(),_xll.ciqfunctions.udf.CIQ(U$3, "IQ_BOND_PRICE", $L37)),"")</f>
        <v>99.906999999999996</v>
      </c>
      <c r="V37" s="424">
        <f>IF(AND($L37&lt;&gt;"",V$3&lt;&gt;""),IF(NOT(ISNUMBER(_xll.ciqfunctions.udf.CIQ(V$3, "IQ_BOND_PRICE", $L37))),NA(),_xll.ciqfunctions.udf.CIQ(V$3, "IQ_BOND_PRICE", $L37)),"")</f>
        <v>107.37296000000001</v>
      </c>
      <c r="W37" s="424">
        <f>IF(AND($L37&lt;&gt;"",W$3&lt;&gt;""),IF(NOT(ISNUMBER(_xll.ciqfunctions.udf.CIQ(W$3, "IQ_BOND_PRICE", $L37))),NA(),_xll.ciqfunctions.udf.CIQ(W$3, "IQ_BOND_PRICE", $L37)),"")</f>
        <v>111.15</v>
      </c>
      <c r="X37" s="424">
        <f>IF(AND($L37&lt;&gt;"",X$3&lt;&gt;""),IF(NOT(ISNUMBER(_xll.ciqfunctions.udf.CIQ(X$3, "IQ_BOND_PRICE", $L37))),NA(),_xll.ciqfunctions.udf.CIQ(X$3, "IQ_BOND_PRICE", $L37)),"")</f>
        <v>112.54900000000001</v>
      </c>
      <c r="Y37" s="424">
        <f>IF(AND($L37&lt;&gt;"",Y$3&lt;&gt;""),IF(NOT(ISNUMBER(_xll.ciqfunctions.udf.CIQ(Y$3, "IQ_BOND_PRICE", $L37))),NA(),_xll.ciqfunctions.udf.CIQ(Y$3, "IQ_BOND_PRICE", $L37)),"")</f>
        <v>109.991</v>
      </c>
      <c r="Z37" s="424">
        <f>IF(AND($L37&lt;&gt;"",Z$3&lt;&gt;""),IF(NOT(ISNUMBER(_xll.ciqfunctions.udf.CIQ(Z$3, "IQ_BOND_PRICE", $L37))),NA(),_xll.ciqfunctions.udf.CIQ(Z$3, "IQ_BOND_PRICE", $L37)),"")</f>
        <v>0</v>
      </c>
      <c r="CZ37" s="426"/>
    </row>
    <row r="38" spans="12:104" x14ac:dyDescent="0.2">
      <c r="L38" s="425">
        <f t="shared" si="0"/>
        <v>44326</v>
      </c>
      <c r="M38" s="424">
        <f>IF(AND($L38&lt;&gt;"",M$3&lt;&gt;""),IF(NOT(ISNUMBER(_xll.ciqfunctions.udf.CIQ(M$3, "IQ_BOND_PRICE", $L38))),NA(),_xll.ciqfunctions.udf.CIQ(M$3, "IQ_BOND_PRICE", $L38)),"")</f>
        <v>101.54300000000001</v>
      </c>
      <c r="N38" s="424">
        <f>IF(AND($L38&lt;&gt;"",N$3&lt;&gt;""),IF(NOT(ISNUMBER(_xll.ciqfunctions.udf.CIQ(N$3, "IQ_BOND_PRICE", $L38))),NA(),_xll.ciqfunctions.udf.CIQ(N$3, "IQ_BOND_PRICE", $L38)),"")</f>
        <v>0</v>
      </c>
      <c r="O38" s="424">
        <f>IF(AND($L38&lt;&gt;"",O$3&lt;&gt;""),IF(NOT(ISNUMBER(_xll.ciqfunctions.udf.CIQ(O$3, "IQ_BOND_PRICE", $L38))),NA(),_xll.ciqfunctions.udf.CIQ(O$3, "IQ_BOND_PRICE", $L38)),"")</f>
        <v>103.28479</v>
      </c>
      <c r="P38" s="424">
        <f>IF(AND($L38&lt;&gt;"",P$3&lt;&gt;""),IF(NOT(ISNUMBER(_xll.ciqfunctions.udf.CIQ(P$3, "IQ_BOND_PRICE", $L38))),NA(),_xll.ciqfunctions.udf.CIQ(P$3, "IQ_BOND_PRICE", $L38)),"")</f>
        <v>104.18483000000001</v>
      </c>
      <c r="Q38" s="424">
        <f>IF(AND($L38&lt;&gt;"",Q$3&lt;&gt;""),IF(NOT(ISNUMBER(_xll.ciqfunctions.udf.CIQ(Q$3, "IQ_BOND_PRICE", $L38))),NA(),_xll.ciqfunctions.udf.CIQ(Q$3, "IQ_BOND_PRICE", $L38)),"")</f>
        <v>106.636</v>
      </c>
      <c r="R38" s="424">
        <f>IF(AND($L38&lt;&gt;"",R$3&lt;&gt;""),IF(NOT(ISNUMBER(_xll.ciqfunctions.udf.CIQ(R$3, "IQ_BOND_PRICE", $L38))),NA(),_xll.ciqfunctions.udf.CIQ(R$3, "IQ_BOND_PRICE", $L38)),"")</f>
        <v>115.378</v>
      </c>
      <c r="S38" s="424">
        <f>IF(AND($L38&lt;&gt;"",S$3&lt;&gt;""),IF(NOT(ISNUMBER(_xll.ciqfunctions.udf.CIQ(S$3, "IQ_BOND_PRICE", $L38))),NA(),_xll.ciqfunctions.udf.CIQ(S$3, "IQ_BOND_PRICE", $L38)),"")</f>
        <v>107.902</v>
      </c>
      <c r="T38" s="424">
        <f>IF(AND($L38&lt;&gt;"",T$3&lt;&gt;""),IF(NOT(ISNUMBER(_xll.ciqfunctions.udf.CIQ(T$3, "IQ_BOND_PRICE", $L38))),NA(),_xll.ciqfunctions.udf.CIQ(T$3, "IQ_BOND_PRICE", $L38)),"")</f>
        <v>107.547</v>
      </c>
      <c r="U38" s="424">
        <f>IF(AND($L38&lt;&gt;"",U$3&lt;&gt;""),IF(NOT(ISNUMBER(_xll.ciqfunctions.udf.CIQ(U$3, "IQ_BOND_PRICE", $L38))),NA(),_xll.ciqfunctions.udf.CIQ(U$3, "IQ_BOND_PRICE", $L38)),"")</f>
        <v>99.911500000000004</v>
      </c>
      <c r="V38" s="424">
        <f>IF(AND($L38&lt;&gt;"",V$3&lt;&gt;""),IF(NOT(ISNUMBER(_xll.ciqfunctions.udf.CIQ(V$3, "IQ_BOND_PRICE", $L38))),NA(),_xll.ciqfunctions.udf.CIQ(V$3, "IQ_BOND_PRICE", $L38)),"")</f>
        <v>107.33893</v>
      </c>
      <c r="W38" s="424">
        <f>IF(AND($L38&lt;&gt;"",W$3&lt;&gt;""),IF(NOT(ISNUMBER(_xll.ciqfunctions.udf.CIQ(W$3, "IQ_BOND_PRICE", $L38))),NA(),_xll.ciqfunctions.udf.CIQ(W$3, "IQ_BOND_PRICE", $L38)),"")</f>
        <v>111.096</v>
      </c>
      <c r="X38" s="424">
        <f>IF(AND($L38&lt;&gt;"",X$3&lt;&gt;""),IF(NOT(ISNUMBER(_xll.ciqfunctions.udf.CIQ(X$3, "IQ_BOND_PRICE", $L38))),NA(),_xll.ciqfunctions.udf.CIQ(X$3, "IQ_BOND_PRICE", $L38)),"")</f>
        <v>112.54</v>
      </c>
      <c r="Y38" s="424">
        <f>IF(AND($L38&lt;&gt;"",Y$3&lt;&gt;""),IF(NOT(ISNUMBER(_xll.ciqfunctions.udf.CIQ(Y$3, "IQ_BOND_PRICE", $L38))),NA(),_xll.ciqfunctions.udf.CIQ(Y$3, "IQ_BOND_PRICE", $L38)),"")</f>
        <v>109.889</v>
      </c>
      <c r="Z38" s="424">
        <f>IF(AND($L38&lt;&gt;"",Z$3&lt;&gt;""),IF(NOT(ISNUMBER(_xll.ciqfunctions.udf.CIQ(Z$3, "IQ_BOND_PRICE", $L38))),NA(),_xll.ciqfunctions.udf.CIQ(Z$3, "IQ_BOND_PRICE", $L38)),"")</f>
        <v>0</v>
      </c>
      <c r="CZ38" s="426"/>
    </row>
    <row r="39" spans="12:104" x14ac:dyDescent="0.2">
      <c r="L39" s="425">
        <f t="shared" si="0"/>
        <v>44327</v>
      </c>
      <c r="M39" s="424">
        <f>IF(AND($L39&lt;&gt;"",M$3&lt;&gt;""),IF(NOT(ISNUMBER(_xll.ciqfunctions.udf.CIQ(M$3, "IQ_BOND_PRICE", $L39))),NA(),_xll.ciqfunctions.udf.CIQ(M$3, "IQ_BOND_PRICE", $L39)),"")</f>
        <v>101.542</v>
      </c>
      <c r="N39" s="424">
        <f>IF(AND($L39&lt;&gt;"",N$3&lt;&gt;""),IF(NOT(ISNUMBER(_xll.ciqfunctions.udf.CIQ(N$3, "IQ_BOND_PRICE", $L39))),NA(),_xll.ciqfunctions.udf.CIQ(N$3, "IQ_BOND_PRICE", $L39)),"")</f>
        <v>0</v>
      </c>
      <c r="O39" s="424">
        <f>IF(AND($L39&lt;&gt;"",O$3&lt;&gt;""),IF(NOT(ISNUMBER(_xll.ciqfunctions.udf.CIQ(O$3, "IQ_BOND_PRICE", $L39))),NA(),_xll.ciqfunctions.udf.CIQ(O$3, "IQ_BOND_PRICE", $L39)),"")</f>
        <v>103.229</v>
      </c>
      <c r="P39" s="424">
        <f>IF(AND($L39&lt;&gt;"",P$3&lt;&gt;""),IF(NOT(ISNUMBER(_xll.ciqfunctions.udf.CIQ(P$3, "IQ_BOND_PRICE", $L39))),NA(),_xll.ciqfunctions.udf.CIQ(P$3, "IQ_BOND_PRICE", $L39)),"")</f>
        <v>103.89943</v>
      </c>
      <c r="Q39" s="424">
        <f>IF(AND($L39&lt;&gt;"",Q$3&lt;&gt;""),IF(NOT(ISNUMBER(_xll.ciqfunctions.udf.CIQ(Q$3, "IQ_BOND_PRICE", $L39))),NA(),_xll.ciqfunctions.udf.CIQ(Q$3, "IQ_BOND_PRICE", $L39)),"")</f>
        <v>106.503</v>
      </c>
      <c r="R39" s="424">
        <f>IF(AND($L39&lt;&gt;"",R$3&lt;&gt;""),IF(NOT(ISNUMBER(_xll.ciqfunctions.udf.CIQ(R$3, "IQ_BOND_PRICE", $L39))),NA(),_xll.ciqfunctions.udf.CIQ(R$3, "IQ_BOND_PRICE", $L39)),"")</f>
        <v>115.218</v>
      </c>
      <c r="S39" s="424">
        <f>IF(AND($L39&lt;&gt;"",S$3&lt;&gt;""),IF(NOT(ISNUMBER(_xll.ciqfunctions.udf.CIQ(S$3, "IQ_BOND_PRICE", $L39))),NA(),_xll.ciqfunctions.udf.CIQ(S$3, "IQ_BOND_PRICE", $L39)),"")</f>
        <v>107.864</v>
      </c>
      <c r="T39" s="424">
        <f>IF(AND($L39&lt;&gt;"",T$3&lt;&gt;""),IF(NOT(ISNUMBER(_xll.ciqfunctions.udf.CIQ(T$3, "IQ_BOND_PRICE", $L39))),NA(),_xll.ciqfunctions.udf.CIQ(T$3, "IQ_BOND_PRICE", $L39)),"")</f>
        <v>107.386</v>
      </c>
      <c r="U39" s="424">
        <f>IF(AND($L39&lt;&gt;"",U$3&lt;&gt;""),IF(NOT(ISNUMBER(_xll.ciqfunctions.udf.CIQ(U$3, "IQ_BOND_PRICE", $L39))),NA(),_xll.ciqfunctions.udf.CIQ(U$3, "IQ_BOND_PRICE", $L39)),"")</f>
        <v>99.915080000000003</v>
      </c>
      <c r="V39" s="424">
        <f>IF(AND($L39&lt;&gt;"",V$3&lt;&gt;""),IF(NOT(ISNUMBER(_xll.ciqfunctions.udf.CIQ(V$3, "IQ_BOND_PRICE", $L39))),NA(),_xll.ciqfunctions.udf.CIQ(V$3, "IQ_BOND_PRICE", $L39)),"")</f>
        <v>107.25</v>
      </c>
      <c r="W39" s="424">
        <f>IF(AND($L39&lt;&gt;"",W$3&lt;&gt;""),IF(NOT(ISNUMBER(_xll.ciqfunctions.udf.CIQ(W$3, "IQ_BOND_PRICE", $L39))),NA(),_xll.ciqfunctions.udf.CIQ(W$3, "IQ_BOND_PRICE", $L39)),"")</f>
        <v>110.919</v>
      </c>
      <c r="X39" s="424">
        <f>IF(AND($L39&lt;&gt;"",X$3&lt;&gt;""),IF(NOT(ISNUMBER(_xll.ciqfunctions.udf.CIQ(X$3, "IQ_BOND_PRICE", $L39))),NA(),_xll.ciqfunctions.udf.CIQ(X$3, "IQ_BOND_PRICE", $L39)),"")</f>
        <v>112.414</v>
      </c>
      <c r="Y39" s="424">
        <f>IF(AND($L39&lt;&gt;"",Y$3&lt;&gt;""),IF(NOT(ISNUMBER(_xll.ciqfunctions.udf.CIQ(Y$3, "IQ_BOND_PRICE", $L39))),NA(),_xll.ciqfunctions.udf.CIQ(Y$3, "IQ_BOND_PRICE", $L39)),"")</f>
        <v>109.693</v>
      </c>
      <c r="Z39" s="424">
        <f>IF(AND($L39&lt;&gt;"",Z$3&lt;&gt;""),IF(NOT(ISNUMBER(_xll.ciqfunctions.udf.CIQ(Z$3, "IQ_BOND_PRICE", $L39))),NA(),_xll.ciqfunctions.udf.CIQ(Z$3, "IQ_BOND_PRICE", $L39)),"")</f>
        <v>0</v>
      </c>
      <c r="CZ39" s="426"/>
    </row>
    <row r="40" spans="12:104" x14ac:dyDescent="0.2">
      <c r="L40" s="425">
        <f t="shared" si="0"/>
        <v>44328</v>
      </c>
      <c r="M40" s="424">
        <f>IF(AND($L40&lt;&gt;"",M$3&lt;&gt;""),IF(NOT(ISNUMBER(_xll.ciqfunctions.udf.CIQ(M$3, "IQ_BOND_PRICE", $L40))),NA(),_xll.ciqfunctions.udf.CIQ(M$3, "IQ_BOND_PRICE", $L40)),"")</f>
        <v>101.544</v>
      </c>
      <c r="N40" s="424">
        <f>IF(AND($L40&lt;&gt;"",N$3&lt;&gt;""),IF(NOT(ISNUMBER(_xll.ciqfunctions.udf.CIQ(N$3, "IQ_BOND_PRICE", $L40))),NA(),_xll.ciqfunctions.udf.CIQ(N$3, "IQ_BOND_PRICE", $L40)),"")</f>
        <v>0</v>
      </c>
      <c r="O40" s="424">
        <f>IF(AND($L40&lt;&gt;"",O$3&lt;&gt;""),IF(NOT(ISNUMBER(_xll.ciqfunctions.udf.CIQ(O$3, "IQ_BOND_PRICE", $L40))),NA(),_xll.ciqfunctions.udf.CIQ(O$3, "IQ_BOND_PRICE", $L40)),"")</f>
        <v>103.1891</v>
      </c>
      <c r="P40" s="424">
        <f>IF(AND($L40&lt;&gt;"",P$3&lt;&gt;""),IF(NOT(ISNUMBER(_xll.ciqfunctions.udf.CIQ(P$3, "IQ_BOND_PRICE", $L40))),NA(),_xll.ciqfunctions.udf.CIQ(P$3, "IQ_BOND_PRICE", $L40)),"")</f>
        <v>103.95644</v>
      </c>
      <c r="Q40" s="424">
        <f>IF(AND($L40&lt;&gt;"",Q$3&lt;&gt;""),IF(NOT(ISNUMBER(_xll.ciqfunctions.udf.CIQ(Q$3, "IQ_BOND_PRICE", $L40))),NA(),_xll.ciqfunctions.udf.CIQ(Q$3, "IQ_BOND_PRICE", $L40)),"")</f>
        <v>106.39700000000001</v>
      </c>
      <c r="R40" s="424">
        <f>IF(AND($L40&lt;&gt;"",R$3&lt;&gt;""),IF(NOT(ISNUMBER(_xll.ciqfunctions.udf.CIQ(R$3, "IQ_BOND_PRICE", $L40))),NA(),_xll.ciqfunctions.udf.CIQ(R$3, "IQ_BOND_PRICE", $L40)),"")</f>
        <v>115.15300000000001</v>
      </c>
      <c r="S40" s="424">
        <f>IF(AND($L40&lt;&gt;"",S$3&lt;&gt;""),IF(NOT(ISNUMBER(_xll.ciqfunctions.udf.CIQ(S$3, "IQ_BOND_PRICE", $L40))),NA(),_xll.ciqfunctions.udf.CIQ(S$3, "IQ_BOND_PRICE", $L40)),"")</f>
        <v>107.773</v>
      </c>
      <c r="T40" s="424">
        <f>IF(AND($L40&lt;&gt;"",T$3&lt;&gt;""),IF(NOT(ISNUMBER(_xll.ciqfunctions.udf.CIQ(T$3, "IQ_BOND_PRICE", $L40))),NA(),_xll.ciqfunctions.udf.CIQ(T$3, "IQ_BOND_PRICE", $L40)),"")</f>
        <v>107.279</v>
      </c>
      <c r="U40" s="424">
        <f>IF(AND($L40&lt;&gt;"",U$3&lt;&gt;""),IF(NOT(ISNUMBER(_xll.ciqfunctions.udf.CIQ(U$3, "IQ_BOND_PRICE", $L40))),NA(),_xll.ciqfunctions.udf.CIQ(U$3, "IQ_BOND_PRICE", $L40)),"")</f>
        <v>99.923670000000001</v>
      </c>
      <c r="V40" s="424">
        <f>IF(AND($L40&lt;&gt;"",V$3&lt;&gt;""),IF(NOT(ISNUMBER(_xll.ciqfunctions.udf.CIQ(V$3, "IQ_BOND_PRICE", $L40))),NA(),_xll.ciqfunctions.udf.CIQ(V$3, "IQ_BOND_PRICE", $L40)),"")</f>
        <v>107.104</v>
      </c>
      <c r="W40" s="424">
        <f>IF(AND($L40&lt;&gt;"",W$3&lt;&gt;""),IF(NOT(ISNUMBER(_xll.ciqfunctions.udf.CIQ(W$3, "IQ_BOND_PRICE", $L40))),NA(),_xll.ciqfunctions.udf.CIQ(W$3, "IQ_BOND_PRICE", $L40)),"")</f>
        <v>110.697</v>
      </c>
      <c r="X40" s="424">
        <f>IF(AND($L40&lt;&gt;"",X$3&lt;&gt;""),IF(NOT(ISNUMBER(_xll.ciqfunctions.udf.CIQ(X$3, "IQ_BOND_PRICE", $L40))),NA(),_xll.ciqfunctions.udf.CIQ(X$3, "IQ_BOND_PRICE", $L40)),"")</f>
        <v>112.30200000000001</v>
      </c>
      <c r="Y40" s="424">
        <f>IF(AND($L40&lt;&gt;"",Y$3&lt;&gt;""),IF(NOT(ISNUMBER(_xll.ciqfunctions.udf.CIQ(Y$3, "IQ_BOND_PRICE", $L40))),NA(),_xll.ciqfunctions.udf.CIQ(Y$3, "IQ_BOND_PRICE", $L40)),"")</f>
        <v>109.367</v>
      </c>
      <c r="Z40" s="424">
        <f>IF(AND($L40&lt;&gt;"",Z$3&lt;&gt;""),IF(NOT(ISNUMBER(_xll.ciqfunctions.udf.CIQ(Z$3, "IQ_BOND_PRICE", $L40))),NA(),_xll.ciqfunctions.udf.CIQ(Z$3, "IQ_BOND_PRICE", $L40)),"")</f>
        <v>0</v>
      </c>
      <c r="CZ40" s="426"/>
    </row>
    <row r="41" spans="12:104" x14ac:dyDescent="0.2">
      <c r="L41" s="425">
        <f t="shared" si="0"/>
        <v>44329</v>
      </c>
      <c r="M41" s="424">
        <f>IF(AND($L41&lt;&gt;"",M$3&lt;&gt;""),IF(NOT(ISNUMBER(_xll.ciqfunctions.udf.CIQ(M$3, "IQ_BOND_PRICE", $L41))),NA(),_xll.ciqfunctions.udf.CIQ(M$3, "IQ_BOND_PRICE", $L41)),"")</f>
        <v>101.51300000000001</v>
      </c>
      <c r="N41" s="424">
        <f>IF(AND($L41&lt;&gt;"",N$3&lt;&gt;""),IF(NOT(ISNUMBER(_xll.ciqfunctions.udf.CIQ(N$3, "IQ_BOND_PRICE", $L41))),NA(),_xll.ciqfunctions.udf.CIQ(N$3, "IQ_BOND_PRICE", $L41)),"")</f>
        <v>0</v>
      </c>
      <c r="O41" s="424">
        <f>IF(AND($L41&lt;&gt;"",O$3&lt;&gt;""),IF(NOT(ISNUMBER(_xll.ciqfunctions.udf.CIQ(O$3, "IQ_BOND_PRICE", $L41))),NA(),_xll.ciqfunctions.udf.CIQ(O$3, "IQ_BOND_PRICE", $L41)),"")</f>
        <v>103.15651</v>
      </c>
      <c r="P41" s="424">
        <f>IF(AND($L41&lt;&gt;"",P$3&lt;&gt;""),IF(NOT(ISNUMBER(_xll.ciqfunctions.udf.CIQ(P$3, "IQ_BOND_PRICE", $L41))),NA(),_xll.ciqfunctions.udf.CIQ(P$3, "IQ_BOND_PRICE", $L41)),"")</f>
        <v>103.94553999999999</v>
      </c>
      <c r="Q41" s="424">
        <f>IF(AND($L41&lt;&gt;"",Q$3&lt;&gt;""),IF(NOT(ISNUMBER(_xll.ciqfunctions.udf.CIQ(Q$3, "IQ_BOND_PRICE", $L41))),NA(),_xll.ciqfunctions.udf.CIQ(Q$3, "IQ_BOND_PRICE", $L41)),"")</f>
        <v>106.36199999999999</v>
      </c>
      <c r="R41" s="424">
        <f>IF(AND($L41&lt;&gt;"",R$3&lt;&gt;""),IF(NOT(ISNUMBER(_xll.ciqfunctions.udf.CIQ(R$3, "IQ_BOND_PRICE", $L41))),NA(),_xll.ciqfunctions.udf.CIQ(R$3, "IQ_BOND_PRICE", $L41)),"")</f>
        <v>115.126</v>
      </c>
      <c r="S41" s="424">
        <f>IF(AND($L41&lt;&gt;"",S$3&lt;&gt;""),IF(NOT(ISNUMBER(_xll.ciqfunctions.udf.CIQ(S$3, "IQ_BOND_PRICE", $L41))),NA(),_xll.ciqfunctions.udf.CIQ(S$3, "IQ_BOND_PRICE", $L41)),"")</f>
        <v>107.792</v>
      </c>
      <c r="T41" s="424">
        <f>IF(AND($L41&lt;&gt;"",T$3&lt;&gt;""),IF(NOT(ISNUMBER(_xll.ciqfunctions.udf.CIQ(T$3, "IQ_BOND_PRICE", $L41))),NA(),_xll.ciqfunctions.udf.CIQ(T$3, "IQ_BOND_PRICE", $L41)),"")</f>
        <v>107.349</v>
      </c>
      <c r="U41" s="424">
        <f>IF(AND($L41&lt;&gt;"",U$3&lt;&gt;""),IF(NOT(ISNUMBER(_xll.ciqfunctions.udf.CIQ(U$3, "IQ_BOND_PRICE", $L41))),NA(),_xll.ciqfunctions.udf.CIQ(U$3, "IQ_BOND_PRICE", $L41)),"")</f>
        <v>99.915850000000006</v>
      </c>
      <c r="V41" s="424">
        <f>IF(AND($L41&lt;&gt;"",V$3&lt;&gt;""),IF(NOT(ISNUMBER(_xll.ciqfunctions.udf.CIQ(V$3, "IQ_BOND_PRICE", $L41))),NA(),_xll.ciqfunctions.udf.CIQ(V$3, "IQ_BOND_PRICE", $L41)),"")</f>
        <v>107.14364999999999</v>
      </c>
      <c r="W41" s="424">
        <f>IF(AND($L41&lt;&gt;"",W$3&lt;&gt;""),IF(NOT(ISNUMBER(_xll.ciqfunctions.udf.CIQ(W$3, "IQ_BOND_PRICE", $L41))),NA(),_xll.ciqfunctions.udf.CIQ(W$3, "IQ_BOND_PRICE", $L41)),"")</f>
        <v>110.72499999999999</v>
      </c>
      <c r="X41" s="424">
        <f>IF(AND($L41&lt;&gt;"",X$3&lt;&gt;""),IF(NOT(ISNUMBER(_xll.ciqfunctions.udf.CIQ(X$3, "IQ_BOND_PRICE", $L41))),NA(),_xll.ciqfunctions.udf.CIQ(X$3, "IQ_BOND_PRICE", $L41)),"")</f>
        <v>112.249</v>
      </c>
      <c r="Y41" s="424">
        <f>IF(AND($L41&lt;&gt;"",Y$3&lt;&gt;""),IF(NOT(ISNUMBER(_xll.ciqfunctions.udf.CIQ(Y$3, "IQ_BOND_PRICE", $L41))),NA(),_xll.ciqfunctions.udf.CIQ(Y$3, "IQ_BOND_PRICE", $L41)),"")</f>
        <v>109.491</v>
      </c>
      <c r="Z41" s="424">
        <f>IF(AND($L41&lt;&gt;"",Z$3&lt;&gt;""),IF(NOT(ISNUMBER(_xll.ciqfunctions.udf.CIQ(Z$3, "IQ_BOND_PRICE", $L41))),NA(),_xll.ciqfunctions.udf.CIQ(Z$3, "IQ_BOND_PRICE", $L41)),"")</f>
        <v>0</v>
      </c>
      <c r="CZ41" s="426"/>
    </row>
    <row r="42" spans="12:104" x14ac:dyDescent="0.2">
      <c r="L42" s="425">
        <f t="shared" si="0"/>
        <v>44330</v>
      </c>
      <c r="M42" s="424">
        <f>IF(AND($L42&lt;&gt;"",M$3&lt;&gt;""),IF(NOT(ISNUMBER(_xll.ciqfunctions.udf.CIQ(M$3, "IQ_BOND_PRICE", $L42))),NA(),_xll.ciqfunctions.udf.CIQ(M$3, "IQ_BOND_PRICE", $L42)),"")</f>
        <v>101.514</v>
      </c>
      <c r="N42" s="424">
        <f>IF(AND($L42&lt;&gt;"",N$3&lt;&gt;""),IF(NOT(ISNUMBER(_xll.ciqfunctions.udf.CIQ(N$3, "IQ_BOND_PRICE", $L42))),NA(),_xll.ciqfunctions.udf.CIQ(N$3, "IQ_BOND_PRICE", $L42)),"")</f>
        <v>0</v>
      </c>
      <c r="O42" s="424">
        <f>IF(AND($L42&lt;&gt;"",O$3&lt;&gt;""),IF(NOT(ISNUMBER(_xll.ciqfunctions.udf.CIQ(O$3, "IQ_BOND_PRICE", $L42))),NA(),_xll.ciqfunctions.udf.CIQ(O$3, "IQ_BOND_PRICE", $L42)),"")</f>
        <v>103.16262999999999</v>
      </c>
      <c r="P42" s="424">
        <f>IF(AND($L42&lt;&gt;"",P$3&lt;&gt;""),IF(NOT(ISNUMBER(_xll.ciqfunctions.udf.CIQ(P$3, "IQ_BOND_PRICE", $L42))),NA(),_xll.ciqfunctions.udf.CIQ(P$3, "IQ_BOND_PRICE", $L42)),"")</f>
        <v>103.92131000000001</v>
      </c>
      <c r="Q42" s="424">
        <f>IF(AND($L42&lt;&gt;"",Q$3&lt;&gt;""),IF(NOT(ISNUMBER(_xll.ciqfunctions.udf.CIQ(Q$3, "IQ_BOND_PRICE", $L42))),NA(),_xll.ciqfunctions.udf.CIQ(Q$3, "IQ_BOND_PRICE", $L42)),"")</f>
        <v>106.333</v>
      </c>
      <c r="R42" s="424">
        <f>IF(AND($L42&lt;&gt;"",R$3&lt;&gt;""),IF(NOT(ISNUMBER(_xll.ciqfunctions.udf.CIQ(R$3, "IQ_BOND_PRICE", $L42))),NA(),_xll.ciqfunctions.udf.CIQ(R$3, "IQ_BOND_PRICE", $L42)),"")</f>
        <v>115.11</v>
      </c>
      <c r="S42" s="424">
        <f>IF(AND($L42&lt;&gt;"",S$3&lt;&gt;""),IF(NOT(ISNUMBER(_xll.ciqfunctions.udf.CIQ(S$3, "IQ_BOND_PRICE", $L42))),NA(),_xll.ciqfunctions.udf.CIQ(S$3, "IQ_BOND_PRICE", $L42)),"")</f>
        <v>107.8</v>
      </c>
      <c r="T42" s="424">
        <f>IF(AND($L42&lt;&gt;"",T$3&lt;&gt;""),IF(NOT(ISNUMBER(_xll.ciqfunctions.udf.CIQ(T$3, "IQ_BOND_PRICE", $L42))),NA(),_xll.ciqfunctions.udf.CIQ(T$3, "IQ_BOND_PRICE", $L42)),"")</f>
        <v>107.36</v>
      </c>
      <c r="U42" s="424">
        <f>IF(AND($L42&lt;&gt;"",U$3&lt;&gt;""),IF(NOT(ISNUMBER(_xll.ciqfunctions.udf.CIQ(U$3, "IQ_BOND_PRICE", $L42))),NA(),_xll.ciqfunctions.udf.CIQ(U$3, "IQ_BOND_PRICE", $L42)),"")</f>
        <v>99.914730000000006</v>
      </c>
      <c r="V42" s="424">
        <f>IF(AND($L42&lt;&gt;"",V$3&lt;&gt;""),IF(NOT(ISNUMBER(_xll.ciqfunctions.udf.CIQ(V$3, "IQ_BOND_PRICE", $L42))),NA(),_xll.ciqfunctions.udf.CIQ(V$3, "IQ_BOND_PRICE", $L42)),"")</f>
        <v>107.15737</v>
      </c>
      <c r="W42" s="424">
        <f>IF(AND($L42&lt;&gt;"",W$3&lt;&gt;""),IF(NOT(ISNUMBER(_xll.ciqfunctions.udf.CIQ(W$3, "IQ_BOND_PRICE", $L42))),NA(),_xll.ciqfunctions.udf.CIQ(W$3, "IQ_BOND_PRICE", $L42)),"")</f>
        <v>110.831</v>
      </c>
      <c r="X42" s="424">
        <f>IF(AND($L42&lt;&gt;"",X$3&lt;&gt;""),IF(NOT(ISNUMBER(_xll.ciqfunctions.udf.CIQ(X$3, "IQ_BOND_PRICE", $L42))),NA(),_xll.ciqfunctions.udf.CIQ(X$3, "IQ_BOND_PRICE", $L42)),"")</f>
        <v>112.261</v>
      </c>
      <c r="Y42" s="424">
        <f>IF(AND($L42&lt;&gt;"",Y$3&lt;&gt;""),IF(NOT(ISNUMBER(_xll.ciqfunctions.udf.CIQ(Y$3, "IQ_BOND_PRICE", $L42))),NA(),_xll.ciqfunctions.udf.CIQ(Y$3, "IQ_BOND_PRICE", $L42)),"")</f>
        <v>109.584</v>
      </c>
      <c r="Z42" s="424">
        <f>IF(AND($L42&lt;&gt;"",Z$3&lt;&gt;""),IF(NOT(ISNUMBER(_xll.ciqfunctions.udf.CIQ(Z$3, "IQ_BOND_PRICE", $L42))),NA(),_xll.ciqfunctions.udf.CIQ(Z$3, "IQ_BOND_PRICE", $L42)),"")</f>
        <v>0</v>
      </c>
      <c r="CZ42" s="426"/>
    </row>
    <row r="43" spans="12:104" x14ac:dyDescent="0.2">
      <c r="L43" s="425">
        <f t="shared" si="0"/>
        <v>44333</v>
      </c>
      <c r="M43" s="424">
        <f>IF(AND($L43&lt;&gt;"",M$3&lt;&gt;""),IF(NOT(ISNUMBER(_xll.ciqfunctions.udf.CIQ(M$3, "IQ_BOND_PRICE", $L43))),NA(),_xll.ciqfunctions.udf.CIQ(M$3, "IQ_BOND_PRICE", $L43)),"")</f>
        <v>101.505</v>
      </c>
      <c r="N43" s="424">
        <f>IF(AND($L43&lt;&gt;"",N$3&lt;&gt;""),IF(NOT(ISNUMBER(_xll.ciqfunctions.udf.CIQ(N$3, "IQ_BOND_PRICE", $L43))),NA(),_xll.ciqfunctions.udf.CIQ(N$3, "IQ_BOND_PRICE", $L43)),"")</f>
        <v>0</v>
      </c>
      <c r="O43" s="424">
        <f>IF(AND($L43&lt;&gt;"",O$3&lt;&gt;""),IF(NOT(ISNUMBER(_xll.ciqfunctions.udf.CIQ(O$3, "IQ_BOND_PRICE", $L43))),NA(),_xll.ciqfunctions.udf.CIQ(O$3, "IQ_BOND_PRICE", $L43)),"")</f>
        <v>103.26016</v>
      </c>
      <c r="P43" s="424">
        <f>IF(AND($L43&lt;&gt;"",P$3&lt;&gt;""),IF(NOT(ISNUMBER(_xll.ciqfunctions.udf.CIQ(P$3, "IQ_BOND_PRICE", $L43))),NA(),_xll.ciqfunctions.udf.CIQ(P$3, "IQ_BOND_PRICE", $L43)),"")</f>
        <v>103.90394000000001</v>
      </c>
      <c r="Q43" s="424">
        <f>IF(AND($L43&lt;&gt;"",Q$3&lt;&gt;""),IF(NOT(ISNUMBER(_xll.ciqfunctions.udf.CIQ(Q$3, "IQ_BOND_PRICE", $L43))),NA(),_xll.ciqfunctions.udf.CIQ(Q$3, "IQ_BOND_PRICE", $L43)),"")</f>
        <v>106.37</v>
      </c>
      <c r="R43" s="424">
        <f>IF(AND($L43&lt;&gt;"",R$3&lt;&gt;""),IF(NOT(ISNUMBER(_xll.ciqfunctions.udf.CIQ(R$3, "IQ_BOND_PRICE", $L43))),NA(),_xll.ciqfunctions.udf.CIQ(R$3, "IQ_BOND_PRICE", $L43)),"")</f>
        <v>115.08499999999999</v>
      </c>
      <c r="S43" s="424">
        <f>IF(AND($L43&lt;&gt;"",S$3&lt;&gt;""),IF(NOT(ISNUMBER(_xll.ciqfunctions.udf.CIQ(S$3, "IQ_BOND_PRICE", $L43))),NA(),_xll.ciqfunctions.udf.CIQ(S$3, "IQ_BOND_PRICE", $L43)),"")</f>
        <v>107.8</v>
      </c>
      <c r="T43" s="424">
        <f>IF(AND($L43&lt;&gt;"",T$3&lt;&gt;""),IF(NOT(ISNUMBER(_xll.ciqfunctions.udf.CIQ(T$3, "IQ_BOND_PRICE", $L43))),NA(),_xll.ciqfunctions.udf.CIQ(T$3, "IQ_BOND_PRICE", $L43)),"")</f>
        <v>107.33</v>
      </c>
      <c r="U43" s="424">
        <f>IF(AND($L43&lt;&gt;"",U$3&lt;&gt;""),IF(NOT(ISNUMBER(_xll.ciqfunctions.udf.CIQ(U$3, "IQ_BOND_PRICE", $L43))),NA(),_xll.ciqfunctions.udf.CIQ(U$3, "IQ_BOND_PRICE", $L43)),"")</f>
        <v>99.922960000000003</v>
      </c>
      <c r="V43" s="424">
        <f>IF(AND($L43&lt;&gt;"",V$3&lt;&gt;""),IF(NOT(ISNUMBER(_xll.ciqfunctions.udf.CIQ(V$3, "IQ_BOND_PRICE", $L43))),NA(),_xll.ciqfunctions.udf.CIQ(V$3, "IQ_BOND_PRICE", $L43)),"")</f>
        <v>107.1576</v>
      </c>
      <c r="W43" s="424">
        <f>IF(AND($L43&lt;&gt;"",W$3&lt;&gt;""),IF(NOT(ISNUMBER(_xll.ciqfunctions.udf.CIQ(W$3, "IQ_BOND_PRICE", $L43))),NA(),_xll.ciqfunctions.udf.CIQ(W$3, "IQ_BOND_PRICE", $L43)),"")</f>
        <v>110.777</v>
      </c>
      <c r="X43" s="424">
        <f>IF(AND($L43&lt;&gt;"",X$3&lt;&gt;""),IF(NOT(ISNUMBER(_xll.ciqfunctions.udf.CIQ(X$3, "IQ_BOND_PRICE", $L43))),NA(),_xll.ciqfunctions.udf.CIQ(X$3, "IQ_BOND_PRICE", $L43)),"")</f>
        <v>112.252</v>
      </c>
      <c r="Y43" s="424">
        <f>IF(AND($L43&lt;&gt;"",Y$3&lt;&gt;""),IF(NOT(ISNUMBER(_xll.ciqfunctions.udf.CIQ(Y$3, "IQ_BOND_PRICE", $L43))),NA(),_xll.ciqfunctions.udf.CIQ(Y$3, "IQ_BOND_PRICE", $L43)),"")</f>
        <v>109.521</v>
      </c>
      <c r="Z43" s="424">
        <f>IF(AND($L43&lt;&gt;"",Z$3&lt;&gt;""),IF(NOT(ISNUMBER(_xll.ciqfunctions.udf.CIQ(Z$3, "IQ_BOND_PRICE", $L43))),NA(),_xll.ciqfunctions.udf.CIQ(Z$3, "IQ_BOND_PRICE", $L43)),"")</f>
        <v>0</v>
      </c>
      <c r="CZ43" s="426"/>
    </row>
    <row r="44" spans="12:104" x14ac:dyDescent="0.2">
      <c r="L44" s="425">
        <f t="shared" si="0"/>
        <v>44334</v>
      </c>
      <c r="M44" s="424">
        <f>IF(AND($L44&lt;&gt;"",M$3&lt;&gt;""),IF(NOT(ISNUMBER(_xll.ciqfunctions.udf.CIQ(M$3, "IQ_BOND_PRICE", $L44))),NA(),_xll.ciqfunctions.udf.CIQ(M$3, "IQ_BOND_PRICE", $L44)),"")</f>
        <v>101.501</v>
      </c>
      <c r="N44" s="424">
        <f>IF(AND($L44&lt;&gt;"",N$3&lt;&gt;""),IF(NOT(ISNUMBER(_xll.ciqfunctions.udf.CIQ(N$3, "IQ_BOND_PRICE", $L44))),NA(),_xll.ciqfunctions.udf.CIQ(N$3, "IQ_BOND_PRICE", $L44)),"")</f>
        <v>0</v>
      </c>
      <c r="O44" s="424">
        <f>IF(AND($L44&lt;&gt;"",O$3&lt;&gt;""),IF(NOT(ISNUMBER(_xll.ciqfunctions.udf.CIQ(O$3, "IQ_BOND_PRICE", $L44))),NA(),_xll.ciqfunctions.udf.CIQ(O$3, "IQ_BOND_PRICE", $L44)),"")</f>
        <v>103.25403</v>
      </c>
      <c r="P44" s="424">
        <f>IF(AND($L44&lt;&gt;"",P$3&lt;&gt;""),IF(NOT(ISNUMBER(_xll.ciqfunctions.udf.CIQ(P$3, "IQ_BOND_PRICE", $L44))),NA(),_xll.ciqfunctions.udf.CIQ(P$3, "IQ_BOND_PRICE", $L44)),"")</f>
        <v>103.81971</v>
      </c>
      <c r="Q44" s="424">
        <f>IF(AND($L44&lt;&gt;"",Q$3&lt;&gt;""),IF(NOT(ISNUMBER(_xll.ciqfunctions.udf.CIQ(Q$3, "IQ_BOND_PRICE", $L44))),NA(),_xll.ciqfunctions.udf.CIQ(Q$3, "IQ_BOND_PRICE", $L44)),"")</f>
        <v>106.30500000000001</v>
      </c>
      <c r="R44" s="424">
        <f>IF(AND($L44&lt;&gt;"",R$3&lt;&gt;""),IF(NOT(ISNUMBER(_xll.ciqfunctions.udf.CIQ(R$3, "IQ_BOND_PRICE", $L44))),NA(),_xll.ciqfunctions.udf.CIQ(R$3, "IQ_BOND_PRICE", $L44)),"")</f>
        <v>115.014</v>
      </c>
      <c r="S44" s="424">
        <f>IF(AND($L44&lt;&gt;"",S$3&lt;&gt;""),IF(NOT(ISNUMBER(_xll.ciqfunctions.udf.CIQ(S$3, "IQ_BOND_PRICE", $L44))),NA(),_xll.ciqfunctions.udf.CIQ(S$3, "IQ_BOND_PRICE", $L44)),"")</f>
        <v>107.72</v>
      </c>
      <c r="T44" s="424">
        <f>IF(AND($L44&lt;&gt;"",T$3&lt;&gt;""),IF(NOT(ISNUMBER(_xll.ciqfunctions.udf.CIQ(T$3, "IQ_BOND_PRICE", $L44))),NA(),_xll.ciqfunctions.udf.CIQ(T$3, "IQ_BOND_PRICE", $L44)),"")</f>
        <v>107.401</v>
      </c>
      <c r="U44" s="424">
        <f>IF(AND($L44&lt;&gt;"",U$3&lt;&gt;""),IF(NOT(ISNUMBER(_xll.ciqfunctions.udf.CIQ(U$3, "IQ_BOND_PRICE", $L44))),NA(),_xll.ciqfunctions.udf.CIQ(U$3, "IQ_BOND_PRICE", $L44)),"")</f>
        <v>99.914789999999996</v>
      </c>
      <c r="V44" s="424">
        <f>IF(AND($L44&lt;&gt;"",V$3&lt;&gt;""),IF(NOT(ISNUMBER(_xll.ciqfunctions.udf.CIQ(V$3, "IQ_BOND_PRICE", $L44))),NA(),_xll.ciqfunctions.udf.CIQ(V$3, "IQ_BOND_PRICE", $L44)),"")</f>
        <v>107.03400000000001</v>
      </c>
      <c r="W44" s="424">
        <f>IF(AND($L44&lt;&gt;"",W$3&lt;&gt;""),IF(NOT(ISNUMBER(_xll.ciqfunctions.udf.CIQ(W$3, "IQ_BOND_PRICE", $L44))),NA(),_xll.ciqfunctions.udf.CIQ(W$3, "IQ_BOND_PRICE", $L44)),"")</f>
        <v>110.776</v>
      </c>
      <c r="X44" s="424">
        <f>IF(AND($L44&lt;&gt;"",X$3&lt;&gt;""),IF(NOT(ISNUMBER(_xll.ciqfunctions.udf.CIQ(X$3, "IQ_BOND_PRICE", $L44))),NA(),_xll.ciqfunctions.udf.CIQ(X$3, "IQ_BOND_PRICE", $L44)),"")</f>
        <v>112.235</v>
      </c>
      <c r="Y44" s="424">
        <f>IF(AND($L44&lt;&gt;"",Y$3&lt;&gt;""),IF(NOT(ISNUMBER(_xll.ciqfunctions.udf.CIQ(Y$3, "IQ_BOND_PRICE", $L44))),NA(),_xll.ciqfunctions.udf.CIQ(Y$3, "IQ_BOND_PRICE", $L44)),"")</f>
        <v>109.608</v>
      </c>
      <c r="Z44" s="424">
        <f>IF(AND($L44&lt;&gt;"",Z$3&lt;&gt;""),IF(NOT(ISNUMBER(_xll.ciqfunctions.udf.CIQ(Z$3, "IQ_BOND_PRICE", $L44))),NA(),_xll.ciqfunctions.udf.CIQ(Z$3, "IQ_BOND_PRICE", $L44)),"")</f>
        <v>0</v>
      </c>
      <c r="CZ44" s="426"/>
    </row>
    <row r="45" spans="12:104" x14ac:dyDescent="0.2">
      <c r="L45" s="425">
        <f t="shared" si="0"/>
        <v>44335</v>
      </c>
      <c r="M45" s="424">
        <f>IF(AND($L45&lt;&gt;"",M$3&lt;&gt;""),IF(NOT(ISNUMBER(_xll.ciqfunctions.udf.CIQ(M$3, "IQ_BOND_PRICE", $L45))),NA(),_xll.ciqfunctions.udf.CIQ(M$3, "IQ_BOND_PRICE", $L45)),"")</f>
        <v>101.48399999999999</v>
      </c>
      <c r="N45" s="424">
        <f>IF(AND($L45&lt;&gt;"",N$3&lt;&gt;""),IF(NOT(ISNUMBER(_xll.ciqfunctions.udf.CIQ(N$3, "IQ_BOND_PRICE", $L45))),NA(),_xll.ciqfunctions.udf.CIQ(N$3, "IQ_BOND_PRICE", $L45)),"")</f>
        <v>0</v>
      </c>
      <c r="O45" s="424">
        <f>IF(AND($L45&lt;&gt;"",O$3&lt;&gt;""),IF(NOT(ISNUMBER(_xll.ciqfunctions.udf.CIQ(O$3, "IQ_BOND_PRICE", $L45))),NA(),_xll.ciqfunctions.udf.CIQ(O$3, "IQ_BOND_PRICE", $L45)),"")</f>
        <v>103.23876</v>
      </c>
      <c r="P45" s="424">
        <f>IF(AND($L45&lt;&gt;"",P$3&lt;&gt;""),IF(NOT(ISNUMBER(_xll.ciqfunctions.udf.CIQ(P$3, "IQ_BOND_PRICE", $L45))),NA(),_xll.ciqfunctions.udf.CIQ(P$3, "IQ_BOND_PRICE", $L45)),"")</f>
        <v>103.9097</v>
      </c>
      <c r="Q45" s="424">
        <f>IF(AND($L45&lt;&gt;"",Q$3&lt;&gt;""),IF(NOT(ISNUMBER(_xll.ciqfunctions.udf.CIQ(Q$3, "IQ_BOND_PRICE", $L45))),NA(),_xll.ciqfunctions.udf.CIQ(Q$3, "IQ_BOND_PRICE", $L45)),"")</f>
        <v>106.376</v>
      </c>
      <c r="R45" s="424">
        <f>IF(AND($L45&lt;&gt;"",R$3&lt;&gt;""),IF(NOT(ISNUMBER(_xll.ciqfunctions.udf.CIQ(R$3, "IQ_BOND_PRICE", $L45))),NA(),_xll.ciqfunctions.udf.CIQ(R$3, "IQ_BOND_PRICE", $L45)),"")</f>
        <v>114.983</v>
      </c>
      <c r="S45" s="424">
        <f>IF(AND($L45&lt;&gt;"",S$3&lt;&gt;""),IF(NOT(ISNUMBER(_xll.ciqfunctions.udf.CIQ(S$3, "IQ_BOND_PRICE", $L45))),NA(),_xll.ciqfunctions.udf.CIQ(S$3, "IQ_BOND_PRICE", $L45)),"")</f>
        <v>107.64700000000001</v>
      </c>
      <c r="T45" s="424">
        <f>IF(AND($L45&lt;&gt;"",T$3&lt;&gt;""),IF(NOT(ISNUMBER(_xll.ciqfunctions.udf.CIQ(T$3, "IQ_BOND_PRICE", $L45))),NA(),_xll.ciqfunctions.udf.CIQ(T$3, "IQ_BOND_PRICE", $L45)),"")</f>
        <v>107.223</v>
      </c>
      <c r="U45" s="424">
        <f>IF(AND($L45&lt;&gt;"",U$3&lt;&gt;""),IF(NOT(ISNUMBER(_xll.ciqfunctions.udf.CIQ(U$3, "IQ_BOND_PRICE", $L45))),NA(),_xll.ciqfunctions.udf.CIQ(U$3, "IQ_BOND_PRICE", $L45)),"")</f>
        <v>99.928470000000004</v>
      </c>
      <c r="V45" s="424">
        <f>IF(AND($L45&lt;&gt;"",V$3&lt;&gt;""),IF(NOT(ISNUMBER(_xll.ciqfunctions.udf.CIQ(V$3, "IQ_BOND_PRICE", $L45))),NA(),_xll.ciqfunctions.udf.CIQ(V$3, "IQ_BOND_PRICE", $L45)),"")</f>
        <v>106.98596999999999</v>
      </c>
      <c r="W45" s="424">
        <f>IF(AND($L45&lt;&gt;"",W$3&lt;&gt;""),IF(NOT(ISNUMBER(_xll.ciqfunctions.udf.CIQ(W$3, "IQ_BOND_PRICE", $L45))),NA(),_xll.ciqfunctions.udf.CIQ(W$3, "IQ_BOND_PRICE", $L45)),"")</f>
        <v>110.596</v>
      </c>
      <c r="X45" s="424">
        <f>IF(AND($L45&lt;&gt;"",X$3&lt;&gt;""),IF(NOT(ISNUMBER(_xll.ciqfunctions.udf.CIQ(X$3, "IQ_BOND_PRICE", $L45))),NA(),_xll.ciqfunctions.udf.CIQ(X$3, "IQ_BOND_PRICE", $L45)),"")</f>
        <v>112.194</v>
      </c>
      <c r="Y45" s="424">
        <f>IF(AND($L45&lt;&gt;"",Y$3&lt;&gt;""),IF(NOT(ISNUMBER(_xll.ciqfunctions.udf.CIQ(Y$3, "IQ_BOND_PRICE", $L45))),NA(),_xll.ciqfunctions.udf.CIQ(Y$3, "IQ_BOND_PRICE", $L45)),"")</f>
        <v>109.39700000000001</v>
      </c>
      <c r="Z45" s="424">
        <f>IF(AND($L45&lt;&gt;"",Z$3&lt;&gt;""),IF(NOT(ISNUMBER(_xll.ciqfunctions.udf.CIQ(Z$3, "IQ_BOND_PRICE", $L45))),NA(),_xll.ciqfunctions.udf.CIQ(Z$3, "IQ_BOND_PRICE", $L45)),"")</f>
        <v>0</v>
      </c>
      <c r="CZ45" s="426"/>
    </row>
    <row r="46" spans="12:104" x14ac:dyDescent="0.2">
      <c r="L46" s="425">
        <f t="shared" si="0"/>
        <v>44336</v>
      </c>
      <c r="M46" s="424">
        <f>IF(AND($L46&lt;&gt;"",M$3&lt;&gt;""),IF(NOT(ISNUMBER(_xll.ciqfunctions.udf.CIQ(M$3, "IQ_BOND_PRICE", $L46))),NA(),_xll.ciqfunctions.udf.CIQ(M$3, "IQ_BOND_PRICE", $L46)),"")</f>
        <v>101.46599999999999</v>
      </c>
      <c r="N46" s="424">
        <f>IF(AND($L46&lt;&gt;"",N$3&lt;&gt;""),IF(NOT(ISNUMBER(_xll.ciqfunctions.udf.CIQ(N$3, "IQ_BOND_PRICE", $L46))),NA(),_xll.ciqfunctions.udf.CIQ(N$3, "IQ_BOND_PRICE", $L46)),"")</f>
        <v>0</v>
      </c>
      <c r="O46" s="424">
        <f>IF(AND($L46&lt;&gt;"",O$3&lt;&gt;""),IF(NOT(ISNUMBER(_xll.ciqfunctions.udf.CIQ(O$3, "IQ_BOND_PRICE", $L46))),NA(),_xll.ciqfunctions.udf.CIQ(O$3, "IQ_BOND_PRICE", $L46)),"")</f>
        <v>103.23502999999999</v>
      </c>
      <c r="P46" s="424">
        <f>IF(AND($L46&lt;&gt;"",P$3&lt;&gt;""),IF(NOT(ISNUMBER(_xll.ciqfunctions.udf.CIQ(P$3, "IQ_BOND_PRICE", $L46))),NA(),_xll.ciqfunctions.udf.CIQ(P$3, "IQ_BOND_PRICE", $L46)),"")</f>
        <v>103.76102</v>
      </c>
      <c r="Q46" s="424">
        <f>IF(AND($L46&lt;&gt;"",Q$3&lt;&gt;""),IF(NOT(ISNUMBER(_xll.ciqfunctions.udf.CIQ(Q$3, "IQ_BOND_PRICE", $L46))),NA(),_xll.ciqfunctions.udf.CIQ(Q$3, "IQ_BOND_PRICE", $L46)),"")</f>
        <v>106.09399999999999</v>
      </c>
      <c r="R46" s="424">
        <f>IF(AND($L46&lt;&gt;"",R$3&lt;&gt;""),IF(NOT(ISNUMBER(_xll.ciqfunctions.udf.CIQ(R$3, "IQ_BOND_PRICE", $L46))),NA(),_xll.ciqfunctions.udf.CIQ(R$3, "IQ_BOND_PRICE", $L46)),"")</f>
        <v>114.86499999999999</v>
      </c>
      <c r="S46" s="424">
        <f>IF(AND($L46&lt;&gt;"",S$3&lt;&gt;""),IF(NOT(ISNUMBER(_xll.ciqfunctions.udf.CIQ(S$3, "IQ_BOND_PRICE", $L46))),NA(),_xll.ciqfunctions.udf.CIQ(S$3, "IQ_BOND_PRICE", $L46)),"")</f>
        <v>107.84399999999999</v>
      </c>
      <c r="T46" s="424">
        <f>IF(AND($L46&lt;&gt;"",T$3&lt;&gt;""),IF(NOT(ISNUMBER(_xll.ciqfunctions.udf.CIQ(T$3, "IQ_BOND_PRICE", $L46))),NA(),_xll.ciqfunctions.udf.CIQ(T$3, "IQ_BOND_PRICE", $L46)),"")</f>
        <v>107.30800000000001</v>
      </c>
      <c r="U46" s="424">
        <f>IF(AND($L46&lt;&gt;"",U$3&lt;&gt;""),IF(NOT(ISNUMBER(_xll.ciqfunctions.udf.CIQ(U$3, "IQ_BOND_PRICE", $L46))),NA(),_xll.ciqfunctions.udf.CIQ(U$3, "IQ_BOND_PRICE", $L46)),"")</f>
        <v>99.896479999999997</v>
      </c>
      <c r="V46" s="424">
        <f>IF(AND($L46&lt;&gt;"",V$3&lt;&gt;""),IF(NOT(ISNUMBER(_xll.ciqfunctions.udf.CIQ(V$3, "IQ_BOND_PRICE", $L46))),NA(),_xll.ciqfunctions.udf.CIQ(V$3, "IQ_BOND_PRICE", $L46)),"")</f>
        <v>107.09417999999999</v>
      </c>
      <c r="W46" s="424">
        <f>IF(AND($L46&lt;&gt;"",W$3&lt;&gt;""),IF(NOT(ISNUMBER(_xll.ciqfunctions.udf.CIQ(W$3, "IQ_BOND_PRICE", $L46))),NA(),_xll.ciqfunctions.udf.CIQ(W$3, "IQ_BOND_PRICE", $L46)),"")</f>
        <v>110.76600000000001</v>
      </c>
      <c r="X46" s="424">
        <f>IF(AND($L46&lt;&gt;"",X$3&lt;&gt;""),IF(NOT(ISNUMBER(_xll.ciqfunctions.udf.CIQ(X$3, "IQ_BOND_PRICE", $L46))),NA(),_xll.ciqfunctions.udf.CIQ(X$3, "IQ_BOND_PRICE", $L46)),"")</f>
        <v>112.11499999999999</v>
      </c>
      <c r="Y46" s="424">
        <f>IF(AND($L46&lt;&gt;"",Y$3&lt;&gt;""),IF(NOT(ISNUMBER(_xll.ciqfunctions.udf.CIQ(Y$3, "IQ_BOND_PRICE", $L46))),NA(),_xll.ciqfunctions.udf.CIQ(Y$3, "IQ_BOND_PRICE", $L46)),"")</f>
        <v>109.675</v>
      </c>
      <c r="Z46" s="424">
        <f>IF(AND($L46&lt;&gt;"",Z$3&lt;&gt;""),IF(NOT(ISNUMBER(_xll.ciqfunctions.udf.CIQ(Z$3, "IQ_BOND_PRICE", $L46))),NA(),_xll.ciqfunctions.udf.CIQ(Z$3, "IQ_BOND_PRICE", $L46)),"")</f>
        <v>0</v>
      </c>
      <c r="CZ46" s="426"/>
    </row>
    <row r="47" spans="12:104" x14ac:dyDescent="0.2">
      <c r="L47" s="425">
        <f t="shared" si="0"/>
        <v>44337</v>
      </c>
      <c r="M47" s="424">
        <f>IF(AND($L47&lt;&gt;"",M$3&lt;&gt;""),IF(NOT(ISNUMBER(_xll.ciqfunctions.udf.CIQ(M$3, "IQ_BOND_PRICE", $L47))),NA(),_xll.ciqfunctions.udf.CIQ(M$3, "IQ_BOND_PRICE", $L47)),"")</f>
        <v>101.46</v>
      </c>
      <c r="N47" s="424">
        <f>IF(AND($L47&lt;&gt;"",N$3&lt;&gt;""),IF(NOT(ISNUMBER(_xll.ciqfunctions.udf.CIQ(N$3, "IQ_BOND_PRICE", $L47))),NA(),_xll.ciqfunctions.udf.CIQ(N$3, "IQ_BOND_PRICE", $L47)),"")</f>
        <v>0</v>
      </c>
      <c r="O47" s="424">
        <f>IF(AND($L47&lt;&gt;"",O$3&lt;&gt;""),IF(NOT(ISNUMBER(_xll.ciqfunctions.udf.CIQ(O$3, "IQ_BOND_PRICE", $L47))),NA(),_xll.ciqfunctions.udf.CIQ(O$3, "IQ_BOND_PRICE", $L47)),"")</f>
        <v>103.07550999999999</v>
      </c>
      <c r="P47" s="424">
        <f>IF(AND($L47&lt;&gt;"",P$3&lt;&gt;""),IF(NOT(ISNUMBER(_xll.ciqfunctions.udf.CIQ(P$3, "IQ_BOND_PRICE", $L47))),NA(),_xll.ciqfunctions.udf.CIQ(P$3, "IQ_BOND_PRICE", $L47)),"")</f>
        <v>103.69862000000001</v>
      </c>
      <c r="Q47" s="424">
        <f>IF(AND($L47&lt;&gt;"",Q$3&lt;&gt;""),IF(NOT(ISNUMBER(_xll.ciqfunctions.udf.CIQ(Q$3, "IQ_BOND_PRICE", $L47))),NA(),_xll.ciqfunctions.udf.CIQ(Q$3, "IQ_BOND_PRICE", $L47)),"")</f>
        <v>106.249</v>
      </c>
      <c r="R47" s="424">
        <f>IF(AND($L47&lt;&gt;"",R$3&lt;&gt;""),IF(NOT(ISNUMBER(_xll.ciqfunctions.udf.CIQ(R$3, "IQ_BOND_PRICE", $L47))),NA(),_xll.ciqfunctions.udf.CIQ(R$3, "IQ_BOND_PRICE", $L47)),"")</f>
        <v>114.792</v>
      </c>
      <c r="S47" s="424">
        <f>IF(AND($L47&lt;&gt;"",S$3&lt;&gt;""),IF(NOT(ISNUMBER(_xll.ciqfunctions.udf.CIQ(S$3, "IQ_BOND_PRICE", $L47))),NA(),_xll.ciqfunctions.udf.CIQ(S$3, "IQ_BOND_PRICE", $L47)),"")</f>
        <v>107.788</v>
      </c>
      <c r="T47" s="424">
        <f>IF(AND($L47&lt;&gt;"",T$3&lt;&gt;""),IF(NOT(ISNUMBER(_xll.ciqfunctions.udf.CIQ(T$3, "IQ_BOND_PRICE", $L47))),NA(),_xll.ciqfunctions.udf.CIQ(T$3, "IQ_BOND_PRICE", $L47)),"")</f>
        <v>107.276</v>
      </c>
      <c r="U47" s="424">
        <f>IF(AND($L47&lt;&gt;"",U$3&lt;&gt;""),IF(NOT(ISNUMBER(_xll.ciqfunctions.udf.CIQ(U$3, "IQ_BOND_PRICE", $L47))),NA(),_xll.ciqfunctions.udf.CIQ(U$3, "IQ_BOND_PRICE", $L47)),"")</f>
        <v>99.893770000000004</v>
      </c>
      <c r="V47" s="424">
        <f>IF(AND($L47&lt;&gt;"",V$3&lt;&gt;""),IF(NOT(ISNUMBER(_xll.ciqfunctions.udf.CIQ(V$3, "IQ_BOND_PRICE", $L47))),NA(),_xll.ciqfunctions.udf.CIQ(V$3, "IQ_BOND_PRICE", $L47)),"")</f>
        <v>107.05825</v>
      </c>
      <c r="W47" s="424">
        <f>IF(AND($L47&lt;&gt;"",W$3&lt;&gt;""),IF(NOT(ISNUMBER(_xll.ciqfunctions.udf.CIQ(W$3, "IQ_BOND_PRICE", $L47))),NA(),_xll.ciqfunctions.udf.CIQ(W$3, "IQ_BOND_PRICE", $L47)),"")</f>
        <v>110.788</v>
      </c>
      <c r="X47" s="424">
        <f>IF(AND($L47&lt;&gt;"",X$3&lt;&gt;""),IF(NOT(ISNUMBER(_xll.ciqfunctions.udf.CIQ(X$3, "IQ_BOND_PRICE", $L47))),NA(),_xll.ciqfunctions.udf.CIQ(X$3, "IQ_BOND_PRICE", $L47)),"")</f>
        <v>112.16</v>
      </c>
      <c r="Y47" s="424">
        <f>IF(AND($L47&lt;&gt;"",Y$3&lt;&gt;""),IF(NOT(ISNUMBER(_xll.ciqfunctions.udf.CIQ(Y$3, "IQ_BOND_PRICE", $L47))),NA(),_xll.ciqfunctions.udf.CIQ(Y$3, "IQ_BOND_PRICE", $L47)),"")</f>
        <v>109.56699999999999</v>
      </c>
      <c r="Z47" s="424">
        <f>IF(AND($L47&lt;&gt;"",Z$3&lt;&gt;""),IF(NOT(ISNUMBER(_xll.ciqfunctions.udf.CIQ(Z$3, "IQ_BOND_PRICE", $L47))),NA(),_xll.ciqfunctions.udf.CIQ(Z$3, "IQ_BOND_PRICE", $L47)),"")</f>
        <v>0</v>
      </c>
      <c r="CZ47" s="426"/>
    </row>
    <row r="48" spans="12:104" x14ac:dyDescent="0.2">
      <c r="L48" s="425">
        <f t="shared" si="0"/>
        <v>44340</v>
      </c>
      <c r="M48" s="424">
        <f>IF(AND($L48&lt;&gt;"",M$3&lt;&gt;""),IF(NOT(ISNUMBER(_xll.ciqfunctions.udf.CIQ(M$3, "IQ_BOND_PRICE", $L48))),NA(),_xll.ciqfunctions.udf.CIQ(M$3, "IQ_BOND_PRICE", $L48)),"")</f>
        <v>101.452</v>
      </c>
      <c r="N48" s="424">
        <f>IF(AND($L48&lt;&gt;"",N$3&lt;&gt;""),IF(NOT(ISNUMBER(_xll.ciqfunctions.udf.CIQ(N$3, "IQ_BOND_PRICE", $L48))),NA(),_xll.ciqfunctions.udf.CIQ(N$3, "IQ_BOND_PRICE", $L48)),"")</f>
        <v>0</v>
      </c>
      <c r="O48" s="424">
        <f>IF(AND($L48&lt;&gt;"",O$3&lt;&gt;""),IF(NOT(ISNUMBER(_xll.ciqfunctions.udf.CIQ(O$3, "IQ_BOND_PRICE", $L48))),NA(),_xll.ciqfunctions.udf.CIQ(O$3, "IQ_BOND_PRICE", $L48)),"")</f>
        <v>103.15813</v>
      </c>
      <c r="P48" s="424">
        <f>IF(AND($L48&lt;&gt;"",P$3&lt;&gt;""),IF(NOT(ISNUMBER(_xll.ciqfunctions.udf.CIQ(P$3, "IQ_BOND_PRICE", $L48))),NA(),_xll.ciqfunctions.udf.CIQ(P$3, "IQ_BOND_PRICE", $L48)),"")</f>
        <v>103.95166</v>
      </c>
      <c r="Q48" s="424">
        <f>IF(AND($L48&lt;&gt;"",Q$3&lt;&gt;""),IF(NOT(ISNUMBER(_xll.ciqfunctions.udf.CIQ(Q$3, "IQ_BOND_PRICE", $L48))),NA(),_xll.ciqfunctions.udf.CIQ(Q$3, "IQ_BOND_PRICE", $L48)),"")</f>
        <v>106.279</v>
      </c>
      <c r="R48" s="424">
        <f>IF(AND($L48&lt;&gt;"",R$3&lt;&gt;""),IF(NOT(ISNUMBER(_xll.ciqfunctions.udf.CIQ(R$3, "IQ_BOND_PRICE", $L48))),NA(),_xll.ciqfunctions.udf.CIQ(R$3, "IQ_BOND_PRICE", $L48)),"")</f>
        <v>114.89</v>
      </c>
      <c r="S48" s="424">
        <f>IF(AND($L48&lt;&gt;"",S$3&lt;&gt;""),IF(NOT(ISNUMBER(_xll.ciqfunctions.udf.CIQ(S$3, "IQ_BOND_PRICE", $L48))),NA(),_xll.ciqfunctions.udf.CIQ(S$3, "IQ_BOND_PRICE", $L48)),"")</f>
        <v>107.809</v>
      </c>
      <c r="T48" s="424">
        <f>IF(AND($L48&lt;&gt;"",T$3&lt;&gt;""),IF(NOT(ISNUMBER(_xll.ciqfunctions.udf.CIQ(T$3, "IQ_BOND_PRICE", $L48))),NA(),_xll.ciqfunctions.udf.CIQ(T$3, "IQ_BOND_PRICE", $L48)),"")</f>
        <v>107.259</v>
      </c>
      <c r="U48" s="424">
        <f>IF(AND($L48&lt;&gt;"",U$3&lt;&gt;""),IF(NOT(ISNUMBER(_xll.ciqfunctions.udf.CIQ(U$3, "IQ_BOND_PRICE", $L48))),NA(),_xll.ciqfunctions.udf.CIQ(U$3, "IQ_BOND_PRICE", $L48)),"")</f>
        <v>99.893789999999996</v>
      </c>
      <c r="V48" s="424">
        <f>IF(AND($L48&lt;&gt;"",V$3&lt;&gt;""),IF(NOT(ISNUMBER(_xll.ciqfunctions.udf.CIQ(V$3, "IQ_BOND_PRICE", $L48))),NA(),_xll.ciqfunctions.udf.CIQ(V$3, "IQ_BOND_PRICE", $L48)),"")</f>
        <v>107.02215</v>
      </c>
      <c r="W48" s="424">
        <f>IF(AND($L48&lt;&gt;"",W$3&lt;&gt;""),IF(NOT(ISNUMBER(_xll.ciqfunctions.udf.CIQ(W$3, "IQ_BOND_PRICE", $L48))),NA(),_xll.ciqfunctions.udf.CIQ(W$3, "IQ_BOND_PRICE", $L48)),"")</f>
        <v>110.879</v>
      </c>
      <c r="X48" s="424">
        <f>IF(AND($L48&lt;&gt;"",X$3&lt;&gt;""),IF(NOT(ISNUMBER(_xll.ciqfunctions.udf.CIQ(X$3, "IQ_BOND_PRICE", $L48))),NA(),_xll.ciqfunctions.udf.CIQ(X$3, "IQ_BOND_PRICE", $L48)),"")</f>
        <v>112.17700000000001</v>
      </c>
      <c r="Y48" s="424">
        <f>IF(AND($L48&lt;&gt;"",Y$3&lt;&gt;""),IF(NOT(ISNUMBER(_xll.ciqfunctions.udf.CIQ(Y$3, "IQ_BOND_PRICE", $L48))),NA(),_xll.ciqfunctions.udf.CIQ(Y$3, "IQ_BOND_PRICE", $L48)),"")</f>
        <v>109.741</v>
      </c>
      <c r="Z48" s="424">
        <f>IF(AND($L48&lt;&gt;"",Z$3&lt;&gt;""),IF(NOT(ISNUMBER(_xll.ciqfunctions.udf.CIQ(Z$3, "IQ_BOND_PRICE", $L48))),NA(),_xll.ciqfunctions.udf.CIQ(Z$3, "IQ_BOND_PRICE", $L48)),"")</f>
        <v>0</v>
      </c>
      <c r="CZ48" s="426"/>
    </row>
    <row r="49" spans="12:104" x14ac:dyDescent="0.2">
      <c r="L49" s="425">
        <f t="shared" si="0"/>
        <v>44341</v>
      </c>
      <c r="M49" s="424">
        <f>IF(AND($L49&lt;&gt;"",M$3&lt;&gt;""),IF(NOT(ISNUMBER(_xll.ciqfunctions.udf.CIQ(M$3, "IQ_BOND_PRICE", $L49))),NA(),_xll.ciqfunctions.udf.CIQ(M$3, "IQ_BOND_PRICE", $L49)),"")</f>
        <v>101.455</v>
      </c>
      <c r="N49" s="424">
        <f>IF(AND($L49&lt;&gt;"",N$3&lt;&gt;""),IF(NOT(ISNUMBER(_xll.ciqfunctions.udf.CIQ(N$3, "IQ_BOND_PRICE", $L49))),NA(),_xll.ciqfunctions.udf.CIQ(N$3, "IQ_BOND_PRICE", $L49)),"")</f>
        <v>0</v>
      </c>
      <c r="O49" s="424">
        <f>IF(AND($L49&lt;&gt;"",O$3&lt;&gt;""),IF(NOT(ISNUMBER(_xll.ciqfunctions.udf.CIQ(O$3, "IQ_BOND_PRICE", $L49))),NA(),_xll.ciqfunctions.udf.CIQ(O$3, "IQ_BOND_PRICE", $L49)),"")</f>
        <v>103.15818</v>
      </c>
      <c r="P49" s="424">
        <f>IF(AND($L49&lt;&gt;"",P$3&lt;&gt;""),IF(NOT(ISNUMBER(_xll.ciqfunctions.udf.CIQ(P$3, "IQ_BOND_PRICE", $L49))),NA(),_xll.ciqfunctions.udf.CIQ(P$3, "IQ_BOND_PRICE", $L49)),"")</f>
        <v>103.94753</v>
      </c>
      <c r="Q49" s="424">
        <f>IF(AND($L49&lt;&gt;"",Q$3&lt;&gt;""),IF(NOT(ISNUMBER(_xll.ciqfunctions.udf.CIQ(Q$3, "IQ_BOND_PRICE", $L49))),NA(),_xll.ciqfunctions.udf.CIQ(Q$3, "IQ_BOND_PRICE", $L49)),"")</f>
        <v>106.212</v>
      </c>
      <c r="R49" s="424">
        <f>IF(AND($L49&lt;&gt;"",R$3&lt;&gt;""),IF(NOT(ISNUMBER(_xll.ciqfunctions.udf.CIQ(R$3, "IQ_BOND_PRICE", $L49))),NA(),_xll.ciqfunctions.udf.CIQ(R$3, "IQ_BOND_PRICE", $L49)),"")</f>
        <v>114.902</v>
      </c>
      <c r="S49" s="424">
        <f>IF(AND($L49&lt;&gt;"",S$3&lt;&gt;""),IF(NOT(ISNUMBER(_xll.ciqfunctions.udf.CIQ(S$3, "IQ_BOND_PRICE", $L49))),NA(),_xll.ciqfunctions.udf.CIQ(S$3, "IQ_BOND_PRICE", $L49)),"")</f>
        <v>107.845</v>
      </c>
      <c r="T49" s="424">
        <f>IF(AND($L49&lt;&gt;"",T$3&lt;&gt;""),IF(NOT(ISNUMBER(_xll.ciqfunctions.udf.CIQ(T$3, "IQ_BOND_PRICE", $L49))),NA(),_xll.ciqfunctions.udf.CIQ(T$3, "IQ_BOND_PRICE", $L49)),"")</f>
        <v>107.30200000000001</v>
      </c>
      <c r="U49" s="424">
        <f>IF(AND($L49&lt;&gt;"",U$3&lt;&gt;""),IF(NOT(ISNUMBER(_xll.ciqfunctions.udf.CIQ(U$3, "IQ_BOND_PRICE", $L49))),NA(),_xll.ciqfunctions.udf.CIQ(U$3, "IQ_BOND_PRICE", $L49)),"")</f>
        <v>99.885930000000002</v>
      </c>
      <c r="V49" s="424">
        <f>IF(AND($L49&lt;&gt;"",V$3&lt;&gt;""),IF(NOT(ISNUMBER(_xll.ciqfunctions.udf.CIQ(V$3, "IQ_BOND_PRICE", $L49))),NA(),_xll.ciqfunctions.udf.CIQ(V$3, "IQ_BOND_PRICE", $L49)),"")</f>
        <v>107.0791</v>
      </c>
      <c r="W49" s="424">
        <f>IF(AND($L49&lt;&gt;"",W$3&lt;&gt;""),IF(NOT(ISNUMBER(_xll.ciqfunctions.udf.CIQ(W$3, "IQ_BOND_PRICE", $L49))),NA(),_xll.ciqfunctions.udf.CIQ(W$3, "IQ_BOND_PRICE", $L49)),"")</f>
        <v>111.004</v>
      </c>
      <c r="X49" s="424">
        <f>IF(AND($L49&lt;&gt;"",X$3&lt;&gt;""),IF(NOT(ISNUMBER(_xll.ciqfunctions.udf.CIQ(X$3, "IQ_BOND_PRICE", $L49))),NA(),_xll.ciqfunctions.udf.CIQ(X$3, "IQ_BOND_PRICE", $L49)),"")</f>
        <v>112.205</v>
      </c>
      <c r="Y49" s="424">
        <f>IF(AND($L49&lt;&gt;"",Y$3&lt;&gt;""),IF(NOT(ISNUMBER(_xll.ciqfunctions.udf.CIQ(Y$3, "IQ_BOND_PRICE", $L49))),NA(),_xll.ciqfunctions.udf.CIQ(Y$3, "IQ_BOND_PRICE", $L49)),"")</f>
        <v>109.9</v>
      </c>
      <c r="Z49" s="424">
        <f>IF(AND($L49&lt;&gt;"",Z$3&lt;&gt;""),IF(NOT(ISNUMBER(_xll.ciqfunctions.udf.CIQ(Z$3, "IQ_BOND_PRICE", $L49))),NA(),_xll.ciqfunctions.udf.CIQ(Z$3, "IQ_BOND_PRICE", $L49)),"")</f>
        <v>0</v>
      </c>
      <c r="CZ49" s="426"/>
    </row>
    <row r="50" spans="12:104" x14ac:dyDescent="0.2">
      <c r="L50" s="425">
        <f t="shared" si="0"/>
        <v>44342</v>
      </c>
      <c r="M50" s="424">
        <f>IF(AND($L50&lt;&gt;"",M$3&lt;&gt;""),IF(NOT(ISNUMBER(_xll.ciqfunctions.udf.CIQ(M$3, "IQ_BOND_PRICE", $L50))),NA(),_xll.ciqfunctions.udf.CIQ(M$3, "IQ_BOND_PRICE", $L50)),"")</f>
        <v>101.43899999999999</v>
      </c>
      <c r="N50" s="424">
        <f>IF(AND($L50&lt;&gt;"",N$3&lt;&gt;""),IF(NOT(ISNUMBER(_xll.ciqfunctions.udf.CIQ(N$3, "IQ_BOND_PRICE", $L50))),NA(),_xll.ciqfunctions.udf.CIQ(N$3, "IQ_BOND_PRICE", $L50)),"")</f>
        <v>0</v>
      </c>
      <c r="O50" s="424">
        <f>IF(AND($L50&lt;&gt;"",O$3&lt;&gt;""),IF(NOT(ISNUMBER(_xll.ciqfunctions.udf.CIQ(O$3, "IQ_BOND_PRICE", $L50))),NA(),_xll.ciqfunctions.udf.CIQ(O$3, "IQ_BOND_PRICE", $L50)),"")</f>
        <v>103.16428999999999</v>
      </c>
      <c r="P50" s="424">
        <f>IF(AND($L50&lt;&gt;"",P$3&lt;&gt;""),IF(NOT(ISNUMBER(_xll.ciqfunctions.udf.CIQ(P$3, "IQ_BOND_PRICE", $L50))),NA(),_xll.ciqfunctions.udf.CIQ(P$3, "IQ_BOND_PRICE", $L50)),"")</f>
        <v>104.00148</v>
      </c>
      <c r="Q50" s="424">
        <f>IF(AND($L50&lt;&gt;"",Q$3&lt;&gt;""),IF(NOT(ISNUMBER(_xll.ciqfunctions.udf.CIQ(Q$3, "IQ_BOND_PRICE", $L50))),NA(),_xll.ciqfunctions.udf.CIQ(Q$3, "IQ_BOND_PRICE", $L50)),"")</f>
        <v>106.29600000000001</v>
      </c>
      <c r="R50" s="424">
        <f>IF(AND($L50&lt;&gt;"",R$3&lt;&gt;""),IF(NOT(ISNUMBER(_xll.ciqfunctions.udf.CIQ(R$3, "IQ_BOND_PRICE", $L50))),NA(),_xll.ciqfunctions.udf.CIQ(R$3, "IQ_BOND_PRICE", $L50)),"")</f>
        <v>114.94199999999999</v>
      </c>
      <c r="S50" s="424">
        <f>IF(AND($L50&lt;&gt;"",S$3&lt;&gt;""),IF(NOT(ISNUMBER(_xll.ciqfunctions.udf.CIQ(S$3, "IQ_BOND_PRICE", $L50))),NA(),_xll.ciqfunctions.udf.CIQ(S$3, "IQ_BOND_PRICE", $L50)),"")</f>
        <v>107.782</v>
      </c>
      <c r="T50" s="424">
        <f>IF(AND($L50&lt;&gt;"",T$3&lt;&gt;""),IF(NOT(ISNUMBER(_xll.ciqfunctions.udf.CIQ(T$3, "IQ_BOND_PRICE", $L50))),NA(),_xll.ciqfunctions.udf.CIQ(T$3, "IQ_BOND_PRICE", $L50)),"")</f>
        <v>107.312</v>
      </c>
      <c r="U50" s="424">
        <f>IF(AND($L50&lt;&gt;"",U$3&lt;&gt;""),IF(NOT(ISNUMBER(_xll.ciqfunctions.udf.CIQ(U$3, "IQ_BOND_PRICE", $L50))),NA(),_xll.ciqfunctions.udf.CIQ(U$3, "IQ_BOND_PRICE", $L50)),"")</f>
        <v>99.880139999999997</v>
      </c>
      <c r="V50" s="424">
        <f>IF(AND($L50&lt;&gt;"",V$3&lt;&gt;""),IF(NOT(ISNUMBER(_xll.ciqfunctions.udf.CIQ(V$3, "IQ_BOND_PRICE", $L50))),NA(),_xll.ciqfunctions.udf.CIQ(V$3, "IQ_BOND_PRICE", $L50)),"")</f>
        <v>107.25772000000001</v>
      </c>
      <c r="W50" s="424">
        <f>IF(AND($L50&lt;&gt;"",W$3&lt;&gt;""),IF(NOT(ISNUMBER(_xll.ciqfunctions.udf.CIQ(W$3, "IQ_BOND_PRICE", $L50))),NA(),_xll.ciqfunctions.udf.CIQ(W$3, "IQ_BOND_PRICE", $L50)),"")</f>
        <v>110.977</v>
      </c>
      <c r="X50" s="424">
        <f>IF(AND($L50&lt;&gt;"",X$3&lt;&gt;""),IF(NOT(ISNUMBER(_xll.ciqfunctions.udf.CIQ(X$3, "IQ_BOND_PRICE", $L50))),NA(),_xll.ciqfunctions.udf.CIQ(X$3, "IQ_BOND_PRICE", $L50)),"")</f>
        <v>112.23699999999999</v>
      </c>
      <c r="Y50" s="424">
        <f>IF(AND($L50&lt;&gt;"",Y$3&lt;&gt;""),IF(NOT(ISNUMBER(_xll.ciqfunctions.udf.CIQ(Y$3, "IQ_BOND_PRICE", $L50))),NA(),_xll.ciqfunctions.udf.CIQ(Y$3, "IQ_BOND_PRICE", $L50)),"")</f>
        <v>109.87</v>
      </c>
      <c r="Z50" s="424">
        <f>IF(AND($L50&lt;&gt;"",Z$3&lt;&gt;""),IF(NOT(ISNUMBER(_xll.ciqfunctions.udf.CIQ(Z$3, "IQ_BOND_PRICE", $L50))),NA(),_xll.ciqfunctions.udf.CIQ(Z$3, "IQ_BOND_PRICE", $L50)),"")</f>
        <v>0</v>
      </c>
      <c r="CZ50" s="426"/>
    </row>
    <row r="51" spans="12:104" x14ac:dyDescent="0.2">
      <c r="L51" s="425">
        <f t="shared" si="0"/>
        <v>44343</v>
      </c>
      <c r="M51" s="424">
        <f>IF(AND($L51&lt;&gt;"",M$3&lt;&gt;""),IF(NOT(ISNUMBER(_xll.ciqfunctions.udf.CIQ(M$3, "IQ_BOND_PRICE", $L51))),NA(),_xll.ciqfunctions.udf.CIQ(M$3, "IQ_BOND_PRICE", $L51)),"")</f>
        <v>101.423</v>
      </c>
      <c r="N51" s="424">
        <f>IF(AND($L51&lt;&gt;"",N$3&lt;&gt;""),IF(NOT(ISNUMBER(_xll.ciqfunctions.udf.CIQ(N$3, "IQ_BOND_PRICE", $L51))),NA(),_xll.ciqfunctions.udf.CIQ(N$3, "IQ_BOND_PRICE", $L51)),"")</f>
        <v>0</v>
      </c>
      <c r="O51" s="424">
        <f>IF(AND($L51&lt;&gt;"",O$3&lt;&gt;""),IF(NOT(ISNUMBER(_xll.ciqfunctions.udf.CIQ(O$3, "IQ_BOND_PRICE", $L51))),NA(),_xll.ciqfunctions.udf.CIQ(O$3, "IQ_BOND_PRICE", $L51)),"")</f>
        <v>103.10603</v>
      </c>
      <c r="P51" s="424">
        <f>IF(AND($L51&lt;&gt;"",P$3&lt;&gt;""),IF(NOT(ISNUMBER(_xll.ciqfunctions.udf.CIQ(P$3, "IQ_BOND_PRICE", $L51))),NA(),_xll.ciqfunctions.udf.CIQ(P$3, "IQ_BOND_PRICE", $L51)),"")</f>
        <v>103.9551</v>
      </c>
      <c r="Q51" s="424">
        <f>IF(AND($L51&lt;&gt;"",Q$3&lt;&gt;""),IF(NOT(ISNUMBER(_xll.ciqfunctions.udf.CIQ(Q$3, "IQ_BOND_PRICE", $L51))),NA(),_xll.ciqfunctions.udf.CIQ(Q$3, "IQ_BOND_PRICE", $L51)),"")</f>
        <v>106.203</v>
      </c>
      <c r="R51" s="424">
        <f>IF(AND($L51&lt;&gt;"",R$3&lt;&gt;""),IF(NOT(ISNUMBER(_xll.ciqfunctions.udf.CIQ(R$3, "IQ_BOND_PRICE", $L51))),NA(),_xll.ciqfunctions.udf.CIQ(R$3, "IQ_BOND_PRICE", $L51)),"")</f>
        <v>114.80800000000001</v>
      </c>
      <c r="S51" s="424">
        <f>IF(AND($L51&lt;&gt;"",S$3&lt;&gt;""),IF(NOT(ISNUMBER(_xll.ciqfunctions.udf.CIQ(S$3, "IQ_BOND_PRICE", $L51))),NA(),_xll.ciqfunctions.udf.CIQ(S$3, "IQ_BOND_PRICE", $L51)),"")</f>
        <v>107.74299999999999</v>
      </c>
      <c r="T51" s="424">
        <f>IF(AND($L51&lt;&gt;"",T$3&lt;&gt;""),IF(NOT(ISNUMBER(_xll.ciqfunctions.udf.CIQ(T$3, "IQ_BOND_PRICE", $L51))),NA(),_xll.ciqfunctions.udf.CIQ(T$3, "IQ_BOND_PRICE", $L51)),"")</f>
        <v>107.27500000000001</v>
      </c>
      <c r="U51" s="424">
        <f>IF(AND($L51&lt;&gt;"",U$3&lt;&gt;""),IF(NOT(ISNUMBER(_xll.ciqfunctions.udf.CIQ(U$3, "IQ_BOND_PRICE", $L51))),NA(),_xll.ciqfunctions.udf.CIQ(U$3, "IQ_BOND_PRICE", $L51)),"")</f>
        <v>99.877480000000006</v>
      </c>
      <c r="V51" s="424">
        <f>IF(AND($L51&lt;&gt;"",V$3&lt;&gt;""),IF(NOT(ISNUMBER(_xll.ciqfunctions.udf.CIQ(V$3, "IQ_BOND_PRICE", $L51))),NA(),_xll.ciqfunctions.udf.CIQ(V$3, "IQ_BOND_PRICE", $L51)),"")</f>
        <v>107.05798</v>
      </c>
      <c r="W51" s="424">
        <f>IF(AND($L51&lt;&gt;"",W$3&lt;&gt;""),IF(NOT(ISNUMBER(_xll.ciqfunctions.udf.CIQ(W$3, "IQ_BOND_PRICE", $L51))),NA(),_xll.ciqfunctions.udf.CIQ(W$3, "IQ_BOND_PRICE", $L51)),"")</f>
        <v>110.887</v>
      </c>
      <c r="X51" s="424">
        <f>IF(AND($L51&lt;&gt;"",X$3&lt;&gt;""),IF(NOT(ISNUMBER(_xll.ciqfunctions.udf.CIQ(X$3, "IQ_BOND_PRICE", $L51))),NA(),_xll.ciqfunctions.udf.CIQ(X$3, "IQ_BOND_PRICE", $L51)),"")</f>
        <v>112.18</v>
      </c>
      <c r="Y51" s="424">
        <f>IF(AND($L51&lt;&gt;"",Y$3&lt;&gt;""),IF(NOT(ISNUMBER(_xll.ciqfunctions.udf.CIQ(Y$3, "IQ_BOND_PRICE", $L51))),NA(),_xll.ciqfunctions.udf.CIQ(Y$3, "IQ_BOND_PRICE", $L51)),"")</f>
        <v>109.771</v>
      </c>
      <c r="Z51" s="424">
        <f>IF(AND($L51&lt;&gt;"",Z$3&lt;&gt;""),IF(NOT(ISNUMBER(_xll.ciqfunctions.udf.CIQ(Z$3, "IQ_BOND_PRICE", $L51))),NA(),_xll.ciqfunctions.udf.CIQ(Z$3, "IQ_BOND_PRICE", $L51)),"")</f>
        <v>0</v>
      </c>
      <c r="CZ51" s="426"/>
    </row>
    <row r="52" spans="12:104" x14ac:dyDescent="0.2">
      <c r="L52" s="425">
        <f t="shared" si="0"/>
        <v>44344</v>
      </c>
      <c r="M52" s="424">
        <f>IF(AND($L52&lt;&gt;"",M$3&lt;&gt;""),IF(NOT(ISNUMBER(_xll.ciqfunctions.udf.CIQ(M$3, "IQ_BOND_PRICE", $L52))),NA(),_xll.ciqfunctions.udf.CIQ(M$3, "IQ_BOND_PRICE", $L52)),"")</f>
        <v>101.42100000000001</v>
      </c>
      <c r="N52" s="424">
        <f>IF(AND($L52&lt;&gt;"",N$3&lt;&gt;""),IF(NOT(ISNUMBER(_xll.ciqfunctions.udf.CIQ(N$3, "IQ_BOND_PRICE", $L52))),NA(),_xll.ciqfunctions.udf.CIQ(N$3, "IQ_BOND_PRICE", $L52)),"")</f>
        <v>0</v>
      </c>
      <c r="O52" s="424">
        <f>IF(AND($L52&lt;&gt;"",O$3&lt;&gt;""),IF(NOT(ISNUMBER(_xll.ciqfunctions.udf.CIQ(O$3, "IQ_BOND_PRICE", $L52))),NA(),_xll.ciqfunctions.udf.CIQ(O$3, "IQ_BOND_PRICE", $L52)),"")</f>
        <v>103.07147999999999</v>
      </c>
      <c r="P52" s="424">
        <f>IF(AND($L52&lt;&gt;"",P$3&lt;&gt;""),IF(NOT(ISNUMBER(_xll.ciqfunctions.udf.CIQ(P$3, "IQ_BOND_PRICE", $L52))),NA(),_xll.ciqfunctions.udf.CIQ(P$3, "IQ_BOND_PRICE", $L52)),"")</f>
        <v>103.88589</v>
      </c>
      <c r="Q52" s="424">
        <f>IF(AND($L52&lt;&gt;"",Q$3&lt;&gt;""),IF(NOT(ISNUMBER(_xll.ciqfunctions.udf.CIQ(Q$3, "IQ_BOND_PRICE", $L52))),NA(),_xll.ciqfunctions.udf.CIQ(Q$3, "IQ_BOND_PRICE", $L52)),"")</f>
        <v>106.15</v>
      </c>
      <c r="R52" s="424">
        <f>IF(AND($L52&lt;&gt;"",R$3&lt;&gt;""),IF(NOT(ISNUMBER(_xll.ciqfunctions.udf.CIQ(R$3, "IQ_BOND_PRICE", $L52))),NA(),_xll.ciqfunctions.udf.CIQ(R$3, "IQ_BOND_PRICE", $L52)),"")</f>
        <v>114.858</v>
      </c>
      <c r="S52" s="424">
        <f>IF(AND($L52&lt;&gt;"",S$3&lt;&gt;""),IF(NOT(ISNUMBER(_xll.ciqfunctions.udf.CIQ(S$3, "IQ_BOND_PRICE", $L52))),NA(),_xll.ciqfunctions.udf.CIQ(S$3, "IQ_BOND_PRICE", $L52)),"")</f>
        <v>107.756</v>
      </c>
      <c r="T52" s="424">
        <f>IF(AND($L52&lt;&gt;"",T$3&lt;&gt;""),IF(NOT(ISNUMBER(_xll.ciqfunctions.udf.CIQ(T$3, "IQ_BOND_PRICE", $L52))),NA(),_xll.ciqfunctions.udf.CIQ(T$3, "IQ_BOND_PRICE", $L52)),"")</f>
        <v>107.258</v>
      </c>
      <c r="U52" s="424">
        <f>IF(AND($L52&lt;&gt;"",U$3&lt;&gt;""),IF(NOT(ISNUMBER(_xll.ciqfunctions.udf.CIQ(U$3, "IQ_BOND_PRICE", $L52))),NA(),_xll.ciqfunctions.udf.CIQ(U$3, "IQ_BOND_PRICE", $L52)),"")</f>
        <v>99.896119999999996</v>
      </c>
      <c r="V52" s="424">
        <f>IF(AND($L52&lt;&gt;"",V$3&lt;&gt;""),IF(NOT(ISNUMBER(_xll.ciqfunctions.udf.CIQ(V$3, "IQ_BOND_PRICE", $L52))),NA(),_xll.ciqfunctions.udf.CIQ(V$3, "IQ_BOND_PRICE", $L52)),"")</f>
        <v>107.17610999999999</v>
      </c>
      <c r="W52" s="424">
        <f>IF(AND($L52&lt;&gt;"",W$3&lt;&gt;""),IF(NOT(ISNUMBER(_xll.ciqfunctions.udf.CIQ(W$3, "IQ_BOND_PRICE", $L52))),NA(),_xll.ciqfunctions.udf.CIQ(W$3, "IQ_BOND_PRICE", $L52)),"")</f>
        <v>110.932</v>
      </c>
      <c r="X52" s="424">
        <f>IF(AND($L52&lt;&gt;"",X$3&lt;&gt;""),IF(NOT(ISNUMBER(_xll.ciqfunctions.udf.CIQ(X$3, "IQ_BOND_PRICE", $L52))),NA(),_xll.ciqfunctions.udf.CIQ(X$3, "IQ_BOND_PRICE", $L52)),"")</f>
        <v>112.233</v>
      </c>
      <c r="Y52" s="424">
        <f>IF(AND($L52&lt;&gt;"",Y$3&lt;&gt;""),IF(NOT(ISNUMBER(_xll.ciqfunctions.udf.CIQ(Y$3, "IQ_BOND_PRICE", $L52))),NA(),_xll.ciqfunctions.udf.CIQ(Y$3, "IQ_BOND_PRICE", $L52)),"")</f>
        <v>109.83199999999999</v>
      </c>
      <c r="Z52" s="424">
        <f>IF(AND($L52&lt;&gt;"",Z$3&lt;&gt;""),IF(NOT(ISNUMBER(_xll.ciqfunctions.udf.CIQ(Z$3, "IQ_BOND_PRICE", $L52))),NA(),_xll.ciqfunctions.udf.CIQ(Z$3, "IQ_BOND_PRICE", $L52)),"")</f>
        <v>0</v>
      </c>
      <c r="CZ52" s="426"/>
    </row>
    <row r="53" spans="12:104" x14ac:dyDescent="0.2">
      <c r="L53" s="425">
        <f t="shared" si="0"/>
        <v>44347</v>
      </c>
      <c r="M53" s="424">
        <f>IF(AND($L53&lt;&gt;"",M$3&lt;&gt;""),IF(NOT(ISNUMBER(_xll.ciqfunctions.udf.CIQ(M$3, "IQ_BOND_PRICE", $L53))),NA(),_xll.ciqfunctions.udf.CIQ(M$3, "IQ_BOND_PRICE", $L53)),"")</f>
        <v>101.41500000000001</v>
      </c>
      <c r="N53" s="424">
        <f>IF(AND($L53&lt;&gt;"",N$3&lt;&gt;""),IF(NOT(ISNUMBER(_xll.ciqfunctions.udf.CIQ(N$3, "IQ_BOND_PRICE", $L53))),NA(),_xll.ciqfunctions.udf.CIQ(N$3, "IQ_BOND_PRICE", $L53)),"")</f>
        <v>0</v>
      </c>
      <c r="O53" s="424">
        <f>IF(AND($L53&lt;&gt;"",O$3&lt;&gt;""),IF(NOT(ISNUMBER(_xll.ciqfunctions.udf.CIQ(O$3, "IQ_BOND_PRICE", $L53))),NA(),_xll.ciqfunctions.udf.CIQ(O$3, "IQ_BOND_PRICE", $L53)),"")</f>
        <v>103.003</v>
      </c>
      <c r="P53" s="424">
        <f>IF(AND($L53&lt;&gt;"",P$3&lt;&gt;""),IF(NOT(ISNUMBER(_xll.ciqfunctions.udf.CIQ(P$3, "IQ_BOND_PRICE", $L53))),NA(),_xll.ciqfunctions.udf.CIQ(P$3, "IQ_BOND_PRICE", $L53)),"")</f>
        <v>103.83</v>
      </c>
      <c r="Q53" s="424">
        <f>IF(AND($L53&lt;&gt;"",Q$3&lt;&gt;""),IF(NOT(ISNUMBER(_xll.ciqfunctions.udf.CIQ(Q$3, "IQ_BOND_PRICE", $L53))),NA(),_xll.ciqfunctions.udf.CIQ(Q$3, "IQ_BOND_PRICE", $L53)),"")</f>
        <v>106.15</v>
      </c>
      <c r="R53" s="424">
        <f>IF(AND($L53&lt;&gt;"",R$3&lt;&gt;""),IF(NOT(ISNUMBER(_xll.ciqfunctions.udf.CIQ(R$3, "IQ_BOND_PRICE", $L53))),NA(),_xll.ciqfunctions.udf.CIQ(R$3, "IQ_BOND_PRICE", $L53)),"")</f>
        <v>113.685</v>
      </c>
      <c r="S53" s="424">
        <f>IF(AND($L53&lt;&gt;"",S$3&lt;&gt;""),IF(NOT(ISNUMBER(_xll.ciqfunctions.udf.CIQ(S$3, "IQ_BOND_PRICE", $L53))),NA(),_xll.ciqfunctions.udf.CIQ(S$3, "IQ_BOND_PRICE", $L53)),"")</f>
        <v>107.756</v>
      </c>
      <c r="T53" s="424">
        <f>IF(AND($L53&lt;&gt;"",T$3&lt;&gt;""),IF(NOT(ISNUMBER(_xll.ciqfunctions.udf.CIQ(T$3, "IQ_BOND_PRICE", $L53))),NA(),_xll.ciqfunctions.udf.CIQ(T$3, "IQ_BOND_PRICE", $L53)),"")</f>
        <v>107.19</v>
      </c>
      <c r="U53" s="424">
        <f>IF(AND($L53&lt;&gt;"",U$3&lt;&gt;""),IF(NOT(ISNUMBER(_xll.ciqfunctions.udf.CIQ(U$3, "IQ_BOND_PRICE", $L53))),NA(),_xll.ciqfunctions.udf.CIQ(U$3, "IQ_BOND_PRICE", $L53)),"")</f>
        <v>99.884150000000005</v>
      </c>
      <c r="V53" s="424">
        <f>IF(AND($L53&lt;&gt;"",V$3&lt;&gt;""),IF(NOT(ISNUMBER(_xll.ciqfunctions.udf.CIQ(V$3, "IQ_BOND_PRICE", $L53))),NA(),_xll.ciqfunctions.udf.CIQ(V$3, "IQ_BOND_PRICE", $L53)),"")</f>
        <v>106.97</v>
      </c>
      <c r="W53" s="424">
        <f>IF(AND($L53&lt;&gt;"",W$3&lt;&gt;""),IF(NOT(ISNUMBER(_xll.ciqfunctions.udf.CIQ(W$3, "IQ_BOND_PRICE", $L53))),NA(),_xll.ciqfunctions.udf.CIQ(W$3, "IQ_BOND_PRICE", $L53)),"")</f>
        <v>110.89</v>
      </c>
      <c r="X53" s="424">
        <f>IF(AND($L53&lt;&gt;"",X$3&lt;&gt;""),IF(NOT(ISNUMBER(_xll.ciqfunctions.udf.CIQ(X$3, "IQ_BOND_PRICE", $L53))),NA(),_xll.ciqfunctions.udf.CIQ(X$3, "IQ_BOND_PRICE", $L53)),"")</f>
        <v>112.17700000000001</v>
      </c>
      <c r="Y53" s="424">
        <f>IF(AND($L53&lt;&gt;"",Y$3&lt;&gt;""),IF(NOT(ISNUMBER(_xll.ciqfunctions.udf.CIQ(Y$3, "IQ_BOND_PRICE", $L53))),NA(),_xll.ciqfunctions.udf.CIQ(Y$3, "IQ_BOND_PRICE", $L53)),"")</f>
        <v>109.55</v>
      </c>
      <c r="Z53" s="424">
        <f>IF(AND($L53&lt;&gt;"",Z$3&lt;&gt;""),IF(NOT(ISNUMBER(_xll.ciqfunctions.udf.CIQ(Z$3, "IQ_BOND_PRICE", $L53))),NA(),_xll.ciqfunctions.udf.CIQ(Z$3, "IQ_BOND_PRICE", $L53)),"")</f>
        <v>0</v>
      </c>
      <c r="CZ53" s="426"/>
    </row>
    <row r="54" spans="12:104" x14ac:dyDescent="0.2">
      <c r="L54" s="425">
        <f t="shared" si="0"/>
        <v>44348</v>
      </c>
      <c r="M54" s="424">
        <f>IF(AND($L54&lt;&gt;"",M$3&lt;&gt;""),IF(NOT(ISNUMBER(_xll.ciqfunctions.udf.CIQ(M$3, "IQ_BOND_PRICE", $L54))),NA(),_xll.ciqfunctions.udf.CIQ(M$3, "IQ_BOND_PRICE", $L54)),"")</f>
        <v>101.408</v>
      </c>
      <c r="N54" s="424">
        <f>IF(AND($L54&lt;&gt;"",N$3&lt;&gt;""),IF(NOT(ISNUMBER(_xll.ciqfunctions.udf.CIQ(N$3, "IQ_BOND_PRICE", $L54))),NA(),_xll.ciqfunctions.udf.CIQ(N$3, "IQ_BOND_PRICE", $L54)),"")</f>
        <v>0</v>
      </c>
      <c r="O54" s="424">
        <f>IF(AND($L54&lt;&gt;"",O$3&lt;&gt;""),IF(NOT(ISNUMBER(_xll.ciqfunctions.udf.CIQ(O$3, "IQ_BOND_PRICE", $L54))),NA(),_xll.ciqfunctions.udf.CIQ(O$3, "IQ_BOND_PRICE", $L54)),"")</f>
        <v>103.07949000000001</v>
      </c>
      <c r="P54" s="424">
        <f>IF(AND($L54&lt;&gt;"",P$3&lt;&gt;""),IF(NOT(ISNUMBER(_xll.ciqfunctions.udf.CIQ(P$3, "IQ_BOND_PRICE", $L54))),NA(),_xll.ciqfunctions.udf.CIQ(P$3, "IQ_BOND_PRICE", $L54)),"")</f>
        <v>103.87155</v>
      </c>
      <c r="Q54" s="424">
        <f>IF(AND($L54&lt;&gt;"",Q$3&lt;&gt;""),IF(NOT(ISNUMBER(_xll.ciqfunctions.udf.CIQ(Q$3, "IQ_BOND_PRICE", $L54))),NA(),_xll.ciqfunctions.udf.CIQ(Q$3, "IQ_BOND_PRICE", $L54)),"")</f>
        <v>106.05200000000001</v>
      </c>
      <c r="R54" s="424">
        <f>IF(AND($L54&lt;&gt;"",R$3&lt;&gt;""),IF(NOT(ISNUMBER(_xll.ciqfunctions.udf.CIQ(R$3, "IQ_BOND_PRICE", $L54))),NA(),_xll.ciqfunctions.udf.CIQ(R$3, "IQ_BOND_PRICE", $L54)),"")</f>
        <v>114.854</v>
      </c>
      <c r="S54" s="424">
        <f>IF(AND($L54&lt;&gt;"",S$3&lt;&gt;""),IF(NOT(ISNUMBER(_xll.ciqfunctions.udf.CIQ(S$3, "IQ_BOND_PRICE", $L54))),NA(),_xll.ciqfunctions.udf.CIQ(S$3, "IQ_BOND_PRICE", $L54)),"")</f>
        <v>107.71</v>
      </c>
      <c r="T54" s="424">
        <f>IF(AND($L54&lt;&gt;"",T$3&lt;&gt;""),IF(NOT(ISNUMBER(_xll.ciqfunctions.udf.CIQ(T$3, "IQ_BOND_PRICE", $L54))),NA(),_xll.ciqfunctions.udf.CIQ(T$3, "IQ_BOND_PRICE", $L54)),"")</f>
        <v>107.38500000000001</v>
      </c>
      <c r="U54" s="424">
        <f>IF(AND($L54&lt;&gt;"",U$3&lt;&gt;""),IF(NOT(ISNUMBER(_xll.ciqfunctions.udf.CIQ(U$3, "IQ_BOND_PRICE", $L54))),NA(),_xll.ciqfunctions.udf.CIQ(U$3, "IQ_BOND_PRICE", $L54)),"")</f>
        <v>99.884370000000004</v>
      </c>
      <c r="V54" s="424">
        <f>IF(AND($L54&lt;&gt;"",V$3&lt;&gt;""),IF(NOT(ISNUMBER(_xll.ciqfunctions.udf.CIQ(V$3, "IQ_BOND_PRICE", $L54))),NA(),_xll.ciqfunctions.udf.CIQ(V$3, "IQ_BOND_PRICE", $L54)),"")</f>
        <v>107.36951999999999</v>
      </c>
      <c r="W54" s="424">
        <f>IF(AND($L54&lt;&gt;"",W$3&lt;&gt;""),IF(NOT(ISNUMBER(_xll.ciqfunctions.udf.CIQ(W$3, "IQ_BOND_PRICE", $L54))),NA(),_xll.ciqfunctions.udf.CIQ(W$3, "IQ_BOND_PRICE", $L54)),"")</f>
        <v>110.97199999999999</v>
      </c>
      <c r="X54" s="424">
        <f>IF(AND($L54&lt;&gt;"",X$3&lt;&gt;""),IF(NOT(ISNUMBER(_xll.ciqfunctions.udf.CIQ(X$3, "IQ_BOND_PRICE", $L54))),NA(),_xll.ciqfunctions.udf.CIQ(X$3, "IQ_BOND_PRICE", $L54)),"")</f>
        <v>112.209</v>
      </c>
      <c r="Y54" s="424">
        <f>IF(AND($L54&lt;&gt;"",Y$3&lt;&gt;""),IF(NOT(ISNUMBER(_xll.ciqfunctions.udf.CIQ(Y$3, "IQ_BOND_PRICE", $L54))),NA(),_xll.ciqfunctions.udf.CIQ(Y$3, "IQ_BOND_PRICE", $L54)),"")</f>
        <v>109.738</v>
      </c>
      <c r="Z54" s="424">
        <f>IF(AND($L54&lt;&gt;"",Z$3&lt;&gt;""),IF(NOT(ISNUMBER(_xll.ciqfunctions.udf.CIQ(Z$3, "IQ_BOND_PRICE", $L54))),NA(),_xll.ciqfunctions.udf.CIQ(Z$3, "IQ_BOND_PRICE", $L54)),"")</f>
        <v>0</v>
      </c>
      <c r="CZ54" s="426"/>
    </row>
    <row r="55" spans="12:104" x14ac:dyDescent="0.2">
      <c r="L55" s="425">
        <f t="shared" si="0"/>
        <v>44349</v>
      </c>
      <c r="M55" s="424">
        <f>IF(AND($L55&lt;&gt;"",M$3&lt;&gt;""),IF(NOT(ISNUMBER(_xll.ciqfunctions.udf.CIQ(M$3, "IQ_BOND_PRICE", $L55))),NA(),_xll.ciqfunctions.udf.CIQ(M$3, "IQ_BOND_PRICE", $L55)),"")</f>
        <v>101.40600000000001</v>
      </c>
      <c r="N55" s="424">
        <f>IF(AND($L55&lt;&gt;"",N$3&lt;&gt;""),IF(NOT(ISNUMBER(_xll.ciqfunctions.udf.CIQ(N$3, "IQ_BOND_PRICE", $L55))),NA(),_xll.ciqfunctions.udf.CIQ(N$3, "IQ_BOND_PRICE", $L55)),"")</f>
        <v>0</v>
      </c>
      <c r="O55" s="424">
        <f>IF(AND($L55&lt;&gt;"",O$3&lt;&gt;""),IF(NOT(ISNUMBER(_xll.ciqfunctions.udf.CIQ(O$3, "IQ_BOND_PRICE", $L55))),NA(),_xll.ciqfunctions.udf.CIQ(O$3, "IQ_BOND_PRICE", $L55)),"")</f>
        <v>103.07646</v>
      </c>
      <c r="P55" s="424">
        <f>IF(AND($L55&lt;&gt;"",P$3&lt;&gt;""),IF(NOT(ISNUMBER(_xll.ciqfunctions.udf.CIQ(P$3, "IQ_BOND_PRICE", $L55))),NA(),_xll.ciqfunctions.udf.CIQ(P$3, "IQ_BOND_PRICE", $L55)),"")</f>
        <v>103.92112</v>
      </c>
      <c r="Q55" s="424">
        <f>IF(AND($L55&lt;&gt;"",Q$3&lt;&gt;""),IF(NOT(ISNUMBER(_xll.ciqfunctions.udf.CIQ(Q$3, "IQ_BOND_PRICE", $L55))),NA(),_xll.ciqfunctions.udf.CIQ(Q$3, "IQ_BOND_PRICE", $L55)),"")</f>
        <v>106.20099999999999</v>
      </c>
      <c r="R55" s="424">
        <f>IF(AND($L55&lt;&gt;"",R$3&lt;&gt;""),IF(NOT(ISNUMBER(_xll.ciqfunctions.udf.CIQ(R$3, "IQ_BOND_PRICE", $L55))),NA(),_xll.ciqfunctions.udf.CIQ(R$3, "IQ_BOND_PRICE", $L55)),"")</f>
        <v>114.89400000000001</v>
      </c>
      <c r="S55" s="424">
        <f>IF(AND($L55&lt;&gt;"",S$3&lt;&gt;""),IF(NOT(ISNUMBER(_xll.ciqfunctions.udf.CIQ(S$3, "IQ_BOND_PRICE", $L55))),NA(),_xll.ciqfunctions.udf.CIQ(S$3, "IQ_BOND_PRICE", $L55)),"")</f>
        <v>107.71</v>
      </c>
      <c r="T55" s="424">
        <f>IF(AND($L55&lt;&gt;"",T$3&lt;&gt;""),IF(NOT(ISNUMBER(_xll.ciqfunctions.udf.CIQ(T$3, "IQ_BOND_PRICE", $L55))),NA(),_xll.ciqfunctions.udf.CIQ(T$3, "IQ_BOND_PRICE", $L55)),"")</f>
        <v>107.386</v>
      </c>
      <c r="U55" s="424">
        <f>IF(AND($L55&lt;&gt;"",U$3&lt;&gt;""),IF(NOT(ISNUMBER(_xll.ciqfunctions.udf.CIQ(U$3, "IQ_BOND_PRICE", $L55))),NA(),_xll.ciqfunctions.udf.CIQ(U$3, "IQ_BOND_PRICE", $L55)),"")</f>
        <v>99.890020000000007</v>
      </c>
      <c r="V55" s="424">
        <f>IF(AND($L55&lt;&gt;"",V$3&lt;&gt;""),IF(NOT(ISNUMBER(_xll.ciqfunctions.udf.CIQ(V$3, "IQ_BOND_PRICE", $L55))),NA(),_xll.ciqfunctions.udf.CIQ(V$3, "IQ_BOND_PRICE", $L55)),"")</f>
        <v>107.37258</v>
      </c>
      <c r="W55" s="424">
        <f>IF(AND($L55&lt;&gt;"",W$3&lt;&gt;""),IF(NOT(ISNUMBER(_xll.ciqfunctions.udf.CIQ(W$3, "IQ_BOND_PRICE", $L55))),NA(),_xll.ciqfunctions.udf.CIQ(W$3, "IQ_BOND_PRICE", $L55)),"")</f>
        <v>111.01600000000001</v>
      </c>
      <c r="X55" s="424">
        <f>IF(AND($L55&lt;&gt;"",X$3&lt;&gt;""),IF(NOT(ISNUMBER(_xll.ciqfunctions.udf.CIQ(X$3, "IQ_BOND_PRICE", $L55))),NA(),_xll.ciqfunctions.udf.CIQ(X$3, "IQ_BOND_PRICE", $L55)),"")</f>
        <v>112.226</v>
      </c>
      <c r="Y55" s="424">
        <f>IF(AND($L55&lt;&gt;"",Y$3&lt;&gt;""),IF(NOT(ISNUMBER(_xll.ciqfunctions.udf.CIQ(Y$3, "IQ_BOND_PRICE", $L55))),NA(),_xll.ciqfunctions.udf.CIQ(Y$3, "IQ_BOND_PRICE", $L55)),"")</f>
        <v>109.741</v>
      </c>
      <c r="Z55" s="424">
        <f>IF(AND($L55&lt;&gt;"",Z$3&lt;&gt;""),IF(NOT(ISNUMBER(_xll.ciqfunctions.udf.CIQ(Z$3, "IQ_BOND_PRICE", $L55))),NA(),_xll.ciqfunctions.udf.CIQ(Z$3, "IQ_BOND_PRICE", $L55)),"")</f>
        <v>0</v>
      </c>
      <c r="CZ55" s="426"/>
    </row>
    <row r="56" spans="12:104" x14ac:dyDescent="0.2">
      <c r="L56" s="425">
        <f t="shared" si="0"/>
        <v>44350</v>
      </c>
      <c r="M56" s="424">
        <f>IF(AND($L56&lt;&gt;"",M$3&lt;&gt;""),IF(NOT(ISNUMBER(_xll.ciqfunctions.udf.CIQ(M$3, "IQ_BOND_PRICE", $L56))),NA(),_xll.ciqfunctions.udf.CIQ(M$3, "IQ_BOND_PRICE", $L56)),"")</f>
        <v>101.38500000000001</v>
      </c>
      <c r="N56" s="424">
        <f>IF(AND($L56&lt;&gt;"",N$3&lt;&gt;""),IF(NOT(ISNUMBER(_xll.ciqfunctions.udf.CIQ(N$3, "IQ_BOND_PRICE", $L56))),NA(),_xll.ciqfunctions.udf.CIQ(N$3, "IQ_BOND_PRICE", $L56)),"")</f>
        <v>0</v>
      </c>
      <c r="O56" s="424">
        <f>IF(AND($L56&lt;&gt;"",O$3&lt;&gt;""),IF(NOT(ISNUMBER(_xll.ciqfunctions.udf.CIQ(O$3, "IQ_BOND_PRICE", $L56))),NA(),_xll.ciqfunctions.udf.CIQ(O$3, "IQ_BOND_PRICE", $L56)),"")</f>
        <v>103.16229</v>
      </c>
      <c r="P56" s="424">
        <f>IF(AND($L56&lt;&gt;"",P$3&lt;&gt;""),IF(NOT(ISNUMBER(_xll.ciqfunctions.udf.CIQ(P$3, "IQ_BOND_PRICE", $L56))),NA(),_xll.ciqfunctions.udf.CIQ(P$3, "IQ_BOND_PRICE", $L56)),"")</f>
        <v>103.82662000000001</v>
      </c>
      <c r="Q56" s="424">
        <f>IF(AND($L56&lt;&gt;"",Q$3&lt;&gt;""),IF(NOT(ISNUMBER(_xll.ciqfunctions.udf.CIQ(Q$3, "IQ_BOND_PRICE", $L56))),NA(),_xll.ciqfunctions.udf.CIQ(Q$3, "IQ_BOND_PRICE", $L56)),"")</f>
        <v>106.04</v>
      </c>
      <c r="R56" s="424">
        <f>IF(AND($L56&lt;&gt;"",R$3&lt;&gt;""),IF(NOT(ISNUMBER(_xll.ciqfunctions.udf.CIQ(R$3, "IQ_BOND_PRICE", $L56))),NA(),_xll.ciqfunctions.udf.CIQ(R$3, "IQ_BOND_PRICE", $L56)),"")</f>
        <v>114.739</v>
      </c>
      <c r="S56" s="424">
        <f>IF(AND($L56&lt;&gt;"",S$3&lt;&gt;""),IF(NOT(ISNUMBER(_xll.ciqfunctions.udf.CIQ(S$3, "IQ_BOND_PRICE", $L56))),NA(),_xll.ciqfunctions.udf.CIQ(S$3, "IQ_BOND_PRICE", $L56)),"")</f>
        <v>107.627</v>
      </c>
      <c r="T56" s="424">
        <f>IF(AND($L56&lt;&gt;"",T$3&lt;&gt;""),IF(NOT(ISNUMBER(_xll.ciqfunctions.udf.CIQ(T$3, "IQ_BOND_PRICE", $L56))),NA(),_xll.ciqfunctions.udf.CIQ(T$3, "IQ_BOND_PRICE", $L56)),"")</f>
        <v>107.251</v>
      </c>
      <c r="U56" s="424">
        <f>IF(AND($L56&lt;&gt;"",U$3&lt;&gt;""),IF(NOT(ISNUMBER(_xll.ciqfunctions.udf.CIQ(U$3, "IQ_BOND_PRICE", $L56))),NA(),_xll.ciqfunctions.udf.CIQ(U$3, "IQ_BOND_PRICE", $L56)),"")</f>
        <v>99.890839999999997</v>
      </c>
      <c r="V56" s="424">
        <f>IF(AND($L56&lt;&gt;"",V$3&lt;&gt;""),IF(NOT(ISNUMBER(_xll.ciqfunctions.udf.CIQ(V$3, "IQ_BOND_PRICE", $L56))),NA(),_xll.ciqfunctions.udf.CIQ(V$3, "IQ_BOND_PRICE", $L56)),"")</f>
        <v>107.26177</v>
      </c>
      <c r="W56" s="424">
        <f>IF(AND($L56&lt;&gt;"",W$3&lt;&gt;""),IF(NOT(ISNUMBER(_xll.ciqfunctions.udf.CIQ(W$3, "IQ_BOND_PRICE", $L56))),NA(),_xll.ciqfunctions.udf.CIQ(W$3, "IQ_BOND_PRICE", $L56)),"")</f>
        <v>110.875</v>
      </c>
      <c r="X56" s="424">
        <f>IF(AND($L56&lt;&gt;"",X$3&lt;&gt;""),IF(NOT(ISNUMBER(_xll.ciqfunctions.udf.CIQ(X$3, "IQ_BOND_PRICE", $L56))),NA(),_xll.ciqfunctions.udf.CIQ(X$3, "IQ_BOND_PRICE", $L56)),"")</f>
        <v>112.217</v>
      </c>
      <c r="Y56" s="424">
        <f>IF(AND($L56&lt;&gt;"",Y$3&lt;&gt;""),IF(NOT(ISNUMBER(_xll.ciqfunctions.udf.CIQ(Y$3, "IQ_BOND_PRICE", $L56))),NA(),_xll.ciqfunctions.udf.CIQ(Y$3, "IQ_BOND_PRICE", $L56)),"")</f>
        <v>109.422</v>
      </c>
      <c r="Z56" s="424">
        <f>IF(AND($L56&lt;&gt;"",Z$3&lt;&gt;""),IF(NOT(ISNUMBER(_xll.ciqfunctions.udf.CIQ(Z$3, "IQ_BOND_PRICE", $L56))),NA(),_xll.ciqfunctions.udf.CIQ(Z$3, "IQ_BOND_PRICE", $L56)),"")</f>
        <v>0</v>
      </c>
      <c r="CZ56" s="426"/>
    </row>
    <row r="57" spans="12:104" x14ac:dyDescent="0.2">
      <c r="L57" s="425">
        <f t="shared" si="0"/>
        <v>44351</v>
      </c>
      <c r="M57" s="424">
        <f>IF(AND($L57&lt;&gt;"",M$3&lt;&gt;""),IF(NOT(ISNUMBER(_xll.ciqfunctions.udf.CIQ(M$3, "IQ_BOND_PRICE", $L57))),NA(),_xll.ciqfunctions.udf.CIQ(M$3, "IQ_BOND_PRICE", $L57)),"")</f>
        <v>101.384</v>
      </c>
      <c r="N57" s="424">
        <f>IF(AND($L57&lt;&gt;"",N$3&lt;&gt;""),IF(NOT(ISNUMBER(_xll.ciqfunctions.udf.CIQ(N$3, "IQ_BOND_PRICE", $L57))),NA(),_xll.ciqfunctions.udf.CIQ(N$3, "IQ_BOND_PRICE", $L57)),"")</f>
        <v>0</v>
      </c>
      <c r="O57" s="424">
        <f>IF(AND($L57&lt;&gt;"",O$3&lt;&gt;""),IF(NOT(ISNUMBER(_xll.ciqfunctions.udf.CIQ(O$3, "IQ_BOND_PRICE", $L57))),NA(),_xll.ciqfunctions.udf.CIQ(O$3, "IQ_BOND_PRICE", $L57)),"")</f>
        <v>103.17336</v>
      </c>
      <c r="P57" s="424">
        <f>IF(AND($L57&lt;&gt;"",P$3&lt;&gt;""),IF(NOT(ISNUMBER(_xll.ciqfunctions.udf.CIQ(P$3, "IQ_BOND_PRICE", $L57))),NA(),_xll.ciqfunctions.udf.CIQ(P$3, "IQ_BOND_PRICE", $L57)),"")</f>
        <v>103.74787000000001</v>
      </c>
      <c r="Q57" s="424">
        <f>IF(AND($L57&lt;&gt;"",Q$3&lt;&gt;""),IF(NOT(ISNUMBER(_xll.ciqfunctions.udf.CIQ(Q$3, "IQ_BOND_PRICE", $L57))),NA(),_xll.ciqfunctions.udf.CIQ(Q$3, "IQ_BOND_PRICE", $L57)),"")</f>
        <v>106.068</v>
      </c>
      <c r="R57" s="424">
        <f>IF(AND($L57&lt;&gt;"",R$3&lt;&gt;""),IF(NOT(ISNUMBER(_xll.ciqfunctions.udf.CIQ(R$3, "IQ_BOND_PRICE", $L57))),NA(),_xll.ciqfunctions.udf.CIQ(R$3, "IQ_BOND_PRICE", $L57)),"")</f>
        <v>114.66800000000001</v>
      </c>
      <c r="S57" s="424">
        <f>IF(AND($L57&lt;&gt;"",S$3&lt;&gt;""),IF(NOT(ISNUMBER(_xll.ciqfunctions.udf.CIQ(S$3, "IQ_BOND_PRICE", $L57))),NA(),_xll.ciqfunctions.udf.CIQ(S$3, "IQ_BOND_PRICE", $L57)),"")</f>
        <v>107.554</v>
      </c>
      <c r="T57" s="424">
        <f>IF(AND($L57&lt;&gt;"",T$3&lt;&gt;""),IF(NOT(ISNUMBER(_xll.ciqfunctions.udf.CIQ(T$3, "IQ_BOND_PRICE", $L57))),NA(),_xll.ciqfunctions.udf.CIQ(T$3, "IQ_BOND_PRICE", $L57)),"")</f>
        <v>107.282</v>
      </c>
      <c r="U57" s="424">
        <f>IF(AND($L57&lt;&gt;"",U$3&lt;&gt;""),IF(NOT(ISNUMBER(_xll.ciqfunctions.udf.CIQ(U$3, "IQ_BOND_PRICE", $L57))),NA(),_xll.ciqfunctions.udf.CIQ(U$3, "IQ_BOND_PRICE", $L57)),"")</f>
        <v>99.888069999999999</v>
      </c>
      <c r="V57" s="424">
        <f>IF(AND($L57&lt;&gt;"",V$3&lt;&gt;""),IF(NOT(ISNUMBER(_xll.ciqfunctions.udf.CIQ(V$3, "IQ_BOND_PRICE", $L57))),NA(),_xll.ciqfunctions.udf.CIQ(V$3, "IQ_BOND_PRICE", $L57)),"")</f>
        <v>107.0476</v>
      </c>
      <c r="W57" s="424">
        <f>IF(AND($L57&lt;&gt;"",W$3&lt;&gt;""),IF(NOT(ISNUMBER(_xll.ciqfunctions.udf.CIQ(W$3, "IQ_BOND_PRICE", $L57))),NA(),_xll.ciqfunctions.udf.CIQ(W$3, "IQ_BOND_PRICE", $L57)),"")</f>
        <v>111.09099999999999</v>
      </c>
      <c r="X57" s="424">
        <f>IF(AND($L57&lt;&gt;"",X$3&lt;&gt;""),IF(NOT(ISNUMBER(_xll.ciqfunctions.udf.CIQ(X$3, "IQ_BOND_PRICE", $L57))),NA(),_xll.ciqfunctions.udf.CIQ(X$3, "IQ_BOND_PRICE", $L57)),"")</f>
        <v>112.256</v>
      </c>
      <c r="Y57" s="424">
        <f>IF(AND($L57&lt;&gt;"",Y$3&lt;&gt;""),IF(NOT(ISNUMBER(_xll.ciqfunctions.udf.CIQ(Y$3, "IQ_BOND_PRICE", $L57))),NA(),_xll.ciqfunctions.udf.CIQ(Y$3, "IQ_BOND_PRICE", $L57)),"")</f>
        <v>109.809</v>
      </c>
      <c r="Z57" s="424">
        <f>IF(AND($L57&lt;&gt;"",Z$3&lt;&gt;""),IF(NOT(ISNUMBER(_xll.ciqfunctions.udf.CIQ(Z$3, "IQ_BOND_PRICE", $L57))),NA(),_xll.ciqfunctions.udf.CIQ(Z$3, "IQ_BOND_PRICE", $L57)),"")</f>
        <v>0</v>
      </c>
      <c r="CZ57" s="426"/>
    </row>
    <row r="58" spans="12:104" x14ac:dyDescent="0.2">
      <c r="L58" s="425">
        <f t="shared" si="0"/>
        <v>44354</v>
      </c>
      <c r="M58" s="424">
        <f>IF(AND($L58&lt;&gt;"",M$3&lt;&gt;""),IF(NOT(ISNUMBER(_xll.ciqfunctions.udf.CIQ(M$3, "IQ_BOND_PRICE", $L58))),NA(),_xll.ciqfunctions.udf.CIQ(M$3, "IQ_BOND_PRICE", $L58)),"")</f>
        <v>101.376</v>
      </c>
      <c r="N58" s="424">
        <f>IF(AND($L58&lt;&gt;"",N$3&lt;&gt;""),IF(NOT(ISNUMBER(_xll.ciqfunctions.udf.CIQ(N$3, "IQ_BOND_PRICE", $L58))),NA(),_xll.ciqfunctions.udf.CIQ(N$3, "IQ_BOND_PRICE", $L58)),"")</f>
        <v>0</v>
      </c>
      <c r="O58" s="424">
        <f>IF(AND($L58&lt;&gt;"",O$3&lt;&gt;""),IF(NOT(ISNUMBER(_xll.ciqfunctions.udf.CIQ(O$3, "IQ_BOND_PRICE", $L58))),NA(),_xll.ciqfunctions.udf.CIQ(O$3, "IQ_BOND_PRICE", $L58)),"")</f>
        <v>103.14982999999999</v>
      </c>
      <c r="P58" s="424">
        <f>IF(AND($L58&lt;&gt;"",P$3&lt;&gt;""),IF(NOT(ISNUMBER(_xll.ciqfunctions.udf.CIQ(P$3, "IQ_BOND_PRICE", $L58))),NA(),_xll.ciqfunctions.udf.CIQ(P$3, "IQ_BOND_PRICE", $L58)),"")</f>
        <v>103.8562</v>
      </c>
      <c r="Q58" s="424">
        <f>IF(AND($L58&lt;&gt;"",Q$3&lt;&gt;""),IF(NOT(ISNUMBER(_xll.ciqfunctions.udf.CIQ(Q$3, "IQ_BOND_PRICE", $L58))),NA(),_xll.ciqfunctions.udf.CIQ(Q$3, "IQ_BOND_PRICE", $L58)),"")</f>
        <v>106.167</v>
      </c>
      <c r="R58" s="424">
        <f>IF(AND($L58&lt;&gt;"",R$3&lt;&gt;""),IF(NOT(ISNUMBER(_xll.ciqfunctions.udf.CIQ(R$3, "IQ_BOND_PRICE", $L58))),NA(),_xll.ciqfunctions.udf.CIQ(R$3, "IQ_BOND_PRICE", $L58)),"")</f>
        <v>114.64100000000001</v>
      </c>
      <c r="S58" s="424">
        <f>IF(AND($L58&lt;&gt;"",S$3&lt;&gt;""),IF(NOT(ISNUMBER(_xll.ciqfunctions.udf.CIQ(S$3, "IQ_BOND_PRICE", $L58))),NA(),_xll.ciqfunctions.udf.CIQ(S$3, "IQ_BOND_PRICE", $L58)),"")</f>
        <v>107.47</v>
      </c>
      <c r="T58" s="424">
        <f>IF(AND($L58&lt;&gt;"",T$3&lt;&gt;""),IF(NOT(ISNUMBER(_xll.ciqfunctions.udf.CIQ(T$3, "IQ_BOND_PRICE", $L58))),NA(),_xll.ciqfunctions.udf.CIQ(T$3, "IQ_BOND_PRICE", $L58)),"")</f>
        <v>107.108</v>
      </c>
      <c r="U58" s="424">
        <f>IF(AND($L58&lt;&gt;"",U$3&lt;&gt;""),IF(NOT(ISNUMBER(_xll.ciqfunctions.udf.CIQ(U$3, "IQ_BOND_PRICE", $L58))),NA(),_xll.ciqfunctions.udf.CIQ(U$3, "IQ_BOND_PRICE", $L58)),"")</f>
        <v>99.888149999999996</v>
      </c>
      <c r="V58" s="424">
        <f>IF(AND($L58&lt;&gt;"",V$3&lt;&gt;""),IF(NOT(ISNUMBER(_xll.ciqfunctions.udf.CIQ(V$3, "IQ_BOND_PRICE", $L58))),NA(),_xll.ciqfunctions.udf.CIQ(V$3, "IQ_BOND_PRICE", $L58)),"")</f>
        <v>107.0047</v>
      </c>
      <c r="W58" s="424">
        <f>IF(AND($L58&lt;&gt;"",W$3&lt;&gt;""),IF(NOT(ISNUMBER(_xll.ciqfunctions.udf.CIQ(W$3, "IQ_BOND_PRICE", $L58))),NA(),_xll.ciqfunctions.udf.CIQ(W$3, "IQ_BOND_PRICE", $L58)),"")</f>
        <v>110.988</v>
      </c>
      <c r="X58" s="424">
        <f>IF(AND($L58&lt;&gt;"",X$3&lt;&gt;""),IF(NOT(ISNUMBER(_xll.ciqfunctions.udf.CIQ(X$3, "IQ_BOND_PRICE", $L58))),NA(),_xll.ciqfunctions.udf.CIQ(X$3, "IQ_BOND_PRICE", $L58)),"")</f>
        <v>112.193</v>
      </c>
      <c r="Y58" s="424">
        <f>IF(AND($L58&lt;&gt;"",Y$3&lt;&gt;""),IF(NOT(ISNUMBER(_xll.ciqfunctions.udf.CIQ(Y$3, "IQ_BOND_PRICE", $L58))),NA(),_xll.ciqfunctions.udf.CIQ(Y$3, "IQ_BOND_PRICE", $L58)),"")</f>
        <v>109.755</v>
      </c>
      <c r="Z58" s="424">
        <f>IF(AND($L58&lt;&gt;"",Z$3&lt;&gt;""),IF(NOT(ISNUMBER(_xll.ciqfunctions.udf.CIQ(Z$3, "IQ_BOND_PRICE", $L58))),NA(),_xll.ciqfunctions.udf.CIQ(Z$3, "IQ_BOND_PRICE", $L58)),"")</f>
        <v>0</v>
      </c>
      <c r="CZ58" s="426"/>
    </row>
    <row r="59" spans="12:104" x14ac:dyDescent="0.2">
      <c r="L59" s="425">
        <f t="shared" si="0"/>
        <v>44355</v>
      </c>
      <c r="M59" s="424">
        <f>IF(AND($L59&lt;&gt;"",M$3&lt;&gt;""),IF(NOT(ISNUMBER(_xll.ciqfunctions.udf.CIQ(M$3, "IQ_BOND_PRICE", $L59))),NA(),_xll.ciqfunctions.udf.CIQ(M$3, "IQ_BOND_PRICE", $L59)),"")</f>
        <v>101.374</v>
      </c>
      <c r="N59" s="424">
        <f>IF(AND($L59&lt;&gt;"",N$3&lt;&gt;""),IF(NOT(ISNUMBER(_xll.ciqfunctions.udf.CIQ(N$3, "IQ_BOND_PRICE", $L59))),NA(),_xll.ciqfunctions.udf.CIQ(N$3, "IQ_BOND_PRICE", $L59)),"")</f>
        <v>0</v>
      </c>
      <c r="O59" s="424">
        <f>IF(AND($L59&lt;&gt;"",O$3&lt;&gt;""),IF(NOT(ISNUMBER(_xll.ciqfunctions.udf.CIQ(O$3, "IQ_BOND_PRICE", $L59))),NA(),_xll.ciqfunctions.udf.CIQ(O$3, "IQ_BOND_PRICE", $L59)),"")</f>
        <v>102.99885999999999</v>
      </c>
      <c r="P59" s="424">
        <f>IF(AND($L59&lt;&gt;"",P$3&lt;&gt;""),IF(NOT(ISNUMBER(_xll.ciqfunctions.udf.CIQ(P$3, "IQ_BOND_PRICE", $L59))),NA(),_xll.ciqfunctions.udf.CIQ(P$3, "IQ_BOND_PRICE", $L59)),"")</f>
        <v>103.34291</v>
      </c>
      <c r="Q59" s="424">
        <f>IF(AND($L59&lt;&gt;"",Q$3&lt;&gt;""),IF(NOT(ISNUMBER(_xll.ciqfunctions.udf.CIQ(Q$3, "IQ_BOND_PRICE", $L59))),NA(),_xll.ciqfunctions.udf.CIQ(Q$3, "IQ_BOND_PRICE", $L59)),"")</f>
        <v>106.166</v>
      </c>
      <c r="R59" s="424">
        <f>IF(AND($L59&lt;&gt;"",R$3&lt;&gt;""),IF(NOT(ISNUMBER(_xll.ciqfunctions.udf.CIQ(R$3, "IQ_BOND_PRICE", $L59))),NA(),_xll.ciqfunctions.udf.CIQ(R$3, "IQ_BOND_PRICE", $L59)),"")</f>
        <v>114.645</v>
      </c>
      <c r="S59" s="424">
        <f>IF(AND($L59&lt;&gt;"",S$3&lt;&gt;""),IF(NOT(ISNUMBER(_xll.ciqfunctions.udf.CIQ(S$3, "IQ_BOND_PRICE", $L59))),NA(),_xll.ciqfunctions.udf.CIQ(S$3, "IQ_BOND_PRICE", $L59)),"")</f>
        <v>107.499</v>
      </c>
      <c r="T59" s="424">
        <f>IF(AND($L59&lt;&gt;"",T$3&lt;&gt;""),IF(NOT(ISNUMBER(_xll.ciqfunctions.udf.CIQ(T$3, "IQ_BOND_PRICE", $L59))),NA(),_xll.ciqfunctions.udf.CIQ(T$3, "IQ_BOND_PRICE", $L59)),"")</f>
        <v>107.15600000000001</v>
      </c>
      <c r="U59" s="424">
        <f>IF(AND($L59&lt;&gt;"",U$3&lt;&gt;""),IF(NOT(ISNUMBER(_xll.ciqfunctions.udf.CIQ(U$3, "IQ_BOND_PRICE", $L59))),NA(),_xll.ciqfunctions.udf.CIQ(U$3, "IQ_BOND_PRICE", $L59)),"")</f>
        <v>99.895880000000005</v>
      </c>
      <c r="V59" s="424">
        <f>IF(AND($L59&lt;&gt;"",V$3&lt;&gt;""),IF(NOT(ISNUMBER(_xll.ciqfunctions.udf.CIQ(V$3, "IQ_BOND_PRICE", $L59))),NA(),_xll.ciqfunctions.udf.CIQ(V$3, "IQ_BOND_PRICE", $L59)),"")</f>
        <v>107.04496</v>
      </c>
      <c r="W59" s="424">
        <f>IF(AND($L59&lt;&gt;"",W$3&lt;&gt;""),IF(NOT(ISNUMBER(_xll.ciqfunctions.udf.CIQ(W$3, "IQ_BOND_PRICE", $L59))),NA(),_xll.ciqfunctions.udf.CIQ(W$3, "IQ_BOND_PRICE", $L59)),"")</f>
        <v>111.16500000000001</v>
      </c>
      <c r="X59" s="424">
        <f>IF(AND($L59&lt;&gt;"",X$3&lt;&gt;""),IF(NOT(ISNUMBER(_xll.ciqfunctions.udf.CIQ(X$3, "IQ_BOND_PRICE", $L59))),NA(),_xll.ciqfunctions.udf.CIQ(X$3, "IQ_BOND_PRICE", $L59)),"")</f>
        <v>112.233</v>
      </c>
      <c r="Y59" s="424">
        <f>IF(AND($L59&lt;&gt;"",Y$3&lt;&gt;""),IF(NOT(ISNUMBER(_xll.ciqfunctions.udf.CIQ(Y$3, "IQ_BOND_PRICE", $L59))),NA(),_xll.ciqfunctions.udf.CIQ(Y$3, "IQ_BOND_PRICE", $L59)),"")</f>
        <v>109.825</v>
      </c>
      <c r="Z59" s="424">
        <f>IF(AND($L59&lt;&gt;"",Z$3&lt;&gt;""),IF(NOT(ISNUMBER(_xll.ciqfunctions.udf.CIQ(Z$3, "IQ_BOND_PRICE", $L59))),NA(),_xll.ciqfunctions.udf.CIQ(Z$3, "IQ_BOND_PRICE", $L59)),"")</f>
        <v>0</v>
      </c>
      <c r="CZ59" s="426"/>
    </row>
    <row r="60" spans="12:104" x14ac:dyDescent="0.2">
      <c r="L60" s="425">
        <f t="shared" si="0"/>
        <v>44356</v>
      </c>
      <c r="M60" s="424">
        <f>IF(AND($L60&lt;&gt;"",M$3&lt;&gt;""),IF(NOT(ISNUMBER(_xll.ciqfunctions.udf.CIQ(M$3, "IQ_BOND_PRICE", $L60))),NA(),_xll.ciqfunctions.udf.CIQ(M$3, "IQ_BOND_PRICE", $L60)),"")</f>
        <v>101.366</v>
      </c>
      <c r="N60" s="424">
        <f>IF(AND($L60&lt;&gt;"",N$3&lt;&gt;""),IF(NOT(ISNUMBER(_xll.ciqfunctions.udf.CIQ(N$3, "IQ_BOND_PRICE", $L60))),NA(),_xll.ciqfunctions.udf.CIQ(N$3, "IQ_BOND_PRICE", $L60)),"")</f>
        <v>0</v>
      </c>
      <c r="O60" s="424">
        <f>IF(AND($L60&lt;&gt;"",O$3&lt;&gt;""),IF(NOT(ISNUMBER(_xll.ciqfunctions.udf.CIQ(O$3, "IQ_BOND_PRICE", $L60))),NA(),_xll.ciqfunctions.udf.CIQ(O$3, "IQ_BOND_PRICE", $L60)),"")</f>
        <v>102.99299000000001</v>
      </c>
      <c r="P60" s="424">
        <f>IF(AND($L60&lt;&gt;"",P$3&lt;&gt;""),IF(NOT(ISNUMBER(_xll.ciqfunctions.udf.CIQ(P$3, "IQ_BOND_PRICE", $L60))),NA(),_xll.ciqfunctions.udf.CIQ(P$3, "IQ_BOND_PRICE", $L60)),"")</f>
        <v>103.72058</v>
      </c>
      <c r="Q60" s="424">
        <f>IF(AND($L60&lt;&gt;"",Q$3&lt;&gt;""),IF(NOT(ISNUMBER(_xll.ciqfunctions.udf.CIQ(Q$3, "IQ_BOND_PRICE", $L60))),NA(),_xll.ciqfunctions.udf.CIQ(Q$3, "IQ_BOND_PRICE", $L60)),"")</f>
        <v>106.071</v>
      </c>
      <c r="R60" s="424">
        <f>IF(AND($L60&lt;&gt;"",R$3&lt;&gt;""),IF(NOT(ISNUMBER(_xll.ciqfunctions.udf.CIQ(R$3, "IQ_BOND_PRICE", $L60))),NA(),_xll.ciqfunctions.udf.CIQ(R$3, "IQ_BOND_PRICE", $L60)),"")</f>
        <v>114.685</v>
      </c>
      <c r="S60" s="424">
        <f>IF(AND($L60&lt;&gt;"",S$3&lt;&gt;""),IF(NOT(ISNUMBER(_xll.ciqfunctions.udf.CIQ(S$3, "IQ_BOND_PRICE", $L60))),NA(),_xll.ciqfunctions.udf.CIQ(S$3, "IQ_BOND_PRICE", $L60)),"")</f>
        <v>107.565</v>
      </c>
      <c r="T60" s="424">
        <f>IF(AND($L60&lt;&gt;"",T$3&lt;&gt;""),IF(NOT(ISNUMBER(_xll.ciqfunctions.udf.CIQ(T$3, "IQ_BOND_PRICE", $L60))),NA(),_xll.ciqfunctions.udf.CIQ(T$3, "IQ_BOND_PRICE", $L60)),"")</f>
        <v>107.175</v>
      </c>
      <c r="U60" s="424">
        <f>IF(AND($L60&lt;&gt;"",U$3&lt;&gt;""),IF(NOT(ISNUMBER(_xll.ciqfunctions.udf.CIQ(U$3, "IQ_BOND_PRICE", $L60))),NA(),_xll.ciqfunctions.udf.CIQ(U$3, "IQ_BOND_PRICE", $L60)),"")</f>
        <v>99.911680000000004</v>
      </c>
      <c r="V60" s="424">
        <f>IF(AND($L60&lt;&gt;"",V$3&lt;&gt;""),IF(NOT(ISNUMBER(_xll.ciqfunctions.udf.CIQ(V$3, "IQ_BOND_PRICE", $L60))),NA(),_xll.ciqfunctions.udf.CIQ(V$3, "IQ_BOND_PRICE", $L60)),"")</f>
        <v>107.11962</v>
      </c>
      <c r="W60" s="424">
        <f>IF(AND($L60&lt;&gt;"",W$3&lt;&gt;""),IF(NOT(ISNUMBER(_xll.ciqfunctions.udf.CIQ(W$3, "IQ_BOND_PRICE", $L60))),NA(),_xll.ciqfunctions.udf.CIQ(W$3, "IQ_BOND_PRICE", $L60)),"")</f>
        <v>111.194</v>
      </c>
      <c r="X60" s="424">
        <f>IF(AND($L60&lt;&gt;"",X$3&lt;&gt;""),IF(NOT(ISNUMBER(_xll.ciqfunctions.udf.CIQ(X$3, "IQ_BOND_PRICE", $L60))),NA(),_xll.ciqfunctions.udf.CIQ(X$3, "IQ_BOND_PRICE", $L60)),"")</f>
        <v>112.295</v>
      </c>
      <c r="Y60" s="424">
        <f>IF(AND($L60&lt;&gt;"",Y$3&lt;&gt;""),IF(NOT(ISNUMBER(_xll.ciqfunctions.udf.CIQ(Y$3, "IQ_BOND_PRICE", $L60))),NA(),_xll.ciqfunctions.udf.CIQ(Y$3, "IQ_BOND_PRICE", $L60)),"")</f>
        <v>109.928</v>
      </c>
      <c r="Z60" s="424">
        <f>IF(AND($L60&lt;&gt;"",Z$3&lt;&gt;""),IF(NOT(ISNUMBER(_xll.ciqfunctions.udf.CIQ(Z$3, "IQ_BOND_PRICE", $L60))),NA(),_xll.ciqfunctions.udf.CIQ(Z$3, "IQ_BOND_PRICE", $L60)),"")</f>
        <v>0</v>
      </c>
      <c r="CZ60" s="426"/>
    </row>
    <row r="61" spans="12:104" x14ac:dyDescent="0.2">
      <c r="L61" s="425">
        <f t="shared" si="0"/>
        <v>44357</v>
      </c>
      <c r="M61" s="424">
        <f>IF(AND($L61&lt;&gt;"",M$3&lt;&gt;""),IF(NOT(ISNUMBER(_xll.ciqfunctions.udf.CIQ(M$3, "IQ_BOND_PRICE", $L61))),NA(),_xll.ciqfunctions.udf.CIQ(M$3, "IQ_BOND_PRICE", $L61)),"")</f>
        <v>101.34399999999999</v>
      </c>
      <c r="N61" s="424">
        <f>IF(AND($L61&lt;&gt;"",N$3&lt;&gt;""),IF(NOT(ISNUMBER(_xll.ciqfunctions.udf.CIQ(N$3, "IQ_BOND_PRICE", $L61))),NA(),_xll.ciqfunctions.udf.CIQ(N$3, "IQ_BOND_PRICE", $L61)),"")</f>
        <v>0</v>
      </c>
      <c r="O61" s="424">
        <f>IF(AND($L61&lt;&gt;"",O$3&lt;&gt;""),IF(NOT(ISNUMBER(_xll.ciqfunctions.udf.CIQ(O$3, "IQ_BOND_PRICE", $L61))),NA(),_xll.ciqfunctions.udf.CIQ(O$3, "IQ_BOND_PRICE", $L61)),"")</f>
        <v>103.01725</v>
      </c>
      <c r="P61" s="424">
        <f>IF(AND($L61&lt;&gt;"",P$3&lt;&gt;""),IF(NOT(ISNUMBER(_xll.ciqfunctions.udf.CIQ(P$3, "IQ_BOND_PRICE", $L61))),NA(),_xll.ciqfunctions.udf.CIQ(P$3, "IQ_BOND_PRICE", $L61)),"")</f>
        <v>103.68275</v>
      </c>
      <c r="Q61" s="424">
        <f>IF(AND($L61&lt;&gt;"",Q$3&lt;&gt;""),IF(NOT(ISNUMBER(_xll.ciqfunctions.udf.CIQ(Q$3, "IQ_BOND_PRICE", $L61))),NA(),_xll.ciqfunctions.udf.CIQ(Q$3, "IQ_BOND_PRICE", $L61)),"")</f>
        <v>106.05200000000001</v>
      </c>
      <c r="R61" s="424">
        <f>IF(AND($L61&lt;&gt;"",R$3&lt;&gt;""),IF(NOT(ISNUMBER(_xll.ciqfunctions.udf.CIQ(R$3, "IQ_BOND_PRICE", $L61))),NA(),_xll.ciqfunctions.udf.CIQ(R$3, "IQ_BOND_PRICE", $L61)),"")</f>
        <v>114.619</v>
      </c>
      <c r="S61" s="424">
        <f>IF(AND($L61&lt;&gt;"",S$3&lt;&gt;""),IF(NOT(ISNUMBER(_xll.ciqfunctions.udf.CIQ(S$3, "IQ_BOND_PRICE", $L61))),NA(),_xll.ciqfunctions.udf.CIQ(S$3, "IQ_BOND_PRICE", $L61)),"")</f>
        <v>107.56</v>
      </c>
      <c r="T61" s="424">
        <f>IF(AND($L61&lt;&gt;"",T$3&lt;&gt;""),IF(NOT(ISNUMBER(_xll.ciqfunctions.udf.CIQ(T$3, "IQ_BOND_PRICE", $L61))),NA(),_xll.ciqfunctions.udf.CIQ(T$3, "IQ_BOND_PRICE", $L61)),"")</f>
        <v>107.17100000000001</v>
      </c>
      <c r="U61" s="424">
        <f>IF(AND($L61&lt;&gt;"",U$3&lt;&gt;""),IF(NOT(ISNUMBER(_xll.ciqfunctions.udf.CIQ(U$3, "IQ_BOND_PRICE", $L61))),NA(),_xll.ciqfunctions.udf.CIQ(U$3, "IQ_BOND_PRICE", $L61)),"")</f>
        <v>99.903310000000005</v>
      </c>
      <c r="V61" s="424">
        <f>IF(AND($L61&lt;&gt;"",V$3&lt;&gt;""),IF(NOT(ISNUMBER(_xll.ciqfunctions.udf.CIQ(V$3, "IQ_BOND_PRICE", $L61))),NA(),_xll.ciqfunctions.udf.CIQ(V$3, "IQ_BOND_PRICE", $L61)),"")</f>
        <v>107.0967</v>
      </c>
      <c r="W61" s="424">
        <f>IF(AND($L61&lt;&gt;"",W$3&lt;&gt;""),IF(NOT(ISNUMBER(_xll.ciqfunctions.udf.CIQ(W$3, "IQ_BOND_PRICE", $L61))),NA(),_xll.ciqfunctions.udf.CIQ(W$3, "IQ_BOND_PRICE", $L61)),"")</f>
        <v>111.215</v>
      </c>
      <c r="X61" s="424">
        <f>IF(AND($L61&lt;&gt;"",X$3&lt;&gt;""),IF(NOT(ISNUMBER(_xll.ciqfunctions.udf.CIQ(X$3, "IQ_BOND_PRICE", $L61))),NA(),_xll.ciqfunctions.udf.CIQ(X$3, "IQ_BOND_PRICE", $L61)),"")</f>
        <v>112.274</v>
      </c>
      <c r="Y61" s="424">
        <f>IF(AND($L61&lt;&gt;"",Y$3&lt;&gt;""),IF(NOT(ISNUMBER(_xll.ciqfunctions.udf.CIQ(Y$3, "IQ_BOND_PRICE", $L61))),NA(),_xll.ciqfunctions.udf.CIQ(Y$3, "IQ_BOND_PRICE", $L61)),"")</f>
        <v>110.029</v>
      </c>
      <c r="Z61" s="424">
        <f>IF(AND($L61&lt;&gt;"",Z$3&lt;&gt;""),IF(NOT(ISNUMBER(_xll.ciqfunctions.udf.CIQ(Z$3, "IQ_BOND_PRICE", $L61))),NA(),_xll.ciqfunctions.udf.CIQ(Z$3, "IQ_BOND_PRICE", $L61)),"")</f>
        <v>0</v>
      </c>
      <c r="CZ61" s="426"/>
    </row>
    <row r="62" spans="12:104" x14ac:dyDescent="0.2">
      <c r="L62" s="425">
        <f t="shared" si="0"/>
        <v>44358</v>
      </c>
      <c r="M62" s="424">
        <f>IF(AND($L62&lt;&gt;"",M$3&lt;&gt;""),IF(NOT(ISNUMBER(_xll.ciqfunctions.udf.CIQ(M$3, "IQ_BOND_PRICE", $L62))),NA(),_xll.ciqfunctions.udf.CIQ(M$3, "IQ_BOND_PRICE", $L62)),"")</f>
        <v>101.339</v>
      </c>
      <c r="N62" s="424">
        <f>IF(AND($L62&lt;&gt;"",N$3&lt;&gt;""),IF(NOT(ISNUMBER(_xll.ciqfunctions.udf.CIQ(N$3, "IQ_BOND_PRICE", $L62))),NA(),_xll.ciqfunctions.udf.CIQ(N$3, "IQ_BOND_PRICE", $L62)),"")</f>
        <v>0</v>
      </c>
      <c r="O62" s="424">
        <f>IF(AND($L62&lt;&gt;"",O$3&lt;&gt;""),IF(NOT(ISNUMBER(_xll.ciqfunctions.udf.CIQ(O$3, "IQ_BOND_PRICE", $L62))),NA(),_xll.ciqfunctions.udf.CIQ(O$3, "IQ_BOND_PRICE", $L62)),"")</f>
        <v>102.99225</v>
      </c>
      <c r="P62" s="424">
        <f>IF(AND($L62&lt;&gt;"",P$3&lt;&gt;""),IF(NOT(ISNUMBER(_xll.ciqfunctions.udf.CIQ(P$3, "IQ_BOND_PRICE", $L62))),NA(),_xll.ciqfunctions.udf.CIQ(P$3, "IQ_BOND_PRICE", $L62)),"")</f>
        <v>103.69906</v>
      </c>
      <c r="Q62" s="424">
        <f>IF(AND($L62&lt;&gt;"",Q$3&lt;&gt;""),IF(NOT(ISNUMBER(_xll.ciqfunctions.udf.CIQ(Q$3, "IQ_BOND_PRICE", $L62))),NA(),_xll.ciqfunctions.udf.CIQ(Q$3, "IQ_BOND_PRICE", $L62)),"")</f>
        <v>106.081</v>
      </c>
      <c r="R62" s="424">
        <f>IF(AND($L62&lt;&gt;"",R$3&lt;&gt;""),IF(NOT(ISNUMBER(_xll.ciqfunctions.udf.CIQ(R$3, "IQ_BOND_PRICE", $L62))),NA(),_xll.ciqfunctions.udf.CIQ(R$3, "IQ_BOND_PRICE", $L62)),"")</f>
        <v>114.601</v>
      </c>
      <c r="S62" s="424">
        <f>IF(AND($L62&lt;&gt;"",S$3&lt;&gt;""),IF(NOT(ISNUMBER(_xll.ciqfunctions.udf.CIQ(S$3, "IQ_BOND_PRICE", $L62))),NA(),_xll.ciqfunctions.udf.CIQ(S$3, "IQ_BOND_PRICE", $L62)),"")</f>
        <v>107.633</v>
      </c>
      <c r="T62" s="424">
        <f>IF(AND($L62&lt;&gt;"",T$3&lt;&gt;""),IF(NOT(ISNUMBER(_xll.ciqfunctions.udf.CIQ(T$3, "IQ_BOND_PRICE", $L62))),NA(),_xll.ciqfunctions.udf.CIQ(T$3, "IQ_BOND_PRICE", $L62)),"")</f>
        <v>107.131</v>
      </c>
      <c r="U62" s="424">
        <f>IF(AND($L62&lt;&gt;"",U$3&lt;&gt;""),IF(NOT(ISNUMBER(_xll.ciqfunctions.udf.CIQ(U$3, "IQ_BOND_PRICE", $L62))),NA(),_xll.ciqfunctions.udf.CIQ(U$3, "IQ_BOND_PRICE", $L62)),"")</f>
        <v>99.926180000000002</v>
      </c>
      <c r="V62" s="424">
        <f>IF(AND($L62&lt;&gt;"",V$3&lt;&gt;""),IF(NOT(ISNUMBER(_xll.ciqfunctions.udf.CIQ(V$3, "IQ_BOND_PRICE", $L62))),NA(),_xll.ciqfunctions.udf.CIQ(V$3, "IQ_BOND_PRICE", $L62)),"")</f>
        <v>107.05656999999999</v>
      </c>
      <c r="W62" s="424">
        <f>IF(AND($L62&lt;&gt;"",W$3&lt;&gt;""),IF(NOT(ISNUMBER(_xll.ciqfunctions.udf.CIQ(W$3, "IQ_BOND_PRICE", $L62))),NA(),_xll.ciqfunctions.udf.CIQ(W$3, "IQ_BOND_PRICE", $L62)),"")</f>
        <v>111.143</v>
      </c>
      <c r="X62" s="424">
        <f>IF(AND($L62&lt;&gt;"",X$3&lt;&gt;""),IF(NOT(ISNUMBER(_xll.ciqfunctions.udf.CIQ(X$3, "IQ_BOND_PRICE", $L62))),NA(),_xll.ciqfunctions.udf.CIQ(X$3, "IQ_BOND_PRICE", $L62)),"")</f>
        <v>112.33199999999999</v>
      </c>
      <c r="Y62" s="424">
        <f>IF(AND($L62&lt;&gt;"",Y$3&lt;&gt;""),IF(NOT(ISNUMBER(_xll.ciqfunctions.udf.CIQ(Y$3, "IQ_BOND_PRICE", $L62))),NA(),_xll.ciqfunctions.udf.CIQ(Y$3, "IQ_BOND_PRICE", $L62)),"")</f>
        <v>110.047</v>
      </c>
      <c r="Z62" s="424">
        <f>IF(AND($L62&lt;&gt;"",Z$3&lt;&gt;""),IF(NOT(ISNUMBER(_xll.ciqfunctions.udf.CIQ(Z$3, "IQ_BOND_PRICE", $L62))),NA(),_xll.ciqfunctions.udf.CIQ(Z$3, "IQ_BOND_PRICE", $L62)),"")</f>
        <v>0</v>
      </c>
      <c r="CZ62" s="426"/>
    </row>
    <row r="63" spans="12:104" x14ac:dyDescent="0.2">
      <c r="L63" s="425">
        <f t="shared" si="0"/>
        <v>44361</v>
      </c>
      <c r="M63" s="424">
        <f>IF(AND($L63&lt;&gt;"",M$3&lt;&gt;""),IF(NOT(ISNUMBER(_xll.ciqfunctions.udf.CIQ(M$3, "IQ_BOND_PRICE", $L63))),NA(),_xll.ciqfunctions.udf.CIQ(M$3, "IQ_BOND_PRICE", $L63)),"")</f>
        <v>101.333</v>
      </c>
      <c r="N63" s="424">
        <f>IF(AND($L63&lt;&gt;"",N$3&lt;&gt;""),IF(NOT(ISNUMBER(_xll.ciqfunctions.udf.CIQ(N$3, "IQ_BOND_PRICE", $L63))),NA(),_xll.ciqfunctions.udf.CIQ(N$3, "IQ_BOND_PRICE", $L63)),"")</f>
        <v>0</v>
      </c>
      <c r="O63" s="424">
        <f>IF(AND($L63&lt;&gt;"",O$3&lt;&gt;""),IF(NOT(ISNUMBER(_xll.ciqfunctions.udf.CIQ(O$3, "IQ_BOND_PRICE", $L63))),NA(),_xll.ciqfunctions.udf.CIQ(O$3, "IQ_BOND_PRICE", $L63)),"")</f>
        <v>102.98307</v>
      </c>
      <c r="P63" s="424">
        <f>IF(AND($L63&lt;&gt;"",P$3&lt;&gt;""),IF(NOT(ISNUMBER(_xll.ciqfunctions.udf.CIQ(P$3, "IQ_BOND_PRICE", $L63))),NA(),_xll.ciqfunctions.udf.CIQ(P$3, "IQ_BOND_PRICE", $L63)),"")</f>
        <v>103.72926</v>
      </c>
      <c r="Q63" s="424">
        <f>IF(AND($L63&lt;&gt;"",Q$3&lt;&gt;""),IF(NOT(ISNUMBER(_xll.ciqfunctions.udf.CIQ(Q$3, "IQ_BOND_PRICE", $L63))),NA(),_xll.ciqfunctions.udf.CIQ(Q$3, "IQ_BOND_PRICE", $L63)),"")</f>
        <v>106.03100000000001</v>
      </c>
      <c r="R63" s="424">
        <f>IF(AND($L63&lt;&gt;"",R$3&lt;&gt;""),IF(NOT(ISNUMBER(_xll.ciqfunctions.udf.CIQ(R$3, "IQ_BOND_PRICE", $L63))),NA(),_xll.ciqfunctions.udf.CIQ(R$3, "IQ_BOND_PRICE", $L63)),"")</f>
        <v>114.529</v>
      </c>
      <c r="S63" s="424">
        <f>IF(AND($L63&lt;&gt;"",S$3&lt;&gt;""),IF(NOT(ISNUMBER(_xll.ciqfunctions.udf.CIQ(S$3, "IQ_BOND_PRICE", $L63))),NA(),_xll.ciqfunctions.udf.CIQ(S$3, "IQ_BOND_PRICE", $L63)),"")</f>
        <v>107.557</v>
      </c>
      <c r="T63" s="424">
        <f>IF(AND($L63&lt;&gt;"",T$3&lt;&gt;""),IF(NOT(ISNUMBER(_xll.ciqfunctions.udf.CIQ(T$3, "IQ_BOND_PRICE", $L63))),NA(),_xll.ciqfunctions.udf.CIQ(T$3, "IQ_BOND_PRICE", $L63)),"")</f>
        <v>107.077</v>
      </c>
      <c r="U63" s="424">
        <f>IF(AND($L63&lt;&gt;"",U$3&lt;&gt;""),IF(NOT(ISNUMBER(_xll.ciqfunctions.udf.CIQ(U$3, "IQ_BOND_PRICE", $L63))),NA(),_xll.ciqfunctions.udf.CIQ(U$3, "IQ_BOND_PRICE", $L63)),"")</f>
        <v>99.915369999999996</v>
      </c>
      <c r="V63" s="424">
        <f>IF(AND($L63&lt;&gt;"",V$3&lt;&gt;""),IF(NOT(ISNUMBER(_xll.ciqfunctions.udf.CIQ(V$3, "IQ_BOND_PRICE", $L63))),NA(),_xll.ciqfunctions.udf.CIQ(V$3, "IQ_BOND_PRICE", $L63)),"")</f>
        <v>106.96281999999999</v>
      </c>
      <c r="W63" s="424">
        <f>IF(AND($L63&lt;&gt;"",W$3&lt;&gt;""),IF(NOT(ISNUMBER(_xll.ciqfunctions.udf.CIQ(W$3, "IQ_BOND_PRICE", $L63))),NA(),_xll.ciqfunctions.udf.CIQ(W$3, "IQ_BOND_PRICE", $L63)),"")</f>
        <v>110.985</v>
      </c>
      <c r="X63" s="424">
        <f>IF(AND($L63&lt;&gt;"",X$3&lt;&gt;""),IF(NOT(ISNUMBER(_xll.ciqfunctions.udf.CIQ(X$3, "IQ_BOND_PRICE", $L63))),NA(),_xll.ciqfunctions.udf.CIQ(X$3, "IQ_BOND_PRICE", $L63)),"")</f>
        <v>112.252</v>
      </c>
      <c r="Y63" s="424">
        <f>IF(AND($L63&lt;&gt;"",Y$3&lt;&gt;""),IF(NOT(ISNUMBER(_xll.ciqfunctions.udf.CIQ(Y$3, "IQ_BOND_PRICE", $L63))),NA(),_xll.ciqfunctions.udf.CIQ(Y$3, "IQ_BOND_PRICE", $L63)),"")</f>
        <v>109.79900000000001</v>
      </c>
      <c r="Z63" s="424">
        <f>IF(AND($L63&lt;&gt;"",Z$3&lt;&gt;""),IF(NOT(ISNUMBER(_xll.ciqfunctions.udf.CIQ(Z$3, "IQ_BOND_PRICE", $L63))),NA(),_xll.ciqfunctions.udf.CIQ(Z$3, "IQ_BOND_PRICE", $L63)),"")</f>
        <v>0</v>
      </c>
      <c r="CZ63" s="426"/>
    </row>
    <row r="64" spans="12:104" x14ac:dyDescent="0.2">
      <c r="L64" s="425">
        <f t="shared" si="0"/>
        <v>44362</v>
      </c>
      <c r="M64" s="424">
        <f>IF(AND($L64&lt;&gt;"",M$3&lt;&gt;""),IF(NOT(ISNUMBER(_xll.ciqfunctions.udf.CIQ(M$3, "IQ_BOND_PRICE", $L64))),NA(),_xll.ciqfunctions.udf.CIQ(M$3, "IQ_BOND_PRICE", $L64)),"")</f>
        <v>101.319</v>
      </c>
      <c r="N64" s="424">
        <f>IF(AND($L64&lt;&gt;"",N$3&lt;&gt;""),IF(NOT(ISNUMBER(_xll.ciqfunctions.udf.CIQ(N$3, "IQ_BOND_PRICE", $L64))),NA(),_xll.ciqfunctions.udf.CIQ(N$3, "IQ_BOND_PRICE", $L64)),"")</f>
        <v>0</v>
      </c>
      <c r="O64" s="424">
        <f>IF(AND($L64&lt;&gt;"",O$3&lt;&gt;""),IF(NOT(ISNUMBER(_xll.ciqfunctions.udf.CIQ(O$3, "IQ_BOND_PRICE", $L64))),NA(),_xll.ciqfunctions.udf.CIQ(O$3, "IQ_BOND_PRICE", $L64)),"")</f>
        <v>102.97812</v>
      </c>
      <c r="P64" s="424">
        <f>IF(AND($L64&lt;&gt;"",P$3&lt;&gt;""),IF(NOT(ISNUMBER(_xll.ciqfunctions.udf.CIQ(P$3, "IQ_BOND_PRICE", $L64))),NA(),_xll.ciqfunctions.udf.CIQ(P$3, "IQ_BOND_PRICE", $L64)),"")</f>
        <v>103.71210000000001</v>
      </c>
      <c r="Q64" s="424">
        <f>IF(AND($L64&lt;&gt;"",Q$3&lt;&gt;""),IF(NOT(ISNUMBER(_xll.ciqfunctions.udf.CIQ(Q$3, "IQ_BOND_PRICE", $L64))),NA(),_xll.ciqfunctions.udf.CIQ(Q$3, "IQ_BOND_PRICE", $L64)),"")</f>
        <v>106.077</v>
      </c>
      <c r="R64" s="424">
        <f>IF(AND($L64&lt;&gt;"",R$3&lt;&gt;""),IF(NOT(ISNUMBER(_xll.ciqfunctions.udf.CIQ(R$3, "IQ_BOND_PRICE", $L64))),NA(),_xll.ciqfunctions.udf.CIQ(R$3, "IQ_BOND_PRICE", $L64)),"")</f>
        <v>114.465</v>
      </c>
      <c r="S64" s="424">
        <f>IF(AND($L64&lt;&gt;"",S$3&lt;&gt;""),IF(NOT(ISNUMBER(_xll.ciqfunctions.udf.CIQ(S$3, "IQ_BOND_PRICE", $L64))),NA(),_xll.ciqfunctions.udf.CIQ(S$3, "IQ_BOND_PRICE", $L64)),"")</f>
        <v>107.483</v>
      </c>
      <c r="T64" s="424">
        <f>IF(AND($L64&lt;&gt;"",T$3&lt;&gt;""),IF(NOT(ISNUMBER(_xll.ciqfunctions.udf.CIQ(T$3, "IQ_BOND_PRICE", $L64))),NA(),_xll.ciqfunctions.udf.CIQ(T$3, "IQ_BOND_PRICE", $L64)),"")</f>
        <v>107.04900000000001</v>
      </c>
      <c r="U64" s="424">
        <f>IF(AND($L64&lt;&gt;"",U$3&lt;&gt;""),IF(NOT(ISNUMBER(_xll.ciqfunctions.udf.CIQ(U$3, "IQ_BOND_PRICE", $L64))),NA(),_xll.ciqfunctions.udf.CIQ(U$3, "IQ_BOND_PRICE", $L64)),"")</f>
        <v>99.909850000000006</v>
      </c>
      <c r="V64" s="424">
        <f>IF(AND($L64&lt;&gt;"",V$3&lt;&gt;""),IF(NOT(ISNUMBER(_xll.ciqfunctions.udf.CIQ(V$3, "IQ_BOND_PRICE", $L64))),NA(),_xll.ciqfunctions.udf.CIQ(V$3, "IQ_BOND_PRICE", $L64)),"")</f>
        <v>106.93881</v>
      </c>
      <c r="W64" s="424">
        <f>IF(AND($L64&lt;&gt;"",W$3&lt;&gt;""),IF(NOT(ISNUMBER(_xll.ciqfunctions.udf.CIQ(W$3, "IQ_BOND_PRICE", $L64))),NA(),_xll.ciqfunctions.udf.CIQ(W$3, "IQ_BOND_PRICE", $L64)),"")</f>
        <v>110.873</v>
      </c>
      <c r="X64" s="424">
        <f>IF(AND($L64&lt;&gt;"",X$3&lt;&gt;""),IF(NOT(ISNUMBER(_xll.ciqfunctions.udf.CIQ(X$3, "IQ_BOND_PRICE", $L64))),NA(),_xll.ciqfunctions.udf.CIQ(X$3, "IQ_BOND_PRICE", $L64)),"")</f>
        <v>112.21599999999999</v>
      </c>
      <c r="Y64" s="424">
        <f>IF(AND($L64&lt;&gt;"",Y$3&lt;&gt;""),IF(NOT(ISNUMBER(_xll.ciqfunctions.udf.CIQ(Y$3, "IQ_BOND_PRICE", $L64))),NA(),_xll.ciqfunctions.udf.CIQ(Y$3, "IQ_BOND_PRICE", $L64)),"")</f>
        <v>109.846</v>
      </c>
      <c r="Z64" s="424">
        <f>IF(AND($L64&lt;&gt;"",Z$3&lt;&gt;""),IF(NOT(ISNUMBER(_xll.ciqfunctions.udf.CIQ(Z$3, "IQ_BOND_PRICE", $L64))),NA(),_xll.ciqfunctions.udf.CIQ(Z$3, "IQ_BOND_PRICE", $L64)),"")</f>
        <v>0</v>
      </c>
      <c r="CZ64" s="426"/>
    </row>
    <row r="65" spans="12:104" x14ac:dyDescent="0.2">
      <c r="L65" s="425">
        <f t="shared" si="0"/>
        <v>44363</v>
      </c>
      <c r="M65" s="424">
        <f>IF(AND($L65&lt;&gt;"",M$3&lt;&gt;""),IF(NOT(ISNUMBER(_xll.ciqfunctions.udf.CIQ(M$3, "IQ_BOND_PRICE", $L65))),NA(),_xll.ciqfunctions.udf.CIQ(M$3, "IQ_BOND_PRICE", $L65)),"")</f>
        <v>101.315</v>
      </c>
      <c r="N65" s="424">
        <f>IF(AND($L65&lt;&gt;"",N$3&lt;&gt;""),IF(NOT(ISNUMBER(_xll.ciqfunctions.udf.CIQ(N$3, "IQ_BOND_PRICE", $L65))),NA(),_xll.ciqfunctions.udf.CIQ(N$3, "IQ_BOND_PRICE", $L65)),"")</f>
        <v>0</v>
      </c>
      <c r="O65" s="424">
        <f>IF(AND($L65&lt;&gt;"",O$3&lt;&gt;""),IF(NOT(ISNUMBER(_xll.ciqfunctions.udf.CIQ(O$3, "IQ_BOND_PRICE", $L65))),NA(),_xll.ciqfunctions.udf.CIQ(O$3, "IQ_BOND_PRICE", $L65)),"")</f>
        <v>102.91472</v>
      </c>
      <c r="P65" s="424">
        <f>IF(AND($L65&lt;&gt;"",P$3&lt;&gt;""),IF(NOT(ISNUMBER(_xll.ciqfunctions.udf.CIQ(P$3, "IQ_BOND_PRICE", $L65))),NA(),_xll.ciqfunctions.udf.CIQ(P$3, "IQ_BOND_PRICE", $L65)),"")</f>
        <v>103.63437999999999</v>
      </c>
      <c r="Q65" s="424">
        <f>IF(AND($L65&lt;&gt;"",Q$3&lt;&gt;""),IF(NOT(ISNUMBER(_xll.ciqfunctions.udf.CIQ(Q$3, "IQ_BOND_PRICE", $L65))),NA(),_xll.ciqfunctions.udf.CIQ(Q$3, "IQ_BOND_PRICE", $L65)),"")</f>
        <v>105.953</v>
      </c>
      <c r="R65" s="424">
        <f>IF(AND($L65&lt;&gt;"",R$3&lt;&gt;""),IF(NOT(ISNUMBER(_xll.ciqfunctions.udf.CIQ(R$3, "IQ_BOND_PRICE", $L65))),NA(),_xll.ciqfunctions.udf.CIQ(R$3, "IQ_BOND_PRICE", $L65)),"")</f>
        <v>114.324</v>
      </c>
      <c r="S65" s="424">
        <f>IF(AND($L65&lt;&gt;"",S$3&lt;&gt;""),IF(NOT(ISNUMBER(_xll.ciqfunctions.udf.CIQ(S$3, "IQ_BOND_PRICE", $L65))),NA(),_xll.ciqfunctions.udf.CIQ(S$3, "IQ_BOND_PRICE", $L65)),"")</f>
        <v>107.298</v>
      </c>
      <c r="T65" s="424">
        <f>IF(AND($L65&lt;&gt;"",T$3&lt;&gt;""),IF(NOT(ISNUMBER(_xll.ciqfunctions.udf.CIQ(T$3, "IQ_BOND_PRICE", $L65))),NA(),_xll.ciqfunctions.udf.CIQ(T$3, "IQ_BOND_PRICE", $L65)),"")</f>
        <v>106.84099999999999</v>
      </c>
      <c r="U65" s="424">
        <f>IF(AND($L65&lt;&gt;"",U$3&lt;&gt;""),IF(NOT(ISNUMBER(_xll.ciqfunctions.udf.CIQ(U$3, "IQ_BOND_PRICE", $L65))),NA(),_xll.ciqfunctions.udf.CIQ(U$3, "IQ_BOND_PRICE", $L65)),"")</f>
        <v>99.928809999999999</v>
      </c>
      <c r="V65" s="424">
        <f>IF(AND($L65&lt;&gt;"",V$3&lt;&gt;""),IF(NOT(ISNUMBER(_xll.ciqfunctions.udf.CIQ(V$3, "IQ_BOND_PRICE", $L65))),NA(),_xll.ciqfunctions.udf.CIQ(V$3, "IQ_BOND_PRICE", $L65)),"")</f>
        <v>106.74401</v>
      </c>
      <c r="W65" s="424">
        <f>IF(AND($L65&lt;&gt;"",W$3&lt;&gt;""),IF(NOT(ISNUMBER(_xll.ciqfunctions.udf.CIQ(W$3, "IQ_BOND_PRICE", $L65))),NA(),_xll.ciqfunctions.udf.CIQ(W$3, "IQ_BOND_PRICE", $L65)),"")</f>
        <v>110.584</v>
      </c>
      <c r="X65" s="424">
        <f>IF(AND($L65&lt;&gt;"",X$3&lt;&gt;""),IF(NOT(ISNUMBER(_xll.ciqfunctions.udf.CIQ(X$3, "IQ_BOND_PRICE", $L65))),NA(),_xll.ciqfunctions.udf.CIQ(X$3, "IQ_BOND_PRICE", $L65)),"")</f>
        <v>112.209</v>
      </c>
      <c r="Y65" s="424">
        <f>IF(AND($L65&lt;&gt;"",Y$3&lt;&gt;""),IF(NOT(ISNUMBER(_xll.ciqfunctions.udf.CIQ(Y$3, "IQ_BOND_PRICE", $L65))),NA(),_xll.ciqfunctions.udf.CIQ(Y$3, "IQ_BOND_PRICE", $L65)),"")</f>
        <v>109.49</v>
      </c>
      <c r="Z65" s="424">
        <f>IF(AND($L65&lt;&gt;"",Z$3&lt;&gt;""),IF(NOT(ISNUMBER(_xll.ciqfunctions.udf.CIQ(Z$3, "IQ_BOND_PRICE", $L65))),NA(),_xll.ciqfunctions.udf.CIQ(Z$3, "IQ_BOND_PRICE", $L65)),"")</f>
        <v>0</v>
      </c>
      <c r="CZ65" s="426"/>
    </row>
    <row r="66" spans="12:104" x14ac:dyDescent="0.2">
      <c r="L66" s="425">
        <f t="shared" si="0"/>
        <v>44364</v>
      </c>
      <c r="M66" s="424">
        <f>IF(AND($L66&lt;&gt;"",M$3&lt;&gt;""),IF(NOT(ISNUMBER(_xll.ciqfunctions.udf.CIQ(M$3, "IQ_BOND_PRICE", $L66))),NA(),_xll.ciqfunctions.udf.CIQ(M$3, "IQ_BOND_PRICE", $L66)),"")</f>
        <v>101.304</v>
      </c>
      <c r="N66" s="424">
        <f>IF(AND($L66&lt;&gt;"",N$3&lt;&gt;""),IF(NOT(ISNUMBER(_xll.ciqfunctions.udf.CIQ(N$3, "IQ_BOND_PRICE", $L66))),NA(),_xll.ciqfunctions.udf.CIQ(N$3, "IQ_BOND_PRICE", $L66)),"")</f>
        <v>0</v>
      </c>
      <c r="O66" s="424">
        <f>IF(AND($L66&lt;&gt;"",O$3&lt;&gt;""),IF(NOT(ISNUMBER(_xll.ciqfunctions.udf.CIQ(O$3, "IQ_BOND_PRICE", $L66))),NA(),_xll.ciqfunctions.udf.CIQ(O$3, "IQ_BOND_PRICE", $L66)),"")</f>
        <v>102.91118</v>
      </c>
      <c r="P66" s="424">
        <f>IF(AND($L66&lt;&gt;"",P$3&lt;&gt;""),IF(NOT(ISNUMBER(_xll.ciqfunctions.udf.CIQ(P$3, "IQ_BOND_PRICE", $L66))),NA(),_xll.ciqfunctions.udf.CIQ(P$3, "IQ_BOND_PRICE", $L66)),"")</f>
        <v>103.57252</v>
      </c>
      <c r="Q66" s="424">
        <f>IF(AND($L66&lt;&gt;"",Q$3&lt;&gt;""),IF(NOT(ISNUMBER(_xll.ciqfunctions.udf.CIQ(Q$3, "IQ_BOND_PRICE", $L66))),NA(),_xll.ciqfunctions.udf.CIQ(Q$3, "IQ_BOND_PRICE", $L66)),"")</f>
        <v>106.032</v>
      </c>
      <c r="R66" s="424">
        <f>IF(AND($L66&lt;&gt;"",R$3&lt;&gt;""),IF(NOT(ISNUMBER(_xll.ciqfunctions.udf.CIQ(R$3, "IQ_BOND_PRICE", $L66))),NA(),_xll.ciqfunctions.udf.CIQ(R$3, "IQ_BOND_PRICE", $L66)),"")</f>
        <v>114.235</v>
      </c>
      <c r="S66" s="424">
        <f>IF(AND($L66&lt;&gt;"",S$3&lt;&gt;""),IF(NOT(ISNUMBER(_xll.ciqfunctions.udf.CIQ(S$3, "IQ_BOND_PRICE", $L66))),NA(),_xll.ciqfunctions.udf.CIQ(S$3, "IQ_BOND_PRICE", $L66)),"")</f>
        <v>107.203</v>
      </c>
      <c r="T66" s="424">
        <f>IF(AND($L66&lt;&gt;"",T$3&lt;&gt;""),IF(NOT(ISNUMBER(_xll.ciqfunctions.udf.CIQ(T$3, "IQ_BOND_PRICE", $L66))),NA(),_xll.ciqfunctions.udf.CIQ(T$3, "IQ_BOND_PRICE", $L66)),"")</f>
        <v>106.741</v>
      </c>
      <c r="U66" s="424">
        <f>IF(AND($L66&lt;&gt;"",U$3&lt;&gt;""),IF(NOT(ISNUMBER(_xll.ciqfunctions.udf.CIQ(U$3, "IQ_BOND_PRICE", $L66))),NA(),_xll.ciqfunctions.udf.CIQ(U$3, "IQ_BOND_PRICE", $L66)),"")</f>
        <v>99.883840000000006</v>
      </c>
      <c r="V66" s="424">
        <f>IF(AND($L66&lt;&gt;"",V$3&lt;&gt;""),IF(NOT(ISNUMBER(_xll.ciqfunctions.udf.CIQ(V$3, "IQ_BOND_PRICE", $L66))),NA(),_xll.ciqfunctions.udf.CIQ(V$3, "IQ_BOND_PRICE", $L66)),"")</f>
        <v>106.65794</v>
      </c>
      <c r="W66" s="424">
        <f>IF(AND($L66&lt;&gt;"",W$3&lt;&gt;""),IF(NOT(ISNUMBER(_xll.ciqfunctions.udf.CIQ(W$3, "IQ_BOND_PRICE", $L66))),NA(),_xll.ciqfunctions.udf.CIQ(W$3, "IQ_BOND_PRICE", $L66)),"")</f>
        <v>110.69799999999999</v>
      </c>
      <c r="X66" s="424">
        <f>IF(AND($L66&lt;&gt;"",X$3&lt;&gt;""),IF(NOT(ISNUMBER(_xll.ciqfunctions.udf.CIQ(X$3, "IQ_BOND_PRICE", $L66))),NA(),_xll.ciqfunctions.udf.CIQ(X$3, "IQ_BOND_PRICE", $L66)),"")</f>
        <v>112.13500000000001</v>
      </c>
      <c r="Y66" s="424">
        <f>IF(AND($L66&lt;&gt;"",Y$3&lt;&gt;""),IF(NOT(ISNUMBER(_xll.ciqfunctions.udf.CIQ(Y$3, "IQ_BOND_PRICE", $L66))),NA(),_xll.ciqfunctions.udf.CIQ(Y$3, "IQ_BOND_PRICE", $L66)),"")</f>
        <v>109.49</v>
      </c>
      <c r="Z66" s="424">
        <f>IF(AND($L66&lt;&gt;"",Z$3&lt;&gt;""),IF(NOT(ISNUMBER(_xll.ciqfunctions.udf.CIQ(Z$3, "IQ_BOND_PRICE", $L66))),NA(),_xll.ciqfunctions.udf.CIQ(Z$3, "IQ_BOND_PRICE", $L66)),"")</f>
        <v>0</v>
      </c>
      <c r="CZ66" s="426"/>
    </row>
    <row r="67" spans="12:104" x14ac:dyDescent="0.2">
      <c r="L67" s="425">
        <f t="shared" si="0"/>
        <v>44365</v>
      </c>
      <c r="M67" s="424">
        <f>IF(AND($L67&lt;&gt;"",M$3&lt;&gt;""),IF(NOT(ISNUMBER(_xll.ciqfunctions.udf.CIQ(M$3, "IQ_BOND_PRICE", $L67))),NA(),_xll.ciqfunctions.udf.CIQ(M$3, "IQ_BOND_PRICE", $L67)),"")</f>
        <v>101.292</v>
      </c>
      <c r="N67" s="424">
        <f>IF(AND($L67&lt;&gt;"",N$3&lt;&gt;""),IF(NOT(ISNUMBER(_xll.ciqfunctions.udf.CIQ(N$3, "IQ_BOND_PRICE", $L67))),NA(),_xll.ciqfunctions.udf.CIQ(N$3, "IQ_BOND_PRICE", $L67)),"")</f>
        <v>0</v>
      </c>
      <c r="O67" s="424">
        <f>IF(AND($L67&lt;&gt;"",O$3&lt;&gt;""),IF(NOT(ISNUMBER(_xll.ciqfunctions.udf.CIQ(O$3, "IQ_BOND_PRICE", $L67))),NA(),_xll.ciqfunctions.udf.CIQ(O$3, "IQ_BOND_PRICE", $L67)),"")</f>
        <v>102.90022</v>
      </c>
      <c r="P67" s="424">
        <f>IF(AND($L67&lt;&gt;"",P$3&lt;&gt;""),IF(NOT(ISNUMBER(_xll.ciqfunctions.udf.CIQ(P$3, "IQ_BOND_PRICE", $L67))),NA(),_xll.ciqfunctions.udf.CIQ(P$3, "IQ_BOND_PRICE", $L67)),"")</f>
        <v>103.39668</v>
      </c>
      <c r="Q67" s="424">
        <f>IF(AND($L67&lt;&gt;"",Q$3&lt;&gt;""),IF(NOT(ISNUMBER(_xll.ciqfunctions.udf.CIQ(Q$3, "IQ_BOND_PRICE", $L67))),NA(),_xll.ciqfunctions.udf.CIQ(Q$3, "IQ_BOND_PRICE", $L67)),"")</f>
        <v>105.892</v>
      </c>
      <c r="R67" s="424">
        <f>IF(AND($L67&lt;&gt;"",R$3&lt;&gt;""),IF(NOT(ISNUMBER(_xll.ciqfunctions.udf.CIQ(R$3, "IQ_BOND_PRICE", $L67))),NA(),_xll.ciqfunctions.udf.CIQ(R$3, "IQ_BOND_PRICE", $L67)),"")</f>
        <v>114.044</v>
      </c>
      <c r="S67" s="424">
        <f>IF(AND($L67&lt;&gt;"",S$3&lt;&gt;""),IF(NOT(ISNUMBER(_xll.ciqfunctions.udf.CIQ(S$3, "IQ_BOND_PRICE", $L67))),NA(),_xll.ciqfunctions.udf.CIQ(S$3, "IQ_BOND_PRICE", $L67)),"")</f>
        <v>107.2</v>
      </c>
      <c r="T67" s="424">
        <f>IF(AND($L67&lt;&gt;"",T$3&lt;&gt;""),IF(NOT(ISNUMBER(_xll.ciqfunctions.udf.CIQ(T$3, "IQ_BOND_PRICE", $L67))),NA(),_xll.ciqfunctions.udf.CIQ(T$3, "IQ_BOND_PRICE", $L67)),"")</f>
        <v>106.589</v>
      </c>
      <c r="U67" s="424">
        <f>IF(AND($L67&lt;&gt;"",U$3&lt;&gt;""),IF(NOT(ISNUMBER(_xll.ciqfunctions.udf.CIQ(U$3, "IQ_BOND_PRICE", $L67))),NA(),_xll.ciqfunctions.udf.CIQ(U$3, "IQ_BOND_PRICE", $L67)),"")</f>
        <v>99.889700000000005</v>
      </c>
      <c r="V67" s="424">
        <f>IF(AND($L67&lt;&gt;"",V$3&lt;&gt;""),IF(NOT(ISNUMBER(_xll.ciqfunctions.udf.CIQ(V$3, "IQ_BOND_PRICE", $L67))),NA(),_xll.ciqfunctions.udf.CIQ(V$3, "IQ_BOND_PRICE", $L67)),"")</f>
        <v>106.34538000000001</v>
      </c>
      <c r="W67" s="424">
        <f>IF(AND($L67&lt;&gt;"",W$3&lt;&gt;""),IF(NOT(ISNUMBER(_xll.ciqfunctions.udf.CIQ(W$3, "IQ_BOND_PRICE", $L67))),NA(),_xll.ciqfunctions.udf.CIQ(W$3, "IQ_BOND_PRICE", $L67)),"")</f>
        <v>110.663</v>
      </c>
      <c r="X67" s="424">
        <f>IF(AND($L67&lt;&gt;"",X$3&lt;&gt;""),IF(NOT(ISNUMBER(_xll.ciqfunctions.udf.CIQ(X$3, "IQ_BOND_PRICE", $L67))),NA(),_xll.ciqfunctions.udf.CIQ(X$3, "IQ_BOND_PRICE", $L67)),"")</f>
        <v>112.151</v>
      </c>
      <c r="Y67" s="424">
        <f>IF(AND($L67&lt;&gt;"",Y$3&lt;&gt;""),IF(NOT(ISNUMBER(_xll.ciqfunctions.udf.CIQ(Y$3, "IQ_BOND_PRICE", $L67))),NA(),_xll.ciqfunctions.udf.CIQ(Y$3, "IQ_BOND_PRICE", $L67)),"")</f>
        <v>109.667</v>
      </c>
      <c r="Z67" s="424">
        <f>IF(AND($L67&lt;&gt;"",Z$3&lt;&gt;""),IF(NOT(ISNUMBER(_xll.ciqfunctions.udf.CIQ(Z$3, "IQ_BOND_PRICE", $L67))),NA(),_xll.ciqfunctions.udf.CIQ(Z$3, "IQ_BOND_PRICE", $L67)),"")</f>
        <v>0</v>
      </c>
      <c r="CZ67" s="426"/>
    </row>
    <row r="68" spans="12:104" x14ac:dyDescent="0.2">
      <c r="L68" s="425">
        <f t="shared" si="0"/>
        <v>44368</v>
      </c>
      <c r="M68" s="424">
        <f>IF(AND($L68&lt;&gt;"",M$3&lt;&gt;""),IF(NOT(ISNUMBER(_xll.ciqfunctions.udf.CIQ(M$3, "IQ_BOND_PRICE", $L68))),NA(),_xll.ciqfunctions.udf.CIQ(M$3, "IQ_BOND_PRICE", $L68)),"")</f>
        <v>101.282</v>
      </c>
      <c r="N68" s="424">
        <f>IF(AND($L68&lt;&gt;"",N$3&lt;&gt;""),IF(NOT(ISNUMBER(_xll.ciqfunctions.udf.CIQ(N$3, "IQ_BOND_PRICE", $L68))),NA(),_xll.ciqfunctions.udf.CIQ(N$3, "IQ_BOND_PRICE", $L68)),"")</f>
        <v>0</v>
      </c>
      <c r="O68" s="424">
        <f>IF(AND($L68&lt;&gt;"",O$3&lt;&gt;""),IF(NOT(ISNUMBER(_xll.ciqfunctions.udf.CIQ(O$3, "IQ_BOND_PRICE", $L68))),NA(),_xll.ciqfunctions.udf.CIQ(O$3, "IQ_BOND_PRICE", $L68)),"")</f>
        <v>102.90501</v>
      </c>
      <c r="P68" s="424">
        <f>IF(AND($L68&lt;&gt;"",P$3&lt;&gt;""),IF(NOT(ISNUMBER(_xll.ciqfunctions.udf.CIQ(P$3, "IQ_BOND_PRICE", $L68))),NA(),_xll.ciqfunctions.udf.CIQ(P$3, "IQ_BOND_PRICE", $L68)),"")</f>
        <v>103.62699000000001</v>
      </c>
      <c r="Q68" s="424">
        <f>IF(AND($L68&lt;&gt;"",Q$3&lt;&gt;""),IF(NOT(ISNUMBER(_xll.ciqfunctions.udf.CIQ(Q$3, "IQ_BOND_PRICE", $L68))),NA(),_xll.ciqfunctions.udf.CIQ(Q$3, "IQ_BOND_PRICE", $L68)),"")</f>
        <v>105.926</v>
      </c>
      <c r="R68" s="424">
        <f>IF(AND($L68&lt;&gt;"",R$3&lt;&gt;""),IF(NOT(ISNUMBER(_xll.ciqfunctions.udf.CIQ(R$3, "IQ_BOND_PRICE", $L68))),NA(),_xll.ciqfunctions.udf.CIQ(R$3, "IQ_BOND_PRICE", $L68)),"")</f>
        <v>114.072</v>
      </c>
      <c r="S68" s="424">
        <f>IF(AND($L68&lt;&gt;"",S$3&lt;&gt;""),IF(NOT(ISNUMBER(_xll.ciqfunctions.udf.CIQ(S$3, "IQ_BOND_PRICE", $L68))),NA(),_xll.ciqfunctions.udf.CIQ(S$3, "IQ_BOND_PRICE", $L68)),"")</f>
        <v>107.30800000000001</v>
      </c>
      <c r="T68" s="424">
        <f>IF(AND($L68&lt;&gt;"",T$3&lt;&gt;""),IF(NOT(ISNUMBER(_xll.ciqfunctions.udf.CIQ(T$3, "IQ_BOND_PRICE", $L68))),NA(),_xll.ciqfunctions.udf.CIQ(T$3, "IQ_BOND_PRICE", $L68)),"")</f>
        <v>106.59399999999999</v>
      </c>
      <c r="U68" s="424">
        <f>IF(AND($L68&lt;&gt;"",U$3&lt;&gt;""),IF(NOT(ISNUMBER(_xll.ciqfunctions.udf.CIQ(U$3, "IQ_BOND_PRICE", $L68))),NA(),_xll.ciqfunctions.udf.CIQ(U$3, "IQ_BOND_PRICE", $L68)),"")</f>
        <v>99.897869999999998</v>
      </c>
      <c r="V68" s="424">
        <f>IF(AND($L68&lt;&gt;"",V$3&lt;&gt;""),IF(NOT(ISNUMBER(_xll.ciqfunctions.udf.CIQ(V$3, "IQ_BOND_PRICE", $L68))),NA(),_xll.ciqfunctions.udf.CIQ(V$3, "IQ_BOND_PRICE", $L68)),"")</f>
        <v>106.35737</v>
      </c>
      <c r="W68" s="424">
        <f>IF(AND($L68&lt;&gt;"",W$3&lt;&gt;""),IF(NOT(ISNUMBER(_xll.ciqfunctions.udf.CIQ(W$3, "IQ_BOND_PRICE", $L68))),NA(),_xll.ciqfunctions.udf.CIQ(W$3, "IQ_BOND_PRICE", $L68)),"")</f>
        <v>110.655</v>
      </c>
      <c r="X68" s="424">
        <f>IF(AND($L68&lt;&gt;"",X$3&lt;&gt;""),IF(NOT(ISNUMBER(_xll.ciqfunctions.udf.CIQ(X$3, "IQ_BOND_PRICE", $L68))),NA(),_xll.ciqfunctions.udf.CIQ(X$3, "IQ_BOND_PRICE", $L68)),"")</f>
        <v>112.014</v>
      </c>
      <c r="Y68" s="424">
        <f>IF(AND($L68&lt;&gt;"",Y$3&lt;&gt;""),IF(NOT(ISNUMBER(_xll.ciqfunctions.udf.CIQ(Y$3, "IQ_BOND_PRICE", $L68))),NA(),_xll.ciqfunctions.udf.CIQ(Y$3, "IQ_BOND_PRICE", $L68)),"")</f>
        <v>109.476</v>
      </c>
      <c r="Z68" s="424">
        <f>IF(AND($L68&lt;&gt;"",Z$3&lt;&gt;""),IF(NOT(ISNUMBER(_xll.ciqfunctions.udf.CIQ(Z$3, "IQ_BOND_PRICE", $L68))),NA(),_xll.ciqfunctions.udf.CIQ(Z$3, "IQ_BOND_PRICE", $L68)),"")</f>
        <v>0</v>
      </c>
      <c r="CZ68" s="426"/>
    </row>
    <row r="69" spans="12:104" x14ac:dyDescent="0.2">
      <c r="L69" s="425">
        <f t="shared" si="0"/>
        <v>44369</v>
      </c>
      <c r="M69" s="424">
        <f>IF(AND($L69&lt;&gt;"",M$3&lt;&gt;""),IF(NOT(ISNUMBER(_xll.ciqfunctions.udf.CIQ(M$3, "IQ_BOND_PRICE", $L69))),NA(),_xll.ciqfunctions.udf.CIQ(M$3, "IQ_BOND_PRICE", $L69)),"")</f>
        <v>101.27500000000001</v>
      </c>
      <c r="N69" s="424">
        <f>IF(AND($L69&lt;&gt;"",N$3&lt;&gt;""),IF(NOT(ISNUMBER(_xll.ciqfunctions.udf.CIQ(N$3, "IQ_BOND_PRICE", $L69))),NA(),_xll.ciqfunctions.udf.CIQ(N$3, "IQ_BOND_PRICE", $L69)),"")</f>
        <v>0</v>
      </c>
      <c r="O69" s="424">
        <f>IF(AND($L69&lt;&gt;"",O$3&lt;&gt;""),IF(NOT(ISNUMBER(_xll.ciqfunctions.udf.CIQ(O$3, "IQ_BOND_PRICE", $L69))),NA(),_xll.ciqfunctions.udf.CIQ(O$3, "IQ_BOND_PRICE", $L69)),"")</f>
        <v>102.88885999999999</v>
      </c>
      <c r="P69" s="424">
        <f>IF(AND($L69&lt;&gt;"",P$3&lt;&gt;""),IF(NOT(ISNUMBER(_xll.ciqfunctions.udf.CIQ(P$3, "IQ_BOND_PRICE", $L69))),NA(),_xll.ciqfunctions.udf.CIQ(P$3, "IQ_BOND_PRICE", $L69)),"")</f>
        <v>103.61951999999999</v>
      </c>
      <c r="Q69" s="424">
        <f>IF(AND($L69&lt;&gt;"",Q$3&lt;&gt;""),IF(NOT(ISNUMBER(_xll.ciqfunctions.udf.CIQ(Q$3, "IQ_BOND_PRICE", $L69))),NA(),_xll.ciqfunctions.udf.CIQ(Q$3, "IQ_BOND_PRICE", $L69)),"")</f>
        <v>105.947</v>
      </c>
      <c r="R69" s="424">
        <f>IF(AND($L69&lt;&gt;"",R$3&lt;&gt;""),IF(NOT(ISNUMBER(_xll.ciqfunctions.udf.CIQ(R$3, "IQ_BOND_PRICE", $L69))),NA(),_xll.ciqfunctions.udf.CIQ(R$3, "IQ_BOND_PRICE", $L69)),"")</f>
        <v>114.089</v>
      </c>
      <c r="S69" s="424">
        <f>IF(AND($L69&lt;&gt;"",S$3&lt;&gt;""),IF(NOT(ISNUMBER(_xll.ciqfunctions.udf.CIQ(S$3, "IQ_BOND_PRICE", $L69))),NA(),_xll.ciqfunctions.udf.CIQ(S$3, "IQ_BOND_PRICE", $L69)),"")</f>
        <v>107.378</v>
      </c>
      <c r="T69" s="424">
        <f>IF(AND($L69&lt;&gt;"",T$3&lt;&gt;""),IF(NOT(ISNUMBER(_xll.ciqfunctions.udf.CIQ(T$3, "IQ_BOND_PRICE", $L69))),NA(),_xll.ciqfunctions.udf.CIQ(T$3, "IQ_BOND_PRICE", $L69)),"")</f>
        <v>106.58799999999999</v>
      </c>
      <c r="U69" s="424">
        <f>IF(AND($L69&lt;&gt;"",U$3&lt;&gt;""),IF(NOT(ISNUMBER(_xll.ciqfunctions.udf.CIQ(U$3, "IQ_BOND_PRICE", $L69))),NA(),_xll.ciqfunctions.udf.CIQ(U$3, "IQ_BOND_PRICE", $L69)),"")</f>
        <v>99.885819999999995</v>
      </c>
      <c r="V69" s="424">
        <f>IF(AND($L69&lt;&gt;"",V$3&lt;&gt;""),IF(NOT(ISNUMBER(_xll.ciqfunctions.udf.CIQ(V$3, "IQ_BOND_PRICE", $L69))),NA(),_xll.ciqfunctions.udf.CIQ(V$3, "IQ_BOND_PRICE", $L69)),"")</f>
        <v>106.40348</v>
      </c>
      <c r="W69" s="424">
        <f>IF(AND($L69&lt;&gt;"",W$3&lt;&gt;""),IF(NOT(ISNUMBER(_xll.ciqfunctions.udf.CIQ(W$3, "IQ_BOND_PRICE", $L69))),NA(),_xll.ciqfunctions.udf.CIQ(W$3, "IQ_BOND_PRICE", $L69)),"")</f>
        <v>110.758</v>
      </c>
      <c r="X69" s="424">
        <f>IF(AND($L69&lt;&gt;"",X$3&lt;&gt;""),IF(NOT(ISNUMBER(_xll.ciqfunctions.udf.CIQ(X$3, "IQ_BOND_PRICE", $L69))),NA(),_xll.ciqfunctions.udf.CIQ(X$3, "IQ_BOND_PRICE", $L69)),"")</f>
        <v>111.992</v>
      </c>
      <c r="Y69" s="424">
        <f>IF(AND($L69&lt;&gt;"",Y$3&lt;&gt;""),IF(NOT(ISNUMBER(_xll.ciqfunctions.udf.CIQ(Y$3, "IQ_BOND_PRICE", $L69))),NA(),_xll.ciqfunctions.udf.CIQ(Y$3, "IQ_BOND_PRICE", $L69)),"")</f>
        <v>109.709</v>
      </c>
      <c r="Z69" s="424">
        <f>IF(AND($L69&lt;&gt;"",Z$3&lt;&gt;""),IF(NOT(ISNUMBER(_xll.ciqfunctions.udf.CIQ(Z$3, "IQ_BOND_PRICE", $L69))),NA(),_xll.ciqfunctions.udf.CIQ(Z$3, "IQ_BOND_PRICE", $L69)),"")</f>
        <v>0</v>
      </c>
      <c r="CZ69" s="426"/>
    </row>
    <row r="70" spans="12:104" x14ac:dyDescent="0.2">
      <c r="L70" s="425">
        <f t="shared" ref="L70:L133" si="1">+IF(WORKDAY($L69,1)&lt;=$M$2,WORKDAY($L69,1),"")</f>
        <v>44370</v>
      </c>
      <c r="M70" s="424">
        <f>IF(AND($L70&lt;&gt;"",M$3&lt;&gt;""),IF(NOT(ISNUMBER(_xll.ciqfunctions.udf.CIQ(M$3, "IQ_BOND_PRICE", $L70))),NA(),_xll.ciqfunctions.udf.CIQ(M$3, "IQ_BOND_PRICE", $L70)),"")</f>
        <v>101.279</v>
      </c>
      <c r="N70" s="424">
        <f>IF(AND($L70&lt;&gt;"",N$3&lt;&gt;""),IF(NOT(ISNUMBER(_xll.ciqfunctions.udf.CIQ(N$3, "IQ_BOND_PRICE", $L70))),NA(),_xll.ciqfunctions.udf.CIQ(N$3, "IQ_BOND_PRICE", $L70)),"")</f>
        <v>0</v>
      </c>
      <c r="O70" s="424">
        <f>IF(AND($L70&lt;&gt;"",O$3&lt;&gt;""),IF(NOT(ISNUMBER(_xll.ciqfunctions.udf.CIQ(O$3, "IQ_BOND_PRICE", $L70))),NA(),_xll.ciqfunctions.udf.CIQ(O$3, "IQ_BOND_PRICE", $L70)),"")</f>
        <v>102.89373999999999</v>
      </c>
      <c r="P70" s="424">
        <f>IF(AND($L70&lt;&gt;"",P$3&lt;&gt;""),IF(NOT(ISNUMBER(_xll.ciqfunctions.udf.CIQ(P$3, "IQ_BOND_PRICE", $L70))),NA(),_xll.ciqfunctions.udf.CIQ(P$3, "IQ_BOND_PRICE", $L70)),"")</f>
        <v>103.41074</v>
      </c>
      <c r="Q70" s="424">
        <f>IF(AND($L70&lt;&gt;"",Q$3&lt;&gt;""),IF(NOT(ISNUMBER(_xll.ciqfunctions.udf.CIQ(Q$3, "IQ_BOND_PRICE", $L70))),NA(),_xll.ciqfunctions.udf.CIQ(Q$3, "IQ_BOND_PRICE", $L70)),"")</f>
        <v>105.63</v>
      </c>
      <c r="R70" s="424">
        <f>IF(AND($L70&lt;&gt;"",R$3&lt;&gt;""),IF(NOT(ISNUMBER(_xll.ciqfunctions.udf.CIQ(R$3, "IQ_BOND_PRICE", $L70))),NA(),_xll.ciqfunctions.udf.CIQ(R$3, "IQ_BOND_PRICE", $L70)),"")</f>
        <v>113.854</v>
      </c>
      <c r="S70" s="424">
        <f>IF(AND($L70&lt;&gt;"",S$3&lt;&gt;""),IF(NOT(ISNUMBER(_xll.ciqfunctions.udf.CIQ(S$3, "IQ_BOND_PRICE", $L70))),NA(),_xll.ciqfunctions.udf.CIQ(S$3, "IQ_BOND_PRICE", $L70)),"")</f>
        <v>107.28700000000001</v>
      </c>
      <c r="T70" s="424">
        <f>IF(AND($L70&lt;&gt;"",T$3&lt;&gt;""),IF(NOT(ISNUMBER(_xll.ciqfunctions.udf.CIQ(T$3, "IQ_BOND_PRICE", $L70))),NA(),_xll.ciqfunctions.udf.CIQ(T$3, "IQ_BOND_PRICE", $L70)),"")</f>
        <v>106.63</v>
      </c>
      <c r="U70" s="424">
        <f>IF(AND($L70&lt;&gt;"",U$3&lt;&gt;""),IF(NOT(ISNUMBER(_xll.ciqfunctions.udf.CIQ(U$3, "IQ_BOND_PRICE", $L70))),NA(),_xll.ciqfunctions.udf.CIQ(U$3, "IQ_BOND_PRICE", $L70)),"")</f>
        <v>99.869739999999993</v>
      </c>
      <c r="V70" s="424">
        <f>IF(AND($L70&lt;&gt;"",V$3&lt;&gt;""),IF(NOT(ISNUMBER(_xll.ciqfunctions.udf.CIQ(V$3, "IQ_BOND_PRICE", $L70))),NA(),_xll.ciqfunctions.udf.CIQ(V$3, "IQ_BOND_PRICE", $L70)),"")</f>
        <v>106.35869</v>
      </c>
      <c r="W70" s="424">
        <f>IF(AND($L70&lt;&gt;"",W$3&lt;&gt;""),IF(NOT(ISNUMBER(_xll.ciqfunctions.udf.CIQ(W$3, "IQ_BOND_PRICE", $L70))),NA(),_xll.ciqfunctions.udf.CIQ(W$3, "IQ_BOND_PRICE", $L70)),"")</f>
        <v>109.581</v>
      </c>
      <c r="X70" s="424">
        <f>IF(AND($L70&lt;&gt;"",X$3&lt;&gt;""),IF(NOT(ISNUMBER(_xll.ciqfunctions.udf.CIQ(X$3, "IQ_BOND_PRICE", $L70))),NA(),_xll.ciqfunctions.udf.CIQ(X$3, "IQ_BOND_PRICE", $L70)),"")</f>
        <v>112.01900000000001</v>
      </c>
      <c r="Y70" s="424">
        <f>IF(AND($L70&lt;&gt;"",Y$3&lt;&gt;""),IF(NOT(ISNUMBER(_xll.ciqfunctions.udf.CIQ(Y$3, "IQ_BOND_PRICE", $L70))),NA(),_xll.ciqfunctions.udf.CIQ(Y$3, "IQ_BOND_PRICE", $L70)),"")</f>
        <v>109.55800000000001</v>
      </c>
      <c r="Z70" s="424">
        <f>IF(AND($L70&lt;&gt;"",Z$3&lt;&gt;""),IF(NOT(ISNUMBER(_xll.ciqfunctions.udf.CIQ(Z$3, "IQ_BOND_PRICE", $L70))),NA(),_xll.ciqfunctions.udf.CIQ(Z$3, "IQ_BOND_PRICE", $L70)),"")</f>
        <v>0</v>
      </c>
      <c r="CZ70" s="426"/>
    </row>
    <row r="71" spans="12:104" x14ac:dyDescent="0.2">
      <c r="L71" s="425">
        <f t="shared" si="1"/>
        <v>44371</v>
      </c>
      <c r="M71" s="424">
        <f>IF(AND($L71&lt;&gt;"",M$3&lt;&gt;""),IF(NOT(ISNUMBER(_xll.ciqfunctions.udf.CIQ(M$3, "IQ_BOND_PRICE", $L71))),NA(),_xll.ciqfunctions.udf.CIQ(M$3, "IQ_BOND_PRICE", $L71)),"")</f>
        <v>101.259</v>
      </c>
      <c r="N71" s="424">
        <f>IF(AND($L71&lt;&gt;"",N$3&lt;&gt;""),IF(NOT(ISNUMBER(_xll.ciqfunctions.udf.CIQ(N$3, "IQ_BOND_PRICE", $L71))),NA(),_xll.ciqfunctions.udf.CIQ(N$3, "IQ_BOND_PRICE", $L71)),"")</f>
        <v>0</v>
      </c>
      <c r="O71" s="424">
        <f>IF(AND($L71&lt;&gt;"",O$3&lt;&gt;""),IF(NOT(ISNUMBER(_xll.ciqfunctions.udf.CIQ(O$3, "IQ_BOND_PRICE", $L71))),NA(),_xll.ciqfunctions.udf.CIQ(O$3, "IQ_BOND_PRICE", $L71)),"")</f>
        <v>102.86761</v>
      </c>
      <c r="P71" s="424">
        <f>IF(AND($L71&lt;&gt;"",P$3&lt;&gt;""),IF(NOT(ISNUMBER(_xll.ciqfunctions.udf.CIQ(P$3, "IQ_BOND_PRICE", $L71))),NA(),_xll.ciqfunctions.udf.CIQ(P$3, "IQ_BOND_PRICE", $L71)),"")</f>
        <v>103.63276999999999</v>
      </c>
      <c r="Q71" s="424">
        <f>IF(AND($L71&lt;&gt;"",Q$3&lt;&gt;""),IF(NOT(ISNUMBER(_xll.ciqfunctions.udf.CIQ(Q$3, "IQ_BOND_PRICE", $L71))),NA(),_xll.ciqfunctions.udf.CIQ(Q$3, "IQ_BOND_PRICE", $L71)),"")</f>
        <v>105.857</v>
      </c>
      <c r="R71" s="424">
        <f>IF(AND($L71&lt;&gt;"",R$3&lt;&gt;""),IF(NOT(ISNUMBER(_xll.ciqfunctions.udf.CIQ(R$3, "IQ_BOND_PRICE", $L71))),NA(),_xll.ciqfunctions.udf.CIQ(R$3, "IQ_BOND_PRICE", $L71)),"")</f>
        <v>114.02500000000001</v>
      </c>
      <c r="S71" s="424">
        <f>IF(AND($L71&lt;&gt;"",S$3&lt;&gt;""),IF(NOT(ISNUMBER(_xll.ciqfunctions.udf.CIQ(S$3, "IQ_BOND_PRICE", $L71))),NA(),_xll.ciqfunctions.udf.CIQ(S$3, "IQ_BOND_PRICE", $L71)),"")</f>
        <v>107.242</v>
      </c>
      <c r="T71" s="424">
        <f>IF(AND($L71&lt;&gt;"",T$3&lt;&gt;""),IF(NOT(ISNUMBER(_xll.ciqfunctions.udf.CIQ(T$3, "IQ_BOND_PRICE", $L71))),NA(),_xll.ciqfunctions.udf.CIQ(T$3, "IQ_BOND_PRICE", $L71)),"")</f>
        <v>106.604</v>
      </c>
      <c r="U71" s="424">
        <f>IF(AND($L71&lt;&gt;"",U$3&lt;&gt;""),IF(NOT(ISNUMBER(_xll.ciqfunctions.udf.CIQ(U$3, "IQ_BOND_PRICE", $L71))),NA(),_xll.ciqfunctions.udf.CIQ(U$3, "IQ_BOND_PRICE", $L71)),"")</f>
        <v>99.87312</v>
      </c>
      <c r="V71" s="424">
        <f>IF(AND($L71&lt;&gt;"",V$3&lt;&gt;""),IF(NOT(ISNUMBER(_xll.ciqfunctions.udf.CIQ(V$3, "IQ_BOND_PRICE", $L71))),NA(),_xll.ciqfunctions.udf.CIQ(V$3, "IQ_BOND_PRICE", $L71)),"")</f>
        <v>106.45184</v>
      </c>
      <c r="W71" s="424">
        <f>IF(AND($L71&lt;&gt;"",W$3&lt;&gt;""),IF(NOT(ISNUMBER(_xll.ciqfunctions.udf.CIQ(W$3, "IQ_BOND_PRICE", $L71))),NA(),_xll.ciqfunctions.udf.CIQ(W$3, "IQ_BOND_PRICE", $L71)),"")</f>
        <v>110.416</v>
      </c>
      <c r="X71" s="424">
        <f>IF(AND($L71&lt;&gt;"",X$3&lt;&gt;""),IF(NOT(ISNUMBER(_xll.ciqfunctions.udf.CIQ(X$3, "IQ_BOND_PRICE", $L71))),NA(),_xll.ciqfunctions.udf.CIQ(X$3, "IQ_BOND_PRICE", $L71)),"")</f>
        <v>111.98099999999999</v>
      </c>
      <c r="Y71" s="424">
        <f>IF(AND($L71&lt;&gt;"",Y$3&lt;&gt;""),IF(NOT(ISNUMBER(_xll.ciqfunctions.udf.CIQ(Y$3, "IQ_BOND_PRICE", $L71))),NA(),_xll.ciqfunctions.udf.CIQ(Y$3, "IQ_BOND_PRICE", $L71)),"")</f>
        <v>109.51900000000001</v>
      </c>
      <c r="Z71" s="424">
        <f>IF(AND($L71&lt;&gt;"",Z$3&lt;&gt;""),IF(NOT(ISNUMBER(_xll.ciqfunctions.udf.CIQ(Z$3, "IQ_BOND_PRICE", $L71))),NA(),_xll.ciqfunctions.udf.CIQ(Z$3, "IQ_BOND_PRICE", $L71)),"")</f>
        <v>0</v>
      </c>
      <c r="CZ71" s="426"/>
    </row>
    <row r="72" spans="12:104" x14ac:dyDescent="0.2">
      <c r="L72" s="425">
        <f t="shared" si="1"/>
        <v>44372</v>
      </c>
      <c r="M72" s="424">
        <f>IF(AND($L72&lt;&gt;"",M$3&lt;&gt;""),IF(NOT(ISNUMBER(_xll.ciqfunctions.udf.CIQ(M$3, "IQ_BOND_PRICE", $L72))),NA(),_xll.ciqfunctions.udf.CIQ(M$3, "IQ_BOND_PRICE", $L72)),"")</f>
        <v>101.253</v>
      </c>
      <c r="N72" s="424">
        <f>IF(AND($L72&lt;&gt;"",N$3&lt;&gt;""),IF(NOT(ISNUMBER(_xll.ciqfunctions.udf.CIQ(N$3, "IQ_BOND_PRICE", $L72))),NA(),_xll.ciqfunctions.udf.CIQ(N$3, "IQ_BOND_PRICE", $L72)),"")</f>
        <v>0</v>
      </c>
      <c r="O72" s="424">
        <f>IF(AND($L72&lt;&gt;"",O$3&lt;&gt;""),IF(NOT(ISNUMBER(_xll.ciqfunctions.udf.CIQ(O$3, "IQ_BOND_PRICE", $L72))),NA(),_xll.ciqfunctions.udf.CIQ(O$3, "IQ_BOND_PRICE", $L72)),"")</f>
        <v>102.84393</v>
      </c>
      <c r="P72" s="424">
        <f>IF(AND($L72&lt;&gt;"",P$3&lt;&gt;""),IF(NOT(ISNUMBER(_xll.ciqfunctions.udf.CIQ(P$3, "IQ_BOND_PRICE", $L72))),NA(),_xll.ciqfunctions.udf.CIQ(P$3, "IQ_BOND_PRICE", $L72)),"")</f>
        <v>103.61727999999999</v>
      </c>
      <c r="Q72" s="424">
        <f>IF(AND($L72&lt;&gt;"",Q$3&lt;&gt;""),IF(NOT(ISNUMBER(_xll.ciqfunctions.udf.CIQ(Q$3, "IQ_BOND_PRICE", $L72))),NA(),_xll.ciqfunctions.udf.CIQ(Q$3, "IQ_BOND_PRICE", $L72)),"")</f>
        <v>105.896</v>
      </c>
      <c r="R72" s="424">
        <f>IF(AND($L72&lt;&gt;"",R$3&lt;&gt;""),IF(NOT(ISNUMBER(_xll.ciqfunctions.udf.CIQ(R$3, "IQ_BOND_PRICE", $L72))),NA(),_xll.ciqfunctions.udf.CIQ(R$3, "IQ_BOND_PRICE", $L72)),"")</f>
        <v>113.929</v>
      </c>
      <c r="S72" s="424">
        <f>IF(AND($L72&lt;&gt;"",S$3&lt;&gt;""),IF(NOT(ISNUMBER(_xll.ciqfunctions.udf.CIQ(S$3, "IQ_BOND_PRICE", $L72))),NA(),_xll.ciqfunctions.udf.CIQ(S$3, "IQ_BOND_PRICE", $L72)),"")</f>
        <v>107.211</v>
      </c>
      <c r="T72" s="424">
        <f>IF(AND($L72&lt;&gt;"",T$3&lt;&gt;""),IF(NOT(ISNUMBER(_xll.ciqfunctions.udf.CIQ(T$3, "IQ_BOND_PRICE", $L72))),NA(),_xll.ciqfunctions.udf.CIQ(T$3, "IQ_BOND_PRICE", $L72)),"")</f>
        <v>106.598</v>
      </c>
      <c r="U72" s="424">
        <f>IF(AND($L72&lt;&gt;"",U$3&lt;&gt;""),IF(NOT(ISNUMBER(_xll.ciqfunctions.udf.CIQ(U$3, "IQ_BOND_PRICE", $L72))),NA(),_xll.ciqfunctions.udf.CIQ(U$3, "IQ_BOND_PRICE", $L72)),"")</f>
        <v>99.877390000000005</v>
      </c>
      <c r="V72" s="424">
        <f>IF(AND($L72&lt;&gt;"",V$3&lt;&gt;""),IF(NOT(ISNUMBER(_xll.ciqfunctions.udf.CIQ(V$3, "IQ_BOND_PRICE", $L72))),NA(),_xll.ciqfunctions.udf.CIQ(V$3, "IQ_BOND_PRICE", $L72)),"")</f>
        <v>106.44891</v>
      </c>
      <c r="W72" s="424">
        <f>IF(AND($L72&lt;&gt;"",W$3&lt;&gt;""),IF(NOT(ISNUMBER(_xll.ciqfunctions.udf.CIQ(W$3, "IQ_BOND_PRICE", $L72))),NA(),_xll.ciqfunctions.udf.CIQ(W$3, "IQ_BOND_PRICE", $L72)),"")</f>
        <v>110.31699999999999</v>
      </c>
      <c r="X72" s="424">
        <f>IF(AND($L72&lt;&gt;"",X$3&lt;&gt;""),IF(NOT(ISNUMBER(_xll.ciqfunctions.udf.CIQ(X$3, "IQ_BOND_PRICE", $L72))),NA(),_xll.ciqfunctions.udf.CIQ(X$3, "IQ_BOND_PRICE", $L72)),"")</f>
        <v>111.922</v>
      </c>
      <c r="Y72" s="424">
        <f>IF(AND($L72&lt;&gt;"",Y$3&lt;&gt;""),IF(NOT(ISNUMBER(_xll.ciqfunctions.udf.CIQ(Y$3, "IQ_BOND_PRICE", $L72))),NA(),_xll.ciqfunctions.udf.CIQ(Y$3, "IQ_BOND_PRICE", $L72)),"")</f>
        <v>109.399</v>
      </c>
      <c r="Z72" s="424">
        <f>IF(AND($L72&lt;&gt;"",Z$3&lt;&gt;""),IF(NOT(ISNUMBER(_xll.ciqfunctions.udf.CIQ(Z$3, "IQ_BOND_PRICE", $L72))),NA(),_xll.ciqfunctions.udf.CIQ(Z$3, "IQ_BOND_PRICE", $L72)),"")</f>
        <v>0</v>
      </c>
      <c r="CZ72" s="426"/>
    </row>
    <row r="73" spans="12:104" x14ac:dyDescent="0.2">
      <c r="L73" s="425">
        <f t="shared" si="1"/>
        <v>44375</v>
      </c>
      <c r="M73" s="424">
        <f>IF(AND($L73&lt;&gt;"",M$3&lt;&gt;""),IF(NOT(ISNUMBER(_xll.ciqfunctions.udf.CIQ(M$3, "IQ_BOND_PRICE", $L73))),NA(),_xll.ciqfunctions.udf.CIQ(M$3, "IQ_BOND_PRICE", $L73)),"")</f>
        <v>101.249</v>
      </c>
      <c r="N73" s="424">
        <f>IF(AND($L73&lt;&gt;"",N$3&lt;&gt;""),IF(NOT(ISNUMBER(_xll.ciqfunctions.udf.CIQ(N$3, "IQ_BOND_PRICE", $L73))),NA(),_xll.ciqfunctions.udf.CIQ(N$3, "IQ_BOND_PRICE", $L73)),"")</f>
        <v>0</v>
      </c>
      <c r="O73" s="424">
        <f>IF(AND($L73&lt;&gt;"",O$3&lt;&gt;""),IF(NOT(ISNUMBER(_xll.ciqfunctions.udf.CIQ(O$3, "IQ_BOND_PRICE", $L73))),NA(),_xll.ciqfunctions.udf.CIQ(O$3, "IQ_BOND_PRICE", $L73)),"")</f>
        <v>102.99353000000001</v>
      </c>
      <c r="P73" s="424">
        <f>IF(AND($L73&lt;&gt;"",P$3&lt;&gt;""),IF(NOT(ISNUMBER(_xll.ciqfunctions.udf.CIQ(P$3, "IQ_BOND_PRICE", $L73))),NA(),_xll.ciqfunctions.udf.CIQ(P$3, "IQ_BOND_PRICE", $L73)),"")</f>
        <v>103.63023</v>
      </c>
      <c r="Q73" s="424">
        <f>IF(AND($L73&lt;&gt;"",Q$3&lt;&gt;""),IF(NOT(ISNUMBER(_xll.ciqfunctions.udf.CIQ(Q$3, "IQ_BOND_PRICE", $L73))),NA(),_xll.ciqfunctions.udf.CIQ(Q$3, "IQ_BOND_PRICE", $L73)),"")</f>
        <v>105.804</v>
      </c>
      <c r="R73" s="424">
        <f>IF(AND($L73&lt;&gt;"",R$3&lt;&gt;""),IF(NOT(ISNUMBER(_xll.ciqfunctions.udf.CIQ(R$3, "IQ_BOND_PRICE", $L73))),NA(),_xll.ciqfunctions.udf.CIQ(R$3, "IQ_BOND_PRICE", $L73)),"")</f>
        <v>113.96899999999999</v>
      </c>
      <c r="S73" s="424">
        <f>IF(AND($L73&lt;&gt;"",S$3&lt;&gt;""),IF(NOT(ISNUMBER(_xll.ciqfunctions.udf.CIQ(S$3, "IQ_BOND_PRICE", $L73))),NA(),_xll.ciqfunctions.udf.CIQ(S$3, "IQ_BOND_PRICE", $L73)),"")</f>
        <v>107.26300000000001</v>
      </c>
      <c r="T73" s="424">
        <f>IF(AND($L73&lt;&gt;"",T$3&lt;&gt;""),IF(NOT(ISNUMBER(_xll.ciqfunctions.udf.CIQ(T$3, "IQ_BOND_PRICE", $L73))),NA(),_xll.ciqfunctions.udf.CIQ(T$3, "IQ_BOND_PRICE", $L73)),"")</f>
        <v>106.59099999999999</v>
      </c>
      <c r="U73" s="424">
        <f>IF(AND($L73&lt;&gt;"",U$3&lt;&gt;""),IF(NOT(ISNUMBER(_xll.ciqfunctions.udf.CIQ(U$3, "IQ_BOND_PRICE", $L73))),NA(),_xll.ciqfunctions.udf.CIQ(U$3, "IQ_BOND_PRICE", $L73)),"")</f>
        <v>99.879990000000006</v>
      </c>
      <c r="V73" s="424">
        <f>IF(AND($L73&lt;&gt;"",V$3&lt;&gt;""),IF(NOT(ISNUMBER(_xll.ciqfunctions.udf.CIQ(V$3, "IQ_BOND_PRICE", $L73))),NA(),_xll.ciqfunctions.udf.CIQ(V$3, "IQ_BOND_PRICE", $L73)),"")</f>
        <v>106.51483</v>
      </c>
      <c r="W73" s="424">
        <f>IF(AND($L73&lt;&gt;"",W$3&lt;&gt;""),IF(NOT(ISNUMBER(_xll.ciqfunctions.udf.CIQ(W$3, "IQ_BOND_PRICE", $L73))),NA(),_xll.ciqfunctions.udf.CIQ(W$3, "IQ_BOND_PRICE", $L73)),"")</f>
        <v>110.459</v>
      </c>
      <c r="X73" s="424">
        <f>IF(AND($L73&lt;&gt;"",X$3&lt;&gt;""),IF(NOT(ISNUMBER(_xll.ciqfunctions.udf.CIQ(X$3, "IQ_BOND_PRICE", $L73))),NA(),_xll.ciqfunctions.udf.CIQ(X$3, "IQ_BOND_PRICE", $L73)),"")</f>
        <v>111.94499999999999</v>
      </c>
      <c r="Y73" s="424">
        <f>IF(AND($L73&lt;&gt;"",Y$3&lt;&gt;""),IF(NOT(ISNUMBER(_xll.ciqfunctions.udf.CIQ(Y$3, "IQ_BOND_PRICE", $L73))),NA(),_xll.ciqfunctions.udf.CIQ(Y$3, "IQ_BOND_PRICE", $L73)),"")</f>
        <v>109.687</v>
      </c>
      <c r="Z73" s="424">
        <f>IF(AND($L73&lt;&gt;"",Z$3&lt;&gt;""),IF(NOT(ISNUMBER(_xll.ciqfunctions.udf.CIQ(Z$3, "IQ_BOND_PRICE", $L73))),NA(),_xll.ciqfunctions.udf.CIQ(Z$3, "IQ_BOND_PRICE", $L73)),"")</f>
        <v>0</v>
      </c>
      <c r="CZ73" s="426"/>
    </row>
    <row r="74" spans="12:104" x14ac:dyDescent="0.2">
      <c r="L74" s="425">
        <f t="shared" si="1"/>
        <v>44376</v>
      </c>
      <c r="M74" s="424">
        <f>IF(AND($L74&lt;&gt;"",M$3&lt;&gt;""),IF(NOT(ISNUMBER(_xll.ciqfunctions.udf.CIQ(M$3, "IQ_BOND_PRICE", $L74))),NA(),_xll.ciqfunctions.udf.CIQ(M$3, "IQ_BOND_PRICE", $L74)),"")</f>
        <v>101.241</v>
      </c>
      <c r="N74" s="424">
        <f>IF(AND($L74&lt;&gt;"",N$3&lt;&gt;""),IF(NOT(ISNUMBER(_xll.ciqfunctions.udf.CIQ(N$3, "IQ_BOND_PRICE", $L74))),NA(),_xll.ciqfunctions.udf.CIQ(N$3, "IQ_BOND_PRICE", $L74)),"")</f>
        <v>0</v>
      </c>
      <c r="O74" s="424">
        <f>IF(AND($L74&lt;&gt;"",O$3&lt;&gt;""),IF(NOT(ISNUMBER(_xll.ciqfunctions.udf.CIQ(O$3, "IQ_BOND_PRICE", $L74))),NA(),_xll.ciqfunctions.udf.CIQ(O$3, "IQ_BOND_PRICE", $L74)),"")</f>
        <v>102.99297</v>
      </c>
      <c r="P74" s="424">
        <f>IF(AND($L74&lt;&gt;"",P$3&lt;&gt;""),IF(NOT(ISNUMBER(_xll.ciqfunctions.udf.CIQ(P$3, "IQ_BOND_PRICE", $L74))),NA(),_xll.ciqfunctions.udf.CIQ(P$3, "IQ_BOND_PRICE", $L74)),"")</f>
        <v>103.70376</v>
      </c>
      <c r="Q74" s="424">
        <f>IF(AND($L74&lt;&gt;"",Q$3&lt;&gt;""),IF(NOT(ISNUMBER(_xll.ciqfunctions.udf.CIQ(Q$3, "IQ_BOND_PRICE", $L74))),NA(),_xll.ciqfunctions.udf.CIQ(Q$3, "IQ_BOND_PRICE", $L74)),"")</f>
        <v>105.827</v>
      </c>
      <c r="R74" s="424">
        <f>IF(AND($L74&lt;&gt;"",R$3&lt;&gt;""),IF(NOT(ISNUMBER(_xll.ciqfunctions.udf.CIQ(R$3, "IQ_BOND_PRICE", $L74))),NA(),_xll.ciqfunctions.udf.CIQ(R$3, "IQ_BOND_PRICE", $L74)),"")</f>
        <v>113.949</v>
      </c>
      <c r="S74" s="424">
        <f>IF(AND($L74&lt;&gt;"",S$3&lt;&gt;""),IF(NOT(ISNUMBER(_xll.ciqfunctions.udf.CIQ(S$3, "IQ_BOND_PRICE", $L74))),NA(),_xll.ciqfunctions.udf.CIQ(S$3, "IQ_BOND_PRICE", $L74)),"")</f>
        <v>107.248</v>
      </c>
      <c r="T74" s="424">
        <f>IF(AND($L74&lt;&gt;"",T$3&lt;&gt;""),IF(NOT(ISNUMBER(_xll.ciqfunctions.udf.CIQ(T$3, "IQ_BOND_PRICE", $L74))),NA(),_xll.ciqfunctions.udf.CIQ(T$3, "IQ_BOND_PRICE", $L74)),"")</f>
        <v>106.642</v>
      </c>
      <c r="U74" s="424">
        <f>IF(AND($L74&lt;&gt;"",U$3&lt;&gt;""),IF(NOT(ISNUMBER(_xll.ciqfunctions.udf.CIQ(U$3, "IQ_BOND_PRICE", $L74))),NA(),_xll.ciqfunctions.udf.CIQ(U$3, "IQ_BOND_PRICE", $L74)),"")</f>
        <v>99.885230000000007</v>
      </c>
      <c r="V74" s="424">
        <f>IF(AND($L74&lt;&gt;"",V$3&lt;&gt;""),IF(NOT(ISNUMBER(_xll.ciqfunctions.udf.CIQ(V$3, "IQ_BOND_PRICE", $L74))),NA(),_xll.ciqfunctions.udf.CIQ(V$3, "IQ_BOND_PRICE", $L74)),"")</f>
        <v>106.627</v>
      </c>
      <c r="W74" s="424">
        <f>IF(AND($L74&lt;&gt;"",W$3&lt;&gt;""),IF(NOT(ISNUMBER(_xll.ciqfunctions.udf.CIQ(W$3, "IQ_BOND_PRICE", $L74))),NA(),_xll.ciqfunctions.udf.CIQ(W$3, "IQ_BOND_PRICE", $L74)),"")</f>
        <v>110.258</v>
      </c>
      <c r="X74" s="424">
        <f>IF(AND($L74&lt;&gt;"",X$3&lt;&gt;""),IF(NOT(ISNUMBER(_xll.ciqfunctions.udf.CIQ(X$3, "IQ_BOND_PRICE", $L74))),NA(),_xll.ciqfunctions.udf.CIQ(X$3, "IQ_BOND_PRICE", $L74)),"")</f>
        <v>111.928</v>
      </c>
      <c r="Y74" s="424">
        <f>IF(AND($L74&lt;&gt;"",Y$3&lt;&gt;""),IF(NOT(ISNUMBER(_xll.ciqfunctions.udf.CIQ(Y$3, "IQ_BOND_PRICE", $L74))),NA(),_xll.ciqfunctions.udf.CIQ(Y$3, "IQ_BOND_PRICE", $L74)),"")</f>
        <v>109.429</v>
      </c>
      <c r="Z74" s="424">
        <f>IF(AND($L74&lt;&gt;"",Z$3&lt;&gt;""),IF(NOT(ISNUMBER(_xll.ciqfunctions.udf.CIQ(Z$3, "IQ_BOND_PRICE", $L74))),NA(),_xll.ciqfunctions.udf.CIQ(Z$3, "IQ_BOND_PRICE", $L74)),"")</f>
        <v>0</v>
      </c>
      <c r="CZ74" s="426"/>
    </row>
    <row r="75" spans="12:104" x14ac:dyDescent="0.2">
      <c r="L75" s="425">
        <f t="shared" si="1"/>
        <v>44377</v>
      </c>
      <c r="M75" s="424">
        <f>IF(AND($L75&lt;&gt;"",M$3&lt;&gt;""),IF(NOT(ISNUMBER(_xll.ciqfunctions.udf.CIQ(M$3, "IQ_BOND_PRICE", $L75))),NA(),_xll.ciqfunctions.udf.CIQ(M$3, "IQ_BOND_PRICE", $L75)),"")</f>
        <v>101.238</v>
      </c>
      <c r="N75" s="424">
        <f>IF(AND($L75&lt;&gt;"",N$3&lt;&gt;""),IF(NOT(ISNUMBER(_xll.ciqfunctions.udf.CIQ(N$3, "IQ_BOND_PRICE", $L75))),NA(),_xll.ciqfunctions.udf.CIQ(N$3, "IQ_BOND_PRICE", $L75)),"")</f>
        <v>0</v>
      </c>
      <c r="O75" s="424">
        <f>IF(AND($L75&lt;&gt;"",O$3&lt;&gt;""),IF(NOT(ISNUMBER(_xll.ciqfunctions.udf.CIQ(O$3, "IQ_BOND_PRICE", $L75))),NA(),_xll.ciqfunctions.udf.CIQ(O$3, "IQ_BOND_PRICE", $L75)),"")</f>
        <v>102.90835</v>
      </c>
      <c r="P75" s="424">
        <f>IF(AND($L75&lt;&gt;"",P$3&lt;&gt;""),IF(NOT(ISNUMBER(_xll.ciqfunctions.udf.CIQ(P$3, "IQ_BOND_PRICE", $L75))),NA(),_xll.ciqfunctions.udf.CIQ(P$3, "IQ_BOND_PRICE", $L75)),"")</f>
        <v>103.72726</v>
      </c>
      <c r="Q75" s="424">
        <f>IF(AND($L75&lt;&gt;"",Q$3&lt;&gt;""),IF(NOT(ISNUMBER(_xll.ciqfunctions.udf.CIQ(Q$3, "IQ_BOND_PRICE", $L75))),NA(),_xll.ciqfunctions.udf.CIQ(Q$3, "IQ_BOND_PRICE", $L75)),"")</f>
        <v>105.976</v>
      </c>
      <c r="R75" s="424">
        <f>IF(AND($L75&lt;&gt;"",R$3&lt;&gt;""),IF(NOT(ISNUMBER(_xll.ciqfunctions.udf.CIQ(R$3, "IQ_BOND_PRICE", $L75))),NA(),_xll.ciqfunctions.udf.CIQ(R$3, "IQ_BOND_PRICE", $L75)),"")</f>
        <v>113.964</v>
      </c>
      <c r="S75" s="424">
        <f>IF(AND($L75&lt;&gt;"",S$3&lt;&gt;""),IF(NOT(ISNUMBER(_xll.ciqfunctions.udf.CIQ(S$3, "IQ_BOND_PRICE", $L75))),NA(),_xll.ciqfunctions.udf.CIQ(S$3, "IQ_BOND_PRICE", $L75)),"")</f>
        <v>107.254</v>
      </c>
      <c r="T75" s="424">
        <f>IF(AND($L75&lt;&gt;"",T$3&lt;&gt;""),IF(NOT(ISNUMBER(_xll.ciqfunctions.udf.CIQ(T$3, "IQ_BOND_PRICE", $L75))),NA(),_xll.ciqfunctions.udf.CIQ(T$3, "IQ_BOND_PRICE", $L75)),"")</f>
        <v>106.72799999999999</v>
      </c>
      <c r="U75" s="424">
        <f>IF(AND($L75&lt;&gt;"",U$3&lt;&gt;""),IF(NOT(ISNUMBER(_xll.ciqfunctions.udf.CIQ(U$3, "IQ_BOND_PRICE", $L75))),NA(),_xll.ciqfunctions.udf.CIQ(U$3, "IQ_BOND_PRICE", $L75)),"")</f>
        <v>99.883979999999994</v>
      </c>
      <c r="V75" s="424">
        <f>IF(AND($L75&lt;&gt;"",V$3&lt;&gt;""),IF(NOT(ISNUMBER(_xll.ciqfunctions.udf.CIQ(V$3, "IQ_BOND_PRICE", $L75))),NA(),_xll.ciqfunctions.udf.CIQ(V$3, "IQ_BOND_PRICE", $L75)),"")</f>
        <v>106.53895</v>
      </c>
      <c r="W75" s="424">
        <f>IF(AND($L75&lt;&gt;"",W$3&lt;&gt;""),IF(NOT(ISNUMBER(_xll.ciqfunctions.udf.CIQ(W$3, "IQ_BOND_PRICE", $L75))),NA(),_xll.ciqfunctions.udf.CIQ(W$3, "IQ_BOND_PRICE", $L75)),"")</f>
        <v>110.35899999999999</v>
      </c>
      <c r="X75" s="424">
        <f>IF(AND($L75&lt;&gt;"",X$3&lt;&gt;""),IF(NOT(ISNUMBER(_xll.ciqfunctions.udf.CIQ(X$3, "IQ_BOND_PRICE", $L75))),NA(),_xll.ciqfunctions.udf.CIQ(X$3, "IQ_BOND_PRICE", $L75)),"")</f>
        <v>111.974</v>
      </c>
      <c r="Y75" s="424">
        <f>IF(AND($L75&lt;&gt;"",Y$3&lt;&gt;""),IF(NOT(ISNUMBER(_xll.ciqfunctions.udf.CIQ(Y$3, "IQ_BOND_PRICE", $L75))),NA(),_xll.ciqfunctions.udf.CIQ(Y$3, "IQ_BOND_PRICE", $L75)),"")</f>
        <v>109.535</v>
      </c>
      <c r="Z75" s="424">
        <f>IF(AND($L75&lt;&gt;"",Z$3&lt;&gt;""),IF(NOT(ISNUMBER(_xll.ciqfunctions.udf.CIQ(Z$3, "IQ_BOND_PRICE", $L75))),NA(),_xll.ciqfunctions.udf.CIQ(Z$3, "IQ_BOND_PRICE", $L75)),"")</f>
        <v>0</v>
      </c>
      <c r="CZ75" s="426"/>
    </row>
    <row r="76" spans="12:104" x14ac:dyDescent="0.2">
      <c r="L76" s="425">
        <f t="shared" si="1"/>
        <v>44378</v>
      </c>
      <c r="M76" s="424">
        <f>IF(AND($L76&lt;&gt;"",M$3&lt;&gt;""),IF(NOT(ISNUMBER(_xll.ciqfunctions.udf.CIQ(M$3, "IQ_BOND_PRICE", $L76))),NA(),_xll.ciqfunctions.udf.CIQ(M$3, "IQ_BOND_PRICE", $L76)),"")</f>
        <v>101.221</v>
      </c>
      <c r="N76" s="424">
        <f>IF(AND($L76&lt;&gt;"",N$3&lt;&gt;""),IF(NOT(ISNUMBER(_xll.ciqfunctions.udf.CIQ(N$3, "IQ_BOND_PRICE", $L76))),NA(),_xll.ciqfunctions.udf.CIQ(N$3, "IQ_BOND_PRICE", $L76)),"")</f>
        <v>0</v>
      </c>
      <c r="O76" s="424">
        <f>IF(AND($L76&lt;&gt;"",O$3&lt;&gt;""),IF(NOT(ISNUMBER(_xll.ciqfunctions.udf.CIQ(O$3, "IQ_BOND_PRICE", $L76))),NA(),_xll.ciqfunctions.udf.CIQ(O$3, "IQ_BOND_PRICE", $L76)),"")</f>
        <v>102.85953000000001</v>
      </c>
      <c r="P76" s="424">
        <f>IF(AND($L76&lt;&gt;"",P$3&lt;&gt;""),IF(NOT(ISNUMBER(_xll.ciqfunctions.udf.CIQ(P$3, "IQ_BOND_PRICE", $L76))),NA(),_xll.ciqfunctions.udf.CIQ(P$3, "IQ_BOND_PRICE", $L76)),"")</f>
        <v>103.58971</v>
      </c>
      <c r="Q76" s="424">
        <f>IF(AND($L76&lt;&gt;"",Q$3&lt;&gt;""),IF(NOT(ISNUMBER(_xll.ciqfunctions.udf.CIQ(Q$3, "IQ_BOND_PRICE", $L76))),NA(),_xll.ciqfunctions.udf.CIQ(Q$3, "IQ_BOND_PRICE", $L76)),"")</f>
        <v>105.908</v>
      </c>
      <c r="R76" s="424">
        <f>IF(AND($L76&lt;&gt;"",R$3&lt;&gt;""),IF(NOT(ISNUMBER(_xll.ciqfunctions.udf.CIQ(R$3, "IQ_BOND_PRICE", $L76))),NA(),_xll.ciqfunctions.udf.CIQ(R$3, "IQ_BOND_PRICE", $L76)),"")</f>
        <v>113.764</v>
      </c>
      <c r="S76" s="424">
        <f>IF(AND($L76&lt;&gt;"",S$3&lt;&gt;""),IF(NOT(ISNUMBER(_xll.ciqfunctions.udf.CIQ(S$3, "IQ_BOND_PRICE", $L76))),NA(),_xll.ciqfunctions.udf.CIQ(S$3, "IQ_BOND_PRICE", $L76)),"")</f>
        <v>107.11799999999999</v>
      </c>
      <c r="T76" s="424">
        <f>IF(AND($L76&lt;&gt;"",T$3&lt;&gt;""),IF(NOT(ISNUMBER(_xll.ciqfunctions.udf.CIQ(T$3, "IQ_BOND_PRICE", $L76))),NA(),_xll.ciqfunctions.udf.CIQ(T$3, "IQ_BOND_PRICE", $L76)),"")</f>
        <v>106.517</v>
      </c>
      <c r="U76" s="424">
        <f>IF(AND($L76&lt;&gt;"",U$3&lt;&gt;""),IF(NOT(ISNUMBER(_xll.ciqfunctions.udf.CIQ(U$3, "IQ_BOND_PRICE", $L76))),NA(),_xll.ciqfunctions.udf.CIQ(U$3, "IQ_BOND_PRICE", $L76)),"")</f>
        <v>99.901430000000005</v>
      </c>
      <c r="V76" s="424">
        <f>IF(AND($L76&lt;&gt;"",V$3&lt;&gt;""),IF(NOT(ISNUMBER(_xll.ciqfunctions.udf.CIQ(V$3, "IQ_BOND_PRICE", $L76))),NA(),_xll.ciqfunctions.udf.CIQ(V$3, "IQ_BOND_PRICE", $L76)),"")</f>
        <v>106.48748999999999</v>
      </c>
      <c r="W76" s="424">
        <f>IF(AND($L76&lt;&gt;"",W$3&lt;&gt;""),IF(NOT(ISNUMBER(_xll.ciqfunctions.udf.CIQ(W$3, "IQ_BOND_PRICE", $L76))),NA(),_xll.ciqfunctions.udf.CIQ(W$3, "IQ_BOND_PRICE", $L76)),"")</f>
        <v>110.26</v>
      </c>
      <c r="X76" s="424">
        <f>IF(AND($L76&lt;&gt;"",X$3&lt;&gt;""),IF(NOT(ISNUMBER(_xll.ciqfunctions.udf.CIQ(X$3, "IQ_BOND_PRICE", $L76))),NA(),_xll.ciqfunctions.udf.CIQ(X$3, "IQ_BOND_PRICE", $L76)),"")</f>
        <v>111.96</v>
      </c>
      <c r="Y76" s="424">
        <f>IF(AND($L76&lt;&gt;"",Y$3&lt;&gt;""),IF(NOT(ISNUMBER(_xll.ciqfunctions.udf.CIQ(Y$3, "IQ_BOND_PRICE", $L76))),NA(),_xll.ciqfunctions.udf.CIQ(Y$3, "IQ_BOND_PRICE", $L76)),"")</f>
        <v>109.486</v>
      </c>
      <c r="Z76" s="424">
        <f>IF(AND($L76&lt;&gt;"",Z$3&lt;&gt;""),IF(NOT(ISNUMBER(_xll.ciqfunctions.udf.CIQ(Z$3, "IQ_BOND_PRICE", $L76))),NA(),_xll.ciqfunctions.udf.CIQ(Z$3, "IQ_BOND_PRICE", $L76)),"")</f>
        <v>0</v>
      </c>
      <c r="CZ76" s="426"/>
    </row>
    <row r="77" spans="12:104" x14ac:dyDescent="0.2">
      <c r="L77" s="425">
        <f t="shared" si="1"/>
        <v>44379</v>
      </c>
      <c r="M77" s="424">
        <f>IF(AND($L77&lt;&gt;"",M$3&lt;&gt;""),IF(NOT(ISNUMBER(_xll.ciqfunctions.udf.CIQ(M$3, "IQ_BOND_PRICE", $L77))),NA(),_xll.ciqfunctions.udf.CIQ(M$3, "IQ_BOND_PRICE", $L77)),"")</f>
        <v>101.212</v>
      </c>
      <c r="N77" s="424">
        <f>IF(AND($L77&lt;&gt;"",N$3&lt;&gt;""),IF(NOT(ISNUMBER(_xll.ciqfunctions.udf.CIQ(N$3, "IQ_BOND_PRICE", $L77))),NA(),_xll.ciqfunctions.udf.CIQ(N$3, "IQ_BOND_PRICE", $L77)),"")</f>
        <v>0</v>
      </c>
      <c r="O77" s="424">
        <f>IF(AND($L77&lt;&gt;"",O$3&lt;&gt;""),IF(NOT(ISNUMBER(_xll.ciqfunctions.udf.CIQ(O$3, "IQ_BOND_PRICE", $L77))),NA(),_xll.ciqfunctions.udf.CIQ(O$3, "IQ_BOND_PRICE", $L77)),"")</f>
        <v>102.8847</v>
      </c>
      <c r="P77" s="424">
        <f>IF(AND($L77&lt;&gt;"",P$3&lt;&gt;""),IF(NOT(ISNUMBER(_xll.ciqfunctions.udf.CIQ(P$3, "IQ_BOND_PRICE", $L77))),NA(),_xll.ciqfunctions.udf.CIQ(P$3, "IQ_BOND_PRICE", $L77)),"")</f>
        <v>103.62940999999999</v>
      </c>
      <c r="Q77" s="424">
        <f>IF(AND($L77&lt;&gt;"",Q$3&lt;&gt;""),IF(NOT(ISNUMBER(_xll.ciqfunctions.udf.CIQ(Q$3, "IQ_BOND_PRICE", $L77))),NA(),_xll.ciqfunctions.udf.CIQ(Q$3, "IQ_BOND_PRICE", $L77)),"")</f>
        <v>105.786</v>
      </c>
      <c r="R77" s="424">
        <f>IF(AND($L77&lt;&gt;"",R$3&lt;&gt;""),IF(NOT(ISNUMBER(_xll.ciqfunctions.udf.CIQ(R$3, "IQ_BOND_PRICE", $L77))),NA(),_xll.ciqfunctions.udf.CIQ(R$3, "IQ_BOND_PRICE", $L77)),"")</f>
        <v>113.815</v>
      </c>
      <c r="S77" s="424">
        <f>IF(AND($L77&lt;&gt;"",S$3&lt;&gt;""),IF(NOT(ISNUMBER(_xll.ciqfunctions.udf.CIQ(S$3, "IQ_BOND_PRICE", $L77))),NA(),_xll.ciqfunctions.udf.CIQ(S$3, "IQ_BOND_PRICE", $L77)),"")</f>
        <v>107.1</v>
      </c>
      <c r="T77" s="424">
        <f>IF(AND($L77&lt;&gt;"",T$3&lt;&gt;""),IF(NOT(ISNUMBER(_xll.ciqfunctions.udf.CIQ(T$3, "IQ_BOND_PRICE", $L77))),NA(),_xll.ciqfunctions.udf.CIQ(T$3, "IQ_BOND_PRICE", $L77)),"")</f>
        <v>106.646</v>
      </c>
      <c r="U77" s="424">
        <f>IF(AND($L77&lt;&gt;"",U$3&lt;&gt;""),IF(NOT(ISNUMBER(_xll.ciqfunctions.udf.CIQ(U$3, "IQ_BOND_PRICE", $L77))),NA(),_xll.ciqfunctions.udf.CIQ(U$3, "IQ_BOND_PRICE", $L77)),"")</f>
        <v>99.896169999999998</v>
      </c>
      <c r="V77" s="424">
        <f>IF(AND($L77&lt;&gt;"",V$3&lt;&gt;""),IF(NOT(ISNUMBER(_xll.ciqfunctions.udf.CIQ(V$3, "IQ_BOND_PRICE", $L77))),NA(),_xll.ciqfunctions.udf.CIQ(V$3, "IQ_BOND_PRICE", $L77)),"")</f>
        <v>106.57844</v>
      </c>
      <c r="W77" s="424">
        <f>IF(AND($L77&lt;&gt;"",W$3&lt;&gt;""),IF(NOT(ISNUMBER(_xll.ciqfunctions.udf.CIQ(W$3, "IQ_BOND_PRICE", $L77))),NA(),_xll.ciqfunctions.udf.CIQ(W$3, "IQ_BOND_PRICE", $L77)),"")</f>
        <v>110.41800000000001</v>
      </c>
      <c r="X77" s="424">
        <f>IF(AND($L77&lt;&gt;"",X$3&lt;&gt;""),IF(NOT(ISNUMBER(_xll.ciqfunctions.udf.CIQ(X$3, "IQ_BOND_PRICE", $L77))),NA(),_xll.ciqfunctions.udf.CIQ(X$3, "IQ_BOND_PRICE", $L77)),"")</f>
        <v>111.992</v>
      </c>
      <c r="Y77" s="424">
        <f>IF(AND($L77&lt;&gt;"",Y$3&lt;&gt;""),IF(NOT(ISNUMBER(_xll.ciqfunctions.udf.CIQ(Y$3, "IQ_BOND_PRICE", $L77))),NA(),_xll.ciqfunctions.udf.CIQ(Y$3, "IQ_BOND_PRICE", $L77)),"")</f>
        <v>109.514</v>
      </c>
      <c r="Z77" s="424">
        <f>IF(AND($L77&lt;&gt;"",Z$3&lt;&gt;""),IF(NOT(ISNUMBER(_xll.ciqfunctions.udf.CIQ(Z$3, "IQ_BOND_PRICE", $L77))),NA(),_xll.ciqfunctions.udf.CIQ(Z$3, "IQ_BOND_PRICE", $L77)),"")</f>
        <v>0</v>
      </c>
      <c r="CZ77" s="426"/>
    </row>
    <row r="78" spans="12:104" x14ac:dyDescent="0.2">
      <c r="L78" s="425">
        <f t="shared" si="1"/>
        <v>44382</v>
      </c>
      <c r="M78" s="424">
        <f>IF(AND($L78&lt;&gt;"",M$3&lt;&gt;""),IF(NOT(ISNUMBER(_xll.ciqfunctions.udf.CIQ(M$3, "IQ_BOND_PRICE", $L78))),NA(),_xll.ciqfunctions.udf.CIQ(M$3, "IQ_BOND_PRICE", $L78)),"")</f>
        <v>101.208</v>
      </c>
      <c r="N78" s="424">
        <f>IF(AND($L78&lt;&gt;"",N$3&lt;&gt;""),IF(NOT(ISNUMBER(_xll.ciqfunctions.udf.CIQ(N$3, "IQ_BOND_PRICE", $L78))),NA(),_xll.ciqfunctions.udf.CIQ(N$3, "IQ_BOND_PRICE", $L78)),"")</f>
        <v>0</v>
      </c>
      <c r="O78" s="424">
        <f>IF(AND($L78&lt;&gt;"",O$3&lt;&gt;""),IF(NOT(ISNUMBER(_xll.ciqfunctions.udf.CIQ(O$3, "IQ_BOND_PRICE", $L78))),NA(),_xll.ciqfunctions.udf.CIQ(O$3, "IQ_BOND_PRICE", $L78)),"")</f>
        <v>102.803</v>
      </c>
      <c r="P78" s="424">
        <f>IF(AND($L78&lt;&gt;"",P$3&lt;&gt;""),IF(NOT(ISNUMBER(_xll.ciqfunctions.udf.CIQ(P$3, "IQ_BOND_PRICE", $L78))),NA(),_xll.ciqfunctions.udf.CIQ(P$3, "IQ_BOND_PRICE", $L78)),"")</f>
        <v>103.53</v>
      </c>
      <c r="Q78" s="424">
        <f>IF(AND($L78&lt;&gt;"",Q$3&lt;&gt;""),IF(NOT(ISNUMBER(_xll.ciqfunctions.udf.CIQ(Q$3, "IQ_BOND_PRICE", $L78))),NA(),_xll.ciqfunctions.udf.CIQ(Q$3, "IQ_BOND_PRICE", $L78)),"")</f>
        <v>105.80500000000001</v>
      </c>
      <c r="R78" s="424">
        <f>IF(AND($L78&lt;&gt;"",R$3&lt;&gt;""),IF(NOT(ISNUMBER(_xll.ciqfunctions.udf.CIQ(R$3, "IQ_BOND_PRICE", $L78))),NA(),_xll.ciqfunctions.udf.CIQ(R$3, "IQ_BOND_PRICE", $L78)),"")</f>
        <v>112.79</v>
      </c>
      <c r="S78" s="424">
        <f>IF(AND($L78&lt;&gt;"",S$3&lt;&gt;""),IF(NOT(ISNUMBER(_xll.ciqfunctions.udf.CIQ(S$3, "IQ_BOND_PRICE", $L78))),NA(),_xll.ciqfunctions.udf.CIQ(S$3, "IQ_BOND_PRICE", $L78)),"")</f>
        <v>107.1</v>
      </c>
      <c r="T78" s="424">
        <f>IF(AND($L78&lt;&gt;"",T$3&lt;&gt;""),IF(NOT(ISNUMBER(_xll.ciqfunctions.udf.CIQ(T$3, "IQ_BOND_PRICE", $L78))),NA(),_xll.ciqfunctions.udf.CIQ(T$3, "IQ_BOND_PRICE", $L78)),"")</f>
        <v>106.62</v>
      </c>
      <c r="U78" s="424">
        <f>IF(AND($L78&lt;&gt;"",U$3&lt;&gt;""),IF(NOT(ISNUMBER(_xll.ciqfunctions.udf.CIQ(U$3, "IQ_BOND_PRICE", $L78))),NA(),_xll.ciqfunctions.udf.CIQ(U$3, "IQ_BOND_PRICE", $L78)),"")</f>
        <v>99.91377</v>
      </c>
      <c r="V78" s="424">
        <f>IF(AND($L78&lt;&gt;"",V$3&lt;&gt;""),IF(NOT(ISNUMBER(_xll.ciqfunctions.udf.CIQ(V$3, "IQ_BOND_PRICE", $L78))),NA(),_xll.ciqfunctions.udf.CIQ(V$3, "IQ_BOND_PRICE", $L78)),"")</f>
        <v>106.38</v>
      </c>
      <c r="W78" s="424">
        <f>IF(AND($L78&lt;&gt;"",W$3&lt;&gt;""),IF(NOT(ISNUMBER(_xll.ciqfunctions.udf.CIQ(W$3, "IQ_BOND_PRICE", $L78))),NA(),_xll.ciqfunctions.udf.CIQ(W$3, "IQ_BOND_PRICE", $L78)),"")</f>
        <v>110.29</v>
      </c>
      <c r="X78" s="424">
        <f>IF(AND($L78&lt;&gt;"",X$3&lt;&gt;""),IF(NOT(ISNUMBER(_xll.ciqfunctions.udf.CIQ(X$3, "IQ_BOND_PRICE", $L78))),NA(),_xll.ciqfunctions.udf.CIQ(X$3, "IQ_BOND_PRICE", $L78)),"")</f>
        <v>111.94499999999999</v>
      </c>
      <c r="Y78" s="424">
        <f>IF(AND($L78&lt;&gt;"",Y$3&lt;&gt;""),IF(NOT(ISNUMBER(_xll.ciqfunctions.udf.CIQ(Y$3, "IQ_BOND_PRICE", $L78))),NA(),_xll.ciqfunctions.udf.CIQ(Y$3, "IQ_BOND_PRICE", $L78)),"")</f>
        <v>109.2</v>
      </c>
      <c r="Z78" s="424">
        <f>IF(AND($L78&lt;&gt;"",Z$3&lt;&gt;""),IF(NOT(ISNUMBER(_xll.ciqfunctions.udf.CIQ(Z$3, "IQ_BOND_PRICE", $L78))),NA(),_xll.ciqfunctions.udf.CIQ(Z$3, "IQ_BOND_PRICE", $L78)),"")</f>
        <v>0</v>
      </c>
      <c r="CZ78" s="426"/>
    </row>
    <row r="79" spans="12:104" x14ac:dyDescent="0.2">
      <c r="L79" s="425">
        <f t="shared" si="1"/>
        <v>44383</v>
      </c>
      <c r="M79" s="424">
        <f>IF(AND($L79&lt;&gt;"",M$3&lt;&gt;""),IF(NOT(ISNUMBER(_xll.ciqfunctions.udf.CIQ(M$3, "IQ_BOND_PRICE", $L79))),NA(),_xll.ciqfunctions.udf.CIQ(M$3, "IQ_BOND_PRICE", $L79)),"")</f>
        <v>101.20399999999999</v>
      </c>
      <c r="N79" s="424">
        <f>IF(AND($L79&lt;&gt;"",N$3&lt;&gt;""),IF(NOT(ISNUMBER(_xll.ciqfunctions.udf.CIQ(N$3, "IQ_BOND_PRICE", $L79))),NA(),_xll.ciqfunctions.udf.CIQ(N$3, "IQ_BOND_PRICE", $L79)),"")</f>
        <v>0</v>
      </c>
      <c r="O79" s="424">
        <f>IF(AND($L79&lt;&gt;"",O$3&lt;&gt;""),IF(NOT(ISNUMBER(_xll.ciqfunctions.udf.CIQ(O$3, "IQ_BOND_PRICE", $L79))),NA(),_xll.ciqfunctions.udf.CIQ(O$3, "IQ_BOND_PRICE", $L79)),"")</f>
        <v>102.74455</v>
      </c>
      <c r="P79" s="424">
        <f>IF(AND($L79&lt;&gt;"",P$3&lt;&gt;""),IF(NOT(ISNUMBER(_xll.ciqfunctions.udf.CIQ(P$3, "IQ_BOND_PRICE", $L79))),NA(),_xll.ciqfunctions.udf.CIQ(P$3, "IQ_BOND_PRICE", $L79)),"")</f>
        <v>103.61028</v>
      </c>
      <c r="Q79" s="424">
        <f>IF(AND($L79&lt;&gt;"",Q$3&lt;&gt;""),IF(NOT(ISNUMBER(_xll.ciqfunctions.udf.CIQ(Q$3, "IQ_BOND_PRICE", $L79))),NA(),_xll.ciqfunctions.udf.CIQ(Q$3, "IQ_BOND_PRICE", $L79)),"")</f>
        <v>105.773</v>
      </c>
      <c r="R79" s="424">
        <f>IF(AND($L79&lt;&gt;"",R$3&lt;&gt;""),IF(NOT(ISNUMBER(_xll.ciqfunctions.udf.CIQ(R$3, "IQ_BOND_PRICE", $L79))),NA(),_xll.ciqfunctions.udf.CIQ(R$3, "IQ_BOND_PRICE", $L79)),"")</f>
        <v>113.80800000000001</v>
      </c>
      <c r="S79" s="424">
        <f>IF(AND($L79&lt;&gt;"",S$3&lt;&gt;""),IF(NOT(ISNUMBER(_xll.ciqfunctions.udf.CIQ(S$3, "IQ_BOND_PRICE", $L79))),NA(),_xll.ciqfunctions.udf.CIQ(S$3, "IQ_BOND_PRICE", $L79)),"")</f>
        <v>107.17700000000001</v>
      </c>
      <c r="T79" s="424">
        <f>IF(AND($L79&lt;&gt;"",T$3&lt;&gt;""),IF(NOT(ISNUMBER(_xll.ciqfunctions.udf.CIQ(T$3, "IQ_BOND_PRICE", $L79))),NA(),_xll.ciqfunctions.udf.CIQ(T$3, "IQ_BOND_PRICE", $L79)),"")</f>
        <v>106.697</v>
      </c>
      <c r="U79" s="424">
        <f>IF(AND($L79&lt;&gt;"",U$3&lt;&gt;""),IF(NOT(ISNUMBER(_xll.ciqfunctions.udf.CIQ(U$3, "IQ_BOND_PRICE", $L79))),NA(),_xll.ciqfunctions.udf.CIQ(U$3, "IQ_BOND_PRICE", $L79)),"")</f>
        <v>99.914529999999999</v>
      </c>
      <c r="V79" s="424">
        <f>IF(AND($L79&lt;&gt;"",V$3&lt;&gt;""),IF(NOT(ISNUMBER(_xll.ciqfunctions.udf.CIQ(V$3, "IQ_BOND_PRICE", $L79))),NA(),_xll.ciqfunctions.udf.CIQ(V$3, "IQ_BOND_PRICE", $L79)),"")</f>
        <v>106.68044999999999</v>
      </c>
      <c r="W79" s="424">
        <f>IF(AND($L79&lt;&gt;"",W$3&lt;&gt;""),IF(NOT(ISNUMBER(_xll.ciqfunctions.udf.CIQ(W$3, "IQ_BOND_PRICE", $L79))),NA(),_xll.ciqfunctions.udf.CIQ(W$3, "IQ_BOND_PRICE", $L79)),"")</f>
        <v>110.613</v>
      </c>
      <c r="X79" s="424">
        <f>IF(AND($L79&lt;&gt;"",X$3&lt;&gt;""),IF(NOT(ISNUMBER(_xll.ciqfunctions.udf.CIQ(X$3, "IQ_BOND_PRICE", $L79))),NA(),_xll.ciqfunctions.udf.CIQ(X$3, "IQ_BOND_PRICE", $L79)),"")</f>
        <v>112.035</v>
      </c>
      <c r="Y79" s="424">
        <f>IF(AND($L79&lt;&gt;"",Y$3&lt;&gt;""),IF(NOT(ISNUMBER(_xll.ciqfunctions.udf.CIQ(Y$3, "IQ_BOND_PRICE", $L79))),NA(),_xll.ciqfunctions.udf.CIQ(Y$3, "IQ_BOND_PRICE", $L79)),"")</f>
        <v>109.741</v>
      </c>
      <c r="Z79" s="424">
        <f>IF(AND($L79&lt;&gt;"",Z$3&lt;&gt;""),IF(NOT(ISNUMBER(_xll.ciqfunctions.udf.CIQ(Z$3, "IQ_BOND_PRICE", $L79))),NA(),_xll.ciqfunctions.udf.CIQ(Z$3, "IQ_BOND_PRICE", $L79)),"")</f>
        <v>0</v>
      </c>
      <c r="CZ79" s="426"/>
    </row>
    <row r="80" spans="12:104" x14ac:dyDescent="0.2">
      <c r="L80" s="425">
        <f t="shared" si="1"/>
        <v>44384</v>
      </c>
      <c r="M80" s="424">
        <f>IF(AND($L80&lt;&gt;"",M$3&lt;&gt;""),IF(NOT(ISNUMBER(_xll.ciqfunctions.udf.CIQ(M$3, "IQ_BOND_PRICE", $L80))),NA(),_xll.ciqfunctions.udf.CIQ(M$3, "IQ_BOND_PRICE", $L80)),"")</f>
        <v>101.197</v>
      </c>
      <c r="N80" s="424">
        <f>IF(AND($L80&lt;&gt;"",N$3&lt;&gt;""),IF(NOT(ISNUMBER(_xll.ciqfunctions.udf.CIQ(N$3, "IQ_BOND_PRICE", $L80))),NA(),_xll.ciqfunctions.udf.CIQ(N$3, "IQ_BOND_PRICE", $L80)),"")</f>
        <v>0</v>
      </c>
      <c r="O80" s="424">
        <f>IF(AND($L80&lt;&gt;"",O$3&lt;&gt;""),IF(NOT(ISNUMBER(_xll.ciqfunctions.udf.CIQ(O$3, "IQ_BOND_PRICE", $L80))),NA(),_xll.ciqfunctions.udf.CIQ(O$3, "IQ_BOND_PRICE", $L80)),"")</f>
        <v>102.80271999999999</v>
      </c>
      <c r="P80" s="424">
        <f>IF(AND($L80&lt;&gt;"",P$3&lt;&gt;""),IF(NOT(ISNUMBER(_xll.ciqfunctions.udf.CIQ(P$3, "IQ_BOND_PRICE", $L80))),NA(),_xll.ciqfunctions.udf.CIQ(P$3, "IQ_BOND_PRICE", $L80)),"")</f>
        <v>103.7663</v>
      </c>
      <c r="Q80" s="424">
        <f>IF(AND($L80&lt;&gt;"",Q$3&lt;&gt;""),IF(NOT(ISNUMBER(_xll.ciqfunctions.udf.CIQ(Q$3, "IQ_BOND_PRICE", $L80))),NA(),_xll.ciqfunctions.udf.CIQ(Q$3, "IQ_BOND_PRICE", $L80)),"")</f>
        <v>105.93600000000001</v>
      </c>
      <c r="R80" s="424">
        <f>IF(AND($L80&lt;&gt;"",R$3&lt;&gt;""),IF(NOT(ISNUMBER(_xll.ciqfunctions.udf.CIQ(R$3, "IQ_BOND_PRICE", $L80))),NA(),_xll.ciqfunctions.udf.CIQ(R$3, "IQ_BOND_PRICE", $L80)),"")</f>
        <v>113.979</v>
      </c>
      <c r="S80" s="424">
        <f>IF(AND($L80&lt;&gt;"",S$3&lt;&gt;""),IF(NOT(ISNUMBER(_xll.ciqfunctions.udf.CIQ(S$3, "IQ_BOND_PRICE", $L80))),NA(),_xll.ciqfunctions.udf.CIQ(S$3, "IQ_BOND_PRICE", $L80)),"")</f>
        <v>107.197</v>
      </c>
      <c r="T80" s="424">
        <f>IF(AND($L80&lt;&gt;"",T$3&lt;&gt;""),IF(NOT(ISNUMBER(_xll.ciqfunctions.udf.CIQ(T$3, "IQ_BOND_PRICE", $L80))),NA(),_xll.ciqfunctions.udf.CIQ(T$3, "IQ_BOND_PRICE", $L80)),"")</f>
        <v>106.752</v>
      </c>
      <c r="U80" s="424">
        <f>IF(AND($L80&lt;&gt;"",U$3&lt;&gt;""),IF(NOT(ISNUMBER(_xll.ciqfunctions.udf.CIQ(U$3, "IQ_BOND_PRICE", $L80))),NA(),_xll.ciqfunctions.udf.CIQ(U$3, "IQ_BOND_PRICE", $L80)),"")</f>
        <v>99.903880000000001</v>
      </c>
      <c r="V80" s="424">
        <f>IF(AND($L80&lt;&gt;"",V$3&lt;&gt;""),IF(NOT(ISNUMBER(_xll.ciqfunctions.udf.CIQ(V$3, "IQ_BOND_PRICE", $L80))),NA(),_xll.ciqfunctions.udf.CIQ(V$3, "IQ_BOND_PRICE", $L80)),"")</f>
        <v>107.08689</v>
      </c>
      <c r="W80" s="424">
        <f>IF(AND($L80&lt;&gt;"",W$3&lt;&gt;""),IF(NOT(ISNUMBER(_xll.ciqfunctions.udf.CIQ(W$3, "IQ_BOND_PRICE", $L80))),NA(),_xll.ciqfunctions.udf.CIQ(W$3, "IQ_BOND_PRICE", $L80)),"")</f>
        <v>110.727</v>
      </c>
      <c r="X80" s="424">
        <f>IF(AND($L80&lt;&gt;"",X$3&lt;&gt;""),IF(NOT(ISNUMBER(_xll.ciqfunctions.udf.CIQ(X$3, "IQ_BOND_PRICE", $L80))),NA(),_xll.ciqfunctions.udf.CIQ(X$3, "IQ_BOND_PRICE", $L80)),"")</f>
        <v>112.027</v>
      </c>
      <c r="Y80" s="424">
        <f>IF(AND($L80&lt;&gt;"",Y$3&lt;&gt;""),IF(NOT(ISNUMBER(_xll.ciqfunctions.udf.CIQ(Y$3, "IQ_BOND_PRICE", $L80))),NA(),_xll.ciqfunctions.udf.CIQ(Y$3, "IQ_BOND_PRICE", $L80)),"")</f>
        <v>109.925</v>
      </c>
      <c r="Z80" s="424">
        <f>IF(AND($L80&lt;&gt;"",Z$3&lt;&gt;""),IF(NOT(ISNUMBER(_xll.ciqfunctions.udf.CIQ(Z$3, "IQ_BOND_PRICE", $L80))),NA(),_xll.ciqfunctions.udf.CIQ(Z$3, "IQ_BOND_PRICE", $L80)),"")</f>
        <v>0</v>
      </c>
      <c r="CZ80" s="426"/>
    </row>
    <row r="81" spans="12:104" x14ac:dyDescent="0.2">
      <c r="L81" s="425">
        <f t="shared" si="1"/>
        <v>44385</v>
      </c>
      <c r="M81" s="424">
        <f>IF(AND($L81&lt;&gt;"",M$3&lt;&gt;""),IF(NOT(ISNUMBER(_xll.ciqfunctions.udf.CIQ(M$3, "IQ_BOND_PRICE", $L81))),NA(),_xll.ciqfunctions.udf.CIQ(M$3, "IQ_BOND_PRICE", $L81)),"")</f>
        <v>101.178</v>
      </c>
      <c r="N81" s="424">
        <f>IF(AND($L81&lt;&gt;"",N$3&lt;&gt;""),IF(NOT(ISNUMBER(_xll.ciqfunctions.udf.CIQ(N$3, "IQ_BOND_PRICE", $L81))),NA(),_xll.ciqfunctions.udf.CIQ(N$3, "IQ_BOND_PRICE", $L81)),"")</f>
        <v>0</v>
      </c>
      <c r="O81" s="424">
        <f>IF(AND($L81&lt;&gt;"",O$3&lt;&gt;""),IF(NOT(ISNUMBER(_xll.ciqfunctions.udf.CIQ(O$3, "IQ_BOND_PRICE", $L81))),NA(),_xll.ciqfunctions.udf.CIQ(O$3, "IQ_BOND_PRICE", $L81)),"")</f>
        <v>102.82046</v>
      </c>
      <c r="P81" s="424">
        <f>IF(AND($L81&lt;&gt;"",P$3&lt;&gt;""),IF(NOT(ISNUMBER(_xll.ciqfunctions.udf.CIQ(P$3, "IQ_BOND_PRICE", $L81))),NA(),_xll.ciqfunctions.udf.CIQ(P$3, "IQ_BOND_PRICE", $L81)),"")</f>
        <v>103.47408</v>
      </c>
      <c r="Q81" s="424">
        <f>IF(AND($L81&lt;&gt;"",Q$3&lt;&gt;""),IF(NOT(ISNUMBER(_xll.ciqfunctions.udf.CIQ(Q$3, "IQ_BOND_PRICE", $L81))),NA(),_xll.ciqfunctions.udf.CIQ(Q$3, "IQ_BOND_PRICE", $L81)),"")</f>
        <v>105.871</v>
      </c>
      <c r="R81" s="424">
        <f>IF(AND($L81&lt;&gt;"",R$3&lt;&gt;""),IF(NOT(ISNUMBER(_xll.ciqfunctions.udf.CIQ(R$3, "IQ_BOND_PRICE", $L81))),NA(),_xll.ciqfunctions.udf.CIQ(R$3, "IQ_BOND_PRICE", $L81)),"")</f>
        <v>113.919</v>
      </c>
      <c r="S81" s="424">
        <f>IF(AND($L81&lt;&gt;"",S$3&lt;&gt;""),IF(NOT(ISNUMBER(_xll.ciqfunctions.udf.CIQ(S$3, "IQ_BOND_PRICE", $L81))),NA(),_xll.ciqfunctions.udf.CIQ(S$3, "IQ_BOND_PRICE", $L81)),"")</f>
        <v>107.27800000000001</v>
      </c>
      <c r="T81" s="424">
        <f>IF(AND($L81&lt;&gt;"",T$3&lt;&gt;""),IF(NOT(ISNUMBER(_xll.ciqfunctions.udf.CIQ(T$3, "IQ_BOND_PRICE", $L81))),NA(),_xll.ciqfunctions.udf.CIQ(T$3, "IQ_BOND_PRICE", $L81)),"")</f>
        <v>106.8</v>
      </c>
      <c r="U81" s="424">
        <f>IF(AND($L81&lt;&gt;"",U$3&lt;&gt;""),IF(NOT(ISNUMBER(_xll.ciqfunctions.udf.CIQ(U$3, "IQ_BOND_PRICE", $L81))),NA(),_xll.ciqfunctions.udf.CIQ(U$3, "IQ_BOND_PRICE", $L81)),"")</f>
        <v>99.929259999999999</v>
      </c>
      <c r="V81" s="424">
        <f>IF(AND($L81&lt;&gt;"",V$3&lt;&gt;""),IF(NOT(ISNUMBER(_xll.ciqfunctions.udf.CIQ(V$3, "IQ_BOND_PRICE", $L81))),NA(),_xll.ciqfunctions.udf.CIQ(V$3, "IQ_BOND_PRICE", $L81)),"")</f>
        <v>106.74486</v>
      </c>
      <c r="W81" s="424">
        <f>IF(AND($L81&lt;&gt;"",W$3&lt;&gt;""),IF(NOT(ISNUMBER(_xll.ciqfunctions.udf.CIQ(W$3, "IQ_BOND_PRICE", $L81))),NA(),_xll.ciqfunctions.udf.CIQ(W$3, "IQ_BOND_PRICE", $L81)),"")</f>
        <v>110.874</v>
      </c>
      <c r="X81" s="424">
        <f>IF(AND($L81&lt;&gt;"",X$3&lt;&gt;""),IF(NOT(ISNUMBER(_xll.ciqfunctions.udf.CIQ(X$3, "IQ_BOND_PRICE", $L81))),NA(),_xll.ciqfunctions.udf.CIQ(X$3, "IQ_BOND_PRICE", $L81)),"")</f>
        <v>112.039</v>
      </c>
      <c r="Y81" s="424">
        <f>IF(AND($L81&lt;&gt;"",Y$3&lt;&gt;""),IF(NOT(ISNUMBER(_xll.ciqfunctions.udf.CIQ(Y$3, "IQ_BOND_PRICE", $L81))),NA(),_xll.ciqfunctions.udf.CIQ(Y$3, "IQ_BOND_PRICE", $L81)),"")</f>
        <v>109.974</v>
      </c>
      <c r="Z81" s="424">
        <f>IF(AND($L81&lt;&gt;"",Z$3&lt;&gt;""),IF(NOT(ISNUMBER(_xll.ciqfunctions.udf.CIQ(Z$3, "IQ_BOND_PRICE", $L81))),NA(),_xll.ciqfunctions.udf.CIQ(Z$3, "IQ_BOND_PRICE", $L81)),"")</f>
        <v>0</v>
      </c>
      <c r="CZ81" s="426"/>
    </row>
    <row r="82" spans="12:104" x14ac:dyDescent="0.2">
      <c r="L82" s="425">
        <f t="shared" si="1"/>
        <v>44386</v>
      </c>
      <c r="M82" s="424">
        <f>IF(AND($L82&lt;&gt;"",M$3&lt;&gt;""),IF(NOT(ISNUMBER(_xll.ciqfunctions.udf.CIQ(M$3, "IQ_BOND_PRICE", $L82))),NA(),_xll.ciqfunctions.udf.CIQ(M$3, "IQ_BOND_PRICE", $L82)),"")</f>
        <v>101.16500000000001</v>
      </c>
      <c r="N82" s="424">
        <f>IF(AND($L82&lt;&gt;"",N$3&lt;&gt;""),IF(NOT(ISNUMBER(_xll.ciqfunctions.udf.CIQ(N$3, "IQ_BOND_PRICE", $L82))),NA(),_xll.ciqfunctions.udf.CIQ(N$3, "IQ_BOND_PRICE", $L82)),"")</f>
        <v>0</v>
      </c>
      <c r="O82" s="424">
        <f>IF(AND($L82&lt;&gt;"",O$3&lt;&gt;""),IF(NOT(ISNUMBER(_xll.ciqfunctions.udf.CIQ(O$3, "IQ_BOND_PRICE", $L82))),NA(),_xll.ciqfunctions.udf.CIQ(O$3, "IQ_BOND_PRICE", $L82)),"")</f>
        <v>102.81386999999999</v>
      </c>
      <c r="P82" s="424">
        <f>IF(AND($L82&lt;&gt;"",P$3&lt;&gt;""),IF(NOT(ISNUMBER(_xll.ciqfunctions.udf.CIQ(P$3, "IQ_BOND_PRICE", $L82))),NA(),_xll.ciqfunctions.udf.CIQ(P$3, "IQ_BOND_PRICE", $L82)),"")</f>
        <v>103.38419</v>
      </c>
      <c r="Q82" s="424">
        <f>IF(AND($L82&lt;&gt;"",Q$3&lt;&gt;""),IF(NOT(ISNUMBER(_xll.ciqfunctions.udf.CIQ(Q$3, "IQ_BOND_PRICE", $L82))),NA(),_xll.ciqfunctions.udf.CIQ(Q$3, "IQ_BOND_PRICE", $L82)),"")</f>
        <v>105.79300000000001</v>
      </c>
      <c r="R82" s="424">
        <f>IF(AND($L82&lt;&gt;"",R$3&lt;&gt;""),IF(NOT(ISNUMBER(_xll.ciqfunctions.udf.CIQ(R$3, "IQ_BOND_PRICE", $L82))),NA(),_xll.ciqfunctions.udf.CIQ(R$3, "IQ_BOND_PRICE", $L82)),"")</f>
        <v>113.78700000000001</v>
      </c>
      <c r="S82" s="424">
        <f>IF(AND($L82&lt;&gt;"",S$3&lt;&gt;""),IF(NOT(ISNUMBER(_xll.ciqfunctions.udf.CIQ(S$3, "IQ_BOND_PRICE", $L82))),NA(),_xll.ciqfunctions.udf.CIQ(S$3, "IQ_BOND_PRICE", $L82)),"")</f>
        <v>107.13</v>
      </c>
      <c r="T82" s="424">
        <f>IF(AND($L82&lt;&gt;"",T$3&lt;&gt;""),IF(NOT(ISNUMBER(_xll.ciqfunctions.udf.CIQ(T$3, "IQ_BOND_PRICE", $L82))),NA(),_xll.ciqfunctions.udf.CIQ(T$3, "IQ_BOND_PRICE", $L82)),"")</f>
        <v>106.771</v>
      </c>
      <c r="U82" s="424">
        <f>IF(AND($L82&lt;&gt;"",U$3&lt;&gt;""),IF(NOT(ISNUMBER(_xll.ciqfunctions.udf.CIQ(U$3, "IQ_BOND_PRICE", $L82))),NA(),_xll.ciqfunctions.udf.CIQ(U$3, "IQ_BOND_PRICE", $L82)),"")</f>
        <v>99.927490000000006</v>
      </c>
      <c r="V82" s="424">
        <f>IF(AND($L82&lt;&gt;"",V$3&lt;&gt;""),IF(NOT(ISNUMBER(_xll.ciqfunctions.udf.CIQ(V$3, "IQ_BOND_PRICE", $L82))),NA(),_xll.ciqfunctions.udf.CIQ(V$3, "IQ_BOND_PRICE", $L82)),"")</f>
        <v>106.71496</v>
      </c>
      <c r="W82" s="424">
        <f>IF(AND($L82&lt;&gt;"",W$3&lt;&gt;""),IF(NOT(ISNUMBER(_xll.ciqfunctions.udf.CIQ(W$3, "IQ_BOND_PRICE", $L82))),NA(),_xll.ciqfunctions.udf.CIQ(W$3, "IQ_BOND_PRICE", $L82)),"")</f>
        <v>110.51300000000001</v>
      </c>
      <c r="X82" s="424">
        <f>IF(AND($L82&lt;&gt;"",X$3&lt;&gt;""),IF(NOT(ISNUMBER(_xll.ciqfunctions.udf.CIQ(X$3, "IQ_BOND_PRICE", $L82))),NA(),_xll.ciqfunctions.udf.CIQ(X$3, "IQ_BOND_PRICE", $L82)),"")</f>
        <v>111.992</v>
      </c>
      <c r="Y82" s="424">
        <f>IF(AND($L82&lt;&gt;"",Y$3&lt;&gt;""),IF(NOT(ISNUMBER(_xll.ciqfunctions.udf.CIQ(Y$3, "IQ_BOND_PRICE", $L82))),NA(),_xll.ciqfunctions.udf.CIQ(Y$3, "IQ_BOND_PRICE", $L82)),"")</f>
        <v>109.798</v>
      </c>
      <c r="Z82" s="424">
        <f>IF(AND($L82&lt;&gt;"",Z$3&lt;&gt;""),IF(NOT(ISNUMBER(_xll.ciqfunctions.udf.CIQ(Z$3, "IQ_BOND_PRICE", $L82))),NA(),_xll.ciqfunctions.udf.CIQ(Z$3, "IQ_BOND_PRICE", $L82)),"")</f>
        <v>0</v>
      </c>
      <c r="CZ82" s="426"/>
    </row>
    <row r="83" spans="12:104" x14ac:dyDescent="0.2">
      <c r="L83" s="425">
        <f t="shared" si="1"/>
        <v>44389</v>
      </c>
      <c r="M83" s="424">
        <f>IF(AND($L83&lt;&gt;"",M$3&lt;&gt;""),IF(NOT(ISNUMBER(_xll.ciqfunctions.udf.CIQ(M$3, "IQ_BOND_PRICE", $L83))),NA(),_xll.ciqfunctions.udf.CIQ(M$3, "IQ_BOND_PRICE", $L83)),"")</f>
        <v>101.158</v>
      </c>
      <c r="N83" s="424">
        <f>IF(AND($L83&lt;&gt;"",N$3&lt;&gt;""),IF(NOT(ISNUMBER(_xll.ciqfunctions.udf.CIQ(N$3, "IQ_BOND_PRICE", $L83))),NA(),_xll.ciqfunctions.udf.CIQ(N$3, "IQ_BOND_PRICE", $L83)),"")</f>
        <v>0</v>
      </c>
      <c r="O83" s="424">
        <f>IF(AND($L83&lt;&gt;"",O$3&lt;&gt;""),IF(NOT(ISNUMBER(_xll.ciqfunctions.udf.CIQ(O$3, "IQ_BOND_PRICE", $L83))),NA(),_xll.ciqfunctions.udf.CIQ(O$3, "IQ_BOND_PRICE", $L83)),"")</f>
        <v>102.78888999999999</v>
      </c>
      <c r="P83" s="424">
        <f>IF(AND($L83&lt;&gt;"",P$3&lt;&gt;""),IF(NOT(ISNUMBER(_xll.ciqfunctions.udf.CIQ(P$3, "IQ_BOND_PRICE", $L83))),NA(),_xll.ciqfunctions.udf.CIQ(P$3, "IQ_BOND_PRICE", $L83)),"")</f>
        <v>103.46675</v>
      </c>
      <c r="Q83" s="424">
        <f>IF(AND($L83&lt;&gt;"",Q$3&lt;&gt;""),IF(NOT(ISNUMBER(_xll.ciqfunctions.udf.CIQ(Q$3, "IQ_BOND_PRICE", $L83))),NA(),_xll.ciqfunctions.udf.CIQ(Q$3, "IQ_BOND_PRICE", $L83)),"")</f>
        <v>105.705</v>
      </c>
      <c r="R83" s="424">
        <f>IF(AND($L83&lt;&gt;"",R$3&lt;&gt;""),IF(NOT(ISNUMBER(_xll.ciqfunctions.udf.CIQ(R$3, "IQ_BOND_PRICE", $L83))),NA(),_xll.ciqfunctions.udf.CIQ(R$3, "IQ_BOND_PRICE", $L83)),"")</f>
        <v>113.71</v>
      </c>
      <c r="S83" s="424">
        <f>IF(AND($L83&lt;&gt;"",S$3&lt;&gt;""),IF(NOT(ISNUMBER(_xll.ciqfunctions.udf.CIQ(S$3, "IQ_BOND_PRICE", $L83))),NA(),_xll.ciqfunctions.udf.CIQ(S$3, "IQ_BOND_PRICE", $L83)),"")</f>
        <v>107.142</v>
      </c>
      <c r="T83" s="424">
        <f>IF(AND($L83&lt;&gt;"",T$3&lt;&gt;""),IF(NOT(ISNUMBER(_xll.ciqfunctions.udf.CIQ(T$3, "IQ_BOND_PRICE", $L83))),NA(),_xll.ciqfunctions.udf.CIQ(T$3, "IQ_BOND_PRICE", $L83)),"")</f>
        <v>106.633</v>
      </c>
      <c r="U83" s="424">
        <f>IF(AND($L83&lt;&gt;"",U$3&lt;&gt;""),IF(NOT(ISNUMBER(_xll.ciqfunctions.udf.CIQ(U$3, "IQ_BOND_PRICE", $L83))),NA(),_xll.ciqfunctions.udf.CIQ(U$3, "IQ_BOND_PRICE", $L83)),"")</f>
        <v>99.925870000000003</v>
      </c>
      <c r="V83" s="424">
        <f>IF(AND($L83&lt;&gt;"",V$3&lt;&gt;""),IF(NOT(ISNUMBER(_xll.ciqfunctions.udf.CIQ(V$3, "IQ_BOND_PRICE", $L83))),NA(),_xll.ciqfunctions.udf.CIQ(V$3, "IQ_BOND_PRICE", $L83)),"")</f>
        <v>106.59099999999999</v>
      </c>
      <c r="W83" s="424">
        <f>IF(AND($L83&lt;&gt;"",W$3&lt;&gt;""),IF(NOT(ISNUMBER(_xll.ciqfunctions.udf.CIQ(W$3, "IQ_BOND_PRICE", $L83))),NA(),_xll.ciqfunctions.udf.CIQ(W$3, "IQ_BOND_PRICE", $L83)),"")</f>
        <v>110.42400000000001</v>
      </c>
      <c r="X83" s="424">
        <f>IF(AND($L83&lt;&gt;"",X$3&lt;&gt;""),IF(NOT(ISNUMBER(_xll.ciqfunctions.udf.CIQ(X$3, "IQ_BOND_PRICE", $L83))),NA(),_xll.ciqfunctions.udf.CIQ(X$3, "IQ_BOND_PRICE", $L83)),"")</f>
        <v>111.995</v>
      </c>
      <c r="Y83" s="424">
        <f>IF(AND($L83&lt;&gt;"",Y$3&lt;&gt;""),IF(NOT(ISNUMBER(_xll.ciqfunctions.udf.CIQ(Y$3, "IQ_BOND_PRICE", $L83))),NA(),_xll.ciqfunctions.udf.CIQ(Y$3, "IQ_BOND_PRICE", $L83)),"")</f>
        <v>109.74299999999999</v>
      </c>
      <c r="Z83" s="424">
        <f>IF(AND($L83&lt;&gt;"",Z$3&lt;&gt;""),IF(NOT(ISNUMBER(_xll.ciqfunctions.udf.CIQ(Z$3, "IQ_BOND_PRICE", $L83))),NA(),_xll.ciqfunctions.udf.CIQ(Z$3, "IQ_BOND_PRICE", $L83)),"")</f>
        <v>0</v>
      </c>
      <c r="CZ83" s="426"/>
    </row>
    <row r="84" spans="12:104" x14ac:dyDescent="0.2">
      <c r="L84" s="425">
        <f t="shared" si="1"/>
        <v>44390</v>
      </c>
      <c r="M84" s="424">
        <f>IF(AND($L84&lt;&gt;"",M$3&lt;&gt;""),IF(NOT(ISNUMBER(_xll.ciqfunctions.udf.CIQ(M$3, "IQ_BOND_PRICE", $L84))),NA(),_xll.ciqfunctions.udf.CIQ(M$3, "IQ_BOND_PRICE", $L84)),"")</f>
        <v>101.152</v>
      </c>
      <c r="N84" s="424">
        <f>IF(AND($L84&lt;&gt;"",N$3&lt;&gt;""),IF(NOT(ISNUMBER(_xll.ciqfunctions.udf.CIQ(N$3, "IQ_BOND_PRICE", $L84))),NA(),_xll.ciqfunctions.udf.CIQ(N$3, "IQ_BOND_PRICE", $L84)),"")</f>
        <v>0</v>
      </c>
      <c r="O84" s="424">
        <f>IF(AND($L84&lt;&gt;"",O$3&lt;&gt;""),IF(NOT(ISNUMBER(_xll.ciqfunctions.udf.CIQ(O$3, "IQ_BOND_PRICE", $L84))),NA(),_xll.ciqfunctions.udf.CIQ(O$3, "IQ_BOND_PRICE", $L84)),"")</f>
        <v>102.77086</v>
      </c>
      <c r="P84" s="424">
        <f>IF(AND($L84&lt;&gt;"",P$3&lt;&gt;""),IF(NOT(ISNUMBER(_xll.ciqfunctions.udf.CIQ(P$3, "IQ_BOND_PRICE", $L84))),NA(),_xll.ciqfunctions.udf.CIQ(P$3, "IQ_BOND_PRICE", $L84)),"")</f>
        <v>103.35133999999999</v>
      </c>
      <c r="Q84" s="424">
        <f>IF(AND($L84&lt;&gt;"",Q$3&lt;&gt;""),IF(NOT(ISNUMBER(_xll.ciqfunctions.udf.CIQ(Q$3, "IQ_BOND_PRICE", $L84))),NA(),_xll.ciqfunctions.udf.CIQ(Q$3, "IQ_BOND_PRICE", $L84)),"")</f>
        <v>105.7</v>
      </c>
      <c r="R84" s="424">
        <f>IF(AND($L84&lt;&gt;"",R$3&lt;&gt;""),IF(NOT(ISNUMBER(_xll.ciqfunctions.udf.CIQ(R$3, "IQ_BOND_PRICE", $L84))),NA(),_xll.ciqfunctions.udf.CIQ(R$3, "IQ_BOND_PRICE", $L84)),"")</f>
        <v>113.65600000000001</v>
      </c>
      <c r="S84" s="424">
        <f>IF(AND($L84&lt;&gt;"",S$3&lt;&gt;""),IF(NOT(ISNUMBER(_xll.ciqfunctions.udf.CIQ(S$3, "IQ_BOND_PRICE", $L84))),NA(),_xll.ciqfunctions.udf.CIQ(S$3, "IQ_BOND_PRICE", $L84)),"")</f>
        <v>107.00700000000001</v>
      </c>
      <c r="T84" s="424">
        <f>IF(AND($L84&lt;&gt;"",T$3&lt;&gt;""),IF(NOT(ISNUMBER(_xll.ciqfunctions.udf.CIQ(T$3, "IQ_BOND_PRICE", $L84))),NA(),_xll.ciqfunctions.udf.CIQ(T$3, "IQ_BOND_PRICE", $L84)),"")</f>
        <v>106.571</v>
      </c>
      <c r="U84" s="424">
        <f>IF(AND($L84&lt;&gt;"",U$3&lt;&gt;""),IF(NOT(ISNUMBER(_xll.ciqfunctions.udf.CIQ(U$3, "IQ_BOND_PRICE", $L84))),NA(),_xll.ciqfunctions.udf.CIQ(U$3, "IQ_BOND_PRICE", $L84)),"")</f>
        <v>99.920349999999999</v>
      </c>
      <c r="V84" s="424">
        <f>IF(AND($L84&lt;&gt;"",V$3&lt;&gt;""),IF(NOT(ISNUMBER(_xll.ciqfunctions.udf.CIQ(V$3, "IQ_BOND_PRICE", $L84))),NA(),_xll.ciqfunctions.udf.CIQ(V$3, "IQ_BOND_PRICE", $L84)),"")</f>
        <v>106.42277</v>
      </c>
      <c r="W84" s="424">
        <f>IF(AND($L84&lt;&gt;"",W$3&lt;&gt;""),IF(NOT(ISNUMBER(_xll.ciqfunctions.udf.CIQ(W$3, "IQ_BOND_PRICE", $L84))),NA(),_xll.ciqfunctions.udf.CIQ(W$3, "IQ_BOND_PRICE", $L84)),"")</f>
        <v>110.22</v>
      </c>
      <c r="X84" s="424">
        <f>IF(AND($L84&lt;&gt;"",X$3&lt;&gt;""),IF(NOT(ISNUMBER(_xll.ciqfunctions.udf.CIQ(X$3, "IQ_BOND_PRICE", $L84))),NA(),_xll.ciqfunctions.udf.CIQ(X$3, "IQ_BOND_PRICE", $L84)),"")</f>
        <v>112.014</v>
      </c>
      <c r="Y84" s="424">
        <f>IF(AND($L84&lt;&gt;"",Y$3&lt;&gt;""),IF(NOT(ISNUMBER(_xll.ciqfunctions.udf.CIQ(Y$3, "IQ_BOND_PRICE", $L84))),NA(),_xll.ciqfunctions.udf.CIQ(Y$3, "IQ_BOND_PRICE", $L84)),"")</f>
        <v>109.467</v>
      </c>
      <c r="Z84" s="424">
        <f>IF(AND($L84&lt;&gt;"",Z$3&lt;&gt;""),IF(NOT(ISNUMBER(_xll.ciqfunctions.udf.CIQ(Z$3, "IQ_BOND_PRICE", $L84))),NA(),_xll.ciqfunctions.udf.CIQ(Z$3, "IQ_BOND_PRICE", $L84)),"")</f>
        <v>0</v>
      </c>
      <c r="CZ84" s="426"/>
    </row>
    <row r="85" spans="12:104" x14ac:dyDescent="0.2">
      <c r="L85" s="425">
        <f t="shared" si="1"/>
        <v>44391</v>
      </c>
      <c r="M85" s="424">
        <f>IF(AND($L85&lt;&gt;"",M$3&lt;&gt;""),IF(NOT(ISNUMBER(_xll.ciqfunctions.udf.CIQ(M$3, "IQ_BOND_PRICE", $L85))),NA(),_xll.ciqfunctions.udf.CIQ(M$3, "IQ_BOND_PRICE", $L85)),"")</f>
        <v>101.145</v>
      </c>
      <c r="N85" s="424">
        <f>IF(AND($L85&lt;&gt;"",N$3&lt;&gt;""),IF(NOT(ISNUMBER(_xll.ciqfunctions.udf.CIQ(N$3, "IQ_BOND_PRICE", $L85))),NA(),_xll.ciqfunctions.udf.CIQ(N$3, "IQ_BOND_PRICE", $L85)),"")</f>
        <v>0</v>
      </c>
      <c r="O85" s="424">
        <f>IF(AND($L85&lt;&gt;"",O$3&lt;&gt;""),IF(NOT(ISNUMBER(_xll.ciqfunctions.udf.CIQ(O$3, "IQ_BOND_PRICE", $L85))),NA(),_xll.ciqfunctions.udf.CIQ(O$3, "IQ_BOND_PRICE", $L85)),"")</f>
        <v>102.81798999999999</v>
      </c>
      <c r="P85" s="424">
        <f>IF(AND($L85&lt;&gt;"",P$3&lt;&gt;""),IF(NOT(ISNUMBER(_xll.ciqfunctions.udf.CIQ(P$3, "IQ_BOND_PRICE", $L85))),NA(),_xll.ciqfunctions.udf.CIQ(P$3, "IQ_BOND_PRICE", $L85)),"")</f>
        <v>103.44074000000001</v>
      </c>
      <c r="Q85" s="424">
        <f>IF(AND($L85&lt;&gt;"",Q$3&lt;&gt;""),IF(NOT(ISNUMBER(_xll.ciqfunctions.udf.CIQ(Q$3, "IQ_BOND_PRICE", $L85))),NA(),_xll.ciqfunctions.udf.CIQ(Q$3, "IQ_BOND_PRICE", $L85)),"")</f>
        <v>105.771</v>
      </c>
      <c r="R85" s="424">
        <f>IF(AND($L85&lt;&gt;"",R$3&lt;&gt;""),IF(NOT(ISNUMBER(_xll.ciqfunctions.udf.CIQ(R$3, "IQ_BOND_PRICE", $L85))),NA(),_xll.ciqfunctions.udf.CIQ(R$3, "IQ_BOND_PRICE", $L85)),"")</f>
        <v>113.74</v>
      </c>
      <c r="S85" s="424">
        <f>IF(AND($L85&lt;&gt;"",S$3&lt;&gt;""),IF(NOT(ISNUMBER(_xll.ciqfunctions.udf.CIQ(S$3, "IQ_BOND_PRICE", $L85))),NA(),_xll.ciqfunctions.udf.CIQ(S$3, "IQ_BOND_PRICE", $L85)),"")</f>
        <v>107.17</v>
      </c>
      <c r="T85" s="424">
        <f>IF(AND($L85&lt;&gt;"",T$3&lt;&gt;""),IF(NOT(ISNUMBER(_xll.ciqfunctions.udf.CIQ(T$3, "IQ_BOND_PRICE", $L85))),NA(),_xll.ciqfunctions.udf.CIQ(T$3, "IQ_BOND_PRICE", $L85)),"")</f>
        <v>106.712</v>
      </c>
      <c r="U85" s="424">
        <f>IF(AND($L85&lt;&gt;"",U$3&lt;&gt;""),IF(NOT(ISNUMBER(_xll.ciqfunctions.udf.CIQ(U$3, "IQ_BOND_PRICE", $L85))),NA(),_xll.ciqfunctions.udf.CIQ(U$3, "IQ_BOND_PRICE", $L85)),"")</f>
        <v>99.932429999999997</v>
      </c>
      <c r="V85" s="424">
        <f>IF(AND($L85&lt;&gt;"",V$3&lt;&gt;""),IF(NOT(ISNUMBER(_xll.ciqfunctions.udf.CIQ(V$3, "IQ_BOND_PRICE", $L85))),NA(),_xll.ciqfunctions.udf.CIQ(V$3, "IQ_BOND_PRICE", $L85)),"")</f>
        <v>106.54282000000001</v>
      </c>
      <c r="W85" s="424">
        <f>IF(AND($L85&lt;&gt;"",W$3&lt;&gt;""),IF(NOT(ISNUMBER(_xll.ciqfunctions.udf.CIQ(W$3, "IQ_BOND_PRICE", $L85))),NA(),_xll.ciqfunctions.udf.CIQ(W$3, "IQ_BOND_PRICE", $L85)),"")</f>
        <v>110.396</v>
      </c>
      <c r="X85" s="424">
        <f>IF(AND($L85&lt;&gt;"",X$3&lt;&gt;""),IF(NOT(ISNUMBER(_xll.ciqfunctions.udf.CIQ(X$3, "IQ_BOND_PRICE", $L85))),NA(),_xll.ciqfunctions.udf.CIQ(X$3, "IQ_BOND_PRICE", $L85)),"")</f>
        <v>112.03100000000001</v>
      </c>
      <c r="Y85" s="424">
        <f>IF(AND($L85&lt;&gt;"",Y$3&lt;&gt;""),IF(NOT(ISNUMBER(_xll.ciqfunctions.udf.CIQ(Y$3, "IQ_BOND_PRICE", $L85))),NA(),_xll.ciqfunctions.udf.CIQ(Y$3, "IQ_BOND_PRICE", $L85)),"")</f>
        <v>109.723</v>
      </c>
      <c r="Z85" s="424">
        <f>IF(AND($L85&lt;&gt;"",Z$3&lt;&gt;""),IF(NOT(ISNUMBER(_xll.ciqfunctions.udf.CIQ(Z$3, "IQ_BOND_PRICE", $L85))),NA(),_xll.ciqfunctions.udf.CIQ(Z$3, "IQ_BOND_PRICE", $L85)),"")</f>
        <v>0</v>
      </c>
      <c r="CZ85" s="426"/>
    </row>
    <row r="86" spans="12:104" x14ac:dyDescent="0.2">
      <c r="L86" s="425">
        <f t="shared" si="1"/>
        <v>44392</v>
      </c>
      <c r="M86" s="424">
        <f>IF(AND($L86&lt;&gt;"",M$3&lt;&gt;""),IF(NOT(ISNUMBER(_xll.ciqfunctions.udf.CIQ(M$3, "IQ_BOND_PRICE", $L86))),NA(),_xll.ciqfunctions.udf.CIQ(M$3, "IQ_BOND_PRICE", $L86)),"")</f>
        <v>101.13</v>
      </c>
      <c r="N86" s="424">
        <f>IF(AND($L86&lt;&gt;"",N$3&lt;&gt;""),IF(NOT(ISNUMBER(_xll.ciqfunctions.udf.CIQ(N$3, "IQ_BOND_PRICE", $L86))),NA(),_xll.ciqfunctions.udf.CIQ(N$3, "IQ_BOND_PRICE", $L86)),"")</f>
        <v>0</v>
      </c>
      <c r="O86" s="424">
        <f>IF(AND($L86&lt;&gt;"",O$3&lt;&gt;""),IF(NOT(ISNUMBER(_xll.ciqfunctions.udf.CIQ(O$3, "IQ_BOND_PRICE", $L86))),NA(),_xll.ciqfunctions.udf.CIQ(O$3, "IQ_BOND_PRICE", $L86)),"")</f>
        <v>102.80286</v>
      </c>
      <c r="P86" s="424">
        <f>IF(AND($L86&lt;&gt;"",P$3&lt;&gt;""),IF(NOT(ISNUMBER(_xll.ciqfunctions.udf.CIQ(P$3, "IQ_BOND_PRICE", $L86))),NA(),_xll.ciqfunctions.udf.CIQ(P$3, "IQ_BOND_PRICE", $L86)),"")</f>
        <v>103.40893</v>
      </c>
      <c r="Q86" s="424">
        <f>IF(AND($L86&lt;&gt;"",Q$3&lt;&gt;""),IF(NOT(ISNUMBER(_xll.ciqfunctions.udf.CIQ(Q$3, "IQ_BOND_PRICE", $L86))),NA(),_xll.ciqfunctions.udf.CIQ(Q$3, "IQ_BOND_PRICE", $L86)),"")</f>
        <v>105.675</v>
      </c>
      <c r="R86" s="424">
        <f>IF(AND($L86&lt;&gt;"",R$3&lt;&gt;""),IF(NOT(ISNUMBER(_xll.ciqfunctions.udf.CIQ(R$3, "IQ_BOND_PRICE", $L86))),NA(),_xll.ciqfunctions.udf.CIQ(R$3, "IQ_BOND_PRICE", $L86)),"")</f>
        <v>113.68300000000001</v>
      </c>
      <c r="S86" s="424">
        <f>IF(AND($L86&lt;&gt;"",S$3&lt;&gt;""),IF(NOT(ISNUMBER(_xll.ciqfunctions.udf.CIQ(S$3, "IQ_BOND_PRICE", $L86))),NA(),_xll.ciqfunctions.udf.CIQ(S$3, "IQ_BOND_PRICE", $L86)),"")</f>
        <v>107.16</v>
      </c>
      <c r="T86" s="424">
        <f>IF(AND($L86&lt;&gt;"",T$3&lt;&gt;""),IF(NOT(ISNUMBER(_xll.ciqfunctions.udf.CIQ(T$3, "IQ_BOND_PRICE", $L86))),NA(),_xll.ciqfunctions.udf.CIQ(T$3, "IQ_BOND_PRICE", $L86)),"")</f>
        <v>106.60899999999999</v>
      </c>
      <c r="U86" s="424">
        <f>IF(AND($L86&lt;&gt;"",U$3&lt;&gt;""),IF(NOT(ISNUMBER(_xll.ciqfunctions.udf.CIQ(U$3, "IQ_BOND_PRICE", $L86))),NA(),_xll.ciqfunctions.udf.CIQ(U$3, "IQ_BOND_PRICE", $L86)),"")</f>
        <v>99.953010000000006</v>
      </c>
      <c r="V86" s="424">
        <f>IF(AND($L86&lt;&gt;"",V$3&lt;&gt;""),IF(NOT(ISNUMBER(_xll.ciqfunctions.udf.CIQ(V$3, "IQ_BOND_PRICE", $L86))),NA(),_xll.ciqfunctions.udf.CIQ(V$3, "IQ_BOND_PRICE", $L86)),"")</f>
        <v>106.54365</v>
      </c>
      <c r="W86" s="424">
        <f>IF(AND($L86&lt;&gt;"",W$3&lt;&gt;""),IF(NOT(ISNUMBER(_xll.ciqfunctions.udf.CIQ(W$3, "IQ_BOND_PRICE", $L86))),NA(),_xll.ciqfunctions.udf.CIQ(W$3, "IQ_BOND_PRICE", $L86)),"")</f>
        <v>110.43</v>
      </c>
      <c r="X86" s="424">
        <f>IF(AND($L86&lt;&gt;"",X$3&lt;&gt;""),IF(NOT(ISNUMBER(_xll.ciqfunctions.udf.CIQ(X$3, "IQ_BOND_PRICE", $L86))),NA(),_xll.ciqfunctions.udf.CIQ(X$3, "IQ_BOND_PRICE", $L86)),"")</f>
        <v>112.056</v>
      </c>
      <c r="Y86" s="424">
        <f>IF(AND($L86&lt;&gt;"",Y$3&lt;&gt;""),IF(NOT(ISNUMBER(_xll.ciqfunctions.udf.CIQ(Y$3, "IQ_BOND_PRICE", $L86))),NA(),_xll.ciqfunctions.udf.CIQ(Y$3, "IQ_BOND_PRICE", $L86)),"")</f>
        <v>109.825</v>
      </c>
      <c r="Z86" s="424">
        <f>IF(AND($L86&lt;&gt;"",Z$3&lt;&gt;""),IF(NOT(ISNUMBER(_xll.ciqfunctions.udf.CIQ(Z$3, "IQ_BOND_PRICE", $L86))),NA(),_xll.ciqfunctions.udf.CIQ(Z$3, "IQ_BOND_PRICE", $L86)),"")</f>
        <v>0</v>
      </c>
      <c r="CZ86" s="426"/>
    </row>
    <row r="87" spans="12:104" x14ac:dyDescent="0.2">
      <c r="L87" s="425">
        <f t="shared" si="1"/>
        <v>44393</v>
      </c>
      <c r="M87" s="424">
        <f>IF(AND($L87&lt;&gt;"",M$3&lt;&gt;""),IF(NOT(ISNUMBER(_xll.ciqfunctions.udf.CIQ(M$3, "IQ_BOND_PRICE", $L87))),NA(),_xll.ciqfunctions.udf.CIQ(M$3, "IQ_BOND_PRICE", $L87)),"")</f>
        <v>101.124</v>
      </c>
      <c r="N87" s="424">
        <f>IF(AND($L87&lt;&gt;"",N$3&lt;&gt;""),IF(NOT(ISNUMBER(_xll.ciqfunctions.udf.CIQ(N$3, "IQ_BOND_PRICE", $L87))),NA(),_xll.ciqfunctions.udf.CIQ(N$3, "IQ_BOND_PRICE", $L87)),"")</f>
        <v>0</v>
      </c>
      <c r="O87" s="424">
        <f>IF(AND($L87&lt;&gt;"",O$3&lt;&gt;""),IF(NOT(ISNUMBER(_xll.ciqfunctions.udf.CIQ(O$3, "IQ_BOND_PRICE", $L87))),NA(),_xll.ciqfunctions.udf.CIQ(O$3, "IQ_BOND_PRICE", $L87)),"")</f>
        <v>102.79642</v>
      </c>
      <c r="P87" s="424">
        <f>IF(AND($L87&lt;&gt;"",P$3&lt;&gt;""),IF(NOT(ISNUMBER(_xll.ciqfunctions.udf.CIQ(P$3, "IQ_BOND_PRICE", $L87))),NA(),_xll.ciqfunctions.udf.CIQ(P$3, "IQ_BOND_PRICE", $L87)),"")</f>
        <v>103.32458</v>
      </c>
      <c r="Q87" s="424">
        <f>IF(AND($L87&lt;&gt;"",Q$3&lt;&gt;""),IF(NOT(ISNUMBER(_xll.ciqfunctions.udf.CIQ(Q$3, "IQ_BOND_PRICE", $L87))),NA(),_xll.ciqfunctions.udf.CIQ(Q$3, "IQ_BOND_PRICE", $L87)),"")</f>
        <v>105.566</v>
      </c>
      <c r="R87" s="424">
        <f>IF(AND($L87&lt;&gt;"",R$3&lt;&gt;""),IF(NOT(ISNUMBER(_xll.ciqfunctions.udf.CIQ(R$3, "IQ_BOND_PRICE", $L87))),NA(),_xll.ciqfunctions.udf.CIQ(R$3, "IQ_BOND_PRICE", $L87)),"")</f>
        <v>113.566</v>
      </c>
      <c r="S87" s="424">
        <f>IF(AND($L87&lt;&gt;"",S$3&lt;&gt;""),IF(NOT(ISNUMBER(_xll.ciqfunctions.udf.CIQ(S$3, "IQ_BOND_PRICE", $L87))),NA(),_xll.ciqfunctions.udf.CIQ(S$3, "IQ_BOND_PRICE", $L87)),"")</f>
        <v>106.982</v>
      </c>
      <c r="T87" s="424">
        <f>IF(AND($L87&lt;&gt;"",T$3&lt;&gt;""),IF(NOT(ISNUMBER(_xll.ciqfunctions.udf.CIQ(T$3, "IQ_BOND_PRICE", $L87))),NA(),_xll.ciqfunctions.udf.CIQ(T$3, "IQ_BOND_PRICE", $L87)),"")</f>
        <v>106.607</v>
      </c>
      <c r="U87" s="424">
        <f>IF(AND($L87&lt;&gt;"",U$3&lt;&gt;""),IF(NOT(ISNUMBER(_xll.ciqfunctions.udf.CIQ(U$3, "IQ_BOND_PRICE", $L87))),NA(),_xll.ciqfunctions.udf.CIQ(U$3, "IQ_BOND_PRICE", $L87)),"")</f>
        <v>99.961780000000005</v>
      </c>
      <c r="V87" s="424">
        <f>IF(AND($L87&lt;&gt;"",V$3&lt;&gt;""),IF(NOT(ISNUMBER(_xll.ciqfunctions.udf.CIQ(V$3, "IQ_BOND_PRICE", $L87))),NA(),_xll.ciqfunctions.udf.CIQ(V$3, "IQ_BOND_PRICE", $L87)),"")</f>
        <v>106.52755999999999</v>
      </c>
      <c r="W87" s="424">
        <f>IF(AND($L87&lt;&gt;"",W$3&lt;&gt;""),IF(NOT(ISNUMBER(_xll.ciqfunctions.udf.CIQ(W$3, "IQ_BOND_PRICE", $L87))),NA(),_xll.ciqfunctions.udf.CIQ(W$3, "IQ_BOND_PRICE", $L87)),"")</f>
        <v>110.437</v>
      </c>
      <c r="X87" s="424">
        <f>IF(AND($L87&lt;&gt;"",X$3&lt;&gt;""),IF(NOT(ISNUMBER(_xll.ciqfunctions.udf.CIQ(X$3, "IQ_BOND_PRICE", $L87))),NA(),_xll.ciqfunctions.udf.CIQ(X$3, "IQ_BOND_PRICE", $L87)),"")</f>
        <v>112.084</v>
      </c>
      <c r="Y87" s="424">
        <f>IF(AND($L87&lt;&gt;"",Y$3&lt;&gt;""),IF(NOT(ISNUMBER(_xll.ciqfunctions.udf.CIQ(Y$3, "IQ_BOND_PRICE", $L87))),NA(),_xll.ciqfunctions.udf.CIQ(Y$3, "IQ_BOND_PRICE", $L87)),"")</f>
        <v>109.80500000000001</v>
      </c>
      <c r="Z87" s="424">
        <f>IF(AND($L87&lt;&gt;"",Z$3&lt;&gt;""),IF(NOT(ISNUMBER(_xll.ciqfunctions.udf.CIQ(Z$3, "IQ_BOND_PRICE", $L87))),NA(),_xll.ciqfunctions.udf.CIQ(Z$3, "IQ_BOND_PRICE", $L87)),"")</f>
        <v>0</v>
      </c>
      <c r="CZ87" s="426"/>
    </row>
    <row r="88" spans="12:104" x14ac:dyDescent="0.2">
      <c r="L88" s="425">
        <f t="shared" si="1"/>
        <v>44396</v>
      </c>
      <c r="M88" s="424">
        <f>IF(AND($L88&lt;&gt;"",M$3&lt;&gt;""),IF(NOT(ISNUMBER(_xll.ciqfunctions.udf.CIQ(M$3, "IQ_BOND_PRICE", $L88))),NA(),_xll.ciqfunctions.udf.CIQ(M$3, "IQ_BOND_PRICE", $L88)),"")</f>
        <v>101.114</v>
      </c>
      <c r="N88" s="424">
        <f>IF(AND($L88&lt;&gt;"",N$3&lt;&gt;""),IF(NOT(ISNUMBER(_xll.ciqfunctions.udf.CIQ(N$3, "IQ_BOND_PRICE", $L88))),NA(),_xll.ciqfunctions.udf.CIQ(N$3, "IQ_BOND_PRICE", $L88)),"")</f>
        <v>0</v>
      </c>
      <c r="O88" s="424">
        <f>IF(AND($L88&lt;&gt;"",O$3&lt;&gt;""),IF(NOT(ISNUMBER(_xll.ciqfunctions.udf.CIQ(O$3, "IQ_BOND_PRICE", $L88))),NA(),_xll.ciqfunctions.udf.CIQ(O$3, "IQ_BOND_PRICE", $L88)),"")</f>
        <v>102.81465</v>
      </c>
      <c r="P88" s="424">
        <f>IF(AND($L88&lt;&gt;"",P$3&lt;&gt;""),IF(NOT(ISNUMBER(_xll.ciqfunctions.udf.CIQ(P$3, "IQ_BOND_PRICE", $L88))),NA(),_xll.ciqfunctions.udf.CIQ(P$3, "IQ_BOND_PRICE", $L88)),"")</f>
        <v>103.55642</v>
      </c>
      <c r="Q88" s="424">
        <f>IF(AND($L88&lt;&gt;"",Q$3&lt;&gt;""),IF(NOT(ISNUMBER(_xll.ciqfunctions.udf.CIQ(Q$3, "IQ_BOND_PRICE", $L88))),NA(),_xll.ciqfunctions.udf.CIQ(Q$3, "IQ_BOND_PRICE", $L88)),"")</f>
        <v>105.71299999999999</v>
      </c>
      <c r="R88" s="424">
        <f>IF(AND($L88&lt;&gt;"",R$3&lt;&gt;""),IF(NOT(ISNUMBER(_xll.ciqfunctions.udf.CIQ(R$3, "IQ_BOND_PRICE", $L88))),NA(),_xll.ciqfunctions.udf.CIQ(R$3, "IQ_BOND_PRICE", $L88)),"")</f>
        <v>113.72199999999999</v>
      </c>
      <c r="S88" s="424">
        <f>IF(AND($L88&lt;&gt;"",S$3&lt;&gt;""),IF(NOT(ISNUMBER(_xll.ciqfunctions.udf.CIQ(S$3, "IQ_BOND_PRICE", $L88))),NA(),_xll.ciqfunctions.udf.CIQ(S$3, "IQ_BOND_PRICE", $L88)),"")</f>
        <v>107.09699999999999</v>
      </c>
      <c r="T88" s="424">
        <f>IF(AND($L88&lt;&gt;"",T$3&lt;&gt;""),IF(NOT(ISNUMBER(_xll.ciqfunctions.udf.CIQ(T$3, "IQ_BOND_PRICE", $L88))),NA(),_xll.ciqfunctions.udf.CIQ(T$3, "IQ_BOND_PRICE", $L88)),"")</f>
        <v>106.717</v>
      </c>
      <c r="U88" s="424">
        <f>IF(AND($L88&lt;&gt;"",U$3&lt;&gt;""),IF(NOT(ISNUMBER(_xll.ciqfunctions.udf.CIQ(U$3, "IQ_BOND_PRICE", $L88))),NA(),_xll.ciqfunctions.udf.CIQ(U$3, "IQ_BOND_PRICE", $L88)),"")</f>
        <v>99.934960000000004</v>
      </c>
      <c r="V88" s="424">
        <f>IF(AND($L88&lt;&gt;"",V$3&lt;&gt;""),IF(NOT(ISNUMBER(_xll.ciqfunctions.udf.CIQ(V$3, "IQ_BOND_PRICE", $L88))),NA(),_xll.ciqfunctions.udf.CIQ(V$3, "IQ_BOND_PRICE", $L88)),"")</f>
        <v>106.62006</v>
      </c>
      <c r="W88" s="424">
        <f>IF(AND($L88&lt;&gt;"",W$3&lt;&gt;""),IF(NOT(ISNUMBER(_xll.ciqfunctions.udf.CIQ(W$3, "IQ_BOND_PRICE", $L88))),NA(),_xll.ciqfunctions.udf.CIQ(W$3, "IQ_BOND_PRICE", $L88)),"")</f>
        <v>110.68300000000001</v>
      </c>
      <c r="X88" s="424">
        <f>IF(AND($L88&lt;&gt;"",X$3&lt;&gt;""),IF(NOT(ISNUMBER(_xll.ciqfunctions.udf.CIQ(X$3, "IQ_BOND_PRICE", $L88))),NA(),_xll.ciqfunctions.udf.CIQ(X$3, "IQ_BOND_PRICE", $L88)),"")</f>
        <v>112.143</v>
      </c>
      <c r="Y88" s="424">
        <f>IF(AND($L88&lt;&gt;"",Y$3&lt;&gt;""),IF(NOT(ISNUMBER(_xll.ciqfunctions.udf.CIQ(Y$3, "IQ_BOND_PRICE", $L88))),NA(),_xll.ciqfunctions.udf.CIQ(Y$3, "IQ_BOND_PRICE", $L88)),"")</f>
        <v>110.22799999999999</v>
      </c>
      <c r="Z88" s="424">
        <f>IF(AND($L88&lt;&gt;"",Z$3&lt;&gt;""),IF(NOT(ISNUMBER(_xll.ciqfunctions.udf.CIQ(Z$3, "IQ_BOND_PRICE", $L88))),NA(),_xll.ciqfunctions.udf.CIQ(Z$3, "IQ_BOND_PRICE", $L88)),"")</f>
        <v>0</v>
      </c>
      <c r="CZ88" s="426"/>
    </row>
    <row r="89" spans="12:104" x14ac:dyDescent="0.2">
      <c r="L89" s="425">
        <f t="shared" si="1"/>
        <v>44397</v>
      </c>
      <c r="M89" s="424">
        <f>IF(AND($L89&lt;&gt;"",M$3&lt;&gt;""),IF(NOT(ISNUMBER(_xll.ciqfunctions.udf.CIQ(M$3, "IQ_BOND_PRICE", $L89))),NA(),_xll.ciqfunctions.udf.CIQ(M$3, "IQ_BOND_PRICE", $L89)),"")</f>
        <v>101.11199999999999</v>
      </c>
      <c r="N89" s="424">
        <f>IF(AND($L89&lt;&gt;"",N$3&lt;&gt;""),IF(NOT(ISNUMBER(_xll.ciqfunctions.udf.CIQ(N$3, "IQ_BOND_PRICE", $L89))),NA(),_xll.ciqfunctions.udf.CIQ(N$3, "IQ_BOND_PRICE", $L89)),"")</f>
        <v>0</v>
      </c>
      <c r="O89" s="424">
        <f>IF(AND($L89&lt;&gt;"",O$3&lt;&gt;""),IF(NOT(ISNUMBER(_xll.ciqfunctions.udf.CIQ(O$3, "IQ_BOND_PRICE", $L89))),NA(),_xll.ciqfunctions.udf.CIQ(O$3, "IQ_BOND_PRICE", $L89)),"")</f>
        <v>102.80408</v>
      </c>
      <c r="P89" s="424">
        <f>IF(AND($L89&lt;&gt;"",P$3&lt;&gt;""),IF(NOT(ISNUMBER(_xll.ciqfunctions.udf.CIQ(P$3, "IQ_BOND_PRICE", $L89))),NA(),_xll.ciqfunctions.udf.CIQ(P$3, "IQ_BOND_PRICE", $L89)),"")</f>
        <v>103.47722</v>
      </c>
      <c r="Q89" s="424">
        <f>IF(AND($L89&lt;&gt;"",Q$3&lt;&gt;""),IF(NOT(ISNUMBER(_xll.ciqfunctions.udf.CIQ(Q$3, "IQ_BOND_PRICE", $L89))),NA(),_xll.ciqfunctions.udf.CIQ(Q$3, "IQ_BOND_PRICE", $L89)),"")</f>
        <v>105.587</v>
      </c>
      <c r="R89" s="424">
        <f>IF(AND($L89&lt;&gt;"",R$3&lt;&gt;""),IF(NOT(ISNUMBER(_xll.ciqfunctions.udf.CIQ(R$3, "IQ_BOND_PRICE", $L89))),NA(),_xll.ciqfunctions.udf.CIQ(R$3, "IQ_BOND_PRICE", $L89)),"")</f>
        <v>113.633</v>
      </c>
      <c r="S89" s="424">
        <f>IF(AND($L89&lt;&gt;"",S$3&lt;&gt;""),IF(NOT(ISNUMBER(_xll.ciqfunctions.udf.CIQ(S$3, "IQ_BOND_PRICE", $L89))),NA(),_xll.ciqfunctions.udf.CIQ(S$3, "IQ_BOND_PRICE", $L89)),"")</f>
        <v>107.086</v>
      </c>
      <c r="T89" s="424">
        <f>IF(AND($L89&lt;&gt;"",T$3&lt;&gt;""),IF(NOT(ISNUMBER(_xll.ciqfunctions.udf.CIQ(T$3, "IQ_BOND_PRICE", $L89))),NA(),_xll.ciqfunctions.udf.CIQ(T$3, "IQ_BOND_PRICE", $L89)),"")</f>
        <v>106.687</v>
      </c>
      <c r="U89" s="424">
        <f>IF(AND($L89&lt;&gt;"",U$3&lt;&gt;""),IF(NOT(ISNUMBER(_xll.ciqfunctions.udf.CIQ(U$3, "IQ_BOND_PRICE", $L89))),NA(),_xll.ciqfunctions.udf.CIQ(U$3, "IQ_BOND_PRICE", $L89)),"")</f>
        <v>99.936210000000003</v>
      </c>
      <c r="V89" s="424">
        <f>IF(AND($L89&lt;&gt;"",V$3&lt;&gt;""),IF(NOT(ISNUMBER(_xll.ciqfunctions.udf.CIQ(V$3, "IQ_BOND_PRICE", $L89))),NA(),_xll.ciqfunctions.udf.CIQ(V$3, "IQ_BOND_PRICE", $L89)),"")</f>
        <v>106.68438999999999</v>
      </c>
      <c r="W89" s="424">
        <f>IF(AND($L89&lt;&gt;"",W$3&lt;&gt;""),IF(NOT(ISNUMBER(_xll.ciqfunctions.udf.CIQ(W$3, "IQ_BOND_PRICE", $L89))),NA(),_xll.ciqfunctions.udf.CIQ(W$3, "IQ_BOND_PRICE", $L89)),"")</f>
        <v>110.574</v>
      </c>
      <c r="X89" s="424">
        <f>IF(AND($L89&lt;&gt;"",X$3&lt;&gt;""),IF(NOT(ISNUMBER(_xll.ciqfunctions.udf.CIQ(X$3, "IQ_BOND_PRICE", $L89))),NA(),_xll.ciqfunctions.udf.CIQ(X$3, "IQ_BOND_PRICE", $L89)),"")</f>
        <v>112.247</v>
      </c>
      <c r="Y89" s="424">
        <f>IF(AND($L89&lt;&gt;"",Y$3&lt;&gt;""),IF(NOT(ISNUMBER(_xll.ciqfunctions.udf.CIQ(Y$3, "IQ_BOND_PRICE", $L89))),NA(),_xll.ciqfunctions.udf.CIQ(Y$3, "IQ_BOND_PRICE", $L89)),"")</f>
        <v>110.20399999999999</v>
      </c>
      <c r="Z89" s="424">
        <f>IF(AND($L89&lt;&gt;"",Z$3&lt;&gt;""),IF(NOT(ISNUMBER(_xll.ciqfunctions.udf.CIQ(Z$3, "IQ_BOND_PRICE", $L89))),NA(),_xll.ciqfunctions.udf.CIQ(Z$3, "IQ_BOND_PRICE", $L89)),"")</f>
        <v>0</v>
      </c>
      <c r="CZ89" s="426"/>
    </row>
    <row r="90" spans="12:104" x14ac:dyDescent="0.2">
      <c r="L90" s="425">
        <f t="shared" si="1"/>
        <v>44398</v>
      </c>
      <c r="M90" s="424">
        <f>IF(AND($L90&lt;&gt;"",M$3&lt;&gt;""),IF(NOT(ISNUMBER(_xll.ciqfunctions.udf.CIQ(M$3, "IQ_BOND_PRICE", $L90))),NA(),_xll.ciqfunctions.udf.CIQ(M$3, "IQ_BOND_PRICE", $L90)),"")</f>
        <v>101.108</v>
      </c>
      <c r="N90" s="424">
        <f>IF(AND($L90&lt;&gt;"",N$3&lt;&gt;""),IF(NOT(ISNUMBER(_xll.ciqfunctions.udf.CIQ(N$3, "IQ_BOND_PRICE", $L90))),NA(),_xll.ciqfunctions.udf.CIQ(N$3, "IQ_BOND_PRICE", $L90)),"")</f>
        <v>0</v>
      </c>
      <c r="O90" s="424">
        <f>IF(AND($L90&lt;&gt;"",O$3&lt;&gt;""),IF(NOT(ISNUMBER(_xll.ciqfunctions.udf.CIQ(O$3, "IQ_BOND_PRICE", $L90))),NA(),_xll.ciqfunctions.udf.CIQ(O$3, "IQ_BOND_PRICE", $L90)),"")</f>
        <v>102.77648000000001</v>
      </c>
      <c r="P90" s="424">
        <f>IF(AND($L90&lt;&gt;"",P$3&lt;&gt;""),IF(NOT(ISNUMBER(_xll.ciqfunctions.udf.CIQ(P$3, "IQ_BOND_PRICE", $L90))),NA(),_xll.ciqfunctions.udf.CIQ(P$3, "IQ_BOND_PRICE", $L90)),"")</f>
        <v>103.42581</v>
      </c>
      <c r="Q90" s="424">
        <f>IF(AND($L90&lt;&gt;"",Q$3&lt;&gt;""),IF(NOT(ISNUMBER(_xll.ciqfunctions.udf.CIQ(Q$3, "IQ_BOND_PRICE", $L90))),NA(),_xll.ciqfunctions.udf.CIQ(Q$3, "IQ_BOND_PRICE", $L90)),"")</f>
        <v>105.515</v>
      </c>
      <c r="R90" s="424">
        <f>IF(AND($L90&lt;&gt;"",R$3&lt;&gt;""),IF(NOT(ISNUMBER(_xll.ciqfunctions.udf.CIQ(R$3, "IQ_BOND_PRICE", $L90))),NA(),_xll.ciqfunctions.udf.CIQ(R$3, "IQ_BOND_PRICE", $L90)),"")</f>
        <v>113.529</v>
      </c>
      <c r="S90" s="424">
        <f>IF(AND($L90&lt;&gt;"",S$3&lt;&gt;""),IF(NOT(ISNUMBER(_xll.ciqfunctions.udf.CIQ(S$3, "IQ_BOND_PRICE", $L90))),NA(),_xll.ciqfunctions.udf.CIQ(S$3, "IQ_BOND_PRICE", $L90)),"")</f>
        <v>106.996</v>
      </c>
      <c r="T90" s="424">
        <f>IF(AND($L90&lt;&gt;"",T$3&lt;&gt;""),IF(NOT(ISNUMBER(_xll.ciqfunctions.udf.CIQ(T$3, "IQ_BOND_PRICE", $L90))),NA(),_xll.ciqfunctions.udf.CIQ(T$3, "IQ_BOND_PRICE", $L90)),"")</f>
        <v>106.587</v>
      </c>
      <c r="U90" s="424">
        <f>IF(AND($L90&lt;&gt;"",U$3&lt;&gt;""),IF(NOT(ISNUMBER(_xll.ciqfunctions.udf.CIQ(U$3, "IQ_BOND_PRICE", $L90))),NA(),_xll.ciqfunctions.udf.CIQ(U$3, "IQ_BOND_PRICE", $L90)),"")</f>
        <v>99.942139999999995</v>
      </c>
      <c r="V90" s="424">
        <f>IF(AND($L90&lt;&gt;"",V$3&lt;&gt;""),IF(NOT(ISNUMBER(_xll.ciqfunctions.udf.CIQ(V$3, "IQ_BOND_PRICE", $L90))),NA(),_xll.ciqfunctions.udf.CIQ(V$3, "IQ_BOND_PRICE", $L90)),"")</f>
        <v>106.57380000000001</v>
      </c>
      <c r="W90" s="424">
        <f>IF(AND($L90&lt;&gt;"",W$3&lt;&gt;""),IF(NOT(ISNUMBER(_xll.ciqfunctions.udf.CIQ(W$3, "IQ_BOND_PRICE", $L90))),NA(),_xll.ciqfunctions.udf.CIQ(W$3, "IQ_BOND_PRICE", $L90)),"")</f>
        <v>110.334</v>
      </c>
      <c r="X90" s="424">
        <f>IF(AND($L90&lt;&gt;"",X$3&lt;&gt;""),IF(NOT(ISNUMBER(_xll.ciqfunctions.udf.CIQ(X$3, "IQ_BOND_PRICE", $L90))),NA(),_xll.ciqfunctions.udf.CIQ(X$3, "IQ_BOND_PRICE", $L90)),"")</f>
        <v>112.215</v>
      </c>
      <c r="Y90" s="424">
        <f>IF(AND($L90&lt;&gt;"",Y$3&lt;&gt;""),IF(NOT(ISNUMBER(_xll.ciqfunctions.udf.CIQ(Y$3, "IQ_BOND_PRICE", $L90))),NA(),_xll.ciqfunctions.udf.CIQ(Y$3, "IQ_BOND_PRICE", $L90)),"")</f>
        <v>109.90600000000001</v>
      </c>
      <c r="Z90" s="424">
        <f>IF(AND($L90&lt;&gt;"",Z$3&lt;&gt;""),IF(NOT(ISNUMBER(_xll.ciqfunctions.udf.CIQ(Z$3, "IQ_BOND_PRICE", $L90))),NA(),_xll.ciqfunctions.udf.CIQ(Z$3, "IQ_BOND_PRICE", $L90)),"")</f>
        <v>0</v>
      </c>
      <c r="CZ90" s="426"/>
    </row>
    <row r="91" spans="12:104" x14ac:dyDescent="0.2">
      <c r="L91" s="425">
        <f t="shared" si="1"/>
        <v>44399</v>
      </c>
      <c r="M91" s="424">
        <f>IF(AND($L91&lt;&gt;"",M$3&lt;&gt;""),IF(NOT(ISNUMBER(_xll.ciqfunctions.udf.CIQ(M$3, "IQ_BOND_PRICE", $L91))),NA(),_xll.ciqfunctions.udf.CIQ(M$3, "IQ_BOND_PRICE", $L91)),"")</f>
        <v>101.09</v>
      </c>
      <c r="N91" s="424">
        <f>IF(AND($L91&lt;&gt;"",N$3&lt;&gt;""),IF(NOT(ISNUMBER(_xll.ciqfunctions.udf.CIQ(N$3, "IQ_BOND_PRICE", $L91))),NA(),_xll.ciqfunctions.udf.CIQ(N$3, "IQ_BOND_PRICE", $L91)),"")</f>
        <v>0</v>
      </c>
      <c r="O91" s="424">
        <f>IF(AND($L91&lt;&gt;"",O$3&lt;&gt;""),IF(NOT(ISNUMBER(_xll.ciqfunctions.udf.CIQ(O$3, "IQ_BOND_PRICE", $L91))),NA(),_xll.ciqfunctions.udf.CIQ(O$3, "IQ_BOND_PRICE", $L91)),"")</f>
        <v>102.76675</v>
      </c>
      <c r="P91" s="424">
        <f>IF(AND($L91&lt;&gt;"",P$3&lt;&gt;""),IF(NOT(ISNUMBER(_xll.ciqfunctions.udf.CIQ(P$3, "IQ_BOND_PRICE", $L91))),NA(),_xll.ciqfunctions.udf.CIQ(P$3, "IQ_BOND_PRICE", $L91)),"")</f>
        <v>103.45898</v>
      </c>
      <c r="Q91" s="424">
        <f>IF(AND($L91&lt;&gt;"",Q$3&lt;&gt;""),IF(NOT(ISNUMBER(_xll.ciqfunctions.udf.CIQ(Q$3, "IQ_BOND_PRICE", $L91))),NA(),_xll.ciqfunctions.udf.CIQ(Q$3, "IQ_BOND_PRICE", $L91)),"")</f>
        <v>105.589</v>
      </c>
      <c r="R91" s="424">
        <f>IF(AND($L91&lt;&gt;"",R$3&lt;&gt;""),IF(NOT(ISNUMBER(_xll.ciqfunctions.udf.CIQ(R$3, "IQ_BOND_PRICE", $L91))),NA(),_xll.ciqfunctions.udf.CIQ(R$3, "IQ_BOND_PRICE", $L91)),"")</f>
        <v>113.541</v>
      </c>
      <c r="S91" s="424">
        <f>IF(AND($L91&lt;&gt;"",S$3&lt;&gt;""),IF(NOT(ISNUMBER(_xll.ciqfunctions.udf.CIQ(S$3, "IQ_BOND_PRICE", $L91))),NA(),_xll.ciqfunctions.udf.CIQ(S$3, "IQ_BOND_PRICE", $L91)),"")</f>
        <v>107.026</v>
      </c>
      <c r="T91" s="424">
        <f>IF(AND($L91&lt;&gt;"",T$3&lt;&gt;""),IF(NOT(ISNUMBER(_xll.ciqfunctions.udf.CIQ(T$3, "IQ_BOND_PRICE", $L91))),NA(),_xll.ciqfunctions.udf.CIQ(T$3, "IQ_BOND_PRICE", $L91)),"")</f>
        <v>106.712</v>
      </c>
      <c r="U91" s="424">
        <f>IF(AND($L91&lt;&gt;"",U$3&lt;&gt;""),IF(NOT(ISNUMBER(_xll.ciqfunctions.udf.CIQ(U$3, "IQ_BOND_PRICE", $L91))),NA(),_xll.ciqfunctions.udf.CIQ(U$3, "IQ_BOND_PRICE", $L91)),"")</f>
        <v>99.950999999999993</v>
      </c>
      <c r="V91" s="424">
        <f>IF(AND($L91&lt;&gt;"",V$3&lt;&gt;""),IF(NOT(ISNUMBER(_xll.ciqfunctions.udf.CIQ(V$3, "IQ_BOND_PRICE", $L91))),NA(),_xll.ciqfunctions.udf.CIQ(V$3, "IQ_BOND_PRICE", $L91)),"")</f>
        <v>106.60302</v>
      </c>
      <c r="W91" s="424">
        <f>IF(AND($L91&lt;&gt;"",W$3&lt;&gt;""),IF(NOT(ISNUMBER(_xll.ciqfunctions.udf.CIQ(W$3, "IQ_BOND_PRICE", $L91))),NA(),_xll.ciqfunctions.udf.CIQ(W$3, "IQ_BOND_PRICE", $L91)),"")</f>
        <v>110.387</v>
      </c>
      <c r="X91" s="424">
        <f>IF(AND($L91&lt;&gt;"",X$3&lt;&gt;""),IF(NOT(ISNUMBER(_xll.ciqfunctions.udf.CIQ(X$3, "IQ_BOND_PRICE", $L91))),NA(),_xll.ciqfunctions.udf.CIQ(X$3, "IQ_BOND_PRICE", $L91)),"")</f>
        <v>112.239</v>
      </c>
      <c r="Y91" s="424">
        <f>IF(AND($L91&lt;&gt;"",Y$3&lt;&gt;""),IF(NOT(ISNUMBER(_xll.ciqfunctions.udf.CIQ(Y$3, "IQ_BOND_PRICE", $L91))),NA(),_xll.ciqfunctions.udf.CIQ(Y$3, "IQ_BOND_PRICE", $L91)),"")</f>
        <v>109.88800000000001</v>
      </c>
      <c r="Z91" s="424">
        <f>IF(AND($L91&lt;&gt;"",Z$3&lt;&gt;""),IF(NOT(ISNUMBER(_xll.ciqfunctions.udf.CIQ(Z$3, "IQ_BOND_PRICE", $L91))),NA(),_xll.ciqfunctions.udf.CIQ(Z$3, "IQ_BOND_PRICE", $L91)),"")</f>
        <v>0</v>
      </c>
      <c r="CZ91" s="426"/>
    </row>
    <row r="92" spans="12:104" x14ac:dyDescent="0.2">
      <c r="L92" s="425">
        <f t="shared" si="1"/>
        <v>44400</v>
      </c>
      <c r="M92" s="424">
        <f>IF(AND($L92&lt;&gt;"",M$3&lt;&gt;""),IF(NOT(ISNUMBER(_xll.ciqfunctions.udf.CIQ(M$3, "IQ_BOND_PRICE", $L92))),NA(),_xll.ciqfunctions.udf.CIQ(M$3, "IQ_BOND_PRICE", $L92)),"")</f>
        <v>101.083</v>
      </c>
      <c r="N92" s="424">
        <f>IF(AND($L92&lt;&gt;"",N$3&lt;&gt;""),IF(NOT(ISNUMBER(_xll.ciqfunctions.udf.CIQ(N$3, "IQ_BOND_PRICE", $L92))),NA(),_xll.ciqfunctions.udf.CIQ(N$3, "IQ_BOND_PRICE", $L92)),"")</f>
        <v>0</v>
      </c>
      <c r="O92" s="424">
        <f>IF(AND($L92&lt;&gt;"",O$3&lt;&gt;""),IF(NOT(ISNUMBER(_xll.ciqfunctions.udf.CIQ(O$3, "IQ_BOND_PRICE", $L92))),NA(),_xll.ciqfunctions.udf.CIQ(O$3, "IQ_BOND_PRICE", $L92)),"")</f>
        <v>102.7658</v>
      </c>
      <c r="P92" s="424">
        <f>IF(AND($L92&lt;&gt;"",P$3&lt;&gt;""),IF(NOT(ISNUMBER(_xll.ciqfunctions.udf.CIQ(P$3, "IQ_BOND_PRICE", $L92))),NA(),_xll.ciqfunctions.udf.CIQ(P$3, "IQ_BOND_PRICE", $L92)),"")</f>
        <v>103.40459</v>
      </c>
      <c r="Q92" s="424">
        <f>IF(AND($L92&lt;&gt;"",Q$3&lt;&gt;""),IF(NOT(ISNUMBER(_xll.ciqfunctions.udf.CIQ(Q$3, "IQ_BOND_PRICE", $L92))),NA(),_xll.ciqfunctions.udf.CIQ(Q$3, "IQ_BOND_PRICE", $L92)),"")</f>
        <v>105.6</v>
      </c>
      <c r="R92" s="424">
        <f>IF(AND($L92&lt;&gt;"",R$3&lt;&gt;""),IF(NOT(ISNUMBER(_xll.ciqfunctions.udf.CIQ(R$3, "IQ_BOND_PRICE", $L92))),NA(),_xll.ciqfunctions.udf.CIQ(R$3, "IQ_BOND_PRICE", $L92)),"")</f>
        <v>113.474</v>
      </c>
      <c r="S92" s="424">
        <f>IF(AND($L92&lt;&gt;"",S$3&lt;&gt;""),IF(NOT(ISNUMBER(_xll.ciqfunctions.udf.CIQ(S$3, "IQ_BOND_PRICE", $L92))),NA(),_xll.ciqfunctions.udf.CIQ(S$3, "IQ_BOND_PRICE", $L92)),"")</f>
        <v>107.012</v>
      </c>
      <c r="T92" s="424">
        <f>IF(AND($L92&lt;&gt;"",T$3&lt;&gt;""),IF(NOT(ISNUMBER(_xll.ciqfunctions.udf.CIQ(T$3, "IQ_BOND_PRICE", $L92))),NA(),_xll.ciqfunctions.udf.CIQ(T$3, "IQ_BOND_PRICE", $L92)),"")</f>
        <v>106.67700000000001</v>
      </c>
      <c r="U92" s="424">
        <f>IF(AND($L92&lt;&gt;"",U$3&lt;&gt;""),IF(NOT(ISNUMBER(_xll.ciqfunctions.udf.CIQ(U$3, "IQ_BOND_PRICE", $L92))),NA(),_xll.ciqfunctions.udf.CIQ(U$3, "IQ_BOND_PRICE", $L92)),"")</f>
        <v>99.951009999999997</v>
      </c>
      <c r="V92" s="424">
        <f>IF(AND($L92&lt;&gt;"",V$3&lt;&gt;""),IF(NOT(ISNUMBER(_xll.ciqfunctions.udf.CIQ(V$3, "IQ_BOND_PRICE", $L92))),NA(),_xll.ciqfunctions.udf.CIQ(V$3, "IQ_BOND_PRICE", $L92)),"")</f>
        <v>106.58865</v>
      </c>
      <c r="W92" s="424">
        <f>IF(AND($L92&lt;&gt;"",W$3&lt;&gt;""),IF(NOT(ISNUMBER(_xll.ciqfunctions.udf.CIQ(W$3, "IQ_BOND_PRICE", $L92))),NA(),_xll.ciqfunctions.udf.CIQ(W$3, "IQ_BOND_PRICE", $L92)),"")</f>
        <v>110.361</v>
      </c>
      <c r="X92" s="424">
        <f>IF(AND($L92&lt;&gt;"",X$3&lt;&gt;""),IF(NOT(ISNUMBER(_xll.ciqfunctions.udf.CIQ(X$3, "IQ_BOND_PRICE", $L92))),NA(),_xll.ciqfunctions.udf.CIQ(X$3, "IQ_BOND_PRICE", $L92)),"")</f>
        <v>112.254</v>
      </c>
      <c r="Y92" s="424">
        <f>IF(AND($L92&lt;&gt;"",Y$3&lt;&gt;""),IF(NOT(ISNUMBER(_xll.ciqfunctions.udf.CIQ(Y$3, "IQ_BOND_PRICE", $L92))),NA(),_xll.ciqfunctions.udf.CIQ(Y$3, "IQ_BOND_PRICE", $L92)),"")</f>
        <v>109.869</v>
      </c>
      <c r="Z92" s="424">
        <f>IF(AND($L92&lt;&gt;"",Z$3&lt;&gt;""),IF(NOT(ISNUMBER(_xll.ciqfunctions.udf.CIQ(Z$3, "IQ_BOND_PRICE", $L92))),NA(),_xll.ciqfunctions.udf.CIQ(Z$3, "IQ_BOND_PRICE", $L92)),"")</f>
        <v>0</v>
      </c>
      <c r="CZ92" s="426"/>
    </row>
    <row r="93" spans="12:104" x14ac:dyDescent="0.2">
      <c r="L93" s="425">
        <f t="shared" si="1"/>
        <v>44403</v>
      </c>
      <c r="M93" s="424">
        <f>IF(AND($L93&lt;&gt;"",M$3&lt;&gt;""),IF(NOT(ISNUMBER(_xll.ciqfunctions.udf.CIQ(M$3, "IQ_BOND_PRICE", $L93))),NA(),_xll.ciqfunctions.udf.CIQ(M$3, "IQ_BOND_PRICE", $L93)),"")</f>
        <v>101.08199999999999</v>
      </c>
      <c r="N93" s="424">
        <f>IF(AND($L93&lt;&gt;"",N$3&lt;&gt;""),IF(NOT(ISNUMBER(_xll.ciqfunctions.udf.CIQ(N$3, "IQ_BOND_PRICE", $L93))),NA(),_xll.ciqfunctions.udf.CIQ(N$3, "IQ_BOND_PRICE", $L93)),"")</f>
        <v>0</v>
      </c>
      <c r="O93" s="424">
        <f>IF(AND($L93&lt;&gt;"",O$3&lt;&gt;""),IF(NOT(ISNUMBER(_xll.ciqfunctions.udf.CIQ(O$3, "IQ_BOND_PRICE", $L93))),NA(),_xll.ciqfunctions.udf.CIQ(O$3, "IQ_BOND_PRICE", $L93)),"")</f>
        <v>102.77168</v>
      </c>
      <c r="P93" s="424">
        <f>IF(AND($L93&lt;&gt;"",P$3&lt;&gt;""),IF(NOT(ISNUMBER(_xll.ciqfunctions.udf.CIQ(P$3, "IQ_BOND_PRICE", $L93))),NA(),_xll.ciqfunctions.udf.CIQ(P$3, "IQ_BOND_PRICE", $L93)),"")</f>
        <v>103.0181</v>
      </c>
      <c r="Q93" s="424">
        <f>IF(AND($L93&lt;&gt;"",Q$3&lt;&gt;""),IF(NOT(ISNUMBER(_xll.ciqfunctions.udf.CIQ(Q$3, "IQ_BOND_PRICE", $L93))),NA(),_xll.ciqfunctions.udf.CIQ(Q$3, "IQ_BOND_PRICE", $L93)),"")</f>
        <v>105.328</v>
      </c>
      <c r="R93" s="424">
        <f>IF(AND($L93&lt;&gt;"",R$3&lt;&gt;""),IF(NOT(ISNUMBER(_xll.ciqfunctions.udf.CIQ(R$3, "IQ_BOND_PRICE", $L93))),NA(),_xll.ciqfunctions.udf.CIQ(R$3, "IQ_BOND_PRICE", $L93)),"")</f>
        <v>113.483</v>
      </c>
      <c r="S93" s="424">
        <f>IF(AND($L93&lt;&gt;"",S$3&lt;&gt;""),IF(NOT(ISNUMBER(_xll.ciqfunctions.udf.CIQ(S$3, "IQ_BOND_PRICE", $L93))),NA(),_xll.ciqfunctions.udf.CIQ(S$3, "IQ_BOND_PRICE", $L93)),"")</f>
        <v>107.01900000000001</v>
      </c>
      <c r="T93" s="424">
        <f>IF(AND($L93&lt;&gt;"",T$3&lt;&gt;""),IF(NOT(ISNUMBER(_xll.ciqfunctions.udf.CIQ(T$3, "IQ_BOND_PRICE", $L93))),NA(),_xll.ciqfunctions.udf.CIQ(T$3, "IQ_BOND_PRICE", $L93)),"")</f>
        <v>106.678</v>
      </c>
      <c r="U93" s="424">
        <f>IF(AND($L93&lt;&gt;"",U$3&lt;&gt;""),IF(NOT(ISNUMBER(_xll.ciqfunctions.udf.CIQ(U$3, "IQ_BOND_PRICE", $L93))),NA(),_xll.ciqfunctions.udf.CIQ(U$3, "IQ_BOND_PRICE", $L93)),"")</f>
        <v>99.9422</v>
      </c>
      <c r="V93" s="424">
        <f>IF(AND($L93&lt;&gt;"",V$3&lt;&gt;""),IF(NOT(ISNUMBER(_xll.ciqfunctions.udf.CIQ(V$3, "IQ_BOND_PRICE", $L93))),NA(),_xll.ciqfunctions.udf.CIQ(V$3, "IQ_BOND_PRICE", $L93)),"")</f>
        <v>106.59175</v>
      </c>
      <c r="W93" s="424">
        <f>IF(AND($L93&lt;&gt;"",W$3&lt;&gt;""),IF(NOT(ISNUMBER(_xll.ciqfunctions.udf.CIQ(W$3, "IQ_BOND_PRICE", $L93))),NA(),_xll.ciqfunctions.udf.CIQ(W$3, "IQ_BOND_PRICE", $L93)),"")</f>
        <v>110.373</v>
      </c>
      <c r="X93" s="424">
        <f>IF(AND($L93&lt;&gt;"",X$3&lt;&gt;""),IF(NOT(ISNUMBER(_xll.ciqfunctions.udf.CIQ(X$3, "IQ_BOND_PRICE", $L93))),NA(),_xll.ciqfunctions.udf.CIQ(X$3, "IQ_BOND_PRICE", $L93)),"")</f>
        <v>112.27</v>
      </c>
      <c r="Y93" s="424">
        <f>IF(AND($L93&lt;&gt;"",Y$3&lt;&gt;""),IF(NOT(ISNUMBER(_xll.ciqfunctions.udf.CIQ(Y$3, "IQ_BOND_PRICE", $L93))),NA(),_xll.ciqfunctions.udf.CIQ(Y$3, "IQ_BOND_PRICE", $L93)),"")</f>
        <v>109.876</v>
      </c>
      <c r="Z93" s="424">
        <f>IF(AND($L93&lt;&gt;"",Z$3&lt;&gt;""),IF(NOT(ISNUMBER(_xll.ciqfunctions.udf.CIQ(Z$3, "IQ_BOND_PRICE", $L93))),NA(),_xll.ciqfunctions.udf.CIQ(Z$3, "IQ_BOND_PRICE", $L93)),"")</f>
        <v>0</v>
      </c>
      <c r="CZ93" s="426"/>
    </row>
    <row r="94" spans="12:104" x14ac:dyDescent="0.2">
      <c r="L94" s="425">
        <f t="shared" si="1"/>
        <v>44404</v>
      </c>
      <c r="M94" s="424">
        <f>IF(AND($L94&lt;&gt;"",M$3&lt;&gt;""),IF(NOT(ISNUMBER(_xll.ciqfunctions.udf.CIQ(M$3, "IQ_BOND_PRICE", $L94))),NA(),_xll.ciqfunctions.udf.CIQ(M$3, "IQ_BOND_PRICE", $L94)),"")</f>
        <v>101.07899999999999</v>
      </c>
      <c r="N94" s="424">
        <f>IF(AND($L94&lt;&gt;"",N$3&lt;&gt;""),IF(NOT(ISNUMBER(_xll.ciqfunctions.udf.CIQ(N$3, "IQ_BOND_PRICE", $L94))),NA(),_xll.ciqfunctions.udf.CIQ(N$3, "IQ_BOND_PRICE", $L94)),"")</f>
        <v>0</v>
      </c>
      <c r="O94" s="424">
        <f>IF(AND($L94&lt;&gt;"",O$3&lt;&gt;""),IF(NOT(ISNUMBER(_xll.ciqfunctions.udf.CIQ(O$3, "IQ_BOND_PRICE", $L94))),NA(),_xll.ciqfunctions.udf.CIQ(O$3, "IQ_BOND_PRICE", $L94)),"")</f>
        <v>102.77367</v>
      </c>
      <c r="P94" s="424">
        <f>IF(AND($L94&lt;&gt;"",P$3&lt;&gt;""),IF(NOT(ISNUMBER(_xll.ciqfunctions.udf.CIQ(P$3, "IQ_BOND_PRICE", $L94))),NA(),_xll.ciqfunctions.udf.CIQ(P$3, "IQ_BOND_PRICE", $L94)),"")</f>
        <v>103.49297</v>
      </c>
      <c r="Q94" s="424">
        <f>IF(AND($L94&lt;&gt;"",Q$3&lt;&gt;""),IF(NOT(ISNUMBER(_xll.ciqfunctions.udf.CIQ(Q$3, "IQ_BOND_PRICE", $L94))),NA(),_xll.ciqfunctions.udf.CIQ(Q$3, "IQ_BOND_PRICE", $L94)),"")</f>
        <v>105.72799999999999</v>
      </c>
      <c r="R94" s="424">
        <f>IF(AND($L94&lt;&gt;"",R$3&lt;&gt;""),IF(NOT(ISNUMBER(_xll.ciqfunctions.udf.CIQ(R$3, "IQ_BOND_PRICE", $L94))),NA(),_xll.ciqfunctions.udf.CIQ(R$3, "IQ_BOND_PRICE", $L94)),"")</f>
        <v>113.538</v>
      </c>
      <c r="S94" s="424">
        <f>IF(AND($L94&lt;&gt;"",S$3&lt;&gt;""),IF(NOT(ISNUMBER(_xll.ciqfunctions.udf.CIQ(S$3, "IQ_BOND_PRICE", $L94))),NA(),_xll.ciqfunctions.udf.CIQ(S$3, "IQ_BOND_PRICE", $L94)),"")</f>
        <v>107.04</v>
      </c>
      <c r="T94" s="424">
        <f>IF(AND($L94&lt;&gt;"",T$3&lt;&gt;""),IF(NOT(ISNUMBER(_xll.ciqfunctions.udf.CIQ(T$3, "IQ_BOND_PRICE", $L94))),NA(),_xll.ciqfunctions.udf.CIQ(T$3, "IQ_BOND_PRICE", $L94)),"")</f>
        <v>106.767</v>
      </c>
      <c r="U94" s="424">
        <f>IF(AND($L94&lt;&gt;"",U$3&lt;&gt;""),IF(NOT(ISNUMBER(_xll.ciqfunctions.udf.CIQ(U$3, "IQ_BOND_PRICE", $L94))),NA(),_xll.ciqfunctions.udf.CIQ(U$3, "IQ_BOND_PRICE", $L94)),"")</f>
        <v>99.939319999999995</v>
      </c>
      <c r="V94" s="424">
        <f>IF(AND($L94&lt;&gt;"",V$3&lt;&gt;""),IF(NOT(ISNUMBER(_xll.ciqfunctions.udf.CIQ(V$3, "IQ_BOND_PRICE", $L94))),NA(),_xll.ciqfunctions.udf.CIQ(V$3, "IQ_BOND_PRICE", $L94)),"")</f>
        <v>106.62985</v>
      </c>
      <c r="W94" s="424">
        <f>IF(AND($L94&lt;&gt;"",W$3&lt;&gt;""),IF(NOT(ISNUMBER(_xll.ciqfunctions.udf.CIQ(W$3, "IQ_BOND_PRICE", $L94))),NA(),_xll.ciqfunctions.udf.CIQ(W$3, "IQ_BOND_PRICE", $L94)),"")</f>
        <v>110.441</v>
      </c>
      <c r="X94" s="424">
        <f>IF(AND($L94&lt;&gt;"",X$3&lt;&gt;""),IF(NOT(ISNUMBER(_xll.ciqfunctions.udf.CIQ(X$3, "IQ_BOND_PRICE", $L94))),NA(),_xll.ciqfunctions.udf.CIQ(X$3, "IQ_BOND_PRICE", $L94)),"")</f>
        <v>112.321</v>
      </c>
      <c r="Y94" s="424">
        <f>IF(AND($L94&lt;&gt;"",Y$3&lt;&gt;""),IF(NOT(ISNUMBER(_xll.ciqfunctions.udf.CIQ(Y$3, "IQ_BOND_PRICE", $L94))),NA(),_xll.ciqfunctions.udf.CIQ(Y$3, "IQ_BOND_PRICE", $L94)),"")</f>
        <v>110.11</v>
      </c>
      <c r="Z94" s="424">
        <f>IF(AND($L94&lt;&gt;"",Z$3&lt;&gt;""),IF(NOT(ISNUMBER(_xll.ciqfunctions.udf.CIQ(Z$3, "IQ_BOND_PRICE", $L94))),NA(),_xll.ciqfunctions.udf.CIQ(Z$3, "IQ_BOND_PRICE", $L94)),"")</f>
        <v>0</v>
      </c>
      <c r="CZ94" s="426"/>
    </row>
    <row r="95" spans="12:104" x14ac:dyDescent="0.2">
      <c r="L95" s="425">
        <f t="shared" si="1"/>
        <v>44405</v>
      </c>
      <c r="M95" s="424">
        <f>IF(AND($L95&lt;&gt;"",M$3&lt;&gt;""),IF(NOT(ISNUMBER(_xll.ciqfunctions.udf.CIQ(M$3, "IQ_BOND_PRICE", $L95))),NA(),_xll.ciqfunctions.udf.CIQ(M$3, "IQ_BOND_PRICE", $L95)),"")</f>
        <v>101.075</v>
      </c>
      <c r="N95" s="424">
        <f>IF(AND($L95&lt;&gt;"",N$3&lt;&gt;""),IF(NOT(ISNUMBER(_xll.ciqfunctions.udf.CIQ(N$3, "IQ_BOND_PRICE", $L95))),NA(),_xll.ciqfunctions.udf.CIQ(N$3, "IQ_BOND_PRICE", $L95)),"")</f>
        <v>0</v>
      </c>
      <c r="O95" s="424">
        <f>IF(AND($L95&lt;&gt;"",O$3&lt;&gt;""),IF(NOT(ISNUMBER(_xll.ciqfunctions.udf.CIQ(O$3, "IQ_BOND_PRICE", $L95))),NA(),_xll.ciqfunctions.udf.CIQ(O$3, "IQ_BOND_PRICE", $L95)),"")</f>
        <v>102.75688</v>
      </c>
      <c r="P95" s="424">
        <f>IF(AND($L95&lt;&gt;"",P$3&lt;&gt;""),IF(NOT(ISNUMBER(_xll.ciqfunctions.udf.CIQ(P$3, "IQ_BOND_PRICE", $L95))),NA(),_xll.ciqfunctions.udf.CIQ(P$3, "IQ_BOND_PRICE", $L95)),"")</f>
        <v>103.34394</v>
      </c>
      <c r="Q95" s="424">
        <f>IF(AND($L95&lt;&gt;"",Q$3&lt;&gt;""),IF(NOT(ISNUMBER(_xll.ciqfunctions.udf.CIQ(Q$3, "IQ_BOND_PRICE", $L95))),NA(),_xll.ciqfunctions.udf.CIQ(Q$3, "IQ_BOND_PRICE", $L95)),"")</f>
        <v>105.672</v>
      </c>
      <c r="R95" s="424">
        <f>IF(AND($L95&lt;&gt;"",R$3&lt;&gt;""),IF(NOT(ISNUMBER(_xll.ciqfunctions.udf.CIQ(R$3, "IQ_BOND_PRICE", $L95))),NA(),_xll.ciqfunctions.udf.CIQ(R$3, "IQ_BOND_PRICE", $L95)),"")</f>
        <v>113.449</v>
      </c>
      <c r="S95" s="424">
        <f>IF(AND($L95&lt;&gt;"",S$3&lt;&gt;""),IF(NOT(ISNUMBER(_xll.ciqfunctions.udf.CIQ(S$3, "IQ_BOND_PRICE", $L95))),NA(),_xll.ciqfunctions.udf.CIQ(S$3, "IQ_BOND_PRICE", $L95)),"")</f>
        <v>107.002</v>
      </c>
      <c r="T95" s="424">
        <f>IF(AND($L95&lt;&gt;"",T$3&lt;&gt;""),IF(NOT(ISNUMBER(_xll.ciqfunctions.udf.CIQ(T$3, "IQ_BOND_PRICE", $L95))),NA(),_xll.ciqfunctions.udf.CIQ(T$3, "IQ_BOND_PRICE", $L95)),"")</f>
        <v>106.727</v>
      </c>
      <c r="U95" s="424">
        <f>IF(AND($L95&lt;&gt;"",U$3&lt;&gt;""),IF(NOT(ISNUMBER(_xll.ciqfunctions.udf.CIQ(U$3, "IQ_BOND_PRICE", $L95))),NA(),_xll.ciqfunctions.udf.CIQ(U$3, "IQ_BOND_PRICE", $L95)),"")</f>
        <v>99.933239999999998</v>
      </c>
      <c r="V95" s="424">
        <f>IF(AND($L95&lt;&gt;"",V$3&lt;&gt;""),IF(NOT(ISNUMBER(_xll.ciqfunctions.udf.CIQ(V$3, "IQ_BOND_PRICE", $L95))),NA(),_xll.ciqfunctions.udf.CIQ(V$3, "IQ_BOND_PRICE", $L95)),"")</f>
        <v>106.58114999999999</v>
      </c>
      <c r="W95" s="424">
        <f>IF(AND($L95&lt;&gt;"",W$3&lt;&gt;""),IF(NOT(ISNUMBER(_xll.ciqfunctions.udf.CIQ(W$3, "IQ_BOND_PRICE", $L95))),NA(),_xll.ciqfunctions.udf.CIQ(W$3, "IQ_BOND_PRICE", $L95)),"")</f>
        <v>110.30200000000001</v>
      </c>
      <c r="X95" s="424">
        <f>IF(AND($L95&lt;&gt;"",X$3&lt;&gt;""),IF(NOT(ISNUMBER(_xll.ciqfunctions.udf.CIQ(X$3, "IQ_BOND_PRICE", $L95))),NA(),_xll.ciqfunctions.udf.CIQ(X$3, "IQ_BOND_PRICE", $L95)),"")</f>
        <v>112.366</v>
      </c>
      <c r="Y95" s="424">
        <f>IF(AND($L95&lt;&gt;"",Y$3&lt;&gt;""),IF(NOT(ISNUMBER(_xll.ciqfunctions.udf.CIQ(Y$3, "IQ_BOND_PRICE", $L95))),NA(),_xll.ciqfunctions.udf.CIQ(Y$3, "IQ_BOND_PRICE", $L95)),"")</f>
        <v>109.938</v>
      </c>
      <c r="Z95" s="424">
        <f>IF(AND($L95&lt;&gt;"",Z$3&lt;&gt;""),IF(NOT(ISNUMBER(_xll.ciqfunctions.udf.CIQ(Z$3, "IQ_BOND_PRICE", $L95))),NA(),_xll.ciqfunctions.udf.CIQ(Z$3, "IQ_BOND_PRICE", $L95)),"")</f>
        <v>0</v>
      </c>
      <c r="CZ95" s="426"/>
    </row>
    <row r="96" spans="12:104" x14ac:dyDescent="0.2">
      <c r="L96" s="425">
        <f t="shared" si="1"/>
        <v>44406</v>
      </c>
      <c r="M96" s="424">
        <f>IF(AND($L96&lt;&gt;"",M$3&lt;&gt;""),IF(NOT(ISNUMBER(_xll.ciqfunctions.udf.CIQ(M$3, "IQ_BOND_PRICE", $L96))),NA(),_xll.ciqfunctions.udf.CIQ(M$3, "IQ_BOND_PRICE", $L96)),"")</f>
        <v>101.051</v>
      </c>
      <c r="N96" s="424">
        <f>IF(AND($L96&lt;&gt;"",N$3&lt;&gt;""),IF(NOT(ISNUMBER(_xll.ciqfunctions.udf.CIQ(N$3, "IQ_BOND_PRICE", $L96))),NA(),_xll.ciqfunctions.udf.CIQ(N$3, "IQ_BOND_PRICE", $L96)),"")</f>
        <v>0</v>
      </c>
      <c r="O96" s="424">
        <f>IF(AND($L96&lt;&gt;"",O$3&lt;&gt;""),IF(NOT(ISNUMBER(_xll.ciqfunctions.udf.CIQ(O$3, "IQ_BOND_PRICE", $L96))),NA(),_xll.ciqfunctions.udf.CIQ(O$3, "IQ_BOND_PRICE", $L96)),"")</f>
        <v>102.76627999999999</v>
      </c>
      <c r="P96" s="424">
        <f>IF(AND($L96&lt;&gt;"",P$3&lt;&gt;""),IF(NOT(ISNUMBER(_xll.ciqfunctions.udf.CIQ(P$3, "IQ_BOND_PRICE", $L96))),NA(),_xll.ciqfunctions.udf.CIQ(P$3, "IQ_BOND_PRICE", $L96)),"")</f>
        <v>103.47765</v>
      </c>
      <c r="Q96" s="424">
        <f>IF(AND($L96&lt;&gt;"",Q$3&lt;&gt;""),IF(NOT(ISNUMBER(_xll.ciqfunctions.udf.CIQ(Q$3, "IQ_BOND_PRICE", $L96))),NA(),_xll.ciqfunctions.udf.CIQ(Q$3, "IQ_BOND_PRICE", $L96)),"")</f>
        <v>105.7</v>
      </c>
      <c r="R96" s="424">
        <f>IF(AND($L96&lt;&gt;"",R$3&lt;&gt;""),IF(NOT(ISNUMBER(_xll.ciqfunctions.udf.CIQ(R$3, "IQ_BOND_PRICE", $L96))),NA(),_xll.ciqfunctions.udf.CIQ(R$3, "IQ_BOND_PRICE", $L96)),"")</f>
        <v>113.46599999999999</v>
      </c>
      <c r="S96" s="424">
        <f>IF(AND($L96&lt;&gt;"",S$3&lt;&gt;""),IF(NOT(ISNUMBER(_xll.ciqfunctions.udf.CIQ(S$3, "IQ_BOND_PRICE", $L96))),NA(),_xll.ciqfunctions.udf.CIQ(S$3, "IQ_BOND_PRICE", $L96)),"")</f>
        <v>107.027</v>
      </c>
      <c r="T96" s="424">
        <f>IF(AND($L96&lt;&gt;"",T$3&lt;&gt;""),IF(NOT(ISNUMBER(_xll.ciqfunctions.udf.CIQ(T$3, "IQ_BOND_PRICE", $L96))),NA(),_xll.ciqfunctions.udf.CIQ(T$3, "IQ_BOND_PRICE", $L96)),"")</f>
        <v>106.795</v>
      </c>
      <c r="U96" s="424">
        <f>IF(AND($L96&lt;&gt;"",U$3&lt;&gt;""),IF(NOT(ISNUMBER(_xll.ciqfunctions.udf.CIQ(U$3, "IQ_BOND_PRICE", $L96))),NA(),_xll.ciqfunctions.udf.CIQ(U$3, "IQ_BOND_PRICE", $L96)),"")</f>
        <v>99.932969999999997</v>
      </c>
      <c r="V96" s="424">
        <f>IF(AND($L96&lt;&gt;"",V$3&lt;&gt;""),IF(NOT(ISNUMBER(_xll.ciqfunctions.udf.CIQ(V$3, "IQ_BOND_PRICE", $L96))),NA(),_xll.ciqfunctions.udf.CIQ(V$3, "IQ_BOND_PRICE", $L96)),"")</f>
        <v>106.77175</v>
      </c>
      <c r="W96" s="424">
        <f>IF(AND($L96&lt;&gt;"",W$3&lt;&gt;""),IF(NOT(ISNUMBER(_xll.ciqfunctions.udf.CIQ(W$3, "IQ_BOND_PRICE", $L96))),NA(),_xll.ciqfunctions.udf.CIQ(W$3, "IQ_BOND_PRICE", $L96)),"")</f>
        <v>110.325</v>
      </c>
      <c r="X96" s="424">
        <f>IF(AND($L96&lt;&gt;"",X$3&lt;&gt;""),IF(NOT(ISNUMBER(_xll.ciqfunctions.udf.CIQ(X$3, "IQ_BOND_PRICE", $L96))),NA(),_xll.ciqfunctions.udf.CIQ(X$3, "IQ_BOND_PRICE", $L96)),"")</f>
        <v>112.352</v>
      </c>
      <c r="Y96" s="424">
        <f>IF(AND($L96&lt;&gt;"",Y$3&lt;&gt;""),IF(NOT(ISNUMBER(_xll.ciqfunctions.udf.CIQ(Y$3, "IQ_BOND_PRICE", $L96))),NA(),_xll.ciqfunctions.udf.CIQ(Y$3, "IQ_BOND_PRICE", $L96)),"")</f>
        <v>109.97499999999999</v>
      </c>
      <c r="Z96" s="424">
        <f>IF(AND($L96&lt;&gt;"",Z$3&lt;&gt;""),IF(NOT(ISNUMBER(_xll.ciqfunctions.udf.CIQ(Z$3, "IQ_BOND_PRICE", $L96))),NA(),_xll.ciqfunctions.udf.CIQ(Z$3, "IQ_BOND_PRICE", $L96)),"")</f>
        <v>0</v>
      </c>
      <c r="CZ96" s="426"/>
    </row>
    <row r="97" spans="12:104" x14ac:dyDescent="0.2">
      <c r="L97" s="425">
        <f t="shared" si="1"/>
        <v>44407</v>
      </c>
      <c r="M97" s="424">
        <f>IF(AND($L97&lt;&gt;"",M$3&lt;&gt;""),IF(NOT(ISNUMBER(_xll.ciqfunctions.udf.CIQ(M$3, "IQ_BOND_PRICE", $L97))),NA(),_xll.ciqfunctions.udf.CIQ(M$3, "IQ_BOND_PRICE", $L97)),"")</f>
        <v>101.042</v>
      </c>
      <c r="N97" s="424">
        <f>IF(AND($L97&lt;&gt;"",N$3&lt;&gt;""),IF(NOT(ISNUMBER(_xll.ciqfunctions.udf.CIQ(N$3, "IQ_BOND_PRICE", $L97))),NA(),_xll.ciqfunctions.udf.CIQ(N$3, "IQ_BOND_PRICE", $L97)),"")</f>
        <v>0</v>
      </c>
      <c r="O97" s="424">
        <f>IF(AND($L97&lt;&gt;"",O$3&lt;&gt;""),IF(NOT(ISNUMBER(_xll.ciqfunctions.udf.CIQ(O$3, "IQ_BOND_PRICE", $L97))),NA(),_xll.ciqfunctions.udf.CIQ(O$3, "IQ_BOND_PRICE", $L97)),"")</f>
        <v>102.79828999999999</v>
      </c>
      <c r="P97" s="424">
        <f>IF(AND($L97&lt;&gt;"",P$3&lt;&gt;""),IF(NOT(ISNUMBER(_xll.ciqfunctions.udf.CIQ(P$3, "IQ_BOND_PRICE", $L97))),NA(),_xll.ciqfunctions.udf.CIQ(P$3, "IQ_BOND_PRICE", $L97)),"")</f>
        <v>103.47802</v>
      </c>
      <c r="Q97" s="424">
        <f>IF(AND($L97&lt;&gt;"",Q$3&lt;&gt;""),IF(NOT(ISNUMBER(_xll.ciqfunctions.udf.CIQ(Q$3, "IQ_BOND_PRICE", $L97))),NA(),_xll.ciqfunctions.udf.CIQ(Q$3, "IQ_BOND_PRICE", $L97)),"")</f>
        <v>105.607</v>
      </c>
      <c r="R97" s="424">
        <f>IF(AND($L97&lt;&gt;"",R$3&lt;&gt;""),IF(NOT(ISNUMBER(_xll.ciqfunctions.udf.CIQ(R$3, "IQ_BOND_PRICE", $L97))),NA(),_xll.ciqfunctions.udf.CIQ(R$3, "IQ_BOND_PRICE", $L97)),"")</f>
        <v>113.46599999999999</v>
      </c>
      <c r="S97" s="424">
        <f>IF(AND($L97&lt;&gt;"",S$3&lt;&gt;""),IF(NOT(ISNUMBER(_xll.ciqfunctions.udf.CIQ(S$3, "IQ_BOND_PRICE", $L97))),NA(),_xll.ciqfunctions.udf.CIQ(S$3, "IQ_BOND_PRICE", $L97)),"")</f>
        <v>107.081</v>
      </c>
      <c r="T97" s="424">
        <f>IF(AND($L97&lt;&gt;"",T$3&lt;&gt;""),IF(NOT(ISNUMBER(_xll.ciqfunctions.udf.CIQ(T$3, "IQ_BOND_PRICE", $L97))),NA(),_xll.ciqfunctions.udf.CIQ(T$3, "IQ_BOND_PRICE", $L97)),"")</f>
        <v>106.723</v>
      </c>
      <c r="U97" s="424">
        <f>IF(AND($L97&lt;&gt;"",U$3&lt;&gt;""),IF(NOT(ISNUMBER(_xll.ciqfunctions.udf.CIQ(U$3, "IQ_BOND_PRICE", $L97))),NA(),_xll.ciqfunctions.udf.CIQ(U$3, "IQ_BOND_PRICE", $L97)),"")</f>
        <v>99.937190000000001</v>
      </c>
      <c r="V97" s="424">
        <f>IF(AND($L97&lt;&gt;"",V$3&lt;&gt;""),IF(NOT(ISNUMBER(_xll.ciqfunctions.udf.CIQ(V$3, "IQ_BOND_PRICE", $L97))),NA(),_xll.ciqfunctions.udf.CIQ(V$3, "IQ_BOND_PRICE", $L97)),"")</f>
        <v>106.84496</v>
      </c>
      <c r="W97" s="424">
        <f>IF(AND($L97&lt;&gt;"",W$3&lt;&gt;""),IF(NOT(ISNUMBER(_xll.ciqfunctions.udf.CIQ(W$3, "IQ_BOND_PRICE", $L97))),NA(),_xll.ciqfunctions.udf.CIQ(W$3, "IQ_BOND_PRICE", $L97)),"")</f>
        <v>110.41200000000001</v>
      </c>
      <c r="X97" s="424">
        <f>IF(AND($L97&lt;&gt;"",X$3&lt;&gt;""),IF(NOT(ISNUMBER(_xll.ciqfunctions.udf.CIQ(X$3, "IQ_BOND_PRICE", $L97))),NA(),_xll.ciqfunctions.udf.CIQ(X$3, "IQ_BOND_PRICE", $L97)),"")</f>
        <v>112.346</v>
      </c>
      <c r="Y97" s="424">
        <f>IF(AND($L97&lt;&gt;"",Y$3&lt;&gt;""),IF(NOT(ISNUMBER(_xll.ciqfunctions.udf.CIQ(Y$3, "IQ_BOND_PRICE", $L97))),NA(),_xll.ciqfunctions.udf.CIQ(Y$3, "IQ_BOND_PRICE", $L97)),"")</f>
        <v>109.872</v>
      </c>
      <c r="Z97" s="424">
        <f>IF(AND($L97&lt;&gt;"",Z$3&lt;&gt;""),IF(NOT(ISNUMBER(_xll.ciqfunctions.udf.CIQ(Z$3, "IQ_BOND_PRICE", $L97))),NA(),_xll.ciqfunctions.udf.CIQ(Z$3, "IQ_BOND_PRICE", $L97)),"")</f>
        <v>0</v>
      </c>
      <c r="CZ97" s="426"/>
    </row>
    <row r="98" spans="12:104" x14ac:dyDescent="0.2">
      <c r="L98" s="425">
        <f t="shared" si="1"/>
        <v>44410</v>
      </c>
      <c r="M98" s="424">
        <f>IF(AND($L98&lt;&gt;"",M$3&lt;&gt;""),IF(NOT(ISNUMBER(_xll.ciqfunctions.udf.CIQ(M$3, "IQ_BOND_PRICE", $L98))),NA(),_xll.ciqfunctions.udf.CIQ(M$3, "IQ_BOND_PRICE", $L98)),"")</f>
        <v>101.036</v>
      </c>
      <c r="N98" s="424">
        <f>IF(AND($L98&lt;&gt;"",N$3&lt;&gt;""),IF(NOT(ISNUMBER(_xll.ciqfunctions.udf.CIQ(N$3, "IQ_BOND_PRICE", $L98))),NA(),_xll.ciqfunctions.udf.CIQ(N$3, "IQ_BOND_PRICE", $L98)),"")</f>
        <v>0</v>
      </c>
      <c r="O98" s="424">
        <f>IF(AND($L98&lt;&gt;"",O$3&lt;&gt;""),IF(NOT(ISNUMBER(_xll.ciqfunctions.udf.CIQ(O$3, "IQ_BOND_PRICE", $L98))),NA(),_xll.ciqfunctions.udf.CIQ(O$3, "IQ_BOND_PRICE", $L98)),"")</f>
        <v>102.77625999999999</v>
      </c>
      <c r="P98" s="424">
        <f>IF(AND($L98&lt;&gt;"",P$3&lt;&gt;""),IF(NOT(ISNUMBER(_xll.ciqfunctions.udf.CIQ(P$3, "IQ_BOND_PRICE", $L98))),NA(),_xll.ciqfunctions.udf.CIQ(P$3, "IQ_BOND_PRICE", $L98)),"")</f>
        <v>103.53721</v>
      </c>
      <c r="Q98" s="424">
        <f>IF(AND($L98&lt;&gt;"",Q$3&lt;&gt;""),IF(NOT(ISNUMBER(_xll.ciqfunctions.udf.CIQ(Q$3, "IQ_BOND_PRICE", $L98))),NA(),_xll.ciqfunctions.udf.CIQ(Q$3, "IQ_BOND_PRICE", $L98)),"")</f>
        <v>105.724</v>
      </c>
      <c r="R98" s="424">
        <f>IF(AND($L98&lt;&gt;"",R$3&lt;&gt;""),IF(NOT(ISNUMBER(_xll.ciqfunctions.udf.CIQ(R$3, "IQ_BOND_PRICE", $L98))),NA(),_xll.ciqfunctions.udf.CIQ(R$3, "IQ_BOND_PRICE", $L98)),"")</f>
        <v>113.506</v>
      </c>
      <c r="S98" s="424">
        <f>IF(AND($L98&lt;&gt;"",S$3&lt;&gt;""),IF(NOT(ISNUMBER(_xll.ciqfunctions.udf.CIQ(S$3, "IQ_BOND_PRICE", $L98))),NA(),_xll.ciqfunctions.udf.CIQ(S$3, "IQ_BOND_PRICE", $L98)),"")</f>
        <v>107.134</v>
      </c>
      <c r="T98" s="424">
        <f>IF(AND($L98&lt;&gt;"",T$3&lt;&gt;""),IF(NOT(ISNUMBER(_xll.ciqfunctions.udf.CIQ(T$3, "IQ_BOND_PRICE", $L98))),NA(),_xll.ciqfunctions.udf.CIQ(T$3, "IQ_BOND_PRICE", $L98)),"")</f>
        <v>106.732</v>
      </c>
      <c r="U98" s="424">
        <f>IF(AND($L98&lt;&gt;"",U$3&lt;&gt;""),IF(NOT(ISNUMBER(_xll.ciqfunctions.udf.CIQ(U$3, "IQ_BOND_PRICE", $L98))),NA(),_xll.ciqfunctions.udf.CIQ(U$3, "IQ_BOND_PRICE", $L98)),"")</f>
        <v>99.941749999999999</v>
      </c>
      <c r="V98" s="424">
        <f>IF(AND($L98&lt;&gt;"",V$3&lt;&gt;""),IF(NOT(ISNUMBER(_xll.ciqfunctions.udf.CIQ(V$3, "IQ_BOND_PRICE", $L98))),NA(),_xll.ciqfunctions.udf.CIQ(V$3, "IQ_BOND_PRICE", $L98)),"")</f>
        <v>106.91813999999999</v>
      </c>
      <c r="W98" s="424">
        <f>IF(AND($L98&lt;&gt;"",W$3&lt;&gt;""),IF(NOT(ISNUMBER(_xll.ciqfunctions.udf.CIQ(W$3, "IQ_BOND_PRICE", $L98))),NA(),_xll.ciqfunctions.udf.CIQ(W$3, "IQ_BOND_PRICE", $L98)),"")</f>
        <v>110.572</v>
      </c>
      <c r="X98" s="424">
        <f>IF(AND($L98&lt;&gt;"",X$3&lt;&gt;""),IF(NOT(ISNUMBER(_xll.ciqfunctions.udf.CIQ(X$3, "IQ_BOND_PRICE", $L98))),NA(),_xll.ciqfunctions.udf.CIQ(X$3, "IQ_BOND_PRICE", $L98)),"")</f>
        <v>112.374</v>
      </c>
      <c r="Y98" s="424">
        <f>IF(AND($L98&lt;&gt;"",Y$3&lt;&gt;""),IF(NOT(ISNUMBER(_xll.ciqfunctions.udf.CIQ(Y$3, "IQ_BOND_PRICE", $L98))),NA(),_xll.ciqfunctions.udf.CIQ(Y$3, "IQ_BOND_PRICE", $L98)),"")</f>
        <v>110.196</v>
      </c>
      <c r="Z98" s="424">
        <f>IF(AND($L98&lt;&gt;"",Z$3&lt;&gt;""),IF(NOT(ISNUMBER(_xll.ciqfunctions.udf.CIQ(Z$3, "IQ_BOND_PRICE", $L98))),NA(),_xll.ciqfunctions.udf.CIQ(Z$3, "IQ_BOND_PRICE", $L98)),"")</f>
        <v>0</v>
      </c>
      <c r="CZ98" s="426"/>
    </row>
    <row r="99" spans="12:104" x14ac:dyDescent="0.2">
      <c r="L99" s="425">
        <f t="shared" si="1"/>
        <v>44411</v>
      </c>
      <c r="M99" s="424">
        <f>IF(AND($L99&lt;&gt;"",M$3&lt;&gt;""),IF(NOT(ISNUMBER(_xll.ciqfunctions.udf.CIQ(M$3, "IQ_BOND_PRICE", $L99))),NA(),_xll.ciqfunctions.udf.CIQ(M$3, "IQ_BOND_PRICE", $L99)),"")</f>
        <v>101.02500000000001</v>
      </c>
      <c r="N99" s="424">
        <f>IF(AND($L99&lt;&gt;"",N$3&lt;&gt;""),IF(NOT(ISNUMBER(_xll.ciqfunctions.udf.CIQ(N$3, "IQ_BOND_PRICE", $L99))),NA(),_xll.ciqfunctions.udf.CIQ(N$3, "IQ_BOND_PRICE", $L99)),"")</f>
        <v>0</v>
      </c>
      <c r="O99" s="424">
        <f>IF(AND($L99&lt;&gt;"",O$3&lt;&gt;""),IF(NOT(ISNUMBER(_xll.ciqfunctions.udf.CIQ(O$3, "IQ_BOND_PRICE", $L99))),NA(),_xll.ciqfunctions.udf.CIQ(O$3, "IQ_BOND_PRICE", $L99)),"")</f>
        <v>102.77258</v>
      </c>
      <c r="P99" s="424">
        <f>IF(AND($L99&lt;&gt;"",P$3&lt;&gt;""),IF(NOT(ISNUMBER(_xll.ciqfunctions.udf.CIQ(P$3, "IQ_BOND_PRICE", $L99))),NA(),_xll.ciqfunctions.udf.CIQ(P$3, "IQ_BOND_PRICE", $L99)),"")</f>
        <v>103.58404</v>
      </c>
      <c r="Q99" s="424">
        <f>IF(AND($L99&lt;&gt;"",Q$3&lt;&gt;""),IF(NOT(ISNUMBER(_xll.ciqfunctions.udf.CIQ(Q$3, "IQ_BOND_PRICE", $L99))),NA(),_xll.ciqfunctions.udf.CIQ(Q$3, "IQ_BOND_PRICE", $L99)),"")</f>
        <v>105.776</v>
      </c>
      <c r="R99" s="424">
        <f>IF(AND($L99&lt;&gt;"",R$3&lt;&gt;""),IF(NOT(ISNUMBER(_xll.ciqfunctions.udf.CIQ(R$3, "IQ_BOND_PRICE", $L99))),NA(),_xll.ciqfunctions.udf.CIQ(R$3, "IQ_BOND_PRICE", $L99)),"")</f>
        <v>113.54300000000001</v>
      </c>
      <c r="S99" s="424">
        <f>IF(AND($L99&lt;&gt;"",S$3&lt;&gt;""),IF(NOT(ISNUMBER(_xll.ciqfunctions.udf.CIQ(S$3, "IQ_BOND_PRICE", $L99))),NA(),_xll.ciqfunctions.udf.CIQ(S$3, "IQ_BOND_PRICE", $L99)),"")</f>
        <v>107.065</v>
      </c>
      <c r="T99" s="424">
        <f>IF(AND($L99&lt;&gt;"",T$3&lt;&gt;""),IF(NOT(ISNUMBER(_xll.ciqfunctions.udf.CIQ(T$3, "IQ_BOND_PRICE", $L99))),NA(),_xll.ciqfunctions.udf.CIQ(T$3, "IQ_BOND_PRICE", $L99)),"")</f>
        <v>106.753</v>
      </c>
      <c r="U99" s="424">
        <f>IF(AND($L99&lt;&gt;"",U$3&lt;&gt;""),IF(NOT(ISNUMBER(_xll.ciqfunctions.udf.CIQ(U$3, "IQ_BOND_PRICE", $L99))),NA(),_xll.ciqfunctions.udf.CIQ(U$3, "IQ_BOND_PRICE", $L99)),"")</f>
        <v>99.950190000000006</v>
      </c>
      <c r="V99" s="424">
        <f>IF(AND($L99&lt;&gt;"",V$3&lt;&gt;""),IF(NOT(ISNUMBER(_xll.ciqfunctions.udf.CIQ(V$3, "IQ_BOND_PRICE", $L99))),NA(),_xll.ciqfunctions.udf.CIQ(V$3, "IQ_BOND_PRICE", $L99)),"")</f>
        <v>106.892</v>
      </c>
      <c r="W99" s="424">
        <f>IF(AND($L99&lt;&gt;"",W$3&lt;&gt;""),IF(NOT(ISNUMBER(_xll.ciqfunctions.udf.CIQ(W$3, "IQ_BOND_PRICE", $L99))),NA(),_xll.ciqfunctions.udf.CIQ(W$3, "IQ_BOND_PRICE", $L99)),"")</f>
        <v>110.61199999999999</v>
      </c>
      <c r="X99" s="424">
        <f>IF(AND($L99&lt;&gt;"",X$3&lt;&gt;""),IF(NOT(ISNUMBER(_xll.ciqfunctions.udf.CIQ(X$3, "IQ_BOND_PRICE", $L99))),NA(),_xll.ciqfunctions.udf.CIQ(X$3, "IQ_BOND_PRICE", $L99)),"")</f>
        <v>112.366</v>
      </c>
      <c r="Y99" s="424">
        <f>IF(AND($L99&lt;&gt;"",Y$3&lt;&gt;""),IF(NOT(ISNUMBER(_xll.ciqfunctions.udf.CIQ(Y$3, "IQ_BOND_PRICE", $L99))),NA(),_xll.ciqfunctions.udf.CIQ(Y$3, "IQ_BOND_PRICE", $L99)),"")</f>
        <v>110.04900000000001</v>
      </c>
      <c r="Z99" s="424">
        <f>IF(AND($L99&lt;&gt;"",Z$3&lt;&gt;""),IF(NOT(ISNUMBER(_xll.ciqfunctions.udf.CIQ(Z$3, "IQ_BOND_PRICE", $L99))),NA(),_xll.ciqfunctions.udf.CIQ(Z$3, "IQ_BOND_PRICE", $L99)),"")</f>
        <v>0</v>
      </c>
      <c r="CZ99" s="426"/>
    </row>
    <row r="100" spans="12:104" x14ac:dyDescent="0.2">
      <c r="L100" s="425">
        <f t="shared" si="1"/>
        <v>44412</v>
      </c>
      <c r="M100" s="424">
        <f>IF(AND($L100&lt;&gt;"",M$3&lt;&gt;""),IF(NOT(ISNUMBER(_xll.ciqfunctions.udf.CIQ(M$3, "IQ_BOND_PRICE", $L100))),NA(),_xll.ciqfunctions.udf.CIQ(M$3, "IQ_BOND_PRICE", $L100)),"")</f>
        <v>101.012</v>
      </c>
      <c r="N100" s="424">
        <f>IF(AND($L100&lt;&gt;"",N$3&lt;&gt;""),IF(NOT(ISNUMBER(_xll.ciqfunctions.udf.CIQ(N$3, "IQ_BOND_PRICE", $L100))),NA(),_xll.ciqfunctions.udf.CIQ(N$3, "IQ_BOND_PRICE", $L100)),"")</f>
        <v>0</v>
      </c>
      <c r="O100" s="424">
        <f>IF(AND($L100&lt;&gt;"",O$3&lt;&gt;""),IF(NOT(ISNUMBER(_xll.ciqfunctions.udf.CIQ(O$3, "IQ_BOND_PRICE", $L100))),NA(),_xll.ciqfunctions.udf.CIQ(O$3, "IQ_BOND_PRICE", $L100)),"")</f>
        <v>102.75</v>
      </c>
      <c r="P100" s="424">
        <f>IF(AND($L100&lt;&gt;"",P$3&lt;&gt;""),IF(NOT(ISNUMBER(_xll.ciqfunctions.udf.CIQ(P$3, "IQ_BOND_PRICE", $L100))),NA(),_xll.ciqfunctions.udf.CIQ(P$3, "IQ_BOND_PRICE", $L100)),"")</f>
        <v>103.53076</v>
      </c>
      <c r="Q100" s="424">
        <f>IF(AND($L100&lt;&gt;"",Q$3&lt;&gt;""),IF(NOT(ISNUMBER(_xll.ciqfunctions.udf.CIQ(Q$3, "IQ_BOND_PRICE", $L100))),NA(),_xll.ciqfunctions.udf.CIQ(Q$3, "IQ_BOND_PRICE", $L100)),"")</f>
        <v>105.61199999999999</v>
      </c>
      <c r="R100" s="424">
        <f>IF(AND($L100&lt;&gt;"",R$3&lt;&gt;""),IF(NOT(ISNUMBER(_xll.ciqfunctions.udf.CIQ(R$3, "IQ_BOND_PRICE", $L100))),NA(),_xll.ciqfunctions.udf.CIQ(R$3, "IQ_BOND_PRICE", $L100)),"")</f>
        <v>113.456</v>
      </c>
      <c r="S100" s="424">
        <f>IF(AND($L100&lt;&gt;"",S$3&lt;&gt;""),IF(NOT(ISNUMBER(_xll.ciqfunctions.udf.CIQ(S$3, "IQ_BOND_PRICE", $L100))),NA(),_xll.ciqfunctions.udf.CIQ(S$3, "IQ_BOND_PRICE", $L100)),"")</f>
        <v>107.003</v>
      </c>
      <c r="T100" s="424">
        <f>IF(AND($L100&lt;&gt;"",T$3&lt;&gt;""),IF(NOT(ISNUMBER(_xll.ciqfunctions.udf.CIQ(T$3, "IQ_BOND_PRICE", $L100))),NA(),_xll.ciqfunctions.udf.CIQ(T$3, "IQ_BOND_PRICE", $L100)),"")</f>
        <v>106.771</v>
      </c>
      <c r="U100" s="424">
        <f>IF(AND($L100&lt;&gt;"",U$3&lt;&gt;""),IF(NOT(ISNUMBER(_xll.ciqfunctions.udf.CIQ(U$3, "IQ_BOND_PRICE", $L100))),NA(),_xll.ciqfunctions.udf.CIQ(U$3, "IQ_BOND_PRICE", $L100)),"")</f>
        <v>99.942920000000001</v>
      </c>
      <c r="V100" s="424">
        <f>IF(AND($L100&lt;&gt;"",V$3&lt;&gt;""),IF(NOT(ISNUMBER(_xll.ciqfunctions.udf.CIQ(V$3, "IQ_BOND_PRICE", $L100))),NA(),_xll.ciqfunctions.udf.CIQ(V$3, "IQ_BOND_PRICE", $L100)),"")</f>
        <v>106.83920000000001</v>
      </c>
      <c r="W100" s="424">
        <f>IF(AND($L100&lt;&gt;"",W$3&lt;&gt;""),IF(NOT(ISNUMBER(_xll.ciqfunctions.udf.CIQ(W$3, "IQ_BOND_PRICE", $L100))),NA(),_xll.ciqfunctions.udf.CIQ(W$3, "IQ_BOND_PRICE", $L100)),"")</f>
        <v>110.511</v>
      </c>
      <c r="X100" s="424">
        <f>IF(AND($L100&lt;&gt;"",X$3&lt;&gt;""),IF(NOT(ISNUMBER(_xll.ciqfunctions.udf.CIQ(X$3, "IQ_BOND_PRICE", $L100))),NA(),_xll.ciqfunctions.udf.CIQ(X$3, "IQ_BOND_PRICE", $L100)),"")</f>
        <v>112.37</v>
      </c>
      <c r="Y100" s="424">
        <f>IF(AND($L100&lt;&gt;"",Y$3&lt;&gt;""),IF(NOT(ISNUMBER(_xll.ciqfunctions.udf.CIQ(Y$3, "IQ_BOND_PRICE", $L100))),NA(),_xll.ciqfunctions.udf.CIQ(Y$3, "IQ_BOND_PRICE", $L100)),"")</f>
        <v>110.11199999999999</v>
      </c>
      <c r="Z100" s="424">
        <f>IF(AND($L100&lt;&gt;"",Z$3&lt;&gt;""),IF(NOT(ISNUMBER(_xll.ciqfunctions.udf.CIQ(Z$3, "IQ_BOND_PRICE", $L100))),NA(),_xll.ciqfunctions.udf.CIQ(Z$3, "IQ_BOND_PRICE", $L100)),"")</f>
        <v>0</v>
      </c>
      <c r="CZ100" s="426"/>
    </row>
    <row r="101" spans="12:104" x14ac:dyDescent="0.2">
      <c r="L101" s="425">
        <f t="shared" si="1"/>
        <v>44413</v>
      </c>
      <c r="M101" s="424">
        <f>IF(AND($L101&lt;&gt;"",M$3&lt;&gt;""),IF(NOT(ISNUMBER(_xll.ciqfunctions.udf.CIQ(M$3, "IQ_BOND_PRICE", $L101))),NA(),_xll.ciqfunctions.udf.CIQ(M$3, "IQ_BOND_PRICE", $L101)),"")</f>
        <v>101.001</v>
      </c>
      <c r="N101" s="424">
        <f>IF(AND($L101&lt;&gt;"",N$3&lt;&gt;""),IF(NOT(ISNUMBER(_xll.ciqfunctions.udf.CIQ(N$3, "IQ_BOND_PRICE", $L101))),NA(),_xll.ciqfunctions.udf.CIQ(N$3, "IQ_BOND_PRICE", $L101)),"")</f>
        <v>0</v>
      </c>
      <c r="O101" s="424">
        <f>IF(AND($L101&lt;&gt;"",O$3&lt;&gt;""),IF(NOT(ISNUMBER(_xll.ciqfunctions.udf.CIQ(O$3, "IQ_BOND_PRICE", $L101))),NA(),_xll.ciqfunctions.udf.CIQ(O$3, "IQ_BOND_PRICE", $L101)),"")</f>
        <v>102.70903</v>
      </c>
      <c r="P101" s="424">
        <f>IF(AND($L101&lt;&gt;"",P$3&lt;&gt;""),IF(NOT(ISNUMBER(_xll.ciqfunctions.udf.CIQ(P$3, "IQ_BOND_PRICE", $L101))),NA(),_xll.ciqfunctions.udf.CIQ(P$3, "IQ_BOND_PRICE", $L101)),"")</f>
        <v>103.52032</v>
      </c>
      <c r="Q101" s="424">
        <f>IF(AND($L101&lt;&gt;"",Q$3&lt;&gt;""),IF(NOT(ISNUMBER(_xll.ciqfunctions.udf.CIQ(Q$3, "IQ_BOND_PRICE", $L101))),NA(),_xll.ciqfunctions.udf.CIQ(Q$3, "IQ_BOND_PRICE", $L101)),"")</f>
        <v>105.593</v>
      </c>
      <c r="R101" s="424">
        <f>IF(AND($L101&lt;&gt;"",R$3&lt;&gt;""),IF(NOT(ISNUMBER(_xll.ciqfunctions.udf.CIQ(R$3, "IQ_BOND_PRICE", $L101))),NA(),_xll.ciqfunctions.udf.CIQ(R$3, "IQ_BOND_PRICE", $L101)),"")</f>
        <v>113.348</v>
      </c>
      <c r="S101" s="424">
        <f>IF(AND($L101&lt;&gt;"",S$3&lt;&gt;""),IF(NOT(ISNUMBER(_xll.ciqfunctions.udf.CIQ(S$3, "IQ_BOND_PRICE", $L101))),NA(),_xll.ciqfunctions.udf.CIQ(S$3, "IQ_BOND_PRICE", $L101)),"")</f>
        <v>106.89100000000001</v>
      </c>
      <c r="T101" s="424">
        <f>IF(AND($L101&lt;&gt;"",T$3&lt;&gt;""),IF(NOT(ISNUMBER(_xll.ciqfunctions.udf.CIQ(T$3, "IQ_BOND_PRICE", $L101))),NA(),_xll.ciqfunctions.udf.CIQ(T$3, "IQ_BOND_PRICE", $L101)),"")</f>
        <v>106.679</v>
      </c>
      <c r="U101" s="424">
        <f>IF(AND($L101&lt;&gt;"",U$3&lt;&gt;""),IF(NOT(ISNUMBER(_xll.ciqfunctions.udf.CIQ(U$3, "IQ_BOND_PRICE", $L101))),NA(),_xll.ciqfunctions.udf.CIQ(U$3, "IQ_BOND_PRICE", $L101)),"")</f>
        <v>99.939710000000005</v>
      </c>
      <c r="V101" s="424">
        <f>IF(AND($L101&lt;&gt;"",V$3&lt;&gt;""),IF(NOT(ISNUMBER(_xll.ciqfunctions.udf.CIQ(V$3, "IQ_BOND_PRICE", $L101))),NA(),_xll.ciqfunctions.udf.CIQ(V$3, "IQ_BOND_PRICE", $L101)),"")</f>
        <v>106.67024000000001</v>
      </c>
      <c r="W101" s="424">
        <f>IF(AND($L101&lt;&gt;"",W$3&lt;&gt;""),IF(NOT(ISNUMBER(_xll.ciqfunctions.udf.CIQ(W$3, "IQ_BOND_PRICE", $L101))),NA(),_xll.ciqfunctions.udf.CIQ(W$3, "IQ_BOND_PRICE", $L101)),"")</f>
        <v>110.43</v>
      </c>
      <c r="X101" s="424">
        <f>IF(AND($L101&lt;&gt;"",X$3&lt;&gt;""),IF(NOT(ISNUMBER(_xll.ciqfunctions.udf.CIQ(X$3, "IQ_BOND_PRICE", $L101))),NA(),_xll.ciqfunctions.udf.CIQ(X$3, "IQ_BOND_PRICE", $L101)),"")</f>
        <v>112.37</v>
      </c>
      <c r="Y101" s="424">
        <f>IF(AND($L101&lt;&gt;"",Y$3&lt;&gt;""),IF(NOT(ISNUMBER(_xll.ciqfunctions.udf.CIQ(Y$3, "IQ_BOND_PRICE", $L101))),NA(),_xll.ciqfunctions.udf.CIQ(Y$3, "IQ_BOND_PRICE", $L101)),"")</f>
        <v>109.741</v>
      </c>
      <c r="Z101" s="424">
        <f>IF(AND($L101&lt;&gt;"",Z$3&lt;&gt;""),IF(NOT(ISNUMBER(_xll.ciqfunctions.udf.CIQ(Z$3, "IQ_BOND_PRICE", $L101))),NA(),_xll.ciqfunctions.udf.CIQ(Z$3, "IQ_BOND_PRICE", $L101)),"")</f>
        <v>0</v>
      </c>
      <c r="CZ101" s="426"/>
    </row>
    <row r="102" spans="12:104" x14ac:dyDescent="0.2">
      <c r="L102" s="425">
        <f t="shared" si="1"/>
        <v>44414</v>
      </c>
      <c r="M102" s="424">
        <f>IF(AND($L102&lt;&gt;"",M$3&lt;&gt;""),IF(NOT(ISNUMBER(_xll.ciqfunctions.udf.CIQ(M$3, "IQ_BOND_PRICE", $L102))),NA(),_xll.ciqfunctions.udf.CIQ(M$3, "IQ_BOND_PRICE", $L102)),"")</f>
        <v>100.97799999999999</v>
      </c>
      <c r="N102" s="424">
        <f>IF(AND($L102&lt;&gt;"",N$3&lt;&gt;""),IF(NOT(ISNUMBER(_xll.ciqfunctions.udf.CIQ(N$3, "IQ_BOND_PRICE", $L102))),NA(),_xll.ciqfunctions.udf.CIQ(N$3, "IQ_BOND_PRICE", $L102)),"")</f>
        <v>0</v>
      </c>
      <c r="O102" s="424">
        <f>IF(AND($L102&lt;&gt;"",O$3&lt;&gt;""),IF(NOT(ISNUMBER(_xll.ciqfunctions.udf.CIQ(O$3, "IQ_BOND_PRICE", $L102))),NA(),_xll.ciqfunctions.udf.CIQ(O$3, "IQ_BOND_PRICE", $L102)),"")</f>
        <v>102.68255000000001</v>
      </c>
      <c r="P102" s="424">
        <f>IF(AND($L102&lt;&gt;"",P$3&lt;&gt;""),IF(NOT(ISNUMBER(_xll.ciqfunctions.udf.CIQ(P$3, "IQ_BOND_PRICE", $L102))),NA(),_xll.ciqfunctions.udf.CIQ(P$3, "IQ_BOND_PRICE", $L102)),"")</f>
        <v>103.36100999999999</v>
      </c>
      <c r="Q102" s="424">
        <f>IF(AND($L102&lt;&gt;"",Q$3&lt;&gt;""),IF(NOT(ISNUMBER(_xll.ciqfunctions.udf.CIQ(Q$3, "IQ_BOND_PRICE", $L102))),NA(),_xll.ciqfunctions.udf.CIQ(Q$3, "IQ_BOND_PRICE", $L102)),"")</f>
        <v>105.443</v>
      </c>
      <c r="R102" s="424">
        <f>IF(AND($L102&lt;&gt;"",R$3&lt;&gt;""),IF(NOT(ISNUMBER(_xll.ciqfunctions.udf.CIQ(R$3, "IQ_BOND_PRICE", $L102))),NA(),_xll.ciqfunctions.udf.CIQ(R$3, "IQ_BOND_PRICE", $L102)),"")</f>
        <v>113.306</v>
      </c>
      <c r="S102" s="424">
        <f>IF(AND($L102&lt;&gt;"",S$3&lt;&gt;""),IF(NOT(ISNUMBER(_xll.ciqfunctions.udf.CIQ(S$3, "IQ_BOND_PRICE", $L102))),NA(),_xll.ciqfunctions.udf.CIQ(S$3, "IQ_BOND_PRICE", $L102)),"")</f>
        <v>106.809</v>
      </c>
      <c r="T102" s="424">
        <f>IF(AND($L102&lt;&gt;"",T$3&lt;&gt;""),IF(NOT(ISNUMBER(_xll.ciqfunctions.udf.CIQ(T$3, "IQ_BOND_PRICE", $L102))),NA(),_xll.ciqfunctions.udf.CIQ(T$3, "IQ_BOND_PRICE", $L102)),"")</f>
        <v>106.563</v>
      </c>
      <c r="U102" s="424">
        <f>IF(AND($L102&lt;&gt;"",U$3&lt;&gt;""),IF(NOT(ISNUMBER(_xll.ciqfunctions.udf.CIQ(U$3, "IQ_BOND_PRICE", $L102))),NA(),_xll.ciqfunctions.udf.CIQ(U$3, "IQ_BOND_PRICE", $L102)),"")</f>
        <v>99.951830000000001</v>
      </c>
      <c r="V102" s="424">
        <f>IF(AND($L102&lt;&gt;"",V$3&lt;&gt;""),IF(NOT(ISNUMBER(_xll.ciqfunctions.udf.CIQ(V$3, "IQ_BOND_PRICE", $L102))),NA(),_xll.ciqfunctions.udf.CIQ(V$3, "IQ_BOND_PRICE", $L102)),"")</f>
        <v>106.44694</v>
      </c>
      <c r="W102" s="424">
        <f>IF(AND($L102&lt;&gt;"",W$3&lt;&gt;""),IF(NOT(ISNUMBER(_xll.ciqfunctions.udf.CIQ(W$3, "IQ_BOND_PRICE", $L102))),NA(),_xll.ciqfunctions.udf.CIQ(W$3, "IQ_BOND_PRICE", $L102)),"")</f>
        <v>110.241</v>
      </c>
      <c r="X102" s="424">
        <f>IF(AND($L102&lt;&gt;"",X$3&lt;&gt;""),IF(NOT(ISNUMBER(_xll.ciqfunctions.udf.CIQ(X$3, "IQ_BOND_PRICE", $L102))),NA(),_xll.ciqfunctions.udf.CIQ(X$3, "IQ_BOND_PRICE", $L102)),"")</f>
        <v>112.26</v>
      </c>
      <c r="Y102" s="424">
        <f>IF(AND($L102&lt;&gt;"",Y$3&lt;&gt;""),IF(NOT(ISNUMBER(_xll.ciqfunctions.udf.CIQ(Y$3, "IQ_BOND_PRICE", $L102))),NA(),_xll.ciqfunctions.udf.CIQ(Y$3, "IQ_BOND_PRICE", $L102)),"")</f>
        <v>109.61799999999999</v>
      </c>
      <c r="Z102" s="424">
        <f>IF(AND($L102&lt;&gt;"",Z$3&lt;&gt;""),IF(NOT(ISNUMBER(_xll.ciqfunctions.udf.CIQ(Z$3, "IQ_BOND_PRICE", $L102))),NA(),_xll.ciqfunctions.udf.CIQ(Z$3, "IQ_BOND_PRICE", $L102)),"")</f>
        <v>0</v>
      </c>
      <c r="CZ102" s="426"/>
    </row>
    <row r="103" spans="12:104" x14ac:dyDescent="0.2">
      <c r="L103" s="425">
        <f t="shared" si="1"/>
        <v>44417</v>
      </c>
      <c r="M103" s="424">
        <f>IF(AND($L103&lt;&gt;"",M$3&lt;&gt;""),IF(NOT(ISNUMBER(_xll.ciqfunctions.udf.CIQ(M$3, "IQ_BOND_PRICE", $L103))),NA(),_xll.ciqfunctions.udf.CIQ(M$3, "IQ_BOND_PRICE", $L103)),"")</f>
        <v>100.97199999999999</v>
      </c>
      <c r="N103" s="424">
        <f>IF(AND($L103&lt;&gt;"",N$3&lt;&gt;""),IF(NOT(ISNUMBER(_xll.ciqfunctions.udf.CIQ(N$3, "IQ_BOND_PRICE", $L103))),NA(),_xll.ciqfunctions.udf.CIQ(N$3, "IQ_BOND_PRICE", $L103)),"")</f>
        <v>0</v>
      </c>
      <c r="O103" s="424">
        <f>IF(AND($L103&lt;&gt;"",O$3&lt;&gt;""),IF(NOT(ISNUMBER(_xll.ciqfunctions.udf.CIQ(O$3, "IQ_BOND_PRICE", $L103))),NA(),_xll.ciqfunctions.udf.CIQ(O$3, "IQ_BOND_PRICE", $L103)),"")</f>
        <v>102.66632</v>
      </c>
      <c r="P103" s="424">
        <f>IF(AND($L103&lt;&gt;"",P$3&lt;&gt;""),IF(NOT(ISNUMBER(_xll.ciqfunctions.udf.CIQ(P$3, "IQ_BOND_PRICE", $L103))),NA(),_xll.ciqfunctions.udf.CIQ(P$3, "IQ_BOND_PRICE", $L103)),"")</f>
        <v>103.30698</v>
      </c>
      <c r="Q103" s="424">
        <f>IF(AND($L103&lt;&gt;"",Q$3&lt;&gt;""),IF(NOT(ISNUMBER(_xll.ciqfunctions.udf.CIQ(Q$3, "IQ_BOND_PRICE", $L103))),NA(),_xll.ciqfunctions.udf.CIQ(Q$3, "IQ_BOND_PRICE", $L103)),"")</f>
        <v>105.532</v>
      </c>
      <c r="R103" s="424">
        <f>IF(AND($L103&lt;&gt;"",R$3&lt;&gt;""),IF(NOT(ISNUMBER(_xll.ciqfunctions.udf.CIQ(R$3, "IQ_BOND_PRICE", $L103))),NA(),_xll.ciqfunctions.udf.CIQ(R$3, "IQ_BOND_PRICE", $L103)),"")</f>
        <v>113.23099999999999</v>
      </c>
      <c r="S103" s="424">
        <f>IF(AND($L103&lt;&gt;"",S$3&lt;&gt;""),IF(NOT(ISNUMBER(_xll.ciqfunctions.udf.CIQ(S$3, "IQ_BOND_PRICE", $L103))),NA(),_xll.ciqfunctions.udf.CIQ(S$3, "IQ_BOND_PRICE", $L103)),"")</f>
        <v>106.827</v>
      </c>
      <c r="T103" s="424">
        <f>IF(AND($L103&lt;&gt;"",T$3&lt;&gt;""),IF(NOT(ISNUMBER(_xll.ciqfunctions.udf.CIQ(T$3, "IQ_BOND_PRICE", $L103))),NA(),_xll.ciqfunctions.udf.CIQ(T$3, "IQ_BOND_PRICE", $L103)),"")</f>
        <v>106.502</v>
      </c>
      <c r="U103" s="424">
        <f>IF(AND($L103&lt;&gt;"",U$3&lt;&gt;""),IF(NOT(ISNUMBER(_xll.ciqfunctions.udf.CIQ(U$3, "IQ_BOND_PRICE", $L103))),NA(),_xll.ciqfunctions.udf.CIQ(U$3, "IQ_BOND_PRICE", $L103)),"")</f>
        <v>99.926000000000002</v>
      </c>
      <c r="V103" s="424">
        <f>IF(AND($L103&lt;&gt;"",V$3&lt;&gt;""),IF(NOT(ISNUMBER(_xll.ciqfunctions.udf.CIQ(V$3, "IQ_BOND_PRICE", $L103))),NA(),_xll.ciqfunctions.udf.CIQ(V$3, "IQ_BOND_PRICE", $L103)),"")</f>
        <v>106.43168</v>
      </c>
      <c r="W103" s="424">
        <f>IF(AND($L103&lt;&gt;"",W$3&lt;&gt;""),IF(NOT(ISNUMBER(_xll.ciqfunctions.udf.CIQ(W$3, "IQ_BOND_PRICE", $L103))),NA(),_xll.ciqfunctions.udf.CIQ(W$3, "IQ_BOND_PRICE", $L103)),"")</f>
        <v>110.134</v>
      </c>
      <c r="X103" s="424">
        <f>IF(AND($L103&lt;&gt;"",X$3&lt;&gt;""),IF(NOT(ISNUMBER(_xll.ciqfunctions.udf.CIQ(X$3, "IQ_BOND_PRICE", $L103))),NA(),_xll.ciqfunctions.udf.CIQ(X$3, "IQ_BOND_PRICE", $L103)),"")</f>
        <v>112.21899999999999</v>
      </c>
      <c r="Y103" s="424">
        <f>IF(AND($L103&lt;&gt;"",Y$3&lt;&gt;""),IF(NOT(ISNUMBER(_xll.ciqfunctions.udf.CIQ(Y$3, "IQ_BOND_PRICE", $L103))),NA(),_xll.ciqfunctions.udf.CIQ(Y$3, "IQ_BOND_PRICE", $L103)),"")</f>
        <v>109.486</v>
      </c>
      <c r="Z103" s="424">
        <f>IF(AND($L103&lt;&gt;"",Z$3&lt;&gt;""),IF(NOT(ISNUMBER(_xll.ciqfunctions.udf.CIQ(Z$3, "IQ_BOND_PRICE", $L103))),NA(),_xll.ciqfunctions.udf.CIQ(Z$3, "IQ_BOND_PRICE", $L103)),"")</f>
        <v>0</v>
      </c>
      <c r="CZ103" s="426"/>
    </row>
    <row r="104" spans="12:104" x14ac:dyDescent="0.2">
      <c r="L104" s="425">
        <f t="shared" si="1"/>
        <v>44418</v>
      </c>
      <c r="M104" s="424">
        <f>IF(AND($L104&lt;&gt;"",M$3&lt;&gt;""),IF(NOT(ISNUMBER(_xll.ciqfunctions.udf.CIQ(M$3, "IQ_BOND_PRICE", $L104))),NA(),_xll.ciqfunctions.udf.CIQ(M$3, "IQ_BOND_PRICE", $L104)),"")</f>
        <v>100.965</v>
      </c>
      <c r="N104" s="424">
        <f>IF(AND($L104&lt;&gt;"",N$3&lt;&gt;""),IF(NOT(ISNUMBER(_xll.ciqfunctions.udf.CIQ(N$3, "IQ_BOND_PRICE", $L104))),NA(),_xll.ciqfunctions.udf.CIQ(N$3, "IQ_BOND_PRICE", $L104)),"")</f>
        <v>0</v>
      </c>
      <c r="O104" s="424">
        <f>IF(AND($L104&lt;&gt;"",O$3&lt;&gt;""),IF(NOT(ISNUMBER(_xll.ciqfunctions.udf.CIQ(O$3, "IQ_BOND_PRICE", $L104))),NA(),_xll.ciqfunctions.udf.CIQ(O$3, "IQ_BOND_PRICE", $L104)),"")</f>
        <v>102.63745</v>
      </c>
      <c r="P104" s="424">
        <f>IF(AND($L104&lt;&gt;"",P$3&lt;&gt;""),IF(NOT(ISNUMBER(_xll.ciqfunctions.udf.CIQ(P$3, "IQ_BOND_PRICE", $L104))),NA(),_xll.ciqfunctions.udf.CIQ(P$3, "IQ_BOND_PRICE", $L104)),"")</f>
        <v>103.39623</v>
      </c>
      <c r="Q104" s="424">
        <f>IF(AND($L104&lt;&gt;"",Q$3&lt;&gt;""),IF(NOT(ISNUMBER(_xll.ciqfunctions.udf.CIQ(Q$3, "IQ_BOND_PRICE", $L104))),NA(),_xll.ciqfunctions.udf.CIQ(Q$3, "IQ_BOND_PRICE", $L104)),"")</f>
        <v>105.494</v>
      </c>
      <c r="R104" s="424">
        <f>IF(AND($L104&lt;&gt;"",R$3&lt;&gt;""),IF(NOT(ISNUMBER(_xll.ciqfunctions.udf.CIQ(R$3, "IQ_BOND_PRICE", $L104))),NA(),_xll.ciqfunctions.udf.CIQ(R$3, "IQ_BOND_PRICE", $L104)),"")</f>
        <v>113.2</v>
      </c>
      <c r="S104" s="424">
        <f>IF(AND($L104&lt;&gt;"",S$3&lt;&gt;""),IF(NOT(ISNUMBER(_xll.ciqfunctions.udf.CIQ(S$3, "IQ_BOND_PRICE", $L104))),NA(),_xll.ciqfunctions.udf.CIQ(S$3, "IQ_BOND_PRICE", $L104)),"")</f>
        <v>106.75</v>
      </c>
      <c r="T104" s="424">
        <f>IF(AND($L104&lt;&gt;"",T$3&lt;&gt;""),IF(NOT(ISNUMBER(_xll.ciqfunctions.udf.CIQ(T$3, "IQ_BOND_PRICE", $L104))),NA(),_xll.ciqfunctions.udf.CIQ(T$3, "IQ_BOND_PRICE", $L104)),"")</f>
        <v>106.467</v>
      </c>
      <c r="U104" s="424">
        <f>IF(AND($L104&lt;&gt;"",U$3&lt;&gt;""),IF(NOT(ISNUMBER(_xll.ciqfunctions.udf.CIQ(U$3, "IQ_BOND_PRICE", $L104))),NA(),_xll.ciqfunctions.udf.CIQ(U$3, "IQ_BOND_PRICE", $L104)),"")</f>
        <v>99.928460000000001</v>
      </c>
      <c r="V104" s="424">
        <f>IF(AND($L104&lt;&gt;"",V$3&lt;&gt;""),IF(NOT(ISNUMBER(_xll.ciqfunctions.udf.CIQ(V$3, "IQ_BOND_PRICE", $L104))),NA(),_xll.ciqfunctions.udf.CIQ(V$3, "IQ_BOND_PRICE", $L104)),"")</f>
        <v>106.42045</v>
      </c>
      <c r="W104" s="424">
        <f>IF(AND($L104&lt;&gt;"",W$3&lt;&gt;""),IF(NOT(ISNUMBER(_xll.ciqfunctions.udf.CIQ(W$3, "IQ_BOND_PRICE", $L104))),NA(),_xll.ciqfunctions.udf.CIQ(W$3, "IQ_BOND_PRICE", $L104)),"")</f>
        <v>110.008</v>
      </c>
      <c r="X104" s="424">
        <f>IF(AND($L104&lt;&gt;"",X$3&lt;&gt;""),IF(NOT(ISNUMBER(_xll.ciqfunctions.udf.CIQ(X$3, "IQ_BOND_PRICE", $L104))),NA(),_xll.ciqfunctions.udf.CIQ(X$3, "IQ_BOND_PRICE", $L104)),"")</f>
        <v>112.188</v>
      </c>
      <c r="Y104" s="424">
        <f>IF(AND($L104&lt;&gt;"",Y$3&lt;&gt;""),IF(NOT(ISNUMBER(_xll.ciqfunctions.udf.CIQ(Y$3, "IQ_BOND_PRICE", $L104))),NA(),_xll.ciqfunctions.udf.CIQ(Y$3, "IQ_BOND_PRICE", $L104)),"")</f>
        <v>109.43600000000001</v>
      </c>
      <c r="Z104" s="424">
        <f>IF(AND($L104&lt;&gt;"",Z$3&lt;&gt;""),IF(NOT(ISNUMBER(_xll.ciqfunctions.udf.CIQ(Z$3, "IQ_BOND_PRICE", $L104))),NA(),_xll.ciqfunctions.udf.CIQ(Z$3, "IQ_BOND_PRICE", $L104)),"")</f>
        <v>0</v>
      </c>
      <c r="CZ104" s="426"/>
    </row>
    <row r="105" spans="12:104" x14ac:dyDescent="0.2">
      <c r="L105" s="425">
        <f t="shared" si="1"/>
        <v>44419</v>
      </c>
      <c r="M105" s="424">
        <f>IF(AND($L105&lt;&gt;"",M$3&lt;&gt;""),IF(NOT(ISNUMBER(_xll.ciqfunctions.udf.CIQ(M$3, "IQ_BOND_PRICE", $L105))),NA(),_xll.ciqfunctions.udf.CIQ(M$3, "IQ_BOND_PRICE", $L105)),"")</f>
        <v>100.959</v>
      </c>
      <c r="N105" s="424">
        <f>IF(AND($L105&lt;&gt;"",N$3&lt;&gt;""),IF(NOT(ISNUMBER(_xll.ciqfunctions.udf.CIQ(N$3, "IQ_BOND_PRICE", $L105))),NA(),_xll.ciqfunctions.udf.CIQ(N$3, "IQ_BOND_PRICE", $L105)),"")</f>
        <v>0</v>
      </c>
      <c r="O105" s="424">
        <f>IF(AND($L105&lt;&gt;"",O$3&lt;&gt;""),IF(NOT(ISNUMBER(_xll.ciqfunctions.udf.CIQ(O$3, "IQ_BOND_PRICE", $L105))),NA(),_xll.ciqfunctions.udf.CIQ(O$3, "IQ_BOND_PRICE", $L105)),"")</f>
        <v>102.65434</v>
      </c>
      <c r="P105" s="424">
        <f>IF(AND($L105&lt;&gt;"",P$3&lt;&gt;""),IF(NOT(ISNUMBER(_xll.ciqfunctions.udf.CIQ(P$3, "IQ_BOND_PRICE", $L105))),NA(),_xll.ciqfunctions.udf.CIQ(P$3, "IQ_BOND_PRICE", $L105)),"")</f>
        <v>103.30886</v>
      </c>
      <c r="Q105" s="424">
        <f>IF(AND($L105&lt;&gt;"",Q$3&lt;&gt;""),IF(NOT(ISNUMBER(_xll.ciqfunctions.udf.CIQ(Q$3, "IQ_BOND_PRICE", $L105))),NA(),_xll.ciqfunctions.udf.CIQ(Q$3, "IQ_BOND_PRICE", $L105)),"")</f>
        <v>105.589</v>
      </c>
      <c r="R105" s="424">
        <f>IF(AND($L105&lt;&gt;"",R$3&lt;&gt;""),IF(NOT(ISNUMBER(_xll.ciqfunctions.udf.CIQ(R$3, "IQ_BOND_PRICE", $L105))),NA(),_xll.ciqfunctions.udf.CIQ(R$3, "IQ_BOND_PRICE", $L105)),"")</f>
        <v>113.212</v>
      </c>
      <c r="S105" s="424">
        <f>IF(AND($L105&lt;&gt;"",S$3&lt;&gt;""),IF(NOT(ISNUMBER(_xll.ciqfunctions.udf.CIQ(S$3, "IQ_BOND_PRICE", $L105))),NA(),_xll.ciqfunctions.udf.CIQ(S$3, "IQ_BOND_PRICE", $L105)),"")</f>
        <v>106.79600000000001</v>
      </c>
      <c r="T105" s="424">
        <f>IF(AND($L105&lt;&gt;"",T$3&lt;&gt;""),IF(NOT(ISNUMBER(_xll.ciqfunctions.udf.CIQ(T$3, "IQ_BOND_PRICE", $L105))),NA(),_xll.ciqfunctions.udf.CIQ(T$3, "IQ_BOND_PRICE", $L105)),"")</f>
        <v>106.523</v>
      </c>
      <c r="U105" s="424">
        <f>IF(AND($L105&lt;&gt;"",U$3&lt;&gt;""),IF(NOT(ISNUMBER(_xll.ciqfunctions.udf.CIQ(U$3, "IQ_BOND_PRICE", $L105))),NA(),_xll.ciqfunctions.udf.CIQ(U$3, "IQ_BOND_PRICE", $L105)),"")</f>
        <v>99.907889999999995</v>
      </c>
      <c r="V105" s="424">
        <f>IF(AND($L105&lt;&gt;"",V$3&lt;&gt;""),IF(NOT(ISNUMBER(_xll.ciqfunctions.udf.CIQ(V$3, "IQ_BOND_PRICE", $L105))),NA(),_xll.ciqfunctions.udf.CIQ(V$3, "IQ_BOND_PRICE", $L105)),"")</f>
        <v>106.48484999999999</v>
      </c>
      <c r="W105" s="424">
        <f>IF(AND($L105&lt;&gt;"",W$3&lt;&gt;""),IF(NOT(ISNUMBER(_xll.ciqfunctions.udf.CIQ(W$3, "IQ_BOND_PRICE", $L105))),NA(),_xll.ciqfunctions.udf.CIQ(W$3, "IQ_BOND_PRICE", $L105)),"")</f>
        <v>110.04300000000001</v>
      </c>
      <c r="X105" s="424">
        <f>IF(AND($L105&lt;&gt;"",X$3&lt;&gt;""),IF(NOT(ISNUMBER(_xll.ciqfunctions.udf.CIQ(X$3, "IQ_BOND_PRICE", $L105))),NA(),_xll.ciqfunctions.udf.CIQ(X$3, "IQ_BOND_PRICE", $L105)),"")</f>
        <v>112.172</v>
      </c>
      <c r="Y105" s="424">
        <f>IF(AND($L105&lt;&gt;"",Y$3&lt;&gt;""),IF(NOT(ISNUMBER(_xll.ciqfunctions.udf.CIQ(Y$3, "IQ_BOND_PRICE", $L105))),NA(),_xll.ciqfunctions.udf.CIQ(Y$3, "IQ_BOND_PRICE", $L105)),"")</f>
        <v>109.286</v>
      </c>
      <c r="Z105" s="424">
        <f>IF(AND($L105&lt;&gt;"",Z$3&lt;&gt;""),IF(NOT(ISNUMBER(_xll.ciqfunctions.udf.CIQ(Z$3, "IQ_BOND_PRICE", $L105))),NA(),_xll.ciqfunctions.udf.CIQ(Z$3, "IQ_BOND_PRICE", $L105)),"")</f>
        <v>0</v>
      </c>
      <c r="CZ105" s="426"/>
    </row>
    <row r="106" spans="12:104" x14ac:dyDescent="0.2">
      <c r="L106" s="425">
        <f t="shared" si="1"/>
        <v>44420</v>
      </c>
      <c r="M106" s="424">
        <f>IF(AND($L106&lt;&gt;"",M$3&lt;&gt;""),IF(NOT(ISNUMBER(_xll.ciqfunctions.udf.CIQ(M$3, "IQ_BOND_PRICE", $L106))),NA(),_xll.ciqfunctions.udf.CIQ(M$3, "IQ_BOND_PRICE", $L106)),"")</f>
        <v>100.944</v>
      </c>
      <c r="N106" s="424">
        <f>IF(AND($L106&lt;&gt;"",N$3&lt;&gt;""),IF(NOT(ISNUMBER(_xll.ciqfunctions.udf.CIQ(N$3, "IQ_BOND_PRICE", $L106))),NA(),_xll.ciqfunctions.udf.CIQ(N$3, "IQ_BOND_PRICE", $L106)),"")</f>
        <v>0</v>
      </c>
      <c r="O106" s="424">
        <f>IF(AND($L106&lt;&gt;"",O$3&lt;&gt;""),IF(NOT(ISNUMBER(_xll.ciqfunctions.udf.CIQ(O$3, "IQ_BOND_PRICE", $L106))),NA(),_xll.ciqfunctions.udf.CIQ(O$3, "IQ_BOND_PRICE", $L106)),"")</f>
        <v>102.6464</v>
      </c>
      <c r="P106" s="424">
        <f>IF(AND($L106&lt;&gt;"",P$3&lt;&gt;""),IF(NOT(ISNUMBER(_xll.ciqfunctions.udf.CIQ(P$3, "IQ_BOND_PRICE", $L106))),NA(),_xll.ciqfunctions.udf.CIQ(P$3, "IQ_BOND_PRICE", $L106)),"")</f>
        <v>103.31083</v>
      </c>
      <c r="Q106" s="424">
        <f>IF(AND($L106&lt;&gt;"",Q$3&lt;&gt;""),IF(NOT(ISNUMBER(_xll.ciqfunctions.udf.CIQ(Q$3, "IQ_BOND_PRICE", $L106))),NA(),_xll.ciqfunctions.udf.CIQ(Q$3, "IQ_BOND_PRICE", $L106)),"")</f>
        <v>105.47799999999999</v>
      </c>
      <c r="R106" s="424">
        <f>IF(AND($L106&lt;&gt;"",R$3&lt;&gt;""),IF(NOT(ISNUMBER(_xll.ciqfunctions.udf.CIQ(R$3, "IQ_BOND_PRICE", $L106))),NA(),_xll.ciqfunctions.udf.CIQ(R$3, "IQ_BOND_PRICE", $L106)),"")</f>
        <v>113.123</v>
      </c>
      <c r="S106" s="424">
        <f>IF(AND($L106&lt;&gt;"",S$3&lt;&gt;""),IF(NOT(ISNUMBER(_xll.ciqfunctions.udf.CIQ(S$3, "IQ_BOND_PRICE", $L106))),NA(),_xll.ciqfunctions.udf.CIQ(S$3, "IQ_BOND_PRICE", $L106)),"")</f>
        <v>106.797</v>
      </c>
      <c r="T106" s="424">
        <f>IF(AND($L106&lt;&gt;"",T$3&lt;&gt;""),IF(NOT(ISNUMBER(_xll.ciqfunctions.udf.CIQ(T$3, "IQ_BOND_PRICE", $L106))),NA(),_xll.ciqfunctions.udf.CIQ(T$3, "IQ_BOND_PRICE", $L106)),"")</f>
        <v>106.465</v>
      </c>
      <c r="U106" s="424">
        <f>IF(AND($L106&lt;&gt;"",U$3&lt;&gt;""),IF(NOT(ISNUMBER(_xll.ciqfunctions.udf.CIQ(U$3, "IQ_BOND_PRICE", $L106))),NA(),_xll.ciqfunctions.udf.CIQ(U$3, "IQ_BOND_PRICE", $L106)),"")</f>
        <v>99.919309999999996</v>
      </c>
      <c r="V106" s="424">
        <f>IF(AND($L106&lt;&gt;"",V$3&lt;&gt;""),IF(NOT(ISNUMBER(_xll.ciqfunctions.udf.CIQ(V$3, "IQ_BOND_PRICE", $L106))),NA(),_xll.ciqfunctions.udf.CIQ(V$3, "IQ_BOND_PRICE", $L106)),"")</f>
        <v>106.42243999999999</v>
      </c>
      <c r="W106" s="424">
        <f>IF(AND($L106&lt;&gt;"",W$3&lt;&gt;""),IF(NOT(ISNUMBER(_xll.ciqfunctions.udf.CIQ(W$3, "IQ_BOND_PRICE", $L106))),NA(),_xll.ciqfunctions.udf.CIQ(W$3, "IQ_BOND_PRICE", $L106)),"")</f>
        <v>109.946</v>
      </c>
      <c r="X106" s="424">
        <f>IF(AND($L106&lt;&gt;"",X$3&lt;&gt;""),IF(NOT(ISNUMBER(_xll.ciqfunctions.udf.CIQ(X$3, "IQ_BOND_PRICE", $L106))),NA(),_xll.ciqfunctions.udf.CIQ(X$3, "IQ_BOND_PRICE", $L106)),"")</f>
        <v>112.14</v>
      </c>
      <c r="Y106" s="424">
        <f>IF(AND($L106&lt;&gt;"",Y$3&lt;&gt;""),IF(NOT(ISNUMBER(_xll.ciqfunctions.udf.CIQ(Y$3, "IQ_BOND_PRICE", $L106))),NA(),_xll.ciqfunctions.udf.CIQ(Y$3, "IQ_BOND_PRICE", $L106)),"")</f>
        <v>109.176</v>
      </c>
      <c r="Z106" s="424">
        <f>IF(AND($L106&lt;&gt;"",Z$3&lt;&gt;""),IF(NOT(ISNUMBER(_xll.ciqfunctions.udf.CIQ(Z$3, "IQ_BOND_PRICE", $L106))),NA(),_xll.ciqfunctions.udf.CIQ(Z$3, "IQ_BOND_PRICE", $L106)),"")</f>
        <v>0</v>
      </c>
      <c r="CZ106" s="426"/>
    </row>
    <row r="107" spans="12:104" x14ac:dyDescent="0.2">
      <c r="L107" s="425">
        <f t="shared" si="1"/>
        <v>44421</v>
      </c>
      <c r="M107" s="424">
        <f>IF(AND($L107&lt;&gt;"",M$3&lt;&gt;""),IF(NOT(ISNUMBER(_xll.ciqfunctions.udf.CIQ(M$3, "IQ_BOND_PRICE", $L107))),NA(),_xll.ciqfunctions.udf.CIQ(M$3, "IQ_BOND_PRICE", $L107)),"")</f>
        <v>100.934</v>
      </c>
      <c r="N107" s="424">
        <f>IF(AND($L107&lt;&gt;"",N$3&lt;&gt;""),IF(NOT(ISNUMBER(_xll.ciqfunctions.udf.CIQ(N$3, "IQ_BOND_PRICE", $L107))),NA(),_xll.ciqfunctions.udf.CIQ(N$3, "IQ_BOND_PRICE", $L107)),"")</f>
        <v>0</v>
      </c>
      <c r="O107" s="424">
        <f>IF(AND($L107&lt;&gt;"",O$3&lt;&gt;""),IF(NOT(ISNUMBER(_xll.ciqfunctions.udf.CIQ(O$3, "IQ_BOND_PRICE", $L107))),NA(),_xll.ciqfunctions.udf.CIQ(O$3, "IQ_BOND_PRICE", $L107)),"")</f>
        <v>102.65772</v>
      </c>
      <c r="P107" s="424">
        <f>IF(AND($L107&lt;&gt;"",P$3&lt;&gt;""),IF(NOT(ISNUMBER(_xll.ciqfunctions.udf.CIQ(P$3, "IQ_BOND_PRICE", $L107))),NA(),_xll.ciqfunctions.udf.CIQ(P$3, "IQ_BOND_PRICE", $L107)),"")</f>
        <v>103.3456</v>
      </c>
      <c r="Q107" s="424">
        <f>IF(AND($L107&lt;&gt;"",Q$3&lt;&gt;""),IF(NOT(ISNUMBER(_xll.ciqfunctions.udf.CIQ(Q$3, "IQ_BOND_PRICE", $L107))),NA(),_xll.ciqfunctions.udf.CIQ(Q$3, "IQ_BOND_PRICE", $L107)),"")</f>
        <v>105.548</v>
      </c>
      <c r="R107" s="424">
        <f>IF(AND($L107&lt;&gt;"",R$3&lt;&gt;""),IF(NOT(ISNUMBER(_xll.ciqfunctions.udf.CIQ(R$3, "IQ_BOND_PRICE", $L107))),NA(),_xll.ciqfunctions.udf.CIQ(R$3, "IQ_BOND_PRICE", $L107)),"")</f>
        <v>113.184</v>
      </c>
      <c r="S107" s="424">
        <f>IF(AND($L107&lt;&gt;"",S$3&lt;&gt;""),IF(NOT(ISNUMBER(_xll.ciqfunctions.udf.CIQ(S$3, "IQ_BOND_PRICE", $L107))),NA(),_xll.ciqfunctions.udf.CIQ(S$3, "IQ_BOND_PRICE", $L107)),"")</f>
        <v>106.855</v>
      </c>
      <c r="T107" s="424">
        <f>IF(AND($L107&lt;&gt;"",T$3&lt;&gt;""),IF(NOT(ISNUMBER(_xll.ciqfunctions.udf.CIQ(T$3, "IQ_BOND_PRICE", $L107))),NA(),_xll.ciqfunctions.udf.CIQ(T$3, "IQ_BOND_PRICE", $L107)),"")</f>
        <v>106.536</v>
      </c>
      <c r="U107" s="424">
        <f>IF(AND($L107&lt;&gt;"",U$3&lt;&gt;""),IF(NOT(ISNUMBER(_xll.ciqfunctions.udf.CIQ(U$3, "IQ_BOND_PRICE", $L107))),NA(),_xll.ciqfunctions.udf.CIQ(U$3, "IQ_BOND_PRICE", $L107)),"")</f>
        <v>99.905389999999997</v>
      </c>
      <c r="V107" s="424">
        <f>IF(AND($L107&lt;&gt;"",V$3&lt;&gt;""),IF(NOT(ISNUMBER(_xll.ciqfunctions.udf.CIQ(V$3, "IQ_BOND_PRICE", $L107))),NA(),_xll.ciqfunctions.udf.CIQ(V$3, "IQ_BOND_PRICE", $L107)),"")</f>
        <v>106.62477</v>
      </c>
      <c r="W107" s="424">
        <f>IF(AND($L107&lt;&gt;"",W$3&lt;&gt;""),IF(NOT(ISNUMBER(_xll.ciqfunctions.udf.CIQ(W$3, "IQ_BOND_PRICE", $L107))),NA(),_xll.ciqfunctions.udf.CIQ(W$3, "IQ_BOND_PRICE", $L107)),"")</f>
        <v>110.093</v>
      </c>
      <c r="X107" s="424">
        <f>IF(AND($L107&lt;&gt;"",X$3&lt;&gt;""),IF(NOT(ISNUMBER(_xll.ciqfunctions.udf.CIQ(X$3, "IQ_BOND_PRICE", $L107))),NA(),_xll.ciqfunctions.udf.CIQ(X$3, "IQ_BOND_PRICE", $L107)),"")</f>
        <v>112.096</v>
      </c>
      <c r="Y107" s="424">
        <f>IF(AND($L107&lt;&gt;"",Y$3&lt;&gt;""),IF(NOT(ISNUMBER(_xll.ciqfunctions.udf.CIQ(Y$3, "IQ_BOND_PRICE", $L107))),NA(),_xll.ciqfunctions.udf.CIQ(Y$3, "IQ_BOND_PRICE", $L107)),"")</f>
        <v>109.36499999999999</v>
      </c>
      <c r="Z107" s="424">
        <f>IF(AND($L107&lt;&gt;"",Z$3&lt;&gt;""),IF(NOT(ISNUMBER(_xll.ciqfunctions.udf.CIQ(Z$3, "IQ_BOND_PRICE", $L107))),NA(),_xll.ciqfunctions.udf.CIQ(Z$3, "IQ_BOND_PRICE", $L107)),"")</f>
        <v>0</v>
      </c>
      <c r="CZ107" s="426"/>
    </row>
    <row r="108" spans="12:104" x14ac:dyDescent="0.2">
      <c r="L108" s="425">
        <f t="shared" si="1"/>
        <v>44424</v>
      </c>
      <c r="M108" s="424">
        <f>IF(AND($L108&lt;&gt;"",M$3&lt;&gt;""),IF(NOT(ISNUMBER(_xll.ciqfunctions.udf.CIQ(M$3, "IQ_BOND_PRICE", $L108))),NA(),_xll.ciqfunctions.udf.CIQ(M$3, "IQ_BOND_PRICE", $L108)),"")</f>
        <v>100.934</v>
      </c>
      <c r="N108" s="424">
        <f>IF(AND($L108&lt;&gt;"",N$3&lt;&gt;""),IF(NOT(ISNUMBER(_xll.ciqfunctions.udf.CIQ(N$3, "IQ_BOND_PRICE", $L108))),NA(),_xll.ciqfunctions.udf.CIQ(N$3, "IQ_BOND_PRICE", $L108)),"")</f>
        <v>0</v>
      </c>
      <c r="O108" s="424">
        <f>IF(AND($L108&lt;&gt;"",O$3&lt;&gt;""),IF(NOT(ISNUMBER(_xll.ciqfunctions.udf.CIQ(O$3, "IQ_BOND_PRICE", $L108))),NA(),_xll.ciqfunctions.udf.CIQ(O$3, "IQ_BOND_PRICE", $L108)),"")</f>
        <v>102.66431</v>
      </c>
      <c r="P108" s="424">
        <f>IF(AND($L108&lt;&gt;"",P$3&lt;&gt;""),IF(NOT(ISNUMBER(_xll.ciqfunctions.udf.CIQ(P$3, "IQ_BOND_PRICE", $L108))),NA(),_xll.ciqfunctions.udf.CIQ(P$3, "IQ_BOND_PRICE", $L108)),"")</f>
        <v>103.37915</v>
      </c>
      <c r="Q108" s="424">
        <f>IF(AND($L108&lt;&gt;"",Q$3&lt;&gt;""),IF(NOT(ISNUMBER(_xll.ciqfunctions.udf.CIQ(Q$3, "IQ_BOND_PRICE", $L108))),NA(),_xll.ciqfunctions.udf.CIQ(Q$3, "IQ_BOND_PRICE", $L108)),"")</f>
        <v>105.491</v>
      </c>
      <c r="R108" s="424">
        <f>IF(AND($L108&lt;&gt;"",R$3&lt;&gt;""),IF(NOT(ISNUMBER(_xll.ciqfunctions.udf.CIQ(R$3, "IQ_BOND_PRICE", $L108))),NA(),_xll.ciqfunctions.udf.CIQ(R$3, "IQ_BOND_PRICE", $L108)),"")</f>
        <v>113.224</v>
      </c>
      <c r="S108" s="424">
        <f>IF(AND($L108&lt;&gt;"",S$3&lt;&gt;""),IF(NOT(ISNUMBER(_xll.ciqfunctions.udf.CIQ(S$3, "IQ_BOND_PRICE", $L108))),NA(),_xll.ciqfunctions.udf.CIQ(S$3, "IQ_BOND_PRICE", $L108)),"")</f>
        <v>106.863</v>
      </c>
      <c r="T108" s="424">
        <f>IF(AND($L108&lt;&gt;"",T$3&lt;&gt;""),IF(NOT(ISNUMBER(_xll.ciqfunctions.udf.CIQ(T$3, "IQ_BOND_PRICE", $L108))),NA(),_xll.ciqfunctions.udf.CIQ(T$3, "IQ_BOND_PRICE", $L108)),"")</f>
        <v>106.548</v>
      </c>
      <c r="U108" s="424">
        <f>IF(AND($L108&lt;&gt;"",U$3&lt;&gt;""),IF(NOT(ISNUMBER(_xll.ciqfunctions.udf.CIQ(U$3, "IQ_BOND_PRICE", $L108))),NA(),_xll.ciqfunctions.udf.CIQ(U$3, "IQ_BOND_PRICE", $L108)),"")</f>
        <v>99.928809999999999</v>
      </c>
      <c r="V108" s="424">
        <f>IF(AND($L108&lt;&gt;"",V$3&lt;&gt;""),IF(NOT(ISNUMBER(_xll.ciqfunctions.udf.CIQ(V$3, "IQ_BOND_PRICE", $L108))),NA(),_xll.ciqfunctions.udf.CIQ(V$3, "IQ_BOND_PRICE", $L108)),"")</f>
        <v>106.63985</v>
      </c>
      <c r="W108" s="424">
        <f>IF(AND($L108&lt;&gt;"",W$3&lt;&gt;""),IF(NOT(ISNUMBER(_xll.ciqfunctions.udf.CIQ(W$3, "IQ_BOND_PRICE", $L108))),NA(),_xll.ciqfunctions.udf.CIQ(W$3, "IQ_BOND_PRICE", $L108)),"")</f>
        <v>110.223</v>
      </c>
      <c r="X108" s="424">
        <f>IF(AND($L108&lt;&gt;"",X$3&lt;&gt;""),IF(NOT(ISNUMBER(_xll.ciqfunctions.udf.CIQ(X$3, "IQ_BOND_PRICE", $L108))),NA(),_xll.ciqfunctions.udf.CIQ(X$3, "IQ_BOND_PRICE", $L108)),"")</f>
        <v>112.07899999999999</v>
      </c>
      <c r="Y108" s="424">
        <f>IF(AND($L108&lt;&gt;"",Y$3&lt;&gt;""),IF(NOT(ISNUMBER(_xll.ciqfunctions.udf.CIQ(Y$3, "IQ_BOND_PRICE", $L108))),NA(),_xll.ciqfunctions.udf.CIQ(Y$3, "IQ_BOND_PRICE", $L108)),"")</f>
        <v>109.55500000000001</v>
      </c>
      <c r="Z108" s="424">
        <f>IF(AND($L108&lt;&gt;"",Z$3&lt;&gt;""),IF(NOT(ISNUMBER(_xll.ciqfunctions.udf.CIQ(Z$3, "IQ_BOND_PRICE", $L108))),NA(),_xll.ciqfunctions.udf.CIQ(Z$3, "IQ_BOND_PRICE", $L108)),"")</f>
        <v>0</v>
      </c>
      <c r="CZ108" s="426"/>
    </row>
    <row r="109" spans="12:104" x14ac:dyDescent="0.2">
      <c r="L109" s="425">
        <f t="shared" si="1"/>
        <v>44425</v>
      </c>
      <c r="M109" s="424">
        <f>IF(AND($L109&lt;&gt;"",M$3&lt;&gt;""),IF(NOT(ISNUMBER(_xll.ciqfunctions.udf.CIQ(M$3, "IQ_BOND_PRICE", $L109))),NA(),_xll.ciqfunctions.udf.CIQ(M$3, "IQ_BOND_PRICE", $L109)),"")</f>
        <v>100.93</v>
      </c>
      <c r="N109" s="424">
        <f>IF(AND($L109&lt;&gt;"",N$3&lt;&gt;""),IF(NOT(ISNUMBER(_xll.ciqfunctions.udf.CIQ(N$3, "IQ_BOND_PRICE", $L109))),NA(),_xll.ciqfunctions.udf.CIQ(N$3, "IQ_BOND_PRICE", $L109)),"")</f>
        <v>0</v>
      </c>
      <c r="O109" s="424">
        <f>IF(AND($L109&lt;&gt;"",O$3&lt;&gt;""),IF(NOT(ISNUMBER(_xll.ciqfunctions.udf.CIQ(O$3, "IQ_BOND_PRICE", $L109))),NA(),_xll.ciqfunctions.udf.CIQ(O$3, "IQ_BOND_PRICE", $L109)),"")</f>
        <v>102.64555</v>
      </c>
      <c r="P109" s="424">
        <f>IF(AND($L109&lt;&gt;"",P$3&lt;&gt;""),IF(NOT(ISNUMBER(_xll.ciqfunctions.udf.CIQ(P$3, "IQ_BOND_PRICE", $L109))),NA(),_xll.ciqfunctions.udf.CIQ(P$3, "IQ_BOND_PRICE", $L109)),"")</f>
        <v>103.28324000000001</v>
      </c>
      <c r="Q109" s="424">
        <f>IF(AND($L109&lt;&gt;"",Q$3&lt;&gt;""),IF(NOT(ISNUMBER(_xll.ciqfunctions.udf.CIQ(Q$3, "IQ_BOND_PRICE", $L109))),NA(),_xll.ciqfunctions.udf.CIQ(Q$3, "IQ_BOND_PRICE", $L109)),"")</f>
        <v>105.485</v>
      </c>
      <c r="R109" s="424">
        <f>IF(AND($L109&lt;&gt;"",R$3&lt;&gt;""),IF(NOT(ISNUMBER(_xll.ciqfunctions.udf.CIQ(R$3, "IQ_BOND_PRICE", $L109))),NA(),_xll.ciqfunctions.udf.CIQ(R$3, "IQ_BOND_PRICE", $L109)),"")</f>
        <v>113.101</v>
      </c>
      <c r="S109" s="424">
        <f>IF(AND($L109&lt;&gt;"",S$3&lt;&gt;""),IF(NOT(ISNUMBER(_xll.ciqfunctions.udf.CIQ(S$3, "IQ_BOND_PRICE", $L109))),NA(),_xll.ciqfunctions.udf.CIQ(S$3, "IQ_BOND_PRICE", $L109)),"")</f>
        <v>106.661</v>
      </c>
      <c r="T109" s="424">
        <f>IF(AND($L109&lt;&gt;"",T$3&lt;&gt;""),IF(NOT(ISNUMBER(_xll.ciqfunctions.udf.CIQ(T$3, "IQ_BOND_PRICE", $L109))),NA(),_xll.ciqfunctions.udf.CIQ(T$3, "IQ_BOND_PRICE", $L109)),"")</f>
        <v>106.56399999999999</v>
      </c>
      <c r="U109" s="424">
        <f>IF(AND($L109&lt;&gt;"",U$3&lt;&gt;""),IF(NOT(ISNUMBER(_xll.ciqfunctions.udf.CIQ(U$3, "IQ_BOND_PRICE", $L109))),NA(),_xll.ciqfunctions.udf.CIQ(U$3, "IQ_BOND_PRICE", $L109)),"")</f>
        <v>99.940650000000005</v>
      </c>
      <c r="V109" s="424">
        <f>IF(AND($L109&lt;&gt;"",V$3&lt;&gt;""),IF(NOT(ISNUMBER(_xll.ciqfunctions.udf.CIQ(V$3, "IQ_BOND_PRICE", $L109))),NA(),_xll.ciqfunctions.udf.CIQ(V$3, "IQ_BOND_PRICE", $L109)),"")</f>
        <v>106.54992</v>
      </c>
      <c r="W109" s="424">
        <f>IF(AND($L109&lt;&gt;"",W$3&lt;&gt;""),IF(NOT(ISNUMBER(_xll.ciqfunctions.udf.CIQ(W$3, "IQ_BOND_PRICE", $L109))),NA(),_xll.ciqfunctions.udf.CIQ(W$3, "IQ_BOND_PRICE", $L109)),"")</f>
        <v>110.16500000000001</v>
      </c>
      <c r="X109" s="424">
        <f>IF(AND($L109&lt;&gt;"",X$3&lt;&gt;""),IF(NOT(ISNUMBER(_xll.ciqfunctions.udf.CIQ(X$3, "IQ_BOND_PRICE", $L109))),NA(),_xll.ciqfunctions.udf.CIQ(X$3, "IQ_BOND_PRICE", $L109)),"")</f>
        <v>112.06699999999999</v>
      </c>
      <c r="Y109" s="424">
        <f>IF(AND($L109&lt;&gt;"",Y$3&lt;&gt;""),IF(NOT(ISNUMBER(_xll.ciqfunctions.udf.CIQ(Y$3, "IQ_BOND_PRICE", $L109))),NA(),_xll.ciqfunctions.udf.CIQ(Y$3, "IQ_BOND_PRICE", $L109)),"")</f>
        <v>109.571</v>
      </c>
      <c r="Z109" s="424">
        <f>IF(AND($L109&lt;&gt;"",Z$3&lt;&gt;""),IF(NOT(ISNUMBER(_xll.ciqfunctions.udf.CIQ(Z$3, "IQ_BOND_PRICE", $L109))),NA(),_xll.ciqfunctions.udf.CIQ(Z$3, "IQ_BOND_PRICE", $L109)),"")</f>
        <v>0</v>
      </c>
      <c r="CZ109" s="426"/>
    </row>
    <row r="110" spans="12:104" x14ac:dyDescent="0.2">
      <c r="L110" s="425">
        <f t="shared" si="1"/>
        <v>44426</v>
      </c>
      <c r="M110" s="424">
        <f>IF(AND($L110&lt;&gt;"",M$3&lt;&gt;""),IF(NOT(ISNUMBER(_xll.ciqfunctions.udf.CIQ(M$3, "IQ_BOND_PRICE", $L110))),NA(),_xll.ciqfunctions.udf.CIQ(M$3, "IQ_BOND_PRICE", $L110)),"")</f>
        <v>100.93</v>
      </c>
      <c r="N110" s="424">
        <f>IF(AND($L110&lt;&gt;"",N$3&lt;&gt;""),IF(NOT(ISNUMBER(_xll.ciqfunctions.udf.CIQ(N$3, "IQ_BOND_PRICE", $L110))),NA(),_xll.ciqfunctions.udf.CIQ(N$3, "IQ_BOND_PRICE", $L110)),"")</f>
        <v>0</v>
      </c>
      <c r="O110" s="424">
        <f>IF(AND($L110&lt;&gt;"",O$3&lt;&gt;""),IF(NOT(ISNUMBER(_xll.ciqfunctions.udf.CIQ(O$3, "IQ_BOND_PRICE", $L110))),NA(),_xll.ciqfunctions.udf.CIQ(O$3, "IQ_BOND_PRICE", $L110)),"")</f>
        <v>102.63441</v>
      </c>
      <c r="P110" s="424">
        <f>IF(AND($L110&lt;&gt;"",P$3&lt;&gt;""),IF(NOT(ISNUMBER(_xll.ciqfunctions.udf.CIQ(P$3, "IQ_BOND_PRICE", $L110))),NA(),_xll.ciqfunctions.udf.CIQ(P$3, "IQ_BOND_PRICE", $L110)),"")</f>
        <v>103.32136</v>
      </c>
      <c r="Q110" s="424">
        <f>IF(AND($L110&lt;&gt;"",Q$3&lt;&gt;""),IF(NOT(ISNUMBER(_xll.ciqfunctions.udf.CIQ(Q$3, "IQ_BOND_PRICE", $L110))),NA(),_xll.ciqfunctions.udf.CIQ(Q$3, "IQ_BOND_PRICE", $L110)),"")</f>
        <v>105.51900000000001</v>
      </c>
      <c r="R110" s="424">
        <f>IF(AND($L110&lt;&gt;"",R$3&lt;&gt;""),IF(NOT(ISNUMBER(_xll.ciqfunctions.udf.CIQ(R$3, "IQ_BOND_PRICE", $L110))),NA(),_xll.ciqfunctions.udf.CIQ(R$3, "IQ_BOND_PRICE", $L110)),"")</f>
        <v>113.108</v>
      </c>
      <c r="S110" s="424">
        <f>IF(AND($L110&lt;&gt;"",S$3&lt;&gt;""),IF(NOT(ISNUMBER(_xll.ciqfunctions.udf.CIQ(S$3, "IQ_BOND_PRICE", $L110))),NA(),_xll.ciqfunctions.udf.CIQ(S$3, "IQ_BOND_PRICE", $L110)),"")</f>
        <v>106.72799999999999</v>
      </c>
      <c r="T110" s="424">
        <f>IF(AND($L110&lt;&gt;"",T$3&lt;&gt;""),IF(NOT(ISNUMBER(_xll.ciqfunctions.udf.CIQ(T$3, "IQ_BOND_PRICE", $L110))),NA(),_xll.ciqfunctions.udf.CIQ(T$3, "IQ_BOND_PRICE", $L110)),"")</f>
        <v>106.455</v>
      </c>
      <c r="U110" s="424">
        <f>IF(AND($L110&lt;&gt;"",U$3&lt;&gt;""),IF(NOT(ISNUMBER(_xll.ciqfunctions.udf.CIQ(U$3, "IQ_BOND_PRICE", $L110))),NA(),_xll.ciqfunctions.udf.CIQ(U$3, "IQ_BOND_PRICE", $L110)),"")</f>
        <v>99.931510000000003</v>
      </c>
      <c r="V110" s="424">
        <f>IF(AND($L110&lt;&gt;"",V$3&lt;&gt;""),IF(NOT(ISNUMBER(_xll.ciqfunctions.udf.CIQ(V$3, "IQ_BOND_PRICE", $L110))),NA(),_xll.ciqfunctions.udf.CIQ(V$3, "IQ_BOND_PRICE", $L110)),"")</f>
        <v>106.51792</v>
      </c>
      <c r="W110" s="424">
        <f>IF(AND($L110&lt;&gt;"",W$3&lt;&gt;""),IF(NOT(ISNUMBER(_xll.ciqfunctions.udf.CIQ(W$3, "IQ_BOND_PRICE", $L110))),NA(),_xll.ciqfunctions.udf.CIQ(W$3, "IQ_BOND_PRICE", $L110)),"")</f>
        <v>110.06</v>
      </c>
      <c r="X110" s="424">
        <f>IF(AND($L110&lt;&gt;"",X$3&lt;&gt;""),IF(NOT(ISNUMBER(_xll.ciqfunctions.udf.CIQ(X$3, "IQ_BOND_PRICE", $L110))),NA(),_xll.ciqfunctions.udf.CIQ(X$3, "IQ_BOND_PRICE", $L110)),"")</f>
        <v>112.102</v>
      </c>
      <c r="Y110" s="424">
        <f>IF(AND($L110&lt;&gt;"",Y$3&lt;&gt;""),IF(NOT(ISNUMBER(_xll.ciqfunctions.udf.CIQ(Y$3, "IQ_BOND_PRICE", $L110))),NA(),_xll.ciqfunctions.udf.CIQ(Y$3, "IQ_BOND_PRICE", $L110)),"")</f>
        <v>109.355</v>
      </c>
      <c r="Z110" s="424">
        <f>IF(AND($L110&lt;&gt;"",Z$3&lt;&gt;""),IF(NOT(ISNUMBER(_xll.ciqfunctions.udf.CIQ(Z$3, "IQ_BOND_PRICE", $L110))),NA(),_xll.ciqfunctions.udf.CIQ(Z$3, "IQ_BOND_PRICE", $L110)),"")</f>
        <v>0</v>
      </c>
      <c r="CZ110" s="426"/>
    </row>
    <row r="111" spans="12:104" x14ac:dyDescent="0.2">
      <c r="L111" s="425">
        <f t="shared" si="1"/>
        <v>44427</v>
      </c>
      <c r="M111" s="424">
        <f>IF(AND($L111&lt;&gt;"",M$3&lt;&gt;""),IF(NOT(ISNUMBER(_xll.ciqfunctions.udf.CIQ(M$3, "IQ_BOND_PRICE", $L111))),NA(),_xll.ciqfunctions.udf.CIQ(M$3, "IQ_BOND_PRICE", $L111)),"")</f>
        <v>100.917</v>
      </c>
      <c r="N111" s="424">
        <f>IF(AND($L111&lt;&gt;"",N$3&lt;&gt;""),IF(NOT(ISNUMBER(_xll.ciqfunctions.udf.CIQ(N$3, "IQ_BOND_PRICE", $L111))),NA(),_xll.ciqfunctions.udf.CIQ(N$3, "IQ_BOND_PRICE", $L111)),"")</f>
        <v>0</v>
      </c>
      <c r="O111" s="424">
        <f>IF(AND($L111&lt;&gt;"",O$3&lt;&gt;""),IF(NOT(ISNUMBER(_xll.ciqfunctions.udf.CIQ(O$3, "IQ_BOND_PRICE", $L111))),NA(),_xll.ciqfunctions.udf.CIQ(O$3, "IQ_BOND_PRICE", $L111)),"")</f>
        <v>102.59245</v>
      </c>
      <c r="P111" s="424">
        <f>IF(AND($L111&lt;&gt;"",P$3&lt;&gt;""),IF(NOT(ISNUMBER(_xll.ciqfunctions.udf.CIQ(P$3, "IQ_BOND_PRICE", $L111))),NA(),_xll.ciqfunctions.udf.CIQ(P$3, "IQ_BOND_PRICE", $L111)),"")</f>
        <v>103.22657</v>
      </c>
      <c r="Q111" s="424">
        <f>IF(AND($L111&lt;&gt;"",Q$3&lt;&gt;""),IF(NOT(ISNUMBER(_xll.ciqfunctions.udf.CIQ(Q$3, "IQ_BOND_PRICE", $L111))),NA(),_xll.ciqfunctions.udf.CIQ(Q$3, "IQ_BOND_PRICE", $L111)),"")</f>
        <v>105.575</v>
      </c>
      <c r="R111" s="424">
        <f>IF(AND($L111&lt;&gt;"",R$3&lt;&gt;""),IF(NOT(ISNUMBER(_xll.ciqfunctions.udf.CIQ(R$3, "IQ_BOND_PRICE", $L111))),NA(),_xll.ciqfunctions.udf.CIQ(R$3, "IQ_BOND_PRICE", $L111)),"")</f>
        <v>113.026</v>
      </c>
      <c r="S111" s="424">
        <f>IF(AND($L111&lt;&gt;"",S$3&lt;&gt;""),IF(NOT(ISNUMBER(_xll.ciqfunctions.udf.CIQ(S$3, "IQ_BOND_PRICE", $L111))),NA(),_xll.ciqfunctions.udf.CIQ(S$3, "IQ_BOND_PRICE", $L111)),"")</f>
        <v>106.712</v>
      </c>
      <c r="T111" s="424">
        <f>IF(AND($L111&lt;&gt;"",T$3&lt;&gt;""),IF(NOT(ISNUMBER(_xll.ciqfunctions.udf.CIQ(T$3, "IQ_BOND_PRICE", $L111))),NA(),_xll.ciqfunctions.udf.CIQ(T$3, "IQ_BOND_PRICE", $L111)),"")</f>
        <v>106.444</v>
      </c>
      <c r="U111" s="424">
        <f>IF(AND($L111&lt;&gt;"",U$3&lt;&gt;""),IF(NOT(ISNUMBER(_xll.ciqfunctions.udf.CIQ(U$3, "IQ_BOND_PRICE", $L111))),NA(),_xll.ciqfunctions.udf.CIQ(U$3, "IQ_BOND_PRICE", $L111)),"")</f>
        <v>99.934049999999999</v>
      </c>
      <c r="V111" s="424">
        <f>IF(AND($L111&lt;&gt;"",V$3&lt;&gt;""),IF(NOT(ISNUMBER(_xll.ciqfunctions.udf.CIQ(V$3, "IQ_BOND_PRICE", $L111))),NA(),_xll.ciqfunctions.udf.CIQ(V$3, "IQ_BOND_PRICE", $L111)),"")</f>
        <v>106.50919</v>
      </c>
      <c r="W111" s="424">
        <f>IF(AND($L111&lt;&gt;"",W$3&lt;&gt;""),IF(NOT(ISNUMBER(_xll.ciqfunctions.udf.CIQ(W$3, "IQ_BOND_PRICE", $L111))),NA(),_xll.ciqfunctions.udf.CIQ(W$3, "IQ_BOND_PRICE", $L111)),"")</f>
        <v>110.038</v>
      </c>
      <c r="X111" s="424">
        <f>IF(AND($L111&lt;&gt;"",X$3&lt;&gt;""),IF(NOT(ISNUMBER(_xll.ciqfunctions.udf.CIQ(X$3, "IQ_BOND_PRICE", $L111))),NA(),_xll.ciqfunctions.udf.CIQ(X$3, "IQ_BOND_PRICE", $L111)),"")</f>
        <v>112.06100000000001</v>
      </c>
      <c r="Y111" s="424">
        <f>IF(AND($L111&lt;&gt;"",Y$3&lt;&gt;""),IF(NOT(ISNUMBER(_xll.ciqfunctions.udf.CIQ(Y$3, "IQ_BOND_PRICE", $L111))),NA(),_xll.ciqfunctions.udf.CIQ(Y$3, "IQ_BOND_PRICE", $L111)),"")</f>
        <v>109.444</v>
      </c>
      <c r="Z111" s="424">
        <f>IF(AND($L111&lt;&gt;"",Z$3&lt;&gt;""),IF(NOT(ISNUMBER(_xll.ciqfunctions.udf.CIQ(Z$3, "IQ_BOND_PRICE", $L111))),NA(),_xll.ciqfunctions.udf.CIQ(Z$3, "IQ_BOND_PRICE", $L111)),"")</f>
        <v>0</v>
      </c>
      <c r="CZ111" s="426"/>
    </row>
    <row r="112" spans="12:104" x14ac:dyDescent="0.2">
      <c r="L112" s="425">
        <f t="shared" si="1"/>
        <v>44428</v>
      </c>
      <c r="M112" s="424">
        <f>IF(AND($L112&lt;&gt;"",M$3&lt;&gt;""),IF(NOT(ISNUMBER(_xll.ciqfunctions.udf.CIQ(M$3, "IQ_BOND_PRICE", $L112))),NA(),_xll.ciqfunctions.udf.CIQ(M$3, "IQ_BOND_PRICE", $L112)),"")</f>
        <v>100.901</v>
      </c>
      <c r="N112" s="424">
        <f>IF(AND($L112&lt;&gt;"",N$3&lt;&gt;""),IF(NOT(ISNUMBER(_xll.ciqfunctions.udf.CIQ(N$3, "IQ_BOND_PRICE", $L112))),NA(),_xll.ciqfunctions.udf.CIQ(N$3, "IQ_BOND_PRICE", $L112)),"")</f>
        <v>0</v>
      </c>
      <c r="O112" s="424">
        <f>IF(AND($L112&lt;&gt;"",O$3&lt;&gt;""),IF(NOT(ISNUMBER(_xll.ciqfunctions.udf.CIQ(O$3, "IQ_BOND_PRICE", $L112))),NA(),_xll.ciqfunctions.udf.CIQ(O$3, "IQ_BOND_PRICE", $L112)),"")</f>
        <v>102.57855000000001</v>
      </c>
      <c r="P112" s="424">
        <f>IF(AND($L112&lt;&gt;"",P$3&lt;&gt;""),IF(NOT(ISNUMBER(_xll.ciqfunctions.udf.CIQ(P$3, "IQ_BOND_PRICE", $L112))),NA(),_xll.ciqfunctions.udf.CIQ(P$3, "IQ_BOND_PRICE", $L112)),"")</f>
        <v>103.25226000000001</v>
      </c>
      <c r="Q112" s="424">
        <f>IF(AND($L112&lt;&gt;"",Q$3&lt;&gt;""),IF(NOT(ISNUMBER(_xll.ciqfunctions.udf.CIQ(Q$3, "IQ_BOND_PRICE", $L112))),NA(),_xll.ciqfunctions.udf.CIQ(Q$3, "IQ_BOND_PRICE", $L112)),"")</f>
        <v>105.491</v>
      </c>
      <c r="R112" s="424">
        <f>IF(AND($L112&lt;&gt;"",R$3&lt;&gt;""),IF(NOT(ISNUMBER(_xll.ciqfunctions.udf.CIQ(R$3, "IQ_BOND_PRICE", $L112))),NA(),_xll.ciqfunctions.udf.CIQ(R$3, "IQ_BOND_PRICE", $L112)),"")</f>
        <v>113.008</v>
      </c>
      <c r="S112" s="424">
        <f>IF(AND($L112&lt;&gt;"",S$3&lt;&gt;""),IF(NOT(ISNUMBER(_xll.ciqfunctions.udf.CIQ(S$3, "IQ_BOND_PRICE", $L112))),NA(),_xll.ciqfunctions.udf.CIQ(S$3, "IQ_BOND_PRICE", $L112)),"")</f>
        <v>106.67100000000001</v>
      </c>
      <c r="T112" s="424">
        <f>IF(AND($L112&lt;&gt;"",T$3&lt;&gt;""),IF(NOT(ISNUMBER(_xll.ciqfunctions.udf.CIQ(T$3, "IQ_BOND_PRICE", $L112))),NA(),_xll.ciqfunctions.udf.CIQ(T$3, "IQ_BOND_PRICE", $L112)),"")</f>
        <v>106.462</v>
      </c>
      <c r="U112" s="424">
        <f>IF(AND($L112&lt;&gt;"",U$3&lt;&gt;""),IF(NOT(ISNUMBER(_xll.ciqfunctions.udf.CIQ(U$3, "IQ_BOND_PRICE", $L112))),NA(),_xll.ciqfunctions.udf.CIQ(U$3, "IQ_BOND_PRICE", $L112)),"")</f>
        <v>99.945790000000002</v>
      </c>
      <c r="V112" s="424">
        <f>IF(AND($L112&lt;&gt;"",V$3&lt;&gt;""),IF(NOT(ISNUMBER(_xll.ciqfunctions.udf.CIQ(V$3, "IQ_BOND_PRICE", $L112))),NA(),_xll.ciqfunctions.udf.CIQ(V$3, "IQ_BOND_PRICE", $L112)),"")</f>
        <v>106.46031000000001</v>
      </c>
      <c r="W112" s="424">
        <f>IF(AND($L112&lt;&gt;"",W$3&lt;&gt;""),IF(NOT(ISNUMBER(_xll.ciqfunctions.udf.CIQ(W$3, "IQ_BOND_PRICE", $L112))),NA(),_xll.ciqfunctions.udf.CIQ(W$3, "IQ_BOND_PRICE", $L112)),"")</f>
        <v>110.053</v>
      </c>
      <c r="X112" s="424">
        <f>IF(AND($L112&lt;&gt;"",X$3&lt;&gt;""),IF(NOT(ISNUMBER(_xll.ciqfunctions.udf.CIQ(X$3, "IQ_BOND_PRICE", $L112))),NA(),_xll.ciqfunctions.udf.CIQ(X$3, "IQ_BOND_PRICE", $L112)),"")</f>
        <v>112.026</v>
      </c>
      <c r="Y112" s="424">
        <f>IF(AND($L112&lt;&gt;"",Y$3&lt;&gt;""),IF(NOT(ISNUMBER(_xll.ciqfunctions.udf.CIQ(Y$3, "IQ_BOND_PRICE", $L112))),NA(),_xll.ciqfunctions.udf.CIQ(Y$3, "IQ_BOND_PRICE", $L112)),"")</f>
        <v>109.27500000000001</v>
      </c>
      <c r="Z112" s="424">
        <f>IF(AND($L112&lt;&gt;"",Z$3&lt;&gt;""),IF(NOT(ISNUMBER(_xll.ciqfunctions.udf.CIQ(Z$3, "IQ_BOND_PRICE", $L112))),NA(),_xll.ciqfunctions.udf.CIQ(Z$3, "IQ_BOND_PRICE", $L112)),"")</f>
        <v>0</v>
      </c>
      <c r="CZ112" s="426"/>
    </row>
    <row r="113" spans="12:104" x14ac:dyDescent="0.2">
      <c r="L113" s="425">
        <f t="shared" si="1"/>
        <v>44431</v>
      </c>
      <c r="M113" s="424">
        <f>IF(AND($L113&lt;&gt;"",M$3&lt;&gt;""),IF(NOT(ISNUMBER(_xll.ciqfunctions.udf.CIQ(M$3, "IQ_BOND_PRICE", $L113))),NA(),_xll.ciqfunctions.udf.CIQ(M$3, "IQ_BOND_PRICE", $L113)),"")</f>
        <v>100.898</v>
      </c>
      <c r="N113" s="424">
        <f>IF(AND($L113&lt;&gt;"",N$3&lt;&gt;""),IF(NOT(ISNUMBER(_xll.ciqfunctions.udf.CIQ(N$3, "IQ_BOND_PRICE", $L113))),NA(),_xll.ciqfunctions.udf.CIQ(N$3, "IQ_BOND_PRICE", $L113)),"")</f>
        <v>0</v>
      </c>
      <c r="O113" s="424">
        <f>IF(AND($L113&lt;&gt;"",O$3&lt;&gt;""),IF(NOT(ISNUMBER(_xll.ciqfunctions.udf.CIQ(O$3, "IQ_BOND_PRICE", $L113))),NA(),_xll.ciqfunctions.udf.CIQ(O$3, "IQ_BOND_PRICE", $L113)),"")</f>
        <v>102.57002</v>
      </c>
      <c r="P113" s="424">
        <f>IF(AND($L113&lt;&gt;"",P$3&lt;&gt;""),IF(NOT(ISNUMBER(_xll.ciqfunctions.udf.CIQ(P$3, "IQ_BOND_PRICE", $L113))),NA(),_xll.ciqfunctions.udf.CIQ(P$3, "IQ_BOND_PRICE", $L113)),"")</f>
        <v>103.26262</v>
      </c>
      <c r="Q113" s="424">
        <f>IF(AND($L113&lt;&gt;"",Q$3&lt;&gt;""),IF(NOT(ISNUMBER(_xll.ciqfunctions.udf.CIQ(Q$3, "IQ_BOND_PRICE", $L113))),NA(),_xll.ciqfunctions.udf.CIQ(Q$3, "IQ_BOND_PRICE", $L113)),"")</f>
        <v>105.455</v>
      </c>
      <c r="R113" s="424">
        <f>IF(AND($L113&lt;&gt;"",R$3&lt;&gt;""),IF(NOT(ISNUMBER(_xll.ciqfunctions.udf.CIQ(R$3, "IQ_BOND_PRICE", $L113))),NA(),_xll.ciqfunctions.udf.CIQ(R$3, "IQ_BOND_PRICE", $L113)),"")</f>
        <v>113.009</v>
      </c>
      <c r="S113" s="424">
        <f>IF(AND($L113&lt;&gt;"",S$3&lt;&gt;""),IF(NOT(ISNUMBER(_xll.ciqfunctions.udf.CIQ(S$3, "IQ_BOND_PRICE", $L113))),NA(),_xll.ciqfunctions.udf.CIQ(S$3, "IQ_BOND_PRICE", $L113)),"")</f>
        <v>106.68300000000001</v>
      </c>
      <c r="T113" s="424">
        <f>IF(AND($L113&lt;&gt;"",T$3&lt;&gt;""),IF(NOT(ISNUMBER(_xll.ciqfunctions.udf.CIQ(T$3, "IQ_BOND_PRICE", $L113))),NA(),_xll.ciqfunctions.udf.CIQ(T$3, "IQ_BOND_PRICE", $L113)),"")</f>
        <v>106.38800000000001</v>
      </c>
      <c r="U113" s="424">
        <f>IF(AND($L113&lt;&gt;"",U$3&lt;&gt;""),IF(NOT(ISNUMBER(_xll.ciqfunctions.udf.CIQ(U$3, "IQ_BOND_PRICE", $L113))),NA(),_xll.ciqfunctions.udf.CIQ(U$3, "IQ_BOND_PRICE", $L113)),"")</f>
        <v>99.937749999999994</v>
      </c>
      <c r="V113" s="424">
        <f>IF(AND($L113&lt;&gt;"",V$3&lt;&gt;""),IF(NOT(ISNUMBER(_xll.ciqfunctions.udf.CIQ(V$3, "IQ_BOND_PRICE", $L113))),NA(),_xll.ciqfunctions.udf.CIQ(V$3, "IQ_BOND_PRICE", $L113)),"")</f>
        <v>106.48005999999999</v>
      </c>
      <c r="W113" s="424">
        <f>IF(AND($L113&lt;&gt;"",W$3&lt;&gt;""),IF(NOT(ISNUMBER(_xll.ciqfunctions.udf.CIQ(W$3, "IQ_BOND_PRICE", $L113))),NA(),_xll.ciqfunctions.udf.CIQ(W$3, "IQ_BOND_PRICE", $L113)),"")</f>
        <v>110.07</v>
      </c>
      <c r="X113" s="424">
        <f>IF(AND($L113&lt;&gt;"",X$3&lt;&gt;""),IF(NOT(ISNUMBER(_xll.ciqfunctions.udf.CIQ(X$3, "IQ_BOND_PRICE", $L113))),NA(),_xll.ciqfunctions.udf.CIQ(X$3, "IQ_BOND_PRICE", $L113)),"")</f>
        <v>112.015</v>
      </c>
      <c r="Y113" s="424">
        <f>IF(AND($L113&lt;&gt;"",Y$3&lt;&gt;""),IF(NOT(ISNUMBER(_xll.ciqfunctions.udf.CIQ(Y$3, "IQ_BOND_PRICE", $L113))),NA(),_xll.ciqfunctions.udf.CIQ(Y$3, "IQ_BOND_PRICE", $L113)),"")</f>
        <v>109.34</v>
      </c>
      <c r="Z113" s="424">
        <f>IF(AND($L113&lt;&gt;"",Z$3&lt;&gt;""),IF(NOT(ISNUMBER(_xll.ciqfunctions.udf.CIQ(Z$3, "IQ_BOND_PRICE", $L113))),NA(),_xll.ciqfunctions.udf.CIQ(Z$3, "IQ_BOND_PRICE", $L113)),"")</f>
        <v>0</v>
      </c>
      <c r="CZ113" s="426"/>
    </row>
    <row r="114" spans="12:104" x14ac:dyDescent="0.2">
      <c r="L114" s="425">
        <f t="shared" si="1"/>
        <v>44432</v>
      </c>
      <c r="M114" s="424">
        <f>IF(AND($L114&lt;&gt;"",M$3&lt;&gt;""),IF(NOT(ISNUMBER(_xll.ciqfunctions.udf.CIQ(M$3, "IQ_BOND_PRICE", $L114))),NA(),_xll.ciqfunctions.udf.CIQ(M$3, "IQ_BOND_PRICE", $L114)),"")</f>
        <v>100.89100000000001</v>
      </c>
      <c r="N114" s="424">
        <f>IF(AND($L114&lt;&gt;"",N$3&lt;&gt;""),IF(NOT(ISNUMBER(_xll.ciqfunctions.udf.CIQ(N$3, "IQ_BOND_PRICE", $L114))),NA(),_xll.ciqfunctions.udf.CIQ(N$3, "IQ_BOND_PRICE", $L114)),"")</f>
        <v>0</v>
      </c>
      <c r="O114" s="424">
        <f>IF(AND($L114&lt;&gt;"",O$3&lt;&gt;""),IF(NOT(ISNUMBER(_xll.ciqfunctions.udf.CIQ(O$3, "IQ_BOND_PRICE", $L114))),NA(),_xll.ciqfunctions.udf.CIQ(O$3, "IQ_BOND_PRICE", $L114)),"")</f>
        <v>102.58112</v>
      </c>
      <c r="P114" s="424">
        <f>IF(AND($L114&lt;&gt;"",P$3&lt;&gt;""),IF(NOT(ISNUMBER(_xll.ciqfunctions.udf.CIQ(P$3, "IQ_BOND_PRICE", $L114))),NA(),_xll.ciqfunctions.udf.CIQ(P$3, "IQ_BOND_PRICE", $L114)),"")</f>
        <v>103.18143000000001</v>
      </c>
      <c r="Q114" s="424">
        <f>IF(AND($L114&lt;&gt;"",Q$3&lt;&gt;""),IF(NOT(ISNUMBER(_xll.ciqfunctions.udf.CIQ(Q$3, "IQ_BOND_PRICE", $L114))),NA(),_xll.ciqfunctions.udf.CIQ(Q$3, "IQ_BOND_PRICE", $L114)),"")</f>
        <v>105.405</v>
      </c>
      <c r="R114" s="424">
        <f>IF(AND($L114&lt;&gt;"",R$3&lt;&gt;""),IF(NOT(ISNUMBER(_xll.ciqfunctions.udf.CIQ(R$3, "IQ_BOND_PRICE", $L114))),NA(),_xll.ciqfunctions.udf.CIQ(R$3, "IQ_BOND_PRICE", $L114)),"")</f>
        <v>112.97499999999999</v>
      </c>
      <c r="S114" s="424">
        <f>IF(AND($L114&lt;&gt;"",S$3&lt;&gt;""),IF(NOT(ISNUMBER(_xll.ciqfunctions.udf.CIQ(S$3, "IQ_BOND_PRICE", $L114))),NA(),_xll.ciqfunctions.udf.CIQ(S$3, "IQ_BOND_PRICE", $L114)),"")</f>
        <v>106.705</v>
      </c>
      <c r="T114" s="424">
        <f>IF(AND($L114&lt;&gt;"",T$3&lt;&gt;""),IF(NOT(ISNUMBER(_xll.ciqfunctions.udf.CIQ(T$3, "IQ_BOND_PRICE", $L114))),NA(),_xll.ciqfunctions.udf.CIQ(T$3, "IQ_BOND_PRICE", $L114)),"")</f>
        <v>106.42700000000001</v>
      </c>
      <c r="U114" s="424">
        <f>IF(AND($L114&lt;&gt;"",U$3&lt;&gt;""),IF(NOT(ISNUMBER(_xll.ciqfunctions.udf.CIQ(U$3, "IQ_BOND_PRICE", $L114))),NA(),_xll.ciqfunctions.udf.CIQ(U$3, "IQ_BOND_PRICE", $L114)),"")</f>
        <v>99.921170000000004</v>
      </c>
      <c r="V114" s="424">
        <f>IF(AND($L114&lt;&gt;"",V$3&lt;&gt;""),IF(NOT(ISNUMBER(_xll.ciqfunctions.udf.CIQ(V$3, "IQ_BOND_PRICE", $L114))),NA(),_xll.ciqfunctions.udf.CIQ(V$3, "IQ_BOND_PRICE", $L114)),"")</f>
        <v>106.44858000000001</v>
      </c>
      <c r="W114" s="424">
        <f>IF(AND($L114&lt;&gt;"",W$3&lt;&gt;""),IF(NOT(ISNUMBER(_xll.ciqfunctions.udf.CIQ(W$3, "IQ_BOND_PRICE", $L114))),NA(),_xll.ciqfunctions.udf.CIQ(W$3, "IQ_BOND_PRICE", $L114)),"")</f>
        <v>109.982</v>
      </c>
      <c r="X114" s="424">
        <f>IF(AND($L114&lt;&gt;"",X$3&lt;&gt;""),IF(NOT(ISNUMBER(_xll.ciqfunctions.udf.CIQ(X$3, "IQ_BOND_PRICE", $L114))),NA(),_xll.ciqfunctions.udf.CIQ(X$3, "IQ_BOND_PRICE", $L114)),"")</f>
        <v>111.989</v>
      </c>
      <c r="Y114" s="424">
        <f>IF(AND($L114&lt;&gt;"",Y$3&lt;&gt;""),IF(NOT(ISNUMBER(_xll.ciqfunctions.udf.CIQ(Y$3, "IQ_BOND_PRICE", $L114))),NA(),_xll.ciqfunctions.udf.CIQ(Y$3, "IQ_BOND_PRICE", $L114)),"")</f>
        <v>109.39400000000001</v>
      </c>
      <c r="Z114" s="424">
        <f>IF(AND($L114&lt;&gt;"",Z$3&lt;&gt;""),IF(NOT(ISNUMBER(_xll.ciqfunctions.udf.CIQ(Z$3, "IQ_BOND_PRICE", $L114))),NA(),_xll.ciqfunctions.udf.CIQ(Z$3, "IQ_BOND_PRICE", $L114)),"")</f>
        <v>0</v>
      </c>
      <c r="CZ114" s="426"/>
    </row>
    <row r="115" spans="12:104" x14ac:dyDescent="0.2">
      <c r="L115" s="425">
        <f t="shared" si="1"/>
        <v>44433</v>
      </c>
      <c r="M115" s="424">
        <f>IF(AND($L115&lt;&gt;"",M$3&lt;&gt;""),IF(NOT(ISNUMBER(_xll.ciqfunctions.udf.CIQ(M$3, "IQ_BOND_PRICE", $L115))),NA(),_xll.ciqfunctions.udf.CIQ(M$3, "IQ_BOND_PRICE", $L115)),"")</f>
        <v>100.881</v>
      </c>
      <c r="N115" s="424">
        <f>IF(AND($L115&lt;&gt;"",N$3&lt;&gt;""),IF(NOT(ISNUMBER(_xll.ciqfunctions.udf.CIQ(N$3, "IQ_BOND_PRICE", $L115))),NA(),_xll.ciqfunctions.udf.CIQ(N$3, "IQ_BOND_PRICE", $L115)),"")</f>
        <v>0</v>
      </c>
      <c r="O115" s="424">
        <f>IF(AND($L115&lt;&gt;"",O$3&lt;&gt;""),IF(NOT(ISNUMBER(_xll.ciqfunctions.udf.CIQ(O$3, "IQ_BOND_PRICE", $L115))),NA(),_xll.ciqfunctions.udf.CIQ(O$3, "IQ_BOND_PRICE", $L115)),"")</f>
        <v>102.60436</v>
      </c>
      <c r="P115" s="424">
        <f>IF(AND($L115&lt;&gt;"",P$3&lt;&gt;""),IF(NOT(ISNUMBER(_xll.ciqfunctions.udf.CIQ(P$3, "IQ_BOND_PRICE", $L115))),NA(),_xll.ciqfunctions.udf.CIQ(P$3, "IQ_BOND_PRICE", $L115)),"")</f>
        <v>103.21362000000001</v>
      </c>
      <c r="Q115" s="424">
        <f>IF(AND($L115&lt;&gt;"",Q$3&lt;&gt;""),IF(NOT(ISNUMBER(_xll.ciqfunctions.udf.CIQ(Q$3, "IQ_BOND_PRICE", $L115))),NA(),_xll.ciqfunctions.udf.CIQ(Q$3, "IQ_BOND_PRICE", $L115)),"")</f>
        <v>105.489</v>
      </c>
      <c r="R115" s="424">
        <f>IF(AND($L115&lt;&gt;"",R$3&lt;&gt;""),IF(NOT(ISNUMBER(_xll.ciqfunctions.udf.CIQ(R$3, "IQ_BOND_PRICE", $L115))),NA(),_xll.ciqfunctions.udf.CIQ(R$3, "IQ_BOND_PRICE", $L115)),"")</f>
        <v>112.94799999999999</v>
      </c>
      <c r="S115" s="424">
        <f>IF(AND($L115&lt;&gt;"",S$3&lt;&gt;""),IF(NOT(ISNUMBER(_xll.ciqfunctions.udf.CIQ(S$3, "IQ_BOND_PRICE", $L115))),NA(),_xll.ciqfunctions.udf.CIQ(S$3, "IQ_BOND_PRICE", $L115)),"")</f>
        <v>106.67100000000001</v>
      </c>
      <c r="T115" s="424">
        <f>IF(AND($L115&lt;&gt;"",T$3&lt;&gt;""),IF(NOT(ISNUMBER(_xll.ciqfunctions.udf.CIQ(T$3, "IQ_BOND_PRICE", $L115))),NA(),_xll.ciqfunctions.udf.CIQ(T$3, "IQ_BOND_PRICE", $L115)),"")</f>
        <v>106.384</v>
      </c>
      <c r="U115" s="424">
        <f>IF(AND($L115&lt;&gt;"",U$3&lt;&gt;""),IF(NOT(ISNUMBER(_xll.ciqfunctions.udf.CIQ(U$3, "IQ_BOND_PRICE", $L115))),NA(),_xll.ciqfunctions.udf.CIQ(U$3, "IQ_BOND_PRICE", $L115)),"")</f>
        <v>99.924289999999999</v>
      </c>
      <c r="V115" s="424">
        <f>IF(AND($L115&lt;&gt;"",V$3&lt;&gt;""),IF(NOT(ISNUMBER(_xll.ciqfunctions.udf.CIQ(V$3, "IQ_BOND_PRICE", $L115))),NA(),_xll.ciqfunctions.udf.CIQ(V$3, "IQ_BOND_PRICE", $L115)),"")</f>
        <v>106.40709</v>
      </c>
      <c r="W115" s="424">
        <f>IF(AND($L115&lt;&gt;"",W$3&lt;&gt;""),IF(NOT(ISNUMBER(_xll.ciqfunctions.udf.CIQ(W$3, "IQ_BOND_PRICE", $L115))),NA(),_xll.ciqfunctions.udf.CIQ(W$3, "IQ_BOND_PRICE", $L115)),"")</f>
        <v>109.879</v>
      </c>
      <c r="X115" s="424">
        <f>IF(AND($L115&lt;&gt;"",X$3&lt;&gt;""),IF(NOT(ISNUMBER(_xll.ciqfunctions.udf.CIQ(X$3, "IQ_BOND_PRICE", $L115))),NA(),_xll.ciqfunctions.udf.CIQ(X$3, "IQ_BOND_PRICE", $L115)),"")</f>
        <v>111.913</v>
      </c>
      <c r="Y115" s="424">
        <f>IF(AND($L115&lt;&gt;"",Y$3&lt;&gt;""),IF(NOT(ISNUMBER(_xll.ciqfunctions.udf.CIQ(Y$3, "IQ_BOND_PRICE", $L115))),NA(),_xll.ciqfunctions.udf.CIQ(Y$3, "IQ_BOND_PRICE", $L115)),"")</f>
        <v>109.247</v>
      </c>
      <c r="Z115" s="424">
        <f>IF(AND($L115&lt;&gt;"",Z$3&lt;&gt;""),IF(NOT(ISNUMBER(_xll.ciqfunctions.udf.CIQ(Z$3, "IQ_BOND_PRICE", $L115))),NA(),_xll.ciqfunctions.udf.CIQ(Z$3, "IQ_BOND_PRICE", $L115)),"")</f>
        <v>0</v>
      </c>
      <c r="CZ115" s="426"/>
    </row>
    <row r="116" spans="12:104" x14ac:dyDescent="0.2">
      <c r="L116" s="425">
        <f t="shared" si="1"/>
        <v>44434</v>
      </c>
      <c r="M116" s="424">
        <f>IF(AND($L116&lt;&gt;"",M$3&lt;&gt;""),IF(NOT(ISNUMBER(_xll.ciqfunctions.udf.CIQ(M$3, "IQ_BOND_PRICE", $L116))),NA(),_xll.ciqfunctions.udf.CIQ(M$3, "IQ_BOND_PRICE", $L116)),"")</f>
        <v>100.863</v>
      </c>
      <c r="N116" s="424">
        <f>IF(AND($L116&lt;&gt;"",N$3&lt;&gt;""),IF(NOT(ISNUMBER(_xll.ciqfunctions.udf.CIQ(N$3, "IQ_BOND_PRICE", $L116))),NA(),_xll.ciqfunctions.udf.CIQ(N$3, "IQ_BOND_PRICE", $L116)),"")</f>
        <v>0</v>
      </c>
      <c r="O116" s="424">
        <f>IF(AND($L116&lt;&gt;"",O$3&lt;&gt;""),IF(NOT(ISNUMBER(_xll.ciqfunctions.udf.CIQ(O$3, "IQ_BOND_PRICE", $L116))),NA(),_xll.ciqfunctions.udf.CIQ(O$3, "IQ_BOND_PRICE", $L116)),"")</f>
        <v>102.59761</v>
      </c>
      <c r="P116" s="424">
        <f>IF(AND($L116&lt;&gt;"",P$3&lt;&gt;""),IF(NOT(ISNUMBER(_xll.ciqfunctions.udf.CIQ(P$3, "IQ_BOND_PRICE", $L116))),NA(),_xll.ciqfunctions.udf.CIQ(P$3, "IQ_BOND_PRICE", $L116)),"")</f>
        <v>103.23419</v>
      </c>
      <c r="Q116" s="424">
        <f>IF(AND($L116&lt;&gt;"",Q$3&lt;&gt;""),IF(NOT(ISNUMBER(_xll.ciqfunctions.udf.CIQ(Q$3, "IQ_BOND_PRICE", $L116))),NA(),_xll.ciqfunctions.udf.CIQ(Q$3, "IQ_BOND_PRICE", $L116)),"")</f>
        <v>105.456</v>
      </c>
      <c r="R116" s="424">
        <f>IF(AND($L116&lt;&gt;"",R$3&lt;&gt;""),IF(NOT(ISNUMBER(_xll.ciqfunctions.udf.CIQ(R$3, "IQ_BOND_PRICE", $L116))),NA(),_xll.ciqfunctions.udf.CIQ(R$3, "IQ_BOND_PRICE", $L116)),"")</f>
        <v>112.877</v>
      </c>
      <c r="S116" s="424">
        <f>IF(AND($L116&lt;&gt;"",S$3&lt;&gt;""),IF(NOT(ISNUMBER(_xll.ciqfunctions.udf.CIQ(S$3, "IQ_BOND_PRICE", $L116))),NA(),_xll.ciqfunctions.udf.CIQ(S$3, "IQ_BOND_PRICE", $L116)),"")</f>
        <v>106.694</v>
      </c>
      <c r="T116" s="424">
        <f>IF(AND($L116&lt;&gt;"",T$3&lt;&gt;""),IF(NOT(ISNUMBER(_xll.ciqfunctions.udf.CIQ(T$3, "IQ_BOND_PRICE", $L116))),NA(),_xll.ciqfunctions.udf.CIQ(T$3, "IQ_BOND_PRICE", $L116)),"")</f>
        <v>106.372</v>
      </c>
      <c r="U116" s="424">
        <f>IF(AND($L116&lt;&gt;"",U$3&lt;&gt;""),IF(NOT(ISNUMBER(_xll.ciqfunctions.udf.CIQ(U$3, "IQ_BOND_PRICE", $L116))),NA(),_xll.ciqfunctions.udf.CIQ(U$3, "IQ_BOND_PRICE", $L116)),"")</f>
        <v>99.936970000000002</v>
      </c>
      <c r="V116" s="424">
        <f>IF(AND($L116&lt;&gt;"",V$3&lt;&gt;""),IF(NOT(ISNUMBER(_xll.ciqfunctions.udf.CIQ(V$3, "IQ_BOND_PRICE", $L116))),NA(),_xll.ciqfunctions.udf.CIQ(V$3, "IQ_BOND_PRICE", $L116)),"")</f>
        <v>106.39849</v>
      </c>
      <c r="W116" s="424">
        <f>IF(AND($L116&lt;&gt;"",W$3&lt;&gt;""),IF(NOT(ISNUMBER(_xll.ciqfunctions.udf.CIQ(W$3, "IQ_BOND_PRICE", $L116))),NA(),_xll.ciqfunctions.udf.CIQ(W$3, "IQ_BOND_PRICE", $L116)),"")</f>
        <v>109.807</v>
      </c>
      <c r="X116" s="424">
        <f>IF(AND($L116&lt;&gt;"",X$3&lt;&gt;""),IF(NOT(ISNUMBER(_xll.ciqfunctions.udf.CIQ(X$3, "IQ_BOND_PRICE", $L116))),NA(),_xll.ciqfunctions.udf.CIQ(X$3, "IQ_BOND_PRICE", $L116)),"")</f>
        <v>111.86499999999999</v>
      </c>
      <c r="Y116" s="424">
        <f>IF(AND($L116&lt;&gt;"",Y$3&lt;&gt;""),IF(NOT(ISNUMBER(_xll.ciqfunctions.udf.CIQ(Y$3, "IQ_BOND_PRICE", $L116))),NA(),_xll.ciqfunctions.udf.CIQ(Y$3, "IQ_BOND_PRICE", $L116)),"")</f>
        <v>109.267</v>
      </c>
      <c r="Z116" s="424">
        <f>IF(AND($L116&lt;&gt;"",Z$3&lt;&gt;""),IF(NOT(ISNUMBER(_xll.ciqfunctions.udf.CIQ(Z$3, "IQ_BOND_PRICE", $L116))),NA(),_xll.ciqfunctions.udf.CIQ(Z$3, "IQ_BOND_PRICE", $L116)),"")</f>
        <v>0</v>
      </c>
      <c r="CZ116" s="426"/>
    </row>
    <row r="117" spans="12:104" x14ac:dyDescent="0.2">
      <c r="L117" s="425">
        <f t="shared" si="1"/>
        <v>44435</v>
      </c>
      <c r="M117" s="424">
        <f>IF(AND($L117&lt;&gt;"",M$3&lt;&gt;""),IF(NOT(ISNUMBER(_xll.ciqfunctions.udf.CIQ(M$3, "IQ_BOND_PRICE", $L117))),NA(),_xll.ciqfunctions.udf.CIQ(M$3, "IQ_BOND_PRICE", $L117)),"")</f>
        <v>100.858</v>
      </c>
      <c r="N117" s="424">
        <f>IF(AND($L117&lt;&gt;"",N$3&lt;&gt;""),IF(NOT(ISNUMBER(_xll.ciqfunctions.udf.CIQ(N$3, "IQ_BOND_PRICE", $L117))),NA(),_xll.ciqfunctions.udf.CIQ(N$3, "IQ_BOND_PRICE", $L117)),"")</f>
        <v>0</v>
      </c>
      <c r="O117" s="424">
        <f>IF(AND($L117&lt;&gt;"",O$3&lt;&gt;""),IF(NOT(ISNUMBER(_xll.ciqfunctions.udf.CIQ(O$3, "IQ_BOND_PRICE", $L117))),NA(),_xll.ciqfunctions.udf.CIQ(O$3, "IQ_BOND_PRICE", $L117)),"")</f>
        <v>102.61321</v>
      </c>
      <c r="P117" s="424">
        <f>IF(AND($L117&lt;&gt;"",P$3&lt;&gt;""),IF(NOT(ISNUMBER(_xll.ciqfunctions.udf.CIQ(P$3, "IQ_BOND_PRICE", $L117))),NA(),_xll.ciqfunctions.udf.CIQ(P$3, "IQ_BOND_PRICE", $L117)),"")</f>
        <v>103.28212000000001</v>
      </c>
      <c r="Q117" s="424">
        <f>IF(AND($L117&lt;&gt;"",Q$3&lt;&gt;""),IF(NOT(ISNUMBER(_xll.ciqfunctions.udf.CIQ(Q$3, "IQ_BOND_PRICE", $L117))),NA(),_xll.ciqfunctions.udf.CIQ(Q$3, "IQ_BOND_PRICE", $L117)),"")</f>
        <v>105.458</v>
      </c>
      <c r="R117" s="424">
        <f>IF(AND($L117&lt;&gt;"",R$3&lt;&gt;""),IF(NOT(ISNUMBER(_xll.ciqfunctions.udf.CIQ(R$3, "IQ_BOND_PRICE", $L117))),NA(),_xll.ciqfunctions.udf.CIQ(R$3, "IQ_BOND_PRICE", $L117)),"")</f>
        <v>112.94199999999999</v>
      </c>
      <c r="S117" s="424">
        <f>IF(AND($L117&lt;&gt;"",S$3&lt;&gt;""),IF(NOT(ISNUMBER(_xll.ciqfunctions.udf.CIQ(S$3, "IQ_BOND_PRICE", $L117))),NA(),_xll.ciqfunctions.udf.CIQ(S$3, "IQ_BOND_PRICE", $L117)),"")</f>
        <v>106.818</v>
      </c>
      <c r="T117" s="424">
        <f>IF(AND($L117&lt;&gt;"",T$3&lt;&gt;""),IF(NOT(ISNUMBER(_xll.ciqfunctions.udf.CIQ(T$3, "IQ_BOND_PRICE", $L117))),NA(),_xll.ciqfunctions.udf.CIQ(T$3, "IQ_BOND_PRICE", $L117)),"")</f>
        <v>106.455</v>
      </c>
      <c r="U117" s="424">
        <f>IF(AND($L117&lt;&gt;"",U$3&lt;&gt;""),IF(NOT(ISNUMBER(_xll.ciqfunctions.udf.CIQ(U$3, "IQ_BOND_PRICE", $L117))),NA(),_xll.ciqfunctions.udf.CIQ(U$3, "IQ_BOND_PRICE", $L117)),"")</f>
        <v>99.912390000000002</v>
      </c>
      <c r="V117" s="424">
        <f>IF(AND($L117&lt;&gt;"",V$3&lt;&gt;""),IF(NOT(ISNUMBER(_xll.ciqfunctions.udf.CIQ(V$3, "IQ_BOND_PRICE", $L117))),NA(),_xll.ciqfunctions.udf.CIQ(V$3, "IQ_BOND_PRICE", $L117)),"")</f>
        <v>106.49419</v>
      </c>
      <c r="W117" s="424">
        <f>IF(AND($L117&lt;&gt;"",W$3&lt;&gt;""),IF(NOT(ISNUMBER(_xll.ciqfunctions.udf.CIQ(W$3, "IQ_BOND_PRICE", $L117))),NA(),_xll.ciqfunctions.udf.CIQ(W$3, "IQ_BOND_PRICE", $L117)),"")</f>
        <v>109.94499999999999</v>
      </c>
      <c r="X117" s="424">
        <f>IF(AND($L117&lt;&gt;"",X$3&lt;&gt;""),IF(NOT(ISNUMBER(_xll.ciqfunctions.udf.CIQ(X$3, "IQ_BOND_PRICE", $L117))),NA(),_xll.ciqfunctions.udf.CIQ(X$3, "IQ_BOND_PRICE", $L117)),"")</f>
        <v>111.858</v>
      </c>
      <c r="Y117" s="424">
        <f>IF(AND($L117&lt;&gt;"",Y$3&lt;&gt;""),IF(NOT(ISNUMBER(_xll.ciqfunctions.udf.CIQ(Y$3, "IQ_BOND_PRICE", $L117))),NA(),_xll.ciqfunctions.udf.CIQ(Y$3, "IQ_BOND_PRICE", $L117)),"")</f>
        <v>109.46</v>
      </c>
      <c r="Z117" s="424">
        <f>IF(AND($L117&lt;&gt;"",Z$3&lt;&gt;""),IF(NOT(ISNUMBER(_xll.ciqfunctions.udf.CIQ(Z$3, "IQ_BOND_PRICE", $L117))),NA(),_xll.ciqfunctions.udf.CIQ(Z$3, "IQ_BOND_PRICE", $L117)),"")</f>
        <v>0</v>
      </c>
      <c r="CZ117" s="426"/>
    </row>
    <row r="118" spans="12:104" x14ac:dyDescent="0.2">
      <c r="L118" s="425">
        <f t="shared" si="1"/>
        <v>44438</v>
      </c>
      <c r="M118" s="424">
        <f>IF(AND($L118&lt;&gt;"",M$3&lt;&gt;""),IF(NOT(ISNUMBER(_xll.ciqfunctions.udf.CIQ(M$3, "IQ_BOND_PRICE", $L118))),NA(),_xll.ciqfunctions.udf.CIQ(M$3, "IQ_BOND_PRICE", $L118)),"")</f>
        <v>100.854</v>
      </c>
      <c r="N118" s="424">
        <f>IF(AND($L118&lt;&gt;"",N$3&lt;&gt;""),IF(NOT(ISNUMBER(_xll.ciqfunctions.udf.CIQ(N$3, "IQ_BOND_PRICE", $L118))),NA(),_xll.ciqfunctions.udf.CIQ(N$3, "IQ_BOND_PRICE", $L118)),"")</f>
        <v>0</v>
      </c>
      <c r="O118" s="424">
        <f>IF(AND($L118&lt;&gt;"",O$3&lt;&gt;""),IF(NOT(ISNUMBER(_xll.ciqfunctions.udf.CIQ(O$3, "IQ_BOND_PRICE", $L118))),NA(),_xll.ciqfunctions.udf.CIQ(O$3, "IQ_BOND_PRICE", $L118)),"")</f>
        <v>102.60777</v>
      </c>
      <c r="P118" s="424">
        <f>IF(AND($L118&lt;&gt;"",P$3&lt;&gt;""),IF(NOT(ISNUMBER(_xll.ciqfunctions.udf.CIQ(P$3, "IQ_BOND_PRICE", $L118))),NA(),_xll.ciqfunctions.udf.CIQ(P$3, "IQ_BOND_PRICE", $L118)),"")</f>
        <v>103.23222</v>
      </c>
      <c r="Q118" s="424">
        <f>IF(AND($L118&lt;&gt;"",Q$3&lt;&gt;""),IF(NOT(ISNUMBER(_xll.ciqfunctions.udf.CIQ(Q$3, "IQ_BOND_PRICE", $L118))),NA(),_xll.ciqfunctions.udf.CIQ(Q$3, "IQ_BOND_PRICE", $L118)),"")</f>
        <v>105.51300000000001</v>
      </c>
      <c r="R118" s="424">
        <f>IF(AND($L118&lt;&gt;"",R$3&lt;&gt;""),IF(NOT(ISNUMBER(_xll.ciqfunctions.udf.CIQ(R$3, "IQ_BOND_PRICE", $L118))),NA(),_xll.ciqfunctions.udf.CIQ(R$3, "IQ_BOND_PRICE", $L118)),"")</f>
        <v>112.986</v>
      </c>
      <c r="S118" s="424">
        <f>IF(AND($L118&lt;&gt;"",S$3&lt;&gt;""),IF(NOT(ISNUMBER(_xll.ciqfunctions.udf.CIQ(S$3, "IQ_BOND_PRICE", $L118))),NA(),_xll.ciqfunctions.udf.CIQ(S$3, "IQ_BOND_PRICE", $L118)),"")</f>
        <v>106.872</v>
      </c>
      <c r="T118" s="424">
        <f>IF(AND($L118&lt;&gt;"",T$3&lt;&gt;""),IF(NOT(ISNUMBER(_xll.ciqfunctions.udf.CIQ(T$3, "IQ_BOND_PRICE", $L118))),NA(),_xll.ciqfunctions.udf.CIQ(T$3, "IQ_BOND_PRICE", $L118)),"")</f>
        <v>106.517</v>
      </c>
      <c r="U118" s="424">
        <f>IF(AND($L118&lt;&gt;"",U$3&lt;&gt;""),IF(NOT(ISNUMBER(_xll.ciqfunctions.udf.CIQ(U$3, "IQ_BOND_PRICE", $L118))),NA(),_xll.ciqfunctions.udf.CIQ(U$3, "IQ_BOND_PRICE", $L118)),"")</f>
        <v>99.912239999999997</v>
      </c>
      <c r="V118" s="424">
        <f>IF(AND($L118&lt;&gt;"",V$3&lt;&gt;""),IF(NOT(ISNUMBER(_xll.ciqfunctions.udf.CIQ(V$3, "IQ_BOND_PRICE", $L118))),NA(),_xll.ciqfunctions.udf.CIQ(V$3, "IQ_BOND_PRICE", $L118)),"")</f>
        <v>106.56482</v>
      </c>
      <c r="W118" s="424">
        <f>IF(AND($L118&lt;&gt;"",W$3&lt;&gt;""),IF(NOT(ISNUMBER(_xll.ciqfunctions.udf.CIQ(W$3, "IQ_BOND_PRICE", $L118))),NA(),_xll.ciqfunctions.udf.CIQ(W$3, "IQ_BOND_PRICE", $L118)),"")</f>
        <v>110.111</v>
      </c>
      <c r="X118" s="424">
        <f>IF(AND($L118&lt;&gt;"",X$3&lt;&gt;""),IF(NOT(ISNUMBER(_xll.ciqfunctions.udf.CIQ(X$3, "IQ_BOND_PRICE", $L118))),NA(),_xll.ciqfunctions.udf.CIQ(X$3, "IQ_BOND_PRICE", $L118)),"")</f>
        <v>111.86799999999999</v>
      </c>
      <c r="Y118" s="424">
        <f>IF(AND($L118&lt;&gt;"",Y$3&lt;&gt;""),IF(NOT(ISNUMBER(_xll.ciqfunctions.udf.CIQ(Y$3, "IQ_BOND_PRICE", $L118))),NA(),_xll.ciqfunctions.udf.CIQ(Y$3, "IQ_BOND_PRICE", $L118)),"")</f>
        <v>109.58199999999999</v>
      </c>
      <c r="Z118" s="424">
        <f>IF(AND($L118&lt;&gt;"",Z$3&lt;&gt;""),IF(NOT(ISNUMBER(_xll.ciqfunctions.udf.CIQ(Z$3, "IQ_BOND_PRICE", $L118))),NA(),_xll.ciqfunctions.udf.CIQ(Z$3, "IQ_BOND_PRICE", $L118)),"")</f>
        <v>0</v>
      </c>
      <c r="CZ118" s="426"/>
    </row>
    <row r="119" spans="12:104" x14ac:dyDescent="0.2">
      <c r="L119" s="425">
        <f t="shared" si="1"/>
        <v>44439</v>
      </c>
      <c r="M119" s="424">
        <f>IF(AND($L119&lt;&gt;"",M$3&lt;&gt;""),IF(NOT(ISNUMBER(_xll.ciqfunctions.udf.CIQ(M$3, "IQ_BOND_PRICE", $L119))),NA(),_xll.ciqfunctions.udf.CIQ(M$3, "IQ_BOND_PRICE", $L119)),"")</f>
        <v>100.845</v>
      </c>
      <c r="N119" s="424">
        <f>IF(AND($L119&lt;&gt;"",N$3&lt;&gt;""),IF(NOT(ISNUMBER(_xll.ciqfunctions.udf.CIQ(N$3, "IQ_BOND_PRICE", $L119))),NA(),_xll.ciqfunctions.udf.CIQ(N$3, "IQ_BOND_PRICE", $L119)),"")</f>
        <v>0</v>
      </c>
      <c r="O119" s="424">
        <f>IF(AND($L119&lt;&gt;"",O$3&lt;&gt;""),IF(NOT(ISNUMBER(_xll.ciqfunctions.udf.CIQ(O$3, "IQ_BOND_PRICE", $L119))),NA(),_xll.ciqfunctions.udf.CIQ(O$3, "IQ_BOND_PRICE", $L119)),"")</f>
        <v>102.59684</v>
      </c>
      <c r="P119" s="424">
        <f>IF(AND($L119&lt;&gt;"",P$3&lt;&gt;""),IF(NOT(ISNUMBER(_xll.ciqfunctions.udf.CIQ(P$3, "IQ_BOND_PRICE", $L119))),NA(),_xll.ciqfunctions.udf.CIQ(P$3, "IQ_BOND_PRICE", $L119)),"")</f>
        <v>103.22611999999999</v>
      </c>
      <c r="Q119" s="424">
        <f>IF(AND($L119&lt;&gt;"",Q$3&lt;&gt;""),IF(NOT(ISNUMBER(_xll.ciqfunctions.udf.CIQ(Q$3, "IQ_BOND_PRICE", $L119))),NA(),_xll.ciqfunctions.udf.CIQ(Q$3, "IQ_BOND_PRICE", $L119)),"")</f>
        <v>105.506</v>
      </c>
      <c r="R119" s="424">
        <f>IF(AND($L119&lt;&gt;"",R$3&lt;&gt;""),IF(NOT(ISNUMBER(_xll.ciqfunctions.udf.CIQ(R$3, "IQ_BOND_PRICE", $L119))),NA(),_xll.ciqfunctions.udf.CIQ(R$3, "IQ_BOND_PRICE", $L119)),"")</f>
        <v>112.96299999999999</v>
      </c>
      <c r="S119" s="424">
        <f>IF(AND($L119&lt;&gt;"",S$3&lt;&gt;""),IF(NOT(ISNUMBER(_xll.ciqfunctions.udf.CIQ(S$3, "IQ_BOND_PRICE", $L119))),NA(),_xll.ciqfunctions.udf.CIQ(S$3, "IQ_BOND_PRICE", $L119)),"")</f>
        <v>106.858</v>
      </c>
      <c r="T119" s="424">
        <f>IF(AND($L119&lt;&gt;"",T$3&lt;&gt;""),IF(NOT(ISNUMBER(_xll.ciqfunctions.udf.CIQ(T$3, "IQ_BOND_PRICE", $L119))),NA(),_xll.ciqfunctions.udf.CIQ(T$3, "IQ_BOND_PRICE", $L119)),"")</f>
        <v>106.47499999999999</v>
      </c>
      <c r="U119" s="424">
        <f>IF(AND($L119&lt;&gt;"",U$3&lt;&gt;""),IF(NOT(ISNUMBER(_xll.ciqfunctions.udf.CIQ(U$3, "IQ_BOND_PRICE", $L119))),NA(),_xll.ciqfunctions.udf.CIQ(U$3, "IQ_BOND_PRICE", $L119)),"")</f>
        <v>99.912999999999997</v>
      </c>
      <c r="V119" s="424">
        <f>IF(AND($L119&lt;&gt;"",V$3&lt;&gt;""),IF(NOT(ISNUMBER(_xll.ciqfunctions.udf.CIQ(V$3, "IQ_BOND_PRICE", $L119))),NA(),_xll.ciqfunctions.udf.CIQ(V$3, "IQ_BOND_PRICE", $L119)),"")</f>
        <v>106.61095</v>
      </c>
      <c r="W119" s="424">
        <f>IF(AND($L119&lt;&gt;"",W$3&lt;&gt;""),IF(NOT(ISNUMBER(_xll.ciqfunctions.udf.CIQ(W$3, "IQ_BOND_PRICE", $L119))),NA(),_xll.ciqfunctions.udf.CIQ(W$3, "IQ_BOND_PRICE", $L119)),"")</f>
        <v>110.10299999999999</v>
      </c>
      <c r="X119" s="424">
        <f>IF(AND($L119&lt;&gt;"",X$3&lt;&gt;""),IF(NOT(ISNUMBER(_xll.ciqfunctions.udf.CIQ(X$3, "IQ_BOND_PRICE", $L119))),NA(),_xll.ciqfunctions.udf.CIQ(X$3, "IQ_BOND_PRICE", $L119)),"")</f>
        <v>111.755</v>
      </c>
      <c r="Y119" s="424">
        <f>IF(AND($L119&lt;&gt;"",Y$3&lt;&gt;""),IF(NOT(ISNUMBER(_xll.ciqfunctions.udf.CIQ(Y$3, "IQ_BOND_PRICE", $L119))),NA(),_xll.ciqfunctions.udf.CIQ(Y$3, "IQ_BOND_PRICE", $L119)),"")</f>
        <v>109.517</v>
      </c>
      <c r="Z119" s="424">
        <f>IF(AND($L119&lt;&gt;"",Z$3&lt;&gt;""),IF(NOT(ISNUMBER(_xll.ciqfunctions.udf.CIQ(Z$3, "IQ_BOND_PRICE", $L119))),NA(),_xll.ciqfunctions.udf.CIQ(Z$3, "IQ_BOND_PRICE", $L119)),"")</f>
        <v>0</v>
      </c>
      <c r="CZ119" s="426"/>
    </row>
    <row r="120" spans="12:104" x14ac:dyDescent="0.2">
      <c r="L120" s="425">
        <f t="shared" si="1"/>
        <v>44440</v>
      </c>
      <c r="M120" s="424">
        <f>IF(AND($L120&lt;&gt;"",M$3&lt;&gt;""),IF(NOT(ISNUMBER(_xll.ciqfunctions.udf.CIQ(M$3, "IQ_BOND_PRICE", $L120))),NA(),_xll.ciqfunctions.udf.CIQ(M$3, "IQ_BOND_PRICE", $L120)),"")</f>
        <v>100.843</v>
      </c>
      <c r="N120" s="424">
        <f>IF(AND($L120&lt;&gt;"",N$3&lt;&gt;""),IF(NOT(ISNUMBER(_xll.ciqfunctions.udf.CIQ(N$3, "IQ_BOND_PRICE", $L120))),NA(),_xll.ciqfunctions.udf.CIQ(N$3, "IQ_BOND_PRICE", $L120)),"")</f>
        <v>0</v>
      </c>
      <c r="O120" s="424">
        <f>IF(AND($L120&lt;&gt;"",O$3&lt;&gt;""),IF(NOT(ISNUMBER(_xll.ciqfunctions.udf.CIQ(O$3, "IQ_BOND_PRICE", $L120))),NA(),_xll.ciqfunctions.udf.CIQ(O$3, "IQ_BOND_PRICE", $L120)),"")</f>
        <v>102.58459999999999</v>
      </c>
      <c r="P120" s="424">
        <f>IF(AND($L120&lt;&gt;"",P$3&lt;&gt;""),IF(NOT(ISNUMBER(_xll.ciqfunctions.udf.CIQ(P$3, "IQ_BOND_PRICE", $L120))),NA(),_xll.ciqfunctions.udf.CIQ(P$3, "IQ_BOND_PRICE", $L120)),"")</f>
        <v>103.21347</v>
      </c>
      <c r="Q120" s="424">
        <f>IF(AND($L120&lt;&gt;"",Q$3&lt;&gt;""),IF(NOT(ISNUMBER(_xll.ciqfunctions.udf.CIQ(Q$3, "IQ_BOND_PRICE", $L120))),NA(),_xll.ciqfunctions.udf.CIQ(Q$3, "IQ_BOND_PRICE", $L120)),"")</f>
        <v>105.48099999999999</v>
      </c>
      <c r="R120" s="424">
        <f>IF(AND($L120&lt;&gt;"",R$3&lt;&gt;""),IF(NOT(ISNUMBER(_xll.ciqfunctions.udf.CIQ(R$3, "IQ_BOND_PRICE", $L120))),NA(),_xll.ciqfunctions.udf.CIQ(R$3, "IQ_BOND_PRICE", $L120)),"")</f>
        <v>112.914</v>
      </c>
      <c r="S120" s="424">
        <f>IF(AND($L120&lt;&gt;"",S$3&lt;&gt;""),IF(NOT(ISNUMBER(_xll.ciqfunctions.udf.CIQ(S$3, "IQ_BOND_PRICE", $L120))),NA(),_xll.ciqfunctions.udf.CIQ(S$3, "IQ_BOND_PRICE", $L120)),"")</f>
        <v>106.733</v>
      </c>
      <c r="T120" s="424">
        <f>IF(AND($L120&lt;&gt;"",T$3&lt;&gt;""),IF(NOT(ISNUMBER(_xll.ciqfunctions.udf.CIQ(T$3, "IQ_BOND_PRICE", $L120))),NA(),_xll.ciqfunctions.udf.CIQ(T$3, "IQ_BOND_PRICE", $L120)),"")</f>
        <v>106.47</v>
      </c>
      <c r="U120" s="424">
        <f>IF(AND($L120&lt;&gt;"",U$3&lt;&gt;""),IF(NOT(ISNUMBER(_xll.ciqfunctions.udf.CIQ(U$3, "IQ_BOND_PRICE", $L120))),NA(),_xll.ciqfunctions.udf.CIQ(U$3, "IQ_BOND_PRICE", $L120)),"")</f>
        <v>99.903580000000005</v>
      </c>
      <c r="V120" s="424">
        <f>IF(AND($L120&lt;&gt;"",V$3&lt;&gt;""),IF(NOT(ISNUMBER(_xll.ciqfunctions.udf.CIQ(V$3, "IQ_BOND_PRICE", $L120))),NA(),_xll.ciqfunctions.udf.CIQ(V$3, "IQ_BOND_PRICE", $L120)),"")</f>
        <v>106.50099</v>
      </c>
      <c r="W120" s="424">
        <f>IF(AND($L120&lt;&gt;"",W$3&lt;&gt;""),IF(NOT(ISNUMBER(_xll.ciqfunctions.udf.CIQ(W$3, "IQ_BOND_PRICE", $L120))),NA(),_xll.ciqfunctions.udf.CIQ(W$3, "IQ_BOND_PRICE", $L120)),"")</f>
        <v>110.059</v>
      </c>
      <c r="X120" s="424">
        <f>IF(AND($L120&lt;&gt;"",X$3&lt;&gt;""),IF(NOT(ISNUMBER(_xll.ciqfunctions.udf.CIQ(X$3, "IQ_BOND_PRICE", $L120))),NA(),_xll.ciqfunctions.udf.CIQ(X$3, "IQ_BOND_PRICE", $L120)),"")</f>
        <v>111.729</v>
      </c>
      <c r="Y120" s="424">
        <f>IF(AND($L120&lt;&gt;"",Y$3&lt;&gt;""),IF(NOT(ISNUMBER(_xll.ciqfunctions.udf.CIQ(Y$3, "IQ_BOND_PRICE", $L120))),NA(),_xll.ciqfunctions.udf.CIQ(Y$3, "IQ_BOND_PRICE", $L120)),"")</f>
        <v>109.491</v>
      </c>
      <c r="Z120" s="424">
        <f>IF(AND($L120&lt;&gt;"",Z$3&lt;&gt;""),IF(NOT(ISNUMBER(_xll.ciqfunctions.udf.CIQ(Z$3, "IQ_BOND_PRICE", $L120))),NA(),_xll.ciqfunctions.udf.CIQ(Z$3, "IQ_BOND_PRICE", $L120)),"")</f>
        <v>0</v>
      </c>
      <c r="CZ120" s="426"/>
    </row>
    <row r="121" spans="12:104" x14ac:dyDescent="0.2">
      <c r="L121" s="425">
        <f t="shared" si="1"/>
        <v>44441</v>
      </c>
      <c r="M121" s="424">
        <f>IF(AND($L121&lt;&gt;"",M$3&lt;&gt;""),IF(NOT(ISNUMBER(_xll.ciqfunctions.udf.CIQ(M$3, "IQ_BOND_PRICE", $L121))),NA(),_xll.ciqfunctions.udf.CIQ(M$3, "IQ_BOND_PRICE", $L121)),"")</f>
        <v>100.82299999999999</v>
      </c>
      <c r="N121" s="424">
        <f>IF(AND($L121&lt;&gt;"",N$3&lt;&gt;""),IF(NOT(ISNUMBER(_xll.ciqfunctions.udf.CIQ(N$3, "IQ_BOND_PRICE", $L121))),NA(),_xll.ciqfunctions.udf.CIQ(N$3, "IQ_BOND_PRICE", $L121)),"")</f>
        <v>0</v>
      </c>
      <c r="O121" s="424">
        <f>IF(AND($L121&lt;&gt;"",O$3&lt;&gt;""),IF(NOT(ISNUMBER(_xll.ciqfunctions.udf.CIQ(O$3, "IQ_BOND_PRICE", $L121))),NA(),_xll.ciqfunctions.udf.CIQ(O$3, "IQ_BOND_PRICE", $L121)),"")</f>
        <v>102.55817</v>
      </c>
      <c r="P121" s="424">
        <f>IF(AND($L121&lt;&gt;"",P$3&lt;&gt;""),IF(NOT(ISNUMBER(_xll.ciqfunctions.udf.CIQ(P$3, "IQ_BOND_PRICE", $L121))),NA(),_xll.ciqfunctions.udf.CIQ(P$3, "IQ_BOND_PRICE", $L121)),"")</f>
        <v>103.13681</v>
      </c>
      <c r="Q121" s="424">
        <f>IF(AND($L121&lt;&gt;"",Q$3&lt;&gt;""),IF(NOT(ISNUMBER(_xll.ciqfunctions.udf.CIQ(Q$3, "IQ_BOND_PRICE", $L121))),NA(),_xll.ciqfunctions.udf.CIQ(Q$3, "IQ_BOND_PRICE", $L121)),"")</f>
        <v>105.486</v>
      </c>
      <c r="R121" s="424">
        <f>IF(AND($L121&lt;&gt;"",R$3&lt;&gt;""),IF(NOT(ISNUMBER(_xll.ciqfunctions.udf.CIQ(R$3, "IQ_BOND_PRICE", $L121))),NA(),_xll.ciqfunctions.udf.CIQ(R$3, "IQ_BOND_PRICE", $L121)),"")</f>
        <v>112.86</v>
      </c>
      <c r="S121" s="424">
        <f>IF(AND($L121&lt;&gt;"",S$3&lt;&gt;""),IF(NOT(ISNUMBER(_xll.ciqfunctions.udf.CIQ(S$3, "IQ_BOND_PRICE", $L121))),NA(),_xll.ciqfunctions.udf.CIQ(S$3, "IQ_BOND_PRICE", $L121)),"")</f>
        <v>106.702</v>
      </c>
      <c r="T121" s="424">
        <f>IF(AND($L121&lt;&gt;"",T$3&lt;&gt;""),IF(NOT(ISNUMBER(_xll.ciqfunctions.udf.CIQ(T$3, "IQ_BOND_PRICE", $L121))),NA(),_xll.ciqfunctions.udf.CIQ(T$3, "IQ_BOND_PRICE", $L121)),"")</f>
        <v>106.45</v>
      </c>
      <c r="U121" s="424">
        <f>IF(AND($L121&lt;&gt;"",U$3&lt;&gt;""),IF(NOT(ISNUMBER(_xll.ciqfunctions.udf.CIQ(U$3, "IQ_BOND_PRICE", $L121))),NA(),_xll.ciqfunctions.udf.CIQ(U$3, "IQ_BOND_PRICE", $L121)),"")</f>
        <v>99.893500000000003</v>
      </c>
      <c r="V121" s="424">
        <f>IF(AND($L121&lt;&gt;"",V$3&lt;&gt;""),IF(NOT(ISNUMBER(_xll.ciqfunctions.udf.CIQ(V$3, "IQ_BOND_PRICE", $L121))),NA(),_xll.ciqfunctions.udf.CIQ(V$3, "IQ_BOND_PRICE", $L121)),"")</f>
        <v>106.50646999999999</v>
      </c>
      <c r="W121" s="424">
        <f>IF(AND($L121&lt;&gt;"",W$3&lt;&gt;""),IF(NOT(ISNUMBER(_xll.ciqfunctions.udf.CIQ(W$3, "IQ_BOND_PRICE", $L121))),NA(),_xll.ciqfunctions.udf.CIQ(W$3, "IQ_BOND_PRICE", $L121)),"")</f>
        <v>110.047</v>
      </c>
      <c r="X121" s="424">
        <f>IF(AND($L121&lt;&gt;"",X$3&lt;&gt;""),IF(NOT(ISNUMBER(_xll.ciqfunctions.udf.CIQ(X$3, "IQ_BOND_PRICE", $L121))),NA(),_xll.ciqfunctions.udf.CIQ(X$3, "IQ_BOND_PRICE", $L121)),"")</f>
        <v>111.744</v>
      </c>
      <c r="Y121" s="424">
        <f>IF(AND($L121&lt;&gt;"",Y$3&lt;&gt;""),IF(NOT(ISNUMBER(_xll.ciqfunctions.udf.CIQ(Y$3, "IQ_BOND_PRICE", $L121))),NA(),_xll.ciqfunctions.udf.CIQ(Y$3, "IQ_BOND_PRICE", $L121)),"")</f>
        <v>109.63800000000001</v>
      </c>
      <c r="Z121" s="424">
        <f>IF(AND($L121&lt;&gt;"",Z$3&lt;&gt;""),IF(NOT(ISNUMBER(_xll.ciqfunctions.udf.CIQ(Z$3, "IQ_BOND_PRICE", $L121))),NA(),_xll.ciqfunctions.udf.CIQ(Z$3, "IQ_BOND_PRICE", $L121)),"")</f>
        <v>0</v>
      </c>
      <c r="CZ121" s="426"/>
    </row>
    <row r="122" spans="12:104" x14ac:dyDescent="0.2">
      <c r="L122" s="425">
        <f t="shared" si="1"/>
        <v>44442</v>
      </c>
      <c r="M122" s="424">
        <f>IF(AND($L122&lt;&gt;"",M$3&lt;&gt;""),IF(NOT(ISNUMBER(_xll.ciqfunctions.udf.CIQ(M$3, "IQ_BOND_PRICE", $L122))),NA(),_xll.ciqfunctions.udf.CIQ(M$3, "IQ_BOND_PRICE", $L122)),"")</f>
        <v>100.816</v>
      </c>
      <c r="N122" s="424">
        <f>IF(AND($L122&lt;&gt;"",N$3&lt;&gt;""),IF(NOT(ISNUMBER(_xll.ciqfunctions.udf.CIQ(N$3, "IQ_BOND_PRICE", $L122))),NA(),_xll.ciqfunctions.udf.CIQ(N$3, "IQ_BOND_PRICE", $L122)),"")</f>
        <v>0</v>
      </c>
      <c r="O122" s="424">
        <f>IF(AND($L122&lt;&gt;"",O$3&lt;&gt;""),IF(NOT(ISNUMBER(_xll.ciqfunctions.udf.CIQ(O$3, "IQ_BOND_PRICE", $L122))),NA(),_xll.ciqfunctions.udf.CIQ(O$3, "IQ_BOND_PRICE", $L122)),"")</f>
        <v>102.55876000000001</v>
      </c>
      <c r="P122" s="424">
        <f>IF(AND($L122&lt;&gt;"",P$3&lt;&gt;""),IF(NOT(ISNUMBER(_xll.ciqfunctions.udf.CIQ(P$3, "IQ_BOND_PRICE", $L122))),NA(),_xll.ciqfunctions.udf.CIQ(P$3, "IQ_BOND_PRICE", $L122)),"")</f>
        <v>103.20475</v>
      </c>
      <c r="Q122" s="424">
        <f>IF(AND($L122&lt;&gt;"",Q$3&lt;&gt;""),IF(NOT(ISNUMBER(_xll.ciqfunctions.udf.CIQ(Q$3, "IQ_BOND_PRICE", $L122))),NA(),_xll.ciqfunctions.udf.CIQ(Q$3, "IQ_BOND_PRICE", $L122)),"")</f>
        <v>105.46</v>
      </c>
      <c r="R122" s="424">
        <f>IF(AND($L122&lt;&gt;"",R$3&lt;&gt;""),IF(NOT(ISNUMBER(_xll.ciqfunctions.udf.CIQ(R$3, "IQ_BOND_PRICE", $L122))),NA(),_xll.ciqfunctions.udf.CIQ(R$3, "IQ_BOND_PRICE", $L122)),"")</f>
        <v>112.914</v>
      </c>
      <c r="S122" s="424">
        <f>IF(AND($L122&lt;&gt;"",S$3&lt;&gt;""),IF(NOT(ISNUMBER(_xll.ciqfunctions.udf.CIQ(S$3, "IQ_BOND_PRICE", $L122))),NA(),_xll.ciqfunctions.udf.CIQ(S$3, "IQ_BOND_PRICE", $L122)),"")</f>
        <v>106.852</v>
      </c>
      <c r="T122" s="424">
        <f>IF(AND($L122&lt;&gt;"",T$3&lt;&gt;""),IF(NOT(ISNUMBER(_xll.ciqfunctions.udf.CIQ(T$3, "IQ_BOND_PRICE", $L122))),NA(),_xll.ciqfunctions.udf.CIQ(T$3, "IQ_BOND_PRICE", $L122)),"")</f>
        <v>106.45099999999999</v>
      </c>
      <c r="U122" s="424">
        <f>IF(AND($L122&lt;&gt;"",U$3&lt;&gt;""),IF(NOT(ISNUMBER(_xll.ciqfunctions.udf.CIQ(U$3, "IQ_BOND_PRICE", $L122))),NA(),_xll.ciqfunctions.udf.CIQ(U$3, "IQ_BOND_PRICE", $L122)),"")</f>
        <v>99.893770000000004</v>
      </c>
      <c r="V122" s="424">
        <f>IF(AND($L122&lt;&gt;"",V$3&lt;&gt;""),IF(NOT(ISNUMBER(_xll.ciqfunctions.udf.CIQ(V$3, "IQ_BOND_PRICE", $L122))),NA(),_xll.ciqfunctions.udf.CIQ(V$3, "IQ_BOND_PRICE", $L122)),"")</f>
        <v>106.46053999999999</v>
      </c>
      <c r="W122" s="424">
        <f>IF(AND($L122&lt;&gt;"",W$3&lt;&gt;""),IF(NOT(ISNUMBER(_xll.ciqfunctions.udf.CIQ(W$3, "IQ_BOND_PRICE", $L122))),NA(),_xll.ciqfunctions.udf.CIQ(W$3, "IQ_BOND_PRICE", $L122)),"")</f>
        <v>110.10299999999999</v>
      </c>
      <c r="X122" s="424">
        <f>IF(AND($L122&lt;&gt;"",X$3&lt;&gt;""),IF(NOT(ISNUMBER(_xll.ciqfunctions.udf.CIQ(X$3, "IQ_BOND_PRICE", $L122))),NA(),_xll.ciqfunctions.udf.CIQ(X$3, "IQ_BOND_PRICE", $L122)),"")</f>
        <v>111.702</v>
      </c>
      <c r="Y122" s="424">
        <f>IF(AND($L122&lt;&gt;"",Y$3&lt;&gt;""),IF(NOT(ISNUMBER(_xll.ciqfunctions.udf.CIQ(Y$3, "IQ_BOND_PRICE", $L122))),NA(),_xll.ciqfunctions.udf.CIQ(Y$3, "IQ_BOND_PRICE", $L122)),"")</f>
        <v>109.586</v>
      </c>
      <c r="Z122" s="424">
        <f>IF(AND($L122&lt;&gt;"",Z$3&lt;&gt;""),IF(NOT(ISNUMBER(_xll.ciqfunctions.udf.CIQ(Z$3, "IQ_BOND_PRICE", $L122))),NA(),_xll.ciqfunctions.udf.CIQ(Z$3, "IQ_BOND_PRICE", $L122)),"")</f>
        <v>0</v>
      </c>
      <c r="CZ122" s="426"/>
    </row>
    <row r="123" spans="12:104" x14ac:dyDescent="0.2">
      <c r="L123" s="425">
        <f t="shared" si="1"/>
        <v>44445</v>
      </c>
      <c r="M123" s="424">
        <f>IF(AND($L123&lt;&gt;"",M$3&lt;&gt;""),IF(NOT(ISNUMBER(_xll.ciqfunctions.udf.CIQ(M$3, "IQ_BOND_PRICE", $L123))),NA(),_xll.ciqfunctions.udf.CIQ(M$3, "IQ_BOND_PRICE", $L123)),"")</f>
        <v>100.80800000000001</v>
      </c>
      <c r="N123" s="424">
        <f>IF(AND($L123&lt;&gt;"",N$3&lt;&gt;""),IF(NOT(ISNUMBER(_xll.ciqfunctions.udf.CIQ(N$3, "IQ_BOND_PRICE", $L123))),NA(),_xll.ciqfunctions.udf.CIQ(N$3, "IQ_BOND_PRICE", $L123)),"")</f>
        <v>0</v>
      </c>
      <c r="O123" s="424">
        <f>IF(AND($L123&lt;&gt;"",O$3&lt;&gt;""),IF(NOT(ISNUMBER(_xll.ciqfunctions.udf.CIQ(O$3, "IQ_BOND_PRICE", $L123))),NA(),_xll.ciqfunctions.udf.CIQ(O$3, "IQ_BOND_PRICE", $L123)),"")</f>
        <v>102.488</v>
      </c>
      <c r="P123" s="424">
        <f>IF(AND($L123&lt;&gt;"",P$3&lt;&gt;""),IF(NOT(ISNUMBER(_xll.ciqfunctions.udf.CIQ(P$3, "IQ_BOND_PRICE", $L123))),NA(),_xll.ciqfunctions.udf.CIQ(P$3, "IQ_BOND_PRICE", $L123)),"")</f>
        <v>103.08</v>
      </c>
      <c r="Q123" s="424">
        <f>IF(AND($L123&lt;&gt;"",Q$3&lt;&gt;""),IF(NOT(ISNUMBER(_xll.ciqfunctions.udf.CIQ(Q$3, "IQ_BOND_PRICE", $L123))),NA(),_xll.ciqfunctions.udf.CIQ(Q$3, "IQ_BOND_PRICE", $L123)),"")</f>
        <v>105.336</v>
      </c>
      <c r="R123" s="424">
        <f>IF(AND($L123&lt;&gt;"",R$3&lt;&gt;""),IF(NOT(ISNUMBER(_xll.ciqfunctions.udf.CIQ(R$3, "IQ_BOND_PRICE", $L123))),NA(),_xll.ciqfunctions.udf.CIQ(R$3, "IQ_BOND_PRICE", $L123)),"")</f>
        <v>111.93</v>
      </c>
      <c r="S123" s="424">
        <f>IF(AND($L123&lt;&gt;"",S$3&lt;&gt;""),IF(NOT(ISNUMBER(_xll.ciqfunctions.udf.CIQ(S$3, "IQ_BOND_PRICE", $L123))),NA(),_xll.ciqfunctions.udf.CIQ(S$3, "IQ_BOND_PRICE", $L123)),"")</f>
        <v>106.852</v>
      </c>
      <c r="T123" s="424">
        <f>IF(AND($L123&lt;&gt;"",T$3&lt;&gt;""),IF(NOT(ISNUMBER(_xll.ciqfunctions.udf.CIQ(T$3, "IQ_BOND_PRICE", $L123))),NA(),_xll.ciqfunctions.udf.CIQ(T$3, "IQ_BOND_PRICE", $L123)),"")</f>
        <v>106.37</v>
      </c>
      <c r="U123" s="424">
        <f>IF(AND($L123&lt;&gt;"",U$3&lt;&gt;""),IF(NOT(ISNUMBER(_xll.ciqfunctions.udf.CIQ(U$3, "IQ_BOND_PRICE", $L123))),NA(),_xll.ciqfunctions.udf.CIQ(U$3, "IQ_BOND_PRICE", $L123)),"")</f>
        <v>99.881960000000007</v>
      </c>
      <c r="V123" s="424">
        <f>IF(AND($L123&lt;&gt;"",V$3&lt;&gt;""),IF(NOT(ISNUMBER(_xll.ciqfunctions.udf.CIQ(V$3, "IQ_BOND_PRICE", $L123))),NA(),_xll.ciqfunctions.udf.CIQ(V$3, "IQ_BOND_PRICE", $L123)),"")</f>
        <v>106.23</v>
      </c>
      <c r="W123" s="424">
        <f>IF(AND($L123&lt;&gt;"",W$3&lt;&gt;""),IF(NOT(ISNUMBER(_xll.ciqfunctions.udf.CIQ(W$3, "IQ_BOND_PRICE", $L123))),NA(),_xll.ciqfunctions.udf.CIQ(W$3, "IQ_BOND_PRICE", $L123)),"")</f>
        <v>109.96</v>
      </c>
      <c r="X123" s="424">
        <f>IF(AND($L123&lt;&gt;"",X$3&lt;&gt;""),IF(NOT(ISNUMBER(_xll.ciqfunctions.udf.CIQ(X$3, "IQ_BOND_PRICE", $L123))),NA(),_xll.ciqfunctions.udf.CIQ(X$3, "IQ_BOND_PRICE", $L123)),"")</f>
        <v>111.658</v>
      </c>
      <c r="Y123" s="424">
        <f>IF(AND($L123&lt;&gt;"",Y$3&lt;&gt;""),IF(NOT(ISNUMBER(_xll.ciqfunctions.udf.CIQ(Y$3, "IQ_BOND_PRICE", $L123))),NA(),_xll.ciqfunctions.udf.CIQ(Y$3, "IQ_BOND_PRICE", $L123)),"")</f>
        <v>109.45</v>
      </c>
      <c r="Z123" s="424">
        <f>IF(AND($L123&lt;&gt;"",Z$3&lt;&gt;""),IF(NOT(ISNUMBER(_xll.ciqfunctions.udf.CIQ(Z$3, "IQ_BOND_PRICE", $L123))),NA(),_xll.ciqfunctions.udf.CIQ(Z$3, "IQ_BOND_PRICE", $L123)),"")</f>
        <v>0</v>
      </c>
      <c r="CZ123" s="426"/>
    </row>
    <row r="124" spans="12:104" x14ac:dyDescent="0.2">
      <c r="L124" s="425">
        <f t="shared" si="1"/>
        <v>44446</v>
      </c>
      <c r="M124" s="424">
        <f>IF(AND($L124&lt;&gt;"",M$3&lt;&gt;""),IF(NOT(ISNUMBER(_xll.ciqfunctions.udf.CIQ(M$3, "IQ_BOND_PRICE", $L124))),NA(),_xll.ciqfunctions.udf.CIQ(M$3, "IQ_BOND_PRICE", $L124)),"")</f>
        <v>100.797</v>
      </c>
      <c r="N124" s="424">
        <f>IF(AND($L124&lt;&gt;"",N$3&lt;&gt;""),IF(NOT(ISNUMBER(_xll.ciqfunctions.udf.CIQ(N$3, "IQ_BOND_PRICE", $L124))),NA(),_xll.ciqfunctions.udf.CIQ(N$3, "IQ_BOND_PRICE", $L124)),"")</f>
        <v>0</v>
      </c>
      <c r="O124" s="424">
        <f>IF(AND($L124&lt;&gt;"",O$3&lt;&gt;""),IF(NOT(ISNUMBER(_xll.ciqfunctions.udf.CIQ(O$3, "IQ_BOND_PRICE", $L124))),NA(),_xll.ciqfunctions.udf.CIQ(O$3, "IQ_BOND_PRICE", $L124)),"")</f>
        <v>102.53594</v>
      </c>
      <c r="P124" s="424">
        <f>IF(AND($L124&lt;&gt;"",P$3&lt;&gt;""),IF(NOT(ISNUMBER(_xll.ciqfunctions.udf.CIQ(P$3, "IQ_BOND_PRICE", $L124))),NA(),_xll.ciqfunctions.udf.CIQ(P$3, "IQ_BOND_PRICE", $L124)),"")</f>
        <v>103.233</v>
      </c>
      <c r="Q124" s="424">
        <f>IF(AND($L124&lt;&gt;"",Q$3&lt;&gt;""),IF(NOT(ISNUMBER(_xll.ciqfunctions.udf.CIQ(Q$3, "IQ_BOND_PRICE", $L124))),NA(),_xll.ciqfunctions.udf.CIQ(Q$3, "IQ_BOND_PRICE", $L124)),"")</f>
        <v>105.395</v>
      </c>
      <c r="R124" s="424">
        <f>IF(AND($L124&lt;&gt;"",R$3&lt;&gt;""),IF(NOT(ISNUMBER(_xll.ciqfunctions.udf.CIQ(R$3, "IQ_BOND_PRICE", $L124))),NA(),_xll.ciqfunctions.udf.CIQ(R$3, "IQ_BOND_PRICE", $L124)),"")</f>
        <v>112.848</v>
      </c>
      <c r="S124" s="424">
        <f>IF(AND($L124&lt;&gt;"",S$3&lt;&gt;""),IF(NOT(ISNUMBER(_xll.ciqfunctions.udf.CIQ(S$3, "IQ_BOND_PRICE", $L124))),NA(),_xll.ciqfunctions.udf.CIQ(S$3, "IQ_BOND_PRICE", $L124)),"")</f>
        <v>106.791</v>
      </c>
      <c r="T124" s="424">
        <f>IF(AND($L124&lt;&gt;"",T$3&lt;&gt;""),IF(NOT(ISNUMBER(_xll.ciqfunctions.udf.CIQ(T$3, "IQ_BOND_PRICE", $L124))),NA(),_xll.ciqfunctions.udf.CIQ(T$3, "IQ_BOND_PRICE", $L124)),"")</f>
        <v>106.384</v>
      </c>
      <c r="U124" s="424">
        <f>IF(AND($L124&lt;&gt;"",U$3&lt;&gt;""),IF(NOT(ISNUMBER(_xll.ciqfunctions.udf.CIQ(U$3, "IQ_BOND_PRICE", $L124))),NA(),_xll.ciqfunctions.udf.CIQ(U$3, "IQ_BOND_PRICE", $L124)),"")</f>
        <v>99.888779999999997</v>
      </c>
      <c r="V124" s="424">
        <f>IF(AND($L124&lt;&gt;"",V$3&lt;&gt;""),IF(NOT(ISNUMBER(_xll.ciqfunctions.udf.CIQ(V$3, "IQ_BOND_PRICE", $L124))),NA(),_xll.ciqfunctions.udf.CIQ(V$3, "IQ_BOND_PRICE", $L124)),"")</f>
        <v>106.38636</v>
      </c>
      <c r="W124" s="424">
        <f>IF(AND($L124&lt;&gt;"",W$3&lt;&gt;""),IF(NOT(ISNUMBER(_xll.ciqfunctions.udf.CIQ(W$3, "IQ_BOND_PRICE", $L124))),NA(),_xll.ciqfunctions.udf.CIQ(W$3, "IQ_BOND_PRICE", $L124)),"")</f>
        <v>109.968</v>
      </c>
      <c r="X124" s="424">
        <f>IF(AND($L124&lt;&gt;"",X$3&lt;&gt;""),IF(NOT(ISNUMBER(_xll.ciqfunctions.udf.CIQ(X$3, "IQ_BOND_PRICE", $L124))),NA(),_xll.ciqfunctions.udf.CIQ(X$3, "IQ_BOND_PRICE", $L124)),"")</f>
        <v>111.55800000000001</v>
      </c>
      <c r="Y124" s="424">
        <f>IF(AND($L124&lt;&gt;"",Y$3&lt;&gt;""),IF(NOT(ISNUMBER(_xll.ciqfunctions.udf.CIQ(Y$3, "IQ_BOND_PRICE", $L124))),NA(),_xll.ciqfunctions.udf.CIQ(Y$3, "IQ_BOND_PRICE", $L124)),"")</f>
        <v>109.413</v>
      </c>
      <c r="Z124" s="424">
        <f>IF(AND($L124&lt;&gt;"",Z$3&lt;&gt;""),IF(NOT(ISNUMBER(_xll.ciqfunctions.udf.CIQ(Z$3, "IQ_BOND_PRICE", $L124))),NA(),_xll.ciqfunctions.udf.CIQ(Z$3, "IQ_BOND_PRICE", $L124)),"")</f>
        <v>0</v>
      </c>
      <c r="CZ124" s="426"/>
    </row>
    <row r="125" spans="12:104" x14ac:dyDescent="0.2">
      <c r="L125" s="425">
        <f t="shared" si="1"/>
        <v>44447</v>
      </c>
      <c r="M125" s="424">
        <f>IF(AND($L125&lt;&gt;"",M$3&lt;&gt;""),IF(NOT(ISNUMBER(_xll.ciqfunctions.udf.CIQ(M$3, "IQ_BOND_PRICE", $L125))),NA(),_xll.ciqfunctions.udf.CIQ(M$3, "IQ_BOND_PRICE", $L125)),"")</f>
        <v>100.786</v>
      </c>
      <c r="N125" s="424">
        <f>IF(AND($L125&lt;&gt;"",N$3&lt;&gt;""),IF(NOT(ISNUMBER(_xll.ciqfunctions.udf.CIQ(N$3, "IQ_BOND_PRICE", $L125))),NA(),_xll.ciqfunctions.udf.CIQ(N$3, "IQ_BOND_PRICE", $L125)),"")</f>
        <v>0</v>
      </c>
      <c r="O125" s="424">
        <f>IF(AND($L125&lt;&gt;"",O$3&lt;&gt;""),IF(NOT(ISNUMBER(_xll.ciqfunctions.udf.CIQ(O$3, "IQ_BOND_PRICE", $L125))),NA(),_xll.ciqfunctions.udf.CIQ(O$3, "IQ_BOND_PRICE", $L125)),"")</f>
        <v>102.5346</v>
      </c>
      <c r="P125" s="424">
        <f>IF(AND($L125&lt;&gt;"",P$3&lt;&gt;""),IF(NOT(ISNUMBER(_xll.ciqfunctions.udf.CIQ(P$3, "IQ_BOND_PRICE", $L125))),NA(),_xll.ciqfunctions.udf.CIQ(P$3, "IQ_BOND_PRICE", $L125)),"")</f>
        <v>103.14225999999999</v>
      </c>
      <c r="Q125" s="424">
        <f>IF(AND($L125&lt;&gt;"",Q$3&lt;&gt;""),IF(NOT(ISNUMBER(_xll.ciqfunctions.udf.CIQ(Q$3, "IQ_BOND_PRICE", $L125))),NA(),_xll.ciqfunctions.udf.CIQ(Q$3, "IQ_BOND_PRICE", $L125)),"")</f>
        <v>105.39700000000001</v>
      </c>
      <c r="R125" s="424">
        <f>IF(AND($L125&lt;&gt;"",R$3&lt;&gt;""),IF(NOT(ISNUMBER(_xll.ciqfunctions.udf.CIQ(R$3, "IQ_BOND_PRICE", $L125))),NA(),_xll.ciqfunctions.udf.CIQ(R$3, "IQ_BOND_PRICE", $L125)),"")</f>
        <v>112.833</v>
      </c>
      <c r="S125" s="424">
        <f>IF(AND($L125&lt;&gt;"",S$3&lt;&gt;""),IF(NOT(ISNUMBER(_xll.ciqfunctions.udf.CIQ(S$3, "IQ_BOND_PRICE", $L125))),NA(),_xll.ciqfunctions.udf.CIQ(S$3, "IQ_BOND_PRICE", $L125)),"")</f>
        <v>106.679</v>
      </c>
      <c r="T125" s="424">
        <f>IF(AND($L125&lt;&gt;"",T$3&lt;&gt;""),IF(NOT(ISNUMBER(_xll.ciqfunctions.udf.CIQ(T$3, "IQ_BOND_PRICE", $L125))),NA(),_xll.ciqfunctions.udf.CIQ(T$3, "IQ_BOND_PRICE", $L125)),"")</f>
        <v>106.343</v>
      </c>
      <c r="U125" s="424">
        <f>IF(AND($L125&lt;&gt;"",U$3&lt;&gt;""),IF(NOT(ISNUMBER(_xll.ciqfunctions.udf.CIQ(U$3, "IQ_BOND_PRICE", $L125))),NA(),_xll.ciqfunctions.udf.CIQ(U$3, "IQ_BOND_PRICE", $L125)),"")</f>
        <v>99.877570000000006</v>
      </c>
      <c r="V125" s="424">
        <f>IF(AND($L125&lt;&gt;"",V$3&lt;&gt;""),IF(NOT(ISNUMBER(_xll.ciqfunctions.udf.CIQ(V$3, "IQ_BOND_PRICE", $L125))),NA(),_xll.ciqfunctions.udf.CIQ(V$3, "IQ_BOND_PRICE", $L125)),"")</f>
        <v>106.32607</v>
      </c>
      <c r="W125" s="424">
        <f>IF(AND($L125&lt;&gt;"",W$3&lt;&gt;""),IF(NOT(ISNUMBER(_xll.ciqfunctions.udf.CIQ(W$3, "IQ_BOND_PRICE", $L125))),NA(),_xll.ciqfunctions.udf.CIQ(W$3, "IQ_BOND_PRICE", $L125)),"")</f>
        <v>110.087</v>
      </c>
      <c r="X125" s="424">
        <f>IF(AND($L125&lt;&gt;"",X$3&lt;&gt;""),IF(NOT(ISNUMBER(_xll.ciqfunctions.udf.CIQ(X$3, "IQ_BOND_PRICE", $L125))),NA(),_xll.ciqfunctions.udf.CIQ(X$3, "IQ_BOND_PRICE", $L125)),"")</f>
        <v>111.548</v>
      </c>
      <c r="Y125" s="424">
        <f>IF(AND($L125&lt;&gt;"",Y$3&lt;&gt;""),IF(NOT(ISNUMBER(_xll.ciqfunctions.udf.CIQ(Y$3, "IQ_BOND_PRICE", $L125))),NA(),_xll.ciqfunctions.udf.CIQ(Y$3, "IQ_BOND_PRICE", $L125)),"")</f>
        <v>109.383</v>
      </c>
      <c r="Z125" s="424">
        <f>IF(AND($L125&lt;&gt;"",Z$3&lt;&gt;""),IF(NOT(ISNUMBER(_xll.ciqfunctions.udf.CIQ(Z$3, "IQ_BOND_PRICE", $L125))),NA(),_xll.ciqfunctions.udf.CIQ(Z$3, "IQ_BOND_PRICE", $L125)),"")</f>
        <v>0</v>
      </c>
      <c r="CZ125" s="426"/>
    </row>
    <row r="126" spans="12:104" x14ac:dyDescent="0.2">
      <c r="L126" s="425">
        <f t="shared" si="1"/>
        <v>44448</v>
      </c>
      <c r="M126" s="424">
        <f>IF(AND($L126&lt;&gt;"",M$3&lt;&gt;""),IF(NOT(ISNUMBER(_xll.ciqfunctions.udf.CIQ(M$3, "IQ_BOND_PRICE", $L126))),NA(),_xll.ciqfunctions.udf.CIQ(M$3, "IQ_BOND_PRICE", $L126)),"")</f>
        <v>100.77200000000001</v>
      </c>
      <c r="N126" s="424">
        <f>IF(AND($L126&lt;&gt;"",N$3&lt;&gt;""),IF(NOT(ISNUMBER(_xll.ciqfunctions.udf.CIQ(N$3, "IQ_BOND_PRICE", $L126))),NA(),_xll.ciqfunctions.udf.CIQ(N$3, "IQ_BOND_PRICE", $L126)),"")</f>
        <v>0</v>
      </c>
      <c r="O126" s="424">
        <f>IF(AND($L126&lt;&gt;"",O$3&lt;&gt;""),IF(NOT(ISNUMBER(_xll.ciqfunctions.udf.CIQ(O$3, "IQ_BOND_PRICE", $L126))),NA(),_xll.ciqfunctions.udf.CIQ(O$3, "IQ_BOND_PRICE", $L126)),"")</f>
        <v>102.52368</v>
      </c>
      <c r="P126" s="424">
        <f>IF(AND($L126&lt;&gt;"",P$3&lt;&gt;""),IF(NOT(ISNUMBER(_xll.ciqfunctions.udf.CIQ(P$3, "IQ_BOND_PRICE", $L126))),NA(),_xll.ciqfunctions.udf.CIQ(P$3, "IQ_BOND_PRICE", $L126)),"")</f>
        <v>103.11638000000001</v>
      </c>
      <c r="Q126" s="424">
        <f>IF(AND($L126&lt;&gt;"",Q$3&lt;&gt;""),IF(NOT(ISNUMBER(_xll.ciqfunctions.udf.CIQ(Q$3, "IQ_BOND_PRICE", $L126))),NA(),_xll.ciqfunctions.udf.CIQ(Q$3, "IQ_BOND_PRICE", $L126)),"")</f>
        <v>105.188</v>
      </c>
      <c r="R126" s="424">
        <f>IF(AND($L126&lt;&gt;"",R$3&lt;&gt;""),IF(NOT(ISNUMBER(_xll.ciqfunctions.udf.CIQ(R$3, "IQ_BOND_PRICE", $L126))),NA(),_xll.ciqfunctions.udf.CIQ(R$3, "IQ_BOND_PRICE", $L126)),"")</f>
        <v>112.592</v>
      </c>
      <c r="S126" s="424">
        <f>IF(AND($L126&lt;&gt;"",S$3&lt;&gt;""),IF(NOT(ISNUMBER(_xll.ciqfunctions.udf.CIQ(S$3, "IQ_BOND_PRICE", $L126))),NA(),_xll.ciqfunctions.udf.CIQ(S$3, "IQ_BOND_PRICE", $L126)),"")</f>
        <v>106.7</v>
      </c>
      <c r="T126" s="424">
        <f>IF(AND($L126&lt;&gt;"",T$3&lt;&gt;""),IF(NOT(ISNUMBER(_xll.ciqfunctions.udf.CIQ(T$3, "IQ_BOND_PRICE", $L126))),NA(),_xll.ciqfunctions.udf.CIQ(T$3, "IQ_BOND_PRICE", $L126)),"")</f>
        <v>106.33499999999999</v>
      </c>
      <c r="U126" s="424">
        <f>IF(AND($L126&lt;&gt;"",U$3&lt;&gt;""),IF(NOT(ISNUMBER(_xll.ciqfunctions.udf.CIQ(U$3, "IQ_BOND_PRICE", $L126))),NA(),_xll.ciqfunctions.udf.CIQ(U$3, "IQ_BOND_PRICE", $L126)),"")</f>
        <v>99.878519999999995</v>
      </c>
      <c r="V126" s="424">
        <f>IF(AND($L126&lt;&gt;"",V$3&lt;&gt;""),IF(NOT(ISNUMBER(_xll.ciqfunctions.udf.CIQ(V$3, "IQ_BOND_PRICE", $L126))),NA(),_xll.ciqfunctions.udf.CIQ(V$3, "IQ_BOND_PRICE", $L126)),"")</f>
        <v>106.32611</v>
      </c>
      <c r="W126" s="424">
        <f>IF(AND($L126&lt;&gt;"",W$3&lt;&gt;""),IF(NOT(ISNUMBER(_xll.ciqfunctions.udf.CIQ(W$3, "IQ_BOND_PRICE", $L126))),NA(),_xll.ciqfunctions.udf.CIQ(W$3, "IQ_BOND_PRICE", $L126)),"")</f>
        <v>109.869</v>
      </c>
      <c r="X126" s="424">
        <f>IF(AND($L126&lt;&gt;"",X$3&lt;&gt;""),IF(NOT(ISNUMBER(_xll.ciqfunctions.udf.CIQ(X$3, "IQ_BOND_PRICE", $L126))),NA(),_xll.ciqfunctions.udf.CIQ(X$3, "IQ_BOND_PRICE", $L126)),"")</f>
        <v>111.626</v>
      </c>
      <c r="Y126" s="424">
        <f>IF(AND($L126&lt;&gt;"",Y$3&lt;&gt;""),IF(NOT(ISNUMBER(_xll.ciqfunctions.udf.CIQ(Y$3, "IQ_BOND_PRICE", $L126))),NA(),_xll.ciqfunctions.udf.CIQ(Y$3, "IQ_BOND_PRICE", $L126)),"")</f>
        <v>109.539</v>
      </c>
      <c r="Z126" s="424">
        <f>IF(AND($L126&lt;&gt;"",Z$3&lt;&gt;""),IF(NOT(ISNUMBER(_xll.ciqfunctions.udf.CIQ(Z$3, "IQ_BOND_PRICE", $L126))),NA(),_xll.ciqfunctions.udf.CIQ(Z$3, "IQ_BOND_PRICE", $L126)),"")</f>
        <v>100.09341999999999</v>
      </c>
      <c r="CZ126" s="426"/>
    </row>
    <row r="127" spans="12:104" x14ac:dyDescent="0.2">
      <c r="L127" s="425">
        <f t="shared" si="1"/>
        <v>44449</v>
      </c>
      <c r="M127" s="424">
        <f>IF(AND($L127&lt;&gt;"",M$3&lt;&gt;""),IF(NOT(ISNUMBER(_xll.ciqfunctions.udf.CIQ(M$3, "IQ_BOND_PRICE", $L127))),NA(),_xll.ciqfunctions.udf.CIQ(M$3, "IQ_BOND_PRICE", $L127)),"")</f>
        <v>100.76600000000001</v>
      </c>
      <c r="N127" s="424">
        <f>IF(AND($L127&lt;&gt;"",N$3&lt;&gt;""),IF(NOT(ISNUMBER(_xll.ciqfunctions.udf.CIQ(N$3, "IQ_BOND_PRICE", $L127))),NA(),_xll.ciqfunctions.udf.CIQ(N$3, "IQ_BOND_PRICE", $L127)),"")</f>
        <v>0</v>
      </c>
      <c r="O127" s="424">
        <f>IF(AND($L127&lt;&gt;"",O$3&lt;&gt;""),IF(NOT(ISNUMBER(_xll.ciqfunctions.udf.CIQ(O$3, "IQ_BOND_PRICE", $L127))),NA(),_xll.ciqfunctions.udf.CIQ(O$3, "IQ_BOND_PRICE", $L127)),"")</f>
        <v>102.49744</v>
      </c>
      <c r="P127" s="424">
        <f>IF(AND($L127&lt;&gt;"",P$3&lt;&gt;""),IF(NOT(ISNUMBER(_xll.ciqfunctions.udf.CIQ(P$3, "IQ_BOND_PRICE", $L127))),NA(),_xll.ciqfunctions.udf.CIQ(P$3, "IQ_BOND_PRICE", $L127)),"")</f>
        <v>103.1221</v>
      </c>
      <c r="Q127" s="424">
        <f>IF(AND($L127&lt;&gt;"",Q$3&lt;&gt;""),IF(NOT(ISNUMBER(_xll.ciqfunctions.udf.CIQ(Q$3, "IQ_BOND_PRICE", $L127))),NA(),_xll.ciqfunctions.udf.CIQ(Q$3, "IQ_BOND_PRICE", $L127)),"")</f>
        <v>105.345</v>
      </c>
      <c r="R127" s="424">
        <f>IF(AND($L127&lt;&gt;"",R$3&lt;&gt;""),IF(NOT(ISNUMBER(_xll.ciqfunctions.udf.CIQ(R$3, "IQ_BOND_PRICE", $L127))),NA(),_xll.ciqfunctions.udf.CIQ(R$3, "IQ_BOND_PRICE", $L127)),"")</f>
        <v>112.508</v>
      </c>
      <c r="S127" s="424">
        <f>IF(AND($L127&lt;&gt;"",S$3&lt;&gt;""),IF(NOT(ISNUMBER(_xll.ciqfunctions.udf.CIQ(S$3, "IQ_BOND_PRICE", $L127))),NA(),_xll.ciqfunctions.udf.CIQ(S$3, "IQ_BOND_PRICE", $L127)),"")</f>
        <v>106.65300000000001</v>
      </c>
      <c r="T127" s="424">
        <f>IF(AND($L127&lt;&gt;"",T$3&lt;&gt;""),IF(NOT(ISNUMBER(_xll.ciqfunctions.udf.CIQ(T$3, "IQ_BOND_PRICE", $L127))),NA(),_xll.ciqfunctions.udf.CIQ(T$3, "IQ_BOND_PRICE", $L127)),"")</f>
        <v>106.283</v>
      </c>
      <c r="U127" s="424">
        <f>IF(AND($L127&lt;&gt;"",U$3&lt;&gt;""),IF(NOT(ISNUMBER(_xll.ciqfunctions.udf.CIQ(U$3, "IQ_BOND_PRICE", $L127))),NA(),_xll.ciqfunctions.udf.CIQ(U$3, "IQ_BOND_PRICE", $L127)),"")</f>
        <v>99.888400000000004</v>
      </c>
      <c r="V127" s="424">
        <f>IF(AND($L127&lt;&gt;"",V$3&lt;&gt;""),IF(NOT(ISNUMBER(_xll.ciqfunctions.udf.CIQ(V$3, "IQ_BOND_PRICE", $L127))),NA(),_xll.ciqfunctions.udf.CIQ(V$3, "IQ_BOND_PRICE", $L127)),"")</f>
        <v>106.26381000000001</v>
      </c>
      <c r="W127" s="424">
        <f>IF(AND($L127&lt;&gt;"",W$3&lt;&gt;""),IF(NOT(ISNUMBER(_xll.ciqfunctions.udf.CIQ(W$3, "IQ_BOND_PRICE", $L127))),NA(),_xll.ciqfunctions.udf.CIQ(W$3, "IQ_BOND_PRICE", $L127)),"")</f>
        <v>109.758</v>
      </c>
      <c r="X127" s="424">
        <f>IF(AND($L127&lt;&gt;"",X$3&lt;&gt;""),IF(NOT(ISNUMBER(_xll.ciqfunctions.udf.CIQ(X$3, "IQ_BOND_PRICE", $L127))),NA(),_xll.ciqfunctions.udf.CIQ(X$3, "IQ_BOND_PRICE", $L127)),"")</f>
        <v>111.6</v>
      </c>
      <c r="Y127" s="424">
        <f>IF(AND($L127&lt;&gt;"",Y$3&lt;&gt;""),IF(NOT(ISNUMBER(_xll.ciqfunctions.udf.CIQ(Y$3, "IQ_BOND_PRICE", $L127))),NA(),_xll.ciqfunctions.udf.CIQ(Y$3, "IQ_BOND_PRICE", $L127)),"")</f>
        <v>109.402</v>
      </c>
      <c r="Z127" s="424">
        <f>IF(AND($L127&lt;&gt;"",Z$3&lt;&gt;""),IF(NOT(ISNUMBER(_xll.ciqfunctions.udf.CIQ(Z$3, "IQ_BOND_PRICE", $L127))),NA(),_xll.ciqfunctions.udf.CIQ(Z$3, "IQ_BOND_PRICE", $L127)),"")</f>
        <v>100.06412</v>
      </c>
      <c r="CZ127" s="426"/>
    </row>
    <row r="128" spans="12:104" x14ac:dyDescent="0.2">
      <c r="L128" s="425">
        <f t="shared" si="1"/>
        <v>44452</v>
      </c>
      <c r="M128" s="424">
        <f>IF(AND($L128&lt;&gt;"",M$3&lt;&gt;""),IF(NOT(ISNUMBER(_xll.ciqfunctions.udf.CIQ(M$3, "IQ_BOND_PRICE", $L128))),NA(),_xll.ciqfunctions.udf.CIQ(M$3, "IQ_BOND_PRICE", $L128)),"")</f>
        <v>100.75700000000001</v>
      </c>
      <c r="N128" s="424">
        <f>IF(AND($L128&lt;&gt;"",N$3&lt;&gt;""),IF(NOT(ISNUMBER(_xll.ciqfunctions.udf.CIQ(N$3, "IQ_BOND_PRICE", $L128))),NA(),_xll.ciqfunctions.udf.CIQ(N$3, "IQ_BOND_PRICE", $L128)),"")</f>
        <v>0</v>
      </c>
      <c r="O128" s="424">
        <f>IF(AND($L128&lt;&gt;"",O$3&lt;&gt;""),IF(NOT(ISNUMBER(_xll.ciqfunctions.udf.CIQ(O$3, "IQ_BOND_PRICE", $L128))),NA(),_xll.ciqfunctions.udf.CIQ(O$3, "IQ_BOND_PRICE", $L128)),"")</f>
        <v>102.49611</v>
      </c>
      <c r="P128" s="424">
        <f>IF(AND($L128&lt;&gt;"",P$3&lt;&gt;""),IF(NOT(ISNUMBER(_xll.ciqfunctions.udf.CIQ(P$3, "IQ_BOND_PRICE", $L128))),NA(),_xll.ciqfunctions.udf.CIQ(P$3, "IQ_BOND_PRICE", $L128)),"")</f>
        <v>103.05786999999999</v>
      </c>
      <c r="Q128" s="424">
        <f>IF(AND($L128&lt;&gt;"",Q$3&lt;&gt;""),IF(NOT(ISNUMBER(_xll.ciqfunctions.udf.CIQ(Q$3, "IQ_BOND_PRICE", $L128))),NA(),_xll.ciqfunctions.udf.CIQ(Q$3, "IQ_BOND_PRICE", $L128)),"")</f>
        <v>105.381</v>
      </c>
      <c r="R128" s="424">
        <f>IF(AND($L128&lt;&gt;"",R$3&lt;&gt;""),IF(NOT(ISNUMBER(_xll.ciqfunctions.udf.CIQ(R$3, "IQ_BOND_PRICE", $L128))),NA(),_xll.ciqfunctions.udf.CIQ(R$3, "IQ_BOND_PRICE", $L128)),"")</f>
        <v>112.52800000000001</v>
      </c>
      <c r="S128" s="424">
        <f>IF(AND($L128&lt;&gt;"",S$3&lt;&gt;""),IF(NOT(ISNUMBER(_xll.ciqfunctions.udf.CIQ(S$3, "IQ_BOND_PRICE", $L128))),NA(),_xll.ciqfunctions.udf.CIQ(S$3, "IQ_BOND_PRICE", $L128)),"")</f>
        <v>106.623</v>
      </c>
      <c r="T128" s="424">
        <f>IF(AND($L128&lt;&gt;"",T$3&lt;&gt;""),IF(NOT(ISNUMBER(_xll.ciqfunctions.udf.CIQ(T$3, "IQ_BOND_PRICE", $L128))),NA(),_xll.ciqfunctions.udf.CIQ(T$3, "IQ_BOND_PRICE", $L128)),"")</f>
        <v>106.259</v>
      </c>
      <c r="U128" s="424">
        <f>IF(AND($L128&lt;&gt;"",U$3&lt;&gt;""),IF(NOT(ISNUMBER(_xll.ciqfunctions.udf.CIQ(U$3, "IQ_BOND_PRICE", $L128))),NA(),_xll.ciqfunctions.udf.CIQ(U$3, "IQ_BOND_PRICE", $L128)),"")</f>
        <v>99.90325</v>
      </c>
      <c r="V128" s="424">
        <f>IF(AND($L128&lt;&gt;"",V$3&lt;&gt;""),IF(NOT(ISNUMBER(_xll.ciqfunctions.udf.CIQ(V$3, "IQ_BOND_PRICE", $L128))),NA(),_xll.ciqfunctions.udf.CIQ(V$3, "IQ_BOND_PRICE", $L128)),"")</f>
        <v>106.22965000000001</v>
      </c>
      <c r="W128" s="424">
        <f>IF(AND($L128&lt;&gt;"",W$3&lt;&gt;""),IF(NOT(ISNUMBER(_xll.ciqfunctions.udf.CIQ(W$3, "IQ_BOND_PRICE", $L128))),NA(),_xll.ciqfunctions.udf.CIQ(W$3, "IQ_BOND_PRICE", $L128)),"")</f>
        <v>109.79300000000001</v>
      </c>
      <c r="X128" s="424">
        <f>IF(AND($L128&lt;&gt;"",X$3&lt;&gt;""),IF(NOT(ISNUMBER(_xll.ciqfunctions.udf.CIQ(X$3, "IQ_BOND_PRICE", $L128))),NA(),_xll.ciqfunctions.udf.CIQ(X$3, "IQ_BOND_PRICE", $L128)),"")</f>
        <v>111.586</v>
      </c>
      <c r="Y128" s="424">
        <f>IF(AND($L128&lt;&gt;"",Y$3&lt;&gt;""),IF(NOT(ISNUMBER(_xll.ciqfunctions.udf.CIQ(Y$3, "IQ_BOND_PRICE", $L128))),NA(),_xll.ciqfunctions.udf.CIQ(Y$3, "IQ_BOND_PRICE", $L128)),"")</f>
        <v>109.45</v>
      </c>
      <c r="Z128" s="424">
        <f>IF(AND($L128&lt;&gt;"",Z$3&lt;&gt;""),IF(NOT(ISNUMBER(_xll.ciqfunctions.udf.CIQ(Z$3, "IQ_BOND_PRICE", $L128))),NA(),_xll.ciqfunctions.udf.CIQ(Z$3, "IQ_BOND_PRICE", $L128)),"")</f>
        <v>100.17538999999999</v>
      </c>
      <c r="CZ128" s="426"/>
    </row>
    <row r="129" spans="12:104" x14ac:dyDescent="0.2">
      <c r="L129" s="425">
        <f t="shared" si="1"/>
        <v>44453</v>
      </c>
      <c r="M129" s="424">
        <f>IF(AND($L129&lt;&gt;"",M$3&lt;&gt;""),IF(NOT(ISNUMBER(_xll.ciqfunctions.udf.CIQ(M$3, "IQ_BOND_PRICE", $L129))),NA(),_xll.ciqfunctions.udf.CIQ(M$3, "IQ_BOND_PRICE", $L129)),"")</f>
        <v>100.752</v>
      </c>
      <c r="N129" s="424">
        <f>IF(AND($L129&lt;&gt;"",N$3&lt;&gt;""),IF(NOT(ISNUMBER(_xll.ciqfunctions.udf.CIQ(N$3, "IQ_BOND_PRICE", $L129))),NA(),_xll.ciqfunctions.udf.CIQ(N$3, "IQ_BOND_PRICE", $L129)),"")</f>
        <v>0</v>
      </c>
      <c r="O129" s="424">
        <f>IF(AND($L129&lt;&gt;"",O$3&lt;&gt;""),IF(NOT(ISNUMBER(_xll.ciqfunctions.udf.CIQ(O$3, "IQ_BOND_PRICE", $L129))),NA(),_xll.ciqfunctions.udf.CIQ(O$3, "IQ_BOND_PRICE", $L129)),"")</f>
        <v>102.47763</v>
      </c>
      <c r="P129" s="424">
        <f>IF(AND($L129&lt;&gt;"",P$3&lt;&gt;""),IF(NOT(ISNUMBER(_xll.ciqfunctions.udf.CIQ(P$3, "IQ_BOND_PRICE", $L129))),NA(),_xll.ciqfunctions.udf.CIQ(P$3, "IQ_BOND_PRICE", $L129)),"")</f>
        <v>103.09017</v>
      </c>
      <c r="Q129" s="424">
        <f>IF(AND($L129&lt;&gt;"",Q$3&lt;&gt;""),IF(NOT(ISNUMBER(_xll.ciqfunctions.udf.CIQ(Q$3, "IQ_BOND_PRICE", $L129))),NA(),_xll.ciqfunctions.udf.CIQ(Q$3, "IQ_BOND_PRICE", $L129)),"")</f>
        <v>105.42400000000001</v>
      </c>
      <c r="R129" s="424">
        <f>IF(AND($L129&lt;&gt;"",R$3&lt;&gt;""),IF(NOT(ISNUMBER(_xll.ciqfunctions.udf.CIQ(R$3, "IQ_BOND_PRICE", $L129))),NA(),_xll.ciqfunctions.udf.CIQ(R$3, "IQ_BOND_PRICE", $L129)),"")</f>
        <v>112.56399999999999</v>
      </c>
      <c r="S129" s="424">
        <f>IF(AND($L129&lt;&gt;"",S$3&lt;&gt;""),IF(NOT(ISNUMBER(_xll.ciqfunctions.udf.CIQ(S$3, "IQ_BOND_PRICE", $L129))),NA(),_xll.ciqfunctions.udf.CIQ(S$3, "IQ_BOND_PRICE", $L129)),"")</f>
        <v>106.64700000000001</v>
      </c>
      <c r="T129" s="424">
        <f>IF(AND($L129&lt;&gt;"",T$3&lt;&gt;""),IF(NOT(ISNUMBER(_xll.ciqfunctions.udf.CIQ(T$3, "IQ_BOND_PRICE", $L129))),NA(),_xll.ciqfunctions.udf.CIQ(T$3, "IQ_BOND_PRICE", $L129)),"")</f>
        <v>106.289</v>
      </c>
      <c r="U129" s="424">
        <f>IF(AND($L129&lt;&gt;"",U$3&lt;&gt;""),IF(NOT(ISNUMBER(_xll.ciqfunctions.udf.CIQ(U$3, "IQ_BOND_PRICE", $L129))),NA(),_xll.ciqfunctions.udf.CIQ(U$3, "IQ_BOND_PRICE", $L129)),"")</f>
        <v>99.900810000000007</v>
      </c>
      <c r="V129" s="424">
        <f>IF(AND($L129&lt;&gt;"",V$3&lt;&gt;""),IF(NOT(ISNUMBER(_xll.ciqfunctions.udf.CIQ(V$3, "IQ_BOND_PRICE", $L129))),NA(),_xll.ciqfunctions.udf.CIQ(V$3, "IQ_BOND_PRICE", $L129)),"")</f>
        <v>106.26558</v>
      </c>
      <c r="W129" s="424">
        <f>IF(AND($L129&lt;&gt;"",W$3&lt;&gt;""),IF(NOT(ISNUMBER(_xll.ciqfunctions.udf.CIQ(W$3, "IQ_BOND_PRICE", $L129))),NA(),_xll.ciqfunctions.udf.CIQ(W$3, "IQ_BOND_PRICE", $L129)),"")</f>
        <v>109.937</v>
      </c>
      <c r="X129" s="424">
        <f>IF(AND($L129&lt;&gt;"",X$3&lt;&gt;""),IF(NOT(ISNUMBER(_xll.ciqfunctions.udf.CIQ(X$3, "IQ_BOND_PRICE", $L129))),NA(),_xll.ciqfunctions.udf.CIQ(X$3, "IQ_BOND_PRICE", $L129)),"")</f>
        <v>111.58</v>
      </c>
      <c r="Y129" s="424">
        <f>IF(AND($L129&lt;&gt;"",Y$3&lt;&gt;""),IF(NOT(ISNUMBER(_xll.ciqfunctions.udf.CIQ(Y$3, "IQ_BOND_PRICE", $L129))),NA(),_xll.ciqfunctions.udf.CIQ(Y$3, "IQ_BOND_PRICE", $L129)),"")</f>
        <v>109.56</v>
      </c>
      <c r="Z129" s="424">
        <f>IF(AND($L129&lt;&gt;"",Z$3&lt;&gt;""),IF(NOT(ISNUMBER(_xll.ciqfunctions.udf.CIQ(Z$3, "IQ_BOND_PRICE", $L129))),NA(),_xll.ciqfunctions.udf.CIQ(Z$3, "IQ_BOND_PRICE", $L129)),"")</f>
        <v>100.39463000000001</v>
      </c>
      <c r="CZ129" s="426"/>
    </row>
    <row r="130" spans="12:104" x14ac:dyDescent="0.2">
      <c r="L130" s="425">
        <f t="shared" si="1"/>
        <v>44454</v>
      </c>
      <c r="M130" s="424">
        <f>IF(AND($L130&lt;&gt;"",M$3&lt;&gt;""),IF(NOT(ISNUMBER(_xll.ciqfunctions.udf.CIQ(M$3, "IQ_BOND_PRICE", $L130))),NA(),_xll.ciqfunctions.udf.CIQ(M$3, "IQ_BOND_PRICE", $L130)),"")</f>
        <v>100.74299999999999</v>
      </c>
      <c r="N130" s="424">
        <f>IF(AND($L130&lt;&gt;"",N$3&lt;&gt;""),IF(NOT(ISNUMBER(_xll.ciqfunctions.udf.CIQ(N$3, "IQ_BOND_PRICE", $L130))),NA(),_xll.ciqfunctions.udf.CIQ(N$3, "IQ_BOND_PRICE", $L130)),"")</f>
        <v>0</v>
      </c>
      <c r="O130" s="424">
        <f>IF(AND($L130&lt;&gt;"",O$3&lt;&gt;""),IF(NOT(ISNUMBER(_xll.ciqfunctions.udf.CIQ(O$3, "IQ_BOND_PRICE", $L130))),NA(),_xll.ciqfunctions.udf.CIQ(O$3, "IQ_BOND_PRICE", $L130)),"")</f>
        <v>102.50924999999999</v>
      </c>
      <c r="P130" s="424">
        <f>IF(AND($L130&lt;&gt;"",P$3&lt;&gt;""),IF(NOT(ISNUMBER(_xll.ciqfunctions.udf.CIQ(P$3, "IQ_BOND_PRICE", $L130))),NA(),_xll.ciqfunctions.udf.CIQ(P$3, "IQ_BOND_PRICE", $L130)),"")</f>
        <v>103.0814</v>
      </c>
      <c r="Q130" s="424">
        <f>IF(AND($L130&lt;&gt;"",Q$3&lt;&gt;""),IF(NOT(ISNUMBER(_xll.ciqfunctions.udf.CIQ(Q$3, "IQ_BOND_PRICE", $L130))),NA(),_xll.ciqfunctions.udf.CIQ(Q$3, "IQ_BOND_PRICE", $L130)),"")</f>
        <v>105.437</v>
      </c>
      <c r="R130" s="424">
        <f>IF(AND($L130&lt;&gt;"",R$3&lt;&gt;""),IF(NOT(ISNUMBER(_xll.ciqfunctions.udf.CIQ(R$3, "IQ_BOND_PRICE", $L130))),NA(),_xll.ciqfunctions.udf.CIQ(R$3, "IQ_BOND_PRICE", $L130)),"")</f>
        <v>112.521</v>
      </c>
      <c r="S130" s="424">
        <f>IF(AND($L130&lt;&gt;"",S$3&lt;&gt;""),IF(NOT(ISNUMBER(_xll.ciqfunctions.udf.CIQ(S$3, "IQ_BOND_PRICE", $L130))),NA(),_xll.ciqfunctions.udf.CIQ(S$3, "IQ_BOND_PRICE", $L130)),"")</f>
        <v>106.614</v>
      </c>
      <c r="T130" s="424">
        <f>IF(AND($L130&lt;&gt;"",T$3&lt;&gt;""),IF(NOT(ISNUMBER(_xll.ciqfunctions.udf.CIQ(T$3, "IQ_BOND_PRICE", $L130))),NA(),_xll.ciqfunctions.udf.CIQ(T$3, "IQ_BOND_PRICE", $L130)),"")</f>
        <v>106.253</v>
      </c>
      <c r="U130" s="424">
        <f>IF(AND($L130&lt;&gt;"",U$3&lt;&gt;""),IF(NOT(ISNUMBER(_xll.ciqfunctions.udf.CIQ(U$3, "IQ_BOND_PRICE", $L130))),NA(),_xll.ciqfunctions.udf.CIQ(U$3, "IQ_BOND_PRICE", $L130)),"")</f>
        <v>99.905760000000001</v>
      </c>
      <c r="V130" s="424">
        <f>IF(AND($L130&lt;&gt;"",V$3&lt;&gt;""),IF(NOT(ISNUMBER(_xll.ciqfunctions.udf.CIQ(V$3, "IQ_BOND_PRICE", $L130))),NA(),_xll.ciqfunctions.udf.CIQ(V$3, "IQ_BOND_PRICE", $L130)),"")</f>
        <v>106.22664</v>
      </c>
      <c r="W130" s="424">
        <f>IF(AND($L130&lt;&gt;"",W$3&lt;&gt;""),IF(NOT(ISNUMBER(_xll.ciqfunctions.udf.CIQ(W$3, "IQ_BOND_PRICE", $L130))),NA(),_xll.ciqfunctions.udf.CIQ(W$3, "IQ_BOND_PRICE", $L130)),"")</f>
        <v>109.842</v>
      </c>
      <c r="X130" s="424">
        <f>IF(AND($L130&lt;&gt;"",X$3&lt;&gt;""),IF(NOT(ISNUMBER(_xll.ciqfunctions.udf.CIQ(X$3, "IQ_BOND_PRICE", $L130))),NA(),_xll.ciqfunctions.udf.CIQ(X$3, "IQ_BOND_PRICE", $L130)),"")</f>
        <v>111.54900000000001</v>
      </c>
      <c r="Y130" s="424">
        <f>IF(AND($L130&lt;&gt;"",Y$3&lt;&gt;""),IF(NOT(ISNUMBER(_xll.ciqfunctions.udf.CIQ(Y$3, "IQ_BOND_PRICE", $L130))),NA(),_xll.ciqfunctions.udf.CIQ(Y$3, "IQ_BOND_PRICE", $L130)),"")</f>
        <v>109.45399999999999</v>
      </c>
      <c r="Z130" s="424">
        <f>IF(AND($L130&lt;&gt;"",Z$3&lt;&gt;""),IF(NOT(ISNUMBER(_xll.ciqfunctions.udf.CIQ(Z$3, "IQ_BOND_PRICE", $L130))),NA(),_xll.ciqfunctions.udf.CIQ(Z$3, "IQ_BOND_PRICE", $L130)),"")</f>
        <v>100.17773</v>
      </c>
      <c r="CZ130" s="426"/>
    </row>
    <row r="131" spans="12:104" x14ac:dyDescent="0.2">
      <c r="L131" s="425">
        <f t="shared" si="1"/>
        <v>44455</v>
      </c>
      <c r="M131" s="424">
        <f>IF(AND($L131&lt;&gt;"",M$3&lt;&gt;""),IF(NOT(ISNUMBER(_xll.ciqfunctions.udf.CIQ(M$3, "IQ_BOND_PRICE", $L131))),NA(),_xll.ciqfunctions.udf.CIQ(M$3, "IQ_BOND_PRICE", $L131)),"")</f>
        <v>100.72499999999999</v>
      </c>
      <c r="N131" s="424">
        <f>IF(AND($L131&lt;&gt;"",N$3&lt;&gt;""),IF(NOT(ISNUMBER(_xll.ciqfunctions.udf.CIQ(N$3, "IQ_BOND_PRICE", $L131))),NA(),_xll.ciqfunctions.udf.CIQ(N$3, "IQ_BOND_PRICE", $L131)),"")</f>
        <v>0</v>
      </c>
      <c r="O131" s="424">
        <f>IF(AND($L131&lt;&gt;"",O$3&lt;&gt;""),IF(NOT(ISNUMBER(_xll.ciqfunctions.udf.CIQ(O$3, "IQ_BOND_PRICE", $L131))),NA(),_xll.ciqfunctions.udf.CIQ(O$3, "IQ_BOND_PRICE", $L131)),"")</f>
        <v>102.48641000000001</v>
      </c>
      <c r="P131" s="424">
        <f>IF(AND($L131&lt;&gt;"",P$3&lt;&gt;""),IF(NOT(ISNUMBER(_xll.ciqfunctions.udf.CIQ(P$3, "IQ_BOND_PRICE", $L131))),NA(),_xll.ciqfunctions.udf.CIQ(P$3, "IQ_BOND_PRICE", $L131)),"")</f>
        <v>103.0835</v>
      </c>
      <c r="Q131" s="424">
        <f>IF(AND($L131&lt;&gt;"",Q$3&lt;&gt;""),IF(NOT(ISNUMBER(_xll.ciqfunctions.udf.CIQ(Q$3, "IQ_BOND_PRICE", $L131))),NA(),_xll.ciqfunctions.udf.CIQ(Q$3, "IQ_BOND_PRICE", $L131)),"")</f>
        <v>105.36</v>
      </c>
      <c r="R131" s="424">
        <f>IF(AND($L131&lt;&gt;"",R$3&lt;&gt;""),IF(NOT(ISNUMBER(_xll.ciqfunctions.udf.CIQ(R$3, "IQ_BOND_PRICE", $L131))),NA(),_xll.ciqfunctions.udf.CIQ(R$3, "IQ_BOND_PRICE", $L131)),"")</f>
        <v>112.452</v>
      </c>
      <c r="S131" s="424">
        <f>IF(AND($L131&lt;&gt;"",S$3&lt;&gt;""),IF(NOT(ISNUMBER(_xll.ciqfunctions.udf.CIQ(S$3, "IQ_BOND_PRICE", $L131))),NA(),_xll.ciqfunctions.udf.CIQ(S$3, "IQ_BOND_PRICE", $L131)),"")</f>
        <v>106.55200000000001</v>
      </c>
      <c r="T131" s="424">
        <f>IF(AND($L131&lt;&gt;"",T$3&lt;&gt;""),IF(NOT(ISNUMBER(_xll.ciqfunctions.udf.CIQ(T$3, "IQ_BOND_PRICE", $L131))),NA(),_xll.ciqfunctions.udf.CIQ(T$3, "IQ_BOND_PRICE", $L131)),"")</f>
        <v>106.202</v>
      </c>
      <c r="U131" s="424">
        <f>IF(AND($L131&lt;&gt;"",U$3&lt;&gt;""),IF(NOT(ISNUMBER(_xll.ciqfunctions.udf.CIQ(U$3, "IQ_BOND_PRICE", $L131))),NA(),_xll.ciqfunctions.udf.CIQ(U$3, "IQ_BOND_PRICE", $L131)),"")</f>
        <v>99.898099999999999</v>
      </c>
      <c r="V131" s="424">
        <f>IF(AND($L131&lt;&gt;"",V$3&lt;&gt;""),IF(NOT(ISNUMBER(_xll.ciqfunctions.udf.CIQ(V$3, "IQ_BOND_PRICE", $L131))),NA(),_xll.ciqfunctions.udf.CIQ(V$3, "IQ_BOND_PRICE", $L131)),"")</f>
        <v>106.20972999999999</v>
      </c>
      <c r="W131" s="424">
        <f>IF(AND($L131&lt;&gt;"",W$3&lt;&gt;""),IF(NOT(ISNUMBER(_xll.ciqfunctions.udf.CIQ(W$3, "IQ_BOND_PRICE", $L131))),NA(),_xll.ciqfunctions.udf.CIQ(W$3, "IQ_BOND_PRICE", $L131)),"")</f>
        <v>109.687</v>
      </c>
      <c r="X131" s="424">
        <f>IF(AND($L131&lt;&gt;"",X$3&lt;&gt;""),IF(NOT(ISNUMBER(_xll.ciqfunctions.udf.CIQ(X$3, "IQ_BOND_PRICE", $L131))),NA(),_xll.ciqfunctions.udf.CIQ(X$3, "IQ_BOND_PRICE", $L131)),"")</f>
        <v>111.535</v>
      </c>
      <c r="Y131" s="424">
        <f>IF(AND($L131&lt;&gt;"",Y$3&lt;&gt;""),IF(NOT(ISNUMBER(_xll.ciqfunctions.udf.CIQ(Y$3, "IQ_BOND_PRICE", $L131))),NA(),_xll.ciqfunctions.udf.CIQ(Y$3, "IQ_BOND_PRICE", $L131)),"")</f>
        <v>109.268</v>
      </c>
      <c r="Z131" s="424">
        <f>IF(AND($L131&lt;&gt;"",Z$3&lt;&gt;""),IF(NOT(ISNUMBER(_xll.ciqfunctions.udf.CIQ(Z$3, "IQ_BOND_PRICE", $L131))),NA(),_xll.ciqfunctions.udf.CIQ(Z$3, "IQ_BOND_PRICE", $L131)),"")</f>
        <v>100.14254</v>
      </c>
      <c r="CZ131" s="426"/>
    </row>
    <row r="132" spans="12:104" x14ac:dyDescent="0.2">
      <c r="L132" s="425">
        <f t="shared" si="1"/>
        <v>44456</v>
      </c>
      <c r="M132" s="424">
        <f>IF(AND($L132&lt;&gt;"",M$3&lt;&gt;""),IF(NOT(ISNUMBER(_xll.ciqfunctions.udf.CIQ(M$3, "IQ_BOND_PRICE", $L132))),NA(),_xll.ciqfunctions.udf.CIQ(M$3, "IQ_BOND_PRICE", $L132)),"")</f>
        <v>100.717</v>
      </c>
      <c r="N132" s="424">
        <f>IF(AND($L132&lt;&gt;"",N$3&lt;&gt;""),IF(NOT(ISNUMBER(_xll.ciqfunctions.udf.CIQ(N$3, "IQ_BOND_PRICE", $L132))),NA(),_xll.ciqfunctions.udf.CIQ(N$3, "IQ_BOND_PRICE", $L132)),"")</f>
        <v>0</v>
      </c>
      <c r="O132" s="424">
        <f>IF(AND($L132&lt;&gt;"",O$3&lt;&gt;""),IF(NOT(ISNUMBER(_xll.ciqfunctions.udf.CIQ(O$3, "IQ_BOND_PRICE", $L132))),NA(),_xll.ciqfunctions.udf.CIQ(O$3, "IQ_BOND_PRICE", $L132)),"")</f>
        <v>102.46755</v>
      </c>
      <c r="P132" s="424">
        <f>IF(AND($L132&lt;&gt;"",P$3&lt;&gt;""),IF(NOT(ISNUMBER(_xll.ciqfunctions.udf.CIQ(P$3, "IQ_BOND_PRICE", $L132))),NA(),_xll.ciqfunctions.udf.CIQ(P$3, "IQ_BOND_PRICE", $L132)),"")</f>
        <v>103.0547</v>
      </c>
      <c r="Q132" s="424">
        <f>IF(AND($L132&lt;&gt;"",Q$3&lt;&gt;""),IF(NOT(ISNUMBER(_xll.ciqfunctions.udf.CIQ(Q$3, "IQ_BOND_PRICE", $L132))),NA(),_xll.ciqfunctions.udf.CIQ(Q$3, "IQ_BOND_PRICE", $L132)),"")</f>
        <v>105.29600000000001</v>
      </c>
      <c r="R132" s="424">
        <f>IF(AND($L132&lt;&gt;"",R$3&lt;&gt;""),IF(NOT(ISNUMBER(_xll.ciqfunctions.udf.CIQ(R$3, "IQ_BOND_PRICE", $L132))),NA(),_xll.ciqfunctions.udf.CIQ(R$3, "IQ_BOND_PRICE", $L132)),"")</f>
        <v>112.38500000000001</v>
      </c>
      <c r="S132" s="424">
        <f>IF(AND($L132&lt;&gt;"",S$3&lt;&gt;""),IF(NOT(ISNUMBER(_xll.ciqfunctions.udf.CIQ(S$3, "IQ_BOND_PRICE", $L132))),NA(),_xll.ciqfunctions.udf.CIQ(S$3, "IQ_BOND_PRICE", $L132)),"")</f>
        <v>106.499</v>
      </c>
      <c r="T132" s="424">
        <f>IF(AND($L132&lt;&gt;"",T$3&lt;&gt;""),IF(NOT(ISNUMBER(_xll.ciqfunctions.udf.CIQ(T$3, "IQ_BOND_PRICE", $L132))),NA(),_xll.ciqfunctions.udf.CIQ(T$3, "IQ_BOND_PRICE", $L132)),"")</f>
        <v>106.14400000000001</v>
      </c>
      <c r="U132" s="424">
        <f>IF(AND($L132&lt;&gt;"",U$3&lt;&gt;""),IF(NOT(ISNUMBER(_xll.ciqfunctions.udf.CIQ(U$3, "IQ_BOND_PRICE", $L132))),NA(),_xll.ciqfunctions.udf.CIQ(U$3, "IQ_BOND_PRICE", $L132)),"")</f>
        <v>99.884640000000005</v>
      </c>
      <c r="V132" s="424">
        <f>IF(AND($L132&lt;&gt;"",V$3&lt;&gt;""),IF(NOT(ISNUMBER(_xll.ciqfunctions.udf.CIQ(V$3, "IQ_BOND_PRICE", $L132))),NA(),_xll.ciqfunctions.udf.CIQ(V$3, "IQ_BOND_PRICE", $L132)),"")</f>
        <v>106.14537</v>
      </c>
      <c r="W132" s="424">
        <f>IF(AND($L132&lt;&gt;"",W$3&lt;&gt;""),IF(NOT(ISNUMBER(_xll.ciqfunctions.udf.CIQ(W$3, "IQ_BOND_PRICE", $L132))),NA(),_xll.ciqfunctions.udf.CIQ(W$3, "IQ_BOND_PRICE", $L132)),"")</f>
        <v>109.55800000000001</v>
      </c>
      <c r="X132" s="424">
        <f>IF(AND($L132&lt;&gt;"",X$3&lt;&gt;""),IF(NOT(ISNUMBER(_xll.ciqfunctions.udf.CIQ(X$3, "IQ_BOND_PRICE", $L132))),NA(),_xll.ciqfunctions.udf.CIQ(X$3, "IQ_BOND_PRICE", $L132)),"")</f>
        <v>111.524</v>
      </c>
      <c r="Y132" s="424">
        <f>IF(AND($L132&lt;&gt;"",Y$3&lt;&gt;""),IF(NOT(ISNUMBER(_xll.ciqfunctions.udf.CIQ(Y$3, "IQ_BOND_PRICE", $L132))),NA(),_xll.ciqfunctions.udf.CIQ(Y$3, "IQ_BOND_PRICE", $L132)),"")</f>
        <v>109.108</v>
      </c>
      <c r="Z132" s="424">
        <f>IF(AND($L132&lt;&gt;"",Z$3&lt;&gt;""),IF(NOT(ISNUMBER(_xll.ciqfunctions.udf.CIQ(Z$3, "IQ_BOND_PRICE", $L132))),NA(),_xll.ciqfunctions.udf.CIQ(Z$3, "IQ_BOND_PRICE", $L132)),"")</f>
        <v>99.987030000000004</v>
      </c>
      <c r="CZ132" s="426"/>
    </row>
    <row r="133" spans="12:104" x14ac:dyDescent="0.2">
      <c r="L133" s="425">
        <f t="shared" si="1"/>
        <v>44459</v>
      </c>
      <c r="M133" s="424">
        <f>IF(AND($L133&lt;&gt;"",M$3&lt;&gt;""),IF(NOT(ISNUMBER(_xll.ciqfunctions.udf.CIQ(M$3, "IQ_BOND_PRICE", $L133))),NA(),_xll.ciqfunctions.udf.CIQ(M$3, "IQ_BOND_PRICE", $L133)),"")</f>
        <v>100.71</v>
      </c>
      <c r="N133" s="424">
        <f>IF(AND($L133&lt;&gt;"",N$3&lt;&gt;""),IF(NOT(ISNUMBER(_xll.ciqfunctions.udf.CIQ(N$3, "IQ_BOND_PRICE", $L133))),NA(),_xll.ciqfunctions.udf.CIQ(N$3, "IQ_BOND_PRICE", $L133)),"")</f>
        <v>0</v>
      </c>
      <c r="O133" s="424">
        <f>IF(AND($L133&lt;&gt;"",O$3&lt;&gt;""),IF(NOT(ISNUMBER(_xll.ciqfunctions.udf.CIQ(O$3, "IQ_BOND_PRICE", $L133))),NA(),_xll.ciqfunctions.udf.CIQ(O$3, "IQ_BOND_PRICE", $L133)),"")</f>
        <v>102.47084</v>
      </c>
      <c r="P133" s="424">
        <f>IF(AND($L133&lt;&gt;"",P$3&lt;&gt;""),IF(NOT(ISNUMBER(_xll.ciqfunctions.udf.CIQ(P$3, "IQ_BOND_PRICE", $L133))),NA(),_xll.ciqfunctions.udf.CIQ(P$3, "IQ_BOND_PRICE", $L133)),"")</f>
        <v>103.02974</v>
      </c>
      <c r="Q133" s="424">
        <f>IF(AND($L133&lt;&gt;"",Q$3&lt;&gt;""),IF(NOT(ISNUMBER(_xll.ciqfunctions.udf.CIQ(Q$3, "IQ_BOND_PRICE", $L133))),NA(),_xll.ciqfunctions.udf.CIQ(Q$3, "IQ_BOND_PRICE", $L133)),"")</f>
        <v>105.224</v>
      </c>
      <c r="R133" s="424">
        <f>IF(AND($L133&lt;&gt;"",R$3&lt;&gt;""),IF(NOT(ISNUMBER(_xll.ciqfunctions.udf.CIQ(R$3, "IQ_BOND_PRICE", $L133))),NA(),_xll.ciqfunctions.udf.CIQ(R$3, "IQ_BOND_PRICE", $L133)),"")</f>
        <v>112.376</v>
      </c>
      <c r="S133" s="424">
        <f>IF(AND($L133&lt;&gt;"",S$3&lt;&gt;""),IF(NOT(ISNUMBER(_xll.ciqfunctions.udf.CIQ(S$3, "IQ_BOND_PRICE", $L133))),NA(),_xll.ciqfunctions.udf.CIQ(S$3, "IQ_BOND_PRICE", $L133)),"")</f>
        <v>106.551</v>
      </c>
      <c r="T133" s="424">
        <f>IF(AND($L133&lt;&gt;"",T$3&lt;&gt;""),IF(NOT(ISNUMBER(_xll.ciqfunctions.udf.CIQ(T$3, "IQ_BOND_PRICE", $L133))),NA(),_xll.ciqfunctions.udf.CIQ(T$3, "IQ_BOND_PRICE", $L133)),"")</f>
        <v>106.196</v>
      </c>
      <c r="U133" s="424">
        <f>IF(AND($L133&lt;&gt;"",U$3&lt;&gt;""),IF(NOT(ISNUMBER(_xll.ciqfunctions.udf.CIQ(U$3, "IQ_BOND_PRICE", $L133))),NA(),_xll.ciqfunctions.udf.CIQ(U$3, "IQ_BOND_PRICE", $L133)),"")</f>
        <v>99.884839999999997</v>
      </c>
      <c r="V133" s="424">
        <f>IF(AND($L133&lt;&gt;"",V$3&lt;&gt;""),IF(NOT(ISNUMBER(_xll.ciqfunctions.udf.CIQ(V$3, "IQ_BOND_PRICE", $L133))),NA(),_xll.ciqfunctions.udf.CIQ(V$3, "IQ_BOND_PRICE", $L133)),"")</f>
        <v>106.20599</v>
      </c>
      <c r="W133" s="424">
        <f>IF(AND($L133&lt;&gt;"",W$3&lt;&gt;""),IF(NOT(ISNUMBER(_xll.ciqfunctions.udf.CIQ(W$3, "IQ_BOND_PRICE", $L133))),NA(),_xll.ciqfunctions.udf.CIQ(W$3, "IQ_BOND_PRICE", $L133)),"")</f>
        <v>109.72</v>
      </c>
      <c r="X133" s="424">
        <f>IF(AND($L133&lt;&gt;"",X$3&lt;&gt;""),IF(NOT(ISNUMBER(_xll.ciqfunctions.udf.CIQ(X$3, "IQ_BOND_PRICE", $L133))),NA(),_xll.ciqfunctions.udf.CIQ(X$3, "IQ_BOND_PRICE", $L133)),"")</f>
        <v>111.56699999999999</v>
      </c>
      <c r="Y133" s="424">
        <f>IF(AND($L133&lt;&gt;"",Y$3&lt;&gt;""),IF(NOT(ISNUMBER(_xll.ciqfunctions.udf.CIQ(Y$3, "IQ_BOND_PRICE", $L133))),NA(),_xll.ciqfunctions.udf.CIQ(Y$3, "IQ_BOND_PRICE", $L133)),"")</f>
        <v>109.318</v>
      </c>
      <c r="Z133" s="424">
        <f>IF(AND($L133&lt;&gt;"",Z$3&lt;&gt;""),IF(NOT(ISNUMBER(_xll.ciqfunctions.udf.CIQ(Z$3, "IQ_BOND_PRICE", $L133))),NA(),_xll.ciqfunctions.udf.CIQ(Z$3, "IQ_BOND_PRICE", $L133)),"")</f>
        <v>100.12254</v>
      </c>
      <c r="CZ133" s="426"/>
    </row>
    <row r="134" spans="12:104" x14ac:dyDescent="0.2">
      <c r="L134" s="425">
        <f t="shared" ref="L134:L197" si="2">+IF(WORKDAY($L133,1)&lt;=$M$2,WORKDAY($L133,1),"")</f>
        <v>44460</v>
      </c>
      <c r="M134" s="424">
        <f>IF(AND($L134&lt;&gt;"",M$3&lt;&gt;""),IF(NOT(ISNUMBER(_xll.ciqfunctions.udf.CIQ(M$3, "IQ_BOND_PRICE", $L134))),NA(),_xll.ciqfunctions.udf.CIQ(M$3, "IQ_BOND_PRICE", $L134)),"")</f>
        <v>100.706</v>
      </c>
      <c r="N134" s="424">
        <f>IF(AND($L134&lt;&gt;"",N$3&lt;&gt;""),IF(NOT(ISNUMBER(_xll.ciqfunctions.udf.CIQ(N$3, "IQ_BOND_PRICE", $L134))),NA(),_xll.ciqfunctions.udf.CIQ(N$3, "IQ_BOND_PRICE", $L134)),"")</f>
        <v>0</v>
      </c>
      <c r="O134" s="424">
        <f>IF(AND($L134&lt;&gt;"",O$3&lt;&gt;""),IF(NOT(ISNUMBER(_xll.ciqfunctions.udf.CIQ(O$3, "IQ_BOND_PRICE", $L134))),NA(),_xll.ciqfunctions.udf.CIQ(O$3, "IQ_BOND_PRICE", $L134)),"")</f>
        <v>102.46707000000001</v>
      </c>
      <c r="P134" s="424">
        <f>IF(AND($L134&lt;&gt;"",P$3&lt;&gt;""),IF(NOT(ISNUMBER(_xll.ciqfunctions.udf.CIQ(P$3, "IQ_BOND_PRICE", $L134))),NA(),_xll.ciqfunctions.udf.CIQ(P$3, "IQ_BOND_PRICE", $L134)),"")</f>
        <v>103.05314</v>
      </c>
      <c r="Q134" s="424">
        <f>IF(AND($L134&lt;&gt;"",Q$3&lt;&gt;""),IF(NOT(ISNUMBER(_xll.ciqfunctions.udf.CIQ(Q$3, "IQ_BOND_PRICE", $L134))),NA(),_xll.ciqfunctions.udf.CIQ(Q$3, "IQ_BOND_PRICE", $L134)),"")</f>
        <v>105.233</v>
      </c>
      <c r="R134" s="424">
        <f>IF(AND($L134&lt;&gt;"",R$3&lt;&gt;""),IF(NOT(ISNUMBER(_xll.ciqfunctions.udf.CIQ(R$3, "IQ_BOND_PRICE", $L134))),NA(),_xll.ciqfunctions.udf.CIQ(R$3, "IQ_BOND_PRICE", $L134)),"")</f>
        <v>112.324</v>
      </c>
      <c r="S134" s="424">
        <f>IF(AND($L134&lt;&gt;"",S$3&lt;&gt;""),IF(NOT(ISNUMBER(_xll.ciqfunctions.udf.CIQ(S$3, "IQ_BOND_PRICE", $L134))),NA(),_xll.ciqfunctions.udf.CIQ(S$3, "IQ_BOND_PRICE", $L134)),"")</f>
        <v>106.536</v>
      </c>
      <c r="T134" s="424">
        <f>IF(AND($L134&lt;&gt;"",T$3&lt;&gt;""),IF(NOT(ISNUMBER(_xll.ciqfunctions.udf.CIQ(T$3, "IQ_BOND_PRICE", $L134))),NA(),_xll.ciqfunctions.udf.CIQ(T$3, "IQ_BOND_PRICE", $L134)),"")</f>
        <v>106.182</v>
      </c>
      <c r="U134" s="424">
        <f>IF(AND($L134&lt;&gt;"",U$3&lt;&gt;""),IF(NOT(ISNUMBER(_xll.ciqfunctions.udf.CIQ(U$3, "IQ_BOND_PRICE", $L134))),NA(),_xll.ciqfunctions.udf.CIQ(U$3, "IQ_BOND_PRICE", $L134)),"")</f>
        <v>99.887860000000003</v>
      </c>
      <c r="V134" s="424">
        <f>IF(AND($L134&lt;&gt;"",V$3&lt;&gt;""),IF(NOT(ISNUMBER(_xll.ciqfunctions.udf.CIQ(V$3, "IQ_BOND_PRICE", $L134))),NA(),_xll.ciqfunctions.udf.CIQ(V$3, "IQ_BOND_PRICE", $L134)),"")</f>
        <v>106.19189</v>
      </c>
      <c r="W134" s="424">
        <f>IF(AND($L134&lt;&gt;"",W$3&lt;&gt;""),IF(NOT(ISNUMBER(_xll.ciqfunctions.udf.CIQ(W$3, "IQ_BOND_PRICE", $L134))),NA(),_xll.ciqfunctions.udf.CIQ(W$3, "IQ_BOND_PRICE", $L134)),"")</f>
        <v>109.56699999999999</v>
      </c>
      <c r="X134" s="424">
        <f>IF(AND($L134&lt;&gt;"",X$3&lt;&gt;""),IF(NOT(ISNUMBER(_xll.ciqfunctions.udf.CIQ(X$3, "IQ_BOND_PRICE", $L134))),NA(),_xll.ciqfunctions.udf.CIQ(X$3, "IQ_BOND_PRICE", $L134)),"")</f>
        <v>111.55</v>
      </c>
      <c r="Y134" s="424">
        <f>IF(AND($L134&lt;&gt;"",Y$3&lt;&gt;""),IF(NOT(ISNUMBER(_xll.ciqfunctions.udf.CIQ(Y$3, "IQ_BOND_PRICE", $L134))),NA(),_xll.ciqfunctions.udf.CIQ(Y$3, "IQ_BOND_PRICE", $L134)),"")</f>
        <v>109.286</v>
      </c>
      <c r="Z134" s="424">
        <f>IF(AND($L134&lt;&gt;"",Z$3&lt;&gt;""),IF(NOT(ISNUMBER(_xll.ciqfunctions.udf.CIQ(Z$3, "IQ_BOND_PRICE", $L134))),NA(),_xll.ciqfunctions.udf.CIQ(Z$3, "IQ_BOND_PRICE", $L134)),"")</f>
        <v>100.10583</v>
      </c>
      <c r="CZ134" s="426"/>
    </row>
    <row r="135" spans="12:104" x14ac:dyDescent="0.2">
      <c r="L135" s="425">
        <f t="shared" si="2"/>
        <v>44461</v>
      </c>
      <c r="M135" s="424">
        <f>IF(AND($L135&lt;&gt;"",M$3&lt;&gt;""),IF(NOT(ISNUMBER(_xll.ciqfunctions.udf.CIQ(M$3, "IQ_BOND_PRICE", $L135))),NA(),_xll.ciqfunctions.udf.CIQ(M$3, "IQ_BOND_PRICE", $L135)),"")</f>
        <v>100.697</v>
      </c>
      <c r="N135" s="424">
        <f>IF(AND($L135&lt;&gt;"",N$3&lt;&gt;""),IF(NOT(ISNUMBER(_xll.ciqfunctions.udf.CIQ(N$3, "IQ_BOND_PRICE", $L135))),NA(),_xll.ciqfunctions.udf.CIQ(N$3, "IQ_BOND_PRICE", $L135)),"")</f>
        <v>0</v>
      </c>
      <c r="O135" s="424">
        <f>IF(AND($L135&lt;&gt;"",O$3&lt;&gt;""),IF(NOT(ISNUMBER(_xll.ciqfunctions.udf.CIQ(O$3, "IQ_BOND_PRICE", $L135))),NA(),_xll.ciqfunctions.udf.CIQ(O$3, "IQ_BOND_PRICE", $L135)),"")</f>
        <v>102.43274</v>
      </c>
      <c r="P135" s="424">
        <f>IF(AND($L135&lt;&gt;"",P$3&lt;&gt;""),IF(NOT(ISNUMBER(_xll.ciqfunctions.udf.CIQ(P$3, "IQ_BOND_PRICE", $L135))),NA(),_xll.ciqfunctions.udf.CIQ(P$3, "IQ_BOND_PRICE", $L135)),"")</f>
        <v>103.02074</v>
      </c>
      <c r="Q135" s="424">
        <f>IF(AND($L135&lt;&gt;"",Q$3&lt;&gt;""),IF(NOT(ISNUMBER(_xll.ciqfunctions.udf.CIQ(Q$3, "IQ_BOND_PRICE", $L135))),NA(),_xll.ciqfunctions.udf.CIQ(Q$3, "IQ_BOND_PRICE", $L135)),"")</f>
        <v>105.04</v>
      </c>
      <c r="R135" s="424">
        <f>IF(AND($L135&lt;&gt;"",R$3&lt;&gt;""),IF(NOT(ISNUMBER(_xll.ciqfunctions.udf.CIQ(R$3, "IQ_BOND_PRICE", $L135))),NA(),_xll.ciqfunctions.udf.CIQ(R$3, "IQ_BOND_PRICE", $L135)),"")</f>
        <v>112.489</v>
      </c>
      <c r="S135" s="424">
        <f>IF(AND($L135&lt;&gt;"",S$3&lt;&gt;""),IF(NOT(ISNUMBER(_xll.ciqfunctions.udf.CIQ(S$3, "IQ_BOND_PRICE", $L135))),NA(),_xll.ciqfunctions.udf.CIQ(S$3, "IQ_BOND_PRICE", $L135)),"")</f>
        <v>106.62</v>
      </c>
      <c r="T135" s="424">
        <f>IF(AND($L135&lt;&gt;"",T$3&lt;&gt;""),IF(NOT(ISNUMBER(_xll.ciqfunctions.udf.CIQ(T$3, "IQ_BOND_PRICE", $L135))),NA(),_xll.ciqfunctions.udf.CIQ(T$3, "IQ_BOND_PRICE", $L135)),"")</f>
        <v>106.065</v>
      </c>
      <c r="U135" s="424">
        <f>IF(AND($L135&lt;&gt;"",U$3&lt;&gt;""),IF(NOT(ISNUMBER(_xll.ciqfunctions.udf.CIQ(U$3, "IQ_BOND_PRICE", $L135))),NA(),_xll.ciqfunctions.udf.CIQ(U$3, "IQ_BOND_PRICE", $L135)),"")</f>
        <v>99.894859999999994</v>
      </c>
      <c r="V135" s="424">
        <f>IF(AND($L135&lt;&gt;"",V$3&lt;&gt;""),IF(NOT(ISNUMBER(_xll.ciqfunctions.udf.CIQ(V$3, "IQ_BOND_PRICE", $L135))),NA(),_xll.ciqfunctions.udf.CIQ(V$3, "IQ_BOND_PRICE", $L135)),"")</f>
        <v>106.06157</v>
      </c>
      <c r="W135" s="424">
        <f>IF(AND($L135&lt;&gt;"",W$3&lt;&gt;""),IF(NOT(ISNUMBER(_xll.ciqfunctions.udf.CIQ(W$3, "IQ_BOND_PRICE", $L135))),NA(),_xll.ciqfunctions.udf.CIQ(W$3, "IQ_BOND_PRICE", $L135)),"")</f>
        <v>109.41500000000001</v>
      </c>
      <c r="X135" s="424">
        <f>IF(AND($L135&lt;&gt;"",X$3&lt;&gt;""),IF(NOT(ISNUMBER(_xll.ciqfunctions.udf.CIQ(X$3, "IQ_BOND_PRICE", $L135))),NA(),_xll.ciqfunctions.udf.CIQ(X$3, "IQ_BOND_PRICE", $L135)),"")</f>
        <v>111.529</v>
      </c>
      <c r="Y135" s="424">
        <f>IF(AND($L135&lt;&gt;"",Y$3&lt;&gt;""),IF(NOT(ISNUMBER(_xll.ciqfunctions.udf.CIQ(Y$3, "IQ_BOND_PRICE", $L135))),NA(),_xll.ciqfunctions.udf.CIQ(Y$3, "IQ_BOND_PRICE", $L135)),"")</f>
        <v>109.096</v>
      </c>
      <c r="Z135" s="424">
        <f>IF(AND($L135&lt;&gt;"",Z$3&lt;&gt;""),IF(NOT(ISNUMBER(_xll.ciqfunctions.udf.CIQ(Z$3, "IQ_BOND_PRICE", $L135))),NA(),_xll.ciqfunctions.udf.CIQ(Z$3, "IQ_BOND_PRICE", $L135)),"")</f>
        <v>100.08687</v>
      </c>
      <c r="CZ135" s="426"/>
    </row>
    <row r="136" spans="12:104" x14ac:dyDescent="0.2">
      <c r="L136" s="425">
        <f t="shared" si="2"/>
        <v>44462</v>
      </c>
      <c r="M136" s="424">
        <f>IF(AND($L136&lt;&gt;"",M$3&lt;&gt;""),IF(NOT(ISNUMBER(_xll.ciqfunctions.udf.CIQ(M$3, "IQ_BOND_PRICE", $L136))),NA(),_xll.ciqfunctions.udf.CIQ(M$3, "IQ_BOND_PRICE", $L136)),"")</f>
        <v>100.675</v>
      </c>
      <c r="N136" s="424">
        <f>IF(AND($L136&lt;&gt;"",N$3&lt;&gt;""),IF(NOT(ISNUMBER(_xll.ciqfunctions.udf.CIQ(N$3, "IQ_BOND_PRICE", $L136))),NA(),_xll.ciqfunctions.udf.CIQ(N$3, "IQ_BOND_PRICE", $L136)),"")</f>
        <v>0</v>
      </c>
      <c r="O136" s="424">
        <f>IF(AND($L136&lt;&gt;"",O$3&lt;&gt;""),IF(NOT(ISNUMBER(_xll.ciqfunctions.udf.CIQ(O$3, "IQ_BOND_PRICE", $L136))),NA(),_xll.ciqfunctions.udf.CIQ(O$3, "IQ_BOND_PRICE", $L136)),"")</f>
        <v>102.39145000000001</v>
      </c>
      <c r="P136" s="424">
        <f>IF(AND($L136&lt;&gt;"",P$3&lt;&gt;""),IF(NOT(ISNUMBER(_xll.ciqfunctions.udf.CIQ(P$3, "IQ_BOND_PRICE", $L136))),NA(),_xll.ciqfunctions.udf.CIQ(P$3, "IQ_BOND_PRICE", $L136)),"")</f>
        <v>103.02488</v>
      </c>
      <c r="Q136" s="424">
        <f>IF(AND($L136&lt;&gt;"",Q$3&lt;&gt;""),IF(NOT(ISNUMBER(_xll.ciqfunctions.udf.CIQ(Q$3, "IQ_BOND_PRICE", $L136))),NA(),_xll.ciqfunctions.udf.CIQ(Q$3, "IQ_BOND_PRICE", $L136)),"")</f>
        <v>105.236</v>
      </c>
      <c r="R136" s="424">
        <f>IF(AND($L136&lt;&gt;"",R$3&lt;&gt;""),IF(NOT(ISNUMBER(_xll.ciqfunctions.udf.CIQ(R$3, "IQ_BOND_PRICE", $L136))),NA(),_xll.ciqfunctions.udf.CIQ(R$3, "IQ_BOND_PRICE", $L136)),"")</f>
        <v>112.40300000000001</v>
      </c>
      <c r="S136" s="424">
        <f>IF(AND($L136&lt;&gt;"",S$3&lt;&gt;""),IF(NOT(ISNUMBER(_xll.ciqfunctions.udf.CIQ(S$3, "IQ_BOND_PRICE", $L136))),NA(),_xll.ciqfunctions.udf.CIQ(S$3, "IQ_BOND_PRICE", $L136)),"")</f>
        <v>106.59399999999999</v>
      </c>
      <c r="T136" s="424">
        <f>IF(AND($L136&lt;&gt;"",T$3&lt;&gt;""),IF(NOT(ISNUMBER(_xll.ciqfunctions.udf.CIQ(T$3, "IQ_BOND_PRICE", $L136))),NA(),_xll.ciqfunctions.udf.CIQ(T$3, "IQ_BOND_PRICE", $L136)),"")</f>
        <v>105.96599999999999</v>
      </c>
      <c r="U136" s="424">
        <f>IF(AND($L136&lt;&gt;"",U$3&lt;&gt;""),IF(NOT(ISNUMBER(_xll.ciqfunctions.udf.CIQ(U$3, "IQ_BOND_PRICE", $L136))),NA(),_xll.ciqfunctions.udf.CIQ(U$3, "IQ_BOND_PRICE", $L136)),"")</f>
        <v>99.897000000000006</v>
      </c>
      <c r="V136" s="424">
        <f>IF(AND($L136&lt;&gt;"",V$3&lt;&gt;""),IF(NOT(ISNUMBER(_xll.ciqfunctions.udf.CIQ(V$3, "IQ_BOND_PRICE", $L136))),NA(),_xll.ciqfunctions.udf.CIQ(V$3, "IQ_BOND_PRICE", $L136)),"")</f>
        <v>105.95374</v>
      </c>
      <c r="W136" s="424">
        <f>IF(AND($L136&lt;&gt;"",W$3&lt;&gt;""),IF(NOT(ISNUMBER(_xll.ciqfunctions.udf.CIQ(W$3, "IQ_BOND_PRICE", $L136))),NA(),_xll.ciqfunctions.udf.CIQ(W$3, "IQ_BOND_PRICE", $L136)),"")</f>
        <v>109.17</v>
      </c>
      <c r="X136" s="424">
        <f>IF(AND($L136&lt;&gt;"",X$3&lt;&gt;""),IF(NOT(ISNUMBER(_xll.ciqfunctions.udf.CIQ(X$3, "IQ_BOND_PRICE", $L136))),NA(),_xll.ciqfunctions.udf.CIQ(X$3, "IQ_BOND_PRICE", $L136)),"")</f>
        <v>111.389</v>
      </c>
      <c r="Y136" s="424">
        <f>IF(AND($L136&lt;&gt;"",Y$3&lt;&gt;""),IF(NOT(ISNUMBER(_xll.ciqfunctions.udf.CIQ(Y$3, "IQ_BOND_PRICE", $L136))),NA(),_xll.ciqfunctions.udf.CIQ(Y$3, "IQ_BOND_PRICE", $L136)),"")</f>
        <v>108.795</v>
      </c>
      <c r="Z136" s="424">
        <f>IF(AND($L136&lt;&gt;"",Z$3&lt;&gt;""),IF(NOT(ISNUMBER(_xll.ciqfunctions.udf.CIQ(Z$3, "IQ_BOND_PRICE", $L136))),NA(),_xll.ciqfunctions.udf.CIQ(Z$3, "IQ_BOND_PRICE", $L136)),"")</f>
        <v>99.906999999999996</v>
      </c>
      <c r="CZ136" s="426"/>
    </row>
    <row r="137" spans="12:104" x14ac:dyDescent="0.2">
      <c r="L137" s="425">
        <f t="shared" si="2"/>
        <v>44463</v>
      </c>
      <c r="M137" s="424">
        <f>IF(AND($L137&lt;&gt;"",M$3&lt;&gt;""),IF(NOT(ISNUMBER(_xll.ciqfunctions.udf.CIQ(M$3, "IQ_BOND_PRICE", $L137))),NA(),_xll.ciqfunctions.udf.CIQ(M$3, "IQ_BOND_PRICE", $L137)),"")</f>
        <v>100.672</v>
      </c>
      <c r="N137" s="424">
        <f>IF(AND($L137&lt;&gt;"",N$3&lt;&gt;""),IF(NOT(ISNUMBER(_xll.ciqfunctions.udf.CIQ(N$3, "IQ_BOND_PRICE", $L137))),NA(),_xll.ciqfunctions.udf.CIQ(N$3, "IQ_BOND_PRICE", $L137)),"")</f>
        <v>0</v>
      </c>
      <c r="O137" s="424">
        <f>IF(AND($L137&lt;&gt;"",O$3&lt;&gt;""),IF(NOT(ISNUMBER(_xll.ciqfunctions.udf.CIQ(O$3, "IQ_BOND_PRICE", $L137))),NA(),_xll.ciqfunctions.udf.CIQ(O$3, "IQ_BOND_PRICE", $L137)),"")</f>
        <v>102.37089</v>
      </c>
      <c r="P137" s="424">
        <f>IF(AND($L137&lt;&gt;"",P$3&lt;&gt;""),IF(NOT(ISNUMBER(_xll.ciqfunctions.udf.CIQ(P$3, "IQ_BOND_PRICE", $L137))),NA(),_xll.ciqfunctions.udf.CIQ(P$3, "IQ_BOND_PRICE", $L137)),"")</f>
        <v>103.06189999999999</v>
      </c>
      <c r="Q137" s="424">
        <f>IF(AND($L137&lt;&gt;"",Q$3&lt;&gt;""),IF(NOT(ISNUMBER(_xll.ciqfunctions.udf.CIQ(Q$3, "IQ_BOND_PRICE", $L137))),NA(),_xll.ciqfunctions.udf.CIQ(Q$3, "IQ_BOND_PRICE", $L137)),"")</f>
        <v>105.246</v>
      </c>
      <c r="R137" s="424">
        <f>IF(AND($L137&lt;&gt;"",R$3&lt;&gt;""),IF(NOT(ISNUMBER(_xll.ciqfunctions.udf.CIQ(R$3, "IQ_BOND_PRICE", $L137))),NA(),_xll.ciqfunctions.udf.CIQ(R$3, "IQ_BOND_PRICE", $L137)),"")</f>
        <v>112.42400000000001</v>
      </c>
      <c r="S137" s="424">
        <f>IF(AND($L137&lt;&gt;"",S$3&lt;&gt;""),IF(NOT(ISNUMBER(_xll.ciqfunctions.udf.CIQ(S$3, "IQ_BOND_PRICE", $L137))),NA(),_xll.ciqfunctions.udf.CIQ(S$3, "IQ_BOND_PRICE", $L137)),"")</f>
        <v>106.529</v>
      </c>
      <c r="T137" s="424">
        <f>IF(AND($L137&lt;&gt;"",T$3&lt;&gt;""),IF(NOT(ISNUMBER(_xll.ciqfunctions.udf.CIQ(T$3, "IQ_BOND_PRICE", $L137))),NA(),_xll.ciqfunctions.udf.CIQ(T$3, "IQ_BOND_PRICE", $L137)),"")</f>
        <v>106.099</v>
      </c>
      <c r="U137" s="424">
        <f>IF(AND($L137&lt;&gt;"",U$3&lt;&gt;""),IF(NOT(ISNUMBER(_xll.ciqfunctions.udf.CIQ(U$3, "IQ_BOND_PRICE", $L137))),NA(),_xll.ciqfunctions.udf.CIQ(U$3, "IQ_BOND_PRICE", $L137)),"")</f>
        <v>99.874539999999996</v>
      </c>
      <c r="V137" s="424">
        <f>IF(AND($L137&lt;&gt;"",V$3&lt;&gt;""),IF(NOT(ISNUMBER(_xll.ciqfunctions.udf.CIQ(V$3, "IQ_BOND_PRICE", $L137))),NA(),_xll.ciqfunctions.udf.CIQ(V$3, "IQ_BOND_PRICE", $L137)),"")</f>
        <v>105.94777000000001</v>
      </c>
      <c r="W137" s="424">
        <f>IF(AND($L137&lt;&gt;"",W$3&lt;&gt;""),IF(NOT(ISNUMBER(_xll.ciqfunctions.udf.CIQ(W$3, "IQ_BOND_PRICE", $L137))),NA(),_xll.ciqfunctions.udf.CIQ(W$3, "IQ_BOND_PRICE", $L137)),"")</f>
        <v>109.059</v>
      </c>
      <c r="X137" s="424">
        <f>IF(AND($L137&lt;&gt;"",X$3&lt;&gt;""),IF(NOT(ISNUMBER(_xll.ciqfunctions.udf.CIQ(X$3, "IQ_BOND_PRICE", $L137))),NA(),_xll.ciqfunctions.udf.CIQ(X$3, "IQ_BOND_PRICE", $L137)),"")</f>
        <v>111.396</v>
      </c>
      <c r="Y137" s="424">
        <f>IF(AND($L137&lt;&gt;"",Y$3&lt;&gt;""),IF(NOT(ISNUMBER(_xll.ciqfunctions.udf.CIQ(Y$3, "IQ_BOND_PRICE", $L137))),NA(),_xll.ciqfunctions.udf.CIQ(Y$3, "IQ_BOND_PRICE", $L137)),"")</f>
        <v>108.658</v>
      </c>
      <c r="Z137" s="424">
        <f>IF(AND($L137&lt;&gt;"",Z$3&lt;&gt;""),IF(NOT(ISNUMBER(_xll.ciqfunctions.udf.CIQ(Z$3, "IQ_BOND_PRICE", $L137))),NA(),_xll.ciqfunctions.udf.CIQ(Z$3, "IQ_BOND_PRICE", $L137)),"")</f>
        <v>99.931340000000006</v>
      </c>
      <c r="CZ137" s="426"/>
    </row>
    <row r="138" spans="12:104" x14ac:dyDescent="0.2">
      <c r="L138" s="425">
        <f t="shared" si="2"/>
        <v>44466</v>
      </c>
      <c r="M138" s="424">
        <f>IF(AND($L138&lt;&gt;"",M$3&lt;&gt;""),IF(NOT(ISNUMBER(_xll.ciqfunctions.udf.CIQ(M$3, "IQ_BOND_PRICE", $L138))),NA(),_xll.ciqfunctions.udf.CIQ(M$3, "IQ_BOND_PRICE", $L138)),"")</f>
        <v>100.667</v>
      </c>
      <c r="N138" s="424">
        <f>IF(AND($L138&lt;&gt;"",N$3&lt;&gt;""),IF(NOT(ISNUMBER(_xll.ciqfunctions.udf.CIQ(N$3, "IQ_BOND_PRICE", $L138))),NA(),_xll.ciqfunctions.udf.CIQ(N$3, "IQ_BOND_PRICE", $L138)),"")</f>
        <v>0</v>
      </c>
      <c r="O138" s="424">
        <f>IF(AND($L138&lt;&gt;"",O$3&lt;&gt;""),IF(NOT(ISNUMBER(_xll.ciqfunctions.udf.CIQ(O$3, "IQ_BOND_PRICE", $L138))),NA(),_xll.ciqfunctions.udf.CIQ(O$3, "IQ_BOND_PRICE", $L138)),"")</f>
        <v>102.35312999999999</v>
      </c>
      <c r="P138" s="424">
        <f>IF(AND($L138&lt;&gt;"",P$3&lt;&gt;""),IF(NOT(ISNUMBER(_xll.ciqfunctions.udf.CIQ(P$3, "IQ_BOND_PRICE", $L138))),NA(),_xll.ciqfunctions.udf.CIQ(P$3, "IQ_BOND_PRICE", $L138)),"")</f>
        <v>103.00309</v>
      </c>
      <c r="Q138" s="424">
        <f>IF(AND($L138&lt;&gt;"",Q$3&lt;&gt;""),IF(NOT(ISNUMBER(_xll.ciqfunctions.udf.CIQ(Q$3, "IQ_BOND_PRICE", $L138))),NA(),_xll.ciqfunctions.udf.CIQ(Q$3, "IQ_BOND_PRICE", $L138)),"")</f>
        <v>105.32599999999999</v>
      </c>
      <c r="R138" s="424">
        <f>IF(AND($L138&lt;&gt;"",R$3&lt;&gt;""),IF(NOT(ISNUMBER(_xll.ciqfunctions.udf.CIQ(R$3, "IQ_BOND_PRICE", $L138))),NA(),_xll.ciqfunctions.udf.CIQ(R$3, "IQ_BOND_PRICE", $L138)),"")</f>
        <v>112.483</v>
      </c>
      <c r="S138" s="424">
        <f>IF(AND($L138&lt;&gt;"",S$3&lt;&gt;""),IF(NOT(ISNUMBER(_xll.ciqfunctions.udf.CIQ(S$3, "IQ_BOND_PRICE", $L138))),NA(),_xll.ciqfunctions.udf.CIQ(S$3, "IQ_BOND_PRICE", $L138)),"")</f>
        <v>106.586</v>
      </c>
      <c r="T138" s="424">
        <f>IF(AND($L138&lt;&gt;"",T$3&lt;&gt;""),IF(NOT(ISNUMBER(_xll.ciqfunctions.udf.CIQ(T$3, "IQ_BOND_PRICE", $L138))),NA(),_xll.ciqfunctions.udf.CIQ(T$3, "IQ_BOND_PRICE", $L138)),"")</f>
        <v>106.063</v>
      </c>
      <c r="U138" s="424">
        <f>IF(AND($L138&lt;&gt;"",U$3&lt;&gt;""),IF(NOT(ISNUMBER(_xll.ciqfunctions.udf.CIQ(U$3, "IQ_BOND_PRICE", $L138))),NA(),_xll.ciqfunctions.udf.CIQ(U$3, "IQ_BOND_PRICE", $L138)),"")</f>
        <v>99.874759999999995</v>
      </c>
      <c r="V138" s="424">
        <f>IF(AND($L138&lt;&gt;"",V$3&lt;&gt;""),IF(NOT(ISNUMBER(_xll.ciqfunctions.udf.CIQ(V$3, "IQ_BOND_PRICE", $L138))),NA(),_xll.ciqfunctions.udf.CIQ(V$3, "IQ_BOND_PRICE", $L138)),"")</f>
        <v>106.03748</v>
      </c>
      <c r="W138" s="424">
        <f>IF(AND($L138&lt;&gt;"",W$3&lt;&gt;""),IF(NOT(ISNUMBER(_xll.ciqfunctions.udf.CIQ(W$3, "IQ_BOND_PRICE", $L138))),NA(),_xll.ciqfunctions.udf.CIQ(W$3, "IQ_BOND_PRICE", $L138)),"")</f>
        <v>108.955</v>
      </c>
      <c r="X138" s="424">
        <f>IF(AND($L138&lt;&gt;"",X$3&lt;&gt;""),IF(NOT(ISNUMBER(_xll.ciqfunctions.udf.CIQ(X$3, "IQ_BOND_PRICE", $L138))),NA(),_xll.ciqfunctions.udf.CIQ(X$3, "IQ_BOND_PRICE", $L138)),"")</f>
        <v>111.366</v>
      </c>
      <c r="Y138" s="424">
        <f>IF(AND($L138&lt;&gt;"",Y$3&lt;&gt;""),IF(NOT(ISNUMBER(_xll.ciqfunctions.udf.CIQ(Y$3, "IQ_BOND_PRICE", $L138))),NA(),_xll.ciqfunctions.udf.CIQ(Y$3, "IQ_BOND_PRICE", $L138)),"")</f>
        <v>108.595</v>
      </c>
      <c r="Z138" s="424">
        <f>IF(AND($L138&lt;&gt;"",Z$3&lt;&gt;""),IF(NOT(ISNUMBER(_xll.ciqfunctions.udf.CIQ(Z$3, "IQ_BOND_PRICE", $L138))),NA(),_xll.ciqfunctions.udf.CIQ(Z$3, "IQ_BOND_PRICE", $L138)),"")</f>
        <v>99.753770000000003</v>
      </c>
      <c r="CZ138" s="426"/>
    </row>
    <row r="139" spans="12:104" x14ac:dyDescent="0.2">
      <c r="L139" s="425">
        <f t="shared" si="2"/>
        <v>44467</v>
      </c>
      <c r="M139" s="424">
        <f>IF(AND($L139&lt;&gt;"",M$3&lt;&gt;""),IF(NOT(ISNUMBER(_xll.ciqfunctions.udf.CIQ(M$3, "IQ_BOND_PRICE", $L139))),NA(),_xll.ciqfunctions.udf.CIQ(M$3, "IQ_BOND_PRICE", $L139)),"")</f>
        <v>100.654</v>
      </c>
      <c r="N139" s="424">
        <f>IF(AND($L139&lt;&gt;"",N$3&lt;&gt;""),IF(NOT(ISNUMBER(_xll.ciqfunctions.udf.CIQ(N$3, "IQ_BOND_PRICE", $L139))),NA(),_xll.ciqfunctions.udf.CIQ(N$3, "IQ_BOND_PRICE", $L139)),"")</f>
        <v>0</v>
      </c>
      <c r="O139" s="424">
        <f>IF(AND($L139&lt;&gt;"",O$3&lt;&gt;""),IF(NOT(ISNUMBER(_xll.ciqfunctions.udf.CIQ(O$3, "IQ_BOND_PRICE", $L139))),NA(),_xll.ciqfunctions.udf.CIQ(O$3, "IQ_BOND_PRICE", $L139)),"")</f>
        <v>102.11568</v>
      </c>
      <c r="P139" s="424">
        <f>IF(AND($L139&lt;&gt;"",P$3&lt;&gt;""),IF(NOT(ISNUMBER(_xll.ciqfunctions.udf.CIQ(P$3, "IQ_BOND_PRICE", $L139))),NA(),_xll.ciqfunctions.udf.CIQ(P$3, "IQ_BOND_PRICE", $L139)),"")</f>
        <v>102.89377</v>
      </c>
      <c r="Q139" s="424">
        <f>IF(AND($L139&lt;&gt;"",Q$3&lt;&gt;""),IF(NOT(ISNUMBER(_xll.ciqfunctions.udf.CIQ(Q$3, "IQ_BOND_PRICE", $L139))),NA(),_xll.ciqfunctions.udf.CIQ(Q$3, "IQ_BOND_PRICE", $L139)),"")</f>
        <v>105.318</v>
      </c>
      <c r="R139" s="424">
        <f>IF(AND($L139&lt;&gt;"",R$3&lt;&gt;""),IF(NOT(ISNUMBER(_xll.ciqfunctions.udf.CIQ(R$3, "IQ_BOND_PRICE", $L139))),NA(),_xll.ciqfunctions.udf.CIQ(R$3, "IQ_BOND_PRICE", $L139)),"")</f>
        <v>112.45399999999999</v>
      </c>
      <c r="S139" s="424">
        <f>IF(AND($L139&lt;&gt;"",S$3&lt;&gt;""),IF(NOT(ISNUMBER(_xll.ciqfunctions.udf.CIQ(S$3, "IQ_BOND_PRICE", $L139))),NA(),_xll.ciqfunctions.udf.CIQ(S$3, "IQ_BOND_PRICE", $L139)),"")</f>
        <v>106.577</v>
      </c>
      <c r="T139" s="424">
        <f>IF(AND($L139&lt;&gt;"",T$3&lt;&gt;""),IF(NOT(ISNUMBER(_xll.ciqfunctions.udf.CIQ(T$3, "IQ_BOND_PRICE", $L139))),NA(),_xll.ciqfunctions.udf.CIQ(T$3, "IQ_BOND_PRICE", $L139)),"")</f>
        <v>106.056</v>
      </c>
      <c r="U139" s="424">
        <f>IF(AND($L139&lt;&gt;"",U$3&lt;&gt;""),IF(NOT(ISNUMBER(_xll.ciqfunctions.udf.CIQ(U$3, "IQ_BOND_PRICE", $L139))),NA(),_xll.ciqfunctions.udf.CIQ(U$3, "IQ_BOND_PRICE", $L139)),"")</f>
        <v>99.855490000000003</v>
      </c>
      <c r="V139" s="424">
        <f>IF(AND($L139&lt;&gt;"",V$3&lt;&gt;""),IF(NOT(ISNUMBER(_xll.ciqfunctions.udf.CIQ(V$3, "IQ_BOND_PRICE", $L139))),NA(),_xll.ciqfunctions.udf.CIQ(V$3, "IQ_BOND_PRICE", $L139)),"")</f>
        <v>106.02961999999999</v>
      </c>
      <c r="W139" s="424">
        <f>IF(AND($L139&lt;&gt;"",W$3&lt;&gt;""),IF(NOT(ISNUMBER(_xll.ciqfunctions.udf.CIQ(W$3, "IQ_BOND_PRICE", $L139))),NA(),_xll.ciqfunctions.udf.CIQ(W$3, "IQ_BOND_PRICE", $L139)),"")</f>
        <v>109.087</v>
      </c>
      <c r="X139" s="424">
        <f>IF(AND($L139&lt;&gt;"",X$3&lt;&gt;""),IF(NOT(ISNUMBER(_xll.ciqfunctions.udf.CIQ(X$3, "IQ_BOND_PRICE", $L139))),NA(),_xll.ciqfunctions.udf.CIQ(X$3, "IQ_BOND_PRICE", $L139)),"")</f>
        <v>111.346</v>
      </c>
      <c r="Y139" s="424">
        <f>IF(AND($L139&lt;&gt;"",Y$3&lt;&gt;""),IF(NOT(ISNUMBER(_xll.ciqfunctions.udf.CIQ(Y$3, "IQ_BOND_PRICE", $L139))),NA(),_xll.ciqfunctions.udf.CIQ(Y$3, "IQ_BOND_PRICE", $L139)),"")</f>
        <v>108.467</v>
      </c>
      <c r="Z139" s="424">
        <f>IF(AND($L139&lt;&gt;"",Z$3&lt;&gt;""),IF(NOT(ISNUMBER(_xll.ciqfunctions.udf.CIQ(Z$3, "IQ_BOND_PRICE", $L139))),NA(),_xll.ciqfunctions.udf.CIQ(Z$3, "IQ_BOND_PRICE", $L139)),"")</f>
        <v>99.751379999999997</v>
      </c>
      <c r="CZ139" s="426"/>
    </row>
    <row r="140" spans="12:104" x14ac:dyDescent="0.2">
      <c r="L140" s="425">
        <f t="shared" si="2"/>
        <v>44468</v>
      </c>
      <c r="M140" s="424">
        <f>IF(AND($L140&lt;&gt;"",M$3&lt;&gt;""),IF(NOT(ISNUMBER(_xll.ciqfunctions.udf.CIQ(M$3, "IQ_BOND_PRICE", $L140))),NA(),_xll.ciqfunctions.udf.CIQ(M$3, "IQ_BOND_PRICE", $L140)),"")</f>
        <v>100.65</v>
      </c>
      <c r="N140" s="424">
        <f>IF(AND($L140&lt;&gt;"",N$3&lt;&gt;""),IF(NOT(ISNUMBER(_xll.ciqfunctions.udf.CIQ(N$3, "IQ_BOND_PRICE", $L140))),NA(),_xll.ciqfunctions.udf.CIQ(N$3, "IQ_BOND_PRICE", $L140)),"")</f>
        <v>0</v>
      </c>
      <c r="O140" s="424">
        <f>IF(AND($L140&lt;&gt;"",O$3&lt;&gt;""),IF(NOT(ISNUMBER(_xll.ciqfunctions.udf.CIQ(O$3, "IQ_BOND_PRICE", $L140))),NA(),_xll.ciqfunctions.udf.CIQ(O$3, "IQ_BOND_PRICE", $L140)),"")</f>
        <v>102.12184000000001</v>
      </c>
      <c r="P140" s="424">
        <f>IF(AND($L140&lt;&gt;"",P$3&lt;&gt;""),IF(NOT(ISNUMBER(_xll.ciqfunctions.udf.CIQ(P$3, "IQ_BOND_PRICE", $L140))),NA(),_xll.ciqfunctions.udf.CIQ(P$3, "IQ_BOND_PRICE", $L140)),"")</f>
        <v>102.90599</v>
      </c>
      <c r="Q140" s="424">
        <f>IF(AND($L140&lt;&gt;"",Q$3&lt;&gt;""),IF(NOT(ISNUMBER(_xll.ciqfunctions.udf.CIQ(Q$3, "IQ_BOND_PRICE", $L140))),NA(),_xll.ciqfunctions.udf.CIQ(Q$3, "IQ_BOND_PRICE", $L140)),"")</f>
        <v>105.071</v>
      </c>
      <c r="R140" s="424">
        <f>IF(AND($L140&lt;&gt;"",R$3&lt;&gt;""),IF(NOT(ISNUMBER(_xll.ciqfunctions.udf.CIQ(R$3, "IQ_BOND_PRICE", $L140))),NA(),_xll.ciqfunctions.udf.CIQ(R$3, "IQ_BOND_PRICE", $L140)),"")</f>
        <v>112.28100000000001</v>
      </c>
      <c r="S140" s="424">
        <f>IF(AND($L140&lt;&gt;"",S$3&lt;&gt;""),IF(NOT(ISNUMBER(_xll.ciqfunctions.udf.CIQ(S$3, "IQ_BOND_PRICE", $L140))),NA(),_xll.ciqfunctions.udf.CIQ(S$3, "IQ_BOND_PRICE", $L140)),"")</f>
        <v>106.133</v>
      </c>
      <c r="T140" s="424">
        <f>IF(AND($L140&lt;&gt;"",T$3&lt;&gt;""),IF(NOT(ISNUMBER(_xll.ciqfunctions.udf.CIQ(T$3, "IQ_BOND_PRICE", $L140))),NA(),_xll.ciqfunctions.udf.CIQ(T$3, "IQ_BOND_PRICE", $L140)),"")</f>
        <v>106.09399999999999</v>
      </c>
      <c r="U140" s="424">
        <f>IF(AND($L140&lt;&gt;"",U$3&lt;&gt;""),IF(NOT(ISNUMBER(_xll.ciqfunctions.udf.CIQ(U$3, "IQ_BOND_PRICE", $L140))),NA(),_xll.ciqfunctions.udf.CIQ(U$3, "IQ_BOND_PRICE", $L140)),"")</f>
        <v>99.865660000000005</v>
      </c>
      <c r="V140" s="424">
        <f>IF(AND($L140&lt;&gt;"",V$3&lt;&gt;""),IF(NOT(ISNUMBER(_xll.ciqfunctions.udf.CIQ(V$3, "IQ_BOND_PRICE", $L140))),NA(),_xll.ciqfunctions.udf.CIQ(V$3, "IQ_BOND_PRICE", $L140)),"")</f>
        <v>106.07356</v>
      </c>
      <c r="W140" s="424">
        <f>IF(AND($L140&lt;&gt;"",W$3&lt;&gt;""),IF(NOT(ISNUMBER(_xll.ciqfunctions.udf.CIQ(W$3, "IQ_BOND_PRICE", $L140))),NA(),_xll.ciqfunctions.udf.CIQ(W$3, "IQ_BOND_PRICE", $L140)),"")</f>
        <v>109.122</v>
      </c>
      <c r="X140" s="424">
        <f>IF(AND($L140&lt;&gt;"",X$3&lt;&gt;""),IF(NOT(ISNUMBER(_xll.ciqfunctions.udf.CIQ(X$3, "IQ_BOND_PRICE", $L140))),NA(),_xll.ciqfunctions.udf.CIQ(X$3, "IQ_BOND_PRICE", $L140)),"")</f>
        <v>111.36499999999999</v>
      </c>
      <c r="Y140" s="424">
        <f>IF(AND($L140&lt;&gt;"",Y$3&lt;&gt;""),IF(NOT(ISNUMBER(_xll.ciqfunctions.udf.CIQ(Y$3, "IQ_BOND_PRICE", $L140))),NA(),_xll.ciqfunctions.udf.CIQ(Y$3, "IQ_BOND_PRICE", $L140)),"")</f>
        <v>108.532</v>
      </c>
      <c r="Z140" s="424">
        <f>IF(AND($L140&lt;&gt;"",Z$3&lt;&gt;""),IF(NOT(ISNUMBER(_xll.ciqfunctions.udf.CIQ(Z$3, "IQ_BOND_PRICE", $L140))),NA(),_xll.ciqfunctions.udf.CIQ(Z$3, "IQ_BOND_PRICE", $L140)),"")</f>
        <v>99.822000000000003</v>
      </c>
      <c r="CZ140" s="426"/>
    </row>
    <row r="141" spans="12:104" x14ac:dyDescent="0.2">
      <c r="L141" s="425">
        <f t="shared" si="2"/>
        <v>44469</v>
      </c>
      <c r="M141" s="424">
        <f>IF(AND($L141&lt;&gt;"",M$3&lt;&gt;""),IF(NOT(ISNUMBER(_xll.ciqfunctions.udf.CIQ(M$3, "IQ_BOND_PRICE", $L141))),NA(),_xll.ciqfunctions.udf.CIQ(M$3, "IQ_BOND_PRICE", $L141)),"")</f>
        <v>100.631</v>
      </c>
      <c r="N141" s="424">
        <f>IF(AND($L141&lt;&gt;"",N$3&lt;&gt;""),IF(NOT(ISNUMBER(_xll.ciqfunctions.udf.CIQ(N$3, "IQ_BOND_PRICE", $L141))),NA(),_xll.ciqfunctions.udf.CIQ(N$3, "IQ_BOND_PRICE", $L141)),"")</f>
        <v>0</v>
      </c>
      <c r="O141" s="424">
        <f>IF(AND($L141&lt;&gt;"",O$3&lt;&gt;""),IF(NOT(ISNUMBER(_xll.ciqfunctions.udf.CIQ(O$3, "IQ_BOND_PRICE", $L141))),NA(),_xll.ciqfunctions.udf.CIQ(O$3, "IQ_BOND_PRICE", $L141)),"")</f>
        <v>102.11282</v>
      </c>
      <c r="P141" s="424">
        <f>IF(AND($L141&lt;&gt;"",P$3&lt;&gt;""),IF(NOT(ISNUMBER(_xll.ciqfunctions.udf.CIQ(P$3, "IQ_BOND_PRICE", $L141))),NA(),_xll.ciqfunctions.udf.CIQ(P$3, "IQ_BOND_PRICE", $L141)),"")</f>
        <v>102.90031</v>
      </c>
      <c r="Q141" s="424">
        <f>IF(AND($L141&lt;&gt;"",Q$3&lt;&gt;""),IF(NOT(ISNUMBER(_xll.ciqfunctions.udf.CIQ(Q$3, "IQ_BOND_PRICE", $L141))),NA(),_xll.ciqfunctions.udf.CIQ(Q$3, "IQ_BOND_PRICE", $L141)),"")</f>
        <v>105.13</v>
      </c>
      <c r="R141" s="424">
        <f>IF(AND($L141&lt;&gt;"",R$3&lt;&gt;""),IF(NOT(ISNUMBER(_xll.ciqfunctions.udf.CIQ(R$3, "IQ_BOND_PRICE", $L141))),NA(),_xll.ciqfunctions.udf.CIQ(R$3, "IQ_BOND_PRICE", $L141)),"")</f>
        <v>112.32299999999999</v>
      </c>
      <c r="S141" s="424">
        <f>IF(AND($L141&lt;&gt;"",S$3&lt;&gt;""),IF(NOT(ISNUMBER(_xll.ciqfunctions.udf.CIQ(S$3, "IQ_BOND_PRICE", $L141))),NA(),_xll.ciqfunctions.udf.CIQ(S$3, "IQ_BOND_PRICE", $L141)),"")</f>
        <v>106.56399999999999</v>
      </c>
      <c r="T141" s="424">
        <f>IF(AND($L141&lt;&gt;"",T$3&lt;&gt;""),IF(NOT(ISNUMBER(_xll.ciqfunctions.udf.CIQ(T$3, "IQ_BOND_PRICE", $L141))),NA(),_xll.ciqfunctions.udf.CIQ(T$3, "IQ_BOND_PRICE", $L141)),"")</f>
        <v>105.97799999999999</v>
      </c>
      <c r="U141" s="424">
        <f>IF(AND($L141&lt;&gt;"",U$3&lt;&gt;""),IF(NOT(ISNUMBER(_xll.ciqfunctions.udf.CIQ(U$3, "IQ_BOND_PRICE", $L141))),NA(),_xll.ciqfunctions.udf.CIQ(U$3, "IQ_BOND_PRICE", $L141)),"")</f>
        <v>99.859960000000001</v>
      </c>
      <c r="V141" s="424">
        <f>IF(AND($L141&lt;&gt;"",V$3&lt;&gt;""),IF(NOT(ISNUMBER(_xll.ciqfunctions.udf.CIQ(V$3, "IQ_BOND_PRICE", $L141))),NA(),_xll.ciqfunctions.udf.CIQ(V$3, "IQ_BOND_PRICE", $L141)),"")</f>
        <v>106.08982</v>
      </c>
      <c r="W141" s="424">
        <f>IF(AND($L141&lt;&gt;"",W$3&lt;&gt;""),IF(NOT(ISNUMBER(_xll.ciqfunctions.udf.CIQ(W$3, "IQ_BOND_PRICE", $L141))),NA(),_xll.ciqfunctions.udf.CIQ(W$3, "IQ_BOND_PRICE", $L141)),"")</f>
        <v>109.288</v>
      </c>
      <c r="X141" s="424">
        <f>IF(AND($L141&lt;&gt;"",X$3&lt;&gt;""),IF(NOT(ISNUMBER(_xll.ciqfunctions.udf.CIQ(X$3, "IQ_BOND_PRICE", $L141))),NA(),_xll.ciqfunctions.udf.CIQ(X$3, "IQ_BOND_PRICE", $L141)),"")</f>
        <v>111.355</v>
      </c>
      <c r="Y141" s="424">
        <f>IF(AND($L141&lt;&gt;"",Y$3&lt;&gt;""),IF(NOT(ISNUMBER(_xll.ciqfunctions.udf.CIQ(Y$3, "IQ_BOND_PRICE", $L141))),NA(),_xll.ciqfunctions.udf.CIQ(Y$3, "IQ_BOND_PRICE", $L141)),"")</f>
        <v>108.57</v>
      </c>
      <c r="Z141" s="424">
        <f>IF(AND($L141&lt;&gt;"",Z$3&lt;&gt;""),IF(NOT(ISNUMBER(_xll.ciqfunctions.udf.CIQ(Z$3, "IQ_BOND_PRICE", $L141))),NA(),_xll.ciqfunctions.udf.CIQ(Z$3, "IQ_BOND_PRICE", $L141)),"")</f>
        <v>99.819289999999995</v>
      </c>
      <c r="CZ141" s="426"/>
    </row>
    <row r="142" spans="12:104" x14ac:dyDescent="0.2">
      <c r="L142" s="425">
        <f t="shared" si="2"/>
        <v>44470</v>
      </c>
      <c r="M142" s="424">
        <f>IF(AND($L142&lt;&gt;"",M$3&lt;&gt;""),IF(NOT(ISNUMBER(_xll.ciqfunctions.udf.CIQ(M$3, "IQ_BOND_PRICE", $L142))),NA(),_xll.ciqfunctions.udf.CIQ(M$3, "IQ_BOND_PRICE", $L142)),"")</f>
        <v>100.627</v>
      </c>
      <c r="N142" s="424">
        <f>IF(AND($L142&lt;&gt;"",N$3&lt;&gt;""),IF(NOT(ISNUMBER(_xll.ciqfunctions.udf.CIQ(N$3, "IQ_BOND_PRICE", $L142))),NA(),_xll.ciqfunctions.udf.CIQ(N$3, "IQ_BOND_PRICE", $L142)),"")</f>
        <v>0</v>
      </c>
      <c r="O142" s="424">
        <f>IF(AND($L142&lt;&gt;"",O$3&lt;&gt;""),IF(NOT(ISNUMBER(_xll.ciqfunctions.udf.CIQ(O$3, "IQ_BOND_PRICE", $L142))),NA(),_xll.ciqfunctions.udf.CIQ(O$3, "IQ_BOND_PRICE", $L142)),"")</f>
        <v>102.13464999999999</v>
      </c>
      <c r="P142" s="424">
        <f>IF(AND($L142&lt;&gt;"",P$3&lt;&gt;""),IF(NOT(ISNUMBER(_xll.ciqfunctions.udf.CIQ(P$3, "IQ_BOND_PRICE", $L142))),NA(),_xll.ciqfunctions.udf.CIQ(P$3, "IQ_BOND_PRICE", $L142)),"")</f>
        <v>102.9409</v>
      </c>
      <c r="Q142" s="424">
        <f>IF(AND($L142&lt;&gt;"",Q$3&lt;&gt;""),IF(NOT(ISNUMBER(_xll.ciqfunctions.udf.CIQ(Q$3, "IQ_BOND_PRICE", $L142))),NA(),_xll.ciqfunctions.udf.CIQ(Q$3, "IQ_BOND_PRICE", $L142)),"")</f>
        <v>105.28</v>
      </c>
      <c r="R142" s="424">
        <f>IF(AND($L142&lt;&gt;"",R$3&lt;&gt;""),IF(NOT(ISNUMBER(_xll.ciqfunctions.udf.CIQ(R$3, "IQ_BOND_PRICE", $L142))),NA(),_xll.ciqfunctions.udf.CIQ(R$3, "IQ_BOND_PRICE", $L142)),"")</f>
        <v>112.465</v>
      </c>
      <c r="S142" s="424">
        <f>IF(AND($L142&lt;&gt;"",S$3&lt;&gt;""),IF(NOT(ISNUMBER(_xll.ciqfunctions.udf.CIQ(S$3, "IQ_BOND_PRICE", $L142))),NA(),_xll.ciqfunctions.udf.CIQ(S$3, "IQ_BOND_PRICE", $L142)),"")</f>
        <v>106.602</v>
      </c>
      <c r="T142" s="424">
        <f>IF(AND($L142&lt;&gt;"",T$3&lt;&gt;""),IF(NOT(ISNUMBER(_xll.ciqfunctions.udf.CIQ(T$3, "IQ_BOND_PRICE", $L142))),NA(),_xll.ciqfunctions.udf.CIQ(T$3, "IQ_BOND_PRICE", $L142)),"")</f>
        <v>106.121</v>
      </c>
      <c r="U142" s="424">
        <f>IF(AND($L142&lt;&gt;"",U$3&lt;&gt;""),IF(NOT(ISNUMBER(_xll.ciqfunctions.udf.CIQ(U$3, "IQ_BOND_PRICE", $L142))),NA(),_xll.ciqfunctions.udf.CIQ(U$3, "IQ_BOND_PRICE", $L142)),"")</f>
        <v>99.872900000000001</v>
      </c>
      <c r="V142" s="424">
        <f>IF(AND($L142&lt;&gt;"",V$3&lt;&gt;""),IF(NOT(ISNUMBER(_xll.ciqfunctions.udf.CIQ(V$3, "IQ_BOND_PRICE", $L142))),NA(),_xll.ciqfunctions.udf.CIQ(V$3, "IQ_BOND_PRICE", $L142)),"")</f>
        <v>106.21606</v>
      </c>
      <c r="W142" s="424">
        <f>IF(AND($L142&lt;&gt;"",W$3&lt;&gt;""),IF(NOT(ISNUMBER(_xll.ciqfunctions.udf.CIQ(W$3, "IQ_BOND_PRICE", $L142))),NA(),_xll.ciqfunctions.udf.CIQ(W$3, "IQ_BOND_PRICE", $L142)),"")</f>
        <v>109.515</v>
      </c>
      <c r="X142" s="424">
        <f>IF(AND($L142&lt;&gt;"",X$3&lt;&gt;""),IF(NOT(ISNUMBER(_xll.ciqfunctions.udf.CIQ(X$3, "IQ_BOND_PRICE", $L142))),NA(),_xll.ciqfunctions.udf.CIQ(X$3, "IQ_BOND_PRICE", $L142)),"")</f>
        <v>111.419</v>
      </c>
      <c r="Y142" s="424">
        <f>IF(AND($L142&lt;&gt;"",Y$3&lt;&gt;""),IF(NOT(ISNUMBER(_xll.ciqfunctions.udf.CIQ(Y$3, "IQ_BOND_PRICE", $L142))),NA(),_xll.ciqfunctions.udf.CIQ(Y$3, "IQ_BOND_PRICE", $L142)),"")</f>
        <v>109.127</v>
      </c>
      <c r="Z142" s="424">
        <f>IF(AND($L142&lt;&gt;"",Z$3&lt;&gt;""),IF(NOT(ISNUMBER(_xll.ciqfunctions.udf.CIQ(Z$3, "IQ_BOND_PRICE", $L142))),NA(),_xll.ciqfunctions.udf.CIQ(Z$3, "IQ_BOND_PRICE", $L142)),"")</f>
        <v>100.13891</v>
      </c>
      <c r="CZ142" s="426"/>
    </row>
    <row r="143" spans="12:104" x14ac:dyDescent="0.2">
      <c r="L143" s="425">
        <f t="shared" si="2"/>
        <v>44473</v>
      </c>
      <c r="M143" s="424">
        <f>IF(AND($L143&lt;&gt;"",M$3&lt;&gt;""),IF(NOT(ISNUMBER(_xll.ciqfunctions.udf.CIQ(M$3, "IQ_BOND_PRICE", $L143))),NA(),_xll.ciqfunctions.udf.CIQ(M$3, "IQ_BOND_PRICE", $L143)),"")</f>
        <v>100.619</v>
      </c>
      <c r="N143" s="424">
        <f>IF(AND($L143&lt;&gt;"",N$3&lt;&gt;""),IF(NOT(ISNUMBER(_xll.ciqfunctions.udf.CIQ(N$3, "IQ_BOND_PRICE", $L143))),NA(),_xll.ciqfunctions.udf.CIQ(N$3, "IQ_BOND_PRICE", $L143)),"")</f>
        <v>0</v>
      </c>
      <c r="O143" s="424">
        <f>IF(AND($L143&lt;&gt;"",O$3&lt;&gt;""),IF(NOT(ISNUMBER(_xll.ciqfunctions.udf.CIQ(O$3, "IQ_BOND_PRICE", $L143))),NA(),_xll.ciqfunctions.udf.CIQ(O$3, "IQ_BOND_PRICE", $L143)),"")</f>
        <v>102.0746</v>
      </c>
      <c r="P143" s="424">
        <f>IF(AND($L143&lt;&gt;"",P$3&lt;&gt;""),IF(NOT(ISNUMBER(_xll.ciqfunctions.udf.CIQ(P$3, "IQ_BOND_PRICE", $L143))),NA(),_xll.ciqfunctions.udf.CIQ(P$3, "IQ_BOND_PRICE", $L143)),"")</f>
        <v>103.01354000000001</v>
      </c>
      <c r="Q143" s="424">
        <f>IF(AND($L143&lt;&gt;"",Q$3&lt;&gt;""),IF(NOT(ISNUMBER(_xll.ciqfunctions.udf.CIQ(Q$3, "IQ_BOND_PRICE", $L143))),NA(),_xll.ciqfunctions.udf.CIQ(Q$3, "IQ_BOND_PRICE", $L143)),"")</f>
        <v>105.18300000000001</v>
      </c>
      <c r="R143" s="424">
        <f>IF(AND($L143&lt;&gt;"",R$3&lt;&gt;""),IF(NOT(ISNUMBER(_xll.ciqfunctions.udf.CIQ(R$3, "IQ_BOND_PRICE", $L143))),NA(),_xll.ciqfunctions.udf.CIQ(R$3, "IQ_BOND_PRICE", $L143)),"")</f>
        <v>112.346</v>
      </c>
      <c r="S143" s="424">
        <f>IF(AND($L143&lt;&gt;"",S$3&lt;&gt;""),IF(NOT(ISNUMBER(_xll.ciqfunctions.udf.CIQ(S$3, "IQ_BOND_PRICE", $L143))),NA(),_xll.ciqfunctions.udf.CIQ(S$3, "IQ_BOND_PRICE", $L143)),"")</f>
        <v>106.51300000000001</v>
      </c>
      <c r="T143" s="424">
        <f>IF(AND($L143&lt;&gt;"",T$3&lt;&gt;""),IF(NOT(ISNUMBER(_xll.ciqfunctions.udf.CIQ(T$3, "IQ_BOND_PRICE", $L143))),NA(),_xll.ciqfunctions.udf.CIQ(T$3, "IQ_BOND_PRICE", $L143)),"")</f>
        <v>106.05200000000001</v>
      </c>
      <c r="U143" s="424">
        <f>IF(AND($L143&lt;&gt;"",U$3&lt;&gt;""),IF(NOT(ISNUMBER(_xll.ciqfunctions.udf.CIQ(U$3, "IQ_BOND_PRICE", $L143))),NA(),_xll.ciqfunctions.udf.CIQ(U$3, "IQ_BOND_PRICE", $L143)),"")</f>
        <v>99.875299999999996</v>
      </c>
      <c r="V143" s="424">
        <f>IF(AND($L143&lt;&gt;"",V$3&lt;&gt;""),IF(NOT(ISNUMBER(_xll.ciqfunctions.udf.CIQ(V$3, "IQ_BOND_PRICE", $L143))),NA(),_xll.ciqfunctions.udf.CIQ(V$3, "IQ_BOND_PRICE", $L143)),"")</f>
        <v>106.16019</v>
      </c>
      <c r="W143" s="424">
        <f>IF(AND($L143&lt;&gt;"",W$3&lt;&gt;""),IF(NOT(ISNUMBER(_xll.ciqfunctions.udf.CIQ(W$3, "IQ_BOND_PRICE", $L143))),NA(),_xll.ciqfunctions.udf.CIQ(W$3, "IQ_BOND_PRICE", $L143)),"")</f>
        <v>109.41200000000001</v>
      </c>
      <c r="X143" s="424">
        <f>IF(AND($L143&lt;&gt;"",X$3&lt;&gt;""),IF(NOT(ISNUMBER(_xll.ciqfunctions.udf.CIQ(X$3, "IQ_BOND_PRICE", $L143))),NA(),_xll.ciqfunctions.udf.CIQ(X$3, "IQ_BOND_PRICE", $L143)),"")</f>
        <v>111.417</v>
      </c>
      <c r="Y143" s="424">
        <f>IF(AND($L143&lt;&gt;"",Y$3&lt;&gt;""),IF(NOT(ISNUMBER(_xll.ciqfunctions.udf.CIQ(Y$3, "IQ_BOND_PRICE", $L143))),NA(),_xll.ciqfunctions.udf.CIQ(Y$3, "IQ_BOND_PRICE", $L143)),"")</f>
        <v>108.999</v>
      </c>
      <c r="Z143" s="424">
        <f>IF(AND($L143&lt;&gt;"",Z$3&lt;&gt;""),IF(NOT(ISNUMBER(_xll.ciqfunctions.udf.CIQ(Z$3, "IQ_BOND_PRICE", $L143))),NA(),_xll.ciqfunctions.udf.CIQ(Z$3, "IQ_BOND_PRICE", $L143)),"")</f>
        <v>100.14700000000001</v>
      </c>
      <c r="CZ143" s="426"/>
    </row>
    <row r="144" spans="12:104" x14ac:dyDescent="0.2">
      <c r="L144" s="425">
        <f t="shared" si="2"/>
        <v>44474</v>
      </c>
      <c r="M144" s="424">
        <f>IF(AND($L144&lt;&gt;"",M$3&lt;&gt;""),IF(NOT(ISNUMBER(_xll.ciqfunctions.udf.CIQ(M$3, "IQ_BOND_PRICE", $L144))),NA(),_xll.ciqfunctions.udf.CIQ(M$3, "IQ_BOND_PRICE", $L144)),"")</f>
        <v>100.614</v>
      </c>
      <c r="N144" s="424">
        <f>IF(AND($L144&lt;&gt;"",N$3&lt;&gt;""),IF(NOT(ISNUMBER(_xll.ciqfunctions.udf.CIQ(N$3, "IQ_BOND_PRICE", $L144))),NA(),_xll.ciqfunctions.udf.CIQ(N$3, "IQ_BOND_PRICE", $L144)),"")</f>
        <v>0</v>
      </c>
      <c r="O144" s="424">
        <f>IF(AND($L144&lt;&gt;"",O$3&lt;&gt;""),IF(NOT(ISNUMBER(_xll.ciqfunctions.udf.CIQ(O$3, "IQ_BOND_PRICE", $L144))),NA(),_xll.ciqfunctions.udf.CIQ(O$3, "IQ_BOND_PRICE", $L144)),"")</f>
        <v>102.06053</v>
      </c>
      <c r="P144" s="424">
        <f>IF(AND($L144&lt;&gt;"",P$3&lt;&gt;""),IF(NOT(ISNUMBER(_xll.ciqfunctions.udf.CIQ(P$3, "IQ_BOND_PRICE", $L144))),NA(),_xll.ciqfunctions.udf.CIQ(P$3, "IQ_BOND_PRICE", $L144)),"")</f>
        <v>102.92316</v>
      </c>
      <c r="Q144" s="424">
        <f>IF(AND($L144&lt;&gt;"",Q$3&lt;&gt;""),IF(NOT(ISNUMBER(_xll.ciqfunctions.udf.CIQ(Q$3, "IQ_BOND_PRICE", $L144))),NA(),_xll.ciqfunctions.udf.CIQ(Q$3, "IQ_BOND_PRICE", $L144)),"")</f>
        <v>105.13800000000001</v>
      </c>
      <c r="R144" s="424">
        <f>IF(AND($L144&lt;&gt;"",R$3&lt;&gt;""),IF(NOT(ISNUMBER(_xll.ciqfunctions.udf.CIQ(R$3, "IQ_BOND_PRICE", $L144))),NA(),_xll.ciqfunctions.udf.CIQ(R$3, "IQ_BOND_PRICE", $L144)),"")</f>
        <v>112.32899999999999</v>
      </c>
      <c r="S144" s="424">
        <f>IF(AND($L144&lt;&gt;"",S$3&lt;&gt;""),IF(NOT(ISNUMBER(_xll.ciqfunctions.udf.CIQ(S$3, "IQ_BOND_PRICE", $L144))),NA(),_xll.ciqfunctions.udf.CIQ(S$3, "IQ_BOND_PRICE", $L144)),"")</f>
        <v>106.488</v>
      </c>
      <c r="T144" s="424">
        <f>IF(AND($L144&lt;&gt;"",T$3&lt;&gt;""),IF(NOT(ISNUMBER(_xll.ciqfunctions.udf.CIQ(T$3, "IQ_BOND_PRICE", $L144))),NA(),_xll.ciqfunctions.udf.CIQ(T$3, "IQ_BOND_PRICE", $L144)),"")</f>
        <v>105.98699999999999</v>
      </c>
      <c r="U144" s="424">
        <f>IF(AND($L144&lt;&gt;"",U$3&lt;&gt;""),IF(NOT(ISNUMBER(_xll.ciqfunctions.udf.CIQ(U$3, "IQ_BOND_PRICE", $L144))),NA(),_xll.ciqfunctions.udf.CIQ(U$3, "IQ_BOND_PRICE", $L144)),"")</f>
        <v>99.862889999999993</v>
      </c>
      <c r="V144" s="424">
        <f>IF(AND($L144&lt;&gt;"",V$3&lt;&gt;""),IF(NOT(ISNUMBER(_xll.ciqfunctions.udf.CIQ(V$3, "IQ_BOND_PRICE", $L144))),NA(),_xll.ciqfunctions.udf.CIQ(V$3, "IQ_BOND_PRICE", $L144)),"")</f>
        <v>106.08768000000001</v>
      </c>
      <c r="W144" s="424">
        <f>IF(AND($L144&lt;&gt;"",W$3&lt;&gt;""),IF(NOT(ISNUMBER(_xll.ciqfunctions.udf.CIQ(W$3, "IQ_BOND_PRICE", $L144))),NA(),_xll.ciqfunctions.udf.CIQ(W$3, "IQ_BOND_PRICE", $L144)),"")</f>
        <v>109.349</v>
      </c>
      <c r="X144" s="424">
        <f>IF(AND($L144&lt;&gt;"",X$3&lt;&gt;""),IF(NOT(ISNUMBER(_xll.ciqfunctions.udf.CIQ(X$3, "IQ_BOND_PRICE", $L144))),NA(),_xll.ciqfunctions.udf.CIQ(X$3, "IQ_BOND_PRICE", $L144)),"")</f>
        <v>111.35</v>
      </c>
      <c r="Y144" s="424">
        <f>IF(AND($L144&lt;&gt;"",Y$3&lt;&gt;""),IF(NOT(ISNUMBER(_xll.ciqfunctions.udf.CIQ(Y$3, "IQ_BOND_PRICE", $L144))),NA(),_xll.ciqfunctions.udf.CIQ(Y$3, "IQ_BOND_PRICE", $L144)),"")</f>
        <v>108.917</v>
      </c>
      <c r="Z144" s="424">
        <f>IF(AND($L144&lt;&gt;"",Z$3&lt;&gt;""),IF(NOT(ISNUMBER(_xll.ciqfunctions.udf.CIQ(Z$3, "IQ_BOND_PRICE", $L144))),NA(),_xll.ciqfunctions.udf.CIQ(Z$3, "IQ_BOND_PRICE", $L144)),"")</f>
        <v>99.849829999999997</v>
      </c>
      <c r="CZ144" s="426"/>
    </row>
    <row r="145" spans="12:104" x14ac:dyDescent="0.2">
      <c r="L145" s="425">
        <f t="shared" si="2"/>
        <v>44475</v>
      </c>
      <c r="M145" s="424">
        <f>IF(AND($L145&lt;&gt;"",M$3&lt;&gt;""),IF(NOT(ISNUMBER(_xll.ciqfunctions.udf.CIQ(M$3, "IQ_BOND_PRICE", $L145))),NA(),_xll.ciqfunctions.udf.CIQ(M$3, "IQ_BOND_PRICE", $L145)),"")</f>
        <v>100.607</v>
      </c>
      <c r="N145" s="424">
        <f>IF(AND($L145&lt;&gt;"",N$3&lt;&gt;""),IF(NOT(ISNUMBER(_xll.ciqfunctions.udf.CIQ(N$3, "IQ_BOND_PRICE", $L145))),NA(),_xll.ciqfunctions.udf.CIQ(N$3, "IQ_BOND_PRICE", $L145)),"")</f>
        <v>0</v>
      </c>
      <c r="O145" s="424">
        <f>IF(AND($L145&lt;&gt;"",O$3&lt;&gt;""),IF(NOT(ISNUMBER(_xll.ciqfunctions.udf.CIQ(O$3, "IQ_BOND_PRICE", $L145))),NA(),_xll.ciqfunctions.udf.CIQ(O$3, "IQ_BOND_PRICE", $L145)),"")</f>
        <v>102.04427</v>
      </c>
      <c r="P145" s="424">
        <f>IF(AND($L145&lt;&gt;"",P$3&lt;&gt;""),IF(NOT(ISNUMBER(_xll.ciqfunctions.udf.CIQ(P$3, "IQ_BOND_PRICE", $L145))),NA(),_xll.ciqfunctions.udf.CIQ(P$3, "IQ_BOND_PRICE", $L145)),"")</f>
        <v>102.91952000000001</v>
      </c>
      <c r="Q145" s="424">
        <f>IF(AND($L145&lt;&gt;"",Q$3&lt;&gt;""),IF(NOT(ISNUMBER(_xll.ciqfunctions.udf.CIQ(Q$3, "IQ_BOND_PRICE", $L145))),NA(),_xll.ciqfunctions.udf.CIQ(Q$3, "IQ_BOND_PRICE", $L145)),"")</f>
        <v>105.182</v>
      </c>
      <c r="R145" s="424">
        <f>IF(AND($L145&lt;&gt;"",R$3&lt;&gt;""),IF(NOT(ISNUMBER(_xll.ciqfunctions.udf.CIQ(R$3, "IQ_BOND_PRICE", $L145))),NA(),_xll.ciqfunctions.udf.CIQ(R$3, "IQ_BOND_PRICE", $L145)),"")</f>
        <v>112.35599999999999</v>
      </c>
      <c r="S145" s="424">
        <f>IF(AND($L145&lt;&gt;"",S$3&lt;&gt;""),IF(NOT(ISNUMBER(_xll.ciqfunctions.udf.CIQ(S$3, "IQ_BOND_PRICE", $L145))),NA(),_xll.ciqfunctions.udf.CIQ(S$3, "IQ_BOND_PRICE", $L145)),"")</f>
        <v>106.438</v>
      </c>
      <c r="T145" s="424">
        <f>IF(AND($L145&lt;&gt;"",T$3&lt;&gt;""),IF(NOT(ISNUMBER(_xll.ciqfunctions.udf.CIQ(T$3, "IQ_BOND_PRICE", $L145))),NA(),_xll.ciqfunctions.udf.CIQ(T$3, "IQ_BOND_PRICE", $L145)),"")</f>
        <v>105.95099999999999</v>
      </c>
      <c r="U145" s="424">
        <f>IF(AND($L145&lt;&gt;"",U$3&lt;&gt;""),IF(NOT(ISNUMBER(_xll.ciqfunctions.udf.CIQ(U$3, "IQ_BOND_PRICE", $L145))),NA(),_xll.ciqfunctions.udf.CIQ(U$3, "IQ_BOND_PRICE", $L145)),"")</f>
        <v>99.84648</v>
      </c>
      <c r="V145" s="424">
        <f>IF(AND($L145&lt;&gt;"",V$3&lt;&gt;""),IF(NOT(ISNUMBER(_xll.ciqfunctions.udf.CIQ(V$3, "IQ_BOND_PRICE", $L145))),NA(),_xll.ciqfunctions.udf.CIQ(V$3, "IQ_BOND_PRICE", $L145)),"")</f>
        <v>106.04844</v>
      </c>
      <c r="W145" s="424">
        <f>IF(AND($L145&lt;&gt;"",W$3&lt;&gt;""),IF(NOT(ISNUMBER(_xll.ciqfunctions.udf.CIQ(W$3, "IQ_BOND_PRICE", $L145))),NA(),_xll.ciqfunctions.udf.CIQ(W$3, "IQ_BOND_PRICE", $L145)),"")</f>
        <v>109.538</v>
      </c>
      <c r="X145" s="424">
        <f>IF(AND($L145&lt;&gt;"",X$3&lt;&gt;""),IF(NOT(ISNUMBER(_xll.ciqfunctions.udf.CIQ(X$3, "IQ_BOND_PRICE", $L145))),NA(),_xll.ciqfunctions.udf.CIQ(X$3, "IQ_BOND_PRICE", $L145)),"")</f>
        <v>111.31699999999999</v>
      </c>
      <c r="Y145" s="424">
        <f>IF(AND($L145&lt;&gt;"",Y$3&lt;&gt;""),IF(NOT(ISNUMBER(_xll.ciqfunctions.udf.CIQ(Y$3, "IQ_BOND_PRICE", $L145))),NA(),_xll.ciqfunctions.udf.CIQ(Y$3, "IQ_BOND_PRICE", $L145)),"")</f>
        <v>108.95099999999999</v>
      </c>
      <c r="Z145" s="424">
        <f>IF(AND($L145&lt;&gt;"",Z$3&lt;&gt;""),IF(NOT(ISNUMBER(_xll.ciqfunctions.udf.CIQ(Z$3, "IQ_BOND_PRICE", $L145))),NA(),_xll.ciqfunctions.udf.CIQ(Z$3, "IQ_BOND_PRICE", $L145)),"")</f>
        <v>99.791210000000007</v>
      </c>
      <c r="CZ145" s="426"/>
    </row>
    <row r="146" spans="12:104" x14ac:dyDescent="0.2">
      <c r="L146" s="425">
        <f t="shared" si="2"/>
        <v>44476</v>
      </c>
      <c r="M146" s="424">
        <f>IF(AND($L146&lt;&gt;"",M$3&lt;&gt;""),IF(NOT(ISNUMBER(_xll.ciqfunctions.udf.CIQ(M$3, "IQ_BOND_PRICE", $L146))),NA(),_xll.ciqfunctions.udf.CIQ(M$3, "IQ_BOND_PRICE", $L146)),"")</f>
        <v>100.589</v>
      </c>
      <c r="N146" s="424">
        <f>IF(AND($L146&lt;&gt;"",N$3&lt;&gt;""),IF(NOT(ISNUMBER(_xll.ciqfunctions.udf.CIQ(N$3, "IQ_BOND_PRICE", $L146))),NA(),_xll.ciqfunctions.udf.CIQ(N$3, "IQ_BOND_PRICE", $L146)),"")</f>
        <v>0</v>
      </c>
      <c r="O146" s="424">
        <f>IF(AND($L146&lt;&gt;"",O$3&lt;&gt;""),IF(NOT(ISNUMBER(_xll.ciqfunctions.udf.CIQ(O$3, "IQ_BOND_PRICE", $L146))),NA(),_xll.ciqfunctions.udf.CIQ(O$3, "IQ_BOND_PRICE", $L146)),"")</f>
        <v>102.068</v>
      </c>
      <c r="P146" s="424">
        <f>IF(AND($L146&lt;&gt;"",P$3&lt;&gt;""),IF(NOT(ISNUMBER(_xll.ciqfunctions.udf.CIQ(P$3, "IQ_BOND_PRICE", $L146))),NA(),_xll.ciqfunctions.udf.CIQ(P$3, "IQ_BOND_PRICE", $L146)),"")</f>
        <v>102.80999</v>
      </c>
      <c r="Q146" s="424">
        <f>IF(AND($L146&lt;&gt;"",Q$3&lt;&gt;""),IF(NOT(ISNUMBER(_xll.ciqfunctions.udf.CIQ(Q$3, "IQ_BOND_PRICE", $L146))),NA(),_xll.ciqfunctions.udf.CIQ(Q$3, "IQ_BOND_PRICE", $L146)),"")</f>
        <v>105.056</v>
      </c>
      <c r="R146" s="424">
        <f>IF(AND($L146&lt;&gt;"",R$3&lt;&gt;""),IF(NOT(ISNUMBER(_xll.ciqfunctions.udf.CIQ(R$3, "IQ_BOND_PRICE", $L146))),NA(),_xll.ciqfunctions.udf.CIQ(R$3, "IQ_BOND_PRICE", $L146)),"")</f>
        <v>112.152</v>
      </c>
      <c r="S146" s="424">
        <f>IF(AND($L146&lt;&gt;"",S$3&lt;&gt;""),IF(NOT(ISNUMBER(_xll.ciqfunctions.udf.CIQ(S$3, "IQ_BOND_PRICE", $L146))),NA(),_xll.ciqfunctions.udf.CIQ(S$3, "IQ_BOND_PRICE", $L146)),"")</f>
        <v>106.081</v>
      </c>
      <c r="T146" s="424">
        <f>IF(AND($L146&lt;&gt;"",T$3&lt;&gt;""),IF(NOT(ISNUMBER(_xll.ciqfunctions.udf.CIQ(T$3, "IQ_BOND_PRICE", $L146))),NA(),_xll.ciqfunctions.udf.CIQ(T$3, "IQ_BOND_PRICE", $L146)),"")</f>
        <v>105.806</v>
      </c>
      <c r="U146" s="424">
        <f>IF(AND($L146&lt;&gt;"",U$3&lt;&gt;""),IF(NOT(ISNUMBER(_xll.ciqfunctions.udf.CIQ(U$3, "IQ_BOND_PRICE", $L146))),NA(),_xll.ciqfunctions.udf.CIQ(U$3, "IQ_BOND_PRICE", $L146)),"")</f>
        <v>99.854659999999996</v>
      </c>
      <c r="V146" s="424">
        <f>IF(AND($L146&lt;&gt;"",V$3&lt;&gt;""),IF(NOT(ISNUMBER(_xll.ciqfunctions.udf.CIQ(V$3, "IQ_BOND_PRICE", $L146))),NA(),_xll.ciqfunctions.udf.CIQ(V$3, "IQ_BOND_PRICE", $L146)),"")</f>
        <v>105.961</v>
      </c>
      <c r="W146" s="424">
        <f>IF(AND($L146&lt;&gt;"",W$3&lt;&gt;""),IF(NOT(ISNUMBER(_xll.ciqfunctions.udf.CIQ(W$3, "IQ_BOND_PRICE", $L146))),NA(),_xll.ciqfunctions.udf.CIQ(W$3, "IQ_BOND_PRICE", $L146)),"")</f>
        <v>109.218</v>
      </c>
      <c r="X146" s="424">
        <f>IF(AND($L146&lt;&gt;"",X$3&lt;&gt;""),IF(NOT(ISNUMBER(_xll.ciqfunctions.udf.CIQ(X$3, "IQ_BOND_PRICE", $L146))),NA(),_xll.ciqfunctions.udf.CIQ(X$3, "IQ_BOND_PRICE", $L146)),"")</f>
        <v>111.336</v>
      </c>
      <c r="Y146" s="424">
        <f>IF(AND($L146&lt;&gt;"",Y$3&lt;&gt;""),IF(NOT(ISNUMBER(_xll.ciqfunctions.udf.CIQ(Y$3, "IQ_BOND_PRICE", $L146))),NA(),_xll.ciqfunctions.udf.CIQ(Y$3, "IQ_BOND_PRICE", $L146)),"")</f>
        <v>108.768</v>
      </c>
      <c r="Z146" s="424">
        <f>IF(AND($L146&lt;&gt;"",Z$3&lt;&gt;""),IF(NOT(ISNUMBER(_xll.ciqfunctions.udf.CIQ(Z$3, "IQ_BOND_PRICE", $L146))),NA(),_xll.ciqfunctions.udf.CIQ(Z$3, "IQ_BOND_PRICE", $L146)),"")</f>
        <v>99.676259999999999</v>
      </c>
      <c r="CZ146" s="426"/>
    </row>
    <row r="147" spans="12:104" x14ac:dyDescent="0.2">
      <c r="L147" s="425">
        <f t="shared" si="2"/>
        <v>44477</v>
      </c>
      <c r="M147" s="424">
        <f>IF(AND($L147&lt;&gt;"",M$3&lt;&gt;""),IF(NOT(ISNUMBER(_xll.ciqfunctions.udf.CIQ(M$3, "IQ_BOND_PRICE", $L147))),NA(),_xll.ciqfunctions.udf.CIQ(M$3, "IQ_BOND_PRICE", $L147)),"")</f>
        <v>100.584</v>
      </c>
      <c r="N147" s="424">
        <f>IF(AND($L147&lt;&gt;"",N$3&lt;&gt;""),IF(NOT(ISNUMBER(_xll.ciqfunctions.udf.CIQ(N$3, "IQ_BOND_PRICE", $L147))),NA(),_xll.ciqfunctions.udf.CIQ(N$3, "IQ_BOND_PRICE", $L147)),"")</f>
        <v>0</v>
      </c>
      <c r="O147" s="424">
        <f>IF(AND($L147&lt;&gt;"",O$3&lt;&gt;""),IF(NOT(ISNUMBER(_xll.ciqfunctions.udf.CIQ(O$3, "IQ_BOND_PRICE", $L147))),NA(),_xll.ciqfunctions.udf.CIQ(O$3, "IQ_BOND_PRICE", $L147)),"")</f>
        <v>102.0492</v>
      </c>
      <c r="P147" s="424">
        <f>IF(AND($L147&lt;&gt;"",P$3&lt;&gt;""),IF(NOT(ISNUMBER(_xll.ciqfunctions.udf.CIQ(P$3, "IQ_BOND_PRICE", $L147))),NA(),_xll.ciqfunctions.udf.CIQ(P$3, "IQ_BOND_PRICE", $L147)),"")</f>
        <v>102.892</v>
      </c>
      <c r="Q147" s="424">
        <f>IF(AND($L147&lt;&gt;"",Q$3&lt;&gt;""),IF(NOT(ISNUMBER(_xll.ciqfunctions.udf.CIQ(Q$3, "IQ_BOND_PRICE", $L147))),NA(),_xll.ciqfunctions.udf.CIQ(Q$3, "IQ_BOND_PRICE", $L147)),"")</f>
        <v>104.893</v>
      </c>
      <c r="R147" s="424">
        <f>IF(AND($L147&lt;&gt;"",R$3&lt;&gt;""),IF(NOT(ISNUMBER(_xll.ciqfunctions.udf.CIQ(R$3, "IQ_BOND_PRICE", $L147))),NA(),_xll.ciqfunctions.udf.CIQ(R$3, "IQ_BOND_PRICE", $L147)),"")</f>
        <v>112.123</v>
      </c>
      <c r="S147" s="424">
        <f>IF(AND($L147&lt;&gt;"",S$3&lt;&gt;""),IF(NOT(ISNUMBER(_xll.ciqfunctions.udf.CIQ(S$3, "IQ_BOND_PRICE", $L147))),NA(),_xll.ciqfunctions.udf.CIQ(S$3, "IQ_BOND_PRICE", $L147)),"")</f>
        <v>106.02800000000001</v>
      </c>
      <c r="T147" s="424">
        <f>IF(AND($L147&lt;&gt;"",T$3&lt;&gt;""),IF(NOT(ISNUMBER(_xll.ciqfunctions.udf.CIQ(T$3, "IQ_BOND_PRICE", $L147))),NA(),_xll.ciqfunctions.udf.CIQ(T$3, "IQ_BOND_PRICE", $L147)),"")</f>
        <v>105.89400000000001</v>
      </c>
      <c r="U147" s="424">
        <f>IF(AND($L147&lt;&gt;"",U$3&lt;&gt;""),IF(NOT(ISNUMBER(_xll.ciqfunctions.udf.CIQ(U$3, "IQ_BOND_PRICE", $L147))),NA(),_xll.ciqfunctions.udf.CIQ(U$3, "IQ_BOND_PRICE", $L147)),"")</f>
        <v>99.845650000000006</v>
      </c>
      <c r="V147" s="424">
        <f>IF(AND($L147&lt;&gt;"",V$3&lt;&gt;""),IF(NOT(ISNUMBER(_xll.ciqfunctions.udf.CIQ(V$3, "IQ_BOND_PRICE", $L147))),NA(),_xll.ciqfunctions.udf.CIQ(V$3, "IQ_BOND_PRICE", $L147)),"")</f>
        <v>105.89516999999999</v>
      </c>
      <c r="W147" s="424">
        <f>IF(AND($L147&lt;&gt;"",W$3&lt;&gt;""),IF(NOT(ISNUMBER(_xll.ciqfunctions.udf.CIQ(W$3, "IQ_BOND_PRICE", $L147))),NA(),_xll.ciqfunctions.udf.CIQ(W$3, "IQ_BOND_PRICE", $L147)),"")</f>
        <v>109.10899999999999</v>
      </c>
      <c r="X147" s="424">
        <f>IF(AND($L147&lt;&gt;"",X$3&lt;&gt;""),IF(NOT(ISNUMBER(_xll.ciqfunctions.udf.CIQ(X$3, "IQ_BOND_PRICE", $L147))),NA(),_xll.ciqfunctions.udf.CIQ(X$3, "IQ_BOND_PRICE", $L147)),"")</f>
        <v>111.286</v>
      </c>
      <c r="Y147" s="424">
        <f>IF(AND($L147&lt;&gt;"",Y$3&lt;&gt;""),IF(NOT(ISNUMBER(_xll.ciqfunctions.udf.CIQ(Y$3, "IQ_BOND_PRICE", $L147))),NA(),_xll.ciqfunctions.udf.CIQ(Y$3, "IQ_BOND_PRICE", $L147)),"")</f>
        <v>108.633</v>
      </c>
      <c r="Z147" s="424">
        <f>IF(AND($L147&lt;&gt;"",Z$3&lt;&gt;""),IF(NOT(ISNUMBER(_xll.ciqfunctions.udf.CIQ(Z$3, "IQ_BOND_PRICE", $L147))),NA(),_xll.ciqfunctions.udf.CIQ(Z$3, "IQ_BOND_PRICE", $L147)),"")</f>
        <v>99.602140000000006</v>
      </c>
      <c r="CZ147" s="426"/>
    </row>
    <row r="148" spans="12:104" x14ac:dyDescent="0.2">
      <c r="L148" s="425">
        <f t="shared" si="2"/>
        <v>44480</v>
      </c>
      <c r="M148" s="424">
        <f>IF(AND($L148&lt;&gt;"",M$3&lt;&gt;""),IF(NOT(ISNUMBER(_xll.ciqfunctions.udf.CIQ(M$3, "IQ_BOND_PRICE", $L148))),NA(),_xll.ciqfunctions.udf.CIQ(M$3, "IQ_BOND_PRICE", $L148)),"")</f>
        <v>100.57299999999999</v>
      </c>
      <c r="N148" s="424">
        <f>IF(AND($L148&lt;&gt;"",N$3&lt;&gt;""),IF(NOT(ISNUMBER(_xll.ciqfunctions.udf.CIQ(N$3, "IQ_BOND_PRICE", $L148))),NA(),_xll.ciqfunctions.udf.CIQ(N$3, "IQ_BOND_PRICE", $L148)),"")</f>
        <v>0</v>
      </c>
      <c r="O148" s="424">
        <f>IF(AND($L148&lt;&gt;"",O$3&lt;&gt;""),IF(NOT(ISNUMBER(_xll.ciqfunctions.udf.CIQ(O$3, "IQ_BOND_PRICE", $L148))),NA(),_xll.ciqfunctions.udf.CIQ(O$3, "IQ_BOND_PRICE", $L148)),"")</f>
        <v>102.00884000000001</v>
      </c>
      <c r="P148" s="424">
        <f>IF(AND($L148&lt;&gt;"",P$3&lt;&gt;""),IF(NOT(ISNUMBER(_xll.ciqfunctions.udf.CIQ(P$3, "IQ_BOND_PRICE", $L148))),NA(),_xll.ciqfunctions.udf.CIQ(P$3, "IQ_BOND_PRICE", $L148)),"")</f>
        <v>102.87325</v>
      </c>
      <c r="Q148" s="424">
        <f>IF(AND($L148&lt;&gt;"",Q$3&lt;&gt;""),IF(NOT(ISNUMBER(_xll.ciqfunctions.udf.CIQ(Q$3, "IQ_BOND_PRICE", $L148))),NA(),_xll.ciqfunctions.udf.CIQ(Q$3, "IQ_BOND_PRICE", $L148)),"")</f>
        <v>104.866</v>
      </c>
      <c r="R148" s="424">
        <f>IF(AND($L148&lt;&gt;"",R$3&lt;&gt;""),IF(NOT(ISNUMBER(_xll.ciqfunctions.udf.CIQ(R$3, "IQ_BOND_PRICE", $L148))),NA(),_xll.ciqfunctions.udf.CIQ(R$3, "IQ_BOND_PRICE", $L148)),"")</f>
        <v>112.068</v>
      </c>
      <c r="S148" s="424">
        <f>IF(AND($L148&lt;&gt;"",S$3&lt;&gt;""),IF(NOT(ISNUMBER(_xll.ciqfunctions.udf.CIQ(S$3, "IQ_BOND_PRICE", $L148))),NA(),_xll.ciqfunctions.udf.CIQ(S$3, "IQ_BOND_PRICE", $L148)),"")</f>
        <v>105.964</v>
      </c>
      <c r="T148" s="424">
        <f>IF(AND($L148&lt;&gt;"",T$3&lt;&gt;""),IF(NOT(ISNUMBER(_xll.ciqfunctions.udf.CIQ(T$3, "IQ_BOND_PRICE", $L148))),NA(),_xll.ciqfunctions.udf.CIQ(T$3, "IQ_BOND_PRICE", $L148)),"")</f>
        <v>105.821</v>
      </c>
      <c r="U148" s="424">
        <f>IF(AND($L148&lt;&gt;"",U$3&lt;&gt;""),IF(NOT(ISNUMBER(_xll.ciqfunctions.udf.CIQ(U$3, "IQ_BOND_PRICE", $L148))),NA(),_xll.ciqfunctions.udf.CIQ(U$3, "IQ_BOND_PRICE", $L148)),"")</f>
        <v>99.832009999999997</v>
      </c>
      <c r="V148" s="424">
        <f>IF(AND($L148&lt;&gt;"",V$3&lt;&gt;""),IF(NOT(ISNUMBER(_xll.ciqfunctions.udf.CIQ(V$3, "IQ_BOND_PRICE", $L148))),NA(),_xll.ciqfunctions.udf.CIQ(V$3, "IQ_BOND_PRICE", $L148)),"")</f>
        <v>105.81493</v>
      </c>
      <c r="W148" s="424">
        <f>IF(AND($L148&lt;&gt;"",W$3&lt;&gt;""),IF(NOT(ISNUMBER(_xll.ciqfunctions.udf.CIQ(W$3, "IQ_BOND_PRICE", $L148))),NA(),_xll.ciqfunctions.udf.CIQ(W$3, "IQ_BOND_PRICE", $L148)),"")</f>
        <v>109.017</v>
      </c>
      <c r="X148" s="424">
        <f>IF(AND($L148&lt;&gt;"",X$3&lt;&gt;""),IF(NOT(ISNUMBER(_xll.ciqfunctions.udf.CIQ(X$3, "IQ_BOND_PRICE", $L148))),NA(),_xll.ciqfunctions.udf.CIQ(X$3, "IQ_BOND_PRICE", $L148)),"")</f>
        <v>111.187</v>
      </c>
      <c r="Y148" s="424">
        <f>IF(AND($L148&lt;&gt;"",Y$3&lt;&gt;""),IF(NOT(ISNUMBER(_xll.ciqfunctions.udf.CIQ(Y$3, "IQ_BOND_PRICE", $L148))),NA(),_xll.ciqfunctions.udf.CIQ(Y$3, "IQ_BOND_PRICE", $L148)),"")</f>
        <v>108.408</v>
      </c>
      <c r="Z148" s="424">
        <f>IF(AND($L148&lt;&gt;"",Z$3&lt;&gt;""),IF(NOT(ISNUMBER(_xll.ciqfunctions.udf.CIQ(Z$3, "IQ_BOND_PRICE", $L148))),NA(),_xll.ciqfunctions.udf.CIQ(Z$3, "IQ_BOND_PRICE", $L148)),"")</f>
        <v>99.377510000000001</v>
      </c>
      <c r="CZ148" s="426"/>
    </row>
    <row r="149" spans="12:104" x14ac:dyDescent="0.2">
      <c r="L149" s="425">
        <f t="shared" si="2"/>
        <v>44481</v>
      </c>
      <c r="M149" s="424">
        <f>IF(AND($L149&lt;&gt;"",M$3&lt;&gt;""),IF(NOT(ISNUMBER(_xll.ciqfunctions.udf.CIQ(M$3, "IQ_BOND_PRICE", $L149))),NA(),_xll.ciqfunctions.udf.CIQ(M$3, "IQ_BOND_PRICE", $L149)),"")</f>
        <v>100.565</v>
      </c>
      <c r="N149" s="424">
        <f>IF(AND($L149&lt;&gt;"",N$3&lt;&gt;""),IF(NOT(ISNUMBER(_xll.ciqfunctions.udf.CIQ(N$3, "IQ_BOND_PRICE", $L149))),NA(),_xll.ciqfunctions.udf.CIQ(N$3, "IQ_BOND_PRICE", $L149)),"")</f>
        <v>0</v>
      </c>
      <c r="O149" s="424">
        <f>IF(AND($L149&lt;&gt;"",O$3&lt;&gt;""),IF(NOT(ISNUMBER(_xll.ciqfunctions.udf.CIQ(O$3, "IQ_BOND_PRICE", $L149))),NA(),_xll.ciqfunctions.udf.CIQ(O$3, "IQ_BOND_PRICE", $L149)),"")</f>
        <v>102.202</v>
      </c>
      <c r="P149" s="424">
        <f>IF(AND($L149&lt;&gt;"",P$3&lt;&gt;""),IF(NOT(ISNUMBER(_xll.ciqfunctions.udf.CIQ(P$3, "IQ_BOND_PRICE", $L149))),NA(),_xll.ciqfunctions.udf.CIQ(P$3, "IQ_BOND_PRICE", $L149)),"")</f>
        <v>102.84432</v>
      </c>
      <c r="Q149" s="424">
        <f>IF(AND($L149&lt;&gt;"",Q$3&lt;&gt;""),IF(NOT(ISNUMBER(_xll.ciqfunctions.udf.CIQ(Q$3, "IQ_BOND_PRICE", $L149))),NA(),_xll.ciqfunctions.udf.CIQ(Q$3, "IQ_BOND_PRICE", $L149)),"")</f>
        <v>104.92100000000001</v>
      </c>
      <c r="R149" s="424">
        <f>IF(AND($L149&lt;&gt;"",R$3&lt;&gt;""),IF(NOT(ISNUMBER(_xll.ciqfunctions.udf.CIQ(R$3, "IQ_BOND_PRICE", $L149))),NA(),_xll.ciqfunctions.udf.CIQ(R$3, "IQ_BOND_PRICE", $L149)),"")</f>
        <v>112.111</v>
      </c>
      <c r="S149" s="424">
        <f>IF(AND($L149&lt;&gt;"",S$3&lt;&gt;""),IF(NOT(ISNUMBER(_xll.ciqfunctions.udf.CIQ(S$3, "IQ_BOND_PRICE", $L149))),NA(),_xll.ciqfunctions.udf.CIQ(S$3, "IQ_BOND_PRICE", $L149)),"")</f>
        <v>106.273</v>
      </c>
      <c r="T149" s="424">
        <f>IF(AND($L149&lt;&gt;"",T$3&lt;&gt;""),IF(NOT(ISNUMBER(_xll.ciqfunctions.udf.CIQ(T$3, "IQ_BOND_PRICE", $L149))),NA(),_xll.ciqfunctions.udf.CIQ(T$3, "IQ_BOND_PRICE", $L149)),"")</f>
        <v>105.785</v>
      </c>
      <c r="U149" s="424">
        <f>IF(AND($L149&lt;&gt;"",U$3&lt;&gt;""),IF(NOT(ISNUMBER(_xll.ciqfunctions.udf.CIQ(U$3, "IQ_BOND_PRICE", $L149))),NA(),_xll.ciqfunctions.udf.CIQ(U$3, "IQ_BOND_PRICE", $L149)),"")</f>
        <v>99.842070000000007</v>
      </c>
      <c r="V149" s="424">
        <f>IF(AND($L149&lt;&gt;"",V$3&lt;&gt;""),IF(NOT(ISNUMBER(_xll.ciqfunctions.udf.CIQ(V$3, "IQ_BOND_PRICE", $L149))),NA(),_xll.ciqfunctions.udf.CIQ(V$3, "IQ_BOND_PRICE", $L149)),"")</f>
        <v>105.73743</v>
      </c>
      <c r="W149" s="424">
        <f>IF(AND($L149&lt;&gt;"",W$3&lt;&gt;""),IF(NOT(ISNUMBER(_xll.ciqfunctions.udf.CIQ(W$3, "IQ_BOND_PRICE", $L149))),NA(),_xll.ciqfunctions.udf.CIQ(W$3, "IQ_BOND_PRICE", $L149)),"")</f>
        <v>109.087</v>
      </c>
      <c r="X149" s="424">
        <f>IF(AND($L149&lt;&gt;"",X$3&lt;&gt;""),IF(NOT(ISNUMBER(_xll.ciqfunctions.udf.CIQ(X$3, "IQ_BOND_PRICE", $L149))),NA(),_xll.ciqfunctions.udf.CIQ(X$3, "IQ_BOND_PRICE", $L149)),"")</f>
        <v>111.133</v>
      </c>
      <c r="Y149" s="424">
        <f>IF(AND($L149&lt;&gt;"",Y$3&lt;&gt;""),IF(NOT(ISNUMBER(_xll.ciqfunctions.udf.CIQ(Y$3, "IQ_BOND_PRICE", $L149))),NA(),_xll.ciqfunctions.udf.CIQ(Y$3, "IQ_BOND_PRICE", $L149)),"")</f>
        <v>108.501</v>
      </c>
      <c r="Z149" s="424">
        <f>IF(AND($L149&lt;&gt;"",Z$3&lt;&gt;""),IF(NOT(ISNUMBER(_xll.ciqfunctions.udf.CIQ(Z$3, "IQ_BOND_PRICE", $L149))),NA(),_xll.ciqfunctions.udf.CIQ(Z$3, "IQ_BOND_PRICE", $L149)),"")</f>
        <v>99.478080000000006</v>
      </c>
      <c r="CZ149" s="426"/>
    </row>
    <row r="150" spans="12:104" x14ac:dyDescent="0.2">
      <c r="L150" s="425">
        <f t="shared" si="2"/>
        <v>44482</v>
      </c>
      <c r="M150" s="424">
        <f>IF(AND($L150&lt;&gt;"",M$3&lt;&gt;""),IF(NOT(ISNUMBER(_xll.ciqfunctions.udf.CIQ(M$3, "IQ_BOND_PRICE", $L150))),NA(),_xll.ciqfunctions.udf.CIQ(M$3, "IQ_BOND_PRICE", $L150)),"")</f>
        <v>100.557</v>
      </c>
      <c r="N150" s="424">
        <f>IF(AND($L150&lt;&gt;"",N$3&lt;&gt;""),IF(NOT(ISNUMBER(_xll.ciqfunctions.udf.CIQ(N$3, "IQ_BOND_PRICE", $L150))),NA(),_xll.ciqfunctions.udf.CIQ(N$3, "IQ_BOND_PRICE", $L150)),"")</f>
        <v>0</v>
      </c>
      <c r="O150" s="424">
        <f>IF(AND($L150&lt;&gt;"",O$3&lt;&gt;""),IF(NOT(ISNUMBER(_xll.ciqfunctions.udf.CIQ(O$3, "IQ_BOND_PRICE", $L150))),NA(),_xll.ciqfunctions.udf.CIQ(O$3, "IQ_BOND_PRICE", $L150)),"")</f>
        <v>102.17643</v>
      </c>
      <c r="P150" s="424">
        <f>IF(AND($L150&lt;&gt;"",P$3&lt;&gt;""),IF(NOT(ISNUMBER(_xll.ciqfunctions.udf.CIQ(P$3, "IQ_BOND_PRICE", $L150))),NA(),_xll.ciqfunctions.udf.CIQ(P$3, "IQ_BOND_PRICE", $L150)),"")</f>
        <v>102.79421000000001</v>
      </c>
      <c r="Q150" s="424">
        <f>IF(AND($L150&lt;&gt;"",Q$3&lt;&gt;""),IF(NOT(ISNUMBER(_xll.ciqfunctions.udf.CIQ(Q$3, "IQ_BOND_PRICE", $L150))),NA(),_xll.ciqfunctions.udf.CIQ(Q$3, "IQ_BOND_PRICE", $L150)),"")</f>
        <v>104.86499999999999</v>
      </c>
      <c r="R150" s="424">
        <f>IF(AND($L150&lt;&gt;"",R$3&lt;&gt;""),IF(NOT(ISNUMBER(_xll.ciqfunctions.udf.CIQ(R$3, "IQ_BOND_PRICE", $L150))),NA(),_xll.ciqfunctions.udf.CIQ(R$3, "IQ_BOND_PRICE", $L150)),"")</f>
        <v>112.03700000000001</v>
      </c>
      <c r="S150" s="424">
        <f>IF(AND($L150&lt;&gt;"",S$3&lt;&gt;""),IF(NOT(ISNUMBER(_xll.ciqfunctions.udf.CIQ(S$3, "IQ_BOND_PRICE", $L150))),NA(),_xll.ciqfunctions.udf.CIQ(S$3, "IQ_BOND_PRICE", $L150)),"")</f>
        <v>106.22</v>
      </c>
      <c r="T150" s="424">
        <f>IF(AND($L150&lt;&gt;"",T$3&lt;&gt;""),IF(NOT(ISNUMBER(_xll.ciqfunctions.udf.CIQ(T$3, "IQ_BOND_PRICE", $L150))),NA(),_xll.ciqfunctions.udf.CIQ(T$3, "IQ_BOND_PRICE", $L150)),"")</f>
        <v>105.727</v>
      </c>
      <c r="U150" s="424">
        <f>IF(AND($L150&lt;&gt;"",U$3&lt;&gt;""),IF(NOT(ISNUMBER(_xll.ciqfunctions.udf.CIQ(U$3, "IQ_BOND_PRICE", $L150))),NA(),_xll.ciqfunctions.udf.CIQ(U$3, "IQ_BOND_PRICE", $L150)),"")</f>
        <v>99.847729999999999</v>
      </c>
      <c r="V150" s="424">
        <f>IF(AND($L150&lt;&gt;"",V$3&lt;&gt;""),IF(NOT(ISNUMBER(_xll.ciqfunctions.udf.CIQ(V$3, "IQ_BOND_PRICE", $L150))),NA(),_xll.ciqfunctions.udf.CIQ(V$3, "IQ_BOND_PRICE", $L150)),"")</f>
        <v>105.6733</v>
      </c>
      <c r="W150" s="424">
        <f>IF(AND($L150&lt;&gt;"",W$3&lt;&gt;""),IF(NOT(ISNUMBER(_xll.ciqfunctions.udf.CIQ(W$3, "IQ_BOND_PRICE", $L150))),NA(),_xll.ciqfunctions.udf.CIQ(W$3, "IQ_BOND_PRICE", $L150)),"")</f>
        <v>109.032</v>
      </c>
      <c r="X150" s="424">
        <f>IF(AND($L150&lt;&gt;"",X$3&lt;&gt;""),IF(NOT(ISNUMBER(_xll.ciqfunctions.udf.CIQ(X$3, "IQ_BOND_PRICE", $L150))),NA(),_xll.ciqfunctions.udf.CIQ(X$3, "IQ_BOND_PRICE", $L150)),"")</f>
        <v>111.116</v>
      </c>
      <c r="Y150" s="424">
        <f>IF(AND($L150&lt;&gt;"",Y$3&lt;&gt;""),IF(NOT(ISNUMBER(_xll.ciqfunctions.udf.CIQ(Y$3, "IQ_BOND_PRICE", $L150))),NA(),_xll.ciqfunctions.udf.CIQ(Y$3, "IQ_BOND_PRICE", $L150)),"")</f>
        <v>108.435</v>
      </c>
      <c r="Z150" s="424">
        <f>IF(AND($L150&lt;&gt;"",Z$3&lt;&gt;""),IF(NOT(ISNUMBER(_xll.ciqfunctions.udf.CIQ(Z$3, "IQ_BOND_PRICE", $L150))),NA(),_xll.ciqfunctions.udf.CIQ(Z$3, "IQ_BOND_PRICE", $L150)),"")</f>
        <v>99.41583</v>
      </c>
      <c r="CZ150" s="426"/>
    </row>
    <row r="151" spans="12:104" x14ac:dyDescent="0.2">
      <c r="L151" s="425">
        <f t="shared" si="2"/>
        <v>44483</v>
      </c>
      <c r="M151" s="424">
        <f>IF(AND($L151&lt;&gt;"",M$3&lt;&gt;""),IF(NOT(ISNUMBER(_xll.ciqfunctions.udf.CIQ(M$3, "IQ_BOND_PRICE", $L151))),NA(),_xll.ciqfunctions.udf.CIQ(M$3, "IQ_BOND_PRICE", $L151)),"")</f>
        <v>100.538</v>
      </c>
      <c r="N151" s="424">
        <f>IF(AND($L151&lt;&gt;"",N$3&lt;&gt;""),IF(NOT(ISNUMBER(_xll.ciqfunctions.udf.CIQ(N$3, "IQ_BOND_PRICE", $L151))),NA(),_xll.ciqfunctions.udf.CIQ(N$3, "IQ_BOND_PRICE", $L151)),"")</f>
        <v>0</v>
      </c>
      <c r="O151" s="424">
        <f>IF(AND($L151&lt;&gt;"",O$3&lt;&gt;""),IF(NOT(ISNUMBER(_xll.ciqfunctions.udf.CIQ(O$3, "IQ_BOND_PRICE", $L151))),NA(),_xll.ciqfunctions.udf.CIQ(O$3, "IQ_BOND_PRICE", $L151)),"")</f>
        <v>102.17484</v>
      </c>
      <c r="P151" s="424">
        <f>IF(AND($L151&lt;&gt;"",P$3&lt;&gt;""),IF(NOT(ISNUMBER(_xll.ciqfunctions.udf.CIQ(P$3, "IQ_BOND_PRICE", $L151))),NA(),_xll.ciqfunctions.udf.CIQ(P$3, "IQ_BOND_PRICE", $L151)),"")</f>
        <v>102.74764999999999</v>
      </c>
      <c r="Q151" s="424">
        <f>IF(AND($L151&lt;&gt;"",Q$3&lt;&gt;""),IF(NOT(ISNUMBER(_xll.ciqfunctions.udf.CIQ(Q$3, "IQ_BOND_PRICE", $L151))),NA(),_xll.ciqfunctions.udf.CIQ(Q$3, "IQ_BOND_PRICE", $L151)),"")</f>
        <v>104.94</v>
      </c>
      <c r="R151" s="424">
        <f>IF(AND($L151&lt;&gt;"",R$3&lt;&gt;""),IF(NOT(ISNUMBER(_xll.ciqfunctions.udf.CIQ(R$3, "IQ_BOND_PRICE", $L151))),NA(),_xll.ciqfunctions.udf.CIQ(R$3, "IQ_BOND_PRICE", $L151)),"")</f>
        <v>112.074</v>
      </c>
      <c r="S151" s="424">
        <f>IF(AND($L151&lt;&gt;"",S$3&lt;&gt;""),IF(NOT(ISNUMBER(_xll.ciqfunctions.udf.CIQ(S$3, "IQ_BOND_PRICE", $L151))),NA(),_xll.ciqfunctions.udf.CIQ(S$3, "IQ_BOND_PRICE", $L151)),"")</f>
        <v>106.36199999999999</v>
      </c>
      <c r="T151" s="424">
        <f>IF(AND($L151&lt;&gt;"",T$3&lt;&gt;""),IF(NOT(ISNUMBER(_xll.ciqfunctions.udf.CIQ(T$3, "IQ_BOND_PRICE", $L151))),NA(),_xll.ciqfunctions.udf.CIQ(T$3, "IQ_BOND_PRICE", $L151)),"")</f>
        <v>105.687</v>
      </c>
      <c r="U151" s="424">
        <f>IF(AND($L151&lt;&gt;"",U$3&lt;&gt;""),IF(NOT(ISNUMBER(_xll.ciqfunctions.udf.CIQ(U$3, "IQ_BOND_PRICE", $L151))),NA(),_xll.ciqfunctions.udf.CIQ(U$3, "IQ_BOND_PRICE", $L151)),"")</f>
        <v>99.8613</v>
      </c>
      <c r="V151" s="424">
        <f>IF(AND($L151&lt;&gt;"",V$3&lt;&gt;""),IF(NOT(ISNUMBER(_xll.ciqfunctions.udf.CIQ(V$3, "IQ_BOND_PRICE", $L151))),NA(),_xll.ciqfunctions.udf.CIQ(V$3, "IQ_BOND_PRICE", $L151)),"")</f>
        <v>105.74827000000001</v>
      </c>
      <c r="W151" s="424">
        <f>IF(AND($L151&lt;&gt;"",W$3&lt;&gt;""),IF(NOT(ISNUMBER(_xll.ciqfunctions.udf.CIQ(W$3, "IQ_BOND_PRICE", $L151))),NA(),_xll.ciqfunctions.udf.CIQ(W$3, "IQ_BOND_PRICE", $L151)),"")</f>
        <v>109.246</v>
      </c>
      <c r="X151" s="424">
        <f>IF(AND($L151&lt;&gt;"",X$3&lt;&gt;""),IF(NOT(ISNUMBER(_xll.ciqfunctions.udf.CIQ(X$3, "IQ_BOND_PRICE", $L151))),NA(),_xll.ciqfunctions.udf.CIQ(X$3, "IQ_BOND_PRICE", $L151)),"")</f>
        <v>111.182</v>
      </c>
      <c r="Y151" s="424">
        <f>IF(AND($L151&lt;&gt;"",Y$3&lt;&gt;""),IF(NOT(ISNUMBER(_xll.ciqfunctions.udf.CIQ(Y$3, "IQ_BOND_PRICE", $L151))),NA(),_xll.ciqfunctions.udf.CIQ(Y$3, "IQ_BOND_PRICE", $L151)),"")</f>
        <v>108.586</v>
      </c>
      <c r="Z151" s="424">
        <f>IF(AND($L151&lt;&gt;"",Z$3&lt;&gt;""),IF(NOT(ISNUMBER(_xll.ciqfunctions.udf.CIQ(Z$3, "IQ_BOND_PRICE", $L151))),NA(),_xll.ciqfunctions.udf.CIQ(Z$3, "IQ_BOND_PRICE", $L151)),"")</f>
        <v>99.590249999999997</v>
      </c>
      <c r="CZ151" s="426"/>
    </row>
    <row r="152" spans="12:104" x14ac:dyDescent="0.2">
      <c r="L152" s="425">
        <f t="shared" si="2"/>
        <v>44484</v>
      </c>
      <c r="M152" s="424">
        <f>IF(AND($L152&lt;&gt;"",M$3&lt;&gt;""),IF(NOT(ISNUMBER(_xll.ciqfunctions.udf.CIQ(M$3, "IQ_BOND_PRICE", $L152))),NA(),_xll.ciqfunctions.udf.CIQ(M$3, "IQ_BOND_PRICE", $L152)),"")</f>
        <v>100.535</v>
      </c>
      <c r="N152" s="424">
        <f>IF(AND($L152&lt;&gt;"",N$3&lt;&gt;""),IF(NOT(ISNUMBER(_xll.ciqfunctions.udf.CIQ(N$3, "IQ_BOND_PRICE", $L152))),NA(),_xll.ciqfunctions.udf.CIQ(N$3, "IQ_BOND_PRICE", $L152)),"")</f>
        <v>0</v>
      </c>
      <c r="O152" s="424">
        <f>IF(AND($L152&lt;&gt;"",O$3&lt;&gt;""),IF(NOT(ISNUMBER(_xll.ciqfunctions.udf.CIQ(O$3, "IQ_BOND_PRICE", $L152))),NA(),_xll.ciqfunctions.udf.CIQ(O$3, "IQ_BOND_PRICE", $L152)),"")</f>
        <v>102.11841</v>
      </c>
      <c r="P152" s="424">
        <f>IF(AND($L152&lt;&gt;"",P$3&lt;&gt;""),IF(NOT(ISNUMBER(_xll.ciqfunctions.udf.CIQ(P$3, "IQ_BOND_PRICE", $L152))),NA(),_xll.ciqfunctions.udf.CIQ(P$3, "IQ_BOND_PRICE", $L152)),"")</f>
        <v>102.75348</v>
      </c>
      <c r="Q152" s="424">
        <f>IF(AND($L152&lt;&gt;"",Q$3&lt;&gt;""),IF(NOT(ISNUMBER(_xll.ciqfunctions.udf.CIQ(Q$3, "IQ_BOND_PRICE", $L152))),NA(),_xll.ciqfunctions.udf.CIQ(Q$3, "IQ_BOND_PRICE", $L152)),"")</f>
        <v>104.90600000000001</v>
      </c>
      <c r="R152" s="424">
        <f>IF(AND($L152&lt;&gt;"",R$3&lt;&gt;""),IF(NOT(ISNUMBER(_xll.ciqfunctions.udf.CIQ(R$3, "IQ_BOND_PRICE", $L152))),NA(),_xll.ciqfunctions.udf.CIQ(R$3, "IQ_BOND_PRICE", $L152)),"")</f>
        <v>112.003</v>
      </c>
      <c r="S152" s="424">
        <f>IF(AND($L152&lt;&gt;"",S$3&lt;&gt;""),IF(NOT(ISNUMBER(_xll.ciqfunctions.udf.CIQ(S$3, "IQ_BOND_PRICE", $L152))),NA(),_xll.ciqfunctions.udf.CIQ(S$3, "IQ_BOND_PRICE", $L152)),"")</f>
        <v>106.20099999999999</v>
      </c>
      <c r="T152" s="424">
        <f>IF(AND($L152&lt;&gt;"",T$3&lt;&gt;""),IF(NOT(ISNUMBER(_xll.ciqfunctions.udf.CIQ(T$3, "IQ_BOND_PRICE", $L152))),NA(),_xll.ciqfunctions.udf.CIQ(T$3, "IQ_BOND_PRICE", $L152)),"")</f>
        <v>105.51</v>
      </c>
      <c r="U152" s="424">
        <f>IF(AND($L152&lt;&gt;"",U$3&lt;&gt;""),IF(NOT(ISNUMBER(_xll.ciqfunctions.udf.CIQ(U$3, "IQ_BOND_PRICE", $L152))),NA(),_xll.ciqfunctions.udf.CIQ(U$3, "IQ_BOND_PRICE", $L152)),"")</f>
        <v>99.856660000000005</v>
      </c>
      <c r="V152" s="424">
        <f>IF(AND($L152&lt;&gt;"",V$3&lt;&gt;""),IF(NOT(ISNUMBER(_xll.ciqfunctions.udf.CIQ(V$3, "IQ_BOND_PRICE", $L152))),NA(),_xll.ciqfunctions.udf.CIQ(V$3, "IQ_BOND_PRICE", $L152)),"")</f>
        <v>105.54151</v>
      </c>
      <c r="W152" s="424">
        <f>IF(AND($L152&lt;&gt;"",W$3&lt;&gt;""),IF(NOT(ISNUMBER(_xll.ciqfunctions.udf.CIQ(W$3, "IQ_BOND_PRICE", $L152))),NA(),_xll.ciqfunctions.udf.CIQ(W$3, "IQ_BOND_PRICE", $L152)),"")</f>
        <v>109.18600000000001</v>
      </c>
      <c r="X152" s="424">
        <f>IF(AND($L152&lt;&gt;"",X$3&lt;&gt;""),IF(NOT(ISNUMBER(_xll.ciqfunctions.udf.CIQ(X$3, "IQ_BOND_PRICE", $L152))),NA(),_xll.ciqfunctions.udf.CIQ(X$3, "IQ_BOND_PRICE", $L152)),"")</f>
        <v>111.18899999999999</v>
      </c>
      <c r="Y152" s="424">
        <f>IF(AND($L152&lt;&gt;"",Y$3&lt;&gt;""),IF(NOT(ISNUMBER(_xll.ciqfunctions.udf.CIQ(Y$3, "IQ_BOND_PRICE", $L152))),NA(),_xll.ciqfunctions.udf.CIQ(Y$3, "IQ_BOND_PRICE", $L152)),"")</f>
        <v>108.254</v>
      </c>
      <c r="Z152" s="424">
        <f>IF(AND($L152&lt;&gt;"",Z$3&lt;&gt;""),IF(NOT(ISNUMBER(_xll.ciqfunctions.udf.CIQ(Z$3, "IQ_BOND_PRICE", $L152))),NA(),_xll.ciqfunctions.udf.CIQ(Z$3, "IQ_BOND_PRICE", $L152)),"")</f>
        <v>99.425920000000005</v>
      </c>
      <c r="CZ152" s="426"/>
    </row>
    <row r="153" spans="12:104" x14ac:dyDescent="0.2">
      <c r="L153" s="425">
        <f t="shared" si="2"/>
        <v>44487</v>
      </c>
      <c r="M153" s="424">
        <f>IF(AND($L153&lt;&gt;"",M$3&lt;&gt;""),IF(NOT(ISNUMBER(_xll.ciqfunctions.udf.CIQ(M$3, "IQ_BOND_PRICE", $L153))),NA(),_xll.ciqfunctions.udf.CIQ(M$3, "IQ_BOND_PRICE", $L153)),"")</f>
        <v>100.521</v>
      </c>
      <c r="N153" s="424">
        <f>IF(AND($L153&lt;&gt;"",N$3&lt;&gt;""),IF(NOT(ISNUMBER(_xll.ciqfunctions.udf.CIQ(N$3, "IQ_BOND_PRICE", $L153))),NA(),_xll.ciqfunctions.udf.CIQ(N$3, "IQ_BOND_PRICE", $L153)),"")</f>
        <v>0</v>
      </c>
      <c r="O153" s="424">
        <f>IF(AND($L153&lt;&gt;"",O$3&lt;&gt;""),IF(NOT(ISNUMBER(_xll.ciqfunctions.udf.CIQ(O$3, "IQ_BOND_PRICE", $L153))),NA(),_xll.ciqfunctions.udf.CIQ(O$3, "IQ_BOND_PRICE", $L153)),"")</f>
        <v>102.09083</v>
      </c>
      <c r="P153" s="424">
        <f>IF(AND($L153&lt;&gt;"",P$3&lt;&gt;""),IF(NOT(ISNUMBER(_xll.ciqfunctions.udf.CIQ(P$3, "IQ_BOND_PRICE", $L153))),NA(),_xll.ciqfunctions.udf.CIQ(P$3, "IQ_BOND_PRICE", $L153)),"")</f>
        <v>102.6825</v>
      </c>
      <c r="Q153" s="424">
        <f>IF(AND($L153&lt;&gt;"",Q$3&lt;&gt;""),IF(NOT(ISNUMBER(_xll.ciqfunctions.udf.CIQ(Q$3, "IQ_BOND_PRICE", $L153))),NA(),_xll.ciqfunctions.udf.CIQ(Q$3, "IQ_BOND_PRICE", $L153)),"")</f>
        <v>104.81699999999999</v>
      </c>
      <c r="R153" s="424">
        <f>IF(AND($L153&lt;&gt;"",R$3&lt;&gt;""),IF(NOT(ISNUMBER(_xll.ciqfunctions.udf.CIQ(R$3, "IQ_BOND_PRICE", $L153))),NA(),_xll.ciqfunctions.udf.CIQ(R$3, "IQ_BOND_PRICE", $L153)),"")</f>
        <v>111.881</v>
      </c>
      <c r="S153" s="424">
        <f>IF(AND($L153&lt;&gt;"",S$3&lt;&gt;""),IF(NOT(ISNUMBER(_xll.ciqfunctions.udf.CIQ(S$3, "IQ_BOND_PRICE", $L153))),NA(),_xll.ciqfunctions.udf.CIQ(S$3, "IQ_BOND_PRICE", $L153)),"")</f>
        <v>106.075</v>
      </c>
      <c r="T153" s="424">
        <f>IF(AND($L153&lt;&gt;"",T$3&lt;&gt;""),IF(NOT(ISNUMBER(_xll.ciqfunctions.udf.CIQ(T$3, "IQ_BOND_PRICE", $L153))),NA(),_xll.ciqfunctions.udf.CIQ(T$3, "IQ_BOND_PRICE", $L153)),"")</f>
        <v>105.36799999999999</v>
      </c>
      <c r="U153" s="424">
        <f>IF(AND($L153&lt;&gt;"",U$3&lt;&gt;""),IF(NOT(ISNUMBER(_xll.ciqfunctions.udf.CIQ(U$3, "IQ_BOND_PRICE", $L153))),NA(),_xll.ciqfunctions.udf.CIQ(U$3, "IQ_BOND_PRICE", $L153)),"")</f>
        <v>99.841300000000004</v>
      </c>
      <c r="V153" s="424">
        <f>IF(AND($L153&lt;&gt;"",V$3&lt;&gt;""),IF(NOT(ISNUMBER(_xll.ciqfunctions.udf.CIQ(V$3, "IQ_BOND_PRICE", $L153))),NA(),_xll.ciqfunctions.udf.CIQ(V$3, "IQ_BOND_PRICE", $L153)),"")</f>
        <v>105.34643</v>
      </c>
      <c r="W153" s="424">
        <f>IF(AND($L153&lt;&gt;"",W$3&lt;&gt;""),IF(NOT(ISNUMBER(_xll.ciqfunctions.udf.CIQ(W$3, "IQ_BOND_PRICE", $L153))),NA(),_xll.ciqfunctions.udf.CIQ(W$3, "IQ_BOND_PRICE", $L153)),"")</f>
        <v>109.062</v>
      </c>
      <c r="X153" s="424">
        <f>IF(AND($L153&lt;&gt;"",X$3&lt;&gt;""),IF(NOT(ISNUMBER(_xll.ciqfunctions.udf.CIQ(X$3, "IQ_BOND_PRICE", $L153))),NA(),_xll.ciqfunctions.udf.CIQ(X$3, "IQ_BOND_PRICE", $L153)),"")</f>
        <v>110.952</v>
      </c>
      <c r="Y153" s="424">
        <f>IF(AND($L153&lt;&gt;"",Y$3&lt;&gt;""),IF(NOT(ISNUMBER(_xll.ciqfunctions.udf.CIQ(Y$3, "IQ_BOND_PRICE", $L153))),NA(),_xll.ciqfunctions.udf.CIQ(Y$3, "IQ_BOND_PRICE", $L153)),"")</f>
        <v>108.074</v>
      </c>
      <c r="Z153" s="424">
        <f>IF(AND($L153&lt;&gt;"",Z$3&lt;&gt;""),IF(NOT(ISNUMBER(_xll.ciqfunctions.udf.CIQ(Z$3, "IQ_BOND_PRICE", $L153))),NA(),_xll.ciqfunctions.udf.CIQ(Z$3, "IQ_BOND_PRICE", $L153)),"")</f>
        <v>99.230590000000007</v>
      </c>
      <c r="CZ153" s="426"/>
    </row>
    <row r="154" spans="12:104" x14ac:dyDescent="0.2">
      <c r="L154" s="425">
        <f t="shared" si="2"/>
        <v>44488</v>
      </c>
      <c r="M154" s="424">
        <f>IF(AND($L154&lt;&gt;"",M$3&lt;&gt;""),IF(NOT(ISNUMBER(_xll.ciqfunctions.udf.CIQ(M$3, "IQ_BOND_PRICE", $L154))),NA(),_xll.ciqfunctions.udf.CIQ(M$3, "IQ_BOND_PRICE", $L154)),"")</f>
        <v>100.518</v>
      </c>
      <c r="N154" s="424">
        <f>IF(AND($L154&lt;&gt;"",N$3&lt;&gt;""),IF(NOT(ISNUMBER(_xll.ciqfunctions.udf.CIQ(N$3, "IQ_BOND_PRICE", $L154))),NA(),_xll.ciqfunctions.udf.CIQ(N$3, "IQ_BOND_PRICE", $L154)),"")</f>
        <v>0</v>
      </c>
      <c r="O154" s="424">
        <f>IF(AND($L154&lt;&gt;"",O$3&lt;&gt;""),IF(NOT(ISNUMBER(_xll.ciqfunctions.udf.CIQ(O$3, "IQ_BOND_PRICE", $L154))),NA(),_xll.ciqfunctions.udf.CIQ(O$3, "IQ_BOND_PRICE", $L154)),"")</f>
        <v>102.13218000000001</v>
      </c>
      <c r="P154" s="424">
        <f>IF(AND($L154&lt;&gt;"",P$3&lt;&gt;""),IF(NOT(ISNUMBER(_xll.ciqfunctions.udf.CIQ(P$3, "IQ_BOND_PRICE", $L154))),NA(),_xll.ciqfunctions.udf.CIQ(P$3, "IQ_BOND_PRICE", $L154)),"")</f>
        <v>102.75694</v>
      </c>
      <c r="Q154" s="424">
        <f>IF(AND($L154&lt;&gt;"",Q$3&lt;&gt;""),IF(NOT(ISNUMBER(_xll.ciqfunctions.udf.CIQ(Q$3, "IQ_BOND_PRICE", $L154))),NA(),_xll.ciqfunctions.udf.CIQ(Q$3, "IQ_BOND_PRICE", $L154)),"")</f>
        <v>104.879</v>
      </c>
      <c r="R154" s="424">
        <f>IF(AND($L154&lt;&gt;"",R$3&lt;&gt;""),IF(NOT(ISNUMBER(_xll.ciqfunctions.udf.CIQ(R$3, "IQ_BOND_PRICE", $L154))),NA(),_xll.ciqfunctions.udf.CIQ(R$3, "IQ_BOND_PRICE", $L154)),"")</f>
        <v>111.929</v>
      </c>
      <c r="S154" s="424">
        <f>IF(AND($L154&lt;&gt;"",S$3&lt;&gt;""),IF(NOT(ISNUMBER(_xll.ciqfunctions.udf.CIQ(S$3, "IQ_BOND_PRICE", $L154))),NA(),_xll.ciqfunctions.udf.CIQ(S$3, "IQ_BOND_PRICE", $L154)),"")</f>
        <v>106.099</v>
      </c>
      <c r="T154" s="424">
        <f>IF(AND($L154&lt;&gt;"",T$3&lt;&gt;""),IF(NOT(ISNUMBER(_xll.ciqfunctions.udf.CIQ(T$3, "IQ_BOND_PRICE", $L154))),NA(),_xll.ciqfunctions.udf.CIQ(T$3, "IQ_BOND_PRICE", $L154)),"")</f>
        <v>105.419</v>
      </c>
      <c r="U154" s="424">
        <f>IF(AND($L154&lt;&gt;"",U$3&lt;&gt;""),IF(NOT(ISNUMBER(_xll.ciqfunctions.udf.CIQ(U$3, "IQ_BOND_PRICE", $L154))),NA(),_xll.ciqfunctions.udf.CIQ(U$3, "IQ_BOND_PRICE", $L154)),"")</f>
        <v>99.843770000000006</v>
      </c>
      <c r="V154" s="424">
        <f>IF(AND($L154&lt;&gt;"",V$3&lt;&gt;""),IF(NOT(ISNUMBER(_xll.ciqfunctions.udf.CIQ(V$3, "IQ_BOND_PRICE", $L154))),NA(),_xll.ciqfunctions.udf.CIQ(V$3, "IQ_BOND_PRICE", $L154)),"")</f>
        <v>105.49294</v>
      </c>
      <c r="W154" s="424">
        <f>IF(AND($L154&lt;&gt;"",W$3&lt;&gt;""),IF(NOT(ISNUMBER(_xll.ciqfunctions.udf.CIQ(W$3, "IQ_BOND_PRICE", $L154))),NA(),_xll.ciqfunctions.udf.CIQ(W$3, "IQ_BOND_PRICE", $L154)),"")</f>
        <v>109.072</v>
      </c>
      <c r="X154" s="424">
        <f>IF(AND($L154&lt;&gt;"",X$3&lt;&gt;""),IF(NOT(ISNUMBER(_xll.ciqfunctions.udf.CIQ(X$3, "IQ_BOND_PRICE", $L154))),NA(),_xll.ciqfunctions.udf.CIQ(X$3, "IQ_BOND_PRICE", $L154)),"")</f>
        <v>110.919</v>
      </c>
      <c r="Y154" s="424">
        <f>IF(AND($L154&lt;&gt;"",Y$3&lt;&gt;""),IF(NOT(ISNUMBER(_xll.ciqfunctions.udf.CIQ(Y$3, "IQ_BOND_PRICE", $L154))),NA(),_xll.ciqfunctions.udf.CIQ(Y$3, "IQ_BOND_PRICE", $L154)),"")</f>
        <v>107.917</v>
      </c>
      <c r="Z154" s="424">
        <f>IF(AND($L154&lt;&gt;"",Z$3&lt;&gt;""),IF(NOT(ISNUMBER(_xll.ciqfunctions.udf.CIQ(Z$3, "IQ_BOND_PRICE", $L154))),NA(),_xll.ciqfunctions.udf.CIQ(Z$3, "IQ_BOND_PRICE", $L154)),"")</f>
        <v>99.258080000000007</v>
      </c>
      <c r="CZ154" s="426"/>
    </row>
    <row r="155" spans="12:104" x14ac:dyDescent="0.2">
      <c r="L155" s="425">
        <f t="shared" si="2"/>
        <v>44489</v>
      </c>
      <c r="M155" s="424">
        <f>IF(AND($L155&lt;&gt;"",M$3&lt;&gt;""),IF(NOT(ISNUMBER(_xll.ciqfunctions.udf.CIQ(M$3, "IQ_BOND_PRICE", $L155))),NA(),_xll.ciqfunctions.udf.CIQ(M$3, "IQ_BOND_PRICE", $L155)),"")</f>
        <v>100.511</v>
      </c>
      <c r="N155" s="424">
        <f>IF(AND($L155&lt;&gt;"",N$3&lt;&gt;""),IF(NOT(ISNUMBER(_xll.ciqfunctions.udf.CIQ(N$3, "IQ_BOND_PRICE", $L155))),NA(),_xll.ciqfunctions.udf.CIQ(N$3, "IQ_BOND_PRICE", $L155)),"")</f>
        <v>0</v>
      </c>
      <c r="O155" s="424">
        <f>IF(AND($L155&lt;&gt;"",O$3&lt;&gt;""),IF(NOT(ISNUMBER(_xll.ciqfunctions.udf.CIQ(O$3, "IQ_BOND_PRICE", $L155))),NA(),_xll.ciqfunctions.udf.CIQ(O$3, "IQ_BOND_PRICE", $L155)),"")</f>
        <v>102.16500000000001</v>
      </c>
      <c r="P155" s="424">
        <f>IF(AND($L155&lt;&gt;"",P$3&lt;&gt;""),IF(NOT(ISNUMBER(_xll.ciqfunctions.udf.CIQ(P$3, "IQ_BOND_PRICE", $L155))),NA(),_xll.ciqfunctions.udf.CIQ(P$3, "IQ_BOND_PRICE", $L155)),"")</f>
        <v>102.76468</v>
      </c>
      <c r="Q155" s="424">
        <f>IF(AND($L155&lt;&gt;"",Q$3&lt;&gt;""),IF(NOT(ISNUMBER(_xll.ciqfunctions.udf.CIQ(Q$3, "IQ_BOND_PRICE", $L155))),NA(),_xll.ciqfunctions.udf.CIQ(Q$3, "IQ_BOND_PRICE", $L155)),"")</f>
        <v>104.827</v>
      </c>
      <c r="R155" s="424">
        <f>IF(AND($L155&lt;&gt;"",R$3&lt;&gt;""),IF(NOT(ISNUMBER(_xll.ciqfunctions.udf.CIQ(R$3, "IQ_BOND_PRICE", $L155))),NA(),_xll.ciqfunctions.udf.CIQ(R$3, "IQ_BOND_PRICE", $L155)),"")</f>
        <v>111.94499999999999</v>
      </c>
      <c r="S155" s="424">
        <f>IF(AND($L155&lt;&gt;"",S$3&lt;&gt;""),IF(NOT(ISNUMBER(_xll.ciqfunctions.udf.CIQ(S$3, "IQ_BOND_PRICE", $L155))),NA(),_xll.ciqfunctions.udf.CIQ(S$3, "IQ_BOND_PRICE", $L155)),"")</f>
        <v>106.116</v>
      </c>
      <c r="T155" s="424">
        <f>IF(AND($L155&lt;&gt;"",T$3&lt;&gt;""),IF(NOT(ISNUMBER(_xll.ciqfunctions.udf.CIQ(T$3, "IQ_BOND_PRICE", $L155))),NA(),_xll.ciqfunctions.udf.CIQ(T$3, "IQ_BOND_PRICE", $L155)),"")</f>
        <v>105.441</v>
      </c>
      <c r="U155" s="424">
        <f>IF(AND($L155&lt;&gt;"",U$3&lt;&gt;""),IF(NOT(ISNUMBER(_xll.ciqfunctions.udf.CIQ(U$3, "IQ_BOND_PRICE", $L155))),NA(),_xll.ciqfunctions.udf.CIQ(U$3, "IQ_BOND_PRICE", $L155)),"")</f>
        <v>99.829719999999995</v>
      </c>
      <c r="V155" s="424">
        <f>IF(AND($L155&lt;&gt;"",V$3&lt;&gt;""),IF(NOT(ISNUMBER(_xll.ciqfunctions.udf.CIQ(V$3, "IQ_BOND_PRICE", $L155))),NA(),_xll.ciqfunctions.udf.CIQ(V$3, "IQ_BOND_PRICE", $L155)),"")</f>
        <v>105.51989</v>
      </c>
      <c r="W155" s="424">
        <f>IF(AND($L155&lt;&gt;"",W$3&lt;&gt;""),IF(NOT(ISNUMBER(_xll.ciqfunctions.udf.CIQ(W$3, "IQ_BOND_PRICE", $L155))),NA(),_xll.ciqfunctions.udf.CIQ(W$3, "IQ_BOND_PRICE", $L155)),"")</f>
        <v>109.11199999999999</v>
      </c>
      <c r="X155" s="424">
        <f>IF(AND($L155&lt;&gt;"",X$3&lt;&gt;""),IF(NOT(ISNUMBER(_xll.ciqfunctions.udf.CIQ(X$3, "IQ_BOND_PRICE", $L155))),NA(),_xll.ciqfunctions.udf.CIQ(X$3, "IQ_BOND_PRICE", $L155)),"")</f>
        <v>111.008</v>
      </c>
      <c r="Y155" s="424">
        <f>IF(AND($L155&lt;&gt;"",Y$3&lt;&gt;""),IF(NOT(ISNUMBER(_xll.ciqfunctions.udf.CIQ(Y$3, "IQ_BOND_PRICE", $L155))),NA(),_xll.ciqfunctions.udf.CIQ(Y$3, "IQ_BOND_PRICE", $L155)),"")</f>
        <v>107.94199999999999</v>
      </c>
      <c r="Z155" s="424">
        <f>IF(AND($L155&lt;&gt;"",Z$3&lt;&gt;""),IF(NOT(ISNUMBER(_xll.ciqfunctions.udf.CIQ(Z$3, "IQ_BOND_PRICE", $L155))),NA(),_xll.ciqfunctions.udf.CIQ(Z$3, "IQ_BOND_PRICE", $L155)),"")</f>
        <v>99.29768</v>
      </c>
      <c r="CZ155" s="426"/>
    </row>
    <row r="156" spans="12:104" x14ac:dyDescent="0.2">
      <c r="L156" s="425">
        <f t="shared" si="2"/>
        <v>44490</v>
      </c>
      <c r="M156" s="424">
        <f>IF(AND($L156&lt;&gt;"",M$3&lt;&gt;""),IF(NOT(ISNUMBER(_xll.ciqfunctions.udf.CIQ(M$3, "IQ_BOND_PRICE", $L156))),NA(),_xll.ciqfunctions.udf.CIQ(M$3, "IQ_BOND_PRICE", $L156)),"")</f>
        <v>100.495</v>
      </c>
      <c r="N156" s="424">
        <f>IF(AND($L156&lt;&gt;"",N$3&lt;&gt;""),IF(NOT(ISNUMBER(_xll.ciqfunctions.udf.CIQ(N$3, "IQ_BOND_PRICE", $L156))),NA(),_xll.ciqfunctions.udf.CIQ(N$3, "IQ_BOND_PRICE", $L156)),"")</f>
        <v>0</v>
      </c>
      <c r="O156" s="424">
        <f>IF(AND($L156&lt;&gt;"",O$3&lt;&gt;""),IF(NOT(ISNUMBER(_xll.ciqfunctions.udf.CIQ(O$3, "IQ_BOND_PRICE", $L156))),NA(),_xll.ciqfunctions.udf.CIQ(O$3, "IQ_BOND_PRICE", $L156)),"")</f>
        <v>102.09898</v>
      </c>
      <c r="P156" s="424">
        <f>IF(AND($L156&lt;&gt;"",P$3&lt;&gt;""),IF(NOT(ISNUMBER(_xll.ciqfunctions.udf.CIQ(P$3, "IQ_BOND_PRICE", $L156))),NA(),_xll.ciqfunctions.udf.CIQ(P$3, "IQ_BOND_PRICE", $L156)),"")</f>
        <v>102.68155</v>
      </c>
      <c r="Q156" s="424">
        <f>IF(AND($L156&lt;&gt;"",Q$3&lt;&gt;""),IF(NOT(ISNUMBER(_xll.ciqfunctions.udf.CIQ(Q$3, "IQ_BOND_PRICE", $L156))),NA(),_xll.ciqfunctions.udf.CIQ(Q$3, "IQ_BOND_PRICE", $L156)),"")</f>
        <v>104.705</v>
      </c>
      <c r="R156" s="424">
        <f>IF(AND($L156&lt;&gt;"",R$3&lt;&gt;""),IF(NOT(ISNUMBER(_xll.ciqfunctions.udf.CIQ(R$3, "IQ_BOND_PRICE", $L156))),NA(),_xll.ciqfunctions.udf.CIQ(R$3, "IQ_BOND_PRICE", $L156)),"")</f>
        <v>111.764</v>
      </c>
      <c r="S156" s="424">
        <f>IF(AND($L156&lt;&gt;"",S$3&lt;&gt;""),IF(NOT(ISNUMBER(_xll.ciqfunctions.udf.CIQ(S$3, "IQ_BOND_PRICE", $L156))),NA(),_xll.ciqfunctions.udf.CIQ(S$3, "IQ_BOND_PRICE", $L156)),"")</f>
        <v>105.94799999999999</v>
      </c>
      <c r="T156" s="424">
        <f>IF(AND($L156&lt;&gt;"",T$3&lt;&gt;""),IF(NOT(ISNUMBER(_xll.ciqfunctions.udf.CIQ(T$3, "IQ_BOND_PRICE", $L156))),NA(),_xll.ciqfunctions.udf.CIQ(T$3, "IQ_BOND_PRICE", $L156)),"")</f>
        <v>105.264</v>
      </c>
      <c r="U156" s="424">
        <f>IF(AND($L156&lt;&gt;"",U$3&lt;&gt;""),IF(NOT(ISNUMBER(_xll.ciqfunctions.udf.CIQ(U$3, "IQ_BOND_PRICE", $L156))),NA(),_xll.ciqfunctions.udf.CIQ(U$3, "IQ_BOND_PRICE", $L156)),"")</f>
        <v>99.837119999999999</v>
      </c>
      <c r="V156" s="424">
        <f>IF(AND($L156&lt;&gt;"",V$3&lt;&gt;""),IF(NOT(ISNUMBER(_xll.ciqfunctions.udf.CIQ(V$3, "IQ_BOND_PRICE", $L156))),NA(),_xll.ciqfunctions.udf.CIQ(V$3, "IQ_BOND_PRICE", $L156)),"")</f>
        <v>105.2873</v>
      </c>
      <c r="W156" s="424">
        <f>IF(AND($L156&lt;&gt;"",W$3&lt;&gt;""),IF(NOT(ISNUMBER(_xll.ciqfunctions.udf.CIQ(W$3, "IQ_BOND_PRICE", $L156))),NA(),_xll.ciqfunctions.udf.CIQ(W$3, "IQ_BOND_PRICE", $L156)),"")</f>
        <v>109.08199999999999</v>
      </c>
      <c r="X156" s="424">
        <f>IF(AND($L156&lt;&gt;"",X$3&lt;&gt;""),IF(NOT(ISNUMBER(_xll.ciqfunctions.udf.CIQ(X$3, "IQ_BOND_PRICE", $L156))),NA(),_xll.ciqfunctions.udf.CIQ(X$3, "IQ_BOND_PRICE", $L156)),"")</f>
        <v>110.925</v>
      </c>
      <c r="Y156" s="424">
        <f>IF(AND($L156&lt;&gt;"",Y$3&lt;&gt;""),IF(NOT(ISNUMBER(_xll.ciqfunctions.udf.CIQ(Y$3, "IQ_BOND_PRICE", $L156))),NA(),_xll.ciqfunctions.udf.CIQ(Y$3, "IQ_BOND_PRICE", $L156)),"")</f>
        <v>107.633</v>
      </c>
      <c r="Z156" s="424">
        <f>IF(AND($L156&lt;&gt;"",Z$3&lt;&gt;""),IF(NOT(ISNUMBER(_xll.ciqfunctions.udf.CIQ(Z$3, "IQ_BOND_PRICE", $L156))),NA(),_xll.ciqfunctions.udf.CIQ(Z$3, "IQ_BOND_PRICE", $L156)),"")</f>
        <v>99.269400000000005</v>
      </c>
      <c r="CZ156" s="426"/>
    </row>
    <row r="157" spans="12:104" x14ac:dyDescent="0.2">
      <c r="L157" s="425">
        <f t="shared" si="2"/>
        <v>44491</v>
      </c>
      <c r="M157" s="424">
        <f>IF(AND($L157&lt;&gt;"",M$3&lt;&gt;""),IF(NOT(ISNUMBER(_xll.ciqfunctions.udf.CIQ(M$3, "IQ_BOND_PRICE", $L157))),NA(),_xll.ciqfunctions.udf.CIQ(M$3, "IQ_BOND_PRICE", $L157)),"")</f>
        <v>100.489</v>
      </c>
      <c r="N157" s="424">
        <f>IF(AND($L157&lt;&gt;"",N$3&lt;&gt;""),IF(NOT(ISNUMBER(_xll.ciqfunctions.udf.CIQ(N$3, "IQ_BOND_PRICE", $L157))),NA(),_xll.ciqfunctions.udf.CIQ(N$3, "IQ_BOND_PRICE", $L157)),"")</f>
        <v>0</v>
      </c>
      <c r="O157" s="424">
        <f>IF(AND($L157&lt;&gt;"",O$3&lt;&gt;""),IF(NOT(ISNUMBER(_xll.ciqfunctions.udf.CIQ(O$3, "IQ_BOND_PRICE", $L157))),NA(),_xll.ciqfunctions.udf.CIQ(O$3, "IQ_BOND_PRICE", $L157)),"")</f>
        <v>102.13643999999999</v>
      </c>
      <c r="P157" s="424">
        <f>IF(AND($L157&lt;&gt;"",P$3&lt;&gt;""),IF(NOT(ISNUMBER(_xll.ciqfunctions.udf.CIQ(P$3, "IQ_BOND_PRICE", $L157))),NA(),_xll.ciqfunctions.udf.CIQ(P$3, "IQ_BOND_PRICE", $L157)),"")</f>
        <v>102.51412000000001</v>
      </c>
      <c r="Q157" s="424">
        <f>IF(AND($L157&lt;&gt;"",Q$3&lt;&gt;""),IF(NOT(ISNUMBER(_xll.ciqfunctions.udf.CIQ(Q$3, "IQ_BOND_PRICE", $L157))),NA(),_xll.ciqfunctions.udf.CIQ(Q$3, "IQ_BOND_PRICE", $L157)),"")</f>
        <v>104.517</v>
      </c>
      <c r="R157" s="424">
        <f>IF(AND($L157&lt;&gt;"",R$3&lt;&gt;""),IF(NOT(ISNUMBER(_xll.ciqfunctions.udf.CIQ(R$3, "IQ_BOND_PRICE", $L157))),NA(),_xll.ciqfunctions.udf.CIQ(R$3, "IQ_BOND_PRICE", $L157)),"")</f>
        <v>111.566</v>
      </c>
      <c r="S157" s="424">
        <f>IF(AND($L157&lt;&gt;"",S$3&lt;&gt;""),IF(NOT(ISNUMBER(_xll.ciqfunctions.udf.CIQ(S$3, "IQ_BOND_PRICE", $L157))),NA(),_xll.ciqfunctions.udf.CIQ(S$3, "IQ_BOND_PRICE", $L157)),"")</f>
        <v>105.745</v>
      </c>
      <c r="T157" s="424">
        <f>IF(AND($L157&lt;&gt;"",T$3&lt;&gt;""),IF(NOT(ISNUMBER(_xll.ciqfunctions.udf.CIQ(T$3, "IQ_BOND_PRICE", $L157))),NA(),_xll.ciqfunctions.udf.CIQ(T$3, "IQ_BOND_PRICE", $L157)),"")</f>
        <v>105.22799999999999</v>
      </c>
      <c r="U157" s="424">
        <f>IF(AND($L157&lt;&gt;"",U$3&lt;&gt;""),IF(NOT(ISNUMBER(_xll.ciqfunctions.udf.CIQ(U$3, "IQ_BOND_PRICE", $L157))),NA(),_xll.ciqfunctions.udf.CIQ(U$3, "IQ_BOND_PRICE", $L157)),"")</f>
        <v>99.831220000000002</v>
      </c>
      <c r="V157" s="424">
        <f>IF(AND($L157&lt;&gt;"",V$3&lt;&gt;""),IF(NOT(ISNUMBER(_xll.ciqfunctions.udf.CIQ(V$3, "IQ_BOND_PRICE", $L157))),NA(),_xll.ciqfunctions.udf.CIQ(V$3, "IQ_BOND_PRICE", $L157)),"")</f>
        <v>105.249</v>
      </c>
      <c r="W157" s="424">
        <f>IF(AND($L157&lt;&gt;"",W$3&lt;&gt;""),IF(NOT(ISNUMBER(_xll.ciqfunctions.udf.CIQ(W$3, "IQ_BOND_PRICE", $L157))),NA(),_xll.ciqfunctions.udf.CIQ(W$3, "IQ_BOND_PRICE", $L157)),"")</f>
        <v>107.822</v>
      </c>
      <c r="X157" s="424">
        <f>IF(AND($L157&lt;&gt;"",X$3&lt;&gt;""),IF(NOT(ISNUMBER(_xll.ciqfunctions.udf.CIQ(X$3, "IQ_BOND_PRICE", $L157))),NA(),_xll.ciqfunctions.udf.CIQ(X$3, "IQ_BOND_PRICE", $L157)),"")</f>
        <v>110.874</v>
      </c>
      <c r="Y157" s="424">
        <f>IF(AND($L157&lt;&gt;"",Y$3&lt;&gt;""),IF(NOT(ISNUMBER(_xll.ciqfunctions.udf.CIQ(Y$3, "IQ_BOND_PRICE", $L157))),NA(),_xll.ciqfunctions.udf.CIQ(Y$3, "IQ_BOND_PRICE", $L157)),"")</f>
        <v>107.64100000000001</v>
      </c>
      <c r="Z157" s="424">
        <f>IF(AND($L157&lt;&gt;"",Z$3&lt;&gt;""),IF(NOT(ISNUMBER(_xll.ciqfunctions.udf.CIQ(Z$3, "IQ_BOND_PRICE", $L157))),NA(),_xll.ciqfunctions.udf.CIQ(Z$3, "IQ_BOND_PRICE", $L157)),"")</f>
        <v>98.973349999999996</v>
      </c>
      <c r="CZ157" s="426"/>
    </row>
    <row r="158" spans="12:104" x14ac:dyDescent="0.2">
      <c r="L158" s="425">
        <f t="shared" si="2"/>
        <v>44494</v>
      </c>
      <c r="M158" s="424">
        <f>IF(AND($L158&lt;&gt;"",M$3&lt;&gt;""),IF(NOT(ISNUMBER(_xll.ciqfunctions.udf.CIQ(M$3, "IQ_BOND_PRICE", $L158))),NA(),_xll.ciqfunctions.udf.CIQ(M$3, "IQ_BOND_PRICE", $L158)),"")</f>
        <v>100.48399999999999</v>
      </c>
      <c r="N158" s="424">
        <f>IF(AND($L158&lt;&gt;"",N$3&lt;&gt;""),IF(NOT(ISNUMBER(_xll.ciqfunctions.udf.CIQ(N$3, "IQ_BOND_PRICE", $L158))),NA(),_xll.ciqfunctions.udf.CIQ(N$3, "IQ_BOND_PRICE", $L158)),"")</f>
        <v>0</v>
      </c>
      <c r="O158" s="424">
        <f>IF(AND($L158&lt;&gt;"",O$3&lt;&gt;""),IF(NOT(ISNUMBER(_xll.ciqfunctions.udf.CIQ(O$3, "IQ_BOND_PRICE", $L158))),NA(),_xll.ciqfunctions.udf.CIQ(O$3, "IQ_BOND_PRICE", $L158)),"")</f>
        <v>102.11096999999999</v>
      </c>
      <c r="P158" s="424">
        <f>IF(AND($L158&lt;&gt;"",P$3&lt;&gt;""),IF(NOT(ISNUMBER(_xll.ciqfunctions.udf.CIQ(P$3, "IQ_BOND_PRICE", $L158))),NA(),_xll.ciqfunctions.udf.CIQ(P$3, "IQ_BOND_PRICE", $L158)),"")</f>
        <v>102.44435</v>
      </c>
      <c r="Q158" s="424">
        <f>IF(AND($L158&lt;&gt;"",Q$3&lt;&gt;""),IF(NOT(ISNUMBER(_xll.ciqfunctions.udf.CIQ(Q$3, "IQ_BOND_PRICE", $L158))),NA(),_xll.ciqfunctions.udf.CIQ(Q$3, "IQ_BOND_PRICE", $L158)),"")</f>
        <v>104.298</v>
      </c>
      <c r="R158" s="424">
        <f>IF(AND($L158&lt;&gt;"",R$3&lt;&gt;""),IF(NOT(ISNUMBER(_xll.ciqfunctions.udf.CIQ(R$3, "IQ_BOND_PRICE", $L158))),NA(),_xll.ciqfunctions.udf.CIQ(R$3, "IQ_BOND_PRICE", $L158)),"")</f>
        <v>111.452</v>
      </c>
      <c r="S158" s="424">
        <f>IF(AND($L158&lt;&gt;"",S$3&lt;&gt;""),IF(NOT(ISNUMBER(_xll.ciqfunctions.udf.CIQ(S$3, "IQ_BOND_PRICE", $L158))),NA(),_xll.ciqfunctions.udf.CIQ(S$3, "IQ_BOND_PRICE", $L158)),"")</f>
        <v>105.89400000000001</v>
      </c>
      <c r="T158" s="424">
        <f>IF(AND($L158&lt;&gt;"",T$3&lt;&gt;""),IF(NOT(ISNUMBER(_xll.ciqfunctions.udf.CIQ(T$3, "IQ_BOND_PRICE", $L158))),NA(),_xll.ciqfunctions.udf.CIQ(T$3, "IQ_BOND_PRICE", $L158)),"")</f>
        <v>105.30800000000001</v>
      </c>
      <c r="U158" s="424">
        <f>IF(AND($L158&lt;&gt;"",U$3&lt;&gt;""),IF(NOT(ISNUMBER(_xll.ciqfunctions.udf.CIQ(U$3, "IQ_BOND_PRICE", $L158))),NA(),_xll.ciqfunctions.udf.CIQ(U$3, "IQ_BOND_PRICE", $L158)),"")</f>
        <v>99.832369999999997</v>
      </c>
      <c r="V158" s="424">
        <f>IF(AND($L158&lt;&gt;"",V$3&lt;&gt;""),IF(NOT(ISNUMBER(_xll.ciqfunctions.udf.CIQ(V$3, "IQ_BOND_PRICE", $L158))),NA(),_xll.ciqfunctions.udf.CIQ(V$3, "IQ_BOND_PRICE", $L158)),"")</f>
        <v>105.34177</v>
      </c>
      <c r="W158" s="424">
        <f>IF(AND($L158&lt;&gt;"",W$3&lt;&gt;""),IF(NOT(ISNUMBER(_xll.ciqfunctions.udf.CIQ(W$3, "IQ_BOND_PRICE", $L158))),NA(),_xll.ciqfunctions.udf.CIQ(W$3, "IQ_BOND_PRICE", $L158)),"")</f>
        <v>109.17700000000001</v>
      </c>
      <c r="X158" s="424">
        <f>IF(AND($L158&lt;&gt;"",X$3&lt;&gt;""),IF(NOT(ISNUMBER(_xll.ciqfunctions.udf.CIQ(X$3, "IQ_BOND_PRICE", $L158))),NA(),_xll.ciqfunctions.udf.CIQ(X$3, "IQ_BOND_PRICE", $L158)),"")</f>
        <v>110.996</v>
      </c>
      <c r="Y158" s="424">
        <f>IF(AND($L158&lt;&gt;"",Y$3&lt;&gt;""),IF(NOT(ISNUMBER(_xll.ciqfunctions.udf.CIQ(Y$3, "IQ_BOND_PRICE", $L158))),NA(),_xll.ciqfunctions.udf.CIQ(Y$3, "IQ_BOND_PRICE", $L158)),"")</f>
        <v>107.78700000000001</v>
      </c>
      <c r="Z158" s="424">
        <f>IF(AND($L158&lt;&gt;"",Z$3&lt;&gt;""),IF(NOT(ISNUMBER(_xll.ciqfunctions.udf.CIQ(Z$3, "IQ_BOND_PRICE", $L158))),NA(),_xll.ciqfunctions.udf.CIQ(Z$3, "IQ_BOND_PRICE", $L158)),"")</f>
        <v>99.162000000000006</v>
      </c>
      <c r="CZ158" s="426"/>
    </row>
    <row r="159" spans="12:104" x14ac:dyDescent="0.2">
      <c r="L159" s="425">
        <f t="shared" si="2"/>
        <v>44495</v>
      </c>
      <c r="M159" s="424">
        <f>IF(AND($L159&lt;&gt;"",M$3&lt;&gt;""),IF(NOT(ISNUMBER(_xll.ciqfunctions.udf.CIQ(M$3, "IQ_BOND_PRICE", $L159))),NA(),_xll.ciqfunctions.udf.CIQ(M$3, "IQ_BOND_PRICE", $L159)),"")</f>
        <v>100.476</v>
      </c>
      <c r="N159" s="424">
        <f>IF(AND($L159&lt;&gt;"",N$3&lt;&gt;""),IF(NOT(ISNUMBER(_xll.ciqfunctions.udf.CIQ(N$3, "IQ_BOND_PRICE", $L159))),NA(),_xll.ciqfunctions.udf.CIQ(N$3, "IQ_BOND_PRICE", $L159)),"")</f>
        <v>0</v>
      </c>
      <c r="O159" s="424">
        <f>IF(AND($L159&lt;&gt;"",O$3&lt;&gt;""),IF(NOT(ISNUMBER(_xll.ciqfunctions.udf.CIQ(O$3, "IQ_BOND_PRICE", $L159))),NA(),_xll.ciqfunctions.udf.CIQ(O$3, "IQ_BOND_PRICE", $L159)),"")</f>
        <v>102.09211000000001</v>
      </c>
      <c r="P159" s="424">
        <f>IF(AND($L159&lt;&gt;"",P$3&lt;&gt;""),IF(NOT(ISNUMBER(_xll.ciqfunctions.udf.CIQ(P$3, "IQ_BOND_PRICE", $L159))),NA(),_xll.ciqfunctions.udf.CIQ(P$3, "IQ_BOND_PRICE", $L159)),"")</f>
        <v>102.633</v>
      </c>
      <c r="Q159" s="424">
        <f>IF(AND($L159&lt;&gt;"",Q$3&lt;&gt;""),IF(NOT(ISNUMBER(_xll.ciqfunctions.udf.CIQ(Q$3, "IQ_BOND_PRICE", $L159))),NA(),_xll.ciqfunctions.udf.CIQ(Q$3, "IQ_BOND_PRICE", $L159)),"")</f>
        <v>104.53100000000001</v>
      </c>
      <c r="R159" s="424">
        <f>IF(AND($L159&lt;&gt;"",R$3&lt;&gt;""),IF(NOT(ISNUMBER(_xll.ciqfunctions.udf.CIQ(R$3, "IQ_BOND_PRICE", $L159))),NA(),_xll.ciqfunctions.udf.CIQ(R$3, "IQ_BOND_PRICE", $L159)),"")</f>
        <v>111.72199999999999</v>
      </c>
      <c r="S159" s="424">
        <f>IF(AND($L159&lt;&gt;"",S$3&lt;&gt;""),IF(NOT(ISNUMBER(_xll.ciqfunctions.udf.CIQ(S$3, "IQ_BOND_PRICE", $L159))),NA(),_xll.ciqfunctions.udf.CIQ(S$3, "IQ_BOND_PRICE", $L159)),"")</f>
        <v>105.877</v>
      </c>
      <c r="T159" s="424">
        <f>IF(AND($L159&lt;&gt;"",T$3&lt;&gt;""),IF(NOT(ISNUMBER(_xll.ciqfunctions.udf.CIQ(T$3, "IQ_BOND_PRICE", $L159))),NA(),_xll.ciqfunctions.udf.CIQ(T$3, "IQ_BOND_PRICE", $L159)),"")</f>
        <v>105.274</v>
      </c>
      <c r="U159" s="424">
        <f>IF(AND($L159&lt;&gt;"",U$3&lt;&gt;""),IF(NOT(ISNUMBER(_xll.ciqfunctions.udf.CIQ(U$3, "IQ_BOND_PRICE", $L159))),NA(),_xll.ciqfunctions.udf.CIQ(U$3, "IQ_BOND_PRICE", $L159)),"")</f>
        <v>99.825450000000004</v>
      </c>
      <c r="V159" s="424">
        <f>IF(AND($L159&lt;&gt;"",V$3&lt;&gt;""),IF(NOT(ISNUMBER(_xll.ciqfunctions.udf.CIQ(V$3, "IQ_BOND_PRICE", $L159))),NA(),_xll.ciqfunctions.udf.CIQ(V$3, "IQ_BOND_PRICE", $L159)),"")</f>
        <v>105.30427</v>
      </c>
      <c r="W159" s="424">
        <f>IF(AND($L159&lt;&gt;"",W$3&lt;&gt;""),IF(NOT(ISNUMBER(_xll.ciqfunctions.udf.CIQ(W$3, "IQ_BOND_PRICE", $L159))),NA(),_xll.ciqfunctions.udf.CIQ(W$3, "IQ_BOND_PRICE", $L159)),"")</f>
        <v>109.09399999999999</v>
      </c>
      <c r="X159" s="424">
        <f>IF(AND($L159&lt;&gt;"",X$3&lt;&gt;""),IF(NOT(ISNUMBER(_xll.ciqfunctions.udf.CIQ(X$3, "IQ_BOND_PRICE", $L159))),NA(),_xll.ciqfunctions.udf.CIQ(X$3, "IQ_BOND_PRICE", $L159)),"")</f>
        <v>110.959</v>
      </c>
      <c r="Y159" s="424">
        <f>IF(AND($L159&lt;&gt;"",Y$3&lt;&gt;""),IF(NOT(ISNUMBER(_xll.ciqfunctions.udf.CIQ(Y$3, "IQ_BOND_PRICE", $L159))),NA(),_xll.ciqfunctions.udf.CIQ(Y$3, "IQ_BOND_PRICE", $L159)),"")</f>
        <v>107.759</v>
      </c>
      <c r="Z159" s="424">
        <f>IF(AND($L159&lt;&gt;"",Z$3&lt;&gt;""),IF(NOT(ISNUMBER(_xll.ciqfunctions.udf.CIQ(Z$3, "IQ_BOND_PRICE", $L159))),NA(),_xll.ciqfunctions.udf.CIQ(Z$3, "IQ_BOND_PRICE", $L159)),"")</f>
        <v>99.431560000000005</v>
      </c>
      <c r="CZ159" s="426"/>
    </row>
    <row r="160" spans="12:104" x14ac:dyDescent="0.2">
      <c r="L160" s="425">
        <f t="shared" si="2"/>
        <v>44496</v>
      </c>
      <c r="M160" s="424">
        <f>IF(AND($L160&lt;&gt;"",M$3&lt;&gt;""),IF(NOT(ISNUMBER(_xll.ciqfunctions.udf.CIQ(M$3, "IQ_BOND_PRICE", $L160))),NA(),_xll.ciqfunctions.udf.CIQ(M$3, "IQ_BOND_PRICE", $L160)),"")</f>
        <v>100.47199999999999</v>
      </c>
      <c r="N160" s="424">
        <f>IF(AND($L160&lt;&gt;"",N$3&lt;&gt;""),IF(NOT(ISNUMBER(_xll.ciqfunctions.udf.CIQ(N$3, "IQ_BOND_PRICE", $L160))),NA(),_xll.ciqfunctions.udf.CIQ(N$3, "IQ_BOND_PRICE", $L160)),"")</f>
        <v>0</v>
      </c>
      <c r="O160" s="424">
        <f>IF(AND($L160&lt;&gt;"",O$3&lt;&gt;""),IF(NOT(ISNUMBER(_xll.ciqfunctions.udf.CIQ(O$3, "IQ_BOND_PRICE", $L160))),NA(),_xll.ciqfunctions.udf.CIQ(O$3, "IQ_BOND_PRICE", $L160)),"")</f>
        <v>102.10449</v>
      </c>
      <c r="P160" s="424">
        <f>IF(AND($L160&lt;&gt;"",P$3&lt;&gt;""),IF(NOT(ISNUMBER(_xll.ciqfunctions.udf.CIQ(P$3, "IQ_BOND_PRICE", $L160))),NA(),_xll.ciqfunctions.udf.CIQ(P$3, "IQ_BOND_PRICE", $L160)),"")</f>
        <v>102.68658000000001</v>
      </c>
      <c r="Q160" s="424">
        <f>IF(AND($L160&lt;&gt;"",Q$3&lt;&gt;""),IF(NOT(ISNUMBER(_xll.ciqfunctions.udf.CIQ(Q$3, "IQ_BOND_PRICE", $L160))),NA(),_xll.ciqfunctions.udf.CIQ(Q$3, "IQ_BOND_PRICE", $L160)),"")</f>
        <v>104.613</v>
      </c>
      <c r="R160" s="424">
        <f>IF(AND($L160&lt;&gt;"",R$3&lt;&gt;""),IF(NOT(ISNUMBER(_xll.ciqfunctions.udf.CIQ(R$3, "IQ_BOND_PRICE", $L160))),NA(),_xll.ciqfunctions.udf.CIQ(R$3, "IQ_BOND_PRICE", $L160)),"")</f>
        <v>111.782</v>
      </c>
      <c r="S160" s="424">
        <f>IF(AND($L160&lt;&gt;"",S$3&lt;&gt;""),IF(NOT(ISNUMBER(_xll.ciqfunctions.udf.CIQ(S$3, "IQ_BOND_PRICE", $L160))),NA(),_xll.ciqfunctions.udf.CIQ(S$3, "IQ_BOND_PRICE", $L160)),"")</f>
        <v>105.783</v>
      </c>
      <c r="T160" s="424">
        <f>IF(AND($L160&lt;&gt;"",T$3&lt;&gt;""),IF(NOT(ISNUMBER(_xll.ciqfunctions.udf.CIQ(T$3, "IQ_BOND_PRICE", $L160))),NA(),_xll.ciqfunctions.udf.CIQ(T$3, "IQ_BOND_PRICE", $L160)),"")</f>
        <v>105.261</v>
      </c>
      <c r="U160" s="424">
        <f>IF(AND($L160&lt;&gt;"",U$3&lt;&gt;""),IF(NOT(ISNUMBER(_xll.ciqfunctions.udf.CIQ(U$3, "IQ_BOND_PRICE", $L160))),NA(),_xll.ciqfunctions.udf.CIQ(U$3, "IQ_BOND_PRICE", $L160)),"")</f>
        <v>99.828819999999993</v>
      </c>
      <c r="V160" s="424">
        <f>IF(AND($L160&lt;&gt;"",V$3&lt;&gt;""),IF(NOT(ISNUMBER(_xll.ciqfunctions.udf.CIQ(V$3, "IQ_BOND_PRICE", $L160))),NA(),_xll.ciqfunctions.udf.CIQ(V$3, "IQ_BOND_PRICE", $L160)),"")</f>
        <v>105.29094000000001</v>
      </c>
      <c r="W160" s="424">
        <f>IF(AND($L160&lt;&gt;"",W$3&lt;&gt;""),IF(NOT(ISNUMBER(_xll.ciqfunctions.udf.CIQ(W$3, "IQ_BOND_PRICE", $L160))),NA(),_xll.ciqfunctions.udf.CIQ(W$3, "IQ_BOND_PRICE", $L160)),"")</f>
        <v>109.29300000000001</v>
      </c>
      <c r="X160" s="424">
        <f>IF(AND($L160&lt;&gt;"",X$3&lt;&gt;""),IF(NOT(ISNUMBER(_xll.ciqfunctions.udf.CIQ(X$3, "IQ_BOND_PRICE", $L160))),NA(),_xll.ciqfunctions.udf.CIQ(X$3, "IQ_BOND_PRICE", $L160)),"")</f>
        <v>110.922</v>
      </c>
      <c r="Y160" s="424">
        <f>IF(AND($L160&lt;&gt;"",Y$3&lt;&gt;""),IF(NOT(ISNUMBER(_xll.ciqfunctions.udf.CIQ(Y$3, "IQ_BOND_PRICE", $L160))),NA(),_xll.ciqfunctions.udf.CIQ(Y$3, "IQ_BOND_PRICE", $L160)),"")</f>
        <v>107.95699999999999</v>
      </c>
      <c r="Z160" s="424">
        <f>IF(AND($L160&lt;&gt;"",Z$3&lt;&gt;""),IF(NOT(ISNUMBER(_xll.ciqfunctions.udf.CIQ(Z$3, "IQ_BOND_PRICE", $L160))),NA(),_xll.ciqfunctions.udf.CIQ(Z$3, "IQ_BOND_PRICE", $L160)),"")</f>
        <v>99.641490000000005</v>
      </c>
      <c r="CZ160" s="426"/>
    </row>
    <row r="161" spans="12:104" x14ac:dyDescent="0.2">
      <c r="L161" s="425">
        <f t="shared" si="2"/>
        <v>44497</v>
      </c>
      <c r="M161" s="424">
        <f>IF(AND($L161&lt;&gt;"",M$3&lt;&gt;""),IF(NOT(ISNUMBER(_xll.ciqfunctions.udf.CIQ(M$3, "IQ_BOND_PRICE", $L161))),NA(),_xll.ciqfunctions.udf.CIQ(M$3, "IQ_BOND_PRICE", $L161)),"")</f>
        <v>100.449</v>
      </c>
      <c r="N161" s="424">
        <f>IF(AND($L161&lt;&gt;"",N$3&lt;&gt;""),IF(NOT(ISNUMBER(_xll.ciqfunctions.udf.CIQ(N$3, "IQ_BOND_PRICE", $L161))),NA(),_xll.ciqfunctions.udf.CIQ(N$3, "IQ_BOND_PRICE", $L161)),"")</f>
        <v>0</v>
      </c>
      <c r="O161" s="424">
        <f>IF(AND($L161&lt;&gt;"",O$3&lt;&gt;""),IF(NOT(ISNUMBER(_xll.ciqfunctions.udf.CIQ(O$3, "IQ_BOND_PRICE", $L161))),NA(),_xll.ciqfunctions.udf.CIQ(O$3, "IQ_BOND_PRICE", $L161)),"")</f>
        <v>102.04837000000001</v>
      </c>
      <c r="P161" s="424">
        <f>IF(AND($L161&lt;&gt;"",P$3&lt;&gt;""),IF(NOT(ISNUMBER(_xll.ciqfunctions.udf.CIQ(P$3, "IQ_BOND_PRICE", $L161))),NA(),_xll.ciqfunctions.udf.CIQ(P$3, "IQ_BOND_PRICE", $L161)),"")</f>
        <v>102.62763</v>
      </c>
      <c r="Q161" s="424">
        <f>IF(AND($L161&lt;&gt;"",Q$3&lt;&gt;""),IF(NOT(ISNUMBER(_xll.ciqfunctions.udf.CIQ(Q$3, "IQ_BOND_PRICE", $L161))),NA(),_xll.ciqfunctions.udf.CIQ(Q$3, "IQ_BOND_PRICE", $L161)),"")</f>
        <v>104.547</v>
      </c>
      <c r="R161" s="424">
        <f>IF(AND($L161&lt;&gt;"",R$3&lt;&gt;""),IF(NOT(ISNUMBER(_xll.ciqfunctions.udf.CIQ(R$3, "IQ_BOND_PRICE", $L161))),NA(),_xll.ciqfunctions.udf.CIQ(R$3, "IQ_BOND_PRICE", $L161)),"")</f>
        <v>111.664</v>
      </c>
      <c r="S161" s="424">
        <f>IF(AND($L161&lt;&gt;"",S$3&lt;&gt;""),IF(NOT(ISNUMBER(_xll.ciqfunctions.udf.CIQ(S$3, "IQ_BOND_PRICE", $L161))),NA(),_xll.ciqfunctions.udf.CIQ(S$3, "IQ_BOND_PRICE", $L161)),"")</f>
        <v>105.732</v>
      </c>
      <c r="T161" s="424">
        <f>IF(AND($L161&lt;&gt;"",T$3&lt;&gt;""),IF(NOT(ISNUMBER(_xll.ciqfunctions.udf.CIQ(T$3, "IQ_BOND_PRICE", $L161))),NA(),_xll.ciqfunctions.udf.CIQ(T$3, "IQ_BOND_PRICE", $L161)),"")</f>
        <v>105.227</v>
      </c>
      <c r="U161" s="424">
        <f>IF(AND($L161&lt;&gt;"",U$3&lt;&gt;""),IF(NOT(ISNUMBER(_xll.ciqfunctions.udf.CIQ(U$3, "IQ_BOND_PRICE", $L161))),NA(),_xll.ciqfunctions.udf.CIQ(U$3, "IQ_BOND_PRICE", $L161)),"")</f>
        <v>99.832759999999993</v>
      </c>
      <c r="V161" s="424">
        <f>IF(AND($L161&lt;&gt;"",V$3&lt;&gt;""),IF(NOT(ISNUMBER(_xll.ciqfunctions.udf.CIQ(V$3, "IQ_BOND_PRICE", $L161))),NA(),_xll.ciqfunctions.udf.CIQ(V$3, "IQ_BOND_PRICE", $L161)),"")</f>
        <v>105.25662</v>
      </c>
      <c r="W161" s="424">
        <f>IF(AND($L161&lt;&gt;"",W$3&lt;&gt;""),IF(NOT(ISNUMBER(_xll.ciqfunctions.udf.CIQ(W$3, "IQ_BOND_PRICE", $L161))),NA(),_xll.ciqfunctions.udf.CIQ(W$3, "IQ_BOND_PRICE", $L161)),"")</f>
        <v>109.129</v>
      </c>
      <c r="X161" s="424">
        <f>IF(AND($L161&lt;&gt;"",X$3&lt;&gt;""),IF(NOT(ISNUMBER(_xll.ciqfunctions.udf.CIQ(X$3, "IQ_BOND_PRICE", $L161))),NA(),_xll.ciqfunctions.udf.CIQ(X$3, "IQ_BOND_PRICE", $L161)),"")</f>
        <v>110.819</v>
      </c>
      <c r="Y161" s="424">
        <f>IF(AND($L161&lt;&gt;"",Y$3&lt;&gt;""),IF(NOT(ISNUMBER(_xll.ciqfunctions.udf.CIQ(Y$3, "IQ_BOND_PRICE", $L161))),NA(),_xll.ciqfunctions.udf.CIQ(Y$3, "IQ_BOND_PRICE", $L161)),"")</f>
        <v>107.773</v>
      </c>
      <c r="Z161" s="424">
        <f>IF(AND($L161&lt;&gt;"",Z$3&lt;&gt;""),IF(NOT(ISNUMBER(_xll.ciqfunctions.udf.CIQ(Z$3, "IQ_BOND_PRICE", $L161))),NA(),_xll.ciqfunctions.udf.CIQ(Z$3, "IQ_BOND_PRICE", $L161)),"")</f>
        <v>99.173550000000006</v>
      </c>
      <c r="CZ161" s="426"/>
    </row>
    <row r="162" spans="12:104" x14ac:dyDescent="0.2">
      <c r="L162" s="425">
        <f t="shared" si="2"/>
        <v>44498</v>
      </c>
      <c r="M162" s="424">
        <f>IF(AND($L162&lt;&gt;"",M$3&lt;&gt;""),IF(NOT(ISNUMBER(_xll.ciqfunctions.udf.CIQ(M$3, "IQ_BOND_PRICE", $L162))),NA(),_xll.ciqfunctions.udf.CIQ(M$3, "IQ_BOND_PRICE", $L162)),"")</f>
        <v>100.43899999999999</v>
      </c>
      <c r="N162" s="424">
        <f>IF(AND($L162&lt;&gt;"",N$3&lt;&gt;""),IF(NOT(ISNUMBER(_xll.ciqfunctions.udf.CIQ(N$3, "IQ_BOND_PRICE", $L162))),NA(),_xll.ciqfunctions.udf.CIQ(N$3, "IQ_BOND_PRICE", $L162)),"")</f>
        <v>0</v>
      </c>
      <c r="O162" s="424">
        <f>IF(AND($L162&lt;&gt;"",O$3&lt;&gt;""),IF(NOT(ISNUMBER(_xll.ciqfunctions.udf.CIQ(O$3, "IQ_BOND_PRICE", $L162))),NA(),_xll.ciqfunctions.udf.CIQ(O$3, "IQ_BOND_PRICE", $L162)),"")</f>
        <v>102.08427</v>
      </c>
      <c r="P162" s="424">
        <f>IF(AND($L162&lt;&gt;"",P$3&lt;&gt;""),IF(NOT(ISNUMBER(_xll.ciqfunctions.udf.CIQ(P$3, "IQ_BOND_PRICE", $L162))),NA(),_xll.ciqfunctions.udf.CIQ(P$3, "IQ_BOND_PRICE", $L162)),"")</f>
        <v>102.63761</v>
      </c>
      <c r="Q162" s="424">
        <f>IF(AND($L162&lt;&gt;"",Q$3&lt;&gt;""),IF(NOT(ISNUMBER(_xll.ciqfunctions.udf.CIQ(Q$3, "IQ_BOND_PRICE", $L162))),NA(),_xll.ciqfunctions.udf.CIQ(Q$3, "IQ_BOND_PRICE", $L162)),"")</f>
        <v>104.532</v>
      </c>
      <c r="R162" s="424">
        <f>IF(AND($L162&lt;&gt;"",R$3&lt;&gt;""),IF(NOT(ISNUMBER(_xll.ciqfunctions.udf.CIQ(R$3, "IQ_BOND_PRICE", $L162))),NA(),_xll.ciqfunctions.udf.CIQ(R$3, "IQ_BOND_PRICE", $L162)),"")</f>
        <v>111.687</v>
      </c>
      <c r="S162" s="424">
        <f>IF(AND($L162&lt;&gt;"",S$3&lt;&gt;""),IF(NOT(ISNUMBER(_xll.ciqfunctions.udf.CIQ(S$3, "IQ_BOND_PRICE", $L162))),NA(),_xll.ciqfunctions.udf.CIQ(S$3, "IQ_BOND_PRICE", $L162)),"")</f>
        <v>105.73399999999999</v>
      </c>
      <c r="T162" s="424">
        <f>IF(AND($L162&lt;&gt;"",T$3&lt;&gt;""),IF(NOT(ISNUMBER(_xll.ciqfunctions.udf.CIQ(T$3, "IQ_BOND_PRICE", $L162))),NA(),_xll.ciqfunctions.udf.CIQ(T$3, "IQ_BOND_PRICE", $L162)),"")</f>
        <v>105.277</v>
      </c>
      <c r="U162" s="424">
        <f>IF(AND($L162&lt;&gt;"",U$3&lt;&gt;""),IF(NOT(ISNUMBER(_xll.ciqfunctions.udf.CIQ(U$3, "IQ_BOND_PRICE", $L162))),NA(),_xll.ciqfunctions.udf.CIQ(U$3, "IQ_BOND_PRICE", $L162)),"")</f>
        <v>99.822209999999998</v>
      </c>
      <c r="V162" s="424">
        <f>IF(AND($L162&lt;&gt;"",V$3&lt;&gt;""),IF(NOT(ISNUMBER(_xll.ciqfunctions.udf.CIQ(V$3, "IQ_BOND_PRICE", $L162))),NA(),_xll.ciqfunctions.udf.CIQ(V$3, "IQ_BOND_PRICE", $L162)),"")</f>
        <v>105.29085000000001</v>
      </c>
      <c r="W162" s="424">
        <f>IF(AND($L162&lt;&gt;"",W$3&lt;&gt;""),IF(NOT(ISNUMBER(_xll.ciqfunctions.udf.CIQ(W$3, "IQ_BOND_PRICE", $L162))),NA(),_xll.ciqfunctions.udf.CIQ(W$3, "IQ_BOND_PRICE", $L162)),"")</f>
        <v>109.194</v>
      </c>
      <c r="X162" s="424">
        <f>IF(AND($L162&lt;&gt;"",X$3&lt;&gt;""),IF(NOT(ISNUMBER(_xll.ciqfunctions.udf.CIQ(X$3, "IQ_BOND_PRICE", $L162))),NA(),_xll.ciqfunctions.udf.CIQ(X$3, "IQ_BOND_PRICE", $L162)),"")</f>
        <v>110.601</v>
      </c>
      <c r="Y162" s="424">
        <f>IF(AND($L162&lt;&gt;"",Y$3&lt;&gt;""),IF(NOT(ISNUMBER(_xll.ciqfunctions.udf.CIQ(Y$3, "IQ_BOND_PRICE", $L162))),NA(),_xll.ciqfunctions.udf.CIQ(Y$3, "IQ_BOND_PRICE", $L162)),"")</f>
        <v>107.751</v>
      </c>
      <c r="Z162" s="424">
        <f>IF(AND($L162&lt;&gt;"",Z$3&lt;&gt;""),IF(NOT(ISNUMBER(_xll.ciqfunctions.udf.CIQ(Z$3, "IQ_BOND_PRICE", $L162))),NA(),_xll.ciqfunctions.udf.CIQ(Z$3, "IQ_BOND_PRICE", $L162)),"")</f>
        <v>99.114270000000005</v>
      </c>
      <c r="CZ162" s="426"/>
    </row>
    <row r="163" spans="12:104" x14ac:dyDescent="0.2">
      <c r="L163" s="425">
        <f t="shared" si="2"/>
        <v>44501</v>
      </c>
      <c r="M163" s="424">
        <f>IF(AND($L163&lt;&gt;"",M$3&lt;&gt;""),IF(NOT(ISNUMBER(_xll.ciqfunctions.udf.CIQ(M$3, "IQ_BOND_PRICE", $L163))),NA(),_xll.ciqfunctions.udf.CIQ(M$3, "IQ_BOND_PRICE", $L163)),"")</f>
        <v>100.43300000000001</v>
      </c>
      <c r="N163" s="424">
        <f>IF(AND($L163&lt;&gt;"",N$3&lt;&gt;""),IF(NOT(ISNUMBER(_xll.ciqfunctions.udf.CIQ(N$3, "IQ_BOND_PRICE", $L163))),NA(),_xll.ciqfunctions.udf.CIQ(N$3, "IQ_BOND_PRICE", $L163)),"")</f>
        <v>0</v>
      </c>
      <c r="O163" s="424">
        <f>IF(AND($L163&lt;&gt;"",O$3&lt;&gt;""),IF(NOT(ISNUMBER(_xll.ciqfunctions.udf.CIQ(O$3, "IQ_BOND_PRICE", $L163))),NA(),_xll.ciqfunctions.udf.CIQ(O$3, "IQ_BOND_PRICE", $L163)),"")</f>
        <v>102.07113</v>
      </c>
      <c r="P163" s="424">
        <f>IF(AND($L163&lt;&gt;"",P$3&lt;&gt;""),IF(NOT(ISNUMBER(_xll.ciqfunctions.udf.CIQ(P$3, "IQ_BOND_PRICE", $L163))),NA(),_xll.ciqfunctions.udf.CIQ(P$3, "IQ_BOND_PRICE", $L163)),"")</f>
        <v>102.53668999999999</v>
      </c>
      <c r="Q163" s="424">
        <f>IF(AND($L163&lt;&gt;"",Q$3&lt;&gt;""),IF(NOT(ISNUMBER(_xll.ciqfunctions.udf.CIQ(Q$3, "IQ_BOND_PRICE", $L163))),NA(),_xll.ciqfunctions.udf.CIQ(Q$3, "IQ_BOND_PRICE", $L163)),"")</f>
        <v>104.509</v>
      </c>
      <c r="R163" s="424">
        <f>IF(AND($L163&lt;&gt;"",R$3&lt;&gt;""),IF(NOT(ISNUMBER(_xll.ciqfunctions.udf.CIQ(R$3, "IQ_BOND_PRICE", $L163))),NA(),_xll.ciqfunctions.udf.CIQ(R$3, "IQ_BOND_PRICE", $L163)),"")</f>
        <v>111.64100000000001</v>
      </c>
      <c r="S163" s="424">
        <f>IF(AND($L163&lt;&gt;"",S$3&lt;&gt;""),IF(NOT(ISNUMBER(_xll.ciqfunctions.udf.CIQ(S$3, "IQ_BOND_PRICE", $L163))),NA(),_xll.ciqfunctions.udf.CIQ(S$3, "IQ_BOND_PRICE", $L163)),"")</f>
        <v>105.71899999999999</v>
      </c>
      <c r="T163" s="424">
        <f>IF(AND($L163&lt;&gt;"",T$3&lt;&gt;""),IF(NOT(ISNUMBER(_xll.ciqfunctions.udf.CIQ(T$3, "IQ_BOND_PRICE", $L163))),NA(),_xll.ciqfunctions.udf.CIQ(T$3, "IQ_BOND_PRICE", $L163)),"")</f>
        <v>105.23</v>
      </c>
      <c r="U163" s="424">
        <f>IF(AND($L163&lt;&gt;"",U$3&lt;&gt;""),IF(NOT(ISNUMBER(_xll.ciqfunctions.udf.CIQ(U$3, "IQ_BOND_PRICE", $L163))),NA(),_xll.ciqfunctions.udf.CIQ(U$3, "IQ_BOND_PRICE", $L163)),"")</f>
        <v>99.816109999999995</v>
      </c>
      <c r="V163" s="424">
        <f>IF(AND($L163&lt;&gt;"",V$3&lt;&gt;""),IF(NOT(ISNUMBER(_xll.ciqfunctions.udf.CIQ(V$3, "IQ_BOND_PRICE", $L163))),NA(),_xll.ciqfunctions.udf.CIQ(V$3, "IQ_BOND_PRICE", $L163)),"")</f>
        <v>105.21302</v>
      </c>
      <c r="W163" s="424">
        <f>IF(AND($L163&lt;&gt;"",W$3&lt;&gt;""),IF(NOT(ISNUMBER(_xll.ciqfunctions.udf.CIQ(W$3, "IQ_BOND_PRICE", $L163))),NA(),_xll.ciqfunctions.udf.CIQ(W$3, "IQ_BOND_PRICE", $L163)),"")</f>
        <v>109.173</v>
      </c>
      <c r="X163" s="424">
        <f>IF(AND($L163&lt;&gt;"",X$3&lt;&gt;""),IF(NOT(ISNUMBER(_xll.ciqfunctions.udf.CIQ(X$3, "IQ_BOND_PRICE", $L163))),NA(),_xll.ciqfunctions.udf.CIQ(X$3, "IQ_BOND_PRICE", $L163)),"")</f>
        <v>110.69</v>
      </c>
      <c r="Y163" s="424">
        <f>IF(AND($L163&lt;&gt;"",Y$3&lt;&gt;""),IF(NOT(ISNUMBER(_xll.ciqfunctions.udf.CIQ(Y$3, "IQ_BOND_PRICE", $L163))),NA(),_xll.ciqfunctions.udf.CIQ(Y$3, "IQ_BOND_PRICE", $L163)),"")</f>
        <v>107.66</v>
      </c>
      <c r="Z163" s="424">
        <f>IF(AND($L163&lt;&gt;"",Z$3&lt;&gt;""),IF(NOT(ISNUMBER(_xll.ciqfunctions.udf.CIQ(Z$3, "IQ_BOND_PRICE", $L163))),NA(),_xll.ciqfunctions.udf.CIQ(Z$3, "IQ_BOND_PRICE", $L163)),"")</f>
        <v>98.974760000000003</v>
      </c>
      <c r="CZ163" s="426"/>
    </row>
    <row r="164" spans="12:104" x14ac:dyDescent="0.2">
      <c r="L164" s="425">
        <f t="shared" si="2"/>
        <v>44502</v>
      </c>
      <c r="M164" s="424">
        <f>IF(AND($L164&lt;&gt;"",M$3&lt;&gt;""),IF(NOT(ISNUMBER(_xll.ciqfunctions.udf.CIQ(M$3, "IQ_BOND_PRICE", $L164))),NA(),_xll.ciqfunctions.udf.CIQ(M$3, "IQ_BOND_PRICE", $L164)),"")</f>
        <v>100.431</v>
      </c>
      <c r="N164" s="424">
        <f>IF(AND($L164&lt;&gt;"",N$3&lt;&gt;""),IF(NOT(ISNUMBER(_xll.ciqfunctions.udf.CIQ(N$3, "IQ_BOND_PRICE", $L164))),NA(),_xll.ciqfunctions.udf.CIQ(N$3, "IQ_BOND_PRICE", $L164)),"")</f>
        <v>0</v>
      </c>
      <c r="O164" s="424">
        <f>IF(AND($L164&lt;&gt;"",O$3&lt;&gt;""),IF(NOT(ISNUMBER(_xll.ciqfunctions.udf.CIQ(O$3, "IQ_BOND_PRICE", $L164))),NA(),_xll.ciqfunctions.udf.CIQ(O$3, "IQ_BOND_PRICE", $L164)),"")</f>
        <v>102.1105</v>
      </c>
      <c r="P164" s="424">
        <f>IF(AND($L164&lt;&gt;"",P$3&lt;&gt;""),IF(NOT(ISNUMBER(_xll.ciqfunctions.udf.CIQ(P$3, "IQ_BOND_PRICE", $L164))),NA(),_xll.ciqfunctions.udf.CIQ(P$3, "IQ_BOND_PRICE", $L164)),"")</f>
        <v>102.63194</v>
      </c>
      <c r="Q164" s="424">
        <f>IF(AND($L164&lt;&gt;"",Q$3&lt;&gt;""),IF(NOT(ISNUMBER(_xll.ciqfunctions.udf.CIQ(Q$3, "IQ_BOND_PRICE", $L164))),NA(),_xll.ciqfunctions.udf.CIQ(Q$3, "IQ_BOND_PRICE", $L164)),"")</f>
        <v>104.66800000000001</v>
      </c>
      <c r="R164" s="424">
        <f>IF(AND($L164&lt;&gt;"",R$3&lt;&gt;""),IF(NOT(ISNUMBER(_xll.ciqfunctions.udf.CIQ(R$3, "IQ_BOND_PRICE", $L164))),NA(),_xll.ciqfunctions.udf.CIQ(R$3, "IQ_BOND_PRICE", $L164)),"")</f>
        <v>111.762</v>
      </c>
      <c r="S164" s="424">
        <f>IF(AND($L164&lt;&gt;"",S$3&lt;&gt;""),IF(NOT(ISNUMBER(_xll.ciqfunctions.udf.CIQ(S$3, "IQ_BOND_PRICE", $L164))),NA(),_xll.ciqfunctions.udf.CIQ(S$3, "IQ_BOND_PRICE", $L164)),"")</f>
        <v>105.77</v>
      </c>
      <c r="T164" s="424">
        <f>IF(AND($L164&lt;&gt;"",T$3&lt;&gt;""),IF(NOT(ISNUMBER(_xll.ciqfunctions.udf.CIQ(T$3, "IQ_BOND_PRICE", $L164))),NA(),_xll.ciqfunctions.udf.CIQ(T$3, "IQ_BOND_PRICE", $L164)),"")</f>
        <v>105.395</v>
      </c>
      <c r="U164" s="424">
        <f>IF(AND($L164&lt;&gt;"",U$3&lt;&gt;""),IF(NOT(ISNUMBER(_xll.ciqfunctions.udf.CIQ(U$3, "IQ_BOND_PRICE", $L164))),NA(),_xll.ciqfunctions.udf.CIQ(U$3, "IQ_BOND_PRICE", $L164)),"")</f>
        <v>99.829539999999994</v>
      </c>
      <c r="V164" s="424">
        <f>IF(AND($L164&lt;&gt;"",V$3&lt;&gt;""),IF(NOT(ISNUMBER(_xll.ciqfunctions.udf.CIQ(V$3, "IQ_BOND_PRICE", $L164))),NA(),_xll.ciqfunctions.udf.CIQ(V$3, "IQ_BOND_PRICE", $L164)),"")</f>
        <v>105.40122</v>
      </c>
      <c r="W164" s="424">
        <f>IF(AND($L164&lt;&gt;"",W$3&lt;&gt;""),IF(NOT(ISNUMBER(_xll.ciqfunctions.udf.CIQ(W$3, "IQ_BOND_PRICE", $L164))),NA(),_xll.ciqfunctions.udf.CIQ(W$3, "IQ_BOND_PRICE", $L164)),"")</f>
        <v>109.312</v>
      </c>
      <c r="X164" s="424">
        <f>IF(AND($L164&lt;&gt;"",X$3&lt;&gt;""),IF(NOT(ISNUMBER(_xll.ciqfunctions.udf.CIQ(X$3, "IQ_BOND_PRICE", $L164))),NA(),_xll.ciqfunctions.udf.CIQ(X$3, "IQ_BOND_PRICE", $L164)),"")</f>
        <v>111.003</v>
      </c>
      <c r="Y164" s="424">
        <f>IF(AND($L164&lt;&gt;"",Y$3&lt;&gt;""),IF(NOT(ISNUMBER(_xll.ciqfunctions.udf.CIQ(Y$3, "IQ_BOND_PRICE", $L164))),NA(),_xll.ciqfunctions.udf.CIQ(Y$3, "IQ_BOND_PRICE", $L164)),"")</f>
        <v>108.17400000000001</v>
      </c>
      <c r="Z164" s="424">
        <f>IF(AND($L164&lt;&gt;"",Z$3&lt;&gt;""),IF(NOT(ISNUMBER(_xll.ciqfunctions.udf.CIQ(Z$3, "IQ_BOND_PRICE", $L164))),NA(),_xll.ciqfunctions.udf.CIQ(Z$3, "IQ_BOND_PRICE", $L164)),"")</f>
        <v>99.215500000000006</v>
      </c>
      <c r="CZ164" s="426"/>
    </row>
    <row r="165" spans="12:104" x14ac:dyDescent="0.2">
      <c r="L165" s="425">
        <f t="shared" si="2"/>
        <v>44503</v>
      </c>
      <c r="M165" s="424">
        <f>IF(AND($L165&lt;&gt;"",M$3&lt;&gt;""),IF(NOT(ISNUMBER(_xll.ciqfunctions.udf.CIQ(M$3, "IQ_BOND_PRICE", $L165))),NA(),_xll.ciqfunctions.udf.CIQ(M$3, "IQ_BOND_PRICE", $L165)),"")</f>
        <v>100.425</v>
      </c>
      <c r="N165" s="424">
        <f>IF(AND($L165&lt;&gt;"",N$3&lt;&gt;""),IF(NOT(ISNUMBER(_xll.ciqfunctions.udf.CIQ(N$3, "IQ_BOND_PRICE", $L165))),NA(),_xll.ciqfunctions.udf.CIQ(N$3, "IQ_BOND_PRICE", $L165)),"")</f>
        <v>0</v>
      </c>
      <c r="O165" s="424">
        <f>IF(AND($L165&lt;&gt;"",O$3&lt;&gt;""),IF(NOT(ISNUMBER(_xll.ciqfunctions.udf.CIQ(O$3, "IQ_BOND_PRICE", $L165))),NA(),_xll.ciqfunctions.udf.CIQ(O$3, "IQ_BOND_PRICE", $L165)),"")</f>
        <v>102.07999</v>
      </c>
      <c r="P165" s="424">
        <f>IF(AND($L165&lt;&gt;"",P$3&lt;&gt;""),IF(NOT(ISNUMBER(_xll.ciqfunctions.udf.CIQ(P$3, "IQ_BOND_PRICE", $L165))),NA(),_xll.ciqfunctions.udf.CIQ(P$3, "IQ_BOND_PRICE", $L165)),"")</f>
        <v>102.56688</v>
      </c>
      <c r="Q165" s="424">
        <f>IF(AND($L165&lt;&gt;"",Q$3&lt;&gt;""),IF(NOT(ISNUMBER(_xll.ciqfunctions.udf.CIQ(Q$3, "IQ_BOND_PRICE", $L165))),NA(),_xll.ciqfunctions.udf.CIQ(Q$3, "IQ_BOND_PRICE", $L165)),"")</f>
        <v>104.631</v>
      </c>
      <c r="R165" s="424">
        <f>IF(AND($L165&lt;&gt;"",R$3&lt;&gt;""),IF(NOT(ISNUMBER(_xll.ciqfunctions.udf.CIQ(R$3, "IQ_BOND_PRICE", $L165))),NA(),_xll.ciqfunctions.udf.CIQ(R$3, "IQ_BOND_PRICE", $L165)),"")</f>
        <v>111.693</v>
      </c>
      <c r="S165" s="424">
        <f>IF(AND($L165&lt;&gt;"",S$3&lt;&gt;""),IF(NOT(ISNUMBER(_xll.ciqfunctions.udf.CIQ(S$3, "IQ_BOND_PRICE", $L165))),NA(),_xll.ciqfunctions.udf.CIQ(S$3, "IQ_BOND_PRICE", $L165)),"")</f>
        <v>105.767</v>
      </c>
      <c r="T165" s="424">
        <f>IF(AND($L165&lt;&gt;"",T$3&lt;&gt;""),IF(NOT(ISNUMBER(_xll.ciqfunctions.udf.CIQ(T$3, "IQ_BOND_PRICE", $L165))),NA(),_xll.ciqfunctions.udf.CIQ(T$3, "IQ_BOND_PRICE", $L165)),"")</f>
        <v>105.289</v>
      </c>
      <c r="U165" s="424">
        <f>IF(AND($L165&lt;&gt;"",U$3&lt;&gt;""),IF(NOT(ISNUMBER(_xll.ciqfunctions.udf.CIQ(U$3, "IQ_BOND_PRICE", $L165))),NA(),_xll.ciqfunctions.udf.CIQ(U$3, "IQ_BOND_PRICE", $L165)),"")</f>
        <v>99.831639999999993</v>
      </c>
      <c r="V165" s="424">
        <f>IF(AND($L165&lt;&gt;"",V$3&lt;&gt;""),IF(NOT(ISNUMBER(_xll.ciqfunctions.udf.CIQ(V$3, "IQ_BOND_PRICE", $L165))),NA(),_xll.ciqfunctions.udf.CIQ(V$3, "IQ_BOND_PRICE", $L165)),"")</f>
        <v>105.38406999999999</v>
      </c>
      <c r="W165" s="424">
        <f>IF(AND($L165&lt;&gt;"",W$3&lt;&gt;""),IF(NOT(ISNUMBER(_xll.ciqfunctions.udf.CIQ(W$3, "IQ_BOND_PRICE", $L165))),NA(),_xll.ciqfunctions.udf.CIQ(W$3, "IQ_BOND_PRICE", $L165)),"")</f>
        <v>109.1</v>
      </c>
      <c r="X165" s="424">
        <f>IF(AND($L165&lt;&gt;"",X$3&lt;&gt;""),IF(NOT(ISNUMBER(_xll.ciqfunctions.udf.CIQ(X$3, "IQ_BOND_PRICE", $L165))),NA(),_xll.ciqfunctions.udf.CIQ(X$3, "IQ_BOND_PRICE", $L165)),"")</f>
        <v>110.935</v>
      </c>
      <c r="Y165" s="424">
        <f>IF(AND($L165&lt;&gt;"",Y$3&lt;&gt;""),IF(NOT(ISNUMBER(_xll.ciqfunctions.udf.CIQ(Y$3, "IQ_BOND_PRICE", $L165))),NA(),_xll.ciqfunctions.udf.CIQ(Y$3, "IQ_BOND_PRICE", $L165)),"")</f>
        <v>107.999</v>
      </c>
      <c r="Z165" s="424">
        <f>IF(AND($L165&lt;&gt;"",Z$3&lt;&gt;""),IF(NOT(ISNUMBER(_xll.ciqfunctions.udf.CIQ(Z$3, "IQ_BOND_PRICE", $L165))),NA(),_xll.ciqfunctions.udf.CIQ(Z$3, "IQ_BOND_PRICE", $L165)),"")</f>
        <v>99.041430000000005</v>
      </c>
      <c r="CZ165" s="426"/>
    </row>
    <row r="166" spans="12:104" x14ac:dyDescent="0.2">
      <c r="L166" s="425">
        <f t="shared" si="2"/>
        <v>44504</v>
      </c>
      <c r="M166" s="424">
        <f>IF(AND($L166&lt;&gt;"",M$3&lt;&gt;""),IF(NOT(ISNUMBER(_xll.ciqfunctions.udf.CIQ(M$3, "IQ_BOND_PRICE", $L166))),NA(),_xll.ciqfunctions.udf.CIQ(M$3, "IQ_BOND_PRICE", $L166)),"")</f>
        <v>100.40900000000001</v>
      </c>
      <c r="N166" s="424">
        <f>IF(AND($L166&lt;&gt;"",N$3&lt;&gt;""),IF(NOT(ISNUMBER(_xll.ciqfunctions.udf.CIQ(N$3, "IQ_BOND_PRICE", $L166))),NA(),_xll.ciqfunctions.udf.CIQ(N$3, "IQ_BOND_PRICE", $L166)),"")</f>
        <v>0</v>
      </c>
      <c r="O166" s="424">
        <f>IF(AND($L166&lt;&gt;"",O$3&lt;&gt;""),IF(NOT(ISNUMBER(_xll.ciqfunctions.udf.CIQ(O$3, "IQ_BOND_PRICE", $L166))),NA(),_xll.ciqfunctions.udf.CIQ(O$3, "IQ_BOND_PRICE", $L166)),"")</f>
        <v>102.08504000000001</v>
      </c>
      <c r="P166" s="424">
        <f>IF(AND($L166&lt;&gt;"",P$3&lt;&gt;""),IF(NOT(ISNUMBER(_xll.ciqfunctions.udf.CIQ(P$3, "IQ_BOND_PRICE", $L166))),NA(),_xll.ciqfunctions.udf.CIQ(P$3, "IQ_BOND_PRICE", $L166)),"")</f>
        <v>102.66982</v>
      </c>
      <c r="Q166" s="424">
        <f>IF(AND($L166&lt;&gt;"",Q$3&lt;&gt;""),IF(NOT(ISNUMBER(_xll.ciqfunctions.udf.CIQ(Q$3, "IQ_BOND_PRICE", $L166))),NA(),_xll.ciqfunctions.udf.CIQ(Q$3, "IQ_BOND_PRICE", $L166)),"")</f>
        <v>104.676</v>
      </c>
      <c r="R166" s="424">
        <f>IF(AND($L166&lt;&gt;"",R$3&lt;&gt;""),IF(NOT(ISNUMBER(_xll.ciqfunctions.udf.CIQ(R$3, "IQ_BOND_PRICE", $L166))),NA(),_xll.ciqfunctions.udf.CIQ(R$3, "IQ_BOND_PRICE", $L166)),"")</f>
        <v>111.809</v>
      </c>
      <c r="S166" s="424">
        <f>IF(AND($L166&lt;&gt;"",S$3&lt;&gt;""),IF(NOT(ISNUMBER(_xll.ciqfunctions.udf.CIQ(S$3, "IQ_BOND_PRICE", $L166))),NA(),_xll.ciqfunctions.udf.CIQ(S$3, "IQ_BOND_PRICE", $L166)),"")</f>
        <v>105.922</v>
      </c>
      <c r="T166" s="424">
        <f>IF(AND($L166&lt;&gt;"",T$3&lt;&gt;""),IF(NOT(ISNUMBER(_xll.ciqfunctions.udf.CIQ(T$3, "IQ_BOND_PRICE", $L166))),NA(),_xll.ciqfunctions.udf.CIQ(T$3, "IQ_BOND_PRICE", $L166)),"")</f>
        <v>105.47799999999999</v>
      </c>
      <c r="U166" s="424">
        <f>IF(AND($L166&lt;&gt;"",U$3&lt;&gt;""),IF(NOT(ISNUMBER(_xll.ciqfunctions.udf.CIQ(U$3, "IQ_BOND_PRICE", $L166))),NA(),_xll.ciqfunctions.udf.CIQ(U$3, "IQ_BOND_PRICE", $L166)),"")</f>
        <v>99.842349999999996</v>
      </c>
      <c r="V166" s="424">
        <f>IF(AND($L166&lt;&gt;"",V$3&lt;&gt;""),IF(NOT(ISNUMBER(_xll.ciqfunctions.udf.CIQ(V$3, "IQ_BOND_PRICE", $L166))),NA(),_xll.ciqfunctions.udf.CIQ(V$3, "IQ_BOND_PRICE", $L166)),"")</f>
        <v>105.68432</v>
      </c>
      <c r="W166" s="424">
        <f>IF(AND($L166&lt;&gt;"",W$3&lt;&gt;""),IF(NOT(ISNUMBER(_xll.ciqfunctions.udf.CIQ(W$3, "IQ_BOND_PRICE", $L166))),NA(),_xll.ciqfunctions.udf.CIQ(W$3, "IQ_BOND_PRICE", $L166)),"")</f>
        <v>109.38</v>
      </c>
      <c r="X166" s="424">
        <f>IF(AND($L166&lt;&gt;"",X$3&lt;&gt;""),IF(NOT(ISNUMBER(_xll.ciqfunctions.udf.CIQ(X$3, "IQ_BOND_PRICE", $L166))),NA(),_xll.ciqfunctions.udf.CIQ(X$3, "IQ_BOND_PRICE", $L166)),"")</f>
        <v>111.197</v>
      </c>
      <c r="Y166" s="424">
        <f>IF(AND($L166&lt;&gt;"",Y$3&lt;&gt;""),IF(NOT(ISNUMBER(_xll.ciqfunctions.udf.CIQ(Y$3, "IQ_BOND_PRICE", $L166))),NA(),_xll.ciqfunctions.udf.CIQ(Y$3, "IQ_BOND_PRICE", $L166)),"")</f>
        <v>108.361</v>
      </c>
      <c r="Z166" s="424">
        <f>IF(AND($L166&lt;&gt;"",Z$3&lt;&gt;""),IF(NOT(ISNUMBER(_xll.ciqfunctions.udf.CIQ(Z$3, "IQ_BOND_PRICE", $L166))),NA(),_xll.ciqfunctions.udf.CIQ(Z$3, "IQ_BOND_PRICE", $L166)),"")</f>
        <v>99.433719999999994</v>
      </c>
      <c r="CZ166" s="426"/>
    </row>
    <row r="167" spans="12:104" x14ac:dyDescent="0.2">
      <c r="L167" s="425">
        <f t="shared" si="2"/>
        <v>44505</v>
      </c>
      <c r="M167" s="424">
        <f>IF(AND($L167&lt;&gt;"",M$3&lt;&gt;""),IF(NOT(ISNUMBER(_xll.ciqfunctions.udf.CIQ(M$3, "IQ_BOND_PRICE", $L167))),NA(),_xll.ciqfunctions.udf.CIQ(M$3, "IQ_BOND_PRICE", $L167)),"")</f>
        <v>100.401</v>
      </c>
      <c r="N167" s="424">
        <f>IF(AND($L167&lt;&gt;"",N$3&lt;&gt;""),IF(NOT(ISNUMBER(_xll.ciqfunctions.udf.CIQ(N$3, "IQ_BOND_PRICE", $L167))),NA(),_xll.ciqfunctions.udf.CIQ(N$3, "IQ_BOND_PRICE", $L167)),"")</f>
        <v>0</v>
      </c>
      <c r="O167" s="424">
        <f>IF(AND($L167&lt;&gt;"",O$3&lt;&gt;""),IF(NOT(ISNUMBER(_xll.ciqfunctions.udf.CIQ(O$3, "IQ_BOND_PRICE", $L167))),NA(),_xll.ciqfunctions.udf.CIQ(O$3, "IQ_BOND_PRICE", $L167)),"")</f>
        <v>102.09965</v>
      </c>
      <c r="P167" s="424">
        <f>IF(AND($L167&lt;&gt;"",P$3&lt;&gt;""),IF(NOT(ISNUMBER(_xll.ciqfunctions.udf.CIQ(P$3, "IQ_BOND_PRICE", $L167))),NA(),_xll.ciqfunctions.udf.CIQ(P$3, "IQ_BOND_PRICE", $L167)),"")</f>
        <v>102.71127</v>
      </c>
      <c r="Q167" s="424">
        <f>IF(AND($L167&lt;&gt;"",Q$3&lt;&gt;""),IF(NOT(ISNUMBER(_xll.ciqfunctions.udf.CIQ(Q$3, "IQ_BOND_PRICE", $L167))),NA(),_xll.ciqfunctions.udf.CIQ(Q$3, "IQ_BOND_PRICE", $L167)),"")</f>
        <v>104.736</v>
      </c>
      <c r="R167" s="424">
        <f>IF(AND($L167&lt;&gt;"",R$3&lt;&gt;""),IF(NOT(ISNUMBER(_xll.ciqfunctions.udf.CIQ(R$3, "IQ_BOND_PRICE", $L167))),NA(),_xll.ciqfunctions.udf.CIQ(R$3, "IQ_BOND_PRICE", $L167)),"")</f>
        <v>111.875</v>
      </c>
      <c r="S167" s="424">
        <f>IF(AND($L167&lt;&gt;"",S$3&lt;&gt;""),IF(NOT(ISNUMBER(_xll.ciqfunctions.udf.CIQ(S$3, "IQ_BOND_PRICE", $L167))),NA(),_xll.ciqfunctions.udf.CIQ(S$3, "IQ_BOND_PRICE", $L167)),"")</f>
        <v>106.012</v>
      </c>
      <c r="T167" s="424">
        <f>IF(AND($L167&lt;&gt;"",T$3&lt;&gt;""),IF(NOT(ISNUMBER(_xll.ciqfunctions.udf.CIQ(T$3, "IQ_BOND_PRICE", $L167))),NA(),_xll.ciqfunctions.udf.CIQ(T$3, "IQ_BOND_PRICE", $L167)),"")</f>
        <v>105.55</v>
      </c>
      <c r="U167" s="424">
        <f>IF(AND($L167&lt;&gt;"",U$3&lt;&gt;""),IF(NOT(ISNUMBER(_xll.ciqfunctions.udf.CIQ(U$3, "IQ_BOND_PRICE", $L167))),NA(),_xll.ciqfunctions.udf.CIQ(U$3, "IQ_BOND_PRICE", $L167)),"")</f>
        <v>99.869119999999995</v>
      </c>
      <c r="V167" s="424">
        <f>IF(AND($L167&lt;&gt;"",V$3&lt;&gt;""),IF(NOT(ISNUMBER(_xll.ciqfunctions.udf.CIQ(V$3, "IQ_BOND_PRICE", $L167))),NA(),_xll.ciqfunctions.udf.CIQ(V$3, "IQ_BOND_PRICE", $L167)),"")</f>
        <v>105.76739999999999</v>
      </c>
      <c r="W167" s="424">
        <f>IF(AND($L167&lt;&gt;"",W$3&lt;&gt;""),IF(NOT(ISNUMBER(_xll.ciqfunctions.udf.CIQ(W$3, "IQ_BOND_PRICE", $L167))),NA(),_xll.ciqfunctions.udf.CIQ(W$3, "IQ_BOND_PRICE", $L167)),"")</f>
        <v>109.63500000000001</v>
      </c>
      <c r="X167" s="424">
        <f>IF(AND($L167&lt;&gt;"",X$3&lt;&gt;""),IF(NOT(ISNUMBER(_xll.ciqfunctions.udf.CIQ(X$3, "IQ_BOND_PRICE", $L167))),NA(),_xll.ciqfunctions.udf.CIQ(X$3, "IQ_BOND_PRICE", $L167)),"")</f>
        <v>111.23699999999999</v>
      </c>
      <c r="Y167" s="424">
        <f>IF(AND($L167&lt;&gt;"",Y$3&lt;&gt;""),IF(NOT(ISNUMBER(_xll.ciqfunctions.udf.CIQ(Y$3, "IQ_BOND_PRICE", $L167))),NA(),_xll.ciqfunctions.udf.CIQ(Y$3, "IQ_BOND_PRICE", $L167)),"")</f>
        <v>108.593</v>
      </c>
      <c r="Z167" s="424">
        <f>IF(AND($L167&lt;&gt;"",Z$3&lt;&gt;""),IF(NOT(ISNUMBER(_xll.ciqfunctions.udf.CIQ(Z$3, "IQ_BOND_PRICE", $L167))),NA(),_xll.ciqfunctions.udf.CIQ(Z$3, "IQ_BOND_PRICE", $L167)),"")</f>
        <v>99.631739999999994</v>
      </c>
      <c r="CZ167" s="426"/>
    </row>
    <row r="168" spans="12:104" x14ac:dyDescent="0.2">
      <c r="L168" s="425">
        <f t="shared" si="2"/>
        <v>44508</v>
      </c>
      <c r="M168" s="424">
        <f>IF(AND($L168&lt;&gt;"",M$3&lt;&gt;""),IF(NOT(ISNUMBER(_xll.ciqfunctions.udf.CIQ(M$3, "IQ_BOND_PRICE", $L168))),NA(),_xll.ciqfunctions.udf.CIQ(M$3, "IQ_BOND_PRICE", $L168)),"")</f>
        <v>100.395</v>
      </c>
      <c r="N168" s="424">
        <f>IF(AND($L168&lt;&gt;"",N$3&lt;&gt;""),IF(NOT(ISNUMBER(_xll.ciqfunctions.udf.CIQ(N$3, "IQ_BOND_PRICE", $L168))),NA(),_xll.ciqfunctions.udf.CIQ(N$3, "IQ_BOND_PRICE", $L168)),"")</f>
        <v>0</v>
      </c>
      <c r="O168" s="424">
        <f>IF(AND($L168&lt;&gt;"",O$3&lt;&gt;""),IF(NOT(ISNUMBER(_xll.ciqfunctions.udf.CIQ(O$3, "IQ_BOND_PRICE", $L168))),NA(),_xll.ciqfunctions.udf.CIQ(O$3, "IQ_BOND_PRICE", $L168)),"")</f>
        <v>102.02115000000001</v>
      </c>
      <c r="P168" s="424">
        <f>IF(AND($L168&lt;&gt;"",P$3&lt;&gt;""),IF(NOT(ISNUMBER(_xll.ciqfunctions.udf.CIQ(P$3, "IQ_BOND_PRICE", $L168))),NA(),_xll.ciqfunctions.udf.CIQ(P$3, "IQ_BOND_PRICE", $L168)),"")</f>
        <v>102.62732</v>
      </c>
      <c r="Q168" s="424">
        <f>IF(AND($L168&lt;&gt;"",Q$3&lt;&gt;""),IF(NOT(ISNUMBER(_xll.ciqfunctions.udf.CIQ(Q$3, "IQ_BOND_PRICE", $L168))),NA(),_xll.ciqfunctions.udf.CIQ(Q$3, "IQ_BOND_PRICE", $L168)),"")</f>
        <v>104.477</v>
      </c>
      <c r="R168" s="424">
        <f>IF(AND($L168&lt;&gt;"",R$3&lt;&gt;""),IF(NOT(ISNUMBER(_xll.ciqfunctions.udf.CIQ(R$3, "IQ_BOND_PRICE", $L168))),NA(),_xll.ciqfunctions.udf.CIQ(R$3, "IQ_BOND_PRICE", $L168)),"")</f>
        <v>111.718</v>
      </c>
      <c r="S168" s="424">
        <f>IF(AND($L168&lt;&gt;"",S$3&lt;&gt;""),IF(NOT(ISNUMBER(_xll.ciqfunctions.udf.CIQ(S$3, "IQ_BOND_PRICE", $L168))),NA(),_xll.ciqfunctions.udf.CIQ(S$3, "IQ_BOND_PRICE", $L168)),"")</f>
        <v>105.8</v>
      </c>
      <c r="T168" s="424">
        <f>IF(AND($L168&lt;&gt;"",T$3&lt;&gt;""),IF(NOT(ISNUMBER(_xll.ciqfunctions.udf.CIQ(T$3, "IQ_BOND_PRICE", $L168))),NA(),_xll.ciqfunctions.udf.CIQ(T$3, "IQ_BOND_PRICE", $L168)),"")</f>
        <v>105.352</v>
      </c>
      <c r="U168" s="424">
        <f>IF(AND($L168&lt;&gt;"",U$3&lt;&gt;""),IF(NOT(ISNUMBER(_xll.ciqfunctions.udf.CIQ(U$3, "IQ_BOND_PRICE", $L168))),NA(),_xll.ciqfunctions.udf.CIQ(U$3, "IQ_BOND_PRICE", $L168)),"")</f>
        <v>99.879289999999997</v>
      </c>
      <c r="V168" s="424">
        <f>IF(AND($L168&lt;&gt;"",V$3&lt;&gt;""),IF(NOT(ISNUMBER(_xll.ciqfunctions.udf.CIQ(V$3, "IQ_BOND_PRICE", $L168))),NA(),_xll.ciqfunctions.udf.CIQ(V$3, "IQ_BOND_PRICE", $L168)),"")</f>
        <v>105.54388</v>
      </c>
      <c r="W168" s="424">
        <f>IF(AND($L168&lt;&gt;"",W$3&lt;&gt;""),IF(NOT(ISNUMBER(_xll.ciqfunctions.udf.CIQ(W$3, "IQ_BOND_PRICE", $L168))),NA(),_xll.ciqfunctions.udf.CIQ(W$3, "IQ_BOND_PRICE", $L168)),"")</f>
        <v>109.39700000000001</v>
      </c>
      <c r="X168" s="424">
        <f>IF(AND($L168&lt;&gt;"",X$3&lt;&gt;""),IF(NOT(ISNUMBER(_xll.ciqfunctions.udf.CIQ(X$3, "IQ_BOND_PRICE", $L168))),NA(),_xll.ciqfunctions.udf.CIQ(X$3, "IQ_BOND_PRICE", $L168)),"")</f>
        <v>111.199</v>
      </c>
      <c r="Y168" s="424">
        <f>IF(AND($L168&lt;&gt;"",Y$3&lt;&gt;""),IF(NOT(ISNUMBER(_xll.ciqfunctions.udf.CIQ(Y$3, "IQ_BOND_PRICE", $L168))),NA(),_xll.ciqfunctions.udf.CIQ(Y$3, "IQ_BOND_PRICE", $L168)),"")</f>
        <v>108.277</v>
      </c>
      <c r="Z168" s="424">
        <f>IF(AND($L168&lt;&gt;"",Z$3&lt;&gt;""),IF(NOT(ISNUMBER(_xll.ciqfunctions.udf.CIQ(Z$3, "IQ_BOND_PRICE", $L168))),NA(),_xll.ciqfunctions.udf.CIQ(Z$3, "IQ_BOND_PRICE", $L168)),"")</f>
        <v>99.247</v>
      </c>
      <c r="CZ168" s="426"/>
    </row>
    <row r="169" spans="12:104" x14ac:dyDescent="0.2">
      <c r="L169" s="425">
        <f t="shared" si="2"/>
        <v>44509</v>
      </c>
      <c r="M169" s="424">
        <f>IF(AND($L169&lt;&gt;"",M$3&lt;&gt;""),IF(NOT(ISNUMBER(_xll.ciqfunctions.udf.CIQ(M$3, "IQ_BOND_PRICE", $L169))),NA(),_xll.ciqfunctions.udf.CIQ(M$3, "IQ_BOND_PRICE", $L169)),"")</f>
        <v>100.386</v>
      </c>
      <c r="N169" s="424">
        <f>IF(AND($L169&lt;&gt;"",N$3&lt;&gt;""),IF(NOT(ISNUMBER(_xll.ciqfunctions.udf.CIQ(N$3, "IQ_BOND_PRICE", $L169))),NA(),_xll.ciqfunctions.udf.CIQ(N$3, "IQ_BOND_PRICE", $L169)),"")</f>
        <v>0</v>
      </c>
      <c r="O169" s="424">
        <f>IF(AND($L169&lt;&gt;"",O$3&lt;&gt;""),IF(NOT(ISNUMBER(_xll.ciqfunctions.udf.CIQ(O$3, "IQ_BOND_PRICE", $L169))),NA(),_xll.ciqfunctions.udf.CIQ(O$3, "IQ_BOND_PRICE", $L169)),"")</f>
        <v>102.05632</v>
      </c>
      <c r="P169" s="424">
        <f>IF(AND($L169&lt;&gt;"",P$3&lt;&gt;""),IF(NOT(ISNUMBER(_xll.ciqfunctions.udf.CIQ(P$3, "IQ_BOND_PRICE", $L169))),NA(),_xll.ciqfunctions.udf.CIQ(P$3, "IQ_BOND_PRICE", $L169)),"")</f>
        <v>102.63064</v>
      </c>
      <c r="Q169" s="424">
        <f>IF(AND($L169&lt;&gt;"",Q$3&lt;&gt;""),IF(NOT(ISNUMBER(_xll.ciqfunctions.udf.CIQ(Q$3, "IQ_BOND_PRICE", $L169))),NA(),_xll.ciqfunctions.udf.CIQ(Q$3, "IQ_BOND_PRICE", $L169)),"")</f>
        <v>104.619</v>
      </c>
      <c r="R169" s="424">
        <f>IF(AND($L169&lt;&gt;"",R$3&lt;&gt;""),IF(NOT(ISNUMBER(_xll.ciqfunctions.udf.CIQ(R$3, "IQ_BOND_PRICE", $L169))),NA(),_xll.ciqfunctions.udf.CIQ(R$3, "IQ_BOND_PRICE", $L169)),"")</f>
        <v>111.736</v>
      </c>
      <c r="S169" s="424">
        <f>IF(AND($L169&lt;&gt;"",S$3&lt;&gt;""),IF(NOT(ISNUMBER(_xll.ciqfunctions.udf.CIQ(S$3, "IQ_BOND_PRICE", $L169))),NA(),_xll.ciqfunctions.udf.CIQ(S$3, "IQ_BOND_PRICE", $L169)),"")</f>
        <v>105.89100000000001</v>
      </c>
      <c r="T169" s="424">
        <f>IF(AND($L169&lt;&gt;"",T$3&lt;&gt;""),IF(NOT(ISNUMBER(_xll.ciqfunctions.udf.CIQ(T$3, "IQ_BOND_PRICE", $L169))),NA(),_xll.ciqfunctions.udf.CIQ(T$3, "IQ_BOND_PRICE", $L169)),"")</f>
        <v>105.446</v>
      </c>
      <c r="U169" s="424">
        <f>IF(AND($L169&lt;&gt;"",U$3&lt;&gt;""),IF(NOT(ISNUMBER(_xll.ciqfunctions.udf.CIQ(U$3, "IQ_BOND_PRICE", $L169))),NA(),_xll.ciqfunctions.udf.CIQ(U$3, "IQ_BOND_PRICE", $L169)),"")</f>
        <v>99.883080000000007</v>
      </c>
      <c r="V169" s="424">
        <f>IF(AND($L169&lt;&gt;"",V$3&lt;&gt;""),IF(NOT(ISNUMBER(_xll.ciqfunctions.udf.CIQ(V$3, "IQ_BOND_PRICE", $L169))),NA(),_xll.ciqfunctions.udf.CIQ(V$3, "IQ_BOND_PRICE", $L169)),"")</f>
        <v>105.66764000000001</v>
      </c>
      <c r="W169" s="424">
        <f>IF(AND($L169&lt;&gt;"",W$3&lt;&gt;""),IF(NOT(ISNUMBER(_xll.ciqfunctions.udf.CIQ(W$3, "IQ_BOND_PRICE", $L169))),NA(),_xll.ciqfunctions.udf.CIQ(W$3, "IQ_BOND_PRICE", $L169)),"")</f>
        <v>109.512</v>
      </c>
      <c r="X169" s="424">
        <f>IF(AND($L169&lt;&gt;"",X$3&lt;&gt;""),IF(NOT(ISNUMBER(_xll.ciqfunctions.udf.CIQ(X$3, "IQ_BOND_PRICE", $L169))),NA(),_xll.ciqfunctions.udf.CIQ(X$3, "IQ_BOND_PRICE", $L169)),"")</f>
        <v>111.255</v>
      </c>
      <c r="Y169" s="424">
        <f>IF(AND($L169&lt;&gt;"",Y$3&lt;&gt;""),IF(NOT(ISNUMBER(_xll.ciqfunctions.udf.CIQ(Y$3, "IQ_BOND_PRICE", $L169))),NA(),_xll.ciqfunctions.udf.CIQ(Y$3, "IQ_BOND_PRICE", $L169)),"")</f>
        <v>108.509</v>
      </c>
      <c r="Z169" s="424">
        <f>IF(AND($L169&lt;&gt;"",Z$3&lt;&gt;""),IF(NOT(ISNUMBER(_xll.ciqfunctions.udf.CIQ(Z$3, "IQ_BOND_PRICE", $L169))),NA(),_xll.ciqfunctions.udf.CIQ(Z$3, "IQ_BOND_PRICE", $L169)),"")</f>
        <v>99.459710000000001</v>
      </c>
      <c r="CZ169" s="426"/>
    </row>
    <row r="170" spans="12:104" x14ac:dyDescent="0.2">
      <c r="L170" s="425">
        <f t="shared" si="2"/>
        <v>44510</v>
      </c>
      <c r="M170" s="424">
        <f>IF(AND($L170&lt;&gt;"",M$3&lt;&gt;""),IF(NOT(ISNUMBER(_xll.ciqfunctions.udf.CIQ(M$3, "IQ_BOND_PRICE", $L170))),NA(),_xll.ciqfunctions.udf.CIQ(M$3, "IQ_BOND_PRICE", $L170)),"")</f>
        <v>100.381</v>
      </c>
      <c r="N170" s="424">
        <f>IF(AND($L170&lt;&gt;"",N$3&lt;&gt;""),IF(NOT(ISNUMBER(_xll.ciqfunctions.udf.CIQ(N$3, "IQ_BOND_PRICE", $L170))),NA(),_xll.ciqfunctions.udf.CIQ(N$3, "IQ_BOND_PRICE", $L170)),"")</f>
        <v>0</v>
      </c>
      <c r="O170" s="424">
        <f>IF(AND($L170&lt;&gt;"",O$3&lt;&gt;""),IF(NOT(ISNUMBER(_xll.ciqfunctions.udf.CIQ(O$3, "IQ_BOND_PRICE", $L170))),NA(),_xll.ciqfunctions.udf.CIQ(O$3, "IQ_BOND_PRICE", $L170)),"")</f>
        <v>101.95468</v>
      </c>
      <c r="P170" s="424">
        <f>IF(AND($L170&lt;&gt;"",P$3&lt;&gt;""),IF(NOT(ISNUMBER(_xll.ciqfunctions.udf.CIQ(P$3, "IQ_BOND_PRICE", $L170))),NA(),_xll.ciqfunctions.udf.CIQ(P$3, "IQ_BOND_PRICE", $L170)),"")</f>
        <v>102.52105</v>
      </c>
      <c r="Q170" s="424">
        <f>IF(AND($L170&lt;&gt;"",Q$3&lt;&gt;""),IF(NOT(ISNUMBER(_xll.ciqfunctions.udf.CIQ(Q$3, "IQ_BOND_PRICE", $L170))),NA(),_xll.ciqfunctions.udf.CIQ(Q$3, "IQ_BOND_PRICE", $L170)),"")</f>
        <v>104.407</v>
      </c>
      <c r="R170" s="424">
        <f>IF(AND($L170&lt;&gt;"",R$3&lt;&gt;""),IF(NOT(ISNUMBER(_xll.ciqfunctions.udf.CIQ(R$3, "IQ_BOND_PRICE", $L170))),NA(),_xll.ciqfunctions.udf.CIQ(R$3, "IQ_BOND_PRICE", $L170)),"")</f>
        <v>111.444</v>
      </c>
      <c r="S170" s="424">
        <f>IF(AND($L170&lt;&gt;"",S$3&lt;&gt;""),IF(NOT(ISNUMBER(_xll.ciqfunctions.udf.CIQ(S$3, "IQ_BOND_PRICE", $L170))),NA(),_xll.ciqfunctions.udf.CIQ(S$3, "IQ_BOND_PRICE", $L170)),"")</f>
        <v>105.602</v>
      </c>
      <c r="T170" s="424">
        <f>IF(AND($L170&lt;&gt;"",T$3&lt;&gt;""),IF(NOT(ISNUMBER(_xll.ciqfunctions.udf.CIQ(T$3, "IQ_BOND_PRICE", $L170))),NA(),_xll.ciqfunctions.udf.CIQ(T$3, "IQ_BOND_PRICE", $L170)),"")</f>
        <v>105.113</v>
      </c>
      <c r="U170" s="424">
        <f>IF(AND($L170&lt;&gt;"",U$3&lt;&gt;""),IF(NOT(ISNUMBER(_xll.ciqfunctions.udf.CIQ(U$3, "IQ_BOND_PRICE", $L170))),NA(),_xll.ciqfunctions.udf.CIQ(U$3, "IQ_BOND_PRICE", $L170)),"")</f>
        <v>99.890389999999996</v>
      </c>
      <c r="V170" s="424">
        <f>IF(AND($L170&lt;&gt;"",V$3&lt;&gt;""),IF(NOT(ISNUMBER(_xll.ciqfunctions.udf.CIQ(V$3, "IQ_BOND_PRICE", $L170))),NA(),_xll.ciqfunctions.udf.CIQ(V$3, "IQ_BOND_PRICE", $L170)),"")</f>
        <v>105.2902</v>
      </c>
      <c r="W170" s="424">
        <f>IF(AND($L170&lt;&gt;"",W$3&lt;&gt;""),IF(NOT(ISNUMBER(_xll.ciqfunctions.udf.CIQ(W$3, "IQ_BOND_PRICE", $L170))),NA(),_xll.ciqfunctions.udf.CIQ(W$3, "IQ_BOND_PRICE", $L170)),"")</f>
        <v>108.988</v>
      </c>
      <c r="X170" s="424">
        <f>IF(AND($L170&lt;&gt;"",X$3&lt;&gt;""),IF(NOT(ISNUMBER(_xll.ciqfunctions.udf.CIQ(X$3, "IQ_BOND_PRICE", $L170))),NA(),_xll.ciqfunctions.udf.CIQ(X$3, "IQ_BOND_PRICE", $L170)),"")</f>
        <v>111.17</v>
      </c>
      <c r="Y170" s="424">
        <f>IF(AND($L170&lt;&gt;"",Y$3&lt;&gt;""),IF(NOT(ISNUMBER(_xll.ciqfunctions.udf.CIQ(Y$3, "IQ_BOND_PRICE", $L170))),NA(),_xll.ciqfunctions.udf.CIQ(Y$3, "IQ_BOND_PRICE", $L170)),"")</f>
        <v>107.627</v>
      </c>
      <c r="Z170" s="424">
        <f>IF(AND($L170&lt;&gt;"",Z$3&lt;&gt;""),IF(NOT(ISNUMBER(_xll.ciqfunctions.udf.CIQ(Z$3, "IQ_BOND_PRICE", $L170))),NA(),_xll.ciqfunctions.udf.CIQ(Z$3, "IQ_BOND_PRICE", $L170)),"")</f>
        <v>98.762799999999999</v>
      </c>
      <c r="CZ170" s="426"/>
    </row>
    <row r="171" spans="12:104" x14ac:dyDescent="0.2">
      <c r="L171" s="425">
        <f t="shared" si="2"/>
        <v>44511</v>
      </c>
      <c r="M171" s="424">
        <f>IF(AND($L171&lt;&gt;"",M$3&lt;&gt;""),IF(NOT(ISNUMBER(_xll.ciqfunctions.udf.CIQ(M$3, "IQ_BOND_PRICE", $L171))),NA(),_xll.ciqfunctions.udf.CIQ(M$3, "IQ_BOND_PRICE", $L171)),"")</f>
        <v>100.361</v>
      </c>
      <c r="N171" s="424">
        <f>IF(AND($L171&lt;&gt;"",N$3&lt;&gt;""),IF(NOT(ISNUMBER(_xll.ciqfunctions.udf.CIQ(N$3, "IQ_BOND_PRICE", $L171))),NA(),_xll.ciqfunctions.udf.CIQ(N$3, "IQ_BOND_PRICE", $L171)),"")</f>
        <v>0</v>
      </c>
      <c r="O171" s="424">
        <f>IF(AND($L171&lt;&gt;"",O$3&lt;&gt;""),IF(NOT(ISNUMBER(_xll.ciqfunctions.udf.CIQ(O$3, "IQ_BOND_PRICE", $L171))),NA(),_xll.ciqfunctions.udf.CIQ(O$3, "IQ_BOND_PRICE", $L171)),"")</f>
        <v>101.90009999999999</v>
      </c>
      <c r="P171" s="424">
        <f>IF(AND($L171&lt;&gt;"",P$3&lt;&gt;""),IF(NOT(ISNUMBER(_xll.ciqfunctions.udf.CIQ(P$3, "IQ_BOND_PRICE", $L171))),NA(),_xll.ciqfunctions.udf.CIQ(P$3, "IQ_BOND_PRICE", $L171)),"")</f>
        <v>102.48348</v>
      </c>
      <c r="Q171" s="424">
        <f>IF(AND($L171&lt;&gt;"",Q$3&lt;&gt;""),IF(NOT(ISNUMBER(_xll.ciqfunctions.udf.CIQ(Q$3, "IQ_BOND_PRICE", $L171))),NA(),_xll.ciqfunctions.udf.CIQ(Q$3, "IQ_BOND_PRICE", $L171)),"")</f>
        <v>104.315</v>
      </c>
      <c r="R171" s="424">
        <f>IF(AND($L171&lt;&gt;"",R$3&lt;&gt;""),IF(NOT(ISNUMBER(_xll.ciqfunctions.udf.CIQ(R$3, "IQ_BOND_PRICE", $L171))),NA(),_xll.ciqfunctions.udf.CIQ(R$3, "IQ_BOND_PRICE", $L171)),"")</f>
        <v>111.27800000000001</v>
      </c>
      <c r="S171" s="424">
        <f>IF(AND($L171&lt;&gt;"",S$3&lt;&gt;""),IF(NOT(ISNUMBER(_xll.ciqfunctions.udf.CIQ(S$3, "IQ_BOND_PRICE", $L171))),NA(),_xll.ciqfunctions.udf.CIQ(S$3, "IQ_BOND_PRICE", $L171)),"")</f>
        <v>105.508</v>
      </c>
      <c r="T171" s="424">
        <f>IF(AND($L171&lt;&gt;"",T$3&lt;&gt;""),IF(NOT(ISNUMBER(_xll.ciqfunctions.udf.CIQ(T$3, "IQ_BOND_PRICE", $L171))),NA(),_xll.ciqfunctions.udf.CIQ(T$3, "IQ_BOND_PRICE", $L171)),"")</f>
        <v>105.011</v>
      </c>
      <c r="U171" s="424">
        <f>IF(AND($L171&lt;&gt;"",U$3&lt;&gt;""),IF(NOT(ISNUMBER(_xll.ciqfunctions.udf.CIQ(U$3, "IQ_BOND_PRICE", $L171))),NA(),_xll.ciqfunctions.udf.CIQ(U$3, "IQ_BOND_PRICE", $L171)),"")</f>
        <v>99.870419999999996</v>
      </c>
      <c r="V171" s="424">
        <f>IF(AND($L171&lt;&gt;"",V$3&lt;&gt;""),IF(NOT(ISNUMBER(_xll.ciqfunctions.udf.CIQ(V$3, "IQ_BOND_PRICE", $L171))),NA(),_xll.ciqfunctions.udf.CIQ(V$3, "IQ_BOND_PRICE", $L171)),"")</f>
        <v>105.03704</v>
      </c>
      <c r="W171" s="424">
        <f>IF(AND($L171&lt;&gt;"",W$3&lt;&gt;""),IF(NOT(ISNUMBER(_xll.ciqfunctions.udf.CIQ(W$3, "IQ_BOND_PRICE", $L171))),NA(),_xll.ciqfunctions.udf.CIQ(W$3, "IQ_BOND_PRICE", $L171)),"")</f>
        <v>108.69</v>
      </c>
      <c r="X171" s="424">
        <f>IF(AND($L171&lt;&gt;"",X$3&lt;&gt;""),IF(NOT(ISNUMBER(_xll.ciqfunctions.udf.CIQ(X$3, "IQ_BOND_PRICE", $L171))),NA(),_xll.ciqfunctions.udf.CIQ(X$3, "IQ_BOND_PRICE", $L171)),"")</f>
        <v>111.105</v>
      </c>
      <c r="Y171" s="424">
        <f>IF(AND($L171&lt;&gt;"",Y$3&lt;&gt;""),IF(NOT(ISNUMBER(_xll.ciqfunctions.udf.CIQ(Y$3, "IQ_BOND_PRICE", $L171))),NA(),_xll.ciqfunctions.udf.CIQ(Y$3, "IQ_BOND_PRICE", $L171)),"")</f>
        <v>107.288</v>
      </c>
      <c r="Z171" s="424">
        <f>IF(AND($L171&lt;&gt;"",Z$3&lt;&gt;""),IF(NOT(ISNUMBER(_xll.ciqfunctions.udf.CIQ(Z$3, "IQ_BOND_PRICE", $L171))),NA(),_xll.ciqfunctions.udf.CIQ(Z$3, "IQ_BOND_PRICE", $L171)),"")</f>
        <v>98.563590000000005</v>
      </c>
      <c r="CZ171" s="426"/>
    </row>
    <row r="172" spans="12:104" x14ac:dyDescent="0.2">
      <c r="L172" s="425">
        <f t="shared" si="2"/>
        <v>44512</v>
      </c>
      <c r="M172" s="424">
        <f>IF(AND($L172&lt;&gt;"",M$3&lt;&gt;""),IF(NOT(ISNUMBER(_xll.ciqfunctions.udf.CIQ(M$3, "IQ_BOND_PRICE", $L172))),NA(),_xll.ciqfunctions.udf.CIQ(M$3, "IQ_BOND_PRICE", $L172)),"")</f>
        <v>100.351</v>
      </c>
      <c r="N172" s="424">
        <f>IF(AND($L172&lt;&gt;"",N$3&lt;&gt;""),IF(NOT(ISNUMBER(_xll.ciqfunctions.udf.CIQ(N$3, "IQ_BOND_PRICE", $L172))),NA(),_xll.ciqfunctions.udf.CIQ(N$3, "IQ_BOND_PRICE", $L172)),"")</f>
        <v>0</v>
      </c>
      <c r="O172" s="424">
        <f>IF(AND($L172&lt;&gt;"",O$3&lt;&gt;""),IF(NOT(ISNUMBER(_xll.ciqfunctions.udf.CIQ(O$3, "IQ_BOND_PRICE", $L172))),NA(),_xll.ciqfunctions.udf.CIQ(O$3, "IQ_BOND_PRICE", $L172)),"")</f>
        <v>101.91238</v>
      </c>
      <c r="P172" s="424">
        <f>IF(AND($L172&lt;&gt;"",P$3&lt;&gt;""),IF(NOT(ISNUMBER(_xll.ciqfunctions.udf.CIQ(P$3, "IQ_BOND_PRICE", $L172))),NA(),_xll.ciqfunctions.udf.CIQ(P$3, "IQ_BOND_PRICE", $L172)),"")</f>
        <v>102.46007</v>
      </c>
      <c r="Q172" s="424">
        <f>IF(AND($L172&lt;&gt;"",Q$3&lt;&gt;""),IF(NOT(ISNUMBER(_xll.ciqfunctions.udf.CIQ(Q$3, "IQ_BOND_PRICE", $L172))),NA(),_xll.ciqfunctions.udf.CIQ(Q$3, "IQ_BOND_PRICE", $L172)),"")</f>
        <v>104.43600000000001</v>
      </c>
      <c r="R172" s="424">
        <f>IF(AND($L172&lt;&gt;"",R$3&lt;&gt;""),IF(NOT(ISNUMBER(_xll.ciqfunctions.udf.CIQ(R$3, "IQ_BOND_PRICE", $L172))),NA(),_xll.ciqfunctions.udf.CIQ(R$3, "IQ_BOND_PRICE", $L172)),"")</f>
        <v>111.267</v>
      </c>
      <c r="S172" s="424">
        <f>IF(AND($L172&lt;&gt;"",S$3&lt;&gt;""),IF(NOT(ISNUMBER(_xll.ciqfunctions.udf.CIQ(S$3, "IQ_BOND_PRICE", $L172))),NA(),_xll.ciqfunctions.udf.CIQ(S$3, "IQ_BOND_PRICE", $L172)),"")</f>
        <v>105.396</v>
      </c>
      <c r="T172" s="424">
        <f>IF(AND($L172&lt;&gt;"",T$3&lt;&gt;""),IF(NOT(ISNUMBER(_xll.ciqfunctions.udf.CIQ(T$3, "IQ_BOND_PRICE", $L172))),NA(),_xll.ciqfunctions.udf.CIQ(T$3, "IQ_BOND_PRICE", $L172)),"")</f>
        <v>105.08199999999999</v>
      </c>
      <c r="U172" s="424">
        <f>IF(AND($L172&lt;&gt;"",U$3&lt;&gt;""),IF(NOT(ISNUMBER(_xll.ciqfunctions.udf.CIQ(U$3, "IQ_BOND_PRICE", $L172))),NA(),_xll.ciqfunctions.udf.CIQ(U$3, "IQ_BOND_PRICE", $L172)),"")</f>
        <v>99.855490000000003</v>
      </c>
      <c r="V172" s="424">
        <f>IF(AND($L172&lt;&gt;"",V$3&lt;&gt;""),IF(NOT(ISNUMBER(_xll.ciqfunctions.udf.CIQ(V$3, "IQ_BOND_PRICE", $L172))),NA(),_xll.ciqfunctions.udf.CIQ(V$3, "IQ_BOND_PRICE", $L172)),"")</f>
        <v>105.08556</v>
      </c>
      <c r="W172" s="424">
        <f>IF(AND($L172&lt;&gt;"",W$3&lt;&gt;""),IF(NOT(ISNUMBER(_xll.ciqfunctions.udf.CIQ(W$3, "IQ_BOND_PRICE", $L172))),NA(),_xll.ciqfunctions.udf.CIQ(W$3, "IQ_BOND_PRICE", $L172)),"")</f>
        <v>108.78</v>
      </c>
      <c r="X172" s="424">
        <f>IF(AND($L172&lt;&gt;"",X$3&lt;&gt;""),IF(NOT(ISNUMBER(_xll.ciqfunctions.udf.CIQ(X$3, "IQ_BOND_PRICE", $L172))),NA(),_xll.ciqfunctions.udf.CIQ(X$3, "IQ_BOND_PRICE", $L172)),"")</f>
        <v>111.172</v>
      </c>
      <c r="Y172" s="424">
        <f>IF(AND($L172&lt;&gt;"",Y$3&lt;&gt;""),IF(NOT(ISNUMBER(_xll.ciqfunctions.udf.CIQ(Y$3, "IQ_BOND_PRICE", $L172))),NA(),_xll.ciqfunctions.udf.CIQ(Y$3, "IQ_BOND_PRICE", $L172)),"")</f>
        <v>107.401</v>
      </c>
      <c r="Z172" s="424">
        <f>IF(AND($L172&lt;&gt;"",Z$3&lt;&gt;""),IF(NOT(ISNUMBER(_xll.ciqfunctions.udf.CIQ(Z$3, "IQ_BOND_PRICE", $L172))),NA(),_xll.ciqfunctions.udf.CIQ(Z$3, "IQ_BOND_PRICE", $L172)),"")</f>
        <v>98.674670000000006</v>
      </c>
      <c r="CZ172" s="426"/>
    </row>
    <row r="173" spans="12:104" x14ac:dyDescent="0.2">
      <c r="L173" s="425">
        <f t="shared" si="2"/>
        <v>44515</v>
      </c>
      <c r="M173" s="424">
        <f>IF(AND($L173&lt;&gt;"",M$3&lt;&gt;""),IF(NOT(ISNUMBER(_xll.ciqfunctions.udf.CIQ(M$3, "IQ_BOND_PRICE", $L173))),NA(),_xll.ciqfunctions.udf.CIQ(M$3, "IQ_BOND_PRICE", $L173)),"")</f>
        <v>100.348</v>
      </c>
      <c r="N173" s="424">
        <f>IF(AND($L173&lt;&gt;"",N$3&lt;&gt;""),IF(NOT(ISNUMBER(_xll.ciqfunctions.udf.CIQ(N$3, "IQ_BOND_PRICE", $L173))),NA(),_xll.ciqfunctions.udf.CIQ(N$3, "IQ_BOND_PRICE", $L173)),"")</f>
        <v>0</v>
      </c>
      <c r="O173" s="424">
        <f>IF(AND($L173&lt;&gt;"",O$3&lt;&gt;""),IF(NOT(ISNUMBER(_xll.ciqfunctions.udf.CIQ(O$3, "IQ_BOND_PRICE", $L173))),NA(),_xll.ciqfunctions.udf.CIQ(O$3, "IQ_BOND_PRICE", $L173)),"")</f>
        <v>101.90483999999999</v>
      </c>
      <c r="P173" s="424">
        <f>IF(AND($L173&lt;&gt;"",P$3&lt;&gt;""),IF(NOT(ISNUMBER(_xll.ciqfunctions.udf.CIQ(P$3, "IQ_BOND_PRICE", $L173))),NA(),_xll.ciqfunctions.udf.CIQ(P$3, "IQ_BOND_PRICE", $L173)),"")</f>
        <v>102.33417</v>
      </c>
      <c r="Q173" s="424">
        <f>IF(AND($L173&lt;&gt;"",Q$3&lt;&gt;""),IF(NOT(ISNUMBER(_xll.ciqfunctions.udf.CIQ(Q$3, "IQ_BOND_PRICE", $L173))),NA(),_xll.ciqfunctions.udf.CIQ(Q$3, "IQ_BOND_PRICE", $L173)),"")</f>
        <v>104.41</v>
      </c>
      <c r="R173" s="424">
        <f>IF(AND($L173&lt;&gt;"",R$3&lt;&gt;""),IF(NOT(ISNUMBER(_xll.ciqfunctions.udf.CIQ(R$3, "IQ_BOND_PRICE", $L173))),NA(),_xll.ciqfunctions.udf.CIQ(R$3, "IQ_BOND_PRICE", $L173)),"")</f>
        <v>111.205</v>
      </c>
      <c r="S173" s="424">
        <f>IF(AND($L173&lt;&gt;"",S$3&lt;&gt;""),IF(NOT(ISNUMBER(_xll.ciqfunctions.udf.CIQ(S$3, "IQ_BOND_PRICE", $L173))),NA(),_xll.ciqfunctions.udf.CIQ(S$3, "IQ_BOND_PRICE", $L173)),"")</f>
        <v>105.40600000000001</v>
      </c>
      <c r="T173" s="424">
        <f>IF(AND($L173&lt;&gt;"",T$3&lt;&gt;""),IF(NOT(ISNUMBER(_xll.ciqfunctions.udf.CIQ(T$3, "IQ_BOND_PRICE", $L173))),NA(),_xll.ciqfunctions.udf.CIQ(T$3, "IQ_BOND_PRICE", $L173)),"")</f>
        <v>104.958</v>
      </c>
      <c r="U173" s="424">
        <f>IF(AND($L173&lt;&gt;"",U$3&lt;&gt;""),IF(NOT(ISNUMBER(_xll.ciqfunctions.udf.CIQ(U$3, "IQ_BOND_PRICE", $L173))),NA(),_xll.ciqfunctions.udf.CIQ(U$3, "IQ_BOND_PRICE", $L173)),"")</f>
        <v>99.860259999999997</v>
      </c>
      <c r="V173" s="424">
        <f>IF(AND($L173&lt;&gt;"",V$3&lt;&gt;""),IF(NOT(ISNUMBER(_xll.ciqfunctions.udf.CIQ(V$3, "IQ_BOND_PRICE", $L173))),NA(),_xll.ciqfunctions.udf.CIQ(V$3, "IQ_BOND_PRICE", $L173)),"")</f>
        <v>104.94614</v>
      </c>
      <c r="W173" s="424">
        <f>IF(AND($L173&lt;&gt;"",W$3&lt;&gt;""),IF(NOT(ISNUMBER(_xll.ciqfunctions.udf.CIQ(W$3, "IQ_BOND_PRICE", $L173))),NA(),_xll.ciqfunctions.udf.CIQ(W$3, "IQ_BOND_PRICE", $L173)),"")</f>
        <v>108.624</v>
      </c>
      <c r="X173" s="424">
        <f>IF(AND($L173&lt;&gt;"",X$3&lt;&gt;""),IF(NOT(ISNUMBER(_xll.ciqfunctions.udf.CIQ(X$3, "IQ_BOND_PRICE", $L173))),NA(),_xll.ciqfunctions.udf.CIQ(X$3, "IQ_BOND_PRICE", $L173)),"")</f>
        <v>110.988</v>
      </c>
      <c r="Y173" s="424">
        <f>IF(AND($L173&lt;&gt;"",Y$3&lt;&gt;""),IF(NOT(ISNUMBER(_xll.ciqfunctions.udf.CIQ(Y$3, "IQ_BOND_PRICE", $L173))),NA(),_xll.ciqfunctions.udf.CIQ(Y$3, "IQ_BOND_PRICE", $L173)),"")</f>
        <v>107.30800000000001</v>
      </c>
      <c r="Z173" s="424">
        <f>IF(AND($L173&lt;&gt;"",Z$3&lt;&gt;""),IF(NOT(ISNUMBER(_xll.ciqfunctions.udf.CIQ(Z$3, "IQ_BOND_PRICE", $L173))),NA(),_xll.ciqfunctions.udf.CIQ(Z$3, "IQ_BOND_PRICE", $L173)),"")</f>
        <v>98.717789999999994</v>
      </c>
      <c r="CZ173" s="426"/>
    </row>
    <row r="174" spans="12:104" x14ac:dyDescent="0.2">
      <c r="L174" s="425">
        <f t="shared" si="2"/>
        <v>44516</v>
      </c>
      <c r="M174" s="424">
        <f>IF(AND($L174&lt;&gt;"",M$3&lt;&gt;""),IF(NOT(ISNUMBER(_xll.ciqfunctions.udf.CIQ(M$3, "IQ_BOND_PRICE", $L174))),NA(),_xll.ciqfunctions.udf.CIQ(M$3, "IQ_BOND_PRICE", $L174)),"")</f>
        <v>100.342</v>
      </c>
      <c r="N174" s="424">
        <f>IF(AND($L174&lt;&gt;"",N$3&lt;&gt;""),IF(NOT(ISNUMBER(_xll.ciqfunctions.udf.CIQ(N$3, "IQ_BOND_PRICE", $L174))),NA(),_xll.ciqfunctions.udf.CIQ(N$3, "IQ_BOND_PRICE", $L174)),"")</f>
        <v>0</v>
      </c>
      <c r="O174" s="424">
        <f>IF(AND($L174&lt;&gt;"",O$3&lt;&gt;""),IF(NOT(ISNUMBER(_xll.ciqfunctions.udf.CIQ(O$3, "IQ_BOND_PRICE", $L174))),NA(),_xll.ciqfunctions.udf.CIQ(O$3, "IQ_BOND_PRICE", $L174)),"")</f>
        <v>101.90336000000001</v>
      </c>
      <c r="P174" s="424">
        <f>IF(AND($L174&lt;&gt;"",P$3&lt;&gt;""),IF(NOT(ISNUMBER(_xll.ciqfunctions.udf.CIQ(P$3, "IQ_BOND_PRICE", $L174))),NA(),_xll.ciqfunctions.udf.CIQ(P$3, "IQ_BOND_PRICE", $L174)),"")</f>
        <v>102.40553</v>
      </c>
      <c r="Q174" s="424">
        <f>IF(AND($L174&lt;&gt;"",Q$3&lt;&gt;""),IF(NOT(ISNUMBER(_xll.ciqfunctions.udf.CIQ(Q$3, "IQ_BOND_PRICE", $L174))),NA(),_xll.ciqfunctions.udf.CIQ(Q$3, "IQ_BOND_PRICE", $L174)),"")</f>
        <v>104.459</v>
      </c>
      <c r="R174" s="424">
        <f>IF(AND($L174&lt;&gt;"",R$3&lt;&gt;""),IF(NOT(ISNUMBER(_xll.ciqfunctions.udf.CIQ(R$3, "IQ_BOND_PRICE", $L174))),NA(),_xll.ciqfunctions.udf.CIQ(R$3, "IQ_BOND_PRICE", $L174)),"")</f>
        <v>111.262</v>
      </c>
      <c r="S174" s="424">
        <f>IF(AND($L174&lt;&gt;"",S$3&lt;&gt;""),IF(NOT(ISNUMBER(_xll.ciqfunctions.udf.CIQ(S$3, "IQ_BOND_PRICE", $L174))),NA(),_xll.ciqfunctions.udf.CIQ(S$3, "IQ_BOND_PRICE", $L174)),"")</f>
        <v>105.393</v>
      </c>
      <c r="T174" s="424">
        <f>IF(AND($L174&lt;&gt;"",T$3&lt;&gt;""),IF(NOT(ISNUMBER(_xll.ciqfunctions.udf.CIQ(T$3, "IQ_BOND_PRICE", $L174))),NA(),_xll.ciqfunctions.udf.CIQ(T$3, "IQ_BOND_PRICE", $L174)),"")</f>
        <v>104.973</v>
      </c>
      <c r="U174" s="424">
        <f>IF(AND($L174&lt;&gt;"",U$3&lt;&gt;""),IF(NOT(ISNUMBER(_xll.ciqfunctions.udf.CIQ(U$3, "IQ_BOND_PRICE", $L174))),NA(),_xll.ciqfunctions.udf.CIQ(U$3, "IQ_BOND_PRICE", $L174)),"")</f>
        <v>99.863230000000001</v>
      </c>
      <c r="V174" s="424">
        <f>IF(AND($L174&lt;&gt;"",V$3&lt;&gt;""),IF(NOT(ISNUMBER(_xll.ciqfunctions.udf.CIQ(V$3, "IQ_BOND_PRICE", $L174))),NA(),_xll.ciqfunctions.udf.CIQ(V$3, "IQ_BOND_PRICE", $L174)),"")</f>
        <v>104.93335</v>
      </c>
      <c r="W174" s="424">
        <f>IF(AND($L174&lt;&gt;"",W$3&lt;&gt;""),IF(NOT(ISNUMBER(_xll.ciqfunctions.udf.CIQ(W$3, "IQ_BOND_PRICE", $L174))),NA(),_xll.ciqfunctions.udf.CIQ(W$3, "IQ_BOND_PRICE", $L174)),"")</f>
        <v>108.58799999999999</v>
      </c>
      <c r="X174" s="424">
        <f>IF(AND($L174&lt;&gt;"",X$3&lt;&gt;""),IF(NOT(ISNUMBER(_xll.ciqfunctions.udf.CIQ(X$3, "IQ_BOND_PRICE", $L174))),NA(),_xll.ciqfunctions.udf.CIQ(X$3, "IQ_BOND_PRICE", $L174)),"")</f>
        <v>110.898</v>
      </c>
      <c r="Y174" s="424">
        <f>IF(AND($L174&lt;&gt;"",Y$3&lt;&gt;""),IF(NOT(ISNUMBER(_xll.ciqfunctions.udf.CIQ(Y$3, "IQ_BOND_PRICE", $L174))),NA(),_xll.ciqfunctions.udf.CIQ(Y$3, "IQ_BOND_PRICE", $L174)),"")</f>
        <v>107.39400000000001</v>
      </c>
      <c r="Z174" s="424">
        <f>IF(AND($L174&lt;&gt;"",Z$3&lt;&gt;""),IF(NOT(ISNUMBER(_xll.ciqfunctions.udf.CIQ(Z$3, "IQ_BOND_PRICE", $L174))),NA(),_xll.ciqfunctions.udf.CIQ(Z$3, "IQ_BOND_PRICE", $L174)),"")</f>
        <v>98.582120000000003</v>
      </c>
      <c r="CZ174" s="426"/>
    </row>
    <row r="175" spans="12:104" x14ac:dyDescent="0.2">
      <c r="L175" s="425">
        <f t="shared" si="2"/>
        <v>44517</v>
      </c>
      <c r="M175" s="424">
        <f>IF(AND($L175&lt;&gt;"",M$3&lt;&gt;""),IF(NOT(ISNUMBER(_xll.ciqfunctions.udf.CIQ(M$3, "IQ_BOND_PRICE", $L175))),NA(),_xll.ciqfunctions.udf.CIQ(M$3, "IQ_BOND_PRICE", $L175)),"")</f>
        <v>100.33499999999999</v>
      </c>
      <c r="N175" s="424">
        <f>IF(AND($L175&lt;&gt;"",N$3&lt;&gt;""),IF(NOT(ISNUMBER(_xll.ciqfunctions.udf.CIQ(N$3, "IQ_BOND_PRICE", $L175))),NA(),_xll.ciqfunctions.udf.CIQ(N$3, "IQ_BOND_PRICE", $L175)),"")</f>
        <v>0</v>
      </c>
      <c r="O175" s="424">
        <f>IF(AND($L175&lt;&gt;"",O$3&lt;&gt;""),IF(NOT(ISNUMBER(_xll.ciqfunctions.udf.CIQ(O$3, "IQ_BOND_PRICE", $L175))),NA(),_xll.ciqfunctions.udf.CIQ(O$3, "IQ_BOND_PRICE", $L175)),"")</f>
        <v>101.99822</v>
      </c>
      <c r="P175" s="424">
        <f>IF(AND($L175&lt;&gt;"",P$3&lt;&gt;""),IF(NOT(ISNUMBER(_xll.ciqfunctions.udf.CIQ(P$3, "IQ_BOND_PRICE", $L175))),NA(),_xll.ciqfunctions.udf.CIQ(P$3, "IQ_BOND_PRICE", $L175)),"")</f>
        <v>102.46831</v>
      </c>
      <c r="Q175" s="424">
        <f>IF(AND($L175&lt;&gt;"",Q$3&lt;&gt;""),IF(NOT(ISNUMBER(_xll.ciqfunctions.udf.CIQ(Q$3, "IQ_BOND_PRICE", $L175))),NA(),_xll.ciqfunctions.udf.CIQ(Q$3, "IQ_BOND_PRICE", $L175)),"")</f>
        <v>104.37</v>
      </c>
      <c r="R175" s="424">
        <f>IF(AND($L175&lt;&gt;"",R$3&lt;&gt;""),IF(NOT(ISNUMBER(_xll.ciqfunctions.udf.CIQ(R$3, "IQ_BOND_PRICE", $L175))),NA(),_xll.ciqfunctions.udf.CIQ(R$3, "IQ_BOND_PRICE", $L175)),"")</f>
        <v>111.274</v>
      </c>
      <c r="S175" s="424">
        <f>IF(AND($L175&lt;&gt;"",S$3&lt;&gt;""),IF(NOT(ISNUMBER(_xll.ciqfunctions.udf.CIQ(S$3, "IQ_BOND_PRICE", $L175))),NA(),_xll.ciqfunctions.udf.CIQ(S$3, "IQ_BOND_PRICE", $L175)),"")</f>
        <v>105.43300000000001</v>
      </c>
      <c r="T175" s="424">
        <f>IF(AND($L175&lt;&gt;"",T$3&lt;&gt;""),IF(NOT(ISNUMBER(_xll.ciqfunctions.udf.CIQ(T$3, "IQ_BOND_PRICE", $L175))),NA(),_xll.ciqfunctions.udf.CIQ(T$3, "IQ_BOND_PRICE", $L175)),"")</f>
        <v>105.023</v>
      </c>
      <c r="U175" s="424">
        <f>IF(AND($L175&lt;&gt;"",U$3&lt;&gt;""),IF(NOT(ISNUMBER(_xll.ciqfunctions.udf.CIQ(U$3, "IQ_BOND_PRICE", $L175))),NA(),_xll.ciqfunctions.udf.CIQ(U$3, "IQ_BOND_PRICE", $L175)),"")</f>
        <v>99.863389999999995</v>
      </c>
      <c r="V175" s="424">
        <f>IF(AND($L175&lt;&gt;"",V$3&lt;&gt;""),IF(NOT(ISNUMBER(_xll.ciqfunctions.udf.CIQ(V$3, "IQ_BOND_PRICE", $L175))),NA(),_xll.ciqfunctions.udf.CIQ(V$3, "IQ_BOND_PRICE", $L175)),"")</f>
        <v>105.1358</v>
      </c>
      <c r="W175" s="424">
        <f>IF(AND($L175&lt;&gt;"",W$3&lt;&gt;""),IF(NOT(ISNUMBER(_xll.ciqfunctions.udf.CIQ(W$3, "IQ_BOND_PRICE", $L175))),NA(),_xll.ciqfunctions.udf.CIQ(W$3, "IQ_BOND_PRICE", $L175)),"")</f>
        <v>108.68</v>
      </c>
      <c r="X175" s="424">
        <f>IF(AND($L175&lt;&gt;"",X$3&lt;&gt;""),IF(NOT(ISNUMBER(_xll.ciqfunctions.udf.CIQ(X$3, "IQ_BOND_PRICE", $L175))),NA(),_xll.ciqfunctions.udf.CIQ(X$3, "IQ_BOND_PRICE", $L175)),"")</f>
        <v>110.628</v>
      </c>
      <c r="Y175" s="424">
        <f>IF(AND($L175&lt;&gt;"",Y$3&lt;&gt;""),IF(NOT(ISNUMBER(_xll.ciqfunctions.udf.CIQ(Y$3, "IQ_BOND_PRICE", $L175))),NA(),_xll.ciqfunctions.udf.CIQ(Y$3, "IQ_BOND_PRICE", $L175)),"")</f>
        <v>107.514</v>
      </c>
      <c r="Z175" s="424">
        <f>IF(AND($L175&lt;&gt;"",Z$3&lt;&gt;""),IF(NOT(ISNUMBER(_xll.ciqfunctions.udf.CIQ(Z$3, "IQ_BOND_PRICE", $L175))),NA(),_xll.ciqfunctions.udf.CIQ(Z$3, "IQ_BOND_PRICE", $L175)),"")</f>
        <v>98.636499999999998</v>
      </c>
      <c r="CZ175" s="426"/>
    </row>
    <row r="176" spans="12:104" x14ac:dyDescent="0.2">
      <c r="L176" s="425">
        <f t="shared" si="2"/>
        <v>44518</v>
      </c>
      <c r="M176" s="424">
        <f>IF(AND($L176&lt;&gt;"",M$3&lt;&gt;""),IF(NOT(ISNUMBER(_xll.ciqfunctions.udf.CIQ(M$3, "IQ_BOND_PRICE", $L176))),NA(),_xll.ciqfunctions.udf.CIQ(M$3, "IQ_BOND_PRICE", $L176)),"")</f>
        <v>100.315</v>
      </c>
      <c r="N176" s="424">
        <f>IF(AND($L176&lt;&gt;"",N$3&lt;&gt;""),IF(NOT(ISNUMBER(_xll.ciqfunctions.udf.CIQ(N$3, "IQ_BOND_PRICE", $L176))),NA(),_xll.ciqfunctions.udf.CIQ(N$3, "IQ_BOND_PRICE", $L176)),"")</f>
        <v>0</v>
      </c>
      <c r="O176" s="424">
        <f>IF(AND($L176&lt;&gt;"",O$3&lt;&gt;""),IF(NOT(ISNUMBER(_xll.ciqfunctions.udf.CIQ(O$3, "IQ_BOND_PRICE", $L176))),NA(),_xll.ciqfunctions.udf.CIQ(O$3, "IQ_BOND_PRICE", $L176)),"")</f>
        <v>101.98324</v>
      </c>
      <c r="P176" s="424">
        <f>IF(AND($L176&lt;&gt;"",P$3&lt;&gt;""),IF(NOT(ISNUMBER(_xll.ciqfunctions.udf.CIQ(P$3, "IQ_BOND_PRICE", $L176))),NA(),_xll.ciqfunctions.udf.CIQ(P$3, "IQ_BOND_PRICE", $L176)),"")</f>
        <v>102.35075999999999</v>
      </c>
      <c r="Q176" s="424">
        <f>IF(AND($L176&lt;&gt;"",Q$3&lt;&gt;""),IF(NOT(ISNUMBER(_xll.ciqfunctions.udf.CIQ(Q$3, "IQ_BOND_PRICE", $L176))),NA(),_xll.ciqfunctions.udf.CIQ(Q$3, "IQ_BOND_PRICE", $L176)),"")</f>
        <v>104.348</v>
      </c>
      <c r="R176" s="424">
        <f>IF(AND($L176&lt;&gt;"",R$3&lt;&gt;""),IF(NOT(ISNUMBER(_xll.ciqfunctions.udf.CIQ(R$3, "IQ_BOND_PRICE", $L176))),NA(),_xll.ciqfunctions.udf.CIQ(R$3, "IQ_BOND_PRICE", $L176)),"")</f>
        <v>111.203</v>
      </c>
      <c r="S176" s="424">
        <f>IF(AND($L176&lt;&gt;"",S$3&lt;&gt;""),IF(NOT(ISNUMBER(_xll.ciqfunctions.udf.CIQ(S$3, "IQ_BOND_PRICE", $L176))),NA(),_xll.ciqfunctions.udf.CIQ(S$3, "IQ_BOND_PRICE", $L176)),"")</f>
        <v>105.43</v>
      </c>
      <c r="T176" s="424">
        <f>IF(AND($L176&lt;&gt;"",T$3&lt;&gt;""),IF(NOT(ISNUMBER(_xll.ciqfunctions.udf.CIQ(T$3, "IQ_BOND_PRICE", $L176))),NA(),_xll.ciqfunctions.udf.CIQ(T$3, "IQ_BOND_PRICE", $L176)),"")</f>
        <v>105.027</v>
      </c>
      <c r="U176" s="424">
        <f>IF(AND($L176&lt;&gt;"",U$3&lt;&gt;""),IF(NOT(ISNUMBER(_xll.ciqfunctions.udf.CIQ(U$3, "IQ_BOND_PRICE", $L176))),NA(),_xll.ciqfunctions.udf.CIQ(U$3, "IQ_BOND_PRICE", $L176)),"")</f>
        <v>99.856930000000006</v>
      </c>
      <c r="V176" s="424">
        <f>IF(AND($L176&lt;&gt;"",V$3&lt;&gt;""),IF(NOT(ISNUMBER(_xll.ciqfunctions.udf.CIQ(V$3, "IQ_BOND_PRICE", $L176))),NA(),_xll.ciqfunctions.udf.CIQ(V$3, "IQ_BOND_PRICE", $L176)),"")</f>
        <v>105.14447</v>
      </c>
      <c r="W176" s="424">
        <f>IF(AND($L176&lt;&gt;"",W$3&lt;&gt;""),IF(NOT(ISNUMBER(_xll.ciqfunctions.udf.CIQ(W$3, "IQ_BOND_PRICE", $L176))),NA(),_xll.ciqfunctions.udf.CIQ(W$3, "IQ_BOND_PRICE", $L176)),"")</f>
        <v>108.711</v>
      </c>
      <c r="X176" s="424">
        <f>IF(AND($L176&lt;&gt;"",X$3&lt;&gt;""),IF(NOT(ISNUMBER(_xll.ciqfunctions.udf.CIQ(X$3, "IQ_BOND_PRICE", $L176))),NA(),_xll.ciqfunctions.udf.CIQ(X$3, "IQ_BOND_PRICE", $L176)),"")</f>
        <v>110.783</v>
      </c>
      <c r="Y176" s="424">
        <f>IF(AND($L176&lt;&gt;"",Y$3&lt;&gt;""),IF(NOT(ISNUMBER(_xll.ciqfunctions.udf.CIQ(Y$3, "IQ_BOND_PRICE", $L176))),NA(),_xll.ciqfunctions.udf.CIQ(Y$3, "IQ_BOND_PRICE", $L176)),"")</f>
        <v>107.453</v>
      </c>
      <c r="Z176" s="424">
        <f>IF(AND($L176&lt;&gt;"",Z$3&lt;&gt;""),IF(NOT(ISNUMBER(_xll.ciqfunctions.udf.CIQ(Z$3, "IQ_BOND_PRICE", $L176))),NA(),_xll.ciqfunctions.udf.CIQ(Z$3, "IQ_BOND_PRICE", $L176)),"")</f>
        <v>98.814220000000006</v>
      </c>
      <c r="CZ176" s="426"/>
    </row>
    <row r="177" spans="12:104" x14ac:dyDescent="0.2">
      <c r="L177" s="425">
        <f t="shared" si="2"/>
        <v>44519</v>
      </c>
      <c r="M177" s="424">
        <f>IF(AND($L177&lt;&gt;"",M$3&lt;&gt;""),IF(NOT(ISNUMBER(_xll.ciqfunctions.udf.CIQ(M$3, "IQ_BOND_PRICE", $L177))),NA(),_xll.ciqfunctions.udf.CIQ(M$3, "IQ_BOND_PRICE", $L177)),"")</f>
        <v>100.30500000000001</v>
      </c>
      <c r="N177" s="424">
        <f>IF(AND($L177&lt;&gt;"",N$3&lt;&gt;""),IF(NOT(ISNUMBER(_xll.ciqfunctions.udf.CIQ(N$3, "IQ_BOND_PRICE", $L177))),NA(),_xll.ciqfunctions.udf.CIQ(N$3, "IQ_BOND_PRICE", $L177)),"")</f>
        <v>0</v>
      </c>
      <c r="O177" s="424">
        <f>IF(AND($L177&lt;&gt;"",O$3&lt;&gt;""),IF(NOT(ISNUMBER(_xll.ciqfunctions.udf.CIQ(O$3, "IQ_BOND_PRICE", $L177))),NA(),_xll.ciqfunctions.udf.CIQ(O$3, "IQ_BOND_PRICE", $L177)),"")</f>
        <v>101.97508999999999</v>
      </c>
      <c r="P177" s="424">
        <f>IF(AND($L177&lt;&gt;"",P$3&lt;&gt;""),IF(NOT(ISNUMBER(_xll.ciqfunctions.udf.CIQ(P$3, "IQ_BOND_PRICE", $L177))),NA(),_xll.ciqfunctions.udf.CIQ(P$3, "IQ_BOND_PRICE", $L177)),"")</f>
        <v>102.29855000000001</v>
      </c>
      <c r="Q177" s="424">
        <f>IF(AND($L177&lt;&gt;"",Q$3&lt;&gt;""),IF(NOT(ISNUMBER(_xll.ciqfunctions.udf.CIQ(Q$3, "IQ_BOND_PRICE", $L177))),NA(),_xll.ciqfunctions.udf.CIQ(Q$3, "IQ_BOND_PRICE", $L177)),"")</f>
        <v>104.30200000000001</v>
      </c>
      <c r="R177" s="424">
        <f>IF(AND($L177&lt;&gt;"",R$3&lt;&gt;""),IF(NOT(ISNUMBER(_xll.ciqfunctions.udf.CIQ(R$3, "IQ_BOND_PRICE", $L177))),NA(),_xll.ciqfunctions.udf.CIQ(R$3, "IQ_BOND_PRICE", $L177)),"")</f>
        <v>111.149</v>
      </c>
      <c r="S177" s="424">
        <f>IF(AND($L177&lt;&gt;"",S$3&lt;&gt;""),IF(NOT(ISNUMBER(_xll.ciqfunctions.udf.CIQ(S$3, "IQ_BOND_PRICE", $L177))),NA(),_xll.ciqfunctions.udf.CIQ(S$3, "IQ_BOND_PRICE", $L177)),"")</f>
        <v>105.417</v>
      </c>
      <c r="T177" s="424">
        <f>IF(AND($L177&lt;&gt;"",T$3&lt;&gt;""),IF(NOT(ISNUMBER(_xll.ciqfunctions.udf.CIQ(T$3, "IQ_BOND_PRICE", $L177))),NA(),_xll.ciqfunctions.udf.CIQ(T$3, "IQ_BOND_PRICE", $L177)),"")</f>
        <v>105.014</v>
      </c>
      <c r="U177" s="424">
        <f>IF(AND($L177&lt;&gt;"",U$3&lt;&gt;""),IF(NOT(ISNUMBER(_xll.ciqfunctions.udf.CIQ(U$3, "IQ_BOND_PRICE", $L177))),NA(),_xll.ciqfunctions.udf.CIQ(U$3, "IQ_BOND_PRICE", $L177)),"")</f>
        <v>99.869389999999996</v>
      </c>
      <c r="V177" s="424">
        <f>IF(AND($L177&lt;&gt;"",V$3&lt;&gt;""),IF(NOT(ISNUMBER(_xll.ciqfunctions.udf.CIQ(V$3, "IQ_BOND_PRICE", $L177))),NA(),_xll.ciqfunctions.udf.CIQ(V$3, "IQ_BOND_PRICE", $L177)),"")</f>
        <v>105.13102000000001</v>
      </c>
      <c r="W177" s="424">
        <f>IF(AND($L177&lt;&gt;"",W$3&lt;&gt;""),IF(NOT(ISNUMBER(_xll.ciqfunctions.udf.CIQ(W$3, "IQ_BOND_PRICE", $L177))),NA(),_xll.ciqfunctions.udf.CIQ(W$3, "IQ_BOND_PRICE", $L177)),"")</f>
        <v>108.779</v>
      </c>
      <c r="X177" s="424">
        <f>IF(AND($L177&lt;&gt;"",X$3&lt;&gt;""),IF(NOT(ISNUMBER(_xll.ciqfunctions.udf.CIQ(X$3, "IQ_BOND_PRICE", $L177))),NA(),_xll.ciqfunctions.udf.CIQ(X$3, "IQ_BOND_PRICE", $L177)),"")</f>
        <v>110.89700000000001</v>
      </c>
      <c r="Y177" s="424">
        <f>IF(AND($L177&lt;&gt;"",Y$3&lt;&gt;""),IF(NOT(ISNUMBER(_xll.ciqfunctions.udf.CIQ(Y$3, "IQ_BOND_PRICE", $L177))),NA(),_xll.ciqfunctions.udf.CIQ(Y$3, "IQ_BOND_PRICE", $L177)),"")</f>
        <v>107.54300000000001</v>
      </c>
      <c r="Z177" s="424">
        <f>IF(AND($L177&lt;&gt;"",Z$3&lt;&gt;""),IF(NOT(ISNUMBER(_xll.ciqfunctions.udf.CIQ(Z$3, "IQ_BOND_PRICE", $L177))),NA(),_xll.ciqfunctions.udf.CIQ(Z$3, "IQ_BOND_PRICE", $L177)),"")</f>
        <v>98.856750000000005</v>
      </c>
      <c r="CZ177" s="426"/>
    </row>
    <row r="178" spans="12:104" x14ac:dyDescent="0.2">
      <c r="L178" s="425">
        <f t="shared" si="2"/>
        <v>44522</v>
      </c>
      <c r="M178" s="424">
        <f>IF(AND($L178&lt;&gt;"",M$3&lt;&gt;""),IF(NOT(ISNUMBER(_xll.ciqfunctions.udf.CIQ(M$3, "IQ_BOND_PRICE", $L178))),NA(),_xll.ciqfunctions.udf.CIQ(M$3, "IQ_BOND_PRICE", $L178)),"")</f>
        <v>100.295</v>
      </c>
      <c r="N178" s="424">
        <f>IF(AND($L178&lt;&gt;"",N$3&lt;&gt;""),IF(NOT(ISNUMBER(_xll.ciqfunctions.udf.CIQ(N$3, "IQ_BOND_PRICE", $L178))),NA(),_xll.ciqfunctions.udf.CIQ(N$3, "IQ_BOND_PRICE", $L178)),"")</f>
        <v>0</v>
      </c>
      <c r="O178" s="424">
        <f>IF(AND($L178&lt;&gt;"",O$3&lt;&gt;""),IF(NOT(ISNUMBER(_xll.ciqfunctions.udf.CIQ(O$3, "IQ_BOND_PRICE", $L178))),NA(),_xll.ciqfunctions.udf.CIQ(O$3, "IQ_BOND_PRICE", $L178)),"")</f>
        <v>101.91694</v>
      </c>
      <c r="P178" s="424">
        <f>IF(AND($L178&lt;&gt;"",P$3&lt;&gt;""),IF(NOT(ISNUMBER(_xll.ciqfunctions.udf.CIQ(P$3, "IQ_BOND_PRICE", $L178))),NA(),_xll.ciqfunctions.udf.CIQ(P$3, "IQ_BOND_PRICE", $L178)),"")</f>
        <v>102.34708999999999</v>
      </c>
      <c r="Q178" s="424">
        <f>IF(AND($L178&lt;&gt;"",Q$3&lt;&gt;""),IF(NOT(ISNUMBER(_xll.ciqfunctions.udf.CIQ(Q$3, "IQ_BOND_PRICE", $L178))),NA(),_xll.ciqfunctions.udf.CIQ(Q$3, "IQ_BOND_PRICE", $L178)),"")</f>
        <v>104.19799999999999</v>
      </c>
      <c r="R178" s="424">
        <f>IF(AND($L178&lt;&gt;"",R$3&lt;&gt;""),IF(NOT(ISNUMBER(_xll.ciqfunctions.udf.CIQ(R$3, "IQ_BOND_PRICE", $L178))),NA(),_xll.ciqfunctions.udf.CIQ(R$3, "IQ_BOND_PRICE", $L178)),"")</f>
        <v>110.974</v>
      </c>
      <c r="S178" s="424">
        <f>IF(AND($L178&lt;&gt;"",S$3&lt;&gt;""),IF(NOT(ISNUMBER(_xll.ciqfunctions.udf.CIQ(S$3, "IQ_BOND_PRICE", $L178))),NA(),_xll.ciqfunctions.udf.CIQ(S$3, "IQ_BOND_PRICE", $L178)),"")</f>
        <v>104.997</v>
      </c>
      <c r="T178" s="424">
        <f>IF(AND($L178&lt;&gt;"",T$3&lt;&gt;""),IF(NOT(ISNUMBER(_xll.ciqfunctions.udf.CIQ(T$3, "IQ_BOND_PRICE", $L178))),NA(),_xll.ciqfunctions.udf.CIQ(T$3, "IQ_BOND_PRICE", $L178)),"")</f>
        <v>104.702</v>
      </c>
      <c r="U178" s="424">
        <f>IF(AND($L178&lt;&gt;"",U$3&lt;&gt;""),IF(NOT(ISNUMBER(_xll.ciqfunctions.udf.CIQ(U$3, "IQ_BOND_PRICE", $L178))),NA(),_xll.ciqfunctions.udf.CIQ(U$3, "IQ_BOND_PRICE", $L178)),"")</f>
        <v>99.877589999999998</v>
      </c>
      <c r="V178" s="424">
        <f>IF(AND($L178&lt;&gt;"",V$3&lt;&gt;""),IF(NOT(ISNUMBER(_xll.ciqfunctions.udf.CIQ(V$3, "IQ_BOND_PRICE", $L178))),NA(),_xll.ciqfunctions.udf.CIQ(V$3, "IQ_BOND_PRICE", $L178)),"")</f>
        <v>104.85965</v>
      </c>
      <c r="W178" s="424">
        <f>IF(AND($L178&lt;&gt;"",W$3&lt;&gt;""),IF(NOT(ISNUMBER(_xll.ciqfunctions.udf.CIQ(W$3, "IQ_BOND_PRICE", $L178))),NA(),_xll.ciqfunctions.udf.CIQ(W$3, "IQ_BOND_PRICE", $L178)),"")</f>
        <v>108.39</v>
      </c>
      <c r="X178" s="424">
        <f>IF(AND($L178&lt;&gt;"",X$3&lt;&gt;""),IF(NOT(ISNUMBER(_xll.ciqfunctions.udf.CIQ(X$3, "IQ_BOND_PRICE", $L178))),NA(),_xll.ciqfunctions.udf.CIQ(X$3, "IQ_BOND_PRICE", $L178)),"")</f>
        <v>110.774</v>
      </c>
      <c r="Y178" s="424">
        <f>IF(AND($L178&lt;&gt;"",Y$3&lt;&gt;""),IF(NOT(ISNUMBER(_xll.ciqfunctions.udf.CIQ(Y$3, "IQ_BOND_PRICE", $L178))),NA(),_xll.ciqfunctions.udf.CIQ(Y$3, "IQ_BOND_PRICE", $L178)),"")</f>
        <v>106.931</v>
      </c>
      <c r="Z178" s="424">
        <f>IF(AND($L178&lt;&gt;"",Z$3&lt;&gt;""),IF(NOT(ISNUMBER(_xll.ciqfunctions.udf.CIQ(Z$3, "IQ_BOND_PRICE", $L178))),NA(),_xll.ciqfunctions.udf.CIQ(Z$3, "IQ_BOND_PRICE", $L178)),"")</f>
        <v>98.357399999999998</v>
      </c>
      <c r="CZ178" s="426"/>
    </row>
    <row r="179" spans="12:104" x14ac:dyDescent="0.2">
      <c r="L179" s="425">
        <f t="shared" si="2"/>
        <v>44523</v>
      </c>
      <c r="M179" s="424">
        <f>IF(AND($L179&lt;&gt;"",M$3&lt;&gt;""),IF(NOT(ISNUMBER(_xll.ciqfunctions.udf.CIQ(M$3, "IQ_BOND_PRICE", $L179))),NA(),_xll.ciqfunctions.udf.CIQ(M$3, "IQ_BOND_PRICE", $L179)),"")</f>
        <v>100.291</v>
      </c>
      <c r="N179" s="424">
        <f>IF(AND($L179&lt;&gt;"",N$3&lt;&gt;""),IF(NOT(ISNUMBER(_xll.ciqfunctions.udf.CIQ(N$3, "IQ_BOND_PRICE", $L179))),NA(),_xll.ciqfunctions.udf.CIQ(N$3, "IQ_BOND_PRICE", $L179)),"")</f>
        <v>0</v>
      </c>
      <c r="O179" s="424">
        <f>IF(AND($L179&lt;&gt;"",O$3&lt;&gt;""),IF(NOT(ISNUMBER(_xll.ciqfunctions.udf.CIQ(O$3, "IQ_BOND_PRICE", $L179))),NA(),_xll.ciqfunctions.udf.CIQ(O$3, "IQ_BOND_PRICE", $L179)),"")</f>
        <v>101.91574</v>
      </c>
      <c r="P179" s="424">
        <f>IF(AND($L179&lt;&gt;"",P$3&lt;&gt;""),IF(NOT(ISNUMBER(_xll.ciqfunctions.udf.CIQ(P$3, "IQ_BOND_PRICE", $L179))),NA(),_xll.ciqfunctions.udf.CIQ(P$3, "IQ_BOND_PRICE", $L179)),"")</f>
        <v>102.27459</v>
      </c>
      <c r="Q179" s="424">
        <f>IF(AND($L179&lt;&gt;"",Q$3&lt;&gt;""),IF(NOT(ISNUMBER(_xll.ciqfunctions.udf.CIQ(Q$3, "IQ_BOND_PRICE", $L179))),NA(),_xll.ciqfunctions.udf.CIQ(Q$3, "IQ_BOND_PRICE", $L179)),"")</f>
        <v>104.268</v>
      </c>
      <c r="R179" s="424">
        <f>IF(AND($L179&lt;&gt;"",R$3&lt;&gt;""),IF(NOT(ISNUMBER(_xll.ciqfunctions.udf.CIQ(R$3, "IQ_BOND_PRICE", $L179))),NA(),_xll.ciqfunctions.udf.CIQ(R$3, "IQ_BOND_PRICE", $L179)),"")</f>
        <v>110.967</v>
      </c>
      <c r="S179" s="424">
        <f>IF(AND($L179&lt;&gt;"",S$3&lt;&gt;""),IF(NOT(ISNUMBER(_xll.ciqfunctions.udf.CIQ(S$3, "IQ_BOND_PRICE", $L179))),NA(),_xll.ciqfunctions.udf.CIQ(S$3, "IQ_BOND_PRICE", $L179)),"")</f>
        <v>104.99</v>
      </c>
      <c r="T179" s="424">
        <f>IF(AND($L179&lt;&gt;"",T$3&lt;&gt;""),IF(NOT(ISNUMBER(_xll.ciqfunctions.udf.CIQ(T$3, "IQ_BOND_PRICE", $L179))),NA(),_xll.ciqfunctions.udf.CIQ(T$3, "IQ_BOND_PRICE", $L179)),"")</f>
        <v>104.70399999999999</v>
      </c>
      <c r="U179" s="424">
        <f>IF(AND($L179&lt;&gt;"",U$3&lt;&gt;""),IF(NOT(ISNUMBER(_xll.ciqfunctions.udf.CIQ(U$3, "IQ_BOND_PRICE", $L179))),NA(),_xll.ciqfunctions.udf.CIQ(U$3, "IQ_BOND_PRICE", $L179)),"")</f>
        <v>99.876300000000001</v>
      </c>
      <c r="V179" s="424">
        <f>IF(AND($L179&lt;&gt;"",V$3&lt;&gt;""),IF(NOT(ISNUMBER(_xll.ciqfunctions.udf.CIQ(V$3, "IQ_BOND_PRICE", $L179))),NA(),_xll.ciqfunctions.udf.CIQ(V$3, "IQ_BOND_PRICE", $L179)),"")</f>
        <v>104.85778999999999</v>
      </c>
      <c r="W179" s="424">
        <f>IF(AND($L179&lt;&gt;"",W$3&lt;&gt;""),IF(NOT(ISNUMBER(_xll.ciqfunctions.udf.CIQ(W$3, "IQ_BOND_PRICE", $L179))),NA(),_xll.ciqfunctions.udf.CIQ(W$3, "IQ_BOND_PRICE", $L179)),"")</f>
        <v>108.33499999999999</v>
      </c>
      <c r="X179" s="424">
        <f>IF(AND($L179&lt;&gt;"",X$3&lt;&gt;""),IF(NOT(ISNUMBER(_xll.ciqfunctions.udf.CIQ(X$3, "IQ_BOND_PRICE", $L179))),NA(),_xll.ciqfunctions.udf.CIQ(X$3, "IQ_BOND_PRICE", $L179)),"")</f>
        <v>110.687</v>
      </c>
      <c r="Y179" s="424">
        <f>IF(AND($L179&lt;&gt;"",Y$3&lt;&gt;""),IF(NOT(ISNUMBER(_xll.ciqfunctions.udf.CIQ(Y$3, "IQ_BOND_PRICE", $L179))),NA(),_xll.ciqfunctions.udf.CIQ(Y$3, "IQ_BOND_PRICE", $L179)),"")</f>
        <v>106.91</v>
      </c>
      <c r="Z179" s="424">
        <f>IF(AND($L179&lt;&gt;"",Z$3&lt;&gt;""),IF(NOT(ISNUMBER(_xll.ciqfunctions.udf.CIQ(Z$3, "IQ_BOND_PRICE", $L179))),NA(),_xll.ciqfunctions.udf.CIQ(Z$3, "IQ_BOND_PRICE", $L179)),"")</f>
        <v>98.367850000000004</v>
      </c>
      <c r="CZ179" s="426"/>
    </row>
    <row r="180" spans="12:104" x14ac:dyDescent="0.2">
      <c r="L180" s="425">
        <f t="shared" si="2"/>
        <v>44524</v>
      </c>
      <c r="M180" s="424">
        <f>IF(AND($L180&lt;&gt;"",M$3&lt;&gt;""),IF(NOT(ISNUMBER(_xll.ciqfunctions.udf.CIQ(M$3, "IQ_BOND_PRICE", $L180))),NA(),_xll.ciqfunctions.udf.CIQ(M$3, "IQ_BOND_PRICE", $L180)),"")</f>
        <v>100.285</v>
      </c>
      <c r="N180" s="424">
        <f>IF(AND($L180&lt;&gt;"",N$3&lt;&gt;""),IF(NOT(ISNUMBER(_xll.ciqfunctions.udf.CIQ(N$3, "IQ_BOND_PRICE", $L180))),NA(),_xll.ciqfunctions.udf.CIQ(N$3, "IQ_BOND_PRICE", $L180)),"")</f>
        <v>0</v>
      </c>
      <c r="O180" s="424">
        <f>IF(AND($L180&lt;&gt;"",O$3&lt;&gt;""),IF(NOT(ISNUMBER(_xll.ciqfunctions.udf.CIQ(O$3, "IQ_BOND_PRICE", $L180))),NA(),_xll.ciqfunctions.udf.CIQ(O$3, "IQ_BOND_PRICE", $L180)),"")</f>
        <v>101.87932000000001</v>
      </c>
      <c r="P180" s="424">
        <f>IF(AND($L180&lt;&gt;"",P$3&lt;&gt;""),IF(NOT(ISNUMBER(_xll.ciqfunctions.udf.CIQ(P$3, "IQ_BOND_PRICE", $L180))),NA(),_xll.ciqfunctions.udf.CIQ(P$3, "IQ_BOND_PRICE", $L180)),"")</f>
        <v>102.35404</v>
      </c>
      <c r="Q180" s="424">
        <f>IF(AND($L180&lt;&gt;"",Q$3&lt;&gt;""),IF(NOT(ISNUMBER(_xll.ciqfunctions.udf.CIQ(Q$3, "IQ_BOND_PRICE", $L180))),NA(),_xll.ciqfunctions.udf.CIQ(Q$3, "IQ_BOND_PRICE", $L180)),"")</f>
        <v>104.151</v>
      </c>
      <c r="R180" s="424">
        <f>IF(AND($L180&lt;&gt;"",R$3&lt;&gt;""),IF(NOT(ISNUMBER(_xll.ciqfunctions.udf.CIQ(R$3, "IQ_BOND_PRICE", $L180))),NA(),_xll.ciqfunctions.udf.CIQ(R$3, "IQ_BOND_PRICE", $L180)),"")</f>
        <v>110.95699999999999</v>
      </c>
      <c r="S180" s="424">
        <f>IF(AND($L180&lt;&gt;"",S$3&lt;&gt;""),IF(NOT(ISNUMBER(_xll.ciqfunctions.udf.CIQ(S$3, "IQ_BOND_PRICE", $L180))),NA(),_xll.ciqfunctions.udf.CIQ(S$3, "IQ_BOND_PRICE", $L180)),"")</f>
        <v>104.917</v>
      </c>
      <c r="T180" s="424">
        <f>IF(AND($L180&lt;&gt;"",T$3&lt;&gt;""),IF(NOT(ISNUMBER(_xll.ciqfunctions.udf.CIQ(T$3, "IQ_BOND_PRICE", $L180))),NA(),_xll.ciqfunctions.udf.CIQ(T$3, "IQ_BOND_PRICE", $L180)),"")</f>
        <v>104.636</v>
      </c>
      <c r="U180" s="424">
        <f>IF(AND($L180&lt;&gt;"",U$3&lt;&gt;""),IF(NOT(ISNUMBER(_xll.ciqfunctions.udf.CIQ(U$3, "IQ_BOND_PRICE", $L180))),NA(),_xll.ciqfunctions.udf.CIQ(U$3, "IQ_BOND_PRICE", $L180)),"")</f>
        <v>99.873180000000005</v>
      </c>
      <c r="V180" s="424">
        <f>IF(AND($L180&lt;&gt;"",V$3&lt;&gt;""),IF(NOT(ISNUMBER(_xll.ciqfunctions.udf.CIQ(V$3, "IQ_BOND_PRICE", $L180))),NA(),_xll.ciqfunctions.udf.CIQ(V$3, "IQ_BOND_PRICE", $L180)),"")</f>
        <v>104.77267000000001</v>
      </c>
      <c r="W180" s="424">
        <f>IF(AND($L180&lt;&gt;"",W$3&lt;&gt;""),IF(NOT(ISNUMBER(_xll.ciqfunctions.udf.CIQ(W$3, "IQ_BOND_PRICE", $L180))),NA(),_xll.ciqfunctions.udf.CIQ(W$3, "IQ_BOND_PRICE", $L180)),"")</f>
        <v>108.28</v>
      </c>
      <c r="X180" s="424">
        <f>IF(AND($L180&lt;&gt;"",X$3&lt;&gt;""),IF(NOT(ISNUMBER(_xll.ciqfunctions.udf.CIQ(X$3, "IQ_BOND_PRICE", $L180))),NA(),_xll.ciqfunctions.udf.CIQ(X$3, "IQ_BOND_PRICE", $L180)),"")</f>
        <v>110.581</v>
      </c>
      <c r="Y180" s="424">
        <f>IF(AND($L180&lt;&gt;"",Y$3&lt;&gt;""),IF(NOT(ISNUMBER(_xll.ciqfunctions.udf.CIQ(Y$3, "IQ_BOND_PRICE", $L180))),NA(),_xll.ciqfunctions.udf.CIQ(Y$3, "IQ_BOND_PRICE", $L180)),"")</f>
        <v>106.861</v>
      </c>
      <c r="Z180" s="424">
        <f>IF(AND($L180&lt;&gt;"",Z$3&lt;&gt;""),IF(NOT(ISNUMBER(_xll.ciqfunctions.udf.CIQ(Z$3, "IQ_BOND_PRICE", $L180))),NA(),_xll.ciqfunctions.udf.CIQ(Z$3, "IQ_BOND_PRICE", $L180)),"")</f>
        <v>98.324179999999998</v>
      </c>
      <c r="CZ180" s="426"/>
    </row>
    <row r="181" spans="12:104" x14ac:dyDescent="0.2">
      <c r="L181" s="425">
        <f t="shared" si="2"/>
        <v>44525</v>
      </c>
      <c r="M181" s="424">
        <f>IF(AND($L181&lt;&gt;"",M$3&lt;&gt;""),IF(NOT(ISNUMBER(_xll.ciqfunctions.udf.CIQ(M$3, "IQ_BOND_PRICE", $L181))),NA(),_xll.ciqfunctions.udf.CIQ(M$3, "IQ_BOND_PRICE", $L181)),"")</f>
        <v>100.26300000000001</v>
      </c>
      <c r="N181" s="424">
        <f>IF(AND($L181&lt;&gt;"",N$3&lt;&gt;""),IF(NOT(ISNUMBER(_xll.ciqfunctions.udf.CIQ(N$3, "IQ_BOND_PRICE", $L181))),NA(),_xll.ciqfunctions.udf.CIQ(N$3, "IQ_BOND_PRICE", $L181)),"")</f>
        <v>0</v>
      </c>
      <c r="O181" s="424">
        <f>IF(AND($L181&lt;&gt;"",O$3&lt;&gt;""),IF(NOT(ISNUMBER(_xll.ciqfunctions.udf.CIQ(O$3, "IQ_BOND_PRICE", $L181))),NA(),_xll.ciqfunctions.udf.CIQ(O$3, "IQ_BOND_PRICE", $L181)),"")</f>
        <v>101.82599999999999</v>
      </c>
      <c r="P181" s="424">
        <f>IF(AND($L181&lt;&gt;"",P$3&lt;&gt;""),IF(NOT(ISNUMBER(_xll.ciqfunctions.udf.CIQ(P$3, "IQ_BOND_PRICE", $L181))),NA(),_xll.ciqfunctions.udf.CIQ(P$3, "IQ_BOND_PRICE", $L181)),"")</f>
        <v>102.16</v>
      </c>
      <c r="Q181" s="424">
        <f>IF(AND($L181&lt;&gt;"",Q$3&lt;&gt;""),IF(NOT(ISNUMBER(_xll.ciqfunctions.udf.CIQ(Q$3, "IQ_BOND_PRICE", $L181))),NA(),_xll.ciqfunctions.udf.CIQ(Q$3, "IQ_BOND_PRICE", $L181)),"")</f>
        <v>104.124</v>
      </c>
      <c r="R181" s="424">
        <f>IF(AND($L181&lt;&gt;"",R$3&lt;&gt;""),IF(NOT(ISNUMBER(_xll.ciqfunctions.udf.CIQ(R$3, "IQ_BOND_PRICE", $L181))),NA(),_xll.ciqfunctions.udf.CIQ(R$3, "IQ_BOND_PRICE", $L181)),"")</f>
        <v>109.873</v>
      </c>
      <c r="S181" s="424">
        <f>IF(AND($L181&lt;&gt;"",S$3&lt;&gt;""),IF(NOT(ISNUMBER(_xll.ciqfunctions.udf.CIQ(S$3, "IQ_BOND_PRICE", $L181))),NA(),_xll.ciqfunctions.udf.CIQ(S$3, "IQ_BOND_PRICE", $L181)),"")</f>
        <v>104.917</v>
      </c>
      <c r="T181" s="424">
        <f>IF(AND($L181&lt;&gt;"",T$3&lt;&gt;""),IF(NOT(ISNUMBER(_xll.ciqfunctions.udf.CIQ(T$3, "IQ_BOND_PRICE", $L181))),NA(),_xll.ciqfunctions.udf.CIQ(T$3, "IQ_BOND_PRICE", $L181)),"")</f>
        <v>104.55</v>
      </c>
      <c r="U181" s="424">
        <f>IF(AND($L181&lt;&gt;"",U$3&lt;&gt;""),IF(NOT(ISNUMBER(_xll.ciqfunctions.udf.CIQ(U$3, "IQ_BOND_PRICE", $L181))),NA(),_xll.ciqfunctions.udf.CIQ(U$3, "IQ_BOND_PRICE", $L181)),"")</f>
        <v>99.869140000000002</v>
      </c>
      <c r="V181" s="424">
        <f>IF(AND($L181&lt;&gt;"",V$3&lt;&gt;""),IF(NOT(ISNUMBER(_xll.ciqfunctions.udf.CIQ(V$3, "IQ_BOND_PRICE", $L181))),NA(),_xll.ciqfunctions.udf.CIQ(V$3, "IQ_BOND_PRICE", $L181)),"")</f>
        <v>104.41</v>
      </c>
      <c r="W181" s="424">
        <f>IF(AND($L181&lt;&gt;"",W$3&lt;&gt;""),IF(NOT(ISNUMBER(_xll.ciqfunctions.udf.CIQ(W$3, "IQ_BOND_PRICE", $L181))),NA(),_xll.ciqfunctions.udf.CIQ(W$3, "IQ_BOND_PRICE", $L181)),"")</f>
        <v>108.005</v>
      </c>
      <c r="X181" s="424">
        <f>IF(AND($L181&lt;&gt;"",X$3&lt;&gt;""),IF(NOT(ISNUMBER(_xll.ciqfunctions.udf.CIQ(X$3, "IQ_BOND_PRICE", $L181))),NA(),_xll.ciqfunctions.udf.CIQ(X$3, "IQ_BOND_PRICE", $L181)),"")</f>
        <v>110.419</v>
      </c>
      <c r="Y181" s="424">
        <f>IF(AND($L181&lt;&gt;"",Y$3&lt;&gt;""),IF(NOT(ISNUMBER(_xll.ciqfunctions.udf.CIQ(Y$3, "IQ_BOND_PRICE", $L181))),NA(),_xll.ciqfunctions.udf.CIQ(Y$3, "IQ_BOND_PRICE", $L181)),"")</f>
        <v>106.55</v>
      </c>
      <c r="Z181" s="424">
        <f>IF(AND($L181&lt;&gt;"",Z$3&lt;&gt;""),IF(NOT(ISNUMBER(_xll.ciqfunctions.udf.CIQ(Z$3, "IQ_BOND_PRICE", $L181))),NA(),_xll.ciqfunctions.udf.CIQ(Z$3, "IQ_BOND_PRICE", $L181)),"")</f>
        <v>98.1</v>
      </c>
      <c r="CZ181" s="426"/>
    </row>
    <row r="182" spans="12:104" x14ac:dyDescent="0.2">
      <c r="L182" s="425">
        <f t="shared" si="2"/>
        <v>44526</v>
      </c>
      <c r="M182" s="424">
        <f>IF(AND($L182&lt;&gt;"",M$3&lt;&gt;""),IF(NOT(ISNUMBER(_xll.ciqfunctions.udf.CIQ(M$3, "IQ_BOND_PRICE", $L182))),NA(),_xll.ciqfunctions.udf.CIQ(M$3, "IQ_BOND_PRICE", $L182)),"")</f>
        <v>100.255</v>
      </c>
      <c r="N182" s="424">
        <f>IF(AND($L182&lt;&gt;"",N$3&lt;&gt;""),IF(NOT(ISNUMBER(_xll.ciqfunctions.udf.CIQ(N$3, "IQ_BOND_PRICE", $L182))),NA(),_xll.ciqfunctions.udf.CIQ(N$3, "IQ_BOND_PRICE", $L182)),"")</f>
        <v>0</v>
      </c>
      <c r="O182" s="424">
        <f>IF(AND($L182&lt;&gt;"",O$3&lt;&gt;""),IF(NOT(ISNUMBER(_xll.ciqfunctions.udf.CIQ(O$3, "IQ_BOND_PRICE", $L182))),NA(),_xll.ciqfunctions.udf.CIQ(O$3, "IQ_BOND_PRICE", $L182)),"")</f>
        <v>101.92952</v>
      </c>
      <c r="P182" s="424">
        <f>IF(AND($L182&lt;&gt;"",P$3&lt;&gt;""),IF(NOT(ISNUMBER(_xll.ciqfunctions.udf.CIQ(P$3, "IQ_BOND_PRICE", $L182))),NA(),_xll.ciqfunctions.udf.CIQ(P$3, "IQ_BOND_PRICE", $L182)),"")</f>
        <v>102.4328</v>
      </c>
      <c r="Q182" s="424">
        <f>IF(AND($L182&lt;&gt;"",Q$3&lt;&gt;""),IF(NOT(ISNUMBER(_xll.ciqfunctions.udf.CIQ(Q$3, "IQ_BOND_PRICE", $L182))),NA(),_xll.ciqfunctions.udf.CIQ(Q$3, "IQ_BOND_PRICE", $L182)),"")</f>
        <v>104.422</v>
      </c>
      <c r="R182" s="424">
        <f>IF(AND($L182&lt;&gt;"",R$3&lt;&gt;""),IF(NOT(ISNUMBER(_xll.ciqfunctions.udf.CIQ(R$3, "IQ_BOND_PRICE", $L182))),NA(),_xll.ciqfunctions.udf.CIQ(R$3, "IQ_BOND_PRICE", $L182)),"")</f>
        <v>111.227</v>
      </c>
      <c r="S182" s="424">
        <f>IF(AND($L182&lt;&gt;"",S$3&lt;&gt;""),IF(NOT(ISNUMBER(_xll.ciqfunctions.udf.CIQ(S$3, "IQ_BOND_PRICE", $L182))),NA(),_xll.ciqfunctions.udf.CIQ(S$3, "IQ_BOND_PRICE", $L182)),"")</f>
        <v>105.214</v>
      </c>
      <c r="T182" s="424">
        <f>IF(AND($L182&lt;&gt;"",T$3&lt;&gt;""),IF(NOT(ISNUMBER(_xll.ciqfunctions.udf.CIQ(T$3, "IQ_BOND_PRICE", $L182))),NA(),_xll.ciqfunctions.udf.CIQ(T$3, "IQ_BOND_PRICE", $L182)),"")</f>
        <v>104.97199999999999</v>
      </c>
      <c r="U182" s="424">
        <f>IF(AND($L182&lt;&gt;"",U$3&lt;&gt;""),IF(NOT(ISNUMBER(_xll.ciqfunctions.udf.CIQ(U$3, "IQ_BOND_PRICE", $L182))),NA(),_xll.ciqfunctions.udf.CIQ(U$3, "IQ_BOND_PRICE", $L182)),"")</f>
        <v>99.873459999999994</v>
      </c>
      <c r="V182" s="424">
        <f>IF(AND($L182&lt;&gt;"",V$3&lt;&gt;""),IF(NOT(ISNUMBER(_xll.ciqfunctions.udf.CIQ(V$3, "IQ_BOND_PRICE", $L182))),NA(),_xll.ciqfunctions.udf.CIQ(V$3, "IQ_BOND_PRICE", $L182)),"")</f>
        <v>105.1735</v>
      </c>
      <c r="W182" s="424">
        <f>IF(AND($L182&lt;&gt;"",W$3&lt;&gt;""),IF(NOT(ISNUMBER(_xll.ciqfunctions.udf.CIQ(W$3, "IQ_BOND_PRICE", $L182))),NA(),_xll.ciqfunctions.udf.CIQ(W$3, "IQ_BOND_PRICE", $L182)),"")</f>
        <v>108.815</v>
      </c>
      <c r="X182" s="424">
        <f>IF(AND($L182&lt;&gt;"",X$3&lt;&gt;""),IF(NOT(ISNUMBER(_xll.ciqfunctions.udf.CIQ(X$3, "IQ_BOND_PRICE", $L182))),NA(),_xll.ciqfunctions.udf.CIQ(X$3, "IQ_BOND_PRICE", $L182)),"")</f>
        <v>110.363</v>
      </c>
      <c r="Y182" s="424">
        <f>IF(AND($L182&lt;&gt;"",Y$3&lt;&gt;""),IF(NOT(ISNUMBER(_xll.ciqfunctions.udf.CIQ(Y$3, "IQ_BOND_PRICE", $L182))),NA(),_xll.ciqfunctions.udf.CIQ(Y$3, "IQ_BOND_PRICE", $L182)),"")</f>
        <v>107.229</v>
      </c>
      <c r="Z182" s="424">
        <f>IF(AND($L182&lt;&gt;"",Z$3&lt;&gt;""),IF(NOT(ISNUMBER(_xll.ciqfunctions.udf.CIQ(Z$3, "IQ_BOND_PRICE", $L182))),NA(),_xll.ciqfunctions.udf.CIQ(Z$3, "IQ_BOND_PRICE", $L182)),"")</f>
        <v>98.768230000000003</v>
      </c>
      <c r="CZ182" s="426"/>
    </row>
    <row r="183" spans="12:104" x14ac:dyDescent="0.2">
      <c r="L183" s="425">
        <f t="shared" si="2"/>
        <v>44529</v>
      </c>
      <c r="M183" s="424">
        <f>IF(AND($L183&lt;&gt;"",M$3&lt;&gt;""),IF(NOT(ISNUMBER(_xll.ciqfunctions.udf.CIQ(M$3, "IQ_BOND_PRICE", $L183))),NA(),_xll.ciqfunctions.udf.CIQ(M$3, "IQ_BOND_PRICE", $L183)),"")</f>
        <v>100.248</v>
      </c>
      <c r="N183" s="424">
        <f>IF(AND($L183&lt;&gt;"",N$3&lt;&gt;""),IF(NOT(ISNUMBER(_xll.ciqfunctions.udf.CIQ(N$3, "IQ_BOND_PRICE", $L183))),NA(),_xll.ciqfunctions.udf.CIQ(N$3, "IQ_BOND_PRICE", $L183)),"")</f>
        <v>0</v>
      </c>
      <c r="O183" s="424">
        <f>IF(AND($L183&lt;&gt;"",O$3&lt;&gt;""),IF(NOT(ISNUMBER(_xll.ciqfunctions.udf.CIQ(O$3, "IQ_BOND_PRICE", $L183))),NA(),_xll.ciqfunctions.udf.CIQ(O$3, "IQ_BOND_PRICE", $L183)),"")</f>
        <v>101.86125</v>
      </c>
      <c r="P183" s="424">
        <f>IF(AND($L183&lt;&gt;"",P$3&lt;&gt;""),IF(NOT(ISNUMBER(_xll.ciqfunctions.udf.CIQ(P$3, "IQ_BOND_PRICE", $L183))),NA(),_xll.ciqfunctions.udf.CIQ(P$3, "IQ_BOND_PRICE", $L183)),"")</f>
        <v>102.25227</v>
      </c>
      <c r="Q183" s="424">
        <f>IF(AND($L183&lt;&gt;"",Q$3&lt;&gt;""),IF(NOT(ISNUMBER(_xll.ciqfunctions.udf.CIQ(Q$3, "IQ_BOND_PRICE", $L183))),NA(),_xll.ciqfunctions.udf.CIQ(Q$3, "IQ_BOND_PRICE", $L183)),"")</f>
        <v>104.28400000000001</v>
      </c>
      <c r="R183" s="424">
        <f>IF(AND($L183&lt;&gt;"",R$3&lt;&gt;""),IF(NOT(ISNUMBER(_xll.ciqfunctions.udf.CIQ(R$3, "IQ_BOND_PRICE", $L183))),NA(),_xll.ciqfunctions.udf.CIQ(R$3, "IQ_BOND_PRICE", $L183)),"")</f>
        <v>111.126</v>
      </c>
      <c r="S183" s="424">
        <f>IF(AND($L183&lt;&gt;"",S$3&lt;&gt;""),IF(NOT(ISNUMBER(_xll.ciqfunctions.udf.CIQ(S$3, "IQ_BOND_PRICE", $L183))),NA(),_xll.ciqfunctions.udf.CIQ(S$3, "IQ_BOND_PRICE", $L183)),"")</f>
        <v>105.098</v>
      </c>
      <c r="T183" s="424">
        <f>IF(AND($L183&lt;&gt;"",T$3&lt;&gt;""),IF(NOT(ISNUMBER(_xll.ciqfunctions.udf.CIQ(T$3, "IQ_BOND_PRICE", $L183))),NA(),_xll.ciqfunctions.udf.CIQ(T$3, "IQ_BOND_PRICE", $L183)),"")</f>
        <v>104.98699999999999</v>
      </c>
      <c r="U183" s="424">
        <f>IF(AND($L183&lt;&gt;"",U$3&lt;&gt;""),IF(NOT(ISNUMBER(_xll.ciqfunctions.udf.CIQ(U$3, "IQ_BOND_PRICE", $L183))),NA(),_xll.ciqfunctions.udf.CIQ(U$3, "IQ_BOND_PRICE", $L183)),"")</f>
        <v>99.882310000000004</v>
      </c>
      <c r="V183" s="424">
        <f>IF(AND($L183&lt;&gt;"",V$3&lt;&gt;""),IF(NOT(ISNUMBER(_xll.ciqfunctions.udf.CIQ(V$3, "IQ_BOND_PRICE", $L183))),NA(),_xll.ciqfunctions.udf.CIQ(V$3, "IQ_BOND_PRICE", $L183)),"")</f>
        <v>105.19186000000001</v>
      </c>
      <c r="W183" s="424">
        <f>IF(AND($L183&lt;&gt;"",W$3&lt;&gt;""),IF(NOT(ISNUMBER(_xll.ciqfunctions.udf.CIQ(W$3, "IQ_BOND_PRICE", $L183))),NA(),_xll.ciqfunctions.udf.CIQ(W$3, "IQ_BOND_PRICE", $L183)),"")</f>
        <v>108.774</v>
      </c>
      <c r="X183" s="424">
        <f>IF(AND($L183&lt;&gt;"",X$3&lt;&gt;""),IF(NOT(ISNUMBER(_xll.ciqfunctions.udf.CIQ(X$3, "IQ_BOND_PRICE", $L183))),NA(),_xll.ciqfunctions.udf.CIQ(X$3, "IQ_BOND_PRICE", $L183)),"")</f>
        <v>110.235</v>
      </c>
      <c r="Y183" s="424">
        <f>IF(AND($L183&lt;&gt;"",Y$3&lt;&gt;""),IF(NOT(ISNUMBER(_xll.ciqfunctions.udf.CIQ(Y$3, "IQ_BOND_PRICE", $L183))),NA(),_xll.ciqfunctions.udf.CIQ(Y$3, "IQ_BOND_PRICE", $L183)),"")</f>
        <v>107.232</v>
      </c>
      <c r="Z183" s="424">
        <f>IF(AND($L183&lt;&gt;"",Z$3&lt;&gt;""),IF(NOT(ISNUMBER(_xll.ciqfunctions.udf.CIQ(Z$3, "IQ_BOND_PRICE", $L183))),NA(),_xll.ciqfunctions.udf.CIQ(Z$3, "IQ_BOND_PRICE", $L183)),"")</f>
        <v>98.655379999999994</v>
      </c>
      <c r="CZ183" s="426"/>
    </row>
    <row r="184" spans="12:104" x14ac:dyDescent="0.2">
      <c r="L184" s="425">
        <f t="shared" si="2"/>
        <v>44530</v>
      </c>
      <c r="M184" s="424">
        <f>IF(AND($L184&lt;&gt;"",M$3&lt;&gt;""),IF(NOT(ISNUMBER(_xll.ciqfunctions.udf.CIQ(M$3, "IQ_BOND_PRICE", $L184))),NA(),_xll.ciqfunctions.udf.CIQ(M$3, "IQ_BOND_PRICE", $L184)),"")</f>
        <v>100.241</v>
      </c>
      <c r="N184" s="424">
        <f>IF(AND($L184&lt;&gt;"",N$3&lt;&gt;""),IF(NOT(ISNUMBER(_xll.ciqfunctions.udf.CIQ(N$3, "IQ_BOND_PRICE", $L184))),NA(),_xll.ciqfunctions.udf.CIQ(N$3, "IQ_BOND_PRICE", $L184)),"")</f>
        <v>0</v>
      </c>
      <c r="O184" s="424">
        <f>IF(AND($L184&lt;&gt;"",O$3&lt;&gt;""),IF(NOT(ISNUMBER(_xll.ciqfunctions.udf.CIQ(O$3, "IQ_BOND_PRICE", $L184))),NA(),_xll.ciqfunctions.udf.CIQ(O$3, "IQ_BOND_PRICE", $L184)),"")</f>
        <v>101.83085</v>
      </c>
      <c r="P184" s="424">
        <f>IF(AND($L184&lt;&gt;"",P$3&lt;&gt;""),IF(NOT(ISNUMBER(_xll.ciqfunctions.udf.CIQ(P$3, "IQ_BOND_PRICE", $L184))),NA(),_xll.ciqfunctions.udf.CIQ(P$3, "IQ_BOND_PRICE", $L184)),"")</f>
        <v>102.209</v>
      </c>
      <c r="Q184" s="424">
        <f>IF(AND($L184&lt;&gt;"",Q$3&lt;&gt;""),IF(NOT(ISNUMBER(_xll.ciqfunctions.udf.CIQ(Q$3, "IQ_BOND_PRICE", $L184))),NA(),_xll.ciqfunctions.udf.CIQ(Q$3, "IQ_BOND_PRICE", $L184)),"")</f>
        <v>104.294</v>
      </c>
      <c r="R184" s="424">
        <f>IF(AND($L184&lt;&gt;"",R$3&lt;&gt;""),IF(NOT(ISNUMBER(_xll.ciqfunctions.udf.CIQ(R$3, "IQ_BOND_PRICE", $L184))),NA(),_xll.ciqfunctions.udf.CIQ(R$3, "IQ_BOND_PRICE", $L184)),"")</f>
        <v>111.04600000000001</v>
      </c>
      <c r="S184" s="424">
        <f>IF(AND($L184&lt;&gt;"",S$3&lt;&gt;""),IF(NOT(ISNUMBER(_xll.ciqfunctions.udf.CIQ(S$3, "IQ_BOND_PRICE", $L184))),NA(),_xll.ciqfunctions.udf.CIQ(S$3, "IQ_BOND_PRICE", $L184)),"")</f>
        <v>105.143</v>
      </c>
      <c r="T184" s="424">
        <f>IF(AND($L184&lt;&gt;"",T$3&lt;&gt;""),IF(NOT(ISNUMBER(_xll.ciqfunctions.udf.CIQ(T$3, "IQ_BOND_PRICE", $L184))),NA(),_xll.ciqfunctions.udf.CIQ(T$3, "IQ_BOND_PRICE", $L184)),"")</f>
        <v>104.995</v>
      </c>
      <c r="U184" s="424">
        <f>IF(AND($L184&lt;&gt;"",U$3&lt;&gt;""),IF(NOT(ISNUMBER(_xll.ciqfunctions.udf.CIQ(U$3, "IQ_BOND_PRICE", $L184))),NA(),_xll.ciqfunctions.udf.CIQ(U$3, "IQ_BOND_PRICE", $L184)),"")</f>
        <v>99.89622</v>
      </c>
      <c r="V184" s="424">
        <f>IF(AND($L184&lt;&gt;"",V$3&lt;&gt;""),IF(NOT(ISNUMBER(_xll.ciqfunctions.udf.CIQ(V$3, "IQ_BOND_PRICE", $L184))),NA(),_xll.ciqfunctions.udf.CIQ(V$3, "IQ_BOND_PRICE", $L184)),"")</f>
        <v>105.02578</v>
      </c>
      <c r="W184" s="424">
        <f>IF(AND($L184&lt;&gt;"",W$3&lt;&gt;""),IF(NOT(ISNUMBER(_xll.ciqfunctions.udf.CIQ(W$3, "IQ_BOND_PRICE", $L184))),NA(),_xll.ciqfunctions.udf.CIQ(W$3, "IQ_BOND_PRICE", $L184)),"")</f>
        <v>108.68300000000001</v>
      </c>
      <c r="X184" s="424">
        <f>IF(AND($L184&lt;&gt;"",X$3&lt;&gt;""),IF(NOT(ISNUMBER(_xll.ciqfunctions.udf.CIQ(X$3, "IQ_BOND_PRICE", $L184))),NA(),_xll.ciqfunctions.udf.CIQ(X$3, "IQ_BOND_PRICE", $L184)),"")</f>
        <v>110.256</v>
      </c>
      <c r="Y184" s="424">
        <f>IF(AND($L184&lt;&gt;"",Y$3&lt;&gt;""),IF(NOT(ISNUMBER(_xll.ciqfunctions.udf.CIQ(Y$3, "IQ_BOND_PRICE", $L184))),NA(),_xll.ciqfunctions.udf.CIQ(Y$3, "IQ_BOND_PRICE", $L184)),"")</f>
        <v>107.22199999999999</v>
      </c>
      <c r="Z184" s="424">
        <f>IF(AND($L184&lt;&gt;"",Z$3&lt;&gt;""),IF(NOT(ISNUMBER(_xll.ciqfunctions.udf.CIQ(Z$3, "IQ_BOND_PRICE", $L184))),NA(),_xll.ciqfunctions.udf.CIQ(Z$3, "IQ_BOND_PRICE", $L184)),"")</f>
        <v>98.920550000000006</v>
      </c>
      <c r="CZ184" s="426"/>
    </row>
    <row r="185" spans="12:104" x14ac:dyDescent="0.2">
      <c r="L185" s="425">
        <f t="shared" si="2"/>
        <v>44531</v>
      </c>
      <c r="M185" s="424">
        <f>IF(AND($L185&lt;&gt;"",M$3&lt;&gt;""),IF(NOT(ISNUMBER(_xll.ciqfunctions.udf.CIQ(M$3, "IQ_BOND_PRICE", $L185))),NA(),_xll.ciqfunctions.udf.CIQ(M$3, "IQ_BOND_PRICE", $L185)),"")</f>
        <v>100.23699999999999</v>
      </c>
      <c r="N185" s="424">
        <f>IF(AND($L185&lt;&gt;"",N$3&lt;&gt;""),IF(NOT(ISNUMBER(_xll.ciqfunctions.udf.CIQ(N$3, "IQ_BOND_PRICE", $L185))),NA(),_xll.ciqfunctions.udf.CIQ(N$3, "IQ_BOND_PRICE", $L185)),"")</f>
        <v>0</v>
      </c>
      <c r="O185" s="424">
        <f>IF(AND($L185&lt;&gt;"",O$3&lt;&gt;""),IF(NOT(ISNUMBER(_xll.ciqfunctions.udf.CIQ(O$3, "IQ_BOND_PRICE", $L185))),NA(),_xll.ciqfunctions.udf.CIQ(O$3, "IQ_BOND_PRICE", $L185)),"")</f>
        <v>101.90432</v>
      </c>
      <c r="P185" s="424">
        <f>IF(AND($L185&lt;&gt;"",P$3&lt;&gt;""),IF(NOT(ISNUMBER(_xll.ciqfunctions.udf.CIQ(P$3, "IQ_BOND_PRICE", $L185))),NA(),_xll.ciqfunctions.udf.CIQ(P$3, "IQ_BOND_PRICE", $L185)),"")</f>
        <v>102.16115000000001</v>
      </c>
      <c r="Q185" s="424">
        <f>IF(AND($L185&lt;&gt;"",Q$3&lt;&gt;""),IF(NOT(ISNUMBER(_xll.ciqfunctions.udf.CIQ(Q$3, "IQ_BOND_PRICE", $L185))),NA(),_xll.ciqfunctions.udf.CIQ(Q$3, "IQ_BOND_PRICE", $L185)),"")</f>
        <v>104.324</v>
      </c>
      <c r="R185" s="424">
        <f>IF(AND($L185&lt;&gt;"",R$3&lt;&gt;""),IF(NOT(ISNUMBER(_xll.ciqfunctions.udf.CIQ(R$3, "IQ_BOND_PRICE", $L185))),NA(),_xll.ciqfunctions.udf.CIQ(R$3, "IQ_BOND_PRICE", $L185)),"")</f>
        <v>110.947</v>
      </c>
      <c r="S185" s="424">
        <f>IF(AND($L185&lt;&gt;"",S$3&lt;&gt;""),IF(NOT(ISNUMBER(_xll.ciqfunctions.udf.CIQ(S$3, "IQ_BOND_PRICE", $L185))),NA(),_xll.ciqfunctions.udf.CIQ(S$3, "IQ_BOND_PRICE", $L185)),"")</f>
        <v>105.074</v>
      </c>
      <c r="T185" s="424">
        <f>IF(AND($L185&lt;&gt;"",T$3&lt;&gt;""),IF(NOT(ISNUMBER(_xll.ciqfunctions.udf.CIQ(T$3, "IQ_BOND_PRICE", $L185))),NA(),_xll.ciqfunctions.udf.CIQ(T$3, "IQ_BOND_PRICE", $L185)),"")</f>
        <v>104.809</v>
      </c>
      <c r="U185" s="424">
        <f>IF(AND($L185&lt;&gt;"",U$3&lt;&gt;""),IF(NOT(ISNUMBER(_xll.ciqfunctions.udf.CIQ(U$3, "IQ_BOND_PRICE", $L185))),NA(),_xll.ciqfunctions.udf.CIQ(U$3, "IQ_BOND_PRICE", $L185)),"")</f>
        <v>99.893810000000002</v>
      </c>
      <c r="V185" s="424">
        <f>IF(AND($L185&lt;&gt;"",V$3&lt;&gt;""),IF(NOT(ISNUMBER(_xll.ciqfunctions.udf.CIQ(V$3, "IQ_BOND_PRICE", $L185))),NA(),_xll.ciqfunctions.udf.CIQ(V$3, "IQ_BOND_PRICE", $L185)),"")</f>
        <v>105.06192</v>
      </c>
      <c r="W185" s="424">
        <f>IF(AND($L185&lt;&gt;"",W$3&lt;&gt;""),IF(NOT(ISNUMBER(_xll.ciqfunctions.udf.CIQ(W$3, "IQ_BOND_PRICE", $L185))),NA(),_xll.ciqfunctions.udf.CIQ(W$3, "IQ_BOND_PRICE", $L185)),"")</f>
        <v>108.422</v>
      </c>
      <c r="X185" s="424">
        <f>IF(AND($L185&lt;&gt;"",X$3&lt;&gt;""),IF(NOT(ISNUMBER(_xll.ciqfunctions.udf.CIQ(X$3, "IQ_BOND_PRICE", $L185))),NA(),_xll.ciqfunctions.udf.CIQ(X$3, "IQ_BOND_PRICE", $L185)),"")</f>
        <v>110.146</v>
      </c>
      <c r="Y185" s="424">
        <f>IF(AND($L185&lt;&gt;"",Y$3&lt;&gt;""),IF(NOT(ISNUMBER(_xll.ciqfunctions.udf.CIQ(Y$3, "IQ_BOND_PRICE", $L185))),NA(),_xll.ciqfunctions.udf.CIQ(Y$3, "IQ_BOND_PRICE", $L185)),"")</f>
        <v>107.221</v>
      </c>
      <c r="Z185" s="424">
        <f>IF(AND($L185&lt;&gt;"",Z$3&lt;&gt;""),IF(NOT(ISNUMBER(_xll.ciqfunctions.udf.CIQ(Z$3, "IQ_BOND_PRICE", $L185))),NA(),_xll.ciqfunctions.udf.CIQ(Z$3, "IQ_BOND_PRICE", $L185)),"")</f>
        <v>98.835080000000005</v>
      </c>
      <c r="CZ185" s="426"/>
    </row>
    <row r="186" spans="12:104" x14ac:dyDescent="0.2">
      <c r="L186" s="425">
        <f t="shared" si="2"/>
        <v>44532</v>
      </c>
      <c r="M186" s="424">
        <f>IF(AND($L186&lt;&gt;"",M$3&lt;&gt;""),IF(NOT(ISNUMBER(_xll.ciqfunctions.udf.CIQ(M$3, "IQ_BOND_PRICE", $L186))),NA(),_xll.ciqfunctions.udf.CIQ(M$3, "IQ_BOND_PRICE", $L186)),"")</f>
        <v>100.21899999999999</v>
      </c>
      <c r="N186" s="424">
        <f>IF(AND($L186&lt;&gt;"",N$3&lt;&gt;""),IF(NOT(ISNUMBER(_xll.ciqfunctions.udf.CIQ(N$3, "IQ_BOND_PRICE", $L186))),NA(),_xll.ciqfunctions.udf.CIQ(N$3, "IQ_BOND_PRICE", $L186)),"")</f>
        <v>0</v>
      </c>
      <c r="O186" s="424">
        <f>IF(AND($L186&lt;&gt;"",O$3&lt;&gt;""),IF(NOT(ISNUMBER(_xll.ciqfunctions.udf.CIQ(O$3, "IQ_BOND_PRICE", $L186))),NA(),_xll.ciqfunctions.udf.CIQ(O$3, "IQ_BOND_PRICE", $L186)),"")</f>
        <v>101.79076000000001</v>
      </c>
      <c r="P186" s="424">
        <f>IF(AND($L186&lt;&gt;"",P$3&lt;&gt;""),IF(NOT(ISNUMBER(_xll.ciqfunctions.udf.CIQ(P$3, "IQ_BOND_PRICE", $L186))),NA(),_xll.ciqfunctions.udf.CIQ(P$3, "IQ_BOND_PRICE", $L186)),"")</f>
        <v>102.10339999999999</v>
      </c>
      <c r="Q186" s="424">
        <f>IF(AND($L186&lt;&gt;"",Q$3&lt;&gt;""),IF(NOT(ISNUMBER(_xll.ciqfunctions.udf.CIQ(Q$3, "IQ_BOND_PRICE", $L186))),NA(),_xll.ciqfunctions.udf.CIQ(Q$3, "IQ_BOND_PRICE", $L186)),"")</f>
        <v>104.19</v>
      </c>
      <c r="R186" s="424">
        <f>IF(AND($L186&lt;&gt;"",R$3&lt;&gt;""),IF(NOT(ISNUMBER(_xll.ciqfunctions.udf.CIQ(R$3, "IQ_BOND_PRICE", $L186))),NA(),_xll.ciqfunctions.udf.CIQ(R$3, "IQ_BOND_PRICE", $L186)),"")</f>
        <v>110.73</v>
      </c>
      <c r="S186" s="424">
        <f>IF(AND($L186&lt;&gt;"",S$3&lt;&gt;""),IF(NOT(ISNUMBER(_xll.ciqfunctions.udf.CIQ(S$3, "IQ_BOND_PRICE", $L186))),NA(),_xll.ciqfunctions.udf.CIQ(S$3, "IQ_BOND_PRICE", $L186)),"")</f>
        <v>104.83799999999999</v>
      </c>
      <c r="T186" s="424">
        <f>IF(AND($L186&lt;&gt;"",T$3&lt;&gt;""),IF(NOT(ISNUMBER(_xll.ciqfunctions.udf.CIQ(T$3, "IQ_BOND_PRICE", $L186))),NA(),_xll.ciqfunctions.udf.CIQ(T$3, "IQ_BOND_PRICE", $L186)),"")</f>
        <v>104.60899999999999</v>
      </c>
      <c r="U186" s="424">
        <f>IF(AND($L186&lt;&gt;"",U$3&lt;&gt;""),IF(NOT(ISNUMBER(_xll.ciqfunctions.udf.CIQ(U$3, "IQ_BOND_PRICE", $L186))),NA(),_xll.ciqfunctions.udf.CIQ(U$3, "IQ_BOND_PRICE", $L186)),"")</f>
        <v>99.894559999999998</v>
      </c>
      <c r="V186" s="424">
        <f>IF(AND($L186&lt;&gt;"",V$3&lt;&gt;""),IF(NOT(ISNUMBER(_xll.ciqfunctions.udf.CIQ(V$3, "IQ_BOND_PRICE", $L186))),NA(),_xll.ciqfunctions.udf.CIQ(V$3, "IQ_BOND_PRICE", $L186)),"")</f>
        <v>104.87549</v>
      </c>
      <c r="W186" s="424">
        <f>IF(AND($L186&lt;&gt;"",W$3&lt;&gt;""),IF(NOT(ISNUMBER(_xll.ciqfunctions.udf.CIQ(W$3, "IQ_BOND_PRICE", $L186))),NA(),_xll.ciqfunctions.udf.CIQ(W$3, "IQ_BOND_PRICE", $L186)),"")</f>
        <v>108.08</v>
      </c>
      <c r="X186" s="424">
        <f>IF(AND($L186&lt;&gt;"",X$3&lt;&gt;""),IF(NOT(ISNUMBER(_xll.ciqfunctions.udf.CIQ(X$3, "IQ_BOND_PRICE", $L186))),NA(),_xll.ciqfunctions.udf.CIQ(X$3, "IQ_BOND_PRICE", $L186)),"")</f>
        <v>110.285</v>
      </c>
      <c r="Y186" s="424">
        <f>IF(AND($L186&lt;&gt;"",Y$3&lt;&gt;""),IF(NOT(ISNUMBER(_xll.ciqfunctions.udf.CIQ(Y$3, "IQ_BOND_PRICE", $L186))),NA(),_xll.ciqfunctions.udf.CIQ(Y$3, "IQ_BOND_PRICE", $L186)),"")</f>
        <v>107.036</v>
      </c>
      <c r="Z186" s="424">
        <f>IF(AND($L186&lt;&gt;"",Z$3&lt;&gt;""),IF(NOT(ISNUMBER(_xll.ciqfunctions.udf.CIQ(Z$3, "IQ_BOND_PRICE", $L186))),NA(),_xll.ciqfunctions.udf.CIQ(Z$3, "IQ_BOND_PRICE", $L186)),"")</f>
        <v>98.510090000000005</v>
      </c>
      <c r="CZ186" s="426"/>
    </row>
    <row r="187" spans="12:104" x14ac:dyDescent="0.2">
      <c r="L187" s="425">
        <f t="shared" si="2"/>
        <v>44533</v>
      </c>
      <c r="M187" s="424">
        <f>IF(AND($L187&lt;&gt;"",M$3&lt;&gt;""),IF(NOT(ISNUMBER(_xll.ciqfunctions.udf.CIQ(M$3, "IQ_BOND_PRICE", $L187))),NA(),_xll.ciqfunctions.udf.CIQ(M$3, "IQ_BOND_PRICE", $L187)),"")</f>
        <v>100.215</v>
      </c>
      <c r="N187" s="424">
        <f>IF(AND($L187&lt;&gt;"",N$3&lt;&gt;""),IF(NOT(ISNUMBER(_xll.ciqfunctions.udf.CIQ(N$3, "IQ_BOND_PRICE", $L187))),NA(),_xll.ciqfunctions.udf.CIQ(N$3, "IQ_BOND_PRICE", $L187)),"")</f>
        <v>0</v>
      </c>
      <c r="O187" s="424">
        <f>IF(AND($L187&lt;&gt;"",O$3&lt;&gt;""),IF(NOT(ISNUMBER(_xll.ciqfunctions.udf.CIQ(O$3, "IQ_BOND_PRICE", $L187))),NA(),_xll.ciqfunctions.udf.CIQ(O$3, "IQ_BOND_PRICE", $L187)),"")</f>
        <v>101.80107</v>
      </c>
      <c r="P187" s="424">
        <f>IF(AND($L187&lt;&gt;"",P$3&lt;&gt;""),IF(NOT(ISNUMBER(_xll.ciqfunctions.udf.CIQ(P$3, "IQ_BOND_PRICE", $L187))),NA(),_xll.ciqfunctions.udf.CIQ(P$3, "IQ_BOND_PRICE", $L187)),"")</f>
        <v>102.18208</v>
      </c>
      <c r="Q187" s="424">
        <f>IF(AND($L187&lt;&gt;"",Q$3&lt;&gt;""),IF(NOT(ISNUMBER(_xll.ciqfunctions.udf.CIQ(Q$3, "IQ_BOND_PRICE", $L187))),NA(),_xll.ciqfunctions.udf.CIQ(Q$3, "IQ_BOND_PRICE", $L187)),"")</f>
        <v>104.21599999999999</v>
      </c>
      <c r="R187" s="424">
        <f>IF(AND($L187&lt;&gt;"",R$3&lt;&gt;""),IF(NOT(ISNUMBER(_xll.ciqfunctions.udf.CIQ(R$3, "IQ_BOND_PRICE", $L187))),NA(),_xll.ciqfunctions.udf.CIQ(R$3, "IQ_BOND_PRICE", $L187)),"")</f>
        <v>110.77500000000001</v>
      </c>
      <c r="S187" s="424">
        <f>IF(AND($L187&lt;&gt;"",S$3&lt;&gt;""),IF(NOT(ISNUMBER(_xll.ciqfunctions.udf.CIQ(S$3, "IQ_BOND_PRICE", $L187))),NA(),_xll.ciqfunctions.udf.CIQ(S$3, "IQ_BOND_PRICE", $L187)),"")</f>
        <v>105.092</v>
      </c>
      <c r="T187" s="424">
        <f>IF(AND($L187&lt;&gt;"",T$3&lt;&gt;""),IF(NOT(ISNUMBER(_xll.ciqfunctions.udf.CIQ(T$3, "IQ_BOND_PRICE", $L187))),NA(),_xll.ciqfunctions.udf.CIQ(T$3, "IQ_BOND_PRICE", $L187)),"")</f>
        <v>104.733</v>
      </c>
      <c r="U187" s="424">
        <f>IF(AND($L187&lt;&gt;"",U$3&lt;&gt;""),IF(NOT(ISNUMBER(_xll.ciqfunctions.udf.CIQ(U$3, "IQ_BOND_PRICE", $L187))),NA(),_xll.ciqfunctions.udf.CIQ(U$3, "IQ_BOND_PRICE", $L187)),"")</f>
        <v>99.898920000000004</v>
      </c>
      <c r="V187" s="424">
        <f>IF(AND($L187&lt;&gt;"",V$3&lt;&gt;""),IF(NOT(ISNUMBER(_xll.ciqfunctions.udf.CIQ(V$3, "IQ_BOND_PRICE", $L187))),NA(),_xll.ciqfunctions.udf.CIQ(V$3, "IQ_BOND_PRICE", $L187)),"")</f>
        <v>104.98699999999999</v>
      </c>
      <c r="W187" s="424">
        <f>IF(AND($L187&lt;&gt;"",W$3&lt;&gt;""),IF(NOT(ISNUMBER(_xll.ciqfunctions.udf.CIQ(W$3, "IQ_BOND_PRICE", $L187))),NA(),_xll.ciqfunctions.udf.CIQ(W$3, "IQ_BOND_PRICE", $L187)),"")</f>
        <v>108.373</v>
      </c>
      <c r="X187" s="424">
        <f>IF(AND($L187&lt;&gt;"",X$3&lt;&gt;""),IF(NOT(ISNUMBER(_xll.ciqfunctions.udf.CIQ(X$3, "IQ_BOND_PRICE", $L187))),NA(),_xll.ciqfunctions.udf.CIQ(X$3, "IQ_BOND_PRICE", $L187)),"")</f>
        <v>110.3</v>
      </c>
      <c r="Y187" s="424">
        <f>IF(AND($L187&lt;&gt;"",Y$3&lt;&gt;""),IF(NOT(ISNUMBER(_xll.ciqfunctions.udf.CIQ(Y$3, "IQ_BOND_PRICE", $L187))),NA(),_xll.ciqfunctions.udf.CIQ(Y$3, "IQ_BOND_PRICE", $L187)),"")</f>
        <v>107.319</v>
      </c>
      <c r="Z187" s="424">
        <f>IF(AND($L187&lt;&gt;"",Z$3&lt;&gt;""),IF(NOT(ISNUMBER(_xll.ciqfunctions.udf.CIQ(Z$3, "IQ_BOND_PRICE", $L187))),NA(),_xll.ciqfunctions.udf.CIQ(Z$3, "IQ_BOND_PRICE", $L187)),"")</f>
        <v>98.907610000000005</v>
      </c>
      <c r="CZ187" s="426"/>
    </row>
    <row r="188" spans="12:104" x14ac:dyDescent="0.2">
      <c r="L188" s="425">
        <f t="shared" si="2"/>
        <v>44536</v>
      </c>
      <c r="M188" s="424">
        <f>IF(AND($L188&lt;&gt;"",M$3&lt;&gt;""),IF(NOT(ISNUMBER(_xll.ciqfunctions.udf.CIQ(M$3, "IQ_BOND_PRICE", $L188))),NA(),_xll.ciqfunctions.udf.CIQ(M$3, "IQ_BOND_PRICE", $L188)),"")</f>
        <v>100.203</v>
      </c>
      <c r="N188" s="424">
        <f>IF(AND($L188&lt;&gt;"",N$3&lt;&gt;""),IF(NOT(ISNUMBER(_xll.ciqfunctions.udf.CIQ(N$3, "IQ_BOND_PRICE", $L188))),NA(),_xll.ciqfunctions.udf.CIQ(N$3, "IQ_BOND_PRICE", $L188)),"")</f>
        <v>0</v>
      </c>
      <c r="O188" s="424">
        <f>IF(AND($L188&lt;&gt;"",O$3&lt;&gt;""),IF(NOT(ISNUMBER(_xll.ciqfunctions.udf.CIQ(O$3, "IQ_BOND_PRICE", $L188))),NA(),_xll.ciqfunctions.udf.CIQ(O$3, "IQ_BOND_PRICE", $L188)),"")</f>
        <v>101.83365999999999</v>
      </c>
      <c r="P188" s="424">
        <f>IF(AND($L188&lt;&gt;"",P$3&lt;&gt;""),IF(NOT(ISNUMBER(_xll.ciqfunctions.udf.CIQ(P$3, "IQ_BOND_PRICE", $L188))),NA(),_xll.ciqfunctions.udf.CIQ(P$3, "IQ_BOND_PRICE", $L188)),"")</f>
        <v>102.12371</v>
      </c>
      <c r="Q188" s="424">
        <f>IF(AND($L188&lt;&gt;"",Q$3&lt;&gt;""),IF(NOT(ISNUMBER(_xll.ciqfunctions.udf.CIQ(Q$3, "IQ_BOND_PRICE", $L188))),NA(),_xll.ciqfunctions.udf.CIQ(Q$3, "IQ_BOND_PRICE", $L188)),"")</f>
        <v>104.116</v>
      </c>
      <c r="R188" s="424">
        <f>IF(AND($L188&lt;&gt;"",R$3&lt;&gt;""),IF(NOT(ISNUMBER(_xll.ciqfunctions.udf.CIQ(R$3, "IQ_BOND_PRICE", $L188))),NA(),_xll.ciqfunctions.udf.CIQ(R$3, "IQ_BOND_PRICE", $L188)),"")</f>
        <v>110.624</v>
      </c>
      <c r="S188" s="424">
        <f>IF(AND($L188&lt;&gt;"",S$3&lt;&gt;""),IF(NOT(ISNUMBER(_xll.ciqfunctions.udf.CIQ(S$3, "IQ_BOND_PRICE", $L188))),NA(),_xll.ciqfunctions.udf.CIQ(S$3, "IQ_BOND_PRICE", $L188)),"")</f>
        <v>104.92400000000001</v>
      </c>
      <c r="T188" s="424">
        <f>IF(AND($L188&lt;&gt;"",T$3&lt;&gt;""),IF(NOT(ISNUMBER(_xll.ciqfunctions.udf.CIQ(T$3, "IQ_BOND_PRICE", $L188))),NA(),_xll.ciqfunctions.udf.CIQ(T$3, "IQ_BOND_PRICE", $L188)),"")</f>
        <v>104.563</v>
      </c>
      <c r="U188" s="424">
        <f>IF(AND($L188&lt;&gt;"",U$3&lt;&gt;""),IF(NOT(ISNUMBER(_xll.ciqfunctions.udf.CIQ(U$3, "IQ_BOND_PRICE", $L188))),NA(),_xll.ciqfunctions.udf.CIQ(U$3, "IQ_BOND_PRICE", $L188)),"")</f>
        <v>99.898759999999996</v>
      </c>
      <c r="V188" s="424">
        <f>IF(AND($L188&lt;&gt;"",V$3&lt;&gt;""),IF(NOT(ISNUMBER(_xll.ciqfunctions.udf.CIQ(V$3, "IQ_BOND_PRICE", $L188))),NA(),_xll.ciqfunctions.udf.CIQ(V$3, "IQ_BOND_PRICE", $L188)),"")</f>
        <v>104.79439000000001</v>
      </c>
      <c r="W188" s="424">
        <f>IF(AND($L188&lt;&gt;"",W$3&lt;&gt;""),IF(NOT(ISNUMBER(_xll.ciqfunctions.udf.CIQ(W$3, "IQ_BOND_PRICE", $L188))),NA(),_xll.ciqfunctions.udf.CIQ(W$3, "IQ_BOND_PRICE", $L188)),"")</f>
        <v>108.063</v>
      </c>
      <c r="X188" s="424">
        <f>IF(AND($L188&lt;&gt;"",X$3&lt;&gt;""),IF(NOT(ISNUMBER(_xll.ciqfunctions.udf.CIQ(X$3, "IQ_BOND_PRICE", $L188))),NA(),_xll.ciqfunctions.udf.CIQ(X$3, "IQ_BOND_PRICE", $L188)),"")</f>
        <v>110.363</v>
      </c>
      <c r="Y188" s="424">
        <f>IF(AND($L188&lt;&gt;"",Y$3&lt;&gt;""),IF(NOT(ISNUMBER(_xll.ciqfunctions.udf.CIQ(Y$3, "IQ_BOND_PRICE", $L188))),NA(),_xll.ciqfunctions.udf.CIQ(Y$3, "IQ_BOND_PRICE", $L188)),"")</f>
        <v>106.928</v>
      </c>
      <c r="Z188" s="424">
        <f>IF(AND($L188&lt;&gt;"",Z$3&lt;&gt;""),IF(NOT(ISNUMBER(_xll.ciqfunctions.udf.CIQ(Z$3, "IQ_BOND_PRICE", $L188))),NA(),_xll.ciqfunctions.udf.CIQ(Z$3, "IQ_BOND_PRICE", $L188)),"")</f>
        <v>98.67953</v>
      </c>
      <c r="CZ188" s="426"/>
    </row>
    <row r="189" spans="12:104" x14ac:dyDescent="0.2">
      <c r="L189" s="425">
        <f t="shared" si="2"/>
        <v>44537</v>
      </c>
      <c r="M189" s="424">
        <f>IF(AND($L189&lt;&gt;"",M$3&lt;&gt;""),IF(NOT(ISNUMBER(_xll.ciqfunctions.udf.CIQ(M$3, "IQ_BOND_PRICE", $L189))),NA(),_xll.ciqfunctions.udf.CIQ(M$3, "IQ_BOND_PRICE", $L189)),"")</f>
        <v>100.2</v>
      </c>
      <c r="N189" s="424">
        <f>IF(AND($L189&lt;&gt;"",N$3&lt;&gt;""),IF(NOT(ISNUMBER(_xll.ciqfunctions.udf.CIQ(N$3, "IQ_BOND_PRICE", $L189))),NA(),_xll.ciqfunctions.udf.CIQ(N$3, "IQ_BOND_PRICE", $L189)),"")</f>
        <v>0</v>
      </c>
      <c r="O189" s="424">
        <f>IF(AND($L189&lt;&gt;"",O$3&lt;&gt;""),IF(NOT(ISNUMBER(_xll.ciqfunctions.udf.CIQ(O$3, "IQ_BOND_PRICE", $L189))),NA(),_xll.ciqfunctions.udf.CIQ(O$3, "IQ_BOND_PRICE", $L189)),"")</f>
        <v>101.79984</v>
      </c>
      <c r="P189" s="424">
        <f>IF(AND($L189&lt;&gt;"",P$3&lt;&gt;""),IF(NOT(ISNUMBER(_xll.ciqfunctions.udf.CIQ(P$3, "IQ_BOND_PRICE", $L189))),NA(),_xll.ciqfunctions.udf.CIQ(P$3, "IQ_BOND_PRICE", $L189)),"")</f>
        <v>102.00561</v>
      </c>
      <c r="Q189" s="424">
        <f>IF(AND($L189&lt;&gt;"",Q$3&lt;&gt;""),IF(NOT(ISNUMBER(_xll.ciqfunctions.udf.CIQ(Q$3, "IQ_BOND_PRICE", $L189))),NA(),_xll.ciqfunctions.udf.CIQ(Q$3, "IQ_BOND_PRICE", $L189)),"")</f>
        <v>104.08</v>
      </c>
      <c r="R189" s="424">
        <f>IF(AND($L189&lt;&gt;"",R$3&lt;&gt;""),IF(NOT(ISNUMBER(_xll.ciqfunctions.udf.CIQ(R$3, "IQ_BOND_PRICE", $L189))),NA(),_xll.ciqfunctions.udf.CIQ(R$3, "IQ_BOND_PRICE", $L189)),"")</f>
        <v>110.46599999999999</v>
      </c>
      <c r="S189" s="424">
        <f>IF(AND($L189&lt;&gt;"",S$3&lt;&gt;""),IF(NOT(ISNUMBER(_xll.ciqfunctions.udf.CIQ(S$3, "IQ_BOND_PRICE", $L189))),NA(),_xll.ciqfunctions.udf.CIQ(S$3, "IQ_BOND_PRICE", $L189)),"")</f>
        <v>104.78</v>
      </c>
      <c r="T189" s="424">
        <f>IF(AND($L189&lt;&gt;"",T$3&lt;&gt;""),IF(NOT(ISNUMBER(_xll.ciqfunctions.udf.CIQ(T$3, "IQ_BOND_PRICE", $L189))),NA(),_xll.ciqfunctions.udf.CIQ(T$3, "IQ_BOND_PRICE", $L189)),"")</f>
        <v>104.428</v>
      </c>
      <c r="U189" s="424">
        <f>IF(AND($L189&lt;&gt;"",U$3&lt;&gt;""),IF(NOT(ISNUMBER(_xll.ciqfunctions.udf.CIQ(U$3, "IQ_BOND_PRICE", $L189))),NA(),_xll.ciqfunctions.udf.CIQ(U$3, "IQ_BOND_PRICE", $L189)),"")</f>
        <v>99.889700000000005</v>
      </c>
      <c r="V189" s="424">
        <f>IF(AND($L189&lt;&gt;"",V$3&lt;&gt;""),IF(NOT(ISNUMBER(_xll.ciqfunctions.udf.CIQ(V$3, "IQ_BOND_PRICE", $L189))),NA(),_xll.ciqfunctions.udf.CIQ(V$3, "IQ_BOND_PRICE", $L189)),"")</f>
        <v>104.64088</v>
      </c>
      <c r="W189" s="424">
        <f>IF(AND($L189&lt;&gt;"",W$3&lt;&gt;""),IF(NOT(ISNUMBER(_xll.ciqfunctions.udf.CIQ(W$3, "IQ_BOND_PRICE", $L189))),NA(),_xll.ciqfunctions.udf.CIQ(W$3, "IQ_BOND_PRICE", $L189)),"")</f>
        <v>107.899</v>
      </c>
      <c r="X189" s="424">
        <f>IF(AND($L189&lt;&gt;"",X$3&lt;&gt;""),IF(NOT(ISNUMBER(_xll.ciqfunctions.udf.CIQ(X$3, "IQ_BOND_PRICE", $L189))),NA(),_xll.ciqfunctions.udf.CIQ(X$3, "IQ_BOND_PRICE", $L189)),"")</f>
        <v>110.261</v>
      </c>
      <c r="Y189" s="424">
        <f>IF(AND($L189&lt;&gt;"",Y$3&lt;&gt;""),IF(NOT(ISNUMBER(_xll.ciqfunctions.udf.CIQ(Y$3, "IQ_BOND_PRICE", $L189))),NA(),_xll.ciqfunctions.udf.CIQ(Y$3, "IQ_BOND_PRICE", $L189)),"")</f>
        <v>106.723</v>
      </c>
      <c r="Z189" s="424">
        <f>IF(AND($L189&lt;&gt;"",Z$3&lt;&gt;""),IF(NOT(ISNUMBER(_xll.ciqfunctions.udf.CIQ(Z$3, "IQ_BOND_PRICE", $L189))),NA(),_xll.ciqfunctions.udf.CIQ(Z$3, "IQ_BOND_PRICE", $L189)),"")</f>
        <v>98.472849999999994</v>
      </c>
      <c r="CZ189" s="426"/>
    </row>
    <row r="190" spans="12:104" x14ac:dyDescent="0.2">
      <c r="L190" s="425">
        <f t="shared" si="2"/>
        <v>44538</v>
      </c>
      <c r="M190" s="424">
        <f>IF(AND($L190&lt;&gt;"",M$3&lt;&gt;""),IF(NOT(ISNUMBER(_xll.ciqfunctions.udf.CIQ(M$3, "IQ_BOND_PRICE", $L190))),NA(),_xll.ciqfunctions.udf.CIQ(M$3, "IQ_BOND_PRICE", $L190)),"")</f>
        <v>100.199</v>
      </c>
      <c r="N190" s="424">
        <f>IF(AND($L190&lt;&gt;"",N$3&lt;&gt;""),IF(NOT(ISNUMBER(_xll.ciqfunctions.udf.CIQ(N$3, "IQ_BOND_PRICE", $L190))),NA(),_xll.ciqfunctions.udf.CIQ(N$3, "IQ_BOND_PRICE", $L190)),"")</f>
        <v>0</v>
      </c>
      <c r="O190" s="424">
        <f>IF(AND($L190&lt;&gt;"",O$3&lt;&gt;""),IF(NOT(ISNUMBER(_xll.ciqfunctions.udf.CIQ(O$3, "IQ_BOND_PRICE", $L190))),NA(),_xll.ciqfunctions.udf.CIQ(O$3, "IQ_BOND_PRICE", $L190)),"")</f>
        <v>101.74721</v>
      </c>
      <c r="P190" s="424">
        <f>IF(AND($L190&lt;&gt;"",P$3&lt;&gt;""),IF(NOT(ISNUMBER(_xll.ciqfunctions.udf.CIQ(P$3, "IQ_BOND_PRICE", $L190))),NA(),_xll.ciqfunctions.udf.CIQ(P$3, "IQ_BOND_PRICE", $L190)),"")</f>
        <v>102.01118</v>
      </c>
      <c r="Q190" s="424">
        <f>IF(AND($L190&lt;&gt;"",Q$3&lt;&gt;""),IF(NOT(ISNUMBER(_xll.ciqfunctions.udf.CIQ(Q$3, "IQ_BOND_PRICE", $L190))),NA(),_xll.ciqfunctions.udf.CIQ(Q$3, "IQ_BOND_PRICE", $L190)),"")</f>
        <v>104.119</v>
      </c>
      <c r="R190" s="424">
        <f>IF(AND($L190&lt;&gt;"",R$3&lt;&gt;""),IF(NOT(ISNUMBER(_xll.ciqfunctions.udf.CIQ(R$3, "IQ_BOND_PRICE", $L190))),NA(),_xll.ciqfunctions.udf.CIQ(R$3, "IQ_BOND_PRICE", $L190)),"")</f>
        <v>110.48399999999999</v>
      </c>
      <c r="S190" s="424">
        <f>IF(AND($L190&lt;&gt;"",S$3&lt;&gt;""),IF(NOT(ISNUMBER(_xll.ciqfunctions.udf.CIQ(S$3, "IQ_BOND_PRICE", $L190))),NA(),_xll.ciqfunctions.udf.CIQ(S$3, "IQ_BOND_PRICE", $L190)),"")</f>
        <v>104.813</v>
      </c>
      <c r="T190" s="424">
        <f>IF(AND($L190&lt;&gt;"",T$3&lt;&gt;""),IF(NOT(ISNUMBER(_xll.ciqfunctions.udf.CIQ(T$3, "IQ_BOND_PRICE", $L190))),NA(),_xll.ciqfunctions.udf.CIQ(T$3, "IQ_BOND_PRICE", $L190)),"")</f>
        <v>104.589</v>
      </c>
      <c r="U190" s="424">
        <f>IF(AND($L190&lt;&gt;"",U$3&lt;&gt;""),IF(NOT(ISNUMBER(_xll.ciqfunctions.udf.CIQ(U$3, "IQ_BOND_PRICE", $L190))),NA(),_xll.ciqfunctions.udf.CIQ(U$3, "IQ_BOND_PRICE", $L190)),"")</f>
        <v>99.891000000000005</v>
      </c>
      <c r="V190" s="424">
        <f>IF(AND($L190&lt;&gt;"",V$3&lt;&gt;""),IF(NOT(ISNUMBER(_xll.ciqfunctions.udf.CIQ(V$3, "IQ_BOND_PRICE", $L190))),NA(),_xll.ciqfunctions.udf.CIQ(V$3, "IQ_BOND_PRICE", $L190)),"")</f>
        <v>104.63588</v>
      </c>
      <c r="W190" s="424">
        <f>IF(AND($L190&lt;&gt;"",W$3&lt;&gt;""),IF(NOT(ISNUMBER(_xll.ciqfunctions.udf.CIQ(W$3, "IQ_BOND_PRICE", $L190))),NA(),_xll.ciqfunctions.udf.CIQ(W$3, "IQ_BOND_PRICE", $L190)),"")</f>
        <v>107.88200000000001</v>
      </c>
      <c r="X190" s="424">
        <f>IF(AND($L190&lt;&gt;"",X$3&lt;&gt;""),IF(NOT(ISNUMBER(_xll.ciqfunctions.udf.CIQ(X$3, "IQ_BOND_PRICE", $L190))),NA(),_xll.ciqfunctions.udf.CIQ(X$3, "IQ_BOND_PRICE", $L190)),"")</f>
        <v>110.18300000000001</v>
      </c>
      <c r="Y190" s="424">
        <f>IF(AND($L190&lt;&gt;"",Y$3&lt;&gt;""),IF(NOT(ISNUMBER(_xll.ciqfunctions.udf.CIQ(Y$3, "IQ_BOND_PRICE", $L190))),NA(),_xll.ciqfunctions.udf.CIQ(Y$3, "IQ_BOND_PRICE", $L190)),"")</f>
        <v>106.872</v>
      </c>
      <c r="Z190" s="424">
        <f>IF(AND($L190&lt;&gt;"",Z$3&lt;&gt;""),IF(NOT(ISNUMBER(_xll.ciqfunctions.udf.CIQ(Z$3, "IQ_BOND_PRICE", $L190))),NA(),_xll.ciqfunctions.udf.CIQ(Z$3, "IQ_BOND_PRICE", $L190)),"")</f>
        <v>98.571420000000003</v>
      </c>
      <c r="CZ190" s="426"/>
    </row>
    <row r="191" spans="12:104" x14ac:dyDescent="0.2">
      <c r="L191" s="425">
        <f t="shared" si="2"/>
        <v>44539</v>
      </c>
      <c r="M191" s="424">
        <f>IF(AND($L191&lt;&gt;"",M$3&lt;&gt;""),IF(NOT(ISNUMBER(_xll.ciqfunctions.udf.CIQ(M$3, "IQ_BOND_PRICE", $L191))),NA(),_xll.ciqfunctions.udf.CIQ(M$3, "IQ_BOND_PRICE", $L191)),"")</f>
        <v>100.447</v>
      </c>
      <c r="N191" s="424">
        <f>IF(AND($L191&lt;&gt;"",N$3&lt;&gt;""),IF(NOT(ISNUMBER(_xll.ciqfunctions.udf.CIQ(N$3, "IQ_BOND_PRICE", $L191))),NA(),_xll.ciqfunctions.udf.CIQ(N$3, "IQ_BOND_PRICE", $L191)),"")</f>
        <v>0</v>
      </c>
      <c r="O191" s="424">
        <f>IF(AND($L191&lt;&gt;"",O$3&lt;&gt;""),IF(NOT(ISNUMBER(_xll.ciqfunctions.udf.CIQ(O$3, "IQ_BOND_PRICE", $L191))),NA(),_xll.ciqfunctions.udf.CIQ(O$3, "IQ_BOND_PRICE", $L191)),"")</f>
        <v>101.7911</v>
      </c>
      <c r="P191" s="424">
        <f>IF(AND($L191&lt;&gt;"",P$3&lt;&gt;""),IF(NOT(ISNUMBER(_xll.ciqfunctions.udf.CIQ(P$3, "IQ_BOND_PRICE", $L191))),NA(),_xll.ciqfunctions.udf.CIQ(P$3, "IQ_BOND_PRICE", $L191)),"")</f>
        <v>101.98681999999999</v>
      </c>
      <c r="Q191" s="424">
        <f>IF(AND($L191&lt;&gt;"",Q$3&lt;&gt;""),IF(NOT(ISNUMBER(_xll.ciqfunctions.udf.CIQ(Q$3, "IQ_BOND_PRICE", $L191))),NA(),_xll.ciqfunctions.udf.CIQ(Q$3, "IQ_BOND_PRICE", $L191)),"")</f>
        <v>104.143</v>
      </c>
      <c r="R191" s="424">
        <f>IF(AND($L191&lt;&gt;"",R$3&lt;&gt;""),IF(NOT(ISNUMBER(_xll.ciqfunctions.udf.CIQ(R$3, "IQ_BOND_PRICE", $L191))),NA(),_xll.ciqfunctions.udf.CIQ(R$3, "IQ_BOND_PRICE", $L191)),"")</f>
        <v>110.459</v>
      </c>
      <c r="S191" s="424">
        <f>IF(AND($L191&lt;&gt;"",S$3&lt;&gt;""),IF(NOT(ISNUMBER(_xll.ciqfunctions.udf.CIQ(S$3, "IQ_BOND_PRICE", $L191))),NA(),_xll.ciqfunctions.udf.CIQ(S$3, "IQ_BOND_PRICE", $L191)),"")</f>
        <v>104.768</v>
      </c>
      <c r="T191" s="424">
        <f>IF(AND($L191&lt;&gt;"",T$3&lt;&gt;""),IF(NOT(ISNUMBER(_xll.ciqfunctions.udf.CIQ(T$3, "IQ_BOND_PRICE", $L191))),NA(),_xll.ciqfunctions.udf.CIQ(T$3, "IQ_BOND_PRICE", $L191)),"")</f>
        <v>104.544</v>
      </c>
      <c r="U191" s="424">
        <f>IF(AND($L191&lt;&gt;"",U$3&lt;&gt;""),IF(NOT(ISNUMBER(_xll.ciqfunctions.udf.CIQ(U$3, "IQ_BOND_PRICE", $L191))),NA(),_xll.ciqfunctions.udf.CIQ(U$3, "IQ_BOND_PRICE", $L191)),"")</f>
        <v>99.890309999999999</v>
      </c>
      <c r="V191" s="424">
        <f>IF(AND($L191&lt;&gt;"",V$3&lt;&gt;""),IF(NOT(ISNUMBER(_xll.ciqfunctions.udf.CIQ(V$3, "IQ_BOND_PRICE", $L191))),NA(),_xll.ciqfunctions.udf.CIQ(V$3, "IQ_BOND_PRICE", $L191)),"")</f>
        <v>104.60639</v>
      </c>
      <c r="W191" s="424">
        <f>IF(AND($L191&lt;&gt;"",W$3&lt;&gt;""),IF(NOT(ISNUMBER(_xll.ciqfunctions.udf.CIQ(W$3, "IQ_BOND_PRICE", $L191))),NA(),_xll.ciqfunctions.udf.CIQ(W$3, "IQ_BOND_PRICE", $L191)),"")</f>
        <v>107.869</v>
      </c>
      <c r="X191" s="424">
        <f>IF(AND($L191&lt;&gt;"",X$3&lt;&gt;""),IF(NOT(ISNUMBER(_xll.ciqfunctions.udf.CIQ(X$3, "IQ_BOND_PRICE", $L191))),NA(),_xll.ciqfunctions.udf.CIQ(X$3, "IQ_BOND_PRICE", $L191)),"")</f>
        <v>110.252</v>
      </c>
      <c r="Y191" s="424">
        <f>IF(AND($L191&lt;&gt;"",Y$3&lt;&gt;""),IF(NOT(ISNUMBER(_xll.ciqfunctions.udf.CIQ(Y$3, "IQ_BOND_PRICE", $L191))),NA(),_xll.ciqfunctions.udf.CIQ(Y$3, "IQ_BOND_PRICE", $L191)),"")</f>
        <v>106.679</v>
      </c>
      <c r="Z191" s="424">
        <f>IF(AND($L191&lt;&gt;"",Z$3&lt;&gt;""),IF(NOT(ISNUMBER(_xll.ciqfunctions.udf.CIQ(Z$3, "IQ_BOND_PRICE", $L191))),NA(),_xll.ciqfunctions.udf.CIQ(Z$3, "IQ_BOND_PRICE", $L191)),"")</f>
        <v>98.581230000000005</v>
      </c>
      <c r="CZ191" s="426"/>
    </row>
    <row r="192" spans="12:104" x14ac:dyDescent="0.2">
      <c r="L192" s="425">
        <f t="shared" si="2"/>
        <v>44540</v>
      </c>
      <c r="M192" s="424">
        <f>IF(AND($L192&lt;&gt;"",M$3&lt;&gt;""),IF(NOT(ISNUMBER(_xll.ciqfunctions.udf.CIQ(M$3, "IQ_BOND_PRICE", $L192))),NA(),_xll.ciqfunctions.udf.CIQ(M$3, "IQ_BOND_PRICE", $L192)),"")</f>
        <v>100.343</v>
      </c>
      <c r="N192" s="424">
        <f>IF(AND($L192&lt;&gt;"",N$3&lt;&gt;""),IF(NOT(ISNUMBER(_xll.ciqfunctions.udf.CIQ(N$3, "IQ_BOND_PRICE", $L192))),NA(),_xll.ciqfunctions.udf.CIQ(N$3, "IQ_BOND_PRICE", $L192)),"")</f>
        <v>0</v>
      </c>
      <c r="O192" s="424">
        <f>IF(AND($L192&lt;&gt;"",O$3&lt;&gt;""),IF(NOT(ISNUMBER(_xll.ciqfunctions.udf.CIQ(O$3, "IQ_BOND_PRICE", $L192))),NA(),_xll.ciqfunctions.udf.CIQ(O$3, "IQ_BOND_PRICE", $L192)),"")</f>
        <v>101.79468</v>
      </c>
      <c r="P192" s="424">
        <f>IF(AND($L192&lt;&gt;"",P$3&lt;&gt;""),IF(NOT(ISNUMBER(_xll.ciqfunctions.udf.CIQ(P$3, "IQ_BOND_PRICE", $L192))),NA(),_xll.ciqfunctions.udf.CIQ(P$3, "IQ_BOND_PRICE", $L192)),"")</f>
        <v>102.11172000000001</v>
      </c>
      <c r="Q192" s="424">
        <f>IF(AND($L192&lt;&gt;"",Q$3&lt;&gt;""),IF(NOT(ISNUMBER(_xll.ciqfunctions.udf.CIQ(Q$3, "IQ_BOND_PRICE", $L192))),NA(),_xll.ciqfunctions.udf.CIQ(Q$3, "IQ_BOND_PRICE", $L192)),"")</f>
        <v>104.099</v>
      </c>
      <c r="R192" s="424">
        <f>IF(AND($L192&lt;&gt;"",R$3&lt;&gt;""),IF(NOT(ISNUMBER(_xll.ciqfunctions.udf.CIQ(R$3, "IQ_BOND_PRICE", $L192))),NA(),_xll.ciqfunctions.udf.CIQ(R$3, "IQ_BOND_PRICE", $L192)),"")</f>
        <v>110.479</v>
      </c>
      <c r="S192" s="424">
        <f>IF(AND($L192&lt;&gt;"",S$3&lt;&gt;""),IF(NOT(ISNUMBER(_xll.ciqfunctions.udf.CIQ(S$3, "IQ_BOND_PRICE", $L192))),NA(),_xll.ciqfunctions.udf.CIQ(S$3, "IQ_BOND_PRICE", $L192)),"")</f>
        <v>104.813</v>
      </c>
      <c r="T192" s="424">
        <f>IF(AND($L192&lt;&gt;"",T$3&lt;&gt;""),IF(NOT(ISNUMBER(_xll.ciqfunctions.udf.CIQ(T$3, "IQ_BOND_PRICE", $L192))),NA(),_xll.ciqfunctions.udf.CIQ(T$3, "IQ_BOND_PRICE", $L192)),"")</f>
        <v>104.468</v>
      </c>
      <c r="U192" s="424">
        <f>IF(AND($L192&lt;&gt;"",U$3&lt;&gt;""),IF(NOT(ISNUMBER(_xll.ciqfunctions.udf.CIQ(U$3, "IQ_BOND_PRICE", $L192))),NA(),_xll.ciqfunctions.udf.CIQ(U$3, "IQ_BOND_PRICE", $L192)),"")</f>
        <v>99.88776</v>
      </c>
      <c r="V192" s="424">
        <f>IF(AND($L192&lt;&gt;"",V$3&lt;&gt;""),IF(NOT(ISNUMBER(_xll.ciqfunctions.udf.CIQ(V$3, "IQ_BOND_PRICE", $L192))),NA(),_xll.ciqfunctions.udf.CIQ(V$3, "IQ_BOND_PRICE", $L192)),"")</f>
        <v>104.82362000000001</v>
      </c>
      <c r="W192" s="424">
        <f>IF(AND($L192&lt;&gt;"",W$3&lt;&gt;""),IF(NOT(ISNUMBER(_xll.ciqfunctions.udf.CIQ(W$3, "IQ_BOND_PRICE", $L192))),NA(),_xll.ciqfunctions.udf.CIQ(W$3, "IQ_BOND_PRICE", $L192)),"")</f>
        <v>107.88500000000001</v>
      </c>
      <c r="X192" s="424">
        <f>IF(AND($L192&lt;&gt;"",X$3&lt;&gt;""),IF(NOT(ISNUMBER(_xll.ciqfunctions.udf.CIQ(X$3, "IQ_BOND_PRICE", $L192))),NA(),_xll.ciqfunctions.udf.CIQ(X$3, "IQ_BOND_PRICE", $L192)),"")</f>
        <v>110.2</v>
      </c>
      <c r="Y192" s="424">
        <f>IF(AND($L192&lt;&gt;"",Y$3&lt;&gt;""),IF(NOT(ISNUMBER(_xll.ciqfunctions.udf.CIQ(Y$3, "IQ_BOND_PRICE", $L192))),NA(),_xll.ciqfunctions.udf.CIQ(Y$3, "IQ_BOND_PRICE", $L192)),"")</f>
        <v>106.703</v>
      </c>
      <c r="Z192" s="424">
        <f>IF(AND($L192&lt;&gt;"",Z$3&lt;&gt;""),IF(NOT(ISNUMBER(_xll.ciqfunctions.udf.CIQ(Z$3, "IQ_BOND_PRICE", $L192))),NA(),_xll.ciqfunctions.udf.CIQ(Z$3, "IQ_BOND_PRICE", $L192)),"")</f>
        <v>98.655940000000001</v>
      </c>
      <c r="CZ192" s="426"/>
    </row>
    <row r="193" spans="12:104" x14ac:dyDescent="0.2">
      <c r="L193" s="425">
        <f t="shared" si="2"/>
        <v>44543</v>
      </c>
      <c r="M193" s="424">
        <f>IF(AND($L193&lt;&gt;"",M$3&lt;&gt;""),IF(NOT(ISNUMBER(_xll.ciqfunctions.udf.CIQ(M$3, "IQ_BOND_PRICE", $L193))),NA(),_xll.ciqfunctions.udf.CIQ(M$3, "IQ_BOND_PRICE", $L193)),"")</f>
        <v>100.417</v>
      </c>
      <c r="N193" s="424">
        <f>IF(AND($L193&lt;&gt;"",N$3&lt;&gt;""),IF(NOT(ISNUMBER(_xll.ciqfunctions.udf.CIQ(N$3, "IQ_BOND_PRICE", $L193))),NA(),_xll.ciqfunctions.udf.CIQ(N$3, "IQ_BOND_PRICE", $L193)),"")</f>
        <v>0</v>
      </c>
      <c r="O193" s="424">
        <f>IF(AND($L193&lt;&gt;"",O$3&lt;&gt;""),IF(NOT(ISNUMBER(_xll.ciqfunctions.udf.CIQ(O$3, "IQ_BOND_PRICE", $L193))),NA(),_xll.ciqfunctions.udf.CIQ(O$3, "IQ_BOND_PRICE", $L193)),"")</f>
        <v>101.80682</v>
      </c>
      <c r="P193" s="424">
        <f>IF(AND($L193&lt;&gt;"",P$3&lt;&gt;""),IF(NOT(ISNUMBER(_xll.ciqfunctions.udf.CIQ(P$3, "IQ_BOND_PRICE", $L193))),NA(),_xll.ciqfunctions.udf.CIQ(P$3, "IQ_BOND_PRICE", $L193)),"")</f>
        <v>102.20761</v>
      </c>
      <c r="Q193" s="424">
        <f>IF(AND($L193&lt;&gt;"",Q$3&lt;&gt;""),IF(NOT(ISNUMBER(_xll.ciqfunctions.udf.CIQ(Q$3, "IQ_BOND_PRICE", $L193))),NA(),_xll.ciqfunctions.udf.CIQ(Q$3, "IQ_BOND_PRICE", $L193)),"")</f>
        <v>104.13500000000001</v>
      </c>
      <c r="R193" s="424">
        <f>IF(AND($L193&lt;&gt;"",R$3&lt;&gt;""),IF(NOT(ISNUMBER(_xll.ciqfunctions.udf.CIQ(R$3, "IQ_BOND_PRICE", $L193))),NA(),_xll.ciqfunctions.udf.CIQ(R$3, "IQ_BOND_PRICE", $L193)),"")</f>
        <v>110.48</v>
      </c>
      <c r="S193" s="424">
        <f>IF(AND($L193&lt;&gt;"",S$3&lt;&gt;""),IF(NOT(ISNUMBER(_xll.ciqfunctions.udf.CIQ(S$3, "IQ_BOND_PRICE", $L193))),NA(),_xll.ciqfunctions.udf.CIQ(S$3, "IQ_BOND_PRICE", $L193)),"")</f>
        <v>104.79300000000001</v>
      </c>
      <c r="T193" s="424">
        <f>IF(AND($L193&lt;&gt;"",T$3&lt;&gt;""),IF(NOT(ISNUMBER(_xll.ciqfunctions.udf.CIQ(T$3, "IQ_BOND_PRICE", $L193))),NA(),_xll.ciqfunctions.udf.CIQ(T$3, "IQ_BOND_PRICE", $L193)),"")</f>
        <v>104.447</v>
      </c>
      <c r="U193" s="424">
        <f>IF(AND($L193&lt;&gt;"",U$3&lt;&gt;""),IF(NOT(ISNUMBER(_xll.ciqfunctions.udf.CIQ(U$3, "IQ_BOND_PRICE", $L193))),NA(),_xll.ciqfunctions.udf.CIQ(U$3, "IQ_BOND_PRICE", $L193)),"")</f>
        <v>99.887960000000007</v>
      </c>
      <c r="V193" s="424">
        <f>IF(AND($L193&lt;&gt;"",V$3&lt;&gt;""),IF(NOT(ISNUMBER(_xll.ciqfunctions.udf.CIQ(V$3, "IQ_BOND_PRICE", $L193))),NA(),_xll.ciqfunctions.udf.CIQ(V$3, "IQ_BOND_PRICE", $L193)),"")</f>
        <v>104.80016999999999</v>
      </c>
      <c r="W193" s="424">
        <f>IF(AND($L193&lt;&gt;"",W$3&lt;&gt;""),IF(NOT(ISNUMBER(_xll.ciqfunctions.udf.CIQ(W$3, "IQ_BOND_PRICE", $L193))),NA(),_xll.ciqfunctions.udf.CIQ(W$3, "IQ_BOND_PRICE", $L193)),"")</f>
        <v>108.01300000000001</v>
      </c>
      <c r="X193" s="424">
        <f>IF(AND($L193&lt;&gt;"",X$3&lt;&gt;""),IF(NOT(ISNUMBER(_xll.ciqfunctions.udf.CIQ(X$3, "IQ_BOND_PRICE", $L193))),NA(),_xll.ciqfunctions.udf.CIQ(X$3, "IQ_BOND_PRICE", $L193)),"")</f>
        <v>110.221</v>
      </c>
      <c r="Y193" s="424">
        <f>IF(AND($L193&lt;&gt;"",Y$3&lt;&gt;""),IF(NOT(ISNUMBER(_xll.ciqfunctions.udf.CIQ(Y$3, "IQ_BOND_PRICE", $L193))),NA(),_xll.ciqfunctions.udf.CIQ(Y$3, "IQ_BOND_PRICE", $L193)),"")</f>
        <v>106.871</v>
      </c>
      <c r="Z193" s="424">
        <f>IF(AND($L193&lt;&gt;"",Z$3&lt;&gt;""),IF(NOT(ISNUMBER(_xll.ciqfunctions.udf.CIQ(Z$3, "IQ_BOND_PRICE", $L193))),NA(),_xll.ciqfunctions.udf.CIQ(Z$3, "IQ_BOND_PRICE", $L193)),"")</f>
        <v>98.834869999999995</v>
      </c>
      <c r="CZ193" s="426"/>
    </row>
    <row r="194" spans="12:104" x14ac:dyDescent="0.2">
      <c r="L194" s="425">
        <f t="shared" si="2"/>
        <v>44544</v>
      </c>
      <c r="M194" s="424">
        <f>IF(AND($L194&lt;&gt;"",M$3&lt;&gt;""),IF(NOT(ISNUMBER(_xll.ciqfunctions.udf.CIQ(M$3, "IQ_BOND_PRICE", $L194))),NA(),_xll.ciqfunctions.udf.CIQ(M$3, "IQ_BOND_PRICE", $L194)),"")</f>
        <v>100.429</v>
      </c>
      <c r="N194" s="424">
        <f>IF(AND($L194&lt;&gt;"",N$3&lt;&gt;""),IF(NOT(ISNUMBER(_xll.ciqfunctions.udf.CIQ(N$3, "IQ_BOND_PRICE", $L194))),NA(),_xll.ciqfunctions.udf.CIQ(N$3, "IQ_BOND_PRICE", $L194)),"")</f>
        <v>0</v>
      </c>
      <c r="O194" s="424">
        <f>IF(AND($L194&lt;&gt;"",O$3&lt;&gt;""),IF(NOT(ISNUMBER(_xll.ciqfunctions.udf.CIQ(O$3, "IQ_BOND_PRICE", $L194))),NA(),_xll.ciqfunctions.udf.CIQ(O$3, "IQ_BOND_PRICE", $L194)),"")</f>
        <v>101.78585</v>
      </c>
      <c r="P194" s="424">
        <f>IF(AND($L194&lt;&gt;"",P$3&lt;&gt;""),IF(NOT(ISNUMBER(_xll.ciqfunctions.udf.CIQ(P$3, "IQ_BOND_PRICE", $L194))),NA(),_xll.ciqfunctions.udf.CIQ(P$3, "IQ_BOND_PRICE", $L194)),"")</f>
        <v>102.18643</v>
      </c>
      <c r="Q194" s="424">
        <f>IF(AND($L194&lt;&gt;"",Q$3&lt;&gt;""),IF(NOT(ISNUMBER(_xll.ciqfunctions.udf.CIQ(Q$3, "IQ_BOND_PRICE", $L194))),NA(),_xll.ciqfunctions.udf.CIQ(Q$3, "IQ_BOND_PRICE", $L194)),"")</f>
        <v>104.124</v>
      </c>
      <c r="R194" s="424">
        <f>IF(AND($L194&lt;&gt;"",R$3&lt;&gt;""),IF(NOT(ISNUMBER(_xll.ciqfunctions.udf.CIQ(R$3, "IQ_BOND_PRICE", $L194))),NA(),_xll.ciqfunctions.udf.CIQ(R$3, "IQ_BOND_PRICE", $L194)),"")</f>
        <v>110.52</v>
      </c>
      <c r="S194" s="424">
        <f>IF(AND($L194&lt;&gt;"",S$3&lt;&gt;""),IF(NOT(ISNUMBER(_xll.ciqfunctions.udf.CIQ(S$3, "IQ_BOND_PRICE", $L194))),NA(),_xll.ciqfunctions.udf.CIQ(S$3, "IQ_BOND_PRICE", $L194)),"")</f>
        <v>104.779</v>
      </c>
      <c r="T194" s="424">
        <f>IF(AND($L194&lt;&gt;"",T$3&lt;&gt;""),IF(NOT(ISNUMBER(_xll.ciqfunctions.udf.CIQ(T$3, "IQ_BOND_PRICE", $L194))),NA(),_xll.ciqfunctions.udf.CIQ(T$3, "IQ_BOND_PRICE", $L194)),"")</f>
        <v>104.5</v>
      </c>
      <c r="U194" s="424">
        <f>IF(AND($L194&lt;&gt;"",U$3&lt;&gt;""),IF(NOT(ISNUMBER(_xll.ciqfunctions.udf.CIQ(U$3, "IQ_BOND_PRICE", $L194))),NA(),_xll.ciqfunctions.udf.CIQ(U$3, "IQ_BOND_PRICE", $L194)),"")</f>
        <v>99.891440000000003</v>
      </c>
      <c r="V194" s="424">
        <f>IF(AND($L194&lt;&gt;"",V$3&lt;&gt;""),IF(NOT(ISNUMBER(_xll.ciqfunctions.udf.CIQ(V$3, "IQ_BOND_PRICE", $L194))),NA(),_xll.ciqfunctions.udf.CIQ(V$3, "IQ_BOND_PRICE", $L194)),"")</f>
        <v>104.61959</v>
      </c>
      <c r="W194" s="424">
        <f>IF(AND($L194&lt;&gt;"",W$3&lt;&gt;""),IF(NOT(ISNUMBER(_xll.ciqfunctions.udf.CIQ(W$3, "IQ_BOND_PRICE", $L194))),NA(),_xll.ciqfunctions.udf.CIQ(W$3, "IQ_BOND_PRICE", $L194)),"")</f>
        <v>107.88200000000001</v>
      </c>
      <c r="X194" s="424">
        <f>IF(AND($L194&lt;&gt;"",X$3&lt;&gt;""),IF(NOT(ISNUMBER(_xll.ciqfunctions.udf.CIQ(X$3, "IQ_BOND_PRICE", $L194))),NA(),_xll.ciqfunctions.udf.CIQ(X$3, "IQ_BOND_PRICE", $L194)),"")</f>
        <v>110.155</v>
      </c>
      <c r="Y194" s="424">
        <f>IF(AND($L194&lt;&gt;"",Y$3&lt;&gt;""),IF(NOT(ISNUMBER(_xll.ciqfunctions.udf.CIQ(Y$3, "IQ_BOND_PRICE", $L194))),NA(),_xll.ciqfunctions.udf.CIQ(Y$3, "IQ_BOND_PRICE", $L194)),"")</f>
        <v>106.774</v>
      </c>
      <c r="Z194" s="424">
        <f>IF(AND($L194&lt;&gt;"",Z$3&lt;&gt;""),IF(NOT(ISNUMBER(_xll.ciqfunctions.udf.CIQ(Z$3, "IQ_BOND_PRICE", $L194))),NA(),_xll.ciqfunctions.udf.CIQ(Z$3, "IQ_BOND_PRICE", $L194)),"")</f>
        <v>98.845590000000001</v>
      </c>
      <c r="CZ194" s="426"/>
    </row>
    <row r="195" spans="12:104" x14ac:dyDescent="0.2">
      <c r="L195" s="425">
        <f t="shared" si="2"/>
        <v>44545</v>
      </c>
      <c r="M195" s="424">
        <f>IF(AND($L195&lt;&gt;"",M$3&lt;&gt;""),IF(NOT(ISNUMBER(_xll.ciqfunctions.udf.CIQ(M$3, "IQ_BOND_PRICE", $L195))),NA(),_xll.ciqfunctions.udf.CIQ(M$3, "IQ_BOND_PRICE", $L195)),"")</f>
        <v>100.456</v>
      </c>
      <c r="N195" s="424">
        <f>IF(AND($L195&lt;&gt;"",N$3&lt;&gt;""),IF(NOT(ISNUMBER(_xll.ciqfunctions.udf.CIQ(N$3, "IQ_BOND_PRICE", $L195))),NA(),_xll.ciqfunctions.udf.CIQ(N$3, "IQ_BOND_PRICE", $L195)),"")</f>
        <v>0</v>
      </c>
      <c r="O195" s="424">
        <f>IF(AND($L195&lt;&gt;"",O$3&lt;&gt;""),IF(NOT(ISNUMBER(_xll.ciqfunctions.udf.CIQ(O$3, "IQ_BOND_PRICE", $L195))),NA(),_xll.ciqfunctions.udf.CIQ(O$3, "IQ_BOND_PRICE", $L195)),"")</f>
        <v>101.69345</v>
      </c>
      <c r="P195" s="424">
        <f>IF(AND($L195&lt;&gt;"",P$3&lt;&gt;""),IF(NOT(ISNUMBER(_xll.ciqfunctions.udf.CIQ(P$3, "IQ_BOND_PRICE", $L195))),NA(),_xll.ciqfunctions.udf.CIQ(P$3, "IQ_BOND_PRICE", $L195)),"")</f>
        <v>102.15873999999999</v>
      </c>
      <c r="Q195" s="424">
        <f>IF(AND($L195&lt;&gt;"",Q$3&lt;&gt;""),IF(NOT(ISNUMBER(_xll.ciqfunctions.udf.CIQ(Q$3, "IQ_BOND_PRICE", $L195))),NA(),_xll.ciqfunctions.udf.CIQ(Q$3, "IQ_BOND_PRICE", $L195)),"")</f>
        <v>103.998</v>
      </c>
      <c r="R195" s="424">
        <f>IF(AND($L195&lt;&gt;"",R$3&lt;&gt;""),IF(NOT(ISNUMBER(_xll.ciqfunctions.udf.CIQ(R$3, "IQ_BOND_PRICE", $L195))),NA(),_xll.ciqfunctions.udf.CIQ(R$3, "IQ_BOND_PRICE", $L195)),"")</f>
        <v>110.36</v>
      </c>
      <c r="S195" s="424">
        <f>IF(AND($L195&lt;&gt;"",S$3&lt;&gt;""),IF(NOT(ISNUMBER(_xll.ciqfunctions.udf.CIQ(S$3, "IQ_BOND_PRICE", $L195))),NA(),_xll.ciqfunctions.udf.CIQ(S$3, "IQ_BOND_PRICE", $L195)),"")</f>
        <v>104.733</v>
      </c>
      <c r="T195" s="424">
        <f>IF(AND($L195&lt;&gt;"",T$3&lt;&gt;""),IF(NOT(ISNUMBER(_xll.ciqfunctions.udf.CIQ(T$3, "IQ_BOND_PRICE", $L195))),NA(),_xll.ciqfunctions.udf.CIQ(T$3, "IQ_BOND_PRICE", $L195)),"")</f>
        <v>104.488</v>
      </c>
      <c r="U195" s="424">
        <f>IF(AND($L195&lt;&gt;"",U$3&lt;&gt;""),IF(NOT(ISNUMBER(_xll.ciqfunctions.udf.CIQ(U$3, "IQ_BOND_PRICE", $L195))),NA(),_xll.ciqfunctions.udf.CIQ(U$3, "IQ_BOND_PRICE", $L195)),"")</f>
        <v>99.89622</v>
      </c>
      <c r="V195" s="424">
        <f>IF(AND($L195&lt;&gt;"",V$3&lt;&gt;""),IF(NOT(ISNUMBER(_xll.ciqfunctions.udf.CIQ(V$3, "IQ_BOND_PRICE", $L195))),NA(),_xll.ciqfunctions.udf.CIQ(V$3, "IQ_BOND_PRICE", $L195)),"")</f>
        <v>104.56216999999999</v>
      </c>
      <c r="W195" s="424">
        <f>IF(AND($L195&lt;&gt;"",W$3&lt;&gt;""),IF(NOT(ISNUMBER(_xll.ciqfunctions.udf.CIQ(W$3, "IQ_BOND_PRICE", $L195))),NA(),_xll.ciqfunctions.udf.CIQ(W$3, "IQ_BOND_PRICE", $L195)),"")</f>
        <v>107.724</v>
      </c>
      <c r="X195" s="424">
        <f>IF(AND($L195&lt;&gt;"",X$3&lt;&gt;""),IF(NOT(ISNUMBER(_xll.ciqfunctions.udf.CIQ(X$3, "IQ_BOND_PRICE", $L195))),NA(),_xll.ciqfunctions.udf.CIQ(X$3, "IQ_BOND_PRICE", $L195)),"")</f>
        <v>110.086</v>
      </c>
      <c r="Y195" s="424">
        <f>IF(AND($L195&lt;&gt;"",Y$3&lt;&gt;""),IF(NOT(ISNUMBER(_xll.ciqfunctions.udf.CIQ(Y$3, "IQ_BOND_PRICE", $L195))),NA(),_xll.ciqfunctions.udf.CIQ(Y$3, "IQ_BOND_PRICE", $L195)),"")</f>
        <v>106.66200000000001</v>
      </c>
      <c r="Z195" s="424">
        <f>IF(AND($L195&lt;&gt;"",Z$3&lt;&gt;""),IF(NOT(ISNUMBER(_xll.ciqfunctions.udf.CIQ(Z$3, "IQ_BOND_PRICE", $L195))),NA(),_xll.ciqfunctions.udf.CIQ(Z$3, "IQ_BOND_PRICE", $L195)),"")</f>
        <v>98.682869999999994</v>
      </c>
      <c r="CZ195" s="426"/>
    </row>
    <row r="196" spans="12:104" x14ac:dyDescent="0.2">
      <c r="L196" s="425">
        <f t="shared" si="2"/>
        <v>44546</v>
      </c>
      <c r="M196" s="424">
        <f>IF(AND($L196&lt;&gt;"",M$3&lt;&gt;""),IF(NOT(ISNUMBER(_xll.ciqfunctions.udf.CIQ(M$3, "IQ_BOND_PRICE", $L196))),NA(),_xll.ciqfunctions.udf.CIQ(M$3, "IQ_BOND_PRICE", $L196)),"")</f>
        <v>100.455</v>
      </c>
      <c r="N196" s="424">
        <f>IF(AND($L196&lt;&gt;"",N$3&lt;&gt;""),IF(NOT(ISNUMBER(_xll.ciqfunctions.udf.CIQ(N$3, "IQ_BOND_PRICE", $L196))),NA(),_xll.ciqfunctions.udf.CIQ(N$3, "IQ_BOND_PRICE", $L196)),"")</f>
        <v>0</v>
      </c>
      <c r="O196" s="424">
        <f>IF(AND($L196&lt;&gt;"",O$3&lt;&gt;""),IF(NOT(ISNUMBER(_xll.ciqfunctions.udf.CIQ(O$3, "IQ_BOND_PRICE", $L196))),NA(),_xll.ciqfunctions.udf.CIQ(O$3, "IQ_BOND_PRICE", $L196)),"")</f>
        <v>101.80004</v>
      </c>
      <c r="P196" s="424">
        <f>IF(AND($L196&lt;&gt;"",P$3&lt;&gt;""),IF(NOT(ISNUMBER(_xll.ciqfunctions.udf.CIQ(P$3, "IQ_BOND_PRICE", $L196))),NA(),_xll.ciqfunctions.udf.CIQ(P$3, "IQ_BOND_PRICE", $L196)),"")</f>
        <v>102.22783</v>
      </c>
      <c r="Q196" s="424">
        <f>IF(AND($L196&lt;&gt;"",Q$3&lt;&gt;""),IF(NOT(ISNUMBER(_xll.ciqfunctions.udf.CIQ(Q$3, "IQ_BOND_PRICE", $L196))),NA(),_xll.ciqfunctions.udf.CIQ(Q$3, "IQ_BOND_PRICE", $L196)),"")</f>
        <v>104.125</v>
      </c>
      <c r="R196" s="424">
        <f>IF(AND($L196&lt;&gt;"",R$3&lt;&gt;""),IF(NOT(ISNUMBER(_xll.ciqfunctions.udf.CIQ(R$3, "IQ_BOND_PRICE", $L196))),NA(),_xll.ciqfunctions.udf.CIQ(R$3, "IQ_BOND_PRICE", $L196)),"")</f>
        <v>110.505</v>
      </c>
      <c r="S196" s="424">
        <f>IF(AND($L196&lt;&gt;"",S$3&lt;&gt;""),IF(NOT(ISNUMBER(_xll.ciqfunctions.udf.CIQ(S$3, "IQ_BOND_PRICE", $L196))),NA(),_xll.ciqfunctions.udf.CIQ(S$3, "IQ_BOND_PRICE", $L196)),"")</f>
        <v>104.904</v>
      </c>
      <c r="T196" s="424">
        <f>IF(AND($L196&lt;&gt;"",T$3&lt;&gt;""),IF(NOT(ISNUMBER(_xll.ciqfunctions.udf.CIQ(T$3, "IQ_BOND_PRICE", $L196))),NA(),_xll.ciqfunctions.udf.CIQ(T$3, "IQ_BOND_PRICE", $L196)),"")</f>
        <v>104.729</v>
      </c>
      <c r="U196" s="424">
        <f>IF(AND($L196&lt;&gt;"",U$3&lt;&gt;""),IF(NOT(ISNUMBER(_xll.ciqfunctions.udf.CIQ(U$3, "IQ_BOND_PRICE", $L196))),NA(),_xll.ciqfunctions.udf.CIQ(U$3, "IQ_BOND_PRICE", $L196)),"")</f>
        <v>99.898139999999998</v>
      </c>
      <c r="V196" s="424">
        <f>IF(AND($L196&lt;&gt;"",V$3&lt;&gt;""),IF(NOT(ISNUMBER(_xll.ciqfunctions.udf.CIQ(V$3, "IQ_BOND_PRICE", $L196))),NA(),_xll.ciqfunctions.udf.CIQ(V$3, "IQ_BOND_PRICE", $L196)),"")</f>
        <v>104.79823</v>
      </c>
      <c r="W196" s="424">
        <f>IF(AND($L196&lt;&gt;"",W$3&lt;&gt;""),IF(NOT(ISNUMBER(_xll.ciqfunctions.udf.CIQ(W$3, "IQ_BOND_PRICE", $L196))),NA(),_xll.ciqfunctions.udf.CIQ(W$3, "IQ_BOND_PRICE", $L196)),"")</f>
        <v>108.001</v>
      </c>
      <c r="X196" s="424">
        <f>IF(AND($L196&lt;&gt;"",X$3&lt;&gt;""),IF(NOT(ISNUMBER(_xll.ciqfunctions.udf.CIQ(X$3, "IQ_BOND_PRICE", $L196))),NA(),_xll.ciqfunctions.udf.CIQ(X$3, "IQ_BOND_PRICE", $L196)),"")</f>
        <v>110.1</v>
      </c>
      <c r="Y196" s="424">
        <f>IF(AND($L196&lt;&gt;"",Y$3&lt;&gt;""),IF(NOT(ISNUMBER(_xll.ciqfunctions.udf.CIQ(Y$3, "IQ_BOND_PRICE", $L196))),NA(),_xll.ciqfunctions.udf.CIQ(Y$3, "IQ_BOND_PRICE", $L196)),"")</f>
        <v>107.03</v>
      </c>
      <c r="Z196" s="424">
        <f>IF(AND($L196&lt;&gt;"",Z$3&lt;&gt;""),IF(NOT(ISNUMBER(_xll.ciqfunctions.udf.CIQ(Z$3, "IQ_BOND_PRICE", $L196))),NA(),_xll.ciqfunctions.udf.CIQ(Z$3, "IQ_BOND_PRICE", $L196)),"")</f>
        <v>99.062129999999996</v>
      </c>
      <c r="CZ196" s="426"/>
    </row>
    <row r="197" spans="12:104" x14ac:dyDescent="0.2">
      <c r="L197" s="425">
        <f t="shared" si="2"/>
        <v>44547</v>
      </c>
      <c r="M197" s="424">
        <f>IF(AND($L197&lt;&gt;"",M$3&lt;&gt;""),IF(NOT(ISNUMBER(_xll.ciqfunctions.udf.CIQ(M$3, "IQ_BOND_PRICE", $L197))),NA(),_xll.ciqfunctions.udf.CIQ(M$3, "IQ_BOND_PRICE", $L197)),"")</f>
        <v>100.488</v>
      </c>
      <c r="N197" s="424">
        <f>IF(AND($L197&lt;&gt;"",N$3&lt;&gt;""),IF(NOT(ISNUMBER(_xll.ciqfunctions.udf.CIQ(N$3, "IQ_BOND_PRICE", $L197))),NA(),_xll.ciqfunctions.udf.CIQ(N$3, "IQ_BOND_PRICE", $L197)),"")</f>
        <v>0</v>
      </c>
      <c r="O197" s="424">
        <f>IF(AND($L197&lt;&gt;"",O$3&lt;&gt;""),IF(NOT(ISNUMBER(_xll.ciqfunctions.udf.CIQ(O$3, "IQ_BOND_PRICE", $L197))),NA(),_xll.ciqfunctions.udf.CIQ(O$3, "IQ_BOND_PRICE", $L197)),"")</f>
        <v>101.65024</v>
      </c>
      <c r="P197" s="424">
        <f>IF(AND($L197&lt;&gt;"",P$3&lt;&gt;""),IF(NOT(ISNUMBER(_xll.ciqfunctions.udf.CIQ(P$3, "IQ_BOND_PRICE", $L197))),NA(),_xll.ciqfunctions.udf.CIQ(P$3, "IQ_BOND_PRICE", $L197)),"")</f>
        <v>102.20193999999999</v>
      </c>
      <c r="Q197" s="424">
        <f>IF(AND($L197&lt;&gt;"",Q$3&lt;&gt;""),IF(NOT(ISNUMBER(_xll.ciqfunctions.udf.CIQ(Q$3, "IQ_BOND_PRICE", $L197))),NA(),_xll.ciqfunctions.udf.CIQ(Q$3, "IQ_BOND_PRICE", $L197)),"")</f>
        <v>104.086</v>
      </c>
      <c r="R197" s="424">
        <f>IF(AND($L197&lt;&gt;"",R$3&lt;&gt;""),IF(NOT(ISNUMBER(_xll.ciqfunctions.udf.CIQ(R$3, "IQ_BOND_PRICE", $L197))),NA(),_xll.ciqfunctions.udf.CIQ(R$3, "IQ_BOND_PRICE", $L197)),"")</f>
        <v>110.441</v>
      </c>
      <c r="S197" s="424">
        <f>IF(AND($L197&lt;&gt;"",S$3&lt;&gt;""),IF(NOT(ISNUMBER(_xll.ciqfunctions.udf.CIQ(S$3, "IQ_BOND_PRICE", $L197))),NA(),_xll.ciqfunctions.udf.CIQ(S$3, "IQ_BOND_PRICE", $L197)),"")</f>
        <v>104.822</v>
      </c>
      <c r="T197" s="424">
        <f>IF(AND($L197&lt;&gt;"",T$3&lt;&gt;""),IF(NOT(ISNUMBER(_xll.ciqfunctions.udf.CIQ(T$3, "IQ_BOND_PRICE", $L197))),NA(),_xll.ciqfunctions.udf.CIQ(T$3, "IQ_BOND_PRICE", $L197)),"")</f>
        <v>104.68600000000001</v>
      </c>
      <c r="U197" s="424">
        <f>IF(AND($L197&lt;&gt;"",U$3&lt;&gt;""),IF(NOT(ISNUMBER(_xll.ciqfunctions.udf.CIQ(U$3, "IQ_BOND_PRICE", $L197))),NA(),_xll.ciqfunctions.udf.CIQ(U$3, "IQ_BOND_PRICE", $L197)),"")</f>
        <v>99.898179999999996</v>
      </c>
      <c r="V197" s="424">
        <f>IF(AND($L197&lt;&gt;"",V$3&lt;&gt;""),IF(NOT(ISNUMBER(_xll.ciqfunctions.udf.CIQ(V$3, "IQ_BOND_PRICE", $L197))),NA(),_xll.ciqfunctions.udf.CIQ(V$3, "IQ_BOND_PRICE", $L197)),"")</f>
        <v>104.72681</v>
      </c>
      <c r="W197" s="424">
        <f>IF(AND($L197&lt;&gt;"",W$3&lt;&gt;""),IF(NOT(ISNUMBER(_xll.ciqfunctions.udf.CIQ(W$3, "IQ_BOND_PRICE", $L197))),NA(),_xll.ciqfunctions.udf.CIQ(W$3, "IQ_BOND_PRICE", $L197)),"")</f>
        <v>107.925</v>
      </c>
      <c r="X197" s="424">
        <f>IF(AND($L197&lt;&gt;"",X$3&lt;&gt;""),IF(NOT(ISNUMBER(_xll.ciqfunctions.udf.CIQ(X$3, "IQ_BOND_PRICE", $L197))),NA(),_xll.ciqfunctions.udf.CIQ(X$3, "IQ_BOND_PRICE", $L197)),"")</f>
        <v>110.20099999999999</v>
      </c>
      <c r="Y197" s="424">
        <f>IF(AND($L197&lt;&gt;"",Y$3&lt;&gt;""),IF(NOT(ISNUMBER(_xll.ciqfunctions.udf.CIQ(Y$3, "IQ_BOND_PRICE", $L197))),NA(),_xll.ciqfunctions.udf.CIQ(Y$3, "IQ_BOND_PRICE", $L197)),"")</f>
        <v>107.166</v>
      </c>
      <c r="Z197" s="424">
        <f>IF(AND($L197&lt;&gt;"",Z$3&lt;&gt;""),IF(NOT(ISNUMBER(_xll.ciqfunctions.udf.CIQ(Z$3, "IQ_BOND_PRICE", $L197))),NA(),_xll.ciqfunctions.udf.CIQ(Z$3, "IQ_BOND_PRICE", $L197)),"")</f>
        <v>98.998530000000002</v>
      </c>
      <c r="CZ197" s="426"/>
    </row>
    <row r="198" spans="12:104" x14ac:dyDescent="0.2">
      <c r="L198" s="425">
        <f t="shared" ref="L198:L261" si="3">+IF(WORKDAY($L197,1)&lt;=$M$2,WORKDAY($L197,1),"")</f>
        <v>44550</v>
      </c>
      <c r="M198" s="424">
        <f>IF(AND($L198&lt;&gt;"",M$3&lt;&gt;""),IF(NOT(ISNUMBER(_xll.ciqfunctions.udf.CIQ(M$3, "IQ_BOND_PRICE", $L198))),NA(),_xll.ciqfunctions.udf.CIQ(M$3, "IQ_BOND_PRICE", $L198)),"")</f>
        <v>100.5</v>
      </c>
      <c r="N198" s="424">
        <f>IF(AND($L198&lt;&gt;"",N$3&lt;&gt;""),IF(NOT(ISNUMBER(_xll.ciqfunctions.udf.CIQ(N$3, "IQ_BOND_PRICE", $L198))),NA(),_xll.ciqfunctions.udf.CIQ(N$3, "IQ_BOND_PRICE", $L198)),"")</f>
        <v>0</v>
      </c>
      <c r="O198" s="424">
        <f>IF(AND($L198&lt;&gt;"",O$3&lt;&gt;""),IF(NOT(ISNUMBER(_xll.ciqfunctions.udf.CIQ(O$3, "IQ_BOND_PRICE", $L198))),NA(),_xll.ciqfunctions.udf.CIQ(O$3, "IQ_BOND_PRICE", $L198)),"")</f>
        <v>101.64503000000001</v>
      </c>
      <c r="P198" s="424">
        <f>IF(AND($L198&lt;&gt;"",P$3&lt;&gt;""),IF(NOT(ISNUMBER(_xll.ciqfunctions.udf.CIQ(P$3, "IQ_BOND_PRICE", $L198))),NA(),_xll.ciqfunctions.udf.CIQ(P$3, "IQ_BOND_PRICE", $L198)),"")</f>
        <v>102.15382</v>
      </c>
      <c r="Q198" s="424">
        <f>IF(AND($L198&lt;&gt;"",Q$3&lt;&gt;""),IF(NOT(ISNUMBER(_xll.ciqfunctions.udf.CIQ(Q$3, "IQ_BOND_PRICE", $L198))),NA(),_xll.ciqfunctions.udf.CIQ(Q$3, "IQ_BOND_PRICE", $L198)),"")</f>
        <v>104.05800000000001</v>
      </c>
      <c r="R198" s="424">
        <f>IF(AND($L198&lt;&gt;"",R$3&lt;&gt;""),IF(NOT(ISNUMBER(_xll.ciqfunctions.udf.CIQ(R$3, "IQ_BOND_PRICE", $L198))),NA(),_xll.ciqfunctions.udf.CIQ(R$3, "IQ_BOND_PRICE", $L198)),"")</f>
        <v>110.404</v>
      </c>
      <c r="S198" s="424">
        <f>IF(AND($L198&lt;&gt;"",S$3&lt;&gt;""),IF(NOT(ISNUMBER(_xll.ciqfunctions.udf.CIQ(S$3, "IQ_BOND_PRICE", $L198))),NA(),_xll.ciqfunctions.udf.CIQ(S$3, "IQ_BOND_PRICE", $L198)),"")</f>
        <v>104.85</v>
      </c>
      <c r="T198" s="424">
        <f>IF(AND($L198&lt;&gt;"",T$3&lt;&gt;""),IF(NOT(ISNUMBER(_xll.ciqfunctions.udf.CIQ(T$3, "IQ_BOND_PRICE", $L198))),NA(),_xll.ciqfunctions.udf.CIQ(T$3, "IQ_BOND_PRICE", $L198)),"")</f>
        <v>104.721</v>
      </c>
      <c r="U198" s="424">
        <f>IF(AND($L198&lt;&gt;"",U$3&lt;&gt;""),IF(NOT(ISNUMBER(_xll.ciqfunctions.udf.CIQ(U$3, "IQ_BOND_PRICE", $L198))),NA(),_xll.ciqfunctions.udf.CIQ(U$3, "IQ_BOND_PRICE", $L198)),"")</f>
        <v>99.899600000000007</v>
      </c>
      <c r="V198" s="424">
        <f>IF(AND($L198&lt;&gt;"",V$3&lt;&gt;""),IF(NOT(ISNUMBER(_xll.ciqfunctions.udf.CIQ(V$3, "IQ_BOND_PRICE", $L198))),NA(),_xll.ciqfunctions.udf.CIQ(V$3, "IQ_BOND_PRICE", $L198)),"")</f>
        <v>104.76779000000001</v>
      </c>
      <c r="W198" s="424">
        <f>IF(AND($L198&lt;&gt;"",W$3&lt;&gt;""),IF(NOT(ISNUMBER(_xll.ciqfunctions.udf.CIQ(W$3, "IQ_BOND_PRICE", $L198))),NA(),_xll.ciqfunctions.udf.CIQ(W$3, "IQ_BOND_PRICE", $L198)),"")</f>
        <v>107.964</v>
      </c>
      <c r="X198" s="424">
        <f>IF(AND($L198&lt;&gt;"",X$3&lt;&gt;""),IF(NOT(ISNUMBER(_xll.ciqfunctions.udf.CIQ(X$3, "IQ_BOND_PRICE", $L198))),NA(),_xll.ciqfunctions.udf.CIQ(X$3, "IQ_BOND_PRICE", $L198)),"")</f>
        <v>110.251</v>
      </c>
      <c r="Y198" s="424">
        <f>IF(AND($L198&lt;&gt;"",Y$3&lt;&gt;""),IF(NOT(ISNUMBER(_xll.ciqfunctions.udf.CIQ(Y$3, "IQ_BOND_PRICE", $L198))),NA(),_xll.ciqfunctions.udf.CIQ(Y$3, "IQ_BOND_PRICE", $L198)),"")</f>
        <v>107.145</v>
      </c>
      <c r="Z198" s="424">
        <f>IF(AND($L198&lt;&gt;"",Z$3&lt;&gt;""),IF(NOT(ISNUMBER(_xll.ciqfunctions.udf.CIQ(Z$3, "IQ_BOND_PRICE", $L198))),NA(),_xll.ciqfunctions.udf.CIQ(Z$3, "IQ_BOND_PRICE", $L198)),"")</f>
        <v>98.969769999999997</v>
      </c>
      <c r="CZ198" s="426"/>
    </row>
    <row r="199" spans="12:104" x14ac:dyDescent="0.2">
      <c r="L199" s="425">
        <f t="shared" si="3"/>
        <v>44551</v>
      </c>
      <c r="M199" s="424">
        <f>IF(AND($L199&lt;&gt;"",M$3&lt;&gt;""),IF(NOT(ISNUMBER(_xll.ciqfunctions.udf.CIQ(M$3, "IQ_BOND_PRICE", $L199))),NA(),_xll.ciqfunctions.udf.CIQ(M$3, "IQ_BOND_PRICE", $L199)),"")</f>
        <v>100.512</v>
      </c>
      <c r="N199" s="424">
        <f>IF(AND($L199&lt;&gt;"",N$3&lt;&gt;""),IF(NOT(ISNUMBER(_xll.ciqfunctions.udf.CIQ(N$3, "IQ_BOND_PRICE", $L199))),NA(),_xll.ciqfunctions.udf.CIQ(N$3, "IQ_BOND_PRICE", $L199)),"")</f>
        <v>0</v>
      </c>
      <c r="O199" s="424">
        <f>IF(AND($L199&lt;&gt;"",O$3&lt;&gt;""),IF(NOT(ISNUMBER(_xll.ciqfunctions.udf.CIQ(O$3, "IQ_BOND_PRICE", $L199))),NA(),_xll.ciqfunctions.udf.CIQ(O$3, "IQ_BOND_PRICE", $L199)),"")</f>
        <v>101.71501000000001</v>
      </c>
      <c r="P199" s="424">
        <f>IF(AND($L199&lt;&gt;"",P$3&lt;&gt;""),IF(NOT(ISNUMBER(_xll.ciqfunctions.udf.CIQ(P$3, "IQ_BOND_PRICE", $L199))),NA(),_xll.ciqfunctions.udf.CIQ(P$3, "IQ_BOND_PRICE", $L199)),"")</f>
        <v>102.09828</v>
      </c>
      <c r="Q199" s="424">
        <f>IF(AND($L199&lt;&gt;"",Q$3&lt;&gt;""),IF(NOT(ISNUMBER(_xll.ciqfunctions.udf.CIQ(Q$3, "IQ_BOND_PRICE", $L199))),NA(),_xll.ciqfunctions.udf.CIQ(Q$3, "IQ_BOND_PRICE", $L199)),"")</f>
        <v>104.164</v>
      </c>
      <c r="R199" s="424">
        <f>IF(AND($L199&lt;&gt;"",R$3&lt;&gt;""),IF(NOT(ISNUMBER(_xll.ciqfunctions.udf.CIQ(R$3, "IQ_BOND_PRICE", $L199))),NA(),_xll.ciqfunctions.udf.CIQ(R$3, "IQ_BOND_PRICE", $L199)),"")</f>
        <v>110.261</v>
      </c>
      <c r="S199" s="424">
        <f>IF(AND($L199&lt;&gt;"",S$3&lt;&gt;""),IF(NOT(ISNUMBER(_xll.ciqfunctions.udf.CIQ(S$3, "IQ_BOND_PRICE", $L199))),NA(),_xll.ciqfunctions.udf.CIQ(S$3, "IQ_BOND_PRICE", $L199)),"")</f>
        <v>104.73699999999999</v>
      </c>
      <c r="T199" s="424">
        <f>IF(AND($L199&lt;&gt;"",T$3&lt;&gt;""),IF(NOT(ISNUMBER(_xll.ciqfunctions.udf.CIQ(T$3, "IQ_BOND_PRICE", $L199))),NA(),_xll.ciqfunctions.udf.CIQ(T$3, "IQ_BOND_PRICE", $L199)),"")</f>
        <v>104.767</v>
      </c>
      <c r="U199" s="424">
        <f>IF(AND($L199&lt;&gt;"",U$3&lt;&gt;""),IF(NOT(ISNUMBER(_xll.ciqfunctions.udf.CIQ(U$3, "IQ_BOND_PRICE", $L199))),NA(),_xll.ciqfunctions.udf.CIQ(U$3, "IQ_BOND_PRICE", $L199)),"")</f>
        <v>99.894099999999995</v>
      </c>
      <c r="V199" s="424">
        <f>IF(AND($L199&lt;&gt;"",V$3&lt;&gt;""),IF(NOT(ISNUMBER(_xll.ciqfunctions.udf.CIQ(V$3, "IQ_BOND_PRICE", $L199))),NA(),_xll.ciqfunctions.udf.CIQ(V$3, "IQ_BOND_PRICE", $L199)),"")</f>
        <v>104.52144</v>
      </c>
      <c r="W199" s="424">
        <f>IF(AND($L199&lt;&gt;"",W$3&lt;&gt;""),IF(NOT(ISNUMBER(_xll.ciqfunctions.udf.CIQ(W$3, "IQ_BOND_PRICE", $L199))),NA(),_xll.ciqfunctions.udf.CIQ(W$3, "IQ_BOND_PRICE", $L199)),"")</f>
        <v>107.718</v>
      </c>
      <c r="X199" s="424">
        <f>IF(AND($L199&lt;&gt;"",X$3&lt;&gt;""),IF(NOT(ISNUMBER(_xll.ciqfunctions.udf.CIQ(X$3, "IQ_BOND_PRICE", $L199))),NA(),_xll.ciqfunctions.udf.CIQ(X$3, "IQ_BOND_PRICE", $L199)),"")</f>
        <v>110.172</v>
      </c>
      <c r="Y199" s="424">
        <f>IF(AND($L199&lt;&gt;"",Y$3&lt;&gt;""),IF(NOT(ISNUMBER(_xll.ciqfunctions.udf.CIQ(Y$3, "IQ_BOND_PRICE", $L199))),NA(),_xll.ciqfunctions.udf.CIQ(Y$3, "IQ_BOND_PRICE", $L199)),"")</f>
        <v>106.874</v>
      </c>
      <c r="Z199" s="424">
        <f>IF(AND($L199&lt;&gt;"",Z$3&lt;&gt;""),IF(NOT(ISNUMBER(_xll.ciqfunctions.udf.CIQ(Z$3, "IQ_BOND_PRICE", $L199))),NA(),_xll.ciqfunctions.udf.CIQ(Z$3, "IQ_BOND_PRICE", $L199)),"")</f>
        <v>98.735839999999996</v>
      </c>
      <c r="CZ199" s="426"/>
    </row>
    <row r="200" spans="12:104" x14ac:dyDescent="0.2">
      <c r="L200" s="425">
        <f t="shared" si="3"/>
        <v>44552</v>
      </c>
      <c r="M200" s="424">
        <f>IF(AND($L200&lt;&gt;"",M$3&lt;&gt;""),IF(NOT(ISNUMBER(_xll.ciqfunctions.udf.CIQ(M$3, "IQ_BOND_PRICE", $L200))),NA(),_xll.ciqfunctions.udf.CIQ(M$3, "IQ_BOND_PRICE", $L200)),"")</f>
        <v>100.54300000000001</v>
      </c>
      <c r="N200" s="424">
        <f>IF(AND($L200&lt;&gt;"",N$3&lt;&gt;""),IF(NOT(ISNUMBER(_xll.ciqfunctions.udf.CIQ(N$3, "IQ_BOND_PRICE", $L200))),NA(),_xll.ciqfunctions.udf.CIQ(N$3, "IQ_BOND_PRICE", $L200)),"")</f>
        <v>0</v>
      </c>
      <c r="O200" s="424">
        <f>IF(AND($L200&lt;&gt;"",O$3&lt;&gt;""),IF(NOT(ISNUMBER(_xll.ciqfunctions.udf.CIQ(O$3, "IQ_BOND_PRICE", $L200))),NA(),_xll.ciqfunctions.udf.CIQ(O$3, "IQ_BOND_PRICE", $L200)),"")</f>
        <v>101.69391</v>
      </c>
      <c r="P200" s="424">
        <f>IF(AND($L200&lt;&gt;"",P$3&lt;&gt;""),IF(NOT(ISNUMBER(_xll.ciqfunctions.udf.CIQ(P$3, "IQ_BOND_PRICE", $L200))),NA(),_xll.ciqfunctions.udf.CIQ(P$3, "IQ_BOND_PRICE", $L200)),"")</f>
        <v>102.08443</v>
      </c>
      <c r="Q200" s="424">
        <f>IF(AND($L200&lt;&gt;"",Q$3&lt;&gt;""),IF(NOT(ISNUMBER(_xll.ciqfunctions.udf.CIQ(Q$3, "IQ_BOND_PRICE", $L200))),NA(),_xll.ciqfunctions.udf.CIQ(Q$3, "IQ_BOND_PRICE", $L200)),"")</f>
        <v>104.116</v>
      </c>
      <c r="R200" s="424">
        <f>IF(AND($L200&lt;&gt;"",R$3&lt;&gt;""),IF(NOT(ISNUMBER(_xll.ciqfunctions.udf.CIQ(R$3, "IQ_BOND_PRICE", $L200))),NA(),_xll.ciqfunctions.udf.CIQ(R$3, "IQ_BOND_PRICE", $L200)),"")</f>
        <v>110.194</v>
      </c>
      <c r="S200" s="424">
        <f>IF(AND($L200&lt;&gt;"",S$3&lt;&gt;""),IF(NOT(ISNUMBER(_xll.ciqfunctions.udf.CIQ(S$3, "IQ_BOND_PRICE", $L200))),NA(),_xll.ciqfunctions.udf.CIQ(S$3, "IQ_BOND_PRICE", $L200)),"")</f>
        <v>104.72799999999999</v>
      </c>
      <c r="T200" s="424">
        <f>IF(AND($L200&lt;&gt;"",T$3&lt;&gt;""),IF(NOT(ISNUMBER(_xll.ciqfunctions.udf.CIQ(T$3, "IQ_BOND_PRICE", $L200))),NA(),_xll.ciqfunctions.udf.CIQ(T$3, "IQ_BOND_PRICE", $L200)),"")</f>
        <v>104.667</v>
      </c>
      <c r="U200" s="424">
        <f>IF(AND($L200&lt;&gt;"",U$3&lt;&gt;""),IF(NOT(ISNUMBER(_xll.ciqfunctions.udf.CIQ(U$3, "IQ_BOND_PRICE", $L200))),NA(),_xll.ciqfunctions.udf.CIQ(U$3, "IQ_BOND_PRICE", $L200)),"")</f>
        <v>99.884360000000001</v>
      </c>
      <c r="V200" s="424">
        <f>IF(AND($L200&lt;&gt;"",V$3&lt;&gt;""),IF(NOT(ISNUMBER(_xll.ciqfunctions.udf.CIQ(V$3, "IQ_BOND_PRICE", $L200))),NA(),_xll.ciqfunctions.udf.CIQ(V$3, "IQ_BOND_PRICE", $L200)),"")</f>
        <v>104.52647</v>
      </c>
      <c r="W200" s="424">
        <f>IF(AND($L200&lt;&gt;"",W$3&lt;&gt;""),IF(NOT(ISNUMBER(_xll.ciqfunctions.udf.CIQ(W$3, "IQ_BOND_PRICE", $L200))),NA(),_xll.ciqfunctions.udf.CIQ(W$3, "IQ_BOND_PRICE", $L200)),"")</f>
        <v>107.74299999999999</v>
      </c>
      <c r="X200" s="424">
        <f>IF(AND($L200&lt;&gt;"",X$3&lt;&gt;""),IF(NOT(ISNUMBER(_xll.ciqfunctions.udf.CIQ(X$3, "IQ_BOND_PRICE", $L200))),NA(),_xll.ciqfunctions.udf.CIQ(X$3, "IQ_BOND_PRICE", $L200)),"")</f>
        <v>110.105</v>
      </c>
      <c r="Y200" s="424">
        <f>IF(AND($L200&lt;&gt;"",Y$3&lt;&gt;""),IF(NOT(ISNUMBER(_xll.ciqfunctions.udf.CIQ(Y$3, "IQ_BOND_PRICE", $L200))),NA(),_xll.ciqfunctions.udf.CIQ(Y$3, "IQ_BOND_PRICE", $L200)),"")</f>
        <v>107.11</v>
      </c>
      <c r="Z200" s="424">
        <f>IF(AND($L200&lt;&gt;"",Z$3&lt;&gt;""),IF(NOT(ISNUMBER(_xll.ciqfunctions.udf.CIQ(Z$3, "IQ_BOND_PRICE", $L200))),NA(),_xll.ciqfunctions.udf.CIQ(Z$3, "IQ_BOND_PRICE", $L200)),"")</f>
        <v>98.805440000000004</v>
      </c>
      <c r="CZ200" s="426"/>
    </row>
    <row r="201" spans="12:104" x14ac:dyDescent="0.2">
      <c r="L201" s="425">
        <f t="shared" si="3"/>
        <v>44553</v>
      </c>
      <c r="M201" s="424">
        <f>IF(AND($L201&lt;&gt;"",M$3&lt;&gt;""),IF(NOT(ISNUMBER(_xll.ciqfunctions.udf.CIQ(M$3, "IQ_BOND_PRICE", $L201))),NA(),_xll.ciqfunctions.udf.CIQ(M$3, "IQ_BOND_PRICE", $L201)),"")</f>
        <v>100.52500000000001</v>
      </c>
      <c r="N201" s="424">
        <f>IF(AND($L201&lt;&gt;"",N$3&lt;&gt;""),IF(NOT(ISNUMBER(_xll.ciqfunctions.udf.CIQ(N$3, "IQ_BOND_PRICE", $L201))),NA(),_xll.ciqfunctions.udf.CIQ(N$3, "IQ_BOND_PRICE", $L201)),"")</f>
        <v>0</v>
      </c>
      <c r="O201" s="424">
        <f>IF(AND($L201&lt;&gt;"",O$3&lt;&gt;""),IF(NOT(ISNUMBER(_xll.ciqfunctions.udf.CIQ(O$3, "IQ_BOND_PRICE", $L201))),NA(),_xll.ciqfunctions.udf.CIQ(O$3, "IQ_BOND_PRICE", $L201)),"")</f>
        <v>101.6857</v>
      </c>
      <c r="P201" s="424">
        <f>IF(AND($L201&lt;&gt;"",P$3&lt;&gt;""),IF(NOT(ISNUMBER(_xll.ciqfunctions.udf.CIQ(P$3, "IQ_BOND_PRICE", $L201))),NA(),_xll.ciqfunctions.udf.CIQ(P$3, "IQ_BOND_PRICE", $L201)),"")</f>
        <v>102.22784</v>
      </c>
      <c r="Q201" s="424">
        <f>IF(AND($L201&lt;&gt;"",Q$3&lt;&gt;""),IF(NOT(ISNUMBER(_xll.ciqfunctions.udf.CIQ(Q$3, "IQ_BOND_PRICE", $L201))),NA(),_xll.ciqfunctions.udf.CIQ(Q$3, "IQ_BOND_PRICE", $L201)),"")</f>
        <v>104.04300000000001</v>
      </c>
      <c r="R201" s="424">
        <f>IF(AND($L201&lt;&gt;"",R$3&lt;&gt;""),IF(NOT(ISNUMBER(_xll.ciqfunctions.udf.CIQ(R$3, "IQ_BOND_PRICE", $L201))),NA(),_xll.ciqfunctions.udf.CIQ(R$3, "IQ_BOND_PRICE", $L201)),"")</f>
        <v>110.09</v>
      </c>
      <c r="S201" s="424">
        <f>IF(AND($L201&lt;&gt;"",S$3&lt;&gt;""),IF(NOT(ISNUMBER(_xll.ciqfunctions.udf.CIQ(S$3, "IQ_BOND_PRICE", $L201))),NA(),_xll.ciqfunctions.udf.CIQ(S$3, "IQ_BOND_PRICE", $L201)),"")</f>
        <v>104.678</v>
      </c>
      <c r="T201" s="424">
        <f>IF(AND($L201&lt;&gt;"",T$3&lt;&gt;""),IF(NOT(ISNUMBER(_xll.ciqfunctions.udf.CIQ(T$3, "IQ_BOND_PRICE", $L201))),NA(),_xll.ciqfunctions.udf.CIQ(T$3, "IQ_BOND_PRICE", $L201)),"")</f>
        <v>104.464</v>
      </c>
      <c r="U201" s="424">
        <f>IF(AND($L201&lt;&gt;"",U$3&lt;&gt;""),IF(NOT(ISNUMBER(_xll.ciqfunctions.udf.CIQ(U$3, "IQ_BOND_PRICE", $L201))),NA(),_xll.ciqfunctions.udf.CIQ(U$3, "IQ_BOND_PRICE", $L201)),"")</f>
        <v>99.887150000000005</v>
      </c>
      <c r="V201" s="424">
        <f>IF(AND($L201&lt;&gt;"",V$3&lt;&gt;""),IF(NOT(ISNUMBER(_xll.ciqfunctions.udf.CIQ(V$3, "IQ_BOND_PRICE", $L201))),NA(),_xll.ciqfunctions.udf.CIQ(V$3, "IQ_BOND_PRICE", $L201)),"")</f>
        <v>104.46141</v>
      </c>
      <c r="W201" s="424">
        <f>IF(AND($L201&lt;&gt;"",W$3&lt;&gt;""),IF(NOT(ISNUMBER(_xll.ciqfunctions.udf.CIQ(W$3, "IQ_BOND_PRICE", $L201))),NA(),_xll.ciqfunctions.udf.CIQ(W$3, "IQ_BOND_PRICE", $L201)),"")</f>
        <v>107.65300000000001</v>
      </c>
      <c r="X201" s="424">
        <f>IF(AND($L201&lt;&gt;"",X$3&lt;&gt;""),IF(NOT(ISNUMBER(_xll.ciqfunctions.udf.CIQ(X$3, "IQ_BOND_PRICE", $L201))),NA(),_xll.ciqfunctions.udf.CIQ(X$3, "IQ_BOND_PRICE", $L201)),"")</f>
        <v>109.923</v>
      </c>
      <c r="Y201" s="424">
        <f>IF(AND($L201&lt;&gt;"",Y$3&lt;&gt;""),IF(NOT(ISNUMBER(_xll.ciqfunctions.udf.CIQ(Y$3, "IQ_BOND_PRICE", $L201))),NA(),_xll.ciqfunctions.udf.CIQ(Y$3, "IQ_BOND_PRICE", $L201)),"")</f>
        <v>106.998</v>
      </c>
      <c r="Z201" s="424">
        <f>IF(AND($L201&lt;&gt;"",Z$3&lt;&gt;""),IF(NOT(ISNUMBER(_xll.ciqfunctions.udf.CIQ(Z$3, "IQ_BOND_PRICE", $L201))),NA(),_xll.ciqfunctions.udf.CIQ(Z$3, "IQ_BOND_PRICE", $L201)),"")</f>
        <v>98.695149999999998</v>
      </c>
      <c r="CZ201" s="426"/>
    </row>
    <row r="202" spans="12:104" x14ac:dyDescent="0.2">
      <c r="L202" s="425">
        <f t="shared" si="3"/>
        <v>44554</v>
      </c>
      <c r="M202" s="424">
        <f>IF(AND($L202&lt;&gt;"",M$3&lt;&gt;""),IF(NOT(ISNUMBER(_xll.ciqfunctions.udf.CIQ(M$3, "IQ_BOND_PRICE", $L202))),NA(),_xll.ciqfunctions.udf.CIQ(M$3, "IQ_BOND_PRICE", $L202)),"")</f>
        <v>100.52500000000001</v>
      </c>
      <c r="N202" s="424">
        <f>IF(AND($L202&lt;&gt;"",N$3&lt;&gt;""),IF(NOT(ISNUMBER(_xll.ciqfunctions.udf.CIQ(N$3, "IQ_BOND_PRICE", $L202))),NA(),_xll.ciqfunctions.udf.CIQ(N$3, "IQ_BOND_PRICE", $L202)),"")</f>
        <v>0</v>
      </c>
      <c r="O202" s="424">
        <f>IF(AND($L202&lt;&gt;"",O$3&lt;&gt;""),IF(NOT(ISNUMBER(_xll.ciqfunctions.udf.CIQ(O$3, "IQ_BOND_PRICE", $L202))),NA(),_xll.ciqfunctions.udf.CIQ(O$3, "IQ_BOND_PRICE", $L202)),"")</f>
        <v>101.6857</v>
      </c>
      <c r="P202" s="424">
        <f>IF(AND($L202&lt;&gt;"",P$3&lt;&gt;""),IF(NOT(ISNUMBER(_xll.ciqfunctions.udf.CIQ(P$3, "IQ_BOND_PRICE", $L202))),NA(),_xll.ciqfunctions.udf.CIQ(P$3, "IQ_BOND_PRICE", $L202)),"")</f>
        <v>102.22784</v>
      </c>
      <c r="Q202" s="424">
        <f>IF(AND($L202&lt;&gt;"",Q$3&lt;&gt;""),IF(NOT(ISNUMBER(_xll.ciqfunctions.udf.CIQ(Q$3, "IQ_BOND_PRICE", $L202))),NA(),_xll.ciqfunctions.udf.CIQ(Q$3, "IQ_BOND_PRICE", $L202)),"")</f>
        <v>104.04300000000001</v>
      </c>
      <c r="R202" s="424">
        <f>IF(AND($L202&lt;&gt;"",R$3&lt;&gt;""),IF(NOT(ISNUMBER(_xll.ciqfunctions.udf.CIQ(R$3, "IQ_BOND_PRICE", $L202))),NA(),_xll.ciqfunctions.udf.CIQ(R$3, "IQ_BOND_PRICE", $L202)),"")</f>
        <v>110.09</v>
      </c>
      <c r="S202" s="424">
        <f>IF(AND($L202&lt;&gt;"",S$3&lt;&gt;""),IF(NOT(ISNUMBER(_xll.ciqfunctions.udf.CIQ(S$3, "IQ_BOND_PRICE", $L202))),NA(),_xll.ciqfunctions.udf.CIQ(S$3, "IQ_BOND_PRICE", $L202)),"")</f>
        <v>104.678</v>
      </c>
      <c r="T202" s="424">
        <f>IF(AND($L202&lt;&gt;"",T$3&lt;&gt;""),IF(NOT(ISNUMBER(_xll.ciqfunctions.udf.CIQ(T$3, "IQ_BOND_PRICE", $L202))),NA(),_xll.ciqfunctions.udf.CIQ(T$3, "IQ_BOND_PRICE", $L202)),"")</f>
        <v>104.464</v>
      </c>
      <c r="U202" s="424">
        <f>IF(AND($L202&lt;&gt;"",U$3&lt;&gt;""),IF(NOT(ISNUMBER(_xll.ciqfunctions.udf.CIQ(U$3, "IQ_BOND_PRICE", $L202))),NA(),_xll.ciqfunctions.udf.CIQ(U$3, "IQ_BOND_PRICE", $L202)),"")</f>
        <v>99.888999999999996</v>
      </c>
      <c r="V202" s="424">
        <f>IF(AND($L202&lt;&gt;"",V$3&lt;&gt;""),IF(NOT(ISNUMBER(_xll.ciqfunctions.udf.CIQ(V$3, "IQ_BOND_PRICE", $L202))),NA(),_xll.ciqfunctions.udf.CIQ(V$3, "IQ_BOND_PRICE", $L202)),"")</f>
        <v>104.46141</v>
      </c>
      <c r="W202" s="424">
        <f>IF(AND($L202&lt;&gt;"",W$3&lt;&gt;""),IF(NOT(ISNUMBER(_xll.ciqfunctions.udf.CIQ(W$3, "IQ_BOND_PRICE", $L202))),NA(),_xll.ciqfunctions.udf.CIQ(W$3, "IQ_BOND_PRICE", $L202)),"")</f>
        <v>107.65300000000001</v>
      </c>
      <c r="X202" s="424">
        <f>IF(AND($L202&lt;&gt;"",X$3&lt;&gt;""),IF(NOT(ISNUMBER(_xll.ciqfunctions.udf.CIQ(X$3, "IQ_BOND_PRICE", $L202))),NA(),_xll.ciqfunctions.udf.CIQ(X$3, "IQ_BOND_PRICE", $L202)),"")</f>
        <v>109.923</v>
      </c>
      <c r="Y202" s="424">
        <f>IF(AND($L202&lt;&gt;"",Y$3&lt;&gt;""),IF(NOT(ISNUMBER(_xll.ciqfunctions.udf.CIQ(Y$3, "IQ_BOND_PRICE", $L202))),NA(),_xll.ciqfunctions.udf.CIQ(Y$3, "IQ_BOND_PRICE", $L202)),"")</f>
        <v>106.998</v>
      </c>
      <c r="Z202" s="424">
        <f>IF(AND($L202&lt;&gt;"",Z$3&lt;&gt;""),IF(NOT(ISNUMBER(_xll.ciqfunctions.udf.CIQ(Z$3, "IQ_BOND_PRICE", $L202))),NA(),_xll.ciqfunctions.udf.CIQ(Z$3, "IQ_BOND_PRICE", $L202)),"")</f>
        <v>98.695149999999998</v>
      </c>
      <c r="CZ202" s="426"/>
    </row>
    <row r="203" spans="12:104" x14ac:dyDescent="0.2">
      <c r="L203" s="425">
        <f t="shared" si="3"/>
        <v>44557</v>
      </c>
      <c r="M203" s="424">
        <f>IF(AND($L203&lt;&gt;"",M$3&lt;&gt;""),IF(NOT(ISNUMBER(_xll.ciqfunctions.udf.CIQ(M$3, "IQ_BOND_PRICE", $L203))),NA(),_xll.ciqfunctions.udf.CIQ(M$3, "IQ_BOND_PRICE", $L203)),"")</f>
        <v>100.515</v>
      </c>
      <c r="N203" s="424">
        <f>IF(AND($L203&lt;&gt;"",N$3&lt;&gt;""),IF(NOT(ISNUMBER(_xll.ciqfunctions.udf.CIQ(N$3, "IQ_BOND_PRICE", $L203))),NA(),_xll.ciqfunctions.udf.CIQ(N$3, "IQ_BOND_PRICE", $L203)),"")</f>
        <v>0</v>
      </c>
      <c r="O203" s="424">
        <f>IF(AND($L203&lt;&gt;"",O$3&lt;&gt;""),IF(NOT(ISNUMBER(_xll.ciqfunctions.udf.CIQ(O$3, "IQ_BOND_PRICE", $L203))),NA(),_xll.ciqfunctions.udf.CIQ(O$3, "IQ_BOND_PRICE", $L203)),"")</f>
        <v>101.66999</v>
      </c>
      <c r="P203" s="424">
        <f>IF(AND($L203&lt;&gt;"",P$3&lt;&gt;""),IF(NOT(ISNUMBER(_xll.ciqfunctions.udf.CIQ(P$3, "IQ_BOND_PRICE", $L203))),NA(),_xll.ciqfunctions.udf.CIQ(P$3, "IQ_BOND_PRICE", $L203)),"")</f>
        <v>102.22445</v>
      </c>
      <c r="Q203" s="424">
        <f>IF(AND($L203&lt;&gt;"",Q$3&lt;&gt;""),IF(NOT(ISNUMBER(_xll.ciqfunctions.udf.CIQ(Q$3, "IQ_BOND_PRICE", $L203))),NA(),_xll.ciqfunctions.udf.CIQ(Q$3, "IQ_BOND_PRICE", $L203)),"")</f>
        <v>103.88500000000001</v>
      </c>
      <c r="R203" s="424">
        <f>IF(AND($L203&lt;&gt;"",R$3&lt;&gt;""),IF(NOT(ISNUMBER(_xll.ciqfunctions.udf.CIQ(R$3, "IQ_BOND_PRICE", $L203))),NA(),_xll.ciqfunctions.udf.CIQ(R$3, "IQ_BOND_PRICE", $L203)),"")</f>
        <v>110.068</v>
      </c>
      <c r="S203" s="424">
        <f>IF(AND($L203&lt;&gt;"",S$3&lt;&gt;""),IF(NOT(ISNUMBER(_xll.ciqfunctions.udf.CIQ(S$3, "IQ_BOND_PRICE", $L203))),NA(),_xll.ciqfunctions.udf.CIQ(S$3, "IQ_BOND_PRICE", $L203)),"")</f>
        <v>104.804</v>
      </c>
      <c r="T203" s="424">
        <f>IF(AND($L203&lt;&gt;"",T$3&lt;&gt;""),IF(NOT(ISNUMBER(_xll.ciqfunctions.udf.CIQ(T$3, "IQ_BOND_PRICE", $L203))),NA(),_xll.ciqfunctions.udf.CIQ(T$3, "IQ_BOND_PRICE", $L203)),"")</f>
        <v>104.42</v>
      </c>
      <c r="U203" s="424">
        <f>IF(AND($L203&lt;&gt;"",U$3&lt;&gt;""),IF(NOT(ISNUMBER(_xll.ciqfunctions.udf.CIQ(U$3, "IQ_BOND_PRICE", $L203))),NA(),_xll.ciqfunctions.udf.CIQ(U$3, "IQ_BOND_PRICE", $L203)),"")</f>
        <v>99.897310000000004</v>
      </c>
      <c r="V203" s="424">
        <f>IF(AND($L203&lt;&gt;"",V$3&lt;&gt;""),IF(NOT(ISNUMBER(_xll.ciqfunctions.udf.CIQ(V$3, "IQ_BOND_PRICE", $L203))),NA(),_xll.ciqfunctions.udf.CIQ(V$3, "IQ_BOND_PRICE", $L203)),"")</f>
        <v>104.50942999999999</v>
      </c>
      <c r="W203" s="424">
        <f>IF(AND($L203&lt;&gt;"",W$3&lt;&gt;""),IF(NOT(ISNUMBER(_xll.ciqfunctions.udf.CIQ(W$3, "IQ_BOND_PRICE", $L203))),NA(),_xll.ciqfunctions.udf.CIQ(W$3, "IQ_BOND_PRICE", $L203)),"")</f>
        <v>107.625</v>
      </c>
      <c r="X203" s="424">
        <f>IF(AND($L203&lt;&gt;"",X$3&lt;&gt;""),IF(NOT(ISNUMBER(_xll.ciqfunctions.udf.CIQ(X$3, "IQ_BOND_PRICE", $L203))),NA(),_xll.ciqfunctions.udf.CIQ(X$3, "IQ_BOND_PRICE", $L203)),"")</f>
        <v>110.00700000000001</v>
      </c>
      <c r="Y203" s="424">
        <f>IF(AND($L203&lt;&gt;"",Y$3&lt;&gt;""),IF(NOT(ISNUMBER(_xll.ciqfunctions.udf.CIQ(Y$3, "IQ_BOND_PRICE", $L203))),NA(),_xll.ciqfunctions.udf.CIQ(Y$3, "IQ_BOND_PRICE", $L203)),"")</f>
        <v>106.965</v>
      </c>
      <c r="Z203" s="424">
        <f>IF(AND($L203&lt;&gt;"",Z$3&lt;&gt;""),IF(NOT(ISNUMBER(_xll.ciqfunctions.udf.CIQ(Z$3, "IQ_BOND_PRICE", $L203))),NA(),_xll.ciqfunctions.udf.CIQ(Z$3, "IQ_BOND_PRICE", $L203)),"")</f>
        <v>98.666229999999999</v>
      </c>
      <c r="CZ203" s="426"/>
    </row>
    <row r="204" spans="12:104" x14ac:dyDescent="0.2">
      <c r="L204" s="425">
        <f t="shared" si="3"/>
        <v>44558</v>
      </c>
      <c r="M204" s="424">
        <f>IF(AND($L204&lt;&gt;"",M$3&lt;&gt;""),IF(NOT(ISNUMBER(_xll.ciqfunctions.udf.CIQ(M$3, "IQ_BOND_PRICE", $L204))),NA(),_xll.ciqfunctions.udf.CIQ(M$3, "IQ_BOND_PRICE", $L204)),"")</f>
        <v>100.52</v>
      </c>
      <c r="N204" s="424">
        <f>IF(AND($L204&lt;&gt;"",N$3&lt;&gt;""),IF(NOT(ISNUMBER(_xll.ciqfunctions.udf.CIQ(N$3, "IQ_BOND_PRICE", $L204))),NA(),_xll.ciqfunctions.udf.CIQ(N$3, "IQ_BOND_PRICE", $L204)),"")</f>
        <v>0</v>
      </c>
      <c r="O204" s="424">
        <f>IF(AND($L204&lt;&gt;"",O$3&lt;&gt;""),IF(NOT(ISNUMBER(_xll.ciqfunctions.udf.CIQ(O$3, "IQ_BOND_PRICE", $L204))),NA(),_xll.ciqfunctions.udf.CIQ(O$3, "IQ_BOND_PRICE", $L204)),"")</f>
        <v>101.7239</v>
      </c>
      <c r="P204" s="424">
        <f>IF(AND($L204&lt;&gt;"",P$3&lt;&gt;""),IF(NOT(ISNUMBER(_xll.ciqfunctions.udf.CIQ(P$3, "IQ_BOND_PRICE", $L204))),NA(),_xll.ciqfunctions.udf.CIQ(P$3, "IQ_BOND_PRICE", $L204)),"")</f>
        <v>102.22247</v>
      </c>
      <c r="Q204" s="424">
        <f>IF(AND($L204&lt;&gt;"",Q$3&lt;&gt;""),IF(NOT(ISNUMBER(_xll.ciqfunctions.udf.CIQ(Q$3, "IQ_BOND_PRICE", $L204))),NA(),_xll.ciqfunctions.udf.CIQ(Q$3, "IQ_BOND_PRICE", $L204)),"")</f>
        <v>104.249</v>
      </c>
      <c r="R204" s="424">
        <f>IF(AND($L204&lt;&gt;"",R$3&lt;&gt;""),IF(NOT(ISNUMBER(_xll.ciqfunctions.udf.CIQ(R$3, "IQ_BOND_PRICE", $L204))),NA(),_xll.ciqfunctions.udf.CIQ(R$3, "IQ_BOND_PRICE", $L204)),"")</f>
        <v>110.169</v>
      </c>
      <c r="S204" s="424">
        <f>IF(AND($L204&lt;&gt;"",S$3&lt;&gt;""),IF(NOT(ISNUMBER(_xll.ciqfunctions.udf.CIQ(S$3, "IQ_BOND_PRICE", $L204))),NA(),_xll.ciqfunctions.udf.CIQ(S$3, "IQ_BOND_PRICE", $L204)),"")</f>
        <v>104.82599999999999</v>
      </c>
      <c r="T204" s="424">
        <f>IF(AND($L204&lt;&gt;"",T$3&lt;&gt;""),IF(NOT(ISNUMBER(_xll.ciqfunctions.udf.CIQ(T$3, "IQ_BOND_PRICE", $L204))),NA(),_xll.ciqfunctions.udf.CIQ(T$3, "IQ_BOND_PRICE", $L204)),"")</f>
        <v>104.44799999999999</v>
      </c>
      <c r="U204" s="424">
        <f>IF(AND($L204&lt;&gt;"",U$3&lt;&gt;""),IF(NOT(ISNUMBER(_xll.ciqfunctions.udf.CIQ(U$3, "IQ_BOND_PRICE", $L204))),NA(),_xll.ciqfunctions.udf.CIQ(U$3, "IQ_BOND_PRICE", $L204)),"")</f>
        <v>99.890199999999993</v>
      </c>
      <c r="V204" s="424">
        <f>IF(AND($L204&lt;&gt;"",V$3&lt;&gt;""),IF(NOT(ISNUMBER(_xll.ciqfunctions.udf.CIQ(V$3, "IQ_BOND_PRICE", $L204))),NA(),_xll.ciqfunctions.udf.CIQ(V$3, "IQ_BOND_PRICE", $L204)),"")</f>
        <v>104.56287</v>
      </c>
      <c r="W204" s="424">
        <f>IF(AND($L204&lt;&gt;"",W$3&lt;&gt;""),IF(NOT(ISNUMBER(_xll.ciqfunctions.udf.CIQ(W$3, "IQ_BOND_PRICE", $L204))),NA(),_xll.ciqfunctions.udf.CIQ(W$3, "IQ_BOND_PRICE", $L204)),"")</f>
        <v>107.886</v>
      </c>
      <c r="X204" s="424">
        <f>IF(AND($L204&lt;&gt;"",X$3&lt;&gt;""),IF(NOT(ISNUMBER(_xll.ciqfunctions.udf.CIQ(X$3, "IQ_BOND_PRICE", $L204))),NA(),_xll.ciqfunctions.udf.CIQ(X$3, "IQ_BOND_PRICE", $L204)),"")</f>
        <v>109.9</v>
      </c>
      <c r="Y204" s="424">
        <f>IF(AND($L204&lt;&gt;"",Y$3&lt;&gt;""),IF(NOT(ISNUMBER(_xll.ciqfunctions.udf.CIQ(Y$3, "IQ_BOND_PRICE", $L204))),NA(),_xll.ciqfunctions.udf.CIQ(Y$3, "IQ_BOND_PRICE", $L204)),"")</f>
        <v>106.99</v>
      </c>
      <c r="Z204" s="424">
        <f>IF(AND($L204&lt;&gt;"",Z$3&lt;&gt;""),IF(NOT(ISNUMBER(_xll.ciqfunctions.udf.CIQ(Z$3, "IQ_BOND_PRICE", $L204))),NA(),_xll.ciqfunctions.udf.CIQ(Z$3, "IQ_BOND_PRICE", $L204)),"")</f>
        <v>98.696690000000004</v>
      </c>
      <c r="CZ204" s="426"/>
    </row>
    <row r="205" spans="12:104" x14ac:dyDescent="0.2">
      <c r="L205" s="425">
        <f t="shared" si="3"/>
        <v>44559</v>
      </c>
      <c r="M205" s="424">
        <f>IF(AND($L205&lt;&gt;"",M$3&lt;&gt;""),IF(NOT(ISNUMBER(_xll.ciqfunctions.udf.CIQ(M$3, "IQ_BOND_PRICE", $L205))),NA(),_xll.ciqfunctions.udf.CIQ(M$3, "IQ_BOND_PRICE", $L205)),"")</f>
        <v>100.48099999999999</v>
      </c>
      <c r="N205" s="424">
        <f>IF(AND($L205&lt;&gt;"",N$3&lt;&gt;""),IF(NOT(ISNUMBER(_xll.ciqfunctions.udf.CIQ(N$3, "IQ_BOND_PRICE", $L205))),NA(),_xll.ciqfunctions.udf.CIQ(N$3, "IQ_BOND_PRICE", $L205)),"")</f>
        <v>0</v>
      </c>
      <c r="O205" s="424">
        <f>IF(AND($L205&lt;&gt;"",O$3&lt;&gt;""),IF(NOT(ISNUMBER(_xll.ciqfunctions.udf.CIQ(O$3, "IQ_BOND_PRICE", $L205))),NA(),_xll.ciqfunctions.udf.CIQ(O$3, "IQ_BOND_PRICE", $L205)),"")</f>
        <v>101.66824</v>
      </c>
      <c r="P205" s="424">
        <f>IF(AND($L205&lt;&gt;"",P$3&lt;&gt;""),IF(NOT(ISNUMBER(_xll.ciqfunctions.udf.CIQ(P$3, "IQ_BOND_PRICE", $L205))),NA(),_xll.ciqfunctions.udf.CIQ(P$3, "IQ_BOND_PRICE", $L205)),"")</f>
        <v>102.19781999999999</v>
      </c>
      <c r="Q205" s="424">
        <f>IF(AND($L205&lt;&gt;"",Q$3&lt;&gt;""),IF(NOT(ISNUMBER(_xll.ciqfunctions.udf.CIQ(Q$3, "IQ_BOND_PRICE", $L205))),NA(),_xll.ciqfunctions.udf.CIQ(Q$3, "IQ_BOND_PRICE", $L205)),"")</f>
        <v>104.33799999999999</v>
      </c>
      <c r="R205" s="424">
        <f>IF(AND($L205&lt;&gt;"",R$3&lt;&gt;""),IF(NOT(ISNUMBER(_xll.ciqfunctions.udf.CIQ(R$3, "IQ_BOND_PRICE", $L205))),NA(),_xll.ciqfunctions.udf.CIQ(R$3, "IQ_BOND_PRICE", $L205)),"")</f>
        <v>110.20399999999999</v>
      </c>
      <c r="S205" s="424">
        <f>IF(AND($L205&lt;&gt;"",S$3&lt;&gt;""),IF(NOT(ISNUMBER(_xll.ciqfunctions.udf.CIQ(S$3, "IQ_BOND_PRICE", $L205))),NA(),_xll.ciqfunctions.udf.CIQ(S$3, "IQ_BOND_PRICE", $L205)),"")</f>
        <v>104.80500000000001</v>
      </c>
      <c r="T205" s="424">
        <f>IF(AND($L205&lt;&gt;"",T$3&lt;&gt;""),IF(NOT(ISNUMBER(_xll.ciqfunctions.udf.CIQ(T$3, "IQ_BOND_PRICE", $L205))),NA(),_xll.ciqfunctions.udf.CIQ(T$3, "IQ_BOND_PRICE", $L205)),"")</f>
        <v>104.42</v>
      </c>
      <c r="U205" s="424">
        <f>IF(AND($L205&lt;&gt;"",U$3&lt;&gt;""),IF(NOT(ISNUMBER(_xll.ciqfunctions.udf.CIQ(U$3, "IQ_BOND_PRICE", $L205))),NA(),_xll.ciqfunctions.udf.CIQ(U$3, "IQ_BOND_PRICE", $L205)),"")</f>
        <v>99.886009999999999</v>
      </c>
      <c r="V205" s="424">
        <f>IF(AND($L205&lt;&gt;"",V$3&lt;&gt;""),IF(NOT(ISNUMBER(_xll.ciqfunctions.udf.CIQ(V$3, "IQ_BOND_PRICE", $L205))),NA(),_xll.ciqfunctions.udf.CIQ(V$3, "IQ_BOND_PRICE", $L205)),"")</f>
        <v>104.54044</v>
      </c>
      <c r="W205" s="424">
        <f>IF(AND($L205&lt;&gt;"",W$3&lt;&gt;""),IF(NOT(ISNUMBER(_xll.ciqfunctions.udf.CIQ(W$3, "IQ_BOND_PRICE", $L205))),NA(),_xll.ciqfunctions.udf.CIQ(W$3, "IQ_BOND_PRICE", $L205)),"")</f>
        <v>107.883</v>
      </c>
      <c r="X205" s="424">
        <f>IF(AND($L205&lt;&gt;"",X$3&lt;&gt;""),IF(NOT(ISNUMBER(_xll.ciqfunctions.udf.CIQ(X$3, "IQ_BOND_PRICE", $L205))),NA(),_xll.ciqfunctions.udf.CIQ(X$3, "IQ_BOND_PRICE", $L205)),"")</f>
        <v>109.774</v>
      </c>
      <c r="Y205" s="424">
        <f>IF(AND($L205&lt;&gt;"",Y$3&lt;&gt;""),IF(NOT(ISNUMBER(_xll.ciqfunctions.udf.CIQ(Y$3, "IQ_BOND_PRICE", $L205))),NA(),_xll.ciqfunctions.udf.CIQ(Y$3, "IQ_BOND_PRICE", $L205)),"")</f>
        <v>106.812</v>
      </c>
      <c r="Z205" s="424">
        <f>IF(AND($L205&lt;&gt;"",Z$3&lt;&gt;""),IF(NOT(ISNUMBER(_xll.ciqfunctions.udf.CIQ(Z$3, "IQ_BOND_PRICE", $L205))),NA(),_xll.ciqfunctions.udf.CIQ(Z$3, "IQ_BOND_PRICE", $L205)),"")</f>
        <v>98.523020000000002</v>
      </c>
      <c r="CZ205" s="426"/>
    </row>
    <row r="206" spans="12:104" x14ac:dyDescent="0.2">
      <c r="L206" s="425">
        <f t="shared" si="3"/>
        <v>44560</v>
      </c>
      <c r="M206" s="424">
        <f>IF(AND($L206&lt;&gt;"",M$3&lt;&gt;""),IF(NOT(ISNUMBER(_xll.ciqfunctions.udf.CIQ(M$3, "IQ_BOND_PRICE", $L206))),NA(),_xll.ciqfunctions.udf.CIQ(M$3, "IQ_BOND_PRICE", $L206)),"")</f>
        <v>100.503</v>
      </c>
      <c r="N206" s="424">
        <f>IF(AND($L206&lt;&gt;"",N$3&lt;&gt;""),IF(NOT(ISNUMBER(_xll.ciqfunctions.udf.CIQ(N$3, "IQ_BOND_PRICE", $L206))),NA(),_xll.ciqfunctions.udf.CIQ(N$3, "IQ_BOND_PRICE", $L206)),"")</f>
        <v>0</v>
      </c>
      <c r="O206" s="424">
        <f>IF(AND($L206&lt;&gt;"",O$3&lt;&gt;""),IF(NOT(ISNUMBER(_xll.ciqfunctions.udf.CIQ(O$3, "IQ_BOND_PRICE", $L206))),NA(),_xll.ciqfunctions.udf.CIQ(O$3, "IQ_BOND_PRICE", $L206)),"")</f>
        <v>101.72266999999999</v>
      </c>
      <c r="P206" s="424">
        <f>IF(AND($L206&lt;&gt;"",P$3&lt;&gt;""),IF(NOT(ISNUMBER(_xll.ciqfunctions.udf.CIQ(P$3, "IQ_BOND_PRICE", $L206))),NA(),_xll.ciqfunctions.udf.CIQ(P$3, "IQ_BOND_PRICE", $L206)),"")</f>
        <v>102.19873</v>
      </c>
      <c r="Q206" s="424">
        <f>IF(AND($L206&lt;&gt;"",Q$3&lt;&gt;""),IF(NOT(ISNUMBER(_xll.ciqfunctions.udf.CIQ(Q$3, "IQ_BOND_PRICE", $L206))),NA(),_xll.ciqfunctions.udf.CIQ(Q$3, "IQ_BOND_PRICE", $L206)),"")</f>
        <v>104.20099999999999</v>
      </c>
      <c r="R206" s="424">
        <f>IF(AND($L206&lt;&gt;"",R$3&lt;&gt;""),IF(NOT(ISNUMBER(_xll.ciqfunctions.udf.CIQ(R$3, "IQ_BOND_PRICE", $L206))),NA(),_xll.ciqfunctions.udf.CIQ(R$3, "IQ_BOND_PRICE", $L206)),"")</f>
        <v>110.20399999999999</v>
      </c>
      <c r="S206" s="424">
        <f>IF(AND($L206&lt;&gt;"",S$3&lt;&gt;""),IF(NOT(ISNUMBER(_xll.ciqfunctions.udf.CIQ(S$3, "IQ_BOND_PRICE", $L206))),NA(),_xll.ciqfunctions.udf.CIQ(S$3, "IQ_BOND_PRICE", $L206)),"")</f>
        <v>104.82299999999999</v>
      </c>
      <c r="T206" s="424">
        <f>IF(AND($L206&lt;&gt;"",T$3&lt;&gt;""),IF(NOT(ISNUMBER(_xll.ciqfunctions.udf.CIQ(T$3, "IQ_BOND_PRICE", $L206))),NA(),_xll.ciqfunctions.udf.CIQ(T$3, "IQ_BOND_PRICE", $L206)),"")</f>
        <v>104.44799999999999</v>
      </c>
      <c r="U206" s="424">
        <f>IF(AND($L206&lt;&gt;"",U$3&lt;&gt;""),IF(NOT(ISNUMBER(_xll.ciqfunctions.udf.CIQ(U$3, "IQ_BOND_PRICE", $L206))),NA(),_xll.ciqfunctions.udf.CIQ(U$3, "IQ_BOND_PRICE", $L206)),"")</f>
        <v>99.876549999999995</v>
      </c>
      <c r="V206" s="424">
        <f>IF(AND($L206&lt;&gt;"",V$3&lt;&gt;""),IF(NOT(ISNUMBER(_xll.ciqfunctions.udf.CIQ(V$3, "IQ_BOND_PRICE", $L206))),NA(),_xll.ciqfunctions.udf.CIQ(V$3, "IQ_BOND_PRICE", $L206)),"")</f>
        <v>104.5722</v>
      </c>
      <c r="W206" s="424">
        <f>IF(AND($L206&lt;&gt;"",W$3&lt;&gt;""),IF(NOT(ISNUMBER(_xll.ciqfunctions.udf.CIQ(W$3, "IQ_BOND_PRICE", $L206))),NA(),_xll.ciqfunctions.udf.CIQ(W$3, "IQ_BOND_PRICE", $L206)),"")</f>
        <v>107.935</v>
      </c>
      <c r="X206" s="424">
        <f>IF(AND($L206&lt;&gt;"",X$3&lt;&gt;""),IF(NOT(ISNUMBER(_xll.ciqfunctions.udf.CIQ(X$3, "IQ_BOND_PRICE", $L206))),NA(),_xll.ciqfunctions.udf.CIQ(X$3, "IQ_BOND_PRICE", $L206)),"")</f>
        <v>109.791</v>
      </c>
      <c r="Y206" s="424">
        <f>IF(AND($L206&lt;&gt;"",Y$3&lt;&gt;""),IF(NOT(ISNUMBER(_xll.ciqfunctions.udf.CIQ(Y$3, "IQ_BOND_PRICE", $L206))),NA(),_xll.ciqfunctions.udf.CIQ(Y$3, "IQ_BOND_PRICE", $L206)),"")</f>
        <v>106.887</v>
      </c>
      <c r="Z206" s="424">
        <f>IF(AND($L206&lt;&gt;"",Z$3&lt;&gt;""),IF(NOT(ISNUMBER(_xll.ciqfunctions.udf.CIQ(Z$3, "IQ_BOND_PRICE", $L206))),NA(),_xll.ciqfunctions.udf.CIQ(Z$3, "IQ_BOND_PRICE", $L206)),"")</f>
        <v>98.609979999999993</v>
      </c>
      <c r="CZ206" s="426"/>
    </row>
    <row r="207" spans="12:104" x14ac:dyDescent="0.2">
      <c r="L207" s="425">
        <f t="shared" si="3"/>
        <v>44561</v>
      </c>
      <c r="M207" s="424">
        <f>IF(AND($L207&lt;&gt;"",M$3&lt;&gt;""),IF(NOT(ISNUMBER(_xll.ciqfunctions.udf.CIQ(M$3, "IQ_BOND_PRICE", $L207))),NA(),_xll.ciqfunctions.udf.CIQ(M$3, "IQ_BOND_PRICE", $L207)),"")</f>
        <v>100.529</v>
      </c>
      <c r="N207" s="424">
        <f>IF(AND($L207&lt;&gt;"",N$3&lt;&gt;""),IF(NOT(ISNUMBER(_xll.ciqfunctions.udf.CIQ(N$3, "IQ_BOND_PRICE", $L207))),NA(),_xll.ciqfunctions.udf.CIQ(N$3, "IQ_BOND_PRICE", $L207)),"")</f>
        <v>0</v>
      </c>
      <c r="O207" s="424">
        <f>IF(AND($L207&lt;&gt;"",O$3&lt;&gt;""),IF(NOT(ISNUMBER(_xll.ciqfunctions.udf.CIQ(O$3, "IQ_BOND_PRICE", $L207))),NA(),_xll.ciqfunctions.udf.CIQ(O$3, "IQ_BOND_PRICE", $L207)),"")</f>
        <v>101.66037</v>
      </c>
      <c r="P207" s="424">
        <f>IF(AND($L207&lt;&gt;"",P$3&lt;&gt;""),IF(NOT(ISNUMBER(_xll.ciqfunctions.udf.CIQ(P$3, "IQ_BOND_PRICE", $L207))),NA(),_xll.ciqfunctions.udf.CIQ(P$3, "IQ_BOND_PRICE", $L207)),"")</f>
        <v>102.20251</v>
      </c>
      <c r="Q207" s="424">
        <f>IF(AND($L207&lt;&gt;"",Q$3&lt;&gt;""),IF(NOT(ISNUMBER(_xll.ciqfunctions.udf.CIQ(Q$3, "IQ_BOND_PRICE", $L207))),NA(),_xll.ciqfunctions.udf.CIQ(Q$3, "IQ_BOND_PRICE", $L207)),"")</f>
        <v>104.03400000000001</v>
      </c>
      <c r="R207" s="424">
        <f>IF(AND($L207&lt;&gt;"",R$3&lt;&gt;""),IF(NOT(ISNUMBER(_xll.ciqfunctions.udf.CIQ(R$3, "IQ_BOND_PRICE", $L207))),NA(),_xll.ciqfunctions.udf.CIQ(R$3, "IQ_BOND_PRICE", $L207)),"")</f>
        <v>110.256</v>
      </c>
      <c r="S207" s="424">
        <f>IF(AND($L207&lt;&gt;"",S$3&lt;&gt;""),IF(NOT(ISNUMBER(_xll.ciqfunctions.udf.CIQ(S$3, "IQ_BOND_PRICE", $L207))),NA(),_xll.ciqfunctions.udf.CIQ(S$3, "IQ_BOND_PRICE", $L207)),"")</f>
        <v>104.84</v>
      </c>
      <c r="T207" s="424">
        <f>IF(AND($L207&lt;&gt;"",T$3&lt;&gt;""),IF(NOT(ISNUMBER(_xll.ciqfunctions.udf.CIQ(T$3, "IQ_BOND_PRICE", $L207))),NA(),_xll.ciqfunctions.udf.CIQ(T$3, "IQ_BOND_PRICE", $L207)),"")</f>
        <v>104.514</v>
      </c>
      <c r="U207" s="424">
        <f>IF(AND($L207&lt;&gt;"",U$3&lt;&gt;""),IF(NOT(ISNUMBER(_xll.ciqfunctions.udf.CIQ(U$3, "IQ_BOND_PRICE", $L207))),NA(),_xll.ciqfunctions.udf.CIQ(U$3, "IQ_BOND_PRICE", $L207)),"")</f>
        <v>99.878789999999995</v>
      </c>
      <c r="V207" s="424">
        <f>IF(AND($L207&lt;&gt;"",V$3&lt;&gt;""),IF(NOT(ISNUMBER(_xll.ciqfunctions.udf.CIQ(V$3, "IQ_BOND_PRICE", $L207))),NA(),_xll.ciqfunctions.udf.CIQ(V$3, "IQ_BOND_PRICE", $L207)),"")</f>
        <v>104.66383</v>
      </c>
      <c r="W207" s="424">
        <f>IF(AND($L207&lt;&gt;"",W$3&lt;&gt;""),IF(NOT(ISNUMBER(_xll.ciqfunctions.udf.CIQ(W$3, "IQ_BOND_PRICE", $L207))),NA(),_xll.ciqfunctions.udf.CIQ(W$3, "IQ_BOND_PRICE", $L207)),"")</f>
        <v>107.973</v>
      </c>
      <c r="X207" s="424">
        <f>IF(AND($L207&lt;&gt;"",X$3&lt;&gt;""),IF(NOT(ISNUMBER(_xll.ciqfunctions.udf.CIQ(X$3, "IQ_BOND_PRICE", $L207))),NA(),_xll.ciqfunctions.udf.CIQ(X$3, "IQ_BOND_PRICE", $L207)),"")</f>
        <v>109.751</v>
      </c>
      <c r="Y207" s="424">
        <f>IF(AND($L207&lt;&gt;"",Y$3&lt;&gt;""),IF(NOT(ISNUMBER(_xll.ciqfunctions.udf.CIQ(Y$3, "IQ_BOND_PRICE", $L207))),NA(),_xll.ciqfunctions.udf.CIQ(Y$3, "IQ_BOND_PRICE", $L207)),"")</f>
        <v>106.94</v>
      </c>
      <c r="Z207" s="424">
        <f>IF(AND($L207&lt;&gt;"",Z$3&lt;&gt;""),IF(NOT(ISNUMBER(_xll.ciqfunctions.udf.CIQ(Z$3, "IQ_BOND_PRICE", $L207))),NA(),_xll.ciqfunctions.udf.CIQ(Z$3, "IQ_BOND_PRICE", $L207)),"")</f>
        <v>98.936220000000006</v>
      </c>
      <c r="CZ207" s="426"/>
    </row>
    <row r="208" spans="12:104" x14ac:dyDescent="0.2">
      <c r="L208" s="425">
        <f t="shared" si="3"/>
        <v>44564</v>
      </c>
      <c r="M208" s="424">
        <f>IF(AND($L208&lt;&gt;"",M$3&lt;&gt;""),IF(NOT(ISNUMBER(_xll.ciqfunctions.udf.CIQ(M$3, "IQ_BOND_PRICE", $L208))),NA(),_xll.ciqfunctions.udf.CIQ(M$3, "IQ_BOND_PRICE", $L208)),"")</f>
        <v>100.508</v>
      </c>
      <c r="N208" s="424">
        <f>IF(AND($L208&lt;&gt;"",N$3&lt;&gt;""),IF(NOT(ISNUMBER(_xll.ciqfunctions.udf.CIQ(N$3, "IQ_BOND_PRICE", $L208))),NA(),_xll.ciqfunctions.udf.CIQ(N$3, "IQ_BOND_PRICE", $L208)),"")</f>
        <v>0</v>
      </c>
      <c r="O208" s="424">
        <f>IF(AND($L208&lt;&gt;"",O$3&lt;&gt;""),IF(NOT(ISNUMBER(_xll.ciqfunctions.udf.CIQ(O$3, "IQ_BOND_PRICE", $L208))),NA(),_xll.ciqfunctions.udf.CIQ(O$3, "IQ_BOND_PRICE", $L208)),"")</f>
        <v>101.68527</v>
      </c>
      <c r="P208" s="424">
        <f>IF(AND($L208&lt;&gt;"",P$3&lt;&gt;""),IF(NOT(ISNUMBER(_xll.ciqfunctions.udf.CIQ(P$3, "IQ_BOND_PRICE", $L208))),NA(),_xll.ciqfunctions.udf.CIQ(P$3, "IQ_BOND_PRICE", $L208)),"")</f>
        <v>102.1104</v>
      </c>
      <c r="Q208" s="424">
        <f>IF(AND($L208&lt;&gt;"",Q$3&lt;&gt;""),IF(NOT(ISNUMBER(_xll.ciqfunctions.udf.CIQ(Q$3, "IQ_BOND_PRICE", $L208))),NA(),_xll.ciqfunctions.udf.CIQ(Q$3, "IQ_BOND_PRICE", $L208)),"")</f>
        <v>103.738</v>
      </c>
      <c r="R208" s="424">
        <f>IF(AND($L208&lt;&gt;"",R$3&lt;&gt;""),IF(NOT(ISNUMBER(_xll.ciqfunctions.udf.CIQ(R$3, "IQ_BOND_PRICE", $L208))),NA(),_xll.ciqfunctions.udf.CIQ(R$3, "IQ_BOND_PRICE", $L208)),"")</f>
        <v>110.087</v>
      </c>
      <c r="S208" s="424">
        <f>IF(AND($L208&lt;&gt;"",S$3&lt;&gt;""),IF(NOT(ISNUMBER(_xll.ciqfunctions.udf.CIQ(S$3, "IQ_BOND_PRICE", $L208))),NA(),_xll.ciqfunctions.udf.CIQ(S$3, "IQ_BOND_PRICE", $L208)),"")</f>
        <v>104.675</v>
      </c>
      <c r="T208" s="424">
        <f>IF(AND($L208&lt;&gt;"",T$3&lt;&gt;""),IF(NOT(ISNUMBER(_xll.ciqfunctions.udf.CIQ(T$3, "IQ_BOND_PRICE", $L208))),NA(),_xll.ciqfunctions.udf.CIQ(T$3, "IQ_BOND_PRICE", $L208)),"")</f>
        <v>104.327</v>
      </c>
      <c r="U208" s="424">
        <f>IF(AND($L208&lt;&gt;"",U$3&lt;&gt;""),IF(NOT(ISNUMBER(_xll.ciqfunctions.udf.CIQ(U$3, "IQ_BOND_PRICE", $L208))),NA(),_xll.ciqfunctions.udf.CIQ(U$3, "IQ_BOND_PRICE", $L208)),"")</f>
        <v>99.879059999999996</v>
      </c>
      <c r="V208" s="424">
        <f>IF(AND($L208&lt;&gt;"",V$3&lt;&gt;""),IF(NOT(ISNUMBER(_xll.ciqfunctions.udf.CIQ(V$3, "IQ_BOND_PRICE", $L208))),NA(),_xll.ciqfunctions.udf.CIQ(V$3, "IQ_BOND_PRICE", $L208)),"")</f>
        <v>104.43589</v>
      </c>
      <c r="W208" s="424">
        <f>IF(AND($L208&lt;&gt;"",W$3&lt;&gt;""),IF(NOT(ISNUMBER(_xll.ciqfunctions.udf.CIQ(W$3, "IQ_BOND_PRICE", $L208))),NA(),_xll.ciqfunctions.udf.CIQ(W$3, "IQ_BOND_PRICE", $L208)),"")</f>
        <v>107.46899999999999</v>
      </c>
      <c r="X208" s="424">
        <f>IF(AND($L208&lt;&gt;"",X$3&lt;&gt;""),IF(NOT(ISNUMBER(_xll.ciqfunctions.udf.CIQ(X$3, "IQ_BOND_PRICE", $L208))),NA(),_xll.ciqfunctions.udf.CIQ(X$3, "IQ_BOND_PRICE", $L208)),"")</f>
        <v>109.624</v>
      </c>
      <c r="Y208" s="424">
        <f>IF(AND($L208&lt;&gt;"",Y$3&lt;&gt;""),IF(NOT(ISNUMBER(_xll.ciqfunctions.udf.CIQ(Y$3, "IQ_BOND_PRICE", $L208))),NA(),_xll.ciqfunctions.udf.CIQ(Y$3, "IQ_BOND_PRICE", $L208)),"")</f>
        <v>106.423</v>
      </c>
      <c r="Z208" s="424">
        <f>IF(AND($L208&lt;&gt;"",Z$3&lt;&gt;""),IF(NOT(ISNUMBER(_xll.ciqfunctions.udf.CIQ(Z$3, "IQ_BOND_PRICE", $L208))),NA(),_xll.ciqfunctions.udf.CIQ(Z$3, "IQ_BOND_PRICE", $L208)),"")</f>
        <v>98.401920000000004</v>
      </c>
      <c r="CZ208" s="426"/>
    </row>
    <row r="209" spans="12:104" x14ac:dyDescent="0.2">
      <c r="L209" s="425">
        <f t="shared" si="3"/>
        <v>44565</v>
      </c>
      <c r="M209" s="424">
        <f>IF(AND($L209&lt;&gt;"",M$3&lt;&gt;""),IF(NOT(ISNUMBER(_xll.ciqfunctions.udf.CIQ(M$3, "IQ_BOND_PRICE", $L209))),NA(),_xll.ciqfunctions.udf.CIQ(M$3, "IQ_BOND_PRICE", $L209)),"")</f>
        <v>100.52200000000001</v>
      </c>
      <c r="N209" s="424">
        <f>IF(AND($L209&lt;&gt;"",N$3&lt;&gt;""),IF(NOT(ISNUMBER(_xll.ciqfunctions.udf.CIQ(N$3, "IQ_BOND_PRICE", $L209))),NA(),_xll.ciqfunctions.udf.CIQ(N$3, "IQ_BOND_PRICE", $L209)),"")</f>
        <v>0</v>
      </c>
      <c r="O209" s="424">
        <f>IF(AND($L209&lt;&gt;"",O$3&lt;&gt;""),IF(NOT(ISNUMBER(_xll.ciqfunctions.udf.CIQ(O$3, "IQ_BOND_PRICE", $L209))),NA(),_xll.ciqfunctions.udf.CIQ(O$3, "IQ_BOND_PRICE", $L209)),"")</f>
        <v>101.6641</v>
      </c>
      <c r="P209" s="424">
        <f>IF(AND($L209&lt;&gt;"",P$3&lt;&gt;""),IF(NOT(ISNUMBER(_xll.ciqfunctions.udf.CIQ(P$3, "IQ_BOND_PRICE", $L209))),NA(),_xll.ciqfunctions.udf.CIQ(P$3, "IQ_BOND_PRICE", $L209)),"")</f>
        <v>102.08956000000001</v>
      </c>
      <c r="Q209" s="424">
        <f>IF(AND($L209&lt;&gt;"",Q$3&lt;&gt;""),IF(NOT(ISNUMBER(_xll.ciqfunctions.udf.CIQ(Q$3, "IQ_BOND_PRICE", $L209))),NA(),_xll.ciqfunctions.udf.CIQ(Q$3, "IQ_BOND_PRICE", $L209)),"")</f>
        <v>103.765</v>
      </c>
      <c r="R209" s="424">
        <f>IF(AND($L209&lt;&gt;"",R$3&lt;&gt;""),IF(NOT(ISNUMBER(_xll.ciqfunctions.udf.CIQ(R$3, "IQ_BOND_PRICE", $L209))),NA(),_xll.ciqfunctions.udf.CIQ(R$3, "IQ_BOND_PRICE", $L209)),"")</f>
        <v>110.107</v>
      </c>
      <c r="S209" s="424">
        <f>IF(AND($L209&lt;&gt;"",S$3&lt;&gt;""),IF(NOT(ISNUMBER(_xll.ciqfunctions.udf.CIQ(S$3, "IQ_BOND_PRICE", $L209))),NA(),_xll.ciqfunctions.udf.CIQ(S$3, "IQ_BOND_PRICE", $L209)),"")</f>
        <v>104.771</v>
      </c>
      <c r="T209" s="424">
        <f>IF(AND($L209&lt;&gt;"",T$3&lt;&gt;""),IF(NOT(ISNUMBER(_xll.ciqfunctions.udf.CIQ(T$3, "IQ_BOND_PRICE", $L209))),NA(),_xll.ciqfunctions.udf.CIQ(T$3, "IQ_BOND_PRICE", $L209)),"")</f>
        <v>104.527</v>
      </c>
      <c r="U209" s="424">
        <f>IF(AND($L209&lt;&gt;"",U$3&lt;&gt;""),IF(NOT(ISNUMBER(_xll.ciqfunctions.udf.CIQ(U$3, "IQ_BOND_PRICE", $L209))),NA(),_xll.ciqfunctions.udf.CIQ(U$3, "IQ_BOND_PRICE", $L209)),"")</f>
        <v>99.866900000000001</v>
      </c>
      <c r="V209" s="424">
        <f>IF(AND($L209&lt;&gt;"",V$3&lt;&gt;""),IF(NOT(ISNUMBER(_xll.ciqfunctions.udf.CIQ(V$3, "IQ_BOND_PRICE", $L209))),NA(),_xll.ciqfunctions.udf.CIQ(V$3, "IQ_BOND_PRICE", $L209)),"")</f>
        <v>104.45699999999999</v>
      </c>
      <c r="W209" s="424">
        <f>IF(AND($L209&lt;&gt;"",W$3&lt;&gt;""),IF(NOT(ISNUMBER(_xll.ciqfunctions.udf.CIQ(W$3, "IQ_BOND_PRICE", $L209))),NA(),_xll.ciqfunctions.udf.CIQ(W$3, "IQ_BOND_PRICE", $L209)),"")</f>
        <v>107.621</v>
      </c>
      <c r="X209" s="424">
        <f>IF(AND($L209&lt;&gt;"",X$3&lt;&gt;""),IF(NOT(ISNUMBER(_xll.ciqfunctions.udf.CIQ(X$3, "IQ_BOND_PRICE", $L209))),NA(),_xll.ciqfunctions.udf.CIQ(X$3, "IQ_BOND_PRICE", $L209)),"")</f>
        <v>109.73099999999999</v>
      </c>
      <c r="Y209" s="424">
        <f>IF(AND($L209&lt;&gt;"",Y$3&lt;&gt;""),IF(NOT(ISNUMBER(_xll.ciqfunctions.udf.CIQ(Y$3, "IQ_BOND_PRICE", $L209))),NA(),_xll.ciqfunctions.udf.CIQ(Y$3, "IQ_BOND_PRICE", $L209)),"")</f>
        <v>106.398</v>
      </c>
      <c r="Z209" s="424">
        <f>IF(AND($L209&lt;&gt;"",Z$3&lt;&gt;""),IF(NOT(ISNUMBER(_xll.ciqfunctions.udf.CIQ(Z$3, "IQ_BOND_PRICE", $L209))),NA(),_xll.ciqfunctions.udf.CIQ(Z$3, "IQ_BOND_PRICE", $L209)),"")</f>
        <v>98.549689999999998</v>
      </c>
      <c r="CZ209" s="426"/>
    </row>
    <row r="210" spans="12:104" x14ac:dyDescent="0.2">
      <c r="L210" s="425">
        <f t="shared" si="3"/>
        <v>44566</v>
      </c>
      <c r="M210" s="424">
        <f>IF(AND($L210&lt;&gt;"",M$3&lt;&gt;""),IF(NOT(ISNUMBER(_xll.ciqfunctions.udf.CIQ(M$3, "IQ_BOND_PRICE", $L210))),NA(),_xll.ciqfunctions.udf.CIQ(M$3, "IQ_BOND_PRICE", $L210)),"")</f>
        <v>100.53400000000001</v>
      </c>
      <c r="N210" s="424">
        <f>IF(AND($L210&lt;&gt;"",N$3&lt;&gt;""),IF(NOT(ISNUMBER(_xll.ciqfunctions.udf.CIQ(N$3, "IQ_BOND_PRICE", $L210))),NA(),_xll.ciqfunctions.udf.CIQ(N$3, "IQ_BOND_PRICE", $L210)),"")</f>
        <v>0</v>
      </c>
      <c r="O210" s="424">
        <f>IF(AND($L210&lt;&gt;"",O$3&lt;&gt;""),IF(NOT(ISNUMBER(_xll.ciqfunctions.udf.CIQ(O$3, "IQ_BOND_PRICE", $L210))),NA(),_xll.ciqfunctions.udf.CIQ(O$3, "IQ_BOND_PRICE", $L210)),"")</f>
        <v>101.63852</v>
      </c>
      <c r="P210" s="424">
        <f>IF(AND($L210&lt;&gt;"",P$3&lt;&gt;""),IF(NOT(ISNUMBER(_xll.ciqfunctions.udf.CIQ(P$3, "IQ_BOND_PRICE", $L210))),NA(),_xll.ciqfunctions.udf.CIQ(P$3, "IQ_BOND_PRICE", $L210)),"")</f>
        <v>102.0187</v>
      </c>
      <c r="Q210" s="424">
        <f>IF(AND($L210&lt;&gt;"",Q$3&lt;&gt;""),IF(NOT(ISNUMBER(_xll.ciqfunctions.udf.CIQ(Q$3, "IQ_BOND_PRICE", $L210))),NA(),_xll.ciqfunctions.udf.CIQ(Q$3, "IQ_BOND_PRICE", $L210)),"")</f>
        <v>103.501</v>
      </c>
      <c r="R210" s="424">
        <f>IF(AND($L210&lt;&gt;"",R$3&lt;&gt;""),IF(NOT(ISNUMBER(_xll.ciqfunctions.udf.CIQ(R$3, "IQ_BOND_PRICE", $L210))),NA(),_xll.ciqfunctions.udf.CIQ(R$3, "IQ_BOND_PRICE", $L210)),"")</f>
        <v>109.992</v>
      </c>
      <c r="S210" s="424">
        <f>IF(AND($L210&lt;&gt;"",S$3&lt;&gt;""),IF(NOT(ISNUMBER(_xll.ciqfunctions.udf.CIQ(S$3, "IQ_BOND_PRICE", $L210))),NA(),_xll.ciqfunctions.udf.CIQ(S$3, "IQ_BOND_PRICE", $L210)),"")</f>
        <v>104.63200000000001</v>
      </c>
      <c r="T210" s="424">
        <f>IF(AND($L210&lt;&gt;"",T$3&lt;&gt;""),IF(NOT(ISNUMBER(_xll.ciqfunctions.udf.CIQ(T$3, "IQ_BOND_PRICE", $L210))),NA(),_xll.ciqfunctions.udf.CIQ(T$3, "IQ_BOND_PRICE", $L210)),"")</f>
        <v>104.366</v>
      </c>
      <c r="U210" s="424">
        <f>IF(AND($L210&lt;&gt;"",U$3&lt;&gt;""),IF(NOT(ISNUMBER(_xll.ciqfunctions.udf.CIQ(U$3, "IQ_BOND_PRICE", $L210))),NA(),_xll.ciqfunctions.udf.CIQ(U$3, "IQ_BOND_PRICE", $L210)),"")</f>
        <v>99.868300000000005</v>
      </c>
      <c r="V210" s="424">
        <f>IF(AND($L210&lt;&gt;"",V$3&lt;&gt;""),IF(NOT(ISNUMBER(_xll.ciqfunctions.udf.CIQ(V$3, "IQ_BOND_PRICE", $L210))),NA(),_xll.ciqfunctions.udf.CIQ(V$3, "IQ_BOND_PRICE", $L210)),"")</f>
        <v>104.27449</v>
      </c>
      <c r="W210" s="424">
        <f>IF(AND($L210&lt;&gt;"",W$3&lt;&gt;""),IF(NOT(ISNUMBER(_xll.ciqfunctions.udf.CIQ(W$3, "IQ_BOND_PRICE", $L210))),NA(),_xll.ciqfunctions.udf.CIQ(W$3, "IQ_BOND_PRICE", $L210)),"")</f>
        <v>107.32599999999999</v>
      </c>
      <c r="X210" s="424">
        <f>IF(AND($L210&lt;&gt;"",X$3&lt;&gt;""),IF(NOT(ISNUMBER(_xll.ciqfunctions.udf.CIQ(X$3, "IQ_BOND_PRICE", $L210))),NA(),_xll.ciqfunctions.udf.CIQ(X$3, "IQ_BOND_PRICE", $L210)),"")</f>
        <v>109.73</v>
      </c>
      <c r="Y210" s="424">
        <f>IF(AND($L210&lt;&gt;"",Y$3&lt;&gt;""),IF(NOT(ISNUMBER(_xll.ciqfunctions.udf.CIQ(Y$3, "IQ_BOND_PRICE", $L210))),NA(),_xll.ciqfunctions.udf.CIQ(Y$3, "IQ_BOND_PRICE", $L210)),"")</f>
        <v>106.13200000000001</v>
      </c>
      <c r="Z210" s="424">
        <f>IF(AND($L210&lt;&gt;"",Z$3&lt;&gt;""),IF(NOT(ISNUMBER(_xll.ciqfunctions.udf.CIQ(Z$3, "IQ_BOND_PRICE", $L210))),NA(),_xll.ciqfunctions.udf.CIQ(Z$3, "IQ_BOND_PRICE", $L210)),"")</f>
        <v>98.283159999999995</v>
      </c>
      <c r="CZ210" s="426"/>
    </row>
    <row r="211" spans="12:104" x14ac:dyDescent="0.2">
      <c r="L211" s="425">
        <f t="shared" si="3"/>
        <v>44567</v>
      </c>
      <c r="M211" s="424">
        <f>IF(AND($L211&lt;&gt;"",M$3&lt;&gt;""),IF(NOT(ISNUMBER(_xll.ciqfunctions.udf.CIQ(M$3, "IQ_BOND_PRICE", $L211))),NA(),_xll.ciqfunctions.udf.CIQ(M$3, "IQ_BOND_PRICE", $L211)),"")</f>
        <v>100.518</v>
      </c>
      <c r="N211" s="424">
        <f>IF(AND($L211&lt;&gt;"",N$3&lt;&gt;""),IF(NOT(ISNUMBER(_xll.ciqfunctions.udf.CIQ(N$3, "IQ_BOND_PRICE", $L211))),NA(),_xll.ciqfunctions.udf.CIQ(N$3, "IQ_BOND_PRICE", $L211)),"")</f>
        <v>0</v>
      </c>
      <c r="O211" s="424">
        <f>IF(AND($L211&lt;&gt;"",O$3&lt;&gt;""),IF(NOT(ISNUMBER(_xll.ciqfunctions.udf.CIQ(O$3, "IQ_BOND_PRICE", $L211))),NA(),_xll.ciqfunctions.udf.CIQ(O$3, "IQ_BOND_PRICE", $L211)),"")</f>
        <v>101.58447</v>
      </c>
      <c r="P211" s="424">
        <f>IF(AND($L211&lt;&gt;"",P$3&lt;&gt;""),IF(NOT(ISNUMBER(_xll.ciqfunctions.udf.CIQ(P$3, "IQ_BOND_PRICE", $L211))),NA(),_xll.ciqfunctions.udf.CIQ(P$3, "IQ_BOND_PRICE", $L211)),"")</f>
        <v>101.91498</v>
      </c>
      <c r="Q211" s="424">
        <f>IF(AND($L211&lt;&gt;"",Q$3&lt;&gt;""),IF(NOT(ISNUMBER(_xll.ciqfunctions.udf.CIQ(Q$3, "IQ_BOND_PRICE", $L211))),NA(),_xll.ciqfunctions.udf.CIQ(Q$3, "IQ_BOND_PRICE", $L211)),"")</f>
        <v>103.646</v>
      </c>
      <c r="R211" s="424">
        <f>IF(AND($L211&lt;&gt;"",R$3&lt;&gt;""),IF(NOT(ISNUMBER(_xll.ciqfunctions.udf.CIQ(R$3, "IQ_BOND_PRICE", $L211))),NA(),_xll.ciqfunctions.udf.CIQ(R$3, "IQ_BOND_PRICE", $L211)),"")</f>
        <v>109.866</v>
      </c>
      <c r="S211" s="424">
        <f>IF(AND($L211&lt;&gt;"",S$3&lt;&gt;""),IF(NOT(ISNUMBER(_xll.ciqfunctions.udf.CIQ(S$3, "IQ_BOND_PRICE", $L211))),NA(),_xll.ciqfunctions.udf.CIQ(S$3, "IQ_BOND_PRICE", $L211)),"")</f>
        <v>104.536</v>
      </c>
      <c r="T211" s="424">
        <f>IF(AND($L211&lt;&gt;"",T$3&lt;&gt;""),IF(NOT(ISNUMBER(_xll.ciqfunctions.udf.CIQ(T$3, "IQ_BOND_PRICE", $L211))),NA(),_xll.ciqfunctions.udf.CIQ(T$3, "IQ_BOND_PRICE", $L211)),"")</f>
        <v>104.21899999999999</v>
      </c>
      <c r="U211" s="424">
        <f>IF(AND($L211&lt;&gt;"",U$3&lt;&gt;""),IF(NOT(ISNUMBER(_xll.ciqfunctions.udf.CIQ(U$3, "IQ_BOND_PRICE", $L211))),NA(),_xll.ciqfunctions.udf.CIQ(U$3, "IQ_BOND_PRICE", $L211)),"")</f>
        <v>99.85745</v>
      </c>
      <c r="V211" s="424">
        <f>IF(AND($L211&lt;&gt;"",V$3&lt;&gt;""),IF(NOT(ISNUMBER(_xll.ciqfunctions.udf.CIQ(V$3, "IQ_BOND_PRICE", $L211))),NA(),_xll.ciqfunctions.udf.CIQ(V$3, "IQ_BOND_PRICE", $L211)),"")</f>
        <v>104.16555</v>
      </c>
      <c r="W211" s="424">
        <f>IF(AND($L211&lt;&gt;"",W$3&lt;&gt;""),IF(NOT(ISNUMBER(_xll.ciqfunctions.udf.CIQ(W$3, "IQ_BOND_PRICE", $L211))),NA(),_xll.ciqfunctions.udf.CIQ(W$3, "IQ_BOND_PRICE", $L211)),"")</f>
        <v>107.13</v>
      </c>
      <c r="X211" s="424">
        <f>IF(AND($L211&lt;&gt;"",X$3&lt;&gt;""),IF(NOT(ISNUMBER(_xll.ciqfunctions.udf.CIQ(X$3, "IQ_BOND_PRICE", $L211))),NA(),_xll.ciqfunctions.udf.CIQ(X$3, "IQ_BOND_PRICE", $L211)),"")</f>
        <v>109.627</v>
      </c>
      <c r="Y211" s="424">
        <f>IF(AND($L211&lt;&gt;"",Y$3&lt;&gt;""),IF(NOT(ISNUMBER(_xll.ciqfunctions.udf.CIQ(Y$3, "IQ_BOND_PRICE", $L211))),NA(),_xll.ciqfunctions.udf.CIQ(Y$3, "IQ_BOND_PRICE", $L211)),"")</f>
        <v>105.943</v>
      </c>
      <c r="Z211" s="424">
        <f>IF(AND($L211&lt;&gt;"",Z$3&lt;&gt;""),IF(NOT(ISNUMBER(_xll.ciqfunctions.udf.CIQ(Z$3, "IQ_BOND_PRICE", $L211))),NA(),_xll.ciqfunctions.udf.CIQ(Z$3, "IQ_BOND_PRICE", $L211)),"")</f>
        <v>98.185209999999998</v>
      </c>
      <c r="CZ211" s="426"/>
    </row>
    <row r="212" spans="12:104" x14ac:dyDescent="0.2">
      <c r="L212" s="425">
        <f t="shared" si="3"/>
        <v>44568</v>
      </c>
      <c r="M212" s="424">
        <f>IF(AND($L212&lt;&gt;"",M$3&lt;&gt;""),IF(NOT(ISNUMBER(_xll.ciqfunctions.udf.CIQ(M$3, "IQ_BOND_PRICE", $L212))),NA(),_xll.ciqfunctions.udf.CIQ(M$3, "IQ_BOND_PRICE", $L212)),"")</f>
        <v>100.503</v>
      </c>
      <c r="N212" s="424">
        <f>IF(AND($L212&lt;&gt;"",N$3&lt;&gt;""),IF(NOT(ISNUMBER(_xll.ciqfunctions.udf.CIQ(N$3, "IQ_BOND_PRICE", $L212))),NA(),_xll.ciqfunctions.udf.CIQ(N$3, "IQ_BOND_PRICE", $L212)),"")</f>
        <v>0</v>
      </c>
      <c r="O212" s="424">
        <f>IF(AND($L212&lt;&gt;"",O$3&lt;&gt;""),IF(NOT(ISNUMBER(_xll.ciqfunctions.udf.CIQ(O$3, "IQ_BOND_PRICE", $L212))),NA(),_xll.ciqfunctions.udf.CIQ(O$3, "IQ_BOND_PRICE", $L212)),"")</f>
        <v>101.60677</v>
      </c>
      <c r="P212" s="424">
        <f>IF(AND($L212&lt;&gt;"",P$3&lt;&gt;""),IF(NOT(ISNUMBER(_xll.ciqfunctions.udf.CIQ(P$3, "IQ_BOND_PRICE", $L212))),NA(),_xll.ciqfunctions.udf.CIQ(P$3, "IQ_BOND_PRICE", $L212)),"")</f>
        <v>101.92129</v>
      </c>
      <c r="Q212" s="424">
        <f>IF(AND($L212&lt;&gt;"",Q$3&lt;&gt;""),IF(NOT(ISNUMBER(_xll.ciqfunctions.udf.CIQ(Q$3, "IQ_BOND_PRICE", $L212))),NA(),_xll.ciqfunctions.udf.CIQ(Q$3, "IQ_BOND_PRICE", $L212)),"")</f>
        <v>103.655</v>
      </c>
      <c r="R212" s="424">
        <f>IF(AND($L212&lt;&gt;"",R$3&lt;&gt;""),IF(NOT(ISNUMBER(_xll.ciqfunctions.udf.CIQ(R$3, "IQ_BOND_PRICE", $L212))),NA(),_xll.ciqfunctions.udf.CIQ(R$3, "IQ_BOND_PRICE", $L212)),"")</f>
        <v>109.86199999999999</v>
      </c>
      <c r="S212" s="424">
        <f>IF(AND($L212&lt;&gt;"",S$3&lt;&gt;""),IF(NOT(ISNUMBER(_xll.ciqfunctions.udf.CIQ(S$3, "IQ_BOND_PRICE", $L212))),NA(),_xll.ciqfunctions.udf.CIQ(S$3, "IQ_BOND_PRICE", $L212)),"")</f>
        <v>104.551</v>
      </c>
      <c r="T212" s="424">
        <f>IF(AND($L212&lt;&gt;"",T$3&lt;&gt;""),IF(NOT(ISNUMBER(_xll.ciqfunctions.udf.CIQ(T$3, "IQ_BOND_PRICE", $L212))),NA(),_xll.ciqfunctions.udf.CIQ(T$3, "IQ_BOND_PRICE", $L212)),"")</f>
        <v>104.23399999999999</v>
      </c>
      <c r="U212" s="424">
        <f>IF(AND($L212&lt;&gt;"",U$3&lt;&gt;""),IF(NOT(ISNUMBER(_xll.ciqfunctions.udf.CIQ(U$3, "IQ_BOND_PRICE", $L212))),NA(),_xll.ciqfunctions.udf.CIQ(U$3, "IQ_BOND_PRICE", $L212)),"")</f>
        <v>99.849580000000003</v>
      </c>
      <c r="V212" s="424">
        <f>IF(AND($L212&lt;&gt;"",V$3&lt;&gt;""),IF(NOT(ISNUMBER(_xll.ciqfunctions.udf.CIQ(V$3, "IQ_BOND_PRICE", $L212))),NA(),_xll.ciqfunctions.udf.CIQ(V$3, "IQ_BOND_PRICE", $L212)),"")</f>
        <v>104.09314000000001</v>
      </c>
      <c r="W212" s="424">
        <f>IF(AND($L212&lt;&gt;"",W$3&lt;&gt;""),IF(NOT(ISNUMBER(_xll.ciqfunctions.udf.CIQ(W$3, "IQ_BOND_PRICE", $L212))),NA(),_xll.ciqfunctions.udf.CIQ(W$3, "IQ_BOND_PRICE", $L212)),"")</f>
        <v>107.086</v>
      </c>
      <c r="X212" s="424">
        <f>IF(AND($L212&lt;&gt;"",X$3&lt;&gt;""),IF(NOT(ISNUMBER(_xll.ciqfunctions.udf.CIQ(X$3, "IQ_BOND_PRICE", $L212))),NA(),_xll.ciqfunctions.udf.CIQ(X$3, "IQ_BOND_PRICE", $L212)),"")</f>
        <v>109.581</v>
      </c>
      <c r="Y212" s="424">
        <f>IF(AND($L212&lt;&gt;"",Y$3&lt;&gt;""),IF(NOT(ISNUMBER(_xll.ciqfunctions.udf.CIQ(Y$3, "IQ_BOND_PRICE", $L212))),NA(),_xll.ciqfunctions.udf.CIQ(Y$3, "IQ_BOND_PRICE", $L212)),"")</f>
        <v>105.818</v>
      </c>
      <c r="Z212" s="424">
        <f>IF(AND($L212&lt;&gt;"",Z$3&lt;&gt;""),IF(NOT(ISNUMBER(_xll.ciqfunctions.udf.CIQ(Z$3, "IQ_BOND_PRICE", $L212))),NA(),_xll.ciqfunctions.udf.CIQ(Z$3, "IQ_BOND_PRICE", $L212)),"")</f>
        <v>98.094710000000006</v>
      </c>
      <c r="CZ212" s="426"/>
    </row>
    <row r="213" spans="12:104" x14ac:dyDescent="0.2">
      <c r="L213" s="425">
        <f t="shared" si="3"/>
        <v>44571</v>
      </c>
      <c r="M213" s="424">
        <f>IF(AND($L213&lt;&gt;"",M$3&lt;&gt;""),IF(NOT(ISNUMBER(_xll.ciqfunctions.udf.CIQ(M$3, "IQ_BOND_PRICE", $L213))),NA(),_xll.ciqfunctions.udf.CIQ(M$3, "IQ_BOND_PRICE", $L213)),"")</f>
        <v>100.5</v>
      </c>
      <c r="N213" s="424">
        <f>IF(AND($L213&lt;&gt;"",N$3&lt;&gt;""),IF(NOT(ISNUMBER(_xll.ciqfunctions.udf.CIQ(N$3, "IQ_BOND_PRICE", $L213))),NA(),_xll.ciqfunctions.udf.CIQ(N$3, "IQ_BOND_PRICE", $L213)),"")</f>
        <v>0</v>
      </c>
      <c r="O213" s="424">
        <f>IF(AND($L213&lt;&gt;"",O$3&lt;&gt;""),IF(NOT(ISNUMBER(_xll.ciqfunctions.udf.CIQ(O$3, "IQ_BOND_PRICE", $L213))),NA(),_xll.ciqfunctions.udf.CIQ(O$3, "IQ_BOND_PRICE", $L213)),"")</f>
        <v>101.60087</v>
      </c>
      <c r="P213" s="424">
        <f>IF(AND($L213&lt;&gt;"",P$3&lt;&gt;""),IF(NOT(ISNUMBER(_xll.ciqfunctions.udf.CIQ(P$3, "IQ_BOND_PRICE", $L213))),NA(),_xll.ciqfunctions.udf.CIQ(P$3, "IQ_BOND_PRICE", $L213)),"")</f>
        <v>101.88345</v>
      </c>
      <c r="Q213" s="424">
        <f>IF(AND($L213&lt;&gt;"",Q$3&lt;&gt;""),IF(NOT(ISNUMBER(_xll.ciqfunctions.udf.CIQ(Q$3, "IQ_BOND_PRICE", $L213))),NA(),_xll.ciqfunctions.udf.CIQ(Q$3, "IQ_BOND_PRICE", $L213)),"")</f>
        <v>103.545</v>
      </c>
      <c r="R213" s="424">
        <f>IF(AND($L213&lt;&gt;"",R$3&lt;&gt;""),IF(NOT(ISNUMBER(_xll.ciqfunctions.udf.CIQ(R$3, "IQ_BOND_PRICE", $L213))),NA(),_xll.ciqfunctions.udf.CIQ(R$3, "IQ_BOND_PRICE", $L213)),"")</f>
        <v>109.851</v>
      </c>
      <c r="S213" s="424">
        <f>IF(AND($L213&lt;&gt;"",S$3&lt;&gt;""),IF(NOT(ISNUMBER(_xll.ciqfunctions.udf.CIQ(S$3, "IQ_BOND_PRICE", $L213))),NA(),_xll.ciqfunctions.udf.CIQ(S$3, "IQ_BOND_PRICE", $L213)),"")</f>
        <v>104.51600000000001</v>
      </c>
      <c r="T213" s="424">
        <f>IF(AND($L213&lt;&gt;"",T$3&lt;&gt;""),IF(NOT(ISNUMBER(_xll.ciqfunctions.udf.CIQ(T$3, "IQ_BOND_PRICE", $L213))),NA(),_xll.ciqfunctions.udf.CIQ(T$3, "IQ_BOND_PRICE", $L213)),"")</f>
        <v>104.127</v>
      </c>
      <c r="U213" s="424">
        <f>IF(AND($L213&lt;&gt;"",U$3&lt;&gt;""),IF(NOT(ISNUMBER(_xll.ciqfunctions.udf.CIQ(U$3, "IQ_BOND_PRICE", $L213))),NA(),_xll.ciqfunctions.udf.CIQ(U$3, "IQ_BOND_PRICE", $L213)),"")</f>
        <v>99.844380000000001</v>
      </c>
      <c r="V213" s="424">
        <f>IF(AND($L213&lt;&gt;"",V$3&lt;&gt;""),IF(NOT(ISNUMBER(_xll.ciqfunctions.udf.CIQ(V$3, "IQ_BOND_PRICE", $L213))),NA(),_xll.ciqfunctions.udf.CIQ(V$3, "IQ_BOND_PRICE", $L213)),"")</f>
        <v>103.99952</v>
      </c>
      <c r="W213" s="424">
        <f>IF(AND($L213&lt;&gt;"",W$3&lt;&gt;""),IF(NOT(ISNUMBER(_xll.ciqfunctions.udf.CIQ(W$3, "IQ_BOND_PRICE", $L213))),NA(),_xll.ciqfunctions.udf.CIQ(W$3, "IQ_BOND_PRICE", $L213)),"")</f>
        <v>106.934</v>
      </c>
      <c r="X213" s="424">
        <f>IF(AND($L213&lt;&gt;"",X$3&lt;&gt;""),IF(NOT(ISNUMBER(_xll.ciqfunctions.udf.CIQ(X$3, "IQ_BOND_PRICE", $L213))),NA(),_xll.ciqfunctions.udf.CIQ(X$3, "IQ_BOND_PRICE", $L213)),"")</f>
        <v>109.54600000000001</v>
      </c>
      <c r="Y213" s="424">
        <f>IF(AND($L213&lt;&gt;"",Y$3&lt;&gt;""),IF(NOT(ISNUMBER(_xll.ciqfunctions.udf.CIQ(Y$3, "IQ_BOND_PRICE", $L213))),NA(),_xll.ciqfunctions.udf.CIQ(Y$3, "IQ_BOND_PRICE", $L213)),"")</f>
        <v>105.679</v>
      </c>
      <c r="Z213" s="424">
        <f>IF(AND($L213&lt;&gt;"",Z$3&lt;&gt;""),IF(NOT(ISNUMBER(_xll.ciqfunctions.udf.CIQ(Z$3, "IQ_BOND_PRICE", $L213))),NA(),_xll.ciqfunctions.udf.CIQ(Z$3, "IQ_BOND_PRICE", $L213)),"")</f>
        <v>97.904690000000002</v>
      </c>
      <c r="CZ213" s="426"/>
    </row>
    <row r="214" spans="12:104" x14ac:dyDescent="0.2">
      <c r="L214" s="425">
        <f t="shared" si="3"/>
        <v>44572</v>
      </c>
      <c r="M214" s="424">
        <f>IF(AND($L214&lt;&gt;"",M$3&lt;&gt;""),IF(NOT(ISNUMBER(_xll.ciqfunctions.udf.CIQ(M$3, "IQ_BOND_PRICE", $L214))),NA(),_xll.ciqfunctions.udf.CIQ(M$3, "IQ_BOND_PRICE", $L214)),"")</f>
        <v>100.5</v>
      </c>
      <c r="N214" s="424">
        <f>IF(AND($L214&lt;&gt;"",N$3&lt;&gt;""),IF(NOT(ISNUMBER(_xll.ciqfunctions.udf.CIQ(N$3, "IQ_BOND_PRICE", $L214))),NA(),_xll.ciqfunctions.udf.CIQ(N$3, "IQ_BOND_PRICE", $L214)),"")</f>
        <v>0</v>
      </c>
      <c r="O214" s="424">
        <f>IF(AND($L214&lt;&gt;"",O$3&lt;&gt;""),IF(NOT(ISNUMBER(_xll.ciqfunctions.udf.CIQ(O$3, "IQ_BOND_PRICE", $L214))),NA(),_xll.ciqfunctions.udf.CIQ(O$3, "IQ_BOND_PRICE", $L214)),"")</f>
        <v>101.60912999999999</v>
      </c>
      <c r="P214" s="424">
        <f>IF(AND($L214&lt;&gt;"",P$3&lt;&gt;""),IF(NOT(ISNUMBER(_xll.ciqfunctions.udf.CIQ(P$3, "IQ_BOND_PRICE", $L214))),NA(),_xll.ciqfunctions.udf.CIQ(P$3, "IQ_BOND_PRICE", $L214)),"")</f>
        <v>101.89937999999999</v>
      </c>
      <c r="Q214" s="424">
        <f>IF(AND($L214&lt;&gt;"",Q$3&lt;&gt;""),IF(NOT(ISNUMBER(_xll.ciqfunctions.udf.CIQ(Q$3, "IQ_BOND_PRICE", $L214))),NA(),_xll.ciqfunctions.udf.CIQ(Q$3, "IQ_BOND_PRICE", $L214)),"")</f>
        <v>103.54600000000001</v>
      </c>
      <c r="R214" s="424">
        <f>IF(AND($L214&lt;&gt;"",R$3&lt;&gt;""),IF(NOT(ISNUMBER(_xll.ciqfunctions.udf.CIQ(R$3, "IQ_BOND_PRICE", $L214))),NA(),_xll.ciqfunctions.udf.CIQ(R$3, "IQ_BOND_PRICE", $L214)),"")</f>
        <v>109.703</v>
      </c>
      <c r="S214" s="424">
        <f>IF(AND($L214&lt;&gt;"",S$3&lt;&gt;""),IF(NOT(ISNUMBER(_xll.ciqfunctions.udf.CIQ(S$3, "IQ_BOND_PRICE", $L214))),NA(),_xll.ciqfunctions.udf.CIQ(S$3, "IQ_BOND_PRICE", $L214)),"")</f>
        <v>104.396</v>
      </c>
      <c r="T214" s="424">
        <f>IF(AND($L214&lt;&gt;"",T$3&lt;&gt;""),IF(NOT(ISNUMBER(_xll.ciqfunctions.udf.CIQ(T$3, "IQ_BOND_PRICE", $L214))),NA(),_xll.ciqfunctions.udf.CIQ(T$3, "IQ_BOND_PRICE", $L214)),"")</f>
        <v>104.13200000000001</v>
      </c>
      <c r="U214" s="424">
        <f>IF(AND($L214&lt;&gt;"",U$3&lt;&gt;""),IF(NOT(ISNUMBER(_xll.ciqfunctions.udf.CIQ(U$3, "IQ_BOND_PRICE", $L214))),NA(),_xll.ciqfunctions.udf.CIQ(U$3, "IQ_BOND_PRICE", $L214)),"")</f>
        <v>99.842460000000003</v>
      </c>
      <c r="V214" s="424">
        <f>IF(AND($L214&lt;&gt;"",V$3&lt;&gt;""),IF(NOT(ISNUMBER(_xll.ciqfunctions.udf.CIQ(V$3, "IQ_BOND_PRICE", $L214))),NA(),_xll.ciqfunctions.udf.CIQ(V$3, "IQ_BOND_PRICE", $L214)),"")</f>
        <v>104.00609</v>
      </c>
      <c r="W214" s="424">
        <f>IF(AND($L214&lt;&gt;"",W$3&lt;&gt;""),IF(NOT(ISNUMBER(_xll.ciqfunctions.udf.CIQ(W$3, "IQ_BOND_PRICE", $L214))),NA(),_xll.ciqfunctions.udf.CIQ(W$3, "IQ_BOND_PRICE", $L214)),"")</f>
        <v>106.973</v>
      </c>
      <c r="X214" s="424">
        <f>IF(AND($L214&lt;&gt;"",X$3&lt;&gt;""),IF(NOT(ISNUMBER(_xll.ciqfunctions.udf.CIQ(X$3, "IQ_BOND_PRICE", $L214))),NA(),_xll.ciqfunctions.udf.CIQ(X$3, "IQ_BOND_PRICE", $L214)),"")</f>
        <v>109.498</v>
      </c>
      <c r="Y214" s="424">
        <f>IF(AND($L214&lt;&gt;"",Y$3&lt;&gt;""),IF(NOT(ISNUMBER(_xll.ciqfunctions.udf.CIQ(Y$3, "IQ_BOND_PRICE", $L214))),NA(),_xll.ciqfunctions.udf.CIQ(Y$3, "IQ_BOND_PRICE", $L214)),"")</f>
        <v>105.80200000000001</v>
      </c>
      <c r="Z214" s="424">
        <f>IF(AND($L214&lt;&gt;"",Z$3&lt;&gt;""),IF(NOT(ISNUMBER(_xll.ciqfunctions.udf.CIQ(Z$3, "IQ_BOND_PRICE", $L214))),NA(),_xll.ciqfunctions.udf.CIQ(Z$3, "IQ_BOND_PRICE", $L214)),"")</f>
        <v>97.621390000000005</v>
      </c>
      <c r="CZ214" s="426"/>
    </row>
    <row r="215" spans="12:104" x14ac:dyDescent="0.2">
      <c r="L215" s="425">
        <f t="shared" si="3"/>
        <v>44573</v>
      </c>
      <c r="M215" s="424">
        <f>IF(AND($L215&lt;&gt;"",M$3&lt;&gt;""),IF(NOT(ISNUMBER(_xll.ciqfunctions.udf.CIQ(M$3, "IQ_BOND_PRICE", $L215))),NA(),_xll.ciqfunctions.udf.CIQ(M$3, "IQ_BOND_PRICE", $L215)),"")</f>
        <v>100.506</v>
      </c>
      <c r="N215" s="424">
        <f>IF(AND($L215&lt;&gt;"",N$3&lt;&gt;""),IF(NOT(ISNUMBER(_xll.ciqfunctions.udf.CIQ(N$3, "IQ_BOND_PRICE", $L215))),NA(),_xll.ciqfunctions.udf.CIQ(N$3, "IQ_BOND_PRICE", $L215)),"")</f>
        <v>0</v>
      </c>
      <c r="O215" s="424">
        <f>IF(AND($L215&lt;&gt;"",O$3&lt;&gt;""),IF(NOT(ISNUMBER(_xll.ciqfunctions.udf.CIQ(O$3, "IQ_BOND_PRICE", $L215))),NA(),_xll.ciqfunctions.udf.CIQ(O$3, "IQ_BOND_PRICE", $L215)),"")</f>
        <v>101.58964</v>
      </c>
      <c r="P215" s="424">
        <f>IF(AND($L215&lt;&gt;"",P$3&lt;&gt;""),IF(NOT(ISNUMBER(_xll.ciqfunctions.udf.CIQ(P$3, "IQ_BOND_PRICE", $L215))),NA(),_xll.ciqfunctions.udf.CIQ(P$3, "IQ_BOND_PRICE", $L215)),"")</f>
        <v>101.88581000000001</v>
      </c>
      <c r="Q215" s="424">
        <f>IF(AND($L215&lt;&gt;"",Q$3&lt;&gt;""),IF(NOT(ISNUMBER(_xll.ciqfunctions.udf.CIQ(Q$3, "IQ_BOND_PRICE", $L215))),NA(),_xll.ciqfunctions.udf.CIQ(Q$3, "IQ_BOND_PRICE", $L215)),"")</f>
        <v>103.53</v>
      </c>
      <c r="R215" s="424">
        <f>IF(AND($L215&lt;&gt;"",R$3&lt;&gt;""),IF(NOT(ISNUMBER(_xll.ciqfunctions.udf.CIQ(R$3, "IQ_BOND_PRICE", $L215))),NA(),_xll.ciqfunctions.udf.CIQ(R$3, "IQ_BOND_PRICE", $L215)),"")</f>
        <v>109.66500000000001</v>
      </c>
      <c r="S215" s="424">
        <f>IF(AND($L215&lt;&gt;"",S$3&lt;&gt;""),IF(NOT(ISNUMBER(_xll.ciqfunctions.udf.CIQ(S$3, "IQ_BOND_PRICE", $L215))),NA(),_xll.ciqfunctions.udf.CIQ(S$3, "IQ_BOND_PRICE", $L215)),"")</f>
        <v>104.461</v>
      </c>
      <c r="T215" s="424">
        <f>IF(AND($L215&lt;&gt;"",T$3&lt;&gt;""),IF(NOT(ISNUMBER(_xll.ciqfunctions.udf.CIQ(T$3, "IQ_BOND_PRICE", $L215))),NA(),_xll.ciqfunctions.udf.CIQ(T$3, "IQ_BOND_PRICE", $L215)),"")</f>
        <v>104.107</v>
      </c>
      <c r="U215" s="424">
        <f>IF(AND($L215&lt;&gt;"",U$3&lt;&gt;""),IF(NOT(ISNUMBER(_xll.ciqfunctions.udf.CIQ(U$3, "IQ_BOND_PRICE", $L215))),NA(),_xll.ciqfunctions.udf.CIQ(U$3, "IQ_BOND_PRICE", $L215)),"")</f>
        <v>99.846540000000005</v>
      </c>
      <c r="V215" s="424">
        <f>IF(AND($L215&lt;&gt;"",V$3&lt;&gt;""),IF(NOT(ISNUMBER(_xll.ciqfunctions.udf.CIQ(V$3, "IQ_BOND_PRICE", $L215))),NA(),_xll.ciqfunctions.udf.CIQ(V$3, "IQ_BOND_PRICE", $L215)),"")</f>
        <v>103.88771</v>
      </c>
      <c r="W215" s="424">
        <f>IF(AND($L215&lt;&gt;"",W$3&lt;&gt;""),IF(NOT(ISNUMBER(_xll.ciqfunctions.udf.CIQ(W$3, "IQ_BOND_PRICE", $L215))),NA(),_xll.ciqfunctions.udf.CIQ(W$3, "IQ_BOND_PRICE", $L215)),"")</f>
        <v>106.95699999999999</v>
      </c>
      <c r="X215" s="424">
        <f>IF(AND($L215&lt;&gt;"",X$3&lt;&gt;""),IF(NOT(ISNUMBER(_xll.ciqfunctions.udf.CIQ(X$3, "IQ_BOND_PRICE", $L215))),NA(),_xll.ciqfunctions.udf.CIQ(X$3, "IQ_BOND_PRICE", $L215)),"")</f>
        <v>109.542</v>
      </c>
      <c r="Y215" s="424">
        <f>IF(AND($L215&lt;&gt;"",Y$3&lt;&gt;""),IF(NOT(ISNUMBER(_xll.ciqfunctions.udf.CIQ(Y$3, "IQ_BOND_PRICE", $L215))),NA(),_xll.ciqfunctions.udf.CIQ(Y$3, "IQ_BOND_PRICE", $L215)),"")</f>
        <v>105.983</v>
      </c>
      <c r="Z215" s="424">
        <f>IF(AND($L215&lt;&gt;"",Z$3&lt;&gt;""),IF(NOT(ISNUMBER(_xll.ciqfunctions.udf.CIQ(Z$3, "IQ_BOND_PRICE", $L215))),NA(),_xll.ciqfunctions.udf.CIQ(Z$3, "IQ_BOND_PRICE", $L215)),"")</f>
        <v>97.829639999999998</v>
      </c>
      <c r="CZ215" s="426"/>
    </row>
    <row r="216" spans="12:104" x14ac:dyDescent="0.2">
      <c r="L216" s="425">
        <f t="shared" si="3"/>
        <v>44574</v>
      </c>
      <c r="M216" s="424">
        <f>IF(AND($L216&lt;&gt;"",M$3&lt;&gt;""),IF(NOT(ISNUMBER(_xll.ciqfunctions.udf.CIQ(M$3, "IQ_BOND_PRICE", $L216))),NA(),_xll.ciqfunctions.udf.CIQ(M$3, "IQ_BOND_PRICE", $L216)),"")</f>
        <v>100.489</v>
      </c>
      <c r="N216" s="424">
        <f>IF(AND($L216&lt;&gt;"",N$3&lt;&gt;""),IF(NOT(ISNUMBER(_xll.ciqfunctions.udf.CIQ(N$3, "IQ_BOND_PRICE", $L216))),NA(),_xll.ciqfunctions.udf.CIQ(N$3, "IQ_BOND_PRICE", $L216)),"")</f>
        <v>0</v>
      </c>
      <c r="O216" s="424">
        <f>IF(AND($L216&lt;&gt;"",O$3&lt;&gt;""),IF(NOT(ISNUMBER(_xll.ciqfunctions.udf.CIQ(O$3, "IQ_BOND_PRICE", $L216))),NA(),_xll.ciqfunctions.udf.CIQ(O$3, "IQ_BOND_PRICE", $L216)),"")</f>
        <v>101.57044</v>
      </c>
      <c r="P216" s="424">
        <f>IF(AND($L216&lt;&gt;"",P$3&lt;&gt;""),IF(NOT(ISNUMBER(_xll.ciqfunctions.udf.CIQ(P$3, "IQ_BOND_PRICE", $L216))),NA(),_xll.ciqfunctions.udf.CIQ(P$3, "IQ_BOND_PRICE", $L216)),"")</f>
        <v>101.88382</v>
      </c>
      <c r="Q216" s="424">
        <f>IF(AND($L216&lt;&gt;"",Q$3&lt;&gt;""),IF(NOT(ISNUMBER(_xll.ciqfunctions.udf.CIQ(Q$3, "IQ_BOND_PRICE", $L216))),NA(),_xll.ciqfunctions.udf.CIQ(Q$3, "IQ_BOND_PRICE", $L216)),"")</f>
        <v>103.568</v>
      </c>
      <c r="R216" s="424">
        <f>IF(AND($L216&lt;&gt;"",R$3&lt;&gt;""),IF(NOT(ISNUMBER(_xll.ciqfunctions.udf.CIQ(R$3, "IQ_BOND_PRICE", $L216))),NA(),_xll.ciqfunctions.udf.CIQ(R$3, "IQ_BOND_PRICE", $L216)),"")</f>
        <v>109.691</v>
      </c>
      <c r="S216" s="424">
        <f>IF(AND($L216&lt;&gt;"",S$3&lt;&gt;""),IF(NOT(ISNUMBER(_xll.ciqfunctions.udf.CIQ(S$3, "IQ_BOND_PRICE", $L216))),NA(),_xll.ciqfunctions.udf.CIQ(S$3, "IQ_BOND_PRICE", $L216)),"")</f>
        <v>104.404</v>
      </c>
      <c r="T216" s="424">
        <f>IF(AND($L216&lt;&gt;"",T$3&lt;&gt;""),IF(NOT(ISNUMBER(_xll.ciqfunctions.udf.CIQ(T$3, "IQ_BOND_PRICE", $L216))),NA(),_xll.ciqfunctions.udf.CIQ(T$3, "IQ_BOND_PRICE", $L216)),"")</f>
        <v>104.164</v>
      </c>
      <c r="U216" s="424">
        <f>IF(AND($L216&lt;&gt;"",U$3&lt;&gt;""),IF(NOT(ISNUMBER(_xll.ciqfunctions.udf.CIQ(U$3, "IQ_BOND_PRICE", $L216))),NA(),_xll.ciqfunctions.udf.CIQ(U$3, "IQ_BOND_PRICE", $L216)),"")</f>
        <v>99.846149999999994</v>
      </c>
      <c r="V216" s="424">
        <f>IF(AND($L216&lt;&gt;"",V$3&lt;&gt;""),IF(NOT(ISNUMBER(_xll.ciqfunctions.udf.CIQ(V$3, "IQ_BOND_PRICE", $L216))),NA(),_xll.ciqfunctions.udf.CIQ(V$3, "IQ_BOND_PRICE", $L216)),"")</f>
        <v>103.91047</v>
      </c>
      <c r="W216" s="424">
        <f>IF(AND($L216&lt;&gt;"",W$3&lt;&gt;""),IF(NOT(ISNUMBER(_xll.ciqfunctions.udf.CIQ(W$3, "IQ_BOND_PRICE", $L216))),NA(),_xll.ciqfunctions.udf.CIQ(W$3, "IQ_BOND_PRICE", $L216)),"")</f>
        <v>106.979</v>
      </c>
      <c r="X216" s="424">
        <f>IF(AND($L216&lt;&gt;"",X$3&lt;&gt;""),IF(NOT(ISNUMBER(_xll.ciqfunctions.udf.CIQ(X$3, "IQ_BOND_PRICE", $L216))),NA(),_xll.ciqfunctions.udf.CIQ(X$3, "IQ_BOND_PRICE", $L216)),"")</f>
        <v>109.547</v>
      </c>
      <c r="Y216" s="424">
        <f>IF(AND($L216&lt;&gt;"",Y$3&lt;&gt;""),IF(NOT(ISNUMBER(_xll.ciqfunctions.udf.CIQ(Y$3, "IQ_BOND_PRICE", $L216))),NA(),_xll.ciqfunctions.udf.CIQ(Y$3, "IQ_BOND_PRICE", $L216)),"")</f>
        <v>106.01300000000001</v>
      </c>
      <c r="Z216" s="424">
        <f>IF(AND($L216&lt;&gt;"",Z$3&lt;&gt;""),IF(NOT(ISNUMBER(_xll.ciqfunctions.udf.CIQ(Z$3, "IQ_BOND_PRICE", $L216))),NA(),_xll.ciqfunctions.udf.CIQ(Z$3, "IQ_BOND_PRICE", $L216)),"")</f>
        <v>97.782060000000001</v>
      </c>
      <c r="CZ216" s="426"/>
    </row>
    <row r="217" spans="12:104" x14ac:dyDescent="0.2">
      <c r="L217" s="425">
        <f t="shared" si="3"/>
        <v>44575</v>
      </c>
      <c r="M217" s="424">
        <f>IF(AND($L217&lt;&gt;"",M$3&lt;&gt;""),IF(NOT(ISNUMBER(_xll.ciqfunctions.udf.CIQ(M$3, "IQ_BOND_PRICE", $L217))),NA(),_xll.ciqfunctions.udf.CIQ(M$3, "IQ_BOND_PRICE", $L217)),"")</f>
        <v>100.479</v>
      </c>
      <c r="N217" s="424">
        <f>IF(AND($L217&lt;&gt;"",N$3&lt;&gt;""),IF(NOT(ISNUMBER(_xll.ciqfunctions.udf.CIQ(N$3, "IQ_BOND_PRICE", $L217))),NA(),_xll.ciqfunctions.udf.CIQ(N$3, "IQ_BOND_PRICE", $L217)),"")</f>
        <v>0</v>
      </c>
      <c r="O217" s="424">
        <f>IF(AND($L217&lt;&gt;"",O$3&lt;&gt;""),IF(NOT(ISNUMBER(_xll.ciqfunctions.udf.CIQ(O$3, "IQ_BOND_PRICE", $L217))),NA(),_xll.ciqfunctions.udf.CIQ(O$3, "IQ_BOND_PRICE", $L217)),"")</f>
        <v>101.54015</v>
      </c>
      <c r="P217" s="424">
        <f>IF(AND($L217&lt;&gt;"",P$3&lt;&gt;""),IF(NOT(ISNUMBER(_xll.ciqfunctions.udf.CIQ(P$3, "IQ_BOND_PRICE", $L217))),NA(),_xll.ciqfunctions.udf.CIQ(P$3, "IQ_BOND_PRICE", $L217)),"")</f>
        <v>101.80942</v>
      </c>
      <c r="Q217" s="424">
        <f>IF(AND($L217&lt;&gt;"",Q$3&lt;&gt;""),IF(NOT(ISNUMBER(_xll.ciqfunctions.udf.CIQ(Q$3, "IQ_BOND_PRICE", $L217))),NA(),_xll.ciqfunctions.udf.CIQ(Q$3, "IQ_BOND_PRICE", $L217)),"")</f>
        <v>103.5</v>
      </c>
      <c r="R217" s="424">
        <f>IF(AND($L217&lt;&gt;"",R$3&lt;&gt;""),IF(NOT(ISNUMBER(_xll.ciqfunctions.udf.CIQ(R$3, "IQ_BOND_PRICE", $L217))),NA(),_xll.ciqfunctions.udf.CIQ(R$3, "IQ_BOND_PRICE", $L217)),"")</f>
        <v>109.553</v>
      </c>
      <c r="S217" s="424">
        <f>IF(AND($L217&lt;&gt;"",S$3&lt;&gt;""),IF(NOT(ISNUMBER(_xll.ciqfunctions.udf.CIQ(S$3, "IQ_BOND_PRICE", $L217))),NA(),_xll.ciqfunctions.udf.CIQ(S$3, "IQ_BOND_PRICE", $L217)),"")</f>
        <v>104.256</v>
      </c>
      <c r="T217" s="424">
        <f>IF(AND($L217&lt;&gt;"",T$3&lt;&gt;""),IF(NOT(ISNUMBER(_xll.ciqfunctions.udf.CIQ(T$3, "IQ_BOND_PRICE", $L217))),NA(),_xll.ciqfunctions.udf.CIQ(T$3, "IQ_BOND_PRICE", $L217)),"")</f>
        <v>103.991</v>
      </c>
      <c r="U217" s="424">
        <f>IF(AND($L217&lt;&gt;"",U$3&lt;&gt;""),IF(NOT(ISNUMBER(_xll.ciqfunctions.udf.CIQ(U$3, "IQ_BOND_PRICE", $L217))),NA(),_xll.ciqfunctions.udf.CIQ(U$3, "IQ_BOND_PRICE", $L217)),"")</f>
        <v>99.806659999999994</v>
      </c>
      <c r="V217" s="424">
        <f>IF(AND($L217&lt;&gt;"",V$3&lt;&gt;""),IF(NOT(ISNUMBER(_xll.ciqfunctions.udf.CIQ(V$3, "IQ_BOND_PRICE", $L217))),NA(),_xll.ciqfunctions.udf.CIQ(V$3, "IQ_BOND_PRICE", $L217)),"")</f>
        <v>103.7148</v>
      </c>
      <c r="W217" s="424">
        <f>IF(AND($L217&lt;&gt;"",W$3&lt;&gt;""),IF(NOT(ISNUMBER(_xll.ciqfunctions.udf.CIQ(W$3, "IQ_BOND_PRICE", $L217))),NA(),_xll.ciqfunctions.udf.CIQ(W$3, "IQ_BOND_PRICE", $L217)),"")</f>
        <v>106.74299999999999</v>
      </c>
      <c r="X217" s="424">
        <f>IF(AND($L217&lt;&gt;"",X$3&lt;&gt;""),IF(NOT(ISNUMBER(_xll.ciqfunctions.udf.CIQ(X$3, "IQ_BOND_PRICE", $L217))),NA(),_xll.ciqfunctions.udf.CIQ(X$3, "IQ_BOND_PRICE", $L217)),"")</f>
        <v>109.465</v>
      </c>
      <c r="Y217" s="424">
        <f>IF(AND($L217&lt;&gt;"",Y$3&lt;&gt;""),IF(NOT(ISNUMBER(_xll.ciqfunctions.udf.CIQ(Y$3, "IQ_BOND_PRICE", $L217))),NA(),_xll.ciqfunctions.udf.CIQ(Y$3, "IQ_BOND_PRICE", $L217)),"")</f>
        <v>105.738</v>
      </c>
      <c r="Z217" s="424">
        <f>IF(AND($L217&lt;&gt;"",Z$3&lt;&gt;""),IF(NOT(ISNUMBER(_xll.ciqfunctions.udf.CIQ(Z$3, "IQ_BOND_PRICE", $L217))),NA(),_xll.ciqfunctions.udf.CIQ(Z$3, "IQ_BOND_PRICE", $L217)),"")</f>
        <v>97.445139999999995</v>
      </c>
      <c r="CZ217" s="426"/>
    </row>
    <row r="218" spans="12:104" x14ac:dyDescent="0.2">
      <c r="L218" s="425">
        <f t="shared" si="3"/>
        <v>44578</v>
      </c>
      <c r="M218" s="424">
        <f>IF(AND($L218&lt;&gt;"",M$3&lt;&gt;""),IF(NOT(ISNUMBER(_xll.ciqfunctions.udf.CIQ(M$3, "IQ_BOND_PRICE", $L218))),NA(),_xll.ciqfunctions.udf.CIQ(M$3, "IQ_BOND_PRICE", $L218)),"")</f>
        <v>100.479</v>
      </c>
      <c r="N218" s="424">
        <f>IF(AND($L218&lt;&gt;"",N$3&lt;&gt;""),IF(NOT(ISNUMBER(_xll.ciqfunctions.udf.CIQ(N$3, "IQ_BOND_PRICE", $L218))),NA(),_xll.ciqfunctions.udf.CIQ(N$3, "IQ_BOND_PRICE", $L218)),"")</f>
        <v>0</v>
      </c>
      <c r="O218" s="424">
        <f>IF(AND($L218&lt;&gt;"",O$3&lt;&gt;""),IF(NOT(ISNUMBER(_xll.ciqfunctions.udf.CIQ(O$3, "IQ_BOND_PRICE", $L218))),NA(),_xll.ciqfunctions.udf.CIQ(O$3, "IQ_BOND_PRICE", $L218)),"")</f>
        <v>101.49</v>
      </c>
      <c r="P218" s="424">
        <f>IF(AND($L218&lt;&gt;"",P$3&lt;&gt;""),IF(NOT(ISNUMBER(_xll.ciqfunctions.udf.CIQ(P$3, "IQ_BOND_PRICE", $L218))),NA(),_xll.ciqfunctions.udf.CIQ(P$3, "IQ_BOND_PRICE", $L218)),"")</f>
        <v>101.78</v>
      </c>
      <c r="Q218" s="424">
        <f>IF(AND($L218&lt;&gt;"",Q$3&lt;&gt;""),IF(NOT(ISNUMBER(_xll.ciqfunctions.udf.CIQ(Q$3, "IQ_BOND_PRICE", $L218))),NA(),_xll.ciqfunctions.udf.CIQ(Q$3, "IQ_BOND_PRICE", $L218)),"")</f>
        <v>103.431</v>
      </c>
      <c r="R218" s="424">
        <f>IF(AND($L218&lt;&gt;"",R$3&lt;&gt;""),IF(NOT(ISNUMBER(_xll.ciqfunctions.udf.CIQ(R$3, "IQ_BOND_PRICE", $L218))),NA(),_xll.ciqfunctions.udf.CIQ(R$3, "IQ_BOND_PRICE", $L218)),"")</f>
        <v>107.913</v>
      </c>
      <c r="S218" s="424">
        <f>IF(AND($L218&lt;&gt;"",S$3&lt;&gt;""),IF(NOT(ISNUMBER(_xll.ciqfunctions.udf.CIQ(S$3, "IQ_BOND_PRICE", $L218))),NA(),_xll.ciqfunctions.udf.CIQ(S$3, "IQ_BOND_PRICE", $L218)),"")</f>
        <v>104.256</v>
      </c>
      <c r="T218" s="424">
        <f>IF(AND($L218&lt;&gt;"",T$3&lt;&gt;""),IF(NOT(ISNUMBER(_xll.ciqfunctions.udf.CIQ(T$3, "IQ_BOND_PRICE", $L218))),NA(),_xll.ciqfunctions.udf.CIQ(T$3, "IQ_BOND_PRICE", $L218)),"")</f>
        <v>103.91</v>
      </c>
      <c r="U218" s="424">
        <f>IF(AND($L218&lt;&gt;"",U$3&lt;&gt;""),IF(NOT(ISNUMBER(_xll.ciqfunctions.udf.CIQ(U$3, "IQ_BOND_PRICE", $L218))),NA(),_xll.ciqfunctions.udf.CIQ(U$3, "IQ_BOND_PRICE", $L218)),"")</f>
        <v>99.79374</v>
      </c>
      <c r="V218" s="424">
        <f>IF(AND($L218&lt;&gt;"",V$3&lt;&gt;""),IF(NOT(ISNUMBER(_xll.ciqfunctions.udf.CIQ(V$3, "IQ_BOND_PRICE", $L218))),NA(),_xll.ciqfunctions.udf.CIQ(V$3, "IQ_BOND_PRICE", $L218)),"")</f>
        <v>103.58</v>
      </c>
      <c r="W218" s="424">
        <f>IF(AND($L218&lt;&gt;"",W$3&lt;&gt;""),IF(NOT(ISNUMBER(_xll.ciqfunctions.udf.CIQ(W$3, "IQ_BOND_PRICE", $L218))),NA(),_xll.ciqfunctions.udf.CIQ(W$3, "IQ_BOND_PRICE", $L218)),"")</f>
        <v>106.57</v>
      </c>
      <c r="X218" s="424">
        <f>IF(AND($L218&lt;&gt;"",X$3&lt;&gt;""),IF(NOT(ISNUMBER(_xll.ciqfunctions.udf.CIQ(X$3, "IQ_BOND_PRICE", $L218))),NA(),_xll.ciqfunctions.udf.CIQ(X$3, "IQ_BOND_PRICE", $L218)),"")</f>
        <v>109.364</v>
      </c>
      <c r="Y218" s="424">
        <f>IF(AND($L218&lt;&gt;"",Y$3&lt;&gt;""),IF(NOT(ISNUMBER(_xll.ciqfunctions.udf.CIQ(Y$3, "IQ_BOND_PRICE", $L218))),NA(),_xll.ciqfunctions.udf.CIQ(Y$3, "IQ_BOND_PRICE", $L218)),"")</f>
        <v>105.63</v>
      </c>
      <c r="Z218" s="424">
        <f>IF(AND($L218&lt;&gt;"",Z$3&lt;&gt;""),IF(NOT(ISNUMBER(_xll.ciqfunctions.udf.CIQ(Z$3, "IQ_BOND_PRICE", $L218))),NA(),_xll.ciqfunctions.udf.CIQ(Z$3, "IQ_BOND_PRICE", $L218)),"")</f>
        <v>97.34</v>
      </c>
      <c r="CZ218" s="426"/>
    </row>
    <row r="219" spans="12:104" x14ac:dyDescent="0.2">
      <c r="L219" s="425">
        <f t="shared" si="3"/>
        <v>44579</v>
      </c>
      <c r="M219" s="424">
        <f>IF(AND($L219&lt;&gt;"",M$3&lt;&gt;""),IF(NOT(ISNUMBER(_xll.ciqfunctions.udf.CIQ(M$3, "IQ_BOND_PRICE", $L219))),NA(),_xll.ciqfunctions.udf.CIQ(M$3, "IQ_BOND_PRICE", $L219)),"")</f>
        <v>100.474</v>
      </c>
      <c r="N219" s="424">
        <f>IF(AND($L219&lt;&gt;"",N$3&lt;&gt;""),IF(NOT(ISNUMBER(_xll.ciqfunctions.udf.CIQ(N$3, "IQ_BOND_PRICE", $L219))),NA(),_xll.ciqfunctions.udf.CIQ(N$3, "IQ_BOND_PRICE", $L219)),"")</f>
        <v>0</v>
      </c>
      <c r="O219" s="424">
        <f>IF(AND($L219&lt;&gt;"",O$3&lt;&gt;""),IF(NOT(ISNUMBER(_xll.ciqfunctions.udf.CIQ(O$3, "IQ_BOND_PRICE", $L219))),NA(),_xll.ciqfunctions.udf.CIQ(O$3, "IQ_BOND_PRICE", $L219)),"")</f>
        <v>101.46465000000001</v>
      </c>
      <c r="P219" s="424">
        <f>IF(AND($L219&lt;&gt;"",P$3&lt;&gt;""),IF(NOT(ISNUMBER(_xll.ciqfunctions.udf.CIQ(P$3, "IQ_BOND_PRICE", $L219))),NA(),_xll.ciqfunctions.udf.CIQ(P$3, "IQ_BOND_PRICE", $L219)),"")</f>
        <v>101.679</v>
      </c>
      <c r="Q219" s="424">
        <f>IF(AND($L219&lt;&gt;"",Q$3&lt;&gt;""),IF(NOT(ISNUMBER(_xll.ciqfunctions.udf.CIQ(Q$3, "IQ_BOND_PRICE", $L219))),NA(),_xll.ciqfunctions.udf.CIQ(Q$3, "IQ_BOND_PRICE", $L219)),"")</f>
        <v>103.422</v>
      </c>
      <c r="R219" s="424">
        <f>IF(AND($L219&lt;&gt;"",R$3&lt;&gt;""),IF(NOT(ISNUMBER(_xll.ciqfunctions.udf.CIQ(R$3, "IQ_BOND_PRICE", $L219))),NA(),_xll.ciqfunctions.udf.CIQ(R$3, "IQ_BOND_PRICE", $L219)),"")</f>
        <v>109.35299999999999</v>
      </c>
      <c r="S219" s="424">
        <f>IF(AND($L219&lt;&gt;"",S$3&lt;&gt;""),IF(NOT(ISNUMBER(_xll.ciqfunctions.udf.CIQ(S$3, "IQ_BOND_PRICE", $L219))),NA(),_xll.ciqfunctions.udf.CIQ(S$3, "IQ_BOND_PRICE", $L219)),"")</f>
        <v>104.093</v>
      </c>
      <c r="T219" s="424">
        <f>IF(AND($L219&lt;&gt;"",T$3&lt;&gt;""),IF(NOT(ISNUMBER(_xll.ciqfunctions.udf.CIQ(T$3, "IQ_BOND_PRICE", $L219))),NA(),_xll.ciqfunctions.udf.CIQ(T$3, "IQ_BOND_PRICE", $L219)),"")</f>
        <v>103.801</v>
      </c>
      <c r="U219" s="424">
        <f>IF(AND($L219&lt;&gt;"",U$3&lt;&gt;""),IF(NOT(ISNUMBER(_xll.ciqfunctions.udf.CIQ(U$3, "IQ_BOND_PRICE", $L219))),NA(),_xll.ciqfunctions.udf.CIQ(U$3, "IQ_BOND_PRICE", $L219)),"")</f>
        <v>99.794240000000002</v>
      </c>
      <c r="V219" s="424">
        <f>IF(AND($L219&lt;&gt;"",V$3&lt;&gt;""),IF(NOT(ISNUMBER(_xll.ciqfunctions.udf.CIQ(V$3, "IQ_BOND_PRICE", $L219))),NA(),_xll.ciqfunctions.udf.CIQ(V$3, "IQ_BOND_PRICE", $L219)),"")</f>
        <v>103.48685</v>
      </c>
      <c r="W219" s="424">
        <f>IF(AND($L219&lt;&gt;"",W$3&lt;&gt;""),IF(NOT(ISNUMBER(_xll.ciqfunctions.udf.CIQ(W$3, "IQ_BOND_PRICE", $L219))),NA(),_xll.ciqfunctions.udf.CIQ(W$3, "IQ_BOND_PRICE", $L219)),"")</f>
        <v>106.381</v>
      </c>
      <c r="X219" s="424">
        <f>IF(AND($L219&lt;&gt;"",X$3&lt;&gt;""),IF(NOT(ISNUMBER(_xll.ciqfunctions.udf.CIQ(X$3, "IQ_BOND_PRICE", $L219))),NA(),_xll.ciqfunctions.udf.CIQ(X$3, "IQ_BOND_PRICE", $L219)),"")</f>
        <v>109.357</v>
      </c>
      <c r="Y219" s="424">
        <f>IF(AND($L219&lt;&gt;"",Y$3&lt;&gt;""),IF(NOT(ISNUMBER(_xll.ciqfunctions.udf.CIQ(Y$3, "IQ_BOND_PRICE", $L219))),NA(),_xll.ciqfunctions.udf.CIQ(Y$3, "IQ_BOND_PRICE", $L219)),"")</f>
        <v>105.291</v>
      </c>
      <c r="Z219" s="424">
        <f>IF(AND($L219&lt;&gt;"",Z$3&lt;&gt;""),IF(NOT(ISNUMBER(_xll.ciqfunctions.udf.CIQ(Z$3, "IQ_BOND_PRICE", $L219))),NA(),_xll.ciqfunctions.udf.CIQ(Z$3, "IQ_BOND_PRICE", $L219)),"")</f>
        <v>97.218019999999996</v>
      </c>
      <c r="CZ219" s="426"/>
    </row>
    <row r="220" spans="12:104" x14ac:dyDescent="0.2">
      <c r="L220" s="425">
        <f t="shared" si="3"/>
        <v>44580</v>
      </c>
      <c r="M220" s="424">
        <f>IF(AND($L220&lt;&gt;"",M$3&lt;&gt;""),IF(NOT(ISNUMBER(_xll.ciqfunctions.udf.CIQ(M$3, "IQ_BOND_PRICE", $L220))),NA(),_xll.ciqfunctions.udf.CIQ(M$3, "IQ_BOND_PRICE", $L220)),"")</f>
        <v>100.47199999999999</v>
      </c>
      <c r="N220" s="424">
        <f>IF(AND($L220&lt;&gt;"",N$3&lt;&gt;""),IF(NOT(ISNUMBER(_xll.ciqfunctions.udf.CIQ(N$3, "IQ_BOND_PRICE", $L220))),NA(),_xll.ciqfunctions.udf.CIQ(N$3, "IQ_BOND_PRICE", $L220)),"")</f>
        <v>0</v>
      </c>
      <c r="O220" s="424">
        <f>IF(AND($L220&lt;&gt;"",O$3&lt;&gt;""),IF(NOT(ISNUMBER(_xll.ciqfunctions.udf.CIQ(O$3, "IQ_BOND_PRICE", $L220))),NA(),_xll.ciqfunctions.udf.CIQ(O$3, "IQ_BOND_PRICE", $L220)),"")</f>
        <v>101.43541</v>
      </c>
      <c r="P220" s="424">
        <f>IF(AND($L220&lt;&gt;"",P$3&lt;&gt;""),IF(NOT(ISNUMBER(_xll.ciqfunctions.udf.CIQ(P$3, "IQ_BOND_PRICE", $L220))),NA(),_xll.ciqfunctions.udf.CIQ(P$3, "IQ_BOND_PRICE", $L220)),"")</f>
        <v>101.69381</v>
      </c>
      <c r="Q220" s="424">
        <f>IF(AND($L220&lt;&gt;"",Q$3&lt;&gt;""),IF(NOT(ISNUMBER(_xll.ciqfunctions.udf.CIQ(Q$3, "IQ_BOND_PRICE", $L220))),NA(),_xll.ciqfunctions.udf.CIQ(Q$3, "IQ_BOND_PRICE", $L220)),"")</f>
        <v>103.349</v>
      </c>
      <c r="R220" s="424">
        <f>IF(AND($L220&lt;&gt;"",R$3&lt;&gt;""),IF(NOT(ISNUMBER(_xll.ciqfunctions.udf.CIQ(R$3, "IQ_BOND_PRICE", $L220))),NA(),_xll.ciqfunctions.udf.CIQ(R$3, "IQ_BOND_PRICE", $L220)),"")</f>
        <v>109.42</v>
      </c>
      <c r="S220" s="424">
        <f>IF(AND($L220&lt;&gt;"",S$3&lt;&gt;""),IF(NOT(ISNUMBER(_xll.ciqfunctions.udf.CIQ(S$3, "IQ_BOND_PRICE", $L220))),NA(),_xll.ciqfunctions.udf.CIQ(S$3, "IQ_BOND_PRICE", $L220)),"")</f>
        <v>104.128</v>
      </c>
      <c r="T220" s="424">
        <f>IF(AND($L220&lt;&gt;"",T$3&lt;&gt;""),IF(NOT(ISNUMBER(_xll.ciqfunctions.udf.CIQ(T$3, "IQ_BOND_PRICE", $L220))),NA(),_xll.ciqfunctions.udf.CIQ(T$3, "IQ_BOND_PRICE", $L220)),"")</f>
        <v>103.892</v>
      </c>
      <c r="U220" s="424">
        <f>IF(AND($L220&lt;&gt;"",U$3&lt;&gt;""),IF(NOT(ISNUMBER(_xll.ciqfunctions.udf.CIQ(U$3, "IQ_BOND_PRICE", $L220))),NA(),_xll.ciqfunctions.udf.CIQ(U$3, "IQ_BOND_PRICE", $L220)),"")</f>
        <v>99.816199999999995</v>
      </c>
      <c r="V220" s="424">
        <f>IF(AND($L220&lt;&gt;"",V$3&lt;&gt;""),IF(NOT(ISNUMBER(_xll.ciqfunctions.udf.CIQ(V$3, "IQ_BOND_PRICE", $L220))),NA(),_xll.ciqfunctions.udf.CIQ(V$3, "IQ_BOND_PRICE", $L220)),"")</f>
        <v>103.53798999999999</v>
      </c>
      <c r="W220" s="424">
        <f>IF(AND($L220&lt;&gt;"",W$3&lt;&gt;""),IF(NOT(ISNUMBER(_xll.ciqfunctions.udf.CIQ(W$3, "IQ_BOND_PRICE", $L220))),NA(),_xll.ciqfunctions.udf.CIQ(W$3, "IQ_BOND_PRICE", $L220)),"")</f>
        <v>106.49</v>
      </c>
      <c r="X220" s="424">
        <f>IF(AND($L220&lt;&gt;"",X$3&lt;&gt;""),IF(NOT(ISNUMBER(_xll.ciqfunctions.udf.CIQ(X$3, "IQ_BOND_PRICE", $L220))),NA(),_xll.ciqfunctions.udf.CIQ(X$3, "IQ_BOND_PRICE", $L220)),"")</f>
        <v>109.34099999999999</v>
      </c>
      <c r="Y220" s="424">
        <f>IF(AND($L220&lt;&gt;"",Y$3&lt;&gt;""),IF(NOT(ISNUMBER(_xll.ciqfunctions.udf.CIQ(Y$3, "IQ_BOND_PRICE", $L220))),NA(),_xll.ciqfunctions.udf.CIQ(Y$3, "IQ_BOND_PRICE", $L220)),"")</f>
        <v>105.45</v>
      </c>
      <c r="Z220" s="424">
        <f>IF(AND($L220&lt;&gt;"",Z$3&lt;&gt;""),IF(NOT(ISNUMBER(_xll.ciqfunctions.udf.CIQ(Z$3, "IQ_BOND_PRICE", $L220))),NA(),_xll.ciqfunctions.udf.CIQ(Z$3, "IQ_BOND_PRICE", $L220)),"")</f>
        <v>97.387259999999998</v>
      </c>
      <c r="CZ220" s="426"/>
    </row>
    <row r="221" spans="12:104" x14ac:dyDescent="0.2">
      <c r="L221" s="425">
        <f t="shared" si="3"/>
        <v>44581</v>
      </c>
      <c r="M221" s="424">
        <f>IF(AND($L221&lt;&gt;"",M$3&lt;&gt;""),IF(NOT(ISNUMBER(_xll.ciqfunctions.udf.CIQ(M$3, "IQ_BOND_PRICE", $L221))),NA(),_xll.ciqfunctions.udf.CIQ(M$3, "IQ_BOND_PRICE", $L221)),"")</f>
        <v>100.455</v>
      </c>
      <c r="N221" s="424">
        <f>IF(AND($L221&lt;&gt;"",N$3&lt;&gt;""),IF(NOT(ISNUMBER(_xll.ciqfunctions.udf.CIQ(N$3, "IQ_BOND_PRICE", $L221))),NA(),_xll.ciqfunctions.udf.CIQ(N$3, "IQ_BOND_PRICE", $L221)),"")</f>
        <v>0</v>
      </c>
      <c r="O221" s="424">
        <f>IF(AND($L221&lt;&gt;"",O$3&lt;&gt;""),IF(NOT(ISNUMBER(_xll.ciqfunctions.udf.CIQ(O$3, "IQ_BOND_PRICE", $L221))),NA(),_xll.ciqfunctions.udf.CIQ(O$3, "IQ_BOND_PRICE", $L221)),"")</f>
        <v>101.42953</v>
      </c>
      <c r="P221" s="424">
        <f>IF(AND($L221&lt;&gt;"",P$3&lt;&gt;""),IF(NOT(ISNUMBER(_xll.ciqfunctions.udf.CIQ(P$3, "IQ_BOND_PRICE", $L221))),NA(),_xll.ciqfunctions.udf.CIQ(P$3, "IQ_BOND_PRICE", $L221)),"")</f>
        <v>101.68794</v>
      </c>
      <c r="Q221" s="424">
        <f>IF(AND($L221&lt;&gt;"",Q$3&lt;&gt;""),IF(NOT(ISNUMBER(_xll.ciqfunctions.udf.CIQ(Q$3, "IQ_BOND_PRICE", $L221))),NA(),_xll.ciqfunctions.udf.CIQ(Q$3, "IQ_BOND_PRICE", $L221)),"")</f>
        <v>103.289</v>
      </c>
      <c r="R221" s="424">
        <f>IF(AND($L221&lt;&gt;"",R$3&lt;&gt;""),IF(NOT(ISNUMBER(_xll.ciqfunctions.udf.CIQ(R$3, "IQ_BOND_PRICE", $L221))),NA(),_xll.ciqfunctions.udf.CIQ(R$3, "IQ_BOND_PRICE", $L221)),"")</f>
        <v>109.367</v>
      </c>
      <c r="S221" s="424">
        <f>IF(AND($L221&lt;&gt;"",S$3&lt;&gt;""),IF(NOT(ISNUMBER(_xll.ciqfunctions.udf.CIQ(S$3, "IQ_BOND_PRICE", $L221))),NA(),_xll.ciqfunctions.udf.CIQ(S$3, "IQ_BOND_PRICE", $L221)),"")</f>
        <v>104.05200000000001</v>
      </c>
      <c r="T221" s="424">
        <f>IF(AND($L221&lt;&gt;"",T$3&lt;&gt;""),IF(NOT(ISNUMBER(_xll.ciqfunctions.udf.CIQ(T$3, "IQ_BOND_PRICE", $L221))),NA(),_xll.ciqfunctions.udf.CIQ(T$3, "IQ_BOND_PRICE", $L221)),"")</f>
        <v>103.809</v>
      </c>
      <c r="U221" s="424">
        <f>IF(AND($L221&lt;&gt;"",U$3&lt;&gt;""),IF(NOT(ISNUMBER(_xll.ciqfunctions.udf.CIQ(U$3, "IQ_BOND_PRICE", $L221))),NA(),_xll.ciqfunctions.udf.CIQ(U$3, "IQ_BOND_PRICE", $L221)),"")</f>
        <v>99.810370000000006</v>
      </c>
      <c r="V221" s="424">
        <f>IF(AND($L221&lt;&gt;"",V$3&lt;&gt;""),IF(NOT(ISNUMBER(_xll.ciqfunctions.udf.CIQ(V$3, "IQ_BOND_PRICE", $L221))),NA(),_xll.ciqfunctions.udf.CIQ(V$3, "IQ_BOND_PRICE", $L221)),"")</f>
        <v>103.44841</v>
      </c>
      <c r="W221" s="424">
        <f>IF(AND($L221&lt;&gt;"",W$3&lt;&gt;""),IF(NOT(ISNUMBER(_xll.ciqfunctions.udf.CIQ(W$3, "IQ_BOND_PRICE", $L221))),NA(),_xll.ciqfunctions.udf.CIQ(W$3, "IQ_BOND_PRICE", $L221)),"")</f>
        <v>106.39400000000001</v>
      </c>
      <c r="X221" s="424">
        <f>IF(AND($L221&lt;&gt;"",X$3&lt;&gt;""),IF(NOT(ISNUMBER(_xll.ciqfunctions.udf.CIQ(X$3, "IQ_BOND_PRICE", $L221))),NA(),_xll.ciqfunctions.udf.CIQ(X$3, "IQ_BOND_PRICE", $L221)),"")</f>
        <v>109.383</v>
      </c>
      <c r="Y221" s="424">
        <f>IF(AND($L221&lt;&gt;"",Y$3&lt;&gt;""),IF(NOT(ISNUMBER(_xll.ciqfunctions.udf.CIQ(Y$3, "IQ_BOND_PRICE", $L221))),NA(),_xll.ciqfunctions.udf.CIQ(Y$3, "IQ_BOND_PRICE", $L221)),"")</f>
        <v>105.251</v>
      </c>
      <c r="Z221" s="424">
        <f>IF(AND($L221&lt;&gt;"",Z$3&lt;&gt;""),IF(NOT(ISNUMBER(_xll.ciqfunctions.udf.CIQ(Z$3, "IQ_BOND_PRICE", $L221))),NA(),_xll.ciqfunctions.udf.CIQ(Z$3, "IQ_BOND_PRICE", $L221)),"")</f>
        <v>97.135159999999999</v>
      </c>
      <c r="CZ221" s="426"/>
    </row>
    <row r="222" spans="12:104" x14ac:dyDescent="0.2">
      <c r="L222" s="425">
        <f t="shared" si="3"/>
        <v>44582</v>
      </c>
      <c r="M222" s="424">
        <f>IF(AND($L222&lt;&gt;"",M$3&lt;&gt;""),IF(NOT(ISNUMBER(_xll.ciqfunctions.udf.CIQ(M$3, "IQ_BOND_PRICE", $L222))),NA(),_xll.ciqfunctions.udf.CIQ(M$3, "IQ_BOND_PRICE", $L222)),"")</f>
        <v>100.449</v>
      </c>
      <c r="N222" s="424">
        <f>IF(AND($L222&lt;&gt;"",N$3&lt;&gt;""),IF(NOT(ISNUMBER(_xll.ciqfunctions.udf.CIQ(N$3, "IQ_BOND_PRICE", $L222))),NA(),_xll.ciqfunctions.udf.CIQ(N$3, "IQ_BOND_PRICE", $L222)),"")</f>
        <v>0</v>
      </c>
      <c r="O222" s="424">
        <f>IF(AND($L222&lt;&gt;"",O$3&lt;&gt;""),IF(NOT(ISNUMBER(_xll.ciqfunctions.udf.CIQ(O$3, "IQ_BOND_PRICE", $L222))),NA(),_xll.ciqfunctions.udf.CIQ(O$3, "IQ_BOND_PRICE", $L222)),"")</f>
        <v>101.44705999999999</v>
      </c>
      <c r="P222" s="424">
        <f>IF(AND($L222&lt;&gt;"",P$3&lt;&gt;""),IF(NOT(ISNUMBER(_xll.ciqfunctions.udf.CIQ(P$3, "IQ_BOND_PRICE", $L222))),NA(),_xll.ciqfunctions.udf.CIQ(P$3, "IQ_BOND_PRICE", $L222)),"")</f>
        <v>101.72268</v>
      </c>
      <c r="Q222" s="424">
        <f>IF(AND($L222&lt;&gt;"",Q$3&lt;&gt;""),IF(NOT(ISNUMBER(_xll.ciqfunctions.udf.CIQ(Q$3, "IQ_BOND_PRICE", $L222))),NA(),_xll.ciqfunctions.udf.CIQ(Q$3, "IQ_BOND_PRICE", $L222)),"")</f>
        <v>103.361</v>
      </c>
      <c r="R222" s="424">
        <f>IF(AND($L222&lt;&gt;"",R$3&lt;&gt;""),IF(NOT(ISNUMBER(_xll.ciqfunctions.udf.CIQ(R$3, "IQ_BOND_PRICE", $L222))),NA(),_xll.ciqfunctions.udf.CIQ(R$3, "IQ_BOND_PRICE", $L222)),"")</f>
        <v>109.35299999999999</v>
      </c>
      <c r="S222" s="424">
        <f>IF(AND($L222&lt;&gt;"",S$3&lt;&gt;""),IF(NOT(ISNUMBER(_xll.ciqfunctions.udf.CIQ(S$3, "IQ_BOND_PRICE", $L222))),NA(),_xll.ciqfunctions.udf.CIQ(S$3, "IQ_BOND_PRICE", $L222)),"")</f>
        <v>104.148</v>
      </c>
      <c r="T222" s="424">
        <f>IF(AND($L222&lt;&gt;"",T$3&lt;&gt;""),IF(NOT(ISNUMBER(_xll.ciqfunctions.udf.CIQ(T$3, "IQ_BOND_PRICE", $L222))),NA(),_xll.ciqfunctions.udf.CIQ(T$3, "IQ_BOND_PRICE", $L222)),"")</f>
        <v>103.944</v>
      </c>
      <c r="U222" s="424">
        <f>IF(AND($L222&lt;&gt;"",U$3&lt;&gt;""),IF(NOT(ISNUMBER(_xll.ciqfunctions.udf.CIQ(U$3, "IQ_BOND_PRICE", $L222))),NA(),_xll.ciqfunctions.udf.CIQ(U$3, "IQ_BOND_PRICE", $L222)),"")</f>
        <v>99.820899999999995</v>
      </c>
      <c r="V222" s="424">
        <f>IF(AND($L222&lt;&gt;"",V$3&lt;&gt;""),IF(NOT(ISNUMBER(_xll.ciqfunctions.udf.CIQ(V$3, "IQ_BOND_PRICE", $L222))),NA(),_xll.ciqfunctions.udf.CIQ(V$3, "IQ_BOND_PRICE", $L222)),"")</f>
        <v>103.60339999999999</v>
      </c>
      <c r="W222" s="424">
        <f>IF(AND($L222&lt;&gt;"",W$3&lt;&gt;""),IF(NOT(ISNUMBER(_xll.ciqfunctions.udf.CIQ(W$3, "IQ_BOND_PRICE", $L222))),NA(),_xll.ciqfunctions.udf.CIQ(W$3, "IQ_BOND_PRICE", $L222)),"")</f>
        <v>106.625</v>
      </c>
      <c r="X222" s="424">
        <f>IF(AND($L222&lt;&gt;"",X$3&lt;&gt;""),IF(NOT(ISNUMBER(_xll.ciqfunctions.udf.CIQ(X$3, "IQ_BOND_PRICE", $L222))),NA(),_xll.ciqfunctions.udf.CIQ(X$3, "IQ_BOND_PRICE", $L222)),"")</f>
        <v>109.512</v>
      </c>
      <c r="Y222" s="424">
        <f>IF(AND($L222&lt;&gt;"",Y$3&lt;&gt;""),IF(NOT(ISNUMBER(_xll.ciqfunctions.udf.CIQ(Y$3, "IQ_BOND_PRICE", $L222))),NA(),_xll.ciqfunctions.udf.CIQ(Y$3, "IQ_BOND_PRICE", $L222)),"")</f>
        <v>105.556</v>
      </c>
      <c r="Z222" s="424">
        <f>IF(AND($L222&lt;&gt;"",Z$3&lt;&gt;""),IF(NOT(ISNUMBER(_xll.ciqfunctions.udf.CIQ(Z$3, "IQ_BOND_PRICE", $L222))),NA(),_xll.ciqfunctions.udf.CIQ(Z$3, "IQ_BOND_PRICE", $L222)),"")</f>
        <v>97.455799999999996</v>
      </c>
      <c r="CZ222" s="426"/>
    </row>
    <row r="223" spans="12:104" x14ac:dyDescent="0.2">
      <c r="L223" s="425">
        <f t="shared" si="3"/>
        <v>44585</v>
      </c>
      <c r="M223" s="424">
        <f>IF(AND($L223&lt;&gt;"",M$3&lt;&gt;""),IF(NOT(ISNUMBER(_xll.ciqfunctions.udf.CIQ(M$3, "IQ_BOND_PRICE", $L223))),NA(),_xll.ciqfunctions.udf.CIQ(M$3, "IQ_BOND_PRICE", $L223)),"")</f>
        <v>100.431</v>
      </c>
      <c r="N223" s="424">
        <f>IF(AND($L223&lt;&gt;"",N$3&lt;&gt;""),IF(NOT(ISNUMBER(_xll.ciqfunctions.udf.CIQ(N$3, "IQ_BOND_PRICE", $L223))),NA(),_xll.ciqfunctions.udf.CIQ(N$3, "IQ_BOND_PRICE", $L223)),"")</f>
        <v>0</v>
      </c>
      <c r="O223" s="424">
        <f>IF(AND($L223&lt;&gt;"",O$3&lt;&gt;""),IF(NOT(ISNUMBER(_xll.ciqfunctions.udf.CIQ(O$3, "IQ_BOND_PRICE", $L223))),NA(),_xll.ciqfunctions.udf.CIQ(O$3, "IQ_BOND_PRICE", $L223)),"")</f>
        <v>101.55452</v>
      </c>
      <c r="P223" s="424">
        <f>IF(AND($L223&lt;&gt;"",P$3&lt;&gt;""),IF(NOT(ISNUMBER(_xll.ciqfunctions.udf.CIQ(P$3, "IQ_BOND_PRICE", $L223))),NA(),_xll.ciqfunctions.udf.CIQ(P$3, "IQ_BOND_PRICE", $L223)),"")</f>
        <v>101.73593</v>
      </c>
      <c r="Q223" s="424">
        <f>IF(AND($L223&lt;&gt;"",Q$3&lt;&gt;""),IF(NOT(ISNUMBER(_xll.ciqfunctions.udf.CIQ(Q$3, "IQ_BOND_PRICE", $L223))),NA(),_xll.ciqfunctions.udf.CIQ(Q$3, "IQ_BOND_PRICE", $L223)),"")</f>
        <v>103.39400000000001</v>
      </c>
      <c r="R223" s="424">
        <f>IF(AND($L223&lt;&gt;"",R$3&lt;&gt;""),IF(NOT(ISNUMBER(_xll.ciqfunctions.udf.CIQ(R$3, "IQ_BOND_PRICE", $L223))),NA(),_xll.ciqfunctions.udf.CIQ(R$3, "IQ_BOND_PRICE", $L223)),"")</f>
        <v>109.497</v>
      </c>
      <c r="S223" s="424">
        <f>IF(AND($L223&lt;&gt;"",S$3&lt;&gt;""),IF(NOT(ISNUMBER(_xll.ciqfunctions.udf.CIQ(S$3, "IQ_BOND_PRICE", $L223))),NA(),_xll.ciqfunctions.udf.CIQ(S$3, "IQ_BOND_PRICE", $L223)),"")</f>
        <v>104.223</v>
      </c>
      <c r="T223" s="424">
        <f>IF(AND($L223&lt;&gt;"",T$3&lt;&gt;""),IF(NOT(ISNUMBER(_xll.ciqfunctions.udf.CIQ(T$3, "IQ_BOND_PRICE", $L223))),NA(),_xll.ciqfunctions.udf.CIQ(T$3, "IQ_BOND_PRICE", $L223)),"")</f>
        <v>104.027</v>
      </c>
      <c r="U223" s="424">
        <f>IF(AND($L223&lt;&gt;"",U$3&lt;&gt;""),IF(NOT(ISNUMBER(_xll.ciqfunctions.udf.CIQ(U$3, "IQ_BOND_PRICE", $L223))),NA(),_xll.ciqfunctions.udf.CIQ(U$3, "IQ_BOND_PRICE", $L223)),"")</f>
        <v>99.815380000000005</v>
      </c>
      <c r="V223" s="424">
        <f>IF(AND($L223&lt;&gt;"",V$3&lt;&gt;""),IF(NOT(ISNUMBER(_xll.ciqfunctions.udf.CIQ(V$3, "IQ_BOND_PRICE", $L223))),NA(),_xll.ciqfunctions.udf.CIQ(V$3, "IQ_BOND_PRICE", $L223)),"")</f>
        <v>103.69942</v>
      </c>
      <c r="W223" s="424">
        <f>IF(AND($L223&lt;&gt;"",W$3&lt;&gt;""),IF(NOT(ISNUMBER(_xll.ciqfunctions.udf.CIQ(W$3, "IQ_BOND_PRICE", $L223))),NA(),_xll.ciqfunctions.udf.CIQ(W$3, "IQ_BOND_PRICE", $L223)),"")</f>
        <v>106.74299999999999</v>
      </c>
      <c r="X223" s="424">
        <f>IF(AND($L223&lt;&gt;"",X$3&lt;&gt;""),IF(NOT(ISNUMBER(_xll.ciqfunctions.udf.CIQ(X$3, "IQ_BOND_PRICE", $L223))),NA(),_xll.ciqfunctions.udf.CIQ(X$3, "IQ_BOND_PRICE", $L223)),"")</f>
        <v>109.583</v>
      </c>
      <c r="Y223" s="424">
        <f>IF(AND($L223&lt;&gt;"",Y$3&lt;&gt;""),IF(NOT(ISNUMBER(_xll.ciqfunctions.udf.CIQ(Y$3, "IQ_BOND_PRICE", $L223))),NA(),_xll.ciqfunctions.udf.CIQ(Y$3, "IQ_BOND_PRICE", $L223)),"")</f>
        <v>105.625</v>
      </c>
      <c r="Z223" s="424">
        <f>IF(AND($L223&lt;&gt;"",Z$3&lt;&gt;""),IF(NOT(ISNUMBER(_xll.ciqfunctions.udf.CIQ(Z$3, "IQ_BOND_PRICE", $L223))),NA(),_xll.ciqfunctions.udf.CIQ(Z$3, "IQ_BOND_PRICE", $L223)),"")</f>
        <v>97.595410000000001</v>
      </c>
      <c r="CZ223" s="426"/>
    </row>
    <row r="224" spans="12:104" x14ac:dyDescent="0.2">
      <c r="L224" s="425">
        <f t="shared" si="3"/>
        <v>44586</v>
      </c>
      <c r="M224" s="424">
        <f>IF(AND($L224&lt;&gt;"",M$3&lt;&gt;""),IF(NOT(ISNUMBER(_xll.ciqfunctions.udf.CIQ(M$3, "IQ_BOND_PRICE", $L224))),NA(),_xll.ciqfunctions.udf.CIQ(M$3, "IQ_BOND_PRICE", $L224)),"")</f>
        <v>100.42400000000001</v>
      </c>
      <c r="N224" s="424">
        <f>IF(AND($L224&lt;&gt;"",N$3&lt;&gt;""),IF(NOT(ISNUMBER(_xll.ciqfunctions.udf.CIQ(N$3, "IQ_BOND_PRICE", $L224))),NA(),_xll.ciqfunctions.udf.CIQ(N$3, "IQ_BOND_PRICE", $L224)),"")</f>
        <v>0</v>
      </c>
      <c r="O224" s="424">
        <f>IF(AND($L224&lt;&gt;"",O$3&lt;&gt;""),IF(NOT(ISNUMBER(_xll.ciqfunctions.udf.CIQ(O$3, "IQ_BOND_PRICE", $L224))),NA(),_xll.ciqfunctions.udf.CIQ(O$3, "IQ_BOND_PRICE", $L224)),"")</f>
        <v>101.43559</v>
      </c>
      <c r="P224" s="424">
        <f>IF(AND($L224&lt;&gt;"",P$3&lt;&gt;""),IF(NOT(ISNUMBER(_xll.ciqfunctions.udf.CIQ(P$3, "IQ_BOND_PRICE", $L224))),NA(),_xll.ciqfunctions.udf.CIQ(P$3, "IQ_BOND_PRICE", $L224)),"")</f>
        <v>101.71692</v>
      </c>
      <c r="Q224" s="424">
        <f>IF(AND($L224&lt;&gt;"",Q$3&lt;&gt;""),IF(NOT(ISNUMBER(_xll.ciqfunctions.udf.CIQ(Q$3, "IQ_BOND_PRICE", $L224))),NA(),_xll.ciqfunctions.udf.CIQ(Q$3, "IQ_BOND_PRICE", $L224)),"")</f>
        <v>103.35899999999999</v>
      </c>
      <c r="R224" s="424">
        <f>IF(AND($L224&lt;&gt;"",R$3&lt;&gt;""),IF(NOT(ISNUMBER(_xll.ciqfunctions.udf.CIQ(R$3, "IQ_BOND_PRICE", $L224))),NA(),_xll.ciqfunctions.udf.CIQ(R$3, "IQ_BOND_PRICE", $L224)),"")</f>
        <v>109.322</v>
      </c>
      <c r="S224" s="424">
        <f>IF(AND($L224&lt;&gt;"",S$3&lt;&gt;""),IF(NOT(ISNUMBER(_xll.ciqfunctions.udf.CIQ(S$3, "IQ_BOND_PRICE", $L224))),NA(),_xll.ciqfunctions.udf.CIQ(S$3, "IQ_BOND_PRICE", $L224)),"")</f>
        <v>104.13800000000001</v>
      </c>
      <c r="T224" s="424">
        <f>IF(AND($L224&lt;&gt;"",T$3&lt;&gt;""),IF(NOT(ISNUMBER(_xll.ciqfunctions.udf.CIQ(T$3, "IQ_BOND_PRICE", $L224))),NA(),_xll.ciqfunctions.udf.CIQ(T$3, "IQ_BOND_PRICE", $L224)),"")</f>
        <v>103.928</v>
      </c>
      <c r="U224" s="424">
        <f>IF(AND($L224&lt;&gt;"",U$3&lt;&gt;""),IF(NOT(ISNUMBER(_xll.ciqfunctions.udf.CIQ(U$3, "IQ_BOND_PRICE", $L224))),NA(),_xll.ciqfunctions.udf.CIQ(U$3, "IQ_BOND_PRICE", $L224)),"")</f>
        <v>99.816419999999994</v>
      </c>
      <c r="V224" s="424">
        <f>IF(AND($L224&lt;&gt;"",V$3&lt;&gt;""),IF(NOT(ISNUMBER(_xll.ciqfunctions.udf.CIQ(V$3, "IQ_BOND_PRICE", $L224))),NA(),_xll.ciqfunctions.udf.CIQ(V$3, "IQ_BOND_PRICE", $L224)),"")</f>
        <v>103.61212999999999</v>
      </c>
      <c r="W224" s="424">
        <f>IF(AND($L224&lt;&gt;"",W$3&lt;&gt;""),IF(NOT(ISNUMBER(_xll.ciqfunctions.udf.CIQ(W$3, "IQ_BOND_PRICE", $L224))),NA(),_xll.ciqfunctions.udf.CIQ(W$3, "IQ_BOND_PRICE", $L224)),"")</f>
        <v>106.613</v>
      </c>
      <c r="X224" s="424">
        <f>IF(AND($L224&lt;&gt;"",X$3&lt;&gt;""),IF(NOT(ISNUMBER(_xll.ciqfunctions.udf.CIQ(X$3, "IQ_BOND_PRICE", $L224))),NA(),_xll.ciqfunctions.udf.CIQ(X$3, "IQ_BOND_PRICE", $L224)),"")</f>
        <v>109.527</v>
      </c>
      <c r="Y224" s="424">
        <f>IF(AND($L224&lt;&gt;"",Y$3&lt;&gt;""),IF(NOT(ISNUMBER(_xll.ciqfunctions.udf.CIQ(Y$3, "IQ_BOND_PRICE", $L224))),NA(),_xll.ciqfunctions.udf.CIQ(Y$3, "IQ_BOND_PRICE", $L224)),"")</f>
        <v>105.38800000000001</v>
      </c>
      <c r="Z224" s="424">
        <f>IF(AND($L224&lt;&gt;"",Z$3&lt;&gt;""),IF(NOT(ISNUMBER(_xll.ciqfunctions.udf.CIQ(Z$3, "IQ_BOND_PRICE", $L224))),NA(),_xll.ciqfunctions.udf.CIQ(Z$3, "IQ_BOND_PRICE", $L224)),"")</f>
        <v>97.355050000000006</v>
      </c>
      <c r="CZ224" s="426"/>
    </row>
    <row r="225" spans="12:104" x14ac:dyDescent="0.2">
      <c r="L225" s="425">
        <f t="shared" si="3"/>
        <v>44587</v>
      </c>
      <c r="M225" s="424">
        <f>IF(AND($L225&lt;&gt;"",M$3&lt;&gt;""),IF(NOT(ISNUMBER(_xll.ciqfunctions.udf.CIQ(M$3, "IQ_BOND_PRICE", $L225))),NA(),_xll.ciqfunctions.udf.CIQ(M$3, "IQ_BOND_PRICE", $L225)),"")</f>
        <v>100.423</v>
      </c>
      <c r="N225" s="424">
        <f>IF(AND($L225&lt;&gt;"",N$3&lt;&gt;""),IF(NOT(ISNUMBER(_xll.ciqfunctions.udf.CIQ(N$3, "IQ_BOND_PRICE", $L225))),NA(),_xll.ciqfunctions.udf.CIQ(N$3, "IQ_BOND_PRICE", $L225)),"")</f>
        <v>0</v>
      </c>
      <c r="O225" s="424">
        <f>IF(AND($L225&lt;&gt;"",O$3&lt;&gt;""),IF(NOT(ISNUMBER(_xll.ciqfunctions.udf.CIQ(O$3, "IQ_BOND_PRICE", $L225))),NA(),_xll.ciqfunctions.udf.CIQ(O$3, "IQ_BOND_PRICE", $L225)),"")</f>
        <v>101.42870000000001</v>
      </c>
      <c r="P225" s="424">
        <f>IF(AND($L225&lt;&gt;"",P$3&lt;&gt;""),IF(NOT(ISNUMBER(_xll.ciqfunctions.udf.CIQ(P$3, "IQ_BOND_PRICE", $L225))),NA(),_xll.ciqfunctions.udf.CIQ(P$3, "IQ_BOND_PRICE", $L225)),"")</f>
        <v>101.643</v>
      </c>
      <c r="Q225" s="424">
        <f>IF(AND($L225&lt;&gt;"",Q$3&lt;&gt;""),IF(NOT(ISNUMBER(_xll.ciqfunctions.udf.CIQ(Q$3, "IQ_BOND_PRICE", $L225))),NA(),_xll.ciqfunctions.udf.CIQ(Q$3, "IQ_BOND_PRICE", $L225)),"")</f>
        <v>103.239</v>
      </c>
      <c r="R225" s="424">
        <f>IF(AND($L225&lt;&gt;"",R$3&lt;&gt;""),IF(NOT(ISNUMBER(_xll.ciqfunctions.udf.CIQ(R$3, "IQ_BOND_PRICE", $L225))),NA(),_xll.ciqfunctions.udf.CIQ(R$3, "IQ_BOND_PRICE", $L225)),"")</f>
        <v>109.248</v>
      </c>
      <c r="S225" s="424">
        <f>IF(AND($L225&lt;&gt;"",S$3&lt;&gt;""),IF(NOT(ISNUMBER(_xll.ciqfunctions.udf.CIQ(S$3, "IQ_BOND_PRICE", $L225))),NA(),_xll.ciqfunctions.udf.CIQ(S$3, "IQ_BOND_PRICE", $L225)),"")</f>
        <v>104.065</v>
      </c>
      <c r="T225" s="424">
        <f>IF(AND($L225&lt;&gt;"",T$3&lt;&gt;""),IF(NOT(ISNUMBER(_xll.ciqfunctions.udf.CIQ(T$3, "IQ_BOND_PRICE", $L225))),NA(),_xll.ciqfunctions.udf.CIQ(T$3, "IQ_BOND_PRICE", $L225)),"")</f>
        <v>103.771</v>
      </c>
      <c r="U225" s="424">
        <f>IF(AND($L225&lt;&gt;"",U$3&lt;&gt;""),IF(NOT(ISNUMBER(_xll.ciqfunctions.udf.CIQ(U$3, "IQ_BOND_PRICE", $L225))),NA(),_xll.ciqfunctions.udf.CIQ(U$3, "IQ_BOND_PRICE", $L225)),"")</f>
        <v>99.813500000000005</v>
      </c>
      <c r="V225" s="424">
        <f>IF(AND($L225&lt;&gt;"",V$3&lt;&gt;""),IF(NOT(ISNUMBER(_xll.ciqfunctions.udf.CIQ(V$3, "IQ_BOND_PRICE", $L225))),NA(),_xll.ciqfunctions.udf.CIQ(V$3, "IQ_BOND_PRICE", $L225)),"")</f>
        <v>103.43423</v>
      </c>
      <c r="W225" s="424">
        <f>IF(AND($L225&lt;&gt;"",W$3&lt;&gt;""),IF(NOT(ISNUMBER(_xll.ciqfunctions.udf.CIQ(W$3, "IQ_BOND_PRICE", $L225))),NA(),_xll.ciqfunctions.udf.CIQ(W$3, "IQ_BOND_PRICE", $L225)),"")</f>
        <v>106.386</v>
      </c>
      <c r="X225" s="424">
        <f>IF(AND($L225&lt;&gt;"",X$3&lt;&gt;""),IF(NOT(ISNUMBER(_xll.ciqfunctions.udf.CIQ(X$3, "IQ_BOND_PRICE", $L225))),NA(),_xll.ciqfunctions.udf.CIQ(X$3, "IQ_BOND_PRICE", $L225)),"")</f>
        <v>109.417</v>
      </c>
      <c r="Y225" s="424">
        <f>IF(AND($L225&lt;&gt;"",Y$3&lt;&gt;""),IF(NOT(ISNUMBER(_xll.ciqfunctions.udf.CIQ(Y$3, "IQ_BOND_PRICE", $L225))),NA(),_xll.ciqfunctions.udf.CIQ(Y$3, "IQ_BOND_PRICE", $L225)),"")</f>
        <v>105.08</v>
      </c>
      <c r="Z225" s="424">
        <f>IF(AND($L225&lt;&gt;"",Z$3&lt;&gt;""),IF(NOT(ISNUMBER(_xll.ciqfunctions.udf.CIQ(Z$3, "IQ_BOND_PRICE", $L225))),NA(),_xll.ciqfunctions.udf.CIQ(Z$3, "IQ_BOND_PRICE", $L225)),"")</f>
        <v>97.041579999999996</v>
      </c>
      <c r="CZ225" s="426"/>
    </row>
    <row r="226" spans="12:104" x14ac:dyDescent="0.2">
      <c r="L226" s="425">
        <f t="shared" si="3"/>
        <v>44588</v>
      </c>
      <c r="M226" s="424">
        <f>IF(AND($L226&lt;&gt;"",M$3&lt;&gt;""),IF(NOT(ISNUMBER(_xll.ciqfunctions.udf.CIQ(M$3, "IQ_BOND_PRICE", $L226))),NA(),_xll.ciqfunctions.udf.CIQ(M$3, "IQ_BOND_PRICE", $L226)),"")</f>
        <v>100.40600000000001</v>
      </c>
      <c r="N226" s="424">
        <f>IF(AND($L226&lt;&gt;"",N$3&lt;&gt;""),IF(NOT(ISNUMBER(_xll.ciqfunctions.udf.CIQ(N$3, "IQ_BOND_PRICE", $L226))),NA(),_xll.ciqfunctions.udf.CIQ(N$3, "IQ_BOND_PRICE", $L226)),"")</f>
        <v>0</v>
      </c>
      <c r="O226" s="424">
        <f>IF(AND($L226&lt;&gt;"",O$3&lt;&gt;""),IF(NOT(ISNUMBER(_xll.ciqfunctions.udf.CIQ(O$3, "IQ_BOND_PRICE", $L226))),NA(),_xll.ciqfunctions.udf.CIQ(O$3, "IQ_BOND_PRICE", $L226)),"")</f>
        <v>101.33971</v>
      </c>
      <c r="P226" s="424">
        <f>IF(AND($L226&lt;&gt;"",P$3&lt;&gt;""),IF(NOT(ISNUMBER(_xll.ciqfunctions.udf.CIQ(P$3, "IQ_BOND_PRICE", $L226))),NA(),_xll.ciqfunctions.udf.CIQ(P$3, "IQ_BOND_PRICE", $L226)),"")</f>
        <v>101.48723</v>
      </c>
      <c r="Q226" s="424">
        <f>IF(AND($L226&lt;&gt;"",Q$3&lt;&gt;""),IF(NOT(ISNUMBER(_xll.ciqfunctions.udf.CIQ(Q$3, "IQ_BOND_PRICE", $L226))),NA(),_xll.ciqfunctions.udf.CIQ(Q$3, "IQ_BOND_PRICE", $L226)),"")</f>
        <v>103.08</v>
      </c>
      <c r="R226" s="424">
        <f>IF(AND($L226&lt;&gt;"",R$3&lt;&gt;""),IF(NOT(ISNUMBER(_xll.ciqfunctions.udf.CIQ(R$3, "IQ_BOND_PRICE", $L226))),NA(),_xll.ciqfunctions.udf.CIQ(R$3, "IQ_BOND_PRICE", $L226)),"")</f>
        <v>108.916</v>
      </c>
      <c r="S226" s="424">
        <f>IF(AND($L226&lt;&gt;"",S$3&lt;&gt;""),IF(NOT(ISNUMBER(_xll.ciqfunctions.udf.CIQ(S$3, "IQ_BOND_PRICE", $L226))),NA(),_xll.ciqfunctions.udf.CIQ(S$3, "IQ_BOND_PRICE", $L226)),"")</f>
        <v>103.66800000000001</v>
      </c>
      <c r="T226" s="424">
        <f>IF(AND($L226&lt;&gt;"",T$3&lt;&gt;""),IF(NOT(ISNUMBER(_xll.ciqfunctions.udf.CIQ(T$3, "IQ_BOND_PRICE", $L226))),NA(),_xll.ciqfunctions.udf.CIQ(T$3, "IQ_BOND_PRICE", $L226)),"")</f>
        <v>103.489</v>
      </c>
      <c r="U226" s="424">
        <f>IF(AND($L226&lt;&gt;"",U$3&lt;&gt;""),IF(NOT(ISNUMBER(_xll.ciqfunctions.udf.CIQ(U$3, "IQ_BOND_PRICE", $L226))),NA(),_xll.ciqfunctions.udf.CIQ(U$3, "IQ_BOND_PRICE", $L226)),"")</f>
        <v>99.797060000000002</v>
      </c>
      <c r="V226" s="424">
        <f>IF(AND($L226&lt;&gt;"",V$3&lt;&gt;""),IF(NOT(ISNUMBER(_xll.ciqfunctions.udf.CIQ(V$3, "IQ_BOND_PRICE", $L226))),NA(),_xll.ciqfunctions.udf.CIQ(V$3, "IQ_BOND_PRICE", $L226)),"")</f>
        <v>103.11725</v>
      </c>
      <c r="W226" s="424">
        <f>IF(AND($L226&lt;&gt;"",W$3&lt;&gt;""),IF(NOT(ISNUMBER(_xll.ciqfunctions.udf.CIQ(W$3, "IQ_BOND_PRICE", $L226))),NA(),_xll.ciqfunctions.udf.CIQ(W$3, "IQ_BOND_PRICE", $L226)),"")</f>
        <v>106.09099999999999</v>
      </c>
      <c r="X226" s="424">
        <f>IF(AND($L226&lt;&gt;"",X$3&lt;&gt;""),IF(NOT(ISNUMBER(_xll.ciqfunctions.udf.CIQ(X$3, "IQ_BOND_PRICE", $L226))),NA(),_xll.ciqfunctions.udf.CIQ(X$3, "IQ_BOND_PRICE", $L226)),"")</f>
        <v>109.274</v>
      </c>
      <c r="Y226" s="424">
        <f>IF(AND($L226&lt;&gt;"",Y$3&lt;&gt;""),IF(NOT(ISNUMBER(_xll.ciqfunctions.udf.CIQ(Y$3, "IQ_BOND_PRICE", $L226))),NA(),_xll.ciqfunctions.udf.CIQ(Y$3, "IQ_BOND_PRICE", $L226)),"")</f>
        <v>104.753</v>
      </c>
      <c r="Z226" s="424">
        <f>IF(AND($L226&lt;&gt;"",Z$3&lt;&gt;""),IF(NOT(ISNUMBER(_xll.ciqfunctions.udf.CIQ(Z$3, "IQ_BOND_PRICE", $L226))),NA(),_xll.ciqfunctions.udf.CIQ(Z$3, "IQ_BOND_PRICE", $L226)),"")</f>
        <v>96.652810000000002</v>
      </c>
      <c r="CZ226" s="426"/>
    </row>
    <row r="227" spans="12:104" x14ac:dyDescent="0.2">
      <c r="L227" s="425">
        <f t="shared" si="3"/>
        <v>44589</v>
      </c>
      <c r="M227" s="424">
        <f>IF(AND($L227&lt;&gt;"",M$3&lt;&gt;""),IF(NOT(ISNUMBER(_xll.ciqfunctions.udf.CIQ(M$3, "IQ_BOND_PRICE", $L227))),NA(),_xll.ciqfunctions.udf.CIQ(M$3, "IQ_BOND_PRICE", $L227)),"")</f>
        <v>100.395</v>
      </c>
      <c r="N227" s="424">
        <f>IF(AND($L227&lt;&gt;"",N$3&lt;&gt;""),IF(NOT(ISNUMBER(_xll.ciqfunctions.udf.CIQ(N$3, "IQ_BOND_PRICE", $L227))),NA(),_xll.ciqfunctions.udf.CIQ(N$3, "IQ_BOND_PRICE", $L227)),"")</f>
        <v>0</v>
      </c>
      <c r="O227" s="424">
        <f>IF(AND($L227&lt;&gt;"",O$3&lt;&gt;""),IF(NOT(ISNUMBER(_xll.ciqfunctions.udf.CIQ(O$3, "IQ_BOND_PRICE", $L227))),NA(),_xll.ciqfunctions.udf.CIQ(O$3, "IQ_BOND_PRICE", $L227)),"")</f>
        <v>101.3801</v>
      </c>
      <c r="P227" s="424">
        <f>IF(AND($L227&lt;&gt;"",P$3&lt;&gt;""),IF(NOT(ISNUMBER(_xll.ciqfunctions.udf.CIQ(P$3, "IQ_BOND_PRICE", $L227))),NA(),_xll.ciqfunctions.udf.CIQ(P$3, "IQ_BOND_PRICE", $L227)),"")</f>
        <v>101.44074999999999</v>
      </c>
      <c r="Q227" s="424">
        <f>IF(AND($L227&lt;&gt;"",Q$3&lt;&gt;""),IF(NOT(ISNUMBER(_xll.ciqfunctions.udf.CIQ(Q$3, "IQ_BOND_PRICE", $L227))),NA(),_xll.ciqfunctions.udf.CIQ(Q$3, "IQ_BOND_PRICE", $L227)),"")</f>
        <v>103.06699999999999</v>
      </c>
      <c r="R227" s="424">
        <f>IF(AND($L227&lt;&gt;"",R$3&lt;&gt;""),IF(NOT(ISNUMBER(_xll.ciqfunctions.udf.CIQ(R$3, "IQ_BOND_PRICE", $L227))),NA(),_xll.ciqfunctions.udf.CIQ(R$3, "IQ_BOND_PRICE", $L227)),"")</f>
        <v>108.961</v>
      </c>
      <c r="S227" s="424">
        <f>IF(AND($L227&lt;&gt;"",S$3&lt;&gt;""),IF(NOT(ISNUMBER(_xll.ciqfunctions.udf.CIQ(S$3, "IQ_BOND_PRICE", $L227))),NA(),_xll.ciqfunctions.udf.CIQ(S$3, "IQ_BOND_PRICE", $L227)),"")</f>
        <v>103.646</v>
      </c>
      <c r="T227" s="424">
        <f>IF(AND($L227&lt;&gt;"",T$3&lt;&gt;""),IF(NOT(ISNUMBER(_xll.ciqfunctions.udf.CIQ(T$3, "IQ_BOND_PRICE", $L227))),NA(),_xll.ciqfunctions.udf.CIQ(T$3, "IQ_BOND_PRICE", $L227)),"")</f>
        <v>103.52800000000001</v>
      </c>
      <c r="U227" s="424">
        <f>IF(AND($L227&lt;&gt;"",U$3&lt;&gt;""),IF(NOT(ISNUMBER(_xll.ciqfunctions.udf.CIQ(U$3, "IQ_BOND_PRICE", $L227))),NA(),_xll.ciqfunctions.udf.CIQ(U$3, "IQ_BOND_PRICE", $L227)),"")</f>
        <v>99.796430000000001</v>
      </c>
      <c r="V227" s="424">
        <f>IF(AND($L227&lt;&gt;"",V$3&lt;&gt;""),IF(NOT(ISNUMBER(_xll.ciqfunctions.udf.CIQ(V$3, "IQ_BOND_PRICE", $L227))),NA(),_xll.ciqfunctions.udf.CIQ(V$3, "IQ_BOND_PRICE", $L227)),"")</f>
        <v>103.1614</v>
      </c>
      <c r="W227" s="424">
        <f>IF(AND($L227&lt;&gt;"",W$3&lt;&gt;""),IF(NOT(ISNUMBER(_xll.ciqfunctions.udf.CIQ(W$3, "IQ_BOND_PRICE", $L227))),NA(),_xll.ciqfunctions.udf.CIQ(W$3, "IQ_BOND_PRICE", $L227)),"")</f>
        <v>106.208</v>
      </c>
      <c r="X227" s="424">
        <f>IF(AND($L227&lt;&gt;"",X$3&lt;&gt;""),IF(NOT(ISNUMBER(_xll.ciqfunctions.udf.CIQ(X$3, "IQ_BOND_PRICE", $L227))),NA(),_xll.ciqfunctions.udf.CIQ(X$3, "IQ_BOND_PRICE", $L227)),"")</f>
        <v>109.166</v>
      </c>
      <c r="Y227" s="424">
        <f>IF(AND($L227&lt;&gt;"",Y$3&lt;&gt;""),IF(NOT(ISNUMBER(_xll.ciqfunctions.udf.CIQ(Y$3, "IQ_BOND_PRICE", $L227))),NA(),_xll.ciqfunctions.udf.CIQ(Y$3, "IQ_BOND_PRICE", $L227)),"")</f>
        <v>104.658</v>
      </c>
      <c r="Z227" s="424">
        <f>IF(AND($L227&lt;&gt;"",Z$3&lt;&gt;""),IF(NOT(ISNUMBER(_xll.ciqfunctions.udf.CIQ(Z$3, "IQ_BOND_PRICE", $L227))),NA(),_xll.ciqfunctions.udf.CIQ(Z$3, "IQ_BOND_PRICE", $L227)),"")</f>
        <v>96.604870000000005</v>
      </c>
      <c r="CZ227" s="426"/>
    </row>
    <row r="228" spans="12:104" x14ac:dyDescent="0.2">
      <c r="L228" s="425">
        <f t="shared" si="3"/>
        <v>44592</v>
      </c>
      <c r="M228" s="424">
        <f>IF(AND($L228&lt;&gt;"",M$3&lt;&gt;""),IF(NOT(ISNUMBER(_xll.ciqfunctions.udf.CIQ(M$3, "IQ_BOND_PRICE", $L228))),NA(),_xll.ciqfunctions.udf.CIQ(M$3, "IQ_BOND_PRICE", $L228)),"")</f>
        <v>100.39</v>
      </c>
      <c r="N228" s="424">
        <f>IF(AND($L228&lt;&gt;"",N$3&lt;&gt;""),IF(NOT(ISNUMBER(_xll.ciqfunctions.udf.CIQ(N$3, "IQ_BOND_PRICE", $L228))),NA(),_xll.ciqfunctions.udf.CIQ(N$3, "IQ_BOND_PRICE", $L228)),"")</f>
        <v>0</v>
      </c>
      <c r="O228" s="424">
        <f>IF(AND($L228&lt;&gt;"",O$3&lt;&gt;""),IF(NOT(ISNUMBER(_xll.ciqfunctions.udf.CIQ(O$3, "IQ_BOND_PRICE", $L228))),NA(),_xll.ciqfunctions.udf.CIQ(O$3, "IQ_BOND_PRICE", $L228)),"")</f>
        <v>101.22506</v>
      </c>
      <c r="P228" s="424">
        <f>IF(AND($L228&lt;&gt;"",P$3&lt;&gt;""),IF(NOT(ISNUMBER(_xll.ciqfunctions.udf.CIQ(P$3, "IQ_BOND_PRICE", $L228))),NA(),_xll.ciqfunctions.udf.CIQ(P$3, "IQ_BOND_PRICE", $L228)),"")</f>
        <v>101.43176</v>
      </c>
      <c r="Q228" s="424">
        <f>IF(AND($L228&lt;&gt;"",Q$3&lt;&gt;""),IF(NOT(ISNUMBER(_xll.ciqfunctions.udf.CIQ(Q$3, "IQ_BOND_PRICE", $L228))),NA(),_xll.ciqfunctions.udf.CIQ(Q$3, "IQ_BOND_PRICE", $L228)),"")</f>
        <v>103.068</v>
      </c>
      <c r="R228" s="424">
        <f>IF(AND($L228&lt;&gt;"",R$3&lt;&gt;""),IF(NOT(ISNUMBER(_xll.ciqfunctions.udf.CIQ(R$3, "IQ_BOND_PRICE", $L228))),NA(),_xll.ciqfunctions.udf.CIQ(R$3, "IQ_BOND_PRICE", $L228)),"")</f>
        <v>108.831</v>
      </c>
      <c r="S228" s="424">
        <f>IF(AND($L228&lt;&gt;"",S$3&lt;&gt;""),IF(NOT(ISNUMBER(_xll.ciqfunctions.udf.CIQ(S$3, "IQ_BOND_PRICE", $L228))),NA(),_xll.ciqfunctions.udf.CIQ(S$3, "IQ_BOND_PRICE", $L228)),"")</f>
        <v>103.623</v>
      </c>
      <c r="T228" s="424">
        <f>IF(AND($L228&lt;&gt;"",T$3&lt;&gt;""),IF(NOT(ISNUMBER(_xll.ciqfunctions.udf.CIQ(T$3, "IQ_BOND_PRICE", $L228))),NA(),_xll.ciqfunctions.udf.CIQ(T$3, "IQ_BOND_PRICE", $L228)),"")</f>
        <v>103.502</v>
      </c>
      <c r="U228" s="424">
        <f>IF(AND($L228&lt;&gt;"",U$3&lt;&gt;""),IF(NOT(ISNUMBER(_xll.ciqfunctions.udf.CIQ(U$3, "IQ_BOND_PRICE", $L228))),NA(),_xll.ciqfunctions.udf.CIQ(U$3, "IQ_BOND_PRICE", $L228)),"")</f>
        <v>99.792699999999996</v>
      </c>
      <c r="V228" s="424">
        <f>IF(AND($L228&lt;&gt;"",V$3&lt;&gt;""),IF(NOT(ISNUMBER(_xll.ciqfunctions.udf.CIQ(V$3, "IQ_BOND_PRICE", $L228))),NA(),_xll.ciqfunctions.udf.CIQ(V$3, "IQ_BOND_PRICE", $L228)),"")</f>
        <v>103.13328</v>
      </c>
      <c r="W228" s="424">
        <f>IF(AND($L228&lt;&gt;"",W$3&lt;&gt;""),IF(NOT(ISNUMBER(_xll.ciqfunctions.udf.CIQ(W$3, "IQ_BOND_PRICE", $L228))),NA(),_xll.ciqfunctions.udf.CIQ(W$3, "IQ_BOND_PRICE", $L228)),"")</f>
        <v>105.836</v>
      </c>
      <c r="X228" s="424">
        <f>IF(AND($L228&lt;&gt;"",X$3&lt;&gt;""),IF(NOT(ISNUMBER(_xll.ciqfunctions.udf.CIQ(X$3, "IQ_BOND_PRICE", $L228))),NA(),_xll.ciqfunctions.udf.CIQ(X$3, "IQ_BOND_PRICE", $L228)),"")</f>
        <v>108.836</v>
      </c>
      <c r="Y228" s="424">
        <f>IF(AND($L228&lt;&gt;"",Y$3&lt;&gt;""),IF(NOT(ISNUMBER(_xll.ciqfunctions.udf.CIQ(Y$3, "IQ_BOND_PRICE", $L228))),NA(),_xll.ciqfunctions.udf.CIQ(Y$3, "IQ_BOND_PRICE", $L228)),"")</f>
        <v>104.68</v>
      </c>
      <c r="Z228" s="424">
        <f>IF(AND($L228&lt;&gt;"",Z$3&lt;&gt;""),IF(NOT(ISNUMBER(_xll.ciqfunctions.udf.CIQ(Z$3, "IQ_BOND_PRICE", $L228))),NA(),_xll.ciqfunctions.udf.CIQ(Z$3, "IQ_BOND_PRICE", $L228)),"")</f>
        <v>96.655749999999998</v>
      </c>
      <c r="CZ228" s="426"/>
    </row>
    <row r="229" spans="12:104" x14ac:dyDescent="0.2">
      <c r="L229" s="425">
        <f t="shared" si="3"/>
        <v>44593</v>
      </c>
      <c r="M229" s="424">
        <f>IF(AND($L229&lt;&gt;"",M$3&lt;&gt;""),IF(NOT(ISNUMBER(_xll.ciqfunctions.udf.CIQ(M$3, "IQ_BOND_PRICE", $L229))),NA(),_xll.ciqfunctions.udf.CIQ(M$3, "IQ_BOND_PRICE", $L229)),"")</f>
        <v>100.38500000000001</v>
      </c>
      <c r="N229" s="424">
        <f>IF(AND($L229&lt;&gt;"",N$3&lt;&gt;""),IF(NOT(ISNUMBER(_xll.ciqfunctions.udf.CIQ(N$3, "IQ_BOND_PRICE", $L229))),NA(),_xll.ciqfunctions.udf.CIQ(N$3, "IQ_BOND_PRICE", $L229)),"")</f>
        <v>0</v>
      </c>
      <c r="O229" s="424">
        <f>IF(AND($L229&lt;&gt;"",O$3&lt;&gt;""),IF(NOT(ISNUMBER(_xll.ciqfunctions.udf.CIQ(O$3, "IQ_BOND_PRICE", $L229))),NA(),_xll.ciqfunctions.udf.CIQ(O$3, "IQ_BOND_PRICE", $L229)),"")</f>
        <v>101.229</v>
      </c>
      <c r="P229" s="424">
        <f>IF(AND($L229&lt;&gt;"",P$3&lt;&gt;""),IF(NOT(ISNUMBER(_xll.ciqfunctions.udf.CIQ(P$3, "IQ_BOND_PRICE", $L229))),NA(),_xll.ciqfunctions.udf.CIQ(P$3, "IQ_BOND_PRICE", $L229)),"")</f>
        <v>101.44159999999999</v>
      </c>
      <c r="Q229" s="424">
        <f>IF(AND($L229&lt;&gt;"",Q$3&lt;&gt;""),IF(NOT(ISNUMBER(_xll.ciqfunctions.udf.CIQ(Q$3, "IQ_BOND_PRICE", $L229))),NA(),_xll.ciqfunctions.udf.CIQ(Q$3, "IQ_BOND_PRICE", $L229)),"")</f>
        <v>103.09</v>
      </c>
      <c r="R229" s="424">
        <f>IF(AND($L229&lt;&gt;"",R$3&lt;&gt;""),IF(NOT(ISNUMBER(_xll.ciqfunctions.udf.CIQ(R$3, "IQ_BOND_PRICE", $L229))),NA(),_xll.ciqfunctions.udf.CIQ(R$3, "IQ_BOND_PRICE", $L229)),"")</f>
        <v>108.765</v>
      </c>
      <c r="S229" s="424">
        <f>IF(AND($L229&lt;&gt;"",S$3&lt;&gt;""),IF(NOT(ISNUMBER(_xll.ciqfunctions.udf.CIQ(S$3, "IQ_BOND_PRICE", $L229))),NA(),_xll.ciqfunctions.udf.CIQ(S$3, "IQ_BOND_PRICE", $L229)),"")</f>
        <v>103.77500000000001</v>
      </c>
      <c r="T229" s="424">
        <f>IF(AND($L229&lt;&gt;"",T$3&lt;&gt;""),IF(NOT(ISNUMBER(_xll.ciqfunctions.udf.CIQ(T$3, "IQ_BOND_PRICE", $L229))),NA(),_xll.ciqfunctions.udf.CIQ(T$3, "IQ_BOND_PRICE", $L229)),"")</f>
        <v>103.226</v>
      </c>
      <c r="U229" s="424">
        <f>IF(AND($L229&lt;&gt;"",U$3&lt;&gt;""),IF(NOT(ISNUMBER(_xll.ciqfunctions.udf.CIQ(U$3, "IQ_BOND_PRICE", $L229))),NA(),_xll.ciqfunctions.udf.CIQ(U$3, "IQ_BOND_PRICE", $L229)),"")</f>
        <v>99.78201</v>
      </c>
      <c r="V229" s="424">
        <f>IF(AND($L229&lt;&gt;"",V$3&lt;&gt;""),IF(NOT(ISNUMBER(_xll.ciqfunctions.udf.CIQ(V$3, "IQ_BOND_PRICE", $L229))),NA(),_xll.ciqfunctions.udf.CIQ(V$3, "IQ_BOND_PRICE", $L229)),"")</f>
        <v>103.26904999999999</v>
      </c>
      <c r="W229" s="424">
        <f>IF(AND($L229&lt;&gt;"",W$3&lt;&gt;""),IF(NOT(ISNUMBER(_xll.ciqfunctions.udf.CIQ(W$3, "IQ_BOND_PRICE", $L229))),NA(),_xll.ciqfunctions.udf.CIQ(W$3, "IQ_BOND_PRICE", $L229)),"")</f>
        <v>105.637</v>
      </c>
      <c r="X229" s="424">
        <f>IF(AND($L229&lt;&gt;"",X$3&lt;&gt;""),IF(NOT(ISNUMBER(_xll.ciqfunctions.udf.CIQ(X$3, "IQ_BOND_PRICE", $L229))),NA(),_xll.ciqfunctions.udf.CIQ(X$3, "IQ_BOND_PRICE", $L229)),"")</f>
        <v>108.82299999999999</v>
      </c>
      <c r="Y229" s="424">
        <f>IF(AND($L229&lt;&gt;"",Y$3&lt;&gt;""),IF(NOT(ISNUMBER(_xll.ciqfunctions.udf.CIQ(Y$3, "IQ_BOND_PRICE", $L229))),NA(),_xll.ciqfunctions.udf.CIQ(Y$3, "IQ_BOND_PRICE", $L229)),"")</f>
        <v>104.77800000000001</v>
      </c>
      <c r="Z229" s="424">
        <f>IF(AND($L229&lt;&gt;"",Z$3&lt;&gt;""),IF(NOT(ISNUMBER(_xll.ciqfunctions.udf.CIQ(Z$3, "IQ_BOND_PRICE", $L229))),NA(),_xll.ciqfunctions.udf.CIQ(Z$3, "IQ_BOND_PRICE", $L229)),"")</f>
        <v>96.636120000000005</v>
      </c>
      <c r="CZ229" s="426"/>
    </row>
    <row r="230" spans="12:104" x14ac:dyDescent="0.2">
      <c r="L230" s="425">
        <f t="shared" si="3"/>
        <v>44594</v>
      </c>
      <c r="M230" s="424">
        <f>IF(AND($L230&lt;&gt;"",M$3&lt;&gt;""),IF(NOT(ISNUMBER(_xll.ciqfunctions.udf.CIQ(M$3, "IQ_BOND_PRICE", $L230))),NA(),_xll.ciqfunctions.udf.CIQ(M$3, "IQ_BOND_PRICE", $L230)),"")</f>
        <v>100.38200000000001</v>
      </c>
      <c r="N230" s="424">
        <f>IF(AND($L230&lt;&gt;"",N$3&lt;&gt;""),IF(NOT(ISNUMBER(_xll.ciqfunctions.udf.CIQ(N$3, "IQ_BOND_PRICE", $L230))),NA(),_xll.ciqfunctions.udf.CIQ(N$3, "IQ_BOND_PRICE", $L230)),"")</f>
        <v>0</v>
      </c>
      <c r="O230" s="424">
        <f>IF(AND($L230&lt;&gt;"",O$3&lt;&gt;""),IF(NOT(ISNUMBER(_xll.ciqfunctions.udf.CIQ(O$3, "IQ_BOND_PRICE", $L230))),NA(),_xll.ciqfunctions.udf.CIQ(O$3, "IQ_BOND_PRICE", $L230)),"")</f>
        <v>101.229</v>
      </c>
      <c r="P230" s="424">
        <f>IF(AND($L230&lt;&gt;"",P$3&lt;&gt;""),IF(NOT(ISNUMBER(_xll.ciqfunctions.udf.CIQ(P$3, "IQ_BOND_PRICE", $L230))),NA(),_xll.ciqfunctions.udf.CIQ(P$3, "IQ_BOND_PRICE", $L230)),"")</f>
        <v>101.44637</v>
      </c>
      <c r="Q230" s="424">
        <f>IF(AND($L230&lt;&gt;"",Q$3&lt;&gt;""),IF(NOT(ISNUMBER(_xll.ciqfunctions.udf.CIQ(Q$3, "IQ_BOND_PRICE", $L230))),NA(),_xll.ciqfunctions.udf.CIQ(Q$3, "IQ_BOND_PRICE", $L230)),"")</f>
        <v>103.078</v>
      </c>
      <c r="R230" s="424">
        <f>IF(AND($L230&lt;&gt;"",R$3&lt;&gt;""),IF(NOT(ISNUMBER(_xll.ciqfunctions.udf.CIQ(R$3, "IQ_BOND_PRICE", $L230))),NA(),_xll.ciqfunctions.udf.CIQ(R$3, "IQ_BOND_PRICE", $L230)),"")</f>
        <v>108.761</v>
      </c>
      <c r="S230" s="424">
        <f>IF(AND($L230&lt;&gt;"",S$3&lt;&gt;""),IF(NOT(ISNUMBER(_xll.ciqfunctions.udf.CIQ(S$3, "IQ_BOND_PRICE", $L230))),NA(),_xll.ciqfunctions.udf.CIQ(S$3, "IQ_BOND_PRICE", $L230)),"")</f>
        <v>103.876</v>
      </c>
      <c r="T230" s="424">
        <f>IF(AND($L230&lt;&gt;"",T$3&lt;&gt;""),IF(NOT(ISNUMBER(_xll.ciqfunctions.udf.CIQ(T$3, "IQ_BOND_PRICE", $L230))),NA(),_xll.ciqfunctions.udf.CIQ(T$3, "IQ_BOND_PRICE", $L230)),"")</f>
        <v>103.245</v>
      </c>
      <c r="U230" s="424">
        <f>IF(AND($L230&lt;&gt;"",U$3&lt;&gt;""),IF(NOT(ISNUMBER(_xll.ciqfunctions.udf.CIQ(U$3, "IQ_BOND_PRICE", $L230))),NA(),_xll.ciqfunctions.udf.CIQ(U$3, "IQ_BOND_PRICE", $L230)),"")</f>
        <v>99.790679999999995</v>
      </c>
      <c r="V230" s="424">
        <f>IF(AND($L230&lt;&gt;"",V$3&lt;&gt;""),IF(NOT(ISNUMBER(_xll.ciqfunctions.udf.CIQ(V$3, "IQ_BOND_PRICE", $L230))),NA(),_xll.ciqfunctions.udf.CIQ(V$3, "IQ_BOND_PRICE", $L230)),"")</f>
        <v>103.29151</v>
      </c>
      <c r="W230" s="424">
        <f>IF(AND($L230&lt;&gt;"",W$3&lt;&gt;""),IF(NOT(ISNUMBER(_xll.ciqfunctions.udf.CIQ(W$3, "IQ_BOND_PRICE", $L230))),NA(),_xll.ciqfunctions.udf.CIQ(W$3, "IQ_BOND_PRICE", $L230)),"")</f>
        <v>105.684</v>
      </c>
      <c r="X230" s="424">
        <f>IF(AND($L230&lt;&gt;"",X$3&lt;&gt;""),IF(NOT(ISNUMBER(_xll.ciqfunctions.udf.CIQ(X$3, "IQ_BOND_PRICE", $L230))),NA(),_xll.ciqfunctions.udf.CIQ(X$3, "IQ_BOND_PRICE", $L230)),"")</f>
        <v>108.748</v>
      </c>
      <c r="Y230" s="424">
        <f>IF(AND($L230&lt;&gt;"",Y$3&lt;&gt;""),IF(NOT(ISNUMBER(_xll.ciqfunctions.udf.CIQ(Y$3, "IQ_BOND_PRICE", $L230))),NA(),_xll.ciqfunctions.udf.CIQ(Y$3, "IQ_BOND_PRICE", $L230)),"")</f>
        <v>104.871</v>
      </c>
      <c r="Z230" s="424">
        <f>IF(AND($L230&lt;&gt;"",Z$3&lt;&gt;""),IF(NOT(ISNUMBER(_xll.ciqfunctions.udf.CIQ(Z$3, "IQ_BOND_PRICE", $L230))),NA(),_xll.ciqfunctions.udf.CIQ(Z$3, "IQ_BOND_PRICE", $L230)),"")</f>
        <v>96.780839999999998</v>
      </c>
      <c r="CZ230" s="426"/>
    </row>
    <row r="231" spans="12:104" x14ac:dyDescent="0.2">
      <c r="L231" s="425">
        <f t="shared" si="3"/>
        <v>44595</v>
      </c>
      <c r="M231" s="424">
        <f>IF(AND($L231&lt;&gt;"",M$3&lt;&gt;""),IF(NOT(ISNUMBER(_xll.ciqfunctions.udf.CIQ(M$3, "IQ_BOND_PRICE", $L231))),NA(),_xll.ciqfunctions.udf.CIQ(M$3, "IQ_BOND_PRICE", $L231)),"")</f>
        <v>100.36</v>
      </c>
      <c r="N231" s="424">
        <f>IF(AND($L231&lt;&gt;"",N$3&lt;&gt;""),IF(NOT(ISNUMBER(_xll.ciqfunctions.udf.CIQ(N$3, "IQ_BOND_PRICE", $L231))),NA(),_xll.ciqfunctions.udf.CIQ(N$3, "IQ_BOND_PRICE", $L231)),"")</f>
        <v>0</v>
      </c>
      <c r="O231" s="424">
        <f>IF(AND($L231&lt;&gt;"",O$3&lt;&gt;""),IF(NOT(ISNUMBER(_xll.ciqfunctions.udf.CIQ(O$3, "IQ_BOND_PRICE", $L231))),NA(),_xll.ciqfunctions.udf.CIQ(O$3, "IQ_BOND_PRICE", $L231)),"")</f>
        <v>101.25593000000001</v>
      </c>
      <c r="P231" s="424">
        <f>IF(AND($L231&lt;&gt;"",P$3&lt;&gt;""),IF(NOT(ISNUMBER(_xll.ciqfunctions.udf.CIQ(P$3, "IQ_BOND_PRICE", $L231))),NA(),_xll.ciqfunctions.udf.CIQ(P$3, "IQ_BOND_PRICE", $L231)),"")</f>
        <v>101.39968</v>
      </c>
      <c r="Q231" s="424">
        <f>IF(AND($L231&lt;&gt;"",Q$3&lt;&gt;""),IF(NOT(ISNUMBER(_xll.ciqfunctions.udf.CIQ(Q$3, "IQ_BOND_PRICE", $L231))),NA(),_xll.ciqfunctions.udf.CIQ(Q$3, "IQ_BOND_PRICE", $L231)),"")</f>
        <v>103.01</v>
      </c>
      <c r="R231" s="424">
        <f>IF(AND($L231&lt;&gt;"",R$3&lt;&gt;""),IF(NOT(ISNUMBER(_xll.ciqfunctions.udf.CIQ(R$3, "IQ_BOND_PRICE", $L231))),NA(),_xll.ciqfunctions.udf.CIQ(R$3, "IQ_BOND_PRICE", $L231)),"")</f>
        <v>108.66800000000001</v>
      </c>
      <c r="S231" s="424">
        <f>IF(AND($L231&lt;&gt;"",S$3&lt;&gt;""),IF(NOT(ISNUMBER(_xll.ciqfunctions.udf.CIQ(S$3, "IQ_BOND_PRICE", $L231))),NA(),_xll.ciqfunctions.udf.CIQ(S$3, "IQ_BOND_PRICE", $L231)),"")</f>
        <v>103.681</v>
      </c>
      <c r="T231" s="424">
        <f>IF(AND($L231&lt;&gt;"",T$3&lt;&gt;""),IF(NOT(ISNUMBER(_xll.ciqfunctions.udf.CIQ(T$3, "IQ_BOND_PRICE", $L231))),NA(),_xll.ciqfunctions.udf.CIQ(T$3, "IQ_BOND_PRICE", $L231)),"")</f>
        <v>103.148</v>
      </c>
      <c r="U231" s="424">
        <f>IF(AND($L231&lt;&gt;"",U$3&lt;&gt;""),IF(NOT(ISNUMBER(_xll.ciqfunctions.udf.CIQ(U$3, "IQ_BOND_PRICE", $L231))),NA(),_xll.ciqfunctions.udf.CIQ(U$3, "IQ_BOND_PRICE", $L231)),"")</f>
        <v>99.793009999999995</v>
      </c>
      <c r="V231" s="424">
        <f>IF(AND($L231&lt;&gt;"",V$3&lt;&gt;""),IF(NOT(ISNUMBER(_xll.ciqfunctions.udf.CIQ(V$3, "IQ_BOND_PRICE", $L231))),NA(),_xll.ciqfunctions.udf.CIQ(V$3, "IQ_BOND_PRICE", $L231)),"")</f>
        <v>103.15458</v>
      </c>
      <c r="W231" s="424">
        <f>IF(AND($L231&lt;&gt;"",W$3&lt;&gt;""),IF(NOT(ISNUMBER(_xll.ciqfunctions.udf.CIQ(W$3, "IQ_BOND_PRICE", $L231))),NA(),_xll.ciqfunctions.udf.CIQ(W$3, "IQ_BOND_PRICE", $L231)),"")</f>
        <v>105.511</v>
      </c>
      <c r="X231" s="424">
        <f>IF(AND($L231&lt;&gt;"",X$3&lt;&gt;""),IF(NOT(ISNUMBER(_xll.ciqfunctions.udf.CIQ(X$3, "IQ_BOND_PRICE", $L231))),NA(),_xll.ciqfunctions.udf.CIQ(X$3, "IQ_BOND_PRICE", $L231)),"")</f>
        <v>108.145</v>
      </c>
      <c r="Y231" s="424">
        <f>IF(AND($L231&lt;&gt;"",Y$3&lt;&gt;""),IF(NOT(ISNUMBER(_xll.ciqfunctions.udf.CIQ(Y$3, "IQ_BOND_PRICE", $L231))),NA(),_xll.ciqfunctions.udf.CIQ(Y$3, "IQ_BOND_PRICE", $L231)),"")</f>
        <v>104.608</v>
      </c>
      <c r="Z231" s="424">
        <f>IF(AND($L231&lt;&gt;"",Z$3&lt;&gt;""),IF(NOT(ISNUMBER(_xll.ciqfunctions.udf.CIQ(Z$3, "IQ_BOND_PRICE", $L231))),NA(),_xll.ciqfunctions.udf.CIQ(Z$3, "IQ_BOND_PRICE", $L231)),"")</f>
        <v>96.612889999999993</v>
      </c>
      <c r="CZ231" s="426"/>
    </row>
    <row r="232" spans="12:104" x14ac:dyDescent="0.2">
      <c r="L232" s="425">
        <f t="shared" si="3"/>
        <v>44596</v>
      </c>
      <c r="M232" s="424">
        <f>IF(AND($L232&lt;&gt;"",M$3&lt;&gt;""),IF(NOT(ISNUMBER(_xll.ciqfunctions.udf.CIQ(M$3, "IQ_BOND_PRICE", $L232))),NA(),_xll.ciqfunctions.udf.CIQ(M$3, "IQ_BOND_PRICE", $L232)),"")</f>
        <v>100.265</v>
      </c>
      <c r="N232" s="424">
        <f>IF(AND($L232&lt;&gt;"",N$3&lt;&gt;""),IF(NOT(ISNUMBER(_xll.ciqfunctions.udf.CIQ(N$3, "IQ_BOND_PRICE", $L232))),NA(),_xll.ciqfunctions.udf.CIQ(N$3, "IQ_BOND_PRICE", $L232)),"")</f>
        <v>0</v>
      </c>
      <c r="O232" s="424">
        <f>IF(AND($L232&lt;&gt;"",O$3&lt;&gt;""),IF(NOT(ISNUMBER(_xll.ciqfunctions.udf.CIQ(O$3, "IQ_BOND_PRICE", $L232))),NA(),_xll.ciqfunctions.udf.CIQ(O$3, "IQ_BOND_PRICE", $L232)),"")</f>
        <v>101.15331</v>
      </c>
      <c r="P232" s="424">
        <f>IF(AND($L232&lt;&gt;"",P$3&lt;&gt;""),IF(NOT(ISNUMBER(_xll.ciqfunctions.udf.CIQ(P$3, "IQ_BOND_PRICE", $L232))),NA(),_xll.ciqfunctions.udf.CIQ(P$3, "IQ_BOND_PRICE", $L232)),"")</f>
        <v>101.25734</v>
      </c>
      <c r="Q232" s="424">
        <f>IF(AND($L232&lt;&gt;"",Q$3&lt;&gt;""),IF(NOT(ISNUMBER(_xll.ciqfunctions.udf.CIQ(Q$3, "IQ_BOND_PRICE", $L232))),NA(),_xll.ciqfunctions.udf.CIQ(Q$3, "IQ_BOND_PRICE", $L232)),"")</f>
        <v>102.836</v>
      </c>
      <c r="R232" s="424">
        <f>IF(AND($L232&lt;&gt;"",R$3&lt;&gt;""),IF(NOT(ISNUMBER(_xll.ciqfunctions.udf.CIQ(R$3, "IQ_BOND_PRICE", $L232))),NA(),_xll.ciqfunctions.udf.CIQ(R$3, "IQ_BOND_PRICE", $L232)),"")</f>
        <v>108.56399999999999</v>
      </c>
      <c r="S232" s="424">
        <f>IF(AND($L232&lt;&gt;"",S$3&lt;&gt;""),IF(NOT(ISNUMBER(_xll.ciqfunctions.udf.CIQ(S$3, "IQ_BOND_PRICE", $L232))),NA(),_xll.ciqfunctions.udf.CIQ(S$3, "IQ_BOND_PRICE", $L232)),"")</f>
        <v>103.544</v>
      </c>
      <c r="T232" s="424">
        <f>IF(AND($L232&lt;&gt;"",T$3&lt;&gt;""),IF(NOT(ISNUMBER(_xll.ciqfunctions.udf.CIQ(T$3, "IQ_BOND_PRICE", $L232))),NA(),_xll.ciqfunctions.udf.CIQ(T$3, "IQ_BOND_PRICE", $L232)),"")</f>
        <v>102.941</v>
      </c>
      <c r="U232" s="424">
        <f>IF(AND($L232&lt;&gt;"",U$3&lt;&gt;""),IF(NOT(ISNUMBER(_xll.ciqfunctions.udf.CIQ(U$3, "IQ_BOND_PRICE", $L232))),NA(),_xll.ciqfunctions.udf.CIQ(U$3, "IQ_BOND_PRICE", $L232)),"")</f>
        <v>99.75855</v>
      </c>
      <c r="V232" s="424">
        <f>IF(AND($L232&lt;&gt;"",V$3&lt;&gt;""),IF(NOT(ISNUMBER(_xll.ciqfunctions.udf.CIQ(V$3, "IQ_BOND_PRICE", $L232))),NA(),_xll.ciqfunctions.udf.CIQ(V$3, "IQ_BOND_PRICE", $L232)),"")</f>
        <v>102.80942</v>
      </c>
      <c r="W232" s="424">
        <f>IF(AND($L232&lt;&gt;"",W$3&lt;&gt;""),IF(NOT(ISNUMBER(_xll.ciqfunctions.udf.CIQ(W$3, "IQ_BOND_PRICE", $L232))),NA(),_xll.ciqfunctions.udf.CIQ(W$3, "IQ_BOND_PRICE", $L232)),"")</f>
        <v>105.349</v>
      </c>
      <c r="X232" s="424">
        <f>IF(AND($L232&lt;&gt;"",X$3&lt;&gt;""),IF(NOT(ISNUMBER(_xll.ciqfunctions.udf.CIQ(X$3, "IQ_BOND_PRICE", $L232))),NA(),_xll.ciqfunctions.udf.CIQ(X$3, "IQ_BOND_PRICE", $L232)),"")</f>
        <v>107.494</v>
      </c>
      <c r="Y232" s="424">
        <f>IF(AND($L232&lt;&gt;"",Y$3&lt;&gt;""),IF(NOT(ISNUMBER(_xll.ciqfunctions.udf.CIQ(Y$3, "IQ_BOND_PRICE", $L232))),NA(),_xll.ciqfunctions.udf.CIQ(Y$3, "IQ_BOND_PRICE", $L232)),"")</f>
        <v>104.27800000000001</v>
      </c>
      <c r="Z232" s="424">
        <f>IF(AND($L232&lt;&gt;"",Z$3&lt;&gt;""),IF(NOT(ISNUMBER(_xll.ciqfunctions.udf.CIQ(Z$3, "IQ_BOND_PRICE", $L232))),NA(),_xll.ciqfunctions.udf.CIQ(Z$3, "IQ_BOND_PRICE", $L232)),"")</f>
        <v>95.897790000000001</v>
      </c>
      <c r="CZ232" s="426"/>
    </row>
    <row r="233" spans="12:104" x14ac:dyDescent="0.2">
      <c r="L233" s="425">
        <f t="shared" si="3"/>
        <v>44599</v>
      </c>
      <c r="M233" s="424">
        <f>IF(AND($L233&lt;&gt;"",M$3&lt;&gt;""),IF(NOT(ISNUMBER(_xll.ciqfunctions.udf.CIQ(M$3, "IQ_BOND_PRICE", $L233))),NA(),_xll.ciqfunctions.udf.CIQ(M$3, "IQ_BOND_PRICE", $L233)),"")</f>
        <v>100.16500000000001</v>
      </c>
      <c r="N233" s="424">
        <f>IF(AND($L233&lt;&gt;"",N$3&lt;&gt;""),IF(NOT(ISNUMBER(_xll.ciqfunctions.udf.CIQ(N$3, "IQ_BOND_PRICE", $L233))),NA(),_xll.ciqfunctions.udf.CIQ(N$3, "IQ_BOND_PRICE", $L233)),"")</f>
        <v>0</v>
      </c>
      <c r="O233" s="424">
        <f>IF(AND($L233&lt;&gt;"",O$3&lt;&gt;""),IF(NOT(ISNUMBER(_xll.ciqfunctions.udf.CIQ(O$3, "IQ_BOND_PRICE", $L233))),NA(),_xll.ciqfunctions.udf.CIQ(O$3, "IQ_BOND_PRICE", $L233)),"")</f>
        <v>101.15375</v>
      </c>
      <c r="P233" s="424">
        <f>IF(AND($L233&lt;&gt;"",P$3&lt;&gt;""),IF(NOT(ISNUMBER(_xll.ciqfunctions.udf.CIQ(P$3, "IQ_BOND_PRICE", $L233))),NA(),_xll.ciqfunctions.udf.CIQ(P$3, "IQ_BOND_PRICE", $L233)),"")</f>
        <v>101.27538</v>
      </c>
      <c r="Q233" s="424">
        <f>IF(AND($L233&lt;&gt;"",Q$3&lt;&gt;""),IF(NOT(ISNUMBER(_xll.ciqfunctions.udf.CIQ(Q$3, "IQ_BOND_PRICE", $L233))),NA(),_xll.ciqfunctions.udf.CIQ(Q$3, "IQ_BOND_PRICE", $L233)),"")</f>
        <v>102.88200000000001</v>
      </c>
      <c r="R233" s="424">
        <f>IF(AND($L233&lt;&gt;"",R$3&lt;&gt;""),IF(NOT(ISNUMBER(_xll.ciqfunctions.udf.CIQ(R$3, "IQ_BOND_PRICE", $L233))),NA(),_xll.ciqfunctions.udf.CIQ(R$3, "IQ_BOND_PRICE", $L233)),"")</f>
        <v>108.61</v>
      </c>
      <c r="S233" s="424">
        <f>IF(AND($L233&lt;&gt;"",S$3&lt;&gt;""),IF(NOT(ISNUMBER(_xll.ciqfunctions.udf.CIQ(S$3, "IQ_BOND_PRICE", $L233))),NA(),_xll.ciqfunctions.udf.CIQ(S$3, "IQ_BOND_PRICE", $L233)),"")</f>
        <v>103.586</v>
      </c>
      <c r="T233" s="424">
        <f>IF(AND($L233&lt;&gt;"",T$3&lt;&gt;""),IF(NOT(ISNUMBER(_xll.ciqfunctions.udf.CIQ(T$3, "IQ_BOND_PRICE", $L233))),NA(),_xll.ciqfunctions.udf.CIQ(T$3, "IQ_BOND_PRICE", $L233)),"")</f>
        <v>102.99299999999999</v>
      </c>
      <c r="U233" s="424">
        <f>IF(AND($L233&lt;&gt;"",U$3&lt;&gt;""),IF(NOT(ISNUMBER(_xll.ciqfunctions.udf.CIQ(U$3, "IQ_BOND_PRICE", $L233))),NA(),_xll.ciqfunctions.udf.CIQ(U$3, "IQ_BOND_PRICE", $L233)),"")</f>
        <v>99.72533</v>
      </c>
      <c r="V233" s="424">
        <f>IF(AND($L233&lt;&gt;"",V$3&lt;&gt;""),IF(NOT(ISNUMBER(_xll.ciqfunctions.udf.CIQ(V$3, "IQ_BOND_PRICE", $L233))),NA(),_xll.ciqfunctions.udf.CIQ(V$3, "IQ_BOND_PRICE", $L233)),"")</f>
        <v>102.86939</v>
      </c>
      <c r="W233" s="424">
        <f>IF(AND($L233&lt;&gt;"",W$3&lt;&gt;""),IF(NOT(ISNUMBER(_xll.ciqfunctions.udf.CIQ(W$3, "IQ_BOND_PRICE", $L233))),NA(),_xll.ciqfunctions.udf.CIQ(W$3, "IQ_BOND_PRICE", $L233)),"")</f>
        <v>105.441</v>
      </c>
      <c r="X233" s="424">
        <f>IF(AND($L233&lt;&gt;"",X$3&lt;&gt;""),IF(NOT(ISNUMBER(_xll.ciqfunctions.udf.CIQ(X$3, "IQ_BOND_PRICE", $L233))),NA(),_xll.ciqfunctions.udf.CIQ(X$3, "IQ_BOND_PRICE", $L233)),"")</f>
        <v>107.373</v>
      </c>
      <c r="Y233" s="424">
        <f>IF(AND($L233&lt;&gt;"",Y$3&lt;&gt;""),IF(NOT(ISNUMBER(_xll.ciqfunctions.udf.CIQ(Y$3, "IQ_BOND_PRICE", $L233))),NA(),_xll.ciqfunctions.udf.CIQ(Y$3, "IQ_BOND_PRICE", $L233)),"")</f>
        <v>104.176</v>
      </c>
      <c r="Z233" s="424">
        <f>IF(AND($L233&lt;&gt;"",Z$3&lt;&gt;""),IF(NOT(ISNUMBER(_xll.ciqfunctions.udf.CIQ(Z$3, "IQ_BOND_PRICE", $L233))),NA(),_xll.ciqfunctions.udf.CIQ(Z$3, "IQ_BOND_PRICE", $L233)),"")</f>
        <v>95.991839999999996</v>
      </c>
      <c r="CZ233" s="426"/>
    </row>
    <row r="234" spans="12:104" x14ac:dyDescent="0.2">
      <c r="L234" s="425">
        <f t="shared" si="3"/>
        <v>44600</v>
      </c>
      <c r="M234" s="424">
        <f>IF(AND($L234&lt;&gt;"",M$3&lt;&gt;""),IF(NOT(ISNUMBER(_xll.ciqfunctions.udf.CIQ(M$3, "IQ_BOND_PRICE", $L234))),NA(),_xll.ciqfunctions.udf.CIQ(M$3, "IQ_BOND_PRICE", $L234)),"")</f>
        <v>100.16200000000001</v>
      </c>
      <c r="N234" s="424">
        <f>IF(AND($L234&lt;&gt;"",N$3&lt;&gt;""),IF(NOT(ISNUMBER(_xll.ciqfunctions.udf.CIQ(N$3, "IQ_BOND_PRICE", $L234))),NA(),_xll.ciqfunctions.udf.CIQ(N$3, "IQ_BOND_PRICE", $L234)),"")</f>
        <v>0</v>
      </c>
      <c r="O234" s="424">
        <f>IF(AND($L234&lt;&gt;"",O$3&lt;&gt;""),IF(NOT(ISNUMBER(_xll.ciqfunctions.udf.CIQ(O$3, "IQ_BOND_PRICE", $L234))),NA(),_xll.ciqfunctions.udf.CIQ(O$3, "IQ_BOND_PRICE", $L234)),"")</f>
        <v>101.21895000000001</v>
      </c>
      <c r="P234" s="424">
        <f>IF(AND($L234&lt;&gt;"",P$3&lt;&gt;""),IF(NOT(ISNUMBER(_xll.ciqfunctions.udf.CIQ(P$3, "IQ_BOND_PRICE", $L234))),NA(),_xll.ciqfunctions.udf.CIQ(P$3, "IQ_BOND_PRICE", $L234)),"")</f>
        <v>101.23196</v>
      </c>
      <c r="Q234" s="424">
        <f>IF(AND($L234&lt;&gt;"",Q$3&lt;&gt;""),IF(NOT(ISNUMBER(_xll.ciqfunctions.udf.CIQ(Q$3, "IQ_BOND_PRICE", $L234))),NA(),_xll.ciqfunctions.udf.CIQ(Q$3, "IQ_BOND_PRICE", $L234)),"")</f>
        <v>102.825</v>
      </c>
      <c r="R234" s="424">
        <f>IF(AND($L234&lt;&gt;"",R$3&lt;&gt;""),IF(NOT(ISNUMBER(_xll.ciqfunctions.udf.CIQ(R$3, "IQ_BOND_PRICE", $L234))),NA(),_xll.ciqfunctions.udf.CIQ(R$3, "IQ_BOND_PRICE", $L234)),"")</f>
        <v>108.52500000000001</v>
      </c>
      <c r="S234" s="424">
        <f>IF(AND($L234&lt;&gt;"",S$3&lt;&gt;""),IF(NOT(ISNUMBER(_xll.ciqfunctions.udf.CIQ(S$3, "IQ_BOND_PRICE", $L234))),NA(),_xll.ciqfunctions.udf.CIQ(S$3, "IQ_BOND_PRICE", $L234)),"")</f>
        <v>103.477</v>
      </c>
      <c r="T234" s="424">
        <f>IF(AND($L234&lt;&gt;"",T$3&lt;&gt;""),IF(NOT(ISNUMBER(_xll.ciqfunctions.udf.CIQ(T$3, "IQ_BOND_PRICE", $L234))),NA(),_xll.ciqfunctions.udf.CIQ(T$3, "IQ_BOND_PRICE", $L234)),"")</f>
        <v>102.89</v>
      </c>
      <c r="U234" s="424">
        <f>IF(AND($L234&lt;&gt;"",U$3&lt;&gt;""),IF(NOT(ISNUMBER(_xll.ciqfunctions.udf.CIQ(U$3, "IQ_BOND_PRICE", $L234))),NA(),_xll.ciqfunctions.udf.CIQ(U$3, "IQ_BOND_PRICE", $L234)),"")</f>
        <v>99.697379999999995</v>
      </c>
      <c r="V234" s="424">
        <f>IF(AND($L234&lt;&gt;"",V$3&lt;&gt;""),IF(NOT(ISNUMBER(_xll.ciqfunctions.udf.CIQ(V$3, "IQ_BOND_PRICE", $L234))),NA(),_xll.ciqfunctions.udf.CIQ(V$3, "IQ_BOND_PRICE", $L234)),"")</f>
        <v>102.75207</v>
      </c>
      <c r="W234" s="424">
        <f>IF(AND($L234&lt;&gt;"",W$3&lt;&gt;""),IF(NOT(ISNUMBER(_xll.ciqfunctions.udf.CIQ(W$3, "IQ_BOND_PRICE", $L234))),NA(),_xll.ciqfunctions.udf.CIQ(W$3, "IQ_BOND_PRICE", $L234)),"")</f>
        <v>105.367</v>
      </c>
      <c r="X234" s="424">
        <f>IF(AND($L234&lt;&gt;"",X$3&lt;&gt;""),IF(NOT(ISNUMBER(_xll.ciqfunctions.udf.CIQ(X$3, "IQ_BOND_PRICE", $L234))),NA(),_xll.ciqfunctions.udf.CIQ(X$3, "IQ_BOND_PRICE", $L234)),"")</f>
        <v>107.43300000000001</v>
      </c>
      <c r="Y234" s="424">
        <f>IF(AND($L234&lt;&gt;"",Y$3&lt;&gt;""),IF(NOT(ISNUMBER(_xll.ciqfunctions.udf.CIQ(Y$3, "IQ_BOND_PRICE", $L234))),NA(),_xll.ciqfunctions.udf.CIQ(Y$3, "IQ_BOND_PRICE", $L234)),"")</f>
        <v>103.994</v>
      </c>
      <c r="Z234" s="424">
        <f>IF(AND($L234&lt;&gt;"",Z$3&lt;&gt;""),IF(NOT(ISNUMBER(_xll.ciqfunctions.udf.CIQ(Z$3, "IQ_BOND_PRICE", $L234))),NA(),_xll.ciqfunctions.udf.CIQ(Z$3, "IQ_BOND_PRICE", $L234)),"")</f>
        <v>96.090969999999999</v>
      </c>
      <c r="CZ234" s="426"/>
    </row>
    <row r="235" spans="12:104" x14ac:dyDescent="0.2">
      <c r="L235" s="425">
        <f t="shared" si="3"/>
        <v>44601</v>
      </c>
      <c r="M235" s="424">
        <f>IF(AND($L235&lt;&gt;"",M$3&lt;&gt;""),IF(NOT(ISNUMBER(_xll.ciqfunctions.udf.CIQ(M$3, "IQ_BOND_PRICE", $L235))),NA(),_xll.ciqfunctions.udf.CIQ(M$3, "IQ_BOND_PRICE", $L235)),"")</f>
        <v>100.154</v>
      </c>
      <c r="N235" s="424">
        <f>IF(AND($L235&lt;&gt;"",N$3&lt;&gt;""),IF(NOT(ISNUMBER(_xll.ciqfunctions.udf.CIQ(N$3, "IQ_BOND_PRICE", $L235))),NA(),_xll.ciqfunctions.udf.CIQ(N$3, "IQ_BOND_PRICE", $L235)),"")</f>
        <v>0</v>
      </c>
      <c r="O235" s="424">
        <f>IF(AND($L235&lt;&gt;"",O$3&lt;&gt;""),IF(NOT(ISNUMBER(_xll.ciqfunctions.udf.CIQ(O$3, "IQ_BOND_PRICE", $L235))),NA(),_xll.ciqfunctions.udf.CIQ(O$3, "IQ_BOND_PRICE", $L235)),"")</f>
        <v>101.15522</v>
      </c>
      <c r="P235" s="424">
        <f>IF(AND($L235&lt;&gt;"",P$3&lt;&gt;""),IF(NOT(ISNUMBER(_xll.ciqfunctions.udf.CIQ(P$3, "IQ_BOND_PRICE", $L235))),NA(),_xll.ciqfunctions.udf.CIQ(P$3, "IQ_BOND_PRICE", $L235)),"")</f>
        <v>101.2221</v>
      </c>
      <c r="Q235" s="424">
        <f>IF(AND($L235&lt;&gt;"",Q$3&lt;&gt;""),IF(NOT(ISNUMBER(_xll.ciqfunctions.udf.CIQ(Q$3, "IQ_BOND_PRICE", $L235))),NA(),_xll.ciqfunctions.udf.CIQ(Q$3, "IQ_BOND_PRICE", $L235)),"")</f>
        <v>102.81</v>
      </c>
      <c r="R235" s="424">
        <f>IF(AND($L235&lt;&gt;"",R$3&lt;&gt;""),IF(NOT(ISNUMBER(_xll.ciqfunctions.udf.CIQ(R$3, "IQ_BOND_PRICE", $L235))),NA(),_xll.ciqfunctions.udf.CIQ(R$3, "IQ_BOND_PRICE", $L235)),"")</f>
        <v>108.55</v>
      </c>
      <c r="S235" s="424">
        <f>IF(AND($L235&lt;&gt;"",S$3&lt;&gt;""),IF(NOT(ISNUMBER(_xll.ciqfunctions.udf.CIQ(S$3, "IQ_BOND_PRICE", $L235))),NA(),_xll.ciqfunctions.udf.CIQ(S$3, "IQ_BOND_PRICE", $L235)),"")</f>
        <v>103.53700000000001</v>
      </c>
      <c r="T235" s="424">
        <f>IF(AND($L235&lt;&gt;"",T$3&lt;&gt;""),IF(NOT(ISNUMBER(_xll.ciqfunctions.udf.CIQ(T$3, "IQ_BOND_PRICE", $L235))),NA(),_xll.ciqfunctions.udf.CIQ(T$3, "IQ_BOND_PRICE", $L235)),"")</f>
        <v>103.01</v>
      </c>
      <c r="U235" s="424">
        <f>IF(AND($L235&lt;&gt;"",U$3&lt;&gt;""),IF(NOT(ISNUMBER(_xll.ciqfunctions.udf.CIQ(U$3, "IQ_BOND_PRICE", $L235))),NA(),_xll.ciqfunctions.udf.CIQ(U$3, "IQ_BOND_PRICE", $L235)),"")</f>
        <v>99.736069999999998</v>
      </c>
      <c r="V235" s="424">
        <f>IF(AND($L235&lt;&gt;"",V$3&lt;&gt;""),IF(NOT(ISNUMBER(_xll.ciqfunctions.udf.CIQ(V$3, "IQ_BOND_PRICE", $L235))),NA(),_xll.ciqfunctions.udf.CIQ(V$3, "IQ_BOND_PRICE", $L235)),"")</f>
        <v>102.73143</v>
      </c>
      <c r="W235" s="424">
        <f>IF(AND($L235&lt;&gt;"",W$3&lt;&gt;""),IF(NOT(ISNUMBER(_xll.ciqfunctions.udf.CIQ(W$3, "IQ_BOND_PRICE", $L235))),NA(),_xll.ciqfunctions.udf.CIQ(W$3, "IQ_BOND_PRICE", $L235)),"")</f>
        <v>105.47499999999999</v>
      </c>
      <c r="X235" s="424">
        <f>IF(AND($L235&lt;&gt;"",X$3&lt;&gt;""),IF(NOT(ISNUMBER(_xll.ciqfunctions.udf.CIQ(X$3, "IQ_BOND_PRICE", $L235))),NA(),_xll.ciqfunctions.udf.CIQ(X$3, "IQ_BOND_PRICE", $L235)),"")</f>
        <v>107.67700000000001</v>
      </c>
      <c r="Y235" s="424">
        <f>IF(AND($L235&lt;&gt;"",Y$3&lt;&gt;""),IF(NOT(ISNUMBER(_xll.ciqfunctions.udf.CIQ(Y$3, "IQ_BOND_PRICE", $L235))),NA(),_xll.ciqfunctions.udf.CIQ(Y$3, "IQ_BOND_PRICE", $L235)),"")</f>
        <v>104.25</v>
      </c>
      <c r="Z235" s="424">
        <f>IF(AND($L235&lt;&gt;"",Z$3&lt;&gt;""),IF(NOT(ISNUMBER(_xll.ciqfunctions.udf.CIQ(Z$3, "IQ_BOND_PRICE", $L235))),NA(),_xll.ciqfunctions.udf.CIQ(Z$3, "IQ_BOND_PRICE", $L235)),"")</f>
        <v>96.135289999999998</v>
      </c>
      <c r="CZ235" s="426"/>
    </row>
    <row r="236" spans="12:104" x14ac:dyDescent="0.2">
      <c r="L236" s="425">
        <f t="shared" si="3"/>
        <v>44602</v>
      </c>
      <c r="M236" s="424">
        <f>IF(AND($L236&lt;&gt;"",M$3&lt;&gt;""),IF(NOT(ISNUMBER(_xll.ciqfunctions.udf.CIQ(M$3, "IQ_BOND_PRICE", $L236))),NA(),_xll.ciqfunctions.udf.CIQ(M$3, "IQ_BOND_PRICE", $L236)),"")</f>
        <v>100.15</v>
      </c>
      <c r="N236" s="424">
        <f>IF(AND($L236&lt;&gt;"",N$3&lt;&gt;""),IF(NOT(ISNUMBER(_xll.ciqfunctions.udf.CIQ(N$3, "IQ_BOND_PRICE", $L236))),NA(),_xll.ciqfunctions.udf.CIQ(N$3, "IQ_BOND_PRICE", $L236)),"")</f>
        <v>0</v>
      </c>
      <c r="O236" s="424">
        <f>IF(AND($L236&lt;&gt;"",O$3&lt;&gt;""),IF(NOT(ISNUMBER(_xll.ciqfunctions.udf.CIQ(O$3, "IQ_BOND_PRICE", $L236))),NA(),_xll.ciqfunctions.udf.CIQ(O$3, "IQ_BOND_PRICE", $L236)),"")</f>
        <v>101.03755</v>
      </c>
      <c r="P236" s="424">
        <f>IF(AND($L236&lt;&gt;"",P$3&lt;&gt;""),IF(NOT(ISNUMBER(_xll.ciqfunctions.udf.CIQ(P$3, "IQ_BOND_PRICE", $L236))),NA(),_xll.ciqfunctions.udf.CIQ(P$3, "IQ_BOND_PRICE", $L236)),"")</f>
        <v>101.01667999999999</v>
      </c>
      <c r="Q236" s="424">
        <f>IF(AND($L236&lt;&gt;"",Q$3&lt;&gt;""),IF(NOT(ISNUMBER(_xll.ciqfunctions.udf.CIQ(Q$3, "IQ_BOND_PRICE", $L236))),NA(),_xll.ciqfunctions.udf.CIQ(Q$3, "IQ_BOND_PRICE", $L236)),"")</f>
        <v>102.518</v>
      </c>
      <c r="R236" s="424">
        <f>IF(AND($L236&lt;&gt;"",R$3&lt;&gt;""),IF(NOT(ISNUMBER(_xll.ciqfunctions.udf.CIQ(R$3, "IQ_BOND_PRICE", $L236))),NA(),_xll.ciqfunctions.udf.CIQ(R$3, "IQ_BOND_PRICE", $L236)),"")</f>
        <v>108.095</v>
      </c>
      <c r="S236" s="424">
        <f>IF(AND($L236&lt;&gt;"",S$3&lt;&gt;""),IF(NOT(ISNUMBER(_xll.ciqfunctions.udf.CIQ(S$3, "IQ_BOND_PRICE", $L236))),NA(),_xll.ciqfunctions.udf.CIQ(S$3, "IQ_BOND_PRICE", $L236)),"")</f>
        <v>103.075</v>
      </c>
      <c r="T236" s="424">
        <f>IF(AND($L236&lt;&gt;"",T$3&lt;&gt;""),IF(NOT(ISNUMBER(_xll.ciqfunctions.udf.CIQ(T$3, "IQ_BOND_PRICE", $L236))),NA(),_xll.ciqfunctions.udf.CIQ(T$3, "IQ_BOND_PRICE", $L236)),"")</f>
        <v>102.50700000000001</v>
      </c>
      <c r="U236" s="424">
        <f>IF(AND($L236&lt;&gt;"",U$3&lt;&gt;""),IF(NOT(ISNUMBER(_xll.ciqfunctions.udf.CIQ(U$3, "IQ_BOND_PRICE", $L236))),NA(),_xll.ciqfunctions.udf.CIQ(U$3, "IQ_BOND_PRICE", $L236)),"")</f>
        <v>99.725229999999996</v>
      </c>
      <c r="V236" s="424">
        <f>IF(AND($L236&lt;&gt;"",V$3&lt;&gt;""),IF(NOT(ISNUMBER(_xll.ciqfunctions.udf.CIQ(V$3, "IQ_BOND_PRICE", $L236))),NA(),_xll.ciqfunctions.udf.CIQ(V$3, "IQ_BOND_PRICE", $L236)),"")</f>
        <v>102.1584</v>
      </c>
      <c r="W236" s="424">
        <f>IF(AND($L236&lt;&gt;"",W$3&lt;&gt;""),IF(NOT(ISNUMBER(_xll.ciqfunctions.udf.CIQ(W$3, "IQ_BOND_PRICE", $L236))),NA(),_xll.ciqfunctions.udf.CIQ(W$3, "IQ_BOND_PRICE", $L236)),"")</f>
        <v>104.837</v>
      </c>
      <c r="X236" s="424">
        <f>IF(AND($L236&lt;&gt;"",X$3&lt;&gt;""),IF(NOT(ISNUMBER(_xll.ciqfunctions.udf.CIQ(X$3, "IQ_BOND_PRICE", $L236))),NA(),_xll.ciqfunctions.udf.CIQ(X$3, "IQ_BOND_PRICE", $L236)),"")</f>
        <v>107.52800000000001</v>
      </c>
      <c r="Y236" s="424">
        <f>IF(AND($L236&lt;&gt;"",Y$3&lt;&gt;""),IF(NOT(ISNUMBER(_xll.ciqfunctions.udf.CIQ(Y$3, "IQ_BOND_PRICE", $L236))),NA(),_xll.ciqfunctions.udf.CIQ(Y$3, "IQ_BOND_PRICE", $L236)),"")</f>
        <v>103.73399999999999</v>
      </c>
      <c r="Z236" s="424">
        <f>IF(AND($L236&lt;&gt;"",Z$3&lt;&gt;""),IF(NOT(ISNUMBER(_xll.ciqfunctions.udf.CIQ(Z$3, "IQ_BOND_PRICE", $L236))),NA(),_xll.ciqfunctions.udf.CIQ(Z$3, "IQ_BOND_PRICE", $L236)),"")</f>
        <v>95.538570000000007</v>
      </c>
      <c r="CZ236" s="426"/>
    </row>
    <row r="237" spans="12:104" x14ac:dyDescent="0.2">
      <c r="L237" s="425">
        <f t="shared" si="3"/>
        <v>44603</v>
      </c>
      <c r="M237" s="424">
        <f>IF(AND($L237&lt;&gt;"",M$3&lt;&gt;""),IF(NOT(ISNUMBER(_xll.ciqfunctions.udf.CIQ(M$3, "IQ_BOND_PRICE", $L237))),NA(),_xll.ciqfunctions.udf.CIQ(M$3, "IQ_BOND_PRICE", $L237)),"")</f>
        <v>100.143</v>
      </c>
      <c r="N237" s="424">
        <f>IF(AND($L237&lt;&gt;"",N$3&lt;&gt;""),IF(NOT(ISNUMBER(_xll.ciqfunctions.udf.CIQ(N$3, "IQ_BOND_PRICE", $L237))),NA(),_xll.ciqfunctions.udf.CIQ(N$3, "IQ_BOND_PRICE", $L237)),"")</f>
        <v>0</v>
      </c>
      <c r="O237" s="424">
        <f>IF(AND($L237&lt;&gt;"",O$3&lt;&gt;""),IF(NOT(ISNUMBER(_xll.ciqfunctions.udf.CIQ(O$3, "IQ_BOND_PRICE", $L237))),NA(),_xll.ciqfunctions.udf.CIQ(O$3, "IQ_BOND_PRICE", $L237)),"")</f>
        <v>101.08866999999999</v>
      </c>
      <c r="P237" s="424">
        <f>IF(AND($L237&lt;&gt;"",P$3&lt;&gt;""),IF(NOT(ISNUMBER(_xll.ciqfunctions.udf.CIQ(P$3, "IQ_BOND_PRICE", $L237))),NA(),_xll.ciqfunctions.udf.CIQ(P$3, "IQ_BOND_PRICE", $L237)),"")</f>
        <v>101.05354</v>
      </c>
      <c r="Q237" s="424">
        <f>IF(AND($L237&lt;&gt;"",Q$3&lt;&gt;""),IF(NOT(ISNUMBER(_xll.ciqfunctions.udf.CIQ(Q$3, "IQ_BOND_PRICE", $L237))),NA(),_xll.ciqfunctions.udf.CIQ(Q$3, "IQ_BOND_PRICE", $L237)),"")</f>
        <v>102.569</v>
      </c>
      <c r="R237" s="424">
        <f>IF(AND($L237&lt;&gt;"",R$3&lt;&gt;""),IF(NOT(ISNUMBER(_xll.ciqfunctions.udf.CIQ(R$3, "IQ_BOND_PRICE", $L237))),NA(),_xll.ciqfunctions.udf.CIQ(R$3, "IQ_BOND_PRICE", $L237)),"")</f>
        <v>108.077</v>
      </c>
      <c r="S237" s="424">
        <f>IF(AND($L237&lt;&gt;"",S$3&lt;&gt;""),IF(NOT(ISNUMBER(_xll.ciqfunctions.udf.CIQ(S$3, "IQ_BOND_PRICE", $L237))),NA(),_xll.ciqfunctions.udf.CIQ(S$3, "IQ_BOND_PRICE", $L237)),"")</f>
        <v>103.15600000000001</v>
      </c>
      <c r="T237" s="424">
        <f>IF(AND($L237&lt;&gt;"",T$3&lt;&gt;""),IF(NOT(ISNUMBER(_xll.ciqfunctions.udf.CIQ(T$3, "IQ_BOND_PRICE", $L237))),NA(),_xll.ciqfunctions.udf.CIQ(T$3, "IQ_BOND_PRICE", $L237)),"")</f>
        <v>102.605</v>
      </c>
      <c r="U237" s="424">
        <f>IF(AND($L237&lt;&gt;"",U$3&lt;&gt;""),IF(NOT(ISNUMBER(_xll.ciqfunctions.udf.CIQ(U$3, "IQ_BOND_PRICE", $L237))),NA(),_xll.ciqfunctions.udf.CIQ(U$3, "IQ_BOND_PRICE", $L237)),"")</f>
        <v>99.721699999999998</v>
      </c>
      <c r="V237" s="424">
        <f>IF(AND($L237&lt;&gt;"",V$3&lt;&gt;""),IF(NOT(ISNUMBER(_xll.ciqfunctions.udf.CIQ(V$3, "IQ_BOND_PRICE", $L237))),NA(),_xll.ciqfunctions.udf.CIQ(V$3, "IQ_BOND_PRICE", $L237)),"")</f>
        <v>102.27227999999999</v>
      </c>
      <c r="W237" s="424">
        <f>IF(AND($L237&lt;&gt;"",W$3&lt;&gt;""),IF(NOT(ISNUMBER(_xll.ciqfunctions.udf.CIQ(W$3, "IQ_BOND_PRICE", $L237))),NA(),_xll.ciqfunctions.udf.CIQ(W$3, "IQ_BOND_PRICE", $L237)),"")</f>
        <v>105.00700000000001</v>
      </c>
      <c r="X237" s="424">
        <f>IF(AND($L237&lt;&gt;"",X$3&lt;&gt;""),IF(NOT(ISNUMBER(_xll.ciqfunctions.udf.CIQ(X$3, "IQ_BOND_PRICE", $L237))),NA(),_xll.ciqfunctions.udf.CIQ(X$3, "IQ_BOND_PRICE", $L237)),"")</f>
        <v>107.38</v>
      </c>
      <c r="Y237" s="424">
        <f>IF(AND($L237&lt;&gt;"",Y$3&lt;&gt;""),IF(NOT(ISNUMBER(_xll.ciqfunctions.udf.CIQ(Y$3, "IQ_BOND_PRICE", $L237))),NA(),_xll.ciqfunctions.udf.CIQ(Y$3, "IQ_BOND_PRICE", $L237)),"")</f>
        <v>104.111</v>
      </c>
      <c r="Z237" s="424">
        <f>IF(AND($L237&lt;&gt;"",Z$3&lt;&gt;""),IF(NOT(ISNUMBER(_xll.ciqfunctions.udf.CIQ(Z$3, "IQ_BOND_PRICE", $L237))),NA(),_xll.ciqfunctions.udf.CIQ(Z$3, "IQ_BOND_PRICE", $L237)),"")</f>
        <v>95.880309999999994</v>
      </c>
      <c r="CZ237" s="426"/>
    </row>
    <row r="238" spans="12:104" x14ac:dyDescent="0.2">
      <c r="L238" s="425">
        <f t="shared" si="3"/>
        <v>44606</v>
      </c>
      <c r="M238" s="424">
        <f>IF(AND($L238&lt;&gt;"",M$3&lt;&gt;""),IF(NOT(ISNUMBER(_xll.ciqfunctions.udf.CIQ(M$3, "IQ_BOND_PRICE", $L238))),NA(),_xll.ciqfunctions.udf.CIQ(M$3, "IQ_BOND_PRICE", $L238)),"")</f>
        <v>100.13</v>
      </c>
      <c r="N238" s="424">
        <f>IF(AND($L238&lt;&gt;"",N$3&lt;&gt;""),IF(NOT(ISNUMBER(_xll.ciqfunctions.udf.CIQ(N$3, "IQ_BOND_PRICE", $L238))),NA(),_xll.ciqfunctions.udf.CIQ(N$3, "IQ_BOND_PRICE", $L238)),"")</f>
        <v>0</v>
      </c>
      <c r="O238" s="424">
        <f>IF(AND($L238&lt;&gt;"",O$3&lt;&gt;""),IF(NOT(ISNUMBER(_xll.ciqfunctions.udf.CIQ(O$3, "IQ_BOND_PRICE", $L238))),NA(),_xll.ciqfunctions.udf.CIQ(O$3, "IQ_BOND_PRICE", $L238)),"")</f>
        <v>101.12562</v>
      </c>
      <c r="P238" s="424">
        <f>IF(AND($L238&lt;&gt;"",P$3&lt;&gt;""),IF(NOT(ISNUMBER(_xll.ciqfunctions.udf.CIQ(P$3, "IQ_BOND_PRICE", $L238))),NA(),_xll.ciqfunctions.udf.CIQ(P$3, "IQ_BOND_PRICE", $L238)),"")</f>
        <v>101.02784</v>
      </c>
      <c r="Q238" s="424">
        <f>IF(AND($L238&lt;&gt;"",Q$3&lt;&gt;""),IF(NOT(ISNUMBER(_xll.ciqfunctions.udf.CIQ(Q$3, "IQ_BOND_PRICE", $L238))),NA(),_xll.ciqfunctions.udf.CIQ(Q$3, "IQ_BOND_PRICE", $L238)),"")</f>
        <v>102.447</v>
      </c>
      <c r="R238" s="424">
        <f>IF(AND($L238&lt;&gt;"",R$3&lt;&gt;""),IF(NOT(ISNUMBER(_xll.ciqfunctions.udf.CIQ(R$3, "IQ_BOND_PRICE", $L238))),NA(),_xll.ciqfunctions.udf.CIQ(R$3, "IQ_BOND_PRICE", $L238)),"")</f>
        <v>107.91800000000001</v>
      </c>
      <c r="S238" s="424">
        <f>IF(AND($L238&lt;&gt;"",S$3&lt;&gt;""),IF(NOT(ISNUMBER(_xll.ciqfunctions.udf.CIQ(S$3, "IQ_BOND_PRICE", $L238))),NA(),_xll.ciqfunctions.udf.CIQ(S$3, "IQ_BOND_PRICE", $L238)),"")</f>
        <v>102.928</v>
      </c>
      <c r="T238" s="424">
        <f>IF(AND($L238&lt;&gt;"",T$3&lt;&gt;""),IF(NOT(ISNUMBER(_xll.ciqfunctions.udf.CIQ(T$3, "IQ_BOND_PRICE", $L238))),NA(),_xll.ciqfunctions.udf.CIQ(T$3, "IQ_BOND_PRICE", $L238)),"")</f>
        <v>102.43600000000001</v>
      </c>
      <c r="U238" s="424">
        <f>IF(AND($L238&lt;&gt;"",U$3&lt;&gt;""),IF(NOT(ISNUMBER(_xll.ciqfunctions.udf.CIQ(U$3, "IQ_BOND_PRICE", $L238))),NA(),_xll.ciqfunctions.udf.CIQ(U$3, "IQ_BOND_PRICE", $L238)),"")</f>
        <v>99.722920000000002</v>
      </c>
      <c r="V238" s="424">
        <f>IF(AND($L238&lt;&gt;"",V$3&lt;&gt;""),IF(NOT(ISNUMBER(_xll.ciqfunctions.udf.CIQ(V$3, "IQ_BOND_PRICE", $L238))),NA(),_xll.ciqfunctions.udf.CIQ(V$3, "IQ_BOND_PRICE", $L238)),"")</f>
        <v>102.07943</v>
      </c>
      <c r="W238" s="424">
        <f>IF(AND($L238&lt;&gt;"",W$3&lt;&gt;""),IF(NOT(ISNUMBER(_xll.ciqfunctions.udf.CIQ(W$3, "IQ_BOND_PRICE", $L238))),NA(),_xll.ciqfunctions.udf.CIQ(W$3, "IQ_BOND_PRICE", $L238)),"")</f>
        <v>104.74</v>
      </c>
      <c r="X238" s="424">
        <f>IF(AND($L238&lt;&gt;"",X$3&lt;&gt;""),IF(NOT(ISNUMBER(_xll.ciqfunctions.udf.CIQ(X$3, "IQ_BOND_PRICE", $L238))),NA(),_xll.ciqfunctions.udf.CIQ(X$3, "IQ_BOND_PRICE", $L238)),"")</f>
        <v>107.30500000000001</v>
      </c>
      <c r="Y238" s="424">
        <f>IF(AND($L238&lt;&gt;"",Y$3&lt;&gt;""),IF(NOT(ISNUMBER(_xll.ciqfunctions.udf.CIQ(Y$3, "IQ_BOND_PRICE", $L238))),NA(),_xll.ciqfunctions.udf.CIQ(Y$3, "IQ_BOND_PRICE", $L238)),"")</f>
        <v>103.88</v>
      </c>
      <c r="Z238" s="424">
        <f>IF(AND($L238&lt;&gt;"",Z$3&lt;&gt;""),IF(NOT(ISNUMBER(_xll.ciqfunctions.udf.CIQ(Z$3, "IQ_BOND_PRICE", $L238))),NA(),_xll.ciqfunctions.udf.CIQ(Z$3, "IQ_BOND_PRICE", $L238)),"")</f>
        <v>95.646680000000003</v>
      </c>
      <c r="CZ238" s="426"/>
    </row>
    <row r="239" spans="12:104" x14ac:dyDescent="0.2">
      <c r="L239" s="425">
        <f t="shared" si="3"/>
        <v>44607</v>
      </c>
      <c r="M239" s="424">
        <f>IF(AND($L239&lt;&gt;"",M$3&lt;&gt;""),IF(NOT(ISNUMBER(_xll.ciqfunctions.udf.CIQ(M$3, "IQ_BOND_PRICE", $L239))),NA(),_xll.ciqfunctions.udf.CIQ(M$3, "IQ_BOND_PRICE", $L239)),"")</f>
        <v>100.13500000000001</v>
      </c>
      <c r="N239" s="424">
        <f>IF(AND($L239&lt;&gt;"",N$3&lt;&gt;""),IF(NOT(ISNUMBER(_xll.ciqfunctions.udf.CIQ(N$3, "IQ_BOND_PRICE", $L239))),NA(),_xll.ciqfunctions.udf.CIQ(N$3, "IQ_BOND_PRICE", $L239)),"")</f>
        <v>0</v>
      </c>
      <c r="O239" s="424">
        <f>IF(AND($L239&lt;&gt;"",O$3&lt;&gt;""),IF(NOT(ISNUMBER(_xll.ciqfunctions.udf.CIQ(O$3, "IQ_BOND_PRICE", $L239))),NA(),_xll.ciqfunctions.udf.CIQ(O$3, "IQ_BOND_PRICE", $L239)),"")</f>
        <v>100.99969</v>
      </c>
      <c r="P239" s="424">
        <f>IF(AND($L239&lt;&gt;"",P$3&lt;&gt;""),IF(NOT(ISNUMBER(_xll.ciqfunctions.udf.CIQ(P$3, "IQ_BOND_PRICE", $L239))),NA(),_xll.ciqfunctions.udf.CIQ(P$3, "IQ_BOND_PRICE", $L239)),"")</f>
        <v>101.12902</v>
      </c>
      <c r="Q239" s="424">
        <f>IF(AND($L239&lt;&gt;"",Q$3&lt;&gt;""),IF(NOT(ISNUMBER(_xll.ciqfunctions.udf.CIQ(Q$3, "IQ_BOND_PRICE", $L239))),NA(),_xll.ciqfunctions.udf.CIQ(Q$3, "IQ_BOND_PRICE", $L239)),"")</f>
        <v>102.46599999999999</v>
      </c>
      <c r="R239" s="424">
        <f>IF(AND($L239&lt;&gt;"",R$3&lt;&gt;""),IF(NOT(ISNUMBER(_xll.ciqfunctions.udf.CIQ(R$3, "IQ_BOND_PRICE", $L239))),NA(),_xll.ciqfunctions.udf.CIQ(R$3, "IQ_BOND_PRICE", $L239)),"")</f>
        <v>108.03</v>
      </c>
      <c r="S239" s="424">
        <f>IF(AND($L239&lt;&gt;"",S$3&lt;&gt;""),IF(NOT(ISNUMBER(_xll.ciqfunctions.udf.CIQ(S$3, "IQ_BOND_PRICE", $L239))),NA(),_xll.ciqfunctions.udf.CIQ(S$3, "IQ_BOND_PRICE", $L239)),"")</f>
        <v>102.925</v>
      </c>
      <c r="T239" s="424">
        <f>IF(AND($L239&lt;&gt;"",T$3&lt;&gt;""),IF(NOT(ISNUMBER(_xll.ciqfunctions.udf.CIQ(T$3, "IQ_BOND_PRICE", $L239))),NA(),_xll.ciqfunctions.udf.CIQ(T$3, "IQ_BOND_PRICE", $L239)),"")</f>
        <v>102.477</v>
      </c>
      <c r="U239" s="424">
        <f>IF(AND($L239&lt;&gt;"",U$3&lt;&gt;""),IF(NOT(ISNUMBER(_xll.ciqfunctions.udf.CIQ(U$3, "IQ_BOND_PRICE", $L239))),NA(),_xll.ciqfunctions.udf.CIQ(U$3, "IQ_BOND_PRICE", $L239)),"")</f>
        <v>99.714730000000003</v>
      </c>
      <c r="V239" s="424">
        <f>IF(AND($L239&lt;&gt;"",V$3&lt;&gt;""),IF(NOT(ISNUMBER(_xll.ciqfunctions.udf.CIQ(V$3, "IQ_BOND_PRICE", $L239))),NA(),_xll.ciqfunctions.udf.CIQ(V$3, "IQ_BOND_PRICE", $L239)),"")</f>
        <v>102.12846</v>
      </c>
      <c r="W239" s="424">
        <f>IF(AND($L239&lt;&gt;"",W$3&lt;&gt;""),IF(NOT(ISNUMBER(_xll.ciqfunctions.udf.CIQ(W$3, "IQ_BOND_PRICE", $L239))),NA(),_xll.ciqfunctions.udf.CIQ(W$3, "IQ_BOND_PRICE", $L239)),"")</f>
        <v>104.76</v>
      </c>
      <c r="X239" s="424">
        <f>IF(AND($L239&lt;&gt;"",X$3&lt;&gt;""),IF(NOT(ISNUMBER(_xll.ciqfunctions.udf.CIQ(X$3, "IQ_BOND_PRICE", $L239))),NA(),_xll.ciqfunctions.udf.CIQ(X$3, "IQ_BOND_PRICE", $L239)),"")</f>
        <v>107.28400000000001</v>
      </c>
      <c r="Y239" s="424">
        <f>IF(AND($L239&lt;&gt;"",Y$3&lt;&gt;""),IF(NOT(ISNUMBER(_xll.ciqfunctions.udf.CIQ(Y$3, "IQ_BOND_PRICE", $L239))),NA(),_xll.ciqfunctions.udf.CIQ(Y$3, "IQ_BOND_PRICE", $L239)),"")</f>
        <v>103.554</v>
      </c>
      <c r="Z239" s="424">
        <f>IF(AND($L239&lt;&gt;"",Z$3&lt;&gt;""),IF(NOT(ISNUMBER(_xll.ciqfunctions.udf.CIQ(Z$3, "IQ_BOND_PRICE", $L239))),NA(),_xll.ciqfunctions.udf.CIQ(Z$3, "IQ_BOND_PRICE", $L239)),"")</f>
        <v>95.429509999999993</v>
      </c>
      <c r="CZ239" s="426"/>
    </row>
    <row r="240" spans="12:104" x14ac:dyDescent="0.2">
      <c r="L240" s="425">
        <f t="shared" si="3"/>
        <v>44608</v>
      </c>
      <c r="M240" s="424">
        <f>IF(AND($L240&lt;&gt;"",M$3&lt;&gt;""),IF(NOT(ISNUMBER(_xll.ciqfunctions.udf.CIQ(M$3, "IQ_BOND_PRICE", $L240))),NA(),_xll.ciqfunctions.udf.CIQ(M$3, "IQ_BOND_PRICE", $L240)),"")</f>
        <v>100.13</v>
      </c>
      <c r="N240" s="424">
        <f>IF(AND($L240&lt;&gt;"",N$3&lt;&gt;""),IF(NOT(ISNUMBER(_xll.ciqfunctions.udf.CIQ(N$3, "IQ_BOND_PRICE", $L240))),NA(),_xll.ciqfunctions.udf.CIQ(N$3, "IQ_BOND_PRICE", $L240)),"")</f>
        <v>0</v>
      </c>
      <c r="O240" s="424">
        <f>IF(AND($L240&lt;&gt;"",O$3&lt;&gt;""),IF(NOT(ISNUMBER(_xll.ciqfunctions.udf.CIQ(O$3, "IQ_BOND_PRICE", $L240))),NA(),_xll.ciqfunctions.udf.CIQ(O$3, "IQ_BOND_PRICE", $L240)),"")</f>
        <v>101.04555999999999</v>
      </c>
      <c r="P240" s="424">
        <f>IF(AND($L240&lt;&gt;"",P$3&lt;&gt;""),IF(NOT(ISNUMBER(_xll.ciqfunctions.udf.CIQ(P$3, "IQ_BOND_PRICE", $L240))),NA(),_xll.ciqfunctions.udf.CIQ(P$3, "IQ_BOND_PRICE", $L240)),"")</f>
        <v>101.16525</v>
      </c>
      <c r="Q240" s="424">
        <f>IF(AND($L240&lt;&gt;"",Q$3&lt;&gt;""),IF(NOT(ISNUMBER(_xll.ciqfunctions.udf.CIQ(Q$3, "IQ_BOND_PRICE", $L240))),NA(),_xll.ciqfunctions.udf.CIQ(Q$3, "IQ_BOND_PRICE", $L240)),"")</f>
        <v>102.488</v>
      </c>
      <c r="R240" s="424">
        <f>IF(AND($L240&lt;&gt;"",R$3&lt;&gt;""),IF(NOT(ISNUMBER(_xll.ciqfunctions.udf.CIQ(R$3, "IQ_BOND_PRICE", $L240))),NA(),_xll.ciqfunctions.udf.CIQ(R$3, "IQ_BOND_PRICE", $L240)),"")</f>
        <v>108.125</v>
      </c>
      <c r="S240" s="424">
        <f>IF(AND($L240&lt;&gt;"",S$3&lt;&gt;""),IF(NOT(ISNUMBER(_xll.ciqfunctions.udf.CIQ(S$3, "IQ_BOND_PRICE", $L240))),NA(),_xll.ciqfunctions.udf.CIQ(S$3, "IQ_BOND_PRICE", $L240)),"")</f>
        <v>103.077</v>
      </c>
      <c r="T240" s="424">
        <f>IF(AND($L240&lt;&gt;"",T$3&lt;&gt;""),IF(NOT(ISNUMBER(_xll.ciqfunctions.udf.CIQ(T$3, "IQ_BOND_PRICE", $L240))),NA(),_xll.ciqfunctions.udf.CIQ(T$3, "IQ_BOND_PRICE", $L240)),"")</f>
        <v>102.575</v>
      </c>
      <c r="U240" s="424">
        <f>IF(AND($L240&lt;&gt;"",U$3&lt;&gt;""),IF(NOT(ISNUMBER(_xll.ciqfunctions.udf.CIQ(U$3, "IQ_BOND_PRICE", $L240))),NA(),_xll.ciqfunctions.udf.CIQ(U$3, "IQ_BOND_PRICE", $L240)),"")</f>
        <v>99.70393</v>
      </c>
      <c r="V240" s="424">
        <f>IF(AND($L240&lt;&gt;"",V$3&lt;&gt;""),IF(NOT(ISNUMBER(_xll.ciqfunctions.udf.CIQ(V$3, "IQ_BOND_PRICE", $L240))),NA(),_xll.ciqfunctions.udf.CIQ(V$3, "IQ_BOND_PRICE", $L240)),"")</f>
        <v>102.24209999999999</v>
      </c>
      <c r="W240" s="424">
        <f>IF(AND($L240&lt;&gt;"",W$3&lt;&gt;""),IF(NOT(ISNUMBER(_xll.ciqfunctions.udf.CIQ(W$3, "IQ_BOND_PRICE", $L240))),NA(),_xll.ciqfunctions.udf.CIQ(W$3, "IQ_BOND_PRICE", $L240)),"")</f>
        <v>104.867</v>
      </c>
      <c r="X240" s="424">
        <f>IF(AND($L240&lt;&gt;"",X$3&lt;&gt;""),IF(NOT(ISNUMBER(_xll.ciqfunctions.udf.CIQ(X$3, "IQ_BOND_PRICE", $L240))),NA(),_xll.ciqfunctions.udf.CIQ(X$3, "IQ_BOND_PRICE", $L240)),"")</f>
        <v>107.43300000000001</v>
      </c>
      <c r="Y240" s="424">
        <f>IF(AND($L240&lt;&gt;"",Y$3&lt;&gt;""),IF(NOT(ISNUMBER(_xll.ciqfunctions.udf.CIQ(Y$3, "IQ_BOND_PRICE", $L240))),NA(),_xll.ciqfunctions.udf.CIQ(Y$3, "IQ_BOND_PRICE", $L240)),"")</f>
        <v>103.626</v>
      </c>
      <c r="Z240" s="424">
        <f>IF(AND($L240&lt;&gt;"",Z$3&lt;&gt;""),IF(NOT(ISNUMBER(_xll.ciqfunctions.udf.CIQ(Z$3, "IQ_BOND_PRICE", $L240))),NA(),_xll.ciqfunctions.udf.CIQ(Z$3, "IQ_BOND_PRICE", $L240)),"")</f>
        <v>95.509450000000001</v>
      </c>
      <c r="CZ240" s="426"/>
    </row>
    <row r="241" spans="12:104" x14ac:dyDescent="0.2">
      <c r="L241" s="425">
        <f t="shared" si="3"/>
        <v>44609</v>
      </c>
      <c r="M241" s="424">
        <f>IF(AND($L241&lt;&gt;"",M$3&lt;&gt;""),IF(NOT(ISNUMBER(_xll.ciqfunctions.udf.CIQ(M$3, "IQ_BOND_PRICE", $L241))),NA(),_xll.ciqfunctions.udf.CIQ(M$3, "IQ_BOND_PRICE", $L241)),"")</f>
        <v>100.121</v>
      </c>
      <c r="N241" s="424">
        <f>IF(AND($L241&lt;&gt;"",N$3&lt;&gt;""),IF(NOT(ISNUMBER(_xll.ciqfunctions.udf.CIQ(N$3, "IQ_BOND_PRICE", $L241))),NA(),_xll.ciqfunctions.udf.CIQ(N$3, "IQ_BOND_PRICE", $L241)),"")</f>
        <v>0</v>
      </c>
      <c r="O241" s="424">
        <f>IF(AND($L241&lt;&gt;"",O$3&lt;&gt;""),IF(NOT(ISNUMBER(_xll.ciqfunctions.udf.CIQ(O$3, "IQ_BOND_PRICE", $L241))),NA(),_xll.ciqfunctions.udf.CIQ(O$3, "IQ_BOND_PRICE", $L241)),"")</f>
        <v>101.0587</v>
      </c>
      <c r="P241" s="424">
        <f>IF(AND($L241&lt;&gt;"",P$3&lt;&gt;""),IF(NOT(ISNUMBER(_xll.ciqfunctions.udf.CIQ(P$3, "IQ_BOND_PRICE", $L241))),NA(),_xll.ciqfunctions.udf.CIQ(P$3, "IQ_BOND_PRICE", $L241)),"")</f>
        <v>101.14313</v>
      </c>
      <c r="Q241" s="424">
        <f>IF(AND($L241&lt;&gt;"",Q$3&lt;&gt;""),IF(NOT(ISNUMBER(_xll.ciqfunctions.udf.CIQ(Q$3, "IQ_BOND_PRICE", $L241))),NA(),_xll.ciqfunctions.udf.CIQ(Q$3, "IQ_BOND_PRICE", $L241)),"")</f>
        <v>102.527</v>
      </c>
      <c r="R241" s="424">
        <f>IF(AND($L241&lt;&gt;"",R$3&lt;&gt;""),IF(NOT(ISNUMBER(_xll.ciqfunctions.udf.CIQ(R$3, "IQ_BOND_PRICE", $L241))),NA(),_xll.ciqfunctions.udf.CIQ(R$3, "IQ_BOND_PRICE", $L241)),"")</f>
        <v>108.08499999999999</v>
      </c>
      <c r="S241" s="424">
        <f>IF(AND($L241&lt;&gt;"",S$3&lt;&gt;""),IF(NOT(ISNUMBER(_xll.ciqfunctions.udf.CIQ(S$3, "IQ_BOND_PRICE", $L241))),NA(),_xll.ciqfunctions.udf.CIQ(S$3, "IQ_BOND_PRICE", $L241)),"")</f>
        <v>103.152</v>
      </c>
      <c r="T241" s="424">
        <f>IF(AND($L241&lt;&gt;"",T$3&lt;&gt;""),IF(NOT(ISNUMBER(_xll.ciqfunctions.udf.CIQ(T$3, "IQ_BOND_PRICE", $L241))),NA(),_xll.ciqfunctions.udf.CIQ(T$3, "IQ_BOND_PRICE", $L241)),"")</f>
        <v>102.67700000000001</v>
      </c>
      <c r="U241" s="424">
        <f>IF(AND($L241&lt;&gt;"",U$3&lt;&gt;""),IF(NOT(ISNUMBER(_xll.ciqfunctions.udf.CIQ(U$3, "IQ_BOND_PRICE", $L241))),NA(),_xll.ciqfunctions.udf.CIQ(U$3, "IQ_BOND_PRICE", $L241)),"")</f>
        <v>99.703379999999996</v>
      </c>
      <c r="V241" s="424">
        <f>IF(AND($L241&lt;&gt;"",V$3&lt;&gt;""),IF(NOT(ISNUMBER(_xll.ciqfunctions.udf.CIQ(V$3, "IQ_BOND_PRICE", $L241))),NA(),_xll.ciqfunctions.udf.CIQ(V$3, "IQ_BOND_PRICE", $L241)),"")</f>
        <v>102.31744</v>
      </c>
      <c r="W241" s="424">
        <f>IF(AND($L241&lt;&gt;"",W$3&lt;&gt;""),IF(NOT(ISNUMBER(_xll.ciqfunctions.udf.CIQ(W$3, "IQ_BOND_PRICE", $L241))),NA(),_xll.ciqfunctions.udf.CIQ(W$3, "IQ_BOND_PRICE", $L241)),"")</f>
        <v>104.825</v>
      </c>
      <c r="X241" s="424">
        <f>IF(AND($L241&lt;&gt;"",X$3&lt;&gt;""),IF(NOT(ISNUMBER(_xll.ciqfunctions.udf.CIQ(X$3, "IQ_BOND_PRICE", $L241))),NA(),_xll.ciqfunctions.udf.CIQ(X$3, "IQ_BOND_PRICE", $L241)),"")</f>
        <v>107.614</v>
      </c>
      <c r="Y241" s="424">
        <f>IF(AND($L241&lt;&gt;"",Y$3&lt;&gt;""),IF(NOT(ISNUMBER(_xll.ciqfunctions.udf.CIQ(Y$3, "IQ_BOND_PRICE", $L241))),NA(),_xll.ciqfunctions.udf.CIQ(Y$3, "IQ_BOND_PRICE", $L241)),"")</f>
        <v>103.9</v>
      </c>
      <c r="Z241" s="424">
        <f>IF(AND($L241&lt;&gt;"",Z$3&lt;&gt;""),IF(NOT(ISNUMBER(_xll.ciqfunctions.udf.CIQ(Z$3, "IQ_BOND_PRICE", $L241))),NA(),_xll.ciqfunctions.udf.CIQ(Z$3, "IQ_BOND_PRICE", $L241)),"")</f>
        <v>95.678259999999995</v>
      </c>
      <c r="CZ241" s="426"/>
    </row>
    <row r="242" spans="12:104" x14ac:dyDescent="0.2">
      <c r="L242" s="425">
        <f t="shared" si="3"/>
        <v>44610</v>
      </c>
      <c r="M242" s="424">
        <f>IF(AND($L242&lt;&gt;"",M$3&lt;&gt;""),IF(NOT(ISNUMBER(_xll.ciqfunctions.udf.CIQ(M$3, "IQ_BOND_PRICE", $L242))),NA(),_xll.ciqfunctions.udf.CIQ(M$3, "IQ_BOND_PRICE", $L242)),"")</f>
        <v>100.119</v>
      </c>
      <c r="N242" s="424">
        <f>IF(AND($L242&lt;&gt;"",N$3&lt;&gt;""),IF(NOT(ISNUMBER(_xll.ciqfunctions.udf.CIQ(N$3, "IQ_BOND_PRICE", $L242))),NA(),_xll.ciqfunctions.udf.CIQ(N$3, "IQ_BOND_PRICE", $L242)),"")</f>
        <v>0</v>
      </c>
      <c r="O242" s="424">
        <f>IF(AND($L242&lt;&gt;"",O$3&lt;&gt;""),IF(NOT(ISNUMBER(_xll.ciqfunctions.udf.CIQ(O$3, "IQ_BOND_PRICE", $L242))),NA(),_xll.ciqfunctions.udf.CIQ(O$3, "IQ_BOND_PRICE", $L242)),"")</f>
        <v>101.07315</v>
      </c>
      <c r="P242" s="424">
        <f>IF(AND($L242&lt;&gt;"",P$3&lt;&gt;""),IF(NOT(ISNUMBER(_xll.ciqfunctions.udf.CIQ(P$3, "IQ_BOND_PRICE", $L242))),NA(),_xll.ciqfunctions.udf.CIQ(P$3, "IQ_BOND_PRICE", $L242)),"")</f>
        <v>101.14389</v>
      </c>
      <c r="Q242" s="424">
        <f>IF(AND($L242&lt;&gt;"",Q$3&lt;&gt;""),IF(NOT(ISNUMBER(_xll.ciqfunctions.udf.CIQ(Q$3, "IQ_BOND_PRICE", $L242))),NA(),_xll.ciqfunctions.udf.CIQ(Q$3, "IQ_BOND_PRICE", $L242)),"")</f>
        <v>102.48</v>
      </c>
      <c r="R242" s="424">
        <f>IF(AND($L242&lt;&gt;"",R$3&lt;&gt;""),IF(NOT(ISNUMBER(_xll.ciqfunctions.udf.CIQ(R$3, "IQ_BOND_PRICE", $L242))),NA(),_xll.ciqfunctions.udf.CIQ(R$3, "IQ_BOND_PRICE", $L242)),"")</f>
        <v>108.133</v>
      </c>
      <c r="S242" s="424">
        <f>IF(AND($L242&lt;&gt;"",S$3&lt;&gt;""),IF(NOT(ISNUMBER(_xll.ciqfunctions.udf.CIQ(S$3, "IQ_BOND_PRICE", $L242))),NA(),_xll.ciqfunctions.udf.CIQ(S$3, "IQ_BOND_PRICE", $L242)),"")</f>
        <v>103.116</v>
      </c>
      <c r="T242" s="424">
        <f>IF(AND($L242&lt;&gt;"",T$3&lt;&gt;""),IF(NOT(ISNUMBER(_xll.ciqfunctions.udf.CIQ(T$3, "IQ_BOND_PRICE", $L242))),NA(),_xll.ciqfunctions.udf.CIQ(T$3, "IQ_BOND_PRICE", $L242)),"")</f>
        <v>102.685</v>
      </c>
      <c r="U242" s="424">
        <f>IF(AND($L242&lt;&gt;"",U$3&lt;&gt;""),IF(NOT(ISNUMBER(_xll.ciqfunctions.udf.CIQ(U$3, "IQ_BOND_PRICE", $L242))),NA(),_xll.ciqfunctions.udf.CIQ(U$3, "IQ_BOND_PRICE", $L242)),"")</f>
        <v>99.71808</v>
      </c>
      <c r="V242" s="424">
        <f>IF(AND($L242&lt;&gt;"",V$3&lt;&gt;""),IF(NOT(ISNUMBER(_xll.ciqfunctions.udf.CIQ(V$3, "IQ_BOND_PRICE", $L242))),NA(),_xll.ciqfunctions.udf.CIQ(V$3, "IQ_BOND_PRICE", $L242)),"")</f>
        <v>102.32774000000001</v>
      </c>
      <c r="W242" s="424">
        <f>IF(AND($L242&lt;&gt;"",W$3&lt;&gt;""),IF(NOT(ISNUMBER(_xll.ciqfunctions.udf.CIQ(W$3, "IQ_BOND_PRICE", $L242))),NA(),_xll.ciqfunctions.udf.CIQ(W$3, "IQ_BOND_PRICE", $L242)),"")</f>
        <v>104.886</v>
      </c>
      <c r="X242" s="424">
        <f>IF(AND($L242&lt;&gt;"",X$3&lt;&gt;""),IF(NOT(ISNUMBER(_xll.ciqfunctions.udf.CIQ(X$3, "IQ_BOND_PRICE", $L242))),NA(),_xll.ciqfunctions.udf.CIQ(X$3, "IQ_BOND_PRICE", $L242)),"")</f>
        <v>107.71</v>
      </c>
      <c r="Y242" s="424">
        <f>IF(AND($L242&lt;&gt;"",Y$3&lt;&gt;""),IF(NOT(ISNUMBER(_xll.ciqfunctions.udf.CIQ(Y$3, "IQ_BOND_PRICE", $L242))),NA(),_xll.ciqfunctions.udf.CIQ(Y$3, "IQ_BOND_PRICE", $L242)),"")</f>
        <v>103.998</v>
      </c>
      <c r="Z242" s="424">
        <f>IF(AND($L242&lt;&gt;"",Z$3&lt;&gt;""),IF(NOT(ISNUMBER(_xll.ciqfunctions.udf.CIQ(Z$3, "IQ_BOND_PRICE", $L242))),NA(),_xll.ciqfunctions.udf.CIQ(Z$3, "IQ_BOND_PRICE", $L242)),"")</f>
        <v>95.78416</v>
      </c>
      <c r="CZ242" s="426"/>
    </row>
    <row r="243" spans="12:104" x14ac:dyDescent="0.2">
      <c r="L243" s="425">
        <f t="shared" si="3"/>
        <v>44613</v>
      </c>
      <c r="M243" s="424">
        <f>IF(AND($L243&lt;&gt;"",M$3&lt;&gt;""),IF(NOT(ISNUMBER(_xll.ciqfunctions.udf.CIQ(M$3, "IQ_BOND_PRICE", $L243))),NA(),_xll.ciqfunctions.udf.CIQ(M$3, "IQ_BOND_PRICE", $L243)),"")</f>
        <v>100.114</v>
      </c>
      <c r="N243" s="424">
        <f>IF(AND($L243&lt;&gt;"",N$3&lt;&gt;""),IF(NOT(ISNUMBER(_xll.ciqfunctions.udf.CIQ(N$3, "IQ_BOND_PRICE", $L243))),NA(),_xll.ciqfunctions.udf.CIQ(N$3, "IQ_BOND_PRICE", $L243)),"")</f>
        <v>0</v>
      </c>
      <c r="O243" s="424">
        <f>IF(AND($L243&lt;&gt;"",O$3&lt;&gt;""),IF(NOT(ISNUMBER(_xll.ciqfunctions.udf.CIQ(O$3, "IQ_BOND_PRICE", $L243))),NA(),_xll.ciqfunctions.udf.CIQ(O$3, "IQ_BOND_PRICE", $L243)),"")</f>
        <v>101.005</v>
      </c>
      <c r="P243" s="424">
        <f>IF(AND($L243&lt;&gt;"",P$3&lt;&gt;""),IF(NOT(ISNUMBER(_xll.ciqfunctions.udf.CIQ(P$3, "IQ_BOND_PRICE", $L243))),NA(),_xll.ciqfunctions.udf.CIQ(P$3, "IQ_BOND_PRICE", $L243)),"")</f>
        <v>101.102</v>
      </c>
      <c r="Q243" s="424">
        <f>IF(AND($L243&lt;&gt;"",Q$3&lt;&gt;""),IF(NOT(ISNUMBER(_xll.ciqfunctions.udf.CIQ(Q$3, "IQ_BOND_PRICE", $L243))),NA(),_xll.ciqfunctions.udf.CIQ(Q$3, "IQ_BOND_PRICE", $L243)),"")</f>
        <v>102.504</v>
      </c>
      <c r="R243" s="424">
        <f>IF(AND($L243&lt;&gt;"",R$3&lt;&gt;""),IF(NOT(ISNUMBER(_xll.ciqfunctions.udf.CIQ(R$3, "IQ_BOND_PRICE", $L243))),NA(),_xll.ciqfunctions.udf.CIQ(R$3, "IQ_BOND_PRICE", $L243)),"")</f>
        <v>106.81100000000001</v>
      </c>
      <c r="S243" s="424">
        <f>IF(AND($L243&lt;&gt;"",S$3&lt;&gt;""),IF(NOT(ISNUMBER(_xll.ciqfunctions.udf.CIQ(S$3, "IQ_BOND_PRICE", $L243))),NA(),_xll.ciqfunctions.udf.CIQ(S$3, "IQ_BOND_PRICE", $L243)),"")</f>
        <v>103.116</v>
      </c>
      <c r="T243" s="424">
        <f>IF(AND($L243&lt;&gt;"",T$3&lt;&gt;""),IF(NOT(ISNUMBER(_xll.ciqfunctions.udf.CIQ(T$3, "IQ_BOND_PRICE", $L243))),NA(),_xll.ciqfunctions.udf.CIQ(T$3, "IQ_BOND_PRICE", $L243)),"")</f>
        <v>102.47</v>
      </c>
      <c r="U243" s="424">
        <f>IF(AND($L243&lt;&gt;"",U$3&lt;&gt;""),IF(NOT(ISNUMBER(_xll.ciqfunctions.udf.CIQ(U$3, "IQ_BOND_PRICE", $L243))),NA(),_xll.ciqfunctions.udf.CIQ(U$3, "IQ_BOND_PRICE", $L243)),"")</f>
        <v>99.73057</v>
      </c>
      <c r="V243" s="424">
        <f>IF(AND($L243&lt;&gt;"",V$3&lt;&gt;""),IF(NOT(ISNUMBER(_xll.ciqfunctions.udf.CIQ(V$3, "IQ_BOND_PRICE", $L243))),NA(),_xll.ciqfunctions.udf.CIQ(V$3, "IQ_BOND_PRICE", $L243)),"")</f>
        <v>102.11</v>
      </c>
      <c r="W243" s="424">
        <f>IF(AND($L243&lt;&gt;"",W$3&lt;&gt;""),IF(NOT(ISNUMBER(_xll.ciqfunctions.udf.CIQ(W$3, "IQ_BOND_PRICE", $L243))),NA(),_xll.ciqfunctions.udf.CIQ(W$3, "IQ_BOND_PRICE", $L243)),"")</f>
        <v>104.84</v>
      </c>
      <c r="X243" s="424">
        <f>IF(AND($L243&lt;&gt;"",X$3&lt;&gt;""),IF(NOT(ISNUMBER(_xll.ciqfunctions.udf.CIQ(X$3, "IQ_BOND_PRICE", $L243))),NA(),_xll.ciqfunctions.udf.CIQ(X$3, "IQ_BOND_PRICE", $L243)),"")</f>
        <v>107.599</v>
      </c>
      <c r="Y243" s="424">
        <f>IF(AND($L243&lt;&gt;"",Y$3&lt;&gt;""),IF(NOT(ISNUMBER(_xll.ciqfunctions.udf.CIQ(Y$3, "IQ_BOND_PRICE", $L243))),NA(),_xll.ciqfunctions.udf.CIQ(Y$3, "IQ_BOND_PRICE", $L243)),"")</f>
        <v>103.85</v>
      </c>
      <c r="Z243" s="424">
        <f>IF(AND($L243&lt;&gt;"",Z$3&lt;&gt;""),IF(NOT(ISNUMBER(_xll.ciqfunctions.udf.CIQ(Z$3, "IQ_BOND_PRICE", $L243))),NA(),_xll.ciqfunctions.udf.CIQ(Z$3, "IQ_BOND_PRICE", $L243)),"")</f>
        <v>95.61</v>
      </c>
      <c r="CZ243" s="426"/>
    </row>
    <row r="244" spans="12:104" x14ac:dyDescent="0.2">
      <c r="L244" s="425">
        <f t="shared" si="3"/>
        <v>44614</v>
      </c>
      <c r="M244" s="424">
        <f>IF(AND($L244&lt;&gt;"",M$3&lt;&gt;""),IF(NOT(ISNUMBER(_xll.ciqfunctions.udf.CIQ(M$3, "IQ_BOND_PRICE", $L244))),NA(),_xll.ciqfunctions.udf.CIQ(M$3, "IQ_BOND_PRICE", $L244)),"")</f>
        <v>100.142</v>
      </c>
      <c r="N244" s="424">
        <f>IF(AND($L244&lt;&gt;"",N$3&lt;&gt;""),IF(NOT(ISNUMBER(_xll.ciqfunctions.udf.CIQ(N$3, "IQ_BOND_PRICE", $L244))),NA(),_xll.ciqfunctions.udf.CIQ(N$3, "IQ_BOND_PRICE", $L244)),"")</f>
        <v>0</v>
      </c>
      <c r="O244" s="424">
        <f>IF(AND($L244&lt;&gt;"",O$3&lt;&gt;""),IF(NOT(ISNUMBER(_xll.ciqfunctions.udf.CIQ(O$3, "IQ_BOND_PRICE", $L244))),NA(),_xll.ciqfunctions.udf.CIQ(O$3, "IQ_BOND_PRICE", $L244)),"")</f>
        <v>101.04925</v>
      </c>
      <c r="P244" s="424">
        <f>IF(AND($L244&lt;&gt;"",P$3&lt;&gt;""),IF(NOT(ISNUMBER(_xll.ciqfunctions.udf.CIQ(P$3, "IQ_BOND_PRICE", $L244))),NA(),_xll.ciqfunctions.udf.CIQ(P$3, "IQ_BOND_PRICE", $L244)),"")</f>
        <v>100.97505</v>
      </c>
      <c r="Q244" s="424">
        <f>IF(AND($L244&lt;&gt;"",Q$3&lt;&gt;""),IF(NOT(ISNUMBER(_xll.ciqfunctions.udf.CIQ(Q$3, "IQ_BOND_PRICE", $L244))),NA(),_xll.ciqfunctions.udf.CIQ(Q$3, "IQ_BOND_PRICE", $L244)),"")</f>
        <v>102.504</v>
      </c>
      <c r="R244" s="424">
        <f>IF(AND($L244&lt;&gt;"",R$3&lt;&gt;""),IF(NOT(ISNUMBER(_xll.ciqfunctions.udf.CIQ(R$3, "IQ_BOND_PRICE", $L244))),NA(),_xll.ciqfunctions.udf.CIQ(R$3, "IQ_BOND_PRICE", $L244)),"")</f>
        <v>107.971</v>
      </c>
      <c r="S244" s="424">
        <f>IF(AND($L244&lt;&gt;"",S$3&lt;&gt;""),IF(NOT(ISNUMBER(_xll.ciqfunctions.udf.CIQ(S$3, "IQ_BOND_PRICE", $L244))),NA(),_xll.ciqfunctions.udf.CIQ(S$3, "IQ_BOND_PRICE", $L244)),"")</f>
        <v>102.94799999999999</v>
      </c>
      <c r="T244" s="424">
        <f>IF(AND($L244&lt;&gt;"",T$3&lt;&gt;""),IF(NOT(ISNUMBER(_xll.ciqfunctions.udf.CIQ(T$3, "IQ_BOND_PRICE", $L244))),NA(),_xll.ciqfunctions.udf.CIQ(T$3, "IQ_BOND_PRICE", $L244)),"")</f>
        <v>102.483</v>
      </c>
      <c r="U244" s="424">
        <f>IF(AND($L244&lt;&gt;"",U$3&lt;&gt;""),IF(NOT(ISNUMBER(_xll.ciqfunctions.udf.CIQ(U$3, "IQ_BOND_PRICE", $L244))),NA(),_xll.ciqfunctions.udf.CIQ(U$3, "IQ_BOND_PRICE", $L244)),"")</f>
        <v>99.756569999999996</v>
      </c>
      <c r="V244" s="424">
        <f>IF(AND($L244&lt;&gt;"",V$3&lt;&gt;""),IF(NOT(ISNUMBER(_xll.ciqfunctions.udf.CIQ(V$3, "IQ_BOND_PRICE", $L244))),NA(),_xll.ciqfunctions.udf.CIQ(V$3, "IQ_BOND_PRICE", $L244)),"")</f>
        <v>102.10214000000001</v>
      </c>
      <c r="W244" s="424">
        <f>IF(AND($L244&lt;&gt;"",W$3&lt;&gt;""),IF(NOT(ISNUMBER(_xll.ciqfunctions.udf.CIQ(W$3, "IQ_BOND_PRICE", $L244))),NA(),_xll.ciqfunctions.udf.CIQ(W$3, "IQ_BOND_PRICE", $L244)),"")</f>
        <v>104.67700000000001</v>
      </c>
      <c r="X244" s="424">
        <f>IF(AND($L244&lt;&gt;"",X$3&lt;&gt;""),IF(NOT(ISNUMBER(_xll.ciqfunctions.udf.CIQ(X$3, "IQ_BOND_PRICE", $L244))),NA(),_xll.ciqfunctions.udf.CIQ(X$3, "IQ_BOND_PRICE", $L244)),"")</f>
        <v>107.358</v>
      </c>
      <c r="Y244" s="424">
        <f>IF(AND($L244&lt;&gt;"",Y$3&lt;&gt;""),IF(NOT(ISNUMBER(_xll.ciqfunctions.udf.CIQ(Y$3, "IQ_BOND_PRICE", $L244))),NA(),_xll.ciqfunctions.udf.CIQ(Y$3, "IQ_BOND_PRICE", $L244)),"")</f>
        <v>103.827</v>
      </c>
      <c r="Z244" s="424">
        <f>IF(AND($L244&lt;&gt;"",Z$3&lt;&gt;""),IF(NOT(ISNUMBER(_xll.ciqfunctions.udf.CIQ(Z$3, "IQ_BOND_PRICE", $L244))),NA(),_xll.ciqfunctions.udf.CIQ(Z$3, "IQ_BOND_PRICE", $L244)),"")</f>
        <v>95.615489999999994</v>
      </c>
      <c r="CZ244" s="426"/>
    </row>
    <row r="245" spans="12:104" x14ac:dyDescent="0.2">
      <c r="L245" s="425">
        <f t="shared" si="3"/>
        <v>44615</v>
      </c>
      <c r="M245" s="424">
        <f>IF(AND($L245&lt;&gt;"",M$3&lt;&gt;""),IF(NOT(ISNUMBER(_xll.ciqfunctions.udf.CIQ(M$3, "IQ_BOND_PRICE", $L245))),NA(),_xll.ciqfunctions.udf.CIQ(M$3, "IQ_BOND_PRICE", $L245)),"")</f>
        <v>100.142</v>
      </c>
      <c r="N245" s="424">
        <f>IF(AND($L245&lt;&gt;"",N$3&lt;&gt;""),IF(NOT(ISNUMBER(_xll.ciqfunctions.udf.CIQ(N$3, "IQ_BOND_PRICE", $L245))),NA(),_xll.ciqfunctions.udf.CIQ(N$3, "IQ_BOND_PRICE", $L245)),"")</f>
        <v>0</v>
      </c>
      <c r="O245" s="424">
        <f>IF(AND($L245&lt;&gt;"",O$3&lt;&gt;""),IF(NOT(ISNUMBER(_xll.ciqfunctions.udf.CIQ(O$3, "IQ_BOND_PRICE", $L245))),NA(),_xll.ciqfunctions.udf.CIQ(O$3, "IQ_BOND_PRICE", $L245)),"")</f>
        <v>101.03579000000001</v>
      </c>
      <c r="P245" s="424">
        <f>IF(AND($L245&lt;&gt;"",P$3&lt;&gt;""),IF(NOT(ISNUMBER(_xll.ciqfunctions.udf.CIQ(P$3, "IQ_BOND_PRICE", $L245))),NA(),_xll.ciqfunctions.udf.CIQ(P$3, "IQ_BOND_PRICE", $L245)),"")</f>
        <v>101.07442</v>
      </c>
      <c r="Q245" s="424">
        <f>IF(AND($L245&lt;&gt;"",Q$3&lt;&gt;""),IF(NOT(ISNUMBER(_xll.ciqfunctions.udf.CIQ(Q$3, "IQ_BOND_PRICE", $L245))),NA(),_xll.ciqfunctions.udf.CIQ(Q$3, "IQ_BOND_PRICE", $L245)),"")</f>
        <v>102.47</v>
      </c>
      <c r="R245" s="424">
        <f>IF(AND($L245&lt;&gt;"",R$3&lt;&gt;""),IF(NOT(ISNUMBER(_xll.ciqfunctions.udf.CIQ(R$3, "IQ_BOND_PRICE", $L245))),NA(),_xll.ciqfunctions.udf.CIQ(R$3, "IQ_BOND_PRICE", $L245)),"")</f>
        <v>107.964</v>
      </c>
      <c r="S245" s="424">
        <f>IF(AND($L245&lt;&gt;"",S$3&lt;&gt;""),IF(NOT(ISNUMBER(_xll.ciqfunctions.udf.CIQ(S$3, "IQ_BOND_PRICE", $L245))),NA(),_xll.ciqfunctions.udf.CIQ(S$3, "IQ_BOND_PRICE", $L245)),"")</f>
        <v>102.858</v>
      </c>
      <c r="T245" s="424">
        <f>IF(AND($L245&lt;&gt;"",T$3&lt;&gt;""),IF(NOT(ISNUMBER(_xll.ciqfunctions.udf.CIQ(T$3, "IQ_BOND_PRICE", $L245))),NA(),_xll.ciqfunctions.udf.CIQ(T$3, "IQ_BOND_PRICE", $L245)),"")</f>
        <v>102.191</v>
      </c>
      <c r="U245" s="424">
        <f>IF(AND($L245&lt;&gt;"",U$3&lt;&gt;""),IF(NOT(ISNUMBER(_xll.ciqfunctions.udf.CIQ(U$3, "IQ_BOND_PRICE", $L245))),NA(),_xll.ciqfunctions.udf.CIQ(U$3, "IQ_BOND_PRICE", $L245)),"")</f>
        <v>99.757199999999997</v>
      </c>
      <c r="V245" s="424">
        <f>IF(AND($L245&lt;&gt;"",V$3&lt;&gt;""),IF(NOT(ISNUMBER(_xll.ciqfunctions.udf.CIQ(V$3, "IQ_BOND_PRICE", $L245))),NA(),_xll.ciqfunctions.udf.CIQ(V$3, "IQ_BOND_PRICE", $L245)),"")</f>
        <v>102.06511999999999</v>
      </c>
      <c r="W245" s="424">
        <f>IF(AND($L245&lt;&gt;"",W$3&lt;&gt;""),IF(NOT(ISNUMBER(_xll.ciqfunctions.udf.CIQ(W$3, "IQ_BOND_PRICE", $L245))),NA(),_xll.ciqfunctions.udf.CIQ(W$3, "IQ_BOND_PRICE", $L245)),"")</f>
        <v>104.61</v>
      </c>
      <c r="X245" s="424">
        <f>IF(AND($L245&lt;&gt;"",X$3&lt;&gt;""),IF(NOT(ISNUMBER(_xll.ciqfunctions.udf.CIQ(X$3, "IQ_BOND_PRICE", $L245))),NA(),_xll.ciqfunctions.udf.CIQ(X$3, "IQ_BOND_PRICE", $L245)),"")</f>
        <v>107.164</v>
      </c>
      <c r="Y245" s="424">
        <f>IF(AND($L245&lt;&gt;"",Y$3&lt;&gt;""),IF(NOT(ISNUMBER(_xll.ciqfunctions.udf.CIQ(Y$3, "IQ_BOND_PRICE", $L245))),NA(),_xll.ciqfunctions.udf.CIQ(Y$3, "IQ_BOND_PRICE", $L245)),"")</f>
        <v>103.604</v>
      </c>
      <c r="Z245" s="424">
        <f>IF(AND($L245&lt;&gt;"",Z$3&lt;&gt;""),IF(NOT(ISNUMBER(_xll.ciqfunctions.udf.CIQ(Z$3, "IQ_BOND_PRICE", $L245))),NA(),_xll.ciqfunctions.udf.CIQ(Z$3, "IQ_BOND_PRICE", $L245)),"")</f>
        <v>95.337469999999996</v>
      </c>
      <c r="CZ245" s="426"/>
    </row>
    <row r="246" spans="12:104" x14ac:dyDescent="0.2">
      <c r="L246" s="425">
        <f t="shared" si="3"/>
        <v>44616</v>
      </c>
      <c r="M246" s="424">
        <f>IF(AND($L246&lt;&gt;"",M$3&lt;&gt;""),IF(NOT(ISNUMBER(_xll.ciqfunctions.udf.CIQ(M$3, "IQ_BOND_PRICE", $L246))),NA(),_xll.ciqfunctions.udf.CIQ(M$3, "IQ_BOND_PRICE", $L246)),"")</f>
        <v>100.124</v>
      </c>
      <c r="N246" s="424">
        <f>IF(AND($L246&lt;&gt;"",N$3&lt;&gt;""),IF(NOT(ISNUMBER(_xll.ciqfunctions.udf.CIQ(N$3, "IQ_BOND_PRICE", $L246))),NA(),_xll.ciqfunctions.udf.CIQ(N$3, "IQ_BOND_PRICE", $L246)),"")</f>
        <v>0</v>
      </c>
      <c r="O246" s="424">
        <f>IF(AND($L246&lt;&gt;"",O$3&lt;&gt;""),IF(NOT(ISNUMBER(_xll.ciqfunctions.udf.CIQ(O$3, "IQ_BOND_PRICE", $L246))),NA(),_xll.ciqfunctions.udf.CIQ(O$3, "IQ_BOND_PRICE", $L246)),"")</f>
        <v>101.03559</v>
      </c>
      <c r="P246" s="424">
        <f>IF(AND($L246&lt;&gt;"",P$3&lt;&gt;""),IF(NOT(ISNUMBER(_xll.ciqfunctions.udf.CIQ(P$3, "IQ_BOND_PRICE", $L246))),NA(),_xll.ciqfunctions.udf.CIQ(P$3, "IQ_BOND_PRICE", $L246)),"")</f>
        <v>101.04853</v>
      </c>
      <c r="Q246" s="424">
        <f>IF(AND($L246&lt;&gt;"",Q$3&lt;&gt;""),IF(NOT(ISNUMBER(_xll.ciqfunctions.udf.CIQ(Q$3, "IQ_BOND_PRICE", $L246))),NA(),_xll.ciqfunctions.udf.CIQ(Q$3, "IQ_BOND_PRICE", $L246)),"")</f>
        <v>102.45</v>
      </c>
      <c r="R246" s="424">
        <f>IF(AND($L246&lt;&gt;"",R$3&lt;&gt;""),IF(NOT(ISNUMBER(_xll.ciqfunctions.udf.CIQ(R$3, "IQ_BOND_PRICE", $L246))),NA(),_xll.ciqfunctions.udf.CIQ(R$3, "IQ_BOND_PRICE", $L246)),"")</f>
        <v>108.04300000000001</v>
      </c>
      <c r="S246" s="424">
        <f>IF(AND($L246&lt;&gt;"",S$3&lt;&gt;""),IF(NOT(ISNUMBER(_xll.ciqfunctions.udf.CIQ(S$3, "IQ_BOND_PRICE", $L246))),NA(),_xll.ciqfunctions.udf.CIQ(S$3, "IQ_BOND_PRICE", $L246)),"")</f>
        <v>102.96899999999999</v>
      </c>
      <c r="T246" s="424">
        <f>IF(AND($L246&lt;&gt;"",T$3&lt;&gt;""),IF(NOT(ISNUMBER(_xll.ciqfunctions.udf.CIQ(T$3, "IQ_BOND_PRICE", $L246))),NA(),_xll.ciqfunctions.udf.CIQ(T$3, "IQ_BOND_PRICE", $L246)),"")</f>
        <v>102.319</v>
      </c>
      <c r="U246" s="424">
        <f>IF(AND($L246&lt;&gt;"",U$3&lt;&gt;""),IF(NOT(ISNUMBER(_xll.ciqfunctions.udf.CIQ(U$3, "IQ_BOND_PRICE", $L246))),NA(),_xll.ciqfunctions.udf.CIQ(U$3, "IQ_BOND_PRICE", $L246)),"")</f>
        <v>99.764889999999994</v>
      </c>
      <c r="V246" s="424">
        <f>IF(AND($L246&lt;&gt;"",V$3&lt;&gt;""),IF(NOT(ISNUMBER(_xll.ciqfunctions.udf.CIQ(V$3, "IQ_BOND_PRICE", $L246))),NA(),_xll.ciqfunctions.udf.CIQ(V$3, "IQ_BOND_PRICE", $L246)),"")</f>
        <v>102.17458000000001</v>
      </c>
      <c r="W246" s="424">
        <f>IF(AND($L246&lt;&gt;"",W$3&lt;&gt;""),IF(NOT(ISNUMBER(_xll.ciqfunctions.udf.CIQ(W$3, "IQ_BOND_PRICE", $L246))),NA(),_xll.ciqfunctions.udf.CIQ(W$3, "IQ_BOND_PRICE", $L246)),"")</f>
        <v>104.733</v>
      </c>
      <c r="X246" s="424">
        <f>IF(AND($L246&lt;&gt;"",X$3&lt;&gt;""),IF(NOT(ISNUMBER(_xll.ciqfunctions.udf.CIQ(X$3, "IQ_BOND_PRICE", $L246))),NA(),_xll.ciqfunctions.udf.CIQ(X$3, "IQ_BOND_PRICE", $L246)),"")</f>
        <v>107.09399999999999</v>
      </c>
      <c r="Y246" s="424">
        <f>IF(AND($L246&lt;&gt;"",Y$3&lt;&gt;""),IF(NOT(ISNUMBER(_xll.ciqfunctions.udf.CIQ(Y$3, "IQ_BOND_PRICE", $L246))),NA(),_xll.ciqfunctions.udf.CIQ(Y$3, "IQ_BOND_PRICE", $L246)),"")</f>
        <v>103.73399999999999</v>
      </c>
      <c r="Z246" s="424">
        <f>IF(AND($L246&lt;&gt;"",Z$3&lt;&gt;""),IF(NOT(ISNUMBER(_xll.ciqfunctions.udf.CIQ(Z$3, "IQ_BOND_PRICE", $L246))),NA(),_xll.ciqfunctions.udf.CIQ(Z$3, "IQ_BOND_PRICE", $L246)),"")</f>
        <v>95.465119999999999</v>
      </c>
      <c r="CZ246" s="426"/>
    </row>
    <row r="247" spans="12:104" x14ac:dyDescent="0.2">
      <c r="L247" s="425">
        <f t="shared" si="3"/>
        <v>44617</v>
      </c>
      <c r="M247" s="424">
        <f>IF(AND($L247&lt;&gt;"",M$3&lt;&gt;""),IF(NOT(ISNUMBER(_xll.ciqfunctions.udf.CIQ(M$3, "IQ_BOND_PRICE", $L247))),NA(),_xll.ciqfunctions.udf.CIQ(M$3, "IQ_BOND_PRICE", $L247)),"")</f>
        <v>100.123</v>
      </c>
      <c r="N247" s="424">
        <f>IF(AND($L247&lt;&gt;"",N$3&lt;&gt;""),IF(NOT(ISNUMBER(_xll.ciqfunctions.udf.CIQ(N$3, "IQ_BOND_PRICE", $L247))),NA(),_xll.ciqfunctions.udf.CIQ(N$3, "IQ_BOND_PRICE", $L247)),"")</f>
        <v>0</v>
      </c>
      <c r="O247" s="424">
        <f>IF(AND($L247&lt;&gt;"",O$3&lt;&gt;""),IF(NOT(ISNUMBER(_xll.ciqfunctions.udf.CIQ(O$3, "IQ_BOND_PRICE", $L247))),NA(),_xll.ciqfunctions.udf.CIQ(O$3, "IQ_BOND_PRICE", $L247)),"")</f>
        <v>100.9902</v>
      </c>
      <c r="P247" s="424">
        <f>IF(AND($L247&lt;&gt;"",P$3&lt;&gt;""),IF(NOT(ISNUMBER(_xll.ciqfunctions.udf.CIQ(P$3, "IQ_BOND_PRICE", $L247))),NA(),_xll.ciqfunctions.udf.CIQ(P$3, "IQ_BOND_PRICE", $L247)),"")</f>
        <v>100.9967</v>
      </c>
      <c r="Q247" s="424">
        <f>IF(AND($L247&lt;&gt;"",Q$3&lt;&gt;""),IF(NOT(ISNUMBER(_xll.ciqfunctions.udf.CIQ(Q$3, "IQ_BOND_PRICE", $L247))),NA(),_xll.ciqfunctions.udf.CIQ(Q$3, "IQ_BOND_PRICE", $L247)),"")</f>
        <v>102.251</v>
      </c>
      <c r="R247" s="424">
        <f>IF(AND($L247&lt;&gt;"",R$3&lt;&gt;""),IF(NOT(ISNUMBER(_xll.ciqfunctions.udf.CIQ(R$3, "IQ_BOND_PRICE", $L247))),NA(),_xll.ciqfunctions.udf.CIQ(R$3, "IQ_BOND_PRICE", $L247)),"")</f>
        <v>108.004</v>
      </c>
      <c r="S247" s="424">
        <f>IF(AND($L247&lt;&gt;"",S$3&lt;&gt;""),IF(NOT(ISNUMBER(_xll.ciqfunctions.udf.CIQ(S$3, "IQ_BOND_PRICE", $L247))),NA(),_xll.ciqfunctions.udf.CIQ(S$3, "IQ_BOND_PRICE", $L247)),"")</f>
        <v>103.02</v>
      </c>
      <c r="T247" s="424">
        <f>IF(AND($L247&lt;&gt;"",T$3&lt;&gt;""),IF(NOT(ISNUMBER(_xll.ciqfunctions.udf.CIQ(T$3, "IQ_BOND_PRICE", $L247))),NA(),_xll.ciqfunctions.udf.CIQ(T$3, "IQ_BOND_PRICE", $L247)),"")</f>
        <v>102.202</v>
      </c>
      <c r="U247" s="424">
        <f>IF(AND($L247&lt;&gt;"",U$3&lt;&gt;""),IF(NOT(ISNUMBER(_xll.ciqfunctions.udf.CIQ(U$3, "IQ_BOND_PRICE", $L247))),NA(),_xll.ciqfunctions.udf.CIQ(U$3, "IQ_BOND_PRICE", $L247)),"")</f>
        <v>99.744730000000004</v>
      </c>
      <c r="V247" s="424">
        <f>IF(AND($L247&lt;&gt;"",V$3&lt;&gt;""),IF(NOT(ISNUMBER(_xll.ciqfunctions.udf.CIQ(V$3, "IQ_BOND_PRICE", $L247))),NA(),_xll.ciqfunctions.udf.CIQ(V$3, "IQ_BOND_PRICE", $L247)),"")</f>
        <v>102.04210999999999</v>
      </c>
      <c r="W247" s="424">
        <f>IF(AND($L247&lt;&gt;"",W$3&lt;&gt;""),IF(NOT(ISNUMBER(_xll.ciqfunctions.udf.CIQ(W$3, "IQ_BOND_PRICE", $L247))),NA(),_xll.ciqfunctions.udf.CIQ(W$3, "IQ_BOND_PRICE", $L247)),"")</f>
        <v>104.583</v>
      </c>
      <c r="X247" s="424">
        <f>IF(AND($L247&lt;&gt;"",X$3&lt;&gt;""),IF(NOT(ISNUMBER(_xll.ciqfunctions.udf.CIQ(X$3, "IQ_BOND_PRICE", $L247))),NA(),_xll.ciqfunctions.udf.CIQ(X$3, "IQ_BOND_PRICE", $L247)),"")</f>
        <v>107.015</v>
      </c>
      <c r="Y247" s="424">
        <f>IF(AND($L247&lt;&gt;"",Y$3&lt;&gt;""),IF(NOT(ISNUMBER(_xll.ciqfunctions.udf.CIQ(Y$3, "IQ_BOND_PRICE", $L247))),NA(),_xll.ciqfunctions.udf.CIQ(Y$3, "IQ_BOND_PRICE", $L247)),"")</f>
        <v>103.32299999999999</v>
      </c>
      <c r="Z247" s="424">
        <f>IF(AND($L247&lt;&gt;"",Z$3&lt;&gt;""),IF(NOT(ISNUMBER(_xll.ciqfunctions.udf.CIQ(Z$3, "IQ_BOND_PRICE", $L247))),NA(),_xll.ciqfunctions.udf.CIQ(Z$3, "IQ_BOND_PRICE", $L247)),"")</f>
        <v>95.2089</v>
      </c>
      <c r="CZ247" s="426"/>
    </row>
    <row r="248" spans="12:104" x14ac:dyDescent="0.2">
      <c r="L248" s="425">
        <f t="shared" si="3"/>
        <v>44620</v>
      </c>
      <c r="M248" s="424">
        <f>IF(AND($L248&lt;&gt;"",M$3&lt;&gt;""),IF(NOT(ISNUMBER(_xll.ciqfunctions.udf.CIQ(M$3, "IQ_BOND_PRICE", $L248))),NA(),_xll.ciqfunctions.udf.CIQ(M$3, "IQ_BOND_PRICE", $L248)),"")</f>
        <v>100.11799999999999</v>
      </c>
      <c r="N248" s="424">
        <f>IF(AND($L248&lt;&gt;"",N$3&lt;&gt;""),IF(NOT(ISNUMBER(_xll.ciqfunctions.udf.CIQ(N$3, "IQ_BOND_PRICE", $L248))),NA(),_xll.ciqfunctions.udf.CIQ(N$3, "IQ_BOND_PRICE", $L248)),"")</f>
        <v>0</v>
      </c>
      <c r="O248" s="424">
        <f>IF(AND($L248&lt;&gt;"",O$3&lt;&gt;""),IF(NOT(ISNUMBER(_xll.ciqfunctions.udf.CIQ(O$3, "IQ_BOND_PRICE", $L248))),NA(),_xll.ciqfunctions.udf.CIQ(O$3, "IQ_BOND_PRICE", $L248)),"")</f>
        <v>101.05764000000001</v>
      </c>
      <c r="P248" s="424">
        <f>IF(AND($L248&lt;&gt;"",P$3&lt;&gt;""),IF(NOT(ISNUMBER(_xll.ciqfunctions.udf.CIQ(P$3, "IQ_BOND_PRICE", $L248))),NA(),_xll.ciqfunctions.udf.CIQ(P$3, "IQ_BOND_PRICE", $L248)),"")</f>
        <v>101.12260000000001</v>
      </c>
      <c r="Q248" s="424">
        <f>IF(AND($L248&lt;&gt;"",Q$3&lt;&gt;""),IF(NOT(ISNUMBER(_xll.ciqfunctions.udf.CIQ(Q$3, "IQ_BOND_PRICE", $L248))),NA(),_xll.ciqfunctions.udf.CIQ(Q$3, "IQ_BOND_PRICE", $L248)),"")</f>
        <v>102.506</v>
      </c>
      <c r="R248" s="424">
        <f>IF(AND($L248&lt;&gt;"",R$3&lt;&gt;""),IF(NOT(ISNUMBER(_xll.ciqfunctions.udf.CIQ(R$3, "IQ_BOND_PRICE", $L248))),NA(),_xll.ciqfunctions.udf.CIQ(R$3, "IQ_BOND_PRICE", $L248)),"")</f>
        <v>107.913</v>
      </c>
      <c r="S248" s="424">
        <f>IF(AND($L248&lt;&gt;"",S$3&lt;&gt;""),IF(NOT(ISNUMBER(_xll.ciqfunctions.udf.CIQ(S$3, "IQ_BOND_PRICE", $L248))),NA(),_xll.ciqfunctions.udf.CIQ(S$3, "IQ_BOND_PRICE", $L248)),"")</f>
        <v>103.3</v>
      </c>
      <c r="T248" s="424">
        <f>IF(AND($L248&lt;&gt;"",T$3&lt;&gt;""),IF(NOT(ISNUMBER(_xll.ciqfunctions.udf.CIQ(T$3, "IQ_BOND_PRICE", $L248))),NA(),_xll.ciqfunctions.udf.CIQ(T$3, "IQ_BOND_PRICE", $L248)),"")</f>
        <v>102.53700000000001</v>
      </c>
      <c r="U248" s="424">
        <f>IF(AND($L248&lt;&gt;"",U$3&lt;&gt;""),IF(NOT(ISNUMBER(_xll.ciqfunctions.udf.CIQ(U$3, "IQ_BOND_PRICE", $L248))),NA(),_xll.ciqfunctions.udf.CIQ(U$3, "IQ_BOND_PRICE", $L248)),"")</f>
        <v>99.768810000000002</v>
      </c>
      <c r="V248" s="424">
        <f>IF(AND($L248&lt;&gt;"",V$3&lt;&gt;""),IF(NOT(ISNUMBER(_xll.ciqfunctions.udf.CIQ(V$3, "IQ_BOND_PRICE", $L248))),NA(),_xll.ciqfunctions.udf.CIQ(V$3, "IQ_BOND_PRICE", $L248)),"")</f>
        <v>102.42872</v>
      </c>
      <c r="W248" s="424">
        <f>IF(AND($L248&lt;&gt;"",W$3&lt;&gt;""),IF(NOT(ISNUMBER(_xll.ciqfunctions.udf.CIQ(W$3, "IQ_BOND_PRICE", $L248))),NA(),_xll.ciqfunctions.udf.CIQ(W$3, "IQ_BOND_PRICE", $L248)),"")</f>
        <v>105.098</v>
      </c>
      <c r="X248" s="424">
        <f>IF(AND($L248&lt;&gt;"",X$3&lt;&gt;""),IF(NOT(ISNUMBER(_xll.ciqfunctions.udf.CIQ(X$3, "IQ_BOND_PRICE", $L248))),NA(),_xll.ciqfunctions.udf.CIQ(X$3, "IQ_BOND_PRICE", $L248)),"")</f>
        <v>107.294</v>
      </c>
      <c r="Y248" s="424">
        <f>IF(AND($L248&lt;&gt;"",Y$3&lt;&gt;""),IF(NOT(ISNUMBER(_xll.ciqfunctions.udf.CIQ(Y$3, "IQ_BOND_PRICE", $L248))),NA(),_xll.ciqfunctions.udf.CIQ(Y$3, "IQ_BOND_PRICE", $L248)),"")</f>
        <v>104.254</v>
      </c>
      <c r="Z248" s="424">
        <f>IF(AND($L248&lt;&gt;"",Z$3&lt;&gt;""),IF(NOT(ISNUMBER(_xll.ciqfunctions.udf.CIQ(Z$3, "IQ_BOND_PRICE", $L248))),NA(),_xll.ciqfunctions.udf.CIQ(Z$3, "IQ_BOND_PRICE", $L248)),"")</f>
        <v>96.045659999999998</v>
      </c>
      <c r="CZ248" s="426"/>
    </row>
    <row r="249" spans="12:104" x14ac:dyDescent="0.2">
      <c r="L249" s="425">
        <f t="shared" si="3"/>
        <v>44621</v>
      </c>
      <c r="M249" s="424">
        <f>IF(AND($L249&lt;&gt;"",M$3&lt;&gt;""),IF(NOT(ISNUMBER(_xll.ciqfunctions.udf.CIQ(M$3, "IQ_BOND_PRICE", $L249))),NA(),_xll.ciqfunctions.udf.CIQ(M$3, "IQ_BOND_PRICE", $L249)),"")</f>
        <v>100.11799999999999</v>
      </c>
      <c r="N249" s="424">
        <f>IF(AND($L249&lt;&gt;"",N$3&lt;&gt;""),IF(NOT(ISNUMBER(_xll.ciqfunctions.udf.CIQ(N$3, "IQ_BOND_PRICE", $L249))),NA(),_xll.ciqfunctions.udf.CIQ(N$3, "IQ_BOND_PRICE", $L249)),"")</f>
        <v>0</v>
      </c>
      <c r="O249" s="424">
        <f>IF(AND($L249&lt;&gt;"",O$3&lt;&gt;""),IF(NOT(ISNUMBER(_xll.ciqfunctions.udf.CIQ(O$3, "IQ_BOND_PRICE", $L249))),NA(),_xll.ciqfunctions.udf.CIQ(O$3, "IQ_BOND_PRICE", $L249)),"")</f>
        <v>101.14179</v>
      </c>
      <c r="P249" s="424">
        <f>IF(AND($L249&lt;&gt;"",P$3&lt;&gt;""),IF(NOT(ISNUMBER(_xll.ciqfunctions.udf.CIQ(P$3, "IQ_BOND_PRICE", $L249))),NA(),_xll.ciqfunctions.udf.CIQ(P$3, "IQ_BOND_PRICE", $L249)),"")</f>
        <v>101.21602</v>
      </c>
      <c r="Q249" s="424">
        <f>IF(AND($L249&lt;&gt;"",Q$3&lt;&gt;""),IF(NOT(ISNUMBER(_xll.ciqfunctions.udf.CIQ(Q$3, "IQ_BOND_PRICE", $L249))),NA(),_xll.ciqfunctions.udf.CIQ(Q$3, "IQ_BOND_PRICE", $L249)),"")</f>
        <v>102.71899999999999</v>
      </c>
      <c r="R249" s="424">
        <f>IF(AND($L249&lt;&gt;"",R$3&lt;&gt;""),IF(NOT(ISNUMBER(_xll.ciqfunctions.udf.CIQ(R$3, "IQ_BOND_PRICE", $L249))),NA(),_xll.ciqfunctions.udf.CIQ(R$3, "IQ_BOND_PRICE", $L249)),"")</f>
        <v>108.29600000000001</v>
      </c>
      <c r="S249" s="424">
        <f>IF(AND($L249&lt;&gt;"",S$3&lt;&gt;""),IF(NOT(ISNUMBER(_xll.ciqfunctions.udf.CIQ(S$3, "IQ_BOND_PRICE", $L249))),NA(),_xll.ciqfunctions.udf.CIQ(S$3, "IQ_BOND_PRICE", $L249)),"")</f>
        <v>103.52500000000001</v>
      </c>
      <c r="T249" s="424">
        <f>IF(AND($L249&lt;&gt;"",T$3&lt;&gt;""),IF(NOT(ISNUMBER(_xll.ciqfunctions.udf.CIQ(T$3, "IQ_BOND_PRICE", $L249))),NA(),_xll.ciqfunctions.udf.CIQ(T$3, "IQ_BOND_PRICE", $L249)),"")</f>
        <v>102.807</v>
      </c>
      <c r="U249" s="424">
        <f>IF(AND($L249&lt;&gt;"",U$3&lt;&gt;""),IF(NOT(ISNUMBER(_xll.ciqfunctions.udf.CIQ(U$3, "IQ_BOND_PRICE", $L249))),NA(),_xll.ciqfunctions.udf.CIQ(U$3, "IQ_BOND_PRICE", $L249)),"")</f>
        <v>99.780529999999999</v>
      </c>
      <c r="V249" s="424">
        <f>IF(AND($L249&lt;&gt;"",V$3&lt;&gt;""),IF(NOT(ISNUMBER(_xll.ciqfunctions.udf.CIQ(V$3, "IQ_BOND_PRICE", $L249))),NA(),_xll.ciqfunctions.udf.CIQ(V$3, "IQ_BOND_PRICE", $L249)),"")</f>
        <v>102.74078</v>
      </c>
      <c r="W249" s="424">
        <f>IF(AND($L249&lt;&gt;"",W$3&lt;&gt;""),IF(NOT(ISNUMBER(_xll.ciqfunctions.udf.CIQ(W$3, "IQ_BOND_PRICE", $L249))),NA(),_xll.ciqfunctions.udf.CIQ(W$3, "IQ_BOND_PRICE", $L249)),"")</f>
        <v>105.602</v>
      </c>
      <c r="X249" s="424">
        <f>IF(AND($L249&lt;&gt;"",X$3&lt;&gt;""),IF(NOT(ISNUMBER(_xll.ciqfunctions.udf.CIQ(X$3, "IQ_BOND_PRICE", $L249))),NA(),_xll.ciqfunctions.udf.CIQ(X$3, "IQ_BOND_PRICE", $L249)),"")</f>
        <v>108.18300000000001</v>
      </c>
      <c r="Y249" s="424">
        <f>IF(AND($L249&lt;&gt;"",Y$3&lt;&gt;""),IF(NOT(ISNUMBER(_xll.ciqfunctions.udf.CIQ(Y$3, "IQ_BOND_PRICE", $L249))),NA(),_xll.ciqfunctions.udf.CIQ(Y$3, "IQ_BOND_PRICE", $L249)),"")</f>
        <v>104.925</v>
      </c>
      <c r="Z249" s="424">
        <f>IF(AND($L249&lt;&gt;"",Z$3&lt;&gt;""),IF(NOT(ISNUMBER(_xll.ciqfunctions.udf.CIQ(Z$3, "IQ_BOND_PRICE", $L249))),NA(),_xll.ciqfunctions.udf.CIQ(Z$3, "IQ_BOND_PRICE", $L249)),"")</f>
        <v>96.771990000000002</v>
      </c>
      <c r="CZ249" s="426"/>
    </row>
    <row r="250" spans="12:104" x14ac:dyDescent="0.2">
      <c r="L250" s="425">
        <f t="shared" si="3"/>
        <v>44622</v>
      </c>
      <c r="M250" s="424">
        <f>IF(AND($L250&lt;&gt;"",M$3&lt;&gt;""),IF(NOT(ISNUMBER(_xll.ciqfunctions.udf.CIQ(M$3, "IQ_BOND_PRICE", $L250))),NA(),_xll.ciqfunctions.udf.CIQ(M$3, "IQ_BOND_PRICE", $L250)),"")</f>
        <v>100.117</v>
      </c>
      <c r="N250" s="424">
        <f>IF(AND($L250&lt;&gt;"",N$3&lt;&gt;""),IF(NOT(ISNUMBER(_xll.ciqfunctions.udf.CIQ(N$3, "IQ_BOND_PRICE", $L250))),NA(),_xll.ciqfunctions.udf.CIQ(N$3, "IQ_BOND_PRICE", $L250)),"")</f>
        <v>0</v>
      </c>
      <c r="O250" s="424">
        <f>IF(AND($L250&lt;&gt;"",O$3&lt;&gt;""),IF(NOT(ISNUMBER(_xll.ciqfunctions.udf.CIQ(O$3, "IQ_BOND_PRICE", $L250))),NA(),_xll.ciqfunctions.udf.CIQ(O$3, "IQ_BOND_PRICE", $L250)),"")</f>
        <v>101.05376</v>
      </c>
      <c r="P250" s="424">
        <f>IF(AND($L250&lt;&gt;"",P$3&lt;&gt;""),IF(NOT(ISNUMBER(_xll.ciqfunctions.udf.CIQ(P$3, "IQ_BOND_PRICE", $L250))),NA(),_xll.ciqfunctions.udf.CIQ(P$3, "IQ_BOND_PRICE", $L250)),"")</f>
        <v>101.09251</v>
      </c>
      <c r="Q250" s="424">
        <f>IF(AND($L250&lt;&gt;"",Q$3&lt;&gt;""),IF(NOT(ISNUMBER(_xll.ciqfunctions.udf.CIQ(Q$3, "IQ_BOND_PRICE", $L250))),NA(),_xll.ciqfunctions.udf.CIQ(Q$3, "IQ_BOND_PRICE", $L250)),"")</f>
        <v>102.38500000000001</v>
      </c>
      <c r="R250" s="424">
        <f>IF(AND($L250&lt;&gt;"",R$3&lt;&gt;""),IF(NOT(ISNUMBER(_xll.ciqfunctions.udf.CIQ(R$3, "IQ_BOND_PRICE", $L250))),NA(),_xll.ciqfunctions.udf.CIQ(R$3, "IQ_BOND_PRICE", $L250)),"")</f>
        <v>107.881</v>
      </c>
      <c r="S250" s="424">
        <f>IF(AND($L250&lt;&gt;"",S$3&lt;&gt;""),IF(NOT(ISNUMBER(_xll.ciqfunctions.udf.CIQ(S$3, "IQ_BOND_PRICE", $L250))),NA(),_xll.ciqfunctions.udf.CIQ(S$3, "IQ_BOND_PRICE", $L250)),"")</f>
        <v>102.892</v>
      </c>
      <c r="T250" s="424">
        <f>IF(AND($L250&lt;&gt;"",T$3&lt;&gt;""),IF(NOT(ISNUMBER(_xll.ciqfunctions.udf.CIQ(T$3, "IQ_BOND_PRICE", $L250))),NA(),_xll.ciqfunctions.udf.CIQ(T$3, "IQ_BOND_PRICE", $L250)),"")</f>
        <v>102.334</v>
      </c>
      <c r="U250" s="424">
        <f>IF(AND($L250&lt;&gt;"",U$3&lt;&gt;""),IF(NOT(ISNUMBER(_xll.ciqfunctions.udf.CIQ(U$3, "IQ_BOND_PRICE", $L250))),NA(),_xll.ciqfunctions.udf.CIQ(U$3, "IQ_BOND_PRICE", $L250)),"")</f>
        <v>99.820809999999994</v>
      </c>
      <c r="V250" s="424">
        <f>IF(AND($L250&lt;&gt;"",V$3&lt;&gt;""),IF(NOT(ISNUMBER(_xll.ciqfunctions.udf.CIQ(V$3, "IQ_BOND_PRICE", $L250))),NA(),_xll.ciqfunctions.udf.CIQ(V$3, "IQ_BOND_PRICE", $L250)),"")</f>
        <v>102.19759000000001</v>
      </c>
      <c r="W250" s="424">
        <f>IF(AND($L250&lt;&gt;"",W$3&lt;&gt;""),IF(NOT(ISNUMBER(_xll.ciqfunctions.udf.CIQ(W$3, "IQ_BOND_PRICE", $L250))),NA(),_xll.ciqfunctions.udf.CIQ(W$3, "IQ_BOND_PRICE", $L250)),"")</f>
        <v>104.949</v>
      </c>
      <c r="X250" s="424">
        <f>IF(AND($L250&lt;&gt;"",X$3&lt;&gt;""),IF(NOT(ISNUMBER(_xll.ciqfunctions.udf.CIQ(X$3, "IQ_BOND_PRICE", $L250))),NA(),_xll.ciqfunctions.udf.CIQ(X$3, "IQ_BOND_PRICE", $L250)),"")</f>
        <v>107.681</v>
      </c>
      <c r="Y250" s="424">
        <f>IF(AND($L250&lt;&gt;"",Y$3&lt;&gt;""),IF(NOT(ISNUMBER(_xll.ciqfunctions.udf.CIQ(Y$3, "IQ_BOND_PRICE", $L250))),NA(),_xll.ciqfunctions.udf.CIQ(Y$3, "IQ_BOND_PRICE", $L250)),"")</f>
        <v>104.102</v>
      </c>
      <c r="Z250" s="424">
        <f>IF(AND($L250&lt;&gt;"",Z$3&lt;&gt;""),IF(NOT(ISNUMBER(_xll.ciqfunctions.udf.CIQ(Z$3, "IQ_BOND_PRICE", $L250))),NA(),_xll.ciqfunctions.udf.CIQ(Z$3, "IQ_BOND_PRICE", $L250)),"")</f>
        <v>95.926500000000004</v>
      </c>
      <c r="CZ250" s="426"/>
    </row>
    <row r="251" spans="12:104" x14ac:dyDescent="0.2">
      <c r="L251" s="425">
        <f t="shared" si="3"/>
        <v>44623</v>
      </c>
      <c r="M251" s="424">
        <f>IF(AND($L251&lt;&gt;"",M$3&lt;&gt;""),IF(NOT(ISNUMBER(_xll.ciqfunctions.udf.CIQ(M$3, "IQ_BOND_PRICE", $L251))),NA(),_xll.ciqfunctions.udf.CIQ(M$3, "IQ_BOND_PRICE", $L251)),"")</f>
        <v>100.111</v>
      </c>
      <c r="N251" s="424">
        <f>IF(AND($L251&lt;&gt;"",N$3&lt;&gt;""),IF(NOT(ISNUMBER(_xll.ciqfunctions.udf.CIQ(N$3, "IQ_BOND_PRICE", $L251))),NA(),_xll.ciqfunctions.udf.CIQ(N$3, "IQ_BOND_PRICE", $L251)),"")</f>
        <v>0</v>
      </c>
      <c r="O251" s="424">
        <f>IF(AND($L251&lt;&gt;"",O$3&lt;&gt;""),IF(NOT(ISNUMBER(_xll.ciqfunctions.udf.CIQ(O$3, "IQ_BOND_PRICE", $L251))),NA(),_xll.ciqfunctions.udf.CIQ(O$3, "IQ_BOND_PRICE", $L251)),"")</f>
        <v>100.95683</v>
      </c>
      <c r="P251" s="424">
        <f>IF(AND($L251&lt;&gt;"",P$3&lt;&gt;""),IF(NOT(ISNUMBER(_xll.ciqfunctions.udf.CIQ(P$3, "IQ_BOND_PRICE", $L251))),NA(),_xll.ciqfunctions.udf.CIQ(P$3, "IQ_BOND_PRICE", $L251)),"")</f>
        <v>101.0903</v>
      </c>
      <c r="Q251" s="424">
        <f>IF(AND($L251&lt;&gt;"",Q$3&lt;&gt;""),IF(NOT(ISNUMBER(_xll.ciqfunctions.udf.CIQ(Q$3, "IQ_BOND_PRICE", $L251))),NA(),_xll.ciqfunctions.udf.CIQ(Q$3, "IQ_BOND_PRICE", $L251)),"")</f>
        <v>102.352</v>
      </c>
      <c r="R251" s="424">
        <f>IF(AND($L251&lt;&gt;"",R$3&lt;&gt;""),IF(NOT(ISNUMBER(_xll.ciqfunctions.udf.CIQ(R$3, "IQ_BOND_PRICE", $L251))),NA(),_xll.ciqfunctions.udf.CIQ(R$3, "IQ_BOND_PRICE", $L251)),"")</f>
        <v>107.748</v>
      </c>
      <c r="S251" s="424">
        <f>IF(AND($L251&lt;&gt;"",S$3&lt;&gt;""),IF(NOT(ISNUMBER(_xll.ciqfunctions.udf.CIQ(S$3, "IQ_BOND_PRICE", $L251))),NA(),_xll.ciqfunctions.udf.CIQ(S$3, "IQ_BOND_PRICE", $L251)),"")</f>
        <v>102.86199999999999</v>
      </c>
      <c r="T251" s="424">
        <f>IF(AND($L251&lt;&gt;"",T$3&lt;&gt;""),IF(NOT(ISNUMBER(_xll.ciqfunctions.udf.CIQ(T$3, "IQ_BOND_PRICE", $L251))),NA(),_xll.ciqfunctions.udf.CIQ(T$3, "IQ_BOND_PRICE", $L251)),"")</f>
        <v>102.215</v>
      </c>
      <c r="U251" s="424">
        <f>IF(AND($L251&lt;&gt;"",U$3&lt;&gt;""),IF(NOT(ISNUMBER(_xll.ciqfunctions.udf.CIQ(U$3, "IQ_BOND_PRICE", $L251))),NA(),_xll.ciqfunctions.udf.CIQ(U$3, "IQ_BOND_PRICE", $L251)),"")</f>
        <v>99.792730000000006</v>
      </c>
      <c r="V251" s="424">
        <f>IF(AND($L251&lt;&gt;"",V$3&lt;&gt;""),IF(NOT(ISNUMBER(_xll.ciqfunctions.udf.CIQ(V$3, "IQ_BOND_PRICE", $L251))),NA(),_xll.ciqfunctions.udf.CIQ(V$3, "IQ_BOND_PRICE", $L251)),"")</f>
        <v>102.13417</v>
      </c>
      <c r="W251" s="424">
        <f>IF(AND($L251&lt;&gt;"",W$3&lt;&gt;""),IF(NOT(ISNUMBER(_xll.ciqfunctions.udf.CIQ(W$3, "IQ_BOND_PRICE", $L251))),NA(),_xll.ciqfunctions.udf.CIQ(W$3, "IQ_BOND_PRICE", $L251)),"")</f>
        <v>104.91</v>
      </c>
      <c r="X251" s="424">
        <f>IF(AND($L251&lt;&gt;"",X$3&lt;&gt;""),IF(NOT(ISNUMBER(_xll.ciqfunctions.udf.CIQ(X$3, "IQ_BOND_PRICE", $L251))),NA(),_xll.ciqfunctions.udf.CIQ(X$3, "IQ_BOND_PRICE", $L251)),"")</f>
        <v>107.64400000000001</v>
      </c>
      <c r="Y251" s="424">
        <f>IF(AND($L251&lt;&gt;"",Y$3&lt;&gt;""),IF(NOT(ISNUMBER(_xll.ciqfunctions.udf.CIQ(Y$3, "IQ_BOND_PRICE", $L251))),NA(),_xll.ciqfunctions.udf.CIQ(Y$3, "IQ_BOND_PRICE", $L251)),"")</f>
        <v>104.161</v>
      </c>
      <c r="Z251" s="424">
        <f>IF(AND($L251&lt;&gt;"",Z$3&lt;&gt;""),IF(NOT(ISNUMBER(_xll.ciqfunctions.udf.CIQ(Z$3, "IQ_BOND_PRICE", $L251))),NA(),_xll.ciqfunctions.udf.CIQ(Z$3, "IQ_BOND_PRICE", $L251)),"")</f>
        <v>95.786779999999993</v>
      </c>
      <c r="CZ251" s="426"/>
    </row>
    <row r="252" spans="12:104" x14ac:dyDescent="0.2">
      <c r="L252" s="425">
        <f t="shared" si="3"/>
        <v>44624</v>
      </c>
      <c r="M252" s="424">
        <f>IF(AND($L252&lt;&gt;"",M$3&lt;&gt;""),IF(NOT(ISNUMBER(_xll.ciqfunctions.udf.CIQ(M$3, "IQ_BOND_PRICE", $L252))),NA(),_xll.ciqfunctions.udf.CIQ(M$3, "IQ_BOND_PRICE", $L252)),"")</f>
        <v>100.11</v>
      </c>
      <c r="N252" s="424">
        <f>IF(AND($L252&lt;&gt;"",N$3&lt;&gt;""),IF(NOT(ISNUMBER(_xll.ciqfunctions.udf.CIQ(N$3, "IQ_BOND_PRICE", $L252))),NA(),_xll.ciqfunctions.udf.CIQ(N$3, "IQ_BOND_PRICE", $L252)),"")</f>
        <v>0</v>
      </c>
      <c r="O252" s="424">
        <f>IF(AND($L252&lt;&gt;"",O$3&lt;&gt;""),IF(NOT(ISNUMBER(_xll.ciqfunctions.udf.CIQ(O$3, "IQ_BOND_PRICE", $L252))),NA(),_xll.ciqfunctions.udf.CIQ(O$3, "IQ_BOND_PRICE", $L252)),"")</f>
        <v>100.98147</v>
      </c>
      <c r="P252" s="424">
        <f>IF(AND($L252&lt;&gt;"",P$3&lt;&gt;""),IF(NOT(ISNUMBER(_xll.ciqfunctions.udf.CIQ(P$3, "IQ_BOND_PRICE", $L252))),NA(),_xll.ciqfunctions.udf.CIQ(P$3, "IQ_BOND_PRICE", $L252)),"")</f>
        <v>101.21451999999999</v>
      </c>
      <c r="Q252" s="424">
        <f>IF(AND($L252&lt;&gt;"",Q$3&lt;&gt;""),IF(NOT(ISNUMBER(_xll.ciqfunctions.udf.CIQ(Q$3, "IQ_BOND_PRICE", $L252))),NA(),_xll.ciqfunctions.udf.CIQ(Q$3, "IQ_BOND_PRICE", $L252)),"")</f>
        <v>102.371</v>
      </c>
      <c r="R252" s="424">
        <f>IF(AND($L252&lt;&gt;"",R$3&lt;&gt;""),IF(NOT(ISNUMBER(_xll.ciqfunctions.udf.CIQ(R$3, "IQ_BOND_PRICE", $L252))),NA(),_xll.ciqfunctions.udf.CIQ(R$3, "IQ_BOND_PRICE", $L252)),"")</f>
        <v>107.792</v>
      </c>
      <c r="S252" s="424">
        <f>IF(AND($L252&lt;&gt;"",S$3&lt;&gt;""),IF(NOT(ISNUMBER(_xll.ciqfunctions.udf.CIQ(S$3, "IQ_BOND_PRICE", $L252))),NA(),_xll.ciqfunctions.udf.CIQ(S$3, "IQ_BOND_PRICE", $L252)),"")</f>
        <v>102.94199999999999</v>
      </c>
      <c r="T252" s="424">
        <f>IF(AND($L252&lt;&gt;"",T$3&lt;&gt;""),IF(NOT(ISNUMBER(_xll.ciqfunctions.udf.CIQ(T$3, "IQ_BOND_PRICE", $L252))),NA(),_xll.ciqfunctions.udf.CIQ(T$3, "IQ_BOND_PRICE", $L252)),"")</f>
        <v>102.31</v>
      </c>
      <c r="U252" s="424">
        <f>IF(AND($L252&lt;&gt;"",U$3&lt;&gt;""),IF(NOT(ISNUMBER(_xll.ciqfunctions.udf.CIQ(U$3, "IQ_BOND_PRICE", $L252))),NA(),_xll.ciqfunctions.udf.CIQ(U$3, "IQ_BOND_PRICE", $L252)),"")</f>
        <v>99.79271</v>
      </c>
      <c r="V252" s="424">
        <f>IF(AND($L252&lt;&gt;"",V$3&lt;&gt;""),IF(NOT(ISNUMBER(_xll.ciqfunctions.udf.CIQ(V$3, "IQ_BOND_PRICE", $L252))),NA(),_xll.ciqfunctions.udf.CIQ(V$3, "IQ_BOND_PRICE", $L252)),"")</f>
        <v>102.22221</v>
      </c>
      <c r="W252" s="424">
        <f>IF(AND($L252&lt;&gt;"",W$3&lt;&gt;""),IF(NOT(ISNUMBER(_xll.ciqfunctions.udf.CIQ(W$3, "IQ_BOND_PRICE", $L252))),NA(),_xll.ciqfunctions.udf.CIQ(W$3, "IQ_BOND_PRICE", $L252)),"")</f>
        <v>104.816</v>
      </c>
      <c r="X252" s="424">
        <f>IF(AND($L252&lt;&gt;"",X$3&lt;&gt;""),IF(NOT(ISNUMBER(_xll.ciqfunctions.udf.CIQ(X$3, "IQ_BOND_PRICE", $L252))),NA(),_xll.ciqfunctions.udf.CIQ(X$3, "IQ_BOND_PRICE", $L252)),"")</f>
        <v>108.139</v>
      </c>
      <c r="Y252" s="424">
        <f>IF(AND($L252&lt;&gt;"",Y$3&lt;&gt;""),IF(NOT(ISNUMBER(_xll.ciqfunctions.udf.CIQ(Y$3, "IQ_BOND_PRICE", $L252))),NA(),_xll.ciqfunctions.udf.CIQ(Y$3, "IQ_BOND_PRICE", $L252)),"")</f>
        <v>104.38500000000001</v>
      </c>
      <c r="Z252" s="424">
        <f>IF(AND($L252&lt;&gt;"",Z$3&lt;&gt;""),IF(NOT(ISNUMBER(_xll.ciqfunctions.udf.CIQ(Z$3, "IQ_BOND_PRICE", $L252))),NA(),_xll.ciqfunctions.udf.CIQ(Z$3, "IQ_BOND_PRICE", $L252)),"")</f>
        <v>96.010289999999998</v>
      </c>
      <c r="CZ252" s="426"/>
    </row>
    <row r="253" spans="12:104" x14ac:dyDescent="0.2">
      <c r="L253" s="425">
        <f t="shared" si="3"/>
        <v>44627</v>
      </c>
      <c r="M253" s="424">
        <f>IF(AND($L253&lt;&gt;"",M$3&lt;&gt;""),IF(NOT(ISNUMBER(_xll.ciqfunctions.udf.CIQ(M$3, "IQ_BOND_PRICE", $L253))),NA(),_xll.ciqfunctions.udf.CIQ(M$3, "IQ_BOND_PRICE", $L253)),"")</f>
        <v>100.10599999999999</v>
      </c>
      <c r="N253" s="424">
        <f>IF(AND($L253&lt;&gt;"",N$3&lt;&gt;""),IF(NOT(ISNUMBER(_xll.ciqfunctions.udf.CIQ(N$3, "IQ_BOND_PRICE", $L253))),NA(),_xll.ciqfunctions.udf.CIQ(N$3, "IQ_BOND_PRICE", $L253)),"")</f>
        <v>0</v>
      </c>
      <c r="O253" s="424">
        <f>IF(AND($L253&lt;&gt;"",O$3&lt;&gt;""),IF(NOT(ISNUMBER(_xll.ciqfunctions.udf.CIQ(O$3, "IQ_BOND_PRICE", $L253))),NA(),_xll.ciqfunctions.udf.CIQ(O$3, "IQ_BOND_PRICE", $L253)),"")</f>
        <v>100.69613</v>
      </c>
      <c r="P253" s="424">
        <f>IF(AND($L253&lt;&gt;"",P$3&lt;&gt;""),IF(NOT(ISNUMBER(_xll.ciqfunctions.udf.CIQ(P$3, "IQ_BOND_PRICE", $L253))),NA(),_xll.ciqfunctions.udf.CIQ(P$3, "IQ_BOND_PRICE", $L253)),"")</f>
        <v>100.82161000000001</v>
      </c>
      <c r="Q253" s="424">
        <f>IF(AND($L253&lt;&gt;"",Q$3&lt;&gt;""),IF(NOT(ISNUMBER(_xll.ciqfunctions.udf.CIQ(Q$3, "IQ_BOND_PRICE", $L253))),NA(),_xll.ciqfunctions.udf.CIQ(Q$3, "IQ_BOND_PRICE", $L253)),"")</f>
        <v>102.24299999999999</v>
      </c>
      <c r="R253" s="424">
        <f>IF(AND($L253&lt;&gt;"",R$3&lt;&gt;""),IF(NOT(ISNUMBER(_xll.ciqfunctions.udf.CIQ(R$3, "IQ_BOND_PRICE", $L253))),NA(),_xll.ciqfunctions.udf.CIQ(R$3, "IQ_BOND_PRICE", $L253)),"")</f>
        <v>107.676</v>
      </c>
      <c r="S253" s="424">
        <f>IF(AND($L253&lt;&gt;"",S$3&lt;&gt;""),IF(NOT(ISNUMBER(_xll.ciqfunctions.udf.CIQ(S$3, "IQ_BOND_PRICE", $L253))),NA(),_xll.ciqfunctions.udf.CIQ(S$3, "IQ_BOND_PRICE", $L253)),"")</f>
        <v>102.745</v>
      </c>
      <c r="T253" s="424">
        <f>IF(AND($L253&lt;&gt;"",T$3&lt;&gt;""),IF(NOT(ISNUMBER(_xll.ciqfunctions.udf.CIQ(T$3, "IQ_BOND_PRICE", $L253))),NA(),_xll.ciqfunctions.udf.CIQ(T$3, "IQ_BOND_PRICE", $L253)),"")</f>
        <v>102.36799999999999</v>
      </c>
      <c r="U253" s="424">
        <f>IF(AND($L253&lt;&gt;"",U$3&lt;&gt;""),IF(NOT(ISNUMBER(_xll.ciqfunctions.udf.CIQ(U$3, "IQ_BOND_PRICE", $L253))),NA(),_xll.ciqfunctions.udf.CIQ(U$3, "IQ_BOND_PRICE", $L253)),"")</f>
        <v>99.805779999999999</v>
      </c>
      <c r="V253" s="424">
        <f>IF(AND($L253&lt;&gt;"",V$3&lt;&gt;""),IF(NOT(ISNUMBER(_xll.ciqfunctions.udf.CIQ(V$3, "IQ_BOND_PRICE", $L253))),NA(),_xll.ciqfunctions.udf.CIQ(V$3, "IQ_BOND_PRICE", $L253)),"")</f>
        <v>102.02069</v>
      </c>
      <c r="W253" s="424">
        <f>IF(AND($L253&lt;&gt;"",W$3&lt;&gt;""),IF(NOT(ISNUMBER(_xll.ciqfunctions.udf.CIQ(W$3, "IQ_BOND_PRICE", $L253))),NA(),_xll.ciqfunctions.udf.CIQ(W$3, "IQ_BOND_PRICE", $L253)),"")</f>
        <v>104.625</v>
      </c>
      <c r="X253" s="424">
        <f>IF(AND($L253&lt;&gt;"",X$3&lt;&gt;""),IF(NOT(ISNUMBER(_xll.ciqfunctions.udf.CIQ(X$3, "IQ_BOND_PRICE", $L253))),NA(),_xll.ciqfunctions.udf.CIQ(X$3, "IQ_BOND_PRICE", $L253)),"")</f>
        <v>107.373</v>
      </c>
      <c r="Y253" s="424">
        <f>IF(AND($L253&lt;&gt;"",Y$3&lt;&gt;""),IF(NOT(ISNUMBER(_xll.ciqfunctions.udf.CIQ(Y$3, "IQ_BOND_PRICE", $L253))),NA(),_xll.ciqfunctions.udf.CIQ(Y$3, "IQ_BOND_PRICE", $L253)),"")</f>
        <v>104.13</v>
      </c>
      <c r="Z253" s="424">
        <f>IF(AND($L253&lt;&gt;"",Z$3&lt;&gt;""),IF(NOT(ISNUMBER(_xll.ciqfunctions.udf.CIQ(Z$3, "IQ_BOND_PRICE", $L253))),NA(),_xll.ciqfunctions.udf.CIQ(Z$3, "IQ_BOND_PRICE", $L253)),"")</f>
        <v>95.718890000000002</v>
      </c>
      <c r="CZ253" s="426"/>
    </row>
    <row r="254" spans="12:104" x14ac:dyDescent="0.2">
      <c r="L254" s="425">
        <f t="shared" si="3"/>
        <v>44628</v>
      </c>
      <c r="M254" s="424">
        <f>IF(AND($L254&lt;&gt;"",M$3&lt;&gt;""),IF(NOT(ISNUMBER(_xll.ciqfunctions.udf.CIQ(M$3, "IQ_BOND_PRICE", $L254))),NA(),_xll.ciqfunctions.udf.CIQ(M$3, "IQ_BOND_PRICE", $L254)),"")</f>
        <v>100.10599999999999</v>
      </c>
      <c r="N254" s="424">
        <f>IF(AND($L254&lt;&gt;"",N$3&lt;&gt;""),IF(NOT(ISNUMBER(_xll.ciqfunctions.udf.CIQ(N$3, "IQ_BOND_PRICE", $L254))),NA(),_xll.ciqfunctions.udf.CIQ(N$3, "IQ_BOND_PRICE", $L254)),"")</f>
        <v>0</v>
      </c>
      <c r="O254" s="424">
        <f>IF(AND($L254&lt;&gt;"",O$3&lt;&gt;""),IF(NOT(ISNUMBER(_xll.ciqfunctions.udf.CIQ(O$3, "IQ_BOND_PRICE", $L254))),NA(),_xll.ciqfunctions.udf.CIQ(O$3, "IQ_BOND_PRICE", $L254)),"")</f>
        <v>100.64254</v>
      </c>
      <c r="P254" s="424">
        <f>IF(AND($L254&lt;&gt;"",P$3&lt;&gt;""),IF(NOT(ISNUMBER(_xll.ciqfunctions.udf.CIQ(P$3, "IQ_BOND_PRICE", $L254))),NA(),_xll.ciqfunctions.udf.CIQ(P$3, "IQ_BOND_PRICE", $L254)),"")</f>
        <v>100.74954</v>
      </c>
      <c r="Q254" s="424">
        <f>IF(AND($L254&lt;&gt;"",Q$3&lt;&gt;""),IF(NOT(ISNUMBER(_xll.ciqfunctions.udf.CIQ(Q$3, "IQ_BOND_PRICE", $L254))),NA(),_xll.ciqfunctions.udf.CIQ(Q$3, "IQ_BOND_PRICE", $L254)),"")</f>
        <v>102.105</v>
      </c>
      <c r="R254" s="424">
        <f>IF(AND($L254&lt;&gt;"",R$3&lt;&gt;""),IF(NOT(ISNUMBER(_xll.ciqfunctions.udf.CIQ(R$3, "IQ_BOND_PRICE", $L254))),NA(),_xll.ciqfunctions.udf.CIQ(R$3, "IQ_BOND_PRICE", $L254)),"")</f>
        <v>107.506</v>
      </c>
      <c r="S254" s="424">
        <f>IF(AND($L254&lt;&gt;"",S$3&lt;&gt;""),IF(NOT(ISNUMBER(_xll.ciqfunctions.udf.CIQ(S$3, "IQ_BOND_PRICE", $L254))),NA(),_xll.ciqfunctions.udf.CIQ(S$3, "IQ_BOND_PRICE", $L254)),"")</f>
        <v>102.557</v>
      </c>
      <c r="T254" s="424">
        <f>IF(AND($L254&lt;&gt;"",T$3&lt;&gt;""),IF(NOT(ISNUMBER(_xll.ciqfunctions.udf.CIQ(T$3, "IQ_BOND_PRICE", $L254))),NA(),_xll.ciqfunctions.udf.CIQ(T$3, "IQ_BOND_PRICE", $L254)),"")</f>
        <v>102.182</v>
      </c>
      <c r="U254" s="424">
        <f>IF(AND($L254&lt;&gt;"",U$3&lt;&gt;""),IF(NOT(ISNUMBER(_xll.ciqfunctions.udf.CIQ(U$3, "IQ_BOND_PRICE", $L254))),NA(),_xll.ciqfunctions.udf.CIQ(U$3, "IQ_BOND_PRICE", $L254)),"")</f>
        <v>99.797399999999996</v>
      </c>
      <c r="V254" s="424">
        <f>IF(AND($L254&lt;&gt;"",V$3&lt;&gt;""),IF(NOT(ISNUMBER(_xll.ciqfunctions.udf.CIQ(V$3, "IQ_BOND_PRICE", $L254))),NA(),_xll.ciqfunctions.udf.CIQ(V$3, "IQ_BOND_PRICE", $L254)),"")</f>
        <v>101.80723999999999</v>
      </c>
      <c r="W254" s="424">
        <f>IF(AND($L254&lt;&gt;"",W$3&lt;&gt;""),IF(NOT(ISNUMBER(_xll.ciqfunctions.udf.CIQ(W$3, "IQ_BOND_PRICE", $L254))),NA(),_xll.ciqfunctions.udf.CIQ(W$3, "IQ_BOND_PRICE", $L254)),"")</f>
        <v>104.297</v>
      </c>
      <c r="X254" s="424">
        <f>IF(AND($L254&lt;&gt;"",X$3&lt;&gt;""),IF(NOT(ISNUMBER(_xll.ciqfunctions.udf.CIQ(X$3, "IQ_BOND_PRICE", $L254))),NA(),_xll.ciqfunctions.udf.CIQ(X$3, "IQ_BOND_PRICE", $L254)),"")</f>
        <v>106.996</v>
      </c>
      <c r="Y254" s="424">
        <f>IF(AND($L254&lt;&gt;"",Y$3&lt;&gt;""),IF(NOT(ISNUMBER(_xll.ciqfunctions.udf.CIQ(Y$3, "IQ_BOND_PRICE", $L254))),NA(),_xll.ciqfunctions.udf.CIQ(Y$3, "IQ_BOND_PRICE", $L254)),"")</f>
        <v>103.66200000000001</v>
      </c>
      <c r="Z254" s="424">
        <f>IF(AND($L254&lt;&gt;"",Z$3&lt;&gt;""),IF(NOT(ISNUMBER(_xll.ciqfunctions.udf.CIQ(Z$3, "IQ_BOND_PRICE", $L254))),NA(),_xll.ciqfunctions.udf.CIQ(Z$3, "IQ_BOND_PRICE", $L254)),"")</f>
        <v>95.187960000000004</v>
      </c>
      <c r="CZ254" s="426"/>
    </row>
    <row r="255" spans="12:104" x14ac:dyDescent="0.2">
      <c r="L255" s="425">
        <f t="shared" si="3"/>
        <v>44629</v>
      </c>
      <c r="M255" s="424">
        <f>IF(AND($L255&lt;&gt;"",M$3&lt;&gt;""),IF(NOT(ISNUMBER(_xll.ciqfunctions.udf.CIQ(M$3, "IQ_BOND_PRICE", $L255))),NA(),_xll.ciqfunctions.udf.CIQ(M$3, "IQ_BOND_PRICE", $L255)),"")</f>
        <v>100.104</v>
      </c>
      <c r="N255" s="424">
        <f>IF(AND($L255&lt;&gt;"",N$3&lt;&gt;""),IF(NOT(ISNUMBER(_xll.ciqfunctions.udf.CIQ(N$3, "IQ_BOND_PRICE", $L255))),NA(),_xll.ciqfunctions.udf.CIQ(N$3, "IQ_BOND_PRICE", $L255)),"")</f>
        <v>0</v>
      </c>
      <c r="O255" s="424">
        <f>IF(AND($L255&lt;&gt;"",O$3&lt;&gt;""),IF(NOT(ISNUMBER(_xll.ciqfunctions.udf.CIQ(O$3, "IQ_BOND_PRICE", $L255))),NA(),_xll.ciqfunctions.udf.CIQ(O$3, "IQ_BOND_PRICE", $L255)),"")</f>
        <v>100.63616</v>
      </c>
      <c r="P255" s="424">
        <f>IF(AND($L255&lt;&gt;"",P$3&lt;&gt;""),IF(NOT(ISNUMBER(_xll.ciqfunctions.udf.CIQ(P$3, "IQ_BOND_PRICE", $L255))),NA(),_xll.ciqfunctions.udf.CIQ(P$3, "IQ_BOND_PRICE", $L255)),"")</f>
        <v>100.8296</v>
      </c>
      <c r="Q255" s="424">
        <f>IF(AND($L255&lt;&gt;"",Q$3&lt;&gt;""),IF(NOT(ISNUMBER(_xll.ciqfunctions.udf.CIQ(Q$3, "IQ_BOND_PRICE", $L255))),NA(),_xll.ciqfunctions.udf.CIQ(Q$3, "IQ_BOND_PRICE", $L255)),"")</f>
        <v>102.041</v>
      </c>
      <c r="R255" s="424">
        <f>IF(AND($L255&lt;&gt;"",R$3&lt;&gt;""),IF(NOT(ISNUMBER(_xll.ciqfunctions.udf.CIQ(R$3, "IQ_BOND_PRICE", $L255))),NA(),_xll.ciqfunctions.udf.CIQ(R$3, "IQ_BOND_PRICE", $L255)),"")</f>
        <v>107.364</v>
      </c>
      <c r="S255" s="424">
        <f>IF(AND($L255&lt;&gt;"",S$3&lt;&gt;""),IF(NOT(ISNUMBER(_xll.ciqfunctions.udf.CIQ(S$3, "IQ_BOND_PRICE", $L255))),NA(),_xll.ciqfunctions.udf.CIQ(S$3, "IQ_BOND_PRICE", $L255)),"")</f>
        <v>102.411</v>
      </c>
      <c r="T255" s="424">
        <f>IF(AND($L255&lt;&gt;"",T$3&lt;&gt;""),IF(NOT(ISNUMBER(_xll.ciqfunctions.udf.CIQ(T$3, "IQ_BOND_PRICE", $L255))),NA(),_xll.ciqfunctions.udf.CIQ(T$3, "IQ_BOND_PRICE", $L255)),"")</f>
        <v>102.071</v>
      </c>
      <c r="U255" s="424">
        <f>IF(AND($L255&lt;&gt;"",U$3&lt;&gt;""),IF(NOT(ISNUMBER(_xll.ciqfunctions.udf.CIQ(U$3, "IQ_BOND_PRICE", $L255))),NA(),_xll.ciqfunctions.udf.CIQ(U$3, "IQ_BOND_PRICE", $L255)),"")</f>
        <v>99.790880000000001</v>
      </c>
      <c r="V255" s="424">
        <f>IF(AND($L255&lt;&gt;"",V$3&lt;&gt;""),IF(NOT(ISNUMBER(_xll.ciqfunctions.udf.CIQ(V$3, "IQ_BOND_PRICE", $L255))),NA(),_xll.ciqfunctions.udf.CIQ(V$3, "IQ_BOND_PRICE", $L255)),"")</f>
        <v>101.68131</v>
      </c>
      <c r="W255" s="424">
        <f>IF(AND($L255&lt;&gt;"",W$3&lt;&gt;""),IF(NOT(ISNUMBER(_xll.ciqfunctions.udf.CIQ(W$3, "IQ_BOND_PRICE", $L255))),NA(),_xll.ciqfunctions.udf.CIQ(W$3, "IQ_BOND_PRICE", $L255)),"")</f>
        <v>103.974</v>
      </c>
      <c r="X255" s="424">
        <f>IF(AND($L255&lt;&gt;"",X$3&lt;&gt;""),IF(NOT(ISNUMBER(_xll.ciqfunctions.udf.CIQ(X$3, "IQ_BOND_PRICE", $L255))),NA(),_xll.ciqfunctions.udf.CIQ(X$3, "IQ_BOND_PRICE", $L255)),"")</f>
        <v>106.655</v>
      </c>
      <c r="Y255" s="424">
        <f>IF(AND($L255&lt;&gt;"",Y$3&lt;&gt;""),IF(NOT(ISNUMBER(_xll.ciqfunctions.udf.CIQ(Y$3, "IQ_BOND_PRICE", $L255))),NA(),_xll.ciqfunctions.udf.CIQ(Y$3, "IQ_BOND_PRICE", $L255)),"")</f>
        <v>102.645</v>
      </c>
      <c r="Z255" s="424">
        <f>IF(AND($L255&lt;&gt;"",Z$3&lt;&gt;""),IF(NOT(ISNUMBER(_xll.ciqfunctions.udf.CIQ(Z$3, "IQ_BOND_PRICE", $L255))),NA(),_xll.ciqfunctions.udf.CIQ(Z$3, "IQ_BOND_PRICE", $L255)),"")</f>
        <v>94.764600000000002</v>
      </c>
      <c r="CZ255" s="426"/>
    </row>
    <row r="256" spans="12:104" x14ac:dyDescent="0.2">
      <c r="L256" s="425">
        <f t="shared" si="3"/>
        <v>44630</v>
      </c>
      <c r="M256" s="424">
        <f>IF(AND($L256&lt;&gt;"",M$3&lt;&gt;""),IF(NOT(ISNUMBER(_xll.ciqfunctions.udf.CIQ(M$3, "IQ_BOND_PRICE", $L256))),NA(),_xll.ciqfunctions.udf.CIQ(M$3, "IQ_BOND_PRICE", $L256)),"")</f>
        <v>100.084</v>
      </c>
      <c r="N256" s="424">
        <f>IF(AND($L256&lt;&gt;"",N$3&lt;&gt;""),IF(NOT(ISNUMBER(_xll.ciqfunctions.udf.CIQ(N$3, "IQ_BOND_PRICE", $L256))),NA(),_xll.ciqfunctions.udf.CIQ(N$3, "IQ_BOND_PRICE", $L256)),"")</f>
        <v>0</v>
      </c>
      <c r="O256" s="424">
        <f>IF(AND($L256&lt;&gt;"",O$3&lt;&gt;""),IF(NOT(ISNUMBER(_xll.ciqfunctions.udf.CIQ(O$3, "IQ_BOND_PRICE", $L256))),NA(),_xll.ciqfunctions.udf.CIQ(O$3, "IQ_BOND_PRICE", $L256)),"")</f>
        <v>100.58074000000001</v>
      </c>
      <c r="P256" s="424">
        <f>IF(AND($L256&lt;&gt;"",P$3&lt;&gt;""),IF(NOT(ISNUMBER(_xll.ciqfunctions.udf.CIQ(P$3, "IQ_BOND_PRICE", $L256))),NA(),_xll.ciqfunctions.udf.CIQ(P$3, "IQ_BOND_PRICE", $L256)),"")</f>
        <v>100.85984000000001</v>
      </c>
      <c r="Q256" s="424">
        <f>IF(AND($L256&lt;&gt;"",Q$3&lt;&gt;""),IF(NOT(ISNUMBER(_xll.ciqfunctions.udf.CIQ(Q$3, "IQ_BOND_PRICE", $L256))),NA(),_xll.ciqfunctions.udf.CIQ(Q$3, "IQ_BOND_PRICE", $L256)),"")</f>
        <v>101.93300000000001</v>
      </c>
      <c r="R256" s="424">
        <f>IF(AND($L256&lt;&gt;"",R$3&lt;&gt;""),IF(NOT(ISNUMBER(_xll.ciqfunctions.udf.CIQ(R$3, "IQ_BOND_PRICE", $L256))),NA(),_xll.ciqfunctions.udf.CIQ(R$3, "IQ_BOND_PRICE", $L256)),"")</f>
        <v>107.24299999999999</v>
      </c>
      <c r="S256" s="424">
        <f>IF(AND($L256&lt;&gt;"",S$3&lt;&gt;""),IF(NOT(ISNUMBER(_xll.ciqfunctions.udf.CIQ(S$3, "IQ_BOND_PRICE", $L256))),NA(),_xll.ciqfunctions.udf.CIQ(S$3, "IQ_BOND_PRICE", $L256)),"")</f>
        <v>102.322</v>
      </c>
      <c r="T256" s="424">
        <f>IF(AND($L256&lt;&gt;"",T$3&lt;&gt;""),IF(NOT(ISNUMBER(_xll.ciqfunctions.udf.CIQ(T$3, "IQ_BOND_PRICE", $L256))),NA(),_xll.ciqfunctions.udf.CIQ(T$3, "IQ_BOND_PRICE", $L256)),"")</f>
        <v>101.96899999999999</v>
      </c>
      <c r="U256" s="424">
        <f>IF(AND($L256&lt;&gt;"",U$3&lt;&gt;""),IF(NOT(ISNUMBER(_xll.ciqfunctions.udf.CIQ(U$3, "IQ_BOND_PRICE", $L256))),NA(),_xll.ciqfunctions.udf.CIQ(U$3, "IQ_BOND_PRICE", $L256)),"")</f>
        <v>99.779340000000005</v>
      </c>
      <c r="V256" s="424">
        <f>IF(AND($L256&lt;&gt;"",V$3&lt;&gt;""),IF(NOT(ISNUMBER(_xll.ciqfunctions.udf.CIQ(V$3, "IQ_BOND_PRICE", $L256))),NA(),_xll.ciqfunctions.udf.CIQ(V$3, "IQ_BOND_PRICE", $L256)),"")</f>
        <v>101.56751</v>
      </c>
      <c r="W256" s="424">
        <f>IF(AND($L256&lt;&gt;"",W$3&lt;&gt;""),IF(NOT(ISNUMBER(_xll.ciqfunctions.udf.CIQ(W$3, "IQ_BOND_PRICE", $L256))),NA(),_xll.ciqfunctions.udf.CIQ(W$3, "IQ_BOND_PRICE", $L256)),"")</f>
        <v>103.819</v>
      </c>
      <c r="X256" s="424">
        <f>IF(AND($L256&lt;&gt;"",X$3&lt;&gt;""),IF(NOT(ISNUMBER(_xll.ciqfunctions.udf.CIQ(X$3, "IQ_BOND_PRICE", $L256))),NA(),_xll.ciqfunctions.udf.CIQ(X$3, "IQ_BOND_PRICE", $L256)),"")</f>
        <v>106.194</v>
      </c>
      <c r="Y256" s="424">
        <f>IF(AND($L256&lt;&gt;"",Y$3&lt;&gt;""),IF(NOT(ISNUMBER(_xll.ciqfunctions.udf.CIQ(Y$3, "IQ_BOND_PRICE", $L256))),NA(),_xll.ciqfunctions.udf.CIQ(Y$3, "IQ_BOND_PRICE", $L256)),"")</f>
        <v>102.402</v>
      </c>
      <c r="Z256" s="424">
        <f>IF(AND($L256&lt;&gt;"",Z$3&lt;&gt;""),IF(NOT(ISNUMBER(_xll.ciqfunctions.udf.CIQ(Z$3, "IQ_BOND_PRICE", $L256))),NA(),_xll.ciqfunctions.udf.CIQ(Z$3, "IQ_BOND_PRICE", $L256)),"")</f>
        <v>94.236400000000003</v>
      </c>
      <c r="CZ256" s="426"/>
    </row>
    <row r="257" spans="12:104" x14ac:dyDescent="0.2">
      <c r="L257" s="425">
        <f t="shared" si="3"/>
        <v>44631</v>
      </c>
      <c r="M257" s="424">
        <f>IF(AND($L257&lt;&gt;"",M$3&lt;&gt;""),IF(NOT(ISNUMBER(_xll.ciqfunctions.udf.CIQ(M$3, "IQ_BOND_PRICE", $L257))),NA(),_xll.ciqfunctions.udf.CIQ(M$3, "IQ_BOND_PRICE", $L257)),"")</f>
        <v>100.089</v>
      </c>
      <c r="N257" s="424">
        <f>IF(AND($L257&lt;&gt;"",N$3&lt;&gt;""),IF(NOT(ISNUMBER(_xll.ciqfunctions.udf.CIQ(N$3, "IQ_BOND_PRICE", $L257))),NA(),_xll.ciqfunctions.udf.CIQ(N$3, "IQ_BOND_PRICE", $L257)),"")</f>
        <v>0</v>
      </c>
      <c r="O257" s="424">
        <f>IF(AND($L257&lt;&gt;"",O$3&lt;&gt;""),IF(NOT(ISNUMBER(_xll.ciqfunctions.udf.CIQ(O$3, "IQ_BOND_PRICE", $L257))),NA(),_xll.ciqfunctions.udf.CIQ(O$3, "IQ_BOND_PRICE", $L257)),"")</f>
        <v>100.56697</v>
      </c>
      <c r="P257" s="424">
        <f>IF(AND($L257&lt;&gt;"",P$3&lt;&gt;""),IF(NOT(ISNUMBER(_xll.ciqfunctions.udf.CIQ(P$3, "IQ_BOND_PRICE", $L257))),NA(),_xll.ciqfunctions.udf.CIQ(P$3, "IQ_BOND_PRICE", $L257)),"")</f>
        <v>100.77968</v>
      </c>
      <c r="Q257" s="424">
        <f>IF(AND($L257&lt;&gt;"",Q$3&lt;&gt;""),IF(NOT(ISNUMBER(_xll.ciqfunctions.udf.CIQ(Q$3, "IQ_BOND_PRICE", $L257))),NA(),_xll.ciqfunctions.udf.CIQ(Q$3, "IQ_BOND_PRICE", $L257)),"")</f>
        <v>101.89400000000001</v>
      </c>
      <c r="R257" s="424">
        <f>IF(AND($L257&lt;&gt;"",R$3&lt;&gt;""),IF(NOT(ISNUMBER(_xll.ciqfunctions.udf.CIQ(R$3, "IQ_BOND_PRICE", $L257))),NA(),_xll.ciqfunctions.udf.CIQ(R$3, "IQ_BOND_PRICE", $L257)),"")</f>
        <v>107.01</v>
      </c>
      <c r="S257" s="424">
        <f>IF(AND($L257&lt;&gt;"",S$3&lt;&gt;""),IF(NOT(ISNUMBER(_xll.ciqfunctions.udf.CIQ(S$3, "IQ_BOND_PRICE", $L257))),NA(),_xll.ciqfunctions.udf.CIQ(S$3, "IQ_BOND_PRICE", $L257)),"")</f>
        <v>102.256</v>
      </c>
      <c r="T257" s="424">
        <f>IF(AND($L257&lt;&gt;"",T$3&lt;&gt;""),IF(NOT(ISNUMBER(_xll.ciqfunctions.udf.CIQ(T$3, "IQ_BOND_PRICE", $L257))),NA(),_xll.ciqfunctions.udf.CIQ(T$3, "IQ_BOND_PRICE", $L257)),"")</f>
        <v>101.72199999999999</v>
      </c>
      <c r="U257" s="424">
        <f>IF(AND($L257&lt;&gt;"",U$3&lt;&gt;""),IF(NOT(ISNUMBER(_xll.ciqfunctions.udf.CIQ(U$3, "IQ_BOND_PRICE", $L257))),NA(),_xll.ciqfunctions.udf.CIQ(U$3, "IQ_BOND_PRICE", $L257)),"")</f>
        <v>99.768969999999996</v>
      </c>
      <c r="V257" s="424">
        <f>IF(AND($L257&lt;&gt;"",V$3&lt;&gt;""),IF(NOT(ISNUMBER(_xll.ciqfunctions.udf.CIQ(V$3, "IQ_BOND_PRICE", $L257))),NA(),_xll.ciqfunctions.udf.CIQ(V$3, "IQ_BOND_PRICE", $L257)),"")</f>
        <v>101.11372</v>
      </c>
      <c r="W257" s="424">
        <f>IF(AND($L257&lt;&gt;"",W$3&lt;&gt;""),IF(NOT(ISNUMBER(_xll.ciqfunctions.udf.CIQ(W$3, "IQ_BOND_PRICE", $L257))),NA(),_xll.ciqfunctions.udf.CIQ(W$3, "IQ_BOND_PRICE", $L257)),"")</f>
        <v>103.509</v>
      </c>
      <c r="X257" s="424">
        <f>IF(AND($L257&lt;&gt;"",X$3&lt;&gt;""),IF(NOT(ISNUMBER(_xll.ciqfunctions.udf.CIQ(X$3, "IQ_BOND_PRICE", $L257))),NA(),_xll.ciqfunctions.udf.CIQ(X$3, "IQ_BOND_PRICE", $L257)),"")</f>
        <v>106.25</v>
      </c>
      <c r="Y257" s="424">
        <f>IF(AND($L257&lt;&gt;"",Y$3&lt;&gt;""),IF(NOT(ISNUMBER(_xll.ciqfunctions.udf.CIQ(Y$3, "IQ_BOND_PRICE", $L257))),NA(),_xll.ciqfunctions.udf.CIQ(Y$3, "IQ_BOND_PRICE", $L257)),"")</f>
        <v>102.321</v>
      </c>
      <c r="Z257" s="424">
        <f>IF(AND($L257&lt;&gt;"",Z$3&lt;&gt;""),IF(NOT(ISNUMBER(_xll.ciqfunctions.udf.CIQ(Z$3, "IQ_BOND_PRICE", $L257))),NA(),_xll.ciqfunctions.udf.CIQ(Z$3, "IQ_BOND_PRICE", $L257)),"")</f>
        <v>94.35521</v>
      </c>
      <c r="CZ257" s="426"/>
    </row>
    <row r="258" spans="12:104" x14ac:dyDescent="0.2">
      <c r="L258" s="425">
        <f t="shared" si="3"/>
        <v>44634</v>
      </c>
      <c r="M258" s="424">
        <f>IF(AND($L258&lt;&gt;"",M$3&lt;&gt;""),IF(NOT(ISNUMBER(_xll.ciqfunctions.udf.CIQ(M$3, "IQ_BOND_PRICE", $L258))),NA(),_xll.ciqfunctions.udf.CIQ(M$3, "IQ_BOND_PRICE", $L258)),"")</f>
        <v>100.086</v>
      </c>
      <c r="N258" s="424">
        <f>IF(AND($L258&lt;&gt;"",N$3&lt;&gt;""),IF(NOT(ISNUMBER(_xll.ciqfunctions.udf.CIQ(N$3, "IQ_BOND_PRICE", $L258))),NA(),_xll.ciqfunctions.udf.CIQ(N$3, "IQ_BOND_PRICE", $L258)),"")</f>
        <v>0</v>
      </c>
      <c r="O258" s="424">
        <f>IF(AND($L258&lt;&gt;"",O$3&lt;&gt;""),IF(NOT(ISNUMBER(_xll.ciqfunctions.udf.CIQ(O$3, "IQ_BOND_PRICE", $L258))),NA(),_xll.ciqfunctions.udf.CIQ(O$3, "IQ_BOND_PRICE", $L258)),"")</f>
        <v>100.50451</v>
      </c>
      <c r="P258" s="424">
        <f>IF(AND($L258&lt;&gt;"",P$3&lt;&gt;""),IF(NOT(ISNUMBER(_xll.ciqfunctions.udf.CIQ(P$3, "IQ_BOND_PRICE", $L258))),NA(),_xll.ciqfunctions.udf.CIQ(P$3, "IQ_BOND_PRICE", $L258)),"")</f>
        <v>100.747</v>
      </c>
      <c r="Q258" s="424">
        <f>IF(AND($L258&lt;&gt;"",Q$3&lt;&gt;""),IF(NOT(ISNUMBER(_xll.ciqfunctions.udf.CIQ(Q$3, "IQ_BOND_PRICE", $L258))),NA(),_xll.ciqfunctions.udf.CIQ(Q$3, "IQ_BOND_PRICE", $L258)),"")</f>
        <v>101.77200000000001</v>
      </c>
      <c r="R258" s="424">
        <f>IF(AND($L258&lt;&gt;"",R$3&lt;&gt;""),IF(NOT(ISNUMBER(_xll.ciqfunctions.udf.CIQ(R$3, "IQ_BOND_PRICE", $L258))),NA(),_xll.ciqfunctions.udf.CIQ(R$3, "IQ_BOND_PRICE", $L258)),"")</f>
        <v>106.999</v>
      </c>
      <c r="S258" s="424">
        <f>IF(AND($L258&lt;&gt;"",S$3&lt;&gt;""),IF(NOT(ISNUMBER(_xll.ciqfunctions.udf.CIQ(S$3, "IQ_BOND_PRICE", $L258))),NA(),_xll.ciqfunctions.udf.CIQ(S$3, "IQ_BOND_PRICE", $L258)),"")</f>
        <v>102.07299999999999</v>
      </c>
      <c r="T258" s="424">
        <f>IF(AND($L258&lt;&gt;"",T$3&lt;&gt;""),IF(NOT(ISNUMBER(_xll.ciqfunctions.udf.CIQ(T$3, "IQ_BOND_PRICE", $L258))),NA(),_xll.ciqfunctions.udf.CIQ(T$3, "IQ_BOND_PRICE", $L258)),"")</f>
        <v>101.39</v>
      </c>
      <c r="U258" s="424">
        <f>IF(AND($L258&lt;&gt;"",U$3&lt;&gt;""),IF(NOT(ISNUMBER(_xll.ciqfunctions.udf.CIQ(U$3, "IQ_BOND_PRICE", $L258))),NA(),_xll.ciqfunctions.udf.CIQ(U$3, "IQ_BOND_PRICE", $L258)),"")</f>
        <v>99.762289999999993</v>
      </c>
      <c r="V258" s="424">
        <f>IF(AND($L258&lt;&gt;"",V$3&lt;&gt;""),IF(NOT(ISNUMBER(_xll.ciqfunctions.udf.CIQ(V$3, "IQ_BOND_PRICE", $L258))),NA(),_xll.ciqfunctions.udf.CIQ(V$3, "IQ_BOND_PRICE", $L258)),"")</f>
        <v>100.86544000000001</v>
      </c>
      <c r="W258" s="424">
        <f>IF(AND($L258&lt;&gt;"",W$3&lt;&gt;""),IF(NOT(ISNUMBER(_xll.ciqfunctions.udf.CIQ(W$3, "IQ_BOND_PRICE", $L258))),NA(),_xll.ciqfunctions.udf.CIQ(W$3, "IQ_BOND_PRICE", $L258)),"")</f>
        <v>103.206</v>
      </c>
      <c r="X258" s="424">
        <f>IF(AND($L258&lt;&gt;"",X$3&lt;&gt;""),IF(NOT(ISNUMBER(_xll.ciqfunctions.udf.CIQ(X$3, "IQ_BOND_PRICE", $L258))),NA(),_xll.ciqfunctions.udf.CIQ(X$3, "IQ_BOND_PRICE", $L258)),"")</f>
        <v>106.124</v>
      </c>
      <c r="Y258" s="424">
        <f>IF(AND($L258&lt;&gt;"",Y$3&lt;&gt;""),IF(NOT(ISNUMBER(_xll.ciqfunctions.udf.CIQ(Y$3, "IQ_BOND_PRICE", $L258))),NA(),_xll.ciqfunctions.udf.CIQ(Y$3, "IQ_BOND_PRICE", $L258)),"")</f>
        <v>101.797</v>
      </c>
      <c r="Z258" s="424">
        <f>IF(AND($L258&lt;&gt;"",Z$3&lt;&gt;""),IF(NOT(ISNUMBER(_xll.ciqfunctions.udf.CIQ(Z$3, "IQ_BOND_PRICE", $L258))),NA(),_xll.ciqfunctions.udf.CIQ(Z$3, "IQ_BOND_PRICE", $L258)),"")</f>
        <v>93.695620000000005</v>
      </c>
      <c r="CZ258" s="426"/>
    </row>
    <row r="259" spans="12:104" x14ac:dyDescent="0.2">
      <c r="L259" s="425">
        <f t="shared" si="3"/>
        <v>44635</v>
      </c>
      <c r="M259" s="424">
        <f>IF(AND($L259&lt;&gt;"",M$3&lt;&gt;""),IF(NOT(ISNUMBER(_xll.ciqfunctions.udf.CIQ(M$3, "IQ_BOND_PRICE", $L259))),NA(),_xll.ciqfunctions.udf.CIQ(M$3, "IQ_BOND_PRICE", $L259)),"")</f>
        <v>100.083</v>
      </c>
      <c r="N259" s="424">
        <f>IF(AND($L259&lt;&gt;"",N$3&lt;&gt;""),IF(NOT(ISNUMBER(_xll.ciqfunctions.udf.CIQ(N$3, "IQ_BOND_PRICE", $L259))),NA(),_xll.ciqfunctions.udf.CIQ(N$3, "IQ_BOND_PRICE", $L259)),"")</f>
        <v>0</v>
      </c>
      <c r="O259" s="424">
        <f>IF(AND($L259&lt;&gt;"",O$3&lt;&gt;""),IF(NOT(ISNUMBER(_xll.ciqfunctions.udf.CIQ(O$3, "IQ_BOND_PRICE", $L259))),NA(),_xll.ciqfunctions.udf.CIQ(O$3, "IQ_BOND_PRICE", $L259)),"")</f>
        <v>100.49933</v>
      </c>
      <c r="P259" s="424">
        <f>IF(AND($L259&lt;&gt;"",P$3&lt;&gt;""),IF(NOT(ISNUMBER(_xll.ciqfunctions.udf.CIQ(P$3, "IQ_BOND_PRICE", $L259))),NA(),_xll.ciqfunctions.udf.CIQ(P$3, "IQ_BOND_PRICE", $L259)),"")</f>
        <v>100.73578999999999</v>
      </c>
      <c r="Q259" s="424">
        <f>IF(AND($L259&lt;&gt;"",Q$3&lt;&gt;""),IF(NOT(ISNUMBER(_xll.ciqfunctions.udf.CIQ(Q$3, "IQ_BOND_PRICE", $L259))),NA(),_xll.ciqfunctions.udf.CIQ(Q$3, "IQ_BOND_PRICE", $L259)),"")</f>
        <v>101.77800000000001</v>
      </c>
      <c r="R259" s="424">
        <f>IF(AND($L259&lt;&gt;"",R$3&lt;&gt;""),IF(NOT(ISNUMBER(_xll.ciqfunctions.udf.CIQ(R$3, "IQ_BOND_PRICE", $L259))),NA(),_xll.ciqfunctions.udf.CIQ(R$3, "IQ_BOND_PRICE", $L259)),"")</f>
        <v>106.983</v>
      </c>
      <c r="S259" s="424">
        <f>IF(AND($L259&lt;&gt;"",S$3&lt;&gt;""),IF(NOT(ISNUMBER(_xll.ciqfunctions.udf.CIQ(S$3, "IQ_BOND_PRICE", $L259))),NA(),_xll.ciqfunctions.udf.CIQ(S$3, "IQ_BOND_PRICE", $L259)),"")</f>
        <v>102.009</v>
      </c>
      <c r="T259" s="424">
        <f>IF(AND($L259&lt;&gt;"",T$3&lt;&gt;""),IF(NOT(ISNUMBER(_xll.ciqfunctions.udf.CIQ(T$3, "IQ_BOND_PRICE", $L259))),NA(),_xll.ciqfunctions.udf.CIQ(T$3, "IQ_BOND_PRICE", $L259)),"")</f>
        <v>101.36499999999999</v>
      </c>
      <c r="U259" s="424">
        <f>IF(AND($L259&lt;&gt;"",U$3&lt;&gt;""),IF(NOT(ISNUMBER(_xll.ciqfunctions.udf.CIQ(U$3, "IQ_BOND_PRICE", $L259))),NA(),_xll.ciqfunctions.udf.CIQ(U$3, "IQ_BOND_PRICE", $L259)),"")</f>
        <v>99.748329999999996</v>
      </c>
      <c r="V259" s="424">
        <f>IF(AND($L259&lt;&gt;"",V$3&lt;&gt;""),IF(NOT(ISNUMBER(_xll.ciqfunctions.udf.CIQ(V$3, "IQ_BOND_PRICE", $L259))),NA(),_xll.ciqfunctions.udf.CIQ(V$3, "IQ_BOND_PRICE", $L259)),"")</f>
        <v>100.80824</v>
      </c>
      <c r="W259" s="424">
        <f>IF(AND($L259&lt;&gt;"",W$3&lt;&gt;""),IF(NOT(ISNUMBER(_xll.ciqfunctions.udf.CIQ(W$3, "IQ_BOND_PRICE", $L259))),NA(),_xll.ciqfunctions.udf.CIQ(W$3, "IQ_BOND_PRICE", $L259)),"")</f>
        <v>103.566</v>
      </c>
      <c r="X259" s="424">
        <f>IF(AND($L259&lt;&gt;"",X$3&lt;&gt;""),IF(NOT(ISNUMBER(_xll.ciqfunctions.udf.CIQ(X$3, "IQ_BOND_PRICE", $L259))),NA(),_xll.ciqfunctions.udf.CIQ(X$3, "IQ_BOND_PRICE", $L259)),"")</f>
        <v>106.36199999999999</v>
      </c>
      <c r="Y259" s="424">
        <f>IF(AND($L259&lt;&gt;"",Y$3&lt;&gt;""),IF(NOT(ISNUMBER(_xll.ciqfunctions.udf.CIQ(Y$3, "IQ_BOND_PRICE", $L259))),NA(),_xll.ciqfunctions.udf.CIQ(Y$3, "IQ_BOND_PRICE", $L259)),"")</f>
        <v>101.703</v>
      </c>
      <c r="Z259" s="424">
        <f>IF(AND($L259&lt;&gt;"",Z$3&lt;&gt;""),IF(NOT(ISNUMBER(_xll.ciqfunctions.udf.CIQ(Z$3, "IQ_BOND_PRICE", $L259))),NA(),_xll.ciqfunctions.udf.CIQ(Z$3, "IQ_BOND_PRICE", $L259)),"")</f>
        <v>93.695350000000005</v>
      </c>
      <c r="CZ259" s="426"/>
    </row>
    <row r="260" spans="12:104" x14ac:dyDescent="0.2">
      <c r="L260" s="425">
        <f t="shared" si="3"/>
        <v>44636</v>
      </c>
      <c r="M260" s="424">
        <f>IF(AND($L260&lt;&gt;"",M$3&lt;&gt;""),IF(NOT(ISNUMBER(_xll.ciqfunctions.udf.CIQ(M$3, "IQ_BOND_PRICE", $L260))),NA(),_xll.ciqfunctions.udf.CIQ(M$3, "IQ_BOND_PRICE", $L260)),"")</f>
        <v>100.086</v>
      </c>
      <c r="N260" s="424">
        <f>IF(AND($L260&lt;&gt;"",N$3&lt;&gt;""),IF(NOT(ISNUMBER(_xll.ciqfunctions.udf.CIQ(N$3, "IQ_BOND_PRICE", $L260))),NA(),_xll.ciqfunctions.udf.CIQ(N$3, "IQ_BOND_PRICE", $L260)),"")</f>
        <v>0</v>
      </c>
      <c r="O260" s="424">
        <f>IF(AND($L260&lt;&gt;"",O$3&lt;&gt;""),IF(NOT(ISNUMBER(_xll.ciqfunctions.udf.CIQ(O$3, "IQ_BOND_PRICE", $L260))),NA(),_xll.ciqfunctions.udf.CIQ(O$3, "IQ_BOND_PRICE", $L260)),"")</f>
        <v>100.43725000000001</v>
      </c>
      <c r="P260" s="424">
        <f>IF(AND($L260&lt;&gt;"",P$3&lt;&gt;""),IF(NOT(ISNUMBER(_xll.ciqfunctions.udf.CIQ(P$3, "IQ_BOND_PRICE", $L260))),NA(),_xll.ciqfunctions.udf.CIQ(P$3, "IQ_BOND_PRICE", $L260)),"")</f>
        <v>100.67480999999999</v>
      </c>
      <c r="Q260" s="424">
        <f>IF(AND($L260&lt;&gt;"",Q$3&lt;&gt;""),IF(NOT(ISNUMBER(_xll.ciqfunctions.udf.CIQ(Q$3, "IQ_BOND_PRICE", $L260))),NA(),_xll.ciqfunctions.udf.CIQ(Q$3, "IQ_BOND_PRICE", $L260)),"")</f>
        <v>101.76600000000001</v>
      </c>
      <c r="R260" s="399">
        <f>IF(AND($L260&lt;&gt;"",R$3&lt;&gt;""),IF(NOT(ISNUMBER(_xll.ciqfunctions.udf.CIQ(R$3, "IQ_BOND_PRICE", $L260))),NA(),_xll.ciqfunctions.udf.CIQ(R$3, "IQ_BOND_PRICE", $L260)),"")</f>
        <v>106.864</v>
      </c>
      <c r="S260" s="399">
        <f>IF(AND($L260&lt;&gt;"",S$3&lt;&gt;""),IF(NOT(ISNUMBER(_xll.ciqfunctions.udf.CIQ(S$3, "IQ_BOND_PRICE", $L260))),NA(),_xll.ciqfunctions.udf.CIQ(S$3, "IQ_BOND_PRICE", $L260)),"")</f>
        <v>101.803</v>
      </c>
      <c r="T260" s="399">
        <f>IF(AND($L260&lt;&gt;"",T$3&lt;&gt;""),IF(NOT(ISNUMBER(_xll.ciqfunctions.udf.CIQ(T$3, "IQ_BOND_PRICE", $L260))),NA(),_xll.ciqfunctions.udf.CIQ(T$3, "IQ_BOND_PRICE", $L260)),"")</f>
        <v>101.15900000000001</v>
      </c>
      <c r="U260" s="399">
        <f>IF(AND($L260&lt;&gt;"",U$3&lt;&gt;""),IF(NOT(ISNUMBER(_xll.ciqfunctions.udf.CIQ(U$3, "IQ_BOND_PRICE", $L260))),NA(),_xll.ciqfunctions.udf.CIQ(U$3, "IQ_BOND_PRICE", $L260)),"")</f>
        <v>99.749449999999996</v>
      </c>
      <c r="V260" s="399">
        <f>IF(AND($L260&lt;&gt;"",V$3&lt;&gt;""),IF(NOT(ISNUMBER(_xll.ciqfunctions.udf.CIQ(V$3, "IQ_BOND_PRICE", $L260))),NA(),_xll.ciqfunctions.udf.CIQ(V$3, "IQ_BOND_PRICE", $L260)),"")</f>
        <v>100.80918</v>
      </c>
      <c r="W260" s="399">
        <f>IF(AND($L260&lt;&gt;"",W$3&lt;&gt;""),IF(NOT(ISNUMBER(_xll.ciqfunctions.udf.CIQ(W$3, "IQ_BOND_PRICE", $L260))),NA(),_xll.ciqfunctions.udf.CIQ(W$3, "IQ_BOND_PRICE", $L260)),"")</f>
        <v>103.24</v>
      </c>
      <c r="X260" s="399">
        <f>IF(AND($L260&lt;&gt;"",X$3&lt;&gt;""),IF(NOT(ISNUMBER(_xll.ciqfunctions.udf.CIQ(X$3, "IQ_BOND_PRICE", $L260))),NA(),_xll.ciqfunctions.udf.CIQ(X$3, "IQ_BOND_PRICE", $L260)),"")</f>
        <v>106.221</v>
      </c>
      <c r="Y260" s="399">
        <f>IF(AND($L260&lt;&gt;"",Y$3&lt;&gt;""),IF(NOT(ISNUMBER(_xll.ciqfunctions.udf.CIQ(Y$3, "IQ_BOND_PRICE", $L260))),NA(),_xll.ciqfunctions.udf.CIQ(Y$3, "IQ_BOND_PRICE", $L260)),"")</f>
        <v>102.133</v>
      </c>
      <c r="Z260" s="399">
        <f>IF(AND($L260&lt;&gt;"",Z$3&lt;&gt;""),IF(NOT(ISNUMBER(_xll.ciqfunctions.udf.CIQ(Z$3, "IQ_BOND_PRICE", $L260))),NA(),_xll.ciqfunctions.udf.CIQ(Z$3, "IQ_BOND_PRICE", $L260)),"")</f>
        <v>94.049769999999995</v>
      </c>
    </row>
    <row r="261" spans="12:104" x14ac:dyDescent="0.2">
      <c r="L261" s="425">
        <f t="shared" si="3"/>
        <v>44637</v>
      </c>
      <c r="M261" s="424">
        <f>IF(AND($L261&lt;&gt;"",M$3&lt;&gt;""),IF(NOT(ISNUMBER(_xll.ciqfunctions.udf.CIQ(M$3, "IQ_BOND_PRICE", $L261))),NA(),_xll.ciqfunctions.udf.CIQ(M$3, "IQ_BOND_PRICE", $L261)),"")</f>
        <v>100.081</v>
      </c>
      <c r="N261" s="424">
        <f>IF(AND($L261&lt;&gt;"",N$3&lt;&gt;""),IF(NOT(ISNUMBER(_xll.ciqfunctions.udf.CIQ(N$3, "IQ_BOND_PRICE", $L261))),NA(),_xll.ciqfunctions.udf.CIQ(N$3, "IQ_BOND_PRICE", $L261)),"")</f>
        <v>0</v>
      </c>
      <c r="O261" s="424">
        <f>IF(AND($L261&lt;&gt;"",O$3&lt;&gt;""),IF(NOT(ISNUMBER(_xll.ciqfunctions.udf.CIQ(O$3, "IQ_BOND_PRICE", $L261))),NA(),_xll.ciqfunctions.udf.CIQ(O$3, "IQ_BOND_PRICE", $L261)),"")</f>
        <v>100.46011</v>
      </c>
      <c r="P261" s="424">
        <f>IF(AND($L261&lt;&gt;"",P$3&lt;&gt;""),IF(NOT(ISNUMBER(_xll.ciqfunctions.udf.CIQ(P$3, "IQ_BOND_PRICE", $L261))),NA(),_xll.ciqfunctions.udf.CIQ(P$3, "IQ_BOND_PRICE", $L261)),"")</f>
        <v>100.94992000000001</v>
      </c>
      <c r="Q261" s="424">
        <f>IF(AND($L261&lt;&gt;"",Q$3&lt;&gt;""),IF(NOT(ISNUMBER(_xll.ciqfunctions.udf.CIQ(Q$3, "IQ_BOND_PRICE", $L261))),NA(),_xll.ciqfunctions.udf.CIQ(Q$3, "IQ_BOND_PRICE", $L261)),"")</f>
        <v>101.78700000000001</v>
      </c>
      <c r="R261" s="399">
        <f>IF(AND($L261&lt;&gt;"",R$3&lt;&gt;""),IF(NOT(ISNUMBER(_xll.ciqfunctions.udf.CIQ(R$3, "IQ_BOND_PRICE", $L261))),NA(),_xll.ciqfunctions.udf.CIQ(R$3, "IQ_BOND_PRICE", $L261)),"")</f>
        <v>106.86499999999999</v>
      </c>
      <c r="S261" s="399">
        <f>IF(AND($L261&lt;&gt;"",S$3&lt;&gt;""),IF(NOT(ISNUMBER(_xll.ciqfunctions.udf.CIQ(S$3, "IQ_BOND_PRICE", $L261))),NA(),_xll.ciqfunctions.udf.CIQ(S$3, "IQ_BOND_PRICE", $L261)),"")</f>
        <v>101.846</v>
      </c>
      <c r="T261" s="399">
        <f>IF(AND($L261&lt;&gt;"",T$3&lt;&gt;""),IF(NOT(ISNUMBER(_xll.ciqfunctions.udf.CIQ(T$3, "IQ_BOND_PRICE", $L261))),NA(),_xll.ciqfunctions.udf.CIQ(T$3, "IQ_BOND_PRICE", $L261)),"")</f>
        <v>101.21599999999999</v>
      </c>
      <c r="U261" s="399">
        <f>IF(AND($L261&lt;&gt;"",U$3&lt;&gt;""),IF(NOT(ISNUMBER(_xll.ciqfunctions.udf.CIQ(U$3, "IQ_BOND_PRICE", $L261))),NA(),_xll.ciqfunctions.udf.CIQ(U$3, "IQ_BOND_PRICE", $L261)),"")</f>
        <v>99.739649999999997</v>
      </c>
      <c r="V261" s="399">
        <f>IF(AND($L261&lt;&gt;"",V$3&lt;&gt;""),IF(NOT(ISNUMBER(_xll.ciqfunctions.udf.CIQ(V$3, "IQ_BOND_PRICE", $L261))),NA(),_xll.ciqfunctions.udf.CIQ(V$3, "IQ_BOND_PRICE", $L261)),"")</f>
        <v>100.71397</v>
      </c>
      <c r="W261" s="399">
        <f>IF(AND($L261&lt;&gt;"",W$3&lt;&gt;""),IF(NOT(ISNUMBER(_xll.ciqfunctions.udf.CIQ(W$3, "IQ_BOND_PRICE", $L261))),NA(),_xll.ciqfunctions.udf.CIQ(W$3, "IQ_BOND_PRICE", $L261)),"")</f>
        <v>103.319</v>
      </c>
      <c r="X261" s="399">
        <f>IF(AND($L261&lt;&gt;"",X$3&lt;&gt;""),IF(NOT(ISNUMBER(_xll.ciqfunctions.udf.CIQ(X$3, "IQ_BOND_PRICE", $L261))),NA(),_xll.ciqfunctions.udf.CIQ(X$3, "IQ_BOND_PRICE", $L261)),"")</f>
        <v>106.307</v>
      </c>
      <c r="Y261" s="399">
        <f>IF(AND($L261&lt;&gt;"",Y$3&lt;&gt;""),IF(NOT(ISNUMBER(_xll.ciqfunctions.udf.CIQ(Y$3, "IQ_BOND_PRICE", $L261))),NA(),_xll.ciqfunctions.udf.CIQ(Y$3, "IQ_BOND_PRICE", $L261)),"")</f>
        <v>102.499</v>
      </c>
      <c r="Z261" s="399">
        <f>IF(AND($L261&lt;&gt;"",Z$3&lt;&gt;""),IF(NOT(ISNUMBER(_xll.ciqfunctions.udf.CIQ(Z$3, "IQ_BOND_PRICE", $L261))),NA(),_xll.ciqfunctions.udf.CIQ(Z$3, "IQ_BOND_PRICE", $L261)),"")</f>
        <v>93.482389999999995</v>
      </c>
    </row>
    <row r="262" spans="12:104" x14ac:dyDescent="0.2">
      <c r="L262" s="425">
        <f t="shared" ref="L262:L267" si="4">+IF(WORKDAY($L261,1)&lt;=$M$2,WORKDAY($L261,1),"")</f>
        <v>44638</v>
      </c>
      <c r="M262" s="424">
        <f>IF(AND($L262&lt;&gt;"",M$3&lt;&gt;""),IF(NOT(ISNUMBER(_xll.ciqfunctions.udf.CIQ(M$3, "IQ_BOND_PRICE", $L262))),NA(),_xll.ciqfunctions.udf.CIQ(M$3, "IQ_BOND_PRICE", $L262)),"")</f>
        <v>100.08</v>
      </c>
      <c r="N262" s="424">
        <f>IF(AND($L262&lt;&gt;"",N$3&lt;&gt;""),IF(NOT(ISNUMBER(_xll.ciqfunctions.udf.CIQ(N$3, "IQ_BOND_PRICE", $L262))),NA(),_xll.ciqfunctions.udf.CIQ(N$3, "IQ_BOND_PRICE", $L262)),"")</f>
        <v>0</v>
      </c>
      <c r="O262" s="424">
        <f>IF(AND($L262&lt;&gt;"",O$3&lt;&gt;""),IF(NOT(ISNUMBER(_xll.ciqfunctions.udf.CIQ(O$3, "IQ_BOND_PRICE", $L262))),NA(),_xll.ciqfunctions.udf.CIQ(O$3, "IQ_BOND_PRICE", $L262)),"")</f>
        <v>100.4402</v>
      </c>
      <c r="P262" s="424">
        <f>IF(AND($L262&lt;&gt;"",P$3&lt;&gt;""),IF(NOT(ISNUMBER(_xll.ciqfunctions.udf.CIQ(P$3, "IQ_BOND_PRICE", $L262))),NA(),_xll.ciqfunctions.udf.CIQ(P$3, "IQ_BOND_PRICE", $L262)),"")</f>
        <v>100.79794</v>
      </c>
      <c r="Q262" s="424">
        <f>IF(AND($L262&lt;&gt;"",Q$3&lt;&gt;""),IF(NOT(ISNUMBER(_xll.ciqfunctions.udf.CIQ(Q$3, "IQ_BOND_PRICE", $L262))),NA(),_xll.ciqfunctions.udf.CIQ(Q$3, "IQ_BOND_PRICE", $L262)),"")</f>
        <v>101.788</v>
      </c>
      <c r="R262" s="399">
        <f>IF(AND($L262&lt;&gt;"",R$3&lt;&gt;""),IF(NOT(ISNUMBER(_xll.ciqfunctions.udf.CIQ(R$3, "IQ_BOND_PRICE", $L262))),NA(),_xll.ciqfunctions.udf.CIQ(R$3, "IQ_BOND_PRICE", $L262)),"")</f>
        <v>106.842</v>
      </c>
      <c r="S262" s="399">
        <f>IF(AND($L262&lt;&gt;"",S$3&lt;&gt;""),IF(NOT(ISNUMBER(_xll.ciqfunctions.udf.CIQ(S$3, "IQ_BOND_PRICE", $L262))),NA(),_xll.ciqfunctions.udf.CIQ(S$3, "IQ_BOND_PRICE", $L262)),"")</f>
        <v>102.127</v>
      </c>
      <c r="T262" s="399">
        <f>IF(AND($L262&lt;&gt;"",T$3&lt;&gt;""),IF(NOT(ISNUMBER(_xll.ciqfunctions.udf.CIQ(T$3, "IQ_BOND_PRICE", $L262))),NA(),_xll.ciqfunctions.udf.CIQ(T$3, "IQ_BOND_PRICE", $L262)),"")</f>
        <v>101.179</v>
      </c>
      <c r="U262" s="399">
        <f>IF(AND($L262&lt;&gt;"",U$3&lt;&gt;""),IF(NOT(ISNUMBER(_xll.ciqfunctions.udf.CIQ(U$3, "IQ_BOND_PRICE", $L262))),NA(),_xll.ciqfunctions.udf.CIQ(U$3, "IQ_BOND_PRICE", $L262)),"")</f>
        <v>99.737539999999996</v>
      </c>
      <c r="V262" s="399">
        <f>IF(AND($L262&lt;&gt;"",V$3&lt;&gt;""),IF(NOT(ISNUMBER(_xll.ciqfunctions.udf.CIQ(V$3, "IQ_BOND_PRICE", $L262))),NA(),_xll.ciqfunctions.udf.CIQ(V$3, "IQ_BOND_PRICE", $L262)),"")</f>
        <v>100.67274999999999</v>
      </c>
      <c r="W262" s="399">
        <f>IF(AND($L262&lt;&gt;"",W$3&lt;&gt;""),IF(NOT(ISNUMBER(_xll.ciqfunctions.udf.CIQ(W$3, "IQ_BOND_PRICE", $L262))),NA(),_xll.ciqfunctions.udf.CIQ(W$3, "IQ_BOND_PRICE", $L262)),"")</f>
        <v>103.29600000000001</v>
      </c>
      <c r="X262" s="399">
        <f>IF(AND($L262&lt;&gt;"",X$3&lt;&gt;""),IF(NOT(ISNUMBER(_xll.ciqfunctions.udf.CIQ(X$3, "IQ_BOND_PRICE", $L262))),NA(),_xll.ciqfunctions.udf.CIQ(X$3, "IQ_BOND_PRICE", $L262)),"")</f>
        <v>106.455</v>
      </c>
      <c r="Y262" s="399">
        <f>IF(AND($L262&lt;&gt;"",Y$3&lt;&gt;""),IF(NOT(ISNUMBER(_xll.ciqfunctions.udf.CIQ(Y$3, "IQ_BOND_PRICE", $L262))),NA(),_xll.ciqfunctions.udf.CIQ(Y$3, "IQ_BOND_PRICE", $L262)),"")</f>
        <v>102.589</v>
      </c>
      <c r="Z262" s="399">
        <f>IF(AND($L262&lt;&gt;"",Z$3&lt;&gt;""),IF(NOT(ISNUMBER(_xll.ciqfunctions.udf.CIQ(Z$3, "IQ_BOND_PRICE", $L262))),NA(),_xll.ciqfunctions.udf.CIQ(Z$3, "IQ_BOND_PRICE", $L262)),"")</f>
        <v>94.231890000000007</v>
      </c>
    </row>
    <row r="263" spans="12:104" x14ac:dyDescent="0.2">
      <c r="L263" s="425">
        <f t="shared" si="4"/>
        <v>44641</v>
      </c>
      <c r="M263" s="424">
        <f>IF(AND($L263&lt;&gt;"",M$3&lt;&gt;""),IF(NOT(ISNUMBER(_xll.ciqfunctions.udf.CIQ(M$3, "IQ_BOND_PRICE", $L263))),NA(),_xll.ciqfunctions.udf.CIQ(M$3, "IQ_BOND_PRICE", $L263)),"")</f>
        <v>100.075</v>
      </c>
      <c r="N263" s="424">
        <f>IF(AND($L263&lt;&gt;"",N$3&lt;&gt;""),IF(NOT(ISNUMBER(_xll.ciqfunctions.udf.CIQ(N$3, "IQ_BOND_PRICE", $L263))),NA(),_xll.ciqfunctions.udf.CIQ(N$3, "IQ_BOND_PRICE", $L263)),"")</f>
        <v>0</v>
      </c>
      <c r="O263" s="424">
        <f>IF(AND($L263&lt;&gt;"",O$3&lt;&gt;""),IF(NOT(ISNUMBER(_xll.ciqfunctions.udf.CIQ(O$3, "IQ_BOND_PRICE", $L263))),NA(),_xll.ciqfunctions.udf.CIQ(O$3, "IQ_BOND_PRICE", $L263)),"")</f>
        <v>100.5003</v>
      </c>
      <c r="P263" s="424">
        <f>IF(AND($L263&lt;&gt;"",P$3&lt;&gt;""),IF(NOT(ISNUMBER(_xll.ciqfunctions.udf.CIQ(P$3, "IQ_BOND_PRICE", $L263))),NA(),_xll.ciqfunctions.udf.CIQ(P$3, "IQ_BOND_PRICE", $L263)),"")</f>
        <v>100.71625</v>
      </c>
      <c r="Q263" s="424">
        <f>IF(AND($L263&lt;&gt;"",Q$3&lt;&gt;""),IF(NOT(ISNUMBER(_xll.ciqfunctions.udf.CIQ(Q$3, "IQ_BOND_PRICE", $L263))),NA(),_xll.ciqfunctions.udf.CIQ(Q$3, "IQ_BOND_PRICE", $L263)),"")</f>
        <v>101.598</v>
      </c>
      <c r="R263" s="399">
        <f>IF(AND($L263&lt;&gt;"",R$3&lt;&gt;""),IF(NOT(ISNUMBER(_xll.ciqfunctions.udf.CIQ(R$3, "IQ_BOND_PRICE", $L263))),NA(),_xll.ciqfunctions.udf.CIQ(R$3, "IQ_BOND_PRICE", $L263)),"")</f>
        <v>106.63500000000001</v>
      </c>
      <c r="S263" s="399">
        <f>IF(AND($L263&lt;&gt;"",S$3&lt;&gt;""),IF(NOT(ISNUMBER(_xll.ciqfunctions.udf.CIQ(S$3, "IQ_BOND_PRICE", $L263))),NA(),_xll.ciqfunctions.udf.CIQ(S$3, "IQ_BOND_PRICE", $L263)),"")</f>
        <v>101.833</v>
      </c>
      <c r="T263" s="399">
        <f>IF(AND($L263&lt;&gt;"",T$3&lt;&gt;""),IF(NOT(ISNUMBER(_xll.ciqfunctions.udf.CIQ(T$3, "IQ_BOND_PRICE", $L263))),NA(),_xll.ciqfunctions.udf.CIQ(T$3, "IQ_BOND_PRICE", $L263)),"")</f>
        <v>100.94799999999999</v>
      </c>
      <c r="U263" s="399">
        <f>IF(AND($L263&lt;&gt;"",U$3&lt;&gt;""),IF(NOT(ISNUMBER(_xll.ciqfunctions.udf.CIQ(U$3, "IQ_BOND_PRICE", $L263))),NA(),_xll.ciqfunctions.udf.CIQ(U$3, "IQ_BOND_PRICE", $L263)),"")</f>
        <v>99.740380000000002</v>
      </c>
      <c r="V263" s="399">
        <f>IF(AND($L263&lt;&gt;"",V$3&lt;&gt;""),IF(NOT(ISNUMBER(_xll.ciqfunctions.udf.CIQ(V$3, "IQ_BOND_PRICE", $L263))),NA(),_xll.ciqfunctions.udf.CIQ(V$3, "IQ_BOND_PRICE", $L263)),"")</f>
        <v>100.60559000000001</v>
      </c>
      <c r="W263" s="399">
        <f>IF(AND($L263&lt;&gt;"",W$3&lt;&gt;""),IF(NOT(ISNUMBER(_xll.ciqfunctions.udf.CIQ(W$3, "IQ_BOND_PRICE", $L263))),NA(),_xll.ciqfunctions.udf.CIQ(W$3, "IQ_BOND_PRICE", $L263)),"")</f>
        <v>102.798</v>
      </c>
      <c r="X263" s="399">
        <f>IF(AND($L263&lt;&gt;"",X$3&lt;&gt;""),IF(NOT(ISNUMBER(_xll.ciqfunctions.udf.CIQ(X$3, "IQ_BOND_PRICE", $L263))),NA(),_xll.ciqfunctions.udf.CIQ(X$3, "IQ_BOND_PRICE", $L263)),"")</f>
        <v>106.28</v>
      </c>
      <c r="Y263" s="399">
        <f>IF(AND($L263&lt;&gt;"",Y$3&lt;&gt;""),IF(NOT(ISNUMBER(_xll.ciqfunctions.udf.CIQ(Y$3, "IQ_BOND_PRICE", $L263))),NA(),_xll.ciqfunctions.udf.CIQ(Y$3, "IQ_BOND_PRICE", $L263)),"")</f>
        <v>101.59399999999999</v>
      </c>
      <c r="Z263" s="399">
        <f>IF(AND($L263&lt;&gt;"",Z$3&lt;&gt;""),IF(NOT(ISNUMBER(_xll.ciqfunctions.udf.CIQ(Z$3, "IQ_BOND_PRICE", $L263))),NA(),_xll.ciqfunctions.udf.CIQ(Z$3, "IQ_BOND_PRICE", $L263)),"")</f>
        <v>93.441569999999999</v>
      </c>
    </row>
    <row r="264" spans="12:104" x14ac:dyDescent="0.2">
      <c r="L264" s="425">
        <f t="shared" si="4"/>
        <v>44642</v>
      </c>
      <c r="M264" s="424">
        <f>IF(AND($L264&lt;&gt;"",M$3&lt;&gt;""),IF(NOT(ISNUMBER(_xll.ciqfunctions.udf.CIQ(M$3, "IQ_BOND_PRICE", $L264))),NA(),_xll.ciqfunctions.udf.CIQ(M$3, "IQ_BOND_PRICE", $L264)),"")</f>
        <v>100.06399999999999</v>
      </c>
      <c r="N264" s="424">
        <f>IF(AND($L264&lt;&gt;"",N$3&lt;&gt;""),IF(NOT(ISNUMBER(_xll.ciqfunctions.udf.CIQ(N$3, "IQ_BOND_PRICE", $L264))),NA(),_xll.ciqfunctions.udf.CIQ(N$3, "IQ_BOND_PRICE", $L264)),"")</f>
        <v>0</v>
      </c>
      <c r="O264" s="424">
        <f>IF(AND($L264&lt;&gt;"",O$3&lt;&gt;""),IF(NOT(ISNUMBER(_xll.ciqfunctions.udf.CIQ(O$3, "IQ_BOND_PRICE", $L264))),NA(),_xll.ciqfunctions.udf.CIQ(O$3, "IQ_BOND_PRICE", $L264)),"")</f>
        <v>100.48884</v>
      </c>
      <c r="P264" s="424">
        <f>IF(AND($L264&lt;&gt;"",P$3&lt;&gt;""),IF(NOT(ISNUMBER(_xll.ciqfunctions.udf.CIQ(P$3, "IQ_BOND_PRICE", $L264))),NA(),_xll.ciqfunctions.udf.CIQ(P$3, "IQ_BOND_PRICE", $L264)),"")</f>
        <v>100.49548</v>
      </c>
      <c r="Q264" s="424">
        <f>IF(AND($L264&lt;&gt;"",Q$3&lt;&gt;""),IF(NOT(ISNUMBER(_xll.ciqfunctions.udf.CIQ(Q$3, "IQ_BOND_PRICE", $L264))),NA(),_xll.ciqfunctions.udf.CIQ(Q$3, "IQ_BOND_PRICE", $L264)),"")</f>
        <v>101.501</v>
      </c>
      <c r="R264" s="399">
        <f>IF(AND($L264&lt;&gt;"",R$3&lt;&gt;""),IF(NOT(ISNUMBER(_xll.ciqfunctions.udf.CIQ(R$3, "IQ_BOND_PRICE", $L264))),NA(),_xll.ciqfunctions.udf.CIQ(R$3, "IQ_BOND_PRICE", $L264)),"")</f>
        <v>106.702</v>
      </c>
      <c r="S264" s="399">
        <f>IF(AND($L264&lt;&gt;"",S$3&lt;&gt;""),IF(NOT(ISNUMBER(_xll.ciqfunctions.udf.CIQ(S$3, "IQ_BOND_PRICE", $L264))),NA(),_xll.ciqfunctions.udf.CIQ(S$3, "IQ_BOND_PRICE", $L264)),"")</f>
        <v>101.798</v>
      </c>
      <c r="T264" s="399">
        <f>IF(AND($L264&lt;&gt;"",T$3&lt;&gt;""),IF(NOT(ISNUMBER(_xll.ciqfunctions.udf.CIQ(T$3, "IQ_BOND_PRICE", $L264))),NA(),_xll.ciqfunctions.udf.CIQ(T$3, "IQ_BOND_PRICE", $L264)),"")</f>
        <v>100.90900000000001</v>
      </c>
      <c r="U264" s="399">
        <f>IF(AND($L264&lt;&gt;"",U$3&lt;&gt;""),IF(NOT(ISNUMBER(_xll.ciqfunctions.udf.CIQ(U$3, "IQ_BOND_PRICE", $L264))),NA(),_xll.ciqfunctions.udf.CIQ(U$3, "IQ_BOND_PRICE", $L264)),"")</f>
        <v>99.726349999999996</v>
      </c>
      <c r="V264" s="399">
        <f>IF(AND($L264&lt;&gt;"",V$3&lt;&gt;""),IF(NOT(ISNUMBER(_xll.ciqfunctions.udf.CIQ(V$3, "IQ_BOND_PRICE", $L264))),NA(),_xll.ciqfunctions.udf.CIQ(V$3, "IQ_BOND_PRICE", $L264)),"")</f>
        <v>100.57358000000001</v>
      </c>
      <c r="W264" s="399">
        <f>IF(AND($L264&lt;&gt;"",W$3&lt;&gt;""),IF(NOT(ISNUMBER(_xll.ciqfunctions.udf.CIQ(W$3, "IQ_BOND_PRICE", $L264))),NA(),_xll.ciqfunctions.udf.CIQ(W$3, "IQ_BOND_PRICE", $L264)),"")</f>
        <v>103.033</v>
      </c>
      <c r="X264" s="399">
        <f>IF(AND($L264&lt;&gt;"",X$3&lt;&gt;""),IF(NOT(ISNUMBER(_xll.ciqfunctions.udf.CIQ(X$3, "IQ_BOND_PRICE", $L264))),NA(),_xll.ciqfunctions.udf.CIQ(X$3, "IQ_BOND_PRICE", $L264)),"")</f>
        <v>106.02800000000001</v>
      </c>
      <c r="Y264" s="399">
        <f>IF(AND($L264&lt;&gt;"",Y$3&lt;&gt;""),IF(NOT(ISNUMBER(_xll.ciqfunctions.udf.CIQ(Y$3, "IQ_BOND_PRICE", $L264))),NA(),_xll.ciqfunctions.udf.CIQ(Y$3, "IQ_BOND_PRICE", $L264)),"")</f>
        <v>101.411</v>
      </c>
      <c r="Z264" s="399">
        <f>IF(AND($L264&lt;&gt;"",Z$3&lt;&gt;""),IF(NOT(ISNUMBER(_xll.ciqfunctions.udf.CIQ(Z$3, "IQ_BOND_PRICE", $L264))),NA(),_xll.ciqfunctions.udf.CIQ(Z$3, "IQ_BOND_PRICE", $L264)),"")</f>
        <v>93.348119999999994</v>
      </c>
    </row>
    <row r="265" spans="12:104" x14ac:dyDescent="0.2">
      <c r="L265" s="425">
        <f t="shared" si="4"/>
        <v>44643</v>
      </c>
      <c r="M265" s="424">
        <f>IF(AND($L265&lt;&gt;"",M$3&lt;&gt;""),IF(NOT(ISNUMBER(_xll.ciqfunctions.udf.CIQ(M$3, "IQ_BOND_PRICE", $L265))),NA(),_xll.ciqfunctions.udf.CIQ(M$3, "IQ_BOND_PRICE", $L265)),"")</f>
        <v>100.063</v>
      </c>
      <c r="N265" s="424">
        <f>IF(AND($L265&lt;&gt;"",N$3&lt;&gt;""),IF(NOT(ISNUMBER(_xll.ciqfunctions.udf.CIQ(N$3, "IQ_BOND_PRICE", $L265))),NA(),_xll.ciqfunctions.udf.CIQ(N$3, "IQ_BOND_PRICE", $L265)),"")</f>
        <v>0</v>
      </c>
      <c r="O265" s="424">
        <f>IF(AND($L265&lt;&gt;"",O$3&lt;&gt;""),IF(NOT(ISNUMBER(_xll.ciqfunctions.udf.CIQ(O$3, "IQ_BOND_PRICE", $L265))),NA(),_xll.ciqfunctions.udf.CIQ(O$3, "IQ_BOND_PRICE", $L265)),"")</f>
        <v>100.73344</v>
      </c>
      <c r="P265" s="424">
        <f>IF(AND($L265&lt;&gt;"",P$3&lt;&gt;""),IF(NOT(ISNUMBER(_xll.ciqfunctions.udf.CIQ(P$3, "IQ_BOND_PRICE", $L265))),NA(),_xll.ciqfunctions.udf.CIQ(P$3, "IQ_BOND_PRICE", $L265)),"")</f>
        <v>100.50097</v>
      </c>
      <c r="Q265" s="424">
        <f>IF(AND($L265&lt;&gt;"",Q$3&lt;&gt;""),IF(NOT(ISNUMBER(_xll.ciqfunctions.udf.CIQ(Q$3, "IQ_BOND_PRICE", $L265))),NA(),_xll.ciqfunctions.udf.CIQ(Q$3, "IQ_BOND_PRICE", $L265)),"")</f>
        <v>101.61499999999999</v>
      </c>
      <c r="R265" s="399">
        <f>IF(AND($L265&lt;&gt;"",R$3&lt;&gt;""),IF(NOT(ISNUMBER(_xll.ciqfunctions.udf.CIQ(R$3, "IQ_BOND_PRICE", $L265))),NA(),_xll.ciqfunctions.udf.CIQ(R$3, "IQ_BOND_PRICE", $L265)),"")</f>
        <v>106.846</v>
      </c>
      <c r="S265" s="399">
        <f>IF(AND($L265&lt;&gt;"",S$3&lt;&gt;""),IF(NOT(ISNUMBER(_xll.ciqfunctions.udf.CIQ(S$3, "IQ_BOND_PRICE", $L265))),NA(),_xll.ciqfunctions.udf.CIQ(S$3, "IQ_BOND_PRICE", $L265)),"")</f>
        <v>101.851</v>
      </c>
      <c r="T265" s="399">
        <f>IF(AND($L265&lt;&gt;"",T$3&lt;&gt;""),IF(NOT(ISNUMBER(_xll.ciqfunctions.udf.CIQ(T$3, "IQ_BOND_PRICE", $L265))),NA(),_xll.ciqfunctions.udf.CIQ(T$3, "IQ_BOND_PRICE", $L265)),"")</f>
        <v>100.991</v>
      </c>
      <c r="U265" s="399">
        <f>IF(AND($L265&lt;&gt;"",U$3&lt;&gt;""),IF(NOT(ISNUMBER(_xll.ciqfunctions.udf.CIQ(U$3, "IQ_BOND_PRICE", $L265))),NA(),_xll.ciqfunctions.udf.CIQ(U$3, "IQ_BOND_PRICE", $L265)),"")</f>
        <v>99.718729999999994</v>
      </c>
      <c r="V265" s="399">
        <f>IF(AND($L265&lt;&gt;"",V$3&lt;&gt;""),IF(NOT(ISNUMBER(_xll.ciqfunctions.udf.CIQ(V$3, "IQ_BOND_PRICE", $L265))),NA(),_xll.ciqfunctions.udf.CIQ(V$3, "IQ_BOND_PRICE", $L265)),"")</f>
        <v>100.988</v>
      </c>
      <c r="W265" s="399">
        <f>IF(AND($L265&lt;&gt;"",W$3&lt;&gt;""),IF(NOT(ISNUMBER(_xll.ciqfunctions.udf.CIQ(W$3, "IQ_BOND_PRICE", $L265))),NA(),_xll.ciqfunctions.udf.CIQ(W$3, "IQ_BOND_PRICE", $L265)),"")</f>
        <v>103.169</v>
      </c>
      <c r="X265" s="399">
        <f>IF(AND($L265&lt;&gt;"",X$3&lt;&gt;""),IF(NOT(ISNUMBER(_xll.ciqfunctions.udf.CIQ(X$3, "IQ_BOND_PRICE", $L265))),NA(),_xll.ciqfunctions.udf.CIQ(X$3, "IQ_BOND_PRICE", $L265)),"")</f>
        <v>106.06699999999999</v>
      </c>
      <c r="Y265" s="399">
        <f>IF(AND($L265&lt;&gt;"",Y$3&lt;&gt;""),IF(NOT(ISNUMBER(_xll.ciqfunctions.udf.CIQ(Y$3, "IQ_BOND_PRICE", $L265))),NA(),_xll.ciqfunctions.udf.CIQ(Y$3, "IQ_BOND_PRICE", $L265)),"")</f>
        <v>101.59</v>
      </c>
      <c r="Z265" s="399">
        <f>IF(AND($L265&lt;&gt;"",Z$3&lt;&gt;""),IF(NOT(ISNUMBER(_xll.ciqfunctions.udf.CIQ(Z$3, "IQ_BOND_PRICE", $L265))),NA(),_xll.ciqfunctions.udf.CIQ(Z$3, "IQ_BOND_PRICE", $L265)),"")</f>
        <v>93.544280000000001</v>
      </c>
    </row>
    <row r="266" spans="12:104" x14ac:dyDescent="0.2">
      <c r="L266" s="425">
        <f t="shared" si="4"/>
        <v>44644</v>
      </c>
      <c r="M266" s="424">
        <f>IF(AND($L266&lt;&gt;"",M$3&lt;&gt;""),IF(NOT(ISNUMBER(_xll.ciqfunctions.udf.CIQ(M$3, "IQ_BOND_PRICE", $L266))),NA(),_xll.ciqfunctions.udf.CIQ(M$3, "IQ_BOND_PRICE", $L266)),"")</f>
        <v>100.051</v>
      </c>
      <c r="N266" s="424">
        <f>IF(AND($L266&lt;&gt;"",N$3&lt;&gt;""),IF(NOT(ISNUMBER(_xll.ciqfunctions.udf.CIQ(N$3, "IQ_BOND_PRICE", $L266))),NA(),_xll.ciqfunctions.udf.CIQ(N$3, "IQ_BOND_PRICE", $L266)),"")</f>
        <v>0</v>
      </c>
      <c r="O266" s="424">
        <f>IF(AND($L266&lt;&gt;"",O$3&lt;&gt;""),IF(NOT(ISNUMBER(_xll.ciqfunctions.udf.CIQ(O$3, "IQ_BOND_PRICE", $L266))),NA(),_xll.ciqfunctions.udf.CIQ(O$3, "IQ_BOND_PRICE", $L266)),"")</f>
        <v>100.71921</v>
      </c>
      <c r="P266" s="424">
        <f>IF(AND($L266&lt;&gt;"",P$3&lt;&gt;""),IF(NOT(ISNUMBER(_xll.ciqfunctions.udf.CIQ(P$3, "IQ_BOND_PRICE", $L266))),NA(),_xll.ciqfunctions.udf.CIQ(P$3, "IQ_BOND_PRICE", $L266)),"")</f>
        <v>100.49081</v>
      </c>
      <c r="Q266" s="424">
        <f>IF(AND($L266&lt;&gt;"",Q$3&lt;&gt;""),IF(NOT(ISNUMBER(_xll.ciqfunctions.udf.CIQ(Q$3, "IQ_BOND_PRICE", $L266))),NA(),_xll.ciqfunctions.udf.CIQ(Q$3, "IQ_BOND_PRICE", $L266)),"")</f>
        <v>101.59099999999999</v>
      </c>
      <c r="R266" s="399">
        <f>IF(AND($L266&lt;&gt;"",R$3&lt;&gt;""),IF(NOT(ISNUMBER(_xll.ciqfunctions.udf.CIQ(R$3, "IQ_BOND_PRICE", $L266))),NA(),_xll.ciqfunctions.udf.CIQ(R$3, "IQ_BOND_PRICE", $L266)),"")</f>
        <v>106.79900000000001</v>
      </c>
      <c r="S266" s="399">
        <f>IF(AND($L266&lt;&gt;"",S$3&lt;&gt;""),IF(NOT(ISNUMBER(_xll.ciqfunctions.udf.CIQ(S$3, "IQ_BOND_PRICE", $L266))),NA(),_xll.ciqfunctions.udf.CIQ(S$3, "IQ_BOND_PRICE", $L266)),"")</f>
        <v>101.785</v>
      </c>
      <c r="T266" s="399">
        <f>IF(AND($L266&lt;&gt;"",T$3&lt;&gt;""),IF(NOT(ISNUMBER(_xll.ciqfunctions.udf.CIQ(T$3, "IQ_BOND_PRICE", $L266))),NA(),_xll.ciqfunctions.udf.CIQ(T$3, "IQ_BOND_PRICE", $L266)),"")</f>
        <v>100.964</v>
      </c>
      <c r="U266" s="399">
        <f>IF(AND($L266&lt;&gt;"",U$3&lt;&gt;""),IF(NOT(ISNUMBER(_xll.ciqfunctions.udf.CIQ(U$3, "IQ_BOND_PRICE", $L266))),NA(),_xll.ciqfunctions.udf.CIQ(U$3, "IQ_BOND_PRICE", $L266)),"")</f>
        <v>99.715329999999994</v>
      </c>
      <c r="V266" s="399">
        <f>IF(AND($L266&lt;&gt;"",V$3&lt;&gt;""),IF(NOT(ISNUMBER(_xll.ciqfunctions.udf.CIQ(V$3, "IQ_BOND_PRICE", $L266))),NA(),_xll.ciqfunctions.udf.CIQ(V$3, "IQ_BOND_PRICE", $L266)),"")</f>
        <v>100.95690999999999</v>
      </c>
      <c r="W266" s="399">
        <f>IF(AND($L266&lt;&gt;"",W$3&lt;&gt;""),IF(NOT(ISNUMBER(_xll.ciqfunctions.udf.CIQ(W$3, "IQ_BOND_PRICE", $L266))),NA(),_xll.ciqfunctions.udf.CIQ(W$3, "IQ_BOND_PRICE", $L266)),"")</f>
        <v>103.093</v>
      </c>
      <c r="X266" s="399">
        <f>IF(AND($L266&lt;&gt;"",X$3&lt;&gt;""),IF(NOT(ISNUMBER(_xll.ciqfunctions.udf.CIQ(X$3, "IQ_BOND_PRICE", $L266))),NA(),_xll.ciqfunctions.udf.CIQ(X$3, "IQ_BOND_PRICE", $L266)),"")</f>
        <v>105.946</v>
      </c>
      <c r="Y266" s="399">
        <f>IF(AND($L266&lt;&gt;"",Y$3&lt;&gt;""),IF(NOT(ISNUMBER(_xll.ciqfunctions.udf.CIQ(Y$3, "IQ_BOND_PRICE", $L266))),NA(),_xll.ciqfunctions.udf.CIQ(Y$3, "IQ_BOND_PRICE", $L266)),"")</f>
        <v>101.446</v>
      </c>
      <c r="Z266" s="399">
        <f>IF(AND($L266&lt;&gt;"",Z$3&lt;&gt;""),IF(NOT(ISNUMBER(_xll.ciqfunctions.udf.CIQ(Z$3, "IQ_BOND_PRICE", $L266))),NA(),_xll.ciqfunctions.udf.CIQ(Z$3, "IQ_BOND_PRICE", $L266)),"")</f>
        <v>93.402299999999997</v>
      </c>
    </row>
    <row r="267" spans="12:104" x14ac:dyDescent="0.2">
      <c r="L267" s="425" t="str">
        <f t="shared" si="4"/>
        <v/>
      </c>
      <c r="M267" s="424" t="str">
        <f>IF(AND($L267&lt;&gt;"",M$3&lt;&gt;""),IF(NOT(ISNUMBER(_xll.ciqfunctions.udf.CIQ(M$3, "IQ_BOND_PRICE", $L267))),NA(),_xll.ciqfunctions.udf.CIQ(M$3, "IQ_BOND_PRICE", $L267)),"")</f>
        <v/>
      </c>
      <c r="N267" s="424" t="str">
        <f>IF(AND($L267&lt;&gt;"",N$3&lt;&gt;""),IF(NOT(ISNUMBER(_xll.ciqfunctions.udf.CIQ(N$3, "IQ_BOND_PRICE", $L267))),NA(),_xll.ciqfunctions.udf.CIQ(N$3, "IQ_BOND_PRICE", $L267)),"")</f>
        <v/>
      </c>
      <c r="O267" s="424" t="str">
        <f>IF(AND($L267&lt;&gt;"",O$3&lt;&gt;""),IF(NOT(ISNUMBER(_xll.ciqfunctions.udf.CIQ(O$3, "IQ_BOND_PRICE", $L267))),NA(),_xll.ciqfunctions.udf.CIQ(O$3, "IQ_BOND_PRICE", $L267)),"")</f>
        <v/>
      </c>
      <c r="P267" s="424" t="str">
        <f>IF(AND($L267&lt;&gt;"",P$3&lt;&gt;""),IF(NOT(ISNUMBER(_xll.ciqfunctions.udf.CIQ(P$3, "IQ_BOND_PRICE", $L267))),NA(),_xll.ciqfunctions.udf.CIQ(P$3, "IQ_BOND_PRICE", $L267)),"")</f>
        <v/>
      </c>
      <c r="Q267" s="424" t="str">
        <f>IF(AND($L267&lt;&gt;"",Q$3&lt;&gt;""),IF(NOT(ISNUMBER(_xll.ciqfunctions.udf.CIQ(Q$3, "IQ_BOND_PRICE", $L267))),NA(),_xll.ciqfunctions.udf.CIQ(Q$3, "IQ_BOND_PRICE", $L267)),"")</f>
        <v/>
      </c>
      <c r="R267" s="399" t="str">
        <f>IF(AND($L267&lt;&gt;"",R$3&lt;&gt;""),IF(NOT(ISNUMBER(_xll.ciqfunctions.udf.CIQ(R$3, "IQ_BOND_PRICE", $L267))),NA(),_xll.ciqfunctions.udf.CIQ(R$3, "IQ_BOND_PRICE", $L267)),"")</f>
        <v/>
      </c>
      <c r="S267" s="399" t="str">
        <f>IF(AND($L267&lt;&gt;"",S$3&lt;&gt;""),IF(NOT(ISNUMBER(_xll.ciqfunctions.udf.CIQ(S$3, "IQ_BOND_PRICE", $L267))),NA(),_xll.ciqfunctions.udf.CIQ(S$3, "IQ_BOND_PRICE", $L267)),"")</f>
        <v/>
      </c>
      <c r="T267" s="399" t="str">
        <f>IF(AND($L267&lt;&gt;"",T$3&lt;&gt;""),IF(NOT(ISNUMBER(_xll.ciqfunctions.udf.CIQ(T$3, "IQ_BOND_PRICE", $L267))),NA(),_xll.ciqfunctions.udf.CIQ(T$3, "IQ_BOND_PRICE", $L267)),"")</f>
        <v/>
      </c>
      <c r="U267" s="399" t="str">
        <f>IF(AND($L267&lt;&gt;"",U$3&lt;&gt;""),IF(NOT(ISNUMBER(_xll.ciqfunctions.udf.CIQ(U$3, "IQ_BOND_PRICE", $L267))),NA(),_xll.ciqfunctions.udf.CIQ(U$3, "IQ_BOND_PRICE", $L267)),"")</f>
        <v/>
      </c>
      <c r="V267" s="399" t="str">
        <f>IF(AND($L267&lt;&gt;"",V$3&lt;&gt;""),IF(NOT(ISNUMBER(_xll.ciqfunctions.udf.CIQ(V$3, "IQ_BOND_PRICE", $L267))),NA(),_xll.ciqfunctions.udf.CIQ(V$3, "IQ_BOND_PRICE", $L267)),"")</f>
        <v/>
      </c>
      <c r="W267" s="399" t="str">
        <f>IF(AND($L267&lt;&gt;"",W$3&lt;&gt;""),IF(NOT(ISNUMBER(_xll.ciqfunctions.udf.CIQ(W$3, "IQ_BOND_PRICE", $L267))),NA(),_xll.ciqfunctions.udf.CIQ(W$3, "IQ_BOND_PRICE", $L267)),"")</f>
        <v/>
      </c>
      <c r="X267" s="399" t="str">
        <f>IF(AND($L267&lt;&gt;"",X$3&lt;&gt;""),IF(NOT(ISNUMBER(_xll.ciqfunctions.udf.CIQ(X$3, "IQ_BOND_PRICE", $L267))),NA(),_xll.ciqfunctions.udf.CIQ(X$3, "IQ_BOND_PRICE", $L267)),"")</f>
        <v/>
      </c>
      <c r="Y267" s="399" t="str">
        <f>IF(AND($L267&lt;&gt;"",Y$3&lt;&gt;""),IF(NOT(ISNUMBER(_xll.ciqfunctions.udf.CIQ(Y$3, "IQ_BOND_PRICE", $L267))),NA(),_xll.ciqfunctions.udf.CIQ(Y$3, "IQ_BOND_PRICE", $L267)),"")</f>
        <v/>
      </c>
      <c r="Z267" s="399" t="str">
        <f>IF(AND($L267&lt;&gt;"",Z$3&lt;&gt;""),IF(NOT(ISNUMBER(_xll.ciqfunctions.udf.CIQ(Z$3, "IQ_BOND_PRICE", $L267))),NA(),_xll.ciqfunctions.udf.CIQ(Z$3, "IQ_BOND_PRICE", $L267)),"")</f>
        <v/>
      </c>
    </row>
  </sheetData>
  <pageMargins left="0.7" right="0.7" top="0.75" bottom="0.75" header="0.3" footer="0.3"/>
  <pageSetup orientation="portrait" r:id="rId1"/>
  <ignoredErrors>
    <ignoredError sqref="C7:C10 B6:G6 B7:B10 H6:H10 D7:F7 G7:G10 D8:F10" formula="1"/>
  </ignoredError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pageSetUpPr fitToPage="1"/>
  </sheetPr>
  <dimension ref="B1:O72"/>
  <sheetViews>
    <sheetView showGridLines="0" workbookViewId="0">
      <selection activeCell="B5" sqref="B5:L16"/>
    </sheetView>
  </sheetViews>
  <sheetFormatPr defaultColWidth="9" defaultRowHeight="12.75" x14ac:dyDescent="0.2"/>
  <cols>
    <col min="1" max="1" width="3.625" style="19" customWidth="1"/>
    <col min="2" max="2" width="20.5" style="1063" customWidth="1"/>
    <col min="3" max="3" width="13.75" style="1064" bestFit="1" customWidth="1"/>
    <col min="4" max="4" width="9.125" style="1064" customWidth="1"/>
    <col min="5" max="5" width="8.75" style="1064" customWidth="1"/>
    <col min="6" max="6" width="9.625" style="1064" customWidth="1"/>
    <col min="7" max="7" width="8.25" style="1065" customWidth="1"/>
    <col min="8" max="8" width="8.25" style="1066" customWidth="1"/>
    <col min="9" max="9" width="11" style="1063" bestFit="1" customWidth="1"/>
    <col min="10" max="10" width="7.75" style="1063" customWidth="1"/>
    <col min="11" max="11" width="10.25" style="1063" bestFit="1" customWidth="1"/>
    <col min="12" max="12" width="7.75" style="1063" customWidth="1"/>
    <col min="13" max="13" width="9" style="19"/>
    <col min="14" max="14" width="11" style="19" bestFit="1" customWidth="1"/>
    <col min="15" max="16384" width="9" style="19"/>
  </cols>
  <sheetData>
    <row r="1" spans="2:15" s="25" customFormat="1" ht="20.100000000000001" customHeight="1" x14ac:dyDescent="0.2">
      <c r="B1" s="1252" t="s">
        <v>414</v>
      </c>
      <c r="C1" s="1253"/>
      <c r="D1" s="1253"/>
      <c r="E1" s="1253"/>
      <c r="F1" s="1253"/>
      <c r="G1" s="1254"/>
      <c r="H1" s="1255"/>
      <c r="I1" s="1253"/>
      <c r="J1" s="1253"/>
      <c r="K1" s="1253"/>
      <c r="L1" s="1275" t="str">
        <f>Input!$C$9</f>
        <v>Walmart Inc.</v>
      </c>
    </row>
    <row r="2" spans="2:15" s="25" customFormat="1" ht="15" customHeight="1" x14ac:dyDescent="0.2">
      <c r="B2" s="664"/>
      <c r="C2" s="664"/>
      <c r="D2" s="664"/>
      <c r="E2" s="664"/>
      <c r="F2" s="664"/>
      <c r="G2" s="664"/>
      <c r="H2" s="664"/>
      <c r="I2" s="664"/>
      <c r="J2" s="664"/>
      <c r="K2" s="664"/>
      <c r="L2" s="664"/>
    </row>
    <row r="3" spans="2:15" ht="15" customHeight="1" thickBot="1" x14ac:dyDescent="0.25">
      <c r="B3" s="1412" t="s">
        <v>362</v>
      </c>
      <c r="C3" s="1425"/>
      <c r="D3" s="1425"/>
      <c r="E3" s="1425"/>
      <c r="F3" s="1426"/>
      <c r="G3" s="1425"/>
      <c r="H3" s="1425"/>
      <c r="I3" s="1425"/>
      <c r="J3" s="1425"/>
      <c r="K3" s="1425"/>
      <c r="L3" s="1425"/>
      <c r="O3" s="664"/>
    </row>
    <row r="4" spans="2:15" ht="15" customHeight="1" x14ac:dyDescent="0.2">
      <c r="B4" s="530"/>
      <c r="C4" s="531"/>
      <c r="D4" s="531"/>
      <c r="E4" s="531"/>
      <c r="F4" s="530"/>
      <c r="G4" s="531"/>
      <c r="H4" s="531"/>
      <c r="I4" s="531"/>
      <c r="J4" s="1036"/>
      <c r="K4" s="1036"/>
      <c r="L4" s="1036"/>
    </row>
    <row r="5" spans="2:15" s="23" customFormat="1" ht="38.25" x14ac:dyDescent="0.2">
      <c r="B5" s="1436" t="str">
        <f>'Peer Data'!A6</f>
        <v>Peer Name</v>
      </c>
      <c r="C5" s="1429" t="str">
        <f>'Peer Data'!B6</f>
        <v xml:space="preserve">Ticker </v>
      </c>
      <c r="D5" s="1429" t="s">
        <v>479</v>
      </c>
      <c r="E5" s="1429" t="s">
        <v>482</v>
      </c>
      <c r="F5" s="1429" t="str">
        <f>"Market Cap 
(" &amp; Input!$C$6 &amp; " mn)"</f>
        <v>Market Cap 
(USD mn)</v>
      </c>
      <c r="G5" s="1429" t="str">
        <f>IF(TargetIndustry="Financials", "Total Deposits  
(" &amp; Input!$C$6 &amp; " mn)", "Debt 
(" &amp; Input!$C$6 &amp; " mn)")</f>
        <v>Total Deposits  
(USD mn)</v>
      </c>
      <c r="H5" s="1429" t="str">
        <f>IF(TargetIndustry="Financials","Gross Loans (" &amp; Input!$C$6 &amp; " mn)", "Cash 
(" &amp; Input!$C$6 &amp; " mn)")</f>
        <v>Gross Loans (USD mn)</v>
      </c>
      <c r="I5" s="1429" t="str">
        <f>IF(TargetIndustry="Financials", "Total Capital (" &amp; Input!$C$6 &amp; " mn)", "Enterprise Value 
(" &amp; Input!$C$6 &amp; " mn)")</f>
        <v>Total Capital (USD mn)</v>
      </c>
      <c r="J5" s="1429" t="s">
        <v>1218</v>
      </c>
      <c r="K5" s="1429" t="str">
        <f>IF(TargetIndustry="Financials", "Market Cap / EBT", "EV / EBITDA")</f>
        <v>Market Cap / EBT</v>
      </c>
      <c r="L5" s="1431" t="s">
        <v>1219</v>
      </c>
    </row>
    <row r="6" spans="2:15" s="23" customFormat="1" ht="15" customHeight="1" x14ac:dyDescent="0.2">
      <c r="B6" s="1158" t="str">
        <f>Input!C19</f>
        <v>Walmart Inc.</v>
      </c>
      <c r="C6" s="1159" t="str">
        <f>Input!B19</f>
        <v>NYSE:WMT</v>
      </c>
      <c r="D6" s="1159" t="str">
        <f>Input!E19</f>
        <v>Walmart</v>
      </c>
      <c r="E6" s="1160">
        <f>IF(B6="","",_xll.ciqfunctions.udf.CIQ(C6, "IQ_LASTSALEPRICE", , Input!$C$6, "H"))</f>
        <v>143.80000000000001</v>
      </c>
      <c r="F6" s="1161">
        <f>Input!F19</f>
        <v>393036.68440999999</v>
      </c>
      <c r="G6" s="1161">
        <f>IF(B6="","",IFERROR(IF(TargetIndustry="Financials", _xll.ciqfunctions.udf.CIQ($C6,"IQ_TOTAL_DEPOSITS",IQ_LTM, , "L", , Input!$C$6, "H"),_xll.ciqfunctions.udf.CIQ($C6,"IQ_TOTAL_DEBT",IQ_LTM, , "L", , Input!$C$6, "H")),""))</f>
        <v>0</v>
      </c>
      <c r="H6" s="1162">
        <f>IF(B6="","",IFERROR(IF(TargetIndustry="Financials",_xll.ciqfunctions.udf.CIQ($C6,"IQ_GROSS_LOANS",IQ_LTM, , "L", , Input!$C$6, "H"),_xll.ciqfunctions.udf.CIQ($C6,"IQ_CASH_EQUIV",IQ_LTM, , "L", , Input!$C$6, "H")),""))</f>
        <v>0</v>
      </c>
      <c r="I6" s="1162">
        <f>IF($C6="","",IF(TargetIndustry="Financials", IFERROR(_xll.ciqfunctions.udf.CIQ($C6,"IQ_TOTAL_BANK_CAPITAL",IQ_FY, Input!$C$8, "L", , Input!$C$6, "H"),0),IF(NOT(ISNUMBER(_xll.ciqfunctions.udf.CIQ($C6,"IQ_MARKETCAP",Input!$C$8, Input!$C$6))),0,_xll.ciqfunctions.udf.CIQ($C6,"IQ_MARKETCAP",Input!$C$8, Input!$C$6))+IF(NOT(ISNUMBER(_xll.ciqfunctions.udf.CIQ($C6,"IQ_TOTAL_DEBT","IQ_LTM",Input!$C$8, "L", , Input!$C$6, "H"))),0,_xll.ciqfunctions.udf.CIQ($C6,"IQ_TOTAL_DEBT","IQ_LTM",Input!$C$8, "L", , Input!$C$6, "H"))+IF(NOT(ISNUMBER(_xll.ciqfunctions.udf.CIQ($C6,"IQ_PREF_EQUITY","IQ_LTM",Input!$C$8, "L", , Input!$C$6, "H"))),0,_xll.ciqfunctions.udf.CIQ($C6,"IQ_PREF_EQUITY","IQ_LTM",Input!$C$8, "L", , Input!$C$6, "H"))+IF(NOT(ISNUMBER(_xll.ciqfunctions.udf.CIQ($C6,"IQ_MINORITY_INTEREST","IQ_LTM",Input!$C$8, "L", , Input!$C$6, "H"))),0,_xll.ciqfunctions.udf.CIQ($C6,"IQ_MINORITY_INTEREST","IQ_LTM",Input!$C$8, "L", , Input!$C$6, "H"))-IF(NOT(ISNUMBER(_xll.ciqfunctions.udf.CIQ($C6,"IQ_ST_INVEST","IQ_LTM",Input!$C$8, "L", , Input!$C$6, "H"))),0,_xll.ciqfunctions.udf.CIQ($C6,"IQ_ST_INVEST","IQ_LTM",Input!$C$8, "L", , Input!$C$6, "H"))-IF(NOT(ISNUMBER(_xll.ciqfunctions.udf.CIQ($C6,"IQ_cash_equiv","IQ_LTM",Input!$C$8, "L", , Input!$C$6, "H"))),0,_xll.ciqfunctions.udf.CIQ($C6,"IQ_cash_equiv","IQ_LTM",Input!$C$8, "L", , Input!$C$6, "H"))))</f>
        <v>0</v>
      </c>
      <c r="J6" s="1163">
        <f>IFERROR($E6/_xll.ciqfunctions.udf.CIQ($C6,"IQ_BASIC_EPS_EXCL",IQ_LTM, , "L", , Input!$C$6, "H"),"")</f>
        <v>29.363658082867591</v>
      </c>
      <c r="K6" s="1163">
        <f>IFERROR(IF(TargetIndustry="Financials", _xll.ciqfunctions.udf.CIQ($C6, "IQ_MKTCAP_EBT_EXCL", IQ_LTM, Input!$C$8), $I6/_xll.ciqfunctions.udf.CIQ($C6, "IQ_EBITDA", IQ_LTM, Input!$C$8, "L", "F", Input!$C$6, "H")),"")</f>
        <v>16.39087</v>
      </c>
      <c r="L6" s="1164">
        <f>IFERROR(_xll.ciqfunctions.udf.CIQ($C6, "IQ_PBV", IQ_LTM, Input!$C$8),"")</f>
        <v>4.7368100000000002</v>
      </c>
      <c r="N6" s="1047"/>
    </row>
    <row r="7" spans="2:15" s="23" customFormat="1" ht="15" customHeight="1" x14ac:dyDescent="0.2">
      <c r="B7" s="143" t="str">
        <f>Input!C20</f>
        <v>Costco Wholesale Corporation</v>
      </c>
      <c r="C7" s="144" t="str">
        <f>Input!B20</f>
        <v>NasdaqGS:COST</v>
      </c>
      <c r="D7" s="144" t="str">
        <f>Input!E20</f>
        <v>Costco</v>
      </c>
      <c r="E7" s="360">
        <f>IF(B7="","",_xll.ciqfunctions.udf.CIQ(C7, "IQ_LASTSALEPRICE", , Input!$C$6, "H"))</f>
        <v>557.61</v>
      </c>
      <c r="F7" s="145">
        <f>Input!F20</f>
        <v>247367.90849</v>
      </c>
      <c r="G7" s="145">
        <f>IF(B7="","",IFERROR(IF(TargetIndustry="Financials", _xll.ciqfunctions.udf.CIQ($C7,"IQ_TOTAL_DEPOSITS",IQ_LTM, , "L", , Input!$C$6, "H"),_xll.ciqfunctions.udf.CIQ($C7,"IQ_TOTAL_DEBT",IQ_LTM, , "L", , Input!$C$6, "H")),""))</f>
        <v>0</v>
      </c>
      <c r="H7" s="1048">
        <f>IF(B7="","",IFERROR(IF(TargetIndustry="Financials",_xll.ciqfunctions.udf.CIQ($C7,"IQ_GROSS_LOANS",IQ_LTM, , "L", , Input!$C$6, "H"),_xll.ciqfunctions.udf.CIQ($C7,"IQ_CASH_EQUIV",IQ_LTM, , "L", , Input!$C$6, "H")),""))</f>
        <v>0</v>
      </c>
      <c r="I7" s="1162">
        <f>IF($C7="","",IF(TargetIndustry="Financials", IFERROR(_xll.ciqfunctions.udf.CIQ($C7,"IQ_TOTAL_BANK_CAPITAL",IQ_FY, Input!$C$8, "L", , Input!$C$6, "H"),0),IF(NOT(ISNUMBER(_xll.ciqfunctions.udf.CIQ($C7,"IQ_MARKETCAP",Input!$C$8, Input!$C$6))),0,_xll.ciqfunctions.udf.CIQ($C7,"IQ_MARKETCAP",Input!$C$8, Input!$C$6))+IF(NOT(ISNUMBER(_xll.ciqfunctions.udf.CIQ($C7,"IQ_TOTAL_DEBT","IQ_LTM",Input!$C$8, "L", , Input!$C$6, "H"))),0,_xll.ciqfunctions.udf.CIQ($C7,"IQ_TOTAL_DEBT","IQ_LTM",Input!$C$8, "L", , Input!$C$6, "H"))+IF(NOT(ISNUMBER(_xll.ciqfunctions.udf.CIQ($C7,"IQ_PREF_EQUITY","IQ_LTM",Input!$C$8, "L", , Input!$C$6, "H"))),0,_xll.ciqfunctions.udf.CIQ($C7,"IQ_PREF_EQUITY","IQ_LTM",Input!$C$8, "L", , Input!$C$6, "H"))+IF(NOT(ISNUMBER(_xll.ciqfunctions.udf.CIQ($C7,"IQ_MINORITY_INTEREST","IQ_LTM",Input!$C$8, "L", , Input!$C$6, "H"))),0,_xll.ciqfunctions.udf.CIQ($C7,"IQ_MINORITY_INTEREST","IQ_LTM",Input!$C$8, "L", , Input!$C$6, "H"))-IF(NOT(ISNUMBER(_xll.ciqfunctions.udf.CIQ($C7,"IQ_ST_INVEST","IQ_LTM",Input!$C$8, "L", , Input!$C$6, "H"))),0,_xll.ciqfunctions.udf.CIQ($C7,"IQ_ST_INVEST","IQ_LTM",Input!$C$8, "L", , Input!$C$6, "H"))-IF(NOT(ISNUMBER(_xll.ciqfunctions.udf.CIQ($C7,"IQ_cash_equiv","IQ_LTM",Input!$C$8, "L", , Input!$C$6, "H"))),0,_xll.ciqfunctions.udf.CIQ($C7,"IQ_cash_equiv","IQ_LTM",Input!$C$8, "L", , Input!$C$6, "H"))))</f>
        <v>0</v>
      </c>
      <c r="J7" s="1049">
        <f>IFERROR($E7/_xll.ciqfunctions.udf.CIQ($C7,"IQ_BASIC_EPS_EXCL",IQ_LTM, , "L", , Input!$C$6, "H"),"")</f>
        <v>44.839165697688451</v>
      </c>
      <c r="K7" s="1049">
        <f>IFERROR(IF(TargetIndustry="Financials", _xll.ciqfunctions.udf.CIQ($C7, "IQ_MKTCAP_EBT_EXCL", IQ_LTM, Input!$C$8), $I7/_xll.ciqfunctions.udf.CIQ($C7, "IQ_EBITDA", IQ_LTM, Input!$C$8, "L", "F", Input!$C$6, "H")),"")</f>
        <v>30.648980000000002</v>
      </c>
      <c r="L7" s="1050">
        <f>IFERROR(_xll.ciqfunctions.udf.CIQ($C7, "IQ_PBV", IQ_LTM, Input!$C$8),"")</f>
        <v>12.740679999999999</v>
      </c>
    </row>
    <row r="8" spans="2:15" s="23" customFormat="1" ht="15" customHeight="1" x14ac:dyDescent="0.2">
      <c r="B8" s="143" t="str">
        <f>Input!C21</f>
        <v/>
      </c>
      <c r="C8" s="146">
        <f>Input!B21</f>
        <v>0</v>
      </c>
      <c r="D8" s="146">
        <f>Input!E21</f>
        <v>0</v>
      </c>
      <c r="E8" s="360" t="str">
        <f>IF(B8="","",_xll.ciqfunctions.udf.CIQ(C8, "IQ_LASTSALEPRICE", , Input!$C$6, "H"))</f>
        <v/>
      </c>
      <c r="F8" s="145" t="str">
        <f>Input!F21</f>
        <v/>
      </c>
      <c r="G8" s="145" t="str">
        <f>IF(B8="","",IFERROR(IF(TargetIndustry="Financials", _xll.ciqfunctions.udf.CIQ($C8,"IQ_TOTAL_DEPOSITS",IQ_LTM, , "L", , Input!$C$6, "H"),_xll.ciqfunctions.udf.CIQ($C8,"IQ_TOTAL_DEBT",IQ_LTM, , "L", , Input!$C$6, "H")),""))</f>
        <v/>
      </c>
      <c r="H8" s="1048" t="str">
        <f>IF(B8="","",IFERROR(IF(TargetIndustry="Financials",_xll.ciqfunctions.udf.CIQ($C8,"IQ_GROSS_LOANS",IQ_LTM, , "L", , Input!$C$6, "H"),_xll.ciqfunctions.udf.CIQ($C8,"IQ_CASH_EQUIV",IQ_LTM, , "L", , Input!$C$6, "H")),""))</f>
        <v/>
      </c>
      <c r="I8" s="1162">
        <f>IF($C8="","",IF(TargetIndustry="Financials", IFERROR(_xll.ciqfunctions.udf.CIQ($C8,"IQ_TOTAL_BANK_CAPITAL",IQ_FY, Input!$C$8, "L", , Input!$C$6, "H"),0),IF(NOT(ISNUMBER(_xll.ciqfunctions.udf.CIQ($C8,"IQ_MARKETCAP",Input!$C$8, Input!$C$6))),0,_xll.ciqfunctions.udf.CIQ($C8,"IQ_MARKETCAP",Input!$C$8, Input!$C$6))+IF(NOT(ISNUMBER(_xll.ciqfunctions.udf.CIQ($C8,"IQ_TOTAL_DEBT","IQ_LTM",Input!$C$8, "L", , Input!$C$6, "H"))),0,_xll.ciqfunctions.udf.CIQ($C8,"IQ_TOTAL_DEBT","IQ_LTM",Input!$C$8, "L", , Input!$C$6, "H"))+IF(NOT(ISNUMBER(_xll.ciqfunctions.udf.CIQ($C8,"IQ_PREF_EQUITY","IQ_LTM",Input!$C$8, "L", , Input!$C$6, "H"))),0,_xll.ciqfunctions.udf.CIQ($C8,"IQ_PREF_EQUITY","IQ_LTM",Input!$C$8, "L", , Input!$C$6, "H"))+IF(NOT(ISNUMBER(_xll.ciqfunctions.udf.CIQ($C8,"IQ_MINORITY_INTEREST","IQ_LTM",Input!$C$8, "L", , Input!$C$6, "H"))),0,_xll.ciqfunctions.udf.CIQ($C8,"IQ_MINORITY_INTEREST","IQ_LTM",Input!$C$8, "L", , Input!$C$6, "H"))-IF(NOT(ISNUMBER(_xll.ciqfunctions.udf.CIQ($C8,"IQ_ST_INVEST","IQ_LTM",Input!$C$8, "L", , Input!$C$6, "H"))),0,_xll.ciqfunctions.udf.CIQ($C8,"IQ_ST_INVEST","IQ_LTM",Input!$C$8, "L", , Input!$C$6, "H"))-IF(NOT(ISNUMBER(_xll.ciqfunctions.udf.CIQ($C8,"IQ_cash_equiv","IQ_LTM",Input!$C$8, "L", , Input!$C$6, "H"))),0,_xll.ciqfunctions.udf.CIQ($C8,"IQ_cash_equiv","IQ_LTM",Input!$C$8, "L", , Input!$C$6, "H"))))</f>
        <v>0</v>
      </c>
      <c r="J8" s="1049" t="str">
        <f>IFERROR($E8/_xll.ciqfunctions.udf.CIQ($C8,"IQ_BASIC_EPS_EXCL",IQ_LTM, , "L", , Input!$C$6, "H"),"")</f>
        <v/>
      </c>
      <c r="K8" s="1049" t="str">
        <f>IFERROR(IF(TargetIndustry="Financials", _xll.ciqfunctions.udf.CIQ($C8, "IQ_MKTCAP_EBT_EXCL", IQ_LTM, Input!$C$8), $I8/_xll.ciqfunctions.udf.CIQ($C8, "IQ_EBITDA", IQ_LTM, Input!$C$8, "L", "F", Input!$C$6, "H")),"")</f>
        <v>NM</v>
      </c>
      <c r="L8" s="1050">
        <f>IFERROR(_xll.ciqfunctions.udf.CIQ($C8, "IQ_PBV", IQ_LTM, Input!$C$8),"")</f>
        <v>0</v>
      </c>
    </row>
    <row r="9" spans="2:15" s="23" customFormat="1" ht="15" customHeight="1" x14ac:dyDescent="0.2">
      <c r="B9" s="143" t="str">
        <f>Input!C22</f>
        <v/>
      </c>
      <c r="C9" s="144">
        <f>Input!B22</f>
        <v>0</v>
      </c>
      <c r="D9" s="144">
        <f>Input!E22</f>
        <v>0</v>
      </c>
      <c r="E9" s="360" t="str">
        <f>IF(B9="","",_xll.ciqfunctions.udf.CIQ(C9, "IQ_LASTSALEPRICE", , Input!$C$6, "H"))</f>
        <v/>
      </c>
      <c r="F9" s="145" t="str">
        <f>Input!F22</f>
        <v/>
      </c>
      <c r="G9" s="145" t="str">
        <f>IF(B9="","",IFERROR(IF(TargetIndustry="Financials", _xll.ciqfunctions.udf.CIQ($C9,"IQ_TOTAL_DEPOSITS",IQ_LTM, , "L", , Input!$C$6, "H"),_xll.ciqfunctions.udf.CIQ($C9,"IQ_TOTAL_DEBT",IQ_LTM, , "L", , Input!$C$6, "H")),""))</f>
        <v/>
      </c>
      <c r="H9" s="1048" t="str">
        <f>IF(B9="","",IFERROR(IF(TargetIndustry="Financials",_xll.ciqfunctions.udf.CIQ($C9,"IQ_GROSS_LOANS",IQ_LTM, , "L", , Input!$C$6, "H"),_xll.ciqfunctions.udf.CIQ($C9,"IQ_CASH_EQUIV",IQ_LTM, , "L", , Input!$C$6, "H")),""))</f>
        <v/>
      </c>
      <c r="I9" s="1162">
        <f>IF($C9="","",IF(TargetIndustry="Financials", IFERROR(_xll.ciqfunctions.udf.CIQ($C9,"IQ_TOTAL_BANK_CAPITAL",IQ_FY, Input!$C$8, "L", , Input!$C$6, "H"),0),IF(NOT(ISNUMBER(_xll.ciqfunctions.udf.CIQ($C9,"IQ_MARKETCAP",Input!$C$8, Input!$C$6))),0,_xll.ciqfunctions.udf.CIQ($C9,"IQ_MARKETCAP",Input!$C$8, Input!$C$6))+IF(NOT(ISNUMBER(_xll.ciqfunctions.udf.CIQ($C9,"IQ_TOTAL_DEBT","IQ_LTM",Input!$C$8, "L", , Input!$C$6, "H"))),0,_xll.ciqfunctions.udf.CIQ($C9,"IQ_TOTAL_DEBT","IQ_LTM",Input!$C$8, "L", , Input!$C$6, "H"))+IF(NOT(ISNUMBER(_xll.ciqfunctions.udf.CIQ($C9,"IQ_PREF_EQUITY","IQ_LTM",Input!$C$8, "L", , Input!$C$6, "H"))),0,_xll.ciqfunctions.udf.CIQ($C9,"IQ_PREF_EQUITY","IQ_LTM",Input!$C$8, "L", , Input!$C$6, "H"))+IF(NOT(ISNUMBER(_xll.ciqfunctions.udf.CIQ($C9,"IQ_MINORITY_INTEREST","IQ_LTM",Input!$C$8, "L", , Input!$C$6, "H"))),0,_xll.ciqfunctions.udf.CIQ($C9,"IQ_MINORITY_INTEREST","IQ_LTM",Input!$C$8, "L", , Input!$C$6, "H"))-IF(NOT(ISNUMBER(_xll.ciqfunctions.udf.CIQ($C9,"IQ_ST_INVEST","IQ_LTM",Input!$C$8, "L", , Input!$C$6, "H"))),0,_xll.ciqfunctions.udf.CIQ($C9,"IQ_ST_INVEST","IQ_LTM",Input!$C$8, "L", , Input!$C$6, "H"))-IF(NOT(ISNUMBER(_xll.ciqfunctions.udf.CIQ($C9,"IQ_cash_equiv","IQ_LTM",Input!$C$8, "L", , Input!$C$6, "H"))),0,_xll.ciqfunctions.udf.CIQ($C9,"IQ_cash_equiv","IQ_LTM",Input!$C$8, "L", , Input!$C$6, "H"))))</f>
        <v>0</v>
      </c>
      <c r="J9" s="1049" t="str">
        <f>IFERROR($E9/_xll.ciqfunctions.udf.CIQ($C9,"IQ_BASIC_EPS_EXCL",IQ_LTM, , "L", , Input!$C$6, "H"),"")</f>
        <v/>
      </c>
      <c r="K9" s="1049" t="str">
        <f>IFERROR(IF(TargetIndustry="Financials", _xll.ciqfunctions.udf.CIQ($C9, "IQ_MKTCAP_EBT_EXCL", IQ_LTM, Input!$C$8), $I9/_xll.ciqfunctions.udf.CIQ($C9, "IQ_EBITDA", IQ_LTM, Input!$C$8, "L", "F", Input!$C$6, "H")),"")</f>
        <v>NM</v>
      </c>
      <c r="L9" s="1050">
        <f>IFERROR(_xll.ciqfunctions.udf.CIQ($C9, "IQ_PBV", IQ_LTM, Input!$C$8),"")</f>
        <v>0</v>
      </c>
    </row>
    <row r="10" spans="2:15" s="23" customFormat="1" ht="15" customHeight="1" x14ac:dyDescent="0.2">
      <c r="B10" s="143" t="str">
        <f>Input!C23</f>
        <v/>
      </c>
      <c r="C10" s="146">
        <f>Input!B23</f>
        <v>0</v>
      </c>
      <c r="D10" s="146">
        <f>Input!E23</f>
        <v>0</v>
      </c>
      <c r="E10" s="360" t="str">
        <f>IF(B10="","",_xll.ciqfunctions.udf.CIQ(C10, "IQ_LASTSALEPRICE", , Input!$C$6, "H"))</f>
        <v/>
      </c>
      <c r="F10" s="145" t="str">
        <f>Input!F23</f>
        <v/>
      </c>
      <c r="G10" s="145" t="str">
        <f>IF(B10="","",IFERROR(IF(TargetIndustry="Financials", _xll.ciqfunctions.udf.CIQ($C10,"IQ_TOTAL_DEPOSITS",IQ_LTM, , "L", , Input!$C$6, "H"),_xll.ciqfunctions.udf.CIQ($C10,"IQ_TOTAL_DEBT",IQ_LTM, , "L", , Input!$C$6, "H")),""))</f>
        <v/>
      </c>
      <c r="H10" s="1048" t="str">
        <f>IF(B10="","",IFERROR(IF(TargetIndustry="Financials",_xll.ciqfunctions.udf.CIQ($C10,"IQ_GROSS_LOANS",IQ_LTM, , "L", , Input!$C$6, "H"),_xll.ciqfunctions.udf.CIQ($C10,"IQ_CASH_EQUIV",IQ_LTM, , "L", , Input!$C$6, "H")),""))</f>
        <v/>
      </c>
      <c r="I10" s="1162">
        <f>IF($C10="","",IF(TargetIndustry="Financials", IFERROR(_xll.ciqfunctions.udf.CIQ($C10,"IQ_TOTAL_BANK_CAPITAL",IQ_FY, Input!$C$8, "L", , Input!$C$6, "H"),0),IF(NOT(ISNUMBER(_xll.ciqfunctions.udf.CIQ($C10,"IQ_MARKETCAP",Input!$C$8, Input!$C$6))),0,_xll.ciqfunctions.udf.CIQ($C10,"IQ_MARKETCAP",Input!$C$8, Input!$C$6))+IF(NOT(ISNUMBER(_xll.ciqfunctions.udf.CIQ($C10,"IQ_TOTAL_DEBT","IQ_LTM",Input!$C$8, "L", , Input!$C$6, "H"))),0,_xll.ciqfunctions.udf.CIQ($C10,"IQ_TOTAL_DEBT","IQ_LTM",Input!$C$8, "L", , Input!$C$6, "H"))+IF(NOT(ISNUMBER(_xll.ciqfunctions.udf.CIQ($C10,"IQ_PREF_EQUITY","IQ_LTM",Input!$C$8, "L", , Input!$C$6, "H"))),0,_xll.ciqfunctions.udf.CIQ($C10,"IQ_PREF_EQUITY","IQ_LTM",Input!$C$8, "L", , Input!$C$6, "H"))+IF(NOT(ISNUMBER(_xll.ciqfunctions.udf.CIQ($C10,"IQ_MINORITY_INTEREST","IQ_LTM",Input!$C$8, "L", , Input!$C$6, "H"))),0,_xll.ciqfunctions.udf.CIQ($C10,"IQ_MINORITY_INTEREST","IQ_LTM",Input!$C$8, "L", , Input!$C$6, "H"))-IF(NOT(ISNUMBER(_xll.ciqfunctions.udf.CIQ($C10,"IQ_ST_INVEST","IQ_LTM",Input!$C$8, "L", , Input!$C$6, "H"))),0,_xll.ciqfunctions.udf.CIQ($C10,"IQ_ST_INVEST","IQ_LTM",Input!$C$8, "L", , Input!$C$6, "H"))-IF(NOT(ISNUMBER(_xll.ciqfunctions.udf.CIQ($C10,"IQ_cash_equiv","IQ_LTM",Input!$C$8, "L", , Input!$C$6, "H"))),0,_xll.ciqfunctions.udf.CIQ($C10,"IQ_cash_equiv","IQ_LTM",Input!$C$8, "L", , Input!$C$6, "H"))))</f>
        <v>0</v>
      </c>
      <c r="J10" s="1049" t="str">
        <f>IFERROR($E10/_xll.ciqfunctions.udf.CIQ($C10,"IQ_BASIC_EPS_EXCL",IQ_LTM, , "L", , Input!$C$6, "H"),"")</f>
        <v/>
      </c>
      <c r="K10" s="1049" t="str">
        <f>IFERROR(IF(TargetIndustry="Financials", _xll.ciqfunctions.udf.CIQ($C10, "IQ_MKTCAP_EBT_EXCL", IQ_LTM, Input!$C$8), $I10/_xll.ciqfunctions.udf.CIQ($C10, "IQ_EBITDA", IQ_LTM, Input!$C$8, "L", "F", Input!$C$6, "H")),"")</f>
        <v>NM</v>
      </c>
      <c r="L10" s="1050">
        <f>IFERROR(_xll.ciqfunctions.udf.CIQ($C10, "IQ_PBV", IQ_LTM, Input!$C$8),"")</f>
        <v>0</v>
      </c>
    </row>
    <row r="11" spans="2:15" s="23" customFormat="1" ht="14.25" x14ac:dyDescent="0.2">
      <c r="B11" s="143" t="str">
        <f>Input!C24</f>
        <v/>
      </c>
      <c r="C11" s="144">
        <f>Input!B24</f>
        <v>0</v>
      </c>
      <c r="D11" s="144">
        <f>Input!E24</f>
        <v>0</v>
      </c>
      <c r="E11" s="360" t="str">
        <f>IF(B11="","",_xll.ciqfunctions.udf.CIQ(C11, "IQ_LASTSALEPRICE", , Input!$C$6, "H"))</f>
        <v/>
      </c>
      <c r="F11" s="145" t="str">
        <f>Input!F24</f>
        <v/>
      </c>
      <c r="G11" s="145" t="str">
        <f>IF(B11="","",IFERROR(IF(TargetIndustry="Financials", _xll.ciqfunctions.udf.CIQ($C11,"IQ_TOTAL_DEPOSITS",IQ_LTM, , "L", , Input!$C$6, "H"),_xll.ciqfunctions.udf.CIQ($C11,"IQ_TOTAL_DEBT",IQ_LTM, , "L", , Input!$C$6, "H")),""))</f>
        <v/>
      </c>
      <c r="H11" s="1048" t="str">
        <f>IF(B11="","",IFERROR(IF(TargetIndustry="Financials",_xll.ciqfunctions.udf.CIQ($C11,"IQ_GROSS_LOANS",IQ_LTM, , "L", , Input!$C$6, "H"),_xll.ciqfunctions.udf.CIQ($C11,"IQ_CASH_EQUIV",IQ_LTM, , "L", , Input!$C$6, "H")),""))</f>
        <v/>
      </c>
      <c r="I11" s="1162">
        <f>IF($C11="","",IF(TargetIndustry="Financials", IFERROR(_xll.ciqfunctions.udf.CIQ($C11,"IQ_TOTAL_BANK_CAPITAL",IQ_FY, Input!$C$8, "L", , Input!$C$6, "H"),0),IF(NOT(ISNUMBER(_xll.ciqfunctions.udf.CIQ($C11,"IQ_MARKETCAP",Input!$C$8, Input!$C$6))),0,_xll.ciqfunctions.udf.CIQ($C11,"IQ_MARKETCAP",Input!$C$8, Input!$C$6))+IF(NOT(ISNUMBER(_xll.ciqfunctions.udf.CIQ($C11,"IQ_TOTAL_DEBT","IQ_LTM",Input!$C$8, "L", , Input!$C$6, "H"))),0,_xll.ciqfunctions.udf.CIQ($C11,"IQ_TOTAL_DEBT","IQ_LTM",Input!$C$8, "L", , Input!$C$6, "H"))+IF(NOT(ISNUMBER(_xll.ciqfunctions.udf.CIQ($C11,"IQ_PREF_EQUITY","IQ_LTM",Input!$C$8, "L", , Input!$C$6, "H"))),0,_xll.ciqfunctions.udf.CIQ($C11,"IQ_PREF_EQUITY","IQ_LTM",Input!$C$8, "L", , Input!$C$6, "H"))+IF(NOT(ISNUMBER(_xll.ciqfunctions.udf.CIQ($C11,"IQ_MINORITY_INTEREST","IQ_LTM",Input!$C$8, "L", , Input!$C$6, "H"))),0,_xll.ciqfunctions.udf.CIQ($C11,"IQ_MINORITY_INTEREST","IQ_LTM",Input!$C$8, "L", , Input!$C$6, "H"))-IF(NOT(ISNUMBER(_xll.ciqfunctions.udf.CIQ($C11,"IQ_ST_INVEST","IQ_LTM",Input!$C$8, "L", , Input!$C$6, "H"))),0,_xll.ciqfunctions.udf.CIQ($C11,"IQ_ST_INVEST","IQ_LTM",Input!$C$8, "L", , Input!$C$6, "H"))-IF(NOT(ISNUMBER(_xll.ciqfunctions.udf.CIQ($C11,"IQ_cash_equiv","IQ_LTM",Input!$C$8, "L", , Input!$C$6, "H"))),0,_xll.ciqfunctions.udf.CIQ($C11,"IQ_cash_equiv","IQ_LTM",Input!$C$8, "L", , Input!$C$6, "H"))))</f>
        <v>0</v>
      </c>
      <c r="J11" s="1049" t="str">
        <f>IFERROR($E11/_xll.ciqfunctions.udf.CIQ($C11,"IQ_BASIC_EPS_EXCL",IQ_LTM, , "L", , Input!$C$6, "H"),"")</f>
        <v/>
      </c>
      <c r="K11" s="1049" t="str">
        <f>IFERROR(IF(TargetIndustry="Financials", _xll.ciqfunctions.udf.CIQ($C11, "IQ_MKTCAP_EBT_EXCL", IQ_LTM, Input!$C$8), $I11/_xll.ciqfunctions.udf.CIQ($C11, "IQ_EBITDA", IQ_LTM, Input!$C$8, "L", "F", Input!$C$6, "H")),"")</f>
        <v>NM</v>
      </c>
      <c r="L11" s="1050">
        <f>IFERROR(_xll.ciqfunctions.udf.CIQ($C11, "IQ_PBV", IQ_LTM, Input!$C$8),"")</f>
        <v>0</v>
      </c>
    </row>
    <row r="12" spans="2:15" s="23" customFormat="1" ht="14.25" x14ac:dyDescent="0.2">
      <c r="B12" s="143" t="str">
        <f>Input!C25</f>
        <v/>
      </c>
      <c r="C12" s="146">
        <f>Input!B25</f>
        <v>0</v>
      </c>
      <c r="D12" s="146">
        <f>Input!E25</f>
        <v>0</v>
      </c>
      <c r="E12" s="360" t="str">
        <f>IF(B12="","",_xll.ciqfunctions.udf.CIQ(C12, "IQ_LASTSALEPRICE", , Input!$C$6, "H"))</f>
        <v/>
      </c>
      <c r="F12" s="145" t="str">
        <f>Input!F25</f>
        <v/>
      </c>
      <c r="G12" s="145" t="str">
        <f>IF(B12="","",IFERROR(IF(TargetIndustry="Financials", _xll.ciqfunctions.udf.CIQ($C12,"IQ_TOTAL_DEPOSITS",IQ_LTM, , "L", , Input!$C$6, "H"),_xll.ciqfunctions.udf.CIQ($C12,"IQ_TOTAL_DEBT",IQ_LTM, , "L", , Input!$C$6, "H")),""))</f>
        <v/>
      </c>
      <c r="H12" s="1048" t="str">
        <f>IF(B12="","",IFERROR(IF(TargetIndustry="Financials",_xll.ciqfunctions.udf.CIQ($C12,"IQ_GROSS_LOANS",IQ_LTM, , "L", , Input!$C$6, "H"),_xll.ciqfunctions.udf.CIQ($C12,"IQ_CASH_EQUIV",IQ_LTM, , "L", , Input!$C$6, "H")),""))</f>
        <v/>
      </c>
      <c r="I12" s="1162">
        <f>IF($C12="","",IF(TargetIndustry="Financials", IFERROR(_xll.ciqfunctions.udf.CIQ($C12,"IQ_TOTAL_BANK_CAPITAL",IQ_FY, Input!$C$8, "L", , Input!$C$6, "H"),0),IF(NOT(ISNUMBER(_xll.ciqfunctions.udf.CIQ($C12,"IQ_MARKETCAP",Input!$C$8, Input!$C$6))),0,_xll.ciqfunctions.udf.CIQ($C12,"IQ_MARKETCAP",Input!$C$8, Input!$C$6))+IF(NOT(ISNUMBER(_xll.ciqfunctions.udf.CIQ($C12,"IQ_TOTAL_DEBT","IQ_LTM",Input!$C$8, "L", , Input!$C$6, "H"))),0,_xll.ciqfunctions.udf.CIQ($C12,"IQ_TOTAL_DEBT","IQ_LTM",Input!$C$8, "L", , Input!$C$6, "H"))+IF(NOT(ISNUMBER(_xll.ciqfunctions.udf.CIQ($C12,"IQ_PREF_EQUITY","IQ_LTM",Input!$C$8, "L", , Input!$C$6, "H"))),0,_xll.ciqfunctions.udf.CIQ($C12,"IQ_PREF_EQUITY","IQ_LTM",Input!$C$8, "L", , Input!$C$6, "H"))+IF(NOT(ISNUMBER(_xll.ciqfunctions.udf.CIQ($C12,"IQ_MINORITY_INTEREST","IQ_LTM",Input!$C$8, "L", , Input!$C$6, "H"))),0,_xll.ciqfunctions.udf.CIQ($C12,"IQ_MINORITY_INTEREST","IQ_LTM",Input!$C$8, "L", , Input!$C$6, "H"))-IF(NOT(ISNUMBER(_xll.ciqfunctions.udf.CIQ($C12,"IQ_ST_INVEST","IQ_LTM",Input!$C$8, "L", , Input!$C$6, "H"))),0,_xll.ciqfunctions.udf.CIQ($C12,"IQ_ST_INVEST","IQ_LTM",Input!$C$8, "L", , Input!$C$6, "H"))-IF(NOT(ISNUMBER(_xll.ciqfunctions.udf.CIQ($C12,"IQ_cash_equiv","IQ_LTM",Input!$C$8, "L", , Input!$C$6, "H"))),0,_xll.ciqfunctions.udf.CIQ($C12,"IQ_cash_equiv","IQ_LTM",Input!$C$8, "L", , Input!$C$6, "H"))))</f>
        <v>0</v>
      </c>
      <c r="J12" s="1049" t="str">
        <f>IFERROR($E12/_xll.ciqfunctions.udf.CIQ($C12,"IQ_BASIC_EPS_EXCL",IQ_LTM, , "L", , Input!$C$6, "H"),"")</f>
        <v/>
      </c>
      <c r="K12" s="1049" t="str">
        <f>IFERROR(IF(TargetIndustry="Financials", _xll.ciqfunctions.udf.CIQ($C12, "IQ_MKTCAP_EBT_EXCL", IQ_LTM, Input!$C$8), $I12/_xll.ciqfunctions.udf.CIQ($C12, "IQ_EBITDA", IQ_LTM, Input!$C$8, "L", "F", Input!$C$6, "H")),"")</f>
        <v>NM</v>
      </c>
      <c r="L12" s="1050">
        <f>IFERROR(_xll.ciqfunctions.udf.CIQ($C12, "IQ_PBV", IQ_LTM, Input!$C$8),"")</f>
        <v>0</v>
      </c>
    </row>
    <row r="13" spans="2:15" s="23" customFormat="1" ht="14.25" x14ac:dyDescent="0.2">
      <c r="B13" s="143" t="str">
        <f>Input!C26</f>
        <v/>
      </c>
      <c r="C13" s="144">
        <f>Input!B26</f>
        <v>0</v>
      </c>
      <c r="D13" s="144">
        <f>Input!E26</f>
        <v>0</v>
      </c>
      <c r="E13" s="360" t="str">
        <f>IF(B13="","",_xll.ciqfunctions.udf.CIQ(C13, "IQ_LASTSALEPRICE", , Input!$C$6, "H"))</f>
        <v/>
      </c>
      <c r="F13" s="145" t="str">
        <f>Input!F26</f>
        <v/>
      </c>
      <c r="G13" s="145" t="str">
        <f>IF(B13="","",IFERROR(IF(TargetIndustry="Financials", _xll.ciqfunctions.udf.CIQ($C13,"IQ_TOTAL_DEPOSITS",IQ_LTM, , "L", , Input!$C$6, "H"),_xll.ciqfunctions.udf.CIQ($C13,"IQ_TOTAL_DEBT",IQ_LTM, , "L", , Input!$C$6, "H")),""))</f>
        <v/>
      </c>
      <c r="H13" s="1048" t="str">
        <f>IF(B13="","",IFERROR(IF(TargetIndustry="Financials",_xll.ciqfunctions.udf.CIQ($C13,"IQ_GROSS_LOANS",IQ_LTM, , "L", , Input!$C$6, "H"),_xll.ciqfunctions.udf.CIQ($C13,"IQ_CASH_EQUIV",IQ_LTM, , "L", , Input!$C$6, "H")),""))</f>
        <v/>
      </c>
      <c r="I13" s="1162">
        <f>IF($C13="","",IF(TargetIndustry="Financials", IFERROR(_xll.ciqfunctions.udf.CIQ($C13,"IQ_TOTAL_BANK_CAPITAL",IQ_FY, Input!$C$8, "L", , Input!$C$6, "H"),0),IF(NOT(ISNUMBER(_xll.ciqfunctions.udf.CIQ($C13,"IQ_MARKETCAP",Input!$C$8, Input!$C$6))),0,_xll.ciqfunctions.udf.CIQ($C13,"IQ_MARKETCAP",Input!$C$8, Input!$C$6))+IF(NOT(ISNUMBER(_xll.ciqfunctions.udf.CIQ($C13,"IQ_TOTAL_DEBT","IQ_LTM",Input!$C$8, "L", , Input!$C$6, "H"))),0,_xll.ciqfunctions.udf.CIQ($C13,"IQ_TOTAL_DEBT","IQ_LTM",Input!$C$8, "L", , Input!$C$6, "H"))+IF(NOT(ISNUMBER(_xll.ciqfunctions.udf.CIQ($C13,"IQ_PREF_EQUITY","IQ_LTM",Input!$C$8, "L", , Input!$C$6, "H"))),0,_xll.ciqfunctions.udf.CIQ($C13,"IQ_PREF_EQUITY","IQ_LTM",Input!$C$8, "L", , Input!$C$6, "H"))+IF(NOT(ISNUMBER(_xll.ciqfunctions.udf.CIQ($C13,"IQ_MINORITY_INTEREST","IQ_LTM",Input!$C$8, "L", , Input!$C$6, "H"))),0,_xll.ciqfunctions.udf.CIQ($C13,"IQ_MINORITY_INTEREST","IQ_LTM",Input!$C$8, "L", , Input!$C$6, "H"))-IF(NOT(ISNUMBER(_xll.ciqfunctions.udf.CIQ($C13,"IQ_ST_INVEST","IQ_LTM",Input!$C$8, "L", , Input!$C$6, "H"))),0,_xll.ciqfunctions.udf.CIQ($C13,"IQ_ST_INVEST","IQ_LTM",Input!$C$8, "L", , Input!$C$6, "H"))-IF(NOT(ISNUMBER(_xll.ciqfunctions.udf.CIQ($C13,"IQ_cash_equiv","IQ_LTM",Input!$C$8, "L", , Input!$C$6, "H"))),0,_xll.ciqfunctions.udf.CIQ($C13,"IQ_cash_equiv","IQ_LTM",Input!$C$8, "L", , Input!$C$6, "H"))))</f>
        <v>0</v>
      </c>
      <c r="J13" s="1049" t="str">
        <f>IFERROR($E13/_xll.ciqfunctions.udf.CIQ($C13,"IQ_BASIC_EPS_EXCL",IQ_LTM, , "L", , Input!$C$6, "H"),"")</f>
        <v/>
      </c>
      <c r="K13" s="1049" t="str">
        <f>IFERROR(IF(TargetIndustry="Financials", _xll.ciqfunctions.udf.CIQ($C13, "IQ_MKTCAP_EBT_EXCL", IQ_LTM, Input!$C$8), $I13/_xll.ciqfunctions.udf.CIQ($C13, "IQ_EBITDA", IQ_LTM, Input!$C$8, "L", "F", Input!$C$6, "H")),"")</f>
        <v>NM</v>
      </c>
      <c r="L13" s="1050">
        <f>IFERROR(_xll.ciqfunctions.udf.CIQ($C13, "IQ_PBV", IQ_LTM, Input!$C$8),"")</f>
        <v>0</v>
      </c>
    </row>
    <row r="14" spans="2:15" s="23" customFormat="1" ht="14.25" x14ac:dyDescent="0.2">
      <c r="B14" s="143" t="str">
        <f>Input!C27</f>
        <v/>
      </c>
      <c r="C14" s="146">
        <f>Input!B27</f>
        <v>0</v>
      </c>
      <c r="D14" s="146">
        <f>Input!E27</f>
        <v>0</v>
      </c>
      <c r="E14" s="360" t="str">
        <f>IF(B14="","",_xll.ciqfunctions.udf.CIQ(C14, "IQ_LASTSALEPRICE", , Input!$C$6, "H"))</f>
        <v/>
      </c>
      <c r="F14" s="145" t="str">
        <f>Input!F27</f>
        <v/>
      </c>
      <c r="G14" s="145" t="str">
        <f>IF(B14="","",IFERROR(IF(TargetIndustry="Financials", _xll.ciqfunctions.udf.CIQ($C14,"IQ_TOTAL_DEPOSITS",IQ_LTM, , "L", , Input!$C$6, "H"),_xll.ciqfunctions.udf.CIQ($C14,"IQ_TOTAL_DEBT",IQ_LTM, , "L", , Input!$C$6, "H")),""))</f>
        <v/>
      </c>
      <c r="H14" s="1048" t="str">
        <f>IF(B14="","",IFERROR(IF(TargetIndustry="Financials",_xll.ciqfunctions.udf.CIQ($C14,"IQ_GROSS_LOANS",IQ_LTM, , "L", , Input!$C$6, "H"),_xll.ciqfunctions.udf.CIQ($C14,"IQ_CASH_EQUIV",IQ_LTM, , "L", , Input!$C$6, "H")),""))</f>
        <v/>
      </c>
      <c r="I14" s="1162">
        <f>IF($C14="","",IF(TargetIndustry="Financials", IFERROR(_xll.ciqfunctions.udf.CIQ($C14,"IQ_TOTAL_BANK_CAPITAL",IQ_FY, Input!$C$8, "L", , Input!$C$6, "H"),0),IF(NOT(ISNUMBER(_xll.ciqfunctions.udf.CIQ($C14,"IQ_MARKETCAP",Input!$C$8, Input!$C$6))),0,_xll.ciqfunctions.udf.CIQ($C14,"IQ_MARKETCAP",Input!$C$8, Input!$C$6))+IF(NOT(ISNUMBER(_xll.ciqfunctions.udf.CIQ($C14,"IQ_TOTAL_DEBT","IQ_LTM",Input!$C$8, "L", , Input!$C$6, "H"))),0,_xll.ciqfunctions.udf.CIQ($C14,"IQ_TOTAL_DEBT","IQ_LTM",Input!$C$8, "L", , Input!$C$6, "H"))+IF(NOT(ISNUMBER(_xll.ciqfunctions.udf.CIQ($C14,"IQ_PREF_EQUITY","IQ_LTM",Input!$C$8, "L", , Input!$C$6, "H"))),0,_xll.ciqfunctions.udf.CIQ($C14,"IQ_PREF_EQUITY","IQ_LTM",Input!$C$8, "L", , Input!$C$6, "H"))+IF(NOT(ISNUMBER(_xll.ciqfunctions.udf.CIQ($C14,"IQ_MINORITY_INTEREST","IQ_LTM",Input!$C$8, "L", , Input!$C$6, "H"))),0,_xll.ciqfunctions.udf.CIQ($C14,"IQ_MINORITY_INTEREST","IQ_LTM",Input!$C$8, "L", , Input!$C$6, "H"))-IF(NOT(ISNUMBER(_xll.ciqfunctions.udf.CIQ($C14,"IQ_ST_INVEST","IQ_LTM",Input!$C$8, "L", , Input!$C$6, "H"))),0,_xll.ciqfunctions.udf.CIQ($C14,"IQ_ST_INVEST","IQ_LTM",Input!$C$8, "L", , Input!$C$6, "H"))-IF(NOT(ISNUMBER(_xll.ciqfunctions.udf.CIQ($C14,"IQ_cash_equiv","IQ_LTM",Input!$C$8, "L", , Input!$C$6, "H"))),0,_xll.ciqfunctions.udf.CIQ($C14,"IQ_cash_equiv","IQ_LTM",Input!$C$8, "L", , Input!$C$6, "H"))))</f>
        <v>0</v>
      </c>
      <c r="J14" s="1049" t="str">
        <f>IFERROR($E14/_xll.ciqfunctions.udf.CIQ($C14,"IQ_BASIC_EPS_EXCL",IQ_LTM, , "L", , Input!$C$6, "H"),"")</f>
        <v/>
      </c>
      <c r="K14" s="1049" t="str">
        <f>IFERROR(IF(TargetIndustry="Financials", _xll.ciqfunctions.udf.CIQ($C14, "IQ_MKTCAP_EBT_EXCL", IQ_LTM, Input!$C$8), $I14/_xll.ciqfunctions.udf.CIQ($C14, "IQ_EBITDA", IQ_LTM, Input!$C$8, "L", "F", Input!$C$6, "H")),"")</f>
        <v>NM</v>
      </c>
      <c r="L14" s="1050">
        <f>IFERROR(_xll.ciqfunctions.udf.CIQ($C14, "IQ_PBV", IQ_LTM, Input!$C$8),"")</f>
        <v>0</v>
      </c>
    </row>
    <row r="15" spans="2:15" s="23" customFormat="1" ht="14.25" x14ac:dyDescent="0.2">
      <c r="B15" s="143" t="str">
        <f>Input!C28</f>
        <v/>
      </c>
      <c r="C15" s="144">
        <f>Input!B28</f>
        <v>0</v>
      </c>
      <c r="D15" s="144">
        <f>Input!E28</f>
        <v>0</v>
      </c>
      <c r="E15" s="360" t="str">
        <f>IF(B15="","",_xll.ciqfunctions.udf.CIQ(C15, "IQ_LASTSALEPRICE", , Input!$C$6, "H"))</f>
        <v/>
      </c>
      <c r="F15" s="145" t="str">
        <f>Input!F28</f>
        <v/>
      </c>
      <c r="G15" s="145" t="str">
        <f>IF(B15="","",IFERROR(IF(TargetIndustry="Financials", _xll.ciqfunctions.udf.CIQ($C15,"IQ_TOTAL_DEPOSITS",IQ_LTM, , "L", , Input!$C$6, "H"),_xll.ciqfunctions.udf.CIQ($C15,"IQ_TOTAL_DEBT",IQ_LTM, , "L", , Input!$C$6, "H")),""))</f>
        <v/>
      </c>
      <c r="H15" s="1048" t="str">
        <f>IF(B15="","",IFERROR(IF(TargetIndustry="Financials",_xll.ciqfunctions.udf.CIQ($C15,"IQ_GROSS_LOANS",IQ_LTM, , "L", , Input!$C$6, "H"),_xll.ciqfunctions.udf.CIQ($C15,"IQ_CASH_EQUIV",IQ_LTM, , "L", , Input!$C$6, "H")),""))</f>
        <v/>
      </c>
      <c r="I15" s="1162">
        <f>IF($C15="","",IF(TargetIndustry="Financials", IFERROR(_xll.ciqfunctions.udf.CIQ($C15,"IQ_TOTAL_BANK_CAPITAL",IQ_FY, Input!$C$8, "L", , Input!$C$6, "H"),0),IF(NOT(ISNUMBER(_xll.ciqfunctions.udf.CIQ($C15,"IQ_MARKETCAP",Input!$C$8, Input!$C$6))),0,_xll.ciqfunctions.udf.CIQ($C15,"IQ_MARKETCAP",Input!$C$8, Input!$C$6))+IF(NOT(ISNUMBER(_xll.ciqfunctions.udf.CIQ($C15,"IQ_TOTAL_DEBT","IQ_LTM",Input!$C$8, "L", , Input!$C$6, "H"))),0,_xll.ciqfunctions.udf.CIQ($C15,"IQ_TOTAL_DEBT","IQ_LTM",Input!$C$8, "L", , Input!$C$6, "H"))+IF(NOT(ISNUMBER(_xll.ciqfunctions.udf.CIQ($C15,"IQ_PREF_EQUITY","IQ_LTM",Input!$C$8, "L", , Input!$C$6, "H"))),0,_xll.ciqfunctions.udf.CIQ($C15,"IQ_PREF_EQUITY","IQ_LTM",Input!$C$8, "L", , Input!$C$6, "H"))+IF(NOT(ISNUMBER(_xll.ciqfunctions.udf.CIQ($C15,"IQ_MINORITY_INTEREST","IQ_LTM",Input!$C$8, "L", , Input!$C$6, "H"))),0,_xll.ciqfunctions.udf.CIQ($C15,"IQ_MINORITY_INTEREST","IQ_LTM",Input!$C$8, "L", , Input!$C$6, "H"))-IF(NOT(ISNUMBER(_xll.ciqfunctions.udf.CIQ($C15,"IQ_ST_INVEST","IQ_LTM",Input!$C$8, "L", , Input!$C$6, "H"))),0,_xll.ciqfunctions.udf.CIQ($C15,"IQ_ST_INVEST","IQ_LTM",Input!$C$8, "L", , Input!$C$6, "H"))-IF(NOT(ISNUMBER(_xll.ciqfunctions.udf.CIQ($C15,"IQ_cash_equiv","IQ_LTM",Input!$C$8, "L", , Input!$C$6, "H"))),0,_xll.ciqfunctions.udf.CIQ($C15,"IQ_cash_equiv","IQ_LTM",Input!$C$8, "L", , Input!$C$6, "H"))))</f>
        <v>0</v>
      </c>
      <c r="J15" s="1049" t="str">
        <f>IFERROR($E15/_xll.ciqfunctions.udf.CIQ($C15,"IQ_BASIC_EPS_EXCL",IQ_LTM, , "L", , Input!$C$6, "H"),"")</f>
        <v/>
      </c>
      <c r="K15" s="1049" t="str">
        <f>IFERROR(IF(TargetIndustry="Financials", _xll.ciqfunctions.udf.CIQ($C15, "IQ_MKTCAP_EBT_EXCL", IQ_LTM, Input!$C$8), $I15/_xll.ciqfunctions.udf.CIQ($C15, "IQ_EBITDA", IQ_LTM, Input!$C$8, "L", "F", Input!$C$6, "H")),"")</f>
        <v>NM</v>
      </c>
      <c r="L15" s="1050">
        <f>IFERROR(_xll.ciqfunctions.udf.CIQ($C15, "IQ_PBV", IQ_LTM, Input!$C$8),"")</f>
        <v>0</v>
      </c>
    </row>
    <row r="16" spans="2:15" s="23" customFormat="1" ht="14.25" x14ac:dyDescent="0.2">
      <c r="B16" s="143" t="str">
        <f>Input!C29</f>
        <v/>
      </c>
      <c r="C16" s="146">
        <f>Input!B29</f>
        <v>0</v>
      </c>
      <c r="D16" s="146">
        <f>Input!E29</f>
        <v>0</v>
      </c>
      <c r="E16" s="360" t="str">
        <f>IF(B16="","",_xll.ciqfunctions.udf.CIQ(C16, "IQ_LASTSALEPRICE", , Input!$C$6, "H"))</f>
        <v/>
      </c>
      <c r="F16" s="145" t="str">
        <f>Input!F29</f>
        <v/>
      </c>
      <c r="G16" s="145" t="str">
        <f>IF(B16="","",IFERROR(IF(TargetIndustry="Financials", _xll.ciqfunctions.udf.CIQ($C16,"IQ_TOTAL_DEPOSITS",IQ_LTM, , "L", , Input!$C$6, "H"),_xll.ciqfunctions.udf.CIQ($C16,"IQ_TOTAL_DEBT",IQ_LTM, , "L", , Input!$C$6, "H")),""))</f>
        <v/>
      </c>
      <c r="H16" s="1048" t="str">
        <f>IF(B16="","",IFERROR(IF(TargetIndustry="Financials",_xll.ciqfunctions.udf.CIQ($C16,"IQ_GROSS_LOANS",IQ_LTM, , "L", , Input!$C$6, "H"),_xll.ciqfunctions.udf.CIQ($C16,"IQ_CASH_EQUIV",IQ_LTM, , "L", , Input!$C$6, "H")),""))</f>
        <v/>
      </c>
      <c r="I16" s="1162">
        <f>IF($C16="","",IF(TargetIndustry="Financials", IFERROR(_xll.ciqfunctions.udf.CIQ($C16,"IQ_TOTAL_BANK_CAPITAL",IQ_FY, Input!$C$8, "L", , Input!$C$6, "H"),0),IF(NOT(ISNUMBER(_xll.ciqfunctions.udf.CIQ($C16,"IQ_MARKETCAP",Input!$C$8, Input!$C$6))),0,_xll.ciqfunctions.udf.CIQ($C16,"IQ_MARKETCAP",Input!$C$8, Input!$C$6))+IF(NOT(ISNUMBER(_xll.ciqfunctions.udf.CIQ($C16,"IQ_TOTAL_DEBT","IQ_LTM",Input!$C$8, "L", , Input!$C$6, "H"))),0,_xll.ciqfunctions.udf.CIQ($C16,"IQ_TOTAL_DEBT","IQ_LTM",Input!$C$8, "L", , Input!$C$6, "H"))+IF(NOT(ISNUMBER(_xll.ciqfunctions.udf.CIQ($C16,"IQ_PREF_EQUITY","IQ_LTM",Input!$C$8, "L", , Input!$C$6, "H"))),0,_xll.ciqfunctions.udf.CIQ($C16,"IQ_PREF_EQUITY","IQ_LTM",Input!$C$8, "L", , Input!$C$6, "H"))+IF(NOT(ISNUMBER(_xll.ciqfunctions.udf.CIQ($C16,"IQ_MINORITY_INTEREST","IQ_LTM",Input!$C$8, "L", , Input!$C$6, "H"))),0,_xll.ciqfunctions.udf.CIQ($C16,"IQ_MINORITY_INTEREST","IQ_LTM",Input!$C$8, "L", , Input!$C$6, "H"))-IF(NOT(ISNUMBER(_xll.ciqfunctions.udf.CIQ($C16,"IQ_ST_INVEST","IQ_LTM",Input!$C$8, "L", , Input!$C$6, "H"))),0,_xll.ciqfunctions.udf.CIQ($C16,"IQ_ST_INVEST","IQ_LTM",Input!$C$8, "L", , Input!$C$6, "H"))-IF(NOT(ISNUMBER(_xll.ciqfunctions.udf.CIQ($C16,"IQ_cash_equiv","IQ_LTM",Input!$C$8, "L", , Input!$C$6, "H"))),0,_xll.ciqfunctions.udf.CIQ($C16,"IQ_cash_equiv","IQ_LTM",Input!$C$8, "L", , Input!$C$6, "H"))))</f>
        <v>0</v>
      </c>
      <c r="J16" s="1049" t="str">
        <f>IFERROR($E16/_xll.ciqfunctions.udf.CIQ($C16,"IQ_BASIC_EPS_EXCL",IQ_LTM, , "L", , Input!$C$6, "H"),"")</f>
        <v/>
      </c>
      <c r="K16" s="1049" t="str">
        <f>IFERROR(IF(TargetIndustry="Financials", _xll.ciqfunctions.udf.CIQ($C16, "IQ_MKTCAP_EBT_EXCL", IQ_LTM, Input!$C$8), $I16/_xll.ciqfunctions.udf.CIQ($C16, "IQ_EBITDA", IQ_LTM, Input!$C$8, "L", "F", Input!$C$6, "H")),"")</f>
        <v>NM</v>
      </c>
      <c r="L16" s="1050">
        <f>IFERROR(_xll.ciqfunctions.udf.CIQ($C16, "IQ_PBV", IQ_LTM, Input!$C$8),"")</f>
        <v>0</v>
      </c>
    </row>
    <row r="17" spans="2:12" s="29" customFormat="1" x14ac:dyDescent="0.2">
      <c r="B17" s="1051"/>
      <c r="C17" s="1052"/>
      <c r="D17" s="1052"/>
      <c r="E17" s="1052"/>
      <c r="F17" s="1052"/>
      <c r="G17" s="1053"/>
      <c r="H17" s="1053"/>
      <c r="I17" s="1051"/>
      <c r="J17" s="1052"/>
      <c r="K17" s="1052"/>
      <c r="L17" s="1052"/>
    </row>
    <row r="18" spans="2:12" s="29" customFormat="1" ht="15" customHeight="1" thickBot="1" x14ac:dyDescent="0.25">
      <c r="B18" s="1421" t="s">
        <v>453</v>
      </c>
      <c r="C18" s="1424"/>
      <c r="D18" s="1424"/>
      <c r="E18" s="1424"/>
      <c r="F18" s="1421"/>
      <c r="G18" s="1424"/>
      <c r="H18" s="1424"/>
      <c r="I18" s="1424"/>
      <c r="J18" s="1424"/>
      <c r="K18" s="1424"/>
      <c r="L18" s="1424"/>
    </row>
    <row r="19" spans="2:12" s="29" customFormat="1" ht="15" customHeight="1" x14ac:dyDescent="0.2">
      <c r="B19" s="1054"/>
      <c r="C19" s="1058"/>
      <c r="D19" s="1058"/>
      <c r="E19" s="1058"/>
      <c r="F19" s="1058"/>
      <c r="G19" s="1055"/>
      <c r="H19" s="1056"/>
      <c r="I19" s="1057"/>
      <c r="J19" s="1057"/>
      <c r="K19" s="1057"/>
      <c r="L19" s="1057"/>
    </row>
    <row r="20" spans="2:12" s="29" customFormat="1" ht="15" customHeight="1" x14ac:dyDescent="0.2">
      <c r="B20" s="1054"/>
      <c r="C20" s="1058"/>
      <c r="D20" s="1058"/>
      <c r="E20" s="1058"/>
      <c r="F20" s="1058"/>
      <c r="G20" s="1055"/>
      <c r="H20" s="1056"/>
      <c r="I20" s="1057"/>
      <c r="J20" s="1057"/>
      <c r="K20" s="1057"/>
      <c r="L20" s="1057"/>
    </row>
    <row r="21" spans="2:12" ht="15" customHeight="1" x14ac:dyDescent="0.2">
      <c r="B21" s="1059"/>
      <c r="C21" s="1060"/>
      <c r="D21" s="1060"/>
      <c r="E21" s="1060"/>
      <c r="F21" s="1060"/>
      <c r="G21" s="1061"/>
      <c r="H21" s="1062"/>
      <c r="I21" s="1059"/>
      <c r="J21" s="1059"/>
      <c r="K21" s="1059"/>
      <c r="L21" s="1059"/>
    </row>
    <row r="22" spans="2:12" ht="15" customHeight="1" x14ac:dyDescent="0.2">
      <c r="B22" s="1059"/>
      <c r="C22" s="1060"/>
      <c r="D22" s="1060"/>
      <c r="E22" s="1060"/>
      <c r="F22" s="1060"/>
      <c r="G22" s="1061"/>
      <c r="H22" s="1062"/>
      <c r="I22" s="1059"/>
      <c r="J22" s="1059"/>
      <c r="K22" s="1059"/>
      <c r="L22" s="1059"/>
    </row>
    <row r="23" spans="2:12" ht="15" customHeight="1" x14ac:dyDescent="0.2">
      <c r="B23" s="1059"/>
      <c r="C23" s="1060"/>
      <c r="D23" s="1060"/>
      <c r="E23" s="1060"/>
      <c r="F23" s="1060"/>
      <c r="G23" s="1061"/>
      <c r="H23" s="1062"/>
      <c r="I23" s="1059"/>
      <c r="J23" s="1059"/>
      <c r="K23" s="1059"/>
      <c r="L23" s="1059"/>
    </row>
    <row r="24" spans="2:12" ht="15" customHeight="1" x14ac:dyDescent="0.2">
      <c r="B24" s="1059"/>
      <c r="C24" s="1060"/>
      <c r="D24" s="1060"/>
      <c r="E24" s="1060"/>
      <c r="F24" s="1060"/>
      <c r="G24" s="1061"/>
      <c r="H24" s="1062"/>
      <c r="I24" s="1059"/>
      <c r="J24" s="1059"/>
      <c r="K24" s="1059"/>
      <c r="L24" s="1059"/>
    </row>
    <row r="25" spans="2:12" ht="15" customHeight="1" x14ac:dyDescent="0.2">
      <c r="B25" s="1059"/>
      <c r="C25" s="1060"/>
      <c r="D25" s="1060"/>
      <c r="E25" s="1060"/>
      <c r="F25" s="1060"/>
      <c r="G25" s="1061"/>
      <c r="H25" s="1062"/>
      <c r="I25" s="1059"/>
      <c r="J25" s="1059"/>
      <c r="K25" s="1059"/>
      <c r="L25" s="1059"/>
    </row>
    <row r="26" spans="2:12" ht="15" customHeight="1" x14ac:dyDescent="0.2">
      <c r="B26" s="1059"/>
      <c r="C26" s="1060"/>
      <c r="D26" s="1060"/>
      <c r="E26" s="1060"/>
      <c r="F26" s="1060"/>
      <c r="G26" s="1061"/>
      <c r="H26" s="1062"/>
      <c r="I26" s="1059"/>
      <c r="J26" s="1059"/>
      <c r="K26" s="1059"/>
      <c r="L26" s="1059"/>
    </row>
    <row r="27" spans="2:12" x14ac:dyDescent="0.2">
      <c r="B27" s="1059"/>
      <c r="C27" s="1060"/>
      <c r="D27" s="1060"/>
      <c r="E27" s="1060"/>
      <c r="F27" s="1060"/>
      <c r="G27" s="1061"/>
      <c r="H27" s="1062"/>
      <c r="I27" s="1059"/>
      <c r="J27" s="1059"/>
      <c r="K27" s="1059"/>
      <c r="L27" s="1059"/>
    </row>
    <row r="28" spans="2:12" x14ac:dyDescent="0.2">
      <c r="B28" s="1059"/>
      <c r="C28" s="1060"/>
      <c r="D28" s="1060"/>
      <c r="E28" s="1060"/>
      <c r="F28" s="1060"/>
      <c r="G28" s="1061"/>
      <c r="H28" s="1062"/>
      <c r="I28" s="1059"/>
      <c r="J28" s="1059"/>
      <c r="K28" s="1059"/>
      <c r="L28" s="1059"/>
    </row>
    <row r="29" spans="2:12" x14ac:dyDescent="0.2">
      <c r="B29" s="1059"/>
      <c r="C29" s="1060"/>
      <c r="D29" s="1060"/>
      <c r="E29" s="1060"/>
      <c r="F29" s="1060"/>
      <c r="G29" s="1061"/>
      <c r="H29" s="1062"/>
      <c r="I29" s="1059"/>
      <c r="J29" s="1059"/>
      <c r="K29" s="1059"/>
      <c r="L29" s="1059"/>
    </row>
    <row r="30" spans="2:12" x14ac:dyDescent="0.2">
      <c r="B30" s="1059"/>
      <c r="C30" s="1060"/>
      <c r="D30" s="1060"/>
      <c r="E30" s="1060"/>
      <c r="F30" s="1060"/>
      <c r="G30" s="1061"/>
      <c r="H30" s="1062"/>
      <c r="I30" s="1059"/>
      <c r="J30" s="1059"/>
      <c r="K30" s="1059"/>
      <c r="L30" s="1059"/>
    </row>
    <row r="31" spans="2:12" x14ac:dyDescent="0.2">
      <c r="B31" s="1059"/>
      <c r="C31" s="1060"/>
      <c r="D31" s="1060"/>
      <c r="E31" s="1060"/>
      <c r="F31" s="1060"/>
      <c r="G31" s="1061"/>
      <c r="H31" s="1062"/>
      <c r="I31" s="1059"/>
      <c r="J31" s="1059"/>
      <c r="K31" s="1059"/>
      <c r="L31" s="1059"/>
    </row>
    <row r="32" spans="2:12" x14ac:dyDescent="0.2">
      <c r="B32" s="1059"/>
      <c r="C32" s="1060"/>
      <c r="D32" s="1060"/>
      <c r="E32" s="1060"/>
      <c r="F32" s="1060"/>
      <c r="G32" s="1061"/>
      <c r="H32" s="1062"/>
      <c r="I32" s="1059"/>
      <c r="J32" s="1059"/>
      <c r="K32" s="1059"/>
      <c r="L32" s="1059"/>
    </row>
    <row r="33" spans="2:15" x14ac:dyDescent="0.2">
      <c r="B33" s="1059"/>
      <c r="C33" s="1060"/>
      <c r="D33" s="1060"/>
      <c r="E33" s="1060"/>
      <c r="F33" s="1060"/>
      <c r="G33" s="1061"/>
      <c r="H33" s="1062"/>
      <c r="I33" s="1059"/>
      <c r="J33" s="1059"/>
      <c r="K33" s="1059"/>
      <c r="L33" s="1059"/>
    </row>
    <row r="34" spans="2:15" x14ac:dyDescent="0.2">
      <c r="B34" s="1059"/>
      <c r="C34" s="1060"/>
      <c r="D34" s="1060"/>
      <c r="E34" s="1060"/>
      <c r="F34" s="1060"/>
      <c r="G34" s="1061"/>
      <c r="H34" s="1062"/>
      <c r="I34" s="1059"/>
      <c r="J34" s="1059"/>
      <c r="K34" s="1059"/>
      <c r="L34" s="1059"/>
    </row>
    <row r="35" spans="2:15" x14ac:dyDescent="0.2">
      <c r="B35" s="1059"/>
      <c r="C35" s="1060"/>
      <c r="D35" s="1060"/>
      <c r="E35" s="1060"/>
      <c r="F35" s="1060"/>
      <c r="G35" s="1061"/>
      <c r="H35" s="1062"/>
      <c r="I35" s="1059"/>
      <c r="J35" s="1059"/>
      <c r="K35" s="1059"/>
      <c r="L35" s="1059"/>
    </row>
    <row r="36" spans="2:15" x14ac:dyDescent="0.2">
      <c r="B36" s="1059"/>
      <c r="C36" s="1060"/>
      <c r="D36" s="1060"/>
      <c r="E36" s="1060"/>
      <c r="F36" s="1060"/>
      <c r="G36" s="1061"/>
      <c r="H36" s="1062"/>
      <c r="I36" s="1059"/>
      <c r="J36" s="1059"/>
      <c r="K36" s="1059"/>
      <c r="L36" s="1059"/>
    </row>
    <row r="37" spans="2:15" x14ac:dyDescent="0.2">
      <c r="B37" s="1059"/>
      <c r="C37" s="1060"/>
      <c r="D37" s="1060"/>
      <c r="E37" s="1060"/>
      <c r="F37" s="1060"/>
      <c r="G37" s="1061"/>
      <c r="H37" s="1062"/>
      <c r="I37" s="1059"/>
      <c r="J37" s="1059"/>
      <c r="K37" s="1059"/>
      <c r="L37" s="1059"/>
    </row>
    <row r="38" spans="2:15" x14ac:dyDescent="0.2">
      <c r="B38" s="1059"/>
      <c r="C38" s="1060"/>
      <c r="D38" s="1060"/>
      <c r="E38" s="1060"/>
      <c r="F38" s="1060"/>
      <c r="G38" s="1061"/>
      <c r="H38" s="1062"/>
      <c r="I38" s="1059"/>
      <c r="J38" s="1059"/>
      <c r="K38" s="1059"/>
      <c r="L38" s="1059"/>
    </row>
    <row r="39" spans="2:15" x14ac:dyDescent="0.2">
      <c r="B39" s="1059"/>
      <c r="C39" s="1060"/>
      <c r="D39" s="1060"/>
      <c r="E39" s="1060"/>
      <c r="F39" s="1060"/>
      <c r="G39" s="1061"/>
      <c r="H39" s="1062"/>
      <c r="I39" s="1059"/>
      <c r="J39" s="1059"/>
      <c r="K39" s="1059"/>
      <c r="L39" s="1059"/>
    </row>
    <row r="40" spans="2:15" ht="16.5" thickBot="1" x14ac:dyDescent="0.25">
      <c r="B40" s="1421" t="s">
        <v>1118</v>
      </c>
      <c r="C40" s="1422"/>
      <c r="D40" s="1422"/>
      <c r="E40" s="1422"/>
      <c r="F40" s="1423"/>
      <c r="G40" s="1422"/>
      <c r="H40" s="1422"/>
      <c r="I40" s="1422"/>
      <c r="J40" s="1422"/>
      <c r="K40" s="1422"/>
      <c r="L40" s="1422"/>
    </row>
    <row r="41" spans="2:15" x14ac:dyDescent="0.2">
      <c r="O41" s="680"/>
    </row>
    <row r="72" spans="2:12" ht="16.5" thickBot="1" x14ac:dyDescent="0.25">
      <c r="B72" s="1421" t="s">
        <v>1119</v>
      </c>
      <c r="C72" s="1422"/>
      <c r="D72" s="1422"/>
      <c r="E72" s="1422"/>
      <c r="F72" s="1423"/>
      <c r="G72" s="1422"/>
      <c r="H72" s="1422"/>
      <c r="I72" s="1422"/>
      <c r="J72" s="1422"/>
      <c r="K72" s="1422"/>
      <c r="L72" s="1422"/>
    </row>
  </sheetData>
  <printOptions horizontalCentered="1"/>
  <pageMargins left="0.5" right="0.5" top="0.5" bottom="0.5" header="0.3" footer="0.3"/>
  <pageSetup scale="61"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V277"/>
  <sheetViews>
    <sheetView showGridLines="0" zoomScaleNormal="100" workbookViewId="0">
      <selection activeCell="C5" sqref="C5"/>
    </sheetView>
  </sheetViews>
  <sheetFormatPr defaultColWidth="9" defaultRowHeight="14.25" outlineLevelCol="1" x14ac:dyDescent="0.2"/>
  <cols>
    <col min="1" max="1" width="7.625" style="23" customWidth="1"/>
    <col min="2" max="2" width="24.5" style="23" customWidth="1"/>
    <col min="3" max="3" width="10.75" style="23" customWidth="1"/>
    <col min="4" max="8" width="8.625" style="23" customWidth="1"/>
    <col min="9" max="9" width="11.125" style="23" customWidth="1"/>
    <col min="10" max="10" width="7.25" style="23" bestFit="1" customWidth="1"/>
    <col min="11" max="11" width="9.125" style="23" customWidth="1"/>
    <col min="12" max="13" width="13.75" style="23" customWidth="1"/>
    <col min="14" max="14" width="15.5" style="23" customWidth="1"/>
    <col min="15" max="15" width="12" style="23" customWidth="1"/>
    <col min="16" max="16" width="15.75" style="23" customWidth="1"/>
    <col min="17" max="17" width="16" style="23" customWidth="1"/>
    <col min="18" max="18" width="19.75" style="23" customWidth="1"/>
    <col min="19" max="19" width="16.75" style="23" customWidth="1"/>
    <col min="20" max="20" width="15.25" style="23" customWidth="1"/>
    <col min="21" max="21" width="13.75" style="23" hidden="1" customWidth="1" outlineLevel="1"/>
    <col min="22" max="22" width="9" style="23" collapsed="1"/>
    <col min="23" max="16384" width="9" style="23"/>
  </cols>
  <sheetData>
    <row r="1" spans="1:22" ht="20.100000000000001" customHeight="1" x14ac:dyDescent="0.4">
      <c r="B1" s="1286" t="s">
        <v>413</v>
      </c>
      <c r="C1" s="1287"/>
      <c r="D1" s="1288"/>
      <c r="E1" s="1290"/>
      <c r="F1" s="1288"/>
      <c r="G1" s="1288"/>
      <c r="H1" s="1288"/>
      <c r="I1" s="1288"/>
      <c r="J1" s="1288"/>
      <c r="K1" s="1292" t="str">
        <f>Input!$C$9</f>
        <v>Walmart Inc.</v>
      </c>
      <c r="M1" s="586"/>
      <c r="N1" s="586"/>
    </row>
    <row r="3" spans="1:22" ht="16.5" thickBot="1" x14ac:dyDescent="0.25">
      <c r="B3" s="1427" t="s">
        <v>195</v>
      </c>
      <c r="C3" s="1427"/>
      <c r="D3" s="1427"/>
      <c r="E3" s="1427"/>
      <c r="F3" s="1427"/>
      <c r="G3" s="1427"/>
      <c r="H3" s="1427"/>
      <c r="I3" s="1427"/>
      <c r="J3" s="1427"/>
      <c r="K3" s="1427"/>
      <c r="L3" s="575"/>
      <c r="M3" s="575"/>
      <c r="N3" s="575"/>
    </row>
    <row r="5" spans="1:22" ht="25.5" x14ac:dyDescent="0.2">
      <c r="B5" s="1428" t="s">
        <v>66</v>
      </c>
      <c r="C5" s="1429" t="str">
        <f>Input!E19</f>
        <v>Walmart</v>
      </c>
      <c r="D5" s="1429" t="s">
        <v>85</v>
      </c>
      <c r="E5" s="1429" t="s">
        <v>1030</v>
      </c>
      <c r="F5" s="1429" t="s">
        <v>76</v>
      </c>
      <c r="G5" s="1429" t="s">
        <v>1031</v>
      </c>
      <c r="H5" s="1430" t="s">
        <v>84</v>
      </c>
      <c r="I5" s="1429" t="s">
        <v>1023</v>
      </c>
      <c r="J5" s="1429" t="s">
        <v>67</v>
      </c>
      <c r="K5" s="1431" t="s">
        <v>1026</v>
      </c>
      <c r="U5" s="896" t="s">
        <v>1024</v>
      </c>
    </row>
    <row r="6" spans="1:22" ht="2.25" customHeight="1" x14ac:dyDescent="0.2">
      <c r="B6" s="21"/>
      <c r="C6" s="21"/>
      <c r="D6" s="21"/>
      <c r="E6" s="21"/>
      <c r="F6" s="22"/>
      <c r="G6" s="21"/>
      <c r="H6" s="21"/>
      <c r="I6" s="21"/>
      <c r="J6" s="21"/>
      <c r="K6" s="21"/>
    </row>
    <row r="7" spans="1:22" ht="15" customHeight="1" x14ac:dyDescent="0.25">
      <c r="A7" s="1508" t="s">
        <v>1225</v>
      </c>
      <c r="B7" s="1336" t="str">
        <f t="array" ref="B7:C27">TRANSPOSE('Peer Data'!G6:AA7)</f>
        <v>Stock Price % Change</v>
      </c>
      <c r="C7" s="1182">
        <v>7.3054249682859645E-2</v>
      </c>
      <c r="D7" s="1182">
        <f t="array" ref="D7:D27">TRANSPOSE('Peer Data'!G24:AA24)</f>
        <v>7.3054249682859645E-2</v>
      </c>
      <c r="E7" s="1183">
        <f t="array" ref="E7:E27">TRANSPOSE('Peer Data'!G34:AA34)</f>
        <v>0.20729256403063814</v>
      </c>
      <c r="F7" s="1184">
        <f t="array" ref="F7:F27">TRANSPOSE('Peer Data'!G18:AA18)</f>
        <v>0.61000750707397366</v>
      </c>
      <c r="G7" s="1185">
        <f t="array" ref="G7:G27">TRANSPOSE('Peer Data'!G35:AA35)</f>
        <v>0.47576919272619511</v>
      </c>
      <c r="H7" s="1182">
        <f t="array" ref="H7:H27">TRANSPOSE('Peer Data'!G23:AA23)</f>
        <v>0.61000750707397366</v>
      </c>
      <c r="I7" s="1186" t="str">
        <f t="array" ref="I7:I27">TRANSPOSE('Peer Data'!G30:AA30)</f>
        <v>Costco</v>
      </c>
      <c r="J7" s="1186" t="str">
        <f t="array" ref="J7:J27">TRANSPOSE('Peer Data'!G29:AA29)&amp;IF(TRANSPOSE('Peer Data'!G29:AA29)&lt;&gt;"","/"&amp;'Peer Data'!B3,"")</f>
        <v>2/2</v>
      </c>
      <c r="K7" s="1187" t="s">
        <v>1045</v>
      </c>
      <c r="L7" s="584"/>
      <c r="M7" s="594"/>
      <c r="Q7" s="132"/>
      <c r="U7" s="580">
        <f t="shared" ref="U7:U12" si="0">IF($C7&gt;$G7,4,IF(AND($C7&gt;$F7,$C7&lt;=$G7),3,IF(AND($C7&gt;$E7,$C7&lt;=$F7),2,IF($C7="","",1))))</f>
        <v>1</v>
      </c>
      <c r="V7" s="577"/>
    </row>
    <row r="8" spans="1:22" ht="15" customHeight="1" x14ac:dyDescent="0.2">
      <c r="A8" s="1508"/>
      <c r="B8" s="1336" t="str">
        <v>Rev Growth %</v>
      </c>
      <c r="C8" s="1182">
        <v>2.4327000000000001E-2</v>
      </c>
      <c r="D8" s="1182">
        <v>2.4327000000000001E-2</v>
      </c>
      <c r="E8" s="1183">
        <v>6.2461749999999996E-2</v>
      </c>
      <c r="F8" s="1184">
        <v>0.176866</v>
      </c>
      <c r="G8" s="1185">
        <v>0.13873124999999997</v>
      </c>
      <c r="H8" s="1182">
        <v>0.176866</v>
      </c>
      <c r="I8" s="1186" t="str">
        <v>Costco</v>
      </c>
      <c r="J8" s="1186" t="str">
        <v>2/2</v>
      </c>
      <c r="K8" s="1187" t="s">
        <v>1032</v>
      </c>
      <c r="U8" s="580">
        <f t="shared" si="0"/>
        <v>1</v>
      </c>
    </row>
    <row r="9" spans="1:22" ht="15" customHeight="1" x14ac:dyDescent="0.2">
      <c r="A9" s="1509" t="s">
        <v>1220</v>
      </c>
      <c r="B9" s="1337" t="str">
        <v>GM %</v>
      </c>
      <c r="C9" s="1165">
        <v>0.25098700000000002</v>
      </c>
      <c r="D9" s="1165">
        <v>0.12654400000000002</v>
      </c>
      <c r="E9" s="1166">
        <v>0.15765475000000001</v>
      </c>
      <c r="F9" s="1167">
        <v>0.12654400000000002</v>
      </c>
      <c r="G9" s="1168">
        <v>0.21987625000000002</v>
      </c>
      <c r="H9" s="1165">
        <v>0.25098700000000002</v>
      </c>
      <c r="I9" s="1169" t="str">
        <v>Walmart</v>
      </c>
      <c r="J9" s="1169" t="str">
        <v>1/2</v>
      </c>
      <c r="K9" s="585" t="s">
        <v>1032</v>
      </c>
      <c r="R9" s="1076"/>
      <c r="U9" s="580">
        <f t="shared" si="0"/>
        <v>4</v>
      </c>
    </row>
    <row r="10" spans="1:22" ht="15" customHeight="1" x14ac:dyDescent="0.2">
      <c r="A10" s="1509"/>
      <c r="B10" s="1337" t="str">
        <v>EBITDA Margin</v>
      </c>
      <c r="C10" s="1165">
        <v>6.3900999999999999E-2</v>
      </c>
      <c r="D10" s="1165">
        <v>4.7117000000000006E-2</v>
      </c>
      <c r="E10" s="1166">
        <v>5.1313000000000004E-2</v>
      </c>
      <c r="F10" s="1167">
        <v>4.7117000000000006E-2</v>
      </c>
      <c r="G10" s="1168">
        <v>5.9705000000000001E-2</v>
      </c>
      <c r="H10" s="1165">
        <v>6.3900999999999999E-2</v>
      </c>
      <c r="I10" s="1169" t="str">
        <v>Walmart</v>
      </c>
      <c r="J10" s="1169" t="str">
        <v>1/2</v>
      </c>
      <c r="K10" s="585" t="s">
        <v>1032</v>
      </c>
      <c r="U10" s="580">
        <f t="shared" si="0"/>
        <v>4</v>
      </c>
    </row>
    <row r="11" spans="1:22" ht="15" customHeight="1" x14ac:dyDescent="0.2">
      <c r="A11" s="1509"/>
      <c r="B11" s="1337" t="str">
        <v>EBIT Margin</v>
      </c>
      <c r="C11" s="1165">
        <v>4.5293E-2</v>
      </c>
      <c r="D11" s="1165">
        <v>3.8417E-2</v>
      </c>
      <c r="E11" s="1166">
        <v>4.0135999999999998E-2</v>
      </c>
      <c r="F11" s="1167">
        <v>3.8417E-2</v>
      </c>
      <c r="G11" s="1168">
        <v>4.3574000000000002E-2</v>
      </c>
      <c r="H11" s="1165">
        <v>4.5293E-2</v>
      </c>
      <c r="I11" s="1169" t="str">
        <v>Walmart</v>
      </c>
      <c r="J11" s="1169" t="str">
        <v>1/2</v>
      </c>
      <c r="K11" s="585" t="s">
        <v>1032</v>
      </c>
      <c r="U11" s="580">
        <f t="shared" si="0"/>
        <v>4</v>
      </c>
    </row>
    <row r="12" spans="1:22" ht="15" customHeight="1" x14ac:dyDescent="0.2">
      <c r="A12" s="1509"/>
      <c r="B12" s="1337" t="str">
        <v>Net Profit Margin</v>
      </c>
      <c r="C12" s="1165">
        <v>2.3872000000000001E-2</v>
      </c>
      <c r="D12" s="1165">
        <v>2.3872000000000001E-2</v>
      </c>
      <c r="E12" s="1166">
        <v>2.4460250000000003E-2</v>
      </c>
      <c r="F12" s="1167">
        <v>2.6225000000000002E-2</v>
      </c>
      <c r="G12" s="1168">
        <v>2.563675E-2</v>
      </c>
      <c r="H12" s="1165">
        <v>2.6225000000000002E-2</v>
      </c>
      <c r="I12" s="1169" t="str">
        <v>Costco</v>
      </c>
      <c r="J12" s="1169" t="str">
        <v>2/2</v>
      </c>
      <c r="K12" s="585" t="s">
        <v>1032</v>
      </c>
      <c r="U12" s="580">
        <f t="shared" si="0"/>
        <v>1</v>
      </c>
    </row>
    <row r="13" spans="1:22" ht="15" customHeight="1" x14ac:dyDescent="0.2">
      <c r="A13" s="1508" t="s">
        <v>1221</v>
      </c>
      <c r="B13" s="1336" t="str">
        <v>COGS Margin</v>
      </c>
      <c r="C13" s="1182">
        <v>0.7490126651232466</v>
      </c>
      <c r="D13" s="1182">
        <v>0.87345577707057875</v>
      </c>
      <c r="E13" s="1183">
        <v>0.84234499908374572</v>
      </c>
      <c r="F13" s="1184">
        <v>0.87345577707057875</v>
      </c>
      <c r="G13" s="1185">
        <v>0.78012344311007964</v>
      </c>
      <c r="H13" s="1182">
        <v>0.7490126651232466</v>
      </c>
      <c r="I13" s="1186" t="str">
        <v>Walmart</v>
      </c>
      <c r="J13" s="1186" t="str">
        <v>1/2</v>
      </c>
      <c r="K13" s="1187" t="s">
        <v>1032</v>
      </c>
      <c r="U13" s="576">
        <f t="shared" ref="U13:U16" si="1">IF($C13&lt;$G13,4,IF(AND($C13&lt;$F13,$C13&gt;=$G13),3,IF(AND($C13&lt;$E13,$C13&gt;=$F13),2,IF($C13="","",1))))</f>
        <v>4</v>
      </c>
    </row>
    <row r="14" spans="1:22" ht="15" customHeight="1" x14ac:dyDescent="0.2">
      <c r="A14" s="1508"/>
      <c r="B14" s="1336" t="str">
        <v>OpEx Margin</v>
      </c>
      <c r="C14" s="1182">
        <v>0.18708555505504981</v>
      </c>
      <c r="D14" s="1182">
        <v>0.18708555505504981</v>
      </c>
      <c r="E14" s="1183">
        <v>0.16017083957010611</v>
      </c>
      <c r="F14" s="1184">
        <v>7.9426693115275018E-2</v>
      </c>
      <c r="G14" s="1185">
        <v>0.10634140860021872</v>
      </c>
      <c r="H14" s="1182">
        <v>7.9426693115275018E-2</v>
      </c>
      <c r="I14" s="1186" t="str">
        <v>Costco</v>
      </c>
      <c r="J14" s="1186" t="str">
        <v>2/2</v>
      </c>
      <c r="K14" s="1187" t="s">
        <v>1032</v>
      </c>
      <c r="O14" s="139" t="s">
        <v>202</v>
      </c>
      <c r="U14" s="576">
        <f t="shared" si="1"/>
        <v>1</v>
      </c>
    </row>
    <row r="15" spans="1:22" ht="15" customHeight="1" x14ac:dyDescent="0.2">
      <c r="A15" s="1508"/>
      <c r="B15" s="1336" t="str">
        <v>SG&amp;A Margin</v>
      </c>
      <c r="C15" s="1182">
        <v>0.20569299999999999</v>
      </c>
      <c r="D15" s="1182">
        <v>0.20569299999999999</v>
      </c>
      <c r="E15" s="1183">
        <v>0.17621100000000001</v>
      </c>
      <c r="F15" s="1184">
        <v>8.776500000000001E-2</v>
      </c>
      <c r="G15" s="1185">
        <v>0.117247</v>
      </c>
      <c r="H15" s="1182">
        <v>8.776500000000001E-2</v>
      </c>
      <c r="I15" s="1186" t="str">
        <v>Costco</v>
      </c>
      <c r="J15" s="1186" t="str">
        <v>2/2</v>
      </c>
      <c r="K15" s="1187" t="s">
        <v>1032</v>
      </c>
      <c r="O15" s="583" t="s">
        <v>190</v>
      </c>
      <c r="U15" s="576">
        <f t="shared" si="1"/>
        <v>1</v>
      </c>
    </row>
    <row r="16" spans="1:22" ht="15" customHeight="1" x14ac:dyDescent="0.2">
      <c r="A16" s="1508"/>
      <c r="B16" s="1336" t="str">
        <v>R&amp;D Margin</v>
      </c>
      <c r="C16" s="1182">
        <v>0</v>
      </c>
      <c r="D16" s="1182">
        <v>0</v>
      </c>
      <c r="E16" s="1183">
        <v>0</v>
      </c>
      <c r="F16" s="1184">
        <v>0</v>
      </c>
      <c r="G16" s="1185">
        <v>0</v>
      </c>
      <c r="H16" s="1182">
        <v>0</v>
      </c>
      <c r="I16" s="1186" t="str">
        <v>Walmart</v>
      </c>
      <c r="J16" s="1186" t="str">
        <v>1/2</v>
      </c>
      <c r="K16" s="1187" t="s">
        <v>1032</v>
      </c>
      <c r="O16" s="583" t="s">
        <v>190</v>
      </c>
      <c r="U16" s="576">
        <f t="shared" si="1"/>
        <v>1</v>
      </c>
    </row>
    <row r="17" spans="1:21" ht="15" customHeight="1" x14ac:dyDescent="0.2">
      <c r="A17" s="1509" t="s">
        <v>1222</v>
      </c>
      <c r="B17" s="1337" t="str">
        <v>DSO (Days)</v>
      </c>
      <c r="C17" s="1170">
        <v>4.7145371311243576</v>
      </c>
      <c r="D17" s="1170">
        <v>4.7145371311243576</v>
      </c>
      <c r="E17" s="1171">
        <v>4.4400730232560974</v>
      </c>
      <c r="F17" s="1172">
        <v>3.6166806996513161</v>
      </c>
      <c r="G17" s="1171">
        <v>3.8911448075195763</v>
      </c>
      <c r="H17" s="1170">
        <v>3.6166806996513161</v>
      </c>
      <c r="I17" s="1169" t="str">
        <v>Costco</v>
      </c>
      <c r="J17" s="1169" t="str">
        <v>2/2</v>
      </c>
      <c r="K17" s="585" t="s">
        <v>1032</v>
      </c>
      <c r="O17" s="583" t="s">
        <v>190</v>
      </c>
      <c r="U17" s="576">
        <f>IF($C17&lt;$G17,4,IF(AND($C17&lt;$F17,$C17&gt;=$G17),3,IF(AND($C17&lt;$E17,$C17&gt;=$F17),2,IF($C17="","",1))))</f>
        <v>1</v>
      </c>
    </row>
    <row r="18" spans="1:21" ht="15" customHeight="1" x14ac:dyDescent="0.2">
      <c r="A18" s="1509"/>
      <c r="B18" s="1337" t="str">
        <v>DIO (Days)</v>
      </c>
      <c r="C18" s="1170">
        <v>43.161888111888111</v>
      </c>
      <c r="D18" s="1170">
        <v>43.161888111888111</v>
      </c>
      <c r="E18" s="1171">
        <v>39.912758933434375</v>
      </c>
      <c r="F18" s="1172">
        <v>30.165371398073162</v>
      </c>
      <c r="G18" s="1171">
        <v>33.414500576526898</v>
      </c>
      <c r="H18" s="1170">
        <v>30.165371398073162</v>
      </c>
      <c r="I18" s="1169" t="str">
        <v>Costco</v>
      </c>
      <c r="J18" s="1169" t="str">
        <v>2/2</v>
      </c>
      <c r="K18" s="585" t="s">
        <v>1032</v>
      </c>
      <c r="O18" s="583" t="s">
        <v>190</v>
      </c>
      <c r="U18" s="576">
        <f t="shared" ref="U18" si="2">IF($C18&lt;$G18,4,IF(AND($C18&lt;$F18,$C18&gt;=$G18),3,IF(AND($C18&lt;$E18,$C18&gt;=$F18),2,IF($C18="","",1))))</f>
        <v>1</v>
      </c>
    </row>
    <row r="19" spans="1:21" ht="15" customHeight="1" x14ac:dyDescent="0.2">
      <c r="A19" s="1509"/>
      <c r="B19" s="1337" t="str">
        <v>DPO (Days)</v>
      </c>
      <c r="C19" s="1170">
        <v>44.413438228438231</v>
      </c>
      <c r="D19" s="1170">
        <v>31.28054591895086</v>
      </c>
      <c r="E19" s="1171">
        <v>34.5637689963227</v>
      </c>
      <c r="F19" s="1172">
        <v>31.28054591895086</v>
      </c>
      <c r="G19" s="1171">
        <v>41.130215151066388</v>
      </c>
      <c r="H19" s="1170">
        <v>44.413438228438231</v>
      </c>
      <c r="I19" s="1169" t="str">
        <v>Walmart</v>
      </c>
      <c r="J19" s="1169" t="str">
        <v>1/2</v>
      </c>
      <c r="K19" s="585" t="s">
        <v>1032</v>
      </c>
      <c r="O19" s="583" t="s">
        <v>190</v>
      </c>
      <c r="U19" s="580">
        <f>IF($C19&gt;$G19,4,IF(AND($C19&gt;$F19,$C19&lt;=$G19),3,IF(AND($C19&gt;$E19,$C19&lt;=$F19),2,IF($C19="","",1))))</f>
        <v>4</v>
      </c>
    </row>
    <row r="20" spans="1:21" ht="15" customHeight="1" x14ac:dyDescent="0.2">
      <c r="A20" s="1509"/>
      <c r="B20" s="1337" t="str">
        <v>Cash Conversion Cycle (Days)</v>
      </c>
      <c r="C20" s="1170">
        <v>3.4629870145742387</v>
      </c>
      <c r="D20" s="1170">
        <v>3.4629870145742387</v>
      </c>
      <c r="E20" s="1171">
        <v>3.2226168056240843</v>
      </c>
      <c r="F20" s="1172">
        <v>2.5015061787736208</v>
      </c>
      <c r="G20" s="1171">
        <v>2.7418763877237753</v>
      </c>
      <c r="H20" s="1170">
        <v>2.5015061787736208</v>
      </c>
      <c r="I20" s="1169" t="str">
        <v>Costco</v>
      </c>
      <c r="J20" s="1169" t="str">
        <v>2/2</v>
      </c>
      <c r="K20" s="585" t="s">
        <v>1032</v>
      </c>
      <c r="O20" s="344" t="s">
        <v>192</v>
      </c>
      <c r="U20" s="576">
        <f t="shared" ref="U20" si="3">IF($C20&lt;$G20,4,IF(AND($C20&lt;$F20,$C20&gt;=$G20),3,IF(AND($C20&lt;$E20,$C20&gt;=$F20),2,IF($C20="","",1))))</f>
        <v>1</v>
      </c>
    </row>
    <row r="21" spans="1:21" ht="15" customHeight="1" x14ac:dyDescent="0.2">
      <c r="A21" s="1508" t="s">
        <v>1223</v>
      </c>
      <c r="B21" s="1336" t="str">
        <v>ROA</v>
      </c>
      <c r="C21" s="1182">
        <v>5.4982748775524976E-2</v>
      </c>
      <c r="D21" s="1182">
        <v>5.4982748775524976E-2</v>
      </c>
      <c r="E21" s="1183">
        <v>6.459802297016537E-2</v>
      </c>
      <c r="F21" s="1184">
        <v>9.344384555408658E-2</v>
      </c>
      <c r="G21" s="1185">
        <v>8.3828571359446186E-2</v>
      </c>
      <c r="H21" s="1182">
        <v>9.344384555408658E-2</v>
      </c>
      <c r="I21" s="1186" t="str">
        <v>Costco</v>
      </c>
      <c r="J21" s="1186" t="str">
        <v>2/2</v>
      </c>
      <c r="K21" s="1187" t="s">
        <v>1032</v>
      </c>
      <c r="O21" s="344" t="s">
        <v>193</v>
      </c>
      <c r="U21" s="580">
        <f t="shared" ref="U21:U26" si="4">IF($C21&gt;$G21,4,IF(AND($C21&gt;$F21,$C21&lt;=$G21),3,IF(AND($C21&gt;$E21,$C21&lt;=$F21),2,IF($C21="","",1))))</f>
        <v>1</v>
      </c>
    </row>
    <row r="22" spans="1:21" ht="15" customHeight="1" x14ac:dyDescent="0.2">
      <c r="A22" s="1508"/>
      <c r="B22" s="1336" t="str">
        <v>ROCE</v>
      </c>
      <c r="C22" s="1182">
        <v>8.6174731826604317E-2</v>
      </c>
      <c r="D22" s="1182">
        <v>8.6174731826604317E-2</v>
      </c>
      <c r="E22" s="1183">
        <v>0.11065940226885451</v>
      </c>
      <c r="F22" s="1184">
        <v>0.18411341359560507</v>
      </c>
      <c r="G22" s="1185">
        <v>0.15962874315335487</v>
      </c>
      <c r="H22" s="1182">
        <v>0.18411341359560507</v>
      </c>
      <c r="I22" s="1186" t="str">
        <v>Costco</v>
      </c>
      <c r="J22" s="1186" t="str">
        <v>2/2</v>
      </c>
      <c r="K22" s="1187" t="s">
        <v>1032</v>
      </c>
      <c r="O22" s="344" t="s">
        <v>194</v>
      </c>
      <c r="U22" s="580">
        <f t="shared" si="4"/>
        <v>1</v>
      </c>
    </row>
    <row r="23" spans="1:21" ht="15" customHeight="1" x14ac:dyDescent="0.2">
      <c r="A23" s="1508"/>
      <c r="B23" s="1336" t="str">
        <v>ROE</v>
      </c>
      <c r="C23" s="1182">
        <v>0.1524116329101225</v>
      </c>
      <c r="D23" s="1182">
        <v>0.1524116329101225</v>
      </c>
      <c r="E23" s="1183">
        <v>0.1906554910584401</v>
      </c>
      <c r="F23" s="1184">
        <v>0.3053870655033929</v>
      </c>
      <c r="G23" s="1185">
        <v>0.2671432073550753</v>
      </c>
      <c r="H23" s="1182">
        <v>0.3053870655033929</v>
      </c>
      <c r="I23" s="1186" t="str">
        <v>Costco</v>
      </c>
      <c r="J23" s="1186" t="str">
        <v>2/2</v>
      </c>
      <c r="K23" s="1187" t="s">
        <v>1032</v>
      </c>
      <c r="U23" s="580">
        <f t="shared" si="4"/>
        <v>1</v>
      </c>
    </row>
    <row r="24" spans="1:21" ht="15" customHeight="1" x14ac:dyDescent="0.2">
      <c r="A24" s="1509" t="s">
        <v>1224</v>
      </c>
      <c r="B24" s="1337" t="str">
        <v>Total Asset Turnover</v>
      </c>
      <c r="C24" s="1173">
        <v>2.3031999999999999</v>
      </c>
      <c r="D24" s="1173">
        <v>2.3031999999999999</v>
      </c>
      <c r="E24" s="1174">
        <v>2.6181874999999999</v>
      </c>
      <c r="F24" s="1175">
        <v>3.5631499999999998</v>
      </c>
      <c r="G24" s="1176">
        <v>3.2481624999999998</v>
      </c>
      <c r="H24" s="1173">
        <v>3.5631499999999998</v>
      </c>
      <c r="I24" s="1169" t="str">
        <v>Costco</v>
      </c>
      <c r="J24" s="1169" t="str">
        <v>2/2</v>
      </c>
      <c r="K24" s="585" t="s">
        <v>1032</v>
      </c>
      <c r="U24" s="580">
        <f t="shared" si="4"/>
        <v>1</v>
      </c>
    </row>
    <row r="25" spans="1:21" ht="15" customHeight="1" x14ac:dyDescent="0.2">
      <c r="A25" s="1509"/>
      <c r="B25" s="1337" t="str">
        <v>Fixed Asset Turnover</v>
      </c>
      <c r="C25" s="1173">
        <v>5.149</v>
      </c>
      <c r="D25" s="1173">
        <v>5.149</v>
      </c>
      <c r="E25" s="1174">
        <v>5.8711074999999999</v>
      </c>
      <c r="F25" s="1175">
        <v>8.0374300000000005</v>
      </c>
      <c r="G25" s="1176">
        <v>7.3153225000000006</v>
      </c>
      <c r="H25" s="1173">
        <v>8.0374300000000005</v>
      </c>
      <c r="I25" s="1169" t="str">
        <v>Costco</v>
      </c>
      <c r="J25" s="1169" t="str">
        <v>2/2</v>
      </c>
      <c r="K25" s="585" t="s">
        <v>1032</v>
      </c>
      <c r="U25" s="580">
        <f t="shared" si="4"/>
        <v>1</v>
      </c>
    </row>
    <row r="26" spans="1:21" ht="15" customHeight="1" x14ac:dyDescent="0.2">
      <c r="A26" s="1509"/>
      <c r="B26" s="1337" t="str">
        <v>CFOP/Rev %</v>
      </c>
      <c r="C26" s="1165">
        <v>4.221882343903316E-2</v>
      </c>
      <c r="D26" s="1165">
        <v>4.221882343903316E-2</v>
      </c>
      <c r="E26" s="1166">
        <v>4.3475609404466695E-2</v>
      </c>
      <c r="F26" s="1167">
        <v>4.7245967300767293E-2</v>
      </c>
      <c r="G26" s="1168">
        <v>4.5989181335333758E-2</v>
      </c>
      <c r="H26" s="1165">
        <v>4.7245967300767293E-2</v>
      </c>
      <c r="I26" s="1169" t="str">
        <v>Costco</v>
      </c>
      <c r="J26" s="1169" t="str">
        <v>2/2</v>
      </c>
      <c r="K26" s="585" t="s">
        <v>1032</v>
      </c>
      <c r="P26" s="572"/>
      <c r="U26" s="580">
        <f t="shared" si="4"/>
        <v>1</v>
      </c>
    </row>
    <row r="27" spans="1:21" ht="15" customHeight="1" x14ac:dyDescent="0.2">
      <c r="A27" s="1509"/>
      <c r="B27" s="1338" t="str">
        <v>Leverage</v>
      </c>
      <c r="C27" s="1177">
        <v>2.9411552736838313</v>
      </c>
      <c r="D27" s="1177">
        <v>3.2484292924091052</v>
      </c>
      <c r="E27" s="1178">
        <v>3.1716107877277868</v>
      </c>
      <c r="F27" s="1179">
        <v>3.2484292924091052</v>
      </c>
      <c r="G27" s="1180">
        <v>3.0179737783651497</v>
      </c>
      <c r="H27" s="1177">
        <v>2.9411552736838313</v>
      </c>
      <c r="I27" s="1181" t="str">
        <v>Walmart</v>
      </c>
      <c r="J27" s="1181" t="str">
        <v>1/2</v>
      </c>
      <c r="K27" s="1013" t="s">
        <v>1032</v>
      </c>
      <c r="P27" s="572"/>
      <c r="U27" s="576">
        <f t="shared" ref="U27" si="5">IF($C27&lt;$G27,4,IF(AND($C27&lt;$F27,$C27&gt;=$G27),3,IF(AND($C27&lt;$E27,$C27&gt;=$F27),2,IF($C27="","",1))))</f>
        <v>4</v>
      </c>
    </row>
    <row r="28" spans="1:21" ht="15" customHeight="1" x14ac:dyDescent="0.2">
      <c r="B28" s="1014"/>
      <c r="C28" s="1015"/>
      <c r="D28" s="1015"/>
      <c r="E28" s="1015"/>
      <c r="F28" s="1016"/>
      <c r="G28" s="1015"/>
      <c r="H28" s="1015"/>
      <c r="I28" s="1017"/>
      <c r="J28" s="1017"/>
      <c r="K28" s="999"/>
      <c r="P28" s="572"/>
      <c r="U28" s="1018" t="str">
        <f t="shared" ref="U28" si="6">IF($C28&gt;$G28,4,IF(AND($C28&gt;$F28,$C28&lt;=$G28),3,IF(AND($C28&gt;$E28,$C28&lt;=$F28),2,IF($C28="","",1))))</f>
        <v/>
      </c>
    </row>
    <row r="29" spans="1:21" x14ac:dyDescent="0.2">
      <c r="B29" s="19"/>
      <c r="C29" s="19"/>
      <c r="D29" s="19"/>
      <c r="E29" s="19"/>
      <c r="F29" s="19"/>
      <c r="G29" s="19"/>
      <c r="H29" s="19"/>
      <c r="I29" s="19"/>
      <c r="J29" s="19"/>
      <c r="K29" s="19"/>
      <c r="L29" s="19"/>
      <c r="M29" s="19"/>
      <c r="N29" s="19"/>
      <c r="P29" s="572"/>
    </row>
    <row r="30" spans="1:21" x14ac:dyDescent="0.2">
      <c r="B30" s="19"/>
      <c r="C30" s="19"/>
      <c r="D30" s="19"/>
      <c r="E30" s="19"/>
      <c r="F30" s="19"/>
      <c r="G30" s="19"/>
      <c r="H30" s="19"/>
      <c r="I30" s="19"/>
      <c r="J30" s="19"/>
      <c r="K30" s="19"/>
      <c r="L30" s="19"/>
      <c r="M30" s="19"/>
      <c r="N30" s="19"/>
      <c r="P30" s="572"/>
      <c r="U30" s="37" t="s">
        <v>1042</v>
      </c>
    </row>
    <row r="31" spans="1:21" x14ac:dyDescent="0.2">
      <c r="B31" s="19"/>
      <c r="C31" s="19"/>
      <c r="D31" s="19"/>
      <c r="E31" s="19"/>
      <c r="F31" s="19"/>
      <c r="G31" s="19"/>
      <c r="H31" s="19"/>
      <c r="I31" s="19"/>
      <c r="J31" s="19"/>
      <c r="K31" s="19"/>
      <c r="O31" s="589" t="s">
        <v>1044</v>
      </c>
      <c r="P31" s="578"/>
      <c r="Q31" s="578"/>
      <c r="R31" s="578"/>
      <c r="S31" s="578"/>
      <c r="T31" s="578"/>
      <c r="U31" s="23">
        <v>1</v>
      </c>
    </row>
    <row r="32" spans="1:21" x14ac:dyDescent="0.2">
      <c r="B32" s="19"/>
      <c r="C32" s="19"/>
      <c r="D32" s="19"/>
      <c r="E32" s="19"/>
      <c r="F32" s="19"/>
      <c r="G32" s="19"/>
      <c r="H32" s="19"/>
      <c r="I32" s="19"/>
      <c r="J32" s="582"/>
      <c r="K32" s="19"/>
      <c r="L32" s="574"/>
      <c r="M32" s="574"/>
      <c r="N32" s="574"/>
      <c r="O32" s="583" t="str">
        <f>INDEX(U34:U35,U31)</f>
        <v>Absolute</v>
      </c>
    </row>
    <row r="33" spans="2:21" ht="16.5" thickBot="1" x14ac:dyDescent="0.25">
      <c r="B33" s="1412" t="str">
        <f>"Peer Comparison Analysis ("&amp; IF(TimePeriodType="Quarter", "Quarterly", "Annual") &amp; " Trend)"</f>
        <v>Peer Comparison Analysis (Annual Trend)</v>
      </c>
      <c r="C33" s="1412"/>
      <c r="D33" s="1412"/>
      <c r="E33" s="1412"/>
      <c r="F33" s="1412"/>
      <c r="G33" s="1412"/>
      <c r="H33" s="1412"/>
      <c r="I33" s="1412"/>
      <c r="J33" s="1412"/>
      <c r="K33" s="1412"/>
      <c r="L33" s="575"/>
      <c r="M33" s="575"/>
      <c r="N33" s="575"/>
      <c r="U33" s="37" t="s">
        <v>1043</v>
      </c>
    </row>
    <row r="34" spans="2:21" x14ac:dyDescent="0.2">
      <c r="U34" s="23" t="s">
        <v>1037</v>
      </c>
    </row>
    <row r="35" spans="2:21" x14ac:dyDescent="0.2">
      <c r="U35" s="23" t="s">
        <v>1038</v>
      </c>
    </row>
    <row r="37" spans="2:21" x14ac:dyDescent="0.2">
      <c r="E37" s="133"/>
      <c r="F37" s="133"/>
      <c r="G37" s="133"/>
      <c r="H37" s="133"/>
      <c r="I37" s="133"/>
      <c r="J37" s="133"/>
      <c r="K37" s="133"/>
      <c r="L37" s="133"/>
      <c r="M37" s="133"/>
      <c r="N37" s="133"/>
    </row>
    <row r="275" spans="20:22" x14ac:dyDescent="0.2">
      <c r="T275" s="721"/>
      <c r="V275" s="19"/>
    </row>
    <row r="276" spans="20:22" x14ac:dyDescent="0.2">
      <c r="T276" s="721"/>
      <c r="V276" s="512"/>
    </row>
    <row r="277" spans="20:22" x14ac:dyDescent="0.2">
      <c r="T277" s="721"/>
      <c r="V277" s="512"/>
    </row>
  </sheetData>
  <dataConsolidate/>
  <mergeCells count="6">
    <mergeCell ref="A7:A8"/>
    <mergeCell ref="A24:A27"/>
    <mergeCell ref="A9:A12"/>
    <mergeCell ref="A13:A16"/>
    <mergeCell ref="A17:A20"/>
    <mergeCell ref="A21:A23"/>
  </mergeCells>
  <conditionalFormatting sqref="K7:K27">
    <cfRule type="expression" dxfId="289" priority="4">
      <formula>U7=4</formula>
    </cfRule>
    <cfRule type="expression" dxfId="288" priority="5">
      <formula>U7=3</formula>
    </cfRule>
    <cfRule type="expression" dxfId="287" priority="6">
      <formula>U7=2</formula>
    </cfRule>
    <cfRule type="expression" dxfId="286" priority="7">
      <formula>U7=1</formula>
    </cfRule>
  </conditionalFormatting>
  <conditionalFormatting sqref="K7:K8 K13:K16 K21:K23">
    <cfRule type="expression" dxfId="285" priority="2">
      <formula>U7=""</formula>
    </cfRule>
  </conditionalFormatting>
  <conditionalFormatting sqref="K17:K20 K9:K12 K24:K27">
    <cfRule type="expression" dxfId="284" priority="1">
      <formula>U9=""</formula>
    </cfRule>
  </conditionalFormatting>
  <dataValidations count="1">
    <dataValidation type="list" allowBlank="1" showInputMessage="1" showErrorMessage="1" sqref="O15:O19" xr:uid="{00000000-0002-0000-1000-000000000000}">
      <formula1>"Yes, No"</formula1>
    </dataValidation>
  </dataValidations>
  <printOptions horizontalCentered="1"/>
  <pageMargins left="0.5" right="0.5" top="0.5" bottom="0.5" header="0.3" footer="0.3"/>
  <pageSetup scale="37" orientation="portrait" horizontalDpi="1200" verticalDpi="1200" r:id="rId1"/>
  <rowBreaks count="3" manualBreakCount="3">
    <brk id="93" min="1" max="15" man="1"/>
    <brk id="123" min="1" max="15" man="1"/>
    <brk id="153" min="1" max="15" man="1"/>
  </rowBreaks>
  <ignoredErrors>
    <ignoredError sqref="U19:U20 U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Drop Down 5">
              <controlPr defaultSize="0" autoLine="0" autoPict="0" macro="[0]!DropDown5_Change">
                <anchor moveWithCells="1">
                  <from>
                    <xdr:col>14</xdr:col>
                    <xdr:colOff>0</xdr:colOff>
                    <xdr:row>31</xdr:row>
                    <xdr:rowOff>0</xdr:rowOff>
                  </from>
                  <to>
                    <xdr:col>15</xdr:col>
                    <xdr:colOff>0</xdr:colOff>
                    <xdr:row>32</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V36"/>
  <sheetViews>
    <sheetView showGridLines="0" zoomScaleNormal="100" workbookViewId="0">
      <selection activeCell="E15" sqref="E15"/>
    </sheetView>
  </sheetViews>
  <sheetFormatPr defaultColWidth="9" defaultRowHeight="14.25" outlineLevelCol="1" x14ac:dyDescent="0.2"/>
  <cols>
    <col min="1" max="1" width="5.75" style="7" customWidth="1"/>
    <col min="2" max="2" width="26.25" style="7" customWidth="1"/>
    <col min="3" max="3" width="10.75" style="7" customWidth="1"/>
    <col min="4" max="4" width="8.625" style="8" customWidth="1"/>
    <col min="5" max="8" width="8.625" style="7" customWidth="1"/>
    <col min="9" max="9" width="11.125" style="7" customWidth="1"/>
    <col min="10" max="10" width="7.25" style="7" bestFit="1" customWidth="1"/>
    <col min="11" max="11" width="9.125" style="7" customWidth="1"/>
    <col min="12" max="12" width="9.75" style="7" customWidth="1"/>
    <col min="13" max="14" width="9" style="7"/>
    <col min="15" max="15" width="12.625" style="7" customWidth="1"/>
    <col min="16" max="20" width="9" style="7"/>
    <col min="21" max="21" width="13.75" style="7" hidden="1" customWidth="1" outlineLevel="1"/>
    <col min="22" max="22" width="9" style="7" collapsed="1"/>
    <col min="23" max="16384" width="9" style="7"/>
  </cols>
  <sheetData>
    <row r="1" spans="1:21" ht="20.100000000000001" customHeight="1" x14ac:dyDescent="0.2">
      <c r="A1" s="211"/>
      <c r="B1" s="1286" t="s">
        <v>413</v>
      </c>
      <c r="C1" s="1381"/>
      <c r="D1" s="1381"/>
      <c r="E1" s="1381"/>
      <c r="F1" s="1382"/>
      <c r="G1" s="1382"/>
      <c r="H1" s="1382"/>
      <c r="I1" s="1382"/>
      <c r="J1" s="1291"/>
      <c r="K1" s="1383" t="str">
        <f>Input!$C$9</f>
        <v>Walmart Inc.</v>
      </c>
    </row>
    <row r="2" spans="1:21" s="5" customFormat="1" ht="12.75" x14ac:dyDescent="0.2">
      <c r="A2" s="211"/>
      <c r="B2" s="211"/>
      <c r="C2" s="211"/>
      <c r="D2" s="211"/>
      <c r="E2" s="211"/>
      <c r="F2" s="211"/>
      <c r="G2" s="211"/>
      <c r="H2" s="211"/>
      <c r="I2" s="211"/>
      <c r="J2" s="211"/>
      <c r="K2" s="211"/>
      <c r="L2" s="211"/>
    </row>
    <row r="3" spans="1:21" ht="16.5" thickBot="1" x14ac:dyDescent="0.25">
      <c r="A3" s="211"/>
      <c r="B3" s="1427" t="s">
        <v>195</v>
      </c>
      <c r="C3" s="1459"/>
      <c r="D3" s="1459"/>
      <c r="E3" s="1459"/>
      <c r="F3" s="1459"/>
      <c r="G3" s="1459"/>
      <c r="H3" s="1459"/>
      <c r="I3" s="1459"/>
      <c r="J3" s="1459"/>
      <c r="K3" s="1459"/>
      <c r="L3" s="575"/>
    </row>
    <row r="4" spans="1:21" x14ac:dyDescent="0.2">
      <c r="A4" s="211"/>
      <c r="B4" s="211"/>
      <c r="C4" s="19"/>
      <c r="D4" s="19"/>
      <c r="E4" s="19"/>
      <c r="F4" s="19"/>
      <c r="G4" s="19"/>
      <c r="H4" s="19"/>
      <c r="I4" s="19"/>
    </row>
    <row r="5" spans="1:21" ht="25.5" x14ac:dyDescent="0.2">
      <c r="A5" s="211"/>
      <c r="B5" s="1428" t="s">
        <v>66</v>
      </c>
      <c r="C5" s="1429" t="str">
        <f>Input!E19</f>
        <v>Walmart</v>
      </c>
      <c r="D5" s="1429" t="s">
        <v>85</v>
      </c>
      <c r="E5" s="1429" t="s">
        <v>1030</v>
      </c>
      <c r="F5" s="1429" t="s">
        <v>1087</v>
      </c>
      <c r="G5" s="1429" t="s">
        <v>1031</v>
      </c>
      <c r="H5" s="1430" t="s">
        <v>84</v>
      </c>
      <c r="I5" s="1429" t="s">
        <v>1023</v>
      </c>
      <c r="J5" s="1429" t="s">
        <v>67</v>
      </c>
      <c r="K5" s="1431" t="s">
        <v>1026</v>
      </c>
      <c r="U5" s="37" t="s">
        <v>1024</v>
      </c>
    </row>
    <row r="6" spans="1:21" ht="2.25" customHeight="1" x14ac:dyDescent="0.2">
      <c r="A6" s="211"/>
      <c r="B6" s="21"/>
      <c r="C6" s="21"/>
      <c r="D6" s="21"/>
      <c r="E6" s="21"/>
      <c r="F6" s="22"/>
      <c r="G6" s="21"/>
      <c r="I6" s="21"/>
      <c r="J6" s="21"/>
      <c r="K6" s="21"/>
      <c r="U6" s="23"/>
    </row>
    <row r="7" spans="1:21" ht="15" customHeight="1" x14ac:dyDescent="0.2">
      <c r="A7" s="1511" t="s">
        <v>1225</v>
      </c>
      <c r="B7" s="1377" t="str">
        <f t="array" ref="B7:B26">TRANSPOSE('Peer Data_H'!G6:Z6)</f>
        <v>Stock Price % Change</v>
      </c>
      <c r="C7" s="906">
        <f t="array" ref="C7:C26">TRANSPOSE('Peer Data_H'!G7:Z7)</f>
        <v>6.581598388180003E-2</v>
      </c>
      <c r="D7" s="906">
        <f t="array" ref="D7:D26">TRANSPOSE('Peer Data_H'!G24:Z24)</f>
        <v>6.581598388180003E-2</v>
      </c>
      <c r="E7" s="906">
        <f t="array" ref="E7:E26">TRANSPOSE('Peer Data_H'!G33:Z33)</f>
        <v>0.20222478169780267</v>
      </c>
      <c r="F7" s="907">
        <f t="array" ref="F7:F26">TRANSPOSE('Peer Data_H'!G18:Z18)</f>
        <v>0.6114511751458106</v>
      </c>
      <c r="G7" s="906">
        <f t="array" ref="G7:G26">TRANSPOSE('Peer Data_H'!G34:Z34)</f>
        <v>0.47504237732980797</v>
      </c>
      <c r="H7" s="906">
        <f t="array" ref="H7:H26">TRANSPOSE('Peer Data_H'!G23:Z23)</f>
        <v>0.6114511751458106</v>
      </c>
      <c r="I7" s="905" t="str">
        <f t="array" ref="I7:I26">TRANSPOSE('Peer Data_H'!G29:Z29)</f>
        <v>Costco</v>
      </c>
      <c r="J7" s="908" t="str">
        <f t="array" ref="J7:J26">TRANSPOSE('Peer Data_H'!G28:Z28)&amp;IF(TRANSPOSE('Peer Data_H'!G28:Z28)&lt;&gt;"","/"&amp;'Peer Data_H'!B3,"")</f>
        <v>2/2</v>
      </c>
      <c r="K7" s="1228" t="s">
        <v>1045</v>
      </c>
      <c r="U7" s="576">
        <f t="shared" ref="U7" si="0">IF($C7&gt;$G7,4,IF(AND($C7&gt;$F7,$C7&lt;=$G7),3,IF(AND($C7&gt;$E7,$C7&lt;=$F7),2,IF($C7="","",1))))</f>
        <v>1</v>
      </c>
    </row>
    <row r="8" spans="1:21" ht="15" customHeight="1" x14ac:dyDescent="0.2">
      <c r="A8" s="1511"/>
      <c r="B8" s="1377" t="str">
        <v>Rev Growth</v>
      </c>
      <c r="C8" s="906">
        <v>2.4327000000000001E-2</v>
      </c>
      <c r="D8" s="906">
        <v>2.4327000000000001E-2</v>
      </c>
      <c r="E8" s="906">
        <v>6.2461749999999996E-2</v>
      </c>
      <c r="F8" s="907">
        <v>0.176866</v>
      </c>
      <c r="G8" s="906">
        <v>0.13873124999999997</v>
      </c>
      <c r="H8" s="906">
        <v>0.176866</v>
      </c>
      <c r="I8" s="905" t="str">
        <v>Costco</v>
      </c>
      <c r="J8" s="908" t="str">
        <v>2/2</v>
      </c>
      <c r="K8" s="1228" t="s">
        <v>1045</v>
      </c>
      <c r="U8" s="576">
        <f>IF($C8&gt;$G8,4,IF(AND($C8&gt;$F8,$C8&lt;=$G8),3,IF(AND($C8&gt;$E8,$C8&lt;=$F8),2,IF($C8="","",1))))</f>
        <v>1</v>
      </c>
    </row>
    <row r="9" spans="1:21" ht="15" customHeight="1" x14ac:dyDescent="0.2">
      <c r="A9" s="1510" t="s">
        <v>1227</v>
      </c>
      <c r="B9" s="1378" t="str">
        <v>Net Interest Income Margin%</v>
      </c>
      <c r="C9" s="1230" t="str">
        <v/>
      </c>
      <c r="D9" s="1230">
        <v>0</v>
      </c>
      <c r="E9" s="1230" t="str">
        <v/>
      </c>
      <c r="F9" s="1231" t="str">
        <v/>
      </c>
      <c r="G9" s="1230" t="str">
        <v/>
      </c>
      <c r="H9" s="1230">
        <v>0</v>
      </c>
      <c r="I9" s="1229" t="str">
        <v/>
      </c>
      <c r="J9" s="1232" t="str">
        <v/>
      </c>
      <c r="K9" s="1233" t="s">
        <v>1045</v>
      </c>
      <c r="U9" s="576" t="str">
        <f t="shared" ref="U9:U19" si="1">IF($C9&gt;$G9,4,IF(AND($C9&gt;$F9,$C9&lt;=$G9),3,IF(AND($C9&gt;$E9,$C9&lt;=$F9),2,IF($C9="","",1))))</f>
        <v/>
      </c>
    </row>
    <row r="10" spans="1:21" ht="15" customHeight="1" x14ac:dyDescent="0.2">
      <c r="A10" s="1510"/>
      <c r="B10" s="1378" t="str">
        <v>EBT Margin</v>
      </c>
      <c r="C10" s="1230">
        <v>3.2642286217119391E-2</v>
      </c>
      <c r="D10" s="1230">
        <v>3.2642286217119391E-2</v>
      </c>
      <c r="E10" s="1230">
        <v>3.3327251935873853E-2</v>
      </c>
      <c r="F10" s="1231">
        <v>3.5382149092137244E-2</v>
      </c>
      <c r="G10" s="1230">
        <v>3.4697183373382783E-2</v>
      </c>
      <c r="H10" s="1230">
        <v>3.5382149092137244E-2</v>
      </c>
      <c r="I10" s="1229" t="str">
        <v>Costco</v>
      </c>
      <c r="J10" s="1232" t="str">
        <v>2/2</v>
      </c>
      <c r="K10" s="1233" t="s">
        <v>1045</v>
      </c>
      <c r="U10" s="576">
        <f t="shared" si="1"/>
        <v>1</v>
      </c>
    </row>
    <row r="11" spans="1:21" ht="15" customHeight="1" x14ac:dyDescent="0.2">
      <c r="A11" s="1510"/>
      <c r="B11" s="1379" t="str">
        <v>Net Income Margin</v>
      </c>
      <c r="C11" s="1235">
        <v>2.3872000000000001E-2</v>
      </c>
      <c r="D11" s="1235">
        <v>2.3872000000000001E-2</v>
      </c>
      <c r="E11" s="1235">
        <v>2.4460250000000003E-2</v>
      </c>
      <c r="F11" s="1236">
        <v>2.6225000000000002E-2</v>
      </c>
      <c r="G11" s="1235">
        <v>2.563675E-2</v>
      </c>
      <c r="H11" s="1235">
        <v>2.6225000000000002E-2</v>
      </c>
      <c r="I11" s="1234" t="str">
        <v>Costco</v>
      </c>
      <c r="J11" s="1237" t="str">
        <v>2/2</v>
      </c>
      <c r="K11" s="1238" t="s">
        <v>1045</v>
      </c>
      <c r="M11" s="733"/>
      <c r="U11" s="576">
        <f t="shared" si="1"/>
        <v>1</v>
      </c>
    </row>
    <row r="12" spans="1:21" ht="15" customHeight="1" x14ac:dyDescent="0.2">
      <c r="A12" s="1510"/>
      <c r="B12" s="1379" t="str">
        <v>ROA</v>
      </c>
      <c r="C12" s="1239">
        <v>5.4982748775524976E-2</v>
      </c>
      <c r="D12" s="1235">
        <v>5.4982748775524976E-2</v>
      </c>
      <c r="E12" s="1235">
        <v>6.459802297016537E-2</v>
      </c>
      <c r="F12" s="1236">
        <v>9.344384555408658E-2</v>
      </c>
      <c r="G12" s="1235">
        <v>8.3828571359446186E-2</v>
      </c>
      <c r="H12" s="1235">
        <v>9.344384555408658E-2</v>
      </c>
      <c r="I12" s="1240" t="str">
        <v>Costco</v>
      </c>
      <c r="J12" s="1237" t="str">
        <v>2/2</v>
      </c>
      <c r="K12" s="1238" t="s">
        <v>1045</v>
      </c>
      <c r="U12" s="576">
        <f t="shared" si="1"/>
        <v>1</v>
      </c>
    </row>
    <row r="13" spans="1:21" ht="15" customHeight="1" x14ac:dyDescent="0.2">
      <c r="A13" s="1510"/>
      <c r="B13" s="1378" t="str">
        <v>ROCE</v>
      </c>
      <c r="C13" s="1241">
        <v>4.3087365913302159E-2</v>
      </c>
      <c r="D13" s="1230">
        <v>4.3087365913302159E-2</v>
      </c>
      <c r="E13" s="1230">
        <v>5.5329701134427256E-2</v>
      </c>
      <c r="F13" s="1231">
        <v>9.2056706797802534E-2</v>
      </c>
      <c r="G13" s="1230">
        <v>7.9814371576677437E-2</v>
      </c>
      <c r="H13" s="1230">
        <v>9.2056706797802534E-2</v>
      </c>
      <c r="I13" s="1242" t="str">
        <v>Costco</v>
      </c>
      <c r="J13" s="1232" t="str">
        <v>2/2</v>
      </c>
      <c r="K13" s="1233" t="s">
        <v>1045</v>
      </c>
      <c r="U13" s="576">
        <f t="shared" si="1"/>
        <v>1</v>
      </c>
    </row>
    <row r="14" spans="1:21" ht="15" customHeight="1" x14ac:dyDescent="0.2">
      <c r="A14" s="1510"/>
      <c r="B14" s="1378" t="str">
        <v>ROE</v>
      </c>
      <c r="C14" s="1241">
        <v>0.1524116329101225</v>
      </c>
      <c r="D14" s="1230">
        <v>0.1524116329101225</v>
      </c>
      <c r="E14" s="1230">
        <v>0.1906554910584401</v>
      </c>
      <c r="F14" s="1231">
        <v>0.3053870655033929</v>
      </c>
      <c r="G14" s="1230">
        <v>0.2671432073550753</v>
      </c>
      <c r="H14" s="1230">
        <v>0.3053870655033929</v>
      </c>
      <c r="I14" s="1242" t="str">
        <v>Costco</v>
      </c>
      <c r="J14" s="1232" t="str">
        <v>2/2</v>
      </c>
      <c r="K14" s="1233" t="s">
        <v>1045</v>
      </c>
      <c r="U14" s="576">
        <f t="shared" si="1"/>
        <v>1</v>
      </c>
    </row>
    <row r="15" spans="1:21" ht="15" customHeight="1" x14ac:dyDescent="0.2">
      <c r="A15" s="1512" t="s">
        <v>959</v>
      </c>
      <c r="B15" s="1377" t="str">
        <v>Capital Adequacy Ratio</v>
      </c>
      <c r="C15" s="1243" t="str">
        <v/>
      </c>
      <c r="D15" s="906">
        <v>0</v>
      </c>
      <c r="E15" s="906" t="str">
        <v/>
      </c>
      <c r="F15" s="907" t="str">
        <v/>
      </c>
      <c r="G15" s="906" t="str">
        <v/>
      </c>
      <c r="H15" s="906">
        <v>0</v>
      </c>
      <c r="I15" s="1244" t="str">
        <v/>
      </c>
      <c r="J15" s="908" t="str">
        <v/>
      </c>
      <c r="K15" s="1228" t="s">
        <v>1045</v>
      </c>
      <c r="U15" s="576" t="str">
        <f t="shared" si="1"/>
        <v/>
      </c>
    </row>
    <row r="16" spans="1:21" ht="15" customHeight="1" x14ac:dyDescent="0.2">
      <c r="A16" s="1512"/>
      <c r="B16" s="1377" t="str">
        <v>Total Capital to Total Assets</v>
      </c>
      <c r="C16" s="1243">
        <v>0</v>
      </c>
      <c r="D16" s="906">
        <v>0</v>
      </c>
      <c r="E16" s="906">
        <v>0</v>
      </c>
      <c r="F16" s="907">
        <v>0</v>
      </c>
      <c r="G16" s="906">
        <v>0</v>
      </c>
      <c r="H16" s="906">
        <v>0</v>
      </c>
      <c r="I16" s="1244" t="str">
        <v>Walmart</v>
      </c>
      <c r="J16" s="908" t="str">
        <v>1/2</v>
      </c>
      <c r="K16" s="1228" t="s">
        <v>1045</v>
      </c>
      <c r="U16" s="576">
        <f t="shared" si="1"/>
        <v>1</v>
      </c>
    </row>
    <row r="17" spans="1:21" ht="15" customHeight="1" x14ac:dyDescent="0.25">
      <c r="A17" s="1512"/>
      <c r="B17" s="1377" t="str">
        <v>Tier 1 Ratio</v>
      </c>
      <c r="C17" s="1243">
        <v>0</v>
      </c>
      <c r="D17" s="906">
        <v>0</v>
      </c>
      <c r="E17" s="906">
        <v>0</v>
      </c>
      <c r="F17" s="907">
        <v>0</v>
      </c>
      <c r="G17" s="906">
        <v>0</v>
      </c>
      <c r="H17" s="906">
        <v>0</v>
      </c>
      <c r="I17" s="1244" t="str">
        <v>Walmart</v>
      </c>
      <c r="J17" s="908" t="str">
        <v>1/2</v>
      </c>
      <c r="K17" s="1228" t="s">
        <v>1045</v>
      </c>
      <c r="M17" s="693"/>
      <c r="U17" s="576">
        <f t="shared" si="1"/>
        <v>1</v>
      </c>
    </row>
    <row r="18" spans="1:21" ht="15" customHeight="1" x14ac:dyDescent="0.2">
      <c r="A18" s="1512"/>
      <c r="B18" s="1377" t="str">
        <v>Tier 2 Ratio</v>
      </c>
      <c r="C18" s="1243">
        <v>0</v>
      </c>
      <c r="D18" s="906">
        <v>0</v>
      </c>
      <c r="E18" s="906">
        <v>0</v>
      </c>
      <c r="F18" s="907">
        <v>0</v>
      </c>
      <c r="G18" s="906">
        <v>0</v>
      </c>
      <c r="H18" s="906">
        <v>0</v>
      </c>
      <c r="I18" s="1244" t="str">
        <v>Walmart</v>
      </c>
      <c r="J18" s="908" t="str">
        <v>1/2</v>
      </c>
      <c r="K18" s="1228" t="s">
        <v>1045</v>
      </c>
      <c r="U18" s="576">
        <f t="shared" si="1"/>
        <v>1</v>
      </c>
    </row>
    <row r="19" spans="1:21" ht="15" customHeight="1" x14ac:dyDescent="0.2">
      <c r="A19" s="1512"/>
      <c r="B19" s="1377" t="str">
        <v>Total Capital Ratio</v>
      </c>
      <c r="C19" s="906">
        <v>0</v>
      </c>
      <c r="D19" s="906">
        <v>0</v>
      </c>
      <c r="E19" s="906">
        <v>0</v>
      </c>
      <c r="F19" s="907">
        <v>0</v>
      </c>
      <c r="G19" s="906">
        <v>0</v>
      </c>
      <c r="H19" s="906">
        <v>0</v>
      </c>
      <c r="I19" s="905" t="str">
        <v>Walmart</v>
      </c>
      <c r="J19" s="908" t="str">
        <v>1/2</v>
      </c>
      <c r="K19" s="1228" t="s">
        <v>1045</v>
      </c>
      <c r="U19" s="576">
        <f t="shared" si="1"/>
        <v>1</v>
      </c>
    </row>
    <row r="20" spans="1:21" ht="15" customHeight="1" x14ac:dyDescent="0.2">
      <c r="A20" s="1510" t="s">
        <v>1228</v>
      </c>
      <c r="B20" s="1378" t="str">
        <v>Non Performing Loans %</v>
      </c>
      <c r="C20" s="1230">
        <v>0</v>
      </c>
      <c r="D20" s="1241">
        <v>0</v>
      </c>
      <c r="E20" s="1241">
        <v>0</v>
      </c>
      <c r="F20" s="1245">
        <v>0</v>
      </c>
      <c r="G20" s="1241">
        <v>0</v>
      </c>
      <c r="H20" s="1241">
        <v>0</v>
      </c>
      <c r="I20" s="1229" t="str">
        <v>Walmart</v>
      </c>
      <c r="J20" s="1232" t="str">
        <v>1/2</v>
      </c>
      <c r="K20" s="1233" t="s">
        <v>1045</v>
      </c>
      <c r="U20" s="580">
        <f t="shared" ref="U20:U22" si="2">IF($C20&lt;$G20,4,IF(AND($C20&lt;$F20,$C20&gt;=$G20),3,IF(AND($C20&lt;$E20,$C20&gt;=$F20),2,IF($C20="","",1))))</f>
        <v>1</v>
      </c>
    </row>
    <row r="21" spans="1:21" ht="15" customHeight="1" x14ac:dyDescent="0.2">
      <c r="A21" s="1510"/>
      <c r="B21" s="1378" t="str">
        <v>Allowance for Loan Loss %</v>
      </c>
      <c r="C21" s="1241" t="str">
        <v/>
      </c>
      <c r="D21" s="1241">
        <v>0</v>
      </c>
      <c r="E21" s="1241" t="str">
        <v/>
      </c>
      <c r="F21" s="1245" t="str">
        <v/>
      </c>
      <c r="G21" s="1241" t="str">
        <v/>
      </c>
      <c r="H21" s="1241">
        <v>0</v>
      </c>
      <c r="I21" s="1229" t="str">
        <v/>
      </c>
      <c r="J21" s="1232" t="str">
        <v/>
      </c>
      <c r="K21" s="1233" t="s">
        <v>1045</v>
      </c>
      <c r="U21" s="580" t="str">
        <f t="shared" si="2"/>
        <v/>
      </c>
    </row>
    <row r="22" spans="1:21" ht="15" customHeight="1" x14ac:dyDescent="0.2">
      <c r="A22" s="1510"/>
      <c r="B22" s="1378" t="str">
        <v>Loan Loss Provision to Net Loans</v>
      </c>
      <c r="C22" s="1246" t="str">
        <v/>
      </c>
      <c r="D22" s="1246">
        <v>0</v>
      </c>
      <c r="E22" s="1246" t="str">
        <v/>
      </c>
      <c r="F22" s="1247" t="str">
        <v/>
      </c>
      <c r="G22" s="1246" t="str">
        <v/>
      </c>
      <c r="H22" s="1246">
        <v>0</v>
      </c>
      <c r="I22" s="1229" t="str">
        <v/>
      </c>
      <c r="J22" s="1232" t="str">
        <v/>
      </c>
      <c r="K22" s="1233" t="s">
        <v>1045</v>
      </c>
      <c r="M22" s="722"/>
      <c r="U22" s="580" t="str">
        <f t="shared" si="2"/>
        <v/>
      </c>
    </row>
    <row r="23" spans="1:21" ht="15" customHeight="1" x14ac:dyDescent="0.2">
      <c r="A23" s="1512" t="s">
        <v>1229</v>
      </c>
      <c r="B23" s="1377" t="str">
        <v>Loans as % Assets</v>
      </c>
      <c r="C23" s="1243">
        <v>0</v>
      </c>
      <c r="D23" s="1243">
        <v>0</v>
      </c>
      <c r="E23" s="1243">
        <v>0</v>
      </c>
      <c r="F23" s="907">
        <v>0</v>
      </c>
      <c r="G23" s="1243">
        <v>0</v>
      </c>
      <c r="H23" s="1243">
        <v>0</v>
      </c>
      <c r="I23" s="905" t="str">
        <v>Walmart</v>
      </c>
      <c r="J23" s="908" t="str">
        <v>1/2</v>
      </c>
      <c r="K23" s="1228" t="s">
        <v>1045</v>
      </c>
      <c r="U23" s="580">
        <f>IF($C23&lt;$G23,4,IF(AND($C23&lt;$F23,$C23&gt;=$G23),3,IF(AND($C23&lt;$E23,$C23&gt;=$F23),2,IF($C23="","",1))))</f>
        <v>1</v>
      </c>
    </row>
    <row r="24" spans="1:21" ht="15" customHeight="1" x14ac:dyDescent="0.2">
      <c r="A24" s="1512"/>
      <c r="B24" s="1377" t="str">
        <v>Total Loans to Total Deposits</v>
      </c>
      <c r="C24" s="1243" t="str">
        <v/>
      </c>
      <c r="D24" s="1243">
        <v>0</v>
      </c>
      <c r="E24" s="1243" t="str">
        <v/>
      </c>
      <c r="F24" s="907" t="str">
        <v/>
      </c>
      <c r="G24" s="1243" t="str">
        <v/>
      </c>
      <c r="H24" s="1243">
        <v>0</v>
      </c>
      <c r="I24" s="905" t="str">
        <v/>
      </c>
      <c r="J24" s="908" t="str">
        <v/>
      </c>
      <c r="K24" s="1228" t="s">
        <v>1045</v>
      </c>
      <c r="U24" s="580" t="str">
        <f>IF($C24&lt;$G24,4,IF(AND($C24&lt;$F24,$C24&gt;=$G24),3,IF(AND($C24&lt;$E24,$C24&gt;=$F24),2,IF($C24="","",1))))</f>
        <v/>
      </c>
    </row>
    <row r="25" spans="1:21" ht="15" customHeight="1" x14ac:dyDescent="0.2">
      <c r="A25" s="1512"/>
      <c r="B25" s="1377" t="str">
        <v>Total Deposits to Total Assets</v>
      </c>
      <c r="C25" s="1243">
        <v>0</v>
      </c>
      <c r="D25" s="1243">
        <v>0</v>
      </c>
      <c r="E25" s="1243">
        <v>0</v>
      </c>
      <c r="F25" s="907">
        <v>0</v>
      </c>
      <c r="G25" s="1243">
        <v>0</v>
      </c>
      <c r="H25" s="1243">
        <v>0</v>
      </c>
      <c r="I25" s="905" t="str">
        <v>Walmart</v>
      </c>
      <c r="J25" s="908" t="str">
        <v>1/2</v>
      </c>
      <c r="K25" s="1228" t="s">
        <v>1045</v>
      </c>
      <c r="U25" s="576">
        <f t="shared" ref="U25" si="3">IF($C25&gt;$G25,4,IF(AND($C25&gt;$F25,$C25&lt;=$G25),3,IF(AND($C25&gt;$E25,$C25&lt;=$F25),2,IF($C25="","",1))))</f>
        <v>1</v>
      </c>
    </row>
    <row r="26" spans="1:21" ht="15" customHeight="1" x14ac:dyDescent="0.2">
      <c r="A26" s="1380"/>
      <c r="B26" s="1378" t="str">
        <v>Leverage</v>
      </c>
      <c r="C26" s="1248">
        <v>2.9411552736838313</v>
      </c>
      <c r="D26" s="1248">
        <v>3.2484292924091052</v>
      </c>
      <c r="E26" s="1248">
        <v>3.1716107877277868</v>
      </c>
      <c r="F26" s="1249">
        <v>3.2484292924091052</v>
      </c>
      <c r="G26" s="1248">
        <v>3.0179737783651497</v>
      </c>
      <c r="H26" s="1248">
        <v>2.9411552736838313</v>
      </c>
      <c r="I26" s="1229" t="str">
        <v>Walmart</v>
      </c>
      <c r="J26" s="1232" t="str">
        <v>1/2</v>
      </c>
      <c r="K26" s="1233" t="s">
        <v>1045</v>
      </c>
      <c r="U26" s="580">
        <f>IF($C26&lt;$G26,4,IF(AND($C26&lt;$F26,$C26&gt;=$G26),3,IF(AND($C26&lt;$E26,$C26&gt;=$F26),2,IF($C26="","",1))))</f>
        <v>4</v>
      </c>
    </row>
    <row r="27" spans="1:21" ht="15" customHeight="1" x14ac:dyDescent="0.2">
      <c r="A27" s="211"/>
      <c r="B27" s="995"/>
      <c r="C27" s="996"/>
      <c r="D27" s="996"/>
      <c r="E27" s="996"/>
      <c r="F27" s="997"/>
      <c r="G27" s="996"/>
      <c r="H27" s="996"/>
      <c r="I27" s="995"/>
      <c r="J27" s="998"/>
      <c r="K27" s="999"/>
      <c r="U27" s="580"/>
    </row>
    <row r="28" spans="1:21" ht="15" customHeight="1" x14ac:dyDescent="0.2">
      <c r="A28" s="211"/>
      <c r="B28" s="1000"/>
      <c r="C28" s="983"/>
      <c r="D28" s="983"/>
      <c r="E28" s="983"/>
      <c r="F28" s="1001"/>
      <c r="G28" s="983"/>
      <c r="H28" s="983"/>
      <c r="I28" s="654"/>
      <c r="J28" s="877"/>
      <c r="K28" s="1002"/>
      <c r="U28" s="580"/>
    </row>
    <row r="29" spans="1:21" x14ac:dyDescent="0.2">
      <c r="A29" s="211"/>
      <c r="B29" s="19"/>
      <c r="C29" s="19"/>
      <c r="D29" s="19"/>
      <c r="E29" s="19"/>
      <c r="F29" s="19"/>
      <c r="G29" s="19"/>
      <c r="H29" s="19"/>
      <c r="I29" s="19"/>
    </row>
    <row r="30" spans="1:21" x14ac:dyDescent="0.2">
      <c r="A30" s="19"/>
      <c r="B30" s="19"/>
      <c r="C30" s="19"/>
      <c r="D30" s="19"/>
      <c r="E30" s="19"/>
      <c r="F30" s="19"/>
      <c r="G30" s="19"/>
      <c r="H30" s="19"/>
      <c r="I30" s="19"/>
      <c r="O30" s="19" t="s">
        <v>1044</v>
      </c>
      <c r="U30" s="37" t="s">
        <v>1042</v>
      </c>
    </row>
    <row r="31" spans="1:21" x14ac:dyDescent="0.2">
      <c r="A31" s="19"/>
      <c r="B31" s="19"/>
      <c r="C31" s="19"/>
      <c r="D31" s="19"/>
      <c r="E31" s="19"/>
      <c r="F31" s="19"/>
      <c r="G31" s="19"/>
      <c r="H31" s="19"/>
      <c r="I31" s="19"/>
      <c r="O31" s="583" t="str">
        <f>INDEX(U34:U35,U31)</f>
        <v>Absolute</v>
      </c>
      <c r="U31" s="23">
        <v>1</v>
      </c>
    </row>
    <row r="32" spans="1:21" ht="16.5" thickBot="1" x14ac:dyDescent="0.25">
      <c r="A32" s="19"/>
      <c r="B32" s="1412" t="s">
        <v>496</v>
      </c>
      <c r="C32" s="1458"/>
      <c r="D32" s="1458"/>
      <c r="E32" s="1458"/>
      <c r="F32" s="1458"/>
      <c r="G32" s="1458"/>
      <c r="H32" s="1458"/>
      <c r="I32" s="1458"/>
      <c r="J32" s="1458"/>
      <c r="K32" s="1458"/>
      <c r="L32" s="575"/>
      <c r="U32" s="23"/>
    </row>
    <row r="33" spans="1:21" x14ac:dyDescent="0.2">
      <c r="A33" s="19"/>
      <c r="B33" s="19"/>
      <c r="C33" s="19"/>
      <c r="D33" s="19"/>
      <c r="E33" s="19"/>
      <c r="F33" s="19"/>
      <c r="G33" s="19"/>
      <c r="H33" s="19"/>
      <c r="I33" s="19"/>
      <c r="U33" s="37" t="s">
        <v>1043</v>
      </c>
    </row>
    <row r="34" spans="1:21" x14ac:dyDescent="0.2">
      <c r="U34" s="23" t="s">
        <v>1037</v>
      </c>
    </row>
    <row r="35" spans="1:21" x14ac:dyDescent="0.2">
      <c r="U35" s="23" t="s">
        <v>1038</v>
      </c>
    </row>
    <row r="36" spans="1:21" x14ac:dyDescent="0.2">
      <c r="E36" s="10"/>
      <c r="F36" s="10"/>
      <c r="G36" s="10"/>
      <c r="H36" s="10"/>
      <c r="I36" s="10"/>
      <c r="J36" s="10"/>
      <c r="K36" s="10"/>
      <c r="L36" s="10"/>
    </row>
  </sheetData>
  <dataConsolidate/>
  <mergeCells count="5">
    <mergeCell ref="A9:A14"/>
    <mergeCell ref="A7:A8"/>
    <mergeCell ref="A15:A19"/>
    <mergeCell ref="A20:A22"/>
    <mergeCell ref="A23:A25"/>
  </mergeCells>
  <conditionalFormatting sqref="K7:K26">
    <cfRule type="expression" dxfId="283" priority="19">
      <formula>U7=""</formula>
    </cfRule>
    <cfRule type="expression" dxfId="282" priority="20">
      <formula>U7=4</formula>
    </cfRule>
    <cfRule type="expression" dxfId="281" priority="21">
      <formula>U7=3</formula>
    </cfRule>
    <cfRule type="expression" dxfId="280" priority="22">
      <formula>U7=2</formula>
    </cfRule>
    <cfRule type="expression" dxfId="279" priority="23">
      <formula>U7=1</formula>
    </cfRule>
  </conditionalFormatting>
  <pageMargins left="0.7" right="0.7" top="0.75" bottom="0.75" header="0.3" footer="0.3"/>
  <pageSetup paperSize="9" scale="32" orientation="portrait" r:id="rId1"/>
  <ignoredErrors>
    <ignoredError sqref="U2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Drop Down 2">
              <controlPr defaultSize="0" autoLine="0" autoPict="0" macro="[0]!DropDown2_Change">
                <anchor moveWithCells="1">
                  <from>
                    <xdr:col>14</xdr:col>
                    <xdr:colOff>0</xdr:colOff>
                    <xdr:row>30</xdr:row>
                    <xdr:rowOff>0</xdr:rowOff>
                  </from>
                  <to>
                    <xdr:col>15</xdr:col>
                    <xdr:colOff>0</xdr:colOff>
                    <xdr:row>31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9"/>
  <sheetViews>
    <sheetView showGridLines="0" workbookViewId="0">
      <selection activeCell="B6" sqref="B6"/>
    </sheetView>
  </sheetViews>
  <sheetFormatPr defaultColWidth="9" defaultRowHeight="14.25" outlineLevelRow="1" x14ac:dyDescent="0.2"/>
  <cols>
    <col min="1" max="1" width="2.625" style="420" customWidth="1"/>
    <col min="2" max="2" width="25.5" style="571" bestFit="1" customWidth="1"/>
    <col min="3" max="3" width="15.25" style="571" bestFit="1" customWidth="1"/>
    <col min="4" max="4" width="10.125" style="571" bestFit="1" customWidth="1"/>
    <col min="5" max="5" width="14.625" style="571" customWidth="1"/>
    <col min="6" max="6" width="11.125" style="571" bestFit="1" customWidth="1"/>
    <col min="7" max="7" width="7" style="571" customWidth="1"/>
    <col min="8" max="8" width="10.5" style="571" bestFit="1" customWidth="1"/>
    <col min="9" max="9" width="14.125" style="571" customWidth="1"/>
    <col min="10" max="10" width="19.25" style="420" customWidth="1"/>
    <col min="11" max="12" width="9" style="420" customWidth="1"/>
    <col min="13" max="13" width="11.25" style="420" customWidth="1"/>
    <col min="14" max="14" width="16.625" style="420" customWidth="1"/>
    <col min="15" max="15" width="19" style="420" customWidth="1"/>
    <col min="16" max="16" width="20.5" style="420" customWidth="1"/>
    <col min="17" max="16384" width="9" style="420"/>
  </cols>
  <sheetData>
    <row r="1" spans="1:10" outlineLevel="1" x14ac:dyDescent="0.2">
      <c r="A1" s="418"/>
      <c r="B1" s="1293" t="str">
        <f>Target</f>
        <v>NYSE:WMT</v>
      </c>
      <c r="C1" s="1295" t="s">
        <v>367</v>
      </c>
      <c r="D1" s="1295" t="str">
        <f>Input!$C$6</f>
        <v>USD</v>
      </c>
      <c r="E1" s="1295"/>
      <c r="F1" s="1295" t="s">
        <v>584</v>
      </c>
      <c r="G1" s="1271" t="s">
        <v>1316</v>
      </c>
      <c r="H1" s="1295"/>
      <c r="I1" s="1295"/>
    </row>
    <row r="2" spans="1:10" ht="15" customHeight="1" outlineLevel="1" thickBot="1" x14ac:dyDescent="0.25">
      <c r="A2" s="418"/>
      <c r="B2" s="1304" cm="1">
        <f t="array" ref="B2">+_xll.ciqfunctions.udf.CIQGETDATE(IQ_TODAY)-1</f>
        <v>44644</v>
      </c>
      <c r="C2" s="1295"/>
      <c r="D2" s="1295"/>
      <c r="E2" s="1295"/>
      <c r="F2" s="1295"/>
      <c r="G2" s="1295"/>
      <c r="H2" s="1295"/>
      <c r="I2" s="1295"/>
    </row>
    <row r="3" spans="1:10" s="402" customFormat="1" ht="20.100000000000001" customHeight="1" x14ac:dyDescent="0.2">
      <c r="B3" s="1252" t="s">
        <v>590</v>
      </c>
      <c r="C3" s="1252"/>
      <c r="D3" s="1252"/>
      <c r="E3" s="1252"/>
      <c r="F3" s="1252"/>
      <c r="G3" s="1252"/>
      <c r="H3" s="1252"/>
      <c r="I3" s="1275" t="str">
        <f>Input!$C$9</f>
        <v>Walmart Inc.</v>
      </c>
    </row>
    <row r="4" spans="1:10" ht="15" customHeight="1" x14ac:dyDescent="0.2"/>
    <row r="5" spans="1:10" ht="51" x14ac:dyDescent="0.2">
      <c r="B5" s="1432" t="s">
        <v>589</v>
      </c>
      <c r="C5" s="1433" t="s">
        <v>588</v>
      </c>
      <c r="D5" s="1434" t="s">
        <v>587</v>
      </c>
      <c r="E5" s="1434" t="s">
        <v>586</v>
      </c>
      <c r="F5" s="1434" t="s">
        <v>585</v>
      </c>
      <c r="G5" s="1434" t="s">
        <v>1021</v>
      </c>
      <c r="H5" s="1434" t="str">
        <f>"Most Recent Transaction Size 
("&amp;Input!C6&amp;" mn)"</f>
        <v>Most Recent Transaction Size 
(USD mn)</v>
      </c>
      <c r="I5" s="1435" t="str">
        <f>+"Most Recent Amount Invested ("
&amp;Input!C6&amp;" mn)"</f>
        <v>Most Recent Amount Invested (USD mn)</v>
      </c>
    </row>
    <row r="6" spans="1:10" ht="25.5" x14ac:dyDescent="0.2">
      <c r="B6" s="1188" t="str">
        <f>+IF(INDEX('CIQ Ownership'!B$6:B$1048576,ROW('Private Ownership'!B6)-ROW('Private Ownership'!B$5))=0,"",INDEX('CIQ Ownership'!B$6:B$1048576,ROW('Private Ownership'!B6)-ROW('Private Ownership'!B$5)))</f>
        <v>AB Trust &amp; Investment Services Group</v>
      </c>
      <c r="C6" s="1188" t="str">
        <f>+IF(INDEX('CIQ Ownership'!C$6:C$1048576,ROW('Private Ownership'!C6)-ROW('Private Ownership'!C$5))=0,"",INDEX('CIQ Ownership'!C$6:C$1048576,ROW('Private Ownership'!C6)-ROW('Private Ownership'!C$5)))</f>
        <v>Current Investment</v>
      </c>
      <c r="D6" s="1189" t="str">
        <f>IFERROR(IF(INDEX('CIQ Ownership'!D$6:D$1048576,ROW('Private Ownership'!D6)-ROW('Private Ownership'!D$5))=0,"",TEXT(INDEX('CIQ Ownership'!D$6:D$1048576,ROW('Private Ownership'!D6)-ROW('Private Ownership'!D$5)),"DD MMM YYYY")),"-")</f>
        <v>31 Aug 2005</v>
      </c>
      <c r="E6" s="1188" t="str">
        <f>IFERROR(IF(INDEX('CIQ Ownership'!E$6:E$1048576,ROW('Private Ownership'!E6)-ROW('Private Ownership'!E$5))=0,"",INDEX('CIQ Ownership'!E$6:E$1048576,ROW('Private Ownership'!E6)-ROW('Private Ownership'!E$5))),"-")</f>
        <v>Private Investment Firm</v>
      </c>
      <c r="F6" s="1188" t="str">
        <f>+IF(INDEX('CIQ Ownership'!F$6:F$1048576,ROW('Private Ownership'!F6)-ROW('Private Ownership'!F$5))=0,"",INDEX('CIQ Ownership'!F$6:F$1048576,ROW('Private Ownership'!F6)-ROW('Private Ownership'!F$5)))</f>
        <v/>
      </c>
      <c r="G6" s="1188" t="str">
        <f>+IF(INDEX('CIQ Ownership'!I$6:I$1048576,ROW('Private Ownership'!G6)-ROW('Private Ownership'!G$5))=0,"",INDEX('CIQ Ownership'!I$6:I$1048576,ROW('Private Ownership'!G6)-ROW('Private Ownership'!G$5)))</f>
        <v>Minority</v>
      </c>
      <c r="H6" s="1190" t="str">
        <f>+IF(INDEX('CIQ Ownership'!G$6:G$1048576,ROW('Private Ownership'!H6)-ROW('Private Ownership'!H$5))=0,"",INDEX('CIQ Ownership'!G$6:G$1048576,ROW('Private Ownership'!H6)-ROW('Private Ownership'!H$5)))</f>
        <v/>
      </c>
      <c r="I6" s="1190" t="str">
        <f>+IF(INDEX('CIQ Ownership'!H$6:H$1048576,ROW('Private Ownership'!I6)-ROW('Private Ownership'!I$5))=0,"",INDEX('CIQ Ownership'!H$6:H$1048576,ROW('Private Ownership'!I6)-ROW('Private Ownership'!I$5)))</f>
        <v/>
      </c>
      <c r="J6" s="404"/>
    </row>
    <row r="7" spans="1:10" ht="38.25" x14ac:dyDescent="0.2">
      <c r="B7" s="1188" t="str">
        <f>+IF(INDEX('CIQ Ownership'!B$6:B$1048576,ROW('Private Ownership'!B7)-ROW('Private Ownership'!B$5))=0,"",INDEX('CIQ Ownership'!B$6:B$1048576,ROW('Private Ownership'!B7)-ROW('Private Ownership'!B$5)))</f>
        <v>American Federation of Labor and Congress of Industrial Organizations, Endowment Arm</v>
      </c>
      <c r="C7" s="1188" t="str">
        <f>+IF(INDEX('CIQ Ownership'!C$6:C$1048576,ROW('Private Ownership'!C7)-ROW('Private Ownership'!C$5))=0,"",INDEX('CIQ Ownership'!C$6:C$1048576,ROW('Private Ownership'!C7)-ROW('Private Ownership'!C$5)))</f>
        <v>Prior Investment</v>
      </c>
      <c r="D7" s="1189" t="str">
        <f>IFERROR(IF(INDEX('CIQ Ownership'!D$6:D$1048576,ROW('Private Ownership'!D7)-ROW('Private Ownership'!D$5))=0,"",TEXT(INDEX('CIQ Ownership'!D$6:D$1048576,ROW('Private Ownership'!D7)-ROW('Private Ownership'!D$5)),"DD MMM YYYY")),"-")</f>
        <v/>
      </c>
      <c r="E7" s="1188" t="str">
        <f>IFERROR(IF(INDEX('CIQ Ownership'!E$6:E$1048576,ROW('Private Ownership'!E7)-ROW('Private Ownership'!E$5))=0,"",INDEX('CIQ Ownership'!E$6:E$1048576,ROW('Private Ownership'!E7)-ROW('Private Ownership'!E$5))),"-")</f>
        <v>Private Investment Firm</v>
      </c>
      <c r="F7" s="1188" t="str">
        <f>+IF(INDEX('CIQ Ownership'!F$6:F$1048576,ROW('Private Ownership'!F7)-ROW('Private Ownership'!F$5))=0,"",INDEX('CIQ Ownership'!F$6:F$1048576,ROW('Private Ownership'!F7)-ROW('Private Ownership'!F$5)))</f>
        <v/>
      </c>
      <c r="G7" s="1188" t="str">
        <f>+IF(INDEX('CIQ Ownership'!I$6:I$1048576,ROW('Private Ownership'!G7)-ROW('Private Ownership'!G$5))=0,"",INDEX('CIQ Ownership'!I$6:I$1048576,ROW('Private Ownership'!G7)-ROW('Private Ownership'!G$5)))</f>
        <v>-</v>
      </c>
      <c r="H7" s="1190">
        <f>+IF(INDEX('CIQ Ownership'!G$6:G$1048576,ROW('Private Ownership'!H7)-ROW('Private Ownership'!H$5))=0,"",INDEX('CIQ Ownership'!G$6:G$1048576,ROW('Private Ownership'!H7)-ROW('Private Ownership'!H$5)))</f>
        <v>516.92538999999999</v>
      </c>
      <c r="I7" s="1190" t="str">
        <f>+IF(INDEX('CIQ Ownership'!H$6:H$1048576,ROW('Private Ownership'!I7)-ROW('Private Ownership'!I$5))=0,"",INDEX('CIQ Ownership'!H$6:H$1048576,ROW('Private Ownership'!I7)-ROW('Private Ownership'!I$5)))</f>
        <v/>
      </c>
    </row>
    <row r="8" spans="1:10" ht="25.5" x14ac:dyDescent="0.2">
      <c r="B8" s="1188" t="str">
        <f>+IF(INDEX('CIQ Ownership'!B$6:B$1048576,ROW('Private Ownership'!B8)-ROW('Private Ownership'!B$5))=0,"",INDEX('CIQ Ownership'!B$6:B$1048576,ROW('Private Ownership'!B8)-ROW('Private Ownership'!B$5)))</f>
        <v>As You Sow Foundation</v>
      </c>
      <c r="C8" s="1188" t="str">
        <f>+IF(INDEX('CIQ Ownership'!C$6:C$1048576,ROW('Private Ownership'!C8)-ROW('Private Ownership'!C$5))=0,"",INDEX('CIQ Ownership'!C$6:C$1048576,ROW('Private Ownership'!C8)-ROW('Private Ownership'!C$5)))</f>
        <v>Current Investment</v>
      </c>
      <c r="D8" s="1189" t="str">
        <f>IFERROR(IF(INDEX('CIQ Ownership'!D$6:D$1048576,ROW('Private Ownership'!D8)-ROW('Private Ownership'!D$5))=0,"",TEXT(INDEX('CIQ Ownership'!D$6:D$1048576,ROW('Private Ownership'!D8)-ROW('Private Ownership'!D$5)),"DD MMM YYYY")),"-")</f>
        <v>05 Jun 2020</v>
      </c>
      <c r="E8" s="1188" t="str">
        <f>IFERROR(IF(INDEX('CIQ Ownership'!E$6:E$1048576,ROW('Private Ownership'!E8)-ROW('Private Ownership'!E$5))=0,"",INDEX('CIQ Ownership'!E$6:E$1048576,ROW('Private Ownership'!E8)-ROW('Private Ownership'!E$5))),"-")</f>
        <v>Foundation/Charitable Institution</v>
      </c>
      <c r="F8" s="1188" t="str">
        <f>+IF(INDEX('CIQ Ownership'!F$6:F$1048576,ROW('Private Ownership'!F8)-ROW('Private Ownership'!F$5))=0,"",INDEX('CIQ Ownership'!F$6:F$1048576,ROW('Private Ownership'!F8)-ROW('Private Ownership'!F$5)))</f>
        <v/>
      </c>
      <c r="G8" s="1188" t="str">
        <f>+IF(INDEX('CIQ Ownership'!I$6:I$1048576,ROW('Private Ownership'!G8)-ROW('Private Ownership'!G$5))=0,"",INDEX('CIQ Ownership'!I$6:I$1048576,ROW('Private Ownership'!G8)-ROW('Private Ownership'!G$5)))</f>
        <v>-</v>
      </c>
      <c r="H8" s="1190" t="str">
        <f>+IF(INDEX('CIQ Ownership'!G$6:G$1048576,ROW('Private Ownership'!H8)-ROW('Private Ownership'!H$5))=0,"",INDEX('CIQ Ownership'!G$6:G$1048576,ROW('Private Ownership'!H8)-ROW('Private Ownership'!H$5)))</f>
        <v/>
      </c>
      <c r="I8" s="1190" t="str">
        <f>+IF(INDEX('CIQ Ownership'!H$6:H$1048576,ROW('Private Ownership'!I8)-ROW('Private Ownership'!I$5))=0,"",INDEX('CIQ Ownership'!H$6:H$1048576,ROW('Private Ownership'!I8)-ROW('Private Ownership'!I$5)))</f>
        <v/>
      </c>
    </row>
    <row r="9" spans="1:10" ht="25.5" x14ac:dyDescent="0.2">
      <c r="B9" s="1188" t="str">
        <f>+IF(INDEX('CIQ Ownership'!B$6:B$1048576,ROW('Private Ownership'!B9)-ROW('Private Ownership'!B$5))=0,"",INDEX('CIQ Ownership'!B$6:B$1048576,ROW('Private Ownership'!B9)-ROW('Private Ownership'!B$5)))</f>
        <v>Employees' Retirement System of Rhode Island</v>
      </c>
      <c r="C9" s="1188" t="str">
        <f>+IF(INDEX('CIQ Ownership'!C$6:C$1048576,ROW('Private Ownership'!C9)-ROW('Private Ownership'!C$5))=0,"",INDEX('CIQ Ownership'!C$6:C$1048576,ROW('Private Ownership'!C9)-ROW('Private Ownership'!C$5)))</f>
        <v>Current Investment</v>
      </c>
      <c r="D9" s="1189" t="str">
        <f>IFERROR(IF(INDEX('CIQ Ownership'!D$6:D$1048576,ROW('Private Ownership'!D9)-ROW('Private Ownership'!D$5))=0,"",TEXT(INDEX('CIQ Ownership'!D$6:D$1048576,ROW('Private Ownership'!D9)-ROW('Private Ownership'!D$5)),"DD MMM YYYY")),"-")</f>
        <v>04 Jun 2021</v>
      </c>
      <c r="E9" s="1188" t="str">
        <f>IFERROR(IF(INDEX('CIQ Ownership'!E$6:E$1048576,ROW('Private Ownership'!E9)-ROW('Private Ownership'!E$5))=0,"",INDEX('CIQ Ownership'!E$6:E$1048576,ROW('Private Ownership'!E9)-ROW('Private Ownership'!E$5))),"-")</f>
        <v>Private Investment Firm</v>
      </c>
      <c r="F9" s="1188" t="str">
        <f>+IF(INDEX('CIQ Ownership'!F$6:F$1048576,ROW('Private Ownership'!F9)-ROW('Private Ownership'!F$5))=0,"",INDEX('CIQ Ownership'!F$6:F$1048576,ROW('Private Ownership'!F9)-ROW('Private Ownership'!F$5)))</f>
        <v/>
      </c>
      <c r="G9" s="1188" t="str">
        <f>+IF(INDEX('CIQ Ownership'!I$6:I$1048576,ROW('Private Ownership'!G9)-ROW('Private Ownership'!G$5))=0,"",INDEX('CIQ Ownership'!I$6:I$1048576,ROW('Private Ownership'!G9)-ROW('Private Ownership'!G$5)))</f>
        <v>Minority</v>
      </c>
      <c r="H9" s="1190" t="str">
        <f>+IF(INDEX('CIQ Ownership'!G$6:G$1048576,ROW('Private Ownership'!H9)-ROW('Private Ownership'!H$5))=0,"",INDEX('CIQ Ownership'!G$6:G$1048576,ROW('Private Ownership'!H9)-ROW('Private Ownership'!H$5)))</f>
        <v/>
      </c>
      <c r="I9" s="1190" t="str">
        <f>+IF(INDEX('CIQ Ownership'!H$6:H$1048576,ROW('Private Ownership'!I9)-ROW('Private Ownership'!I$5))=0,"",INDEX('CIQ Ownership'!H$6:H$1048576,ROW('Private Ownership'!I9)-ROW('Private Ownership'!I$5)))</f>
        <v/>
      </c>
    </row>
  </sheetData>
  <pageMargins left="0.7" right="0.7" top="0.75" bottom="0.75" header="0.3" footer="0.3"/>
  <pageSetup orientation="portrait" horizontalDpi="4294967295" verticalDpi="4294967295"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22"/>
  <sheetViews>
    <sheetView showGridLines="0" workbookViewId="0">
      <selection activeCell="B6" sqref="B6"/>
    </sheetView>
  </sheetViews>
  <sheetFormatPr defaultColWidth="9" defaultRowHeight="12.75" outlineLevelRow="1" x14ac:dyDescent="0.2"/>
  <cols>
    <col min="1" max="1" width="2.625" style="399" customWidth="1"/>
    <col min="2" max="2" width="38.5" style="681" bestFit="1" customWidth="1"/>
    <col min="3" max="4" width="18.125" style="681" customWidth="1"/>
    <col min="5" max="5" width="18.125" style="426" customWidth="1"/>
    <col min="6" max="16384" width="9" style="399"/>
  </cols>
  <sheetData>
    <row r="1" spans="1:5" ht="15" customHeight="1" outlineLevel="1" x14ac:dyDescent="0.2">
      <c r="A1" s="419"/>
      <c r="B1" s="1293" t="s">
        <v>584</v>
      </c>
      <c r="C1" s="1271" t="s">
        <v>1315</v>
      </c>
      <c r="D1" s="1305"/>
      <c r="E1" s="1306"/>
    </row>
    <row r="2" spans="1:5" ht="15" customHeight="1" outlineLevel="1" thickBot="1" x14ac:dyDescent="0.25">
      <c r="B2" s="1297"/>
      <c r="C2" s="1297"/>
      <c r="D2" s="1297"/>
      <c r="E2" s="1307"/>
    </row>
    <row r="3" spans="1:5" s="402" customFormat="1" ht="18" customHeight="1" x14ac:dyDescent="0.2">
      <c r="B3" s="1308" t="s">
        <v>583</v>
      </c>
      <c r="C3" s="1252"/>
      <c r="D3" s="1252"/>
      <c r="E3" s="1309" t="str">
        <f>Input!$C$9</f>
        <v>Walmart Inc.</v>
      </c>
    </row>
    <row r="4" spans="1:5" ht="15" customHeight="1" x14ac:dyDescent="0.2"/>
    <row r="5" spans="1:5" ht="25.5" x14ac:dyDescent="0.2">
      <c r="B5" s="1436" t="s">
        <v>582</v>
      </c>
      <c r="C5" s="1437" t="s">
        <v>580</v>
      </c>
      <c r="D5" s="1437" t="str">
        <f>+"Total Value Disclosed ("&amp;Input!C6&amp;" mn)"</f>
        <v>Total Value Disclosed (USD mn)</v>
      </c>
      <c r="E5" s="1438" t="s">
        <v>579</v>
      </c>
    </row>
    <row r="6" spans="1:5" ht="15" customHeight="1" x14ac:dyDescent="0.2">
      <c r="B6" s="1191" t="str">
        <f>IFERROR(IF(INDEX('CIQ Advisors'!$B$8:$B$1048576,'CIQ Advisors'!$H$2+(ROW(B6)-ROW($B$5)-1))=0,"",INDEX('CIQ Advisors'!$B$8:$B$1048576,'CIQ Advisors'!$H$2+(ROW(B6)-ROW($B$5)-1))),"-")</f>
        <v>MUFG Securities Americas Inc.</v>
      </c>
      <c r="C6" s="1192">
        <f>IFERROR(IF($B6&lt;&gt;"",INDEX('CIQ Advisors'!D$8:D$1048576,'CIQ Advisors'!$H$2+(ROW(C6)-ROW(C$5)-1)),""),"-")</f>
        <v>2</v>
      </c>
      <c r="D6" s="1193">
        <f>IFERROR(IF($B6&lt;&gt;"",INDEX('CIQ Advisors'!E$8:E$1048576,'CIQ Advisors'!$H$2+(ROW(D6)-ROW(D$5)-1)),""),"-")</f>
        <v>1345.067</v>
      </c>
      <c r="E6" s="1194" t="str">
        <f>IFERROR(IF($B6&lt;&gt;"",TEXT(INDEX('CIQ Advisors'!F$8:F$1048576,'CIQ Advisors'!$H$2+(ROW(E6)-ROW(E$5)-1)),"DD MMM YYYY"),""),"-")</f>
        <v>03 Mar 2021</v>
      </c>
    </row>
    <row r="7" spans="1:5" s="681" customFormat="1" ht="15" customHeight="1" x14ac:dyDescent="0.2">
      <c r="B7" s="1191" t="str">
        <f>IFERROR(IF(INDEX('CIQ Advisors'!$B$8:$B$1048576,'CIQ Advisors'!$H$2+(ROW(B7)-ROW($B$5)-1))=0,"",INDEX('CIQ Advisors'!$B$8:$B$1048576,'CIQ Advisors'!$H$2+(ROW(B7)-ROW($B$5)-1))),"-")</f>
        <v>J.P. Morgan Securities LLC</v>
      </c>
      <c r="C7" s="1192">
        <f>IFERROR(IF($B7&lt;&gt;"",INDEX('CIQ Advisors'!D$8:D$1048576,'CIQ Advisors'!$H$2+(ROW(C7)-ROW(C$5)-1)),""),"-")</f>
        <v>2</v>
      </c>
      <c r="D7" s="1193">
        <f>IFERROR(IF($B7&lt;&gt;"",INDEX('CIQ Advisors'!E$8:E$1048576,'CIQ Advisors'!$H$2+(ROW(D7)-ROW(D$5)-1)),""),"-")</f>
        <v>1345.067</v>
      </c>
      <c r="E7" s="1194" t="str">
        <f>IFERROR(IF($B7&lt;&gt;"",TEXT(INDEX('CIQ Advisors'!F$8:F$1048576,'CIQ Advisors'!$H$2+(ROW(E7)-ROW(E$5)-1)),"DD MMM YYYY"),""),"-")</f>
        <v>03 Mar 2021</v>
      </c>
    </row>
    <row r="8" spans="1:5" s="681" customFormat="1" ht="15" customHeight="1" x14ac:dyDescent="0.2">
      <c r="B8" s="1191" t="str">
        <f>IFERROR(IF(INDEX('CIQ Advisors'!$B$8:$B$1048576,'CIQ Advisors'!$H$2+(ROW(B8)-ROW($B$5)-1))=0,"",INDEX('CIQ Advisors'!$B$8:$B$1048576,'CIQ Advisors'!$H$2+(ROW(B8)-ROW($B$5)-1))),"-")</f>
        <v>Citigroup Global Markets Inc.</v>
      </c>
      <c r="C8" s="1192">
        <f>IFERROR(IF($B8&lt;&gt;"",INDEX('CIQ Advisors'!D$8:D$1048576,'CIQ Advisors'!$H$2+(ROW(C8)-ROW(C$5)-1)),""),"-")</f>
        <v>1</v>
      </c>
      <c r="D8" s="1193">
        <f>IFERROR(IF($B8&lt;&gt;"",INDEX('CIQ Advisors'!E$8:E$1048576,'CIQ Advisors'!$H$2+(ROW(D8)-ROW(D$5)-1)),""),"-")</f>
        <v>848.48699999999997</v>
      </c>
      <c r="E8" s="1194" t="str">
        <f>IFERROR(IF($B8&lt;&gt;"",TEXT(INDEX('CIQ Advisors'!F$8:F$1048576,'CIQ Advisors'!$H$2+(ROW(E8)-ROW(E$5)-1)),"DD MMM YYYY"),""),"-")</f>
        <v>03 Mar 2021</v>
      </c>
    </row>
    <row r="9" spans="1:5" s="681" customFormat="1" ht="15" customHeight="1" x14ac:dyDescent="0.2">
      <c r="B9" s="1191" t="str">
        <f>IFERROR(IF(INDEX('CIQ Advisors'!$B$8:$B$1048576,'CIQ Advisors'!$H$2+(ROW(B9)-ROW($B$5)-1))=0,"",INDEX('CIQ Advisors'!$B$8:$B$1048576,'CIQ Advisors'!$H$2+(ROW(B9)-ROW($B$5)-1))),"-")</f>
        <v>BNP Paribas Securities Corp.</v>
      </c>
      <c r="C9" s="1192">
        <f>IFERROR(IF($B9&lt;&gt;"",INDEX('CIQ Advisors'!D$8:D$1048576,'CIQ Advisors'!$H$2+(ROW(C9)-ROW(C$5)-1)),""),"-")</f>
        <v>1</v>
      </c>
      <c r="D9" s="1193">
        <f>IFERROR(IF($B9&lt;&gt;"",INDEX('CIQ Advisors'!E$8:E$1048576,'CIQ Advisors'!$H$2+(ROW(D9)-ROW(D$5)-1)),""),"-")</f>
        <v>848.48699999999997</v>
      </c>
      <c r="E9" s="1194" t="str">
        <f>IFERROR(IF($B9&lt;&gt;"",TEXT(INDEX('CIQ Advisors'!F$8:F$1048576,'CIQ Advisors'!$H$2+(ROW(E9)-ROW(E$5)-1)),"DD MMM YYYY"),""),"-")</f>
        <v>03 Mar 2021</v>
      </c>
    </row>
    <row r="10" spans="1:5" s="681" customFormat="1" ht="15" customHeight="1" x14ac:dyDescent="0.2">
      <c r="B10" s="1191" t="str">
        <f>IFERROR(IF(INDEX('CIQ Advisors'!$B$8:$B$1048576,'CIQ Advisors'!$H$2+(ROW(B10)-ROW($B$5)-1))=0,"",INDEX('CIQ Advisors'!$B$8:$B$1048576,'CIQ Advisors'!$H$2+(ROW(B10)-ROW($B$5)-1))),"-")</f>
        <v>Barclays Capital Inc.</v>
      </c>
      <c r="C10" s="1192">
        <f>IFERROR(IF($B10&lt;&gt;"",INDEX('CIQ Advisors'!D$8:D$1048576,'CIQ Advisors'!$H$2+(ROW(C10)-ROW(C$5)-1)),""),"-")</f>
        <v>2</v>
      </c>
      <c r="D10" s="1193">
        <f>IFERROR(IF($B10&lt;&gt;"",INDEX('CIQ Advisors'!E$8:E$1048576,'CIQ Advisors'!$H$2+(ROW(D10)-ROW(D$5)-1)),""),"-")</f>
        <v>1345.067</v>
      </c>
      <c r="E10" s="1194" t="str">
        <f>IFERROR(IF($B10&lt;&gt;"",TEXT(INDEX('CIQ Advisors'!F$8:F$1048576,'CIQ Advisors'!$H$2+(ROW(E10)-ROW(E$5)-1)),"DD MMM YYYY"),""),"-")</f>
        <v>03 Mar 2021</v>
      </c>
    </row>
    <row r="11" spans="1:5" s="681" customFormat="1" ht="15" customHeight="1" x14ac:dyDescent="0.2">
      <c r="B11" s="1191" t="str">
        <f>IFERROR(IF(INDEX('CIQ Advisors'!$B$8:$B$1048576,'CIQ Advisors'!$H$2+(ROW(B11)-ROW($B$5)-1))=0,"",INDEX('CIQ Advisors'!$B$8:$B$1048576,'CIQ Advisors'!$H$2+(ROW(B11)-ROW($B$5)-1))),"-")</f>
        <v>Wells Fargo Securities, LLC</v>
      </c>
      <c r="C11" s="1192">
        <f>IFERROR(IF($B11&lt;&gt;"",INDEX('CIQ Advisors'!D$8:D$1048576,'CIQ Advisors'!$H$2+(ROW(C11)-ROW(C$5)-1)),""),"-")</f>
        <v>1</v>
      </c>
      <c r="D11" s="1193">
        <f>IFERROR(IF($B11&lt;&gt;"",INDEX('CIQ Advisors'!E$8:E$1048576,'CIQ Advisors'!$H$2+(ROW(D11)-ROW(D$5)-1)),""),"-")</f>
        <v>499.06</v>
      </c>
      <c r="E11" s="1194" t="str">
        <f>IFERROR(IF($B11&lt;&gt;"",TEXT(INDEX('CIQ Advisors'!F$8:F$1048576,'CIQ Advisors'!$H$2+(ROW(E11)-ROW(E$5)-1)),"DD MMM YYYY"),""),"-")</f>
        <v>01 Jun 2020</v>
      </c>
    </row>
    <row r="12" spans="1:5" s="681" customFormat="1" ht="15" customHeight="1" x14ac:dyDescent="0.2">
      <c r="B12" s="1191" t="str">
        <f>IFERROR(IF(INDEX('CIQ Advisors'!$B$8:$B$1048576,'CIQ Advisors'!$H$2+(ROW(B12)-ROW($B$5)-1))=0,"",INDEX('CIQ Advisors'!$B$8:$B$1048576,'CIQ Advisors'!$H$2+(ROW(B12)-ROW($B$5)-1))),"-")</f>
        <v>Mizuho Securities USA LLC</v>
      </c>
      <c r="C12" s="1192">
        <f>IFERROR(IF($B12&lt;&gt;"",INDEX('CIQ Advisors'!D$8:D$1048576,'CIQ Advisors'!$H$2+(ROW(C12)-ROW(C$5)-1)),""),"-")</f>
        <v>1</v>
      </c>
      <c r="D12" s="1193">
        <f>IFERROR(IF($B12&lt;&gt;"",INDEX('CIQ Advisors'!E$8:E$1048576,'CIQ Advisors'!$H$2+(ROW(D12)-ROW(D$5)-1)),""),"-")</f>
        <v>499.06</v>
      </c>
      <c r="E12" s="1194" t="str">
        <f>IFERROR(IF($B12&lt;&gt;"",TEXT(INDEX('CIQ Advisors'!F$8:F$1048576,'CIQ Advisors'!$H$2+(ROW(E12)-ROW(E$5)-1)),"DD MMM YYYY"),""),"-")</f>
        <v>01 Jun 2020</v>
      </c>
    </row>
    <row r="13" spans="1:5" s="681" customFormat="1" ht="15" customHeight="1" x14ac:dyDescent="0.2">
      <c r="B13" s="1191" t="str">
        <f>IFERROR(IF(INDEX('CIQ Advisors'!$B$8:$B$1048576,'CIQ Advisors'!$H$2+(ROW(B13)-ROW($B$5)-1))=0,"",INDEX('CIQ Advisors'!$B$8:$B$1048576,'CIQ Advisors'!$H$2+(ROW(B13)-ROW($B$5)-1))),"-")</f>
        <v>BofA Securities, Inc.</v>
      </c>
      <c r="C13" s="1192">
        <f>IFERROR(IF($B13&lt;&gt;"",INDEX('CIQ Advisors'!D$8:D$1048576,'CIQ Advisors'!$H$2+(ROW(C13)-ROW(C$5)-1)),""),"-")</f>
        <v>1</v>
      </c>
      <c r="D13" s="1193">
        <f>IFERROR(IF($B13&lt;&gt;"",INDEX('CIQ Advisors'!E$8:E$1048576,'CIQ Advisors'!$H$2+(ROW(D13)-ROW(D$5)-1)),""),"-")</f>
        <v>499.06</v>
      </c>
      <c r="E13" s="1194" t="str">
        <f>IFERROR(IF($B13&lt;&gt;"",TEXT(INDEX('CIQ Advisors'!F$8:F$1048576,'CIQ Advisors'!$H$2+(ROW(E13)-ROW(E$5)-1)),"DD MMM YYYY"),""),"-")</f>
        <v>01 Jun 2020</v>
      </c>
    </row>
    <row r="14" spans="1:5" s="655" customFormat="1" x14ac:dyDescent="0.2">
      <c r="B14" s="753"/>
      <c r="C14" s="754"/>
      <c r="D14" s="755"/>
      <c r="E14" s="756"/>
    </row>
    <row r="15" spans="1:5" ht="25.5" x14ac:dyDescent="0.2">
      <c r="B15" s="1436" t="s">
        <v>581</v>
      </c>
      <c r="C15" s="1437" t="s">
        <v>580</v>
      </c>
      <c r="D15" s="1437" t="str">
        <f>+"Total Value Disclosed ("&amp;Input!C6&amp;" mn)"</f>
        <v>Total Value Disclosed (USD mn)</v>
      </c>
      <c r="E15" s="1438" t="s">
        <v>579</v>
      </c>
    </row>
    <row r="16" spans="1:5" ht="15" customHeight="1" x14ac:dyDescent="0.2">
      <c r="B16" s="1195" t="str">
        <f>IFERROR(IF(INDEX('CIQ Advisors'!$B$8:$B$1048576,'CIQ Advisors'!$H$3+(ROW(B16)-ROW($B$15)-1))=0,"",INDEX('CIQ Advisors'!$B$8:$B$1048576,'CIQ Advisors'!$H$3+(ROW(B16)-ROW($B$15)-1))),"-")</f>
        <v>Dentons Europe, Association d'Avocats à Responsabilité Professionnelle Individuelle</v>
      </c>
      <c r="C16" s="1196">
        <f>IFERROR(IF($B16&lt;&gt;"",INDEX('CIQ Advisors'!D$8:D$1048576,'CIQ Advisors'!$H$3+(ROW(C16)-ROW(C$15)-1)),""),"-")</f>
        <v>2</v>
      </c>
      <c r="D16" s="1197">
        <f>IFERROR(IF($B16&lt;&gt;"",INDEX('CIQ Advisors'!E$8:E$1048576,'CIQ Advisors'!$H$3+(ROW(D16)-ROW(D$15)-1)),""),"-")</f>
        <v>253.13767999999999</v>
      </c>
      <c r="E16" s="1198" t="str">
        <f>IFERROR(IF($B16&lt;&gt;"",TEXT(INDEX('CIQ Advisors'!F$8:F$1048576,'CIQ Advisors'!$H$3+(ROW(E16)-ROW(E$15)-1)),"DD MMM YYYY"),""),"-")</f>
        <v>26 Oct 2021</v>
      </c>
    </row>
    <row r="17" spans="2:5" x14ac:dyDescent="0.2">
      <c r="B17" s="1195" t="str">
        <f>IFERROR(IF(INDEX('CIQ Advisors'!$B$8:$B$1048576,'CIQ Advisors'!$H$3+(ROW(B17)-ROW($B$15)-1))=0,"",INDEX('CIQ Advisors'!$B$8:$B$1048576,'CIQ Advisors'!$H$3+(ROW(B17)-ROW($B$15)-1))),"-")</f>
        <v>August Debouzy</v>
      </c>
      <c r="C17" s="1196">
        <f>IFERROR(IF($B17&lt;&gt;"",INDEX('CIQ Advisors'!D$8:D$1048576,'CIQ Advisors'!$H$3+(ROW(C17)-ROW(C$15)-1)),""),"-")</f>
        <v>16</v>
      </c>
      <c r="D17" s="1197">
        <f>IFERROR(IF($B17&lt;&gt;"",INDEX('CIQ Advisors'!E$8:E$1048576,'CIQ Advisors'!$H$3+(ROW(D17)-ROW(D$15)-1)),""),"-")</f>
        <v>2634.2028799999998</v>
      </c>
      <c r="E17" s="1198" t="str">
        <f>IFERROR(IF($B17&lt;&gt;"",TEXT(INDEX('CIQ Advisors'!F$8:F$1048576,'CIQ Advisors'!$H$3+(ROW(E17)-ROW(E$15)-1)),"DD MMM YYYY"),""),"-")</f>
        <v>26 Oct 2021</v>
      </c>
    </row>
    <row r="18" spans="2:5" x14ac:dyDescent="0.2">
      <c r="B18" s="1195" t="str">
        <f>IFERROR(IF(INDEX('CIQ Advisors'!$B$8:$B$1048576,'CIQ Advisors'!$H$3+(ROW(B18)-ROW($B$15)-1))=0,"",INDEX('CIQ Advisors'!$B$8:$B$1048576,'CIQ Advisors'!$H$3+(ROW(B18)-ROW($B$15)-1))),"-")</f>
        <v>Sidley Austin LLP</v>
      </c>
      <c r="C18" s="1196">
        <f>IFERROR(IF($B18&lt;&gt;"",INDEX('CIQ Advisors'!D$8:D$1048576,'CIQ Advisors'!$H$3+(ROW(C18)-ROW(C$15)-1)),""),"-")</f>
        <v>1</v>
      </c>
      <c r="D18" s="1197">
        <f>IFERROR(IF($B18&lt;&gt;"",INDEX('CIQ Advisors'!E$8:E$1048576,'CIQ Advisors'!$H$3+(ROW(D18)-ROW(D$15)-1)),""),"-")</f>
        <v>60</v>
      </c>
      <c r="E18" s="1198" t="str">
        <f>IFERROR(IF($B18&lt;&gt;"",TEXT(INDEX('CIQ Advisors'!F$8:F$1048576,'CIQ Advisors'!$H$3+(ROW(E18)-ROW(E$15)-1)),"DD MMM YYYY"),""),"-")</f>
        <v>28 Jun 2021</v>
      </c>
    </row>
    <row r="19" spans="2:5" x14ac:dyDescent="0.2">
      <c r="B19" s="1195" t="str">
        <f>IFERROR(IF(INDEX('CIQ Advisors'!$B$8:$B$1048576,'CIQ Advisors'!$H$3+(ROW(B19)-ROW($B$15)-1))=0,"",INDEX('CIQ Advisors'!$B$8:$B$1048576,'CIQ Advisors'!$H$3+(ROW(B19)-ROW($B$15)-1))),"-")</f>
        <v>Goodwin Procter LLP</v>
      </c>
      <c r="C19" s="1196">
        <f>IFERROR(IF($B19&lt;&gt;"",INDEX('CIQ Advisors'!D$8:D$1048576,'CIQ Advisors'!$H$3+(ROW(C19)-ROW(C$15)-1)),""),"-")</f>
        <v>4</v>
      </c>
      <c r="D19" s="1197">
        <f>IFERROR(IF($B19&lt;&gt;"",INDEX('CIQ Advisors'!E$8:E$1048576,'CIQ Advisors'!$H$3+(ROW(D19)-ROW(D$15)-1)),""),"-")</f>
        <v>1844.127</v>
      </c>
      <c r="E19" s="1198" t="str">
        <f>IFERROR(IF($B19&lt;&gt;"",TEXT(INDEX('CIQ Advisors'!F$8:F$1048576,'CIQ Advisors'!$H$3+(ROW(E19)-ROW(E$15)-1)),"DD MMM YYYY"),""),"-")</f>
        <v>03 Mar 2021</v>
      </c>
    </row>
    <row r="20" spans="2:5" x14ac:dyDescent="0.2">
      <c r="B20" s="1195" t="str">
        <f>IFERROR(IF(INDEX('CIQ Advisors'!$B$8:$B$1048576,'CIQ Advisors'!$H$3+(ROW(B20)-ROW($B$15)-1))=0,"",INDEX('CIQ Advisors'!$B$8:$B$1048576,'CIQ Advisors'!$H$3+(ROW(B20)-ROW($B$15)-1))),"-")</f>
        <v>Freshfields Bruckhaus Deringer US LLP</v>
      </c>
      <c r="C20" s="1196">
        <f>IFERROR(IF($B20&lt;&gt;"",INDEX('CIQ Advisors'!D$8:D$1048576,'CIQ Advisors'!$H$3+(ROW(C20)-ROW(C$15)-1)),""),"-")</f>
        <v>1</v>
      </c>
      <c r="D20" s="1197">
        <f>IFERROR(IF($B20&lt;&gt;"",INDEX('CIQ Advisors'!E$8:E$1048576,'CIQ Advisors'!$H$3+(ROW(D20)-ROW(D$15)-1)),""),"-")</f>
        <v>695</v>
      </c>
      <c r="E20" s="1198" t="str">
        <f>IFERROR(IF($B20&lt;&gt;"",TEXT(INDEX('CIQ Advisors'!F$8:F$1048576,'CIQ Advisors'!$H$3+(ROW(E20)-ROW(E$15)-1)),"DD MMM YYYY"),""),"-")</f>
        <v>02 Mar 2021</v>
      </c>
    </row>
    <row r="21" spans="2:5" x14ac:dyDescent="0.2">
      <c r="B21" s="1195" t="str">
        <f>IFERROR(IF(INDEX('CIQ Advisors'!$B$8:$B$1048576,'CIQ Advisors'!$H$3+(ROW(B21)-ROW($B$15)-1))=0,"",INDEX('CIQ Advisors'!$B$8:$B$1048576,'CIQ Advisors'!$H$3+(ROW(B21)-ROW($B$15)-1))),"-")</f>
        <v>Cleary Gottlieb Steen &amp; Hamilton LLP</v>
      </c>
      <c r="C21" s="1196">
        <f>IFERROR(IF($B21&lt;&gt;"",INDEX('CIQ Advisors'!D$8:D$1048576,'CIQ Advisors'!$H$3+(ROW(C21)-ROW(C$15)-1)),""),"-")</f>
        <v>2</v>
      </c>
      <c r="D21" s="1197">
        <f>IFERROR(IF($B21&lt;&gt;"",INDEX('CIQ Advisors'!E$8:E$1048576,'CIQ Advisors'!$H$3+(ROW(D21)-ROW(D$15)-1)),""),"-")</f>
        <v>1865</v>
      </c>
      <c r="E21" s="1198" t="str">
        <f>IFERROR(IF($B21&lt;&gt;"",TEXT(INDEX('CIQ Advisors'!F$8:F$1048576,'CIQ Advisors'!$H$3+(ROW(E21)-ROW(E$15)-1)),"DD MMM YYYY"),""),"-")</f>
        <v>02 Mar 2021</v>
      </c>
    </row>
    <row r="22" spans="2:5" x14ac:dyDescent="0.2">
      <c r="B22" s="1195" t="str">
        <f>IFERROR(IF(INDEX('CIQ Advisors'!$B$8:$B$1048576,'CIQ Advisors'!$H$3+(ROW(B22)-ROW($B$15)-1))=0,"",INDEX('CIQ Advisors'!$B$8:$B$1048576,'CIQ Advisors'!$H$3+(ROW(B22)-ROW($B$15)-1))),"-")</f>
        <v>Baker &amp; McKenzie France</v>
      </c>
      <c r="C22" s="1196">
        <f>IFERROR(IF($B22&lt;&gt;"",INDEX('CIQ Advisors'!D$8:D$1048576,'CIQ Advisors'!$H$3+(ROW(C22)-ROW(C$15)-1)),""),"-")</f>
        <v>1</v>
      </c>
      <c r="D22" s="1197">
        <f>IFERROR(IF($B22&lt;&gt;"",INDEX('CIQ Advisors'!E$8:E$1048576,'CIQ Advisors'!$H$3+(ROW(D22)-ROW(D$15)-1)),""),"-")</f>
        <v>88.5</v>
      </c>
      <c r="E22" s="1198" t="str">
        <f>IFERROR(IF($B22&lt;&gt;"",TEXT(INDEX('CIQ Advisors'!F$8:F$1048576,'CIQ Advisors'!$H$3+(ROW(E22)-ROW(E$15)-1)),"DD MMM YYYY"),""),"-")</f>
        <v>16 May 2019</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dimension ref="A1:I20"/>
  <sheetViews>
    <sheetView showGridLines="0" workbookViewId="0">
      <selection activeCell="A20" sqref="A20:F20"/>
    </sheetView>
  </sheetViews>
  <sheetFormatPr defaultColWidth="9" defaultRowHeight="14.25" outlineLevelRow="1" x14ac:dyDescent="0.2"/>
  <cols>
    <col min="1" max="1" width="36.75" customWidth="1"/>
    <col min="2" max="2" width="10.5" customWidth="1"/>
    <col min="3" max="3" width="10.625" customWidth="1"/>
    <col min="4" max="4" width="10.25" bestFit="1" customWidth="1"/>
    <col min="5" max="5" width="33.75" customWidth="1"/>
    <col min="6" max="6" width="34.25" customWidth="1"/>
    <col min="7" max="7" width="14.25" customWidth="1"/>
    <col min="8" max="9" width="20.5" customWidth="1"/>
    <col min="10" max="16384" width="9" style="23"/>
  </cols>
  <sheetData>
    <row r="1" spans="1:9" s="19" customFormat="1" ht="13.5" outlineLevel="1" thickBot="1" x14ac:dyDescent="0.25">
      <c r="A1" s="1310"/>
      <c r="B1" s="1311" t="str">
        <f>Input!C6</f>
        <v>USD</v>
      </c>
      <c r="C1" s="1311" t="s">
        <v>1317</v>
      </c>
      <c r="D1" s="1312"/>
      <c r="E1" s="1313"/>
      <c r="F1" s="1310"/>
    </row>
    <row r="2" spans="1:9" ht="18" customHeight="1" x14ac:dyDescent="0.2">
      <c r="A2" s="1252" t="s">
        <v>1020</v>
      </c>
      <c r="B2" s="1314"/>
      <c r="C2" s="1314"/>
      <c r="D2" s="1315"/>
      <c r="E2" s="1316"/>
      <c r="F2" s="1275" t="str">
        <f>Input!$C$9</f>
        <v>Walmart Inc.</v>
      </c>
      <c r="G2" s="772"/>
      <c r="H2" s="772"/>
    </row>
    <row r="3" spans="1:9" x14ac:dyDescent="0.2">
      <c r="A3" s="23"/>
      <c r="B3" s="897"/>
      <c r="C3" s="897"/>
      <c r="D3" s="768"/>
      <c r="E3" s="762"/>
      <c r="F3" s="23"/>
      <c r="G3" s="23"/>
      <c r="H3" s="23"/>
      <c r="I3" s="23"/>
    </row>
    <row r="4" spans="1:9" ht="51" x14ac:dyDescent="0.2">
      <c r="A4" s="1439" t="s">
        <v>1165</v>
      </c>
      <c r="B4" s="1440" t="s">
        <v>1015</v>
      </c>
      <c r="C4" s="1441" t="s">
        <v>1147</v>
      </c>
      <c r="D4" s="1442" t="str">
        <f>"Total Transaction Value" &amp; CHAR(10) &amp;"(in " &amp; $B$1 &amp; " mn)"</f>
        <v>Total Transaction Value
(in USD mn)</v>
      </c>
      <c r="E4" s="1443" t="s">
        <v>639</v>
      </c>
      <c r="F4" s="1444" t="s">
        <v>638</v>
      </c>
      <c r="G4" s="23"/>
      <c r="H4" s="23"/>
      <c r="I4" s="23"/>
    </row>
    <row r="5" spans="1:9" ht="5.0999999999999996" customHeight="1" x14ac:dyDescent="0.2">
      <c r="A5" s="571"/>
      <c r="B5" s="898"/>
      <c r="C5" s="898"/>
      <c r="D5" s="771"/>
      <c r="E5" s="763"/>
      <c r="F5" s="571"/>
      <c r="G5" s="23"/>
      <c r="H5" s="23"/>
      <c r="I5" s="23"/>
    </row>
    <row r="6" spans="1:9" ht="15.75" x14ac:dyDescent="0.2">
      <c r="A6" s="1405" t="s">
        <v>1152</v>
      </c>
      <c r="B6" s="899"/>
      <c r="C6" s="899"/>
      <c r="D6" s="769"/>
      <c r="E6" s="530"/>
      <c r="F6" s="530"/>
      <c r="G6" s="23"/>
      <c r="H6" s="23"/>
      <c r="I6" s="23"/>
    </row>
    <row r="7" spans="1:9" x14ac:dyDescent="0.2">
      <c r="A7" s="652" t="str">
        <f>IFERROR(INDEX('CIQ M&amp;A Transactions'!$B$6:$W$26, MATCH(ROW(A7)-ROW(A$6),'CIQ M&amp;A Transactions'!$V$6:$V$26,0),MATCH(A$4,'CIQ M&amp;A Transactions'!$B$6:$W$6,0)),"-")</f>
        <v>Botmock</v>
      </c>
      <c r="B7" s="900">
        <f>IFERROR(INDEX('CIQ M&amp;A Transactions'!$B$6:$W$26, MATCH(ROW(B7)-ROW(B$6),'CIQ M&amp;A Transactions'!$V$6:$V$26,0),MATCH(B$4,'CIQ M&amp;A Transactions'!$B$6:$W$6,0)),"-")</f>
        <v>44502</v>
      </c>
      <c r="C7" s="900" t="str">
        <f>IFERROR(INDEX('CIQ M&amp;A Transactions'!$B$6:$W$26, MATCH(ROW(C7)-ROW(C$6),'CIQ M&amp;A Transactions'!$V$6:$V$26,0),MATCH(C$4,'CIQ M&amp;A Transactions'!$B$6:$W$6,0)),"-")</f>
        <v>-</v>
      </c>
      <c r="D7" s="770" t="str">
        <f>IFERROR(INDEX('CIQ M&amp;A Transactions'!$B$6:$W$26, MATCH(ROW(D7)-ROW(D$6),'CIQ M&amp;A Transactions'!$V$6:$V$26,0),MATCH(D$4,'CIQ M&amp;A Transactions'!$B$6:$W$6,0)),"-")</f>
        <v>-</v>
      </c>
      <c r="E7" s="652">
        <f>IFERROR(INDEX('CIQ M&amp;A Transactions'!$B$6:$W$26, MATCH(ROW(E7)-ROW(E$6),'CIQ M&amp;A Transactions'!$V$6:$V$26,0),MATCH(E$4,'CIQ M&amp;A Transactions'!$B$6:$W$6,0)),"-")</f>
        <v>0</v>
      </c>
      <c r="F7" s="652">
        <f>IFERROR(INDEX('CIQ M&amp;A Transactions'!$B$6:$W$26, MATCH(ROW(F7)-ROW(F$6),'CIQ M&amp;A Transactions'!$V$6:$V$26,0),MATCH(F$4,'CIQ M&amp;A Transactions'!$B$6:$W$6,0)),"-")</f>
        <v>0</v>
      </c>
      <c r="G7" s="23"/>
      <c r="H7" s="23"/>
      <c r="I7" s="23"/>
    </row>
    <row r="8" spans="1:9" x14ac:dyDescent="0.2">
      <c r="A8" s="652" t="str">
        <f>IFERROR(INDEX('CIQ M&amp;A Transactions'!$B$6:$W$26, MATCH(ROW(A8)-ROW(A$6),'CIQ M&amp;A Transactions'!$V$6:$V$26,0),MATCH(A$4,'CIQ M&amp;A Transactions'!$B$6:$W$6,0)),"-")</f>
        <v>Zeekit Online Shopping Ltd.</v>
      </c>
      <c r="B8" s="900">
        <f>IFERROR(INDEX('CIQ M&amp;A Transactions'!$B$6:$W$26, MATCH(ROW(B8)-ROW(B$6),'CIQ M&amp;A Transactions'!$V$6:$V$26,0),MATCH(B$4,'CIQ M&amp;A Transactions'!$B$6:$W$6,0)),"-")</f>
        <v>44329</v>
      </c>
      <c r="C8" s="900">
        <f>IFERROR(INDEX('CIQ M&amp;A Transactions'!$B$6:$W$26, MATCH(ROW(C8)-ROW(C$6),'CIQ M&amp;A Transactions'!$V$6:$V$26,0),MATCH(C$4,'CIQ M&amp;A Transactions'!$B$6:$W$6,0)),"-")</f>
        <v>44336</v>
      </c>
      <c r="D8" s="770" t="str">
        <f>IFERROR(INDEX('CIQ M&amp;A Transactions'!$B$6:$W$26, MATCH(ROW(D8)-ROW(D$6),'CIQ M&amp;A Transactions'!$V$6:$V$26,0),MATCH(D$4,'CIQ M&amp;A Transactions'!$B$6:$W$6,0)),"-")</f>
        <v>-</v>
      </c>
      <c r="E8" s="652">
        <f>IFERROR(INDEX('CIQ M&amp;A Transactions'!$B$6:$W$26, MATCH(ROW(E8)-ROW(E$6),'CIQ M&amp;A Transactions'!$V$6:$V$26,0),MATCH(E$4,'CIQ M&amp;A Transactions'!$B$6:$W$6,0)),"-")</f>
        <v>0</v>
      </c>
      <c r="F8" s="652" t="str">
        <f>IFERROR(INDEX('CIQ M&amp;A Transactions'!$B$6:$W$26, MATCH(ROW(F8)-ROW(F$6),'CIQ M&amp;A Transactions'!$V$6:$V$26,0),MATCH(F$4,'CIQ M&amp;A Transactions'!$B$6:$W$6,0)),"-")</f>
        <v>Morrison &amp; Foerster LLP</v>
      </c>
      <c r="G8" s="23"/>
      <c r="H8" s="23"/>
      <c r="I8" s="23"/>
    </row>
    <row r="9" spans="1:9" ht="25.5" x14ac:dyDescent="0.2">
      <c r="A9" s="652" t="str">
        <f>IFERROR(INDEX('CIQ M&amp;A Transactions'!$B$6:$W$26, MATCH(ROW(A9)-ROW(A$6),'CIQ M&amp;A Transactions'!$V$6:$V$26,0),MATCH(A$4,'CIQ M&amp;A Transactions'!$B$6:$W$6,0)),"-")</f>
        <v>WI Harper Group; KLP Enterprises; Wavemaker Partners, LLC</v>
      </c>
      <c r="B9" s="900">
        <f>IFERROR(INDEX('CIQ M&amp;A Transactions'!$B$6:$W$26, MATCH(ROW(B9)-ROW(B$6),'CIQ M&amp;A Transactions'!$V$6:$V$26,0),MATCH(B$4,'CIQ M&amp;A Transactions'!$B$6:$W$6,0)),"-")</f>
        <v>44231</v>
      </c>
      <c r="C9" s="900">
        <f>IFERROR(INDEX('CIQ M&amp;A Transactions'!$B$6:$W$26, MATCH(ROW(C9)-ROW(C$6),'CIQ M&amp;A Transactions'!$V$6:$V$26,0),MATCH(C$4,'CIQ M&amp;A Transactions'!$B$6:$W$6,0)),"-")</f>
        <v>44231</v>
      </c>
      <c r="D9" s="770" t="str">
        <f>IFERROR(INDEX('CIQ M&amp;A Transactions'!$B$6:$W$26, MATCH(ROW(D9)-ROW(D$6),'CIQ M&amp;A Transactions'!$V$6:$V$26,0),MATCH(D$4,'CIQ M&amp;A Transactions'!$B$6:$W$6,0)),"-")</f>
        <v>-</v>
      </c>
      <c r="E9" s="652">
        <f>IFERROR(INDEX('CIQ M&amp;A Transactions'!$B$6:$W$26, MATCH(ROW(E9)-ROW(E$6),'CIQ M&amp;A Transactions'!$V$6:$V$26,0),MATCH(E$4,'CIQ M&amp;A Transactions'!$B$6:$W$6,0)),"-")</f>
        <v>0</v>
      </c>
      <c r="F9" s="652">
        <f>IFERROR(INDEX('CIQ M&amp;A Transactions'!$B$6:$W$26, MATCH(ROW(F9)-ROW(F$6),'CIQ M&amp;A Transactions'!$V$6:$V$26,0),MATCH(F$4,'CIQ M&amp;A Transactions'!$B$6:$W$6,0)),"-")</f>
        <v>0</v>
      </c>
      <c r="H9" s="23"/>
      <c r="I9" s="23"/>
    </row>
    <row r="10" spans="1:9" ht="25.5" x14ac:dyDescent="0.2">
      <c r="A10" s="652" t="str">
        <f>IFERROR(INDEX('CIQ M&amp;A Transactions'!$B$6:$W$26, MATCH(ROW(A10)-ROW(A$6),'CIQ M&amp;A Transactions'!$V$6:$V$26,0),MATCH(A$4,'CIQ M&amp;A Transactions'!$B$6:$W$6,0)),"-")</f>
        <v>Floodgate Fund, LP; Morado Venture Partners; Tuesday Capital; Visionnaire Ventures</v>
      </c>
      <c r="B10" s="900">
        <f>IFERROR(INDEX('CIQ M&amp;A Transactions'!$B$6:$W$26, MATCH(ROW(B10)-ROW(B$6),'CIQ M&amp;A Transactions'!$V$6:$V$26,0),MATCH(B$4,'CIQ M&amp;A Transactions'!$B$6:$W$6,0)),"-")</f>
        <v>44155</v>
      </c>
      <c r="C10" s="900" t="str">
        <f>IFERROR(INDEX('CIQ M&amp;A Transactions'!$B$6:$W$26, MATCH(ROW(C10)-ROW(C$6),'CIQ M&amp;A Transactions'!$V$6:$V$26,0),MATCH(C$4,'CIQ M&amp;A Transactions'!$B$6:$W$6,0)),"-")</f>
        <v>-</v>
      </c>
      <c r="D10" s="770" t="str">
        <f>IFERROR(INDEX('CIQ M&amp;A Transactions'!$B$6:$W$26, MATCH(ROW(D10)-ROW(D$6),'CIQ M&amp;A Transactions'!$V$6:$V$26,0),MATCH(D$4,'CIQ M&amp;A Transactions'!$B$6:$W$6,0)),"-")</f>
        <v>-</v>
      </c>
      <c r="E10" s="652">
        <f>IFERROR(INDEX('CIQ M&amp;A Transactions'!$B$6:$W$26, MATCH(ROW(E10)-ROW(E$6),'CIQ M&amp;A Transactions'!$V$6:$V$26,0),MATCH(E$4,'CIQ M&amp;A Transactions'!$B$6:$W$6,0)),"-")</f>
        <v>0</v>
      </c>
      <c r="F10" s="652">
        <f>IFERROR(INDEX('CIQ M&amp;A Transactions'!$B$6:$W$26, MATCH(ROW(F10)-ROW(F$6),'CIQ M&amp;A Transactions'!$V$6:$V$26,0),MATCH(F$4,'CIQ M&amp;A Transactions'!$B$6:$W$6,0)),"-")</f>
        <v>0</v>
      </c>
      <c r="H10" s="23"/>
      <c r="I10" s="23"/>
    </row>
    <row r="11" spans="1:9" x14ac:dyDescent="0.2">
      <c r="A11" s="652" t="str">
        <f>IFERROR(INDEX('CIQ M&amp;A Transactions'!$B$6:$W$26, MATCH(ROW(A11)-ROW(A$6),'CIQ M&amp;A Transactions'!$V$6:$V$26,0),MATCH(A$4,'CIQ M&amp;A Transactions'!$B$6:$W$6,0)),"-")</f>
        <v>Aspectiva Ltd.</v>
      </c>
      <c r="B11" s="900">
        <f>IFERROR(INDEX('CIQ M&amp;A Transactions'!$B$6:$W$26, MATCH(ROW(B11)-ROW(B$6),'CIQ M&amp;A Transactions'!$V$6:$V$26,0),MATCH(B$4,'CIQ M&amp;A Transactions'!$B$6:$W$6,0)),"-")</f>
        <v>43521</v>
      </c>
      <c r="C11" s="900">
        <f>IFERROR(INDEX('CIQ M&amp;A Transactions'!$B$6:$W$26, MATCH(ROW(C11)-ROW(C$6),'CIQ M&amp;A Transactions'!$V$6:$V$26,0),MATCH(C$4,'CIQ M&amp;A Transactions'!$B$6:$W$6,0)),"-")</f>
        <v>43521</v>
      </c>
      <c r="D11" s="770" t="str">
        <f>IFERROR(INDEX('CIQ M&amp;A Transactions'!$B$6:$W$26, MATCH(ROW(D11)-ROW(D$6),'CIQ M&amp;A Transactions'!$V$6:$V$26,0),MATCH(D$4,'CIQ M&amp;A Transactions'!$B$6:$W$6,0)),"-")</f>
        <v>-</v>
      </c>
      <c r="E11" s="652">
        <f>IFERROR(INDEX('CIQ M&amp;A Transactions'!$B$6:$W$26, MATCH(ROW(E11)-ROW(E$6),'CIQ M&amp;A Transactions'!$V$6:$V$26,0),MATCH(E$4,'CIQ M&amp;A Transactions'!$B$6:$W$6,0)),"-")</f>
        <v>0</v>
      </c>
      <c r="F11" s="652">
        <f>IFERROR(INDEX('CIQ M&amp;A Transactions'!$B$6:$W$26, MATCH(ROW(F11)-ROW(F$6),'CIQ M&amp;A Transactions'!$V$6:$V$26,0),MATCH(F$4,'CIQ M&amp;A Transactions'!$B$6:$W$6,0)),"-")</f>
        <v>0</v>
      </c>
      <c r="H11" s="23"/>
      <c r="I11" s="23"/>
    </row>
    <row r="12" spans="1:9" ht="25.5" x14ac:dyDescent="0.2">
      <c r="A12" s="652" t="str">
        <f>IFERROR(INDEX('CIQ M&amp;A Transactions'!$B$6:$W$26, MATCH(ROW(A12)-ROW(A$6),'CIQ M&amp;A Transactions'!$V$6:$V$26,0),MATCH(A$4,'CIQ M&amp;A Transactions'!$B$6:$W$6,0)),"-")</f>
        <v>Polaris Venture Partners, Inc.; Saints Capital Services, LLC</v>
      </c>
      <c r="B12" s="900">
        <f>IFERROR(INDEX('CIQ M&amp;A Transactions'!$B$6:$W$26, MATCH(ROW(B12)-ROW(B$6),'CIQ M&amp;A Transactions'!$V$6:$V$26,0),MATCH(B$4,'CIQ M&amp;A Transactions'!$B$6:$W$6,0)),"-")</f>
        <v>43440</v>
      </c>
      <c r="C12" s="900">
        <f>IFERROR(INDEX('CIQ M&amp;A Transactions'!$B$6:$W$26, MATCH(ROW(C12)-ROW(C$6),'CIQ M&amp;A Transactions'!$V$6:$V$26,0),MATCH(C$4,'CIQ M&amp;A Transactions'!$B$6:$W$6,0)),"-")</f>
        <v>43465</v>
      </c>
      <c r="D12" s="770" t="str">
        <f>IFERROR(INDEX('CIQ M&amp;A Transactions'!$B$6:$W$26, MATCH(ROW(D12)-ROW(D$6),'CIQ M&amp;A Transactions'!$V$6:$V$26,0),MATCH(D$4,'CIQ M&amp;A Transactions'!$B$6:$W$6,0)),"-")</f>
        <v>-</v>
      </c>
      <c r="E12" s="652">
        <f>IFERROR(INDEX('CIQ M&amp;A Transactions'!$B$6:$W$26, MATCH(ROW(E12)-ROW(E$6),'CIQ M&amp;A Transactions'!$V$6:$V$26,0),MATCH(E$4,'CIQ M&amp;A Transactions'!$B$6:$W$6,0)),"-")</f>
        <v>0</v>
      </c>
      <c r="F12" s="652" t="str">
        <f>IFERROR(INDEX('CIQ M&amp;A Transactions'!$B$6:$W$26, MATCH(ROW(F12)-ROW(F$6),'CIQ M&amp;A Transactions'!$V$6:$V$26,0),MATCH(F$4,'CIQ M&amp;A Transactions'!$B$6:$W$6,0)),"-")</f>
        <v>Morrison &amp; Foerster LLP</v>
      </c>
    </row>
    <row r="13" spans="1:9" x14ac:dyDescent="0.2">
      <c r="A13" s="652" t="str">
        <f>IFERROR(INDEX('CIQ M&amp;A Transactions'!$B$6:$W$26, MATCH(ROW(A13)-ROW(A$6),'CIQ M&amp;A Transactions'!$V$6:$V$26,0),MATCH(A$4,'CIQ M&amp;A Transactions'!$B$6:$W$6,0)),"-")</f>
        <v>BareWeb, Inc.</v>
      </c>
      <c r="B13" s="900">
        <f>IFERROR(INDEX('CIQ M&amp;A Transactions'!$B$6:$W$26, MATCH(ROW(B13)-ROW(B$6),'CIQ M&amp;A Transactions'!$V$6:$V$26,0),MATCH(B$4,'CIQ M&amp;A Transactions'!$B$6:$W$6,0)),"-")</f>
        <v>43385</v>
      </c>
      <c r="C13" s="900">
        <f>IFERROR(INDEX('CIQ M&amp;A Transactions'!$B$6:$W$26, MATCH(ROW(C13)-ROW(C$6),'CIQ M&amp;A Transactions'!$V$6:$V$26,0),MATCH(C$4,'CIQ M&amp;A Transactions'!$B$6:$W$6,0)),"-")</f>
        <v>43385</v>
      </c>
      <c r="D13" s="770" t="str">
        <f>IFERROR(INDEX('CIQ M&amp;A Transactions'!$B$6:$W$26, MATCH(ROW(D13)-ROW(D$6),'CIQ M&amp;A Transactions'!$V$6:$V$26,0),MATCH(D$4,'CIQ M&amp;A Transactions'!$B$6:$W$6,0)),"-")</f>
        <v>-</v>
      </c>
      <c r="E13" s="652">
        <f>IFERROR(INDEX('CIQ M&amp;A Transactions'!$B$6:$W$26, MATCH(ROW(E13)-ROW(E$6),'CIQ M&amp;A Transactions'!$V$6:$V$26,0),MATCH(E$4,'CIQ M&amp;A Transactions'!$B$6:$W$6,0)),"-")</f>
        <v>0</v>
      </c>
      <c r="F13" s="652" t="str">
        <f>IFERROR(INDEX('CIQ M&amp;A Transactions'!$B$6:$W$26, MATCH(ROW(F13)-ROW(F$6),'CIQ M&amp;A Transactions'!$V$6:$V$26,0),MATCH(F$4,'CIQ M&amp;A Transactions'!$B$6:$W$6,0)),"-")</f>
        <v>Morrison &amp; Foerster LLP</v>
      </c>
    </row>
    <row r="14" spans="1:9" x14ac:dyDescent="0.2">
      <c r="A14" s="652" t="str">
        <f>IFERROR(INDEX('CIQ M&amp;A Transactions'!$B$6:$W$26, MATCH(ROW(A14)-ROW(A$6),'CIQ M&amp;A Transactions'!$V$6:$V$26,0),MATCH(A$4,'CIQ M&amp;A Transactions'!$B$6:$W$6,0)),"-")</f>
        <v>Greycroft LP; FJ Labs, Inc.</v>
      </c>
      <c r="B14" s="900">
        <f>IFERROR(INDEX('CIQ M&amp;A Transactions'!$B$6:$W$26, MATCH(ROW(B14)-ROW(B$6),'CIQ M&amp;A Transactions'!$V$6:$V$26,0),MATCH(B$4,'CIQ M&amp;A Transactions'!$B$6:$W$6,0)),"-")</f>
        <v>43375</v>
      </c>
      <c r="C14" s="900">
        <f>IFERROR(INDEX('CIQ M&amp;A Transactions'!$B$6:$W$26, MATCH(ROW(C14)-ROW(C$6),'CIQ M&amp;A Transactions'!$V$6:$V$26,0),MATCH(C$4,'CIQ M&amp;A Transactions'!$B$6:$W$6,0)),"-")</f>
        <v>43465</v>
      </c>
      <c r="D14" s="770" t="str">
        <f>IFERROR(INDEX('CIQ M&amp;A Transactions'!$B$6:$W$26, MATCH(ROW(D14)-ROW(D$6),'CIQ M&amp;A Transactions'!$V$6:$V$26,0),MATCH(D$4,'CIQ M&amp;A Transactions'!$B$6:$W$6,0)),"-")</f>
        <v>-</v>
      </c>
      <c r="E14" s="652">
        <f>IFERROR(INDEX('CIQ M&amp;A Transactions'!$B$6:$W$26, MATCH(ROW(E14)-ROW(E$6),'CIQ M&amp;A Transactions'!$V$6:$V$26,0),MATCH(E$4,'CIQ M&amp;A Transactions'!$B$6:$W$6,0)),"-")</f>
        <v>0</v>
      </c>
      <c r="F14" s="652" t="str">
        <f>IFERROR(INDEX('CIQ M&amp;A Transactions'!$B$6:$W$26, MATCH(ROW(F14)-ROW(F$6),'CIQ M&amp;A Transactions'!$V$6:$V$26,0),MATCH(F$4,'CIQ M&amp;A Transactions'!$B$6:$W$6,0)),"-")</f>
        <v>Morrison &amp; Foerster LLP</v>
      </c>
    </row>
    <row r="15" spans="1:9" ht="267.75" x14ac:dyDescent="0.2">
      <c r="A15" s="652" t="str">
        <f>IFERROR(INDEX('CIQ M&amp;A Transactions'!$B$6:$W$26, MATCH(ROW(A15)-ROW(A$6),'CIQ M&amp;A Transactions'!$V$6:$V$26,0),MATCH(A$4,'CIQ M&amp;A Transactions'!$B$6:$W$6,0)),"-")</f>
        <v>Accel Partners; eBay Inc.; Fidelity Investments; The Vanguard Group, Inc.; Sofina Société Anonyme; Naspers Limited; Morgan Stanley Investment Management Inc.; Strategic Advisers LLC; Qatar Investment Authority; Morgan Stanley Institutional Fund, Inc. - Small Company Growth Portfolio (nka:Morgan Stanley Institutional Fund, Inc. - Inception Portfolio); Morgan Stanley Institutional Fund Trust - Mid Cap Growth Portfolio (nka:Morgan Stanley Institutional Fund Trust - Discovery Portfolio); Helion Venture Partners, LLC; Morgan Stanley Institutional Fund, Inc. - International Opportunity Portfolio; Fidelity Rutland Square Trust II - Strategic Advisers Growth Fund; Steadview Capital Management LLC; Inversiones Mobiliarias Y Desarrollo S.A.; DST Global; Morgan Stanley Institutional Fund, Inc. - Global Discovery Portfolio; C.Y.C., S.A.; SoftBank Vision Fund L.P.; SoftBank Investment Advisers (UK) Limited</v>
      </c>
      <c r="B15" s="900">
        <f>IFERROR(INDEX('CIQ M&amp;A Transactions'!$B$6:$W$26, MATCH(ROW(B15)-ROW(B$6),'CIQ M&amp;A Transactions'!$V$6:$V$26,0),MATCH(B$4,'CIQ M&amp;A Transactions'!$B$6:$W$6,0)),"-")</f>
        <v>43228</v>
      </c>
      <c r="C15" s="900">
        <f>IFERROR(INDEX('CIQ M&amp;A Transactions'!$B$6:$W$26, MATCH(ROW(C15)-ROW(C$6),'CIQ M&amp;A Transactions'!$V$6:$V$26,0),MATCH(C$4,'CIQ M&amp;A Transactions'!$B$6:$W$6,0)),"-")</f>
        <v>43330</v>
      </c>
      <c r="D15" s="770" t="str">
        <f>IFERROR(INDEX('CIQ M&amp;A Transactions'!$B$6:$W$26, MATCH(ROW(D15)-ROW(D$6),'CIQ M&amp;A Transactions'!$V$6:$V$26,0),MATCH(D$4,'CIQ M&amp;A Transactions'!$B$6:$W$6,0)),"-")</f>
        <v>-</v>
      </c>
      <c r="E15" s="652" t="str">
        <f>IFERROR(INDEX('CIQ M&amp;A Transactions'!$B$6:$W$26, MATCH(ROW(E15)-ROW(E$6),'CIQ M&amp;A Transactions'!$V$6:$V$26,0),MATCH(E$4,'CIQ M&amp;A Transactions'!$B$6:$W$6,0)),"-")</f>
        <v>Barclays Capital Inc.; J.P. Morgan Securities LLC</v>
      </c>
      <c r="F15" s="652" t="str">
        <f>IFERROR(INDEX('CIQ M&amp;A Transactions'!$B$6:$W$26, MATCH(ROW(F15)-ROW(F$6),'CIQ M&amp;A Transactions'!$V$6:$V$26,0),MATCH(F$4,'CIQ M&amp;A Transactions'!$B$6:$W$6,0)),"-")</f>
        <v>Gibson, Dunn &amp; Crutcher LLP; Hogan Lovells US LLP; Shardul Amarchand Mangaldas &amp; Co; WongPartnership LLP</v>
      </c>
    </row>
    <row r="16" spans="1:9" x14ac:dyDescent="0.2">
      <c r="A16" s="652" t="str">
        <f>IFERROR(INDEX('CIQ M&amp;A Transactions'!$B$6:$W$26, MATCH(ROW(A16)-ROW(A$6),'CIQ M&amp;A Transactions'!$V$6:$V$26,0),MATCH(A$4,'CIQ M&amp;A Transactions'!$B$6:$W$6,0)),"-")</f>
        <v>-</v>
      </c>
      <c r="B16" s="900" t="str">
        <f>IFERROR(INDEX('CIQ M&amp;A Transactions'!$B$6:$W$26, MATCH(ROW(B16)-ROW(B$6),'CIQ M&amp;A Transactions'!$V$6:$V$26,0),MATCH(B$4,'CIQ M&amp;A Transactions'!$B$6:$W$6,0)),"-")</f>
        <v>-</v>
      </c>
      <c r="C16" s="900" t="str">
        <f>IFERROR(INDEX('CIQ M&amp;A Transactions'!$B$6:$W$26, MATCH(ROW(C16)-ROW(C$6),'CIQ M&amp;A Transactions'!$V$6:$V$26,0),MATCH(C$4,'CIQ M&amp;A Transactions'!$B$6:$W$6,0)),"-")</f>
        <v>-</v>
      </c>
      <c r="D16" s="770" t="str">
        <f>IFERROR(INDEX('CIQ M&amp;A Transactions'!$B$6:$W$26, MATCH(ROW(D16)-ROW(D$6),'CIQ M&amp;A Transactions'!$V$6:$V$26,0),MATCH(D$4,'CIQ M&amp;A Transactions'!$B$6:$W$6,0)),"-")</f>
        <v>-</v>
      </c>
      <c r="E16" s="652" t="str">
        <f>IFERROR(INDEX('CIQ M&amp;A Transactions'!$B$6:$W$26, MATCH(ROW(E16)-ROW(E$6),'CIQ M&amp;A Transactions'!$V$6:$V$26,0),MATCH(E$4,'CIQ M&amp;A Transactions'!$B$6:$W$6,0)),"-")</f>
        <v>-</v>
      </c>
      <c r="F16" s="652" t="str">
        <f>IFERROR(INDEX('CIQ M&amp;A Transactions'!$B$6:$W$26, MATCH(ROW(F16)-ROW(F$6),'CIQ M&amp;A Transactions'!$V$6:$V$26,0),MATCH(F$4,'CIQ M&amp;A Transactions'!$B$6:$W$6,0)),"-")</f>
        <v>-</v>
      </c>
    </row>
    <row r="17" spans="1:6" ht="5.0999999999999996" customHeight="1" x14ac:dyDescent="0.2">
      <c r="A17" s="988"/>
      <c r="B17" s="989"/>
      <c r="C17" s="989"/>
      <c r="D17" s="990"/>
      <c r="E17" s="988"/>
      <c r="F17" s="988"/>
    </row>
    <row r="18" spans="1:6" ht="15.75" x14ac:dyDescent="0.2">
      <c r="A18" s="1405" t="s">
        <v>1153</v>
      </c>
      <c r="B18" s="899"/>
      <c r="C18" s="899"/>
      <c r="D18" s="769"/>
      <c r="E18" s="530"/>
      <c r="F18" s="530"/>
    </row>
    <row r="19" spans="1:6" x14ac:dyDescent="0.2">
      <c r="A19" s="652" t="str">
        <f>IFERROR(INDEX('CIQ M&amp;A Transactions'!$B$6:$W$26, MATCH(ROW(A19)-ROW(A$18),'CIQ M&amp;A Transactions'!$W$6:$W$26,0),MATCH(A$4,'CIQ M&amp;A Transactions'!$B$6:$W$6,0)),"-")</f>
        <v>Atacadão S.A.</v>
      </c>
      <c r="B19" s="900">
        <f>IFERROR(INDEX('CIQ M&amp;A Transactions'!$B$6:$W$26, MATCH(ROW(B19)-ROW(B$18),'CIQ M&amp;A Transactions'!$W$6:$W$26,0),MATCH(B$4,'CIQ M&amp;A Transactions'!$B$6:$W$6,0)),"-")</f>
        <v>44279</v>
      </c>
      <c r="C19" s="900" t="str">
        <f>IFERROR(INDEX('CIQ M&amp;A Transactions'!$B$6:$W$26, MATCH(ROW(C19)-ROW(C$18),'CIQ M&amp;A Transactions'!$W$6:$W$26,0),MATCH(C$4,'CIQ M&amp;A Transactions'!$B$6:$W$6,0)),"-")</f>
        <v>-</v>
      </c>
      <c r="D19" s="770" t="str">
        <f>IFERROR(INDEX('CIQ M&amp;A Transactions'!$B$6:$W$26, MATCH(ROW(D19)-ROW(D$18),'CIQ M&amp;A Transactions'!$W$6:$W$26,0),MATCH(D$4,'CIQ M&amp;A Transactions'!$B$6:$W$6,0)),"-")</f>
        <v>-</v>
      </c>
      <c r="E19" s="652">
        <f>IFERROR(INDEX('CIQ M&amp;A Transactions'!$B$6:$W$26, MATCH(ROW(E19)-ROW(E$18),'CIQ M&amp;A Transactions'!$W$6:$W$26,0),MATCH(E$4,'CIQ M&amp;A Transactions'!$B$6:$W$6,0)),"-")</f>
        <v>0</v>
      </c>
      <c r="F19" s="652">
        <f>IFERROR(INDEX('CIQ M&amp;A Transactions'!$B$6:$W$26, MATCH(ROW(F19)-ROW(F$18),'CIQ M&amp;A Transactions'!$W$6:$W$26,0),MATCH(F$4,'CIQ M&amp;A Transactions'!$B$6:$W$6,0)),"-")</f>
        <v>0</v>
      </c>
    </row>
    <row r="20" spans="1:6" x14ac:dyDescent="0.2">
      <c r="A20" s="652" t="str">
        <f>IFERROR(INDEX('CIQ M&amp;A Transactions'!$B$6:$W$26, MATCH(ROW(A20)-ROW(A$18),'CIQ M&amp;A Transactions'!$W$6:$W$26,0),MATCH(A$4,'CIQ M&amp;A Transactions'!$B$6:$W$6,0)),"-")</f>
        <v>KKR &amp; Co. Inc.; KKR Asian Fund III</v>
      </c>
      <c r="B20" s="900">
        <f>IFERROR(INDEX('CIQ M&amp;A Transactions'!$B$6:$W$26, MATCH(ROW(B20)-ROW(B$18),'CIQ M&amp;A Transactions'!$W$6:$W$26,0),MATCH(B$4,'CIQ M&amp;A Transactions'!$B$6:$W$6,0)),"-")</f>
        <v>44150</v>
      </c>
      <c r="C20" s="900">
        <f>IFERROR(INDEX('CIQ M&amp;A Transactions'!$B$6:$W$26, MATCH(ROW(C20)-ROW(C$18),'CIQ M&amp;A Transactions'!$W$6:$W$26,0),MATCH(C$4,'CIQ M&amp;A Transactions'!$B$6:$W$6,0)),"-")</f>
        <v>44256</v>
      </c>
      <c r="D20" s="770" t="str">
        <f>IFERROR(INDEX('CIQ M&amp;A Transactions'!$B$6:$W$26, MATCH(ROW(D20)-ROW(D$18),'CIQ M&amp;A Transactions'!$W$6:$W$26,0),MATCH(D$4,'CIQ M&amp;A Transactions'!$B$6:$W$6,0)),"-")</f>
        <v>-</v>
      </c>
      <c r="E20" s="652">
        <f>IFERROR(INDEX('CIQ M&amp;A Transactions'!$B$6:$W$26, MATCH(ROW(E20)-ROW(E$18),'CIQ M&amp;A Transactions'!$W$6:$W$26,0),MATCH(E$4,'CIQ M&amp;A Transactions'!$B$6:$W$6,0)),"-")</f>
        <v>0</v>
      </c>
      <c r="F20" s="652">
        <f>IFERROR(INDEX('CIQ M&amp;A Transactions'!$B$6:$W$26, MATCH(ROW(F20)-ROW(F$18),'CIQ M&amp;A Transactions'!$W$6:$W$26,0),MATCH(F$4,'CIQ M&amp;A Transactions'!$B$6:$W$6,0)),"-")</f>
        <v>0</v>
      </c>
    </row>
  </sheetData>
  <pageMargins left="0.7" right="0.7" top="0.75" bottom="0.75" header="0.3" footer="0.3"/>
  <pageSetup orientation="portrait" horizontalDpi="4294967295" verticalDpi="4294967295"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K1001"/>
  <sheetViews>
    <sheetView showGridLines="0" topLeftCell="A3" workbookViewId="0">
      <selection activeCell="A6" sqref="A6"/>
    </sheetView>
  </sheetViews>
  <sheetFormatPr defaultColWidth="9" defaultRowHeight="14.25" outlineLevelRow="1" outlineLevelCol="1" x14ac:dyDescent="0.2"/>
  <cols>
    <col min="1" max="1" width="37.75" style="511" customWidth="1"/>
    <col min="2" max="2" width="18.75" style="511" customWidth="1"/>
    <col min="3" max="3" width="57.25" style="511" customWidth="1"/>
    <col min="4" max="4" width="9" style="402" customWidth="1"/>
    <col min="5" max="5" width="2.625" style="402" hidden="1" customWidth="1" outlineLevel="1"/>
    <col min="6" max="6" width="4.625" style="402" hidden="1" customWidth="1" outlineLevel="1"/>
    <col min="7" max="7" width="14.25" style="402" hidden="1" customWidth="1" outlineLevel="1"/>
    <col min="8" max="9" width="9" style="402" hidden="1" customWidth="1" outlineLevel="1"/>
    <col min="10" max="10" width="11.5" style="402" hidden="1" customWidth="1" outlineLevel="1"/>
    <col min="11" max="11" width="9" style="402" collapsed="1"/>
    <col min="12" max="16384" width="9" style="402"/>
  </cols>
  <sheetData>
    <row r="1" spans="1:10" s="440" customFormat="1" ht="15" hidden="1" customHeight="1" outlineLevel="1" x14ac:dyDescent="0.2">
      <c r="A1" s="1317" t="s">
        <v>1297</v>
      </c>
      <c r="B1" s="1317" t="s">
        <v>1359</v>
      </c>
      <c r="C1" s="1317" t="s">
        <v>1360</v>
      </c>
      <c r="D1" s="422" t="s">
        <v>1361</v>
      </c>
      <c r="E1" s="422" t="s">
        <v>1362</v>
      </c>
      <c r="F1" s="422" t="s">
        <v>1363</v>
      </c>
      <c r="G1" s="422" t="s">
        <v>1364</v>
      </c>
      <c r="H1" s="422"/>
      <c r="I1" s="422"/>
      <c r="J1" s="422"/>
    </row>
    <row r="2" spans="1:10" s="440" customFormat="1" ht="15" hidden="1" customHeight="1" outlineLevel="1" thickBot="1" x14ac:dyDescent="0.25">
      <c r="A2" s="1317"/>
      <c r="B2" s="1318"/>
      <c r="C2" s="1318"/>
      <c r="D2" s="422"/>
      <c r="E2" s="422"/>
      <c r="F2" s="422"/>
      <c r="G2" s="422" t="s">
        <v>604</v>
      </c>
      <c r="H2" s="422">
        <v>22</v>
      </c>
      <c r="I2" s="422" t="s">
        <v>603</v>
      </c>
      <c r="J2" s="422">
        <f>+COUNTA('CIQ Key Developments'!C8:C111)</f>
        <v>71</v>
      </c>
    </row>
    <row r="3" spans="1:10" ht="20.100000000000001" customHeight="1" collapsed="1" x14ac:dyDescent="0.2">
      <c r="A3" s="1252" t="s">
        <v>1158</v>
      </c>
      <c r="B3" s="1252"/>
      <c r="C3" s="1275" t="str">
        <f>Input!$C$9</f>
        <v>Walmart Inc.</v>
      </c>
    </row>
    <row r="4" spans="1:10" x14ac:dyDescent="0.2">
      <c r="A4" s="392"/>
      <c r="B4" s="392"/>
      <c r="C4" s="392"/>
      <c r="E4" s="392"/>
    </row>
    <row r="5" spans="1:10" ht="12" customHeight="1" x14ac:dyDescent="0.2">
      <c r="A5" s="1513" t="str">
        <f>+VLOOKUP(E5,'CIQ Key Developments'!$B$8:$I$491,COLUMN('CIQ Key Developments'!$D$7)-COLUMN('CIQ Key Developments'!$B$7)+1,FALSE)</f>
        <v>Kona Gold Beverage, Inc. Begins Selling Ooh La Lemin Sparkling Lemonades in Walmart Stores</v>
      </c>
      <c r="B5" s="1514"/>
      <c r="C5" s="1515"/>
      <c r="E5" s="383">
        <v>1</v>
      </c>
      <c r="F5" s="7"/>
    </row>
    <row r="6" spans="1:10" ht="11.65" customHeight="1" x14ac:dyDescent="0.2">
      <c r="A6" s="1199" t="str">
        <f>+$C$3</f>
        <v>Walmart Inc.</v>
      </c>
      <c r="B6" s="1200" t="str">
        <f>VLOOKUP(E5,'CIQ Key Developments'!$B$8:$I$491,COLUMN('CIQ Key Developments'!$G$7)-COLUMN('CIQ Key Developments'!$B$7)+1,FALSE)&amp;" "&amp;VLOOKUP(E5,'CIQ Key Developments'!$B$8:$I$491,COLUMN('CIQ Key Developments'!$H$7)-COLUMN('CIQ Key Developments'!$B$7)+1,FALSE)</f>
        <v>22 Mar 2022 12:00 AM</v>
      </c>
      <c r="C6" s="1201" t="str">
        <f>+VLOOKUP(E5,'CIQ Key Developments'!$B$8:$I$491,COLUMN('CIQ Key Developments'!$E$7)-COLUMN('CIQ Key Developments'!$B$7)+1,FALSE)</f>
        <v>Client Announcements</v>
      </c>
      <c r="E6" s="383">
        <v>1</v>
      </c>
      <c r="F6" s="7">
        <v>175</v>
      </c>
    </row>
    <row r="7" spans="1:10" ht="11.65" customHeight="1" x14ac:dyDescent="0.2">
      <c r="A7" s="1202" t="str">
        <f>IF(MOD($F7,$H$2)&lt;$H$2-2,_xll.ciqfunctions.udf.CIQSPLIT(VLOOKUP(E7,'CIQ Key Developments'!$B$8:$I$491,COLUMN('CIQ Key Developments'!$F$7)-COLUMN('CIQ Key Developments'!$B$7)+1,FALSE),$F7,F$6),IF(MOD($F7,$H$2)=$H$2-2,"Source: "&amp;VLOOKUP(E7,'CIQ Key Developments'!$B$8:$I$491,COLUMN('CIQ Key Developments'!$I$7)-COLUMN('CIQ Key Developments'!$B$7)+1,FALSE),""))</f>
        <v>Kona Gold Beverage Inc. announced its wholly owned subsidiary, Gold Leaf Distribution, has begun to sell the Company’s new Sparkling Ooh La Lemin Lemonades into Walmart stores</v>
      </c>
      <c r="B7" s="1202"/>
      <c r="C7" s="1202"/>
      <c r="E7" s="383">
        <f t="shared" ref="E7:E70" si="0">+IF(F8=$F$6,E6+1,E6)</f>
        <v>1</v>
      </c>
      <c r="F7" s="7">
        <v>1</v>
      </c>
    </row>
    <row r="8" spans="1:10" ht="11.65" customHeight="1" x14ac:dyDescent="0.2">
      <c r="A8" s="1202" t="str">
        <f>IF(MOD($F8,$H$2)&lt;$H$2-2,_xll.ciqfunctions.udf.CIQSPLIT(VLOOKUP(E8,'CIQ Key Developments'!$B$8:$I$491,COLUMN('CIQ Key Developments'!$F$7)-COLUMN('CIQ Key Developments'!$B$7)+1,FALSE),$F8,F$6),IF(MOD($F8,$H$2)=$H$2-2,"Source: "&amp;VLOOKUP(E8,'CIQ Key Developments'!$B$8:$I$491,COLUMN('CIQ Key Developments'!$I$7)-COLUMN('CIQ Key Developments'!$B$7)+1,FALSE),""))</f>
        <v>in South Carolina. There are 110 Walmart store locations in South Carolina and Gold Leaf Distribution has been tasked to sell all 6 new flavors of Sparkling Ooh La Lemin</v>
      </c>
      <c r="B8" s="1202"/>
      <c r="C8" s="1202"/>
      <c r="E8" s="383">
        <f t="shared" si="0"/>
        <v>1</v>
      </c>
      <c r="F8" s="7">
        <f>+IF(F7&lt;$H$2,F7+1,IF(A8=$A$6,$F$6,1))</f>
        <v>2</v>
      </c>
    </row>
    <row r="9" spans="1:10" ht="11.65" hidden="1" customHeight="1" outlineLevel="1" x14ac:dyDescent="0.2">
      <c r="A9" s="1202" t="str">
        <f>IF(MOD($F9,$H$2)&lt;$H$2-2,_xll.ciqfunctions.udf.CIQSPLIT(VLOOKUP(E9,'CIQ Key Developments'!$B$8:$I$491,COLUMN('CIQ Key Developments'!$F$7)-COLUMN('CIQ Key Developments'!$B$7)+1,FALSE),$F9,F$6),IF(MOD($F9,$H$2)=$H$2-2,"Source: "&amp;VLOOKUP(E9,'CIQ Key Developments'!$B$8:$I$491,COLUMN('CIQ Key Developments'!$I$7)-COLUMN('CIQ Key Developments'!$B$7)+1,FALSE),""))</f>
        <v>Lemonades into those stores. The Company’s new 12 oz Sparkling Ooh La Lemin Lemonades are also authorized in all Walmart stores nationwide. Kona Gold Beverage announced earlier</v>
      </c>
      <c r="B9" s="1202"/>
      <c r="C9" s="1202"/>
      <c r="E9" s="383">
        <f t="shared" si="0"/>
        <v>1</v>
      </c>
      <c r="F9" s="7">
        <f t="shared" ref="F9:F72" si="1">+IF(F8&lt;$H$2,F8+1,IF(F8=$F$6,1,$F$6))</f>
        <v>3</v>
      </c>
    </row>
    <row r="10" spans="1:10" ht="11.65" hidden="1" customHeight="1" outlineLevel="1" x14ac:dyDescent="0.2">
      <c r="A10" s="1202" t="str">
        <f>IF(MOD($F10,$H$2)&lt;$H$2-2,_xll.ciqfunctions.udf.CIQSPLIT(VLOOKUP(E10,'CIQ Key Developments'!$B$8:$I$491,COLUMN('CIQ Key Developments'!$F$7)-COLUMN('CIQ Key Developments'!$B$7)+1,FALSE),$F10,F$6),IF(MOD($F10,$H$2)=$H$2-2,"Source: "&amp;VLOOKUP(E10,'CIQ Key Developments'!$B$8:$I$491,COLUMN('CIQ Key Developments'!$I$7)-COLUMN('CIQ Key Developments'!$B$7)+1,FALSE),""))</f>
        <v>this month that its popular non-sparkling Ooh La Lemin Lemonades will be sold in Walmart brick and mortar stores. The Company’s 16 oz Ooh La Lemin Lemonades, available in 4</v>
      </c>
      <c r="B10" s="1202"/>
      <c r="C10" s="1202"/>
      <c r="E10" s="383">
        <f t="shared" si="0"/>
        <v>1</v>
      </c>
      <c r="F10" s="7">
        <f t="shared" si="1"/>
        <v>4</v>
      </c>
    </row>
    <row r="11" spans="1:10" ht="11.65" hidden="1" customHeight="1" outlineLevel="1" x14ac:dyDescent="0.2">
      <c r="A11" s="1202" t="str">
        <f>IF(MOD($F11,$H$2)&lt;$H$2-2,_xll.ciqfunctions.udf.CIQSPLIT(VLOOKUP(E11,'CIQ Key Developments'!$B$8:$I$491,COLUMN('CIQ Key Developments'!$F$7)-COLUMN('CIQ Key Developments'!$B$7)+1,FALSE),$F11,F$6),IF(MOD($F11,$H$2)=$H$2-2,"Source: "&amp;VLOOKUP(E11,'CIQ Key Developments'!$B$8:$I$491,COLUMN('CIQ Key Developments'!$I$7)-COLUMN('CIQ Key Developments'!$B$7)+1,FALSE),""))</f>
        <v>flavors, will be included in modular sets in all stores with 12 ft or wider coolers in select states starting in June of 2022. Gold Leaf will also be tasked to launch and</v>
      </c>
      <c r="B11" s="1202"/>
      <c r="C11" s="1202"/>
      <c r="E11" s="383">
        <f t="shared" si="0"/>
        <v>1</v>
      </c>
      <c r="F11" s="7">
        <f t="shared" si="1"/>
        <v>5</v>
      </c>
    </row>
    <row r="12" spans="1:10" ht="11.65" hidden="1" customHeight="1" outlineLevel="1" x14ac:dyDescent="0.2">
      <c r="A12" s="1202" t="str">
        <f>IF(MOD($F12,$H$2)&lt;$H$2-2,_xll.ciqfunctions.udf.CIQSPLIT(VLOOKUP(E12,'CIQ Key Developments'!$B$8:$I$491,COLUMN('CIQ Key Developments'!$F$7)-COLUMN('CIQ Key Developments'!$B$7)+1,FALSE),$F12,F$6),IF(MOD($F12,$H$2)=$H$2-2,"Source: "&amp;VLOOKUP(E12,'CIQ Key Developments'!$B$8:$I$491,COLUMN('CIQ Key Developments'!$I$7)-COLUMN('CIQ Key Developments'!$B$7)+1,FALSE),""))</f>
        <v>distribute the 4 flavors in June across the state of South Carolina. The 4 flavors of Ooh La Lemin are also authorized in Walmart’s system nationwide, which will give the Company fire</v>
      </c>
      <c r="B12" s="1202"/>
      <c r="C12" s="1202"/>
      <c r="E12" s="383">
        <f t="shared" si="0"/>
        <v>1</v>
      </c>
      <c r="F12" s="7">
        <f t="shared" si="1"/>
        <v>6</v>
      </c>
    </row>
    <row r="13" spans="1:10" ht="11.65" hidden="1" customHeight="1" outlineLevel="1" x14ac:dyDescent="0.2">
      <c r="A13" s="1202" t="str">
        <f>IF(MOD($F13,$H$2)&lt;$H$2-2,_xll.ciqfunctions.udf.CIQSPLIT(VLOOKUP(E13,'CIQ Key Developments'!$B$8:$I$491,COLUMN('CIQ Key Developments'!$F$7)-COLUMN('CIQ Key Developments'!$B$7)+1,FALSE),$F13,F$6),IF(MOD($F13,$H$2)=$H$2-2,"Source: "&amp;VLOOKUP(E13,'CIQ Key Developments'!$B$8:$I$491,COLUMN('CIQ Key Developments'!$I$7)-COLUMN('CIQ Key Developments'!$B$7)+1,FALSE),""))</f>
        <v>power to secure distribution in states where it’s currently lacking.</v>
      </c>
      <c r="B13" s="1202"/>
      <c r="C13" s="1202"/>
      <c r="E13" s="383">
        <f t="shared" si="0"/>
        <v>1</v>
      </c>
      <c r="F13" s="7">
        <f t="shared" si="1"/>
        <v>7</v>
      </c>
    </row>
    <row r="14" spans="1:10" ht="11.65" hidden="1" customHeight="1" outlineLevel="1" x14ac:dyDescent="0.2">
      <c r="A14" s="1202" t="str">
        <f>IF(MOD($F14,$H$2)&lt;$H$2-2,_xll.ciqfunctions.udf.CIQSPLIT(VLOOKUP(E14,'CIQ Key Developments'!$B$8:$I$491,COLUMN('CIQ Key Developments'!$F$7)-COLUMN('CIQ Key Developments'!$B$7)+1,FALSE),$F14,F$6),IF(MOD($F14,$H$2)=$H$2-2,"Source: "&amp;VLOOKUP(E14,'CIQ Key Developments'!$B$8:$I$491,COLUMN('CIQ Key Developments'!$I$7)-COLUMN('CIQ Key Developments'!$B$7)+1,FALSE),""))</f>
        <v/>
      </c>
      <c r="B14" s="1202"/>
      <c r="C14" s="1202"/>
      <c r="E14" s="383">
        <f t="shared" si="0"/>
        <v>1</v>
      </c>
      <c r="F14" s="7">
        <f t="shared" si="1"/>
        <v>8</v>
      </c>
    </row>
    <row r="15" spans="1:10" ht="11.65" hidden="1" customHeight="1" outlineLevel="1" x14ac:dyDescent="0.2">
      <c r="A15" s="1202" t="str">
        <f>IF(MOD($F15,$H$2)&lt;$H$2-2,_xll.ciqfunctions.udf.CIQSPLIT(VLOOKUP(E15,'CIQ Key Developments'!$B$8:$I$491,COLUMN('CIQ Key Developments'!$F$7)-COLUMN('CIQ Key Developments'!$B$7)+1,FALSE),$F15,F$6),IF(MOD($F15,$H$2)=$H$2-2,"Source: "&amp;VLOOKUP(E15,'CIQ Key Developments'!$B$8:$I$491,COLUMN('CIQ Key Developments'!$I$7)-COLUMN('CIQ Key Developments'!$B$7)+1,FALSE),""))</f>
        <v/>
      </c>
      <c r="B15" s="1202"/>
      <c r="C15" s="1202"/>
      <c r="E15" s="383">
        <f t="shared" si="0"/>
        <v>1</v>
      </c>
      <c r="F15" s="7">
        <f t="shared" si="1"/>
        <v>9</v>
      </c>
    </row>
    <row r="16" spans="1:10" ht="11.65" hidden="1" customHeight="1" outlineLevel="1" x14ac:dyDescent="0.2">
      <c r="A16" s="1202" t="str">
        <f>IF(MOD($F16,$H$2)&lt;$H$2-2,_xll.ciqfunctions.udf.CIQSPLIT(VLOOKUP(E16,'CIQ Key Developments'!$B$8:$I$491,COLUMN('CIQ Key Developments'!$F$7)-COLUMN('CIQ Key Developments'!$B$7)+1,FALSE),$F16,F$6),IF(MOD($F16,$H$2)=$H$2-2,"Source: "&amp;VLOOKUP(E16,'CIQ Key Developments'!$B$8:$I$491,COLUMN('CIQ Key Developments'!$I$7)-COLUMN('CIQ Key Developments'!$B$7)+1,FALSE),""))</f>
        <v/>
      </c>
      <c r="B16" s="1202"/>
      <c r="C16" s="1202"/>
      <c r="E16" s="383">
        <f t="shared" si="0"/>
        <v>1</v>
      </c>
      <c r="F16" s="7">
        <f t="shared" si="1"/>
        <v>10</v>
      </c>
    </row>
    <row r="17" spans="1:6" ht="11.65" hidden="1" customHeight="1" outlineLevel="1" x14ac:dyDescent="0.2">
      <c r="A17" s="1202" t="str">
        <f>IF(MOD($F17,$H$2)&lt;$H$2-2,_xll.ciqfunctions.udf.CIQSPLIT(VLOOKUP(E17,'CIQ Key Developments'!$B$8:$I$491,COLUMN('CIQ Key Developments'!$F$7)-COLUMN('CIQ Key Developments'!$B$7)+1,FALSE),$F17,F$6),IF(MOD($F17,$H$2)=$H$2-2,"Source: "&amp;VLOOKUP(E17,'CIQ Key Developments'!$B$8:$I$491,COLUMN('CIQ Key Developments'!$I$7)-COLUMN('CIQ Key Developments'!$B$7)+1,FALSE),""))</f>
        <v/>
      </c>
      <c r="B17" s="1202"/>
      <c r="C17" s="1202"/>
      <c r="E17" s="383">
        <f t="shared" si="0"/>
        <v>1</v>
      </c>
      <c r="F17" s="7">
        <f t="shared" si="1"/>
        <v>11</v>
      </c>
    </row>
    <row r="18" spans="1:6" ht="11.65" hidden="1" customHeight="1" outlineLevel="1" x14ac:dyDescent="0.2">
      <c r="A18" s="1202" t="str">
        <f>IF(MOD($F18,$H$2)&lt;$H$2-2,_xll.ciqfunctions.udf.CIQSPLIT(VLOOKUP(E18,'CIQ Key Developments'!$B$8:$I$491,COLUMN('CIQ Key Developments'!$F$7)-COLUMN('CIQ Key Developments'!$B$7)+1,FALSE),$F18,F$6),IF(MOD($F18,$H$2)=$H$2-2,"Source: "&amp;VLOOKUP(E18,'CIQ Key Developments'!$B$8:$I$491,COLUMN('CIQ Key Developments'!$I$7)-COLUMN('CIQ Key Developments'!$B$7)+1,FALSE),""))</f>
        <v/>
      </c>
      <c r="B18" s="1202"/>
      <c r="C18" s="1202"/>
      <c r="E18" s="383">
        <f t="shared" si="0"/>
        <v>1</v>
      </c>
      <c r="F18" s="7">
        <f t="shared" si="1"/>
        <v>12</v>
      </c>
    </row>
    <row r="19" spans="1:6" ht="11.65" hidden="1" customHeight="1" outlineLevel="1" x14ac:dyDescent="0.2">
      <c r="A19" s="1202" t="str">
        <f>IF(MOD($F19,$H$2)&lt;$H$2-2,_xll.ciqfunctions.udf.CIQSPLIT(VLOOKUP(E19,'CIQ Key Developments'!$B$8:$I$491,COLUMN('CIQ Key Developments'!$F$7)-COLUMN('CIQ Key Developments'!$B$7)+1,FALSE),$F19,F$6),IF(MOD($F19,$H$2)=$H$2-2,"Source: "&amp;VLOOKUP(E19,'CIQ Key Developments'!$B$8:$I$491,COLUMN('CIQ Key Developments'!$I$7)-COLUMN('CIQ Key Developments'!$B$7)+1,FALSE),""))</f>
        <v/>
      </c>
      <c r="B19" s="1202"/>
      <c r="C19" s="1202"/>
      <c r="E19" s="383">
        <f t="shared" si="0"/>
        <v>1</v>
      </c>
      <c r="F19" s="7">
        <f t="shared" si="1"/>
        <v>13</v>
      </c>
    </row>
    <row r="20" spans="1:6" ht="11.65" hidden="1" customHeight="1" outlineLevel="1" x14ac:dyDescent="0.2">
      <c r="A20" s="1202" t="str">
        <f>IF(MOD($F20,$H$2)&lt;$H$2-2,_xll.ciqfunctions.udf.CIQSPLIT(VLOOKUP(E20,'CIQ Key Developments'!$B$8:$I$491,COLUMN('CIQ Key Developments'!$F$7)-COLUMN('CIQ Key Developments'!$B$7)+1,FALSE),$F20,F$6),IF(MOD($F20,$H$2)=$H$2-2,"Source: "&amp;VLOOKUP(E20,'CIQ Key Developments'!$B$8:$I$491,COLUMN('CIQ Key Developments'!$I$7)-COLUMN('CIQ Key Developments'!$B$7)+1,FALSE),""))</f>
        <v/>
      </c>
      <c r="B20" s="1202"/>
      <c r="C20" s="1202"/>
      <c r="E20" s="383">
        <f t="shared" si="0"/>
        <v>1</v>
      </c>
      <c r="F20" s="7">
        <f t="shared" si="1"/>
        <v>14</v>
      </c>
    </row>
    <row r="21" spans="1:6" ht="11.65" hidden="1" customHeight="1" outlineLevel="1" x14ac:dyDescent="0.2">
      <c r="A21" s="1202" t="str">
        <f>IF(MOD($F21,$H$2)&lt;$H$2-2,_xll.ciqfunctions.udf.CIQSPLIT(VLOOKUP(E21,'CIQ Key Developments'!$B$8:$I$491,COLUMN('CIQ Key Developments'!$F$7)-COLUMN('CIQ Key Developments'!$B$7)+1,FALSE),$F21,F$6),IF(MOD($F21,$H$2)=$H$2-2,"Source: "&amp;VLOOKUP(E21,'CIQ Key Developments'!$B$8:$I$491,COLUMN('CIQ Key Developments'!$I$7)-COLUMN('CIQ Key Developments'!$B$7)+1,FALSE),""))</f>
        <v/>
      </c>
      <c r="B21" s="1202"/>
      <c r="C21" s="1202"/>
      <c r="E21" s="383">
        <f t="shared" si="0"/>
        <v>1</v>
      </c>
      <c r="F21" s="7">
        <f t="shared" si="1"/>
        <v>15</v>
      </c>
    </row>
    <row r="22" spans="1:6" ht="11.65" hidden="1" customHeight="1" outlineLevel="1" x14ac:dyDescent="0.2">
      <c r="A22" s="1202" t="str">
        <f>IF(MOD($F22,$H$2)&lt;$H$2-2,_xll.ciqfunctions.udf.CIQSPLIT(VLOOKUP(E22,'CIQ Key Developments'!$B$8:$I$491,COLUMN('CIQ Key Developments'!$F$7)-COLUMN('CIQ Key Developments'!$B$7)+1,FALSE),$F22,F$6),IF(MOD($F22,$H$2)=$H$2-2,"Source: "&amp;VLOOKUP(E22,'CIQ Key Developments'!$B$8:$I$491,COLUMN('CIQ Key Developments'!$I$7)-COLUMN('CIQ Key Developments'!$B$7)+1,FALSE),""))</f>
        <v/>
      </c>
      <c r="B22" s="1202"/>
      <c r="C22" s="1202"/>
      <c r="E22" s="383">
        <f t="shared" si="0"/>
        <v>1</v>
      </c>
      <c r="F22" s="7">
        <f t="shared" si="1"/>
        <v>16</v>
      </c>
    </row>
    <row r="23" spans="1:6" ht="11.65" hidden="1" customHeight="1" outlineLevel="1" x14ac:dyDescent="0.2">
      <c r="A23" s="1202" t="str">
        <f>IF(MOD($F23,$H$2)&lt;$H$2-2,_xll.ciqfunctions.udf.CIQSPLIT(VLOOKUP(E23,'CIQ Key Developments'!$B$8:$I$491,COLUMN('CIQ Key Developments'!$F$7)-COLUMN('CIQ Key Developments'!$B$7)+1,FALSE),$F23,F$6),IF(MOD($F23,$H$2)=$H$2-2,"Source: "&amp;VLOOKUP(E23,'CIQ Key Developments'!$B$8:$I$491,COLUMN('CIQ Key Developments'!$I$7)-COLUMN('CIQ Key Developments'!$B$7)+1,FALSE),""))</f>
        <v/>
      </c>
      <c r="B23" s="1202"/>
      <c r="C23" s="1202"/>
      <c r="E23" s="383">
        <f t="shared" si="0"/>
        <v>1</v>
      </c>
      <c r="F23" s="7">
        <f t="shared" si="1"/>
        <v>17</v>
      </c>
    </row>
    <row r="24" spans="1:6" ht="11.65" hidden="1" customHeight="1" outlineLevel="1" x14ac:dyDescent="0.2">
      <c r="A24" s="1202" t="str">
        <f>IF(MOD($F24,$H$2)&lt;$H$2-2,_xll.ciqfunctions.udf.CIQSPLIT(VLOOKUP(E24,'CIQ Key Developments'!$B$8:$I$491,COLUMN('CIQ Key Developments'!$F$7)-COLUMN('CIQ Key Developments'!$B$7)+1,FALSE),$F24,F$6),IF(MOD($F24,$H$2)=$H$2-2,"Source: "&amp;VLOOKUP(E24,'CIQ Key Developments'!$B$8:$I$491,COLUMN('CIQ Key Developments'!$I$7)-COLUMN('CIQ Key Developments'!$B$7)+1,FALSE),""))</f>
        <v/>
      </c>
      <c r="B24" s="1202"/>
      <c r="C24" s="1202"/>
      <c r="E24" s="383">
        <f t="shared" si="0"/>
        <v>1</v>
      </c>
      <c r="F24" s="7">
        <f t="shared" si="1"/>
        <v>18</v>
      </c>
    </row>
    <row r="25" spans="1:6" ht="11.65" hidden="1" customHeight="1" outlineLevel="1" x14ac:dyDescent="0.2">
      <c r="A25" s="1202" t="str">
        <f>IF(MOD($F25,$H$2)&lt;$H$2-2,_xll.ciqfunctions.udf.CIQSPLIT(VLOOKUP(E25,'CIQ Key Developments'!$B$8:$I$491,COLUMN('CIQ Key Developments'!$F$7)-COLUMN('CIQ Key Developments'!$B$7)+1,FALSE),$F25,F$6),IF(MOD($F25,$H$2)=$H$2-2,"Source: "&amp;VLOOKUP(E25,'CIQ Key Developments'!$B$8:$I$491,COLUMN('CIQ Key Developments'!$I$7)-COLUMN('CIQ Key Developments'!$B$7)+1,FALSE),""))</f>
        <v/>
      </c>
      <c r="B25" s="1202"/>
      <c r="C25" s="1202"/>
      <c r="E25" s="383">
        <f t="shared" si="0"/>
        <v>1</v>
      </c>
      <c r="F25" s="7">
        <f t="shared" si="1"/>
        <v>19</v>
      </c>
    </row>
    <row r="26" spans="1:6" ht="11.65" customHeight="1" collapsed="1" x14ac:dyDescent="0.2">
      <c r="A26" s="1202" t="str">
        <f>IF(MOD($F26,$H$2)&lt;$H$2-2,_xll.ciqfunctions.udf.CIQSPLIT(VLOOKUP(E26,'CIQ Key Developments'!$B$8:$I$491,COLUMN('CIQ Key Developments'!$F$7)-COLUMN('CIQ Key Developments'!$B$7)+1,FALSE),$F26,F$6),IF(MOD($F26,$H$2)=$H$2-2,"Source: "&amp;VLOOKUP(E26,'CIQ Key Developments'!$B$8:$I$491,COLUMN('CIQ Key Developments'!$I$7)-COLUMN('CIQ Key Developments'!$B$7)+1,FALSE),""))</f>
        <v>Source: GlobeNewswire</v>
      </c>
      <c r="B26" s="1202"/>
      <c r="C26" s="1202"/>
      <c r="E26" s="383">
        <f t="shared" si="0"/>
        <v>1</v>
      </c>
      <c r="F26" s="7">
        <f t="shared" si="1"/>
        <v>20</v>
      </c>
    </row>
    <row r="27" spans="1:6" ht="7.15" customHeight="1" collapsed="1" x14ac:dyDescent="0.2">
      <c r="A27" s="439" t="str">
        <f>IF(MOD($F27,$H$2)&lt;$H$2-2,_xll.ciqfunctions.udf.CIQSPLIT(VLOOKUP(E27,'CIQ Key Developments'!$B$8:$I$491,COLUMN('CIQ Key Developments'!$F$7)-COLUMN('CIQ Key Developments'!$B$7)+1,FALSE),$F27,F$6),IF(MOD($F27,$H$2)=$H$2-2,"Source: "&amp;VLOOKUP(E27,'CIQ Key Developments'!$B$8:$I$491,COLUMN('CIQ Key Developments'!$I$7)-COLUMN('CIQ Key Developments'!$B$7)+1,FALSE),""))</f>
        <v/>
      </c>
      <c r="B27" s="439"/>
      <c r="C27" s="439"/>
      <c r="E27" s="383">
        <f t="shared" si="0"/>
        <v>1</v>
      </c>
      <c r="F27" s="7">
        <f t="shared" si="1"/>
        <v>21</v>
      </c>
    </row>
    <row r="28" spans="1:6" s="571" customFormat="1" ht="12" customHeight="1" x14ac:dyDescent="0.2">
      <c r="A28" s="1513" t="str">
        <f>+VLOOKUP(E28,'CIQ Key Developments'!$B$8:$I$491,COLUMN('CIQ Key Developments'!$D$7)-COLUMN('CIQ Key Developments'!$B$7)+1,FALSE)</f>
        <v>Walmart Inc. Presents at Florida Supply Chain Summit, Mar-21-2022</v>
      </c>
      <c r="B28" s="1514"/>
      <c r="C28" s="1515"/>
      <c r="E28" s="383">
        <f t="shared" si="0"/>
        <v>2</v>
      </c>
      <c r="F28" s="7">
        <f t="shared" si="1"/>
        <v>22</v>
      </c>
    </row>
    <row r="29" spans="1:6" s="571" customFormat="1" ht="11.65" customHeight="1" x14ac:dyDescent="0.2">
      <c r="A29" s="1199" t="str">
        <f>+$C$3</f>
        <v>Walmart Inc.</v>
      </c>
      <c r="B29" s="1200" t="str">
        <f>VLOOKUP(E28,'CIQ Key Developments'!$B$8:$I$491,COLUMN('CIQ Key Developments'!$G$7)-COLUMN('CIQ Key Developments'!$B$7)+1,FALSE)&amp;" "&amp;VLOOKUP(E28,'CIQ Key Developments'!$B$8:$I$491,COLUMN('CIQ Key Developments'!$H$7)-COLUMN('CIQ Key Developments'!$B$7)+1,FALSE)</f>
        <v>21 Mar 2022 8:00 AM</v>
      </c>
      <c r="C29" s="1201" t="str">
        <f>+VLOOKUP(E28,'CIQ Key Developments'!$B$8:$I$491,COLUMN('CIQ Key Developments'!$E$7)-COLUMN('CIQ Key Developments'!$B$7)+1,FALSE)</f>
        <v>Company Conference Presentations</v>
      </c>
      <c r="E29" s="383">
        <f t="shared" si="0"/>
        <v>2</v>
      </c>
      <c r="F29" s="7">
        <f t="shared" si="1"/>
        <v>175</v>
      </c>
    </row>
    <row r="30" spans="1:6" s="571" customFormat="1" ht="11.65" customHeight="1" x14ac:dyDescent="0.2">
      <c r="A30" s="1202" t="str">
        <f>IF(MOD($F30,$H$2)&lt;$H$2-2,_xll.ciqfunctions.udf.CIQSPLIT(VLOOKUP(E30,'CIQ Key Developments'!$B$8:$I$491,COLUMN('CIQ Key Developments'!$F$7)-COLUMN('CIQ Key Developments'!$B$7)+1,FALSE),$F30,F$6),IF(MOD($F30,$H$2)=$H$2-2,"Source: "&amp;VLOOKUP(E30,'CIQ Key Developments'!$B$8:$I$491,COLUMN('CIQ Key Developments'!$I$7)-COLUMN('CIQ Key Developments'!$B$7)+1,FALSE),""))</f>
        <v>Walmart Inc. Presents at Florida Supply Chain Summit, Mar-21-2022 . Venue: Hotel Alba, Tampa, Florida, United States.</v>
      </c>
      <c r="B30" s="1202"/>
      <c r="C30" s="1202"/>
      <c r="E30" s="383">
        <f t="shared" si="0"/>
        <v>2</v>
      </c>
      <c r="F30" s="7">
        <f t="shared" si="1"/>
        <v>1</v>
      </c>
    </row>
    <row r="31" spans="1:6" s="571" customFormat="1" ht="11.65" customHeight="1" x14ac:dyDescent="0.2">
      <c r="A31" s="1202" t="str">
        <f>IF(MOD($F31,$H$2)&lt;$H$2-2,_xll.ciqfunctions.udf.CIQSPLIT(VLOOKUP(E31,'CIQ Key Developments'!$B$8:$I$491,COLUMN('CIQ Key Developments'!$F$7)-COLUMN('CIQ Key Developments'!$B$7)+1,FALSE),$F31,F$6),IF(MOD($F31,$H$2)=$H$2-2,"Source: "&amp;VLOOKUP(E31,'CIQ Key Developments'!$B$8:$I$491,COLUMN('CIQ Key Developments'!$I$7)-COLUMN('CIQ Key Developments'!$B$7)+1,FALSE),""))</f>
        <v/>
      </c>
      <c r="B31" s="1202"/>
      <c r="C31" s="1202"/>
      <c r="E31" s="383">
        <f t="shared" si="0"/>
        <v>2</v>
      </c>
      <c r="F31" s="7">
        <f t="shared" si="1"/>
        <v>2</v>
      </c>
    </row>
    <row r="32" spans="1:6" s="571" customFormat="1" ht="11.65" customHeight="1" x14ac:dyDescent="0.2">
      <c r="A32" s="1202" t="str">
        <f>IF(MOD($F32,$H$2)&lt;$H$2-2,_xll.ciqfunctions.udf.CIQSPLIT(VLOOKUP(E32,'CIQ Key Developments'!$B$8:$I$491,COLUMN('CIQ Key Developments'!$F$7)-COLUMN('CIQ Key Developments'!$B$7)+1,FALSE),$F32,F$6),IF(MOD($F32,$H$2)=$H$2-2,"Source: "&amp;VLOOKUP(E32,'CIQ Key Developments'!$B$8:$I$491,COLUMN('CIQ Key Developments'!$I$7)-COLUMN('CIQ Key Developments'!$B$7)+1,FALSE),""))</f>
        <v/>
      </c>
      <c r="B32" s="1202"/>
      <c r="C32" s="1202"/>
      <c r="E32" s="383">
        <f t="shared" si="0"/>
        <v>2</v>
      </c>
      <c r="F32" s="7">
        <f t="shared" si="1"/>
        <v>3</v>
      </c>
    </row>
    <row r="33" spans="1:6" s="571" customFormat="1" ht="11.65" customHeight="1" x14ac:dyDescent="0.2">
      <c r="A33" s="1202" t="str">
        <f>IF(MOD($F33,$H$2)&lt;$H$2-2,_xll.ciqfunctions.udf.CIQSPLIT(VLOOKUP(E33,'CIQ Key Developments'!$B$8:$I$491,COLUMN('CIQ Key Developments'!$F$7)-COLUMN('CIQ Key Developments'!$B$7)+1,FALSE),$F33,F$6),IF(MOD($F33,$H$2)=$H$2-2,"Source: "&amp;VLOOKUP(E33,'CIQ Key Developments'!$B$8:$I$491,COLUMN('CIQ Key Developments'!$I$7)-COLUMN('CIQ Key Developments'!$B$7)+1,FALSE),""))</f>
        <v/>
      </c>
      <c r="B33" s="1202"/>
      <c r="C33" s="1202"/>
      <c r="E33" s="383">
        <f t="shared" si="0"/>
        <v>2</v>
      </c>
      <c r="F33" s="7">
        <f t="shared" si="1"/>
        <v>4</v>
      </c>
    </row>
    <row r="34" spans="1:6" s="571" customFormat="1" ht="11.65" customHeight="1" x14ac:dyDescent="0.2">
      <c r="A34" s="1202" t="str">
        <f>IF(MOD($F34,$H$2)&lt;$H$2-2,_xll.ciqfunctions.udf.CIQSPLIT(VLOOKUP(E34,'CIQ Key Developments'!$B$8:$I$491,COLUMN('CIQ Key Developments'!$F$7)-COLUMN('CIQ Key Developments'!$B$7)+1,FALSE),$F34,F$6),IF(MOD($F34,$H$2)=$H$2-2,"Source: "&amp;VLOOKUP(E34,'CIQ Key Developments'!$B$8:$I$491,COLUMN('CIQ Key Developments'!$I$7)-COLUMN('CIQ Key Developments'!$B$7)+1,FALSE),""))</f>
        <v/>
      </c>
      <c r="B34" s="1202"/>
      <c r="C34" s="1202"/>
      <c r="E34" s="383">
        <f t="shared" si="0"/>
        <v>2</v>
      </c>
      <c r="F34" s="7">
        <f t="shared" si="1"/>
        <v>5</v>
      </c>
    </row>
    <row r="35" spans="1:6" s="571" customFormat="1" ht="11.65" customHeight="1" x14ac:dyDescent="0.2">
      <c r="A35" s="1202" t="str">
        <f>IF(MOD($F35,$H$2)&lt;$H$2-2,_xll.ciqfunctions.udf.CIQSPLIT(VLOOKUP(E35,'CIQ Key Developments'!$B$8:$I$491,COLUMN('CIQ Key Developments'!$F$7)-COLUMN('CIQ Key Developments'!$B$7)+1,FALSE),$F35,F$6),IF(MOD($F35,$H$2)=$H$2-2,"Source: "&amp;VLOOKUP(E35,'CIQ Key Developments'!$B$8:$I$491,COLUMN('CIQ Key Developments'!$I$7)-COLUMN('CIQ Key Developments'!$B$7)+1,FALSE),""))</f>
        <v/>
      </c>
      <c r="B35" s="1202"/>
      <c r="C35" s="1202"/>
      <c r="E35" s="383">
        <f t="shared" si="0"/>
        <v>2</v>
      </c>
      <c r="F35" s="7">
        <f t="shared" si="1"/>
        <v>6</v>
      </c>
    </row>
    <row r="36" spans="1:6" s="571" customFormat="1" ht="11.65" customHeight="1" x14ac:dyDescent="0.2">
      <c r="A36" s="1202" t="str">
        <f>IF(MOD($F36,$H$2)&lt;$H$2-2,_xll.ciqfunctions.udf.CIQSPLIT(VLOOKUP(E36,'CIQ Key Developments'!$B$8:$I$491,COLUMN('CIQ Key Developments'!$F$7)-COLUMN('CIQ Key Developments'!$B$7)+1,FALSE),$F36,F$6),IF(MOD($F36,$H$2)=$H$2-2,"Source: "&amp;VLOOKUP(E36,'CIQ Key Developments'!$B$8:$I$491,COLUMN('CIQ Key Developments'!$I$7)-COLUMN('CIQ Key Developments'!$B$7)+1,FALSE),""))</f>
        <v/>
      </c>
      <c r="B36" s="1202"/>
      <c r="C36" s="1202"/>
      <c r="E36" s="383">
        <f t="shared" si="0"/>
        <v>2</v>
      </c>
      <c r="F36" s="7">
        <f t="shared" si="1"/>
        <v>7</v>
      </c>
    </row>
    <row r="37" spans="1:6" s="571" customFormat="1" ht="11.65" customHeight="1" x14ac:dyDescent="0.2">
      <c r="A37" s="1202" t="str">
        <f>IF(MOD($F37,$H$2)&lt;$H$2-2,_xll.ciqfunctions.udf.CIQSPLIT(VLOOKUP(E37,'CIQ Key Developments'!$B$8:$I$491,COLUMN('CIQ Key Developments'!$F$7)-COLUMN('CIQ Key Developments'!$B$7)+1,FALSE),$F37,F$6),IF(MOD($F37,$H$2)=$H$2-2,"Source: "&amp;VLOOKUP(E37,'CIQ Key Developments'!$B$8:$I$491,COLUMN('CIQ Key Developments'!$I$7)-COLUMN('CIQ Key Developments'!$B$7)+1,FALSE),""))</f>
        <v/>
      </c>
      <c r="B37" s="1202"/>
      <c r="C37" s="1202"/>
      <c r="E37" s="383">
        <f t="shared" si="0"/>
        <v>2</v>
      </c>
      <c r="F37" s="7">
        <f t="shared" si="1"/>
        <v>8</v>
      </c>
    </row>
    <row r="38" spans="1:6" s="571" customFormat="1" ht="11.65" customHeight="1" x14ac:dyDescent="0.2">
      <c r="A38" s="1202" t="str">
        <f>IF(MOD($F38,$H$2)&lt;$H$2-2,_xll.ciqfunctions.udf.CIQSPLIT(VLOOKUP(E38,'CIQ Key Developments'!$B$8:$I$491,COLUMN('CIQ Key Developments'!$F$7)-COLUMN('CIQ Key Developments'!$B$7)+1,FALSE),$F38,F$6),IF(MOD($F38,$H$2)=$H$2-2,"Source: "&amp;VLOOKUP(E38,'CIQ Key Developments'!$B$8:$I$491,COLUMN('CIQ Key Developments'!$I$7)-COLUMN('CIQ Key Developments'!$B$7)+1,FALSE),""))</f>
        <v/>
      </c>
      <c r="B38" s="1202"/>
      <c r="C38" s="1202"/>
      <c r="E38" s="383">
        <f t="shared" si="0"/>
        <v>2</v>
      </c>
      <c r="F38" s="7">
        <f t="shared" si="1"/>
        <v>9</v>
      </c>
    </row>
    <row r="39" spans="1:6" s="571" customFormat="1" ht="11.65" customHeight="1" x14ac:dyDescent="0.2">
      <c r="A39" s="1202" t="str">
        <f>IF(MOD($F39,$H$2)&lt;$H$2-2,_xll.ciqfunctions.udf.CIQSPLIT(VLOOKUP(E39,'CIQ Key Developments'!$B$8:$I$491,COLUMN('CIQ Key Developments'!$F$7)-COLUMN('CIQ Key Developments'!$B$7)+1,FALSE),$F39,F$6),IF(MOD($F39,$H$2)=$H$2-2,"Source: "&amp;VLOOKUP(E39,'CIQ Key Developments'!$B$8:$I$491,COLUMN('CIQ Key Developments'!$I$7)-COLUMN('CIQ Key Developments'!$B$7)+1,FALSE),""))</f>
        <v/>
      </c>
      <c r="B39" s="1202"/>
      <c r="C39" s="1202"/>
      <c r="E39" s="383">
        <f t="shared" si="0"/>
        <v>2</v>
      </c>
      <c r="F39" s="7">
        <f t="shared" si="1"/>
        <v>10</v>
      </c>
    </row>
    <row r="40" spans="1:6" s="571" customFormat="1" ht="11.65" customHeight="1" x14ac:dyDescent="0.2">
      <c r="A40" s="1202" t="str">
        <f>IF(MOD($F40,$H$2)&lt;$H$2-2,_xll.ciqfunctions.udf.CIQSPLIT(VLOOKUP(E40,'CIQ Key Developments'!$B$8:$I$491,COLUMN('CIQ Key Developments'!$F$7)-COLUMN('CIQ Key Developments'!$B$7)+1,FALSE),$F40,F$6),IF(MOD($F40,$H$2)=$H$2-2,"Source: "&amp;VLOOKUP(E40,'CIQ Key Developments'!$B$8:$I$491,COLUMN('CIQ Key Developments'!$I$7)-COLUMN('CIQ Key Developments'!$B$7)+1,FALSE),""))</f>
        <v/>
      </c>
      <c r="B40" s="1202"/>
      <c r="C40" s="1202"/>
      <c r="E40" s="383">
        <f t="shared" si="0"/>
        <v>2</v>
      </c>
      <c r="F40" s="7">
        <f t="shared" si="1"/>
        <v>11</v>
      </c>
    </row>
    <row r="41" spans="1:6" s="571" customFormat="1" ht="11.65" customHeight="1" x14ac:dyDescent="0.2">
      <c r="A41" s="1202" t="str">
        <f>IF(MOD($F41,$H$2)&lt;$H$2-2,_xll.ciqfunctions.udf.CIQSPLIT(VLOOKUP(E41,'CIQ Key Developments'!$B$8:$I$491,COLUMN('CIQ Key Developments'!$F$7)-COLUMN('CIQ Key Developments'!$B$7)+1,FALSE),$F41,F$6),IF(MOD($F41,$H$2)=$H$2-2,"Source: "&amp;VLOOKUP(E41,'CIQ Key Developments'!$B$8:$I$491,COLUMN('CIQ Key Developments'!$I$7)-COLUMN('CIQ Key Developments'!$B$7)+1,FALSE),""))</f>
        <v/>
      </c>
      <c r="B41" s="1202"/>
      <c r="C41" s="1202"/>
      <c r="E41" s="383">
        <f t="shared" si="0"/>
        <v>2</v>
      </c>
      <c r="F41" s="7">
        <f t="shared" si="1"/>
        <v>12</v>
      </c>
    </row>
    <row r="42" spans="1:6" s="571" customFormat="1" ht="11.65" hidden="1" customHeight="1" outlineLevel="1" x14ac:dyDescent="0.2">
      <c r="A42" s="1202" t="str">
        <f>IF(MOD($F42,$H$2)&lt;$H$2-2,_xll.ciqfunctions.udf.CIQSPLIT(VLOOKUP(E42,'CIQ Key Developments'!$B$8:$I$491,COLUMN('CIQ Key Developments'!$F$7)-COLUMN('CIQ Key Developments'!$B$7)+1,FALSE),$F42,F$6),IF(MOD($F42,$H$2)=$H$2-2,"Source: "&amp;VLOOKUP(E42,'CIQ Key Developments'!$B$8:$I$491,COLUMN('CIQ Key Developments'!$I$7)-COLUMN('CIQ Key Developments'!$B$7)+1,FALSE),""))</f>
        <v/>
      </c>
      <c r="B42" s="1202"/>
      <c r="C42" s="1202"/>
      <c r="E42" s="383">
        <f t="shared" si="0"/>
        <v>2</v>
      </c>
      <c r="F42" s="7">
        <f t="shared" si="1"/>
        <v>13</v>
      </c>
    </row>
    <row r="43" spans="1:6" s="571" customFormat="1" ht="11.65" hidden="1" customHeight="1" outlineLevel="1" x14ac:dyDescent="0.2">
      <c r="A43" s="1202" t="str">
        <f>IF(MOD($F43,$H$2)&lt;$H$2-2,_xll.ciqfunctions.udf.CIQSPLIT(VLOOKUP(E43,'CIQ Key Developments'!$B$8:$I$491,COLUMN('CIQ Key Developments'!$F$7)-COLUMN('CIQ Key Developments'!$B$7)+1,FALSE),$F43,F$6),IF(MOD($F43,$H$2)=$H$2-2,"Source: "&amp;VLOOKUP(E43,'CIQ Key Developments'!$B$8:$I$491,COLUMN('CIQ Key Developments'!$I$7)-COLUMN('CIQ Key Developments'!$B$7)+1,FALSE),""))</f>
        <v/>
      </c>
      <c r="B43" s="1202"/>
      <c r="C43" s="1202"/>
      <c r="E43" s="383">
        <f t="shared" si="0"/>
        <v>2</v>
      </c>
      <c r="F43" s="7">
        <f t="shared" si="1"/>
        <v>14</v>
      </c>
    </row>
    <row r="44" spans="1:6" s="571" customFormat="1" ht="11.65" hidden="1" customHeight="1" outlineLevel="1" x14ac:dyDescent="0.2">
      <c r="A44" s="1202" t="str">
        <f>IF(MOD($F44,$H$2)&lt;$H$2-2,_xll.ciqfunctions.udf.CIQSPLIT(VLOOKUP(E44,'CIQ Key Developments'!$B$8:$I$491,COLUMN('CIQ Key Developments'!$F$7)-COLUMN('CIQ Key Developments'!$B$7)+1,FALSE),$F44,F$6),IF(MOD($F44,$H$2)=$H$2-2,"Source: "&amp;VLOOKUP(E44,'CIQ Key Developments'!$B$8:$I$491,COLUMN('CIQ Key Developments'!$I$7)-COLUMN('CIQ Key Developments'!$B$7)+1,FALSE),""))</f>
        <v/>
      </c>
      <c r="B44" s="1202"/>
      <c r="C44" s="1202"/>
      <c r="E44" s="383">
        <f t="shared" si="0"/>
        <v>2</v>
      </c>
      <c r="F44" s="7">
        <f t="shared" si="1"/>
        <v>15</v>
      </c>
    </row>
    <row r="45" spans="1:6" s="571" customFormat="1" ht="11.65" hidden="1" customHeight="1" outlineLevel="1" x14ac:dyDescent="0.2">
      <c r="A45" s="1202" t="str">
        <f>IF(MOD($F45,$H$2)&lt;$H$2-2,_xll.ciqfunctions.udf.CIQSPLIT(VLOOKUP(E45,'CIQ Key Developments'!$B$8:$I$491,COLUMN('CIQ Key Developments'!$F$7)-COLUMN('CIQ Key Developments'!$B$7)+1,FALSE),$F45,F$6),IF(MOD($F45,$H$2)=$H$2-2,"Source: "&amp;VLOOKUP(E45,'CIQ Key Developments'!$B$8:$I$491,COLUMN('CIQ Key Developments'!$I$7)-COLUMN('CIQ Key Developments'!$B$7)+1,FALSE),""))</f>
        <v/>
      </c>
      <c r="B45" s="1202"/>
      <c r="C45" s="1202"/>
      <c r="E45" s="383">
        <f t="shared" si="0"/>
        <v>2</v>
      </c>
      <c r="F45" s="7">
        <f t="shared" si="1"/>
        <v>16</v>
      </c>
    </row>
    <row r="46" spans="1:6" s="571" customFormat="1" ht="11.65" hidden="1" customHeight="1" outlineLevel="1" x14ac:dyDescent="0.2">
      <c r="A46" s="1202" t="str">
        <f>IF(MOD($F46,$H$2)&lt;$H$2-2,_xll.ciqfunctions.udf.CIQSPLIT(VLOOKUP(E46,'CIQ Key Developments'!$B$8:$I$491,COLUMN('CIQ Key Developments'!$F$7)-COLUMN('CIQ Key Developments'!$B$7)+1,FALSE),$F46,F$6),IF(MOD($F46,$H$2)=$H$2-2,"Source: "&amp;VLOOKUP(E46,'CIQ Key Developments'!$B$8:$I$491,COLUMN('CIQ Key Developments'!$I$7)-COLUMN('CIQ Key Developments'!$B$7)+1,FALSE),""))</f>
        <v/>
      </c>
      <c r="B46" s="1202"/>
      <c r="C46" s="1202"/>
      <c r="E46" s="383">
        <f t="shared" si="0"/>
        <v>2</v>
      </c>
      <c r="F46" s="7">
        <f t="shared" si="1"/>
        <v>17</v>
      </c>
    </row>
    <row r="47" spans="1:6" s="571" customFormat="1" ht="11.65" hidden="1" customHeight="1" outlineLevel="1" x14ac:dyDescent="0.2">
      <c r="A47" s="1202" t="str">
        <f>IF(MOD($F47,$H$2)&lt;$H$2-2,_xll.ciqfunctions.udf.CIQSPLIT(VLOOKUP(E47,'CIQ Key Developments'!$B$8:$I$491,COLUMN('CIQ Key Developments'!$F$7)-COLUMN('CIQ Key Developments'!$B$7)+1,FALSE),$F47,F$6),IF(MOD($F47,$H$2)=$H$2-2,"Source: "&amp;VLOOKUP(E47,'CIQ Key Developments'!$B$8:$I$491,COLUMN('CIQ Key Developments'!$I$7)-COLUMN('CIQ Key Developments'!$B$7)+1,FALSE),""))</f>
        <v/>
      </c>
      <c r="B47" s="1202"/>
      <c r="C47" s="1202"/>
      <c r="E47" s="383">
        <f t="shared" si="0"/>
        <v>2</v>
      </c>
      <c r="F47" s="7">
        <f t="shared" si="1"/>
        <v>18</v>
      </c>
    </row>
    <row r="48" spans="1:6" s="571" customFormat="1" ht="11.65" hidden="1" customHeight="1" outlineLevel="1" x14ac:dyDescent="0.2">
      <c r="A48" s="1202" t="str">
        <f>IF(MOD($F48,$H$2)&lt;$H$2-2,_xll.ciqfunctions.udf.CIQSPLIT(VLOOKUP(E48,'CIQ Key Developments'!$B$8:$I$491,COLUMN('CIQ Key Developments'!$F$7)-COLUMN('CIQ Key Developments'!$B$7)+1,FALSE),$F48,F$6),IF(MOD($F48,$H$2)=$H$2-2,"Source: "&amp;VLOOKUP(E48,'CIQ Key Developments'!$B$8:$I$491,COLUMN('CIQ Key Developments'!$I$7)-COLUMN('CIQ Key Developments'!$B$7)+1,FALSE),""))</f>
        <v/>
      </c>
      <c r="B48" s="1202"/>
      <c r="C48" s="1202"/>
      <c r="E48" s="383">
        <f t="shared" si="0"/>
        <v>2</v>
      </c>
      <c r="F48" s="7">
        <f t="shared" si="1"/>
        <v>19</v>
      </c>
    </row>
    <row r="49" spans="1:6" s="571" customFormat="1" ht="11.65" customHeight="1" collapsed="1" x14ac:dyDescent="0.2">
      <c r="A49" s="1202" t="str">
        <f>IF(MOD($F49,$H$2)&lt;$H$2-2,_xll.ciqfunctions.udf.CIQSPLIT(VLOOKUP(E49,'CIQ Key Developments'!$B$8:$I$491,COLUMN('CIQ Key Developments'!$F$7)-COLUMN('CIQ Key Developments'!$B$7)+1,FALSE),$F49,F$6),IF(MOD($F49,$H$2)=$H$2-2,"Source: "&amp;VLOOKUP(E49,'CIQ Key Developments'!$B$8:$I$491,COLUMN('CIQ Key Developments'!$I$7)-COLUMN('CIQ Key Developments'!$B$7)+1,FALSE),""))</f>
        <v>Source: Business Wire</v>
      </c>
      <c r="B49" s="1202"/>
      <c r="C49" s="1202"/>
      <c r="E49" s="383">
        <f t="shared" si="0"/>
        <v>2</v>
      </c>
      <c r="F49" s="7">
        <f t="shared" si="1"/>
        <v>20</v>
      </c>
    </row>
    <row r="50" spans="1:6" ht="7.15" customHeight="1" collapsed="1" x14ac:dyDescent="0.2">
      <c r="A50" s="439" t="str">
        <f>IF(MOD($F50,$H$2)&lt;$H$2-2,_xll.ciqfunctions.udf.CIQSPLIT(VLOOKUP(E50,'CIQ Key Developments'!$B$8:$I$491,COLUMN('CIQ Key Developments'!$F$7)-COLUMN('CIQ Key Developments'!$B$7)+1,FALSE),$F50,F$6),IF(MOD($F50,$H$2)=$H$2-2,"Source: "&amp;VLOOKUP(E50,'CIQ Key Developments'!$B$8:$I$491,COLUMN('CIQ Key Developments'!$I$7)-COLUMN('CIQ Key Developments'!$B$7)+1,FALSE),""))</f>
        <v/>
      </c>
      <c r="B50" s="439"/>
      <c r="C50" s="439"/>
      <c r="E50" s="383">
        <f t="shared" si="0"/>
        <v>2</v>
      </c>
      <c r="F50" s="7">
        <f t="shared" si="1"/>
        <v>21</v>
      </c>
    </row>
    <row r="51" spans="1:6" s="571" customFormat="1" ht="12" customHeight="1" x14ac:dyDescent="0.2">
      <c r="A51" s="1513" t="str">
        <f>+VLOOKUP(E51,'CIQ Key Developments'!$B$8:$I$491,COLUMN('CIQ Key Developments'!$D$7)-COLUMN('CIQ Key Developments'!$B$7)+1,FALSE)</f>
        <v>Walmart Inc. Connect Now Available on Downstream by Jungle Scout</v>
      </c>
      <c r="B51" s="1514"/>
      <c r="C51" s="1515"/>
      <c r="E51" s="383">
        <f t="shared" si="0"/>
        <v>3</v>
      </c>
      <c r="F51" s="7">
        <f t="shared" si="1"/>
        <v>22</v>
      </c>
    </row>
    <row r="52" spans="1:6" s="571" customFormat="1" ht="11.65" customHeight="1" x14ac:dyDescent="0.2">
      <c r="A52" s="1199" t="str">
        <f>+$C$3</f>
        <v>Walmart Inc.</v>
      </c>
      <c r="B52" s="1200" t="str">
        <f>VLOOKUP(E51,'CIQ Key Developments'!$B$8:$I$491,COLUMN('CIQ Key Developments'!$G$7)-COLUMN('CIQ Key Developments'!$B$7)+1,FALSE)&amp;" "&amp;VLOOKUP(E51,'CIQ Key Developments'!$B$8:$I$491,COLUMN('CIQ Key Developments'!$H$7)-COLUMN('CIQ Key Developments'!$B$7)+1,FALSE)</f>
        <v>16 Mar 2022 12:00 AM</v>
      </c>
      <c r="C52" s="1201" t="str">
        <f>+VLOOKUP(E51,'CIQ Key Developments'!$B$8:$I$491,COLUMN('CIQ Key Developments'!$E$7)-COLUMN('CIQ Key Developments'!$B$7)+1,FALSE)</f>
        <v>Client Announcements</v>
      </c>
      <c r="E52" s="383">
        <f t="shared" si="0"/>
        <v>3</v>
      </c>
      <c r="F52" s="7">
        <f t="shared" si="1"/>
        <v>175</v>
      </c>
    </row>
    <row r="53" spans="1:6" s="571" customFormat="1" ht="11.65" customHeight="1" x14ac:dyDescent="0.2">
      <c r="A53" s="1202" t="str">
        <f>IF(MOD($F53,$H$2)&lt;$H$2-2,_xll.ciqfunctions.udf.CIQSPLIT(VLOOKUP(E53,'CIQ Key Developments'!$B$8:$I$491,COLUMN('CIQ Key Developments'!$F$7)-COLUMN('CIQ Key Developments'!$B$7)+1,FALSE),$F53,F$6),IF(MOD($F53,$H$2)=$H$2-2,"Source: "&amp;VLOOKUP(E53,'CIQ Key Developments'!$B$8:$I$491,COLUMN('CIQ Key Developments'!$I$7)-COLUMN('CIQ Key Developments'!$B$7)+1,FALSE),""))</f>
        <v>Jungle Scout, announced a new partnership and integration with Walmart Connect, allowing brands and agencies to create and optimize Walmart search campaigns using Downstream's</v>
      </c>
      <c r="B53" s="1202"/>
      <c r="C53" s="1202"/>
      <c r="E53" s="383">
        <f t="shared" si="0"/>
        <v>3</v>
      </c>
      <c r="F53" s="7">
        <f t="shared" si="1"/>
        <v>1</v>
      </c>
    </row>
    <row r="54" spans="1:6" s="571" customFormat="1" ht="11.65" customHeight="1" x14ac:dyDescent="0.2">
      <c r="A54" s="1202" t="str">
        <f>IF(MOD($F54,$H$2)&lt;$H$2-2,_xll.ciqfunctions.udf.CIQSPLIT(VLOOKUP(E54,'CIQ Key Developments'!$B$8:$I$491,COLUMN('CIQ Key Developments'!$F$7)-COLUMN('CIQ Key Developments'!$B$7)+1,FALSE),$F54,F$6),IF(MOD($F54,$H$2)=$H$2-2,"Source: "&amp;VLOOKUP(E54,'CIQ Key Developments'!$B$8:$I$491,COLUMN('CIQ Key Developments'!$I$7)-COLUMN('CIQ Key Developments'!$B$7)+1,FALSE),""))</f>
        <v>powerful automation tools. Downstream's integration with Walmart Connect's Sponsored Product API will empower suppliers and sellers with capabilities including: Campaign</v>
      </c>
      <c r="B54" s="1202"/>
      <c r="C54" s="1202"/>
      <c r="E54" s="383">
        <f t="shared" si="0"/>
        <v>3</v>
      </c>
      <c r="F54" s="7">
        <f t="shared" si="1"/>
        <v>2</v>
      </c>
    </row>
    <row r="55" spans="1:6" s="571" customFormat="1" ht="11.65" customHeight="1" x14ac:dyDescent="0.2">
      <c r="A55" s="1202" t="str">
        <f>IF(MOD($F55,$H$2)&lt;$H$2-2,_xll.ciqfunctions.udf.CIQSPLIT(VLOOKUP(E55,'CIQ Key Developments'!$B$8:$I$491,COLUMN('CIQ Key Developments'!$F$7)-COLUMN('CIQ Key Developments'!$B$7)+1,FALSE),$F55,F$6),IF(MOD($F55,$H$2)=$H$2-2,"Source: "&amp;VLOOKUP(E55,'CIQ Key Developments'!$B$8:$I$491,COLUMN('CIQ Key Developments'!$I$7)-COLUMN('CIQ Key Developments'!$B$7)+1,FALSE),""))</f>
        <v>Management: Sellers can easily create and launch campaigns with the level of control and visibility that they need. Downstream offers high volumes of data, robust filtering, and</v>
      </c>
      <c r="B55" s="1202"/>
      <c r="C55" s="1202"/>
      <c r="E55" s="383">
        <f t="shared" si="0"/>
        <v>3</v>
      </c>
      <c r="F55" s="7">
        <f t="shared" si="1"/>
        <v>3</v>
      </c>
    </row>
    <row r="56" spans="1:6" s="571" customFormat="1" ht="11.65" customHeight="1" x14ac:dyDescent="0.2">
      <c r="A56" s="1202" t="str">
        <f>IF(MOD($F56,$H$2)&lt;$H$2-2,_xll.ciqfunctions.udf.CIQSPLIT(VLOOKUP(E56,'CIQ Key Developments'!$B$8:$I$491,COLUMN('CIQ Key Developments'!$F$7)-COLUMN('CIQ Key Developments'!$B$7)+1,FALSE),$F56,F$6),IF(MOD($F56,$H$2)=$H$2-2,"Source: "&amp;VLOOKUP(E56,'CIQ Key Developments'!$B$8:$I$491,COLUMN('CIQ Key Developments'!$I$7)-COLUMN('CIQ Key Developments'!$B$7)+1,FALSE),""))</f>
        <v>bulk editing capabilities. Automation &amp; Optimization: Rulebooks, a powerful rules-based automation and optimization tool, gives suppliers and sellers control over campaigns by</v>
      </c>
      <c r="B56" s="1202"/>
      <c r="C56" s="1202"/>
      <c r="E56" s="383">
        <f t="shared" si="0"/>
        <v>3</v>
      </c>
      <c r="F56" s="7">
        <f t="shared" si="1"/>
        <v>4</v>
      </c>
    </row>
    <row r="57" spans="1:6" s="571" customFormat="1" ht="11.65" customHeight="1" x14ac:dyDescent="0.2">
      <c r="A57" s="1202" t="str">
        <f>IF(MOD($F57,$H$2)&lt;$H$2-2,_xll.ciqfunctions.udf.CIQSPLIT(VLOOKUP(E57,'CIQ Key Developments'!$B$8:$I$491,COLUMN('CIQ Key Developments'!$F$7)-COLUMN('CIQ Key Developments'!$B$7)+1,FALSE),$F57,F$6),IF(MOD($F57,$H$2)=$H$2-2,"Source: "&amp;VLOOKUP(E57,'CIQ Key Developments'!$B$8:$I$491,COLUMN('CIQ Key Developments'!$I$7)-COLUMN('CIQ Key Developments'!$B$7)+1,FALSE),""))</f>
        <v>creating precise rules for how Downstream updates bids. Unified Platform for Analytics &amp; Insights: Sellers can obtain a unified view of ecommerce businesses, leverage insights</v>
      </c>
      <c r="B57" s="1202"/>
      <c r="C57" s="1202"/>
      <c r="E57" s="383">
        <f t="shared" si="0"/>
        <v>3</v>
      </c>
      <c r="F57" s="7">
        <f t="shared" si="1"/>
        <v>5</v>
      </c>
    </row>
    <row r="58" spans="1:6" s="571" customFormat="1" ht="11.65" customHeight="1" x14ac:dyDescent="0.2">
      <c r="A58" s="1202" t="str">
        <f>IF(MOD($F58,$H$2)&lt;$H$2-2,_xll.ciqfunctions.udf.CIQSPLIT(VLOOKUP(E58,'CIQ Key Developments'!$B$8:$I$491,COLUMN('CIQ Key Developments'!$F$7)-COLUMN('CIQ Key Developments'!$B$7)+1,FALSE),$F58,F$6),IF(MOD($F58,$H$2)=$H$2-2,"Source: "&amp;VLOOKUP(E58,'CIQ Key Developments'!$B$8:$I$491,COLUMN('CIQ Key Developments'!$I$7)-COLUMN('CIQ Key Developments'!$B$7)+1,FALSE),""))</f>
        <v>to measure the effectiveness of campaigns, and identify new opportunities with access to real-time KPIs.</v>
      </c>
      <c r="B58" s="1202"/>
      <c r="C58" s="1202"/>
      <c r="E58" s="383">
        <f t="shared" si="0"/>
        <v>3</v>
      </c>
      <c r="F58" s="7">
        <f t="shared" si="1"/>
        <v>6</v>
      </c>
    </row>
    <row r="59" spans="1:6" s="571" customFormat="1" ht="11.65" customHeight="1" x14ac:dyDescent="0.2">
      <c r="A59" s="1202" t="str">
        <f>IF(MOD($F59,$H$2)&lt;$H$2-2,_xll.ciqfunctions.udf.CIQSPLIT(VLOOKUP(E59,'CIQ Key Developments'!$B$8:$I$491,COLUMN('CIQ Key Developments'!$F$7)-COLUMN('CIQ Key Developments'!$B$7)+1,FALSE),$F59,F$6),IF(MOD($F59,$H$2)=$H$2-2,"Source: "&amp;VLOOKUP(E59,'CIQ Key Developments'!$B$8:$I$491,COLUMN('CIQ Key Developments'!$I$7)-COLUMN('CIQ Key Developments'!$B$7)+1,FALSE),""))</f>
        <v/>
      </c>
      <c r="B59" s="1202"/>
      <c r="C59" s="1202"/>
      <c r="E59" s="383">
        <f t="shared" si="0"/>
        <v>3</v>
      </c>
      <c r="F59" s="7">
        <f t="shared" si="1"/>
        <v>7</v>
      </c>
    </row>
    <row r="60" spans="1:6" s="571" customFormat="1" ht="11.65" customHeight="1" x14ac:dyDescent="0.2">
      <c r="A60" s="1202" t="str">
        <f>IF(MOD($F60,$H$2)&lt;$H$2-2,_xll.ciqfunctions.udf.CIQSPLIT(VLOOKUP(E60,'CIQ Key Developments'!$B$8:$I$491,COLUMN('CIQ Key Developments'!$F$7)-COLUMN('CIQ Key Developments'!$B$7)+1,FALSE),$F60,F$6),IF(MOD($F60,$H$2)=$H$2-2,"Source: "&amp;VLOOKUP(E60,'CIQ Key Developments'!$B$8:$I$491,COLUMN('CIQ Key Developments'!$I$7)-COLUMN('CIQ Key Developments'!$B$7)+1,FALSE),""))</f>
        <v/>
      </c>
      <c r="B60" s="1202"/>
      <c r="C60" s="1202"/>
      <c r="E60" s="383">
        <f t="shared" si="0"/>
        <v>3</v>
      </c>
      <c r="F60" s="7">
        <f t="shared" si="1"/>
        <v>8</v>
      </c>
    </row>
    <row r="61" spans="1:6" s="571" customFormat="1" ht="11.65" customHeight="1" x14ac:dyDescent="0.2">
      <c r="A61" s="1202" t="str">
        <f>IF(MOD($F61,$H$2)&lt;$H$2-2,_xll.ciqfunctions.udf.CIQSPLIT(VLOOKUP(E61,'CIQ Key Developments'!$B$8:$I$491,COLUMN('CIQ Key Developments'!$F$7)-COLUMN('CIQ Key Developments'!$B$7)+1,FALSE),$F61,F$6),IF(MOD($F61,$H$2)=$H$2-2,"Source: "&amp;VLOOKUP(E61,'CIQ Key Developments'!$B$8:$I$491,COLUMN('CIQ Key Developments'!$I$7)-COLUMN('CIQ Key Developments'!$B$7)+1,FALSE),""))</f>
        <v/>
      </c>
      <c r="B61" s="1202"/>
      <c r="C61" s="1202"/>
      <c r="E61" s="383">
        <f t="shared" si="0"/>
        <v>3</v>
      </c>
      <c r="F61" s="7">
        <f t="shared" si="1"/>
        <v>9</v>
      </c>
    </row>
    <row r="62" spans="1:6" s="571" customFormat="1" ht="11.65" hidden="1" customHeight="1" outlineLevel="1" x14ac:dyDescent="0.2">
      <c r="A62" s="1202" t="str">
        <f>IF(MOD($F62,$H$2)&lt;$H$2-2,_xll.ciqfunctions.udf.CIQSPLIT(VLOOKUP(E62,'CIQ Key Developments'!$B$8:$I$491,COLUMN('CIQ Key Developments'!$F$7)-COLUMN('CIQ Key Developments'!$B$7)+1,FALSE),$F62,F$6),IF(MOD($F62,$H$2)=$H$2-2,"Source: "&amp;VLOOKUP(E62,'CIQ Key Developments'!$B$8:$I$491,COLUMN('CIQ Key Developments'!$I$7)-COLUMN('CIQ Key Developments'!$B$7)+1,FALSE),""))</f>
        <v/>
      </c>
      <c r="B62" s="1202"/>
      <c r="C62" s="1202"/>
      <c r="E62" s="383">
        <f t="shared" si="0"/>
        <v>3</v>
      </c>
      <c r="F62" s="7">
        <f t="shared" si="1"/>
        <v>10</v>
      </c>
    </row>
    <row r="63" spans="1:6" s="571" customFormat="1" ht="11.65" hidden="1" customHeight="1" outlineLevel="1" x14ac:dyDescent="0.2">
      <c r="A63" s="1202" t="str">
        <f>IF(MOD($F63,$H$2)&lt;$H$2-2,_xll.ciqfunctions.udf.CIQSPLIT(VLOOKUP(E63,'CIQ Key Developments'!$B$8:$I$491,COLUMN('CIQ Key Developments'!$F$7)-COLUMN('CIQ Key Developments'!$B$7)+1,FALSE),$F63,F$6),IF(MOD($F63,$H$2)=$H$2-2,"Source: "&amp;VLOOKUP(E63,'CIQ Key Developments'!$B$8:$I$491,COLUMN('CIQ Key Developments'!$I$7)-COLUMN('CIQ Key Developments'!$B$7)+1,FALSE),""))</f>
        <v/>
      </c>
      <c r="B63" s="1202"/>
      <c r="C63" s="1202"/>
      <c r="E63" s="383">
        <f t="shared" si="0"/>
        <v>3</v>
      </c>
      <c r="F63" s="7">
        <f t="shared" si="1"/>
        <v>11</v>
      </c>
    </row>
    <row r="64" spans="1:6" s="571" customFormat="1" ht="11.65" hidden="1" customHeight="1" outlineLevel="1" x14ac:dyDescent="0.2">
      <c r="A64" s="1202" t="str">
        <f>IF(MOD($F64,$H$2)&lt;$H$2-2,_xll.ciqfunctions.udf.CIQSPLIT(VLOOKUP(E64,'CIQ Key Developments'!$B$8:$I$491,COLUMN('CIQ Key Developments'!$F$7)-COLUMN('CIQ Key Developments'!$B$7)+1,FALSE),$F64,F$6),IF(MOD($F64,$H$2)=$H$2-2,"Source: "&amp;VLOOKUP(E64,'CIQ Key Developments'!$B$8:$I$491,COLUMN('CIQ Key Developments'!$I$7)-COLUMN('CIQ Key Developments'!$B$7)+1,FALSE),""))</f>
        <v/>
      </c>
      <c r="B64" s="1202"/>
      <c r="C64" s="1202"/>
      <c r="E64" s="383">
        <f t="shared" si="0"/>
        <v>3</v>
      </c>
      <c r="F64" s="7">
        <f t="shared" si="1"/>
        <v>12</v>
      </c>
    </row>
    <row r="65" spans="1:6" s="571" customFormat="1" ht="11.65" hidden="1" customHeight="1" outlineLevel="1" x14ac:dyDescent="0.2">
      <c r="A65" s="1202" t="str">
        <f>IF(MOD($F65,$H$2)&lt;$H$2-2,_xll.ciqfunctions.udf.CIQSPLIT(VLOOKUP(E65,'CIQ Key Developments'!$B$8:$I$491,COLUMN('CIQ Key Developments'!$F$7)-COLUMN('CIQ Key Developments'!$B$7)+1,FALSE),$F65,F$6),IF(MOD($F65,$H$2)=$H$2-2,"Source: "&amp;VLOOKUP(E65,'CIQ Key Developments'!$B$8:$I$491,COLUMN('CIQ Key Developments'!$I$7)-COLUMN('CIQ Key Developments'!$B$7)+1,FALSE),""))</f>
        <v/>
      </c>
      <c r="B65" s="1202"/>
      <c r="C65" s="1202"/>
      <c r="E65" s="383">
        <f t="shared" si="0"/>
        <v>3</v>
      </c>
      <c r="F65" s="7">
        <f t="shared" si="1"/>
        <v>13</v>
      </c>
    </row>
    <row r="66" spans="1:6" s="571" customFormat="1" ht="11.65" hidden="1" customHeight="1" outlineLevel="1" x14ac:dyDescent="0.2">
      <c r="A66" s="1202" t="str">
        <f>IF(MOD($F66,$H$2)&lt;$H$2-2,_xll.ciqfunctions.udf.CIQSPLIT(VLOOKUP(E66,'CIQ Key Developments'!$B$8:$I$491,COLUMN('CIQ Key Developments'!$F$7)-COLUMN('CIQ Key Developments'!$B$7)+1,FALSE),$F66,F$6),IF(MOD($F66,$H$2)=$H$2-2,"Source: "&amp;VLOOKUP(E66,'CIQ Key Developments'!$B$8:$I$491,COLUMN('CIQ Key Developments'!$I$7)-COLUMN('CIQ Key Developments'!$B$7)+1,FALSE),""))</f>
        <v/>
      </c>
      <c r="B66" s="1202"/>
      <c r="C66" s="1202"/>
      <c r="E66" s="383">
        <f t="shared" si="0"/>
        <v>3</v>
      </c>
      <c r="F66" s="7">
        <f t="shared" si="1"/>
        <v>14</v>
      </c>
    </row>
    <row r="67" spans="1:6" s="571" customFormat="1" ht="11.65" hidden="1" customHeight="1" outlineLevel="1" x14ac:dyDescent="0.2">
      <c r="A67" s="1202" t="str">
        <f>IF(MOD($F67,$H$2)&lt;$H$2-2,_xll.ciqfunctions.udf.CIQSPLIT(VLOOKUP(E67,'CIQ Key Developments'!$B$8:$I$491,COLUMN('CIQ Key Developments'!$F$7)-COLUMN('CIQ Key Developments'!$B$7)+1,FALSE),$F67,F$6),IF(MOD($F67,$H$2)=$H$2-2,"Source: "&amp;VLOOKUP(E67,'CIQ Key Developments'!$B$8:$I$491,COLUMN('CIQ Key Developments'!$I$7)-COLUMN('CIQ Key Developments'!$B$7)+1,FALSE),""))</f>
        <v/>
      </c>
      <c r="B67" s="1202"/>
      <c r="C67" s="1202"/>
      <c r="E67" s="383">
        <f t="shared" si="0"/>
        <v>3</v>
      </c>
      <c r="F67" s="7">
        <f t="shared" si="1"/>
        <v>15</v>
      </c>
    </row>
    <row r="68" spans="1:6" s="571" customFormat="1" ht="11.65" hidden="1" customHeight="1" outlineLevel="1" x14ac:dyDescent="0.2">
      <c r="A68" s="1202" t="str">
        <f>IF(MOD($F68,$H$2)&lt;$H$2-2,_xll.ciqfunctions.udf.CIQSPLIT(VLOOKUP(E68,'CIQ Key Developments'!$B$8:$I$491,COLUMN('CIQ Key Developments'!$F$7)-COLUMN('CIQ Key Developments'!$B$7)+1,FALSE),$F68,F$6),IF(MOD($F68,$H$2)=$H$2-2,"Source: "&amp;VLOOKUP(E68,'CIQ Key Developments'!$B$8:$I$491,COLUMN('CIQ Key Developments'!$I$7)-COLUMN('CIQ Key Developments'!$B$7)+1,FALSE),""))</f>
        <v/>
      </c>
      <c r="B68" s="1202"/>
      <c r="C68" s="1202"/>
      <c r="E68" s="383">
        <f t="shared" si="0"/>
        <v>3</v>
      </c>
      <c r="F68" s="7">
        <f t="shared" si="1"/>
        <v>16</v>
      </c>
    </row>
    <row r="69" spans="1:6" s="571" customFormat="1" ht="11.65" hidden="1" customHeight="1" outlineLevel="1" x14ac:dyDescent="0.2">
      <c r="A69" s="1202" t="str">
        <f>IF(MOD($F69,$H$2)&lt;$H$2-2,_xll.ciqfunctions.udf.CIQSPLIT(VLOOKUP(E69,'CIQ Key Developments'!$B$8:$I$491,COLUMN('CIQ Key Developments'!$F$7)-COLUMN('CIQ Key Developments'!$B$7)+1,FALSE),$F69,F$6),IF(MOD($F69,$H$2)=$H$2-2,"Source: "&amp;VLOOKUP(E69,'CIQ Key Developments'!$B$8:$I$491,COLUMN('CIQ Key Developments'!$I$7)-COLUMN('CIQ Key Developments'!$B$7)+1,FALSE),""))</f>
        <v/>
      </c>
      <c r="B69" s="1202"/>
      <c r="C69" s="1202"/>
      <c r="E69" s="383">
        <f t="shared" si="0"/>
        <v>3</v>
      </c>
      <c r="F69" s="7">
        <f t="shared" si="1"/>
        <v>17</v>
      </c>
    </row>
    <row r="70" spans="1:6" s="571" customFormat="1" ht="11.65" hidden="1" customHeight="1" outlineLevel="1" x14ac:dyDescent="0.2">
      <c r="A70" s="1202" t="str">
        <f>IF(MOD($F70,$H$2)&lt;$H$2-2,_xll.ciqfunctions.udf.CIQSPLIT(VLOOKUP(E70,'CIQ Key Developments'!$B$8:$I$491,COLUMN('CIQ Key Developments'!$F$7)-COLUMN('CIQ Key Developments'!$B$7)+1,FALSE),$F70,F$6),IF(MOD($F70,$H$2)=$H$2-2,"Source: "&amp;VLOOKUP(E70,'CIQ Key Developments'!$B$8:$I$491,COLUMN('CIQ Key Developments'!$I$7)-COLUMN('CIQ Key Developments'!$B$7)+1,FALSE),""))</f>
        <v/>
      </c>
      <c r="B70" s="1202"/>
      <c r="C70" s="1202"/>
      <c r="E70" s="383">
        <f t="shared" si="0"/>
        <v>3</v>
      </c>
      <c r="F70" s="7">
        <f t="shared" si="1"/>
        <v>18</v>
      </c>
    </row>
    <row r="71" spans="1:6" s="571" customFormat="1" ht="11.65" hidden="1" customHeight="1" outlineLevel="1" x14ac:dyDescent="0.2">
      <c r="A71" s="1202" t="str">
        <f>IF(MOD($F71,$H$2)&lt;$H$2-2,_xll.ciqfunctions.udf.CIQSPLIT(VLOOKUP(E71,'CIQ Key Developments'!$B$8:$I$491,COLUMN('CIQ Key Developments'!$F$7)-COLUMN('CIQ Key Developments'!$B$7)+1,FALSE),$F71,F$6),IF(MOD($F71,$H$2)=$H$2-2,"Source: "&amp;VLOOKUP(E71,'CIQ Key Developments'!$B$8:$I$491,COLUMN('CIQ Key Developments'!$I$7)-COLUMN('CIQ Key Developments'!$B$7)+1,FALSE),""))</f>
        <v/>
      </c>
      <c r="B71" s="1202"/>
      <c r="C71" s="1202"/>
      <c r="E71" s="383">
        <f t="shared" ref="E71:E134" si="2">+IF(F72=$F$6,E70+1,E70)</f>
        <v>3</v>
      </c>
      <c r="F71" s="7">
        <f t="shared" si="1"/>
        <v>19</v>
      </c>
    </row>
    <row r="72" spans="1:6" s="571" customFormat="1" ht="11.65" customHeight="1" collapsed="1" x14ac:dyDescent="0.2">
      <c r="A72" s="1202" t="str">
        <f>IF(MOD($F72,$H$2)&lt;$H$2-2,_xll.ciqfunctions.udf.CIQSPLIT(VLOOKUP(E72,'CIQ Key Developments'!$B$8:$I$491,COLUMN('CIQ Key Developments'!$F$7)-COLUMN('CIQ Key Developments'!$B$7)+1,FALSE),$F72,F$6),IF(MOD($F72,$H$2)=$H$2-2,"Source: "&amp;VLOOKUP(E72,'CIQ Key Developments'!$B$8:$I$491,COLUMN('CIQ Key Developments'!$I$7)-COLUMN('CIQ Key Developments'!$B$7)+1,FALSE),""))</f>
        <v>Source: GlobeNewswire</v>
      </c>
      <c r="B72" s="1202"/>
      <c r="C72" s="1202"/>
      <c r="E72" s="383">
        <f t="shared" si="2"/>
        <v>3</v>
      </c>
      <c r="F72" s="7">
        <f t="shared" si="1"/>
        <v>20</v>
      </c>
    </row>
    <row r="73" spans="1:6" ht="7.15" customHeight="1" collapsed="1" x14ac:dyDescent="0.2">
      <c r="A73" s="439" t="str">
        <f>IF(MOD($F73,$H$2)&lt;$H$2-2,_xll.ciqfunctions.udf.CIQSPLIT(VLOOKUP(E73,'CIQ Key Developments'!$B$8:$I$491,COLUMN('CIQ Key Developments'!$F$7)-COLUMN('CIQ Key Developments'!$B$7)+1,FALSE),$F73,F$6),IF(MOD($F73,$H$2)=$H$2-2,"Source: "&amp;VLOOKUP(E73,'CIQ Key Developments'!$B$8:$I$491,COLUMN('CIQ Key Developments'!$I$7)-COLUMN('CIQ Key Developments'!$B$7)+1,FALSE),""))</f>
        <v/>
      </c>
      <c r="B73" s="439"/>
      <c r="C73" s="439"/>
      <c r="E73" s="383">
        <f t="shared" si="2"/>
        <v>3</v>
      </c>
      <c r="F73" s="7">
        <f t="shared" ref="F73:F136" si="3">+IF(F72&lt;$H$2,F72+1,IF(F72=$F$6,1,$F$6))</f>
        <v>21</v>
      </c>
    </row>
    <row r="74" spans="1:6" s="571" customFormat="1" ht="12" customHeight="1" x14ac:dyDescent="0.2">
      <c r="A74" s="1513" t="str">
        <f>+VLOOKUP(E74,'CIQ Key Developments'!$B$8:$I$491,COLUMN('CIQ Key Developments'!$D$7)-COLUMN('CIQ Key Developments'!$B$7)+1,FALSE)</f>
        <v>Walmart Inc. Announces Plans to Hire 5,000+ Tech Workers, Expands to New Locations</v>
      </c>
      <c r="B74" s="1514"/>
      <c r="C74" s="1515"/>
      <c r="E74" s="383">
        <f t="shared" si="2"/>
        <v>4</v>
      </c>
      <c r="F74" s="7">
        <f t="shared" si="3"/>
        <v>22</v>
      </c>
    </row>
    <row r="75" spans="1:6" s="571" customFormat="1" ht="11.65" customHeight="1" x14ac:dyDescent="0.2">
      <c r="A75" s="1199" t="str">
        <f>+$C$3</f>
        <v>Walmart Inc.</v>
      </c>
      <c r="B75" s="1200" t="str">
        <f>VLOOKUP(E74,'CIQ Key Developments'!$B$8:$I$491,COLUMN('CIQ Key Developments'!$G$7)-COLUMN('CIQ Key Developments'!$B$7)+1,FALSE)&amp;" "&amp;VLOOKUP(E74,'CIQ Key Developments'!$B$8:$I$491,COLUMN('CIQ Key Developments'!$H$7)-COLUMN('CIQ Key Developments'!$B$7)+1,FALSE)</f>
        <v>15 Mar 2022 12:00 AM</v>
      </c>
      <c r="C75" s="1201" t="str">
        <f>+VLOOKUP(E74,'CIQ Key Developments'!$B$8:$I$491,COLUMN('CIQ Key Developments'!$E$7)-COLUMN('CIQ Key Developments'!$B$7)+1,FALSE)</f>
        <v>Business Expansions</v>
      </c>
      <c r="E75" s="383">
        <f t="shared" si="2"/>
        <v>4</v>
      </c>
      <c r="F75" s="7">
        <f t="shared" si="3"/>
        <v>175</v>
      </c>
    </row>
    <row r="76" spans="1:6" s="571" customFormat="1" ht="11.65" customHeight="1" x14ac:dyDescent="0.2">
      <c r="A76" s="1202" t="str">
        <f>IF(MOD($F76,$H$2)&lt;$H$2-2,_xll.ciqfunctions.udf.CIQSPLIT(VLOOKUP(E76,'CIQ Key Developments'!$B$8:$I$491,COLUMN('CIQ Key Developments'!$F$7)-COLUMN('CIQ Key Developments'!$B$7)+1,FALSE),$F76,F$6),IF(MOD($F76,$H$2)=$H$2-2,"Source: "&amp;VLOOKUP(E76,'CIQ Key Developments'!$B$8:$I$491,COLUMN('CIQ Key Developments'!$I$7)-COLUMN('CIQ Key Developments'!$B$7)+1,FALSE),""))</f>
        <v>Walmart Inc. announced plans to make Toronto, Ontario and Atlanta, Georgia two new Walmart Global Tech hubs because of their growing tech presence, connection to Walmart and</v>
      </c>
      <c r="B76" s="1202"/>
      <c r="C76" s="1202"/>
      <c r="E76" s="383">
        <f t="shared" si="2"/>
        <v>4</v>
      </c>
      <c r="F76" s="7">
        <f t="shared" si="3"/>
        <v>1</v>
      </c>
    </row>
    <row r="77" spans="1:6" s="571" customFormat="1" ht="11.65" hidden="1" customHeight="1" outlineLevel="1" x14ac:dyDescent="0.2">
      <c r="A77" s="1202" t="str">
        <f>IF(MOD($F77,$H$2)&lt;$H$2-2,_xll.ciqfunctions.udf.CIQSPLIT(VLOOKUP(E77,'CIQ Key Developments'!$B$8:$I$491,COLUMN('CIQ Key Developments'!$F$7)-COLUMN('CIQ Key Developments'!$B$7)+1,FALSE),$F77,F$6),IF(MOD($F77,$H$2)=$H$2-2,"Source: "&amp;VLOOKUP(E77,'CIQ Key Developments'!$B$8:$I$491,COLUMN('CIQ Key Developments'!$I$7)-COLUMN('CIQ Key Developments'!$B$7)+1,FALSE),""))</f>
        <v>broad and diverse local talent. The expansion is part of Walmart Global Tech's plan to hire more than 5,000 associates globally this fiscal year. Walmart Global Tech plans to</v>
      </c>
      <c r="B77" s="1202"/>
      <c r="C77" s="1202"/>
      <c r="E77" s="383">
        <f t="shared" si="2"/>
        <v>4</v>
      </c>
      <c r="F77" s="7">
        <f t="shared" si="3"/>
        <v>2</v>
      </c>
    </row>
    <row r="78" spans="1:6" s="571" customFormat="1" ht="11.65" hidden="1" customHeight="1" outlineLevel="1" x14ac:dyDescent="0.2">
      <c r="A78" s="1202" t="str">
        <f>IF(MOD($F78,$H$2)&lt;$H$2-2,_xll.ciqfunctions.udf.CIQSPLIT(VLOOKUP(E78,'CIQ Key Developments'!$B$8:$I$491,COLUMN('CIQ Key Developments'!$F$7)-COLUMN('CIQ Key Developments'!$B$7)+1,FALSE),$F78,F$6),IF(MOD($F78,$H$2)=$H$2-2,"Source: "&amp;VLOOKUP(E78,'CIQ Key Developments'!$B$8:$I$491,COLUMN('CIQ Key Developments'!$I$7)-COLUMN('CIQ Key Developments'!$B$7)+1,FALSE),""))</f>
        <v>make Toronto one of its large hubs, with hundreds of new jobs over time. The initial hiring phase is expected to include 45 full-time roles in software development, technical</v>
      </c>
      <c r="B78" s="1202"/>
      <c r="C78" s="1202"/>
      <c r="E78" s="383">
        <f t="shared" si="2"/>
        <v>4</v>
      </c>
      <c r="F78" s="7">
        <f t="shared" si="3"/>
        <v>3</v>
      </c>
    </row>
    <row r="79" spans="1:6" s="571" customFormat="1" ht="11.65" hidden="1" customHeight="1" outlineLevel="1" x14ac:dyDescent="0.2">
      <c r="A79" s="1202" t="str">
        <f>IF(MOD($F79,$H$2)&lt;$H$2-2,_xll.ciqfunctions.udf.CIQSPLIT(VLOOKUP(E79,'CIQ Key Developments'!$B$8:$I$491,COLUMN('CIQ Key Developments'!$F$7)-COLUMN('CIQ Key Developments'!$B$7)+1,FALSE),$F79,F$6),IF(MOD($F79,$H$2)=$H$2-2,"Source: "&amp;VLOOKUP(E79,'CIQ Key Developments'!$B$8:$I$491,COLUMN('CIQ Key Developments'!$I$7)-COLUMN('CIQ Key Developments'!$B$7)+1,FALSE),""))</f>
        <v>program management and product management. Initial hiring in Atlanta is expected to include 140 new full-time roles such as data scientists and software engineers.</v>
      </c>
      <c r="B79" s="1202"/>
      <c r="C79" s="1202"/>
      <c r="E79" s="383">
        <f t="shared" si="2"/>
        <v>4</v>
      </c>
      <c r="F79" s="7">
        <f t="shared" si="3"/>
        <v>4</v>
      </c>
    </row>
    <row r="80" spans="1:6" s="571" customFormat="1" ht="11.65" hidden="1" customHeight="1" outlineLevel="1" x14ac:dyDescent="0.2">
      <c r="A80" s="1202" t="str">
        <f>IF(MOD($F80,$H$2)&lt;$H$2-2,_xll.ciqfunctions.udf.CIQSPLIT(VLOOKUP(E80,'CIQ Key Developments'!$B$8:$I$491,COLUMN('CIQ Key Developments'!$F$7)-COLUMN('CIQ Key Developments'!$B$7)+1,FALSE),$F80,F$6),IF(MOD($F80,$H$2)=$H$2-2,"Source: "&amp;VLOOKUP(E80,'CIQ Key Developments'!$B$8:$I$491,COLUMN('CIQ Key Developments'!$I$7)-COLUMN('CIQ Key Developments'!$B$7)+1,FALSE),""))</f>
        <v/>
      </c>
      <c r="B80" s="1202"/>
      <c r="C80" s="1202"/>
      <c r="E80" s="383">
        <f t="shared" si="2"/>
        <v>4</v>
      </c>
      <c r="F80" s="7">
        <f t="shared" si="3"/>
        <v>5</v>
      </c>
    </row>
    <row r="81" spans="1:6" s="571" customFormat="1" ht="11.65" hidden="1" customHeight="1" outlineLevel="1" x14ac:dyDescent="0.2">
      <c r="A81" s="1202" t="str">
        <f>IF(MOD($F81,$H$2)&lt;$H$2-2,_xll.ciqfunctions.udf.CIQSPLIT(VLOOKUP(E81,'CIQ Key Developments'!$B$8:$I$491,COLUMN('CIQ Key Developments'!$F$7)-COLUMN('CIQ Key Developments'!$B$7)+1,FALSE),$F81,F$6),IF(MOD($F81,$H$2)=$H$2-2,"Source: "&amp;VLOOKUP(E81,'CIQ Key Developments'!$B$8:$I$491,COLUMN('CIQ Key Developments'!$I$7)-COLUMN('CIQ Key Developments'!$B$7)+1,FALSE),""))</f>
        <v/>
      </c>
      <c r="B81" s="1202"/>
      <c r="C81" s="1202"/>
      <c r="E81" s="383">
        <f t="shared" si="2"/>
        <v>4</v>
      </c>
      <c r="F81" s="7">
        <f t="shared" si="3"/>
        <v>6</v>
      </c>
    </row>
    <row r="82" spans="1:6" s="571" customFormat="1" ht="11.65" hidden="1" customHeight="1" outlineLevel="1" x14ac:dyDescent="0.2">
      <c r="A82" s="1202" t="str">
        <f>IF(MOD($F82,$H$2)&lt;$H$2-2,_xll.ciqfunctions.udf.CIQSPLIT(VLOOKUP(E82,'CIQ Key Developments'!$B$8:$I$491,COLUMN('CIQ Key Developments'!$F$7)-COLUMN('CIQ Key Developments'!$B$7)+1,FALSE),$F82,F$6),IF(MOD($F82,$H$2)=$H$2-2,"Source: "&amp;VLOOKUP(E82,'CIQ Key Developments'!$B$8:$I$491,COLUMN('CIQ Key Developments'!$I$7)-COLUMN('CIQ Key Developments'!$B$7)+1,FALSE),""))</f>
        <v/>
      </c>
      <c r="B82" s="1202"/>
      <c r="C82" s="1202"/>
      <c r="E82" s="383">
        <f t="shared" si="2"/>
        <v>4</v>
      </c>
      <c r="F82" s="7">
        <f t="shared" si="3"/>
        <v>7</v>
      </c>
    </row>
    <row r="83" spans="1:6" s="571" customFormat="1" ht="11.65" hidden="1" customHeight="1" outlineLevel="1" x14ac:dyDescent="0.2">
      <c r="A83" s="1202" t="str">
        <f>IF(MOD($F83,$H$2)&lt;$H$2-2,_xll.ciqfunctions.udf.CIQSPLIT(VLOOKUP(E83,'CIQ Key Developments'!$B$8:$I$491,COLUMN('CIQ Key Developments'!$F$7)-COLUMN('CIQ Key Developments'!$B$7)+1,FALSE),$F83,F$6),IF(MOD($F83,$H$2)=$H$2-2,"Source: "&amp;VLOOKUP(E83,'CIQ Key Developments'!$B$8:$I$491,COLUMN('CIQ Key Developments'!$I$7)-COLUMN('CIQ Key Developments'!$B$7)+1,FALSE),""))</f>
        <v/>
      </c>
      <c r="B83" s="1202"/>
      <c r="C83" s="1202"/>
      <c r="E83" s="383">
        <f t="shared" si="2"/>
        <v>4</v>
      </c>
      <c r="F83" s="7">
        <f t="shared" si="3"/>
        <v>8</v>
      </c>
    </row>
    <row r="84" spans="1:6" s="571" customFormat="1" ht="11.65" hidden="1" customHeight="1" outlineLevel="1" x14ac:dyDescent="0.2">
      <c r="A84" s="1202" t="str">
        <f>IF(MOD($F84,$H$2)&lt;$H$2-2,_xll.ciqfunctions.udf.CIQSPLIT(VLOOKUP(E84,'CIQ Key Developments'!$B$8:$I$491,COLUMN('CIQ Key Developments'!$F$7)-COLUMN('CIQ Key Developments'!$B$7)+1,FALSE),$F84,F$6),IF(MOD($F84,$H$2)=$H$2-2,"Source: "&amp;VLOOKUP(E84,'CIQ Key Developments'!$B$8:$I$491,COLUMN('CIQ Key Developments'!$I$7)-COLUMN('CIQ Key Developments'!$B$7)+1,FALSE),""))</f>
        <v/>
      </c>
      <c r="B84" s="1202"/>
      <c r="C84" s="1202"/>
      <c r="E84" s="383">
        <f t="shared" si="2"/>
        <v>4</v>
      </c>
      <c r="F84" s="7">
        <f t="shared" si="3"/>
        <v>9</v>
      </c>
    </row>
    <row r="85" spans="1:6" s="571" customFormat="1" ht="11.65" hidden="1" customHeight="1" outlineLevel="1" x14ac:dyDescent="0.2">
      <c r="A85" s="1202" t="str">
        <f>IF(MOD($F85,$H$2)&lt;$H$2-2,_xll.ciqfunctions.udf.CIQSPLIT(VLOOKUP(E85,'CIQ Key Developments'!$B$8:$I$491,COLUMN('CIQ Key Developments'!$F$7)-COLUMN('CIQ Key Developments'!$B$7)+1,FALSE),$F85,F$6),IF(MOD($F85,$H$2)=$H$2-2,"Source: "&amp;VLOOKUP(E85,'CIQ Key Developments'!$B$8:$I$491,COLUMN('CIQ Key Developments'!$I$7)-COLUMN('CIQ Key Developments'!$B$7)+1,FALSE),""))</f>
        <v/>
      </c>
      <c r="B85" s="1202"/>
      <c r="C85" s="1202"/>
      <c r="E85" s="383">
        <f t="shared" si="2"/>
        <v>4</v>
      </c>
      <c r="F85" s="7">
        <f t="shared" si="3"/>
        <v>10</v>
      </c>
    </row>
    <row r="86" spans="1:6" s="571" customFormat="1" ht="11.65" hidden="1" customHeight="1" outlineLevel="1" x14ac:dyDescent="0.2">
      <c r="A86" s="1202" t="str">
        <f>IF(MOD($F86,$H$2)&lt;$H$2-2,_xll.ciqfunctions.udf.CIQSPLIT(VLOOKUP(E86,'CIQ Key Developments'!$B$8:$I$491,COLUMN('CIQ Key Developments'!$F$7)-COLUMN('CIQ Key Developments'!$B$7)+1,FALSE),$F86,F$6),IF(MOD($F86,$H$2)=$H$2-2,"Source: "&amp;VLOOKUP(E86,'CIQ Key Developments'!$B$8:$I$491,COLUMN('CIQ Key Developments'!$I$7)-COLUMN('CIQ Key Developments'!$B$7)+1,FALSE),""))</f>
        <v/>
      </c>
      <c r="B86" s="1202"/>
      <c r="C86" s="1202"/>
      <c r="E86" s="383">
        <f t="shared" si="2"/>
        <v>4</v>
      </c>
      <c r="F86" s="7">
        <f t="shared" si="3"/>
        <v>11</v>
      </c>
    </row>
    <row r="87" spans="1:6" s="571" customFormat="1" ht="11.65" hidden="1" customHeight="1" outlineLevel="1" x14ac:dyDescent="0.2">
      <c r="A87" s="1202" t="str">
        <f>IF(MOD($F87,$H$2)&lt;$H$2-2,_xll.ciqfunctions.udf.CIQSPLIT(VLOOKUP(E87,'CIQ Key Developments'!$B$8:$I$491,COLUMN('CIQ Key Developments'!$F$7)-COLUMN('CIQ Key Developments'!$B$7)+1,FALSE),$F87,F$6),IF(MOD($F87,$H$2)=$H$2-2,"Source: "&amp;VLOOKUP(E87,'CIQ Key Developments'!$B$8:$I$491,COLUMN('CIQ Key Developments'!$I$7)-COLUMN('CIQ Key Developments'!$B$7)+1,FALSE),""))</f>
        <v/>
      </c>
      <c r="B87" s="1202"/>
      <c r="C87" s="1202"/>
      <c r="E87" s="383">
        <f t="shared" si="2"/>
        <v>4</v>
      </c>
      <c r="F87" s="7">
        <f t="shared" si="3"/>
        <v>12</v>
      </c>
    </row>
    <row r="88" spans="1:6" s="571" customFormat="1" ht="11.65" hidden="1" customHeight="1" outlineLevel="1" x14ac:dyDescent="0.2">
      <c r="A88" s="1202" t="str">
        <f>IF(MOD($F88,$H$2)&lt;$H$2-2,_xll.ciqfunctions.udf.CIQSPLIT(VLOOKUP(E88,'CIQ Key Developments'!$B$8:$I$491,COLUMN('CIQ Key Developments'!$F$7)-COLUMN('CIQ Key Developments'!$B$7)+1,FALSE),$F88,F$6),IF(MOD($F88,$H$2)=$H$2-2,"Source: "&amp;VLOOKUP(E88,'CIQ Key Developments'!$B$8:$I$491,COLUMN('CIQ Key Developments'!$I$7)-COLUMN('CIQ Key Developments'!$B$7)+1,FALSE),""))</f>
        <v/>
      </c>
      <c r="B88" s="1202"/>
      <c r="C88" s="1202"/>
      <c r="E88" s="383">
        <f t="shared" si="2"/>
        <v>4</v>
      </c>
      <c r="F88" s="7">
        <f t="shared" si="3"/>
        <v>13</v>
      </c>
    </row>
    <row r="89" spans="1:6" s="571" customFormat="1" ht="11.65" hidden="1" customHeight="1" outlineLevel="1" x14ac:dyDescent="0.2">
      <c r="A89" s="1202" t="str">
        <f>IF(MOD($F89,$H$2)&lt;$H$2-2,_xll.ciqfunctions.udf.CIQSPLIT(VLOOKUP(E89,'CIQ Key Developments'!$B$8:$I$491,COLUMN('CIQ Key Developments'!$F$7)-COLUMN('CIQ Key Developments'!$B$7)+1,FALSE),$F89,F$6),IF(MOD($F89,$H$2)=$H$2-2,"Source: "&amp;VLOOKUP(E89,'CIQ Key Developments'!$B$8:$I$491,COLUMN('CIQ Key Developments'!$I$7)-COLUMN('CIQ Key Developments'!$B$7)+1,FALSE),""))</f>
        <v/>
      </c>
      <c r="B89" s="1202"/>
      <c r="C89" s="1202"/>
      <c r="E89" s="383">
        <f t="shared" si="2"/>
        <v>4</v>
      </c>
      <c r="F89" s="7">
        <f t="shared" si="3"/>
        <v>14</v>
      </c>
    </row>
    <row r="90" spans="1:6" s="571" customFormat="1" ht="11.65" hidden="1" customHeight="1" outlineLevel="1" x14ac:dyDescent="0.2">
      <c r="A90" s="1202" t="str">
        <f>IF(MOD($F90,$H$2)&lt;$H$2-2,_xll.ciqfunctions.udf.CIQSPLIT(VLOOKUP(E90,'CIQ Key Developments'!$B$8:$I$491,COLUMN('CIQ Key Developments'!$F$7)-COLUMN('CIQ Key Developments'!$B$7)+1,FALSE),$F90,F$6),IF(MOD($F90,$H$2)=$H$2-2,"Source: "&amp;VLOOKUP(E90,'CIQ Key Developments'!$B$8:$I$491,COLUMN('CIQ Key Developments'!$I$7)-COLUMN('CIQ Key Developments'!$B$7)+1,FALSE),""))</f>
        <v/>
      </c>
      <c r="B90" s="1202"/>
      <c r="C90" s="1202"/>
      <c r="E90" s="383">
        <f t="shared" si="2"/>
        <v>4</v>
      </c>
      <c r="F90" s="7">
        <f t="shared" si="3"/>
        <v>15</v>
      </c>
    </row>
    <row r="91" spans="1:6" s="571" customFormat="1" ht="11.65" hidden="1" customHeight="1" outlineLevel="1" x14ac:dyDescent="0.2">
      <c r="A91" s="1202" t="str">
        <f>IF(MOD($F91,$H$2)&lt;$H$2-2,_xll.ciqfunctions.udf.CIQSPLIT(VLOOKUP(E91,'CIQ Key Developments'!$B$8:$I$491,COLUMN('CIQ Key Developments'!$F$7)-COLUMN('CIQ Key Developments'!$B$7)+1,FALSE),$F91,F$6),IF(MOD($F91,$H$2)=$H$2-2,"Source: "&amp;VLOOKUP(E91,'CIQ Key Developments'!$B$8:$I$491,COLUMN('CIQ Key Developments'!$I$7)-COLUMN('CIQ Key Developments'!$B$7)+1,FALSE),""))</f>
        <v/>
      </c>
      <c r="B91" s="1202"/>
      <c r="C91" s="1202"/>
      <c r="E91" s="383">
        <f t="shared" si="2"/>
        <v>4</v>
      </c>
      <c r="F91" s="7">
        <f t="shared" si="3"/>
        <v>16</v>
      </c>
    </row>
    <row r="92" spans="1:6" s="571" customFormat="1" ht="11.65" hidden="1" customHeight="1" outlineLevel="1" x14ac:dyDescent="0.2">
      <c r="A92" s="1202" t="str">
        <f>IF(MOD($F92,$H$2)&lt;$H$2-2,_xll.ciqfunctions.udf.CIQSPLIT(VLOOKUP(E92,'CIQ Key Developments'!$B$8:$I$491,COLUMN('CIQ Key Developments'!$F$7)-COLUMN('CIQ Key Developments'!$B$7)+1,FALSE),$F92,F$6),IF(MOD($F92,$H$2)=$H$2-2,"Source: "&amp;VLOOKUP(E92,'CIQ Key Developments'!$B$8:$I$491,COLUMN('CIQ Key Developments'!$I$7)-COLUMN('CIQ Key Developments'!$B$7)+1,FALSE),""))</f>
        <v/>
      </c>
      <c r="B92" s="1202"/>
      <c r="C92" s="1202"/>
      <c r="E92" s="383">
        <f t="shared" si="2"/>
        <v>4</v>
      </c>
      <c r="F92" s="7">
        <f t="shared" si="3"/>
        <v>17</v>
      </c>
    </row>
    <row r="93" spans="1:6" s="571" customFormat="1" ht="11.65" hidden="1" customHeight="1" outlineLevel="1" x14ac:dyDescent="0.2">
      <c r="A93" s="1202" t="str">
        <f>IF(MOD($F93,$H$2)&lt;$H$2-2,_xll.ciqfunctions.udf.CIQSPLIT(VLOOKUP(E93,'CIQ Key Developments'!$B$8:$I$491,COLUMN('CIQ Key Developments'!$F$7)-COLUMN('CIQ Key Developments'!$B$7)+1,FALSE),$F93,F$6),IF(MOD($F93,$H$2)=$H$2-2,"Source: "&amp;VLOOKUP(E93,'CIQ Key Developments'!$B$8:$I$491,COLUMN('CIQ Key Developments'!$I$7)-COLUMN('CIQ Key Developments'!$B$7)+1,FALSE),""))</f>
        <v/>
      </c>
      <c r="B93" s="1202"/>
      <c r="C93" s="1202"/>
      <c r="E93" s="383">
        <f t="shared" si="2"/>
        <v>4</v>
      </c>
      <c r="F93" s="7">
        <f t="shared" si="3"/>
        <v>18</v>
      </c>
    </row>
    <row r="94" spans="1:6" s="571" customFormat="1" ht="11.65" hidden="1" customHeight="1" outlineLevel="1" x14ac:dyDescent="0.2">
      <c r="A94" s="1202" t="str">
        <f>IF(MOD($F94,$H$2)&lt;$H$2-2,_xll.ciqfunctions.udf.CIQSPLIT(VLOOKUP(E94,'CIQ Key Developments'!$B$8:$I$491,COLUMN('CIQ Key Developments'!$F$7)-COLUMN('CIQ Key Developments'!$B$7)+1,FALSE),$F94,F$6),IF(MOD($F94,$H$2)=$H$2-2,"Source: "&amp;VLOOKUP(E94,'CIQ Key Developments'!$B$8:$I$491,COLUMN('CIQ Key Developments'!$I$7)-COLUMN('CIQ Key Developments'!$B$7)+1,FALSE),""))</f>
        <v/>
      </c>
      <c r="B94" s="1202"/>
      <c r="C94" s="1202"/>
      <c r="E94" s="383">
        <f t="shared" si="2"/>
        <v>4</v>
      </c>
      <c r="F94" s="7">
        <f t="shared" si="3"/>
        <v>19</v>
      </c>
    </row>
    <row r="95" spans="1:6" s="571" customFormat="1" ht="11.65" customHeight="1" collapsed="1" x14ac:dyDescent="0.2">
      <c r="A95" s="1202" t="str">
        <f>IF(MOD($F95,$H$2)&lt;$H$2-2,_xll.ciqfunctions.udf.CIQSPLIT(VLOOKUP(E95,'CIQ Key Developments'!$B$8:$I$491,COLUMN('CIQ Key Developments'!$F$7)-COLUMN('CIQ Key Developments'!$B$7)+1,FALSE),$F95,F$6),IF(MOD($F95,$H$2)=$H$2-2,"Source: "&amp;VLOOKUP(E95,'CIQ Key Developments'!$B$8:$I$491,COLUMN('CIQ Key Developments'!$I$7)-COLUMN('CIQ Key Developments'!$B$7)+1,FALSE),""))</f>
        <v>Source: Canada News Wire</v>
      </c>
      <c r="B95" s="1202"/>
      <c r="C95" s="1202"/>
      <c r="E95" s="383">
        <f t="shared" si="2"/>
        <v>4</v>
      </c>
      <c r="F95" s="7">
        <f t="shared" si="3"/>
        <v>20</v>
      </c>
    </row>
    <row r="96" spans="1:6" ht="7.15" customHeight="1" collapsed="1" x14ac:dyDescent="0.2">
      <c r="A96" s="439" t="str">
        <f>IF(MOD($F96,$H$2)&lt;$H$2-2,_xll.ciqfunctions.udf.CIQSPLIT(VLOOKUP(E96,'CIQ Key Developments'!$B$8:$I$491,COLUMN('CIQ Key Developments'!$F$7)-COLUMN('CIQ Key Developments'!$B$7)+1,FALSE),$F96,F$6),IF(MOD($F96,$H$2)=$H$2-2,"Source: "&amp;VLOOKUP(E96,'CIQ Key Developments'!$B$8:$I$491,COLUMN('CIQ Key Developments'!$I$7)-COLUMN('CIQ Key Developments'!$B$7)+1,FALSE),""))</f>
        <v/>
      </c>
      <c r="B96" s="439"/>
      <c r="C96" s="439"/>
      <c r="E96" s="383">
        <f t="shared" si="2"/>
        <v>4</v>
      </c>
      <c r="F96" s="7">
        <f t="shared" si="3"/>
        <v>21</v>
      </c>
    </row>
    <row r="97" spans="1:6" s="571" customFormat="1" ht="12" customHeight="1" x14ac:dyDescent="0.2">
      <c r="A97" s="1513" t="str">
        <f>+VLOOKUP(E97,'CIQ Key Developments'!$B$8:$I$491,COLUMN('CIQ Key Developments'!$D$7)-COLUMN('CIQ Key Developments'!$B$7)+1,FALSE)</f>
        <v>Walmart Inc. Presents at 11th Annual UBS Global Consumer and Retail Conference, Mar-10-2022 12:00 PM</v>
      </c>
      <c r="B97" s="1514"/>
      <c r="C97" s="1515"/>
      <c r="E97" s="383">
        <f t="shared" si="2"/>
        <v>5</v>
      </c>
      <c r="F97" s="7">
        <f t="shared" si="3"/>
        <v>22</v>
      </c>
    </row>
    <row r="98" spans="1:6" s="571" customFormat="1" ht="11.65" customHeight="1" x14ac:dyDescent="0.2">
      <c r="A98" s="1199" t="str">
        <f>+$C$3</f>
        <v>Walmart Inc.</v>
      </c>
      <c r="B98" s="1200" t="str">
        <f>VLOOKUP(E97,'CIQ Key Developments'!$B$8:$I$491,COLUMN('CIQ Key Developments'!$G$7)-COLUMN('CIQ Key Developments'!$B$7)+1,FALSE)&amp;" "&amp;VLOOKUP(E97,'CIQ Key Developments'!$B$8:$I$491,COLUMN('CIQ Key Developments'!$H$7)-COLUMN('CIQ Key Developments'!$B$7)+1,FALSE)</f>
        <v>11 Mar 2022 1:00 AM</v>
      </c>
      <c r="C98" s="1201" t="str">
        <f>+VLOOKUP(E97,'CIQ Key Developments'!$B$8:$I$491,COLUMN('CIQ Key Developments'!$E$7)-COLUMN('CIQ Key Developments'!$B$7)+1,FALSE)</f>
        <v>Company Conference Presentations</v>
      </c>
      <c r="E98" s="383">
        <f t="shared" si="2"/>
        <v>5</v>
      </c>
      <c r="F98" s="7">
        <f t="shared" si="3"/>
        <v>175</v>
      </c>
    </row>
    <row r="99" spans="1:6" s="571" customFormat="1" ht="11.65" customHeight="1" x14ac:dyDescent="0.2">
      <c r="A99" s="1202" t="str">
        <f>IF(MOD($F99,$H$2)&lt;$H$2-2,_xll.ciqfunctions.udf.CIQSPLIT(VLOOKUP(E99,'CIQ Key Developments'!$B$8:$I$491,COLUMN('CIQ Key Developments'!$F$7)-COLUMN('CIQ Key Developments'!$B$7)+1,FALSE),$F99,F$6),IF(MOD($F99,$H$2)=$H$2-2,"Source: "&amp;VLOOKUP(E99,'CIQ Key Developments'!$B$8:$I$491,COLUMN('CIQ Key Developments'!$I$7)-COLUMN('CIQ Key Developments'!$B$7)+1,FALSE),""))</f>
        <v>Walmart Inc. Presents at 11th Annual UBS Global Consumer and Retail Conference, Mar-10-2022 12:00 PM. Venue: Four Seasons Hotel Boston, Boston, Massachusetts, United States.</v>
      </c>
      <c r="B99" s="1202"/>
      <c r="C99" s="1202"/>
      <c r="E99" s="383">
        <f t="shared" si="2"/>
        <v>5</v>
      </c>
      <c r="F99" s="7">
        <f t="shared" si="3"/>
        <v>1</v>
      </c>
    </row>
    <row r="100" spans="1:6" s="571" customFormat="1" ht="11.65" customHeight="1" x14ac:dyDescent="0.2">
      <c r="A100" s="1202" t="str">
        <f>IF(MOD($F100,$H$2)&lt;$H$2-2,_xll.ciqfunctions.udf.CIQSPLIT(VLOOKUP(E100,'CIQ Key Developments'!$B$8:$I$491,COLUMN('CIQ Key Developments'!$F$7)-COLUMN('CIQ Key Developments'!$B$7)+1,FALSE),$F100,F$6),IF(MOD($F100,$H$2)=$H$2-2,"Source: "&amp;VLOOKUP(E100,'CIQ Key Developments'!$B$8:$I$491,COLUMN('CIQ Key Developments'!$I$7)-COLUMN('CIQ Key Developments'!$B$7)+1,FALSE),""))</f>
        <v>Speakers: M. Brett Biggs, Executive VP &amp; CFO.</v>
      </c>
      <c r="B100" s="1202"/>
      <c r="C100" s="1202"/>
      <c r="E100" s="383">
        <f t="shared" si="2"/>
        <v>5</v>
      </c>
      <c r="F100" s="7">
        <f t="shared" si="3"/>
        <v>2</v>
      </c>
    </row>
    <row r="101" spans="1:6" s="571" customFormat="1" ht="11.65" customHeight="1" x14ac:dyDescent="0.2">
      <c r="A101" s="1202" t="str">
        <f>IF(MOD($F101,$H$2)&lt;$H$2-2,_xll.ciqfunctions.udf.CIQSPLIT(VLOOKUP(E101,'CIQ Key Developments'!$B$8:$I$491,COLUMN('CIQ Key Developments'!$F$7)-COLUMN('CIQ Key Developments'!$B$7)+1,FALSE),$F101,F$6),IF(MOD($F101,$H$2)=$H$2-2,"Source: "&amp;VLOOKUP(E101,'CIQ Key Developments'!$B$8:$I$491,COLUMN('CIQ Key Developments'!$I$7)-COLUMN('CIQ Key Developments'!$B$7)+1,FALSE),""))</f>
        <v/>
      </c>
      <c r="B101" s="1202"/>
      <c r="C101" s="1202"/>
      <c r="E101" s="383">
        <f t="shared" si="2"/>
        <v>5</v>
      </c>
      <c r="F101" s="7">
        <f t="shared" si="3"/>
        <v>3</v>
      </c>
    </row>
    <row r="102" spans="1:6" s="571" customFormat="1" ht="11.65" customHeight="1" x14ac:dyDescent="0.2">
      <c r="A102" s="1202" t="str">
        <f>IF(MOD($F102,$H$2)&lt;$H$2-2,_xll.ciqfunctions.udf.CIQSPLIT(VLOOKUP(E102,'CIQ Key Developments'!$B$8:$I$491,COLUMN('CIQ Key Developments'!$F$7)-COLUMN('CIQ Key Developments'!$B$7)+1,FALSE),$F102,F$6),IF(MOD($F102,$H$2)=$H$2-2,"Source: "&amp;VLOOKUP(E102,'CIQ Key Developments'!$B$8:$I$491,COLUMN('CIQ Key Developments'!$I$7)-COLUMN('CIQ Key Developments'!$B$7)+1,FALSE),""))</f>
        <v/>
      </c>
      <c r="B102" s="1202"/>
      <c r="C102" s="1202"/>
      <c r="E102" s="383">
        <f t="shared" si="2"/>
        <v>5</v>
      </c>
      <c r="F102" s="7">
        <f t="shared" si="3"/>
        <v>4</v>
      </c>
    </row>
    <row r="103" spans="1:6" s="571" customFormat="1" ht="11.65" hidden="1" customHeight="1" outlineLevel="1" x14ac:dyDescent="0.2">
      <c r="A103" s="1202" t="str">
        <f>IF(MOD($F103,$H$2)&lt;$H$2-2,_xll.ciqfunctions.udf.CIQSPLIT(VLOOKUP(E103,'CIQ Key Developments'!$B$8:$I$491,COLUMN('CIQ Key Developments'!$F$7)-COLUMN('CIQ Key Developments'!$B$7)+1,FALSE),$F103,F$6),IF(MOD($F103,$H$2)=$H$2-2,"Source: "&amp;VLOOKUP(E103,'CIQ Key Developments'!$B$8:$I$491,COLUMN('CIQ Key Developments'!$I$7)-COLUMN('CIQ Key Developments'!$B$7)+1,FALSE),""))</f>
        <v/>
      </c>
      <c r="B103" s="1202"/>
      <c r="C103" s="1202"/>
      <c r="E103" s="383">
        <f t="shared" si="2"/>
        <v>5</v>
      </c>
      <c r="F103" s="7">
        <f t="shared" si="3"/>
        <v>5</v>
      </c>
    </row>
    <row r="104" spans="1:6" s="571" customFormat="1" ht="11.65" hidden="1" customHeight="1" outlineLevel="1" x14ac:dyDescent="0.2">
      <c r="A104" s="1202" t="str">
        <f>IF(MOD($F104,$H$2)&lt;$H$2-2,_xll.ciqfunctions.udf.CIQSPLIT(VLOOKUP(E104,'CIQ Key Developments'!$B$8:$I$491,COLUMN('CIQ Key Developments'!$F$7)-COLUMN('CIQ Key Developments'!$B$7)+1,FALSE),$F104,F$6),IF(MOD($F104,$H$2)=$H$2-2,"Source: "&amp;VLOOKUP(E104,'CIQ Key Developments'!$B$8:$I$491,COLUMN('CIQ Key Developments'!$I$7)-COLUMN('CIQ Key Developments'!$B$7)+1,FALSE),""))</f>
        <v/>
      </c>
      <c r="B104" s="1202"/>
      <c r="C104" s="1202"/>
      <c r="E104" s="383">
        <f t="shared" si="2"/>
        <v>5</v>
      </c>
      <c r="F104" s="7">
        <f t="shared" si="3"/>
        <v>6</v>
      </c>
    </row>
    <row r="105" spans="1:6" s="571" customFormat="1" ht="11.65" hidden="1" customHeight="1" outlineLevel="1" x14ac:dyDescent="0.2">
      <c r="A105" s="1202" t="str">
        <f>IF(MOD($F105,$H$2)&lt;$H$2-2,_xll.ciqfunctions.udf.CIQSPLIT(VLOOKUP(E105,'CIQ Key Developments'!$B$8:$I$491,COLUMN('CIQ Key Developments'!$F$7)-COLUMN('CIQ Key Developments'!$B$7)+1,FALSE),$F105,F$6),IF(MOD($F105,$H$2)=$H$2-2,"Source: "&amp;VLOOKUP(E105,'CIQ Key Developments'!$B$8:$I$491,COLUMN('CIQ Key Developments'!$I$7)-COLUMN('CIQ Key Developments'!$B$7)+1,FALSE),""))</f>
        <v/>
      </c>
      <c r="B105" s="1202"/>
      <c r="C105" s="1202"/>
      <c r="E105" s="383">
        <f t="shared" si="2"/>
        <v>5</v>
      </c>
      <c r="F105" s="7">
        <f t="shared" si="3"/>
        <v>7</v>
      </c>
    </row>
    <row r="106" spans="1:6" s="571" customFormat="1" ht="11.65" hidden="1" customHeight="1" outlineLevel="1" x14ac:dyDescent="0.2">
      <c r="A106" s="1202" t="str">
        <f>IF(MOD($F106,$H$2)&lt;$H$2-2,_xll.ciqfunctions.udf.CIQSPLIT(VLOOKUP(E106,'CIQ Key Developments'!$B$8:$I$491,COLUMN('CIQ Key Developments'!$F$7)-COLUMN('CIQ Key Developments'!$B$7)+1,FALSE),$F106,F$6),IF(MOD($F106,$H$2)=$H$2-2,"Source: "&amp;VLOOKUP(E106,'CIQ Key Developments'!$B$8:$I$491,COLUMN('CIQ Key Developments'!$I$7)-COLUMN('CIQ Key Developments'!$B$7)+1,FALSE),""))</f>
        <v/>
      </c>
      <c r="B106" s="1202"/>
      <c r="C106" s="1202"/>
      <c r="E106" s="383">
        <f t="shared" si="2"/>
        <v>5</v>
      </c>
      <c r="F106" s="7">
        <f t="shared" si="3"/>
        <v>8</v>
      </c>
    </row>
    <row r="107" spans="1:6" s="571" customFormat="1" ht="11.65" hidden="1" customHeight="1" outlineLevel="1" x14ac:dyDescent="0.2">
      <c r="A107" s="1202" t="str">
        <f>IF(MOD($F107,$H$2)&lt;$H$2-2,_xll.ciqfunctions.udf.CIQSPLIT(VLOOKUP(E107,'CIQ Key Developments'!$B$8:$I$491,COLUMN('CIQ Key Developments'!$F$7)-COLUMN('CIQ Key Developments'!$B$7)+1,FALSE),$F107,F$6),IF(MOD($F107,$H$2)=$H$2-2,"Source: "&amp;VLOOKUP(E107,'CIQ Key Developments'!$B$8:$I$491,COLUMN('CIQ Key Developments'!$I$7)-COLUMN('CIQ Key Developments'!$B$7)+1,FALSE),""))</f>
        <v/>
      </c>
      <c r="B107" s="1202"/>
      <c r="C107" s="1202"/>
      <c r="E107" s="383">
        <f t="shared" si="2"/>
        <v>5</v>
      </c>
      <c r="F107" s="7">
        <f t="shared" si="3"/>
        <v>9</v>
      </c>
    </row>
    <row r="108" spans="1:6" s="571" customFormat="1" ht="11.65" hidden="1" customHeight="1" outlineLevel="1" x14ac:dyDescent="0.2">
      <c r="A108" s="1202" t="str">
        <f>IF(MOD($F108,$H$2)&lt;$H$2-2,_xll.ciqfunctions.udf.CIQSPLIT(VLOOKUP(E108,'CIQ Key Developments'!$B$8:$I$491,COLUMN('CIQ Key Developments'!$F$7)-COLUMN('CIQ Key Developments'!$B$7)+1,FALSE),$F108,F$6),IF(MOD($F108,$H$2)=$H$2-2,"Source: "&amp;VLOOKUP(E108,'CIQ Key Developments'!$B$8:$I$491,COLUMN('CIQ Key Developments'!$I$7)-COLUMN('CIQ Key Developments'!$B$7)+1,FALSE),""))</f>
        <v/>
      </c>
      <c r="B108" s="1202"/>
      <c r="C108" s="1202"/>
      <c r="E108" s="383">
        <f t="shared" si="2"/>
        <v>5</v>
      </c>
      <c r="F108" s="7">
        <f t="shared" si="3"/>
        <v>10</v>
      </c>
    </row>
    <row r="109" spans="1:6" s="571" customFormat="1" ht="11.65" hidden="1" customHeight="1" outlineLevel="1" x14ac:dyDescent="0.2">
      <c r="A109" s="1202" t="str">
        <f>IF(MOD($F109,$H$2)&lt;$H$2-2,_xll.ciqfunctions.udf.CIQSPLIT(VLOOKUP(E109,'CIQ Key Developments'!$B$8:$I$491,COLUMN('CIQ Key Developments'!$F$7)-COLUMN('CIQ Key Developments'!$B$7)+1,FALSE),$F109,F$6),IF(MOD($F109,$H$2)=$H$2-2,"Source: "&amp;VLOOKUP(E109,'CIQ Key Developments'!$B$8:$I$491,COLUMN('CIQ Key Developments'!$I$7)-COLUMN('CIQ Key Developments'!$B$7)+1,FALSE),""))</f>
        <v/>
      </c>
      <c r="B109" s="1202"/>
      <c r="C109" s="1202"/>
      <c r="E109" s="383">
        <f t="shared" si="2"/>
        <v>5</v>
      </c>
      <c r="F109" s="7">
        <f t="shared" si="3"/>
        <v>11</v>
      </c>
    </row>
    <row r="110" spans="1:6" s="571" customFormat="1" ht="11.65" hidden="1" customHeight="1" outlineLevel="1" x14ac:dyDescent="0.2">
      <c r="A110" s="1202" t="str">
        <f>IF(MOD($F110,$H$2)&lt;$H$2-2,_xll.ciqfunctions.udf.CIQSPLIT(VLOOKUP(E110,'CIQ Key Developments'!$B$8:$I$491,COLUMN('CIQ Key Developments'!$F$7)-COLUMN('CIQ Key Developments'!$B$7)+1,FALSE),$F110,F$6),IF(MOD($F110,$H$2)=$H$2-2,"Source: "&amp;VLOOKUP(E110,'CIQ Key Developments'!$B$8:$I$491,COLUMN('CIQ Key Developments'!$I$7)-COLUMN('CIQ Key Developments'!$B$7)+1,FALSE),""))</f>
        <v/>
      </c>
      <c r="B110" s="1202"/>
      <c r="C110" s="1202"/>
      <c r="E110" s="383">
        <f t="shared" si="2"/>
        <v>5</v>
      </c>
      <c r="F110" s="7">
        <f t="shared" si="3"/>
        <v>12</v>
      </c>
    </row>
    <row r="111" spans="1:6" s="571" customFormat="1" ht="11.65" hidden="1" customHeight="1" outlineLevel="1" x14ac:dyDescent="0.2">
      <c r="A111" s="1202" t="str">
        <f>IF(MOD($F111,$H$2)&lt;$H$2-2,_xll.ciqfunctions.udf.CIQSPLIT(VLOOKUP(E111,'CIQ Key Developments'!$B$8:$I$491,COLUMN('CIQ Key Developments'!$F$7)-COLUMN('CIQ Key Developments'!$B$7)+1,FALSE),$F111,F$6),IF(MOD($F111,$H$2)=$H$2-2,"Source: "&amp;VLOOKUP(E111,'CIQ Key Developments'!$B$8:$I$491,COLUMN('CIQ Key Developments'!$I$7)-COLUMN('CIQ Key Developments'!$B$7)+1,FALSE),""))</f>
        <v/>
      </c>
      <c r="B111" s="1202"/>
      <c r="C111" s="1202"/>
      <c r="E111" s="383">
        <f t="shared" si="2"/>
        <v>5</v>
      </c>
      <c r="F111" s="7">
        <f t="shared" si="3"/>
        <v>13</v>
      </c>
    </row>
    <row r="112" spans="1:6" s="571" customFormat="1" ht="11.65" hidden="1" customHeight="1" outlineLevel="1" x14ac:dyDescent="0.2">
      <c r="A112" s="1202" t="str">
        <f>IF(MOD($F112,$H$2)&lt;$H$2-2,_xll.ciqfunctions.udf.CIQSPLIT(VLOOKUP(E112,'CIQ Key Developments'!$B$8:$I$491,COLUMN('CIQ Key Developments'!$F$7)-COLUMN('CIQ Key Developments'!$B$7)+1,FALSE),$F112,F$6),IF(MOD($F112,$H$2)=$H$2-2,"Source: "&amp;VLOOKUP(E112,'CIQ Key Developments'!$B$8:$I$491,COLUMN('CIQ Key Developments'!$I$7)-COLUMN('CIQ Key Developments'!$B$7)+1,FALSE),""))</f>
        <v/>
      </c>
      <c r="B112" s="1202"/>
      <c r="C112" s="1202"/>
      <c r="E112" s="383">
        <f t="shared" si="2"/>
        <v>5</v>
      </c>
      <c r="F112" s="7">
        <f t="shared" si="3"/>
        <v>14</v>
      </c>
    </row>
    <row r="113" spans="1:6" s="571" customFormat="1" ht="11.65" hidden="1" customHeight="1" outlineLevel="1" x14ac:dyDescent="0.2">
      <c r="A113" s="1202" t="str">
        <f>IF(MOD($F113,$H$2)&lt;$H$2-2,_xll.ciqfunctions.udf.CIQSPLIT(VLOOKUP(E113,'CIQ Key Developments'!$B$8:$I$491,COLUMN('CIQ Key Developments'!$F$7)-COLUMN('CIQ Key Developments'!$B$7)+1,FALSE),$F113,F$6),IF(MOD($F113,$H$2)=$H$2-2,"Source: "&amp;VLOOKUP(E113,'CIQ Key Developments'!$B$8:$I$491,COLUMN('CIQ Key Developments'!$I$7)-COLUMN('CIQ Key Developments'!$B$7)+1,FALSE),""))</f>
        <v/>
      </c>
      <c r="B113" s="1202"/>
      <c r="C113" s="1202"/>
      <c r="E113" s="383">
        <f t="shared" si="2"/>
        <v>5</v>
      </c>
      <c r="F113" s="7">
        <f t="shared" si="3"/>
        <v>15</v>
      </c>
    </row>
    <row r="114" spans="1:6" s="571" customFormat="1" ht="11.65" hidden="1" customHeight="1" outlineLevel="1" x14ac:dyDescent="0.2">
      <c r="A114" s="1202" t="str">
        <f>IF(MOD($F114,$H$2)&lt;$H$2-2,_xll.ciqfunctions.udf.CIQSPLIT(VLOOKUP(E114,'CIQ Key Developments'!$B$8:$I$491,COLUMN('CIQ Key Developments'!$F$7)-COLUMN('CIQ Key Developments'!$B$7)+1,FALSE),$F114,F$6),IF(MOD($F114,$H$2)=$H$2-2,"Source: "&amp;VLOOKUP(E114,'CIQ Key Developments'!$B$8:$I$491,COLUMN('CIQ Key Developments'!$I$7)-COLUMN('CIQ Key Developments'!$B$7)+1,FALSE),""))</f>
        <v/>
      </c>
      <c r="B114" s="1202"/>
      <c r="C114" s="1202"/>
      <c r="E114" s="383">
        <f t="shared" si="2"/>
        <v>5</v>
      </c>
      <c r="F114" s="7">
        <f t="shared" si="3"/>
        <v>16</v>
      </c>
    </row>
    <row r="115" spans="1:6" s="571" customFormat="1" ht="11.65" hidden="1" customHeight="1" outlineLevel="1" x14ac:dyDescent="0.2">
      <c r="A115" s="1202" t="str">
        <f>IF(MOD($F115,$H$2)&lt;$H$2-2,_xll.ciqfunctions.udf.CIQSPLIT(VLOOKUP(E115,'CIQ Key Developments'!$B$8:$I$491,COLUMN('CIQ Key Developments'!$F$7)-COLUMN('CIQ Key Developments'!$B$7)+1,FALSE),$F115,F$6),IF(MOD($F115,$H$2)=$H$2-2,"Source: "&amp;VLOOKUP(E115,'CIQ Key Developments'!$B$8:$I$491,COLUMN('CIQ Key Developments'!$I$7)-COLUMN('CIQ Key Developments'!$B$7)+1,FALSE),""))</f>
        <v/>
      </c>
      <c r="B115" s="1202"/>
      <c r="C115" s="1202"/>
      <c r="E115" s="383">
        <f t="shared" si="2"/>
        <v>5</v>
      </c>
      <c r="F115" s="7">
        <f t="shared" si="3"/>
        <v>17</v>
      </c>
    </row>
    <row r="116" spans="1:6" s="571" customFormat="1" ht="11.65" hidden="1" customHeight="1" outlineLevel="1" x14ac:dyDescent="0.2">
      <c r="A116" s="1202" t="str">
        <f>IF(MOD($F116,$H$2)&lt;$H$2-2,_xll.ciqfunctions.udf.CIQSPLIT(VLOOKUP(E116,'CIQ Key Developments'!$B$8:$I$491,COLUMN('CIQ Key Developments'!$F$7)-COLUMN('CIQ Key Developments'!$B$7)+1,FALSE),$F116,F$6),IF(MOD($F116,$H$2)=$H$2-2,"Source: "&amp;VLOOKUP(E116,'CIQ Key Developments'!$B$8:$I$491,COLUMN('CIQ Key Developments'!$I$7)-COLUMN('CIQ Key Developments'!$B$7)+1,FALSE),""))</f>
        <v/>
      </c>
      <c r="B116" s="1202"/>
      <c r="C116" s="1202"/>
      <c r="E116" s="383">
        <f t="shared" si="2"/>
        <v>5</v>
      </c>
      <c r="F116" s="7">
        <f t="shared" si="3"/>
        <v>18</v>
      </c>
    </row>
    <row r="117" spans="1:6" s="571" customFormat="1" ht="11.65" hidden="1" customHeight="1" outlineLevel="1" x14ac:dyDescent="0.2">
      <c r="A117" s="1202" t="str">
        <f>IF(MOD($F117,$H$2)&lt;$H$2-2,_xll.ciqfunctions.udf.CIQSPLIT(VLOOKUP(E117,'CIQ Key Developments'!$B$8:$I$491,COLUMN('CIQ Key Developments'!$F$7)-COLUMN('CIQ Key Developments'!$B$7)+1,FALSE),$F117,F$6),IF(MOD($F117,$H$2)=$H$2-2,"Source: "&amp;VLOOKUP(E117,'CIQ Key Developments'!$B$8:$I$491,COLUMN('CIQ Key Developments'!$I$7)-COLUMN('CIQ Key Developments'!$B$7)+1,FALSE),""))</f>
        <v/>
      </c>
      <c r="B117" s="1202"/>
      <c r="C117" s="1202"/>
      <c r="E117" s="383">
        <f t="shared" si="2"/>
        <v>5</v>
      </c>
      <c r="F117" s="7">
        <f t="shared" si="3"/>
        <v>19</v>
      </c>
    </row>
    <row r="118" spans="1:6" s="571" customFormat="1" ht="11.65" customHeight="1" collapsed="1" x14ac:dyDescent="0.2">
      <c r="A118" s="1202" t="str">
        <f>IF(MOD($F118,$H$2)&lt;$H$2-2,_xll.ciqfunctions.udf.CIQSPLIT(VLOOKUP(E118,'CIQ Key Developments'!$B$8:$I$491,COLUMN('CIQ Key Developments'!$F$7)-COLUMN('CIQ Key Developments'!$B$7)+1,FALSE),$F118,F$6),IF(MOD($F118,$H$2)=$H$2-2,"Source: "&amp;VLOOKUP(E118,'CIQ Key Developments'!$B$8:$I$491,COLUMN('CIQ Key Developments'!$I$7)-COLUMN('CIQ Key Developments'!$B$7)+1,FALSE),""))</f>
        <v>Source: PR Newswire, Business Wire, GlobeNewswire, Company Website</v>
      </c>
      <c r="B118" s="1202"/>
      <c r="C118" s="1202"/>
      <c r="E118" s="383">
        <f t="shared" si="2"/>
        <v>5</v>
      </c>
      <c r="F118" s="7">
        <f t="shared" si="3"/>
        <v>20</v>
      </c>
    </row>
    <row r="119" spans="1:6" ht="7.15" customHeight="1" collapsed="1" x14ac:dyDescent="0.2">
      <c r="A119" s="439" t="str">
        <f>IF(MOD($F119,$H$2)&lt;$H$2-2,_xll.ciqfunctions.udf.CIQSPLIT(VLOOKUP(E119,'CIQ Key Developments'!$B$8:$I$491,COLUMN('CIQ Key Developments'!$F$7)-COLUMN('CIQ Key Developments'!$B$7)+1,FALSE),$F119,F$6),IF(MOD($F119,$H$2)=$H$2-2,"Source: "&amp;VLOOKUP(E119,'CIQ Key Developments'!$B$8:$I$491,COLUMN('CIQ Key Developments'!$I$7)-COLUMN('CIQ Key Developments'!$B$7)+1,FALSE),""))</f>
        <v/>
      </c>
      <c r="B119" s="439"/>
      <c r="C119" s="439"/>
      <c r="E119" s="383">
        <f t="shared" si="2"/>
        <v>5</v>
      </c>
      <c r="F119" s="7">
        <f t="shared" si="3"/>
        <v>21</v>
      </c>
    </row>
    <row r="120" spans="1:6" s="571" customFormat="1" ht="12" customHeight="1" x14ac:dyDescent="0.2">
      <c r="A120" s="1513" t="str">
        <f>+VLOOKUP(E120,'CIQ Key Developments'!$B$8:$I$491,COLUMN('CIQ Key Developments'!$D$7)-COLUMN('CIQ Key Developments'!$B$7)+1,FALSE)</f>
        <v>Walmart Inc. Expands Baytown Campus with New 1,000,000+ Square-Foot Distribution Center, Opening Fall 2022</v>
      </c>
      <c r="B120" s="1514"/>
      <c r="C120" s="1515"/>
      <c r="E120" s="383">
        <f t="shared" si="2"/>
        <v>6</v>
      </c>
      <c r="F120" s="7">
        <f t="shared" si="3"/>
        <v>22</v>
      </c>
    </row>
    <row r="121" spans="1:6" s="571" customFormat="1" ht="11.65" customHeight="1" x14ac:dyDescent="0.2">
      <c r="A121" s="1199" t="str">
        <f>+$C$3</f>
        <v>Walmart Inc.</v>
      </c>
      <c r="B121" s="1200" t="str">
        <f>VLOOKUP(E120,'CIQ Key Developments'!$B$8:$I$491,COLUMN('CIQ Key Developments'!$G$7)-COLUMN('CIQ Key Developments'!$B$7)+1,FALSE)&amp;" "&amp;VLOOKUP(E120,'CIQ Key Developments'!$B$8:$I$491,COLUMN('CIQ Key Developments'!$H$7)-COLUMN('CIQ Key Developments'!$B$7)+1,FALSE)</f>
        <v>10 Mar 2022 12:00 AM</v>
      </c>
      <c r="C121" s="1201" t="str">
        <f>+VLOOKUP(E120,'CIQ Key Developments'!$B$8:$I$491,COLUMN('CIQ Key Developments'!$E$7)-COLUMN('CIQ Key Developments'!$B$7)+1,FALSE)</f>
        <v>Business Expansions</v>
      </c>
      <c r="E121" s="383">
        <f t="shared" si="2"/>
        <v>6</v>
      </c>
      <c r="F121" s="7">
        <f t="shared" si="3"/>
        <v>175</v>
      </c>
    </row>
    <row r="122" spans="1:6" s="571" customFormat="1" ht="11.65" customHeight="1" x14ac:dyDescent="0.2">
      <c r="A122" s="1202" t="str">
        <f>IF(MOD($F122,$H$2)&lt;$H$2-2,_xll.ciqfunctions.udf.CIQSPLIT(VLOOKUP(E122,'CIQ Key Developments'!$B$8:$I$491,COLUMN('CIQ Key Developments'!$F$7)-COLUMN('CIQ Key Developments'!$B$7)+1,FALSE),$F122,F$6),IF(MOD($F122,$H$2)=$H$2-2,"Source: "&amp;VLOOKUP(E122,'CIQ Key Developments'!$B$8:$I$491,COLUMN('CIQ Key Developments'!$I$7)-COLUMN('CIQ Key Developments'!$B$7)+1,FALSE),""))</f>
        <v>Walmart Inc. announced plans to expand its Baytown, TX supply chain campus with a new 1,000,000+ square-foot distribution center to support the retailer’s growing supply chain</v>
      </c>
      <c r="B122" s="1202"/>
      <c r="C122" s="1202"/>
      <c r="E122" s="383">
        <f t="shared" si="2"/>
        <v>6</v>
      </c>
      <c r="F122" s="7">
        <f t="shared" si="3"/>
        <v>1</v>
      </c>
    </row>
    <row r="123" spans="1:6" s="571" customFormat="1" ht="11.65" customHeight="1" x14ac:dyDescent="0.2">
      <c r="A123" s="1202" t="str">
        <f>IF(MOD($F123,$H$2)&lt;$H$2-2,_xll.ciqfunctions.udf.CIQSPLIT(VLOOKUP(E123,'CIQ Key Developments'!$B$8:$I$491,COLUMN('CIQ Key Developments'!$F$7)-COLUMN('CIQ Key Developments'!$B$7)+1,FALSE),$F123,F$6),IF(MOD($F123,$H$2)=$H$2-2,"Source: "&amp;VLOOKUP(E123,'CIQ Key Developments'!$B$8:$I$491,COLUMN('CIQ Key Developments'!$I$7)-COLUMN('CIQ Key Developments'!$B$7)+1,FALSE),""))</f>
        <v>network. The new facility, located at 4633 Borusan Road, is the retailer’s fourth in Baytown and is set to open in the Fall of 2022, bringing the total square-footage of the</v>
      </c>
      <c r="B123" s="1202"/>
      <c r="C123" s="1202"/>
      <c r="E123" s="383">
        <f t="shared" si="2"/>
        <v>6</v>
      </c>
      <c r="F123" s="7">
        <f t="shared" si="3"/>
        <v>2</v>
      </c>
    </row>
    <row r="124" spans="1:6" s="571" customFormat="1" ht="11.65" hidden="1" customHeight="1" outlineLevel="1" x14ac:dyDescent="0.2">
      <c r="A124" s="1202" t="str">
        <f>IF(MOD($F124,$H$2)&lt;$H$2-2,_xll.ciqfunctions.udf.CIQSPLIT(VLOOKUP(E124,'CIQ Key Developments'!$B$8:$I$491,COLUMN('CIQ Key Developments'!$F$7)-COLUMN('CIQ Key Developments'!$B$7)+1,FALSE),$F124,F$6),IF(MOD($F124,$H$2)=$H$2-2,"Source: "&amp;VLOOKUP(E124,'CIQ Key Developments'!$B$8:$I$491,COLUMN('CIQ Key Developments'!$I$7)-COLUMN('CIQ Key Developments'!$B$7)+1,FALSE),""))</f>
        <v>campus to over 5,000,000 square-feet. The expansion will create an additional 300 full-time jobs due to growth across multiple shifts. The Baytown campus is currently hiring</v>
      </c>
      <c r="B124" s="1202"/>
      <c r="C124" s="1202"/>
      <c r="E124" s="383">
        <f t="shared" si="2"/>
        <v>6</v>
      </c>
      <c r="F124" s="7">
        <f t="shared" si="3"/>
        <v>3</v>
      </c>
    </row>
    <row r="125" spans="1:6" s="571" customFormat="1" ht="11.65" hidden="1" customHeight="1" outlineLevel="1" x14ac:dyDescent="0.2">
      <c r="A125" s="1202" t="str">
        <f>IF(MOD($F125,$H$2)&lt;$H$2-2,_xll.ciqfunctions.udf.CIQSPLIT(VLOOKUP(E125,'CIQ Key Developments'!$B$8:$I$491,COLUMN('CIQ Key Developments'!$F$7)-COLUMN('CIQ Key Developments'!$B$7)+1,FALSE),$F125,F$6),IF(MOD($F125,$H$2)=$H$2-2,"Source: "&amp;VLOOKUP(E125,'CIQ Key Developments'!$B$8:$I$491,COLUMN('CIQ Key Developments'!$I$7)-COLUMN('CIQ Key Developments'!$B$7)+1,FALSE),""))</f>
        <v>full-time positions, including specialized roles and leadership positions. Candidates can search for open positions and complete applications online at careers.walmart.com.</v>
      </c>
      <c r="B125" s="1202"/>
      <c r="C125" s="1202"/>
      <c r="E125" s="383">
        <f t="shared" si="2"/>
        <v>6</v>
      </c>
      <c r="F125" s="7">
        <f t="shared" si="3"/>
        <v>4</v>
      </c>
    </row>
    <row r="126" spans="1:6" s="571" customFormat="1" ht="11.65" hidden="1" customHeight="1" outlineLevel="1" x14ac:dyDescent="0.2">
      <c r="A126" s="1202" t="str">
        <f>IF(MOD($F126,$H$2)&lt;$H$2-2,_xll.ciqfunctions.udf.CIQSPLIT(VLOOKUP(E126,'CIQ Key Developments'!$B$8:$I$491,COLUMN('CIQ Key Developments'!$F$7)-COLUMN('CIQ Key Developments'!$B$7)+1,FALSE),$F126,F$6),IF(MOD($F126,$H$2)=$H$2-2,"Source: "&amp;VLOOKUP(E126,'CIQ Key Developments'!$B$8:$I$491,COLUMN('CIQ Key Developments'!$I$7)-COLUMN('CIQ Key Developments'!$B$7)+1,FALSE),""))</f>
        <v>Full-time positions qualify for Walmart’s total rewards and benefits plans, including medical, vision and dental insurance, 401(k) matching, paid time off, associate stock</v>
      </c>
      <c r="B126" s="1202"/>
      <c r="C126" s="1202"/>
      <c r="E126" s="383">
        <f t="shared" si="2"/>
        <v>6</v>
      </c>
      <c r="F126" s="7">
        <f t="shared" si="3"/>
        <v>5</v>
      </c>
    </row>
    <row r="127" spans="1:6" s="571" customFormat="1" ht="11.65" hidden="1" customHeight="1" outlineLevel="1" x14ac:dyDescent="0.2">
      <c r="A127" s="1202" t="str">
        <f>IF(MOD($F127,$H$2)&lt;$H$2-2,_xll.ciqfunctions.udf.CIQSPLIT(VLOOKUP(E127,'CIQ Key Developments'!$B$8:$I$491,COLUMN('CIQ Key Developments'!$F$7)-COLUMN('CIQ Key Developments'!$B$7)+1,FALSE),$F127,F$6),IF(MOD($F127,$H$2)=$H$2-2,"Source: "&amp;VLOOKUP(E127,'CIQ Key Developments'!$B$8:$I$491,COLUMN('CIQ Key Developments'!$I$7)-COLUMN('CIQ Key Developments'!$B$7)+1,FALSE),""))</f>
        <v>purchase plan and access to a free college degree 100% paid for by Walmart.</v>
      </c>
      <c r="B127" s="1202"/>
      <c r="C127" s="1202"/>
      <c r="E127" s="383">
        <f t="shared" si="2"/>
        <v>6</v>
      </c>
      <c r="F127" s="7">
        <f t="shared" si="3"/>
        <v>6</v>
      </c>
    </row>
    <row r="128" spans="1:6" s="571" customFormat="1" ht="11.65" hidden="1" customHeight="1" outlineLevel="1" x14ac:dyDescent="0.2">
      <c r="A128" s="1202" t="str">
        <f>IF(MOD($F128,$H$2)&lt;$H$2-2,_xll.ciqfunctions.udf.CIQSPLIT(VLOOKUP(E128,'CIQ Key Developments'!$B$8:$I$491,COLUMN('CIQ Key Developments'!$F$7)-COLUMN('CIQ Key Developments'!$B$7)+1,FALSE),$F128,F$6),IF(MOD($F128,$H$2)=$H$2-2,"Source: "&amp;VLOOKUP(E128,'CIQ Key Developments'!$B$8:$I$491,COLUMN('CIQ Key Developments'!$I$7)-COLUMN('CIQ Key Developments'!$B$7)+1,FALSE),""))</f>
        <v/>
      </c>
      <c r="B128" s="1202"/>
      <c r="C128" s="1202"/>
      <c r="E128" s="383">
        <f t="shared" si="2"/>
        <v>6</v>
      </c>
      <c r="F128" s="7">
        <f t="shared" si="3"/>
        <v>7</v>
      </c>
    </row>
    <row r="129" spans="1:6" s="571" customFormat="1" ht="11.65" hidden="1" customHeight="1" outlineLevel="1" x14ac:dyDescent="0.2">
      <c r="A129" s="1202" t="str">
        <f>IF(MOD($F129,$H$2)&lt;$H$2-2,_xll.ciqfunctions.udf.CIQSPLIT(VLOOKUP(E129,'CIQ Key Developments'!$B$8:$I$491,COLUMN('CIQ Key Developments'!$F$7)-COLUMN('CIQ Key Developments'!$B$7)+1,FALSE),$F129,F$6),IF(MOD($F129,$H$2)=$H$2-2,"Source: "&amp;VLOOKUP(E129,'CIQ Key Developments'!$B$8:$I$491,COLUMN('CIQ Key Developments'!$I$7)-COLUMN('CIQ Key Developments'!$B$7)+1,FALSE),""))</f>
        <v/>
      </c>
      <c r="B129" s="1202"/>
      <c r="C129" s="1202"/>
      <c r="E129" s="383">
        <f t="shared" si="2"/>
        <v>6</v>
      </c>
      <c r="F129" s="7">
        <f t="shared" si="3"/>
        <v>8</v>
      </c>
    </row>
    <row r="130" spans="1:6" s="571" customFormat="1" ht="11.65" hidden="1" customHeight="1" outlineLevel="1" x14ac:dyDescent="0.2">
      <c r="A130" s="1202" t="str">
        <f>IF(MOD($F130,$H$2)&lt;$H$2-2,_xll.ciqfunctions.udf.CIQSPLIT(VLOOKUP(E130,'CIQ Key Developments'!$B$8:$I$491,COLUMN('CIQ Key Developments'!$F$7)-COLUMN('CIQ Key Developments'!$B$7)+1,FALSE),$F130,F$6),IF(MOD($F130,$H$2)=$H$2-2,"Source: "&amp;VLOOKUP(E130,'CIQ Key Developments'!$B$8:$I$491,COLUMN('CIQ Key Developments'!$I$7)-COLUMN('CIQ Key Developments'!$B$7)+1,FALSE),""))</f>
        <v/>
      </c>
      <c r="B130" s="1202"/>
      <c r="C130" s="1202"/>
      <c r="E130" s="383">
        <f t="shared" si="2"/>
        <v>6</v>
      </c>
      <c r="F130" s="7">
        <f t="shared" si="3"/>
        <v>9</v>
      </c>
    </row>
    <row r="131" spans="1:6" s="571" customFormat="1" ht="11.65" hidden="1" customHeight="1" outlineLevel="1" x14ac:dyDescent="0.2">
      <c r="A131" s="1202" t="str">
        <f>IF(MOD($F131,$H$2)&lt;$H$2-2,_xll.ciqfunctions.udf.CIQSPLIT(VLOOKUP(E131,'CIQ Key Developments'!$B$8:$I$491,COLUMN('CIQ Key Developments'!$F$7)-COLUMN('CIQ Key Developments'!$B$7)+1,FALSE),$F131,F$6),IF(MOD($F131,$H$2)=$H$2-2,"Source: "&amp;VLOOKUP(E131,'CIQ Key Developments'!$B$8:$I$491,COLUMN('CIQ Key Developments'!$I$7)-COLUMN('CIQ Key Developments'!$B$7)+1,FALSE),""))</f>
        <v/>
      </c>
      <c r="B131" s="1202"/>
      <c r="C131" s="1202"/>
      <c r="E131" s="383">
        <f t="shared" si="2"/>
        <v>6</v>
      </c>
      <c r="F131" s="7">
        <f t="shared" si="3"/>
        <v>10</v>
      </c>
    </row>
    <row r="132" spans="1:6" s="571" customFormat="1" ht="11.65" hidden="1" customHeight="1" outlineLevel="1" x14ac:dyDescent="0.2">
      <c r="A132" s="1202" t="str">
        <f>IF(MOD($F132,$H$2)&lt;$H$2-2,_xll.ciqfunctions.udf.CIQSPLIT(VLOOKUP(E132,'CIQ Key Developments'!$B$8:$I$491,COLUMN('CIQ Key Developments'!$F$7)-COLUMN('CIQ Key Developments'!$B$7)+1,FALSE),$F132,F$6),IF(MOD($F132,$H$2)=$H$2-2,"Source: "&amp;VLOOKUP(E132,'CIQ Key Developments'!$B$8:$I$491,COLUMN('CIQ Key Developments'!$I$7)-COLUMN('CIQ Key Developments'!$B$7)+1,FALSE),""))</f>
        <v/>
      </c>
      <c r="B132" s="1202"/>
      <c r="C132" s="1202"/>
      <c r="E132" s="383">
        <f t="shared" si="2"/>
        <v>6</v>
      </c>
      <c r="F132" s="7">
        <f t="shared" si="3"/>
        <v>11</v>
      </c>
    </row>
    <row r="133" spans="1:6" s="571" customFormat="1" ht="11.65" hidden="1" customHeight="1" outlineLevel="1" x14ac:dyDescent="0.2">
      <c r="A133" s="1202" t="str">
        <f>IF(MOD($F133,$H$2)&lt;$H$2-2,_xll.ciqfunctions.udf.CIQSPLIT(VLOOKUP(E133,'CIQ Key Developments'!$B$8:$I$491,COLUMN('CIQ Key Developments'!$F$7)-COLUMN('CIQ Key Developments'!$B$7)+1,FALSE),$F133,F$6),IF(MOD($F133,$H$2)=$H$2-2,"Source: "&amp;VLOOKUP(E133,'CIQ Key Developments'!$B$8:$I$491,COLUMN('CIQ Key Developments'!$I$7)-COLUMN('CIQ Key Developments'!$B$7)+1,FALSE),""))</f>
        <v/>
      </c>
      <c r="B133" s="1202"/>
      <c r="C133" s="1202"/>
      <c r="E133" s="383">
        <f t="shared" si="2"/>
        <v>6</v>
      </c>
      <c r="F133" s="7">
        <f t="shared" si="3"/>
        <v>12</v>
      </c>
    </row>
    <row r="134" spans="1:6" s="571" customFormat="1" ht="11.65" hidden="1" customHeight="1" outlineLevel="1" x14ac:dyDescent="0.2">
      <c r="A134" s="1202" t="str">
        <f>IF(MOD($F134,$H$2)&lt;$H$2-2,_xll.ciqfunctions.udf.CIQSPLIT(VLOOKUP(E134,'CIQ Key Developments'!$B$8:$I$491,COLUMN('CIQ Key Developments'!$F$7)-COLUMN('CIQ Key Developments'!$B$7)+1,FALSE),$F134,F$6),IF(MOD($F134,$H$2)=$H$2-2,"Source: "&amp;VLOOKUP(E134,'CIQ Key Developments'!$B$8:$I$491,COLUMN('CIQ Key Developments'!$I$7)-COLUMN('CIQ Key Developments'!$B$7)+1,FALSE),""))</f>
        <v/>
      </c>
      <c r="B134" s="1202"/>
      <c r="C134" s="1202"/>
      <c r="E134" s="383">
        <f t="shared" si="2"/>
        <v>6</v>
      </c>
      <c r="F134" s="7">
        <f t="shared" si="3"/>
        <v>13</v>
      </c>
    </row>
    <row r="135" spans="1:6" s="571" customFormat="1" ht="11.65" hidden="1" customHeight="1" outlineLevel="1" x14ac:dyDescent="0.2">
      <c r="A135" s="1202" t="str">
        <f>IF(MOD($F135,$H$2)&lt;$H$2-2,_xll.ciqfunctions.udf.CIQSPLIT(VLOOKUP(E135,'CIQ Key Developments'!$B$8:$I$491,COLUMN('CIQ Key Developments'!$F$7)-COLUMN('CIQ Key Developments'!$B$7)+1,FALSE),$F135,F$6),IF(MOD($F135,$H$2)=$H$2-2,"Source: "&amp;VLOOKUP(E135,'CIQ Key Developments'!$B$8:$I$491,COLUMN('CIQ Key Developments'!$I$7)-COLUMN('CIQ Key Developments'!$B$7)+1,FALSE),""))</f>
        <v/>
      </c>
      <c r="B135" s="1202"/>
      <c r="C135" s="1202"/>
      <c r="E135" s="383">
        <f t="shared" ref="E135:E198" si="4">+IF(F136=$F$6,E134+1,E134)</f>
        <v>6</v>
      </c>
      <c r="F135" s="7">
        <f t="shared" si="3"/>
        <v>14</v>
      </c>
    </row>
    <row r="136" spans="1:6" s="571" customFormat="1" ht="11.65" hidden="1" customHeight="1" outlineLevel="1" x14ac:dyDescent="0.2">
      <c r="A136" s="1202" t="str">
        <f>IF(MOD($F136,$H$2)&lt;$H$2-2,_xll.ciqfunctions.udf.CIQSPLIT(VLOOKUP(E136,'CIQ Key Developments'!$B$8:$I$491,COLUMN('CIQ Key Developments'!$F$7)-COLUMN('CIQ Key Developments'!$B$7)+1,FALSE),$F136,F$6),IF(MOD($F136,$H$2)=$H$2-2,"Source: "&amp;VLOOKUP(E136,'CIQ Key Developments'!$B$8:$I$491,COLUMN('CIQ Key Developments'!$I$7)-COLUMN('CIQ Key Developments'!$B$7)+1,FALSE),""))</f>
        <v/>
      </c>
      <c r="B136" s="1202"/>
      <c r="C136" s="1202"/>
      <c r="E136" s="383">
        <f t="shared" si="4"/>
        <v>6</v>
      </c>
      <c r="F136" s="7">
        <f t="shared" si="3"/>
        <v>15</v>
      </c>
    </row>
    <row r="137" spans="1:6" s="571" customFormat="1" ht="11.65" hidden="1" customHeight="1" outlineLevel="1" x14ac:dyDescent="0.2">
      <c r="A137" s="1202" t="str">
        <f>IF(MOD($F137,$H$2)&lt;$H$2-2,_xll.ciqfunctions.udf.CIQSPLIT(VLOOKUP(E137,'CIQ Key Developments'!$B$8:$I$491,COLUMN('CIQ Key Developments'!$F$7)-COLUMN('CIQ Key Developments'!$B$7)+1,FALSE),$F137,F$6),IF(MOD($F137,$H$2)=$H$2-2,"Source: "&amp;VLOOKUP(E137,'CIQ Key Developments'!$B$8:$I$491,COLUMN('CIQ Key Developments'!$I$7)-COLUMN('CIQ Key Developments'!$B$7)+1,FALSE),""))</f>
        <v/>
      </c>
      <c r="B137" s="1202"/>
      <c r="C137" s="1202"/>
      <c r="E137" s="383">
        <f t="shared" si="4"/>
        <v>6</v>
      </c>
      <c r="F137" s="7">
        <f t="shared" ref="F137:F200" si="5">+IF(F136&lt;$H$2,F136+1,IF(F136=$F$6,1,$F$6))</f>
        <v>16</v>
      </c>
    </row>
    <row r="138" spans="1:6" s="571" customFormat="1" ht="11.65" hidden="1" customHeight="1" outlineLevel="1" x14ac:dyDescent="0.2">
      <c r="A138" s="1202" t="str">
        <f>IF(MOD($F138,$H$2)&lt;$H$2-2,_xll.ciqfunctions.udf.CIQSPLIT(VLOOKUP(E138,'CIQ Key Developments'!$B$8:$I$491,COLUMN('CIQ Key Developments'!$F$7)-COLUMN('CIQ Key Developments'!$B$7)+1,FALSE),$F138,F$6),IF(MOD($F138,$H$2)=$H$2-2,"Source: "&amp;VLOOKUP(E138,'CIQ Key Developments'!$B$8:$I$491,COLUMN('CIQ Key Developments'!$I$7)-COLUMN('CIQ Key Developments'!$B$7)+1,FALSE),""))</f>
        <v/>
      </c>
      <c r="B138" s="1202"/>
      <c r="C138" s="1202"/>
      <c r="E138" s="383">
        <f t="shared" si="4"/>
        <v>6</v>
      </c>
      <c r="F138" s="7">
        <f t="shared" si="5"/>
        <v>17</v>
      </c>
    </row>
    <row r="139" spans="1:6" s="571" customFormat="1" ht="11.65" hidden="1" customHeight="1" outlineLevel="1" x14ac:dyDescent="0.2">
      <c r="A139" s="1202" t="str">
        <f>IF(MOD($F139,$H$2)&lt;$H$2-2,_xll.ciqfunctions.udf.CIQSPLIT(VLOOKUP(E139,'CIQ Key Developments'!$B$8:$I$491,COLUMN('CIQ Key Developments'!$F$7)-COLUMN('CIQ Key Developments'!$B$7)+1,FALSE),$F139,F$6),IF(MOD($F139,$H$2)=$H$2-2,"Source: "&amp;VLOOKUP(E139,'CIQ Key Developments'!$B$8:$I$491,COLUMN('CIQ Key Developments'!$I$7)-COLUMN('CIQ Key Developments'!$B$7)+1,FALSE),""))</f>
        <v/>
      </c>
      <c r="B139" s="1202"/>
      <c r="C139" s="1202"/>
      <c r="E139" s="383">
        <f t="shared" si="4"/>
        <v>6</v>
      </c>
      <c r="F139" s="7">
        <f t="shared" si="5"/>
        <v>18</v>
      </c>
    </row>
    <row r="140" spans="1:6" s="571" customFormat="1" ht="11.65" hidden="1" customHeight="1" outlineLevel="1" x14ac:dyDescent="0.2">
      <c r="A140" s="1202" t="str">
        <f>IF(MOD($F140,$H$2)&lt;$H$2-2,_xll.ciqfunctions.udf.CIQSPLIT(VLOOKUP(E140,'CIQ Key Developments'!$B$8:$I$491,COLUMN('CIQ Key Developments'!$F$7)-COLUMN('CIQ Key Developments'!$B$7)+1,FALSE),$F140,F$6),IF(MOD($F140,$H$2)=$H$2-2,"Source: "&amp;VLOOKUP(E140,'CIQ Key Developments'!$B$8:$I$491,COLUMN('CIQ Key Developments'!$I$7)-COLUMN('CIQ Key Developments'!$B$7)+1,FALSE),""))</f>
        <v/>
      </c>
      <c r="B140" s="1202"/>
      <c r="C140" s="1202"/>
      <c r="E140" s="383">
        <f t="shared" si="4"/>
        <v>6</v>
      </c>
      <c r="F140" s="7">
        <f t="shared" si="5"/>
        <v>19</v>
      </c>
    </row>
    <row r="141" spans="1:6" s="571" customFormat="1" ht="11.65" customHeight="1" collapsed="1" x14ac:dyDescent="0.2">
      <c r="A141" s="1202" t="str">
        <f>IF(MOD($F141,$H$2)&lt;$H$2-2,_xll.ciqfunctions.udf.CIQSPLIT(VLOOKUP(E141,'CIQ Key Developments'!$B$8:$I$491,COLUMN('CIQ Key Developments'!$F$7)-COLUMN('CIQ Key Developments'!$B$7)+1,FALSE),$F141,F$6),IF(MOD($F141,$H$2)=$H$2-2,"Source: "&amp;VLOOKUP(E141,'CIQ Key Developments'!$B$8:$I$491,COLUMN('CIQ Key Developments'!$I$7)-COLUMN('CIQ Key Developments'!$B$7)+1,FALSE),""))</f>
        <v>Source: Business Wire</v>
      </c>
      <c r="B141" s="1202"/>
      <c r="C141" s="1202"/>
      <c r="E141" s="383">
        <f t="shared" si="4"/>
        <v>6</v>
      </c>
      <c r="F141" s="7">
        <f t="shared" si="5"/>
        <v>20</v>
      </c>
    </row>
    <row r="142" spans="1:6" ht="7.15" customHeight="1" collapsed="1" x14ac:dyDescent="0.2">
      <c r="A142" s="1203" t="str">
        <f>IF(MOD($F142,$H$2)&lt;$H$2-2,_xll.ciqfunctions.udf.CIQSPLIT(VLOOKUP(E142,'CIQ Key Developments'!$B$8:$I$491,COLUMN('CIQ Key Developments'!$F$7)-COLUMN('CIQ Key Developments'!$B$7)+1,FALSE),$F142,F$6),IF(MOD($F142,$H$2)=$H$2-2,"Source: "&amp;VLOOKUP(E142,'CIQ Key Developments'!$B$8:$I$491,COLUMN('CIQ Key Developments'!$I$7)-COLUMN('CIQ Key Developments'!$B$7)+1,FALSE),""))</f>
        <v/>
      </c>
      <c r="B142" s="439"/>
      <c r="C142" s="439"/>
      <c r="E142" s="383">
        <f t="shared" si="4"/>
        <v>6</v>
      </c>
      <c r="F142" s="7">
        <f t="shared" si="5"/>
        <v>21</v>
      </c>
    </row>
    <row r="143" spans="1:6" s="571" customFormat="1" ht="12" customHeight="1" x14ac:dyDescent="0.2">
      <c r="A143" s="1513" t="str">
        <f>+VLOOKUP(E143,'CIQ Key Developments'!$B$8:$I$491,COLUMN('CIQ Key Developments'!$D$7)-COLUMN('CIQ Key Developments'!$B$7)+1,FALSE)</f>
        <v>Walmart Inc. Presents at BofA Securities 2022 Consumer and Retail Technology Conference, Mar-09-2022 03:30 PM</v>
      </c>
      <c r="B143" s="1514"/>
      <c r="C143" s="1515"/>
      <c r="E143" s="383">
        <f t="shared" si="4"/>
        <v>7</v>
      </c>
      <c r="F143" s="7">
        <f t="shared" si="5"/>
        <v>22</v>
      </c>
    </row>
    <row r="144" spans="1:6" s="571" customFormat="1" ht="11.65" customHeight="1" x14ac:dyDescent="0.2">
      <c r="A144" s="1199" t="str">
        <f>+$C$3</f>
        <v>Walmart Inc.</v>
      </c>
      <c r="B144" s="1200" t="str">
        <f>VLOOKUP(E143,'CIQ Key Developments'!$B$8:$I$491,COLUMN('CIQ Key Developments'!$G$7)-COLUMN('CIQ Key Developments'!$B$7)+1,FALSE)&amp;" "&amp;VLOOKUP(E143,'CIQ Key Developments'!$B$8:$I$491,COLUMN('CIQ Key Developments'!$H$7)-COLUMN('CIQ Key Developments'!$B$7)+1,FALSE)</f>
        <v>10 Mar 2022 4:30 AM</v>
      </c>
      <c r="C144" s="1201" t="str">
        <f>+VLOOKUP(E143,'CIQ Key Developments'!$B$8:$I$491,COLUMN('CIQ Key Developments'!$E$7)-COLUMN('CIQ Key Developments'!$B$7)+1,FALSE)</f>
        <v>Company Conference Presentations</v>
      </c>
      <c r="E144" s="383">
        <f t="shared" si="4"/>
        <v>7</v>
      </c>
      <c r="F144" s="7">
        <f t="shared" si="5"/>
        <v>175</v>
      </c>
    </row>
    <row r="145" spans="1:6" s="571" customFormat="1" ht="11.65" customHeight="1" x14ac:dyDescent="0.2">
      <c r="A145" s="1202" t="str">
        <f>IF(MOD($F145,$H$2)&lt;$H$2-2,_xll.ciqfunctions.udf.CIQSPLIT(VLOOKUP(E145,'CIQ Key Developments'!$B$8:$I$491,COLUMN('CIQ Key Developments'!$F$7)-COLUMN('CIQ Key Developments'!$B$7)+1,FALSE),$F145,F$6),IF(MOD($F145,$H$2)=$H$2-2,"Source: "&amp;VLOOKUP(E145,'CIQ Key Developments'!$B$8:$I$491,COLUMN('CIQ Key Developments'!$I$7)-COLUMN('CIQ Key Developments'!$B$7)+1,FALSE),""))</f>
        <v>Walmart Inc. Presents at BofA Securities 2022 Consumer and Retail Technology Conference, Mar-09-2022 03:30 PM. Venue: New York City, New York, United States.</v>
      </c>
      <c r="B145" s="1202"/>
      <c r="C145" s="1202"/>
      <c r="E145" s="383">
        <f t="shared" si="4"/>
        <v>7</v>
      </c>
      <c r="F145" s="7">
        <f t="shared" si="5"/>
        <v>1</v>
      </c>
    </row>
    <row r="146" spans="1:6" s="571" customFormat="1" ht="11.65" customHeight="1" x14ac:dyDescent="0.2">
      <c r="A146" s="1202" t="str">
        <f>IF(MOD($F146,$H$2)&lt;$H$2-2,_xll.ciqfunctions.udf.CIQSPLIT(VLOOKUP(E146,'CIQ Key Developments'!$B$8:$I$491,COLUMN('CIQ Key Developments'!$F$7)-COLUMN('CIQ Key Developments'!$B$7)+1,FALSE),$F146,F$6),IF(MOD($F146,$H$2)=$H$2-2,"Source: "&amp;VLOOKUP(E146,'CIQ Key Developments'!$B$8:$I$491,COLUMN('CIQ Key Developments'!$I$7)-COLUMN('CIQ Key Developments'!$B$7)+1,FALSE),""))</f>
        <v/>
      </c>
      <c r="B146" s="1202"/>
      <c r="C146" s="1202"/>
      <c r="E146" s="383">
        <f t="shared" si="4"/>
        <v>7</v>
      </c>
      <c r="F146" s="7">
        <f t="shared" si="5"/>
        <v>2</v>
      </c>
    </row>
    <row r="147" spans="1:6" s="571" customFormat="1" ht="11.65" hidden="1" customHeight="1" outlineLevel="1" x14ac:dyDescent="0.2">
      <c r="A147" s="1202" t="str">
        <f>IF(MOD($F147,$H$2)&lt;$H$2-2,_xll.ciqfunctions.udf.CIQSPLIT(VLOOKUP(E147,'CIQ Key Developments'!$B$8:$I$491,COLUMN('CIQ Key Developments'!$F$7)-COLUMN('CIQ Key Developments'!$B$7)+1,FALSE),$F147,F$6),IF(MOD($F147,$H$2)=$H$2-2,"Source: "&amp;VLOOKUP(E147,'CIQ Key Developments'!$B$8:$I$491,COLUMN('CIQ Key Developments'!$I$7)-COLUMN('CIQ Key Developments'!$B$7)+1,FALSE),""))</f>
        <v/>
      </c>
      <c r="B147" s="1202"/>
      <c r="C147" s="1202"/>
      <c r="E147" s="383">
        <f t="shared" si="4"/>
        <v>7</v>
      </c>
      <c r="F147" s="7">
        <f t="shared" si="5"/>
        <v>3</v>
      </c>
    </row>
    <row r="148" spans="1:6" s="571" customFormat="1" ht="11.65" hidden="1" customHeight="1" outlineLevel="1" x14ac:dyDescent="0.2">
      <c r="A148" s="1202" t="str">
        <f>IF(MOD($F148,$H$2)&lt;$H$2-2,_xll.ciqfunctions.udf.CIQSPLIT(VLOOKUP(E148,'CIQ Key Developments'!$B$8:$I$491,COLUMN('CIQ Key Developments'!$F$7)-COLUMN('CIQ Key Developments'!$B$7)+1,FALSE),$F148,F$6),IF(MOD($F148,$H$2)=$H$2-2,"Source: "&amp;VLOOKUP(E148,'CIQ Key Developments'!$B$8:$I$491,COLUMN('CIQ Key Developments'!$I$7)-COLUMN('CIQ Key Developments'!$B$7)+1,FALSE),""))</f>
        <v/>
      </c>
      <c r="B148" s="1202"/>
      <c r="C148" s="1202"/>
      <c r="E148" s="383">
        <f t="shared" si="4"/>
        <v>7</v>
      </c>
      <c r="F148" s="7">
        <f t="shared" si="5"/>
        <v>4</v>
      </c>
    </row>
    <row r="149" spans="1:6" s="571" customFormat="1" ht="11.65" hidden="1" customHeight="1" outlineLevel="1" x14ac:dyDescent="0.2">
      <c r="A149" s="1202" t="str">
        <f>IF(MOD($F149,$H$2)&lt;$H$2-2,_xll.ciqfunctions.udf.CIQSPLIT(VLOOKUP(E149,'CIQ Key Developments'!$B$8:$I$491,COLUMN('CIQ Key Developments'!$F$7)-COLUMN('CIQ Key Developments'!$B$7)+1,FALSE),$F149,F$6),IF(MOD($F149,$H$2)=$H$2-2,"Source: "&amp;VLOOKUP(E149,'CIQ Key Developments'!$B$8:$I$491,COLUMN('CIQ Key Developments'!$I$7)-COLUMN('CIQ Key Developments'!$B$7)+1,FALSE),""))</f>
        <v/>
      </c>
      <c r="B149" s="1202"/>
      <c r="C149" s="1202"/>
      <c r="E149" s="383">
        <f t="shared" si="4"/>
        <v>7</v>
      </c>
      <c r="F149" s="7">
        <f t="shared" si="5"/>
        <v>5</v>
      </c>
    </row>
    <row r="150" spans="1:6" s="571" customFormat="1" ht="11.65" hidden="1" customHeight="1" outlineLevel="1" x14ac:dyDescent="0.2">
      <c r="A150" s="1202" t="str">
        <f>IF(MOD($F150,$H$2)&lt;$H$2-2,_xll.ciqfunctions.udf.CIQSPLIT(VLOOKUP(E150,'CIQ Key Developments'!$B$8:$I$491,COLUMN('CIQ Key Developments'!$F$7)-COLUMN('CIQ Key Developments'!$B$7)+1,FALSE),$F150,F$6),IF(MOD($F150,$H$2)=$H$2-2,"Source: "&amp;VLOOKUP(E150,'CIQ Key Developments'!$B$8:$I$491,COLUMN('CIQ Key Developments'!$I$7)-COLUMN('CIQ Key Developments'!$B$7)+1,FALSE),""))</f>
        <v/>
      </c>
      <c r="B150" s="1202"/>
      <c r="C150" s="1202"/>
      <c r="E150" s="383">
        <f t="shared" si="4"/>
        <v>7</v>
      </c>
      <c r="F150" s="7">
        <f t="shared" si="5"/>
        <v>6</v>
      </c>
    </row>
    <row r="151" spans="1:6" s="571" customFormat="1" ht="11.65" hidden="1" customHeight="1" outlineLevel="1" x14ac:dyDescent="0.2">
      <c r="A151" s="1202" t="str">
        <f>IF(MOD($F151,$H$2)&lt;$H$2-2,_xll.ciqfunctions.udf.CIQSPLIT(VLOOKUP(E151,'CIQ Key Developments'!$B$8:$I$491,COLUMN('CIQ Key Developments'!$F$7)-COLUMN('CIQ Key Developments'!$B$7)+1,FALSE),$F151,F$6),IF(MOD($F151,$H$2)=$H$2-2,"Source: "&amp;VLOOKUP(E151,'CIQ Key Developments'!$B$8:$I$491,COLUMN('CIQ Key Developments'!$I$7)-COLUMN('CIQ Key Developments'!$B$7)+1,FALSE),""))</f>
        <v/>
      </c>
      <c r="B151" s="1202"/>
      <c r="C151" s="1202"/>
      <c r="E151" s="383">
        <f t="shared" si="4"/>
        <v>7</v>
      </c>
      <c r="F151" s="7">
        <f t="shared" si="5"/>
        <v>7</v>
      </c>
    </row>
    <row r="152" spans="1:6" s="571" customFormat="1" ht="11.65" hidden="1" customHeight="1" outlineLevel="1" x14ac:dyDescent="0.2">
      <c r="A152" s="1202" t="str">
        <f>IF(MOD($F152,$H$2)&lt;$H$2-2,_xll.ciqfunctions.udf.CIQSPLIT(VLOOKUP(E152,'CIQ Key Developments'!$B$8:$I$491,COLUMN('CIQ Key Developments'!$F$7)-COLUMN('CIQ Key Developments'!$B$7)+1,FALSE),$F152,F$6),IF(MOD($F152,$H$2)=$H$2-2,"Source: "&amp;VLOOKUP(E152,'CIQ Key Developments'!$B$8:$I$491,COLUMN('CIQ Key Developments'!$I$7)-COLUMN('CIQ Key Developments'!$B$7)+1,FALSE),""))</f>
        <v/>
      </c>
      <c r="B152" s="1202"/>
      <c r="C152" s="1202"/>
      <c r="E152" s="383">
        <f t="shared" si="4"/>
        <v>7</v>
      </c>
      <c r="F152" s="7">
        <f t="shared" si="5"/>
        <v>8</v>
      </c>
    </row>
    <row r="153" spans="1:6" s="571" customFormat="1" ht="11.65" hidden="1" customHeight="1" outlineLevel="1" x14ac:dyDescent="0.2">
      <c r="A153" s="1202" t="str">
        <f>IF(MOD($F153,$H$2)&lt;$H$2-2,_xll.ciqfunctions.udf.CIQSPLIT(VLOOKUP(E153,'CIQ Key Developments'!$B$8:$I$491,COLUMN('CIQ Key Developments'!$F$7)-COLUMN('CIQ Key Developments'!$B$7)+1,FALSE),$F153,F$6),IF(MOD($F153,$H$2)=$H$2-2,"Source: "&amp;VLOOKUP(E153,'CIQ Key Developments'!$B$8:$I$491,COLUMN('CIQ Key Developments'!$I$7)-COLUMN('CIQ Key Developments'!$B$7)+1,FALSE),""))</f>
        <v/>
      </c>
      <c r="B153" s="1202"/>
      <c r="C153" s="1202"/>
      <c r="E153" s="383">
        <f t="shared" si="4"/>
        <v>7</v>
      </c>
      <c r="F153" s="7">
        <f t="shared" si="5"/>
        <v>9</v>
      </c>
    </row>
    <row r="154" spans="1:6" s="571" customFormat="1" ht="11.65" hidden="1" customHeight="1" outlineLevel="1" x14ac:dyDescent="0.2">
      <c r="A154" s="1202" t="str">
        <f>IF(MOD($F154,$H$2)&lt;$H$2-2,_xll.ciqfunctions.udf.CIQSPLIT(VLOOKUP(E154,'CIQ Key Developments'!$B$8:$I$491,COLUMN('CIQ Key Developments'!$F$7)-COLUMN('CIQ Key Developments'!$B$7)+1,FALSE),$F154,F$6),IF(MOD($F154,$H$2)=$H$2-2,"Source: "&amp;VLOOKUP(E154,'CIQ Key Developments'!$B$8:$I$491,COLUMN('CIQ Key Developments'!$I$7)-COLUMN('CIQ Key Developments'!$B$7)+1,FALSE),""))</f>
        <v/>
      </c>
      <c r="B154" s="1202"/>
      <c r="C154" s="1202"/>
      <c r="E154" s="383">
        <f t="shared" si="4"/>
        <v>7</v>
      </c>
      <c r="F154" s="7">
        <f t="shared" si="5"/>
        <v>10</v>
      </c>
    </row>
    <row r="155" spans="1:6" s="571" customFormat="1" ht="11.65" hidden="1" customHeight="1" outlineLevel="1" x14ac:dyDescent="0.2">
      <c r="A155" s="1202" t="str">
        <f>IF(MOD($F155,$H$2)&lt;$H$2-2,_xll.ciqfunctions.udf.CIQSPLIT(VLOOKUP(E155,'CIQ Key Developments'!$B$8:$I$491,COLUMN('CIQ Key Developments'!$F$7)-COLUMN('CIQ Key Developments'!$B$7)+1,FALSE),$F155,F$6),IF(MOD($F155,$H$2)=$H$2-2,"Source: "&amp;VLOOKUP(E155,'CIQ Key Developments'!$B$8:$I$491,COLUMN('CIQ Key Developments'!$I$7)-COLUMN('CIQ Key Developments'!$B$7)+1,FALSE),""))</f>
        <v/>
      </c>
      <c r="B155" s="1202"/>
      <c r="C155" s="1202"/>
      <c r="E155" s="383">
        <f t="shared" si="4"/>
        <v>7</v>
      </c>
      <c r="F155" s="7">
        <f t="shared" si="5"/>
        <v>11</v>
      </c>
    </row>
    <row r="156" spans="1:6" s="571" customFormat="1" ht="11.65" hidden="1" customHeight="1" outlineLevel="1" x14ac:dyDescent="0.2">
      <c r="A156" s="1202" t="str">
        <f>IF(MOD($F156,$H$2)&lt;$H$2-2,_xll.ciqfunctions.udf.CIQSPLIT(VLOOKUP(E156,'CIQ Key Developments'!$B$8:$I$491,COLUMN('CIQ Key Developments'!$F$7)-COLUMN('CIQ Key Developments'!$B$7)+1,FALSE),$F156,F$6),IF(MOD($F156,$H$2)=$H$2-2,"Source: "&amp;VLOOKUP(E156,'CIQ Key Developments'!$B$8:$I$491,COLUMN('CIQ Key Developments'!$I$7)-COLUMN('CIQ Key Developments'!$B$7)+1,FALSE),""))</f>
        <v/>
      </c>
      <c r="B156" s="1202"/>
      <c r="C156" s="1202"/>
      <c r="E156" s="383">
        <f t="shared" si="4"/>
        <v>7</v>
      </c>
      <c r="F156" s="7">
        <f t="shared" si="5"/>
        <v>12</v>
      </c>
    </row>
    <row r="157" spans="1:6" s="571" customFormat="1" ht="11.65" hidden="1" customHeight="1" outlineLevel="1" x14ac:dyDescent="0.2">
      <c r="A157" s="1202" t="str">
        <f>IF(MOD($F157,$H$2)&lt;$H$2-2,_xll.ciqfunctions.udf.CIQSPLIT(VLOOKUP(E157,'CIQ Key Developments'!$B$8:$I$491,COLUMN('CIQ Key Developments'!$F$7)-COLUMN('CIQ Key Developments'!$B$7)+1,FALSE),$F157,F$6),IF(MOD($F157,$H$2)=$H$2-2,"Source: "&amp;VLOOKUP(E157,'CIQ Key Developments'!$B$8:$I$491,COLUMN('CIQ Key Developments'!$I$7)-COLUMN('CIQ Key Developments'!$B$7)+1,FALSE),""))</f>
        <v/>
      </c>
      <c r="B157" s="1202"/>
      <c r="C157" s="1202"/>
      <c r="E157" s="383">
        <f t="shared" si="4"/>
        <v>7</v>
      </c>
      <c r="F157" s="7">
        <f t="shared" si="5"/>
        <v>13</v>
      </c>
    </row>
    <row r="158" spans="1:6" s="571" customFormat="1" ht="11.65" hidden="1" customHeight="1" outlineLevel="1" x14ac:dyDescent="0.2">
      <c r="A158" s="1202" t="str">
        <f>IF(MOD($F158,$H$2)&lt;$H$2-2,_xll.ciqfunctions.udf.CIQSPLIT(VLOOKUP(E158,'CIQ Key Developments'!$B$8:$I$491,COLUMN('CIQ Key Developments'!$F$7)-COLUMN('CIQ Key Developments'!$B$7)+1,FALSE),$F158,F$6),IF(MOD($F158,$H$2)=$H$2-2,"Source: "&amp;VLOOKUP(E158,'CIQ Key Developments'!$B$8:$I$491,COLUMN('CIQ Key Developments'!$I$7)-COLUMN('CIQ Key Developments'!$B$7)+1,FALSE),""))</f>
        <v/>
      </c>
      <c r="B158" s="1202"/>
      <c r="C158" s="1202"/>
      <c r="E158" s="383">
        <f t="shared" si="4"/>
        <v>7</v>
      </c>
      <c r="F158" s="7">
        <f t="shared" si="5"/>
        <v>14</v>
      </c>
    </row>
    <row r="159" spans="1:6" s="571" customFormat="1" ht="11.65" hidden="1" customHeight="1" outlineLevel="1" x14ac:dyDescent="0.2">
      <c r="A159" s="1202" t="str">
        <f>IF(MOD($F159,$H$2)&lt;$H$2-2,_xll.ciqfunctions.udf.CIQSPLIT(VLOOKUP(E159,'CIQ Key Developments'!$B$8:$I$491,COLUMN('CIQ Key Developments'!$F$7)-COLUMN('CIQ Key Developments'!$B$7)+1,FALSE),$F159,F$6),IF(MOD($F159,$H$2)=$H$2-2,"Source: "&amp;VLOOKUP(E159,'CIQ Key Developments'!$B$8:$I$491,COLUMN('CIQ Key Developments'!$I$7)-COLUMN('CIQ Key Developments'!$B$7)+1,FALSE),""))</f>
        <v/>
      </c>
      <c r="B159" s="1202"/>
      <c r="C159" s="1202"/>
      <c r="E159" s="383">
        <f t="shared" si="4"/>
        <v>7</v>
      </c>
      <c r="F159" s="7">
        <f t="shared" si="5"/>
        <v>15</v>
      </c>
    </row>
    <row r="160" spans="1:6" s="571" customFormat="1" ht="11.65" hidden="1" customHeight="1" outlineLevel="1" x14ac:dyDescent="0.2">
      <c r="A160" s="1202" t="str">
        <f>IF(MOD($F160,$H$2)&lt;$H$2-2,_xll.ciqfunctions.udf.CIQSPLIT(VLOOKUP(E160,'CIQ Key Developments'!$B$8:$I$491,COLUMN('CIQ Key Developments'!$F$7)-COLUMN('CIQ Key Developments'!$B$7)+1,FALSE),$F160,F$6),IF(MOD($F160,$H$2)=$H$2-2,"Source: "&amp;VLOOKUP(E160,'CIQ Key Developments'!$B$8:$I$491,COLUMN('CIQ Key Developments'!$I$7)-COLUMN('CIQ Key Developments'!$B$7)+1,FALSE),""))</f>
        <v/>
      </c>
      <c r="B160" s="1202"/>
      <c r="C160" s="1202"/>
      <c r="E160" s="383">
        <f t="shared" si="4"/>
        <v>7</v>
      </c>
      <c r="F160" s="7">
        <f t="shared" si="5"/>
        <v>16</v>
      </c>
    </row>
    <row r="161" spans="1:6" s="571" customFormat="1" ht="11.65" hidden="1" customHeight="1" outlineLevel="1" x14ac:dyDescent="0.2">
      <c r="A161" s="1202" t="str">
        <f>IF(MOD($F161,$H$2)&lt;$H$2-2,_xll.ciqfunctions.udf.CIQSPLIT(VLOOKUP(E161,'CIQ Key Developments'!$B$8:$I$491,COLUMN('CIQ Key Developments'!$F$7)-COLUMN('CIQ Key Developments'!$B$7)+1,FALSE),$F161,F$6),IF(MOD($F161,$H$2)=$H$2-2,"Source: "&amp;VLOOKUP(E161,'CIQ Key Developments'!$B$8:$I$491,COLUMN('CIQ Key Developments'!$I$7)-COLUMN('CIQ Key Developments'!$B$7)+1,FALSE),""))</f>
        <v/>
      </c>
      <c r="B161" s="1202"/>
      <c r="C161" s="1202"/>
      <c r="E161" s="383">
        <f t="shared" si="4"/>
        <v>7</v>
      </c>
      <c r="F161" s="7">
        <f t="shared" si="5"/>
        <v>17</v>
      </c>
    </row>
    <row r="162" spans="1:6" s="571" customFormat="1" ht="11.65" hidden="1" customHeight="1" outlineLevel="1" x14ac:dyDescent="0.2">
      <c r="A162" s="1202" t="str">
        <f>IF(MOD($F162,$H$2)&lt;$H$2-2,_xll.ciqfunctions.udf.CIQSPLIT(VLOOKUP(E162,'CIQ Key Developments'!$B$8:$I$491,COLUMN('CIQ Key Developments'!$F$7)-COLUMN('CIQ Key Developments'!$B$7)+1,FALSE),$F162,F$6),IF(MOD($F162,$H$2)=$H$2-2,"Source: "&amp;VLOOKUP(E162,'CIQ Key Developments'!$B$8:$I$491,COLUMN('CIQ Key Developments'!$I$7)-COLUMN('CIQ Key Developments'!$B$7)+1,FALSE),""))</f>
        <v/>
      </c>
      <c r="B162" s="1202"/>
      <c r="C162" s="1202"/>
      <c r="E162" s="383">
        <f t="shared" si="4"/>
        <v>7</v>
      </c>
      <c r="F162" s="7">
        <f t="shared" si="5"/>
        <v>18</v>
      </c>
    </row>
    <row r="163" spans="1:6" s="571" customFormat="1" ht="11.65" hidden="1" customHeight="1" outlineLevel="1" x14ac:dyDescent="0.2">
      <c r="A163" s="1202" t="str">
        <f>IF(MOD($F163,$H$2)&lt;$H$2-2,_xll.ciqfunctions.udf.CIQSPLIT(VLOOKUP(E163,'CIQ Key Developments'!$B$8:$I$491,COLUMN('CIQ Key Developments'!$F$7)-COLUMN('CIQ Key Developments'!$B$7)+1,FALSE),$F163,F$6),IF(MOD($F163,$H$2)=$H$2-2,"Source: "&amp;VLOOKUP(E163,'CIQ Key Developments'!$B$8:$I$491,COLUMN('CIQ Key Developments'!$I$7)-COLUMN('CIQ Key Developments'!$B$7)+1,FALSE),""))</f>
        <v/>
      </c>
      <c r="B163" s="1202"/>
      <c r="C163" s="1202"/>
      <c r="E163" s="383">
        <f t="shared" si="4"/>
        <v>7</v>
      </c>
      <c r="F163" s="7">
        <f t="shared" si="5"/>
        <v>19</v>
      </c>
    </row>
    <row r="164" spans="1:6" s="571" customFormat="1" ht="11.65" customHeight="1" collapsed="1" x14ac:dyDescent="0.2">
      <c r="A164" s="1202" t="str">
        <f>IF(MOD($F164,$H$2)&lt;$H$2-2,_xll.ciqfunctions.udf.CIQSPLIT(VLOOKUP(E164,'CIQ Key Developments'!$B$8:$I$491,COLUMN('CIQ Key Developments'!$F$7)-COLUMN('CIQ Key Developments'!$B$7)+1,FALSE),$F164,F$6),IF(MOD($F164,$H$2)=$H$2-2,"Source: "&amp;VLOOKUP(E164,'CIQ Key Developments'!$B$8:$I$491,COLUMN('CIQ Key Developments'!$I$7)-COLUMN('CIQ Key Developments'!$B$7)+1,FALSE),""))</f>
        <v>Source: PR Newswire, Business Wire, GlobeNewswire, Company Website</v>
      </c>
      <c r="B164" s="1202"/>
      <c r="C164" s="1202"/>
      <c r="E164" s="383">
        <f t="shared" si="4"/>
        <v>7</v>
      </c>
      <c r="F164" s="7">
        <f t="shared" si="5"/>
        <v>20</v>
      </c>
    </row>
    <row r="165" spans="1:6" ht="7.15" customHeight="1" collapsed="1" x14ac:dyDescent="0.2">
      <c r="A165" s="439" t="str">
        <f>IF(MOD($F165,$H$2)&lt;$H$2-2,_xll.ciqfunctions.udf.CIQSPLIT(VLOOKUP(E165,'CIQ Key Developments'!$B$8:$I$491,COLUMN('CIQ Key Developments'!$F$7)-COLUMN('CIQ Key Developments'!$B$7)+1,FALSE),$F165,F$6),IF(MOD($F165,$H$2)=$H$2-2,"Source: "&amp;VLOOKUP(E165,'CIQ Key Developments'!$B$8:$I$491,COLUMN('CIQ Key Developments'!$I$7)-COLUMN('CIQ Key Developments'!$B$7)+1,FALSE),""))</f>
        <v/>
      </c>
      <c r="B165" s="439"/>
      <c r="C165" s="439"/>
      <c r="E165" s="383">
        <f t="shared" si="4"/>
        <v>7</v>
      </c>
      <c r="F165" s="7">
        <f t="shared" si="5"/>
        <v>21</v>
      </c>
    </row>
    <row r="166" spans="1:6" s="571" customFormat="1" ht="12" customHeight="1" x14ac:dyDescent="0.2">
      <c r="A166" s="1513" t="str">
        <f>+VLOOKUP(E166,'CIQ Key Developments'!$B$8:$I$491,COLUMN('CIQ Key Developments'!$D$7)-COLUMN('CIQ Key Developments'!$B$7)+1,FALSE)</f>
        <v>Delivery Solutions Collaborates with Walmart GoLocal to Provide Premium Delivery Experience for Shoppers</v>
      </c>
      <c r="B166" s="1514"/>
      <c r="C166" s="1515"/>
      <c r="E166" s="383">
        <f t="shared" si="4"/>
        <v>8</v>
      </c>
      <c r="F166" s="7">
        <f t="shared" si="5"/>
        <v>22</v>
      </c>
    </row>
    <row r="167" spans="1:6" s="571" customFormat="1" ht="11.65" customHeight="1" x14ac:dyDescent="0.2">
      <c r="A167" s="1199" t="str">
        <f>+$C$3</f>
        <v>Walmart Inc.</v>
      </c>
      <c r="B167" s="1200" t="str">
        <f>VLOOKUP(E166,'CIQ Key Developments'!$B$8:$I$491,COLUMN('CIQ Key Developments'!$G$7)-COLUMN('CIQ Key Developments'!$B$7)+1,FALSE)&amp;" "&amp;VLOOKUP(E166,'CIQ Key Developments'!$B$8:$I$491,COLUMN('CIQ Key Developments'!$H$7)-COLUMN('CIQ Key Developments'!$B$7)+1,FALSE)</f>
        <v>09 Mar 2022 12:00 AM</v>
      </c>
      <c r="C167" s="1201" t="str">
        <f>+VLOOKUP(E166,'CIQ Key Developments'!$B$8:$I$491,COLUMN('CIQ Key Developments'!$E$7)-COLUMN('CIQ Key Developments'!$B$7)+1,FALSE)</f>
        <v>Client Announcements</v>
      </c>
      <c r="E167" s="383">
        <f t="shared" si="4"/>
        <v>8</v>
      </c>
      <c r="F167" s="7">
        <f t="shared" si="5"/>
        <v>175</v>
      </c>
    </row>
    <row r="168" spans="1:6" s="571" customFormat="1" ht="11.65" customHeight="1" x14ac:dyDescent="0.2">
      <c r="A168" s="1202" t="str">
        <f>IF(MOD($F168,$H$2)&lt;$H$2-2,_xll.ciqfunctions.udf.CIQSPLIT(VLOOKUP(E168,'CIQ Key Developments'!$B$8:$I$491,COLUMN('CIQ Key Developments'!$F$7)-COLUMN('CIQ Key Developments'!$B$7)+1,FALSE),$F168,F$6),IF(MOD($F168,$H$2)=$H$2-2,"Source: "&amp;VLOOKUP(E168,'CIQ Key Developments'!$B$8:$I$491,COLUMN('CIQ Key Developments'!$I$7)-COLUMN('CIQ Key Developments'!$B$7)+1,FALSE),""))</f>
        <v>Delivery Solutions announced that Walmart GoLocal, Walmart’s white-label delivery as a service business, will join the Delivery Solutions platform as a last mile delivery</v>
      </c>
      <c r="B168" s="1202"/>
      <c r="C168" s="1202"/>
      <c r="E168" s="383">
        <f t="shared" si="4"/>
        <v>8</v>
      </c>
      <c r="F168" s="7">
        <f t="shared" si="5"/>
        <v>1</v>
      </c>
    </row>
    <row r="169" spans="1:6" s="571" customFormat="1" ht="11.65" customHeight="1" x14ac:dyDescent="0.2">
      <c r="A169" s="1202" t="str">
        <f>IF(MOD($F169,$H$2)&lt;$H$2-2,_xll.ciqfunctions.udf.CIQSPLIT(VLOOKUP(E169,'CIQ Key Developments'!$B$8:$I$491,COLUMN('CIQ Key Developments'!$F$7)-COLUMN('CIQ Key Developments'!$B$7)+1,FALSE),$F169,F$6),IF(MOD($F169,$H$2)=$H$2-2,"Source: "&amp;VLOOKUP(E169,'CIQ Key Developments'!$B$8:$I$491,COLUMN('CIQ Key Developments'!$I$7)-COLUMN('CIQ Key Developments'!$B$7)+1,FALSE),""))</f>
        <v>service provider. The collaboration will further enable Delivery Solutions customers to deploy an omnichannel shopping experience complete with express, same-day and next-day</v>
      </c>
      <c r="B169" s="1202"/>
      <c r="C169" s="1202"/>
      <c r="E169" s="383">
        <f t="shared" si="4"/>
        <v>8</v>
      </c>
      <c r="F169" s="7">
        <f t="shared" si="5"/>
        <v>2</v>
      </c>
    </row>
    <row r="170" spans="1:6" s="571" customFormat="1" ht="11.65" customHeight="1" x14ac:dyDescent="0.2">
      <c r="A170" s="1202" t="str">
        <f>IF(MOD($F170,$H$2)&lt;$H$2-2,_xll.ciqfunctions.udf.CIQSPLIT(VLOOKUP(E170,'CIQ Key Developments'!$B$8:$I$491,COLUMN('CIQ Key Developments'!$F$7)-COLUMN('CIQ Key Developments'!$B$7)+1,FALSE),$F170,F$6),IF(MOD($F170,$H$2)=$H$2-2,"Source: "&amp;VLOOKUP(E170,'CIQ Key Developments'!$B$8:$I$491,COLUMN('CIQ Key Developments'!$I$7)-COLUMN('CIQ Key Developments'!$B$7)+1,FALSE),""))</f>
        <v>delivery, providing retailers of all sizes with reliable, fast and efficient delivery. Since its inception in 2018, Delivery Solutions has made a name for itself by offering an</v>
      </c>
      <c r="B170" s="1202"/>
      <c r="C170" s="1202"/>
      <c r="E170" s="383">
        <f t="shared" si="4"/>
        <v>8</v>
      </c>
      <c r="F170" s="7">
        <f t="shared" si="5"/>
        <v>3</v>
      </c>
    </row>
    <row r="171" spans="1:6" s="571" customFormat="1" ht="11.65" customHeight="1" x14ac:dyDescent="0.2">
      <c r="A171" s="1202" t="str">
        <f>IF(MOD($F171,$H$2)&lt;$H$2-2,_xll.ciqfunctions.udf.CIQSPLIT(VLOOKUP(E171,'CIQ Key Developments'!$B$8:$I$491,COLUMN('CIQ Key Developments'!$F$7)-COLUMN('CIQ Key Developments'!$B$7)+1,FALSE),$F171,F$6),IF(MOD($F171,$H$2)=$H$2-2,"Source: "&amp;VLOOKUP(E171,'CIQ Key Developments'!$B$8:$I$491,COLUMN('CIQ Key Developments'!$I$7)-COLUMN('CIQ Key Developments'!$B$7)+1,FALSE),""))</f>
        <v>end-to-end white-label solution that includes everything from e-commerce delivery intelligence while the consumer is browsing, to post-purchase tracking, visibility, and</v>
      </c>
      <c r="B171" s="1202"/>
      <c r="C171" s="1202"/>
      <c r="E171" s="383">
        <f t="shared" si="4"/>
        <v>8</v>
      </c>
      <c r="F171" s="7">
        <f t="shared" si="5"/>
        <v>4</v>
      </c>
    </row>
    <row r="172" spans="1:6" s="571" customFormat="1" ht="11.65" customHeight="1" x14ac:dyDescent="0.2">
      <c r="A172" s="1202" t="str">
        <f>IF(MOD($F172,$H$2)&lt;$H$2-2,_xll.ciqfunctions.udf.CIQSPLIT(VLOOKUP(E172,'CIQ Key Developments'!$B$8:$I$491,COLUMN('CIQ Key Developments'!$F$7)-COLUMN('CIQ Key Developments'!$B$7)+1,FALSE),$F172,F$6),IF(MOD($F172,$H$2)=$H$2-2,"Source: "&amp;VLOOKUP(E172,'CIQ Key Developments'!$B$8:$I$491,COLUMN('CIQ Key Developments'!$I$7)-COLUMN('CIQ Key Developments'!$B$7)+1,FALSE),""))</f>
        <v>communication. Because of advancements in mobility and online access, customers expect a wide range of innovative, instantaneous delivery options that fit their post-pandemic</v>
      </c>
      <c r="B172" s="1202"/>
      <c r="C172" s="1202"/>
      <c r="E172" s="383">
        <f t="shared" si="4"/>
        <v>8</v>
      </c>
      <c r="F172" s="7">
        <f t="shared" si="5"/>
        <v>5</v>
      </c>
    </row>
    <row r="173" spans="1:6" s="571" customFormat="1" ht="11.65" customHeight="1" x14ac:dyDescent="0.2">
      <c r="A173" s="1202" t="str">
        <f>IF(MOD($F173,$H$2)&lt;$H$2-2,_xll.ciqfunctions.udf.CIQSPLIT(VLOOKUP(E173,'CIQ Key Developments'!$B$8:$I$491,COLUMN('CIQ Key Developments'!$F$7)-COLUMN('CIQ Key Developments'!$B$7)+1,FALSE),$F173,F$6),IF(MOD($F173,$H$2)=$H$2-2,"Source: "&amp;VLOOKUP(E173,'CIQ Key Developments'!$B$8:$I$491,COLUMN('CIQ Key Developments'!$I$7)-COLUMN('CIQ Key Developments'!$B$7)+1,FALSE),""))</f>
        <v>lifestyles. As the inventor and leader of same-day delivery aggregation and orchestration, Delivery Solutions continues to delight brands and customers with innovative fulfillment,</v>
      </c>
      <c r="B173" s="1202"/>
      <c r="C173" s="1202"/>
      <c r="E173" s="383">
        <f t="shared" si="4"/>
        <v>8</v>
      </c>
      <c r="F173" s="7">
        <f t="shared" si="5"/>
        <v>6</v>
      </c>
    </row>
    <row r="174" spans="1:6" s="571" customFormat="1" ht="11.65" customHeight="1" x14ac:dyDescent="0.2">
      <c r="A174" s="1202" t="str">
        <f>IF(MOD($F174,$H$2)&lt;$H$2-2,_xll.ciqfunctions.udf.CIQSPLIT(VLOOKUP(E174,'CIQ Key Developments'!$B$8:$I$491,COLUMN('CIQ Key Developments'!$F$7)-COLUMN('CIQ Key Developments'!$B$7)+1,FALSE),$F174,F$6),IF(MOD($F174,$H$2)=$H$2-2,"Source: "&amp;VLOOKUP(E174,'CIQ Key Developments'!$B$8:$I$491,COLUMN('CIQ Key Developments'!$I$7)-COLUMN('CIQ Key Developments'!$B$7)+1,FALSE),""))</f>
        <v>delivery, and post-purchase customer notifications, while also offering a competitive offering for traditional brick and mortar retail clients. Walmart GoLocal is a white-label</v>
      </c>
      <c r="B174" s="1202"/>
      <c r="C174" s="1202"/>
      <c r="E174" s="383">
        <f t="shared" si="4"/>
        <v>8</v>
      </c>
      <c r="F174" s="7">
        <f t="shared" si="5"/>
        <v>7</v>
      </c>
    </row>
    <row r="175" spans="1:6" s="571" customFormat="1" ht="11.65" customHeight="1" x14ac:dyDescent="0.2">
      <c r="A175" s="1202" t="str">
        <f>IF(MOD($F175,$H$2)&lt;$H$2-2,_xll.ciqfunctions.udf.CIQSPLIT(VLOOKUP(E175,'CIQ Key Developments'!$B$8:$I$491,COLUMN('CIQ Key Developments'!$F$7)-COLUMN('CIQ Key Developments'!$B$7)+1,FALSE),$F175,F$6),IF(MOD($F175,$H$2)=$H$2-2,"Source: "&amp;VLOOKUP(E175,'CIQ Key Developments'!$B$8:$I$491,COLUMN('CIQ Key Developments'!$I$7)-COLUMN('CIQ Key Developments'!$B$7)+1,FALSE),""))</f>
        <v>delivery as a service offering that empowers businesses to grow using Walmart’s delivery capabilities and nationwide coverage at competitive pricing. This includes delivery on</v>
      </c>
      <c r="B175" s="1202"/>
      <c r="C175" s="1202"/>
      <c r="E175" s="383">
        <f t="shared" si="4"/>
        <v>8</v>
      </c>
      <c r="F175" s="7">
        <f t="shared" si="5"/>
        <v>8</v>
      </c>
    </row>
    <row r="176" spans="1:6" s="571" customFormat="1" ht="11.65" customHeight="1" x14ac:dyDescent="0.2">
      <c r="A176" s="1202" t="str">
        <f>IF(MOD($F176,$H$2)&lt;$H$2-2,_xll.ciqfunctions.udf.CIQSPLIT(VLOOKUP(E176,'CIQ Key Developments'!$B$8:$I$491,COLUMN('CIQ Key Developments'!$F$7)-COLUMN('CIQ Key Developments'!$B$7)+1,FALSE),$F176,F$6),IF(MOD($F176,$H$2)=$H$2-2,"Source: "&amp;VLOOKUP(E176,'CIQ Key Developments'!$B$8:$I$491,COLUMN('CIQ Key Developments'!$I$7)-COLUMN('CIQ Key Developments'!$B$7)+1,FALSE),""))</f>
        <v>a range of assortment, including those with size and complex requirements, as well as the flexibility to meet varying timelines such as express, same-day and next-day.</v>
      </c>
      <c r="B176" s="1202"/>
      <c r="C176" s="1202"/>
      <c r="E176" s="383">
        <f t="shared" si="4"/>
        <v>8</v>
      </c>
      <c r="F176" s="7">
        <f t="shared" si="5"/>
        <v>9</v>
      </c>
    </row>
    <row r="177" spans="1:6" s="571" customFormat="1" ht="11.65" customHeight="1" x14ac:dyDescent="0.2">
      <c r="A177" s="1202" t="str">
        <f>IF(MOD($F177,$H$2)&lt;$H$2-2,_xll.ciqfunctions.udf.CIQSPLIT(VLOOKUP(E177,'CIQ Key Developments'!$B$8:$I$491,COLUMN('CIQ Key Developments'!$F$7)-COLUMN('CIQ Key Developments'!$B$7)+1,FALSE),$F177,F$6),IF(MOD($F177,$H$2)=$H$2-2,"Source: "&amp;VLOOKUP(E177,'CIQ Key Developments'!$B$8:$I$491,COLUMN('CIQ Key Developments'!$I$7)-COLUMN('CIQ Key Developments'!$B$7)+1,FALSE),""))</f>
        <v>Walmart GoLocal is an important part of Walmart’s overall strategy, which includes diversifying its revenue streams and profit pools with initiatives like Walmart Connect and</v>
      </c>
      <c r="B177" s="1202"/>
      <c r="C177" s="1202"/>
      <c r="E177" s="383">
        <f t="shared" si="4"/>
        <v>8</v>
      </c>
      <c r="F177" s="7">
        <f t="shared" si="5"/>
        <v>10</v>
      </c>
    </row>
    <row r="178" spans="1:6" s="571" customFormat="1" ht="11.65" customHeight="1" x14ac:dyDescent="0.2">
      <c r="A178" s="1202" t="str">
        <f>IF(MOD($F178,$H$2)&lt;$H$2-2,_xll.ciqfunctions.udf.CIQSPLIT(VLOOKUP(E178,'CIQ Key Developments'!$B$8:$I$491,COLUMN('CIQ Key Developments'!$F$7)-COLUMN('CIQ Key Developments'!$B$7)+1,FALSE),$F178,F$6),IF(MOD($F178,$H$2)=$H$2-2,"Source: "&amp;VLOOKUP(E178,'CIQ Key Developments'!$B$8:$I$491,COLUMN('CIQ Key Developments'!$I$7)-COLUMN('CIQ Key Developments'!$B$7)+1,FALSE),""))</f>
        <v>Walmart Fulfillment Services.</v>
      </c>
      <c r="B178" s="1202"/>
      <c r="C178" s="1202"/>
      <c r="E178" s="383">
        <f t="shared" si="4"/>
        <v>8</v>
      </c>
      <c r="F178" s="7">
        <f t="shared" si="5"/>
        <v>11</v>
      </c>
    </row>
    <row r="179" spans="1:6" s="571" customFormat="1" ht="11.65" hidden="1" customHeight="1" outlineLevel="1" x14ac:dyDescent="0.2">
      <c r="A179" s="1202" t="str">
        <f>IF(MOD($F179,$H$2)&lt;$H$2-2,_xll.ciqfunctions.udf.CIQSPLIT(VLOOKUP(E179,'CIQ Key Developments'!$B$8:$I$491,COLUMN('CIQ Key Developments'!$F$7)-COLUMN('CIQ Key Developments'!$B$7)+1,FALSE),$F179,F$6),IF(MOD($F179,$H$2)=$H$2-2,"Source: "&amp;VLOOKUP(E179,'CIQ Key Developments'!$B$8:$I$491,COLUMN('CIQ Key Developments'!$I$7)-COLUMN('CIQ Key Developments'!$B$7)+1,FALSE),""))</f>
        <v/>
      </c>
      <c r="B179" s="1202"/>
      <c r="C179" s="1202"/>
      <c r="E179" s="383">
        <f t="shared" si="4"/>
        <v>8</v>
      </c>
      <c r="F179" s="7">
        <f t="shared" si="5"/>
        <v>12</v>
      </c>
    </row>
    <row r="180" spans="1:6" s="571" customFormat="1" ht="11.65" hidden="1" customHeight="1" outlineLevel="1" x14ac:dyDescent="0.2">
      <c r="A180" s="1202" t="str">
        <f>IF(MOD($F180,$H$2)&lt;$H$2-2,_xll.ciqfunctions.udf.CIQSPLIT(VLOOKUP(E180,'CIQ Key Developments'!$B$8:$I$491,COLUMN('CIQ Key Developments'!$F$7)-COLUMN('CIQ Key Developments'!$B$7)+1,FALSE),$F180,F$6),IF(MOD($F180,$H$2)=$H$2-2,"Source: "&amp;VLOOKUP(E180,'CIQ Key Developments'!$B$8:$I$491,COLUMN('CIQ Key Developments'!$I$7)-COLUMN('CIQ Key Developments'!$B$7)+1,FALSE),""))</f>
        <v/>
      </c>
      <c r="B180" s="1202"/>
      <c r="C180" s="1202"/>
      <c r="E180" s="383">
        <f t="shared" si="4"/>
        <v>8</v>
      </c>
      <c r="F180" s="7">
        <f t="shared" si="5"/>
        <v>13</v>
      </c>
    </row>
    <row r="181" spans="1:6" s="571" customFormat="1" ht="11.65" hidden="1" customHeight="1" outlineLevel="1" x14ac:dyDescent="0.2">
      <c r="A181" s="1202" t="str">
        <f>IF(MOD($F181,$H$2)&lt;$H$2-2,_xll.ciqfunctions.udf.CIQSPLIT(VLOOKUP(E181,'CIQ Key Developments'!$B$8:$I$491,COLUMN('CIQ Key Developments'!$F$7)-COLUMN('CIQ Key Developments'!$B$7)+1,FALSE),$F181,F$6),IF(MOD($F181,$H$2)=$H$2-2,"Source: "&amp;VLOOKUP(E181,'CIQ Key Developments'!$B$8:$I$491,COLUMN('CIQ Key Developments'!$I$7)-COLUMN('CIQ Key Developments'!$B$7)+1,FALSE),""))</f>
        <v/>
      </c>
      <c r="B181" s="1202"/>
      <c r="C181" s="1202"/>
      <c r="E181" s="383">
        <f t="shared" si="4"/>
        <v>8</v>
      </c>
      <c r="F181" s="7">
        <f t="shared" si="5"/>
        <v>14</v>
      </c>
    </row>
    <row r="182" spans="1:6" s="571" customFormat="1" ht="11.65" hidden="1" customHeight="1" outlineLevel="1" x14ac:dyDescent="0.2">
      <c r="A182" s="1202" t="str">
        <f>IF(MOD($F182,$H$2)&lt;$H$2-2,_xll.ciqfunctions.udf.CIQSPLIT(VLOOKUP(E182,'CIQ Key Developments'!$B$8:$I$491,COLUMN('CIQ Key Developments'!$F$7)-COLUMN('CIQ Key Developments'!$B$7)+1,FALSE),$F182,F$6),IF(MOD($F182,$H$2)=$H$2-2,"Source: "&amp;VLOOKUP(E182,'CIQ Key Developments'!$B$8:$I$491,COLUMN('CIQ Key Developments'!$I$7)-COLUMN('CIQ Key Developments'!$B$7)+1,FALSE),""))</f>
        <v/>
      </c>
      <c r="B182" s="1202"/>
      <c r="C182" s="1202"/>
      <c r="E182" s="383">
        <f t="shared" si="4"/>
        <v>8</v>
      </c>
      <c r="F182" s="7">
        <f t="shared" si="5"/>
        <v>15</v>
      </c>
    </row>
    <row r="183" spans="1:6" s="571" customFormat="1" ht="11.65" hidden="1" customHeight="1" outlineLevel="1" x14ac:dyDescent="0.2">
      <c r="A183" s="1202" t="str">
        <f>IF(MOD($F183,$H$2)&lt;$H$2-2,_xll.ciqfunctions.udf.CIQSPLIT(VLOOKUP(E183,'CIQ Key Developments'!$B$8:$I$491,COLUMN('CIQ Key Developments'!$F$7)-COLUMN('CIQ Key Developments'!$B$7)+1,FALSE),$F183,F$6),IF(MOD($F183,$H$2)=$H$2-2,"Source: "&amp;VLOOKUP(E183,'CIQ Key Developments'!$B$8:$I$491,COLUMN('CIQ Key Developments'!$I$7)-COLUMN('CIQ Key Developments'!$B$7)+1,FALSE),""))</f>
        <v/>
      </c>
      <c r="B183" s="1202"/>
      <c r="C183" s="1202"/>
      <c r="E183" s="383">
        <f t="shared" si="4"/>
        <v>8</v>
      </c>
      <c r="F183" s="7">
        <f t="shared" si="5"/>
        <v>16</v>
      </c>
    </row>
    <row r="184" spans="1:6" s="571" customFormat="1" ht="11.65" hidden="1" customHeight="1" outlineLevel="1" x14ac:dyDescent="0.2">
      <c r="A184" s="1202" t="str">
        <f>IF(MOD($F184,$H$2)&lt;$H$2-2,_xll.ciqfunctions.udf.CIQSPLIT(VLOOKUP(E184,'CIQ Key Developments'!$B$8:$I$491,COLUMN('CIQ Key Developments'!$F$7)-COLUMN('CIQ Key Developments'!$B$7)+1,FALSE),$F184,F$6),IF(MOD($F184,$H$2)=$H$2-2,"Source: "&amp;VLOOKUP(E184,'CIQ Key Developments'!$B$8:$I$491,COLUMN('CIQ Key Developments'!$I$7)-COLUMN('CIQ Key Developments'!$B$7)+1,FALSE),""))</f>
        <v/>
      </c>
      <c r="B184" s="1202"/>
      <c r="C184" s="1202"/>
      <c r="E184" s="383">
        <f t="shared" si="4"/>
        <v>8</v>
      </c>
      <c r="F184" s="7">
        <f t="shared" si="5"/>
        <v>17</v>
      </c>
    </row>
    <row r="185" spans="1:6" s="571" customFormat="1" ht="11.65" hidden="1" customHeight="1" outlineLevel="1" x14ac:dyDescent="0.2">
      <c r="A185" s="1202" t="str">
        <f>IF(MOD($F185,$H$2)&lt;$H$2-2,_xll.ciqfunctions.udf.CIQSPLIT(VLOOKUP(E185,'CIQ Key Developments'!$B$8:$I$491,COLUMN('CIQ Key Developments'!$F$7)-COLUMN('CIQ Key Developments'!$B$7)+1,FALSE),$F185,F$6),IF(MOD($F185,$H$2)=$H$2-2,"Source: "&amp;VLOOKUP(E185,'CIQ Key Developments'!$B$8:$I$491,COLUMN('CIQ Key Developments'!$I$7)-COLUMN('CIQ Key Developments'!$B$7)+1,FALSE),""))</f>
        <v/>
      </c>
      <c r="B185" s="1202"/>
      <c r="C185" s="1202"/>
      <c r="E185" s="383">
        <f t="shared" si="4"/>
        <v>8</v>
      </c>
      <c r="F185" s="7">
        <f t="shared" si="5"/>
        <v>18</v>
      </c>
    </row>
    <row r="186" spans="1:6" s="571" customFormat="1" ht="11.65" hidden="1" customHeight="1" outlineLevel="1" x14ac:dyDescent="0.2">
      <c r="A186" s="1202" t="str">
        <f>IF(MOD($F186,$H$2)&lt;$H$2-2,_xll.ciqfunctions.udf.CIQSPLIT(VLOOKUP(E186,'CIQ Key Developments'!$B$8:$I$491,COLUMN('CIQ Key Developments'!$F$7)-COLUMN('CIQ Key Developments'!$B$7)+1,FALSE),$F186,F$6),IF(MOD($F186,$H$2)=$H$2-2,"Source: "&amp;VLOOKUP(E186,'CIQ Key Developments'!$B$8:$I$491,COLUMN('CIQ Key Developments'!$I$7)-COLUMN('CIQ Key Developments'!$B$7)+1,FALSE),""))</f>
        <v/>
      </c>
      <c r="B186" s="1202"/>
      <c r="C186" s="1202"/>
      <c r="E186" s="383">
        <f t="shared" si="4"/>
        <v>8</v>
      </c>
      <c r="F186" s="7">
        <f t="shared" si="5"/>
        <v>19</v>
      </c>
    </row>
    <row r="187" spans="1:6" s="571" customFormat="1" ht="11.65" customHeight="1" collapsed="1" x14ac:dyDescent="0.2">
      <c r="A187" s="1202" t="str">
        <f>IF(MOD($F187,$H$2)&lt;$H$2-2,_xll.ciqfunctions.udf.CIQSPLIT(VLOOKUP(E187,'CIQ Key Developments'!$B$8:$I$491,COLUMN('CIQ Key Developments'!$F$7)-COLUMN('CIQ Key Developments'!$B$7)+1,FALSE),$F187,F$6),IF(MOD($F187,$H$2)=$H$2-2,"Source: "&amp;VLOOKUP(E187,'CIQ Key Developments'!$B$8:$I$491,COLUMN('CIQ Key Developments'!$I$7)-COLUMN('CIQ Key Developments'!$B$7)+1,FALSE),""))</f>
        <v>Source: Business Wire</v>
      </c>
      <c r="B187" s="1202"/>
      <c r="C187" s="1202"/>
      <c r="E187" s="383">
        <f t="shared" si="4"/>
        <v>8</v>
      </c>
      <c r="F187" s="7">
        <f t="shared" si="5"/>
        <v>20</v>
      </c>
    </row>
    <row r="188" spans="1:6" ht="7.15" customHeight="1" collapsed="1" x14ac:dyDescent="0.2">
      <c r="A188" s="439" t="str">
        <f>IF(MOD($F188,$H$2)&lt;$H$2-2,_xll.ciqfunctions.udf.CIQSPLIT(VLOOKUP(E188,'CIQ Key Developments'!$B$8:$I$491,COLUMN('CIQ Key Developments'!$F$7)-COLUMN('CIQ Key Developments'!$B$7)+1,FALSE),$F188,F$6),IF(MOD($F188,$H$2)=$H$2-2,"Source: "&amp;VLOOKUP(E188,'CIQ Key Developments'!$B$8:$I$491,COLUMN('CIQ Key Developments'!$I$7)-COLUMN('CIQ Key Developments'!$B$7)+1,FALSE),""))</f>
        <v/>
      </c>
      <c r="B188" s="439"/>
      <c r="C188" s="439"/>
      <c r="E188" s="383">
        <f t="shared" si="4"/>
        <v>8</v>
      </c>
      <c r="F188" s="7">
        <f t="shared" si="5"/>
        <v>21</v>
      </c>
    </row>
    <row r="189" spans="1:6" s="571" customFormat="1" ht="12" customHeight="1" x14ac:dyDescent="0.2">
      <c r="A189" s="1513" t="str">
        <f>+VLOOKUP(E189,'CIQ Key Developments'!$B$8:$I$491,COLUMN('CIQ Key Developments'!$D$7)-COLUMN('CIQ Key Developments'!$B$7)+1,FALSE)</f>
        <v>Walmart Selects Shippensburg, Pennsylvania for New Fulfillment Center, Opening Spring 2022</v>
      </c>
      <c r="B189" s="1514"/>
      <c r="C189" s="1515"/>
      <c r="E189" s="383">
        <f t="shared" si="4"/>
        <v>9</v>
      </c>
      <c r="F189" s="7">
        <f t="shared" si="5"/>
        <v>22</v>
      </c>
    </row>
    <row r="190" spans="1:6" s="571" customFormat="1" ht="11.65" customHeight="1" x14ac:dyDescent="0.2">
      <c r="A190" s="1199" t="str">
        <f>+$C$3</f>
        <v>Walmart Inc.</v>
      </c>
      <c r="B190" s="1200" t="str">
        <f>VLOOKUP(E189,'CIQ Key Developments'!$B$8:$I$491,COLUMN('CIQ Key Developments'!$G$7)-COLUMN('CIQ Key Developments'!$B$7)+1,FALSE)&amp;" "&amp;VLOOKUP(E189,'CIQ Key Developments'!$B$8:$I$491,COLUMN('CIQ Key Developments'!$H$7)-COLUMN('CIQ Key Developments'!$B$7)+1,FALSE)</f>
        <v>08 Mar 2022 12:00 AM</v>
      </c>
      <c r="C190" s="1201" t="str">
        <f>+VLOOKUP(E189,'CIQ Key Developments'!$B$8:$I$491,COLUMN('CIQ Key Developments'!$E$7)-COLUMN('CIQ Key Developments'!$B$7)+1,FALSE)</f>
        <v>Business Expansions</v>
      </c>
      <c r="E190" s="383">
        <f t="shared" si="4"/>
        <v>9</v>
      </c>
      <c r="F190" s="7">
        <f t="shared" si="5"/>
        <v>175</v>
      </c>
    </row>
    <row r="191" spans="1:6" s="571" customFormat="1" ht="11.65" customHeight="1" x14ac:dyDescent="0.2">
      <c r="A191" s="1202" t="str">
        <f>IF(MOD($F191,$H$2)&lt;$H$2-2,_xll.ciqfunctions.udf.CIQSPLIT(VLOOKUP(E191,'CIQ Key Developments'!$B$8:$I$491,COLUMN('CIQ Key Developments'!$F$7)-COLUMN('CIQ Key Developments'!$B$7)+1,FALSE),$F191,F$6),IF(MOD($F191,$H$2)=$H$2-2,"Source: "&amp;VLOOKUP(E191,'CIQ Key Developments'!$B$8:$I$491,COLUMN('CIQ Key Developments'!$I$7)-COLUMN('CIQ Key Developments'!$B$7)+1,FALSE),""))</f>
        <v>Walmart announced plans for a new fulfillment center in southern Pennsylvania to support the retailers rapidly increasing supply chain network and eCommerce capabilities. The</v>
      </c>
      <c r="B191" s="1202"/>
      <c r="C191" s="1202"/>
      <c r="E191" s="383">
        <f t="shared" si="4"/>
        <v>9</v>
      </c>
      <c r="F191" s="7">
        <f t="shared" si="5"/>
        <v>1</v>
      </c>
    </row>
    <row r="192" spans="1:6" s="571" customFormat="1" ht="11.65" customHeight="1" x14ac:dyDescent="0.2">
      <c r="A192" s="1202" t="str">
        <f>IF(MOD($F192,$H$2)&lt;$H$2-2,_xll.ciqfunctions.udf.CIQSPLIT(VLOOKUP(E192,'CIQ Key Developments'!$B$8:$I$491,COLUMN('CIQ Key Developments'!$F$7)-COLUMN('CIQ Key Developments'!$B$7)+1,FALSE),$F192,F$6),IF(MOD($F192,$H$2)=$H$2-2,"Source: "&amp;VLOOKUP(E192,'CIQ Key Developments'!$B$8:$I$491,COLUMN('CIQ Key Developments'!$I$7)-COLUMN('CIQ Key Developments'!$B$7)+1,FALSE),""))</f>
        <v>1.8M+ square-foot Shippensburg facility will be located at 2281 United Drive and is set to open Spring of 2022, creating up to 600 permanent, full-time jobs across the region.</v>
      </c>
      <c r="B192" s="1202"/>
      <c r="C192" s="1202"/>
      <c r="E192" s="383">
        <f t="shared" si="4"/>
        <v>9</v>
      </c>
      <c r="F192" s="7">
        <f t="shared" si="5"/>
        <v>2</v>
      </c>
    </row>
    <row r="193" spans="1:6" s="571" customFormat="1" ht="11.65" customHeight="1" x14ac:dyDescent="0.2">
      <c r="A193" s="1202" t="str">
        <f>IF(MOD($F193,$H$2)&lt;$H$2-2,_xll.ciqfunctions.udf.CIQSPLIT(VLOOKUP(E193,'CIQ Key Developments'!$B$8:$I$491,COLUMN('CIQ Key Developments'!$F$7)-COLUMN('CIQ Key Developments'!$B$7)+1,FALSE),$F193,F$6),IF(MOD($F193,$H$2)=$H$2-2,"Source: "&amp;VLOOKUP(E193,'CIQ Key Developments'!$B$8:$I$491,COLUMN('CIQ Key Developments'!$I$7)-COLUMN('CIQ Key Developments'!$B$7)+1,FALSE),""))</f>
        <v>The company to open a new state-of-the-art fulfillment center in Shippensburg, which will be instrumental in providing customers with increased access and faster shipping on</v>
      </c>
      <c r="B193" s="1202"/>
      <c r="C193" s="1202"/>
      <c r="E193" s="383">
        <f t="shared" si="4"/>
        <v>9</v>
      </c>
      <c r="F193" s="7">
        <f t="shared" si="5"/>
        <v>3</v>
      </c>
    </row>
    <row r="194" spans="1:6" s="571" customFormat="1" ht="11.65" customHeight="1" x14ac:dyDescent="0.2">
      <c r="A194" s="1202" t="str">
        <f>IF(MOD($F194,$H$2)&lt;$H$2-2,_xll.ciqfunctions.udf.CIQSPLIT(VLOOKUP(E194,'CIQ Key Developments'!$B$8:$I$491,COLUMN('CIQ Key Developments'!$F$7)-COLUMN('CIQ Key Developments'!$B$7)+1,FALSE),$F194,F$6),IF(MOD($F194,$H$2)=$H$2-2,"Source: "&amp;VLOOKUP(E194,'CIQ Key Developments'!$B$8:$I$491,COLUMN('CIQ Key Developments'!$I$7)-COLUMN('CIQ Key Developments'!$B$7)+1,FALSE),""))</f>
        <v>millions of every-day low priced items. Walmart fulfillment centers are an important part of the retailers supply chain network. Unlike distribution centers, which are focused</v>
      </c>
      <c r="B194" s="1202"/>
      <c r="C194" s="1202"/>
      <c r="E194" s="383">
        <f t="shared" si="4"/>
        <v>9</v>
      </c>
      <c r="F194" s="7">
        <f t="shared" si="5"/>
        <v>4</v>
      </c>
    </row>
    <row r="195" spans="1:6" s="571" customFormat="1" ht="11.65" customHeight="1" x14ac:dyDescent="0.2">
      <c r="A195" s="1202" t="str">
        <f>IF(MOD($F195,$H$2)&lt;$H$2-2,_xll.ciqfunctions.udf.CIQSPLIT(VLOOKUP(E195,'CIQ Key Developments'!$B$8:$I$491,COLUMN('CIQ Key Developments'!$F$7)-COLUMN('CIQ Key Developments'!$B$7)+1,FALSE),$F195,F$6),IF(MOD($F195,$H$2)=$H$2-2,"Source: "&amp;VLOOKUP(E195,'CIQ Key Developments'!$B$8:$I$491,COLUMN('CIQ Key Developments'!$I$7)-COLUMN('CIQ Key Developments'!$B$7)+1,FALSE),""))</f>
        <v>on receiving, storing, and distributing product to Walmart stores, fulfillment centers are focused on storing millions of items that are picked, packed and shipped directly to</v>
      </c>
      <c r="B195" s="1202"/>
      <c r="C195" s="1202"/>
      <c r="E195" s="383">
        <f t="shared" si="4"/>
        <v>9</v>
      </c>
      <c r="F195" s="7">
        <f t="shared" si="5"/>
        <v>5</v>
      </c>
    </row>
    <row r="196" spans="1:6" s="571" customFormat="1" ht="11.65" customHeight="1" x14ac:dyDescent="0.2">
      <c r="A196" s="1202" t="str">
        <f>IF(MOD($F196,$H$2)&lt;$H$2-2,_xll.ciqfunctions.udf.CIQSPLIT(VLOOKUP(E196,'CIQ Key Developments'!$B$8:$I$491,COLUMN('CIQ Key Developments'!$F$7)-COLUMN('CIQ Key Developments'!$B$7)+1,FALSE),$F196,F$6),IF(MOD($F196,$H$2)=$H$2-2,"Source: "&amp;VLOOKUP(E196,'CIQ Key Developments'!$B$8:$I$491,COLUMN('CIQ Key Developments'!$I$7)-COLUMN('CIQ Key Developments'!$B$7)+1,FALSE),""))</f>
        <v>customers as soon as next-day.</v>
      </c>
      <c r="B196" s="1202"/>
      <c r="C196" s="1202"/>
      <c r="E196" s="383">
        <f t="shared" si="4"/>
        <v>9</v>
      </c>
      <c r="F196" s="7">
        <f t="shared" si="5"/>
        <v>6</v>
      </c>
    </row>
    <row r="197" spans="1:6" s="571" customFormat="1" ht="11.65" customHeight="1" x14ac:dyDescent="0.2">
      <c r="A197" s="1202" t="str">
        <f>IF(MOD($F197,$H$2)&lt;$H$2-2,_xll.ciqfunctions.udf.CIQSPLIT(VLOOKUP(E197,'CIQ Key Developments'!$B$8:$I$491,COLUMN('CIQ Key Developments'!$F$7)-COLUMN('CIQ Key Developments'!$B$7)+1,FALSE),$F197,F$6),IF(MOD($F197,$H$2)=$H$2-2,"Source: "&amp;VLOOKUP(E197,'CIQ Key Developments'!$B$8:$I$491,COLUMN('CIQ Key Developments'!$I$7)-COLUMN('CIQ Key Developments'!$B$7)+1,FALSE),""))</f>
        <v/>
      </c>
      <c r="B197" s="1202"/>
      <c r="C197" s="1202"/>
      <c r="E197" s="383">
        <f t="shared" si="4"/>
        <v>9</v>
      </c>
      <c r="F197" s="7">
        <f t="shared" si="5"/>
        <v>7</v>
      </c>
    </row>
    <row r="198" spans="1:6" s="571" customFormat="1" ht="11.65" hidden="1" customHeight="1" outlineLevel="1" x14ac:dyDescent="0.2">
      <c r="A198" s="1202" t="str">
        <f>IF(MOD($F198,$H$2)&lt;$H$2-2,_xll.ciqfunctions.udf.CIQSPLIT(VLOOKUP(E198,'CIQ Key Developments'!$B$8:$I$491,COLUMN('CIQ Key Developments'!$F$7)-COLUMN('CIQ Key Developments'!$B$7)+1,FALSE),$F198,F$6),IF(MOD($F198,$H$2)=$H$2-2,"Source: "&amp;VLOOKUP(E198,'CIQ Key Developments'!$B$8:$I$491,COLUMN('CIQ Key Developments'!$I$7)-COLUMN('CIQ Key Developments'!$B$7)+1,FALSE),""))</f>
        <v/>
      </c>
      <c r="B198" s="1202"/>
      <c r="C198" s="1202"/>
      <c r="E198" s="383">
        <f t="shared" si="4"/>
        <v>9</v>
      </c>
      <c r="F198" s="7">
        <f t="shared" si="5"/>
        <v>8</v>
      </c>
    </row>
    <row r="199" spans="1:6" s="571" customFormat="1" ht="11.65" hidden="1" customHeight="1" outlineLevel="1" x14ac:dyDescent="0.2">
      <c r="A199" s="1202" t="str">
        <f>IF(MOD($F199,$H$2)&lt;$H$2-2,_xll.ciqfunctions.udf.CIQSPLIT(VLOOKUP(E199,'CIQ Key Developments'!$B$8:$I$491,COLUMN('CIQ Key Developments'!$F$7)-COLUMN('CIQ Key Developments'!$B$7)+1,FALSE),$F199,F$6),IF(MOD($F199,$H$2)=$H$2-2,"Source: "&amp;VLOOKUP(E199,'CIQ Key Developments'!$B$8:$I$491,COLUMN('CIQ Key Developments'!$I$7)-COLUMN('CIQ Key Developments'!$B$7)+1,FALSE),""))</f>
        <v/>
      </c>
      <c r="B199" s="1202"/>
      <c r="C199" s="1202"/>
      <c r="E199" s="383">
        <f t="shared" ref="E199:E262" si="6">+IF(F200=$F$6,E198+1,E198)</f>
        <v>9</v>
      </c>
      <c r="F199" s="7">
        <f t="shared" si="5"/>
        <v>9</v>
      </c>
    </row>
    <row r="200" spans="1:6" s="571" customFormat="1" ht="11.65" hidden="1" customHeight="1" outlineLevel="1" x14ac:dyDescent="0.2">
      <c r="A200" s="1202" t="str">
        <f>IF(MOD($F200,$H$2)&lt;$H$2-2,_xll.ciqfunctions.udf.CIQSPLIT(VLOOKUP(E200,'CIQ Key Developments'!$B$8:$I$491,COLUMN('CIQ Key Developments'!$F$7)-COLUMN('CIQ Key Developments'!$B$7)+1,FALSE),$F200,F$6),IF(MOD($F200,$H$2)=$H$2-2,"Source: "&amp;VLOOKUP(E200,'CIQ Key Developments'!$B$8:$I$491,COLUMN('CIQ Key Developments'!$I$7)-COLUMN('CIQ Key Developments'!$B$7)+1,FALSE),""))</f>
        <v/>
      </c>
      <c r="B200" s="1202"/>
      <c r="C200" s="1202"/>
      <c r="E200" s="383">
        <f t="shared" si="6"/>
        <v>9</v>
      </c>
      <c r="F200" s="7">
        <f t="shared" si="5"/>
        <v>10</v>
      </c>
    </row>
    <row r="201" spans="1:6" s="571" customFormat="1" ht="11.65" hidden="1" customHeight="1" outlineLevel="1" x14ac:dyDescent="0.2">
      <c r="A201" s="1202" t="str">
        <f>IF(MOD($F201,$H$2)&lt;$H$2-2,_xll.ciqfunctions.udf.CIQSPLIT(VLOOKUP(E201,'CIQ Key Developments'!$B$8:$I$491,COLUMN('CIQ Key Developments'!$F$7)-COLUMN('CIQ Key Developments'!$B$7)+1,FALSE),$F201,F$6),IF(MOD($F201,$H$2)=$H$2-2,"Source: "&amp;VLOOKUP(E201,'CIQ Key Developments'!$B$8:$I$491,COLUMN('CIQ Key Developments'!$I$7)-COLUMN('CIQ Key Developments'!$B$7)+1,FALSE),""))</f>
        <v/>
      </c>
      <c r="B201" s="1202"/>
      <c r="C201" s="1202"/>
      <c r="E201" s="383">
        <f t="shared" si="6"/>
        <v>9</v>
      </c>
      <c r="F201" s="7">
        <f t="shared" ref="F201:F264" si="7">+IF(F200&lt;$H$2,F200+1,IF(F200=$F$6,1,$F$6))</f>
        <v>11</v>
      </c>
    </row>
    <row r="202" spans="1:6" s="571" customFormat="1" ht="11.65" hidden="1" customHeight="1" outlineLevel="1" x14ac:dyDescent="0.2">
      <c r="A202" s="1202" t="str">
        <f>IF(MOD($F202,$H$2)&lt;$H$2-2,_xll.ciqfunctions.udf.CIQSPLIT(VLOOKUP(E202,'CIQ Key Developments'!$B$8:$I$491,COLUMN('CIQ Key Developments'!$F$7)-COLUMN('CIQ Key Developments'!$B$7)+1,FALSE),$F202,F$6),IF(MOD($F202,$H$2)=$H$2-2,"Source: "&amp;VLOOKUP(E202,'CIQ Key Developments'!$B$8:$I$491,COLUMN('CIQ Key Developments'!$I$7)-COLUMN('CIQ Key Developments'!$B$7)+1,FALSE),""))</f>
        <v/>
      </c>
      <c r="B202" s="1202"/>
      <c r="C202" s="1202"/>
      <c r="E202" s="383">
        <f t="shared" si="6"/>
        <v>9</v>
      </c>
      <c r="F202" s="7">
        <f t="shared" si="7"/>
        <v>12</v>
      </c>
    </row>
    <row r="203" spans="1:6" s="571" customFormat="1" ht="11.65" hidden="1" customHeight="1" outlineLevel="1" x14ac:dyDescent="0.2">
      <c r="A203" s="1202" t="str">
        <f>IF(MOD($F203,$H$2)&lt;$H$2-2,_xll.ciqfunctions.udf.CIQSPLIT(VLOOKUP(E203,'CIQ Key Developments'!$B$8:$I$491,COLUMN('CIQ Key Developments'!$F$7)-COLUMN('CIQ Key Developments'!$B$7)+1,FALSE),$F203,F$6),IF(MOD($F203,$H$2)=$H$2-2,"Source: "&amp;VLOOKUP(E203,'CIQ Key Developments'!$B$8:$I$491,COLUMN('CIQ Key Developments'!$I$7)-COLUMN('CIQ Key Developments'!$B$7)+1,FALSE),""))</f>
        <v/>
      </c>
      <c r="B203" s="1202"/>
      <c r="C203" s="1202"/>
      <c r="E203" s="383">
        <f t="shared" si="6"/>
        <v>9</v>
      </c>
      <c r="F203" s="7">
        <f t="shared" si="7"/>
        <v>13</v>
      </c>
    </row>
    <row r="204" spans="1:6" s="571" customFormat="1" ht="11.65" hidden="1" customHeight="1" outlineLevel="1" x14ac:dyDescent="0.2">
      <c r="A204" s="1202" t="str">
        <f>IF(MOD($F204,$H$2)&lt;$H$2-2,_xll.ciqfunctions.udf.CIQSPLIT(VLOOKUP(E204,'CIQ Key Developments'!$B$8:$I$491,COLUMN('CIQ Key Developments'!$F$7)-COLUMN('CIQ Key Developments'!$B$7)+1,FALSE),$F204,F$6),IF(MOD($F204,$H$2)=$H$2-2,"Source: "&amp;VLOOKUP(E204,'CIQ Key Developments'!$B$8:$I$491,COLUMN('CIQ Key Developments'!$I$7)-COLUMN('CIQ Key Developments'!$B$7)+1,FALSE),""))</f>
        <v/>
      </c>
      <c r="B204" s="1202"/>
      <c r="C204" s="1202"/>
      <c r="E204" s="383">
        <f t="shared" si="6"/>
        <v>9</v>
      </c>
      <c r="F204" s="7">
        <f t="shared" si="7"/>
        <v>14</v>
      </c>
    </row>
    <row r="205" spans="1:6" s="571" customFormat="1" ht="11.65" hidden="1" customHeight="1" outlineLevel="1" x14ac:dyDescent="0.2">
      <c r="A205" s="1202" t="str">
        <f>IF(MOD($F205,$H$2)&lt;$H$2-2,_xll.ciqfunctions.udf.CIQSPLIT(VLOOKUP(E205,'CIQ Key Developments'!$B$8:$I$491,COLUMN('CIQ Key Developments'!$F$7)-COLUMN('CIQ Key Developments'!$B$7)+1,FALSE),$F205,F$6),IF(MOD($F205,$H$2)=$H$2-2,"Source: "&amp;VLOOKUP(E205,'CIQ Key Developments'!$B$8:$I$491,COLUMN('CIQ Key Developments'!$I$7)-COLUMN('CIQ Key Developments'!$B$7)+1,FALSE),""))</f>
        <v/>
      </c>
      <c r="B205" s="1202"/>
      <c r="C205" s="1202"/>
      <c r="E205" s="383">
        <f t="shared" si="6"/>
        <v>9</v>
      </c>
      <c r="F205" s="7">
        <f t="shared" si="7"/>
        <v>15</v>
      </c>
    </row>
    <row r="206" spans="1:6" s="571" customFormat="1" ht="11.65" hidden="1" customHeight="1" outlineLevel="1" x14ac:dyDescent="0.2">
      <c r="A206" s="1202" t="str">
        <f>IF(MOD($F206,$H$2)&lt;$H$2-2,_xll.ciqfunctions.udf.CIQSPLIT(VLOOKUP(E206,'CIQ Key Developments'!$B$8:$I$491,COLUMN('CIQ Key Developments'!$F$7)-COLUMN('CIQ Key Developments'!$B$7)+1,FALSE),$F206,F$6),IF(MOD($F206,$H$2)=$H$2-2,"Source: "&amp;VLOOKUP(E206,'CIQ Key Developments'!$B$8:$I$491,COLUMN('CIQ Key Developments'!$I$7)-COLUMN('CIQ Key Developments'!$B$7)+1,FALSE),""))</f>
        <v/>
      </c>
      <c r="B206" s="1202"/>
      <c r="C206" s="1202"/>
      <c r="E206" s="383">
        <f t="shared" si="6"/>
        <v>9</v>
      </c>
      <c r="F206" s="7">
        <f t="shared" si="7"/>
        <v>16</v>
      </c>
    </row>
    <row r="207" spans="1:6" s="571" customFormat="1" ht="11.65" hidden="1" customHeight="1" outlineLevel="1" x14ac:dyDescent="0.2">
      <c r="A207" s="1202" t="str">
        <f>IF(MOD($F207,$H$2)&lt;$H$2-2,_xll.ciqfunctions.udf.CIQSPLIT(VLOOKUP(E207,'CIQ Key Developments'!$B$8:$I$491,COLUMN('CIQ Key Developments'!$F$7)-COLUMN('CIQ Key Developments'!$B$7)+1,FALSE),$F207,F$6),IF(MOD($F207,$H$2)=$H$2-2,"Source: "&amp;VLOOKUP(E207,'CIQ Key Developments'!$B$8:$I$491,COLUMN('CIQ Key Developments'!$I$7)-COLUMN('CIQ Key Developments'!$B$7)+1,FALSE),""))</f>
        <v/>
      </c>
      <c r="B207" s="1202"/>
      <c r="C207" s="1202"/>
      <c r="E207" s="383">
        <f t="shared" si="6"/>
        <v>9</v>
      </c>
      <c r="F207" s="7">
        <f t="shared" si="7"/>
        <v>17</v>
      </c>
    </row>
    <row r="208" spans="1:6" s="571" customFormat="1" ht="11.65" hidden="1" customHeight="1" outlineLevel="1" x14ac:dyDescent="0.2">
      <c r="A208" s="1202" t="str">
        <f>IF(MOD($F208,$H$2)&lt;$H$2-2,_xll.ciqfunctions.udf.CIQSPLIT(VLOOKUP(E208,'CIQ Key Developments'!$B$8:$I$491,COLUMN('CIQ Key Developments'!$F$7)-COLUMN('CIQ Key Developments'!$B$7)+1,FALSE),$F208,F$6),IF(MOD($F208,$H$2)=$H$2-2,"Source: "&amp;VLOOKUP(E208,'CIQ Key Developments'!$B$8:$I$491,COLUMN('CIQ Key Developments'!$I$7)-COLUMN('CIQ Key Developments'!$B$7)+1,FALSE),""))</f>
        <v/>
      </c>
      <c r="B208" s="1202"/>
      <c r="C208" s="1202"/>
      <c r="E208" s="383">
        <f t="shared" si="6"/>
        <v>9</v>
      </c>
      <c r="F208" s="7">
        <f t="shared" si="7"/>
        <v>18</v>
      </c>
    </row>
    <row r="209" spans="1:6" s="571" customFormat="1" ht="11.65" hidden="1" customHeight="1" outlineLevel="1" x14ac:dyDescent="0.2">
      <c r="A209" s="1202" t="str">
        <f>IF(MOD($F209,$H$2)&lt;$H$2-2,_xll.ciqfunctions.udf.CIQSPLIT(VLOOKUP(E209,'CIQ Key Developments'!$B$8:$I$491,COLUMN('CIQ Key Developments'!$F$7)-COLUMN('CIQ Key Developments'!$B$7)+1,FALSE),$F209,F$6),IF(MOD($F209,$H$2)=$H$2-2,"Source: "&amp;VLOOKUP(E209,'CIQ Key Developments'!$B$8:$I$491,COLUMN('CIQ Key Developments'!$I$7)-COLUMN('CIQ Key Developments'!$B$7)+1,FALSE),""))</f>
        <v/>
      </c>
      <c r="B209" s="1202"/>
      <c r="C209" s="1202"/>
      <c r="E209" s="383">
        <f t="shared" si="6"/>
        <v>9</v>
      </c>
      <c r="F209" s="7">
        <f t="shared" si="7"/>
        <v>19</v>
      </c>
    </row>
    <row r="210" spans="1:6" s="571" customFormat="1" ht="11.65" customHeight="1" collapsed="1" x14ac:dyDescent="0.2">
      <c r="A210" s="1202" t="str">
        <f>IF(MOD($F210,$H$2)&lt;$H$2-2,_xll.ciqfunctions.udf.CIQSPLIT(VLOOKUP(E210,'CIQ Key Developments'!$B$8:$I$491,COLUMN('CIQ Key Developments'!$F$7)-COLUMN('CIQ Key Developments'!$B$7)+1,FALSE),$F210,F$6),IF(MOD($F210,$H$2)=$H$2-2,"Source: "&amp;VLOOKUP(E210,'CIQ Key Developments'!$B$8:$I$491,COLUMN('CIQ Key Developments'!$I$7)-COLUMN('CIQ Key Developments'!$B$7)+1,FALSE),""))</f>
        <v>Source: Business Wire</v>
      </c>
      <c r="B210" s="1202"/>
      <c r="C210" s="1202"/>
      <c r="E210" s="383">
        <f t="shared" si="6"/>
        <v>9</v>
      </c>
      <c r="F210" s="7">
        <f t="shared" si="7"/>
        <v>20</v>
      </c>
    </row>
    <row r="211" spans="1:6" ht="7.15" customHeight="1" collapsed="1" x14ac:dyDescent="0.2">
      <c r="A211" s="439" t="str">
        <f>IF(MOD($F211,$H$2)&lt;$H$2-2,_xll.ciqfunctions.udf.CIQSPLIT(VLOOKUP(E211,'CIQ Key Developments'!$B$8:$I$491,COLUMN('CIQ Key Developments'!$F$7)-COLUMN('CIQ Key Developments'!$B$7)+1,FALSE),$F211,F$6),IF(MOD($F211,$H$2)=$H$2-2,"Source: "&amp;VLOOKUP(E211,'CIQ Key Developments'!$B$8:$I$491,COLUMN('CIQ Key Developments'!$I$7)-COLUMN('CIQ Key Developments'!$B$7)+1,FALSE),""))</f>
        <v/>
      </c>
      <c r="B211" s="439"/>
      <c r="C211" s="439"/>
      <c r="E211" s="383">
        <f t="shared" si="6"/>
        <v>9</v>
      </c>
      <c r="F211" s="7">
        <f t="shared" si="7"/>
        <v>21</v>
      </c>
    </row>
    <row r="212" spans="1:6" s="571" customFormat="1" ht="12" customHeight="1" x14ac:dyDescent="0.2">
      <c r="A212" s="1513" t="str">
        <f>+VLOOKUP(E212,'CIQ Key Developments'!$B$8:$I$491,COLUMN('CIQ Key Developments'!$D$7)-COLUMN('CIQ Key Developments'!$B$7)+1,FALSE)</f>
        <v>Walmart Teams Up With Space NK To Launch Prestige Beauty Featuring Top Beauty Brands</v>
      </c>
      <c r="B212" s="1514"/>
      <c r="C212" s="1515"/>
      <c r="E212" s="383">
        <f t="shared" si="6"/>
        <v>10</v>
      </c>
      <c r="F212" s="7">
        <f t="shared" si="7"/>
        <v>22</v>
      </c>
    </row>
    <row r="213" spans="1:6" s="571" customFormat="1" ht="11.65" customHeight="1" x14ac:dyDescent="0.2">
      <c r="A213" s="1199" t="str">
        <f>+$C$3</f>
        <v>Walmart Inc.</v>
      </c>
      <c r="B213" s="1200" t="str">
        <f>VLOOKUP(E212,'CIQ Key Developments'!$B$8:$I$491,COLUMN('CIQ Key Developments'!$G$7)-COLUMN('CIQ Key Developments'!$B$7)+1,FALSE)&amp;" "&amp;VLOOKUP(E212,'CIQ Key Developments'!$B$8:$I$491,COLUMN('CIQ Key Developments'!$H$7)-COLUMN('CIQ Key Developments'!$B$7)+1,FALSE)</f>
        <v>07 Mar 2022 12:00 AM</v>
      </c>
      <c r="C213" s="1201" t="str">
        <f>+VLOOKUP(E212,'CIQ Key Developments'!$B$8:$I$491,COLUMN('CIQ Key Developments'!$E$7)-COLUMN('CIQ Key Developments'!$B$7)+1,FALSE)</f>
        <v>Client Announcements</v>
      </c>
      <c r="E213" s="383">
        <f t="shared" si="6"/>
        <v>10</v>
      </c>
      <c r="F213" s="7">
        <f t="shared" si="7"/>
        <v>175</v>
      </c>
    </row>
    <row r="214" spans="1:6" s="571" customFormat="1" ht="11.65" customHeight="1" x14ac:dyDescent="0.2">
      <c r="A214" s="1202" t="str">
        <f>IF(MOD($F214,$H$2)&lt;$H$2-2,_xll.ciqfunctions.udf.CIQSPLIT(VLOOKUP(E214,'CIQ Key Developments'!$B$8:$I$491,COLUMN('CIQ Key Developments'!$F$7)-COLUMN('CIQ Key Developments'!$B$7)+1,FALSE),$F214,F$6),IF(MOD($F214,$H$2)=$H$2-2,"Source: "&amp;VLOOKUP(E214,'CIQ Key Developments'!$B$8:$I$491,COLUMN('CIQ Key Developments'!$I$7)-COLUMN('CIQ Key Developments'!$B$7)+1,FALSE),""))</f>
        <v>Walmart and Space NK are teaming up to bring prestige beauty products to Walmart.com and nearly 250 Walmart stores nationwide this summer. The unique collaboration, called</v>
      </c>
      <c r="B214" s="1202"/>
      <c r="C214" s="1202"/>
      <c r="E214" s="383">
        <f t="shared" si="6"/>
        <v>10</v>
      </c>
      <c r="F214" s="7">
        <f t="shared" si="7"/>
        <v>1</v>
      </c>
    </row>
    <row r="215" spans="1:6" s="571" customFormat="1" ht="11.65" hidden="1" customHeight="1" outlineLevel="1" x14ac:dyDescent="0.2">
      <c r="A215" s="1202" t="str">
        <f>IF(MOD($F215,$H$2)&lt;$H$2-2,_xll.ciqfunctions.udf.CIQSPLIT(VLOOKUP(E215,'CIQ Key Developments'!$B$8:$I$491,COLUMN('CIQ Key Developments'!$F$7)-COLUMN('CIQ Key Developments'!$B$7)+1,FALSE),$F215,F$6),IF(MOD($F215,$H$2)=$H$2-2,"Source: "&amp;VLOOKUP(E215,'CIQ Key Developments'!$B$8:$I$491,COLUMN('CIQ Key Developments'!$I$7)-COLUMN('CIQ Key Developments'!$B$7)+1,FALSE),""))</f>
        <v>BEAUTYSPACENK, leverages Walmart’s size and scale with the iconic British personal care and beauty company’s assortment of high-quality beauty brands and products. Customers will</v>
      </c>
      <c r="B215" s="1202"/>
      <c r="C215" s="1202"/>
      <c r="E215" s="383">
        <f t="shared" si="6"/>
        <v>10</v>
      </c>
      <c r="F215" s="7">
        <f t="shared" si="7"/>
        <v>2</v>
      </c>
    </row>
    <row r="216" spans="1:6" s="571" customFormat="1" ht="11.65" hidden="1" customHeight="1" outlineLevel="1" x14ac:dyDescent="0.2">
      <c r="A216" s="1202" t="str">
        <f>IF(MOD($F216,$H$2)&lt;$H$2-2,_xll.ciqfunctions.udf.CIQSPLIT(VLOOKUP(E216,'CIQ Key Developments'!$B$8:$I$491,COLUMN('CIQ Key Developments'!$F$7)-COLUMN('CIQ Key Developments'!$B$7)+1,FALSE),$F216,F$6),IF(MOD($F216,$H$2)=$H$2-2,"Source: "&amp;VLOOKUP(E216,'CIQ Key Developments'!$B$8:$I$491,COLUMN('CIQ Key Developments'!$I$7)-COLUMN('CIQ Key Developments'!$B$7)+1,FALSE),""))</f>
        <v>now have a convenient way to shop both beauty staples and prestige specialty items during their weekly Walmart shopping trip. Space NK has thoughtfully curated a collection of</v>
      </c>
      <c r="B216" s="1202"/>
      <c r="C216" s="1202"/>
      <c r="E216" s="383">
        <f t="shared" si="6"/>
        <v>10</v>
      </c>
      <c r="F216" s="7">
        <f t="shared" si="7"/>
        <v>3</v>
      </c>
    </row>
    <row r="217" spans="1:6" s="571" customFormat="1" ht="11.65" hidden="1" customHeight="1" outlineLevel="1" x14ac:dyDescent="0.2">
      <c r="A217" s="1202" t="str">
        <f>IF(MOD($F217,$H$2)&lt;$H$2-2,_xll.ciqfunctions.udf.CIQSPLIT(VLOOKUP(E217,'CIQ Key Developments'!$B$8:$I$491,COLUMN('CIQ Key Developments'!$F$7)-COLUMN('CIQ Key Developments'!$B$7)+1,FALSE),$F217,F$6),IF(MOD($F217,$H$2)=$H$2-2,"Source: "&amp;VLOOKUP(E217,'CIQ Key Developments'!$B$8:$I$491,COLUMN('CIQ Key Developments'!$I$7)-COLUMN('CIQ Key Developments'!$B$7)+1,FALSE),""))</f>
        <v>prestige products specifically for the Walmart customer, spanning a variety of price points across skincare, makeup, haircare and bath and body. Available on Walmart.com</v>
      </c>
      <c r="B217" s="1202"/>
      <c r="C217" s="1202"/>
      <c r="E217" s="383">
        <f t="shared" si="6"/>
        <v>10</v>
      </c>
      <c r="F217" s="7">
        <f t="shared" si="7"/>
        <v>4</v>
      </c>
    </row>
    <row r="218" spans="1:6" s="571" customFormat="1" ht="11.65" hidden="1" customHeight="1" outlineLevel="1" x14ac:dyDescent="0.2">
      <c r="A218" s="1202" t="str">
        <f>IF(MOD($F218,$H$2)&lt;$H$2-2,_xll.ciqfunctions.udf.CIQSPLIT(VLOOKUP(E218,'CIQ Key Developments'!$B$8:$I$491,COLUMN('CIQ Key Developments'!$F$7)-COLUMN('CIQ Key Developments'!$B$7)+1,FALSE),$F218,F$6),IF(MOD($F218,$H$2)=$H$2-2,"Source: "&amp;VLOOKUP(E218,'CIQ Key Developments'!$B$8:$I$491,COLUMN('CIQ Key Developments'!$I$7)-COLUMN('CIQ Key Developments'!$B$7)+1,FALSE),""))</f>
        <v>March 15, BEAUTYSPACENK features over 600 products from 15 brands, including both new and established, some of which are only available at Walmart - with more to come throughout</v>
      </c>
      <c r="B218" s="1202"/>
      <c r="C218" s="1202"/>
      <c r="E218" s="383">
        <f t="shared" si="6"/>
        <v>10</v>
      </c>
      <c r="F218" s="7">
        <f t="shared" si="7"/>
        <v>5</v>
      </c>
    </row>
    <row r="219" spans="1:6" s="571" customFormat="1" ht="11.65" hidden="1" customHeight="1" outlineLevel="1" x14ac:dyDescent="0.2">
      <c r="A219" s="1202" t="str">
        <f>IF(MOD($F219,$H$2)&lt;$H$2-2,_xll.ciqfunctions.udf.CIQSPLIT(VLOOKUP(E219,'CIQ Key Developments'!$B$8:$I$491,COLUMN('CIQ Key Developments'!$F$7)-COLUMN('CIQ Key Developments'!$B$7)+1,FALSE),$F219,F$6),IF(MOD($F219,$H$2)=$H$2-2,"Source: "&amp;VLOOKUP(E219,'CIQ Key Developments'!$B$8:$I$491,COLUMN('CIQ Key Developments'!$I$7)-COLUMN('CIQ Key Developments'!$B$7)+1,FALSE),""))</f>
        <v>the year. Combining Walmart’s knowledge of the U.S. customer and Space NK’s established track record of discovering and curating the best in beauty, BEAUTYSPACENK is sorted</v>
      </c>
      <c r="B219" s="1202"/>
      <c r="C219" s="1202"/>
      <c r="E219" s="383">
        <f t="shared" si="6"/>
        <v>10</v>
      </c>
      <c r="F219" s="7">
        <f t="shared" si="7"/>
        <v>6</v>
      </c>
    </row>
    <row r="220" spans="1:6" s="571" customFormat="1" ht="11.65" hidden="1" customHeight="1" outlineLevel="1" x14ac:dyDescent="0.2">
      <c r="A220" s="1202" t="str">
        <f>IF(MOD($F220,$H$2)&lt;$H$2-2,_xll.ciqfunctions.udf.CIQSPLIT(VLOOKUP(E220,'CIQ Key Developments'!$B$8:$I$491,COLUMN('CIQ Key Developments'!$F$7)-COLUMN('CIQ Key Developments'!$B$7)+1,FALSE),$F220,F$6),IF(MOD($F220,$H$2)=$H$2-2,"Source: "&amp;VLOOKUP(E220,'CIQ Key Developments'!$B$8:$I$491,COLUMN('CIQ Key Developments'!$I$7)-COLUMN('CIQ Key Developments'!$B$7)+1,FALSE),""))</f>
        <v>under four pillars – skincare, makeup, haircare and bath and body – spanning luxe, indie, award-winning, plant-powered and more.</v>
      </c>
      <c r="B220" s="1202"/>
      <c r="C220" s="1202"/>
      <c r="E220" s="383">
        <f t="shared" si="6"/>
        <v>10</v>
      </c>
      <c r="F220" s="7">
        <f t="shared" si="7"/>
        <v>7</v>
      </c>
    </row>
    <row r="221" spans="1:6" s="571" customFormat="1" ht="11.65" hidden="1" customHeight="1" outlineLevel="1" x14ac:dyDescent="0.2">
      <c r="A221" s="1202" t="str">
        <f>IF(MOD($F221,$H$2)&lt;$H$2-2,_xll.ciqfunctions.udf.CIQSPLIT(VLOOKUP(E221,'CIQ Key Developments'!$B$8:$I$491,COLUMN('CIQ Key Developments'!$F$7)-COLUMN('CIQ Key Developments'!$B$7)+1,FALSE),$F221,F$6),IF(MOD($F221,$H$2)=$H$2-2,"Source: "&amp;VLOOKUP(E221,'CIQ Key Developments'!$B$8:$I$491,COLUMN('CIQ Key Developments'!$I$7)-COLUMN('CIQ Key Developments'!$B$7)+1,FALSE),""))</f>
        <v/>
      </c>
      <c r="B221" s="1202"/>
      <c r="C221" s="1202"/>
      <c r="E221" s="383">
        <f t="shared" si="6"/>
        <v>10</v>
      </c>
      <c r="F221" s="7">
        <f t="shared" si="7"/>
        <v>8</v>
      </c>
    </row>
    <row r="222" spans="1:6" s="571" customFormat="1" ht="11.65" hidden="1" customHeight="1" outlineLevel="1" x14ac:dyDescent="0.2">
      <c r="A222" s="1202" t="str">
        <f>IF(MOD($F222,$H$2)&lt;$H$2-2,_xll.ciqfunctions.udf.CIQSPLIT(VLOOKUP(E222,'CIQ Key Developments'!$B$8:$I$491,COLUMN('CIQ Key Developments'!$F$7)-COLUMN('CIQ Key Developments'!$B$7)+1,FALSE),$F222,F$6),IF(MOD($F222,$H$2)=$H$2-2,"Source: "&amp;VLOOKUP(E222,'CIQ Key Developments'!$B$8:$I$491,COLUMN('CIQ Key Developments'!$I$7)-COLUMN('CIQ Key Developments'!$B$7)+1,FALSE),""))</f>
        <v/>
      </c>
      <c r="B222" s="1202"/>
      <c r="C222" s="1202"/>
      <c r="E222" s="383">
        <f t="shared" si="6"/>
        <v>10</v>
      </c>
      <c r="F222" s="7">
        <f t="shared" si="7"/>
        <v>9</v>
      </c>
    </row>
    <row r="223" spans="1:6" s="571" customFormat="1" ht="11.65" hidden="1" customHeight="1" outlineLevel="1" x14ac:dyDescent="0.2">
      <c r="A223" s="1202" t="str">
        <f>IF(MOD($F223,$H$2)&lt;$H$2-2,_xll.ciqfunctions.udf.CIQSPLIT(VLOOKUP(E223,'CIQ Key Developments'!$B$8:$I$491,COLUMN('CIQ Key Developments'!$F$7)-COLUMN('CIQ Key Developments'!$B$7)+1,FALSE),$F223,F$6),IF(MOD($F223,$H$2)=$H$2-2,"Source: "&amp;VLOOKUP(E223,'CIQ Key Developments'!$B$8:$I$491,COLUMN('CIQ Key Developments'!$I$7)-COLUMN('CIQ Key Developments'!$B$7)+1,FALSE),""))</f>
        <v/>
      </c>
      <c r="B223" s="1202"/>
      <c r="C223" s="1202"/>
      <c r="E223" s="383">
        <f t="shared" si="6"/>
        <v>10</v>
      </c>
      <c r="F223" s="7">
        <f t="shared" si="7"/>
        <v>10</v>
      </c>
    </row>
    <row r="224" spans="1:6" s="571" customFormat="1" ht="11.65" hidden="1" customHeight="1" outlineLevel="1" x14ac:dyDescent="0.2">
      <c r="A224" s="1202" t="str">
        <f>IF(MOD($F224,$H$2)&lt;$H$2-2,_xll.ciqfunctions.udf.CIQSPLIT(VLOOKUP(E224,'CIQ Key Developments'!$B$8:$I$491,COLUMN('CIQ Key Developments'!$F$7)-COLUMN('CIQ Key Developments'!$B$7)+1,FALSE),$F224,F$6),IF(MOD($F224,$H$2)=$H$2-2,"Source: "&amp;VLOOKUP(E224,'CIQ Key Developments'!$B$8:$I$491,COLUMN('CIQ Key Developments'!$I$7)-COLUMN('CIQ Key Developments'!$B$7)+1,FALSE),""))</f>
        <v/>
      </c>
      <c r="B224" s="1202"/>
      <c r="C224" s="1202"/>
      <c r="E224" s="383">
        <f t="shared" si="6"/>
        <v>10</v>
      </c>
      <c r="F224" s="7">
        <f t="shared" si="7"/>
        <v>11</v>
      </c>
    </row>
    <row r="225" spans="1:6" s="571" customFormat="1" ht="11.65" hidden="1" customHeight="1" outlineLevel="1" x14ac:dyDescent="0.2">
      <c r="A225" s="1202" t="str">
        <f>IF(MOD($F225,$H$2)&lt;$H$2-2,_xll.ciqfunctions.udf.CIQSPLIT(VLOOKUP(E225,'CIQ Key Developments'!$B$8:$I$491,COLUMN('CIQ Key Developments'!$F$7)-COLUMN('CIQ Key Developments'!$B$7)+1,FALSE),$F225,F$6),IF(MOD($F225,$H$2)=$H$2-2,"Source: "&amp;VLOOKUP(E225,'CIQ Key Developments'!$B$8:$I$491,COLUMN('CIQ Key Developments'!$I$7)-COLUMN('CIQ Key Developments'!$B$7)+1,FALSE),""))</f>
        <v/>
      </c>
      <c r="B225" s="1202"/>
      <c r="C225" s="1202"/>
      <c r="E225" s="383">
        <f t="shared" si="6"/>
        <v>10</v>
      </c>
      <c r="F225" s="7">
        <f t="shared" si="7"/>
        <v>12</v>
      </c>
    </row>
    <row r="226" spans="1:6" s="571" customFormat="1" ht="11.65" hidden="1" customHeight="1" outlineLevel="1" x14ac:dyDescent="0.2">
      <c r="A226" s="1202" t="str">
        <f>IF(MOD($F226,$H$2)&lt;$H$2-2,_xll.ciqfunctions.udf.CIQSPLIT(VLOOKUP(E226,'CIQ Key Developments'!$B$8:$I$491,COLUMN('CIQ Key Developments'!$F$7)-COLUMN('CIQ Key Developments'!$B$7)+1,FALSE),$F226,F$6),IF(MOD($F226,$H$2)=$H$2-2,"Source: "&amp;VLOOKUP(E226,'CIQ Key Developments'!$B$8:$I$491,COLUMN('CIQ Key Developments'!$I$7)-COLUMN('CIQ Key Developments'!$B$7)+1,FALSE),""))</f>
        <v/>
      </c>
      <c r="B226" s="1202"/>
      <c r="C226" s="1202"/>
      <c r="E226" s="383">
        <f t="shared" si="6"/>
        <v>10</v>
      </c>
      <c r="F226" s="7">
        <f t="shared" si="7"/>
        <v>13</v>
      </c>
    </row>
    <row r="227" spans="1:6" s="571" customFormat="1" ht="11.65" hidden="1" customHeight="1" outlineLevel="1" x14ac:dyDescent="0.2">
      <c r="A227" s="1202" t="str">
        <f>IF(MOD($F227,$H$2)&lt;$H$2-2,_xll.ciqfunctions.udf.CIQSPLIT(VLOOKUP(E227,'CIQ Key Developments'!$B$8:$I$491,COLUMN('CIQ Key Developments'!$F$7)-COLUMN('CIQ Key Developments'!$B$7)+1,FALSE),$F227,F$6),IF(MOD($F227,$H$2)=$H$2-2,"Source: "&amp;VLOOKUP(E227,'CIQ Key Developments'!$B$8:$I$491,COLUMN('CIQ Key Developments'!$I$7)-COLUMN('CIQ Key Developments'!$B$7)+1,FALSE),""))</f>
        <v/>
      </c>
      <c r="B227" s="1202"/>
      <c r="C227" s="1202"/>
      <c r="E227" s="383">
        <f t="shared" si="6"/>
        <v>10</v>
      </c>
      <c r="F227" s="7">
        <f t="shared" si="7"/>
        <v>14</v>
      </c>
    </row>
    <row r="228" spans="1:6" s="571" customFormat="1" ht="11.65" hidden="1" customHeight="1" outlineLevel="1" x14ac:dyDescent="0.2">
      <c r="A228" s="1202" t="str">
        <f>IF(MOD($F228,$H$2)&lt;$H$2-2,_xll.ciqfunctions.udf.CIQSPLIT(VLOOKUP(E228,'CIQ Key Developments'!$B$8:$I$491,COLUMN('CIQ Key Developments'!$F$7)-COLUMN('CIQ Key Developments'!$B$7)+1,FALSE),$F228,F$6),IF(MOD($F228,$H$2)=$H$2-2,"Source: "&amp;VLOOKUP(E228,'CIQ Key Developments'!$B$8:$I$491,COLUMN('CIQ Key Developments'!$I$7)-COLUMN('CIQ Key Developments'!$B$7)+1,FALSE),""))</f>
        <v/>
      </c>
      <c r="B228" s="1202"/>
      <c r="C228" s="1202"/>
      <c r="E228" s="383">
        <f t="shared" si="6"/>
        <v>10</v>
      </c>
      <c r="F228" s="7">
        <f t="shared" si="7"/>
        <v>15</v>
      </c>
    </row>
    <row r="229" spans="1:6" s="571" customFormat="1" ht="11.65" hidden="1" customHeight="1" outlineLevel="1" x14ac:dyDescent="0.2">
      <c r="A229" s="1202" t="str">
        <f>IF(MOD($F229,$H$2)&lt;$H$2-2,_xll.ciqfunctions.udf.CIQSPLIT(VLOOKUP(E229,'CIQ Key Developments'!$B$8:$I$491,COLUMN('CIQ Key Developments'!$F$7)-COLUMN('CIQ Key Developments'!$B$7)+1,FALSE),$F229,F$6),IF(MOD($F229,$H$2)=$H$2-2,"Source: "&amp;VLOOKUP(E229,'CIQ Key Developments'!$B$8:$I$491,COLUMN('CIQ Key Developments'!$I$7)-COLUMN('CIQ Key Developments'!$B$7)+1,FALSE),""))</f>
        <v/>
      </c>
      <c r="B229" s="1202"/>
      <c r="C229" s="1202"/>
      <c r="E229" s="383">
        <f t="shared" si="6"/>
        <v>10</v>
      </c>
      <c r="F229" s="7">
        <f t="shared" si="7"/>
        <v>16</v>
      </c>
    </row>
    <row r="230" spans="1:6" s="571" customFormat="1" ht="11.65" hidden="1" customHeight="1" outlineLevel="1" x14ac:dyDescent="0.2">
      <c r="A230" s="1202" t="str">
        <f>IF(MOD($F230,$H$2)&lt;$H$2-2,_xll.ciqfunctions.udf.CIQSPLIT(VLOOKUP(E230,'CIQ Key Developments'!$B$8:$I$491,COLUMN('CIQ Key Developments'!$F$7)-COLUMN('CIQ Key Developments'!$B$7)+1,FALSE),$F230,F$6),IF(MOD($F230,$H$2)=$H$2-2,"Source: "&amp;VLOOKUP(E230,'CIQ Key Developments'!$B$8:$I$491,COLUMN('CIQ Key Developments'!$I$7)-COLUMN('CIQ Key Developments'!$B$7)+1,FALSE),""))</f>
        <v/>
      </c>
      <c r="B230" s="1202"/>
      <c r="C230" s="1202"/>
      <c r="E230" s="383">
        <f t="shared" si="6"/>
        <v>10</v>
      </c>
      <c r="F230" s="7">
        <f t="shared" si="7"/>
        <v>17</v>
      </c>
    </row>
    <row r="231" spans="1:6" s="571" customFormat="1" ht="11.65" hidden="1" customHeight="1" outlineLevel="1" x14ac:dyDescent="0.2">
      <c r="A231" s="1202" t="str">
        <f>IF(MOD($F231,$H$2)&lt;$H$2-2,_xll.ciqfunctions.udf.CIQSPLIT(VLOOKUP(E231,'CIQ Key Developments'!$B$8:$I$491,COLUMN('CIQ Key Developments'!$F$7)-COLUMN('CIQ Key Developments'!$B$7)+1,FALSE),$F231,F$6),IF(MOD($F231,$H$2)=$H$2-2,"Source: "&amp;VLOOKUP(E231,'CIQ Key Developments'!$B$8:$I$491,COLUMN('CIQ Key Developments'!$I$7)-COLUMN('CIQ Key Developments'!$B$7)+1,FALSE),""))</f>
        <v/>
      </c>
      <c r="B231" s="1202"/>
      <c r="C231" s="1202"/>
      <c r="E231" s="383">
        <f t="shared" si="6"/>
        <v>10</v>
      </c>
      <c r="F231" s="7">
        <f t="shared" si="7"/>
        <v>18</v>
      </c>
    </row>
    <row r="232" spans="1:6" s="571" customFormat="1" ht="11.65" hidden="1" customHeight="1" outlineLevel="1" x14ac:dyDescent="0.2">
      <c r="A232" s="1202" t="str">
        <f>IF(MOD($F232,$H$2)&lt;$H$2-2,_xll.ciqfunctions.udf.CIQSPLIT(VLOOKUP(E232,'CIQ Key Developments'!$B$8:$I$491,COLUMN('CIQ Key Developments'!$F$7)-COLUMN('CIQ Key Developments'!$B$7)+1,FALSE),$F232,F$6),IF(MOD($F232,$H$2)=$H$2-2,"Source: "&amp;VLOOKUP(E232,'CIQ Key Developments'!$B$8:$I$491,COLUMN('CIQ Key Developments'!$I$7)-COLUMN('CIQ Key Developments'!$B$7)+1,FALSE),""))</f>
        <v/>
      </c>
      <c r="B232" s="1202"/>
      <c r="C232" s="1202"/>
      <c r="E232" s="383">
        <f t="shared" si="6"/>
        <v>10</v>
      </c>
      <c r="F232" s="7">
        <f t="shared" si="7"/>
        <v>19</v>
      </c>
    </row>
    <row r="233" spans="1:6" s="571" customFormat="1" ht="11.65" customHeight="1" collapsed="1" x14ac:dyDescent="0.2">
      <c r="A233" s="1202" t="str">
        <f>IF(MOD($F233,$H$2)&lt;$H$2-2,_xll.ciqfunctions.udf.CIQSPLIT(VLOOKUP(E233,'CIQ Key Developments'!$B$8:$I$491,COLUMN('CIQ Key Developments'!$F$7)-COLUMN('CIQ Key Developments'!$B$7)+1,FALSE),$F233,F$6),IF(MOD($F233,$H$2)=$H$2-2,"Source: "&amp;VLOOKUP(E233,'CIQ Key Developments'!$B$8:$I$491,COLUMN('CIQ Key Developments'!$I$7)-COLUMN('CIQ Key Developments'!$B$7)+1,FALSE),""))</f>
        <v>Source: Business Wire</v>
      </c>
      <c r="B233" s="1202"/>
      <c r="C233" s="1202"/>
      <c r="E233" s="383">
        <f t="shared" si="6"/>
        <v>10</v>
      </c>
      <c r="F233" s="7">
        <f t="shared" si="7"/>
        <v>20</v>
      </c>
    </row>
    <row r="234" spans="1:6" ht="7.15" customHeight="1" collapsed="1" x14ac:dyDescent="0.2">
      <c r="A234" s="439" t="str">
        <f>IF(MOD($F234,$H$2)&lt;$H$2-2,_xll.ciqfunctions.udf.CIQSPLIT(VLOOKUP(E234,'CIQ Key Developments'!$B$8:$I$491,COLUMN('CIQ Key Developments'!$F$7)-COLUMN('CIQ Key Developments'!$B$7)+1,FALSE),$F234,F$6),IF(MOD($F234,$H$2)=$H$2-2,"Source: "&amp;VLOOKUP(E234,'CIQ Key Developments'!$B$8:$I$491,COLUMN('CIQ Key Developments'!$I$7)-COLUMN('CIQ Key Developments'!$B$7)+1,FALSE),""))</f>
        <v/>
      </c>
      <c r="B234" s="439"/>
      <c r="C234" s="439"/>
      <c r="E234" s="383">
        <f t="shared" si="6"/>
        <v>10</v>
      </c>
      <c r="F234" s="7">
        <f t="shared" si="7"/>
        <v>21</v>
      </c>
    </row>
    <row r="235" spans="1:6" s="571" customFormat="1" ht="12" customHeight="1" x14ac:dyDescent="0.2">
      <c r="A235" s="1513" t="str">
        <f>+VLOOKUP(E235,'CIQ Key Developments'!$B$8:$I$491,COLUMN('CIQ Key Developments'!$D$7)-COLUMN('CIQ Key Developments'!$B$7)+1,FALSE)</f>
        <v>Walmart Inc. Presents at The World Ocean Summit, Mar-01-2022</v>
      </c>
      <c r="B235" s="1514"/>
      <c r="C235" s="1515"/>
      <c r="E235" s="383">
        <f t="shared" si="6"/>
        <v>11</v>
      </c>
      <c r="F235" s="7">
        <f t="shared" si="7"/>
        <v>22</v>
      </c>
    </row>
    <row r="236" spans="1:6" s="571" customFormat="1" ht="11.65" customHeight="1" x14ac:dyDescent="0.2">
      <c r="A236" s="1199" t="str">
        <f>+$C$3</f>
        <v>Walmart Inc.</v>
      </c>
      <c r="B236" s="1200" t="str">
        <f>VLOOKUP(E235,'CIQ Key Developments'!$B$8:$I$491,COLUMN('CIQ Key Developments'!$G$7)-COLUMN('CIQ Key Developments'!$B$7)+1,FALSE)&amp;" "&amp;VLOOKUP(E235,'CIQ Key Developments'!$B$8:$I$491,COLUMN('CIQ Key Developments'!$H$7)-COLUMN('CIQ Key Developments'!$B$7)+1,FALSE)</f>
        <v>01 Mar 2022 8:00 AM</v>
      </c>
      <c r="C236" s="1201" t="str">
        <f>+VLOOKUP(E235,'CIQ Key Developments'!$B$8:$I$491,COLUMN('CIQ Key Developments'!$E$7)-COLUMN('CIQ Key Developments'!$B$7)+1,FALSE)</f>
        <v>Company Conference Presentations</v>
      </c>
      <c r="E236" s="383">
        <f t="shared" si="6"/>
        <v>11</v>
      </c>
      <c r="F236" s="7">
        <f t="shared" si="7"/>
        <v>175</v>
      </c>
    </row>
    <row r="237" spans="1:6" s="571" customFormat="1" ht="11.65" customHeight="1" x14ac:dyDescent="0.2">
      <c r="A237" s="1202" t="str">
        <f>IF(MOD($F237,$H$2)&lt;$H$2-2,_xll.ciqfunctions.udf.CIQSPLIT(VLOOKUP(E237,'CIQ Key Developments'!$B$8:$I$491,COLUMN('CIQ Key Developments'!$F$7)-COLUMN('CIQ Key Developments'!$B$7)+1,FALSE),$F237,F$6),IF(MOD($F237,$H$2)=$H$2-2,"Source: "&amp;VLOOKUP(E237,'CIQ Key Developments'!$B$8:$I$491,COLUMN('CIQ Key Developments'!$I$7)-COLUMN('CIQ Key Developments'!$B$7)+1,FALSE),""))</f>
        <v>Walmart Inc. Presents at The World Ocean Summit, Mar-01-2022 . Speakers: Jane Louis Ewing, Senior Vice President of International People.</v>
      </c>
      <c r="B237" s="1202"/>
      <c r="C237" s="1202"/>
      <c r="E237" s="383">
        <f t="shared" si="6"/>
        <v>11</v>
      </c>
      <c r="F237" s="7">
        <f t="shared" si="7"/>
        <v>1</v>
      </c>
    </row>
    <row r="238" spans="1:6" s="571" customFormat="1" ht="11.65" customHeight="1" x14ac:dyDescent="0.2">
      <c r="A238" s="1202" t="str">
        <f>IF(MOD($F238,$H$2)&lt;$H$2-2,_xll.ciqfunctions.udf.CIQSPLIT(VLOOKUP(E238,'CIQ Key Developments'!$B$8:$I$491,COLUMN('CIQ Key Developments'!$F$7)-COLUMN('CIQ Key Developments'!$B$7)+1,FALSE),$F238,F$6),IF(MOD($F238,$H$2)=$H$2-2,"Source: "&amp;VLOOKUP(E238,'CIQ Key Developments'!$B$8:$I$491,COLUMN('CIQ Key Developments'!$I$7)-COLUMN('CIQ Key Developments'!$B$7)+1,FALSE),""))</f>
        <v/>
      </c>
      <c r="B238" s="1202"/>
      <c r="C238" s="1202"/>
      <c r="E238" s="383">
        <f t="shared" si="6"/>
        <v>11</v>
      </c>
      <c r="F238" s="7">
        <f t="shared" si="7"/>
        <v>2</v>
      </c>
    </row>
    <row r="239" spans="1:6" s="571" customFormat="1" ht="11.65" customHeight="1" x14ac:dyDescent="0.2">
      <c r="A239" s="1202" t="str">
        <f>IF(MOD($F239,$H$2)&lt;$H$2-2,_xll.ciqfunctions.udf.CIQSPLIT(VLOOKUP(E239,'CIQ Key Developments'!$B$8:$I$491,COLUMN('CIQ Key Developments'!$F$7)-COLUMN('CIQ Key Developments'!$B$7)+1,FALSE),$F239,F$6),IF(MOD($F239,$H$2)=$H$2-2,"Source: "&amp;VLOOKUP(E239,'CIQ Key Developments'!$B$8:$I$491,COLUMN('CIQ Key Developments'!$I$7)-COLUMN('CIQ Key Developments'!$B$7)+1,FALSE),""))</f>
        <v/>
      </c>
      <c r="B239" s="1202"/>
      <c r="C239" s="1202"/>
      <c r="E239" s="383">
        <f t="shared" si="6"/>
        <v>11</v>
      </c>
      <c r="F239" s="7">
        <f t="shared" si="7"/>
        <v>3</v>
      </c>
    </row>
    <row r="240" spans="1:6" s="571" customFormat="1" ht="11.65" customHeight="1" x14ac:dyDescent="0.2">
      <c r="A240" s="1202" t="str">
        <f>IF(MOD($F240,$H$2)&lt;$H$2-2,_xll.ciqfunctions.udf.CIQSPLIT(VLOOKUP(E240,'CIQ Key Developments'!$B$8:$I$491,COLUMN('CIQ Key Developments'!$F$7)-COLUMN('CIQ Key Developments'!$B$7)+1,FALSE),$F240,F$6),IF(MOD($F240,$H$2)=$H$2-2,"Source: "&amp;VLOOKUP(E240,'CIQ Key Developments'!$B$8:$I$491,COLUMN('CIQ Key Developments'!$I$7)-COLUMN('CIQ Key Developments'!$B$7)+1,FALSE),""))</f>
        <v/>
      </c>
      <c r="B240" s="1202"/>
      <c r="C240" s="1202"/>
      <c r="E240" s="383">
        <f t="shared" si="6"/>
        <v>11</v>
      </c>
      <c r="F240" s="7">
        <f t="shared" si="7"/>
        <v>4</v>
      </c>
    </row>
    <row r="241" spans="1:6" s="571" customFormat="1" ht="11.65" customHeight="1" x14ac:dyDescent="0.2">
      <c r="A241" s="1202" t="str">
        <f>IF(MOD($F241,$H$2)&lt;$H$2-2,_xll.ciqfunctions.udf.CIQSPLIT(VLOOKUP(E241,'CIQ Key Developments'!$B$8:$I$491,COLUMN('CIQ Key Developments'!$F$7)-COLUMN('CIQ Key Developments'!$B$7)+1,FALSE),$F241,F$6),IF(MOD($F241,$H$2)=$H$2-2,"Source: "&amp;VLOOKUP(E241,'CIQ Key Developments'!$B$8:$I$491,COLUMN('CIQ Key Developments'!$I$7)-COLUMN('CIQ Key Developments'!$B$7)+1,FALSE),""))</f>
        <v/>
      </c>
      <c r="B241" s="1202"/>
      <c r="C241" s="1202"/>
      <c r="E241" s="383">
        <f t="shared" si="6"/>
        <v>11</v>
      </c>
      <c r="F241" s="7">
        <f t="shared" si="7"/>
        <v>5</v>
      </c>
    </row>
    <row r="242" spans="1:6" s="571" customFormat="1" ht="11.65" customHeight="1" x14ac:dyDescent="0.2">
      <c r="A242" s="1202" t="str">
        <f>IF(MOD($F242,$H$2)&lt;$H$2-2,_xll.ciqfunctions.udf.CIQSPLIT(VLOOKUP(E242,'CIQ Key Developments'!$B$8:$I$491,COLUMN('CIQ Key Developments'!$F$7)-COLUMN('CIQ Key Developments'!$B$7)+1,FALSE),$F242,F$6),IF(MOD($F242,$H$2)=$H$2-2,"Source: "&amp;VLOOKUP(E242,'CIQ Key Developments'!$B$8:$I$491,COLUMN('CIQ Key Developments'!$I$7)-COLUMN('CIQ Key Developments'!$B$7)+1,FALSE),""))</f>
        <v/>
      </c>
      <c r="B242" s="1202"/>
      <c r="C242" s="1202"/>
      <c r="E242" s="383">
        <f t="shared" si="6"/>
        <v>11</v>
      </c>
      <c r="F242" s="7">
        <f t="shared" si="7"/>
        <v>6</v>
      </c>
    </row>
    <row r="243" spans="1:6" s="571" customFormat="1" ht="11.65" hidden="1" customHeight="1" outlineLevel="1" x14ac:dyDescent="0.2">
      <c r="A243" s="1202" t="str">
        <f>IF(MOD($F243,$H$2)&lt;$H$2-2,_xll.ciqfunctions.udf.CIQSPLIT(VLOOKUP(E243,'CIQ Key Developments'!$B$8:$I$491,COLUMN('CIQ Key Developments'!$F$7)-COLUMN('CIQ Key Developments'!$B$7)+1,FALSE),$F243,F$6),IF(MOD($F243,$H$2)=$H$2-2,"Source: "&amp;VLOOKUP(E243,'CIQ Key Developments'!$B$8:$I$491,COLUMN('CIQ Key Developments'!$I$7)-COLUMN('CIQ Key Developments'!$B$7)+1,FALSE),""))</f>
        <v/>
      </c>
      <c r="B243" s="1202"/>
      <c r="C243" s="1202"/>
      <c r="E243" s="383">
        <f t="shared" si="6"/>
        <v>11</v>
      </c>
      <c r="F243" s="7">
        <f t="shared" si="7"/>
        <v>7</v>
      </c>
    </row>
    <row r="244" spans="1:6" s="571" customFormat="1" ht="11.65" hidden="1" customHeight="1" outlineLevel="1" x14ac:dyDescent="0.2">
      <c r="A244" s="1202" t="str">
        <f>IF(MOD($F244,$H$2)&lt;$H$2-2,_xll.ciqfunctions.udf.CIQSPLIT(VLOOKUP(E244,'CIQ Key Developments'!$B$8:$I$491,COLUMN('CIQ Key Developments'!$F$7)-COLUMN('CIQ Key Developments'!$B$7)+1,FALSE),$F244,F$6),IF(MOD($F244,$H$2)=$H$2-2,"Source: "&amp;VLOOKUP(E244,'CIQ Key Developments'!$B$8:$I$491,COLUMN('CIQ Key Developments'!$I$7)-COLUMN('CIQ Key Developments'!$B$7)+1,FALSE),""))</f>
        <v/>
      </c>
      <c r="B244" s="1202"/>
      <c r="C244" s="1202"/>
      <c r="E244" s="383">
        <f t="shared" si="6"/>
        <v>11</v>
      </c>
      <c r="F244" s="7">
        <f t="shared" si="7"/>
        <v>8</v>
      </c>
    </row>
    <row r="245" spans="1:6" s="571" customFormat="1" ht="11.65" hidden="1" customHeight="1" outlineLevel="1" x14ac:dyDescent="0.2">
      <c r="A245" s="1202" t="str">
        <f>IF(MOD($F245,$H$2)&lt;$H$2-2,_xll.ciqfunctions.udf.CIQSPLIT(VLOOKUP(E245,'CIQ Key Developments'!$B$8:$I$491,COLUMN('CIQ Key Developments'!$F$7)-COLUMN('CIQ Key Developments'!$B$7)+1,FALSE),$F245,F$6),IF(MOD($F245,$H$2)=$H$2-2,"Source: "&amp;VLOOKUP(E245,'CIQ Key Developments'!$B$8:$I$491,COLUMN('CIQ Key Developments'!$I$7)-COLUMN('CIQ Key Developments'!$B$7)+1,FALSE),""))</f>
        <v/>
      </c>
      <c r="B245" s="1202"/>
      <c r="C245" s="1202"/>
      <c r="E245" s="383">
        <f t="shared" si="6"/>
        <v>11</v>
      </c>
      <c r="F245" s="7">
        <f t="shared" si="7"/>
        <v>9</v>
      </c>
    </row>
    <row r="246" spans="1:6" s="571" customFormat="1" ht="11.65" hidden="1" customHeight="1" outlineLevel="1" x14ac:dyDescent="0.2">
      <c r="A246" s="1202" t="str">
        <f>IF(MOD($F246,$H$2)&lt;$H$2-2,_xll.ciqfunctions.udf.CIQSPLIT(VLOOKUP(E246,'CIQ Key Developments'!$B$8:$I$491,COLUMN('CIQ Key Developments'!$F$7)-COLUMN('CIQ Key Developments'!$B$7)+1,FALSE),$F246,F$6),IF(MOD($F246,$H$2)=$H$2-2,"Source: "&amp;VLOOKUP(E246,'CIQ Key Developments'!$B$8:$I$491,COLUMN('CIQ Key Developments'!$I$7)-COLUMN('CIQ Key Developments'!$B$7)+1,FALSE),""))</f>
        <v/>
      </c>
      <c r="B246" s="1202"/>
      <c r="C246" s="1202"/>
      <c r="E246" s="383">
        <f t="shared" si="6"/>
        <v>11</v>
      </c>
      <c r="F246" s="7">
        <f t="shared" si="7"/>
        <v>10</v>
      </c>
    </row>
    <row r="247" spans="1:6" s="571" customFormat="1" ht="11.65" hidden="1" customHeight="1" outlineLevel="1" x14ac:dyDescent="0.2">
      <c r="A247" s="1202" t="str">
        <f>IF(MOD($F247,$H$2)&lt;$H$2-2,_xll.ciqfunctions.udf.CIQSPLIT(VLOOKUP(E247,'CIQ Key Developments'!$B$8:$I$491,COLUMN('CIQ Key Developments'!$F$7)-COLUMN('CIQ Key Developments'!$B$7)+1,FALSE),$F247,F$6),IF(MOD($F247,$H$2)=$H$2-2,"Source: "&amp;VLOOKUP(E247,'CIQ Key Developments'!$B$8:$I$491,COLUMN('CIQ Key Developments'!$I$7)-COLUMN('CIQ Key Developments'!$B$7)+1,FALSE),""))</f>
        <v/>
      </c>
      <c r="B247" s="1202"/>
      <c r="C247" s="1202"/>
      <c r="E247" s="383">
        <f t="shared" si="6"/>
        <v>11</v>
      </c>
      <c r="F247" s="7">
        <f t="shared" si="7"/>
        <v>11</v>
      </c>
    </row>
    <row r="248" spans="1:6" s="571" customFormat="1" ht="11.65" hidden="1" customHeight="1" outlineLevel="1" x14ac:dyDescent="0.2">
      <c r="A248" s="1202" t="str">
        <f>IF(MOD($F248,$H$2)&lt;$H$2-2,_xll.ciqfunctions.udf.CIQSPLIT(VLOOKUP(E248,'CIQ Key Developments'!$B$8:$I$491,COLUMN('CIQ Key Developments'!$F$7)-COLUMN('CIQ Key Developments'!$B$7)+1,FALSE),$F248,F$6),IF(MOD($F248,$H$2)=$H$2-2,"Source: "&amp;VLOOKUP(E248,'CIQ Key Developments'!$B$8:$I$491,COLUMN('CIQ Key Developments'!$I$7)-COLUMN('CIQ Key Developments'!$B$7)+1,FALSE),""))</f>
        <v/>
      </c>
      <c r="B248" s="1202"/>
      <c r="C248" s="1202"/>
      <c r="E248" s="383">
        <f t="shared" si="6"/>
        <v>11</v>
      </c>
      <c r="F248" s="7">
        <f t="shared" si="7"/>
        <v>12</v>
      </c>
    </row>
    <row r="249" spans="1:6" s="571" customFormat="1" ht="11.65" hidden="1" customHeight="1" outlineLevel="1" x14ac:dyDescent="0.2">
      <c r="A249" s="1202" t="str">
        <f>IF(MOD($F249,$H$2)&lt;$H$2-2,_xll.ciqfunctions.udf.CIQSPLIT(VLOOKUP(E249,'CIQ Key Developments'!$B$8:$I$491,COLUMN('CIQ Key Developments'!$F$7)-COLUMN('CIQ Key Developments'!$B$7)+1,FALSE),$F249,F$6),IF(MOD($F249,$H$2)=$H$2-2,"Source: "&amp;VLOOKUP(E249,'CIQ Key Developments'!$B$8:$I$491,COLUMN('CIQ Key Developments'!$I$7)-COLUMN('CIQ Key Developments'!$B$7)+1,FALSE),""))</f>
        <v/>
      </c>
      <c r="B249" s="1202"/>
      <c r="C249" s="1202"/>
      <c r="E249" s="383">
        <f t="shared" si="6"/>
        <v>11</v>
      </c>
      <c r="F249" s="7">
        <f t="shared" si="7"/>
        <v>13</v>
      </c>
    </row>
    <row r="250" spans="1:6" s="571" customFormat="1" ht="11.65" hidden="1" customHeight="1" outlineLevel="1" x14ac:dyDescent="0.2">
      <c r="A250" s="1202" t="str">
        <f>IF(MOD($F250,$H$2)&lt;$H$2-2,_xll.ciqfunctions.udf.CIQSPLIT(VLOOKUP(E250,'CIQ Key Developments'!$B$8:$I$491,COLUMN('CIQ Key Developments'!$F$7)-COLUMN('CIQ Key Developments'!$B$7)+1,FALSE),$F250,F$6),IF(MOD($F250,$H$2)=$H$2-2,"Source: "&amp;VLOOKUP(E250,'CIQ Key Developments'!$B$8:$I$491,COLUMN('CIQ Key Developments'!$I$7)-COLUMN('CIQ Key Developments'!$B$7)+1,FALSE),""))</f>
        <v/>
      </c>
      <c r="B250" s="1202"/>
      <c r="C250" s="1202"/>
      <c r="E250" s="383">
        <f t="shared" si="6"/>
        <v>11</v>
      </c>
      <c r="F250" s="7">
        <f t="shared" si="7"/>
        <v>14</v>
      </c>
    </row>
    <row r="251" spans="1:6" s="571" customFormat="1" ht="11.65" hidden="1" customHeight="1" outlineLevel="1" x14ac:dyDescent="0.2">
      <c r="A251" s="1202" t="str">
        <f>IF(MOD($F251,$H$2)&lt;$H$2-2,_xll.ciqfunctions.udf.CIQSPLIT(VLOOKUP(E251,'CIQ Key Developments'!$B$8:$I$491,COLUMN('CIQ Key Developments'!$F$7)-COLUMN('CIQ Key Developments'!$B$7)+1,FALSE),$F251,F$6),IF(MOD($F251,$H$2)=$H$2-2,"Source: "&amp;VLOOKUP(E251,'CIQ Key Developments'!$B$8:$I$491,COLUMN('CIQ Key Developments'!$I$7)-COLUMN('CIQ Key Developments'!$B$7)+1,FALSE),""))</f>
        <v/>
      </c>
      <c r="B251" s="1202"/>
      <c r="C251" s="1202"/>
      <c r="E251" s="383">
        <f t="shared" si="6"/>
        <v>11</v>
      </c>
      <c r="F251" s="7">
        <f t="shared" si="7"/>
        <v>15</v>
      </c>
    </row>
    <row r="252" spans="1:6" s="571" customFormat="1" ht="11.65" hidden="1" customHeight="1" outlineLevel="1" x14ac:dyDescent="0.2">
      <c r="A252" s="1202" t="str">
        <f>IF(MOD($F252,$H$2)&lt;$H$2-2,_xll.ciqfunctions.udf.CIQSPLIT(VLOOKUP(E252,'CIQ Key Developments'!$B$8:$I$491,COLUMN('CIQ Key Developments'!$F$7)-COLUMN('CIQ Key Developments'!$B$7)+1,FALSE),$F252,F$6),IF(MOD($F252,$H$2)=$H$2-2,"Source: "&amp;VLOOKUP(E252,'CIQ Key Developments'!$B$8:$I$491,COLUMN('CIQ Key Developments'!$I$7)-COLUMN('CIQ Key Developments'!$B$7)+1,FALSE),""))</f>
        <v/>
      </c>
      <c r="B252" s="1202"/>
      <c r="C252" s="1202"/>
      <c r="E252" s="383">
        <f t="shared" si="6"/>
        <v>11</v>
      </c>
      <c r="F252" s="7">
        <f t="shared" si="7"/>
        <v>16</v>
      </c>
    </row>
    <row r="253" spans="1:6" s="571" customFormat="1" ht="11.65" hidden="1" customHeight="1" outlineLevel="1" x14ac:dyDescent="0.2">
      <c r="A253" s="1202" t="str">
        <f>IF(MOD($F253,$H$2)&lt;$H$2-2,_xll.ciqfunctions.udf.CIQSPLIT(VLOOKUP(E253,'CIQ Key Developments'!$B$8:$I$491,COLUMN('CIQ Key Developments'!$F$7)-COLUMN('CIQ Key Developments'!$B$7)+1,FALSE),$F253,F$6),IF(MOD($F253,$H$2)=$H$2-2,"Source: "&amp;VLOOKUP(E253,'CIQ Key Developments'!$B$8:$I$491,COLUMN('CIQ Key Developments'!$I$7)-COLUMN('CIQ Key Developments'!$B$7)+1,FALSE),""))</f>
        <v/>
      </c>
      <c r="B253" s="1202"/>
      <c r="C253" s="1202"/>
      <c r="E253" s="383">
        <f t="shared" si="6"/>
        <v>11</v>
      </c>
      <c r="F253" s="7">
        <f t="shared" si="7"/>
        <v>17</v>
      </c>
    </row>
    <row r="254" spans="1:6" s="571" customFormat="1" ht="11.65" hidden="1" customHeight="1" outlineLevel="1" x14ac:dyDescent="0.2">
      <c r="A254" s="1202" t="str">
        <f>IF(MOD($F254,$H$2)&lt;$H$2-2,_xll.ciqfunctions.udf.CIQSPLIT(VLOOKUP(E254,'CIQ Key Developments'!$B$8:$I$491,COLUMN('CIQ Key Developments'!$F$7)-COLUMN('CIQ Key Developments'!$B$7)+1,FALSE),$F254,F$6),IF(MOD($F254,$H$2)=$H$2-2,"Source: "&amp;VLOOKUP(E254,'CIQ Key Developments'!$B$8:$I$491,COLUMN('CIQ Key Developments'!$I$7)-COLUMN('CIQ Key Developments'!$B$7)+1,FALSE),""))</f>
        <v/>
      </c>
      <c r="B254" s="1202"/>
      <c r="C254" s="1202"/>
      <c r="E254" s="383">
        <f t="shared" si="6"/>
        <v>11</v>
      </c>
      <c r="F254" s="7">
        <f t="shared" si="7"/>
        <v>18</v>
      </c>
    </row>
    <row r="255" spans="1:6" s="571" customFormat="1" ht="11.65" hidden="1" customHeight="1" outlineLevel="1" x14ac:dyDescent="0.2">
      <c r="A255" s="1202" t="str">
        <f>IF(MOD($F255,$H$2)&lt;$H$2-2,_xll.ciqfunctions.udf.CIQSPLIT(VLOOKUP(E255,'CIQ Key Developments'!$B$8:$I$491,COLUMN('CIQ Key Developments'!$F$7)-COLUMN('CIQ Key Developments'!$B$7)+1,FALSE),$F255,F$6),IF(MOD($F255,$H$2)=$H$2-2,"Source: "&amp;VLOOKUP(E255,'CIQ Key Developments'!$B$8:$I$491,COLUMN('CIQ Key Developments'!$I$7)-COLUMN('CIQ Key Developments'!$B$7)+1,FALSE),""))</f>
        <v/>
      </c>
      <c r="B255" s="1202"/>
      <c r="C255" s="1202"/>
      <c r="E255" s="383">
        <f t="shared" si="6"/>
        <v>11</v>
      </c>
      <c r="F255" s="7">
        <f t="shared" si="7"/>
        <v>19</v>
      </c>
    </row>
    <row r="256" spans="1:6" s="571" customFormat="1" ht="11.65" customHeight="1" collapsed="1" x14ac:dyDescent="0.2">
      <c r="A256" s="1202" t="str">
        <f>IF(MOD($F256,$H$2)&lt;$H$2-2,_xll.ciqfunctions.udf.CIQSPLIT(VLOOKUP(E256,'CIQ Key Developments'!$B$8:$I$491,COLUMN('CIQ Key Developments'!$F$7)-COLUMN('CIQ Key Developments'!$B$7)+1,FALSE),$F256,F$6),IF(MOD($F256,$H$2)=$H$2-2,"Source: "&amp;VLOOKUP(E256,'CIQ Key Developments'!$B$8:$I$491,COLUMN('CIQ Key Developments'!$I$7)-COLUMN('CIQ Key Developments'!$B$7)+1,FALSE),""))</f>
        <v>Source: PR Newswire Europe</v>
      </c>
      <c r="B256" s="1202"/>
      <c r="C256" s="1202"/>
      <c r="E256" s="383">
        <f t="shared" si="6"/>
        <v>11</v>
      </c>
      <c r="F256" s="7">
        <f t="shared" si="7"/>
        <v>20</v>
      </c>
    </row>
    <row r="257" spans="1:6" ht="7.15" customHeight="1" collapsed="1" x14ac:dyDescent="0.2">
      <c r="A257" s="1202" t="str">
        <f>IF(MOD($F257,$H$2)&lt;$H$2-2,_xll.ciqfunctions.udf.CIQSPLIT(VLOOKUP(E257,'CIQ Key Developments'!$B$8:$I$491,COLUMN('CIQ Key Developments'!$F$7)-COLUMN('CIQ Key Developments'!$B$7)+1,FALSE),$F257,F$6),IF(MOD($F257,$H$2)=$H$2-2,"Source: "&amp;VLOOKUP(E257,'CIQ Key Developments'!$B$8:$I$491,COLUMN('CIQ Key Developments'!$I$7)-COLUMN('CIQ Key Developments'!$B$7)+1,FALSE),""))</f>
        <v/>
      </c>
      <c r="B257" s="1202"/>
      <c r="C257" s="1202"/>
      <c r="E257" s="383">
        <f t="shared" si="6"/>
        <v>11</v>
      </c>
      <c r="F257" s="7">
        <f t="shared" si="7"/>
        <v>21</v>
      </c>
    </row>
    <row r="258" spans="1:6" s="571" customFormat="1" ht="12" customHeight="1" x14ac:dyDescent="0.2">
      <c r="A258" s="1513" t="str">
        <f>+VLOOKUP(E258,'CIQ Key Developments'!$B$8:$I$491,COLUMN('CIQ Key Developments'!$D$7)-COLUMN('CIQ Key Developments'!$B$7)+1,FALSE)</f>
        <v>Walmart Inc. Presents at Social Media Strategies Summit, Feb-23-2022 08:15 AM</v>
      </c>
      <c r="B258" s="1514"/>
      <c r="C258" s="1515"/>
      <c r="E258" s="383">
        <f t="shared" si="6"/>
        <v>12</v>
      </c>
      <c r="F258" s="7">
        <f t="shared" si="7"/>
        <v>22</v>
      </c>
    </row>
    <row r="259" spans="1:6" s="571" customFormat="1" ht="11.65" customHeight="1" x14ac:dyDescent="0.2">
      <c r="A259" s="1199" t="str">
        <f>+$C$3</f>
        <v>Walmart Inc.</v>
      </c>
      <c r="B259" s="1200" t="str">
        <f>VLOOKUP(E258,'CIQ Key Developments'!$B$8:$I$491,COLUMN('CIQ Key Developments'!$G$7)-COLUMN('CIQ Key Developments'!$B$7)+1,FALSE)&amp;" "&amp;VLOOKUP(E258,'CIQ Key Developments'!$B$8:$I$491,COLUMN('CIQ Key Developments'!$H$7)-COLUMN('CIQ Key Developments'!$B$7)+1,FALSE)</f>
        <v>24 Feb 2022 12:15 AM</v>
      </c>
      <c r="C259" s="1201" t="str">
        <f>+VLOOKUP(E258,'CIQ Key Developments'!$B$8:$I$491,COLUMN('CIQ Key Developments'!$E$7)-COLUMN('CIQ Key Developments'!$B$7)+1,FALSE)</f>
        <v>Company Conference Presentations</v>
      </c>
      <c r="E259" s="383">
        <f t="shared" si="6"/>
        <v>12</v>
      </c>
      <c r="F259" s="7">
        <f t="shared" si="7"/>
        <v>175</v>
      </c>
    </row>
    <row r="260" spans="1:6" s="571" customFormat="1" ht="11.65" customHeight="1" x14ac:dyDescent="0.2">
      <c r="A260" s="1202" t="str">
        <f>IF(MOD($F260,$H$2)&lt;$H$2-2,_xll.ciqfunctions.udf.CIQSPLIT(VLOOKUP(E260,'CIQ Key Developments'!$B$8:$I$491,COLUMN('CIQ Key Developments'!$F$7)-COLUMN('CIQ Key Developments'!$B$7)+1,FALSE),$F260,F$6),IF(MOD($F260,$H$2)=$H$2-2,"Source: "&amp;VLOOKUP(E260,'CIQ Key Developments'!$B$8:$I$491,COLUMN('CIQ Key Developments'!$I$7)-COLUMN('CIQ Key Developments'!$B$7)+1,FALSE),""))</f>
        <v>Walmart Inc. Presents at Social Media Strategies Summit, Feb-23-2022 08:15 AM. Speakers: Marissa Kargas, Director, Digital Strategy &amp; Brand Engagement.</v>
      </c>
      <c r="B260" s="1202"/>
      <c r="C260" s="1202"/>
      <c r="E260" s="383">
        <f t="shared" si="6"/>
        <v>12</v>
      </c>
      <c r="F260" s="7">
        <f t="shared" si="7"/>
        <v>1</v>
      </c>
    </row>
    <row r="261" spans="1:6" s="571" customFormat="1" ht="11.65" customHeight="1" x14ac:dyDescent="0.2">
      <c r="A261" s="1202" t="str">
        <f>IF(MOD($F261,$H$2)&lt;$H$2-2,_xll.ciqfunctions.udf.CIQSPLIT(VLOOKUP(E261,'CIQ Key Developments'!$B$8:$I$491,COLUMN('CIQ Key Developments'!$F$7)-COLUMN('CIQ Key Developments'!$B$7)+1,FALSE),$F261,F$6),IF(MOD($F261,$H$2)=$H$2-2,"Source: "&amp;VLOOKUP(E261,'CIQ Key Developments'!$B$8:$I$491,COLUMN('CIQ Key Developments'!$I$7)-COLUMN('CIQ Key Developments'!$B$7)+1,FALSE),""))</f>
        <v/>
      </c>
      <c r="B261" s="1202"/>
      <c r="C261" s="1202"/>
      <c r="E261" s="383">
        <f t="shared" si="6"/>
        <v>12</v>
      </c>
      <c r="F261" s="7">
        <f t="shared" si="7"/>
        <v>2</v>
      </c>
    </row>
    <row r="262" spans="1:6" s="571" customFormat="1" ht="11.65" hidden="1" customHeight="1" outlineLevel="1" x14ac:dyDescent="0.2">
      <c r="A262" s="1202" t="str">
        <f>IF(MOD($F262,$H$2)&lt;$H$2-2,_xll.ciqfunctions.udf.CIQSPLIT(VLOOKUP(E262,'CIQ Key Developments'!$B$8:$I$491,COLUMN('CIQ Key Developments'!$F$7)-COLUMN('CIQ Key Developments'!$B$7)+1,FALSE),$F262,F$6),IF(MOD($F262,$H$2)=$H$2-2,"Source: "&amp;VLOOKUP(E262,'CIQ Key Developments'!$B$8:$I$491,COLUMN('CIQ Key Developments'!$I$7)-COLUMN('CIQ Key Developments'!$B$7)+1,FALSE),""))</f>
        <v/>
      </c>
      <c r="B262" s="1202"/>
      <c r="C262" s="1202"/>
      <c r="E262" s="383">
        <f t="shared" si="6"/>
        <v>12</v>
      </c>
      <c r="F262" s="7">
        <f t="shared" si="7"/>
        <v>3</v>
      </c>
    </row>
    <row r="263" spans="1:6" s="571" customFormat="1" ht="11.65" hidden="1" customHeight="1" outlineLevel="1" x14ac:dyDescent="0.2">
      <c r="A263" s="1202" t="str">
        <f>IF(MOD($F263,$H$2)&lt;$H$2-2,_xll.ciqfunctions.udf.CIQSPLIT(VLOOKUP(E263,'CIQ Key Developments'!$B$8:$I$491,COLUMN('CIQ Key Developments'!$F$7)-COLUMN('CIQ Key Developments'!$B$7)+1,FALSE),$F263,F$6),IF(MOD($F263,$H$2)=$H$2-2,"Source: "&amp;VLOOKUP(E263,'CIQ Key Developments'!$B$8:$I$491,COLUMN('CIQ Key Developments'!$I$7)-COLUMN('CIQ Key Developments'!$B$7)+1,FALSE),""))</f>
        <v/>
      </c>
      <c r="B263" s="1202"/>
      <c r="C263" s="1202"/>
      <c r="E263" s="383">
        <f t="shared" ref="E263:E326" si="8">+IF(F264=$F$6,E262+1,E262)</f>
        <v>12</v>
      </c>
      <c r="F263" s="7">
        <f t="shared" si="7"/>
        <v>4</v>
      </c>
    </row>
    <row r="264" spans="1:6" s="571" customFormat="1" ht="11.65" hidden="1" customHeight="1" outlineLevel="1" x14ac:dyDescent="0.2">
      <c r="A264" s="1202" t="str">
        <f>IF(MOD($F264,$H$2)&lt;$H$2-2,_xll.ciqfunctions.udf.CIQSPLIT(VLOOKUP(E264,'CIQ Key Developments'!$B$8:$I$491,COLUMN('CIQ Key Developments'!$F$7)-COLUMN('CIQ Key Developments'!$B$7)+1,FALSE),$F264,F$6),IF(MOD($F264,$H$2)=$H$2-2,"Source: "&amp;VLOOKUP(E264,'CIQ Key Developments'!$B$8:$I$491,COLUMN('CIQ Key Developments'!$I$7)-COLUMN('CIQ Key Developments'!$B$7)+1,FALSE),""))</f>
        <v/>
      </c>
      <c r="B264" s="1202"/>
      <c r="C264" s="1202"/>
      <c r="E264" s="383">
        <f t="shared" si="8"/>
        <v>12</v>
      </c>
      <c r="F264" s="7">
        <f t="shared" si="7"/>
        <v>5</v>
      </c>
    </row>
    <row r="265" spans="1:6" s="571" customFormat="1" ht="11.65" hidden="1" customHeight="1" outlineLevel="1" x14ac:dyDescent="0.2">
      <c r="A265" s="1202" t="str">
        <f>IF(MOD($F265,$H$2)&lt;$H$2-2,_xll.ciqfunctions.udf.CIQSPLIT(VLOOKUP(E265,'CIQ Key Developments'!$B$8:$I$491,COLUMN('CIQ Key Developments'!$F$7)-COLUMN('CIQ Key Developments'!$B$7)+1,FALSE),$F265,F$6),IF(MOD($F265,$H$2)=$H$2-2,"Source: "&amp;VLOOKUP(E265,'CIQ Key Developments'!$B$8:$I$491,COLUMN('CIQ Key Developments'!$I$7)-COLUMN('CIQ Key Developments'!$B$7)+1,FALSE),""))</f>
        <v/>
      </c>
      <c r="B265" s="1202"/>
      <c r="C265" s="1202"/>
      <c r="E265" s="383">
        <f t="shared" si="8"/>
        <v>12</v>
      </c>
      <c r="F265" s="7">
        <f t="shared" ref="F265:F328" si="9">+IF(F264&lt;$H$2,F264+1,IF(F264=$F$6,1,$F$6))</f>
        <v>6</v>
      </c>
    </row>
    <row r="266" spans="1:6" s="571" customFormat="1" ht="11.65" hidden="1" customHeight="1" outlineLevel="1" x14ac:dyDescent="0.2">
      <c r="A266" s="1202" t="str">
        <f>IF(MOD($F266,$H$2)&lt;$H$2-2,_xll.ciqfunctions.udf.CIQSPLIT(VLOOKUP(E266,'CIQ Key Developments'!$B$8:$I$491,COLUMN('CIQ Key Developments'!$F$7)-COLUMN('CIQ Key Developments'!$B$7)+1,FALSE),$F266,F$6),IF(MOD($F266,$H$2)=$H$2-2,"Source: "&amp;VLOOKUP(E266,'CIQ Key Developments'!$B$8:$I$491,COLUMN('CIQ Key Developments'!$I$7)-COLUMN('CIQ Key Developments'!$B$7)+1,FALSE),""))</f>
        <v/>
      </c>
      <c r="B266" s="1202"/>
      <c r="C266" s="1202"/>
      <c r="E266" s="383">
        <f t="shared" si="8"/>
        <v>12</v>
      </c>
      <c r="F266" s="7">
        <f t="shared" si="9"/>
        <v>7</v>
      </c>
    </row>
    <row r="267" spans="1:6" s="571" customFormat="1" ht="11.65" hidden="1" customHeight="1" outlineLevel="1" x14ac:dyDescent="0.2">
      <c r="A267" s="1202" t="str">
        <f>IF(MOD($F267,$H$2)&lt;$H$2-2,_xll.ciqfunctions.udf.CIQSPLIT(VLOOKUP(E267,'CIQ Key Developments'!$B$8:$I$491,COLUMN('CIQ Key Developments'!$F$7)-COLUMN('CIQ Key Developments'!$B$7)+1,FALSE),$F267,F$6),IF(MOD($F267,$H$2)=$H$2-2,"Source: "&amp;VLOOKUP(E267,'CIQ Key Developments'!$B$8:$I$491,COLUMN('CIQ Key Developments'!$I$7)-COLUMN('CIQ Key Developments'!$B$7)+1,FALSE),""))</f>
        <v/>
      </c>
      <c r="B267" s="1202"/>
      <c r="C267" s="1202"/>
      <c r="E267" s="383">
        <f t="shared" si="8"/>
        <v>12</v>
      </c>
      <c r="F267" s="7">
        <f t="shared" si="9"/>
        <v>8</v>
      </c>
    </row>
    <row r="268" spans="1:6" s="571" customFormat="1" ht="11.65" hidden="1" customHeight="1" outlineLevel="1" x14ac:dyDescent="0.2">
      <c r="A268" s="1202" t="str">
        <f>IF(MOD($F268,$H$2)&lt;$H$2-2,_xll.ciqfunctions.udf.CIQSPLIT(VLOOKUP(E268,'CIQ Key Developments'!$B$8:$I$491,COLUMN('CIQ Key Developments'!$F$7)-COLUMN('CIQ Key Developments'!$B$7)+1,FALSE),$F268,F$6),IF(MOD($F268,$H$2)=$H$2-2,"Source: "&amp;VLOOKUP(E268,'CIQ Key Developments'!$B$8:$I$491,COLUMN('CIQ Key Developments'!$I$7)-COLUMN('CIQ Key Developments'!$B$7)+1,FALSE),""))</f>
        <v/>
      </c>
      <c r="B268" s="1202"/>
      <c r="C268" s="1202"/>
      <c r="E268" s="383">
        <f t="shared" si="8"/>
        <v>12</v>
      </c>
      <c r="F268" s="7">
        <f t="shared" si="9"/>
        <v>9</v>
      </c>
    </row>
    <row r="269" spans="1:6" s="571" customFormat="1" ht="11.65" hidden="1" customHeight="1" outlineLevel="1" x14ac:dyDescent="0.2">
      <c r="A269" s="1202" t="str">
        <f>IF(MOD($F269,$H$2)&lt;$H$2-2,_xll.ciqfunctions.udf.CIQSPLIT(VLOOKUP(E269,'CIQ Key Developments'!$B$8:$I$491,COLUMN('CIQ Key Developments'!$F$7)-COLUMN('CIQ Key Developments'!$B$7)+1,FALSE),$F269,F$6),IF(MOD($F269,$H$2)=$H$2-2,"Source: "&amp;VLOOKUP(E269,'CIQ Key Developments'!$B$8:$I$491,COLUMN('CIQ Key Developments'!$I$7)-COLUMN('CIQ Key Developments'!$B$7)+1,FALSE),""))</f>
        <v/>
      </c>
      <c r="B269" s="1202"/>
      <c r="C269" s="1202"/>
      <c r="E269" s="383">
        <f t="shared" si="8"/>
        <v>12</v>
      </c>
      <c r="F269" s="7">
        <f t="shared" si="9"/>
        <v>10</v>
      </c>
    </row>
    <row r="270" spans="1:6" s="571" customFormat="1" ht="11.65" hidden="1" customHeight="1" outlineLevel="1" x14ac:dyDescent="0.2">
      <c r="A270" s="1202" t="str">
        <f>IF(MOD($F270,$H$2)&lt;$H$2-2,_xll.ciqfunctions.udf.CIQSPLIT(VLOOKUP(E270,'CIQ Key Developments'!$B$8:$I$491,COLUMN('CIQ Key Developments'!$F$7)-COLUMN('CIQ Key Developments'!$B$7)+1,FALSE),$F270,F$6),IF(MOD($F270,$H$2)=$H$2-2,"Source: "&amp;VLOOKUP(E270,'CIQ Key Developments'!$B$8:$I$491,COLUMN('CIQ Key Developments'!$I$7)-COLUMN('CIQ Key Developments'!$B$7)+1,FALSE),""))</f>
        <v/>
      </c>
      <c r="B270" s="1202"/>
      <c r="C270" s="1202"/>
      <c r="E270" s="383">
        <f t="shared" si="8"/>
        <v>12</v>
      </c>
      <c r="F270" s="7">
        <f t="shared" si="9"/>
        <v>11</v>
      </c>
    </row>
    <row r="271" spans="1:6" s="571" customFormat="1" ht="11.65" hidden="1" customHeight="1" outlineLevel="1" x14ac:dyDescent="0.2">
      <c r="A271" s="1202" t="str">
        <f>IF(MOD($F271,$H$2)&lt;$H$2-2,_xll.ciqfunctions.udf.CIQSPLIT(VLOOKUP(E271,'CIQ Key Developments'!$B$8:$I$491,COLUMN('CIQ Key Developments'!$F$7)-COLUMN('CIQ Key Developments'!$B$7)+1,FALSE),$F271,F$6),IF(MOD($F271,$H$2)=$H$2-2,"Source: "&amp;VLOOKUP(E271,'CIQ Key Developments'!$B$8:$I$491,COLUMN('CIQ Key Developments'!$I$7)-COLUMN('CIQ Key Developments'!$B$7)+1,FALSE),""))</f>
        <v/>
      </c>
      <c r="B271" s="1202"/>
      <c r="C271" s="1202"/>
      <c r="E271" s="383">
        <f t="shared" si="8"/>
        <v>12</v>
      </c>
      <c r="F271" s="7">
        <f t="shared" si="9"/>
        <v>12</v>
      </c>
    </row>
    <row r="272" spans="1:6" s="571" customFormat="1" ht="11.65" hidden="1" customHeight="1" outlineLevel="1" x14ac:dyDescent="0.2">
      <c r="A272" s="1202" t="str">
        <f>IF(MOD($F272,$H$2)&lt;$H$2-2,_xll.ciqfunctions.udf.CIQSPLIT(VLOOKUP(E272,'CIQ Key Developments'!$B$8:$I$491,COLUMN('CIQ Key Developments'!$F$7)-COLUMN('CIQ Key Developments'!$B$7)+1,FALSE),$F272,F$6),IF(MOD($F272,$H$2)=$H$2-2,"Source: "&amp;VLOOKUP(E272,'CIQ Key Developments'!$B$8:$I$491,COLUMN('CIQ Key Developments'!$I$7)-COLUMN('CIQ Key Developments'!$B$7)+1,FALSE),""))</f>
        <v/>
      </c>
      <c r="B272" s="1202"/>
      <c r="C272" s="1202"/>
      <c r="E272" s="383">
        <f t="shared" si="8"/>
        <v>12</v>
      </c>
      <c r="F272" s="7">
        <f t="shared" si="9"/>
        <v>13</v>
      </c>
    </row>
    <row r="273" spans="1:6" s="571" customFormat="1" ht="11.65" hidden="1" customHeight="1" outlineLevel="1" x14ac:dyDescent="0.2">
      <c r="A273" s="1202" t="str">
        <f>IF(MOD($F273,$H$2)&lt;$H$2-2,_xll.ciqfunctions.udf.CIQSPLIT(VLOOKUP(E273,'CIQ Key Developments'!$B$8:$I$491,COLUMN('CIQ Key Developments'!$F$7)-COLUMN('CIQ Key Developments'!$B$7)+1,FALSE),$F273,F$6),IF(MOD($F273,$H$2)=$H$2-2,"Source: "&amp;VLOOKUP(E273,'CIQ Key Developments'!$B$8:$I$491,COLUMN('CIQ Key Developments'!$I$7)-COLUMN('CIQ Key Developments'!$B$7)+1,FALSE),""))</f>
        <v/>
      </c>
      <c r="B273" s="1202"/>
      <c r="C273" s="1202"/>
      <c r="E273" s="383">
        <f t="shared" si="8"/>
        <v>12</v>
      </c>
      <c r="F273" s="7">
        <f t="shared" si="9"/>
        <v>14</v>
      </c>
    </row>
    <row r="274" spans="1:6" s="571" customFormat="1" ht="11.65" hidden="1" customHeight="1" outlineLevel="1" x14ac:dyDescent="0.2">
      <c r="A274" s="1202" t="str">
        <f>IF(MOD($F274,$H$2)&lt;$H$2-2,_xll.ciqfunctions.udf.CIQSPLIT(VLOOKUP(E274,'CIQ Key Developments'!$B$8:$I$491,COLUMN('CIQ Key Developments'!$F$7)-COLUMN('CIQ Key Developments'!$B$7)+1,FALSE),$F274,F$6),IF(MOD($F274,$H$2)=$H$2-2,"Source: "&amp;VLOOKUP(E274,'CIQ Key Developments'!$B$8:$I$491,COLUMN('CIQ Key Developments'!$I$7)-COLUMN('CIQ Key Developments'!$B$7)+1,FALSE),""))</f>
        <v/>
      </c>
      <c r="B274" s="1202"/>
      <c r="C274" s="1202"/>
      <c r="E274" s="383">
        <f t="shared" si="8"/>
        <v>12</v>
      </c>
      <c r="F274" s="7">
        <f t="shared" si="9"/>
        <v>15</v>
      </c>
    </row>
    <row r="275" spans="1:6" s="571" customFormat="1" ht="11.65" hidden="1" customHeight="1" outlineLevel="1" x14ac:dyDescent="0.2">
      <c r="A275" s="1202" t="str">
        <f>IF(MOD($F275,$H$2)&lt;$H$2-2,_xll.ciqfunctions.udf.CIQSPLIT(VLOOKUP(E275,'CIQ Key Developments'!$B$8:$I$491,COLUMN('CIQ Key Developments'!$F$7)-COLUMN('CIQ Key Developments'!$B$7)+1,FALSE),$F275,F$6),IF(MOD($F275,$H$2)=$H$2-2,"Source: "&amp;VLOOKUP(E275,'CIQ Key Developments'!$B$8:$I$491,COLUMN('CIQ Key Developments'!$I$7)-COLUMN('CIQ Key Developments'!$B$7)+1,FALSE),""))</f>
        <v/>
      </c>
      <c r="B275" s="1202"/>
      <c r="C275" s="1202"/>
      <c r="E275" s="383">
        <f t="shared" si="8"/>
        <v>12</v>
      </c>
      <c r="F275" s="7">
        <f t="shared" si="9"/>
        <v>16</v>
      </c>
    </row>
    <row r="276" spans="1:6" s="571" customFormat="1" ht="11.65" hidden="1" customHeight="1" outlineLevel="1" x14ac:dyDescent="0.2">
      <c r="A276" s="1202" t="str">
        <f>IF(MOD($F276,$H$2)&lt;$H$2-2,_xll.ciqfunctions.udf.CIQSPLIT(VLOOKUP(E276,'CIQ Key Developments'!$B$8:$I$491,COLUMN('CIQ Key Developments'!$F$7)-COLUMN('CIQ Key Developments'!$B$7)+1,FALSE),$F276,F$6),IF(MOD($F276,$H$2)=$H$2-2,"Source: "&amp;VLOOKUP(E276,'CIQ Key Developments'!$B$8:$I$491,COLUMN('CIQ Key Developments'!$I$7)-COLUMN('CIQ Key Developments'!$B$7)+1,FALSE),""))</f>
        <v/>
      </c>
      <c r="B276" s="1202"/>
      <c r="C276" s="1202"/>
      <c r="E276" s="383">
        <f t="shared" si="8"/>
        <v>12</v>
      </c>
      <c r="F276" s="7">
        <f t="shared" si="9"/>
        <v>17</v>
      </c>
    </row>
    <row r="277" spans="1:6" s="571" customFormat="1" ht="11.65" hidden="1" customHeight="1" outlineLevel="1" x14ac:dyDescent="0.2">
      <c r="A277" s="1202" t="str">
        <f>IF(MOD($F277,$H$2)&lt;$H$2-2,_xll.ciqfunctions.udf.CIQSPLIT(VLOOKUP(E277,'CIQ Key Developments'!$B$8:$I$491,COLUMN('CIQ Key Developments'!$F$7)-COLUMN('CIQ Key Developments'!$B$7)+1,FALSE),$F277,F$6),IF(MOD($F277,$H$2)=$H$2-2,"Source: "&amp;VLOOKUP(E277,'CIQ Key Developments'!$B$8:$I$491,COLUMN('CIQ Key Developments'!$I$7)-COLUMN('CIQ Key Developments'!$B$7)+1,FALSE),""))</f>
        <v/>
      </c>
      <c r="B277" s="1202"/>
      <c r="C277" s="1202"/>
      <c r="E277" s="383">
        <f t="shared" si="8"/>
        <v>12</v>
      </c>
      <c r="F277" s="7">
        <f t="shared" si="9"/>
        <v>18</v>
      </c>
    </row>
    <row r="278" spans="1:6" s="571" customFormat="1" ht="11.65" hidden="1" customHeight="1" outlineLevel="1" x14ac:dyDescent="0.2">
      <c r="A278" s="1202" t="str">
        <f>IF(MOD($F278,$H$2)&lt;$H$2-2,_xll.ciqfunctions.udf.CIQSPLIT(VLOOKUP(E278,'CIQ Key Developments'!$B$8:$I$491,COLUMN('CIQ Key Developments'!$F$7)-COLUMN('CIQ Key Developments'!$B$7)+1,FALSE),$F278,F$6),IF(MOD($F278,$H$2)=$H$2-2,"Source: "&amp;VLOOKUP(E278,'CIQ Key Developments'!$B$8:$I$491,COLUMN('CIQ Key Developments'!$I$7)-COLUMN('CIQ Key Developments'!$B$7)+1,FALSE),""))</f>
        <v/>
      </c>
      <c r="B278" s="1202"/>
      <c r="C278" s="1202"/>
      <c r="E278" s="383">
        <f t="shared" si="8"/>
        <v>12</v>
      </c>
      <c r="F278" s="7">
        <f t="shared" si="9"/>
        <v>19</v>
      </c>
    </row>
    <row r="279" spans="1:6" s="571" customFormat="1" ht="11.65" customHeight="1" collapsed="1" x14ac:dyDescent="0.2">
      <c r="A279" s="1202" t="str">
        <f>IF(MOD($F279,$H$2)&lt;$H$2-2,_xll.ciqfunctions.udf.CIQSPLIT(VLOOKUP(E279,'CIQ Key Developments'!$B$8:$I$491,COLUMN('CIQ Key Developments'!$F$7)-COLUMN('CIQ Key Developments'!$B$7)+1,FALSE),$F279,F$6),IF(MOD($F279,$H$2)=$H$2-2,"Source: "&amp;VLOOKUP(E279,'CIQ Key Developments'!$B$8:$I$491,COLUMN('CIQ Key Developments'!$I$7)-COLUMN('CIQ Key Developments'!$B$7)+1,FALSE),""))</f>
        <v>Source: GlobeNewswire</v>
      </c>
      <c r="B279" s="1202"/>
      <c r="C279" s="1202"/>
      <c r="E279" s="383">
        <f t="shared" si="8"/>
        <v>12</v>
      </c>
      <c r="F279" s="7">
        <f t="shared" si="9"/>
        <v>20</v>
      </c>
    </row>
    <row r="280" spans="1:6" ht="7.15" customHeight="1" collapsed="1" x14ac:dyDescent="0.2">
      <c r="A280" s="1202" t="str">
        <f>IF(MOD($F280,$H$2)&lt;$H$2-2,_xll.ciqfunctions.udf.CIQSPLIT(VLOOKUP(E280,'CIQ Key Developments'!$B$8:$I$491,COLUMN('CIQ Key Developments'!$F$7)-COLUMN('CIQ Key Developments'!$B$7)+1,FALSE),$F280,F$6),IF(MOD($F280,$H$2)=$H$2-2,"Source: "&amp;VLOOKUP(E280,'CIQ Key Developments'!$B$8:$I$491,COLUMN('CIQ Key Developments'!$I$7)-COLUMN('CIQ Key Developments'!$B$7)+1,FALSE),""))</f>
        <v/>
      </c>
      <c r="B280" s="1202"/>
      <c r="C280" s="1202"/>
      <c r="E280" s="383">
        <f t="shared" si="8"/>
        <v>12</v>
      </c>
      <c r="F280" s="7">
        <f t="shared" si="9"/>
        <v>21</v>
      </c>
    </row>
    <row r="281" spans="1:6" s="571" customFormat="1" ht="12" customHeight="1" x14ac:dyDescent="0.2">
      <c r="A281" s="1513" t="str">
        <f>+VLOOKUP(E281,'CIQ Key Developments'!$B$8:$I$491,COLUMN('CIQ Key Developments'!$D$7)-COLUMN('CIQ Key Developments'!$B$7)+1,FALSE)</f>
        <v>Tot Squad's Parenting Services Now Available on Walmart.Com and Select Walmart Stores</v>
      </c>
      <c r="B281" s="1514"/>
      <c r="C281" s="1515"/>
      <c r="E281" s="383">
        <f t="shared" si="8"/>
        <v>13</v>
      </c>
      <c r="F281" s="7">
        <f t="shared" si="9"/>
        <v>22</v>
      </c>
    </row>
    <row r="282" spans="1:6" s="571" customFormat="1" ht="11.65" customHeight="1" x14ac:dyDescent="0.2">
      <c r="A282" s="1199" t="str">
        <f>+$C$3</f>
        <v>Walmart Inc.</v>
      </c>
      <c r="B282" s="1200" t="str">
        <f>VLOOKUP(E281,'CIQ Key Developments'!$B$8:$I$491,COLUMN('CIQ Key Developments'!$G$7)-COLUMN('CIQ Key Developments'!$B$7)+1,FALSE)&amp;" "&amp;VLOOKUP(E281,'CIQ Key Developments'!$B$8:$I$491,COLUMN('CIQ Key Developments'!$H$7)-COLUMN('CIQ Key Developments'!$B$7)+1,FALSE)</f>
        <v>23 Feb 2022 12:00 AM</v>
      </c>
      <c r="C282" s="1201" t="str">
        <f>+VLOOKUP(E281,'CIQ Key Developments'!$B$8:$I$491,COLUMN('CIQ Key Developments'!$E$7)-COLUMN('CIQ Key Developments'!$B$7)+1,FALSE)</f>
        <v>Client Announcements</v>
      </c>
      <c r="E282" s="383">
        <f t="shared" si="8"/>
        <v>13</v>
      </c>
      <c r="F282" s="7">
        <f t="shared" si="9"/>
        <v>175</v>
      </c>
    </row>
    <row r="283" spans="1:6" s="571" customFormat="1" ht="11.65" customHeight="1" x14ac:dyDescent="0.2">
      <c r="A283" s="1202" t="str">
        <f>IF(MOD($F283,$H$2)&lt;$H$2-2,_xll.ciqfunctions.udf.CIQSPLIT(VLOOKUP(E283,'CIQ Key Developments'!$B$8:$I$491,COLUMN('CIQ Key Developments'!$F$7)-COLUMN('CIQ Key Developments'!$B$7)+1,FALSE),$F283,F$6),IF(MOD($F283,$H$2)=$H$2-2,"Source: "&amp;VLOOKUP(E283,'CIQ Key Developments'!$B$8:$I$491,COLUMN('CIQ Key Developments'!$I$7)-COLUMN('CIQ Key Developments'!$B$7)+1,FALSE),""))</f>
        <v>Tot Squad announced that its services are now available at Walmart - both in-store and online - and can easily be added to baby registries, purchased independently, or added-on</v>
      </c>
      <c r="B283" s="1202"/>
      <c r="C283" s="1202"/>
      <c r="E283" s="383">
        <f t="shared" si="8"/>
        <v>13</v>
      </c>
      <c r="F283" s="7">
        <f t="shared" si="9"/>
        <v>1</v>
      </c>
    </row>
    <row r="284" spans="1:6" s="571" customFormat="1" ht="11.65" hidden="1" customHeight="1" outlineLevel="1" x14ac:dyDescent="0.2">
      <c r="A284" s="1202" t="str">
        <f>IF(MOD($F284,$H$2)&lt;$H$2-2,_xll.ciqfunctions.udf.CIQSPLIT(VLOOKUP(E284,'CIQ Key Developments'!$B$8:$I$491,COLUMN('CIQ Key Developments'!$F$7)-COLUMN('CIQ Key Developments'!$B$7)+1,FALSE),$F284,F$6),IF(MOD($F284,$H$2)=$H$2-2,"Source: "&amp;VLOOKUP(E284,'CIQ Key Developments'!$B$8:$I$491,COLUMN('CIQ Key Developments'!$I$7)-COLUMN('CIQ Key Developments'!$B$7)+1,FALSE),""))</f>
        <v>to a product purchase. By offering expecting parents the option to register for services and experiences, Tot Squad's experts serve as the proverbial village - or squad - for</v>
      </c>
      <c r="B284" s="1202"/>
      <c r="C284" s="1202"/>
      <c r="E284" s="383">
        <f t="shared" si="8"/>
        <v>13</v>
      </c>
      <c r="F284" s="7">
        <f t="shared" si="9"/>
        <v>2</v>
      </c>
    </row>
    <row r="285" spans="1:6" s="571" customFormat="1" ht="11.65" hidden="1" customHeight="1" outlineLevel="1" x14ac:dyDescent="0.2">
      <c r="A285" s="1202" t="str">
        <f>IF(MOD($F285,$H$2)&lt;$H$2-2,_xll.ciqfunctions.udf.CIQSPLIT(VLOOKUP(E285,'CIQ Key Developments'!$B$8:$I$491,COLUMN('CIQ Key Developments'!$F$7)-COLUMN('CIQ Key Developments'!$B$7)+1,FALSE),$F285,F$6),IF(MOD($F285,$H$2)=$H$2-2,"Source: "&amp;VLOOKUP(E285,'CIQ Key Developments'!$B$8:$I$491,COLUMN('CIQ Key Developments'!$I$7)-COLUMN('CIQ Key Developments'!$B$7)+1,FALSE),""))</f>
        <v>new parents. How Tot Squad x Walmart works: Looking for a car seat or breast pump and help getting it set up correctly? First, locate the product would like. On its page on</v>
      </c>
      <c r="B285" s="1202"/>
      <c r="C285" s="1202"/>
      <c r="E285" s="383">
        <f t="shared" si="8"/>
        <v>13</v>
      </c>
      <c r="F285" s="7">
        <f t="shared" si="9"/>
        <v>3</v>
      </c>
    </row>
    <row r="286" spans="1:6" s="571" customFormat="1" ht="11.65" hidden="1" customHeight="1" outlineLevel="1" x14ac:dyDescent="0.2">
      <c r="A286" s="1202" t="str">
        <f>IF(MOD($F286,$H$2)&lt;$H$2-2,_xll.ciqfunctions.udf.CIQSPLIT(VLOOKUP(E286,'CIQ Key Developments'!$B$8:$I$491,COLUMN('CIQ Key Developments'!$F$7)-COLUMN('CIQ Key Developments'!$B$7)+1,FALSE),$F286,F$6),IF(MOD($F286,$H$2)=$H$2-2,"Source: "&amp;VLOOKUP(E286,'CIQ Key Developments'!$B$8:$I$491,COLUMN('CIQ Key Developments'!$I$7)-COLUMN('CIQ Key Developments'!$B$7)+1,FALSE),""))</f>
        <v>Walmart.com, simply select the option under Get Expert Help before adding the item and service to cart or registry, and a consultation with one of Tot Squad's experts will be</v>
      </c>
      <c r="B286" s="1202"/>
      <c r="C286" s="1202"/>
      <c r="E286" s="383">
        <f t="shared" si="8"/>
        <v>13</v>
      </c>
      <c r="F286" s="7">
        <f t="shared" si="9"/>
        <v>4</v>
      </c>
    </row>
    <row r="287" spans="1:6" s="571" customFormat="1" ht="11.65" hidden="1" customHeight="1" outlineLevel="1" x14ac:dyDescent="0.2">
      <c r="A287" s="1202" t="str">
        <f>IF(MOD($F287,$H$2)&lt;$H$2-2,_xll.ciqfunctions.udf.CIQSPLIT(VLOOKUP(E287,'CIQ Key Developments'!$B$8:$I$491,COLUMN('CIQ Key Developments'!$F$7)-COLUMN('CIQ Key Developments'!$B$7)+1,FALSE),$F287,F$6),IF(MOD($F287,$H$2)=$H$2-2,"Source: "&amp;VLOOKUP(E287,'CIQ Key Developments'!$B$8:$I$491,COLUMN('CIQ Key Developments'!$I$7)-COLUMN('CIQ Key Developments'!$B$7)+1,FALSE),""))</f>
        <v>included in purchase. If in-store, tags with QR codes will be located throughout the baby department in select stores that can be scanned to buy support from Tot Squad. Tot</v>
      </c>
      <c r="B287" s="1202"/>
      <c r="C287" s="1202"/>
      <c r="E287" s="383">
        <f t="shared" si="8"/>
        <v>13</v>
      </c>
      <c r="F287" s="7">
        <f t="shared" si="9"/>
        <v>5</v>
      </c>
    </row>
    <row r="288" spans="1:6" s="571" customFormat="1" ht="11.65" hidden="1" customHeight="1" outlineLevel="1" x14ac:dyDescent="0.2">
      <c r="A288" s="1202" t="str">
        <f>IF(MOD($F288,$H$2)&lt;$H$2-2,_xll.ciqfunctions.udf.CIQSPLIT(VLOOKUP(E288,'CIQ Key Developments'!$B$8:$I$491,COLUMN('CIQ Key Developments'!$F$7)-COLUMN('CIQ Key Developments'!$B$7)+1,FALSE),$F288,F$6),IF(MOD($F288,$H$2)=$H$2-2,"Source: "&amp;VLOOKUP(E288,'CIQ Key Developments'!$B$8:$I$491,COLUMN('CIQ Key Developments'!$I$7)-COLUMN('CIQ Key Developments'!$B$7)+1,FALSE),""))</f>
        <v>Squad has experts available for a variety of parenting needs, so keep an eye out for the Get Expert Help option (online) and QR codes (in-store). Some of Tot Squad's top experts</v>
      </c>
      <c r="B288" s="1202"/>
      <c r="C288" s="1202"/>
      <c r="E288" s="383">
        <f t="shared" si="8"/>
        <v>13</v>
      </c>
      <c r="F288" s="7">
        <f t="shared" si="9"/>
        <v>6</v>
      </c>
    </row>
    <row r="289" spans="1:6" s="571" customFormat="1" ht="11.65" hidden="1" customHeight="1" outlineLevel="1" x14ac:dyDescent="0.2">
      <c r="A289" s="1202" t="str">
        <f>IF(MOD($F289,$H$2)&lt;$H$2-2,_xll.ciqfunctions.udf.CIQSPLIT(VLOOKUP(E289,'CIQ Key Developments'!$B$8:$I$491,COLUMN('CIQ Key Developments'!$F$7)-COLUMN('CIQ Key Developments'!$B$7)+1,FALSE),$F289,F$6),IF(MOD($F289,$H$2)=$H$2-2,"Source: "&amp;VLOOKUP(E289,'CIQ Key Developments'!$B$8:$I$491,COLUMN('CIQ Key Developments'!$I$7)-COLUMN('CIQ Key Developments'!$B$7)+1,FALSE),""))</f>
        <v>include: Sleep Consultants; From newborns to toddlers, experts help solve common sleep challenges so that baby, and Mom and Dad, get a good night's sleep; Breastfeeding</v>
      </c>
      <c r="B289" s="1202"/>
      <c r="C289" s="1202"/>
      <c r="E289" s="383">
        <f t="shared" si="8"/>
        <v>13</v>
      </c>
      <c r="F289" s="7">
        <f t="shared" si="9"/>
        <v>7</v>
      </c>
    </row>
    <row r="290" spans="1:6" s="571" customFormat="1" ht="11.65" hidden="1" customHeight="1" outlineLevel="1" x14ac:dyDescent="0.2">
      <c r="A290" s="1202" t="str">
        <f>IF(MOD($F290,$H$2)&lt;$H$2-2,_xll.ciqfunctions.udf.CIQSPLIT(VLOOKUP(E290,'CIQ Key Developments'!$B$8:$I$491,COLUMN('CIQ Key Developments'!$F$7)-COLUMN('CIQ Key Developments'!$B$7)+1,FALSE),$F290,F$6),IF(MOD($F290,$H$2)=$H$2-2,"Source: "&amp;VLOOKUP(E290,'CIQ Key Developments'!$B$8:$I$491,COLUMN('CIQ Key Developments'!$I$7)-COLUMN('CIQ Key Developments'!$B$7)+1,FALSE),""))</f>
        <v>Coaches and Lactation Support; Breastfeeding is the hardest part of bringing a new baby home for millions of families; Diet and Nutrition Experts; Diet support for pregnant and</v>
      </c>
      <c r="B290" s="1202"/>
      <c r="C290" s="1202"/>
      <c r="E290" s="383">
        <f t="shared" si="8"/>
        <v>13</v>
      </c>
      <c r="F290" s="7">
        <f t="shared" si="9"/>
        <v>8</v>
      </c>
    </row>
    <row r="291" spans="1:6" s="571" customFormat="1" ht="11.65" hidden="1" customHeight="1" outlineLevel="1" x14ac:dyDescent="0.2">
      <c r="A291" s="1202" t="str">
        <f>IF(MOD($F291,$H$2)&lt;$H$2-2,_xll.ciqfunctions.udf.CIQSPLIT(VLOOKUP(E291,'CIQ Key Developments'!$B$8:$I$491,COLUMN('CIQ Key Developments'!$F$7)-COLUMN('CIQ Key Developments'!$B$7)+1,FALSE),$F291,F$6),IF(MOD($F291,$H$2)=$H$2-2,"Source: "&amp;VLOOKUP(E291,'CIQ Key Developments'!$B$8:$I$491,COLUMN('CIQ Key Developments'!$I$7)-COLUMN('CIQ Key Developments'!$B$7)+1,FALSE),""))</f>
        <v>breastfeeding moms; Feeding support for babies, such as how to introduce a bottle, formula, or solids; or dealing with picky eating or food allergies; Car Seat Technicians; With</v>
      </c>
      <c r="B291" s="1202"/>
      <c r="C291" s="1202"/>
      <c r="E291" s="383">
        <f t="shared" si="8"/>
        <v>13</v>
      </c>
      <c r="F291" s="7">
        <f t="shared" si="9"/>
        <v>9</v>
      </c>
    </row>
    <row r="292" spans="1:6" s="571" customFormat="1" ht="11.65" hidden="1" customHeight="1" outlineLevel="1" x14ac:dyDescent="0.2">
      <c r="A292" s="1202" t="str">
        <f>IF(MOD($F292,$H$2)&lt;$H$2-2,_xll.ciqfunctions.udf.CIQSPLIT(VLOOKUP(E292,'CIQ Key Developments'!$B$8:$I$491,COLUMN('CIQ Key Developments'!$F$7)-COLUMN('CIQ Key Developments'!$B$7)+1,FALSE),$F292,F$6),IF(MOD($F292,$H$2)=$H$2-2,"Source: "&amp;VLOOKUP(E292,'CIQ Key Developments'!$B$8:$I$491,COLUMN('CIQ Key Developments'!$I$7)-COLUMN('CIQ Key Developments'!$B$7)+1,FALSE),""))</f>
        <v>as many as 95% of car seats installed incorrectly, and car accidents as a leading cause of death for children, most families need this crucial support.</v>
      </c>
      <c r="B292" s="1202"/>
      <c r="C292" s="1202"/>
      <c r="E292" s="383">
        <f t="shared" si="8"/>
        <v>13</v>
      </c>
      <c r="F292" s="7">
        <f t="shared" si="9"/>
        <v>10</v>
      </c>
    </row>
    <row r="293" spans="1:6" s="571" customFormat="1" ht="11.65" hidden="1" customHeight="1" outlineLevel="1" x14ac:dyDescent="0.2">
      <c r="A293" s="1202" t="str">
        <f>IF(MOD($F293,$H$2)&lt;$H$2-2,_xll.ciqfunctions.udf.CIQSPLIT(VLOOKUP(E293,'CIQ Key Developments'!$B$8:$I$491,COLUMN('CIQ Key Developments'!$F$7)-COLUMN('CIQ Key Developments'!$B$7)+1,FALSE),$F293,F$6),IF(MOD($F293,$H$2)=$H$2-2,"Source: "&amp;VLOOKUP(E293,'CIQ Key Developments'!$B$8:$I$491,COLUMN('CIQ Key Developments'!$I$7)-COLUMN('CIQ Key Developments'!$B$7)+1,FALSE),""))</f>
        <v/>
      </c>
      <c r="B293" s="1202"/>
      <c r="C293" s="1202"/>
      <c r="E293" s="383">
        <f t="shared" si="8"/>
        <v>13</v>
      </c>
      <c r="F293" s="7">
        <f t="shared" si="9"/>
        <v>11</v>
      </c>
    </row>
    <row r="294" spans="1:6" s="571" customFormat="1" ht="11.65" hidden="1" customHeight="1" outlineLevel="1" x14ac:dyDescent="0.2">
      <c r="A294" s="1202" t="str">
        <f>IF(MOD($F294,$H$2)&lt;$H$2-2,_xll.ciqfunctions.udf.CIQSPLIT(VLOOKUP(E294,'CIQ Key Developments'!$B$8:$I$491,COLUMN('CIQ Key Developments'!$F$7)-COLUMN('CIQ Key Developments'!$B$7)+1,FALSE),$F294,F$6),IF(MOD($F294,$H$2)=$H$2-2,"Source: "&amp;VLOOKUP(E294,'CIQ Key Developments'!$B$8:$I$491,COLUMN('CIQ Key Developments'!$I$7)-COLUMN('CIQ Key Developments'!$B$7)+1,FALSE),""))</f>
        <v/>
      </c>
      <c r="B294" s="1202"/>
      <c r="C294" s="1202"/>
      <c r="E294" s="383">
        <f t="shared" si="8"/>
        <v>13</v>
      </c>
      <c r="F294" s="7">
        <f t="shared" si="9"/>
        <v>12</v>
      </c>
    </row>
    <row r="295" spans="1:6" s="571" customFormat="1" ht="11.65" hidden="1" customHeight="1" outlineLevel="1" x14ac:dyDescent="0.2">
      <c r="A295" s="1202" t="str">
        <f>IF(MOD($F295,$H$2)&lt;$H$2-2,_xll.ciqfunctions.udf.CIQSPLIT(VLOOKUP(E295,'CIQ Key Developments'!$B$8:$I$491,COLUMN('CIQ Key Developments'!$F$7)-COLUMN('CIQ Key Developments'!$B$7)+1,FALSE),$F295,F$6),IF(MOD($F295,$H$2)=$H$2-2,"Source: "&amp;VLOOKUP(E295,'CIQ Key Developments'!$B$8:$I$491,COLUMN('CIQ Key Developments'!$I$7)-COLUMN('CIQ Key Developments'!$B$7)+1,FALSE),""))</f>
        <v/>
      </c>
      <c r="B295" s="1202"/>
      <c r="C295" s="1202"/>
      <c r="E295" s="383">
        <f t="shared" si="8"/>
        <v>13</v>
      </c>
      <c r="F295" s="7">
        <f t="shared" si="9"/>
        <v>13</v>
      </c>
    </row>
    <row r="296" spans="1:6" s="571" customFormat="1" ht="11.65" hidden="1" customHeight="1" outlineLevel="1" x14ac:dyDescent="0.2">
      <c r="A296" s="1202" t="str">
        <f>IF(MOD($F296,$H$2)&lt;$H$2-2,_xll.ciqfunctions.udf.CIQSPLIT(VLOOKUP(E296,'CIQ Key Developments'!$B$8:$I$491,COLUMN('CIQ Key Developments'!$F$7)-COLUMN('CIQ Key Developments'!$B$7)+1,FALSE),$F296,F$6),IF(MOD($F296,$H$2)=$H$2-2,"Source: "&amp;VLOOKUP(E296,'CIQ Key Developments'!$B$8:$I$491,COLUMN('CIQ Key Developments'!$I$7)-COLUMN('CIQ Key Developments'!$B$7)+1,FALSE),""))</f>
        <v/>
      </c>
      <c r="B296" s="1202"/>
      <c r="C296" s="1202"/>
      <c r="E296" s="383">
        <f t="shared" si="8"/>
        <v>13</v>
      </c>
      <c r="F296" s="7">
        <f t="shared" si="9"/>
        <v>14</v>
      </c>
    </row>
    <row r="297" spans="1:6" s="571" customFormat="1" ht="11.65" hidden="1" customHeight="1" outlineLevel="1" x14ac:dyDescent="0.2">
      <c r="A297" s="1202" t="str">
        <f>IF(MOD($F297,$H$2)&lt;$H$2-2,_xll.ciqfunctions.udf.CIQSPLIT(VLOOKUP(E297,'CIQ Key Developments'!$B$8:$I$491,COLUMN('CIQ Key Developments'!$F$7)-COLUMN('CIQ Key Developments'!$B$7)+1,FALSE),$F297,F$6),IF(MOD($F297,$H$2)=$H$2-2,"Source: "&amp;VLOOKUP(E297,'CIQ Key Developments'!$B$8:$I$491,COLUMN('CIQ Key Developments'!$I$7)-COLUMN('CIQ Key Developments'!$B$7)+1,FALSE),""))</f>
        <v/>
      </c>
      <c r="B297" s="1202"/>
      <c r="C297" s="1202"/>
      <c r="E297" s="383">
        <f t="shared" si="8"/>
        <v>13</v>
      </c>
      <c r="F297" s="7">
        <f t="shared" si="9"/>
        <v>15</v>
      </c>
    </row>
    <row r="298" spans="1:6" s="571" customFormat="1" ht="11.65" hidden="1" customHeight="1" outlineLevel="1" x14ac:dyDescent="0.2">
      <c r="A298" s="1202" t="str">
        <f>IF(MOD($F298,$H$2)&lt;$H$2-2,_xll.ciqfunctions.udf.CIQSPLIT(VLOOKUP(E298,'CIQ Key Developments'!$B$8:$I$491,COLUMN('CIQ Key Developments'!$F$7)-COLUMN('CIQ Key Developments'!$B$7)+1,FALSE),$F298,F$6),IF(MOD($F298,$H$2)=$H$2-2,"Source: "&amp;VLOOKUP(E298,'CIQ Key Developments'!$B$8:$I$491,COLUMN('CIQ Key Developments'!$I$7)-COLUMN('CIQ Key Developments'!$B$7)+1,FALSE),""))</f>
        <v/>
      </c>
      <c r="B298" s="1202"/>
      <c r="C298" s="1202"/>
      <c r="E298" s="383">
        <f t="shared" si="8"/>
        <v>13</v>
      </c>
      <c r="F298" s="7">
        <f t="shared" si="9"/>
        <v>16</v>
      </c>
    </row>
    <row r="299" spans="1:6" s="571" customFormat="1" ht="11.65" hidden="1" customHeight="1" outlineLevel="1" x14ac:dyDescent="0.2">
      <c r="A299" s="1202" t="str">
        <f>IF(MOD($F299,$H$2)&lt;$H$2-2,_xll.ciqfunctions.udf.CIQSPLIT(VLOOKUP(E299,'CIQ Key Developments'!$B$8:$I$491,COLUMN('CIQ Key Developments'!$F$7)-COLUMN('CIQ Key Developments'!$B$7)+1,FALSE),$F299,F$6),IF(MOD($F299,$H$2)=$H$2-2,"Source: "&amp;VLOOKUP(E299,'CIQ Key Developments'!$B$8:$I$491,COLUMN('CIQ Key Developments'!$I$7)-COLUMN('CIQ Key Developments'!$B$7)+1,FALSE),""))</f>
        <v/>
      </c>
      <c r="B299" s="1202"/>
      <c r="C299" s="1202"/>
      <c r="E299" s="383">
        <f t="shared" si="8"/>
        <v>13</v>
      </c>
      <c r="F299" s="7">
        <f t="shared" si="9"/>
        <v>17</v>
      </c>
    </row>
    <row r="300" spans="1:6" s="571" customFormat="1" ht="11.65" hidden="1" customHeight="1" outlineLevel="1" x14ac:dyDescent="0.2">
      <c r="A300" s="1202" t="str">
        <f>IF(MOD($F300,$H$2)&lt;$H$2-2,_xll.ciqfunctions.udf.CIQSPLIT(VLOOKUP(E300,'CIQ Key Developments'!$B$8:$I$491,COLUMN('CIQ Key Developments'!$F$7)-COLUMN('CIQ Key Developments'!$B$7)+1,FALSE),$F300,F$6),IF(MOD($F300,$H$2)=$H$2-2,"Source: "&amp;VLOOKUP(E300,'CIQ Key Developments'!$B$8:$I$491,COLUMN('CIQ Key Developments'!$I$7)-COLUMN('CIQ Key Developments'!$B$7)+1,FALSE),""))</f>
        <v/>
      </c>
      <c r="B300" s="1202"/>
      <c r="C300" s="1202"/>
      <c r="E300" s="383">
        <f t="shared" si="8"/>
        <v>13</v>
      </c>
      <c r="F300" s="7">
        <f t="shared" si="9"/>
        <v>18</v>
      </c>
    </row>
    <row r="301" spans="1:6" s="571" customFormat="1" ht="11.65" hidden="1" customHeight="1" outlineLevel="1" x14ac:dyDescent="0.2">
      <c r="A301" s="1202" t="str">
        <f>IF(MOD($F301,$H$2)&lt;$H$2-2,_xll.ciqfunctions.udf.CIQSPLIT(VLOOKUP(E301,'CIQ Key Developments'!$B$8:$I$491,COLUMN('CIQ Key Developments'!$F$7)-COLUMN('CIQ Key Developments'!$B$7)+1,FALSE),$F301,F$6),IF(MOD($F301,$H$2)=$H$2-2,"Source: "&amp;VLOOKUP(E301,'CIQ Key Developments'!$B$8:$I$491,COLUMN('CIQ Key Developments'!$I$7)-COLUMN('CIQ Key Developments'!$B$7)+1,FALSE),""))</f>
        <v/>
      </c>
      <c r="B301" s="1202"/>
      <c r="C301" s="1202"/>
      <c r="E301" s="383">
        <f t="shared" si="8"/>
        <v>13</v>
      </c>
      <c r="F301" s="7">
        <f t="shared" si="9"/>
        <v>19</v>
      </c>
    </row>
    <row r="302" spans="1:6" s="571" customFormat="1" ht="11.65" customHeight="1" collapsed="1" x14ac:dyDescent="0.2">
      <c r="A302" s="1202" t="str">
        <f>IF(MOD($F302,$H$2)&lt;$H$2-2,_xll.ciqfunctions.udf.CIQSPLIT(VLOOKUP(E302,'CIQ Key Developments'!$B$8:$I$491,COLUMN('CIQ Key Developments'!$F$7)-COLUMN('CIQ Key Developments'!$B$7)+1,FALSE),$F302,F$6),IF(MOD($F302,$H$2)=$H$2-2,"Source: "&amp;VLOOKUP(E302,'CIQ Key Developments'!$B$8:$I$491,COLUMN('CIQ Key Developments'!$I$7)-COLUMN('CIQ Key Developments'!$B$7)+1,FALSE),""))</f>
        <v>Source: PR Newswire</v>
      </c>
      <c r="B302" s="1202"/>
      <c r="C302" s="1202"/>
      <c r="E302" s="383">
        <f t="shared" si="8"/>
        <v>13</v>
      </c>
      <c r="F302" s="7">
        <f t="shared" si="9"/>
        <v>20</v>
      </c>
    </row>
    <row r="303" spans="1:6" ht="7.15" customHeight="1" collapsed="1" x14ac:dyDescent="0.2">
      <c r="A303" s="1202" t="str">
        <f>IF(MOD($F303,$H$2)&lt;$H$2-2,_xll.ciqfunctions.udf.CIQSPLIT(VLOOKUP(E303,'CIQ Key Developments'!$B$8:$I$491,COLUMN('CIQ Key Developments'!$F$7)-COLUMN('CIQ Key Developments'!$B$7)+1,FALSE),$F303,F$6),IF(MOD($F303,$H$2)=$H$2-2,"Source: "&amp;VLOOKUP(E303,'CIQ Key Developments'!$B$8:$I$491,COLUMN('CIQ Key Developments'!$I$7)-COLUMN('CIQ Key Developments'!$B$7)+1,FALSE),""))</f>
        <v/>
      </c>
      <c r="B303" s="1202"/>
      <c r="C303" s="1202"/>
      <c r="E303" s="383">
        <f t="shared" si="8"/>
        <v>13</v>
      </c>
      <c r="F303" s="7">
        <f t="shared" si="9"/>
        <v>21</v>
      </c>
    </row>
    <row r="304" spans="1:6" s="571" customFormat="1" ht="12" customHeight="1" x14ac:dyDescent="0.2">
      <c r="A304" s="1513" t="str">
        <f>+VLOOKUP(E304,'CIQ Key Developments'!$B$8:$I$491,COLUMN('CIQ Key Developments'!$D$7)-COLUMN('CIQ Key Developments'!$B$7)+1,FALSE)</f>
        <v>Walmart Inc. Presents at The Retail Supply Chain Conference, Feb-22-2022 10:45 AM</v>
      </c>
      <c r="B304" s="1514"/>
      <c r="C304" s="1515"/>
      <c r="E304" s="383">
        <f t="shared" si="8"/>
        <v>14</v>
      </c>
      <c r="F304" s="7">
        <f t="shared" si="9"/>
        <v>22</v>
      </c>
    </row>
    <row r="305" spans="1:6" s="571" customFormat="1" ht="11.65" customHeight="1" x14ac:dyDescent="0.2">
      <c r="A305" s="1199" t="str">
        <f>+$C$3</f>
        <v>Walmart Inc.</v>
      </c>
      <c r="B305" s="1200" t="str">
        <f>VLOOKUP(E304,'CIQ Key Developments'!$B$8:$I$491,COLUMN('CIQ Key Developments'!$G$7)-COLUMN('CIQ Key Developments'!$B$7)+1,FALSE)&amp;" "&amp;VLOOKUP(E304,'CIQ Key Developments'!$B$8:$I$491,COLUMN('CIQ Key Developments'!$H$7)-COLUMN('CIQ Key Developments'!$B$7)+1,FALSE)</f>
        <v>23 Feb 2022 12:45 AM</v>
      </c>
      <c r="C305" s="1201" t="str">
        <f>+VLOOKUP(E304,'CIQ Key Developments'!$B$8:$I$491,COLUMN('CIQ Key Developments'!$E$7)-COLUMN('CIQ Key Developments'!$B$7)+1,FALSE)</f>
        <v>Company Conference Presentations</v>
      </c>
      <c r="E305" s="383">
        <f t="shared" si="8"/>
        <v>14</v>
      </c>
      <c r="F305" s="7">
        <f t="shared" si="9"/>
        <v>175</v>
      </c>
    </row>
    <row r="306" spans="1:6" s="571" customFormat="1" ht="11.65" customHeight="1" x14ac:dyDescent="0.2">
      <c r="A306" s="1202" t="str">
        <f>IF(MOD($F306,$H$2)&lt;$H$2-2,_xll.ciqfunctions.udf.CIQSPLIT(VLOOKUP(E306,'CIQ Key Developments'!$B$8:$I$491,COLUMN('CIQ Key Developments'!$F$7)-COLUMN('CIQ Key Developments'!$B$7)+1,FALSE),$F306,F$6),IF(MOD($F306,$H$2)=$H$2-2,"Source: "&amp;VLOOKUP(E306,'CIQ Key Developments'!$B$8:$I$491,COLUMN('CIQ Key Developments'!$I$7)-COLUMN('CIQ Key Developments'!$B$7)+1,FALSE),""))</f>
        <v>Walmart Inc. Presents at The Retail Supply Chain Conference, Feb-22-2022 10:45 AM. Venue: Dallas, Texas, United States. Speakers: Wes Whalberg, Senior Director, Automation &amp;</v>
      </c>
      <c r="B306" s="1202"/>
      <c r="C306" s="1202"/>
      <c r="E306" s="383">
        <f t="shared" si="8"/>
        <v>14</v>
      </c>
      <c r="F306" s="7">
        <f t="shared" si="9"/>
        <v>1</v>
      </c>
    </row>
    <row r="307" spans="1:6" s="571" customFormat="1" ht="11.65" customHeight="1" x14ac:dyDescent="0.2">
      <c r="A307" s="1202" t="str">
        <f>IF(MOD($F307,$H$2)&lt;$H$2-2,_xll.ciqfunctions.udf.CIQSPLIT(VLOOKUP(E307,'CIQ Key Developments'!$B$8:$I$491,COLUMN('CIQ Key Developments'!$F$7)-COLUMN('CIQ Key Developments'!$B$7)+1,FALSE),$F307,F$6),IF(MOD($F307,$H$2)=$H$2-2,"Source: "&amp;VLOOKUP(E307,'CIQ Key Developments'!$B$8:$I$491,COLUMN('CIQ Key Developments'!$I$7)-COLUMN('CIQ Key Developments'!$B$7)+1,FALSE),""))</f>
        <v>Innovation.</v>
      </c>
      <c r="B307" s="1202"/>
      <c r="C307" s="1202"/>
      <c r="E307" s="383">
        <f t="shared" si="8"/>
        <v>14</v>
      </c>
      <c r="F307" s="7">
        <f t="shared" si="9"/>
        <v>2</v>
      </c>
    </row>
    <row r="308" spans="1:6" s="571" customFormat="1" ht="11.65" customHeight="1" x14ac:dyDescent="0.2">
      <c r="A308" s="1202" t="str">
        <f>IF(MOD($F308,$H$2)&lt;$H$2-2,_xll.ciqfunctions.udf.CIQSPLIT(VLOOKUP(E308,'CIQ Key Developments'!$B$8:$I$491,COLUMN('CIQ Key Developments'!$F$7)-COLUMN('CIQ Key Developments'!$B$7)+1,FALSE),$F308,F$6),IF(MOD($F308,$H$2)=$H$2-2,"Source: "&amp;VLOOKUP(E308,'CIQ Key Developments'!$B$8:$I$491,COLUMN('CIQ Key Developments'!$I$7)-COLUMN('CIQ Key Developments'!$B$7)+1,FALSE),""))</f>
        <v/>
      </c>
      <c r="B308" s="1202"/>
      <c r="C308" s="1202"/>
      <c r="E308" s="383">
        <f t="shared" si="8"/>
        <v>14</v>
      </c>
      <c r="F308" s="7">
        <f t="shared" si="9"/>
        <v>3</v>
      </c>
    </row>
    <row r="309" spans="1:6" s="571" customFormat="1" ht="11.65" customHeight="1" x14ac:dyDescent="0.2">
      <c r="A309" s="1202" t="str">
        <f>IF(MOD($F309,$H$2)&lt;$H$2-2,_xll.ciqfunctions.udf.CIQSPLIT(VLOOKUP(E309,'CIQ Key Developments'!$B$8:$I$491,COLUMN('CIQ Key Developments'!$F$7)-COLUMN('CIQ Key Developments'!$B$7)+1,FALSE),$F309,F$6),IF(MOD($F309,$H$2)=$H$2-2,"Source: "&amp;VLOOKUP(E309,'CIQ Key Developments'!$B$8:$I$491,COLUMN('CIQ Key Developments'!$I$7)-COLUMN('CIQ Key Developments'!$B$7)+1,FALSE),""))</f>
        <v/>
      </c>
      <c r="B309" s="1202"/>
      <c r="C309" s="1202"/>
      <c r="E309" s="383">
        <f t="shared" si="8"/>
        <v>14</v>
      </c>
      <c r="F309" s="7">
        <f t="shared" si="9"/>
        <v>4</v>
      </c>
    </row>
    <row r="310" spans="1:6" s="571" customFormat="1" ht="11.65" hidden="1" customHeight="1" outlineLevel="1" x14ac:dyDescent="0.2">
      <c r="A310" s="1202" t="str">
        <f>IF(MOD($F310,$H$2)&lt;$H$2-2,_xll.ciqfunctions.udf.CIQSPLIT(VLOOKUP(E310,'CIQ Key Developments'!$B$8:$I$491,COLUMN('CIQ Key Developments'!$F$7)-COLUMN('CIQ Key Developments'!$B$7)+1,FALSE),$F310,F$6),IF(MOD($F310,$H$2)=$H$2-2,"Source: "&amp;VLOOKUP(E310,'CIQ Key Developments'!$B$8:$I$491,COLUMN('CIQ Key Developments'!$I$7)-COLUMN('CIQ Key Developments'!$B$7)+1,FALSE),""))</f>
        <v/>
      </c>
      <c r="B310" s="1202"/>
      <c r="C310" s="1202"/>
      <c r="E310" s="383">
        <f t="shared" si="8"/>
        <v>14</v>
      </c>
      <c r="F310" s="7">
        <f t="shared" si="9"/>
        <v>5</v>
      </c>
    </row>
    <row r="311" spans="1:6" s="571" customFormat="1" ht="11.65" hidden="1" customHeight="1" outlineLevel="1" x14ac:dyDescent="0.2">
      <c r="A311" s="1202" t="str">
        <f>IF(MOD($F311,$H$2)&lt;$H$2-2,_xll.ciqfunctions.udf.CIQSPLIT(VLOOKUP(E311,'CIQ Key Developments'!$B$8:$I$491,COLUMN('CIQ Key Developments'!$F$7)-COLUMN('CIQ Key Developments'!$B$7)+1,FALSE),$F311,F$6),IF(MOD($F311,$H$2)=$H$2-2,"Source: "&amp;VLOOKUP(E311,'CIQ Key Developments'!$B$8:$I$491,COLUMN('CIQ Key Developments'!$I$7)-COLUMN('CIQ Key Developments'!$B$7)+1,FALSE),""))</f>
        <v/>
      </c>
      <c r="B311" s="1202"/>
      <c r="C311" s="1202"/>
      <c r="E311" s="383">
        <f t="shared" si="8"/>
        <v>14</v>
      </c>
      <c r="F311" s="7">
        <f t="shared" si="9"/>
        <v>6</v>
      </c>
    </row>
    <row r="312" spans="1:6" s="571" customFormat="1" ht="11.65" hidden="1" customHeight="1" outlineLevel="1" x14ac:dyDescent="0.2">
      <c r="A312" s="1202" t="str">
        <f>IF(MOD($F312,$H$2)&lt;$H$2-2,_xll.ciqfunctions.udf.CIQSPLIT(VLOOKUP(E312,'CIQ Key Developments'!$B$8:$I$491,COLUMN('CIQ Key Developments'!$F$7)-COLUMN('CIQ Key Developments'!$B$7)+1,FALSE),$F312,F$6),IF(MOD($F312,$H$2)=$H$2-2,"Source: "&amp;VLOOKUP(E312,'CIQ Key Developments'!$B$8:$I$491,COLUMN('CIQ Key Developments'!$I$7)-COLUMN('CIQ Key Developments'!$B$7)+1,FALSE),""))</f>
        <v/>
      </c>
      <c r="B312" s="1202"/>
      <c r="C312" s="1202"/>
      <c r="E312" s="383">
        <f t="shared" si="8"/>
        <v>14</v>
      </c>
      <c r="F312" s="7">
        <f t="shared" si="9"/>
        <v>7</v>
      </c>
    </row>
    <row r="313" spans="1:6" s="571" customFormat="1" ht="11.65" hidden="1" customHeight="1" outlineLevel="1" x14ac:dyDescent="0.2">
      <c r="A313" s="1202" t="str">
        <f>IF(MOD($F313,$H$2)&lt;$H$2-2,_xll.ciqfunctions.udf.CIQSPLIT(VLOOKUP(E313,'CIQ Key Developments'!$B$8:$I$491,COLUMN('CIQ Key Developments'!$F$7)-COLUMN('CIQ Key Developments'!$B$7)+1,FALSE),$F313,F$6),IF(MOD($F313,$H$2)=$H$2-2,"Source: "&amp;VLOOKUP(E313,'CIQ Key Developments'!$B$8:$I$491,COLUMN('CIQ Key Developments'!$I$7)-COLUMN('CIQ Key Developments'!$B$7)+1,FALSE),""))</f>
        <v/>
      </c>
      <c r="B313" s="1202"/>
      <c r="C313" s="1202"/>
      <c r="E313" s="383">
        <f t="shared" si="8"/>
        <v>14</v>
      </c>
      <c r="F313" s="7">
        <f t="shared" si="9"/>
        <v>8</v>
      </c>
    </row>
    <row r="314" spans="1:6" s="571" customFormat="1" ht="11.65" hidden="1" customHeight="1" outlineLevel="1" x14ac:dyDescent="0.2">
      <c r="A314" s="1202" t="str">
        <f>IF(MOD($F314,$H$2)&lt;$H$2-2,_xll.ciqfunctions.udf.CIQSPLIT(VLOOKUP(E314,'CIQ Key Developments'!$B$8:$I$491,COLUMN('CIQ Key Developments'!$F$7)-COLUMN('CIQ Key Developments'!$B$7)+1,FALSE),$F314,F$6),IF(MOD($F314,$H$2)=$H$2-2,"Source: "&amp;VLOOKUP(E314,'CIQ Key Developments'!$B$8:$I$491,COLUMN('CIQ Key Developments'!$I$7)-COLUMN('CIQ Key Developments'!$B$7)+1,FALSE),""))</f>
        <v/>
      </c>
      <c r="B314" s="1202"/>
      <c r="C314" s="1202"/>
      <c r="E314" s="383">
        <f t="shared" si="8"/>
        <v>14</v>
      </c>
      <c r="F314" s="7">
        <f t="shared" si="9"/>
        <v>9</v>
      </c>
    </row>
    <row r="315" spans="1:6" s="571" customFormat="1" ht="11.65" hidden="1" customHeight="1" outlineLevel="1" x14ac:dyDescent="0.2">
      <c r="A315" s="1202" t="str">
        <f>IF(MOD($F315,$H$2)&lt;$H$2-2,_xll.ciqfunctions.udf.CIQSPLIT(VLOOKUP(E315,'CIQ Key Developments'!$B$8:$I$491,COLUMN('CIQ Key Developments'!$F$7)-COLUMN('CIQ Key Developments'!$B$7)+1,FALSE),$F315,F$6),IF(MOD($F315,$H$2)=$H$2-2,"Source: "&amp;VLOOKUP(E315,'CIQ Key Developments'!$B$8:$I$491,COLUMN('CIQ Key Developments'!$I$7)-COLUMN('CIQ Key Developments'!$B$7)+1,FALSE),""))</f>
        <v/>
      </c>
      <c r="B315" s="1202"/>
      <c r="C315" s="1202"/>
      <c r="E315" s="383">
        <f t="shared" si="8"/>
        <v>14</v>
      </c>
      <c r="F315" s="7">
        <f t="shared" si="9"/>
        <v>10</v>
      </c>
    </row>
    <row r="316" spans="1:6" s="571" customFormat="1" ht="11.65" hidden="1" customHeight="1" outlineLevel="1" x14ac:dyDescent="0.2">
      <c r="A316" s="1202" t="str">
        <f>IF(MOD($F316,$H$2)&lt;$H$2-2,_xll.ciqfunctions.udf.CIQSPLIT(VLOOKUP(E316,'CIQ Key Developments'!$B$8:$I$491,COLUMN('CIQ Key Developments'!$F$7)-COLUMN('CIQ Key Developments'!$B$7)+1,FALSE),$F316,F$6),IF(MOD($F316,$H$2)=$H$2-2,"Source: "&amp;VLOOKUP(E316,'CIQ Key Developments'!$B$8:$I$491,COLUMN('CIQ Key Developments'!$I$7)-COLUMN('CIQ Key Developments'!$B$7)+1,FALSE),""))</f>
        <v/>
      </c>
      <c r="B316" s="1202"/>
      <c r="C316" s="1202"/>
      <c r="E316" s="383">
        <f t="shared" si="8"/>
        <v>14</v>
      </c>
      <c r="F316" s="7">
        <f t="shared" si="9"/>
        <v>11</v>
      </c>
    </row>
    <row r="317" spans="1:6" s="571" customFormat="1" ht="11.65" hidden="1" customHeight="1" outlineLevel="1" x14ac:dyDescent="0.2">
      <c r="A317" s="1202" t="str">
        <f>IF(MOD($F317,$H$2)&lt;$H$2-2,_xll.ciqfunctions.udf.CIQSPLIT(VLOOKUP(E317,'CIQ Key Developments'!$B$8:$I$491,COLUMN('CIQ Key Developments'!$F$7)-COLUMN('CIQ Key Developments'!$B$7)+1,FALSE),$F317,F$6),IF(MOD($F317,$H$2)=$H$2-2,"Source: "&amp;VLOOKUP(E317,'CIQ Key Developments'!$B$8:$I$491,COLUMN('CIQ Key Developments'!$I$7)-COLUMN('CIQ Key Developments'!$B$7)+1,FALSE),""))</f>
        <v/>
      </c>
      <c r="B317" s="1202"/>
      <c r="C317" s="1202"/>
      <c r="E317" s="383">
        <f t="shared" si="8"/>
        <v>14</v>
      </c>
      <c r="F317" s="7">
        <f t="shared" si="9"/>
        <v>12</v>
      </c>
    </row>
    <row r="318" spans="1:6" s="571" customFormat="1" ht="11.65" hidden="1" customHeight="1" outlineLevel="1" x14ac:dyDescent="0.2">
      <c r="A318" s="1202" t="str">
        <f>IF(MOD($F318,$H$2)&lt;$H$2-2,_xll.ciqfunctions.udf.CIQSPLIT(VLOOKUP(E318,'CIQ Key Developments'!$B$8:$I$491,COLUMN('CIQ Key Developments'!$F$7)-COLUMN('CIQ Key Developments'!$B$7)+1,FALSE),$F318,F$6),IF(MOD($F318,$H$2)=$H$2-2,"Source: "&amp;VLOOKUP(E318,'CIQ Key Developments'!$B$8:$I$491,COLUMN('CIQ Key Developments'!$I$7)-COLUMN('CIQ Key Developments'!$B$7)+1,FALSE),""))</f>
        <v/>
      </c>
      <c r="B318" s="1202"/>
      <c r="C318" s="1202"/>
      <c r="E318" s="383">
        <f t="shared" si="8"/>
        <v>14</v>
      </c>
      <c r="F318" s="7">
        <f t="shared" si="9"/>
        <v>13</v>
      </c>
    </row>
    <row r="319" spans="1:6" s="571" customFormat="1" ht="11.65" hidden="1" customHeight="1" outlineLevel="1" x14ac:dyDescent="0.2">
      <c r="A319" s="1202" t="str">
        <f>IF(MOD($F319,$H$2)&lt;$H$2-2,_xll.ciqfunctions.udf.CIQSPLIT(VLOOKUP(E319,'CIQ Key Developments'!$B$8:$I$491,COLUMN('CIQ Key Developments'!$F$7)-COLUMN('CIQ Key Developments'!$B$7)+1,FALSE),$F319,F$6),IF(MOD($F319,$H$2)=$H$2-2,"Source: "&amp;VLOOKUP(E319,'CIQ Key Developments'!$B$8:$I$491,COLUMN('CIQ Key Developments'!$I$7)-COLUMN('CIQ Key Developments'!$B$7)+1,FALSE),""))</f>
        <v/>
      </c>
      <c r="B319" s="1202"/>
      <c r="C319" s="1202"/>
      <c r="E319" s="383">
        <f t="shared" si="8"/>
        <v>14</v>
      </c>
      <c r="F319" s="7">
        <f t="shared" si="9"/>
        <v>14</v>
      </c>
    </row>
    <row r="320" spans="1:6" s="571" customFormat="1" ht="11.65" hidden="1" customHeight="1" outlineLevel="1" x14ac:dyDescent="0.2">
      <c r="A320" s="1202" t="str">
        <f>IF(MOD($F320,$H$2)&lt;$H$2-2,_xll.ciqfunctions.udf.CIQSPLIT(VLOOKUP(E320,'CIQ Key Developments'!$B$8:$I$491,COLUMN('CIQ Key Developments'!$F$7)-COLUMN('CIQ Key Developments'!$B$7)+1,FALSE),$F320,F$6),IF(MOD($F320,$H$2)=$H$2-2,"Source: "&amp;VLOOKUP(E320,'CIQ Key Developments'!$B$8:$I$491,COLUMN('CIQ Key Developments'!$I$7)-COLUMN('CIQ Key Developments'!$B$7)+1,FALSE),""))</f>
        <v/>
      </c>
      <c r="B320" s="1202"/>
      <c r="C320" s="1202"/>
      <c r="E320" s="383">
        <f t="shared" si="8"/>
        <v>14</v>
      </c>
      <c r="F320" s="7">
        <f t="shared" si="9"/>
        <v>15</v>
      </c>
    </row>
    <row r="321" spans="1:6" s="571" customFormat="1" ht="11.65" hidden="1" customHeight="1" outlineLevel="1" x14ac:dyDescent="0.2">
      <c r="A321" s="1202" t="str">
        <f>IF(MOD($F321,$H$2)&lt;$H$2-2,_xll.ciqfunctions.udf.CIQSPLIT(VLOOKUP(E321,'CIQ Key Developments'!$B$8:$I$491,COLUMN('CIQ Key Developments'!$F$7)-COLUMN('CIQ Key Developments'!$B$7)+1,FALSE),$F321,F$6),IF(MOD($F321,$H$2)=$H$2-2,"Source: "&amp;VLOOKUP(E321,'CIQ Key Developments'!$B$8:$I$491,COLUMN('CIQ Key Developments'!$I$7)-COLUMN('CIQ Key Developments'!$B$7)+1,FALSE),""))</f>
        <v/>
      </c>
      <c r="B321" s="1202"/>
      <c r="C321" s="1202"/>
      <c r="E321" s="383">
        <f t="shared" si="8"/>
        <v>14</v>
      </c>
      <c r="F321" s="7">
        <f t="shared" si="9"/>
        <v>16</v>
      </c>
    </row>
    <row r="322" spans="1:6" s="571" customFormat="1" ht="11.65" hidden="1" customHeight="1" outlineLevel="1" x14ac:dyDescent="0.2">
      <c r="A322" s="1202" t="str">
        <f>IF(MOD($F322,$H$2)&lt;$H$2-2,_xll.ciqfunctions.udf.CIQSPLIT(VLOOKUP(E322,'CIQ Key Developments'!$B$8:$I$491,COLUMN('CIQ Key Developments'!$F$7)-COLUMN('CIQ Key Developments'!$B$7)+1,FALSE),$F322,F$6),IF(MOD($F322,$H$2)=$H$2-2,"Source: "&amp;VLOOKUP(E322,'CIQ Key Developments'!$B$8:$I$491,COLUMN('CIQ Key Developments'!$I$7)-COLUMN('CIQ Key Developments'!$B$7)+1,FALSE),""))</f>
        <v/>
      </c>
      <c r="B322" s="1202"/>
      <c r="C322" s="1202"/>
      <c r="E322" s="383">
        <f t="shared" si="8"/>
        <v>14</v>
      </c>
      <c r="F322" s="7">
        <f t="shared" si="9"/>
        <v>17</v>
      </c>
    </row>
    <row r="323" spans="1:6" s="571" customFormat="1" ht="11.65" hidden="1" customHeight="1" outlineLevel="1" x14ac:dyDescent="0.2">
      <c r="A323" s="1202" t="str">
        <f>IF(MOD($F323,$H$2)&lt;$H$2-2,_xll.ciqfunctions.udf.CIQSPLIT(VLOOKUP(E323,'CIQ Key Developments'!$B$8:$I$491,COLUMN('CIQ Key Developments'!$F$7)-COLUMN('CIQ Key Developments'!$B$7)+1,FALSE),$F323,F$6),IF(MOD($F323,$H$2)=$H$2-2,"Source: "&amp;VLOOKUP(E323,'CIQ Key Developments'!$B$8:$I$491,COLUMN('CIQ Key Developments'!$I$7)-COLUMN('CIQ Key Developments'!$B$7)+1,FALSE),""))</f>
        <v/>
      </c>
      <c r="B323" s="1202"/>
      <c r="C323" s="1202"/>
      <c r="E323" s="383">
        <f t="shared" si="8"/>
        <v>14</v>
      </c>
      <c r="F323" s="7">
        <f t="shared" si="9"/>
        <v>18</v>
      </c>
    </row>
    <row r="324" spans="1:6" s="571" customFormat="1" ht="11.65" hidden="1" customHeight="1" outlineLevel="1" x14ac:dyDescent="0.2">
      <c r="A324" s="1202" t="str">
        <f>IF(MOD($F324,$H$2)&lt;$H$2-2,_xll.ciqfunctions.udf.CIQSPLIT(VLOOKUP(E324,'CIQ Key Developments'!$B$8:$I$491,COLUMN('CIQ Key Developments'!$F$7)-COLUMN('CIQ Key Developments'!$B$7)+1,FALSE),$F324,F$6),IF(MOD($F324,$H$2)=$H$2-2,"Source: "&amp;VLOOKUP(E324,'CIQ Key Developments'!$B$8:$I$491,COLUMN('CIQ Key Developments'!$I$7)-COLUMN('CIQ Key Developments'!$B$7)+1,FALSE),""))</f>
        <v/>
      </c>
      <c r="B324" s="1202"/>
      <c r="C324" s="1202"/>
      <c r="E324" s="383">
        <f t="shared" si="8"/>
        <v>14</v>
      </c>
      <c r="F324" s="7">
        <f t="shared" si="9"/>
        <v>19</v>
      </c>
    </row>
    <row r="325" spans="1:6" s="571" customFormat="1" ht="11.65" customHeight="1" collapsed="1" x14ac:dyDescent="0.2">
      <c r="A325" s="1202" t="str">
        <f>IF(MOD($F325,$H$2)&lt;$H$2-2,_xll.ciqfunctions.udf.CIQSPLIT(VLOOKUP(E325,'CIQ Key Developments'!$B$8:$I$491,COLUMN('CIQ Key Developments'!$F$7)-COLUMN('CIQ Key Developments'!$B$7)+1,FALSE),$F325,F$6),IF(MOD($F325,$H$2)=$H$2-2,"Source: "&amp;VLOOKUP(E325,'CIQ Key Developments'!$B$8:$I$491,COLUMN('CIQ Key Developments'!$I$7)-COLUMN('CIQ Key Developments'!$B$7)+1,FALSE),""))</f>
        <v>Source: GlobeNewswire, Company Website</v>
      </c>
      <c r="B325" s="1202"/>
      <c r="C325" s="1202"/>
      <c r="E325" s="383">
        <f t="shared" si="8"/>
        <v>14</v>
      </c>
      <c r="F325" s="7">
        <f t="shared" si="9"/>
        <v>20</v>
      </c>
    </row>
    <row r="326" spans="1:6" ht="7.15" customHeight="1" collapsed="1" x14ac:dyDescent="0.2">
      <c r="A326" s="1202" t="str">
        <f>IF(MOD($F326,$H$2)&lt;$H$2-2,_xll.ciqfunctions.udf.CIQSPLIT(VLOOKUP(E326,'CIQ Key Developments'!$B$8:$I$491,COLUMN('CIQ Key Developments'!$F$7)-COLUMN('CIQ Key Developments'!$B$7)+1,FALSE),$F326,F$6),IF(MOD($F326,$H$2)=$H$2-2,"Source: "&amp;VLOOKUP(E326,'CIQ Key Developments'!$B$8:$I$491,COLUMN('CIQ Key Developments'!$I$7)-COLUMN('CIQ Key Developments'!$B$7)+1,FALSE),""))</f>
        <v/>
      </c>
      <c r="B326" s="1202"/>
      <c r="C326" s="1202"/>
      <c r="E326" s="383">
        <f t="shared" si="8"/>
        <v>14</v>
      </c>
      <c r="F326" s="7">
        <f t="shared" si="9"/>
        <v>21</v>
      </c>
    </row>
    <row r="327" spans="1:6" s="571" customFormat="1" ht="12" customHeight="1" x14ac:dyDescent="0.2">
      <c r="A327" s="1513" t="str">
        <f>+VLOOKUP(E327,'CIQ Key Developments'!$B$8:$I$491,COLUMN('CIQ Key Developments'!$D$7)-COLUMN('CIQ Key Developments'!$B$7)+1,FALSE)</f>
        <v>Splash Beverage Group, Inc. Receives Walmart Authorization for TapouT in Arkansas</v>
      </c>
      <c r="B327" s="1514"/>
      <c r="C327" s="1515"/>
      <c r="E327" s="383">
        <f t="shared" ref="E327:E390" si="10">+IF(F328=$F$6,E326+1,E326)</f>
        <v>15</v>
      </c>
      <c r="F327" s="7">
        <f t="shared" si="9"/>
        <v>22</v>
      </c>
    </row>
    <row r="328" spans="1:6" s="571" customFormat="1" ht="11.65" customHeight="1" x14ac:dyDescent="0.2">
      <c r="A328" s="1199" t="str">
        <f>+$C$3</f>
        <v>Walmart Inc.</v>
      </c>
      <c r="B328" s="1200" t="str">
        <f>VLOOKUP(E327,'CIQ Key Developments'!$B$8:$I$491,COLUMN('CIQ Key Developments'!$G$7)-COLUMN('CIQ Key Developments'!$B$7)+1,FALSE)&amp;" "&amp;VLOOKUP(E327,'CIQ Key Developments'!$B$8:$I$491,COLUMN('CIQ Key Developments'!$H$7)-COLUMN('CIQ Key Developments'!$B$7)+1,FALSE)</f>
        <v>22 Feb 2022 12:00 AM</v>
      </c>
      <c r="C328" s="1201" t="str">
        <f>+VLOOKUP(E327,'CIQ Key Developments'!$B$8:$I$491,COLUMN('CIQ Key Developments'!$E$7)-COLUMN('CIQ Key Developments'!$B$7)+1,FALSE)</f>
        <v>Client Announcements</v>
      </c>
      <c r="E328" s="383">
        <f t="shared" si="10"/>
        <v>15</v>
      </c>
      <c r="F328" s="7">
        <f t="shared" si="9"/>
        <v>175</v>
      </c>
    </row>
    <row r="329" spans="1:6" s="571" customFormat="1" ht="11.65" customHeight="1" x14ac:dyDescent="0.2">
      <c r="A329" s="1202" t="str">
        <f>IF(MOD($F329,$H$2)&lt;$H$2-2,_xll.ciqfunctions.udf.CIQSPLIT(VLOOKUP(E329,'CIQ Key Developments'!$B$8:$I$491,COLUMN('CIQ Key Developments'!$F$7)-COLUMN('CIQ Key Developments'!$B$7)+1,FALSE),$F329,F$6),IF(MOD($F329,$H$2)=$H$2-2,"Source: "&amp;VLOOKUP(E329,'CIQ Key Developments'!$B$8:$I$491,COLUMN('CIQ Key Developments'!$I$7)-COLUMN('CIQ Key Developments'!$B$7)+1,FALSE),""))</f>
        <v>Splash Beverage Group, Inc. announced that through its existing distribution agreement with Central Distribution in Arkansas, TapouT, its high-performance energy drink will now</v>
      </c>
      <c r="B329" s="1202"/>
      <c r="C329" s="1202"/>
      <c r="E329" s="383">
        <f t="shared" si="10"/>
        <v>15</v>
      </c>
      <c r="F329" s="7">
        <f t="shared" ref="F329:F392" si="11">+IF(F328&lt;$H$2,F328+1,IF(F328=$F$6,1,$F$6))</f>
        <v>1</v>
      </c>
    </row>
    <row r="330" spans="1:6" s="571" customFormat="1" ht="11.65" customHeight="1" x14ac:dyDescent="0.2">
      <c r="A330" s="1202" t="str">
        <f>IF(MOD($F330,$H$2)&lt;$H$2-2,_xll.ciqfunctions.udf.CIQSPLIT(VLOOKUP(E330,'CIQ Key Developments'!$B$8:$I$491,COLUMN('CIQ Key Developments'!$F$7)-COLUMN('CIQ Key Developments'!$B$7)+1,FALSE),$F330,F$6),IF(MOD($F330,$H$2)=$H$2-2,"Source: "&amp;VLOOKUP(E330,'CIQ Key Developments'!$B$8:$I$491,COLUMN('CIQ Key Developments'!$I$7)-COLUMN('CIQ Key Developments'!$B$7)+1,FALSE),""))</f>
        <v>be distributed through Walmart in Arkansas. Central Distribution will launch all three flavors of TapouT in 125 Walmart stores throughout Arkansas. The agreement will begin</v>
      </c>
      <c r="B330" s="1202"/>
      <c r="C330" s="1202"/>
      <c r="E330" s="383">
        <f t="shared" si="10"/>
        <v>15</v>
      </c>
      <c r="F330" s="7">
        <f t="shared" si="11"/>
        <v>2</v>
      </c>
    </row>
    <row r="331" spans="1:6" s="571" customFormat="1" ht="11.65" customHeight="1" x14ac:dyDescent="0.2">
      <c r="A331" s="1202" t="str">
        <f>IF(MOD($F331,$H$2)&lt;$H$2-2,_xll.ciqfunctions.udf.CIQSPLIT(VLOOKUP(E331,'CIQ Key Developments'!$B$8:$I$491,COLUMN('CIQ Key Developments'!$F$7)-COLUMN('CIQ Key Developments'!$B$7)+1,FALSE),$F331,F$6),IF(MOD($F331,$H$2)=$H$2-2,"Source: "&amp;VLOOKUP(E331,'CIQ Key Developments'!$B$8:$I$491,COLUMN('CIQ Key Developments'!$I$7)-COLUMN('CIQ Key Developments'!$B$7)+1,FALSE),""))</f>
        <v>with the initial launch in Bentonville, home to Walmart’s Corporate Headquarters. Tapout will be featured in all Walmart banners in Arkansas including SuperCenters and Walmart</v>
      </c>
      <c r="B331" s="1202"/>
      <c r="C331" s="1202"/>
      <c r="E331" s="383">
        <f t="shared" si="10"/>
        <v>15</v>
      </c>
      <c r="F331" s="7">
        <f t="shared" si="11"/>
        <v>3</v>
      </c>
    </row>
    <row r="332" spans="1:6" s="571" customFormat="1" ht="11.65" customHeight="1" x14ac:dyDescent="0.2">
      <c r="A332" s="1202" t="str">
        <f>IF(MOD($F332,$H$2)&lt;$H$2-2,_xll.ciqfunctions.udf.CIQSPLIT(VLOOKUP(E332,'CIQ Key Developments'!$B$8:$I$491,COLUMN('CIQ Key Developments'!$F$7)-COLUMN('CIQ Key Developments'!$B$7)+1,FALSE),$F332,F$6),IF(MOD($F332,$H$2)=$H$2-2,"Source: "&amp;VLOOKUP(E332,'CIQ Key Developments'!$B$8:$I$491,COLUMN('CIQ Key Developments'!$I$7)-COLUMN('CIQ Key Developments'!$B$7)+1,FALSE),""))</f>
        <v>Neighborhood Marts.</v>
      </c>
      <c r="B332" s="1202"/>
      <c r="C332" s="1202"/>
      <c r="E332" s="383">
        <f t="shared" si="10"/>
        <v>15</v>
      </c>
      <c r="F332" s="7">
        <f t="shared" si="11"/>
        <v>4</v>
      </c>
    </row>
    <row r="333" spans="1:6" s="571" customFormat="1" ht="11.65" customHeight="1" x14ac:dyDescent="0.2">
      <c r="A333" s="1202" t="str">
        <f>IF(MOD($F333,$H$2)&lt;$H$2-2,_xll.ciqfunctions.udf.CIQSPLIT(VLOOKUP(E333,'CIQ Key Developments'!$B$8:$I$491,COLUMN('CIQ Key Developments'!$F$7)-COLUMN('CIQ Key Developments'!$B$7)+1,FALSE),$F333,F$6),IF(MOD($F333,$H$2)=$H$2-2,"Source: "&amp;VLOOKUP(E333,'CIQ Key Developments'!$B$8:$I$491,COLUMN('CIQ Key Developments'!$I$7)-COLUMN('CIQ Key Developments'!$B$7)+1,FALSE),""))</f>
        <v/>
      </c>
      <c r="B333" s="1202"/>
      <c r="C333" s="1202"/>
      <c r="E333" s="383">
        <f t="shared" si="10"/>
        <v>15</v>
      </c>
      <c r="F333" s="7">
        <f t="shared" si="11"/>
        <v>5</v>
      </c>
    </row>
    <row r="334" spans="1:6" s="571" customFormat="1" ht="11.65" customHeight="1" x14ac:dyDescent="0.2">
      <c r="A334" s="1202" t="str">
        <f>IF(MOD($F334,$H$2)&lt;$H$2-2,_xll.ciqfunctions.udf.CIQSPLIT(VLOOKUP(E334,'CIQ Key Developments'!$B$8:$I$491,COLUMN('CIQ Key Developments'!$F$7)-COLUMN('CIQ Key Developments'!$B$7)+1,FALSE),$F334,F$6),IF(MOD($F334,$H$2)=$H$2-2,"Source: "&amp;VLOOKUP(E334,'CIQ Key Developments'!$B$8:$I$491,COLUMN('CIQ Key Developments'!$I$7)-COLUMN('CIQ Key Developments'!$B$7)+1,FALSE),""))</f>
        <v/>
      </c>
      <c r="B334" s="1202"/>
      <c r="C334" s="1202"/>
      <c r="E334" s="383">
        <f t="shared" si="10"/>
        <v>15</v>
      </c>
      <c r="F334" s="7">
        <f t="shared" si="11"/>
        <v>6</v>
      </c>
    </row>
    <row r="335" spans="1:6" s="571" customFormat="1" ht="11.65" customHeight="1" x14ac:dyDescent="0.2">
      <c r="A335" s="1202" t="str">
        <f>IF(MOD($F335,$H$2)&lt;$H$2-2,_xll.ciqfunctions.udf.CIQSPLIT(VLOOKUP(E335,'CIQ Key Developments'!$B$8:$I$491,COLUMN('CIQ Key Developments'!$F$7)-COLUMN('CIQ Key Developments'!$B$7)+1,FALSE),$F335,F$6),IF(MOD($F335,$H$2)=$H$2-2,"Source: "&amp;VLOOKUP(E335,'CIQ Key Developments'!$B$8:$I$491,COLUMN('CIQ Key Developments'!$I$7)-COLUMN('CIQ Key Developments'!$B$7)+1,FALSE),""))</f>
        <v/>
      </c>
      <c r="B335" s="1202"/>
      <c r="C335" s="1202"/>
      <c r="E335" s="383">
        <f t="shared" si="10"/>
        <v>15</v>
      </c>
      <c r="F335" s="7">
        <f t="shared" si="11"/>
        <v>7</v>
      </c>
    </row>
    <row r="336" spans="1:6" s="571" customFormat="1" ht="11.65" customHeight="1" x14ac:dyDescent="0.2">
      <c r="A336" s="1202" t="str">
        <f>IF(MOD($F336,$H$2)&lt;$H$2-2,_xll.ciqfunctions.udf.CIQSPLIT(VLOOKUP(E336,'CIQ Key Developments'!$B$8:$I$491,COLUMN('CIQ Key Developments'!$F$7)-COLUMN('CIQ Key Developments'!$B$7)+1,FALSE),$F336,F$6),IF(MOD($F336,$H$2)=$H$2-2,"Source: "&amp;VLOOKUP(E336,'CIQ Key Developments'!$B$8:$I$491,COLUMN('CIQ Key Developments'!$I$7)-COLUMN('CIQ Key Developments'!$B$7)+1,FALSE),""))</f>
        <v/>
      </c>
      <c r="B336" s="1202"/>
      <c r="C336" s="1202"/>
      <c r="E336" s="383">
        <f t="shared" si="10"/>
        <v>15</v>
      </c>
      <c r="F336" s="7">
        <f t="shared" si="11"/>
        <v>8</v>
      </c>
    </row>
    <row r="337" spans="1:6" s="571" customFormat="1" ht="11.65" hidden="1" customHeight="1" outlineLevel="1" x14ac:dyDescent="0.2">
      <c r="A337" s="1202" t="str">
        <f>IF(MOD($F337,$H$2)&lt;$H$2-2,_xll.ciqfunctions.udf.CIQSPLIT(VLOOKUP(E337,'CIQ Key Developments'!$B$8:$I$491,COLUMN('CIQ Key Developments'!$F$7)-COLUMN('CIQ Key Developments'!$B$7)+1,FALSE),$F337,F$6),IF(MOD($F337,$H$2)=$H$2-2,"Source: "&amp;VLOOKUP(E337,'CIQ Key Developments'!$B$8:$I$491,COLUMN('CIQ Key Developments'!$I$7)-COLUMN('CIQ Key Developments'!$B$7)+1,FALSE),""))</f>
        <v/>
      </c>
      <c r="B337" s="1202"/>
      <c r="C337" s="1202"/>
      <c r="E337" s="383">
        <f t="shared" si="10"/>
        <v>15</v>
      </c>
      <c r="F337" s="7">
        <f t="shared" si="11"/>
        <v>9</v>
      </c>
    </row>
    <row r="338" spans="1:6" s="571" customFormat="1" ht="11.65" hidden="1" customHeight="1" outlineLevel="1" x14ac:dyDescent="0.2">
      <c r="A338" s="1202" t="str">
        <f>IF(MOD($F338,$H$2)&lt;$H$2-2,_xll.ciqfunctions.udf.CIQSPLIT(VLOOKUP(E338,'CIQ Key Developments'!$B$8:$I$491,COLUMN('CIQ Key Developments'!$F$7)-COLUMN('CIQ Key Developments'!$B$7)+1,FALSE),$F338,F$6),IF(MOD($F338,$H$2)=$H$2-2,"Source: "&amp;VLOOKUP(E338,'CIQ Key Developments'!$B$8:$I$491,COLUMN('CIQ Key Developments'!$I$7)-COLUMN('CIQ Key Developments'!$B$7)+1,FALSE),""))</f>
        <v/>
      </c>
      <c r="B338" s="1202"/>
      <c r="C338" s="1202"/>
      <c r="E338" s="383">
        <f t="shared" si="10"/>
        <v>15</v>
      </c>
      <c r="F338" s="7">
        <f t="shared" si="11"/>
        <v>10</v>
      </c>
    </row>
    <row r="339" spans="1:6" s="571" customFormat="1" ht="11.65" hidden="1" customHeight="1" outlineLevel="1" x14ac:dyDescent="0.2">
      <c r="A339" s="1202" t="str">
        <f>IF(MOD($F339,$H$2)&lt;$H$2-2,_xll.ciqfunctions.udf.CIQSPLIT(VLOOKUP(E339,'CIQ Key Developments'!$B$8:$I$491,COLUMN('CIQ Key Developments'!$F$7)-COLUMN('CIQ Key Developments'!$B$7)+1,FALSE),$F339,F$6),IF(MOD($F339,$H$2)=$H$2-2,"Source: "&amp;VLOOKUP(E339,'CIQ Key Developments'!$B$8:$I$491,COLUMN('CIQ Key Developments'!$I$7)-COLUMN('CIQ Key Developments'!$B$7)+1,FALSE),""))</f>
        <v/>
      </c>
      <c r="B339" s="1202"/>
      <c r="C339" s="1202"/>
      <c r="E339" s="383">
        <f t="shared" si="10"/>
        <v>15</v>
      </c>
      <c r="F339" s="7">
        <f t="shared" si="11"/>
        <v>11</v>
      </c>
    </row>
    <row r="340" spans="1:6" s="571" customFormat="1" ht="11.65" hidden="1" customHeight="1" outlineLevel="1" x14ac:dyDescent="0.2">
      <c r="A340" s="1202" t="str">
        <f>IF(MOD($F340,$H$2)&lt;$H$2-2,_xll.ciqfunctions.udf.CIQSPLIT(VLOOKUP(E340,'CIQ Key Developments'!$B$8:$I$491,COLUMN('CIQ Key Developments'!$F$7)-COLUMN('CIQ Key Developments'!$B$7)+1,FALSE),$F340,F$6),IF(MOD($F340,$H$2)=$H$2-2,"Source: "&amp;VLOOKUP(E340,'CIQ Key Developments'!$B$8:$I$491,COLUMN('CIQ Key Developments'!$I$7)-COLUMN('CIQ Key Developments'!$B$7)+1,FALSE),""))</f>
        <v/>
      </c>
      <c r="B340" s="1202"/>
      <c r="C340" s="1202"/>
      <c r="E340" s="383">
        <f t="shared" si="10"/>
        <v>15</v>
      </c>
      <c r="F340" s="7">
        <f t="shared" si="11"/>
        <v>12</v>
      </c>
    </row>
    <row r="341" spans="1:6" s="571" customFormat="1" ht="11.65" hidden="1" customHeight="1" outlineLevel="1" x14ac:dyDescent="0.2">
      <c r="A341" s="1202" t="str">
        <f>IF(MOD($F341,$H$2)&lt;$H$2-2,_xll.ciqfunctions.udf.CIQSPLIT(VLOOKUP(E341,'CIQ Key Developments'!$B$8:$I$491,COLUMN('CIQ Key Developments'!$F$7)-COLUMN('CIQ Key Developments'!$B$7)+1,FALSE),$F341,F$6),IF(MOD($F341,$H$2)=$H$2-2,"Source: "&amp;VLOOKUP(E341,'CIQ Key Developments'!$B$8:$I$491,COLUMN('CIQ Key Developments'!$I$7)-COLUMN('CIQ Key Developments'!$B$7)+1,FALSE),""))</f>
        <v/>
      </c>
      <c r="B341" s="1202"/>
      <c r="C341" s="1202"/>
      <c r="E341" s="383">
        <f t="shared" si="10"/>
        <v>15</v>
      </c>
      <c r="F341" s="7">
        <f t="shared" si="11"/>
        <v>13</v>
      </c>
    </row>
    <row r="342" spans="1:6" s="571" customFormat="1" ht="11.65" hidden="1" customHeight="1" outlineLevel="1" x14ac:dyDescent="0.2">
      <c r="A342" s="1202" t="str">
        <f>IF(MOD($F342,$H$2)&lt;$H$2-2,_xll.ciqfunctions.udf.CIQSPLIT(VLOOKUP(E342,'CIQ Key Developments'!$B$8:$I$491,COLUMN('CIQ Key Developments'!$F$7)-COLUMN('CIQ Key Developments'!$B$7)+1,FALSE),$F342,F$6),IF(MOD($F342,$H$2)=$H$2-2,"Source: "&amp;VLOOKUP(E342,'CIQ Key Developments'!$B$8:$I$491,COLUMN('CIQ Key Developments'!$I$7)-COLUMN('CIQ Key Developments'!$B$7)+1,FALSE),""))</f>
        <v/>
      </c>
      <c r="B342" s="1202"/>
      <c r="C342" s="1202"/>
      <c r="E342" s="383">
        <f t="shared" si="10"/>
        <v>15</v>
      </c>
      <c r="F342" s="7">
        <f t="shared" si="11"/>
        <v>14</v>
      </c>
    </row>
    <row r="343" spans="1:6" s="571" customFormat="1" ht="11.65" hidden="1" customHeight="1" outlineLevel="1" x14ac:dyDescent="0.2">
      <c r="A343" s="1202" t="str">
        <f>IF(MOD($F343,$H$2)&lt;$H$2-2,_xll.ciqfunctions.udf.CIQSPLIT(VLOOKUP(E343,'CIQ Key Developments'!$B$8:$I$491,COLUMN('CIQ Key Developments'!$F$7)-COLUMN('CIQ Key Developments'!$B$7)+1,FALSE),$F343,F$6),IF(MOD($F343,$H$2)=$H$2-2,"Source: "&amp;VLOOKUP(E343,'CIQ Key Developments'!$B$8:$I$491,COLUMN('CIQ Key Developments'!$I$7)-COLUMN('CIQ Key Developments'!$B$7)+1,FALSE),""))</f>
        <v/>
      </c>
      <c r="B343" s="1202"/>
      <c r="C343" s="1202"/>
      <c r="E343" s="383">
        <f t="shared" si="10"/>
        <v>15</v>
      </c>
      <c r="F343" s="7">
        <f t="shared" si="11"/>
        <v>15</v>
      </c>
    </row>
    <row r="344" spans="1:6" s="571" customFormat="1" ht="11.65" hidden="1" customHeight="1" outlineLevel="1" x14ac:dyDescent="0.2">
      <c r="A344" s="1202" t="str">
        <f>IF(MOD($F344,$H$2)&lt;$H$2-2,_xll.ciqfunctions.udf.CIQSPLIT(VLOOKUP(E344,'CIQ Key Developments'!$B$8:$I$491,COLUMN('CIQ Key Developments'!$F$7)-COLUMN('CIQ Key Developments'!$B$7)+1,FALSE),$F344,F$6),IF(MOD($F344,$H$2)=$H$2-2,"Source: "&amp;VLOOKUP(E344,'CIQ Key Developments'!$B$8:$I$491,COLUMN('CIQ Key Developments'!$I$7)-COLUMN('CIQ Key Developments'!$B$7)+1,FALSE),""))</f>
        <v/>
      </c>
      <c r="B344" s="1202"/>
      <c r="C344" s="1202"/>
      <c r="E344" s="383">
        <f t="shared" si="10"/>
        <v>15</v>
      </c>
      <c r="F344" s="7">
        <f t="shared" si="11"/>
        <v>16</v>
      </c>
    </row>
    <row r="345" spans="1:6" s="571" customFormat="1" ht="11.65" hidden="1" customHeight="1" outlineLevel="1" x14ac:dyDescent="0.2">
      <c r="A345" s="1202" t="str">
        <f>IF(MOD($F345,$H$2)&lt;$H$2-2,_xll.ciqfunctions.udf.CIQSPLIT(VLOOKUP(E345,'CIQ Key Developments'!$B$8:$I$491,COLUMN('CIQ Key Developments'!$F$7)-COLUMN('CIQ Key Developments'!$B$7)+1,FALSE),$F345,F$6),IF(MOD($F345,$H$2)=$H$2-2,"Source: "&amp;VLOOKUP(E345,'CIQ Key Developments'!$B$8:$I$491,COLUMN('CIQ Key Developments'!$I$7)-COLUMN('CIQ Key Developments'!$B$7)+1,FALSE),""))</f>
        <v/>
      </c>
      <c r="B345" s="1202"/>
      <c r="C345" s="1202"/>
      <c r="E345" s="383">
        <f t="shared" si="10"/>
        <v>15</v>
      </c>
      <c r="F345" s="7">
        <f t="shared" si="11"/>
        <v>17</v>
      </c>
    </row>
    <row r="346" spans="1:6" s="571" customFormat="1" ht="11.65" hidden="1" customHeight="1" outlineLevel="1" x14ac:dyDescent="0.2">
      <c r="A346" s="1202" t="str">
        <f>IF(MOD($F346,$H$2)&lt;$H$2-2,_xll.ciqfunctions.udf.CIQSPLIT(VLOOKUP(E346,'CIQ Key Developments'!$B$8:$I$491,COLUMN('CIQ Key Developments'!$F$7)-COLUMN('CIQ Key Developments'!$B$7)+1,FALSE),$F346,F$6),IF(MOD($F346,$H$2)=$H$2-2,"Source: "&amp;VLOOKUP(E346,'CIQ Key Developments'!$B$8:$I$491,COLUMN('CIQ Key Developments'!$I$7)-COLUMN('CIQ Key Developments'!$B$7)+1,FALSE),""))</f>
        <v/>
      </c>
      <c r="B346" s="1202"/>
      <c r="C346" s="1202"/>
      <c r="E346" s="383">
        <f t="shared" si="10"/>
        <v>15</v>
      </c>
      <c r="F346" s="7">
        <f t="shared" si="11"/>
        <v>18</v>
      </c>
    </row>
    <row r="347" spans="1:6" s="571" customFormat="1" ht="11.65" hidden="1" customHeight="1" outlineLevel="1" x14ac:dyDescent="0.2">
      <c r="A347" s="1202" t="str">
        <f>IF(MOD($F347,$H$2)&lt;$H$2-2,_xll.ciqfunctions.udf.CIQSPLIT(VLOOKUP(E347,'CIQ Key Developments'!$B$8:$I$491,COLUMN('CIQ Key Developments'!$F$7)-COLUMN('CIQ Key Developments'!$B$7)+1,FALSE),$F347,F$6),IF(MOD($F347,$H$2)=$H$2-2,"Source: "&amp;VLOOKUP(E347,'CIQ Key Developments'!$B$8:$I$491,COLUMN('CIQ Key Developments'!$I$7)-COLUMN('CIQ Key Developments'!$B$7)+1,FALSE),""))</f>
        <v/>
      </c>
      <c r="B347" s="1202"/>
      <c r="C347" s="1202"/>
      <c r="E347" s="383">
        <f t="shared" si="10"/>
        <v>15</v>
      </c>
      <c r="F347" s="7">
        <f t="shared" si="11"/>
        <v>19</v>
      </c>
    </row>
    <row r="348" spans="1:6" s="571" customFormat="1" ht="11.65" customHeight="1" collapsed="1" x14ac:dyDescent="0.2">
      <c r="A348" s="1202" t="str">
        <f>IF(MOD($F348,$H$2)&lt;$H$2-2,_xll.ciqfunctions.udf.CIQSPLIT(VLOOKUP(E348,'CIQ Key Developments'!$B$8:$I$491,COLUMN('CIQ Key Developments'!$F$7)-COLUMN('CIQ Key Developments'!$B$7)+1,FALSE),$F348,F$6),IF(MOD($F348,$H$2)=$H$2-2,"Source: "&amp;VLOOKUP(E348,'CIQ Key Developments'!$B$8:$I$491,COLUMN('CIQ Key Developments'!$I$7)-COLUMN('CIQ Key Developments'!$B$7)+1,FALSE),""))</f>
        <v>Source: GlobeNewswire</v>
      </c>
      <c r="B348" s="1202"/>
      <c r="C348" s="1202"/>
      <c r="E348" s="383">
        <f t="shared" si="10"/>
        <v>15</v>
      </c>
      <c r="F348" s="7">
        <f t="shared" si="11"/>
        <v>20</v>
      </c>
    </row>
    <row r="349" spans="1:6" ht="7.15" customHeight="1" collapsed="1" x14ac:dyDescent="0.2">
      <c r="A349" s="1202" t="str">
        <f>IF(MOD($F349,$H$2)&lt;$H$2-2,_xll.ciqfunctions.udf.CIQSPLIT(VLOOKUP(E349,'CIQ Key Developments'!$B$8:$I$491,COLUMN('CIQ Key Developments'!$F$7)-COLUMN('CIQ Key Developments'!$B$7)+1,FALSE),$F349,F$6),IF(MOD($F349,$H$2)=$H$2-2,"Source: "&amp;VLOOKUP(E349,'CIQ Key Developments'!$B$8:$I$491,COLUMN('CIQ Key Developments'!$I$7)-COLUMN('CIQ Key Developments'!$B$7)+1,FALSE),""))</f>
        <v/>
      </c>
      <c r="B349" s="1202"/>
      <c r="C349" s="1202"/>
      <c r="E349" s="383">
        <f t="shared" si="10"/>
        <v>15</v>
      </c>
      <c r="F349" s="7">
        <f t="shared" si="11"/>
        <v>21</v>
      </c>
    </row>
    <row r="350" spans="1:6" s="571" customFormat="1" ht="12" customHeight="1" x14ac:dyDescent="0.2">
      <c r="A350" s="1513" t="str">
        <f>+VLOOKUP(E350,'CIQ Key Developments'!$B$8:$I$491,COLUMN('CIQ Key Developments'!$D$7)-COLUMN('CIQ Key Developments'!$B$7)+1,FALSE)</f>
        <v>Walmart Inc., Q4 2022 Earnings Call, Feb 17, 2022</v>
      </c>
      <c r="B350" s="1514"/>
      <c r="C350" s="1515"/>
      <c r="E350" s="383">
        <f t="shared" si="10"/>
        <v>16</v>
      </c>
      <c r="F350" s="7">
        <f t="shared" si="11"/>
        <v>22</v>
      </c>
    </row>
    <row r="351" spans="1:6" s="571" customFormat="1" ht="11.65" customHeight="1" x14ac:dyDescent="0.2">
      <c r="A351" s="1199" t="str">
        <f>+$C$3</f>
        <v>Walmart Inc.</v>
      </c>
      <c r="B351" s="1200" t="str">
        <f>VLOOKUP(E350,'CIQ Key Developments'!$B$8:$I$491,COLUMN('CIQ Key Developments'!$G$7)-COLUMN('CIQ Key Developments'!$B$7)+1,FALSE)&amp;" "&amp;VLOOKUP(E350,'CIQ Key Developments'!$B$8:$I$491,COLUMN('CIQ Key Developments'!$H$7)-COLUMN('CIQ Key Developments'!$B$7)+1,FALSE)</f>
        <v>17 Feb 2022 9:00 PM</v>
      </c>
      <c r="C351" s="1201" t="str">
        <f>+VLOOKUP(E350,'CIQ Key Developments'!$B$8:$I$491,COLUMN('CIQ Key Developments'!$E$7)-COLUMN('CIQ Key Developments'!$B$7)+1,FALSE)</f>
        <v>Earnings Calls</v>
      </c>
      <c r="E351" s="383">
        <f t="shared" si="10"/>
        <v>16</v>
      </c>
      <c r="F351" s="7">
        <f t="shared" si="11"/>
        <v>175</v>
      </c>
    </row>
    <row r="352" spans="1:6" s="571" customFormat="1" ht="11.65" customHeight="1" x14ac:dyDescent="0.2">
      <c r="A352" s="1202" t="str">
        <f>IF(MOD($F352,$H$2)&lt;$H$2-2,_xll.ciqfunctions.udf.CIQSPLIT(VLOOKUP(E352,'CIQ Key Developments'!$B$8:$I$491,COLUMN('CIQ Key Developments'!$F$7)-COLUMN('CIQ Key Developments'!$B$7)+1,FALSE),$F352,F$6),IF(MOD($F352,$H$2)=$H$2-2,"Source: "&amp;VLOOKUP(E352,'CIQ Key Developments'!$B$8:$I$491,COLUMN('CIQ Key Developments'!$I$7)-COLUMN('CIQ Key Developments'!$B$7)+1,FALSE),""))</f>
        <v>Walmart Inc., Q4 2022 Earnings Call, Feb 17, 2022</v>
      </c>
      <c r="B352" s="1202"/>
      <c r="C352" s="1202"/>
      <c r="E352" s="383">
        <f t="shared" si="10"/>
        <v>16</v>
      </c>
      <c r="F352" s="7">
        <f t="shared" si="11"/>
        <v>1</v>
      </c>
    </row>
    <row r="353" spans="1:6" s="571" customFormat="1" ht="11.65" customHeight="1" x14ac:dyDescent="0.2">
      <c r="A353" s="1202" t="str">
        <f>IF(MOD($F353,$H$2)&lt;$H$2-2,_xll.ciqfunctions.udf.CIQSPLIT(VLOOKUP(E353,'CIQ Key Developments'!$B$8:$I$491,COLUMN('CIQ Key Developments'!$F$7)-COLUMN('CIQ Key Developments'!$B$7)+1,FALSE),$F353,F$6),IF(MOD($F353,$H$2)=$H$2-2,"Source: "&amp;VLOOKUP(E353,'CIQ Key Developments'!$B$8:$I$491,COLUMN('CIQ Key Developments'!$I$7)-COLUMN('CIQ Key Developments'!$B$7)+1,FALSE),""))</f>
        <v/>
      </c>
      <c r="B353" s="1202"/>
      <c r="C353" s="1202"/>
      <c r="E353" s="383">
        <f t="shared" si="10"/>
        <v>16</v>
      </c>
      <c r="F353" s="7">
        <f t="shared" si="11"/>
        <v>2</v>
      </c>
    </row>
    <row r="354" spans="1:6" s="571" customFormat="1" ht="11.65" customHeight="1" x14ac:dyDescent="0.2">
      <c r="A354" s="1202" t="str">
        <f>IF(MOD($F354,$H$2)&lt;$H$2-2,_xll.ciqfunctions.udf.CIQSPLIT(VLOOKUP(E354,'CIQ Key Developments'!$B$8:$I$491,COLUMN('CIQ Key Developments'!$F$7)-COLUMN('CIQ Key Developments'!$B$7)+1,FALSE),$F354,F$6),IF(MOD($F354,$H$2)=$H$2-2,"Source: "&amp;VLOOKUP(E354,'CIQ Key Developments'!$B$8:$I$491,COLUMN('CIQ Key Developments'!$I$7)-COLUMN('CIQ Key Developments'!$B$7)+1,FALSE),""))</f>
        <v/>
      </c>
      <c r="B354" s="1202"/>
      <c r="C354" s="1202"/>
      <c r="E354" s="383">
        <f t="shared" si="10"/>
        <v>16</v>
      </c>
      <c r="F354" s="7">
        <f t="shared" si="11"/>
        <v>3</v>
      </c>
    </row>
    <row r="355" spans="1:6" s="571" customFormat="1" ht="11.65" customHeight="1" x14ac:dyDescent="0.2">
      <c r="A355" s="1202" t="str">
        <f>IF(MOD($F355,$H$2)&lt;$H$2-2,_xll.ciqfunctions.udf.CIQSPLIT(VLOOKUP(E355,'CIQ Key Developments'!$B$8:$I$491,COLUMN('CIQ Key Developments'!$F$7)-COLUMN('CIQ Key Developments'!$B$7)+1,FALSE),$F355,F$6),IF(MOD($F355,$H$2)=$H$2-2,"Source: "&amp;VLOOKUP(E355,'CIQ Key Developments'!$B$8:$I$491,COLUMN('CIQ Key Developments'!$I$7)-COLUMN('CIQ Key Developments'!$B$7)+1,FALSE),""))</f>
        <v/>
      </c>
      <c r="B355" s="1202"/>
      <c r="C355" s="1202"/>
      <c r="E355" s="383">
        <f t="shared" si="10"/>
        <v>16</v>
      </c>
      <c r="F355" s="7">
        <f t="shared" si="11"/>
        <v>4</v>
      </c>
    </row>
    <row r="356" spans="1:6" s="571" customFormat="1" ht="11.65" hidden="1" customHeight="1" outlineLevel="1" x14ac:dyDescent="0.2">
      <c r="A356" s="1202" t="str">
        <f>IF(MOD($F356,$H$2)&lt;$H$2-2,_xll.ciqfunctions.udf.CIQSPLIT(VLOOKUP(E356,'CIQ Key Developments'!$B$8:$I$491,COLUMN('CIQ Key Developments'!$F$7)-COLUMN('CIQ Key Developments'!$B$7)+1,FALSE),$F356,F$6),IF(MOD($F356,$H$2)=$H$2-2,"Source: "&amp;VLOOKUP(E356,'CIQ Key Developments'!$B$8:$I$491,COLUMN('CIQ Key Developments'!$I$7)-COLUMN('CIQ Key Developments'!$B$7)+1,FALSE),""))</f>
        <v/>
      </c>
      <c r="B356" s="1202"/>
      <c r="C356" s="1202"/>
      <c r="E356" s="383">
        <f t="shared" si="10"/>
        <v>16</v>
      </c>
      <c r="F356" s="7">
        <f t="shared" si="11"/>
        <v>5</v>
      </c>
    </row>
    <row r="357" spans="1:6" s="571" customFormat="1" ht="11.65" hidden="1" customHeight="1" outlineLevel="1" x14ac:dyDescent="0.2">
      <c r="A357" s="1202" t="str">
        <f>IF(MOD($F357,$H$2)&lt;$H$2-2,_xll.ciqfunctions.udf.CIQSPLIT(VLOOKUP(E357,'CIQ Key Developments'!$B$8:$I$491,COLUMN('CIQ Key Developments'!$F$7)-COLUMN('CIQ Key Developments'!$B$7)+1,FALSE),$F357,F$6),IF(MOD($F357,$H$2)=$H$2-2,"Source: "&amp;VLOOKUP(E357,'CIQ Key Developments'!$B$8:$I$491,COLUMN('CIQ Key Developments'!$I$7)-COLUMN('CIQ Key Developments'!$B$7)+1,FALSE),""))</f>
        <v/>
      </c>
      <c r="B357" s="1202"/>
      <c r="C357" s="1202"/>
      <c r="E357" s="383">
        <f t="shared" si="10"/>
        <v>16</v>
      </c>
      <c r="F357" s="7">
        <f t="shared" si="11"/>
        <v>6</v>
      </c>
    </row>
    <row r="358" spans="1:6" s="571" customFormat="1" ht="11.65" hidden="1" customHeight="1" outlineLevel="1" x14ac:dyDescent="0.2">
      <c r="A358" s="1202" t="str">
        <f>IF(MOD($F358,$H$2)&lt;$H$2-2,_xll.ciqfunctions.udf.CIQSPLIT(VLOOKUP(E358,'CIQ Key Developments'!$B$8:$I$491,COLUMN('CIQ Key Developments'!$F$7)-COLUMN('CIQ Key Developments'!$B$7)+1,FALSE),$F358,F$6),IF(MOD($F358,$H$2)=$H$2-2,"Source: "&amp;VLOOKUP(E358,'CIQ Key Developments'!$B$8:$I$491,COLUMN('CIQ Key Developments'!$I$7)-COLUMN('CIQ Key Developments'!$B$7)+1,FALSE),""))</f>
        <v/>
      </c>
      <c r="B358" s="1202"/>
      <c r="C358" s="1202"/>
      <c r="E358" s="383">
        <f t="shared" si="10"/>
        <v>16</v>
      </c>
      <c r="F358" s="7">
        <f t="shared" si="11"/>
        <v>7</v>
      </c>
    </row>
    <row r="359" spans="1:6" s="571" customFormat="1" ht="11.65" hidden="1" customHeight="1" outlineLevel="1" x14ac:dyDescent="0.2">
      <c r="A359" s="1202" t="str">
        <f>IF(MOD($F359,$H$2)&lt;$H$2-2,_xll.ciqfunctions.udf.CIQSPLIT(VLOOKUP(E359,'CIQ Key Developments'!$B$8:$I$491,COLUMN('CIQ Key Developments'!$F$7)-COLUMN('CIQ Key Developments'!$B$7)+1,FALSE),$F359,F$6),IF(MOD($F359,$H$2)=$H$2-2,"Source: "&amp;VLOOKUP(E359,'CIQ Key Developments'!$B$8:$I$491,COLUMN('CIQ Key Developments'!$I$7)-COLUMN('CIQ Key Developments'!$B$7)+1,FALSE),""))</f>
        <v/>
      </c>
      <c r="B359" s="1202"/>
      <c r="C359" s="1202"/>
      <c r="E359" s="383">
        <f t="shared" si="10"/>
        <v>16</v>
      </c>
      <c r="F359" s="7">
        <f t="shared" si="11"/>
        <v>8</v>
      </c>
    </row>
    <row r="360" spans="1:6" s="571" customFormat="1" ht="11.65" hidden="1" customHeight="1" outlineLevel="1" x14ac:dyDescent="0.2">
      <c r="A360" s="1202" t="str">
        <f>IF(MOD($F360,$H$2)&lt;$H$2-2,_xll.ciqfunctions.udf.CIQSPLIT(VLOOKUP(E360,'CIQ Key Developments'!$B$8:$I$491,COLUMN('CIQ Key Developments'!$F$7)-COLUMN('CIQ Key Developments'!$B$7)+1,FALSE),$F360,F$6),IF(MOD($F360,$H$2)=$H$2-2,"Source: "&amp;VLOOKUP(E360,'CIQ Key Developments'!$B$8:$I$491,COLUMN('CIQ Key Developments'!$I$7)-COLUMN('CIQ Key Developments'!$B$7)+1,FALSE),""))</f>
        <v/>
      </c>
      <c r="B360" s="1202"/>
      <c r="C360" s="1202"/>
      <c r="E360" s="383">
        <f t="shared" si="10"/>
        <v>16</v>
      </c>
      <c r="F360" s="7">
        <f t="shared" si="11"/>
        <v>9</v>
      </c>
    </row>
    <row r="361" spans="1:6" s="571" customFormat="1" ht="11.65" hidden="1" customHeight="1" outlineLevel="1" x14ac:dyDescent="0.2">
      <c r="A361" s="1202" t="str">
        <f>IF(MOD($F361,$H$2)&lt;$H$2-2,_xll.ciqfunctions.udf.CIQSPLIT(VLOOKUP(E361,'CIQ Key Developments'!$B$8:$I$491,COLUMN('CIQ Key Developments'!$F$7)-COLUMN('CIQ Key Developments'!$B$7)+1,FALSE),$F361,F$6),IF(MOD($F361,$H$2)=$H$2-2,"Source: "&amp;VLOOKUP(E361,'CIQ Key Developments'!$B$8:$I$491,COLUMN('CIQ Key Developments'!$I$7)-COLUMN('CIQ Key Developments'!$B$7)+1,FALSE),""))</f>
        <v/>
      </c>
      <c r="B361" s="1202"/>
      <c r="C361" s="1202"/>
      <c r="E361" s="383">
        <f t="shared" si="10"/>
        <v>16</v>
      </c>
      <c r="F361" s="7">
        <f t="shared" si="11"/>
        <v>10</v>
      </c>
    </row>
    <row r="362" spans="1:6" s="571" customFormat="1" ht="11.65" hidden="1" customHeight="1" outlineLevel="1" x14ac:dyDescent="0.2">
      <c r="A362" s="1202" t="str">
        <f>IF(MOD($F362,$H$2)&lt;$H$2-2,_xll.ciqfunctions.udf.CIQSPLIT(VLOOKUP(E362,'CIQ Key Developments'!$B$8:$I$491,COLUMN('CIQ Key Developments'!$F$7)-COLUMN('CIQ Key Developments'!$B$7)+1,FALSE),$F362,F$6),IF(MOD($F362,$H$2)=$H$2-2,"Source: "&amp;VLOOKUP(E362,'CIQ Key Developments'!$B$8:$I$491,COLUMN('CIQ Key Developments'!$I$7)-COLUMN('CIQ Key Developments'!$B$7)+1,FALSE),""))</f>
        <v/>
      </c>
      <c r="B362" s="1202"/>
      <c r="C362" s="1202"/>
      <c r="E362" s="383">
        <f t="shared" si="10"/>
        <v>16</v>
      </c>
      <c r="F362" s="7">
        <f t="shared" si="11"/>
        <v>11</v>
      </c>
    </row>
    <row r="363" spans="1:6" s="571" customFormat="1" ht="11.65" hidden="1" customHeight="1" outlineLevel="1" x14ac:dyDescent="0.2">
      <c r="A363" s="1202" t="str">
        <f>IF(MOD($F363,$H$2)&lt;$H$2-2,_xll.ciqfunctions.udf.CIQSPLIT(VLOOKUP(E363,'CIQ Key Developments'!$B$8:$I$491,COLUMN('CIQ Key Developments'!$F$7)-COLUMN('CIQ Key Developments'!$B$7)+1,FALSE),$F363,F$6),IF(MOD($F363,$H$2)=$H$2-2,"Source: "&amp;VLOOKUP(E363,'CIQ Key Developments'!$B$8:$I$491,COLUMN('CIQ Key Developments'!$I$7)-COLUMN('CIQ Key Developments'!$B$7)+1,FALSE),""))</f>
        <v/>
      </c>
      <c r="B363" s="1202"/>
      <c r="C363" s="1202"/>
      <c r="E363" s="383">
        <f t="shared" si="10"/>
        <v>16</v>
      </c>
      <c r="F363" s="7">
        <f t="shared" si="11"/>
        <v>12</v>
      </c>
    </row>
    <row r="364" spans="1:6" s="571" customFormat="1" ht="11.65" hidden="1" customHeight="1" outlineLevel="1" x14ac:dyDescent="0.2">
      <c r="A364" s="1202" t="str">
        <f>IF(MOD($F364,$H$2)&lt;$H$2-2,_xll.ciqfunctions.udf.CIQSPLIT(VLOOKUP(E364,'CIQ Key Developments'!$B$8:$I$491,COLUMN('CIQ Key Developments'!$F$7)-COLUMN('CIQ Key Developments'!$B$7)+1,FALSE),$F364,F$6),IF(MOD($F364,$H$2)=$H$2-2,"Source: "&amp;VLOOKUP(E364,'CIQ Key Developments'!$B$8:$I$491,COLUMN('CIQ Key Developments'!$I$7)-COLUMN('CIQ Key Developments'!$B$7)+1,FALSE),""))</f>
        <v/>
      </c>
      <c r="B364" s="1202"/>
      <c r="C364" s="1202"/>
      <c r="E364" s="383">
        <f t="shared" si="10"/>
        <v>16</v>
      </c>
      <c r="F364" s="7">
        <f t="shared" si="11"/>
        <v>13</v>
      </c>
    </row>
    <row r="365" spans="1:6" s="571" customFormat="1" ht="11.65" hidden="1" customHeight="1" outlineLevel="1" x14ac:dyDescent="0.2">
      <c r="A365" s="1202" t="str">
        <f>IF(MOD($F365,$H$2)&lt;$H$2-2,_xll.ciqfunctions.udf.CIQSPLIT(VLOOKUP(E365,'CIQ Key Developments'!$B$8:$I$491,COLUMN('CIQ Key Developments'!$F$7)-COLUMN('CIQ Key Developments'!$B$7)+1,FALSE),$F365,F$6),IF(MOD($F365,$H$2)=$H$2-2,"Source: "&amp;VLOOKUP(E365,'CIQ Key Developments'!$B$8:$I$491,COLUMN('CIQ Key Developments'!$I$7)-COLUMN('CIQ Key Developments'!$B$7)+1,FALSE),""))</f>
        <v/>
      </c>
      <c r="B365" s="1202"/>
      <c r="C365" s="1202"/>
      <c r="E365" s="383">
        <f t="shared" si="10"/>
        <v>16</v>
      </c>
      <c r="F365" s="7">
        <f t="shared" si="11"/>
        <v>14</v>
      </c>
    </row>
    <row r="366" spans="1:6" s="571" customFormat="1" ht="11.65" hidden="1" customHeight="1" outlineLevel="1" x14ac:dyDescent="0.2">
      <c r="A366" s="1202" t="str">
        <f>IF(MOD($F366,$H$2)&lt;$H$2-2,_xll.ciqfunctions.udf.CIQSPLIT(VLOOKUP(E366,'CIQ Key Developments'!$B$8:$I$491,COLUMN('CIQ Key Developments'!$F$7)-COLUMN('CIQ Key Developments'!$B$7)+1,FALSE),$F366,F$6),IF(MOD($F366,$H$2)=$H$2-2,"Source: "&amp;VLOOKUP(E366,'CIQ Key Developments'!$B$8:$I$491,COLUMN('CIQ Key Developments'!$I$7)-COLUMN('CIQ Key Developments'!$B$7)+1,FALSE),""))</f>
        <v/>
      </c>
      <c r="B366" s="1202"/>
      <c r="C366" s="1202"/>
      <c r="E366" s="383">
        <f t="shared" si="10"/>
        <v>16</v>
      </c>
      <c r="F366" s="7">
        <f t="shared" si="11"/>
        <v>15</v>
      </c>
    </row>
    <row r="367" spans="1:6" s="571" customFormat="1" ht="11.65" hidden="1" customHeight="1" outlineLevel="1" x14ac:dyDescent="0.2">
      <c r="A367" s="1202" t="str">
        <f>IF(MOD($F367,$H$2)&lt;$H$2-2,_xll.ciqfunctions.udf.CIQSPLIT(VLOOKUP(E367,'CIQ Key Developments'!$B$8:$I$491,COLUMN('CIQ Key Developments'!$F$7)-COLUMN('CIQ Key Developments'!$B$7)+1,FALSE),$F367,F$6),IF(MOD($F367,$H$2)=$H$2-2,"Source: "&amp;VLOOKUP(E367,'CIQ Key Developments'!$B$8:$I$491,COLUMN('CIQ Key Developments'!$I$7)-COLUMN('CIQ Key Developments'!$B$7)+1,FALSE),""))</f>
        <v/>
      </c>
      <c r="B367" s="1202"/>
      <c r="C367" s="1202"/>
      <c r="E367" s="383">
        <f t="shared" si="10"/>
        <v>16</v>
      </c>
      <c r="F367" s="7">
        <f t="shared" si="11"/>
        <v>16</v>
      </c>
    </row>
    <row r="368" spans="1:6" s="571" customFormat="1" ht="11.65" hidden="1" customHeight="1" outlineLevel="1" x14ac:dyDescent="0.2">
      <c r="A368" s="1202" t="str">
        <f>IF(MOD($F368,$H$2)&lt;$H$2-2,_xll.ciqfunctions.udf.CIQSPLIT(VLOOKUP(E368,'CIQ Key Developments'!$B$8:$I$491,COLUMN('CIQ Key Developments'!$F$7)-COLUMN('CIQ Key Developments'!$B$7)+1,FALSE),$F368,F$6),IF(MOD($F368,$H$2)=$H$2-2,"Source: "&amp;VLOOKUP(E368,'CIQ Key Developments'!$B$8:$I$491,COLUMN('CIQ Key Developments'!$I$7)-COLUMN('CIQ Key Developments'!$B$7)+1,FALSE),""))</f>
        <v/>
      </c>
      <c r="B368" s="1202"/>
      <c r="C368" s="1202"/>
      <c r="E368" s="383">
        <f t="shared" si="10"/>
        <v>16</v>
      </c>
      <c r="F368" s="7">
        <f t="shared" si="11"/>
        <v>17</v>
      </c>
    </row>
    <row r="369" spans="1:6" s="571" customFormat="1" ht="11.65" hidden="1" customHeight="1" outlineLevel="1" x14ac:dyDescent="0.2">
      <c r="A369" s="1202" t="str">
        <f>IF(MOD($F369,$H$2)&lt;$H$2-2,_xll.ciqfunctions.udf.CIQSPLIT(VLOOKUP(E369,'CIQ Key Developments'!$B$8:$I$491,COLUMN('CIQ Key Developments'!$F$7)-COLUMN('CIQ Key Developments'!$B$7)+1,FALSE),$F369,F$6),IF(MOD($F369,$H$2)=$H$2-2,"Source: "&amp;VLOOKUP(E369,'CIQ Key Developments'!$B$8:$I$491,COLUMN('CIQ Key Developments'!$I$7)-COLUMN('CIQ Key Developments'!$B$7)+1,FALSE),""))</f>
        <v/>
      </c>
      <c r="B369" s="1202"/>
      <c r="C369" s="1202"/>
      <c r="E369" s="383">
        <f t="shared" si="10"/>
        <v>16</v>
      </c>
      <c r="F369" s="7">
        <f t="shared" si="11"/>
        <v>18</v>
      </c>
    </row>
    <row r="370" spans="1:6" s="571" customFormat="1" ht="11.65" hidden="1" customHeight="1" outlineLevel="1" x14ac:dyDescent="0.2">
      <c r="A370" s="1202" t="str">
        <f>IF(MOD($F370,$H$2)&lt;$H$2-2,_xll.ciqfunctions.udf.CIQSPLIT(VLOOKUP(E370,'CIQ Key Developments'!$B$8:$I$491,COLUMN('CIQ Key Developments'!$F$7)-COLUMN('CIQ Key Developments'!$B$7)+1,FALSE),$F370,F$6),IF(MOD($F370,$H$2)=$H$2-2,"Source: "&amp;VLOOKUP(E370,'CIQ Key Developments'!$B$8:$I$491,COLUMN('CIQ Key Developments'!$I$7)-COLUMN('CIQ Key Developments'!$B$7)+1,FALSE),""))</f>
        <v/>
      </c>
      <c r="B370" s="1202"/>
      <c r="C370" s="1202"/>
      <c r="E370" s="383">
        <f t="shared" si="10"/>
        <v>16</v>
      </c>
      <c r="F370" s="7">
        <f t="shared" si="11"/>
        <v>19</v>
      </c>
    </row>
    <row r="371" spans="1:6" s="571" customFormat="1" ht="11.65" customHeight="1" collapsed="1" x14ac:dyDescent="0.2">
      <c r="A371" s="1202" t="str">
        <f>IF(MOD($F371,$H$2)&lt;$H$2-2,_xll.ciqfunctions.udf.CIQSPLIT(VLOOKUP(E371,'CIQ Key Developments'!$B$8:$I$491,COLUMN('CIQ Key Developments'!$F$7)-COLUMN('CIQ Key Developments'!$B$7)+1,FALSE),$F371,F$6),IF(MOD($F371,$H$2)=$H$2-2,"Source: "&amp;VLOOKUP(E371,'CIQ Key Developments'!$B$8:$I$491,COLUMN('CIQ Key Developments'!$I$7)-COLUMN('CIQ Key Developments'!$B$7)+1,FALSE),""))</f>
        <v>Source: Business Wire, Company Website</v>
      </c>
      <c r="B371" s="1202"/>
      <c r="C371" s="1202"/>
      <c r="E371" s="383">
        <f t="shared" si="10"/>
        <v>16</v>
      </c>
      <c r="F371" s="7">
        <f t="shared" si="11"/>
        <v>20</v>
      </c>
    </row>
    <row r="372" spans="1:6" ht="7.15" customHeight="1" collapsed="1" x14ac:dyDescent="0.2">
      <c r="A372" s="1202" t="str">
        <f>IF(MOD($F372,$H$2)&lt;$H$2-2,_xll.ciqfunctions.udf.CIQSPLIT(VLOOKUP(E372,'CIQ Key Developments'!$B$8:$I$491,COLUMN('CIQ Key Developments'!$F$7)-COLUMN('CIQ Key Developments'!$B$7)+1,FALSE),$F372,F$6),IF(MOD($F372,$H$2)=$H$2-2,"Source: "&amp;VLOOKUP(E372,'CIQ Key Developments'!$B$8:$I$491,COLUMN('CIQ Key Developments'!$I$7)-COLUMN('CIQ Key Developments'!$B$7)+1,FALSE),""))</f>
        <v/>
      </c>
      <c r="B372" s="1202"/>
      <c r="C372" s="1202"/>
      <c r="E372" s="383">
        <f t="shared" si="10"/>
        <v>16</v>
      </c>
      <c r="F372" s="7">
        <f t="shared" si="11"/>
        <v>21</v>
      </c>
    </row>
    <row r="373" spans="1:6" s="571" customFormat="1" ht="12" customHeight="1" x14ac:dyDescent="0.2">
      <c r="A373" s="1513" t="str">
        <f>+VLOOKUP(E373,'CIQ Key Developments'!$B$8:$I$491,COLUMN('CIQ Key Developments'!$D$7)-COLUMN('CIQ Key Developments'!$B$7)+1,FALSE)</f>
        <v>Walmart Inc. Provides Earnings Guidance for the Fiscal 2022</v>
      </c>
      <c r="B373" s="1514"/>
      <c r="C373" s="1515"/>
      <c r="E373" s="383">
        <f t="shared" si="10"/>
        <v>17</v>
      </c>
      <c r="F373" s="7">
        <f t="shared" si="11"/>
        <v>22</v>
      </c>
    </row>
    <row r="374" spans="1:6" s="571" customFormat="1" ht="11.65" customHeight="1" x14ac:dyDescent="0.2">
      <c r="A374" s="1199" t="str">
        <f>+$C$3</f>
        <v>Walmart Inc.</v>
      </c>
      <c r="B374" s="1200" t="str">
        <f>VLOOKUP(E373,'CIQ Key Developments'!$B$8:$I$491,COLUMN('CIQ Key Developments'!$G$7)-COLUMN('CIQ Key Developments'!$B$7)+1,FALSE)&amp;" "&amp;VLOOKUP(E373,'CIQ Key Developments'!$B$8:$I$491,COLUMN('CIQ Key Developments'!$H$7)-COLUMN('CIQ Key Developments'!$B$7)+1,FALSE)</f>
        <v>17 Feb 2022 12:00 AM</v>
      </c>
      <c r="C374" s="1201" t="str">
        <f>+VLOOKUP(E373,'CIQ Key Developments'!$B$8:$I$491,COLUMN('CIQ Key Developments'!$E$7)-COLUMN('CIQ Key Developments'!$B$7)+1,FALSE)</f>
        <v>Corporate Guidance - New/Confirmed</v>
      </c>
      <c r="E374" s="383">
        <f t="shared" si="10"/>
        <v>17</v>
      </c>
      <c r="F374" s="7">
        <f t="shared" si="11"/>
        <v>175</v>
      </c>
    </row>
    <row r="375" spans="1:6" s="571" customFormat="1" ht="11.65" customHeight="1" x14ac:dyDescent="0.2">
      <c r="A375" s="1202" t="str">
        <f>IF(MOD($F375,$H$2)&lt;$H$2-2,_xll.ciqfunctions.udf.CIQSPLIT(VLOOKUP(E375,'CIQ Key Developments'!$B$8:$I$491,COLUMN('CIQ Key Developments'!$F$7)-COLUMN('CIQ Key Developments'!$B$7)+1,FALSE),$F375,F$6),IF(MOD($F375,$H$2)=$H$2-2,"Source: "&amp;VLOOKUP(E375,'CIQ Key Developments'!$B$8:$I$491,COLUMN('CIQ Key Developments'!$I$7)-COLUMN('CIQ Key Developments'!$B$7)+1,FALSE),""))</f>
        <v>Walmart Inc. provided earnings guidance for the fiscal 2022. For the period, the company expects total company sales to increase about 4% with Walmart U.S. comp sales slightly</v>
      </c>
      <c r="B375" s="1202"/>
      <c r="C375" s="1202"/>
      <c r="E375" s="383">
        <f t="shared" si="10"/>
        <v>17</v>
      </c>
      <c r="F375" s="7">
        <f t="shared" si="11"/>
        <v>1</v>
      </c>
    </row>
    <row r="376" spans="1:6" s="571" customFormat="1" ht="11.65" customHeight="1" x14ac:dyDescent="0.2">
      <c r="A376" s="1202" t="str">
        <f>IF(MOD($F376,$H$2)&lt;$H$2-2,_xll.ciqfunctions.udf.CIQSPLIT(VLOOKUP(E376,'CIQ Key Developments'!$B$8:$I$491,COLUMN('CIQ Key Developments'!$F$7)-COLUMN('CIQ Key Developments'!$B$7)+1,FALSE),$F376,F$6),IF(MOD($F376,$H$2)=$H$2-2,"Source: "&amp;VLOOKUP(E376,'CIQ Key Developments'!$B$8:$I$491,COLUMN('CIQ Key Developments'!$I$7)-COLUMN('CIQ Key Developments'!$B$7)+1,FALSE),""))</f>
        <v>above 3% for the year. Total company operating income to increase at a rate slightly higher than sales growth and EPS to grow 5% to 6%.</v>
      </c>
      <c r="B376" s="1202"/>
      <c r="C376" s="1202"/>
      <c r="E376" s="383">
        <f t="shared" si="10"/>
        <v>17</v>
      </c>
      <c r="F376" s="7">
        <f t="shared" si="11"/>
        <v>2</v>
      </c>
    </row>
    <row r="377" spans="1:6" s="571" customFormat="1" ht="11.65" customHeight="1" x14ac:dyDescent="0.2">
      <c r="A377" s="1202" t="str">
        <f>IF(MOD($F377,$H$2)&lt;$H$2-2,_xll.ciqfunctions.udf.CIQSPLIT(VLOOKUP(E377,'CIQ Key Developments'!$B$8:$I$491,COLUMN('CIQ Key Developments'!$F$7)-COLUMN('CIQ Key Developments'!$B$7)+1,FALSE),$F377,F$6),IF(MOD($F377,$H$2)=$H$2-2,"Source: "&amp;VLOOKUP(E377,'CIQ Key Developments'!$B$8:$I$491,COLUMN('CIQ Key Developments'!$I$7)-COLUMN('CIQ Key Developments'!$B$7)+1,FALSE),""))</f>
        <v/>
      </c>
      <c r="B377" s="1202"/>
      <c r="C377" s="1202"/>
      <c r="E377" s="383">
        <f t="shared" si="10"/>
        <v>17</v>
      </c>
      <c r="F377" s="7">
        <f t="shared" si="11"/>
        <v>3</v>
      </c>
    </row>
    <row r="378" spans="1:6" s="571" customFormat="1" ht="11.65" customHeight="1" x14ac:dyDescent="0.2">
      <c r="A378" s="1202" t="str">
        <f>IF(MOD($F378,$H$2)&lt;$H$2-2,_xll.ciqfunctions.udf.CIQSPLIT(VLOOKUP(E378,'CIQ Key Developments'!$B$8:$I$491,COLUMN('CIQ Key Developments'!$F$7)-COLUMN('CIQ Key Developments'!$B$7)+1,FALSE),$F378,F$6),IF(MOD($F378,$H$2)=$H$2-2,"Source: "&amp;VLOOKUP(E378,'CIQ Key Developments'!$B$8:$I$491,COLUMN('CIQ Key Developments'!$I$7)-COLUMN('CIQ Key Developments'!$B$7)+1,FALSE),""))</f>
        <v/>
      </c>
      <c r="B378" s="1202"/>
      <c r="C378" s="1202"/>
      <c r="E378" s="383">
        <f t="shared" si="10"/>
        <v>17</v>
      </c>
      <c r="F378" s="7">
        <f t="shared" si="11"/>
        <v>4</v>
      </c>
    </row>
    <row r="379" spans="1:6" s="571" customFormat="1" ht="11.65" customHeight="1" x14ac:dyDescent="0.2">
      <c r="A379" s="1202" t="str">
        <f>IF(MOD($F379,$H$2)&lt;$H$2-2,_xll.ciqfunctions.udf.CIQSPLIT(VLOOKUP(E379,'CIQ Key Developments'!$B$8:$I$491,COLUMN('CIQ Key Developments'!$F$7)-COLUMN('CIQ Key Developments'!$B$7)+1,FALSE),$F379,F$6),IF(MOD($F379,$H$2)=$H$2-2,"Source: "&amp;VLOOKUP(E379,'CIQ Key Developments'!$B$8:$I$491,COLUMN('CIQ Key Developments'!$I$7)-COLUMN('CIQ Key Developments'!$B$7)+1,FALSE),""))</f>
        <v/>
      </c>
      <c r="B379" s="1202"/>
      <c r="C379" s="1202"/>
      <c r="E379" s="383">
        <f t="shared" si="10"/>
        <v>17</v>
      </c>
      <c r="F379" s="7">
        <f t="shared" si="11"/>
        <v>5</v>
      </c>
    </row>
    <row r="380" spans="1:6" s="571" customFormat="1" ht="11.65" customHeight="1" x14ac:dyDescent="0.2">
      <c r="A380" s="1202" t="str">
        <f>IF(MOD($F380,$H$2)&lt;$H$2-2,_xll.ciqfunctions.udf.CIQSPLIT(VLOOKUP(E380,'CIQ Key Developments'!$B$8:$I$491,COLUMN('CIQ Key Developments'!$F$7)-COLUMN('CIQ Key Developments'!$B$7)+1,FALSE),$F380,F$6),IF(MOD($F380,$H$2)=$H$2-2,"Source: "&amp;VLOOKUP(E380,'CIQ Key Developments'!$B$8:$I$491,COLUMN('CIQ Key Developments'!$I$7)-COLUMN('CIQ Key Developments'!$B$7)+1,FALSE),""))</f>
        <v/>
      </c>
      <c r="B380" s="1202"/>
      <c r="C380" s="1202"/>
      <c r="E380" s="383">
        <f t="shared" si="10"/>
        <v>17</v>
      </c>
      <c r="F380" s="7">
        <f t="shared" si="11"/>
        <v>6</v>
      </c>
    </row>
    <row r="381" spans="1:6" s="571" customFormat="1" ht="11.65" customHeight="1" x14ac:dyDescent="0.2">
      <c r="A381" s="1202" t="str">
        <f>IF(MOD($F381,$H$2)&lt;$H$2-2,_xll.ciqfunctions.udf.CIQSPLIT(VLOOKUP(E381,'CIQ Key Developments'!$B$8:$I$491,COLUMN('CIQ Key Developments'!$F$7)-COLUMN('CIQ Key Developments'!$B$7)+1,FALSE),$F381,F$6),IF(MOD($F381,$H$2)=$H$2-2,"Source: "&amp;VLOOKUP(E381,'CIQ Key Developments'!$B$8:$I$491,COLUMN('CIQ Key Developments'!$I$7)-COLUMN('CIQ Key Developments'!$B$7)+1,FALSE),""))</f>
        <v/>
      </c>
      <c r="B381" s="1202"/>
      <c r="C381" s="1202"/>
      <c r="E381" s="383">
        <f t="shared" si="10"/>
        <v>17</v>
      </c>
      <c r="F381" s="7">
        <f t="shared" si="11"/>
        <v>7</v>
      </c>
    </row>
    <row r="382" spans="1:6" s="571" customFormat="1" ht="11.65" hidden="1" customHeight="1" outlineLevel="1" x14ac:dyDescent="0.2">
      <c r="A382" s="1202" t="str">
        <f>IF(MOD($F382,$H$2)&lt;$H$2-2,_xll.ciqfunctions.udf.CIQSPLIT(VLOOKUP(E382,'CIQ Key Developments'!$B$8:$I$491,COLUMN('CIQ Key Developments'!$F$7)-COLUMN('CIQ Key Developments'!$B$7)+1,FALSE),$F382,F$6),IF(MOD($F382,$H$2)=$H$2-2,"Source: "&amp;VLOOKUP(E382,'CIQ Key Developments'!$B$8:$I$491,COLUMN('CIQ Key Developments'!$I$7)-COLUMN('CIQ Key Developments'!$B$7)+1,FALSE),""))</f>
        <v/>
      </c>
      <c r="B382" s="1202"/>
      <c r="C382" s="1202"/>
      <c r="E382" s="383">
        <f t="shared" si="10"/>
        <v>17</v>
      </c>
      <c r="F382" s="7">
        <f t="shared" si="11"/>
        <v>8</v>
      </c>
    </row>
    <row r="383" spans="1:6" s="571" customFormat="1" ht="11.65" hidden="1" customHeight="1" outlineLevel="1" x14ac:dyDescent="0.2">
      <c r="A383" s="1202" t="str">
        <f>IF(MOD($F383,$H$2)&lt;$H$2-2,_xll.ciqfunctions.udf.CIQSPLIT(VLOOKUP(E383,'CIQ Key Developments'!$B$8:$I$491,COLUMN('CIQ Key Developments'!$F$7)-COLUMN('CIQ Key Developments'!$B$7)+1,FALSE),$F383,F$6),IF(MOD($F383,$H$2)=$H$2-2,"Source: "&amp;VLOOKUP(E383,'CIQ Key Developments'!$B$8:$I$491,COLUMN('CIQ Key Developments'!$I$7)-COLUMN('CIQ Key Developments'!$B$7)+1,FALSE),""))</f>
        <v/>
      </c>
      <c r="B383" s="1202"/>
      <c r="C383" s="1202"/>
      <c r="E383" s="383">
        <f t="shared" si="10"/>
        <v>17</v>
      </c>
      <c r="F383" s="7">
        <f t="shared" si="11"/>
        <v>9</v>
      </c>
    </row>
    <row r="384" spans="1:6" s="571" customFormat="1" ht="11.65" hidden="1" customHeight="1" outlineLevel="1" x14ac:dyDescent="0.2">
      <c r="A384" s="1202" t="str">
        <f>IF(MOD($F384,$H$2)&lt;$H$2-2,_xll.ciqfunctions.udf.CIQSPLIT(VLOOKUP(E384,'CIQ Key Developments'!$B$8:$I$491,COLUMN('CIQ Key Developments'!$F$7)-COLUMN('CIQ Key Developments'!$B$7)+1,FALSE),$F384,F$6),IF(MOD($F384,$H$2)=$H$2-2,"Source: "&amp;VLOOKUP(E384,'CIQ Key Developments'!$B$8:$I$491,COLUMN('CIQ Key Developments'!$I$7)-COLUMN('CIQ Key Developments'!$B$7)+1,FALSE),""))</f>
        <v/>
      </c>
      <c r="B384" s="1202"/>
      <c r="C384" s="1202"/>
      <c r="E384" s="383">
        <f t="shared" si="10"/>
        <v>17</v>
      </c>
      <c r="F384" s="7">
        <f t="shared" si="11"/>
        <v>10</v>
      </c>
    </row>
    <row r="385" spans="1:6" s="571" customFormat="1" ht="11.65" hidden="1" customHeight="1" outlineLevel="1" x14ac:dyDescent="0.2">
      <c r="A385" s="1202" t="str">
        <f>IF(MOD($F385,$H$2)&lt;$H$2-2,_xll.ciqfunctions.udf.CIQSPLIT(VLOOKUP(E385,'CIQ Key Developments'!$B$8:$I$491,COLUMN('CIQ Key Developments'!$F$7)-COLUMN('CIQ Key Developments'!$B$7)+1,FALSE),$F385,F$6),IF(MOD($F385,$H$2)=$H$2-2,"Source: "&amp;VLOOKUP(E385,'CIQ Key Developments'!$B$8:$I$491,COLUMN('CIQ Key Developments'!$I$7)-COLUMN('CIQ Key Developments'!$B$7)+1,FALSE),""))</f>
        <v/>
      </c>
      <c r="B385" s="1202"/>
      <c r="C385" s="1202"/>
      <c r="E385" s="383">
        <f t="shared" si="10"/>
        <v>17</v>
      </c>
      <c r="F385" s="7">
        <f t="shared" si="11"/>
        <v>11</v>
      </c>
    </row>
    <row r="386" spans="1:6" s="571" customFormat="1" ht="11.65" hidden="1" customHeight="1" outlineLevel="1" x14ac:dyDescent="0.2">
      <c r="A386" s="1202" t="str">
        <f>IF(MOD($F386,$H$2)&lt;$H$2-2,_xll.ciqfunctions.udf.CIQSPLIT(VLOOKUP(E386,'CIQ Key Developments'!$B$8:$I$491,COLUMN('CIQ Key Developments'!$F$7)-COLUMN('CIQ Key Developments'!$B$7)+1,FALSE),$F386,F$6),IF(MOD($F386,$H$2)=$H$2-2,"Source: "&amp;VLOOKUP(E386,'CIQ Key Developments'!$B$8:$I$491,COLUMN('CIQ Key Developments'!$I$7)-COLUMN('CIQ Key Developments'!$B$7)+1,FALSE),""))</f>
        <v/>
      </c>
      <c r="B386" s="1202"/>
      <c r="C386" s="1202"/>
      <c r="E386" s="383">
        <f t="shared" si="10"/>
        <v>17</v>
      </c>
      <c r="F386" s="7">
        <f t="shared" si="11"/>
        <v>12</v>
      </c>
    </row>
    <row r="387" spans="1:6" s="571" customFormat="1" ht="11.65" hidden="1" customHeight="1" outlineLevel="1" x14ac:dyDescent="0.2">
      <c r="A387" s="1202" t="str">
        <f>IF(MOD($F387,$H$2)&lt;$H$2-2,_xll.ciqfunctions.udf.CIQSPLIT(VLOOKUP(E387,'CIQ Key Developments'!$B$8:$I$491,COLUMN('CIQ Key Developments'!$F$7)-COLUMN('CIQ Key Developments'!$B$7)+1,FALSE),$F387,F$6),IF(MOD($F387,$H$2)=$H$2-2,"Source: "&amp;VLOOKUP(E387,'CIQ Key Developments'!$B$8:$I$491,COLUMN('CIQ Key Developments'!$I$7)-COLUMN('CIQ Key Developments'!$B$7)+1,FALSE),""))</f>
        <v/>
      </c>
      <c r="B387" s="1202"/>
      <c r="C387" s="1202"/>
      <c r="E387" s="383">
        <f t="shared" si="10"/>
        <v>17</v>
      </c>
      <c r="F387" s="7">
        <f t="shared" si="11"/>
        <v>13</v>
      </c>
    </row>
    <row r="388" spans="1:6" s="571" customFormat="1" ht="11.65" hidden="1" customHeight="1" outlineLevel="1" x14ac:dyDescent="0.2">
      <c r="A388" s="1202" t="str">
        <f>IF(MOD($F388,$H$2)&lt;$H$2-2,_xll.ciqfunctions.udf.CIQSPLIT(VLOOKUP(E388,'CIQ Key Developments'!$B$8:$I$491,COLUMN('CIQ Key Developments'!$F$7)-COLUMN('CIQ Key Developments'!$B$7)+1,FALSE),$F388,F$6),IF(MOD($F388,$H$2)=$H$2-2,"Source: "&amp;VLOOKUP(E388,'CIQ Key Developments'!$B$8:$I$491,COLUMN('CIQ Key Developments'!$I$7)-COLUMN('CIQ Key Developments'!$B$7)+1,FALSE),""))</f>
        <v/>
      </c>
      <c r="B388" s="1202"/>
      <c r="C388" s="1202"/>
      <c r="E388" s="383">
        <f t="shared" si="10"/>
        <v>17</v>
      </c>
      <c r="F388" s="7">
        <f t="shared" si="11"/>
        <v>14</v>
      </c>
    </row>
    <row r="389" spans="1:6" s="571" customFormat="1" ht="11.65" hidden="1" customHeight="1" outlineLevel="1" x14ac:dyDescent="0.2">
      <c r="A389" s="1202" t="str">
        <f>IF(MOD($F389,$H$2)&lt;$H$2-2,_xll.ciqfunctions.udf.CIQSPLIT(VLOOKUP(E389,'CIQ Key Developments'!$B$8:$I$491,COLUMN('CIQ Key Developments'!$F$7)-COLUMN('CIQ Key Developments'!$B$7)+1,FALSE),$F389,F$6),IF(MOD($F389,$H$2)=$H$2-2,"Source: "&amp;VLOOKUP(E389,'CIQ Key Developments'!$B$8:$I$491,COLUMN('CIQ Key Developments'!$I$7)-COLUMN('CIQ Key Developments'!$B$7)+1,FALSE),""))</f>
        <v/>
      </c>
      <c r="B389" s="1202"/>
      <c r="C389" s="1202"/>
      <c r="E389" s="383">
        <f t="shared" si="10"/>
        <v>17</v>
      </c>
      <c r="F389" s="7">
        <f t="shared" si="11"/>
        <v>15</v>
      </c>
    </row>
    <row r="390" spans="1:6" s="571" customFormat="1" ht="11.65" hidden="1" customHeight="1" outlineLevel="1" x14ac:dyDescent="0.2">
      <c r="A390" s="1202" t="str">
        <f>IF(MOD($F390,$H$2)&lt;$H$2-2,_xll.ciqfunctions.udf.CIQSPLIT(VLOOKUP(E390,'CIQ Key Developments'!$B$8:$I$491,COLUMN('CIQ Key Developments'!$F$7)-COLUMN('CIQ Key Developments'!$B$7)+1,FALSE),$F390,F$6),IF(MOD($F390,$H$2)=$H$2-2,"Source: "&amp;VLOOKUP(E390,'CIQ Key Developments'!$B$8:$I$491,COLUMN('CIQ Key Developments'!$I$7)-COLUMN('CIQ Key Developments'!$B$7)+1,FALSE),""))</f>
        <v/>
      </c>
      <c r="B390" s="1202"/>
      <c r="C390" s="1202"/>
      <c r="E390" s="383">
        <f t="shared" si="10"/>
        <v>17</v>
      </c>
      <c r="F390" s="7">
        <f t="shared" si="11"/>
        <v>16</v>
      </c>
    </row>
    <row r="391" spans="1:6" s="571" customFormat="1" ht="11.65" hidden="1" customHeight="1" outlineLevel="1" x14ac:dyDescent="0.2">
      <c r="A391" s="1202" t="str">
        <f>IF(MOD($F391,$H$2)&lt;$H$2-2,_xll.ciqfunctions.udf.CIQSPLIT(VLOOKUP(E391,'CIQ Key Developments'!$B$8:$I$491,COLUMN('CIQ Key Developments'!$F$7)-COLUMN('CIQ Key Developments'!$B$7)+1,FALSE),$F391,F$6),IF(MOD($F391,$H$2)=$H$2-2,"Source: "&amp;VLOOKUP(E391,'CIQ Key Developments'!$B$8:$I$491,COLUMN('CIQ Key Developments'!$I$7)-COLUMN('CIQ Key Developments'!$B$7)+1,FALSE),""))</f>
        <v/>
      </c>
      <c r="B391" s="1202"/>
      <c r="C391" s="1202"/>
      <c r="E391" s="383">
        <f t="shared" ref="E391:E454" si="12">+IF(F392=$F$6,E390+1,E390)</f>
        <v>17</v>
      </c>
      <c r="F391" s="7">
        <f t="shared" si="11"/>
        <v>17</v>
      </c>
    </row>
    <row r="392" spans="1:6" s="571" customFormat="1" ht="11.65" hidden="1" customHeight="1" outlineLevel="1" x14ac:dyDescent="0.2">
      <c r="A392" s="1202" t="str">
        <f>IF(MOD($F392,$H$2)&lt;$H$2-2,_xll.ciqfunctions.udf.CIQSPLIT(VLOOKUP(E392,'CIQ Key Developments'!$B$8:$I$491,COLUMN('CIQ Key Developments'!$F$7)-COLUMN('CIQ Key Developments'!$B$7)+1,FALSE),$F392,F$6),IF(MOD($F392,$H$2)=$H$2-2,"Source: "&amp;VLOOKUP(E392,'CIQ Key Developments'!$B$8:$I$491,COLUMN('CIQ Key Developments'!$I$7)-COLUMN('CIQ Key Developments'!$B$7)+1,FALSE),""))</f>
        <v/>
      </c>
      <c r="B392" s="1202"/>
      <c r="C392" s="1202"/>
      <c r="E392" s="383">
        <f t="shared" si="12"/>
        <v>17</v>
      </c>
      <c r="F392" s="7">
        <f t="shared" si="11"/>
        <v>18</v>
      </c>
    </row>
    <row r="393" spans="1:6" s="571" customFormat="1" ht="11.65" hidden="1" customHeight="1" outlineLevel="1" x14ac:dyDescent="0.2">
      <c r="A393" s="1202" t="str">
        <f>IF(MOD($F393,$H$2)&lt;$H$2-2,_xll.ciqfunctions.udf.CIQSPLIT(VLOOKUP(E393,'CIQ Key Developments'!$B$8:$I$491,COLUMN('CIQ Key Developments'!$F$7)-COLUMN('CIQ Key Developments'!$B$7)+1,FALSE),$F393,F$6),IF(MOD($F393,$H$2)=$H$2-2,"Source: "&amp;VLOOKUP(E393,'CIQ Key Developments'!$B$8:$I$491,COLUMN('CIQ Key Developments'!$I$7)-COLUMN('CIQ Key Developments'!$B$7)+1,FALSE),""))</f>
        <v/>
      </c>
      <c r="B393" s="1202"/>
      <c r="C393" s="1202"/>
      <c r="E393" s="383">
        <f t="shared" si="12"/>
        <v>17</v>
      </c>
      <c r="F393" s="7">
        <f t="shared" ref="F393:F456" si="13">+IF(F392&lt;$H$2,F392+1,IF(F392=$F$6,1,$F$6))</f>
        <v>19</v>
      </c>
    </row>
    <row r="394" spans="1:6" s="571" customFormat="1" ht="11.65" customHeight="1" collapsed="1" x14ac:dyDescent="0.2">
      <c r="A394" s="1202" t="str">
        <f>IF(MOD($F394,$H$2)&lt;$H$2-2,_xll.ciqfunctions.udf.CIQSPLIT(VLOOKUP(E394,'CIQ Key Developments'!$B$8:$I$491,COLUMN('CIQ Key Developments'!$F$7)-COLUMN('CIQ Key Developments'!$B$7)+1,FALSE),$F394,F$6),IF(MOD($F394,$H$2)=$H$2-2,"Source: "&amp;VLOOKUP(E394,'CIQ Key Developments'!$B$8:$I$491,COLUMN('CIQ Key Developments'!$I$7)-COLUMN('CIQ Key Developments'!$B$7)+1,FALSE),""))</f>
        <v>Source: Transcript Collection</v>
      </c>
      <c r="B394" s="1202"/>
      <c r="C394" s="1202"/>
      <c r="E394" s="383">
        <f t="shared" si="12"/>
        <v>17</v>
      </c>
      <c r="F394" s="7">
        <f t="shared" si="13"/>
        <v>20</v>
      </c>
    </row>
    <row r="395" spans="1:6" ht="7.15" customHeight="1" collapsed="1" x14ac:dyDescent="0.2">
      <c r="A395" s="1202" t="str">
        <f>IF(MOD($F395,$H$2)&lt;$H$2-2,_xll.ciqfunctions.udf.CIQSPLIT(VLOOKUP(E395,'CIQ Key Developments'!$B$8:$I$491,COLUMN('CIQ Key Developments'!$F$7)-COLUMN('CIQ Key Developments'!$B$7)+1,FALSE),$F395,F$6),IF(MOD($F395,$H$2)=$H$2-2,"Source: "&amp;VLOOKUP(E395,'CIQ Key Developments'!$B$8:$I$491,COLUMN('CIQ Key Developments'!$I$7)-COLUMN('CIQ Key Developments'!$B$7)+1,FALSE),""))</f>
        <v/>
      </c>
      <c r="B395" s="1202"/>
      <c r="C395" s="1202"/>
      <c r="E395" s="383">
        <f t="shared" si="12"/>
        <v>17</v>
      </c>
      <c r="F395" s="7">
        <f t="shared" si="13"/>
        <v>21</v>
      </c>
    </row>
    <row r="396" spans="1:6" s="571" customFormat="1" ht="12" customHeight="1" x14ac:dyDescent="0.2">
      <c r="A396" s="1513" t="str">
        <f>+VLOOKUP(E396,'CIQ Key Developments'!$B$8:$I$491,COLUMN('CIQ Key Developments'!$D$7)-COLUMN('CIQ Key Developments'!$B$7)+1,FALSE)</f>
        <v>Walmart Inc. Reports Earnings Results for the Fourth Quarter Ended January 31, 2022</v>
      </c>
      <c r="B396" s="1514"/>
      <c r="C396" s="1515"/>
      <c r="E396" s="383">
        <f t="shared" si="12"/>
        <v>18</v>
      </c>
      <c r="F396" s="7">
        <f t="shared" si="13"/>
        <v>22</v>
      </c>
    </row>
    <row r="397" spans="1:6" s="571" customFormat="1" ht="11.65" customHeight="1" x14ac:dyDescent="0.2">
      <c r="A397" s="1199" t="str">
        <f>+$C$3</f>
        <v>Walmart Inc.</v>
      </c>
      <c r="B397" s="1200" t="str">
        <f>VLOOKUP(E396,'CIQ Key Developments'!$B$8:$I$491,COLUMN('CIQ Key Developments'!$G$7)-COLUMN('CIQ Key Developments'!$B$7)+1,FALSE)&amp;" "&amp;VLOOKUP(E396,'CIQ Key Developments'!$B$8:$I$491,COLUMN('CIQ Key Developments'!$H$7)-COLUMN('CIQ Key Developments'!$B$7)+1,FALSE)</f>
        <v>17 Feb 2022 12:00 AM</v>
      </c>
      <c r="C397" s="1201" t="str">
        <f>+VLOOKUP(E396,'CIQ Key Developments'!$B$8:$I$491,COLUMN('CIQ Key Developments'!$E$7)-COLUMN('CIQ Key Developments'!$B$7)+1,FALSE)</f>
        <v>Announcements of Earnings</v>
      </c>
      <c r="E397" s="383">
        <f t="shared" si="12"/>
        <v>18</v>
      </c>
      <c r="F397" s="7">
        <f t="shared" si="13"/>
        <v>175</v>
      </c>
    </row>
    <row r="398" spans="1:6" s="571" customFormat="1" ht="11.65" customHeight="1" x14ac:dyDescent="0.2">
      <c r="A398" s="1202" t="str">
        <f>IF(MOD($F398,$H$2)&lt;$H$2-2,_xll.ciqfunctions.udf.CIQSPLIT(VLOOKUP(E398,'CIQ Key Developments'!$B$8:$I$491,COLUMN('CIQ Key Developments'!$F$7)-COLUMN('CIQ Key Developments'!$B$7)+1,FALSE),$F398,F$6),IF(MOD($F398,$H$2)=$H$2-2,"Source: "&amp;VLOOKUP(E398,'CIQ Key Developments'!$B$8:$I$491,COLUMN('CIQ Key Developments'!$I$7)-COLUMN('CIQ Key Developments'!$B$7)+1,FALSE),""))</f>
        <v>Walmart Inc. reported earnings results for the fourth quarter ended January 31, 2022. For the fourth quarter, the company reported sales was USD 151,525 million compared to USD</v>
      </c>
      <c r="B398" s="1202"/>
      <c r="C398" s="1202"/>
      <c r="E398" s="383">
        <f t="shared" si="12"/>
        <v>18</v>
      </c>
      <c r="F398" s="7">
        <f t="shared" si="13"/>
        <v>1</v>
      </c>
    </row>
    <row r="399" spans="1:6" s="571" customFormat="1" ht="11.65" customHeight="1" x14ac:dyDescent="0.2">
      <c r="A399" s="1202" t="str">
        <f>IF(MOD($F399,$H$2)&lt;$H$2-2,_xll.ciqfunctions.udf.CIQSPLIT(VLOOKUP(E399,'CIQ Key Developments'!$B$8:$I$491,COLUMN('CIQ Key Developments'!$F$7)-COLUMN('CIQ Key Developments'!$B$7)+1,FALSE),$F399,F$6),IF(MOD($F399,$H$2)=$H$2-2,"Source: "&amp;VLOOKUP(E399,'CIQ Key Developments'!$B$8:$I$491,COLUMN('CIQ Key Developments'!$I$7)-COLUMN('CIQ Key Developments'!$B$7)+1,FALSE),""))</f>
        <v>150,985 million a year ago. Revenue was USD 152,871 million compared to USD 152,079 million a year ago. Net income was USD 3,562 million compared to net loss of USD 2,091</v>
      </c>
      <c r="B399" s="1202"/>
      <c r="C399" s="1202"/>
      <c r="E399" s="383">
        <f t="shared" si="12"/>
        <v>18</v>
      </c>
      <c r="F399" s="7">
        <f t="shared" si="13"/>
        <v>2</v>
      </c>
    </row>
    <row r="400" spans="1:6" s="571" customFormat="1" ht="11.65" customHeight="1" x14ac:dyDescent="0.2">
      <c r="A400" s="1202" t="str">
        <f>IF(MOD($F400,$H$2)&lt;$H$2-2,_xll.ciqfunctions.udf.CIQSPLIT(VLOOKUP(E400,'CIQ Key Developments'!$B$8:$I$491,COLUMN('CIQ Key Developments'!$F$7)-COLUMN('CIQ Key Developments'!$B$7)+1,FALSE),$F400,F$6),IF(MOD($F400,$H$2)=$H$2-2,"Source: "&amp;VLOOKUP(E400,'CIQ Key Developments'!$B$8:$I$491,COLUMN('CIQ Key Developments'!$I$7)-COLUMN('CIQ Key Developments'!$B$7)+1,FALSE),""))</f>
        <v>million a year ago. Basic earnings per share from continuing operations was USD 1.29 compared to basic loss per share from continuing operations of USD 0.74 a year ago. Diluted</v>
      </c>
      <c r="B400" s="1202"/>
      <c r="C400" s="1202"/>
      <c r="E400" s="383">
        <f t="shared" si="12"/>
        <v>18</v>
      </c>
      <c r="F400" s="7">
        <f t="shared" si="13"/>
        <v>3</v>
      </c>
    </row>
    <row r="401" spans="1:6" s="571" customFormat="1" ht="11.65" hidden="1" customHeight="1" outlineLevel="1" x14ac:dyDescent="0.2">
      <c r="A401" s="1202" t="str">
        <f>IF(MOD($F401,$H$2)&lt;$H$2-2,_xll.ciqfunctions.udf.CIQSPLIT(VLOOKUP(E401,'CIQ Key Developments'!$B$8:$I$491,COLUMN('CIQ Key Developments'!$F$7)-COLUMN('CIQ Key Developments'!$B$7)+1,FALSE),$F401,F$6),IF(MOD($F401,$H$2)=$H$2-2,"Source: "&amp;VLOOKUP(E401,'CIQ Key Developments'!$B$8:$I$491,COLUMN('CIQ Key Developments'!$I$7)-COLUMN('CIQ Key Developments'!$B$7)+1,FALSE),""))</f>
        <v>earnings per share from continuing operations was USD 1.28 compared to diluted loss per share from continuing operations of USD 0.74 a year ago.</v>
      </c>
      <c r="B401" s="1202"/>
      <c r="C401" s="1202"/>
      <c r="E401" s="383">
        <f t="shared" si="12"/>
        <v>18</v>
      </c>
      <c r="F401" s="7">
        <f t="shared" si="13"/>
        <v>4</v>
      </c>
    </row>
    <row r="402" spans="1:6" s="571" customFormat="1" ht="11.65" hidden="1" customHeight="1" outlineLevel="1" x14ac:dyDescent="0.2">
      <c r="A402" s="1202" t="str">
        <f>IF(MOD($F402,$H$2)&lt;$H$2-2,_xll.ciqfunctions.udf.CIQSPLIT(VLOOKUP(E402,'CIQ Key Developments'!$B$8:$I$491,COLUMN('CIQ Key Developments'!$F$7)-COLUMN('CIQ Key Developments'!$B$7)+1,FALSE),$F402,F$6),IF(MOD($F402,$H$2)=$H$2-2,"Source: "&amp;VLOOKUP(E402,'CIQ Key Developments'!$B$8:$I$491,COLUMN('CIQ Key Developments'!$I$7)-COLUMN('CIQ Key Developments'!$B$7)+1,FALSE),""))</f>
        <v/>
      </c>
      <c r="B402" s="1202"/>
      <c r="C402" s="1202"/>
      <c r="E402" s="383">
        <f t="shared" si="12"/>
        <v>18</v>
      </c>
      <c r="F402" s="7">
        <f t="shared" si="13"/>
        <v>5</v>
      </c>
    </row>
    <row r="403" spans="1:6" s="571" customFormat="1" ht="11.65" hidden="1" customHeight="1" outlineLevel="1" x14ac:dyDescent="0.2">
      <c r="A403" s="1202" t="str">
        <f>IF(MOD($F403,$H$2)&lt;$H$2-2,_xll.ciqfunctions.udf.CIQSPLIT(VLOOKUP(E403,'CIQ Key Developments'!$B$8:$I$491,COLUMN('CIQ Key Developments'!$F$7)-COLUMN('CIQ Key Developments'!$B$7)+1,FALSE),$F403,F$6),IF(MOD($F403,$H$2)=$H$2-2,"Source: "&amp;VLOOKUP(E403,'CIQ Key Developments'!$B$8:$I$491,COLUMN('CIQ Key Developments'!$I$7)-COLUMN('CIQ Key Developments'!$B$7)+1,FALSE),""))</f>
        <v/>
      </c>
      <c r="B403" s="1202"/>
      <c r="C403" s="1202"/>
      <c r="E403" s="383">
        <f t="shared" si="12"/>
        <v>18</v>
      </c>
      <c r="F403" s="7">
        <f t="shared" si="13"/>
        <v>6</v>
      </c>
    </row>
    <row r="404" spans="1:6" s="571" customFormat="1" ht="11.65" hidden="1" customHeight="1" outlineLevel="1" x14ac:dyDescent="0.2">
      <c r="A404" s="1202" t="str">
        <f>IF(MOD($F404,$H$2)&lt;$H$2-2,_xll.ciqfunctions.udf.CIQSPLIT(VLOOKUP(E404,'CIQ Key Developments'!$B$8:$I$491,COLUMN('CIQ Key Developments'!$F$7)-COLUMN('CIQ Key Developments'!$B$7)+1,FALSE),$F404,F$6),IF(MOD($F404,$H$2)=$H$2-2,"Source: "&amp;VLOOKUP(E404,'CIQ Key Developments'!$B$8:$I$491,COLUMN('CIQ Key Developments'!$I$7)-COLUMN('CIQ Key Developments'!$B$7)+1,FALSE),""))</f>
        <v/>
      </c>
      <c r="B404" s="1202"/>
      <c r="C404" s="1202"/>
      <c r="E404" s="383">
        <f t="shared" si="12"/>
        <v>18</v>
      </c>
      <c r="F404" s="7">
        <f t="shared" si="13"/>
        <v>7</v>
      </c>
    </row>
    <row r="405" spans="1:6" s="571" customFormat="1" ht="11.65" hidden="1" customHeight="1" outlineLevel="1" x14ac:dyDescent="0.2">
      <c r="A405" s="1202" t="str">
        <f>IF(MOD($F405,$H$2)&lt;$H$2-2,_xll.ciqfunctions.udf.CIQSPLIT(VLOOKUP(E405,'CIQ Key Developments'!$B$8:$I$491,COLUMN('CIQ Key Developments'!$F$7)-COLUMN('CIQ Key Developments'!$B$7)+1,FALSE),$F405,F$6),IF(MOD($F405,$H$2)=$H$2-2,"Source: "&amp;VLOOKUP(E405,'CIQ Key Developments'!$B$8:$I$491,COLUMN('CIQ Key Developments'!$I$7)-COLUMN('CIQ Key Developments'!$B$7)+1,FALSE),""))</f>
        <v/>
      </c>
      <c r="B405" s="1202"/>
      <c r="C405" s="1202"/>
      <c r="E405" s="383">
        <f t="shared" si="12"/>
        <v>18</v>
      </c>
      <c r="F405" s="7">
        <f t="shared" si="13"/>
        <v>8</v>
      </c>
    </row>
    <row r="406" spans="1:6" s="571" customFormat="1" ht="11.65" hidden="1" customHeight="1" outlineLevel="1" x14ac:dyDescent="0.2">
      <c r="A406" s="1202" t="str">
        <f>IF(MOD($F406,$H$2)&lt;$H$2-2,_xll.ciqfunctions.udf.CIQSPLIT(VLOOKUP(E406,'CIQ Key Developments'!$B$8:$I$491,COLUMN('CIQ Key Developments'!$F$7)-COLUMN('CIQ Key Developments'!$B$7)+1,FALSE),$F406,F$6),IF(MOD($F406,$H$2)=$H$2-2,"Source: "&amp;VLOOKUP(E406,'CIQ Key Developments'!$B$8:$I$491,COLUMN('CIQ Key Developments'!$I$7)-COLUMN('CIQ Key Developments'!$B$7)+1,FALSE),""))</f>
        <v/>
      </c>
      <c r="B406" s="1202"/>
      <c r="C406" s="1202"/>
      <c r="E406" s="383">
        <f t="shared" si="12"/>
        <v>18</v>
      </c>
      <c r="F406" s="7">
        <f t="shared" si="13"/>
        <v>9</v>
      </c>
    </row>
    <row r="407" spans="1:6" s="571" customFormat="1" ht="11.65" hidden="1" customHeight="1" outlineLevel="1" x14ac:dyDescent="0.2">
      <c r="A407" s="1202" t="str">
        <f>IF(MOD($F407,$H$2)&lt;$H$2-2,_xll.ciqfunctions.udf.CIQSPLIT(VLOOKUP(E407,'CIQ Key Developments'!$B$8:$I$491,COLUMN('CIQ Key Developments'!$F$7)-COLUMN('CIQ Key Developments'!$B$7)+1,FALSE),$F407,F$6),IF(MOD($F407,$H$2)=$H$2-2,"Source: "&amp;VLOOKUP(E407,'CIQ Key Developments'!$B$8:$I$491,COLUMN('CIQ Key Developments'!$I$7)-COLUMN('CIQ Key Developments'!$B$7)+1,FALSE),""))</f>
        <v/>
      </c>
      <c r="B407" s="1202"/>
      <c r="C407" s="1202"/>
      <c r="E407" s="383">
        <f t="shared" si="12"/>
        <v>18</v>
      </c>
      <c r="F407" s="7">
        <f t="shared" si="13"/>
        <v>10</v>
      </c>
    </row>
    <row r="408" spans="1:6" s="571" customFormat="1" ht="11.65" hidden="1" customHeight="1" outlineLevel="1" x14ac:dyDescent="0.2">
      <c r="A408" s="1202" t="str">
        <f>IF(MOD($F408,$H$2)&lt;$H$2-2,_xll.ciqfunctions.udf.CIQSPLIT(VLOOKUP(E408,'CIQ Key Developments'!$B$8:$I$491,COLUMN('CIQ Key Developments'!$F$7)-COLUMN('CIQ Key Developments'!$B$7)+1,FALSE),$F408,F$6),IF(MOD($F408,$H$2)=$H$2-2,"Source: "&amp;VLOOKUP(E408,'CIQ Key Developments'!$B$8:$I$491,COLUMN('CIQ Key Developments'!$I$7)-COLUMN('CIQ Key Developments'!$B$7)+1,FALSE),""))</f>
        <v/>
      </c>
      <c r="B408" s="1202"/>
      <c r="C408" s="1202"/>
      <c r="E408" s="383">
        <f t="shared" si="12"/>
        <v>18</v>
      </c>
      <c r="F408" s="7">
        <f t="shared" si="13"/>
        <v>11</v>
      </c>
    </row>
    <row r="409" spans="1:6" s="571" customFormat="1" ht="11.65" hidden="1" customHeight="1" outlineLevel="1" x14ac:dyDescent="0.2">
      <c r="A409" s="1202" t="str">
        <f>IF(MOD($F409,$H$2)&lt;$H$2-2,_xll.ciqfunctions.udf.CIQSPLIT(VLOOKUP(E409,'CIQ Key Developments'!$B$8:$I$491,COLUMN('CIQ Key Developments'!$F$7)-COLUMN('CIQ Key Developments'!$B$7)+1,FALSE),$F409,F$6),IF(MOD($F409,$H$2)=$H$2-2,"Source: "&amp;VLOOKUP(E409,'CIQ Key Developments'!$B$8:$I$491,COLUMN('CIQ Key Developments'!$I$7)-COLUMN('CIQ Key Developments'!$B$7)+1,FALSE),""))</f>
        <v/>
      </c>
      <c r="B409" s="1202"/>
      <c r="C409" s="1202"/>
      <c r="E409" s="383">
        <f t="shared" si="12"/>
        <v>18</v>
      </c>
      <c r="F409" s="7">
        <f t="shared" si="13"/>
        <v>12</v>
      </c>
    </row>
    <row r="410" spans="1:6" s="571" customFormat="1" ht="11.65" hidden="1" customHeight="1" outlineLevel="1" x14ac:dyDescent="0.2">
      <c r="A410" s="1202" t="str">
        <f>IF(MOD($F410,$H$2)&lt;$H$2-2,_xll.ciqfunctions.udf.CIQSPLIT(VLOOKUP(E410,'CIQ Key Developments'!$B$8:$I$491,COLUMN('CIQ Key Developments'!$F$7)-COLUMN('CIQ Key Developments'!$B$7)+1,FALSE),$F410,F$6),IF(MOD($F410,$H$2)=$H$2-2,"Source: "&amp;VLOOKUP(E410,'CIQ Key Developments'!$B$8:$I$491,COLUMN('CIQ Key Developments'!$I$7)-COLUMN('CIQ Key Developments'!$B$7)+1,FALSE),""))</f>
        <v/>
      </c>
      <c r="B410" s="1202"/>
      <c r="C410" s="1202"/>
      <c r="E410" s="383">
        <f t="shared" si="12"/>
        <v>18</v>
      </c>
      <c r="F410" s="7">
        <f t="shared" si="13"/>
        <v>13</v>
      </c>
    </row>
    <row r="411" spans="1:6" s="571" customFormat="1" ht="11.65" hidden="1" customHeight="1" outlineLevel="1" x14ac:dyDescent="0.2">
      <c r="A411" s="1202" t="str">
        <f>IF(MOD($F411,$H$2)&lt;$H$2-2,_xll.ciqfunctions.udf.CIQSPLIT(VLOOKUP(E411,'CIQ Key Developments'!$B$8:$I$491,COLUMN('CIQ Key Developments'!$F$7)-COLUMN('CIQ Key Developments'!$B$7)+1,FALSE),$F411,F$6),IF(MOD($F411,$H$2)=$H$2-2,"Source: "&amp;VLOOKUP(E411,'CIQ Key Developments'!$B$8:$I$491,COLUMN('CIQ Key Developments'!$I$7)-COLUMN('CIQ Key Developments'!$B$7)+1,FALSE),""))</f>
        <v/>
      </c>
      <c r="B411" s="1202"/>
      <c r="C411" s="1202"/>
      <c r="E411" s="383">
        <f t="shared" si="12"/>
        <v>18</v>
      </c>
      <c r="F411" s="7">
        <f t="shared" si="13"/>
        <v>14</v>
      </c>
    </row>
    <row r="412" spans="1:6" s="571" customFormat="1" ht="11.65" hidden="1" customHeight="1" outlineLevel="1" x14ac:dyDescent="0.2">
      <c r="A412" s="1202" t="str">
        <f>IF(MOD($F412,$H$2)&lt;$H$2-2,_xll.ciqfunctions.udf.CIQSPLIT(VLOOKUP(E412,'CIQ Key Developments'!$B$8:$I$491,COLUMN('CIQ Key Developments'!$F$7)-COLUMN('CIQ Key Developments'!$B$7)+1,FALSE),$F412,F$6),IF(MOD($F412,$H$2)=$H$2-2,"Source: "&amp;VLOOKUP(E412,'CIQ Key Developments'!$B$8:$I$491,COLUMN('CIQ Key Developments'!$I$7)-COLUMN('CIQ Key Developments'!$B$7)+1,FALSE),""))</f>
        <v/>
      </c>
      <c r="B412" s="1202"/>
      <c r="C412" s="1202"/>
      <c r="E412" s="383">
        <f t="shared" si="12"/>
        <v>18</v>
      </c>
      <c r="F412" s="7">
        <f t="shared" si="13"/>
        <v>15</v>
      </c>
    </row>
    <row r="413" spans="1:6" s="571" customFormat="1" ht="11.65" hidden="1" customHeight="1" outlineLevel="1" x14ac:dyDescent="0.2">
      <c r="A413" s="1202" t="str">
        <f>IF(MOD($F413,$H$2)&lt;$H$2-2,_xll.ciqfunctions.udf.CIQSPLIT(VLOOKUP(E413,'CIQ Key Developments'!$B$8:$I$491,COLUMN('CIQ Key Developments'!$F$7)-COLUMN('CIQ Key Developments'!$B$7)+1,FALSE),$F413,F$6),IF(MOD($F413,$H$2)=$H$2-2,"Source: "&amp;VLOOKUP(E413,'CIQ Key Developments'!$B$8:$I$491,COLUMN('CIQ Key Developments'!$I$7)-COLUMN('CIQ Key Developments'!$B$7)+1,FALSE),""))</f>
        <v/>
      </c>
      <c r="B413" s="1202"/>
      <c r="C413" s="1202"/>
      <c r="E413" s="383">
        <f t="shared" si="12"/>
        <v>18</v>
      </c>
      <c r="F413" s="7">
        <f t="shared" si="13"/>
        <v>16</v>
      </c>
    </row>
    <row r="414" spans="1:6" s="571" customFormat="1" ht="11.65" hidden="1" customHeight="1" outlineLevel="1" x14ac:dyDescent="0.2">
      <c r="A414" s="1202" t="str">
        <f>IF(MOD($F414,$H$2)&lt;$H$2-2,_xll.ciqfunctions.udf.CIQSPLIT(VLOOKUP(E414,'CIQ Key Developments'!$B$8:$I$491,COLUMN('CIQ Key Developments'!$F$7)-COLUMN('CIQ Key Developments'!$B$7)+1,FALSE),$F414,F$6),IF(MOD($F414,$H$2)=$H$2-2,"Source: "&amp;VLOOKUP(E414,'CIQ Key Developments'!$B$8:$I$491,COLUMN('CIQ Key Developments'!$I$7)-COLUMN('CIQ Key Developments'!$B$7)+1,FALSE),""))</f>
        <v/>
      </c>
      <c r="B414" s="1202"/>
      <c r="C414" s="1202"/>
      <c r="E414" s="383">
        <f t="shared" si="12"/>
        <v>18</v>
      </c>
      <c r="F414" s="7">
        <f t="shared" si="13"/>
        <v>17</v>
      </c>
    </row>
    <row r="415" spans="1:6" s="571" customFormat="1" ht="11.65" hidden="1" customHeight="1" outlineLevel="1" x14ac:dyDescent="0.2">
      <c r="A415" s="1202" t="str">
        <f>IF(MOD($F415,$H$2)&lt;$H$2-2,_xll.ciqfunctions.udf.CIQSPLIT(VLOOKUP(E415,'CIQ Key Developments'!$B$8:$I$491,COLUMN('CIQ Key Developments'!$F$7)-COLUMN('CIQ Key Developments'!$B$7)+1,FALSE),$F415,F$6),IF(MOD($F415,$H$2)=$H$2-2,"Source: "&amp;VLOOKUP(E415,'CIQ Key Developments'!$B$8:$I$491,COLUMN('CIQ Key Developments'!$I$7)-COLUMN('CIQ Key Developments'!$B$7)+1,FALSE),""))</f>
        <v/>
      </c>
      <c r="B415" s="1202"/>
      <c r="C415" s="1202"/>
      <c r="E415" s="383">
        <f t="shared" si="12"/>
        <v>18</v>
      </c>
      <c r="F415" s="7">
        <f t="shared" si="13"/>
        <v>18</v>
      </c>
    </row>
    <row r="416" spans="1:6" s="571" customFormat="1" ht="11.65" hidden="1" customHeight="1" outlineLevel="1" x14ac:dyDescent="0.2">
      <c r="A416" s="1202" t="str">
        <f>IF(MOD($F416,$H$2)&lt;$H$2-2,_xll.ciqfunctions.udf.CIQSPLIT(VLOOKUP(E416,'CIQ Key Developments'!$B$8:$I$491,COLUMN('CIQ Key Developments'!$F$7)-COLUMN('CIQ Key Developments'!$B$7)+1,FALSE),$F416,F$6),IF(MOD($F416,$H$2)=$H$2-2,"Source: "&amp;VLOOKUP(E416,'CIQ Key Developments'!$B$8:$I$491,COLUMN('CIQ Key Developments'!$I$7)-COLUMN('CIQ Key Developments'!$B$7)+1,FALSE),""))</f>
        <v/>
      </c>
      <c r="B416" s="1202"/>
      <c r="C416" s="1202"/>
      <c r="E416" s="383">
        <f t="shared" si="12"/>
        <v>18</v>
      </c>
      <c r="F416" s="7">
        <f t="shared" si="13"/>
        <v>19</v>
      </c>
    </row>
    <row r="417" spans="1:6" s="571" customFormat="1" ht="11.65" customHeight="1" collapsed="1" x14ac:dyDescent="0.2">
      <c r="A417" s="1202" t="str">
        <f>IF(MOD($F417,$H$2)&lt;$H$2-2,_xll.ciqfunctions.udf.CIQSPLIT(VLOOKUP(E417,'CIQ Key Developments'!$B$8:$I$491,COLUMN('CIQ Key Developments'!$F$7)-COLUMN('CIQ Key Developments'!$B$7)+1,FALSE),$F417,F$6),IF(MOD($F417,$H$2)=$H$2-2,"Source: "&amp;VLOOKUP(E417,'CIQ Key Developments'!$B$8:$I$491,COLUMN('CIQ Key Developments'!$I$7)-COLUMN('CIQ Key Developments'!$B$7)+1,FALSE),""))</f>
        <v>Source: S&amp;P Capital IQ Financials Database</v>
      </c>
      <c r="B417" s="1202"/>
      <c r="C417" s="1202"/>
      <c r="E417" s="383">
        <f t="shared" si="12"/>
        <v>18</v>
      </c>
      <c r="F417" s="7">
        <f t="shared" si="13"/>
        <v>20</v>
      </c>
    </row>
    <row r="418" spans="1:6" ht="7.15" customHeight="1" collapsed="1" x14ac:dyDescent="0.2">
      <c r="A418" s="1202" t="str">
        <f>IF(MOD($F418,$H$2)&lt;$H$2-2,_xll.ciqfunctions.udf.CIQSPLIT(VLOOKUP(E418,'CIQ Key Developments'!$B$8:$I$491,COLUMN('CIQ Key Developments'!$F$7)-COLUMN('CIQ Key Developments'!$B$7)+1,FALSE),$F418,F$6),IF(MOD($F418,$H$2)=$H$2-2,"Source: "&amp;VLOOKUP(E418,'CIQ Key Developments'!$B$8:$I$491,COLUMN('CIQ Key Developments'!$I$7)-COLUMN('CIQ Key Developments'!$B$7)+1,FALSE),""))</f>
        <v/>
      </c>
      <c r="B418" s="1202"/>
      <c r="C418" s="1202"/>
      <c r="E418" s="383">
        <f t="shared" si="12"/>
        <v>18</v>
      </c>
      <c r="F418" s="7">
        <f t="shared" si="13"/>
        <v>21</v>
      </c>
    </row>
    <row r="419" spans="1:6" s="571" customFormat="1" ht="12" customHeight="1" x14ac:dyDescent="0.2">
      <c r="A419" s="1513" t="str">
        <f>+VLOOKUP(E419,'CIQ Key Developments'!$B$8:$I$491,COLUMN('CIQ Key Developments'!$D$7)-COLUMN('CIQ Key Developments'!$B$7)+1,FALSE)</f>
        <v>Walmart Inc. Reports Earnings Results for the Full Year Ended January 31, 2022</v>
      </c>
      <c r="B419" s="1514"/>
      <c r="C419" s="1515"/>
      <c r="E419" s="383">
        <f t="shared" si="12"/>
        <v>19</v>
      </c>
      <c r="F419" s="7">
        <f t="shared" si="13"/>
        <v>22</v>
      </c>
    </row>
    <row r="420" spans="1:6" s="571" customFormat="1" ht="11.65" customHeight="1" x14ac:dyDescent="0.2">
      <c r="A420" s="1199" t="str">
        <f>+$C$3</f>
        <v>Walmart Inc.</v>
      </c>
      <c r="B420" s="1200" t="str">
        <f>VLOOKUP(E419,'CIQ Key Developments'!$B$8:$I$491,COLUMN('CIQ Key Developments'!$G$7)-COLUMN('CIQ Key Developments'!$B$7)+1,FALSE)&amp;" "&amp;VLOOKUP(E419,'CIQ Key Developments'!$B$8:$I$491,COLUMN('CIQ Key Developments'!$H$7)-COLUMN('CIQ Key Developments'!$B$7)+1,FALSE)</f>
        <v>17 Feb 2022 12:00 AM</v>
      </c>
      <c r="C420" s="1201" t="str">
        <f>+VLOOKUP(E419,'CIQ Key Developments'!$B$8:$I$491,COLUMN('CIQ Key Developments'!$E$7)-COLUMN('CIQ Key Developments'!$B$7)+1,FALSE)</f>
        <v>Announcements of Earnings</v>
      </c>
      <c r="E420" s="383">
        <f t="shared" si="12"/>
        <v>19</v>
      </c>
      <c r="F420" s="7">
        <f t="shared" si="13"/>
        <v>175</v>
      </c>
    </row>
    <row r="421" spans="1:6" s="571" customFormat="1" ht="11.65" customHeight="1" x14ac:dyDescent="0.2">
      <c r="A421" s="1202" t="str">
        <f>IF(MOD($F421,$H$2)&lt;$H$2-2,_xll.ciqfunctions.udf.CIQSPLIT(VLOOKUP(E421,'CIQ Key Developments'!$B$8:$I$491,COLUMN('CIQ Key Developments'!$F$7)-COLUMN('CIQ Key Developments'!$B$7)+1,FALSE),$F421,F$6),IF(MOD($F421,$H$2)=$H$2-2,"Source: "&amp;VLOOKUP(E421,'CIQ Key Developments'!$B$8:$I$491,COLUMN('CIQ Key Developments'!$I$7)-COLUMN('CIQ Key Developments'!$B$7)+1,FALSE),""))</f>
        <v>Walmart Inc. reported earnings results for the full year ended January 31, 2022. For the full year, the company reported sales was USD 567,762 million compared to USD 555,233</v>
      </c>
      <c r="B421" s="1202"/>
      <c r="C421" s="1202"/>
      <c r="E421" s="383">
        <f t="shared" si="12"/>
        <v>19</v>
      </c>
      <c r="F421" s="7">
        <f t="shared" si="13"/>
        <v>1</v>
      </c>
    </row>
    <row r="422" spans="1:6" s="571" customFormat="1" ht="11.65" customHeight="1" x14ac:dyDescent="0.2">
      <c r="A422" s="1202" t="str">
        <f>IF(MOD($F422,$H$2)&lt;$H$2-2,_xll.ciqfunctions.udf.CIQSPLIT(VLOOKUP(E422,'CIQ Key Developments'!$B$8:$I$491,COLUMN('CIQ Key Developments'!$F$7)-COLUMN('CIQ Key Developments'!$B$7)+1,FALSE),$F422,F$6),IF(MOD($F422,$H$2)=$H$2-2,"Source: "&amp;VLOOKUP(E422,'CIQ Key Developments'!$B$8:$I$491,COLUMN('CIQ Key Developments'!$I$7)-COLUMN('CIQ Key Developments'!$B$7)+1,FALSE),""))</f>
        <v>million a year ago. Revenue was USD 572,754 million compared to USD 559,151 million a year ago. Net income was USD 13,673 million compared to USD 13,510 million a year ago.</v>
      </c>
      <c r="B422" s="1202"/>
      <c r="C422" s="1202"/>
      <c r="E422" s="383">
        <f t="shared" si="12"/>
        <v>19</v>
      </c>
      <c r="F422" s="7">
        <f t="shared" si="13"/>
        <v>2</v>
      </c>
    </row>
    <row r="423" spans="1:6" s="571" customFormat="1" ht="11.65" customHeight="1" x14ac:dyDescent="0.2">
      <c r="A423" s="1202" t="str">
        <f>IF(MOD($F423,$H$2)&lt;$H$2-2,_xll.ciqfunctions.udf.CIQSPLIT(VLOOKUP(E423,'CIQ Key Developments'!$B$8:$I$491,COLUMN('CIQ Key Developments'!$F$7)-COLUMN('CIQ Key Developments'!$B$7)+1,FALSE),$F423,F$6),IF(MOD($F423,$H$2)=$H$2-2,"Source: "&amp;VLOOKUP(E423,'CIQ Key Developments'!$B$8:$I$491,COLUMN('CIQ Key Developments'!$I$7)-COLUMN('CIQ Key Developments'!$B$7)+1,FALSE),""))</f>
        <v>Basic earnings per share from continuing operations was USD 4.9 compared to USD 4.77 a year ago. Diluted earnings per share from continuing operations was USD 4.87 compared to</v>
      </c>
      <c r="B423" s="1202"/>
      <c r="C423" s="1202"/>
      <c r="E423" s="383">
        <f t="shared" si="12"/>
        <v>19</v>
      </c>
      <c r="F423" s="7">
        <f t="shared" si="13"/>
        <v>3</v>
      </c>
    </row>
    <row r="424" spans="1:6" s="571" customFormat="1" ht="11.65" customHeight="1" x14ac:dyDescent="0.2">
      <c r="A424" s="1202" t="str">
        <f>IF(MOD($F424,$H$2)&lt;$H$2-2,_xll.ciqfunctions.udf.CIQSPLIT(VLOOKUP(E424,'CIQ Key Developments'!$B$8:$I$491,COLUMN('CIQ Key Developments'!$F$7)-COLUMN('CIQ Key Developments'!$B$7)+1,FALSE),$F424,F$6),IF(MOD($F424,$H$2)=$H$2-2,"Source: "&amp;VLOOKUP(E424,'CIQ Key Developments'!$B$8:$I$491,COLUMN('CIQ Key Developments'!$I$7)-COLUMN('CIQ Key Developments'!$B$7)+1,FALSE),""))</f>
        <v>USD 4.75 a year ago.</v>
      </c>
      <c r="B424" s="1202"/>
      <c r="C424" s="1202"/>
      <c r="E424" s="383">
        <f t="shared" si="12"/>
        <v>19</v>
      </c>
      <c r="F424" s="7">
        <f t="shared" si="13"/>
        <v>4</v>
      </c>
    </row>
    <row r="425" spans="1:6" s="571" customFormat="1" ht="11.65" customHeight="1" x14ac:dyDescent="0.2">
      <c r="A425" s="1202" t="str">
        <f>IF(MOD($F425,$H$2)&lt;$H$2-2,_xll.ciqfunctions.udf.CIQSPLIT(VLOOKUP(E425,'CIQ Key Developments'!$B$8:$I$491,COLUMN('CIQ Key Developments'!$F$7)-COLUMN('CIQ Key Developments'!$B$7)+1,FALSE),$F425,F$6),IF(MOD($F425,$H$2)=$H$2-2,"Source: "&amp;VLOOKUP(E425,'CIQ Key Developments'!$B$8:$I$491,COLUMN('CIQ Key Developments'!$I$7)-COLUMN('CIQ Key Developments'!$B$7)+1,FALSE),""))</f>
        <v/>
      </c>
      <c r="B425" s="1202"/>
      <c r="C425" s="1202"/>
      <c r="E425" s="383">
        <f t="shared" si="12"/>
        <v>19</v>
      </c>
      <c r="F425" s="7">
        <f t="shared" si="13"/>
        <v>5</v>
      </c>
    </row>
    <row r="426" spans="1:6" s="571" customFormat="1" ht="11.65" customHeight="1" x14ac:dyDescent="0.2">
      <c r="A426" s="1202" t="str">
        <f>IF(MOD($F426,$H$2)&lt;$H$2-2,_xll.ciqfunctions.udf.CIQSPLIT(VLOOKUP(E426,'CIQ Key Developments'!$B$8:$I$491,COLUMN('CIQ Key Developments'!$F$7)-COLUMN('CIQ Key Developments'!$B$7)+1,FALSE),$F426,F$6),IF(MOD($F426,$H$2)=$H$2-2,"Source: "&amp;VLOOKUP(E426,'CIQ Key Developments'!$B$8:$I$491,COLUMN('CIQ Key Developments'!$I$7)-COLUMN('CIQ Key Developments'!$B$7)+1,FALSE),""))</f>
        <v/>
      </c>
      <c r="B426" s="1202"/>
      <c r="C426" s="1202"/>
      <c r="E426" s="383">
        <f t="shared" si="12"/>
        <v>19</v>
      </c>
      <c r="F426" s="7">
        <f t="shared" si="13"/>
        <v>6</v>
      </c>
    </row>
    <row r="427" spans="1:6" s="571" customFormat="1" ht="11.65" customHeight="1" x14ac:dyDescent="0.2">
      <c r="A427" s="1202" t="str">
        <f>IF(MOD($F427,$H$2)&lt;$H$2-2,_xll.ciqfunctions.udf.CIQSPLIT(VLOOKUP(E427,'CIQ Key Developments'!$B$8:$I$491,COLUMN('CIQ Key Developments'!$F$7)-COLUMN('CIQ Key Developments'!$B$7)+1,FALSE),$F427,F$6),IF(MOD($F427,$H$2)=$H$2-2,"Source: "&amp;VLOOKUP(E427,'CIQ Key Developments'!$B$8:$I$491,COLUMN('CIQ Key Developments'!$I$7)-COLUMN('CIQ Key Developments'!$B$7)+1,FALSE),""))</f>
        <v/>
      </c>
      <c r="B427" s="1202"/>
      <c r="C427" s="1202"/>
      <c r="E427" s="383">
        <f t="shared" si="12"/>
        <v>19</v>
      </c>
      <c r="F427" s="7">
        <f t="shared" si="13"/>
        <v>7</v>
      </c>
    </row>
    <row r="428" spans="1:6" s="571" customFormat="1" ht="11.65" customHeight="1" x14ac:dyDescent="0.2">
      <c r="A428" s="1202" t="str">
        <f>IF(MOD($F428,$H$2)&lt;$H$2-2,_xll.ciqfunctions.udf.CIQSPLIT(VLOOKUP(E428,'CIQ Key Developments'!$B$8:$I$491,COLUMN('CIQ Key Developments'!$F$7)-COLUMN('CIQ Key Developments'!$B$7)+1,FALSE),$F428,F$6),IF(MOD($F428,$H$2)=$H$2-2,"Source: "&amp;VLOOKUP(E428,'CIQ Key Developments'!$B$8:$I$491,COLUMN('CIQ Key Developments'!$I$7)-COLUMN('CIQ Key Developments'!$B$7)+1,FALSE),""))</f>
        <v/>
      </c>
      <c r="B428" s="1202"/>
      <c r="C428" s="1202"/>
      <c r="E428" s="383">
        <f t="shared" si="12"/>
        <v>19</v>
      </c>
      <c r="F428" s="7">
        <f t="shared" si="13"/>
        <v>8</v>
      </c>
    </row>
    <row r="429" spans="1:6" s="571" customFormat="1" ht="11.65" hidden="1" customHeight="1" outlineLevel="1" x14ac:dyDescent="0.2">
      <c r="A429" s="1202" t="str">
        <f>IF(MOD($F429,$H$2)&lt;$H$2-2,_xll.ciqfunctions.udf.CIQSPLIT(VLOOKUP(E429,'CIQ Key Developments'!$B$8:$I$491,COLUMN('CIQ Key Developments'!$F$7)-COLUMN('CIQ Key Developments'!$B$7)+1,FALSE),$F429,F$6),IF(MOD($F429,$H$2)=$H$2-2,"Source: "&amp;VLOOKUP(E429,'CIQ Key Developments'!$B$8:$I$491,COLUMN('CIQ Key Developments'!$I$7)-COLUMN('CIQ Key Developments'!$B$7)+1,FALSE),""))</f>
        <v/>
      </c>
      <c r="B429" s="1202"/>
      <c r="C429" s="1202"/>
      <c r="E429" s="383">
        <f t="shared" si="12"/>
        <v>19</v>
      </c>
      <c r="F429" s="7">
        <f t="shared" si="13"/>
        <v>9</v>
      </c>
    </row>
    <row r="430" spans="1:6" s="571" customFormat="1" ht="11.65" hidden="1" customHeight="1" outlineLevel="1" x14ac:dyDescent="0.2">
      <c r="A430" s="1202" t="str">
        <f>IF(MOD($F430,$H$2)&lt;$H$2-2,_xll.ciqfunctions.udf.CIQSPLIT(VLOOKUP(E430,'CIQ Key Developments'!$B$8:$I$491,COLUMN('CIQ Key Developments'!$F$7)-COLUMN('CIQ Key Developments'!$B$7)+1,FALSE),$F430,F$6),IF(MOD($F430,$H$2)=$H$2-2,"Source: "&amp;VLOOKUP(E430,'CIQ Key Developments'!$B$8:$I$491,COLUMN('CIQ Key Developments'!$I$7)-COLUMN('CIQ Key Developments'!$B$7)+1,FALSE),""))</f>
        <v/>
      </c>
      <c r="B430" s="1202"/>
      <c r="C430" s="1202"/>
      <c r="E430" s="383">
        <f t="shared" si="12"/>
        <v>19</v>
      </c>
      <c r="F430" s="7">
        <f t="shared" si="13"/>
        <v>10</v>
      </c>
    </row>
    <row r="431" spans="1:6" s="571" customFormat="1" ht="11.65" hidden="1" customHeight="1" outlineLevel="1" x14ac:dyDescent="0.2">
      <c r="A431" s="1202" t="str">
        <f>IF(MOD($F431,$H$2)&lt;$H$2-2,_xll.ciqfunctions.udf.CIQSPLIT(VLOOKUP(E431,'CIQ Key Developments'!$B$8:$I$491,COLUMN('CIQ Key Developments'!$F$7)-COLUMN('CIQ Key Developments'!$B$7)+1,FALSE),$F431,F$6),IF(MOD($F431,$H$2)=$H$2-2,"Source: "&amp;VLOOKUP(E431,'CIQ Key Developments'!$B$8:$I$491,COLUMN('CIQ Key Developments'!$I$7)-COLUMN('CIQ Key Developments'!$B$7)+1,FALSE),""))</f>
        <v/>
      </c>
      <c r="B431" s="1202"/>
      <c r="C431" s="1202"/>
      <c r="E431" s="383">
        <f t="shared" si="12"/>
        <v>19</v>
      </c>
      <c r="F431" s="7">
        <f t="shared" si="13"/>
        <v>11</v>
      </c>
    </row>
    <row r="432" spans="1:6" s="571" customFormat="1" ht="11.65" hidden="1" customHeight="1" outlineLevel="1" x14ac:dyDescent="0.2">
      <c r="A432" s="1202" t="str">
        <f>IF(MOD($F432,$H$2)&lt;$H$2-2,_xll.ciqfunctions.udf.CIQSPLIT(VLOOKUP(E432,'CIQ Key Developments'!$B$8:$I$491,COLUMN('CIQ Key Developments'!$F$7)-COLUMN('CIQ Key Developments'!$B$7)+1,FALSE),$F432,F$6),IF(MOD($F432,$H$2)=$H$2-2,"Source: "&amp;VLOOKUP(E432,'CIQ Key Developments'!$B$8:$I$491,COLUMN('CIQ Key Developments'!$I$7)-COLUMN('CIQ Key Developments'!$B$7)+1,FALSE),""))</f>
        <v/>
      </c>
      <c r="B432" s="1202"/>
      <c r="C432" s="1202"/>
      <c r="E432" s="383">
        <f t="shared" si="12"/>
        <v>19</v>
      </c>
      <c r="F432" s="7">
        <f t="shared" si="13"/>
        <v>12</v>
      </c>
    </row>
    <row r="433" spans="1:6" s="571" customFormat="1" ht="11.65" hidden="1" customHeight="1" outlineLevel="1" x14ac:dyDescent="0.2">
      <c r="A433" s="1202" t="str">
        <f>IF(MOD($F433,$H$2)&lt;$H$2-2,_xll.ciqfunctions.udf.CIQSPLIT(VLOOKUP(E433,'CIQ Key Developments'!$B$8:$I$491,COLUMN('CIQ Key Developments'!$F$7)-COLUMN('CIQ Key Developments'!$B$7)+1,FALSE),$F433,F$6),IF(MOD($F433,$H$2)=$H$2-2,"Source: "&amp;VLOOKUP(E433,'CIQ Key Developments'!$B$8:$I$491,COLUMN('CIQ Key Developments'!$I$7)-COLUMN('CIQ Key Developments'!$B$7)+1,FALSE),""))</f>
        <v/>
      </c>
      <c r="B433" s="1202"/>
      <c r="C433" s="1202"/>
      <c r="E433" s="383">
        <f t="shared" si="12"/>
        <v>19</v>
      </c>
      <c r="F433" s="7">
        <f t="shared" si="13"/>
        <v>13</v>
      </c>
    </row>
    <row r="434" spans="1:6" s="571" customFormat="1" ht="11.65" hidden="1" customHeight="1" outlineLevel="1" x14ac:dyDescent="0.2">
      <c r="A434" s="1202" t="str">
        <f>IF(MOD($F434,$H$2)&lt;$H$2-2,_xll.ciqfunctions.udf.CIQSPLIT(VLOOKUP(E434,'CIQ Key Developments'!$B$8:$I$491,COLUMN('CIQ Key Developments'!$F$7)-COLUMN('CIQ Key Developments'!$B$7)+1,FALSE),$F434,F$6),IF(MOD($F434,$H$2)=$H$2-2,"Source: "&amp;VLOOKUP(E434,'CIQ Key Developments'!$B$8:$I$491,COLUMN('CIQ Key Developments'!$I$7)-COLUMN('CIQ Key Developments'!$B$7)+1,FALSE),""))</f>
        <v/>
      </c>
      <c r="B434" s="1202"/>
      <c r="C434" s="1202"/>
      <c r="E434" s="383">
        <f t="shared" si="12"/>
        <v>19</v>
      </c>
      <c r="F434" s="7">
        <f t="shared" si="13"/>
        <v>14</v>
      </c>
    </row>
    <row r="435" spans="1:6" s="571" customFormat="1" ht="11.65" hidden="1" customHeight="1" outlineLevel="1" x14ac:dyDescent="0.2">
      <c r="A435" s="1202" t="str">
        <f>IF(MOD($F435,$H$2)&lt;$H$2-2,_xll.ciqfunctions.udf.CIQSPLIT(VLOOKUP(E435,'CIQ Key Developments'!$B$8:$I$491,COLUMN('CIQ Key Developments'!$F$7)-COLUMN('CIQ Key Developments'!$B$7)+1,FALSE),$F435,F$6),IF(MOD($F435,$H$2)=$H$2-2,"Source: "&amp;VLOOKUP(E435,'CIQ Key Developments'!$B$8:$I$491,COLUMN('CIQ Key Developments'!$I$7)-COLUMN('CIQ Key Developments'!$B$7)+1,FALSE),""))</f>
        <v/>
      </c>
      <c r="B435" s="1202"/>
      <c r="C435" s="1202"/>
      <c r="E435" s="383">
        <f t="shared" si="12"/>
        <v>19</v>
      </c>
      <c r="F435" s="7">
        <f t="shared" si="13"/>
        <v>15</v>
      </c>
    </row>
    <row r="436" spans="1:6" s="571" customFormat="1" ht="11.65" hidden="1" customHeight="1" outlineLevel="1" x14ac:dyDescent="0.2">
      <c r="A436" s="1202" t="str">
        <f>IF(MOD($F436,$H$2)&lt;$H$2-2,_xll.ciqfunctions.udf.CIQSPLIT(VLOOKUP(E436,'CIQ Key Developments'!$B$8:$I$491,COLUMN('CIQ Key Developments'!$F$7)-COLUMN('CIQ Key Developments'!$B$7)+1,FALSE),$F436,F$6),IF(MOD($F436,$H$2)=$H$2-2,"Source: "&amp;VLOOKUP(E436,'CIQ Key Developments'!$B$8:$I$491,COLUMN('CIQ Key Developments'!$I$7)-COLUMN('CIQ Key Developments'!$B$7)+1,FALSE),""))</f>
        <v/>
      </c>
      <c r="B436" s="1202"/>
      <c r="C436" s="1202"/>
      <c r="E436" s="383">
        <f t="shared" si="12"/>
        <v>19</v>
      </c>
      <c r="F436" s="7">
        <f t="shared" si="13"/>
        <v>16</v>
      </c>
    </row>
    <row r="437" spans="1:6" s="571" customFormat="1" ht="11.65" hidden="1" customHeight="1" outlineLevel="1" x14ac:dyDescent="0.2">
      <c r="A437" s="1202" t="str">
        <f>IF(MOD($F437,$H$2)&lt;$H$2-2,_xll.ciqfunctions.udf.CIQSPLIT(VLOOKUP(E437,'CIQ Key Developments'!$B$8:$I$491,COLUMN('CIQ Key Developments'!$F$7)-COLUMN('CIQ Key Developments'!$B$7)+1,FALSE),$F437,F$6),IF(MOD($F437,$H$2)=$H$2-2,"Source: "&amp;VLOOKUP(E437,'CIQ Key Developments'!$B$8:$I$491,COLUMN('CIQ Key Developments'!$I$7)-COLUMN('CIQ Key Developments'!$B$7)+1,FALSE),""))</f>
        <v/>
      </c>
      <c r="B437" s="1202"/>
      <c r="C437" s="1202"/>
      <c r="E437" s="383">
        <f t="shared" si="12"/>
        <v>19</v>
      </c>
      <c r="F437" s="7">
        <f t="shared" si="13"/>
        <v>17</v>
      </c>
    </row>
    <row r="438" spans="1:6" s="571" customFormat="1" ht="11.65" hidden="1" customHeight="1" outlineLevel="1" x14ac:dyDescent="0.2">
      <c r="A438" s="1202" t="str">
        <f>IF(MOD($F438,$H$2)&lt;$H$2-2,_xll.ciqfunctions.udf.CIQSPLIT(VLOOKUP(E438,'CIQ Key Developments'!$B$8:$I$491,COLUMN('CIQ Key Developments'!$F$7)-COLUMN('CIQ Key Developments'!$B$7)+1,FALSE),$F438,F$6),IF(MOD($F438,$H$2)=$H$2-2,"Source: "&amp;VLOOKUP(E438,'CIQ Key Developments'!$B$8:$I$491,COLUMN('CIQ Key Developments'!$I$7)-COLUMN('CIQ Key Developments'!$B$7)+1,FALSE),""))</f>
        <v/>
      </c>
      <c r="B438" s="1202"/>
      <c r="C438" s="1202"/>
      <c r="E438" s="383">
        <f t="shared" si="12"/>
        <v>19</v>
      </c>
      <c r="F438" s="7">
        <f t="shared" si="13"/>
        <v>18</v>
      </c>
    </row>
    <row r="439" spans="1:6" s="571" customFormat="1" ht="11.65" hidden="1" customHeight="1" outlineLevel="1" x14ac:dyDescent="0.2">
      <c r="A439" s="1202" t="str">
        <f>IF(MOD($F439,$H$2)&lt;$H$2-2,_xll.ciqfunctions.udf.CIQSPLIT(VLOOKUP(E439,'CIQ Key Developments'!$B$8:$I$491,COLUMN('CIQ Key Developments'!$F$7)-COLUMN('CIQ Key Developments'!$B$7)+1,FALSE),$F439,F$6),IF(MOD($F439,$H$2)=$H$2-2,"Source: "&amp;VLOOKUP(E439,'CIQ Key Developments'!$B$8:$I$491,COLUMN('CIQ Key Developments'!$I$7)-COLUMN('CIQ Key Developments'!$B$7)+1,FALSE),""))</f>
        <v/>
      </c>
      <c r="B439" s="1202"/>
      <c r="C439" s="1202"/>
      <c r="E439" s="383">
        <f t="shared" si="12"/>
        <v>19</v>
      </c>
      <c r="F439" s="7">
        <f t="shared" si="13"/>
        <v>19</v>
      </c>
    </row>
    <row r="440" spans="1:6" s="571" customFormat="1" ht="11.65" customHeight="1" collapsed="1" x14ac:dyDescent="0.2">
      <c r="A440" s="1202" t="str">
        <f>IF(MOD($F440,$H$2)&lt;$H$2-2,_xll.ciqfunctions.udf.CIQSPLIT(VLOOKUP(E440,'CIQ Key Developments'!$B$8:$I$491,COLUMN('CIQ Key Developments'!$F$7)-COLUMN('CIQ Key Developments'!$B$7)+1,FALSE),$F440,F$6),IF(MOD($F440,$H$2)=$H$2-2,"Source: "&amp;VLOOKUP(E440,'CIQ Key Developments'!$B$8:$I$491,COLUMN('CIQ Key Developments'!$I$7)-COLUMN('CIQ Key Developments'!$B$7)+1,FALSE),""))</f>
        <v>Source: S&amp;P Capital IQ Financials Database</v>
      </c>
      <c r="B440" s="1202"/>
      <c r="C440" s="1202"/>
      <c r="E440" s="383">
        <f t="shared" si="12"/>
        <v>19</v>
      </c>
      <c r="F440" s="7">
        <f t="shared" si="13"/>
        <v>20</v>
      </c>
    </row>
    <row r="441" spans="1:6" ht="7.15" customHeight="1" collapsed="1" x14ac:dyDescent="0.2">
      <c r="A441" s="1202" t="str">
        <f>IF(MOD($F441,$H$2)&lt;$H$2-2,_xll.ciqfunctions.udf.CIQSPLIT(VLOOKUP(E441,'CIQ Key Developments'!$B$8:$I$491,COLUMN('CIQ Key Developments'!$F$7)-COLUMN('CIQ Key Developments'!$B$7)+1,FALSE),$F441,F$6),IF(MOD($F441,$H$2)=$H$2-2,"Source: "&amp;VLOOKUP(E441,'CIQ Key Developments'!$B$8:$I$491,COLUMN('CIQ Key Developments'!$I$7)-COLUMN('CIQ Key Developments'!$B$7)+1,FALSE),""))</f>
        <v/>
      </c>
      <c r="B441" s="1202"/>
      <c r="C441" s="1202"/>
      <c r="E441" s="383">
        <f t="shared" si="12"/>
        <v>19</v>
      </c>
      <c r="F441" s="7">
        <f t="shared" si="13"/>
        <v>21</v>
      </c>
    </row>
    <row r="442" spans="1:6" s="571" customFormat="1" ht="12" customHeight="1" x14ac:dyDescent="0.2">
      <c r="A442" s="1513" t="str">
        <f>+VLOOKUP(E442,'CIQ Key Developments'!$B$8:$I$491,COLUMN('CIQ Key Developments'!$D$7)-COLUMN('CIQ Key Developments'!$B$7)+1,FALSE)</f>
        <v>Walmart Inc. to Report Q4, 2022 Results on Feb 17, 2022</v>
      </c>
      <c r="B442" s="1514"/>
      <c r="C442" s="1515"/>
      <c r="E442" s="383">
        <f t="shared" si="12"/>
        <v>20</v>
      </c>
      <c r="F442" s="7">
        <f t="shared" si="13"/>
        <v>22</v>
      </c>
    </row>
    <row r="443" spans="1:6" s="571" customFormat="1" ht="11.65" customHeight="1" x14ac:dyDescent="0.2">
      <c r="A443" s="1199" t="str">
        <f>+$C$3</f>
        <v>Walmart Inc.</v>
      </c>
      <c r="B443" s="1200" t="str">
        <f>VLOOKUP(E442,'CIQ Key Developments'!$B$8:$I$491,COLUMN('CIQ Key Developments'!$G$7)-COLUMN('CIQ Key Developments'!$B$7)+1,FALSE)&amp;" "&amp;VLOOKUP(E442,'CIQ Key Developments'!$B$8:$I$491,COLUMN('CIQ Key Developments'!$H$7)-COLUMN('CIQ Key Developments'!$B$7)+1,FALSE)</f>
        <v>17 Feb 2022 8:00 PM</v>
      </c>
      <c r="C443" s="1201" t="str">
        <f>+VLOOKUP(E442,'CIQ Key Developments'!$B$8:$I$491,COLUMN('CIQ Key Developments'!$E$7)-COLUMN('CIQ Key Developments'!$B$7)+1,FALSE)</f>
        <v>Earnings Release Date</v>
      </c>
      <c r="E443" s="383">
        <f t="shared" si="12"/>
        <v>20</v>
      </c>
      <c r="F443" s="7">
        <f t="shared" si="13"/>
        <v>175</v>
      </c>
    </row>
    <row r="444" spans="1:6" s="571" customFormat="1" ht="11.65" customHeight="1" x14ac:dyDescent="0.2">
      <c r="A444" s="1202" t="str">
        <f>IF(MOD($F444,$H$2)&lt;$H$2-2,_xll.ciqfunctions.udf.CIQSPLIT(VLOOKUP(E444,'CIQ Key Developments'!$B$8:$I$491,COLUMN('CIQ Key Developments'!$F$7)-COLUMN('CIQ Key Developments'!$B$7)+1,FALSE),$F444,F$6),IF(MOD($F444,$H$2)=$H$2-2,"Source: "&amp;VLOOKUP(E444,'CIQ Key Developments'!$B$8:$I$491,COLUMN('CIQ Key Developments'!$I$7)-COLUMN('CIQ Key Developments'!$B$7)+1,FALSE),""))</f>
        <v>Walmart Inc. announced that they will report Q4, 2022 results at 6:00 AM, Central Standard Time on Feb 17, 2022</v>
      </c>
      <c r="B444" s="1202"/>
      <c r="C444" s="1202"/>
      <c r="E444" s="383">
        <f t="shared" si="12"/>
        <v>20</v>
      </c>
      <c r="F444" s="7">
        <f t="shared" si="13"/>
        <v>1</v>
      </c>
    </row>
    <row r="445" spans="1:6" s="571" customFormat="1" ht="11.65" customHeight="1" x14ac:dyDescent="0.2">
      <c r="A445" s="1202" t="str">
        <f>IF(MOD($F445,$H$2)&lt;$H$2-2,_xll.ciqfunctions.udf.CIQSPLIT(VLOOKUP(E445,'CIQ Key Developments'!$B$8:$I$491,COLUMN('CIQ Key Developments'!$F$7)-COLUMN('CIQ Key Developments'!$B$7)+1,FALSE),$F445,F$6),IF(MOD($F445,$H$2)=$H$2-2,"Source: "&amp;VLOOKUP(E445,'CIQ Key Developments'!$B$8:$I$491,COLUMN('CIQ Key Developments'!$I$7)-COLUMN('CIQ Key Developments'!$B$7)+1,FALSE),""))</f>
        <v/>
      </c>
      <c r="B445" s="1202"/>
      <c r="C445" s="1202"/>
      <c r="E445" s="383">
        <f t="shared" si="12"/>
        <v>20</v>
      </c>
      <c r="F445" s="7">
        <f t="shared" si="13"/>
        <v>2</v>
      </c>
    </row>
    <row r="446" spans="1:6" s="571" customFormat="1" ht="11.65" customHeight="1" x14ac:dyDescent="0.2">
      <c r="A446" s="1202" t="str">
        <f>IF(MOD($F446,$H$2)&lt;$H$2-2,_xll.ciqfunctions.udf.CIQSPLIT(VLOOKUP(E446,'CIQ Key Developments'!$B$8:$I$491,COLUMN('CIQ Key Developments'!$F$7)-COLUMN('CIQ Key Developments'!$B$7)+1,FALSE),$F446,F$6),IF(MOD($F446,$H$2)=$H$2-2,"Source: "&amp;VLOOKUP(E446,'CIQ Key Developments'!$B$8:$I$491,COLUMN('CIQ Key Developments'!$I$7)-COLUMN('CIQ Key Developments'!$B$7)+1,FALSE),""))</f>
        <v/>
      </c>
      <c r="B446" s="1202"/>
      <c r="C446" s="1202"/>
      <c r="E446" s="383">
        <f t="shared" si="12"/>
        <v>20</v>
      </c>
      <c r="F446" s="7">
        <f t="shared" si="13"/>
        <v>3</v>
      </c>
    </row>
    <row r="447" spans="1:6" s="571" customFormat="1" ht="11.65" customHeight="1" x14ac:dyDescent="0.2">
      <c r="A447" s="1202" t="str">
        <f>IF(MOD($F447,$H$2)&lt;$H$2-2,_xll.ciqfunctions.udf.CIQSPLIT(VLOOKUP(E447,'CIQ Key Developments'!$B$8:$I$491,COLUMN('CIQ Key Developments'!$F$7)-COLUMN('CIQ Key Developments'!$B$7)+1,FALSE),$F447,F$6),IF(MOD($F447,$H$2)=$H$2-2,"Source: "&amp;VLOOKUP(E447,'CIQ Key Developments'!$B$8:$I$491,COLUMN('CIQ Key Developments'!$I$7)-COLUMN('CIQ Key Developments'!$B$7)+1,FALSE),""))</f>
        <v/>
      </c>
      <c r="B447" s="1202"/>
      <c r="C447" s="1202"/>
      <c r="E447" s="383">
        <f t="shared" si="12"/>
        <v>20</v>
      </c>
      <c r="F447" s="7">
        <f t="shared" si="13"/>
        <v>4</v>
      </c>
    </row>
    <row r="448" spans="1:6" s="571" customFormat="1" ht="11.65" customHeight="1" x14ac:dyDescent="0.2">
      <c r="A448" s="1202" t="str">
        <f>IF(MOD($F448,$H$2)&lt;$H$2-2,_xll.ciqfunctions.udf.CIQSPLIT(VLOOKUP(E448,'CIQ Key Developments'!$B$8:$I$491,COLUMN('CIQ Key Developments'!$F$7)-COLUMN('CIQ Key Developments'!$B$7)+1,FALSE),$F448,F$6),IF(MOD($F448,$H$2)=$H$2-2,"Source: "&amp;VLOOKUP(E448,'CIQ Key Developments'!$B$8:$I$491,COLUMN('CIQ Key Developments'!$I$7)-COLUMN('CIQ Key Developments'!$B$7)+1,FALSE),""))</f>
        <v/>
      </c>
      <c r="B448" s="1202"/>
      <c r="C448" s="1202"/>
      <c r="E448" s="383">
        <f t="shared" si="12"/>
        <v>20</v>
      </c>
      <c r="F448" s="7">
        <f t="shared" si="13"/>
        <v>5</v>
      </c>
    </row>
    <row r="449" spans="1:6" s="571" customFormat="1" ht="11.65" customHeight="1" x14ac:dyDescent="0.2">
      <c r="A449" s="1202" t="str">
        <f>IF(MOD($F449,$H$2)&lt;$H$2-2,_xll.ciqfunctions.udf.CIQSPLIT(VLOOKUP(E449,'CIQ Key Developments'!$B$8:$I$491,COLUMN('CIQ Key Developments'!$F$7)-COLUMN('CIQ Key Developments'!$B$7)+1,FALSE),$F449,F$6),IF(MOD($F449,$H$2)=$H$2-2,"Source: "&amp;VLOOKUP(E449,'CIQ Key Developments'!$B$8:$I$491,COLUMN('CIQ Key Developments'!$I$7)-COLUMN('CIQ Key Developments'!$B$7)+1,FALSE),""))</f>
        <v/>
      </c>
      <c r="B449" s="1202"/>
      <c r="C449" s="1202"/>
      <c r="E449" s="383">
        <f t="shared" si="12"/>
        <v>20</v>
      </c>
      <c r="F449" s="7">
        <f t="shared" si="13"/>
        <v>6</v>
      </c>
    </row>
    <row r="450" spans="1:6" s="571" customFormat="1" ht="11.65" hidden="1" customHeight="1" outlineLevel="1" x14ac:dyDescent="0.2">
      <c r="A450" s="1202" t="str">
        <f>IF(MOD($F450,$H$2)&lt;$H$2-2,_xll.ciqfunctions.udf.CIQSPLIT(VLOOKUP(E450,'CIQ Key Developments'!$B$8:$I$491,COLUMN('CIQ Key Developments'!$F$7)-COLUMN('CIQ Key Developments'!$B$7)+1,FALSE),$F450,F$6),IF(MOD($F450,$H$2)=$H$2-2,"Source: "&amp;VLOOKUP(E450,'CIQ Key Developments'!$B$8:$I$491,COLUMN('CIQ Key Developments'!$I$7)-COLUMN('CIQ Key Developments'!$B$7)+1,FALSE),""))</f>
        <v/>
      </c>
      <c r="B450" s="1202"/>
      <c r="C450" s="1202"/>
      <c r="E450" s="383">
        <f t="shared" si="12"/>
        <v>20</v>
      </c>
      <c r="F450" s="7">
        <f t="shared" si="13"/>
        <v>7</v>
      </c>
    </row>
    <row r="451" spans="1:6" s="571" customFormat="1" ht="11.65" hidden="1" customHeight="1" outlineLevel="1" x14ac:dyDescent="0.2">
      <c r="A451" s="1202" t="str">
        <f>IF(MOD($F451,$H$2)&lt;$H$2-2,_xll.ciqfunctions.udf.CIQSPLIT(VLOOKUP(E451,'CIQ Key Developments'!$B$8:$I$491,COLUMN('CIQ Key Developments'!$F$7)-COLUMN('CIQ Key Developments'!$B$7)+1,FALSE),$F451,F$6),IF(MOD($F451,$H$2)=$H$2-2,"Source: "&amp;VLOOKUP(E451,'CIQ Key Developments'!$B$8:$I$491,COLUMN('CIQ Key Developments'!$I$7)-COLUMN('CIQ Key Developments'!$B$7)+1,FALSE),""))</f>
        <v/>
      </c>
      <c r="B451" s="1202"/>
      <c r="C451" s="1202"/>
      <c r="E451" s="383">
        <f t="shared" si="12"/>
        <v>20</v>
      </c>
      <c r="F451" s="7">
        <f t="shared" si="13"/>
        <v>8</v>
      </c>
    </row>
    <row r="452" spans="1:6" s="571" customFormat="1" ht="11.65" hidden="1" customHeight="1" outlineLevel="1" x14ac:dyDescent="0.2">
      <c r="A452" s="1202" t="str">
        <f>IF(MOD($F452,$H$2)&lt;$H$2-2,_xll.ciqfunctions.udf.CIQSPLIT(VLOOKUP(E452,'CIQ Key Developments'!$B$8:$I$491,COLUMN('CIQ Key Developments'!$F$7)-COLUMN('CIQ Key Developments'!$B$7)+1,FALSE),$F452,F$6),IF(MOD($F452,$H$2)=$H$2-2,"Source: "&amp;VLOOKUP(E452,'CIQ Key Developments'!$B$8:$I$491,COLUMN('CIQ Key Developments'!$I$7)-COLUMN('CIQ Key Developments'!$B$7)+1,FALSE),""))</f>
        <v/>
      </c>
      <c r="B452" s="1202"/>
      <c r="C452" s="1202"/>
      <c r="E452" s="383">
        <f t="shared" si="12"/>
        <v>20</v>
      </c>
      <c r="F452" s="7">
        <f t="shared" si="13"/>
        <v>9</v>
      </c>
    </row>
    <row r="453" spans="1:6" s="571" customFormat="1" ht="11.65" hidden="1" customHeight="1" outlineLevel="1" x14ac:dyDescent="0.2">
      <c r="A453" s="1202" t="str">
        <f>IF(MOD($F453,$H$2)&lt;$H$2-2,_xll.ciqfunctions.udf.CIQSPLIT(VLOOKUP(E453,'CIQ Key Developments'!$B$8:$I$491,COLUMN('CIQ Key Developments'!$F$7)-COLUMN('CIQ Key Developments'!$B$7)+1,FALSE),$F453,F$6),IF(MOD($F453,$H$2)=$H$2-2,"Source: "&amp;VLOOKUP(E453,'CIQ Key Developments'!$B$8:$I$491,COLUMN('CIQ Key Developments'!$I$7)-COLUMN('CIQ Key Developments'!$B$7)+1,FALSE),""))</f>
        <v/>
      </c>
      <c r="B453" s="1202"/>
      <c r="C453" s="1202"/>
      <c r="E453" s="383">
        <f t="shared" si="12"/>
        <v>20</v>
      </c>
      <c r="F453" s="7">
        <f t="shared" si="13"/>
        <v>10</v>
      </c>
    </row>
    <row r="454" spans="1:6" s="571" customFormat="1" ht="11.65" hidden="1" customHeight="1" outlineLevel="1" x14ac:dyDescent="0.2">
      <c r="A454" s="1202" t="str">
        <f>IF(MOD($F454,$H$2)&lt;$H$2-2,_xll.ciqfunctions.udf.CIQSPLIT(VLOOKUP(E454,'CIQ Key Developments'!$B$8:$I$491,COLUMN('CIQ Key Developments'!$F$7)-COLUMN('CIQ Key Developments'!$B$7)+1,FALSE),$F454,F$6),IF(MOD($F454,$H$2)=$H$2-2,"Source: "&amp;VLOOKUP(E454,'CIQ Key Developments'!$B$8:$I$491,COLUMN('CIQ Key Developments'!$I$7)-COLUMN('CIQ Key Developments'!$B$7)+1,FALSE),""))</f>
        <v/>
      </c>
      <c r="B454" s="1202"/>
      <c r="C454" s="1202"/>
      <c r="E454" s="383">
        <f t="shared" si="12"/>
        <v>20</v>
      </c>
      <c r="F454" s="7">
        <f t="shared" si="13"/>
        <v>11</v>
      </c>
    </row>
    <row r="455" spans="1:6" s="571" customFormat="1" ht="11.65" hidden="1" customHeight="1" outlineLevel="1" x14ac:dyDescent="0.2">
      <c r="A455" s="1202" t="str">
        <f>IF(MOD($F455,$H$2)&lt;$H$2-2,_xll.ciqfunctions.udf.CIQSPLIT(VLOOKUP(E455,'CIQ Key Developments'!$B$8:$I$491,COLUMN('CIQ Key Developments'!$F$7)-COLUMN('CIQ Key Developments'!$B$7)+1,FALSE),$F455,F$6),IF(MOD($F455,$H$2)=$H$2-2,"Source: "&amp;VLOOKUP(E455,'CIQ Key Developments'!$B$8:$I$491,COLUMN('CIQ Key Developments'!$I$7)-COLUMN('CIQ Key Developments'!$B$7)+1,FALSE),""))</f>
        <v/>
      </c>
      <c r="B455" s="1202"/>
      <c r="C455" s="1202"/>
      <c r="E455" s="383">
        <f t="shared" ref="E455:E518" si="14">+IF(F456=$F$6,E454+1,E454)</f>
        <v>20</v>
      </c>
      <c r="F455" s="7">
        <f t="shared" si="13"/>
        <v>12</v>
      </c>
    </row>
    <row r="456" spans="1:6" s="571" customFormat="1" ht="11.65" hidden="1" customHeight="1" outlineLevel="1" x14ac:dyDescent="0.2">
      <c r="A456" s="1202" t="str">
        <f>IF(MOD($F456,$H$2)&lt;$H$2-2,_xll.ciqfunctions.udf.CIQSPLIT(VLOOKUP(E456,'CIQ Key Developments'!$B$8:$I$491,COLUMN('CIQ Key Developments'!$F$7)-COLUMN('CIQ Key Developments'!$B$7)+1,FALSE),$F456,F$6),IF(MOD($F456,$H$2)=$H$2-2,"Source: "&amp;VLOOKUP(E456,'CIQ Key Developments'!$B$8:$I$491,COLUMN('CIQ Key Developments'!$I$7)-COLUMN('CIQ Key Developments'!$B$7)+1,FALSE),""))</f>
        <v/>
      </c>
      <c r="B456" s="1202"/>
      <c r="C456" s="1202"/>
      <c r="E456" s="383">
        <f t="shared" si="14"/>
        <v>20</v>
      </c>
      <c r="F456" s="7">
        <f t="shared" si="13"/>
        <v>13</v>
      </c>
    </row>
    <row r="457" spans="1:6" s="571" customFormat="1" ht="11.65" hidden="1" customHeight="1" outlineLevel="1" x14ac:dyDescent="0.2">
      <c r="A457" s="1202" t="str">
        <f>IF(MOD($F457,$H$2)&lt;$H$2-2,_xll.ciqfunctions.udf.CIQSPLIT(VLOOKUP(E457,'CIQ Key Developments'!$B$8:$I$491,COLUMN('CIQ Key Developments'!$F$7)-COLUMN('CIQ Key Developments'!$B$7)+1,FALSE),$F457,F$6),IF(MOD($F457,$H$2)=$H$2-2,"Source: "&amp;VLOOKUP(E457,'CIQ Key Developments'!$B$8:$I$491,COLUMN('CIQ Key Developments'!$I$7)-COLUMN('CIQ Key Developments'!$B$7)+1,FALSE),""))</f>
        <v/>
      </c>
      <c r="B457" s="1202"/>
      <c r="C457" s="1202"/>
      <c r="E457" s="383">
        <f t="shared" si="14"/>
        <v>20</v>
      </c>
      <c r="F457" s="7">
        <f t="shared" ref="F457:F520" si="15">+IF(F456&lt;$H$2,F456+1,IF(F456=$F$6,1,$F$6))</f>
        <v>14</v>
      </c>
    </row>
    <row r="458" spans="1:6" s="571" customFormat="1" ht="11.65" hidden="1" customHeight="1" outlineLevel="1" x14ac:dyDescent="0.2">
      <c r="A458" s="1202" t="str">
        <f>IF(MOD($F458,$H$2)&lt;$H$2-2,_xll.ciqfunctions.udf.CIQSPLIT(VLOOKUP(E458,'CIQ Key Developments'!$B$8:$I$491,COLUMN('CIQ Key Developments'!$F$7)-COLUMN('CIQ Key Developments'!$B$7)+1,FALSE),$F458,F$6),IF(MOD($F458,$H$2)=$H$2-2,"Source: "&amp;VLOOKUP(E458,'CIQ Key Developments'!$B$8:$I$491,COLUMN('CIQ Key Developments'!$I$7)-COLUMN('CIQ Key Developments'!$B$7)+1,FALSE),""))</f>
        <v/>
      </c>
      <c r="B458" s="1202"/>
      <c r="C458" s="1202"/>
      <c r="E458" s="383">
        <f t="shared" si="14"/>
        <v>20</v>
      </c>
      <c r="F458" s="7">
        <f t="shared" si="15"/>
        <v>15</v>
      </c>
    </row>
    <row r="459" spans="1:6" s="571" customFormat="1" ht="11.65" hidden="1" customHeight="1" outlineLevel="1" x14ac:dyDescent="0.2">
      <c r="A459" s="1202" t="str">
        <f>IF(MOD($F459,$H$2)&lt;$H$2-2,_xll.ciqfunctions.udf.CIQSPLIT(VLOOKUP(E459,'CIQ Key Developments'!$B$8:$I$491,COLUMN('CIQ Key Developments'!$F$7)-COLUMN('CIQ Key Developments'!$B$7)+1,FALSE),$F459,F$6),IF(MOD($F459,$H$2)=$H$2-2,"Source: "&amp;VLOOKUP(E459,'CIQ Key Developments'!$B$8:$I$491,COLUMN('CIQ Key Developments'!$I$7)-COLUMN('CIQ Key Developments'!$B$7)+1,FALSE),""))</f>
        <v/>
      </c>
      <c r="B459" s="1202"/>
      <c r="C459" s="1202"/>
      <c r="E459" s="383">
        <f t="shared" si="14"/>
        <v>20</v>
      </c>
      <c r="F459" s="7">
        <f t="shared" si="15"/>
        <v>16</v>
      </c>
    </row>
    <row r="460" spans="1:6" s="571" customFormat="1" ht="11.65" hidden="1" customHeight="1" outlineLevel="1" x14ac:dyDescent="0.2">
      <c r="A460" s="1202" t="str">
        <f>IF(MOD($F460,$H$2)&lt;$H$2-2,_xll.ciqfunctions.udf.CIQSPLIT(VLOOKUP(E460,'CIQ Key Developments'!$B$8:$I$491,COLUMN('CIQ Key Developments'!$F$7)-COLUMN('CIQ Key Developments'!$B$7)+1,FALSE),$F460,F$6),IF(MOD($F460,$H$2)=$H$2-2,"Source: "&amp;VLOOKUP(E460,'CIQ Key Developments'!$B$8:$I$491,COLUMN('CIQ Key Developments'!$I$7)-COLUMN('CIQ Key Developments'!$B$7)+1,FALSE),""))</f>
        <v/>
      </c>
      <c r="B460" s="1202"/>
      <c r="C460" s="1202"/>
      <c r="E460" s="383">
        <f t="shared" si="14"/>
        <v>20</v>
      </c>
      <c r="F460" s="7">
        <f t="shared" si="15"/>
        <v>17</v>
      </c>
    </row>
    <row r="461" spans="1:6" s="571" customFormat="1" ht="11.65" hidden="1" customHeight="1" outlineLevel="1" x14ac:dyDescent="0.2">
      <c r="A461" s="1202" t="str">
        <f>IF(MOD($F461,$H$2)&lt;$H$2-2,_xll.ciqfunctions.udf.CIQSPLIT(VLOOKUP(E461,'CIQ Key Developments'!$B$8:$I$491,COLUMN('CIQ Key Developments'!$F$7)-COLUMN('CIQ Key Developments'!$B$7)+1,FALSE),$F461,F$6),IF(MOD($F461,$H$2)=$H$2-2,"Source: "&amp;VLOOKUP(E461,'CIQ Key Developments'!$B$8:$I$491,COLUMN('CIQ Key Developments'!$I$7)-COLUMN('CIQ Key Developments'!$B$7)+1,FALSE),""))</f>
        <v/>
      </c>
      <c r="B461" s="1202"/>
      <c r="C461" s="1202"/>
      <c r="E461" s="383">
        <f t="shared" si="14"/>
        <v>20</v>
      </c>
      <c r="F461" s="7">
        <f t="shared" si="15"/>
        <v>18</v>
      </c>
    </row>
    <row r="462" spans="1:6" s="571" customFormat="1" ht="11.65" hidden="1" customHeight="1" outlineLevel="1" x14ac:dyDescent="0.2">
      <c r="A462" s="1202" t="str">
        <f>IF(MOD($F462,$H$2)&lt;$H$2-2,_xll.ciqfunctions.udf.CIQSPLIT(VLOOKUP(E462,'CIQ Key Developments'!$B$8:$I$491,COLUMN('CIQ Key Developments'!$F$7)-COLUMN('CIQ Key Developments'!$B$7)+1,FALSE),$F462,F$6),IF(MOD($F462,$H$2)=$H$2-2,"Source: "&amp;VLOOKUP(E462,'CIQ Key Developments'!$B$8:$I$491,COLUMN('CIQ Key Developments'!$I$7)-COLUMN('CIQ Key Developments'!$B$7)+1,FALSE),""))</f>
        <v/>
      </c>
      <c r="B462" s="1202"/>
      <c r="C462" s="1202"/>
      <c r="E462" s="383">
        <f t="shared" si="14"/>
        <v>20</v>
      </c>
      <c r="F462" s="7">
        <f t="shared" si="15"/>
        <v>19</v>
      </c>
    </row>
    <row r="463" spans="1:6" s="571" customFormat="1" ht="11.65" customHeight="1" collapsed="1" x14ac:dyDescent="0.2">
      <c r="A463" s="1202" t="str">
        <f>IF(MOD($F463,$H$2)&lt;$H$2-2,_xll.ciqfunctions.udf.CIQSPLIT(VLOOKUP(E463,'CIQ Key Developments'!$B$8:$I$491,COLUMN('CIQ Key Developments'!$F$7)-COLUMN('CIQ Key Developments'!$B$7)+1,FALSE),$F463,F$6),IF(MOD($F463,$H$2)=$H$2-2,"Source: "&amp;VLOOKUP(E463,'CIQ Key Developments'!$B$8:$I$491,COLUMN('CIQ Key Developments'!$I$7)-COLUMN('CIQ Key Developments'!$B$7)+1,FALSE),""))</f>
        <v>Source: Company Website</v>
      </c>
      <c r="B463" s="1202"/>
      <c r="C463" s="1202"/>
      <c r="E463" s="383">
        <f t="shared" si="14"/>
        <v>20</v>
      </c>
      <c r="F463" s="7">
        <f t="shared" si="15"/>
        <v>20</v>
      </c>
    </row>
    <row r="464" spans="1:6" ht="7.15" customHeight="1" collapsed="1" x14ac:dyDescent="0.2">
      <c r="A464" s="1202" t="str">
        <f>IF(MOD($F464,$H$2)&lt;$H$2-2,_xll.ciqfunctions.udf.CIQSPLIT(VLOOKUP(E464,'CIQ Key Developments'!$B$8:$I$491,COLUMN('CIQ Key Developments'!$F$7)-COLUMN('CIQ Key Developments'!$B$7)+1,FALSE),$F464,F$6),IF(MOD($F464,$H$2)=$H$2-2,"Source: "&amp;VLOOKUP(E464,'CIQ Key Developments'!$B$8:$I$491,COLUMN('CIQ Key Developments'!$I$7)-COLUMN('CIQ Key Developments'!$B$7)+1,FALSE),""))</f>
        <v/>
      </c>
      <c r="B464" s="1202"/>
      <c r="C464" s="1202"/>
      <c r="E464" s="383">
        <f t="shared" si="14"/>
        <v>20</v>
      </c>
      <c r="F464" s="7">
        <f t="shared" si="15"/>
        <v>21</v>
      </c>
    </row>
    <row r="465" spans="1:6" s="571" customFormat="1" ht="12" customHeight="1" x14ac:dyDescent="0.2">
      <c r="A465" s="1513" t="str">
        <f>+VLOOKUP(E465,'CIQ Key Developments'!$B$8:$I$491,COLUMN('CIQ Key Developments'!$D$7)-COLUMN('CIQ Key Developments'!$B$7)+1,FALSE)</f>
        <v>Walmart Inc. Presents at Diversity, Equity &amp; Inclusion Virtual Summit, Feb-17-2022</v>
      </c>
      <c r="B465" s="1514"/>
      <c r="C465" s="1515"/>
      <c r="E465" s="383">
        <f t="shared" si="14"/>
        <v>21</v>
      </c>
      <c r="F465" s="7">
        <f t="shared" si="15"/>
        <v>22</v>
      </c>
    </row>
    <row r="466" spans="1:6" s="571" customFormat="1" ht="11.65" customHeight="1" x14ac:dyDescent="0.2">
      <c r="A466" s="1199" t="str">
        <f>+$C$3</f>
        <v>Walmart Inc.</v>
      </c>
      <c r="B466" s="1200" t="str">
        <f>VLOOKUP(E465,'CIQ Key Developments'!$B$8:$I$491,COLUMN('CIQ Key Developments'!$G$7)-COLUMN('CIQ Key Developments'!$B$7)+1,FALSE)&amp;" "&amp;VLOOKUP(E465,'CIQ Key Developments'!$B$8:$I$491,COLUMN('CIQ Key Developments'!$H$7)-COLUMN('CIQ Key Developments'!$B$7)+1,FALSE)</f>
        <v>17 Feb 2022 8:00 AM</v>
      </c>
      <c r="C466" s="1201" t="str">
        <f>+VLOOKUP(E465,'CIQ Key Developments'!$B$8:$I$491,COLUMN('CIQ Key Developments'!$E$7)-COLUMN('CIQ Key Developments'!$B$7)+1,FALSE)</f>
        <v>Company Conference Presentations</v>
      </c>
      <c r="E466" s="383">
        <f t="shared" si="14"/>
        <v>21</v>
      </c>
      <c r="F466" s="7">
        <f t="shared" si="15"/>
        <v>175</v>
      </c>
    </row>
    <row r="467" spans="1:6" s="571" customFormat="1" ht="11.65" customHeight="1" x14ac:dyDescent="0.2">
      <c r="A467" s="1202" t="str">
        <f>IF(MOD($F467,$H$2)&lt;$H$2-2,_xll.ciqfunctions.udf.CIQSPLIT(VLOOKUP(E467,'CIQ Key Developments'!$B$8:$I$491,COLUMN('CIQ Key Developments'!$F$7)-COLUMN('CIQ Key Developments'!$B$7)+1,FALSE),$F467,F$6),IF(MOD($F467,$H$2)=$H$2-2,"Source: "&amp;VLOOKUP(E467,'CIQ Key Developments'!$B$8:$I$491,COLUMN('CIQ Key Developments'!$I$7)-COLUMN('CIQ Key Developments'!$B$7)+1,FALSE),""))</f>
        <v>Walmart Inc. Presents at Diversity, Equity &amp; Inclusion Virtual Summit, Feb-17-2022 . Speakers: Tony Waller, VP/Constituent Relations and Racial Equity.</v>
      </c>
      <c r="B467" s="1202"/>
      <c r="C467" s="1202"/>
      <c r="E467" s="383">
        <f t="shared" si="14"/>
        <v>21</v>
      </c>
      <c r="F467" s="7">
        <f t="shared" si="15"/>
        <v>1</v>
      </c>
    </row>
    <row r="468" spans="1:6" s="571" customFormat="1" ht="11.65" customHeight="1" x14ac:dyDescent="0.2">
      <c r="A468" s="1202" t="str">
        <f>IF(MOD($F468,$H$2)&lt;$H$2-2,_xll.ciqfunctions.udf.CIQSPLIT(VLOOKUP(E468,'CIQ Key Developments'!$B$8:$I$491,COLUMN('CIQ Key Developments'!$F$7)-COLUMN('CIQ Key Developments'!$B$7)+1,FALSE),$F468,F$6),IF(MOD($F468,$H$2)=$H$2-2,"Source: "&amp;VLOOKUP(E468,'CIQ Key Developments'!$B$8:$I$491,COLUMN('CIQ Key Developments'!$I$7)-COLUMN('CIQ Key Developments'!$B$7)+1,FALSE),""))</f>
        <v/>
      </c>
      <c r="B468" s="1202"/>
      <c r="C468" s="1202"/>
      <c r="E468" s="383">
        <f t="shared" si="14"/>
        <v>21</v>
      </c>
      <c r="F468" s="7">
        <f t="shared" si="15"/>
        <v>2</v>
      </c>
    </row>
    <row r="469" spans="1:6" s="571" customFormat="1" ht="11.65" hidden="1" customHeight="1" outlineLevel="1" x14ac:dyDescent="0.2">
      <c r="A469" s="1202" t="str">
        <f>IF(MOD($F469,$H$2)&lt;$H$2-2,_xll.ciqfunctions.udf.CIQSPLIT(VLOOKUP(E469,'CIQ Key Developments'!$B$8:$I$491,COLUMN('CIQ Key Developments'!$F$7)-COLUMN('CIQ Key Developments'!$B$7)+1,FALSE),$F469,F$6),IF(MOD($F469,$H$2)=$H$2-2,"Source: "&amp;VLOOKUP(E469,'CIQ Key Developments'!$B$8:$I$491,COLUMN('CIQ Key Developments'!$I$7)-COLUMN('CIQ Key Developments'!$B$7)+1,FALSE),""))</f>
        <v/>
      </c>
      <c r="B469" s="1202"/>
      <c r="C469" s="1202"/>
      <c r="E469" s="383">
        <f t="shared" si="14"/>
        <v>21</v>
      </c>
      <c r="F469" s="7">
        <f t="shared" si="15"/>
        <v>3</v>
      </c>
    </row>
    <row r="470" spans="1:6" s="571" customFormat="1" ht="11.65" hidden="1" customHeight="1" outlineLevel="1" x14ac:dyDescent="0.2">
      <c r="A470" s="1202" t="str">
        <f>IF(MOD($F470,$H$2)&lt;$H$2-2,_xll.ciqfunctions.udf.CIQSPLIT(VLOOKUP(E470,'CIQ Key Developments'!$B$8:$I$491,COLUMN('CIQ Key Developments'!$F$7)-COLUMN('CIQ Key Developments'!$B$7)+1,FALSE),$F470,F$6),IF(MOD($F470,$H$2)=$H$2-2,"Source: "&amp;VLOOKUP(E470,'CIQ Key Developments'!$B$8:$I$491,COLUMN('CIQ Key Developments'!$I$7)-COLUMN('CIQ Key Developments'!$B$7)+1,FALSE),""))</f>
        <v/>
      </c>
      <c r="B470" s="1202"/>
      <c r="C470" s="1202"/>
      <c r="E470" s="383">
        <f t="shared" si="14"/>
        <v>21</v>
      </c>
      <c r="F470" s="7">
        <f t="shared" si="15"/>
        <v>4</v>
      </c>
    </row>
    <row r="471" spans="1:6" s="571" customFormat="1" ht="11.65" hidden="1" customHeight="1" outlineLevel="1" x14ac:dyDescent="0.2">
      <c r="A471" s="1202" t="str">
        <f>IF(MOD($F471,$H$2)&lt;$H$2-2,_xll.ciqfunctions.udf.CIQSPLIT(VLOOKUP(E471,'CIQ Key Developments'!$B$8:$I$491,COLUMN('CIQ Key Developments'!$F$7)-COLUMN('CIQ Key Developments'!$B$7)+1,FALSE),$F471,F$6),IF(MOD($F471,$H$2)=$H$2-2,"Source: "&amp;VLOOKUP(E471,'CIQ Key Developments'!$B$8:$I$491,COLUMN('CIQ Key Developments'!$I$7)-COLUMN('CIQ Key Developments'!$B$7)+1,FALSE),""))</f>
        <v/>
      </c>
      <c r="B471" s="1202"/>
      <c r="C471" s="1202"/>
      <c r="E471" s="383">
        <f t="shared" si="14"/>
        <v>21</v>
      </c>
      <c r="F471" s="7">
        <f t="shared" si="15"/>
        <v>5</v>
      </c>
    </row>
    <row r="472" spans="1:6" s="571" customFormat="1" ht="11.65" hidden="1" customHeight="1" outlineLevel="1" x14ac:dyDescent="0.2">
      <c r="A472" s="1202" t="str">
        <f>IF(MOD($F472,$H$2)&lt;$H$2-2,_xll.ciqfunctions.udf.CIQSPLIT(VLOOKUP(E472,'CIQ Key Developments'!$B$8:$I$491,COLUMN('CIQ Key Developments'!$F$7)-COLUMN('CIQ Key Developments'!$B$7)+1,FALSE),$F472,F$6),IF(MOD($F472,$H$2)=$H$2-2,"Source: "&amp;VLOOKUP(E472,'CIQ Key Developments'!$B$8:$I$491,COLUMN('CIQ Key Developments'!$I$7)-COLUMN('CIQ Key Developments'!$B$7)+1,FALSE),""))</f>
        <v/>
      </c>
      <c r="B472" s="1202"/>
      <c r="C472" s="1202"/>
      <c r="E472" s="383">
        <f t="shared" si="14"/>
        <v>21</v>
      </c>
      <c r="F472" s="7">
        <f t="shared" si="15"/>
        <v>6</v>
      </c>
    </row>
    <row r="473" spans="1:6" s="571" customFormat="1" ht="11.65" hidden="1" customHeight="1" outlineLevel="1" x14ac:dyDescent="0.2">
      <c r="A473" s="1202" t="str">
        <f>IF(MOD($F473,$H$2)&lt;$H$2-2,_xll.ciqfunctions.udf.CIQSPLIT(VLOOKUP(E473,'CIQ Key Developments'!$B$8:$I$491,COLUMN('CIQ Key Developments'!$F$7)-COLUMN('CIQ Key Developments'!$B$7)+1,FALSE),$F473,F$6),IF(MOD($F473,$H$2)=$H$2-2,"Source: "&amp;VLOOKUP(E473,'CIQ Key Developments'!$B$8:$I$491,COLUMN('CIQ Key Developments'!$I$7)-COLUMN('CIQ Key Developments'!$B$7)+1,FALSE),""))</f>
        <v/>
      </c>
      <c r="B473" s="1202"/>
      <c r="C473" s="1202"/>
      <c r="E473" s="383">
        <f t="shared" si="14"/>
        <v>21</v>
      </c>
      <c r="F473" s="7">
        <f t="shared" si="15"/>
        <v>7</v>
      </c>
    </row>
    <row r="474" spans="1:6" s="571" customFormat="1" ht="11.65" hidden="1" customHeight="1" outlineLevel="1" x14ac:dyDescent="0.2">
      <c r="A474" s="1202" t="str">
        <f>IF(MOD($F474,$H$2)&lt;$H$2-2,_xll.ciqfunctions.udf.CIQSPLIT(VLOOKUP(E474,'CIQ Key Developments'!$B$8:$I$491,COLUMN('CIQ Key Developments'!$F$7)-COLUMN('CIQ Key Developments'!$B$7)+1,FALSE),$F474,F$6),IF(MOD($F474,$H$2)=$H$2-2,"Source: "&amp;VLOOKUP(E474,'CIQ Key Developments'!$B$8:$I$491,COLUMN('CIQ Key Developments'!$I$7)-COLUMN('CIQ Key Developments'!$B$7)+1,FALSE),""))</f>
        <v/>
      </c>
      <c r="B474" s="1202"/>
      <c r="C474" s="1202"/>
      <c r="E474" s="383">
        <f t="shared" si="14"/>
        <v>21</v>
      </c>
      <c r="F474" s="7">
        <f t="shared" si="15"/>
        <v>8</v>
      </c>
    </row>
    <row r="475" spans="1:6" s="571" customFormat="1" ht="11.65" hidden="1" customHeight="1" outlineLevel="1" x14ac:dyDescent="0.2">
      <c r="A475" s="1202" t="str">
        <f>IF(MOD($F475,$H$2)&lt;$H$2-2,_xll.ciqfunctions.udf.CIQSPLIT(VLOOKUP(E475,'CIQ Key Developments'!$B$8:$I$491,COLUMN('CIQ Key Developments'!$F$7)-COLUMN('CIQ Key Developments'!$B$7)+1,FALSE),$F475,F$6),IF(MOD($F475,$H$2)=$H$2-2,"Source: "&amp;VLOOKUP(E475,'CIQ Key Developments'!$B$8:$I$491,COLUMN('CIQ Key Developments'!$I$7)-COLUMN('CIQ Key Developments'!$B$7)+1,FALSE),""))</f>
        <v/>
      </c>
      <c r="B475" s="1202"/>
      <c r="C475" s="1202"/>
      <c r="E475" s="383">
        <f t="shared" si="14"/>
        <v>21</v>
      </c>
      <c r="F475" s="7">
        <f t="shared" si="15"/>
        <v>9</v>
      </c>
    </row>
    <row r="476" spans="1:6" s="571" customFormat="1" ht="11.65" hidden="1" customHeight="1" outlineLevel="1" x14ac:dyDescent="0.2">
      <c r="A476" s="1202" t="str">
        <f>IF(MOD($F476,$H$2)&lt;$H$2-2,_xll.ciqfunctions.udf.CIQSPLIT(VLOOKUP(E476,'CIQ Key Developments'!$B$8:$I$491,COLUMN('CIQ Key Developments'!$F$7)-COLUMN('CIQ Key Developments'!$B$7)+1,FALSE),$F476,F$6),IF(MOD($F476,$H$2)=$H$2-2,"Source: "&amp;VLOOKUP(E476,'CIQ Key Developments'!$B$8:$I$491,COLUMN('CIQ Key Developments'!$I$7)-COLUMN('CIQ Key Developments'!$B$7)+1,FALSE),""))</f>
        <v/>
      </c>
      <c r="B476" s="1202"/>
      <c r="C476" s="1202"/>
      <c r="E476" s="383">
        <f t="shared" si="14"/>
        <v>21</v>
      </c>
      <c r="F476" s="7">
        <f t="shared" si="15"/>
        <v>10</v>
      </c>
    </row>
    <row r="477" spans="1:6" s="571" customFormat="1" ht="11.65" hidden="1" customHeight="1" outlineLevel="1" x14ac:dyDescent="0.2">
      <c r="A477" s="1202" t="str">
        <f>IF(MOD($F477,$H$2)&lt;$H$2-2,_xll.ciqfunctions.udf.CIQSPLIT(VLOOKUP(E477,'CIQ Key Developments'!$B$8:$I$491,COLUMN('CIQ Key Developments'!$F$7)-COLUMN('CIQ Key Developments'!$B$7)+1,FALSE),$F477,F$6),IF(MOD($F477,$H$2)=$H$2-2,"Source: "&amp;VLOOKUP(E477,'CIQ Key Developments'!$B$8:$I$491,COLUMN('CIQ Key Developments'!$I$7)-COLUMN('CIQ Key Developments'!$B$7)+1,FALSE),""))</f>
        <v/>
      </c>
      <c r="B477" s="1202"/>
      <c r="C477" s="1202"/>
      <c r="E477" s="383">
        <f t="shared" si="14"/>
        <v>21</v>
      </c>
      <c r="F477" s="7">
        <f t="shared" si="15"/>
        <v>11</v>
      </c>
    </row>
    <row r="478" spans="1:6" s="571" customFormat="1" ht="11.65" hidden="1" customHeight="1" outlineLevel="1" x14ac:dyDescent="0.2">
      <c r="A478" s="1202" t="str">
        <f>IF(MOD($F478,$H$2)&lt;$H$2-2,_xll.ciqfunctions.udf.CIQSPLIT(VLOOKUP(E478,'CIQ Key Developments'!$B$8:$I$491,COLUMN('CIQ Key Developments'!$F$7)-COLUMN('CIQ Key Developments'!$B$7)+1,FALSE),$F478,F$6),IF(MOD($F478,$H$2)=$H$2-2,"Source: "&amp;VLOOKUP(E478,'CIQ Key Developments'!$B$8:$I$491,COLUMN('CIQ Key Developments'!$I$7)-COLUMN('CIQ Key Developments'!$B$7)+1,FALSE),""))</f>
        <v/>
      </c>
      <c r="B478" s="1202"/>
      <c r="C478" s="1202"/>
      <c r="E478" s="383">
        <f t="shared" si="14"/>
        <v>21</v>
      </c>
      <c r="F478" s="7">
        <f t="shared" si="15"/>
        <v>12</v>
      </c>
    </row>
    <row r="479" spans="1:6" s="571" customFormat="1" ht="11.65" hidden="1" customHeight="1" outlineLevel="1" x14ac:dyDescent="0.2">
      <c r="A479" s="1202" t="str">
        <f>IF(MOD($F479,$H$2)&lt;$H$2-2,_xll.ciqfunctions.udf.CIQSPLIT(VLOOKUP(E479,'CIQ Key Developments'!$B$8:$I$491,COLUMN('CIQ Key Developments'!$F$7)-COLUMN('CIQ Key Developments'!$B$7)+1,FALSE),$F479,F$6),IF(MOD($F479,$H$2)=$H$2-2,"Source: "&amp;VLOOKUP(E479,'CIQ Key Developments'!$B$8:$I$491,COLUMN('CIQ Key Developments'!$I$7)-COLUMN('CIQ Key Developments'!$B$7)+1,FALSE),""))</f>
        <v/>
      </c>
      <c r="B479" s="1202"/>
      <c r="C479" s="1202"/>
      <c r="E479" s="383">
        <f t="shared" si="14"/>
        <v>21</v>
      </c>
      <c r="F479" s="7">
        <f t="shared" si="15"/>
        <v>13</v>
      </c>
    </row>
    <row r="480" spans="1:6" s="571" customFormat="1" ht="11.65" hidden="1" customHeight="1" outlineLevel="1" x14ac:dyDescent="0.2">
      <c r="A480" s="1202" t="str">
        <f>IF(MOD($F480,$H$2)&lt;$H$2-2,_xll.ciqfunctions.udf.CIQSPLIT(VLOOKUP(E480,'CIQ Key Developments'!$B$8:$I$491,COLUMN('CIQ Key Developments'!$F$7)-COLUMN('CIQ Key Developments'!$B$7)+1,FALSE),$F480,F$6),IF(MOD($F480,$H$2)=$H$2-2,"Source: "&amp;VLOOKUP(E480,'CIQ Key Developments'!$B$8:$I$491,COLUMN('CIQ Key Developments'!$I$7)-COLUMN('CIQ Key Developments'!$B$7)+1,FALSE),""))</f>
        <v/>
      </c>
      <c r="B480" s="1202"/>
      <c r="C480" s="1202"/>
      <c r="E480" s="383">
        <f t="shared" si="14"/>
        <v>21</v>
      </c>
      <c r="F480" s="7">
        <f t="shared" si="15"/>
        <v>14</v>
      </c>
    </row>
    <row r="481" spans="1:6" s="571" customFormat="1" ht="11.65" hidden="1" customHeight="1" outlineLevel="1" x14ac:dyDescent="0.2">
      <c r="A481" s="1202" t="str">
        <f>IF(MOD($F481,$H$2)&lt;$H$2-2,_xll.ciqfunctions.udf.CIQSPLIT(VLOOKUP(E481,'CIQ Key Developments'!$B$8:$I$491,COLUMN('CIQ Key Developments'!$F$7)-COLUMN('CIQ Key Developments'!$B$7)+1,FALSE),$F481,F$6),IF(MOD($F481,$H$2)=$H$2-2,"Source: "&amp;VLOOKUP(E481,'CIQ Key Developments'!$B$8:$I$491,COLUMN('CIQ Key Developments'!$I$7)-COLUMN('CIQ Key Developments'!$B$7)+1,FALSE),""))</f>
        <v/>
      </c>
      <c r="B481" s="1202"/>
      <c r="C481" s="1202"/>
      <c r="E481" s="383">
        <f t="shared" si="14"/>
        <v>21</v>
      </c>
      <c r="F481" s="7">
        <f t="shared" si="15"/>
        <v>15</v>
      </c>
    </row>
    <row r="482" spans="1:6" s="571" customFormat="1" ht="11.65" hidden="1" customHeight="1" outlineLevel="1" x14ac:dyDescent="0.2">
      <c r="A482" s="1202" t="str">
        <f>IF(MOD($F482,$H$2)&lt;$H$2-2,_xll.ciqfunctions.udf.CIQSPLIT(VLOOKUP(E482,'CIQ Key Developments'!$B$8:$I$491,COLUMN('CIQ Key Developments'!$F$7)-COLUMN('CIQ Key Developments'!$B$7)+1,FALSE),$F482,F$6),IF(MOD($F482,$H$2)=$H$2-2,"Source: "&amp;VLOOKUP(E482,'CIQ Key Developments'!$B$8:$I$491,COLUMN('CIQ Key Developments'!$I$7)-COLUMN('CIQ Key Developments'!$B$7)+1,FALSE),""))</f>
        <v/>
      </c>
      <c r="B482" s="1202"/>
      <c r="C482" s="1202"/>
      <c r="E482" s="383">
        <f t="shared" si="14"/>
        <v>21</v>
      </c>
      <c r="F482" s="7">
        <f t="shared" si="15"/>
        <v>16</v>
      </c>
    </row>
    <row r="483" spans="1:6" s="571" customFormat="1" ht="11.65" hidden="1" customHeight="1" outlineLevel="1" x14ac:dyDescent="0.2">
      <c r="A483" s="1202" t="str">
        <f>IF(MOD($F483,$H$2)&lt;$H$2-2,_xll.ciqfunctions.udf.CIQSPLIT(VLOOKUP(E483,'CIQ Key Developments'!$B$8:$I$491,COLUMN('CIQ Key Developments'!$F$7)-COLUMN('CIQ Key Developments'!$B$7)+1,FALSE),$F483,F$6),IF(MOD($F483,$H$2)=$H$2-2,"Source: "&amp;VLOOKUP(E483,'CIQ Key Developments'!$B$8:$I$491,COLUMN('CIQ Key Developments'!$I$7)-COLUMN('CIQ Key Developments'!$B$7)+1,FALSE),""))</f>
        <v/>
      </c>
      <c r="B483" s="1202"/>
      <c r="C483" s="1202"/>
      <c r="E483" s="383">
        <f t="shared" si="14"/>
        <v>21</v>
      </c>
      <c r="F483" s="7">
        <f t="shared" si="15"/>
        <v>17</v>
      </c>
    </row>
    <row r="484" spans="1:6" s="571" customFormat="1" ht="11.65" hidden="1" customHeight="1" outlineLevel="1" x14ac:dyDescent="0.2">
      <c r="A484" s="1202" t="str">
        <f>IF(MOD($F484,$H$2)&lt;$H$2-2,_xll.ciqfunctions.udf.CIQSPLIT(VLOOKUP(E484,'CIQ Key Developments'!$B$8:$I$491,COLUMN('CIQ Key Developments'!$F$7)-COLUMN('CIQ Key Developments'!$B$7)+1,FALSE),$F484,F$6),IF(MOD($F484,$H$2)=$H$2-2,"Source: "&amp;VLOOKUP(E484,'CIQ Key Developments'!$B$8:$I$491,COLUMN('CIQ Key Developments'!$I$7)-COLUMN('CIQ Key Developments'!$B$7)+1,FALSE),""))</f>
        <v/>
      </c>
      <c r="B484" s="1202"/>
      <c r="C484" s="1202"/>
      <c r="E484" s="383">
        <f t="shared" si="14"/>
        <v>21</v>
      </c>
      <c r="F484" s="7">
        <f t="shared" si="15"/>
        <v>18</v>
      </c>
    </row>
    <row r="485" spans="1:6" s="571" customFormat="1" ht="11.65" hidden="1" customHeight="1" outlineLevel="1" x14ac:dyDescent="0.2">
      <c r="A485" s="1202" t="str">
        <f>IF(MOD($F485,$H$2)&lt;$H$2-2,_xll.ciqfunctions.udf.CIQSPLIT(VLOOKUP(E485,'CIQ Key Developments'!$B$8:$I$491,COLUMN('CIQ Key Developments'!$F$7)-COLUMN('CIQ Key Developments'!$B$7)+1,FALSE),$F485,F$6),IF(MOD($F485,$H$2)=$H$2-2,"Source: "&amp;VLOOKUP(E485,'CIQ Key Developments'!$B$8:$I$491,COLUMN('CIQ Key Developments'!$I$7)-COLUMN('CIQ Key Developments'!$B$7)+1,FALSE),""))</f>
        <v/>
      </c>
      <c r="B485" s="1202"/>
      <c r="C485" s="1202"/>
      <c r="E485" s="383">
        <f t="shared" si="14"/>
        <v>21</v>
      </c>
      <c r="F485" s="7">
        <f t="shared" si="15"/>
        <v>19</v>
      </c>
    </row>
    <row r="486" spans="1:6" s="571" customFormat="1" ht="11.65" customHeight="1" collapsed="1" x14ac:dyDescent="0.2">
      <c r="A486" s="1202" t="str">
        <f>IF(MOD($F486,$H$2)&lt;$H$2-2,_xll.ciqfunctions.udf.CIQSPLIT(VLOOKUP(E486,'CIQ Key Developments'!$B$8:$I$491,COLUMN('CIQ Key Developments'!$F$7)-COLUMN('CIQ Key Developments'!$B$7)+1,FALSE),$F486,F$6),IF(MOD($F486,$H$2)=$H$2-2,"Source: "&amp;VLOOKUP(E486,'CIQ Key Developments'!$B$8:$I$491,COLUMN('CIQ Key Developments'!$I$7)-COLUMN('CIQ Key Developments'!$B$7)+1,FALSE),""))</f>
        <v>Source: PR Newswire, Company Website</v>
      </c>
      <c r="B486" s="1202"/>
      <c r="C486" s="1202"/>
      <c r="E486" s="383">
        <f t="shared" si="14"/>
        <v>21</v>
      </c>
      <c r="F486" s="7">
        <f t="shared" si="15"/>
        <v>20</v>
      </c>
    </row>
    <row r="487" spans="1:6" ht="7.15" customHeight="1" collapsed="1" x14ac:dyDescent="0.2">
      <c r="A487" s="1202" t="str">
        <f>IF(MOD($F487,$H$2)&lt;$H$2-2,_xll.ciqfunctions.udf.CIQSPLIT(VLOOKUP(E487,'CIQ Key Developments'!$B$8:$I$491,COLUMN('CIQ Key Developments'!$F$7)-COLUMN('CIQ Key Developments'!$B$7)+1,FALSE),$F487,F$6),IF(MOD($F487,$H$2)=$H$2-2,"Source: "&amp;VLOOKUP(E487,'CIQ Key Developments'!$B$8:$I$491,COLUMN('CIQ Key Developments'!$I$7)-COLUMN('CIQ Key Developments'!$B$7)+1,FALSE),""))</f>
        <v/>
      </c>
      <c r="B487" s="1202"/>
      <c r="C487" s="1202"/>
      <c r="E487" s="383">
        <f t="shared" si="14"/>
        <v>21</v>
      </c>
      <c r="F487" s="7">
        <f t="shared" si="15"/>
        <v>21</v>
      </c>
    </row>
    <row r="488" spans="1:6" s="571" customFormat="1" ht="12" customHeight="1" x14ac:dyDescent="0.2">
      <c r="A488" s="1513" t="str">
        <f>+VLOOKUP(E488,'CIQ Key Developments'!$B$8:$I$491,COLUMN('CIQ Key Developments'!$D$7)-COLUMN('CIQ Key Developments'!$B$7)+1,FALSE)</f>
        <v>ChocXO Expands Distribution in Quebec</v>
      </c>
      <c r="B488" s="1514"/>
      <c r="C488" s="1515"/>
      <c r="E488" s="383">
        <f t="shared" si="14"/>
        <v>22</v>
      </c>
      <c r="F488" s="7">
        <f t="shared" si="15"/>
        <v>22</v>
      </c>
    </row>
    <row r="489" spans="1:6" s="571" customFormat="1" ht="11.65" customHeight="1" x14ac:dyDescent="0.2">
      <c r="A489" s="1199" t="str">
        <f>+$C$3</f>
        <v>Walmart Inc.</v>
      </c>
      <c r="B489" s="1200" t="str">
        <f>VLOOKUP(E488,'CIQ Key Developments'!$B$8:$I$491,COLUMN('CIQ Key Developments'!$G$7)-COLUMN('CIQ Key Developments'!$B$7)+1,FALSE)&amp;" "&amp;VLOOKUP(E488,'CIQ Key Developments'!$B$8:$I$491,COLUMN('CIQ Key Developments'!$H$7)-COLUMN('CIQ Key Developments'!$B$7)+1,FALSE)</f>
        <v>15 Feb 2022 12:00 AM</v>
      </c>
      <c r="C489" s="1201" t="str">
        <f>+VLOOKUP(E488,'CIQ Key Developments'!$B$8:$I$491,COLUMN('CIQ Key Developments'!$E$7)-COLUMN('CIQ Key Developments'!$B$7)+1,FALSE)</f>
        <v>Client Announcements</v>
      </c>
      <c r="E489" s="383">
        <f t="shared" si="14"/>
        <v>22</v>
      </c>
      <c r="F489" s="7">
        <f t="shared" si="15"/>
        <v>175</v>
      </c>
    </row>
    <row r="490" spans="1:6" s="571" customFormat="1" ht="11.65" customHeight="1" x14ac:dyDescent="0.2">
      <c r="A490" s="1202" t="str">
        <f>IF(MOD($F490,$H$2)&lt;$H$2-2,_xll.ciqfunctions.udf.CIQSPLIT(VLOOKUP(E490,'CIQ Key Developments'!$B$8:$I$491,COLUMN('CIQ Key Developments'!$F$7)-COLUMN('CIQ Key Developments'!$B$7)+1,FALSE),$F490,F$6),IF(MOD($F490,$H$2)=$H$2-2,"Source: "&amp;VLOOKUP(E490,'CIQ Key Developments'!$B$8:$I$491,COLUMN('CIQ Key Developments'!$I$7)-COLUMN('CIQ Key Developments'!$B$7)+1,FALSE),""))</f>
        <v>ChocXO has expanded its Canadian presence across several retail grocery stores in Quebec. ChocXO's products are now available in Walmart, Loblaws, Costco, Tau, and La Moisson.</v>
      </c>
      <c r="B490" s="1202"/>
      <c r="C490" s="1202"/>
      <c r="E490" s="383">
        <f t="shared" si="14"/>
        <v>22</v>
      </c>
      <c r="F490" s="7">
        <f t="shared" si="15"/>
        <v>1</v>
      </c>
    </row>
    <row r="491" spans="1:6" s="571" customFormat="1" ht="11.65" customHeight="1" x14ac:dyDescent="0.2">
      <c r="A491" s="1202" t="str">
        <f>IF(MOD($F491,$H$2)&lt;$H$2-2,_xll.ciqfunctions.udf.CIQSPLIT(VLOOKUP(E491,'CIQ Key Developments'!$B$8:$I$491,COLUMN('CIQ Key Developments'!$F$7)-COLUMN('CIQ Key Developments'!$B$7)+1,FALSE),$F491,F$6),IF(MOD($F491,$H$2)=$H$2-2,"Source: "&amp;VLOOKUP(E491,'CIQ Key Developments'!$B$8:$I$491,COLUMN('CIQ Key Developments'!$I$7)-COLUMN('CIQ Key Developments'!$B$7)+1,FALSE),""))</f>
        <v>Additionally, all ChocXO SKUs are now listed with Satau Inc. As ChocXO continues to push in the Quebec market they will constantly be looking for new retail partners who are</v>
      </c>
      <c r="B491" s="1202"/>
      <c r="C491" s="1202"/>
      <c r="E491" s="383">
        <f t="shared" si="14"/>
        <v>22</v>
      </c>
      <c r="F491" s="7">
        <f t="shared" si="15"/>
        <v>2</v>
      </c>
    </row>
    <row r="492" spans="1:6" s="571" customFormat="1" ht="11.65" customHeight="1" x14ac:dyDescent="0.2">
      <c r="A492" s="1202" t="str">
        <f>IF(MOD($F492,$H$2)&lt;$H$2-2,_xll.ciqfunctions.udf.CIQSPLIT(VLOOKUP(E492,'CIQ Key Developments'!$B$8:$I$491,COLUMN('CIQ Key Developments'!$F$7)-COLUMN('CIQ Key Developments'!$B$7)+1,FALSE),$F492,F$6),IF(MOD($F492,$H$2)=$H$2-2,"Source: "&amp;VLOOKUP(E492,'CIQ Key Developments'!$B$8:$I$491,COLUMN('CIQ Key Developments'!$I$7)-COLUMN('CIQ Key Developments'!$B$7)+1,FALSE),""))</f>
        <v>making healthy and natural foods more accessible to Quebec consumers. Starting the month of February 2022, ChocXO's beloved dark chocolate products will be on shelves in</v>
      </c>
      <c r="B492" s="1202"/>
      <c r="C492" s="1202"/>
      <c r="E492" s="383">
        <f t="shared" si="14"/>
        <v>22</v>
      </c>
      <c r="F492" s="7">
        <f t="shared" si="15"/>
        <v>3</v>
      </c>
    </row>
    <row r="493" spans="1:6" s="571" customFormat="1" ht="11.65" customHeight="1" x14ac:dyDescent="0.2">
      <c r="A493" s="1202" t="str">
        <f>IF(MOD($F493,$H$2)&lt;$H$2-2,_xll.ciqfunctions.udf.CIQSPLIT(VLOOKUP(E493,'CIQ Key Developments'!$B$8:$I$491,COLUMN('CIQ Key Developments'!$F$7)-COLUMN('CIQ Key Developments'!$B$7)+1,FALSE),$F493,F$6),IF(MOD($F493,$H$2)=$H$2-2,"Source: "&amp;VLOOKUP(E493,'CIQ Key Developments'!$B$8:$I$491,COLUMN('CIQ Key Developments'!$I$7)-COLUMN('CIQ Key Developments'!$B$7)+1,FALSE),""))</f>
        <v>several retail doors across Quebec. The following ChocXO products will be available in-store at Loblaws and Satau and will feature the brand's new packaging: the Coconut, Almond,</v>
      </c>
      <c r="B493" s="1202"/>
      <c r="C493" s="1202"/>
      <c r="E493" s="383">
        <f t="shared" si="14"/>
        <v>22</v>
      </c>
      <c r="F493" s="7">
        <f t="shared" si="15"/>
        <v>4</v>
      </c>
    </row>
    <row r="494" spans="1:6" s="571" customFormat="1" ht="11.65" hidden="1" customHeight="1" outlineLevel="1" x14ac:dyDescent="0.2">
      <c r="A494" s="1202" t="str">
        <f>IF(MOD($F494,$H$2)&lt;$H$2-2,_xll.ciqfunctions.udf.CIQSPLIT(VLOOKUP(E494,'CIQ Key Developments'!$B$8:$I$491,COLUMN('CIQ Key Developments'!$F$7)-COLUMN('CIQ Key Developments'!$B$7)+1,FALSE),$F494,F$6),IF(MOD($F494,$H$2)=$H$2-2,"Source: "&amp;VLOOKUP(E494,'CIQ Key Developments'!$B$8:$I$491,COLUMN('CIQ Key Developments'!$I$7)-COLUMN('CIQ Key Developments'!$B$7)+1,FALSE),""))</f>
        <v>and Sea Salt Snaps, the Raspberry Quinoa Snaps, Dark Chocolate Covered Almonds, Dark Chocolate Almond Butter Cups, and ChocXO's newest Dark Chocolate Peanut Butter Cups and</v>
      </c>
      <c r="B494" s="1202"/>
      <c r="C494" s="1202"/>
      <c r="E494" s="383">
        <f t="shared" si="14"/>
        <v>22</v>
      </c>
      <c r="F494" s="7">
        <f t="shared" si="15"/>
        <v>5</v>
      </c>
    </row>
    <row r="495" spans="1:6" s="571" customFormat="1" ht="11.65" hidden="1" customHeight="1" outlineLevel="1" x14ac:dyDescent="0.2">
      <c r="A495" s="1202" t="str">
        <f>IF(MOD($F495,$H$2)&lt;$H$2-2,_xll.ciqfunctions.udf.CIQSPLIT(VLOOKUP(E495,'CIQ Key Developments'!$B$8:$I$491,COLUMN('CIQ Key Developments'!$F$7)-COLUMN('CIQ Key Developments'!$B$7)+1,FALSE),$F495,F$6),IF(MOD($F495,$H$2)=$H$2-2,"Source: "&amp;VLOOKUP(E495,'CIQ Key Developments'!$B$8:$I$491,COLUMN('CIQ Key Developments'!$I$7)-COLUMN('CIQ Key Developments'!$B$7)+1,FALSE),""))</f>
        <v>Coconut Almond Butter Cups. Walmart will carry all ChocXO products excluding the Dark Chocolate Covered Almonds and Costco will carry the Coconut, Almont and Sea Salt Snaps and</v>
      </c>
      <c r="B495" s="1202"/>
      <c r="C495" s="1202"/>
      <c r="E495" s="383">
        <f t="shared" si="14"/>
        <v>22</v>
      </c>
      <c r="F495" s="7">
        <f t="shared" si="15"/>
        <v>6</v>
      </c>
    </row>
    <row r="496" spans="1:6" s="571" customFormat="1" ht="11.65" hidden="1" customHeight="1" outlineLevel="1" x14ac:dyDescent="0.2">
      <c r="A496" s="1202" t="str">
        <f>IF(MOD($F496,$H$2)&lt;$H$2-2,_xll.ciqfunctions.udf.CIQSPLIT(VLOOKUP(E496,'CIQ Key Developments'!$B$8:$I$491,COLUMN('CIQ Key Developments'!$F$7)-COLUMN('CIQ Key Developments'!$B$7)+1,FALSE),$F496,F$6),IF(MOD($F496,$H$2)=$H$2-2,"Source: "&amp;VLOOKUP(E496,'CIQ Key Developments'!$B$8:$I$491,COLUMN('CIQ Key Developments'!$I$7)-COLUMN('CIQ Key Developments'!$B$7)+1,FALSE),""))</f>
        <v>the Dark Chocolate Almond Butter Cups.</v>
      </c>
      <c r="B496" s="1202"/>
      <c r="C496" s="1202"/>
      <c r="E496" s="383">
        <f t="shared" si="14"/>
        <v>22</v>
      </c>
      <c r="F496" s="7">
        <f t="shared" si="15"/>
        <v>7</v>
      </c>
    </row>
    <row r="497" spans="1:6" s="571" customFormat="1" ht="11.65" hidden="1" customHeight="1" outlineLevel="1" x14ac:dyDescent="0.2">
      <c r="A497" s="1202" t="str">
        <f>IF(MOD($F497,$H$2)&lt;$H$2-2,_xll.ciqfunctions.udf.CIQSPLIT(VLOOKUP(E497,'CIQ Key Developments'!$B$8:$I$491,COLUMN('CIQ Key Developments'!$F$7)-COLUMN('CIQ Key Developments'!$B$7)+1,FALSE),$F497,F$6),IF(MOD($F497,$H$2)=$H$2-2,"Source: "&amp;VLOOKUP(E497,'CIQ Key Developments'!$B$8:$I$491,COLUMN('CIQ Key Developments'!$I$7)-COLUMN('CIQ Key Developments'!$B$7)+1,FALSE),""))</f>
        <v/>
      </c>
      <c r="B497" s="1202"/>
      <c r="C497" s="1202"/>
      <c r="E497" s="383">
        <f t="shared" si="14"/>
        <v>22</v>
      </c>
      <c r="F497" s="7">
        <f t="shared" si="15"/>
        <v>8</v>
      </c>
    </row>
    <row r="498" spans="1:6" s="571" customFormat="1" ht="11.65" hidden="1" customHeight="1" outlineLevel="1" x14ac:dyDescent="0.2">
      <c r="A498" s="1202" t="str">
        <f>IF(MOD($F498,$H$2)&lt;$H$2-2,_xll.ciqfunctions.udf.CIQSPLIT(VLOOKUP(E498,'CIQ Key Developments'!$B$8:$I$491,COLUMN('CIQ Key Developments'!$F$7)-COLUMN('CIQ Key Developments'!$B$7)+1,FALSE),$F498,F$6),IF(MOD($F498,$H$2)=$H$2-2,"Source: "&amp;VLOOKUP(E498,'CIQ Key Developments'!$B$8:$I$491,COLUMN('CIQ Key Developments'!$I$7)-COLUMN('CIQ Key Developments'!$B$7)+1,FALSE),""))</f>
        <v/>
      </c>
      <c r="B498" s="1202"/>
      <c r="C498" s="1202"/>
      <c r="E498" s="383">
        <f t="shared" si="14"/>
        <v>22</v>
      </c>
      <c r="F498" s="7">
        <f t="shared" si="15"/>
        <v>9</v>
      </c>
    </row>
    <row r="499" spans="1:6" s="571" customFormat="1" ht="11.65" hidden="1" customHeight="1" outlineLevel="1" x14ac:dyDescent="0.2">
      <c r="A499" s="1202" t="str">
        <f>IF(MOD($F499,$H$2)&lt;$H$2-2,_xll.ciqfunctions.udf.CIQSPLIT(VLOOKUP(E499,'CIQ Key Developments'!$B$8:$I$491,COLUMN('CIQ Key Developments'!$F$7)-COLUMN('CIQ Key Developments'!$B$7)+1,FALSE),$F499,F$6),IF(MOD($F499,$H$2)=$H$2-2,"Source: "&amp;VLOOKUP(E499,'CIQ Key Developments'!$B$8:$I$491,COLUMN('CIQ Key Developments'!$I$7)-COLUMN('CIQ Key Developments'!$B$7)+1,FALSE),""))</f>
        <v/>
      </c>
      <c r="B499" s="1202"/>
      <c r="C499" s="1202"/>
      <c r="E499" s="383">
        <f t="shared" si="14"/>
        <v>22</v>
      </c>
      <c r="F499" s="7">
        <f t="shared" si="15"/>
        <v>10</v>
      </c>
    </row>
    <row r="500" spans="1:6" s="571" customFormat="1" ht="11.65" hidden="1" customHeight="1" outlineLevel="1" x14ac:dyDescent="0.2">
      <c r="A500" s="1202" t="str">
        <f>IF(MOD($F500,$H$2)&lt;$H$2-2,_xll.ciqfunctions.udf.CIQSPLIT(VLOOKUP(E500,'CIQ Key Developments'!$B$8:$I$491,COLUMN('CIQ Key Developments'!$F$7)-COLUMN('CIQ Key Developments'!$B$7)+1,FALSE),$F500,F$6),IF(MOD($F500,$H$2)=$H$2-2,"Source: "&amp;VLOOKUP(E500,'CIQ Key Developments'!$B$8:$I$491,COLUMN('CIQ Key Developments'!$I$7)-COLUMN('CIQ Key Developments'!$B$7)+1,FALSE),""))</f>
        <v/>
      </c>
      <c r="B500" s="1202"/>
      <c r="C500" s="1202"/>
      <c r="E500" s="383">
        <f t="shared" si="14"/>
        <v>22</v>
      </c>
      <c r="F500" s="7">
        <f t="shared" si="15"/>
        <v>11</v>
      </c>
    </row>
    <row r="501" spans="1:6" s="571" customFormat="1" ht="11.65" hidden="1" customHeight="1" outlineLevel="1" x14ac:dyDescent="0.2">
      <c r="A501" s="1202" t="str">
        <f>IF(MOD($F501,$H$2)&lt;$H$2-2,_xll.ciqfunctions.udf.CIQSPLIT(VLOOKUP(E501,'CIQ Key Developments'!$B$8:$I$491,COLUMN('CIQ Key Developments'!$F$7)-COLUMN('CIQ Key Developments'!$B$7)+1,FALSE),$F501,F$6),IF(MOD($F501,$H$2)=$H$2-2,"Source: "&amp;VLOOKUP(E501,'CIQ Key Developments'!$B$8:$I$491,COLUMN('CIQ Key Developments'!$I$7)-COLUMN('CIQ Key Developments'!$B$7)+1,FALSE),""))</f>
        <v/>
      </c>
      <c r="B501" s="1202"/>
      <c r="C501" s="1202"/>
      <c r="E501" s="383">
        <f t="shared" si="14"/>
        <v>22</v>
      </c>
      <c r="F501" s="7">
        <f t="shared" si="15"/>
        <v>12</v>
      </c>
    </row>
    <row r="502" spans="1:6" s="571" customFormat="1" ht="11.65" hidden="1" customHeight="1" outlineLevel="1" x14ac:dyDescent="0.2">
      <c r="A502" s="1202" t="str">
        <f>IF(MOD($F502,$H$2)&lt;$H$2-2,_xll.ciqfunctions.udf.CIQSPLIT(VLOOKUP(E502,'CIQ Key Developments'!$B$8:$I$491,COLUMN('CIQ Key Developments'!$F$7)-COLUMN('CIQ Key Developments'!$B$7)+1,FALSE),$F502,F$6),IF(MOD($F502,$H$2)=$H$2-2,"Source: "&amp;VLOOKUP(E502,'CIQ Key Developments'!$B$8:$I$491,COLUMN('CIQ Key Developments'!$I$7)-COLUMN('CIQ Key Developments'!$B$7)+1,FALSE),""))</f>
        <v/>
      </c>
      <c r="B502" s="1202"/>
      <c r="C502" s="1202"/>
      <c r="E502" s="383">
        <f t="shared" si="14"/>
        <v>22</v>
      </c>
      <c r="F502" s="7">
        <f t="shared" si="15"/>
        <v>13</v>
      </c>
    </row>
    <row r="503" spans="1:6" s="571" customFormat="1" ht="11.65" hidden="1" customHeight="1" outlineLevel="1" x14ac:dyDescent="0.2">
      <c r="A503" s="1202" t="str">
        <f>IF(MOD($F503,$H$2)&lt;$H$2-2,_xll.ciqfunctions.udf.CIQSPLIT(VLOOKUP(E503,'CIQ Key Developments'!$B$8:$I$491,COLUMN('CIQ Key Developments'!$F$7)-COLUMN('CIQ Key Developments'!$B$7)+1,FALSE),$F503,F$6),IF(MOD($F503,$H$2)=$H$2-2,"Source: "&amp;VLOOKUP(E503,'CIQ Key Developments'!$B$8:$I$491,COLUMN('CIQ Key Developments'!$I$7)-COLUMN('CIQ Key Developments'!$B$7)+1,FALSE),""))</f>
        <v/>
      </c>
      <c r="B503" s="1202"/>
      <c r="C503" s="1202"/>
      <c r="E503" s="383">
        <f t="shared" si="14"/>
        <v>22</v>
      </c>
      <c r="F503" s="7">
        <f t="shared" si="15"/>
        <v>14</v>
      </c>
    </row>
    <row r="504" spans="1:6" s="571" customFormat="1" ht="11.65" hidden="1" customHeight="1" outlineLevel="1" x14ac:dyDescent="0.2">
      <c r="A504" s="1202" t="str">
        <f>IF(MOD($F504,$H$2)&lt;$H$2-2,_xll.ciqfunctions.udf.CIQSPLIT(VLOOKUP(E504,'CIQ Key Developments'!$B$8:$I$491,COLUMN('CIQ Key Developments'!$F$7)-COLUMN('CIQ Key Developments'!$B$7)+1,FALSE),$F504,F$6),IF(MOD($F504,$H$2)=$H$2-2,"Source: "&amp;VLOOKUP(E504,'CIQ Key Developments'!$B$8:$I$491,COLUMN('CIQ Key Developments'!$I$7)-COLUMN('CIQ Key Developments'!$B$7)+1,FALSE),""))</f>
        <v/>
      </c>
      <c r="B504" s="1202"/>
      <c r="C504" s="1202"/>
      <c r="E504" s="383">
        <f t="shared" si="14"/>
        <v>22</v>
      </c>
      <c r="F504" s="7">
        <f t="shared" si="15"/>
        <v>15</v>
      </c>
    </row>
    <row r="505" spans="1:6" s="571" customFormat="1" ht="11.65" hidden="1" customHeight="1" outlineLevel="1" x14ac:dyDescent="0.2">
      <c r="A505" s="1202" t="str">
        <f>IF(MOD($F505,$H$2)&lt;$H$2-2,_xll.ciqfunctions.udf.CIQSPLIT(VLOOKUP(E505,'CIQ Key Developments'!$B$8:$I$491,COLUMN('CIQ Key Developments'!$F$7)-COLUMN('CIQ Key Developments'!$B$7)+1,FALSE),$F505,F$6),IF(MOD($F505,$H$2)=$H$2-2,"Source: "&amp;VLOOKUP(E505,'CIQ Key Developments'!$B$8:$I$491,COLUMN('CIQ Key Developments'!$I$7)-COLUMN('CIQ Key Developments'!$B$7)+1,FALSE),""))</f>
        <v/>
      </c>
      <c r="B505" s="1202"/>
      <c r="C505" s="1202"/>
      <c r="E505" s="383">
        <f t="shared" si="14"/>
        <v>22</v>
      </c>
      <c r="F505" s="7">
        <f t="shared" si="15"/>
        <v>16</v>
      </c>
    </row>
    <row r="506" spans="1:6" s="571" customFormat="1" ht="11.65" hidden="1" customHeight="1" outlineLevel="1" x14ac:dyDescent="0.2">
      <c r="A506" s="1202" t="str">
        <f>IF(MOD($F506,$H$2)&lt;$H$2-2,_xll.ciqfunctions.udf.CIQSPLIT(VLOOKUP(E506,'CIQ Key Developments'!$B$8:$I$491,COLUMN('CIQ Key Developments'!$F$7)-COLUMN('CIQ Key Developments'!$B$7)+1,FALSE),$F506,F$6),IF(MOD($F506,$H$2)=$H$2-2,"Source: "&amp;VLOOKUP(E506,'CIQ Key Developments'!$B$8:$I$491,COLUMN('CIQ Key Developments'!$I$7)-COLUMN('CIQ Key Developments'!$B$7)+1,FALSE),""))</f>
        <v/>
      </c>
      <c r="B506" s="1202"/>
      <c r="C506" s="1202"/>
      <c r="E506" s="383">
        <f t="shared" si="14"/>
        <v>22</v>
      </c>
      <c r="F506" s="7">
        <f t="shared" si="15"/>
        <v>17</v>
      </c>
    </row>
    <row r="507" spans="1:6" s="571" customFormat="1" ht="11.65" hidden="1" customHeight="1" outlineLevel="1" x14ac:dyDescent="0.2">
      <c r="A507" s="1202" t="str">
        <f>IF(MOD($F507,$H$2)&lt;$H$2-2,_xll.ciqfunctions.udf.CIQSPLIT(VLOOKUP(E507,'CIQ Key Developments'!$B$8:$I$491,COLUMN('CIQ Key Developments'!$F$7)-COLUMN('CIQ Key Developments'!$B$7)+1,FALSE),$F507,F$6),IF(MOD($F507,$H$2)=$H$2-2,"Source: "&amp;VLOOKUP(E507,'CIQ Key Developments'!$B$8:$I$491,COLUMN('CIQ Key Developments'!$I$7)-COLUMN('CIQ Key Developments'!$B$7)+1,FALSE),""))</f>
        <v/>
      </c>
      <c r="B507" s="1202"/>
      <c r="C507" s="1202"/>
      <c r="E507" s="383">
        <f t="shared" si="14"/>
        <v>22</v>
      </c>
      <c r="F507" s="7">
        <f t="shared" si="15"/>
        <v>18</v>
      </c>
    </row>
    <row r="508" spans="1:6" s="571" customFormat="1" ht="11.65" hidden="1" customHeight="1" outlineLevel="1" x14ac:dyDescent="0.2">
      <c r="A508" s="1202" t="str">
        <f>IF(MOD($F508,$H$2)&lt;$H$2-2,_xll.ciqfunctions.udf.CIQSPLIT(VLOOKUP(E508,'CIQ Key Developments'!$B$8:$I$491,COLUMN('CIQ Key Developments'!$F$7)-COLUMN('CIQ Key Developments'!$B$7)+1,FALSE),$F508,F$6),IF(MOD($F508,$H$2)=$H$2-2,"Source: "&amp;VLOOKUP(E508,'CIQ Key Developments'!$B$8:$I$491,COLUMN('CIQ Key Developments'!$I$7)-COLUMN('CIQ Key Developments'!$B$7)+1,FALSE),""))</f>
        <v/>
      </c>
      <c r="B508" s="1202"/>
      <c r="C508" s="1202"/>
      <c r="E508" s="383">
        <f t="shared" si="14"/>
        <v>22</v>
      </c>
      <c r="F508" s="7">
        <f t="shared" si="15"/>
        <v>19</v>
      </c>
    </row>
    <row r="509" spans="1:6" s="571" customFormat="1" ht="11.65" customHeight="1" collapsed="1" x14ac:dyDescent="0.2">
      <c r="A509" s="1202" t="str">
        <f>IF(MOD($F509,$H$2)&lt;$H$2-2,_xll.ciqfunctions.udf.CIQSPLIT(VLOOKUP(E509,'CIQ Key Developments'!$B$8:$I$491,COLUMN('CIQ Key Developments'!$F$7)-COLUMN('CIQ Key Developments'!$B$7)+1,FALSE),$F509,F$6),IF(MOD($F509,$H$2)=$H$2-2,"Source: "&amp;VLOOKUP(E509,'CIQ Key Developments'!$B$8:$I$491,COLUMN('CIQ Key Developments'!$I$7)-COLUMN('CIQ Key Developments'!$B$7)+1,FALSE),""))</f>
        <v>Source: PR Newswire</v>
      </c>
      <c r="B509" s="1202"/>
      <c r="C509" s="1202"/>
      <c r="E509" s="383">
        <f t="shared" si="14"/>
        <v>22</v>
      </c>
      <c r="F509" s="7">
        <f t="shared" si="15"/>
        <v>20</v>
      </c>
    </row>
    <row r="510" spans="1:6" ht="7.15" customHeight="1" collapsed="1" x14ac:dyDescent="0.2">
      <c r="A510" s="1202" t="str">
        <f>IF(MOD($F510,$H$2)&lt;$H$2-2,_xll.ciqfunctions.udf.CIQSPLIT(VLOOKUP(E510,'CIQ Key Developments'!$B$8:$I$491,COLUMN('CIQ Key Developments'!$F$7)-COLUMN('CIQ Key Developments'!$B$7)+1,FALSE),$F510,F$6),IF(MOD($F510,$H$2)=$H$2-2,"Source: "&amp;VLOOKUP(E510,'CIQ Key Developments'!$B$8:$I$491,COLUMN('CIQ Key Developments'!$I$7)-COLUMN('CIQ Key Developments'!$B$7)+1,FALSE),""))</f>
        <v/>
      </c>
      <c r="B510" s="1202"/>
      <c r="C510" s="1202"/>
      <c r="E510" s="383">
        <f t="shared" si="14"/>
        <v>22</v>
      </c>
      <c r="F510" s="7">
        <f t="shared" si="15"/>
        <v>21</v>
      </c>
    </row>
    <row r="511" spans="1:6" s="571" customFormat="1" ht="12" customHeight="1" x14ac:dyDescent="0.2">
      <c r="A511" s="1513" t="str">
        <f>+VLOOKUP(E511,'CIQ Key Developments'!$B$8:$I$491,COLUMN('CIQ Key Developments'!$D$7)-COLUMN('CIQ Key Developments'!$B$7)+1,FALSE)</f>
        <v>Walmart Inc. Presents at 18th Annual RLA Conf &amp; Expo Las Vegas 2022, Feb-06-2022</v>
      </c>
      <c r="B511" s="1514"/>
      <c r="C511" s="1515"/>
      <c r="E511" s="383">
        <f t="shared" si="14"/>
        <v>23</v>
      </c>
      <c r="F511" s="7">
        <f t="shared" si="15"/>
        <v>22</v>
      </c>
    </row>
    <row r="512" spans="1:6" s="571" customFormat="1" ht="11.65" customHeight="1" x14ac:dyDescent="0.2">
      <c r="A512" s="1199" t="str">
        <f>+$C$3</f>
        <v>Walmart Inc.</v>
      </c>
      <c r="B512" s="1200" t="str">
        <f>VLOOKUP(E511,'CIQ Key Developments'!$B$8:$I$491,COLUMN('CIQ Key Developments'!$G$7)-COLUMN('CIQ Key Developments'!$B$7)+1,FALSE)&amp;" "&amp;VLOOKUP(E511,'CIQ Key Developments'!$B$8:$I$491,COLUMN('CIQ Key Developments'!$H$7)-COLUMN('CIQ Key Developments'!$B$7)+1,FALSE)</f>
        <v>06 Feb 2022 8:00 AM</v>
      </c>
      <c r="C512" s="1201" t="str">
        <f>+VLOOKUP(E511,'CIQ Key Developments'!$B$8:$I$491,COLUMN('CIQ Key Developments'!$E$7)-COLUMN('CIQ Key Developments'!$B$7)+1,FALSE)</f>
        <v>Company Conference Presentations</v>
      </c>
      <c r="E512" s="383">
        <f t="shared" si="14"/>
        <v>23</v>
      </c>
      <c r="F512" s="7">
        <f t="shared" si="15"/>
        <v>175</v>
      </c>
    </row>
    <row r="513" spans="1:6" s="571" customFormat="1" ht="11.65" customHeight="1" x14ac:dyDescent="0.2">
      <c r="A513" s="1202" t="str">
        <f>IF(MOD($F513,$H$2)&lt;$H$2-2,_xll.ciqfunctions.udf.CIQSPLIT(VLOOKUP(E513,'CIQ Key Developments'!$B$8:$I$491,COLUMN('CIQ Key Developments'!$F$7)-COLUMN('CIQ Key Developments'!$B$7)+1,FALSE),$F513,F$6),IF(MOD($F513,$H$2)=$H$2-2,"Source: "&amp;VLOOKUP(E513,'CIQ Key Developments'!$B$8:$I$491,COLUMN('CIQ Key Developments'!$I$7)-COLUMN('CIQ Key Developments'!$B$7)+1,FALSE),""))</f>
        <v>Walmart Inc. Presents at 18th Annual RLA Conf &amp; Expo Las Vegas 2022, Feb-06-2022 . Venue: Las Vegas, Nevada, United States. Speakers: Brad Harris, Director, Circular Economy.</v>
      </c>
      <c r="B513" s="1202"/>
      <c r="C513" s="1202"/>
      <c r="E513" s="383">
        <f t="shared" si="14"/>
        <v>23</v>
      </c>
      <c r="F513" s="7">
        <f t="shared" si="15"/>
        <v>1</v>
      </c>
    </row>
    <row r="514" spans="1:6" s="571" customFormat="1" ht="11.65" hidden="1" customHeight="1" outlineLevel="1" x14ac:dyDescent="0.2">
      <c r="A514" s="1202" t="str">
        <f>IF(MOD($F514,$H$2)&lt;$H$2-2,_xll.ciqfunctions.udf.CIQSPLIT(VLOOKUP(E514,'CIQ Key Developments'!$B$8:$I$491,COLUMN('CIQ Key Developments'!$F$7)-COLUMN('CIQ Key Developments'!$B$7)+1,FALSE),$F514,F$6),IF(MOD($F514,$H$2)=$H$2-2,"Source: "&amp;VLOOKUP(E514,'CIQ Key Developments'!$B$8:$I$491,COLUMN('CIQ Key Developments'!$I$7)-COLUMN('CIQ Key Developments'!$B$7)+1,FALSE),""))</f>
        <v/>
      </c>
      <c r="B514" s="1202"/>
      <c r="C514" s="1202"/>
      <c r="E514" s="383">
        <f t="shared" si="14"/>
        <v>23</v>
      </c>
      <c r="F514" s="7">
        <f t="shared" si="15"/>
        <v>2</v>
      </c>
    </row>
    <row r="515" spans="1:6" s="571" customFormat="1" ht="11.65" hidden="1" customHeight="1" outlineLevel="1" x14ac:dyDescent="0.2">
      <c r="A515" s="1202" t="str">
        <f>IF(MOD($F515,$H$2)&lt;$H$2-2,_xll.ciqfunctions.udf.CIQSPLIT(VLOOKUP(E515,'CIQ Key Developments'!$B$8:$I$491,COLUMN('CIQ Key Developments'!$F$7)-COLUMN('CIQ Key Developments'!$B$7)+1,FALSE),$F515,F$6),IF(MOD($F515,$H$2)=$H$2-2,"Source: "&amp;VLOOKUP(E515,'CIQ Key Developments'!$B$8:$I$491,COLUMN('CIQ Key Developments'!$I$7)-COLUMN('CIQ Key Developments'!$B$7)+1,FALSE),""))</f>
        <v/>
      </c>
      <c r="B515" s="1202"/>
      <c r="C515" s="1202"/>
      <c r="E515" s="383">
        <f t="shared" si="14"/>
        <v>23</v>
      </c>
      <c r="F515" s="7">
        <f t="shared" si="15"/>
        <v>3</v>
      </c>
    </row>
    <row r="516" spans="1:6" s="571" customFormat="1" ht="11.65" hidden="1" customHeight="1" outlineLevel="1" x14ac:dyDescent="0.2">
      <c r="A516" s="1202" t="str">
        <f>IF(MOD($F516,$H$2)&lt;$H$2-2,_xll.ciqfunctions.udf.CIQSPLIT(VLOOKUP(E516,'CIQ Key Developments'!$B$8:$I$491,COLUMN('CIQ Key Developments'!$F$7)-COLUMN('CIQ Key Developments'!$B$7)+1,FALSE),$F516,F$6),IF(MOD($F516,$H$2)=$H$2-2,"Source: "&amp;VLOOKUP(E516,'CIQ Key Developments'!$B$8:$I$491,COLUMN('CIQ Key Developments'!$I$7)-COLUMN('CIQ Key Developments'!$B$7)+1,FALSE),""))</f>
        <v/>
      </c>
      <c r="B516" s="1202"/>
      <c r="C516" s="1202"/>
      <c r="E516" s="383">
        <f t="shared" si="14"/>
        <v>23</v>
      </c>
      <c r="F516" s="7">
        <f t="shared" si="15"/>
        <v>4</v>
      </c>
    </row>
    <row r="517" spans="1:6" s="571" customFormat="1" ht="11.65" hidden="1" customHeight="1" outlineLevel="1" x14ac:dyDescent="0.2">
      <c r="A517" s="1202" t="str">
        <f>IF(MOD($F517,$H$2)&lt;$H$2-2,_xll.ciqfunctions.udf.CIQSPLIT(VLOOKUP(E517,'CIQ Key Developments'!$B$8:$I$491,COLUMN('CIQ Key Developments'!$F$7)-COLUMN('CIQ Key Developments'!$B$7)+1,FALSE),$F517,F$6),IF(MOD($F517,$H$2)=$H$2-2,"Source: "&amp;VLOOKUP(E517,'CIQ Key Developments'!$B$8:$I$491,COLUMN('CIQ Key Developments'!$I$7)-COLUMN('CIQ Key Developments'!$B$7)+1,FALSE),""))</f>
        <v/>
      </c>
      <c r="B517" s="1202"/>
      <c r="C517" s="1202"/>
      <c r="E517" s="383">
        <f t="shared" si="14"/>
        <v>23</v>
      </c>
      <c r="F517" s="7">
        <f t="shared" si="15"/>
        <v>5</v>
      </c>
    </row>
    <row r="518" spans="1:6" s="571" customFormat="1" ht="11.65" hidden="1" customHeight="1" outlineLevel="1" x14ac:dyDescent="0.2">
      <c r="A518" s="1202" t="str">
        <f>IF(MOD($F518,$H$2)&lt;$H$2-2,_xll.ciqfunctions.udf.CIQSPLIT(VLOOKUP(E518,'CIQ Key Developments'!$B$8:$I$491,COLUMN('CIQ Key Developments'!$F$7)-COLUMN('CIQ Key Developments'!$B$7)+1,FALSE),$F518,F$6),IF(MOD($F518,$H$2)=$H$2-2,"Source: "&amp;VLOOKUP(E518,'CIQ Key Developments'!$B$8:$I$491,COLUMN('CIQ Key Developments'!$I$7)-COLUMN('CIQ Key Developments'!$B$7)+1,FALSE),""))</f>
        <v/>
      </c>
      <c r="B518" s="1202"/>
      <c r="C518" s="1202"/>
      <c r="E518" s="383">
        <f t="shared" si="14"/>
        <v>23</v>
      </c>
      <c r="F518" s="7">
        <f t="shared" si="15"/>
        <v>6</v>
      </c>
    </row>
    <row r="519" spans="1:6" s="571" customFormat="1" ht="11.65" hidden="1" customHeight="1" outlineLevel="1" x14ac:dyDescent="0.2">
      <c r="A519" s="1202" t="str">
        <f>IF(MOD($F519,$H$2)&lt;$H$2-2,_xll.ciqfunctions.udf.CIQSPLIT(VLOOKUP(E519,'CIQ Key Developments'!$B$8:$I$491,COLUMN('CIQ Key Developments'!$F$7)-COLUMN('CIQ Key Developments'!$B$7)+1,FALSE),$F519,F$6),IF(MOD($F519,$H$2)=$H$2-2,"Source: "&amp;VLOOKUP(E519,'CIQ Key Developments'!$B$8:$I$491,COLUMN('CIQ Key Developments'!$I$7)-COLUMN('CIQ Key Developments'!$B$7)+1,FALSE),""))</f>
        <v/>
      </c>
      <c r="B519" s="1202"/>
      <c r="C519" s="1202"/>
      <c r="E519" s="383">
        <f t="shared" ref="E519:E582" si="16">+IF(F520=$F$6,E518+1,E518)</f>
        <v>23</v>
      </c>
      <c r="F519" s="7">
        <f t="shared" si="15"/>
        <v>7</v>
      </c>
    </row>
    <row r="520" spans="1:6" s="571" customFormat="1" ht="11.65" hidden="1" customHeight="1" outlineLevel="1" x14ac:dyDescent="0.2">
      <c r="A520" s="1202" t="str">
        <f>IF(MOD($F520,$H$2)&lt;$H$2-2,_xll.ciqfunctions.udf.CIQSPLIT(VLOOKUP(E520,'CIQ Key Developments'!$B$8:$I$491,COLUMN('CIQ Key Developments'!$F$7)-COLUMN('CIQ Key Developments'!$B$7)+1,FALSE),$F520,F$6),IF(MOD($F520,$H$2)=$H$2-2,"Source: "&amp;VLOOKUP(E520,'CIQ Key Developments'!$B$8:$I$491,COLUMN('CIQ Key Developments'!$I$7)-COLUMN('CIQ Key Developments'!$B$7)+1,FALSE),""))</f>
        <v/>
      </c>
      <c r="B520" s="1202"/>
      <c r="C520" s="1202"/>
      <c r="E520" s="383">
        <f t="shared" si="16"/>
        <v>23</v>
      </c>
      <c r="F520" s="7">
        <f t="shared" si="15"/>
        <v>8</v>
      </c>
    </row>
    <row r="521" spans="1:6" s="571" customFormat="1" ht="11.65" hidden="1" customHeight="1" outlineLevel="1" x14ac:dyDescent="0.2">
      <c r="A521" s="1202" t="str">
        <f>IF(MOD($F521,$H$2)&lt;$H$2-2,_xll.ciqfunctions.udf.CIQSPLIT(VLOOKUP(E521,'CIQ Key Developments'!$B$8:$I$491,COLUMN('CIQ Key Developments'!$F$7)-COLUMN('CIQ Key Developments'!$B$7)+1,FALSE),$F521,F$6),IF(MOD($F521,$H$2)=$H$2-2,"Source: "&amp;VLOOKUP(E521,'CIQ Key Developments'!$B$8:$I$491,COLUMN('CIQ Key Developments'!$I$7)-COLUMN('CIQ Key Developments'!$B$7)+1,FALSE),""))</f>
        <v/>
      </c>
      <c r="B521" s="1202"/>
      <c r="C521" s="1202"/>
      <c r="E521" s="383">
        <f t="shared" si="16"/>
        <v>23</v>
      </c>
      <c r="F521" s="7">
        <f t="shared" ref="F521:F584" si="17">+IF(F520&lt;$H$2,F520+1,IF(F520=$F$6,1,$F$6))</f>
        <v>9</v>
      </c>
    </row>
    <row r="522" spans="1:6" s="571" customFormat="1" ht="11.65" hidden="1" customHeight="1" outlineLevel="1" x14ac:dyDescent="0.2">
      <c r="A522" s="1202" t="str">
        <f>IF(MOD($F522,$H$2)&lt;$H$2-2,_xll.ciqfunctions.udf.CIQSPLIT(VLOOKUP(E522,'CIQ Key Developments'!$B$8:$I$491,COLUMN('CIQ Key Developments'!$F$7)-COLUMN('CIQ Key Developments'!$B$7)+1,FALSE),$F522,F$6),IF(MOD($F522,$H$2)=$H$2-2,"Source: "&amp;VLOOKUP(E522,'CIQ Key Developments'!$B$8:$I$491,COLUMN('CIQ Key Developments'!$I$7)-COLUMN('CIQ Key Developments'!$B$7)+1,FALSE),""))</f>
        <v/>
      </c>
      <c r="B522" s="1202"/>
      <c r="C522" s="1202"/>
      <c r="E522" s="383">
        <f t="shared" si="16"/>
        <v>23</v>
      </c>
      <c r="F522" s="7">
        <f t="shared" si="17"/>
        <v>10</v>
      </c>
    </row>
    <row r="523" spans="1:6" s="571" customFormat="1" ht="11.65" hidden="1" customHeight="1" outlineLevel="1" x14ac:dyDescent="0.2">
      <c r="A523" s="1202" t="str">
        <f>IF(MOD($F523,$H$2)&lt;$H$2-2,_xll.ciqfunctions.udf.CIQSPLIT(VLOOKUP(E523,'CIQ Key Developments'!$B$8:$I$491,COLUMN('CIQ Key Developments'!$F$7)-COLUMN('CIQ Key Developments'!$B$7)+1,FALSE),$F523,F$6),IF(MOD($F523,$H$2)=$H$2-2,"Source: "&amp;VLOOKUP(E523,'CIQ Key Developments'!$B$8:$I$491,COLUMN('CIQ Key Developments'!$I$7)-COLUMN('CIQ Key Developments'!$B$7)+1,FALSE),""))</f>
        <v/>
      </c>
      <c r="B523" s="1202"/>
      <c r="C523" s="1202"/>
      <c r="E523" s="383">
        <f t="shared" si="16"/>
        <v>23</v>
      </c>
      <c r="F523" s="7">
        <f t="shared" si="17"/>
        <v>11</v>
      </c>
    </row>
    <row r="524" spans="1:6" s="571" customFormat="1" ht="11.65" hidden="1" customHeight="1" outlineLevel="1" x14ac:dyDescent="0.2">
      <c r="A524" s="1202" t="str">
        <f>IF(MOD($F524,$H$2)&lt;$H$2-2,_xll.ciqfunctions.udf.CIQSPLIT(VLOOKUP(E524,'CIQ Key Developments'!$B$8:$I$491,COLUMN('CIQ Key Developments'!$F$7)-COLUMN('CIQ Key Developments'!$B$7)+1,FALSE),$F524,F$6),IF(MOD($F524,$H$2)=$H$2-2,"Source: "&amp;VLOOKUP(E524,'CIQ Key Developments'!$B$8:$I$491,COLUMN('CIQ Key Developments'!$I$7)-COLUMN('CIQ Key Developments'!$B$7)+1,FALSE),""))</f>
        <v/>
      </c>
      <c r="B524" s="1202"/>
      <c r="C524" s="1202"/>
      <c r="E524" s="383">
        <f t="shared" si="16"/>
        <v>23</v>
      </c>
      <c r="F524" s="7">
        <f t="shared" si="17"/>
        <v>12</v>
      </c>
    </row>
    <row r="525" spans="1:6" s="571" customFormat="1" ht="11.65" hidden="1" customHeight="1" outlineLevel="1" x14ac:dyDescent="0.2">
      <c r="A525" s="1202" t="str">
        <f>IF(MOD($F525,$H$2)&lt;$H$2-2,_xll.ciqfunctions.udf.CIQSPLIT(VLOOKUP(E525,'CIQ Key Developments'!$B$8:$I$491,COLUMN('CIQ Key Developments'!$F$7)-COLUMN('CIQ Key Developments'!$B$7)+1,FALSE),$F525,F$6),IF(MOD($F525,$H$2)=$H$2-2,"Source: "&amp;VLOOKUP(E525,'CIQ Key Developments'!$B$8:$I$491,COLUMN('CIQ Key Developments'!$I$7)-COLUMN('CIQ Key Developments'!$B$7)+1,FALSE),""))</f>
        <v/>
      </c>
      <c r="B525" s="1202"/>
      <c r="C525" s="1202"/>
      <c r="E525" s="383">
        <f t="shared" si="16"/>
        <v>23</v>
      </c>
      <c r="F525" s="7">
        <f t="shared" si="17"/>
        <v>13</v>
      </c>
    </row>
    <row r="526" spans="1:6" s="571" customFormat="1" ht="11.65" hidden="1" customHeight="1" outlineLevel="1" x14ac:dyDescent="0.2">
      <c r="A526" s="1202" t="str">
        <f>IF(MOD($F526,$H$2)&lt;$H$2-2,_xll.ciqfunctions.udf.CIQSPLIT(VLOOKUP(E526,'CIQ Key Developments'!$B$8:$I$491,COLUMN('CIQ Key Developments'!$F$7)-COLUMN('CIQ Key Developments'!$B$7)+1,FALSE),$F526,F$6),IF(MOD($F526,$H$2)=$H$2-2,"Source: "&amp;VLOOKUP(E526,'CIQ Key Developments'!$B$8:$I$491,COLUMN('CIQ Key Developments'!$I$7)-COLUMN('CIQ Key Developments'!$B$7)+1,FALSE),""))</f>
        <v/>
      </c>
      <c r="B526" s="1202"/>
      <c r="C526" s="1202"/>
      <c r="E526" s="383">
        <f t="shared" si="16"/>
        <v>23</v>
      </c>
      <c r="F526" s="7">
        <f t="shared" si="17"/>
        <v>14</v>
      </c>
    </row>
    <row r="527" spans="1:6" s="571" customFormat="1" ht="11.65" hidden="1" customHeight="1" outlineLevel="1" x14ac:dyDescent="0.2">
      <c r="A527" s="1202" t="str">
        <f>IF(MOD($F527,$H$2)&lt;$H$2-2,_xll.ciqfunctions.udf.CIQSPLIT(VLOOKUP(E527,'CIQ Key Developments'!$B$8:$I$491,COLUMN('CIQ Key Developments'!$F$7)-COLUMN('CIQ Key Developments'!$B$7)+1,FALSE),$F527,F$6),IF(MOD($F527,$H$2)=$H$2-2,"Source: "&amp;VLOOKUP(E527,'CIQ Key Developments'!$B$8:$I$491,COLUMN('CIQ Key Developments'!$I$7)-COLUMN('CIQ Key Developments'!$B$7)+1,FALSE),""))</f>
        <v/>
      </c>
      <c r="B527" s="1202"/>
      <c r="C527" s="1202"/>
      <c r="E527" s="383">
        <f t="shared" si="16"/>
        <v>23</v>
      </c>
      <c r="F527" s="7">
        <f t="shared" si="17"/>
        <v>15</v>
      </c>
    </row>
    <row r="528" spans="1:6" s="571" customFormat="1" ht="11.65" hidden="1" customHeight="1" outlineLevel="1" x14ac:dyDescent="0.2">
      <c r="A528" s="1202" t="str">
        <f>IF(MOD($F528,$H$2)&lt;$H$2-2,_xll.ciqfunctions.udf.CIQSPLIT(VLOOKUP(E528,'CIQ Key Developments'!$B$8:$I$491,COLUMN('CIQ Key Developments'!$F$7)-COLUMN('CIQ Key Developments'!$B$7)+1,FALSE),$F528,F$6),IF(MOD($F528,$H$2)=$H$2-2,"Source: "&amp;VLOOKUP(E528,'CIQ Key Developments'!$B$8:$I$491,COLUMN('CIQ Key Developments'!$I$7)-COLUMN('CIQ Key Developments'!$B$7)+1,FALSE),""))</f>
        <v/>
      </c>
      <c r="B528" s="1202"/>
      <c r="C528" s="1202"/>
      <c r="E528" s="383">
        <f t="shared" si="16"/>
        <v>23</v>
      </c>
      <c r="F528" s="7">
        <f t="shared" si="17"/>
        <v>16</v>
      </c>
    </row>
    <row r="529" spans="1:6" s="571" customFormat="1" ht="11.65" hidden="1" customHeight="1" outlineLevel="1" x14ac:dyDescent="0.2">
      <c r="A529" s="1202" t="str">
        <f>IF(MOD($F529,$H$2)&lt;$H$2-2,_xll.ciqfunctions.udf.CIQSPLIT(VLOOKUP(E529,'CIQ Key Developments'!$B$8:$I$491,COLUMN('CIQ Key Developments'!$F$7)-COLUMN('CIQ Key Developments'!$B$7)+1,FALSE),$F529,F$6),IF(MOD($F529,$H$2)=$H$2-2,"Source: "&amp;VLOOKUP(E529,'CIQ Key Developments'!$B$8:$I$491,COLUMN('CIQ Key Developments'!$I$7)-COLUMN('CIQ Key Developments'!$B$7)+1,FALSE),""))</f>
        <v/>
      </c>
      <c r="B529" s="1202"/>
      <c r="C529" s="1202"/>
      <c r="E529" s="383">
        <f t="shared" si="16"/>
        <v>23</v>
      </c>
      <c r="F529" s="7">
        <f t="shared" si="17"/>
        <v>17</v>
      </c>
    </row>
    <row r="530" spans="1:6" s="571" customFormat="1" ht="11.65" hidden="1" customHeight="1" outlineLevel="1" x14ac:dyDescent="0.2">
      <c r="A530" s="1202" t="str">
        <f>IF(MOD($F530,$H$2)&lt;$H$2-2,_xll.ciqfunctions.udf.CIQSPLIT(VLOOKUP(E530,'CIQ Key Developments'!$B$8:$I$491,COLUMN('CIQ Key Developments'!$F$7)-COLUMN('CIQ Key Developments'!$B$7)+1,FALSE),$F530,F$6),IF(MOD($F530,$H$2)=$H$2-2,"Source: "&amp;VLOOKUP(E530,'CIQ Key Developments'!$B$8:$I$491,COLUMN('CIQ Key Developments'!$I$7)-COLUMN('CIQ Key Developments'!$B$7)+1,FALSE),""))</f>
        <v/>
      </c>
      <c r="B530" s="1202"/>
      <c r="C530" s="1202"/>
      <c r="E530" s="383">
        <f t="shared" si="16"/>
        <v>23</v>
      </c>
      <c r="F530" s="7">
        <f t="shared" si="17"/>
        <v>18</v>
      </c>
    </row>
    <row r="531" spans="1:6" s="571" customFormat="1" ht="11.65" hidden="1" customHeight="1" outlineLevel="1" x14ac:dyDescent="0.2">
      <c r="A531" s="1202" t="str">
        <f>IF(MOD($F531,$H$2)&lt;$H$2-2,_xll.ciqfunctions.udf.CIQSPLIT(VLOOKUP(E531,'CIQ Key Developments'!$B$8:$I$491,COLUMN('CIQ Key Developments'!$F$7)-COLUMN('CIQ Key Developments'!$B$7)+1,FALSE),$F531,F$6),IF(MOD($F531,$H$2)=$H$2-2,"Source: "&amp;VLOOKUP(E531,'CIQ Key Developments'!$B$8:$I$491,COLUMN('CIQ Key Developments'!$I$7)-COLUMN('CIQ Key Developments'!$B$7)+1,FALSE),""))</f>
        <v/>
      </c>
      <c r="B531" s="1202"/>
      <c r="C531" s="1202"/>
      <c r="E531" s="383">
        <f t="shared" si="16"/>
        <v>23</v>
      </c>
      <c r="F531" s="7">
        <f t="shared" si="17"/>
        <v>19</v>
      </c>
    </row>
    <row r="532" spans="1:6" s="571" customFormat="1" ht="11.65" customHeight="1" collapsed="1" x14ac:dyDescent="0.2">
      <c r="A532" s="1202" t="str">
        <f>IF(MOD($F532,$H$2)&lt;$H$2-2,_xll.ciqfunctions.udf.CIQSPLIT(VLOOKUP(E532,'CIQ Key Developments'!$B$8:$I$491,COLUMN('CIQ Key Developments'!$F$7)-COLUMN('CIQ Key Developments'!$B$7)+1,FALSE),$F532,F$6),IF(MOD($F532,$H$2)=$H$2-2,"Source: "&amp;VLOOKUP(E532,'CIQ Key Developments'!$B$8:$I$491,COLUMN('CIQ Key Developments'!$I$7)-COLUMN('CIQ Key Developments'!$B$7)+1,FALSE),""))</f>
        <v>Source: Other, Company Website</v>
      </c>
      <c r="B532" s="1202"/>
      <c r="C532" s="1202"/>
      <c r="E532" s="383">
        <f t="shared" si="16"/>
        <v>23</v>
      </c>
      <c r="F532" s="7">
        <f t="shared" si="17"/>
        <v>20</v>
      </c>
    </row>
    <row r="533" spans="1:6" ht="7.15" customHeight="1" collapsed="1" x14ac:dyDescent="0.2">
      <c r="A533" s="1202" t="str">
        <f>IF(MOD($F533,$H$2)&lt;$H$2-2,_xll.ciqfunctions.udf.CIQSPLIT(VLOOKUP(E533,'CIQ Key Developments'!$B$8:$I$491,COLUMN('CIQ Key Developments'!$F$7)-COLUMN('CIQ Key Developments'!$B$7)+1,FALSE),$F533,F$6),IF(MOD($F533,$H$2)=$H$2-2,"Source: "&amp;VLOOKUP(E533,'CIQ Key Developments'!$B$8:$I$491,COLUMN('CIQ Key Developments'!$I$7)-COLUMN('CIQ Key Developments'!$B$7)+1,FALSE),""))</f>
        <v/>
      </c>
      <c r="B533" s="1202"/>
      <c r="C533" s="1202"/>
      <c r="E533" s="383">
        <f t="shared" si="16"/>
        <v>23</v>
      </c>
      <c r="F533" s="7">
        <f t="shared" si="17"/>
        <v>21</v>
      </c>
    </row>
    <row r="534" spans="1:6" s="571" customFormat="1" ht="12" customHeight="1" x14ac:dyDescent="0.2">
      <c r="A534" s="1513" t="str">
        <f>+VLOOKUP(E534,'CIQ Key Developments'!$B$8:$I$491,COLUMN('CIQ Key Developments'!$D$7)-COLUMN('CIQ Key Developments'!$B$7)+1,FALSE)</f>
        <v>Angi Inc. Announces It Is Coming Soon to Walmart</v>
      </c>
      <c r="B534" s="1514"/>
      <c r="C534" s="1515"/>
      <c r="E534" s="383">
        <f t="shared" si="16"/>
        <v>24</v>
      </c>
      <c r="F534" s="7">
        <f t="shared" si="17"/>
        <v>22</v>
      </c>
    </row>
    <row r="535" spans="1:6" s="571" customFormat="1" ht="11.65" customHeight="1" x14ac:dyDescent="0.2">
      <c r="A535" s="1199" t="str">
        <f>+$C$3</f>
        <v>Walmart Inc.</v>
      </c>
      <c r="B535" s="1200" t="str">
        <f>VLOOKUP(E534,'CIQ Key Developments'!$B$8:$I$491,COLUMN('CIQ Key Developments'!$G$7)-COLUMN('CIQ Key Developments'!$B$7)+1,FALSE)&amp;" "&amp;VLOOKUP(E534,'CIQ Key Developments'!$B$8:$I$491,COLUMN('CIQ Key Developments'!$H$7)-COLUMN('CIQ Key Developments'!$B$7)+1,FALSE)</f>
        <v>31 Jan 2022 12:00 AM</v>
      </c>
      <c r="C535" s="1201" t="str">
        <f>+VLOOKUP(E534,'CIQ Key Developments'!$B$8:$I$491,COLUMN('CIQ Key Developments'!$E$7)-COLUMN('CIQ Key Developments'!$B$7)+1,FALSE)</f>
        <v>Client Announcements</v>
      </c>
      <c r="E535" s="383">
        <f t="shared" si="16"/>
        <v>24</v>
      </c>
      <c r="F535" s="7">
        <f t="shared" si="17"/>
        <v>175</v>
      </c>
    </row>
    <row r="536" spans="1:6" s="571" customFormat="1" ht="11.65" customHeight="1" x14ac:dyDescent="0.2">
      <c r="A536" s="1202" t="str">
        <f>IF(MOD($F536,$H$2)&lt;$H$2-2,_xll.ciqfunctions.udf.CIQSPLIT(VLOOKUP(E536,'CIQ Key Developments'!$B$8:$I$491,COLUMN('CIQ Key Developments'!$F$7)-COLUMN('CIQ Key Developments'!$B$7)+1,FALSE),$F536,F$6),IF(MOD($F536,$H$2)=$H$2-2,"Source: "&amp;VLOOKUP(E536,'CIQ Key Developments'!$B$8:$I$491,COLUMN('CIQ Key Developments'!$I$7)-COLUMN('CIQ Key Developments'!$B$7)+1,FALSE),""))</f>
        <v>Angi Inc. is teaming up with Walmart. Angi’s highly-rated pros will soon be available in nearly 4,000 Walmart stores across all 50 states and nationwide online. This service</v>
      </c>
      <c r="B536" s="1202"/>
      <c r="C536" s="1202"/>
      <c r="E536" s="383">
        <f t="shared" si="16"/>
        <v>24</v>
      </c>
      <c r="F536" s="7">
        <f t="shared" si="17"/>
        <v>1</v>
      </c>
    </row>
    <row r="537" spans="1:6" s="571" customFormat="1" ht="11.65" customHeight="1" x14ac:dyDescent="0.2">
      <c r="A537" s="1202" t="str">
        <f>IF(MOD($F537,$H$2)&lt;$H$2-2,_xll.ciqfunctions.udf.CIQSPLIT(VLOOKUP(E537,'CIQ Key Developments'!$B$8:$I$491,COLUMN('CIQ Key Developments'!$F$7)-COLUMN('CIQ Key Developments'!$B$7)+1,FALSE),$F537,F$6),IF(MOD($F537,$H$2)=$H$2-2,"Source: "&amp;VLOOKUP(E537,'CIQ Key Developments'!$B$8:$I$491,COLUMN('CIQ Key Developments'!$I$7)-COLUMN('CIQ Key Developments'!$B$7)+1,FALSE),""))</f>
        <v>offering includes over 150 common home projects including flooring, painting, plumbing, electrical, tv mounting, installation and assembly services for furniture and more.</v>
      </c>
      <c r="B537" s="1202"/>
      <c r="C537" s="1202"/>
      <c r="E537" s="383">
        <f t="shared" si="16"/>
        <v>24</v>
      </c>
      <c r="F537" s="7">
        <f t="shared" si="17"/>
        <v>2</v>
      </c>
    </row>
    <row r="538" spans="1:6" s="571" customFormat="1" ht="11.65" hidden="1" customHeight="1" outlineLevel="1" x14ac:dyDescent="0.2">
      <c r="A538" s="1202" t="str">
        <f>IF(MOD($F538,$H$2)&lt;$H$2-2,_xll.ciqfunctions.udf.CIQSPLIT(VLOOKUP(E538,'CIQ Key Developments'!$B$8:$I$491,COLUMN('CIQ Key Developments'!$F$7)-COLUMN('CIQ Key Developments'!$B$7)+1,FALSE),$F538,F$6),IF(MOD($F538,$H$2)=$H$2-2,"Source: "&amp;VLOOKUP(E538,'CIQ Key Developments'!$B$8:$I$491,COLUMN('CIQ Key Developments'!$I$7)-COLUMN('CIQ Key Developments'!$B$7)+1,FALSE),""))</f>
        <v>Prices start at just $49 for furniture assembly and $79 for TV mounting, all backed by the Angi Happiness Guarantee, which covers projects up to their full purchase price. Walmart</v>
      </c>
      <c r="B538" s="1202"/>
      <c r="C538" s="1202"/>
      <c r="E538" s="383">
        <f t="shared" si="16"/>
        <v>24</v>
      </c>
      <c r="F538" s="7">
        <f t="shared" si="17"/>
        <v>3</v>
      </c>
    </row>
    <row r="539" spans="1:6" s="571" customFormat="1" ht="11.65" hidden="1" customHeight="1" outlineLevel="1" x14ac:dyDescent="0.2">
      <c r="A539" s="1202" t="str">
        <f>IF(MOD($F539,$H$2)&lt;$H$2-2,_xll.ciqfunctions.udf.CIQSPLIT(VLOOKUP(E539,'CIQ Key Developments'!$B$8:$I$491,COLUMN('CIQ Key Developments'!$F$7)-COLUMN('CIQ Key Developments'!$B$7)+1,FALSE),$F539,F$6),IF(MOD($F539,$H$2)=$H$2-2,"Source: "&amp;VLOOKUP(E539,'CIQ Key Developments'!$B$8:$I$491,COLUMN('CIQ Key Developments'!$I$7)-COLUMN('CIQ Key Developments'!$B$7)+1,FALSE),""))</f>
        <v>will be Angi’s first limited-time exclusive retailer to offer these services. This exciting new launch illustrates how Walmart, one of the world’s top retailers, continues to</v>
      </c>
      <c r="B539" s="1202"/>
      <c r="C539" s="1202"/>
      <c r="E539" s="383">
        <f t="shared" si="16"/>
        <v>24</v>
      </c>
      <c r="F539" s="7">
        <f t="shared" si="17"/>
        <v>4</v>
      </c>
    </row>
    <row r="540" spans="1:6" s="571" customFormat="1" ht="11.65" hidden="1" customHeight="1" outlineLevel="1" x14ac:dyDescent="0.2">
      <c r="A540" s="1202" t="str">
        <f>IF(MOD($F540,$H$2)&lt;$H$2-2,_xll.ciqfunctions.udf.CIQSPLIT(VLOOKUP(E540,'CIQ Key Developments'!$B$8:$I$491,COLUMN('CIQ Key Developments'!$F$7)-COLUMN('CIQ Key Developments'!$B$7)+1,FALSE),$F540,F$6),IF(MOD($F540,$H$2)=$H$2-2,"Source: "&amp;VLOOKUP(E540,'CIQ Key Developments'!$B$8:$I$491,COLUMN('CIQ Key Developments'!$I$7)-COLUMN('CIQ Key Developments'!$B$7)+1,FALSE),""))</f>
        <v>innovate on behalf of its customers. Purchasing a service at Walmart is simple, fast and easy. Services can be purchased online or in-store alongside any eligible item or from</v>
      </c>
      <c r="B540" s="1202"/>
      <c r="C540" s="1202"/>
      <c r="E540" s="383">
        <f t="shared" si="16"/>
        <v>24</v>
      </c>
      <c r="F540" s="7">
        <f t="shared" si="17"/>
        <v>5</v>
      </c>
    </row>
    <row r="541" spans="1:6" s="571" customFormat="1" ht="11.65" hidden="1" customHeight="1" outlineLevel="1" x14ac:dyDescent="0.2">
      <c r="A541" s="1202" t="str">
        <f>IF(MOD($F541,$H$2)&lt;$H$2-2,_xll.ciqfunctions.udf.CIQSPLIT(VLOOKUP(E541,'CIQ Key Developments'!$B$8:$I$491,COLUMN('CIQ Key Developments'!$F$7)-COLUMN('CIQ Key Developments'!$B$7)+1,FALSE),$F541,F$6),IF(MOD($F541,$H$2)=$H$2-2,"Source: "&amp;VLOOKUP(E541,'CIQ Key Developments'!$B$8:$I$491,COLUMN('CIQ Key Developments'!$I$7)-COLUMN('CIQ Key Developments'!$B$7)+1,FALSE),""))</f>
        <v>the Angi dedicated landing page at any time on Walmart.com. It’s as easy as purchasing any other item at Walmart. Once the item is purchased, Angi will reach out to</v>
      </c>
      <c r="B541" s="1202"/>
      <c r="C541" s="1202"/>
      <c r="E541" s="383">
        <f t="shared" si="16"/>
        <v>24</v>
      </c>
      <c r="F541" s="7">
        <f t="shared" si="17"/>
        <v>6</v>
      </c>
    </row>
    <row r="542" spans="1:6" s="571" customFormat="1" ht="11.65" hidden="1" customHeight="1" outlineLevel="1" x14ac:dyDescent="0.2">
      <c r="A542" s="1202" t="str">
        <f>IF(MOD($F542,$H$2)&lt;$H$2-2,_xll.ciqfunctions.udf.CIQSPLIT(VLOOKUP(E542,'CIQ Key Developments'!$B$8:$I$491,COLUMN('CIQ Key Developments'!$F$7)-COLUMN('CIQ Key Developments'!$B$7)+1,FALSE),$F542,F$6),IF(MOD($F542,$H$2)=$H$2-2,"Source: "&amp;VLOOKUP(E542,'CIQ Key Developments'!$B$8:$I$491,COLUMN('CIQ Key Developments'!$I$7)-COLUMN('CIQ Key Developments'!$B$7)+1,FALSE),""))</f>
        <v>coordinate your booking and ensure the service is completed to delight the customer. For larger projects such as painting and flooring, after a Walmart customer requests a quote, a</v>
      </c>
      <c r="B542" s="1202"/>
      <c r="C542" s="1202"/>
      <c r="E542" s="383">
        <f t="shared" si="16"/>
        <v>24</v>
      </c>
      <c r="F542" s="7">
        <f t="shared" si="17"/>
        <v>7</v>
      </c>
    </row>
    <row r="543" spans="1:6" s="571" customFormat="1" ht="11.65" hidden="1" customHeight="1" outlineLevel="1" x14ac:dyDescent="0.2">
      <c r="A543" s="1202" t="str">
        <f>IF(MOD($F543,$H$2)&lt;$H$2-2,_xll.ciqfunctions.udf.CIQSPLIT(VLOOKUP(E543,'CIQ Key Developments'!$B$8:$I$491,COLUMN('CIQ Key Developments'!$F$7)-COLUMN('CIQ Key Developments'!$B$7)+1,FALSE),$F543,F$6),IF(MOD($F543,$H$2)=$H$2-2,"Source: "&amp;VLOOKUP(E543,'CIQ Key Developments'!$B$8:$I$491,COLUMN('CIQ Key Developments'!$I$7)-COLUMN('CIQ Key Developments'!$B$7)+1,FALSE),""))</f>
        <v>dedicated project advisor provides a custom quote, finds a pro and handles all the work, walking alongside the customer the whole way to help make the project a success.</v>
      </c>
      <c r="B543" s="1202"/>
      <c r="C543" s="1202"/>
      <c r="E543" s="383">
        <f t="shared" si="16"/>
        <v>24</v>
      </c>
      <c r="F543" s="7">
        <f t="shared" si="17"/>
        <v>8</v>
      </c>
    </row>
    <row r="544" spans="1:6" s="571" customFormat="1" ht="11.65" hidden="1" customHeight="1" outlineLevel="1" x14ac:dyDescent="0.2">
      <c r="A544" s="1202" t="str">
        <f>IF(MOD($F544,$H$2)&lt;$H$2-2,_xll.ciqfunctions.udf.CIQSPLIT(VLOOKUP(E544,'CIQ Key Developments'!$B$8:$I$491,COLUMN('CIQ Key Developments'!$F$7)-COLUMN('CIQ Key Developments'!$B$7)+1,FALSE),$F544,F$6),IF(MOD($F544,$H$2)=$H$2-2,"Source: "&amp;VLOOKUP(E544,'CIQ Key Developments'!$B$8:$I$491,COLUMN('CIQ Key Developments'!$I$7)-COLUMN('CIQ Key Developments'!$B$7)+1,FALSE),""))</f>
        <v/>
      </c>
      <c r="B544" s="1202"/>
      <c r="C544" s="1202"/>
      <c r="E544" s="383">
        <f t="shared" si="16"/>
        <v>24</v>
      </c>
      <c r="F544" s="7">
        <f t="shared" si="17"/>
        <v>9</v>
      </c>
    </row>
    <row r="545" spans="1:6" s="571" customFormat="1" ht="11.65" hidden="1" customHeight="1" outlineLevel="1" x14ac:dyDescent="0.2">
      <c r="A545" s="1202" t="str">
        <f>IF(MOD($F545,$H$2)&lt;$H$2-2,_xll.ciqfunctions.udf.CIQSPLIT(VLOOKUP(E545,'CIQ Key Developments'!$B$8:$I$491,COLUMN('CIQ Key Developments'!$F$7)-COLUMN('CIQ Key Developments'!$B$7)+1,FALSE),$F545,F$6),IF(MOD($F545,$H$2)=$H$2-2,"Source: "&amp;VLOOKUP(E545,'CIQ Key Developments'!$B$8:$I$491,COLUMN('CIQ Key Developments'!$I$7)-COLUMN('CIQ Key Developments'!$B$7)+1,FALSE),""))</f>
        <v/>
      </c>
      <c r="B545" s="1202"/>
      <c r="C545" s="1202"/>
      <c r="E545" s="383">
        <f t="shared" si="16"/>
        <v>24</v>
      </c>
      <c r="F545" s="7">
        <f t="shared" si="17"/>
        <v>10</v>
      </c>
    </row>
    <row r="546" spans="1:6" s="571" customFormat="1" ht="11.65" hidden="1" customHeight="1" outlineLevel="1" x14ac:dyDescent="0.2">
      <c r="A546" s="1202" t="str">
        <f>IF(MOD($F546,$H$2)&lt;$H$2-2,_xll.ciqfunctions.udf.CIQSPLIT(VLOOKUP(E546,'CIQ Key Developments'!$B$8:$I$491,COLUMN('CIQ Key Developments'!$F$7)-COLUMN('CIQ Key Developments'!$B$7)+1,FALSE),$F546,F$6),IF(MOD($F546,$H$2)=$H$2-2,"Source: "&amp;VLOOKUP(E546,'CIQ Key Developments'!$B$8:$I$491,COLUMN('CIQ Key Developments'!$I$7)-COLUMN('CIQ Key Developments'!$B$7)+1,FALSE),""))</f>
        <v/>
      </c>
      <c r="B546" s="1202"/>
      <c r="C546" s="1202"/>
      <c r="E546" s="383">
        <f t="shared" si="16"/>
        <v>24</v>
      </c>
      <c r="F546" s="7">
        <f t="shared" si="17"/>
        <v>11</v>
      </c>
    </row>
    <row r="547" spans="1:6" s="571" customFormat="1" ht="11.65" hidden="1" customHeight="1" outlineLevel="1" x14ac:dyDescent="0.2">
      <c r="A547" s="1202" t="str">
        <f>IF(MOD($F547,$H$2)&lt;$H$2-2,_xll.ciqfunctions.udf.CIQSPLIT(VLOOKUP(E547,'CIQ Key Developments'!$B$8:$I$491,COLUMN('CIQ Key Developments'!$F$7)-COLUMN('CIQ Key Developments'!$B$7)+1,FALSE),$F547,F$6),IF(MOD($F547,$H$2)=$H$2-2,"Source: "&amp;VLOOKUP(E547,'CIQ Key Developments'!$B$8:$I$491,COLUMN('CIQ Key Developments'!$I$7)-COLUMN('CIQ Key Developments'!$B$7)+1,FALSE),""))</f>
        <v/>
      </c>
      <c r="B547" s="1202"/>
      <c r="C547" s="1202"/>
      <c r="E547" s="383">
        <f t="shared" si="16"/>
        <v>24</v>
      </c>
      <c r="F547" s="7">
        <f t="shared" si="17"/>
        <v>12</v>
      </c>
    </row>
    <row r="548" spans="1:6" s="571" customFormat="1" ht="11.65" hidden="1" customHeight="1" outlineLevel="1" x14ac:dyDescent="0.2">
      <c r="A548" s="1202" t="str">
        <f>IF(MOD($F548,$H$2)&lt;$H$2-2,_xll.ciqfunctions.udf.CIQSPLIT(VLOOKUP(E548,'CIQ Key Developments'!$B$8:$I$491,COLUMN('CIQ Key Developments'!$F$7)-COLUMN('CIQ Key Developments'!$B$7)+1,FALSE),$F548,F$6),IF(MOD($F548,$H$2)=$H$2-2,"Source: "&amp;VLOOKUP(E548,'CIQ Key Developments'!$B$8:$I$491,COLUMN('CIQ Key Developments'!$I$7)-COLUMN('CIQ Key Developments'!$B$7)+1,FALSE),""))</f>
        <v/>
      </c>
      <c r="B548" s="1202"/>
      <c r="C548" s="1202"/>
      <c r="E548" s="383">
        <f t="shared" si="16"/>
        <v>24</v>
      </c>
      <c r="F548" s="7">
        <f t="shared" si="17"/>
        <v>13</v>
      </c>
    </row>
    <row r="549" spans="1:6" s="571" customFormat="1" ht="11.65" hidden="1" customHeight="1" outlineLevel="1" x14ac:dyDescent="0.2">
      <c r="A549" s="1202" t="str">
        <f>IF(MOD($F549,$H$2)&lt;$H$2-2,_xll.ciqfunctions.udf.CIQSPLIT(VLOOKUP(E549,'CIQ Key Developments'!$B$8:$I$491,COLUMN('CIQ Key Developments'!$F$7)-COLUMN('CIQ Key Developments'!$B$7)+1,FALSE),$F549,F$6),IF(MOD($F549,$H$2)=$H$2-2,"Source: "&amp;VLOOKUP(E549,'CIQ Key Developments'!$B$8:$I$491,COLUMN('CIQ Key Developments'!$I$7)-COLUMN('CIQ Key Developments'!$B$7)+1,FALSE),""))</f>
        <v/>
      </c>
      <c r="B549" s="1202"/>
      <c r="C549" s="1202"/>
      <c r="E549" s="383">
        <f t="shared" si="16"/>
        <v>24</v>
      </c>
      <c r="F549" s="7">
        <f t="shared" si="17"/>
        <v>14</v>
      </c>
    </row>
    <row r="550" spans="1:6" s="571" customFormat="1" ht="11.65" hidden="1" customHeight="1" outlineLevel="1" x14ac:dyDescent="0.2">
      <c r="A550" s="1202" t="str">
        <f>IF(MOD($F550,$H$2)&lt;$H$2-2,_xll.ciqfunctions.udf.CIQSPLIT(VLOOKUP(E550,'CIQ Key Developments'!$B$8:$I$491,COLUMN('CIQ Key Developments'!$F$7)-COLUMN('CIQ Key Developments'!$B$7)+1,FALSE),$F550,F$6),IF(MOD($F550,$H$2)=$H$2-2,"Source: "&amp;VLOOKUP(E550,'CIQ Key Developments'!$B$8:$I$491,COLUMN('CIQ Key Developments'!$I$7)-COLUMN('CIQ Key Developments'!$B$7)+1,FALSE),""))</f>
        <v/>
      </c>
      <c r="B550" s="1202"/>
      <c r="C550" s="1202"/>
      <c r="E550" s="383">
        <f t="shared" si="16"/>
        <v>24</v>
      </c>
      <c r="F550" s="7">
        <f t="shared" si="17"/>
        <v>15</v>
      </c>
    </row>
    <row r="551" spans="1:6" s="571" customFormat="1" ht="11.65" hidden="1" customHeight="1" outlineLevel="1" x14ac:dyDescent="0.2">
      <c r="A551" s="1202" t="str">
        <f>IF(MOD($F551,$H$2)&lt;$H$2-2,_xll.ciqfunctions.udf.CIQSPLIT(VLOOKUP(E551,'CIQ Key Developments'!$B$8:$I$491,COLUMN('CIQ Key Developments'!$F$7)-COLUMN('CIQ Key Developments'!$B$7)+1,FALSE),$F551,F$6),IF(MOD($F551,$H$2)=$H$2-2,"Source: "&amp;VLOOKUP(E551,'CIQ Key Developments'!$B$8:$I$491,COLUMN('CIQ Key Developments'!$I$7)-COLUMN('CIQ Key Developments'!$B$7)+1,FALSE),""))</f>
        <v/>
      </c>
      <c r="B551" s="1202"/>
      <c r="C551" s="1202"/>
      <c r="E551" s="383">
        <f t="shared" si="16"/>
        <v>24</v>
      </c>
      <c r="F551" s="7">
        <f t="shared" si="17"/>
        <v>16</v>
      </c>
    </row>
    <row r="552" spans="1:6" s="571" customFormat="1" ht="11.65" hidden="1" customHeight="1" outlineLevel="1" x14ac:dyDescent="0.2">
      <c r="A552" s="1202" t="str">
        <f>IF(MOD($F552,$H$2)&lt;$H$2-2,_xll.ciqfunctions.udf.CIQSPLIT(VLOOKUP(E552,'CIQ Key Developments'!$B$8:$I$491,COLUMN('CIQ Key Developments'!$F$7)-COLUMN('CIQ Key Developments'!$B$7)+1,FALSE),$F552,F$6),IF(MOD($F552,$H$2)=$H$2-2,"Source: "&amp;VLOOKUP(E552,'CIQ Key Developments'!$B$8:$I$491,COLUMN('CIQ Key Developments'!$I$7)-COLUMN('CIQ Key Developments'!$B$7)+1,FALSE),""))</f>
        <v/>
      </c>
      <c r="B552" s="1202"/>
      <c r="C552" s="1202"/>
      <c r="E552" s="383">
        <f t="shared" si="16"/>
        <v>24</v>
      </c>
      <c r="F552" s="7">
        <f t="shared" si="17"/>
        <v>17</v>
      </c>
    </row>
    <row r="553" spans="1:6" s="571" customFormat="1" ht="11.65" hidden="1" customHeight="1" outlineLevel="1" x14ac:dyDescent="0.2">
      <c r="A553" s="1202" t="str">
        <f>IF(MOD($F553,$H$2)&lt;$H$2-2,_xll.ciqfunctions.udf.CIQSPLIT(VLOOKUP(E553,'CIQ Key Developments'!$B$8:$I$491,COLUMN('CIQ Key Developments'!$F$7)-COLUMN('CIQ Key Developments'!$B$7)+1,FALSE),$F553,F$6),IF(MOD($F553,$H$2)=$H$2-2,"Source: "&amp;VLOOKUP(E553,'CIQ Key Developments'!$B$8:$I$491,COLUMN('CIQ Key Developments'!$I$7)-COLUMN('CIQ Key Developments'!$B$7)+1,FALSE),""))</f>
        <v/>
      </c>
      <c r="B553" s="1202"/>
      <c r="C553" s="1202"/>
      <c r="E553" s="383">
        <f t="shared" si="16"/>
        <v>24</v>
      </c>
      <c r="F553" s="7">
        <f t="shared" si="17"/>
        <v>18</v>
      </c>
    </row>
    <row r="554" spans="1:6" s="571" customFormat="1" ht="11.65" hidden="1" customHeight="1" outlineLevel="1" x14ac:dyDescent="0.2">
      <c r="A554" s="1202" t="str">
        <f>IF(MOD($F554,$H$2)&lt;$H$2-2,_xll.ciqfunctions.udf.CIQSPLIT(VLOOKUP(E554,'CIQ Key Developments'!$B$8:$I$491,COLUMN('CIQ Key Developments'!$F$7)-COLUMN('CIQ Key Developments'!$B$7)+1,FALSE),$F554,F$6),IF(MOD($F554,$H$2)=$H$2-2,"Source: "&amp;VLOOKUP(E554,'CIQ Key Developments'!$B$8:$I$491,COLUMN('CIQ Key Developments'!$I$7)-COLUMN('CIQ Key Developments'!$B$7)+1,FALSE),""))</f>
        <v/>
      </c>
      <c r="B554" s="1202"/>
      <c r="C554" s="1202"/>
      <c r="E554" s="383">
        <f t="shared" si="16"/>
        <v>24</v>
      </c>
      <c r="F554" s="7">
        <f t="shared" si="17"/>
        <v>19</v>
      </c>
    </row>
    <row r="555" spans="1:6" s="571" customFormat="1" ht="11.65" customHeight="1" collapsed="1" x14ac:dyDescent="0.2">
      <c r="A555" s="1202" t="str">
        <f>IF(MOD($F555,$H$2)&lt;$H$2-2,_xll.ciqfunctions.udf.CIQSPLIT(VLOOKUP(E555,'CIQ Key Developments'!$B$8:$I$491,COLUMN('CIQ Key Developments'!$F$7)-COLUMN('CIQ Key Developments'!$B$7)+1,FALSE),$F555,F$6),IF(MOD($F555,$H$2)=$H$2-2,"Source: "&amp;VLOOKUP(E555,'CIQ Key Developments'!$B$8:$I$491,COLUMN('CIQ Key Developments'!$I$7)-COLUMN('CIQ Key Developments'!$B$7)+1,FALSE),""))</f>
        <v>Source: GlobeNewswire</v>
      </c>
      <c r="B555" s="1202"/>
      <c r="C555" s="1202"/>
      <c r="E555" s="383">
        <f t="shared" si="16"/>
        <v>24</v>
      </c>
      <c r="F555" s="7">
        <f t="shared" si="17"/>
        <v>20</v>
      </c>
    </row>
    <row r="556" spans="1:6" ht="7.15" customHeight="1" collapsed="1" x14ac:dyDescent="0.2">
      <c r="A556" s="1202" t="str">
        <f>IF(MOD($F556,$H$2)&lt;$H$2-2,_xll.ciqfunctions.udf.CIQSPLIT(VLOOKUP(E556,'CIQ Key Developments'!$B$8:$I$491,COLUMN('CIQ Key Developments'!$F$7)-COLUMN('CIQ Key Developments'!$B$7)+1,FALSE),$F556,F$6),IF(MOD($F556,$H$2)=$H$2-2,"Source: "&amp;VLOOKUP(E556,'CIQ Key Developments'!$B$8:$I$491,COLUMN('CIQ Key Developments'!$I$7)-COLUMN('CIQ Key Developments'!$B$7)+1,FALSE),""))</f>
        <v/>
      </c>
      <c r="B556" s="1202"/>
      <c r="C556" s="1202"/>
      <c r="E556" s="383">
        <f t="shared" si="16"/>
        <v>24</v>
      </c>
      <c r="F556" s="7">
        <f t="shared" si="17"/>
        <v>21</v>
      </c>
    </row>
    <row r="557" spans="1:6" s="571" customFormat="1" ht="12" customHeight="1" x14ac:dyDescent="0.2">
      <c r="A557" s="1513" t="str">
        <f>+VLOOKUP(E557,'CIQ Key Developments'!$B$8:$I$491,COLUMN('CIQ Key Developments'!$D$7)-COLUMN('CIQ Key Developments'!$B$7)+1,FALSE)</f>
        <v>LikeMeat's Plant-Based Chick'n Wings Available at Walmart Nationwide</v>
      </c>
      <c r="B557" s="1514"/>
      <c r="C557" s="1515"/>
      <c r="E557" s="383">
        <f t="shared" si="16"/>
        <v>25</v>
      </c>
      <c r="F557" s="7">
        <f t="shared" si="17"/>
        <v>22</v>
      </c>
    </row>
    <row r="558" spans="1:6" s="571" customFormat="1" ht="11.65" customHeight="1" x14ac:dyDescent="0.2">
      <c r="A558" s="1199" t="str">
        <f>+$C$3</f>
        <v>Walmart Inc.</v>
      </c>
      <c r="B558" s="1200" t="str">
        <f>VLOOKUP(E557,'CIQ Key Developments'!$B$8:$I$491,COLUMN('CIQ Key Developments'!$G$7)-COLUMN('CIQ Key Developments'!$B$7)+1,FALSE)&amp;" "&amp;VLOOKUP(E557,'CIQ Key Developments'!$B$8:$I$491,COLUMN('CIQ Key Developments'!$H$7)-COLUMN('CIQ Key Developments'!$B$7)+1,FALSE)</f>
        <v>31 Jan 2022 12:00 AM</v>
      </c>
      <c r="C558" s="1201" t="str">
        <f>+VLOOKUP(E557,'CIQ Key Developments'!$B$8:$I$491,COLUMN('CIQ Key Developments'!$E$7)-COLUMN('CIQ Key Developments'!$B$7)+1,FALSE)</f>
        <v>Client Announcements</v>
      </c>
      <c r="E558" s="383">
        <f t="shared" si="16"/>
        <v>25</v>
      </c>
      <c r="F558" s="7">
        <f t="shared" si="17"/>
        <v>175</v>
      </c>
    </row>
    <row r="559" spans="1:6" s="571" customFormat="1" ht="11.65" customHeight="1" x14ac:dyDescent="0.2">
      <c r="A559" s="1202" t="str">
        <f>IF(MOD($F559,$H$2)&lt;$H$2-2,_xll.ciqfunctions.udf.CIQSPLIT(VLOOKUP(E559,'CIQ Key Developments'!$B$8:$I$491,COLUMN('CIQ Key Developments'!$F$7)-COLUMN('CIQ Key Developments'!$B$7)+1,FALSE),$F559,F$6),IF(MOD($F559,$H$2)=$H$2-2,"Source: "&amp;VLOOKUP(E559,'CIQ Key Developments'!$B$8:$I$491,COLUMN('CIQ Key Developments'!$I$7)-COLUMN('CIQ Key Developments'!$B$7)+1,FALSE),""))</f>
        <v>LIVEKINDLY Collective announced that LikeMeat’s Like Chick’n Wings are available nationwide at over 3,600 Walmart stores. LIVEKINDLY Collective recently cracked the chick’n</v>
      </c>
      <c r="B559" s="1202"/>
      <c r="C559" s="1202"/>
      <c r="E559" s="383">
        <f t="shared" si="16"/>
        <v>25</v>
      </c>
      <c r="F559" s="7">
        <f t="shared" si="17"/>
        <v>1</v>
      </c>
    </row>
    <row r="560" spans="1:6" s="571" customFormat="1" ht="11.65" customHeight="1" x14ac:dyDescent="0.2">
      <c r="A560" s="1202" t="str">
        <f>IF(MOD($F560,$H$2)&lt;$H$2-2,_xll.ciqfunctions.udf.CIQSPLIT(VLOOKUP(E560,'CIQ Key Developments'!$B$8:$I$491,COLUMN('CIQ Key Developments'!$F$7)-COLUMN('CIQ Key Developments'!$B$7)+1,FALSE),$F560,F$6),IF(MOD($F560,$H$2)=$H$2-2,"Source: "&amp;VLOOKUP(E560,'CIQ Key Developments'!$B$8:$I$491,COLUMN('CIQ Key Developments'!$I$7)-COLUMN('CIQ Key Developments'!$B$7)+1,FALSE),""))</f>
        <v>wing code with the release of Like Chick’n Wings, the Collective’s innovative, delicious, plant-based take on America’s favorite party food, launched under its brand, LikeMeat.</v>
      </c>
      <c r="B560" s="1202"/>
      <c r="C560" s="1202"/>
      <c r="E560" s="383">
        <f t="shared" si="16"/>
        <v>25</v>
      </c>
      <c r="F560" s="7">
        <f t="shared" si="17"/>
        <v>2</v>
      </c>
    </row>
    <row r="561" spans="1:6" s="571" customFormat="1" ht="11.65" customHeight="1" x14ac:dyDescent="0.2">
      <c r="A561" s="1202" t="str">
        <f>IF(MOD($F561,$H$2)&lt;$H$2-2,_xll.ciqfunctions.udf.CIQSPLIT(VLOOKUP(E561,'CIQ Key Developments'!$B$8:$I$491,COLUMN('CIQ Key Developments'!$F$7)-COLUMN('CIQ Key Developments'!$B$7)+1,FALSE),$F561,F$6),IF(MOD($F561,$H$2)=$H$2-2,"Source: "&amp;VLOOKUP(E561,'CIQ Key Developments'!$B$8:$I$491,COLUMN('CIQ Key Developments'!$I$7)-COLUMN('CIQ Key Developments'!$B$7)+1,FALSE),""))</f>
        <v>With this new Walmart availability, only weeks after the Wings’ introduction at Sprouts and Sam’s Club, the Collective estimates that close to 10 million Like Chick’n Wings</v>
      </c>
      <c r="B561" s="1202"/>
      <c r="C561" s="1202"/>
      <c r="E561" s="383">
        <f t="shared" si="16"/>
        <v>25</v>
      </c>
      <c r="F561" s="7">
        <f t="shared" si="17"/>
        <v>3</v>
      </c>
    </row>
    <row r="562" spans="1:6" s="571" customFormat="1" ht="11.65" customHeight="1" x14ac:dyDescent="0.2">
      <c r="A562" s="1202" t="str">
        <f>IF(MOD($F562,$H$2)&lt;$H$2-2,_xll.ciqfunctions.udf.CIQSPLIT(VLOOKUP(E562,'CIQ Key Developments'!$B$8:$I$491,COLUMN('CIQ Key Developments'!$F$7)-COLUMN('CIQ Key Developments'!$B$7)+1,FALSE),$F562,F$6),IF(MOD($F562,$H$2)=$H$2-2,"Source: "&amp;VLOOKUP(E562,'CIQ Key Developments'!$B$8:$I$491,COLUMN('CIQ Key Developments'!$I$7)-COLUMN('CIQ Key Developments'!$B$7)+1,FALSE),""))</f>
        <v>will be consumed during football watch parties this year. Even the staunchest meat-lovers are fans of Like Chick'n Wings’ satisfyingly crispy coating and juicy, bone-free, meaty</v>
      </c>
      <c r="B562" s="1202"/>
      <c r="C562" s="1202"/>
      <c r="E562" s="383">
        <f t="shared" si="16"/>
        <v>25</v>
      </c>
      <c r="F562" s="7">
        <f t="shared" si="17"/>
        <v>4</v>
      </c>
    </row>
    <row r="563" spans="1:6" s="571" customFormat="1" ht="11.65" customHeight="1" x14ac:dyDescent="0.2">
      <c r="A563" s="1202" t="str">
        <f>IF(MOD($F563,$H$2)&lt;$H$2-2,_xll.ciqfunctions.udf.CIQSPLIT(VLOOKUP(E563,'CIQ Key Developments'!$B$8:$I$491,COLUMN('CIQ Key Developments'!$F$7)-COLUMN('CIQ Key Developments'!$B$7)+1,FALSE),$F563,F$6),IF(MOD($F563,$H$2)=$H$2-2,"Source: "&amp;VLOOKUP(E563,'CIQ Key Developments'!$B$8:$I$491,COLUMN('CIQ Key Developments'!$I$7)-COLUMN('CIQ Key Developments'!$B$7)+1,FALSE),""))</f>
        <v>texture. Gluten-free, certified plant-based and made with non-GMO ingredients, Like Chick'n Wings are now available in a one-pound Family Pack in the freezer aisle at over</v>
      </c>
      <c r="B563" s="1202"/>
      <c r="C563" s="1202"/>
      <c r="E563" s="383">
        <f t="shared" si="16"/>
        <v>25</v>
      </c>
      <c r="F563" s="7">
        <f t="shared" si="17"/>
        <v>5</v>
      </c>
    </row>
    <row r="564" spans="1:6" s="571" customFormat="1" ht="11.65" customHeight="1" x14ac:dyDescent="0.2">
      <c r="A564" s="1202" t="str">
        <f>IF(MOD($F564,$H$2)&lt;$H$2-2,_xll.ciqfunctions.udf.CIQSPLIT(VLOOKUP(E564,'CIQ Key Developments'!$B$8:$I$491,COLUMN('CIQ Key Developments'!$F$7)-COLUMN('CIQ Key Developments'!$B$7)+1,FALSE),$F564,F$6),IF(MOD($F564,$H$2)=$H$2-2,"Source: "&amp;VLOOKUP(E564,'CIQ Key Developments'!$B$8:$I$491,COLUMN('CIQ Key Developments'!$I$7)-COLUMN('CIQ Key Developments'!$B$7)+1,FALSE),""))</f>
        <v>3,600 Walmart locations nationwide. Each one includes a pouch of vegan buffalo sauce so user can toss, sauce and dip to user heart's content, all while keeping it plant-based.</v>
      </c>
      <c r="B564" s="1202"/>
      <c r="C564" s="1202"/>
      <c r="E564" s="383">
        <f t="shared" si="16"/>
        <v>25</v>
      </c>
      <c r="F564" s="7">
        <f t="shared" si="17"/>
        <v>6</v>
      </c>
    </row>
    <row r="565" spans="1:6" s="571" customFormat="1" ht="11.65" hidden="1" customHeight="1" outlineLevel="1" x14ac:dyDescent="0.2">
      <c r="A565" s="1202" t="str">
        <f>IF(MOD($F565,$H$2)&lt;$H$2-2,_xll.ciqfunctions.udf.CIQSPLIT(VLOOKUP(E565,'CIQ Key Developments'!$B$8:$I$491,COLUMN('CIQ Key Developments'!$F$7)-COLUMN('CIQ Key Developments'!$B$7)+1,FALSE),$F565,F$6),IF(MOD($F565,$H$2)=$H$2-2,"Source: "&amp;VLOOKUP(E565,'CIQ Key Developments'!$B$8:$I$491,COLUMN('CIQ Key Developments'!$I$7)-COLUMN('CIQ Key Developments'!$B$7)+1,FALSE),""))</f>
        <v/>
      </c>
      <c r="B565" s="1202"/>
      <c r="C565" s="1202"/>
      <c r="E565" s="383">
        <f t="shared" si="16"/>
        <v>25</v>
      </c>
      <c r="F565" s="7">
        <f t="shared" si="17"/>
        <v>7</v>
      </c>
    </row>
    <row r="566" spans="1:6" s="571" customFormat="1" ht="11.65" hidden="1" customHeight="1" outlineLevel="1" x14ac:dyDescent="0.2">
      <c r="A566" s="1202" t="str">
        <f>IF(MOD($F566,$H$2)&lt;$H$2-2,_xll.ciqfunctions.udf.CIQSPLIT(VLOOKUP(E566,'CIQ Key Developments'!$B$8:$I$491,COLUMN('CIQ Key Developments'!$F$7)-COLUMN('CIQ Key Developments'!$B$7)+1,FALSE),$F566,F$6),IF(MOD($F566,$H$2)=$H$2-2,"Source: "&amp;VLOOKUP(E566,'CIQ Key Developments'!$B$8:$I$491,COLUMN('CIQ Key Developments'!$I$7)-COLUMN('CIQ Key Developments'!$B$7)+1,FALSE),""))</f>
        <v/>
      </c>
      <c r="B566" s="1202"/>
      <c r="C566" s="1202"/>
      <c r="E566" s="383">
        <f t="shared" si="16"/>
        <v>25</v>
      </c>
      <c r="F566" s="7">
        <f t="shared" si="17"/>
        <v>8</v>
      </c>
    </row>
    <row r="567" spans="1:6" s="571" customFormat="1" ht="11.65" hidden="1" customHeight="1" outlineLevel="1" x14ac:dyDescent="0.2">
      <c r="A567" s="1202" t="str">
        <f>IF(MOD($F567,$H$2)&lt;$H$2-2,_xll.ciqfunctions.udf.CIQSPLIT(VLOOKUP(E567,'CIQ Key Developments'!$B$8:$I$491,COLUMN('CIQ Key Developments'!$F$7)-COLUMN('CIQ Key Developments'!$B$7)+1,FALSE),$F567,F$6),IF(MOD($F567,$H$2)=$H$2-2,"Source: "&amp;VLOOKUP(E567,'CIQ Key Developments'!$B$8:$I$491,COLUMN('CIQ Key Developments'!$I$7)-COLUMN('CIQ Key Developments'!$B$7)+1,FALSE),""))</f>
        <v/>
      </c>
      <c r="B567" s="1202"/>
      <c r="C567" s="1202"/>
      <c r="E567" s="383">
        <f t="shared" si="16"/>
        <v>25</v>
      </c>
      <c r="F567" s="7">
        <f t="shared" si="17"/>
        <v>9</v>
      </c>
    </row>
    <row r="568" spans="1:6" s="571" customFormat="1" ht="11.65" hidden="1" customHeight="1" outlineLevel="1" x14ac:dyDescent="0.2">
      <c r="A568" s="1202" t="str">
        <f>IF(MOD($F568,$H$2)&lt;$H$2-2,_xll.ciqfunctions.udf.CIQSPLIT(VLOOKUP(E568,'CIQ Key Developments'!$B$8:$I$491,COLUMN('CIQ Key Developments'!$F$7)-COLUMN('CIQ Key Developments'!$B$7)+1,FALSE),$F568,F$6),IF(MOD($F568,$H$2)=$H$2-2,"Source: "&amp;VLOOKUP(E568,'CIQ Key Developments'!$B$8:$I$491,COLUMN('CIQ Key Developments'!$I$7)-COLUMN('CIQ Key Developments'!$B$7)+1,FALSE),""))</f>
        <v/>
      </c>
      <c r="B568" s="1202"/>
      <c r="C568" s="1202"/>
      <c r="E568" s="383">
        <f t="shared" si="16"/>
        <v>25</v>
      </c>
      <c r="F568" s="7">
        <f t="shared" si="17"/>
        <v>10</v>
      </c>
    </row>
    <row r="569" spans="1:6" s="571" customFormat="1" ht="11.65" hidden="1" customHeight="1" outlineLevel="1" x14ac:dyDescent="0.2">
      <c r="A569" s="1202" t="str">
        <f>IF(MOD($F569,$H$2)&lt;$H$2-2,_xll.ciqfunctions.udf.CIQSPLIT(VLOOKUP(E569,'CIQ Key Developments'!$B$8:$I$491,COLUMN('CIQ Key Developments'!$F$7)-COLUMN('CIQ Key Developments'!$B$7)+1,FALSE),$F569,F$6),IF(MOD($F569,$H$2)=$H$2-2,"Source: "&amp;VLOOKUP(E569,'CIQ Key Developments'!$B$8:$I$491,COLUMN('CIQ Key Developments'!$I$7)-COLUMN('CIQ Key Developments'!$B$7)+1,FALSE),""))</f>
        <v/>
      </c>
      <c r="B569" s="1202"/>
      <c r="C569" s="1202"/>
      <c r="E569" s="383">
        <f t="shared" si="16"/>
        <v>25</v>
      </c>
      <c r="F569" s="7">
        <f t="shared" si="17"/>
        <v>11</v>
      </c>
    </row>
    <row r="570" spans="1:6" s="571" customFormat="1" ht="11.65" hidden="1" customHeight="1" outlineLevel="1" x14ac:dyDescent="0.2">
      <c r="A570" s="1202" t="str">
        <f>IF(MOD($F570,$H$2)&lt;$H$2-2,_xll.ciqfunctions.udf.CIQSPLIT(VLOOKUP(E570,'CIQ Key Developments'!$B$8:$I$491,COLUMN('CIQ Key Developments'!$F$7)-COLUMN('CIQ Key Developments'!$B$7)+1,FALSE),$F570,F$6),IF(MOD($F570,$H$2)=$H$2-2,"Source: "&amp;VLOOKUP(E570,'CIQ Key Developments'!$B$8:$I$491,COLUMN('CIQ Key Developments'!$I$7)-COLUMN('CIQ Key Developments'!$B$7)+1,FALSE),""))</f>
        <v/>
      </c>
      <c r="B570" s="1202"/>
      <c r="C570" s="1202"/>
      <c r="E570" s="383">
        <f t="shared" si="16"/>
        <v>25</v>
      </c>
      <c r="F570" s="7">
        <f t="shared" si="17"/>
        <v>12</v>
      </c>
    </row>
    <row r="571" spans="1:6" s="571" customFormat="1" ht="11.65" hidden="1" customHeight="1" outlineLevel="1" x14ac:dyDescent="0.2">
      <c r="A571" s="1202" t="str">
        <f>IF(MOD($F571,$H$2)&lt;$H$2-2,_xll.ciqfunctions.udf.CIQSPLIT(VLOOKUP(E571,'CIQ Key Developments'!$B$8:$I$491,COLUMN('CIQ Key Developments'!$F$7)-COLUMN('CIQ Key Developments'!$B$7)+1,FALSE),$F571,F$6),IF(MOD($F571,$H$2)=$H$2-2,"Source: "&amp;VLOOKUP(E571,'CIQ Key Developments'!$B$8:$I$491,COLUMN('CIQ Key Developments'!$I$7)-COLUMN('CIQ Key Developments'!$B$7)+1,FALSE),""))</f>
        <v/>
      </c>
      <c r="B571" s="1202"/>
      <c r="C571" s="1202"/>
      <c r="E571" s="383">
        <f t="shared" si="16"/>
        <v>25</v>
      </c>
      <c r="F571" s="7">
        <f t="shared" si="17"/>
        <v>13</v>
      </c>
    </row>
    <row r="572" spans="1:6" s="571" customFormat="1" ht="11.65" hidden="1" customHeight="1" outlineLevel="1" x14ac:dyDescent="0.2">
      <c r="A572" s="1202" t="str">
        <f>IF(MOD($F572,$H$2)&lt;$H$2-2,_xll.ciqfunctions.udf.CIQSPLIT(VLOOKUP(E572,'CIQ Key Developments'!$B$8:$I$491,COLUMN('CIQ Key Developments'!$F$7)-COLUMN('CIQ Key Developments'!$B$7)+1,FALSE),$F572,F$6),IF(MOD($F572,$H$2)=$H$2-2,"Source: "&amp;VLOOKUP(E572,'CIQ Key Developments'!$B$8:$I$491,COLUMN('CIQ Key Developments'!$I$7)-COLUMN('CIQ Key Developments'!$B$7)+1,FALSE),""))</f>
        <v/>
      </c>
      <c r="B572" s="1202"/>
      <c r="C572" s="1202"/>
      <c r="E572" s="383">
        <f t="shared" si="16"/>
        <v>25</v>
      </c>
      <c r="F572" s="7">
        <f t="shared" si="17"/>
        <v>14</v>
      </c>
    </row>
    <row r="573" spans="1:6" s="571" customFormat="1" ht="11.65" hidden="1" customHeight="1" outlineLevel="1" x14ac:dyDescent="0.2">
      <c r="A573" s="1202" t="str">
        <f>IF(MOD($F573,$H$2)&lt;$H$2-2,_xll.ciqfunctions.udf.CIQSPLIT(VLOOKUP(E573,'CIQ Key Developments'!$B$8:$I$491,COLUMN('CIQ Key Developments'!$F$7)-COLUMN('CIQ Key Developments'!$B$7)+1,FALSE),$F573,F$6),IF(MOD($F573,$H$2)=$H$2-2,"Source: "&amp;VLOOKUP(E573,'CIQ Key Developments'!$B$8:$I$491,COLUMN('CIQ Key Developments'!$I$7)-COLUMN('CIQ Key Developments'!$B$7)+1,FALSE),""))</f>
        <v/>
      </c>
      <c r="B573" s="1202"/>
      <c r="C573" s="1202"/>
      <c r="E573" s="383">
        <f t="shared" si="16"/>
        <v>25</v>
      </c>
      <c r="F573" s="7">
        <f t="shared" si="17"/>
        <v>15</v>
      </c>
    </row>
    <row r="574" spans="1:6" s="571" customFormat="1" ht="11.65" hidden="1" customHeight="1" outlineLevel="1" x14ac:dyDescent="0.2">
      <c r="A574" s="1202" t="str">
        <f>IF(MOD($F574,$H$2)&lt;$H$2-2,_xll.ciqfunctions.udf.CIQSPLIT(VLOOKUP(E574,'CIQ Key Developments'!$B$8:$I$491,COLUMN('CIQ Key Developments'!$F$7)-COLUMN('CIQ Key Developments'!$B$7)+1,FALSE),$F574,F$6),IF(MOD($F574,$H$2)=$H$2-2,"Source: "&amp;VLOOKUP(E574,'CIQ Key Developments'!$B$8:$I$491,COLUMN('CIQ Key Developments'!$I$7)-COLUMN('CIQ Key Developments'!$B$7)+1,FALSE),""))</f>
        <v/>
      </c>
      <c r="B574" s="1202"/>
      <c r="C574" s="1202"/>
      <c r="E574" s="383">
        <f t="shared" si="16"/>
        <v>25</v>
      </c>
      <c r="F574" s="7">
        <f t="shared" si="17"/>
        <v>16</v>
      </c>
    </row>
    <row r="575" spans="1:6" s="571" customFormat="1" ht="11.65" hidden="1" customHeight="1" outlineLevel="1" x14ac:dyDescent="0.2">
      <c r="A575" s="1202" t="str">
        <f>IF(MOD($F575,$H$2)&lt;$H$2-2,_xll.ciqfunctions.udf.CIQSPLIT(VLOOKUP(E575,'CIQ Key Developments'!$B$8:$I$491,COLUMN('CIQ Key Developments'!$F$7)-COLUMN('CIQ Key Developments'!$B$7)+1,FALSE),$F575,F$6),IF(MOD($F575,$H$2)=$H$2-2,"Source: "&amp;VLOOKUP(E575,'CIQ Key Developments'!$B$8:$I$491,COLUMN('CIQ Key Developments'!$I$7)-COLUMN('CIQ Key Developments'!$B$7)+1,FALSE),""))</f>
        <v/>
      </c>
      <c r="B575" s="1202"/>
      <c r="C575" s="1202"/>
      <c r="E575" s="383">
        <f t="shared" si="16"/>
        <v>25</v>
      </c>
      <c r="F575" s="7">
        <f t="shared" si="17"/>
        <v>17</v>
      </c>
    </row>
    <row r="576" spans="1:6" s="571" customFormat="1" ht="11.65" hidden="1" customHeight="1" outlineLevel="1" x14ac:dyDescent="0.2">
      <c r="A576" s="1202" t="str">
        <f>IF(MOD($F576,$H$2)&lt;$H$2-2,_xll.ciqfunctions.udf.CIQSPLIT(VLOOKUP(E576,'CIQ Key Developments'!$B$8:$I$491,COLUMN('CIQ Key Developments'!$F$7)-COLUMN('CIQ Key Developments'!$B$7)+1,FALSE),$F576,F$6),IF(MOD($F576,$H$2)=$H$2-2,"Source: "&amp;VLOOKUP(E576,'CIQ Key Developments'!$B$8:$I$491,COLUMN('CIQ Key Developments'!$I$7)-COLUMN('CIQ Key Developments'!$B$7)+1,FALSE),""))</f>
        <v/>
      </c>
      <c r="B576" s="1202"/>
      <c r="C576" s="1202"/>
      <c r="E576" s="383">
        <f t="shared" si="16"/>
        <v>25</v>
      </c>
      <c r="F576" s="7">
        <f t="shared" si="17"/>
        <v>18</v>
      </c>
    </row>
    <row r="577" spans="1:6" s="571" customFormat="1" ht="11.65" hidden="1" customHeight="1" outlineLevel="1" x14ac:dyDescent="0.2">
      <c r="A577" s="1202" t="str">
        <f>IF(MOD($F577,$H$2)&lt;$H$2-2,_xll.ciqfunctions.udf.CIQSPLIT(VLOOKUP(E577,'CIQ Key Developments'!$B$8:$I$491,COLUMN('CIQ Key Developments'!$F$7)-COLUMN('CIQ Key Developments'!$B$7)+1,FALSE),$F577,F$6),IF(MOD($F577,$H$2)=$H$2-2,"Source: "&amp;VLOOKUP(E577,'CIQ Key Developments'!$B$8:$I$491,COLUMN('CIQ Key Developments'!$I$7)-COLUMN('CIQ Key Developments'!$B$7)+1,FALSE),""))</f>
        <v/>
      </c>
      <c r="B577" s="1202"/>
      <c r="C577" s="1202"/>
      <c r="E577" s="383">
        <f t="shared" si="16"/>
        <v>25</v>
      </c>
      <c r="F577" s="7">
        <f t="shared" si="17"/>
        <v>19</v>
      </c>
    </row>
    <row r="578" spans="1:6" s="571" customFormat="1" ht="11.65" customHeight="1" collapsed="1" x14ac:dyDescent="0.2">
      <c r="A578" s="1202" t="str">
        <f>IF(MOD($F578,$H$2)&lt;$H$2-2,_xll.ciqfunctions.udf.CIQSPLIT(VLOOKUP(E578,'CIQ Key Developments'!$B$8:$I$491,COLUMN('CIQ Key Developments'!$F$7)-COLUMN('CIQ Key Developments'!$B$7)+1,FALSE),$F578,F$6),IF(MOD($F578,$H$2)=$H$2-2,"Source: "&amp;VLOOKUP(E578,'CIQ Key Developments'!$B$8:$I$491,COLUMN('CIQ Key Developments'!$I$7)-COLUMN('CIQ Key Developments'!$B$7)+1,FALSE),""))</f>
        <v>Source: Business Wire</v>
      </c>
      <c r="B578" s="1202"/>
      <c r="C578" s="1202"/>
      <c r="E578" s="383">
        <f t="shared" si="16"/>
        <v>25</v>
      </c>
      <c r="F578" s="7">
        <f t="shared" si="17"/>
        <v>20</v>
      </c>
    </row>
    <row r="579" spans="1:6" ht="7.15" customHeight="1" collapsed="1" x14ac:dyDescent="0.2">
      <c r="A579" s="1202" t="str">
        <f>IF(MOD($F579,$H$2)&lt;$H$2-2,_xll.ciqfunctions.udf.CIQSPLIT(VLOOKUP(E579,'CIQ Key Developments'!$B$8:$I$491,COLUMN('CIQ Key Developments'!$F$7)-COLUMN('CIQ Key Developments'!$B$7)+1,FALSE),$F579,F$6),IF(MOD($F579,$H$2)=$H$2-2,"Source: "&amp;VLOOKUP(E579,'CIQ Key Developments'!$B$8:$I$491,COLUMN('CIQ Key Developments'!$I$7)-COLUMN('CIQ Key Developments'!$B$7)+1,FALSE),""))</f>
        <v/>
      </c>
      <c r="B579" s="1202"/>
      <c r="C579" s="1202"/>
      <c r="E579" s="383">
        <f t="shared" si="16"/>
        <v>25</v>
      </c>
      <c r="F579" s="7">
        <f t="shared" si="17"/>
        <v>21</v>
      </c>
    </row>
    <row r="580" spans="1:6" s="571" customFormat="1" ht="12" customHeight="1" x14ac:dyDescent="0.2">
      <c r="A580" s="1513" t="str">
        <f>+VLOOKUP(E580,'CIQ Key Developments'!$B$8:$I$491,COLUMN('CIQ Key Developments'!$D$7)-COLUMN('CIQ Key Developments'!$B$7)+1,FALSE)</f>
        <v>Quest Diagnostics and Quest Diagnostics Empower People to Take Control of Their Healthcare Through New Consumer-Initiated Laboratory Testing Solution Powered by Questdirect™ Through Walmart.com</v>
      </c>
      <c r="B580" s="1514"/>
      <c r="C580" s="1515"/>
      <c r="E580" s="383">
        <f t="shared" si="16"/>
        <v>26</v>
      </c>
      <c r="F580" s="7">
        <f t="shared" si="17"/>
        <v>22</v>
      </c>
    </row>
    <row r="581" spans="1:6" s="571" customFormat="1" ht="11.65" customHeight="1" x14ac:dyDescent="0.2">
      <c r="A581" s="1199" t="str">
        <f>+$C$3</f>
        <v>Walmart Inc.</v>
      </c>
      <c r="B581" s="1200" t="str">
        <f>VLOOKUP(E580,'CIQ Key Developments'!$B$8:$I$491,COLUMN('CIQ Key Developments'!$G$7)-COLUMN('CIQ Key Developments'!$B$7)+1,FALSE)&amp;" "&amp;VLOOKUP(E580,'CIQ Key Developments'!$B$8:$I$491,COLUMN('CIQ Key Developments'!$H$7)-COLUMN('CIQ Key Developments'!$B$7)+1,FALSE)</f>
        <v>31 Jan 2022 12:00 AM</v>
      </c>
      <c r="C581" s="1201" t="str">
        <f>+VLOOKUP(E580,'CIQ Key Developments'!$B$8:$I$491,COLUMN('CIQ Key Developments'!$E$7)-COLUMN('CIQ Key Developments'!$B$7)+1,FALSE)</f>
        <v>Client Announcements</v>
      </c>
      <c r="E581" s="383">
        <f t="shared" si="16"/>
        <v>26</v>
      </c>
      <c r="F581" s="7">
        <f t="shared" si="17"/>
        <v>175</v>
      </c>
    </row>
    <row r="582" spans="1:6" s="571" customFormat="1" ht="11.65" customHeight="1" x14ac:dyDescent="0.2">
      <c r="A582" s="1202" t="str">
        <f>IF(MOD($F582,$H$2)&lt;$H$2-2,_xll.ciqfunctions.udf.CIQSPLIT(VLOOKUP(E582,'CIQ Key Developments'!$B$8:$I$491,COLUMN('CIQ Key Developments'!$F$7)-COLUMN('CIQ Key Developments'!$B$7)+1,FALSE),$F582,F$6),IF(MOD($F582,$H$2)=$H$2-2,"Source: "&amp;VLOOKUP(E582,'CIQ Key Developments'!$B$8:$I$491,COLUMN('CIQ Key Developments'!$I$7)-COLUMN('CIQ Key Developments'!$B$7)+1,FALSE),""))</f>
        <v>Quest Diagnostics Incorporated announced that they will now offer consumer-initiated laboratory testing powered by QuestDirect™ in collaboration with Walmart. The new solution</v>
      </c>
      <c r="B582" s="1202"/>
      <c r="C582" s="1202"/>
      <c r="E582" s="383">
        <f t="shared" si="16"/>
        <v>26</v>
      </c>
      <c r="F582" s="7">
        <f t="shared" si="17"/>
        <v>1</v>
      </c>
    </row>
    <row r="583" spans="1:6" s="571" customFormat="1" ht="11.65" hidden="1" customHeight="1" outlineLevel="1" x14ac:dyDescent="0.2">
      <c r="A583" s="1202" t="str">
        <f>IF(MOD($F583,$H$2)&lt;$H$2-2,_xll.ciqfunctions.udf.CIQSPLIT(VLOOKUP(E583,'CIQ Key Developments'!$B$8:$I$491,COLUMN('CIQ Key Developments'!$F$7)-COLUMN('CIQ Key Developments'!$B$7)+1,FALSE),$F583,F$6),IF(MOD($F583,$H$2)=$H$2-2,"Source: "&amp;VLOOKUP(E583,'CIQ Key Developments'!$B$8:$I$491,COLUMN('CIQ Key Developments'!$I$7)-COLUMN('CIQ Key Developments'!$B$7)+1,FALSE),""))</f>
        <v>allows people to take control of their health care and purchase the same high quality laboratory tests ordered by healthcare providers through a consumer-friendly website.</v>
      </c>
      <c r="B583" s="1202"/>
      <c r="C583" s="1202"/>
      <c r="E583" s="383">
        <f t="shared" ref="E583:E602" si="18">+IF(F584=$F$6,E582+1,E582)</f>
        <v>26</v>
      </c>
      <c r="F583" s="7">
        <f t="shared" si="17"/>
        <v>2</v>
      </c>
    </row>
    <row r="584" spans="1:6" s="571" customFormat="1" ht="11.65" hidden="1" customHeight="1" outlineLevel="1" x14ac:dyDescent="0.2">
      <c r="A584" s="1202" t="str">
        <f>IF(MOD($F584,$H$2)&lt;$H$2-2,_xll.ciqfunctions.udf.CIQSPLIT(VLOOKUP(E584,'CIQ Key Developments'!$B$8:$I$491,COLUMN('CIQ Key Developments'!$F$7)-COLUMN('CIQ Key Developments'!$B$7)+1,FALSE),$F584,F$6),IF(MOD($F584,$H$2)=$H$2-2,"Source: "&amp;VLOOKUP(E584,'CIQ Key Developments'!$B$8:$I$491,COLUMN('CIQ Key Developments'!$I$7)-COLUMN('CIQ Key Developments'!$B$7)+1,FALSE),""))</f>
        <v>This collaboration builds upon a long-standing relationship between Walmart and Quest Diagnostics to broaden access to high quality health services. With this new testing</v>
      </c>
      <c r="B584" s="1202"/>
      <c r="C584" s="1202"/>
      <c r="E584" s="383">
        <f t="shared" si="18"/>
        <v>26</v>
      </c>
      <c r="F584" s="7">
        <f t="shared" si="17"/>
        <v>3</v>
      </c>
    </row>
    <row r="585" spans="1:6" s="571" customFormat="1" ht="11.65" hidden="1" customHeight="1" outlineLevel="1" x14ac:dyDescent="0.2">
      <c r="A585" s="1202" t="str">
        <f>IF(MOD($F585,$H$2)&lt;$H$2-2,_xll.ciqfunctions.udf.CIQSPLIT(VLOOKUP(E585,'CIQ Key Developments'!$B$8:$I$491,COLUMN('CIQ Key Developments'!$F$7)-COLUMN('CIQ Key Developments'!$B$7)+1,FALSE),$F585,F$6),IF(MOD($F585,$H$2)=$H$2-2,"Source: "&amp;VLOOKUP(E585,'CIQ Key Developments'!$B$8:$I$491,COLUMN('CIQ Key Developments'!$I$7)-COLUMN('CIQ Key Developments'!$B$7)+1,FALSE),""))</f>
        <v>solution, an individual can purchase among more than 50 different tests, including general health, digestive health, allergy, heart health, women's health, and infectious disease.</v>
      </c>
      <c r="B585" s="1202"/>
      <c r="C585" s="1202"/>
      <c r="E585" s="383">
        <f t="shared" si="18"/>
        <v>26</v>
      </c>
      <c r="F585" s="7">
        <f t="shared" ref="F585:F602" si="19">+IF(F584&lt;$H$2,F584+1,IF(F584=$F$6,1,$F$6))</f>
        <v>4</v>
      </c>
    </row>
    <row r="586" spans="1:6" s="571" customFormat="1" ht="11.65" hidden="1" customHeight="1" outlineLevel="1" x14ac:dyDescent="0.2">
      <c r="A586" s="1202" t="str">
        <f>IF(MOD($F586,$H$2)&lt;$H$2-2,_xll.ciqfunctions.udf.CIQSPLIT(VLOOKUP(E586,'CIQ Key Developments'!$B$8:$I$491,COLUMN('CIQ Key Developments'!$F$7)-COLUMN('CIQ Key Developments'!$B$7)+1,FALSE),$F586,F$6),IF(MOD($F586,$H$2)=$H$2-2,"Source: "&amp;VLOOKUP(E586,'CIQ Key Developments'!$B$8:$I$491,COLUMN('CIQ Key Developments'!$I$7)-COLUMN('CIQ Key Developments'!$B$7)+1,FALSE),""))</f>
        <v/>
      </c>
      <c r="B586" s="1202"/>
      <c r="C586" s="1202"/>
      <c r="E586" s="383">
        <f t="shared" si="18"/>
        <v>26</v>
      </c>
      <c r="F586" s="7">
        <f t="shared" si="19"/>
        <v>5</v>
      </c>
    </row>
    <row r="587" spans="1:6" s="571" customFormat="1" ht="11.65" hidden="1" customHeight="1" outlineLevel="1" x14ac:dyDescent="0.2">
      <c r="A587" s="1202" t="str">
        <f>IF(MOD($F587,$H$2)&lt;$H$2-2,_xll.ciqfunctions.udf.CIQSPLIT(VLOOKUP(E587,'CIQ Key Developments'!$B$8:$I$491,COLUMN('CIQ Key Developments'!$F$7)-COLUMN('CIQ Key Developments'!$B$7)+1,FALSE),$F587,F$6),IF(MOD($F587,$H$2)=$H$2-2,"Source: "&amp;VLOOKUP(E587,'CIQ Key Developments'!$B$8:$I$491,COLUMN('CIQ Key Developments'!$I$7)-COLUMN('CIQ Key Developments'!$B$7)+1,FALSE),""))</f>
        <v/>
      </c>
      <c r="B587" s="1202"/>
      <c r="C587" s="1202"/>
      <c r="E587" s="383">
        <f t="shared" si="18"/>
        <v>26</v>
      </c>
      <c r="F587" s="7">
        <f t="shared" si="19"/>
        <v>6</v>
      </c>
    </row>
    <row r="588" spans="1:6" s="571" customFormat="1" ht="11.65" hidden="1" customHeight="1" outlineLevel="1" x14ac:dyDescent="0.2">
      <c r="A588" s="1202" t="str">
        <f>IF(MOD($F588,$H$2)&lt;$H$2-2,_xll.ciqfunctions.udf.CIQSPLIT(VLOOKUP(E588,'CIQ Key Developments'!$B$8:$I$491,COLUMN('CIQ Key Developments'!$F$7)-COLUMN('CIQ Key Developments'!$B$7)+1,FALSE),$F588,F$6),IF(MOD($F588,$H$2)=$H$2-2,"Source: "&amp;VLOOKUP(E588,'CIQ Key Developments'!$B$8:$I$491,COLUMN('CIQ Key Developments'!$I$7)-COLUMN('CIQ Key Developments'!$B$7)+1,FALSE),""))</f>
        <v/>
      </c>
      <c r="B588" s="1202"/>
      <c r="C588" s="1202"/>
      <c r="E588" s="383">
        <f t="shared" si="18"/>
        <v>26</v>
      </c>
      <c r="F588" s="7">
        <f t="shared" si="19"/>
        <v>7</v>
      </c>
    </row>
    <row r="589" spans="1:6" s="571" customFormat="1" ht="11.65" hidden="1" customHeight="1" outlineLevel="1" x14ac:dyDescent="0.2">
      <c r="A589" s="1202" t="str">
        <f>IF(MOD($F589,$H$2)&lt;$H$2-2,_xll.ciqfunctions.udf.CIQSPLIT(VLOOKUP(E589,'CIQ Key Developments'!$B$8:$I$491,COLUMN('CIQ Key Developments'!$F$7)-COLUMN('CIQ Key Developments'!$B$7)+1,FALSE),$F589,F$6),IF(MOD($F589,$H$2)=$H$2-2,"Source: "&amp;VLOOKUP(E589,'CIQ Key Developments'!$B$8:$I$491,COLUMN('CIQ Key Developments'!$I$7)-COLUMN('CIQ Key Developments'!$B$7)+1,FALSE),""))</f>
        <v/>
      </c>
      <c r="B589" s="1202"/>
      <c r="C589" s="1202"/>
      <c r="E589" s="383">
        <f t="shared" si="18"/>
        <v>26</v>
      </c>
      <c r="F589" s="7">
        <f t="shared" si="19"/>
        <v>8</v>
      </c>
    </row>
    <row r="590" spans="1:6" s="571" customFormat="1" ht="11.65" hidden="1" customHeight="1" outlineLevel="1" x14ac:dyDescent="0.2">
      <c r="A590" s="1202" t="str">
        <f>IF(MOD($F590,$H$2)&lt;$H$2-2,_xll.ciqfunctions.udf.CIQSPLIT(VLOOKUP(E590,'CIQ Key Developments'!$B$8:$I$491,COLUMN('CIQ Key Developments'!$F$7)-COLUMN('CIQ Key Developments'!$B$7)+1,FALSE),$F590,F$6),IF(MOD($F590,$H$2)=$H$2-2,"Source: "&amp;VLOOKUP(E590,'CIQ Key Developments'!$B$8:$I$491,COLUMN('CIQ Key Developments'!$I$7)-COLUMN('CIQ Key Developments'!$B$7)+1,FALSE),""))</f>
        <v/>
      </c>
      <c r="B590" s="1202"/>
      <c r="C590" s="1202"/>
      <c r="E590" s="383">
        <f t="shared" si="18"/>
        <v>26</v>
      </c>
      <c r="F590" s="7">
        <f t="shared" si="19"/>
        <v>9</v>
      </c>
    </row>
    <row r="591" spans="1:6" s="571" customFormat="1" ht="11.65" hidden="1" customHeight="1" outlineLevel="1" x14ac:dyDescent="0.2">
      <c r="A591" s="1202" t="str">
        <f>IF(MOD($F591,$H$2)&lt;$H$2-2,_xll.ciqfunctions.udf.CIQSPLIT(VLOOKUP(E591,'CIQ Key Developments'!$B$8:$I$491,COLUMN('CIQ Key Developments'!$F$7)-COLUMN('CIQ Key Developments'!$B$7)+1,FALSE),$F591,F$6),IF(MOD($F591,$H$2)=$H$2-2,"Source: "&amp;VLOOKUP(E591,'CIQ Key Developments'!$B$8:$I$491,COLUMN('CIQ Key Developments'!$I$7)-COLUMN('CIQ Key Developments'!$B$7)+1,FALSE),""))</f>
        <v/>
      </c>
      <c r="B591" s="1202"/>
      <c r="C591" s="1202"/>
      <c r="E591" s="383">
        <f t="shared" si="18"/>
        <v>26</v>
      </c>
      <c r="F591" s="7">
        <f t="shared" si="19"/>
        <v>10</v>
      </c>
    </row>
    <row r="592" spans="1:6" s="571" customFormat="1" ht="11.65" hidden="1" customHeight="1" outlineLevel="1" x14ac:dyDescent="0.2">
      <c r="A592" s="1202" t="str">
        <f>IF(MOD($F592,$H$2)&lt;$H$2-2,_xll.ciqfunctions.udf.CIQSPLIT(VLOOKUP(E592,'CIQ Key Developments'!$B$8:$I$491,COLUMN('CIQ Key Developments'!$F$7)-COLUMN('CIQ Key Developments'!$B$7)+1,FALSE),$F592,F$6),IF(MOD($F592,$H$2)=$H$2-2,"Source: "&amp;VLOOKUP(E592,'CIQ Key Developments'!$B$8:$I$491,COLUMN('CIQ Key Developments'!$I$7)-COLUMN('CIQ Key Developments'!$B$7)+1,FALSE),""))</f>
        <v/>
      </c>
      <c r="B592" s="1202"/>
      <c r="C592" s="1202"/>
      <c r="E592" s="383">
        <f t="shared" si="18"/>
        <v>26</v>
      </c>
      <c r="F592" s="7">
        <f t="shared" si="19"/>
        <v>11</v>
      </c>
    </row>
    <row r="593" spans="1:6" s="571" customFormat="1" ht="11.65" hidden="1" customHeight="1" outlineLevel="1" x14ac:dyDescent="0.2">
      <c r="A593" s="1202" t="str">
        <f>IF(MOD($F593,$H$2)&lt;$H$2-2,_xll.ciqfunctions.udf.CIQSPLIT(VLOOKUP(E593,'CIQ Key Developments'!$B$8:$I$491,COLUMN('CIQ Key Developments'!$F$7)-COLUMN('CIQ Key Developments'!$B$7)+1,FALSE),$F593,F$6),IF(MOD($F593,$H$2)=$H$2-2,"Source: "&amp;VLOOKUP(E593,'CIQ Key Developments'!$B$8:$I$491,COLUMN('CIQ Key Developments'!$I$7)-COLUMN('CIQ Key Developments'!$B$7)+1,FALSE),""))</f>
        <v/>
      </c>
      <c r="B593" s="1202"/>
      <c r="C593" s="1202"/>
      <c r="E593" s="383">
        <f t="shared" si="18"/>
        <v>26</v>
      </c>
      <c r="F593" s="7">
        <f t="shared" si="19"/>
        <v>12</v>
      </c>
    </row>
    <row r="594" spans="1:6" s="571" customFormat="1" ht="11.65" hidden="1" customHeight="1" outlineLevel="1" x14ac:dyDescent="0.2">
      <c r="A594" s="1202" t="str">
        <f>IF(MOD($F594,$H$2)&lt;$H$2-2,_xll.ciqfunctions.udf.CIQSPLIT(VLOOKUP(E594,'CIQ Key Developments'!$B$8:$I$491,COLUMN('CIQ Key Developments'!$F$7)-COLUMN('CIQ Key Developments'!$B$7)+1,FALSE),$F594,F$6),IF(MOD($F594,$H$2)=$H$2-2,"Source: "&amp;VLOOKUP(E594,'CIQ Key Developments'!$B$8:$I$491,COLUMN('CIQ Key Developments'!$I$7)-COLUMN('CIQ Key Developments'!$B$7)+1,FALSE),""))</f>
        <v/>
      </c>
      <c r="B594" s="1202"/>
      <c r="C594" s="1202"/>
      <c r="E594" s="383">
        <f t="shared" si="18"/>
        <v>26</v>
      </c>
      <c r="F594" s="7">
        <f t="shared" si="19"/>
        <v>13</v>
      </c>
    </row>
    <row r="595" spans="1:6" s="571" customFormat="1" ht="11.65" hidden="1" customHeight="1" outlineLevel="1" x14ac:dyDescent="0.2">
      <c r="A595" s="1202" t="str">
        <f>IF(MOD($F595,$H$2)&lt;$H$2-2,_xll.ciqfunctions.udf.CIQSPLIT(VLOOKUP(E595,'CIQ Key Developments'!$B$8:$I$491,COLUMN('CIQ Key Developments'!$F$7)-COLUMN('CIQ Key Developments'!$B$7)+1,FALSE),$F595,F$6),IF(MOD($F595,$H$2)=$H$2-2,"Source: "&amp;VLOOKUP(E595,'CIQ Key Developments'!$B$8:$I$491,COLUMN('CIQ Key Developments'!$I$7)-COLUMN('CIQ Key Developments'!$B$7)+1,FALSE),""))</f>
        <v/>
      </c>
      <c r="B595" s="1202"/>
      <c r="C595" s="1202"/>
      <c r="E595" s="383">
        <f t="shared" si="18"/>
        <v>26</v>
      </c>
      <c r="F595" s="7">
        <f t="shared" si="19"/>
        <v>14</v>
      </c>
    </row>
    <row r="596" spans="1:6" s="571" customFormat="1" ht="11.65" hidden="1" customHeight="1" outlineLevel="1" x14ac:dyDescent="0.2">
      <c r="A596" s="1202" t="str">
        <f>IF(MOD($F596,$H$2)&lt;$H$2-2,_xll.ciqfunctions.udf.CIQSPLIT(VLOOKUP(E596,'CIQ Key Developments'!$B$8:$I$491,COLUMN('CIQ Key Developments'!$F$7)-COLUMN('CIQ Key Developments'!$B$7)+1,FALSE),$F596,F$6),IF(MOD($F596,$H$2)=$H$2-2,"Source: "&amp;VLOOKUP(E596,'CIQ Key Developments'!$B$8:$I$491,COLUMN('CIQ Key Developments'!$I$7)-COLUMN('CIQ Key Developments'!$B$7)+1,FALSE),""))</f>
        <v/>
      </c>
      <c r="B596" s="1202"/>
      <c r="C596" s="1202"/>
      <c r="E596" s="383">
        <f t="shared" si="18"/>
        <v>26</v>
      </c>
      <c r="F596" s="7">
        <f t="shared" si="19"/>
        <v>15</v>
      </c>
    </row>
    <row r="597" spans="1:6" s="571" customFormat="1" ht="11.65" hidden="1" customHeight="1" outlineLevel="1" x14ac:dyDescent="0.2">
      <c r="A597" s="1202" t="str">
        <f>IF(MOD($F597,$H$2)&lt;$H$2-2,_xll.ciqfunctions.udf.CIQSPLIT(VLOOKUP(E597,'CIQ Key Developments'!$B$8:$I$491,COLUMN('CIQ Key Developments'!$F$7)-COLUMN('CIQ Key Developments'!$B$7)+1,FALSE),$F597,F$6),IF(MOD($F597,$H$2)=$H$2-2,"Source: "&amp;VLOOKUP(E597,'CIQ Key Developments'!$B$8:$I$491,COLUMN('CIQ Key Developments'!$I$7)-COLUMN('CIQ Key Developments'!$B$7)+1,FALSE),""))</f>
        <v/>
      </c>
      <c r="B597" s="1202"/>
      <c r="C597" s="1202"/>
      <c r="E597" s="383">
        <f t="shared" si="18"/>
        <v>26</v>
      </c>
      <c r="F597" s="7">
        <f t="shared" si="19"/>
        <v>16</v>
      </c>
    </row>
    <row r="598" spans="1:6" s="571" customFormat="1" ht="11.65" hidden="1" customHeight="1" outlineLevel="1" x14ac:dyDescent="0.2">
      <c r="A598" s="1202" t="str">
        <f>IF(MOD($F598,$H$2)&lt;$H$2-2,_xll.ciqfunctions.udf.CIQSPLIT(VLOOKUP(E598,'CIQ Key Developments'!$B$8:$I$491,COLUMN('CIQ Key Developments'!$F$7)-COLUMN('CIQ Key Developments'!$B$7)+1,FALSE),$F598,F$6),IF(MOD($F598,$H$2)=$H$2-2,"Source: "&amp;VLOOKUP(E598,'CIQ Key Developments'!$B$8:$I$491,COLUMN('CIQ Key Developments'!$I$7)-COLUMN('CIQ Key Developments'!$B$7)+1,FALSE),""))</f>
        <v/>
      </c>
      <c r="B598" s="1202"/>
      <c r="C598" s="1202"/>
      <c r="E598" s="383">
        <f t="shared" si="18"/>
        <v>26</v>
      </c>
      <c r="F598" s="7">
        <f t="shared" si="19"/>
        <v>17</v>
      </c>
    </row>
    <row r="599" spans="1:6" s="571" customFormat="1" ht="11.65" hidden="1" customHeight="1" outlineLevel="1" x14ac:dyDescent="0.2">
      <c r="A599" s="1202" t="str">
        <f>IF(MOD($F599,$H$2)&lt;$H$2-2,_xll.ciqfunctions.udf.CIQSPLIT(VLOOKUP(E599,'CIQ Key Developments'!$B$8:$I$491,COLUMN('CIQ Key Developments'!$F$7)-COLUMN('CIQ Key Developments'!$B$7)+1,FALSE),$F599,F$6),IF(MOD($F599,$H$2)=$H$2-2,"Source: "&amp;VLOOKUP(E599,'CIQ Key Developments'!$B$8:$I$491,COLUMN('CIQ Key Developments'!$I$7)-COLUMN('CIQ Key Developments'!$B$7)+1,FALSE),""))</f>
        <v/>
      </c>
      <c r="B599" s="1202"/>
      <c r="C599" s="1202"/>
      <c r="E599" s="383">
        <f t="shared" si="18"/>
        <v>26</v>
      </c>
      <c r="F599" s="7">
        <f t="shared" si="19"/>
        <v>18</v>
      </c>
    </row>
    <row r="600" spans="1:6" s="571" customFormat="1" ht="11.65" hidden="1" customHeight="1" outlineLevel="1" x14ac:dyDescent="0.2">
      <c r="A600" s="1202" t="str">
        <f>IF(MOD($F600,$H$2)&lt;$H$2-2,_xll.ciqfunctions.udf.CIQSPLIT(VLOOKUP(E600,'CIQ Key Developments'!$B$8:$I$491,COLUMN('CIQ Key Developments'!$F$7)-COLUMN('CIQ Key Developments'!$B$7)+1,FALSE),$F600,F$6),IF(MOD($F600,$H$2)=$H$2-2,"Source: "&amp;VLOOKUP(E600,'CIQ Key Developments'!$B$8:$I$491,COLUMN('CIQ Key Developments'!$I$7)-COLUMN('CIQ Key Developments'!$B$7)+1,FALSE),""))</f>
        <v/>
      </c>
      <c r="B600" s="1202"/>
      <c r="C600" s="1202"/>
      <c r="E600" s="383">
        <f t="shared" si="18"/>
        <v>26</v>
      </c>
      <c r="F600" s="7">
        <f t="shared" si="19"/>
        <v>19</v>
      </c>
    </row>
    <row r="601" spans="1:6" s="571" customFormat="1" ht="11.65" customHeight="1" collapsed="1" x14ac:dyDescent="0.2">
      <c r="A601" s="1202" t="str">
        <f>IF(MOD($F601,$H$2)&lt;$H$2-2,_xll.ciqfunctions.udf.CIQSPLIT(VLOOKUP(E601,'CIQ Key Developments'!$B$8:$I$491,COLUMN('CIQ Key Developments'!$F$7)-COLUMN('CIQ Key Developments'!$B$7)+1,FALSE),$F601,F$6),IF(MOD($F601,$H$2)=$H$2-2,"Source: "&amp;VLOOKUP(E601,'CIQ Key Developments'!$B$8:$I$491,COLUMN('CIQ Key Developments'!$I$7)-COLUMN('CIQ Key Developments'!$B$7)+1,FALSE),""))</f>
        <v>Source: PR Newswire</v>
      </c>
      <c r="B601" s="1202"/>
      <c r="C601" s="1202"/>
      <c r="E601" s="383">
        <f t="shared" si="18"/>
        <v>26</v>
      </c>
      <c r="F601" s="7">
        <f t="shared" si="19"/>
        <v>20</v>
      </c>
    </row>
    <row r="602" spans="1:6" ht="7.15" customHeight="1" collapsed="1" x14ac:dyDescent="0.2">
      <c r="A602" s="1202" t="str">
        <f>IF(MOD($F602,$H$2)&lt;$H$2-2,_xll.ciqfunctions.udf.CIQSPLIT(VLOOKUP(E602,'CIQ Key Developments'!$B$8:$I$491,COLUMN('CIQ Key Developments'!$F$7)-COLUMN('CIQ Key Developments'!$B$7)+1,FALSE),$F602,F$6),IF(MOD($F602,$H$2)=$H$2-2,"Source: "&amp;VLOOKUP(E602,'CIQ Key Developments'!$B$8:$I$491,COLUMN('CIQ Key Developments'!$I$7)-COLUMN('CIQ Key Developments'!$B$7)+1,FALSE),""))</f>
        <v/>
      </c>
      <c r="B602" s="1202"/>
      <c r="C602" s="1202"/>
      <c r="E602" s="383">
        <f t="shared" si="18"/>
        <v>26</v>
      </c>
      <c r="F602" s="7">
        <f t="shared" si="19"/>
        <v>21</v>
      </c>
    </row>
    <row r="603" spans="1:6" ht="14.25" hidden="1" customHeight="1" outlineLevel="1" collapsed="1" x14ac:dyDescent="0.2">
      <c r="A603" s="1207"/>
      <c r="B603" s="1207"/>
      <c r="C603" s="1207"/>
      <c r="E603" s="7"/>
      <c r="F603" s="7"/>
    </row>
    <row r="604" spans="1:6" ht="14.25" hidden="1" customHeight="1" outlineLevel="1" x14ac:dyDescent="0.2">
      <c r="A604" s="1207"/>
      <c r="B604" s="1207"/>
      <c r="C604" s="1207"/>
      <c r="E604" s="7"/>
      <c r="F604" s="7"/>
    </row>
    <row r="605" spans="1:6" ht="14.25" hidden="1" customHeight="1" outlineLevel="1" x14ac:dyDescent="0.2">
      <c r="A605" s="1207"/>
      <c r="B605" s="1207"/>
      <c r="C605" s="1207"/>
      <c r="E605" s="7"/>
      <c r="F605" s="7"/>
    </row>
    <row r="606" spans="1:6" ht="14.25" hidden="1" customHeight="1" outlineLevel="1" x14ac:dyDescent="0.2">
      <c r="A606" s="1207"/>
      <c r="B606" s="1207"/>
      <c r="C606" s="1207"/>
      <c r="E606" s="7"/>
      <c r="F606" s="7"/>
    </row>
    <row r="607" spans="1:6" ht="14.25" hidden="1" customHeight="1" outlineLevel="1" x14ac:dyDescent="0.2">
      <c r="A607" s="1207"/>
      <c r="B607" s="1207"/>
      <c r="C607" s="1207"/>
      <c r="E607" s="7"/>
      <c r="F607" s="7"/>
    </row>
    <row r="608" spans="1:6" ht="14.25" hidden="1" customHeight="1" outlineLevel="1" x14ac:dyDescent="0.2">
      <c r="A608" s="1207"/>
      <c r="B608" s="1207"/>
      <c r="C608" s="1207"/>
      <c r="E608" s="7"/>
      <c r="F608" s="7"/>
    </row>
    <row r="609" spans="1:6" ht="14.25" hidden="1" customHeight="1" outlineLevel="1" x14ac:dyDescent="0.2">
      <c r="A609" s="1207"/>
      <c r="B609" s="1207"/>
      <c r="C609" s="1207"/>
      <c r="E609" s="7"/>
      <c r="F609" s="7"/>
    </row>
    <row r="610" spans="1:6" ht="14.25" hidden="1" customHeight="1" outlineLevel="1" x14ac:dyDescent="0.2">
      <c r="A610" s="1207"/>
      <c r="B610" s="1207"/>
      <c r="C610" s="1207"/>
      <c r="E610" s="7"/>
      <c r="F610" s="7"/>
    </row>
    <row r="611" spans="1:6" ht="14.25" hidden="1" customHeight="1" outlineLevel="1" x14ac:dyDescent="0.2">
      <c r="A611" s="1207"/>
      <c r="B611" s="1207"/>
      <c r="C611" s="1207"/>
      <c r="E611" s="7"/>
      <c r="F611" s="7"/>
    </row>
    <row r="612" spans="1:6" ht="14.25" hidden="1" customHeight="1" outlineLevel="1" x14ac:dyDescent="0.2">
      <c r="A612" s="1207"/>
      <c r="B612" s="1207"/>
      <c r="C612" s="1207"/>
      <c r="E612" s="7"/>
      <c r="F612" s="7"/>
    </row>
    <row r="613" spans="1:6" ht="14.25" hidden="1" customHeight="1" outlineLevel="1" x14ac:dyDescent="0.2">
      <c r="A613" s="1207"/>
      <c r="B613" s="1207"/>
      <c r="C613" s="1207"/>
      <c r="E613" s="7"/>
      <c r="F613" s="7"/>
    </row>
    <row r="614" spans="1:6" ht="14.25" hidden="1" customHeight="1" outlineLevel="1" x14ac:dyDescent="0.2">
      <c r="A614" s="1207"/>
      <c r="B614" s="1207"/>
      <c r="C614" s="1207"/>
      <c r="E614" s="7"/>
      <c r="F614" s="7"/>
    </row>
    <row r="615" spans="1:6" ht="14.25" hidden="1" customHeight="1" outlineLevel="1" x14ac:dyDescent="0.2">
      <c r="A615" s="1207"/>
      <c r="B615" s="1207"/>
      <c r="C615" s="1207"/>
      <c r="E615" s="7"/>
      <c r="F615" s="7"/>
    </row>
    <row r="616" spans="1:6" ht="14.25" hidden="1" customHeight="1" outlineLevel="1" x14ac:dyDescent="0.2">
      <c r="A616" s="1207"/>
      <c r="B616" s="1207"/>
      <c r="C616" s="1207"/>
      <c r="E616" s="7"/>
      <c r="F616" s="7"/>
    </row>
    <row r="617" spans="1:6" ht="14.25" hidden="1" customHeight="1" outlineLevel="1" x14ac:dyDescent="0.2">
      <c r="A617" s="1207"/>
      <c r="B617" s="1207"/>
      <c r="C617" s="1207"/>
      <c r="E617" s="7"/>
      <c r="F617" s="7"/>
    </row>
    <row r="618" spans="1:6" ht="14.25" hidden="1" customHeight="1" outlineLevel="1" x14ac:dyDescent="0.2">
      <c r="A618" s="1207"/>
      <c r="B618" s="1207"/>
      <c r="C618" s="1207"/>
      <c r="E618" s="7"/>
      <c r="F618" s="7"/>
    </row>
    <row r="619" spans="1:6" ht="14.25" hidden="1" customHeight="1" outlineLevel="1" x14ac:dyDescent="0.2">
      <c r="A619" s="1207"/>
      <c r="B619" s="1207"/>
      <c r="C619" s="1207"/>
      <c r="E619" s="7"/>
      <c r="F619" s="7"/>
    </row>
    <row r="620" spans="1:6" ht="14.25" hidden="1" customHeight="1" outlineLevel="1" x14ac:dyDescent="0.2">
      <c r="A620" s="1207"/>
      <c r="B620" s="1207"/>
      <c r="C620" s="1207"/>
      <c r="E620" s="7"/>
      <c r="F620" s="7"/>
    </row>
    <row r="621" spans="1:6" ht="14.25" hidden="1" customHeight="1" outlineLevel="1" x14ac:dyDescent="0.2">
      <c r="A621" s="1207"/>
      <c r="B621" s="1207"/>
      <c r="C621" s="1207"/>
      <c r="E621" s="7"/>
      <c r="F621" s="7"/>
    </row>
    <row r="622" spans="1:6" ht="14.25" hidden="1" customHeight="1" outlineLevel="1" x14ac:dyDescent="0.2">
      <c r="A622" s="1207"/>
      <c r="B622" s="1207"/>
      <c r="C622" s="1207"/>
      <c r="E622" s="7"/>
      <c r="F622" s="7"/>
    </row>
    <row r="623" spans="1:6" ht="14.25" hidden="1" customHeight="1" outlineLevel="1" x14ac:dyDescent="0.2">
      <c r="A623" s="1207"/>
      <c r="B623" s="1207"/>
      <c r="C623" s="1207"/>
      <c r="E623" s="7"/>
      <c r="F623" s="7"/>
    </row>
    <row r="624" spans="1:6" ht="14.25" hidden="1" customHeight="1" outlineLevel="1" x14ac:dyDescent="0.2">
      <c r="A624" s="1207"/>
      <c r="B624" s="1207"/>
      <c r="C624" s="1207"/>
      <c r="E624" s="7"/>
      <c r="F624" s="7"/>
    </row>
    <row r="625" spans="1:6" ht="14.25" hidden="1" customHeight="1" outlineLevel="1" x14ac:dyDescent="0.2">
      <c r="A625" s="1207"/>
      <c r="B625" s="1207"/>
      <c r="C625" s="1207"/>
      <c r="E625" s="7"/>
      <c r="F625" s="7"/>
    </row>
    <row r="626" spans="1:6" ht="14.25" hidden="1" customHeight="1" outlineLevel="1" x14ac:dyDescent="0.2">
      <c r="A626" s="1207"/>
      <c r="B626" s="1207"/>
      <c r="C626" s="1207"/>
      <c r="E626" s="7"/>
      <c r="F626" s="7"/>
    </row>
    <row r="627" spans="1:6" ht="14.25" hidden="1" customHeight="1" outlineLevel="1" x14ac:dyDescent="0.2">
      <c r="A627" s="1207"/>
      <c r="B627" s="1207"/>
      <c r="C627" s="1207"/>
      <c r="E627" s="7"/>
      <c r="F627" s="7"/>
    </row>
    <row r="628" spans="1:6" ht="14.25" hidden="1" customHeight="1" outlineLevel="1" x14ac:dyDescent="0.2">
      <c r="A628" s="1207"/>
      <c r="B628" s="1207"/>
      <c r="C628" s="1207"/>
      <c r="E628" s="7"/>
      <c r="F628" s="7"/>
    </row>
    <row r="629" spans="1:6" ht="14.25" hidden="1" customHeight="1" outlineLevel="1" x14ac:dyDescent="0.2">
      <c r="A629" s="1207"/>
      <c r="B629" s="1207"/>
      <c r="C629" s="1207"/>
      <c r="E629" s="7"/>
      <c r="F629" s="7"/>
    </row>
    <row r="630" spans="1:6" ht="14.25" hidden="1" customHeight="1" outlineLevel="1" x14ac:dyDescent="0.2">
      <c r="A630" s="1207"/>
      <c r="B630" s="1207"/>
      <c r="C630" s="1207"/>
      <c r="E630" s="7"/>
      <c r="F630" s="7"/>
    </row>
    <row r="631" spans="1:6" ht="14.25" hidden="1" customHeight="1" outlineLevel="1" x14ac:dyDescent="0.2">
      <c r="A631" s="1207"/>
      <c r="B631" s="1207"/>
      <c r="C631" s="1207"/>
      <c r="E631" s="7"/>
      <c r="F631" s="7"/>
    </row>
    <row r="632" spans="1:6" ht="14.25" hidden="1" customHeight="1" outlineLevel="1" x14ac:dyDescent="0.2">
      <c r="A632" s="1207"/>
      <c r="B632" s="1207"/>
      <c r="C632" s="1207"/>
      <c r="E632" s="7"/>
      <c r="F632" s="7"/>
    </row>
    <row r="633" spans="1:6" ht="14.25" hidden="1" customHeight="1" outlineLevel="1" x14ac:dyDescent="0.2">
      <c r="A633" s="1207"/>
      <c r="B633" s="1207"/>
      <c r="C633" s="1207"/>
      <c r="E633" s="7"/>
      <c r="F633" s="7"/>
    </row>
    <row r="634" spans="1:6" ht="14.25" hidden="1" customHeight="1" outlineLevel="1" x14ac:dyDescent="0.2">
      <c r="A634" s="1207"/>
      <c r="B634" s="1207"/>
      <c r="C634" s="1207"/>
      <c r="E634" s="7"/>
      <c r="F634" s="7"/>
    </row>
    <row r="635" spans="1:6" ht="14.25" hidden="1" customHeight="1" outlineLevel="1" x14ac:dyDescent="0.2">
      <c r="A635" s="1207"/>
      <c r="B635" s="1207"/>
      <c r="C635" s="1207"/>
      <c r="E635" s="7"/>
      <c r="F635" s="7"/>
    </row>
    <row r="636" spans="1:6" ht="14.25" hidden="1" customHeight="1" outlineLevel="1" x14ac:dyDescent="0.2">
      <c r="A636" s="1207"/>
      <c r="B636" s="1207"/>
      <c r="C636" s="1207"/>
      <c r="E636" s="7"/>
      <c r="F636" s="7"/>
    </row>
    <row r="637" spans="1:6" ht="14.25" hidden="1" customHeight="1" outlineLevel="1" x14ac:dyDescent="0.2">
      <c r="A637" s="1207"/>
      <c r="B637" s="1207"/>
      <c r="C637" s="1207"/>
      <c r="E637" s="7"/>
      <c r="F637" s="7"/>
    </row>
    <row r="638" spans="1:6" ht="14.25" hidden="1" customHeight="1" outlineLevel="1" x14ac:dyDescent="0.2">
      <c r="A638" s="1207"/>
      <c r="B638" s="1207"/>
      <c r="C638" s="1207"/>
      <c r="E638" s="7"/>
      <c r="F638" s="7"/>
    </row>
    <row r="639" spans="1:6" ht="14.25" hidden="1" customHeight="1" outlineLevel="1" x14ac:dyDescent="0.2">
      <c r="A639" s="1207"/>
      <c r="B639" s="1207"/>
      <c r="C639" s="1207"/>
      <c r="E639" s="7"/>
      <c r="F639" s="7"/>
    </row>
    <row r="640" spans="1:6" ht="14.25" hidden="1" customHeight="1" outlineLevel="1" x14ac:dyDescent="0.2">
      <c r="A640" s="1207"/>
      <c r="B640" s="1207"/>
      <c r="C640" s="1207"/>
      <c r="E640" s="7"/>
      <c r="F640" s="7"/>
    </row>
    <row r="641" spans="1:6" ht="14.25" hidden="1" customHeight="1" outlineLevel="1" x14ac:dyDescent="0.2">
      <c r="A641" s="1207"/>
      <c r="B641" s="1207"/>
      <c r="C641" s="1207"/>
      <c r="E641" s="7"/>
      <c r="F641" s="7"/>
    </row>
    <row r="642" spans="1:6" ht="14.25" hidden="1" customHeight="1" outlineLevel="1" x14ac:dyDescent="0.2">
      <c r="A642" s="1207"/>
      <c r="B642" s="1207"/>
      <c r="C642" s="1207"/>
      <c r="E642" s="7"/>
      <c r="F642" s="7"/>
    </row>
    <row r="643" spans="1:6" ht="14.25" hidden="1" customHeight="1" outlineLevel="1" x14ac:dyDescent="0.2">
      <c r="A643" s="1207"/>
      <c r="B643" s="1207"/>
      <c r="C643" s="1207"/>
      <c r="E643" s="7"/>
      <c r="F643" s="7"/>
    </row>
    <row r="644" spans="1:6" ht="14.25" hidden="1" customHeight="1" outlineLevel="1" x14ac:dyDescent="0.2">
      <c r="A644" s="1207"/>
      <c r="B644" s="1207"/>
      <c r="C644" s="1207"/>
      <c r="E644" s="7"/>
      <c r="F644" s="7"/>
    </row>
    <row r="645" spans="1:6" ht="14.25" hidden="1" customHeight="1" outlineLevel="1" x14ac:dyDescent="0.2">
      <c r="A645" s="1207"/>
      <c r="B645" s="1207"/>
      <c r="C645" s="1207"/>
      <c r="E645" s="7"/>
      <c r="F645" s="7"/>
    </row>
    <row r="646" spans="1:6" ht="14.25" hidden="1" customHeight="1" outlineLevel="1" x14ac:dyDescent="0.2">
      <c r="A646" s="1207"/>
      <c r="B646" s="1207"/>
      <c r="C646" s="1207"/>
      <c r="E646" s="7"/>
      <c r="F646" s="7"/>
    </row>
    <row r="647" spans="1:6" ht="14.25" hidden="1" customHeight="1" outlineLevel="1" x14ac:dyDescent="0.2">
      <c r="A647" s="1207"/>
      <c r="B647" s="1207"/>
      <c r="C647" s="1207"/>
      <c r="E647" s="7"/>
      <c r="F647" s="7"/>
    </row>
    <row r="648" spans="1:6" ht="14.25" hidden="1" customHeight="1" outlineLevel="1" x14ac:dyDescent="0.2">
      <c r="A648" s="1207"/>
      <c r="B648" s="1207"/>
      <c r="C648" s="1207"/>
      <c r="E648" s="7"/>
      <c r="F648" s="7"/>
    </row>
    <row r="649" spans="1:6" ht="14.25" hidden="1" customHeight="1" outlineLevel="1" x14ac:dyDescent="0.2">
      <c r="A649" s="1207"/>
      <c r="B649" s="1207"/>
      <c r="C649" s="1207"/>
      <c r="E649" s="7"/>
      <c r="F649" s="7"/>
    </row>
    <row r="650" spans="1:6" ht="14.25" hidden="1" customHeight="1" outlineLevel="1" x14ac:dyDescent="0.2">
      <c r="A650" s="1207"/>
      <c r="B650" s="1207"/>
      <c r="C650" s="1207"/>
      <c r="E650" s="7"/>
      <c r="F650" s="7"/>
    </row>
    <row r="651" spans="1:6" ht="14.25" hidden="1" customHeight="1" outlineLevel="1" x14ac:dyDescent="0.2">
      <c r="A651" s="1207"/>
      <c r="B651" s="1207"/>
      <c r="C651" s="1207"/>
      <c r="E651" s="7"/>
      <c r="F651" s="7"/>
    </row>
    <row r="652" spans="1:6" ht="14.25" hidden="1" customHeight="1" outlineLevel="1" x14ac:dyDescent="0.2">
      <c r="A652" s="1207"/>
      <c r="B652" s="1207"/>
      <c r="C652" s="1207"/>
      <c r="E652" s="7"/>
      <c r="F652" s="7"/>
    </row>
    <row r="653" spans="1:6" ht="14.25" hidden="1" customHeight="1" outlineLevel="1" x14ac:dyDescent="0.2">
      <c r="A653" s="1207"/>
      <c r="B653" s="1207"/>
      <c r="C653" s="1207"/>
      <c r="E653" s="7"/>
      <c r="F653" s="7"/>
    </row>
    <row r="654" spans="1:6" ht="14.25" hidden="1" customHeight="1" outlineLevel="1" x14ac:dyDescent="0.2">
      <c r="A654" s="1207"/>
      <c r="B654" s="1207"/>
      <c r="C654" s="1207"/>
      <c r="E654" s="7"/>
      <c r="F654" s="7"/>
    </row>
    <row r="655" spans="1:6" ht="14.25" hidden="1" customHeight="1" outlineLevel="1" x14ac:dyDescent="0.2">
      <c r="A655" s="1207"/>
      <c r="B655" s="1207"/>
      <c r="C655" s="1207"/>
      <c r="E655" s="7"/>
      <c r="F655" s="7"/>
    </row>
    <row r="656" spans="1:6" ht="14.25" hidden="1" customHeight="1" outlineLevel="1" x14ac:dyDescent="0.2">
      <c r="A656" s="1207"/>
      <c r="B656" s="1207"/>
      <c r="C656" s="1207"/>
      <c r="E656" s="7"/>
      <c r="F656" s="7"/>
    </row>
    <row r="657" spans="1:6" ht="14.25" hidden="1" customHeight="1" outlineLevel="1" x14ac:dyDescent="0.2">
      <c r="A657" s="1207"/>
      <c r="B657" s="1207"/>
      <c r="C657" s="1207"/>
      <c r="E657" s="7"/>
      <c r="F657" s="7"/>
    </row>
    <row r="658" spans="1:6" ht="14.25" hidden="1" customHeight="1" outlineLevel="1" x14ac:dyDescent="0.2">
      <c r="A658" s="1207"/>
      <c r="B658" s="1207"/>
      <c r="C658" s="1207"/>
      <c r="E658" s="7"/>
      <c r="F658" s="7"/>
    </row>
    <row r="659" spans="1:6" ht="14.25" hidden="1" customHeight="1" outlineLevel="1" x14ac:dyDescent="0.2">
      <c r="A659" s="1207"/>
      <c r="B659" s="1207"/>
      <c r="C659" s="1207"/>
      <c r="E659" s="7"/>
      <c r="F659" s="7"/>
    </row>
    <row r="660" spans="1:6" ht="14.25" hidden="1" customHeight="1" outlineLevel="1" x14ac:dyDescent="0.2">
      <c r="A660" s="1207"/>
      <c r="B660" s="1207"/>
      <c r="C660" s="1207"/>
      <c r="E660" s="7"/>
      <c r="F660" s="7"/>
    </row>
    <row r="661" spans="1:6" ht="14.25" hidden="1" customHeight="1" outlineLevel="1" x14ac:dyDescent="0.2">
      <c r="A661" s="1207"/>
      <c r="B661" s="1207"/>
      <c r="C661" s="1207"/>
      <c r="E661" s="7"/>
      <c r="F661" s="7"/>
    </row>
    <row r="662" spans="1:6" ht="14.25" hidden="1" customHeight="1" outlineLevel="1" x14ac:dyDescent="0.2">
      <c r="A662" s="1207"/>
      <c r="B662" s="1207"/>
      <c r="C662" s="1207"/>
      <c r="E662" s="7"/>
      <c r="F662" s="7"/>
    </row>
    <row r="663" spans="1:6" ht="14.25" hidden="1" customHeight="1" outlineLevel="1" x14ac:dyDescent="0.2">
      <c r="A663" s="1207"/>
      <c r="B663" s="1207"/>
      <c r="C663" s="1207"/>
      <c r="E663" s="7"/>
      <c r="F663" s="7"/>
    </row>
    <row r="664" spans="1:6" ht="14.25" hidden="1" customHeight="1" outlineLevel="1" x14ac:dyDescent="0.2">
      <c r="A664" s="1207"/>
      <c r="B664" s="1207"/>
      <c r="C664" s="1207"/>
      <c r="E664" s="7"/>
      <c r="F664" s="7"/>
    </row>
    <row r="665" spans="1:6" ht="14.25" hidden="1" customHeight="1" outlineLevel="1" x14ac:dyDescent="0.2">
      <c r="A665" s="1207"/>
      <c r="B665" s="1207"/>
      <c r="C665" s="1207"/>
      <c r="E665" s="7"/>
      <c r="F665" s="7"/>
    </row>
    <row r="666" spans="1:6" ht="14.25" hidden="1" customHeight="1" outlineLevel="1" x14ac:dyDescent="0.2">
      <c r="A666" s="1207"/>
      <c r="B666" s="1207"/>
      <c r="C666" s="1207"/>
      <c r="E666" s="7"/>
      <c r="F666" s="7"/>
    </row>
    <row r="667" spans="1:6" ht="14.25" hidden="1" customHeight="1" outlineLevel="1" x14ac:dyDescent="0.2">
      <c r="A667" s="1207"/>
      <c r="B667" s="1207"/>
      <c r="C667" s="1207"/>
      <c r="E667" s="7"/>
      <c r="F667" s="7"/>
    </row>
    <row r="668" spans="1:6" ht="14.25" hidden="1" customHeight="1" outlineLevel="1" x14ac:dyDescent="0.2">
      <c r="A668" s="1207"/>
      <c r="B668" s="1207"/>
      <c r="C668" s="1207"/>
      <c r="E668" s="7"/>
      <c r="F668" s="7"/>
    </row>
    <row r="669" spans="1:6" ht="14.25" hidden="1" customHeight="1" outlineLevel="1" x14ac:dyDescent="0.2">
      <c r="A669" s="1207"/>
      <c r="B669" s="1207"/>
      <c r="C669" s="1207"/>
      <c r="E669" s="7"/>
      <c r="F669" s="7"/>
    </row>
    <row r="670" spans="1:6" ht="14.25" hidden="1" customHeight="1" outlineLevel="1" x14ac:dyDescent="0.2">
      <c r="A670" s="1207"/>
      <c r="B670" s="1207"/>
      <c r="C670" s="1207"/>
      <c r="E670" s="7"/>
      <c r="F670" s="7"/>
    </row>
    <row r="671" spans="1:6" ht="14.25" hidden="1" customHeight="1" outlineLevel="1" x14ac:dyDescent="0.2">
      <c r="A671" s="1207"/>
      <c r="B671" s="1207"/>
      <c r="C671" s="1207"/>
      <c r="E671" s="7"/>
      <c r="F671" s="7"/>
    </row>
    <row r="672" spans="1:6" ht="14.25" hidden="1" customHeight="1" outlineLevel="1" x14ac:dyDescent="0.2">
      <c r="A672" s="1207"/>
      <c r="B672" s="1207"/>
      <c r="C672" s="1207"/>
      <c r="E672" s="7"/>
      <c r="F672" s="7"/>
    </row>
    <row r="673" spans="1:6" ht="14.25" hidden="1" customHeight="1" outlineLevel="1" x14ac:dyDescent="0.2">
      <c r="A673" s="1207"/>
      <c r="B673" s="1207"/>
      <c r="C673" s="1207"/>
      <c r="E673" s="7"/>
      <c r="F673" s="7"/>
    </row>
    <row r="674" spans="1:6" ht="14.25" hidden="1" customHeight="1" outlineLevel="1" x14ac:dyDescent="0.2">
      <c r="A674" s="1207"/>
      <c r="B674" s="1207"/>
      <c r="C674" s="1207"/>
      <c r="E674" s="7"/>
      <c r="F674" s="7"/>
    </row>
    <row r="675" spans="1:6" ht="14.25" hidden="1" customHeight="1" outlineLevel="1" x14ac:dyDescent="0.2">
      <c r="A675" s="1207"/>
      <c r="B675" s="1207"/>
      <c r="C675" s="1207"/>
      <c r="E675" s="7"/>
      <c r="F675" s="7"/>
    </row>
    <row r="676" spans="1:6" ht="14.25" hidden="1" customHeight="1" outlineLevel="1" x14ac:dyDescent="0.2">
      <c r="A676" s="1207"/>
      <c r="B676" s="1207"/>
      <c r="C676" s="1207"/>
      <c r="E676" s="7"/>
      <c r="F676" s="7"/>
    </row>
    <row r="677" spans="1:6" ht="14.25" hidden="1" customHeight="1" outlineLevel="1" x14ac:dyDescent="0.2">
      <c r="A677" s="1207"/>
      <c r="B677" s="1207"/>
      <c r="C677" s="1207"/>
      <c r="E677" s="7"/>
      <c r="F677" s="7"/>
    </row>
    <row r="678" spans="1:6" ht="14.25" hidden="1" customHeight="1" outlineLevel="1" x14ac:dyDescent="0.2">
      <c r="A678" s="1207"/>
      <c r="B678" s="1207"/>
      <c r="C678" s="1207"/>
      <c r="E678" s="7"/>
      <c r="F678" s="7"/>
    </row>
    <row r="679" spans="1:6" ht="14.25" hidden="1" customHeight="1" outlineLevel="1" x14ac:dyDescent="0.2">
      <c r="A679" s="1207"/>
      <c r="B679" s="1207"/>
      <c r="C679" s="1207"/>
      <c r="E679" s="7"/>
      <c r="F679" s="7"/>
    </row>
    <row r="680" spans="1:6" ht="14.25" hidden="1" customHeight="1" outlineLevel="1" x14ac:dyDescent="0.2">
      <c r="A680" s="1207"/>
      <c r="B680" s="1207"/>
      <c r="C680" s="1207"/>
      <c r="E680" s="7"/>
      <c r="F680" s="7"/>
    </row>
    <row r="681" spans="1:6" ht="14.25" hidden="1" customHeight="1" outlineLevel="1" x14ac:dyDescent="0.2">
      <c r="A681" s="1207"/>
      <c r="B681" s="1207"/>
      <c r="C681" s="1207"/>
      <c r="E681" s="7"/>
      <c r="F681" s="7"/>
    </row>
    <row r="682" spans="1:6" ht="14.25" hidden="1" customHeight="1" outlineLevel="1" x14ac:dyDescent="0.2">
      <c r="A682" s="1207"/>
      <c r="B682" s="1207"/>
      <c r="C682" s="1207"/>
      <c r="E682" s="7"/>
      <c r="F682" s="7"/>
    </row>
    <row r="683" spans="1:6" ht="14.25" hidden="1" customHeight="1" outlineLevel="1" x14ac:dyDescent="0.2">
      <c r="A683" s="1207"/>
      <c r="B683" s="1207"/>
      <c r="C683" s="1207"/>
      <c r="E683" s="7"/>
      <c r="F683" s="7"/>
    </row>
    <row r="684" spans="1:6" ht="14.25" hidden="1" customHeight="1" outlineLevel="1" x14ac:dyDescent="0.2">
      <c r="A684" s="1207"/>
      <c r="B684" s="1207"/>
      <c r="C684" s="1207"/>
      <c r="E684" s="7"/>
      <c r="F684" s="7"/>
    </row>
    <row r="685" spans="1:6" ht="14.25" hidden="1" customHeight="1" outlineLevel="1" x14ac:dyDescent="0.2">
      <c r="A685" s="1207"/>
      <c r="B685" s="1207"/>
      <c r="C685" s="1207"/>
      <c r="E685" s="7"/>
      <c r="F685" s="7"/>
    </row>
    <row r="686" spans="1:6" ht="14.25" hidden="1" customHeight="1" outlineLevel="1" x14ac:dyDescent="0.2">
      <c r="A686" s="1207"/>
      <c r="B686" s="1207"/>
      <c r="C686" s="1207"/>
      <c r="E686" s="7"/>
      <c r="F686" s="7"/>
    </row>
    <row r="687" spans="1:6" ht="14.25" hidden="1" customHeight="1" outlineLevel="1" x14ac:dyDescent="0.2">
      <c r="A687" s="1207"/>
      <c r="B687" s="1207"/>
      <c r="C687" s="1207"/>
      <c r="E687" s="7"/>
      <c r="F687" s="7"/>
    </row>
    <row r="688" spans="1:6" ht="14.25" hidden="1" customHeight="1" outlineLevel="1" x14ac:dyDescent="0.2">
      <c r="A688" s="1207"/>
      <c r="B688" s="1207"/>
      <c r="C688" s="1207"/>
      <c r="E688" s="7"/>
      <c r="F688" s="7"/>
    </row>
    <row r="689" spans="1:6" ht="14.25" hidden="1" customHeight="1" outlineLevel="1" x14ac:dyDescent="0.2">
      <c r="A689" s="1207"/>
      <c r="B689" s="1207"/>
      <c r="C689" s="1207"/>
      <c r="E689" s="7"/>
      <c r="F689" s="7"/>
    </row>
    <row r="690" spans="1:6" ht="14.25" hidden="1" customHeight="1" outlineLevel="1" x14ac:dyDescent="0.2">
      <c r="A690" s="1207"/>
      <c r="B690" s="1207"/>
      <c r="C690" s="1207"/>
      <c r="E690" s="7"/>
      <c r="F690" s="7"/>
    </row>
    <row r="691" spans="1:6" ht="14.25" hidden="1" customHeight="1" outlineLevel="1" x14ac:dyDescent="0.2">
      <c r="A691" s="1207"/>
      <c r="B691" s="1207"/>
      <c r="C691" s="1207"/>
      <c r="E691" s="7"/>
      <c r="F691" s="7"/>
    </row>
    <row r="692" spans="1:6" ht="14.25" hidden="1" customHeight="1" outlineLevel="1" x14ac:dyDescent="0.2">
      <c r="A692" s="1207"/>
      <c r="B692" s="1207"/>
      <c r="C692" s="1207"/>
      <c r="E692" s="7"/>
      <c r="F692" s="7"/>
    </row>
    <row r="693" spans="1:6" ht="14.25" hidden="1" customHeight="1" outlineLevel="1" x14ac:dyDescent="0.2">
      <c r="A693" s="1207"/>
      <c r="B693" s="1207"/>
      <c r="C693" s="1207"/>
      <c r="E693" s="7"/>
      <c r="F693" s="7"/>
    </row>
    <row r="694" spans="1:6" ht="14.25" hidden="1" customHeight="1" outlineLevel="1" x14ac:dyDescent="0.2">
      <c r="A694" s="1207"/>
      <c r="B694" s="1207"/>
      <c r="C694" s="1207"/>
      <c r="E694" s="7"/>
      <c r="F694" s="7"/>
    </row>
    <row r="695" spans="1:6" ht="14.25" hidden="1" customHeight="1" outlineLevel="1" x14ac:dyDescent="0.2">
      <c r="A695" s="1207"/>
      <c r="B695" s="1207"/>
      <c r="C695" s="1207"/>
      <c r="E695" s="7"/>
      <c r="F695" s="7"/>
    </row>
    <row r="696" spans="1:6" ht="14.25" hidden="1" customHeight="1" outlineLevel="1" x14ac:dyDescent="0.2">
      <c r="A696" s="1207"/>
      <c r="B696" s="1207"/>
      <c r="C696" s="1207"/>
      <c r="E696" s="7"/>
      <c r="F696" s="7"/>
    </row>
    <row r="697" spans="1:6" ht="14.25" hidden="1" customHeight="1" outlineLevel="1" x14ac:dyDescent="0.2">
      <c r="A697" s="1207"/>
      <c r="B697" s="1207"/>
      <c r="C697" s="1207"/>
      <c r="E697" s="7"/>
      <c r="F697" s="7"/>
    </row>
    <row r="698" spans="1:6" ht="14.25" hidden="1" customHeight="1" outlineLevel="1" x14ac:dyDescent="0.2">
      <c r="A698" s="1207"/>
      <c r="B698" s="1207"/>
      <c r="C698" s="1207"/>
      <c r="E698" s="7"/>
      <c r="F698" s="7"/>
    </row>
    <row r="699" spans="1:6" ht="14.25" hidden="1" customHeight="1" outlineLevel="1" x14ac:dyDescent="0.2">
      <c r="A699" s="1207"/>
      <c r="B699" s="1207"/>
      <c r="C699" s="1207"/>
      <c r="E699" s="7"/>
      <c r="F699" s="7"/>
    </row>
    <row r="700" spans="1:6" ht="14.25" hidden="1" customHeight="1" outlineLevel="1" x14ac:dyDescent="0.2">
      <c r="A700" s="1207"/>
      <c r="B700" s="1207"/>
      <c r="C700" s="1207"/>
      <c r="E700" s="7"/>
      <c r="F700" s="7"/>
    </row>
    <row r="701" spans="1:6" ht="14.25" hidden="1" customHeight="1" outlineLevel="1" x14ac:dyDescent="0.2">
      <c r="A701" s="1207"/>
      <c r="B701" s="1207"/>
      <c r="C701" s="1207"/>
      <c r="E701" s="7"/>
      <c r="F701" s="7"/>
    </row>
    <row r="702" spans="1:6" ht="14.25" hidden="1" customHeight="1" outlineLevel="1" x14ac:dyDescent="0.2">
      <c r="A702" s="1207"/>
      <c r="B702" s="1207"/>
      <c r="C702" s="1207"/>
      <c r="E702" s="7"/>
      <c r="F702" s="7"/>
    </row>
    <row r="703" spans="1:6" ht="14.25" hidden="1" customHeight="1" outlineLevel="1" x14ac:dyDescent="0.2">
      <c r="A703" s="1207"/>
      <c r="B703" s="1207"/>
      <c r="C703" s="1207"/>
      <c r="E703" s="7"/>
      <c r="F703" s="7"/>
    </row>
    <row r="704" spans="1:6" ht="14.25" hidden="1" customHeight="1" outlineLevel="1" x14ac:dyDescent="0.2">
      <c r="A704" s="1207"/>
      <c r="B704" s="1207"/>
      <c r="C704" s="1207"/>
      <c r="E704" s="7"/>
      <c r="F704" s="7"/>
    </row>
    <row r="705" spans="1:6" ht="14.25" hidden="1" customHeight="1" outlineLevel="1" x14ac:dyDescent="0.2">
      <c r="A705" s="1207"/>
      <c r="B705" s="1207"/>
      <c r="C705" s="1207"/>
      <c r="E705" s="7"/>
      <c r="F705" s="7"/>
    </row>
    <row r="706" spans="1:6" ht="14.25" hidden="1" customHeight="1" outlineLevel="1" x14ac:dyDescent="0.2">
      <c r="A706" s="1207"/>
      <c r="B706" s="1207"/>
      <c r="C706" s="1207"/>
      <c r="E706" s="7"/>
      <c r="F706" s="7"/>
    </row>
    <row r="707" spans="1:6" ht="14.25" hidden="1" customHeight="1" outlineLevel="1" x14ac:dyDescent="0.2">
      <c r="A707" s="1207"/>
      <c r="B707" s="1207"/>
      <c r="C707" s="1207"/>
      <c r="E707" s="7"/>
      <c r="F707" s="7"/>
    </row>
    <row r="708" spans="1:6" ht="14.25" hidden="1" customHeight="1" outlineLevel="1" x14ac:dyDescent="0.2">
      <c r="A708" s="1207"/>
      <c r="B708" s="1207"/>
      <c r="C708" s="1207"/>
      <c r="E708" s="7"/>
      <c r="F708" s="7"/>
    </row>
    <row r="709" spans="1:6" ht="14.25" hidden="1" customHeight="1" outlineLevel="1" x14ac:dyDescent="0.2">
      <c r="A709" s="1207"/>
      <c r="B709" s="1207"/>
      <c r="C709" s="1207"/>
      <c r="E709" s="7"/>
      <c r="F709" s="7"/>
    </row>
    <row r="710" spans="1:6" ht="14.25" hidden="1" customHeight="1" outlineLevel="1" x14ac:dyDescent="0.2">
      <c r="A710" s="1207"/>
      <c r="B710" s="1207"/>
      <c r="C710" s="1207"/>
      <c r="E710" s="7"/>
      <c r="F710" s="7"/>
    </row>
    <row r="711" spans="1:6" ht="14.25" hidden="1" customHeight="1" outlineLevel="1" x14ac:dyDescent="0.2">
      <c r="A711" s="1207"/>
      <c r="B711" s="1207"/>
      <c r="C711" s="1207"/>
      <c r="E711" s="7"/>
      <c r="F711" s="7"/>
    </row>
    <row r="712" spans="1:6" ht="14.25" hidden="1" customHeight="1" outlineLevel="1" x14ac:dyDescent="0.2">
      <c r="A712" s="1207"/>
      <c r="B712" s="1207"/>
      <c r="C712" s="1207"/>
      <c r="E712" s="7"/>
      <c r="F712" s="7"/>
    </row>
    <row r="713" spans="1:6" ht="14.25" hidden="1" customHeight="1" outlineLevel="1" x14ac:dyDescent="0.2">
      <c r="A713" s="1207"/>
      <c r="B713" s="1207"/>
      <c r="C713" s="1207"/>
      <c r="E713" s="7"/>
      <c r="F713" s="7"/>
    </row>
    <row r="714" spans="1:6" ht="14.25" hidden="1" customHeight="1" outlineLevel="1" x14ac:dyDescent="0.2">
      <c r="A714" s="1207"/>
      <c r="B714" s="1207"/>
      <c r="C714" s="1207"/>
      <c r="E714" s="7"/>
      <c r="F714" s="7"/>
    </row>
    <row r="715" spans="1:6" ht="14.25" hidden="1" customHeight="1" outlineLevel="1" x14ac:dyDescent="0.2">
      <c r="A715" s="1207"/>
      <c r="B715" s="1207"/>
      <c r="C715" s="1207"/>
      <c r="E715" s="7"/>
      <c r="F715" s="7"/>
    </row>
    <row r="716" spans="1:6" ht="14.25" hidden="1" customHeight="1" outlineLevel="1" x14ac:dyDescent="0.2">
      <c r="A716" s="1207"/>
      <c r="B716" s="1207"/>
      <c r="C716" s="1207"/>
      <c r="E716" s="7"/>
      <c r="F716" s="7"/>
    </row>
    <row r="717" spans="1:6" ht="14.25" hidden="1" customHeight="1" outlineLevel="1" x14ac:dyDescent="0.2">
      <c r="A717" s="1207"/>
      <c r="B717" s="1207"/>
      <c r="C717" s="1207"/>
      <c r="E717" s="7"/>
      <c r="F717" s="7"/>
    </row>
    <row r="718" spans="1:6" ht="14.25" hidden="1" customHeight="1" outlineLevel="1" x14ac:dyDescent="0.2">
      <c r="A718" s="1207"/>
      <c r="B718" s="1207"/>
      <c r="C718" s="1207"/>
      <c r="E718" s="7"/>
      <c r="F718" s="7"/>
    </row>
    <row r="719" spans="1:6" ht="14.25" hidden="1" customHeight="1" outlineLevel="1" x14ac:dyDescent="0.2">
      <c r="A719" s="1207"/>
      <c r="B719" s="1207"/>
      <c r="C719" s="1207"/>
      <c r="E719" s="7"/>
      <c r="F719" s="7"/>
    </row>
    <row r="720" spans="1:6" ht="14.25" hidden="1" customHeight="1" outlineLevel="1" x14ac:dyDescent="0.2">
      <c r="A720" s="1207"/>
      <c r="B720" s="1207"/>
      <c r="C720" s="1207"/>
      <c r="E720" s="7"/>
      <c r="F720" s="7"/>
    </row>
    <row r="721" spans="1:6" ht="14.25" hidden="1" customHeight="1" outlineLevel="1" x14ac:dyDescent="0.2">
      <c r="A721" s="1207"/>
      <c r="B721" s="1207"/>
      <c r="C721" s="1207"/>
      <c r="E721" s="7"/>
      <c r="F721" s="7"/>
    </row>
    <row r="722" spans="1:6" ht="14.25" hidden="1" customHeight="1" outlineLevel="1" x14ac:dyDescent="0.2">
      <c r="A722" s="1207"/>
      <c r="B722" s="1207"/>
      <c r="C722" s="1207"/>
      <c r="E722" s="7"/>
      <c r="F722" s="7"/>
    </row>
    <row r="723" spans="1:6" ht="14.25" hidden="1" customHeight="1" outlineLevel="1" x14ac:dyDescent="0.2">
      <c r="A723" s="1207"/>
      <c r="B723" s="1207"/>
      <c r="C723" s="1207"/>
      <c r="E723" s="7"/>
      <c r="F723" s="7"/>
    </row>
    <row r="724" spans="1:6" ht="14.25" hidden="1" customHeight="1" outlineLevel="1" x14ac:dyDescent="0.2">
      <c r="A724" s="1207"/>
      <c r="B724" s="1207"/>
      <c r="C724" s="1207"/>
      <c r="E724" s="7"/>
      <c r="F724" s="7"/>
    </row>
    <row r="725" spans="1:6" ht="14.25" hidden="1" customHeight="1" outlineLevel="1" x14ac:dyDescent="0.2">
      <c r="A725" s="1207"/>
      <c r="B725" s="1207"/>
      <c r="C725" s="1207"/>
      <c r="E725" s="7"/>
      <c r="F725" s="7"/>
    </row>
    <row r="726" spans="1:6" ht="14.25" hidden="1" customHeight="1" outlineLevel="1" x14ac:dyDescent="0.2">
      <c r="A726" s="1207"/>
      <c r="B726" s="1207"/>
      <c r="C726" s="1207"/>
      <c r="E726" s="7"/>
      <c r="F726" s="7"/>
    </row>
    <row r="727" spans="1:6" ht="14.25" hidden="1" customHeight="1" outlineLevel="1" x14ac:dyDescent="0.2">
      <c r="A727" s="1207"/>
      <c r="B727" s="1207"/>
      <c r="C727" s="1207"/>
      <c r="E727" s="7"/>
      <c r="F727" s="7"/>
    </row>
    <row r="728" spans="1:6" ht="14.25" hidden="1" customHeight="1" outlineLevel="1" x14ac:dyDescent="0.2">
      <c r="A728" s="1207"/>
      <c r="B728" s="1207"/>
      <c r="C728" s="1207"/>
      <c r="E728" s="7"/>
      <c r="F728" s="7"/>
    </row>
    <row r="729" spans="1:6" ht="14.25" hidden="1" customHeight="1" outlineLevel="1" x14ac:dyDescent="0.2">
      <c r="A729" s="1207"/>
      <c r="B729" s="1207"/>
      <c r="C729" s="1207"/>
      <c r="E729" s="7"/>
      <c r="F729" s="7"/>
    </row>
    <row r="730" spans="1:6" ht="14.25" hidden="1" customHeight="1" outlineLevel="1" x14ac:dyDescent="0.2">
      <c r="A730" s="1207"/>
      <c r="B730" s="1207"/>
      <c r="C730" s="1207"/>
      <c r="E730" s="7"/>
      <c r="F730" s="7"/>
    </row>
    <row r="731" spans="1:6" ht="14.25" hidden="1" customHeight="1" outlineLevel="1" x14ac:dyDescent="0.2">
      <c r="A731" s="1207"/>
      <c r="B731" s="1207"/>
      <c r="C731" s="1207"/>
      <c r="E731" s="7"/>
      <c r="F731" s="7"/>
    </row>
    <row r="732" spans="1:6" ht="14.25" hidden="1" customHeight="1" outlineLevel="1" x14ac:dyDescent="0.2">
      <c r="A732" s="1207"/>
      <c r="B732" s="1207"/>
      <c r="C732" s="1207"/>
      <c r="E732" s="7"/>
      <c r="F732" s="7"/>
    </row>
    <row r="733" spans="1:6" ht="14.25" hidden="1" customHeight="1" outlineLevel="1" x14ac:dyDescent="0.2">
      <c r="A733" s="1207"/>
      <c r="B733" s="1207"/>
      <c r="C733" s="1207"/>
      <c r="E733" s="7"/>
      <c r="F733" s="7"/>
    </row>
    <row r="734" spans="1:6" ht="14.25" hidden="1" customHeight="1" outlineLevel="1" x14ac:dyDescent="0.2">
      <c r="A734" s="1207"/>
      <c r="B734" s="1207"/>
      <c r="C734" s="1207"/>
      <c r="E734" s="7"/>
      <c r="F734" s="7"/>
    </row>
    <row r="735" spans="1:6" ht="14.25" hidden="1" customHeight="1" outlineLevel="1" x14ac:dyDescent="0.2">
      <c r="A735" s="1207"/>
      <c r="B735" s="1207"/>
      <c r="C735" s="1207"/>
      <c r="E735" s="7"/>
      <c r="F735" s="7"/>
    </row>
    <row r="736" spans="1:6" ht="14.25" hidden="1" customHeight="1" outlineLevel="1" x14ac:dyDescent="0.2">
      <c r="A736" s="1207"/>
      <c r="B736" s="1207"/>
      <c r="C736" s="1207"/>
      <c r="E736" s="7"/>
      <c r="F736" s="7"/>
    </row>
    <row r="737" spans="1:6" ht="14.25" hidden="1" customHeight="1" outlineLevel="1" x14ac:dyDescent="0.2">
      <c r="A737" s="1207"/>
      <c r="B737" s="1207"/>
      <c r="C737" s="1207"/>
      <c r="E737" s="7"/>
      <c r="F737" s="7"/>
    </row>
    <row r="738" spans="1:6" ht="14.25" hidden="1" customHeight="1" outlineLevel="1" x14ac:dyDescent="0.2">
      <c r="A738" s="1207"/>
      <c r="B738" s="1207"/>
      <c r="C738" s="1207"/>
      <c r="E738" s="7"/>
      <c r="F738" s="7"/>
    </row>
    <row r="739" spans="1:6" ht="14.25" hidden="1" customHeight="1" outlineLevel="1" x14ac:dyDescent="0.2">
      <c r="A739" s="1207"/>
      <c r="B739" s="1207"/>
      <c r="C739" s="1207"/>
      <c r="E739" s="7"/>
      <c r="F739" s="7"/>
    </row>
    <row r="740" spans="1:6" ht="14.25" hidden="1" customHeight="1" outlineLevel="1" x14ac:dyDescent="0.2">
      <c r="A740" s="1207"/>
      <c r="B740" s="1207"/>
      <c r="C740" s="1207"/>
      <c r="E740" s="7"/>
      <c r="F740" s="7"/>
    </row>
    <row r="741" spans="1:6" ht="14.25" hidden="1" customHeight="1" outlineLevel="1" x14ac:dyDescent="0.2">
      <c r="A741" s="1207"/>
      <c r="B741" s="1207"/>
      <c r="C741" s="1207"/>
      <c r="E741" s="7"/>
      <c r="F741" s="7"/>
    </row>
    <row r="742" spans="1:6" ht="14.25" hidden="1" customHeight="1" outlineLevel="1" x14ac:dyDescent="0.2">
      <c r="A742" s="1207"/>
      <c r="B742" s="1207"/>
      <c r="C742" s="1207"/>
      <c r="E742" s="7"/>
      <c r="F742" s="7"/>
    </row>
    <row r="743" spans="1:6" ht="14.25" hidden="1" customHeight="1" outlineLevel="1" x14ac:dyDescent="0.2">
      <c r="A743" s="1207"/>
      <c r="B743" s="1207"/>
      <c r="C743" s="1207"/>
      <c r="E743" s="7"/>
      <c r="F743" s="7"/>
    </row>
    <row r="744" spans="1:6" ht="14.25" hidden="1" customHeight="1" outlineLevel="1" x14ac:dyDescent="0.2">
      <c r="A744" s="1207"/>
      <c r="B744" s="1207"/>
      <c r="C744" s="1207"/>
      <c r="E744" s="7"/>
      <c r="F744" s="7"/>
    </row>
    <row r="745" spans="1:6" ht="14.25" hidden="1" customHeight="1" outlineLevel="1" x14ac:dyDescent="0.2">
      <c r="A745" s="1207"/>
      <c r="B745" s="1207"/>
      <c r="C745" s="1207"/>
      <c r="E745" s="7"/>
      <c r="F745" s="7"/>
    </row>
    <row r="746" spans="1:6" ht="14.25" hidden="1" customHeight="1" outlineLevel="1" x14ac:dyDescent="0.2">
      <c r="A746" s="1207"/>
      <c r="B746" s="1207"/>
      <c r="C746" s="1207"/>
      <c r="E746" s="7"/>
      <c r="F746" s="7"/>
    </row>
    <row r="747" spans="1:6" ht="14.25" hidden="1" customHeight="1" outlineLevel="1" x14ac:dyDescent="0.2">
      <c r="A747" s="1207"/>
      <c r="B747" s="1207"/>
      <c r="C747" s="1207"/>
      <c r="E747" s="7"/>
      <c r="F747" s="7"/>
    </row>
    <row r="748" spans="1:6" ht="14.25" hidden="1" customHeight="1" outlineLevel="1" x14ac:dyDescent="0.2">
      <c r="A748" s="1207"/>
      <c r="B748" s="1207"/>
      <c r="C748" s="1207"/>
      <c r="E748" s="7"/>
      <c r="F748" s="7"/>
    </row>
    <row r="749" spans="1:6" ht="14.25" hidden="1" customHeight="1" outlineLevel="1" x14ac:dyDescent="0.2">
      <c r="A749" s="1207"/>
      <c r="B749" s="1207"/>
      <c r="C749" s="1207"/>
      <c r="E749" s="7"/>
      <c r="F749" s="7"/>
    </row>
    <row r="750" spans="1:6" ht="14.25" hidden="1" customHeight="1" outlineLevel="1" x14ac:dyDescent="0.2">
      <c r="A750" s="1207"/>
      <c r="B750" s="1207"/>
      <c r="C750" s="1207"/>
      <c r="E750" s="7"/>
      <c r="F750" s="7"/>
    </row>
    <row r="751" spans="1:6" ht="14.25" hidden="1" customHeight="1" outlineLevel="1" x14ac:dyDescent="0.2">
      <c r="A751" s="1207"/>
      <c r="B751" s="1207"/>
      <c r="C751" s="1207"/>
      <c r="E751" s="7"/>
      <c r="F751" s="7"/>
    </row>
    <row r="752" spans="1:6" ht="14.25" hidden="1" customHeight="1" outlineLevel="1" x14ac:dyDescent="0.2">
      <c r="A752" s="1207"/>
      <c r="B752" s="1207"/>
      <c r="C752" s="1207"/>
      <c r="E752" s="7"/>
      <c r="F752" s="7"/>
    </row>
    <row r="753" spans="1:6" ht="14.25" hidden="1" customHeight="1" outlineLevel="1" x14ac:dyDescent="0.2">
      <c r="A753" s="1207"/>
      <c r="B753" s="1207"/>
      <c r="C753" s="1207"/>
      <c r="E753" s="7"/>
      <c r="F753" s="7"/>
    </row>
    <row r="754" spans="1:6" ht="14.25" hidden="1" customHeight="1" outlineLevel="1" x14ac:dyDescent="0.2">
      <c r="A754" s="1207"/>
      <c r="B754" s="1207"/>
      <c r="C754" s="1207"/>
      <c r="E754" s="7"/>
      <c r="F754" s="7"/>
    </row>
    <row r="755" spans="1:6" ht="14.25" hidden="1" customHeight="1" outlineLevel="1" x14ac:dyDescent="0.2">
      <c r="A755" s="1207"/>
      <c r="B755" s="1207"/>
      <c r="C755" s="1207"/>
      <c r="E755" s="7"/>
      <c r="F755" s="7"/>
    </row>
    <row r="756" spans="1:6" ht="14.25" hidden="1" customHeight="1" outlineLevel="1" x14ac:dyDescent="0.2">
      <c r="A756" s="1207"/>
      <c r="B756" s="1207"/>
      <c r="C756" s="1207"/>
      <c r="E756" s="7"/>
      <c r="F756" s="7"/>
    </row>
    <row r="757" spans="1:6" ht="14.25" hidden="1" customHeight="1" outlineLevel="1" x14ac:dyDescent="0.2">
      <c r="A757" s="1207"/>
      <c r="B757" s="1207"/>
      <c r="C757" s="1207"/>
      <c r="E757" s="7"/>
      <c r="F757" s="7"/>
    </row>
    <row r="758" spans="1:6" ht="14.25" hidden="1" customHeight="1" outlineLevel="1" x14ac:dyDescent="0.2">
      <c r="A758" s="1207"/>
      <c r="B758" s="1207"/>
      <c r="C758" s="1207"/>
      <c r="E758" s="7"/>
      <c r="F758" s="7"/>
    </row>
    <row r="759" spans="1:6" ht="14.25" hidden="1" customHeight="1" outlineLevel="1" x14ac:dyDescent="0.2">
      <c r="A759" s="1207"/>
      <c r="B759" s="1207"/>
      <c r="C759" s="1207"/>
      <c r="E759" s="7"/>
      <c r="F759" s="7"/>
    </row>
    <row r="760" spans="1:6" ht="14.25" hidden="1" customHeight="1" outlineLevel="1" x14ac:dyDescent="0.2">
      <c r="A760" s="1207"/>
      <c r="B760" s="1207"/>
      <c r="C760" s="1207"/>
      <c r="E760" s="7"/>
      <c r="F760" s="7"/>
    </row>
    <row r="761" spans="1:6" ht="14.25" hidden="1" customHeight="1" outlineLevel="1" x14ac:dyDescent="0.2">
      <c r="A761" s="1207"/>
      <c r="B761" s="1207"/>
      <c r="C761" s="1207"/>
      <c r="E761" s="7"/>
      <c r="F761" s="7"/>
    </row>
    <row r="762" spans="1:6" ht="14.25" hidden="1" customHeight="1" outlineLevel="1" x14ac:dyDescent="0.2">
      <c r="A762" s="1207"/>
      <c r="B762" s="1207"/>
      <c r="C762" s="1207"/>
      <c r="E762" s="7"/>
      <c r="F762" s="7"/>
    </row>
    <row r="763" spans="1:6" ht="14.25" hidden="1" customHeight="1" outlineLevel="1" x14ac:dyDescent="0.2">
      <c r="A763" s="1207"/>
      <c r="B763" s="1207"/>
      <c r="C763" s="1207"/>
      <c r="E763" s="7"/>
      <c r="F763" s="7"/>
    </row>
    <row r="764" spans="1:6" ht="14.25" hidden="1" customHeight="1" outlineLevel="1" x14ac:dyDescent="0.2">
      <c r="A764" s="1207"/>
      <c r="B764" s="1207"/>
      <c r="C764" s="1207"/>
      <c r="E764" s="7"/>
      <c r="F764" s="7"/>
    </row>
    <row r="765" spans="1:6" ht="14.25" hidden="1" customHeight="1" outlineLevel="1" x14ac:dyDescent="0.2">
      <c r="A765" s="1207"/>
      <c r="B765" s="1207"/>
      <c r="C765" s="1207"/>
      <c r="E765" s="7"/>
      <c r="F765" s="7"/>
    </row>
    <row r="766" spans="1:6" ht="14.25" hidden="1" customHeight="1" outlineLevel="1" x14ac:dyDescent="0.2">
      <c r="A766" s="1207"/>
      <c r="B766" s="1207"/>
      <c r="C766" s="1207"/>
      <c r="E766" s="7"/>
      <c r="F766" s="7"/>
    </row>
    <row r="767" spans="1:6" ht="14.25" hidden="1" customHeight="1" outlineLevel="1" x14ac:dyDescent="0.2">
      <c r="A767" s="1207"/>
      <c r="B767" s="1207"/>
      <c r="C767" s="1207"/>
      <c r="E767" s="7"/>
      <c r="F767" s="7"/>
    </row>
    <row r="768" spans="1:6" ht="14.25" hidden="1" customHeight="1" outlineLevel="1" x14ac:dyDescent="0.2">
      <c r="A768" s="1207"/>
      <c r="B768" s="1207"/>
      <c r="C768" s="1207"/>
      <c r="E768" s="7"/>
      <c r="F768" s="7"/>
    </row>
    <row r="769" spans="1:6" ht="14.25" hidden="1" customHeight="1" outlineLevel="1" x14ac:dyDescent="0.2">
      <c r="A769" s="1207"/>
      <c r="B769" s="1207"/>
      <c r="C769" s="1207"/>
      <c r="E769" s="7"/>
      <c r="F769" s="7"/>
    </row>
    <row r="770" spans="1:6" ht="14.25" hidden="1" customHeight="1" outlineLevel="1" x14ac:dyDescent="0.2">
      <c r="A770" s="1207"/>
      <c r="B770" s="1207"/>
      <c r="C770" s="1207"/>
      <c r="E770" s="7"/>
      <c r="F770" s="7"/>
    </row>
    <row r="771" spans="1:6" ht="14.25" hidden="1" customHeight="1" outlineLevel="1" x14ac:dyDescent="0.2">
      <c r="A771" s="1207"/>
      <c r="B771" s="1207"/>
      <c r="C771" s="1207"/>
      <c r="E771" s="7"/>
      <c r="F771" s="7"/>
    </row>
    <row r="772" spans="1:6" ht="14.25" hidden="1" customHeight="1" outlineLevel="1" x14ac:dyDescent="0.2">
      <c r="A772" s="1207"/>
      <c r="B772" s="1207"/>
      <c r="C772" s="1207"/>
      <c r="E772" s="7"/>
      <c r="F772" s="7"/>
    </row>
    <row r="773" spans="1:6" ht="14.25" hidden="1" customHeight="1" outlineLevel="1" x14ac:dyDescent="0.2">
      <c r="A773" s="1207"/>
      <c r="B773" s="1207"/>
      <c r="C773" s="1207"/>
      <c r="E773" s="7"/>
      <c r="F773" s="7"/>
    </row>
    <row r="774" spans="1:6" ht="14.25" hidden="1" customHeight="1" outlineLevel="1" x14ac:dyDescent="0.2">
      <c r="A774" s="1207"/>
      <c r="B774" s="1207"/>
      <c r="C774" s="1207"/>
      <c r="E774" s="7"/>
      <c r="F774" s="7"/>
    </row>
    <row r="775" spans="1:6" ht="14.25" hidden="1" customHeight="1" outlineLevel="1" x14ac:dyDescent="0.2">
      <c r="A775" s="1207"/>
      <c r="B775" s="1207"/>
      <c r="C775" s="1207"/>
      <c r="E775" s="7"/>
      <c r="F775" s="7"/>
    </row>
    <row r="776" spans="1:6" ht="14.25" hidden="1" customHeight="1" outlineLevel="1" x14ac:dyDescent="0.2">
      <c r="A776" s="1207"/>
      <c r="B776" s="1207"/>
      <c r="C776" s="1207"/>
      <c r="E776" s="7"/>
      <c r="F776" s="7"/>
    </row>
    <row r="777" spans="1:6" ht="14.25" hidden="1" customHeight="1" outlineLevel="1" x14ac:dyDescent="0.2">
      <c r="A777" s="1207"/>
      <c r="B777" s="1207"/>
      <c r="C777" s="1207"/>
      <c r="E777" s="7"/>
      <c r="F777" s="7"/>
    </row>
    <row r="778" spans="1:6" ht="14.25" hidden="1" customHeight="1" outlineLevel="1" x14ac:dyDescent="0.2">
      <c r="A778" s="1207"/>
      <c r="B778" s="1207"/>
      <c r="C778" s="1207"/>
      <c r="E778" s="7"/>
      <c r="F778" s="7"/>
    </row>
    <row r="779" spans="1:6" ht="14.25" hidden="1" customHeight="1" outlineLevel="1" x14ac:dyDescent="0.2">
      <c r="A779" s="1207"/>
      <c r="B779" s="1207"/>
      <c r="C779" s="1207"/>
      <c r="E779" s="7"/>
      <c r="F779" s="7"/>
    </row>
    <row r="780" spans="1:6" ht="14.25" hidden="1" customHeight="1" outlineLevel="1" x14ac:dyDescent="0.2">
      <c r="A780" s="1207"/>
      <c r="B780" s="1207"/>
      <c r="C780" s="1207"/>
      <c r="E780" s="7"/>
      <c r="F780" s="7"/>
    </row>
    <row r="781" spans="1:6" ht="14.25" hidden="1" customHeight="1" outlineLevel="1" x14ac:dyDescent="0.2">
      <c r="A781" s="1207"/>
      <c r="B781" s="1207"/>
      <c r="C781" s="1207"/>
      <c r="E781" s="7"/>
      <c r="F781" s="7"/>
    </row>
    <row r="782" spans="1:6" ht="14.25" hidden="1" customHeight="1" outlineLevel="1" x14ac:dyDescent="0.2">
      <c r="A782" s="1207"/>
      <c r="B782" s="1207"/>
      <c r="C782" s="1207"/>
      <c r="E782" s="7"/>
      <c r="F782" s="7"/>
    </row>
    <row r="783" spans="1:6" ht="14.25" hidden="1" customHeight="1" outlineLevel="1" x14ac:dyDescent="0.2">
      <c r="A783" s="1207"/>
      <c r="B783" s="1207"/>
      <c r="C783" s="1207"/>
      <c r="E783" s="7"/>
      <c r="F783" s="7"/>
    </row>
    <row r="784" spans="1:6" ht="14.25" hidden="1" customHeight="1" outlineLevel="1" x14ac:dyDescent="0.2">
      <c r="A784" s="1207"/>
      <c r="B784" s="1207"/>
      <c r="C784" s="1207"/>
      <c r="E784" s="7"/>
      <c r="F784" s="7"/>
    </row>
    <row r="785" spans="1:6" ht="14.25" hidden="1" customHeight="1" outlineLevel="1" x14ac:dyDescent="0.2">
      <c r="A785" s="1207"/>
      <c r="B785" s="1207"/>
      <c r="C785" s="1207"/>
      <c r="E785" s="7"/>
      <c r="F785" s="7"/>
    </row>
    <row r="786" spans="1:6" ht="14.25" hidden="1" customHeight="1" outlineLevel="1" x14ac:dyDescent="0.2">
      <c r="A786" s="1207"/>
      <c r="B786" s="1207"/>
      <c r="C786" s="1207"/>
      <c r="E786" s="7"/>
      <c r="F786" s="7"/>
    </row>
    <row r="787" spans="1:6" ht="14.25" hidden="1" customHeight="1" outlineLevel="1" x14ac:dyDescent="0.2">
      <c r="A787" s="1207"/>
      <c r="B787" s="1207"/>
      <c r="C787" s="1207"/>
      <c r="E787" s="7"/>
      <c r="F787" s="7"/>
    </row>
    <row r="788" spans="1:6" ht="14.25" hidden="1" customHeight="1" outlineLevel="1" x14ac:dyDescent="0.2">
      <c r="A788" s="1207"/>
      <c r="B788" s="1207"/>
      <c r="C788" s="1207"/>
      <c r="E788" s="7"/>
      <c r="F788" s="7"/>
    </row>
    <row r="789" spans="1:6" ht="14.25" hidden="1" customHeight="1" outlineLevel="1" x14ac:dyDescent="0.2">
      <c r="A789" s="1207"/>
      <c r="B789" s="1207"/>
      <c r="C789" s="1207"/>
      <c r="E789" s="7"/>
      <c r="F789" s="7"/>
    </row>
    <row r="790" spans="1:6" ht="14.25" hidden="1" customHeight="1" outlineLevel="1" x14ac:dyDescent="0.2">
      <c r="A790" s="1207"/>
      <c r="B790" s="1207"/>
      <c r="C790" s="1207"/>
      <c r="E790" s="7"/>
      <c r="F790" s="7"/>
    </row>
    <row r="791" spans="1:6" ht="14.25" hidden="1" customHeight="1" outlineLevel="1" x14ac:dyDescent="0.2">
      <c r="A791" s="1207"/>
      <c r="B791" s="1207"/>
      <c r="C791" s="1207"/>
      <c r="E791" s="7"/>
      <c r="F791" s="7"/>
    </row>
    <row r="792" spans="1:6" ht="14.25" hidden="1" customHeight="1" outlineLevel="1" x14ac:dyDescent="0.2">
      <c r="A792" s="1207"/>
      <c r="B792" s="1207"/>
      <c r="C792" s="1207"/>
      <c r="E792" s="7"/>
      <c r="F792" s="7"/>
    </row>
    <row r="793" spans="1:6" ht="14.25" hidden="1" customHeight="1" outlineLevel="1" x14ac:dyDescent="0.2">
      <c r="A793" s="1207"/>
      <c r="B793" s="1207"/>
      <c r="C793" s="1207"/>
      <c r="E793" s="7"/>
      <c r="F793" s="7"/>
    </row>
    <row r="794" spans="1:6" ht="14.25" hidden="1" customHeight="1" outlineLevel="1" x14ac:dyDescent="0.2">
      <c r="A794" s="1207"/>
      <c r="B794" s="1207"/>
      <c r="C794" s="1207"/>
      <c r="E794" s="7"/>
      <c r="F794" s="7"/>
    </row>
    <row r="795" spans="1:6" ht="14.25" hidden="1" customHeight="1" outlineLevel="1" x14ac:dyDescent="0.2">
      <c r="A795" s="1207"/>
      <c r="B795" s="1207"/>
      <c r="C795" s="1207"/>
      <c r="E795" s="7"/>
      <c r="F795" s="7"/>
    </row>
    <row r="796" spans="1:6" ht="14.25" hidden="1" customHeight="1" outlineLevel="1" x14ac:dyDescent="0.2">
      <c r="A796" s="1207"/>
      <c r="B796" s="1207"/>
      <c r="C796" s="1207"/>
      <c r="E796" s="7"/>
      <c r="F796" s="7"/>
    </row>
    <row r="797" spans="1:6" ht="14.25" hidden="1" customHeight="1" outlineLevel="1" x14ac:dyDescent="0.2">
      <c r="A797" s="1207"/>
      <c r="B797" s="1207"/>
      <c r="C797" s="1207"/>
      <c r="E797" s="7"/>
      <c r="F797" s="7"/>
    </row>
    <row r="798" spans="1:6" ht="14.25" hidden="1" customHeight="1" outlineLevel="1" x14ac:dyDescent="0.2">
      <c r="A798" s="1207"/>
      <c r="B798" s="1207"/>
      <c r="C798" s="1207"/>
      <c r="E798" s="7"/>
      <c r="F798" s="7"/>
    </row>
    <row r="799" spans="1:6" ht="14.25" hidden="1" customHeight="1" outlineLevel="1" x14ac:dyDescent="0.2">
      <c r="A799" s="1207"/>
      <c r="B799" s="1207"/>
      <c r="C799" s="1207"/>
      <c r="E799" s="7"/>
      <c r="F799" s="7"/>
    </row>
    <row r="800" spans="1:6" ht="14.25" hidden="1" customHeight="1" outlineLevel="1" x14ac:dyDescent="0.2">
      <c r="A800" s="1207"/>
      <c r="B800" s="1207"/>
      <c r="C800" s="1207"/>
      <c r="E800" s="7"/>
      <c r="F800" s="7"/>
    </row>
    <row r="801" spans="1:6" ht="14.25" hidden="1" customHeight="1" outlineLevel="1" x14ac:dyDescent="0.2">
      <c r="A801" s="1207"/>
      <c r="B801" s="1207"/>
      <c r="C801" s="1207"/>
      <c r="E801" s="7"/>
      <c r="F801" s="7"/>
    </row>
    <row r="802" spans="1:6" ht="14.25" hidden="1" customHeight="1" outlineLevel="1" x14ac:dyDescent="0.2">
      <c r="A802" s="1207"/>
      <c r="B802" s="1207"/>
      <c r="C802" s="1207"/>
      <c r="E802" s="7"/>
      <c r="F802" s="7"/>
    </row>
    <row r="803" spans="1:6" ht="14.25" hidden="1" customHeight="1" outlineLevel="1" x14ac:dyDescent="0.2">
      <c r="A803" s="1207"/>
      <c r="B803" s="1207"/>
      <c r="C803" s="1207"/>
      <c r="E803" s="7"/>
      <c r="F803" s="7"/>
    </row>
    <row r="804" spans="1:6" ht="14.25" hidden="1" customHeight="1" outlineLevel="1" x14ac:dyDescent="0.2">
      <c r="A804" s="1207"/>
      <c r="B804" s="1207"/>
      <c r="C804" s="1207"/>
      <c r="E804" s="7"/>
      <c r="F804" s="7"/>
    </row>
    <row r="805" spans="1:6" ht="14.25" hidden="1" customHeight="1" outlineLevel="1" x14ac:dyDescent="0.2">
      <c r="A805" s="1207"/>
      <c r="B805" s="1207"/>
      <c r="C805" s="1207"/>
      <c r="E805" s="7"/>
      <c r="F805" s="7"/>
    </row>
    <row r="806" spans="1:6" ht="14.25" hidden="1" customHeight="1" outlineLevel="1" x14ac:dyDescent="0.2">
      <c r="A806" s="1207"/>
      <c r="B806" s="1207"/>
      <c r="C806" s="1207"/>
      <c r="E806" s="7"/>
      <c r="F806" s="7"/>
    </row>
    <row r="807" spans="1:6" ht="14.25" hidden="1" customHeight="1" outlineLevel="1" x14ac:dyDescent="0.2">
      <c r="A807" s="1207"/>
      <c r="B807" s="1207"/>
      <c r="C807" s="1207"/>
      <c r="E807" s="7"/>
      <c r="F807" s="7"/>
    </row>
    <row r="808" spans="1:6" ht="14.25" hidden="1" customHeight="1" outlineLevel="1" x14ac:dyDescent="0.2">
      <c r="A808" s="1207"/>
      <c r="B808" s="1207"/>
      <c r="C808" s="1207"/>
      <c r="E808" s="7"/>
      <c r="F808" s="7"/>
    </row>
    <row r="809" spans="1:6" ht="14.25" hidden="1" customHeight="1" outlineLevel="1" x14ac:dyDescent="0.2">
      <c r="A809" s="1207"/>
      <c r="B809" s="1207"/>
      <c r="C809" s="1207"/>
      <c r="E809" s="7"/>
      <c r="F809" s="7"/>
    </row>
    <row r="810" spans="1:6" ht="14.25" hidden="1" customHeight="1" outlineLevel="1" x14ac:dyDescent="0.2">
      <c r="A810" s="1207"/>
      <c r="B810" s="1207"/>
      <c r="C810" s="1207"/>
      <c r="E810" s="7"/>
      <c r="F810" s="7"/>
    </row>
    <row r="811" spans="1:6" ht="14.25" hidden="1" customHeight="1" outlineLevel="1" x14ac:dyDescent="0.2">
      <c r="A811" s="1207"/>
      <c r="B811" s="1207"/>
      <c r="C811" s="1207"/>
      <c r="E811" s="7"/>
      <c r="F811" s="7"/>
    </row>
    <row r="812" spans="1:6" ht="14.25" hidden="1" customHeight="1" outlineLevel="1" x14ac:dyDescent="0.2">
      <c r="A812" s="1207"/>
      <c r="B812" s="1207"/>
      <c r="C812" s="1207"/>
      <c r="E812" s="7"/>
      <c r="F812" s="7"/>
    </row>
    <row r="813" spans="1:6" ht="14.25" hidden="1" customHeight="1" outlineLevel="1" x14ac:dyDescent="0.2">
      <c r="A813" s="1207"/>
      <c r="B813" s="1207"/>
      <c r="C813" s="1207"/>
      <c r="E813" s="7"/>
      <c r="F813" s="7"/>
    </row>
    <row r="814" spans="1:6" ht="14.25" hidden="1" customHeight="1" outlineLevel="1" x14ac:dyDescent="0.2">
      <c r="A814" s="1207"/>
      <c r="B814" s="1207"/>
      <c r="C814" s="1207"/>
      <c r="E814" s="7"/>
      <c r="F814" s="7"/>
    </row>
    <row r="815" spans="1:6" ht="14.25" hidden="1" customHeight="1" outlineLevel="1" x14ac:dyDescent="0.2">
      <c r="A815" s="1207"/>
      <c r="B815" s="1207"/>
      <c r="C815" s="1207"/>
      <c r="E815" s="7"/>
      <c r="F815" s="7"/>
    </row>
    <row r="816" spans="1:6" ht="14.25" hidden="1" customHeight="1" outlineLevel="1" x14ac:dyDescent="0.2">
      <c r="A816" s="1207"/>
      <c r="B816" s="1207"/>
      <c r="C816" s="1207"/>
      <c r="E816" s="7"/>
      <c r="F816" s="7"/>
    </row>
    <row r="817" spans="1:6" ht="14.25" hidden="1" customHeight="1" outlineLevel="1" x14ac:dyDescent="0.2">
      <c r="A817" s="1207"/>
      <c r="B817" s="1207"/>
      <c r="C817" s="1207"/>
      <c r="E817" s="7"/>
      <c r="F817" s="7"/>
    </row>
    <row r="818" spans="1:6" ht="14.25" hidden="1" customHeight="1" outlineLevel="1" x14ac:dyDescent="0.2">
      <c r="A818" s="1207"/>
      <c r="B818" s="1207"/>
      <c r="C818" s="1207"/>
      <c r="E818" s="7"/>
      <c r="F818" s="7"/>
    </row>
    <row r="819" spans="1:6" ht="14.25" hidden="1" customHeight="1" outlineLevel="1" x14ac:dyDescent="0.2">
      <c r="A819" s="1207"/>
      <c r="B819" s="1207"/>
      <c r="C819" s="1207"/>
      <c r="E819" s="7"/>
      <c r="F819" s="7"/>
    </row>
    <row r="820" spans="1:6" ht="14.25" hidden="1" customHeight="1" outlineLevel="1" x14ac:dyDescent="0.2">
      <c r="A820" s="1207"/>
      <c r="B820" s="1207"/>
      <c r="C820" s="1207"/>
      <c r="E820" s="7"/>
      <c r="F820" s="7"/>
    </row>
    <row r="821" spans="1:6" ht="14.25" hidden="1" customHeight="1" outlineLevel="1" x14ac:dyDescent="0.2">
      <c r="A821" s="1207"/>
      <c r="B821" s="1207"/>
      <c r="C821" s="1207"/>
      <c r="E821" s="7"/>
      <c r="F821" s="7"/>
    </row>
    <row r="822" spans="1:6" ht="14.25" hidden="1" customHeight="1" outlineLevel="1" x14ac:dyDescent="0.2">
      <c r="A822" s="1207"/>
      <c r="B822" s="1207"/>
      <c r="C822" s="1207"/>
      <c r="E822" s="7"/>
      <c r="F822" s="7"/>
    </row>
    <row r="823" spans="1:6" ht="14.25" hidden="1" customHeight="1" outlineLevel="1" x14ac:dyDescent="0.2">
      <c r="A823" s="1207"/>
      <c r="B823" s="1207"/>
      <c r="C823" s="1207"/>
      <c r="E823" s="7"/>
      <c r="F823" s="7"/>
    </row>
    <row r="824" spans="1:6" ht="14.25" hidden="1" customHeight="1" outlineLevel="1" x14ac:dyDescent="0.2">
      <c r="A824" s="1207"/>
      <c r="B824" s="1207"/>
      <c r="C824" s="1207"/>
      <c r="E824" s="7"/>
      <c r="F824" s="7"/>
    </row>
    <row r="825" spans="1:6" ht="14.25" hidden="1" customHeight="1" outlineLevel="1" x14ac:dyDescent="0.2">
      <c r="A825" s="1207"/>
      <c r="B825" s="1207"/>
      <c r="C825" s="1207"/>
      <c r="E825" s="7"/>
      <c r="F825" s="7"/>
    </row>
    <row r="826" spans="1:6" ht="14.25" hidden="1" customHeight="1" outlineLevel="1" x14ac:dyDescent="0.2">
      <c r="A826" s="1207"/>
      <c r="B826" s="1207"/>
      <c r="C826" s="1207"/>
      <c r="E826" s="7"/>
      <c r="F826" s="7"/>
    </row>
    <row r="827" spans="1:6" ht="14.25" hidden="1" customHeight="1" outlineLevel="1" x14ac:dyDescent="0.2">
      <c r="A827" s="1207"/>
      <c r="B827" s="1207"/>
      <c r="C827" s="1207"/>
      <c r="E827" s="7"/>
      <c r="F827" s="7"/>
    </row>
    <row r="828" spans="1:6" ht="14.25" hidden="1" customHeight="1" outlineLevel="1" x14ac:dyDescent="0.2">
      <c r="A828" s="1207"/>
      <c r="B828" s="1207"/>
      <c r="C828" s="1207"/>
      <c r="E828" s="7"/>
      <c r="F828" s="7"/>
    </row>
    <row r="829" spans="1:6" ht="14.25" hidden="1" customHeight="1" outlineLevel="1" x14ac:dyDescent="0.2">
      <c r="A829" s="1207"/>
      <c r="B829" s="1207"/>
      <c r="C829" s="1207"/>
      <c r="E829" s="7"/>
      <c r="F829" s="7"/>
    </row>
    <row r="830" spans="1:6" ht="14.25" hidden="1" customHeight="1" outlineLevel="1" x14ac:dyDescent="0.2">
      <c r="A830" s="1207"/>
      <c r="B830" s="1207"/>
      <c r="C830" s="1207"/>
      <c r="E830" s="7"/>
      <c r="F830" s="7"/>
    </row>
    <row r="831" spans="1:6" ht="14.25" hidden="1" customHeight="1" outlineLevel="1" x14ac:dyDescent="0.2">
      <c r="A831" s="1207"/>
      <c r="B831" s="1207"/>
      <c r="C831" s="1207"/>
      <c r="E831" s="7"/>
      <c r="F831" s="7"/>
    </row>
    <row r="832" spans="1:6" ht="14.25" hidden="1" customHeight="1" outlineLevel="1" x14ac:dyDescent="0.2">
      <c r="A832" s="1207"/>
      <c r="B832" s="1207"/>
      <c r="C832" s="1207"/>
      <c r="E832" s="7"/>
      <c r="F832" s="7"/>
    </row>
    <row r="833" spans="1:6" ht="14.25" hidden="1" customHeight="1" outlineLevel="1" x14ac:dyDescent="0.2">
      <c r="A833" s="1207"/>
      <c r="B833" s="1207"/>
      <c r="C833" s="1207"/>
      <c r="E833" s="7"/>
      <c r="F833" s="7"/>
    </row>
    <row r="834" spans="1:6" ht="14.25" hidden="1" customHeight="1" outlineLevel="1" x14ac:dyDescent="0.2">
      <c r="A834" s="1207"/>
      <c r="B834" s="1207"/>
      <c r="C834" s="1207"/>
      <c r="E834" s="7"/>
      <c r="F834" s="7"/>
    </row>
    <row r="835" spans="1:6" ht="14.25" hidden="1" customHeight="1" outlineLevel="1" x14ac:dyDescent="0.2">
      <c r="A835" s="1207"/>
      <c r="B835" s="1207"/>
      <c r="C835" s="1207"/>
      <c r="E835" s="7"/>
      <c r="F835" s="7"/>
    </row>
    <row r="836" spans="1:6" ht="14.25" hidden="1" customHeight="1" outlineLevel="1" x14ac:dyDescent="0.2">
      <c r="A836" s="1207"/>
      <c r="B836" s="1207"/>
      <c r="C836" s="1207"/>
      <c r="E836" s="7"/>
      <c r="F836" s="7"/>
    </row>
    <row r="837" spans="1:6" ht="14.25" hidden="1" customHeight="1" outlineLevel="1" x14ac:dyDescent="0.2">
      <c r="A837" s="1207"/>
      <c r="B837" s="1207"/>
      <c r="C837" s="1207"/>
      <c r="E837" s="7"/>
      <c r="F837" s="7"/>
    </row>
    <row r="838" spans="1:6" ht="14.25" hidden="1" customHeight="1" outlineLevel="1" x14ac:dyDescent="0.2">
      <c r="A838" s="1207"/>
      <c r="B838" s="1207"/>
      <c r="C838" s="1207"/>
      <c r="E838" s="7"/>
      <c r="F838" s="7"/>
    </row>
    <row r="839" spans="1:6" ht="14.25" hidden="1" customHeight="1" outlineLevel="1" x14ac:dyDescent="0.2">
      <c r="A839" s="1207"/>
      <c r="B839" s="1207"/>
      <c r="C839" s="1207"/>
      <c r="E839" s="7"/>
      <c r="F839" s="7"/>
    </row>
    <row r="840" spans="1:6" ht="14.25" hidden="1" customHeight="1" outlineLevel="1" x14ac:dyDescent="0.2">
      <c r="A840" s="1207"/>
      <c r="B840" s="1207"/>
      <c r="C840" s="1207"/>
      <c r="E840" s="7"/>
      <c r="F840" s="7"/>
    </row>
    <row r="841" spans="1:6" ht="14.25" hidden="1" customHeight="1" outlineLevel="1" x14ac:dyDescent="0.2">
      <c r="A841" s="1207"/>
      <c r="B841" s="1207"/>
      <c r="C841" s="1207"/>
      <c r="E841" s="7"/>
      <c r="F841" s="7"/>
    </row>
    <row r="842" spans="1:6" ht="14.25" hidden="1" customHeight="1" outlineLevel="1" x14ac:dyDescent="0.2">
      <c r="A842" s="1207"/>
      <c r="B842" s="1207"/>
      <c r="C842" s="1207"/>
      <c r="E842" s="7"/>
      <c r="F842" s="7"/>
    </row>
    <row r="843" spans="1:6" ht="14.25" hidden="1" customHeight="1" outlineLevel="1" x14ac:dyDescent="0.2">
      <c r="A843" s="1207"/>
      <c r="B843" s="1207"/>
      <c r="C843" s="1207"/>
      <c r="E843" s="7"/>
      <c r="F843" s="7"/>
    </row>
    <row r="844" spans="1:6" ht="14.25" hidden="1" customHeight="1" outlineLevel="1" x14ac:dyDescent="0.2">
      <c r="A844" s="1207"/>
      <c r="B844" s="1207"/>
      <c r="C844" s="1207"/>
      <c r="E844" s="7"/>
      <c r="F844" s="7"/>
    </row>
    <row r="845" spans="1:6" ht="14.25" hidden="1" customHeight="1" outlineLevel="1" x14ac:dyDescent="0.2">
      <c r="A845" s="1207"/>
      <c r="B845" s="1207"/>
      <c r="C845" s="1207"/>
      <c r="E845" s="7"/>
      <c r="F845" s="7"/>
    </row>
    <row r="846" spans="1:6" ht="14.25" hidden="1" customHeight="1" outlineLevel="1" x14ac:dyDescent="0.2">
      <c r="A846" s="1207"/>
      <c r="B846" s="1207"/>
      <c r="C846" s="1207"/>
      <c r="E846" s="7"/>
      <c r="F846" s="7"/>
    </row>
    <row r="847" spans="1:6" ht="14.25" hidden="1" customHeight="1" outlineLevel="1" x14ac:dyDescent="0.2">
      <c r="A847" s="1207"/>
      <c r="B847" s="1207"/>
      <c r="C847" s="1207"/>
      <c r="E847" s="7"/>
      <c r="F847" s="7"/>
    </row>
    <row r="848" spans="1:6" ht="14.25" hidden="1" customHeight="1" outlineLevel="1" x14ac:dyDescent="0.2">
      <c r="A848" s="1207"/>
      <c r="B848" s="1207"/>
      <c r="C848" s="1207"/>
      <c r="E848" s="7"/>
      <c r="F848" s="7"/>
    </row>
    <row r="849" spans="1:6" ht="14.25" hidden="1" customHeight="1" outlineLevel="1" x14ac:dyDescent="0.2">
      <c r="A849" s="1207"/>
      <c r="B849" s="1207"/>
      <c r="C849" s="1207"/>
      <c r="E849" s="7"/>
      <c r="F849" s="7"/>
    </row>
    <row r="850" spans="1:6" ht="14.25" hidden="1" customHeight="1" outlineLevel="1" x14ac:dyDescent="0.2">
      <c r="A850" s="1207"/>
      <c r="B850" s="1207"/>
      <c r="C850" s="1207"/>
      <c r="E850" s="7"/>
      <c r="F850" s="7"/>
    </row>
    <row r="851" spans="1:6" ht="14.25" hidden="1" customHeight="1" outlineLevel="1" x14ac:dyDescent="0.2">
      <c r="A851" s="1207"/>
      <c r="B851" s="1207"/>
      <c r="C851" s="1207"/>
      <c r="E851" s="7"/>
      <c r="F851" s="7"/>
    </row>
    <row r="852" spans="1:6" ht="14.25" hidden="1" customHeight="1" outlineLevel="1" x14ac:dyDescent="0.2">
      <c r="A852" s="1207"/>
      <c r="B852" s="1207"/>
      <c r="C852" s="1207"/>
      <c r="E852" s="7"/>
      <c r="F852" s="7"/>
    </row>
    <row r="853" spans="1:6" ht="14.25" hidden="1" customHeight="1" outlineLevel="1" x14ac:dyDescent="0.2">
      <c r="A853" s="1207"/>
      <c r="B853" s="1207"/>
      <c r="C853" s="1207"/>
      <c r="E853" s="7"/>
      <c r="F853" s="7"/>
    </row>
    <row r="854" spans="1:6" ht="14.25" hidden="1" customHeight="1" outlineLevel="1" x14ac:dyDescent="0.2">
      <c r="A854" s="1207"/>
      <c r="B854" s="1207"/>
      <c r="C854" s="1207"/>
      <c r="E854" s="7"/>
      <c r="F854" s="7"/>
    </row>
    <row r="855" spans="1:6" ht="14.25" hidden="1" customHeight="1" outlineLevel="1" x14ac:dyDescent="0.2">
      <c r="A855" s="1207"/>
      <c r="B855" s="1207"/>
      <c r="C855" s="1207"/>
      <c r="E855" s="7"/>
      <c r="F855" s="7"/>
    </row>
    <row r="856" spans="1:6" ht="14.25" hidden="1" customHeight="1" outlineLevel="1" x14ac:dyDescent="0.2">
      <c r="A856" s="1207"/>
      <c r="B856" s="1207"/>
      <c r="C856" s="1207"/>
      <c r="E856" s="7"/>
      <c r="F856" s="7"/>
    </row>
    <row r="857" spans="1:6" ht="14.25" hidden="1" customHeight="1" outlineLevel="1" x14ac:dyDescent="0.2">
      <c r="A857" s="1207"/>
      <c r="B857" s="1207"/>
      <c r="C857" s="1207"/>
      <c r="E857" s="7"/>
      <c r="F857" s="7"/>
    </row>
    <row r="858" spans="1:6" ht="14.25" hidden="1" customHeight="1" outlineLevel="1" x14ac:dyDescent="0.2">
      <c r="A858" s="1207"/>
      <c r="B858" s="1207"/>
      <c r="C858" s="1207"/>
      <c r="E858" s="7"/>
      <c r="F858" s="7"/>
    </row>
    <row r="859" spans="1:6" ht="14.25" hidden="1" customHeight="1" outlineLevel="1" x14ac:dyDescent="0.2">
      <c r="A859" s="1207"/>
      <c r="B859" s="1207"/>
      <c r="C859" s="1207"/>
      <c r="E859" s="7"/>
      <c r="F859" s="7"/>
    </row>
    <row r="860" spans="1:6" ht="14.25" hidden="1" customHeight="1" outlineLevel="1" x14ac:dyDescent="0.2">
      <c r="A860" s="1207"/>
      <c r="B860" s="1207"/>
      <c r="C860" s="1207"/>
      <c r="E860" s="7"/>
      <c r="F860" s="7"/>
    </row>
    <row r="861" spans="1:6" ht="14.25" hidden="1" customHeight="1" outlineLevel="1" x14ac:dyDescent="0.2">
      <c r="A861" s="1207"/>
      <c r="B861" s="1207"/>
      <c r="C861" s="1207"/>
      <c r="E861" s="7"/>
      <c r="F861" s="7"/>
    </row>
    <row r="862" spans="1:6" ht="14.25" hidden="1" customHeight="1" outlineLevel="1" x14ac:dyDescent="0.2">
      <c r="A862" s="1207"/>
      <c r="B862" s="1207"/>
      <c r="C862" s="1207"/>
      <c r="E862" s="7"/>
      <c r="F862" s="7"/>
    </row>
    <row r="863" spans="1:6" ht="14.25" hidden="1" customHeight="1" outlineLevel="1" x14ac:dyDescent="0.2">
      <c r="A863" s="1207"/>
      <c r="B863" s="1207"/>
      <c r="C863" s="1207"/>
      <c r="E863" s="7"/>
      <c r="F863" s="7"/>
    </row>
    <row r="864" spans="1:6" ht="14.25" hidden="1" customHeight="1" outlineLevel="1" x14ac:dyDescent="0.2">
      <c r="A864" s="1207"/>
      <c r="B864" s="1207"/>
      <c r="C864" s="1207"/>
      <c r="E864" s="7"/>
      <c r="F864" s="7"/>
    </row>
    <row r="865" spans="1:6" ht="14.25" hidden="1" customHeight="1" outlineLevel="1" x14ac:dyDescent="0.2">
      <c r="A865" s="1207"/>
      <c r="B865" s="1207"/>
      <c r="C865" s="1207"/>
      <c r="E865" s="7"/>
      <c r="F865" s="7"/>
    </row>
    <row r="866" spans="1:6" ht="14.25" hidden="1" customHeight="1" outlineLevel="1" x14ac:dyDescent="0.2">
      <c r="A866" s="1207"/>
      <c r="B866" s="1207"/>
      <c r="C866" s="1207"/>
      <c r="E866" s="7"/>
      <c r="F866" s="7"/>
    </row>
    <row r="867" spans="1:6" ht="14.25" hidden="1" customHeight="1" outlineLevel="1" x14ac:dyDescent="0.2">
      <c r="A867" s="1207"/>
      <c r="B867" s="1207"/>
      <c r="C867" s="1207"/>
      <c r="E867" s="7"/>
      <c r="F867" s="7"/>
    </row>
    <row r="868" spans="1:6" ht="14.25" hidden="1" customHeight="1" outlineLevel="1" x14ac:dyDescent="0.2">
      <c r="A868" s="1207"/>
      <c r="B868" s="1207"/>
      <c r="C868" s="1207"/>
      <c r="E868" s="7"/>
      <c r="F868" s="7"/>
    </row>
    <row r="869" spans="1:6" ht="14.25" hidden="1" customHeight="1" outlineLevel="1" x14ac:dyDescent="0.2">
      <c r="A869" s="1207"/>
      <c r="B869" s="1207"/>
      <c r="C869" s="1207"/>
      <c r="E869" s="7"/>
      <c r="F869" s="7"/>
    </row>
    <row r="870" spans="1:6" ht="14.25" hidden="1" customHeight="1" outlineLevel="1" x14ac:dyDescent="0.2">
      <c r="A870" s="1207"/>
      <c r="B870" s="1207"/>
      <c r="C870" s="1207"/>
      <c r="E870" s="7"/>
      <c r="F870" s="7"/>
    </row>
    <row r="871" spans="1:6" ht="14.25" hidden="1" customHeight="1" outlineLevel="1" x14ac:dyDescent="0.2">
      <c r="A871" s="1207"/>
      <c r="B871" s="1207"/>
      <c r="C871" s="1207"/>
      <c r="E871" s="7"/>
      <c r="F871" s="7"/>
    </row>
    <row r="872" spans="1:6" ht="14.25" hidden="1" customHeight="1" outlineLevel="1" x14ac:dyDescent="0.2">
      <c r="A872" s="1207"/>
      <c r="B872" s="1207"/>
      <c r="C872" s="1207"/>
      <c r="E872" s="7"/>
      <c r="F872" s="7"/>
    </row>
    <row r="873" spans="1:6" ht="14.25" hidden="1" customHeight="1" outlineLevel="1" x14ac:dyDescent="0.2">
      <c r="A873" s="1207"/>
      <c r="B873" s="1207"/>
      <c r="C873" s="1207"/>
      <c r="E873" s="7"/>
      <c r="F873" s="7"/>
    </row>
    <row r="874" spans="1:6" ht="14.25" hidden="1" customHeight="1" outlineLevel="1" x14ac:dyDescent="0.2">
      <c r="A874" s="1207"/>
      <c r="B874" s="1207"/>
      <c r="C874" s="1207"/>
      <c r="E874" s="7"/>
      <c r="F874" s="7"/>
    </row>
    <row r="875" spans="1:6" ht="14.25" hidden="1" customHeight="1" outlineLevel="1" x14ac:dyDescent="0.2">
      <c r="A875" s="1207"/>
      <c r="B875" s="1207"/>
      <c r="C875" s="1207"/>
      <c r="E875" s="7"/>
      <c r="F875" s="7"/>
    </row>
    <row r="876" spans="1:6" ht="14.25" hidden="1" customHeight="1" outlineLevel="1" x14ac:dyDescent="0.2">
      <c r="A876" s="1207"/>
      <c r="B876" s="1207"/>
      <c r="C876" s="1207"/>
      <c r="E876" s="7"/>
      <c r="F876" s="7"/>
    </row>
    <row r="877" spans="1:6" ht="14.25" hidden="1" customHeight="1" outlineLevel="1" x14ac:dyDescent="0.2">
      <c r="A877" s="1207"/>
      <c r="B877" s="1207"/>
      <c r="C877" s="1207"/>
      <c r="E877" s="7"/>
      <c r="F877" s="7"/>
    </row>
    <row r="878" spans="1:6" ht="14.25" hidden="1" customHeight="1" outlineLevel="1" x14ac:dyDescent="0.2">
      <c r="A878" s="1207"/>
      <c r="B878" s="1207"/>
      <c r="C878" s="1207"/>
      <c r="E878" s="7"/>
      <c r="F878" s="7"/>
    </row>
    <row r="879" spans="1:6" ht="14.25" hidden="1" customHeight="1" outlineLevel="1" x14ac:dyDescent="0.2">
      <c r="A879" s="1207"/>
      <c r="B879" s="1207"/>
      <c r="C879" s="1207"/>
      <c r="E879" s="7"/>
      <c r="F879" s="7"/>
    </row>
    <row r="880" spans="1:6" ht="14.25" hidden="1" customHeight="1" outlineLevel="1" x14ac:dyDescent="0.2">
      <c r="A880" s="1207"/>
      <c r="B880" s="1207"/>
      <c r="C880" s="1207"/>
      <c r="E880" s="7"/>
      <c r="F880" s="7"/>
    </row>
    <row r="881" spans="1:6" ht="14.25" hidden="1" customHeight="1" outlineLevel="1" x14ac:dyDescent="0.2">
      <c r="A881" s="1207"/>
      <c r="B881" s="1207"/>
      <c r="C881" s="1207"/>
      <c r="E881" s="7"/>
      <c r="F881" s="7"/>
    </row>
    <row r="882" spans="1:6" ht="14.25" hidden="1" customHeight="1" outlineLevel="1" x14ac:dyDescent="0.2">
      <c r="A882" s="1207"/>
      <c r="B882" s="1207"/>
      <c r="C882" s="1207"/>
      <c r="E882" s="7"/>
      <c r="F882" s="7"/>
    </row>
    <row r="883" spans="1:6" ht="14.25" hidden="1" customHeight="1" outlineLevel="1" x14ac:dyDescent="0.2">
      <c r="A883" s="1207"/>
      <c r="B883" s="1207"/>
      <c r="C883" s="1207"/>
      <c r="E883" s="7"/>
      <c r="F883" s="7"/>
    </row>
    <row r="884" spans="1:6" ht="14.25" hidden="1" customHeight="1" outlineLevel="1" x14ac:dyDescent="0.2">
      <c r="A884" s="1207"/>
      <c r="B884" s="1207"/>
      <c r="C884" s="1207"/>
      <c r="E884" s="7"/>
      <c r="F884" s="7"/>
    </row>
    <row r="885" spans="1:6" ht="14.25" hidden="1" customHeight="1" outlineLevel="1" x14ac:dyDescent="0.2">
      <c r="A885" s="1207"/>
      <c r="B885" s="1207"/>
      <c r="C885" s="1207"/>
      <c r="E885" s="7"/>
      <c r="F885" s="7"/>
    </row>
    <row r="886" spans="1:6" ht="14.25" hidden="1" customHeight="1" outlineLevel="1" x14ac:dyDescent="0.2">
      <c r="A886" s="1207"/>
      <c r="B886" s="1207"/>
      <c r="C886" s="1207"/>
      <c r="E886" s="7"/>
      <c r="F886" s="7"/>
    </row>
    <row r="887" spans="1:6" ht="14.25" hidden="1" customHeight="1" outlineLevel="1" x14ac:dyDescent="0.2">
      <c r="A887" s="1207"/>
      <c r="B887" s="1207"/>
      <c r="C887" s="1207"/>
      <c r="E887" s="7"/>
      <c r="F887" s="7"/>
    </row>
    <row r="888" spans="1:6" ht="14.25" hidden="1" customHeight="1" outlineLevel="1" x14ac:dyDescent="0.2">
      <c r="A888" s="1207"/>
      <c r="B888" s="1207"/>
      <c r="C888" s="1207"/>
      <c r="E888" s="7"/>
      <c r="F888" s="7"/>
    </row>
    <row r="889" spans="1:6" ht="14.25" hidden="1" customHeight="1" outlineLevel="1" x14ac:dyDescent="0.2">
      <c r="A889" s="1207"/>
      <c r="B889" s="1207"/>
      <c r="C889" s="1207"/>
      <c r="E889" s="7"/>
      <c r="F889" s="7"/>
    </row>
    <row r="890" spans="1:6" ht="14.25" hidden="1" customHeight="1" outlineLevel="1" x14ac:dyDescent="0.2">
      <c r="A890" s="1207"/>
      <c r="B890" s="1207"/>
      <c r="C890" s="1207"/>
      <c r="E890" s="7"/>
      <c r="F890" s="7"/>
    </row>
    <row r="891" spans="1:6" ht="14.25" hidden="1" customHeight="1" outlineLevel="1" x14ac:dyDescent="0.2">
      <c r="A891" s="1207"/>
      <c r="B891" s="1207"/>
      <c r="C891" s="1207"/>
      <c r="E891" s="7"/>
      <c r="F891" s="7"/>
    </row>
    <row r="892" spans="1:6" ht="14.25" hidden="1" customHeight="1" outlineLevel="1" x14ac:dyDescent="0.2">
      <c r="A892" s="1207"/>
      <c r="B892" s="1207"/>
      <c r="C892" s="1207"/>
      <c r="E892" s="7"/>
      <c r="F892" s="7"/>
    </row>
    <row r="893" spans="1:6" ht="14.25" hidden="1" customHeight="1" outlineLevel="1" x14ac:dyDescent="0.2">
      <c r="A893" s="1207"/>
      <c r="B893" s="1207"/>
      <c r="C893" s="1207"/>
      <c r="E893" s="7"/>
      <c r="F893" s="7"/>
    </row>
    <row r="894" spans="1:6" ht="14.25" hidden="1" customHeight="1" outlineLevel="1" x14ac:dyDescent="0.2">
      <c r="A894" s="1207"/>
      <c r="B894" s="1207"/>
      <c r="C894" s="1207"/>
      <c r="E894" s="7"/>
      <c r="F894" s="7"/>
    </row>
    <row r="895" spans="1:6" ht="14.25" hidden="1" customHeight="1" outlineLevel="1" x14ac:dyDescent="0.2">
      <c r="A895" s="1207"/>
      <c r="B895" s="1207"/>
      <c r="C895" s="1207"/>
      <c r="E895" s="7"/>
      <c r="F895" s="7"/>
    </row>
    <row r="896" spans="1:6" ht="14.25" hidden="1" customHeight="1" outlineLevel="1" x14ac:dyDescent="0.2">
      <c r="A896" s="1207"/>
      <c r="B896" s="1207"/>
      <c r="C896" s="1207"/>
      <c r="E896" s="7"/>
      <c r="F896" s="7"/>
    </row>
    <row r="897" spans="1:6" ht="14.25" hidden="1" customHeight="1" outlineLevel="1" x14ac:dyDescent="0.2">
      <c r="A897" s="1207"/>
      <c r="B897" s="1207"/>
      <c r="C897" s="1207"/>
      <c r="E897" s="7"/>
      <c r="F897" s="7"/>
    </row>
    <row r="898" spans="1:6" ht="14.25" hidden="1" customHeight="1" outlineLevel="1" x14ac:dyDescent="0.2">
      <c r="A898" s="1207"/>
      <c r="B898" s="1207"/>
      <c r="C898" s="1207"/>
      <c r="E898" s="7"/>
      <c r="F898" s="7"/>
    </row>
    <row r="899" spans="1:6" ht="14.25" hidden="1" customHeight="1" outlineLevel="1" x14ac:dyDescent="0.2">
      <c r="A899" s="1207"/>
      <c r="B899" s="1207"/>
      <c r="C899" s="1207"/>
      <c r="E899" s="7"/>
      <c r="F899" s="7"/>
    </row>
    <row r="900" spans="1:6" ht="14.25" hidden="1" customHeight="1" outlineLevel="1" x14ac:dyDescent="0.2">
      <c r="A900" s="1207"/>
      <c r="B900" s="1207"/>
      <c r="C900" s="1207"/>
      <c r="E900" s="7"/>
      <c r="F900" s="7"/>
    </row>
    <row r="901" spans="1:6" ht="14.25" hidden="1" customHeight="1" outlineLevel="1" x14ac:dyDescent="0.2">
      <c r="A901" s="1207"/>
      <c r="B901" s="1207"/>
      <c r="C901" s="1207"/>
      <c r="E901" s="7"/>
      <c r="F901" s="7"/>
    </row>
    <row r="902" spans="1:6" ht="14.25" hidden="1" customHeight="1" outlineLevel="1" x14ac:dyDescent="0.2">
      <c r="A902" s="1207"/>
      <c r="B902" s="1207"/>
      <c r="C902" s="1207"/>
      <c r="E902" s="7"/>
      <c r="F902" s="7"/>
    </row>
    <row r="903" spans="1:6" ht="14.25" hidden="1" customHeight="1" outlineLevel="1" x14ac:dyDescent="0.2">
      <c r="A903" s="1207"/>
      <c r="B903" s="1207"/>
      <c r="C903" s="1207"/>
      <c r="E903" s="7"/>
      <c r="F903" s="7"/>
    </row>
    <row r="904" spans="1:6" ht="14.25" hidden="1" customHeight="1" outlineLevel="1" x14ac:dyDescent="0.2">
      <c r="A904" s="1207"/>
      <c r="B904" s="1207"/>
      <c r="C904" s="1207"/>
      <c r="E904" s="7"/>
      <c r="F904" s="7"/>
    </row>
    <row r="905" spans="1:6" ht="14.25" hidden="1" customHeight="1" outlineLevel="1" x14ac:dyDescent="0.2">
      <c r="A905" s="1207"/>
      <c r="B905" s="1207"/>
      <c r="C905" s="1207"/>
      <c r="E905" s="7"/>
      <c r="F905" s="7"/>
    </row>
    <row r="906" spans="1:6" ht="14.25" hidden="1" customHeight="1" outlineLevel="1" x14ac:dyDescent="0.2">
      <c r="A906" s="1207"/>
      <c r="B906" s="1207"/>
      <c r="C906" s="1207"/>
      <c r="E906" s="7"/>
      <c r="F906" s="7"/>
    </row>
    <row r="907" spans="1:6" ht="14.25" hidden="1" customHeight="1" outlineLevel="1" x14ac:dyDescent="0.2">
      <c r="A907" s="1207"/>
      <c r="B907" s="1207"/>
      <c r="C907" s="1207"/>
      <c r="E907" s="7"/>
      <c r="F907" s="7"/>
    </row>
    <row r="908" spans="1:6" ht="14.25" hidden="1" customHeight="1" outlineLevel="1" x14ac:dyDescent="0.2">
      <c r="A908" s="1207"/>
      <c r="B908" s="1207"/>
      <c r="C908" s="1207"/>
      <c r="E908" s="7"/>
      <c r="F908" s="7"/>
    </row>
    <row r="909" spans="1:6" ht="14.25" hidden="1" customHeight="1" outlineLevel="1" x14ac:dyDescent="0.2">
      <c r="A909" s="1207"/>
      <c r="B909" s="1207"/>
      <c r="C909" s="1207"/>
      <c r="E909" s="7"/>
      <c r="F909" s="7"/>
    </row>
    <row r="910" spans="1:6" ht="14.25" hidden="1" customHeight="1" outlineLevel="1" x14ac:dyDescent="0.2">
      <c r="A910" s="1207"/>
      <c r="B910" s="1207"/>
      <c r="C910" s="1207"/>
      <c r="E910" s="7"/>
      <c r="F910" s="7"/>
    </row>
    <row r="911" spans="1:6" ht="14.25" hidden="1" customHeight="1" outlineLevel="1" x14ac:dyDescent="0.2">
      <c r="A911" s="1207"/>
      <c r="B911" s="1207"/>
      <c r="C911" s="1207"/>
      <c r="E911" s="7"/>
      <c r="F911" s="7"/>
    </row>
    <row r="912" spans="1:6" ht="14.25" hidden="1" customHeight="1" outlineLevel="1" x14ac:dyDescent="0.2">
      <c r="A912" s="1207"/>
      <c r="B912" s="1207"/>
      <c r="C912" s="1207"/>
      <c r="E912" s="7"/>
      <c r="F912" s="7"/>
    </row>
    <row r="913" spans="1:6" ht="14.25" hidden="1" customHeight="1" outlineLevel="1" x14ac:dyDescent="0.2">
      <c r="A913" s="1207"/>
      <c r="B913" s="1207"/>
      <c r="C913" s="1207"/>
      <c r="E913" s="7"/>
      <c r="F913" s="7"/>
    </row>
    <row r="914" spans="1:6" ht="14.25" hidden="1" customHeight="1" outlineLevel="1" x14ac:dyDescent="0.2">
      <c r="A914" s="1207"/>
      <c r="B914" s="1207"/>
      <c r="C914" s="1207"/>
      <c r="E914" s="7"/>
      <c r="F914" s="7"/>
    </row>
    <row r="915" spans="1:6" ht="14.25" hidden="1" customHeight="1" outlineLevel="1" x14ac:dyDescent="0.2">
      <c r="A915" s="1207"/>
      <c r="B915" s="1207"/>
      <c r="C915" s="1207"/>
      <c r="E915" s="7"/>
      <c r="F915" s="7"/>
    </row>
    <row r="916" spans="1:6" ht="14.25" hidden="1" customHeight="1" outlineLevel="1" x14ac:dyDescent="0.2">
      <c r="A916" s="1207"/>
      <c r="B916" s="1207"/>
      <c r="C916" s="1207"/>
      <c r="E916" s="7"/>
      <c r="F916" s="7"/>
    </row>
    <row r="917" spans="1:6" ht="14.25" hidden="1" customHeight="1" outlineLevel="1" x14ac:dyDescent="0.2">
      <c r="A917" s="1207"/>
      <c r="B917" s="1207"/>
      <c r="C917" s="1207"/>
      <c r="E917" s="7"/>
      <c r="F917" s="7"/>
    </row>
    <row r="918" spans="1:6" ht="14.25" hidden="1" customHeight="1" outlineLevel="1" x14ac:dyDescent="0.2">
      <c r="A918" s="1207"/>
      <c r="B918" s="1207"/>
      <c r="C918" s="1207"/>
      <c r="E918" s="7"/>
      <c r="F918" s="7"/>
    </row>
    <row r="919" spans="1:6" ht="14.25" hidden="1" customHeight="1" outlineLevel="1" x14ac:dyDescent="0.2">
      <c r="A919" s="1207"/>
      <c r="B919" s="1207"/>
      <c r="C919" s="1207"/>
      <c r="E919" s="7"/>
      <c r="F919" s="7"/>
    </row>
    <row r="920" spans="1:6" ht="14.25" hidden="1" customHeight="1" outlineLevel="1" x14ac:dyDescent="0.2">
      <c r="A920" s="1207"/>
      <c r="B920" s="1207"/>
      <c r="C920" s="1207"/>
      <c r="E920" s="7"/>
      <c r="F920" s="7"/>
    </row>
    <row r="921" spans="1:6" ht="14.25" hidden="1" customHeight="1" outlineLevel="1" x14ac:dyDescent="0.2">
      <c r="A921" s="1207"/>
      <c r="B921" s="1207"/>
      <c r="C921" s="1207"/>
      <c r="E921" s="7"/>
      <c r="F921" s="7"/>
    </row>
    <row r="922" spans="1:6" ht="14.25" hidden="1" customHeight="1" outlineLevel="1" x14ac:dyDescent="0.2">
      <c r="A922" s="1207"/>
      <c r="B922" s="1207"/>
      <c r="C922" s="1207"/>
      <c r="E922" s="7"/>
      <c r="F922" s="7"/>
    </row>
    <row r="923" spans="1:6" ht="14.25" hidden="1" customHeight="1" outlineLevel="1" x14ac:dyDescent="0.2">
      <c r="A923" s="1207"/>
      <c r="B923" s="1207"/>
      <c r="C923" s="1207"/>
      <c r="E923" s="7"/>
      <c r="F923" s="7"/>
    </row>
    <row r="924" spans="1:6" ht="14.25" hidden="1" customHeight="1" outlineLevel="1" x14ac:dyDescent="0.2">
      <c r="A924" s="1207"/>
      <c r="B924" s="1207"/>
      <c r="C924" s="1207"/>
      <c r="E924" s="7"/>
      <c r="F924" s="7"/>
    </row>
    <row r="925" spans="1:6" ht="14.25" hidden="1" customHeight="1" outlineLevel="1" x14ac:dyDescent="0.2">
      <c r="A925" s="1207"/>
      <c r="B925" s="1207"/>
      <c r="C925" s="1207"/>
      <c r="E925" s="7"/>
      <c r="F925" s="7"/>
    </row>
    <row r="926" spans="1:6" ht="14.25" hidden="1" customHeight="1" outlineLevel="1" x14ac:dyDescent="0.2">
      <c r="A926" s="1207"/>
      <c r="B926" s="1207"/>
      <c r="C926" s="1207"/>
      <c r="E926" s="7"/>
      <c r="F926" s="7"/>
    </row>
    <row r="927" spans="1:6" ht="14.25" hidden="1" customHeight="1" outlineLevel="1" x14ac:dyDescent="0.2">
      <c r="A927" s="1207"/>
      <c r="B927" s="1207"/>
      <c r="C927" s="1207"/>
      <c r="E927" s="7"/>
      <c r="F927" s="7"/>
    </row>
    <row r="928" spans="1:6" ht="14.25" hidden="1" customHeight="1" outlineLevel="1" x14ac:dyDescent="0.2">
      <c r="A928" s="1207"/>
      <c r="B928" s="1207"/>
      <c r="C928" s="1207"/>
      <c r="E928" s="7"/>
      <c r="F928" s="7"/>
    </row>
    <row r="929" spans="1:6" ht="14.25" hidden="1" customHeight="1" outlineLevel="1" x14ac:dyDescent="0.2">
      <c r="A929" s="1207"/>
      <c r="B929" s="1207"/>
      <c r="C929" s="1207"/>
      <c r="E929" s="7"/>
      <c r="F929" s="7"/>
    </row>
    <row r="930" spans="1:6" ht="14.25" hidden="1" customHeight="1" outlineLevel="1" x14ac:dyDescent="0.2">
      <c r="A930" s="1207"/>
      <c r="B930" s="1207"/>
      <c r="C930" s="1207"/>
      <c r="E930" s="7"/>
      <c r="F930" s="7"/>
    </row>
    <row r="931" spans="1:6" ht="14.25" hidden="1" customHeight="1" outlineLevel="1" x14ac:dyDescent="0.2">
      <c r="A931" s="1207"/>
      <c r="B931" s="1207"/>
      <c r="C931" s="1207"/>
      <c r="E931" s="7"/>
      <c r="F931" s="7"/>
    </row>
    <row r="932" spans="1:6" ht="14.25" hidden="1" customHeight="1" outlineLevel="1" x14ac:dyDescent="0.2">
      <c r="A932" s="1207"/>
      <c r="B932" s="1207"/>
      <c r="C932" s="1207"/>
      <c r="E932" s="7"/>
      <c r="F932" s="7"/>
    </row>
    <row r="933" spans="1:6" ht="14.25" hidden="1" customHeight="1" outlineLevel="1" x14ac:dyDescent="0.2">
      <c r="A933" s="1207"/>
      <c r="B933" s="1207"/>
      <c r="C933" s="1207"/>
      <c r="E933" s="7"/>
      <c r="F933" s="7"/>
    </row>
    <row r="934" spans="1:6" ht="14.25" hidden="1" customHeight="1" outlineLevel="1" x14ac:dyDescent="0.2">
      <c r="A934" s="1207"/>
      <c r="B934" s="1207"/>
      <c r="C934" s="1207"/>
      <c r="E934" s="7"/>
      <c r="F934" s="7"/>
    </row>
    <row r="935" spans="1:6" ht="14.25" hidden="1" customHeight="1" outlineLevel="1" x14ac:dyDescent="0.2">
      <c r="A935" s="1207"/>
      <c r="B935" s="1207"/>
      <c r="C935" s="1207"/>
      <c r="E935" s="7"/>
      <c r="F935" s="7"/>
    </row>
    <row r="936" spans="1:6" ht="14.25" hidden="1" customHeight="1" outlineLevel="1" x14ac:dyDescent="0.2">
      <c r="A936" s="1207"/>
      <c r="B936" s="1207"/>
      <c r="C936" s="1207"/>
      <c r="E936" s="7"/>
      <c r="F936" s="7"/>
    </row>
    <row r="937" spans="1:6" ht="14.25" hidden="1" customHeight="1" outlineLevel="1" x14ac:dyDescent="0.2">
      <c r="A937" s="1207"/>
      <c r="B937" s="1207"/>
      <c r="C937" s="1207"/>
      <c r="E937" s="7"/>
      <c r="F937" s="7"/>
    </row>
    <row r="938" spans="1:6" ht="14.25" hidden="1" customHeight="1" outlineLevel="1" x14ac:dyDescent="0.2">
      <c r="A938" s="1207"/>
      <c r="B938" s="1207"/>
      <c r="C938" s="1207"/>
      <c r="E938" s="7"/>
      <c r="F938" s="7"/>
    </row>
    <row r="939" spans="1:6" ht="14.25" hidden="1" customHeight="1" outlineLevel="1" x14ac:dyDescent="0.2">
      <c r="A939" s="1207"/>
      <c r="B939" s="1207"/>
      <c r="C939" s="1207"/>
      <c r="E939" s="7"/>
      <c r="F939" s="7"/>
    </row>
    <row r="940" spans="1:6" ht="14.25" hidden="1" customHeight="1" outlineLevel="1" x14ac:dyDescent="0.2">
      <c r="A940" s="1207"/>
      <c r="B940" s="1207"/>
      <c r="C940" s="1207"/>
      <c r="E940" s="7"/>
      <c r="F940" s="7"/>
    </row>
    <row r="941" spans="1:6" ht="14.25" hidden="1" customHeight="1" outlineLevel="1" x14ac:dyDescent="0.2">
      <c r="A941" s="1207"/>
      <c r="B941" s="1207"/>
      <c r="C941" s="1207"/>
      <c r="E941" s="7"/>
      <c r="F941" s="7"/>
    </row>
    <row r="942" spans="1:6" ht="14.25" hidden="1" customHeight="1" outlineLevel="1" x14ac:dyDescent="0.2">
      <c r="A942" s="1207"/>
      <c r="B942" s="1207"/>
      <c r="C942" s="1207"/>
      <c r="E942" s="7"/>
      <c r="F942" s="7"/>
    </row>
    <row r="943" spans="1:6" ht="14.25" hidden="1" customHeight="1" outlineLevel="1" x14ac:dyDescent="0.2">
      <c r="A943" s="1207"/>
      <c r="B943" s="1207"/>
      <c r="C943" s="1207"/>
      <c r="E943" s="7"/>
      <c r="F943" s="7"/>
    </row>
    <row r="944" spans="1:6" ht="14.25" hidden="1" customHeight="1" outlineLevel="1" x14ac:dyDescent="0.2">
      <c r="A944" s="1207"/>
      <c r="B944" s="1207"/>
      <c r="C944" s="1207"/>
      <c r="E944" s="7"/>
      <c r="F944" s="7"/>
    </row>
    <row r="945" spans="1:6" ht="14.25" hidden="1" customHeight="1" outlineLevel="1" x14ac:dyDescent="0.2">
      <c r="A945" s="1207"/>
      <c r="B945" s="1207"/>
      <c r="C945" s="1207"/>
      <c r="E945" s="7"/>
      <c r="F945" s="7"/>
    </row>
    <row r="946" spans="1:6" ht="14.25" hidden="1" customHeight="1" outlineLevel="1" x14ac:dyDescent="0.2">
      <c r="A946" s="1207"/>
      <c r="B946" s="1207"/>
      <c r="C946" s="1207"/>
      <c r="E946" s="7"/>
      <c r="F946" s="7"/>
    </row>
    <row r="947" spans="1:6" ht="14.25" hidden="1" customHeight="1" outlineLevel="1" x14ac:dyDescent="0.2">
      <c r="A947" s="1207"/>
      <c r="B947" s="1207"/>
      <c r="C947" s="1207"/>
      <c r="E947" s="7"/>
      <c r="F947" s="7"/>
    </row>
    <row r="948" spans="1:6" ht="14.25" hidden="1" customHeight="1" outlineLevel="1" x14ac:dyDescent="0.2">
      <c r="A948" s="1207"/>
      <c r="B948" s="1207"/>
      <c r="C948" s="1207"/>
      <c r="E948" s="7"/>
      <c r="F948" s="7"/>
    </row>
    <row r="949" spans="1:6" ht="14.25" hidden="1" customHeight="1" outlineLevel="1" x14ac:dyDescent="0.2">
      <c r="A949" s="1207"/>
      <c r="B949" s="1207"/>
      <c r="C949" s="1207"/>
      <c r="E949" s="7"/>
      <c r="F949" s="7"/>
    </row>
    <row r="950" spans="1:6" ht="14.25" hidden="1" customHeight="1" outlineLevel="1" x14ac:dyDescent="0.2">
      <c r="A950" s="1207"/>
      <c r="B950" s="1207"/>
      <c r="C950" s="1207"/>
      <c r="E950" s="7"/>
      <c r="F950" s="7"/>
    </row>
    <row r="951" spans="1:6" ht="14.25" hidden="1" customHeight="1" outlineLevel="1" x14ac:dyDescent="0.2">
      <c r="A951" s="1207"/>
      <c r="B951" s="1207"/>
      <c r="C951" s="1207"/>
      <c r="E951" s="7"/>
      <c r="F951" s="7"/>
    </row>
    <row r="952" spans="1:6" ht="14.25" hidden="1" customHeight="1" outlineLevel="1" x14ac:dyDescent="0.2">
      <c r="A952" s="1207"/>
      <c r="B952" s="1207"/>
      <c r="C952" s="1207"/>
      <c r="E952" s="7"/>
      <c r="F952" s="7"/>
    </row>
    <row r="953" spans="1:6" ht="14.25" hidden="1" customHeight="1" outlineLevel="1" x14ac:dyDescent="0.2">
      <c r="A953" s="1207"/>
      <c r="B953" s="1207"/>
      <c r="C953" s="1207"/>
      <c r="E953" s="7"/>
      <c r="F953" s="7"/>
    </row>
    <row r="954" spans="1:6" ht="14.25" hidden="1" customHeight="1" outlineLevel="1" x14ac:dyDescent="0.2">
      <c r="A954" s="1207"/>
      <c r="B954" s="1207"/>
      <c r="C954" s="1207"/>
      <c r="E954" s="7"/>
      <c r="F954" s="7"/>
    </row>
    <row r="955" spans="1:6" ht="14.25" hidden="1" customHeight="1" outlineLevel="1" x14ac:dyDescent="0.2">
      <c r="A955" s="1207"/>
      <c r="B955" s="1207"/>
      <c r="C955" s="1207"/>
      <c r="E955" s="7"/>
      <c r="F955" s="7"/>
    </row>
    <row r="956" spans="1:6" ht="14.25" hidden="1" customHeight="1" outlineLevel="1" x14ac:dyDescent="0.2">
      <c r="A956" s="1207"/>
      <c r="B956" s="1207"/>
      <c r="C956" s="1207"/>
      <c r="E956" s="7"/>
      <c r="F956" s="7"/>
    </row>
    <row r="957" spans="1:6" ht="14.25" hidden="1" customHeight="1" outlineLevel="1" x14ac:dyDescent="0.2">
      <c r="A957" s="1207"/>
      <c r="B957" s="1207"/>
      <c r="C957" s="1207"/>
      <c r="E957" s="7"/>
      <c r="F957" s="7"/>
    </row>
    <row r="958" spans="1:6" ht="14.25" hidden="1" customHeight="1" outlineLevel="1" x14ac:dyDescent="0.2">
      <c r="A958" s="1207"/>
      <c r="B958" s="1207"/>
      <c r="C958" s="1207"/>
      <c r="E958" s="7"/>
      <c r="F958" s="7"/>
    </row>
    <row r="959" spans="1:6" ht="14.25" hidden="1" customHeight="1" outlineLevel="1" x14ac:dyDescent="0.2">
      <c r="A959" s="1207"/>
      <c r="B959" s="1207"/>
      <c r="C959" s="1207"/>
      <c r="E959" s="7"/>
      <c r="F959" s="7"/>
    </row>
    <row r="960" spans="1:6" ht="14.25" hidden="1" customHeight="1" outlineLevel="1" x14ac:dyDescent="0.2">
      <c r="A960" s="1207"/>
      <c r="B960" s="1207"/>
      <c r="C960" s="1207"/>
      <c r="E960" s="7"/>
      <c r="F960" s="7"/>
    </row>
    <row r="961" spans="1:6" ht="14.25" hidden="1" customHeight="1" outlineLevel="1" x14ac:dyDescent="0.2">
      <c r="A961" s="1207"/>
      <c r="B961" s="1207"/>
      <c r="C961" s="1207"/>
      <c r="E961" s="7"/>
      <c r="F961" s="7"/>
    </row>
    <row r="962" spans="1:6" ht="14.25" hidden="1" customHeight="1" outlineLevel="1" x14ac:dyDescent="0.2">
      <c r="A962" s="1207"/>
      <c r="B962" s="1207"/>
      <c r="C962" s="1207"/>
      <c r="E962" s="7"/>
      <c r="F962" s="7"/>
    </row>
    <row r="963" spans="1:6" ht="14.25" hidden="1" customHeight="1" outlineLevel="1" x14ac:dyDescent="0.2">
      <c r="A963" s="1207"/>
      <c r="B963" s="1207"/>
      <c r="C963" s="1207"/>
      <c r="E963" s="7"/>
      <c r="F963" s="7"/>
    </row>
    <row r="964" spans="1:6" ht="14.25" hidden="1" customHeight="1" outlineLevel="1" x14ac:dyDescent="0.2">
      <c r="A964" s="1207"/>
      <c r="B964" s="1207"/>
      <c r="C964" s="1207"/>
      <c r="E964" s="7"/>
      <c r="F964" s="7"/>
    </row>
    <row r="965" spans="1:6" ht="14.25" hidden="1" customHeight="1" outlineLevel="1" x14ac:dyDescent="0.2">
      <c r="A965" s="1207"/>
      <c r="B965" s="1207"/>
      <c r="C965" s="1207"/>
      <c r="E965" s="7"/>
      <c r="F965" s="7"/>
    </row>
    <row r="966" spans="1:6" ht="14.25" hidden="1" customHeight="1" outlineLevel="1" x14ac:dyDescent="0.2">
      <c r="A966" s="1207"/>
      <c r="B966" s="1207"/>
      <c r="C966" s="1207"/>
      <c r="E966" s="7"/>
      <c r="F966" s="7"/>
    </row>
    <row r="967" spans="1:6" ht="14.25" hidden="1" customHeight="1" outlineLevel="1" x14ac:dyDescent="0.2">
      <c r="A967" s="1207"/>
      <c r="B967" s="1207"/>
      <c r="C967" s="1207"/>
      <c r="E967" s="7"/>
      <c r="F967" s="7"/>
    </row>
    <row r="968" spans="1:6" ht="14.25" hidden="1" customHeight="1" outlineLevel="1" x14ac:dyDescent="0.2">
      <c r="A968" s="1207"/>
      <c r="B968" s="1207"/>
      <c r="C968" s="1207"/>
      <c r="E968" s="7"/>
      <c r="F968" s="7"/>
    </row>
    <row r="969" spans="1:6" ht="14.25" hidden="1" customHeight="1" outlineLevel="1" x14ac:dyDescent="0.2">
      <c r="A969" s="1207"/>
      <c r="B969" s="1207"/>
      <c r="C969" s="1207"/>
      <c r="E969" s="7"/>
      <c r="F969" s="7"/>
    </row>
    <row r="970" spans="1:6" ht="14.25" hidden="1" customHeight="1" outlineLevel="1" x14ac:dyDescent="0.2">
      <c r="A970" s="1207"/>
      <c r="B970" s="1207"/>
      <c r="C970" s="1207"/>
      <c r="E970" s="7"/>
      <c r="F970" s="7"/>
    </row>
    <row r="971" spans="1:6" ht="14.25" hidden="1" customHeight="1" outlineLevel="1" x14ac:dyDescent="0.2">
      <c r="A971" s="1207"/>
      <c r="B971" s="1207"/>
      <c r="C971" s="1207"/>
      <c r="E971" s="7"/>
      <c r="F971" s="7"/>
    </row>
    <row r="972" spans="1:6" ht="14.25" hidden="1" customHeight="1" outlineLevel="1" x14ac:dyDescent="0.2">
      <c r="A972" s="1207"/>
      <c r="B972" s="1207"/>
      <c r="C972" s="1207"/>
      <c r="E972" s="7"/>
      <c r="F972" s="7"/>
    </row>
    <row r="973" spans="1:6" ht="14.25" hidden="1" customHeight="1" outlineLevel="1" x14ac:dyDescent="0.2">
      <c r="A973" s="1207"/>
      <c r="B973" s="1207"/>
      <c r="C973" s="1207"/>
      <c r="E973" s="7"/>
      <c r="F973" s="7"/>
    </row>
    <row r="974" spans="1:6" ht="14.25" hidden="1" customHeight="1" outlineLevel="1" x14ac:dyDescent="0.2">
      <c r="A974" s="1207"/>
      <c r="B974" s="1207"/>
      <c r="C974" s="1207"/>
      <c r="E974" s="7"/>
      <c r="F974" s="7"/>
    </row>
    <row r="975" spans="1:6" ht="14.25" hidden="1" customHeight="1" outlineLevel="1" x14ac:dyDescent="0.2">
      <c r="A975" s="1207"/>
      <c r="B975" s="1207"/>
      <c r="C975" s="1207"/>
      <c r="E975" s="7"/>
      <c r="F975" s="7"/>
    </row>
    <row r="976" spans="1:6" ht="14.25" hidden="1" customHeight="1" outlineLevel="1" x14ac:dyDescent="0.2">
      <c r="A976" s="1207"/>
      <c r="B976" s="1207"/>
      <c r="C976" s="1207"/>
      <c r="E976" s="7"/>
      <c r="F976" s="7"/>
    </row>
    <row r="977" spans="1:6" ht="14.25" hidden="1" customHeight="1" outlineLevel="1" x14ac:dyDescent="0.2">
      <c r="A977" s="1207"/>
      <c r="B977" s="1207"/>
      <c r="C977" s="1207"/>
      <c r="E977" s="7"/>
      <c r="F977" s="7"/>
    </row>
    <row r="978" spans="1:6" ht="14.25" hidden="1" customHeight="1" outlineLevel="1" x14ac:dyDescent="0.2">
      <c r="A978" s="1207"/>
      <c r="B978" s="1207"/>
      <c r="C978" s="1207"/>
      <c r="E978" s="7"/>
      <c r="F978" s="7"/>
    </row>
    <row r="979" spans="1:6" ht="14.25" hidden="1" customHeight="1" outlineLevel="1" x14ac:dyDescent="0.2">
      <c r="A979" s="1207"/>
      <c r="B979" s="1207"/>
      <c r="C979" s="1207"/>
      <c r="E979" s="7"/>
      <c r="F979" s="7"/>
    </row>
    <row r="980" spans="1:6" ht="14.25" hidden="1" customHeight="1" outlineLevel="1" x14ac:dyDescent="0.2">
      <c r="A980" s="1207"/>
      <c r="B980" s="1207"/>
      <c r="C980" s="1207"/>
      <c r="E980" s="7"/>
      <c r="F980" s="7"/>
    </row>
    <row r="981" spans="1:6" ht="14.25" hidden="1" customHeight="1" outlineLevel="1" x14ac:dyDescent="0.2">
      <c r="A981" s="1207"/>
      <c r="B981" s="1207"/>
      <c r="C981" s="1207"/>
      <c r="E981" s="7"/>
      <c r="F981" s="7"/>
    </row>
    <row r="982" spans="1:6" ht="14.25" hidden="1" customHeight="1" outlineLevel="1" x14ac:dyDescent="0.2">
      <c r="A982" s="1207"/>
      <c r="B982" s="1207"/>
      <c r="C982" s="1207"/>
      <c r="E982" s="7"/>
      <c r="F982" s="7"/>
    </row>
    <row r="983" spans="1:6" ht="14.25" hidden="1" customHeight="1" outlineLevel="1" x14ac:dyDescent="0.2">
      <c r="A983" s="1207"/>
      <c r="B983" s="1207"/>
      <c r="C983" s="1207"/>
      <c r="E983" s="7"/>
      <c r="F983" s="7"/>
    </row>
    <row r="984" spans="1:6" ht="14.25" hidden="1" customHeight="1" outlineLevel="1" x14ac:dyDescent="0.2">
      <c r="A984" s="1207"/>
      <c r="B984" s="1207"/>
      <c r="C984" s="1207"/>
      <c r="E984" s="7"/>
      <c r="F984" s="7"/>
    </row>
    <row r="985" spans="1:6" ht="14.25" hidden="1" customHeight="1" outlineLevel="1" x14ac:dyDescent="0.2">
      <c r="A985" s="1207"/>
      <c r="B985" s="1207"/>
      <c r="C985" s="1207"/>
      <c r="E985" s="7"/>
      <c r="F985" s="7"/>
    </row>
    <row r="986" spans="1:6" ht="14.25" hidden="1" customHeight="1" outlineLevel="1" x14ac:dyDescent="0.2">
      <c r="A986" s="1207"/>
      <c r="B986" s="1207"/>
      <c r="C986" s="1207"/>
      <c r="E986" s="7"/>
      <c r="F986" s="7"/>
    </row>
    <row r="987" spans="1:6" ht="14.25" hidden="1" customHeight="1" outlineLevel="1" x14ac:dyDescent="0.2">
      <c r="A987" s="1207"/>
      <c r="B987" s="1207"/>
      <c r="C987" s="1207"/>
      <c r="E987" s="7"/>
      <c r="F987" s="7"/>
    </row>
    <row r="988" spans="1:6" ht="14.25" hidden="1" customHeight="1" outlineLevel="1" x14ac:dyDescent="0.2">
      <c r="A988" s="1207"/>
      <c r="B988" s="1207"/>
      <c r="C988" s="1207"/>
      <c r="E988" s="7"/>
      <c r="F988" s="7"/>
    </row>
    <row r="989" spans="1:6" ht="14.25" hidden="1" customHeight="1" outlineLevel="1" x14ac:dyDescent="0.2">
      <c r="A989" s="1207"/>
      <c r="B989" s="1207"/>
      <c r="C989" s="1207"/>
      <c r="E989" s="7"/>
      <c r="F989" s="7"/>
    </row>
    <row r="990" spans="1:6" ht="14.25" hidden="1" customHeight="1" outlineLevel="1" x14ac:dyDescent="0.2">
      <c r="A990" s="1207"/>
      <c r="B990" s="1207"/>
      <c r="C990" s="1207"/>
      <c r="E990" s="7"/>
      <c r="F990" s="7"/>
    </row>
    <row r="991" spans="1:6" ht="14.25" hidden="1" customHeight="1" outlineLevel="1" x14ac:dyDescent="0.2">
      <c r="A991" s="1207"/>
      <c r="B991" s="1207"/>
      <c r="C991" s="1207"/>
      <c r="E991" s="7"/>
      <c r="F991" s="7"/>
    </row>
    <row r="992" spans="1:6" ht="14.25" hidden="1" customHeight="1" outlineLevel="1" x14ac:dyDescent="0.2">
      <c r="A992" s="1207"/>
      <c r="B992" s="1207"/>
      <c r="C992" s="1207"/>
      <c r="E992" s="7"/>
      <c r="F992" s="7"/>
    </row>
    <row r="993" spans="1:6" ht="14.25" hidden="1" customHeight="1" outlineLevel="1" x14ac:dyDescent="0.2">
      <c r="A993" s="1207"/>
      <c r="B993" s="1207"/>
      <c r="C993" s="1207"/>
      <c r="E993" s="7"/>
      <c r="F993" s="7"/>
    </row>
    <row r="994" spans="1:6" ht="14.25" hidden="1" customHeight="1" outlineLevel="1" x14ac:dyDescent="0.2">
      <c r="A994" s="1207"/>
      <c r="B994" s="1207"/>
      <c r="C994" s="1207"/>
      <c r="E994" s="7"/>
      <c r="F994" s="7"/>
    </row>
    <row r="995" spans="1:6" ht="14.25" hidden="1" customHeight="1" outlineLevel="1" x14ac:dyDescent="0.2">
      <c r="A995" s="1207"/>
      <c r="B995" s="1207"/>
      <c r="C995" s="1207"/>
      <c r="E995" s="7"/>
      <c r="F995" s="7"/>
    </row>
    <row r="996" spans="1:6" ht="14.25" hidden="1" customHeight="1" outlineLevel="1" x14ac:dyDescent="0.2">
      <c r="A996" s="1207"/>
      <c r="B996" s="1207"/>
      <c r="C996" s="1207"/>
      <c r="E996" s="7"/>
      <c r="F996" s="7"/>
    </row>
    <row r="997" spans="1:6" ht="14.25" hidden="1" customHeight="1" outlineLevel="1" x14ac:dyDescent="0.2">
      <c r="A997" s="1207"/>
      <c r="B997" s="1207"/>
      <c r="C997" s="1207"/>
      <c r="E997" s="7"/>
      <c r="F997" s="7"/>
    </row>
    <row r="998" spans="1:6" ht="14.25" hidden="1" customHeight="1" outlineLevel="1" x14ac:dyDescent="0.2">
      <c r="A998" s="1207"/>
      <c r="B998" s="1207"/>
      <c r="C998" s="1207"/>
      <c r="E998" s="7"/>
      <c r="F998" s="7"/>
    </row>
    <row r="999" spans="1:6" ht="14.25" hidden="1" customHeight="1" outlineLevel="1" collapsed="1" x14ac:dyDescent="0.2">
      <c r="A999" s="1207"/>
      <c r="B999" s="1207"/>
      <c r="C999" s="1207"/>
      <c r="E999" s="7"/>
      <c r="F999" s="7"/>
    </row>
    <row r="1000" spans="1:6" ht="14.25" hidden="1" customHeight="1" outlineLevel="1" x14ac:dyDescent="0.2">
      <c r="A1000" s="610"/>
      <c r="B1000" s="610"/>
      <c r="C1000" s="610"/>
      <c r="E1000" s="7"/>
      <c r="F1000" s="7"/>
    </row>
    <row r="1001" spans="1:6" collapsed="1" x14ac:dyDescent="0.2"/>
  </sheetData>
  <mergeCells count="26">
    <mergeCell ref="A327:C327"/>
    <mergeCell ref="A350:C350"/>
    <mergeCell ref="A373:C373"/>
    <mergeCell ref="A396:C396"/>
    <mergeCell ref="A189:C189"/>
    <mergeCell ref="A212:C212"/>
    <mergeCell ref="A235:C235"/>
    <mergeCell ref="A258:C258"/>
    <mergeCell ref="A281:C281"/>
    <mergeCell ref="A304:C304"/>
    <mergeCell ref="A143:C143"/>
    <mergeCell ref="A166:C166"/>
    <mergeCell ref="A5:C5"/>
    <mergeCell ref="A28:C28"/>
    <mergeCell ref="A51:C51"/>
    <mergeCell ref="A74:C74"/>
    <mergeCell ref="A97:C97"/>
    <mergeCell ref="A120:C120"/>
    <mergeCell ref="A534:C534"/>
    <mergeCell ref="A557:C557"/>
    <mergeCell ref="A580:C580"/>
    <mergeCell ref="A419:C419"/>
    <mergeCell ref="A442:C442"/>
    <mergeCell ref="A465:C465"/>
    <mergeCell ref="A488:C488"/>
    <mergeCell ref="A511:C511"/>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theme="0" tint="-0.499984740745262"/>
  </sheetPr>
  <dimension ref="A1:W315"/>
  <sheetViews>
    <sheetView showGridLines="0" workbookViewId="0"/>
  </sheetViews>
  <sheetFormatPr defaultColWidth="9" defaultRowHeight="15" customHeight="1" outlineLevelRow="1" outlineLevelCol="1" x14ac:dyDescent="0.2"/>
  <cols>
    <col min="1" max="1" width="28.25" style="25" customWidth="1"/>
    <col min="2" max="2" width="26.625" style="25" hidden="1" customWidth="1" outlineLevel="1"/>
    <col min="3" max="3" width="12.25" style="25" customWidth="1" outlineLevel="1"/>
    <col min="4" max="4" width="12.25" style="25" customWidth="1"/>
    <col min="5" max="5" width="11" style="25" customWidth="1"/>
    <col min="6" max="6" width="15.5" style="25" customWidth="1"/>
    <col min="7" max="7" width="11" style="25" customWidth="1"/>
    <col min="8" max="13" width="10.5" style="25" customWidth="1"/>
    <col min="14" max="23" width="10.5" style="25" hidden="1" customWidth="1"/>
    <col min="24" max="16384" width="9" style="25"/>
  </cols>
  <sheetData>
    <row r="1" spans="1:23" s="161" customFormat="1" ht="20.100000000000001" customHeight="1" x14ac:dyDescent="0.2">
      <c r="A1" s="441" t="s">
        <v>353</v>
      </c>
      <c r="B1" s="441"/>
      <c r="C1" s="441"/>
      <c r="D1" s="913"/>
      <c r="E1" s="909"/>
      <c r="F1" s="909"/>
      <c r="G1" s="910"/>
      <c r="H1" s="911"/>
      <c r="I1" s="902"/>
      <c r="J1" s="911"/>
      <c r="K1" s="914" t="str">
        <f>Input!$C$9</f>
        <v>Walmart Inc.</v>
      </c>
      <c r="L1" s="1019"/>
      <c r="M1" s="1019"/>
      <c r="N1" s="1019"/>
      <c r="O1" s="1019"/>
      <c r="P1" s="1019"/>
      <c r="Q1" s="1019"/>
      <c r="R1" s="1019"/>
      <c r="S1" s="1019"/>
      <c r="T1" s="1019"/>
      <c r="U1" s="1019"/>
      <c r="V1" s="1019"/>
      <c r="W1" s="1019"/>
    </row>
    <row r="2" spans="1:23" s="161" customFormat="1" ht="15" customHeight="1" x14ac:dyDescent="0.2">
      <c r="A2" s="240"/>
      <c r="B2" s="240"/>
      <c r="C2" s="240"/>
      <c r="D2" s="142"/>
      <c r="E2" s="142"/>
      <c r="F2" s="142"/>
      <c r="G2" s="21"/>
      <c r="H2" s="239"/>
      <c r="I2" s="239"/>
      <c r="J2" s="239"/>
      <c r="K2" s="239"/>
      <c r="L2" s="239"/>
      <c r="M2" s="239"/>
      <c r="N2" s="239"/>
      <c r="O2" s="239"/>
      <c r="P2" s="239"/>
      <c r="Q2" s="239"/>
      <c r="R2" s="239"/>
      <c r="S2" s="239"/>
      <c r="T2" s="239"/>
      <c r="U2" s="239"/>
      <c r="V2" s="239"/>
      <c r="W2" s="239"/>
    </row>
    <row r="3" spans="1:23" s="161" customFormat="1" ht="15" customHeight="1" outlineLevel="1" x14ac:dyDescent="0.2">
      <c r="A3" s="24"/>
      <c r="B3" s="24"/>
      <c r="C3" s="24"/>
      <c r="D3" s="25"/>
      <c r="E3" s="25" t="s">
        <v>369</v>
      </c>
      <c r="F3" s="25" t="s">
        <v>367</v>
      </c>
      <c r="G3" s="25" t="s">
        <v>370</v>
      </c>
      <c r="H3" s="25" t="s">
        <v>59</v>
      </c>
      <c r="I3" s="25"/>
      <c r="J3" s="25"/>
      <c r="K3" s="25"/>
      <c r="L3" s="25"/>
      <c r="M3" s="25"/>
      <c r="N3" s="25"/>
      <c r="O3" s="25"/>
      <c r="P3" s="25"/>
      <c r="Q3" s="25"/>
      <c r="R3" s="25"/>
      <c r="S3" s="25"/>
      <c r="T3" s="25"/>
      <c r="U3" s="25"/>
      <c r="V3" s="25"/>
      <c r="W3" s="25"/>
    </row>
    <row r="4" spans="1:23" ht="15" customHeight="1" outlineLevel="1" x14ac:dyDescent="0.2">
      <c r="A4" s="25" t="s">
        <v>368</v>
      </c>
      <c r="D4" s="233" t="str">
        <f>Target</f>
        <v>NYSE:WMT</v>
      </c>
      <c r="E4" s="25" t="s">
        <v>371</v>
      </c>
      <c r="F4" s="25" t="str">
        <f>Input!$C$6</f>
        <v>USD</v>
      </c>
      <c r="G4" s="25" t="s">
        <v>372</v>
      </c>
      <c r="H4" s="229">
        <f ca="1">TODAY()</f>
        <v>44645</v>
      </c>
    </row>
    <row r="5" spans="1:23" ht="15" customHeight="1" outlineLevel="1" x14ac:dyDescent="0.2">
      <c r="A5" s="24"/>
      <c r="B5" s="24"/>
      <c r="C5" s="24"/>
    </row>
    <row r="6" spans="1:23" ht="15" customHeight="1" outlineLevel="1" x14ac:dyDescent="0.2">
      <c r="A6" s="27" t="s">
        <v>189</v>
      </c>
      <c r="B6" s="27"/>
      <c r="C6" s="36">
        <v>0</v>
      </c>
      <c r="D6" s="36">
        <v>1</v>
      </c>
      <c r="E6" s="36">
        <f>D6+1</f>
        <v>2</v>
      </c>
      <c r="F6" s="36">
        <f t="shared" ref="F6:W6" si="0">E6+1</f>
        <v>3</v>
      </c>
      <c r="G6" s="36">
        <f t="shared" si="0"/>
        <v>4</v>
      </c>
      <c r="H6" s="36">
        <f t="shared" si="0"/>
        <v>5</v>
      </c>
      <c r="I6" s="36">
        <f t="shared" si="0"/>
        <v>6</v>
      </c>
      <c r="J6" s="36">
        <f t="shared" si="0"/>
        <v>7</v>
      </c>
      <c r="K6" s="36">
        <f t="shared" si="0"/>
        <v>8</v>
      </c>
      <c r="L6" s="36">
        <f t="shared" si="0"/>
        <v>9</v>
      </c>
      <c r="M6" s="36">
        <f t="shared" si="0"/>
        <v>10</v>
      </c>
      <c r="N6" s="36">
        <f t="shared" si="0"/>
        <v>11</v>
      </c>
      <c r="O6" s="36">
        <f t="shared" si="0"/>
        <v>12</v>
      </c>
      <c r="P6" s="36">
        <f t="shared" si="0"/>
        <v>13</v>
      </c>
      <c r="Q6" s="36">
        <f t="shared" si="0"/>
        <v>14</v>
      </c>
      <c r="R6" s="36">
        <f t="shared" si="0"/>
        <v>15</v>
      </c>
      <c r="S6" s="36">
        <f t="shared" si="0"/>
        <v>16</v>
      </c>
      <c r="T6" s="36">
        <f t="shared" si="0"/>
        <v>17</v>
      </c>
      <c r="U6" s="36">
        <f t="shared" si="0"/>
        <v>18</v>
      </c>
      <c r="V6" s="36">
        <f t="shared" si="0"/>
        <v>19</v>
      </c>
      <c r="W6" s="36">
        <f t="shared" si="0"/>
        <v>20</v>
      </c>
    </row>
    <row r="7" spans="1:23" ht="15" customHeight="1" outlineLevel="1" x14ac:dyDescent="0.2">
      <c r="A7" s="27" t="s">
        <v>58</v>
      </c>
      <c r="B7" s="27"/>
      <c r="C7" s="36" t="str">
        <f>IF(TimePeriodType="Quarter",IF(D7=1,4,D7-1),"N/A")</f>
        <v>N/A</v>
      </c>
      <c r="D7" s="36" t="str">
        <f>IF(TimePeriodType="Quarter",StartingCompanyQuarter,"N/A")</f>
        <v>N/A</v>
      </c>
      <c r="E7" s="36" t="str">
        <f>IF(E$6&lt;=ImpData!$B$4,IF(TimePeriodType="Quarter",IF(D7&lt;&gt;4,D7+1,1),"N/A"),"")</f>
        <v>N/A</v>
      </c>
      <c r="F7" s="36" t="str">
        <f>IF(F$6&lt;=ImpData!$B$4,IF(TimePeriodType="Quarter",IF(E7&lt;&gt;4,E7+1,1),"N/A"),"")</f>
        <v>N/A</v>
      </c>
      <c r="G7" s="36" t="str">
        <f>IF(G$6&lt;=ImpData!$B$4,IF(TimePeriodType="Quarter",IF(F7&lt;&gt;4,F7+1,1),"N/A"),"")</f>
        <v>N/A</v>
      </c>
      <c r="H7" s="36" t="str">
        <f>IF(H$6&lt;=ImpData!$B$4,IF(TimePeriodType="Quarter",IF(G7&lt;&gt;4,G7+1,1),"N/A"),"")</f>
        <v>N/A</v>
      </c>
      <c r="I7" s="36" t="str">
        <f>IF(I$6&lt;=ImpData!$B$4,IF(TimePeriodType="Quarter",IF(H7&lt;&gt;4,H7+1,1),"N/A"),"")</f>
        <v>N/A</v>
      </c>
      <c r="J7" s="36" t="str">
        <f>IF(J$6&lt;=ImpData!$B$4,IF(TimePeriodType="Quarter",IF(I7&lt;&gt;4,I7+1,1),"N/A"),"")</f>
        <v>N/A</v>
      </c>
      <c r="K7" s="36" t="str">
        <f>IF(K$6&lt;=ImpData!$B$4,IF(TimePeriodType="Quarter",IF(J7&lt;&gt;4,J7+1,1),"N/A"),"")</f>
        <v>N/A</v>
      </c>
      <c r="L7" s="36" t="str">
        <f>IF(L$6&lt;=ImpData!$B$4,IF(TimePeriodType="Quarter",IF(K7&lt;&gt;4,K7+1,1),"N/A"),"")</f>
        <v>N/A</v>
      </c>
      <c r="M7" s="36" t="str">
        <f>IF(M$6&lt;=ImpData!$B$4,IF(TimePeriodType="Quarter",IF(L7&lt;&gt;4,L7+1,1),"N/A"),"")</f>
        <v/>
      </c>
      <c r="N7" s="36" t="str">
        <f>IF(N$6&lt;=ImpData!$B$4,IF(TimePeriodType="Quarter",IF(M7&lt;&gt;4,M7+1,1),"N/A"),"")</f>
        <v/>
      </c>
      <c r="O7" s="36" t="str">
        <f>IF(O$6&lt;=ImpData!$B$4,IF(TimePeriodType="Quarter",IF(N7&lt;&gt;4,N7+1,1),"N/A"),"")</f>
        <v/>
      </c>
      <c r="P7" s="36" t="str">
        <f>IF(P$6&lt;=ImpData!$B$4,IF(TimePeriodType="Quarter",IF(O7&lt;&gt;4,O7+1,1),"N/A"),"")</f>
        <v/>
      </c>
      <c r="Q7" s="36" t="str">
        <f>IF(Q$6&lt;=ImpData!$B$4,IF(TimePeriodType="Quarter",IF(P7&lt;&gt;4,P7+1,1),"N/A"),"")</f>
        <v/>
      </c>
      <c r="R7" s="36" t="str">
        <f>IF(R$6&lt;=ImpData!$B$4,IF(TimePeriodType="Quarter",IF(Q7&lt;&gt;4,Q7+1,1),"N/A"),"")</f>
        <v/>
      </c>
      <c r="S7" s="36" t="str">
        <f>IF(S$6&lt;=ImpData!$B$4,IF(TimePeriodType="Quarter",IF(R7&lt;&gt;4,R7+1,1),"N/A"),"")</f>
        <v/>
      </c>
      <c r="T7" s="36" t="str">
        <f>IF(T$6&lt;=ImpData!$B$4,IF(TimePeriodType="Quarter",IF(S7&lt;&gt;4,S7+1,1),"N/A"),"")</f>
        <v/>
      </c>
      <c r="U7" s="36" t="str">
        <f>IF(U$6&lt;=ImpData!$B$4,IF(TimePeriodType="Quarter",IF(T7&lt;&gt;4,T7+1,1),"N/A"),"")</f>
        <v/>
      </c>
      <c r="V7" s="36" t="str">
        <f>IF(V$6&lt;=ImpData!$B$4,IF(TimePeriodType="Quarter",IF(U7&lt;&gt;4,U7+1,1),"N/A"),"")</f>
        <v/>
      </c>
      <c r="W7" s="36" t="str">
        <f>IF(W$6&lt;=ImpData!$B$4,IF(TimePeriodType="Quarter",IF(V7&lt;&gt;4,V7+1,1),"N/A"),"")</f>
        <v/>
      </c>
    </row>
    <row r="8" spans="1:23" ht="15" customHeight="1" outlineLevel="1" x14ac:dyDescent="0.2">
      <c r="A8" s="27" t="s">
        <v>188</v>
      </c>
      <c r="B8" s="27"/>
      <c r="C8" s="36">
        <f>IF(TimePeriodType="Quarter",IF(D7=1,D8-1,D8),D8-1)</f>
        <v>2013</v>
      </c>
      <c r="D8" s="36" t="str">
        <f>StartingCompanyYear</f>
        <v>2014</v>
      </c>
      <c r="E8" s="36">
        <f>IF(E7="","",IF(TimePeriodType="Quarter",IF(D7&lt;&gt;4,D8,D8+1),IF(E6&gt;ImpData!$B$4,"",'Financial Data_H'!D8+1)))</f>
        <v>2015</v>
      </c>
      <c r="F8" s="36">
        <f>IF(F7="","",IF(TimePeriodType="Quarter",IF(E7&lt;&gt;4,E8,E8+1),IF(F6&gt;ImpData!$B$4,"",'Financial Data_H'!E8+1)))</f>
        <v>2016</v>
      </c>
      <c r="G8" s="36">
        <f>IF(G7="","",IF(TimePeriodType="Quarter",IF(F7&lt;&gt;4,F8,F8+1),IF(G6&gt;ImpData!$B$4,"",'Financial Data_H'!F8+1)))</f>
        <v>2017</v>
      </c>
      <c r="H8" s="36">
        <f>IF(H7="","",IF(TimePeriodType="Quarter",IF(G7&lt;&gt;4,G8,G8+1),IF(H6&gt;ImpData!$B$4,"",'Financial Data_H'!G8+1)))</f>
        <v>2018</v>
      </c>
      <c r="I8" s="36">
        <f>IF(I7="","",IF(TimePeriodType="Quarter",IF(H7&lt;&gt;4,H8,H8+1),IF(I6&gt;ImpData!$B$4,"",'Financial Data_H'!H8+1)))</f>
        <v>2019</v>
      </c>
      <c r="J8" s="36">
        <f>IF(J7="","",IF(TimePeriodType="Quarter",IF(I7&lt;&gt;4,I8,I8+1),IF(J6&gt;ImpData!$B$4,"",'Financial Data_H'!I8+1)))</f>
        <v>2020</v>
      </c>
      <c r="K8" s="36">
        <f>IF(K7="","",IF(TimePeriodType="Quarter",IF(J7&lt;&gt;4,J8,J8+1),IF(K6&gt;ImpData!$B$4,"",'Financial Data_H'!J8+1)))</f>
        <v>2021</v>
      </c>
      <c r="L8" s="36">
        <f>IF(L7="","",IF(TimePeriodType="Quarter",IF(K7&lt;&gt;4,K8,K8+1),IF(L6&gt;ImpData!$B$4,"",'Financial Data_H'!K8+1)))</f>
        <v>2022</v>
      </c>
      <c r="M8" s="36" t="str">
        <f>IF(M7="","",IF(TimePeriodType="Quarter",IF(L7&lt;&gt;4,L8,L8+1),IF(M6&gt;ImpData!$B$4,"",'Financial Data_H'!L8+1)))</f>
        <v/>
      </c>
      <c r="N8" s="36" t="str">
        <f>IF(N7="","",IF(TimePeriodType="Quarter",IF(M7&lt;&gt;4,M8,M8+1),IF(N6&gt;ImpData!$B$4,"",'Financial Data_H'!M8+1)))</f>
        <v/>
      </c>
      <c r="O8" s="36" t="str">
        <f>IF(O7="","",IF(TimePeriodType="Quarter",IF(N7&lt;&gt;4,N8,N8+1),IF(O6&gt;ImpData!$B$4,"",'Financial Data_H'!N8+1)))</f>
        <v/>
      </c>
      <c r="P8" s="36" t="str">
        <f>IF(P7="","",IF(TimePeriodType="Quarter",IF(O7&lt;&gt;4,O8,O8+1),IF(P6&gt;ImpData!$B$4,"",'Financial Data_H'!O8+1)))</f>
        <v/>
      </c>
      <c r="Q8" s="36" t="str">
        <f>IF(Q7="","",IF(TimePeriodType="Quarter",IF(P7&lt;&gt;4,P8,P8+1),IF(Q6&gt;ImpData!$B$4,"",'Financial Data_H'!P8+1)))</f>
        <v/>
      </c>
      <c r="R8" s="36" t="str">
        <f>IF(R7="","",IF(TimePeriodType="Quarter",IF(Q7&lt;&gt;4,Q8,Q8+1),IF(R6&gt;ImpData!$B$4,"",'Financial Data_H'!Q8+1)))</f>
        <v/>
      </c>
      <c r="S8" s="36" t="str">
        <f>IF(S7="","",IF(TimePeriodType="Quarter",IF(R7&lt;&gt;4,R8,R8+1),IF(S6&gt;ImpData!$B$4,"",'Financial Data_H'!R8+1)))</f>
        <v/>
      </c>
      <c r="T8" s="36" t="str">
        <f>IF(T7="","",IF(TimePeriodType="Quarter",IF(S7&lt;&gt;4,S8,S8+1),IF(T6&gt;ImpData!$B$4,"",'Financial Data_H'!S8+1)))</f>
        <v/>
      </c>
      <c r="U8" s="36" t="str">
        <f>IF(U7="","",IF(TimePeriodType="Quarter",IF(T7&lt;&gt;4,T8,T8+1),IF(U6&gt;ImpData!$B$4,"",'Financial Data_H'!T8+1)))</f>
        <v/>
      </c>
      <c r="V8" s="36" t="str">
        <f>IF(V7="","",IF(TimePeriodType="Quarter",IF(U7&lt;&gt;4,U8,U8+1),IF(V6&gt;ImpData!$B$4,"",'Financial Data_H'!U8+1)))</f>
        <v/>
      </c>
      <c r="W8" s="36" t="str">
        <f>IF(W7="","",IF(TimePeriodType="Quarter",IF(V7&lt;&gt;4,V8,V8+1),IF(W6&gt;ImpData!$B$4,"",'Financial Data_H'!V8+1)))</f>
        <v/>
      </c>
    </row>
    <row r="9" spans="1:23" ht="15" customHeight="1" outlineLevel="1" x14ac:dyDescent="0.2">
      <c r="A9" s="27" t="s">
        <v>355</v>
      </c>
      <c r="B9" s="27"/>
      <c r="C9" s="36" t="str">
        <f t="shared" ref="C9:W9" si="1">IF(C7&lt;&gt;"",IF(TimePeriodType="Quarter","FQ"&amp;C7&amp;C8,"FY"&amp;C8),"")</f>
        <v>FY2013</v>
      </c>
      <c r="D9" s="36" t="str">
        <f t="shared" si="1"/>
        <v>FY2014</v>
      </c>
      <c r="E9" s="36" t="str">
        <f t="shared" si="1"/>
        <v>FY2015</v>
      </c>
      <c r="F9" s="36" t="str">
        <f t="shared" si="1"/>
        <v>FY2016</v>
      </c>
      <c r="G9" s="36" t="str">
        <f t="shared" si="1"/>
        <v>FY2017</v>
      </c>
      <c r="H9" s="36" t="str">
        <f t="shared" si="1"/>
        <v>FY2018</v>
      </c>
      <c r="I9" s="36" t="str">
        <f t="shared" si="1"/>
        <v>FY2019</v>
      </c>
      <c r="J9" s="36" t="str">
        <f t="shared" si="1"/>
        <v>FY2020</v>
      </c>
      <c r="K9" s="36" t="str">
        <f t="shared" si="1"/>
        <v>FY2021</v>
      </c>
      <c r="L9" s="36" t="str">
        <f t="shared" si="1"/>
        <v>FY2022</v>
      </c>
      <c r="M9" s="36" t="str">
        <f t="shared" si="1"/>
        <v/>
      </c>
      <c r="N9" s="36" t="str">
        <f t="shared" si="1"/>
        <v/>
      </c>
      <c r="O9" s="36" t="str">
        <f t="shared" si="1"/>
        <v/>
      </c>
      <c r="P9" s="36" t="str">
        <f t="shared" si="1"/>
        <v/>
      </c>
      <c r="Q9" s="36" t="str">
        <f t="shared" si="1"/>
        <v/>
      </c>
      <c r="R9" s="36" t="str">
        <f t="shared" si="1"/>
        <v/>
      </c>
      <c r="S9" s="36" t="str">
        <f t="shared" si="1"/>
        <v/>
      </c>
      <c r="T9" s="36" t="str">
        <f t="shared" si="1"/>
        <v/>
      </c>
      <c r="U9" s="36" t="str">
        <f t="shared" si="1"/>
        <v/>
      </c>
      <c r="V9" s="36" t="str">
        <f t="shared" si="1"/>
        <v/>
      </c>
      <c r="W9" s="36" t="str">
        <f t="shared" si="1"/>
        <v/>
      </c>
    </row>
    <row r="10" spans="1:23" ht="15" customHeight="1" x14ac:dyDescent="0.2">
      <c r="A10" s="42" t="s">
        <v>189</v>
      </c>
      <c r="B10" s="42" t="s">
        <v>409</v>
      </c>
      <c r="C10" s="43" t="str">
        <f t="shared" ref="C10:W10" si="2">IF(C7&lt;&gt;"",IF(TimePeriodType="Quarter","FQ"&amp;C7&amp;"'"&amp;RIGHT(C8,2),"FY"&amp;C8),"")</f>
        <v>FY2013</v>
      </c>
      <c r="D10" s="43" t="str">
        <f t="shared" si="2"/>
        <v>FY2014</v>
      </c>
      <c r="E10" s="43" t="str">
        <f t="shared" si="2"/>
        <v>FY2015</v>
      </c>
      <c r="F10" s="43" t="str">
        <f t="shared" si="2"/>
        <v>FY2016</v>
      </c>
      <c r="G10" s="43" t="str">
        <f t="shared" si="2"/>
        <v>FY2017</v>
      </c>
      <c r="H10" s="43" t="str">
        <f t="shared" si="2"/>
        <v>FY2018</v>
      </c>
      <c r="I10" s="43" t="str">
        <f t="shared" si="2"/>
        <v>FY2019</v>
      </c>
      <c r="J10" s="43" t="str">
        <f t="shared" si="2"/>
        <v>FY2020</v>
      </c>
      <c r="K10" s="43" t="str">
        <f t="shared" si="2"/>
        <v>FY2021</v>
      </c>
      <c r="L10" s="43" t="str">
        <f t="shared" si="2"/>
        <v>FY2022</v>
      </c>
      <c r="M10" s="43" t="str">
        <f t="shared" si="2"/>
        <v/>
      </c>
      <c r="N10" s="43" t="str">
        <f t="shared" si="2"/>
        <v/>
      </c>
      <c r="O10" s="43" t="str">
        <f t="shared" si="2"/>
        <v/>
      </c>
      <c r="P10" s="43" t="str">
        <f t="shared" si="2"/>
        <v/>
      </c>
      <c r="Q10" s="43" t="str">
        <f t="shared" si="2"/>
        <v/>
      </c>
      <c r="R10" s="43" t="str">
        <f t="shared" si="2"/>
        <v/>
      </c>
      <c r="S10" s="43" t="str">
        <f t="shared" si="2"/>
        <v/>
      </c>
      <c r="T10" s="43" t="str">
        <f t="shared" si="2"/>
        <v/>
      </c>
      <c r="U10" s="43" t="str">
        <f t="shared" si="2"/>
        <v/>
      </c>
      <c r="V10" s="43" t="str">
        <f t="shared" si="2"/>
        <v/>
      </c>
      <c r="W10" s="43" t="str">
        <f t="shared" si="2"/>
        <v/>
      </c>
    </row>
    <row r="12" spans="1:23" ht="15" customHeight="1" thickBot="1" x14ac:dyDescent="0.25">
      <c r="A12" s="922" t="s">
        <v>353</v>
      </c>
      <c r="B12" s="922"/>
      <c r="C12" s="922"/>
      <c r="D12" s="923"/>
      <c r="E12" s="923"/>
      <c r="F12" s="923"/>
      <c r="G12" s="923"/>
      <c r="H12" s="923"/>
      <c r="I12" s="923"/>
      <c r="J12" s="923"/>
      <c r="K12" s="923"/>
      <c r="L12" s="923"/>
      <c r="M12" s="923"/>
      <c r="N12" s="923"/>
      <c r="O12" s="923"/>
      <c r="P12" s="923"/>
      <c r="Q12" s="923"/>
      <c r="R12" s="923"/>
      <c r="S12" s="923"/>
      <c r="T12" s="923"/>
      <c r="U12" s="923"/>
      <c r="V12" s="923"/>
      <c r="W12" s="923"/>
    </row>
    <row r="13" spans="1:23" ht="13.5" customHeight="1" x14ac:dyDescent="0.2">
      <c r="D13" s="157"/>
      <c r="E13" s="157"/>
      <c r="F13" s="157"/>
      <c r="G13" s="157"/>
      <c r="H13" s="157"/>
      <c r="I13" s="157"/>
      <c r="J13" s="157"/>
      <c r="K13" s="157"/>
      <c r="L13" s="157"/>
      <c r="M13" s="157"/>
      <c r="N13" s="157"/>
      <c r="O13" s="157"/>
      <c r="P13" s="157"/>
      <c r="Q13" s="157"/>
      <c r="R13" s="157"/>
      <c r="S13" s="157"/>
      <c r="T13" s="157"/>
      <c r="U13" s="157"/>
      <c r="V13" s="157"/>
      <c r="W13" s="157"/>
    </row>
    <row r="14" spans="1:23" ht="15" customHeight="1" x14ac:dyDescent="0.2">
      <c r="A14" s="878" t="s">
        <v>213</v>
      </c>
      <c r="B14" s="878"/>
      <c r="C14" s="878"/>
      <c r="D14" s="878"/>
      <c r="E14" s="915"/>
      <c r="F14" s="915"/>
      <c r="G14" s="915"/>
      <c r="H14" s="915"/>
      <c r="I14" s="915"/>
      <c r="J14" s="915"/>
      <c r="K14" s="915"/>
      <c r="L14" s="915"/>
      <c r="M14" s="915"/>
      <c r="N14" s="915"/>
      <c r="O14" s="915"/>
      <c r="P14" s="915"/>
      <c r="Q14" s="915"/>
      <c r="R14" s="915"/>
      <c r="S14" s="915"/>
      <c r="T14" s="915"/>
      <c r="U14" s="915"/>
      <c r="V14" s="915"/>
      <c r="W14" s="915"/>
    </row>
    <row r="15" spans="1:23" s="48" customFormat="1" ht="15" customHeight="1" x14ac:dyDescent="0.2">
      <c r="A15" s="48" t="s">
        <v>33</v>
      </c>
      <c r="B15" s="48" t="s">
        <v>1086</v>
      </c>
      <c r="C15" s="178">
        <f ca="1">IF(C$9="","",IF(NOT(ISNUMBER(_xll.ciqfunctions.udf.CIQ($D$4,$B15, C$9, $H$4, $E$4, , $F$4, $G$4))),"",_xll.ciqfunctions.udf.CIQ($D$4,$B15, C$9, $H$4, $E$4, , $F$4, $G$4)))</f>
        <v>0</v>
      </c>
      <c r="D15" s="178">
        <f ca="1">IF(D$9="","",IF(NOT(ISNUMBER(_xll.ciqfunctions.udf.CIQ($D$4,$B15, D$9, $H$4, $E$4, , $F$4, $G$4))),"",_xll.ciqfunctions.udf.CIQ($D$4,$B15, D$9, $H$4, $E$4, , $F$4, $G$4)))</f>
        <v>0</v>
      </c>
      <c r="E15" s="178">
        <f ca="1">IF(E$9="","",IF(NOT(ISNUMBER(_xll.ciqfunctions.udf.CIQ($D$4,$B15, E$9, $H$4, $E$4, , $F$4, $G$4))),"",_xll.ciqfunctions.udf.CIQ($D$4,$B15, E$9, $H$4, $E$4, , $F$4, $G$4)))</f>
        <v>0</v>
      </c>
      <c r="F15" s="178">
        <f ca="1">IF(F$9="","",IF(NOT(ISNUMBER(_xll.ciqfunctions.udf.CIQ($D$4,$B15, F$9, $H$4, $E$4, , $F$4, $G$4))),"",_xll.ciqfunctions.udf.CIQ($D$4,$B15, F$9, $H$4, $E$4, , $F$4, $G$4)))</f>
        <v>0</v>
      </c>
      <c r="G15" s="178">
        <f ca="1">IF(G$9="","",IF(NOT(ISNUMBER(_xll.ciqfunctions.udf.CIQ($D$4,$B15, G$9, $H$4, $E$4, , $F$4, $G$4))),"",_xll.ciqfunctions.udf.CIQ($D$4,$B15, G$9, $H$4, $E$4, , $F$4, $G$4)))</f>
        <v>0</v>
      </c>
      <c r="H15" s="178">
        <f ca="1">IF(H$9="","",IF(NOT(ISNUMBER(_xll.ciqfunctions.udf.CIQ($D$4,$B15, H$9, $H$4, $E$4, , $F$4, $G$4))),"",_xll.ciqfunctions.udf.CIQ($D$4,$B15, H$9, $H$4, $E$4, , $F$4, $G$4)))</f>
        <v>0</v>
      </c>
      <c r="I15" s="178">
        <f ca="1">IF(I$9="","",IF(NOT(ISNUMBER(_xll.ciqfunctions.udf.CIQ($D$4,$B15, I$9, $H$4, $E$4, , $F$4, $G$4))),"",_xll.ciqfunctions.udf.CIQ($D$4,$B15, I$9, $H$4, $E$4, , $F$4, $G$4)))</f>
        <v>0</v>
      </c>
      <c r="J15" s="178">
        <f ca="1">IF(J$9="","",IF(NOT(ISNUMBER(_xll.ciqfunctions.udf.CIQ($D$4,$B15, J$9, $H$4, $E$4, , $F$4, $G$4))),"",_xll.ciqfunctions.udf.CIQ($D$4,$B15, J$9, $H$4, $E$4, , $F$4, $G$4)))</f>
        <v>0</v>
      </c>
      <c r="K15" s="178">
        <f ca="1">IF(K$9="","",IF(NOT(ISNUMBER(_xll.ciqfunctions.udf.CIQ($D$4,$B15, K$9, $H$4, $E$4, , $F$4, $G$4))),"",_xll.ciqfunctions.udf.CIQ($D$4,$B15, K$9, $H$4, $E$4, , $F$4, $G$4)))</f>
        <v>0</v>
      </c>
      <c r="L15" s="178">
        <f ca="1">IF(L$9="","",IF(NOT(ISNUMBER(_xll.ciqfunctions.udf.CIQ($D$4,$B15, L$9, $H$4, $E$4, , $F$4, $G$4))),"",_xll.ciqfunctions.udf.CIQ($D$4,$B15, L$9, $H$4, $E$4, , $F$4, $G$4)))</f>
        <v>0</v>
      </c>
      <c r="M15" s="178" t="str">
        <f>IF(M$9="","",IF(NOT(ISNUMBER(_xll.ciqfunctions.udf.CIQ($D$4,$B15, M$9, $H$4, $E$4, , $F$4, $G$4))),"",_xll.ciqfunctions.udf.CIQ($D$4,$B15, M$9, $H$4, $E$4, , $F$4, $G$4)))</f>
        <v/>
      </c>
      <c r="N15" s="178" t="str">
        <f>IF(N$9="","",IF(NOT(ISNUMBER(_xll.ciqfunctions.udf.CIQ($D$4,$B15, N$9, $H$4, $E$4, , $F$4, $G$4))),"",_xll.ciqfunctions.udf.CIQ($D$4,$B15, N$9, $H$4, $E$4, , $F$4, $G$4)))</f>
        <v/>
      </c>
      <c r="O15" s="178" t="str">
        <f>IF(O$9="","",IF(NOT(ISNUMBER(_xll.ciqfunctions.udf.CIQ($D$4,$B15, O$9, $H$4, $E$4, , $F$4, $G$4))),"",_xll.ciqfunctions.udf.CIQ($D$4,$B15, O$9, $H$4, $E$4, , $F$4, $G$4)))</f>
        <v/>
      </c>
      <c r="P15" s="178" t="str">
        <f>IF(P$9="","",IF(NOT(ISNUMBER(_xll.ciqfunctions.udf.CIQ($D$4,$B15, P$9, $H$4, $E$4, , $F$4, $G$4))),"",_xll.ciqfunctions.udf.CIQ($D$4,$B15, P$9, $H$4, $E$4, , $F$4, $G$4)))</f>
        <v/>
      </c>
      <c r="Q15" s="178" t="str">
        <f>IF(Q$9="","",IF(NOT(ISNUMBER(_xll.ciqfunctions.udf.CIQ($D$4,$B15, Q$9, $H$4, $E$4, , $F$4, $G$4))),"",_xll.ciqfunctions.udf.CIQ($D$4,$B15, Q$9, $H$4, $E$4, , $F$4, $G$4)))</f>
        <v/>
      </c>
      <c r="R15" s="178" t="str">
        <f>IF(R$9="","",IF(NOT(ISNUMBER(_xll.ciqfunctions.udf.CIQ($D$4,$B15, R$9, $H$4, $E$4, , $F$4, $G$4))),"",_xll.ciqfunctions.udf.CIQ($D$4,$B15, R$9, $H$4, $E$4, , $F$4, $G$4)))</f>
        <v/>
      </c>
      <c r="S15" s="178" t="str">
        <f>IF(S$9="","",IF(NOT(ISNUMBER(_xll.ciqfunctions.udf.CIQ($D$4,$B15, S$9, $H$4, $E$4, , $F$4, $G$4))),"",_xll.ciqfunctions.udf.CIQ($D$4,$B15, S$9, $H$4, $E$4, , $F$4, $G$4)))</f>
        <v/>
      </c>
      <c r="T15" s="178" t="str">
        <f>IF(T$9="","",IF(NOT(ISNUMBER(_xll.ciqfunctions.udf.CIQ($D$4,$B15, T$9, $H$4, $E$4, , $F$4, $G$4))),"",_xll.ciqfunctions.udf.CIQ($D$4,$B15, T$9, $H$4, $E$4, , $F$4, $G$4)))</f>
        <v/>
      </c>
      <c r="U15" s="178" t="str">
        <f>IF(U$9="","",IF(NOT(ISNUMBER(_xll.ciqfunctions.udf.CIQ($D$4,$B15, U$9, $H$4, $E$4, , $F$4, $G$4))),"",_xll.ciqfunctions.udf.CIQ($D$4,$B15, U$9, $H$4, $E$4, , $F$4, $G$4)))</f>
        <v/>
      </c>
      <c r="V15" s="178" t="str">
        <f>IF(V$9="","",IF(NOT(ISNUMBER(_xll.ciqfunctions.udf.CIQ($D$4,$B15, V$9, $H$4, $E$4, , $F$4, $G$4))),"",_xll.ciqfunctions.udf.CIQ($D$4,$B15, V$9, $H$4, $E$4, , $F$4, $G$4)))</f>
        <v/>
      </c>
      <c r="W15" s="178" t="str">
        <f>IF(W$9="","",IF(NOT(ISNUMBER(_xll.ciqfunctions.udf.CIQ($D$4,$B15, W$9, $H$4, $E$4, , $F$4, $G$4))),"",_xll.ciqfunctions.udf.CIQ($D$4,$B15, W$9, $H$4, $E$4, , $F$4, $G$4)))</f>
        <v/>
      </c>
    </row>
    <row r="16" spans="1:23" ht="15" customHeight="1" x14ac:dyDescent="0.2">
      <c r="A16" s="25" t="s">
        <v>214</v>
      </c>
      <c r="B16" s="25" t="s">
        <v>221</v>
      </c>
      <c r="C16" s="178">
        <f ca="1">IF(C$9="","",IF(NOT(ISNUMBER(_xll.ciqfunctions.udf.CIQ($D$4,$B16, C$9, $H$4, $E$4, , $F$4, $G$4))),"",_xll.ciqfunctions.udf.CIQ($D$4,$B16, C$9, $H$4, $E$4, , $F$4, $G$4)))</f>
        <v>0</v>
      </c>
      <c r="D16" s="178">
        <f ca="1">IF(D$9="","",IF(NOT(ISNUMBER(_xll.ciqfunctions.udf.CIQ($D$4,$B16, D$9, $H$4, $E$4, , $F$4, $G$4))),"",_xll.ciqfunctions.udf.CIQ($D$4,$B16, D$9, $H$4, $E$4, , $F$4, $G$4)))</f>
        <v>0</v>
      </c>
      <c r="E16" s="178">
        <f ca="1">IF(E$9="","",IF(NOT(ISNUMBER(_xll.ciqfunctions.udf.CIQ($D$4,$B16, E$9, $H$4, $E$4, , $F$4, $G$4))),"",_xll.ciqfunctions.udf.CIQ($D$4,$B16, E$9, $H$4, $E$4, , $F$4, $G$4)))</f>
        <v>0</v>
      </c>
      <c r="F16" s="178">
        <f ca="1">IF(F$9="","",IF(NOT(ISNUMBER(_xll.ciqfunctions.udf.CIQ($D$4,$B16, F$9, $H$4, $E$4, , $F$4, $G$4))),"",_xll.ciqfunctions.udf.CIQ($D$4,$B16, F$9, $H$4, $E$4, , $F$4, $G$4)))</f>
        <v>0</v>
      </c>
      <c r="G16" s="178">
        <f ca="1">IF(G$9="","",IF(NOT(ISNUMBER(_xll.ciqfunctions.udf.CIQ($D$4,$B16, G$9, $H$4, $E$4, , $F$4, $G$4))),"",_xll.ciqfunctions.udf.CIQ($D$4,$B16, G$9, $H$4, $E$4, , $F$4, $G$4)))</f>
        <v>0</v>
      </c>
      <c r="H16" s="178">
        <f ca="1">IF(H$9="","",IF(NOT(ISNUMBER(_xll.ciqfunctions.udf.CIQ($D$4,$B16, H$9, $H$4, $E$4, , $F$4, $G$4))),"",_xll.ciqfunctions.udf.CIQ($D$4,$B16, H$9, $H$4, $E$4, , $F$4, $G$4)))</f>
        <v>0</v>
      </c>
      <c r="I16" s="178">
        <f ca="1">IF(I$9="","",IF(NOT(ISNUMBER(_xll.ciqfunctions.udf.CIQ($D$4,$B16, I$9, $H$4, $E$4, , $F$4, $G$4))),"",_xll.ciqfunctions.udf.CIQ($D$4,$B16, I$9, $H$4, $E$4, , $F$4, $G$4)))</f>
        <v>0</v>
      </c>
      <c r="J16" s="178">
        <f ca="1">IF(J$9="","",IF(NOT(ISNUMBER(_xll.ciqfunctions.udf.CIQ($D$4,$B16, J$9, $H$4, $E$4, , $F$4, $G$4))),"",_xll.ciqfunctions.udf.CIQ($D$4,$B16, J$9, $H$4, $E$4, , $F$4, $G$4)))</f>
        <v>0</v>
      </c>
      <c r="K16" s="178">
        <f ca="1">IF(K$9="","",IF(NOT(ISNUMBER(_xll.ciqfunctions.udf.CIQ($D$4,$B16, K$9, $H$4, $E$4, , $F$4, $G$4))),"",_xll.ciqfunctions.udf.CIQ($D$4,$B16, K$9, $H$4, $E$4, , $F$4, $G$4)))</f>
        <v>0</v>
      </c>
      <c r="L16" s="178">
        <f ca="1">IF(L$9="","",IF(NOT(ISNUMBER(_xll.ciqfunctions.udf.CIQ($D$4,$B16, L$9, $H$4, $E$4, , $F$4, $G$4))),"",_xll.ciqfunctions.udf.CIQ($D$4,$B16, L$9, $H$4, $E$4, , $F$4, $G$4)))</f>
        <v>0</v>
      </c>
      <c r="M16" s="178" t="str">
        <f>IF(M$9="","",IF(NOT(ISNUMBER(_xll.ciqfunctions.udf.CIQ($D$4,$B16, M$9, $H$4, $E$4, , $F$4, $G$4))),"",_xll.ciqfunctions.udf.CIQ($D$4,$B16, M$9, $H$4, $E$4, , $F$4, $G$4)))</f>
        <v/>
      </c>
      <c r="N16" s="178" t="str">
        <f>IF(N$9="","",IF(NOT(ISNUMBER(_xll.ciqfunctions.udf.CIQ($D$4,$B16, N$9, $H$4, $E$4, , $F$4, $G$4))),"",_xll.ciqfunctions.udf.CIQ($D$4,$B16, N$9, $H$4, $E$4, , $F$4, $G$4)))</f>
        <v/>
      </c>
      <c r="O16" s="178" t="str">
        <f>IF(O$9="","",IF(NOT(ISNUMBER(_xll.ciqfunctions.udf.CIQ($D$4,$B16, O$9, $H$4, $E$4, , $F$4, $G$4))),"",_xll.ciqfunctions.udf.CIQ($D$4,$B16, O$9, $H$4, $E$4, , $F$4, $G$4)))</f>
        <v/>
      </c>
      <c r="P16" s="178" t="str">
        <f>IF(P$9="","",IF(NOT(ISNUMBER(_xll.ciqfunctions.udf.CIQ($D$4,$B16, P$9, $H$4, $E$4, , $F$4, $G$4))),"",_xll.ciqfunctions.udf.CIQ($D$4,$B16, P$9, $H$4, $E$4, , $F$4, $G$4)))</f>
        <v/>
      </c>
      <c r="Q16" s="178" t="str">
        <f>IF(Q$9="","",IF(NOT(ISNUMBER(_xll.ciqfunctions.udf.CIQ($D$4,$B16, Q$9, $H$4, $E$4, , $F$4, $G$4))),"",_xll.ciqfunctions.udf.CIQ($D$4,$B16, Q$9, $H$4, $E$4, , $F$4, $G$4)))</f>
        <v/>
      </c>
      <c r="R16" s="178" t="str">
        <f>IF(R$9="","",IF(NOT(ISNUMBER(_xll.ciqfunctions.udf.CIQ($D$4,$B16, R$9, $H$4, $E$4, , $F$4, $G$4))),"",_xll.ciqfunctions.udf.CIQ($D$4,$B16, R$9, $H$4, $E$4, , $F$4, $G$4)))</f>
        <v/>
      </c>
      <c r="S16" s="178" t="str">
        <f>IF(S$9="","",IF(NOT(ISNUMBER(_xll.ciqfunctions.udf.CIQ($D$4,$B16, S$9, $H$4, $E$4, , $F$4, $G$4))),"",_xll.ciqfunctions.udf.CIQ($D$4,$B16, S$9, $H$4, $E$4, , $F$4, $G$4)))</f>
        <v/>
      </c>
      <c r="T16" s="178" t="str">
        <f>IF(T$9="","",IF(NOT(ISNUMBER(_xll.ciqfunctions.udf.CIQ($D$4,$B16, T$9, $H$4, $E$4, , $F$4, $G$4))),"",_xll.ciqfunctions.udf.CIQ($D$4,$B16, T$9, $H$4, $E$4, , $F$4, $G$4)))</f>
        <v/>
      </c>
      <c r="U16" s="178" t="str">
        <f>IF(U$9="","",IF(NOT(ISNUMBER(_xll.ciqfunctions.udf.CIQ($D$4,$B16, U$9, $H$4, $E$4, , $F$4, $G$4))),"",_xll.ciqfunctions.udf.CIQ($D$4,$B16, U$9, $H$4, $E$4, , $F$4, $G$4)))</f>
        <v/>
      </c>
      <c r="V16" s="178" t="str">
        <f>IF(V$9="","",IF(NOT(ISNUMBER(_xll.ciqfunctions.udf.CIQ($D$4,$B16, V$9, $H$4, $E$4, , $F$4, $G$4))),"",_xll.ciqfunctions.udf.CIQ($D$4,$B16, V$9, $H$4, $E$4, , $F$4, $G$4)))</f>
        <v/>
      </c>
      <c r="W16" s="178" t="str">
        <f>IF(W$9="","",IF(NOT(ISNUMBER(_xll.ciqfunctions.udf.CIQ($D$4,$B16, W$9, $H$4, $E$4, , $F$4, $G$4))),"",_xll.ciqfunctions.udf.CIQ($D$4,$B16, W$9, $H$4, $E$4, , $F$4, $G$4)))</f>
        <v/>
      </c>
    </row>
    <row r="17" spans="1:23" ht="15" customHeight="1" x14ac:dyDescent="0.2">
      <c r="A17" s="140" t="s">
        <v>215</v>
      </c>
      <c r="B17" s="140" t="s">
        <v>222</v>
      </c>
      <c r="C17" s="178">
        <f ca="1">IF(C$9="","",IF(NOT(ISNUMBER(_xll.ciqfunctions.udf.CIQ($D$4,$B17, C$9, $H$4, $E$4, , $F$4, $G$4))),"",_xll.ciqfunctions.udf.CIQ($D$4,$B17, C$9, $H$4, $E$4, , $F$4, $G$4)))</f>
        <v>0</v>
      </c>
      <c r="D17" s="178">
        <f ca="1">IF(D$9="","",IF(NOT(ISNUMBER(_xll.ciqfunctions.udf.CIQ($D$4,$B17, D$9, $H$4, $E$4, , $F$4, $G$4))),"",_xll.ciqfunctions.udf.CIQ($D$4,$B17, D$9, $H$4, $E$4, , $F$4, $G$4)))</f>
        <v>0</v>
      </c>
      <c r="E17" s="178">
        <f ca="1">IF(E$9="","",IF(NOT(ISNUMBER(_xll.ciqfunctions.udf.CIQ($D$4,$B17, E$9, $H$4, $E$4, , $F$4, $G$4))),"",_xll.ciqfunctions.udf.CIQ($D$4,$B17, E$9, $H$4, $E$4, , $F$4, $G$4)))</f>
        <v>0</v>
      </c>
      <c r="F17" s="178">
        <f ca="1">IF(F$9="","",IF(NOT(ISNUMBER(_xll.ciqfunctions.udf.CIQ($D$4,$B17, F$9, $H$4, $E$4, , $F$4, $G$4))),"",_xll.ciqfunctions.udf.CIQ($D$4,$B17, F$9, $H$4, $E$4, , $F$4, $G$4)))</f>
        <v>0</v>
      </c>
      <c r="G17" s="178">
        <f ca="1">IF(G$9="","",IF(NOT(ISNUMBER(_xll.ciqfunctions.udf.CIQ($D$4,$B17, G$9, $H$4, $E$4, , $F$4, $G$4))),"",_xll.ciqfunctions.udf.CIQ($D$4,$B17, G$9, $H$4, $E$4, , $F$4, $G$4)))</f>
        <v>0</v>
      </c>
      <c r="H17" s="178">
        <f ca="1">IF(H$9="","",IF(NOT(ISNUMBER(_xll.ciqfunctions.udf.CIQ($D$4,$B17, H$9, $H$4, $E$4, , $F$4, $G$4))),"",_xll.ciqfunctions.udf.CIQ($D$4,$B17, H$9, $H$4, $E$4, , $F$4, $G$4)))</f>
        <v>0</v>
      </c>
      <c r="I17" s="178">
        <f ca="1">IF(I$9="","",IF(NOT(ISNUMBER(_xll.ciqfunctions.udf.CIQ($D$4,$B17, I$9, $H$4, $E$4, , $F$4, $G$4))),"",_xll.ciqfunctions.udf.CIQ($D$4,$B17, I$9, $H$4, $E$4, , $F$4, $G$4)))</f>
        <v>0</v>
      </c>
      <c r="J17" s="178">
        <f ca="1">IF(J$9="","",IF(NOT(ISNUMBER(_xll.ciqfunctions.udf.CIQ($D$4,$B17, J$9, $H$4, $E$4, , $F$4, $G$4))),"",_xll.ciqfunctions.udf.CIQ($D$4,$B17, J$9, $H$4, $E$4, , $F$4, $G$4)))</f>
        <v>0</v>
      </c>
      <c r="K17" s="178">
        <f ca="1">IF(K$9="","",IF(NOT(ISNUMBER(_xll.ciqfunctions.udf.CIQ($D$4,$B17, K$9, $H$4, $E$4, , $F$4, $G$4))),"",_xll.ciqfunctions.udf.CIQ($D$4,$B17, K$9, $H$4, $E$4, , $F$4, $G$4)))</f>
        <v>0</v>
      </c>
      <c r="L17" s="178">
        <f ca="1">IF(L$9="","",IF(NOT(ISNUMBER(_xll.ciqfunctions.udf.CIQ($D$4,$B17, L$9, $H$4, $E$4, , $F$4, $G$4))),"",_xll.ciqfunctions.udf.CIQ($D$4,$B17, L$9, $H$4, $E$4, , $F$4, $G$4)))</f>
        <v>0</v>
      </c>
      <c r="M17" s="178" t="str">
        <f>IF(M$9="","",IF(NOT(ISNUMBER(_xll.ciqfunctions.udf.CIQ($D$4,$B17, M$9, $H$4, $E$4, , $F$4, $G$4))),"",_xll.ciqfunctions.udf.CIQ($D$4,$B17, M$9, $H$4, $E$4, , $F$4, $G$4)))</f>
        <v/>
      </c>
      <c r="N17" s="178" t="str">
        <f>IF(N$9="","",IF(NOT(ISNUMBER(_xll.ciqfunctions.udf.CIQ($D$4,$B17, N$9, $H$4, $E$4, , $F$4, $G$4))),"",_xll.ciqfunctions.udf.CIQ($D$4,$B17, N$9, $H$4, $E$4, , $F$4, $G$4)))</f>
        <v/>
      </c>
      <c r="O17" s="178" t="str">
        <f>IF(O$9="","",IF(NOT(ISNUMBER(_xll.ciqfunctions.udf.CIQ($D$4,$B17, O$9, $H$4, $E$4, , $F$4, $G$4))),"",_xll.ciqfunctions.udf.CIQ($D$4,$B17, O$9, $H$4, $E$4, , $F$4, $G$4)))</f>
        <v/>
      </c>
      <c r="P17" s="178" t="str">
        <f>IF(P$9="","",IF(NOT(ISNUMBER(_xll.ciqfunctions.udf.CIQ($D$4,$B17, P$9, $H$4, $E$4, , $F$4, $G$4))),"",_xll.ciqfunctions.udf.CIQ($D$4,$B17, P$9, $H$4, $E$4, , $F$4, $G$4)))</f>
        <v/>
      </c>
      <c r="Q17" s="178" t="str">
        <f>IF(Q$9="","",IF(NOT(ISNUMBER(_xll.ciqfunctions.udf.CIQ($D$4,$B17, Q$9, $H$4, $E$4, , $F$4, $G$4))),"",_xll.ciqfunctions.udf.CIQ($D$4,$B17, Q$9, $H$4, $E$4, , $F$4, $G$4)))</f>
        <v/>
      </c>
      <c r="R17" s="178" t="str">
        <f>IF(R$9="","",IF(NOT(ISNUMBER(_xll.ciqfunctions.udf.CIQ($D$4,$B17, R$9, $H$4, $E$4, , $F$4, $G$4))),"",_xll.ciqfunctions.udf.CIQ($D$4,$B17, R$9, $H$4, $E$4, , $F$4, $G$4)))</f>
        <v/>
      </c>
      <c r="S17" s="178" t="str">
        <f>IF(S$9="","",IF(NOT(ISNUMBER(_xll.ciqfunctions.udf.CIQ($D$4,$B17, S$9, $H$4, $E$4, , $F$4, $G$4))),"",_xll.ciqfunctions.udf.CIQ($D$4,$B17, S$9, $H$4, $E$4, , $F$4, $G$4)))</f>
        <v/>
      </c>
      <c r="T17" s="178" t="str">
        <f>IF(T$9="","",IF(NOT(ISNUMBER(_xll.ciqfunctions.udf.CIQ($D$4,$B17, T$9, $H$4, $E$4, , $F$4, $G$4))),"",_xll.ciqfunctions.udf.CIQ($D$4,$B17, T$9, $H$4, $E$4, , $F$4, $G$4)))</f>
        <v/>
      </c>
      <c r="U17" s="178" t="str">
        <f>IF(U$9="","",IF(NOT(ISNUMBER(_xll.ciqfunctions.udf.CIQ($D$4,$B17, U$9, $H$4, $E$4, , $F$4, $G$4))),"",_xll.ciqfunctions.udf.CIQ($D$4,$B17, U$9, $H$4, $E$4, , $F$4, $G$4)))</f>
        <v/>
      </c>
      <c r="V17" s="178" t="str">
        <f>IF(V$9="","",IF(NOT(ISNUMBER(_xll.ciqfunctions.udf.CIQ($D$4,$B17, V$9, $H$4, $E$4, , $F$4, $G$4))),"",_xll.ciqfunctions.udf.CIQ($D$4,$B17, V$9, $H$4, $E$4, , $F$4, $G$4)))</f>
        <v/>
      </c>
      <c r="W17" s="178" t="str">
        <f>IF(W$9="","",IF(NOT(ISNUMBER(_xll.ciqfunctions.udf.CIQ($D$4,$B17, W$9, $H$4, $E$4, , $F$4, $G$4))),"",_xll.ciqfunctions.udf.CIQ($D$4,$B17, W$9, $H$4, $E$4, , $F$4, $G$4)))</f>
        <v/>
      </c>
    </row>
    <row r="18" spans="1:23" ht="15" customHeight="1" x14ac:dyDescent="0.2">
      <c r="A18" s="159" t="s">
        <v>216</v>
      </c>
      <c r="B18" s="159"/>
      <c r="C18" s="162">
        <f ca="1">IFERROR(IF(C$10="","",C16+C17),"NA")</f>
        <v>0</v>
      </c>
      <c r="D18" s="162">
        <f ca="1">IFERROR(IF(D$10="","",D16+D17),"NA")</f>
        <v>0</v>
      </c>
      <c r="E18" s="162">
        <f t="shared" ref="E18:W18" ca="1" si="3">IFERROR(IF(E$10="","",E16+E17),"NA")</f>
        <v>0</v>
      </c>
      <c r="F18" s="162">
        <f t="shared" ca="1" si="3"/>
        <v>0</v>
      </c>
      <c r="G18" s="162">
        <f t="shared" ca="1" si="3"/>
        <v>0</v>
      </c>
      <c r="H18" s="162">
        <f t="shared" ca="1" si="3"/>
        <v>0</v>
      </c>
      <c r="I18" s="162">
        <f t="shared" ca="1" si="3"/>
        <v>0</v>
      </c>
      <c r="J18" s="162">
        <f t="shared" ca="1" si="3"/>
        <v>0</v>
      </c>
      <c r="K18" s="162">
        <f t="shared" ca="1" si="3"/>
        <v>0</v>
      </c>
      <c r="L18" s="162">
        <f t="shared" ca="1" si="3"/>
        <v>0</v>
      </c>
      <c r="M18" s="162" t="str">
        <f t="shared" si="3"/>
        <v/>
      </c>
      <c r="N18" s="162" t="str">
        <f t="shared" si="3"/>
        <v/>
      </c>
      <c r="O18" s="162" t="str">
        <f t="shared" si="3"/>
        <v/>
      </c>
      <c r="P18" s="162" t="str">
        <f t="shared" si="3"/>
        <v/>
      </c>
      <c r="Q18" s="162" t="str">
        <f t="shared" si="3"/>
        <v/>
      </c>
      <c r="R18" s="162" t="str">
        <f t="shared" si="3"/>
        <v/>
      </c>
      <c r="S18" s="162" t="str">
        <f t="shared" si="3"/>
        <v/>
      </c>
      <c r="T18" s="162" t="str">
        <f t="shared" si="3"/>
        <v/>
      </c>
      <c r="U18" s="162" t="str">
        <f t="shared" si="3"/>
        <v/>
      </c>
      <c r="V18" s="162" t="str">
        <f t="shared" si="3"/>
        <v/>
      </c>
      <c r="W18" s="162" t="str">
        <f t="shared" si="3"/>
        <v/>
      </c>
    </row>
    <row r="19" spans="1:23" ht="15" customHeight="1" x14ac:dyDescent="0.2">
      <c r="C19" s="157"/>
      <c r="D19" s="157"/>
      <c r="E19" s="157"/>
      <c r="F19" s="157"/>
      <c r="G19" s="157"/>
      <c r="H19" s="157"/>
      <c r="I19" s="157"/>
      <c r="J19" s="157"/>
      <c r="K19" s="157"/>
      <c r="L19" s="157"/>
      <c r="M19" s="157"/>
      <c r="N19" s="157"/>
      <c r="O19" s="157"/>
      <c r="P19" s="157"/>
      <c r="Q19" s="157"/>
      <c r="R19" s="157"/>
      <c r="S19" s="157"/>
      <c r="T19" s="157"/>
      <c r="U19" s="157"/>
      <c r="V19" s="157"/>
      <c r="W19" s="157"/>
    </row>
    <row r="20" spans="1:23" ht="15" customHeight="1" x14ac:dyDescent="0.2">
      <c r="A20" s="25" t="s">
        <v>217</v>
      </c>
      <c r="B20" s="25" t="s">
        <v>224</v>
      </c>
      <c r="C20" s="178">
        <f ca="1">IF(C$9="","",IF(NOT(ISNUMBER(_xll.ciqfunctions.udf.CIQ($D$4,$B20, C$9, $H$4, $E$4, , $F$4, $G$4))),"",_xll.ciqfunctions.udf.CIQ($D$4,$B20, C$9, $H$4, $E$4, , $F$4, $G$4)))</f>
        <v>0</v>
      </c>
      <c r="D20" s="178">
        <f ca="1">IF(D$9="","",IF(NOT(ISNUMBER(_xll.ciqfunctions.udf.CIQ($D$4,$B20, D$9, $H$4, $E$4, , $F$4, $G$4))),"",_xll.ciqfunctions.udf.CIQ($D$4,$B20, D$9, $H$4, $E$4, , $F$4, $G$4)))</f>
        <v>0</v>
      </c>
      <c r="E20" s="178">
        <f ca="1">IF(E$9="","",IF(NOT(ISNUMBER(_xll.ciqfunctions.udf.CIQ($D$4,$B20, E$9, $H$4, $E$4, , $F$4, $G$4))),"",_xll.ciqfunctions.udf.CIQ($D$4,$B20, E$9, $H$4, $E$4, , $F$4, $G$4)))</f>
        <v>0</v>
      </c>
      <c r="F20" s="178">
        <f ca="1">IF(F$9="","",IF(NOT(ISNUMBER(_xll.ciqfunctions.udf.CIQ($D$4,$B20, F$9, $H$4, $E$4, , $F$4, $G$4))),"",_xll.ciqfunctions.udf.CIQ($D$4,$B20, F$9, $H$4, $E$4, , $F$4, $G$4)))</f>
        <v>0</v>
      </c>
      <c r="G20" s="178">
        <f ca="1">IF(G$9="","",IF(NOT(ISNUMBER(_xll.ciqfunctions.udf.CIQ($D$4,$B20, G$9, $H$4, $E$4, , $F$4, $G$4))),"",_xll.ciqfunctions.udf.CIQ($D$4,$B20, G$9, $H$4, $E$4, , $F$4, $G$4)))</f>
        <v>0</v>
      </c>
      <c r="H20" s="178">
        <f ca="1">IF(H$9="","",IF(NOT(ISNUMBER(_xll.ciqfunctions.udf.CIQ($D$4,$B20, H$9, $H$4, $E$4, , $F$4, $G$4))),"",_xll.ciqfunctions.udf.CIQ($D$4,$B20, H$9, $H$4, $E$4, , $F$4, $G$4)))</f>
        <v>0</v>
      </c>
      <c r="I20" s="178">
        <f ca="1">IF(I$9="","",IF(NOT(ISNUMBER(_xll.ciqfunctions.udf.CIQ($D$4,$B20, I$9, $H$4, $E$4, , $F$4, $G$4))),"",_xll.ciqfunctions.udf.CIQ($D$4,$B20, I$9, $H$4, $E$4, , $F$4, $G$4)))</f>
        <v>0</v>
      </c>
      <c r="J20" s="178">
        <f ca="1">IF(J$9="","",IF(NOT(ISNUMBER(_xll.ciqfunctions.udf.CIQ($D$4,$B20, J$9, $H$4, $E$4, , $F$4, $G$4))),"",_xll.ciqfunctions.udf.CIQ($D$4,$B20, J$9, $H$4, $E$4, , $F$4, $G$4)))</f>
        <v>0</v>
      </c>
      <c r="K20" s="178">
        <f ca="1">IF(K$9="","",IF(NOT(ISNUMBER(_xll.ciqfunctions.udf.CIQ($D$4,$B20, K$9, $H$4, $E$4, , $F$4, $G$4))),"",_xll.ciqfunctions.udf.CIQ($D$4,$B20, K$9, $H$4, $E$4, , $F$4, $G$4)))</f>
        <v>0</v>
      </c>
      <c r="L20" s="178">
        <f ca="1">IF(L$9="","",IF(NOT(ISNUMBER(_xll.ciqfunctions.udf.CIQ($D$4,$B20, L$9, $H$4, $E$4, , $F$4, $G$4))),"",_xll.ciqfunctions.udf.CIQ($D$4,$B20, L$9, $H$4, $E$4, , $F$4, $G$4)))</f>
        <v>0</v>
      </c>
      <c r="M20" s="178" t="str">
        <f>IF(M$9="","",IF(NOT(ISNUMBER(_xll.ciqfunctions.udf.CIQ($D$4,$B20, M$9, $H$4, $E$4, , $F$4, $G$4))),"",_xll.ciqfunctions.udf.CIQ($D$4,$B20, M$9, $H$4, $E$4, , $F$4, $G$4)))</f>
        <v/>
      </c>
      <c r="N20" s="178" t="str">
        <f>IF(N$9="","",IF(NOT(ISNUMBER(_xll.ciqfunctions.udf.CIQ($D$4,$B20, N$9, $H$4, $E$4, , $F$4, $G$4))),"",_xll.ciqfunctions.udf.CIQ($D$4,$B20, N$9, $H$4, $E$4, , $F$4, $G$4)))</f>
        <v/>
      </c>
      <c r="O20" s="178" t="str">
        <f>IF(O$9="","",IF(NOT(ISNUMBER(_xll.ciqfunctions.udf.CIQ($D$4,$B20, O$9, $H$4, $E$4, , $F$4, $G$4))),"",_xll.ciqfunctions.udf.CIQ($D$4,$B20, O$9, $H$4, $E$4, , $F$4, $G$4)))</f>
        <v/>
      </c>
      <c r="P20" s="178" t="str">
        <f>IF(P$9="","",IF(NOT(ISNUMBER(_xll.ciqfunctions.udf.CIQ($D$4,$B20, P$9, $H$4, $E$4, , $F$4, $G$4))),"",_xll.ciqfunctions.udf.CIQ($D$4,$B20, P$9, $H$4, $E$4, , $F$4, $G$4)))</f>
        <v/>
      </c>
      <c r="Q20" s="178" t="str">
        <f>IF(Q$9="","",IF(NOT(ISNUMBER(_xll.ciqfunctions.udf.CIQ($D$4,$B20, Q$9, $H$4, $E$4, , $F$4, $G$4))),"",_xll.ciqfunctions.udf.CIQ($D$4,$B20, Q$9, $H$4, $E$4, , $F$4, $G$4)))</f>
        <v/>
      </c>
      <c r="R20" s="178" t="str">
        <f>IF(R$9="","",IF(NOT(ISNUMBER(_xll.ciqfunctions.udf.CIQ($D$4,$B20, R$9, $H$4, $E$4, , $F$4, $G$4))),"",_xll.ciqfunctions.udf.CIQ($D$4,$B20, R$9, $H$4, $E$4, , $F$4, $G$4)))</f>
        <v/>
      </c>
      <c r="S20" s="178" t="str">
        <f>IF(S$9="","",IF(NOT(ISNUMBER(_xll.ciqfunctions.udf.CIQ($D$4,$B20, S$9, $H$4, $E$4, , $F$4, $G$4))),"",_xll.ciqfunctions.udf.CIQ($D$4,$B20, S$9, $H$4, $E$4, , $F$4, $G$4)))</f>
        <v/>
      </c>
      <c r="T20" s="178" t="str">
        <f>IF(T$9="","",IF(NOT(ISNUMBER(_xll.ciqfunctions.udf.CIQ($D$4,$B20, T$9, $H$4, $E$4, , $F$4, $G$4))),"",_xll.ciqfunctions.udf.CIQ($D$4,$B20, T$9, $H$4, $E$4, , $F$4, $G$4)))</f>
        <v/>
      </c>
      <c r="U20" s="178" t="str">
        <f>IF(U$9="","",IF(NOT(ISNUMBER(_xll.ciqfunctions.udf.CIQ($D$4,$B20, U$9, $H$4, $E$4, , $F$4, $G$4))),"",_xll.ciqfunctions.udf.CIQ($D$4,$B20, U$9, $H$4, $E$4, , $F$4, $G$4)))</f>
        <v/>
      </c>
      <c r="V20" s="178" t="str">
        <f>IF(V$9="","",IF(NOT(ISNUMBER(_xll.ciqfunctions.udf.CIQ($D$4,$B20, V$9, $H$4, $E$4, , $F$4, $G$4))),"",_xll.ciqfunctions.udf.CIQ($D$4,$B20, V$9, $H$4, $E$4, , $F$4, $G$4)))</f>
        <v/>
      </c>
      <c r="W20" s="178" t="str">
        <f>IF(W$9="","",IF(NOT(ISNUMBER(_xll.ciqfunctions.udf.CIQ($D$4,$B20, W$9, $H$4, $E$4, , $F$4, $G$4))),"",_xll.ciqfunctions.udf.CIQ($D$4,$B20, W$9, $H$4, $E$4, , $F$4, $G$4)))</f>
        <v/>
      </c>
    </row>
    <row r="21" spans="1:23" ht="15" customHeight="1" x14ac:dyDescent="0.2">
      <c r="A21" s="140" t="s">
        <v>218</v>
      </c>
      <c r="B21" s="140" t="s">
        <v>226</v>
      </c>
      <c r="C21" s="178">
        <f ca="1">IF(C$9="","",IF(NOT(ISNUMBER(_xll.ciqfunctions.udf.CIQ($D$4,$B21, C$9, $H$4, $E$4, , $F$4, $G$4))),"",_xll.ciqfunctions.udf.CIQ($D$4,$B21, C$9, $H$4, $E$4, , $F$4, $G$4)))</f>
        <v>0</v>
      </c>
      <c r="D21" s="178">
        <f ca="1">IF(D$9="","",IF(NOT(ISNUMBER(_xll.ciqfunctions.udf.CIQ($D$4,$B21, D$9, $H$4, $E$4, , $F$4, $G$4))),"",_xll.ciqfunctions.udf.CIQ($D$4,$B21, D$9, $H$4, $E$4, , $F$4, $G$4)))</f>
        <v>0</v>
      </c>
      <c r="E21" s="178">
        <f ca="1">IF(E$9="","",IF(NOT(ISNUMBER(_xll.ciqfunctions.udf.CIQ($D$4,$B21, E$9, $H$4, $E$4, , $F$4, $G$4))),"",_xll.ciqfunctions.udf.CIQ($D$4,$B21, E$9, $H$4, $E$4, , $F$4, $G$4)))</f>
        <v>0</v>
      </c>
      <c r="F21" s="178">
        <f ca="1">IF(F$9="","",IF(NOT(ISNUMBER(_xll.ciqfunctions.udf.CIQ($D$4,$B21, F$9, $H$4, $E$4, , $F$4, $G$4))),"",_xll.ciqfunctions.udf.CIQ($D$4,$B21, F$9, $H$4, $E$4, , $F$4, $G$4)))</f>
        <v>0</v>
      </c>
      <c r="G21" s="178">
        <f ca="1">IF(G$9="","",IF(NOT(ISNUMBER(_xll.ciqfunctions.udf.CIQ($D$4,$B21, G$9, $H$4, $E$4, , $F$4, $G$4))),"",_xll.ciqfunctions.udf.CIQ($D$4,$B21, G$9, $H$4, $E$4, , $F$4, $G$4)))</f>
        <v>0</v>
      </c>
      <c r="H21" s="178">
        <f ca="1">IF(H$9="","",IF(NOT(ISNUMBER(_xll.ciqfunctions.udf.CIQ($D$4,$B21, H$9, $H$4, $E$4, , $F$4, $G$4))),"",_xll.ciqfunctions.udf.CIQ($D$4,$B21, H$9, $H$4, $E$4, , $F$4, $G$4)))</f>
        <v>0</v>
      </c>
      <c r="I21" s="178">
        <f ca="1">IF(I$9="","",IF(NOT(ISNUMBER(_xll.ciqfunctions.udf.CIQ($D$4,$B21, I$9, $H$4, $E$4, , $F$4, $G$4))),"",_xll.ciqfunctions.udf.CIQ($D$4,$B21, I$9, $H$4, $E$4, , $F$4, $G$4)))</f>
        <v>0</v>
      </c>
      <c r="J21" s="178">
        <f ca="1">IF(J$9="","",IF(NOT(ISNUMBER(_xll.ciqfunctions.udf.CIQ($D$4,$B21, J$9, $H$4, $E$4, , $F$4, $G$4))),"",_xll.ciqfunctions.udf.CIQ($D$4,$B21, J$9, $H$4, $E$4, , $F$4, $G$4)))</f>
        <v>0</v>
      </c>
      <c r="K21" s="178">
        <f ca="1">IF(K$9="","",IF(NOT(ISNUMBER(_xll.ciqfunctions.udf.CIQ($D$4,$B21, K$9, $H$4, $E$4, , $F$4, $G$4))),"",_xll.ciqfunctions.udf.CIQ($D$4,$B21, K$9, $H$4, $E$4, , $F$4, $G$4)))</f>
        <v>0</v>
      </c>
      <c r="L21" s="178">
        <f ca="1">IF(L$9="","",IF(NOT(ISNUMBER(_xll.ciqfunctions.udf.CIQ($D$4,$B21, L$9, $H$4, $E$4, , $F$4, $G$4))),"",_xll.ciqfunctions.udf.CIQ($D$4,$B21, L$9, $H$4, $E$4, , $F$4, $G$4)))</f>
        <v>0</v>
      </c>
      <c r="M21" s="178" t="str">
        <f>IF(M$9="","",IF(NOT(ISNUMBER(_xll.ciqfunctions.udf.CIQ($D$4,$B21, M$9, $H$4, $E$4, , $F$4, $G$4))),"",_xll.ciqfunctions.udf.CIQ($D$4,$B21, M$9, $H$4, $E$4, , $F$4, $G$4)))</f>
        <v/>
      </c>
      <c r="N21" s="178" t="str">
        <f>IF(N$9="","",IF(NOT(ISNUMBER(_xll.ciqfunctions.udf.CIQ($D$4,$B21, N$9, $H$4, $E$4, , $F$4, $G$4))),"",_xll.ciqfunctions.udf.CIQ($D$4,$B21, N$9, $H$4, $E$4, , $F$4, $G$4)))</f>
        <v/>
      </c>
      <c r="O21" s="178" t="str">
        <f>IF(O$9="","",IF(NOT(ISNUMBER(_xll.ciqfunctions.udf.CIQ($D$4,$B21, O$9, $H$4, $E$4, , $F$4, $G$4))),"",_xll.ciqfunctions.udf.CIQ($D$4,$B21, O$9, $H$4, $E$4, , $F$4, $G$4)))</f>
        <v/>
      </c>
      <c r="P21" s="178" t="str">
        <f>IF(P$9="","",IF(NOT(ISNUMBER(_xll.ciqfunctions.udf.CIQ($D$4,$B21, P$9, $H$4, $E$4, , $F$4, $G$4))),"",_xll.ciqfunctions.udf.CIQ($D$4,$B21, P$9, $H$4, $E$4, , $F$4, $G$4)))</f>
        <v/>
      </c>
      <c r="Q21" s="178" t="str">
        <f>IF(Q$9="","",IF(NOT(ISNUMBER(_xll.ciqfunctions.udf.CIQ($D$4,$B21, Q$9, $H$4, $E$4, , $F$4, $G$4))),"",_xll.ciqfunctions.udf.CIQ($D$4,$B21, Q$9, $H$4, $E$4, , $F$4, $G$4)))</f>
        <v/>
      </c>
      <c r="R21" s="178" t="str">
        <f>IF(R$9="","",IF(NOT(ISNUMBER(_xll.ciqfunctions.udf.CIQ($D$4,$B21, R$9, $H$4, $E$4, , $F$4, $G$4))),"",_xll.ciqfunctions.udf.CIQ($D$4,$B21, R$9, $H$4, $E$4, , $F$4, $G$4)))</f>
        <v/>
      </c>
      <c r="S21" s="178" t="str">
        <f>IF(S$9="","",IF(NOT(ISNUMBER(_xll.ciqfunctions.udf.CIQ($D$4,$B21, S$9, $H$4, $E$4, , $F$4, $G$4))),"",_xll.ciqfunctions.udf.CIQ($D$4,$B21, S$9, $H$4, $E$4, , $F$4, $G$4)))</f>
        <v/>
      </c>
      <c r="T21" s="178" t="str">
        <f>IF(T$9="","",IF(NOT(ISNUMBER(_xll.ciqfunctions.udf.CIQ($D$4,$B21, T$9, $H$4, $E$4, , $F$4, $G$4))),"",_xll.ciqfunctions.udf.CIQ($D$4,$B21, T$9, $H$4, $E$4, , $F$4, $G$4)))</f>
        <v/>
      </c>
      <c r="U21" s="178" t="str">
        <f>IF(U$9="","",IF(NOT(ISNUMBER(_xll.ciqfunctions.udf.CIQ($D$4,$B21, U$9, $H$4, $E$4, , $F$4, $G$4))),"",_xll.ciqfunctions.udf.CIQ($D$4,$B21, U$9, $H$4, $E$4, , $F$4, $G$4)))</f>
        <v/>
      </c>
      <c r="V21" s="178" t="str">
        <f>IF(V$9="","",IF(NOT(ISNUMBER(_xll.ciqfunctions.udf.CIQ($D$4,$B21, V$9, $H$4, $E$4, , $F$4, $G$4))),"",_xll.ciqfunctions.udf.CIQ($D$4,$B21, V$9, $H$4, $E$4, , $F$4, $G$4)))</f>
        <v/>
      </c>
      <c r="W21" s="178" t="str">
        <f>IF(W$9="","",IF(NOT(ISNUMBER(_xll.ciqfunctions.udf.CIQ($D$4,$B21, W$9, $H$4, $E$4, , $F$4, $G$4))),"",_xll.ciqfunctions.udf.CIQ($D$4,$B21, W$9, $H$4, $E$4, , $F$4, $G$4)))</f>
        <v/>
      </c>
    </row>
    <row r="22" spans="1:23" ht="15" customHeight="1" x14ac:dyDescent="0.2">
      <c r="A22" s="175" t="s">
        <v>219</v>
      </c>
      <c r="B22" s="175"/>
      <c r="C22" s="162">
        <f ca="1">IFERROR(IF(C$10="","",C20+C21),"NA")</f>
        <v>0</v>
      </c>
      <c r="D22" s="162">
        <f ca="1">IFERROR(IF(D$10="","",D20+D21),"NA")</f>
        <v>0</v>
      </c>
      <c r="E22" s="162">
        <f t="shared" ref="E22:W22" ca="1" si="4">IFERROR(IF(E$10="","",E20+E21),"NA")</f>
        <v>0</v>
      </c>
      <c r="F22" s="162">
        <f t="shared" ca="1" si="4"/>
        <v>0</v>
      </c>
      <c r="G22" s="162">
        <f t="shared" ca="1" si="4"/>
        <v>0</v>
      </c>
      <c r="H22" s="162">
        <f t="shared" ca="1" si="4"/>
        <v>0</v>
      </c>
      <c r="I22" s="162">
        <f t="shared" ca="1" si="4"/>
        <v>0</v>
      </c>
      <c r="J22" s="162">
        <f t="shared" ca="1" si="4"/>
        <v>0</v>
      </c>
      <c r="K22" s="162">
        <f t="shared" ca="1" si="4"/>
        <v>0</v>
      </c>
      <c r="L22" s="162">
        <f t="shared" ca="1" si="4"/>
        <v>0</v>
      </c>
      <c r="M22" s="162" t="str">
        <f t="shared" si="4"/>
        <v/>
      </c>
      <c r="N22" s="162" t="str">
        <f t="shared" si="4"/>
        <v/>
      </c>
      <c r="O22" s="162" t="str">
        <f t="shared" si="4"/>
        <v/>
      </c>
      <c r="P22" s="162" t="str">
        <f t="shared" si="4"/>
        <v/>
      </c>
      <c r="Q22" s="162" t="str">
        <f t="shared" si="4"/>
        <v/>
      </c>
      <c r="R22" s="162" t="str">
        <f t="shared" si="4"/>
        <v/>
      </c>
      <c r="S22" s="162" t="str">
        <f t="shared" si="4"/>
        <v/>
      </c>
      <c r="T22" s="162" t="str">
        <f t="shared" si="4"/>
        <v/>
      </c>
      <c r="U22" s="162" t="str">
        <f t="shared" si="4"/>
        <v/>
      </c>
      <c r="V22" s="162" t="str">
        <f t="shared" si="4"/>
        <v/>
      </c>
      <c r="W22" s="162" t="str">
        <f t="shared" si="4"/>
        <v/>
      </c>
    </row>
    <row r="23" spans="1:23" ht="15" customHeight="1" x14ac:dyDescent="0.2">
      <c r="C23" s="191"/>
      <c r="D23" s="191"/>
      <c r="E23" s="191"/>
      <c r="F23" s="191"/>
      <c r="G23" s="191"/>
      <c r="H23" s="191"/>
      <c r="I23" s="191"/>
      <c r="J23" s="191"/>
      <c r="K23" s="191"/>
      <c r="L23" s="191"/>
      <c r="M23" s="191"/>
      <c r="N23" s="191"/>
      <c r="O23" s="191"/>
      <c r="P23" s="191"/>
      <c r="Q23" s="191"/>
      <c r="R23" s="191"/>
      <c r="S23" s="191"/>
      <c r="T23" s="191"/>
      <c r="U23" s="191"/>
      <c r="V23" s="191"/>
      <c r="W23" s="191"/>
    </row>
    <row r="24" spans="1:23" ht="15" customHeight="1" x14ac:dyDescent="0.2">
      <c r="A24" s="25" t="s">
        <v>0</v>
      </c>
      <c r="B24" s="25" t="s">
        <v>12</v>
      </c>
      <c r="C24" s="178">
        <f ca="1">IF(C$9="","",IF(NOT(ISNUMBER(_xll.ciqfunctions.udf.CIQ($D$4,$B24, C$9, $H$4, $E$4, , $F$4, $G$4))),"",_xll.ciqfunctions.udf.CIQ($D$4,$B24, C$9, $H$4, $E$4, , $F$4, $G$4)))</f>
        <v>88629</v>
      </c>
      <c r="D24" s="178">
        <f ca="1">IF(D$9="","",IF(NOT(ISNUMBER(_xll.ciqfunctions.udf.CIQ($D$4,$B24, D$9, $H$4, $E$4, , $F$4, $G$4))),"",_xll.ciqfunctions.udf.CIQ($D$4,$B24, D$9, $H$4, $E$4, , $F$4, $G$4)))</f>
        <v>91353</v>
      </c>
      <c r="E24" s="178">
        <f ca="1">IF(E$9="","",IF(NOT(ISNUMBER(_xll.ciqfunctions.udf.CIQ($D$4,$B24, E$9, $H$4, $E$4, , $F$4, $G$4))),"",_xll.ciqfunctions.udf.CIQ($D$4,$B24, E$9, $H$4, $E$4, , $F$4, $G$4)))</f>
        <v>93418</v>
      </c>
      <c r="F24" s="178">
        <f ca="1">IF(F$9="","",IF(NOT(ISNUMBER(_xll.ciqfunctions.udf.CIQ($D$4,$B24, F$9, $H$4, $E$4, , $F$4, $G$4))),"",_xll.ciqfunctions.udf.CIQ($D$4,$B24, F$9, $H$4, $E$4, , $F$4, $G$4)))</f>
        <v>97041</v>
      </c>
      <c r="G24" s="178">
        <f ca="1">IF(G$9="","",IF(NOT(ISNUMBER(_xll.ciqfunctions.udf.CIQ($D$4,$B24, G$9, $H$4, $E$4, , $F$4, $G$4))),"",_xll.ciqfunctions.udf.CIQ($D$4,$B24, G$9, $H$4, $E$4, , $F$4, $G$4)))</f>
        <v>101853</v>
      </c>
      <c r="H24" s="178">
        <f ca="1">IF(H$9="","",IF(NOT(ISNUMBER(_xll.ciqfunctions.udf.CIQ($D$4,$B24, H$9, $H$4, $E$4, , $F$4, $G$4))),"",_xll.ciqfunctions.udf.CIQ($D$4,$B24, H$9, $H$4, $E$4, , $F$4, $G$4)))</f>
        <v>106010</v>
      </c>
      <c r="I24" s="178">
        <f ca="1">IF(I$9="","",IF(NOT(ISNUMBER(_xll.ciqfunctions.udf.CIQ($D$4,$B24, I$9, $H$4, $E$4, , $F$4, $G$4))),"",_xll.ciqfunctions.udf.CIQ($D$4,$B24, I$9, $H$4, $E$4, , $F$4, $G$4)))</f>
        <v>107147</v>
      </c>
      <c r="J24" s="178">
        <f ca="1">IF(J$9="","",IF(NOT(ISNUMBER(_xll.ciqfunctions.udf.CIQ($D$4,$B24, J$9, $H$4, $E$4, , $F$4, $G$4))),"",_xll.ciqfunctions.udf.CIQ($D$4,$B24, J$9, $H$4, $E$4, , $F$4, $G$4)))</f>
        <v>107891</v>
      </c>
      <c r="K24" s="178">
        <f ca="1">IF(K$9="","",IF(NOT(ISNUMBER(_xll.ciqfunctions.udf.CIQ($D$4,$B24, K$9, $H$4, $E$4, , $F$4, $G$4))),"",_xll.ciqfunctions.udf.CIQ($D$4,$B24, K$9, $H$4, $E$4, , $F$4, $G$4)))</f>
        <v>111888</v>
      </c>
      <c r="L24" s="178">
        <f ca="1">IF(L$9="","",IF(NOT(ISNUMBER(_xll.ciqfunctions.udf.CIQ($D$4,$B24, L$9, $H$4, $E$4, , $F$4, $G$4))),"",_xll.ciqfunctions.udf.CIQ($D$4,$B24, L$9, $H$4, $E$4, , $F$4, $G$4)))</f>
        <v>117812</v>
      </c>
      <c r="M24" s="178" t="str">
        <f>IF(M$9="","",IF(NOT(ISNUMBER(_xll.ciqfunctions.udf.CIQ($D$4,$B24, M$9, $H$4, $E$4, , $F$4, $G$4))),"",_xll.ciqfunctions.udf.CIQ($D$4,$B24, M$9, $H$4, $E$4, , $F$4, $G$4)))</f>
        <v/>
      </c>
      <c r="N24" s="178" t="str">
        <f>IF(N$9="","",IF(NOT(ISNUMBER(_xll.ciqfunctions.udf.CIQ($D$4,$B24, N$9, $H$4, $E$4, , $F$4, $G$4))),"",_xll.ciqfunctions.udf.CIQ($D$4,$B24, N$9, $H$4, $E$4, , $F$4, $G$4)))</f>
        <v/>
      </c>
      <c r="O24" s="178" t="str">
        <f>IF(O$9="","",IF(NOT(ISNUMBER(_xll.ciqfunctions.udf.CIQ($D$4,$B24, O$9, $H$4, $E$4, , $F$4, $G$4))),"",_xll.ciqfunctions.udf.CIQ($D$4,$B24, O$9, $H$4, $E$4, , $F$4, $G$4)))</f>
        <v/>
      </c>
      <c r="P24" s="178" t="str">
        <f>IF(P$9="","",IF(NOT(ISNUMBER(_xll.ciqfunctions.udf.CIQ($D$4,$B24, P$9, $H$4, $E$4, , $F$4, $G$4))),"",_xll.ciqfunctions.udf.CIQ($D$4,$B24, P$9, $H$4, $E$4, , $F$4, $G$4)))</f>
        <v/>
      </c>
      <c r="Q24" s="178" t="str">
        <f>IF(Q$9="","",IF(NOT(ISNUMBER(_xll.ciqfunctions.udf.CIQ($D$4,$B24, Q$9, $H$4, $E$4, , $F$4, $G$4))),"",_xll.ciqfunctions.udf.CIQ($D$4,$B24, Q$9, $H$4, $E$4, , $F$4, $G$4)))</f>
        <v/>
      </c>
      <c r="R24" s="178" t="str">
        <f>IF(R$9="","",IF(NOT(ISNUMBER(_xll.ciqfunctions.udf.CIQ($D$4,$B24, R$9, $H$4, $E$4, , $F$4, $G$4))),"",_xll.ciqfunctions.udf.CIQ($D$4,$B24, R$9, $H$4, $E$4, , $F$4, $G$4)))</f>
        <v/>
      </c>
      <c r="S24" s="178" t="str">
        <f>IF(S$9="","",IF(NOT(ISNUMBER(_xll.ciqfunctions.udf.CIQ($D$4,$B24, S$9, $H$4, $E$4, , $F$4, $G$4))),"",_xll.ciqfunctions.udf.CIQ($D$4,$B24, S$9, $H$4, $E$4, , $F$4, $G$4)))</f>
        <v/>
      </c>
      <c r="T24" s="178" t="str">
        <f>IF(T$9="","",IF(NOT(ISNUMBER(_xll.ciqfunctions.udf.CIQ($D$4,$B24, T$9, $H$4, $E$4, , $F$4, $G$4))),"",_xll.ciqfunctions.udf.CIQ($D$4,$B24, T$9, $H$4, $E$4, , $F$4, $G$4)))</f>
        <v/>
      </c>
      <c r="U24" s="178" t="str">
        <f>IF(U$9="","",IF(NOT(ISNUMBER(_xll.ciqfunctions.udf.CIQ($D$4,$B24, U$9, $H$4, $E$4, , $F$4, $G$4))),"",_xll.ciqfunctions.udf.CIQ($D$4,$B24, U$9, $H$4, $E$4, , $F$4, $G$4)))</f>
        <v/>
      </c>
      <c r="V24" s="178" t="str">
        <f>IF(V$9="","",IF(NOT(ISNUMBER(_xll.ciqfunctions.udf.CIQ($D$4,$B24, V$9, $H$4, $E$4, , $F$4, $G$4))),"",_xll.ciqfunctions.udf.CIQ($D$4,$B24, V$9, $H$4, $E$4, , $F$4, $G$4)))</f>
        <v/>
      </c>
      <c r="W24" s="178" t="str">
        <f>IF(W$9="","",IF(NOT(ISNUMBER(_xll.ciqfunctions.udf.CIQ($D$4,$B24, W$9, $H$4, $E$4, , $F$4, $G$4))),"",_xll.ciqfunctions.udf.CIQ($D$4,$B24, W$9, $H$4, $E$4, , $F$4, $G$4)))</f>
        <v/>
      </c>
    </row>
    <row r="25" spans="1:23" ht="15" customHeight="1" x14ac:dyDescent="0.2">
      <c r="A25" s="140" t="s">
        <v>38</v>
      </c>
      <c r="B25" s="140"/>
      <c r="C25" s="178">
        <f ca="1">IFERROR(IF(C$10="","",C26-C24),"NA")</f>
        <v>-88629</v>
      </c>
      <c r="D25" s="178">
        <f ca="1">IFERROR(IF(D$10="","",D26-D24),"NA")</f>
        <v>-91353</v>
      </c>
      <c r="E25" s="178">
        <f t="shared" ref="E25:W25" ca="1" si="5">IFERROR(IF(E$10="","",E26-E24),"NA")</f>
        <v>-93418</v>
      </c>
      <c r="F25" s="178">
        <f t="shared" ca="1" si="5"/>
        <v>-97041</v>
      </c>
      <c r="G25" s="178">
        <f t="shared" ca="1" si="5"/>
        <v>-101853</v>
      </c>
      <c r="H25" s="178">
        <f t="shared" ca="1" si="5"/>
        <v>-106010</v>
      </c>
      <c r="I25" s="178">
        <f t="shared" ca="1" si="5"/>
        <v>-107147</v>
      </c>
      <c r="J25" s="178">
        <f t="shared" ca="1" si="5"/>
        <v>-107891</v>
      </c>
      <c r="K25" s="178">
        <f t="shared" ca="1" si="5"/>
        <v>-111888</v>
      </c>
      <c r="L25" s="178">
        <f t="shared" ca="1" si="5"/>
        <v>-117812</v>
      </c>
      <c r="M25" s="178" t="str">
        <f t="shared" si="5"/>
        <v/>
      </c>
      <c r="N25" s="178" t="str">
        <f t="shared" si="5"/>
        <v/>
      </c>
      <c r="O25" s="178" t="str">
        <f t="shared" si="5"/>
        <v/>
      </c>
      <c r="P25" s="178" t="str">
        <f t="shared" si="5"/>
        <v/>
      </c>
      <c r="Q25" s="178" t="str">
        <f t="shared" si="5"/>
        <v/>
      </c>
      <c r="R25" s="178" t="str">
        <f t="shared" si="5"/>
        <v/>
      </c>
      <c r="S25" s="178" t="str">
        <f t="shared" si="5"/>
        <v/>
      </c>
      <c r="T25" s="178" t="str">
        <f t="shared" si="5"/>
        <v/>
      </c>
      <c r="U25" s="178" t="str">
        <f t="shared" si="5"/>
        <v/>
      </c>
      <c r="V25" s="178" t="str">
        <f t="shared" si="5"/>
        <v/>
      </c>
      <c r="W25" s="178" t="str">
        <f t="shared" si="5"/>
        <v/>
      </c>
    </row>
    <row r="26" spans="1:23" ht="15" customHeight="1" x14ac:dyDescent="0.2">
      <c r="A26" s="159" t="s">
        <v>1169</v>
      </c>
      <c r="B26" s="158" t="s">
        <v>227</v>
      </c>
      <c r="C26" s="162">
        <f ca="1">IF(C$9="","",IF(NOT(ISNUMBER(_xll.ciqfunctions.udf.CIQ($D$4,$B26, C$9, $H$4, $E$4, , $F$4, $G$4))),"",_xll.ciqfunctions.udf.CIQ($D$4,$B26, C$9, $H$4, $E$4, , $F$4, $G$4)))</f>
        <v>0</v>
      </c>
      <c r="D26" s="162">
        <f ca="1">IF(D$9="","",IF(NOT(ISNUMBER(_xll.ciqfunctions.udf.CIQ($D$4,$B26, D$9, $H$4, $E$4, , $F$4, $G$4))),"",_xll.ciqfunctions.udf.CIQ($D$4,$B26, D$9, $H$4, $E$4, , $F$4, $G$4)))</f>
        <v>0</v>
      </c>
      <c r="E26" s="162">
        <f ca="1">IF(E$9="","",IF(NOT(ISNUMBER(_xll.ciqfunctions.udf.CIQ($D$4,$B26, E$9, $H$4, $E$4, , $F$4, $G$4))),"",_xll.ciqfunctions.udf.CIQ($D$4,$B26, E$9, $H$4, $E$4, , $F$4, $G$4)))</f>
        <v>0</v>
      </c>
      <c r="F26" s="162">
        <f ca="1">IF(F$9="","",IF(NOT(ISNUMBER(_xll.ciqfunctions.udf.CIQ($D$4,$B26, F$9, $H$4, $E$4, , $F$4, $G$4))),"",_xll.ciqfunctions.udf.CIQ($D$4,$B26, F$9, $H$4, $E$4, , $F$4, $G$4)))</f>
        <v>0</v>
      </c>
      <c r="G26" s="162">
        <f ca="1">IF(G$9="","",IF(NOT(ISNUMBER(_xll.ciqfunctions.udf.CIQ($D$4,$B26, G$9, $H$4, $E$4, , $F$4, $G$4))),"",_xll.ciqfunctions.udf.CIQ($D$4,$B26, G$9, $H$4, $E$4, , $F$4, $G$4)))</f>
        <v>0</v>
      </c>
      <c r="H26" s="162">
        <f ca="1">IF(H$9="","",IF(NOT(ISNUMBER(_xll.ciqfunctions.udf.CIQ($D$4,$B26, H$9, $H$4, $E$4, , $F$4, $G$4))),"",_xll.ciqfunctions.udf.CIQ($D$4,$B26, H$9, $H$4, $E$4, , $F$4, $G$4)))</f>
        <v>0</v>
      </c>
      <c r="I26" s="162">
        <f ca="1">IF(I$9="","",IF(NOT(ISNUMBER(_xll.ciqfunctions.udf.CIQ($D$4,$B26, I$9, $H$4, $E$4, , $F$4, $G$4))),"",_xll.ciqfunctions.udf.CIQ($D$4,$B26, I$9, $H$4, $E$4, , $F$4, $G$4)))</f>
        <v>0</v>
      </c>
      <c r="J26" s="162">
        <f ca="1">IF(J$9="","",IF(NOT(ISNUMBER(_xll.ciqfunctions.udf.CIQ($D$4,$B26, J$9, $H$4, $E$4, , $F$4, $G$4))),"",_xll.ciqfunctions.udf.CIQ($D$4,$B26, J$9, $H$4, $E$4, , $F$4, $G$4)))</f>
        <v>0</v>
      </c>
      <c r="K26" s="162">
        <f ca="1">IF(K$9="","",IF(NOT(ISNUMBER(_xll.ciqfunctions.udf.CIQ($D$4,$B26, K$9, $H$4, $E$4, , $F$4, $G$4))),"",_xll.ciqfunctions.udf.CIQ($D$4,$B26, K$9, $H$4, $E$4, , $F$4, $G$4)))</f>
        <v>0</v>
      </c>
      <c r="L26" s="162">
        <f ca="1">IF(L$9="","",IF(NOT(ISNUMBER(_xll.ciqfunctions.udf.CIQ($D$4,$B26, L$9, $H$4, $E$4, , $F$4, $G$4))),"",_xll.ciqfunctions.udf.CIQ($D$4,$B26, L$9, $H$4, $E$4, , $F$4, $G$4)))</f>
        <v>0</v>
      </c>
      <c r="M26" s="162" t="str">
        <f>IF(M$9="","",IF(NOT(ISNUMBER(_xll.ciqfunctions.udf.CIQ($D$4,$B26, M$9, $H$4, $E$4, , $F$4, $G$4))),"",_xll.ciqfunctions.udf.CIQ($D$4,$B26, M$9, $H$4, $E$4, , $F$4, $G$4)))</f>
        <v/>
      </c>
      <c r="N26" s="162" t="str">
        <f>IF(N$9="","",IF(NOT(ISNUMBER(_xll.ciqfunctions.udf.CIQ($D$4,$B26, N$9, $H$4, $E$4, , $F$4, $G$4))),"",_xll.ciqfunctions.udf.CIQ($D$4,$B26, N$9, $H$4, $E$4, , $F$4, $G$4)))</f>
        <v/>
      </c>
      <c r="O26" s="162" t="str">
        <f>IF(O$9="","",IF(NOT(ISNUMBER(_xll.ciqfunctions.udf.CIQ($D$4,$B26, O$9, $H$4, $E$4, , $F$4, $G$4))),"",_xll.ciqfunctions.udf.CIQ($D$4,$B26, O$9, $H$4, $E$4, , $F$4, $G$4)))</f>
        <v/>
      </c>
      <c r="P26" s="162" t="str">
        <f>IF(P$9="","",IF(NOT(ISNUMBER(_xll.ciqfunctions.udf.CIQ($D$4,$B26, P$9, $H$4, $E$4, , $F$4, $G$4))),"",_xll.ciqfunctions.udf.CIQ($D$4,$B26, P$9, $H$4, $E$4, , $F$4, $G$4)))</f>
        <v/>
      </c>
      <c r="Q26" s="162" t="str">
        <f>IF(Q$9="","",IF(NOT(ISNUMBER(_xll.ciqfunctions.udf.CIQ($D$4,$B26, Q$9, $H$4, $E$4, , $F$4, $G$4))),"",_xll.ciqfunctions.udf.CIQ($D$4,$B26, Q$9, $H$4, $E$4, , $F$4, $G$4)))</f>
        <v/>
      </c>
      <c r="R26" s="162" t="str">
        <f>IF(R$9="","",IF(NOT(ISNUMBER(_xll.ciqfunctions.udf.CIQ($D$4,$B26, R$9, $H$4, $E$4, , $F$4, $G$4))),"",_xll.ciqfunctions.udf.CIQ($D$4,$B26, R$9, $H$4, $E$4, , $F$4, $G$4)))</f>
        <v/>
      </c>
      <c r="S26" s="162" t="str">
        <f>IF(S$9="","",IF(NOT(ISNUMBER(_xll.ciqfunctions.udf.CIQ($D$4,$B26, S$9, $H$4, $E$4, , $F$4, $G$4))),"",_xll.ciqfunctions.udf.CIQ($D$4,$B26, S$9, $H$4, $E$4, , $F$4, $G$4)))</f>
        <v/>
      </c>
      <c r="T26" s="162" t="str">
        <f>IF(T$9="","",IF(NOT(ISNUMBER(_xll.ciqfunctions.udf.CIQ($D$4,$B26, T$9, $H$4, $E$4, , $F$4, $G$4))),"",_xll.ciqfunctions.udf.CIQ($D$4,$B26, T$9, $H$4, $E$4, , $F$4, $G$4)))</f>
        <v/>
      </c>
      <c r="U26" s="162" t="str">
        <f>IF(U$9="","",IF(NOT(ISNUMBER(_xll.ciqfunctions.udf.CIQ($D$4,$B26, U$9, $H$4, $E$4, , $F$4, $G$4))),"",_xll.ciqfunctions.udf.CIQ($D$4,$B26, U$9, $H$4, $E$4, , $F$4, $G$4)))</f>
        <v/>
      </c>
      <c r="V26" s="162" t="str">
        <f>IF(V$9="","",IF(NOT(ISNUMBER(_xll.ciqfunctions.udf.CIQ($D$4,$B26, V$9, $H$4, $E$4, , $F$4, $G$4))),"",_xll.ciqfunctions.udf.CIQ($D$4,$B26, V$9, $H$4, $E$4, , $F$4, $G$4)))</f>
        <v/>
      </c>
      <c r="W26" s="162" t="str">
        <f>IF(W$9="","",IF(NOT(ISNUMBER(_xll.ciqfunctions.udf.CIQ($D$4,$B26, W$9, $H$4, $E$4, , $F$4, $G$4))),"",_xll.ciqfunctions.udf.CIQ($D$4,$B26, W$9, $H$4, $E$4, , $F$4, $G$4)))</f>
        <v/>
      </c>
    </row>
    <row r="27" spans="1:23" ht="15" customHeight="1" x14ac:dyDescent="0.2">
      <c r="C27" s="191"/>
      <c r="D27" s="191"/>
      <c r="E27" s="191"/>
      <c r="F27" s="191"/>
      <c r="G27" s="191"/>
      <c r="H27" s="191"/>
      <c r="I27" s="191"/>
      <c r="J27" s="191"/>
      <c r="K27" s="191"/>
      <c r="L27" s="191"/>
      <c r="M27" s="191"/>
      <c r="N27" s="191"/>
      <c r="O27" s="191"/>
      <c r="P27" s="191"/>
      <c r="Q27" s="191"/>
      <c r="R27" s="191"/>
      <c r="S27" s="191"/>
      <c r="T27" s="191"/>
      <c r="U27" s="191"/>
      <c r="V27" s="191"/>
      <c r="W27" s="191"/>
    </row>
    <row r="28" spans="1:23" ht="15" customHeight="1" x14ac:dyDescent="0.2">
      <c r="A28" s="140" t="s">
        <v>43</v>
      </c>
      <c r="B28" s="140" t="s">
        <v>377</v>
      </c>
      <c r="C28" s="178">
        <f ca="1">IF(C$9="","",IF(NOT(ISNUMBER(_xll.ciqfunctions.udf.CIQ($D$4,$B28, C$9, $H$4, $E$4, , $F$4, $G$4))),"",_xll.ciqfunctions.udf.CIQ($D$4,$B28, C$9, $H$4, $E$4, , $F$4, $G$4)))</f>
        <v>7958</v>
      </c>
      <c r="D28" s="178">
        <f ca="1">IF(D$9="","",IF(NOT(ISNUMBER(_xll.ciqfunctions.udf.CIQ($D$4,$B28, D$9, $H$4, $E$4, , $F$4, $G$4))),"",_xll.ciqfunctions.udf.CIQ($D$4,$B28, D$9, $H$4, $E$4, , $F$4, $G$4)))</f>
        <v>8105</v>
      </c>
      <c r="E28" s="178">
        <f ca="1">IF(E$9="","",IF(NOT(ISNUMBER(_xll.ciqfunctions.udf.CIQ($D$4,$B28, E$9, $H$4, $E$4, , $F$4, $G$4))),"",_xll.ciqfunctions.udf.CIQ($D$4,$B28, E$9, $H$4, $E$4, , $F$4, $G$4)))</f>
        <v>7985</v>
      </c>
      <c r="F28" s="178">
        <f ca="1">IF(F$9="","",IF(NOT(ISNUMBER(_xll.ciqfunctions.udf.CIQ($D$4,$B28, F$9, $H$4, $E$4, , $F$4, $G$4))),"",_xll.ciqfunctions.udf.CIQ($D$4,$B28, F$9, $H$4, $E$4, , $F$4, $G$4)))</f>
        <v>6558</v>
      </c>
      <c r="G28" s="178">
        <f ca="1">IF(G$9="","",IF(NOT(ISNUMBER(_xll.ciqfunctions.udf.CIQ($D$4,$B28, G$9, $H$4, $E$4, , $F$4, $G$4))),"",_xll.ciqfunctions.udf.CIQ($D$4,$B28, G$9, $H$4, $E$4, , $F$4, $G$4)))</f>
        <v>6204</v>
      </c>
      <c r="H28" s="178">
        <f ca="1">IF(H$9="","",IF(NOT(ISNUMBER(_xll.ciqfunctions.udf.CIQ($D$4,$B28, H$9, $H$4, $E$4, , $F$4, $G$4))),"",_xll.ciqfunctions.udf.CIQ($D$4,$B28, H$9, $H$4, $E$4, , $F$4, $G$4)))</f>
        <v>4600</v>
      </c>
      <c r="I28" s="178">
        <f ca="1">IF(I$9="","",IF(NOT(ISNUMBER(_xll.ciqfunctions.udf.CIQ($D$4,$B28, I$9, $H$4, $E$4, , $F$4, $G$4))),"",_xll.ciqfunctions.udf.CIQ($D$4,$B28, I$9, $H$4, $E$4, , $F$4, $G$4)))</f>
        <v>4281</v>
      </c>
      <c r="J28" s="178">
        <f ca="1">IF(J$9="","",IF(NOT(ISNUMBER(_xll.ciqfunctions.udf.CIQ($D$4,$B28, J$9, $H$4, $E$4, , $F$4, $G$4))),"",_xll.ciqfunctions.udf.CIQ($D$4,$B28, J$9, $H$4, $E$4, , $F$4, $G$4)))</f>
        <v>4915</v>
      </c>
      <c r="K28" s="178">
        <f ca="1">IF(K$9="","",IF(NOT(ISNUMBER(_xll.ciqfunctions.udf.CIQ($D$4,$B28, K$9, $H$4, $E$4, , $F$4, $G$4))),"",_xll.ciqfunctions.udf.CIQ($D$4,$B28, K$9, $H$4, $E$4, , $F$4, $G$4)))</f>
        <v>6858</v>
      </c>
      <c r="L28" s="178">
        <f ca="1">IF(L$9="","",IF(NOT(ISNUMBER(_xll.ciqfunctions.udf.CIQ($D$4,$B28, L$9, $H$4, $E$4, , $F$4, $G$4))),"",_xll.ciqfunctions.udf.CIQ($D$4,$B28, L$9, $H$4, $E$4, , $F$4, $G$4)))</f>
        <v>4756</v>
      </c>
      <c r="M28" s="178" t="str">
        <f>IF(M$9="","",IF(NOT(ISNUMBER(_xll.ciqfunctions.udf.CIQ($D$4,$B28, M$9, $H$4, $E$4, , $F$4, $G$4))),"",_xll.ciqfunctions.udf.CIQ($D$4,$B28, M$9, $H$4, $E$4, , $F$4, $G$4)))</f>
        <v/>
      </c>
      <c r="N28" s="178" t="str">
        <f>IF(N$9="","",IF(NOT(ISNUMBER(_xll.ciqfunctions.udf.CIQ($D$4,$B28, N$9, $H$4, $E$4, , $F$4, $G$4))),"",_xll.ciqfunctions.udf.CIQ($D$4,$B28, N$9, $H$4, $E$4, , $F$4, $G$4)))</f>
        <v/>
      </c>
      <c r="O28" s="178" t="str">
        <f>IF(O$9="","",IF(NOT(ISNUMBER(_xll.ciqfunctions.udf.CIQ($D$4,$B28, O$9, $H$4, $E$4, , $F$4, $G$4))),"",_xll.ciqfunctions.udf.CIQ($D$4,$B28, O$9, $H$4, $E$4, , $F$4, $G$4)))</f>
        <v/>
      </c>
      <c r="P28" s="178" t="str">
        <f>IF(P$9="","",IF(NOT(ISNUMBER(_xll.ciqfunctions.udf.CIQ($D$4,$B28, P$9, $H$4, $E$4, , $F$4, $G$4))),"",_xll.ciqfunctions.udf.CIQ($D$4,$B28, P$9, $H$4, $E$4, , $F$4, $G$4)))</f>
        <v/>
      </c>
      <c r="Q28" s="178" t="str">
        <f>IF(Q$9="","",IF(NOT(ISNUMBER(_xll.ciqfunctions.udf.CIQ($D$4,$B28, Q$9, $H$4, $E$4, , $F$4, $G$4))),"",_xll.ciqfunctions.udf.CIQ($D$4,$B28, Q$9, $H$4, $E$4, , $F$4, $G$4)))</f>
        <v/>
      </c>
      <c r="R28" s="178" t="str">
        <f>IF(R$9="","",IF(NOT(ISNUMBER(_xll.ciqfunctions.udf.CIQ($D$4,$B28, R$9, $H$4, $E$4, , $F$4, $G$4))),"",_xll.ciqfunctions.udf.CIQ($D$4,$B28, R$9, $H$4, $E$4, , $F$4, $G$4)))</f>
        <v/>
      </c>
      <c r="S28" s="178" t="str">
        <f>IF(S$9="","",IF(NOT(ISNUMBER(_xll.ciqfunctions.udf.CIQ($D$4,$B28, S$9, $H$4, $E$4, , $F$4, $G$4))),"",_xll.ciqfunctions.udf.CIQ($D$4,$B28, S$9, $H$4, $E$4, , $F$4, $G$4)))</f>
        <v/>
      </c>
      <c r="T28" s="178" t="str">
        <f>IF(T$9="","",IF(NOT(ISNUMBER(_xll.ciqfunctions.udf.CIQ($D$4,$B28, T$9, $H$4, $E$4, , $F$4, $G$4))),"",_xll.ciqfunctions.udf.CIQ($D$4,$B28, T$9, $H$4, $E$4, , $F$4, $G$4)))</f>
        <v/>
      </c>
      <c r="U28" s="178" t="str">
        <f>IF(U$9="","",IF(NOT(ISNUMBER(_xll.ciqfunctions.udf.CIQ($D$4,$B28, U$9, $H$4, $E$4, , $F$4, $G$4))),"",_xll.ciqfunctions.udf.CIQ($D$4,$B28, U$9, $H$4, $E$4, , $F$4, $G$4)))</f>
        <v/>
      </c>
      <c r="V28" s="178" t="str">
        <f>IF(V$9="","",IF(NOT(ISNUMBER(_xll.ciqfunctions.udf.CIQ($D$4,$B28, V$9, $H$4, $E$4, , $F$4, $G$4))),"",_xll.ciqfunctions.udf.CIQ($D$4,$B28, V$9, $H$4, $E$4, , $F$4, $G$4)))</f>
        <v/>
      </c>
      <c r="W28" s="178" t="str">
        <f>IF(W$9="","",IF(NOT(ISNUMBER(_xll.ciqfunctions.udf.CIQ($D$4,$B28, W$9, $H$4, $E$4, , $F$4, $G$4))),"",_xll.ciqfunctions.udf.CIQ($D$4,$B28, W$9, $H$4, $E$4, , $F$4, $G$4)))</f>
        <v/>
      </c>
    </row>
    <row r="29" spans="1:23" ht="15" customHeight="1" x14ac:dyDescent="0.2">
      <c r="A29" s="170" t="s">
        <v>4</v>
      </c>
      <c r="B29" s="170"/>
      <c r="C29" s="1251">
        <f ca="1">IFERROR(IF(C$10="","",C30-SUM(C22,C26,C28)),"NA")</f>
        <v>-24957</v>
      </c>
      <c r="D29" s="178">
        <f ca="1">IFERROR(IF(D$10="","",D30-SUM(D22,D26,D28)),"NA")</f>
        <v>-24127</v>
      </c>
      <c r="E29" s="178">
        <f t="shared" ref="E29:W29" ca="1" si="6">IFERROR(IF(E$10="","",E30-SUM(E22,E26,E28)),"NA")</f>
        <v>-24348</v>
      </c>
      <c r="F29" s="178">
        <f t="shared" ca="1" si="6"/>
        <v>-21252</v>
      </c>
      <c r="G29" s="178">
        <f t="shared" ca="1" si="6"/>
        <v>-19847</v>
      </c>
      <c r="H29" s="178">
        <f t="shared" ca="1" si="6"/>
        <v>-14462</v>
      </c>
      <c r="I29" s="178">
        <f t="shared" ca="1" si="6"/>
        <v>-10951</v>
      </c>
      <c r="J29" s="178">
        <f t="shared" ca="1" si="6"/>
        <v>-19796</v>
      </c>
      <c r="K29" s="178">
        <f t="shared" ca="1" si="6"/>
        <v>-20368</v>
      </c>
      <c r="L29" s="178">
        <f t="shared" ca="1" si="6"/>
        <v>-18429</v>
      </c>
      <c r="M29" s="178" t="str">
        <f t="shared" si="6"/>
        <v/>
      </c>
      <c r="N29" s="178" t="str">
        <f t="shared" si="6"/>
        <v/>
      </c>
      <c r="O29" s="178" t="str">
        <f t="shared" si="6"/>
        <v/>
      </c>
      <c r="P29" s="178" t="str">
        <f t="shared" si="6"/>
        <v/>
      </c>
      <c r="Q29" s="178" t="str">
        <f t="shared" si="6"/>
        <v/>
      </c>
      <c r="R29" s="178" t="str">
        <f t="shared" si="6"/>
        <v/>
      </c>
      <c r="S29" s="178" t="str">
        <f t="shared" si="6"/>
        <v/>
      </c>
      <c r="T29" s="178" t="str">
        <f t="shared" si="6"/>
        <v/>
      </c>
      <c r="U29" s="178" t="str">
        <f t="shared" si="6"/>
        <v/>
      </c>
      <c r="V29" s="178" t="str">
        <f t="shared" si="6"/>
        <v/>
      </c>
      <c r="W29" s="178" t="str">
        <f t="shared" si="6"/>
        <v/>
      </c>
    </row>
    <row r="30" spans="1:23" ht="15" customHeight="1" x14ac:dyDescent="0.2">
      <c r="A30" s="159" t="s">
        <v>228</v>
      </c>
      <c r="B30" s="159"/>
      <c r="C30" s="162">
        <f ca="1">IFERROR(IF(C$10="","",C18-C35),"NA")</f>
        <v>-16999</v>
      </c>
      <c r="D30" s="162">
        <f ca="1">IFERROR(IF(D$10="","",D18-D35),"NA")</f>
        <v>-16022</v>
      </c>
      <c r="E30" s="162">
        <f t="shared" ref="E30:W30" ca="1" si="7">IFERROR(IF(E$10="","",E18-E35),"NA")</f>
        <v>-16363</v>
      </c>
      <c r="F30" s="162">
        <f t="shared" ca="1" si="7"/>
        <v>-14694</v>
      </c>
      <c r="G30" s="162">
        <f t="shared" ca="1" si="7"/>
        <v>-13643</v>
      </c>
      <c r="H30" s="162">
        <f t="shared" ca="1" si="7"/>
        <v>-9862</v>
      </c>
      <c r="I30" s="162">
        <f t="shared" ca="1" si="7"/>
        <v>-6670</v>
      </c>
      <c r="J30" s="162">
        <f t="shared" ca="1" si="7"/>
        <v>-14881</v>
      </c>
      <c r="K30" s="162">
        <f t="shared" ca="1" si="7"/>
        <v>-13510</v>
      </c>
      <c r="L30" s="162">
        <f t="shared" ca="1" si="7"/>
        <v>-13673</v>
      </c>
      <c r="M30" s="162" t="str">
        <f t="shared" si="7"/>
        <v/>
      </c>
      <c r="N30" s="162" t="str">
        <f t="shared" si="7"/>
        <v/>
      </c>
      <c r="O30" s="162" t="str">
        <f t="shared" si="7"/>
        <v/>
      </c>
      <c r="P30" s="162" t="str">
        <f t="shared" si="7"/>
        <v/>
      </c>
      <c r="Q30" s="162" t="str">
        <f t="shared" si="7"/>
        <v/>
      </c>
      <c r="R30" s="162" t="str">
        <f t="shared" si="7"/>
        <v/>
      </c>
      <c r="S30" s="162" t="str">
        <f t="shared" si="7"/>
        <v/>
      </c>
      <c r="T30" s="162" t="str">
        <f t="shared" si="7"/>
        <v/>
      </c>
      <c r="U30" s="162" t="str">
        <f t="shared" si="7"/>
        <v/>
      </c>
      <c r="V30" s="162" t="str">
        <f t="shared" si="7"/>
        <v/>
      </c>
      <c r="W30" s="162" t="str">
        <f t="shared" si="7"/>
        <v/>
      </c>
    </row>
    <row r="31" spans="1:23" ht="15" customHeight="1" x14ac:dyDescent="0.2">
      <c r="C31" s="191"/>
      <c r="D31" s="191"/>
      <c r="E31" s="191"/>
      <c r="F31" s="191"/>
      <c r="G31" s="191"/>
      <c r="H31" s="191"/>
      <c r="I31" s="191"/>
      <c r="J31" s="191"/>
      <c r="K31" s="191"/>
      <c r="L31" s="191"/>
      <c r="M31" s="191"/>
      <c r="N31" s="191"/>
      <c r="O31" s="191"/>
      <c r="P31" s="191"/>
      <c r="Q31" s="191"/>
      <c r="R31" s="191"/>
      <c r="S31" s="191"/>
      <c r="T31" s="191"/>
      <c r="U31" s="191"/>
      <c r="V31" s="191"/>
      <c r="W31" s="191"/>
    </row>
    <row r="32" spans="1:23" ht="15" customHeight="1" x14ac:dyDescent="0.2">
      <c r="A32" s="916" t="s">
        <v>51</v>
      </c>
      <c r="B32" s="916"/>
      <c r="C32" s="917"/>
      <c r="D32" s="917"/>
      <c r="E32" s="917"/>
      <c r="F32" s="917"/>
      <c r="G32" s="917"/>
      <c r="H32" s="917"/>
      <c r="I32" s="917"/>
      <c r="J32" s="917"/>
      <c r="K32" s="917"/>
      <c r="L32" s="917"/>
      <c r="M32" s="917"/>
      <c r="N32" s="917"/>
      <c r="O32" s="917"/>
      <c r="P32" s="917"/>
      <c r="Q32" s="917"/>
      <c r="R32" s="917"/>
      <c r="S32" s="917"/>
      <c r="T32" s="917"/>
      <c r="U32" s="917"/>
      <c r="V32" s="917"/>
      <c r="W32" s="917"/>
    </row>
    <row r="33" spans="1:23" ht="15" customHeight="1" x14ac:dyDescent="0.2">
      <c r="A33" s="27" t="s">
        <v>30</v>
      </c>
      <c r="B33" s="27"/>
      <c r="C33" s="179">
        <f ca="1">IFERROR(IF(C$10="","",C18-C22),"NA")</f>
        <v>0</v>
      </c>
      <c r="D33" s="179">
        <f ca="1">IFERROR(IF(D$10="","",D18-D22),"NA")</f>
        <v>0</v>
      </c>
      <c r="E33" s="179">
        <f t="shared" ref="E33:W33" ca="1" si="8">IFERROR(IF(E$10="","",E18-E22),"NA")</f>
        <v>0</v>
      </c>
      <c r="F33" s="179">
        <f t="shared" ca="1" si="8"/>
        <v>0</v>
      </c>
      <c r="G33" s="179">
        <f t="shared" ca="1" si="8"/>
        <v>0</v>
      </c>
      <c r="H33" s="179">
        <f t="shared" ca="1" si="8"/>
        <v>0</v>
      </c>
      <c r="I33" s="179">
        <f t="shared" ca="1" si="8"/>
        <v>0</v>
      </c>
      <c r="J33" s="179">
        <f t="shared" ca="1" si="8"/>
        <v>0</v>
      </c>
      <c r="K33" s="179">
        <f t="shared" ca="1" si="8"/>
        <v>0</v>
      </c>
      <c r="L33" s="179">
        <f t="shared" ca="1" si="8"/>
        <v>0</v>
      </c>
      <c r="M33" s="179" t="str">
        <f t="shared" si="8"/>
        <v/>
      </c>
      <c r="N33" s="179" t="str">
        <f t="shared" si="8"/>
        <v/>
      </c>
      <c r="O33" s="179" t="str">
        <f t="shared" si="8"/>
        <v/>
      </c>
      <c r="P33" s="179" t="str">
        <f t="shared" si="8"/>
        <v/>
      </c>
      <c r="Q33" s="179" t="str">
        <f t="shared" si="8"/>
        <v/>
      </c>
      <c r="R33" s="179" t="str">
        <f t="shared" si="8"/>
        <v/>
      </c>
      <c r="S33" s="179" t="str">
        <f t="shared" si="8"/>
        <v/>
      </c>
      <c r="T33" s="179" t="str">
        <f t="shared" si="8"/>
        <v/>
      </c>
      <c r="U33" s="179" t="str">
        <f t="shared" si="8"/>
        <v/>
      </c>
      <c r="V33" s="179" t="str">
        <f t="shared" si="8"/>
        <v/>
      </c>
      <c r="W33" s="179" t="str">
        <f t="shared" si="8"/>
        <v/>
      </c>
    </row>
    <row r="34" spans="1:23" ht="15" customHeight="1" x14ac:dyDescent="0.2">
      <c r="A34" s="27" t="s">
        <v>50</v>
      </c>
      <c r="B34" s="27" t="s">
        <v>380</v>
      </c>
      <c r="C34" s="178">
        <f ca="1">IF(C$9="","",IF(NOT(ISNUMBER(_xll.ciqfunctions.udf.CIQ($D$4,$B34, C$9, $H$4, $E$4, , $F$4, $G$4))),"",_xll.ciqfunctions.udf.CIQ($D$4,$B34, C$9, $H$4, $E$4, , $F$4, $G$4)))</f>
        <v>25662</v>
      </c>
      <c r="D34" s="178">
        <f ca="1">IF(D$9="","",IF(NOT(ISNUMBER(_xll.ciqfunctions.udf.CIQ($D$4,$B34, D$9, $H$4, $E$4, , $F$4, $G$4))),"",_xll.ciqfunctions.udf.CIQ($D$4,$B34, D$9, $H$4, $E$4, , $F$4, $G$4)))</f>
        <v>24656</v>
      </c>
      <c r="E34" s="178">
        <f ca="1">IF(E$9="","",IF(NOT(ISNUMBER(_xll.ciqfunctions.udf.CIQ($D$4,$B34, E$9, $H$4, $E$4, , $F$4, $G$4))),"",_xll.ciqfunctions.udf.CIQ($D$4,$B34, E$9, $H$4, $E$4, , $F$4, $G$4)))</f>
        <v>24799</v>
      </c>
      <c r="F34" s="178">
        <f ca="1">IF(F$9="","",IF(NOT(ISNUMBER(_xll.ciqfunctions.udf.CIQ($D$4,$B34, F$9, $H$4, $E$4, , $F$4, $G$4))),"",_xll.ciqfunctions.udf.CIQ($D$4,$B34, F$9, $H$4, $E$4, , $F$4, $G$4)))</f>
        <v>21638</v>
      </c>
      <c r="G34" s="178">
        <f ca="1">IF(G$9="","",IF(NOT(ISNUMBER(_xll.ciqfunctions.udf.CIQ($D$4,$B34, G$9, $H$4, $E$4, , $F$4, $G$4))),"",_xll.ciqfunctions.udf.CIQ($D$4,$B34, G$9, $H$4, $E$4, , $F$4, $G$4)))</f>
        <v>20497</v>
      </c>
      <c r="H34" s="178">
        <f ca="1">IF(H$9="","",IF(NOT(ISNUMBER(_xll.ciqfunctions.udf.CIQ($D$4,$B34, H$9, $H$4, $E$4, , $F$4, $G$4))),"",_xll.ciqfunctions.udf.CIQ($D$4,$B34, H$9, $H$4, $E$4, , $F$4, $G$4)))</f>
        <v>15123</v>
      </c>
      <c r="I34" s="178">
        <f ca="1">IF(I$9="","",IF(NOT(ISNUMBER(_xll.ciqfunctions.udf.CIQ($D$4,$B34, I$9, $H$4, $E$4, , $F$4, $G$4))),"",_xll.ciqfunctions.udf.CIQ($D$4,$B34, I$9, $H$4, $E$4, , $F$4, $G$4)))</f>
        <v>11460</v>
      </c>
      <c r="J34" s="178">
        <f ca="1">IF(J$9="","",IF(NOT(ISNUMBER(_xll.ciqfunctions.udf.CIQ($D$4,$B34, J$9, $H$4, $E$4, , $F$4, $G$4))),"",_xll.ciqfunctions.udf.CIQ($D$4,$B34, J$9, $H$4, $E$4, , $F$4, $G$4)))</f>
        <v>20116</v>
      </c>
      <c r="K34" s="178">
        <f ca="1">IF(K$9="","",IF(NOT(ISNUMBER(_xll.ciqfunctions.udf.CIQ($D$4,$B34, K$9, $H$4, $E$4, , $F$4, $G$4))),"",_xll.ciqfunctions.udf.CIQ($D$4,$B34, K$9, $H$4, $E$4, , $F$4, $G$4)))</f>
        <v>20564</v>
      </c>
      <c r="L34" s="178">
        <f ca="1">IF(L$9="","",IF(NOT(ISNUMBER(_xll.ciqfunctions.udf.CIQ($D$4,$B34, L$9, $H$4, $E$4, , $F$4, $G$4))),"",_xll.ciqfunctions.udf.CIQ($D$4,$B34, L$9, $H$4, $E$4, , $F$4, $G$4)))</f>
        <v>18696</v>
      </c>
      <c r="M34" s="178" t="str">
        <f>IF(M$9="","",IF(NOT(ISNUMBER(_xll.ciqfunctions.udf.CIQ($D$4,$B34, M$9, $H$4, $E$4, , $F$4, $G$4))),"",_xll.ciqfunctions.udf.CIQ($D$4,$B34, M$9, $H$4, $E$4, , $F$4, $G$4)))</f>
        <v/>
      </c>
      <c r="N34" s="178" t="str">
        <f>IF(N$9="","",IF(NOT(ISNUMBER(_xll.ciqfunctions.udf.CIQ($D$4,$B34, N$9, $H$4, $E$4, , $F$4, $G$4))),"",_xll.ciqfunctions.udf.CIQ($D$4,$B34, N$9, $H$4, $E$4, , $F$4, $G$4)))</f>
        <v/>
      </c>
      <c r="O34" s="178" t="str">
        <f>IF(O$9="","",IF(NOT(ISNUMBER(_xll.ciqfunctions.udf.CIQ($D$4,$B34, O$9, $H$4, $E$4, , $F$4, $G$4))),"",_xll.ciqfunctions.udf.CIQ($D$4,$B34, O$9, $H$4, $E$4, , $F$4, $G$4)))</f>
        <v/>
      </c>
      <c r="P34" s="178" t="str">
        <f>IF(P$9="","",IF(NOT(ISNUMBER(_xll.ciqfunctions.udf.CIQ($D$4,$B34, P$9, $H$4, $E$4, , $F$4, $G$4))),"",_xll.ciqfunctions.udf.CIQ($D$4,$B34, P$9, $H$4, $E$4, , $F$4, $G$4)))</f>
        <v/>
      </c>
      <c r="Q34" s="178" t="str">
        <f>IF(Q$9="","",IF(NOT(ISNUMBER(_xll.ciqfunctions.udf.CIQ($D$4,$B34, Q$9, $H$4, $E$4, , $F$4, $G$4))),"",_xll.ciqfunctions.udf.CIQ($D$4,$B34, Q$9, $H$4, $E$4, , $F$4, $G$4)))</f>
        <v/>
      </c>
      <c r="R34" s="178" t="str">
        <f>IF(R$9="","",IF(NOT(ISNUMBER(_xll.ciqfunctions.udf.CIQ($D$4,$B34, R$9, $H$4, $E$4, , $F$4, $G$4))),"",_xll.ciqfunctions.udf.CIQ($D$4,$B34, R$9, $H$4, $E$4, , $F$4, $G$4)))</f>
        <v/>
      </c>
      <c r="S34" s="178" t="str">
        <f>IF(S$9="","",IF(NOT(ISNUMBER(_xll.ciqfunctions.udf.CIQ($D$4,$B34, S$9, $H$4, $E$4, , $F$4, $G$4))),"",_xll.ciqfunctions.udf.CIQ($D$4,$B34, S$9, $H$4, $E$4, , $F$4, $G$4)))</f>
        <v/>
      </c>
      <c r="T34" s="178" t="str">
        <f>IF(T$9="","",IF(NOT(ISNUMBER(_xll.ciqfunctions.udf.CIQ($D$4,$B34, T$9, $H$4, $E$4, , $F$4, $G$4))),"",_xll.ciqfunctions.udf.CIQ($D$4,$B34, T$9, $H$4, $E$4, , $F$4, $G$4)))</f>
        <v/>
      </c>
      <c r="U34" s="178" t="str">
        <f>IF(U$9="","",IF(NOT(ISNUMBER(_xll.ciqfunctions.udf.CIQ($D$4,$B34, U$9, $H$4, $E$4, , $F$4, $G$4))),"",_xll.ciqfunctions.udf.CIQ($D$4,$B34, U$9, $H$4, $E$4, , $F$4, $G$4)))</f>
        <v/>
      </c>
      <c r="V34" s="178" t="str">
        <f>IF(V$9="","",IF(NOT(ISNUMBER(_xll.ciqfunctions.udf.CIQ($D$4,$B34, V$9, $H$4, $E$4, , $F$4, $G$4))),"",_xll.ciqfunctions.udf.CIQ($D$4,$B34, V$9, $H$4, $E$4, , $F$4, $G$4)))</f>
        <v/>
      </c>
      <c r="W34" s="178" t="str">
        <f>IF(W$9="","",IF(NOT(ISNUMBER(_xll.ciqfunctions.udf.CIQ($D$4,$B34, W$9, $H$4, $E$4, , $F$4, $G$4))),"",_xll.ciqfunctions.udf.CIQ($D$4,$B34, W$9, $H$4, $E$4, , $F$4, $G$4)))</f>
        <v/>
      </c>
    </row>
    <row r="35" spans="1:23" ht="15" customHeight="1" x14ac:dyDescent="0.2">
      <c r="A35" s="27" t="s">
        <v>6</v>
      </c>
      <c r="B35" s="27" t="s">
        <v>14</v>
      </c>
      <c r="C35" s="178">
        <f ca="1">IF(C$9="","",IF(NOT(ISNUMBER(_xll.ciqfunctions.udf.CIQ($D$4,$B35, C$9, $H$4, $E$4, , $F$4, $G$4))),"",_xll.ciqfunctions.udf.CIQ($D$4,$B35, C$9, $H$4, $E$4, , $F$4, $G$4)))</f>
        <v>16999</v>
      </c>
      <c r="D35" s="178">
        <f ca="1">IF(D$9="","",IF(NOT(ISNUMBER(_xll.ciqfunctions.udf.CIQ($D$4,$B35, D$9, $H$4, $E$4, , $F$4, $G$4))),"",_xll.ciqfunctions.udf.CIQ($D$4,$B35, D$9, $H$4, $E$4, , $F$4, $G$4)))</f>
        <v>16022</v>
      </c>
      <c r="E35" s="178">
        <f ca="1">IF(E$9="","",IF(NOT(ISNUMBER(_xll.ciqfunctions.udf.CIQ($D$4,$B35, E$9, $H$4, $E$4, , $F$4, $G$4))),"",_xll.ciqfunctions.udf.CIQ($D$4,$B35, E$9, $H$4, $E$4, , $F$4, $G$4)))</f>
        <v>16363</v>
      </c>
      <c r="F35" s="178">
        <f ca="1">IF(F$9="","",IF(NOT(ISNUMBER(_xll.ciqfunctions.udf.CIQ($D$4,$B35, F$9, $H$4, $E$4, , $F$4, $G$4))),"",_xll.ciqfunctions.udf.CIQ($D$4,$B35, F$9, $H$4, $E$4, , $F$4, $G$4)))</f>
        <v>14694</v>
      </c>
      <c r="G35" s="178">
        <f ca="1">IF(G$9="","",IF(NOT(ISNUMBER(_xll.ciqfunctions.udf.CIQ($D$4,$B35, G$9, $H$4, $E$4, , $F$4, $G$4))),"",_xll.ciqfunctions.udf.CIQ($D$4,$B35, G$9, $H$4, $E$4, , $F$4, $G$4)))</f>
        <v>13643</v>
      </c>
      <c r="H35" s="178">
        <f ca="1">IF(H$9="","",IF(NOT(ISNUMBER(_xll.ciqfunctions.udf.CIQ($D$4,$B35, H$9, $H$4, $E$4, , $F$4, $G$4))),"",_xll.ciqfunctions.udf.CIQ($D$4,$B35, H$9, $H$4, $E$4, , $F$4, $G$4)))</f>
        <v>9862</v>
      </c>
      <c r="I35" s="178">
        <f ca="1">IF(I$9="","",IF(NOT(ISNUMBER(_xll.ciqfunctions.udf.CIQ($D$4,$B35, I$9, $H$4, $E$4, , $F$4, $G$4))),"",_xll.ciqfunctions.udf.CIQ($D$4,$B35, I$9, $H$4, $E$4, , $F$4, $G$4)))</f>
        <v>6670</v>
      </c>
      <c r="J35" s="178">
        <f ca="1">IF(J$9="","",IF(NOT(ISNUMBER(_xll.ciqfunctions.udf.CIQ($D$4,$B35, J$9, $H$4, $E$4, , $F$4, $G$4))),"",_xll.ciqfunctions.udf.CIQ($D$4,$B35, J$9, $H$4, $E$4, , $F$4, $G$4)))</f>
        <v>14881</v>
      </c>
      <c r="K35" s="178">
        <f ca="1">IF(K$9="","",IF(NOT(ISNUMBER(_xll.ciqfunctions.udf.CIQ($D$4,$B35, K$9, $H$4, $E$4, , $F$4, $G$4))),"",_xll.ciqfunctions.udf.CIQ($D$4,$B35, K$9, $H$4, $E$4, , $F$4, $G$4)))</f>
        <v>13510</v>
      </c>
      <c r="L35" s="178">
        <f ca="1">IF(L$9="","",IF(NOT(ISNUMBER(_xll.ciqfunctions.udf.CIQ($D$4,$B35, L$9, $H$4, $E$4, , $F$4, $G$4))),"",_xll.ciqfunctions.udf.CIQ($D$4,$B35, L$9, $H$4, $E$4, , $F$4, $G$4)))</f>
        <v>13673</v>
      </c>
      <c r="M35" s="178" t="str">
        <f>IF(M$9="","",IF(NOT(ISNUMBER(_xll.ciqfunctions.udf.CIQ($D$4,$B35, M$9, $H$4, $E$4, , $F$4, $G$4))),"",_xll.ciqfunctions.udf.CIQ($D$4,$B35, M$9, $H$4, $E$4, , $F$4, $G$4)))</f>
        <v/>
      </c>
      <c r="N35" s="178" t="str">
        <f>IF(N$9="","",IF(NOT(ISNUMBER(_xll.ciqfunctions.udf.CIQ($D$4,$B35, N$9, $H$4, $E$4, , $F$4, $G$4))),"",_xll.ciqfunctions.udf.CIQ($D$4,$B35, N$9, $H$4, $E$4, , $F$4, $G$4)))</f>
        <v/>
      </c>
      <c r="O35" s="178" t="str">
        <f>IF(O$9="","",IF(NOT(ISNUMBER(_xll.ciqfunctions.udf.CIQ($D$4,$B35, O$9, $H$4, $E$4, , $F$4, $G$4))),"",_xll.ciqfunctions.udf.CIQ($D$4,$B35, O$9, $H$4, $E$4, , $F$4, $G$4)))</f>
        <v/>
      </c>
      <c r="P35" s="178" t="str">
        <f>IF(P$9="","",IF(NOT(ISNUMBER(_xll.ciqfunctions.udf.CIQ($D$4,$B35, P$9, $H$4, $E$4, , $F$4, $G$4))),"",_xll.ciqfunctions.udf.CIQ($D$4,$B35, P$9, $H$4, $E$4, , $F$4, $G$4)))</f>
        <v/>
      </c>
      <c r="Q35" s="178" t="str">
        <f>IF(Q$9="","",IF(NOT(ISNUMBER(_xll.ciqfunctions.udf.CIQ($D$4,$B35, Q$9, $H$4, $E$4, , $F$4, $G$4))),"",_xll.ciqfunctions.udf.CIQ($D$4,$B35, Q$9, $H$4, $E$4, , $F$4, $G$4)))</f>
        <v/>
      </c>
      <c r="R35" s="178" t="str">
        <f>IF(R$9="","",IF(NOT(ISNUMBER(_xll.ciqfunctions.udf.CIQ($D$4,$B35, R$9, $H$4, $E$4, , $F$4, $G$4))),"",_xll.ciqfunctions.udf.CIQ($D$4,$B35, R$9, $H$4, $E$4, , $F$4, $G$4)))</f>
        <v/>
      </c>
      <c r="S35" s="178" t="str">
        <f>IF(S$9="","",IF(NOT(ISNUMBER(_xll.ciqfunctions.udf.CIQ($D$4,$B35, S$9, $H$4, $E$4, , $F$4, $G$4))),"",_xll.ciqfunctions.udf.CIQ($D$4,$B35, S$9, $H$4, $E$4, , $F$4, $G$4)))</f>
        <v/>
      </c>
      <c r="T35" s="178" t="str">
        <f>IF(T$9="","",IF(NOT(ISNUMBER(_xll.ciqfunctions.udf.CIQ($D$4,$B35, T$9, $H$4, $E$4, , $F$4, $G$4))),"",_xll.ciqfunctions.udf.CIQ($D$4,$B35, T$9, $H$4, $E$4, , $F$4, $G$4)))</f>
        <v/>
      </c>
      <c r="U35" s="178" t="str">
        <f>IF(U$9="","",IF(NOT(ISNUMBER(_xll.ciqfunctions.udf.CIQ($D$4,$B35, U$9, $H$4, $E$4, , $F$4, $G$4))),"",_xll.ciqfunctions.udf.CIQ($D$4,$B35, U$9, $H$4, $E$4, , $F$4, $G$4)))</f>
        <v/>
      </c>
      <c r="V35" s="178" t="str">
        <f>IF(V$9="","",IF(NOT(ISNUMBER(_xll.ciqfunctions.udf.CIQ($D$4,$B35, V$9, $H$4, $E$4, , $F$4, $G$4))),"",_xll.ciqfunctions.udf.CIQ($D$4,$B35, V$9, $H$4, $E$4, , $F$4, $G$4)))</f>
        <v/>
      </c>
      <c r="W35" s="178" t="str">
        <f>IF(W$9="","",IF(NOT(ISNUMBER(_xll.ciqfunctions.udf.CIQ($D$4,$B35, W$9, $H$4, $E$4, , $F$4, $G$4))),"",_xll.ciqfunctions.udf.CIQ($D$4,$B35, W$9, $H$4, $E$4, , $F$4, $G$4)))</f>
        <v/>
      </c>
    </row>
    <row r="36" spans="1:23" ht="15" customHeight="1" x14ac:dyDescent="0.2">
      <c r="A36" s="27"/>
      <c r="B36" s="27"/>
      <c r="C36" s="191"/>
      <c r="D36" s="191"/>
      <c r="E36" s="191"/>
      <c r="F36" s="191"/>
      <c r="G36" s="191"/>
      <c r="H36" s="191"/>
      <c r="I36" s="191"/>
      <c r="J36" s="191"/>
      <c r="K36" s="191"/>
      <c r="L36" s="191"/>
      <c r="M36" s="191"/>
      <c r="N36" s="191"/>
      <c r="O36" s="191"/>
      <c r="P36" s="191"/>
      <c r="Q36" s="191"/>
      <c r="R36" s="191"/>
      <c r="S36" s="191"/>
      <c r="T36" s="191"/>
      <c r="U36" s="191"/>
      <c r="V36" s="191"/>
      <c r="W36" s="191"/>
    </row>
    <row r="37" spans="1:23" ht="15" customHeight="1" x14ac:dyDescent="0.2">
      <c r="A37" s="916" t="s">
        <v>234</v>
      </c>
      <c r="B37" s="916"/>
      <c r="C37" s="915"/>
      <c r="D37" s="915"/>
      <c r="E37" s="915"/>
      <c r="F37" s="915"/>
      <c r="G37" s="915"/>
      <c r="H37" s="915"/>
      <c r="I37" s="915"/>
      <c r="J37" s="915"/>
      <c r="K37" s="915"/>
      <c r="L37" s="915"/>
      <c r="M37" s="915"/>
      <c r="N37" s="915"/>
      <c r="O37" s="915"/>
      <c r="P37" s="915"/>
      <c r="Q37" s="915"/>
      <c r="R37" s="915"/>
      <c r="S37" s="915"/>
      <c r="T37" s="915"/>
      <c r="U37" s="915"/>
      <c r="V37" s="915"/>
      <c r="W37" s="915"/>
    </row>
    <row r="38" spans="1:23" ht="15" customHeight="1" x14ac:dyDescent="0.2">
      <c r="A38" s="25" t="s">
        <v>235</v>
      </c>
      <c r="B38" s="25" t="s">
        <v>1090</v>
      </c>
      <c r="C38" s="172">
        <f ca="1">IF(C$9="","",IF(NOT(ISNUMBER(_xll.ciqfunctions.udf.CIQ($D$4,$B38, C$9, $H$4, $E$4, , $F$4, $G$4))),"",_xll.ciqfunctions.udf.CIQ($D$4,$B38, C$9, $H$4, $E$4, , $F$4, $G$4)/100))</f>
        <v>8.7401999999999994E-2</v>
      </c>
      <c r="D38" s="172">
        <f ca="1">IF(D$9="","",IF(NOT(ISNUMBER(_xll.ciqfunctions.udf.CIQ($D$4,$B38, D$9, $H$4, $E$4, , $F$4, $G$4))),"",_xll.ciqfunctions.udf.CIQ($D$4,$B38, D$9, $H$4, $E$4, , $F$4, $G$4)/100))</f>
        <v>8.2357E-2</v>
      </c>
      <c r="E38" s="172">
        <f ca="1">IF(E$9="","",IF(NOT(ISNUMBER(_xll.ciqfunctions.udf.CIQ($D$4,$B38, E$9, $H$4, $E$4, , $F$4, $G$4))),"",_xll.ciqfunctions.udf.CIQ($D$4,$B38, E$9, $H$4, $E$4, , $F$4, $G$4)/100))</f>
        <v>8.3120999999999987E-2</v>
      </c>
      <c r="F38" s="172">
        <f ca="1">IF(F$9="","",IF(NOT(ISNUMBER(_xll.ciqfunctions.udf.CIQ($D$4,$B38, F$9, $H$4, $E$4, , $F$4, $G$4))),"",_xll.ciqfunctions.udf.CIQ($D$4,$B38, F$9, $H$4, $E$4, , $F$4, $G$4)/100))</f>
        <v>7.4754000000000001E-2</v>
      </c>
      <c r="G38" s="172">
        <f ca="1">IF(G$9="","",IF(NOT(ISNUMBER(_xll.ciqfunctions.udf.CIQ($D$4,$B38, G$9, $H$4, $E$4, , $F$4, $G$4))),"",_xll.ciqfunctions.udf.CIQ($D$4,$B38, G$9, $H$4, $E$4, , $F$4, $G$4)/100))</f>
        <v>7.1421999999999999E-2</v>
      </c>
      <c r="H38" s="172">
        <f ca="1">IF(H$9="","",IF(NOT(ISNUMBER(_xll.ciqfunctions.udf.CIQ($D$4,$B38, H$9, $H$4, $E$4, , $F$4, $G$4))),"",_xll.ciqfunctions.udf.CIQ($D$4,$B38, H$9, $H$4, $E$4, , $F$4, $G$4)/100))</f>
        <v>6.4884999999999998E-2</v>
      </c>
      <c r="I38" s="172">
        <f ca="1">IF(I$9="","",IF(NOT(ISNUMBER(_xll.ciqfunctions.udf.CIQ($D$4,$B38, I$9, $H$4, $E$4, , $F$4, $G$4))),"",_xll.ciqfunctions.udf.CIQ($D$4,$B38, I$9, $H$4, $E$4, , $F$4, $G$4)/100))</f>
        <v>6.4758999999999997E-2</v>
      </c>
      <c r="J38" s="172">
        <f ca="1">IF(J$9="","",IF(NOT(ISNUMBER(_xll.ciqfunctions.udf.CIQ($D$4,$B38, J$9, $H$4, $E$4, , $F$4, $G$4))),"",_xll.ciqfunctions.udf.CIQ($D$4,$B38, J$9, $H$4, $E$4, , $F$4, $G$4)/100))</f>
        <v>5.8875000000000004E-2</v>
      </c>
      <c r="K38" s="172">
        <f ca="1">IF(K$9="","",IF(NOT(ISNUMBER(_xll.ciqfunctions.udf.CIQ($D$4,$B38, K$9, $H$4, $E$4, , $F$4, $G$4))),"",_xll.ciqfunctions.udf.CIQ($D$4,$B38, K$9, $H$4, $E$4, , $F$4, $G$4)/100))</f>
        <v>6.8886000000000003E-2</v>
      </c>
      <c r="L38" s="172">
        <f ca="1">IF(L$9="","",IF(NOT(ISNUMBER(_xll.ciqfunctions.udf.CIQ($D$4,$B38, L$9, $H$4, $E$4, , $F$4, $G$4))),"",_xll.ciqfunctions.udf.CIQ($D$4,$B38, L$9, $H$4, $E$4, , $F$4, $G$4)/100))</f>
        <v>6.5198999999999993E-2</v>
      </c>
      <c r="M38" s="172" t="str">
        <f>IF(M$9="","",IF(NOT(ISNUMBER(_xll.ciqfunctions.udf.CIQ($D$4,$B38, M$9, $H$4, $E$4, , $F$4, $G$4))),"",_xll.ciqfunctions.udf.CIQ($D$4,$B38, M$9, $H$4, $E$4, , $F$4, $G$4)/100))</f>
        <v/>
      </c>
      <c r="N38" s="172" t="str">
        <f>IF(N$9="","",IF(NOT(ISNUMBER(_xll.ciqfunctions.udf.CIQ($D$4,$B38, N$9, $H$4, $E$4, , $F$4, $G$4))),"",_xll.ciqfunctions.udf.CIQ($D$4,$B38, N$9, $H$4, $E$4, , $F$4, $G$4)/100))</f>
        <v/>
      </c>
      <c r="O38" s="172" t="str">
        <f>IF(O$9="","",IF(NOT(ISNUMBER(_xll.ciqfunctions.udf.CIQ($D$4,$B38, O$9, $H$4, $E$4, , $F$4, $G$4))),"",_xll.ciqfunctions.udf.CIQ($D$4,$B38, O$9, $H$4, $E$4, , $F$4, $G$4)/100))</f>
        <v/>
      </c>
      <c r="P38" s="172" t="str">
        <f>IF(P$9="","",IF(NOT(ISNUMBER(_xll.ciqfunctions.udf.CIQ($D$4,$B38, P$9, $H$4, $E$4, , $F$4, $G$4))),"",_xll.ciqfunctions.udf.CIQ($D$4,$B38, P$9, $H$4, $E$4, , $F$4, $G$4)/100))</f>
        <v/>
      </c>
      <c r="Q38" s="172" t="str">
        <f>IF(Q$9="","",IF(NOT(ISNUMBER(_xll.ciqfunctions.udf.CIQ($D$4,$B38, Q$9, $H$4, $E$4, , $F$4, $G$4))),"",_xll.ciqfunctions.udf.CIQ($D$4,$B38, Q$9, $H$4, $E$4, , $F$4, $G$4)/100))</f>
        <v/>
      </c>
      <c r="R38" s="172" t="str">
        <f>IF(R$9="","",IF(NOT(ISNUMBER(_xll.ciqfunctions.udf.CIQ($D$4,$B38, R$9, $H$4, $E$4, , $F$4, $G$4))),"",_xll.ciqfunctions.udf.CIQ($D$4,$B38, R$9, $H$4, $E$4, , $F$4, $G$4)/100))</f>
        <v/>
      </c>
      <c r="S38" s="172" t="str">
        <f>IF(S$9="","",IF(NOT(ISNUMBER(_xll.ciqfunctions.udf.CIQ($D$4,$B38, S$9, $H$4, $E$4, , $F$4, $G$4))),"",_xll.ciqfunctions.udf.CIQ($D$4,$B38, S$9, $H$4, $E$4, , $F$4, $G$4)/100))</f>
        <v/>
      </c>
      <c r="T38" s="172" t="str">
        <f>IF(T$9="","",IF(NOT(ISNUMBER(_xll.ciqfunctions.udf.CIQ($D$4,$B38, T$9, $H$4, $E$4, , $F$4, $G$4))),"",_xll.ciqfunctions.udf.CIQ($D$4,$B38, T$9, $H$4, $E$4, , $F$4, $G$4)/100))</f>
        <v/>
      </c>
      <c r="U38" s="172" t="str">
        <f>IF(U$9="","",IF(NOT(ISNUMBER(_xll.ciqfunctions.udf.CIQ($D$4,$B38, U$9, $H$4, $E$4, , $F$4, $G$4))),"",_xll.ciqfunctions.udf.CIQ($D$4,$B38, U$9, $H$4, $E$4, , $F$4, $G$4)/100))</f>
        <v/>
      </c>
      <c r="V38" s="172" t="str">
        <f>IF(V$9="","",IF(NOT(ISNUMBER(_xll.ciqfunctions.udf.CIQ($D$4,$B38, V$9, $H$4, $E$4, , $F$4, $G$4))),"",_xll.ciqfunctions.udf.CIQ($D$4,$B38, V$9, $H$4, $E$4, , $F$4, $G$4)/100))</f>
        <v/>
      </c>
      <c r="W38" s="172" t="str">
        <f>IF(W$9="","",IF(NOT(ISNUMBER(_xll.ciqfunctions.udf.CIQ($D$4,$B38, W$9, $H$4, $E$4, , $F$4, $G$4))),"",_xll.ciqfunctions.udf.CIQ($D$4,$B38, W$9, $H$4, $E$4, , $F$4, $G$4)/100))</f>
        <v/>
      </c>
    </row>
    <row r="39" spans="1:23" ht="15" customHeight="1" x14ac:dyDescent="0.2">
      <c r="A39" s="25" t="s">
        <v>105</v>
      </c>
      <c r="B39" s="25" t="s">
        <v>1091</v>
      </c>
      <c r="C39" s="172">
        <f ca="1">IF(C$9="","",IF(NOT(ISNUMBER(_xll.ciqfunctions.udf.CIQ($D$4,$B39, C$9, $H$4, $E$4, , $F$4, $G$4))),"",_xll.ciqfunctions.udf.CIQ($D$4,$B39, C$9, $H$4, $E$4, , $F$4, $G$4)/100))</f>
        <v>0.22350400000000001</v>
      </c>
      <c r="D39" s="172">
        <f ca="1">IF(D$9="","",IF(NOT(ISNUMBER(_xll.ciqfunctions.udf.CIQ($D$4,$B39, D$9, $H$4, $E$4, , $F$4, $G$4))),"",_xll.ciqfunctions.udf.CIQ($D$4,$B39, D$9, $H$4, $E$4, , $F$4, $G$4)/100))</f>
        <v>0.20051200000000002</v>
      </c>
      <c r="E39" s="172">
        <f ca="1">IF(E$9="","",IF(NOT(ISNUMBER(_xll.ciqfunctions.udf.CIQ($D$4,$B39, E$9, $H$4, $E$4, , $F$4, $G$4))),"",_xll.ciqfunctions.udf.CIQ($D$4,$B39, E$9, $H$4, $E$4, , $F$4, $G$4)/100))</f>
        <v>0.19925599999999999</v>
      </c>
      <c r="F39" s="172">
        <f ca="1">IF(F$9="","",IF(NOT(ISNUMBER(_xll.ciqfunctions.udf.CIQ($D$4,$B39, F$9, $H$4, $E$4, , $F$4, $G$4))),"",_xll.ciqfunctions.udf.CIQ($D$4,$B39, F$9, $H$4, $E$4, , $F$4, $G$4)/100))</f>
        <v>0.17788399999999999</v>
      </c>
      <c r="G39" s="172">
        <f ca="1">IF(G$9="","",IF(NOT(ISNUMBER(_xll.ciqfunctions.udf.CIQ($D$4,$B39, G$9, $H$4, $E$4, , $F$4, $G$4))),"",_xll.ciqfunctions.udf.CIQ($D$4,$B39, G$9, $H$4, $E$4, , $F$4, $G$4)/100))</f>
        <v>0.174149</v>
      </c>
      <c r="H39" s="172">
        <f ca="1">IF(H$9="","",IF(NOT(ISNUMBER(_xll.ciqfunctions.udf.CIQ($D$4,$B39, H$9, $H$4, $E$4, , $F$4, $G$4))),"",_xll.ciqfunctions.udf.CIQ($D$4,$B39, H$9, $H$4, $E$4, , $F$4, $G$4)/100))</f>
        <v>0.13043100000000002</v>
      </c>
      <c r="I39" s="172">
        <f ca="1">IF(I$9="","",IF(NOT(ISNUMBER(_xll.ciqfunctions.udf.CIQ($D$4,$B39, I$9, $H$4, $E$4, , $F$4, $G$4))),"",_xll.ciqfunctions.udf.CIQ($D$4,$B39, I$9, $H$4, $E$4, , $F$4, $G$4)/100))</f>
        <v>8.9482000000000006E-2</v>
      </c>
      <c r="J39" s="172">
        <f ca="1">IF(J$9="","",IF(NOT(ISNUMBER(_xll.ciqfunctions.udf.CIQ($D$4,$B39, J$9, $H$4, $E$4, , $F$4, $G$4))),"",_xll.ciqfunctions.udf.CIQ($D$4,$B39, J$9, $H$4, $E$4, , $F$4, $G$4)/100))</f>
        <v>0.188614</v>
      </c>
      <c r="K39" s="172">
        <f ca="1">IF(K$9="","",IF(NOT(ISNUMBER(_xll.ciqfunctions.udf.CIQ($D$4,$B39, K$9, $H$4, $E$4, , $F$4, $G$4))),"",_xll.ciqfunctions.udf.CIQ($D$4,$B39, K$9, $H$4, $E$4, , $F$4, $G$4)/100))</f>
        <v>0.16212099999999999</v>
      </c>
      <c r="L39" s="172">
        <f ca="1">IF(L$9="","",IF(NOT(ISNUMBER(_xll.ciqfunctions.udf.CIQ($D$4,$B39, L$9, $H$4, $E$4, , $F$4, $G$4))),"",_xll.ciqfunctions.udf.CIQ($D$4,$B39, L$9, $H$4, $E$4, , $F$4, $G$4)/100))</f>
        <v>0.155387</v>
      </c>
      <c r="M39" s="172" t="str">
        <f>IF(M$9="","",IF(NOT(ISNUMBER(_xll.ciqfunctions.udf.CIQ($D$4,$B39, M$9, $H$4, $E$4, , $F$4, $G$4))),"",_xll.ciqfunctions.udf.CIQ($D$4,$B39, M$9, $H$4, $E$4, , $F$4, $G$4)/100))</f>
        <v/>
      </c>
      <c r="N39" s="172" t="str">
        <f>IF(N$9="","",IF(NOT(ISNUMBER(_xll.ciqfunctions.udf.CIQ($D$4,$B39, N$9, $H$4, $E$4, , $F$4, $G$4))),"",_xll.ciqfunctions.udf.CIQ($D$4,$B39, N$9, $H$4, $E$4, , $F$4, $G$4)/100))</f>
        <v/>
      </c>
      <c r="O39" s="172" t="str">
        <f>IF(O$9="","",IF(NOT(ISNUMBER(_xll.ciqfunctions.udf.CIQ($D$4,$B39, O$9, $H$4, $E$4, , $F$4, $G$4))),"",_xll.ciqfunctions.udf.CIQ($D$4,$B39, O$9, $H$4, $E$4, , $F$4, $G$4)/100))</f>
        <v/>
      </c>
      <c r="P39" s="172" t="str">
        <f>IF(P$9="","",IF(NOT(ISNUMBER(_xll.ciqfunctions.udf.CIQ($D$4,$B39, P$9, $H$4, $E$4, , $F$4, $G$4))),"",_xll.ciqfunctions.udf.CIQ($D$4,$B39, P$9, $H$4, $E$4, , $F$4, $G$4)/100))</f>
        <v/>
      </c>
      <c r="Q39" s="172" t="str">
        <f>IF(Q$9="","",IF(NOT(ISNUMBER(_xll.ciqfunctions.udf.CIQ($D$4,$B39, Q$9, $H$4, $E$4, , $F$4, $G$4))),"",_xll.ciqfunctions.udf.CIQ($D$4,$B39, Q$9, $H$4, $E$4, , $F$4, $G$4)/100))</f>
        <v/>
      </c>
      <c r="R39" s="172" t="str">
        <f>IF(R$9="","",IF(NOT(ISNUMBER(_xll.ciqfunctions.udf.CIQ($D$4,$B39, R$9, $H$4, $E$4, , $F$4, $G$4))),"",_xll.ciqfunctions.udf.CIQ($D$4,$B39, R$9, $H$4, $E$4, , $F$4, $G$4)/100))</f>
        <v/>
      </c>
      <c r="S39" s="172" t="str">
        <f>IF(S$9="","",IF(NOT(ISNUMBER(_xll.ciqfunctions.udf.CIQ($D$4,$B39, S$9, $H$4, $E$4, , $F$4, $G$4))),"",_xll.ciqfunctions.udf.CIQ($D$4,$B39, S$9, $H$4, $E$4, , $F$4, $G$4)/100))</f>
        <v/>
      </c>
      <c r="T39" s="172" t="str">
        <f>IF(T$9="","",IF(NOT(ISNUMBER(_xll.ciqfunctions.udf.CIQ($D$4,$B39, T$9, $H$4, $E$4, , $F$4, $G$4))),"",_xll.ciqfunctions.udf.CIQ($D$4,$B39, T$9, $H$4, $E$4, , $F$4, $G$4)/100))</f>
        <v/>
      </c>
      <c r="U39" s="172" t="str">
        <f>IF(U$9="","",IF(NOT(ISNUMBER(_xll.ciqfunctions.udf.CIQ($D$4,$B39, U$9, $H$4, $E$4, , $F$4, $G$4))),"",_xll.ciqfunctions.udf.CIQ($D$4,$B39, U$9, $H$4, $E$4, , $F$4, $G$4)/100))</f>
        <v/>
      </c>
      <c r="V39" s="172" t="str">
        <f>IF(V$9="","",IF(NOT(ISNUMBER(_xll.ciqfunctions.udf.CIQ($D$4,$B39, V$9, $H$4, $E$4, , $F$4, $G$4))),"",_xll.ciqfunctions.udf.CIQ($D$4,$B39, V$9, $H$4, $E$4, , $F$4, $G$4)/100))</f>
        <v/>
      </c>
      <c r="W39" s="172" t="str">
        <f>IF(W$9="","",IF(NOT(ISNUMBER(_xll.ciqfunctions.udf.CIQ($D$4,$B39, W$9, $H$4, $E$4, , $F$4, $G$4))),"",_xll.ciqfunctions.udf.CIQ($D$4,$B39, W$9, $H$4, $E$4, , $F$4, $G$4)/100))</f>
        <v/>
      </c>
    </row>
    <row r="40" spans="1:23" ht="15" customHeight="1" x14ac:dyDescent="0.2">
      <c r="A40" s="25" t="s">
        <v>107</v>
      </c>
      <c r="C40" s="183">
        <f>IFERROR(IF(C$9="","",_xll.ciqfunctions.udf.CIQ($D$4,"IQ_NI",C$9)*2/(_xll.ciqfunctions.udf.CIQ($D$4,"IQ_TOTAL_ASSETS",C$9)+_xll.ciqfunctions.udf.CIQ($D$4,"IQ_TOTAL_ASSETS","IQ_" &amp; LEFT(C$9,2) &amp; "-1",C$9)-_xll.ciqfunctions.udf.CIQ($D$4,"IQ_TOTAL_CL",C$9)-_xll.ciqfunctions.udf.CIQ($D$4,"IQ_TOTAL_CL","IQ_" &amp; LEFT(C$9,2) &amp; "-1", C$9))),"NA")</f>
        <v>0.12956900527071988</v>
      </c>
      <c r="D40" s="183">
        <f>IFERROR(IF(D$9="","",_xll.ciqfunctions.udf.CIQ($D$4,"IQ_NI",D$9)*2/(_xll.ciqfunctions.udf.CIQ($D$4,"IQ_TOTAL_ASSETS",D$9)+_xll.ciqfunctions.udf.CIQ($D$4,"IQ_TOTAL_ASSETS","IQ_" &amp; LEFT(D$9,2) &amp; "-1",D$9)-_xll.ciqfunctions.udf.CIQ($D$4,"IQ_TOTAL_CL",D$9)-_xll.ciqfunctions.udf.CIQ($D$4,"IQ_TOTAL_CL","IQ_" &amp; LEFT(D$9,2) &amp; "-1", D$9))),"NA")</f>
        <v>0.12015313487793081</v>
      </c>
      <c r="E40" s="183">
        <f>IFERROR(IF(E$9="","",_xll.ciqfunctions.udf.CIQ($D$4,"IQ_NI",E$9)*2/(_xll.ciqfunctions.udf.CIQ($D$4,"IQ_TOTAL_ASSETS",E$9)+_xll.ciqfunctions.udf.CIQ($D$4,"IQ_TOTAL_ASSETS","IQ_" &amp; LEFT(E$9,2) &amp; "-1",E$9)-_xll.ciqfunctions.udf.CIQ($D$4,"IQ_TOTAL_CL",E$9)-_xll.ciqfunctions.udf.CIQ($D$4,"IQ_TOTAL_CL","IQ_" &amp; LEFT(E$9,2) &amp; "-1", E$9))),"NA")</f>
        <v>0.11959377729377327</v>
      </c>
      <c r="F40" s="183">
        <f>IFERROR(IF(F$9="","",_xll.ciqfunctions.udf.CIQ($D$4,"IQ_NI",F$9)*2/(_xll.ciqfunctions.udf.CIQ($D$4,"IQ_TOTAL_ASSETS",F$9)+_xll.ciqfunctions.udf.CIQ($D$4,"IQ_TOTAL_ASSETS","IQ_" &amp; LEFT(F$9,2) &amp; "-1",F$9)-_xll.ciqfunctions.udf.CIQ($D$4,"IQ_TOTAL_CL",F$9)-_xll.ciqfunctions.udf.CIQ($D$4,"IQ_TOTAL_CL","IQ_" &amp; LEFT(F$9,2) &amp; "-1", F$9))),"NA")</f>
        <v>0.10756993986068764</v>
      </c>
      <c r="G40" s="183">
        <f>IFERROR(IF(G$9="","",_xll.ciqfunctions.udf.CIQ($D$4,"IQ_NI",G$9)*2/(_xll.ciqfunctions.udf.CIQ($D$4,"IQ_TOTAL_ASSETS",G$9)+_xll.ciqfunctions.udf.CIQ($D$4,"IQ_TOTAL_ASSETS","IQ_" &amp; LEFT(G$9,2) &amp; "-1",G$9)-_xll.ciqfunctions.udf.CIQ($D$4,"IQ_TOTAL_CL",G$9)-_xll.ciqfunctions.udf.CIQ($D$4,"IQ_TOTAL_CL","IQ_" &amp; LEFT(G$9,2) &amp; "-1", G$9))),"NA")</f>
        <v>0.10224875308683612</v>
      </c>
      <c r="H40" s="183">
        <f>IFERROR(IF(H$9="","",_xll.ciqfunctions.udf.CIQ($D$4,"IQ_NI",H$9)*2/(_xll.ciqfunctions.udf.CIQ($D$4,"IQ_TOTAL_ASSETS",H$9)+_xll.ciqfunctions.udf.CIQ($D$4,"IQ_TOTAL_ASSETS","IQ_" &amp; LEFT(H$9,2) &amp; "-1",H$9)-_xll.ciqfunctions.udf.CIQ($D$4,"IQ_TOTAL_CL",H$9)-_xll.ciqfunctions.udf.CIQ($D$4,"IQ_TOTAL_CL","IQ_" &amp; LEFT(H$9,2) &amp; "-1", H$9))),"NA")</f>
        <v>7.6479848622323557E-2</v>
      </c>
      <c r="I40" s="183">
        <f>IFERROR(IF(I$9="","",_xll.ciqfunctions.udf.CIQ($D$4,"IQ_NI",I$9)*2/(_xll.ciqfunctions.udf.CIQ($D$4,"IQ_TOTAL_ASSETS",I$9)+_xll.ciqfunctions.udf.CIQ($D$4,"IQ_TOTAL_ASSETS","IQ_" &amp; LEFT(I$9,2) &amp; "-1",I$9)-_xll.ciqfunctions.udf.CIQ($D$4,"IQ_TOTAL_CL",I$9)-_xll.ciqfunctions.udf.CIQ($D$4,"IQ_TOTAL_CL","IQ_" &amp; LEFT(I$9,2) &amp; "-1", I$9))),"NA")</f>
        <v>4.980975957643035E-2</v>
      </c>
      <c r="J40" s="183">
        <f>IFERROR(IF(J$9="","",_xll.ciqfunctions.udf.CIQ($D$4,"IQ_NI",J$9)*2/(_xll.ciqfunctions.udf.CIQ($D$4,"IQ_TOTAL_ASSETS",J$9)+_xll.ciqfunctions.udf.CIQ($D$4,"IQ_TOTAL_ASSETS","IQ_" &amp; LEFT(J$9,2) &amp; "-1",J$9)-_xll.ciqfunctions.udf.CIQ($D$4,"IQ_TOTAL_CL",J$9)-_xll.ciqfunctions.udf.CIQ($D$4,"IQ_TOTAL_CL","IQ_" &amp; LEFT(J$9,2) &amp; "-1", J$9))),"NA")</f>
        <v>9.903401736306372E-2</v>
      </c>
      <c r="K40" s="183">
        <f>IFERROR(IF(K$9="","",_xll.ciqfunctions.udf.CIQ($D$4,"IQ_NI",K$9)*2/(_xll.ciqfunctions.udf.CIQ($D$4,"IQ_TOTAL_ASSETS",K$9)+_xll.ciqfunctions.udf.CIQ($D$4,"IQ_TOTAL_ASSETS","IQ_" &amp; LEFT(K$9,2) &amp; "-1",K$9)-_xll.ciqfunctions.udf.CIQ($D$4,"IQ_TOTAL_CL",K$9)-_xll.ciqfunctions.udf.CIQ($D$4,"IQ_TOTAL_CL","IQ_" &amp; LEFT(K$9,2) &amp; "-1", K$9))),"NA")</f>
        <v>8.4820251384371978E-2</v>
      </c>
      <c r="L40" s="183">
        <f>IFERROR(IF(L$9="","",_xll.ciqfunctions.udf.CIQ($D$4,"IQ_NI",L$9)*2/(_xll.ciqfunctions.udf.CIQ($D$4,"IQ_TOTAL_ASSETS",L$9)+_xll.ciqfunctions.udf.CIQ($D$4,"IQ_TOTAL_ASSETS","IQ_" &amp; LEFT(L$9,2) &amp; "-1",L$9)-_xll.ciqfunctions.udf.CIQ($D$4,"IQ_TOTAL_CL",L$9)-_xll.ciqfunctions.udf.CIQ($D$4,"IQ_TOTAL_CL","IQ_" &amp; LEFT(L$9,2) &amp; "-1", L$9))),"NA")</f>
        <v>8.6174731826604317E-2</v>
      </c>
      <c r="M40" s="183" t="str">
        <f>IFERROR(IF(M$9="","",_xll.ciqfunctions.udf.CIQ($D$4,"IQ_NI",M$9)*2/(_xll.ciqfunctions.udf.CIQ($D$4,"IQ_TOTAL_ASSETS",M$9)+_xll.ciqfunctions.udf.CIQ($D$4,"IQ_TOTAL_ASSETS","IQ_" &amp; LEFT(M$9,2) &amp; "-1",M$9)-_xll.ciqfunctions.udf.CIQ($D$4,"IQ_TOTAL_CL",M$9)-_xll.ciqfunctions.udf.CIQ($D$4,"IQ_TOTAL_CL","IQ_" &amp; LEFT(M$9,2) &amp; "-1", M$9))),"NA")</f>
        <v/>
      </c>
      <c r="N40" s="183" t="str">
        <f>IFERROR(IF(N$9="","",_xll.ciqfunctions.udf.CIQ($D$4,"IQ_NI",N$9)*2/(_xll.ciqfunctions.udf.CIQ($D$4,"IQ_TOTAL_ASSETS",N$9)+_xll.ciqfunctions.udf.CIQ($D$4,"IQ_TOTAL_ASSETS","IQ_" &amp; LEFT(N$9,2) &amp; "-1",N$9)-_xll.ciqfunctions.udf.CIQ($D$4,"IQ_TOTAL_CL",N$9)-_xll.ciqfunctions.udf.CIQ($D$4,"IQ_TOTAL_CL","IQ_" &amp; LEFT(N$9,2) &amp; "-1", N$9))),"NA")</f>
        <v/>
      </c>
      <c r="O40" s="183" t="str">
        <f>IFERROR(IF(O$9="","",_xll.ciqfunctions.udf.CIQ($D$4,"IQ_NI",O$9)*2/(_xll.ciqfunctions.udf.CIQ($D$4,"IQ_TOTAL_ASSETS",O$9)+_xll.ciqfunctions.udf.CIQ($D$4,"IQ_TOTAL_ASSETS","IQ_" &amp; LEFT(O$9,2) &amp; "-1",O$9)-_xll.ciqfunctions.udf.CIQ($D$4,"IQ_TOTAL_CL",O$9)-_xll.ciqfunctions.udf.CIQ($D$4,"IQ_TOTAL_CL","IQ_" &amp; LEFT(O$9,2) &amp; "-1", O$9))),"NA")</f>
        <v/>
      </c>
      <c r="P40" s="183" t="str">
        <f>IFERROR(IF(P$9="","",_xll.ciqfunctions.udf.CIQ($D$4,"IQ_NI",P$9)*2/(_xll.ciqfunctions.udf.CIQ($D$4,"IQ_TOTAL_ASSETS",P$9)+_xll.ciqfunctions.udf.CIQ($D$4,"IQ_TOTAL_ASSETS","IQ_" &amp; LEFT(P$9,2) &amp; "-1",P$9)-_xll.ciqfunctions.udf.CIQ($D$4,"IQ_TOTAL_CL",P$9)-_xll.ciqfunctions.udf.CIQ($D$4,"IQ_TOTAL_CL","IQ_" &amp; LEFT(P$9,2) &amp; "-1", P$9))),"NA")</f>
        <v/>
      </c>
      <c r="Q40" s="183" t="str">
        <f>IFERROR(IF(Q$9="","",_xll.ciqfunctions.udf.CIQ($D$4,"IQ_NI",Q$9)*2/(_xll.ciqfunctions.udf.CIQ($D$4,"IQ_TOTAL_ASSETS",Q$9)+_xll.ciqfunctions.udf.CIQ($D$4,"IQ_TOTAL_ASSETS","IQ_" &amp; LEFT(Q$9,2) &amp; "-1",Q$9)-_xll.ciqfunctions.udf.CIQ($D$4,"IQ_TOTAL_CL",Q$9)-_xll.ciqfunctions.udf.CIQ($D$4,"IQ_TOTAL_CL","IQ_" &amp; LEFT(Q$9,2) &amp; "-1", Q$9))),"NA")</f>
        <v/>
      </c>
      <c r="R40" s="183" t="str">
        <f>IFERROR(IF(R$9="","",_xll.ciqfunctions.udf.CIQ($D$4,"IQ_NI",R$9)*2/(_xll.ciqfunctions.udf.CIQ($D$4,"IQ_TOTAL_ASSETS",R$9)+_xll.ciqfunctions.udf.CIQ($D$4,"IQ_TOTAL_ASSETS","IQ_" &amp; LEFT(R$9,2) &amp; "-1",R$9)-_xll.ciqfunctions.udf.CIQ($D$4,"IQ_TOTAL_CL",R$9)-_xll.ciqfunctions.udf.CIQ($D$4,"IQ_TOTAL_CL","IQ_" &amp; LEFT(R$9,2) &amp; "-1", R$9))),"NA")</f>
        <v/>
      </c>
      <c r="S40" s="183" t="str">
        <f>IFERROR(IF(S$9="","",_xll.ciqfunctions.udf.CIQ($D$4,"IQ_NI",S$9)*2/(_xll.ciqfunctions.udf.CIQ($D$4,"IQ_TOTAL_ASSETS",S$9)+_xll.ciqfunctions.udf.CIQ($D$4,"IQ_TOTAL_ASSETS","IQ_" &amp; LEFT(S$9,2) &amp; "-1",S$9)-_xll.ciqfunctions.udf.CIQ($D$4,"IQ_TOTAL_CL",S$9)-_xll.ciqfunctions.udf.CIQ($D$4,"IQ_TOTAL_CL","IQ_" &amp; LEFT(S$9,2) &amp; "-1", S$9))),"NA")</f>
        <v/>
      </c>
      <c r="T40" s="183" t="str">
        <f>IFERROR(IF(T$9="","",_xll.ciqfunctions.udf.CIQ($D$4,"IQ_NI",T$9)*2/(_xll.ciqfunctions.udf.CIQ($D$4,"IQ_TOTAL_ASSETS",T$9)+_xll.ciqfunctions.udf.CIQ($D$4,"IQ_TOTAL_ASSETS","IQ_" &amp; LEFT(T$9,2) &amp; "-1",T$9)-_xll.ciqfunctions.udf.CIQ($D$4,"IQ_TOTAL_CL",T$9)-_xll.ciqfunctions.udf.CIQ($D$4,"IQ_TOTAL_CL","IQ_" &amp; LEFT(T$9,2) &amp; "-1", T$9))),"NA")</f>
        <v/>
      </c>
      <c r="U40" s="183" t="str">
        <f>IFERROR(IF(U$9="","",_xll.ciqfunctions.udf.CIQ($D$4,"IQ_NI",U$9)*2/(_xll.ciqfunctions.udf.CIQ($D$4,"IQ_TOTAL_ASSETS",U$9)+_xll.ciqfunctions.udf.CIQ($D$4,"IQ_TOTAL_ASSETS","IQ_" &amp; LEFT(U$9,2) &amp; "-1",U$9)-_xll.ciqfunctions.udf.CIQ($D$4,"IQ_TOTAL_CL",U$9)-_xll.ciqfunctions.udf.CIQ($D$4,"IQ_TOTAL_CL","IQ_" &amp; LEFT(U$9,2) &amp; "-1", U$9))),"NA")</f>
        <v/>
      </c>
      <c r="V40" s="183" t="str">
        <f>IFERROR(IF(V$9="","",_xll.ciqfunctions.udf.CIQ($D$4,"IQ_NI",V$9)*2/(_xll.ciqfunctions.udf.CIQ($D$4,"IQ_TOTAL_ASSETS",V$9)+_xll.ciqfunctions.udf.CIQ($D$4,"IQ_TOTAL_ASSETS","IQ_" &amp; LEFT(V$9,2) &amp; "-1",V$9)-_xll.ciqfunctions.udf.CIQ($D$4,"IQ_TOTAL_CL",V$9)-_xll.ciqfunctions.udf.CIQ($D$4,"IQ_TOTAL_CL","IQ_" &amp; LEFT(V$9,2) &amp; "-1", V$9))),"NA")</f>
        <v/>
      </c>
      <c r="W40" s="183" t="str">
        <f>IFERROR(IF(W$9="","",_xll.ciqfunctions.udf.CIQ($D$4,"IQ_NI",W$9)*2/(_xll.ciqfunctions.udf.CIQ($D$4,"IQ_TOTAL_ASSETS",W$9)+_xll.ciqfunctions.udf.CIQ($D$4,"IQ_TOTAL_ASSETS","IQ_" &amp; LEFT(W$9,2) &amp; "-1",W$9)-_xll.ciqfunctions.udf.CIQ($D$4,"IQ_TOTAL_CL",W$9)-_xll.ciqfunctions.udf.CIQ($D$4,"IQ_TOTAL_CL","IQ_" &amp; LEFT(W$9,2) &amp; "-1", W$9))),"NA")</f>
        <v/>
      </c>
    </row>
    <row r="41" spans="1:23" ht="15" customHeight="1" x14ac:dyDescent="0.2">
      <c r="C41" s="157"/>
      <c r="D41" s="157"/>
      <c r="E41" s="157"/>
      <c r="F41" s="157"/>
      <c r="G41" s="157"/>
      <c r="H41" s="157"/>
      <c r="I41" s="157"/>
      <c r="J41" s="157"/>
      <c r="K41" s="157"/>
      <c r="L41" s="157"/>
      <c r="M41" s="157"/>
      <c r="N41" s="157"/>
      <c r="O41" s="157"/>
      <c r="P41" s="157"/>
      <c r="Q41" s="157"/>
      <c r="R41" s="157"/>
      <c r="S41" s="157"/>
      <c r="T41" s="157"/>
      <c r="U41" s="157"/>
      <c r="V41" s="157"/>
      <c r="W41" s="157"/>
    </row>
    <row r="42" spans="1:23" ht="15" customHeight="1" x14ac:dyDescent="0.2">
      <c r="A42" s="25" t="s">
        <v>238</v>
      </c>
      <c r="B42" s="25" t="s">
        <v>393</v>
      </c>
      <c r="C42" s="178">
        <f ca="1">IF(C$9="","",IF(NOT(ISNUMBER(_xll.ciqfunctions.udf.CIQ($D$4,$B42, C$9, $H$4, $E$4, , $F$4, $G$4))),"",_xll.ciqfunctions.udf.CIQ($D$4,$B42, C$9, $H$4, $E$4, , $F$4, $G$4)))</f>
        <v>0</v>
      </c>
      <c r="D42" s="178">
        <f ca="1">IF(D$9="","",IF(NOT(ISNUMBER(_xll.ciqfunctions.udf.CIQ($D$4,$B42, D$9, $H$4, $E$4, , $F$4, $G$4))),"",_xll.ciqfunctions.udf.CIQ($D$4,$B42, D$9, $H$4, $E$4, , $F$4, $G$4)))</f>
        <v>0</v>
      </c>
      <c r="E42" s="209">
        <f ca="1">IF(E$9="","",IF(NOT(ISNUMBER(_xll.ciqfunctions.udf.CIQ($D$4,$B42, E$9, $H$4, $E$4, , $F$4, $G$4))),"",_xll.ciqfunctions.udf.CIQ($D$4,$B42, E$9, $H$4, $E$4, , $F$4, $G$4)))</f>
        <v>0</v>
      </c>
      <c r="F42" s="209">
        <f ca="1">IF(F$9="","",IF(NOT(ISNUMBER(_xll.ciqfunctions.udf.CIQ($D$4,$B42, F$9, $H$4, $E$4, , $F$4, $G$4))),"",_xll.ciqfunctions.udf.CIQ($D$4,$B42, F$9, $H$4, $E$4, , $F$4, $G$4)))</f>
        <v>0</v>
      </c>
      <c r="G42" s="209">
        <f ca="1">IF(G$9="","",IF(NOT(ISNUMBER(_xll.ciqfunctions.udf.CIQ($D$4,$B42, G$9, $H$4, $E$4, , $F$4, $G$4))),"",_xll.ciqfunctions.udf.CIQ($D$4,$B42, G$9, $H$4, $E$4, , $F$4, $G$4)))</f>
        <v>0</v>
      </c>
      <c r="H42" s="209">
        <f ca="1">IF(H$9="","",IF(NOT(ISNUMBER(_xll.ciqfunctions.udf.CIQ($D$4,$B42, H$9, $H$4, $E$4, , $F$4, $G$4))),"",_xll.ciqfunctions.udf.CIQ($D$4,$B42, H$9, $H$4, $E$4, , $F$4, $G$4)))</f>
        <v>0</v>
      </c>
      <c r="I42" s="209">
        <f ca="1">IF(I$9="","",IF(NOT(ISNUMBER(_xll.ciqfunctions.udf.CIQ($D$4,$B42, I$9, $H$4, $E$4, , $F$4, $G$4))),"",_xll.ciqfunctions.udf.CIQ($D$4,$B42, I$9, $H$4, $E$4, , $F$4, $G$4)))</f>
        <v>0</v>
      </c>
      <c r="J42" s="209">
        <f ca="1">IF(J$9="","",IF(NOT(ISNUMBER(_xll.ciqfunctions.udf.CIQ($D$4,$B42, J$9, $H$4, $E$4, , $F$4, $G$4))),"",_xll.ciqfunctions.udf.CIQ($D$4,$B42, J$9, $H$4, $E$4, , $F$4, $G$4)))</f>
        <v>0</v>
      </c>
      <c r="K42" s="209">
        <f ca="1">IF(K$9="","",IF(NOT(ISNUMBER(_xll.ciqfunctions.udf.CIQ($D$4,$B42, K$9, $H$4, $E$4, , $F$4, $G$4))),"",_xll.ciqfunctions.udf.CIQ($D$4,$B42, K$9, $H$4, $E$4, , $F$4, $G$4)))</f>
        <v>0</v>
      </c>
      <c r="L42" s="209">
        <f ca="1">IF(L$9="","",IF(NOT(ISNUMBER(_xll.ciqfunctions.udf.CIQ($D$4,$B42, L$9, $H$4, $E$4, , $F$4, $G$4))),"",_xll.ciqfunctions.udf.CIQ($D$4,$B42, L$9, $H$4, $E$4, , $F$4, $G$4)))</f>
        <v>0</v>
      </c>
      <c r="M42" s="209" t="str">
        <f>IF(M$9="","",IF(NOT(ISNUMBER(_xll.ciqfunctions.udf.CIQ($D$4,$B42, M$9, $H$4, $E$4, , $F$4, $G$4))),"",_xll.ciqfunctions.udf.CIQ($D$4,$B42, M$9, $H$4, $E$4, , $F$4, $G$4)))</f>
        <v/>
      </c>
      <c r="N42" s="209" t="str">
        <f>IF(N$9="","",IF(NOT(ISNUMBER(_xll.ciqfunctions.udf.CIQ($D$4,$B42, N$9, $H$4, $E$4, , $F$4, $G$4))),"",_xll.ciqfunctions.udf.CIQ($D$4,$B42, N$9, $H$4, $E$4, , $F$4, $G$4)))</f>
        <v/>
      </c>
      <c r="O42" s="209" t="str">
        <f>IF(O$9="","",IF(NOT(ISNUMBER(_xll.ciqfunctions.udf.CIQ($D$4,$B42, O$9, $H$4, $E$4, , $F$4, $G$4))),"",_xll.ciqfunctions.udf.CIQ($D$4,$B42, O$9, $H$4, $E$4, , $F$4, $G$4)))</f>
        <v/>
      </c>
      <c r="P42" s="209" t="str">
        <f>IF(P$9="","",IF(NOT(ISNUMBER(_xll.ciqfunctions.udf.CIQ($D$4,$B42, P$9, $H$4, $E$4, , $F$4, $G$4))),"",_xll.ciqfunctions.udf.CIQ($D$4,$B42, P$9, $H$4, $E$4, , $F$4, $G$4)))</f>
        <v/>
      </c>
      <c r="Q42" s="209" t="str">
        <f>IF(Q$9="","",IF(NOT(ISNUMBER(_xll.ciqfunctions.udf.CIQ($D$4,$B42, Q$9, $H$4, $E$4, , $F$4, $G$4))),"",_xll.ciqfunctions.udf.CIQ($D$4,$B42, Q$9, $H$4, $E$4, , $F$4, $G$4)))</f>
        <v/>
      </c>
      <c r="R42" s="209" t="str">
        <f>IF(R$9="","",IF(NOT(ISNUMBER(_xll.ciqfunctions.udf.CIQ($D$4,$B42, R$9, $H$4, $E$4, , $F$4, $G$4))),"",_xll.ciqfunctions.udf.CIQ($D$4,$B42, R$9, $H$4, $E$4, , $F$4, $G$4)))</f>
        <v/>
      </c>
      <c r="S42" s="209" t="str">
        <f>IF(S$9="","",IF(NOT(ISNUMBER(_xll.ciqfunctions.udf.CIQ($D$4,$B42, S$9, $H$4, $E$4, , $F$4, $G$4))),"",_xll.ciqfunctions.udf.CIQ($D$4,$B42, S$9, $H$4, $E$4, , $F$4, $G$4)))</f>
        <v/>
      </c>
      <c r="T42" s="209" t="str">
        <f>IF(T$9="","",IF(NOT(ISNUMBER(_xll.ciqfunctions.udf.CIQ($D$4,$B42, T$9, $H$4, $E$4, , $F$4, $G$4))),"",_xll.ciqfunctions.udf.CIQ($D$4,$B42, T$9, $H$4, $E$4, , $F$4, $G$4)))</f>
        <v/>
      </c>
      <c r="U42" s="209" t="str">
        <f>IF(U$9="","",IF(NOT(ISNUMBER(_xll.ciqfunctions.udf.CIQ($D$4,$B42, U$9, $H$4, $E$4, , $F$4, $G$4))),"",_xll.ciqfunctions.udf.CIQ($D$4,$B42, U$9, $H$4, $E$4, , $F$4, $G$4)))</f>
        <v/>
      </c>
      <c r="V42" s="209" t="str">
        <f>IF(V$9="","",IF(NOT(ISNUMBER(_xll.ciqfunctions.udf.CIQ($D$4,$B42, V$9, $H$4, $E$4, , $F$4, $G$4))),"",_xll.ciqfunctions.udf.CIQ($D$4,$B42, V$9, $H$4, $E$4, , $F$4, $G$4)))</f>
        <v/>
      </c>
      <c r="W42" s="209" t="str">
        <f>IF(W$9="","",IF(NOT(ISNUMBER(_xll.ciqfunctions.udf.CIQ($D$4,$B42, W$9, $H$4, $E$4, , $F$4, $G$4))),"",_xll.ciqfunctions.udf.CIQ($D$4,$B42, W$9, $H$4, $E$4, , $F$4, $G$4)))</f>
        <v/>
      </c>
    </row>
    <row r="43" spans="1:23" ht="15" customHeight="1" x14ac:dyDescent="0.2">
      <c r="A43" s="25" t="s">
        <v>239</v>
      </c>
      <c r="B43" s="25" t="s">
        <v>394</v>
      </c>
      <c r="C43" s="209">
        <f ca="1">IF(C$9="","",IF(NOT(ISNUMBER(_xll.ciqfunctions.udf.CIQ($D$4,$B43, C$9, $H$4, $E$4, , $F$4, $G$4))),"",_xll.ciqfunctions.udf.CIQ($D$4,$B43, C$9, $H$4, $E$4, , $F$4, $G$4)))</f>
        <v>0</v>
      </c>
      <c r="D43" s="209">
        <f ca="1">IF(D$9="","",IF(NOT(ISNUMBER(_xll.ciqfunctions.udf.CIQ($D$4,$B43, D$9, $H$4, $E$4, , $F$4, $G$4))),"",_xll.ciqfunctions.udf.CIQ($D$4,$B43, D$9, $H$4, $E$4, , $F$4, $G$4)))</f>
        <v>0</v>
      </c>
      <c r="E43" s="209">
        <f ca="1">IF(E$9="","",IF(NOT(ISNUMBER(_xll.ciqfunctions.udf.CIQ($D$4,$B43, E$9, $H$4, $E$4, , $F$4, $G$4))),"",_xll.ciqfunctions.udf.CIQ($D$4,$B43, E$9, $H$4, $E$4, , $F$4, $G$4)))</f>
        <v>0</v>
      </c>
      <c r="F43" s="209">
        <f ca="1">IF(F$9="","",IF(NOT(ISNUMBER(_xll.ciqfunctions.udf.CIQ($D$4,$B43, F$9, $H$4, $E$4, , $F$4, $G$4))),"",_xll.ciqfunctions.udf.CIQ($D$4,$B43, F$9, $H$4, $E$4, , $F$4, $G$4)))</f>
        <v>0</v>
      </c>
      <c r="G43" s="209">
        <f ca="1">IF(G$9="","",IF(NOT(ISNUMBER(_xll.ciqfunctions.udf.CIQ($D$4,$B43, G$9, $H$4, $E$4, , $F$4, $G$4))),"",_xll.ciqfunctions.udf.CIQ($D$4,$B43, G$9, $H$4, $E$4, , $F$4, $G$4)))</f>
        <v>0</v>
      </c>
      <c r="H43" s="209">
        <f ca="1">IF(H$9="","",IF(NOT(ISNUMBER(_xll.ciqfunctions.udf.CIQ($D$4,$B43, H$9, $H$4, $E$4, , $F$4, $G$4))),"",_xll.ciqfunctions.udf.CIQ($D$4,$B43, H$9, $H$4, $E$4, , $F$4, $G$4)))</f>
        <v>0</v>
      </c>
      <c r="I43" s="209">
        <f ca="1">IF(I$9="","",IF(NOT(ISNUMBER(_xll.ciqfunctions.udf.CIQ($D$4,$B43, I$9, $H$4, $E$4, , $F$4, $G$4))),"",_xll.ciqfunctions.udf.CIQ($D$4,$B43, I$9, $H$4, $E$4, , $F$4, $G$4)))</f>
        <v>0</v>
      </c>
      <c r="J43" s="209">
        <f ca="1">IF(J$9="","",IF(NOT(ISNUMBER(_xll.ciqfunctions.udf.CIQ($D$4,$B43, J$9, $H$4, $E$4, , $F$4, $G$4))),"",_xll.ciqfunctions.udf.CIQ($D$4,$B43, J$9, $H$4, $E$4, , $F$4, $G$4)))</f>
        <v>0</v>
      </c>
      <c r="K43" s="209">
        <f ca="1">IF(K$9="","",IF(NOT(ISNUMBER(_xll.ciqfunctions.udf.CIQ($D$4,$B43, K$9, $H$4, $E$4, , $F$4, $G$4))),"",_xll.ciqfunctions.udf.CIQ($D$4,$B43, K$9, $H$4, $E$4, , $F$4, $G$4)))</f>
        <v>0</v>
      </c>
      <c r="L43" s="209">
        <f ca="1">IF(L$9="","",IF(NOT(ISNUMBER(_xll.ciqfunctions.udf.CIQ($D$4,$B43, L$9, $H$4, $E$4, , $F$4, $G$4))),"",_xll.ciqfunctions.udf.CIQ($D$4,$B43, L$9, $H$4, $E$4, , $F$4, $G$4)))</f>
        <v>0</v>
      </c>
      <c r="M43" s="209" t="str">
        <f>IF(M$9="","",IF(NOT(ISNUMBER(_xll.ciqfunctions.udf.CIQ($D$4,$B43, M$9, $H$4, $E$4, , $F$4, $G$4))),"",_xll.ciqfunctions.udf.CIQ($D$4,$B43, M$9, $H$4, $E$4, , $F$4, $G$4)))</f>
        <v/>
      </c>
      <c r="N43" s="209" t="str">
        <f>IF(N$9="","",IF(NOT(ISNUMBER(_xll.ciqfunctions.udf.CIQ($D$4,$B43, N$9, $H$4, $E$4, , $F$4, $G$4))),"",_xll.ciqfunctions.udf.CIQ($D$4,$B43, N$9, $H$4, $E$4, , $F$4, $G$4)))</f>
        <v/>
      </c>
      <c r="O43" s="209" t="str">
        <f>IF(O$9="","",IF(NOT(ISNUMBER(_xll.ciqfunctions.udf.CIQ($D$4,$B43, O$9, $H$4, $E$4, , $F$4, $G$4))),"",_xll.ciqfunctions.udf.CIQ($D$4,$B43, O$9, $H$4, $E$4, , $F$4, $G$4)))</f>
        <v/>
      </c>
      <c r="P43" s="209" t="str">
        <f>IF(P$9="","",IF(NOT(ISNUMBER(_xll.ciqfunctions.udf.CIQ($D$4,$B43, P$9, $H$4, $E$4, , $F$4, $G$4))),"",_xll.ciqfunctions.udf.CIQ($D$4,$B43, P$9, $H$4, $E$4, , $F$4, $G$4)))</f>
        <v/>
      </c>
      <c r="Q43" s="209" t="str">
        <f>IF(Q$9="","",IF(NOT(ISNUMBER(_xll.ciqfunctions.udf.CIQ($D$4,$B43, Q$9, $H$4, $E$4, , $F$4, $G$4))),"",_xll.ciqfunctions.udf.CIQ($D$4,$B43, Q$9, $H$4, $E$4, , $F$4, $G$4)))</f>
        <v/>
      </c>
      <c r="R43" s="209" t="str">
        <f>IF(R$9="","",IF(NOT(ISNUMBER(_xll.ciqfunctions.udf.CIQ($D$4,$B43, R$9, $H$4, $E$4, , $F$4, $G$4))),"",_xll.ciqfunctions.udf.CIQ($D$4,$B43, R$9, $H$4, $E$4, , $F$4, $G$4)))</f>
        <v/>
      </c>
      <c r="S43" s="209" t="str">
        <f>IF(S$9="","",IF(NOT(ISNUMBER(_xll.ciqfunctions.udf.CIQ($D$4,$B43, S$9, $H$4, $E$4, , $F$4, $G$4))),"",_xll.ciqfunctions.udf.CIQ($D$4,$B43, S$9, $H$4, $E$4, , $F$4, $G$4)))</f>
        <v/>
      </c>
      <c r="T43" s="209" t="str">
        <f>IF(T$9="","",IF(NOT(ISNUMBER(_xll.ciqfunctions.udf.CIQ($D$4,$B43, T$9, $H$4, $E$4, , $F$4, $G$4))),"",_xll.ciqfunctions.udf.CIQ($D$4,$B43, T$9, $H$4, $E$4, , $F$4, $G$4)))</f>
        <v/>
      </c>
      <c r="U43" s="209" t="str">
        <f>IF(U$9="","",IF(NOT(ISNUMBER(_xll.ciqfunctions.udf.CIQ($D$4,$B43, U$9, $H$4, $E$4, , $F$4, $G$4))),"",_xll.ciqfunctions.udf.CIQ($D$4,$B43, U$9, $H$4, $E$4, , $F$4, $G$4)))</f>
        <v/>
      </c>
      <c r="V43" s="209" t="str">
        <f>IF(V$9="","",IF(NOT(ISNUMBER(_xll.ciqfunctions.udf.CIQ($D$4,$B43, V$9, $H$4, $E$4, , $F$4, $G$4))),"",_xll.ciqfunctions.udf.CIQ($D$4,$B43, V$9, $H$4, $E$4, , $F$4, $G$4)))</f>
        <v/>
      </c>
      <c r="W43" s="209" t="str">
        <f>IF(W$9="","",IF(NOT(ISNUMBER(_xll.ciqfunctions.udf.CIQ($D$4,$B43, W$9, $H$4, $E$4, , $F$4, $G$4))),"",_xll.ciqfunctions.udf.CIQ($D$4,$B43, W$9, $H$4, $E$4, , $F$4, $G$4)))</f>
        <v/>
      </c>
    </row>
    <row r="44" spans="1:23" s="48" customFormat="1" ht="15" customHeight="1" x14ac:dyDescent="0.2">
      <c r="A44" s="48" t="s">
        <v>232</v>
      </c>
      <c r="B44" s="48" t="s">
        <v>233</v>
      </c>
      <c r="C44" s="209">
        <f ca="1">IF(C$9="","",IF(NOT(ISNUMBER(_xll.ciqfunctions.udf.CIQ($D$4,$B44, C$9, $H$4, $E$4, , $F$4, $G$4))),"",_xll.ciqfunctions.udf.CIQ($D$4,$B44, C$9, $H$4, $E$4, , $F$4, $G$4)))</f>
        <v>0</v>
      </c>
      <c r="D44" s="209">
        <f ca="1">IF(D$9="","",IF(NOT(ISNUMBER(_xll.ciqfunctions.udf.CIQ($D$4,$B44, D$9, $H$4, $E$4, , $F$4, $G$4))),"",_xll.ciqfunctions.udf.CIQ($D$4,$B44, D$9, $H$4, $E$4, , $F$4, $G$4)))</f>
        <v>0</v>
      </c>
      <c r="E44" s="209">
        <f ca="1">IF(E$9="","",IF(NOT(ISNUMBER(_xll.ciqfunctions.udf.CIQ($D$4,$B44, E$9, $H$4, $E$4, , $F$4, $G$4))),"",_xll.ciqfunctions.udf.CIQ($D$4,$B44, E$9, $H$4, $E$4, , $F$4, $G$4)))</f>
        <v>0</v>
      </c>
      <c r="F44" s="209">
        <f ca="1">IF(F$9="","",IF(NOT(ISNUMBER(_xll.ciqfunctions.udf.CIQ($D$4,$B44, F$9, $H$4, $E$4, , $F$4, $G$4))),"",_xll.ciqfunctions.udf.CIQ($D$4,$B44, F$9, $H$4, $E$4, , $F$4, $G$4)))</f>
        <v>0</v>
      </c>
      <c r="G44" s="209">
        <f ca="1">IF(G$9="","",IF(NOT(ISNUMBER(_xll.ciqfunctions.udf.CIQ($D$4,$B44, G$9, $H$4, $E$4, , $F$4, $G$4))),"",_xll.ciqfunctions.udf.CIQ($D$4,$B44, G$9, $H$4, $E$4, , $F$4, $G$4)))</f>
        <v>0</v>
      </c>
      <c r="H44" s="209">
        <f ca="1">IF(H$9="","",IF(NOT(ISNUMBER(_xll.ciqfunctions.udf.CIQ($D$4,$B44, H$9, $H$4, $E$4, , $F$4, $G$4))),"",_xll.ciqfunctions.udf.CIQ($D$4,$B44, H$9, $H$4, $E$4, , $F$4, $G$4)))</f>
        <v>0</v>
      </c>
      <c r="I44" s="209">
        <f ca="1">IF(I$9="","",IF(NOT(ISNUMBER(_xll.ciqfunctions.udf.CIQ($D$4,$B44, I$9, $H$4, $E$4, , $F$4, $G$4))),"",_xll.ciqfunctions.udf.CIQ($D$4,$B44, I$9, $H$4, $E$4, , $F$4, $G$4)))</f>
        <v>0</v>
      </c>
      <c r="J44" s="209">
        <f ca="1">IF(J$9="","",IF(NOT(ISNUMBER(_xll.ciqfunctions.udf.CIQ($D$4,$B44, J$9, $H$4, $E$4, , $F$4, $G$4))),"",_xll.ciqfunctions.udf.CIQ($D$4,$B44, J$9, $H$4, $E$4, , $F$4, $G$4)))</f>
        <v>0</v>
      </c>
      <c r="K44" s="209">
        <f ca="1">IF(K$9="","",IF(NOT(ISNUMBER(_xll.ciqfunctions.udf.CIQ($D$4,$B44, K$9, $H$4, $E$4, , $F$4, $G$4))),"",_xll.ciqfunctions.udf.CIQ($D$4,$B44, K$9, $H$4, $E$4, , $F$4, $G$4)))</f>
        <v>0</v>
      </c>
      <c r="L44" s="209">
        <f ca="1">IF(L$9="","",IF(NOT(ISNUMBER(_xll.ciqfunctions.udf.CIQ($D$4,$B44, L$9, $H$4, $E$4, , $F$4, $G$4))),"",_xll.ciqfunctions.udf.CIQ($D$4,$B44, L$9, $H$4, $E$4, , $F$4, $G$4)))</f>
        <v>0</v>
      </c>
      <c r="M44" s="209" t="str">
        <f>IF(M$9="","",IF(NOT(ISNUMBER(_xll.ciqfunctions.udf.CIQ($D$4,$B44, M$9, $H$4, $E$4, , $F$4, $G$4))),"",_xll.ciqfunctions.udf.CIQ($D$4,$B44, M$9, $H$4, $E$4, , $F$4, $G$4)))</f>
        <v/>
      </c>
      <c r="N44" s="209" t="str">
        <f>IF(N$9="","",IF(NOT(ISNUMBER(_xll.ciqfunctions.udf.CIQ($D$4,$B44, N$9, $H$4, $E$4, , $F$4, $G$4))),"",_xll.ciqfunctions.udf.CIQ($D$4,$B44, N$9, $H$4, $E$4, , $F$4, $G$4)))</f>
        <v/>
      </c>
      <c r="O44" s="209" t="str">
        <f>IF(O$9="","",IF(NOT(ISNUMBER(_xll.ciqfunctions.udf.CIQ($D$4,$B44, O$9, $H$4, $E$4, , $F$4, $G$4))),"",_xll.ciqfunctions.udf.CIQ($D$4,$B44, O$9, $H$4, $E$4, , $F$4, $G$4)))</f>
        <v/>
      </c>
      <c r="P44" s="209" t="str">
        <f>IF(P$9="","",IF(NOT(ISNUMBER(_xll.ciqfunctions.udf.CIQ($D$4,$B44, P$9, $H$4, $E$4, , $F$4, $G$4))),"",_xll.ciqfunctions.udf.CIQ($D$4,$B44, P$9, $H$4, $E$4, , $F$4, $G$4)))</f>
        <v/>
      </c>
      <c r="Q44" s="209" t="str">
        <f>IF(Q$9="","",IF(NOT(ISNUMBER(_xll.ciqfunctions.udf.CIQ($D$4,$B44, Q$9, $H$4, $E$4, , $F$4, $G$4))),"",_xll.ciqfunctions.udf.CIQ($D$4,$B44, Q$9, $H$4, $E$4, , $F$4, $G$4)))</f>
        <v/>
      </c>
      <c r="R44" s="209" t="str">
        <f>IF(R$9="","",IF(NOT(ISNUMBER(_xll.ciqfunctions.udf.CIQ($D$4,$B44, R$9, $H$4, $E$4, , $F$4, $G$4))),"",_xll.ciqfunctions.udf.CIQ($D$4,$B44, R$9, $H$4, $E$4, , $F$4, $G$4)))</f>
        <v/>
      </c>
      <c r="S44" s="209" t="str">
        <f>IF(S$9="","",IF(NOT(ISNUMBER(_xll.ciqfunctions.udf.CIQ($D$4,$B44, S$9, $H$4, $E$4, , $F$4, $G$4))),"",_xll.ciqfunctions.udf.CIQ($D$4,$B44, S$9, $H$4, $E$4, , $F$4, $G$4)))</f>
        <v/>
      </c>
      <c r="T44" s="209" t="str">
        <f>IF(T$9="","",IF(NOT(ISNUMBER(_xll.ciqfunctions.udf.CIQ($D$4,$B44, T$9, $H$4, $E$4, , $F$4, $G$4))),"",_xll.ciqfunctions.udf.CIQ($D$4,$B44, T$9, $H$4, $E$4, , $F$4, $G$4)))</f>
        <v/>
      </c>
      <c r="U44" s="209" t="str">
        <f>IF(U$9="","",IF(NOT(ISNUMBER(_xll.ciqfunctions.udf.CIQ($D$4,$B44, U$9, $H$4, $E$4, , $F$4, $G$4))),"",_xll.ciqfunctions.udf.CIQ($D$4,$B44, U$9, $H$4, $E$4, , $F$4, $G$4)))</f>
        <v/>
      </c>
      <c r="V44" s="209" t="str">
        <f>IF(V$9="","",IF(NOT(ISNUMBER(_xll.ciqfunctions.udf.CIQ($D$4,$B44, V$9, $H$4, $E$4, , $F$4, $G$4))),"",_xll.ciqfunctions.udf.CIQ($D$4,$B44, V$9, $H$4, $E$4, , $F$4, $G$4)))</f>
        <v/>
      </c>
      <c r="W44" s="209" t="str">
        <f>IF(W$9="","",IF(NOT(ISNUMBER(_xll.ciqfunctions.udf.CIQ($D$4,$B44, W$9, $H$4, $E$4, , $F$4, $G$4))),"",_xll.ciqfunctions.udf.CIQ($D$4,$B44, W$9, $H$4, $E$4, , $F$4, $G$4)))</f>
        <v/>
      </c>
    </row>
    <row r="45" spans="1:23" ht="15" customHeight="1" x14ac:dyDescent="0.2">
      <c r="A45" s="25" t="s">
        <v>240</v>
      </c>
      <c r="C45" s="172" t="str">
        <f t="shared" ref="C45:K45" ca="1" si="9">IFERROR(IF(C$9="","",C42/C43),"NA")</f>
        <v>NA</v>
      </c>
      <c r="D45" s="172" t="str">
        <f t="shared" ca="1" si="9"/>
        <v>NA</v>
      </c>
      <c r="E45" s="172" t="str">
        <f t="shared" ca="1" si="9"/>
        <v>NA</v>
      </c>
      <c r="F45" s="172" t="str">
        <f t="shared" ca="1" si="9"/>
        <v>NA</v>
      </c>
      <c r="G45" s="172" t="str">
        <f t="shared" ca="1" si="9"/>
        <v>NA</v>
      </c>
      <c r="H45" s="172" t="str">
        <f t="shared" ca="1" si="9"/>
        <v>NA</v>
      </c>
      <c r="I45" s="172" t="str">
        <f t="shared" ca="1" si="9"/>
        <v>NA</v>
      </c>
      <c r="J45" s="172" t="str">
        <f t="shared" ca="1" si="9"/>
        <v>NA</v>
      </c>
      <c r="K45" s="172" t="str">
        <f t="shared" ca="1" si="9"/>
        <v>NA</v>
      </c>
      <c r="L45" s="172" t="str">
        <f t="shared" ref="L45:W45" ca="1" si="10">IFERROR(IF(L$9="","",L42/L43),"NA")</f>
        <v>NA</v>
      </c>
      <c r="M45" s="172" t="str">
        <f t="shared" si="10"/>
        <v/>
      </c>
      <c r="N45" s="172" t="str">
        <f t="shared" si="10"/>
        <v/>
      </c>
      <c r="O45" s="172" t="str">
        <f t="shared" si="10"/>
        <v/>
      </c>
      <c r="P45" s="172" t="str">
        <f t="shared" si="10"/>
        <v/>
      </c>
      <c r="Q45" s="172" t="str">
        <f t="shared" si="10"/>
        <v/>
      </c>
      <c r="R45" s="172" t="str">
        <f t="shared" si="10"/>
        <v/>
      </c>
      <c r="S45" s="172" t="str">
        <f t="shared" si="10"/>
        <v/>
      </c>
      <c r="T45" s="172" t="str">
        <f t="shared" si="10"/>
        <v/>
      </c>
      <c r="U45" s="172" t="str">
        <f t="shared" si="10"/>
        <v/>
      </c>
      <c r="V45" s="172" t="str">
        <f t="shared" si="10"/>
        <v/>
      </c>
      <c r="W45" s="172" t="str">
        <f t="shared" si="10"/>
        <v/>
      </c>
    </row>
    <row r="46" spans="1:23" ht="15" customHeight="1" x14ac:dyDescent="0.2">
      <c r="C46" s="157"/>
      <c r="D46" s="157"/>
      <c r="E46" s="157"/>
      <c r="F46" s="157"/>
      <c r="G46" s="157"/>
      <c r="H46" s="157"/>
      <c r="I46" s="157"/>
      <c r="J46" s="157"/>
      <c r="K46" s="157"/>
      <c r="L46" s="157"/>
      <c r="M46" s="157"/>
      <c r="N46" s="157"/>
      <c r="O46" s="157"/>
      <c r="P46" s="157"/>
      <c r="Q46" s="157"/>
      <c r="R46" s="157"/>
      <c r="S46" s="157"/>
      <c r="T46" s="157"/>
      <c r="U46" s="157"/>
      <c r="V46" s="157"/>
      <c r="W46" s="157"/>
    </row>
    <row r="47" spans="1:23" ht="15" customHeight="1" x14ac:dyDescent="0.2">
      <c r="A47" s="25" t="s">
        <v>241</v>
      </c>
      <c r="B47" s="25" t="s">
        <v>395</v>
      </c>
      <c r="C47" s="172">
        <f ca="1">IF(C$9="","",IF(NOT(ISNUMBER(_xll.ciqfunctions.udf.CIQ($D$4,$B47, C$9, $H$4, $E$4, , $F$4, $G$4))),"",_xll.ciqfunctions.udf.CIQ($D$4,$B47, C$9, $H$4, $E$4, , $F$4, $G$4)/100))</f>
        <v>0</v>
      </c>
      <c r="D47" s="172">
        <f ca="1">IF(D$9="","",IF(NOT(ISNUMBER(_xll.ciqfunctions.udf.CIQ($D$4,$B47, D$9, $H$4, $E$4, , $F$4, $G$4))),"",_xll.ciqfunctions.udf.CIQ($D$4,$B47, D$9, $H$4, $E$4, , $F$4, $G$4)/100))</f>
        <v>0</v>
      </c>
      <c r="E47" s="172">
        <f ca="1">IF(E$9="","",IF(NOT(ISNUMBER(_xll.ciqfunctions.udf.CIQ($D$4,$B47, E$9, $H$4, $E$4, , $F$4, $G$4))),"",_xll.ciqfunctions.udf.CIQ($D$4,$B47, E$9, $H$4, $E$4, , $F$4, $G$4)/100))</f>
        <v>0</v>
      </c>
      <c r="F47" s="172">
        <f ca="1">IF(F$9="","",IF(NOT(ISNUMBER(_xll.ciqfunctions.udf.CIQ($D$4,$B47, F$9, $H$4, $E$4, , $F$4, $G$4))),"",_xll.ciqfunctions.udf.CIQ($D$4,$B47, F$9, $H$4, $E$4, , $F$4, $G$4)/100))</f>
        <v>0</v>
      </c>
      <c r="G47" s="172">
        <f ca="1">IF(G$9="","",IF(NOT(ISNUMBER(_xll.ciqfunctions.udf.CIQ($D$4,$B47, G$9, $H$4, $E$4, , $F$4, $G$4))),"",_xll.ciqfunctions.udf.CIQ($D$4,$B47, G$9, $H$4, $E$4, , $F$4, $G$4)/100))</f>
        <v>0</v>
      </c>
      <c r="H47" s="172">
        <f ca="1">IF(H$9="","",IF(NOT(ISNUMBER(_xll.ciqfunctions.udf.CIQ($D$4,$B47, H$9, $H$4, $E$4, , $F$4, $G$4))),"",_xll.ciqfunctions.udf.CIQ($D$4,$B47, H$9, $H$4, $E$4, , $F$4, $G$4)/100))</f>
        <v>0</v>
      </c>
      <c r="I47" s="172">
        <f ca="1">IF(I$9="","",IF(NOT(ISNUMBER(_xll.ciqfunctions.udf.CIQ($D$4,$B47, I$9, $H$4, $E$4, , $F$4, $G$4))),"",_xll.ciqfunctions.udf.CIQ($D$4,$B47, I$9, $H$4, $E$4, , $F$4, $G$4)/100))</f>
        <v>0</v>
      </c>
      <c r="J47" s="172">
        <f ca="1">IF(J$9="","",IF(NOT(ISNUMBER(_xll.ciqfunctions.udf.CIQ($D$4,$B47, J$9, $H$4, $E$4, , $F$4, $G$4))),"",_xll.ciqfunctions.udf.CIQ($D$4,$B47, J$9, $H$4, $E$4, , $F$4, $G$4)/100))</f>
        <v>0</v>
      </c>
      <c r="K47" s="172">
        <f ca="1">IF(K$9="","",IF(NOT(ISNUMBER(_xll.ciqfunctions.udf.CIQ($D$4,$B47, K$9, $H$4, $E$4, , $F$4, $G$4))),"",_xll.ciqfunctions.udf.CIQ($D$4,$B47, K$9, $H$4, $E$4, , $F$4, $G$4)/100))</f>
        <v>0</v>
      </c>
      <c r="L47" s="172">
        <f ca="1">IF(L$9="","",IF(NOT(ISNUMBER(_xll.ciqfunctions.udf.CIQ($D$4,$B47, L$9, $H$4, $E$4, , $F$4, $G$4))),"",_xll.ciqfunctions.udf.CIQ($D$4,$B47, L$9, $H$4, $E$4, , $F$4, $G$4)/100))</f>
        <v>0</v>
      </c>
      <c r="M47" s="172" t="str">
        <f>IF(M$9="","",IF(NOT(ISNUMBER(_xll.ciqfunctions.udf.CIQ($D$4,$B47, M$9, $H$4, $E$4, , $F$4, $G$4))),"",_xll.ciqfunctions.udf.CIQ($D$4,$B47, M$9, $H$4, $E$4, , $F$4, $G$4)/100))</f>
        <v/>
      </c>
      <c r="N47" s="172" t="str">
        <f>IF(N$9="","",IF(NOT(ISNUMBER(_xll.ciqfunctions.udf.CIQ($D$4,$B47, N$9, $H$4, $E$4, , $F$4, $G$4))),"",_xll.ciqfunctions.udf.CIQ($D$4,$B47, N$9, $H$4, $E$4, , $F$4, $G$4)/100))</f>
        <v/>
      </c>
      <c r="O47" s="172" t="str">
        <f>IF(O$9="","",IF(NOT(ISNUMBER(_xll.ciqfunctions.udf.CIQ($D$4,$B47, O$9, $H$4, $E$4, , $F$4, $G$4))),"",_xll.ciqfunctions.udf.CIQ($D$4,$B47, O$9, $H$4, $E$4, , $F$4, $G$4)/100))</f>
        <v/>
      </c>
      <c r="P47" s="172" t="str">
        <f>IF(P$9="","",IF(NOT(ISNUMBER(_xll.ciqfunctions.udf.CIQ($D$4,$B47, P$9, $H$4, $E$4, , $F$4, $G$4))),"",_xll.ciqfunctions.udf.CIQ($D$4,$B47, P$9, $H$4, $E$4, , $F$4, $G$4)/100))</f>
        <v/>
      </c>
      <c r="Q47" s="172" t="str">
        <f>IF(Q$9="","",IF(NOT(ISNUMBER(_xll.ciqfunctions.udf.CIQ($D$4,$B47, Q$9, $H$4, $E$4, , $F$4, $G$4))),"",_xll.ciqfunctions.udf.CIQ($D$4,$B47, Q$9, $H$4, $E$4, , $F$4, $G$4)/100))</f>
        <v/>
      </c>
      <c r="R47" s="172" t="str">
        <f>IF(R$9="","",IF(NOT(ISNUMBER(_xll.ciqfunctions.udf.CIQ($D$4,$B47, R$9, $H$4, $E$4, , $F$4, $G$4))),"",_xll.ciqfunctions.udf.CIQ($D$4,$B47, R$9, $H$4, $E$4, , $F$4, $G$4)/100))</f>
        <v/>
      </c>
      <c r="S47" s="172" t="str">
        <f>IF(S$9="","",IF(NOT(ISNUMBER(_xll.ciqfunctions.udf.CIQ($D$4,$B47, S$9, $H$4, $E$4, , $F$4, $G$4))),"",_xll.ciqfunctions.udf.CIQ($D$4,$B47, S$9, $H$4, $E$4, , $F$4, $G$4)/100))</f>
        <v/>
      </c>
      <c r="T47" s="172" t="str">
        <f>IF(T$9="","",IF(NOT(ISNUMBER(_xll.ciqfunctions.udf.CIQ($D$4,$B47, T$9, $H$4, $E$4, , $F$4, $G$4))),"",_xll.ciqfunctions.udf.CIQ($D$4,$B47, T$9, $H$4, $E$4, , $F$4, $G$4)/100))</f>
        <v/>
      </c>
      <c r="U47" s="172" t="str">
        <f>IF(U$9="","",IF(NOT(ISNUMBER(_xll.ciqfunctions.udf.CIQ($D$4,$B47, U$9, $H$4, $E$4, , $F$4, $G$4))),"",_xll.ciqfunctions.udf.CIQ($D$4,$B47, U$9, $H$4, $E$4, , $F$4, $G$4)/100))</f>
        <v/>
      </c>
      <c r="V47" s="172" t="str">
        <f>IF(V$9="","",IF(NOT(ISNUMBER(_xll.ciqfunctions.udf.CIQ($D$4,$B47, V$9, $H$4, $E$4, , $F$4, $G$4))),"",_xll.ciqfunctions.udf.CIQ($D$4,$B47, V$9, $H$4, $E$4, , $F$4, $G$4)/100))</f>
        <v/>
      </c>
      <c r="W47" s="172" t="str">
        <f>IF(W$9="","",IF(NOT(ISNUMBER(_xll.ciqfunctions.udf.CIQ($D$4,$B47, W$9, $H$4, $E$4, , $F$4, $G$4))),"",_xll.ciqfunctions.udf.CIQ($D$4,$B47, W$9, $H$4, $E$4, , $F$4, $G$4)/100))</f>
        <v/>
      </c>
    </row>
    <row r="48" spans="1:23" ht="15" customHeight="1" x14ac:dyDescent="0.2">
      <c r="A48" s="25" t="s">
        <v>242</v>
      </c>
      <c r="C48" s="172">
        <f ca="1">IFERROR(IF(C$9="","",C49-C47),"NA")</f>
        <v>0</v>
      </c>
      <c r="D48" s="172">
        <f ca="1">IFERROR(IF(D$9="","",D49-D47),"NA")</f>
        <v>0</v>
      </c>
      <c r="E48" s="172">
        <f t="shared" ref="E48:W48" ca="1" si="11">IFERROR(IF(E$9="","",E49-E47),"NA")</f>
        <v>0</v>
      </c>
      <c r="F48" s="172">
        <f t="shared" ca="1" si="11"/>
        <v>0</v>
      </c>
      <c r="G48" s="172">
        <f t="shared" ca="1" si="11"/>
        <v>0</v>
      </c>
      <c r="H48" s="172">
        <f t="shared" ca="1" si="11"/>
        <v>0</v>
      </c>
      <c r="I48" s="172">
        <f t="shared" ca="1" si="11"/>
        <v>0</v>
      </c>
      <c r="J48" s="172">
        <f t="shared" ca="1" si="11"/>
        <v>0</v>
      </c>
      <c r="K48" s="172">
        <f t="shared" ca="1" si="11"/>
        <v>0</v>
      </c>
      <c r="L48" s="172">
        <f t="shared" ca="1" si="11"/>
        <v>0</v>
      </c>
      <c r="M48" s="172" t="str">
        <f t="shared" si="11"/>
        <v/>
      </c>
      <c r="N48" s="172" t="str">
        <f t="shared" si="11"/>
        <v/>
      </c>
      <c r="O48" s="172" t="str">
        <f t="shared" si="11"/>
        <v/>
      </c>
      <c r="P48" s="172" t="str">
        <f t="shared" si="11"/>
        <v/>
      </c>
      <c r="Q48" s="172" t="str">
        <f t="shared" si="11"/>
        <v/>
      </c>
      <c r="R48" s="172" t="str">
        <f t="shared" si="11"/>
        <v/>
      </c>
      <c r="S48" s="172" t="str">
        <f t="shared" si="11"/>
        <v/>
      </c>
      <c r="T48" s="172" t="str">
        <f t="shared" si="11"/>
        <v/>
      </c>
      <c r="U48" s="172" t="str">
        <f t="shared" si="11"/>
        <v/>
      </c>
      <c r="V48" s="172" t="str">
        <f t="shared" si="11"/>
        <v/>
      </c>
      <c r="W48" s="172" t="str">
        <f t="shared" si="11"/>
        <v/>
      </c>
    </row>
    <row r="49" spans="1:23" ht="15" customHeight="1" x14ac:dyDescent="0.2">
      <c r="A49" s="25" t="s">
        <v>243</v>
      </c>
      <c r="B49" s="25" t="s">
        <v>396</v>
      </c>
      <c r="C49" s="172">
        <f ca="1">IF(C$9="","",IF(NOT(ISNUMBER(_xll.ciqfunctions.udf.CIQ($D$4,$B49, C$9, $H$4, $E$4, , $F$4, $G$4))),"",_xll.ciqfunctions.udf.CIQ($D$4,$B49, C$9, $H$4, $E$4, , $F$4, $G$4)/100))</f>
        <v>0</v>
      </c>
      <c r="D49" s="172">
        <f ca="1">IF(D$9="","",IF(NOT(ISNUMBER(_xll.ciqfunctions.udf.CIQ($D$4,$B49, D$9, $H$4, $E$4, , $F$4, $G$4))),"",_xll.ciqfunctions.udf.CIQ($D$4,$B49, D$9, $H$4, $E$4, , $F$4, $G$4)/100))</f>
        <v>0</v>
      </c>
      <c r="E49" s="172">
        <f ca="1">IF(E$9="","",IF(NOT(ISNUMBER(_xll.ciqfunctions.udf.CIQ($D$4,$B49, E$9, $H$4, $E$4, , $F$4, $G$4))),"",_xll.ciqfunctions.udf.CIQ($D$4,$B49, E$9, $H$4, $E$4, , $F$4, $G$4)/100))</f>
        <v>0</v>
      </c>
      <c r="F49" s="172">
        <f ca="1">IF(F$9="","",IF(NOT(ISNUMBER(_xll.ciqfunctions.udf.CIQ($D$4,$B49, F$9, $H$4, $E$4, , $F$4, $G$4))),"",_xll.ciqfunctions.udf.CIQ($D$4,$B49, F$9, $H$4, $E$4, , $F$4, $G$4)/100))</f>
        <v>0</v>
      </c>
      <c r="G49" s="172">
        <f ca="1">IF(G$9="","",IF(NOT(ISNUMBER(_xll.ciqfunctions.udf.CIQ($D$4,$B49, G$9, $H$4, $E$4, , $F$4, $G$4))),"",_xll.ciqfunctions.udf.CIQ($D$4,$B49, G$9, $H$4, $E$4, , $F$4, $G$4)/100))</f>
        <v>0</v>
      </c>
      <c r="H49" s="172">
        <f ca="1">IF(H$9="","",IF(NOT(ISNUMBER(_xll.ciqfunctions.udf.CIQ($D$4,$B49, H$9, $H$4, $E$4, , $F$4, $G$4))),"",_xll.ciqfunctions.udf.CIQ($D$4,$B49, H$9, $H$4, $E$4, , $F$4, $G$4)/100))</f>
        <v>0</v>
      </c>
      <c r="I49" s="172">
        <f ca="1">IF(I$9="","",IF(NOT(ISNUMBER(_xll.ciqfunctions.udf.CIQ($D$4,$B49, I$9, $H$4, $E$4, , $F$4, $G$4))),"",_xll.ciqfunctions.udf.CIQ($D$4,$B49, I$9, $H$4, $E$4, , $F$4, $G$4)/100))</f>
        <v>0</v>
      </c>
      <c r="J49" s="172">
        <f ca="1">IF(J$9="","",IF(NOT(ISNUMBER(_xll.ciqfunctions.udf.CIQ($D$4,$B49, J$9, $H$4, $E$4, , $F$4, $G$4))),"",_xll.ciqfunctions.udf.CIQ($D$4,$B49, J$9, $H$4, $E$4, , $F$4, $G$4)/100))</f>
        <v>0</v>
      </c>
      <c r="K49" s="172">
        <f ca="1">IF(K$9="","",IF(NOT(ISNUMBER(_xll.ciqfunctions.udf.CIQ($D$4,$B49, K$9, $H$4, $E$4, , $F$4, $G$4))),"",_xll.ciqfunctions.udf.CIQ($D$4,$B49, K$9, $H$4, $E$4, , $F$4, $G$4)/100))</f>
        <v>0</v>
      </c>
      <c r="L49" s="172">
        <f ca="1">IF(L$9="","",IF(NOT(ISNUMBER(_xll.ciqfunctions.udf.CIQ($D$4,$B49, L$9, $H$4, $E$4, , $F$4, $G$4))),"",_xll.ciqfunctions.udf.CIQ($D$4,$B49, L$9, $H$4, $E$4, , $F$4, $G$4)/100))</f>
        <v>0</v>
      </c>
      <c r="M49" s="172" t="str">
        <f>IF(M$9="","",IF(NOT(ISNUMBER(_xll.ciqfunctions.udf.CIQ($D$4,$B49, M$9, $H$4, $E$4, , $F$4, $G$4))),"",_xll.ciqfunctions.udf.CIQ($D$4,$B49, M$9, $H$4, $E$4, , $F$4, $G$4)/100))</f>
        <v/>
      </c>
      <c r="N49" s="172" t="str">
        <f>IF(N$9="","",IF(NOT(ISNUMBER(_xll.ciqfunctions.udf.CIQ($D$4,$B49, N$9, $H$4, $E$4, , $F$4, $G$4))),"",_xll.ciqfunctions.udf.CIQ($D$4,$B49, N$9, $H$4, $E$4, , $F$4, $G$4)/100))</f>
        <v/>
      </c>
      <c r="O49" s="172" t="str">
        <f>IF(O$9="","",IF(NOT(ISNUMBER(_xll.ciqfunctions.udf.CIQ($D$4,$B49, O$9, $H$4, $E$4, , $F$4, $G$4))),"",_xll.ciqfunctions.udf.CIQ($D$4,$B49, O$9, $H$4, $E$4, , $F$4, $G$4)/100))</f>
        <v/>
      </c>
      <c r="P49" s="172" t="str">
        <f>IF(P$9="","",IF(NOT(ISNUMBER(_xll.ciqfunctions.udf.CIQ($D$4,$B49, P$9, $H$4, $E$4, , $F$4, $G$4))),"",_xll.ciqfunctions.udf.CIQ($D$4,$B49, P$9, $H$4, $E$4, , $F$4, $G$4)/100))</f>
        <v/>
      </c>
      <c r="Q49" s="172" t="str">
        <f>IF(Q$9="","",IF(NOT(ISNUMBER(_xll.ciqfunctions.udf.CIQ($D$4,$B49, Q$9, $H$4, $E$4, , $F$4, $G$4))),"",_xll.ciqfunctions.udf.CIQ($D$4,$B49, Q$9, $H$4, $E$4, , $F$4, $G$4)/100))</f>
        <v/>
      </c>
      <c r="R49" s="172" t="str">
        <f>IF(R$9="","",IF(NOT(ISNUMBER(_xll.ciqfunctions.udf.CIQ($D$4,$B49, R$9, $H$4, $E$4, , $F$4, $G$4))),"",_xll.ciqfunctions.udf.CIQ($D$4,$B49, R$9, $H$4, $E$4, , $F$4, $G$4)/100))</f>
        <v/>
      </c>
      <c r="S49" s="172" t="str">
        <f>IF(S$9="","",IF(NOT(ISNUMBER(_xll.ciqfunctions.udf.CIQ($D$4,$B49, S$9, $H$4, $E$4, , $F$4, $G$4))),"",_xll.ciqfunctions.udf.CIQ($D$4,$B49, S$9, $H$4, $E$4, , $F$4, $G$4)/100))</f>
        <v/>
      </c>
      <c r="T49" s="172" t="str">
        <f>IF(T$9="","",IF(NOT(ISNUMBER(_xll.ciqfunctions.udf.CIQ($D$4,$B49, T$9, $H$4, $E$4, , $F$4, $G$4))),"",_xll.ciqfunctions.udf.CIQ($D$4,$B49, T$9, $H$4, $E$4, , $F$4, $G$4)/100))</f>
        <v/>
      </c>
      <c r="U49" s="172" t="str">
        <f>IF(U$9="","",IF(NOT(ISNUMBER(_xll.ciqfunctions.udf.CIQ($D$4,$B49, U$9, $H$4, $E$4, , $F$4, $G$4))),"",_xll.ciqfunctions.udf.CIQ($D$4,$B49, U$9, $H$4, $E$4, , $F$4, $G$4)/100))</f>
        <v/>
      </c>
      <c r="V49" s="172" t="str">
        <f>IF(V$9="","",IF(NOT(ISNUMBER(_xll.ciqfunctions.udf.CIQ($D$4,$B49, V$9, $H$4, $E$4, , $F$4, $G$4))),"",_xll.ciqfunctions.udf.CIQ($D$4,$B49, V$9, $H$4, $E$4, , $F$4, $G$4)/100))</f>
        <v/>
      </c>
      <c r="W49" s="172" t="str">
        <f>IF(W$9="","",IF(NOT(ISNUMBER(_xll.ciqfunctions.udf.CIQ($D$4,$B49, W$9, $H$4, $E$4, , $F$4, $G$4))),"",_xll.ciqfunctions.udf.CIQ($D$4,$B49, W$9, $H$4, $E$4, , $F$4, $G$4)/100))</f>
        <v/>
      </c>
    </row>
    <row r="50" spans="1:23" s="48" customFormat="1" ht="15" customHeight="1" x14ac:dyDescent="0.2">
      <c r="A50" s="48" t="s">
        <v>1072</v>
      </c>
      <c r="B50" s="48" t="s">
        <v>1094</v>
      </c>
      <c r="C50" s="172" t="str">
        <f ca="1">IFERROR(IF(C$9="","",(_xll.ciqfunctions.udf.CIQ($D$4,"IQ_TIER_ONE_CAPITAL", C$9, $H$4, $E$4, , $F$4, $G$4)+_xll.ciqfunctions.udf.CIQ($D$4,"IQ_TIER_TWO_CAPITAL", C$9, $H$4, $E$4, , $F$4, $G$4)-_xll.ciqfunctions.udf.CIQ($D$4,"IQ_GW", C$9, $H$4, $E$4, , $F$4, $G$4))/_xll.ciqfunctions.udf.CIQ($D$4,$B50, C$9, $H$4, $E$4, , $F$4, $G$4)),"")</f>
        <v/>
      </c>
      <c r="D50" s="172" t="str">
        <f ca="1">IFERROR(IF(D$9="","",(_xll.ciqfunctions.udf.CIQ($D$4,"IQ_TIER_ONE_CAPITAL", D$9, $H$4, $E$4, , $F$4, $G$4)+_xll.ciqfunctions.udf.CIQ($D$4,"IQ_TIER_TWO_CAPITAL", D$9, $H$4, $E$4, , $F$4, $G$4)-_xll.ciqfunctions.udf.CIQ($D$4,"IQ_GW", D$9, $H$4, $E$4, , $F$4, $G$4))/_xll.ciqfunctions.udf.CIQ($D$4,$B50, D$9, $H$4, $E$4, , $F$4, $G$4)),"")</f>
        <v/>
      </c>
      <c r="E50" s="172" t="str">
        <f ca="1">IFERROR(IF(E$9="","",(_xll.ciqfunctions.udf.CIQ($D$4,"IQ_TIER_ONE_CAPITAL", E$9, $H$4, $E$4, , $F$4, $G$4)+_xll.ciqfunctions.udf.CIQ($D$4,"IQ_TIER_TWO_CAPITAL", E$9, $H$4, $E$4, , $F$4, $G$4)-_xll.ciqfunctions.udf.CIQ($D$4,"IQ_GW", E$9, $H$4, $E$4, , $F$4, $G$4))/_xll.ciqfunctions.udf.CIQ($D$4,$B50, E$9, $H$4, $E$4, , $F$4, $G$4)),"")</f>
        <v/>
      </c>
      <c r="F50" s="172" t="str">
        <f ca="1">IFERROR(IF(F$9="","",(_xll.ciqfunctions.udf.CIQ($D$4,"IQ_TIER_ONE_CAPITAL", F$9, $H$4, $E$4, , $F$4, $G$4)+_xll.ciqfunctions.udf.CIQ($D$4,"IQ_TIER_TWO_CAPITAL", F$9, $H$4, $E$4, , $F$4, $G$4)-_xll.ciqfunctions.udf.CIQ($D$4,"IQ_GW", F$9, $H$4, $E$4, , $F$4, $G$4))/_xll.ciqfunctions.udf.CIQ($D$4,$B50, F$9, $H$4, $E$4, , $F$4, $G$4)),"")</f>
        <v/>
      </c>
      <c r="G50" s="172" t="str">
        <f ca="1">IFERROR(IF(G$9="","",(_xll.ciqfunctions.udf.CIQ($D$4,"IQ_TIER_ONE_CAPITAL", G$9, $H$4, $E$4, , $F$4, $G$4)+_xll.ciqfunctions.udf.CIQ($D$4,"IQ_TIER_TWO_CAPITAL", G$9, $H$4, $E$4, , $F$4, $G$4)-_xll.ciqfunctions.udf.CIQ($D$4,"IQ_GW", G$9, $H$4, $E$4, , $F$4, $G$4))/_xll.ciqfunctions.udf.CIQ($D$4,$B50, G$9, $H$4, $E$4, , $F$4, $G$4)),"")</f>
        <v/>
      </c>
      <c r="H50" s="172" t="str">
        <f ca="1">IFERROR(IF(H$9="","",(_xll.ciqfunctions.udf.CIQ($D$4,"IQ_TIER_ONE_CAPITAL", H$9, $H$4, $E$4, , $F$4, $G$4)+_xll.ciqfunctions.udf.CIQ($D$4,"IQ_TIER_TWO_CAPITAL", H$9, $H$4, $E$4, , $F$4, $G$4)-_xll.ciqfunctions.udf.CIQ($D$4,"IQ_GW", H$9, $H$4, $E$4, , $F$4, $G$4))/_xll.ciqfunctions.udf.CIQ($D$4,$B50, H$9, $H$4, $E$4, , $F$4, $G$4)),"")</f>
        <v/>
      </c>
      <c r="I50" s="172" t="str">
        <f ca="1">IFERROR(IF(I$9="","",(_xll.ciqfunctions.udf.CIQ($D$4,"IQ_TIER_ONE_CAPITAL", I$9, $H$4, $E$4, , $F$4, $G$4)+_xll.ciqfunctions.udf.CIQ($D$4,"IQ_TIER_TWO_CAPITAL", I$9, $H$4, $E$4, , $F$4, $G$4)-_xll.ciqfunctions.udf.CIQ($D$4,"IQ_GW", I$9, $H$4, $E$4, , $F$4, $G$4))/_xll.ciqfunctions.udf.CIQ($D$4,$B50, I$9, $H$4, $E$4, , $F$4, $G$4)),"")</f>
        <v/>
      </c>
      <c r="J50" s="172" t="str">
        <f ca="1">IFERROR(IF(J$9="","",(_xll.ciqfunctions.udf.CIQ($D$4,"IQ_TIER_ONE_CAPITAL", J$9, $H$4, $E$4, , $F$4, $G$4)+_xll.ciqfunctions.udf.CIQ($D$4,"IQ_TIER_TWO_CAPITAL", J$9, $H$4, $E$4, , $F$4, $G$4)-_xll.ciqfunctions.udf.CIQ($D$4,"IQ_GW", J$9, $H$4, $E$4, , $F$4, $G$4))/_xll.ciqfunctions.udf.CIQ($D$4,$B50, J$9, $H$4, $E$4, , $F$4, $G$4)),"")</f>
        <v/>
      </c>
      <c r="K50" s="172" t="str">
        <f ca="1">IFERROR(IF(K$9="","",(_xll.ciqfunctions.udf.CIQ($D$4,"IQ_TIER_ONE_CAPITAL", K$9, $H$4, $E$4, , $F$4, $G$4)+_xll.ciqfunctions.udf.CIQ($D$4,"IQ_TIER_TWO_CAPITAL", K$9, $H$4, $E$4, , $F$4, $G$4)-_xll.ciqfunctions.udf.CIQ($D$4,"IQ_GW", K$9, $H$4, $E$4, , $F$4, $G$4))/_xll.ciqfunctions.udf.CIQ($D$4,$B50, K$9, $H$4, $E$4, , $F$4, $G$4)),"")</f>
        <v/>
      </c>
      <c r="L50" s="172" t="str">
        <f ca="1">IFERROR(IF(L$9="","",(_xll.ciqfunctions.udf.CIQ($D$4,"IQ_TIER_ONE_CAPITAL", L$9, $H$4, $E$4, , $F$4, $G$4)+_xll.ciqfunctions.udf.CIQ($D$4,"IQ_TIER_TWO_CAPITAL", L$9, $H$4, $E$4, , $F$4, $G$4)-_xll.ciqfunctions.udf.CIQ($D$4,"IQ_GW", L$9, $H$4, $E$4, , $F$4, $G$4))/_xll.ciqfunctions.udf.CIQ($D$4,$B50, L$9, $H$4, $E$4, , $F$4, $G$4)),"")</f>
        <v/>
      </c>
      <c r="M50" s="172" t="str">
        <f>IFERROR(IF(M$9="","",(_xll.ciqfunctions.udf.CIQ($D$4,"IQ_TIER_ONE_CAPITAL", M$9, $H$4, $E$4, , $F$4, $G$4)+_xll.ciqfunctions.udf.CIQ($D$4,"IQ_TIER_TWO_CAPITAL", M$9, $H$4, $E$4, , $F$4, $G$4)-_xll.ciqfunctions.udf.CIQ($D$4,"IQ_GW", M$9, $H$4, $E$4, , $F$4, $G$4))/_xll.ciqfunctions.udf.CIQ($D$4,$B50, M$9, $H$4, $E$4, , $F$4, $G$4)),"")</f>
        <v/>
      </c>
      <c r="N50" s="172" t="str">
        <f>IFERROR(IF(N$9="","",(_xll.ciqfunctions.udf.CIQ($D$4,"IQ_TIER_ONE_CAPITAL", N$9, $H$4, $E$4, , $F$4, $G$4)+_xll.ciqfunctions.udf.CIQ($D$4,"IQ_TIER_TWO_CAPITAL", N$9, $H$4, $E$4, , $F$4, $G$4)-_xll.ciqfunctions.udf.CIQ($D$4,"IQ_GW", N$9, $H$4, $E$4, , $F$4, $G$4))/_xll.ciqfunctions.udf.CIQ($D$4,$B50, N$9, $H$4, $E$4, , $F$4, $G$4)),"")</f>
        <v/>
      </c>
      <c r="O50" s="172" t="str">
        <f>IFERROR(IF(O$9="","",(_xll.ciqfunctions.udf.CIQ($D$4,"IQ_TIER_ONE_CAPITAL", O$9, $H$4, $E$4, , $F$4, $G$4)+_xll.ciqfunctions.udf.CIQ($D$4,"IQ_TIER_TWO_CAPITAL", O$9, $H$4, $E$4, , $F$4, $G$4)-_xll.ciqfunctions.udf.CIQ($D$4,"IQ_GW", O$9, $H$4, $E$4, , $F$4, $G$4))/_xll.ciqfunctions.udf.CIQ($D$4,$B50, O$9, $H$4, $E$4, , $F$4, $G$4)),"")</f>
        <v/>
      </c>
      <c r="P50" s="172" t="str">
        <f>IFERROR(IF(P$9="","",(_xll.ciqfunctions.udf.CIQ($D$4,"IQ_TIER_ONE_CAPITAL", P$9, $H$4, $E$4, , $F$4, $G$4)+_xll.ciqfunctions.udf.CIQ($D$4,"IQ_TIER_TWO_CAPITAL", P$9, $H$4, $E$4, , $F$4, $G$4)-_xll.ciqfunctions.udf.CIQ($D$4,"IQ_GW", P$9, $H$4, $E$4, , $F$4, $G$4))/_xll.ciqfunctions.udf.CIQ($D$4,$B50, P$9, $H$4, $E$4, , $F$4, $G$4)),"")</f>
        <v/>
      </c>
      <c r="Q50" s="172" t="str">
        <f>IFERROR(IF(Q$9="","",(_xll.ciqfunctions.udf.CIQ($D$4,"IQ_TIER_ONE_CAPITAL", Q$9, $H$4, $E$4, , $F$4, $G$4)+_xll.ciqfunctions.udf.CIQ($D$4,"IQ_TIER_TWO_CAPITAL", Q$9, $H$4, $E$4, , $F$4, $G$4)-_xll.ciqfunctions.udf.CIQ($D$4,"IQ_GW", Q$9, $H$4, $E$4, , $F$4, $G$4))/_xll.ciqfunctions.udf.CIQ($D$4,$B50, Q$9, $H$4, $E$4, , $F$4, $G$4)),"")</f>
        <v/>
      </c>
      <c r="R50" s="172" t="str">
        <f>IFERROR(IF(R$9="","",(_xll.ciqfunctions.udf.CIQ($D$4,"IQ_TIER_ONE_CAPITAL", R$9, $H$4, $E$4, , $F$4, $G$4)+_xll.ciqfunctions.udf.CIQ($D$4,"IQ_TIER_TWO_CAPITAL", R$9, $H$4, $E$4, , $F$4, $G$4)-_xll.ciqfunctions.udf.CIQ($D$4,"IQ_GW", R$9, $H$4, $E$4, , $F$4, $G$4))/_xll.ciqfunctions.udf.CIQ($D$4,$B50, R$9, $H$4, $E$4, , $F$4, $G$4)),"")</f>
        <v/>
      </c>
      <c r="S50" s="172" t="str">
        <f>IFERROR(IF(S$9="","",(_xll.ciqfunctions.udf.CIQ($D$4,"IQ_TIER_ONE_CAPITAL", S$9, $H$4, $E$4, , $F$4, $G$4)+_xll.ciqfunctions.udf.CIQ($D$4,"IQ_TIER_TWO_CAPITAL", S$9, $H$4, $E$4, , $F$4, $G$4)-_xll.ciqfunctions.udf.CIQ($D$4,"IQ_GW", S$9, $H$4, $E$4, , $F$4, $G$4))/_xll.ciqfunctions.udf.CIQ($D$4,$B50, S$9, $H$4, $E$4, , $F$4, $G$4)),"")</f>
        <v/>
      </c>
      <c r="T50" s="172" t="str">
        <f>IFERROR(IF(T$9="","",(_xll.ciqfunctions.udf.CIQ($D$4,"IQ_TIER_ONE_CAPITAL", T$9, $H$4, $E$4, , $F$4, $G$4)+_xll.ciqfunctions.udf.CIQ($D$4,"IQ_TIER_TWO_CAPITAL", T$9, $H$4, $E$4, , $F$4, $G$4)-_xll.ciqfunctions.udf.CIQ($D$4,"IQ_GW", T$9, $H$4, $E$4, , $F$4, $G$4))/_xll.ciqfunctions.udf.CIQ($D$4,$B50, T$9, $H$4, $E$4, , $F$4, $G$4)),"")</f>
        <v/>
      </c>
      <c r="U50" s="172" t="str">
        <f>IFERROR(IF(U$9="","",(_xll.ciqfunctions.udf.CIQ($D$4,"IQ_TIER_ONE_CAPITAL", U$9, $H$4, $E$4, , $F$4, $G$4)+_xll.ciqfunctions.udf.CIQ($D$4,"IQ_TIER_TWO_CAPITAL", U$9, $H$4, $E$4, , $F$4, $G$4)-_xll.ciqfunctions.udf.CIQ($D$4,"IQ_GW", U$9, $H$4, $E$4, , $F$4, $G$4))/_xll.ciqfunctions.udf.CIQ($D$4,$B50, U$9, $H$4, $E$4, , $F$4, $G$4)),"")</f>
        <v/>
      </c>
      <c r="V50" s="172" t="str">
        <f>IFERROR(IF(V$9="","",(_xll.ciqfunctions.udf.CIQ($D$4,"IQ_TIER_ONE_CAPITAL", V$9, $H$4, $E$4, , $F$4, $G$4)+_xll.ciqfunctions.udf.CIQ($D$4,"IQ_TIER_TWO_CAPITAL", V$9, $H$4, $E$4, , $F$4, $G$4)-_xll.ciqfunctions.udf.CIQ($D$4,"IQ_GW", V$9, $H$4, $E$4, , $F$4, $G$4))/_xll.ciqfunctions.udf.CIQ($D$4,$B50, V$9, $H$4, $E$4, , $F$4, $G$4)),"")</f>
        <v/>
      </c>
      <c r="W50" s="172" t="str">
        <f>IFERROR(IF(W$9="","",(_xll.ciqfunctions.udf.CIQ($D$4,"IQ_TIER_ONE_CAPITAL", W$9, $H$4, $E$4, , $F$4, $G$4)+_xll.ciqfunctions.udf.CIQ($D$4,"IQ_TIER_TWO_CAPITAL", W$9, $H$4, $E$4, , $F$4, $G$4)-_xll.ciqfunctions.udf.CIQ($D$4,"IQ_GW", W$9, $H$4, $E$4, , $F$4, $G$4))/_xll.ciqfunctions.udf.CIQ($D$4,$B50, W$9, $H$4, $E$4, , $F$4, $G$4)),"")</f>
        <v/>
      </c>
    </row>
    <row r="51" spans="1:23" s="48" customFormat="1" ht="15" customHeight="1" x14ac:dyDescent="0.2">
      <c r="C51" s="172"/>
      <c r="D51" s="172"/>
      <c r="E51" s="172"/>
      <c r="F51" s="172"/>
      <c r="G51" s="172"/>
      <c r="H51" s="172"/>
      <c r="I51" s="172"/>
      <c r="J51" s="172"/>
      <c r="K51" s="172"/>
      <c r="L51" s="172"/>
      <c r="M51" s="172"/>
      <c r="N51" s="172"/>
      <c r="O51" s="172"/>
      <c r="P51" s="172"/>
      <c r="Q51" s="172"/>
      <c r="R51" s="172"/>
      <c r="S51" s="172"/>
      <c r="T51" s="172"/>
      <c r="U51" s="172"/>
      <c r="V51" s="172"/>
      <c r="W51" s="172"/>
    </row>
    <row r="53" spans="1:23" ht="15" customHeight="1" x14ac:dyDescent="0.2">
      <c r="A53" s="25" t="s">
        <v>244</v>
      </c>
      <c r="C53" s="191">
        <f t="shared" ref="C53:W53" ca="1" si="12">IF(C10="","",SUM(C70:C74))</f>
        <v>0</v>
      </c>
      <c r="D53" s="191">
        <f t="shared" ca="1" si="12"/>
        <v>0</v>
      </c>
      <c r="E53" s="191">
        <f t="shared" ca="1" si="12"/>
        <v>0</v>
      </c>
      <c r="F53" s="191">
        <f t="shared" ca="1" si="12"/>
        <v>0</v>
      </c>
      <c r="G53" s="191">
        <f t="shared" ca="1" si="12"/>
        <v>0</v>
      </c>
      <c r="H53" s="191">
        <f t="shared" ca="1" si="12"/>
        <v>0</v>
      </c>
      <c r="I53" s="191">
        <f t="shared" ca="1" si="12"/>
        <v>0</v>
      </c>
      <c r="J53" s="191">
        <f t="shared" ca="1" si="12"/>
        <v>0</v>
      </c>
      <c r="K53" s="191">
        <f t="shared" ca="1" si="12"/>
        <v>0</v>
      </c>
      <c r="L53" s="191">
        <f t="shared" ca="1" si="12"/>
        <v>0</v>
      </c>
      <c r="M53" s="191" t="str">
        <f t="shared" si="12"/>
        <v/>
      </c>
      <c r="N53" s="191" t="str">
        <f t="shared" si="12"/>
        <v/>
      </c>
      <c r="O53" s="191" t="str">
        <f t="shared" si="12"/>
        <v/>
      </c>
      <c r="P53" s="191" t="str">
        <f t="shared" si="12"/>
        <v/>
      </c>
      <c r="Q53" s="191" t="str">
        <f t="shared" si="12"/>
        <v/>
      </c>
      <c r="R53" s="191" t="str">
        <f t="shared" si="12"/>
        <v/>
      </c>
      <c r="S53" s="191" t="str">
        <f t="shared" si="12"/>
        <v/>
      </c>
      <c r="T53" s="191" t="str">
        <f t="shared" si="12"/>
        <v/>
      </c>
      <c r="U53" s="191" t="str">
        <f t="shared" si="12"/>
        <v/>
      </c>
      <c r="V53" s="191" t="str">
        <f t="shared" si="12"/>
        <v/>
      </c>
      <c r="W53" s="191" t="str">
        <f t="shared" si="12"/>
        <v/>
      </c>
    </row>
    <row r="54" spans="1:23" s="48" customFormat="1" ht="15" customHeight="1" x14ac:dyDescent="0.2">
      <c r="A54" s="48" t="s">
        <v>946</v>
      </c>
      <c r="B54" s="48" t="s">
        <v>237</v>
      </c>
      <c r="C54" s="178">
        <f ca="1">IF(C$9="","",IF(NOT(ISNUMBER(_xll.ciqfunctions.udf.CIQ($D$4,$B54, C$9, $H$4, $E$4, , $F$4, $G$4))),"",_xll.ciqfunctions.udf.CIQ($D$4,$B54, C$9, $H$4, $E$4, , $F$4, $G$4)))</f>
        <v>0</v>
      </c>
      <c r="D54" s="178">
        <f ca="1">IF(D$9="","",IF(NOT(ISNUMBER(_xll.ciqfunctions.udf.CIQ($D$4,$B54, D$9, $H$4, $E$4, , $F$4, $G$4))),"",_xll.ciqfunctions.udf.CIQ($D$4,$B54, D$9, $H$4, $E$4, , $F$4, $G$4)))</f>
        <v>0</v>
      </c>
      <c r="E54" s="178">
        <f ca="1">IF(E$9="","",IF(NOT(ISNUMBER(_xll.ciqfunctions.udf.CIQ($D$4,$B54, E$9, $H$4, $E$4, , $F$4, $G$4))),"",_xll.ciqfunctions.udf.CIQ($D$4,$B54, E$9, $H$4, $E$4, , $F$4, $G$4)))</f>
        <v>0</v>
      </c>
      <c r="F54" s="178">
        <f ca="1">IF(F$9="","",IF(NOT(ISNUMBER(_xll.ciqfunctions.udf.CIQ($D$4,$B54, F$9, $H$4, $E$4, , $F$4, $G$4))),"",_xll.ciqfunctions.udf.CIQ($D$4,$B54, F$9, $H$4, $E$4, , $F$4, $G$4)))</f>
        <v>0</v>
      </c>
      <c r="G54" s="178">
        <f ca="1">IF(G$9="","",IF(NOT(ISNUMBER(_xll.ciqfunctions.udf.CIQ($D$4,$B54, G$9, $H$4, $E$4, , $F$4, $G$4))),"",_xll.ciqfunctions.udf.CIQ($D$4,$B54, G$9, $H$4, $E$4, , $F$4, $G$4)))</f>
        <v>0</v>
      </c>
      <c r="H54" s="178">
        <f ca="1">IF(H$9="","",IF(NOT(ISNUMBER(_xll.ciqfunctions.udf.CIQ($D$4,$B54, H$9, $H$4, $E$4, , $F$4, $G$4))),"",_xll.ciqfunctions.udf.CIQ($D$4,$B54, H$9, $H$4, $E$4, , $F$4, $G$4)))</f>
        <v>0</v>
      </c>
      <c r="I54" s="178">
        <f ca="1">IF(I$9="","",IF(NOT(ISNUMBER(_xll.ciqfunctions.udf.CIQ($D$4,$B54, I$9, $H$4, $E$4, , $F$4, $G$4))),"",_xll.ciqfunctions.udf.CIQ($D$4,$B54, I$9, $H$4, $E$4, , $F$4, $G$4)))</f>
        <v>0</v>
      </c>
      <c r="J54" s="178">
        <f ca="1">IF(J$9="","",IF(NOT(ISNUMBER(_xll.ciqfunctions.udf.CIQ($D$4,$B54, J$9, $H$4, $E$4, , $F$4, $G$4))),"",_xll.ciqfunctions.udf.CIQ($D$4,$B54, J$9, $H$4, $E$4, , $F$4, $G$4)))</f>
        <v>0</v>
      </c>
      <c r="K54" s="178">
        <f ca="1">IF(K$9="","",IF(NOT(ISNUMBER(_xll.ciqfunctions.udf.CIQ($D$4,$B54, K$9, $H$4, $E$4, , $F$4, $G$4))),"",_xll.ciqfunctions.udf.CIQ($D$4,$B54, K$9, $H$4, $E$4, , $F$4, $G$4)))</f>
        <v>0</v>
      </c>
      <c r="L54" s="178">
        <f ca="1">IF(L$9="","",IF(NOT(ISNUMBER(_xll.ciqfunctions.udf.CIQ($D$4,$B54, L$9, $H$4, $E$4, , $F$4, $G$4))),"",_xll.ciqfunctions.udf.CIQ($D$4,$B54, L$9, $H$4, $E$4, , $F$4, $G$4)))</f>
        <v>0</v>
      </c>
      <c r="M54" s="178" t="str">
        <f>IF(M$9="","",IF(NOT(ISNUMBER(_xll.ciqfunctions.udf.CIQ($D$4,$B54, M$9, $H$4, $E$4, , $F$4, $G$4))),"",_xll.ciqfunctions.udf.CIQ($D$4,$B54, M$9, $H$4, $E$4, , $F$4, $G$4)))</f>
        <v/>
      </c>
      <c r="N54" s="178" t="str">
        <f>IF(N$9="","",IF(NOT(ISNUMBER(_xll.ciqfunctions.udf.CIQ($D$4,$B54, N$9, $H$4, $E$4, , $F$4, $G$4))),"",_xll.ciqfunctions.udf.CIQ($D$4,$B54, N$9, $H$4, $E$4, , $F$4, $G$4)))</f>
        <v/>
      </c>
      <c r="O54" s="178" t="str">
        <f>IF(O$9="","",IF(NOT(ISNUMBER(_xll.ciqfunctions.udf.CIQ($D$4,$B54, O$9, $H$4, $E$4, , $F$4, $G$4))),"",_xll.ciqfunctions.udf.CIQ($D$4,$B54, O$9, $H$4, $E$4, , $F$4, $G$4)))</f>
        <v/>
      </c>
      <c r="P54" s="178" t="str">
        <f>IF(P$9="","",IF(NOT(ISNUMBER(_xll.ciqfunctions.udf.CIQ($D$4,$B54, P$9, $H$4, $E$4, , $F$4, $G$4))),"",_xll.ciqfunctions.udf.CIQ($D$4,$B54, P$9, $H$4, $E$4, , $F$4, $G$4)))</f>
        <v/>
      </c>
      <c r="Q54" s="178" t="str">
        <f>IF(Q$9="","",IF(NOT(ISNUMBER(_xll.ciqfunctions.udf.CIQ($D$4,$B54, Q$9, $H$4, $E$4, , $F$4, $G$4))),"",_xll.ciqfunctions.udf.CIQ($D$4,$B54, Q$9, $H$4, $E$4, , $F$4, $G$4)))</f>
        <v/>
      </c>
      <c r="R54" s="178" t="str">
        <f>IF(R$9="","",IF(NOT(ISNUMBER(_xll.ciqfunctions.udf.CIQ($D$4,$B54, R$9, $H$4, $E$4, , $F$4, $G$4))),"",_xll.ciqfunctions.udf.CIQ($D$4,$B54, R$9, $H$4, $E$4, , $F$4, $G$4)))</f>
        <v/>
      </c>
      <c r="S54" s="178" t="str">
        <f>IF(S$9="","",IF(NOT(ISNUMBER(_xll.ciqfunctions.udf.CIQ($D$4,$B54, S$9, $H$4, $E$4, , $F$4, $G$4))),"",_xll.ciqfunctions.udf.CIQ($D$4,$B54, S$9, $H$4, $E$4, , $F$4, $G$4)))</f>
        <v/>
      </c>
      <c r="T54" s="178" t="str">
        <f>IF(T$9="","",IF(NOT(ISNUMBER(_xll.ciqfunctions.udf.CIQ($D$4,$B54, T$9, $H$4, $E$4, , $F$4, $G$4))),"",_xll.ciqfunctions.udf.CIQ($D$4,$B54, T$9, $H$4, $E$4, , $F$4, $G$4)))</f>
        <v/>
      </c>
      <c r="U54" s="178" t="str">
        <f>IF(U$9="","",IF(NOT(ISNUMBER(_xll.ciqfunctions.udf.CIQ($D$4,$B54, U$9, $H$4, $E$4, , $F$4, $G$4))),"",_xll.ciqfunctions.udf.CIQ($D$4,$B54, U$9, $H$4, $E$4, , $F$4, $G$4)))</f>
        <v/>
      </c>
      <c r="V54" s="178" t="str">
        <f>IF(V$9="","",IF(NOT(ISNUMBER(_xll.ciqfunctions.udf.CIQ($D$4,$B54, V$9, $H$4, $E$4, , $F$4, $G$4))),"",_xll.ciqfunctions.udf.CIQ($D$4,$B54, V$9, $H$4, $E$4, , $F$4, $G$4)))</f>
        <v/>
      </c>
      <c r="W54" s="178" t="str">
        <f>IF(W$9="","",IF(NOT(ISNUMBER(_xll.ciqfunctions.udf.CIQ($D$4,$B54, W$9, $H$4, $E$4, , $F$4, $G$4))),"",_xll.ciqfunctions.udf.CIQ($D$4,$B54, W$9, $H$4, $E$4, , $F$4, $G$4)))</f>
        <v/>
      </c>
    </row>
    <row r="55" spans="1:23" ht="15" customHeight="1" x14ac:dyDescent="0.2">
      <c r="A55" s="25" t="s">
        <v>22</v>
      </c>
      <c r="B55" s="25" t="s">
        <v>21</v>
      </c>
      <c r="C55" s="178">
        <f ca="1">IF(C$9="","",IF(NOT(ISNUMBER(_xll.ciqfunctions.udf.CIQ($D$4,$B55, C$9, $H$4, $E$4, , $F$4, $G$4))),"",_xll.ciqfunctions.udf.CIQ($D$4,$B55, C$9, $H$4, $E$4, , $F$4, $G$4)))</f>
        <v>203105</v>
      </c>
      <c r="D55" s="178">
        <f ca="1">IF(D$9="","",IF(NOT(ISNUMBER(_xll.ciqfunctions.udf.CIQ($D$4,$B55, D$9, $H$4, $E$4, , $F$4, $G$4))),"",_xll.ciqfunctions.udf.CIQ($D$4,$B55, D$9, $H$4, $E$4, , $F$4, $G$4)))</f>
        <v>204751</v>
      </c>
      <c r="E55" s="178">
        <f ca="1">IF(E$9="","",IF(NOT(ISNUMBER(_xll.ciqfunctions.udf.CIQ($D$4,$B55, E$9, $H$4, $E$4, , $F$4, $G$4))),"",_xll.ciqfunctions.udf.CIQ($D$4,$B55, E$9, $H$4, $E$4, , $F$4, $G$4)))</f>
        <v>203490</v>
      </c>
      <c r="F55" s="178">
        <f ca="1">IF(F$9="","",IF(NOT(ISNUMBER(_xll.ciqfunctions.udf.CIQ($D$4,$B55, F$9, $H$4, $E$4, , $F$4, $G$4))),"",_xll.ciqfunctions.udf.CIQ($D$4,$B55, F$9, $H$4, $E$4, , $F$4, $G$4)))</f>
        <v>199581</v>
      </c>
      <c r="G55" s="178">
        <f ca="1">IF(G$9="","",IF(NOT(ISNUMBER(_xll.ciqfunctions.udf.CIQ($D$4,$B55, G$9, $H$4, $E$4, , $F$4, $G$4))),"",_xll.ciqfunctions.udf.CIQ($D$4,$B55, G$9, $H$4, $E$4, , $F$4, $G$4)))</f>
        <v>198825</v>
      </c>
      <c r="H55" s="178">
        <f ca="1">IF(H$9="","",IF(NOT(ISNUMBER(_xll.ciqfunctions.udf.CIQ($D$4,$B55, H$9, $H$4, $E$4, , $F$4, $G$4))),"",_xll.ciqfunctions.udf.CIQ($D$4,$B55, H$9, $H$4, $E$4, , $F$4, $G$4)))</f>
        <v>204522</v>
      </c>
      <c r="I55" s="178">
        <f ca="1">IF(I$9="","",IF(NOT(ISNUMBER(_xll.ciqfunctions.udf.CIQ($D$4,$B55, I$9, $H$4, $E$4, , $F$4, $G$4))),"",_xll.ciqfunctions.udf.CIQ($D$4,$B55, I$9, $H$4, $E$4, , $F$4, $G$4)))</f>
        <v>219295</v>
      </c>
      <c r="J55" s="178">
        <f ca="1">IF(J$9="","",IF(NOT(ISNUMBER(_xll.ciqfunctions.udf.CIQ($D$4,$B55, J$9, $H$4, $E$4, , $F$4, $G$4))),"",_xll.ciqfunctions.udf.CIQ($D$4,$B55, J$9, $H$4, $E$4, , $F$4, $G$4)))</f>
        <v>236495</v>
      </c>
      <c r="K55" s="178">
        <f ca="1">IF(K$9="","",IF(NOT(ISNUMBER(_xll.ciqfunctions.udf.CIQ($D$4,$B55, K$9, $H$4, $E$4, , $F$4, $G$4))),"",_xll.ciqfunctions.udf.CIQ($D$4,$B55, K$9, $H$4, $E$4, , $F$4, $G$4)))</f>
        <v>252496</v>
      </c>
      <c r="L55" s="178">
        <f ca="1">IF(L$9="","",IF(NOT(ISNUMBER(_xll.ciqfunctions.udf.CIQ($D$4,$B55, L$9, $H$4, $E$4, , $F$4, $G$4))),"",_xll.ciqfunctions.udf.CIQ($D$4,$B55, L$9, $H$4, $E$4, , $F$4, $G$4)))</f>
        <v>244860</v>
      </c>
      <c r="M55" s="178" t="str">
        <f>IF(M$9="","",IF(NOT(ISNUMBER(_xll.ciqfunctions.udf.CIQ($D$4,$B55, M$9, $H$4, $E$4, , $F$4, $G$4))),"",_xll.ciqfunctions.udf.CIQ($D$4,$B55, M$9, $H$4, $E$4, , $F$4, $G$4)))</f>
        <v/>
      </c>
      <c r="N55" s="178" t="str">
        <f>IF(N$9="","",IF(NOT(ISNUMBER(_xll.ciqfunctions.udf.CIQ($D$4,$B55, N$9, $H$4, $E$4, , $F$4, $G$4))),"",_xll.ciqfunctions.udf.CIQ($D$4,$B55, N$9, $H$4, $E$4, , $F$4, $G$4)))</f>
        <v/>
      </c>
      <c r="O55" s="178" t="str">
        <f>IF(O$9="","",IF(NOT(ISNUMBER(_xll.ciqfunctions.udf.CIQ($D$4,$B55, O$9, $H$4, $E$4, , $F$4, $G$4))),"",_xll.ciqfunctions.udf.CIQ($D$4,$B55, O$9, $H$4, $E$4, , $F$4, $G$4)))</f>
        <v/>
      </c>
      <c r="P55" s="178" t="str">
        <f>IF(P$9="","",IF(NOT(ISNUMBER(_xll.ciqfunctions.udf.CIQ($D$4,$B55, P$9, $H$4, $E$4, , $F$4, $G$4))),"",_xll.ciqfunctions.udf.CIQ($D$4,$B55, P$9, $H$4, $E$4, , $F$4, $G$4)))</f>
        <v/>
      </c>
      <c r="Q55" s="178" t="str">
        <f>IF(Q$9="","",IF(NOT(ISNUMBER(_xll.ciqfunctions.udf.CIQ($D$4,$B55, Q$9, $H$4, $E$4, , $F$4, $G$4))),"",_xll.ciqfunctions.udf.CIQ($D$4,$B55, Q$9, $H$4, $E$4, , $F$4, $G$4)))</f>
        <v/>
      </c>
      <c r="R55" s="178" t="str">
        <f>IF(R$9="","",IF(NOT(ISNUMBER(_xll.ciqfunctions.udf.CIQ($D$4,$B55, R$9, $H$4, $E$4, , $F$4, $G$4))),"",_xll.ciqfunctions.udf.CIQ($D$4,$B55, R$9, $H$4, $E$4, , $F$4, $G$4)))</f>
        <v/>
      </c>
      <c r="S55" s="178" t="str">
        <f>IF(S$9="","",IF(NOT(ISNUMBER(_xll.ciqfunctions.udf.CIQ($D$4,$B55, S$9, $H$4, $E$4, , $F$4, $G$4))),"",_xll.ciqfunctions.udf.CIQ($D$4,$B55, S$9, $H$4, $E$4, , $F$4, $G$4)))</f>
        <v/>
      </c>
      <c r="T55" s="178" t="str">
        <f>IF(T$9="","",IF(NOT(ISNUMBER(_xll.ciqfunctions.udf.CIQ($D$4,$B55, T$9, $H$4, $E$4, , $F$4, $G$4))),"",_xll.ciqfunctions.udf.CIQ($D$4,$B55, T$9, $H$4, $E$4, , $F$4, $G$4)))</f>
        <v/>
      </c>
      <c r="U55" s="178" t="str">
        <f>IF(U$9="","",IF(NOT(ISNUMBER(_xll.ciqfunctions.udf.CIQ($D$4,$B55, U$9, $H$4, $E$4, , $F$4, $G$4))),"",_xll.ciqfunctions.udf.CIQ($D$4,$B55, U$9, $H$4, $E$4, , $F$4, $G$4)))</f>
        <v/>
      </c>
      <c r="V55" s="178" t="str">
        <f>IF(V$9="","",IF(NOT(ISNUMBER(_xll.ciqfunctions.udf.CIQ($D$4,$B55, V$9, $H$4, $E$4, , $F$4, $G$4))),"",_xll.ciqfunctions.udf.CIQ($D$4,$B55, V$9, $H$4, $E$4, , $F$4, $G$4)))</f>
        <v/>
      </c>
      <c r="W55" s="178" t="str">
        <f>IF(W$9="","",IF(NOT(ISNUMBER(_xll.ciqfunctions.udf.CIQ($D$4,$B55, W$9, $H$4, $E$4, , $F$4, $G$4))),"",_xll.ciqfunctions.udf.CIQ($D$4,$B55, W$9, $H$4, $E$4, , $F$4, $G$4)))</f>
        <v/>
      </c>
    </row>
    <row r="56" spans="1:23" ht="15" customHeight="1" x14ac:dyDescent="0.2">
      <c r="A56" s="25" t="s">
        <v>245</v>
      </c>
      <c r="B56" s="25" t="s">
        <v>397</v>
      </c>
      <c r="C56" s="178">
        <f ca="1">IF(C$9="","",IF(NOT(ISNUMBER(_xll.ciqfunctions.udf.CIQ($D$4,$B56, C$9, $H$4, $E$4, , $F$4, $G$4))),"",_xll.ciqfunctions.udf.CIQ($D$4,$B56, C$9, $H$4, $E$4, , $F$4, $G$4)))</f>
        <v>0</v>
      </c>
      <c r="D56" s="178">
        <f ca="1">IF(D$9="","",IF(NOT(ISNUMBER(_xll.ciqfunctions.udf.CIQ($D$4,$B56, D$9, $H$4, $E$4, , $F$4, $G$4))),"",_xll.ciqfunctions.udf.CIQ($D$4,$B56, D$9, $H$4, $E$4, , $F$4, $G$4)))</f>
        <v>0</v>
      </c>
      <c r="E56" s="178">
        <f ca="1">IF(E$9="","",IF(NOT(ISNUMBER(_xll.ciqfunctions.udf.CIQ($D$4,$B56, E$9, $H$4, $E$4, , $F$4, $G$4))),"",_xll.ciqfunctions.udf.CIQ($D$4,$B56, E$9, $H$4, $E$4, , $F$4, $G$4)))</f>
        <v>0</v>
      </c>
      <c r="F56" s="178">
        <f ca="1">IF(F$9="","",IF(NOT(ISNUMBER(_xll.ciqfunctions.udf.CIQ($D$4,$B56, F$9, $H$4, $E$4, , $F$4, $G$4))),"",_xll.ciqfunctions.udf.CIQ($D$4,$B56, F$9, $H$4, $E$4, , $F$4, $G$4)))</f>
        <v>0</v>
      </c>
      <c r="G56" s="178">
        <f ca="1">IF(G$9="","",IF(NOT(ISNUMBER(_xll.ciqfunctions.udf.CIQ($D$4,$B56, G$9, $H$4, $E$4, , $F$4, $G$4))),"",_xll.ciqfunctions.udf.CIQ($D$4,$B56, G$9, $H$4, $E$4, , $F$4, $G$4)))</f>
        <v>0</v>
      </c>
      <c r="H56" s="178">
        <f ca="1">IF(H$9="","",IF(NOT(ISNUMBER(_xll.ciqfunctions.udf.CIQ($D$4,$B56, H$9, $H$4, $E$4, , $F$4, $G$4))),"",_xll.ciqfunctions.udf.CIQ($D$4,$B56, H$9, $H$4, $E$4, , $F$4, $G$4)))</f>
        <v>0</v>
      </c>
      <c r="I56" s="178">
        <f ca="1">IF(I$9="","",IF(NOT(ISNUMBER(_xll.ciqfunctions.udf.CIQ($D$4,$B56, I$9, $H$4, $E$4, , $F$4, $G$4))),"",_xll.ciqfunctions.udf.CIQ($D$4,$B56, I$9, $H$4, $E$4, , $F$4, $G$4)))</f>
        <v>0</v>
      </c>
      <c r="J56" s="178">
        <f ca="1">IF(J$9="","",IF(NOT(ISNUMBER(_xll.ciqfunctions.udf.CIQ($D$4,$B56, J$9, $H$4, $E$4, , $F$4, $G$4))),"",_xll.ciqfunctions.udf.CIQ($D$4,$B56, J$9, $H$4, $E$4, , $F$4, $G$4)))</f>
        <v>0</v>
      </c>
      <c r="K56" s="178">
        <f ca="1">IF(K$9="","",IF(NOT(ISNUMBER(_xll.ciqfunctions.udf.CIQ($D$4,$B56, K$9, $H$4, $E$4, , $F$4, $G$4))),"",_xll.ciqfunctions.udf.CIQ($D$4,$B56, K$9, $H$4, $E$4, , $F$4, $G$4)))</f>
        <v>0</v>
      </c>
      <c r="L56" s="178">
        <f ca="1">IF(L$9="","",IF(NOT(ISNUMBER(_xll.ciqfunctions.udf.CIQ($D$4,$B56, L$9, $H$4, $E$4, , $F$4, $G$4))),"",_xll.ciqfunctions.udf.CIQ($D$4,$B56, L$9, $H$4, $E$4, , $F$4, $G$4)))</f>
        <v>0</v>
      </c>
      <c r="M56" s="178" t="str">
        <f>IF(M$9="","",IF(NOT(ISNUMBER(_xll.ciqfunctions.udf.CIQ($D$4,$B56, M$9, $H$4, $E$4, , $F$4, $G$4))),"",_xll.ciqfunctions.udf.CIQ($D$4,$B56, M$9, $H$4, $E$4, , $F$4, $G$4)))</f>
        <v/>
      </c>
      <c r="N56" s="178" t="str">
        <f>IF(N$9="","",IF(NOT(ISNUMBER(_xll.ciqfunctions.udf.CIQ($D$4,$B56, N$9, $H$4, $E$4, , $F$4, $G$4))),"",_xll.ciqfunctions.udf.CIQ($D$4,$B56, N$9, $H$4, $E$4, , $F$4, $G$4)))</f>
        <v/>
      </c>
      <c r="O56" s="178" t="str">
        <f>IF(O$9="","",IF(NOT(ISNUMBER(_xll.ciqfunctions.udf.CIQ($D$4,$B56, O$9, $H$4, $E$4, , $F$4, $G$4))),"",_xll.ciqfunctions.udf.CIQ($D$4,$B56, O$9, $H$4, $E$4, , $F$4, $G$4)))</f>
        <v/>
      </c>
      <c r="P56" s="178" t="str">
        <f>IF(P$9="","",IF(NOT(ISNUMBER(_xll.ciqfunctions.udf.CIQ($D$4,$B56, P$9, $H$4, $E$4, , $F$4, $G$4))),"",_xll.ciqfunctions.udf.CIQ($D$4,$B56, P$9, $H$4, $E$4, , $F$4, $G$4)))</f>
        <v/>
      </c>
      <c r="Q56" s="178" t="str">
        <f>IF(Q$9="","",IF(NOT(ISNUMBER(_xll.ciqfunctions.udf.CIQ($D$4,$B56, Q$9, $H$4, $E$4, , $F$4, $G$4))),"",_xll.ciqfunctions.udf.CIQ($D$4,$B56, Q$9, $H$4, $E$4, , $F$4, $G$4)))</f>
        <v/>
      </c>
      <c r="R56" s="178" t="str">
        <f>IF(R$9="","",IF(NOT(ISNUMBER(_xll.ciqfunctions.udf.CIQ($D$4,$B56, R$9, $H$4, $E$4, , $F$4, $G$4))),"",_xll.ciqfunctions.udf.CIQ($D$4,$B56, R$9, $H$4, $E$4, , $F$4, $G$4)))</f>
        <v/>
      </c>
      <c r="S56" s="178" t="str">
        <f>IF(S$9="","",IF(NOT(ISNUMBER(_xll.ciqfunctions.udf.CIQ($D$4,$B56, S$9, $H$4, $E$4, , $F$4, $G$4))),"",_xll.ciqfunctions.udf.CIQ($D$4,$B56, S$9, $H$4, $E$4, , $F$4, $G$4)))</f>
        <v/>
      </c>
      <c r="T56" s="178" t="str">
        <f>IF(T$9="","",IF(NOT(ISNUMBER(_xll.ciqfunctions.udf.CIQ($D$4,$B56, T$9, $H$4, $E$4, , $F$4, $G$4))),"",_xll.ciqfunctions.udf.CIQ($D$4,$B56, T$9, $H$4, $E$4, , $F$4, $G$4)))</f>
        <v/>
      </c>
      <c r="U56" s="178" t="str">
        <f>IF(U$9="","",IF(NOT(ISNUMBER(_xll.ciqfunctions.udf.CIQ($D$4,$B56, U$9, $H$4, $E$4, , $F$4, $G$4))),"",_xll.ciqfunctions.udf.CIQ($D$4,$B56, U$9, $H$4, $E$4, , $F$4, $G$4)))</f>
        <v/>
      </c>
      <c r="V56" s="178" t="str">
        <f>IF(V$9="","",IF(NOT(ISNUMBER(_xll.ciqfunctions.udf.CIQ($D$4,$B56, V$9, $H$4, $E$4, , $F$4, $G$4))),"",_xll.ciqfunctions.udf.CIQ($D$4,$B56, V$9, $H$4, $E$4, , $F$4, $G$4)))</f>
        <v/>
      </c>
      <c r="W56" s="178" t="str">
        <f>IF(W$9="","",IF(NOT(ISNUMBER(_xll.ciqfunctions.udf.CIQ($D$4,$B56, W$9, $H$4, $E$4, , $F$4, $G$4))),"",_xll.ciqfunctions.udf.CIQ($D$4,$B56, W$9, $H$4, $E$4, , $F$4, $G$4)))</f>
        <v/>
      </c>
    </row>
    <row r="57" spans="1:23" ht="15" customHeight="1" x14ac:dyDescent="0.2">
      <c r="A57" s="25" t="s">
        <v>246</v>
      </c>
      <c r="B57" s="25" t="s">
        <v>1211</v>
      </c>
      <c r="C57" s="178">
        <f ca="1">IF(C$9="","",IF(NOT(ISNUMBER(_xll.ciqfunctions.udf.CIQ($D$4,$B57, C$9, $H$4, $E$4, , $F$4, $G$4))),"",_xll.ciqfunctions.udf.CIQ($D$4,$B57, C$9, $H$4, $E$4, , $F$4, $G$4)))</f>
        <v>0</v>
      </c>
      <c r="D57" s="178">
        <f ca="1">IF(D$9="","",IF(NOT(ISNUMBER(_xll.ciqfunctions.udf.CIQ($D$4,$B57, D$9, $H$4, $E$4, , $F$4, $G$4))),"",_xll.ciqfunctions.udf.CIQ($D$4,$B57, D$9, $H$4, $E$4, , $F$4, $G$4)))</f>
        <v>0</v>
      </c>
      <c r="E57" s="178">
        <f ca="1">IF(E$9="","",IF(NOT(ISNUMBER(_xll.ciqfunctions.udf.CIQ($D$4,$B57, E$9, $H$4, $E$4, , $F$4, $G$4))),"",_xll.ciqfunctions.udf.CIQ($D$4,$B57, E$9, $H$4, $E$4, , $F$4, $G$4)))</f>
        <v>0</v>
      </c>
      <c r="F57" s="178">
        <f ca="1">IF(F$9="","",IF(NOT(ISNUMBER(_xll.ciqfunctions.udf.CIQ($D$4,$B57, F$9, $H$4, $E$4, , $F$4, $G$4))),"",_xll.ciqfunctions.udf.CIQ($D$4,$B57, F$9, $H$4, $E$4, , $F$4, $G$4)))</f>
        <v>0</v>
      </c>
      <c r="G57" s="178">
        <f ca="1">IF(G$9="","",IF(NOT(ISNUMBER(_xll.ciqfunctions.udf.CIQ($D$4,$B57, G$9, $H$4, $E$4, , $F$4, $G$4))),"",_xll.ciqfunctions.udf.CIQ($D$4,$B57, G$9, $H$4, $E$4, , $F$4, $G$4)))</f>
        <v>0</v>
      </c>
      <c r="H57" s="178">
        <f ca="1">IF(H$9="","",IF(NOT(ISNUMBER(_xll.ciqfunctions.udf.CIQ($D$4,$B57, H$9, $H$4, $E$4, , $F$4, $G$4))),"",_xll.ciqfunctions.udf.CIQ($D$4,$B57, H$9, $H$4, $E$4, , $F$4, $G$4)))</f>
        <v>0</v>
      </c>
      <c r="I57" s="178">
        <f ca="1">IF(I$9="","",IF(NOT(ISNUMBER(_xll.ciqfunctions.udf.CIQ($D$4,$B57, I$9, $H$4, $E$4, , $F$4, $G$4))),"",_xll.ciqfunctions.udf.CIQ($D$4,$B57, I$9, $H$4, $E$4, , $F$4, $G$4)))</f>
        <v>0</v>
      </c>
      <c r="J57" s="178">
        <f ca="1">IF(J$9="","",IF(NOT(ISNUMBER(_xll.ciqfunctions.udf.CIQ($D$4,$B57, J$9, $H$4, $E$4, , $F$4, $G$4))),"",_xll.ciqfunctions.udf.CIQ($D$4,$B57, J$9, $H$4, $E$4, , $F$4, $G$4)))</f>
        <v>0</v>
      </c>
      <c r="K57" s="178">
        <f ca="1">IF(K$9="","",IF(NOT(ISNUMBER(_xll.ciqfunctions.udf.CIQ($D$4,$B57, K$9, $H$4, $E$4, , $F$4, $G$4))),"",_xll.ciqfunctions.udf.CIQ($D$4,$B57, K$9, $H$4, $E$4, , $F$4, $G$4)))</f>
        <v>0</v>
      </c>
      <c r="L57" s="178">
        <f ca="1">IF(L$9="","",IF(NOT(ISNUMBER(_xll.ciqfunctions.udf.CIQ($D$4,$B57, L$9, $H$4, $E$4, , $F$4, $G$4))),"",_xll.ciqfunctions.udf.CIQ($D$4,$B57, L$9, $H$4, $E$4, , $F$4, $G$4)))</f>
        <v>0</v>
      </c>
      <c r="M57" s="178" t="str">
        <f>IF(M$9="","",IF(NOT(ISNUMBER(_xll.ciqfunctions.udf.CIQ($D$4,$B57, M$9, $H$4, $E$4, , $F$4, $G$4))),"",_xll.ciqfunctions.udf.CIQ($D$4,$B57, M$9, $H$4, $E$4, , $F$4, $G$4)))</f>
        <v/>
      </c>
      <c r="N57" s="178" t="str">
        <f>IF(N$9="","",IF(NOT(ISNUMBER(_xll.ciqfunctions.udf.CIQ($D$4,$B57, N$9, $H$4, $E$4, , $F$4, $G$4))),"",_xll.ciqfunctions.udf.CIQ($D$4,$B57, N$9, $H$4, $E$4, , $F$4, $G$4)))</f>
        <v/>
      </c>
      <c r="O57" s="178" t="str">
        <f>IF(O$9="","",IF(NOT(ISNUMBER(_xll.ciqfunctions.udf.CIQ($D$4,$B57, O$9, $H$4, $E$4, , $F$4, $G$4))),"",_xll.ciqfunctions.udf.CIQ($D$4,$B57, O$9, $H$4, $E$4, , $F$4, $G$4)))</f>
        <v/>
      </c>
      <c r="P57" s="178" t="str">
        <f>IF(P$9="","",IF(NOT(ISNUMBER(_xll.ciqfunctions.udf.CIQ($D$4,$B57, P$9, $H$4, $E$4, , $F$4, $G$4))),"",_xll.ciqfunctions.udf.CIQ($D$4,$B57, P$9, $H$4, $E$4, , $F$4, $G$4)))</f>
        <v/>
      </c>
      <c r="Q57" s="178" t="str">
        <f>IF(Q$9="","",IF(NOT(ISNUMBER(_xll.ciqfunctions.udf.CIQ($D$4,$B57, Q$9, $H$4, $E$4, , $F$4, $G$4))),"",_xll.ciqfunctions.udf.CIQ($D$4,$B57, Q$9, $H$4, $E$4, , $F$4, $G$4)))</f>
        <v/>
      </c>
      <c r="R57" s="178" t="str">
        <f>IF(R$9="","",IF(NOT(ISNUMBER(_xll.ciqfunctions.udf.CIQ($D$4,$B57, R$9, $H$4, $E$4, , $F$4, $G$4))),"",_xll.ciqfunctions.udf.CIQ($D$4,$B57, R$9, $H$4, $E$4, , $F$4, $G$4)))</f>
        <v/>
      </c>
      <c r="S57" s="178" t="str">
        <f>IF(S$9="","",IF(NOT(ISNUMBER(_xll.ciqfunctions.udf.CIQ($D$4,$B57, S$9, $H$4, $E$4, , $F$4, $G$4))),"",_xll.ciqfunctions.udf.CIQ($D$4,$B57, S$9, $H$4, $E$4, , $F$4, $G$4)))</f>
        <v/>
      </c>
      <c r="T57" s="178" t="str">
        <f>IF(T$9="","",IF(NOT(ISNUMBER(_xll.ciqfunctions.udf.CIQ($D$4,$B57, T$9, $H$4, $E$4, , $F$4, $G$4))),"",_xll.ciqfunctions.udf.CIQ($D$4,$B57, T$9, $H$4, $E$4, , $F$4, $G$4)))</f>
        <v/>
      </c>
      <c r="U57" s="178" t="str">
        <f>IF(U$9="","",IF(NOT(ISNUMBER(_xll.ciqfunctions.udf.CIQ($D$4,$B57, U$9, $H$4, $E$4, , $F$4, $G$4))),"",_xll.ciqfunctions.udf.CIQ($D$4,$B57, U$9, $H$4, $E$4, , $F$4, $G$4)))</f>
        <v/>
      </c>
      <c r="V57" s="178" t="str">
        <f>IF(V$9="","",IF(NOT(ISNUMBER(_xll.ciqfunctions.udf.CIQ($D$4,$B57, V$9, $H$4, $E$4, , $F$4, $G$4))),"",_xll.ciqfunctions.udf.CIQ($D$4,$B57, V$9, $H$4, $E$4, , $F$4, $G$4)))</f>
        <v/>
      </c>
      <c r="W57" s="178" t="str">
        <f>IF(W$9="","",IF(NOT(ISNUMBER(_xll.ciqfunctions.udf.CIQ($D$4,$B57, W$9, $H$4, $E$4, , $F$4, $G$4))),"",_xll.ciqfunctions.udf.CIQ($D$4,$B57, W$9, $H$4, $E$4, , $F$4, $G$4)))</f>
        <v/>
      </c>
    </row>
    <row r="58" spans="1:23" s="48" customFormat="1" ht="15" customHeight="1" x14ac:dyDescent="0.2">
      <c r="A58" s="1071" t="s">
        <v>1076</v>
      </c>
      <c r="B58" s="48" t="s">
        <v>957</v>
      </c>
      <c r="C58" s="178">
        <f ca="1">IF(C$9="","",IF(NOT(ISNUMBER(_xll.ciqfunctions.udf.CIQ($D$4,$B58, C$9, $H$4, $E$4, , $F$4, $G$4))),"",-_xll.ciqfunctions.udf.CIQ($D$4,$B58, C$9, $H$4, $E$4, , $F$4, $G$4)))</f>
        <v>0</v>
      </c>
      <c r="D58" s="178">
        <f ca="1">IF(D$9="","",IF(NOT(ISNUMBER(_xll.ciqfunctions.udf.CIQ($D$4,$B58, D$9, $H$4, $E$4, , $F$4, $G$4))),"",-_xll.ciqfunctions.udf.CIQ($D$4,$B58, D$9, $H$4, $E$4, , $F$4, $G$4)))</f>
        <v>0</v>
      </c>
      <c r="E58" s="178">
        <f ca="1">IF(E$9="","",IF(NOT(ISNUMBER(_xll.ciqfunctions.udf.CIQ($D$4,$B58, E$9, $H$4, $E$4, , $F$4, $G$4))),"",-_xll.ciqfunctions.udf.CIQ($D$4,$B58, E$9, $H$4, $E$4, , $F$4, $G$4)))</f>
        <v>0</v>
      </c>
      <c r="F58" s="178">
        <f ca="1">IF(F$9="","",IF(NOT(ISNUMBER(_xll.ciqfunctions.udf.CIQ($D$4,$B58, F$9, $H$4, $E$4, , $F$4, $G$4))),"",-_xll.ciqfunctions.udf.CIQ($D$4,$B58, F$9, $H$4, $E$4, , $F$4, $G$4)))</f>
        <v>0</v>
      </c>
      <c r="G58" s="178">
        <f ca="1">IF(G$9="","",IF(NOT(ISNUMBER(_xll.ciqfunctions.udf.CIQ($D$4,$B58, G$9, $H$4, $E$4, , $F$4, $G$4))),"",-_xll.ciqfunctions.udf.CIQ($D$4,$B58, G$9, $H$4, $E$4, , $F$4, $G$4)))</f>
        <v>0</v>
      </c>
      <c r="H58" s="178">
        <f ca="1">IF(H$9="","",IF(NOT(ISNUMBER(_xll.ciqfunctions.udf.CIQ($D$4,$B58, H$9, $H$4, $E$4, , $F$4, $G$4))),"",-_xll.ciqfunctions.udf.CIQ($D$4,$B58, H$9, $H$4, $E$4, , $F$4, $G$4)))</f>
        <v>0</v>
      </c>
      <c r="I58" s="178">
        <f ca="1">IF(I$9="","",IF(NOT(ISNUMBER(_xll.ciqfunctions.udf.CIQ($D$4,$B58, I$9, $H$4, $E$4, , $F$4, $G$4))),"",-_xll.ciqfunctions.udf.CIQ($D$4,$B58, I$9, $H$4, $E$4, , $F$4, $G$4)))</f>
        <v>0</v>
      </c>
      <c r="J58" s="178">
        <f ca="1">IF(J$9="","",IF(NOT(ISNUMBER(_xll.ciqfunctions.udf.CIQ($D$4,$B58, J$9, $H$4, $E$4, , $F$4, $G$4))),"",-_xll.ciqfunctions.udf.CIQ($D$4,$B58, J$9, $H$4, $E$4, , $F$4, $G$4)))</f>
        <v>0</v>
      </c>
      <c r="K58" s="178">
        <f ca="1">IF(K$9="","",IF(NOT(ISNUMBER(_xll.ciqfunctions.udf.CIQ($D$4,$B58, K$9, $H$4, $E$4, , $F$4, $G$4))),"",-_xll.ciqfunctions.udf.CIQ($D$4,$B58, K$9, $H$4, $E$4, , $F$4, $G$4)))</f>
        <v>0</v>
      </c>
      <c r="L58" s="178">
        <f ca="1">IF(L$9="","",IF(NOT(ISNUMBER(_xll.ciqfunctions.udf.CIQ($D$4,$B58, L$9, $H$4, $E$4, , $F$4, $G$4))),"",-_xll.ciqfunctions.udf.CIQ($D$4,$B58, L$9, $H$4, $E$4, , $F$4, $G$4)))</f>
        <v>0</v>
      </c>
      <c r="M58" s="178" t="str">
        <f>IF(M$9="","",IF(NOT(ISNUMBER(_xll.ciqfunctions.udf.CIQ($D$4,$B58, M$9, $H$4, $E$4, , $F$4, $G$4))),"",-_xll.ciqfunctions.udf.CIQ($D$4,$B58, M$9, $H$4, $E$4, , $F$4, $G$4)))</f>
        <v/>
      </c>
      <c r="N58" s="178" t="str">
        <f>IF(N$9="","",IF(NOT(ISNUMBER(_xll.ciqfunctions.udf.CIQ($D$4,$B58, N$9, $H$4, $E$4, , $F$4, $G$4))),"",-_xll.ciqfunctions.udf.CIQ($D$4,$B58, N$9, $H$4, $E$4, , $F$4, $G$4)))</f>
        <v/>
      </c>
      <c r="O58" s="178" t="str">
        <f>IF(O$9="","",IF(NOT(ISNUMBER(_xll.ciqfunctions.udf.CIQ($D$4,$B58, O$9, $H$4, $E$4, , $F$4, $G$4))),"",-_xll.ciqfunctions.udf.CIQ($D$4,$B58, O$9, $H$4, $E$4, , $F$4, $G$4)))</f>
        <v/>
      </c>
      <c r="P58" s="178" t="str">
        <f>IF(P$9="","",IF(NOT(ISNUMBER(_xll.ciqfunctions.udf.CIQ($D$4,$B58, P$9, $H$4, $E$4, , $F$4, $G$4))),"",-_xll.ciqfunctions.udf.CIQ($D$4,$B58, P$9, $H$4, $E$4, , $F$4, $G$4)))</f>
        <v/>
      </c>
      <c r="Q58" s="178" t="str">
        <f>IF(Q$9="","",IF(NOT(ISNUMBER(_xll.ciqfunctions.udf.CIQ($D$4,$B58, Q$9, $H$4, $E$4, , $F$4, $G$4))),"",-_xll.ciqfunctions.udf.CIQ($D$4,$B58, Q$9, $H$4, $E$4, , $F$4, $G$4)))</f>
        <v/>
      </c>
      <c r="R58" s="178" t="str">
        <f>IF(R$9="","",IF(NOT(ISNUMBER(_xll.ciqfunctions.udf.CIQ($D$4,$B58, R$9, $H$4, $E$4, , $F$4, $G$4))),"",-_xll.ciqfunctions.udf.CIQ($D$4,$B58, R$9, $H$4, $E$4, , $F$4, $G$4)))</f>
        <v/>
      </c>
      <c r="S58" s="178" t="str">
        <f>IF(S$9="","",IF(NOT(ISNUMBER(_xll.ciqfunctions.udf.CIQ($D$4,$B58, S$9, $H$4, $E$4, , $F$4, $G$4))),"",-_xll.ciqfunctions.udf.CIQ($D$4,$B58, S$9, $H$4, $E$4, , $F$4, $G$4)))</f>
        <v/>
      </c>
      <c r="T58" s="178" t="str">
        <f>IF(T$9="","",IF(NOT(ISNUMBER(_xll.ciqfunctions.udf.CIQ($D$4,$B58, T$9, $H$4, $E$4, , $F$4, $G$4))),"",-_xll.ciqfunctions.udf.CIQ($D$4,$B58, T$9, $H$4, $E$4, , $F$4, $G$4)))</f>
        <v/>
      </c>
      <c r="U58" s="178" t="str">
        <f>IF(U$9="","",IF(NOT(ISNUMBER(_xll.ciqfunctions.udf.CIQ($D$4,$B58, U$9, $H$4, $E$4, , $F$4, $G$4))),"",-_xll.ciqfunctions.udf.CIQ($D$4,$B58, U$9, $H$4, $E$4, , $F$4, $G$4)))</f>
        <v/>
      </c>
      <c r="V58" s="178" t="str">
        <f>IF(V$9="","",IF(NOT(ISNUMBER(_xll.ciqfunctions.udf.CIQ($D$4,$B58, V$9, $H$4, $E$4, , $F$4, $G$4))),"",-_xll.ciqfunctions.udf.CIQ($D$4,$B58, V$9, $H$4, $E$4, , $F$4, $G$4)))</f>
        <v/>
      </c>
      <c r="W58" s="178" t="str">
        <f>IF(W$9="","",IF(NOT(ISNUMBER(_xll.ciqfunctions.udf.CIQ($D$4,$B58, W$9, $H$4, $E$4, , $F$4, $G$4))),"",-_xll.ciqfunctions.udf.CIQ($D$4,$B58, W$9, $H$4, $E$4, , $F$4, $G$4)))</f>
        <v/>
      </c>
    </row>
    <row r="60" spans="1:23" ht="15" customHeight="1" x14ac:dyDescent="0.2">
      <c r="A60" s="25" t="s">
        <v>247</v>
      </c>
      <c r="C60" s="172">
        <f ca="1">IFERROR(IF(C$9="","",C53/C55),"NA")</f>
        <v>0</v>
      </c>
      <c r="D60" s="172">
        <f ca="1">IFERROR(IF(D$9="","",D53/D55),"NA")</f>
        <v>0</v>
      </c>
      <c r="E60" s="172">
        <f t="shared" ref="E60:W60" ca="1" si="13">IFERROR(IF(E$9="","",E53/E55),"NA")</f>
        <v>0</v>
      </c>
      <c r="F60" s="172">
        <f t="shared" ca="1" si="13"/>
        <v>0</v>
      </c>
      <c r="G60" s="172">
        <f t="shared" ca="1" si="13"/>
        <v>0</v>
      </c>
      <c r="H60" s="172">
        <f t="shared" ca="1" si="13"/>
        <v>0</v>
      </c>
      <c r="I60" s="172">
        <f t="shared" ca="1" si="13"/>
        <v>0</v>
      </c>
      <c r="J60" s="172">
        <f t="shared" ca="1" si="13"/>
        <v>0</v>
      </c>
      <c r="K60" s="172">
        <f t="shared" ca="1" si="13"/>
        <v>0</v>
      </c>
      <c r="L60" s="172">
        <f t="shared" ca="1" si="13"/>
        <v>0</v>
      </c>
      <c r="M60" s="172" t="str">
        <f t="shared" si="13"/>
        <v/>
      </c>
      <c r="N60" s="172" t="str">
        <f t="shared" si="13"/>
        <v/>
      </c>
      <c r="O60" s="172" t="str">
        <f t="shared" si="13"/>
        <v/>
      </c>
      <c r="P60" s="172" t="str">
        <f t="shared" si="13"/>
        <v/>
      </c>
      <c r="Q60" s="172" t="str">
        <f t="shared" si="13"/>
        <v/>
      </c>
      <c r="R60" s="172" t="str">
        <f t="shared" si="13"/>
        <v/>
      </c>
      <c r="S60" s="172" t="str">
        <f t="shared" si="13"/>
        <v/>
      </c>
      <c r="T60" s="172" t="str">
        <f t="shared" si="13"/>
        <v/>
      </c>
      <c r="U60" s="172" t="str">
        <f t="shared" si="13"/>
        <v/>
      </c>
      <c r="V60" s="172" t="str">
        <f t="shared" si="13"/>
        <v/>
      </c>
      <c r="W60" s="172" t="str">
        <f t="shared" si="13"/>
        <v/>
      </c>
    </row>
    <row r="61" spans="1:23" ht="15" customHeight="1" x14ac:dyDescent="0.2">
      <c r="A61" s="25" t="s">
        <v>248</v>
      </c>
      <c r="C61" s="172" t="str">
        <f ca="1">IFERROR(IF(C$9="","",C56/C53),"NA")</f>
        <v>NA</v>
      </c>
      <c r="D61" s="172" t="str">
        <f ca="1">IFERROR(IF(D$9="","",D56/D53),"NA")</f>
        <v>NA</v>
      </c>
      <c r="E61" s="172" t="str">
        <f t="shared" ref="E61:W61" ca="1" si="14">IFERROR(IF(E$9="","",E56/E53),"NA")</f>
        <v>NA</v>
      </c>
      <c r="F61" s="172" t="str">
        <f t="shared" ca="1" si="14"/>
        <v>NA</v>
      </c>
      <c r="G61" s="172" t="str">
        <f t="shared" ca="1" si="14"/>
        <v>NA</v>
      </c>
      <c r="H61" s="172" t="str">
        <f t="shared" ca="1" si="14"/>
        <v>NA</v>
      </c>
      <c r="I61" s="172" t="str">
        <f t="shared" ca="1" si="14"/>
        <v>NA</v>
      </c>
      <c r="J61" s="172" t="str">
        <f t="shared" ca="1" si="14"/>
        <v>NA</v>
      </c>
      <c r="K61" s="172" t="str">
        <f t="shared" ca="1" si="14"/>
        <v>NA</v>
      </c>
      <c r="L61" s="172" t="str">
        <f t="shared" ca="1" si="14"/>
        <v>NA</v>
      </c>
      <c r="M61" s="172" t="str">
        <f t="shared" si="14"/>
        <v/>
      </c>
      <c r="N61" s="172" t="str">
        <f t="shared" si="14"/>
        <v/>
      </c>
      <c r="O61" s="172" t="str">
        <f t="shared" si="14"/>
        <v/>
      </c>
      <c r="P61" s="172" t="str">
        <f t="shared" si="14"/>
        <v/>
      </c>
      <c r="Q61" s="172" t="str">
        <f t="shared" si="14"/>
        <v/>
      </c>
      <c r="R61" s="172" t="str">
        <f t="shared" si="14"/>
        <v/>
      </c>
      <c r="S61" s="172" t="str">
        <f t="shared" si="14"/>
        <v/>
      </c>
      <c r="T61" s="172" t="str">
        <f t="shared" si="14"/>
        <v/>
      </c>
      <c r="U61" s="172" t="str">
        <f t="shared" si="14"/>
        <v/>
      </c>
      <c r="V61" s="172" t="str">
        <f t="shared" si="14"/>
        <v/>
      </c>
      <c r="W61" s="172" t="str">
        <f t="shared" si="14"/>
        <v/>
      </c>
    </row>
    <row r="62" spans="1:23" ht="15" customHeight="1" x14ac:dyDescent="0.2">
      <c r="A62" s="25" t="s">
        <v>1191</v>
      </c>
      <c r="C62" s="172" t="str">
        <f ca="1">IFERROR(IF(C$9="","",C56/C53),"NA")</f>
        <v>NA</v>
      </c>
      <c r="D62" s="172" t="str">
        <f t="shared" ref="D62:W62" ca="1" si="15">IFERROR(IF(D$9="","",D56/D53),"NA")</f>
        <v>NA</v>
      </c>
      <c r="E62" s="172" t="str">
        <f t="shared" ca="1" si="15"/>
        <v>NA</v>
      </c>
      <c r="F62" s="172" t="str">
        <f t="shared" ca="1" si="15"/>
        <v>NA</v>
      </c>
      <c r="G62" s="172" t="str">
        <f t="shared" ca="1" si="15"/>
        <v>NA</v>
      </c>
      <c r="H62" s="172" t="str">
        <f t="shared" ca="1" si="15"/>
        <v>NA</v>
      </c>
      <c r="I62" s="172" t="str">
        <f t="shared" ca="1" si="15"/>
        <v>NA</v>
      </c>
      <c r="J62" s="172" t="str">
        <f t="shared" ca="1" si="15"/>
        <v>NA</v>
      </c>
      <c r="K62" s="172" t="str">
        <f t="shared" ca="1" si="15"/>
        <v>NA</v>
      </c>
      <c r="L62" s="172" t="str">
        <f t="shared" ca="1" si="15"/>
        <v>NA</v>
      </c>
      <c r="M62" s="172" t="str">
        <f t="shared" si="15"/>
        <v/>
      </c>
      <c r="N62" s="172" t="str">
        <f t="shared" si="15"/>
        <v/>
      </c>
      <c r="O62" s="172" t="str">
        <f t="shared" si="15"/>
        <v/>
      </c>
      <c r="P62" s="172" t="str">
        <f t="shared" si="15"/>
        <v/>
      </c>
      <c r="Q62" s="172" t="str">
        <f t="shared" si="15"/>
        <v/>
      </c>
      <c r="R62" s="172" t="str">
        <f t="shared" si="15"/>
        <v/>
      </c>
      <c r="S62" s="172" t="str">
        <f t="shared" si="15"/>
        <v/>
      </c>
      <c r="T62" s="172" t="str">
        <f t="shared" si="15"/>
        <v/>
      </c>
      <c r="U62" s="172" t="str">
        <f t="shared" si="15"/>
        <v/>
      </c>
      <c r="V62" s="172" t="str">
        <f t="shared" si="15"/>
        <v/>
      </c>
      <c r="W62" s="172" t="str">
        <f t="shared" si="15"/>
        <v/>
      </c>
    </row>
    <row r="63" spans="1:23" ht="15" customHeight="1" x14ac:dyDescent="0.2">
      <c r="A63" s="25" t="s">
        <v>249</v>
      </c>
      <c r="C63" s="172">
        <f ca="1">IFERROR(IF(C$9="","",C57/C55),"NA")</f>
        <v>0</v>
      </c>
      <c r="D63" s="172">
        <f ca="1">IFERROR(IF(D$9="","",D57/D55),"NA")</f>
        <v>0</v>
      </c>
      <c r="E63" s="172">
        <f t="shared" ref="E63:W63" ca="1" si="16">IFERROR(IF(E$9="","",E57/E55),"NA")</f>
        <v>0</v>
      </c>
      <c r="F63" s="172">
        <f t="shared" ca="1" si="16"/>
        <v>0</v>
      </c>
      <c r="G63" s="172">
        <f t="shared" ca="1" si="16"/>
        <v>0</v>
      </c>
      <c r="H63" s="172">
        <f t="shared" ca="1" si="16"/>
        <v>0</v>
      </c>
      <c r="I63" s="172">
        <f t="shared" ca="1" si="16"/>
        <v>0</v>
      </c>
      <c r="J63" s="172">
        <f t="shared" ca="1" si="16"/>
        <v>0</v>
      </c>
      <c r="K63" s="172">
        <f t="shared" ca="1" si="16"/>
        <v>0</v>
      </c>
      <c r="L63" s="172">
        <f t="shared" ca="1" si="16"/>
        <v>0</v>
      </c>
      <c r="M63" s="172" t="str">
        <f t="shared" si="16"/>
        <v/>
      </c>
      <c r="N63" s="172" t="str">
        <f t="shared" si="16"/>
        <v/>
      </c>
      <c r="O63" s="172" t="str">
        <f t="shared" si="16"/>
        <v/>
      </c>
      <c r="P63" s="172" t="str">
        <f t="shared" si="16"/>
        <v/>
      </c>
      <c r="Q63" s="172" t="str">
        <f t="shared" si="16"/>
        <v/>
      </c>
      <c r="R63" s="172" t="str">
        <f t="shared" si="16"/>
        <v/>
      </c>
      <c r="S63" s="172" t="str">
        <f t="shared" si="16"/>
        <v/>
      </c>
      <c r="T63" s="172" t="str">
        <f t="shared" si="16"/>
        <v/>
      </c>
      <c r="U63" s="172" t="str">
        <f t="shared" si="16"/>
        <v/>
      </c>
      <c r="V63" s="172" t="str">
        <f t="shared" si="16"/>
        <v/>
      </c>
      <c r="W63" s="172" t="str">
        <f t="shared" si="16"/>
        <v/>
      </c>
    </row>
    <row r="64" spans="1:23" s="48" customFormat="1" ht="15" customHeight="1" x14ac:dyDescent="0.2">
      <c r="A64" s="48" t="s">
        <v>1184</v>
      </c>
      <c r="B64" s="48" t="s">
        <v>957</v>
      </c>
      <c r="C64" s="172" t="str">
        <f ca="1">IFERROR(IF(C$9="","",C58/C43),"NA")</f>
        <v>NA</v>
      </c>
      <c r="D64" s="172" t="str">
        <f t="shared" ref="D64:W64" ca="1" si="17">IFERROR(IF(D$9="","",D58/D43),"NA")</f>
        <v>NA</v>
      </c>
      <c r="E64" s="172" t="str">
        <f t="shared" ca="1" si="17"/>
        <v>NA</v>
      </c>
      <c r="F64" s="172" t="str">
        <f t="shared" ca="1" si="17"/>
        <v>NA</v>
      </c>
      <c r="G64" s="172" t="str">
        <f t="shared" ca="1" si="17"/>
        <v>NA</v>
      </c>
      <c r="H64" s="172" t="str">
        <f t="shared" ca="1" si="17"/>
        <v>NA</v>
      </c>
      <c r="I64" s="172" t="str">
        <f t="shared" ca="1" si="17"/>
        <v>NA</v>
      </c>
      <c r="J64" s="172" t="str">
        <f t="shared" ca="1" si="17"/>
        <v>NA</v>
      </c>
      <c r="K64" s="172" t="str">
        <f t="shared" ca="1" si="17"/>
        <v>NA</v>
      </c>
      <c r="L64" s="172" t="str">
        <f t="shared" ca="1" si="17"/>
        <v>NA</v>
      </c>
      <c r="M64" s="172" t="str">
        <f t="shared" si="17"/>
        <v/>
      </c>
      <c r="N64" s="172" t="str">
        <f t="shared" si="17"/>
        <v/>
      </c>
      <c r="O64" s="172" t="str">
        <f t="shared" si="17"/>
        <v/>
      </c>
      <c r="P64" s="172" t="str">
        <f t="shared" si="17"/>
        <v/>
      </c>
      <c r="Q64" s="172" t="str">
        <f t="shared" si="17"/>
        <v/>
      </c>
      <c r="R64" s="172" t="str">
        <f t="shared" si="17"/>
        <v/>
      </c>
      <c r="S64" s="172" t="str">
        <f t="shared" si="17"/>
        <v/>
      </c>
      <c r="T64" s="172" t="str">
        <f t="shared" si="17"/>
        <v/>
      </c>
      <c r="U64" s="172" t="str">
        <f t="shared" si="17"/>
        <v/>
      </c>
      <c r="V64" s="172" t="str">
        <f t="shared" si="17"/>
        <v/>
      </c>
      <c r="W64" s="172" t="str">
        <f t="shared" si="17"/>
        <v/>
      </c>
    </row>
    <row r="65" spans="1:23" s="48" customFormat="1" ht="15" customHeight="1" x14ac:dyDescent="0.2">
      <c r="A65" s="48" t="s">
        <v>1092</v>
      </c>
      <c r="B65" s="48" t="s">
        <v>620</v>
      </c>
      <c r="C65" s="172">
        <f ca="1">IFERROR(IF(C$9="","",C56/_xll.ciqfunctions.udf.CIQ($D$4,$B65, C$9, $H$4, $E$4, , $F$4, $G$4)),"NA")</f>
        <v>0</v>
      </c>
      <c r="D65" s="172">
        <f ca="1">IFERROR(IF(D$9="","",D56/_xll.ciqfunctions.udf.CIQ($D$4,$B65, D$9, $H$4, $E$4, , $F$4, $G$4)),"NA")</f>
        <v>0</v>
      </c>
      <c r="E65" s="172">
        <f ca="1">IFERROR(IF(E$9="","",E56/_xll.ciqfunctions.udf.CIQ($D$4,$B65, E$9, $H$4, $E$4, , $F$4, $G$4)),"NA")</f>
        <v>0</v>
      </c>
      <c r="F65" s="172">
        <f ca="1">IFERROR(IF(F$9="","",F56/_xll.ciqfunctions.udf.CIQ($D$4,$B65, F$9, $H$4, $E$4, , $F$4, $G$4)),"NA")</f>
        <v>0</v>
      </c>
      <c r="G65" s="172">
        <f ca="1">IFERROR(IF(G$9="","",G56/_xll.ciqfunctions.udf.CIQ($D$4,$B65, G$9, $H$4, $E$4, , $F$4, $G$4)),"NA")</f>
        <v>0</v>
      </c>
      <c r="H65" s="172">
        <f ca="1">IFERROR(IF(H$9="","",H56/_xll.ciqfunctions.udf.CIQ($D$4,$B65, H$9, $H$4, $E$4, , $F$4, $G$4)),"NA")</f>
        <v>0</v>
      </c>
      <c r="I65" s="172">
        <f ca="1">IFERROR(IF(I$9="","",I56/_xll.ciqfunctions.udf.CIQ($D$4,$B65, I$9, $H$4, $E$4, , $F$4, $G$4)),"NA")</f>
        <v>0</v>
      </c>
      <c r="J65" s="172">
        <f ca="1">IFERROR(IF(J$9="","",J56/_xll.ciqfunctions.udf.CIQ($D$4,$B65, J$9, $H$4, $E$4, , $F$4, $G$4)),"NA")</f>
        <v>0</v>
      </c>
      <c r="K65" s="172">
        <f ca="1">IFERROR(IF(K$9="","",K56/_xll.ciqfunctions.udf.CIQ($D$4,$B65, K$9, $H$4, $E$4, , $F$4, $G$4)),"NA")</f>
        <v>0</v>
      </c>
      <c r="L65" s="172">
        <f ca="1">IFERROR(IF(L$9="","",L56/_xll.ciqfunctions.udf.CIQ($D$4,$B65, L$9, $H$4, $E$4, , $F$4, $G$4)),"NA")</f>
        <v>0</v>
      </c>
      <c r="M65" s="172" t="str">
        <f>IFERROR(IF(M$9="","",M56/_xll.ciqfunctions.udf.CIQ($D$4,$B65, M$9, $H$4, $E$4, , $F$4, $G$4)),"NA")</f>
        <v/>
      </c>
      <c r="N65" s="172" t="str">
        <f>IFERROR(IF(N$9="","",N56/_xll.ciqfunctions.udf.CIQ($D$4,$B65, N$9, $H$4, $E$4, , $F$4, $G$4)),"NA")</f>
        <v/>
      </c>
      <c r="O65" s="172" t="str">
        <f>IFERROR(IF(O$9="","",O56/_xll.ciqfunctions.udf.CIQ($D$4,$B65, O$9, $H$4, $E$4, , $F$4, $G$4)),"NA")</f>
        <v/>
      </c>
      <c r="P65" s="172" t="str">
        <f>IFERROR(IF(P$9="","",P56/_xll.ciqfunctions.udf.CIQ($D$4,$B65, P$9, $H$4, $E$4, , $F$4, $G$4)),"NA")</f>
        <v/>
      </c>
      <c r="Q65" s="172" t="str">
        <f>IFERROR(IF(Q$9="","",Q56/_xll.ciqfunctions.udf.CIQ($D$4,$B65, Q$9, $H$4, $E$4, , $F$4, $G$4)),"NA")</f>
        <v/>
      </c>
      <c r="R65" s="172" t="str">
        <f>IFERROR(IF(R$9="","",R56/_xll.ciqfunctions.udf.CIQ($D$4,$B65, R$9, $H$4, $E$4, , $F$4, $G$4)),"NA")</f>
        <v/>
      </c>
      <c r="S65" s="172" t="str">
        <f>IFERROR(IF(S$9="","",S56/_xll.ciqfunctions.udf.CIQ($D$4,$B65, S$9, $H$4, $E$4, , $F$4, $G$4)),"NA")</f>
        <v/>
      </c>
      <c r="T65" s="172" t="str">
        <f>IFERROR(IF(T$9="","",T56/_xll.ciqfunctions.udf.CIQ($D$4,$B65, T$9, $H$4, $E$4, , $F$4, $G$4)),"NA")</f>
        <v/>
      </c>
      <c r="U65" s="172" t="str">
        <f>IFERROR(IF(U$9="","",U56/_xll.ciqfunctions.udf.CIQ($D$4,$B65, U$9, $H$4, $E$4, , $F$4, $G$4)),"NA")</f>
        <v/>
      </c>
      <c r="V65" s="172" t="str">
        <f>IFERROR(IF(V$9="","",V56/_xll.ciqfunctions.udf.CIQ($D$4,$B65, V$9, $H$4, $E$4, , $F$4, $G$4)),"NA")</f>
        <v/>
      </c>
      <c r="W65" s="172" t="str">
        <f>IFERROR(IF(W$9="","",W56/_xll.ciqfunctions.udf.CIQ($D$4,$B65, W$9, $H$4, $E$4, , $F$4, $G$4)),"NA")</f>
        <v/>
      </c>
    </row>
    <row r="66" spans="1:23" s="48" customFormat="1" ht="15" customHeight="1" x14ac:dyDescent="0.2">
      <c r="A66" s="48" t="s">
        <v>1095</v>
      </c>
      <c r="B66" s="48" t="s">
        <v>237</v>
      </c>
      <c r="C66" s="172" t="str">
        <f ca="1">IFERROR(IF(C$9="","",C53/C54),"NA")</f>
        <v>NA</v>
      </c>
      <c r="D66" s="172" t="str">
        <f t="shared" ref="D66:W66" ca="1" si="18">IFERROR(IF(D$9="","",D53/D54),"NA")</f>
        <v>NA</v>
      </c>
      <c r="E66" s="172" t="str">
        <f t="shared" ca="1" si="18"/>
        <v>NA</v>
      </c>
      <c r="F66" s="172" t="str">
        <f t="shared" ca="1" si="18"/>
        <v>NA</v>
      </c>
      <c r="G66" s="172" t="str">
        <f t="shared" ca="1" si="18"/>
        <v>NA</v>
      </c>
      <c r="H66" s="172" t="str">
        <f t="shared" ca="1" si="18"/>
        <v>NA</v>
      </c>
      <c r="I66" s="172" t="str">
        <f t="shared" ca="1" si="18"/>
        <v>NA</v>
      </c>
      <c r="J66" s="172" t="str">
        <f t="shared" ca="1" si="18"/>
        <v>NA</v>
      </c>
      <c r="K66" s="172" t="str">
        <f t="shared" ca="1" si="18"/>
        <v>NA</v>
      </c>
      <c r="L66" s="172" t="str">
        <f t="shared" ca="1" si="18"/>
        <v>NA</v>
      </c>
      <c r="M66" s="172" t="str">
        <f t="shared" si="18"/>
        <v/>
      </c>
      <c r="N66" s="172" t="str">
        <f t="shared" si="18"/>
        <v/>
      </c>
      <c r="O66" s="172" t="str">
        <f t="shared" si="18"/>
        <v/>
      </c>
      <c r="P66" s="172" t="str">
        <f t="shared" si="18"/>
        <v/>
      </c>
      <c r="Q66" s="172" t="str">
        <f t="shared" si="18"/>
        <v/>
      </c>
      <c r="R66" s="172" t="str">
        <f t="shared" si="18"/>
        <v/>
      </c>
      <c r="S66" s="172" t="str">
        <f t="shared" si="18"/>
        <v/>
      </c>
      <c r="T66" s="172" t="str">
        <f t="shared" si="18"/>
        <v/>
      </c>
      <c r="U66" s="172" t="str">
        <f t="shared" si="18"/>
        <v/>
      </c>
      <c r="V66" s="172" t="str">
        <f t="shared" si="18"/>
        <v/>
      </c>
      <c r="W66" s="172" t="str">
        <f t="shared" si="18"/>
        <v/>
      </c>
    </row>
    <row r="67" spans="1:23" s="48" customFormat="1" ht="15" customHeight="1" x14ac:dyDescent="0.2">
      <c r="C67" s="172"/>
      <c r="D67" s="172"/>
      <c r="E67" s="172"/>
      <c r="F67" s="172"/>
      <c r="G67" s="172"/>
      <c r="H67" s="172"/>
      <c r="I67" s="172"/>
      <c r="J67" s="172"/>
      <c r="K67" s="172"/>
      <c r="L67" s="172"/>
      <c r="M67" s="172"/>
      <c r="N67" s="172"/>
      <c r="O67" s="172"/>
      <c r="P67" s="172"/>
      <c r="Q67" s="172"/>
      <c r="R67" s="172"/>
      <c r="S67" s="172"/>
      <c r="T67" s="172"/>
      <c r="U67" s="172"/>
      <c r="V67" s="172"/>
      <c r="W67" s="172"/>
    </row>
    <row r="68" spans="1:23" s="48" customFormat="1" ht="15" customHeight="1" x14ac:dyDescent="0.2">
      <c r="A68" s="48" t="s">
        <v>1183</v>
      </c>
      <c r="B68" s="48" t="s">
        <v>1182</v>
      </c>
      <c r="C68" s="178">
        <f ca="1">IF(C$9="","",IF(NOT(ISNUMBER(_xll.ciqfunctions.udf.CIQ($D$4,$B68, C$9, $H$4, $E$4, , $F$4, $G$4))),"",_xll.ciqfunctions.udf.CIQ($D$4,$B68, C$9, $H$4, $E$4, , $F$4, $G$4)))</f>
        <v>0</v>
      </c>
      <c r="D68" s="178">
        <f ca="1">IF(D$9="","",IF(NOT(ISNUMBER(_xll.ciqfunctions.udf.CIQ($D$4,$B68, D$9, $H$4, $E$4, , $F$4, $G$4))),"",_xll.ciqfunctions.udf.CIQ($D$4,$B68, D$9, $H$4, $E$4, , $F$4, $G$4)))</f>
        <v>0</v>
      </c>
      <c r="E68" s="178">
        <f ca="1">IF(E$9="","",IF(NOT(ISNUMBER(_xll.ciqfunctions.udf.CIQ($D$4,$B68, E$9, $H$4, $E$4, , $F$4, $G$4))),"",_xll.ciqfunctions.udf.CIQ($D$4,$B68, E$9, $H$4, $E$4, , $F$4, $G$4)))</f>
        <v>0</v>
      </c>
      <c r="F68" s="178">
        <f ca="1">IF(F$9="","",IF(NOT(ISNUMBER(_xll.ciqfunctions.udf.CIQ($D$4,$B68, F$9, $H$4, $E$4, , $F$4, $G$4))),"",_xll.ciqfunctions.udf.CIQ($D$4,$B68, F$9, $H$4, $E$4, , $F$4, $G$4)))</f>
        <v>0</v>
      </c>
      <c r="G68" s="178">
        <f ca="1">IF(G$9="","",IF(NOT(ISNUMBER(_xll.ciqfunctions.udf.CIQ($D$4,$B68, G$9, $H$4, $E$4, , $F$4, $G$4))),"",_xll.ciqfunctions.udf.CIQ($D$4,$B68, G$9, $H$4, $E$4, , $F$4, $G$4)))</f>
        <v>0</v>
      </c>
      <c r="H68" s="178">
        <f ca="1">IF(H$9="","",IF(NOT(ISNUMBER(_xll.ciqfunctions.udf.CIQ($D$4,$B68, H$9, $H$4, $E$4, , $F$4, $G$4))),"",_xll.ciqfunctions.udf.CIQ($D$4,$B68, H$9, $H$4, $E$4, , $F$4, $G$4)))</f>
        <v>0</v>
      </c>
      <c r="I68" s="178">
        <f ca="1">IF(I$9="","",IF(NOT(ISNUMBER(_xll.ciqfunctions.udf.CIQ($D$4,$B68, I$9, $H$4, $E$4, , $F$4, $G$4))),"",_xll.ciqfunctions.udf.CIQ($D$4,$B68, I$9, $H$4, $E$4, , $F$4, $G$4)))</f>
        <v>0</v>
      </c>
      <c r="J68" s="178">
        <f ca="1">IF(J$9="","",IF(NOT(ISNUMBER(_xll.ciqfunctions.udf.CIQ($D$4,$B68, J$9, $H$4, $E$4, , $F$4, $G$4))),"",_xll.ciqfunctions.udf.CIQ($D$4,$B68, J$9, $H$4, $E$4, , $F$4, $G$4)))</f>
        <v>0</v>
      </c>
      <c r="K68" s="178">
        <f ca="1">IF(K$9="","",IF(NOT(ISNUMBER(_xll.ciqfunctions.udf.CIQ($D$4,$B68, K$9, $H$4, $E$4, , $F$4, $G$4))),"",_xll.ciqfunctions.udf.CIQ($D$4,$B68, K$9, $H$4, $E$4, , $F$4, $G$4)))</f>
        <v>0</v>
      </c>
      <c r="L68" s="178">
        <f ca="1">IF(L$9="","",IF(NOT(ISNUMBER(_xll.ciqfunctions.udf.CIQ($D$4,$B68, L$9, $H$4, $E$4, , $F$4, $G$4))),"",_xll.ciqfunctions.udf.CIQ($D$4,$B68, L$9, $H$4, $E$4, , $F$4, $G$4)))</f>
        <v>0</v>
      </c>
      <c r="M68" s="178" t="str">
        <f>IF(M$9="","",IF(NOT(ISNUMBER(_xll.ciqfunctions.udf.CIQ($D$4,$B68, M$9, $H$4, $E$4, , $F$4, $G$4))),"",_xll.ciqfunctions.udf.CIQ($D$4,$B68, M$9, $H$4, $E$4, , $F$4, $G$4)))</f>
        <v/>
      </c>
      <c r="N68" s="178" t="str">
        <f>IF(N$9="","",IF(NOT(ISNUMBER(_xll.ciqfunctions.udf.CIQ($D$4,$B68, N$9, $H$4, $E$4, , $F$4, $G$4))),"",_xll.ciqfunctions.udf.CIQ($D$4,$B68, N$9, $H$4, $E$4, , $F$4, $G$4)))</f>
        <v/>
      </c>
      <c r="O68" s="178" t="str">
        <f>IF(O$9="","",IF(NOT(ISNUMBER(_xll.ciqfunctions.udf.CIQ($D$4,$B68, O$9, $H$4, $E$4, , $F$4, $G$4))),"",_xll.ciqfunctions.udf.CIQ($D$4,$B68, O$9, $H$4, $E$4, , $F$4, $G$4)))</f>
        <v/>
      </c>
      <c r="P68" s="178" t="str">
        <f>IF(P$9="","",IF(NOT(ISNUMBER(_xll.ciqfunctions.udf.CIQ($D$4,$B68, P$9, $H$4, $E$4, , $F$4, $G$4))),"",_xll.ciqfunctions.udf.CIQ($D$4,$B68, P$9, $H$4, $E$4, , $F$4, $G$4)))</f>
        <v/>
      </c>
      <c r="Q68" s="178" t="str">
        <f>IF(Q$9="","",IF(NOT(ISNUMBER(_xll.ciqfunctions.udf.CIQ($D$4,$B68, Q$9, $H$4, $E$4, , $F$4, $G$4))),"",_xll.ciqfunctions.udf.CIQ($D$4,$B68, Q$9, $H$4, $E$4, , $F$4, $G$4)))</f>
        <v/>
      </c>
      <c r="R68" s="178" t="str">
        <f>IF(R$9="","",IF(NOT(ISNUMBER(_xll.ciqfunctions.udf.CIQ($D$4,$B68, R$9, $H$4, $E$4, , $F$4, $G$4))),"",_xll.ciqfunctions.udf.CIQ($D$4,$B68, R$9, $H$4, $E$4, , $F$4, $G$4)))</f>
        <v/>
      </c>
      <c r="S68" s="178" t="str">
        <f>IF(S$9="","",IF(NOT(ISNUMBER(_xll.ciqfunctions.udf.CIQ($D$4,$B68, S$9, $H$4, $E$4, , $F$4, $G$4))),"",_xll.ciqfunctions.udf.CIQ($D$4,$B68, S$9, $H$4, $E$4, , $F$4, $G$4)))</f>
        <v/>
      </c>
      <c r="T68" s="178" t="str">
        <f>IF(T$9="","",IF(NOT(ISNUMBER(_xll.ciqfunctions.udf.CIQ($D$4,$B68, T$9, $H$4, $E$4, , $F$4, $G$4))),"",_xll.ciqfunctions.udf.CIQ($D$4,$B68, T$9, $H$4, $E$4, , $F$4, $G$4)))</f>
        <v/>
      </c>
      <c r="U68" s="178" t="str">
        <f>IF(U$9="","",IF(NOT(ISNUMBER(_xll.ciqfunctions.udf.CIQ($D$4,$B68, U$9, $H$4, $E$4, , $F$4, $G$4))),"",_xll.ciqfunctions.udf.CIQ($D$4,$B68, U$9, $H$4, $E$4, , $F$4, $G$4)))</f>
        <v/>
      </c>
      <c r="V68" s="178" t="str">
        <f>IF(V$9="","",IF(NOT(ISNUMBER(_xll.ciqfunctions.udf.CIQ($D$4,$B68, V$9, $H$4, $E$4, , $F$4, $G$4))),"",_xll.ciqfunctions.udf.CIQ($D$4,$B68, V$9, $H$4, $E$4, , $F$4, $G$4)))</f>
        <v/>
      </c>
      <c r="W68" s="178" t="str">
        <f>IF(W$9="","",IF(NOT(ISNUMBER(_xll.ciqfunctions.udf.CIQ($D$4,$B68, W$9, $H$4, $E$4, , $F$4, $G$4))),"",_xll.ciqfunctions.udf.CIQ($D$4,$B68, W$9, $H$4, $E$4, , $F$4, $G$4)))</f>
        <v/>
      </c>
    </row>
    <row r="69" spans="1:23" ht="15" customHeight="1" x14ac:dyDescent="0.2">
      <c r="C69" s="36"/>
      <c r="D69" s="36"/>
      <c r="E69" s="36"/>
      <c r="F69" s="36"/>
      <c r="G69" s="36"/>
      <c r="H69" s="36"/>
      <c r="I69" s="36"/>
      <c r="J69" s="36"/>
      <c r="K69" s="36"/>
      <c r="L69" s="36"/>
      <c r="M69" s="36"/>
      <c r="N69" s="36"/>
      <c r="O69" s="36"/>
      <c r="P69" s="36"/>
      <c r="Q69" s="36"/>
      <c r="R69" s="36"/>
      <c r="S69" s="36"/>
      <c r="T69" s="36"/>
      <c r="U69" s="36"/>
      <c r="V69" s="36"/>
      <c r="W69" s="36"/>
    </row>
    <row r="70" spans="1:23" ht="15" customHeight="1" x14ac:dyDescent="0.2">
      <c r="A70" s="25" t="s">
        <v>250</v>
      </c>
      <c r="B70" s="25" t="s">
        <v>398</v>
      </c>
      <c r="C70" s="178">
        <f ca="1">IF(C$9="","",IF(NOT(ISNUMBER(_xll.ciqfunctions.udf.CIQ($D$4,$B70, C$9, $H$4, $E$4, , $F$4, $G$4))),"",_xll.ciqfunctions.udf.CIQ($D$4,$B70, C$9, $H$4, $E$4, , $F$4, $G$4)))</f>
        <v>0</v>
      </c>
      <c r="D70" s="178">
        <f ca="1">IF(D$9="","",IF(NOT(ISNUMBER(_xll.ciqfunctions.udf.CIQ($D$4,$B70, D$9, $H$4, $E$4, , $F$4, $G$4))),"",_xll.ciqfunctions.udf.CIQ($D$4,$B70, D$9, $H$4, $E$4, , $F$4, $G$4)))</f>
        <v>0</v>
      </c>
      <c r="E70" s="178">
        <f ca="1">IF(E$9="","",IF(NOT(ISNUMBER(_xll.ciqfunctions.udf.CIQ($D$4,$B70, E$9, $H$4, $E$4, , $F$4, $G$4))),"",_xll.ciqfunctions.udf.CIQ($D$4,$B70, E$9, $H$4, $E$4, , $F$4, $G$4)))</f>
        <v>0</v>
      </c>
      <c r="F70" s="178">
        <f ca="1">IF(F$9="","",IF(NOT(ISNUMBER(_xll.ciqfunctions.udf.CIQ($D$4,$B70, F$9, $H$4, $E$4, , $F$4, $G$4))),"",_xll.ciqfunctions.udf.CIQ($D$4,$B70, F$9, $H$4, $E$4, , $F$4, $G$4)))</f>
        <v>0</v>
      </c>
      <c r="G70" s="178">
        <f ca="1">IF(G$9="","",IF(NOT(ISNUMBER(_xll.ciqfunctions.udf.CIQ($D$4,$B70, G$9, $H$4, $E$4, , $F$4, $G$4))),"",_xll.ciqfunctions.udf.CIQ($D$4,$B70, G$9, $H$4, $E$4, , $F$4, $G$4)))</f>
        <v>0</v>
      </c>
      <c r="H70" s="178">
        <f ca="1">IF(H$9="","",IF(NOT(ISNUMBER(_xll.ciqfunctions.udf.CIQ($D$4,$B70, H$9, $H$4, $E$4, , $F$4, $G$4))),"",_xll.ciqfunctions.udf.CIQ($D$4,$B70, H$9, $H$4, $E$4, , $F$4, $G$4)))</f>
        <v>0</v>
      </c>
      <c r="I70" s="178">
        <f ca="1">IF(I$9="","",IF(NOT(ISNUMBER(_xll.ciqfunctions.udf.CIQ($D$4,$B70, I$9, $H$4, $E$4, , $F$4, $G$4))),"",_xll.ciqfunctions.udf.CIQ($D$4,$B70, I$9, $H$4, $E$4, , $F$4, $G$4)))</f>
        <v>0</v>
      </c>
      <c r="J70" s="178">
        <f ca="1">IF(J$9="","",IF(NOT(ISNUMBER(_xll.ciqfunctions.udf.CIQ($D$4,$B70, J$9, $H$4, $E$4, , $F$4, $G$4))),"",_xll.ciqfunctions.udf.CIQ($D$4,$B70, J$9, $H$4, $E$4, , $F$4, $G$4)))</f>
        <v>0</v>
      </c>
      <c r="K70" s="178">
        <f ca="1">IF(K$9="","",IF(NOT(ISNUMBER(_xll.ciqfunctions.udf.CIQ($D$4,$B70, K$9, $H$4, $E$4, , $F$4, $G$4))),"",_xll.ciqfunctions.udf.CIQ($D$4,$B70, K$9, $H$4, $E$4, , $F$4, $G$4)))</f>
        <v>0</v>
      </c>
      <c r="L70" s="178">
        <f ca="1">IF(L$9="","",IF(NOT(ISNUMBER(_xll.ciqfunctions.udf.CIQ($D$4,$B70, L$9, $H$4, $E$4, , $F$4, $G$4))),"",_xll.ciqfunctions.udf.CIQ($D$4,$B70, L$9, $H$4, $E$4, , $F$4, $G$4)))</f>
        <v>0</v>
      </c>
      <c r="M70" s="178" t="str">
        <f>IF(M$9="","",IF(NOT(ISNUMBER(_xll.ciqfunctions.udf.CIQ($D$4,$B70, M$9, $H$4, $E$4, , $F$4, $G$4))),"",_xll.ciqfunctions.udf.CIQ($D$4,$B70, M$9, $H$4, $E$4, , $F$4, $G$4)))</f>
        <v/>
      </c>
      <c r="N70" s="178" t="str">
        <f>IF(N$9="","",IF(NOT(ISNUMBER(_xll.ciqfunctions.udf.CIQ($D$4,$B70, N$9, $H$4, $E$4, , $F$4, $G$4))),"",_xll.ciqfunctions.udf.CIQ($D$4,$B70, N$9, $H$4, $E$4, , $F$4, $G$4)))</f>
        <v/>
      </c>
      <c r="O70" s="178" t="str">
        <f>IF(O$9="","",IF(NOT(ISNUMBER(_xll.ciqfunctions.udf.CIQ($D$4,$B70, O$9, $H$4, $E$4, , $F$4, $G$4))),"",_xll.ciqfunctions.udf.CIQ($D$4,$B70, O$9, $H$4, $E$4, , $F$4, $G$4)))</f>
        <v/>
      </c>
      <c r="P70" s="178" t="str">
        <f>IF(P$9="","",IF(NOT(ISNUMBER(_xll.ciqfunctions.udf.CIQ($D$4,$B70, P$9, $H$4, $E$4, , $F$4, $G$4))),"",_xll.ciqfunctions.udf.CIQ($D$4,$B70, P$9, $H$4, $E$4, , $F$4, $G$4)))</f>
        <v/>
      </c>
      <c r="Q70" s="178" t="str">
        <f>IF(Q$9="","",IF(NOT(ISNUMBER(_xll.ciqfunctions.udf.CIQ($D$4,$B70, Q$9, $H$4, $E$4, , $F$4, $G$4))),"",_xll.ciqfunctions.udf.CIQ($D$4,$B70, Q$9, $H$4, $E$4, , $F$4, $G$4)))</f>
        <v/>
      </c>
      <c r="R70" s="178" t="str">
        <f>IF(R$9="","",IF(NOT(ISNUMBER(_xll.ciqfunctions.udf.CIQ($D$4,$B70, R$9, $H$4, $E$4, , $F$4, $G$4))),"",_xll.ciqfunctions.udf.CIQ($D$4,$B70, R$9, $H$4, $E$4, , $F$4, $G$4)))</f>
        <v/>
      </c>
      <c r="S70" s="178" t="str">
        <f>IF(S$9="","",IF(NOT(ISNUMBER(_xll.ciqfunctions.udf.CIQ($D$4,$B70, S$9, $H$4, $E$4, , $F$4, $G$4))),"",_xll.ciqfunctions.udf.CIQ($D$4,$B70, S$9, $H$4, $E$4, , $F$4, $G$4)))</f>
        <v/>
      </c>
      <c r="T70" s="178" t="str">
        <f>IF(T$9="","",IF(NOT(ISNUMBER(_xll.ciqfunctions.udf.CIQ($D$4,$B70, T$9, $H$4, $E$4, , $F$4, $G$4))),"",_xll.ciqfunctions.udf.CIQ($D$4,$B70, T$9, $H$4, $E$4, , $F$4, $G$4)))</f>
        <v/>
      </c>
      <c r="U70" s="178" t="str">
        <f>IF(U$9="","",IF(NOT(ISNUMBER(_xll.ciqfunctions.udf.CIQ($D$4,$B70, U$9, $H$4, $E$4, , $F$4, $G$4))),"",_xll.ciqfunctions.udf.CIQ($D$4,$B70, U$9, $H$4, $E$4, , $F$4, $G$4)))</f>
        <v/>
      </c>
      <c r="V70" s="178" t="str">
        <f>IF(V$9="","",IF(NOT(ISNUMBER(_xll.ciqfunctions.udf.CIQ($D$4,$B70, V$9, $H$4, $E$4, , $F$4, $G$4))),"",_xll.ciqfunctions.udf.CIQ($D$4,$B70, V$9, $H$4, $E$4, , $F$4, $G$4)))</f>
        <v/>
      </c>
      <c r="W70" s="178" t="str">
        <f>IF(W$9="","",IF(NOT(ISNUMBER(_xll.ciqfunctions.udf.CIQ($D$4,$B70, W$9, $H$4, $E$4, , $F$4, $G$4))),"",_xll.ciqfunctions.udf.CIQ($D$4,$B70, W$9, $H$4, $E$4, , $F$4, $G$4)))</f>
        <v/>
      </c>
    </row>
    <row r="71" spans="1:23" ht="15" customHeight="1" x14ac:dyDescent="0.2">
      <c r="A71" s="25" t="s">
        <v>251</v>
      </c>
      <c r="B71" s="25" t="s">
        <v>399</v>
      </c>
      <c r="C71" s="178">
        <f ca="1">IF(C$9="","",IF(NOT(ISNUMBER(_xll.ciqfunctions.udf.CIQ($D$4,$B71, C$9, $H$4, $E$4, , $F$4, $G$4))),"",_xll.ciqfunctions.udf.CIQ($D$4,$B71, C$9, $H$4, $E$4, , $F$4, $G$4)))</f>
        <v>0</v>
      </c>
      <c r="D71" s="178">
        <f ca="1">IF(D$9="","",IF(NOT(ISNUMBER(_xll.ciqfunctions.udf.CIQ($D$4,$B71, D$9, $H$4, $E$4, , $F$4, $G$4))),"",_xll.ciqfunctions.udf.CIQ($D$4,$B71, D$9, $H$4, $E$4, , $F$4, $G$4)))</f>
        <v>0</v>
      </c>
      <c r="E71" s="178">
        <f ca="1">IF(E$9="","",IF(NOT(ISNUMBER(_xll.ciqfunctions.udf.CIQ($D$4,$B71, E$9, $H$4, $E$4, , $F$4, $G$4))),"",_xll.ciqfunctions.udf.CIQ($D$4,$B71, E$9, $H$4, $E$4, , $F$4, $G$4)))</f>
        <v>0</v>
      </c>
      <c r="F71" s="178">
        <f ca="1">IF(F$9="","",IF(NOT(ISNUMBER(_xll.ciqfunctions.udf.CIQ($D$4,$B71, F$9, $H$4, $E$4, , $F$4, $G$4))),"",_xll.ciqfunctions.udf.CIQ($D$4,$B71, F$9, $H$4, $E$4, , $F$4, $G$4)))</f>
        <v>0</v>
      </c>
      <c r="G71" s="178">
        <f ca="1">IF(G$9="","",IF(NOT(ISNUMBER(_xll.ciqfunctions.udf.CIQ($D$4,$B71, G$9, $H$4, $E$4, , $F$4, $G$4))),"",_xll.ciqfunctions.udf.CIQ($D$4,$B71, G$9, $H$4, $E$4, , $F$4, $G$4)))</f>
        <v>0</v>
      </c>
      <c r="H71" s="178">
        <f ca="1">IF(H$9="","",IF(NOT(ISNUMBER(_xll.ciqfunctions.udf.CIQ($D$4,$B71, H$9, $H$4, $E$4, , $F$4, $G$4))),"",_xll.ciqfunctions.udf.CIQ($D$4,$B71, H$9, $H$4, $E$4, , $F$4, $G$4)))</f>
        <v>0</v>
      </c>
      <c r="I71" s="178">
        <f ca="1">IF(I$9="","",IF(NOT(ISNUMBER(_xll.ciqfunctions.udf.CIQ($D$4,$B71, I$9, $H$4, $E$4, , $F$4, $G$4))),"",_xll.ciqfunctions.udf.CIQ($D$4,$B71, I$9, $H$4, $E$4, , $F$4, $G$4)))</f>
        <v>0</v>
      </c>
      <c r="J71" s="178">
        <f ca="1">IF(J$9="","",IF(NOT(ISNUMBER(_xll.ciqfunctions.udf.CIQ($D$4,$B71, J$9, $H$4, $E$4, , $F$4, $G$4))),"",_xll.ciqfunctions.udf.CIQ($D$4,$B71, J$9, $H$4, $E$4, , $F$4, $G$4)))</f>
        <v>0</v>
      </c>
      <c r="K71" s="178">
        <f ca="1">IF(K$9="","",IF(NOT(ISNUMBER(_xll.ciqfunctions.udf.CIQ($D$4,$B71, K$9, $H$4, $E$4, , $F$4, $G$4))),"",_xll.ciqfunctions.udf.CIQ($D$4,$B71, K$9, $H$4, $E$4, , $F$4, $G$4)))</f>
        <v>0</v>
      </c>
      <c r="L71" s="178">
        <f ca="1">IF(L$9="","",IF(NOT(ISNUMBER(_xll.ciqfunctions.udf.CIQ($D$4,$B71, L$9, $H$4, $E$4, , $F$4, $G$4))),"",_xll.ciqfunctions.udf.CIQ($D$4,$B71, L$9, $H$4, $E$4, , $F$4, $G$4)))</f>
        <v>0</v>
      </c>
      <c r="M71" s="178" t="str">
        <f>IF(M$9="","",IF(NOT(ISNUMBER(_xll.ciqfunctions.udf.CIQ($D$4,$B71, M$9, $H$4, $E$4, , $F$4, $G$4))),"",_xll.ciqfunctions.udf.CIQ($D$4,$B71, M$9, $H$4, $E$4, , $F$4, $G$4)))</f>
        <v/>
      </c>
      <c r="N71" s="178" t="str">
        <f>IF(N$9="","",IF(NOT(ISNUMBER(_xll.ciqfunctions.udf.CIQ($D$4,$B71, N$9, $H$4, $E$4, , $F$4, $G$4))),"",_xll.ciqfunctions.udf.CIQ($D$4,$B71, N$9, $H$4, $E$4, , $F$4, $G$4)))</f>
        <v/>
      </c>
      <c r="O71" s="178" t="str">
        <f>IF(O$9="","",IF(NOT(ISNUMBER(_xll.ciqfunctions.udf.CIQ($D$4,$B71, O$9, $H$4, $E$4, , $F$4, $G$4))),"",_xll.ciqfunctions.udf.CIQ($D$4,$B71, O$9, $H$4, $E$4, , $F$4, $G$4)))</f>
        <v/>
      </c>
      <c r="P71" s="178" t="str">
        <f>IF(P$9="","",IF(NOT(ISNUMBER(_xll.ciqfunctions.udf.CIQ($D$4,$B71, P$9, $H$4, $E$4, , $F$4, $G$4))),"",_xll.ciqfunctions.udf.CIQ($D$4,$B71, P$9, $H$4, $E$4, , $F$4, $G$4)))</f>
        <v/>
      </c>
      <c r="Q71" s="178" t="str">
        <f>IF(Q$9="","",IF(NOT(ISNUMBER(_xll.ciqfunctions.udf.CIQ($D$4,$B71, Q$9, $H$4, $E$4, , $F$4, $G$4))),"",_xll.ciqfunctions.udf.CIQ($D$4,$B71, Q$9, $H$4, $E$4, , $F$4, $G$4)))</f>
        <v/>
      </c>
      <c r="R71" s="178" t="str">
        <f>IF(R$9="","",IF(NOT(ISNUMBER(_xll.ciqfunctions.udf.CIQ($D$4,$B71, R$9, $H$4, $E$4, , $F$4, $G$4))),"",_xll.ciqfunctions.udf.CIQ($D$4,$B71, R$9, $H$4, $E$4, , $F$4, $G$4)))</f>
        <v/>
      </c>
      <c r="S71" s="178" t="str">
        <f>IF(S$9="","",IF(NOT(ISNUMBER(_xll.ciqfunctions.udf.CIQ($D$4,$B71, S$9, $H$4, $E$4, , $F$4, $G$4))),"",_xll.ciqfunctions.udf.CIQ($D$4,$B71, S$9, $H$4, $E$4, , $F$4, $G$4)))</f>
        <v/>
      </c>
      <c r="T71" s="178" t="str">
        <f>IF(T$9="","",IF(NOT(ISNUMBER(_xll.ciqfunctions.udf.CIQ($D$4,$B71, T$9, $H$4, $E$4, , $F$4, $G$4))),"",_xll.ciqfunctions.udf.CIQ($D$4,$B71, T$9, $H$4, $E$4, , $F$4, $G$4)))</f>
        <v/>
      </c>
      <c r="U71" s="178" t="str">
        <f>IF(U$9="","",IF(NOT(ISNUMBER(_xll.ciqfunctions.udf.CIQ($D$4,$B71, U$9, $H$4, $E$4, , $F$4, $G$4))),"",_xll.ciqfunctions.udf.CIQ($D$4,$B71, U$9, $H$4, $E$4, , $F$4, $G$4)))</f>
        <v/>
      </c>
      <c r="V71" s="178" t="str">
        <f>IF(V$9="","",IF(NOT(ISNUMBER(_xll.ciqfunctions.udf.CIQ($D$4,$B71, V$9, $H$4, $E$4, , $F$4, $G$4))),"",_xll.ciqfunctions.udf.CIQ($D$4,$B71, V$9, $H$4, $E$4, , $F$4, $G$4)))</f>
        <v/>
      </c>
      <c r="W71" s="178" t="str">
        <f>IF(W$9="","",IF(NOT(ISNUMBER(_xll.ciqfunctions.udf.CIQ($D$4,$B71, W$9, $H$4, $E$4, , $F$4, $G$4))),"",_xll.ciqfunctions.udf.CIQ($D$4,$B71, W$9, $H$4, $E$4, , $F$4, $G$4)))</f>
        <v/>
      </c>
    </row>
    <row r="72" spans="1:23" ht="15" customHeight="1" x14ac:dyDescent="0.2">
      <c r="A72" s="25" t="s">
        <v>252</v>
      </c>
      <c r="B72" s="25" t="s">
        <v>400</v>
      </c>
      <c r="C72" s="178">
        <f ca="1">IF(C$9="","",IF(NOT(ISNUMBER(_xll.ciqfunctions.udf.CIQ($D$4,$B72, C$9, $H$4, $E$4, , $F$4, $G$4))),"",_xll.ciqfunctions.udf.CIQ($D$4,$B72, C$9, $H$4, $E$4, , $F$4, $G$4)))</f>
        <v>0</v>
      </c>
      <c r="D72" s="178">
        <f ca="1">IF(D$9="","",IF(NOT(ISNUMBER(_xll.ciqfunctions.udf.CIQ($D$4,$B72, D$9, $H$4, $E$4, , $F$4, $G$4))),"",_xll.ciqfunctions.udf.CIQ($D$4,$B72, D$9, $H$4, $E$4, , $F$4, $G$4)))</f>
        <v>0</v>
      </c>
      <c r="E72" s="178">
        <f ca="1">IF(E$9="","",IF(NOT(ISNUMBER(_xll.ciqfunctions.udf.CIQ($D$4,$B72, E$9, $H$4, $E$4, , $F$4, $G$4))),"",_xll.ciqfunctions.udf.CIQ($D$4,$B72, E$9, $H$4, $E$4, , $F$4, $G$4)))</f>
        <v>0</v>
      </c>
      <c r="F72" s="178">
        <f ca="1">IF(F$9="","",IF(NOT(ISNUMBER(_xll.ciqfunctions.udf.CIQ($D$4,$B72, F$9, $H$4, $E$4, , $F$4, $G$4))),"",_xll.ciqfunctions.udf.CIQ($D$4,$B72, F$9, $H$4, $E$4, , $F$4, $G$4)))</f>
        <v>0</v>
      </c>
      <c r="G72" s="178">
        <f ca="1">IF(G$9="","",IF(NOT(ISNUMBER(_xll.ciqfunctions.udf.CIQ($D$4,$B72, G$9, $H$4, $E$4, , $F$4, $G$4))),"",_xll.ciqfunctions.udf.CIQ($D$4,$B72, G$9, $H$4, $E$4, , $F$4, $G$4)))</f>
        <v>0</v>
      </c>
      <c r="H72" s="178">
        <f ca="1">IF(H$9="","",IF(NOT(ISNUMBER(_xll.ciqfunctions.udf.CIQ($D$4,$B72, H$9, $H$4, $E$4, , $F$4, $G$4))),"",_xll.ciqfunctions.udf.CIQ($D$4,$B72, H$9, $H$4, $E$4, , $F$4, $G$4)))</f>
        <v>0</v>
      </c>
      <c r="I72" s="178">
        <f ca="1">IF(I$9="","",IF(NOT(ISNUMBER(_xll.ciqfunctions.udf.CIQ($D$4,$B72, I$9, $H$4, $E$4, , $F$4, $G$4))),"",_xll.ciqfunctions.udf.CIQ($D$4,$B72, I$9, $H$4, $E$4, , $F$4, $G$4)))</f>
        <v>0</v>
      </c>
      <c r="J72" s="178">
        <f ca="1">IF(J$9="","",IF(NOT(ISNUMBER(_xll.ciqfunctions.udf.CIQ($D$4,$B72, J$9, $H$4, $E$4, , $F$4, $G$4))),"",_xll.ciqfunctions.udf.CIQ($D$4,$B72, J$9, $H$4, $E$4, , $F$4, $G$4)))</f>
        <v>0</v>
      </c>
      <c r="K72" s="178">
        <f ca="1">IF(K$9="","",IF(NOT(ISNUMBER(_xll.ciqfunctions.udf.CIQ($D$4,$B72, K$9, $H$4, $E$4, , $F$4, $G$4))),"",_xll.ciqfunctions.udf.CIQ($D$4,$B72, K$9, $H$4, $E$4, , $F$4, $G$4)))</f>
        <v>0</v>
      </c>
      <c r="L72" s="178">
        <f ca="1">IF(L$9="","",IF(NOT(ISNUMBER(_xll.ciqfunctions.udf.CIQ($D$4,$B72, L$9, $H$4, $E$4, , $F$4, $G$4))),"",_xll.ciqfunctions.udf.CIQ($D$4,$B72, L$9, $H$4, $E$4, , $F$4, $G$4)))</f>
        <v>0</v>
      </c>
      <c r="M72" s="178" t="str">
        <f>IF(M$9="","",IF(NOT(ISNUMBER(_xll.ciqfunctions.udf.CIQ($D$4,$B72, M$9, $H$4, $E$4, , $F$4, $G$4))),"",_xll.ciqfunctions.udf.CIQ($D$4,$B72, M$9, $H$4, $E$4, , $F$4, $G$4)))</f>
        <v/>
      </c>
      <c r="N72" s="178" t="str">
        <f>IF(N$9="","",IF(NOT(ISNUMBER(_xll.ciqfunctions.udf.CIQ($D$4,$B72, N$9, $H$4, $E$4, , $F$4, $G$4))),"",_xll.ciqfunctions.udf.CIQ($D$4,$B72, N$9, $H$4, $E$4, , $F$4, $G$4)))</f>
        <v/>
      </c>
      <c r="O72" s="178" t="str">
        <f>IF(O$9="","",IF(NOT(ISNUMBER(_xll.ciqfunctions.udf.CIQ($D$4,$B72, O$9, $H$4, $E$4, , $F$4, $G$4))),"",_xll.ciqfunctions.udf.CIQ($D$4,$B72, O$9, $H$4, $E$4, , $F$4, $G$4)))</f>
        <v/>
      </c>
      <c r="P72" s="178" t="str">
        <f>IF(P$9="","",IF(NOT(ISNUMBER(_xll.ciqfunctions.udf.CIQ($D$4,$B72, P$9, $H$4, $E$4, , $F$4, $G$4))),"",_xll.ciqfunctions.udf.CIQ($D$4,$B72, P$9, $H$4, $E$4, , $F$4, $G$4)))</f>
        <v/>
      </c>
      <c r="Q72" s="178" t="str">
        <f>IF(Q$9="","",IF(NOT(ISNUMBER(_xll.ciqfunctions.udf.CIQ($D$4,$B72, Q$9, $H$4, $E$4, , $F$4, $G$4))),"",_xll.ciqfunctions.udf.CIQ($D$4,$B72, Q$9, $H$4, $E$4, , $F$4, $G$4)))</f>
        <v/>
      </c>
      <c r="R72" s="178" t="str">
        <f>IF(R$9="","",IF(NOT(ISNUMBER(_xll.ciqfunctions.udf.CIQ($D$4,$B72, R$9, $H$4, $E$4, , $F$4, $G$4))),"",_xll.ciqfunctions.udf.CIQ($D$4,$B72, R$9, $H$4, $E$4, , $F$4, $G$4)))</f>
        <v/>
      </c>
      <c r="S72" s="178" t="str">
        <f>IF(S$9="","",IF(NOT(ISNUMBER(_xll.ciqfunctions.udf.CIQ($D$4,$B72, S$9, $H$4, $E$4, , $F$4, $G$4))),"",_xll.ciqfunctions.udf.CIQ($D$4,$B72, S$9, $H$4, $E$4, , $F$4, $G$4)))</f>
        <v/>
      </c>
      <c r="T72" s="178" t="str">
        <f>IF(T$9="","",IF(NOT(ISNUMBER(_xll.ciqfunctions.udf.CIQ($D$4,$B72, T$9, $H$4, $E$4, , $F$4, $G$4))),"",_xll.ciqfunctions.udf.CIQ($D$4,$B72, T$9, $H$4, $E$4, , $F$4, $G$4)))</f>
        <v/>
      </c>
      <c r="U72" s="178" t="str">
        <f>IF(U$9="","",IF(NOT(ISNUMBER(_xll.ciqfunctions.udf.CIQ($D$4,$B72, U$9, $H$4, $E$4, , $F$4, $G$4))),"",_xll.ciqfunctions.udf.CIQ($D$4,$B72, U$9, $H$4, $E$4, , $F$4, $G$4)))</f>
        <v/>
      </c>
      <c r="V72" s="178" t="str">
        <f>IF(V$9="","",IF(NOT(ISNUMBER(_xll.ciqfunctions.udf.CIQ($D$4,$B72, V$9, $H$4, $E$4, , $F$4, $G$4))),"",_xll.ciqfunctions.udf.CIQ($D$4,$B72, V$9, $H$4, $E$4, , $F$4, $G$4)))</f>
        <v/>
      </c>
      <c r="W72" s="178" t="str">
        <f>IF(W$9="","",IF(NOT(ISNUMBER(_xll.ciqfunctions.udf.CIQ($D$4,$B72, W$9, $H$4, $E$4, , $F$4, $G$4))),"",_xll.ciqfunctions.udf.CIQ($D$4,$B72, W$9, $H$4, $E$4, , $F$4, $G$4)))</f>
        <v/>
      </c>
    </row>
    <row r="73" spans="1:23" ht="15" customHeight="1" x14ac:dyDescent="0.2">
      <c r="A73" s="25" t="s">
        <v>253</v>
      </c>
      <c r="B73" s="25" t="s">
        <v>401</v>
      </c>
      <c r="C73" s="178">
        <f ca="1">IF(C$9="","",IF(NOT(ISNUMBER(_xll.ciqfunctions.udf.CIQ($D$4,$B73, C$9, $H$4, $E$4, , $F$4, $G$4))),"",_xll.ciqfunctions.udf.CIQ($D$4,$B73, C$9, $H$4, $E$4, , $F$4, $G$4)))</f>
        <v>0</v>
      </c>
      <c r="D73" s="178">
        <f ca="1">IF(D$9="","",IF(NOT(ISNUMBER(_xll.ciqfunctions.udf.CIQ($D$4,$B73, D$9, $H$4, $E$4, , $F$4, $G$4))),"",_xll.ciqfunctions.udf.CIQ($D$4,$B73, D$9, $H$4, $E$4, , $F$4, $G$4)))</f>
        <v>0</v>
      </c>
      <c r="E73" s="178">
        <f ca="1">IF(E$9="","",IF(NOT(ISNUMBER(_xll.ciqfunctions.udf.CIQ($D$4,$B73, E$9, $H$4, $E$4, , $F$4, $G$4))),"",_xll.ciqfunctions.udf.CIQ($D$4,$B73, E$9, $H$4, $E$4, , $F$4, $G$4)))</f>
        <v>0</v>
      </c>
      <c r="F73" s="178">
        <f ca="1">IF(F$9="","",IF(NOT(ISNUMBER(_xll.ciqfunctions.udf.CIQ($D$4,$B73, F$9, $H$4, $E$4, , $F$4, $G$4))),"",_xll.ciqfunctions.udf.CIQ($D$4,$B73, F$9, $H$4, $E$4, , $F$4, $G$4)))</f>
        <v>0</v>
      </c>
      <c r="G73" s="178">
        <f ca="1">IF(G$9="","",IF(NOT(ISNUMBER(_xll.ciqfunctions.udf.CIQ($D$4,$B73, G$9, $H$4, $E$4, , $F$4, $G$4))),"",_xll.ciqfunctions.udf.CIQ($D$4,$B73, G$9, $H$4, $E$4, , $F$4, $G$4)))</f>
        <v>0</v>
      </c>
      <c r="H73" s="178">
        <f ca="1">IF(H$9="","",IF(NOT(ISNUMBER(_xll.ciqfunctions.udf.CIQ($D$4,$B73, H$9, $H$4, $E$4, , $F$4, $G$4))),"",_xll.ciqfunctions.udf.CIQ($D$4,$B73, H$9, $H$4, $E$4, , $F$4, $G$4)))</f>
        <v>0</v>
      </c>
      <c r="I73" s="178">
        <f ca="1">IF(I$9="","",IF(NOT(ISNUMBER(_xll.ciqfunctions.udf.CIQ($D$4,$B73, I$9, $H$4, $E$4, , $F$4, $G$4))),"",_xll.ciqfunctions.udf.CIQ($D$4,$B73, I$9, $H$4, $E$4, , $F$4, $G$4)))</f>
        <v>0</v>
      </c>
      <c r="J73" s="178">
        <f ca="1">IF(J$9="","",IF(NOT(ISNUMBER(_xll.ciqfunctions.udf.CIQ($D$4,$B73, J$9, $H$4, $E$4, , $F$4, $G$4))),"",_xll.ciqfunctions.udf.CIQ($D$4,$B73, J$9, $H$4, $E$4, , $F$4, $G$4)))</f>
        <v>0</v>
      </c>
      <c r="K73" s="178">
        <f ca="1">IF(K$9="","",IF(NOT(ISNUMBER(_xll.ciqfunctions.udf.CIQ($D$4,$B73, K$9, $H$4, $E$4, , $F$4, $G$4))),"",_xll.ciqfunctions.udf.CIQ($D$4,$B73, K$9, $H$4, $E$4, , $F$4, $G$4)))</f>
        <v>0</v>
      </c>
      <c r="L73" s="178">
        <f ca="1">IF(L$9="","",IF(NOT(ISNUMBER(_xll.ciqfunctions.udf.CIQ($D$4,$B73, L$9, $H$4, $E$4, , $F$4, $G$4))),"",_xll.ciqfunctions.udf.CIQ($D$4,$B73, L$9, $H$4, $E$4, , $F$4, $G$4)))</f>
        <v>0</v>
      </c>
      <c r="M73" s="178" t="str">
        <f>IF(M$9="","",IF(NOT(ISNUMBER(_xll.ciqfunctions.udf.CIQ($D$4,$B73, M$9, $H$4, $E$4, , $F$4, $G$4))),"",_xll.ciqfunctions.udf.CIQ($D$4,$B73, M$9, $H$4, $E$4, , $F$4, $G$4)))</f>
        <v/>
      </c>
      <c r="N73" s="178" t="str">
        <f>IF(N$9="","",IF(NOT(ISNUMBER(_xll.ciqfunctions.udf.CIQ($D$4,$B73, N$9, $H$4, $E$4, , $F$4, $G$4))),"",_xll.ciqfunctions.udf.CIQ($D$4,$B73, N$9, $H$4, $E$4, , $F$4, $G$4)))</f>
        <v/>
      </c>
      <c r="O73" s="178" t="str">
        <f>IF(O$9="","",IF(NOT(ISNUMBER(_xll.ciqfunctions.udf.CIQ($D$4,$B73, O$9, $H$4, $E$4, , $F$4, $G$4))),"",_xll.ciqfunctions.udf.CIQ($D$4,$B73, O$9, $H$4, $E$4, , $F$4, $G$4)))</f>
        <v/>
      </c>
      <c r="P73" s="178" t="str">
        <f>IF(P$9="","",IF(NOT(ISNUMBER(_xll.ciqfunctions.udf.CIQ($D$4,$B73, P$9, $H$4, $E$4, , $F$4, $G$4))),"",_xll.ciqfunctions.udf.CIQ($D$4,$B73, P$9, $H$4, $E$4, , $F$4, $G$4)))</f>
        <v/>
      </c>
      <c r="Q73" s="178" t="str">
        <f>IF(Q$9="","",IF(NOT(ISNUMBER(_xll.ciqfunctions.udf.CIQ($D$4,$B73, Q$9, $H$4, $E$4, , $F$4, $G$4))),"",_xll.ciqfunctions.udf.CIQ($D$4,$B73, Q$9, $H$4, $E$4, , $F$4, $G$4)))</f>
        <v/>
      </c>
      <c r="R73" s="178" t="str">
        <f>IF(R$9="","",IF(NOT(ISNUMBER(_xll.ciqfunctions.udf.CIQ($D$4,$B73, R$9, $H$4, $E$4, , $F$4, $G$4))),"",_xll.ciqfunctions.udf.CIQ($D$4,$B73, R$9, $H$4, $E$4, , $F$4, $G$4)))</f>
        <v/>
      </c>
      <c r="S73" s="178" t="str">
        <f>IF(S$9="","",IF(NOT(ISNUMBER(_xll.ciqfunctions.udf.CIQ($D$4,$B73, S$9, $H$4, $E$4, , $F$4, $G$4))),"",_xll.ciqfunctions.udf.CIQ($D$4,$B73, S$9, $H$4, $E$4, , $F$4, $G$4)))</f>
        <v/>
      </c>
      <c r="T73" s="178" t="str">
        <f>IF(T$9="","",IF(NOT(ISNUMBER(_xll.ciqfunctions.udf.CIQ($D$4,$B73, T$9, $H$4, $E$4, , $F$4, $G$4))),"",_xll.ciqfunctions.udf.CIQ($D$4,$B73, T$9, $H$4, $E$4, , $F$4, $G$4)))</f>
        <v/>
      </c>
      <c r="U73" s="178" t="str">
        <f>IF(U$9="","",IF(NOT(ISNUMBER(_xll.ciqfunctions.udf.CIQ($D$4,$B73, U$9, $H$4, $E$4, , $F$4, $G$4))),"",_xll.ciqfunctions.udf.CIQ($D$4,$B73, U$9, $H$4, $E$4, , $F$4, $G$4)))</f>
        <v/>
      </c>
      <c r="V73" s="178" t="str">
        <f>IF(V$9="","",IF(NOT(ISNUMBER(_xll.ciqfunctions.udf.CIQ($D$4,$B73, V$9, $H$4, $E$4, , $F$4, $G$4))),"",_xll.ciqfunctions.udf.CIQ($D$4,$B73, V$9, $H$4, $E$4, , $F$4, $G$4)))</f>
        <v/>
      </c>
      <c r="W73" s="178" t="str">
        <f>IF(W$9="","",IF(NOT(ISNUMBER(_xll.ciqfunctions.udf.CIQ($D$4,$B73, W$9, $H$4, $E$4, , $F$4, $G$4))),"",_xll.ciqfunctions.udf.CIQ($D$4,$B73, W$9, $H$4, $E$4, , $F$4, $G$4)))</f>
        <v/>
      </c>
    </row>
    <row r="74" spans="1:23" ht="15" customHeight="1" x14ac:dyDescent="0.2">
      <c r="A74" s="25" t="s">
        <v>254</v>
      </c>
      <c r="B74" s="25" t="s">
        <v>402</v>
      </c>
      <c r="C74" s="178">
        <f ca="1">IF(C$9="","",IF(NOT(ISNUMBER(_xll.ciqfunctions.udf.CIQ($D$4,$B74, C$9, $H$4, $E$4, , $F$4, $G$4))),"",_xll.ciqfunctions.udf.CIQ($D$4,$B74, C$9, $H$4, $E$4, , $F$4, $G$4)))</f>
        <v>0</v>
      </c>
      <c r="D74" s="178">
        <f ca="1">IF(D$9="","",IF(NOT(ISNUMBER(_xll.ciqfunctions.udf.CIQ($D$4,$B74, D$9, $H$4, $E$4, , $F$4, $G$4))),"",_xll.ciqfunctions.udf.CIQ($D$4,$B74, D$9, $H$4, $E$4, , $F$4, $G$4)))</f>
        <v>0</v>
      </c>
      <c r="E74" s="178">
        <f ca="1">IF(E$9="","",IF(NOT(ISNUMBER(_xll.ciqfunctions.udf.CIQ($D$4,$B74, E$9, $H$4, $E$4, , $F$4, $G$4))),"",_xll.ciqfunctions.udf.CIQ($D$4,$B74, E$9, $H$4, $E$4, , $F$4, $G$4)))</f>
        <v>0</v>
      </c>
      <c r="F74" s="178">
        <f ca="1">IF(F$9="","",IF(NOT(ISNUMBER(_xll.ciqfunctions.udf.CIQ($D$4,$B74, F$9, $H$4, $E$4, , $F$4, $G$4))),"",_xll.ciqfunctions.udf.CIQ($D$4,$B74, F$9, $H$4, $E$4, , $F$4, $G$4)))</f>
        <v>0</v>
      </c>
      <c r="G74" s="178">
        <f ca="1">IF(G$9="","",IF(NOT(ISNUMBER(_xll.ciqfunctions.udf.CIQ($D$4,$B74, G$9, $H$4, $E$4, , $F$4, $G$4))),"",_xll.ciqfunctions.udf.CIQ($D$4,$B74, G$9, $H$4, $E$4, , $F$4, $G$4)))</f>
        <v>0</v>
      </c>
      <c r="H74" s="178">
        <f ca="1">IF(H$9="","",IF(NOT(ISNUMBER(_xll.ciqfunctions.udf.CIQ($D$4,$B74, H$9, $H$4, $E$4, , $F$4, $G$4))),"",_xll.ciqfunctions.udf.CIQ($D$4,$B74, H$9, $H$4, $E$4, , $F$4, $G$4)))</f>
        <v>0</v>
      </c>
      <c r="I74" s="178">
        <f ca="1">IF(I$9="","",IF(NOT(ISNUMBER(_xll.ciqfunctions.udf.CIQ($D$4,$B74, I$9, $H$4, $E$4, , $F$4, $G$4))),"",_xll.ciqfunctions.udf.CIQ($D$4,$B74, I$9, $H$4, $E$4, , $F$4, $G$4)))</f>
        <v>0</v>
      </c>
      <c r="J74" s="178">
        <f ca="1">IF(J$9="","",IF(NOT(ISNUMBER(_xll.ciqfunctions.udf.CIQ($D$4,$B74, J$9, $H$4, $E$4, , $F$4, $G$4))),"",_xll.ciqfunctions.udf.CIQ($D$4,$B74, J$9, $H$4, $E$4, , $F$4, $G$4)))</f>
        <v>0</v>
      </c>
      <c r="K74" s="178">
        <f ca="1">IF(K$9="","",IF(NOT(ISNUMBER(_xll.ciqfunctions.udf.CIQ($D$4,$B74, K$9, $H$4, $E$4, , $F$4, $G$4))),"",_xll.ciqfunctions.udf.CIQ($D$4,$B74, K$9, $H$4, $E$4, , $F$4, $G$4)))</f>
        <v>0</v>
      </c>
      <c r="L74" s="178">
        <f ca="1">IF(L$9="","",IF(NOT(ISNUMBER(_xll.ciqfunctions.udf.CIQ($D$4,$B74, L$9, $H$4, $E$4, , $F$4, $G$4))),"",_xll.ciqfunctions.udf.CIQ($D$4,$B74, L$9, $H$4, $E$4, , $F$4, $G$4)))</f>
        <v>0</v>
      </c>
      <c r="M74" s="178" t="str">
        <f>IF(M$9="","",IF(NOT(ISNUMBER(_xll.ciqfunctions.udf.CIQ($D$4,$B74, M$9, $H$4, $E$4, , $F$4, $G$4))),"",_xll.ciqfunctions.udf.CIQ($D$4,$B74, M$9, $H$4, $E$4, , $F$4, $G$4)))</f>
        <v/>
      </c>
      <c r="N74" s="178" t="str">
        <f>IF(N$9="","",IF(NOT(ISNUMBER(_xll.ciqfunctions.udf.CIQ($D$4,$B74, N$9, $H$4, $E$4, , $F$4, $G$4))),"",_xll.ciqfunctions.udf.CIQ($D$4,$B74, N$9, $H$4, $E$4, , $F$4, $G$4)))</f>
        <v/>
      </c>
      <c r="O74" s="178" t="str">
        <f>IF(O$9="","",IF(NOT(ISNUMBER(_xll.ciqfunctions.udf.CIQ($D$4,$B74, O$9, $H$4, $E$4, , $F$4, $G$4))),"",_xll.ciqfunctions.udf.CIQ($D$4,$B74, O$9, $H$4, $E$4, , $F$4, $G$4)))</f>
        <v/>
      </c>
      <c r="P74" s="178" t="str">
        <f>IF(P$9="","",IF(NOT(ISNUMBER(_xll.ciqfunctions.udf.CIQ($D$4,$B74, P$9, $H$4, $E$4, , $F$4, $G$4))),"",_xll.ciqfunctions.udf.CIQ($D$4,$B74, P$9, $H$4, $E$4, , $F$4, $G$4)))</f>
        <v/>
      </c>
      <c r="Q74" s="178" t="str">
        <f>IF(Q$9="","",IF(NOT(ISNUMBER(_xll.ciqfunctions.udf.CIQ($D$4,$B74, Q$9, $H$4, $E$4, , $F$4, $G$4))),"",_xll.ciqfunctions.udf.CIQ($D$4,$B74, Q$9, $H$4, $E$4, , $F$4, $G$4)))</f>
        <v/>
      </c>
      <c r="R74" s="178" t="str">
        <f>IF(R$9="","",IF(NOT(ISNUMBER(_xll.ciqfunctions.udf.CIQ($D$4,$B74, R$9, $H$4, $E$4, , $F$4, $G$4))),"",_xll.ciqfunctions.udf.CIQ($D$4,$B74, R$9, $H$4, $E$4, , $F$4, $G$4)))</f>
        <v/>
      </c>
      <c r="S74" s="178" t="str">
        <f>IF(S$9="","",IF(NOT(ISNUMBER(_xll.ciqfunctions.udf.CIQ($D$4,$B74, S$9, $H$4, $E$4, , $F$4, $G$4))),"",_xll.ciqfunctions.udf.CIQ($D$4,$B74, S$9, $H$4, $E$4, , $F$4, $G$4)))</f>
        <v/>
      </c>
      <c r="T74" s="178" t="str">
        <f>IF(T$9="","",IF(NOT(ISNUMBER(_xll.ciqfunctions.udf.CIQ($D$4,$B74, T$9, $H$4, $E$4, , $F$4, $G$4))),"",_xll.ciqfunctions.udf.CIQ($D$4,$B74, T$9, $H$4, $E$4, , $F$4, $G$4)))</f>
        <v/>
      </c>
      <c r="U74" s="178" t="str">
        <f>IF(U$9="","",IF(NOT(ISNUMBER(_xll.ciqfunctions.udf.CIQ($D$4,$B74, U$9, $H$4, $E$4, , $F$4, $G$4))),"",_xll.ciqfunctions.udf.CIQ($D$4,$B74, U$9, $H$4, $E$4, , $F$4, $G$4)))</f>
        <v/>
      </c>
      <c r="V74" s="178" t="str">
        <f>IF(V$9="","",IF(NOT(ISNUMBER(_xll.ciqfunctions.udf.CIQ($D$4,$B74, V$9, $H$4, $E$4, , $F$4, $G$4))),"",_xll.ciqfunctions.udf.CIQ($D$4,$B74, V$9, $H$4, $E$4, , $F$4, $G$4)))</f>
        <v/>
      </c>
      <c r="W74" s="178" t="str">
        <f>IF(W$9="","",IF(NOT(ISNUMBER(_xll.ciqfunctions.udf.CIQ($D$4,$B74, W$9, $H$4, $E$4, , $F$4, $G$4))),"",_xll.ciqfunctions.udf.CIQ($D$4,$B74, W$9, $H$4, $E$4, , $F$4, $G$4)))</f>
        <v/>
      </c>
    </row>
    <row r="75" spans="1:23" ht="15" customHeight="1" x14ac:dyDescent="0.2">
      <c r="A75" s="27"/>
      <c r="B75" s="27"/>
    </row>
    <row r="76" spans="1:23" s="48" customFormat="1" ht="15" customHeight="1" x14ac:dyDescent="0.2">
      <c r="A76" s="50" t="s">
        <v>981</v>
      </c>
      <c r="B76" s="50" t="s">
        <v>982</v>
      </c>
      <c r="C76" s="685">
        <f ca="1">IF(C$9="","",IF(NOT(ISNUMBER(_xll.ciqfunctions.udf.CIQ($D$4,$B76, C$9, $H$4, $E$4, , $F$4, $G$4))),"",_xll.ciqfunctions.udf.CIQ($D$4,$B76, C$9, $H$4, $E$4, , $F$4, $G$4)))</f>
        <v>5.0199999999999996</v>
      </c>
      <c r="D76" s="685">
        <f ca="1">IF(D$9="","",IF(NOT(ISNUMBER(_xll.ciqfunctions.udf.CIQ($D$4,$B76, D$9, $H$4, $E$4, , $F$4, $G$4))),"",_xll.ciqfunctions.udf.CIQ($D$4,$B76, D$9, $H$4, $E$4, , $F$4, $G$4)))</f>
        <v>4.88</v>
      </c>
      <c r="E76" s="685">
        <f ca="1">IF(E$9="","",IF(NOT(ISNUMBER(_xll.ciqfunctions.udf.CIQ($D$4,$B76, E$9, $H$4, $E$4, , $F$4, $G$4))),"",_xll.ciqfunctions.udf.CIQ($D$4,$B76, E$9, $H$4, $E$4, , $F$4, $G$4)))</f>
        <v>5.05</v>
      </c>
      <c r="F76" s="685">
        <f ca="1">IF(F$9="","",IF(NOT(ISNUMBER(_xll.ciqfunctions.udf.CIQ($D$4,$B76, F$9, $H$4, $E$4, , $F$4, $G$4))),"",_xll.ciqfunctions.udf.CIQ($D$4,$B76, F$9, $H$4, $E$4, , $F$4, $G$4)))</f>
        <v>4.57</v>
      </c>
      <c r="G76" s="685">
        <f ca="1">IF(G$9="","",IF(NOT(ISNUMBER(_xll.ciqfunctions.udf.CIQ($D$4,$B76, G$9, $H$4, $E$4, , $F$4, $G$4))),"",_xll.ciqfunctions.udf.CIQ($D$4,$B76, G$9, $H$4, $E$4, , $F$4, $G$4)))</f>
        <v>4.38</v>
      </c>
      <c r="H76" s="685">
        <f ca="1">IF(H$9="","",IF(NOT(ISNUMBER(_xll.ciqfunctions.udf.CIQ($D$4,$B76, H$9, $H$4, $E$4, , $F$4, $G$4))),"",_xll.ciqfunctions.udf.CIQ($D$4,$B76, H$9, $H$4, $E$4, , $F$4, $G$4)))</f>
        <v>3.28</v>
      </c>
      <c r="I76" s="685">
        <f ca="1">IF(I$9="","",IF(NOT(ISNUMBER(_xll.ciqfunctions.udf.CIQ($D$4,$B76, I$9, $H$4, $E$4, , $F$4, $G$4))),"",_xll.ciqfunctions.udf.CIQ($D$4,$B76, I$9, $H$4, $E$4, , $F$4, $G$4)))</f>
        <v>2.2599999999999998</v>
      </c>
      <c r="J76" s="685">
        <f ca="1">IF(J$9="","",IF(NOT(ISNUMBER(_xll.ciqfunctions.udf.CIQ($D$4,$B76, J$9, $H$4, $E$4, , $F$4, $G$4))),"",_xll.ciqfunctions.udf.CIQ($D$4,$B76, J$9, $H$4, $E$4, , $F$4, $G$4)))</f>
        <v>5.19</v>
      </c>
      <c r="K76" s="685">
        <f ca="1">IF(K$9="","",IF(NOT(ISNUMBER(_xll.ciqfunctions.udf.CIQ($D$4,$B76, K$9, $H$4, $E$4, , $F$4, $G$4))),"",_xll.ciqfunctions.udf.CIQ($D$4,$B76, K$9, $H$4, $E$4, , $F$4, $G$4)))</f>
        <v>4.75</v>
      </c>
      <c r="L76" s="685">
        <f ca="1">IF(L$9="","",IF(NOT(ISNUMBER(_xll.ciqfunctions.udf.CIQ($D$4,$B76, L$9, $H$4, $E$4, , $F$4, $G$4))),"",_xll.ciqfunctions.udf.CIQ($D$4,$B76, L$9, $H$4, $E$4, , $F$4, $G$4)))</f>
        <v>4.87</v>
      </c>
      <c r="M76" s="685" t="str">
        <f>IF(M$9="","",IF(NOT(ISNUMBER(_xll.ciqfunctions.udf.CIQ($D$4,$B76, M$9, $H$4, $E$4, , $F$4, $G$4))),"",_xll.ciqfunctions.udf.CIQ($D$4,$B76, M$9, $H$4, $E$4, , $F$4, $G$4)))</f>
        <v/>
      </c>
      <c r="N76" s="685" t="str">
        <f>IF(N$9="","",IF(NOT(ISNUMBER(_xll.ciqfunctions.udf.CIQ($D$4,$B76, N$9, $H$4, $E$4, , $F$4, $G$4))),"",_xll.ciqfunctions.udf.CIQ($D$4,$B76, N$9, $H$4, $E$4, , $F$4, $G$4)))</f>
        <v/>
      </c>
      <c r="O76" s="685" t="str">
        <f>IF(O$9="","",IF(NOT(ISNUMBER(_xll.ciqfunctions.udf.CIQ($D$4,$B76, O$9, $H$4, $E$4, , $F$4, $G$4))),"",_xll.ciqfunctions.udf.CIQ($D$4,$B76, O$9, $H$4, $E$4, , $F$4, $G$4)))</f>
        <v/>
      </c>
      <c r="P76" s="685" t="str">
        <f>IF(P$9="","",IF(NOT(ISNUMBER(_xll.ciqfunctions.udf.CIQ($D$4,$B76, P$9, $H$4, $E$4, , $F$4, $G$4))),"",_xll.ciqfunctions.udf.CIQ($D$4,$B76, P$9, $H$4, $E$4, , $F$4, $G$4)))</f>
        <v/>
      </c>
      <c r="Q76" s="685" t="str">
        <f>IF(Q$9="","",IF(NOT(ISNUMBER(_xll.ciqfunctions.udf.CIQ($D$4,$B76, Q$9, $H$4, $E$4, , $F$4, $G$4))),"",_xll.ciqfunctions.udf.CIQ($D$4,$B76, Q$9, $H$4, $E$4, , $F$4, $G$4)))</f>
        <v/>
      </c>
      <c r="R76" s="685" t="str">
        <f>IF(R$9="","",IF(NOT(ISNUMBER(_xll.ciqfunctions.udf.CIQ($D$4,$B76, R$9, $H$4, $E$4, , $F$4, $G$4))),"",_xll.ciqfunctions.udf.CIQ($D$4,$B76, R$9, $H$4, $E$4, , $F$4, $G$4)))</f>
        <v/>
      </c>
      <c r="S76" s="685" t="str">
        <f>IF(S$9="","",IF(NOT(ISNUMBER(_xll.ciqfunctions.udf.CIQ($D$4,$B76, S$9, $H$4, $E$4, , $F$4, $G$4))),"",_xll.ciqfunctions.udf.CIQ($D$4,$B76, S$9, $H$4, $E$4, , $F$4, $G$4)))</f>
        <v/>
      </c>
      <c r="T76" s="685" t="str">
        <f>IF(T$9="","",IF(NOT(ISNUMBER(_xll.ciqfunctions.udf.CIQ($D$4,$B76, T$9, $H$4, $E$4, , $F$4, $G$4))),"",_xll.ciqfunctions.udf.CIQ($D$4,$B76, T$9, $H$4, $E$4, , $F$4, $G$4)))</f>
        <v/>
      </c>
      <c r="U76" s="685" t="str">
        <f>IF(U$9="","",IF(NOT(ISNUMBER(_xll.ciqfunctions.udf.CIQ($D$4,$B76, U$9, $H$4, $E$4, , $F$4, $G$4))),"",_xll.ciqfunctions.udf.CIQ($D$4,$B76, U$9, $H$4, $E$4, , $F$4, $G$4)))</f>
        <v/>
      </c>
      <c r="V76" s="685" t="str">
        <f>IF(V$9="","",IF(NOT(ISNUMBER(_xll.ciqfunctions.udf.CIQ($D$4,$B76, V$9, $H$4, $E$4, , $F$4, $G$4))),"",_xll.ciqfunctions.udf.CIQ($D$4,$B76, V$9, $H$4, $E$4, , $F$4, $G$4)))</f>
        <v/>
      </c>
      <c r="W76" s="685" t="str">
        <f>IF(W$9="","",IF(NOT(ISNUMBER(_xll.ciqfunctions.udf.CIQ($D$4,$B76, W$9, $H$4, $E$4, , $F$4, $G$4))),"",_xll.ciqfunctions.udf.CIQ($D$4,$B76, W$9, $H$4, $E$4, , $F$4, $G$4)))</f>
        <v/>
      </c>
    </row>
    <row r="77" spans="1:23" s="48" customFormat="1" ht="15" customHeight="1" x14ac:dyDescent="0.2">
      <c r="A77" s="50" t="s">
        <v>512</v>
      </c>
      <c r="B77" s="50" t="s">
        <v>609</v>
      </c>
      <c r="C77" s="685">
        <f ca="1">IF(C$9="","",IF(NOT(ISNUMBER(_xll.ciqfunctions.udf.CIQ($D$4,$B77, C$9, $H$4, $E$4, , $F$4, $G$4))),"",_xll.ciqfunctions.udf.CIQ($D$4,$B77, C$9, $H$4, $E$4, , $F$4, $G$4)))</f>
        <v>5.0046600000000003</v>
      </c>
      <c r="D77" s="685">
        <f ca="1">IF(D$9="","",IF(NOT(ISNUMBER(_xll.ciqfunctions.udf.CIQ($D$4,$B77, D$9, $H$4, $E$4, , $F$4, $G$4))),"",_xll.ciqfunctions.udf.CIQ($D$4,$B77, D$9, $H$4, $E$4, , $F$4, $G$4)))</f>
        <v>4.8361400000000003</v>
      </c>
      <c r="E77" s="685">
        <f ca="1">IF(E$9="","",IF(NOT(ISNUMBER(_xll.ciqfunctions.udf.CIQ($D$4,$B77, E$9, $H$4, $E$4, , $F$4, $G$4))),"",_xll.ciqfunctions.udf.CIQ($D$4,$B77, E$9, $H$4, $E$4, , $F$4, $G$4)))</f>
        <v>4.9621199999999996</v>
      </c>
      <c r="F77" s="685">
        <f ca="1">IF(F$9="","",IF(NOT(ISNUMBER(_xll.ciqfunctions.udf.CIQ($D$4,$B77, F$9, $H$4, $E$4, , $F$4, $G$4))),"",_xll.ciqfunctions.udf.CIQ($D$4,$B77, F$9, $H$4, $E$4, , $F$4, $G$4)))</f>
        <v>4.57</v>
      </c>
      <c r="G77" s="685">
        <f ca="1">IF(G$9="","",IF(NOT(ISNUMBER(_xll.ciqfunctions.udf.CIQ($D$4,$B77, G$9, $H$4, $E$4, , $F$4, $G$4))),"",_xll.ciqfunctions.udf.CIQ($D$4,$B77, G$9, $H$4, $E$4, , $F$4, $G$4)))</f>
        <v>4.38</v>
      </c>
      <c r="H77" s="685">
        <f ca="1">IF(H$9="","",IF(NOT(ISNUMBER(_xll.ciqfunctions.udf.CIQ($D$4,$B77, H$9, $H$4, $E$4, , $F$4, $G$4))),"",_xll.ciqfunctions.udf.CIQ($D$4,$B77, H$9, $H$4, $E$4, , $F$4, $G$4)))</f>
        <v>3.28</v>
      </c>
      <c r="I77" s="685">
        <f ca="1">IF(I$9="","",IF(NOT(ISNUMBER(_xll.ciqfunctions.udf.CIQ($D$4,$B77, I$9, $H$4, $E$4, , $F$4, $G$4))),"",_xll.ciqfunctions.udf.CIQ($D$4,$B77, I$9, $H$4, $E$4, , $F$4, $G$4)))</f>
        <v>2.2599999999999998</v>
      </c>
      <c r="J77" s="685">
        <f ca="1">IF(J$9="","",IF(NOT(ISNUMBER(_xll.ciqfunctions.udf.CIQ($D$4,$B77, J$9, $H$4, $E$4, , $F$4, $G$4))),"",_xll.ciqfunctions.udf.CIQ($D$4,$B77, J$9, $H$4, $E$4, , $F$4, $G$4)))</f>
        <v>5.19</v>
      </c>
      <c r="K77" s="685">
        <f ca="1">IF(K$9="","",IF(NOT(ISNUMBER(_xll.ciqfunctions.udf.CIQ($D$4,$B77, K$9, $H$4, $E$4, , $F$4, $G$4))),"",_xll.ciqfunctions.udf.CIQ($D$4,$B77, K$9, $H$4, $E$4, , $F$4, $G$4)))</f>
        <v>4.75</v>
      </c>
      <c r="L77" s="685">
        <f ca="1">IF(L$9="","",IF(NOT(ISNUMBER(_xll.ciqfunctions.udf.CIQ($D$4,$B77, L$9, $H$4, $E$4, , $F$4, $G$4))),"",_xll.ciqfunctions.udf.CIQ($D$4,$B77, L$9, $H$4, $E$4, , $F$4, $G$4)))</f>
        <v>4.87</v>
      </c>
      <c r="M77" s="685" t="str">
        <f>IF(M$9="","",IF(NOT(ISNUMBER(_xll.ciqfunctions.udf.CIQ($D$4,$B77, M$9, $H$4, $E$4, , $F$4, $G$4))),"",_xll.ciqfunctions.udf.CIQ($D$4,$B77, M$9, $H$4, $E$4, , $F$4, $G$4)))</f>
        <v/>
      </c>
      <c r="N77" s="685" t="str">
        <f>IF(N$9="","",IF(NOT(ISNUMBER(_xll.ciqfunctions.udf.CIQ($D$4,$B77, N$9, $H$4, $E$4, , $F$4, $G$4))),"",_xll.ciqfunctions.udf.CIQ($D$4,$B77, N$9, $H$4, $E$4, , $F$4, $G$4)))</f>
        <v/>
      </c>
      <c r="O77" s="685" t="str">
        <f>IF(O$9="","",IF(NOT(ISNUMBER(_xll.ciqfunctions.udf.CIQ($D$4,$B77, O$9, $H$4, $E$4, , $F$4, $G$4))),"",_xll.ciqfunctions.udf.CIQ($D$4,$B77, O$9, $H$4, $E$4, , $F$4, $G$4)))</f>
        <v/>
      </c>
      <c r="P77" s="685" t="str">
        <f>IF(P$9="","",IF(NOT(ISNUMBER(_xll.ciqfunctions.udf.CIQ($D$4,$B77, P$9, $H$4, $E$4, , $F$4, $G$4))),"",_xll.ciqfunctions.udf.CIQ($D$4,$B77, P$9, $H$4, $E$4, , $F$4, $G$4)))</f>
        <v/>
      </c>
      <c r="Q77" s="685" t="str">
        <f>IF(Q$9="","",IF(NOT(ISNUMBER(_xll.ciqfunctions.udf.CIQ($D$4,$B77, Q$9, $H$4, $E$4, , $F$4, $G$4))),"",_xll.ciqfunctions.udf.CIQ($D$4,$B77, Q$9, $H$4, $E$4, , $F$4, $G$4)))</f>
        <v/>
      </c>
      <c r="R77" s="685" t="str">
        <f>IF(R$9="","",IF(NOT(ISNUMBER(_xll.ciqfunctions.udf.CIQ($D$4,$B77, R$9, $H$4, $E$4, , $F$4, $G$4))),"",_xll.ciqfunctions.udf.CIQ($D$4,$B77, R$9, $H$4, $E$4, , $F$4, $G$4)))</f>
        <v/>
      </c>
      <c r="S77" s="685" t="str">
        <f>IF(S$9="","",IF(NOT(ISNUMBER(_xll.ciqfunctions.udf.CIQ($D$4,$B77, S$9, $H$4, $E$4, , $F$4, $G$4))),"",_xll.ciqfunctions.udf.CIQ($D$4,$B77, S$9, $H$4, $E$4, , $F$4, $G$4)))</f>
        <v/>
      </c>
      <c r="T77" s="685" t="str">
        <f>IF(T$9="","",IF(NOT(ISNUMBER(_xll.ciqfunctions.udf.CIQ($D$4,$B77, T$9, $H$4, $E$4, , $F$4, $G$4))),"",_xll.ciqfunctions.udf.CIQ($D$4,$B77, T$9, $H$4, $E$4, , $F$4, $G$4)))</f>
        <v/>
      </c>
      <c r="U77" s="685" t="str">
        <f>IF(U$9="","",IF(NOT(ISNUMBER(_xll.ciqfunctions.udf.CIQ($D$4,$B77, U$9, $H$4, $E$4, , $F$4, $G$4))),"",_xll.ciqfunctions.udf.CIQ($D$4,$B77, U$9, $H$4, $E$4, , $F$4, $G$4)))</f>
        <v/>
      </c>
      <c r="V77" s="685" t="str">
        <f>IF(V$9="","",IF(NOT(ISNUMBER(_xll.ciqfunctions.udf.CIQ($D$4,$B77, V$9, $H$4, $E$4, , $F$4, $G$4))),"",_xll.ciqfunctions.udf.CIQ($D$4,$B77, V$9, $H$4, $E$4, , $F$4, $G$4)))</f>
        <v/>
      </c>
      <c r="W77" s="685" t="str">
        <f>IF(W$9="","",IF(NOT(ISNUMBER(_xll.ciqfunctions.udf.CIQ($D$4,$B77, W$9, $H$4, $E$4, , $F$4, $G$4))),"",_xll.ciqfunctions.udf.CIQ($D$4,$B77, W$9, $H$4, $E$4, , $F$4, $G$4)))</f>
        <v/>
      </c>
    </row>
    <row r="78" spans="1:23" ht="15" customHeight="1" x14ac:dyDescent="0.2">
      <c r="C78" s="157"/>
      <c r="D78" s="157"/>
      <c r="E78" s="157"/>
      <c r="F78" s="157"/>
      <c r="G78" s="157"/>
      <c r="H78" s="157"/>
      <c r="I78" s="157"/>
      <c r="J78" s="157"/>
      <c r="K78" s="157"/>
      <c r="L78" s="157"/>
      <c r="M78" s="157"/>
      <c r="N78" s="157"/>
      <c r="O78" s="157"/>
      <c r="P78" s="157"/>
      <c r="Q78" s="157"/>
      <c r="R78" s="157"/>
      <c r="S78" s="157"/>
      <c r="T78" s="157"/>
      <c r="U78" s="157"/>
      <c r="V78" s="157"/>
      <c r="W78" s="157"/>
    </row>
    <row r="79" spans="1:23" ht="20.100000000000001" customHeight="1" thickBot="1" x14ac:dyDescent="0.25">
      <c r="A79" s="920" t="s">
        <v>49</v>
      </c>
      <c r="B79" s="920"/>
      <c r="C79" s="921"/>
      <c r="D79" s="921"/>
      <c r="E79" s="921"/>
      <c r="F79" s="921"/>
      <c r="G79" s="921"/>
      <c r="H79" s="921"/>
      <c r="I79" s="921"/>
      <c r="J79" s="921"/>
      <c r="K79" s="921"/>
      <c r="L79" s="921"/>
      <c r="M79" s="921"/>
      <c r="N79" s="921"/>
      <c r="O79" s="921"/>
      <c r="P79" s="921"/>
      <c r="Q79" s="921"/>
      <c r="R79" s="921"/>
      <c r="S79" s="921"/>
      <c r="T79" s="921"/>
      <c r="U79" s="921"/>
      <c r="V79" s="921"/>
      <c r="W79" s="921"/>
    </row>
    <row r="80" spans="1:23" ht="15" customHeight="1" x14ac:dyDescent="0.2">
      <c r="C80" s="167"/>
      <c r="D80" s="167"/>
      <c r="E80" s="167"/>
      <c r="F80" s="167"/>
      <c r="G80" s="167"/>
      <c r="H80" s="167"/>
      <c r="I80" s="167"/>
      <c r="J80" s="167"/>
      <c r="K80" s="167"/>
      <c r="L80" s="167"/>
      <c r="M80" s="167"/>
      <c r="N80" s="167"/>
      <c r="O80" s="167"/>
      <c r="P80" s="167"/>
      <c r="Q80" s="167"/>
      <c r="R80" s="167"/>
      <c r="S80" s="167"/>
      <c r="T80" s="167"/>
      <c r="U80" s="167"/>
      <c r="V80" s="167"/>
      <c r="W80" s="167"/>
    </row>
    <row r="81" spans="1:23" ht="15" customHeight="1" x14ac:dyDescent="0.2">
      <c r="A81" s="878" t="s">
        <v>481</v>
      </c>
      <c r="B81" s="878"/>
      <c r="C81" s="878"/>
      <c r="D81" s="878"/>
      <c r="E81" s="915"/>
      <c r="F81" s="915"/>
      <c r="G81" s="915"/>
      <c r="H81" s="915"/>
      <c r="I81" s="915"/>
      <c r="J81" s="915"/>
      <c r="K81" s="915"/>
      <c r="L81" s="915"/>
      <c r="M81" s="915"/>
      <c r="N81" s="915"/>
      <c r="O81" s="915"/>
      <c r="P81" s="915"/>
      <c r="Q81" s="915"/>
      <c r="R81" s="915"/>
      <c r="S81" s="915"/>
      <c r="T81" s="915"/>
      <c r="U81" s="915"/>
      <c r="V81" s="915"/>
      <c r="W81" s="915"/>
    </row>
    <row r="82" spans="1:23" ht="15" customHeight="1" x14ac:dyDescent="0.2">
      <c r="A82" s="25" t="s">
        <v>217</v>
      </c>
      <c r="C82" s="172" t="str">
        <f t="shared" ref="C82:W82" ca="1" si="19">IFERROR(IF(C$10="","",C20/C$18),"NA")</f>
        <v>NA</v>
      </c>
      <c r="D82" s="172" t="str">
        <f t="shared" ca="1" si="19"/>
        <v>NA</v>
      </c>
      <c r="E82" s="172" t="str">
        <f t="shared" ca="1" si="19"/>
        <v>NA</v>
      </c>
      <c r="F82" s="172" t="str">
        <f t="shared" ca="1" si="19"/>
        <v>NA</v>
      </c>
      <c r="G82" s="172" t="str">
        <f t="shared" ca="1" si="19"/>
        <v>NA</v>
      </c>
      <c r="H82" s="172" t="str">
        <f t="shared" ca="1" si="19"/>
        <v>NA</v>
      </c>
      <c r="I82" s="172" t="str">
        <f t="shared" ca="1" si="19"/>
        <v>NA</v>
      </c>
      <c r="J82" s="172" t="str">
        <f t="shared" ca="1" si="19"/>
        <v>NA</v>
      </c>
      <c r="K82" s="172" t="str">
        <f t="shared" ca="1" si="19"/>
        <v>NA</v>
      </c>
      <c r="L82" s="172" t="str">
        <f t="shared" ca="1" si="19"/>
        <v>NA</v>
      </c>
      <c r="M82" s="172" t="str">
        <f t="shared" si="19"/>
        <v/>
      </c>
      <c r="N82" s="172" t="str">
        <f t="shared" si="19"/>
        <v/>
      </c>
      <c r="O82" s="172" t="str">
        <f t="shared" si="19"/>
        <v/>
      </c>
      <c r="P82" s="172" t="str">
        <f t="shared" si="19"/>
        <v/>
      </c>
      <c r="Q82" s="172" t="str">
        <f t="shared" si="19"/>
        <v/>
      </c>
      <c r="R82" s="172" t="str">
        <f t="shared" si="19"/>
        <v/>
      </c>
      <c r="S82" s="172" t="str">
        <f t="shared" si="19"/>
        <v/>
      </c>
      <c r="T82" s="172" t="str">
        <f t="shared" si="19"/>
        <v/>
      </c>
      <c r="U82" s="172" t="str">
        <f t="shared" si="19"/>
        <v/>
      </c>
      <c r="V82" s="172" t="str">
        <f t="shared" si="19"/>
        <v/>
      </c>
      <c r="W82" s="172" t="str">
        <f t="shared" si="19"/>
        <v/>
      </c>
    </row>
    <row r="83" spans="1:23" ht="15" customHeight="1" x14ac:dyDescent="0.2">
      <c r="A83" s="140" t="s">
        <v>218</v>
      </c>
      <c r="B83" s="140"/>
      <c r="C83" s="172" t="str">
        <f t="shared" ref="C83:W83" ca="1" si="20">IFERROR(IF(C$10="","",C21/C$18),"NA")</f>
        <v>NA</v>
      </c>
      <c r="D83" s="172" t="str">
        <f t="shared" ca="1" si="20"/>
        <v>NA</v>
      </c>
      <c r="E83" s="172" t="str">
        <f t="shared" ca="1" si="20"/>
        <v>NA</v>
      </c>
      <c r="F83" s="172" t="str">
        <f t="shared" ca="1" si="20"/>
        <v>NA</v>
      </c>
      <c r="G83" s="172" t="str">
        <f t="shared" ca="1" si="20"/>
        <v>NA</v>
      </c>
      <c r="H83" s="172" t="str">
        <f t="shared" ca="1" si="20"/>
        <v>NA</v>
      </c>
      <c r="I83" s="172" t="str">
        <f t="shared" ca="1" si="20"/>
        <v>NA</v>
      </c>
      <c r="J83" s="172" t="str">
        <f t="shared" ca="1" si="20"/>
        <v>NA</v>
      </c>
      <c r="K83" s="172" t="str">
        <f t="shared" ca="1" si="20"/>
        <v>NA</v>
      </c>
      <c r="L83" s="172" t="str">
        <f t="shared" ca="1" si="20"/>
        <v>NA</v>
      </c>
      <c r="M83" s="172" t="str">
        <f t="shared" si="20"/>
        <v/>
      </c>
      <c r="N83" s="172" t="str">
        <f t="shared" si="20"/>
        <v/>
      </c>
      <c r="O83" s="172" t="str">
        <f t="shared" si="20"/>
        <v/>
      </c>
      <c r="P83" s="172" t="str">
        <f t="shared" si="20"/>
        <v/>
      </c>
      <c r="Q83" s="172" t="str">
        <f t="shared" si="20"/>
        <v/>
      </c>
      <c r="R83" s="172" t="str">
        <f t="shared" si="20"/>
        <v/>
      </c>
      <c r="S83" s="172" t="str">
        <f t="shared" si="20"/>
        <v/>
      </c>
      <c r="T83" s="172" t="str">
        <f t="shared" si="20"/>
        <v/>
      </c>
      <c r="U83" s="172" t="str">
        <f t="shared" si="20"/>
        <v/>
      </c>
      <c r="V83" s="172" t="str">
        <f t="shared" si="20"/>
        <v/>
      </c>
      <c r="W83" s="172" t="str">
        <f t="shared" si="20"/>
        <v/>
      </c>
    </row>
    <row r="84" spans="1:23" ht="15" customHeight="1" x14ac:dyDescent="0.2">
      <c r="A84" s="175" t="s">
        <v>219</v>
      </c>
      <c r="B84" s="175"/>
      <c r="C84" s="182" t="str">
        <f t="shared" ref="C84:W84" ca="1" si="21">IFERROR(IF(C$10="","",C22/C$18),"NA")</f>
        <v>NA</v>
      </c>
      <c r="D84" s="182" t="str">
        <f t="shared" ca="1" si="21"/>
        <v>NA</v>
      </c>
      <c r="E84" s="182" t="str">
        <f t="shared" ca="1" si="21"/>
        <v>NA</v>
      </c>
      <c r="F84" s="182" t="str">
        <f t="shared" ca="1" si="21"/>
        <v>NA</v>
      </c>
      <c r="G84" s="182" t="str">
        <f t="shared" ca="1" si="21"/>
        <v>NA</v>
      </c>
      <c r="H84" s="182" t="str">
        <f t="shared" ca="1" si="21"/>
        <v>NA</v>
      </c>
      <c r="I84" s="182" t="str">
        <f t="shared" ca="1" si="21"/>
        <v>NA</v>
      </c>
      <c r="J84" s="182" t="str">
        <f t="shared" ca="1" si="21"/>
        <v>NA</v>
      </c>
      <c r="K84" s="182" t="str">
        <f t="shared" ca="1" si="21"/>
        <v>NA</v>
      </c>
      <c r="L84" s="182" t="str">
        <f t="shared" ca="1" si="21"/>
        <v>NA</v>
      </c>
      <c r="M84" s="182" t="str">
        <f t="shared" si="21"/>
        <v/>
      </c>
      <c r="N84" s="182" t="str">
        <f t="shared" si="21"/>
        <v/>
      </c>
      <c r="O84" s="182" t="str">
        <f t="shared" si="21"/>
        <v/>
      </c>
      <c r="P84" s="182" t="str">
        <f t="shared" si="21"/>
        <v/>
      </c>
      <c r="Q84" s="182" t="str">
        <f t="shared" si="21"/>
        <v/>
      </c>
      <c r="R84" s="182" t="str">
        <f t="shared" si="21"/>
        <v/>
      </c>
      <c r="S84" s="182" t="str">
        <f t="shared" si="21"/>
        <v/>
      </c>
      <c r="T84" s="182" t="str">
        <f t="shared" si="21"/>
        <v/>
      </c>
      <c r="U84" s="182" t="str">
        <f t="shared" si="21"/>
        <v/>
      </c>
      <c r="V84" s="182" t="str">
        <f t="shared" si="21"/>
        <v/>
      </c>
      <c r="W84" s="182" t="str">
        <f t="shared" si="21"/>
        <v/>
      </c>
    </row>
    <row r="85" spans="1:23" ht="15" customHeight="1" x14ac:dyDescent="0.2">
      <c r="C85" s="172"/>
      <c r="D85" s="172"/>
      <c r="E85" s="172"/>
      <c r="F85" s="172"/>
      <c r="G85" s="172"/>
      <c r="H85" s="172"/>
      <c r="I85" s="172"/>
      <c r="J85" s="172"/>
      <c r="K85" s="172"/>
      <c r="L85" s="172"/>
      <c r="M85" s="172"/>
      <c r="N85" s="172"/>
      <c r="O85" s="172"/>
      <c r="P85" s="172"/>
      <c r="Q85" s="172"/>
      <c r="R85" s="172"/>
      <c r="S85" s="172"/>
      <c r="T85" s="172"/>
      <c r="U85" s="172"/>
      <c r="V85" s="172"/>
      <c r="W85" s="172"/>
    </row>
    <row r="86" spans="1:23" ht="15" customHeight="1" x14ac:dyDescent="0.2">
      <c r="A86" s="25" t="s">
        <v>0</v>
      </c>
      <c r="C86" s="172" t="str">
        <f t="shared" ref="C86:W86" ca="1" si="22">IFERROR(IF(C$10="","",C24/C$18),"NA")</f>
        <v>NA</v>
      </c>
      <c r="D86" s="172" t="str">
        <f t="shared" ca="1" si="22"/>
        <v>NA</v>
      </c>
      <c r="E86" s="172" t="str">
        <f t="shared" ca="1" si="22"/>
        <v>NA</v>
      </c>
      <c r="F86" s="172" t="str">
        <f t="shared" ca="1" si="22"/>
        <v>NA</v>
      </c>
      <c r="G86" s="172" t="str">
        <f t="shared" ca="1" si="22"/>
        <v>NA</v>
      </c>
      <c r="H86" s="172" t="str">
        <f t="shared" ca="1" si="22"/>
        <v>NA</v>
      </c>
      <c r="I86" s="172" t="str">
        <f t="shared" ca="1" si="22"/>
        <v>NA</v>
      </c>
      <c r="J86" s="172" t="str">
        <f t="shared" ca="1" si="22"/>
        <v>NA</v>
      </c>
      <c r="K86" s="172" t="str">
        <f t="shared" ca="1" si="22"/>
        <v>NA</v>
      </c>
      <c r="L86" s="172" t="str">
        <f t="shared" ca="1" si="22"/>
        <v>NA</v>
      </c>
      <c r="M86" s="172" t="str">
        <f t="shared" si="22"/>
        <v/>
      </c>
      <c r="N86" s="172" t="str">
        <f t="shared" si="22"/>
        <v/>
      </c>
      <c r="O86" s="172" t="str">
        <f t="shared" si="22"/>
        <v/>
      </c>
      <c r="P86" s="172" t="str">
        <f t="shared" si="22"/>
        <v/>
      </c>
      <c r="Q86" s="172" t="str">
        <f t="shared" si="22"/>
        <v/>
      </c>
      <c r="R86" s="172" t="str">
        <f t="shared" si="22"/>
        <v/>
      </c>
      <c r="S86" s="172" t="str">
        <f t="shared" si="22"/>
        <v/>
      </c>
      <c r="T86" s="172" t="str">
        <f t="shared" si="22"/>
        <v/>
      </c>
      <c r="U86" s="172" t="str">
        <f t="shared" si="22"/>
        <v/>
      </c>
      <c r="V86" s="172" t="str">
        <f t="shared" si="22"/>
        <v/>
      </c>
      <c r="W86" s="172" t="str">
        <f t="shared" si="22"/>
        <v/>
      </c>
    </row>
    <row r="87" spans="1:23" ht="15" customHeight="1" x14ac:dyDescent="0.2">
      <c r="A87" s="140" t="s">
        <v>38</v>
      </c>
      <c r="B87" s="140"/>
      <c r="C87" s="172" t="str">
        <f t="shared" ref="C87:W87" ca="1" si="23">IFERROR(IF(C$10="","",C25/C$18),"NA")</f>
        <v>NA</v>
      </c>
      <c r="D87" s="172" t="str">
        <f t="shared" ca="1" si="23"/>
        <v>NA</v>
      </c>
      <c r="E87" s="172" t="str">
        <f t="shared" ca="1" si="23"/>
        <v>NA</v>
      </c>
      <c r="F87" s="172" t="str">
        <f t="shared" ca="1" si="23"/>
        <v>NA</v>
      </c>
      <c r="G87" s="172" t="str">
        <f t="shared" ca="1" si="23"/>
        <v>NA</v>
      </c>
      <c r="H87" s="172" t="str">
        <f t="shared" ca="1" si="23"/>
        <v>NA</v>
      </c>
      <c r="I87" s="172" t="str">
        <f t="shared" ca="1" si="23"/>
        <v>NA</v>
      </c>
      <c r="J87" s="172" t="str">
        <f t="shared" ca="1" si="23"/>
        <v>NA</v>
      </c>
      <c r="K87" s="172" t="str">
        <f t="shared" ca="1" si="23"/>
        <v>NA</v>
      </c>
      <c r="L87" s="172" t="str">
        <f t="shared" ca="1" si="23"/>
        <v>NA</v>
      </c>
      <c r="M87" s="172" t="str">
        <f t="shared" si="23"/>
        <v/>
      </c>
      <c r="N87" s="172" t="str">
        <f t="shared" si="23"/>
        <v/>
      </c>
      <c r="O87" s="172" t="str">
        <f t="shared" si="23"/>
        <v/>
      </c>
      <c r="P87" s="172" t="str">
        <f t="shared" si="23"/>
        <v/>
      </c>
      <c r="Q87" s="172" t="str">
        <f t="shared" si="23"/>
        <v/>
      </c>
      <c r="R87" s="172" t="str">
        <f t="shared" si="23"/>
        <v/>
      </c>
      <c r="S87" s="172" t="str">
        <f t="shared" si="23"/>
        <v/>
      </c>
      <c r="T87" s="172" t="str">
        <f t="shared" si="23"/>
        <v/>
      </c>
      <c r="U87" s="172" t="str">
        <f t="shared" si="23"/>
        <v/>
      </c>
      <c r="V87" s="172" t="str">
        <f t="shared" si="23"/>
        <v/>
      </c>
      <c r="W87" s="172" t="str">
        <f t="shared" si="23"/>
        <v/>
      </c>
    </row>
    <row r="88" spans="1:23" ht="15" customHeight="1" x14ac:dyDescent="0.2">
      <c r="A88" s="159" t="s">
        <v>40</v>
      </c>
      <c r="B88" s="159"/>
      <c r="C88" s="182" t="str">
        <f t="shared" ref="C88:W88" ca="1" si="24">IFERROR(IF(C$10="","",C26/C$18),"NA")</f>
        <v>NA</v>
      </c>
      <c r="D88" s="182" t="str">
        <f t="shared" ca="1" si="24"/>
        <v>NA</v>
      </c>
      <c r="E88" s="182" t="str">
        <f t="shared" ca="1" si="24"/>
        <v>NA</v>
      </c>
      <c r="F88" s="182" t="str">
        <f t="shared" ca="1" si="24"/>
        <v>NA</v>
      </c>
      <c r="G88" s="182" t="str">
        <f t="shared" ca="1" si="24"/>
        <v>NA</v>
      </c>
      <c r="H88" s="182" t="str">
        <f t="shared" ca="1" si="24"/>
        <v>NA</v>
      </c>
      <c r="I88" s="182" t="str">
        <f t="shared" ca="1" si="24"/>
        <v>NA</v>
      </c>
      <c r="J88" s="182" t="str">
        <f t="shared" ca="1" si="24"/>
        <v>NA</v>
      </c>
      <c r="K88" s="182" t="str">
        <f t="shared" ca="1" si="24"/>
        <v>NA</v>
      </c>
      <c r="L88" s="182" t="str">
        <f t="shared" ca="1" si="24"/>
        <v>NA</v>
      </c>
      <c r="M88" s="182" t="str">
        <f t="shared" si="24"/>
        <v/>
      </c>
      <c r="N88" s="182" t="str">
        <f t="shared" si="24"/>
        <v/>
      </c>
      <c r="O88" s="182" t="str">
        <f t="shared" si="24"/>
        <v/>
      </c>
      <c r="P88" s="182" t="str">
        <f t="shared" si="24"/>
        <v/>
      </c>
      <c r="Q88" s="182" t="str">
        <f t="shared" si="24"/>
        <v/>
      </c>
      <c r="R88" s="182" t="str">
        <f t="shared" si="24"/>
        <v/>
      </c>
      <c r="S88" s="182" t="str">
        <f t="shared" si="24"/>
        <v/>
      </c>
      <c r="T88" s="182" t="str">
        <f t="shared" si="24"/>
        <v/>
      </c>
      <c r="U88" s="182" t="str">
        <f t="shared" si="24"/>
        <v/>
      </c>
      <c r="V88" s="182" t="str">
        <f t="shared" si="24"/>
        <v/>
      </c>
      <c r="W88" s="182" t="str">
        <f t="shared" si="24"/>
        <v/>
      </c>
    </row>
    <row r="89" spans="1:23" ht="15" customHeight="1" x14ac:dyDescent="0.2">
      <c r="C89" s="172"/>
      <c r="D89" s="172"/>
      <c r="E89" s="172"/>
      <c r="F89" s="172"/>
      <c r="G89" s="172"/>
      <c r="H89" s="172"/>
      <c r="I89" s="172"/>
      <c r="J89" s="172"/>
      <c r="K89" s="172"/>
      <c r="L89" s="172"/>
      <c r="M89" s="172"/>
      <c r="N89" s="172"/>
      <c r="O89" s="172"/>
      <c r="P89" s="172"/>
      <c r="Q89" s="172"/>
      <c r="R89" s="172"/>
      <c r="S89" s="172"/>
      <c r="T89" s="172"/>
      <c r="U89" s="172"/>
      <c r="V89" s="172"/>
      <c r="W89" s="172"/>
    </row>
    <row r="90" spans="1:23" ht="15" customHeight="1" x14ac:dyDescent="0.2">
      <c r="A90" s="140" t="s">
        <v>43</v>
      </c>
      <c r="B90" s="140"/>
      <c r="C90" s="172" t="str">
        <f t="shared" ref="C90:W90" ca="1" si="25">IFERROR(IF(C$10="","",C28/C$18),"NA")</f>
        <v>NA</v>
      </c>
      <c r="D90" s="172" t="str">
        <f t="shared" ca="1" si="25"/>
        <v>NA</v>
      </c>
      <c r="E90" s="172" t="str">
        <f t="shared" ca="1" si="25"/>
        <v>NA</v>
      </c>
      <c r="F90" s="172" t="str">
        <f t="shared" ca="1" si="25"/>
        <v>NA</v>
      </c>
      <c r="G90" s="172" t="str">
        <f t="shared" ca="1" si="25"/>
        <v>NA</v>
      </c>
      <c r="H90" s="172" t="str">
        <f t="shared" ca="1" si="25"/>
        <v>NA</v>
      </c>
      <c r="I90" s="172" t="str">
        <f t="shared" ca="1" si="25"/>
        <v>NA</v>
      </c>
      <c r="J90" s="172" t="str">
        <f t="shared" ca="1" si="25"/>
        <v>NA</v>
      </c>
      <c r="K90" s="172" t="str">
        <f t="shared" ca="1" si="25"/>
        <v>NA</v>
      </c>
      <c r="L90" s="172" t="str">
        <f t="shared" ca="1" si="25"/>
        <v>NA</v>
      </c>
      <c r="M90" s="172" t="str">
        <f t="shared" si="25"/>
        <v/>
      </c>
      <c r="N90" s="172" t="str">
        <f t="shared" si="25"/>
        <v/>
      </c>
      <c r="O90" s="172" t="str">
        <f t="shared" si="25"/>
        <v/>
      </c>
      <c r="P90" s="172" t="str">
        <f t="shared" si="25"/>
        <v/>
      </c>
      <c r="Q90" s="172" t="str">
        <f t="shared" si="25"/>
        <v/>
      </c>
      <c r="R90" s="172" t="str">
        <f t="shared" si="25"/>
        <v/>
      </c>
      <c r="S90" s="172" t="str">
        <f t="shared" si="25"/>
        <v/>
      </c>
      <c r="T90" s="172" t="str">
        <f t="shared" si="25"/>
        <v/>
      </c>
      <c r="U90" s="172" t="str">
        <f t="shared" si="25"/>
        <v/>
      </c>
      <c r="V90" s="172" t="str">
        <f t="shared" si="25"/>
        <v/>
      </c>
      <c r="W90" s="172" t="str">
        <f t="shared" si="25"/>
        <v/>
      </c>
    </row>
    <row r="91" spans="1:23" ht="15" customHeight="1" x14ac:dyDescent="0.2">
      <c r="A91" s="170" t="s">
        <v>4</v>
      </c>
      <c r="B91" s="170"/>
      <c r="C91" s="172" t="str">
        <f t="shared" ref="C91:W91" ca="1" si="26">IFERROR(IF(C$10="","",C29/C$18),"NA")</f>
        <v>NA</v>
      </c>
      <c r="D91" s="172" t="str">
        <f t="shared" ca="1" si="26"/>
        <v>NA</v>
      </c>
      <c r="E91" s="172" t="str">
        <f t="shared" ca="1" si="26"/>
        <v>NA</v>
      </c>
      <c r="F91" s="172" t="str">
        <f t="shared" ca="1" si="26"/>
        <v>NA</v>
      </c>
      <c r="G91" s="172" t="str">
        <f t="shared" ca="1" si="26"/>
        <v>NA</v>
      </c>
      <c r="H91" s="172" t="str">
        <f t="shared" ca="1" si="26"/>
        <v>NA</v>
      </c>
      <c r="I91" s="172" t="str">
        <f t="shared" ca="1" si="26"/>
        <v>NA</v>
      </c>
      <c r="J91" s="172" t="str">
        <f t="shared" ca="1" si="26"/>
        <v>NA</v>
      </c>
      <c r="K91" s="172" t="str">
        <f t="shared" ca="1" si="26"/>
        <v>NA</v>
      </c>
      <c r="L91" s="172" t="str">
        <f t="shared" ca="1" si="26"/>
        <v>NA</v>
      </c>
      <c r="M91" s="172" t="str">
        <f t="shared" si="26"/>
        <v/>
      </c>
      <c r="N91" s="172" t="str">
        <f t="shared" si="26"/>
        <v/>
      </c>
      <c r="O91" s="172" t="str">
        <f t="shared" si="26"/>
        <v/>
      </c>
      <c r="P91" s="172" t="str">
        <f t="shared" si="26"/>
        <v/>
      </c>
      <c r="Q91" s="172" t="str">
        <f t="shared" si="26"/>
        <v/>
      </c>
      <c r="R91" s="172" t="str">
        <f t="shared" si="26"/>
        <v/>
      </c>
      <c r="S91" s="172" t="str">
        <f t="shared" si="26"/>
        <v/>
      </c>
      <c r="T91" s="172" t="str">
        <f t="shared" si="26"/>
        <v/>
      </c>
      <c r="U91" s="172" t="str">
        <f t="shared" si="26"/>
        <v/>
      </c>
      <c r="V91" s="172" t="str">
        <f t="shared" si="26"/>
        <v/>
      </c>
      <c r="W91" s="172" t="str">
        <f t="shared" si="26"/>
        <v/>
      </c>
    </row>
    <row r="92" spans="1:23" ht="15" customHeight="1" x14ac:dyDescent="0.2">
      <c r="A92" s="159" t="s">
        <v>228</v>
      </c>
      <c r="B92" s="159"/>
      <c r="C92" s="182" t="str">
        <f t="shared" ref="C92:W92" ca="1" si="27">IFERROR(IF(C$10="","",C30/C$18),"NA")</f>
        <v>NA</v>
      </c>
      <c r="D92" s="182" t="str">
        <f t="shared" ca="1" si="27"/>
        <v>NA</v>
      </c>
      <c r="E92" s="182" t="str">
        <f t="shared" ca="1" si="27"/>
        <v>NA</v>
      </c>
      <c r="F92" s="182" t="str">
        <f t="shared" ca="1" si="27"/>
        <v>NA</v>
      </c>
      <c r="G92" s="182" t="str">
        <f t="shared" ca="1" si="27"/>
        <v>NA</v>
      </c>
      <c r="H92" s="182" t="str">
        <f t="shared" ca="1" si="27"/>
        <v>NA</v>
      </c>
      <c r="I92" s="182" t="str">
        <f t="shared" ca="1" si="27"/>
        <v>NA</v>
      </c>
      <c r="J92" s="182" t="str">
        <f t="shared" ca="1" si="27"/>
        <v>NA</v>
      </c>
      <c r="K92" s="182" t="str">
        <f t="shared" ca="1" si="27"/>
        <v>NA</v>
      </c>
      <c r="L92" s="182" t="str">
        <f t="shared" ca="1" si="27"/>
        <v>NA</v>
      </c>
      <c r="M92" s="182" t="str">
        <f t="shared" si="27"/>
        <v/>
      </c>
      <c r="N92" s="182" t="str">
        <f t="shared" si="27"/>
        <v/>
      </c>
      <c r="O92" s="182" t="str">
        <f t="shared" si="27"/>
        <v/>
      </c>
      <c r="P92" s="182" t="str">
        <f t="shared" si="27"/>
        <v/>
      </c>
      <c r="Q92" s="182" t="str">
        <f t="shared" si="27"/>
        <v/>
      </c>
      <c r="R92" s="182" t="str">
        <f t="shared" si="27"/>
        <v/>
      </c>
      <c r="S92" s="182" t="str">
        <f t="shared" si="27"/>
        <v/>
      </c>
      <c r="T92" s="182" t="str">
        <f t="shared" si="27"/>
        <v/>
      </c>
      <c r="U92" s="182" t="str">
        <f t="shared" si="27"/>
        <v/>
      </c>
      <c r="V92" s="182" t="str">
        <f t="shared" si="27"/>
        <v/>
      </c>
      <c r="W92" s="182" t="str">
        <f t="shared" si="27"/>
        <v/>
      </c>
    </row>
    <row r="93" spans="1:23" ht="15" customHeight="1" x14ac:dyDescent="0.2">
      <c r="C93" s="167"/>
      <c r="D93" s="167"/>
      <c r="E93" s="167"/>
      <c r="F93" s="167"/>
      <c r="G93" s="167"/>
      <c r="H93" s="167"/>
      <c r="I93" s="167"/>
      <c r="J93" s="167"/>
      <c r="K93" s="167"/>
      <c r="L93" s="167"/>
      <c r="M93" s="167"/>
      <c r="N93" s="167"/>
      <c r="O93" s="167"/>
      <c r="P93" s="167"/>
      <c r="Q93" s="167"/>
      <c r="R93" s="167"/>
      <c r="S93" s="167"/>
      <c r="T93" s="167"/>
      <c r="U93" s="167"/>
      <c r="V93" s="167"/>
      <c r="W93" s="167"/>
    </row>
    <row r="94" spans="1:23" ht="15" customHeight="1" x14ac:dyDescent="0.2">
      <c r="A94" s="916" t="s">
        <v>229</v>
      </c>
      <c r="B94" s="916"/>
      <c r="C94" s="918"/>
      <c r="D94" s="918"/>
      <c r="E94" s="918"/>
      <c r="F94" s="918"/>
      <c r="G94" s="918"/>
      <c r="H94" s="918"/>
      <c r="I94" s="918"/>
      <c r="J94" s="918"/>
      <c r="K94" s="918"/>
      <c r="L94" s="918"/>
      <c r="M94" s="918"/>
      <c r="N94" s="918"/>
      <c r="O94" s="918"/>
      <c r="P94" s="918"/>
      <c r="Q94" s="918"/>
      <c r="R94" s="918"/>
      <c r="S94" s="918"/>
      <c r="T94" s="918"/>
      <c r="U94" s="918"/>
      <c r="V94" s="918"/>
      <c r="W94" s="918"/>
    </row>
    <row r="95" spans="1:23" ht="15" customHeight="1" x14ac:dyDescent="0.2">
      <c r="A95" s="27" t="s">
        <v>30</v>
      </c>
      <c r="B95" s="27"/>
      <c r="C95" s="164" t="str">
        <f t="shared" ref="C95:W95" ca="1" si="28">IFERROR(IF(C$10="","",MAX(C33/C$18,0)),"NA")</f>
        <v>NA</v>
      </c>
      <c r="D95" s="164" t="str">
        <f t="shared" ca="1" si="28"/>
        <v>NA</v>
      </c>
      <c r="E95" s="164" t="str">
        <f t="shared" ca="1" si="28"/>
        <v>NA</v>
      </c>
      <c r="F95" s="164" t="str">
        <f t="shared" ca="1" si="28"/>
        <v>NA</v>
      </c>
      <c r="G95" s="164" t="str">
        <f t="shared" ca="1" si="28"/>
        <v>NA</v>
      </c>
      <c r="H95" s="164" t="str">
        <f t="shared" ca="1" si="28"/>
        <v>NA</v>
      </c>
      <c r="I95" s="164" t="str">
        <f t="shared" ca="1" si="28"/>
        <v>NA</v>
      </c>
      <c r="J95" s="164" t="str">
        <f t="shared" ca="1" si="28"/>
        <v>NA</v>
      </c>
      <c r="K95" s="164" t="str">
        <f t="shared" ca="1" si="28"/>
        <v>NA</v>
      </c>
      <c r="L95" s="164" t="str">
        <f t="shared" ca="1" si="28"/>
        <v>NA</v>
      </c>
      <c r="M95" s="164" t="str">
        <f t="shared" si="28"/>
        <v/>
      </c>
      <c r="N95" s="164" t="str">
        <f t="shared" si="28"/>
        <v/>
      </c>
      <c r="O95" s="164" t="str">
        <f t="shared" si="28"/>
        <v/>
      </c>
      <c r="P95" s="164" t="str">
        <f t="shared" si="28"/>
        <v/>
      </c>
      <c r="Q95" s="164" t="str">
        <f t="shared" si="28"/>
        <v/>
      </c>
      <c r="R95" s="164" t="str">
        <f t="shared" si="28"/>
        <v/>
      </c>
      <c r="S95" s="164" t="str">
        <f t="shared" si="28"/>
        <v/>
      </c>
      <c r="T95" s="164" t="str">
        <f t="shared" si="28"/>
        <v/>
      </c>
      <c r="U95" s="164" t="str">
        <f t="shared" si="28"/>
        <v/>
      </c>
      <c r="V95" s="164" t="str">
        <f t="shared" si="28"/>
        <v/>
      </c>
      <c r="W95" s="164" t="str">
        <f t="shared" si="28"/>
        <v/>
      </c>
    </row>
    <row r="96" spans="1:23" ht="15" customHeight="1" x14ac:dyDescent="0.2">
      <c r="A96" s="27" t="s">
        <v>50</v>
      </c>
      <c r="B96" s="27"/>
      <c r="C96" s="167" t="str">
        <f t="shared" ref="C96:W96" ca="1" si="29">IFERROR(IF(C$10="","",MAX(C34/C$18,0)),"NA")</f>
        <v>NA</v>
      </c>
      <c r="D96" s="167" t="str">
        <f t="shared" ca="1" si="29"/>
        <v>NA</v>
      </c>
      <c r="E96" s="167" t="str">
        <f t="shared" ca="1" si="29"/>
        <v>NA</v>
      </c>
      <c r="F96" s="167" t="str">
        <f t="shared" ca="1" si="29"/>
        <v>NA</v>
      </c>
      <c r="G96" s="167" t="str">
        <f t="shared" ca="1" si="29"/>
        <v>NA</v>
      </c>
      <c r="H96" s="167" t="str">
        <f t="shared" ca="1" si="29"/>
        <v>NA</v>
      </c>
      <c r="I96" s="167" t="str">
        <f t="shared" ca="1" si="29"/>
        <v>NA</v>
      </c>
      <c r="J96" s="167" t="str">
        <f t="shared" ca="1" si="29"/>
        <v>NA</v>
      </c>
      <c r="K96" s="167" t="str">
        <f t="shared" ca="1" si="29"/>
        <v>NA</v>
      </c>
      <c r="L96" s="167" t="str">
        <f t="shared" ca="1" si="29"/>
        <v>NA</v>
      </c>
      <c r="M96" s="167" t="str">
        <f t="shared" si="29"/>
        <v/>
      </c>
      <c r="N96" s="167" t="str">
        <f t="shared" si="29"/>
        <v/>
      </c>
      <c r="O96" s="167" t="str">
        <f t="shared" si="29"/>
        <v/>
      </c>
      <c r="P96" s="167" t="str">
        <f t="shared" si="29"/>
        <v/>
      </c>
      <c r="Q96" s="167" t="str">
        <f t="shared" si="29"/>
        <v/>
      </c>
      <c r="R96" s="167" t="str">
        <f t="shared" si="29"/>
        <v/>
      </c>
      <c r="S96" s="167" t="str">
        <f t="shared" si="29"/>
        <v/>
      </c>
      <c r="T96" s="167" t="str">
        <f t="shared" si="29"/>
        <v/>
      </c>
      <c r="U96" s="167" t="str">
        <f t="shared" si="29"/>
        <v/>
      </c>
      <c r="V96" s="167" t="str">
        <f t="shared" si="29"/>
        <v/>
      </c>
      <c r="W96" s="167" t="str">
        <f t="shared" si="29"/>
        <v/>
      </c>
    </row>
    <row r="97" spans="1:23" ht="15" customHeight="1" x14ac:dyDescent="0.2">
      <c r="A97" s="27" t="s">
        <v>6</v>
      </c>
      <c r="B97" s="27"/>
      <c r="C97" s="167" t="str">
        <f t="shared" ref="C97:W97" ca="1" si="30">IFERROR(IF(C$10="","",MAX(C35/C$18,0)),"NA")</f>
        <v>NA</v>
      </c>
      <c r="D97" s="167" t="str">
        <f t="shared" ca="1" si="30"/>
        <v>NA</v>
      </c>
      <c r="E97" s="167" t="str">
        <f t="shared" ca="1" si="30"/>
        <v>NA</v>
      </c>
      <c r="F97" s="167" t="str">
        <f t="shared" ca="1" si="30"/>
        <v>NA</v>
      </c>
      <c r="G97" s="167" t="str">
        <f t="shared" ca="1" si="30"/>
        <v>NA</v>
      </c>
      <c r="H97" s="167" t="str">
        <f t="shared" ca="1" si="30"/>
        <v>NA</v>
      </c>
      <c r="I97" s="167" t="str">
        <f t="shared" ca="1" si="30"/>
        <v>NA</v>
      </c>
      <c r="J97" s="167" t="str">
        <f t="shared" ca="1" si="30"/>
        <v>NA</v>
      </c>
      <c r="K97" s="167" t="str">
        <f t="shared" ca="1" si="30"/>
        <v>NA</v>
      </c>
      <c r="L97" s="167" t="str">
        <f t="shared" ca="1" si="30"/>
        <v>NA</v>
      </c>
      <c r="M97" s="167" t="str">
        <f t="shared" si="30"/>
        <v/>
      </c>
      <c r="N97" s="167" t="str">
        <f t="shared" si="30"/>
        <v/>
      </c>
      <c r="O97" s="167" t="str">
        <f t="shared" si="30"/>
        <v/>
      </c>
      <c r="P97" s="167" t="str">
        <f t="shared" si="30"/>
        <v/>
      </c>
      <c r="Q97" s="167" t="str">
        <f t="shared" si="30"/>
        <v/>
      </c>
      <c r="R97" s="167" t="str">
        <f t="shared" si="30"/>
        <v/>
      </c>
      <c r="S97" s="167" t="str">
        <f t="shared" si="30"/>
        <v/>
      </c>
      <c r="T97" s="167" t="str">
        <f t="shared" si="30"/>
        <v/>
      </c>
      <c r="U97" s="167" t="str">
        <f t="shared" si="30"/>
        <v/>
      </c>
      <c r="V97" s="167" t="str">
        <f t="shared" si="30"/>
        <v/>
      </c>
      <c r="W97" s="167" t="str">
        <f t="shared" si="30"/>
        <v/>
      </c>
    </row>
    <row r="98" spans="1:23" ht="15" customHeight="1" x14ac:dyDescent="0.2">
      <c r="A98" s="27"/>
      <c r="B98" s="27"/>
      <c r="C98" s="36"/>
      <c r="D98" s="36"/>
      <c r="E98" s="36"/>
      <c r="F98" s="36"/>
      <c r="G98" s="36"/>
      <c r="H98" s="36"/>
      <c r="I98" s="36"/>
      <c r="J98" s="36"/>
      <c r="K98" s="36"/>
      <c r="L98" s="36"/>
      <c r="M98" s="36"/>
      <c r="N98" s="36"/>
      <c r="O98" s="36"/>
      <c r="P98" s="36"/>
      <c r="Q98" s="36"/>
      <c r="R98" s="36"/>
      <c r="S98" s="36"/>
      <c r="T98" s="36"/>
      <c r="U98" s="36"/>
      <c r="V98" s="36"/>
      <c r="W98" s="36"/>
    </row>
    <row r="99" spans="1:23" s="48" customFormat="1" ht="15" customHeight="1" x14ac:dyDescent="0.2">
      <c r="A99" s="916" t="s">
        <v>1181</v>
      </c>
      <c r="B99" s="916"/>
      <c r="C99" s="918"/>
      <c r="D99" s="918"/>
      <c r="E99" s="918"/>
      <c r="F99" s="918"/>
      <c r="G99" s="918"/>
      <c r="H99" s="918"/>
      <c r="I99" s="918"/>
      <c r="J99" s="918"/>
      <c r="K99" s="918"/>
      <c r="L99" s="918"/>
      <c r="M99" s="918"/>
      <c r="N99" s="918"/>
      <c r="O99" s="918"/>
      <c r="P99" s="918"/>
      <c r="Q99" s="918"/>
      <c r="R99" s="918"/>
      <c r="S99" s="918"/>
      <c r="T99" s="918"/>
      <c r="U99" s="918"/>
      <c r="V99" s="918"/>
      <c r="W99" s="918"/>
    </row>
    <row r="100" spans="1:23" s="48" customFormat="1" ht="15" customHeight="1" x14ac:dyDescent="0.2">
      <c r="A100" s="50" t="s">
        <v>1178</v>
      </c>
      <c r="B100" s="50"/>
      <c r="C100" s="972" t="str">
        <f ca="1">IFERROR(IF(C$10="","",C$53/C$68),"NA")</f>
        <v>NA</v>
      </c>
      <c r="D100" s="972" t="str">
        <f t="shared" ref="D100:W100" ca="1" si="31">IFERROR(IF(D$10="","",D$53/D$68),"NA")</f>
        <v>NA</v>
      </c>
      <c r="E100" s="972" t="str">
        <f t="shared" ca="1" si="31"/>
        <v>NA</v>
      </c>
      <c r="F100" s="972" t="str">
        <f t="shared" ca="1" si="31"/>
        <v>NA</v>
      </c>
      <c r="G100" s="972" t="str">
        <f t="shared" ca="1" si="31"/>
        <v>NA</v>
      </c>
      <c r="H100" s="972" t="str">
        <f t="shared" ca="1" si="31"/>
        <v>NA</v>
      </c>
      <c r="I100" s="972" t="str">
        <f t="shared" ca="1" si="31"/>
        <v>NA</v>
      </c>
      <c r="J100" s="972" t="str">
        <f t="shared" ca="1" si="31"/>
        <v>NA</v>
      </c>
      <c r="K100" s="972" t="str">
        <f t="shared" ca="1" si="31"/>
        <v>NA</v>
      </c>
      <c r="L100" s="972" t="str">
        <f t="shared" ca="1" si="31"/>
        <v>NA</v>
      </c>
      <c r="M100" s="972" t="str">
        <f t="shared" si="31"/>
        <v/>
      </c>
      <c r="N100" s="972" t="str">
        <f t="shared" si="31"/>
        <v/>
      </c>
      <c r="O100" s="972" t="str">
        <f t="shared" si="31"/>
        <v/>
      </c>
      <c r="P100" s="972" t="str">
        <f t="shared" si="31"/>
        <v/>
      </c>
      <c r="Q100" s="972" t="str">
        <f t="shared" si="31"/>
        <v/>
      </c>
      <c r="R100" s="972" t="str">
        <f t="shared" si="31"/>
        <v/>
      </c>
      <c r="S100" s="972" t="str">
        <f t="shared" si="31"/>
        <v/>
      </c>
      <c r="T100" s="972" t="str">
        <f t="shared" si="31"/>
        <v/>
      </c>
      <c r="U100" s="972" t="str">
        <f t="shared" si="31"/>
        <v/>
      </c>
      <c r="V100" s="972" t="str">
        <f t="shared" si="31"/>
        <v/>
      </c>
      <c r="W100" s="972" t="str">
        <f t="shared" si="31"/>
        <v/>
      </c>
    </row>
    <row r="101" spans="1:23" s="48" customFormat="1" ht="15" customHeight="1" x14ac:dyDescent="0.2">
      <c r="A101" s="50" t="s">
        <v>1179</v>
      </c>
      <c r="B101" s="50"/>
      <c r="C101" s="972" t="str">
        <f ca="1">IFERROR(IF(C$10="","",C$54/C$68),"NA")</f>
        <v>NA</v>
      </c>
      <c r="D101" s="972" t="str">
        <f t="shared" ref="D101:W101" ca="1" si="32">IFERROR(IF(D$10="","",D$54/D$68),"NA")</f>
        <v>NA</v>
      </c>
      <c r="E101" s="972" t="str">
        <f t="shared" ca="1" si="32"/>
        <v>NA</v>
      </c>
      <c r="F101" s="972" t="str">
        <f t="shared" ca="1" si="32"/>
        <v>NA</v>
      </c>
      <c r="G101" s="972" t="str">
        <f t="shared" ca="1" si="32"/>
        <v>NA</v>
      </c>
      <c r="H101" s="972" t="str">
        <f t="shared" ca="1" si="32"/>
        <v>NA</v>
      </c>
      <c r="I101" s="972" t="str">
        <f t="shared" ca="1" si="32"/>
        <v>NA</v>
      </c>
      <c r="J101" s="972" t="str">
        <f t="shared" ca="1" si="32"/>
        <v>NA</v>
      </c>
      <c r="K101" s="972" t="str">
        <f t="shared" ca="1" si="32"/>
        <v>NA</v>
      </c>
      <c r="L101" s="972" t="str">
        <f t="shared" ca="1" si="32"/>
        <v>NA</v>
      </c>
      <c r="M101" s="972" t="str">
        <f t="shared" si="32"/>
        <v/>
      </c>
      <c r="N101" s="972" t="str">
        <f t="shared" si="32"/>
        <v/>
      </c>
      <c r="O101" s="972" t="str">
        <f t="shared" si="32"/>
        <v/>
      </c>
      <c r="P101" s="972" t="str">
        <f t="shared" si="32"/>
        <v/>
      </c>
      <c r="Q101" s="972" t="str">
        <f t="shared" si="32"/>
        <v/>
      </c>
      <c r="R101" s="972" t="str">
        <f t="shared" si="32"/>
        <v/>
      </c>
      <c r="S101" s="972" t="str">
        <f t="shared" si="32"/>
        <v/>
      </c>
      <c r="T101" s="972" t="str">
        <f t="shared" si="32"/>
        <v/>
      </c>
      <c r="U101" s="972" t="str">
        <f t="shared" si="32"/>
        <v/>
      </c>
      <c r="V101" s="972" t="str">
        <f t="shared" si="32"/>
        <v/>
      </c>
      <c r="W101" s="972" t="str">
        <f t="shared" si="32"/>
        <v/>
      </c>
    </row>
    <row r="102" spans="1:23" s="48" customFormat="1" ht="15" customHeight="1" x14ac:dyDescent="0.2">
      <c r="A102" s="50" t="s">
        <v>1180</v>
      </c>
      <c r="B102" s="50"/>
      <c r="C102" s="972" t="str">
        <f ca="1">IFERROR(IF(C$10="","",C$35/C$68),"NA")</f>
        <v>NA</v>
      </c>
      <c r="D102" s="972" t="str">
        <f t="shared" ref="D102:W102" ca="1" si="33">IFERROR(IF(D$10="","",D$35/D$68),"NA")</f>
        <v>NA</v>
      </c>
      <c r="E102" s="972" t="str">
        <f t="shared" ca="1" si="33"/>
        <v>NA</v>
      </c>
      <c r="F102" s="972" t="str">
        <f t="shared" ca="1" si="33"/>
        <v>NA</v>
      </c>
      <c r="G102" s="972" t="str">
        <f t="shared" ca="1" si="33"/>
        <v>NA</v>
      </c>
      <c r="H102" s="972" t="str">
        <f t="shared" ca="1" si="33"/>
        <v>NA</v>
      </c>
      <c r="I102" s="972" t="str">
        <f t="shared" ca="1" si="33"/>
        <v>NA</v>
      </c>
      <c r="J102" s="972" t="str">
        <f t="shared" ca="1" si="33"/>
        <v>NA</v>
      </c>
      <c r="K102" s="972" t="str">
        <f t="shared" ca="1" si="33"/>
        <v>NA</v>
      </c>
      <c r="L102" s="972" t="str">
        <f t="shared" ca="1" si="33"/>
        <v>NA</v>
      </c>
      <c r="M102" s="972" t="str">
        <f t="shared" si="33"/>
        <v/>
      </c>
      <c r="N102" s="972" t="str">
        <f t="shared" si="33"/>
        <v/>
      </c>
      <c r="O102" s="972" t="str">
        <f t="shared" si="33"/>
        <v/>
      </c>
      <c r="P102" s="972" t="str">
        <f t="shared" si="33"/>
        <v/>
      </c>
      <c r="Q102" s="972" t="str">
        <f t="shared" si="33"/>
        <v/>
      </c>
      <c r="R102" s="972" t="str">
        <f t="shared" si="33"/>
        <v/>
      </c>
      <c r="S102" s="972" t="str">
        <f t="shared" si="33"/>
        <v/>
      </c>
      <c r="T102" s="972" t="str">
        <f t="shared" si="33"/>
        <v/>
      </c>
      <c r="U102" s="972" t="str">
        <f t="shared" si="33"/>
        <v/>
      </c>
      <c r="V102" s="972" t="str">
        <f t="shared" si="33"/>
        <v/>
      </c>
      <c r="W102" s="972" t="str">
        <f t="shared" si="33"/>
        <v/>
      </c>
    </row>
    <row r="103" spans="1:23" s="48" customFormat="1" ht="15" customHeight="1" x14ac:dyDescent="0.2">
      <c r="A103" s="50"/>
      <c r="B103" s="50"/>
      <c r="C103" s="36"/>
      <c r="D103" s="36"/>
      <c r="E103" s="36"/>
      <c r="F103" s="36"/>
      <c r="G103" s="36"/>
      <c r="H103" s="36"/>
      <c r="I103" s="36"/>
      <c r="J103" s="36"/>
      <c r="K103" s="36"/>
      <c r="L103" s="36"/>
      <c r="M103" s="36"/>
      <c r="N103" s="36"/>
      <c r="O103" s="36"/>
      <c r="P103" s="36"/>
      <c r="Q103" s="36"/>
      <c r="R103" s="36"/>
      <c r="S103" s="36"/>
      <c r="T103" s="36"/>
      <c r="U103" s="36"/>
      <c r="V103" s="36"/>
      <c r="W103" s="36"/>
    </row>
    <row r="104" spans="1:23" s="48" customFormat="1" ht="15" customHeight="1" x14ac:dyDescent="0.2">
      <c r="A104" s="916" t="s">
        <v>1172</v>
      </c>
      <c r="B104" s="916"/>
      <c r="C104" s="918"/>
      <c r="D104" s="918"/>
      <c r="E104" s="918"/>
      <c r="F104" s="918"/>
      <c r="G104" s="918"/>
      <c r="H104" s="918"/>
      <c r="I104" s="918"/>
      <c r="J104" s="918"/>
      <c r="K104" s="918"/>
      <c r="L104" s="918"/>
      <c r="M104" s="918"/>
      <c r="N104" s="918"/>
      <c r="O104" s="918"/>
      <c r="P104" s="918"/>
      <c r="Q104" s="918"/>
      <c r="R104" s="918"/>
      <c r="S104" s="918"/>
      <c r="T104" s="918"/>
      <c r="U104" s="918"/>
      <c r="V104" s="918"/>
      <c r="W104" s="918"/>
    </row>
    <row r="105" spans="1:23" ht="15" customHeight="1" x14ac:dyDescent="0.2">
      <c r="A105" s="25" t="s">
        <v>250</v>
      </c>
      <c r="C105" s="172" t="str">
        <f t="shared" ref="C105:W105" ca="1" si="34">IFERROR(IF(C$10="","",C70/C$53),"NA")</f>
        <v>NA</v>
      </c>
      <c r="D105" s="172" t="str">
        <f t="shared" ca="1" si="34"/>
        <v>NA</v>
      </c>
      <c r="E105" s="172" t="str">
        <f t="shared" ca="1" si="34"/>
        <v>NA</v>
      </c>
      <c r="F105" s="172" t="str">
        <f t="shared" ca="1" si="34"/>
        <v>NA</v>
      </c>
      <c r="G105" s="172" t="str">
        <f t="shared" ca="1" si="34"/>
        <v>NA</v>
      </c>
      <c r="H105" s="172" t="str">
        <f t="shared" ca="1" si="34"/>
        <v>NA</v>
      </c>
      <c r="I105" s="172" t="str">
        <f t="shared" ca="1" si="34"/>
        <v>NA</v>
      </c>
      <c r="J105" s="172" t="str">
        <f t="shared" ca="1" si="34"/>
        <v>NA</v>
      </c>
      <c r="K105" s="172" t="str">
        <f t="shared" ca="1" si="34"/>
        <v>NA</v>
      </c>
      <c r="L105" s="172" t="str">
        <f t="shared" ca="1" si="34"/>
        <v>NA</v>
      </c>
      <c r="M105" s="172" t="str">
        <f t="shared" si="34"/>
        <v/>
      </c>
      <c r="N105" s="172" t="str">
        <f t="shared" si="34"/>
        <v/>
      </c>
      <c r="O105" s="172" t="str">
        <f t="shared" si="34"/>
        <v/>
      </c>
      <c r="P105" s="172" t="str">
        <f t="shared" si="34"/>
        <v/>
      </c>
      <c r="Q105" s="172" t="str">
        <f t="shared" si="34"/>
        <v/>
      </c>
      <c r="R105" s="172" t="str">
        <f t="shared" si="34"/>
        <v/>
      </c>
      <c r="S105" s="172" t="str">
        <f t="shared" si="34"/>
        <v/>
      </c>
      <c r="T105" s="172" t="str">
        <f t="shared" si="34"/>
        <v/>
      </c>
      <c r="U105" s="172" t="str">
        <f t="shared" si="34"/>
        <v/>
      </c>
      <c r="V105" s="172" t="str">
        <f t="shared" si="34"/>
        <v/>
      </c>
      <c r="W105" s="172" t="str">
        <f t="shared" si="34"/>
        <v/>
      </c>
    </row>
    <row r="106" spans="1:23" ht="15" customHeight="1" x14ac:dyDescent="0.2">
      <c r="A106" s="25" t="s">
        <v>251</v>
      </c>
      <c r="C106" s="172" t="str">
        <f t="shared" ref="C106:W106" ca="1" si="35">IFERROR(IF(C$10="","",C71/C$53),"NA")</f>
        <v>NA</v>
      </c>
      <c r="D106" s="172" t="str">
        <f t="shared" ca="1" si="35"/>
        <v>NA</v>
      </c>
      <c r="E106" s="172" t="str">
        <f t="shared" ca="1" si="35"/>
        <v>NA</v>
      </c>
      <c r="F106" s="172" t="str">
        <f t="shared" ca="1" si="35"/>
        <v>NA</v>
      </c>
      <c r="G106" s="172" t="str">
        <f t="shared" ca="1" si="35"/>
        <v>NA</v>
      </c>
      <c r="H106" s="172" t="str">
        <f t="shared" ca="1" si="35"/>
        <v>NA</v>
      </c>
      <c r="I106" s="172" t="str">
        <f t="shared" ca="1" si="35"/>
        <v>NA</v>
      </c>
      <c r="J106" s="172" t="str">
        <f t="shared" ca="1" si="35"/>
        <v>NA</v>
      </c>
      <c r="K106" s="172" t="str">
        <f t="shared" ca="1" si="35"/>
        <v>NA</v>
      </c>
      <c r="L106" s="172" t="str">
        <f t="shared" ca="1" si="35"/>
        <v>NA</v>
      </c>
      <c r="M106" s="172" t="str">
        <f t="shared" si="35"/>
        <v/>
      </c>
      <c r="N106" s="172" t="str">
        <f t="shared" si="35"/>
        <v/>
      </c>
      <c r="O106" s="172" t="str">
        <f t="shared" si="35"/>
        <v/>
      </c>
      <c r="P106" s="172" t="str">
        <f t="shared" si="35"/>
        <v/>
      </c>
      <c r="Q106" s="172" t="str">
        <f t="shared" si="35"/>
        <v/>
      </c>
      <c r="R106" s="172" t="str">
        <f t="shared" si="35"/>
        <v/>
      </c>
      <c r="S106" s="172" t="str">
        <f t="shared" si="35"/>
        <v/>
      </c>
      <c r="T106" s="172" t="str">
        <f t="shared" si="35"/>
        <v/>
      </c>
      <c r="U106" s="172" t="str">
        <f t="shared" si="35"/>
        <v/>
      </c>
      <c r="V106" s="172" t="str">
        <f t="shared" si="35"/>
        <v/>
      </c>
      <c r="W106" s="172" t="str">
        <f t="shared" si="35"/>
        <v/>
      </c>
    </row>
    <row r="107" spans="1:23" ht="15" customHeight="1" x14ac:dyDescent="0.2">
      <c r="A107" s="25" t="s">
        <v>252</v>
      </c>
      <c r="C107" s="172" t="str">
        <f t="shared" ref="C107:W107" ca="1" si="36">IFERROR(IF(C$10="","",C72/C$53),"NA")</f>
        <v>NA</v>
      </c>
      <c r="D107" s="172" t="str">
        <f t="shared" ca="1" si="36"/>
        <v>NA</v>
      </c>
      <c r="E107" s="172" t="str">
        <f t="shared" ca="1" si="36"/>
        <v>NA</v>
      </c>
      <c r="F107" s="172" t="str">
        <f t="shared" ca="1" si="36"/>
        <v>NA</v>
      </c>
      <c r="G107" s="172" t="str">
        <f t="shared" ca="1" si="36"/>
        <v>NA</v>
      </c>
      <c r="H107" s="172" t="str">
        <f t="shared" ca="1" si="36"/>
        <v>NA</v>
      </c>
      <c r="I107" s="172" t="str">
        <f t="shared" ca="1" si="36"/>
        <v>NA</v>
      </c>
      <c r="J107" s="172" t="str">
        <f t="shared" ca="1" si="36"/>
        <v>NA</v>
      </c>
      <c r="K107" s="172" t="str">
        <f t="shared" ca="1" si="36"/>
        <v>NA</v>
      </c>
      <c r="L107" s="172" t="str">
        <f t="shared" ca="1" si="36"/>
        <v>NA</v>
      </c>
      <c r="M107" s="172" t="str">
        <f t="shared" si="36"/>
        <v/>
      </c>
      <c r="N107" s="172" t="str">
        <f t="shared" si="36"/>
        <v/>
      </c>
      <c r="O107" s="172" t="str">
        <f t="shared" si="36"/>
        <v/>
      </c>
      <c r="P107" s="172" t="str">
        <f t="shared" si="36"/>
        <v/>
      </c>
      <c r="Q107" s="172" t="str">
        <f t="shared" si="36"/>
        <v/>
      </c>
      <c r="R107" s="172" t="str">
        <f t="shared" si="36"/>
        <v/>
      </c>
      <c r="S107" s="172" t="str">
        <f t="shared" si="36"/>
        <v/>
      </c>
      <c r="T107" s="172" t="str">
        <f t="shared" si="36"/>
        <v/>
      </c>
      <c r="U107" s="172" t="str">
        <f t="shared" si="36"/>
        <v/>
      </c>
      <c r="V107" s="172" t="str">
        <f t="shared" si="36"/>
        <v/>
      </c>
      <c r="W107" s="172" t="str">
        <f t="shared" si="36"/>
        <v/>
      </c>
    </row>
    <row r="108" spans="1:23" ht="15" customHeight="1" x14ac:dyDescent="0.2">
      <c r="A108" s="25" t="s">
        <v>253</v>
      </c>
      <c r="C108" s="172" t="str">
        <f t="shared" ref="C108:W108" ca="1" si="37">IFERROR(IF(C$10="","",C73/C$53),"NA")</f>
        <v>NA</v>
      </c>
      <c r="D108" s="172" t="str">
        <f t="shared" ca="1" si="37"/>
        <v>NA</v>
      </c>
      <c r="E108" s="172" t="str">
        <f t="shared" ca="1" si="37"/>
        <v>NA</v>
      </c>
      <c r="F108" s="172" t="str">
        <f t="shared" ca="1" si="37"/>
        <v>NA</v>
      </c>
      <c r="G108" s="172" t="str">
        <f t="shared" ca="1" si="37"/>
        <v>NA</v>
      </c>
      <c r="H108" s="172" t="str">
        <f t="shared" ca="1" si="37"/>
        <v>NA</v>
      </c>
      <c r="I108" s="172" t="str">
        <f t="shared" ca="1" si="37"/>
        <v>NA</v>
      </c>
      <c r="J108" s="172" t="str">
        <f t="shared" ca="1" si="37"/>
        <v>NA</v>
      </c>
      <c r="K108" s="172" t="str">
        <f t="shared" ca="1" si="37"/>
        <v>NA</v>
      </c>
      <c r="L108" s="172" t="str">
        <f t="shared" ca="1" si="37"/>
        <v>NA</v>
      </c>
      <c r="M108" s="172" t="str">
        <f t="shared" si="37"/>
        <v/>
      </c>
      <c r="N108" s="172" t="str">
        <f t="shared" si="37"/>
        <v/>
      </c>
      <c r="O108" s="172" t="str">
        <f t="shared" si="37"/>
        <v/>
      </c>
      <c r="P108" s="172" t="str">
        <f t="shared" si="37"/>
        <v/>
      </c>
      <c r="Q108" s="172" t="str">
        <f t="shared" si="37"/>
        <v/>
      </c>
      <c r="R108" s="172" t="str">
        <f t="shared" si="37"/>
        <v/>
      </c>
      <c r="S108" s="172" t="str">
        <f t="shared" si="37"/>
        <v/>
      </c>
      <c r="T108" s="172" t="str">
        <f t="shared" si="37"/>
        <v/>
      </c>
      <c r="U108" s="172" t="str">
        <f t="shared" si="37"/>
        <v/>
      </c>
      <c r="V108" s="172" t="str">
        <f t="shared" si="37"/>
        <v/>
      </c>
      <c r="W108" s="172" t="str">
        <f t="shared" si="37"/>
        <v/>
      </c>
    </row>
    <row r="109" spans="1:23" ht="15" customHeight="1" x14ac:dyDescent="0.2">
      <c r="A109" s="25" t="s">
        <v>254</v>
      </c>
      <c r="C109" s="172" t="str">
        <f t="shared" ref="C109:W109" ca="1" si="38">IFERROR(IF(C$10="","",C74/C$53),"NA")</f>
        <v>NA</v>
      </c>
      <c r="D109" s="172" t="str">
        <f t="shared" ca="1" si="38"/>
        <v>NA</v>
      </c>
      <c r="E109" s="172" t="str">
        <f t="shared" ca="1" si="38"/>
        <v>NA</v>
      </c>
      <c r="F109" s="172" t="str">
        <f t="shared" ca="1" si="38"/>
        <v>NA</v>
      </c>
      <c r="G109" s="172" t="str">
        <f t="shared" ca="1" si="38"/>
        <v>NA</v>
      </c>
      <c r="H109" s="172" t="str">
        <f t="shared" ca="1" si="38"/>
        <v>NA</v>
      </c>
      <c r="I109" s="172" t="str">
        <f t="shared" ca="1" si="38"/>
        <v>NA</v>
      </c>
      <c r="J109" s="172" t="str">
        <f t="shared" ca="1" si="38"/>
        <v>NA</v>
      </c>
      <c r="K109" s="172" t="str">
        <f t="shared" ca="1" si="38"/>
        <v>NA</v>
      </c>
      <c r="L109" s="172" t="str">
        <f t="shared" ca="1" si="38"/>
        <v>NA</v>
      </c>
      <c r="M109" s="172" t="str">
        <f t="shared" si="38"/>
        <v/>
      </c>
      <c r="N109" s="172" t="str">
        <f t="shared" si="38"/>
        <v/>
      </c>
      <c r="O109" s="172" t="str">
        <f t="shared" si="38"/>
        <v/>
      </c>
      <c r="P109" s="172" t="str">
        <f t="shared" si="38"/>
        <v/>
      </c>
      <c r="Q109" s="172" t="str">
        <f t="shared" si="38"/>
        <v/>
      </c>
      <c r="R109" s="172" t="str">
        <f t="shared" si="38"/>
        <v/>
      </c>
      <c r="S109" s="172" t="str">
        <f t="shared" si="38"/>
        <v/>
      </c>
      <c r="T109" s="172" t="str">
        <f t="shared" si="38"/>
        <v/>
      </c>
      <c r="U109" s="172" t="str">
        <f t="shared" si="38"/>
        <v/>
      </c>
      <c r="V109" s="172" t="str">
        <f t="shared" si="38"/>
        <v/>
      </c>
      <c r="W109" s="172" t="str">
        <f t="shared" si="38"/>
        <v/>
      </c>
    </row>
    <row r="110" spans="1:23" s="48" customFormat="1" ht="15" customHeight="1" x14ac:dyDescent="0.2">
      <c r="C110" s="172"/>
      <c r="D110" s="172"/>
      <c r="E110" s="172"/>
      <c r="F110" s="172"/>
      <c r="G110" s="172"/>
      <c r="H110" s="172"/>
      <c r="I110" s="172"/>
      <c r="J110" s="172"/>
      <c r="K110" s="172"/>
      <c r="L110" s="172"/>
      <c r="M110" s="172"/>
      <c r="N110" s="172"/>
      <c r="O110" s="172"/>
      <c r="P110" s="172"/>
      <c r="Q110" s="172"/>
      <c r="R110" s="172"/>
      <c r="S110" s="172"/>
      <c r="T110" s="172"/>
      <c r="U110" s="172"/>
      <c r="V110" s="172"/>
      <c r="W110" s="172"/>
    </row>
    <row r="111" spans="1:23" s="48" customFormat="1" ht="15" customHeight="1" x14ac:dyDescent="0.2">
      <c r="A111" s="916" t="s">
        <v>1170</v>
      </c>
      <c r="B111" s="916"/>
      <c r="C111" s="918"/>
      <c r="D111" s="918"/>
      <c r="E111" s="918"/>
      <c r="F111" s="918"/>
      <c r="G111" s="918"/>
      <c r="H111" s="918"/>
      <c r="I111" s="918"/>
      <c r="J111" s="918"/>
      <c r="K111" s="918"/>
      <c r="L111" s="918"/>
      <c r="M111" s="918"/>
      <c r="N111" s="918"/>
      <c r="O111" s="918"/>
      <c r="P111" s="918"/>
      <c r="Q111" s="918"/>
      <c r="R111" s="918"/>
      <c r="S111" s="918"/>
      <c r="T111" s="918"/>
      <c r="U111" s="918"/>
      <c r="V111" s="918"/>
      <c r="W111" s="918"/>
    </row>
    <row r="112" spans="1:23" s="48" customFormat="1" ht="15" customHeight="1" x14ac:dyDescent="0.2">
      <c r="A112" s="48" t="s">
        <v>217</v>
      </c>
      <c r="C112" s="172" t="str">
        <f ca="1">IFERROR(IF(C$10="","",C$20/SUM(C$20:C$21,C$26)),"NA")</f>
        <v>NA</v>
      </c>
      <c r="D112" s="172" t="str">
        <f t="shared" ref="D112:W112" ca="1" si="39">IFERROR(IF(D$10="","",D$20/SUM(D$20:D$21,D$26)),"NA")</f>
        <v>NA</v>
      </c>
      <c r="E112" s="172" t="str">
        <f t="shared" ca="1" si="39"/>
        <v>NA</v>
      </c>
      <c r="F112" s="172" t="str">
        <f t="shared" ca="1" si="39"/>
        <v>NA</v>
      </c>
      <c r="G112" s="172" t="str">
        <f t="shared" ca="1" si="39"/>
        <v>NA</v>
      </c>
      <c r="H112" s="172" t="str">
        <f t="shared" ca="1" si="39"/>
        <v>NA</v>
      </c>
      <c r="I112" s="172" t="str">
        <f t="shared" ca="1" si="39"/>
        <v>NA</v>
      </c>
      <c r="J112" s="172" t="str">
        <f t="shared" ca="1" si="39"/>
        <v>NA</v>
      </c>
      <c r="K112" s="172" t="str">
        <f t="shared" ca="1" si="39"/>
        <v>NA</v>
      </c>
      <c r="L112" s="172" t="str">
        <f t="shared" ca="1" si="39"/>
        <v>NA</v>
      </c>
      <c r="M112" s="172" t="str">
        <f t="shared" si="39"/>
        <v/>
      </c>
      <c r="N112" s="172" t="str">
        <f t="shared" si="39"/>
        <v/>
      </c>
      <c r="O112" s="172" t="str">
        <f t="shared" si="39"/>
        <v/>
      </c>
      <c r="P112" s="172" t="str">
        <f t="shared" si="39"/>
        <v/>
      </c>
      <c r="Q112" s="172" t="str">
        <f t="shared" si="39"/>
        <v/>
      </c>
      <c r="R112" s="172" t="str">
        <f t="shared" si="39"/>
        <v/>
      </c>
      <c r="S112" s="172" t="str">
        <f t="shared" si="39"/>
        <v/>
      </c>
      <c r="T112" s="172" t="str">
        <f t="shared" si="39"/>
        <v/>
      </c>
      <c r="U112" s="172" t="str">
        <f t="shared" si="39"/>
        <v/>
      </c>
      <c r="V112" s="172" t="str">
        <f t="shared" si="39"/>
        <v/>
      </c>
      <c r="W112" s="172" t="str">
        <f t="shared" si="39"/>
        <v/>
      </c>
    </row>
    <row r="113" spans="1:23" s="48" customFormat="1" ht="15" customHeight="1" x14ac:dyDescent="0.2">
      <c r="A113" s="48" t="s">
        <v>218</v>
      </c>
      <c r="C113" s="172" t="str">
        <f ca="1">IFERROR(IF(C$10="","",C$21/SUM(C$20:C$21,C$26)),"NA")</f>
        <v>NA</v>
      </c>
      <c r="D113" s="172" t="str">
        <f t="shared" ref="D113:W113" ca="1" si="40">IFERROR(IF(D$10="","",D$21/SUM(D$20:D$21,D$26)),"NA")</f>
        <v>NA</v>
      </c>
      <c r="E113" s="172" t="str">
        <f t="shared" ca="1" si="40"/>
        <v>NA</v>
      </c>
      <c r="F113" s="172" t="str">
        <f t="shared" ca="1" si="40"/>
        <v>NA</v>
      </c>
      <c r="G113" s="172" t="str">
        <f t="shared" ca="1" si="40"/>
        <v>NA</v>
      </c>
      <c r="H113" s="172" t="str">
        <f t="shared" ca="1" si="40"/>
        <v>NA</v>
      </c>
      <c r="I113" s="172" t="str">
        <f t="shared" ca="1" si="40"/>
        <v>NA</v>
      </c>
      <c r="J113" s="172" t="str">
        <f t="shared" ca="1" si="40"/>
        <v>NA</v>
      </c>
      <c r="K113" s="172" t="str">
        <f t="shared" ca="1" si="40"/>
        <v>NA</v>
      </c>
      <c r="L113" s="172" t="str">
        <f t="shared" ca="1" si="40"/>
        <v>NA</v>
      </c>
      <c r="M113" s="172" t="str">
        <f t="shared" si="40"/>
        <v/>
      </c>
      <c r="N113" s="172" t="str">
        <f t="shared" si="40"/>
        <v/>
      </c>
      <c r="O113" s="172" t="str">
        <f t="shared" si="40"/>
        <v/>
      </c>
      <c r="P113" s="172" t="str">
        <f t="shared" si="40"/>
        <v/>
      </c>
      <c r="Q113" s="172" t="str">
        <f t="shared" si="40"/>
        <v/>
      </c>
      <c r="R113" s="172" t="str">
        <f t="shared" si="40"/>
        <v/>
      </c>
      <c r="S113" s="172" t="str">
        <f t="shared" si="40"/>
        <v/>
      </c>
      <c r="T113" s="172" t="str">
        <f t="shared" si="40"/>
        <v/>
      </c>
      <c r="U113" s="172" t="str">
        <f t="shared" si="40"/>
        <v/>
      </c>
      <c r="V113" s="172" t="str">
        <f t="shared" si="40"/>
        <v/>
      </c>
      <c r="W113" s="172" t="str">
        <f t="shared" si="40"/>
        <v/>
      </c>
    </row>
    <row r="114" spans="1:23" s="48" customFormat="1" ht="15" customHeight="1" x14ac:dyDescent="0.2">
      <c r="A114" s="48" t="s">
        <v>1171</v>
      </c>
      <c r="C114" s="172" t="str">
        <f ca="1">IFERROR(IF(C$10="","",C$26/SUM(C$20:C$21,C$26)),"NA")</f>
        <v>NA</v>
      </c>
      <c r="D114" s="172" t="str">
        <f t="shared" ref="D114:W114" ca="1" si="41">IFERROR(IF(D$10="","",D$26/SUM(D$20:D$21,D$26)),"NA")</f>
        <v>NA</v>
      </c>
      <c r="E114" s="172" t="str">
        <f t="shared" ca="1" si="41"/>
        <v>NA</v>
      </c>
      <c r="F114" s="172" t="str">
        <f t="shared" ca="1" si="41"/>
        <v>NA</v>
      </c>
      <c r="G114" s="172" t="str">
        <f t="shared" ca="1" si="41"/>
        <v>NA</v>
      </c>
      <c r="H114" s="172" t="str">
        <f t="shared" ca="1" si="41"/>
        <v>NA</v>
      </c>
      <c r="I114" s="172" t="str">
        <f t="shared" ca="1" si="41"/>
        <v>NA</v>
      </c>
      <c r="J114" s="172" t="str">
        <f t="shared" ca="1" si="41"/>
        <v>NA</v>
      </c>
      <c r="K114" s="172" t="str">
        <f t="shared" ca="1" si="41"/>
        <v>NA</v>
      </c>
      <c r="L114" s="172" t="str">
        <f t="shared" ca="1" si="41"/>
        <v>NA</v>
      </c>
      <c r="M114" s="172" t="str">
        <f t="shared" si="41"/>
        <v/>
      </c>
      <c r="N114" s="172" t="str">
        <f t="shared" si="41"/>
        <v/>
      </c>
      <c r="O114" s="172" t="str">
        <f t="shared" si="41"/>
        <v/>
      </c>
      <c r="P114" s="172" t="str">
        <f t="shared" si="41"/>
        <v/>
      </c>
      <c r="Q114" s="172" t="str">
        <f t="shared" si="41"/>
        <v/>
      </c>
      <c r="R114" s="172" t="str">
        <f t="shared" si="41"/>
        <v/>
      </c>
      <c r="S114" s="172" t="str">
        <f t="shared" si="41"/>
        <v/>
      </c>
      <c r="T114" s="172" t="str">
        <f t="shared" si="41"/>
        <v/>
      </c>
      <c r="U114" s="172" t="str">
        <f t="shared" si="41"/>
        <v/>
      </c>
      <c r="V114" s="172" t="str">
        <f t="shared" si="41"/>
        <v/>
      </c>
      <c r="W114" s="172" t="str">
        <f t="shared" si="41"/>
        <v/>
      </c>
    </row>
    <row r="115" spans="1:23" s="48" customFormat="1" ht="15" customHeight="1" x14ac:dyDescent="0.2">
      <c r="C115" s="172"/>
      <c r="D115" s="172"/>
      <c r="E115" s="172"/>
      <c r="F115" s="172"/>
      <c r="G115" s="172"/>
      <c r="H115" s="172"/>
      <c r="I115" s="172"/>
      <c r="J115" s="172"/>
      <c r="K115" s="172"/>
      <c r="L115" s="172"/>
      <c r="M115" s="172"/>
      <c r="N115" s="172"/>
      <c r="O115" s="172"/>
      <c r="P115" s="172"/>
      <c r="Q115" s="172"/>
      <c r="R115" s="172"/>
      <c r="S115" s="172"/>
      <c r="T115" s="172"/>
      <c r="U115" s="172"/>
      <c r="V115" s="172"/>
      <c r="W115" s="172"/>
    </row>
    <row r="116" spans="1:23" ht="20.100000000000001" customHeight="1" thickBot="1" x14ac:dyDescent="0.25">
      <c r="A116" s="920" t="s">
        <v>354</v>
      </c>
      <c r="B116" s="920"/>
      <c r="C116" s="920"/>
      <c r="D116" s="921"/>
      <c r="E116" s="921"/>
      <c r="F116" s="921"/>
      <c r="G116" s="921"/>
      <c r="H116" s="921"/>
      <c r="I116" s="921"/>
      <c r="J116" s="921"/>
      <c r="K116" s="921"/>
      <c r="L116" s="921"/>
      <c r="M116" s="921"/>
      <c r="N116" s="921"/>
      <c r="O116" s="921"/>
      <c r="P116" s="921"/>
      <c r="Q116" s="921"/>
      <c r="R116" s="921"/>
      <c r="S116" s="921"/>
      <c r="T116" s="921"/>
      <c r="U116" s="921"/>
      <c r="V116" s="921"/>
      <c r="W116" s="921"/>
    </row>
    <row r="117" spans="1:23" ht="15" customHeight="1" x14ac:dyDescent="0.2">
      <c r="D117" s="157"/>
      <c r="E117" s="157"/>
      <c r="F117" s="157"/>
      <c r="G117" s="157"/>
      <c r="H117" s="157"/>
      <c r="I117" s="157"/>
      <c r="J117" s="157"/>
      <c r="K117" s="157"/>
      <c r="L117" s="157"/>
      <c r="M117" s="157"/>
      <c r="N117" s="157"/>
      <c r="O117" s="157"/>
      <c r="P117" s="157"/>
      <c r="Q117" s="157"/>
      <c r="R117" s="157"/>
      <c r="S117" s="157"/>
      <c r="T117" s="157"/>
      <c r="U117" s="157"/>
      <c r="V117" s="157"/>
      <c r="W117" s="157"/>
    </row>
    <row r="118" spans="1:23" ht="15" customHeight="1" x14ac:dyDescent="0.2">
      <c r="A118" s="878" t="s">
        <v>481</v>
      </c>
      <c r="B118" s="878"/>
      <c r="C118" s="878"/>
      <c r="D118" s="878"/>
      <c r="E118" s="915"/>
      <c r="F118" s="915"/>
      <c r="G118" s="915"/>
      <c r="H118" s="915"/>
      <c r="I118" s="915"/>
      <c r="J118" s="915"/>
      <c r="K118" s="915"/>
      <c r="L118" s="915"/>
      <c r="M118" s="915"/>
      <c r="N118" s="915"/>
      <c r="O118" s="915"/>
      <c r="P118" s="915"/>
      <c r="Q118" s="915"/>
      <c r="R118" s="915"/>
      <c r="S118" s="915"/>
      <c r="T118" s="915"/>
      <c r="U118" s="915"/>
      <c r="V118" s="915"/>
      <c r="W118" s="915"/>
    </row>
    <row r="119" spans="1:23" ht="15" customHeight="1" x14ac:dyDescent="0.2">
      <c r="A119" s="25" t="s">
        <v>214</v>
      </c>
      <c r="D119" s="172" t="str">
        <f t="shared" ref="D119:W119" ca="1" si="42">IFERROR(IF(D$10="","",(D16-$C16)/$C16),"NA")</f>
        <v>NA</v>
      </c>
      <c r="E119" s="172" t="str">
        <f t="shared" ca="1" si="42"/>
        <v>NA</v>
      </c>
      <c r="F119" s="172" t="str">
        <f t="shared" ca="1" si="42"/>
        <v>NA</v>
      </c>
      <c r="G119" s="172" t="str">
        <f t="shared" ca="1" si="42"/>
        <v>NA</v>
      </c>
      <c r="H119" s="172" t="str">
        <f t="shared" ca="1" si="42"/>
        <v>NA</v>
      </c>
      <c r="I119" s="172" t="str">
        <f t="shared" ca="1" si="42"/>
        <v>NA</v>
      </c>
      <c r="J119" s="172" t="str">
        <f t="shared" ca="1" si="42"/>
        <v>NA</v>
      </c>
      <c r="K119" s="172" t="str">
        <f t="shared" ca="1" si="42"/>
        <v>NA</v>
      </c>
      <c r="L119" s="172" t="str">
        <f t="shared" ca="1" si="42"/>
        <v>NA</v>
      </c>
      <c r="M119" s="172" t="str">
        <f t="shared" si="42"/>
        <v/>
      </c>
      <c r="N119" s="172" t="str">
        <f t="shared" si="42"/>
        <v/>
      </c>
      <c r="O119" s="172" t="str">
        <f t="shared" si="42"/>
        <v/>
      </c>
      <c r="P119" s="172" t="str">
        <f t="shared" si="42"/>
        <v/>
      </c>
      <c r="Q119" s="172" t="str">
        <f t="shared" si="42"/>
        <v/>
      </c>
      <c r="R119" s="172" t="str">
        <f t="shared" si="42"/>
        <v/>
      </c>
      <c r="S119" s="172" t="str">
        <f t="shared" si="42"/>
        <v/>
      </c>
      <c r="T119" s="172" t="str">
        <f t="shared" si="42"/>
        <v/>
      </c>
      <c r="U119" s="172" t="str">
        <f t="shared" si="42"/>
        <v/>
      </c>
      <c r="V119" s="172" t="str">
        <f t="shared" si="42"/>
        <v/>
      </c>
      <c r="W119" s="172" t="str">
        <f t="shared" si="42"/>
        <v/>
      </c>
    </row>
    <row r="120" spans="1:23" ht="15" customHeight="1" x14ac:dyDescent="0.2">
      <c r="A120" s="140" t="s">
        <v>215</v>
      </c>
      <c r="B120" s="140"/>
      <c r="C120" s="140"/>
      <c r="D120" s="172" t="str">
        <f t="shared" ref="D120:W120" ca="1" si="43">IFERROR(IF(D$10="","",(D17-$C17)/$C17),"NA")</f>
        <v>NA</v>
      </c>
      <c r="E120" s="172" t="str">
        <f t="shared" ca="1" si="43"/>
        <v>NA</v>
      </c>
      <c r="F120" s="172" t="str">
        <f t="shared" ca="1" si="43"/>
        <v>NA</v>
      </c>
      <c r="G120" s="172" t="str">
        <f t="shared" ca="1" si="43"/>
        <v>NA</v>
      </c>
      <c r="H120" s="172" t="str">
        <f t="shared" ca="1" si="43"/>
        <v>NA</v>
      </c>
      <c r="I120" s="172" t="str">
        <f t="shared" ca="1" si="43"/>
        <v>NA</v>
      </c>
      <c r="J120" s="172" t="str">
        <f t="shared" ca="1" si="43"/>
        <v>NA</v>
      </c>
      <c r="K120" s="172" t="str">
        <f t="shared" ca="1" si="43"/>
        <v>NA</v>
      </c>
      <c r="L120" s="172" t="str">
        <f t="shared" ca="1" si="43"/>
        <v>NA</v>
      </c>
      <c r="M120" s="172" t="str">
        <f t="shared" si="43"/>
        <v/>
      </c>
      <c r="N120" s="172" t="str">
        <f t="shared" si="43"/>
        <v/>
      </c>
      <c r="O120" s="172" t="str">
        <f t="shared" si="43"/>
        <v/>
      </c>
      <c r="P120" s="172" t="str">
        <f t="shared" si="43"/>
        <v/>
      </c>
      <c r="Q120" s="172" t="str">
        <f t="shared" si="43"/>
        <v/>
      </c>
      <c r="R120" s="172" t="str">
        <f t="shared" si="43"/>
        <v/>
      </c>
      <c r="S120" s="172" t="str">
        <f t="shared" si="43"/>
        <v/>
      </c>
      <c r="T120" s="172" t="str">
        <f t="shared" si="43"/>
        <v/>
      </c>
      <c r="U120" s="172" t="str">
        <f t="shared" si="43"/>
        <v/>
      </c>
      <c r="V120" s="172" t="str">
        <f t="shared" si="43"/>
        <v/>
      </c>
      <c r="W120" s="172" t="str">
        <f t="shared" si="43"/>
        <v/>
      </c>
    </row>
    <row r="121" spans="1:23" ht="15" customHeight="1" x14ac:dyDescent="0.2">
      <c r="A121" s="684" t="s">
        <v>255</v>
      </c>
      <c r="B121" s="159"/>
      <c r="C121" s="159"/>
      <c r="D121" s="182" t="str">
        <f t="shared" ref="D121:W121" ca="1" si="44">IFERROR(IF(D$10="","",(D18-$C18)/$C18),"NA")</f>
        <v>NA</v>
      </c>
      <c r="E121" s="182" t="str">
        <f t="shared" ca="1" si="44"/>
        <v>NA</v>
      </c>
      <c r="F121" s="182" t="str">
        <f t="shared" ca="1" si="44"/>
        <v>NA</v>
      </c>
      <c r="G121" s="182" t="str">
        <f t="shared" ca="1" si="44"/>
        <v>NA</v>
      </c>
      <c r="H121" s="182" t="str">
        <f t="shared" ca="1" si="44"/>
        <v>NA</v>
      </c>
      <c r="I121" s="182" t="str">
        <f t="shared" ca="1" si="44"/>
        <v>NA</v>
      </c>
      <c r="J121" s="182" t="str">
        <f t="shared" ca="1" si="44"/>
        <v>NA</v>
      </c>
      <c r="K121" s="182" t="str">
        <f t="shared" ca="1" si="44"/>
        <v>NA</v>
      </c>
      <c r="L121" s="182" t="str">
        <f t="shared" ca="1" si="44"/>
        <v>NA</v>
      </c>
      <c r="M121" s="182" t="str">
        <f t="shared" si="44"/>
        <v/>
      </c>
      <c r="N121" s="182" t="str">
        <f t="shared" si="44"/>
        <v/>
      </c>
      <c r="O121" s="182" t="str">
        <f t="shared" si="44"/>
        <v/>
      </c>
      <c r="P121" s="182" t="str">
        <f t="shared" si="44"/>
        <v/>
      </c>
      <c r="Q121" s="182" t="str">
        <f t="shared" si="44"/>
        <v/>
      </c>
      <c r="R121" s="182" t="str">
        <f t="shared" si="44"/>
        <v/>
      </c>
      <c r="S121" s="182" t="str">
        <f t="shared" si="44"/>
        <v/>
      </c>
      <c r="T121" s="182" t="str">
        <f t="shared" si="44"/>
        <v/>
      </c>
      <c r="U121" s="182" t="str">
        <f t="shared" si="44"/>
        <v/>
      </c>
      <c r="V121" s="182" t="str">
        <f t="shared" si="44"/>
        <v/>
      </c>
      <c r="W121" s="182" t="str">
        <f t="shared" si="44"/>
        <v/>
      </c>
    </row>
    <row r="122" spans="1:23" ht="15" customHeight="1" x14ac:dyDescent="0.2">
      <c r="D122" s="173"/>
      <c r="E122" s="173"/>
      <c r="F122" s="173"/>
      <c r="G122" s="173"/>
      <c r="H122" s="173"/>
      <c r="I122" s="173"/>
      <c r="J122" s="173"/>
      <c r="K122" s="173"/>
      <c r="L122" s="173"/>
      <c r="M122" s="173"/>
      <c r="N122" s="173"/>
      <c r="O122" s="173"/>
      <c r="P122" s="173"/>
      <c r="Q122" s="173"/>
      <c r="R122" s="173"/>
      <c r="S122" s="173"/>
      <c r="T122" s="173"/>
      <c r="U122" s="173"/>
      <c r="V122" s="173"/>
      <c r="W122" s="173"/>
    </row>
    <row r="123" spans="1:23" ht="15" customHeight="1" x14ac:dyDescent="0.2">
      <c r="A123" s="25" t="s">
        <v>217</v>
      </c>
      <c r="D123" s="172" t="str">
        <f t="shared" ref="D123:W123" ca="1" si="45">IFERROR(IF(D$10="","",(D20-$C20)/$C20),"NA")</f>
        <v>NA</v>
      </c>
      <c r="E123" s="172" t="str">
        <f t="shared" ca="1" si="45"/>
        <v>NA</v>
      </c>
      <c r="F123" s="172" t="str">
        <f t="shared" ca="1" si="45"/>
        <v>NA</v>
      </c>
      <c r="G123" s="172" t="str">
        <f t="shared" ca="1" si="45"/>
        <v>NA</v>
      </c>
      <c r="H123" s="172" t="str">
        <f t="shared" ca="1" si="45"/>
        <v>NA</v>
      </c>
      <c r="I123" s="172" t="str">
        <f t="shared" ca="1" si="45"/>
        <v>NA</v>
      </c>
      <c r="J123" s="172" t="str">
        <f t="shared" ca="1" si="45"/>
        <v>NA</v>
      </c>
      <c r="K123" s="172" t="str">
        <f t="shared" ca="1" si="45"/>
        <v>NA</v>
      </c>
      <c r="L123" s="172" t="str">
        <f t="shared" ca="1" si="45"/>
        <v>NA</v>
      </c>
      <c r="M123" s="172" t="str">
        <f t="shared" si="45"/>
        <v/>
      </c>
      <c r="N123" s="172" t="str">
        <f t="shared" si="45"/>
        <v/>
      </c>
      <c r="O123" s="172" t="str">
        <f t="shared" si="45"/>
        <v/>
      </c>
      <c r="P123" s="172" t="str">
        <f t="shared" si="45"/>
        <v/>
      </c>
      <c r="Q123" s="172" t="str">
        <f t="shared" si="45"/>
        <v/>
      </c>
      <c r="R123" s="172" t="str">
        <f t="shared" si="45"/>
        <v/>
      </c>
      <c r="S123" s="172" t="str">
        <f t="shared" si="45"/>
        <v/>
      </c>
      <c r="T123" s="172" t="str">
        <f t="shared" si="45"/>
        <v/>
      </c>
      <c r="U123" s="172" t="str">
        <f t="shared" si="45"/>
        <v/>
      </c>
      <c r="V123" s="172" t="str">
        <f t="shared" si="45"/>
        <v/>
      </c>
      <c r="W123" s="172" t="str">
        <f t="shared" si="45"/>
        <v/>
      </c>
    </row>
    <row r="124" spans="1:23" ht="15" customHeight="1" x14ac:dyDescent="0.2">
      <c r="A124" s="140" t="s">
        <v>218</v>
      </c>
      <c r="B124" s="140"/>
      <c r="C124" s="140"/>
      <c r="D124" s="172" t="str">
        <f t="shared" ref="D124:W124" ca="1" si="46">IFERROR(IF(D$10="","",(D21-$C21)/$C21),"NA")</f>
        <v>NA</v>
      </c>
      <c r="E124" s="172" t="str">
        <f t="shared" ca="1" si="46"/>
        <v>NA</v>
      </c>
      <c r="F124" s="172" t="str">
        <f t="shared" ca="1" si="46"/>
        <v>NA</v>
      </c>
      <c r="G124" s="172" t="str">
        <f t="shared" ca="1" si="46"/>
        <v>NA</v>
      </c>
      <c r="H124" s="172" t="str">
        <f t="shared" ca="1" si="46"/>
        <v>NA</v>
      </c>
      <c r="I124" s="172" t="str">
        <f t="shared" ca="1" si="46"/>
        <v>NA</v>
      </c>
      <c r="J124" s="172" t="str">
        <f t="shared" ca="1" si="46"/>
        <v>NA</v>
      </c>
      <c r="K124" s="172" t="str">
        <f t="shared" ca="1" si="46"/>
        <v>NA</v>
      </c>
      <c r="L124" s="172" t="str">
        <f t="shared" ca="1" si="46"/>
        <v>NA</v>
      </c>
      <c r="M124" s="172" t="str">
        <f t="shared" si="46"/>
        <v/>
      </c>
      <c r="N124" s="172" t="str">
        <f t="shared" si="46"/>
        <v/>
      </c>
      <c r="O124" s="172" t="str">
        <f t="shared" si="46"/>
        <v/>
      </c>
      <c r="P124" s="172" t="str">
        <f t="shared" si="46"/>
        <v/>
      </c>
      <c r="Q124" s="172" t="str">
        <f t="shared" si="46"/>
        <v/>
      </c>
      <c r="R124" s="172" t="str">
        <f t="shared" si="46"/>
        <v/>
      </c>
      <c r="S124" s="172" t="str">
        <f t="shared" si="46"/>
        <v/>
      </c>
      <c r="T124" s="172" t="str">
        <f t="shared" si="46"/>
        <v/>
      </c>
      <c r="U124" s="172" t="str">
        <f t="shared" si="46"/>
        <v/>
      </c>
      <c r="V124" s="172" t="str">
        <f t="shared" si="46"/>
        <v/>
      </c>
      <c r="W124" s="172" t="str">
        <f t="shared" si="46"/>
        <v/>
      </c>
    </row>
    <row r="125" spans="1:23" ht="15" customHeight="1" x14ac:dyDescent="0.2">
      <c r="A125" s="683" t="s">
        <v>219</v>
      </c>
      <c r="B125" s="175"/>
      <c r="C125" s="175"/>
      <c r="D125" s="182" t="str">
        <f t="shared" ref="D125:W125" ca="1" si="47">IFERROR(IF(D$10="","",(D22-$C22)/$C22),"NA")</f>
        <v>NA</v>
      </c>
      <c r="E125" s="182" t="str">
        <f t="shared" ca="1" si="47"/>
        <v>NA</v>
      </c>
      <c r="F125" s="182" t="str">
        <f t="shared" ca="1" si="47"/>
        <v>NA</v>
      </c>
      <c r="G125" s="182" t="str">
        <f t="shared" ca="1" si="47"/>
        <v>NA</v>
      </c>
      <c r="H125" s="182" t="str">
        <f t="shared" ca="1" si="47"/>
        <v>NA</v>
      </c>
      <c r="I125" s="182" t="str">
        <f t="shared" ca="1" si="47"/>
        <v>NA</v>
      </c>
      <c r="J125" s="182" t="str">
        <f t="shared" ca="1" si="47"/>
        <v>NA</v>
      </c>
      <c r="K125" s="182" t="str">
        <f t="shared" ca="1" si="47"/>
        <v>NA</v>
      </c>
      <c r="L125" s="182" t="str">
        <f t="shared" ca="1" si="47"/>
        <v>NA</v>
      </c>
      <c r="M125" s="182" t="str">
        <f t="shared" si="47"/>
        <v/>
      </c>
      <c r="N125" s="182" t="str">
        <f t="shared" si="47"/>
        <v/>
      </c>
      <c r="O125" s="182" t="str">
        <f t="shared" si="47"/>
        <v/>
      </c>
      <c r="P125" s="182" t="str">
        <f t="shared" si="47"/>
        <v/>
      </c>
      <c r="Q125" s="182" t="str">
        <f t="shared" si="47"/>
        <v/>
      </c>
      <c r="R125" s="182" t="str">
        <f t="shared" si="47"/>
        <v/>
      </c>
      <c r="S125" s="182" t="str">
        <f t="shared" si="47"/>
        <v/>
      </c>
      <c r="T125" s="182" t="str">
        <f t="shared" si="47"/>
        <v/>
      </c>
      <c r="U125" s="182" t="str">
        <f t="shared" si="47"/>
        <v/>
      </c>
      <c r="V125" s="182" t="str">
        <f t="shared" si="47"/>
        <v/>
      </c>
      <c r="W125" s="182" t="str">
        <f t="shared" si="47"/>
        <v/>
      </c>
    </row>
    <row r="126" spans="1:23" ht="15" customHeight="1" x14ac:dyDescent="0.2">
      <c r="D126" s="173"/>
      <c r="E126" s="173"/>
      <c r="F126" s="173"/>
      <c r="G126" s="173"/>
      <c r="H126" s="173"/>
      <c r="I126" s="173"/>
      <c r="J126" s="173"/>
      <c r="K126" s="173"/>
      <c r="L126" s="173"/>
      <c r="M126" s="173"/>
      <c r="N126" s="173"/>
      <c r="O126" s="173"/>
      <c r="P126" s="173"/>
      <c r="Q126" s="173"/>
      <c r="R126" s="173"/>
      <c r="S126" s="173"/>
      <c r="T126" s="173"/>
      <c r="U126" s="173"/>
      <c r="V126" s="173"/>
      <c r="W126" s="173"/>
    </row>
    <row r="127" spans="1:23" ht="15" customHeight="1" x14ac:dyDescent="0.2">
      <c r="A127" s="25" t="s">
        <v>0</v>
      </c>
      <c r="D127" s="172">
        <f t="shared" ref="D127:W127" ca="1" si="48">IFERROR(IF(D$10="","",(D24-$C24)/$C24),"NA")</f>
        <v>3.0734861049994924E-2</v>
      </c>
      <c r="E127" s="172">
        <f t="shared" ca="1" si="48"/>
        <v>5.4034232587527785E-2</v>
      </c>
      <c r="F127" s="172">
        <f t="shared" ca="1" si="48"/>
        <v>9.491250042311207E-2</v>
      </c>
      <c r="G127" s="172">
        <f t="shared" ca="1" si="48"/>
        <v>0.14920624174931457</v>
      </c>
      <c r="H127" s="172">
        <f t="shared" ca="1" si="48"/>
        <v>0.19610962551760711</v>
      </c>
      <c r="I127" s="172">
        <f t="shared" ca="1" si="48"/>
        <v>0.20893838359904771</v>
      </c>
      <c r="J127" s="172">
        <f t="shared" ca="1" si="48"/>
        <v>0.21733292714574237</v>
      </c>
      <c r="K127" s="172">
        <f t="shared" ca="1" si="48"/>
        <v>0.26243103273195006</v>
      </c>
      <c r="L127" s="172">
        <f t="shared" ca="1" si="48"/>
        <v>0.32927145742364239</v>
      </c>
      <c r="M127" s="172" t="str">
        <f t="shared" si="48"/>
        <v/>
      </c>
      <c r="N127" s="172" t="str">
        <f t="shared" si="48"/>
        <v/>
      </c>
      <c r="O127" s="172" t="str">
        <f t="shared" si="48"/>
        <v/>
      </c>
      <c r="P127" s="172" t="str">
        <f t="shared" si="48"/>
        <v/>
      </c>
      <c r="Q127" s="172" t="str">
        <f t="shared" si="48"/>
        <v/>
      </c>
      <c r="R127" s="172" t="str">
        <f t="shared" si="48"/>
        <v/>
      </c>
      <c r="S127" s="172" t="str">
        <f t="shared" si="48"/>
        <v/>
      </c>
      <c r="T127" s="172" t="str">
        <f t="shared" si="48"/>
        <v/>
      </c>
      <c r="U127" s="172" t="str">
        <f t="shared" si="48"/>
        <v/>
      </c>
      <c r="V127" s="172" t="str">
        <f t="shared" si="48"/>
        <v/>
      </c>
      <c r="W127" s="172" t="str">
        <f t="shared" si="48"/>
        <v/>
      </c>
    </row>
    <row r="128" spans="1:23" ht="15" customHeight="1" x14ac:dyDescent="0.2">
      <c r="A128" s="140" t="s">
        <v>38</v>
      </c>
      <c r="B128" s="140"/>
      <c r="C128" s="140"/>
      <c r="D128" s="172">
        <f t="shared" ref="D128:W128" ca="1" si="49">IFERROR(IF(D$10="","",(D25-$C25)/$C25),"NA")</f>
        <v>3.0734861049994924E-2</v>
      </c>
      <c r="E128" s="172">
        <f t="shared" ca="1" si="49"/>
        <v>5.4034232587527785E-2</v>
      </c>
      <c r="F128" s="172">
        <f t="shared" ca="1" si="49"/>
        <v>9.491250042311207E-2</v>
      </c>
      <c r="G128" s="172">
        <f t="shared" ca="1" si="49"/>
        <v>0.14920624174931457</v>
      </c>
      <c r="H128" s="172">
        <f t="shared" ca="1" si="49"/>
        <v>0.19610962551760711</v>
      </c>
      <c r="I128" s="172">
        <f t="shared" ca="1" si="49"/>
        <v>0.20893838359904771</v>
      </c>
      <c r="J128" s="172">
        <f t="shared" ca="1" si="49"/>
        <v>0.21733292714574237</v>
      </c>
      <c r="K128" s="172">
        <f t="shared" ca="1" si="49"/>
        <v>0.26243103273195006</v>
      </c>
      <c r="L128" s="172">
        <f t="shared" ca="1" si="49"/>
        <v>0.32927145742364239</v>
      </c>
      <c r="M128" s="172" t="str">
        <f t="shared" si="49"/>
        <v/>
      </c>
      <c r="N128" s="172" t="str">
        <f t="shared" si="49"/>
        <v/>
      </c>
      <c r="O128" s="172" t="str">
        <f t="shared" si="49"/>
        <v/>
      </c>
      <c r="P128" s="172" t="str">
        <f t="shared" si="49"/>
        <v/>
      </c>
      <c r="Q128" s="172" t="str">
        <f t="shared" si="49"/>
        <v/>
      </c>
      <c r="R128" s="172" t="str">
        <f t="shared" si="49"/>
        <v/>
      </c>
      <c r="S128" s="172" t="str">
        <f t="shared" si="49"/>
        <v/>
      </c>
      <c r="T128" s="172" t="str">
        <f t="shared" si="49"/>
        <v/>
      </c>
      <c r="U128" s="172" t="str">
        <f t="shared" si="49"/>
        <v/>
      </c>
      <c r="V128" s="172" t="str">
        <f t="shared" si="49"/>
        <v/>
      </c>
      <c r="W128" s="172" t="str">
        <f t="shared" si="49"/>
        <v/>
      </c>
    </row>
    <row r="129" spans="1:23" ht="15" customHeight="1" x14ac:dyDescent="0.2">
      <c r="A129" s="684" t="s">
        <v>40</v>
      </c>
      <c r="B129" s="159"/>
      <c r="C129" s="159"/>
      <c r="D129" s="182" t="str">
        <f t="shared" ref="D129:W129" ca="1" si="50">IFERROR(IF(D$10="","",(D26-$C26)/$C26),"NA")</f>
        <v>NA</v>
      </c>
      <c r="E129" s="182" t="str">
        <f t="shared" ca="1" si="50"/>
        <v>NA</v>
      </c>
      <c r="F129" s="182" t="str">
        <f t="shared" ca="1" si="50"/>
        <v>NA</v>
      </c>
      <c r="G129" s="182" t="str">
        <f t="shared" ca="1" si="50"/>
        <v>NA</v>
      </c>
      <c r="H129" s="182" t="str">
        <f t="shared" ca="1" si="50"/>
        <v>NA</v>
      </c>
      <c r="I129" s="182" t="str">
        <f t="shared" ca="1" si="50"/>
        <v>NA</v>
      </c>
      <c r="J129" s="182" t="str">
        <f t="shared" ca="1" si="50"/>
        <v>NA</v>
      </c>
      <c r="K129" s="182" t="str">
        <f t="shared" ca="1" si="50"/>
        <v>NA</v>
      </c>
      <c r="L129" s="182" t="str">
        <f t="shared" ca="1" si="50"/>
        <v>NA</v>
      </c>
      <c r="M129" s="182" t="str">
        <f t="shared" si="50"/>
        <v/>
      </c>
      <c r="N129" s="182" t="str">
        <f t="shared" si="50"/>
        <v/>
      </c>
      <c r="O129" s="182" t="str">
        <f t="shared" si="50"/>
        <v/>
      </c>
      <c r="P129" s="182" t="str">
        <f t="shared" si="50"/>
        <v/>
      </c>
      <c r="Q129" s="182" t="str">
        <f t="shared" si="50"/>
        <v/>
      </c>
      <c r="R129" s="182" t="str">
        <f t="shared" si="50"/>
        <v/>
      </c>
      <c r="S129" s="182" t="str">
        <f t="shared" si="50"/>
        <v/>
      </c>
      <c r="T129" s="182" t="str">
        <f t="shared" si="50"/>
        <v/>
      </c>
      <c r="U129" s="182" t="str">
        <f t="shared" si="50"/>
        <v/>
      </c>
      <c r="V129" s="182" t="str">
        <f t="shared" si="50"/>
        <v/>
      </c>
      <c r="W129" s="182" t="str">
        <f t="shared" si="50"/>
        <v/>
      </c>
    </row>
    <row r="130" spans="1:23" ht="15" customHeight="1" x14ac:dyDescent="0.2">
      <c r="D130" s="173"/>
      <c r="E130" s="173"/>
      <c r="F130" s="173"/>
      <c r="G130" s="173"/>
      <c r="H130" s="173"/>
      <c r="I130" s="173"/>
      <c r="J130" s="173"/>
      <c r="K130" s="173"/>
      <c r="L130" s="173"/>
      <c r="M130" s="173"/>
      <c r="N130" s="173"/>
      <c r="O130" s="173"/>
      <c r="P130" s="173"/>
      <c r="Q130" s="173"/>
      <c r="R130" s="173"/>
      <c r="S130" s="173"/>
      <c r="T130" s="173"/>
      <c r="U130" s="173"/>
      <c r="V130" s="173"/>
      <c r="W130" s="173"/>
    </row>
    <row r="131" spans="1:23" ht="15" customHeight="1" x14ac:dyDescent="0.2">
      <c r="A131" s="140" t="s">
        <v>43</v>
      </c>
      <c r="B131" s="140"/>
      <c r="C131" s="140"/>
      <c r="D131" s="172">
        <f t="shared" ref="D131:W131" ca="1" si="51">IFERROR(IF(D$10="","",(D28-$C28)/$C28),"NA")</f>
        <v>1.8471977883890423E-2</v>
      </c>
      <c r="E131" s="172">
        <f t="shared" ca="1" si="51"/>
        <v>3.3928122643880373E-3</v>
      </c>
      <c r="F131" s="172">
        <f t="shared" ca="1" si="51"/>
        <v>-0.17592359889419451</v>
      </c>
      <c r="G131" s="172">
        <f t="shared" ca="1" si="51"/>
        <v>-0.22040713747172658</v>
      </c>
      <c r="H131" s="172">
        <f t="shared" ca="1" si="51"/>
        <v>-0.42196531791907516</v>
      </c>
      <c r="I131" s="172">
        <f t="shared" ca="1" si="51"/>
        <v>-0.46205076652425231</v>
      </c>
      <c r="J131" s="172">
        <f t="shared" ca="1" si="51"/>
        <v>-0.38238250816788139</v>
      </c>
      <c r="K131" s="172">
        <f t="shared" ca="1" si="51"/>
        <v>-0.13822568484543854</v>
      </c>
      <c r="L131" s="172">
        <f t="shared" ca="1" si="51"/>
        <v>-0.40236240261372203</v>
      </c>
      <c r="M131" s="172" t="str">
        <f t="shared" si="51"/>
        <v/>
      </c>
      <c r="N131" s="172" t="str">
        <f t="shared" si="51"/>
        <v/>
      </c>
      <c r="O131" s="172" t="str">
        <f t="shared" si="51"/>
        <v/>
      </c>
      <c r="P131" s="172" t="str">
        <f t="shared" si="51"/>
        <v/>
      </c>
      <c r="Q131" s="172" t="str">
        <f t="shared" si="51"/>
        <v/>
      </c>
      <c r="R131" s="172" t="str">
        <f t="shared" si="51"/>
        <v/>
      </c>
      <c r="S131" s="172" t="str">
        <f t="shared" si="51"/>
        <v/>
      </c>
      <c r="T131" s="172" t="str">
        <f t="shared" si="51"/>
        <v/>
      </c>
      <c r="U131" s="172" t="str">
        <f t="shared" si="51"/>
        <v/>
      </c>
      <c r="V131" s="172" t="str">
        <f t="shared" si="51"/>
        <v/>
      </c>
      <c r="W131" s="172" t="str">
        <f t="shared" si="51"/>
        <v/>
      </c>
    </row>
    <row r="132" spans="1:23" ht="15" customHeight="1" x14ac:dyDescent="0.2">
      <c r="A132" s="170" t="s">
        <v>4</v>
      </c>
      <c r="B132" s="170"/>
      <c r="C132" s="170"/>
      <c r="D132" s="172">
        <f ca="1">IFERROR(IF(D$10="","",(D29-$C29)/$C29),"NA")</f>
        <v>-3.3257202388107546E-2</v>
      </c>
      <c r="E132" s="172">
        <f ca="1">IFERROR(IF(E$10="","",(E29-$C29)/$C29),"NA")</f>
        <v>-2.4401971390792164E-2</v>
      </c>
      <c r="F132" s="172">
        <f t="shared" ref="F132:W132" ca="1" si="52">IFERROR(IF(F$10="","",(F29-$C29)/$C29),"NA")</f>
        <v>-0.1484553431902873</v>
      </c>
      <c r="G132" s="172">
        <f t="shared" ca="1" si="52"/>
        <v>-0.20475217373883078</v>
      </c>
      <c r="H132" s="172">
        <f t="shared" ca="1" si="52"/>
        <v>-0.42052330007613092</v>
      </c>
      <c r="I132" s="172">
        <f t="shared" ca="1" si="52"/>
        <v>-0.56120527306967982</v>
      </c>
      <c r="J132" s="172">
        <f t="shared" ca="1" si="52"/>
        <v>-0.20679568858436512</v>
      </c>
      <c r="K132" s="172">
        <f t="shared" ca="1" si="52"/>
        <v>-0.18387626717954883</v>
      </c>
      <c r="L132" s="172">
        <f t="shared" ca="1" si="52"/>
        <v>-0.26156990022839283</v>
      </c>
      <c r="M132" s="172" t="str">
        <f t="shared" si="52"/>
        <v/>
      </c>
      <c r="N132" s="172" t="str">
        <f t="shared" si="52"/>
        <v/>
      </c>
      <c r="O132" s="172" t="str">
        <f t="shared" si="52"/>
        <v/>
      </c>
      <c r="P132" s="172" t="str">
        <f t="shared" si="52"/>
        <v/>
      </c>
      <c r="Q132" s="172" t="str">
        <f t="shared" si="52"/>
        <v/>
      </c>
      <c r="R132" s="172" t="str">
        <f t="shared" si="52"/>
        <v/>
      </c>
      <c r="S132" s="172" t="str">
        <f t="shared" si="52"/>
        <v/>
      </c>
      <c r="T132" s="172" t="str">
        <f t="shared" si="52"/>
        <v/>
      </c>
      <c r="U132" s="172" t="str">
        <f t="shared" si="52"/>
        <v/>
      </c>
      <c r="V132" s="172" t="str">
        <f t="shared" si="52"/>
        <v/>
      </c>
      <c r="W132" s="172" t="str">
        <f t="shared" si="52"/>
        <v/>
      </c>
    </row>
    <row r="133" spans="1:23" ht="15" customHeight="1" x14ac:dyDescent="0.2">
      <c r="A133" s="684" t="s">
        <v>228</v>
      </c>
      <c r="B133" s="159"/>
      <c r="C133" s="159"/>
      <c r="D133" s="182">
        <f t="shared" ref="D133:W133" ca="1" si="53">IFERROR(IF(D$10="","",(D30-$C30)/$C30),"NA")</f>
        <v>-5.7473969057003353E-2</v>
      </c>
      <c r="E133" s="182">
        <f t="shared" ca="1" si="53"/>
        <v>-3.7413965527383963E-2</v>
      </c>
      <c r="F133" s="182">
        <f t="shared" ca="1" si="53"/>
        <v>-0.13559621154185542</v>
      </c>
      <c r="G133" s="182">
        <f t="shared" ca="1" si="53"/>
        <v>-0.19742337784575564</v>
      </c>
      <c r="H133" s="182">
        <f t="shared" ca="1" si="53"/>
        <v>-0.41984822636625685</v>
      </c>
      <c r="I133" s="182">
        <f t="shared" ca="1" si="53"/>
        <v>-0.60762397788105182</v>
      </c>
      <c r="J133" s="182">
        <f t="shared" ca="1" si="53"/>
        <v>-0.12459556444496735</v>
      </c>
      <c r="K133" s="182">
        <f t="shared" ca="1" si="53"/>
        <v>-0.20524736749220543</v>
      </c>
      <c r="L133" s="182">
        <f t="shared" ca="1" si="53"/>
        <v>-0.19565856815106772</v>
      </c>
      <c r="M133" s="182" t="str">
        <f t="shared" si="53"/>
        <v/>
      </c>
      <c r="N133" s="182" t="str">
        <f t="shared" si="53"/>
        <v/>
      </c>
      <c r="O133" s="182" t="str">
        <f t="shared" si="53"/>
        <v/>
      </c>
      <c r="P133" s="182" t="str">
        <f t="shared" si="53"/>
        <v/>
      </c>
      <c r="Q133" s="182" t="str">
        <f t="shared" si="53"/>
        <v/>
      </c>
      <c r="R133" s="182" t="str">
        <f t="shared" si="53"/>
        <v/>
      </c>
      <c r="S133" s="182" t="str">
        <f t="shared" si="53"/>
        <v/>
      </c>
      <c r="T133" s="182" t="str">
        <f t="shared" si="53"/>
        <v/>
      </c>
      <c r="U133" s="182" t="str">
        <f t="shared" si="53"/>
        <v/>
      </c>
      <c r="V133" s="182" t="str">
        <f t="shared" si="53"/>
        <v/>
      </c>
      <c r="W133" s="182" t="str">
        <f t="shared" si="53"/>
        <v/>
      </c>
    </row>
    <row r="134" spans="1:23" ht="15" customHeight="1" x14ac:dyDescent="0.2">
      <c r="D134" s="157"/>
      <c r="E134" s="157"/>
      <c r="F134" s="157"/>
      <c r="G134" s="157"/>
      <c r="H134" s="157"/>
      <c r="I134" s="157"/>
      <c r="J134" s="157"/>
      <c r="K134" s="157"/>
      <c r="L134" s="157"/>
      <c r="M134" s="157"/>
      <c r="N134" s="157"/>
      <c r="O134" s="157"/>
      <c r="P134" s="157"/>
      <c r="Q134" s="157"/>
      <c r="R134" s="157"/>
      <c r="S134" s="157"/>
      <c r="T134" s="157"/>
      <c r="U134" s="157"/>
      <c r="V134" s="157"/>
      <c r="W134" s="157"/>
    </row>
    <row r="135" spans="1:23" ht="15" customHeight="1" x14ac:dyDescent="0.2">
      <c r="A135" s="916" t="s">
        <v>229</v>
      </c>
      <c r="B135" s="916"/>
      <c r="C135" s="916"/>
      <c r="D135" s="919"/>
      <c r="E135" s="919"/>
      <c r="F135" s="919"/>
      <c r="G135" s="919"/>
      <c r="H135" s="919"/>
      <c r="I135" s="919"/>
      <c r="J135" s="919"/>
      <c r="K135" s="919"/>
      <c r="L135" s="919"/>
      <c r="M135" s="919"/>
      <c r="N135" s="919"/>
      <c r="O135" s="919"/>
      <c r="P135" s="919"/>
      <c r="Q135" s="919"/>
      <c r="R135" s="919"/>
      <c r="S135" s="919"/>
      <c r="T135" s="919"/>
      <c r="U135" s="919"/>
      <c r="V135" s="919"/>
      <c r="W135" s="919"/>
    </row>
    <row r="136" spans="1:23" ht="15" customHeight="1" x14ac:dyDescent="0.2">
      <c r="A136" s="27" t="s">
        <v>30</v>
      </c>
      <c r="B136" s="27"/>
      <c r="C136" s="27"/>
      <c r="D136" s="181" t="str">
        <f t="shared" ref="D136:W136" ca="1" si="54">IFERROR(IF(D$10="","",(D33-$C33)/$C33),"NA")</f>
        <v>NA</v>
      </c>
      <c r="E136" s="181" t="str">
        <f t="shared" ca="1" si="54"/>
        <v>NA</v>
      </c>
      <c r="F136" s="181" t="str">
        <f t="shared" ca="1" si="54"/>
        <v>NA</v>
      </c>
      <c r="G136" s="181" t="str">
        <f t="shared" ca="1" si="54"/>
        <v>NA</v>
      </c>
      <c r="H136" s="181" t="str">
        <f t="shared" ca="1" si="54"/>
        <v>NA</v>
      </c>
      <c r="I136" s="181" t="str">
        <f t="shared" ca="1" si="54"/>
        <v>NA</v>
      </c>
      <c r="J136" s="181" t="str">
        <f t="shared" ca="1" si="54"/>
        <v>NA</v>
      </c>
      <c r="K136" s="181" t="str">
        <f t="shared" ca="1" si="54"/>
        <v>NA</v>
      </c>
      <c r="L136" s="181" t="str">
        <f t="shared" ca="1" si="54"/>
        <v>NA</v>
      </c>
      <c r="M136" s="181" t="str">
        <f t="shared" si="54"/>
        <v/>
      </c>
      <c r="N136" s="181" t="str">
        <f t="shared" si="54"/>
        <v/>
      </c>
      <c r="O136" s="181" t="str">
        <f t="shared" si="54"/>
        <v/>
      </c>
      <c r="P136" s="181" t="str">
        <f t="shared" si="54"/>
        <v/>
      </c>
      <c r="Q136" s="181" t="str">
        <f t="shared" si="54"/>
        <v/>
      </c>
      <c r="R136" s="181" t="str">
        <f t="shared" si="54"/>
        <v/>
      </c>
      <c r="S136" s="181" t="str">
        <f t="shared" si="54"/>
        <v/>
      </c>
      <c r="T136" s="181" t="str">
        <f t="shared" si="54"/>
        <v/>
      </c>
      <c r="U136" s="181" t="str">
        <f t="shared" si="54"/>
        <v/>
      </c>
      <c r="V136" s="181" t="str">
        <f t="shared" si="54"/>
        <v/>
      </c>
      <c r="W136" s="181" t="str">
        <f t="shared" si="54"/>
        <v/>
      </c>
    </row>
    <row r="137" spans="1:23" ht="15" customHeight="1" x14ac:dyDescent="0.2">
      <c r="A137" s="27" t="s">
        <v>50</v>
      </c>
      <c r="B137" s="27"/>
      <c r="C137" s="27"/>
      <c r="D137" s="172">
        <f t="shared" ref="D137:W137" ca="1" si="55">IFERROR(IF(D$10="","",(D34-$C34)/$C34),"NA")</f>
        <v>-3.9201932818954094E-2</v>
      </c>
      <c r="E137" s="172">
        <f t="shared" ca="1" si="55"/>
        <v>-3.3629491076299589E-2</v>
      </c>
      <c r="F137" s="172">
        <f t="shared" ca="1" si="55"/>
        <v>-0.15680773127581638</v>
      </c>
      <c r="G137" s="172">
        <f t="shared" ca="1" si="55"/>
        <v>-0.20127036084482894</v>
      </c>
      <c r="H137" s="172">
        <f t="shared" ca="1" si="55"/>
        <v>-0.41068505962122981</v>
      </c>
      <c r="I137" s="172">
        <f t="shared" ca="1" si="55"/>
        <v>-0.55342529810614915</v>
      </c>
      <c r="J137" s="172">
        <f t="shared" ca="1" si="55"/>
        <v>-0.21611721611721613</v>
      </c>
      <c r="K137" s="172">
        <f t="shared" ca="1" si="55"/>
        <v>-0.19865949653183695</v>
      </c>
      <c r="L137" s="172">
        <f t="shared" ca="1" si="55"/>
        <v>-0.27145195230301611</v>
      </c>
      <c r="M137" s="172" t="str">
        <f t="shared" si="55"/>
        <v/>
      </c>
      <c r="N137" s="172" t="str">
        <f t="shared" si="55"/>
        <v/>
      </c>
      <c r="O137" s="172" t="str">
        <f t="shared" si="55"/>
        <v/>
      </c>
      <c r="P137" s="172" t="str">
        <f t="shared" si="55"/>
        <v/>
      </c>
      <c r="Q137" s="172" t="str">
        <f t="shared" si="55"/>
        <v/>
      </c>
      <c r="R137" s="172" t="str">
        <f t="shared" si="55"/>
        <v/>
      </c>
      <c r="S137" s="172" t="str">
        <f t="shared" si="55"/>
        <v/>
      </c>
      <c r="T137" s="172" t="str">
        <f t="shared" si="55"/>
        <v/>
      </c>
      <c r="U137" s="172" t="str">
        <f t="shared" si="55"/>
        <v/>
      </c>
      <c r="V137" s="172" t="str">
        <f t="shared" si="55"/>
        <v/>
      </c>
      <c r="W137" s="172" t="str">
        <f t="shared" si="55"/>
        <v/>
      </c>
    </row>
    <row r="138" spans="1:23" ht="15" customHeight="1" x14ac:dyDescent="0.2">
      <c r="A138" s="27" t="s">
        <v>6</v>
      </c>
      <c r="B138" s="27"/>
      <c r="C138" s="27"/>
      <c r="D138" s="172">
        <f t="shared" ref="D138:W138" ca="1" si="56">IFERROR(IF(D$10="","",(D35-$C35)/$C35),"NA")</f>
        <v>-5.7473969057003353E-2</v>
      </c>
      <c r="E138" s="172">
        <f t="shared" ca="1" si="56"/>
        <v>-3.7413965527383963E-2</v>
      </c>
      <c r="F138" s="172">
        <f t="shared" ca="1" si="56"/>
        <v>-0.13559621154185542</v>
      </c>
      <c r="G138" s="172">
        <f t="shared" ca="1" si="56"/>
        <v>-0.19742337784575564</v>
      </c>
      <c r="H138" s="172">
        <f t="shared" ca="1" si="56"/>
        <v>-0.41984822636625685</v>
      </c>
      <c r="I138" s="172">
        <f t="shared" ca="1" si="56"/>
        <v>-0.60762397788105182</v>
      </c>
      <c r="J138" s="172">
        <f t="shared" ca="1" si="56"/>
        <v>-0.12459556444496735</v>
      </c>
      <c r="K138" s="172">
        <f t="shared" ca="1" si="56"/>
        <v>-0.20524736749220543</v>
      </c>
      <c r="L138" s="172">
        <f t="shared" ca="1" si="56"/>
        <v>-0.19565856815106772</v>
      </c>
      <c r="M138" s="172" t="str">
        <f t="shared" si="56"/>
        <v/>
      </c>
      <c r="N138" s="172" t="str">
        <f t="shared" si="56"/>
        <v/>
      </c>
      <c r="O138" s="172" t="str">
        <f t="shared" si="56"/>
        <v/>
      </c>
      <c r="P138" s="172" t="str">
        <f t="shared" si="56"/>
        <v/>
      </c>
      <c r="Q138" s="172" t="str">
        <f t="shared" si="56"/>
        <v/>
      </c>
      <c r="R138" s="172" t="str">
        <f t="shared" si="56"/>
        <v/>
      </c>
      <c r="S138" s="172" t="str">
        <f t="shared" si="56"/>
        <v/>
      </c>
      <c r="T138" s="172" t="str">
        <f t="shared" si="56"/>
        <v/>
      </c>
      <c r="U138" s="172" t="str">
        <f t="shared" si="56"/>
        <v/>
      </c>
      <c r="V138" s="172" t="str">
        <f t="shared" si="56"/>
        <v/>
      </c>
      <c r="W138" s="172" t="str">
        <f t="shared" si="56"/>
        <v/>
      </c>
    </row>
    <row r="139" spans="1:23" ht="15" customHeight="1" x14ac:dyDescent="0.2">
      <c r="A139" s="27"/>
      <c r="B139" s="27"/>
      <c r="C139" s="27"/>
      <c r="D139" s="157"/>
      <c r="E139" s="157"/>
      <c r="F139" s="157"/>
      <c r="G139" s="157"/>
      <c r="H139" s="157"/>
      <c r="I139" s="157"/>
      <c r="J139" s="157"/>
      <c r="K139" s="157"/>
      <c r="L139" s="157"/>
      <c r="M139" s="157"/>
      <c r="N139" s="157"/>
      <c r="O139" s="157"/>
      <c r="P139" s="157"/>
      <c r="Q139" s="157"/>
      <c r="R139" s="157"/>
      <c r="S139" s="157"/>
      <c r="T139" s="157"/>
      <c r="U139" s="157"/>
      <c r="V139" s="157"/>
      <c r="W139" s="157"/>
    </row>
    <row r="140" spans="1:23" ht="15" customHeight="1" x14ac:dyDescent="0.2">
      <c r="A140" s="916" t="s">
        <v>234</v>
      </c>
      <c r="B140" s="916"/>
      <c r="C140" s="916"/>
      <c r="D140" s="915"/>
      <c r="E140" s="915"/>
      <c r="F140" s="915"/>
      <c r="G140" s="915"/>
      <c r="H140" s="915"/>
      <c r="I140" s="915"/>
      <c r="J140" s="915"/>
      <c r="K140" s="915"/>
      <c r="L140" s="915"/>
      <c r="M140" s="915"/>
      <c r="N140" s="915"/>
      <c r="O140" s="915"/>
      <c r="P140" s="915"/>
      <c r="Q140" s="915"/>
      <c r="R140" s="915"/>
      <c r="S140" s="915"/>
      <c r="T140" s="915"/>
      <c r="U140" s="915"/>
      <c r="V140" s="915"/>
      <c r="W140" s="915"/>
    </row>
    <row r="141" spans="1:23" ht="15" customHeight="1" x14ac:dyDescent="0.2">
      <c r="A141" s="25" t="s">
        <v>235</v>
      </c>
      <c r="D141" s="172">
        <f t="shared" ref="D141:W141" ca="1" si="57">IFERROR(IF(D$10="","",(D38-$C38)/$C38),"NA")</f>
        <v>-5.7721791263357754E-2</v>
      </c>
      <c r="E141" s="172">
        <f t="shared" ca="1" si="57"/>
        <v>-4.898057252694455E-2</v>
      </c>
      <c r="F141" s="172">
        <f t="shared" ca="1" si="57"/>
        <v>-0.14471064735360739</v>
      </c>
      <c r="G141" s="172">
        <f t="shared" ca="1" si="57"/>
        <v>-0.18283334477471905</v>
      </c>
      <c r="H141" s="172">
        <f t="shared" ca="1" si="57"/>
        <v>-0.25762568362280036</v>
      </c>
      <c r="I141" s="172">
        <f t="shared" ca="1" si="57"/>
        <v>-0.25906729823116176</v>
      </c>
      <c r="J141" s="172">
        <f t="shared" ca="1" si="57"/>
        <v>-0.32638841216448128</v>
      </c>
      <c r="K141" s="172">
        <f t="shared" ca="1" si="57"/>
        <v>-0.21184869911443666</v>
      </c>
      <c r="L141" s="172">
        <f t="shared" ca="1" si="57"/>
        <v>-0.25403308848767764</v>
      </c>
      <c r="M141" s="172" t="str">
        <f t="shared" si="57"/>
        <v/>
      </c>
      <c r="N141" s="172" t="str">
        <f t="shared" si="57"/>
        <v/>
      </c>
      <c r="O141" s="172" t="str">
        <f t="shared" si="57"/>
        <v/>
      </c>
      <c r="P141" s="172" t="str">
        <f t="shared" si="57"/>
        <v/>
      </c>
      <c r="Q141" s="172" t="str">
        <f t="shared" si="57"/>
        <v/>
      </c>
      <c r="R141" s="172" t="str">
        <f t="shared" si="57"/>
        <v/>
      </c>
      <c r="S141" s="172" t="str">
        <f t="shared" si="57"/>
        <v/>
      </c>
      <c r="T141" s="172" t="str">
        <f t="shared" si="57"/>
        <v/>
      </c>
      <c r="U141" s="172" t="str">
        <f t="shared" si="57"/>
        <v/>
      </c>
      <c r="V141" s="172" t="str">
        <f t="shared" si="57"/>
        <v/>
      </c>
      <c r="W141" s="172" t="str">
        <f t="shared" si="57"/>
        <v/>
      </c>
    </row>
    <row r="142" spans="1:23" ht="15" customHeight="1" x14ac:dyDescent="0.2">
      <c r="A142" s="25" t="s">
        <v>105</v>
      </c>
      <c r="D142" s="172">
        <f t="shared" ref="D142:W142" ca="1" si="58">IFERROR(IF(D$10="","",(D39-$C39)/$C39),"NA")</f>
        <v>-0.10287064213615857</v>
      </c>
      <c r="E142" s="172">
        <f t="shared" ca="1" si="58"/>
        <v>-0.10849022836280343</v>
      </c>
      <c r="F142" s="172">
        <f t="shared" ca="1" si="58"/>
        <v>-0.20411267807287575</v>
      </c>
      <c r="G142" s="172">
        <f t="shared" ca="1" si="58"/>
        <v>-0.22082378838857475</v>
      </c>
      <c r="H142" s="172">
        <f t="shared" ca="1" si="58"/>
        <v>-0.41642655165008224</v>
      </c>
      <c r="I142" s="172">
        <f t="shared" ca="1" si="58"/>
        <v>-0.59964027489440908</v>
      </c>
      <c r="J142" s="172">
        <f t="shared" ca="1" si="58"/>
        <v>-0.15610458873219274</v>
      </c>
      <c r="K142" s="172">
        <f t="shared" ca="1" si="58"/>
        <v>-0.27463938005583799</v>
      </c>
      <c r="L142" s="172">
        <f t="shared" ca="1" si="58"/>
        <v>-0.30476859474550794</v>
      </c>
      <c r="M142" s="172" t="str">
        <f t="shared" si="58"/>
        <v/>
      </c>
      <c r="N142" s="172" t="str">
        <f t="shared" si="58"/>
        <v/>
      </c>
      <c r="O142" s="172" t="str">
        <f t="shared" si="58"/>
        <v/>
      </c>
      <c r="P142" s="172" t="str">
        <f t="shared" si="58"/>
        <v/>
      </c>
      <c r="Q142" s="172" t="str">
        <f t="shared" si="58"/>
        <v/>
      </c>
      <c r="R142" s="172" t="str">
        <f t="shared" si="58"/>
        <v/>
      </c>
      <c r="S142" s="172" t="str">
        <f t="shared" si="58"/>
        <v/>
      </c>
      <c r="T142" s="172" t="str">
        <f t="shared" si="58"/>
        <v/>
      </c>
      <c r="U142" s="172" t="str">
        <f t="shared" si="58"/>
        <v/>
      </c>
      <c r="V142" s="172" t="str">
        <f t="shared" si="58"/>
        <v/>
      </c>
      <c r="W142" s="172" t="str">
        <f t="shared" si="58"/>
        <v/>
      </c>
    </row>
    <row r="143" spans="1:23" ht="15" customHeight="1" x14ac:dyDescent="0.2">
      <c r="A143" s="25" t="s">
        <v>107</v>
      </c>
      <c r="D143" s="172">
        <f t="shared" ref="D143:W143" si="59">IFERROR(IF(D$10="","",(D40-$C40)/$C40),"NA")</f>
        <v>-7.2670700628716486E-2</v>
      </c>
      <c r="E143" s="172">
        <f t="shared" si="59"/>
        <v>-7.6987763825958927E-2</v>
      </c>
      <c r="F143" s="172">
        <f t="shared" si="59"/>
        <v>-0.16978648067929261</v>
      </c>
      <c r="G143" s="172">
        <f t="shared" si="59"/>
        <v>-0.21085484238148747</v>
      </c>
      <c r="H143" s="172">
        <f t="shared" si="59"/>
        <v>-0.40973654569217766</v>
      </c>
      <c r="I143" s="172">
        <f t="shared" si="59"/>
        <v>-0.61557349713105802</v>
      </c>
      <c r="J143" s="172">
        <f t="shared" si="59"/>
        <v>-0.23566583569779465</v>
      </c>
      <c r="K143" s="172">
        <f t="shared" si="59"/>
        <v>-0.34536619149657288</v>
      </c>
      <c r="L143" s="172">
        <f t="shared" si="59"/>
        <v>-0.33491245343319648</v>
      </c>
      <c r="M143" s="172" t="str">
        <f t="shared" si="59"/>
        <v/>
      </c>
      <c r="N143" s="172" t="str">
        <f t="shared" si="59"/>
        <v/>
      </c>
      <c r="O143" s="172" t="str">
        <f t="shared" si="59"/>
        <v/>
      </c>
      <c r="P143" s="172" t="str">
        <f t="shared" si="59"/>
        <v/>
      </c>
      <c r="Q143" s="172" t="str">
        <f t="shared" si="59"/>
        <v/>
      </c>
      <c r="R143" s="172" t="str">
        <f t="shared" si="59"/>
        <v/>
      </c>
      <c r="S143" s="172" t="str">
        <f t="shared" si="59"/>
        <v/>
      </c>
      <c r="T143" s="172" t="str">
        <f t="shared" si="59"/>
        <v/>
      </c>
      <c r="U143" s="172" t="str">
        <f t="shared" si="59"/>
        <v/>
      </c>
      <c r="V143" s="172" t="str">
        <f t="shared" si="59"/>
        <v/>
      </c>
      <c r="W143" s="172" t="str">
        <f t="shared" si="59"/>
        <v/>
      </c>
    </row>
    <row r="144" spans="1:23" ht="15" customHeight="1" x14ac:dyDescent="0.2">
      <c r="D144" s="157"/>
      <c r="E144" s="157"/>
      <c r="F144" s="157"/>
      <c r="G144" s="157"/>
      <c r="H144" s="157"/>
      <c r="I144" s="157"/>
      <c r="J144" s="157"/>
      <c r="K144" s="157"/>
      <c r="L144" s="157"/>
      <c r="M144" s="157"/>
      <c r="N144" s="157"/>
      <c r="O144" s="157"/>
      <c r="P144" s="157"/>
      <c r="Q144" s="157"/>
      <c r="R144" s="157"/>
      <c r="S144" s="157"/>
      <c r="T144" s="157"/>
      <c r="U144" s="157"/>
      <c r="V144" s="157"/>
      <c r="W144" s="157"/>
    </row>
    <row r="145" spans="1:23" ht="15" customHeight="1" x14ac:dyDescent="0.2">
      <c r="A145" s="25" t="s">
        <v>238</v>
      </c>
      <c r="D145" s="172" t="str">
        <f t="shared" ref="D145:W145" ca="1" si="60">IFERROR(IF(D$10="","",(D42-$C42)/$C42),"NA")</f>
        <v>NA</v>
      </c>
      <c r="E145" s="172" t="str">
        <f t="shared" ca="1" si="60"/>
        <v>NA</v>
      </c>
      <c r="F145" s="172" t="str">
        <f t="shared" ca="1" si="60"/>
        <v>NA</v>
      </c>
      <c r="G145" s="172" t="str">
        <f t="shared" ca="1" si="60"/>
        <v>NA</v>
      </c>
      <c r="H145" s="172" t="str">
        <f t="shared" ca="1" si="60"/>
        <v>NA</v>
      </c>
      <c r="I145" s="172" t="str">
        <f t="shared" ca="1" si="60"/>
        <v>NA</v>
      </c>
      <c r="J145" s="172" t="str">
        <f t="shared" ca="1" si="60"/>
        <v>NA</v>
      </c>
      <c r="K145" s="172" t="str">
        <f t="shared" ca="1" si="60"/>
        <v>NA</v>
      </c>
      <c r="L145" s="172" t="str">
        <f t="shared" ca="1" si="60"/>
        <v>NA</v>
      </c>
      <c r="M145" s="172" t="str">
        <f t="shared" si="60"/>
        <v/>
      </c>
      <c r="N145" s="172" t="str">
        <f t="shared" si="60"/>
        <v/>
      </c>
      <c r="O145" s="172" t="str">
        <f t="shared" si="60"/>
        <v/>
      </c>
      <c r="P145" s="172" t="str">
        <f t="shared" si="60"/>
        <v/>
      </c>
      <c r="Q145" s="172" t="str">
        <f t="shared" si="60"/>
        <v/>
      </c>
      <c r="R145" s="172" t="str">
        <f t="shared" si="60"/>
        <v/>
      </c>
      <c r="S145" s="172" t="str">
        <f t="shared" si="60"/>
        <v/>
      </c>
      <c r="T145" s="172" t="str">
        <f t="shared" si="60"/>
        <v/>
      </c>
      <c r="U145" s="172" t="str">
        <f t="shared" si="60"/>
        <v/>
      </c>
      <c r="V145" s="172" t="str">
        <f t="shared" si="60"/>
        <v/>
      </c>
      <c r="W145" s="172" t="str">
        <f t="shared" si="60"/>
        <v/>
      </c>
    </row>
    <row r="146" spans="1:23" ht="15" customHeight="1" x14ac:dyDescent="0.2">
      <c r="A146" s="25" t="s">
        <v>239</v>
      </c>
      <c r="D146" s="172" t="str">
        <f t="shared" ref="D146:W146" ca="1" si="61">IFERROR(IF(D$10="","",(D43-$C43)/$C43),"NA")</f>
        <v>NA</v>
      </c>
      <c r="E146" s="172" t="str">
        <f t="shared" ca="1" si="61"/>
        <v>NA</v>
      </c>
      <c r="F146" s="172" t="str">
        <f t="shared" ca="1" si="61"/>
        <v>NA</v>
      </c>
      <c r="G146" s="172" t="str">
        <f t="shared" ca="1" si="61"/>
        <v>NA</v>
      </c>
      <c r="H146" s="172" t="str">
        <f t="shared" ca="1" si="61"/>
        <v>NA</v>
      </c>
      <c r="I146" s="172" t="str">
        <f t="shared" ca="1" si="61"/>
        <v>NA</v>
      </c>
      <c r="J146" s="172" t="str">
        <f t="shared" ca="1" si="61"/>
        <v>NA</v>
      </c>
      <c r="K146" s="172" t="str">
        <f t="shared" ca="1" si="61"/>
        <v>NA</v>
      </c>
      <c r="L146" s="172" t="str">
        <f t="shared" ca="1" si="61"/>
        <v>NA</v>
      </c>
      <c r="M146" s="172" t="str">
        <f t="shared" si="61"/>
        <v/>
      </c>
      <c r="N146" s="172" t="str">
        <f t="shared" si="61"/>
        <v/>
      </c>
      <c r="O146" s="172" t="str">
        <f t="shared" si="61"/>
        <v/>
      </c>
      <c r="P146" s="172" t="str">
        <f t="shared" si="61"/>
        <v/>
      </c>
      <c r="Q146" s="172" t="str">
        <f t="shared" si="61"/>
        <v/>
      </c>
      <c r="R146" s="172" t="str">
        <f t="shared" si="61"/>
        <v/>
      </c>
      <c r="S146" s="172" t="str">
        <f t="shared" si="61"/>
        <v/>
      </c>
      <c r="T146" s="172" t="str">
        <f t="shared" si="61"/>
        <v/>
      </c>
      <c r="U146" s="172" t="str">
        <f t="shared" si="61"/>
        <v/>
      </c>
      <c r="V146" s="172" t="str">
        <f t="shared" si="61"/>
        <v/>
      </c>
      <c r="W146" s="172" t="str">
        <f t="shared" si="61"/>
        <v/>
      </c>
    </row>
    <row r="147" spans="1:23" s="48" customFormat="1" ht="15" customHeight="1" x14ac:dyDescent="0.2">
      <c r="A147" s="48" t="s">
        <v>232</v>
      </c>
      <c r="D147" s="172" t="str">
        <f t="shared" ref="D147:W147" ca="1" si="62">IFERROR(IF(D$10="","",(D44-$C44)/$C44),"NA")</f>
        <v>NA</v>
      </c>
      <c r="E147" s="172" t="str">
        <f t="shared" ca="1" si="62"/>
        <v>NA</v>
      </c>
      <c r="F147" s="172" t="str">
        <f t="shared" ca="1" si="62"/>
        <v>NA</v>
      </c>
      <c r="G147" s="172" t="str">
        <f t="shared" ca="1" si="62"/>
        <v>NA</v>
      </c>
      <c r="H147" s="172" t="str">
        <f t="shared" ca="1" si="62"/>
        <v>NA</v>
      </c>
      <c r="I147" s="172" t="str">
        <f t="shared" ca="1" si="62"/>
        <v>NA</v>
      </c>
      <c r="J147" s="172" t="str">
        <f t="shared" ca="1" si="62"/>
        <v>NA</v>
      </c>
      <c r="K147" s="172" t="str">
        <f t="shared" ca="1" si="62"/>
        <v>NA</v>
      </c>
      <c r="L147" s="172" t="str">
        <f t="shared" ca="1" si="62"/>
        <v>NA</v>
      </c>
      <c r="M147" s="172" t="str">
        <f t="shared" si="62"/>
        <v/>
      </c>
      <c r="N147" s="172" t="str">
        <f t="shared" si="62"/>
        <v/>
      </c>
      <c r="O147" s="172" t="str">
        <f t="shared" si="62"/>
        <v/>
      </c>
      <c r="P147" s="172" t="str">
        <f t="shared" si="62"/>
        <v/>
      </c>
      <c r="Q147" s="172" t="str">
        <f t="shared" si="62"/>
        <v/>
      </c>
      <c r="R147" s="172" t="str">
        <f t="shared" si="62"/>
        <v/>
      </c>
      <c r="S147" s="172" t="str">
        <f t="shared" si="62"/>
        <v/>
      </c>
      <c r="T147" s="172" t="str">
        <f t="shared" si="62"/>
        <v/>
      </c>
      <c r="U147" s="172" t="str">
        <f t="shared" si="62"/>
        <v/>
      </c>
      <c r="V147" s="172" t="str">
        <f t="shared" si="62"/>
        <v/>
      </c>
      <c r="W147" s="172" t="str">
        <f t="shared" si="62"/>
        <v/>
      </c>
    </row>
    <row r="148" spans="1:23" ht="15" customHeight="1" x14ac:dyDescent="0.2">
      <c r="A148" s="25" t="s">
        <v>240</v>
      </c>
      <c r="D148" s="172" t="str">
        <f t="shared" ref="D148:W148" ca="1" si="63">IFERROR(IF(D$10="","",(D45-$C45)/$C45),"NA")</f>
        <v>NA</v>
      </c>
      <c r="E148" s="172" t="str">
        <f t="shared" ca="1" si="63"/>
        <v>NA</v>
      </c>
      <c r="F148" s="172" t="str">
        <f t="shared" ca="1" si="63"/>
        <v>NA</v>
      </c>
      <c r="G148" s="172" t="str">
        <f t="shared" ca="1" si="63"/>
        <v>NA</v>
      </c>
      <c r="H148" s="172" t="str">
        <f t="shared" ca="1" si="63"/>
        <v>NA</v>
      </c>
      <c r="I148" s="172" t="str">
        <f t="shared" ca="1" si="63"/>
        <v>NA</v>
      </c>
      <c r="J148" s="172" t="str">
        <f t="shared" ca="1" si="63"/>
        <v>NA</v>
      </c>
      <c r="K148" s="172" t="str">
        <f t="shared" ca="1" si="63"/>
        <v>NA</v>
      </c>
      <c r="L148" s="172" t="str">
        <f t="shared" ca="1" si="63"/>
        <v>NA</v>
      </c>
      <c r="M148" s="172" t="str">
        <f t="shared" si="63"/>
        <v/>
      </c>
      <c r="N148" s="172" t="str">
        <f t="shared" si="63"/>
        <v/>
      </c>
      <c r="O148" s="172" t="str">
        <f t="shared" si="63"/>
        <v/>
      </c>
      <c r="P148" s="172" t="str">
        <f t="shared" si="63"/>
        <v/>
      </c>
      <c r="Q148" s="172" t="str">
        <f t="shared" si="63"/>
        <v/>
      </c>
      <c r="R148" s="172" t="str">
        <f t="shared" si="63"/>
        <v/>
      </c>
      <c r="S148" s="172" t="str">
        <f t="shared" si="63"/>
        <v/>
      </c>
      <c r="T148" s="172" t="str">
        <f t="shared" si="63"/>
        <v/>
      </c>
      <c r="U148" s="172" t="str">
        <f t="shared" si="63"/>
        <v/>
      </c>
      <c r="V148" s="172" t="str">
        <f t="shared" si="63"/>
        <v/>
      </c>
      <c r="W148" s="172" t="str">
        <f t="shared" si="63"/>
        <v/>
      </c>
    </row>
    <row r="149" spans="1:23" ht="15" customHeight="1" x14ac:dyDescent="0.2">
      <c r="D149" s="157"/>
      <c r="E149" s="157"/>
      <c r="F149" s="157"/>
      <c r="G149" s="157"/>
      <c r="H149" s="157"/>
      <c r="I149" s="157"/>
      <c r="J149" s="157"/>
      <c r="K149" s="157"/>
      <c r="L149" s="157"/>
      <c r="M149" s="157"/>
      <c r="N149" s="157"/>
      <c r="O149" s="157"/>
      <c r="P149" s="157"/>
      <c r="Q149" s="157"/>
      <c r="R149" s="157"/>
      <c r="S149" s="157"/>
      <c r="T149" s="157"/>
      <c r="U149" s="157"/>
      <c r="V149" s="157"/>
      <c r="W149" s="157"/>
    </row>
    <row r="150" spans="1:23" ht="15" customHeight="1" x14ac:dyDescent="0.2">
      <c r="A150" s="25" t="s">
        <v>241</v>
      </c>
      <c r="D150" s="172" t="str">
        <f t="shared" ref="D150:W150" ca="1" si="64">IFERROR(IF(D$10="","",(D47-$C47)/$C47),"NA")</f>
        <v>NA</v>
      </c>
      <c r="E150" s="172" t="str">
        <f t="shared" ca="1" si="64"/>
        <v>NA</v>
      </c>
      <c r="F150" s="172" t="str">
        <f t="shared" ca="1" si="64"/>
        <v>NA</v>
      </c>
      <c r="G150" s="172" t="str">
        <f t="shared" ca="1" si="64"/>
        <v>NA</v>
      </c>
      <c r="H150" s="172" t="str">
        <f t="shared" ca="1" si="64"/>
        <v>NA</v>
      </c>
      <c r="I150" s="172" t="str">
        <f t="shared" ca="1" si="64"/>
        <v>NA</v>
      </c>
      <c r="J150" s="172" t="str">
        <f t="shared" ca="1" si="64"/>
        <v>NA</v>
      </c>
      <c r="K150" s="172" t="str">
        <f t="shared" ca="1" si="64"/>
        <v>NA</v>
      </c>
      <c r="L150" s="172" t="str">
        <f t="shared" ca="1" si="64"/>
        <v>NA</v>
      </c>
      <c r="M150" s="172" t="str">
        <f t="shared" si="64"/>
        <v/>
      </c>
      <c r="N150" s="172" t="str">
        <f t="shared" si="64"/>
        <v/>
      </c>
      <c r="O150" s="172" t="str">
        <f t="shared" si="64"/>
        <v/>
      </c>
      <c r="P150" s="172" t="str">
        <f t="shared" si="64"/>
        <v/>
      </c>
      <c r="Q150" s="172" t="str">
        <f t="shared" si="64"/>
        <v/>
      </c>
      <c r="R150" s="172" t="str">
        <f t="shared" si="64"/>
        <v/>
      </c>
      <c r="S150" s="172" t="str">
        <f t="shared" si="64"/>
        <v/>
      </c>
      <c r="T150" s="172" t="str">
        <f t="shared" si="64"/>
        <v/>
      </c>
      <c r="U150" s="172" t="str">
        <f t="shared" si="64"/>
        <v/>
      </c>
      <c r="V150" s="172" t="str">
        <f t="shared" si="64"/>
        <v/>
      </c>
      <c r="W150" s="172" t="str">
        <f t="shared" si="64"/>
        <v/>
      </c>
    </row>
    <row r="151" spans="1:23" ht="15" customHeight="1" x14ac:dyDescent="0.2">
      <c r="A151" s="25" t="s">
        <v>242</v>
      </c>
      <c r="D151" s="172" t="str">
        <f t="shared" ref="D151:W151" ca="1" si="65">IFERROR(IF(D$10="","",(D48-$C48)/$C48),"NA")</f>
        <v>NA</v>
      </c>
      <c r="E151" s="172" t="str">
        <f t="shared" ca="1" si="65"/>
        <v>NA</v>
      </c>
      <c r="F151" s="172" t="str">
        <f t="shared" ca="1" si="65"/>
        <v>NA</v>
      </c>
      <c r="G151" s="172" t="str">
        <f t="shared" ca="1" si="65"/>
        <v>NA</v>
      </c>
      <c r="H151" s="172" t="str">
        <f t="shared" ca="1" si="65"/>
        <v>NA</v>
      </c>
      <c r="I151" s="172" t="str">
        <f t="shared" ca="1" si="65"/>
        <v>NA</v>
      </c>
      <c r="J151" s="172" t="str">
        <f t="shared" ca="1" si="65"/>
        <v>NA</v>
      </c>
      <c r="K151" s="172" t="str">
        <f t="shared" ca="1" si="65"/>
        <v>NA</v>
      </c>
      <c r="L151" s="172" t="str">
        <f t="shared" ca="1" si="65"/>
        <v>NA</v>
      </c>
      <c r="M151" s="172" t="str">
        <f t="shared" si="65"/>
        <v/>
      </c>
      <c r="N151" s="172" t="str">
        <f t="shared" si="65"/>
        <v/>
      </c>
      <c r="O151" s="172" t="str">
        <f t="shared" si="65"/>
        <v/>
      </c>
      <c r="P151" s="172" t="str">
        <f t="shared" si="65"/>
        <v/>
      </c>
      <c r="Q151" s="172" t="str">
        <f t="shared" si="65"/>
        <v/>
      </c>
      <c r="R151" s="172" t="str">
        <f t="shared" si="65"/>
        <v/>
      </c>
      <c r="S151" s="172" t="str">
        <f t="shared" si="65"/>
        <v/>
      </c>
      <c r="T151" s="172" t="str">
        <f t="shared" si="65"/>
        <v/>
      </c>
      <c r="U151" s="172" t="str">
        <f t="shared" si="65"/>
        <v/>
      </c>
      <c r="V151" s="172" t="str">
        <f t="shared" si="65"/>
        <v/>
      </c>
      <c r="W151" s="172" t="str">
        <f t="shared" si="65"/>
        <v/>
      </c>
    </row>
    <row r="152" spans="1:23" ht="15" customHeight="1" x14ac:dyDescent="0.2">
      <c r="A152" s="25" t="s">
        <v>243</v>
      </c>
      <c r="D152" s="172" t="str">
        <f t="shared" ref="D152:W152" ca="1" si="66">IFERROR(IF(D$10="","",(D49-$C49)/$C49),"NA")</f>
        <v>NA</v>
      </c>
      <c r="E152" s="172" t="str">
        <f t="shared" ca="1" si="66"/>
        <v>NA</v>
      </c>
      <c r="F152" s="172" t="str">
        <f t="shared" ca="1" si="66"/>
        <v>NA</v>
      </c>
      <c r="G152" s="172" t="str">
        <f t="shared" ca="1" si="66"/>
        <v>NA</v>
      </c>
      <c r="H152" s="172" t="str">
        <f t="shared" ca="1" si="66"/>
        <v>NA</v>
      </c>
      <c r="I152" s="172" t="str">
        <f t="shared" ca="1" si="66"/>
        <v>NA</v>
      </c>
      <c r="J152" s="172" t="str">
        <f t="shared" ca="1" si="66"/>
        <v>NA</v>
      </c>
      <c r="K152" s="172" t="str">
        <f t="shared" ca="1" si="66"/>
        <v>NA</v>
      </c>
      <c r="L152" s="172" t="str">
        <f t="shared" ca="1" si="66"/>
        <v>NA</v>
      </c>
      <c r="M152" s="172" t="str">
        <f t="shared" si="66"/>
        <v/>
      </c>
      <c r="N152" s="172" t="str">
        <f t="shared" si="66"/>
        <v/>
      </c>
      <c r="O152" s="172" t="str">
        <f t="shared" si="66"/>
        <v/>
      </c>
      <c r="P152" s="172" t="str">
        <f t="shared" si="66"/>
        <v/>
      </c>
      <c r="Q152" s="172" t="str">
        <f t="shared" si="66"/>
        <v/>
      </c>
      <c r="R152" s="172" t="str">
        <f t="shared" si="66"/>
        <v/>
      </c>
      <c r="S152" s="172" t="str">
        <f t="shared" si="66"/>
        <v/>
      </c>
      <c r="T152" s="172" t="str">
        <f t="shared" si="66"/>
        <v/>
      </c>
      <c r="U152" s="172" t="str">
        <f t="shared" si="66"/>
        <v/>
      </c>
      <c r="V152" s="172" t="str">
        <f t="shared" si="66"/>
        <v/>
      </c>
      <c r="W152" s="172" t="str">
        <f t="shared" si="66"/>
        <v/>
      </c>
    </row>
    <row r="154" spans="1:23" ht="15" customHeight="1" x14ac:dyDescent="0.2">
      <c r="A154" s="25" t="s">
        <v>244</v>
      </c>
      <c r="D154" s="167" t="str">
        <f t="shared" ref="D154:W154" ca="1" si="67">IFERROR(IF(D$10="","",(D53-$C53)/$C53),"NA")</f>
        <v>NA</v>
      </c>
      <c r="E154" s="167" t="str">
        <f t="shared" ca="1" si="67"/>
        <v>NA</v>
      </c>
      <c r="F154" s="167" t="str">
        <f t="shared" ca="1" si="67"/>
        <v>NA</v>
      </c>
      <c r="G154" s="167" t="str">
        <f t="shared" ca="1" si="67"/>
        <v>NA</v>
      </c>
      <c r="H154" s="167" t="str">
        <f t="shared" ca="1" si="67"/>
        <v>NA</v>
      </c>
      <c r="I154" s="167" t="str">
        <f t="shared" ca="1" si="67"/>
        <v>NA</v>
      </c>
      <c r="J154" s="167" t="str">
        <f t="shared" ca="1" si="67"/>
        <v>NA</v>
      </c>
      <c r="K154" s="167" t="str">
        <f t="shared" ca="1" si="67"/>
        <v>NA</v>
      </c>
      <c r="L154" s="167" t="str">
        <f t="shared" ca="1" si="67"/>
        <v>NA</v>
      </c>
      <c r="M154" s="167" t="str">
        <f t="shared" si="67"/>
        <v/>
      </c>
      <c r="N154" s="167" t="str">
        <f t="shared" si="67"/>
        <v/>
      </c>
      <c r="O154" s="167" t="str">
        <f t="shared" si="67"/>
        <v/>
      </c>
      <c r="P154" s="167" t="str">
        <f t="shared" si="67"/>
        <v/>
      </c>
      <c r="Q154" s="167" t="str">
        <f t="shared" si="67"/>
        <v/>
      </c>
      <c r="R154" s="167" t="str">
        <f t="shared" si="67"/>
        <v/>
      </c>
      <c r="S154" s="167" t="str">
        <f t="shared" si="67"/>
        <v/>
      </c>
      <c r="T154" s="167" t="str">
        <f t="shared" si="67"/>
        <v/>
      </c>
      <c r="U154" s="167" t="str">
        <f t="shared" si="67"/>
        <v/>
      </c>
      <c r="V154" s="167" t="str">
        <f t="shared" si="67"/>
        <v/>
      </c>
      <c r="W154" s="167" t="str">
        <f t="shared" si="67"/>
        <v/>
      </c>
    </row>
    <row r="155" spans="1:23" s="48" customFormat="1" ht="15" customHeight="1" x14ac:dyDescent="0.2">
      <c r="A155" s="48" t="s">
        <v>946</v>
      </c>
      <c r="D155" s="167" t="str">
        <f t="shared" ref="D155:W155" ca="1" si="68">IFERROR(IF(D$10="","",(D54-$C54)/$C54),"NA")</f>
        <v>NA</v>
      </c>
      <c r="E155" s="167" t="str">
        <f t="shared" ca="1" si="68"/>
        <v>NA</v>
      </c>
      <c r="F155" s="167" t="str">
        <f t="shared" ca="1" si="68"/>
        <v>NA</v>
      </c>
      <c r="G155" s="167" t="str">
        <f t="shared" ca="1" si="68"/>
        <v>NA</v>
      </c>
      <c r="H155" s="167" t="str">
        <f t="shared" ca="1" si="68"/>
        <v>NA</v>
      </c>
      <c r="I155" s="167" t="str">
        <f t="shared" ca="1" si="68"/>
        <v>NA</v>
      </c>
      <c r="J155" s="167" t="str">
        <f t="shared" ca="1" si="68"/>
        <v>NA</v>
      </c>
      <c r="K155" s="167" t="str">
        <f t="shared" ca="1" si="68"/>
        <v>NA</v>
      </c>
      <c r="L155" s="167" t="str">
        <f t="shared" ca="1" si="68"/>
        <v>NA</v>
      </c>
      <c r="M155" s="167" t="str">
        <f t="shared" si="68"/>
        <v/>
      </c>
      <c r="N155" s="167" t="str">
        <f t="shared" si="68"/>
        <v/>
      </c>
      <c r="O155" s="167" t="str">
        <f t="shared" si="68"/>
        <v/>
      </c>
      <c r="P155" s="167" t="str">
        <f t="shared" si="68"/>
        <v/>
      </c>
      <c r="Q155" s="167" t="str">
        <f t="shared" si="68"/>
        <v/>
      </c>
      <c r="R155" s="167" t="str">
        <f t="shared" si="68"/>
        <v/>
      </c>
      <c r="S155" s="167" t="str">
        <f t="shared" si="68"/>
        <v/>
      </c>
      <c r="T155" s="167" t="str">
        <f t="shared" si="68"/>
        <v/>
      </c>
      <c r="U155" s="167" t="str">
        <f t="shared" si="68"/>
        <v/>
      </c>
      <c r="V155" s="167" t="str">
        <f t="shared" si="68"/>
        <v/>
      </c>
      <c r="W155" s="167" t="str">
        <f t="shared" si="68"/>
        <v/>
      </c>
    </row>
    <row r="156" spans="1:23" ht="15" customHeight="1" x14ac:dyDescent="0.2">
      <c r="A156" s="25" t="s">
        <v>22</v>
      </c>
      <c r="D156" s="167">
        <f t="shared" ref="D156:W156" ca="1" si="69">IFERROR(IF(D$10="","",(D55-$C55)/$C55),"NA")</f>
        <v>8.1041825656680035E-3</v>
      </c>
      <c r="E156" s="167">
        <f t="shared" ca="1" si="69"/>
        <v>1.895571256246769E-3</v>
      </c>
      <c r="F156" s="167">
        <f t="shared" ca="1" si="69"/>
        <v>-1.7350631446788608E-2</v>
      </c>
      <c r="G156" s="167">
        <f t="shared" ca="1" si="69"/>
        <v>-2.1072844095418625E-2</v>
      </c>
      <c r="H156" s="167">
        <f t="shared" ca="1" si="69"/>
        <v>6.9766869353290167E-3</v>
      </c>
      <c r="I156" s="167">
        <f t="shared" ca="1" si="69"/>
        <v>7.9712463996455041E-2</v>
      </c>
      <c r="J156" s="167">
        <f t="shared" ca="1" si="69"/>
        <v>0.16439772531449251</v>
      </c>
      <c r="K156" s="167">
        <f t="shared" ca="1" si="69"/>
        <v>0.24317963614879004</v>
      </c>
      <c r="L156" s="167">
        <f t="shared" ca="1" si="69"/>
        <v>0.20558331897294502</v>
      </c>
      <c r="M156" s="167" t="str">
        <f t="shared" si="69"/>
        <v/>
      </c>
      <c r="N156" s="167" t="str">
        <f t="shared" si="69"/>
        <v/>
      </c>
      <c r="O156" s="167" t="str">
        <f t="shared" si="69"/>
        <v/>
      </c>
      <c r="P156" s="167" t="str">
        <f t="shared" si="69"/>
        <v/>
      </c>
      <c r="Q156" s="167" t="str">
        <f t="shared" si="69"/>
        <v/>
      </c>
      <c r="R156" s="167" t="str">
        <f t="shared" si="69"/>
        <v/>
      </c>
      <c r="S156" s="167" t="str">
        <f t="shared" si="69"/>
        <v/>
      </c>
      <c r="T156" s="167" t="str">
        <f t="shared" si="69"/>
        <v/>
      </c>
      <c r="U156" s="167" t="str">
        <f t="shared" si="69"/>
        <v/>
      </c>
      <c r="V156" s="167" t="str">
        <f t="shared" si="69"/>
        <v/>
      </c>
      <c r="W156" s="167" t="str">
        <f t="shared" si="69"/>
        <v/>
      </c>
    </row>
    <row r="157" spans="1:23" ht="15" customHeight="1" x14ac:dyDescent="0.2">
      <c r="A157" s="25" t="s">
        <v>245</v>
      </c>
      <c r="D157" s="167" t="str">
        <f t="shared" ref="D157:W157" ca="1" si="70">IFERROR(IF(D$10="","",(D56-$C56)/$C56),"NA")</f>
        <v>NA</v>
      </c>
      <c r="E157" s="167" t="str">
        <f t="shared" ca="1" si="70"/>
        <v>NA</v>
      </c>
      <c r="F157" s="167" t="str">
        <f t="shared" ca="1" si="70"/>
        <v>NA</v>
      </c>
      <c r="G157" s="167" t="str">
        <f t="shared" ca="1" si="70"/>
        <v>NA</v>
      </c>
      <c r="H157" s="167" t="str">
        <f t="shared" ca="1" si="70"/>
        <v>NA</v>
      </c>
      <c r="I157" s="167" t="str">
        <f t="shared" ca="1" si="70"/>
        <v>NA</v>
      </c>
      <c r="J157" s="167" t="str">
        <f t="shared" ca="1" si="70"/>
        <v>NA</v>
      </c>
      <c r="K157" s="167" t="str">
        <f t="shared" ca="1" si="70"/>
        <v>NA</v>
      </c>
      <c r="L157" s="167" t="str">
        <f t="shared" ca="1" si="70"/>
        <v>NA</v>
      </c>
      <c r="M157" s="167" t="str">
        <f t="shared" si="70"/>
        <v/>
      </c>
      <c r="N157" s="167" t="str">
        <f t="shared" si="70"/>
        <v/>
      </c>
      <c r="O157" s="167" t="str">
        <f t="shared" si="70"/>
        <v/>
      </c>
      <c r="P157" s="167" t="str">
        <f t="shared" si="70"/>
        <v/>
      </c>
      <c r="Q157" s="167" t="str">
        <f t="shared" si="70"/>
        <v/>
      </c>
      <c r="R157" s="167" t="str">
        <f t="shared" si="70"/>
        <v/>
      </c>
      <c r="S157" s="167" t="str">
        <f t="shared" si="70"/>
        <v/>
      </c>
      <c r="T157" s="167" t="str">
        <f t="shared" si="70"/>
        <v/>
      </c>
      <c r="U157" s="167" t="str">
        <f t="shared" si="70"/>
        <v/>
      </c>
      <c r="V157" s="167" t="str">
        <f t="shared" si="70"/>
        <v/>
      </c>
      <c r="W157" s="167" t="str">
        <f t="shared" si="70"/>
        <v/>
      </c>
    </row>
    <row r="158" spans="1:23" ht="15" customHeight="1" x14ac:dyDescent="0.2">
      <c r="A158" s="25" t="s">
        <v>246</v>
      </c>
      <c r="D158" s="167" t="str">
        <f t="shared" ref="D158:W158" ca="1" si="71">IFERROR(IF(D$10="","",(D57-$C57)/$C57),"NA")</f>
        <v>NA</v>
      </c>
      <c r="E158" s="167" t="str">
        <f t="shared" ca="1" si="71"/>
        <v>NA</v>
      </c>
      <c r="F158" s="167" t="str">
        <f t="shared" ca="1" si="71"/>
        <v>NA</v>
      </c>
      <c r="G158" s="167" t="str">
        <f t="shared" ca="1" si="71"/>
        <v>NA</v>
      </c>
      <c r="H158" s="167" t="str">
        <f t="shared" ca="1" si="71"/>
        <v>NA</v>
      </c>
      <c r="I158" s="167" t="str">
        <f t="shared" ca="1" si="71"/>
        <v>NA</v>
      </c>
      <c r="J158" s="167" t="str">
        <f t="shared" ca="1" si="71"/>
        <v>NA</v>
      </c>
      <c r="K158" s="167" t="str">
        <f t="shared" ca="1" si="71"/>
        <v>NA</v>
      </c>
      <c r="L158" s="167" t="str">
        <f t="shared" ca="1" si="71"/>
        <v>NA</v>
      </c>
      <c r="M158" s="167" t="str">
        <f t="shared" si="71"/>
        <v/>
      </c>
      <c r="N158" s="167" t="str">
        <f t="shared" si="71"/>
        <v/>
      </c>
      <c r="O158" s="167" t="str">
        <f t="shared" si="71"/>
        <v/>
      </c>
      <c r="P158" s="167" t="str">
        <f t="shared" si="71"/>
        <v/>
      </c>
      <c r="Q158" s="167" t="str">
        <f t="shared" si="71"/>
        <v/>
      </c>
      <c r="R158" s="167" t="str">
        <f t="shared" si="71"/>
        <v/>
      </c>
      <c r="S158" s="167" t="str">
        <f t="shared" si="71"/>
        <v/>
      </c>
      <c r="T158" s="167" t="str">
        <f t="shared" si="71"/>
        <v/>
      </c>
      <c r="U158" s="167" t="str">
        <f t="shared" si="71"/>
        <v/>
      </c>
      <c r="V158" s="167" t="str">
        <f t="shared" si="71"/>
        <v/>
      </c>
      <c r="W158" s="167" t="str">
        <f t="shared" si="71"/>
        <v/>
      </c>
    </row>
    <row r="159" spans="1:23" s="48" customFormat="1" ht="15" customHeight="1" x14ac:dyDescent="0.2">
      <c r="A159" s="48" t="s">
        <v>1096</v>
      </c>
      <c r="D159" s="167" t="str">
        <f t="shared" ref="D159:W159" ca="1" si="72">IFERROR(IF(D$10="","",(D58-$C58)/$C58),"NA")</f>
        <v>NA</v>
      </c>
      <c r="E159" s="167" t="str">
        <f t="shared" ca="1" si="72"/>
        <v>NA</v>
      </c>
      <c r="F159" s="167" t="str">
        <f t="shared" ca="1" si="72"/>
        <v>NA</v>
      </c>
      <c r="G159" s="167" t="str">
        <f t="shared" ca="1" si="72"/>
        <v>NA</v>
      </c>
      <c r="H159" s="167" t="str">
        <f t="shared" ca="1" si="72"/>
        <v>NA</v>
      </c>
      <c r="I159" s="167" t="str">
        <f t="shared" ca="1" si="72"/>
        <v>NA</v>
      </c>
      <c r="J159" s="167" t="str">
        <f t="shared" ca="1" si="72"/>
        <v>NA</v>
      </c>
      <c r="K159" s="167" t="str">
        <f t="shared" ca="1" si="72"/>
        <v>NA</v>
      </c>
      <c r="L159" s="167" t="str">
        <f t="shared" ca="1" si="72"/>
        <v>NA</v>
      </c>
      <c r="M159" s="167" t="str">
        <f t="shared" si="72"/>
        <v/>
      </c>
      <c r="N159" s="167" t="str">
        <f t="shared" si="72"/>
        <v/>
      </c>
      <c r="O159" s="167" t="str">
        <f t="shared" si="72"/>
        <v/>
      </c>
      <c r="P159" s="167" t="str">
        <f t="shared" si="72"/>
        <v/>
      </c>
      <c r="Q159" s="167" t="str">
        <f t="shared" si="72"/>
        <v/>
      </c>
      <c r="R159" s="167" t="str">
        <f t="shared" si="72"/>
        <v/>
      </c>
      <c r="S159" s="167" t="str">
        <f t="shared" si="72"/>
        <v/>
      </c>
      <c r="T159" s="167" t="str">
        <f t="shared" si="72"/>
        <v/>
      </c>
      <c r="U159" s="167" t="str">
        <f t="shared" si="72"/>
        <v/>
      </c>
      <c r="V159" s="167" t="str">
        <f t="shared" si="72"/>
        <v/>
      </c>
      <c r="W159" s="167" t="str">
        <f t="shared" si="72"/>
        <v/>
      </c>
    </row>
    <row r="161" spans="1:23" ht="15" customHeight="1" x14ac:dyDescent="0.2">
      <c r="A161" s="25" t="s">
        <v>247</v>
      </c>
      <c r="D161" s="172" t="str">
        <f t="shared" ref="D161:W161" ca="1" si="73">IFERROR(IF(D$10="","",(D60-$C60)/$C60),"NA")</f>
        <v>NA</v>
      </c>
      <c r="E161" s="172" t="str">
        <f t="shared" ca="1" si="73"/>
        <v>NA</v>
      </c>
      <c r="F161" s="172" t="str">
        <f t="shared" ca="1" si="73"/>
        <v>NA</v>
      </c>
      <c r="G161" s="172" t="str">
        <f t="shared" ca="1" si="73"/>
        <v>NA</v>
      </c>
      <c r="H161" s="172" t="str">
        <f t="shared" ca="1" si="73"/>
        <v>NA</v>
      </c>
      <c r="I161" s="172" t="str">
        <f t="shared" ca="1" si="73"/>
        <v>NA</v>
      </c>
      <c r="J161" s="172" t="str">
        <f t="shared" ca="1" si="73"/>
        <v>NA</v>
      </c>
      <c r="K161" s="172" t="str">
        <f t="shared" ca="1" si="73"/>
        <v>NA</v>
      </c>
      <c r="L161" s="172" t="str">
        <f t="shared" ca="1" si="73"/>
        <v>NA</v>
      </c>
      <c r="M161" s="172" t="str">
        <f t="shared" si="73"/>
        <v/>
      </c>
      <c r="N161" s="172" t="str">
        <f t="shared" si="73"/>
        <v/>
      </c>
      <c r="O161" s="172" t="str">
        <f t="shared" si="73"/>
        <v/>
      </c>
      <c r="P161" s="172" t="str">
        <f t="shared" si="73"/>
        <v/>
      </c>
      <c r="Q161" s="172" t="str">
        <f t="shared" si="73"/>
        <v/>
      </c>
      <c r="R161" s="172" t="str">
        <f t="shared" si="73"/>
        <v/>
      </c>
      <c r="S161" s="172" t="str">
        <f t="shared" si="73"/>
        <v/>
      </c>
      <c r="T161" s="172" t="str">
        <f t="shared" si="73"/>
        <v/>
      </c>
      <c r="U161" s="172" t="str">
        <f t="shared" si="73"/>
        <v/>
      </c>
      <c r="V161" s="172" t="str">
        <f t="shared" si="73"/>
        <v/>
      </c>
      <c r="W161" s="172" t="str">
        <f t="shared" si="73"/>
        <v/>
      </c>
    </row>
    <row r="162" spans="1:23" ht="15" customHeight="1" x14ac:dyDescent="0.2">
      <c r="A162" s="25" t="s">
        <v>248</v>
      </c>
      <c r="D162" s="172" t="str">
        <f t="shared" ref="D162:W162" ca="1" si="74">IFERROR(IF(D$10="","",(D61-$C61)/$C61),"NA")</f>
        <v>NA</v>
      </c>
      <c r="E162" s="172" t="str">
        <f t="shared" ca="1" si="74"/>
        <v>NA</v>
      </c>
      <c r="F162" s="172" t="str">
        <f t="shared" ca="1" si="74"/>
        <v>NA</v>
      </c>
      <c r="G162" s="172" t="str">
        <f t="shared" ca="1" si="74"/>
        <v>NA</v>
      </c>
      <c r="H162" s="172" t="str">
        <f t="shared" ca="1" si="74"/>
        <v>NA</v>
      </c>
      <c r="I162" s="172" t="str">
        <f t="shared" ca="1" si="74"/>
        <v>NA</v>
      </c>
      <c r="J162" s="172" t="str">
        <f t="shared" ca="1" si="74"/>
        <v>NA</v>
      </c>
      <c r="K162" s="172" t="str">
        <f t="shared" ca="1" si="74"/>
        <v>NA</v>
      </c>
      <c r="L162" s="172" t="str">
        <f t="shared" ca="1" si="74"/>
        <v>NA</v>
      </c>
      <c r="M162" s="172" t="str">
        <f t="shared" si="74"/>
        <v/>
      </c>
      <c r="N162" s="172" t="str">
        <f t="shared" si="74"/>
        <v/>
      </c>
      <c r="O162" s="172" t="str">
        <f t="shared" si="74"/>
        <v/>
      </c>
      <c r="P162" s="172" t="str">
        <f t="shared" si="74"/>
        <v/>
      </c>
      <c r="Q162" s="172" t="str">
        <f t="shared" si="74"/>
        <v/>
      </c>
      <c r="R162" s="172" t="str">
        <f t="shared" si="74"/>
        <v/>
      </c>
      <c r="S162" s="172" t="str">
        <f t="shared" si="74"/>
        <v/>
      </c>
      <c r="T162" s="172" t="str">
        <f t="shared" si="74"/>
        <v/>
      </c>
      <c r="U162" s="172" t="str">
        <f t="shared" si="74"/>
        <v/>
      </c>
      <c r="V162" s="172" t="str">
        <f t="shared" si="74"/>
        <v/>
      </c>
      <c r="W162" s="172" t="str">
        <f t="shared" si="74"/>
        <v/>
      </c>
    </row>
    <row r="163" spans="1:23" ht="15" customHeight="1" x14ac:dyDescent="0.2">
      <c r="A163" s="25" t="s">
        <v>245</v>
      </c>
      <c r="D163" s="172" t="str">
        <f t="shared" ref="D163:W163" ca="1" si="75">IFERROR(IF(D$10="","",(D62-$C62)/$C62),"NA")</f>
        <v>NA</v>
      </c>
      <c r="E163" s="172" t="str">
        <f t="shared" ca="1" si="75"/>
        <v>NA</v>
      </c>
      <c r="F163" s="172" t="str">
        <f t="shared" ca="1" si="75"/>
        <v>NA</v>
      </c>
      <c r="G163" s="172" t="str">
        <f t="shared" ca="1" si="75"/>
        <v>NA</v>
      </c>
      <c r="H163" s="172" t="str">
        <f t="shared" ca="1" si="75"/>
        <v>NA</v>
      </c>
      <c r="I163" s="172" t="str">
        <f t="shared" ca="1" si="75"/>
        <v>NA</v>
      </c>
      <c r="J163" s="172" t="str">
        <f t="shared" ca="1" si="75"/>
        <v>NA</v>
      </c>
      <c r="K163" s="172" t="str">
        <f t="shared" ca="1" si="75"/>
        <v>NA</v>
      </c>
      <c r="L163" s="172" t="str">
        <f t="shared" ca="1" si="75"/>
        <v>NA</v>
      </c>
      <c r="M163" s="172" t="str">
        <f t="shared" si="75"/>
        <v/>
      </c>
      <c r="N163" s="172" t="str">
        <f t="shared" si="75"/>
        <v/>
      </c>
      <c r="O163" s="172" t="str">
        <f t="shared" si="75"/>
        <v/>
      </c>
      <c r="P163" s="172" t="str">
        <f t="shared" si="75"/>
        <v/>
      </c>
      <c r="Q163" s="172" t="str">
        <f t="shared" si="75"/>
        <v/>
      </c>
      <c r="R163" s="172" t="str">
        <f t="shared" si="75"/>
        <v/>
      </c>
      <c r="S163" s="172" t="str">
        <f t="shared" si="75"/>
        <v/>
      </c>
      <c r="T163" s="172" t="str">
        <f t="shared" si="75"/>
        <v/>
      </c>
      <c r="U163" s="172" t="str">
        <f t="shared" si="75"/>
        <v/>
      </c>
      <c r="V163" s="172" t="str">
        <f t="shared" si="75"/>
        <v/>
      </c>
      <c r="W163" s="172" t="str">
        <f t="shared" si="75"/>
        <v/>
      </c>
    </row>
    <row r="164" spans="1:23" ht="15" customHeight="1" x14ac:dyDescent="0.2">
      <c r="A164" s="25" t="s">
        <v>246</v>
      </c>
      <c r="D164" s="172" t="str">
        <f t="shared" ref="D164:W164" ca="1" si="76">IFERROR(IF(D$10="","",(D63-$C63)/$C63),"NA")</f>
        <v>NA</v>
      </c>
      <c r="E164" s="172" t="str">
        <f t="shared" ca="1" si="76"/>
        <v>NA</v>
      </c>
      <c r="F164" s="172" t="str">
        <f t="shared" ca="1" si="76"/>
        <v>NA</v>
      </c>
      <c r="G164" s="172" t="str">
        <f t="shared" ca="1" si="76"/>
        <v>NA</v>
      </c>
      <c r="H164" s="172" t="str">
        <f t="shared" ca="1" si="76"/>
        <v>NA</v>
      </c>
      <c r="I164" s="172" t="str">
        <f t="shared" ca="1" si="76"/>
        <v>NA</v>
      </c>
      <c r="J164" s="172" t="str">
        <f t="shared" ca="1" si="76"/>
        <v>NA</v>
      </c>
      <c r="K164" s="172" t="str">
        <f t="shared" ca="1" si="76"/>
        <v>NA</v>
      </c>
      <c r="L164" s="172" t="str">
        <f t="shared" ca="1" si="76"/>
        <v>NA</v>
      </c>
      <c r="M164" s="172" t="str">
        <f t="shared" si="76"/>
        <v/>
      </c>
      <c r="N164" s="172" t="str">
        <f t="shared" si="76"/>
        <v/>
      </c>
      <c r="O164" s="172" t="str">
        <f t="shared" si="76"/>
        <v/>
      </c>
      <c r="P164" s="172" t="str">
        <f t="shared" si="76"/>
        <v/>
      </c>
      <c r="Q164" s="172" t="str">
        <f t="shared" si="76"/>
        <v/>
      </c>
      <c r="R164" s="172" t="str">
        <f t="shared" si="76"/>
        <v/>
      </c>
      <c r="S164" s="172" t="str">
        <f t="shared" si="76"/>
        <v/>
      </c>
      <c r="T164" s="172" t="str">
        <f t="shared" si="76"/>
        <v/>
      </c>
      <c r="U164" s="172" t="str">
        <f t="shared" si="76"/>
        <v/>
      </c>
      <c r="V164" s="172" t="str">
        <f t="shared" si="76"/>
        <v/>
      </c>
      <c r="W164" s="172" t="str">
        <f t="shared" si="76"/>
        <v/>
      </c>
    </row>
    <row r="166" spans="1:23" ht="15" customHeight="1" x14ac:dyDescent="0.2">
      <c r="A166" s="25" t="s">
        <v>250</v>
      </c>
      <c r="D166" s="172" t="str">
        <f t="shared" ref="D166:W166" ca="1" si="77">IFERROR(IF(D$10="","",(D70-$C70)/$C70),"NA")</f>
        <v>NA</v>
      </c>
      <c r="E166" s="172" t="str">
        <f t="shared" ca="1" si="77"/>
        <v>NA</v>
      </c>
      <c r="F166" s="172" t="str">
        <f t="shared" ca="1" si="77"/>
        <v>NA</v>
      </c>
      <c r="G166" s="172" t="str">
        <f t="shared" ca="1" si="77"/>
        <v>NA</v>
      </c>
      <c r="H166" s="172" t="str">
        <f t="shared" ca="1" si="77"/>
        <v>NA</v>
      </c>
      <c r="I166" s="172" t="str">
        <f t="shared" ca="1" si="77"/>
        <v>NA</v>
      </c>
      <c r="J166" s="172" t="str">
        <f t="shared" ca="1" si="77"/>
        <v>NA</v>
      </c>
      <c r="K166" s="172" t="str">
        <f t="shared" ca="1" si="77"/>
        <v>NA</v>
      </c>
      <c r="L166" s="172" t="str">
        <f t="shared" ca="1" si="77"/>
        <v>NA</v>
      </c>
      <c r="M166" s="172" t="str">
        <f t="shared" si="77"/>
        <v/>
      </c>
      <c r="N166" s="172" t="str">
        <f t="shared" si="77"/>
        <v/>
      </c>
      <c r="O166" s="172" t="str">
        <f t="shared" si="77"/>
        <v/>
      </c>
      <c r="P166" s="172" t="str">
        <f t="shared" si="77"/>
        <v/>
      </c>
      <c r="Q166" s="172" t="str">
        <f t="shared" si="77"/>
        <v/>
      </c>
      <c r="R166" s="172" t="str">
        <f t="shared" si="77"/>
        <v/>
      </c>
      <c r="S166" s="172" t="str">
        <f t="shared" si="77"/>
        <v/>
      </c>
      <c r="T166" s="172" t="str">
        <f t="shared" si="77"/>
        <v/>
      </c>
      <c r="U166" s="172" t="str">
        <f t="shared" si="77"/>
        <v/>
      </c>
      <c r="V166" s="172" t="str">
        <f t="shared" si="77"/>
        <v/>
      </c>
      <c r="W166" s="172" t="str">
        <f t="shared" si="77"/>
        <v/>
      </c>
    </row>
    <row r="167" spans="1:23" ht="15" customHeight="1" x14ac:dyDescent="0.2">
      <c r="A167" s="25" t="s">
        <v>251</v>
      </c>
      <c r="D167" s="172" t="str">
        <f t="shared" ref="D167:W167" ca="1" si="78">IFERROR(IF(D$10="","",(D71-$C71)/$C71),"NA")</f>
        <v>NA</v>
      </c>
      <c r="E167" s="172" t="str">
        <f t="shared" ca="1" si="78"/>
        <v>NA</v>
      </c>
      <c r="F167" s="172" t="str">
        <f t="shared" ca="1" si="78"/>
        <v>NA</v>
      </c>
      <c r="G167" s="172" t="str">
        <f t="shared" ca="1" si="78"/>
        <v>NA</v>
      </c>
      <c r="H167" s="172" t="str">
        <f t="shared" ca="1" si="78"/>
        <v>NA</v>
      </c>
      <c r="I167" s="172" t="str">
        <f t="shared" ca="1" si="78"/>
        <v>NA</v>
      </c>
      <c r="J167" s="172" t="str">
        <f t="shared" ca="1" si="78"/>
        <v>NA</v>
      </c>
      <c r="K167" s="172" t="str">
        <f t="shared" ca="1" si="78"/>
        <v>NA</v>
      </c>
      <c r="L167" s="172" t="str">
        <f t="shared" ca="1" si="78"/>
        <v>NA</v>
      </c>
      <c r="M167" s="172" t="str">
        <f t="shared" si="78"/>
        <v/>
      </c>
      <c r="N167" s="172" t="str">
        <f t="shared" si="78"/>
        <v/>
      </c>
      <c r="O167" s="172" t="str">
        <f t="shared" si="78"/>
        <v/>
      </c>
      <c r="P167" s="172" t="str">
        <f t="shared" si="78"/>
        <v/>
      </c>
      <c r="Q167" s="172" t="str">
        <f t="shared" si="78"/>
        <v/>
      </c>
      <c r="R167" s="172" t="str">
        <f t="shared" si="78"/>
        <v/>
      </c>
      <c r="S167" s="172" t="str">
        <f t="shared" si="78"/>
        <v/>
      </c>
      <c r="T167" s="172" t="str">
        <f t="shared" si="78"/>
        <v/>
      </c>
      <c r="U167" s="172" t="str">
        <f t="shared" si="78"/>
        <v/>
      </c>
      <c r="V167" s="172" t="str">
        <f t="shared" si="78"/>
        <v/>
      </c>
      <c r="W167" s="172" t="str">
        <f t="shared" si="78"/>
        <v/>
      </c>
    </row>
    <row r="168" spans="1:23" ht="15" customHeight="1" x14ac:dyDescent="0.2">
      <c r="A168" s="25" t="s">
        <v>252</v>
      </c>
      <c r="D168" s="172" t="str">
        <f t="shared" ref="D168:W168" ca="1" si="79">IFERROR(IF(D$10="","",(D72-$C72)/$C72),"NA")</f>
        <v>NA</v>
      </c>
      <c r="E168" s="172" t="str">
        <f t="shared" ca="1" si="79"/>
        <v>NA</v>
      </c>
      <c r="F168" s="172" t="str">
        <f t="shared" ca="1" si="79"/>
        <v>NA</v>
      </c>
      <c r="G168" s="172" t="str">
        <f t="shared" ca="1" si="79"/>
        <v>NA</v>
      </c>
      <c r="H168" s="172" t="str">
        <f t="shared" ca="1" si="79"/>
        <v>NA</v>
      </c>
      <c r="I168" s="172" t="str">
        <f t="shared" ca="1" si="79"/>
        <v>NA</v>
      </c>
      <c r="J168" s="172" t="str">
        <f t="shared" ca="1" si="79"/>
        <v>NA</v>
      </c>
      <c r="K168" s="172" t="str">
        <f t="shared" ca="1" si="79"/>
        <v>NA</v>
      </c>
      <c r="L168" s="172" t="str">
        <f t="shared" ca="1" si="79"/>
        <v>NA</v>
      </c>
      <c r="M168" s="172" t="str">
        <f t="shared" si="79"/>
        <v/>
      </c>
      <c r="N168" s="172" t="str">
        <f t="shared" si="79"/>
        <v/>
      </c>
      <c r="O168" s="172" t="str">
        <f t="shared" si="79"/>
        <v/>
      </c>
      <c r="P168" s="172" t="str">
        <f t="shared" si="79"/>
        <v/>
      </c>
      <c r="Q168" s="172" t="str">
        <f t="shared" si="79"/>
        <v/>
      </c>
      <c r="R168" s="172" t="str">
        <f t="shared" si="79"/>
        <v/>
      </c>
      <c r="S168" s="172" t="str">
        <f t="shared" si="79"/>
        <v/>
      </c>
      <c r="T168" s="172" t="str">
        <f t="shared" si="79"/>
        <v/>
      </c>
      <c r="U168" s="172" t="str">
        <f t="shared" si="79"/>
        <v/>
      </c>
      <c r="V168" s="172" t="str">
        <f t="shared" si="79"/>
        <v/>
      </c>
      <c r="W168" s="172" t="str">
        <f t="shared" si="79"/>
        <v/>
      </c>
    </row>
    <row r="169" spans="1:23" ht="15" customHeight="1" x14ac:dyDescent="0.2">
      <c r="A169" s="25" t="s">
        <v>253</v>
      </c>
      <c r="D169" s="172" t="str">
        <f t="shared" ref="D169:W169" ca="1" si="80">IFERROR(IF(D$10="","",(D73-$C73)/$C73),"NA")</f>
        <v>NA</v>
      </c>
      <c r="E169" s="172" t="str">
        <f t="shared" ca="1" si="80"/>
        <v>NA</v>
      </c>
      <c r="F169" s="172" t="str">
        <f t="shared" ca="1" si="80"/>
        <v>NA</v>
      </c>
      <c r="G169" s="172" t="str">
        <f t="shared" ca="1" si="80"/>
        <v>NA</v>
      </c>
      <c r="H169" s="172" t="str">
        <f t="shared" ca="1" si="80"/>
        <v>NA</v>
      </c>
      <c r="I169" s="172" t="str">
        <f t="shared" ca="1" si="80"/>
        <v>NA</v>
      </c>
      <c r="J169" s="172" t="str">
        <f t="shared" ca="1" si="80"/>
        <v>NA</v>
      </c>
      <c r="K169" s="172" t="str">
        <f t="shared" ca="1" si="80"/>
        <v>NA</v>
      </c>
      <c r="L169" s="172" t="str">
        <f t="shared" ca="1" si="80"/>
        <v>NA</v>
      </c>
      <c r="M169" s="172" t="str">
        <f t="shared" si="80"/>
        <v/>
      </c>
      <c r="N169" s="172" t="str">
        <f t="shared" si="80"/>
        <v/>
      </c>
      <c r="O169" s="172" t="str">
        <f t="shared" si="80"/>
        <v/>
      </c>
      <c r="P169" s="172" t="str">
        <f t="shared" si="80"/>
        <v/>
      </c>
      <c r="Q169" s="172" t="str">
        <f t="shared" si="80"/>
        <v/>
      </c>
      <c r="R169" s="172" t="str">
        <f t="shared" si="80"/>
        <v/>
      </c>
      <c r="S169" s="172" t="str">
        <f t="shared" si="80"/>
        <v/>
      </c>
      <c r="T169" s="172" t="str">
        <f t="shared" si="80"/>
        <v/>
      </c>
      <c r="U169" s="172" t="str">
        <f t="shared" si="80"/>
        <v/>
      </c>
      <c r="V169" s="172" t="str">
        <f t="shared" si="80"/>
        <v/>
      </c>
      <c r="W169" s="172" t="str">
        <f t="shared" si="80"/>
        <v/>
      </c>
    </row>
    <row r="170" spans="1:23" ht="15" customHeight="1" x14ac:dyDescent="0.2">
      <c r="A170" s="25" t="s">
        <v>254</v>
      </c>
      <c r="D170" s="172" t="str">
        <f t="shared" ref="D170:W170" ca="1" si="81">IFERROR(IF(D$10="","",(D74-$C74)/$C74),"NA")</f>
        <v>NA</v>
      </c>
      <c r="E170" s="172" t="str">
        <f t="shared" ca="1" si="81"/>
        <v>NA</v>
      </c>
      <c r="F170" s="172" t="str">
        <f t="shared" ca="1" si="81"/>
        <v>NA</v>
      </c>
      <c r="G170" s="172" t="str">
        <f t="shared" ca="1" si="81"/>
        <v>NA</v>
      </c>
      <c r="H170" s="172" t="str">
        <f t="shared" ca="1" si="81"/>
        <v>NA</v>
      </c>
      <c r="I170" s="172" t="str">
        <f t="shared" ca="1" si="81"/>
        <v>NA</v>
      </c>
      <c r="J170" s="172" t="str">
        <f t="shared" ca="1" si="81"/>
        <v>NA</v>
      </c>
      <c r="K170" s="172" t="str">
        <f t="shared" ca="1" si="81"/>
        <v>NA</v>
      </c>
      <c r="L170" s="172" t="str">
        <f t="shared" ca="1" si="81"/>
        <v>NA</v>
      </c>
      <c r="M170" s="172" t="str">
        <f t="shared" si="81"/>
        <v/>
      </c>
      <c r="N170" s="172" t="str">
        <f t="shared" si="81"/>
        <v/>
      </c>
      <c r="O170" s="172" t="str">
        <f t="shared" si="81"/>
        <v/>
      </c>
      <c r="P170" s="172" t="str">
        <f t="shared" si="81"/>
        <v/>
      </c>
      <c r="Q170" s="172" t="str">
        <f t="shared" si="81"/>
        <v/>
      </c>
      <c r="R170" s="172" t="str">
        <f t="shared" si="81"/>
        <v/>
      </c>
      <c r="S170" s="172" t="str">
        <f t="shared" si="81"/>
        <v/>
      </c>
      <c r="T170" s="172" t="str">
        <f t="shared" si="81"/>
        <v/>
      </c>
      <c r="U170" s="172" t="str">
        <f t="shared" si="81"/>
        <v/>
      </c>
      <c r="V170" s="172" t="str">
        <f t="shared" si="81"/>
        <v/>
      </c>
      <c r="W170" s="172" t="str">
        <f t="shared" si="81"/>
        <v/>
      </c>
    </row>
    <row r="171" spans="1:23" ht="15" customHeight="1" x14ac:dyDescent="0.2">
      <c r="D171" s="157"/>
      <c r="E171" s="157"/>
      <c r="F171" s="157"/>
      <c r="G171" s="157"/>
      <c r="H171" s="157"/>
      <c r="I171" s="157"/>
      <c r="J171" s="157"/>
      <c r="K171" s="157"/>
      <c r="L171" s="157"/>
      <c r="M171" s="157"/>
      <c r="N171" s="157"/>
      <c r="O171" s="157"/>
      <c r="P171" s="157"/>
      <c r="Q171" s="157"/>
      <c r="R171" s="157"/>
      <c r="S171" s="157"/>
      <c r="T171" s="157"/>
      <c r="U171" s="157"/>
      <c r="V171" s="157"/>
      <c r="W171" s="157"/>
    </row>
    <row r="172" spans="1:23" ht="15" customHeight="1" thickBot="1" x14ac:dyDescent="0.25">
      <c r="A172" s="920" t="s">
        <v>57</v>
      </c>
      <c r="B172" s="920"/>
      <c r="C172" s="920"/>
      <c r="D172" s="921"/>
      <c r="E172" s="921"/>
      <c r="F172" s="921"/>
      <c r="G172" s="921"/>
      <c r="H172" s="921"/>
      <c r="I172" s="921"/>
      <c r="J172" s="921"/>
      <c r="K172" s="921"/>
      <c r="L172" s="921"/>
      <c r="M172" s="921"/>
      <c r="N172" s="921"/>
      <c r="O172" s="921"/>
      <c r="P172" s="921"/>
      <c r="Q172" s="921"/>
      <c r="R172" s="921"/>
      <c r="S172" s="921"/>
      <c r="T172" s="921"/>
      <c r="U172" s="921"/>
      <c r="V172" s="921"/>
      <c r="W172" s="921"/>
    </row>
    <row r="173" spans="1:23" ht="15" customHeight="1" x14ac:dyDescent="0.2">
      <c r="D173" s="157"/>
      <c r="E173" s="157"/>
      <c r="F173" s="157"/>
      <c r="G173" s="157"/>
      <c r="H173" s="157"/>
      <c r="I173" s="157"/>
      <c r="J173" s="157"/>
      <c r="K173" s="157"/>
      <c r="L173" s="157"/>
      <c r="M173" s="157"/>
      <c r="N173" s="157"/>
      <c r="O173" s="157"/>
      <c r="P173" s="157"/>
      <c r="Q173" s="157"/>
      <c r="R173" s="157"/>
      <c r="S173" s="157"/>
      <c r="T173" s="157"/>
      <c r="U173" s="157"/>
      <c r="V173" s="157"/>
      <c r="W173" s="157"/>
    </row>
    <row r="174" spans="1:23" ht="15" customHeight="1" x14ac:dyDescent="0.2">
      <c r="A174" s="878" t="s">
        <v>213</v>
      </c>
      <c r="B174" s="878"/>
      <c r="C174" s="878"/>
      <c r="D174" s="915"/>
      <c r="E174" s="915"/>
      <c r="F174" s="915"/>
      <c r="G174" s="915"/>
      <c r="H174" s="915"/>
      <c r="I174" s="915"/>
      <c r="J174" s="915"/>
      <c r="K174" s="915"/>
      <c r="L174" s="915"/>
      <c r="M174" s="915"/>
      <c r="N174" s="915"/>
      <c r="O174" s="915"/>
      <c r="P174" s="915"/>
      <c r="Q174" s="915"/>
      <c r="R174" s="915"/>
      <c r="S174" s="915"/>
      <c r="T174" s="915"/>
      <c r="U174" s="915"/>
      <c r="V174" s="915"/>
      <c r="W174" s="915"/>
    </row>
    <row r="175" spans="1:23" ht="15" customHeight="1" x14ac:dyDescent="0.2">
      <c r="A175" s="25" t="s">
        <v>214</v>
      </c>
      <c r="D175" s="167" t="str">
        <f t="shared" ref="D175:W175" ca="1" si="82">IFERROR(IF(D$10="","",(D16-C16)/ABS(C16)),"NA")</f>
        <v>NA</v>
      </c>
      <c r="E175" s="167" t="str">
        <f t="shared" ca="1" si="82"/>
        <v>NA</v>
      </c>
      <c r="F175" s="167" t="str">
        <f t="shared" ca="1" si="82"/>
        <v>NA</v>
      </c>
      <c r="G175" s="167" t="str">
        <f t="shared" ca="1" si="82"/>
        <v>NA</v>
      </c>
      <c r="H175" s="167" t="str">
        <f t="shared" ca="1" si="82"/>
        <v>NA</v>
      </c>
      <c r="I175" s="167" t="str">
        <f t="shared" ca="1" si="82"/>
        <v>NA</v>
      </c>
      <c r="J175" s="167" t="str">
        <f t="shared" ca="1" si="82"/>
        <v>NA</v>
      </c>
      <c r="K175" s="167" t="str">
        <f t="shared" ca="1" si="82"/>
        <v>NA</v>
      </c>
      <c r="L175" s="167" t="str">
        <f t="shared" ca="1" si="82"/>
        <v>NA</v>
      </c>
      <c r="M175" s="167" t="str">
        <f t="shared" si="82"/>
        <v/>
      </c>
      <c r="N175" s="167" t="str">
        <f t="shared" si="82"/>
        <v/>
      </c>
      <c r="O175" s="167" t="str">
        <f t="shared" si="82"/>
        <v/>
      </c>
      <c r="P175" s="167" t="str">
        <f t="shared" si="82"/>
        <v/>
      </c>
      <c r="Q175" s="167" t="str">
        <f t="shared" si="82"/>
        <v/>
      </c>
      <c r="R175" s="167" t="str">
        <f t="shared" si="82"/>
        <v/>
      </c>
      <c r="S175" s="167" t="str">
        <f t="shared" si="82"/>
        <v/>
      </c>
      <c r="T175" s="167" t="str">
        <f t="shared" si="82"/>
        <v/>
      </c>
      <c r="U175" s="167" t="str">
        <f t="shared" si="82"/>
        <v/>
      </c>
      <c r="V175" s="167" t="str">
        <f t="shared" si="82"/>
        <v/>
      </c>
      <c r="W175" s="167" t="str">
        <f t="shared" si="82"/>
        <v/>
      </c>
    </row>
    <row r="176" spans="1:23" ht="15" customHeight="1" x14ac:dyDescent="0.2">
      <c r="A176" s="140" t="s">
        <v>215</v>
      </c>
      <c r="B176" s="140"/>
      <c r="C176" s="140"/>
      <c r="D176" s="167" t="str">
        <f t="shared" ref="D176:W176" ca="1" si="83">IFERROR(IF(D$10="","",(D17-C17)/ABS(C17)),"NA")</f>
        <v>NA</v>
      </c>
      <c r="E176" s="167" t="str">
        <f t="shared" ca="1" si="83"/>
        <v>NA</v>
      </c>
      <c r="F176" s="167" t="str">
        <f t="shared" ca="1" si="83"/>
        <v>NA</v>
      </c>
      <c r="G176" s="167" t="str">
        <f t="shared" ca="1" si="83"/>
        <v>NA</v>
      </c>
      <c r="H176" s="167" t="str">
        <f t="shared" ca="1" si="83"/>
        <v>NA</v>
      </c>
      <c r="I176" s="167" t="str">
        <f t="shared" ca="1" si="83"/>
        <v>NA</v>
      </c>
      <c r="J176" s="167" t="str">
        <f t="shared" ca="1" si="83"/>
        <v>NA</v>
      </c>
      <c r="K176" s="167" t="str">
        <f t="shared" ca="1" si="83"/>
        <v>NA</v>
      </c>
      <c r="L176" s="167" t="str">
        <f t="shared" ca="1" si="83"/>
        <v>NA</v>
      </c>
      <c r="M176" s="167" t="str">
        <f t="shared" si="83"/>
        <v/>
      </c>
      <c r="N176" s="167" t="str">
        <f t="shared" si="83"/>
        <v/>
      </c>
      <c r="O176" s="167" t="str">
        <f t="shared" si="83"/>
        <v/>
      </c>
      <c r="P176" s="167" t="str">
        <f t="shared" si="83"/>
        <v/>
      </c>
      <c r="Q176" s="167" t="str">
        <f t="shared" si="83"/>
        <v/>
      </c>
      <c r="R176" s="167" t="str">
        <f t="shared" si="83"/>
        <v/>
      </c>
      <c r="S176" s="167" t="str">
        <f t="shared" si="83"/>
        <v/>
      </c>
      <c r="T176" s="167" t="str">
        <f t="shared" si="83"/>
        <v/>
      </c>
      <c r="U176" s="167" t="str">
        <f t="shared" si="83"/>
        <v/>
      </c>
      <c r="V176" s="167" t="str">
        <f t="shared" si="83"/>
        <v/>
      </c>
      <c r="W176" s="167" t="str">
        <f t="shared" si="83"/>
        <v/>
      </c>
    </row>
    <row r="177" spans="1:23" ht="15" customHeight="1" x14ac:dyDescent="0.2">
      <c r="A177" s="684" t="s">
        <v>255</v>
      </c>
      <c r="B177" s="158"/>
      <c r="C177" s="158"/>
      <c r="D177" s="206" t="str">
        <f t="shared" ref="D177:W177" ca="1" si="84">IFERROR(IF(D$10="","",(D18-C18)/ABS(C18)),"NA")</f>
        <v>NA</v>
      </c>
      <c r="E177" s="206" t="str">
        <f t="shared" ca="1" si="84"/>
        <v>NA</v>
      </c>
      <c r="F177" s="206" t="str">
        <f t="shared" ca="1" si="84"/>
        <v>NA</v>
      </c>
      <c r="G177" s="206" t="str">
        <f t="shared" ca="1" si="84"/>
        <v>NA</v>
      </c>
      <c r="H177" s="206" t="str">
        <f t="shared" ca="1" si="84"/>
        <v>NA</v>
      </c>
      <c r="I177" s="206" t="str">
        <f t="shared" ca="1" si="84"/>
        <v>NA</v>
      </c>
      <c r="J177" s="206" t="str">
        <f t="shared" ca="1" si="84"/>
        <v>NA</v>
      </c>
      <c r="K177" s="206" t="str">
        <f t="shared" ca="1" si="84"/>
        <v>NA</v>
      </c>
      <c r="L177" s="206" t="str">
        <f t="shared" ca="1" si="84"/>
        <v>NA</v>
      </c>
      <c r="M177" s="206" t="str">
        <f t="shared" si="84"/>
        <v/>
      </c>
      <c r="N177" s="206" t="str">
        <f t="shared" si="84"/>
        <v/>
      </c>
      <c r="O177" s="206" t="str">
        <f t="shared" si="84"/>
        <v/>
      </c>
      <c r="P177" s="206" t="str">
        <f t="shared" si="84"/>
        <v/>
      </c>
      <c r="Q177" s="206" t="str">
        <f t="shared" si="84"/>
        <v/>
      </c>
      <c r="R177" s="206" t="str">
        <f t="shared" si="84"/>
        <v/>
      </c>
      <c r="S177" s="206" t="str">
        <f t="shared" si="84"/>
        <v/>
      </c>
      <c r="T177" s="206" t="str">
        <f t="shared" si="84"/>
        <v/>
      </c>
      <c r="U177" s="206" t="str">
        <f t="shared" si="84"/>
        <v/>
      </c>
      <c r="V177" s="206" t="str">
        <f t="shared" si="84"/>
        <v/>
      </c>
      <c r="W177" s="206" t="str">
        <f t="shared" si="84"/>
        <v/>
      </c>
    </row>
    <row r="178" spans="1:23" ht="15" customHeight="1" x14ac:dyDescent="0.2">
      <c r="D178" s="157"/>
      <c r="E178" s="157"/>
      <c r="F178" s="157"/>
      <c r="G178" s="157"/>
      <c r="H178" s="157"/>
      <c r="I178" s="157"/>
      <c r="J178" s="157"/>
      <c r="K178" s="157"/>
      <c r="L178" s="157"/>
      <c r="M178" s="157"/>
      <c r="N178" s="157"/>
      <c r="O178" s="157"/>
      <c r="P178" s="157"/>
      <c r="Q178" s="157"/>
      <c r="R178" s="157"/>
      <c r="S178" s="157"/>
      <c r="T178" s="157"/>
      <c r="U178" s="157"/>
      <c r="V178" s="157"/>
      <c r="W178" s="157"/>
    </row>
    <row r="179" spans="1:23" ht="15" customHeight="1" x14ac:dyDescent="0.2">
      <c r="A179" s="25" t="s">
        <v>217</v>
      </c>
      <c r="D179" s="167" t="str">
        <f t="shared" ref="D179:W179" ca="1" si="85">IFERROR(IF(D$10="","",(D20-C20)/ABS(C20)),"NA")</f>
        <v>NA</v>
      </c>
      <c r="E179" s="167" t="str">
        <f t="shared" ca="1" si="85"/>
        <v>NA</v>
      </c>
      <c r="F179" s="167" t="str">
        <f t="shared" ca="1" si="85"/>
        <v>NA</v>
      </c>
      <c r="G179" s="167" t="str">
        <f t="shared" ca="1" si="85"/>
        <v>NA</v>
      </c>
      <c r="H179" s="167" t="str">
        <f t="shared" ca="1" si="85"/>
        <v>NA</v>
      </c>
      <c r="I179" s="167" t="str">
        <f t="shared" ca="1" si="85"/>
        <v>NA</v>
      </c>
      <c r="J179" s="167" t="str">
        <f t="shared" ca="1" si="85"/>
        <v>NA</v>
      </c>
      <c r="K179" s="167" t="str">
        <f t="shared" ca="1" si="85"/>
        <v>NA</v>
      </c>
      <c r="L179" s="167" t="str">
        <f t="shared" ca="1" si="85"/>
        <v>NA</v>
      </c>
      <c r="M179" s="167" t="str">
        <f t="shared" si="85"/>
        <v/>
      </c>
      <c r="N179" s="167" t="str">
        <f t="shared" si="85"/>
        <v/>
      </c>
      <c r="O179" s="167" t="str">
        <f t="shared" si="85"/>
        <v/>
      </c>
      <c r="P179" s="167" t="str">
        <f t="shared" si="85"/>
        <v/>
      </c>
      <c r="Q179" s="167" t="str">
        <f t="shared" si="85"/>
        <v/>
      </c>
      <c r="R179" s="167" t="str">
        <f t="shared" si="85"/>
        <v/>
      </c>
      <c r="S179" s="167" t="str">
        <f t="shared" si="85"/>
        <v/>
      </c>
      <c r="T179" s="167" t="str">
        <f t="shared" si="85"/>
        <v/>
      </c>
      <c r="U179" s="167" t="str">
        <f t="shared" si="85"/>
        <v/>
      </c>
      <c r="V179" s="167" t="str">
        <f t="shared" si="85"/>
        <v/>
      </c>
      <c r="W179" s="167" t="str">
        <f t="shared" si="85"/>
        <v/>
      </c>
    </row>
    <row r="180" spans="1:23" ht="15" customHeight="1" x14ac:dyDescent="0.2">
      <c r="A180" s="140" t="s">
        <v>218</v>
      </c>
      <c r="B180" s="140"/>
      <c r="C180" s="140"/>
      <c r="D180" s="167" t="str">
        <f t="shared" ref="D180:W180" ca="1" si="86">IFERROR(IF(D$10="","",(D21-C21)/ABS(C21)),"NA")</f>
        <v>NA</v>
      </c>
      <c r="E180" s="167" t="str">
        <f t="shared" ca="1" si="86"/>
        <v>NA</v>
      </c>
      <c r="F180" s="167" t="str">
        <f t="shared" ca="1" si="86"/>
        <v>NA</v>
      </c>
      <c r="G180" s="167" t="str">
        <f t="shared" ca="1" si="86"/>
        <v>NA</v>
      </c>
      <c r="H180" s="167" t="str">
        <f t="shared" ca="1" si="86"/>
        <v>NA</v>
      </c>
      <c r="I180" s="167" t="str">
        <f t="shared" ca="1" si="86"/>
        <v>NA</v>
      </c>
      <c r="J180" s="167" t="str">
        <f t="shared" ca="1" si="86"/>
        <v>NA</v>
      </c>
      <c r="K180" s="167" t="str">
        <f t="shared" ca="1" si="86"/>
        <v>NA</v>
      </c>
      <c r="L180" s="167" t="str">
        <f t="shared" ca="1" si="86"/>
        <v>NA</v>
      </c>
      <c r="M180" s="167" t="str">
        <f t="shared" si="86"/>
        <v/>
      </c>
      <c r="N180" s="167" t="str">
        <f t="shared" si="86"/>
        <v/>
      </c>
      <c r="O180" s="167" t="str">
        <f t="shared" si="86"/>
        <v/>
      </c>
      <c r="P180" s="167" t="str">
        <f t="shared" si="86"/>
        <v/>
      </c>
      <c r="Q180" s="167" t="str">
        <f t="shared" si="86"/>
        <v/>
      </c>
      <c r="R180" s="167" t="str">
        <f t="shared" si="86"/>
        <v/>
      </c>
      <c r="S180" s="167" t="str">
        <f t="shared" si="86"/>
        <v/>
      </c>
      <c r="T180" s="167" t="str">
        <f t="shared" si="86"/>
        <v/>
      </c>
      <c r="U180" s="167" t="str">
        <f t="shared" si="86"/>
        <v/>
      </c>
      <c r="V180" s="167" t="str">
        <f t="shared" si="86"/>
        <v/>
      </c>
      <c r="W180" s="167" t="str">
        <f t="shared" si="86"/>
        <v/>
      </c>
    </row>
    <row r="181" spans="1:23" ht="15" customHeight="1" x14ac:dyDescent="0.2">
      <c r="A181" s="683" t="s">
        <v>219</v>
      </c>
      <c r="B181" s="165"/>
      <c r="C181" s="165"/>
      <c r="D181" s="206" t="str">
        <f t="shared" ref="D181:W181" ca="1" si="87">IFERROR(IF(D$10="","",(D22-C22)/ABS(C22)),"NA")</f>
        <v>NA</v>
      </c>
      <c r="E181" s="206" t="str">
        <f t="shared" ca="1" si="87"/>
        <v>NA</v>
      </c>
      <c r="F181" s="206" t="str">
        <f t="shared" ca="1" si="87"/>
        <v>NA</v>
      </c>
      <c r="G181" s="206" t="str">
        <f t="shared" ca="1" si="87"/>
        <v>NA</v>
      </c>
      <c r="H181" s="206" t="str">
        <f t="shared" ca="1" si="87"/>
        <v>NA</v>
      </c>
      <c r="I181" s="206" t="str">
        <f t="shared" ca="1" si="87"/>
        <v>NA</v>
      </c>
      <c r="J181" s="206" t="str">
        <f t="shared" ca="1" si="87"/>
        <v>NA</v>
      </c>
      <c r="K181" s="206" t="str">
        <f t="shared" ca="1" si="87"/>
        <v>NA</v>
      </c>
      <c r="L181" s="206" t="str">
        <f t="shared" ca="1" si="87"/>
        <v>NA</v>
      </c>
      <c r="M181" s="206" t="str">
        <f t="shared" si="87"/>
        <v/>
      </c>
      <c r="N181" s="206" t="str">
        <f t="shared" si="87"/>
        <v/>
      </c>
      <c r="O181" s="206" t="str">
        <f t="shared" si="87"/>
        <v/>
      </c>
      <c r="P181" s="206" t="str">
        <f t="shared" si="87"/>
        <v/>
      </c>
      <c r="Q181" s="206" t="str">
        <f t="shared" si="87"/>
        <v/>
      </c>
      <c r="R181" s="206" t="str">
        <f t="shared" si="87"/>
        <v/>
      </c>
      <c r="S181" s="206" t="str">
        <f t="shared" si="87"/>
        <v/>
      </c>
      <c r="T181" s="206" t="str">
        <f t="shared" si="87"/>
        <v/>
      </c>
      <c r="U181" s="206" t="str">
        <f t="shared" si="87"/>
        <v/>
      </c>
      <c r="V181" s="206" t="str">
        <f t="shared" si="87"/>
        <v/>
      </c>
      <c r="W181" s="206" t="str">
        <f t="shared" si="87"/>
        <v/>
      </c>
    </row>
    <row r="182" spans="1:23" ht="15" customHeight="1" x14ac:dyDescent="0.2">
      <c r="D182" s="157"/>
      <c r="E182" s="157"/>
      <c r="F182" s="157"/>
      <c r="G182" s="157"/>
      <c r="H182" s="157"/>
      <c r="I182" s="157"/>
      <c r="J182" s="157"/>
      <c r="K182" s="157"/>
      <c r="L182" s="157"/>
      <c r="M182" s="157"/>
      <c r="N182" s="157"/>
      <c r="O182" s="157"/>
      <c r="P182" s="157"/>
      <c r="Q182" s="157"/>
      <c r="R182" s="157"/>
      <c r="S182" s="157"/>
      <c r="T182" s="157"/>
      <c r="U182" s="157"/>
      <c r="V182" s="157"/>
      <c r="W182" s="157"/>
    </row>
    <row r="183" spans="1:23" ht="15" customHeight="1" x14ac:dyDescent="0.2">
      <c r="A183" s="25" t="s">
        <v>0</v>
      </c>
      <c r="D183" s="172">
        <f t="shared" ref="D183:W183" ca="1" si="88">IFERROR(IF(D$10="","",(D24-C24)/ABS(C24)),"NA")</f>
        <v>3.0734861049994924E-2</v>
      </c>
      <c r="E183" s="172">
        <f t="shared" ca="1" si="88"/>
        <v>2.260462163256817E-2</v>
      </c>
      <c r="F183" s="172">
        <f t="shared" ca="1" si="88"/>
        <v>3.8782675715600845E-2</v>
      </c>
      <c r="G183" s="172">
        <f t="shared" ca="1" si="88"/>
        <v>4.9587287847404703E-2</v>
      </c>
      <c r="H183" s="172">
        <f t="shared" ca="1" si="88"/>
        <v>4.0813721736227701E-2</v>
      </c>
      <c r="I183" s="172">
        <f t="shared" ca="1" si="88"/>
        <v>1.0725403263843034E-2</v>
      </c>
      <c r="J183" s="172">
        <f t="shared" ca="1" si="88"/>
        <v>6.9437315090483164E-3</v>
      </c>
      <c r="K183" s="172">
        <f t="shared" ca="1" si="88"/>
        <v>3.7046648932719133E-2</v>
      </c>
      <c r="L183" s="172">
        <f t="shared" ca="1" si="88"/>
        <v>5.2945802945802943E-2</v>
      </c>
      <c r="M183" s="172" t="str">
        <f t="shared" si="88"/>
        <v/>
      </c>
      <c r="N183" s="172" t="str">
        <f t="shared" si="88"/>
        <v/>
      </c>
      <c r="O183" s="172" t="str">
        <f t="shared" si="88"/>
        <v/>
      </c>
      <c r="P183" s="172" t="str">
        <f t="shared" si="88"/>
        <v/>
      </c>
      <c r="Q183" s="172" t="str">
        <f t="shared" si="88"/>
        <v/>
      </c>
      <c r="R183" s="172" t="str">
        <f t="shared" si="88"/>
        <v/>
      </c>
      <c r="S183" s="172" t="str">
        <f t="shared" si="88"/>
        <v/>
      </c>
      <c r="T183" s="172" t="str">
        <f t="shared" si="88"/>
        <v/>
      </c>
      <c r="U183" s="172" t="str">
        <f t="shared" si="88"/>
        <v/>
      </c>
      <c r="V183" s="172" t="str">
        <f t="shared" si="88"/>
        <v/>
      </c>
      <c r="W183" s="172" t="str">
        <f t="shared" si="88"/>
        <v/>
      </c>
    </row>
    <row r="184" spans="1:23" ht="15" customHeight="1" x14ac:dyDescent="0.2">
      <c r="A184" s="140" t="s">
        <v>38</v>
      </c>
      <c r="B184" s="140"/>
      <c r="C184" s="140"/>
      <c r="D184" s="172">
        <f t="shared" ref="D184:W184" ca="1" si="89">IFERROR(IF(D$10="","",(D25-C25)/ABS(C25)),"NA")</f>
        <v>-3.0734861049994924E-2</v>
      </c>
      <c r="E184" s="172">
        <f t="shared" ca="1" si="89"/>
        <v>-2.260462163256817E-2</v>
      </c>
      <c r="F184" s="172">
        <f t="shared" ca="1" si="89"/>
        <v>-3.8782675715600845E-2</v>
      </c>
      <c r="G184" s="172">
        <f t="shared" ca="1" si="89"/>
        <v>-4.9587287847404703E-2</v>
      </c>
      <c r="H184" s="172">
        <f t="shared" ca="1" si="89"/>
        <v>-4.0813721736227701E-2</v>
      </c>
      <c r="I184" s="172">
        <f t="shared" ca="1" si="89"/>
        <v>-1.0725403263843034E-2</v>
      </c>
      <c r="J184" s="172">
        <f t="shared" ca="1" si="89"/>
        <v>-6.9437315090483164E-3</v>
      </c>
      <c r="K184" s="172">
        <f t="shared" ca="1" si="89"/>
        <v>-3.7046648932719133E-2</v>
      </c>
      <c r="L184" s="172">
        <f t="shared" ca="1" si="89"/>
        <v>-5.2945802945802943E-2</v>
      </c>
      <c r="M184" s="172" t="str">
        <f t="shared" si="89"/>
        <v/>
      </c>
      <c r="N184" s="172" t="str">
        <f t="shared" si="89"/>
        <v/>
      </c>
      <c r="O184" s="172" t="str">
        <f t="shared" si="89"/>
        <v/>
      </c>
      <c r="P184" s="172" t="str">
        <f t="shared" si="89"/>
        <v/>
      </c>
      <c r="Q184" s="172" t="str">
        <f t="shared" si="89"/>
        <v/>
      </c>
      <c r="R184" s="172" t="str">
        <f t="shared" si="89"/>
        <v/>
      </c>
      <c r="S184" s="172" t="str">
        <f t="shared" si="89"/>
        <v/>
      </c>
      <c r="T184" s="172" t="str">
        <f t="shared" si="89"/>
        <v/>
      </c>
      <c r="U184" s="172" t="str">
        <f t="shared" si="89"/>
        <v/>
      </c>
      <c r="V184" s="172" t="str">
        <f t="shared" si="89"/>
        <v/>
      </c>
      <c r="W184" s="172" t="str">
        <f t="shared" si="89"/>
        <v/>
      </c>
    </row>
    <row r="185" spans="1:23" ht="15" customHeight="1" x14ac:dyDescent="0.2">
      <c r="A185" s="684" t="s">
        <v>40</v>
      </c>
      <c r="B185" s="169"/>
      <c r="C185" s="169"/>
      <c r="D185" s="182" t="str">
        <f t="shared" ref="D185:W185" ca="1" si="90">IFERROR(IF(D$10="","",(D26-C26)/ABS(C26)),"NA")</f>
        <v>NA</v>
      </c>
      <c r="E185" s="182" t="str">
        <f t="shared" ca="1" si="90"/>
        <v>NA</v>
      </c>
      <c r="F185" s="182" t="str">
        <f t="shared" ca="1" si="90"/>
        <v>NA</v>
      </c>
      <c r="G185" s="182" t="str">
        <f t="shared" ca="1" si="90"/>
        <v>NA</v>
      </c>
      <c r="H185" s="182" t="str">
        <f t="shared" ca="1" si="90"/>
        <v>NA</v>
      </c>
      <c r="I185" s="182" t="str">
        <f t="shared" ca="1" si="90"/>
        <v>NA</v>
      </c>
      <c r="J185" s="182" t="str">
        <f t="shared" ca="1" si="90"/>
        <v>NA</v>
      </c>
      <c r="K185" s="182" t="str">
        <f t="shared" ca="1" si="90"/>
        <v>NA</v>
      </c>
      <c r="L185" s="182" t="str">
        <f t="shared" ca="1" si="90"/>
        <v>NA</v>
      </c>
      <c r="M185" s="182" t="str">
        <f t="shared" si="90"/>
        <v/>
      </c>
      <c r="N185" s="182" t="str">
        <f t="shared" si="90"/>
        <v/>
      </c>
      <c r="O185" s="182" t="str">
        <f t="shared" si="90"/>
        <v/>
      </c>
      <c r="P185" s="182" t="str">
        <f t="shared" si="90"/>
        <v/>
      </c>
      <c r="Q185" s="182" t="str">
        <f t="shared" si="90"/>
        <v/>
      </c>
      <c r="R185" s="182" t="str">
        <f t="shared" si="90"/>
        <v/>
      </c>
      <c r="S185" s="182" t="str">
        <f t="shared" si="90"/>
        <v/>
      </c>
      <c r="T185" s="182" t="str">
        <f t="shared" si="90"/>
        <v/>
      </c>
      <c r="U185" s="182" t="str">
        <f t="shared" si="90"/>
        <v/>
      </c>
      <c r="V185" s="182" t="str">
        <f t="shared" si="90"/>
        <v/>
      </c>
      <c r="W185" s="182" t="str">
        <f t="shared" si="90"/>
        <v/>
      </c>
    </row>
    <row r="186" spans="1:23" ht="15" customHeight="1" x14ac:dyDescent="0.2">
      <c r="D186" s="157"/>
      <c r="E186" s="157"/>
      <c r="F186" s="157"/>
      <c r="G186" s="157"/>
      <c r="H186" s="157"/>
      <c r="I186" s="157"/>
      <c r="J186" s="157"/>
      <c r="K186" s="157"/>
      <c r="L186" s="157"/>
      <c r="M186" s="157"/>
      <c r="N186" s="157"/>
      <c r="O186" s="157"/>
      <c r="P186" s="157"/>
      <c r="Q186" s="157"/>
      <c r="R186" s="157"/>
      <c r="S186" s="157"/>
      <c r="T186" s="157"/>
      <c r="U186" s="157"/>
      <c r="V186" s="157"/>
      <c r="W186" s="157"/>
    </row>
    <row r="187" spans="1:23" ht="15" customHeight="1" x14ac:dyDescent="0.2">
      <c r="A187" s="140" t="s">
        <v>43</v>
      </c>
      <c r="B187" s="140"/>
      <c r="C187" s="140"/>
      <c r="D187" s="167">
        <f t="shared" ref="D187:W187" ca="1" si="91">IFERROR(IF(D$10="","",(D28-C28)/ABS(C28)),"NA")</f>
        <v>1.8471977883890423E-2</v>
      </c>
      <c r="E187" s="167">
        <f t="shared" ca="1" si="91"/>
        <v>-1.4805675508945095E-2</v>
      </c>
      <c r="F187" s="167">
        <f t="shared" ca="1" si="91"/>
        <v>-0.17871008140262992</v>
      </c>
      <c r="G187" s="167">
        <f t="shared" ca="1" si="91"/>
        <v>-5.3979871912168347E-2</v>
      </c>
      <c r="H187" s="167">
        <f t="shared" ca="1" si="91"/>
        <v>-0.25854287556415217</v>
      </c>
      <c r="I187" s="167">
        <f t="shared" ca="1" si="91"/>
        <v>-6.9347826086956527E-2</v>
      </c>
      <c r="J187" s="167">
        <f t="shared" ca="1" si="91"/>
        <v>0.14809623919644943</v>
      </c>
      <c r="K187" s="167">
        <f t="shared" ca="1" si="91"/>
        <v>0.39532044760935908</v>
      </c>
      <c r="L187" s="167">
        <f t="shared" ca="1" si="91"/>
        <v>-0.30650335374744825</v>
      </c>
      <c r="M187" s="167" t="str">
        <f t="shared" si="91"/>
        <v/>
      </c>
      <c r="N187" s="167" t="str">
        <f t="shared" si="91"/>
        <v/>
      </c>
      <c r="O187" s="167" t="str">
        <f t="shared" si="91"/>
        <v/>
      </c>
      <c r="P187" s="167" t="str">
        <f t="shared" si="91"/>
        <v/>
      </c>
      <c r="Q187" s="167" t="str">
        <f t="shared" si="91"/>
        <v/>
      </c>
      <c r="R187" s="167" t="str">
        <f t="shared" si="91"/>
        <v/>
      </c>
      <c r="S187" s="167" t="str">
        <f t="shared" si="91"/>
        <v/>
      </c>
      <c r="T187" s="167" t="str">
        <f t="shared" si="91"/>
        <v/>
      </c>
      <c r="U187" s="167" t="str">
        <f t="shared" si="91"/>
        <v/>
      </c>
      <c r="V187" s="167" t="str">
        <f t="shared" si="91"/>
        <v/>
      </c>
      <c r="W187" s="167" t="str">
        <f t="shared" si="91"/>
        <v/>
      </c>
    </row>
    <row r="188" spans="1:23" ht="15" customHeight="1" x14ac:dyDescent="0.2">
      <c r="A188" s="170" t="s">
        <v>4</v>
      </c>
      <c r="B188" s="170"/>
      <c r="C188" s="170"/>
      <c r="D188" s="167">
        <f ca="1">IFERROR(IF(D$10="","",(D29-C29)/ABS(C29)),"NA")</f>
        <v>3.3257202388107546E-2</v>
      </c>
      <c r="E188" s="167">
        <f t="shared" ref="E188:W188" ca="1" si="92">IFERROR(IF(E$10="","",(E29-D29)/ABS(D29)),"NA")</f>
        <v>-9.1598623948273717E-3</v>
      </c>
      <c r="F188" s="167">
        <f t="shared" ca="1" si="92"/>
        <v>0.12715623459832429</v>
      </c>
      <c r="G188" s="167">
        <f t="shared" ca="1" si="92"/>
        <v>6.6111424807076977E-2</v>
      </c>
      <c r="H188" s="167">
        <f t="shared" ca="1" si="92"/>
        <v>0.27132564115483448</v>
      </c>
      <c r="I188" s="167">
        <f t="shared" ca="1" si="92"/>
        <v>0.24277416678191122</v>
      </c>
      <c r="J188" s="167">
        <f t="shared" ca="1" si="92"/>
        <v>-0.80768879554378592</v>
      </c>
      <c r="K188" s="167">
        <f t="shared" ca="1" si="92"/>
        <v>-2.8894726207314609E-2</v>
      </c>
      <c r="L188" s="167">
        <f t="shared" ca="1" si="92"/>
        <v>9.5198350353495678E-2</v>
      </c>
      <c r="M188" s="167" t="str">
        <f t="shared" si="92"/>
        <v/>
      </c>
      <c r="N188" s="167" t="str">
        <f t="shared" si="92"/>
        <v/>
      </c>
      <c r="O188" s="167" t="str">
        <f t="shared" si="92"/>
        <v/>
      </c>
      <c r="P188" s="167" t="str">
        <f t="shared" si="92"/>
        <v/>
      </c>
      <c r="Q188" s="167" t="str">
        <f t="shared" si="92"/>
        <v/>
      </c>
      <c r="R188" s="167" t="str">
        <f t="shared" si="92"/>
        <v/>
      </c>
      <c r="S188" s="167" t="str">
        <f t="shared" si="92"/>
        <v/>
      </c>
      <c r="T188" s="167" t="str">
        <f t="shared" si="92"/>
        <v/>
      </c>
      <c r="U188" s="167" t="str">
        <f t="shared" si="92"/>
        <v/>
      </c>
      <c r="V188" s="167" t="str">
        <f t="shared" si="92"/>
        <v/>
      </c>
      <c r="W188" s="167" t="str">
        <f t="shared" si="92"/>
        <v/>
      </c>
    </row>
    <row r="189" spans="1:23" ht="15" customHeight="1" x14ac:dyDescent="0.2">
      <c r="A189" s="684" t="s">
        <v>228</v>
      </c>
      <c r="B189" s="169"/>
      <c r="C189" s="169"/>
      <c r="D189" s="206">
        <f t="shared" ref="D189:W189" ca="1" si="93">IFERROR(IF(D$10="","",(D30-C30)/ABS(C30)),"NA")</f>
        <v>5.7473969057003353E-2</v>
      </c>
      <c r="E189" s="206">
        <f t="shared" ca="1" si="93"/>
        <v>-2.1283235551117215E-2</v>
      </c>
      <c r="F189" s="206">
        <f t="shared" ca="1" si="93"/>
        <v>0.10199841104931859</v>
      </c>
      <c r="G189" s="206">
        <f t="shared" ca="1" si="93"/>
        <v>7.1525792840615221E-2</v>
      </c>
      <c r="H189" s="206">
        <f t="shared" ca="1" si="93"/>
        <v>0.27713845928314884</v>
      </c>
      <c r="I189" s="206">
        <f t="shared" ca="1" si="93"/>
        <v>0.32366659906712636</v>
      </c>
      <c r="J189" s="206">
        <f t="shared" ca="1" si="93"/>
        <v>-1.2310344827586206</v>
      </c>
      <c r="K189" s="206">
        <f t="shared" ca="1" si="93"/>
        <v>9.2130905181103423E-2</v>
      </c>
      <c r="L189" s="206">
        <f t="shared" ca="1" si="93"/>
        <v>-1.2065136935603257E-2</v>
      </c>
      <c r="M189" s="206" t="str">
        <f t="shared" si="93"/>
        <v/>
      </c>
      <c r="N189" s="206" t="str">
        <f t="shared" si="93"/>
        <v/>
      </c>
      <c r="O189" s="206" t="str">
        <f t="shared" si="93"/>
        <v/>
      </c>
      <c r="P189" s="206" t="str">
        <f t="shared" si="93"/>
        <v/>
      </c>
      <c r="Q189" s="206" t="str">
        <f t="shared" si="93"/>
        <v/>
      </c>
      <c r="R189" s="206" t="str">
        <f t="shared" si="93"/>
        <v/>
      </c>
      <c r="S189" s="206" t="str">
        <f t="shared" si="93"/>
        <v/>
      </c>
      <c r="T189" s="206" t="str">
        <f t="shared" si="93"/>
        <v/>
      </c>
      <c r="U189" s="206" t="str">
        <f t="shared" si="93"/>
        <v/>
      </c>
      <c r="V189" s="206" t="str">
        <f t="shared" si="93"/>
        <v/>
      </c>
      <c r="W189" s="206" t="str">
        <f t="shared" si="93"/>
        <v/>
      </c>
    </row>
    <row r="190" spans="1:23" ht="15" customHeight="1" x14ac:dyDescent="0.2">
      <c r="D190" s="157"/>
      <c r="E190" s="157"/>
      <c r="F190" s="157"/>
      <c r="G190" s="157"/>
      <c r="H190" s="157"/>
      <c r="I190" s="157"/>
      <c r="J190" s="157"/>
      <c r="K190" s="157"/>
      <c r="L190" s="157"/>
      <c r="M190" s="157"/>
      <c r="N190" s="157"/>
      <c r="O190" s="157"/>
      <c r="P190" s="157"/>
      <c r="Q190" s="157"/>
      <c r="R190" s="157"/>
      <c r="S190" s="157"/>
      <c r="T190" s="157"/>
      <c r="U190" s="157"/>
      <c r="V190" s="157"/>
      <c r="W190" s="157"/>
    </row>
    <row r="191" spans="1:23" ht="15" customHeight="1" x14ac:dyDescent="0.2">
      <c r="A191" s="916" t="s">
        <v>229</v>
      </c>
      <c r="B191" s="916"/>
      <c r="C191" s="916"/>
      <c r="D191" s="919"/>
      <c r="E191" s="919"/>
      <c r="F191" s="919"/>
      <c r="G191" s="919"/>
      <c r="H191" s="919"/>
      <c r="I191" s="919"/>
      <c r="J191" s="919"/>
      <c r="K191" s="919"/>
      <c r="L191" s="919"/>
      <c r="M191" s="919"/>
      <c r="N191" s="919"/>
      <c r="O191" s="919"/>
      <c r="P191" s="919"/>
      <c r="Q191" s="919"/>
      <c r="R191" s="919"/>
      <c r="S191" s="919"/>
      <c r="T191" s="919"/>
      <c r="U191" s="919"/>
      <c r="V191" s="919"/>
      <c r="W191" s="919"/>
    </row>
    <row r="192" spans="1:23" ht="15" customHeight="1" x14ac:dyDescent="0.2">
      <c r="A192" s="27" t="s">
        <v>30</v>
      </c>
      <c r="B192" s="27"/>
      <c r="C192" s="27"/>
      <c r="D192" s="164" t="str">
        <f t="shared" ref="D192:W192" ca="1" si="94">IFERROR(IF(D$10="","",(D33-C33)/ABS(C33)),"NA")</f>
        <v>NA</v>
      </c>
      <c r="E192" s="164" t="str">
        <f t="shared" ca="1" si="94"/>
        <v>NA</v>
      </c>
      <c r="F192" s="164" t="str">
        <f t="shared" ca="1" si="94"/>
        <v>NA</v>
      </c>
      <c r="G192" s="164" t="str">
        <f t="shared" ca="1" si="94"/>
        <v>NA</v>
      </c>
      <c r="H192" s="164" t="str">
        <f t="shared" ca="1" si="94"/>
        <v>NA</v>
      </c>
      <c r="I192" s="164" t="str">
        <f t="shared" ca="1" si="94"/>
        <v>NA</v>
      </c>
      <c r="J192" s="164" t="str">
        <f t="shared" ca="1" si="94"/>
        <v>NA</v>
      </c>
      <c r="K192" s="164" t="str">
        <f t="shared" ca="1" si="94"/>
        <v>NA</v>
      </c>
      <c r="L192" s="164" t="str">
        <f t="shared" ca="1" si="94"/>
        <v>NA</v>
      </c>
      <c r="M192" s="164" t="str">
        <f t="shared" si="94"/>
        <v/>
      </c>
      <c r="N192" s="164" t="str">
        <f t="shared" si="94"/>
        <v/>
      </c>
      <c r="O192" s="164" t="str">
        <f t="shared" si="94"/>
        <v/>
      </c>
      <c r="P192" s="164" t="str">
        <f t="shared" si="94"/>
        <v/>
      </c>
      <c r="Q192" s="164" t="str">
        <f t="shared" si="94"/>
        <v/>
      </c>
      <c r="R192" s="164" t="str">
        <f t="shared" si="94"/>
        <v/>
      </c>
      <c r="S192" s="164" t="str">
        <f t="shared" si="94"/>
        <v/>
      </c>
      <c r="T192" s="164" t="str">
        <f t="shared" si="94"/>
        <v/>
      </c>
      <c r="U192" s="164" t="str">
        <f t="shared" si="94"/>
        <v/>
      </c>
      <c r="V192" s="164" t="str">
        <f t="shared" si="94"/>
        <v/>
      </c>
      <c r="W192" s="164" t="str">
        <f t="shared" si="94"/>
        <v/>
      </c>
    </row>
    <row r="193" spans="1:23" ht="15" customHeight="1" x14ac:dyDescent="0.2">
      <c r="A193" s="27" t="s">
        <v>50</v>
      </c>
      <c r="B193" s="27"/>
      <c r="C193" s="27"/>
      <c r="D193" s="167">
        <f t="shared" ref="D193:W193" ca="1" si="95">IFERROR(IF(D$10="","",(D34-C34)/ABS(C34)),"NA")</f>
        <v>-3.9201932818954094E-2</v>
      </c>
      <c r="E193" s="167">
        <f t="shared" ca="1" si="95"/>
        <v>5.7998053212199871E-3</v>
      </c>
      <c r="F193" s="167">
        <f t="shared" ca="1" si="95"/>
        <v>-0.12746481712972296</v>
      </c>
      <c r="G193" s="167">
        <f t="shared" ca="1" si="95"/>
        <v>-5.2731306035677973E-2</v>
      </c>
      <c r="H193" s="167">
        <f t="shared" ca="1" si="95"/>
        <v>-0.26218470995755477</v>
      </c>
      <c r="I193" s="167">
        <f t="shared" ca="1" si="95"/>
        <v>-0.2422138464590359</v>
      </c>
      <c r="J193" s="167">
        <f t="shared" ca="1" si="95"/>
        <v>0.7553228621291449</v>
      </c>
      <c r="K193" s="167">
        <f t="shared" ca="1" si="95"/>
        <v>2.2270829190693973E-2</v>
      </c>
      <c r="L193" s="167">
        <f t="shared" ca="1" si="95"/>
        <v>-9.0838358296051358E-2</v>
      </c>
      <c r="M193" s="167" t="str">
        <f t="shared" si="95"/>
        <v/>
      </c>
      <c r="N193" s="167" t="str">
        <f t="shared" si="95"/>
        <v/>
      </c>
      <c r="O193" s="167" t="str">
        <f t="shared" si="95"/>
        <v/>
      </c>
      <c r="P193" s="167" t="str">
        <f t="shared" si="95"/>
        <v/>
      </c>
      <c r="Q193" s="167" t="str">
        <f t="shared" si="95"/>
        <v/>
      </c>
      <c r="R193" s="167" t="str">
        <f t="shared" si="95"/>
        <v/>
      </c>
      <c r="S193" s="167" t="str">
        <f t="shared" si="95"/>
        <v/>
      </c>
      <c r="T193" s="167" t="str">
        <f t="shared" si="95"/>
        <v/>
      </c>
      <c r="U193" s="167" t="str">
        <f t="shared" si="95"/>
        <v/>
      </c>
      <c r="V193" s="167" t="str">
        <f t="shared" si="95"/>
        <v/>
      </c>
      <c r="W193" s="167" t="str">
        <f t="shared" si="95"/>
        <v/>
      </c>
    </row>
    <row r="194" spans="1:23" ht="15" customHeight="1" x14ac:dyDescent="0.2">
      <c r="A194" s="27" t="s">
        <v>6</v>
      </c>
      <c r="B194" s="27"/>
      <c r="C194" s="27"/>
      <c r="D194" s="167">
        <f t="shared" ref="D194:W194" ca="1" si="96">IFERROR(IF(D$10="","",(D35-C35)/ABS(C35)),"NA")</f>
        <v>-5.7473969057003353E-2</v>
      </c>
      <c r="E194" s="167">
        <f t="shared" ca="1" si="96"/>
        <v>2.1283235551117215E-2</v>
      </c>
      <c r="F194" s="167">
        <f t="shared" ca="1" si="96"/>
        <v>-0.10199841104931859</v>
      </c>
      <c r="G194" s="167">
        <f t="shared" ca="1" si="96"/>
        <v>-7.1525792840615221E-2</v>
      </c>
      <c r="H194" s="167">
        <f t="shared" ca="1" si="96"/>
        <v>-0.27713845928314884</v>
      </c>
      <c r="I194" s="167">
        <f t="shared" ca="1" si="96"/>
        <v>-0.32366659906712636</v>
      </c>
      <c r="J194" s="167">
        <f t="shared" ca="1" si="96"/>
        <v>1.2310344827586206</v>
      </c>
      <c r="K194" s="167">
        <f t="shared" ca="1" si="96"/>
        <v>-9.2130905181103423E-2</v>
      </c>
      <c r="L194" s="167">
        <f t="shared" ca="1" si="96"/>
        <v>1.2065136935603257E-2</v>
      </c>
      <c r="M194" s="167" t="str">
        <f t="shared" si="96"/>
        <v/>
      </c>
      <c r="N194" s="167" t="str">
        <f t="shared" si="96"/>
        <v/>
      </c>
      <c r="O194" s="167" t="str">
        <f t="shared" si="96"/>
        <v/>
      </c>
      <c r="P194" s="167" t="str">
        <f t="shared" si="96"/>
        <v/>
      </c>
      <c r="Q194" s="167" t="str">
        <f t="shared" si="96"/>
        <v/>
      </c>
      <c r="R194" s="167" t="str">
        <f t="shared" si="96"/>
        <v/>
      </c>
      <c r="S194" s="167" t="str">
        <f t="shared" si="96"/>
        <v/>
      </c>
      <c r="T194" s="167" t="str">
        <f t="shared" si="96"/>
        <v/>
      </c>
      <c r="U194" s="167" t="str">
        <f t="shared" si="96"/>
        <v/>
      </c>
      <c r="V194" s="167" t="str">
        <f t="shared" si="96"/>
        <v/>
      </c>
      <c r="W194" s="167" t="str">
        <f t="shared" si="96"/>
        <v/>
      </c>
    </row>
    <row r="195" spans="1:23" ht="15" customHeight="1" x14ac:dyDescent="0.2">
      <c r="A195" s="27"/>
      <c r="B195" s="27"/>
      <c r="C195" s="27"/>
      <c r="D195" s="27"/>
      <c r="E195" s="157"/>
      <c r="F195" s="157"/>
      <c r="G195" s="157"/>
      <c r="H195" s="157"/>
      <c r="I195" s="157"/>
      <c r="J195" s="157"/>
      <c r="K195" s="157"/>
      <c r="L195" s="157"/>
      <c r="M195" s="157"/>
      <c r="N195" s="157"/>
      <c r="O195" s="157"/>
      <c r="P195" s="157"/>
      <c r="Q195" s="157"/>
      <c r="R195" s="157"/>
      <c r="S195" s="157"/>
      <c r="T195" s="157"/>
      <c r="U195" s="157"/>
      <c r="V195" s="157"/>
      <c r="W195" s="157"/>
    </row>
    <row r="196" spans="1:23" ht="15" customHeight="1" x14ac:dyDescent="0.2">
      <c r="A196" s="916" t="s">
        <v>234</v>
      </c>
      <c r="B196" s="916"/>
      <c r="C196" s="916"/>
      <c r="D196" s="916"/>
      <c r="E196" s="915"/>
      <c r="F196" s="915"/>
      <c r="G196" s="915"/>
      <c r="H196" s="915"/>
      <c r="I196" s="915"/>
      <c r="J196" s="915"/>
      <c r="K196" s="915"/>
      <c r="L196" s="915"/>
      <c r="M196" s="915"/>
      <c r="N196" s="915"/>
      <c r="O196" s="915"/>
      <c r="P196" s="915"/>
      <c r="Q196" s="915"/>
      <c r="R196" s="915"/>
      <c r="S196" s="915"/>
      <c r="T196" s="915"/>
      <c r="U196" s="915"/>
      <c r="V196" s="915"/>
      <c r="W196" s="915"/>
    </row>
    <row r="197" spans="1:23" ht="15" customHeight="1" x14ac:dyDescent="0.2">
      <c r="A197" s="25" t="s">
        <v>235</v>
      </c>
      <c r="D197" s="172">
        <f t="shared" ref="D197:W197" ca="1" si="97">IFERROR(IF(D$10="","",(D38-C38)/ABS(C38)),"NA")</f>
        <v>-5.7721791263357754E-2</v>
      </c>
      <c r="E197" s="172">
        <f t="shared" ca="1" si="97"/>
        <v>9.2766856490642795E-3</v>
      </c>
      <c r="F197" s="172">
        <f t="shared" ca="1" si="97"/>
        <v>-0.10066048291045568</v>
      </c>
      <c r="G197" s="172">
        <f t="shared" ca="1" si="97"/>
        <v>-4.4572865666051335E-2</v>
      </c>
      <c r="H197" s="172">
        <f t="shared" ca="1" si="97"/>
        <v>-9.1526420430679642E-2</v>
      </c>
      <c r="I197" s="172">
        <f t="shared" ca="1" si="97"/>
        <v>-1.9418972027433323E-3</v>
      </c>
      <c r="J197" s="172">
        <f t="shared" ca="1" si="97"/>
        <v>-9.0859957689278611E-2</v>
      </c>
      <c r="K197" s="172">
        <f t="shared" ca="1" si="97"/>
        <v>0.17003821656050952</v>
      </c>
      <c r="L197" s="172">
        <f t="shared" ca="1" si="97"/>
        <v>-5.3523212263740232E-2</v>
      </c>
      <c r="M197" s="172" t="str">
        <f t="shared" si="97"/>
        <v/>
      </c>
      <c r="N197" s="172" t="str">
        <f t="shared" si="97"/>
        <v/>
      </c>
      <c r="O197" s="172" t="str">
        <f t="shared" si="97"/>
        <v/>
      </c>
      <c r="P197" s="172" t="str">
        <f t="shared" si="97"/>
        <v/>
      </c>
      <c r="Q197" s="172" t="str">
        <f t="shared" si="97"/>
        <v/>
      </c>
      <c r="R197" s="172" t="str">
        <f t="shared" si="97"/>
        <v/>
      </c>
      <c r="S197" s="172" t="str">
        <f t="shared" si="97"/>
        <v/>
      </c>
      <c r="T197" s="172" t="str">
        <f t="shared" si="97"/>
        <v/>
      </c>
      <c r="U197" s="172" t="str">
        <f t="shared" si="97"/>
        <v/>
      </c>
      <c r="V197" s="172" t="str">
        <f t="shared" si="97"/>
        <v/>
      </c>
      <c r="W197" s="172" t="str">
        <f t="shared" si="97"/>
        <v/>
      </c>
    </row>
    <row r="198" spans="1:23" ht="15" customHeight="1" x14ac:dyDescent="0.2">
      <c r="A198" s="25" t="s">
        <v>105</v>
      </c>
      <c r="D198" s="172">
        <f t="shared" ref="D198:W198" ca="1" si="98">IFERROR(IF(D$10="","",(D39-C39)/ABS(C39)),"NA")</f>
        <v>-0.10287064213615857</v>
      </c>
      <c r="E198" s="172">
        <f t="shared" ca="1" si="98"/>
        <v>-6.2639642515162916E-3</v>
      </c>
      <c r="F198" s="172">
        <f t="shared" ca="1" si="98"/>
        <v>-0.10725900349299396</v>
      </c>
      <c r="G198" s="172">
        <f t="shared" ca="1" si="98"/>
        <v>-2.0996829394436759E-2</v>
      </c>
      <c r="H198" s="172">
        <f t="shared" ca="1" si="98"/>
        <v>-0.25103790432330925</v>
      </c>
      <c r="I198" s="172">
        <f t="shared" ca="1" si="98"/>
        <v>-0.31395143792503322</v>
      </c>
      <c r="J198" s="172">
        <f t="shared" ca="1" si="98"/>
        <v>1.1078429181287857</v>
      </c>
      <c r="K198" s="172">
        <f t="shared" ca="1" si="98"/>
        <v>-0.14046147157687136</v>
      </c>
      <c r="L198" s="172">
        <f t="shared" ca="1" si="98"/>
        <v>-4.1536876777221891E-2</v>
      </c>
      <c r="M198" s="172" t="str">
        <f t="shared" si="98"/>
        <v/>
      </c>
      <c r="N198" s="172" t="str">
        <f t="shared" si="98"/>
        <v/>
      </c>
      <c r="O198" s="172" t="str">
        <f t="shared" si="98"/>
        <v/>
      </c>
      <c r="P198" s="172" t="str">
        <f t="shared" si="98"/>
        <v/>
      </c>
      <c r="Q198" s="172" t="str">
        <f t="shared" si="98"/>
        <v/>
      </c>
      <c r="R198" s="172" t="str">
        <f t="shared" si="98"/>
        <v/>
      </c>
      <c r="S198" s="172" t="str">
        <f t="shared" si="98"/>
        <v/>
      </c>
      <c r="T198" s="172" t="str">
        <f t="shared" si="98"/>
        <v/>
      </c>
      <c r="U198" s="172" t="str">
        <f t="shared" si="98"/>
        <v/>
      </c>
      <c r="V198" s="172" t="str">
        <f t="shared" si="98"/>
        <v/>
      </c>
      <c r="W198" s="172" t="str">
        <f t="shared" si="98"/>
        <v/>
      </c>
    </row>
    <row r="199" spans="1:23" ht="15" customHeight="1" x14ac:dyDescent="0.2">
      <c r="A199" s="25" t="s">
        <v>107</v>
      </c>
      <c r="D199" s="172">
        <f>IFERROR(IF(D$10="","",(D40-C40)/ABS(C40)),"NA")</f>
        <v>-7.2670700628716486E-2</v>
      </c>
      <c r="E199" s="172">
        <f t="shared" ref="E199:W199" si="99">IFERROR(IF(E$10="","",(E40-D40)/ABS(D40)),"NA")</f>
        <v>-4.6553723689840946E-3</v>
      </c>
      <c r="F199" s="172">
        <f t="shared" si="99"/>
        <v>-0.10053898877656456</v>
      </c>
      <c r="G199" s="172">
        <f t="shared" si="99"/>
        <v>-4.946722830507215E-2</v>
      </c>
      <c r="H199" s="172">
        <f t="shared" si="99"/>
        <v>-0.25202169891135962</v>
      </c>
      <c r="I199" s="172">
        <f t="shared" si="99"/>
        <v>-0.34872047377599708</v>
      </c>
      <c r="J199" s="172">
        <f t="shared" si="99"/>
        <v>0.9882452395920811</v>
      </c>
      <c r="K199" s="172">
        <f t="shared" si="99"/>
        <v>-0.14352407745495527</v>
      </c>
      <c r="L199" s="172">
        <f t="shared" si="99"/>
        <v>1.5968833151582717E-2</v>
      </c>
      <c r="M199" s="172" t="str">
        <f t="shared" si="99"/>
        <v/>
      </c>
      <c r="N199" s="172" t="str">
        <f t="shared" si="99"/>
        <v/>
      </c>
      <c r="O199" s="172" t="str">
        <f t="shared" si="99"/>
        <v/>
      </c>
      <c r="P199" s="172" t="str">
        <f t="shared" si="99"/>
        <v/>
      </c>
      <c r="Q199" s="172" t="str">
        <f t="shared" si="99"/>
        <v/>
      </c>
      <c r="R199" s="172" t="str">
        <f t="shared" si="99"/>
        <v/>
      </c>
      <c r="S199" s="172" t="str">
        <f t="shared" si="99"/>
        <v/>
      </c>
      <c r="T199" s="172" t="str">
        <f t="shared" si="99"/>
        <v/>
      </c>
      <c r="U199" s="172" t="str">
        <f t="shared" si="99"/>
        <v/>
      </c>
      <c r="V199" s="172" t="str">
        <f t="shared" si="99"/>
        <v/>
      </c>
      <c r="W199" s="172" t="str">
        <f t="shared" si="99"/>
        <v/>
      </c>
    </row>
    <row r="200" spans="1:23" ht="15" customHeight="1" x14ac:dyDescent="0.2">
      <c r="D200" s="157"/>
      <c r="E200" s="157"/>
      <c r="F200" s="157"/>
      <c r="G200" s="157"/>
      <c r="H200" s="157"/>
      <c r="I200" s="157"/>
      <c r="J200" s="157"/>
      <c r="K200" s="157"/>
      <c r="L200" s="157"/>
      <c r="M200" s="157"/>
      <c r="N200" s="157"/>
      <c r="O200" s="157"/>
      <c r="P200" s="157"/>
      <c r="Q200" s="157"/>
      <c r="R200" s="157"/>
      <c r="S200" s="157"/>
      <c r="T200" s="157"/>
      <c r="U200" s="157"/>
      <c r="V200" s="157"/>
      <c r="W200" s="157"/>
    </row>
    <row r="201" spans="1:23" s="48" customFormat="1" ht="15" customHeight="1" x14ac:dyDescent="0.2">
      <c r="A201" s="48" t="s">
        <v>238</v>
      </c>
      <c r="D201" s="172" t="str">
        <f t="shared" ref="D201:W201" ca="1" si="100">IFERROR(IF(D$10="","",(D42-C42)/C42),"NA")</f>
        <v>NA</v>
      </c>
      <c r="E201" s="172" t="str">
        <f t="shared" ca="1" si="100"/>
        <v>NA</v>
      </c>
      <c r="F201" s="172" t="str">
        <f t="shared" ca="1" si="100"/>
        <v>NA</v>
      </c>
      <c r="G201" s="172" t="str">
        <f t="shared" ca="1" si="100"/>
        <v>NA</v>
      </c>
      <c r="H201" s="172" t="str">
        <f t="shared" ca="1" si="100"/>
        <v>NA</v>
      </c>
      <c r="I201" s="172" t="str">
        <f t="shared" ca="1" si="100"/>
        <v>NA</v>
      </c>
      <c r="J201" s="172" t="str">
        <f t="shared" ca="1" si="100"/>
        <v>NA</v>
      </c>
      <c r="K201" s="172" t="str">
        <f t="shared" ca="1" si="100"/>
        <v>NA</v>
      </c>
      <c r="L201" s="172" t="str">
        <f t="shared" ca="1" si="100"/>
        <v>NA</v>
      </c>
      <c r="M201" s="172" t="str">
        <f t="shared" si="100"/>
        <v/>
      </c>
      <c r="N201" s="172" t="str">
        <f t="shared" si="100"/>
        <v/>
      </c>
      <c r="O201" s="172" t="str">
        <f t="shared" si="100"/>
        <v/>
      </c>
      <c r="P201" s="172" t="str">
        <f t="shared" si="100"/>
        <v/>
      </c>
      <c r="Q201" s="172" t="str">
        <f t="shared" si="100"/>
        <v/>
      </c>
      <c r="R201" s="172" t="str">
        <f t="shared" si="100"/>
        <v/>
      </c>
      <c r="S201" s="172" t="str">
        <f t="shared" si="100"/>
        <v/>
      </c>
      <c r="T201" s="172" t="str">
        <f t="shared" si="100"/>
        <v/>
      </c>
      <c r="U201" s="172" t="str">
        <f t="shared" si="100"/>
        <v/>
      </c>
      <c r="V201" s="172" t="str">
        <f t="shared" si="100"/>
        <v/>
      </c>
      <c r="W201" s="172" t="str">
        <f t="shared" si="100"/>
        <v/>
      </c>
    </row>
    <row r="202" spans="1:23" s="48" customFormat="1" ht="15" customHeight="1" x14ac:dyDescent="0.2">
      <c r="A202" s="48" t="s">
        <v>239</v>
      </c>
      <c r="D202" s="172" t="str">
        <f t="shared" ref="D202:W202" ca="1" si="101">IFERROR(IF(D$10="","",(D43-C43)/C43),"NA")</f>
        <v>NA</v>
      </c>
      <c r="E202" s="172" t="str">
        <f t="shared" ca="1" si="101"/>
        <v>NA</v>
      </c>
      <c r="F202" s="172" t="str">
        <f t="shared" ca="1" si="101"/>
        <v>NA</v>
      </c>
      <c r="G202" s="172" t="str">
        <f t="shared" ca="1" si="101"/>
        <v>NA</v>
      </c>
      <c r="H202" s="172" t="str">
        <f t="shared" ca="1" si="101"/>
        <v>NA</v>
      </c>
      <c r="I202" s="172" t="str">
        <f t="shared" ca="1" si="101"/>
        <v>NA</v>
      </c>
      <c r="J202" s="172" t="str">
        <f t="shared" ca="1" si="101"/>
        <v>NA</v>
      </c>
      <c r="K202" s="172" t="str">
        <f t="shared" ca="1" si="101"/>
        <v>NA</v>
      </c>
      <c r="L202" s="172" t="str">
        <f t="shared" ca="1" si="101"/>
        <v>NA</v>
      </c>
      <c r="M202" s="172" t="str">
        <f t="shared" si="101"/>
        <v/>
      </c>
      <c r="N202" s="172" t="str">
        <f t="shared" si="101"/>
        <v/>
      </c>
      <c r="O202" s="172" t="str">
        <f t="shared" si="101"/>
        <v/>
      </c>
      <c r="P202" s="172" t="str">
        <f t="shared" si="101"/>
        <v/>
      </c>
      <c r="Q202" s="172" t="str">
        <f t="shared" si="101"/>
        <v/>
      </c>
      <c r="R202" s="172" t="str">
        <f t="shared" si="101"/>
        <v/>
      </c>
      <c r="S202" s="172" t="str">
        <f t="shared" si="101"/>
        <v/>
      </c>
      <c r="T202" s="172" t="str">
        <f t="shared" si="101"/>
        <v/>
      </c>
      <c r="U202" s="172" t="str">
        <f t="shared" si="101"/>
        <v/>
      </c>
      <c r="V202" s="172" t="str">
        <f t="shared" si="101"/>
        <v/>
      </c>
      <c r="W202" s="172" t="str">
        <f t="shared" si="101"/>
        <v/>
      </c>
    </row>
    <row r="203" spans="1:23" s="48" customFormat="1" ht="15" customHeight="1" x14ac:dyDescent="0.2">
      <c r="A203" s="48" t="s">
        <v>232</v>
      </c>
      <c r="D203" s="172" t="str">
        <f t="shared" ref="D203:W203" ca="1" si="102">IFERROR(IF(D$10="","",(D44-C44)/C44),"NA")</f>
        <v>NA</v>
      </c>
      <c r="E203" s="172" t="str">
        <f t="shared" ca="1" si="102"/>
        <v>NA</v>
      </c>
      <c r="F203" s="172" t="str">
        <f t="shared" ca="1" si="102"/>
        <v>NA</v>
      </c>
      <c r="G203" s="172" t="str">
        <f t="shared" ca="1" si="102"/>
        <v>NA</v>
      </c>
      <c r="H203" s="172" t="str">
        <f t="shared" ca="1" si="102"/>
        <v>NA</v>
      </c>
      <c r="I203" s="172" t="str">
        <f t="shared" ca="1" si="102"/>
        <v>NA</v>
      </c>
      <c r="J203" s="172" t="str">
        <f t="shared" ca="1" si="102"/>
        <v>NA</v>
      </c>
      <c r="K203" s="172" t="str">
        <f t="shared" ca="1" si="102"/>
        <v>NA</v>
      </c>
      <c r="L203" s="172" t="str">
        <f t="shared" ca="1" si="102"/>
        <v>NA</v>
      </c>
      <c r="M203" s="172" t="str">
        <f t="shared" si="102"/>
        <v/>
      </c>
      <c r="N203" s="172" t="str">
        <f t="shared" si="102"/>
        <v/>
      </c>
      <c r="O203" s="172" t="str">
        <f t="shared" si="102"/>
        <v/>
      </c>
      <c r="P203" s="172" t="str">
        <f t="shared" si="102"/>
        <v/>
      </c>
      <c r="Q203" s="172" t="str">
        <f t="shared" si="102"/>
        <v/>
      </c>
      <c r="R203" s="172" t="str">
        <f t="shared" si="102"/>
        <v/>
      </c>
      <c r="S203" s="172" t="str">
        <f t="shared" si="102"/>
        <v/>
      </c>
      <c r="T203" s="172" t="str">
        <f t="shared" si="102"/>
        <v/>
      </c>
      <c r="U203" s="172" t="str">
        <f t="shared" si="102"/>
        <v/>
      </c>
      <c r="V203" s="172" t="str">
        <f t="shared" si="102"/>
        <v/>
      </c>
      <c r="W203" s="172" t="str">
        <f t="shared" si="102"/>
        <v/>
      </c>
    </row>
    <row r="204" spans="1:23" s="48" customFormat="1" ht="15" customHeight="1" x14ac:dyDescent="0.2">
      <c r="A204" s="48" t="s">
        <v>240</v>
      </c>
      <c r="D204" s="172" t="str">
        <f t="shared" ref="D204:W204" ca="1" si="103">IFERROR(IF(D$10="","",(D45-C45)/C45),"NA")</f>
        <v>NA</v>
      </c>
      <c r="E204" s="172" t="str">
        <f t="shared" ca="1" si="103"/>
        <v>NA</v>
      </c>
      <c r="F204" s="172" t="str">
        <f t="shared" ca="1" si="103"/>
        <v>NA</v>
      </c>
      <c r="G204" s="172" t="str">
        <f t="shared" ca="1" si="103"/>
        <v>NA</v>
      </c>
      <c r="H204" s="172" t="str">
        <f t="shared" ca="1" si="103"/>
        <v>NA</v>
      </c>
      <c r="I204" s="172" t="str">
        <f t="shared" ca="1" si="103"/>
        <v>NA</v>
      </c>
      <c r="J204" s="172" t="str">
        <f t="shared" ca="1" si="103"/>
        <v>NA</v>
      </c>
      <c r="K204" s="172" t="str">
        <f t="shared" ca="1" si="103"/>
        <v>NA</v>
      </c>
      <c r="L204" s="172" t="str">
        <f t="shared" ca="1" si="103"/>
        <v>NA</v>
      </c>
      <c r="M204" s="172" t="str">
        <f t="shared" si="103"/>
        <v/>
      </c>
      <c r="N204" s="172" t="str">
        <f t="shared" si="103"/>
        <v/>
      </c>
      <c r="O204" s="172" t="str">
        <f t="shared" si="103"/>
        <v/>
      </c>
      <c r="P204" s="172" t="str">
        <f t="shared" si="103"/>
        <v/>
      </c>
      <c r="Q204" s="172" t="str">
        <f t="shared" si="103"/>
        <v/>
      </c>
      <c r="R204" s="172" t="str">
        <f t="shared" si="103"/>
        <v/>
      </c>
      <c r="S204" s="172" t="str">
        <f t="shared" si="103"/>
        <v/>
      </c>
      <c r="T204" s="172" t="str">
        <f t="shared" si="103"/>
        <v/>
      </c>
      <c r="U204" s="172" t="str">
        <f t="shared" si="103"/>
        <v/>
      </c>
      <c r="V204" s="172" t="str">
        <f t="shared" si="103"/>
        <v/>
      </c>
      <c r="W204" s="172" t="str">
        <f t="shared" si="103"/>
        <v/>
      </c>
    </row>
    <row r="205" spans="1:23" s="48" customFormat="1" ht="15" customHeight="1" x14ac:dyDescent="0.2">
      <c r="D205" s="157"/>
      <c r="E205" s="157"/>
      <c r="F205" s="157"/>
      <c r="G205" s="157"/>
      <c r="H205" s="157"/>
      <c r="I205" s="157"/>
      <c r="J205" s="157"/>
      <c r="K205" s="157"/>
      <c r="L205" s="157"/>
      <c r="M205" s="157"/>
      <c r="N205" s="157"/>
      <c r="O205" s="157"/>
      <c r="P205" s="157"/>
      <c r="Q205" s="157"/>
      <c r="R205" s="157"/>
      <c r="S205" s="157"/>
      <c r="T205" s="157"/>
      <c r="U205" s="157"/>
      <c r="V205" s="157"/>
      <c r="W205" s="157"/>
    </row>
    <row r="206" spans="1:23" ht="15" customHeight="1" x14ac:dyDescent="0.2">
      <c r="A206" s="25" t="s">
        <v>241</v>
      </c>
      <c r="D206" s="172" t="str">
        <f t="shared" ref="D206:W206" ca="1" si="104">IFERROR(IF(D$10="","",(D47-C47)/ABS(C47)),"NA")</f>
        <v>NA</v>
      </c>
      <c r="E206" s="172" t="str">
        <f t="shared" ca="1" si="104"/>
        <v>NA</v>
      </c>
      <c r="F206" s="172" t="str">
        <f t="shared" ca="1" si="104"/>
        <v>NA</v>
      </c>
      <c r="G206" s="172" t="str">
        <f t="shared" ca="1" si="104"/>
        <v>NA</v>
      </c>
      <c r="H206" s="172" t="str">
        <f t="shared" ca="1" si="104"/>
        <v>NA</v>
      </c>
      <c r="I206" s="172" t="str">
        <f t="shared" ca="1" si="104"/>
        <v>NA</v>
      </c>
      <c r="J206" s="172" t="str">
        <f t="shared" ca="1" si="104"/>
        <v>NA</v>
      </c>
      <c r="K206" s="172" t="str">
        <f t="shared" ca="1" si="104"/>
        <v>NA</v>
      </c>
      <c r="L206" s="172" t="str">
        <f t="shared" ca="1" si="104"/>
        <v>NA</v>
      </c>
      <c r="M206" s="172" t="str">
        <f t="shared" si="104"/>
        <v/>
      </c>
      <c r="N206" s="172" t="str">
        <f t="shared" si="104"/>
        <v/>
      </c>
      <c r="O206" s="172" t="str">
        <f t="shared" si="104"/>
        <v/>
      </c>
      <c r="P206" s="172" t="str">
        <f t="shared" si="104"/>
        <v/>
      </c>
      <c r="Q206" s="172" t="str">
        <f t="shared" si="104"/>
        <v/>
      </c>
      <c r="R206" s="172" t="str">
        <f t="shared" si="104"/>
        <v/>
      </c>
      <c r="S206" s="172" t="str">
        <f t="shared" si="104"/>
        <v/>
      </c>
      <c r="T206" s="172" t="str">
        <f t="shared" si="104"/>
        <v/>
      </c>
      <c r="U206" s="172" t="str">
        <f t="shared" si="104"/>
        <v/>
      </c>
      <c r="V206" s="172" t="str">
        <f t="shared" si="104"/>
        <v/>
      </c>
      <c r="W206" s="172" t="str">
        <f t="shared" si="104"/>
        <v/>
      </c>
    </row>
    <row r="207" spans="1:23" ht="15" customHeight="1" x14ac:dyDescent="0.2">
      <c r="A207" s="25" t="s">
        <v>242</v>
      </c>
      <c r="D207" s="172" t="str">
        <f t="shared" ref="D207:W207" ca="1" si="105">IFERROR(IF(D$10="","",(D48-C48)/ABS(C48)),"NA")</f>
        <v>NA</v>
      </c>
      <c r="E207" s="172" t="str">
        <f t="shared" ca="1" si="105"/>
        <v>NA</v>
      </c>
      <c r="F207" s="172" t="str">
        <f t="shared" ca="1" si="105"/>
        <v>NA</v>
      </c>
      <c r="G207" s="172" t="str">
        <f t="shared" ca="1" si="105"/>
        <v>NA</v>
      </c>
      <c r="H207" s="172" t="str">
        <f t="shared" ca="1" si="105"/>
        <v>NA</v>
      </c>
      <c r="I207" s="172" t="str">
        <f t="shared" ca="1" si="105"/>
        <v>NA</v>
      </c>
      <c r="J207" s="172" t="str">
        <f t="shared" ca="1" si="105"/>
        <v>NA</v>
      </c>
      <c r="K207" s="172" t="str">
        <f t="shared" ca="1" si="105"/>
        <v>NA</v>
      </c>
      <c r="L207" s="172" t="str">
        <f t="shared" ca="1" si="105"/>
        <v>NA</v>
      </c>
      <c r="M207" s="172" t="str">
        <f t="shared" si="105"/>
        <v/>
      </c>
      <c r="N207" s="172" t="str">
        <f t="shared" si="105"/>
        <v/>
      </c>
      <c r="O207" s="172" t="str">
        <f t="shared" si="105"/>
        <v/>
      </c>
      <c r="P207" s="172" t="str">
        <f t="shared" si="105"/>
        <v/>
      </c>
      <c r="Q207" s="172" t="str">
        <f t="shared" si="105"/>
        <v/>
      </c>
      <c r="R207" s="172" t="str">
        <f t="shared" si="105"/>
        <v/>
      </c>
      <c r="S207" s="172" t="str">
        <f t="shared" si="105"/>
        <v/>
      </c>
      <c r="T207" s="172" t="str">
        <f t="shared" si="105"/>
        <v/>
      </c>
      <c r="U207" s="172" t="str">
        <f t="shared" si="105"/>
        <v/>
      </c>
      <c r="V207" s="172" t="str">
        <f t="shared" si="105"/>
        <v/>
      </c>
      <c r="W207" s="172" t="str">
        <f t="shared" si="105"/>
        <v/>
      </c>
    </row>
    <row r="208" spans="1:23" ht="15" customHeight="1" x14ac:dyDescent="0.2">
      <c r="A208" s="25" t="s">
        <v>243</v>
      </c>
      <c r="D208" s="172" t="str">
        <f t="shared" ref="D208:W208" ca="1" si="106">IFERROR(IF(D$10="","",(D49-C49)/ABS(C49)),"NA")</f>
        <v>NA</v>
      </c>
      <c r="E208" s="172" t="str">
        <f t="shared" ca="1" si="106"/>
        <v>NA</v>
      </c>
      <c r="F208" s="172" t="str">
        <f t="shared" ca="1" si="106"/>
        <v>NA</v>
      </c>
      <c r="G208" s="172" t="str">
        <f t="shared" ca="1" si="106"/>
        <v>NA</v>
      </c>
      <c r="H208" s="172" t="str">
        <f t="shared" ca="1" si="106"/>
        <v>NA</v>
      </c>
      <c r="I208" s="172" t="str">
        <f t="shared" ca="1" si="106"/>
        <v>NA</v>
      </c>
      <c r="J208" s="172" t="str">
        <f t="shared" ca="1" si="106"/>
        <v>NA</v>
      </c>
      <c r="K208" s="172" t="str">
        <f t="shared" ca="1" si="106"/>
        <v>NA</v>
      </c>
      <c r="L208" s="172" t="str">
        <f t="shared" ca="1" si="106"/>
        <v>NA</v>
      </c>
      <c r="M208" s="172" t="str">
        <f t="shared" si="106"/>
        <v/>
      </c>
      <c r="N208" s="172" t="str">
        <f t="shared" si="106"/>
        <v/>
      </c>
      <c r="O208" s="172" t="str">
        <f t="shared" si="106"/>
        <v/>
      </c>
      <c r="P208" s="172" t="str">
        <f t="shared" si="106"/>
        <v/>
      </c>
      <c r="Q208" s="172" t="str">
        <f t="shared" si="106"/>
        <v/>
      </c>
      <c r="R208" s="172" t="str">
        <f t="shared" si="106"/>
        <v/>
      </c>
      <c r="S208" s="172" t="str">
        <f t="shared" si="106"/>
        <v/>
      </c>
      <c r="T208" s="172" t="str">
        <f t="shared" si="106"/>
        <v/>
      </c>
      <c r="U208" s="172" t="str">
        <f t="shared" si="106"/>
        <v/>
      </c>
      <c r="V208" s="172" t="str">
        <f t="shared" si="106"/>
        <v/>
      </c>
      <c r="W208" s="172" t="str">
        <f t="shared" si="106"/>
        <v/>
      </c>
    </row>
    <row r="210" spans="1:23" ht="15" customHeight="1" x14ac:dyDescent="0.2">
      <c r="A210" s="25" t="s">
        <v>244</v>
      </c>
      <c r="D210" s="167" t="str">
        <f t="shared" ref="D210:W210" ca="1" si="107">IFERROR(IF(D$10="","",(D53-C53)/ABS(C53)),"NA")</f>
        <v>NA</v>
      </c>
      <c r="E210" s="167" t="str">
        <f t="shared" ca="1" si="107"/>
        <v>NA</v>
      </c>
      <c r="F210" s="167" t="str">
        <f t="shared" ca="1" si="107"/>
        <v>NA</v>
      </c>
      <c r="G210" s="167" t="str">
        <f t="shared" ca="1" si="107"/>
        <v>NA</v>
      </c>
      <c r="H210" s="167" t="str">
        <f t="shared" ca="1" si="107"/>
        <v>NA</v>
      </c>
      <c r="I210" s="167" t="str">
        <f t="shared" ca="1" si="107"/>
        <v>NA</v>
      </c>
      <c r="J210" s="167" t="str">
        <f t="shared" ca="1" si="107"/>
        <v>NA</v>
      </c>
      <c r="K210" s="167" t="str">
        <f t="shared" ca="1" si="107"/>
        <v>NA</v>
      </c>
      <c r="L210" s="167" t="str">
        <f t="shared" ca="1" si="107"/>
        <v>NA</v>
      </c>
      <c r="M210" s="167" t="str">
        <f t="shared" si="107"/>
        <v/>
      </c>
      <c r="N210" s="167" t="str">
        <f t="shared" si="107"/>
        <v/>
      </c>
      <c r="O210" s="167" t="str">
        <f t="shared" si="107"/>
        <v/>
      </c>
      <c r="P210" s="167" t="str">
        <f t="shared" si="107"/>
        <v/>
      </c>
      <c r="Q210" s="167" t="str">
        <f t="shared" si="107"/>
        <v/>
      </c>
      <c r="R210" s="167" t="str">
        <f t="shared" si="107"/>
        <v/>
      </c>
      <c r="S210" s="167" t="str">
        <f t="shared" si="107"/>
        <v/>
      </c>
      <c r="T210" s="167" t="str">
        <f t="shared" si="107"/>
        <v/>
      </c>
      <c r="U210" s="167" t="str">
        <f t="shared" si="107"/>
        <v/>
      </c>
      <c r="V210" s="167" t="str">
        <f t="shared" si="107"/>
        <v/>
      </c>
      <c r="W210" s="167" t="str">
        <f t="shared" si="107"/>
        <v/>
      </c>
    </row>
    <row r="211" spans="1:23" s="48" customFormat="1" ht="15" customHeight="1" x14ac:dyDescent="0.2">
      <c r="A211" s="48" t="s">
        <v>946</v>
      </c>
      <c r="D211" s="167" t="str">
        <f t="shared" ref="D211:W211" ca="1" si="108">IFERROR(IF(D$10="","",(D54-C54)/ABS(C54)),"NA")</f>
        <v>NA</v>
      </c>
      <c r="E211" s="167" t="str">
        <f t="shared" ca="1" si="108"/>
        <v>NA</v>
      </c>
      <c r="F211" s="167" t="str">
        <f t="shared" ca="1" si="108"/>
        <v>NA</v>
      </c>
      <c r="G211" s="167" t="str">
        <f t="shared" ca="1" si="108"/>
        <v>NA</v>
      </c>
      <c r="H211" s="167" t="str">
        <f t="shared" ca="1" si="108"/>
        <v>NA</v>
      </c>
      <c r="I211" s="167" t="str">
        <f t="shared" ca="1" si="108"/>
        <v>NA</v>
      </c>
      <c r="J211" s="167" t="str">
        <f t="shared" ca="1" si="108"/>
        <v>NA</v>
      </c>
      <c r="K211" s="167" t="str">
        <f t="shared" ca="1" si="108"/>
        <v>NA</v>
      </c>
      <c r="L211" s="167" t="str">
        <f t="shared" ca="1" si="108"/>
        <v>NA</v>
      </c>
      <c r="M211" s="167" t="str">
        <f t="shared" si="108"/>
        <v/>
      </c>
      <c r="N211" s="167" t="str">
        <f t="shared" si="108"/>
        <v/>
      </c>
      <c r="O211" s="167" t="str">
        <f t="shared" si="108"/>
        <v/>
      </c>
      <c r="P211" s="167" t="str">
        <f t="shared" si="108"/>
        <v/>
      </c>
      <c r="Q211" s="167" t="str">
        <f t="shared" si="108"/>
        <v/>
      </c>
      <c r="R211" s="167" t="str">
        <f t="shared" si="108"/>
        <v/>
      </c>
      <c r="S211" s="167" t="str">
        <f t="shared" si="108"/>
        <v/>
      </c>
      <c r="T211" s="167" t="str">
        <f t="shared" si="108"/>
        <v/>
      </c>
      <c r="U211" s="167" t="str">
        <f t="shared" si="108"/>
        <v/>
      </c>
      <c r="V211" s="167" t="str">
        <f t="shared" si="108"/>
        <v/>
      </c>
      <c r="W211" s="167" t="str">
        <f t="shared" si="108"/>
        <v/>
      </c>
    </row>
    <row r="212" spans="1:23" ht="15" customHeight="1" x14ac:dyDescent="0.2">
      <c r="A212" s="25" t="s">
        <v>22</v>
      </c>
      <c r="D212" s="167">
        <f t="shared" ref="D212:W212" ca="1" si="109">IFERROR(IF(D$10="","",(D55-C55)/ABS(C55)),"NA")</f>
        <v>8.1041825656680035E-3</v>
      </c>
      <c r="E212" s="167">
        <f t="shared" ca="1" si="109"/>
        <v>-6.1587000796088911E-3</v>
      </c>
      <c r="F212" s="167">
        <f t="shared" ca="1" si="109"/>
        <v>-1.9209789178829425E-2</v>
      </c>
      <c r="G212" s="167">
        <f t="shared" ca="1" si="109"/>
        <v>-3.787935725344597E-3</v>
      </c>
      <c r="H212" s="167">
        <f t="shared" ca="1" si="109"/>
        <v>2.865333836288193E-2</v>
      </c>
      <c r="I212" s="167">
        <f t="shared" ca="1" si="109"/>
        <v>7.2231838139662233E-2</v>
      </c>
      <c r="J212" s="167">
        <f t="shared" ca="1" si="109"/>
        <v>7.843316081078E-2</v>
      </c>
      <c r="K212" s="167">
        <f t="shared" ca="1" si="109"/>
        <v>6.7658935706885984E-2</v>
      </c>
      <c r="L212" s="167">
        <f t="shared" ca="1" si="109"/>
        <v>-3.0242063240605792E-2</v>
      </c>
      <c r="M212" s="167" t="str">
        <f t="shared" si="109"/>
        <v/>
      </c>
      <c r="N212" s="167" t="str">
        <f t="shared" si="109"/>
        <v/>
      </c>
      <c r="O212" s="167" t="str">
        <f t="shared" si="109"/>
        <v/>
      </c>
      <c r="P212" s="167" t="str">
        <f t="shared" si="109"/>
        <v/>
      </c>
      <c r="Q212" s="167" t="str">
        <f t="shared" si="109"/>
        <v/>
      </c>
      <c r="R212" s="167" t="str">
        <f t="shared" si="109"/>
        <v/>
      </c>
      <c r="S212" s="167" t="str">
        <f t="shared" si="109"/>
        <v/>
      </c>
      <c r="T212" s="167" t="str">
        <f t="shared" si="109"/>
        <v/>
      </c>
      <c r="U212" s="167" t="str">
        <f t="shared" si="109"/>
        <v/>
      </c>
      <c r="V212" s="167" t="str">
        <f t="shared" si="109"/>
        <v/>
      </c>
      <c r="W212" s="167" t="str">
        <f t="shared" si="109"/>
        <v/>
      </c>
    </row>
    <row r="213" spans="1:23" ht="15" customHeight="1" x14ac:dyDescent="0.2">
      <c r="A213" s="25" t="s">
        <v>245</v>
      </c>
      <c r="D213" s="167" t="str">
        <f t="shared" ref="D213:W213" ca="1" si="110">IFERROR(IF(D$10="","",(D56-C56)/ABS(C56)),"NA")</f>
        <v>NA</v>
      </c>
      <c r="E213" s="167" t="str">
        <f t="shared" ca="1" si="110"/>
        <v>NA</v>
      </c>
      <c r="F213" s="167" t="str">
        <f t="shared" ca="1" si="110"/>
        <v>NA</v>
      </c>
      <c r="G213" s="167" t="str">
        <f t="shared" ca="1" si="110"/>
        <v>NA</v>
      </c>
      <c r="H213" s="167" t="str">
        <f t="shared" ca="1" si="110"/>
        <v>NA</v>
      </c>
      <c r="I213" s="167" t="str">
        <f t="shared" ca="1" si="110"/>
        <v>NA</v>
      </c>
      <c r="J213" s="167" t="str">
        <f t="shared" ca="1" si="110"/>
        <v>NA</v>
      </c>
      <c r="K213" s="167" t="str">
        <f t="shared" ca="1" si="110"/>
        <v>NA</v>
      </c>
      <c r="L213" s="167" t="str">
        <f t="shared" ca="1" si="110"/>
        <v>NA</v>
      </c>
      <c r="M213" s="167" t="str">
        <f t="shared" si="110"/>
        <v/>
      </c>
      <c r="N213" s="167" t="str">
        <f t="shared" si="110"/>
        <v/>
      </c>
      <c r="O213" s="167" t="str">
        <f t="shared" si="110"/>
        <v/>
      </c>
      <c r="P213" s="167" t="str">
        <f t="shared" si="110"/>
        <v/>
      </c>
      <c r="Q213" s="167" t="str">
        <f t="shared" si="110"/>
        <v/>
      </c>
      <c r="R213" s="167" t="str">
        <f t="shared" si="110"/>
        <v/>
      </c>
      <c r="S213" s="167" t="str">
        <f t="shared" si="110"/>
        <v/>
      </c>
      <c r="T213" s="167" t="str">
        <f t="shared" si="110"/>
        <v/>
      </c>
      <c r="U213" s="167" t="str">
        <f t="shared" si="110"/>
        <v/>
      </c>
      <c r="V213" s="167" t="str">
        <f t="shared" si="110"/>
        <v/>
      </c>
      <c r="W213" s="167" t="str">
        <f t="shared" si="110"/>
        <v/>
      </c>
    </row>
    <row r="214" spans="1:23" ht="15" customHeight="1" x14ac:dyDescent="0.2">
      <c r="A214" s="25" t="s">
        <v>246</v>
      </c>
      <c r="D214" s="167" t="str">
        <f t="shared" ref="D214:W214" ca="1" si="111">IFERROR(IF(D$10="","",(D57-C57)/ABS(C57)),"NA")</f>
        <v>NA</v>
      </c>
      <c r="E214" s="167" t="str">
        <f t="shared" ca="1" si="111"/>
        <v>NA</v>
      </c>
      <c r="F214" s="167" t="str">
        <f t="shared" ca="1" si="111"/>
        <v>NA</v>
      </c>
      <c r="G214" s="167" t="str">
        <f t="shared" ca="1" si="111"/>
        <v>NA</v>
      </c>
      <c r="H214" s="167" t="str">
        <f t="shared" ca="1" si="111"/>
        <v>NA</v>
      </c>
      <c r="I214" s="167" t="str">
        <f t="shared" ca="1" si="111"/>
        <v>NA</v>
      </c>
      <c r="J214" s="167" t="str">
        <f t="shared" ca="1" si="111"/>
        <v>NA</v>
      </c>
      <c r="K214" s="167" t="str">
        <f t="shared" ca="1" si="111"/>
        <v>NA</v>
      </c>
      <c r="L214" s="167" t="str">
        <f t="shared" ca="1" si="111"/>
        <v>NA</v>
      </c>
      <c r="M214" s="167" t="str">
        <f t="shared" si="111"/>
        <v/>
      </c>
      <c r="N214" s="167" t="str">
        <f t="shared" si="111"/>
        <v/>
      </c>
      <c r="O214" s="167" t="str">
        <f t="shared" si="111"/>
        <v/>
      </c>
      <c r="P214" s="167" t="str">
        <f t="shared" si="111"/>
        <v/>
      </c>
      <c r="Q214" s="167" t="str">
        <f t="shared" si="111"/>
        <v/>
      </c>
      <c r="R214" s="167" t="str">
        <f t="shared" si="111"/>
        <v/>
      </c>
      <c r="S214" s="167" t="str">
        <f t="shared" si="111"/>
        <v/>
      </c>
      <c r="T214" s="167" t="str">
        <f t="shared" si="111"/>
        <v/>
      </c>
      <c r="U214" s="167" t="str">
        <f t="shared" si="111"/>
        <v/>
      </c>
      <c r="V214" s="167" t="str">
        <f t="shared" si="111"/>
        <v/>
      </c>
      <c r="W214" s="167" t="str">
        <f t="shared" si="111"/>
        <v/>
      </c>
    </row>
    <row r="215" spans="1:23" s="48" customFormat="1" ht="15" customHeight="1" x14ac:dyDescent="0.2">
      <c r="A215" s="48" t="s">
        <v>1096</v>
      </c>
      <c r="D215" s="167" t="str">
        <f t="shared" ref="D215:W215" ca="1" si="112">IFERROR(IF(D$10="","",(D58-C58)/ABS(C58)),"NA")</f>
        <v>NA</v>
      </c>
      <c r="E215" s="167" t="str">
        <f t="shared" ca="1" si="112"/>
        <v>NA</v>
      </c>
      <c r="F215" s="167" t="str">
        <f t="shared" ca="1" si="112"/>
        <v>NA</v>
      </c>
      <c r="G215" s="167" t="str">
        <f t="shared" ca="1" si="112"/>
        <v>NA</v>
      </c>
      <c r="H215" s="167" t="str">
        <f t="shared" ca="1" si="112"/>
        <v>NA</v>
      </c>
      <c r="I215" s="167" t="str">
        <f t="shared" ca="1" si="112"/>
        <v>NA</v>
      </c>
      <c r="J215" s="167" t="str">
        <f t="shared" ca="1" si="112"/>
        <v>NA</v>
      </c>
      <c r="K215" s="167" t="str">
        <f t="shared" ca="1" si="112"/>
        <v>NA</v>
      </c>
      <c r="L215" s="167" t="str">
        <f t="shared" ca="1" si="112"/>
        <v>NA</v>
      </c>
      <c r="M215" s="167" t="str">
        <f t="shared" si="112"/>
        <v/>
      </c>
      <c r="N215" s="167" t="str">
        <f t="shared" si="112"/>
        <v/>
      </c>
      <c r="O215" s="167" t="str">
        <f t="shared" si="112"/>
        <v/>
      </c>
      <c r="P215" s="167" t="str">
        <f t="shared" si="112"/>
        <v/>
      </c>
      <c r="Q215" s="167" t="str">
        <f t="shared" si="112"/>
        <v/>
      </c>
      <c r="R215" s="167" t="str">
        <f t="shared" si="112"/>
        <v/>
      </c>
      <c r="S215" s="167" t="str">
        <f t="shared" si="112"/>
        <v/>
      </c>
      <c r="T215" s="167" t="str">
        <f t="shared" si="112"/>
        <v/>
      </c>
      <c r="U215" s="167" t="str">
        <f t="shared" si="112"/>
        <v/>
      </c>
      <c r="V215" s="167" t="str">
        <f t="shared" si="112"/>
        <v/>
      </c>
      <c r="W215" s="167" t="str">
        <f t="shared" si="112"/>
        <v/>
      </c>
    </row>
    <row r="217" spans="1:23" ht="15" customHeight="1" x14ac:dyDescent="0.2">
      <c r="A217" s="25" t="s">
        <v>247</v>
      </c>
      <c r="D217" s="167" t="str">
        <f t="shared" ref="D217:W217" ca="1" si="113">IFERROR(IF(D$10="","",(D60-C60)/ABS(C60)),"NA")</f>
        <v>NA</v>
      </c>
      <c r="E217" s="167" t="str">
        <f t="shared" ca="1" si="113"/>
        <v>NA</v>
      </c>
      <c r="F217" s="167" t="str">
        <f t="shared" ca="1" si="113"/>
        <v>NA</v>
      </c>
      <c r="G217" s="167" t="str">
        <f t="shared" ca="1" si="113"/>
        <v>NA</v>
      </c>
      <c r="H217" s="167" t="str">
        <f t="shared" ca="1" si="113"/>
        <v>NA</v>
      </c>
      <c r="I217" s="167" t="str">
        <f t="shared" ca="1" si="113"/>
        <v>NA</v>
      </c>
      <c r="J217" s="167" t="str">
        <f t="shared" ca="1" si="113"/>
        <v>NA</v>
      </c>
      <c r="K217" s="167" t="str">
        <f t="shared" ca="1" si="113"/>
        <v>NA</v>
      </c>
      <c r="L217" s="167" t="str">
        <f t="shared" ca="1" si="113"/>
        <v>NA</v>
      </c>
      <c r="M217" s="167" t="str">
        <f t="shared" si="113"/>
        <v/>
      </c>
      <c r="N217" s="167" t="str">
        <f t="shared" si="113"/>
        <v/>
      </c>
      <c r="O217" s="167" t="str">
        <f t="shared" si="113"/>
        <v/>
      </c>
      <c r="P217" s="167" t="str">
        <f t="shared" si="113"/>
        <v/>
      </c>
      <c r="Q217" s="167" t="str">
        <f t="shared" si="113"/>
        <v/>
      </c>
      <c r="R217" s="167" t="str">
        <f t="shared" si="113"/>
        <v/>
      </c>
      <c r="S217" s="167" t="str">
        <f t="shared" si="113"/>
        <v/>
      </c>
      <c r="T217" s="167" t="str">
        <f t="shared" si="113"/>
        <v/>
      </c>
      <c r="U217" s="167" t="str">
        <f t="shared" si="113"/>
        <v/>
      </c>
      <c r="V217" s="167" t="str">
        <f t="shared" si="113"/>
        <v/>
      </c>
      <c r="W217" s="167" t="str">
        <f t="shared" si="113"/>
        <v/>
      </c>
    </row>
    <row r="218" spans="1:23" ht="15" customHeight="1" x14ac:dyDescent="0.2">
      <c r="A218" s="25" t="s">
        <v>248</v>
      </c>
      <c r="D218" s="167" t="str">
        <f t="shared" ref="D218:W218" ca="1" si="114">IFERROR(IF(D$10="","",(D61-C61)/ABS(C61)),"NA")</f>
        <v>NA</v>
      </c>
      <c r="E218" s="167" t="str">
        <f t="shared" ca="1" si="114"/>
        <v>NA</v>
      </c>
      <c r="F218" s="167" t="str">
        <f t="shared" ca="1" si="114"/>
        <v>NA</v>
      </c>
      <c r="G218" s="167" t="str">
        <f t="shared" ca="1" si="114"/>
        <v>NA</v>
      </c>
      <c r="H218" s="167" t="str">
        <f t="shared" ca="1" si="114"/>
        <v>NA</v>
      </c>
      <c r="I218" s="167" t="str">
        <f t="shared" ca="1" si="114"/>
        <v>NA</v>
      </c>
      <c r="J218" s="167" t="str">
        <f t="shared" ca="1" si="114"/>
        <v>NA</v>
      </c>
      <c r="K218" s="167" t="str">
        <f t="shared" ca="1" si="114"/>
        <v>NA</v>
      </c>
      <c r="L218" s="167" t="str">
        <f t="shared" ca="1" si="114"/>
        <v>NA</v>
      </c>
      <c r="M218" s="167" t="str">
        <f t="shared" si="114"/>
        <v/>
      </c>
      <c r="N218" s="167" t="str">
        <f t="shared" si="114"/>
        <v/>
      </c>
      <c r="O218" s="167" t="str">
        <f t="shared" si="114"/>
        <v/>
      </c>
      <c r="P218" s="167" t="str">
        <f t="shared" si="114"/>
        <v/>
      </c>
      <c r="Q218" s="167" t="str">
        <f t="shared" si="114"/>
        <v/>
      </c>
      <c r="R218" s="167" t="str">
        <f t="shared" si="114"/>
        <v/>
      </c>
      <c r="S218" s="167" t="str">
        <f t="shared" si="114"/>
        <v/>
      </c>
      <c r="T218" s="167" t="str">
        <f t="shared" si="114"/>
        <v/>
      </c>
      <c r="U218" s="167" t="str">
        <f t="shared" si="114"/>
        <v/>
      </c>
      <c r="V218" s="167" t="str">
        <f t="shared" si="114"/>
        <v/>
      </c>
      <c r="W218" s="167" t="str">
        <f t="shared" si="114"/>
        <v/>
      </c>
    </row>
    <row r="219" spans="1:23" ht="15" customHeight="1" x14ac:dyDescent="0.2">
      <c r="A219" s="25" t="s">
        <v>245</v>
      </c>
      <c r="D219" s="167" t="str">
        <f t="shared" ref="D219:W219" ca="1" si="115">IFERROR(IF(D$10="","",(D62-C62)/ABS(C62)),"NA")</f>
        <v>NA</v>
      </c>
      <c r="E219" s="167" t="str">
        <f t="shared" ca="1" si="115"/>
        <v>NA</v>
      </c>
      <c r="F219" s="167" t="str">
        <f t="shared" ca="1" si="115"/>
        <v>NA</v>
      </c>
      <c r="G219" s="167" t="str">
        <f t="shared" ca="1" si="115"/>
        <v>NA</v>
      </c>
      <c r="H219" s="167" t="str">
        <f t="shared" ca="1" si="115"/>
        <v>NA</v>
      </c>
      <c r="I219" s="167" t="str">
        <f t="shared" ca="1" si="115"/>
        <v>NA</v>
      </c>
      <c r="J219" s="167" t="str">
        <f t="shared" ca="1" si="115"/>
        <v>NA</v>
      </c>
      <c r="K219" s="167" t="str">
        <f t="shared" ca="1" si="115"/>
        <v>NA</v>
      </c>
      <c r="L219" s="167" t="str">
        <f t="shared" ca="1" si="115"/>
        <v>NA</v>
      </c>
      <c r="M219" s="167" t="str">
        <f t="shared" si="115"/>
        <v/>
      </c>
      <c r="N219" s="167" t="str">
        <f t="shared" si="115"/>
        <v/>
      </c>
      <c r="O219" s="167" t="str">
        <f t="shared" si="115"/>
        <v/>
      </c>
      <c r="P219" s="167" t="str">
        <f t="shared" si="115"/>
        <v/>
      </c>
      <c r="Q219" s="167" t="str">
        <f t="shared" si="115"/>
        <v/>
      </c>
      <c r="R219" s="167" t="str">
        <f t="shared" si="115"/>
        <v/>
      </c>
      <c r="S219" s="167" t="str">
        <f t="shared" si="115"/>
        <v/>
      </c>
      <c r="T219" s="167" t="str">
        <f t="shared" si="115"/>
        <v/>
      </c>
      <c r="U219" s="167" t="str">
        <f t="shared" si="115"/>
        <v/>
      </c>
      <c r="V219" s="167" t="str">
        <f t="shared" si="115"/>
        <v/>
      </c>
      <c r="W219" s="167" t="str">
        <f t="shared" si="115"/>
        <v/>
      </c>
    </row>
    <row r="220" spans="1:23" ht="15" customHeight="1" x14ac:dyDescent="0.2">
      <c r="A220" s="25" t="s">
        <v>246</v>
      </c>
      <c r="D220" s="167" t="str">
        <f t="shared" ref="D220:W220" ca="1" si="116">IFERROR(IF(D$10="","",(D63-C63)/ABS(C63)),"NA")</f>
        <v>NA</v>
      </c>
      <c r="E220" s="167" t="str">
        <f t="shared" ca="1" si="116"/>
        <v>NA</v>
      </c>
      <c r="F220" s="167" t="str">
        <f t="shared" ca="1" si="116"/>
        <v>NA</v>
      </c>
      <c r="G220" s="167" t="str">
        <f t="shared" ca="1" si="116"/>
        <v>NA</v>
      </c>
      <c r="H220" s="167" t="str">
        <f t="shared" ca="1" si="116"/>
        <v>NA</v>
      </c>
      <c r="I220" s="167" t="str">
        <f t="shared" ca="1" si="116"/>
        <v>NA</v>
      </c>
      <c r="J220" s="167" t="str">
        <f t="shared" ca="1" si="116"/>
        <v>NA</v>
      </c>
      <c r="K220" s="167" t="str">
        <f t="shared" ca="1" si="116"/>
        <v>NA</v>
      </c>
      <c r="L220" s="167" t="str">
        <f t="shared" ca="1" si="116"/>
        <v>NA</v>
      </c>
      <c r="M220" s="167" t="str">
        <f t="shared" si="116"/>
        <v/>
      </c>
      <c r="N220" s="167" t="str">
        <f t="shared" si="116"/>
        <v/>
      </c>
      <c r="O220" s="167" t="str">
        <f t="shared" si="116"/>
        <v/>
      </c>
      <c r="P220" s="167" t="str">
        <f t="shared" si="116"/>
        <v/>
      </c>
      <c r="Q220" s="167" t="str">
        <f t="shared" si="116"/>
        <v/>
      </c>
      <c r="R220" s="167" t="str">
        <f t="shared" si="116"/>
        <v/>
      </c>
      <c r="S220" s="167" t="str">
        <f t="shared" si="116"/>
        <v/>
      </c>
      <c r="T220" s="167" t="str">
        <f t="shared" si="116"/>
        <v/>
      </c>
      <c r="U220" s="167" t="str">
        <f t="shared" si="116"/>
        <v/>
      </c>
      <c r="V220" s="167" t="str">
        <f t="shared" si="116"/>
        <v/>
      </c>
      <c r="W220" s="167" t="str">
        <f t="shared" si="116"/>
        <v/>
      </c>
    </row>
    <row r="222" spans="1:23" s="48" customFormat="1" ht="15" customHeight="1" x14ac:dyDescent="0.2">
      <c r="A222" s="48" t="s">
        <v>250</v>
      </c>
      <c r="D222" s="172" t="str">
        <f t="shared" ref="D222:W222" ca="1" si="117">IFERROR(IF(D$10="","",(D70-C70)/C70),"NA")</f>
        <v>NA</v>
      </c>
      <c r="E222" s="172" t="str">
        <f t="shared" ca="1" si="117"/>
        <v>NA</v>
      </c>
      <c r="F222" s="172" t="str">
        <f t="shared" ca="1" si="117"/>
        <v>NA</v>
      </c>
      <c r="G222" s="172" t="str">
        <f t="shared" ca="1" si="117"/>
        <v>NA</v>
      </c>
      <c r="H222" s="172" t="str">
        <f t="shared" ca="1" si="117"/>
        <v>NA</v>
      </c>
      <c r="I222" s="172" t="str">
        <f t="shared" ca="1" si="117"/>
        <v>NA</v>
      </c>
      <c r="J222" s="172" t="str">
        <f t="shared" ca="1" si="117"/>
        <v>NA</v>
      </c>
      <c r="K222" s="172" t="str">
        <f t="shared" ca="1" si="117"/>
        <v>NA</v>
      </c>
      <c r="L222" s="172" t="str">
        <f t="shared" ca="1" si="117"/>
        <v>NA</v>
      </c>
      <c r="M222" s="172" t="str">
        <f t="shared" si="117"/>
        <v/>
      </c>
      <c r="N222" s="172" t="str">
        <f t="shared" si="117"/>
        <v/>
      </c>
      <c r="O222" s="172" t="str">
        <f t="shared" si="117"/>
        <v/>
      </c>
      <c r="P222" s="172" t="str">
        <f t="shared" si="117"/>
        <v/>
      </c>
      <c r="Q222" s="172" t="str">
        <f t="shared" si="117"/>
        <v/>
      </c>
      <c r="R222" s="172" t="str">
        <f t="shared" si="117"/>
        <v/>
      </c>
      <c r="S222" s="172" t="str">
        <f t="shared" si="117"/>
        <v/>
      </c>
      <c r="T222" s="172" t="str">
        <f t="shared" si="117"/>
        <v/>
      </c>
      <c r="U222" s="172" t="str">
        <f t="shared" si="117"/>
        <v/>
      </c>
      <c r="V222" s="172" t="str">
        <f t="shared" si="117"/>
        <v/>
      </c>
      <c r="W222" s="172" t="str">
        <f t="shared" si="117"/>
        <v/>
      </c>
    </row>
    <row r="223" spans="1:23" s="48" customFormat="1" ht="15" customHeight="1" x14ac:dyDescent="0.2">
      <c r="A223" s="48" t="s">
        <v>251</v>
      </c>
      <c r="D223" s="172" t="str">
        <f t="shared" ref="D223:W223" ca="1" si="118">IFERROR(IF(D$10="","",(D71-C71)/C71),"NA")</f>
        <v>NA</v>
      </c>
      <c r="E223" s="172" t="str">
        <f t="shared" ca="1" si="118"/>
        <v>NA</v>
      </c>
      <c r="F223" s="172" t="str">
        <f t="shared" ca="1" si="118"/>
        <v>NA</v>
      </c>
      <c r="G223" s="172" t="str">
        <f t="shared" ca="1" si="118"/>
        <v>NA</v>
      </c>
      <c r="H223" s="172" t="str">
        <f t="shared" ca="1" si="118"/>
        <v>NA</v>
      </c>
      <c r="I223" s="172" t="str">
        <f t="shared" ca="1" si="118"/>
        <v>NA</v>
      </c>
      <c r="J223" s="172" t="str">
        <f t="shared" ca="1" si="118"/>
        <v>NA</v>
      </c>
      <c r="K223" s="172" t="str">
        <f t="shared" ca="1" si="118"/>
        <v>NA</v>
      </c>
      <c r="L223" s="172" t="str">
        <f t="shared" ca="1" si="118"/>
        <v>NA</v>
      </c>
      <c r="M223" s="172" t="str">
        <f t="shared" si="118"/>
        <v/>
      </c>
      <c r="N223" s="172" t="str">
        <f t="shared" si="118"/>
        <v/>
      </c>
      <c r="O223" s="172" t="str">
        <f t="shared" si="118"/>
        <v/>
      </c>
      <c r="P223" s="172" t="str">
        <f t="shared" si="118"/>
        <v/>
      </c>
      <c r="Q223" s="172" t="str">
        <f t="shared" si="118"/>
        <v/>
      </c>
      <c r="R223" s="172" t="str">
        <f t="shared" si="118"/>
        <v/>
      </c>
      <c r="S223" s="172" t="str">
        <f t="shared" si="118"/>
        <v/>
      </c>
      <c r="T223" s="172" t="str">
        <f t="shared" si="118"/>
        <v/>
      </c>
      <c r="U223" s="172" t="str">
        <f t="shared" si="118"/>
        <v/>
      </c>
      <c r="V223" s="172" t="str">
        <f t="shared" si="118"/>
        <v/>
      </c>
      <c r="W223" s="172" t="str">
        <f t="shared" si="118"/>
        <v/>
      </c>
    </row>
    <row r="224" spans="1:23" s="48" customFormat="1" ht="15" customHeight="1" x14ac:dyDescent="0.2">
      <c r="A224" s="48" t="s">
        <v>252</v>
      </c>
      <c r="D224" s="172" t="str">
        <f t="shared" ref="D224:W224" ca="1" si="119">IFERROR(IF(D$10="","",(D72-C72)/C72),"NA")</f>
        <v>NA</v>
      </c>
      <c r="E224" s="172" t="str">
        <f t="shared" ca="1" si="119"/>
        <v>NA</v>
      </c>
      <c r="F224" s="172" t="str">
        <f t="shared" ca="1" si="119"/>
        <v>NA</v>
      </c>
      <c r="G224" s="172" t="str">
        <f t="shared" ca="1" si="119"/>
        <v>NA</v>
      </c>
      <c r="H224" s="172" t="str">
        <f t="shared" ca="1" si="119"/>
        <v>NA</v>
      </c>
      <c r="I224" s="172" t="str">
        <f t="shared" ca="1" si="119"/>
        <v>NA</v>
      </c>
      <c r="J224" s="172" t="str">
        <f t="shared" ca="1" si="119"/>
        <v>NA</v>
      </c>
      <c r="K224" s="172" t="str">
        <f t="shared" ca="1" si="119"/>
        <v>NA</v>
      </c>
      <c r="L224" s="172" t="str">
        <f t="shared" ca="1" si="119"/>
        <v>NA</v>
      </c>
      <c r="M224" s="172" t="str">
        <f t="shared" si="119"/>
        <v/>
      </c>
      <c r="N224" s="172" t="str">
        <f t="shared" si="119"/>
        <v/>
      </c>
      <c r="O224" s="172" t="str">
        <f t="shared" si="119"/>
        <v/>
      </c>
      <c r="P224" s="172" t="str">
        <f t="shared" si="119"/>
        <v/>
      </c>
      <c r="Q224" s="172" t="str">
        <f t="shared" si="119"/>
        <v/>
      </c>
      <c r="R224" s="172" t="str">
        <f t="shared" si="119"/>
        <v/>
      </c>
      <c r="S224" s="172" t="str">
        <f t="shared" si="119"/>
        <v/>
      </c>
      <c r="T224" s="172" t="str">
        <f t="shared" si="119"/>
        <v/>
      </c>
      <c r="U224" s="172" t="str">
        <f t="shared" si="119"/>
        <v/>
      </c>
      <c r="V224" s="172" t="str">
        <f t="shared" si="119"/>
        <v/>
      </c>
      <c r="W224" s="172" t="str">
        <f t="shared" si="119"/>
        <v/>
      </c>
    </row>
    <row r="225" spans="1:23" s="48" customFormat="1" ht="15" customHeight="1" x14ac:dyDescent="0.2">
      <c r="A225" s="48" t="s">
        <v>253</v>
      </c>
      <c r="D225" s="172" t="str">
        <f t="shared" ref="D225:W225" ca="1" si="120">IFERROR(IF(D$10="","",(D73-C73)/C73),"NA")</f>
        <v>NA</v>
      </c>
      <c r="E225" s="172" t="str">
        <f t="shared" ca="1" si="120"/>
        <v>NA</v>
      </c>
      <c r="F225" s="172" t="str">
        <f t="shared" ca="1" si="120"/>
        <v>NA</v>
      </c>
      <c r="G225" s="172" t="str">
        <f t="shared" ca="1" si="120"/>
        <v>NA</v>
      </c>
      <c r="H225" s="172" t="str">
        <f t="shared" ca="1" si="120"/>
        <v>NA</v>
      </c>
      <c r="I225" s="172" t="str">
        <f t="shared" ca="1" si="120"/>
        <v>NA</v>
      </c>
      <c r="J225" s="172" t="str">
        <f t="shared" ca="1" si="120"/>
        <v>NA</v>
      </c>
      <c r="K225" s="172" t="str">
        <f t="shared" ca="1" si="120"/>
        <v>NA</v>
      </c>
      <c r="L225" s="172" t="str">
        <f t="shared" ca="1" si="120"/>
        <v>NA</v>
      </c>
      <c r="M225" s="172" t="str">
        <f t="shared" si="120"/>
        <v/>
      </c>
      <c r="N225" s="172" t="str">
        <f t="shared" si="120"/>
        <v/>
      </c>
      <c r="O225" s="172" t="str">
        <f t="shared" si="120"/>
        <v/>
      </c>
      <c r="P225" s="172" t="str">
        <f t="shared" si="120"/>
        <v/>
      </c>
      <c r="Q225" s="172" t="str">
        <f t="shared" si="120"/>
        <v/>
      </c>
      <c r="R225" s="172" t="str">
        <f t="shared" si="120"/>
        <v/>
      </c>
      <c r="S225" s="172" t="str">
        <f t="shared" si="120"/>
        <v/>
      </c>
      <c r="T225" s="172" t="str">
        <f t="shared" si="120"/>
        <v/>
      </c>
      <c r="U225" s="172" t="str">
        <f t="shared" si="120"/>
        <v/>
      </c>
      <c r="V225" s="172" t="str">
        <f t="shared" si="120"/>
        <v/>
      </c>
      <c r="W225" s="172" t="str">
        <f t="shared" si="120"/>
        <v/>
      </c>
    </row>
    <row r="226" spans="1:23" s="48" customFormat="1" ht="15" customHeight="1" x14ac:dyDescent="0.2">
      <c r="A226" s="48" t="s">
        <v>254</v>
      </c>
      <c r="D226" s="172" t="str">
        <f t="shared" ref="D226:W226" ca="1" si="121">IFERROR(IF(D$10="","",(D74-C74)/C74),"NA")</f>
        <v>NA</v>
      </c>
      <c r="E226" s="172" t="str">
        <f t="shared" ca="1" si="121"/>
        <v>NA</v>
      </c>
      <c r="F226" s="172" t="str">
        <f t="shared" ca="1" si="121"/>
        <v>NA</v>
      </c>
      <c r="G226" s="172" t="str">
        <f t="shared" ca="1" si="121"/>
        <v>NA</v>
      </c>
      <c r="H226" s="172" t="str">
        <f t="shared" ca="1" si="121"/>
        <v>NA</v>
      </c>
      <c r="I226" s="172" t="str">
        <f t="shared" ca="1" si="121"/>
        <v>NA</v>
      </c>
      <c r="J226" s="172" t="str">
        <f t="shared" ca="1" si="121"/>
        <v>NA</v>
      </c>
      <c r="K226" s="172" t="str">
        <f t="shared" ca="1" si="121"/>
        <v>NA</v>
      </c>
      <c r="L226" s="172" t="str">
        <f t="shared" ca="1" si="121"/>
        <v>NA</v>
      </c>
      <c r="M226" s="172" t="str">
        <f t="shared" si="121"/>
        <v/>
      </c>
      <c r="N226" s="172" t="str">
        <f t="shared" si="121"/>
        <v/>
      </c>
      <c r="O226" s="172" t="str">
        <f t="shared" si="121"/>
        <v/>
      </c>
      <c r="P226" s="172" t="str">
        <f t="shared" si="121"/>
        <v/>
      </c>
      <c r="Q226" s="172" t="str">
        <f t="shared" si="121"/>
        <v/>
      </c>
      <c r="R226" s="172" t="str">
        <f t="shared" si="121"/>
        <v/>
      </c>
      <c r="S226" s="172" t="str">
        <f t="shared" si="121"/>
        <v/>
      </c>
      <c r="T226" s="172" t="str">
        <f t="shared" si="121"/>
        <v/>
      </c>
      <c r="U226" s="172" t="str">
        <f t="shared" si="121"/>
        <v/>
      </c>
      <c r="V226" s="172" t="str">
        <f t="shared" si="121"/>
        <v/>
      </c>
      <c r="W226" s="172" t="str">
        <f t="shared" si="121"/>
        <v/>
      </c>
    </row>
    <row r="228" spans="1:23" s="48" customFormat="1" ht="15" customHeight="1" thickBot="1" x14ac:dyDescent="0.25">
      <c r="A228" s="920" t="s">
        <v>1083</v>
      </c>
      <c r="B228" s="920"/>
      <c r="C228" s="920"/>
      <c r="D228" s="921"/>
      <c r="E228" s="921"/>
      <c r="F228" s="921"/>
      <c r="G228" s="921"/>
      <c r="H228" s="921"/>
      <c r="I228" s="921"/>
      <c r="J228" s="921"/>
      <c r="K228" s="921"/>
      <c r="L228" s="921"/>
      <c r="M228" s="921"/>
      <c r="N228" s="921"/>
      <c r="O228" s="921"/>
      <c r="P228" s="921"/>
      <c r="Q228" s="921"/>
      <c r="R228" s="921"/>
      <c r="S228" s="921"/>
      <c r="T228" s="921"/>
      <c r="U228" s="921"/>
      <c r="V228" s="921"/>
      <c r="W228" s="921"/>
    </row>
    <row r="229" spans="1:23" s="48" customFormat="1" ht="15" customHeight="1" x14ac:dyDescent="0.2">
      <c r="D229" s="157"/>
      <c r="E229" s="157"/>
      <c r="F229" s="157"/>
      <c r="G229" s="157"/>
      <c r="H229" s="157"/>
      <c r="I229" s="157"/>
      <c r="J229" s="157"/>
      <c r="K229" s="157"/>
      <c r="L229" s="157"/>
      <c r="M229" s="157"/>
      <c r="N229" s="157"/>
      <c r="O229" s="157"/>
      <c r="P229" s="157"/>
      <c r="Q229" s="157"/>
      <c r="R229" s="157"/>
      <c r="S229" s="157"/>
      <c r="T229" s="157"/>
      <c r="U229" s="157"/>
      <c r="V229" s="157"/>
      <c r="W229" s="157"/>
    </row>
    <row r="230" spans="1:23" s="48" customFormat="1" ht="15" customHeight="1" x14ac:dyDescent="0.2">
      <c r="A230" s="878" t="s">
        <v>213</v>
      </c>
      <c r="B230" s="878"/>
      <c r="C230" s="878"/>
      <c r="D230" s="915"/>
      <c r="E230" s="915"/>
      <c r="F230" s="915"/>
      <c r="G230" s="915"/>
      <c r="H230" s="915"/>
      <c r="I230" s="915"/>
      <c r="J230" s="915"/>
      <c r="K230" s="915"/>
      <c r="L230" s="915"/>
      <c r="M230" s="915"/>
      <c r="N230" s="915"/>
      <c r="O230" s="915"/>
      <c r="P230" s="915"/>
      <c r="Q230" s="915"/>
      <c r="R230" s="915"/>
      <c r="S230" s="915"/>
      <c r="T230" s="915"/>
      <c r="U230" s="915"/>
      <c r="V230" s="915"/>
      <c r="W230" s="915"/>
    </row>
    <row r="231" spans="1:23" s="48" customFormat="1" ht="15" customHeight="1" x14ac:dyDescent="0.2">
      <c r="A231" s="48" t="s">
        <v>214</v>
      </c>
      <c r="D231" s="167" t="str">
        <f t="shared" ref="D231:W231" ca="1" si="122">IF(chartType_Fin="Cumulative",D119,D175)</f>
        <v>NA</v>
      </c>
      <c r="E231" s="167" t="str">
        <f t="shared" ca="1" si="122"/>
        <v>NA</v>
      </c>
      <c r="F231" s="167" t="str">
        <f t="shared" ca="1" si="122"/>
        <v>NA</v>
      </c>
      <c r="G231" s="167" t="str">
        <f t="shared" ca="1" si="122"/>
        <v>NA</v>
      </c>
      <c r="H231" s="167" t="str">
        <f t="shared" ca="1" si="122"/>
        <v>NA</v>
      </c>
      <c r="I231" s="167" t="str">
        <f t="shared" ca="1" si="122"/>
        <v>NA</v>
      </c>
      <c r="J231" s="167" t="str">
        <f t="shared" ca="1" si="122"/>
        <v>NA</v>
      </c>
      <c r="K231" s="167" t="str">
        <f t="shared" ca="1" si="122"/>
        <v>NA</v>
      </c>
      <c r="L231" s="167" t="str">
        <f t="shared" ca="1" si="122"/>
        <v>NA</v>
      </c>
      <c r="M231" s="167" t="str">
        <f t="shared" si="122"/>
        <v/>
      </c>
      <c r="N231" s="167" t="str">
        <f t="shared" si="122"/>
        <v/>
      </c>
      <c r="O231" s="167" t="str">
        <f t="shared" si="122"/>
        <v/>
      </c>
      <c r="P231" s="167" t="str">
        <f t="shared" si="122"/>
        <v/>
      </c>
      <c r="Q231" s="167" t="str">
        <f t="shared" si="122"/>
        <v/>
      </c>
      <c r="R231" s="167" t="str">
        <f t="shared" si="122"/>
        <v/>
      </c>
      <c r="S231" s="167" t="str">
        <f t="shared" si="122"/>
        <v/>
      </c>
      <c r="T231" s="167" t="str">
        <f t="shared" si="122"/>
        <v/>
      </c>
      <c r="U231" s="167" t="str">
        <f t="shared" si="122"/>
        <v/>
      </c>
      <c r="V231" s="167" t="str">
        <f t="shared" si="122"/>
        <v/>
      </c>
      <c r="W231" s="167" t="str">
        <f t="shared" si="122"/>
        <v/>
      </c>
    </row>
    <row r="232" spans="1:23" s="48" customFormat="1" ht="15" customHeight="1" x14ac:dyDescent="0.2">
      <c r="A232" s="567" t="s">
        <v>215</v>
      </c>
      <c r="B232" s="567"/>
      <c r="C232" s="567"/>
      <c r="D232" s="167" t="str">
        <f t="shared" ref="D232:W232" ca="1" si="123">IF(chartType_Fin="Cumulative",D120,D176)</f>
        <v>NA</v>
      </c>
      <c r="E232" s="167" t="str">
        <f t="shared" ca="1" si="123"/>
        <v>NA</v>
      </c>
      <c r="F232" s="167" t="str">
        <f t="shared" ca="1" si="123"/>
        <v>NA</v>
      </c>
      <c r="G232" s="167" t="str">
        <f t="shared" ca="1" si="123"/>
        <v>NA</v>
      </c>
      <c r="H232" s="167" t="str">
        <f t="shared" ca="1" si="123"/>
        <v>NA</v>
      </c>
      <c r="I232" s="167" t="str">
        <f t="shared" ca="1" si="123"/>
        <v>NA</v>
      </c>
      <c r="J232" s="167" t="str">
        <f t="shared" ca="1" si="123"/>
        <v>NA</v>
      </c>
      <c r="K232" s="167" t="str">
        <f t="shared" ca="1" si="123"/>
        <v>NA</v>
      </c>
      <c r="L232" s="167" t="str">
        <f t="shared" ca="1" si="123"/>
        <v>NA</v>
      </c>
      <c r="M232" s="167" t="str">
        <f t="shared" si="123"/>
        <v/>
      </c>
      <c r="N232" s="167" t="str">
        <f t="shared" si="123"/>
        <v/>
      </c>
      <c r="O232" s="167" t="str">
        <f t="shared" si="123"/>
        <v/>
      </c>
      <c r="P232" s="167" t="str">
        <f t="shared" si="123"/>
        <v/>
      </c>
      <c r="Q232" s="167" t="str">
        <f t="shared" si="123"/>
        <v/>
      </c>
      <c r="R232" s="167" t="str">
        <f t="shared" si="123"/>
        <v/>
      </c>
      <c r="S232" s="167" t="str">
        <f t="shared" si="123"/>
        <v/>
      </c>
      <c r="T232" s="167" t="str">
        <f t="shared" si="123"/>
        <v/>
      </c>
      <c r="U232" s="167" t="str">
        <f t="shared" si="123"/>
        <v/>
      </c>
      <c r="V232" s="167" t="str">
        <f t="shared" si="123"/>
        <v/>
      </c>
      <c r="W232" s="167" t="str">
        <f t="shared" si="123"/>
        <v/>
      </c>
    </row>
    <row r="233" spans="1:23" s="48" customFormat="1" ht="15" customHeight="1" x14ac:dyDescent="0.2">
      <c r="A233" s="169" t="s">
        <v>255</v>
      </c>
      <c r="B233" s="158"/>
      <c r="C233" s="158"/>
      <c r="D233" s="206" t="str">
        <f t="shared" ref="D233:W233" ca="1" si="124">IF(chartType_Fin="Cumulative",D121,D177)</f>
        <v>NA</v>
      </c>
      <c r="E233" s="206" t="str">
        <f t="shared" ca="1" si="124"/>
        <v>NA</v>
      </c>
      <c r="F233" s="206" t="str">
        <f t="shared" ca="1" si="124"/>
        <v>NA</v>
      </c>
      <c r="G233" s="206" t="str">
        <f t="shared" ca="1" si="124"/>
        <v>NA</v>
      </c>
      <c r="H233" s="206" t="str">
        <f t="shared" ca="1" si="124"/>
        <v>NA</v>
      </c>
      <c r="I233" s="206" t="str">
        <f t="shared" ca="1" si="124"/>
        <v>NA</v>
      </c>
      <c r="J233" s="206" t="str">
        <f t="shared" ca="1" si="124"/>
        <v>NA</v>
      </c>
      <c r="K233" s="206" t="str">
        <f t="shared" ca="1" si="124"/>
        <v>NA</v>
      </c>
      <c r="L233" s="206" t="str">
        <f t="shared" ca="1" si="124"/>
        <v>NA</v>
      </c>
      <c r="M233" s="206" t="str">
        <f t="shared" si="124"/>
        <v/>
      </c>
      <c r="N233" s="206" t="str">
        <f t="shared" si="124"/>
        <v/>
      </c>
      <c r="O233" s="206" t="str">
        <f t="shared" si="124"/>
        <v/>
      </c>
      <c r="P233" s="206" t="str">
        <f t="shared" si="124"/>
        <v/>
      </c>
      <c r="Q233" s="206" t="str">
        <f t="shared" si="124"/>
        <v/>
      </c>
      <c r="R233" s="206" t="str">
        <f t="shared" si="124"/>
        <v/>
      </c>
      <c r="S233" s="206" t="str">
        <f t="shared" si="124"/>
        <v/>
      </c>
      <c r="T233" s="206" t="str">
        <f t="shared" si="124"/>
        <v/>
      </c>
      <c r="U233" s="206" t="str">
        <f t="shared" si="124"/>
        <v/>
      </c>
      <c r="V233" s="206" t="str">
        <f t="shared" si="124"/>
        <v/>
      </c>
      <c r="W233" s="206" t="str">
        <f t="shared" si="124"/>
        <v/>
      </c>
    </row>
    <row r="234" spans="1:23" s="48" customFormat="1" ht="15" customHeight="1" x14ac:dyDescent="0.2">
      <c r="D234" s="157"/>
      <c r="E234" s="157"/>
      <c r="F234" s="157"/>
      <c r="G234" s="157"/>
      <c r="H234" s="157"/>
      <c r="I234" s="157"/>
      <c r="J234" s="157"/>
      <c r="K234" s="157"/>
      <c r="L234" s="157"/>
      <c r="M234" s="157"/>
      <c r="N234" s="157"/>
      <c r="O234" s="157"/>
      <c r="P234" s="157"/>
      <c r="Q234" s="157"/>
      <c r="R234" s="157"/>
      <c r="S234" s="157"/>
      <c r="T234" s="157"/>
      <c r="U234" s="157"/>
      <c r="V234" s="157"/>
      <c r="W234" s="157"/>
    </row>
    <row r="235" spans="1:23" s="48" customFormat="1" ht="15" customHeight="1" x14ac:dyDescent="0.2">
      <c r="A235" s="48" t="s">
        <v>217</v>
      </c>
      <c r="D235" s="167" t="str">
        <f t="shared" ref="D235:W235" ca="1" si="125">IF(chartType_Fin="Cumulative",D123,D179)</f>
        <v>NA</v>
      </c>
      <c r="E235" s="167" t="str">
        <f t="shared" ca="1" si="125"/>
        <v>NA</v>
      </c>
      <c r="F235" s="167" t="str">
        <f t="shared" ca="1" si="125"/>
        <v>NA</v>
      </c>
      <c r="G235" s="167" t="str">
        <f t="shared" ca="1" si="125"/>
        <v>NA</v>
      </c>
      <c r="H235" s="167" t="str">
        <f t="shared" ca="1" si="125"/>
        <v>NA</v>
      </c>
      <c r="I235" s="167" t="str">
        <f t="shared" ca="1" si="125"/>
        <v>NA</v>
      </c>
      <c r="J235" s="167" t="str">
        <f t="shared" ca="1" si="125"/>
        <v>NA</v>
      </c>
      <c r="K235" s="167" t="str">
        <f t="shared" ca="1" si="125"/>
        <v>NA</v>
      </c>
      <c r="L235" s="167" t="str">
        <f t="shared" ca="1" si="125"/>
        <v>NA</v>
      </c>
      <c r="M235" s="167" t="str">
        <f t="shared" si="125"/>
        <v/>
      </c>
      <c r="N235" s="167" t="str">
        <f t="shared" si="125"/>
        <v/>
      </c>
      <c r="O235" s="167" t="str">
        <f t="shared" si="125"/>
        <v/>
      </c>
      <c r="P235" s="167" t="str">
        <f t="shared" si="125"/>
        <v/>
      </c>
      <c r="Q235" s="167" t="str">
        <f t="shared" si="125"/>
        <v/>
      </c>
      <c r="R235" s="167" t="str">
        <f t="shared" si="125"/>
        <v/>
      </c>
      <c r="S235" s="167" t="str">
        <f t="shared" si="125"/>
        <v/>
      </c>
      <c r="T235" s="167" t="str">
        <f t="shared" si="125"/>
        <v/>
      </c>
      <c r="U235" s="167" t="str">
        <f t="shared" si="125"/>
        <v/>
      </c>
      <c r="V235" s="167" t="str">
        <f t="shared" si="125"/>
        <v/>
      </c>
      <c r="W235" s="167" t="str">
        <f t="shared" si="125"/>
        <v/>
      </c>
    </row>
    <row r="236" spans="1:23" s="48" customFormat="1" ht="15" customHeight="1" x14ac:dyDescent="0.2">
      <c r="A236" s="567" t="s">
        <v>218</v>
      </c>
      <c r="B236" s="567"/>
      <c r="C236" s="567"/>
      <c r="D236" s="167" t="str">
        <f t="shared" ref="D236:W236" ca="1" si="126">IF(chartType_Fin="Cumulative",D124,D180)</f>
        <v>NA</v>
      </c>
      <c r="E236" s="167" t="str">
        <f t="shared" ca="1" si="126"/>
        <v>NA</v>
      </c>
      <c r="F236" s="167" t="str">
        <f t="shared" ca="1" si="126"/>
        <v>NA</v>
      </c>
      <c r="G236" s="167" t="str">
        <f t="shared" ca="1" si="126"/>
        <v>NA</v>
      </c>
      <c r="H236" s="167" t="str">
        <f t="shared" ca="1" si="126"/>
        <v>NA</v>
      </c>
      <c r="I236" s="167" t="str">
        <f t="shared" ca="1" si="126"/>
        <v>NA</v>
      </c>
      <c r="J236" s="167" t="str">
        <f t="shared" ca="1" si="126"/>
        <v>NA</v>
      </c>
      <c r="K236" s="167" t="str">
        <f t="shared" ca="1" si="126"/>
        <v>NA</v>
      </c>
      <c r="L236" s="167" t="str">
        <f t="shared" ca="1" si="126"/>
        <v>NA</v>
      </c>
      <c r="M236" s="167" t="str">
        <f t="shared" si="126"/>
        <v/>
      </c>
      <c r="N236" s="167" t="str">
        <f t="shared" si="126"/>
        <v/>
      </c>
      <c r="O236" s="167" t="str">
        <f t="shared" si="126"/>
        <v/>
      </c>
      <c r="P236" s="167" t="str">
        <f t="shared" si="126"/>
        <v/>
      </c>
      <c r="Q236" s="167" t="str">
        <f t="shared" si="126"/>
        <v/>
      </c>
      <c r="R236" s="167" t="str">
        <f t="shared" si="126"/>
        <v/>
      </c>
      <c r="S236" s="167" t="str">
        <f t="shared" si="126"/>
        <v/>
      </c>
      <c r="T236" s="167" t="str">
        <f t="shared" si="126"/>
        <v/>
      </c>
      <c r="U236" s="167" t="str">
        <f t="shared" si="126"/>
        <v/>
      </c>
      <c r="V236" s="167" t="str">
        <f t="shared" si="126"/>
        <v/>
      </c>
      <c r="W236" s="167" t="str">
        <f t="shared" si="126"/>
        <v/>
      </c>
    </row>
    <row r="237" spans="1:23" s="48" customFormat="1" ht="15" customHeight="1" x14ac:dyDescent="0.2">
      <c r="A237" s="165" t="s">
        <v>219</v>
      </c>
      <c r="B237" s="165"/>
      <c r="C237" s="165"/>
      <c r="D237" s="206" t="str">
        <f t="shared" ref="D237:W237" ca="1" si="127">IF(chartType_Fin="Cumulative",D125,D181)</f>
        <v>NA</v>
      </c>
      <c r="E237" s="206" t="str">
        <f t="shared" ca="1" si="127"/>
        <v>NA</v>
      </c>
      <c r="F237" s="206" t="str">
        <f t="shared" ca="1" si="127"/>
        <v>NA</v>
      </c>
      <c r="G237" s="206" t="str">
        <f t="shared" ca="1" si="127"/>
        <v>NA</v>
      </c>
      <c r="H237" s="206" t="str">
        <f t="shared" ca="1" si="127"/>
        <v>NA</v>
      </c>
      <c r="I237" s="206" t="str">
        <f t="shared" ca="1" si="127"/>
        <v>NA</v>
      </c>
      <c r="J237" s="206" t="str">
        <f t="shared" ca="1" si="127"/>
        <v>NA</v>
      </c>
      <c r="K237" s="206" t="str">
        <f t="shared" ca="1" si="127"/>
        <v>NA</v>
      </c>
      <c r="L237" s="206" t="str">
        <f t="shared" ca="1" si="127"/>
        <v>NA</v>
      </c>
      <c r="M237" s="206" t="str">
        <f t="shared" si="127"/>
        <v/>
      </c>
      <c r="N237" s="206" t="str">
        <f t="shared" si="127"/>
        <v/>
      </c>
      <c r="O237" s="206" t="str">
        <f t="shared" si="127"/>
        <v/>
      </c>
      <c r="P237" s="206" t="str">
        <f t="shared" si="127"/>
        <v/>
      </c>
      <c r="Q237" s="206" t="str">
        <f t="shared" si="127"/>
        <v/>
      </c>
      <c r="R237" s="206" t="str">
        <f t="shared" si="127"/>
        <v/>
      </c>
      <c r="S237" s="206" t="str">
        <f t="shared" si="127"/>
        <v/>
      </c>
      <c r="T237" s="206" t="str">
        <f t="shared" si="127"/>
        <v/>
      </c>
      <c r="U237" s="206" t="str">
        <f t="shared" si="127"/>
        <v/>
      </c>
      <c r="V237" s="206" t="str">
        <f t="shared" si="127"/>
        <v/>
      </c>
      <c r="W237" s="206" t="str">
        <f t="shared" si="127"/>
        <v/>
      </c>
    </row>
    <row r="238" spans="1:23" s="48" customFormat="1" ht="15" customHeight="1" x14ac:dyDescent="0.2">
      <c r="D238" s="157"/>
      <c r="E238" s="157"/>
      <c r="F238" s="157"/>
      <c r="G238" s="157"/>
      <c r="H238" s="157"/>
      <c r="I238" s="157"/>
      <c r="J238" s="157"/>
      <c r="K238" s="157"/>
      <c r="L238" s="157"/>
      <c r="M238" s="157"/>
      <c r="N238" s="157"/>
      <c r="O238" s="157"/>
      <c r="P238" s="157"/>
      <c r="Q238" s="157"/>
      <c r="R238" s="157"/>
      <c r="S238" s="157"/>
      <c r="T238" s="157"/>
      <c r="U238" s="157"/>
      <c r="V238" s="157"/>
      <c r="W238" s="157"/>
    </row>
    <row r="239" spans="1:23" s="48" customFormat="1" ht="15" customHeight="1" x14ac:dyDescent="0.2">
      <c r="A239" s="48" t="s">
        <v>0</v>
      </c>
      <c r="D239" s="167">
        <f t="shared" ref="D239:W239" ca="1" si="128">IF(chartType_Fin="Cumulative",D127,D183)</f>
        <v>3.0734861049994924E-2</v>
      </c>
      <c r="E239" s="167">
        <f t="shared" ca="1" si="128"/>
        <v>2.260462163256817E-2</v>
      </c>
      <c r="F239" s="167">
        <f t="shared" ca="1" si="128"/>
        <v>3.8782675715600845E-2</v>
      </c>
      <c r="G239" s="167">
        <f t="shared" ca="1" si="128"/>
        <v>4.9587287847404703E-2</v>
      </c>
      <c r="H239" s="167">
        <f t="shared" ca="1" si="128"/>
        <v>4.0813721736227701E-2</v>
      </c>
      <c r="I239" s="167">
        <f t="shared" ca="1" si="128"/>
        <v>1.0725403263843034E-2</v>
      </c>
      <c r="J239" s="167">
        <f t="shared" ca="1" si="128"/>
        <v>6.9437315090483164E-3</v>
      </c>
      <c r="K239" s="167">
        <f t="shared" ca="1" si="128"/>
        <v>3.7046648932719133E-2</v>
      </c>
      <c r="L239" s="167">
        <f t="shared" ca="1" si="128"/>
        <v>5.2945802945802943E-2</v>
      </c>
      <c r="M239" s="167" t="str">
        <f t="shared" si="128"/>
        <v/>
      </c>
      <c r="N239" s="167" t="str">
        <f t="shared" si="128"/>
        <v/>
      </c>
      <c r="O239" s="167" t="str">
        <f t="shared" si="128"/>
        <v/>
      </c>
      <c r="P239" s="167" t="str">
        <f t="shared" si="128"/>
        <v/>
      </c>
      <c r="Q239" s="167" t="str">
        <f t="shared" si="128"/>
        <v/>
      </c>
      <c r="R239" s="167" t="str">
        <f t="shared" si="128"/>
        <v/>
      </c>
      <c r="S239" s="167" t="str">
        <f t="shared" si="128"/>
        <v/>
      </c>
      <c r="T239" s="167" t="str">
        <f t="shared" si="128"/>
        <v/>
      </c>
      <c r="U239" s="167" t="str">
        <f t="shared" si="128"/>
        <v/>
      </c>
      <c r="V239" s="167" t="str">
        <f t="shared" si="128"/>
        <v/>
      </c>
      <c r="W239" s="167" t="str">
        <f t="shared" si="128"/>
        <v/>
      </c>
    </row>
    <row r="240" spans="1:23" s="48" customFormat="1" ht="15" customHeight="1" x14ac:dyDescent="0.2">
      <c r="A240" s="567" t="s">
        <v>38</v>
      </c>
      <c r="B240" s="567"/>
      <c r="C240" s="567"/>
      <c r="D240" s="167">
        <f t="shared" ref="D240:W240" ca="1" si="129">IF(chartType_Fin="Cumulative",D128,D184)</f>
        <v>-3.0734861049994924E-2</v>
      </c>
      <c r="E240" s="167">
        <f t="shared" ca="1" si="129"/>
        <v>-2.260462163256817E-2</v>
      </c>
      <c r="F240" s="167">
        <f t="shared" ca="1" si="129"/>
        <v>-3.8782675715600845E-2</v>
      </c>
      <c r="G240" s="167">
        <f t="shared" ca="1" si="129"/>
        <v>-4.9587287847404703E-2</v>
      </c>
      <c r="H240" s="167">
        <f t="shared" ca="1" si="129"/>
        <v>-4.0813721736227701E-2</v>
      </c>
      <c r="I240" s="167">
        <f t="shared" ca="1" si="129"/>
        <v>-1.0725403263843034E-2</v>
      </c>
      <c r="J240" s="167">
        <f t="shared" ca="1" si="129"/>
        <v>-6.9437315090483164E-3</v>
      </c>
      <c r="K240" s="167">
        <f t="shared" ca="1" si="129"/>
        <v>-3.7046648932719133E-2</v>
      </c>
      <c r="L240" s="167">
        <f t="shared" ca="1" si="129"/>
        <v>-5.2945802945802943E-2</v>
      </c>
      <c r="M240" s="167" t="str">
        <f t="shared" si="129"/>
        <v/>
      </c>
      <c r="N240" s="167" t="str">
        <f t="shared" si="129"/>
        <v/>
      </c>
      <c r="O240" s="167" t="str">
        <f t="shared" si="129"/>
        <v/>
      </c>
      <c r="P240" s="167" t="str">
        <f t="shared" si="129"/>
        <v/>
      </c>
      <c r="Q240" s="167" t="str">
        <f t="shared" si="129"/>
        <v/>
      </c>
      <c r="R240" s="167" t="str">
        <f t="shared" si="129"/>
        <v/>
      </c>
      <c r="S240" s="167" t="str">
        <f t="shared" si="129"/>
        <v/>
      </c>
      <c r="T240" s="167" t="str">
        <f t="shared" si="129"/>
        <v/>
      </c>
      <c r="U240" s="167" t="str">
        <f t="shared" si="129"/>
        <v/>
      </c>
      <c r="V240" s="167" t="str">
        <f t="shared" si="129"/>
        <v/>
      </c>
      <c r="W240" s="167" t="str">
        <f t="shared" si="129"/>
        <v/>
      </c>
    </row>
    <row r="241" spans="1:23" s="48" customFormat="1" ht="15" customHeight="1" x14ac:dyDescent="0.2">
      <c r="A241" s="169" t="s">
        <v>40</v>
      </c>
      <c r="B241" s="169"/>
      <c r="C241" s="169"/>
      <c r="D241" s="206" t="str">
        <f t="shared" ref="D241:W241" ca="1" si="130">IF(chartType_Fin="Cumulative",D129,D185)</f>
        <v>NA</v>
      </c>
      <c r="E241" s="206" t="str">
        <f t="shared" ca="1" si="130"/>
        <v>NA</v>
      </c>
      <c r="F241" s="206" t="str">
        <f t="shared" ca="1" si="130"/>
        <v>NA</v>
      </c>
      <c r="G241" s="206" t="str">
        <f t="shared" ca="1" si="130"/>
        <v>NA</v>
      </c>
      <c r="H241" s="206" t="str">
        <f t="shared" ca="1" si="130"/>
        <v>NA</v>
      </c>
      <c r="I241" s="206" t="str">
        <f t="shared" ca="1" si="130"/>
        <v>NA</v>
      </c>
      <c r="J241" s="206" t="str">
        <f t="shared" ca="1" si="130"/>
        <v>NA</v>
      </c>
      <c r="K241" s="206" t="str">
        <f t="shared" ca="1" si="130"/>
        <v>NA</v>
      </c>
      <c r="L241" s="206" t="str">
        <f t="shared" ca="1" si="130"/>
        <v>NA</v>
      </c>
      <c r="M241" s="206" t="str">
        <f t="shared" si="130"/>
        <v/>
      </c>
      <c r="N241" s="206" t="str">
        <f t="shared" si="130"/>
        <v/>
      </c>
      <c r="O241" s="206" t="str">
        <f t="shared" si="130"/>
        <v/>
      </c>
      <c r="P241" s="206" t="str">
        <f t="shared" si="130"/>
        <v/>
      </c>
      <c r="Q241" s="206" t="str">
        <f t="shared" si="130"/>
        <v/>
      </c>
      <c r="R241" s="206" t="str">
        <f t="shared" si="130"/>
        <v/>
      </c>
      <c r="S241" s="206" t="str">
        <f t="shared" si="130"/>
        <v/>
      </c>
      <c r="T241" s="206" t="str">
        <f t="shared" si="130"/>
        <v/>
      </c>
      <c r="U241" s="206" t="str">
        <f t="shared" si="130"/>
        <v/>
      </c>
      <c r="V241" s="206" t="str">
        <f t="shared" si="130"/>
        <v/>
      </c>
      <c r="W241" s="206" t="str">
        <f t="shared" si="130"/>
        <v/>
      </c>
    </row>
    <row r="242" spans="1:23" s="48" customFormat="1" ht="15" customHeight="1" x14ac:dyDescent="0.2">
      <c r="D242" s="157"/>
      <c r="E242" s="157"/>
      <c r="F242" s="157"/>
      <c r="G242" s="157"/>
      <c r="H242" s="157"/>
      <c r="I242" s="157"/>
      <c r="J242" s="157"/>
      <c r="K242" s="157"/>
      <c r="L242" s="157"/>
      <c r="M242" s="157"/>
      <c r="N242" s="157"/>
      <c r="O242" s="157"/>
      <c r="P242" s="157"/>
      <c r="Q242" s="157"/>
      <c r="R242" s="157"/>
      <c r="S242" s="157"/>
      <c r="T242" s="157"/>
      <c r="U242" s="157"/>
      <c r="V242" s="157"/>
      <c r="W242" s="157"/>
    </row>
    <row r="243" spans="1:23" s="48" customFormat="1" ht="15" customHeight="1" x14ac:dyDescent="0.2">
      <c r="A243" s="567" t="s">
        <v>43</v>
      </c>
      <c r="B243" s="567"/>
      <c r="C243" s="567"/>
      <c r="D243" s="167">
        <f t="shared" ref="D243:W243" ca="1" si="131">IF(chartType_Fin="Cumulative",D131,D187)</f>
        <v>1.8471977883890423E-2</v>
      </c>
      <c r="E243" s="167">
        <f t="shared" ca="1" si="131"/>
        <v>-1.4805675508945095E-2</v>
      </c>
      <c r="F243" s="167">
        <f t="shared" ca="1" si="131"/>
        <v>-0.17871008140262992</v>
      </c>
      <c r="G243" s="167">
        <f t="shared" ca="1" si="131"/>
        <v>-5.3979871912168347E-2</v>
      </c>
      <c r="H243" s="167">
        <f t="shared" ca="1" si="131"/>
        <v>-0.25854287556415217</v>
      </c>
      <c r="I243" s="167">
        <f t="shared" ca="1" si="131"/>
        <v>-6.9347826086956527E-2</v>
      </c>
      <c r="J243" s="167">
        <f t="shared" ca="1" si="131"/>
        <v>0.14809623919644943</v>
      </c>
      <c r="K243" s="167">
        <f t="shared" ca="1" si="131"/>
        <v>0.39532044760935908</v>
      </c>
      <c r="L243" s="167">
        <f t="shared" ca="1" si="131"/>
        <v>-0.30650335374744825</v>
      </c>
      <c r="M243" s="167" t="str">
        <f t="shared" si="131"/>
        <v/>
      </c>
      <c r="N243" s="167" t="str">
        <f t="shared" si="131"/>
        <v/>
      </c>
      <c r="O243" s="167" t="str">
        <f t="shared" si="131"/>
        <v/>
      </c>
      <c r="P243" s="167" t="str">
        <f t="shared" si="131"/>
        <v/>
      </c>
      <c r="Q243" s="167" t="str">
        <f t="shared" si="131"/>
        <v/>
      </c>
      <c r="R243" s="167" t="str">
        <f t="shared" si="131"/>
        <v/>
      </c>
      <c r="S243" s="167" t="str">
        <f t="shared" si="131"/>
        <v/>
      </c>
      <c r="T243" s="167" t="str">
        <f t="shared" si="131"/>
        <v/>
      </c>
      <c r="U243" s="167" t="str">
        <f t="shared" si="131"/>
        <v/>
      </c>
      <c r="V243" s="167" t="str">
        <f t="shared" si="131"/>
        <v/>
      </c>
      <c r="W243" s="167" t="str">
        <f t="shared" si="131"/>
        <v/>
      </c>
    </row>
    <row r="244" spans="1:23" s="48" customFormat="1" ht="15" customHeight="1" x14ac:dyDescent="0.2">
      <c r="A244" s="170" t="s">
        <v>4</v>
      </c>
      <c r="B244" s="170"/>
      <c r="C244" s="170"/>
      <c r="D244" s="167">
        <f t="shared" ref="D244:W244" ca="1" si="132">IF(chartType_Fin="Cumulative",D132,D188)</f>
        <v>3.3257202388107546E-2</v>
      </c>
      <c r="E244" s="167">
        <f t="shared" ca="1" si="132"/>
        <v>-9.1598623948273717E-3</v>
      </c>
      <c r="F244" s="167">
        <f t="shared" ca="1" si="132"/>
        <v>0.12715623459832429</v>
      </c>
      <c r="G244" s="167">
        <f t="shared" ca="1" si="132"/>
        <v>6.6111424807076977E-2</v>
      </c>
      <c r="H244" s="167">
        <f t="shared" ca="1" si="132"/>
        <v>0.27132564115483448</v>
      </c>
      <c r="I244" s="167">
        <f t="shared" ca="1" si="132"/>
        <v>0.24277416678191122</v>
      </c>
      <c r="J244" s="167">
        <f t="shared" ca="1" si="132"/>
        <v>-0.80768879554378592</v>
      </c>
      <c r="K244" s="167">
        <f t="shared" ca="1" si="132"/>
        <v>-2.8894726207314609E-2</v>
      </c>
      <c r="L244" s="167">
        <f t="shared" ca="1" si="132"/>
        <v>9.5198350353495678E-2</v>
      </c>
      <c r="M244" s="167" t="str">
        <f t="shared" si="132"/>
        <v/>
      </c>
      <c r="N244" s="167" t="str">
        <f t="shared" si="132"/>
        <v/>
      </c>
      <c r="O244" s="167" t="str">
        <f t="shared" si="132"/>
        <v/>
      </c>
      <c r="P244" s="167" t="str">
        <f t="shared" si="132"/>
        <v/>
      </c>
      <c r="Q244" s="167" t="str">
        <f t="shared" si="132"/>
        <v/>
      </c>
      <c r="R244" s="167" t="str">
        <f t="shared" si="132"/>
        <v/>
      </c>
      <c r="S244" s="167" t="str">
        <f t="shared" si="132"/>
        <v/>
      </c>
      <c r="T244" s="167" t="str">
        <f t="shared" si="132"/>
        <v/>
      </c>
      <c r="U244" s="167" t="str">
        <f t="shared" si="132"/>
        <v/>
      </c>
      <c r="V244" s="167" t="str">
        <f t="shared" si="132"/>
        <v/>
      </c>
      <c r="W244" s="167" t="str">
        <f t="shared" si="132"/>
        <v/>
      </c>
    </row>
    <row r="245" spans="1:23" s="48" customFormat="1" ht="15" customHeight="1" x14ac:dyDescent="0.2">
      <c r="A245" s="169" t="s">
        <v>228</v>
      </c>
      <c r="B245" s="169"/>
      <c r="C245" s="169"/>
      <c r="D245" s="206">
        <f t="shared" ref="D245:W245" ca="1" si="133">IF(chartType_Fin="Cumulative",D133,D189)</f>
        <v>5.7473969057003353E-2</v>
      </c>
      <c r="E245" s="206">
        <f t="shared" ca="1" si="133"/>
        <v>-2.1283235551117215E-2</v>
      </c>
      <c r="F245" s="206">
        <f t="shared" ca="1" si="133"/>
        <v>0.10199841104931859</v>
      </c>
      <c r="G245" s="206">
        <f t="shared" ca="1" si="133"/>
        <v>7.1525792840615221E-2</v>
      </c>
      <c r="H245" s="206">
        <f t="shared" ca="1" si="133"/>
        <v>0.27713845928314884</v>
      </c>
      <c r="I245" s="206">
        <f t="shared" ca="1" si="133"/>
        <v>0.32366659906712636</v>
      </c>
      <c r="J245" s="206">
        <f t="shared" ca="1" si="133"/>
        <v>-1.2310344827586206</v>
      </c>
      <c r="K245" s="206">
        <f t="shared" ca="1" si="133"/>
        <v>9.2130905181103423E-2</v>
      </c>
      <c r="L245" s="206">
        <f t="shared" ca="1" si="133"/>
        <v>-1.2065136935603257E-2</v>
      </c>
      <c r="M245" s="206" t="str">
        <f t="shared" si="133"/>
        <v/>
      </c>
      <c r="N245" s="206" t="str">
        <f t="shared" si="133"/>
        <v/>
      </c>
      <c r="O245" s="206" t="str">
        <f t="shared" si="133"/>
        <v/>
      </c>
      <c r="P245" s="206" t="str">
        <f t="shared" si="133"/>
        <v/>
      </c>
      <c r="Q245" s="206" t="str">
        <f t="shared" si="133"/>
        <v/>
      </c>
      <c r="R245" s="206" t="str">
        <f t="shared" si="133"/>
        <v/>
      </c>
      <c r="S245" s="206" t="str">
        <f t="shared" si="133"/>
        <v/>
      </c>
      <c r="T245" s="206" t="str">
        <f t="shared" si="133"/>
        <v/>
      </c>
      <c r="U245" s="206" t="str">
        <f t="shared" si="133"/>
        <v/>
      </c>
      <c r="V245" s="206" t="str">
        <f t="shared" si="133"/>
        <v/>
      </c>
      <c r="W245" s="206" t="str">
        <f t="shared" si="133"/>
        <v/>
      </c>
    </row>
    <row r="246" spans="1:23" s="48" customFormat="1" ht="15" customHeight="1" x14ac:dyDescent="0.2">
      <c r="D246" s="157"/>
      <c r="E246" s="157"/>
      <c r="F246" s="157"/>
      <c r="G246" s="157"/>
      <c r="H246" s="157"/>
      <c r="I246" s="157"/>
      <c r="J246" s="157"/>
      <c r="K246" s="157"/>
      <c r="L246" s="157"/>
      <c r="M246" s="157"/>
      <c r="N246" s="157"/>
      <c r="O246" s="157"/>
      <c r="P246" s="157"/>
      <c r="Q246" s="157"/>
      <c r="R246" s="157"/>
      <c r="S246" s="157"/>
      <c r="T246" s="157"/>
      <c r="U246" s="157"/>
      <c r="V246" s="157"/>
      <c r="W246" s="157"/>
    </row>
    <row r="247" spans="1:23" s="48" customFormat="1" ht="15" customHeight="1" x14ac:dyDescent="0.2">
      <c r="A247" s="916" t="s">
        <v>229</v>
      </c>
      <c r="B247" s="916"/>
      <c r="C247" s="916"/>
      <c r="D247" s="919"/>
      <c r="E247" s="919"/>
      <c r="F247" s="919"/>
      <c r="G247" s="919"/>
      <c r="H247" s="919"/>
      <c r="I247" s="919"/>
      <c r="J247" s="919"/>
      <c r="K247" s="919"/>
      <c r="L247" s="919"/>
      <c r="M247" s="919"/>
      <c r="N247" s="919"/>
      <c r="O247" s="919"/>
      <c r="P247" s="919"/>
      <c r="Q247" s="919"/>
      <c r="R247" s="919"/>
      <c r="S247" s="919"/>
      <c r="T247" s="919"/>
      <c r="U247" s="919"/>
      <c r="V247" s="919"/>
      <c r="W247" s="919"/>
    </row>
    <row r="248" spans="1:23" s="48" customFormat="1" ht="15" customHeight="1" x14ac:dyDescent="0.2">
      <c r="A248" s="50" t="s">
        <v>30</v>
      </c>
      <c r="B248" s="50"/>
      <c r="C248" s="50"/>
      <c r="D248" s="167" t="str">
        <f t="shared" ref="D248:W248" ca="1" si="134">IF(chartType_Fin="Cumulative",D136,D192)</f>
        <v>NA</v>
      </c>
      <c r="E248" s="167" t="str">
        <f t="shared" ca="1" si="134"/>
        <v>NA</v>
      </c>
      <c r="F248" s="167" t="str">
        <f t="shared" ca="1" si="134"/>
        <v>NA</v>
      </c>
      <c r="G248" s="167" t="str">
        <f t="shared" ca="1" si="134"/>
        <v>NA</v>
      </c>
      <c r="H248" s="167" t="str">
        <f t="shared" ca="1" si="134"/>
        <v>NA</v>
      </c>
      <c r="I248" s="167" t="str">
        <f t="shared" ca="1" si="134"/>
        <v>NA</v>
      </c>
      <c r="J248" s="167" t="str">
        <f t="shared" ca="1" si="134"/>
        <v>NA</v>
      </c>
      <c r="K248" s="167" t="str">
        <f t="shared" ca="1" si="134"/>
        <v>NA</v>
      </c>
      <c r="L248" s="167" t="str">
        <f t="shared" ca="1" si="134"/>
        <v>NA</v>
      </c>
      <c r="M248" s="167" t="str">
        <f t="shared" si="134"/>
        <v/>
      </c>
      <c r="N248" s="167" t="str">
        <f t="shared" si="134"/>
        <v/>
      </c>
      <c r="O248" s="167" t="str">
        <f t="shared" si="134"/>
        <v/>
      </c>
      <c r="P248" s="167" t="str">
        <f t="shared" si="134"/>
        <v/>
      </c>
      <c r="Q248" s="167" t="str">
        <f t="shared" si="134"/>
        <v/>
      </c>
      <c r="R248" s="167" t="str">
        <f t="shared" si="134"/>
        <v/>
      </c>
      <c r="S248" s="167" t="str">
        <f t="shared" si="134"/>
        <v/>
      </c>
      <c r="T248" s="167" t="str">
        <f t="shared" si="134"/>
        <v/>
      </c>
      <c r="U248" s="167" t="str">
        <f t="shared" si="134"/>
        <v/>
      </c>
      <c r="V248" s="167" t="str">
        <f t="shared" si="134"/>
        <v/>
      </c>
      <c r="W248" s="167" t="str">
        <f t="shared" si="134"/>
        <v/>
      </c>
    </row>
    <row r="249" spans="1:23" s="48" customFormat="1" ht="15" customHeight="1" x14ac:dyDescent="0.2">
      <c r="A249" s="50" t="s">
        <v>50</v>
      </c>
      <c r="B249" s="50"/>
      <c r="C249" s="50"/>
      <c r="D249" s="167">
        <f t="shared" ref="D249:W249" ca="1" si="135">IF(chartType_Fin="Cumulative",D137,D193)</f>
        <v>-3.9201932818954094E-2</v>
      </c>
      <c r="E249" s="167">
        <f t="shared" ca="1" si="135"/>
        <v>5.7998053212199871E-3</v>
      </c>
      <c r="F249" s="167">
        <f t="shared" ca="1" si="135"/>
        <v>-0.12746481712972296</v>
      </c>
      <c r="G249" s="167">
        <f t="shared" ca="1" si="135"/>
        <v>-5.2731306035677973E-2</v>
      </c>
      <c r="H249" s="167">
        <f t="shared" ca="1" si="135"/>
        <v>-0.26218470995755477</v>
      </c>
      <c r="I249" s="167">
        <f t="shared" ca="1" si="135"/>
        <v>-0.2422138464590359</v>
      </c>
      <c r="J249" s="167">
        <f t="shared" ca="1" si="135"/>
        <v>0.7553228621291449</v>
      </c>
      <c r="K249" s="167">
        <f t="shared" ca="1" si="135"/>
        <v>2.2270829190693973E-2</v>
      </c>
      <c r="L249" s="167">
        <f t="shared" ca="1" si="135"/>
        <v>-9.0838358296051358E-2</v>
      </c>
      <c r="M249" s="167" t="str">
        <f t="shared" si="135"/>
        <v/>
      </c>
      <c r="N249" s="167" t="str">
        <f t="shared" si="135"/>
        <v/>
      </c>
      <c r="O249" s="167" t="str">
        <f t="shared" si="135"/>
        <v/>
      </c>
      <c r="P249" s="167" t="str">
        <f t="shared" si="135"/>
        <v/>
      </c>
      <c r="Q249" s="167" t="str">
        <f t="shared" si="135"/>
        <v/>
      </c>
      <c r="R249" s="167" t="str">
        <f t="shared" si="135"/>
        <v/>
      </c>
      <c r="S249" s="167" t="str">
        <f t="shared" si="135"/>
        <v/>
      </c>
      <c r="T249" s="167" t="str">
        <f t="shared" si="135"/>
        <v/>
      </c>
      <c r="U249" s="167" t="str">
        <f t="shared" si="135"/>
        <v/>
      </c>
      <c r="V249" s="167" t="str">
        <f t="shared" si="135"/>
        <v/>
      </c>
      <c r="W249" s="167" t="str">
        <f t="shared" si="135"/>
        <v/>
      </c>
    </row>
    <row r="250" spans="1:23" s="48" customFormat="1" ht="15" customHeight="1" x14ac:dyDescent="0.2">
      <c r="A250" s="50" t="s">
        <v>6</v>
      </c>
      <c r="B250" s="50"/>
      <c r="C250" s="50"/>
      <c r="D250" s="167">
        <f t="shared" ref="D250:W250" ca="1" si="136">IF(chartType_Fin="Cumulative",D138,D194)</f>
        <v>-5.7473969057003353E-2</v>
      </c>
      <c r="E250" s="167">
        <f t="shared" ca="1" si="136"/>
        <v>2.1283235551117215E-2</v>
      </c>
      <c r="F250" s="167">
        <f t="shared" ca="1" si="136"/>
        <v>-0.10199841104931859</v>
      </c>
      <c r="G250" s="167">
        <f t="shared" ca="1" si="136"/>
        <v>-7.1525792840615221E-2</v>
      </c>
      <c r="H250" s="167">
        <f t="shared" ca="1" si="136"/>
        <v>-0.27713845928314884</v>
      </c>
      <c r="I250" s="167">
        <f t="shared" ca="1" si="136"/>
        <v>-0.32366659906712636</v>
      </c>
      <c r="J250" s="167">
        <f t="shared" ca="1" si="136"/>
        <v>1.2310344827586206</v>
      </c>
      <c r="K250" s="167">
        <f t="shared" ca="1" si="136"/>
        <v>-9.2130905181103423E-2</v>
      </c>
      <c r="L250" s="167">
        <f t="shared" ca="1" si="136"/>
        <v>1.2065136935603257E-2</v>
      </c>
      <c r="M250" s="167" t="str">
        <f t="shared" si="136"/>
        <v/>
      </c>
      <c r="N250" s="167" t="str">
        <f t="shared" si="136"/>
        <v/>
      </c>
      <c r="O250" s="167" t="str">
        <f t="shared" si="136"/>
        <v/>
      </c>
      <c r="P250" s="167" t="str">
        <f t="shared" si="136"/>
        <v/>
      </c>
      <c r="Q250" s="167" t="str">
        <f t="shared" si="136"/>
        <v/>
      </c>
      <c r="R250" s="167" t="str">
        <f t="shared" si="136"/>
        <v/>
      </c>
      <c r="S250" s="167" t="str">
        <f t="shared" si="136"/>
        <v/>
      </c>
      <c r="T250" s="167" t="str">
        <f t="shared" si="136"/>
        <v/>
      </c>
      <c r="U250" s="167" t="str">
        <f t="shared" si="136"/>
        <v/>
      </c>
      <c r="V250" s="167" t="str">
        <f t="shared" si="136"/>
        <v/>
      </c>
      <c r="W250" s="167" t="str">
        <f t="shared" si="136"/>
        <v/>
      </c>
    </row>
    <row r="251" spans="1:23" s="48" customFormat="1" ht="15" customHeight="1" x14ac:dyDescent="0.2">
      <c r="A251" s="50"/>
      <c r="B251" s="50"/>
      <c r="C251" s="50"/>
      <c r="D251" s="50"/>
      <c r="E251" s="157"/>
      <c r="F251" s="157"/>
      <c r="G251" s="157"/>
      <c r="H251" s="157"/>
      <c r="I251" s="157"/>
      <c r="J251" s="157"/>
      <c r="K251" s="157"/>
      <c r="L251" s="157"/>
      <c r="M251" s="157"/>
      <c r="N251" s="157"/>
      <c r="O251" s="157"/>
      <c r="P251" s="157"/>
      <c r="Q251" s="157"/>
      <c r="R251" s="157"/>
      <c r="S251" s="157"/>
      <c r="T251" s="157"/>
      <c r="U251" s="157"/>
      <c r="V251" s="157"/>
      <c r="W251" s="157"/>
    </row>
    <row r="252" spans="1:23" s="48" customFormat="1" ht="15" customHeight="1" x14ac:dyDescent="0.2">
      <c r="A252" s="916" t="s">
        <v>234</v>
      </c>
      <c r="B252" s="916"/>
      <c r="C252" s="916"/>
      <c r="D252" s="916"/>
      <c r="E252" s="915"/>
      <c r="F252" s="915"/>
      <c r="G252" s="915"/>
      <c r="H252" s="915"/>
      <c r="I252" s="915"/>
      <c r="J252" s="915"/>
      <c r="K252" s="915"/>
      <c r="L252" s="915"/>
      <c r="M252" s="915"/>
      <c r="N252" s="915"/>
      <c r="O252" s="915"/>
      <c r="P252" s="915"/>
      <c r="Q252" s="915"/>
      <c r="R252" s="915"/>
      <c r="S252" s="915"/>
      <c r="T252" s="915"/>
      <c r="U252" s="915"/>
      <c r="V252" s="915"/>
      <c r="W252" s="915"/>
    </row>
    <row r="253" spans="1:23" s="48" customFormat="1" ht="15" customHeight="1" x14ac:dyDescent="0.2">
      <c r="A253" s="48" t="s">
        <v>235</v>
      </c>
      <c r="D253" s="167">
        <f t="shared" ref="D253:W253" ca="1" si="137">IF(chartType_Fin="Cumulative",D141,D197)</f>
        <v>-5.7721791263357754E-2</v>
      </c>
      <c r="E253" s="167">
        <f t="shared" ca="1" si="137"/>
        <v>9.2766856490642795E-3</v>
      </c>
      <c r="F253" s="167">
        <f t="shared" ca="1" si="137"/>
        <v>-0.10066048291045568</v>
      </c>
      <c r="G253" s="167">
        <f t="shared" ca="1" si="137"/>
        <v>-4.4572865666051335E-2</v>
      </c>
      <c r="H253" s="167">
        <f t="shared" ca="1" si="137"/>
        <v>-9.1526420430679642E-2</v>
      </c>
      <c r="I253" s="167">
        <f t="shared" ca="1" si="137"/>
        <v>-1.9418972027433323E-3</v>
      </c>
      <c r="J253" s="167">
        <f t="shared" ca="1" si="137"/>
        <v>-9.0859957689278611E-2</v>
      </c>
      <c r="K253" s="167">
        <f t="shared" ca="1" si="137"/>
        <v>0.17003821656050952</v>
      </c>
      <c r="L253" s="167">
        <f t="shared" ca="1" si="137"/>
        <v>-5.3523212263740232E-2</v>
      </c>
      <c r="M253" s="167" t="str">
        <f t="shared" si="137"/>
        <v/>
      </c>
      <c r="N253" s="167" t="str">
        <f t="shared" si="137"/>
        <v/>
      </c>
      <c r="O253" s="167" t="str">
        <f t="shared" si="137"/>
        <v/>
      </c>
      <c r="P253" s="167" t="str">
        <f t="shared" si="137"/>
        <v/>
      </c>
      <c r="Q253" s="167" t="str">
        <f t="shared" si="137"/>
        <v/>
      </c>
      <c r="R253" s="167" t="str">
        <f t="shared" si="137"/>
        <v/>
      </c>
      <c r="S253" s="167" t="str">
        <f t="shared" si="137"/>
        <v/>
      </c>
      <c r="T253" s="167" t="str">
        <f t="shared" si="137"/>
        <v/>
      </c>
      <c r="U253" s="167" t="str">
        <f t="shared" si="137"/>
        <v/>
      </c>
      <c r="V253" s="167" t="str">
        <f t="shared" si="137"/>
        <v/>
      </c>
      <c r="W253" s="167" t="str">
        <f t="shared" si="137"/>
        <v/>
      </c>
    </row>
    <row r="254" spans="1:23" s="48" customFormat="1" ht="15" customHeight="1" x14ac:dyDescent="0.2">
      <c r="A254" s="48" t="s">
        <v>105</v>
      </c>
      <c r="D254" s="167">
        <f t="shared" ref="D254:W254" ca="1" si="138">IF(chartType_Fin="Cumulative",D142,D198)</f>
        <v>-0.10287064213615857</v>
      </c>
      <c r="E254" s="167">
        <f t="shared" ca="1" si="138"/>
        <v>-6.2639642515162916E-3</v>
      </c>
      <c r="F254" s="167">
        <f t="shared" ca="1" si="138"/>
        <v>-0.10725900349299396</v>
      </c>
      <c r="G254" s="167">
        <f t="shared" ca="1" si="138"/>
        <v>-2.0996829394436759E-2</v>
      </c>
      <c r="H254" s="167">
        <f t="shared" ca="1" si="138"/>
        <v>-0.25103790432330925</v>
      </c>
      <c r="I254" s="167">
        <f t="shared" ca="1" si="138"/>
        <v>-0.31395143792503322</v>
      </c>
      <c r="J254" s="167">
        <f t="shared" ca="1" si="138"/>
        <v>1.1078429181287857</v>
      </c>
      <c r="K254" s="167">
        <f t="shared" ca="1" si="138"/>
        <v>-0.14046147157687136</v>
      </c>
      <c r="L254" s="167">
        <f t="shared" ca="1" si="138"/>
        <v>-4.1536876777221891E-2</v>
      </c>
      <c r="M254" s="167" t="str">
        <f t="shared" si="138"/>
        <v/>
      </c>
      <c r="N254" s="167" t="str">
        <f t="shared" si="138"/>
        <v/>
      </c>
      <c r="O254" s="167" t="str">
        <f t="shared" si="138"/>
        <v/>
      </c>
      <c r="P254" s="167" t="str">
        <f t="shared" si="138"/>
        <v/>
      </c>
      <c r="Q254" s="167" t="str">
        <f t="shared" si="138"/>
        <v/>
      </c>
      <c r="R254" s="167" t="str">
        <f t="shared" si="138"/>
        <v/>
      </c>
      <c r="S254" s="167" t="str">
        <f t="shared" si="138"/>
        <v/>
      </c>
      <c r="T254" s="167" t="str">
        <f t="shared" si="138"/>
        <v/>
      </c>
      <c r="U254" s="167" t="str">
        <f t="shared" si="138"/>
        <v/>
      </c>
      <c r="V254" s="167" t="str">
        <f t="shared" si="138"/>
        <v/>
      </c>
      <c r="W254" s="167" t="str">
        <f t="shared" si="138"/>
        <v/>
      </c>
    </row>
    <row r="255" spans="1:23" s="48" customFormat="1" ht="15" customHeight="1" x14ac:dyDescent="0.2">
      <c r="A255" s="48" t="s">
        <v>107</v>
      </c>
      <c r="D255" s="167">
        <f t="shared" ref="D255:W255" si="139">IF(chartType_Fin="Cumulative",D143,D199)</f>
        <v>-7.2670700628716486E-2</v>
      </c>
      <c r="E255" s="167">
        <f t="shared" si="139"/>
        <v>-4.6553723689840946E-3</v>
      </c>
      <c r="F255" s="167">
        <f t="shared" si="139"/>
        <v>-0.10053898877656456</v>
      </c>
      <c r="G255" s="167">
        <f t="shared" si="139"/>
        <v>-4.946722830507215E-2</v>
      </c>
      <c r="H255" s="167">
        <f t="shared" si="139"/>
        <v>-0.25202169891135962</v>
      </c>
      <c r="I255" s="167">
        <f t="shared" si="139"/>
        <v>-0.34872047377599708</v>
      </c>
      <c r="J255" s="167">
        <f t="shared" si="139"/>
        <v>0.9882452395920811</v>
      </c>
      <c r="K255" s="167">
        <f t="shared" si="139"/>
        <v>-0.14352407745495527</v>
      </c>
      <c r="L255" s="167">
        <f t="shared" si="139"/>
        <v>1.5968833151582717E-2</v>
      </c>
      <c r="M255" s="167" t="str">
        <f t="shared" si="139"/>
        <v/>
      </c>
      <c r="N255" s="167" t="str">
        <f t="shared" si="139"/>
        <v/>
      </c>
      <c r="O255" s="167" t="str">
        <f t="shared" si="139"/>
        <v/>
      </c>
      <c r="P255" s="167" t="str">
        <f t="shared" si="139"/>
        <v/>
      </c>
      <c r="Q255" s="167" t="str">
        <f t="shared" si="139"/>
        <v/>
      </c>
      <c r="R255" s="167" t="str">
        <f t="shared" si="139"/>
        <v/>
      </c>
      <c r="S255" s="167" t="str">
        <f t="shared" si="139"/>
        <v/>
      </c>
      <c r="T255" s="167" t="str">
        <f t="shared" si="139"/>
        <v/>
      </c>
      <c r="U255" s="167" t="str">
        <f t="shared" si="139"/>
        <v/>
      </c>
      <c r="V255" s="167" t="str">
        <f t="shared" si="139"/>
        <v/>
      </c>
      <c r="W255" s="167" t="str">
        <f t="shared" si="139"/>
        <v/>
      </c>
    </row>
    <row r="256" spans="1:23" s="48" customFormat="1" ht="15" customHeight="1" x14ac:dyDescent="0.2">
      <c r="D256" s="157"/>
      <c r="E256" s="157"/>
      <c r="F256" s="157"/>
      <c r="G256" s="157"/>
      <c r="H256" s="157"/>
      <c r="I256" s="157"/>
      <c r="J256" s="157"/>
      <c r="K256" s="157"/>
      <c r="L256" s="157"/>
      <c r="M256" s="157"/>
      <c r="N256" s="157"/>
      <c r="O256" s="157"/>
      <c r="P256" s="157"/>
      <c r="Q256" s="157"/>
      <c r="R256" s="157"/>
      <c r="S256" s="157"/>
      <c r="T256" s="157"/>
      <c r="U256" s="157"/>
      <c r="V256" s="157"/>
      <c r="W256" s="157"/>
    </row>
    <row r="257" spans="1:23" s="48" customFormat="1" ht="15" customHeight="1" x14ac:dyDescent="0.2">
      <c r="A257" s="48" t="s">
        <v>238</v>
      </c>
      <c r="D257" s="167" t="str">
        <f t="shared" ref="D257:W257" ca="1" si="140">IF(chartType_Fin="Cumulative",D145,D201)</f>
        <v>NA</v>
      </c>
      <c r="E257" s="167" t="str">
        <f t="shared" ca="1" si="140"/>
        <v>NA</v>
      </c>
      <c r="F257" s="167" t="str">
        <f t="shared" ca="1" si="140"/>
        <v>NA</v>
      </c>
      <c r="G257" s="167" t="str">
        <f t="shared" ca="1" si="140"/>
        <v>NA</v>
      </c>
      <c r="H257" s="167" t="str">
        <f t="shared" ca="1" si="140"/>
        <v>NA</v>
      </c>
      <c r="I257" s="167" t="str">
        <f t="shared" ca="1" si="140"/>
        <v>NA</v>
      </c>
      <c r="J257" s="167" t="str">
        <f t="shared" ca="1" si="140"/>
        <v>NA</v>
      </c>
      <c r="K257" s="167" t="str">
        <f t="shared" ca="1" si="140"/>
        <v>NA</v>
      </c>
      <c r="L257" s="167" t="str">
        <f t="shared" ca="1" si="140"/>
        <v>NA</v>
      </c>
      <c r="M257" s="167" t="str">
        <f t="shared" si="140"/>
        <v/>
      </c>
      <c r="N257" s="167" t="str">
        <f t="shared" si="140"/>
        <v/>
      </c>
      <c r="O257" s="167" t="str">
        <f t="shared" si="140"/>
        <v/>
      </c>
      <c r="P257" s="167" t="str">
        <f t="shared" si="140"/>
        <v/>
      </c>
      <c r="Q257" s="167" t="str">
        <f t="shared" si="140"/>
        <v/>
      </c>
      <c r="R257" s="167" t="str">
        <f t="shared" si="140"/>
        <v/>
      </c>
      <c r="S257" s="167" t="str">
        <f t="shared" si="140"/>
        <v/>
      </c>
      <c r="T257" s="167" t="str">
        <f t="shared" si="140"/>
        <v/>
      </c>
      <c r="U257" s="167" t="str">
        <f t="shared" si="140"/>
        <v/>
      </c>
      <c r="V257" s="167" t="str">
        <f t="shared" si="140"/>
        <v/>
      </c>
      <c r="W257" s="167" t="str">
        <f t="shared" si="140"/>
        <v/>
      </c>
    </row>
    <row r="258" spans="1:23" s="48" customFormat="1" ht="15" customHeight="1" x14ac:dyDescent="0.2">
      <c r="A258" s="48" t="s">
        <v>239</v>
      </c>
      <c r="D258" s="167" t="str">
        <f t="shared" ref="D258:W258" ca="1" si="141">IF(chartType_Fin="Cumulative",D146,D202)</f>
        <v>NA</v>
      </c>
      <c r="E258" s="167" t="str">
        <f t="shared" ca="1" si="141"/>
        <v>NA</v>
      </c>
      <c r="F258" s="167" t="str">
        <f t="shared" ca="1" si="141"/>
        <v>NA</v>
      </c>
      <c r="G258" s="167" t="str">
        <f t="shared" ca="1" si="141"/>
        <v>NA</v>
      </c>
      <c r="H258" s="167" t="str">
        <f t="shared" ca="1" si="141"/>
        <v>NA</v>
      </c>
      <c r="I258" s="167" t="str">
        <f t="shared" ca="1" si="141"/>
        <v>NA</v>
      </c>
      <c r="J258" s="167" t="str">
        <f t="shared" ca="1" si="141"/>
        <v>NA</v>
      </c>
      <c r="K258" s="167" t="str">
        <f t="shared" ca="1" si="141"/>
        <v>NA</v>
      </c>
      <c r="L258" s="167" t="str">
        <f t="shared" ca="1" si="141"/>
        <v>NA</v>
      </c>
      <c r="M258" s="167" t="str">
        <f t="shared" si="141"/>
        <v/>
      </c>
      <c r="N258" s="167" t="str">
        <f t="shared" si="141"/>
        <v/>
      </c>
      <c r="O258" s="167" t="str">
        <f t="shared" si="141"/>
        <v/>
      </c>
      <c r="P258" s="167" t="str">
        <f t="shared" si="141"/>
        <v/>
      </c>
      <c r="Q258" s="167" t="str">
        <f t="shared" si="141"/>
        <v/>
      </c>
      <c r="R258" s="167" t="str">
        <f t="shared" si="141"/>
        <v/>
      </c>
      <c r="S258" s="167" t="str">
        <f t="shared" si="141"/>
        <v/>
      </c>
      <c r="T258" s="167" t="str">
        <f t="shared" si="141"/>
        <v/>
      </c>
      <c r="U258" s="167" t="str">
        <f t="shared" si="141"/>
        <v/>
      </c>
      <c r="V258" s="167" t="str">
        <f t="shared" si="141"/>
        <v/>
      </c>
      <c r="W258" s="167" t="str">
        <f t="shared" si="141"/>
        <v/>
      </c>
    </row>
    <row r="259" spans="1:23" s="48" customFormat="1" ht="15" customHeight="1" x14ac:dyDescent="0.2">
      <c r="A259" s="48" t="s">
        <v>232</v>
      </c>
      <c r="D259" s="167" t="str">
        <f t="shared" ref="D259:W259" ca="1" si="142">IF(chartType_Fin="Cumulative",D147,D203)</f>
        <v>NA</v>
      </c>
      <c r="E259" s="167" t="str">
        <f t="shared" ca="1" si="142"/>
        <v>NA</v>
      </c>
      <c r="F259" s="167" t="str">
        <f t="shared" ca="1" si="142"/>
        <v>NA</v>
      </c>
      <c r="G259" s="167" t="str">
        <f t="shared" ca="1" si="142"/>
        <v>NA</v>
      </c>
      <c r="H259" s="167" t="str">
        <f t="shared" ca="1" si="142"/>
        <v>NA</v>
      </c>
      <c r="I259" s="167" t="str">
        <f t="shared" ca="1" si="142"/>
        <v>NA</v>
      </c>
      <c r="J259" s="167" t="str">
        <f t="shared" ca="1" si="142"/>
        <v>NA</v>
      </c>
      <c r="K259" s="167" t="str">
        <f t="shared" ca="1" si="142"/>
        <v>NA</v>
      </c>
      <c r="L259" s="167" t="str">
        <f t="shared" ca="1" si="142"/>
        <v>NA</v>
      </c>
      <c r="M259" s="167" t="str">
        <f t="shared" si="142"/>
        <v/>
      </c>
      <c r="N259" s="167" t="str">
        <f t="shared" si="142"/>
        <v/>
      </c>
      <c r="O259" s="167" t="str">
        <f t="shared" si="142"/>
        <v/>
      </c>
      <c r="P259" s="167" t="str">
        <f t="shared" si="142"/>
        <v/>
      </c>
      <c r="Q259" s="167" t="str">
        <f t="shared" si="142"/>
        <v/>
      </c>
      <c r="R259" s="167" t="str">
        <f t="shared" si="142"/>
        <v/>
      </c>
      <c r="S259" s="167" t="str">
        <f t="shared" si="142"/>
        <v/>
      </c>
      <c r="T259" s="167" t="str">
        <f t="shared" si="142"/>
        <v/>
      </c>
      <c r="U259" s="167" t="str">
        <f t="shared" si="142"/>
        <v/>
      </c>
      <c r="V259" s="167" t="str">
        <f t="shared" si="142"/>
        <v/>
      </c>
      <c r="W259" s="167" t="str">
        <f t="shared" si="142"/>
        <v/>
      </c>
    </row>
    <row r="260" spans="1:23" s="48" customFormat="1" ht="15" customHeight="1" x14ac:dyDescent="0.2">
      <c r="A260" s="48" t="s">
        <v>240</v>
      </c>
      <c r="D260" s="167" t="str">
        <f t="shared" ref="D260:W260" ca="1" si="143">IF(chartType_Fin="Cumulative",D148,D204)</f>
        <v>NA</v>
      </c>
      <c r="E260" s="167" t="str">
        <f t="shared" ca="1" si="143"/>
        <v>NA</v>
      </c>
      <c r="F260" s="167" t="str">
        <f t="shared" ca="1" si="143"/>
        <v>NA</v>
      </c>
      <c r="G260" s="167" t="str">
        <f t="shared" ca="1" si="143"/>
        <v>NA</v>
      </c>
      <c r="H260" s="167" t="str">
        <f t="shared" ca="1" si="143"/>
        <v>NA</v>
      </c>
      <c r="I260" s="167" t="str">
        <f t="shared" ca="1" si="143"/>
        <v>NA</v>
      </c>
      <c r="J260" s="167" t="str">
        <f t="shared" ca="1" si="143"/>
        <v>NA</v>
      </c>
      <c r="K260" s="167" t="str">
        <f t="shared" ca="1" si="143"/>
        <v>NA</v>
      </c>
      <c r="L260" s="167" t="str">
        <f t="shared" ca="1" si="143"/>
        <v>NA</v>
      </c>
      <c r="M260" s="167" t="str">
        <f t="shared" si="143"/>
        <v/>
      </c>
      <c r="N260" s="167" t="str">
        <f t="shared" si="143"/>
        <v/>
      </c>
      <c r="O260" s="167" t="str">
        <f t="shared" si="143"/>
        <v/>
      </c>
      <c r="P260" s="167" t="str">
        <f t="shared" si="143"/>
        <v/>
      </c>
      <c r="Q260" s="167" t="str">
        <f t="shared" si="143"/>
        <v/>
      </c>
      <c r="R260" s="167" t="str">
        <f t="shared" si="143"/>
        <v/>
      </c>
      <c r="S260" s="167" t="str">
        <f t="shared" si="143"/>
        <v/>
      </c>
      <c r="T260" s="167" t="str">
        <f t="shared" si="143"/>
        <v/>
      </c>
      <c r="U260" s="167" t="str">
        <f t="shared" si="143"/>
        <v/>
      </c>
      <c r="V260" s="167" t="str">
        <f t="shared" si="143"/>
        <v/>
      </c>
      <c r="W260" s="167" t="str">
        <f t="shared" si="143"/>
        <v/>
      </c>
    </row>
    <row r="261" spans="1:23" s="48" customFormat="1" ht="15" customHeight="1" x14ac:dyDescent="0.2">
      <c r="D261" s="157"/>
      <c r="E261" s="157"/>
      <c r="F261" s="157"/>
      <c r="G261" s="157"/>
      <c r="H261" s="157"/>
      <c r="I261" s="157"/>
      <c r="J261" s="157"/>
      <c r="K261" s="157"/>
      <c r="L261" s="157"/>
      <c r="M261" s="157"/>
      <c r="N261" s="157"/>
      <c r="O261" s="157"/>
      <c r="P261" s="157"/>
      <c r="Q261" s="157"/>
      <c r="R261" s="157"/>
      <c r="S261" s="157"/>
      <c r="T261" s="157"/>
      <c r="U261" s="157"/>
      <c r="V261" s="157"/>
      <c r="W261" s="157"/>
    </row>
    <row r="262" spans="1:23" s="48" customFormat="1" ht="15" customHeight="1" x14ac:dyDescent="0.2">
      <c r="A262" s="48" t="s">
        <v>241</v>
      </c>
      <c r="D262" s="167" t="str">
        <f t="shared" ref="D262:W262" ca="1" si="144">IF(chartType_Fin="Cumulative",D150,D206)</f>
        <v>NA</v>
      </c>
      <c r="E262" s="167" t="str">
        <f t="shared" ca="1" si="144"/>
        <v>NA</v>
      </c>
      <c r="F262" s="167" t="str">
        <f t="shared" ca="1" si="144"/>
        <v>NA</v>
      </c>
      <c r="G262" s="167" t="str">
        <f t="shared" ca="1" si="144"/>
        <v>NA</v>
      </c>
      <c r="H262" s="167" t="str">
        <f t="shared" ca="1" si="144"/>
        <v>NA</v>
      </c>
      <c r="I262" s="167" t="str">
        <f t="shared" ca="1" si="144"/>
        <v>NA</v>
      </c>
      <c r="J262" s="167" t="str">
        <f t="shared" ca="1" si="144"/>
        <v>NA</v>
      </c>
      <c r="K262" s="167" t="str">
        <f t="shared" ca="1" si="144"/>
        <v>NA</v>
      </c>
      <c r="L262" s="167" t="str">
        <f t="shared" ca="1" si="144"/>
        <v>NA</v>
      </c>
      <c r="M262" s="167" t="str">
        <f t="shared" si="144"/>
        <v/>
      </c>
      <c r="N262" s="167" t="str">
        <f t="shared" si="144"/>
        <v/>
      </c>
      <c r="O262" s="167" t="str">
        <f t="shared" si="144"/>
        <v/>
      </c>
      <c r="P262" s="167" t="str">
        <f t="shared" si="144"/>
        <v/>
      </c>
      <c r="Q262" s="167" t="str">
        <f t="shared" si="144"/>
        <v/>
      </c>
      <c r="R262" s="167" t="str">
        <f t="shared" si="144"/>
        <v/>
      </c>
      <c r="S262" s="167" t="str">
        <f t="shared" si="144"/>
        <v/>
      </c>
      <c r="T262" s="167" t="str">
        <f t="shared" si="144"/>
        <v/>
      </c>
      <c r="U262" s="167" t="str">
        <f t="shared" si="144"/>
        <v/>
      </c>
      <c r="V262" s="167" t="str">
        <f t="shared" si="144"/>
        <v/>
      </c>
      <c r="W262" s="167" t="str">
        <f t="shared" si="144"/>
        <v/>
      </c>
    </row>
    <row r="263" spans="1:23" s="48" customFormat="1" ht="15" customHeight="1" x14ac:dyDescent="0.2">
      <c r="A263" s="48" t="s">
        <v>242</v>
      </c>
      <c r="D263" s="167" t="str">
        <f t="shared" ref="D263:W263" ca="1" si="145">IF(chartType_Fin="Cumulative",D151,D207)</f>
        <v>NA</v>
      </c>
      <c r="E263" s="167" t="str">
        <f t="shared" ca="1" si="145"/>
        <v>NA</v>
      </c>
      <c r="F263" s="167" t="str">
        <f t="shared" ca="1" si="145"/>
        <v>NA</v>
      </c>
      <c r="G263" s="167" t="str">
        <f t="shared" ca="1" si="145"/>
        <v>NA</v>
      </c>
      <c r="H263" s="167" t="str">
        <f t="shared" ca="1" si="145"/>
        <v>NA</v>
      </c>
      <c r="I263" s="167" t="str">
        <f t="shared" ca="1" si="145"/>
        <v>NA</v>
      </c>
      <c r="J263" s="167" t="str">
        <f t="shared" ca="1" si="145"/>
        <v>NA</v>
      </c>
      <c r="K263" s="167" t="str">
        <f t="shared" ca="1" si="145"/>
        <v>NA</v>
      </c>
      <c r="L263" s="167" t="str">
        <f t="shared" ca="1" si="145"/>
        <v>NA</v>
      </c>
      <c r="M263" s="167" t="str">
        <f t="shared" si="145"/>
        <v/>
      </c>
      <c r="N263" s="167" t="str">
        <f t="shared" si="145"/>
        <v/>
      </c>
      <c r="O263" s="167" t="str">
        <f t="shared" si="145"/>
        <v/>
      </c>
      <c r="P263" s="167" t="str">
        <f t="shared" si="145"/>
        <v/>
      </c>
      <c r="Q263" s="167" t="str">
        <f t="shared" si="145"/>
        <v/>
      </c>
      <c r="R263" s="167" t="str">
        <f t="shared" si="145"/>
        <v/>
      </c>
      <c r="S263" s="167" t="str">
        <f t="shared" si="145"/>
        <v/>
      </c>
      <c r="T263" s="167" t="str">
        <f t="shared" si="145"/>
        <v/>
      </c>
      <c r="U263" s="167" t="str">
        <f t="shared" si="145"/>
        <v/>
      </c>
      <c r="V263" s="167" t="str">
        <f t="shared" si="145"/>
        <v/>
      </c>
      <c r="W263" s="167" t="str">
        <f t="shared" si="145"/>
        <v/>
      </c>
    </row>
    <row r="264" spans="1:23" s="48" customFormat="1" ht="15" customHeight="1" x14ac:dyDescent="0.2">
      <c r="A264" s="48" t="s">
        <v>243</v>
      </c>
      <c r="D264" s="167" t="str">
        <f t="shared" ref="D264:W264" ca="1" si="146">IF(chartType_Fin="Cumulative",D152,D208)</f>
        <v>NA</v>
      </c>
      <c r="E264" s="167" t="str">
        <f t="shared" ca="1" si="146"/>
        <v>NA</v>
      </c>
      <c r="F264" s="167" t="str">
        <f t="shared" ca="1" si="146"/>
        <v>NA</v>
      </c>
      <c r="G264" s="167" t="str">
        <f t="shared" ca="1" si="146"/>
        <v>NA</v>
      </c>
      <c r="H264" s="167" t="str">
        <f t="shared" ca="1" si="146"/>
        <v>NA</v>
      </c>
      <c r="I264" s="167" t="str">
        <f t="shared" ca="1" si="146"/>
        <v>NA</v>
      </c>
      <c r="J264" s="167" t="str">
        <f t="shared" ca="1" si="146"/>
        <v>NA</v>
      </c>
      <c r="K264" s="167" t="str">
        <f t="shared" ca="1" si="146"/>
        <v>NA</v>
      </c>
      <c r="L264" s="167" t="str">
        <f t="shared" ca="1" si="146"/>
        <v>NA</v>
      </c>
      <c r="M264" s="167" t="str">
        <f t="shared" si="146"/>
        <v/>
      </c>
      <c r="N264" s="167" t="str">
        <f t="shared" si="146"/>
        <v/>
      </c>
      <c r="O264" s="167" t="str">
        <f t="shared" si="146"/>
        <v/>
      </c>
      <c r="P264" s="167" t="str">
        <f t="shared" si="146"/>
        <v/>
      </c>
      <c r="Q264" s="167" t="str">
        <f t="shared" si="146"/>
        <v/>
      </c>
      <c r="R264" s="167" t="str">
        <f t="shared" si="146"/>
        <v/>
      </c>
      <c r="S264" s="167" t="str">
        <f t="shared" si="146"/>
        <v/>
      </c>
      <c r="T264" s="167" t="str">
        <f t="shared" si="146"/>
        <v/>
      </c>
      <c r="U264" s="167" t="str">
        <f t="shared" si="146"/>
        <v/>
      </c>
      <c r="V264" s="167" t="str">
        <f t="shared" si="146"/>
        <v/>
      </c>
      <c r="W264" s="167" t="str">
        <f t="shared" si="146"/>
        <v/>
      </c>
    </row>
    <row r="265" spans="1:23" s="48" customFormat="1" ht="15" customHeight="1" x14ac:dyDescent="0.2"/>
    <row r="266" spans="1:23" s="48" customFormat="1" ht="15" customHeight="1" x14ac:dyDescent="0.2">
      <c r="A266" s="48" t="s">
        <v>244</v>
      </c>
      <c r="D266" s="167" t="str">
        <f t="shared" ref="D266:W267" ca="1" si="147">IF(chartType_Fin="Cumulative",D154,D210)</f>
        <v>NA</v>
      </c>
      <c r="E266" s="167" t="str">
        <f t="shared" ca="1" si="147"/>
        <v>NA</v>
      </c>
      <c r="F266" s="167" t="str">
        <f t="shared" ca="1" si="147"/>
        <v>NA</v>
      </c>
      <c r="G266" s="167" t="str">
        <f t="shared" ca="1" si="147"/>
        <v>NA</v>
      </c>
      <c r="H266" s="167" t="str">
        <f t="shared" ca="1" si="147"/>
        <v>NA</v>
      </c>
      <c r="I266" s="167" t="str">
        <f t="shared" ca="1" si="147"/>
        <v>NA</v>
      </c>
      <c r="J266" s="167" t="str">
        <f t="shared" ca="1" si="147"/>
        <v>NA</v>
      </c>
      <c r="K266" s="167" t="str">
        <f t="shared" ca="1" si="147"/>
        <v>NA</v>
      </c>
      <c r="L266" s="167" t="str">
        <f t="shared" ca="1" si="147"/>
        <v>NA</v>
      </c>
      <c r="M266" s="167" t="str">
        <f t="shared" si="147"/>
        <v/>
      </c>
      <c r="N266" s="167" t="str">
        <f t="shared" si="147"/>
        <v/>
      </c>
      <c r="O266" s="167" t="str">
        <f t="shared" si="147"/>
        <v/>
      </c>
      <c r="P266" s="167" t="str">
        <f t="shared" si="147"/>
        <v/>
      </c>
      <c r="Q266" s="167" t="str">
        <f t="shared" si="147"/>
        <v/>
      </c>
      <c r="R266" s="167" t="str">
        <f t="shared" si="147"/>
        <v/>
      </c>
      <c r="S266" s="167" t="str">
        <f t="shared" si="147"/>
        <v/>
      </c>
      <c r="T266" s="167" t="str">
        <f t="shared" si="147"/>
        <v/>
      </c>
      <c r="U266" s="167" t="str">
        <f t="shared" si="147"/>
        <v/>
      </c>
      <c r="V266" s="167" t="str">
        <f t="shared" si="147"/>
        <v/>
      </c>
      <c r="W266" s="167" t="str">
        <f t="shared" si="147"/>
        <v/>
      </c>
    </row>
    <row r="267" spans="1:23" s="48" customFormat="1" ht="15" customHeight="1" x14ac:dyDescent="0.2">
      <c r="A267" s="48" t="s">
        <v>946</v>
      </c>
      <c r="D267" s="167" t="str">
        <f t="shared" ca="1" si="147"/>
        <v>NA</v>
      </c>
      <c r="E267" s="167" t="str">
        <f t="shared" ca="1" si="147"/>
        <v>NA</v>
      </c>
      <c r="F267" s="167" t="str">
        <f t="shared" ca="1" si="147"/>
        <v>NA</v>
      </c>
      <c r="G267" s="167" t="str">
        <f t="shared" ca="1" si="147"/>
        <v>NA</v>
      </c>
      <c r="H267" s="167" t="str">
        <f t="shared" ca="1" si="147"/>
        <v>NA</v>
      </c>
      <c r="I267" s="167" t="str">
        <f t="shared" ca="1" si="147"/>
        <v>NA</v>
      </c>
      <c r="J267" s="167" t="str">
        <f t="shared" ca="1" si="147"/>
        <v>NA</v>
      </c>
      <c r="K267" s="167" t="str">
        <f t="shared" ca="1" si="147"/>
        <v>NA</v>
      </c>
      <c r="L267" s="167" t="str">
        <f t="shared" ca="1" si="147"/>
        <v>NA</v>
      </c>
      <c r="M267" s="167" t="str">
        <f t="shared" si="147"/>
        <v/>
      </c>
      <c r="N267" s="167" t="str">
        <f t="shared" si="147"/>
        <v/>
      </c>
      <c r="O267" s="167" t="str">
        <f t="shared" si="147"/>
        <v/>
      </c>
      <c r="P267" s="167" t="str">
        <f t="shared" si="147"/>
        <v/>
      </c>
      <c r="Q267" s="167" t="str">
        <f t="shared" si="147"/>
        <v/>
      </c>
      <c r="R267" s="167" t="str">
        <f t="shared" si="147"/>
        <v/>
      </c>
      <c r="S267" s="167" t="str">
        <f t="shared" si="147"/>
        <v/>
      </c>
      <c r="T267" s="167" t="str">
        <f t="shared" si="147"/>
        <v/>
      </c>
      <c r="U267" s="167" t="str">
        <f t="shared" si="147"/>
        <v/>
      </c>
      <c r="V267" s="167" t="str">
        <f t="shared" si="147"/>
        <v/>
      </c>
      <c r="W267" s="167" t="str">
        <f t="shared" si="147"/>
        <v/>
      </c>
    </row>
    <row r="268" spans="1:23" s="48" customFormat="1" ht="15" customHeight="1" x14ac:dyDescent="0.2">
      <c r="A268" s="48" t="s">
        <v>22</v>
      </c>
      <c r="D268" s="167">
        <f t="shared" ref="D268:W268" ca="1" si="148">IF(chartType_Fin="Cumulative",D156,D212)</f>
        <v>8.1041825656680035E-3</v>
      </c>
      <c r="E268" s="167">
        <f t="shared" ca="1" si="148"/>
        <v>-6.1587000796088911E-3</v>
      </c>
      <c r="F268" s="167">
        <f t="shared" ca="1" si="148"/>
        <v>-1.9209789178829425E-2</v>
      </c>
      <c r="G268" s="167">
        <f t="shared" ca="1" si="148"/>
        <v>-3.787935725344597E-3</v>
      </c>
      <c r="H268" s="167">
        <f t="shared" ca="1" si="148"/>
        <v>2.865333836288193E-2</v>
      </c>
      <c r="I268" s="167">
        <f t="shared" ca="1" si="148"/>
        <v>7.2231838139662233E-2</v>
      </c>
      <c r="J268" s="167">
        <f t="shared" ca="1" si="148"/>
        <v>7.843316081078E-2</v>
      </c>
      <c r="K268" s="167">
        <f t="shared" ca="1" si="148"/>
        <v>6.7658935706885984E-2</v>
      </c>
      <c r="L268" s="167">
        <f t="shared" ca="1" si="148"/>
        <v>-3.0242063240605792E-2</v>
      </c>
      <c r="M268" s="167" t="str">
        <f t="shared" si="148"/>
        <v/>
      </c>
      <c r="N268" s="167" t="str">
        <f t="shared" si="148"/>
        <v/>
      </c>
      <c r="O268" s="167" t="str">
        <f t="shared" si="148"/>
        <v/>
      </c>
      <c r="P268" s="167" t="str">
        <f t="shared" si="148"/>
        <v/>
      </c>
      <c r="Q268" s="167" t="str">
        <f t="shared" si="148"/>
        <v/>
      </c>
      <c r="R268" s="167" t="str">
        <f t="shared" si="148"/>
        <v/>
      </c>
      <c r="S268" s="167" t="str">
        <f t="shared" si="148"/>
        <v/>
      </c>
      <c r="T268" s="167" t="str">
        <f t="shared" si="148"/>
        <v/>
      </c>
      <c r="U268" s="167" t="str">
        <f t="shared" si="148"/>
        <v/>
      </c>
      <c r="V268" s="167" t="str">
        <f t="shared" si="148"/>
        <v/>
      </c>
      <c r="W268" s="167" t="str">
        <f t="shared" si="148"/>
        <v/>
      </c>
    </row>
    <row r="269" spans="1:23" s="48" customFormat="1" ht="15" customHeight="1" x14ac:dyDescent="0.2">
      <c r="A269" s="48" t="s">
        <v>245</v>
      </c>
      <c r="D269" s="167" t="str">
        <f t="shared" ref="D269:W269" ca="1" si="149">IF(chartType_Fin="Cumulative",D157,D213)</f>
        <v>NA</v>
      </c>
      <c r="E269" s="167" t="str">
        <f t="shared" ca="1" si="149"/>
        <v>NA</v>
      </c>
      <c r="F269" s="167" t="str">
        <f t="shared" ca="1" si="149"/>
        <v>NA</v>
      </c>
      <c r="G269" s="167" t="str">
        <f t="shared" ca="1" si="149"/>
        <v>NA</v>
      </c>
      <c r="H269" s="167" t="str">
        <f t="shared" ca="1" si="149"/>
        <v>NA</v>
      </c>
      <c r="I269" s="167" t="str">
        <f t="shared" ca="1" si="149"/>
        <v>NA</v>
      </c>
      <c r="J269" s="167" t="str">
        <f t="shared" ca="1" si="149"/>
        <v>NA</v>
      </c>
      <c r="K269" s="167" t="str">
        <f t="shared" ca="1" si="149"/>
        <v>NA</v>
      </c>
      <c r="L269" s="167" t="str">
        <f t="shared" ca="1" si="149"/>
        <v>NA</v>
      </c>
      <c r="M269" s="167" t="str">
        <f t="shared" si="149"/>
        <v/>
      </c>
      <c r="N269" s="167" t="str">
        <f t="shared" si="149"/>
        <v/>
      </c>
      <c r="O269" s="167" t="str">
        <f t="shared" si="149"/>
        <v/>
      </c>
      <c r="P269" s="167" t="str">
        <f t="shared" si="149"/>
        <v/>
      </c>
      <c r="Q269" s="167" t="str">
        <f t="shared" si="149"/>
        <v/>
      </c>
      <c r="R269" s="167" t="str">
        <f t="shared" si="149"/>
        <v/>
      </c>
      <c r="S269" s="167" t="str">
        <f t="shared" si="149"/>
        <v/>
      </c>
      <c r="T269" s="167" t="str">
        <f t="shared" si="149"/>
        <v/>
      </c>
      <c r="U269" s="167" t="str">
        <f t="shared" si="149"/>
        <v/>
      </c>
      <c r="V269" s="167" t="str">
        <f t="shared" si="149"/>
        <v/>
      </c>
      <c r="W269" s="167" t="str">
        <f t="shared" si="149"/>
        <v/>
      </c>
    </row>
    <row r="270" spans="1:23" s="48" customFormat="1" ht="15" customHeight="1" x14ac:dyDescent="0.2">
      <c r="A270" s="48" t="s">
        <v>246</v>
      </c>
      <c r="D270" s="167" t="str">
        <f t="shared" ref="D270:W271" ca="1" si="150">IF(chartType_Fin="Cumulative",D158,D214)</f>
        <v>NA</v>
      </c>
      <c r="E270" s="167" t="str">
        <f t="shared" ca="1" si="150"/>
        <v>NA</v>
      </c>
      <c r="F270" s="167" t="str">
        <f t="shared" ca="1" si="150"/>
        <v>NA</v>
      </c>
      <c r="G270" s="167" t="str">
        <f t="shared" ca="1" si="150"/>
        <v>NA</v>
      </c>
      <c r="H270" s="167" t="str">
        <f t="shared" ca="1" si="150"/>
        <v>NA</v>
      </c>
      <c r="I270" s="167" t="str">
        <f t="shared" ca="1" si="150"/>
        <v>NA</v>
      </c>
      <c r="J270" s="167" t="str">
        <f t="shared" ca="1" si="150"/>
        <v>NA</v>
      </c>
      <c r="K270" s="167" t="str">
        <f t="shared" ca="1" si="150"/>
        <v>NA</v>
      </c>
      <c r="L270" s="167" t="str">
        <f t="shared" ca="1" si="150"/>
        <v>NA</v>
      </c>
      <c r="M270" s="167" t="str">
        <f t="shared" si="150"/>
        <v/>
      </c>
      <c r="N270" s="167" t="str">
        <f t="shared" si="150"/>
        <v/>
      </c>
      <c r="O270" s="167" t="str">
        <f t="shared" si="150"/>
        <v/>
      </c>
      <c r="P270" s="167" t="str">
        <f t="shared" si="150"/>
        <v/>
      </c>
      <c r="Q270" s="167" t="str">
        <f t="shared" si="150"/>
        <v/>
      </c>
      <c r="R270" s="167" t="str">
        <f t="shared" si="150"/>
        <v/>
      </c>
      <c r="S270" s="167" t="str">
        <f t="shared" si="150"/>
        <v/>
      </c>
      <c r="T270" s="167" t="str">
        <f t="shared" si="150"/>
        <v/>
      </c>
      <c r="U270" s="167" t="str">
        <f t="shared" si="150"/>
        <v/>
      </c>
      <c r="V270" s="167" t="str">
        <f t="shared" si="150"/>
        <v/>
      </c>
      <c r="W270" s="167" t="str">
        <f t="shared" si="150"/>
        <v/>
      </c>
    </row>
    <row r="271" spans="1:23" s="48" customFormat="1" ht="15" customHeight="1" x14ac:dyDescent="0.2">
      <c r="A271" s="48" t="s">
        <v>1096</v>
      </c>
      <c r="D271" s="167" t="str">
        <f t="shared" ca="1" si="150"/>
        <v>NA</v>
      </c>
      <c r="E271" s="167" t="str">
        <f t="shared" ca="1" si="150"/>
        <v>NA</v>
      </c>
      <c r="F271" s="167" t="str">
        <f t="shared" ca="1" si="150"/>
        <v>NA</v>
      </c>
      <c r="G271" s="167" t="str">
        <f t="shared" ca="1" si="150"/>
        <v>NA</v>
      </c>
      <c r="H271" s="167" t="str">
        <f t="shared" ca="1" si="150"/>
        <v>NA</v>
      </c>
      <c r="I271" s="167" t="str">
        <f t="shared" ca="1" si="150"/>
        <v>NA</v>
      </c>
      <c r="J271" s="167" t="str">
        <f t="shared" ca="1" si="150"/>
        <v>NA</v>
      </c>
      <c r="K271" s="167" t="str">
        <f t="shared" ca="1" si="150"/>
        <v>NA</v>
      </c>
      <c r="L271" s="167" t="str">
        <f t="shared" ca="1" si="150"/>
        <v>NA</v>
      </c>
      <c r="M271" s="167" t="str">
        <f t="shared" si="150"/>
        <v/>
      </c>
      <c r="N271" s="167" t="str">
        <f t="shared" si="150"/>
        <v/>
      </c>
      <c r="O271" s="167" t="str">
        <f t="shared" si="150"/>
        <v/>
      </c>
      <c r="P271" s="167" t="str">
        <f t="shared" si="150"/>
        <v/>
      </c>
      <c r="Q271" s="167" t="str">
        <f t="shared" si="150"/>
        <v/>
      </c>
      <c r="R271" s="167" t="str">
        <f t="shared" si="150"/>
        <v/>
      </c>
      <c r="S271" s="167" t="str">
        <f t="shared" si="150"/>
        <v/>
      </c>
      <c r="T271" s="167" t="str">
        <f t="shared" si="150"/>
        <v/>
      </c>
      <c r="U271" s="167" t="str">
        <f t="shared" si="150"/>
        <v/>
      </c>
      <c r="V271" s="167" t="str">
        <f t="shared" si="150"/>
        <v/>
      </c>
      <c r="W271" s="167" t="str">
        <f t="shared" si="150"/>
        <v/>
      </c>
    </row>
    <row r="272" spans="1:23" s="48" customFormat="1" ht="15" customHeight="1" x14ac:dyDescent="0.2"/>
    <row r="273" spans="1:23" s="48" customFormat="1" ht="15" customHeight="1" x14ac:dyDescent="0.2">
      <c r="A273" s="48" t="s">
        <v>247</v>
      </c>
      <c r="D273" s="167" t="str">
        <f t="shared" ref="D273:W273" ca="1" si="151">IF(chartType_Fin="Cumulative",D161,D217)</f>
        <v>NA</v>
      </c>
      <c r="E273" s="167" t="str">
        <f t="shared" ca="1" si="151"/>
        <v>NA</v>
      </c>
      <c r="F273" s="167" t="str">
        <f t="shared" ca="1" si="151"/>
        <v>NA</v>
      </c>
      <c r="G273" s="167" t="str">
        <f t="shared" ca="1" si="151"/>
        <v>NA</v>
      </c>
      <c r="H273" s="167" t="str">
        <f t="shared" ca="1" si="151"/>
        <v>NA</v>
      </c>
      <c r="I273" s="167" t="str">
        <f t="shared" ca="1" si="151"/>
        <v>NA</v>
      </c>
      <c r="J273" s="167" t="str">
        <f t="shared" ca="1" si="151"/>
        <v>NA</v>
      </c>
      <c r="K273" s="167" t="str">
        <f t="shared" ca="1" si="151"/>
        <v>NA</v>
      </c>
      <c r="L273" s="167" t="str">
        <f t="shared" ca="1" si="151"/>
        <v>NA</v>
      </c>
      <c r="M273" s="167" t="str">
        <f t="shared" si="151"/>
        <v/>
      </c>
      <c r="N273" s="167" t="str">
        <f t="shared" si="151"/>
        <v/>
      </c>
      <c r="O273" s="167" t="str">
        <f t="shared" si="151"/>
        <v/>
      </c>
      <c r="P273" s="167" t="str">
        <f t="shared" si="151"/>
        <v/>
      </c>
      <c r="Q273" s="167" t="str">
        <f t="shared" si="151"/>
        <v/>
      </c>
      <c r="R273" s="167" t="str">
        <f t="shared" si="151"/>
        <v/>
      </c>
      <c r="S273" s="167" t="str">
        <f t="shared" si="151"/>
        <v/>
      </c>
      <c r="T273" s="167" t="str">
        <f t="shared" si="151"/>
        <v/>
      </c>
      <c r="U273" s="167" t="str">
        <f t="shared" si="151"/>
        <v/>
      </c>
      <c r="V273" s="167" t="str">
        <f t="shared" si="151"/>
        <v/>
      </c>
      <c r="W273" s="167" t="str">
        <f t="shared" si="151"/>
        <v/>
      </c>
    </row>
    <row r="274" spans="1:23" s="48" customFormat="1" ht="15" customHeight="1" x14ac:dyDescent="0.2">
      <c r="A274" s="48" t="s">
        <v>248</v>
      </c>
      <c r="D274" s="167" t="str">
        <f t="shared" ref="D274:W274" ca="1" si="152">IF(chartType_Fin="Cumulative",D162,D218)</f>
        <v>NA</v>
      </c>
      <c r="E274" s="167" t="str">
        <f t="shared" ca="1" si="152"/>
        <v>NA</v>
      </c>
      <c r="F274" s="167" t="str">
        <f t="shared" ca="1" si="152"/>
        <v>NA</v>
      </c>
      <c r="G274" s="167" t="str">
        <f t="shared" ca="1" si="152"/>
        <v>NA</v>
      </c>
      <c r="H274" s="167" t="str">
        <f t="shared" ca="1" si="152"/>
        <v>NA</v>
      </c>
      <c r="I274" s="167" t="str">
        <f t="shared" ca="1" si="152"/>
        <v>NA</v>
      </c>
      <c r="J274" s="167" t="str">
        <f t="shared" ca="1" si="152"/>
        <v>NA</v>
      </c>
      <c r="K274" s="167" t="str">
        <f t="shared" ca="1" si="152"/>
        <v>NA</v>
      </c>
      <c r="L274" s="167" t="str">
        <f t="shared" ca="1" si="152"/>
        <v>NA</v>
      </c>
      <c r="M274" s="167" t="str">
        <f t="shared" si="152"/>
        <v/>
      </c>
      <c r="N274" s="167" t="str">
        <f t="shared" si="152"/>
        <v/>
      </c>
      <c r="O274" s="167" t="str">
        <f t="shared" si="152"/>
        <v/>
      </c>
      <c r="P274" s="167" t="str">
        <f t="shared" si="152"/>
        <v/>
      </c>
      <c r="Q274" s="167" t="str">
        <f t="shared" si="152"/>
        <v/>
      </c>
      <c r="R274" s="167" t="str">
        <f t="shared" si="152"/>
        <v/>
      </c>
      <c r="S274" s="167" t="str">
        <f t="shared" si="152"/>
        <v/>
      </c>
      <c r="T274" s="167" t="str">
        <f t="shared" si="152"/>
        <v/>
      </c>
      <c r="U274" s="167" t="str">
        <f t="shared" si="152"/>
        <v/>
      </c>
      <c r="V274" s="167" t="str">
        <f t="shared" si="152"/>
        <v/>
      </c>
      <c r="W274" s="167" t="str">
        <f t="shared" si="152"/>
        <v/>
      </c>
    </row>
    <row r="275" spans="1:23" s="48" customFormat="1" ht="15" customHeight="1" x14ac:dyDescent="0.2">
      <c r="A275" s="48" t="s">
        <v>245</v>
      </c>
      <c r="D275" s="167" t="str">
        <f t="shared" ref="D275:W275" ca="1" si="153">IF(chartType_Fin="Cumulative",D163,D219)</f>
        <v>NA</v>
      </c>
      <c r="E275" s="167" t="str">
        <f t="shared" ca="1" si="153"/>
        <v>NA</v>
      </c>
      <c r="F275" s="167" t="str">
        <f t="shared" ca="1" si="153"/>
        <v>NA</v>
      </c>
      <c r="G275" s="167" t="str">
        <f t="shared" ca="1" si="153"/>
        <v>NA</v>
      </c>
      <c r="H275" s="167" t="str">
        <f t="shared" ca="1" si="153"/>
        <v>NA</v>
      </c>
      <c r="I275" s="167" t="str">
        <f t="shared" ca="1" si="153"/>
        <v>NA</v>
      </c>
      <c r="J275" s="167" t="str">
        <f t="shared" ca="1" si="153"/>
        <v>NA</v>
      </c>
      <c r="K275" s="167" t="str">
        <f t="shared" ca="1" si="153"/>
        <v>NA</v>
      </c>
      <c r="L275" s="167" t="str">
        <f t="shared" ca="1" si="153"/>
        <v>NA</v>
      </c>
      <c r="M275" s="167" t="str">
        <f t="shared" si="153"/>
        <v/>
      </c>
      <c r="N275" s="167" t="str">
        <f t="shared" si="153"/>
        <v/>
      </c>
      <c r="O275" s="167" t="str">
        <f t="shared" si="153"/>
        <v/>
      </c>
      <c r="P275" s="167" t="str">
        <f t="shared" si="153"/>
        <v/>
      </c>
      <c r="Q275" s="167" t="str">
        <f t="shared" si="153"/>
        <v/>
      </c>
      <c r="R275" s="167" t="str">
        <f t="shared" si="153"/>
        <v/>
      </c>
      <c r="S275" s="167" t="str">
        <f t="shared" si="153"/>
        <v/>
      </c>
      <c r="T275" s="167" t="str">
        <f t="shared" si="153"/>
        <v/>
      </c>
      <c r="U275" s="167" t="str">
        <f t="shared" si="153"/>
        <v/>
      </c>
      <c r="V275" s="167" t="str">
        <f t="shared" si="153"/>
        <v/>
      </c>
      <c r="W275" s="167" t="str">
        <f t="shared" si="153"/>
        <v/>
      </c>
    </row>
    <row r="276" spans="1:23" s="48" customFormat="1" ht="15" customHeight="1" x14ac:dyDescent="0.2">
      <c r="A276" s="48" t="s">
        <v>246</v>
      </c>
      <c r="D276" s="167" t="str">
        <f t="shared" ref="D276:W276" ca="1" si="154">IF(chartType_Fin="Cumulative",D164,D220)</f>
        <v>NA</v>
      </c>
      <c r="E276" s="167" t="str">
        <f t="shared" ca="1" si="154"/>
        <v>NA</v>
      </c>
      <c r="F276" s="167" t="str">
        <f t="shared" ca="1" si="154"/>
        <v>NA</v>
      </c>
      <c r="G276" s="167" t="str">
        <f t="shared" ca="1" si="154"/>
        <v>NA</v>
      </c>
      <c r="H276" s="167" t="str">
        <f t="shared" ca="1" si="154"/>
        <v>NA</v>
      </c>
      <c r="I276" s="167" t="str">
        <f t="shared" ca="1" si="154"/>
        <v>NA</v>
      </c>
      <c r="J276" s="167" t="str">
        <f t="shared" ca="1" si="154"/>
        <v>NA</v>
      </c>
      <c r="K276" s="167" t="str">
        <f t="shared" ca="1" si="154"/>
        <v>NA</v>
      </c>
      <c r="L276" s="167" t="str">
        <f t="shared" ca="1" si="154"/>
        <v>NA</v>
      </c>
      <c r="M276" s="167" t="str">
        <f t="shared" si="154"/>
        <v/>
      </c>
      <c r="N276" s="167" t="str">
        <f t="shared" si="154"/>
        <v/>
      </c>
      <c r="O276" s="167" t="str">
        <f t="shared" si="154"/>
        <v/>
      </c>
      <c r="P276" s="167" t="str">
        <f t="shared" si="154"/>
        <v/>
      </c>
      <c r="Q276" s="167" t="str">
        <f t="shared" si="154"/>
        <v/>
      </c>
      <c r="R276" s="167" t="str">
        <f t="shared" si="154"/>
        <v/>
      </c>
      <c r="S276" s="167" t="str">
        <f t="shared" si="154"/>
        <v/>
      </c>
      <c r="T276" s="167" t="str">
        <f t="shared" si="154"/>
        <v/>
      </c>
      <c r="U276" s="167" t="str">
        <f t="shared" si="154"/>
        <v/>
      </c>
      <c r="V276" s="167" t="str">
        <f t="shared" si="154"/>
        <v/>
      </c>
      <c r="W276" s="167" t="str">
        <f t="shared" si="154"/>
        <v/>
      </c>
    </row>
    <row r="277" spans="1:23" s="48" customFormat="1" ht="15" customHeight="1" x14ac:dyDescent="0.2"/>
    <row r="278" spans="1:23" s="48" customFormat="1" ht="15" customHeight="1" x14ac:dyDescent="0.2">
      <c r="A278" s="48" t="s">
        <v>250</v>
      </c>
      <c r="D278" s="167" t="str">
        <f t="shared" ref="D278:W278" ca="1" si="155">IF(chartType_Fin="Cumulative",D166,D222)</f>
        <v>NA</v>
      </c>
      <c r="E278" s="167" t="str">
        <f t="shared" ca="1" si="155"/>
        <v>NA</v>
      </c>
      <c r="F278" s="167" t="str">
        <f t="shared" ca="1" si="155"/>
        <v>NA</v>
      </c>
      <c r="G278" s="167" t="str">
        <f t="shared" ca="1" si="155"/>
        <v>NA</v>
      </c>
      <c r="H278" s="167" t="str">
        <f t="shared" ca="1" si="155"/>
        <v>NA</v>
      </c>
      <c r="I278" s="167" t="str">
        <f t="shared" ca="1" si="155"/>
        <v>NA</v>
      </c>
      <c r="J278" s="167" t="str">
        <f t="shared" ca="1" si="155"/>
        <v>NA</v>
      </c>
      <c r="K278" s="167" t="str">
        <f t="shared" ca="1" si="155"/>
        <v>NA</v>
      </c>
      <c r="L278" s="167" t="str">
        <f t="shared" ca="1" si="155"/>
        <v>NA</v>
      </c>
      <c r="M278" s="167" t="str">
        <f t="shared" si="155"/>
        <v/>
      </c>
      <c r="N278" s="167" t="str">
        <f t="shared" si="155"/>
        <v/>
      </c>
      <c r="O278" s="167" t="str">
        <f t="shared" si="155"/>
        <v/>
      </c>
      <c r="P278" s="167" t="str">
        <f t="shared" si="155"/>
        <v/>
      </c>
      <c r="Q278" s="167" t="str">
        <f t="shared" si="155"/>
        <v/>
      </c>
      <c r="R278" s="167" t="str">
        <f t="shared" si="155"/>
        <v/>
      </c>
      <c r="S278" s="167" t="str">
        <f t="shared" si="155"/>
        <v/>
      </c>
      <c r="T278" s="167" t="str">
        <f t="shared" si="155"/>
        <v/>
      </c>
      <c r="U278" s="167" t="str">
        <f t="shared" si="155"/>
        <v/>
      </c>
      <c r="V278" s="167" t="str">
        <f t="shared" si="155"/>
        <v/>
      </c>
      <c r="W278" s="167" t="str">
        <f t="shared" si="155"/>
        <v/>
      </c>
    </row>
    <row r="279" spans="1:23" s="48" customFormat="1" ht="15" customHeight="1" x14ac:dyDescent="0.2">
      <c r="A279" s="48" t="s">
        <v>251</v>
      </c>
      <c r="D279" s="167" t="str">
        <f t="shared" ref="D279:W279" ca="1" si="156">IF(chartType_Fin="Cumulative",D167,D223)</f>
        <v>NA</v>
      </c>
      <c r="E279" s="167" t="str">
        <f t="shared" ca="1" si="156"/>
        <v>NA</v>
      </c>
      <c r="F279" s="167" t="str">
        <f t="shared" ca="1" si="156"/>
        <v>NA</v>
      </c>
      <c r="G279" s="167" t="str">
        <f t="shared" ca="1" si="156"/>
        <v>NA</v>
      </c>
      <c r="H279" s="167" t="str">
        <f t="shared" ca="1" si="156"/>
        <v>NA</v>
      </c>
      <c r="I279" s="167" t="str">
        <f t="shared" ca="1" si="156"/>
        <v>NA</v>
      </c>
      <c r="J279" s="167" t="str">
        <f t="shared" ca="1" si="156"/>
        <v>NA</v>
      </c>
      <c r="K279" s="167" t="str">
        <f t="shared" ca="1" si="156"/>
        <v>NA</v>
      </c>
      <c r="L279" s="167" t="str">
        <f t="shared" ca="1" si="156"/>
        <v>NA</v>
      </c>
      <c r="M279" s="167" t="str">
        <f t="shared" si="156"/>
        <v/>
      </c>
      <c r="N279" s="167" t="str">
        <f t="shared" si="156"/>
        <v/>
      </c>
      <c r="O279" s="167" t="str">
        <f t="shared" si="156"/>
        <v/>
      </c>
      <c r="P279" s="167" t="str">
        <f t="shared" si="156"/>
        <v/>
      </c>
      <c r="Q279" s="167" t="str">
        <f t="shared" si="156"/>
        <v/>
      </c>
      <c r="R279" s="167" t="str">
        <f t="shared" si="156"/>
        <v/>
      </c>
      <c r="S279" s="167" t="str">
        <f t="shared" si="156"/>
        <v/>
      </c>
      <c r="T279" s="167" t="str">
        <f t="shared" si="156"/>
        <v/>
      </c>
      <c r="U279" s="167" t="str">
        <f t="shared" si="156"/>
        <v/>
      </c>
      <c r="V279" s="167" t="str">
        <f t="shared" si="156"/>
        <v/>
      </c>
      <c r="W279" s="167" t="str">
        <f t="shared" si="156"/>
        <v/>
      </c>
    </row>
    <row r="280" spans="1:23" s="48" customFormat="1" ht="15" customHeight="1" x14ac:dyDescent="0.2">
      <c r="A280" s="48" t="s">
        <v>252</v>
      </c>
      <c r="D280" s="167" t="str">
        <f t="shared" ref="D280:W280" ca="1" si="157">IF(chartType_Fin="Cumulative",D168,D224)</f>
        <v>NA</v>
      </c>
      <c r="E280" s="167" t="str">
        <f t="shared" ca="1" si="157"/>
        <v>NA</v>
      </c>
      <c r="F280" s="167" t="str">
        <f t="shared" ca="1" si="157"/>
        <v>NA</v>
      </c>
      <c r="G280" s="167" t="str">
        <f t="shared" ca="1" si="157"/>
        <v>NA</v>
      </c>
      <c r="H280" s="167" t="str">
        <f t="shared" ca="1" si="157"/>
        <v>NA</v>
      </c>
      <c r="I280" s="167" t="str">
        <f t="shared" ca="1" si="157"/>
        <v>NA</v>
      </c>
      <c r="J280" s="167" t="str">
        <f t="shared" ca="1" si="157"/>
        <v>NA</v>
      </c>
      <c r="K280" s="167" t="str">
        <f t="shared" ca="1" si="157"/>
        <v>NA</v>
      </c>
      <c r="L280" s="167" t="str">
        <f t="shared" ca="1" si="157"/>
        <v>NA</v>
      </c>
      <c r="M280" s="167" t="str">
        <f t="shared" si="157"/>
        <v/>
      </c>
      <c r="N280" s="167" t="str">
        <f t="shared" si="157"/>
        <v/>
      </c>
      <c r="O280" s="167" t="str">
        <f t="shared" si="157"/>
        <v/>
      </c>
      <c r="P280" s="167" t="str">
        <f t="shared" si="157"/>
        <v/>
      </c>
      <c r="Q280" s="167" t="str">
        <f t="shared" si="157"/>
        <v/>
      </c>
      <c r="R280" s="167" t="str">
        <f t="shared" si="157"/>
        <v/>
      </c>
      <c r="S280" s="167" t="str">
        <f t="shared" si="157"/>
        <v/>
      </c>
      <c r="T280" s="167" t="str">
        <f t="shared" si="157"/>
        <v/>
      </c>
      <c r="U280" s="167" t="str">
        <f t="shared" si="157"/>
        <v/>
      </c>
      <c r="V280" s="167" t="str">
        <f t="shared" si="157"/>
        <v/>
      </c>
      <c r="W280" s="167" t="str">
        <f t="shared" si="157"/>
        <v/>
      </c>
    </row>
    <row r="281" spans="1:23" s="48" customFormat="1" ht="15" customHeight="1" x14ac:dyDescent="0.2">
      <c r="A281" s="48" t="s">
        <v>253</v>
      </c>
      <c r="D281" s="167" t="str">
        <f t="shared" ref="D281:W281" ca="1" si="158">IF(chartType_Fin="Cumulative",D169,D225)</f>
        <v>NA</v>
      </c>
      <c r="E281" s="167" t="str">
        <f t="shared" ca="1" si="158"/>
        <v>NA</v>
      </c>
      <c r="F281" s="167" t="str">
        <f t="shared" ca="1" si="158"/>
        <v>NA</v>
      </c>
      <c r="G281" s="167" t="str">
        <f t="shared" ca="1" si="158"/>
        <v>NA</v>
      </c>
      <c r="H281" s="167" t="str">
        <f t="shared" ca="1" si="158"/>
        <v>NA</v>
      </c>
      <c r="I281" s="167" t="str">
        <f t="shared" ca="1" si="158"/>
        <v>NA</v>
      </c>
      <c r="J281" s="167" t="str">
        <f t="shared" ca="1" si="158"/>
        <v>NA</v>
      </c>
      <c r="K281" s="167" t="str">
        <f t="shared" ca="1" si="158"/>
        <v>NA</v>
      </c>
      <c r="L281" s="167" t="str">
        <f t="shared" ca="1" si="158"/>
        <v>NA</v>
      </c>
      <c r="M281" s="167" t="str">
        <f t="shared" si="158"/>
        <v/>
      </c>
      <c r="N281" s="167" t="str">
        <f t="shared" si="158"/>
        <v/>
      </c>
      <c r="O281" s="167" t="str">
        <f t="shared" si="158"/>
        <v/>
      </c>
      <c r="P281" s="167" t="str">
        <f t="shared" si="158"/>
        <v/>
      </c>
      <c r="Q281" s="167" t="str">
        <f t="shared" si="158"/>
        <v/>
      </c>
      <c r="R281" s="167" t="str">
        <f t="shared" si="158"/>
        <v/>
      </c>
      <c r="S281" s="167" t="str">
        <f t="shared" si="158"/>
        <v/>
      </c>
      <c r="T281" s="167" t="str">
        <f t="shared" si="158"/>
        <v/>
      </c>
      <c r="U281" s="167" t="str">
        <f t="shared" si="158"/>
        <v/>
      </c>
      <c r="V281" s="167" t="str">
        <f t="shared" si="158"/>
        <v/>
      </c>
      <c r="W281" s="167" t="str">
        <f t="shared" si="158"/>
        <v/>
      </c>
    </row>
    <row r="282" spans="1:23" s="48" customFormat="1" ht="15" customHeight="1" x14ac:dyDescent="0.2">
      <c r="A282" s="48" t="s">
        <v>254</v>
      </c>
      <c r="D282" s="167" t="str">
        <f t="shared" ref="D282:W282" ca="1" si="159">IF(chartType_Fin="Cumulative",D170,D226)</f>
        <v>NA</v>
      </c>
      <c r="E282" s="167" t="str">
        <f t="shared" ca="1" si="159"/>
        <v>NA</v>
      </c>
      <c r="F282" s="167" t="str">
        <f t="shared" ca="1" si="159"/>
        <v>NA</v>
      </c>
      <c r="G282" s="167" t="str">
        <f t="shared" ca="1" si="159"/>
        <v>NA</v>
      </c>
      <c r="H282" s="167" t="str">
        <f t="shared" ca="1" si="159"/>
        <v>NA</v>
      </c>
      <c r="I282" s="167" t="str">
        <f t="shared" ca="1" si="159"/>
        <v>NA</v>
      </c>
      <c r="J282" s="167" t="str">
        <f t="shared" ca="1" si="159"/>
        <v>NA</v>
      </c>
      <c r="K282" s="167" t="str">
        <f t="shared" ca="1" si="159"/>
        <v>NA</v>
      </c>
      <c r="L282" s="167" t="str">
        <f t="shared" ca="1" si="159"/>
        <v>NA</v>
      </c>
      <c r="M282" s="167" t="str">
        <f t="shared" si="159"/>
        <v/>
      </c>
      <c r="N282" s="167" t="str">
        <f t="shared" si="159"/>
        <v/>
      </c>
      <c r="O282" s="167" t="str">
        <f t="shared" si="159"/>
        <v/>
      </c>
      <c r="P282" s="167" t="str">
        <f t="shared" si="159"/>
        <v/>
      </c>
      <c r="Q282" s="167" t="str">
        <f t="shared" si="159"/>
        <v/>
      </c>
      <c r="R282" s="167" t="str">
        <f t="shared" si="159"/>
        <v/>
      </c>
      <c r="S282" s="167" t="str">
        <f t="shared" si="159"/>
        <v/>
      </c>
      <c r="T282" s="167" t="str">
        <f t="shared" si="159"/>
        <v/>
      </c>
      <c r="U282" s="167" t="str">
        <f t="shared" si="159"/>
        <v/>
      </c>
      <c r="V282" s="167" t="str">
        <f t="shared" si="159"/>
        <v/>
      </c>
      <c r="W282" s="167" t="str">
        <f t="shared" si="159"/>
        <v/>
      </c>
    </row>
    <row r="283" spans="1:23" s="48" customFormat="1" ht="15" customHeight="1" x14ac:dyDescent="0.2">
      <c r="D283" s="167"/>
    </row>
    <row r="284" spans="1:23" s="48" customFormat="1" ht="15" customHeight="1" x14ac:dyDescent="0.2"/>
    <row r="285" spans="1:23" ht="15" customHeight="1" thickBot="1" x14ac:dyDescent="0.25">
      <c r="A285" s="920" t="s">
        <v>7</v>
      </c>
      <c r="B285" s="920"/>
      <c r="C285" s="920"/>
      <c r="D285" s="921"/>
      <c r="E285" s="921"/>
      <c r="F285" s="921"/>
      <c r="G285" s="921"/>
      <c r="H285" s="921"/>
      <c r="I285" s="921"/>
      <c r="J285" s="921"/>
      <c r="K285" s="921"/>
      <c r="L285" s="921"/>
      <c r="M285" s="921"/>
      <c r="N285" s="921"/>
      <c r="O285" s="921"/>
      <c r="P285" s="921"/>
      <c r="Q285" s="921"/>
      <c r="R285" s="921"/>
      <c r="S285" s="921"/>
      <c r="T285" s="921"/>
      <c r="U285" s="921"/>
      <c r="V285" s="921"/>
      <c r="W285" s="921"/>
    </row>
    <row r="286" spans="1:23" ht="15" customHeight="1" x14ac:dyDescent="0.2">
      <c r="A286" s="204"/>
      <c r="B286" s="204"/>
      <c r="C286" s="204"/>
      <c r="D286" s="205"/>
      <c r="E286" s="205"/>
      <c r="F286" s="205"/>
      <c r="G286" s="205"/>
      <c r="H286" s="205"/>
      <c r="I286" s="205"/>
      <c r="J286" s="205"/>
      <c r="K286" s="205"/>
      <c r="L286" s="205"/>
      <c r="M286" s="205"/>
      <c r="N286" s="205"/>
      <c r="O286" s="205"/>
      <c r="P286" s="205"/>
      <c r="Q286" s="205"/>
      <c r="R286" s="205"/>
      <c r="S286" s="205"/>
      <c r="T286" s="205"/>
      <c r="U286" s="205"/>
      <c r="V286" s="205"/>
      <c r="W286" s="205"/>
    </row>
    <row r="287" spans="1:23" ht="15" hidden="1" customHeight="1" outlineLevel="1" x14ac:dyDescent="0.2"/>
    <row r="288" spans="1:23" ht="15" hidden="1" customHeight="1" outlineLevel="1" x14ac:dyDescent="0.2"/>
    <row r="289" spans="1:23" ht="15" customHeight="1" collapsed="1" x14ac:dyDescent="0.2">
      <c r="A289" s="38" t="s">
        <v>189</v>
      </c>
      <c r="B289" s="38"/>
      <c r="C289" s="38"/>
      <c r="D289" s="39"/>
      <c r="E289" s="39"/>
      <c r="F289" s="40" t="str">
        <f>IF(TimePeriodType="Annual",Input!H12,LEFT(Input!H12,3)&amp;RIGHT(Input!H12,4))</f>
        <v>FY2014</v>
      </c>
      <c r="G289" s="40" t="str">
        <f>IF(TimePeriodType="Annual",Input!I12,LEFT(Input!I12,3)&amp;RIGHT(Input!I12,4))</f>
        <v>FY2022</v>
      </c>
      <c r="H289" s="39" t="s">
        <v>24</v>
      </c>
      <c r="I289" s="40"/>
      <c r="J289" s="40"/>
      <c r="K289" s="40"/>
      <c r="L289" s="40"/>
      <c r="M289" s="40"/>
      <c r="N289" s="40"/>
      <c r="O289" s="40"/>
      <c r="P289" s="40"/>
      <c r="Q289" s="187"/>
      <c r="R289" s="188"/>
      <c r="S289" s="187" t="str">
        <f>F289</f>
        <v>FY2014</v>
      </c>
      <c r="T289" s="187"/>
      <c r="U289" s="188"/>
      <c r="V289" s="187" t="str">
        <f>G289</f>
        <v>FY2022</v>
      </c>
      <c r="W289" s="188"/>
    </row>
    <row r="290" spans="1:23" ht="15" customHeight="1" x14ac:dyDescent="0.2">
      <c r="B290" s="25" t="s">
        <v>222</v>
      </c>
      <c r="Q290" s="155"/>
      <c r="R290" s="155"/>
      <c r="S290" s="155"/>
      <c r="T290" s="155"/>
      <c r="U290" s="155"/>
      <c r="V290" s="155"/>
      <c r="W290" s="155"/>
    </row>
    <row r="291" spans="1:23" ht="15" customHeight="1" x14ac:dyDescent="0.2">
      <c r="A291" s="25" t="s">
        <v>220</v>
      </c>
      <c r="B291" s="25" t="s">
        <v>221</v>
      </c>
      <c r="F291" s="189">
        <f>IF(NOT(ISNUMBER(_xll.ciqfunctions.udf.CIQ($D$4,$B291, IQ_LTM, F$289, $E$4, , $F$4, $G$4))),0,_xll.ciqfunctions.udf.CIQ($D$4,$B291, IQ_LTM, F$289, $E$4, , $F$4, $G$4))+IF(NOT(ISNUMBER(_xll.ciqfunctions.udf.CIQ($D$4,$B290, IQ_LTM, F$289, $E$4, , $F$4, $G$4))),0,_xll.ciqfunctions.udf.CIQ($D$4,$B290, IQ_LTM, F$289, $E$4, , $F$4, $G$4))</f>
        <v>0</v>
      </c>
      <c r="G291" s="189">
        <f>IF(NOT(ISNUMBER(_xll.ciqfunctions.udf.CIQ($D$4,$B291, IQ_LTM, G$289, $E$4, , $F$4, $G$4))),0,_xll.ciqfunctions.udf.CIQ($D$4,$B291, IQ_LTM, G$289, $E$4, , $F$4, $G$4))+IF(NOT(ISNUMBER(_xll.ciqfunctions.udf.CIQ($D$4,$B290, IQ_LTM, G$289, $E$4, , $F$4, $G$4))),0,_xll.ciqfunctions.udf.CIQ($D$4,$B290, IQ_LTM, G$289, $E$4, , $F$4, $G$4))</f>
        <v>0</v>
      </c>
      <c r="H291" s="190" t="str">
        <f>IFERROR(IF(G291&gt;=F291,ABS(G291-F291)/ABS(F291),-ABS(G291-F291)/ABS(F291)),"N/A")</f>
        <v>N/A</v>
      </c>
      <c r="Q291" s="155" t="s">
        <v>220</v>
      </c>
      <c r="R291" s="155"/>
      <c r="S291" s="155" t="str">
        <f>$Q291&amp;" 
" &amp; IF(NOT(ISNUMBER(F291)),"NA", TEXT(F291,"###,0"))</f>
        <v>Income 
0</v>
      </c>
      <c r="T291" s="155"/>
      <c r="U291" s="155"/>
      <c r="V291" s="155" t="str">
        <f>$Q291&amp;" 
" &amp; IF(NOT(ISNUMBER(G291)),"NA", TEXT(G291,"###,0"))</f>
        <v>Income 
0</v>
      </c>
      <c r="W291" s="155"/>
    </row>
    <row r="292" spans="1:23" ht="15" customHeight="1" x14ac:dyDescent="0.2">
      <c r="A292" s="140" t="s">
        <v>223</v>
      </c>
      <c r="B292" s="140" t="s">
        <v>224</v>
      </c>
      <c r="C292" s="140"/>
      <c r="D292" s="140"/>
      <c r="E292" s="140"/>
      <c r="F292" s="191">
        <f>IF(NOT(ISNUMBER(_xll.ciqfunctions.udf.CIQ($D$4,$B292, IQ_LTM, F$289, $E$4, , $F$4, $G$4))),"NA",_xll.ciqfunctions.udf.CIQ($D$4,$B292, IQ_LTM, F$289, $E$4, , $F$4, $G$4))</f>
        <v>0</v>
      </c>
      <c r="G292" s="191">
        <f>IF(NOT(ISNUMBER(_xll.ciqfunctions.udf.CIQ($D$4,$B292, IQ_LTM, G$289, $E$4, , $F$4, $G$4))),"NA",_xll.ciqfunctions.udf.CIQ($D$4,$B292, IQ_LTM, G$289, $E$4, , $F$4, $G$4))</f>
        <v>0</v>
      </c>
      <c r="H292" s="192" t="str">
        <f>IFERROR(IF(G292&gt;=F292,ABS(G292-F292)/ABS(F292),-ABS(G292-F292)/ABS(F292)),"N/A")</f>
        <v>N/A</v>
      </c>
      <c r="I292" s="36"/>
      <c r="J292" s="36"/>
      <c r="K292" s="36"/>
      <c r="L292" s="36"/>
      <c r="M292" s="36"/>
      <c r="N292" s="36"/>
      <c r="O292" s="36"/>
      <c r="P292" s="36"/>
      <c r="Q292" s="155" t="s">
        <v>223</v>
      </c>
      <c r="R292" s="155"/>
      <c r="S292" s="155" t="str">
        <f>$Q292&amp;" 
" &amp; IF(NOT(ISNUMBER(F292)),"NA", TEXT(F292,"###,0"))</f>
        <v>Interest Exp 
0</v>
      </c>
      <c r="T292" s="155"/>
      <c r="U292" s="155"/>
      <c r="V292" s="155" t="str">
        <f>$Q292&amp;" 
" &amp; IF(NOT(ISNUMBER(G292)),"NA", TEXT(G292,"###,0"))</f>
        <v>Interest Exp 
0</v>
      </c>
      <c r="W292" s="155"/>
    </row>
    <row r="293" spans="1:23" ht="15" customHeight="1" x14ac:dyDescent="0.2">
      <c r="A293" s="158" t="s">
        <v>225</v>
      </c>
      <c r="B293" s="193" t="s">
        <v>226</v>
      </c>
      <c r="C293" s="193"/>
      <c r="D293" s="193"/>
      <c r="E293" s="193"/>
      <c r="F293" s="194">
        <f>IF(NOT(ISNUMBER(_xll.ciqfunctions.udf.CIQ($D$4,$B293, IQ_LTM, F$289, $E$4, , $F$4, $G$4))),"NA",_xll.ciqfunctions.udf.CIQ($D$4,$B293, IQ_LTM, F$289, $E$4, , $F$4, $G$4))</f>
        <v>0</v>
      </c>
      <c r="G293" s="194">
        <f>IF(NOT(ISNUMBER(_xll.ciqfunctions.udf.CIQ($D$4,$B293, IQ_LTM, G$289, $E$4, , $F$4, $G$4))),"NA",_xll.ciqfunctions.udf.CIQ($D$4,$B293, IQ_LTM, G$289, $E$4, , $F$4, $G$4))</f>
        <v>0</v>
      </c>
      <c r="H293" s="195" t="str">
        <f>IFERROR(IF(G293&gt;=F293,ABS(G293-F293)/ABS(F293),-ABS(G293-F293)/ABS(F293)),"N/A")</f>
        <v>N/A</v>
      </c>
      <c r="I293" s="196"/>
      <c r="J293" s="196"/>
      <c r="K293" s="196"/>
      <c r="L293" s="196"/>
      <c r="M293" s="196"/>
      <c r="N293" s="196"/>
      <c r="O293" s="196"/>
      <c r="P293" s="196"/>
      <c r="Q293" s="155" t="s">
        <v>225</v>
      </c>
      <c r="R293" s="155"/>
      <c r="S293" s="155" t="str">
        <f>$Q293&amp;" 
" &amp; IF(NOT(ISNUMBER(F293)),"NA", TEXT(F293,"###,0"))</f>
        <v>Loss Provision 
0</v>
      </c>
      <c r="T293" s="155"/>
      <c r="U293" s="155"/>
      <c r="V293" s="155" t="str">
        <f>$Q293&amp;" 
" &amp; IF(NOT(ISNUMBER(G293)),"NA", TEXT(G293,"###,0"))</f>
        <v>Loss Provision 
0</v>
      </c>
      <c r="W293" s="155"/>
    </row>
    <row r="294" spans="1:23" ht="15" customHeight="1" x14ac:dyDescent="0.2">
      <c r="A294" s="25" t="s">
        <v>30</v>
      </c>
      <c r="F294" s="189">
        <f>IFERROR(F291-F292-F293,"NA")</f>
        <v>0</v>
      </c>
      <c r="G294" s="189">
        <f>IFERROR(G291-G292-G293,"NA")</f>
        <v>0</v>
      </c>
      <c r="H294" s="190" t="str">
        <f>IFERROR(IF(G294&gt;=F294,ABS(G294-F294)/ABS(F294),-ABS(G294-F294)/ABS(F294)),"N/A")</f>
        <v>N/A</v>
      </c>
      <c r="Q294" s="155" t="s">
        <v>30</v>
      </c>
      <c r="R294" s="155"/>
      <c r="S294" s="155" t="str">
        <f>$Q294&amp;" 
" &amp; IF(NOT(ISNUMBER(F294)),"NA", TEXT(F294,"###,0"))</f>
        <v>Gross Profit 
0</v>
      </c>
      <c r="T294" s="155"/>
      <c r="U294" s="155"/>
      <c r="V294" s="155" t="str">
        <f>$Q294&amp;" 
" &amp; IF(NOT(ISNUMBER(G294)),"NA", TEXT(G294,"###,0"))</f>
        <v>Gross Profit 
0</v>
      </c>
      <c r="W294" s="155"/>
    </row>
    <row r="295" spans="1:23" ht="15" customHeight="1" x14ac:dyDescent="0.2">
      <c r="F295" s="189"/>
      <c r="G295" s="189"/>
      <c r="H295" s="192"/>
      <c r="Q295" s="155"/>
      <c r="R295" s="155"/>
      <c r="S295" s="155"/>
      <c r="T295" s="155"/>
      <c r="U295" s="155"/>
      <c r="V295" s="155"/>
      <c r="W295" s="155"/>
    </row>
    <row r="296" spans="1:23" ht="15" customHeight="1" x14ac:dyDescent="0.2">
      <c r="A296" s="25" t="s">
        <v>0</v>
      </c>
      <c r="B296" s="25" t="s">
        <v>12</v>
      </c>
      <c r="F296" s="189">
        <f>IF(NOT(ISNUMBER(_xll.ciqfunctions.udf.CIQ($D$4,$B296, IQ_LTM, F$289, $E$4, , $F$4, $G$4))),"NA",_xll.ciqfunctions.udf.CIQ($D$4,$B296, IQ_LTM, F$289, $E$4, , $F$4, $G$4))</f>
        <v>91353</v>
      </c>
      <c r="G296" s="189">
        <f>IF(NOT(ISNUMBER(_xll.ciqfunctions.udf.CIQ($D$4,$B296, IQ_LTM, G$289, $E$4, , $F$4, $G$4))),"NA",_xll.ciqfunctions.udf.CIQ($D$4,$B296, IQ_LTM, G$289, $E$4, , $F$4, $G$4))</f>
        <v>117812</v>
      </c>
      <c r="H296" s="192">
        <f>IFERROR(IF(G296&gt;=F296,ABS(G296-F296)/ABS(F296),-ABS(G296-F296)/ABS(F296)),"N/A")</f>
        <v>0.28963471369303689</v>
      </c>
      <c r="I296" s="36"/>
      <c r="J296" s="36"/>
      <c r="K296" s="36"/>
      <c r="L296" s="36"/>
      <c r="M296" s="36"/>
      <c r="N296" s="36"/>
      <c r="O296" s="36"/>
      <c r="P296" s="36"/>
      <c r="Q296" s="155" t="s">
        <v>0</v>
      </c>
      <c r="R296" s="155"/>
      <c r="S296" s="155" t="str">
        <f>$Q296&amp;" 
" &amp; IF(NOT(ISNUMBER(F296)),"NA", TEXT(F296,"###,0"))</f>
        <v>SG&amp;A 
91,353</v>
      </c>
      <c r="T296" s="155"/>
      <c r="U296" s="155"/>
      <c r="V296" s="155" t="str">
        <f>$Q296&amp;" 
" &amp; IF(NOT(ISNUMBER(G296)),"NA", TEXT(G296,"###,0"))</f>
        <v>SG&amp;A 
117,812</v>
      </c>
      <c r="W296" s="155"/>
    </row>
    <row r="297" spans="1:23" ht="15" customHeight="1" x14ac:dyDescent="0.2">
      <c r="A297" s="140" t="s">
        <v>38</v>
      </c>
      <c r="B297" s="140"/>
      <c r="C297" s="140"/>
      <c r="D297" s="140"/>
      <c r="E297" s="140"/>
      <c r="F297" s="191">
        <f>IFERROR(F298-F296,"NA")</f>
        <v>-91353</v>
      </c>
      <c r="G297" s="191">
        <f>IFERROR(G298-G296,"NA")</f>
        <v>-117812</v>
      </c>
      <c r="H297" s="192">
        <f>IFERROR(IF(G297&gt;=F297,ABS(G297-F297)/ABS(F297),-ABS(G297-F297)/ABS(F297)),"N/A")</f>
        <v>-0.28963471369303689</v>
      </c>
      <c r="I297" s="197"/>
      <c r="J297" s="197"/>
      <c r="K297" s="197"/>
      <c r="L297" s="197"/>
      <c r="M297" s="197"/>
      <c r="N297" s="197"/>
      <c r="O297" s="197"/>
      <c r="P297" s="197"/>
      <c r="Q297" s="155" t="s">
        <v>38</v>
      </c>
      <c r="R297" s="155"/>
      <c r="S297" s="155" t="str">
        <f>$Q297&amp;" 
" &amp; IF(NOT(ISNUMBER(F297)),"NA", TEXT(F297,"###,0"))</f>
        <v>Other OpEx 
-91,353</v>
      </c>
      <c r="T297" s="155"/>
      <c r="U297" s="155"/>
      <c r="V297" s="155" t="str">
        <f>$Q297&amp;" 
" &amp; IF(NOT(ISNUMBER(G297)),"NA", TEXT(G297,"###,0"))</f>
        <v>Other OpEx 
-117,812</v>
      </c>
      <c r="W297" s="155"/>
    </row>
    <row r="298" spans="1:23" ht="15" customHeight="1" x14ac:dyDescent="0.2">
      <c r="A298" s="158" t="s">
        <v>5</v>
      </c>
      <c r="B298" s="193" t="s">
        <v>227</v>
      </c>
      <c r="C298" s="193"/>
      <c r="D298" s="193"/>
      <c r="E298" s="193"/>
      <c r="F298" s="194">
        <f>IF(NOT(ISNUMBER(_xll.ciqfunctions.udf.CIQ($D$4,$B298, IQ_LTM, F$289, $E$4, , $F$4, $G$4))),"NA",_xll.ciqfunctions.udf.CIQ($D$4,$B298, IQ_LTM, F$289, $E$4, , $F$4, $G$4))</f>
        <v>0</v>
      </c>
      <c r="G298" s="194">
        <f>IF(NOT(ISNUMBER(_xll.ciqfunctions.udf.CIQ($D$4,$B298, IQ_LTM, G$289, $E$4, , $F$4, $G$4))),"NA",_xll.ciqfunctions.udf.CIQ($D$4,$B298, IQ_LTM, G$289, $E$4, , $F$4, $G$4))</f>
        <v>0</v>
      </c>
      <c r="H298" s="195" t="str">
        <f>IFERROR(IF(G298&gt;=F298,ABS(G298-F298)/ABS(F298),-ABS(G298-F298)/ABS(F298)),"N/A")</f>
        <v>N/A</v>
      </c>
      <c r="I298" s="193"/>
      <c r="J298" s="193"/>
      <c r="K298" s="193"/>
      <c r="L298" s="193"/>
      <c r="M298" s="193"/>
      <c r="N298" s="193"/>
      <c r="O298" s="193"/>
      <c r="P298" s="193"/>
      <c r="Q298" s="155" t="s">
        <v>5</v>
      </c>
      <c r="R298" s="155"/>
      <c r="S298" s="155" t="str">
        <f>$Q298&amp;" 
" &amp; IF(NOT(ISNUMBER(F298)),"NA", TEXT(F298,"###,0"))</f>
        <v>Operating Expenses 
0</v>
      </c>
      <c r="T298" s="155"/>
      <c r="U298" s="155"/>
      <c r="V298" s="155" t="str">
        <f>$Q298&amp;" 
" &amp; IF(NOT(ISNUMBER(G298)),"NA", TEXT(G298,"###,0"))</f>
        <v>Operating Expenses 
0</v>
      </c>
      <c r="W298" s="155"/>
    </row>
    <row r="299" spans="1:23" ht="15" customHeight="1" x14ac:dyDescent="0.2">
      <c r="A299" s="140" t="s">
        <v>23</v>
      </c>
      <c r="B299" s="140"/>
      <c r="C299" s="140"/>
      <c r="D299" s="140"/>
      <c r="E299" s="140"/>
      <c r="F299" s="191">
        <f>IFERROR(F294-F300-F298,"NA")</f>
        <v>-16022</v>
      </c>
      <c r="G299" s="191">
        <f>IFERROR(G294-G300-G298,"NA")</f>
        <v>-13673</v>
      </c>
      <c r="H299" s="192">
        <f>IFERROR(IF(G299&gt;=F299,ABS(G299-F299)/ABS(F299),-ABS(G299-F299)/ABS(F299)),"N/A")</f>
        <v>0.1466109099987517</v>
      </c>
      <c r="I299" s="166"/>
      <c r="J299" s="166"/>
      <c r="K299" s="166"/>
      <c r="L299" s="166"/>
      <c r="M299" s="166"/>
      <c r="N299" s="166"/>
      <c r="O299" s="166"/>
      <c r="P299" s="166"/>
      <c r="Q299" s="155" t="s">
        <v>23</v>
      </c>
      <c r="R299" s="155"/>
      <c r="S299" s="155" t="str">
        <f>$Q299&amp;" 
" &amp; IF(NOT(ISNUMBER(F299)),"NA", TEXT(F299,"###,0"))</f>
        <v>Taxes and Other 
-16,022</v>
      </c>
      <c r="T299" s="155"/>
      <c r="U299" s="155"/>
      <c r="V299" s="155" t="str">
        <f>$Q299&amp;" 
" &amp; IF(NOT(ISNUMBER(G299)),"NA", TEXT(G299,"###,0"))</f>
        <v>Taxes and Other 
-13,673</v>
      </c>
      <c r="W299" s="155"/>
    </row>
    <row r="300" spans="1:23" ht="15" customHeight="1" x14ac:dyDescent="0.2">
      <c r="A300" s="169" t="s">
        <v>6</v>
      </c>
      <c r="B300" s="193" t="s">
        <v>14</v>
      </c>
      <c r="C300" s="193"/>
      <c r="D300" s="193"/>
      <c r="E300" s="193"/>
      <c r="F300" s="198">
        <f>IF(NOT(ISNUMBER(_xll.ciqfunctions.udf.CIQ($D$4,$B300, IQ_LTM, F$289, $E$4, , $F$4, $G$4))),"NA",_xll.ciqfunctions.udf.CIQ($D$4,$B300, IQ_LTM, F$289, $E$4, , $F$4, $G$4))</f>
        <v>16022</v>
      </c>
      <c r="G300" s="198">
        <f>IF(NOT(ISNUMBER(_xll.ciqfunctions.udf.CIQ($D$4,$B300, IQ_LTM, G$289, $E$4, , $F$4, $G$4))),"NA",_xll.ciqfunctions.udf.CIQ($D$4,$B300, IQ_LTM, G$289, $E$4, , $F$4, $G$4))</f>
        <v>13673</v>
      </c>
      <c r="H300" s="195">
        <f>IFERROR(IF(G300&gt;=F300,ABS(G300-F300)/ABS(F300),-ABS(G300-F300)/ABS(F300)),"N/A")</f>
        <v>-0.1466109099987517</v>
      </c>
      <c r="I300" s="199"/>
      <c r="J300" s="199"/>
      <c r="K300" s="199"/>
      <c r="L300" s="199"/>
      <c r="M300" s="199"/>
      <c r="N300" s="199"/>
      <c r="O300" s="199"/>
      <c r="P300" s="199"/>
      <c r="Q300" s="155" t="s">
        <v>6</v>
      </c>
      <c r="R300" s="155"/>
      <c r="S300" s="155" t="str">
        <f>$Q300&amp;" 
" &amp; IF(NOT(ISNUMBER(F300)),"NA", TEXT(F300,"###,0"))</f>
        <v>Net Income 
16,022</v>
      </c>
      <c r="T300" s="155"/>
      <c r="U300" s="155"/>
      <c r="V300" s="155" t="str">
        <f>$Q300&amp;" 
" &amp; IF(NOT(ISNUMBER(G300)),"NA", TEXT(G300,"###,0"))</f>
        <v>Net Income 
13,673</v>
      </c>
      <c r="W300" s="155"/>
    </row>
    <row r="301" spans="1:23" ht="15" customHeight="1" x14ac:dyDescent="0.2">
      <c r="F301" s="189"/>
      <c r="G301" s="189"/>
      <c r="H301" s="190"/>
      <c r="Q301" s="155"/>
      <c r="R301" s="155"/>
      <c r="S301" s="155"/>
      <c r="T301" s="155"/>
      <c r="U301" s="155"/>
      <c r="V301" s="155"/>
      <c r="W301" s="155"/>
    </row>
    <row r="302" spans="1:23" ht="15" customHeight="1" x14ac:dyDescent="0.2">
      <c r="F302" s="189"/>
      <c r="G302" s="189"/>
      <c r="H302" s="190"/>
      <c r="Q302" s="155"/>
      <c r="R302" s="155"/>
      <c r="S302" s="155"/>
      <c r="T302" s="155"/>
      <c r="U302" s="155"/>
      <c r="V302" s="155"/>
      <c r="W302" s="155"/>
    </row>
    <row r="303" spans="1:23" ht="15" customHeight="1" x14ac:dyDescent="0.2">
      <c r="A303" s="25" t="s">
        <v>230</v>
      </c>
      <c r="B303" s="25" t="s">
        <v>231</v>
      </c>
      <c r="F303" s="189">
        <f>IF(NOT(ISNUMBER(_xll.ciqfunctions.udf.CIQ($D$4,$B303, IQ_LTM, F$289, $E$4, , $F$4, $G$4))),"NA",_xll.ciqfunctions.udf.CIQ($D$4,$B303, IQ_LTM, F$289, $E$4, , $F$4, $G$4))</f>
        <v>0</v>
      </c>
      <c r="G303" s="189">
        <f>IF(NOT(ISNUMBER(_xll.ciqfunctions.udf.CIQ($D$4,$B303, IQ_LTM, G$289, $E$4, , $F$4, $G$4))),"NA",_xll.ciqfunctions.udf.CIQ($D$4,$B303, IQ_LTM, G$289, $E$4, , $F$4, $G$4))</f>
        <v>0</v>
      </c>
      <c r="H303" s="192" t="str">
        <f>IFERROR(IF(G303&gt;=F303,ABS(G303-F303)/ABS(F303),-ABS(G303-F303)/ABS(F303)),"N/A")</f>
        <v>N/A</v>
      </c>
      <c r="Q303" s="155" t="s">
        <v>230</v>
      </c>
      <c r="R303" s="155"/>
      <c r="S303" s="155" t="str">
        <f>$Q303&amp;" 
" &amp; IF(NOT(ISNUMBER(F303)),"NA", TEXT(F303,"###,0"))</f>
        <v>Investments 
0</v>
      </c>
      <c r="T303" s="155"/>
      <c r="U303" s="155"/>
      <c r="V303" s="155" t="str">
        <f>$Q303&amp;" 
" &amp; IF(NOT(ISNUMBER(G303)),"NA", TEXT(G303,"###,0"))</f>
        <v>Investments 
0</v>
      </c>
      <c r="W303" s="155"/>
    </row>
    <row r="304" spans="1:23" ht="15" customHeight="1" x14ac:dyDescent="0.2">
      <c r="A304" s="25" t="s">
        <v>232</v>
      </c>
      <c r="B304" s="25" t="s">
        <v>233</v>
      </c>
      <c r="F304" s="179">
        <f>IF(NOT(ISNUMBER(_xll.ciqfunctions.udf.CIQ($D$4,$B304, IQ_LTM, F$289, $E$4, , $F$4, $G$4))),"NA",_xll.ciqfunctions.udf.CIQ($D$4,$B304, IQ_LTM, F$289, $E$4, , $F$4, $G$4))</f>
        <v>0</v>
      </c>
      <c r="G304" s="179">
        <f>IF(NOT(ISNUMBER(_xll.ciqfunctions.udf.CIQ($D$4,$B304, IQ_LTM, G$289, $E$4, , $F$4, $G$4))),"NA",_xll.ciqfunctions.udf.CIQ($D$4,$B304, IQ_LTM, G$289, $E$4, , $F$4, $G$4))</f>
        <v>0</v>
      </c>
      <c r="H304" s="192" t="str">
        <f>IFERROR(IF(G304&gt;=F304,ABS(G304-F304)/ABS(F304),-ABS(G304-F304)/ABS(F304)),"N/A")</f>
        <v>N/A</v>
      </c>
      <c r="Q304" s="155" t="s">
        <v>232</v>
      </c>
      <c r="R304" s="155"/>
      <c r="S304" s="155" t="str">
        <f>$Q304&amp;" 
" &amp; IF(NOT(ISNUMBER(F304)),"NA", TEXT(F304,"###,0"))</f>
        <v>Net Loans 
0</v>
      </c>
      <c r="T304" s="155"/>
      <c r="U304" s="155"/>
      <c r="V304" s="155" t="str">
        <f>$Q304&amp;" 
" &amp; IF(NOT(ISNUMBER(G304)),"NA", TEXT(G304,"###,0"))</f>
        <v>Net Loans 
0</v>
      </c>
      <c r="W304" s="155"/>
    </row>
    <row r="305" spans="1:23" ht="15" customHeight="1" x14ac:dyDescent="0.2">
      <c r="A305" s="25" t="s">
        <v>19</v>
      </c>
      <c r="B305" s="25" t="s">
        <v>18</v>
      </c>
      <c r="F305" s="189">
        <f>IF(NOT(ISNUMBER(_xll.ciqfunctions.udf.CIQ($D$4,$B305, IQ_LTM, F$289, $E$4, , $F$4, $G$4))),"NA",_xll.ciqfunctions.udf.CIQ($D$4,$B305, IQ_LTM, F$289, $E$4, , $F$4, $G$4))</f>
        <v>117907</v>
      </c>
      <c r="G305" s="189">
        <f>IF(NOT(ISNUMBER(_xll.ciqfunctions.udf.CIQ($D$4,$B305, IQ_LTM, G$289, $E$4, , $F$4, $G$4))),"NA",_xll.ciqfunctions.udf.CIQ($D$4,$B305, IQ_LTM, G$289, $E$4, , $F$4, $G$4))</f>
        <v>112624</v>
      </c>
      <c r="H305" s="192">
        <f>IFERROR(IF(G305&gt;=F305,ABS(G305-F305)/ABS(F305),-ABS(G305-F305)/ABS(F305)),"N/A")</f>
        <v>-4.4806500038165671E-2</v>
      </c>
      <c r="Q305" s="155" t="s">
        <v>19</v>
      </c>
      <c r="R305" s="155"/>
      <c r="S305" s="155" t="str">
        <f>$Q305&amp;" 
" &amp; IF(NOT(ISNUMBER(F305)),"NA", TEXT(F305,"###,0"))</f>
        <v>Net PP&amp;E 
117,907</v>
      </c>
      <c r="T305" s="155"/>
      <c r="U305" s="155"/>
      <c r="V305" s="155" t="str">
        <f>$Q305&amp;" 
" &amp; IF(NOT(ISNUMBER(G305)),"NA", TEXT(G305,"###,0"))</f>
        <v>Net PP&amp;E 
112,624</v>
      </c>
      <c r="W305" s="155"/>
    </row>
    <row r="306" spans="1:23" ht="15" customHeight="1" x14ac:dyDescent="0.2">
      <c r="A306" s="140" t="s">
        <v>20</v>
      </c>
      <c r="B306" s="140"/>
      <c r="C306" s="140"/>
      <c r="D306" s="140"/>
      <c r="E306" s="140"/>
      <c r="F306" s="191">
        <f>F307-SUM(F303:F305)</f>
        <v>86844</v>
      </c>
      <c r="G306" s="191">
        <f>IFERROR(G307-SUM(G303:G305),"NA")</f>
        <v>132236</v>
      </c>
      <c r="H306" s="192">
        <f>IFERROR(IF(G306&gt;=F306,ABS(G306-F306)/ABS(F306),-ABS(G306-F306)/ABS(F306)),"N/A")</f>
        <v>0.52268435355349818</v>
      </c>
      <c r="I306" s="140"/>
      <c r="J306" s="140"/>
      <c r="K306" s="140"/>
      <c r="L306" s="140"/>
      <c r="M306" s="140"/>
      <c r="N306" s="140"/>
      <c r="O306" s="140"/>
      <c r="P306" s="140"/>
      <c r="Q306" s="155" t="s">
        <v>20</v>
      </c>
      <c r="R306" s="155"/>
      <c r="S306" s="155" t="str">
        <f>$Q306&amp;" 
" &amp; IF(NOT(ISNUMBER(F306)),"NA", TEXT(F306,"###,0"))</f>
        <v>Other Assets 
86,844</v>
      </c>
      <c r="T306" s="155"/>
      <c r="U306" s="155"/>
      <c r="V306" s="155" t="str">
        <f>$Q306&amp;" 
" &amp; IF(NOT(ISNUMBER(G306)),"NA", TEXT(G306,"###,0"))</f>
        <v>Other Assets 
132,236</v>
      </c>
      <c r="W306" s="155"/>
    </row>
    <row r="307" spans="1:23" ht="15" customHeight="1" x14ac:dyDescent="0.2">
      <c r="A307" s="158" t="s">
        <v>22</v>
      </c>
      <c r="B307" s="193" t="s">
        <v>21</v>
      </c>
      <c r="C307" s="193"/>
      <c r="D307" s="193"/>
      <c r="E307" s="193"/>
      <c r="F307" s="194">
        <f>IF(NOT(ISNUMBER(_xll.ciqfunctions.udf.CIQ($D$4,$B307, IQ_LTM, F$289, $E$4, , $F$4, $G$4))),"NA",_xll.ciqfunctions.udf.CIQ($D$4,$B307, IQ_LTM, F$289, $E$4, , $F$4, $G$4))</f>
        <v>204751</v>
      </c>
      <c r="G307" s="194">
        <f>IF(NOT(ISNUMBER(_xll.ciqfunctions.udf.CIQ($D$4,$B307, IQ_LTM, G$289, $E$4, , $F$4, $G$4))),"NA",_xll.ciqfunctions.udf.CIQ($D$4,$B307, IQ_LTM, G$289, $E$4, , $F$4, $G$4))</f>
        <v>244860</v>
      </c>
      <c r="H307" s="195">
        <f>IFERROR(IF(G307&gt;=F307,ABS(G307-F307)/ABS(F307),-ABS(G307-F307)/ABS(F307)),"N/A")</f>
        <v>0.19589159515704441</v>
      </c>
      <c r="I307" s="193"/>
      <c r="J307" s="193"/>
      <c r="K307" s="193"/>
      <c r="L307" s="193"/>
      <c r="M307" s="193"/>
      <c r="N307" s="193"/>
      <c r="O307" s="193"/>
      <c r="P307" s="193"/>
      <c r="Q307" s="155" t="s">
        <v>22</v>
      </c>
      <c r="R307" s="155"/>
      <c r="S307" s="155" t="str">
        <f>$Q307&amp;" 
" &amp; IF(NOT(ISNUMBER(F307)),"NA", TEXT(F307,"###,0"))</f>
        <v>Total Assets 
204,751</v>
      </c>
      <c r="T307" s="155"/>
      <c r="U307" s="155"/>
      <c r="V307" s="155" t="str">
        <f>$Q307&amp;" 
" &amp; IF(NOT(ISNUMBER(G307)),"NA", TEXT(G307,"###,0"))</f>
        <v>Total Assets 
244,860</v>
      </c>
      <c r="W307" s="155"/>
    </row>
    <row r="308" spans="1:23" ht="15" customHeight="1" x14ac:dyDescent="0.2">
      <c r="F308" s="189"/>
      <c r="G308" s="189"/>
      <c r="H308" s="190"/>
      <c r="Q308" s="155"/>
      <c r="R308" s="155"/>
      <c r="S308" s="155"/>
      <c r="T308" s="155"/>
      <c r="U308" s="155"/>
      <c r="V308" s="155"/>
      <c r="W308" s="155"/>
    </row>
    <row r="309" spans="1:23" ht="15" customHeight="1" x14ac:dyDescent="0.2">
      <c r="A309" s="140" t="s">
        <v>236</v>
      </c>
      <c r="B309" s="140" t="s">
        <v>237</v>
      </c>
      <c r="C309" s="140"/>
      <c r="D309" s="140"/>
      <c r="E309" s="140"/>
      <c r="F309" s="191">
        <f>IF(NOT(ISNUMBER(_xll.ciqfunctions.udf.CIQ($D$4,$B309, IQ_LTM, F$289, $E$4, , $F$4, $G$4))),"NA",_xll.ciqfunctions.udf.CIQ($D$4,$B309, IQ_LTM, F$289, $E$4, , $F$4, $G$4))</f>
        <v>0</v>
      </c>
      <c r="G309" s="191">
        <f>IF(NOT(ISNUMBER(_xll.ciqfunctions.udf.CIQ($D$4,$B309, IQ_LTM, G$289, $E$4, , $F$4, $G$4))),"NA",_xll.ciqfunctions.udf.CIQ($D$4,$B309, IQ_LTM, G$289, $E$4, , $F$4, $G$4))</f>
        <v>0</v>
      </c>
      <c r="H309" s="192" t="str">
        <f>IFERROR(IF(G309&gt;=F309,ABS(G309-F309)/ABS(F309),-ABS(G309-F309)/ABS(F309)),"N/A")</f>
        <v>N/A</v>
      </c>
      <c r="I309" s="140"/>
      <c r="J309" s="140"/>
      <c r="K309" s="140"/>
      <c r="L309" s="140"/>
      <c r="M309" s="140"/>
      <c r="N309" s="140"/>
      <c r="O309" s="140"/>
      <c r="P309" s="140"/>
      <c r="Q309" s="155" t="s">
        <v>236</v>
      </c>
      <c r="R309" s="155"/>
      <c r="S309" s="155" t="str">
        <f>$Q309&amp;" 
" &amp; IF(NOT(ISNUMBER(F309)),"NA", TEXT(F309,"###,0"))</f>
        <v>Deposits 
0</v>
      </c>
      <c r="T309" s="155"/>
      <c r="U309" s="155"/>
      <c r="V309" s="155" t="str">
        <f>$Q309&amp;" 
" &amp; IF(NOT(ISNUMBER(G309)),"NA", TEXT(G309,"###,0"))</f>
        <v>Deposits 
0</v>
      </c>
      <c r="W309" s="155"/>
    </row>
    <row r="310" spans="1:23" ht="15" customHeight="1" x14ac:dyDescent="0.2">
      <c r="A310" s="193" t="s">
        <v>29</v>
      </c>
      <c r="B310" s="193"/>
      <c r="C310" s="193"/>
      <c r="D310" s="193"/>
      <c r="E310" s="193"/>
      <c r="F310" s="194">
        <f>IFERROR(F311-F309,"NA")</f>
        <v>69345</v>
      </c>
      <c r="G310" s="194">
        <f>IFERROR(G311-G309,"NA")</f>
        <v>87379</v>
      </c>
      <c r="H310" s="195">
        <f>IFERROR(IF(G310&gt;=F310,ABS(G310-F310)/ABS(F310),-ABS(G310-F310)/ABS(F310)),"N/A")</f>
        <v>0.26006200879659674</v>
      </c>
      <c r="I310" s="193"/>
      <c r="J310" s="193"/>
      <c r="K310" s="193"/>
      <c r="L310" s="193"/>
      <c r="M310" s="193"/>
      <c r="N310" s="193"/>
      <c r="O310" s="193"/>
      <c r="P310" s="193"/>
      <c r="Q310" s="155" t="s">
        <v>29</v>
      </c>
      <c r="R310" s="155"/>
      <c r="S310" s="155" t="str">
        <f>$Q310&amp;" 
" &amp; IF(NOT(ISNUMBER(F310)),"NA", TEXT(F310,"###,0"))</f>
        <v>Other Current Liabllities 
69,345</v>
      </c>
      <c r="T310" s="155"/>
      <c r="U310" s="155"/>
      <c r="V310" s="155" t="str">
        <f>$Q310&amp;" 
" &amp; IF(NOT(ISNUMBER(G310)),"NA", TEXT(G310,"###,0"))</f>
        <v>Other Current Liabllities 
87,379</v>
      </c>
      <c r="W310" s="155"/>
    </row>
    <row r="311" spans="1:23" ht="15" customHeight="1" x14ac:dyDescent="0.2">
      <c r="A311" s="25" t="s">
        <v>27</v>
      </c>
      <c r="B311" s="25" t="s">
        <v>28</v>
      </c>
      <c r="F311" s="179">
        <f>IF(NOT(ISNUMBER(_xll.ciqfunctions.udf.CIQ($D$4,$B311, IQ_LTM, F$289, $E$4, , $F$4, $G$4))),"NA",_xll.ciqfunctions.udf.CIQ($D$4,$B311, IQ_LTM, F$289, $E$4, , $F$4, $G$4))</f>
        <v>69345</v>
      </c>
      <c r="G311" s="179">
        <f>IF(NOT(ISNUMBER(_xll.ciqfunctions.udf.CIQ($D$4,$B311, IQ_LTM, G$289, $E$4, , $F$4, $G$4))),"NA",_xll.ciqfunctions.udf.CIQ($D$4,$B311, IQ_LTM, G$289, $E$4, , $F$4, $G$4))</f>
        <v>87379</v>
      </c>
      <c r="H311" s="192">
        <f>IFERROR(IF(G311&gt;=F311,ABS(G311-F311)/ABS(F311),-ABS(G311-F311)/ABS(F311)),"N/A")</f>
        <v>0.26006200879659674</v>
      </c>
      <c r="Q311" s="155" t="s">
        <v>27</v>
      </c>
      <c r="R311" s="155"/>
      <c r="S311" s="155" t="str">
        <f>$Q311&amp;" 
" &amp; IF(NOT(ISNUMBER(F311)),"NA", TEXT(F311,"###,0"))</f>
        <v>Total Current Liabilities 
69,345</v>
      </c>
      <c r="T311" s="155"/>
      <c r="U311" s="155"/>
      <c r="V311" s="155" t="str">
        <f>$Q311&amp;" 
" &amp; IF(NOT(ISNUMBER(G311)),"NA", TEXT(G311,"###,0"))</f>
        <v>Total Current Liabilities 
87,379</v>
      </c>
      <c r="W311" s="155"/>
    </row>
    <row r="312" spans="1:23" ht="15" customHeight="1" x14ac:dyDescent="0.2">
      <c r="A312" s="24"/>
      <c r="F312" s="201"/>
      <c r="G312" s="201"/>
      <c r="H312" s="202"/>
      <c r="Q312" s="155"/>
      <c r="R312" s="155"/>
      <c r="S312" s="155"/>
      <c r="T312" s="155"/>
      <c r="U312" s="155"/>
      <c r="V312" s="155"/>
      <c r="W312" s="155"/>
    </row>
    <row r="313" spans="1:23" ht="15" customHeight="1" x14ac:dyDescent="0.2">
      <c r="A313" s="24" t="s">
        <v>32</v>
      </c>
      <c r="B313" s="24"/>
      <c r="C313" s="24"/>
      <c r="D313" s="24"/>
      <c r="E313" s="24"/>
      <c r="F313" s="207">
        <f>F307-F311</f>
        <v>135406</v>
      </c>
      <c r="G313" s="207">
        <f>IFERROR(G307-G311,"NA")</f>
        <v>157481</v>
      </c>
      <c r="H313" s="202">
        <f>IFERROR(IF(G313&gt;=F313,ABS(G313-F313)/ABS(F313),-ABS(G313-F313)/ABS(F313)),"N/A")</f>
        <v>0.16302822622335791</v>
      </c>
      <c r="Q313" s="155" t="s">
        <v>360</v>
      </c>
      <c r="R313" s="155"/>
      <c r="S313" s="155" t="str">
        <f>$Q313&amp;" 
" &amp; IF(NOT(ISNUMBER(F313)),"NA", TEXT(F313,"###,0"))</f>
        <v>Capital Employed 
135,406</v>
      </c>
      <c r="T313" s="155"/>
      <c r="U313" s="155"/>
      <c r="V313" s="155" t="str">
        <f>$Q313&amp;" 
" &amp; IF(NOT(ISNUMBER(G313)),"NA", TEXT(G313,"###,0"))</f>
        <v>Capital Employed 
157,481</v>
      </c>
      <c r="W313" s="155"/>
    </row>
    <row r="314" spans="1:23" ht="15" customHeight="1" x14ac:dyDescent="0.2">
      <c r="A314" s="24"/>
      <c r="B314" s="24"/>
      <c r="C314" s="24"/>
      <c r="D314" s="24"/>
      <c r="E314" s="24"/>
      <c r="F314" s="174"/>
      <c r="G314" s="174"/>
      <c r="H314" s="200"/>
      <c r="I314" s="24"/>
      <c r="Q314" s="155"/>
      <c r="R314" s="155"/>
      <c r="S314" s="155" t="str">
        <f>A314&amp;" "&amp;F314</f>
        <v xml:space="preserve"> </v>
      </c>
      <c r="T314" s="155"/>
      <c r="U314" s="155"/>
      <c r="V314" s="155"/>
      <c r="W314" s="155"/>
    </row>
    <row r="315" spans="1:23" ht="15" customHeight="1" x14ac:dyDescent="0.2">
      <c r="A315" s="24" t="s">
        <v>31</v>
      </c>
      <c r="B315" s="24"/>
      <c r="C315" s="24"/>
      <c r="D315" s="24"/>
      <c r="E315" s="24"/>
      <c r="F315" s="174">
        <f>F300/F313</f>
        <v>0.11832562811101428</v>
      </c>
      <c r="G315" s="174">
        <f>IFERROR(G300/G313,"NA")</f>
        <v>8.6823172319200406E-2</v>
      </c>
      <c r="H315" s="203">
        <f>IFERROR(IF(G315&gt;=F315,ABS(G315-F315)/ABS(F315),-ABS(G315-F315)/ABS(F315)),"N/A")</f>
        <v>-0.26623527206006425</v>
      </c>
      <c r="Q315" s="155" t="s">
        <v>196</v>
      </c>
      <c r="R315" s="155"/>
      <c r="S315" s="155" t="str">
        <f>$Q315&amp;" 
" &amp; IF(NOT(ISNUMBER(F315)),"NA", TEXT(F315,"0.00%"))</f>
        <v>ROCE 
11.83%</v>
      </c>
      <c r="T315" s="155"/>
      <c r="U315" s="155"/>
      <c r="V315" s="155" t="str">
        <f>$Q315&amp;" 
" &amp; IF(NOT(ISNUMBER(G315)),"NA", TEXT(G315,"0.00%"))</f>
        <v>ROCE 
8.68%</v>
      </c>
      <c r="W315" s="155"/>
    </row>
  </sheetData>
  <dataConsolidate/>
  <conditionalFormatting sqref="H292 H295:H299 H303:H307 H312">
    <cfRule type="cellIs" dxfId="278" priority="7" operator="lessThan">
      <formula>0</formula>
    </cfRule>
    <cfRule type="cellIs" dxfId="277" priority="8" operator="greaterThan">
      <formula>0</formula>
    </cfRule>
  </conditionalFormatting>
  <conditionalFormatting sqref="H291 H312 H293:H310">
    <cfRule type="cellIs" dxfId="276" priority="9" operator="lessThan">
      <formula>0</formula>
    </cfRule>
    <cfRule type="cellIs" dxfId="275" priority="10" operator="greaterThan">
      <formula>0</formula>
    </cfRule>
  </conditionalFormatting>
  <conditionalFormatting sqref="H313 H315">
    <cfRule type="cellIs" dxfId="274" priority="5" operator="lessThan">
      <formula>0</formula>
    </cfRule>
    <cfRule type="cellIs" dxfId="273" priority="6" operator="greaterThan">
      <formula>0</formula>
    </cfRule>
  </conditionalFormatting>
  <conditionalFormatting sqref="H313">
    <cfRule type="cellIs" dxfId="272" priority="3" operator="lessThan">
      <formula>0</formula>
    </cfRule>
    <cfRule type="cellIs" dxfId="271" priority="4" operator="greaterThan">
      <formula>0</formula>
    </cfRule>
  </conditionalFormatting>
  <conditionalFormatting sqref="H311">
    <cfRule type="cellIs" dxfId="270" priority="1" operator="lessThan">
      <formula>0</formula>
    </cfRule>
    <cfRule type="cellIs" dxfId="269" priority="2" operator="greaterThan">
      <formula>0</formula>
    </cfRule>
  </conditionalFormatting>
  <pageMargins left="0.7" right="0.7" top="0.75" bottom="0.75" header="0.3" footer="0.3"/>
  <pageSetup orientation="portrait" horizontalDpi="1200" verticalDpi="1200" r:id="rId1"/>
  <ignoredErrors>
    <ignoredError sqref="D93:D94 D98" evalError="1"/>
    <ignoredError sqref="C25:W25 C48:W48" formula="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theme="0" tint="-0.499984740745262"/>
  </sheetPr>
  <dimension ref="A1:AC265"/>
  <sheetViews>
    <sheetView showGridLines="0" workbookViewId="0"/>
  </sheetViews>
  <sheetFormatPr defaultColWidth="9" defaultRowHeight="12.75" outlineLevelRow="1" outlineLevelCol="1" x14ac:dyDescent="0.2"/>
  <cols>
    <col min="1" max="1" width="28.25" style="25" customWidth="1"/>
    <col min="2" max="2" width="20.5" style="25" hidden="1" customWidth="1" outlineLevel="1"/>
    <col min="3" max="3" width="11" style="25" customWidth="1" outlineLevel="1"/>
    <col min="4" max="7" width="11" style="25" customWidth="1"/>
    <col min="8" max="8" width="16.25" style="25" customWidth="1"/>
    <col min="9" max="13" width="10.5" style="25" customWidth="1"/>
    <col min="14" max="23" width="10.5" style="25" hidden="1" customWidth="1"/>
    <col min="24" max="26" width="9" style="25"/>
    <col min="27" max="27" width="15.25" style="25" bestFit="1" customWidth="1"/>
    <col min="28" max="16384" width="9" style="25"/>
  </cols>
  <sheetData>
    <row r="1" spans="1:23" ht="20.100000000000001" customHeight="1" x14ac:dyDescent="0.2">
      <c r="A1" s="441" t="s">
        <v>353</v>
      </c>
      <c r="B1" s="441"/>
      <c r="C1" s="441"/>
      <c r="D1" s="909"/>
      <c r="E1" s="909"/>
      <c r="F1" s="909"/>
      <c r="G1" s="910"/>
      <c r="H1" s="911"/>
      <c r="I1" s="911"/>
      <c r="J1" s="911"/>
      <c r="K1" s="902" t="str">
        <f>Input!C9</f>
        <v>Walmart Inc.</v>
      </c>
      <c r="L1" s="911"/>
      <c r="M1" s="911"/>
      <c r="N1" s="911"/>
      <c r="O1" s="911"/>
      <c r="P1" s="911"/>
      <c r="Q1" s="911"/>
      <c r="R1" s="911"/>
      <c r="S1" s="911"/>
      <c r="T1" s="911"/>
      <c r="U1" s="911"/>
      <c r="V1" s="911"/>
      <c r="W1" s="911"/>
    </row>
    <row r="2" spans="1:23" s="161" customFormat="1" ht="15" customHeight="1" x14ac:dyDescent="0.2">
      <c r="A2" s="240"/>
      <c r="B2" s="240"/>
      <c r="C2" s="142"/>
      <c r="D2" s="142"/>
      <c r="E2" s="142"/>
      <c r="F2" s="142"/>
      <c r="G2" s="21"/>
      <c r="H2" s="239"/>
      <c r="I2" s="239"/>
      <c r="J2" s="239"/>
      <c r="K2" s="239"/>
      <c r="L2" s="239"/>
      <c r="M2" s="239"/>
      <c r="N2" s="239"/>
      <c r="O2" s="239"/>
      <c r="P2" s="239"/>
      <c r="Q2" s="239"/>
      <c r="R2" s="239"/>
      <c r="S2" s="239"/>
      <c r="T2" s="239"/>
      <c r="U2" s="239"/>
      <c r="V2" s="239"/>
      <c r="W2" s="239"/>
    </row>
    <row r="3" spans="1:23" ht="15" customHeight="1" outlineLevel="1" x14ac:dyDescent="0.2">
      <c r="A3" s="24"/>
      <c r="B3" s="24"/>
      <c r="E3" s="25" t="s">
        <v>369</v>
      </c>
      <c r="F3" s="25" t="s">
        <v>367</v>
      </c>
      <c r="G3" s="25" t="s">
        <v>370</v>
      </c>
      <c r="H3" s="25" t="s">
        <v>59</v>
      </c>
    </row>
    <row r="4" spans="1:23" ht="15" customHeight="1" outlineLevel="1" x14ac:dyDescent="0.2">
      <c r="A4" s="25" t="s">
        <v>368</v>
      </c>
      <c r="D4" s="25" t="str">
        <f>Target</f>
        <v>NYSE:WMT</v>
      </c>
      <c r="E4" s="25" t="s">
        <v>371</v>
      </c>
      <c r="F4" s="25" t="str">
        <f>Input!$C$6</f>
        <v>USD</v>
      </c>
      <c r="G4" s="25" t="s">
        <v>372</v>
      </c>
      <c r="H4" s="229">
        <f>Input!C8</f>
        <v>44645</v>
      </c>
    </row>
    <row r="5" spans="1:23" ht="15" customHeight="1" outlineLevel="1" x14ac:dyDescent="0.2">
      <c r="A5" s="201"/>
      <c r="B5" s="24"/>
      <c r="C5" s="229"/>
      <c r="D5" s="229"/>
    </row>
    <row r="6" spans="1:23" ht="15" customHeight="1" outlineLevel="1" x14ac:dyDescent="0.2">
      <c r="A6" s="27" t="s">
        <v>189</v>
      </c>
      <c r="B6" s="27"/>
      <c r="C6" s="36">
        <v>0</v>
      </c>
      <c r="D6" s="36">
        <v>1</v>
      </c>
      <c r="E6" s="36">
        <f>D6+1</f>
        <v>2</v>
      </c>
      <c r="F6" s="36">
        <f t="shared" ref="F6:W6" si="0">E6+1</f>
        <v>3</v>
      </c>
      <c r="G6" s="36">
        <f t="shared" si="0"/>
        <v>4</v>
      </c>
      <c r="H6" s="36">
        <f t="shared" si="0"/>
        <v>5</v>
      </c>
      <c r="I6" s="36">
        <f t="shared" si="0"/>
        <v>6</v>
      </c>
      <c r="J6" s="36">
        <f t="shared" si="0"/>
        <v>7</v>
      </c>
      <c r="K6" s="36">
        <f t="shared" si="0"/>
        <v>8</v>
      </c>
      <c r="L6" s="36">
        <f t="shared" si="0"/>
        <v>9</v>
      </c>
      <c r="M6" s="36">
        <f t="shared" si="0"/>
        <v>10</v>
      </c>
      <c r="N6" s="36">
        <f t="shared" si="0"/>
        <v>11</v>
      </c>
      <c r="O6" s="36">
        <f t="shared" si="0"/>
        <v>12</v>
      </c>
      <c r="P6" s="36">
        <f t="shared" si="0"/>
        <v>13</v>
      </c>
      <c r="Q6" s="36">
        <f t="shared" si="0"/>
        <v>14</v>
      </c>
      <c r="R6" s="36">
        <f t="shared" si="0"/>
        <v>15</v>
      </c>
      <c r="S6" s="36">
        <f t="shared" si="0"/>
        <v>16</v>
      </c>
      <c r="T6" s="36">
        <f t="shared" si="0"/>
        <v>17</v>
      </c>
      <c r="U6" s="36">
        <f t="shared" si="0"/>
        <v>18</v>
      </c>
      <c r="V6" s="36">
        <f t="shared" si="0"/>
        <v>19</v>
      </c>
      <c r="W6" s="36">
        <f t="shared" si="0"/>
        <v>20</v>
      </c>
    </row>
    <row r="7" spans="1:23" ht="15" customHeight="1" outlineLevel="1" x14ac:dyDescent="0.2">
      <c r="A7" s="27" t="s">
        <v>58</v>
      </c>
      <c r="B7" s="27"/>
      <c r="C7" s="36" t="str">
        <f>IF(TimePeriodType="Quarter",IF(D7=1,4,D7-1),"N/A")</f>
        <v>N/A</v>
      </c>
      <c r="D7" s="36" t="str">
        <f>IF(TimePeriodType="Quarter",StartingCompanyQuarter,"N/A")</f>
        <v>N/A</v>
      </c>
      <c r="E7" s="36" t="str">
        <f>IF(E$6&lt;=ImpData!$B$4,IF(TimePeriodType="Quarter",IF(D7&lt;&gt;4,D7+1,1),"N/A"),"")</f>
        <v>N/A</v>
      </c>
      <c r="F7" s="36" t="str">
        <f>IF(F$6&lt;=ImpData!$B$4,IF(TimePeriodType="Quarter",IF(E7&lt;&gt;4,E7+1,1),"N/A"),"")</f>
        <v>N/A</v>
      </c>
      <c r="G7" s="36" t="str">
        <f>IF(G$6&lt;=ImpData!$B$4,IF(TimePeriodType="Quarter",IF(F7&lt;&gt;4,F7+1,1),"N/A"),"")</f>
        <v>N/A</v>
      </c>
      <c r="H7" s="36" t="str">
        <f>IF(H$6&lt;=ImpData!$B$4,IF(TimePeriodType="Quarter",IF(G7&lt;&gt;4,G7+1,1),"N/A"),"")</f>
        <v>N/A</v>
      </c>
      <c r="I7" s="36" t="str">
        <f>IF(I$6&lt;=ImpData!$B$4,IF(TimePeriodType="Quarter",IF(H7&lt;&gt;4,H7+1,1),"N/A"),"")</f>
        <v>N/A</v>
      </c>
      <c r="J7" s="36" t="str">
        <f>IF(J$6&lt;=ImpData!$B$4,IF(TimePeriodType="Quarter",IF(I7&lt;&gt;4,I7+1,1),"N/A"),"")</f>
        <v>N/A</v>
      </c>
      <c r="K7" s="36" t="str">
        <f>IF(K$6&lt;=ImpData!$B$4,IF(TimePeriodType="Quarter",IF(J7&lt;&gt;4,J7+1,1),"N/A"),"")</f>
        <v>N/A</v>
      </c>
      <c r="L7" s="36" t="str">
        <f>IF(L$6&lt;=ImpData!$B$4,IF(TimePeriodType="Quarter",IF(K7&lt;&gt;4,K7+1,1),"N/A"),"")</f>
        <v>N/A</v>
      </c>
      <c r="M7" s="36" t="str">
        <f>IF(M$6&lt;=ImpData!$B$4,IF(TimePeriodType="Quarter",IF(L7&lt;&gt;4,L7+1,1),"N/A"),"")</f>
        <v/>
      </c>
      <c r="N7" s="36" t="str">
        <f>IF(N$6&lt;=ImpData!$B$4,IF(TimePeriodType="Quarter",IF(M7&lt;&gt;4,M7+1,1),"N/A"),"")</f>
        <v/>
      </c>
      <c r="O7" s="36" t="str">
        <f>IF(O$6&lt;=ImpData!$B$4,IF(TimePeriodType="Quarter",IF(N7&lt;&gt;4,N7+1,1),"N/A"),"")</f>
        <v/>
      </c>
      <c r="P7" s="36" t="str">
        <f>IF(P$6&lt;=ImpData!$B$4,IF(TimePeriodType="Quarter",IF(O7&lt;&gt;4,O7+1,1),"N/A"),"")</f>
        <v/>
      </c>
      <c r="Q7" s="36" t="str">
        <f>IF(Q$6&lt;=ImpData!$B$4,IF(TimePeriodType="Quarter",IF(P7&lt;&gt;4,P7+1,1),"N/A"),"")</f>
        <v/>
      </c>
      <c r="R7" s="36" t="str">
        <f>IF(R$6&lt;=ImpData!$B$4,IF(TimePeriodType="Quarter",IF(Q7&lt;&gt;4,Q7+1,1),"N/A"),"")</f>
        <v/>
      </c>
      <c r="S7" s="36" t="str">
        <f>IF(S$6&lt;=ImpData!$B$4,IF(TimePeriodType="Quarter",IF(R7&lt;&gt;4,R7+1,1),"N/A"),"")</f>
        <v/>
      </c>
      <c r="T7" s="36" t="str">
        <f>IF(T$6&lt;=ImpData!$B$4,IF(TimePeriodType="Quarter",IF(S7&lt;&gt;4,S7+1,1),"N/A"),"")</f>
        <v/>
      </c>
      <c r="U7" s="36" t="str">
        <f>IF(U$6&lt;=ImpData!$B$4,IF(TimePeriodType="Quarter",IF(T7&lt;&gt;4,T7+1,1),"N/A"),"")</f>
        <v/>
      </c>
      <c r="V7" s="36" t="str">
        <f>IF(V$6&lt;=ImpData!$B$4,IF(TimePeriodType="Quarter",IF(U7&lt;&gt;4,U7+1,1),"N/A"),"")</f>
        <v/>
      </c>
      <c r="W7" s="36" t="str">
        <f>IF(W$6&lt;=ImpData!$B$4,IF(TimePeriodType="Quarter",IF(V7&lt;&gt;4,V7+1,1),"N/A"),"")</f>
        <v/>
      </c>
    </row>
    <row r="8" spans="1:23" ht="15" customHeight="1" outlineLevel="1" x14ac:dyDescent="0.2">
      <c r="A8" s="27" t="s">
        <v>188</v>
      </c>
      <c r="B8" s="27"/>
      <c r="C8" s="36">
        <f>IF(TimePeriodType="Quarter",IF(D7=1,D8-1,D8),D8-1)</f>
        <v>2013</v>
      </c>
      <c r="D8" s="36" t="str">
        <f>StartingCompanyYear</f>
        <v>2014</v>
      </c>
      <c r="E8" s="36">
        <f>IF(E7="","",IF(TimePeriodType="Quarter",IF(D7&lt;&gt;4,D8,D8+1),IF(E6&gt;ImpData!$B$4,"",'Financial Data'!D8+1)))</f>
        <v>2015</v>
      </c>
      <c r="F8" s="36">
        <f>IF(F7="","",IF(TimePeriodType="Quarter",IF(E7&lt;&gt;4,E8,E8+1),IF(F6&gt;ImpData!$B$4,"",'Financial Data'!E8+1)))</f>
        <v>2016</v>
      </c>
      <c r="G8" s="36">
        <f>IF(G7="","",IF(TimePeriodType="Quarter",IF(F7&lt;&gt;4,F8,F8+1),IF(G6&gt;ImpData!$B$4,"",'Financial Data'!F8+1)))</f>
        <v>2017</v>
      </c>
      <c r="H8" s="36">
        <f>IF(H7="","",IF(TimePeriodType="Quarter",IF(G7&lt;&gt;4,G8,G8+1),IF(H6&gt;ImpData!$B$4,"",'Financial Data'!G8+1)))</f>
        <v>2018</v>
      </c>
      <c r="I8" s="36">
        <f>IF(I7="","",IF(TimePeriodType="Quarter",IF(H7&lt;&gt;4,H8,H8+1),IF(I6&gt;ImpData!$B$4,"",'Financial Data'!H8+1)))</f>
        <v>2019</v>
      </c>
      <c r="J8" s="36">
        <f>IF(J7="","",IF(TimePeriodType="Quarter",IF(I7&lt;&gt;4,I8,I8+1),IF(J6&gt;ImpData!$B$4,"",'Financial Data'!I8+1)))</f>
        <v>2020</v>
      </c>
      <c r="K8" s="36">
        <f>IF(K7="","",IF(TimePeriodType="Quarter",IF(J7&lt;&gt;4,J8,J8+1),IF(K6&gt;ImpData!$B$4,"",'Financial Data'!J8+1)))</f>
        <v>2021</v>
      </c>
      <c r="L8" s="36">
        <f>IF(L7="","",IF(TimePeriodType="Quarter",IF(K7&lt;&gt;4,K8,K8+1),IF(L6&gt;ImpData!$B$4,"",'Financial Data'!K8+1)))</f>
        <v>2022</v>
      </c>
      <c r="M8" s="36" t="str">
        <f>IF(M7="","",IF(TimePeriodType="Quarter",IF(L7&lt;&gt;4,L8,L8+1),IF(M6&gt;ImpData!$B$4,"",'Financial Data'!L8+1)))</f>
        <v/>
      </c>
      <c r="N8" s="36" t="str">
        <f>IF(N7="","",IF(TimePeriodType="Quarter",IF(M7&lt;&gt;4,M8,M8+1),IF(N6&gt;ImpData!$B$4,"",'Financial Data'!M8+1)))</f>
        <v/>
      </c>
      <c r="O8" s="36" t="str">
        <f>IF(O7="","",IF(TimePeriodType="Quarter",IF(N7&lt;&gt;4,N8,N8+1),IF(O6&gt;ImpData!$B$4,"",'Financial Data'!N8+1)))</f>
        <v/>
      </c>
      <c r="P8" s="36" t="str">
        <f>IF(P7="","",IF(TimePeriodType="Quarter",IF(O7&lt;&gt;4,O8,O8+1),IF(P6&gt;ImpData!$B$4,"",'Financial Data'!O8+1)))</f>
        <v/>
      </c>
      <c r="Q8" s="36" t="str">
        <f>IF(Q7="","",IF(TimePeriodType="Quarter",IF(P7&lt;&gt;4,P8,P8+1),IF(Q6&gt;ImpData!$B$4,"",'Financial Data'!P8+1)))</f>
        <v/>
      </c>
      <c r="R8" s="36" t="str">
        <f>IF(R7="","",IF(TimePeriodType="Quarter",IF(Q7&lt;&gt;4,Q8,Q8+1),IF(R6&gt;ImpData!$B$4,"",'Financial Data'!Q8+1)))</f>
        <v/>
      </c>
      <c r="S8" s="36" t="str">
        <f>IF(S7="","",IF(TimePeriodType="Quarter",IF(R7&lt;&gt;4,R8,R8+1),IF(S6&gt;ImpData!$B$4,"",'Financial Data'!R8+1)))</f>
        <v/>
      </c>
      <c r="T8" s="36" t="str">
        <f>IF(T7="","",IF(TimePeriodType="Quarter",IF(S7&lt;&gt;4,S8,S8+1),IF(T6&gt;ImpData!$B$4,"",'Financial Data'!S8+1)))</f>
        <v/>
      </c>
      <c r="U8" s="36" t="str">
        <f>IF(U7="","",IF(TimePeriodType="Quarter",IF(T7&lt;&gt;4,T8,T8+1),IF(U6&gt;ImpData!$B$4,"",'Financial Data'!T8+1)))</f>
        <v/>
      </c>
      <c r="V8" s="36" t="str">
        <f>IF(V7="","",IF(TimePeriodType="Quarter",IF(U7&lt;&gt;4,U8,U8+1),IF(V6&gt;ImpData!$B$4,"",'Financial Data'!U8+1)))</f>
        <v/>
      </c>
      <c r="W8" s="36" t="str">
        <f>IF(W7="","",IF(TimePeriodType="Quarter",IF(V7&lt;&gt;4,V8,V8+1),IF(W6&gt;ImpData!$B$4,"",'Financial Data'!V8+1)))</f>
        <v/>
      </c>
    </row>
    <row r="9" spans="1:23" ht="15" customHeight="1" outlineLevel="1" x14ac:dyDescent="0.2">
      <c r="A9" s="27" t="s">
        <v>355</v>
      </c>
      <c r="B9" s="27"/>
      <c r="C9" s="36" t="str">
        <f t="shared" ref="C9:K9" si="1">IF(C7&lt;&gt;"",IF(TimePeriodType="Quarter","FQ"&amp;C7&amp;C8,"FY"&amp;C8),"")</f>
        <v>FY2013</v>
      </c>
      <c r="D9" s="36" t="str">
        <f>IF(D7&lt;&gt;"",IF(TimePeriodType="Quarter","FQ"&amp;D7&amp;D8,"FY"&amp;D8),"")</f>
        <v>FY2014</v>
      </c>
      <c r="E9" s="36" t="str">
        <f>IF(E7&lt;&gt;"",IF(TimePeriodType="Quarter","FQ"&amp;E7&amp;E8,"FY"&amp;E8),"")</f>
        <v>FY2015</v>
      </c>
      <c r="F9" s="36" t="str">
        <f t="shared" si="1"/>
        <v>FY2016</v>
      </c>
      <c r="G9" s="36" t="str">
        <f t="shared" si="1"/>
        <v>FY2017</v>
      </c>
      <c r="H9" s="36" t="str">
        <f t="shared" si="1"/>
        <v>FY2018</v>
      </c>
      <c r="I9" s="36" t="str">
        <f t="shared" si="1"/>
        <v>FY2019</v>
      </c>
      <c r="J9" s="36" t="str">
        <f t="shared" si="1"/>
        <v>FY2020</v>
      </c>
      <c r="K9" s="36" t="str">
        <f t="shared" si="1"/>
        <v>FY2021</v>
      </c>
      <c r="L9" s="28" t="str">
        <f t="shared" ref="L9:W9" si="2">IF(L7&lt;&gt;"",IF(TimePeriodType="Quarter","FQ"&amp;L7&amp;L8,"FY"&amp;L8),"")</f>
        <v>FY2022</v>
      </c>
      <c r="M9" s="28" t="str">
        <f t="shared" si="2"/>
        <v/>
      </c>
      <c r="N9" s="28" t="str">
        <f t="shared" si="2"/>
        <v/>
      </c>
      <c r="O9" s="28" t="str">
        <f t="shared" si="2"/>
        <v/>
      </c>
      <c r="P9" s="28" t="str">
        <f t="shared" si="2"/>
        <v/>
      </c>
      <c r="Q9" s="28" t="str">
        <f t="shared" si="2"/>
        <v/>
      </c>
      <c r="R9" s="28" t="str">
        <f t="shared" si="2"/>
        <v/>
      </c>
      <c r="S9" s="28" t="str">
        <f t="shared" si="2"/>
        <v/>
      </c>
      <c r="T9" s="28" t="str">
        <f t="shared" si="2"/>
        <v/>
      </c>
      <c r="U9" s="28" t="str">
        <f t="shared" si="2"/>
        <v/>
      </c>
      <c r="V9" s="28" t="str">
        <f t="shared" si="2"/>
        <v/>
      </c>
      <c r="W9" s="28" t="str">
        <f t="shared" si="2"/>
        <v/>
      </c>
    </row>
    <row r="10" spans="1:23" ht="15" customHeight="1" x14ac:dyDescent="0.2">
      <c r="A10" s="42" t="s">
        <v>189</v>
      </c>
      <c r="B10" s="42" t="s">
        <v>409</v>
      </c>
      <c r="C10" s="43" t="str">
        <f t="shared" ref="C10:K10" si="3">IF(C7&lt;&gt;"",IF(TimePeriodType="Quarter","FQ"&amp;C7&amp;"'"&amp;RIGHT(C8,2),"FY"&amp;C8),"")</f>
        <v>FY2013</v>
      </c>
      <c r="D10" s="43" t="str">
        <f t="shared" si="3"/>
        <v>FY2014</v>
      </c>
      <c r="E10" s="43" t="str">
        <f t="shared" si="3"/>
        <v>FY2015</v>
      </c>
      <c r="F10" s="43" t="str">
        <f t="shared" si="3"/>
        <v>FY2016</v>
      </c>
      <c r="G10" s="43" t="str">
        <f t="shared" si="3"/>
        <v>FY2017</v>
      </c>
      <c r="H10" s="43" t="str">
        <f t="shared" si="3"/>
        <v>FY2018</v>
      </c>
      <c r="I10" s="43" t="str">
        <f t="shared" si="3"/>
        <v>FY2019</v>
      </c>
      <c r="J10" s="43" t="str">
        <f t="shared" si="3"/>
        <v>FY2020</v>
      </c>
      <c r="K10" s="43" t="str">
        <f t="shared" si="3"/>
        <v>FY2021</v>
      </c>
      <c r="L10" s="43" t="str">
        <f t="shared" ref="L10:W10" si="4">IF(L7&lt;&gt;"",IF(TimePeriodType="Quarter","FQ"&amp;L7&amp;"'"&amp;RIGHT(L8,2),"FY"&amp;L8),"")</f>
        <v>FY2022</v>
      </c>
      <c r="M10" s="43" t="str">
        <f t="shared" si="4"/>
        <v/>
      </c>
      <c r="N10" s="43" t="str">
        <f t="shared" si="4"/>
        <v/>
      </c>
      <c r="O10" s="43" t="str">
        <f t="shared" si="4"/>
        <v/>
      </c>
      <c r="P10" s="43" t="str">
        <f t="shared" si="4"/>
        <v/>
      </c>
      <c r="Q10" s="43" t="str">
        <f t="shared" si="4"/>
        <v/>
      </c>
      <c r="R10" s="43" t="str">
        <f t="shared" si="4"/>
        <v/>
      </c>
      <c r="S10" s="43" t="str">
        <f t="shared" si="4"/>
        <v/>
      </c>
      <c r="T10" s="43" t="str">
        <f t="shared" si="4"/>
        <v/>
      </c>
      <c r="U10" s="43" t="str">
        <f t="shared" si="4"/>
        <v/>
      </c>
      <c r="V10" s="43" t="str">
        <f t="shared" si="4"/>
        <v/>
      </c>
      <c r="W10" s="43" t="str">
        <f t="shared" si="4"/>
        <v/>
      </c>
    </row>
    <row r="11" spans="1:23" s="161" customFormat="1" ht="15" customHeight="1" x14ac:dyDescent="0.2">
      <c r="A11" s="33"/>
      <c r="B11" s="33"/>
      <c r="C11" s="34"/>
      <c r="D11" s="34"/>
      <c r="E11" s="34"/>
      <c r="F11" s="34"/>
      <c r="G11" s="34"/>
      <c r="H11" s="34"/>
      <c r="I11" s="34"/>
      <c r="J11" s="34"/>
      <c r="K11" s="34"/>
      <c r="L11" s="35"/>
      <c r="M11" s="35"/>
      <c r="N11" s="35"/>
      <c r="O11" s="35"/>
      <c r="P11" s="35"/>
      <c r="Q11" s="35"/>
      <c r="R11" s="35"/>
      <c r="S11" s="35"/>
      <c r="T11" s="35"/>
      <c r="U11" s="35"/>
      <c r="V11" s="35"/>
      <c r="W11" s="35"/>
    </row>
    <row r="12" spans="1:23" s="161" customFormat="1" ht="15" customHeight="1" thickBot="1" x14ac:dyDescent="0.25">
      <c r="A12" s="176" t="s">
        <v>353</v>
      </c>
      <c r="B12" s="176"/>
      <c r="C12" s="177"/>
      <c r="D12" s="177"/>
      <c r="E12" s="177"/>
      <c r="F12" s="177"/>
      <c r="G12" s="177"/>
      <c r="H12" s="177"/>
      <c r="I12" s="177"/>
      <c r="J12" s="177"/>
      <c r="K12" s="177"/>
      <c r="L12" s="177"/>
      <c r="M12" s="177"/>
      <c r="N12" s="177"/>
      <c r="O12" s="177"/>
      <c r="P12" s="177"/>
      <c r="Q12" s="177"/>
      <c r="R12" s="177"/>
      <c r="S12" s="177"/>
      <c r="T12" s="177"/>
      <c r="U12" s="177"/>
      <c r="V12" s="177"/>
      <c r="W12" s="177"/>
    </row>
    <row r="13" spans="1:23" s="161" customFormat="1" ht="15" customHeight="1" x14ac:dyDescent="0.2">
      <c r="A13" s="33"/>
      <c r="B13" s="33"/>
      <c r="C13" s="34"/>
      <c r="D13" s="34"/>
      <c r="E13" s="34"/>
      <c r="F13" s="34"/>
      <c r="G13" s="34"/>
      <c r="H13" s="34"/>
      <c r="I13" s="34"/>
      <c r="J13" s="34"/>
      <c r="K13" s="34"/>
      <c r="L13" s="35"/>
      <c r="M13" s="35"/>
      <c r="N13" s="35"/>
      <c r="O13" s="35"/>
      <c r="P13" s="35"/>
      <c r="Q13" s="35"/>
      <c r="R13" s="35"/>
      <c r="S13" s="35"/>
      <c r="T13" s="35"/>
      <c r="U13" s="35"/>
      <c r="V13" s="35"/>
      <c r="W13" s="35"/>
    </row>
    <row r="14" spans="1:23" ht="15" customHeight="1" x14ac:dyDescent="0.2">
      <c r="A14" s="878" t="s">
        <v>47</v>
      </c>
      <c r="B14" s="878"/>
      <c r="C14" s="879"/>
      <c r="D14" s="879"/>
      <c r="E14" s="879"/>
      <c r="F14" s="879"/>
      <c r="G14" s="879"/>
      <c r="H14" s="879"/>
      <c r="I14" s="879"/>
      <c r="J14" s="879"/>
      <c r="K14" s="879"/>
      <c r="L14" s="931"/>
      <c r="M14" s="931"/>
      <c r="N14" s="931"/>
      <c r="O14" s="931"/>
      <c r="P14" s="931"/>
      <c r="Q14" s="931"/>
      <c r="R14" s="931"/>
      <c r="S14" s="931"/>
      <c r="T14" s="931"/>
      <c r="U14" s="931"/>
      <c r="V14" s="931"/>
      <c r="W14" s="931"/>
    </row>
    <row r="15" spans="1:23" ht="15" customHeight="1" x14ac:dyDescent="0.2">
      <c r="A15" s="140" t="s">
        <v>33</v>
      </c>
      <c r="B15" s="230" t="s">
        <v>373</v>
      </c>
      <c r="C15" s="178">
        <f>IF(C$9="","",IF(NOT(ISNUMBER(_xll.ciqfunctions.udf.CIQ($D$4, $B15, C$9, $H$4, $E$4, , $F$4, $G$4))),"",_xll.ciqfunctions.udf.CIQ($D$4, $B15, C$9, $H$4, $E$4, , $F$4, $G$4)))</f>
        <v>468651</v>
      </c>
      <c r="D15" s="178">
        <f>IF(D$9="","",IF(NOT(ISNUMBER(_xll.ciqfunctions.udf.CIQ($D$4, $B15, D$9, $H$4, $E$4, , $F$4, $G$4))),"",_xll.ciqfunctions.udf.CIQ($D$4, $B15, D$9, $H$4, $E$4, , $F$4, $G$4)))</f>
        <v>476294</v>
      </c>
      <c r="E15" s="178">
        <f>IF(E$9="","",IF(NOT(ISNUMBER(_xll.ciqfunctions.udf.CIQ($D$4, $B15, E$9, $H$4, $E$4, , $F$4, $G$4))),"",_xll.ciqfunctions.udf.CIQ($D$4, $B15, E$9, $H$4, $E$4, , $F$4, $G$4)))</f>
        <v>485651</v>
      </c>
      <c r="F15" s="178">
        <f>IF(F$9="","",IF(NOT(ISNUMBER(_xll.ciqfunctions.udf.CIQ($D$4, $B15, F$9, $H$4, $E$4, , $F$4, $G$4))),"",_xll.ciqfunctions.udf.CIQ($D$4, $B15, F$9, $H$4, $E$4, , $F$4, $G$4)))</f>
        <v>482130</v>
      </c>
      <c r="G15" s="178">
        <f>IF(G$9="","",IF(NOT(ISNUMBER(_xll.ciqfunctions.udf.CIQ($D$4, $B15, G$9, $H$4, $E$4, , $F$4, $G$4))),"",_xll.ciqfunctions.udf.CIQ($D$4, $B15, G$9, $H$4, $E$4, , $F$4, $G$4)))</f>
        <v>485873</v>
      </c>
      <c r="H15" s="178">
        <f>IF(H$9="","",IF(NOT(ISNUMBER(_xll.ciqfunctions.udf.CIQ($D$4, $B15, H$9, $H$4, $E$4, , $F$4, $G$4))),"",_xll.ciqfunctions.udf.CIQ($D$4, $B15, H$9, $H$4, $E$4, , $F$4, $G$4)))</f>
        <v>500343</v>
      </c>
      <c r="I15" s="178">
        <f>IF(I$9="","",IF(NOT(ISNUMBER(_xll.ciqfunctions.udf.CIQ($D$4, $B15, I$9, $H$4, $E$4, , $F$4, $G$4))),"",_xll.ciqfunctions.udf.CIQ($D$4, $B15, I$9, $H$4, $E$4, , $F$4, $G$4)))</f>
        <v>514405</v>
      </c>
      <c r="J15" s="178">
        <f>IF(J$9="","",IF(NOT(ISNUMBER(_xll.ciqfunctions.udf.CIQ($D$4, $B15, J$9, $H$4, $E$4, , $F$4, $G$4))),"",_xll.ciqfunctions.udf.CIQ($D$4, $B15, J$9, $H$4, $E$4, , $F$4, $G$4)))</f>
        <v>523964</v>
      </c>
      <c r="K15" s="178">
        <f>IF(K$9="","",IF(NOT(ISNUMBER(_xll.ciqfunctions.udf.CIQ($D$4, $B15, K$9, $H$4, $E$4, , $F$4, $G$4))),"",_xll.ciqfunctions.udf.CIQ($D$4, $B15, K$9, $H$4, $E$4, , $F$4, $G$4)))</f>
        <v>559151</v>
      </c>
      <c r="L15" s="178">
        <f>IF(L$9="","",IF(NOT(ISNUMBER(_xll.ciqfunctions.udf.CIQ($D$4, $B15, L$9, $H$4, $E$4, , $F$4, $G$4))),"",_xll.ciqfunctions.udf.CIQ($D$4, $B15, L$9, $H$4, $E$4, , $F$4, $G$4)))</f>
        <v>572754</v>
      </c>
      <c r="M15" s="178" t="str">
        <f>IF(M$9="","",IF(NOT(ISNUMBER(_xll.ciqfunctions.udf.CIQ($D$4, $B15, M$9, $H$4, $E$4, , $F$4, $G$4))),"",_xll.ciqfunctions.udf.CIQ($D$4, $B15, M$9, $H$4, $E$4, , $F$4, $G$4)))</f>
        <v/>
      </c>
      <c r="N15" s="178" t="str">
        <f>IF(N$9="","",IF(NOT(ISNUMBER(_xll.ciqfunctions.udf.CIQ($D$4, $B15, N$9, $H$4, $E$4, , $F$4, $G$4))),"",_xll.ciqfunctions.udf.CIQ($D$4, $B15, N$9, $H$4, $E$4, , $F$4, $G$4)))</f>
        <v/>
      </c>
      <c r="O15" s="178" t="str">
        <f>IF(O$9="","",IF(NOT(ISNUMBER(_xll.ciqfunctions.udf.CIQ($D$4, $B15, O$9, $H$4, $E$4, , $F$4, $G$4))),"",_xll.ciqfunctions.udf.CIQ($D$4, $B15, O$9, $H$4, $E$4, , $F$4, $G$4)))</f>
        <v/>
      </c>
      <c r="P15" s="178" t="str">
        <f>IF(P$9="","",IF(NOT(ISNUMBER(_xll.ciqfunctions.udf.CIQ($D$4, $B15, P$9, $H$4, $E$4, , $F$4, $G$4))),"",_xll.ciqfunctions.udf.CIQ($D$4, $B15, P$9, $H$4, $E$4, , $F$4, $G$4)))</f>
        <v/>
      </c>
      <c r="Q15" s="178" t="str">
        <f>IF(Q$9="","",IF(NOT(ISNUMBER(_xll.ciqfunctions.udf.CIQ($D$4, $B15, Q$9, $H$4, $E$4, , $F$4, $G$4))),"",_xll.ciqfunctions.udf.CIQ($D$4, $B15, Q$9, $H$4, $E$4, , $F$4, $G$4)))</f>
        <v/>
      </c>
      <c r="R15" s="178" t="str">
        <f>IF(R$9="","",IF(NOT(ISNUMBER(_xll.ciqfunctions.udf.CIQ($D$4, $B15, R$9, $H$4, $E$4, , $F$4, $G$4))),"",_xll.ciqfunctions.udf.CIQ($D$4, $B15, R$9, $H$4, $E$4, , $F$4, $G$4)))</f>
        <v/>
      </c>
      <c r="S15" s="178" t="str">
        <f>IF(S$9="","",IF(NOT(ISNUMBER(_xll.ciqfunctions.udf.CIQ($D$4, $B15, S$9, $H$4, $E$4, , $F$4, $G$4))),"",_xll.ciqfunctions.udf.CIQ($D$4, $B15, S$9, $H$4, $E$4, , $F$4, $G$4)))</f>
        <v/>
      </c>
      <c r="T15" s="178" t="str">
        <f>IF(T$9="","",IF(NOT(ISNUMBER(_xll.ciqfunctions.udf.CIQ($D$4, $B15, T$9, $H$4, $E$4, , $F$4, $G$4))),"",_xll.ciqfunctions.udf.CIQ($D$4, $B15, T$9, $H$4, $E$4, , $F$4, $G$4)))</f>
        <v/>
      </c>
      <c r="U15" s="178" t="str">
        <f>IF(U$9="","",IF(NOT(ISNUMBER(_xll.ciqfunctions.udf.CIQ($D$4, $B15, U$9, $H$4, $E$4, , $F$4, $G$4))),"",_xll.ciqfunctions.udf.CIQ($D$4, $B15, U$9, $H$4, $E$4, , $F$4, $G$4)))</f>
        <v/>
      </c>
      <c r="V15" s="178" t="str">
        <f>IF(V$9="","",IF(NOT(ISNUMBER(_xll.ciqfunctions.udf.CIQ($D$4, $B15, V$9, $H$4, $E$4, , $F$4, $G$4))),"",_xll.ciqfunctions.udf.CIQ($D$4, $B15, V$9, $H$4, $E$4, , $F$4, $G$4)))</f>
        <v/>
      </c>
      <c r="W15" s="178" t="str">
        <f>IF(W$9="","",IF(NOT(ISNUMBER(_xll.ciqfunctions.udf.CIQ($D$4, $B15, W$9, $H$4, $E$4, , $F$4, $G$4))),"",_xll.ciqfunctions.udf.CIQ($D$4, $B15, W$9, $H$4, $E$4, , $F$4, $G$4)))</f>
        <v/>
      </c>
    </row>
    <row r="16" spans="1:23" ht="15" customHeight="1" x14ac:dyDescent="0.2">
      <c r="A16" s="140" t="s">
        <v>34</v>
      </c>
      <c r="B16" s="230" t="s">
        <v>10</v>
      </c>
      <c r="C16" s="178">
        <f>IF(C$9="","",IF(NOT(ISNUMBER(_xll.ciqfunctions.udf.CIQ($D$4, $B16, C$9, $H$4, $E$4, , $F$4, $G$4))),"",_xll.ciqfunctions.udf.CIQ($D$4, $B16, C$9, $H$4, $E$4, , $F$4, $G$4)))</f>
        <v>352297</v>
      </c>
      <c r="D16" s="178">
        <f>IF(D$9="","",IF(NOT(ISNUMBER(_xll.ciqfunctions.udf.CIQ($D$4, $B16, D$9, $H$4, $E$4, , $F$4, $G$4))),"",_xll.ciqfunctions.udf.CIQ($D$4, $B16, D$9, $H$4, $E$4, , $F$4, $G$4)))</f>
        <v>358069</v>
      </c>
      <c r="E16" s="178">
        <f>IF(E$9="","",IF(NOT(ISNUMBER(_xll.ciqfunctions.udf.CIQ($D$4, $B16, E$9, $H$4, $E$4, , $F$4, $G$4))),"",_xll.ciqfunctions.udf.CIQ($D$4, $B16, E$9, $H$4, $E$4, , $F$4, $G$4)))</f>
        <v>365086</v>
      </c>
      <c r="F16" s="178">
        <f>IF(F$9="","",IF(NOT(ISNUMBER(_xll.ciqfunctions.udf.CIQ($D$4, $B16, F$9, $H$4, $E$4, , $F$4, $G$4))),"",_xll.ciqfunctions.udf.CIQ($D$4, $B16, F$9, $H$4, $E$4, , $F$4, $G$4)))</f>
        <v>360984</v>
      </c>
      <c r="G16" s="178">
        <f>IF(G$9="","",IF(NOT(ISNUMBER(_xll.ciqfunctions.udf.CIQ($D$4, $B16, G$9, $H$4, $E$4, , $F$4, $G$4))),"",_xll.ciqfunctions.udf.CIQ($D$4, $B16, G$9, $H$4, $E$4, , $F$4, $G$4)))</f>
        <v>361256</v>
      </c>
      <c r="H16" s="178">
        <f>IF(H$9="","",IF(NOT(ISNUMBER(_xll.ciqfunctions.udf.CIQ($D$4, $B16, H$9, $H$4, $E$4, , $F$4, $G$4))),"",_xll.ciqfunctions.udf.CIQ($D$4, $B16, H$9, $H$4, $E$4, , $F$4, $G$4)))</f>
        <v>373396</v>
      </c>
      <c r="I16" s="178">
        <f>IF(I$9="","",IF(NOT(ISNUMBER(_xll.ciqfunctions.udf.CIQ($D$4, $B16, I$9, $H$4, $E$4, , $F$4, $G$4))),"",_xll.ciqfunctions.udf.CIQ($D$4, $B16, I$9, $H$4, $E$4, , $F$4, $G$4)))</f>
        <v>385301</v>
      </c>
      <c r="J16" s="178">
        <f>IF(J$9="","",IF(NOT(ISNUMBER(_xll.ciqfunctions.udf.CIQ($D$4, $B16, J$9, $H$4, $E$4, , $F$4, $G$4))),"",_xll.ciqfunctions.udf.CIQ($D$4, $B16, J$9, $H$4, $E$4, , $F$4, $G$4)))</f>
        <v>394605</v>
      </c>
      <c r="K16" s="178">
        <f>IF(K$9="","",IF(NOT(ISNUMBER(_xll.ciqfunctions.udf.CIQ($D$4, $B16, K$9, $H$4, $E$4, , $F$4, $G$4))),"",_xll.ciqfunctions.udf.CIQ($D$4, $B16, K$9, $H$4, $E$4, , $F$4, $G$4)))</f>
        <v>420315</v>
      </c>
      <c r="L16" s="178">
        <f>IF(L$9="","",IF(NOT(ISNUMBER(_xll.ciqfunctions.udf.CIQ($D$4, $B16, L$9, $H$4, $E$4, , $F$4, $G$4))),"",_xll.ciqfunctions.udf.CIQ($D$4, $B16, L$9, $H$4, $E$4, , $F$4, $G$4)))</f>
        <v>429000</v>
      </c>
      <c r="M16" s="178" t="str">
        <f>IF(M$9="","",IF(NOT(ISNUMBER(_xll.ciqfunctions.udf.CIQ($D$4, $B16, M$9, $H$4, $E$4, , $F$4, $G$4))),"",_xll.ciqfunctions.udf.CIQ($D$4, $B16, M$9, $H$4, $E$4, , $F$4, $G$4)))</f>
        <v/>
      </c>
      <c r="N16" s="178" t="str">
        <f>IF(N$9="","",IF(NOT(ISNUMBER(_xll.ciqfunctions.udf.CIQ($D$4, $B16, N$9, $H$4, $E$4, , $F$4, $G$4))),"",_xll.ciqfunctions.udf.CIQ($D$4, $B16, N$9, $H$4, $E$4, , $F$4, $G$4)))</f>
        <v/>
      </c>
      <c r="O16" s="178" t="str">
        <f>IF(O$9="","",IF(NOT(ISNUMBER(_xll.ciqfunctions.udf.CIQ($D$4, $B16, O$9, $H$4, $E$4, , $F$4, $G$4))),"",_xll.ciqfunctions.udf.CIQ($D$4, $B16, O$9, $H$4, $E$4, , $F$4, $G$4)))</f>
        <v/>
      </c>
      <c r="P16" s="178" t="str">
        <f>IF(P$9="","",IF(NOT(ISNUMBER(_xll.ciqfunctions.udf.CIQ($D$4, $B16, P$9, $H$4, $E$4, , $F$4, $G$4))),"",_xll.ciqfunctions.udf.CIQ($D$4, $B16, P$9, $H$4, $E$4, , $F$4, $G$4)))</f>
        <v/>
      </c>
      <c r="Q16" s="178" t="str">
        <f>IF(Q$9="","",IF(NOT(ISNUMBER(_xll.ciqfunctions.udf.CIQ($D$4, $B16, Q$9, $H$4, $E$4, , $F$4, $G$4))),"",_xll.ciqfunctions.udf.CIQ($D$4, $B16, Q$9, $H$4, $E$4, , $F$4, $G$4)))</f>
        <v/>
      </c>
      <c r="R16" s="178" t="str">
        <f>IF(R$9="","",IF(NOT(ISNUMBER(_xll.ciqfunctions.udf.CIQ($D$4, $B16, R$9, $H$4, $E$4, , $F$4, $G$4))),"",_xll.ciqfunctions.udf.CIQ($D$4, $B16, R$9, $H$4, $E$4, , $F$4, $G$4)))</f>
        <v/>
      </c>
      <c r="S16" s="178" t="str">
        <f>IF(S$9="","",IF(NOT(ISNUMBER(_xll.ciqfunctions.udf.CIQ($D$4, $B16, S$9, $H$4, $E$4, , $F$4, $G$4))),"",_xll.ciqfunctions.udf.CIQ($D$4, $B16, S$9, $H$4, $E$4, , $F$4, $G$4)))</f>
        <v/>
      </c>
      <c r="T16" s="178" t="str">
        <f>IF(T$9="","",IF(NOT(ISNUMBER(_xll.ciqfunctions.udf.CIQ($D$4, $B16, T$9, $H$4, $E$4, , $F$4, $G$4))),"",_xll.ciqfunctions.udf.CIQ($D$4, $B16, T$9, $H$4, $E$4, , $F$4, $G$4)))</f>
        <v/>
      </c>
      <c r="U16" s="178" t="str">
        <f>IF(U$9="","",IF(NOT(ISNUMBER(_xll.ciqfunctions.udf.CIQ($D$4, $B16, U$9, $H$4, $E$4, , $F$4, $G$4))),"",_xll.ciqfunctions.udf.CIQ($D$4, $B16, U$9, $H$4, $E$4, , $F$4, $G$4)))</f>
        <v/>
      </c>
      <c r="V16" s="178" t="str">
        <f>IF(V$9="","",IF(NOT(ISNUMBER(_xll.ciqfunctions.udf.CIQ($D$4, $B16, V$9, $H$4, $E$4, , $F$4, $G$4))),"",_xll.ciqfunctions.udf.CIQ($D$4, $B16, V$9, $H$4, $E$4, , $F$4, $G$4)))</f>
        <v/>
      </c>
      <c r="W16" s="178" t="str">
        <f>IF(W$9="","",IF(NOT(ISNUMBER(_xll.ciqfunctions.udf.CIQ($D$4, $B16, W$9, $H$4, $E$4, , $F$4, $G$4))),"",_xll.ciqfunctions.udf.CIQ($D$4, $B16, W$9, $H$4, $E$4, , $F$4, $G$4)))</f>
        <v/>
      </c>
    </row>
    <row r="17" spans="1:29" ht="15" customHeight="1" x14ac:dyDescent="0.2">
      <c r="A17" s="159" t="s">
        <v>30</v>
      </c>
      <c r="B17" s="231" t="s">
        <v>374</v>
      </c>
      <c r="C17" s="162">
        <f>IF(C$9="","",IF(NOT(ISNUMBER(_xll.ciqfunctions.udf.CIQ($D$4, $B17, C$9, $H$4, $E$4, , $F$4, $G$4))),"",_xll.ciqfunctions.udf.CIQ($D$4, $B17, C$9, $H$4, $E$4, , $F$4, $G$4)))</f>
        <v>116354</v>
      </c>
      <c r="D17" s="162">
        <f>IF(D$9="","",IF(NOT(ISNUMBER(_xll.ciqfunctions.udf.CIQ($D$4, $B17, D$9, $H$4, $E$4, , $F$4, $G$4))),"",_xll.ciqfunctions.udf.CIQ($D$4, $B17, D$9, $H$4, $E$4, , $F$4, $G$4)))</f>
        <v>118225</v>
      </c>
      <c r="E17" s="162">
        <f>IF(E$9="","",IF(NOT(ISNUMBER(_xll.ciqfunctions.udf.CIQ($D$4, $B17, E$9, $H$4, $E$4, , $F$4, $G$4))),"",_xll.ciqfunctions.udf.CIQ($D$4, $B17, E$9, $H$4, $E$4, , $F$4, $G$4)))</f>
        <v>120565</v>
      </c>
      <c r="F17" s="162">
        <f>IF(F$9="","",IF(NOT(ISNUMBER(_xll.ciqfunctions.udf.CIQ($D$4, $B17, F$9, $H$4, $E$4, , $F$4, $G$4))),"",_xll.ciqfunctions.udf.CIQ($D$4, $B17, F$9, $H$4, $E$4, , $F$4, $G$4)))</f>
        <v>121146</v>
      </c>
      <c r="G17" s="162">
        <f>IF(G$9="","",IF(NOT(ISNUMBER(_xll.ciqfunctions.udf.CIQ($D$4, $B17, G$9, $H$4, $E$4, , $F$4, $G$4))),"",_xll.ciqfunctions.udf.CIQ($D$4, $B17, G$9, $H$4, $E$4, , $F$4, $G$4)))</f>
        <v>124617</v>
      </c>
      <c r="H17" s="162">
        <f>IF(H$9="","",IF(NOT(ISNUMBER(_xll.ciqfunctions.udf.CIQ($D$4, $B17, H$9, $H$4, $E$4, , $F$4, $G$4))),"",_xll.ciqfunctions.udf.CIQ($D$4, $B17, H$9, $H$4, $E$4, , $F$4, $G$4)))</f>
        <v>126947</v>
      </c>
      <c r="I17" s="162">
        <f>IF(I$9="","",IF(NOT(ISNUMBER(_xll.ciqfunctions.udf.CIQ($D$4, $B17, I$9, $H$4, $E$4, , $F$4, $G$4))),"",_xll.ciqfunctions.udf.CIQ($D$4, $B17, I$9, $H$4, $E$4, , $F$4, $G$4)))</f>
        <v>129104</v>
      </c>
      <c r="J17" s="162">
        <f>IF(J$9="","",IF(NOT(ISNUMBER(_xll.ciqfunctions.udf.CIQ($D$4, $B17, J$9, $H$4, $E$4, , $F$4, $G$4))),"",_xll.ciqfunctions.udf.CIQ($D$4, $B17, J$9, $H$4, $E$4, , $F$4, $G$4)))</f>
        <v>129359</v>
      </c>
      <c r="K17" s="162">
        <f>IF(K$9="","",IF(NOT(ISNUMBER(_xll.ciqfunctions.udf.CIQ($D$4, $B17, K$9, $H$4, $E$4, , $F$4, $G$4))),"",_xll.ciqfunctions.udf.CIQ($D$4, $B17, K$9, $H$4, $E$4, , $F$4, $G$4)))</f>
        <v>138836</v>
      </c>
      <c r="L17" s="162">
        <f>IF(L$9="","",IF(NOT(ISNUMBER(_xll.ciqfunctions.udf.CIQ($D$4, $B17, L$9, $H$4, $E$4, , $F$4, $G$4))),"",_xll.ciqfunctions.udf.CIQ($D$4, $B17, L$9, $H$4, $E$4, , $F$4, $G$4)))</f>
        <v>143754</v>
      </c>
      <c r="M17" s="162" t="str">
        <f>IF(M$9="","",IF(NOT(ISNUMBER(_xll.ciqfunctions.udf.CIQ($D$4, $B17, M$9, $H$4, $E$4, , $F$4, $G$4))),"",_xll.ciqfunctions.udf.CIQ($D$4, $B17, M$9, $H$4, $E$4, , $F$4, $G$4)))</f>
        <v/>
      </c>
      <c r="N17" s="162" t="str">
        <f>IF(N$9="","",IF(NOT(ISNUMBER(_xll.ciqfunctions.udf.CIQ($D$4, $B17, N$9, $H$4, $E$4, , $F$4, $G$4))),"",_xll.ciqfunctions.udf.CIQ($D$4, $B17, N$9, $H$4, $E$4, , $F$4, $G$4)))</f>
        <v/>
      </c>
      <c r="O17" s="162" t="str">
        <f>IF(O$9="","",IF(NOT(ISNUMBER(_xll.ciqfunctions.udf.CIQ($D$4, $B17, O$9, $H$4, $E$4, , $F$4, $G$4))),"",_xll.ciqfunctions.udf.CIQ($D$4, $B17, O$9, $H$4, $E$4, , $F$4, $G$4)))</f>
        <v/>
      </c>
      <c r="P17" s="162" t="str">
        <f>IF(P$9="","",IF(NOT(ISNUMBER(_xll.ciqfunctions.udf.CIQ($D$4, $B17, P$9, $H$4, $E$4, , $F$4, $G$4))),"",_xll.ciqfunctions.udf.CIQ($D$4, $B17, P$9, $H$4, $E$4, , $F$4, $G$4)))</f>
        <v/>
      </c>
      <c r="Q17" s="162" t="str">
        <f>IF(Q$9="","",IF(NOT(ISNUMBER(_xll.ciqfunctions.udf.CIQ($D$4, $B17, Q$9, $H$4, $E$4, , $F$4, $G$4))),"",_xll.ciqfunctions.udf.CIQ($D$4, $B17, Q$9, $H$4, $E$4, , $F$4, $G$4)))</f>
        <v/>
      </c>
      <c r="R17" s="162" t="str">
        <f>IF(R$9="","",IF(NOT(ISNUMBER(_xll.ciqfunctions.udf.CIQ($D$4, $B17, R$9, $H$4, $E$4, , $F$4, $G$4))),"",_xll.ciqfunctions.udf.CIQ($D$4, $B17, R$9, $H$4, $E$4, , $F$4, $G$4)))</f>
        <v/>
      </c>
      <c r="S17" s="162" t="str">
        <f>IF(S$9="","",IF(NOT(ISNUMBER(_xll.ciqfunctions.udf.CIQ($D$4, $B17, S$9, $H$4, $E$4, , $F$4, $G$4))),"",_xll.ciqfunctions.udf.CIQ($D$4, $B17, S$9, $H$4, $E$4, , $F$4, $G$4)))</f>
        <v/>
      </c>
      <c r="T17" s="162" t="str">
        <f>IF(T$9="","",IF(NOT(ISNUMBER(_xll.ciqfunctions.udf.CIQ($D$4, $B17, T$9, $H$4, $E$4, , $F$4, $G$4))),"",_xll.ciqfunctions.udf.CIQ($D$4, $B17, T$9, $H$4, $E$4, , $F$4, $G$4)))</f>
        <v/>
      </c>
      <c r="U17" s="162" t="str">
        <f>IF(U$9="","",IF(NOT(ISNUMBER(_xll.ciqfunctions.udf.CIQ($D$4, $B17, U$9, $H$4, $E$4, , $F$4, $G$4))),"",_xll.ciqfunctions.udf.CIQ($D$4, $B17, U$9, $H$4, $E$4, , $F$4, $G$4)))</f>
        <v/>
      </c>
      <c r="V17" s="162" t="str">
        <f>IF(V$9="","",IF(NOT(ISNUMBER(_xll.ciqfunctions.udf.CIQ($D$4, $B17, V$9, $H$4, $E$4, , $F$4, $G$4))),"",_xll.ciqfunctions.udf.CIQ($D$4, $B17, V$9, $H$4, $E$4, , $F$4, $G$4)))</f>
        <v/>
      </c>
      <c r="W17" s="162" t="str">
        <f>IF(W$9="","",IF(NOT(ISNUMBER(_xll.ciqfunctions.udf.CIQ($D$4, $B17, W$9, $H$4, $E$4, , $F$4, $G$4))),"",_xll.ciqfunctions.udf.CIQ($D$4, $B17, W$9, $H$4, $E$4, , $F$4, $G$4)))</f>
        <v/>
      </c>
    </row>
    <row r="18" spans="1:29" ht="15" customHeight="1" x14ac:dyDescent="0.2">
      <c r="A18" s="27"/>
      <c r="B18" s="977"/>
      <c r="C18" s="976"/>
      <c r="D18" s="976"/>
      <c r="E18" s="976"/>
      <c r="F18" s="976"/>
      <c r="G18" s="976"/>
      <c r="H18" s="976"/>
      <c r="I18" s="976"/>
      <c r="J18" s="976"/>
      <c r="K18" s="976"/>
      <c r="L18" s="179"/>
      <c r="M18" s="179"/>
      <c r="N18" s="179"/>
      <c r="O18" s="179"/>
      <c r="P18" s="179"/>
      <c r="Q18" s="179"/>
      <c r="R18" s="179"/>
      <c r="S18" s="179"/>
      <c r="T18" s="179"/>
      <c r="U18" s="179"/>
      <c r="V18" s="179"/>
      <c r="W18" s="179"/>
    </row>
    <row r="19" spans="1:29" ht="15" customHeight="1" x14ac:dyDescent="0.2">
      <c r="A19" s="140" t="s">
        <v>0</v>
      </c>
      <c r="B19" s="230" t="s">
        <v>1064</v>
      </c>
      <c r="C19" s="178">
        <f>IF(C$9="","",IF(NOT(ISNUMBER(_xll.ciqfunctions.udf.CIQ($D$4, $B19, C$9, $H$4, $E$4, , $F$4, $G$4))),"",_xll.ciqfunctions.udf.CIQ($D$4, $B19, C$9, $H$4, $E$4, , $F$4, $G$4)))</f>
        <v>88629</v>
      </c>
      <c r="D19" s="178">
        <f>IF(D$9="","",IF(NOT(ISNUMBER(_xll.ciqfunctions.udf.CIQ($D$4, $B19, D$9, $H$4, $E$4, , $F$4, $G$4))),"",_xll.ciqfunctions.udf.CIQ($D$4, $B19, D$9, $H$4, $E$4, , $F$4, $G$4)))</f>
        <v>91353</v>
      </c>
      <c r="E19" s="178">
        <f>IF(E$9="","",IF(NOT(ISNUMBER(_xll.ciqfunctions.udf.CIQ($D$4, $B19, E$9, $H$4, $E$4, , $F$4, $G$4))),"",_xll.ciqfunctions.udf.CIQ($D$4, $B19, E$9, $H$4, $E$4, , $F$4, $G$4)))</f>
        <v>93418</v>
      </c>
      <c r="F19" s="178">
        <f>IF(F$9="","",IF(NOT(ISNUMBER(_xll.ciqfunctions.udf.CIQ($D$4, $B19, F$9, $H$4, $E$4, , $F$4, $G$4))),"",_xll.ciqfunctions.udf.CIQ($D$4, $B19, F$9, $H$4, $E$4, , $F$4, $G$4)))</f>
        <v>97041</v>
      </c>
      <c r="G19" s="178">
        <f>IF(G$9="","",IF(NOT(ISNUMBER(_xll.ciqfunctions.udf.CIQ($D$4, $B19, G$9, $H$4, $E$4, , $F$4, $G$4))),"",_xll.ciqfunctions.udf.CIQ($D$4, $B19, G$9, $H$4, $E$4, , $F$4, $G$4)))</f>
        <v>101853</v>
      </c>
      <c r="H19" s="178">
        <f>IF(H$9="","",IF(NOT(ISNUMBER(_xll.ciqfunctions.udf.CIQ($D$4, $B19, H$9, $H$4, $E$4, , $F$4, $G$4))),"",_xll.ciqfunctions.udf.CIQ($D$4, $B19, H$9, $H$4, $E$4, , $F$4, $G$4)))</f>
        <v>106010</v>
      </c>
      <c r="I19" s="178">
        <f>IF(I$9="","",IF(NOT(ISNUMBER(_xll.ciqfunctions.udf.CIQ($D$4, $B19, I$9, $H$4, $E$4, , $F$4, $G$4))),"",_xll.ciqfunctions.udf.CIQ($D$4, $B19, I$9, $H$4, $E$4, , $F$4, $G$4)))</f>
        <v>107147</v>
      </c>
      <c r="J19" s="178">
        <f>IF(J$9="","",IF(NOT(ISNUMBER(_xll.ciqfunctions.udf.CIQ($D$4, $B19, J$9, $H$4, $E$4, , $F$4, $G$4))),"",_xll.ciqfunctions.udf.CIQ($D$4, $B19, J$9, $H$4, $E$4, , $F$4, $G$4)))</f>
        <v>107891</v>
      </c>
      <c r="K19" s="178">
        <f>IF(K$9="","",IF(NOT(ISNUMBER(_xll.ciqfunctions.udf.CIQ($D$4, $B19, K$9, $H$4, $E$4, , $F$4, $G$4))),"",_xll.ciqfunctions.udf.CIQ($D$4, $B19, K$9, $H$4, $E$4, , $F$4, $G$4)))</f>
        <v>111888</v>
      </c>
      <c r="L19" s="178">
        <f>IF(L$9="","",IF(NOT(ISNUMBER(_xll.ciqfunctions.udf.CIQ($D$4, $B19, L$9, $H$4, $E$4, , $F$4, $G$4))),"",_xll.ciqfunctions.udf.CIQ($D$4, $B19, L$9, $H$4, $E$4, , $F$4, $G$4)))</f>
        <v>117812</v>
      </c>
      <c r="M19" s="178" t="str">
        <f>IF(M$9="","",IF(NOT(ISNUMBER(_xll.ciqfunctions.udf.CIQ($D$4, $B19, M$9, $H$4, $E$4, , $F$4, $G$4))),"",_xll.ciqfunctions.udf.CIQ($D$4, $B19, M$9, $H$4, $E$4, , $F$4, $G$4)))</f>
        <v/>
      </c>
      <c r="N19" s="178" t="str">
        <f>IF(N$9="","",IF(NOT(ISNUMBER(_xll.ciqfunctions.udf.CIQ($D$4, $B19, N$9, $H$4, $E$4, , $F$4, $G$4))),"",_xll.ciqfunctions.udf.CIQ($D$4, $B19, N$9, $H$4, $E$4, , $F$4, $G$4)))</f>
        <v/>
      </c>
      <c r="O19" s="178" t="str">
        <f>IF(O$9="","",IF(NOT(ISNUMBER(_xll.ciqfunctions.udf.CIQ($D$4, $B19, O$9, $H$4, $E$4, , $F$4, $G$4))),"",_xll.ciqfunctions.udf.CIQ($D$4, $B19, O$9, $H$4, $E$4, , $F$4, $G$4)))</f>
        <v/>
      </c>
      <c r="P19" s="178" t="str">
        <f>IF(P$9="","",IF(NOT(ISNUMBER(_xll.ciqfunctions.udf.CIQ($D$4, $B19, P$9, $H$4, $E$4, , $F$4, $G$4))),"",_xll.ciqfunctions.udf.CIQ($D$4, $B19, P$9, $H$4, $E$4, , $F$4, $G$4)))</f>
        <v/>
      </c>
      <c r="Q19" s="178" t="str">
        <f>IF(Q$9="","",IF(NOT(ISNUMBER(_xll.ciqfunctions.udf.CIQ($D$4, $B19, Q$9, $H$4, $E$4, , $F$4, $G$4))),"",_xll.ciqfunctions.udf.CIQ($D$4, $B19, Q$9, $H$4, $E$4, , $F$4, $G$4)))</f>
        <v/>
      </c>
      <c r="R19" s="178" t="str">
        <f>IF(R$9="","",IF(NOT(ISNUMBER(_xll.ciqfunctions.udf.CIQ($D$4, $B19, R$9, $H$4, $E$4, , $F$4, $G$4))),"",_xll.ciqfunctions.udf.CIQ($D$4, $B19, R$9, $H$4, $E$4, , $F$4, $G$4)))</f>
        <v/>
      </c>
      <c r="S19" s="178" t="str">
        <f>IF(S$9="","",IF(NOT(ISNUMBER(_xll.ciqfunctions.udf.CIQ($D$4, $B19, S$9, $H$4, $E$4, , $F$4, $G$4))),"",_xll.ciqfunctions.udf.CIQ($D$4, $B19, S$9, $H$4, $E$4, , $F$4, $G$4)))</f>
        <v/>
      </c>
      <c r="T19" s="178" t="str">
        <f>IF(T$9="","",IF(NOT(ISNUMBER(_xll.ciqfunctions.udf.CIQ($D$4, $B19, T$9, $H$4, $E$4, , $F$4, $G$4))),"",_xll.ciqfunctions.udf.CIQ($D$4, $B19, T$9, $H$4, $E$4, , $F$4, $G$4)))</f>
        <v/>
      </c>
      <c r="U19" s="178" t="str">
        <f>IF(U$9="","",IF(NOT(ISNUMBER(_xll.ciqfunctions.udf.CIQ($D$4, $B19, U$9, $H$4, $E$4, , $F$4, $G$4))),"",_xll.ciqfunctions.udf.CIQ($D$4, $B19, U$9, $H$4, $E$4, , $F$4, $G$4)))</f>
        <v/>
      </c>
      <c r="V19" s="178" t="str">
        <f>IF(V$9="","",IF(NOT(ISNUMBER(_xll.ciqfunctions.udf.CIQ($D$4, $B19, V$9, $H$4, $E$4, , $F$4, $G$4))),"",_xll.ciqfunctions.udf.CIQ($D$4, $B19, V$9, $H$4, $E$4, , $F$4, $G$4)))</f>
        <v/>
      </c>
      <c r="W19" s="178" t="str">
        <f>IF(W$9="","",IF(NOT(ISNUMBER(_xll.ciqfunctions.udf.CIQ($D$4, $B19, W$9, $H$4, $E$4, , $F$4, $G$4))),"",_xll.ciqfunctions.udf.CIQ($D$4, $B19, W$9, $H$4, $E$4, , $F$4, $G$4)))</f>
        <v/>
      </c>
    </row>
    <row r="20" spans="1:29" ht="15" customHeight="1" x14ac:dyDescent="0.2">
      <c r="A20" s="140" t="s">
        <v>1</v>
      </c>
      <c r="B20" s="230" t="s">
        <v>1196</v>
      </c>
      <c r="C20" s="178">
        <f>IF(C$9="","",IF(NOT(ISNUMBER(_xll.ciqfunctions.udf.CIQ($D$4, $B20, C$9, $H$4, $E$4, , $F$4, $G$4))),"",_xll.ciqfunctions.udf.CIQ($D$4, $B20, C$9, $H$4, $E$4, , $F$4, $G$4)))</f>
        <v>0</v>
      </c>
      <c r="D20" s="178">
        <f>IF(D$9="","",IF(NOT(ISNUMBER(_xll.ciqfunctions.udf.CIQ($D$4, $B20, D$9, $H$4, $E$4, , $F$4, $G$4))),"",_xll.ciqfunctions.udf.CIQ($D$4, $B20, D$9, $H$4, $E$4, , $F$4, $G$4)))</f>
        <v>0</v>
      </c>
      <c r="E20" s="178">
        <f>IF(E$9="","",IF(NOT(ISNUMBER(_xll.ciqfunctions.udf.CIQ($D$4, $B20, E$9, $H$4, $E$4, , $F$4, $G$4))),"",_xll.ciqfunctions.udf.CIQ($D$4, $B20, E$9, $H$4, $E$4, , $F$4, $G$4)))</f>
        <v>0</v>
      </c>
      <c r="F20" s="178">
        <f>IF(F$9="","",IF(NOT(ISNUMBER(_xll.ciqfunctions.udf.CIQ($D$4, $B20, F$9, $H$4, $E$4, , $F$4, $G$4))),"",_xll.ciqfunctions.udf.CIQ($D$4, $B20, F$9, $H$4, $E$4, , $F$4, $G$4)))</f>
        <v>0</v>
      </c>
      <c r="G20" s="178">
        <f>IF(G$9="","",IF(NOT(ISNUMBER(_xll.ciqfunctions.udf.CIQ($D$4, $B20, G$9, $H$4, $E$4, , $F$4, $G$4))),"",_xll.ciqfunctions.udf.CIQ($D$4, $B20, G$9, $H$4, $E$4, , $F$4, $G$4)))</f>
        <v>0</v>
      </c>
      <c r="H20" s="178">
        <f>IF(H$9="","",IF(NOT(ISNUMBER(_xll.ciqfunctions.udf.CIQ($D$4, $B20, H$9, $H$4, $E$4, , $F$4, $G$4))),"",_xll.ciqfunctions.udf.CIQ($D$4, $B20, H$9, $H$4, $E$4, , $F$4, $G$4)))</f>
        <v>0</v>
      </c>
      <c r="I20" s="178">
        <f>IF(I$9="","",IF(NOT(ISNUMBER(_xll.ciqfunctions.udf.CIQ($D$4, $B20, I$9, $H$4, $E$4, , $F$4, $G$4))),"",_xll.ciqfunctions.udf.CIQ($D$4, $B20, I$9, $H$4, $E$4, , $F$4, $G$4)))</f>
        <v>0</v>
      </c>
      <c r="J20" s="178">
        <f>IF(J$9="","",IF(NOT(ISNUMBER(_xll.ciqfunctions.udf.CIQ($D$4, $B20, J$9, $H$4, $E$4, , $F$4, $G$4))),"",_xll.ciqfunctions.udf.CIQ($D$4, $B20, J$9, $H$4, $E$4, , $F$4, $G$4)))</f>
        <v>0</v>
      </c>
      <c r="K20" s="178">
        <f>IF(K$9="","",IF(NOT(ISNUMBER(_xll.ciqfunctions.udf.CIQ($D$4, $B20, K$9, $H$4, $E$4, , $F$4, $G$4))),"",_xll.ciqfunctions.udf.CIQ($D$4, $B20, K$9, $H$4, $E$4, , $F$4, $G$4)))</f>
        <v>0</v>
      </c>
      <c r="L20" s="178">
        <f>IF(L$9="","",IF(NOT(ISNUMBER(_xll.ciqfunctions.udf.CIQ($D$4, $B20, L$9, $H$4, $E$4, , $F$4, $G$4))),"",_xll.ciqfunctions.udf.CIQ($D$4, $B20, L$9, $H$4, $E$4, , $F$4, $G$4)))</f>
        <v>0</v>
      </c>
      <c r="M20" s="178" t="str">
        <f>IF(M$9="","",IF(NOT(ISNUMBER(_xll.ciqfunctions.udf.CIQ($D$4, $B20, M$9, $H$4, $E$4, , $F$4, $G$4))),"",_xll.ciqfunctions.udf.CIQ($D$4, $B20, M$9, $H$4, $E$4, , $F$4, $G$4)))</f>
        <v/>
      </c>
      <c r="N20" s="178" t="str">
        <f>IF(N$9="","",IF(NOT(ISNUMBER(_xll.ciqfunctions.udf.CIQ($D$4, $B20, N$9, $H$4, $E$4, , $F$4, $G$4))),"",_xll.ciqfunctions.udf.CIQ($D$4, $B20, N$9, $H$4, $E$4, , $F$4, $G$4)))</f>
        <v/>
      </c>
      <c r="O20" s="178" t="str">
        <f>IF(O$9="","",IF(NOT(ISNUMBER(_xll.ciqfunctions.udf.CIQ($D$4, $B20, O$9, $H$4, $E$4, , $F$4, $G$4))),"",_xll.ciqfunctions.udf.CIQ($D$4, $B20, O$9, $H$4, $E$4, , $F$4, $G$4)))</f>
        <v/>
      </c>
      <c r="P20" s="178" t="str">
        <f>IF(P$9="","",IF(NOT(ISNUMBER(_xll.ciqfunctions.udf.CIQ($D$4, $B20, P$9, $H$4, $E$4, , $F$4, $G$4))),"",_xll.ciqfunctions.udf.CIQ($D$4, $B20, P$9, $H$4, $E$4, , $F$4, $G$4)))</f>
        <v/>
      </c>
      <c r="Q20" s="178" t="str">
        <f>IF(Q$9="","",IF(NOT(ISNUMBER(_xll.ciqfunctions.udf.CIQ($D$4, $B20, Q$9, $H$4, $E$4, , $F$4, $G$4))),"",_xll.ciqfunctions.udf.CIQ($D$4, $B20, Q$9, $H$4, $E$4, , $F$4, $G$4)))</f>
        <v/>
      </c>
      <c r="R20" s="178" t="str">
        <f>IF(R$9="","",IF(NOT(ISNUMBER(_xll.ciqfunctions.udf.CIQ($D$4, $B20, R$9, $H$4, $E$4, , $F$4, $G$4))),"",_xll.ciqfunctions.udf.CIQ($D$4, $B20, R$9, $H$4, $E$4, , $F$4, $G$4)))</f>
        <v/>
      </c>
      <c r="S20" s="178" t="str">
        <f>IF(S$9="","",IF(NOT(ISNUMBER(_xll.ciqfunctions.udf.CIQ($D$4, $B20, S$9, $H$4, $E$4, , $F$4, $G$4))),"",_xll.ciqfunctions.udf.CIQ($D$4, $B20, S$9, $H$4, $E$4, , $F$4, $G$4)))</f>
        <v/>
      </c>
      <c r="T20" s="178" t="str">
        <f>IF(T$9="","",IF(NOT(ISNUMBER(_xll.ciqfunctions.udf.CIQ($D$4, $B20, T$9, $H$4, $E$4, , $F$4, $G$4))),"",_xll.ciqfunctions.udf.CIQ($D$4, $B20, T$9, $H$4, $E$4, , $F$4, $G$4)))</f>
        <v/>
      </c>
      <c r="U20" s="178" t="str">
        <f>IF(U$9="","",IF(NOT(ISNUMBER(_xll.ciqfunctions.udf.CIQ($D$4, $B20, U$9, $H$4, $E$4, , $F$4, $G$4))),"",_xll.ciqfunctions.udf.CIQ($D$4, $B20, U$9, $H$4, $E$4, , $F$4, $G$4)))</f>
        <v/>
      </c>
      <c r="V20" s="178" t="str">
        <f>IF(V$9="","",IF(NOT(ISNUMBER(_xll.ciqfunctions.udf.CIQ($D$4, $B20, V$9, $H$4, $E$4, , $F$4, $G$4))),"",_xll.ciqfunctions.udf.CIQ($D$4, $B20, V$9, $H$4, $E$4, , $F$4, $G$4)))</f>
        <v/>
      </c>
      <c r="W20" s="178" t="str">
        <f>IF(W$9="","",IF(NOT(ISNUMBER(_xll.ciqfunctions.udf.CIQ($D$4, $B20, W$9, $H$4, $E$4, , $F$4, $G$4))),"",_xll.ciqfunctions.udf.CIQ($D$4, $B20, W$9, $H$4, $E$4, , $F$4, $G$4)))</f>
        <v/>
      </c>
      <c r="Z20" s="48"/>
      <c r="AA20" s="48"/>
      <c r="AB20" s="48"/>
      <c r="AC20" s="48"/>
    </row>
    <row r="21" spans="1:29" ht="15" customHeight="1" x14ac:dyDescent="0.2">
      <c r="A21" s="140" t="s">
        <v>39</v>
      </c>
      <c r="B21" s="230" t="s">
        <v>1197</v>
      </c>
      <c r="C21" s="178">
        <f>IF(C$9="","",IF(NOT(ISNUMBER(_xll.ciqfunctions.udf.CIQ($D$4, $B21, C$9, $H$4, $E$4, , $F$4, $G$4))),"",_xll.ciqfunctions.udf.CIQ($D$4, $B21, C$9, $H$4, $E$4, , $F$4, $G$4)))</f>
        <v>8478</v>
      </c>
      <c r="D21" s="178">
        <f>IF(D$9="","",IF(NOT(ISNUMBER(_xll.ciqfunctions.udf.CIQ($D$4, $B21, D$9, $H$4, $E$4, , $F$4, $G$4))),"",_xll.ciqfunctions.udf.CIQ($D$4, $B21, D$9, $H$4, $E$4, , $F$4, $G$4)))</f>
        <v>8870</v>
      </c>
      <c r="E21" s="178">
        <f>IF(E$9="","",IF(NOT(ISNUMBER(_xll.ciqfunctions.udf.CIQ($D$4, $B21, E$9, $H$4, $E$4, , $F$4, $G$4))),"",_xll.ciqfunctions.udf.CIQ($D$4, $B21, E$9, $H$4, $E$4, , $F$4, $G$4)))</f>
        <v>9173</v>
      </c>
      <c r="F21" s="178">
        <f>IF(F$9="","",IF(NOT(ISNUMBER(_xll.ciqfunctions.udf.CIQ($D$4, $B21, F$9, $H$4, $E$4, , $F$4, $G$4))),"",_xll.ciqfunctions.udf.CIQ($D$4, $B21, F$9, $H$4, $E$4, , $F$4, $G$4)))</f>
        <v>9454</v>
      </c>
      <c r="G21" s="178">
        <f>IF(G$9="","",IF(NOT(ISNUMBER(_xll.ciqfunctions.udf.CIQ($D$4, $B21, G$9, $H$4, $E$4, , $F$4, $G$4))),"",_xll.ciqfunctions.udf.CIQ($D$4, $B21, G$9, $H$4, $E$4, , $F$4, $G$4)))</f>
        <v>10080</v>
      </c>
      <c r="H21" s="178">
        <f>IF(H$9="","",IF(NOT(ISNUMBER(_xll.ciqfunctions.udf.CIQ($D$4, $B21, H$9, $H$4, $E$4, , $F$4, $G$4))),"",_xll.ciqfunctions.udf.CIQ($D$4, $B21, H$9, $H$4, $E$4, , $F$4, $G$4)))</f>
        <v>10529</v>
      </c>
      <c r="I21" s="178">
        <f>IF(I$9="","",IF(NOT(ISNUMBER(_xll.ciqfunctions.udf.CIQ($D$4, $B21, I$9, $H$4, $E$4, , $F$4, $G$4))),"",_xll.ciqfunctions.udf.CIQ($D$4, $B21, I$9, $H$4, $E$4, , $F$4, $G$4)))</f>
        <v>10678</v>
      </c>
      <c r="J21" s="178">
        <f>IF(J$9="","",IF(NOT(ISNUMBER(_xll.ciqfunctions.udf.CIQ($D$4, $B21, J$9, $H$4, $E$4, , $F$4, $G$4))),"",_xll.ciqfunctions.udf.CIQ($D$4, $B21, J$9, $H$4, $E$4, , $F$4, $G$4)))</f>
        <v>10987</v>
      </c>
      <c r="K21" s="178">
        <f>IF(K$9="","",IF(NOT(ISNUMBER(_xll.ciqfunctions.udf.CIQ($D$4, $B21, K$9, $H$4, $E$4, , $F$4, $G$4))),"",_xll.ciqfunctions.udf.CIQ($D$4, $B21, K$9, $H$4, $E$4, , $F$4, $G$4)))</f>
        <v>11152</v>
      </c>
      <c r="L21" s="178">
        <f>IF(L$9="","",IF(NOT(ISNUMBER(_xll.ciqfunctions.udf.CIQ($D$4, $B21, L$9, $H$4, $E$4, , $F$4, $G$4))),"",_xll.ciqfunctions.udf.CIQ($D$4, $B21, L$9, $H$4, $E$4, , $F$4, $G$4)))</f>
        <v>10658</v>
      </c>
      <c r="M21" s="178" t="str">
        <f>IF(M$9="","",IF(NOT(ISNUMBER(_xll.ciqfunctions.udf.CIQ($D$4, $B21, M$9, $H$4, $E$4, , $F$4, $G$4))),"",_xll.ciqfunctions.udf.CIQ($D$4, $B21, M$9, $H$4, $E$4, , $F$4, $G$4)))</f>
        <v/>
      </c>
      <c r="N21" s="178" t="str">
        <f>IF(N$9="","",IF(NOT(ISNUMBER(_xll.ciqfunctions.udf.CIQ($D$4, $B21, N$9, $H$4, $E$4, , $F$4, $G$4))),"",_xll.ciqfunctions.udf.CIQ($D$4, $B21, N$9, $H$4, $E$4, , $F$4, $G$4)))</f>
        <v/>
      </c>
      <c r="O21" s="178" t="str">
        <f>IF(O$9="","",IF(NOT(ISNUMBER(_xll.ciqfunctions.udf.CIQ($D$4, $B21, O$9, $H$4, $E$4, , $F$4, $G$4))),"",_xll.ciqfunctions.udf.CIQ($D$4, $B21, O$9, $H$4, $E$4, , $F$4, $G$4)))</f>
        <v/>
      </c>
      <c r="P21" s="178" t="str">
        <f>IF(P$9="","",IF(NOT(ISNUMBER(_xll.ciqfunctions.udf.CIQ($D$4, $B21, P$9, $H$4, $E$4, , $F$4, $G$4))),"",_xll.ciqfunctions.udf.CIQ($D$4, $B21, P$9, $H$4, $E$4, , $F$4, $G$4)))</f>
        <v/>
      </c>
      <c r="Q21" s="178" t="str">
        <f>IF(Q$9="","",IF(NOT(ISNUMBER(_xll.ciqfunctions.udf.CIQ($D$4, $B21, Q$9, $H$4, $E$4, , $F$4, $G$4))),"",_xll.ciqfunctions.udf.CIQ($D$4, $B21, Q$9, $H$4, $E$4, , $F$4, $G$4)))</f>
        <v/>
      </c>
      <c r="R21" s="178" t="str">
        <f>IF(R$9="","",IF(NOT(ISNUMBER(_xll.ciqfunctions.udf.CIQ($D$4, $B21, R$9, $H$4, $E$4, , $F$4, $G$4))),"",_xll.ciqfunctions.udf.CIQ($D$4, $B21, R$9, $H$4, $E$4, , $F$4, $G$4)))</f>
        <v/>
      </c>
      <c r="S21" s="178" t="str">
        <f>IF(S$9="","",IF(NOT(ISNUMBER(_xll.ciqfunctions.udf.CIQ($D$4, $B21, S$9, $H$4, $E$4, , $F$4, $G$4))),"",_xll.ciqfunctions.udf.CIQ($D$4, $B21, S$9, $H$4, $E$4, , $F$4, $G$4)))</f>
        <v/>
      </c>
      <c r="T21" s="178" t="str">
        <f>IF(T$9="","",IF(NOT(ISNUMBER(_xll.ciqfunctions.udf.CIQ($D$4, $B21, T$9, $H$4, $E$4, , $F$4, $G$4))),"",_xll.ciqfunctions.udf.CIQ($D$4, $B21, T$9, $H$4, $E$4, , $F$4, $G$4)))</f>
        <v/>
      </c>
      <c r="U21" s="178" t="str">
        <f>IF(U$9="","",IF(NOT(ISNUMBER(_xll.ciqfunctions.udf.CIQ($D$4, $B21, U$9, $H$4, $E$4, , $F$4, $G$4))),"",_xll.ciqfunctions.udf.CIQ($D$4, $B21, U$9, $H$4, $E$4, , $F$4, $G$4)))</f>
        <v/>
      </c>
      <c r="V21" s="178" t="str">
        <f>IF(V$9="","",IF(NOT(ISNUMBER(_xll.ciqfunctions.udf.CIQ($D$4, $B21, V$9, $H$4, $E$4, , $F$4, $G$4))),"",_xll.ciqfunctions.udf.CIQ($D$4, $B21, V$9, $H$4, $E$4, , $F$4, $G$4)))</f>
        <v/>
      </c>
      <c r="W21" s="178" t="str">
        <f>IF(W$9="","",IF(NOT(ISNUMBER(_xll.ciqfunctions.udf.CIQ($D$4, $B21, W$9, $H$4, $E$4, , $F$4, $G$4))),"",_xll.ciqfunctions.udf.CIQ($D$4, $B21, W$9, $H$4, $E$4, , $F$4, $G$4)))</f>
        <v/>
      </c>
      <c r="Y21" s="48"/>
      <c r="Z21" s="48"/>
    </row>
    <row r="22" spans="1:29" ht="15" customHeight="1" x14ac:dyDescent="0.2">
      <c r="A22" s="140" t="s">
        <v>38</v>
      </c>
      <c r="B22" s="230" t="s">
        <v>375</v>
      </c>
      <c r="C22" s="178">
        <f>IF(C$9="","",IF(NOT(ISNUMBER(_xll.ciqfunctions.udf.CIQ($D$4, $B22, C$9, $H$4, $E$4, , $F$4, $G$4))),"",_xll.ciqfunctions.udf.CIQ($D$4, $B22, C$9, $H$4, $E$4, , $F$4, $G$4)))</f>
        <v>0</v>
      </c>
      <c r="D22" s="178">
        <f>IF(D$9="","",IF(NOT(ISNUMBER(_xll.ciqfunctions.udf.CIQ($D$4, $B22, D$9, $H$4, $E$4, , $F$4, $G$4))),"",_xll.ciqfunctions.udf.CIQ($D$4, $B22, D$9, $H$4, $E$4, , $F$4, $G$4)))</f>
        <v>0</v>
      </c>
      <c r="E22" s="178">
        <f>IF(E$9="","",IF(NOT(ISNUMBER(_xll.ciqfunctions.udf.CIQ($D$4, $B22, E$9, $H$4, $E$4, , $F$4, $G$4))),"",_xll.ciqfunctions.udf.CIQ($D$4, $B22, E$9, $H$4, $E$4, , $F$4, $G$4)))</f>
        <v>0</v>
      </c>
      <c r="F22" s="178">
        <f>IF(F$9="","",IF(NOT(ISNUMBER(_xll.ciqfunctions.udf.CIQ($D$4, $B22, F$9, $H$4, $E$4, , $F$4, $G$4))),"",_xll.ciqfunctions.udf.CIQ($D$4, $B22, F$9, $H$4, $E$4, , $F$4, $G$4)))</f>
        <v>0</v>
      </c>
      <c r="G22" s="178">
        <f>IF(G$9="","",IF(NOT(ISNUMBER(_xll.ciqfunctions.udf.CIQ($D$4, $B22, G$9, $H$4, $E$4, , $F$4, $G$4))),"",_xll.ciqfunctions.udf.CIQ($D$4, $B22, G$9, $H$4, $E$4, , $F$4, $G$4)))</f>
        <v>0</v>
      </c>
      <c r="H22" s="178">
        <f>IF(H$9="","",IF(NOT(ISNUMBER(_xll.ciqfunctions.udf.CIQ($D$4, $B22, H$9, $H$4, $E$4, , $F$4, $G$4))),"",_xll.ciqfunctions.udf.CIQ($D$4, $B22, H$9, $H$4, $E$4, , $F$4, $G$4)))</f>
        <v>0</v>
      </c>
      <c r="I22" s="178">
        <f>IF(I$9="","",IF(NOT(ISNUMBER(_xll.ciqfunctions.udf.CIQ($D$4, $B22, I$9, $H$4, $E$4, , $F$4, $G$4))),"",_xll.ciqfunctions.udf.CIQ($D$4, $B22, I$9, $H$4, $E$4, , $F$4, $G$4)))</f>
        <v>0</v>
      </c>
      <c r="J22" s="178">
        <f>IF(J$9="","",IF(NOT(ISNUMBER(_xll.ciqfunctions.udf.CIQ($D$4, $B22, J$9, $H$4, $E$4, , $F$4, $G$4))),"",_xll.ciqfunctions.udf.CIQ($D$4, $B22, J$9, $H$4, $E$4, , $F$4, $G$4)))</f>
        <v>0</v>
      </c>
      <c r="K22" s="178">
        <f>IF(K$9="","",IF(NOT(ISNUMBER(_xll.ciqfunctions.udf.CIQ($D$4, $B22, K$9, $H$4, $E$4, , $F$4, $G$4))),"",_xll.ciqfunctions.udf.CIQ($D$4, $B22, K$9, $H$4, $E$4, , $F$4, $G$4)))</f>
        <v>0</v>
      </c>
      <c r="L22" s="178">
        <f>IF(L$9="","",IF(NOT(ISNUMBER(_xll.ciqfunctions.udf.CIQ($D$4, $B22, L$9, $H$4, $E$4, , $F$4, $G$4))),"",_xll.ciqfunctions.udf.CIQ($D$4, $B22, L$9, $H$4, $E$4, , $F$4, $G$4)))</f>
        <v>0</v>
      </c>
      <c r="M22" s="178" t="str">
        <f>IF(M$9="","",IF(NOT(ISNUMBER(_xll.ciqfunctions.udf.CIQ($D$4, $B22, M$9, $H$4, $E$4, , $F$4, $G$4))),"",_xll.ciqfunctions.udf.CIQ($D$4, $B22, M$9, $H$4, $E$4, , $F$4, $G$4)))</f>
        <v/>
      </c>
      <c r="N22" s="178" t="str">
        <f>IF(N$9="","",IF(NOT(ISNUMBER(_xll.ciqfunctions.udf.CIQ($D$4, $B22, N$9, $H$4, $E$4, , $F$4, $G$4))),"",_xll.ciqfunctions.udf.CIQ($D$4, $B22, N$9, $H$4, $E$4, , $F$4, $G$4)))</f>
        <v/>
      </c>
      <c r="O22" s="178" t="str">
        <f>IF(O$9="","",IF(NOT(ISNUMBER(_xll.ciqfunctions.udf.CIQ($D$4, $B22, O$9, $H$4, $E$4, , $F$4, $G$4))),"",_xll.ciqfunctions.udf.CIQ($D$4, $B22, O$9, $H$4, $E$4, , $F$4, $G$4)))</f>
        <v/>
      </c>
      <c r="P22" s="178" t="str">
        <f>IF(P$9="","",IF(NOT(ISNUMBER(_xll.ciqfunctions.udf.CIQ($D$4, $B22, P$9, $H$4, $E$4, , $F$4, $G$4))),"",_xll.ciqfunctions.udf.CIQ($D$4, $B22, P$9, $H$4, $E$4, , $F$4, $G$4)))</f>
        <v/>
      </c>
      <c r="Q22" s="178" t="str">
        <f>IF(Q$9="","",IF(NOT(ISNUMBER(_xll.ciqfunctions.udf.CIQ($D$4, $B22, Q$9, $H$4, $E$4, , $F$4, $G$4))),"",_xll.ciqfunctions.udf.CIQ($D$4, $B22, Q$9, $H$4, $E$4, , $F$4, $G$4)))</f>
        <v/>
      </c>
      <c r="R22" s="178" t="str">
        <f>IF(R$9="","",IF(NOT(ISNUMBER(_xll.ciqfunctions.udf.CIQ($D$4, $B22, R$9, $H$4, $E$4, , $F$4, $G$4))),"",_xll.ciqfunctions.udf.CIQ($D$4, $B22, R$9, $H$4, $E$4, , $F$4, $G$4)))</f>
        <v/>
      </c>
      <c r="S22" s="178" t="str">
        <f>IF(S$9="","",IF(NOT(ISNUMBER(_xll.ciqfunctions.udf.CIQ($D$4, $B22, S$9, $H$4, $E$4, , $F$4, $G$4))),"",_xll.ciqfunctions.udf.CIQ($D$4, $B22, S$9, $H$4, $E$4, , $F$4, $G$4)))</f>
        <v/>
      </c>
      <c r="T22" s="178" t="str">
        <f>IF(T$9="","",IF(NOT(ISNUMBER(_xll.ciqfunctions.udf.CIQ($D$4, $B22, T$9, $H$4, $E$4, , $F$4, $G$4))),"",_xll.ciqfunctions.udf.CIQ($D$4, $B22, T$9, $H$4, $E$4, , $F$4, $G$4)))</f>
        <v/>
      </c>
      <c r="U22" s="178" t="str">
        <f>IF(U$9="","",IF(NOT(ISNUMBER(_xll.ciqfunctions.udf.CIQ($D$4, $B22, U$9, $H$4, $E$4, , $F$4, $G$4))),"",_xll.ciqfunctions.udf.CIQ($D$4, $B22, U$9, $H$4, $E$4, , $F$4, $G$4)))</f>
        <v/>
      </c>
      <c r="V22" s="178" t="str">
        <f>IF(V$9="","",IF(NOT(ISNUMBER(_xll.ciqfunctions.udf.CIQ($D$4, $B22, V$9, $H$4, $E$4, , $F$4, $G$4))),"",_xll.ciqfunctions.udf.CIQ($D$4, $B22, V$9, $H$4, $E$4, , $F$4, $G$4)))</f>
        <v/>
      </c>
      <c r="W22" s="178" t="str">
        <f>IF(W$9="","",IF(NOT(ISNUMBER(_xll.ciqfunctions.udf.CIQ($D$4, $B22, W$9, $H$4, $E$4, , $F$4, $G$4))),"",_xll.ciqfunctions.udf.CIQ($D$4, $B22, W$9, $H$4, $E$4, , $F$4, $G$4)))</f>
        <v/>
      </c>
      <c r="Y22" s="48"/>
      <c r="Z22" s="48"/>
      <c r="AA22" s="48"/>
    </row>
    <row r="23" spans="1:29" ht="15" customHeight="1" x14ac:dyDescent="0.2">
      <c r="A23" s="159" t="s">
        <v>40</v>
      </c>
      <c r="B23" s="231" t="s">
        <v>11</v>
      </c>
      <c r="C23" s="162">
        <f>IF(C$9="","",SUM(C19:C22))</f>
        <v>97107</v>
      </c>
      <c r="D23" s="162">
        <f t="shared" ref="D23:W23" si="5">IF(D$9="","",SUM(D19:D22))</f>
        <v>100223</v>
      </c>
      <c r="E23" s="162">
        <f t="shared" si="5"/>
        <v>102591</v>
      </c>
      <c r="F23" s="162">
        <f t="shared" si="5"/>
        <v>106495</v>
      </c>
      <c r="G23" s="162">
        <f t="shared" si="5"/>
        <v>111933</v>
      </c>
      <c r="H23" s="162">
        <f t="shared" si="5"/>
        <v>116539</v>
      </c>
      <c r="I23" s="162">
        <f t="shared" si="5"/>
        <v>117825</v>
      </c>
      <c r="J23" s="162">
        <f t="shared" si="5"/>
        <v>118878</v>
      </c>
      <c r="K23" s="162">
        <f t="shared" si="5"/>
        <v>123040</v>
      </c>
      <c r="L23" s="162">
        <f t="shared" si="5"/>
        <v>128470</v>
      </c>
      <c r="M23" s="162" t="str">
        <f t="shared" si="5"/>
        <v/>
      </c>
      <c r="N23" s="162" t="str">
        <f t="shared" si="5"/>
        <v/>
      </c>
      <c r="O23" s="162" t="str">
        <f t="shared" si="5"/>
        <v/>
      </c>
      <c r="P23" s="162" t="str">
        <f t="shared" si="5"/>
        <v/>
      </c>
      <c r="Q23" s="162" t="str">
        <f t="shared" si="5"/>
        <v/>
      </c>
      <c r="R23" s="162" t="str">
        <f t="shared" si="5"/>
        <v/>
      </c>
      <c r="S23" s="162" t="str">
        <f t="shared" si="5"/>
        <v/>
      </c>
      <c r="T23" s="162" t="str">
        <f t="shared" si="5"/>
        <v/>
      </c>
      <c r="U23" s="162" t="str">
        <f t="shared" si="5"/>
        <v/>
      </c>
      <c r="V23" s="162" t="str">
        <f t="shared" si="5"/>
        <v/>
      </c>
      <c r="W23" s="162" t="str">
        <f t="shared" si="5"/>
        <v/>
      </c>
    </row>
    <row r="24" spans="1:29" ht="15" customHeight="1" x14ac:dyDescent="0.2">
      <c r="A24" s="27"/>
      <c r="B24" s="232"/>
      <c r="C24" s="179"/>
      <c r="D24" s="179"/>
      <c r="E24" s="179"/>
      <c r="F24" s="179"/>
      <c r="G24" s="179"/>
      <c r="H24" s="179"/>
      <c r="I24" s="179"/>
      <c r="J24" s="179"/>
      <c r="K24" s="179"/>
      <c r="L24" s="179"/>
      <c r="M24" s="179"/>
      <c r="N24" s="179"/>
      <c r="O24" s="179"/>
      <c r="P24" s="179"/>
      <c r="Q24" s="179"/>
      <c r="R24" s="179"/>
      <c r="S24" s="179"/>
      <c r="T24" s="179"/>
      <c r="U24" s="179"/>
      <c r="V24" s="179"/>
      <c r="W24" s="179"/>
    </row>
    <row r="25" spans="1:29" ht="15" customHeight="1" x14ac:dyDescent="0.2">
      <c r="A25" s="27" t="s">
        <v>41</v>
      </c>
      <c r="B25" s="232" t="s">
        <v>376</v>
      </c>
      <c r="C25" s="178">
        <f>IF(C$9="","",IF(NOT(ISNUMBER(_xll.ciqfunctions.udf.CIQ($D$4, $B25, C$9, $H$4, $E$4, , $F$4, $G$4))),"",_xll.ciqfunctions.udf.CIQ($D$4, $B25, C$9, $H$4, $E$4, , $F$4, $G$4)))</f>
        <v>-2063</v>
      </c>
      <c r="D25" s="178">
        <f>IF(D$9="","",IF(NOT(ISNUMBER(_xll.ciqfunctions.udf.CIQ($D$4, $B25, D$9, $H$4, $E$4, , $F$4, $G$4))),"",_xll.ciqfunctions.udf.CIQ($D$4, $B25, D$9, $H$4, $E$4, , $F$4, $G$4)))</f>
        <v>-2216</v>
      </c>
      <c r="E25" s="178">
        <f>IF(E$9="","",IF(NOT(ISNUMBER(_xll.ciqfunctions.udf.CIQ($D$4, $B25, E$9, $H$4, $E$4, , $F$4, $G$4))),"",_xll.ciqfunctions.udf.CIQ($D$4, $B25, E$9, $H$4, $E$4, , $F$4, $G$4)))</f>
        <v>-2348</v>
      </c>
      <c r="F25" s="178">
        <f>IF(F$9="","",IF(NOT(ISNUMBER(_xll.ciqfunctions.udf.CIQ($D$4, $B25, F$9, $H$4, $E$4, , $F$4, $G$4))),"",_xll.ciqfunctions.udf.CIQ($D$4, $B25, F$9, $H$4, $E$4, , $F$4, $G$4)))</f>
        <v>-2467</v>
      </c>
      <c r="G25" s="178">
        <f>IF(G$9="","",IF(NOT(ISNUMBER(_xll.ciqfunctions.udf.CIQ($D$4, $B25, G$9, $H$4, $E$4, , $F$4, $G$4))),"",_xll.ciqfunctions.udf.CIQ($D$4, $B25, G$9, $H$4, $E$4, , $F$4, $G$4)))</f>
        <v>-2267</v>
      </c>
      <c r="H25" s="178">
        <f>IF(H$9="","",IF(NOT(ISNUMBER(_xll.ciqfunctions.udf.CIQ($D$4, $B25, H$9, $H$4, $E$4, , $F$4, $G$4))),"",_xll.ciqfunctions.udf.CIQ($D$4, $B25, H$9, $H$4, $E$4, , $F$4, $G$4)))</f>
        <v>-2178</v>
      </c>
      <c r="I25" s="178">
        <f>IF(I$9="","",IF(NOT(ISNUMBER(_xll.ciqfunctions.udf.CIQ($D$4, $B25, I$9, $H$4, $E$4, , $F$4, $G$4))),"",_xll.ciqfunctions.udf.CIQ($D$4, $B25, I$9, $H$4, $E$4, , $F$4, $G$4)))</f>
        <v>-2129</v>
      </c>
      <c r="J25" s="178">
        <f>IF(J$9="","",IF(NOT(ISNUMBER(_xll.ciqfunctions.udf.CIQ($D$4, $B25, J$9, $H$4, $E$4, , $F$4, $G$4))),"",_xll.ciqfunctions.udf.CIQ($D$4, $B25, J$9, $H$4, $E$4, , $F$4, $G$4)))</f>
        <v>-2410</v>
      </c>
      <c r="K25" s="178">
        <f>IF(K$9="","",IF(NOT(ISNUMBER(_xll.ciqfunctions.udf.CIQ($D$4, $B25, K$9, $H$4, $E$4, , $F$4, $G$4))),"",_xll.ciqfunctions.udf.CIQ($D$4, $B25, K$9, $H$4, $E$4, , $F$4, $G$4)))</f>
        <v>-2194</v>
      </c>
      <c r="L25" s="178">
        <f>IF(L$9="","",IF(NOT(ISNUMBER(_xll.ciqfunctions.udf.CIQ($D$4, $B25, L$9, $H$4, $E$4, , $F$4, $G$4))),"",_xll.ciqfunctions.udf.CIQ($D$4, $B25, L$9, $H$4, $E$4, , $F$4, $G$4)))</f>
        <v>-1836</v>
      </c>
      <c r="M25" s="178" t="str">
        <f>IF(M$9="","",IF(NOT(ISNUMBER(_xll.ciqfunctions.udf.CIQ($D$4, $B25, M$9, $H$4, $E$4, , $F$4, $G$4))),"",_xll.ciqfunctions.udf.CIQ($D$4, $B25, M$9, $H$4, $E$4, , $F$4, $G$4)))</f>
        <v/>
      </c>
      <c r="N25" s="178" t="str">
        <f>IF(N$9="","",IF(NOT(ISNUMBER(_xll.ciqfunctions.udf.CIQ($D$4, $B25, N$9, $H$4, $E$4, , $F$4, $G$4))),"",_xll.ciqfunctions.udf.CIQ($D$4, $B25, N$9, $H$4, $E$4, , $F$4, $G$4)))</f>
        <v/>
      </c>
      <c r="O25" s="178" t="str">
        <f>IF(O$9="","",IF(NOT(ISNUMBER(_xll.ciqfunctions.udf.CIQ($D$4, $B25, O$9, $H$4, $E$4, , $F$4, $G$4))),"",_xll.ciqfunctions.udf.CIQ($D$4, $B25, O$9, $H$4, $E$4, , $F$4, $G$4)))</f>
        <v/>
      </c>
      <c r="P25" s="178" t="str">
        <f>IF(P$9="","",IF(NOT(ISNUMBER(_xll.ciqfunctions.udf.CIQ($D$4, $B25, P$9, $H$4, $E$4, , $F$4, $G$4))),"",_xll.ciqfunctions.udf.CIQ($D$4, $B25, P$9, $H$4, $E$4, , $F$4, $G$4)))</f>
        <v/>
      </c>
      <c r="Q25" s="178" t="str">
        <f>IF(Q$9="","",IF(NOT(ISNUMBER(_xll.ciqfunctions.udf.CIQ($D$4, $B25, Q$9, $H$4, $E$4, , $F$4, $G$4))),"",_xll.ciqfunctions.udf.CIQ($D$4, $B25, Q$9, $H$4, $E$4, , $F$4, $G$4)))</f>
        <v/>
      </c>
      <c r="R25" s="178" t="str">
        <f>IF(R$9="","",IF(NOT(ISNUMBER(_xll.ciqfunctions.udf.CIQ($D$4, $B25, R$9, $H$4, $E$4, , $F$4, $G$4))),"",_xll.ciqfunctions.udf.CIQ($D$4, $B25, R$9, $H$4, $E$4, , $F$4, $G$4)))</f>
        <v/>
      </c>
      <c r="S25" s="178" t="str">
        <f>IF(S$9="","",IF(NOT(ISNUMBER(_xll.ciqfunctions.udf.CIQ($D$4, $B25, S$9, $H$4, $E$4, , $F$4, $G$4))),"",_xll.ciqfunctions.udf.CIQ($D$4, $B25, S$9, $H$4, $E$4, , $F$4, $G$4)))</f>
        <v/>
      </c>
      <c r="T25" s="178" t="str">
        <f>IF(T$9="","",IF(NOT(ISNUMBER(_xll.ciqfunctions.udf.CIQ($D$4, $B25, T$9, $H$4, $E$4, , $F$4, $G$4))),"",_xll.ciqfunctions.udf.CIQ($D$4, $B25, T$9, $H$4, $E$4, , $F$4, $G$4)))</f>
        <v/>
      </c>
      <c r="U25" s="178" t="str">
        <f>IF(U$9="","",IF(NOT(ISNUMBER(_xll.ciqfunctions.udf.CIQ($D$4, $B25, U$9, $H$4, $E$4, , $F$4, $G$4))),"",_xll.ciqfunctions.udf.CIQ($D$4, $B25, U$9, $H$4, $E$4, , $F$4, $G$4)))</f>
        <v/>
      </c>
      <c r="V25" s="178" t="str">
        <f>IF(V$9="","",IF(NOT(ISNUMBER(_xll.ciqfunctions.udf.CIQ($D$4, $B25, V$9, $H$4, $E$4, , $F$4, $G$4))),"",_xll.ciqfunctions.udf.CIQ($D$4, $B25, V$9, $H$4, $E$4, , $F$4, $G$4)))</f>
        <v/>
      </c>
      <c r="W25" s="178" t="str">
        <f>IF(W$9="","",IF(NOT(ISNUMBER(_xll.ciqfunctions.udf.CIQ($D$4, $B25, W$9, $H$4, $E$4, , $F$4, $G$4))),"",_xll.ciqfunctions.udf.CIQ($D$4, $B25, W$9, $H$4, $E$4, , $F$4, $G$4)))</f>
        <v/>
      </c>
    </row>
    <row r="26" spans="1:29" ht="15" customHeight="1" x14ac:dyDescent="0.2">
      <c r="A26" s="140" t="s">
        <v>43</v>
      </c>
      <c r="B26" s="230" t="s">
        <v>377</v>
      </c>
      <c r="C26" s="178">
        <f>IF(C$9="","",IF(NOT(ISNUMBER(_xll.ciqfunctions.udf.CIQ($D$4, $B26, C$9, $H$4, $E$4, , $F$4, $G$4))),"",_xll.ciqfunctions.udf.CIQ($D$4, $B26, C$9, $H$4, $E$4, , $F$4, $G$4)))</f>
        <v>7958</v>
      </c>
      <c r="D26" s="178">
        <f>IF(D$9="","",IF(NOT(ISNUMBER(_xll.ciqfunctions.udf.CIQ($D$4, $B26, D$9, $H$4, $E$4, , $F$4, $G$4))),"",_xll.ciqfunctions.udf.CIQ($D$4, $B26, D$9, $H$4, $E$4, , $F$4, $G$4)))</f>
        <v>8105</v>
      </c>
      <c r="E26" s="178">
        <f>IF(E$9="","",IF(NOT(ISNUMBER(_xll.ciqfunctions.udf.CIQ($D$4, $B26, E$9, $H$4, $E$4, , $F$4, $G$4))),"",_xll.ciqfunctions.udf.CIQ($D$4, $B26, E$9, $H$4, $E$4, , $F$4, $G$4)))</f>
        <v>7985</v>
      </c>
      <c r="F26" s="178">
        <f>IF(F$9="","",IF(NOT(ISNUMBER(_xll.ciqfunctions.udf.CIQ($D$4, $B26, F$9, $H$4, $E$4, , $F$4, $G$4))),"",_xll.ciqfunctions.udf.CIQ($D$4, $B26, F$9, $H$4, $E$4, , $F$4, $G$4)))</f>
        <v>6558</v>
      </c>
      <c r="G26" s="178">
        <f>IF(G$9="","",IF(NOT(ISNUMBER(_xll.ciqfunctions.udf.CIQ($D$4, $B26, G$9, $H$4, $E$4, , $F$4, $G$4))),"",_xll.ciqfunctions.udf.CIQ($D$4, $B26, G$9, $H$4, $E$4, , $F$4, $G$4)))</f>
        <v>6204</v>
      </c>
      <c r="H26" s="178">
        <f>IF(H$9="","",IF(NOT(ISNUMBER(_xll.ciqfunctions.udf.CIQ($D$4, $B26, H$9, $H$4, $E$4, , $F$4, $G$4))),"",_xll.ciqfunctions.udf.CIQ($D$4, $B26, H$9, $H$4, $E$4, , $F$4, $G$4)))</f>
        <v>4600</v>
      </c>
      <c r="I26" s="178">
        <f>IF(I$9="","",IF(NOT(ISNUMBER(_xll.ciqfunctions.udf.CIQ($D$4, $B26, I$9, $H$4, $E$4, , $F$4, $G$4))),"",_xll.ciqfunctions.udf.CIQ($D$4, $B26, I$9, $H$4, $E$4, , $F$4, $G$4)))</f>
        <v>4281</v>
      </c>
      <c r="J26" s="178">
        <f>IF(J$9="","",IF(NOT(ISNUMBER(_xll.ciqfunctions.udf.CIQ($D$4, $B26, J$9, $H$4, $E$4, , $F$4, $G$4))),"",_xll.ciqfunctions.udf.CIQ($D$4, $B26, J$9, $H$4, $E$4, , $F$4, $G$4)))</f>
        <v>4915</v>
      </c>
      <c r="K26" s="178">
        <f>IF(K$9="","",IF(NOT(ISNUMBER(_xll.ciqfunctions.udf.CIQ($D$4, $B26, K$9, $H$4, $E$4, , $F$4, $G$4))),"",_xll.ciqfunctions.udf.CIQ($D$4, $B26, K$9, $H$4, $E$4, , $F$4, $G$4)))</f>
        <v>6858</v>
      </c>
      <c r="L26" s="178">
        <f>IF(L$9="","",IF(NOT(ISNUMBER(_xll.ciqfunctions.udf.CIQ($D$4, $B26, L$9, $H$4, $E$4, , $F$4, $G$4))),"",_xll.ciqfunctions.udf.CIQ($D$4, $B26, L$9, $H$4, $E$4, , $F$4, $G$4)))</f>
        <v>4756</v>
      </c>
      <c r="M26" s="178" t="str">
        <f>IF(M$9="","",IF(NOT(ISNUMBER(_xll.ciqfunctions.udf.CIQ($D$4, $B26, M$9, $H$4, $E$4, , $F$4, $G$4))),"",_xll.ciqfunctions.udf.CIQ($D$4, $B26, M$9, $H$4, $E$4, , $F$4, $G$4)))</f>
        <v/>
      </c>
      <c r="N26" s="178" t="str">
        <f>IF(N$9="","",IF(NOT(ISNUMBER(_xll.ciqfunctions.udf.CIQ($D$4, $B26, N$9, $H$4, $E$4, , $F$4, $G$4))),"",_xll.ciqfunctions.udf.CIQ($D$4, $B26, N$9, $H$4, $E$4, , $F$4, $G$4)))</f>
        <v/>
      </c>
      <c r="O26" s="178" t="str">
        <f>IF(O$9="","",IF(NOT(ISNUMBER(_xll.ciqfunctions.udf.CIQ($D$4, $B26, O$9, $H$4, $E$4, , $F$4, $G$4))),"",_xll.ciqfunctions.udf.CIQ($D$4, $B26, O$9, $H$4, $E$4, , $F$4, $G$4)))</f>
        <v/>
      </c>
      <c r="P26" s="178" t="str">
        <f>IF(P$9="","",IF(NOT(ISNUMBER(_xll.ciqfunctions.udf.CIQ($D$4, $B26, P$9, $H$4, $E$4, , $F$4, $G$4))),"",_xll.ciqfunctions.udf.CIQ($D$4, $B26, P$9, $H$4, $E$4, , $F$4, $G$4)))</f>
        <v/>
      </c>
      <c r="Q26" s="178" t="str">
        <f>IF(Q$9="","",IF(NOT(ISNUMBER(_xll.ciqfunctions.udf.CIQ($D$4, $B26, Q$9, $H$4, $E$4, , $F$4, $G$4))),"",_xll.ciqfunctions.udf.CIQ($D$4, $B26, Q$9, $H$4, $E$4, , $F$4, $G$4)))</f>
        <v/>
      </c>
      <c r="R26" s="178" t="str">
        <f>IF(R$9="","",IF(NOT(ISNUMBER(_xll.ciqfunctions.udf.CIQ($D$4, $B26, R$9, $H$4, $E$4, , $F$4, $G$4))),"",_xll.ciqfunctions.udf.CIQ($D$4, $B26, R$9, $H$4, $E$4, , $F$4, $G$4)))</f>
        <v/>
      </c>
      <c r="S26" s="178" t="str">
        <f>IF(S$9="","",IF(NOT(ISNUMBER(_xll.ciqfunctions.udf.CIQ($D$4, $B26, S$9, $H$4, $E$4, , $F$4, $G$4))),"",_xll.ciqfunctions.udf.CIQ($D$4, $B26, S$9, $H$4, $E$4, , $F$4, $G$4)))</f>
        <v/>
      </c>
      <c r="T26" s="178" t="str">
        <f>IF(T$9="","",IF(NOT(ISNUMBER(_xll.ciqfunctions.udf.CIQ($D$4, $B26, T$9, $H$4, $E$4, , $F$4, $G$4))),"",_xll.ciqfunctions.udf.CIQ($D$4, $B26, T$9, $H$4, $E$4, , $F$4, $G$4)))</f>
        <v/>
      </c>
      <c r="U26" s="178" t="str">
        <f>IF(U$9="","",IF(NOT(ISNUMBER(_xll.ciqfunctions.udf.CIQ($D$4, $B26, U$9, $H$4, $E$4, , $F$4, $G$4))),"",_xll.ciqfunctions.udf.CIQ($D$4, $B26, U$9, $H$4, $E$4, , $F$4, $G$4)))</f>
        <v/>
      </c>
      <c r="V26" s="178" t="str">
        <f>IF(V$9="","",IF(NOT(ISNUMBER(_xll.ciqfunctions.udf.CIQ($D$4, $B26, V$9, $H$4, $E$4, , $F$4, $G$4))),"",_xll.ciqfunctions.udf.CIQ($D$4, $B26, V$9, $H$4, $E$4, , $F$4, $G$4)))</f>
        <v/>
      </c>
      <c r="W26" s="178" t="str">
        <f>IF(W$9="","",IF(NOT(ISNUMBER(_xll.ciqfunctions.udf.CIQ($D$4, $B26, W$9, $H$4, $E$4, , $F$4, $G$4))),"",_xll.ciqfunctions.udf.CIQ($D$4, $B26, W$9, $H$4, $E$4, , $F$4, $G$4)))</f>
        <v/>
      </c>
    </row>
    <row r="27" spans="1:29" ht="15" customHeight="1" x14ac:dyDescent="0.2">
      <c r="A27" s="170" t="s">
        <v>4</v>
      </c>
      <c r="B27" s="230"/>
      <c r="C27" s="178">
        <f>IF(C$9="","",C15-C28-SUM(C16,C23,C25,C26))</f>
        <v>-3647</v>
      </c>
      <c r="D27" s="178">
        <f>IF(D$9="","",D15-D28-SUM(D16,D23,D25,D26))</f>
        <v>-3909</v>
      </c>
      <c r="E27" s="178">
        <f t="shared" ref="E27:K27" si="6">IF(E$9="","",E15-E28-SUM(E16,E23,E25,E26))</f>
        <v>-4026</v>
      </c>
      <c r="F27" s="178">
        <f t="shared" si="6"/>
        <v>-4134</v>
      </c>
      <c r="G27" s="178">
        <f t="shared" si="6"/>
        <v>-4896</v>
      </c>
      <c r="H27" s="178">
        <f t="shared" si="6"/>
        <v>-1876</v>
      </c>
      <c r="I27" s="178">
        <f t="shared" si="6"/>
        <v>2457</v>
      </c>
      <c r="J27" s="178">
        <f t="shared" si="6"/>
        <v>-6905</v>
      </c>
      <c r="K27" s="178">
        <f t="shared" si="6"/>
        <v>-2378</v>
      </c>
      <c r="L27" s="178">
        <f t="shared" ref="L27:W27" si="7">IF(L$9="","",L15-L28-SUM(L16,L23,L25,L26))</f>
        <v>-1309</v>
      </c>
      <c r="M27" s="178" t="str">
        <f t="shared" si="7"/>
        <v/>
      </c>
      <c r="N27" s="178" t="str">
        <f t="shared" si="7"/>
        <v/>
      </c>
      <c r="O27" s="178" t="str">
        <f t="shared" si="7"/>
        <v/>
      </c>
      <c r="P27" s="178" t="str">
        <f t="shared" si="7"/>
        <v/>
      </c>
      <c r="Q27" s="178" t="str">
        <f t="shared" si="7"/>
        <v/>
      </c>
      <c r="R27" s="178" t="str">
        <f t="shared" si="7"/>
        <v/>
      </c>
      <c r="S27" s="178" t="str">
        <f t="shared" si="7"/>
        <v/>
      </c>
      <c r="T27" s="178" t="str">
        <f t="shared" si="7"/>
        <v/>
      </c>
      <c r="U27" s="178" t="str">
        <f t="shared" si="7"/>
        <v/>
      </c>
      <c r="V27" s="178" t="str">
        <f t="shared" si="7"/>
        <v/>
      </c>
      <c r="W27" s="178" t="str">
        <f t="shared" si="7"/>
        <v/>
      </c>
    </row>
    <row r="28" spans="1:29" ht="15" customHeight="1" x14ac:dyDescent="0.2">
      <c r="A28" s="159" t="s">
        <v>6</v>
      </c>
      <c r="B28" s="231" t="s">
        <v>14</v>
      </c>
      <c r="C28" s="162">
        <f>IF(C$9="","",IF(NOT(ISNUMBER(_xll.ciqfunctions.udf.CIQ($D$4, $B28, C$9, $H$4, $E$4, , $F$4, $G$4))),"",_xll.ciqfunctions.udf.CIQ($D$4, $B28, C$9, $H$4, $E$4, , $F$4, $G$4)))</f>
        <v>16999</v>
      </c>
      <c r="D28" s="162">
        <f>IF(D$9="","",IF(NOT(ISNUMBER(_xll.ciqfunctions.udf.CIQ($D$4, $B28, D$9, $H$4, $E$4, , $F$4, $G$4))),"",_xll.ciqfunctions.udf.CIQ($D$4, $B28, D$9, $H$4, $E$4, , $F$4, $G$4)))</f>
        <v>16022</v>
      </c>
      <c r="E28" s="162">
        <f>IF(E$9="","",IF(NOT(ISNUMBER(_xll.ciqfunctions.udf.CIQ($D$4, $B28, E$9, $H$4, $E$4, , $F$4, $G$4))),"",_xll.ciqfunctions.udf.CIQ($D$4, $B28, E$9, $H$4, $E$4, , $F$4, $G$4)))</f>
        <v>16363</v>
      </c>
      <c r="F28" s="162">
        <f>IF(F$9="","",IF(NOT(ISNUMBER(_xll.ciqfunctions.udf.CIQ($D$4, $B28, F$9, $H$4, $E$4, , $F$4, $G$4))),"",_xll.ciqfunctions.udf.CIQ($D$4, $B28, F$9, $H$4, $E$4, , $F$4, $G$4)))</f>
        <v>14694</v>
      </c>
      <c r="G28" s="162">
        <f>IF(G$9="","",IF(NOT(ISNUMBER(_xll.ciqfunctions.udf.CIQ($D$4, $B28, G$9, $H$4, $E$4, , $F$4, $G$4))),"",_xll.ciqfunctions.udf.CIQ($D$4, $B28, G$9, $H$4, $E$4, , $F$4, $G$4)))</f>
        <v>13643</v>
      </c>
      <c r="H28" s="162">
        <f>IF(H$9="","",IF(NOT(ISNUMBER(_xll.ciqfunctions.udf.CIQ($D$4, $B28, H$9, $H$4, $E$4, , $F$4, $G$4))),"",_xll.ciqfunctions.udf.CIQ($D$4, $B28, H$9, $H$4, $E$4, , $F$4, $G$4)))</f>
        <v>9862</v>
      </c>
      <c r="I28" s="162">
        <f>IF(I$9="","",IF(NOT(ISNUMBER(_xll.ciqfunctions.udf.CIQ($D$4, $B28, I$9, $H$4, $E$4, , $F$4, $G$4))),"",_xll.ciqfunctions.udf.CIQ($D$4, $B28, I$9, $H$4, $E$4, , $F$4, $G$4)))</f>
        <v>6670</v>
      </c>
      <c r="J28" s="162">
        <f>IF(J$9="","",IF(NOT(ISNUMBER(_xll.ciqfunctions.udf.CIQ($D$4, $B28, J$9, $H$4, $E$4, , $F$4, $G$4))),"",_xll.ciqfunctions.udf.CIQ($D$4, $B28, J$9, $H$4, $E$4, , $F$4, $G$4)))</f>
        <v>14881</v>
      </c>
      <c r="K28" s="162">
        <f>IF(K$9="","",IF(NOT(ISNUMBER(_xll.ciqfunctions.udf.CIQ($D$4, $B28, K$9, $H$4, $E$4, , $F$4, $G$4))),"",_xll.ciqfunctions.udf.CIQ($D$4, $B28, K$9, $H$4, $E$4, , $F$4, $G$4)))</f>
        <v>13510</v>
      </c>
      <c r="L28" s="162">
        <f>IF(L$9="","",IF(NOT(ISNUMBER(_xll.ciqfunctions.udf.CIQ($D$4, $B28, L$9, $H$4, $E$4, , $F$4, $G$4))),"",_xll.ciqfunctions.udf.CIQ($D$4, $B28, L$9, $H$4, $E$4, , $F$4, $G$4)))</f>
        <v>13673</v>
      </c>
      <c r="M28" s="162" t="str">
        <f>IF(M$9="","",IF(NOT(ISNUMBER(_xll.ciqfunctions.udf.CIQ($D$4, $B28, M$9, $H$4, $E$4, , $F$4, $G$4))),"",_xll.ciqfunctions.udf.CIQ($D$4, $B28, M$9, $H$4, $E$4, , $F$4, $G$4)))</f>
        <v/>
      </c>
      <c r="N28" s="162" t="str">
        <f>IF(N$9="","",IF(NOT(ISNUMBER(_xll.ciqfunctions.udf.CIQ($D$4, $B28, N$9, $H$4, $E$4, , $F$4, $G$4))),"",_xll.ciqfunctions.udf.CIQ($D$4, $B28, N$9, $H$4, $E$4, , $F$4, $G$4)))</f>
        <v/>
      </c>
      <c r="O28" s="162" t="str">
        <f>IF(O$9="","",IF(NOT(ISNUMBER(_xll.ciqfunctions.udf.CIQ($D$4, $B28, O$9, $H$4, $E$4, , $F$4, $G$4))),"",_xll.ciqfunctions.udf.CIQ($D$4, $B28, O$9, $H$4, $E$4, , $F$4, $G$4)))</f>
        <v/>
      </c>
      <c r="P28" s="162" t="str">
        <f>IF(P$9="","",IF(NOT(ISNUMBER(_xll.ciqfunctions.udf.CIQ($D$4, $B28, P$9, $H$4, $E$4, , $F$4, $G$4))),"",_xll.ciqfunctions.udf.CIQ($D$4, $B28, P$9, $H$4, $E$4, , $F$4, $G$4)))</f>
        <v/>
      </c>
      <c r="Q28" s="162" t="str">
        <f>IF(Q$9="","",IF(NOT(ISNUMBER(_xll.ciqfunctions.udf.CIQ($D$4, $B28, Q$9, $H$4, $E$4, , $F$4, $G$4))),"",_xll.ciqfunctions.udf.CIQ($D$4, $B28, Q$9, $H$4, $E$4, , $F$4, $G$4)))</f>
        <v/>
      </c>
      <c r="R28" s="162" t="str">
        <f>IF(R$9="","",IF(NOT(ISNUMBER(_xll.ciqfunctions.udf.CIQ($D$4, $B28, R$9, $H$4, $E$4, , $F$4, $G$4))),"",_xll.ciqfunctions.udf.CIQ($D$4, $B28, R$9, $H$4, $E$4, , $F$4, $G$4)))</f>
        <v/>
      </c>
      <c r="S28" s="162" t="str">
        <f>IF(S$9="","",IF(NOT(ISNUMBER(_xll.ciqfunctions.udf.CIQ($D$4, $B28, S$9, $H$4, $E$4, , $F$4, $G$4))),"",_xll.ciqfunctions.udf.CIQ($D$4, $B28, S$9, $H$4, $E$4, , $F$4, $G$4)))</f>
        <v/>
      </c>
      <c r="T28" s="162" t="str">
        <f>IF(T$9="","",IF(NOT(ISNUMBER(_xll.ciqfunctions.udf.CIQ($D$4, $B28, T$9, $H$4, $E$4, , $F$4, $G$4))),"",_xll.ciqfunctions.udf.CIQ($D$4, $B28, T$9, $H$4, $E$4, , $F$4, $G$4)))</f>
        <v/>
      </c>
      <c r="U28" s="162" t="str">
        <f>IF(U$9="","",IF(NOT(ISNUMBER(_xll.ciqfunctions.udf.CIQ($D$4, $B28, U$9, $H$4, $E$4, , $F$4, $G$4))),"",_xll.ciqfunctions.udf.CIQ($D$4, $B28, U$9, $H$4, $E$4, , $F$4, $G$4)))</f>
        <v/>
      </c>
      <c r="V28" s="162" t="str">
        <f>IF(V$9="","",IF(NOT(ISNUMBER(_xll.ciqfunctions.udf.CIQ($D$4, $B28, V$9, $H$4, $E$4, , $F$4, $G$4))),"",_xll.ciqfunctions.udf.CIQ($D$4, $B28, V$9, $H$4, $E$4, , $F$4, $G$4)))</f>
        <v/>
      </c>
      <c r="W28" s="162" t="str">
        <f>IF(W$9="","",IF(NOT(ISNUMBER(_xll.ciqfunctions.udf.CIQ($D$4, $B28, W$9, $H$4, $E$4, , $F$4, $G$4))),"",_xll.ciqfunctions.udf.CIQ($D$4, $B28, W$9, $H$4, $E$4, , $F$4, $G$4)))</f>
        <v/>
      </c>
    </row>
    <row r="29" spans="1:29" ht="15" customHeight="1" x14ac:dyDescent="0.2">
      <c r="B29" s="232"/>
      <c r="C29" s="976"/>
      <c r="D29" s="976"/>
      <c r="E29" s="976"/>
      <c r="F29" s="976"/>
      <c r="G29" s="976"/>
      <c r="H29" s="976"/>
      <c r="I29" s="976"/>
      <c r="J29" s="976"/>
      <c r="K29" s="976"/>
      <c r="L29" s="179"/>
      <c r="M29" s="179"/>
      <c r="N29" s="179"/>
      <c r="O29" s="179"/>
      <c r="P29" s="179"/>
      <c r="Q29" s="179"/>
      <c r="R29" s="179"/>
      <c r="S29" s="179"/>
      <c r="T29" s="179"/>
      <c r="U29" s="179"/>
      <c r="V29" s="179"/>
      <c r="W29" s="179"/>
    </row>
    <row r="30" spans="1:29" ht="15" customHeight="1" x14ac:dyDescent="0.2">
      <c r="A30" s="916" t="s">
        <v>51</v>
      </c>
      <c r="B30" s="925"/>
      <c r="C30" s="926"/>
      <c r="D30" s="926"/>
      <c r="E30" s="926"/>
      <c r="F30" s="926"/>
      <c r="G30" s="926"/>
      <c r="H30" s="926"/>
      <c r="I30" s="926"/>
      <c r="J30" s="926"/>
      <c r="K30" s="926"/>
      <c r="L30" s="926"/>
      <c r="M30" s="926"/>
      <c r="N30" s="926"/>
      <c r="O30" s="926"/>
      <c r="P30" s="926"/>
      <c r="Q30" s="926"/>
      <c r="R30" s="926"/>
      <c r="S30" s="926"/>
      <c r="T30" s="926"/>
      <c r="U30" s="926"/>
      <c r="V30" s="926"/>
      <c r="W30" s="926"/>
    </row>
    <row r="31" spans="1:29" ht="15" customHeight="1" x14ac:dyDescent="0.2">
      <c r="A31" s="27" t="s">
        <v>30</v>
      </c>
      <c r="B31" s="232" t="s">
        <v>374</v>
      </c>
      <c r="C31" s="178">
        <f>IF(C$9="","",IF(NOT(ISNUMBER(_xll.ciqfunctions.udf.CIQ($D$4, $B31, C$9, $H$4, $E$4, , $F$4, $G$4))),"",_xll.ciqfunctions.udf.CIQ($D$4, $B31, C$9, $H$4, $E$4, , $F$4, $G$4)))</f>
        <v>116354</v>
      </c>
      <c r="D31" s="178">
        <f>IF(D$9="","",IF(NOT(ISNUMBER(_xll.ciqfunctions.udf.CIQ($D$4, $B31, D$9, $H$4, $E$4, , $F$4, $G$4))),"",_xll.ciqfunctions.udf.CIQ($D$4, $B31, D$9, $H$4, $E$4, , $F$4, $G$4)))</f>
        <v>118225</v>
      </c>
      <c r="E31" s="178">
        <f>IF(E$9="","",IF(NOT(ISNUMBER(_xll.ciqfunctions.udf.CIQ($D$4, $B31, E$9, $H$4, $E$4, , $F$4, $G$4))),"",_xll.ciqfunctions.udf.CIQ($D$4, $B31, E$9, $H$4, $E$4, , $F$4, $G$4)))</f>
        <v>120565</v>
      </c>
      <c r="F31" s="178">
        <f>IF(F$9="","",IF(NOT(ISNUMBER(_xll.ciqfunctions.udf.CIQ($D$4, $B31, F$9, $H$4, $E$4, , $F$4, $G$4))),"",_xll.ciqfunctions.udf.CIQ($D$4, $B31, F$9, $H$4, $E$4, , $F$4, $G$4)))</f>
        <v>121146</v>
      </c>
      <c r="G31" s="178">
        <f>IF(G$9="","",IF(NOT(ISNUMBER(_xll.ciqfunctions.udf.CIQ($D$4, $B31, G$9, $H$4, $E$4, , $F$4, $G$4))),"",_xll.ciqfunctions.udf.CIQ($D$4, $B31, G$9, $H$4, $E$4, , $F$4, $G$4)))</f>
        <v>124617</v>
      </c>
      <c r="H31" s="178">
        <f>IF(H$9="","",IF(NOT(ISNUMBER(_xll.ciqfunctions.udf.CIQ($D$4, $B31, H$9, $H$4, $E$4, , $F$4, $G$4))),"",_xll.ciqfunctions.udf.CIQ($D$4, $B31, H$9, $H$4, $E$4, , $F$4, $G$4)))</f>
        <v>126947</v>
      </c>
      <c r="I31" s="178">
        <f>IF(I$9="","",IF(NOT(ISNUMBER(_xll.ciqfunctions.udf.CIQ($D$4, $B31, I$9, $H$4, $E$4, , $F$4, $G$4))),"",_xll.ciqfunctions.udf.CIQ($D$4, $B31, I$9, $H$4, $E$4, , $F$4, $G$4)))</f>
        <v>129104</v>
      </c>
      <c r="J31" s="178">
        <f>IF(J$9="","",IF(NOT(ISNUMBER(_xll.ciqfunctions.udf.CIQ($D$4, $B31, J$9, $H$4, $E$4, , $F$4, $G$4))),"",_xll.ciqfunctions.udf.CIQ($D$4, $B31, J$9, $H$4, $E$4, , $F$4, $G$4)))</f>
        <v>129359</v>
      </c>
      <c r="K31" s="178">
        <f>IF(K$9="","",IF(NOT(ISNUMBER(_xll.ciqfunctions.udf.CIQ($D$4, $B31, K$9, $H$4, $E$4, , $F$4, $G$4))),"",_xll.ciqfunctions.udf.CIQ($D$4, $B31, K$9, $H$4, $E$4, , $F$4, $G$4)))</f>
        <v>138836</v>
      </c>
      <c r="L31" s="178">
        <f>IF(L$9="","",IF(NOT(ISNUMBER(_xll.ciqfunctions.udf.CIQ($D$4, $B31, L$9, $H$4, $E$4, , $F$4, $G$4))),"",_xll.ciqfunctions.udf.CIQ($D$4, $B31, L$9, $H$4, $E$4, , $F$4, $G$4)))</f>
        <v>143754</v>
      </c>
      <c r="M31" s="178" t="str">
        <f>IF(M$9="","",IF(NOT(ISNUMBER(_xll.ciqfunctions.udf.CIQ($D$4, $B31, M$9, $H$4, $E$4, , $F$4, $G$4))),"",_xll.ciqfunctions.udf.CIQ($D$4, $B31, M$9, $H$4, $E$4, , $F$4, $G$4)))</f>
        <v/>
      </c>
      <c r="N31" s="178" t="str">
        <f>IF(N$9="","",IF(NOT(ISNUMBER(_xll.ciqfunctions.udf.CIQ($D$4, $B31, N$9, $H$4, $E$4, , $F$4, $G$4))),"",_xll.ciqfunctions.udf.CIQ($D$4, $B31, N$9, $H$4, $E$4, , $F$4, $G$4)))</f>
        <v/>
      </c>
      <c r="O31" s="178" t="str">
        <f>IF(O$9="","",IF(NOT(ISNUMBER(_xll.ciqfunctions.udf.CIQ($D$4, $B31, O$9, $H$4, $E$4, , $F$4, $G$4))),"",_xll.ciqfunctions.udf.CIQ($D$4, $B31, O$9, $H$4, $E$4, , $F$4, $G$4)))</f>
        <v/>
      </c>
      <c r="P31" s="178" t="str">
        <f>IF(P$9="","",IF(NOT(ISNUMBER(_xll.ciqfunctions.udf.CIQ($D$4, $B31, P$9, $H$4, $E$4, , $F$4, $G$4))),"",_xll.ciqfunctions.udf.CIQ($D$4, $B31, P$9, $H$4, $E$4, , $F$4, $G$4)))</f>
        <v/>
      </c>
      <c r="Q31" s="178" t="str">
        <f>IF(Q$9="","",IF(NOT(ISNUMBER(_xll.ciqfunctions.udf.CIQ($D$4, $B31, Q$9, $H$4, $E$4, , $F$4, $G$4))),"",_xll.ciqfunctions.udf.CIQ($D$4, $B31, Q$9, $H$4, $E$4, , $F$4, $G$4)))</f>
        <v/>
      </c>
      <c r="R31" s="178" t="str">
        <f>IF(R$9="","",IF(NOT(ISNUMBER(_xll.ciqfunctions.udf.CIQ($D$4, $B31, R$9, $H$4, $E$4, , $F$4, $G$4))),"",_xll.ciqfunctions.udf.CIQ($D$4, $B31, R$9, $H$4, $E$4, , $F$4, $G$4)))</f>
        <v/>
      </c>
      <c r="S31" s="178" t="str">
        <f>IF(S$9="","",IF(NOT(ISNUMBER(_xll.ciqfunctions.udf.CIQ($D$4, $B31, S$9, $H$4, $E$4, , $F$4, $G$4))),"",_xll.ciqfunctions.udf.CIQ($D$4, $B31, S$9, $H$4, $E$4, , $F$4, $G$4)))</f>
        <v/>
      </c>
      <c r="T31" s="178" t="str">
        <f>IF(T$9="","",IF(NOT(ISNUMBER(_xll.ciqfunctions.udf.CIQ($D$4, $B31, T$9, $H$4, $E$4, , $F$4, $G$4))),"",_xll.ciqfunctions.udf.CIQ($D$4, $B31, T$9, $H$4, $E$4, , $F$4, $G$4)))</f>
        <v/>
      </c>
      <c r="U31" s="178" t="str">
        <f>IF(U$9="","",IF(NOT(ISNUMBER(_xll.ciqfunctions.udf.CIQ($D$4, $B31, U$9, $H$4, $E$4, , $F$4, $G$4))),"",_xll.ciqfunctions.udf.CIQ($D$4, $B31, U$9, $H$4, $E$4, , $F$4, $G$4)))</f>
        <v/>
      </c>
      <c r="V31" s="178" t="str">
        <f>IF(V$9="","",IF(NOT(ISNUMBER(_xll.ciqfunctions.udf.CIQ($D$4, $B31, V$9, $H$4, $E$4, , $F$4, $G$4))),"",_xll.ciqfunctions.udf.CIQ($D$4, $B31, V$9, $H$4, $E$4, , $F$4, $G$4)))</f>
        <v/>
      </c>
      <c r="W31" s="178" t="str">
        <f>IF(W$9="","",IF(NOT(ISNUMBER(_xll.ciqfunctions.udf.CIQ($D$4, $B31, W$9, $H$4, $E$4, , $F$4, $G$4))),"",_xll.ciqfunctions.udf.CIQ($D$4, $B31, W$9, $H$4, $E$4, , $F$4, $G$4)))</f>
        <v/>
      </c>
    </row>
    <row r="32" spans="1:29" ht="15" customHeight="1" x14ac:dyDescent="0.2">
      <c r="A32" s="27" t="s">
        <v>42</v>
      </c>
      <c r="B32" s="232" t="s">
        <v>378</v>
      </c>
      <c r="C32" s="178">
        <f>IF(C$9="","",IF(NOT(ISNUMBER(_xll.ciqfunctions.udf.CIQ($D$4, $B32, C$9, $H$4, $E$4, , $F$4, $G$4))),"",_xll.ciqfunctions.udf.CIQ($D$4, $B32, C$9, $H$4, $E$4, , $F$4, $G$4)))</f>
        <v>36203</v>
      </c>
      <c r="D32" s="178">
        <f>IF(D$9="","",IF(NOT(ISNUMBER(_xll.ciqfunctions.udf.CIQ($D$4, $B32, D$9, $H$4, $E$4, , $F$4, $G$4))),"",_xll.ciqfunctions.udf.CIQ($D$4, $B32, D$9, $H$4, $E$4, , $F$4, $G$4)))</f>
        <v>35742</v>
      </c>
      <c r="E32" s="178">
        <f>IF(E$9="","",IF(NOT(ISNUMBER(_xll.ciqfunctions.udf.CIQ($D$4, $B32, E$9, $H$4, $E$4, , $F$4, $G$4))),"",_xll.ciqfunctions.udf.CIQ($D$4, $B32, E$9, $H$4, $E$4, , $F$4, $G$4)))</f>
        <v>36320</v>
      </c>
      <c r="F32" s="178">
        <f>IF(F$9="","",IF(NOT(ISNUMBER(_xll.ciqfunctions.udf.CIQ($D$4, $B32, F$9, $H$4, $E$4, , $F$4, $G$4))),"",_xll.ciqfunctions.udf.CIQ($D$4, $B32, F$9, $H$4, $E$4, , $F$4, $G$4)))</f>
        <v>33559</v>
      </c>
      <c r="G32" s="178">
        <f>IF(G$9="","",IF(NOT(ISNUMBER(_xll.ciqfunctions.udf.CIQ($D$4, $B32, G$9, $H$4, $E$4, , $F$4, $G$4))),"",_xll.ciqfunctions.udf.CIQ($D$4, $B32, G$9, $H$4, $E$4, , $F$4, $G$4)))</f>
        <v>32844</v>
      </c>
      <c r="H32" s="178">
        <f>IF(H$9="","",IF(NOT(ISNUMBER(_xll.ciqfunctions.udf.CIQ($D$4, $B32, H$9, $H$4, $E$4, , $F$4, $G$4))),"",_xll.ciqfunctions.udf.CIQ($D$4, $B32, H$9, $H$4, $E$4, , $F$4, $G$4)))</f>
        <v>31466</v>
      </c>
      <c r="I32" s="178">
        <f>IF(I$9="","",IF(NOT(ISNUMBER(_xll.ciqfunctions.udf.CIQ($D$4, $B32, I$9, $H$4, $E$4, , $F$4, $G$4))),"",_xll.ciqfunctions.udf.CIQ($D$4, $B32, I$9, $H$4, $E$4, , $F$4, $G$4)))</f>
        <v>32635</v>
      </c>
      <c r="J32" s="178">
        <f>IF(J$9="","",IF(NOT(ISNUMBER(_xll.ciqfunctions.udf.CIQ($D$4, $B32, J$9, $H$4, $E$4, , $F$4, $G$4))),"",_xll.ciqfunctions.udf.CIQ($D$4, $B32, J$9, $H$4, $E$4, , $F$4, $G$4)))</f>
        <v>32455</v>
      </c>
      <c r="K32" s="178">
        <f>IF(K$9="","",IF(NOT(ISNUMBER(_xll.ciqfunctions.udf.CIQ($D$4, $B32, K$9, $H$4, $E$4, , $F$4, $G$4))),"",_xll.ciqfunctions.udf.CIQ($D$4, $B32, K$9, $H$4, $E$4, , $F$4, $G$4)))</f>
        <v>38100</v>
      </c>
      <c r="L32" s="178">
        <f>IF(L$9="","",IF(NOT(ISNUMBER(_xll.ciqfunctions.udf.CIQ($D$4, $B32, L$9, $H$4, $E$4, , $F$4, $G$4))),"",_xll.ciqfunctions.udf.CIQ($D$4, $B32, L$9, $H$4, $E$4, , $F$4, $G$4)))</f>
        <v>36600</v>
      </c>
      <c r="M32" s="178" t="str">
        <f>IF(M$9="","",IF(NOT(ISNUMBER(_xll.ciqfunctions.udf.CIQ($D$4, $B32, M$9, $H$4, $E$4, , $F$4, $G$4))),"",_xll.ciqfunctions.udf.CIQ($D$4, $B32, M$9, $H$4, $E$4, , $F$4, $G$4)))</f>
        <v/>
      </c>
      <c r="N32" s="178" t="str">
        <f>IF(N$9="","",IF(NOT(ISNUMBER(_xll.ciqfunctions.udf.CIQ($D$4, $B32, N$9, $H$4, $E$4, , $F$4, $G$4))),"",_xll.ciqfunctions.udf.CIQ($D$4, $B32, N$9, $H$4, $E$4, , $F$4, $G$4)))</f>
        <v/>
      </c>
      <c r="O32" s="178" t="str">
        <f>IF(O$9="","",IF(NOT(ISNUMBER(_xll.ciqfunctions.udf.CIQ($D$4, $B32, O$9, $H$4, $E$4, , $F$4, $G$4))),"",_xll.ciqfunctions.udf.CIQ($D$4, $B32, O$9, $H$4, $E$4, , $F$4, $G$4)))</f>
        <v/>
      </c>
      <c r="P32" s="178" t="str">
        <f>IF(P$9="","",IF(NOT(ISNUMBER(_xll.ciqfunctions.udf.CIQ($D$4, $B32, P$9, $H$4, $E$4, , $F$4, $G$4))),"",_xll.ciqfunctions.udf.CIQ($D$4, $B32, P$9, $H$4, $E$4, , $F$4, $G$4)))</f>
        <v/>
      </c>
      <c r="Q32" s="178" t="str">
        <f>IF(Q$9="","",IF(NOT(ISNUMBER(_xll.ciqfunctions.udf.CIQ($D$4, $B32, Q$9, $H$4, $E$4, , $F$4, $G$4))),"",_xll.ciqfunctions.udf.CIQ($D$4, $B32, Q$9, $H$4, $E$4, , $F$4, $G$4)))</f>
        <v/>
      </c>
      <c r="R32" s="178" t="str">
        <f>IF(R$9="","",IF(NOT(ISNUMBER(_xll.ciqfunctions.udf.CIQ($D$4, $B32, R$9, $H$4, $E$4, , $F$4, $G$4))),"",_xll.ciqfunctions.udf.CIQ($D$4, $B32, R$9, $H$4, $E$4, , $F$4, $G$4)))</f>
        <v/>
      </c>
      <c r="S32" s="178" t="str">
        <f>IF(S$9="","",IF(NOT(ISNUMBER(_xll.ciqfunctions.udf.CIQ($D$4, $B32, S$9, $H$4, $E$4, , $F$4, $G$4))),"",_xll.ciqfunctions.udf.CIQ($D$4, $B32, S$9, $H$4, $E$4, , $F$4, $G$4)))</f>
        <v/>
      </c>
      <c r="T32" s="178" t="str">
        <f>IF(T$9="","",IF(NOT(ISNUMBER(_xll.ciqfunctions.udf.CIQ($D$4, $B32, T$9, $H$4, $E$4, , $F$4, $G$4))),"",_xll.ciqfunctions.udf.CIQ($D$4, $B32, T$9, $H$4, $E$4, , $F$4, $G$4)))</f>
        <v/>
      </c>
      <c r="U32" s="178" t="str">
        <f>IF(U$9="","",IF(NOT(ISNUMBER(_xll.ciqfunctions.udf.CIQ($D$4, $B32, U$9, $H$4, $E$4, , $F$4, $G$4))),"",_xll.ciqfunctions.udf.CIQ($D$4, $B32, U$9, $H$4, $E$4, , $F$4, $G$4)))</f>
        <v/>
      </c>
      <c r="V32" s="178" t="str">
        <f>IF(V$9="","",IF(NOT(ISNUMBER(_xll.ciqfunctions.udf.CIQ($D$4, $B32, V$9, $H$4, $E$4, , $F$4, $G$4))),"",_xll.ciqfunctions.udf.CIQ($D$4, $B32, V$9, $H$4, $E$4, , $F$4, $G$4)))</f>
        <v/>
      </c>
      <c r="W32" s="178" t="str">
        <f>IF(W$9="","",IF(NOT(ISNUMBER(_xll.ciqfunctions.udf.CIQ($D$4, $B32, W$9, $H$4, $E$4, , $F$4, $G$4))),"",_xll.ciqfunctions.udf.CIQ($D$4, $B32, W$9, $H$4, $E$4, , $F$4, $G$4)))</f>
        <v/>
      </c>
    </row>
    <row r="33" spans="1:23" s="48" customFormat="1" ht="15" customHeight="1" x14ac:dyDescent="0.2">
      <c r="A33" s="50" t="s">
        <v>968</v>
      </c>
      <c r="B33" s="232" t="s">
        <v>969</v>
      </c>
      <c r="C33" s="178">
        <f>IF(C$9="","",IF(NOT(ISNUMBER(_xll.ciqfunctions.udf.CIQ($D$4, $B33, C$9, $H$4, $E$4, , $F$4, $G$4))),"",_xll.ciqfunctions.udf.CIQ($D$4, $B33, C$9, $H$4, $E$4, , $F$4, $G$4)))</f>
        <v>36302</v>
      </c>
      <c r="D33" s="178">
        <f>IF(D$9="","",IF(NOT(ISNUMBER(_xll.ciqfunctions.udf.CIQ($D$4, $B33, D$9, $H$4, $E$4, , $F$4, $G$4))),"",_xll.ciqfunctions.udf.CIQ($D$4, $B33, D$9, $H$4, $E$4, , $F$4, $G$4)))</f>
        <v>36720.136039999998</v>
      </c>
      <c r="E33" s="178">
        <f>IF(E$9="","",IF(NOT(ISNUMBER(_xll.ciqfunctions.udf.CIQ($D$4, $B33, E$9, $H$4, $E$4, , $F$4, $G$4))),"",_xll.ciqfunctions.udf.CIQ($D$4, $B33, E$9, $H$4, $E$4, , $F$4, $G$4)))</f>
        <v>36702.65</v>
      </c>
      <c r="F33" s="178">
        <f>IF(F$9="","",IF(NOT(ISNUMBER(_xll.ciqfunctions.udf.CIQ($D$4, $B33, F$9, $H$4, $E$4, , $F$4, $G$4))),"",_xll.ciqfunctions.udf.CIQ($D$4, $B33, F$9, $H$4, $E$4, , $F$4, $G$4)))</f>
        <v>34297.561000000002</v>
      </c>
      <c r="G33" s="178">
        <f>IF(G$9="","",IF(NOT(ISNUMBER(_xll.ciqfunctions.udf.CIQ($D$4, $B33, G$9, $H$4, $E$4, , $F$4, $G$4))),"",_xll.ciqfunctions.udf.CIQ($D$4, $B33, G$9, $H$4, $E$4, , $F$4, $G$4)))</f>
        <v>32678.240000000002</v>
      </c>
      <c r="H33" s="178">
        <f>IF(H$9="","",IF(NOT(ISNUMBER(_xll.ciqfunctions.udf.CIQ($D$4, $B33, H$9, $H$4, $E$4, , $F$4, $G$4))),"",_xll.ciqfunctions.udf.CIQ($D$4, $B33, H$9, $H$4, $E$4, , $F$4, $G$4)))</f>
        <v>33042.9</v>
      </c>
      <c r="I33" s="178">
        <f>IF(I$9="","",IF(NOT(ISNUMBER(_xll.ciqfunctions.udf.CIQ($D$4, $B33, I$9, $H$4, $E$4, , $F$4, $G$4))),"",_xll.ciqfunctions.udf.CIQ($D$4, $B33, I$9, $H$4, $E$4, , $F$4, $G$4)))</f>
        <v>32635</v>
      </c>
      <c r="J33" s="178">
        <f>IF(J$9="","",IF(NOT(ISNUMBER(_xll.ciqfunctions.udf.CIQ($D$4, $B33, J$9, $H$4, $E$4, , $F$4, $G$4))),"",_xll.ciqfunctions.udf.CIQ($D$4, $B33, J$9, $H$4, $E$4, , $F$4, $G$4)))</f>
        <v>32394</v>
      </c>
      <c r="K33" s="178">
        <f>IF(K$9="","",IF(NOT(ISNUMBER(_xll.ciqfunctions.udf.CIQ($D$4, $B33, K$9, $H$4, $E$4, , $F$4, $G$4))),"",_xll.ciqfunctions.udf.CIQ($D$4, $B33, K$9, $H$4, $E$4, , $F$4, $G$4)))</f>
        <v>34332</v>
      </c>
      <c r="L33" s="178">
        <f>IF(L$9="","",IF(NOT(ISNUMBER(_xll.ciqfunctions.udf.CIQ($D$4, $B33, L$9, $H$4, $E$4, , $F$4, $G$4))),"",_xll.ciqfunctions.udf.CIQ($D$4, $B33, L$9, $H$4, $E$4, , $F$4, $G$4)))</f>
        <v>36708</v>
      </c>
      <c r="M33" s="178" t="str">
        <f>IF(M$9="","",IF(NOT(ISNUMBER(_xll.ciqfunctions.udf.CIQ($D$4, $B33, M$9, $H$4, $E$4, , $F$4, $G$4))),"",_xll.ciqfunctions.udf.CIQ($D$4, $B33, M$9, $H$4, $E$4, , $F$4, $G$4)))</f>
        <v/>
      </c>
      <c r="N33" s="178" t="str">
        <f>IF(N$9="","",IF(NOT(ISNUMBER(_xll.ciqfunctions.udf.CIQ($D$4, $B33, N$9, $H$4, $E$4, , $F$4, $G$4))),"",_xll.ciqfunctions.udf.CIQ($D$4, $B33, N$9, $H$4, $E$4, , $F$4, $G$4)))</f>
        <v/>
      </c>
      <c r="O33" s="178" t="str">
        <f>IF(O$9="","",IF(NOT(ISNUMBER(_xll.ciqfunctions.udf.CIQ($D$4, $B33, O$9, $H$4, $E$4, , $F$4, $G$4))),"",_xll.ciqfunctions.udf.CIQ($D$4, $B33, O$9, $H$4, $E$4, , $F$4, $G$4)))</f>
        <v/>
      </c>
      <c r="P33" s="178" t="str">
        <f>IF(P$9="","",IF(NOT(ISNUMBER(_xll.ciqfunctions.udf.CIQ($D$4, $B33, P$9, $H$4, $E$4, , $F$4, $G$4))),"",_xll.ciqfunctions.udf.CIQ($D$4, $B33, P$9, $H$4, $E$4, , $F$4, $G$4)))</f>
        <v/>
      </c>
      <c r="Q33" s="178" t="str">
        <f>IF(Q$9="","",IF(NOT(ISNUMBER(_xll.ciqfunctions.udf.CIQ($D$4, $B33, Q$9, $H$4, $E$4, , $F$4, $G$4))),"",_xll.ciqfunctions.udf.CIQ($D$4, $B33, Q$9, $H$4, $E$4, , $F$4, $G$4)))</f>
        <v/>
      </c>
      <c r="R33" s="178" t="str">
        <f>IF(R$9="","",IF(NOT(ISNUMBER(_xll.ciqfunctions.udf.CIQ($D$4, $B33, R$9, $H$4, $E$4, , $F$4, $G$4))),"",_xll.ciqfunctions.udf.CIQ($D$4, $B33, R$9, $H$4, $E$4, , $F$4, $G$4)))</f>
        <v/>
      </c>
      <c r="S33" s="178" t="str">
        <f>IF(S$9="","",IF(NOT(ISNUMBER(_xll.ciqfunctions.udf.CIQ($D$4, $B33, S$9, $H$4, $E$4, , $F$4, $G$4))),"",_xll.ciqfunctions.udf.CIQ($D$4, $B33, S$9, $H$4, $E$4, , $F$4, $G$4)))</f>
        <v/>
      </c>
      <c r="T33" s="178" t="str">
        <f>IF(T$9="","",IF(NOT(ISNUMBER(_xll.ciqfunctions.udf.CIQ($D$4, $B33, T$9, $H$4, $E$4, , $F$4, $G$4))),"",_xll.ciqfunctions.udf.CIQ($D$4, $B33, T$9, $H$4, $E$4, , $F$4, $G$4)))</f>
        <v/>
      </c>
      <c r="U33" s="178" t="str">
        <f>IF(U$9="","",IF(NOT(ISNUMBER(_xll.ciqfunctions.udf.CIQ($D$4, $B33, U$9, $H$4, $E$4, , $F$4, $G$4))),"",_xll.ciqfunctions.udf.CIQ($D$4, $B33, U$9, $H$4, $E$4, , $F$4, $G$4)))</f>
        <v/>
      </c>
      <c r="V33" s="178" t="str">
        <f>IF(V$9="","",IF(NOT(ISNUMBER(_xll.ciqfunctions.udf.CIQ($D$4, $B33, V$9, $H$4, $E$4, , $F$4, $G$4))),"",_xll.ciqfunctions.udf.CIQ($D$4, $B33, V$9, $H$4, $E$4, , $F$4, $G$4)))</f>
        <v/>
      </c>
      <c r="W33" s="178" t="str">
        <f>IF(W$9="","",IF(NOT(ISNUMBER(_xll.ciqfunctions.udf.CIQ($D$4, $B33, W$9, $H$4, $E$4, , $F$4, $G$4))),"",_xll.ciqfunctions.udf.CIQ($D$4, $B33, W$9, $H$4, $E$4, , $F$4, $G$4)))</f>
        <v/>
      </c>
    </row>
    <row r="34" spans="1:23" s="48" customFormat="1" ht="15" customHeight="1" x14ac:dyDescent="0.2">
      <c r="A34" s="630" t="s">
        <v>970</v>
      </c>
      <c r="B34" s="232"/>
      <c r="C34" s="179">
        <f>IFERROR(IF(C33&lt;&gt;0,C33,C32),"NA")</f>
        <v>36302</v>
      </c>
      <c r="D34" s="179">
        <f t="shared" ref="D34:W34" si="8">IFERROR(IF(D33&lt;&gt;0,D33,D32),"NA")</f>
        <v>36720.136039999998</v>
      </c>
      <c r="E34" s="179">
        <f t="shared" si="8"/>
        <v>36702.65</v>
      </c>
      <c r="F34" s="179">
        <f t="shared" si="8"/>
        <v>34297.561000000002</v>
      </c>
      <c r="G34" s="179">
        <f t="shared" si="8"/>
        <v>32678.240000000002</v>
      </c>
      <c r="H34" s="179">
        <f t="shared" si="8"/>
        <v>33042.9</v>
      </c>
      <c r="I34" s="179">
        <f t="shared" si="8"/>
        <v>32635</v>
      </c>
      <c r="J34" s="179">
        <f t="shared" si="8"/>
        <v>32394</v>
      </c>
      <c r="K34" s="179">
        <f t="shared" si="8"/>
        <v>34332</v>
      </c>
      <c r="L34" s="179">
        <f t="shared" si="8"/>
        <v>36708</v>
      </c>
      <c r="M34" s="179" t="str">
        <f t="shared" si="8"/>
        <v/>
      </c>
      <c r="N34" s="179" t="str">
        <f t="shared" si="8"/>
        <v/>
      </c>
      <c r="O34" s="179" t="str">
        <f t="shared" si="8"/>
        <v/>
      </c>
      <c r="P34" s="179" t="str">
        <f t="shared" si="8"/>
        <v/>
      </c>
      <c r="Q34" s="179" t="str">
        <f t="shared" si="8"/>
        <v/>
      </c>
      <c r="R34" s="179" t="str">
        <f t="shared" si="8"/>
        <v/>
      </c>
      <c r="S34" s="179" t="str">
        <f t="shared" si="8"/>
        <v/>
      </c>
      <c r="T34" s="179" t="str">
        <f t="shared" si="8"/>
        <v/>
      </c>
      <c r="U34" s="179" t="str">
        <f t="shared" si="8"/>
        <v/>
      </c>
      <c r="V34" s="179" t="str">
        <f t="shared" si="8"/>
        <v/>
      </c>
      <c r="W34" s="179" t="str">
        <f t="shared" si="8"/>
        <v/>
      </c>
    </row>
    <row r="35" spans="1:23" ht="15" customHeight="1" x14ac:dyDescent="0.2">
      <c r="A35" s="27" t="s">
        <v>35</v>
      </c>
      <c r="B35" s="232" t="s">
        <v>379</v>
      </c>
      <c r="C35" s="178">
        <f>IF(C$9="","",IF(NOT(ISNUMBER(_xll.ciqfunctions.udf.CIQ($D$4, $B35, C$9, $H$4, $E$4, , $F$4, $G$4))),"",_xll.ciqfunctions.udf.CIQ($D$4, $B35, C$9, $H$4, $E$4, , $F$4, $G$4)))</f>
        <v>27725</v>
      </c>
      <c r="D35" s="178">
        <f>IF(D$9="","",IF(NOT(ISNUMBER(_xll.ciqfunctions.udf.CIQ($D$4, $B35, D$9, $H$4, $E$4, , $F$4, $G$4))),"",_xll.ciqfunctions.udf.CIQ($D$4, $B35, D$9, $H$4, $E$4, , $F$4, $G$4)))</f>
        <v>26872</v>
      </c>
      <c r="E35" s="178">
        <f>IF(E$9="","",IF(NOT(ISNUMBER(_xll.ciqfunctions.udf.CIQ($D$4, $B35, E$9, $H$4, $E$4, , $F$4, $G$4))),"",_xll.ciqfunctions.udf.CIQ($D$4, $B35, E$9, $H$4, $E$4, , $F$4, $G$4)))</f>
        <v>27147</v>
      </c>
      <c r="F35" s="178">
        <f>IF(F$9="","",IF(NOT(ISNUMBER(_xll.ciqfunctions.udf.CIQ($D$4, $B35, F$9, $H$4, $E$4, , $F$4, $G$4))),"",_xll.ciqfunctions.udf.CIQ($D$4, $B35, F$9, $H$4, $E$4, , $F$4, $G$4)))</f>
        <v>24105</v>
      </c>
      <c r="G35" s="178">
        <f>IF(G$9="","",IF(NOT(ISNUMBER(_xll.ciqfunctions.udf.CIQ($D$4, $B35, G$9, $H$4, $E$4, , $F$4, $G$4))),"",_xll.ciqfunctions.udf.CIQ($D$4, $B35, G$9, $H$4, $E$4, , $F$4, $G$4)))</f>
        <v>22764</v>
      </c>
      <c r="H35" s="178">
        <f>IF(H$9="","",IF(NOT(ISNUMBER(_xll.ciqfunctions.udf.CIQ($D$4, $B35, H$9, $H$4, $E$4, , $F$4, $G$4))),"",_xll.ciqfunctions.udf.CIQ($D$4, $B35, H$9, $H$4, $E$4, , $F$4, $G$4)))</f>
        <v>20937</v>
      </c>
      <c r="I35" s="178">
        <f>IF(I$9="","",IF(NOT(ISNUMBER(_xll.ciqfunctions.udf.CIQ($D$4, $B35, I$9, $H$4, $E$4, , $F$4, $G$4))),"",_xll.ciqfunctions.udf.CIQ($D$4, $B35, I$9, $H$4, $E$4, , $F$4, $G$4)))</f>
        <v>21957</v>
      </c>
      <c r="J35" s="178">
        <f>IF(J$9="","",IF(NOT(ISNUMBER(_xll.ciqfunctions.udf.CIQ($D$4, $B35, J$9, $H$4, $E$4, , $F$4, $G$4))),"",_xll.ciqfunctions.udf.CIQ($D$4, $B35, J$9, $H$4, $E$4, , $F$4, $G$4)))</f>
        <v>21468</v>
      </c>
      <c r="K35" s="178">
        <f>IF(K$9="","",IF(NOT(ISNUMBER(_xll.ciqfunctions.udf.CIQ($D$4, $B35, K$9, $H$4, $E$4, , $F$4, $G$4))),"",_xll.ciqfunctions.udf.CIQ($D$4, $B35, K$9, $H$4, $E$4, , $F$4, $G$4)))</f>
        <v>26948</v>
      </c>
      <c r="L35" s="178">
        <f>IF(L$9="","",IF(NOT(ISNUMBER(_xll.ciqfunctions.udf.CIQ($D$4, $B35, L$9, $H$4, $E$4, , $F$4, $G$4))),"",_xll.ciqfunctions.udf.CIQ($D$4, $B35, L$9, $H$4, $E$4, , $F$4, $G$4)))</f>
        <v>25942</v>
      </c>
      <c r="M35" s="178" t="str">
        <f>IF(M$9="","",IF(NOT(ISNUMBER(_xll.ciqfunctions.udf.CIQ($D$4, $B35, M$9, $H$4, $E$4, , $F$4, $G$4))),"",_xll.ciqfunctions.udf.CIQ($D$4, $B35, M$9, $H$4, $E$4, , $F$4, $G$4)))</f>
        <v/>
      </c>
      <c r="N35" s="178" t="str">
        <f>IF(N$9="","",IF(NOT(ISNUMBER(_xll.ciqfunctions.udf.CIQ($D$4, $B35, N$9, $H$4, $E$4, , $F$4, $G$4))),"",_xll.ciqfunctions.udf.CIQ($D$4, $B35, N$9, $H$4, $E$4, , $F$4, $G$4)))</f>
        <v/>
      </c>
      <c r="O35" s="178" t="str">
        <f>IF(O$9="","",IF(NOT(ISNUMBER(_xll.ciqfunctions.udf.CIQ($D$4, $B35, O$9, $H$4, $E$4, , $F$4, $G$4))),"",_xll.ciqfunctions.udf.CIQ($D$4, $B35, O$9, $H$4, $E$4, , $F$4, $G$4)))</f>
        <v/>
      </c>
      <c r="P35" s="178" t="str">
        <f>IF(P$9="","",IF(NOT(ISNUMBER(_xll.ciqfunctions.udf.CIQ($D$4, $B35, P$9, $H$4, $E$4, , $F$4, $G$4))),"",_xll.ciqfunctions.udf.CIQ($D$4, $B35, P$9, $H$4, $E$4, , $F$4, $G$4)))</f>
        <v/>
      </c>
      <c r="Q35" s="178" t="str">
        <f>IF(Q$9="","",IF(NOT(ISNUMBER(_xll.ciqfunctions.udf.CIQ($D$4, $B35, Q$9, $H$4, $E$4, , $F$4, $G$4))),"",_xll.ciqfunctions.udf.CIQ($D$4, $B35, Q$9, $H$4, $E$4, , $F$4, $G$4)))</f>
        <v/>
      </c>
      <c r="R35" s="178" t="str">
        <f>IF(R$9="","",IF(NOT(ISNUMBER(_xll.ciqfunctions.udf.CIQ($D$4, $B35, R$9, $H$4, $E$4, , $F$4, $G$4))),"",_xll.ciqfunctions.udf.CIQ($D$4, $B35, R$9, $H$4, $E$4, , $F$4, $G$4)))</f>
        <v/>
      </c>
      <c r="S35" s="178" t="str">
        <f>IF(S$9="","",IF(NOT(ISNUMBER(_xll.ciqfunctions.udf.CIQ($D$4, $B35, S$9, $H$4, $E$4, , $F$4, $G$4))),"",_xll.ciqfunctions.udf.CIQ($D$4, $B35, S$9, $H$4, $E$4, , $F$4, $G$4)))</f>
        <v/>
      </c>
      <c r="T35" s="178" t="str">
        <f>IF(T$9="","",IF(NOT(ISNUMBER(_xll.ciqfunctions.udf.CIQ($D$4, $B35, T$9, $H$4, $E$4, , $F$4, $G$4))),"",_xll.ciqfunctions.udf.CIQ($D$4, $B35, T$9, $H$4, $E$4, , $F$4, $G$4)))</f>
        <v/>
      </c>
      <c r="U35" s="178" t="str">
        <f>IF(U$9="","",IF(NOT(ISNUMBER(_xll.ciqfunctions.udf.CIQ($D$4, $B35, U$9, $H$4, $E$4, , $F$4, $G$4))),"",_xll.ciqfunctions.udf.CIQ($D$4, $B35, U$9, $H$4, $E$4, , $F$4, $G$4)))</f>
        <v/>
      </c>
      <c r="V35" s="178" t="str">
        <f>IF(V$9="","",IF(NOT(ISNUMBER(_xll.ciqfunctions.udf.CIQ($D$4, $B35, V$9, $H$4, $E$4, , $F$4, $G$4))),"",_xll.ciqfunctions.udf.CIQ($D$4, $B35, V$9, $H$4, $E$4, , $F$4, $G$4)))</f>
        <v/>
      </c>
      <c r="W35" s="178" t="str">
        <f>IF(W$9="","",IF(NOT(ISNUMBER(_xll.ciqfunctions.udf.CIQ($D$4, $B35, W$9, $H$4, $E$4, , $F$4, $G$4))),"",_xll.ciqfunctions.udf.CIQ($D$4, $B35, W$9, $H$4, $E$4, , $F$4, $G$4)))</f>
        <v/>
      </c>
    </row>
    <row r="36" spans="1:23" s="48" customFormat="1" ht="15" customHeight="1" x14ac:dyDescent="0.2">
      <c r="A36" s="50" t="s">
        <v>972</v>
      </c>
      <c r="B36" s="232" t="s">
        <v>973</v>
      </c>
      <c r="C36" s="178">
        <f>IF(C$9="","",IF(NOT(ISNUMBER(_xll.ciqfunctions.udf.CIQ($D$4, $B36, C$9, $H$4, $E$4, , $F$4, $G$4))),"",_xll.ciqfunctions.udf.CIQ($D$4, $B36, C$9, $H$4, $E$4, , $F$4, $G$4)))</f>
        <v>27801</v>
      </c>
      <c r="D36" s="178">
        <f>IF(D$9="","",IF(NOT(ISNUMBER(_xll.ciqfunctions.udf.CIQ($D$4, $B36, D$9, $H$4, $E$4, , $F$4, $G$4))),"",_xll.ciqfunctions.udf.CIQ($D$4, $B36, D$9, $H$4, $E$4, , $F$4, $G$4)))</f>
        <v>27850.136040000001</v>
      </c>
      <c r="E36" s="178">
        <f>IF(E$9="","",IF(NOT(ISNUMBER(_xll.ciqfunctions.udf.CIQ($D$4, $B36, E$9, $H$4, $E$4, , $F$4, $G$4))),"",_xll.ciqfunctions.udf.CIQ($D$4, $B36, E$9, $H$4, $E$4, , $F$4, $G$4)))</f>
        <v>27529.65</v>
      </c>
      <c r="F36" s="178">
        <f>IF(F$9="","",IF(NOT(ISNUMBER(_xll.ciqfunctions.udf.CIQ($D$4, $B36, F$9, $H$4, $E$4, , $F$4, $G$4))),"",_xll.ciqfunctions.udf.CIQ($D$4, $B36, F$9, $H$4, $E$4, , $F$4, $G$4)))</f>
        <v>24843.561000000002</v>
      </c>
      <c r="G36" s="178">
        <f>IF(G$9="","",IF(NOT(ISNUMBER(_xll.ciqfunctions.udf.CIQ($D$4, $B36, G$9, $H$4, $E$4, , $F$4, $G$4))),"",_xll.ciqfunctions.udf.CIQ($D$4, $B36, G$9, $H$4, $E$4, , $F$4, $G$4)))</f>
        <v>22608.400000000001</v>
      </c>
      <c r="H36" s="178">
        <f>IF(H$9="","",IF(NOT(ISNUMBER(_xll.ciqfunctions.udf.CIQ($D$4, $B36, H$9, $H$4, $E$4, , $F$4, $G$4))),"",_xll.ciqfunctions.udf.CIQ($D$4, $B36, H$9, $H$4, $E$4, , $F$4, $G$4)))</f>
        <v>22513.9</v>
      </c>
      <c r="I36" s="178">
        <f>IF(I$9="","",IF(NOT(ISNUMBER(_xll.ciqfunctions.udf.CIQ($D$4, $B36, I$9, $H$4, $E$4, , $F$4, $G$4))),"",_xll.ciqfunctions.udf.CIQ($D$4, $B36, I$9, $H$4, $E$4, , $F$4, $G$4)))</f>
        <v>21957</v>
      </c>
      <c r="J36" s="178">
        <f>IF(J$9="","",IF(NOT(ISNUMBER(_xll.ciqfunctions.udf.CIQ($D$4, $B36, J$9, $H$4, $E$4, , $F$4, $G$4))),"",_xll.ciqfunctions.udf.CIQ($D$4, $B36, J$9, $H$4, $E$4, , $F$4, $G$4)))</f>
        <v>21407</v>
      </c>
      <c r="K36" s="178">
        <f>IF(K$9="","",IF(NOT(ISNUMBER(_xll.ciqfunctions.udf.CIQ($D$4, $B36, K$9, $H$4, $E$4, , $F$4, $G$4))),"",_xll.ciqfunctions.udf.CIQ($D$4, $B36, K$9, $H$4, $E$4, , $F$4, $G$4)))</f>
        <v>23180</v>
      </c>
      <c r="L36" s="178">
        <f>IF(L$9="","",IF(NOT(ISNUMBER(_xll.ciqfunctions.udf.CIQ($D$4, $B36, L$9, $H$4, $E$4, , $F$4, $G$4))),"",_xll.ciqfunctions.udf.CIQ($D$4, $B36, L$9, $H$4, $E$4, , $F$4, $G$4)))</f>
        <v>26050</v>
      </c>
      <c r="M36" s="178" t="str">
        <f>IF(M$9="","",IF(NOT(ISNUMBER(_xll.ciqfunctions.udf.CIQ($D$4, $B36, M$9, $H$4, $E$4, , $F$4, $G$4))),"",_xll.ciqfunctions.udf.CIQ($D$4, $B36, M$9, $H$4, $E$4, , $F$4, $G$4)))</f>
        <v/>
      </c>
      <c r="N36" s="178" t="str">
        <f>IF(N$9="","",IF(NOT(ISNUMBER(_xll.ciqfunctions.udf.CIQ($D$4, $B36, N$9, $H$4, $E$4, , $F$4, $G$4))),"",_xll.ciqfunctions.udf.CIQ($D$4, $B36, N$9, $H$4, $E$4, , $F$4, $G$4)))</f>
        <v/>
      </c>
      <c r="O36" s="178" t="str">
        <f>IF(O$9="","",IF(NOT(ISNUMBER(_xll.ciqfunctions.udf.CIQ($D$4, $B36, O$9, $H$4, $E$4, , $F$4, $G$4))),"",_xll.ciqfunctions.udf.CIQ($D$4, $B36, O$9, $H$4, $E$4, , $F$4, $G$4)))</f>
        <v/>
      </c>
      <c r="P36" s="178" t="str">
        <f>IF(P$9="","",IF(NOT(ISNUMBER(_xll.ciqfunctions.udf.CIQ($D$4, $B36, P$9, $H$4, $E$4, , $F$4, $G$4))),"",_xll.ciqfunctions.udf.CIQ($D$4, $B36, P$9, $H$4, $E$4, , $F$4, $G$4)))</f>
        <v/>
      </c>
      <c r="Q36" s="178" t="str">
        <f>IF(Q$9="","",IF(NOT(ISNUMBER(_xll.ciqfunctions.udf.CIQ($D$4, $B36, Q$9, $H$4, $E$4, , $F$4, $G$4))),"",_xll.ciqfunctions.udf.CIQ($D$4, $B36, Q$9, $H$4, $E$4, , $F$4, $G$4)))</f>
        <v/>
      </c>
      <c r="R36" s="178" t="str">
        <f>IF(R$9="","",IF(NOT(ISNUMBER(_xll.ciqfunctions.udf.CIQ($D$4, $B36, R$9, $H$4, $E$4, , $F$4, $G$4))),"",_xll.ciqfunctions.udf.CIQ($D$4, $B36, R$9, $H$4, $E$4, , $F$4, $G$4)))</f>
        <v/>
      </c>
      <c r="S36" s="178" t="str">
        <f>IF(S$9="","",IF(NOT(ISNUMBER(_xll.ciqfunctions.udf.CIQ($D$4, $B36, S$9, $H$4, $E$4, , $F$4, $G$4))),"",_xll.ciqfunctions.udf.CIQ($D$4, $B36, S$9, $H$4, $E$4, , $F$4, $G$4)))</f>
        <v/>
      </c>
      <c r="T36" s="178" t="str">
        <f>IF(T$9="","",IF(NOT(ISNUMBER(_xll.ciqfunctions.udf.CIQ($D$4, $B36, T$9, $H$4, $E$4, , $F$4, $G$4))),"",_xll.ciqfunctions.udf.CIQ($D$4, $B36, T$9, $H$4, $E$4, , $F$4, $G$4)))</f>
        <v/>
      </c>
      <c r="U36" s="178" t="str">
        <f>IF(U$9="","",IF(NOT(ISNUMBER(_xll.ciqfunctions.udf.CIQ($D$4, $B36, U$9, $H$4, $E$4, , $F$4, $G$4))),"",_xll.ciqfunctions.udf.CIQ($D$4, $B36, U$9, $H$4, $E$4, , $F$4, $G$4)))</f>
        <v/>
      </c>
      <c r="V36" s="178" t="str">
        <f>IF(V$9="","",IF(NOT(ISNUMBER(_xll.ciqfunctions.udf.CIQ($D$4, $B36, V$9, $H$4, $E$4, , $F$4, $G$4))),"",_xll.ciqfunctions.udf.CIQ($D$4, $B36, V$9, $H$4, $E$4, , $F$4, $G$4)))</f>
        <v/>
      </c>
      <c r="W36" s="178" t="str">
        <f>IF(W$9="","",IF(NOT(ISNUMBER(_xll.ciqfunctions.udf.CIQ($D$4, $B36, W$9, $H$4, $E$4, , $F$4, $G$4))),"",_xll.ciqfunctions.udf.CIQ($D$4, $B36, W$9, $H$4, $E$4, , $F$4, $G$4)))</f>
        <v/>
      </c>
    </row>
    <row r="37" spans="1:23" s="48" customFormat="1" ht="15" customHeight="1" x14ac:dyDescent="0.2">
      <c r="A37" s="630" t="s">
        <v>974</v>
      </c>
      <c r="B37" s="232"/>
      <c r="C37" s="179">
        <f>IFERROR(IF(C36&lt;&gt;0,C36,C35),"NA")</f>
        <v>27801</v>
      </c>
      <c r="D37" s="179">
        <f t="shared" ref="D37" si="9">IFERROR(IF(D36&lt;&gt;0,D36,D35),"NA")</f>
        <v>27850.136040000001</v>
      </c>
      <c r="E37" s="179">
        <f t="shared" ref="E37" si="10">IFERROR(IF(E36&lt;&gt;0,E36,E35),"NA")</f>
        <v>27529.65</v>
      </c>
      <c r="F37" s="179">
        <f t="shared" ref="F37" si="11">IFERROR(IF(F36&lt;&gt;0,F36,F35),"NA")</f>
        <v>24843.561000000002</v>
      </c>
      <c r="G37" s="179">
        <f t="shared" ref="G37" si="12">IFERROR(IF(G36&lt;&gt;0,G36,G35),"NA")</f>
        <v>22608.400000000001</v>
      </c>
      <c r="H37" s="179">
        <f t="shared" ref="H37" si="13">IFERROR(IF(H36&lt;&gt;0,H36,H35),"NA")</f>
        <v>22513.9</v>
      </c>
      <c r="I37" s="179">
        <f t="shared" ref="I37" si="14">IFERROR(IF(I36&lt;&gt;0,I36,I35),"NA")</f>
        <v>21957</v>
      </c>
      <c r="J37" s="179">
        <f t="shared" ref="J37" si="15">IFERROR(IF(J36&lt;&gt;0,J36,J35),"NA")</f>
        <v>21407</v>
      </c>
      <c r="K37" s="179">
        <f t="shared" ref="K37" si="16">IFERROR(IF(K36&lt;&gt;0,K36,K35),"NA")</f>
        <v>23180</v>
      </c>
      <c r="L37" s="179">
        <f t="shared" ref="L37" si="17">IFERROR(IF(L36&lt;&gt;0,L36,L35),"NA")</f>
        <v>26050</v>
      </c>
      <c r="M37" s="179" t="str">
        <f t="shared" ref="M37" si="18">IFERROR(IF(M36&lt;&gt;0,M36,M35),"NA")</f>
        <v/>
      </c>
      <c r="N37" s="179" t="str">
        <f t="shared" ref="N37" si="19">IFERROR(IF(N36&lt;&gt;0,N36,N35),"NA")</f>
        <v/>
      </c>
      <c r="O37" s="179" t="str">
        <f t="shared" ref="O37" si="20">IFERROR(IF(O36&lt;&gt;0,O36,O35),"NA")</f>
        <v/>
      </c>
      <c r="P37" s="179" t="str">
        <f t="shared" ref="P37" si="21">IFERROR(IF(P36&lt;&gt;0,P36,P35),"NA")</f>
        <v/>
      </c>
      <c r="Q37" s="179" t="str">
        <f t="shared" ref="Q37" si="22">IFERROR(IF(Q36&lt;&gt;0,Q36,Q35),"NA")</f>
        <v/>
      </c>
      <c r="R37" s="179" t="str">
        <f t="shared" ref="R37" si="23">IFERROR(IF(R36&lt;&gt;0,R36,R35),"NA")</f>
        <v/>
      </c>
      <c r="S37" s="179" t="str">
        <f t="shared" ref="S37" si="24">IFERROR(IF(S36&lt;&gt;0,S36,S35),"NA")</f>
        <v/>
      </c>
      <c r="T37" s="179" t="str">
        <f t="shared" ref="T37" si="25">IFERROR(IF(T36&lt;&gt;0,T36,T35),"NA")</f>
        <v/>
      </c>
      <c r="U37" s="179" t="str">
        <f t="shared" ref="U37" si="26">IFERROR(IF(U36&lt;&gt;0,U36,U35),"NA")</f>
        <v/>
      </c>
      <c r="V37" s="179" t="str">
        <f t="shared" ref="V37" si="27">IFERROR(IF(V36&lt;&gt;0,V36,V35),"NA")</f>
        <v/>
      </c>
      <c r="W37" s="179" t="str">
        <f t="shared" ref="W37" si="28">IFERROR(IF(W36&lt;&gt;0,W36,W35),"NA")</f>
        <v/>
      </c>
    </row>
    <row r="38" spans="1:23" ht="15" customHeight="1" x14ac:dyDescent="0.2">
      <c r="A38" s="27" t="s">
        <v>50</v>
      </c>
      <c r="B38" s="232" t="s">
        <v>380</v>
      </c>
      <c r="C38" s="178">
        <f>IF(C$9="","",IF(NOT(ISNUMBER(_xll.ciqfunctions.udf.CIQ($D$4, $B38, C$9, $H$4, $E$4, , $F$4, $G$4))),"",_xll.ciqfunctions.udf.CIQ($D$4, $B38, C$9, $H$4, $E$4, , $F$4, $G$4)))</f>
        <v>25662</v>
      </c>
      <c r="D38" s="178">
        <f>IF(D$9="","",IF(NOT(ISNUMBER(_xll.ciqfunctions.udf.CIQ($D$4, $B38, D$9, $H$4, $E$4, , $F$4, $G$4))),"",_xll.ciqfunctions.udf.CIQ($D$4, $B38, D$9, $H$4, $E$4, , $F$4, $G$4)))</f>
        <v>24656</v>
      </c>
      <c r="E38" s="178">
        <f>IF(E$9="","",IF(NOT(ISNUMBER(_xll.ciqfunctions.udf.CIQ($D$4, $B38, E$9, $H$4, $E$4, , $F$4, $G$4))),"",_xll.ciqfunctions.udf.CIQ($D$4, $B38, E$9, $H$4, $E$4, , $F$4, $G$4)))</f>
        <v>24799</v>
      </c>
      <c r="F38" s="178">
        <f>IF(F$9="","",IF(NOT(ISNUMBER(_xll.ciqfunctions.udf.CIQ($D$4, $B38, F$9, $H$4, $E$4, , $F$4, $G$4))),"",_xll.ciqfunctions.udf.CIQ($D$4, $B38, F$9, $H$4, $E$4, , $F$4, $G$4)))</f>
        <v>21638</v>
      </c>
      <c r="G38" s="178">
        <f>IF(G$9="","",IF(NOT(ISNUMBER(_xll.ciqfunctions.udf.CIQ($D$4, $B38, G$9, $H$4, $E$4, , $F$4, $G$4))),"",_xll.ciqfunctions.udf.CIQ($D$4, $B38, G$9, $H$4, $E$4, , $F$4, $G$4)))</f>
        <v>20497</v>
      </c>
      <c r="H38" s="178">
        <f>IF(H$9="","",IF(NOT(ISNUMBER(_xll.ciqfunctions.udf.CIQ($D$4, $B38, H$9, $H$4, $E$4, , $F$4, $G$4))),"",_xll.ciqfunctions.udf.CIQ($D$4, $B38, H$9, $H$4, $E$4, , $F$4, $G$4)))</f>
        <v>15123</v>
      </c>
      <c r="I38" s="178">
        <f>IF(I$9="","",IF(NOT(ISNUMBER(_xll.ciqfunctions.udf.CIQ($D$4, $B38, I$9, $H$4, $E$4, , $F$4, $G$4))),"",_xll.ciqfunctions.udf.CIQ($D$4, $B38, I$9, $H$4, $E$4, , $F$4, $G$4)))</f>
        <v>11460</v>
      </c>
      <c r="J38" s="178">
        <f>IF(J$9="","",IF(NOT(ISNUMBER(_xll.ciqfunctions.udf.CIQ($D$4, $B38, J$9, $H$4, $E$4, , $F$4, $G$4))),"",_xll.ciqfunctions.udf.CIQ($D$4, $B38, J$9, $H$4, $E$4, , $F$4, $G$4)))</f>
        <v>20116</v>
      </c>
      <c r="K38" s="178">
        <f>IF(K$9="","",IF(NOT(ISNUMBER(_xll.ciqfunctions.udf.CIQ($D$4, $B38, K$9, $H$4, $E$4, , $F$4, $G$4))),"",_xll.ciqfunctions.udf.CIQ($D$4, $B38, K$9, $H$4, $E$4, , $F$4, $G$4)))</f>
        <v>20564</v>
      </c>
      <c r="L38" s="178">
        <f>IF(L$9="","",IF(NOT(ISNUMBER(_xll.ciqfunctions.udf.CIQ($D$4, $B38, L$9, $H$4, $E$4, , $F$4, $G$4))),"",_xll.ciqfunctions.udf.CIQ($D$4, $B38, L$9, $H$4, $E$4, , $F$4, $G$4)))</f>
        <v>18696</v>
      </c>
      <c r="M38" s="178" t="str">
        <f>IF(M$9="","",IF(NOT(ISNUMBER(_xll.ciqfunctions.udf.CIQ($D$4, $B38, M$9, $H$4, $E$4, , $F$4, $G$4))),"",_xll.ciqfunctions.udf.CIQ($D$4, $B38, M$9, $H$4, $E$4, , $F$4, $G$4)))</f>
        <v/>
      </c>
      <c r="N38" s="178" t="str">
        <f>IF(N$9="","",IF(NOT(ISNUMBER(_xll.ciqfunctions.udf.CIQ($D$4, $B38, N$9, $H$4, $E$4, , $F$4, $G$4))),"",_xll.ciqfunctions.udf.CIQ($D$4, $B38, N$9, $H$4, $E$4, , $F$4, $G$4)))</f>
        <v/>
      </c>
      <c r="O38" s="178" t="str">
        <f>IF(O$9="","",IF(NOT(ISNUMBER(_xll.ciqfunctions.udf.CIQ($D$4, $B38, O$9, $H$4, $E$4, , $F$4, $G$4))),"",_xll.ciqfunctions.udf.CIQ($D$4, $B38, O$9, $H$4, $E$4, , $F$4, $G$4)))</f>
        <v/>
      </c>
      <c r="P38" s="178" t="str">
        <f>IF(P$9="","",IF(NOT(ISNUMBER(_xll.ciqfunctions.udf.CIQ($D$4, $B38, P$9, $H$4, $E$4, , $F$4, $G$4))),"",_xll.ciqfunctions.udf.CIQ($D$4, $B38, P$9, $H$4, $E$4, , $F$4, $G$4)))</f>
        <v/>
      </c>
      <c r="Q38" s="178" t="str">
        <f>IF(Q$9="","",IF(NOT(ISNUMBER(_xll.ciqfunctions.udf.CIQ($D$4, $B38, Q$9, $H$4, $E$4, , $F$4, $G$4))),"",_xll.ciqfunctions.udf.CIQ($D$4, $B38, Q$9, $H$4, $E$4, , $F$4, $G$4)))</f>
        <v/>
      </c>
      <c r="R38" s="178" t="str">
        <f>IF(R$9="","",IF(NOT(ISNUMBER(_xll.ciqfunctions.udf.CIQ($D$4, $B38, R$9, $H$4, $E$4, , $F$4, $G$4))),"",_xll.ciqfunctions.udf.CIQ($D$4, $B38, R$9, $H$4, $E$4, , $F$4, $G$4)))</f>
        <v/>
      </c>
      <c r="S38" s="178" t="str">
        <f>IF(S$9="","",IF(NOT(ISNUMBER(_xll.ciqfunctions.udf.CIQ($D$4, $B38, S$9, $H$4, $E$4, , $F$4, $G$4))),"",_xll.ciqfunctions.udf.CIQ($D$4, $B38, S$9, $H$4, $E$4, , $F$4, $G$4)))</f>
        <v/>
      </c>
      <c r="T38" s="178" t="str">
        <f>IF(T$9="","",IF(NOT(ISNUMBER(_xll.ciqfunctions.udf.CIQ($D$4, $B38, T$9, $H$4, $E$4, , $F$4, $G$4))),"",_xll.ciqfunctions.udf.CIQ($D$4, $B38, T$9, $H$4, $E$4, , $F$4, $G$4)))</f>
        <v/>
      </c>
      <c r="U38" s="178" t="str">
        <f>IF(U$9="","",IF(NOT(ISNUMBER(_xll.ciqfunctions.udf.CIQ($D$4, $B38, U$9, $H$4, $E$4, , $F$4, $G$4))),"",_xll.ciqfunctions.udf.CIQ($D$4, $B38, U$9, $H$4, $E$4, , $F$4, $G$4)))</f>
        <v/>
      </c>
      <c r="V38" s="178" t="str">
        <f>IF(V$9="","",IF(NOT(ISNUMBER(_xll.ciqfunctions.udf.CIQ($D$4, $B38, V$9, $H$4, $E$4, , $F$4, $G$4))),"",_xll.ciqfunctions.udf.CIQ($D$4, $B38, V$9, $H$4, $E$4, , $F$4, $G$4)))</f>
        <v/>
      </c>
      <c r="W38" s="178" t="str">
        <f>IF(W$9="","",IF(NOT(ISNUMBER(_xll.ciqfunctions.udf.CIQ($D$4, $B38, W$9, $H$4, $E$4, , $F$4, $G$4))),"",_xll.ciqfunctions.udf.CIQ($D$4, $B38, W$9, $H$4, $E$4, , $F$4, $G$4)))</f>
        <v/>
      </c>
    </row>
    <row r="39" spans="1:23" ht="15" customHeight="1" x14ac:dyDescent="0.2">
      <c r="A39" s="27" t="s">
        <v>6</v>
      </c>
      <c r="B39" s="232" t="s">
        <v>14</v>
      </c>
      <c r="C39" s="178">
        <f>IF(C$9="","",IF(NOT(ISNUMBER(_xll.ciqfunctions.udf.CIQ($D$4, $B39, C$9, $H$4, $E$4, , $F$4, $G$4))),"",_xll.ciqfunctions.udf.CIQ($D$4, $B39, C$9, $H$4, $E$4, , $F$4, $G$4)))</f>
        <v>16999</v>
      </c>
      <c r="D39" s="178">
        <f>IF(D$9="","",IF(NOT(ISNUMBER(_xll.ciqfunctions.udf.CIQ($D$4, $B39, D$9, $H$4, $E$4, , $F$4, $G$4))),"",_xll.ciqfunctions.udf.CIQ($D$4, $B39, D$9, $H$4, $E$4, , $F$4, $G$4)))</f>
        <v>16022</v>
      </c>
      <c r="E39" s="178">
        <f>IF(E$9="","",IF(NOT(ISNUMBER(_xll.ciqfunctions.udf.CIQ($D$4, $B39, E$9, $H$4, $E$4, , $F$4, $G$4))),"",_xll.ciqfunctions.udf.CIQ($D$4, $B39, E$9, $H$4, $E$4, , $F$4, $G$4)))</f>
        <v>16363</v>
      </c>
      <c r="F39" s="178">
        <f>IF(F$9="","",IF(NOT(ISNUMBER(_xll.ciqfunctions.udf.CIQ($D$4, $B39, F$9, $H$4, $E$4, , $F$4, $G$4))),"",_xll.ciqfunctions.udf.CIQ($D$4, $B39, F$9, $H$4, $E$4, , $F$4, $G$4)))</f>
        <v>14694</v>
      </c>
      <c r="G39" s="178">
        <f>IF(G$9="","",IF(NOT(ISNUMBER(_xll.ciqfunctions.udf.CIQ($D$4, $B39, G$9, $H$4, $E$4, , $F$4, $G$4))),"",_xll.ciqfunctions.udf.CIQ($D$4, $B39, G$9, $H$4, $E$4, , $F$4, $G$4)))</f>
        <v>13643</v>
      </c>
      <c r="H39" s="178">
        <f>IF(H$9="","",IF(NOT(ISNUMBER(_xll.ciqfunctions.udf.CIQ($D$4, $B39, H$9, $H$4, $E$4, , $F$4, $G$4))),"",_xll.ciqfunctions.udf.CIQ($D$4, $B39, H$9, $H$4, $E$4, , $F$4, $G$4)))</f>
        <v>9862</v>
      </c>
      <c r="I39" s="178">
        <f>IF(I$9="","",IF(NOT(ISNUMBER(_xll.ciqfunctions.udf.CIQ($D$4, $B39, I$9, $H$4, $E$4, , $F$4, $G$4))),"",_xll.ciqfunctions.udf.CIQ($D$4, $B39, I$9, $H$4, $E$4, , $F$4, $G$4)))</f>
        <v>6670</v>
      </c>
      <c r="J39" s="178">
        <f>IF(J$9="","",IF(NOT(ISNUMBER(_xll.ciqfunctions.udf.CIQ($D$4, $B39, J$9, $H$4, $E$4, , $F$4, $G$4))),"",_xll.ciqfunctions.udf.CIQ($D$4, $B39, J$9, $H$4, $E$4, , $F$4, $G$4)))</f>
        <v>14881</v>
      </c>
      <c r="K39" s="178">
        <f>IF(K$9="","",IF(NOT(ISNUMBER(_xll.ciqfunctions.udf.CIQ($D$4, $B39, K$9, $H$4, $E$4, , $F$4, $G$4))),"",_xll.ciqfunctions.udf.CIQ($D$4, $B39, K$9, $H$4, $E$4, , $F$4, $G$4)))</f>
        <v>13510</v>
      </c>
      <c r="L39" s="178">
        <f>IF(L$9="","",IF(NOT(ISNUMBER(_xll.ciqfunctions.udf.CIQ($D$4, $B39, L$9, $H$4, $E$4, , $F$4, $G$4))),"",_xll.ciqfunctions.udf.CIQ($D$4, $B39, L$9, $H$4, $E$4, , $F$4, $G$4)))</f>
        <v>13673</v>
      </c>
      <c r="M39" s="178" t="str">
        <f>IF(M$9="","",IF(NOT(ISNUMBER(_xll.ciqfunctions.udf.CIQ($D$4, $B39, M$9, $H$4, $E$4, , $F$4, $G$4))),"",_xll.ciqfunctions.udf.CIQ($D$4, $B39, M$9, $H$4, $E$4, , $F$4, $G$4)))</f>
        <v/>
      </c>
      <c r="N39" s="178" t="str">
        <f>IF(N$9="","",IF(NOT(ISNUMBER(_xll.ciqfunctions.udf.CIQ($D$4, $B39, N$9, $H$4, $E$4, , $F$4, $G$4))),"",_xll.ciqfunctions.udf.CIQ($D$4, $B39, N$9, $H$4, $E$4, , $F$4, $G$4)))</f>
        <v/>
      </c>
      <c r="O39" s="178" t="str">
        <f>IF(O$9="","",IF(NOT(ISNUMBER(_xll.ciqfunctions.udf.CIQ($D$4, $B39, O$9, $H$4, $E$4, , $F$4, $G$4))),"",_xll.ciqfunctions.udf.CIQ($D$4, $B39, O$9, $H$4, $E$4, , $F$4, $G$4)))</f>
        <v/>
      </c>
      <c r="P39" s="178" t="str">
        <f>IF(P$9="","",IF(NOT(ISNUMBER(_xll.ciqfunctions.udf.CIQ($D$4, $B39, P$9, $H$4, $E$4, , $F$4, $G$4))),"",_xll.ciqfunctions.udf.CIQ($D$4, $B39, P$9, $H$4, $E$4, , $F$4, $G$4)))</f>
        <v/>
      </c>
      <c r="Q39" s="178" t="str">
        <f>IF(Q$9="","",IF(NOT(ISNUMBER(_xll.ciqfunctions.udf.CIQ($D$4, $B39, Q$9, $H$4, $E$4, , $F$4, $G$4))),"",_xll.ciqfunctions.udf.CIQ($D$4, $B39, Q$9, $H$4, $E$4, , $F$4, $G$4)))</f>
        <v/>
      </c>
      <c r="R39" s="178" t="str">
        <f>IF(R$9="","",IF(NOT(ISNUMBER(_xll.ciqfunctions.udf.CIQ($D$4, $B39, R$9, $H$4, $E$4, , $F$4, $G$4))),"",_xll.ciqfunctions.udf.CIQ($D$4, $B39, R$9, $H$4, $E$4, , $F$4, $G$4)))</f>
        <v/>
      </c>
      <c r="S39" s="178" t="str">
        <f>IF(S$9="","",IF(NOT(ISNUMBER(_xll.ciqfunctions.udf.CIQ($D$4, $B39, S$9, $H$4, $E$4, , $F$4, $G$4))),"",_xll.ciqfunctions.udf.CIQ($D$4, $B39, S$9, $H$4, $E$4, , $F$4, $G$4)))</f>
        <v/>
      </c>
      <c r="T39" s="178" t="str">
        <f>IF(T$9="","",IF(NOT(ISNUMBER(_xll.ciqfunctions.udf.CIQ($D$4, $B39, T$9, $H$4, $E$4, , $F$4, $G$4))),"",_xll.ciqfunctions.udf.CIQ($D$4, $B39, T$9, $H$4, $E$4, , $F$4, $G$4)))</f>
        <v/>
      </c>
      <c r="U39" s="178" t="str">
        <f>IF(U$9="","",IF(NOT(ISNUMBER(_xll.ciqfunctions.udf.CIQ($D$4, $B39, U$9, $H$4, $E$4, , $F$4, $G$4))),"",_xll.ciqfunctions.udf.CIQ($D$4, $B39, U$9, $H$4, $E$4, , $F$4, $G$4)))</f>
        <v/>
      </c>
      <c r="V39" s="178" t="str">
        <f>IF(V$9="","",IF(NOT(ISNUMBER(_xll.ciqfunctions.udf.CIQ($D$4, $B39, V$9, $H$4, $E$4, , $F$4, $G$4))),"",_xll.ciqfunctions.udf.CIQ($D$4, $B39, V$9, $H$4, $E$4, , $F$4, $G$4)))</f>
        <v/>
      </c>
      <c r="W39" s="178" t="str">
        <f>IF(W$9="","",IF(NOT(ISNUMBER(_xll.ciqfunctions.udf.CIQ($D$4, $B39, W$9, $H$4, $E$4, , $F$4, $G$4))),"",_xll.ciqfunctions.udf.CIQ($D$4, $B39, W$9, $H$4, $E$4, , $F$4, $G$4)))</f>
        <v/>
      </c>
    </row>
    <row r="40" spans="1:23" s="48" customFormat="1" ht="15" customHeight="1" x14ac:dyDescent="0.2">
      <c r="A40" s="170" t="s">
        <v>976</v>
      </c>
      <c r="B40" s="230" t="s">
        <v>977</v>
      </c>
      <c r="C40" s="178">
        <f>IF(C$9="","",IF(NOT(ISNUMBER(_xll.ciqfunctions.udf.CIQ($D$4, $B40, C$9, $H$4, $E$4, , $F$4, $G$4))),"",_xll.ciqfunctions.udf.CIQ($D$4, $B40, C$9, $H$4, $E$4, , $F$4, $G$4)))</f>
        <v>16999</v>
      </c>
      <c r="D40" s="178">
        <f>IF(D$9="","",IF(NOT(ISNUMBER(_xll.ciqfunctions.udf.CIQ($D$4, $B40, D$9, $H$4, $E$4, , $F$4, $G$4))),"",_xll.ciqfunctions.udf.CIQ($D$4, $B40, D$9, $H$4, $E$4, , $F$4, $G$4)))</f>
        <v>16776.13</v>
      </c>
      <c r="E40" s="178">
        <f>IF(E$9="","",IF(NOT(ISNUMBER(_xll.ciqfunctions.udf.CIQ($D$4, $B40, E$9, $H$4, $E$4, , $F$4, $G$4))),"",_xll.ciqfunctions.udf.CIQ($D$4, $B40, E$9, $H$4, $E$4, , $F$4, $G$4)))</f>
        <v>16442.009999999998</v>
      </c>
      <c r="F40" s="178">
        <f>IF(F$9="","",IF(NOT(ISNUMBER(_xll.ciqfunctions.udf.CIQ($D$4, $B40, F$9, $H$4, $E$4, , $F$4, $G$4))),"",_xll.ciqfunctions.udf.CIQ($D$4, $B40, F$9, $H$4, $E$4, , $F$4, $G$4)))</f>
        <v>14766.03</v>
      </c>
      <c r="G40" s="178">
        <f>IF(G$9="","",IF(NOT(ISNUMBER(_xll.ciqfunctions.udf.CIQ($D$4, $B40, G$9, $H$4, $E$4, , $F$4, $G$4))),"",_xll.ciqfunctions.udf.CIQ($D$4, $B40, G$9, $H$4, $E$4, , $F$4, $G$4)))</f>
        <v>13443.84</v>
      </c>
      <c r="H40" s="178">
        <f>IF(H$9="","",IF(NOT(ISNUMBER(_xll.ciqfunctions.udf.CIQ($D$4, $B40, H$9, $H$4, $E$4, , $F$4, $G$4))),"",_xll.ciqfunctions.udf.CIQ($D$4, $B40, H$9, $H$4, $E$4, , $F$4, $G$4)))</f>
        <v>13304.2</v>
      </c>
      <c r="I40" s="178">
        <f>IF(I$9="","",IF(NOT(ISNUMBER(_xll.ciqfunctions.udf.CIQ($D$4, $B40, I$9, $H$4, $E$4, , $F$4, $G$4))),"",_xll.ciqfunctions.udf.CIQ($D$4, $B40, I$9, $H$4, $E$4, , $F$4, $G$4)))</f>
        <v>14459.95</v>
      </c>
      <c r="J40" s="178">
        <f>IF(J$9="","",IF(NOT(ISNUMBER(_xll.ciqfunctions.udf.CIQ($D$4, $B40, J$9, $H$4, $E$4, , $F$4, $G$4))),"",_xll.ciqfunctions.udf.CIQ($D$4, $B40, J$9, $H$4, $E$4, , $F$4, $G$4)))</f>
        <v>14139.24</v>
      </c>
      <c r="K40" s="178">
        <f>IF(K$9="","",IF(NOT(ISNUMBER(_xll.ciqfunctions.udf.CIQ($D$4, $B40, K$9, $H$4, $E$4, , $F$4, $G$4))),"",_xll.ciqfunctions.udf.CIQ($D$4, $B40, K$9, $H$4, $E$4, , $F$4, $G$4)))</f>
        <v>15601.56</v>
      </c>
      <c r="L40" s="178">
        <f>IF(L$9="","",IF(NOT(ISNUMBER(_xll.ciqfunctions.udf.CIQ($D$4, $B40, L$9, $H$4, $E$4, , $F$4, $G$4))),"",_xll.ciqfunctions.udf.CIQ($D$4, $B40, L$9, $H$4, $E$4, , $F$4, $G$4)))</f>
        <v>18120.3</v>
      </c>
      <c r="M40" s="178" t="str">
        <f>IF(M$9="","",IF(NOT(ISNUMBER(_xll.ciqfunctions.udf.CIQ($D$4, $B40, M$9, $H$4, $E$4, , $F$4, $G$4))),"",_xll.ciqfunctions.udf.CIQ($D$4, $B40, M$9, $H$4, $E$4, , $F$4, $G$4)))</f>
        <v/>
      </c>
      <c r="N40" s="178" t="str">
        <f>IF(N$9="","",IF(NOT(ISNUMBER(_xll.ciqfunctions.udf.CIQ($D$4, $B40, N$9, $H$4, $E$4, , $F$4, $G$4))),"",_xll.ciqfunctions.udf.CIQ($D$4, $B40, N$9, $H$4, $E$4, , $F$4, $G$4)))</f>
        <v/>
      </c>
      <c r="O40" s="178" t="str">
        <f>IF(O$9="","",IF(NOT(ISNUMBER(_xll.ciqfunctions.udf.CIQ($D$4, $B40, O$9, $H$4, $E$4, , $F$4, $G$4))),"",_xll.ciqfunctions.udf.CIQ($D$4, $B40, O$9, $H$4, $E$4, , $F$4, $G$4)))</f>
        <v/>
      </c>
      <c r="P40" s="178" t="str">
        <f>IF(P$9="","",IF(NOT(ISNUMBER(_xll.ciqfunctions.udf.CIQ($D$4, $B40, P$9, $H$4, $E$4, , $F$4, $G$4))),"",_xll.ciqfunctions.udf.CIQ($D$4, $B40, P$9, $H$4, $E$4, , $F$4, $G$4)))</f>
        <v/>
      </c>
      <c r="Q40" s="178" t="str">
        <f>IF(Q$9="","",IF(NOT(ISNUMBER(_xll.ciqfunctions.udf.CIQ($D$4, $B40, Q$9, $H$4, $E$4, , $F$4, $G$4))),"",_xll.ciqfunctions.udf.CIQ($D$4, $B40, Q$9, $H$4, $E$4, , $F$4, $G$4)))</f>
        <v/>
      </c>
      <c r="R40" s="178" t="str">
        <f>IF(R$9="","",IF(NOT(ISNUMBER(_xll.ciqfunctions.udf.CIQ($D$4, $B40, R$9, $H$4, $E$4, , $F$4, $G$4))),"",_xll.ciqfunctions.udf.CIQ($D$4, $B40, R$9, $H$4, $E$4, , $F$4, $G$4)))</f>
        <v/>
      </c>
      <c r="S40" s="178" t="str">
        <f>IF(S$9="","",IF(NOT(ISNUMBER(_xll.ciqfunctions.udf.CIQ($D$4, $B40, S$9, $H$4, $E$4, , $F$4, $G$4))),"",_xll.ciqfunctions.udf.CIQ($D$4, $B40, S$9, $H$4, $E$4, , $F$4, $G$4)))</f>
        <v/>
      </c>
      <c r="T40" s="178" t="str">
        <f>IF(T$9="","",IF(NOT(ISNUMBER(_xll.ciqfunctions.udf.CIQ($D$4, $B40, T$9, $H$4, $E$4, , $F$4, $G$4))),"",_xll.ciqfunctions.udf.CIQ($D$4, $B40, T$9, $H$4, $E$4, , $F$4, $G$4)))</f>
        <v/>
      </c>
      <c r="U40" s="178" t="str">
        <f>IF(U$9="","",IF(NOT(ISNUMBER(_xll.ciqfunctions.udf.CIQ($D$4, $B40, U$9, $H$4, $E$4, , $F$4, $G$4))),"",_xll.ciqfunctions.udf.CIQ($D$4, $B40, U$9, $H$4, $E$4, , $F$4, $G$4)))</f>
        <v/>
      </c>
      <c r="V40" s="178" t="str">
        <f>IF(V$9="","",IF(NOT(ISNUMBER(_xll.ciqfunctions.udf.CIQ($D$4, $B40, V$9, $H$4, $E$4, , $F$4, $G$4))),"",_xll.ciqfunctions.udf.CIQ($D$4, $B40, V$9, $H$4, $E$4, , $F$4, $G$4)))</f>
        <v/>
      </c>
      <c r="W40" s="178" t="str">
        <f>IF(W$9="","",IF(NOT(ISNUMBER(_xll.ciqfunctions.udf.CIQ($D$4, $B40, W$9, $H$4, $E$4, , $F$4, $G$4))),"",_xll.ciqfunctions.udf.CIQ($D$4, $B40, W$9, $H$4, $E$4, , $F$4, $G$4)))</f>
        <v/>
      </c>
    </row>
    <row r="41" spans="1:23" s="48" customFormat="1" ht="15" customHeight="1" x14ac:dyDescent="0.2">
      <c r="A41" s="170" t="s">
        <v>978</v>
      </c>
      <c r="B41" s="230"/>
      <c r="C41" s="178">
        <f t="shared" ref="C41:K41" si="29">IFERROR(IF(C40&lt;&gt;0,C40,C39),"NA")</f>
        <v>16999</v>
      </c>
      <c r="D41" s="178">
        <f t="shared" si="29"/>
        <v>16776.13</v>
      </c>
      <c r="E41" s="178">
        <f t="shared" si="29"/>
        <v>16442.009999999998</v>
      </c>
      <c r="F41" s="178">
        <f t="shared" si="29"/>
        <v>14766.03</v>
      </c>
      <c r="G41" s="178">
        <f t="shared" si="29"/>
        <v>13443.84</v>
      </c>
      <c r="H41" s="178">
        <f t="shared" si="29"/>
        <v>13304.2</v>
      </c>
      <c r="I41" s="178">
        <f t="shared" si="29"/>
        <v>14459.95</v>
      </c>
      <c r="J41" s="178">
        <f t="shared" si="29"/>
        <v>14139.24</v>
      </c>
      <c r="K41" s="178">
        <f t="shared" si="29"/>
        <v>15601.56</v>
      </c>
      <c r="L41" s="178">
        <f t="shared" ref="L41" si="30">IFERROR(IF(L40&lt;&gt;0,L40,L39),"NA")</f>
        <v>18120.3</v>
      </c>
      <c r="M41" s="178" t="str">
        <f t="shared" ref="M41" si="31">IFERROR(IF(M40&lt;&gt;0,M40,M39),"NA")</f>
        <v/>
      </c>
      <c r="N41" s="178" t="str">
        <f t="shared" ref="N41" si="32">IFERROR(IF(N40&lt;&gt;0,N40,N39),"NA")</f>
        <v/>
      </c>
      <c r="O41" s="178" t="str">
        <f t="shared" ref="O41" si="33">IFERROR(IF(O40&lt;&gt;0,O40,O39),"NA")</f>
        <v/>
      </c>
      <c r="P41" s="178" t="str">
        <f t="shared" ref="P41" si="34">IFERROR(IF(P40&lt;&gt;0,P40,P39),"NA")</f>
        <v/>
      </c>
      <c r="Q41" s="178" t="str">
        <f t="shared" ref="Q41" si="35">IFERROR(IF(Q40&lt;&gt;0,Q40,Q39),"NA")</f>
        <v/>
      </c>
      <c r="R41" s="178" t="str">
        <f t="shared" ref="R41" si="36">IFERROR(IF(R40&lt;&gt;0,R40,R39),"NA")</f>
        <v/>
      </c>
      <c r="S41" s="178" t="str">
        <f t="shared" ref="S41" si="37">IFERROR(IF(S40&lt;&gt;0,S40,S39),"NA")</f>
        <v/>
      </c>
      <c r="T41" s="178" t="str">
        <f t="shared" ref="T41" si="38">IFERROR(IF(T40&lt;&gt;0,T40,T39),"NA")</f>
        <v/>
      </c>
      <c r="U41" s="178" t="str">
        <f t="shared" ref="U41" si="39">IFERROR(IF(U40&lt;&gt;0,U40,U39),"NA")</f>
        <v/>
      </c>
      <c r="V41" s="178" t="str">
        <f t="shared" ref="V41" si="40">IFERROR(IF(V40&lt;&gt;0,V40,V39),"NA")</f>
        <v/>
      </c>
      <c r="W41" s="178" t="str">
        <f t="shared" ref="W41" si="41">IFERROR(IF(W40&lt;&gt;0,W40,W39),"NA")</f>
        <v/>
      </c>
    </row>
    <row r="42" spans="1:23" ht="15" customHeight="1" x14ac:dyDescent="0.2">
      <c r="A42" s="27"/>
      <c r="B42" s="232"/>
      <c r="C42" s="179"/>
      <c r="D42" s="179"/>
      <c r="E42" s="179"/>
      <c r="F42" s="179"/>
      <c r="G42" s="179"/>
      <c r="H42" s="179"/>
      <c r="I42" s="179"/>
      <c r="J42" s="179"/>
      <c r="K42" s="179"/>
      <c r="L42" s="179"/>
      <c r="M42" s="179"/>
      <c r="N42" s="179"/>
      <c r="O42" s="179"/>
      <c r="P42" s="179"/>
      <c r="Q42" s="179"/>
      <c r="R42" s="179"/>
      <c r="S42" s="179"/>
      <c r="T42" s="179"/>
      <c r="U42" s="179"/>
      <c r="V42" s="179"/>
      <c r="W42" s="179"/>
    </row>
    <row r="43" spans="1:23" ht="15" customHeight="1" x14ac:dyDescent="0.2">
      <c r="A43" s="916" t="s">
        <v>929</v>
      </c>
      <c r="B43" s="925"/>
      <c r="C43" s="926"/>
      <c r="D43" s="926"/>
      <c r="E43" s="926"/>
      <c r="F43" s="926"/>
      <c r="G43" s="926"/>
      <c r="H43" s="926"/>
      <c r="I43" s="926"/>
      <c r="J43" s="926"/>
      <c r="K43" s="926"/>
      <c r="L43" s="926"/>
      <c r="M43" s="926"/>
      <c r="N43" s="926"/>
      <c r="O43" s="926"/>
      <c r="P43" s="926"/>
      <c r="Q43" s="926"/>
      <c r="R43" s="926"/>
      <c r="S43" s="926"/>
      <c r="T43" s="926"/>
      <c r="U43" s="926"/>
      <c r="V43" s="926"/>
      <c r="W43" s="926"/>
    </row>
    <row r="44" spans="1:23" ht="15" customHeight="1" x14ac:dyDescent="0.2">
      <c r="A44" s="25" t="s">
        <v>200</v>
      </c>
      <c r="B44" s="232" t="s">
        <v>21</v>
      </c>
      <c r="C44" s="172">
        <f>IF(C$9="","",IFERROR((IF(NOT(ISNUMBER(_xll.ciqfunctions.udf.CIQ($D$4, $B$28, "IQ_LTM", C$9, $E$4, , $F$4, $G$4))),"",_xll.ciqfunctions.udf.CIQ($D$4, $B$28, "IQ_LTM", C$9, $E$4, , $F$4, $G$4))/IF(NOT(ISNUMBER(_xll.ciqfunctions.udf.CIQ($D$4, $B44, C$9, $H$4, $E$4, , $F$4, $G$4))),"",_xll.ciqfunctions.udf.CIQ($D$4, $B44, C$9, $H$4, $E$4, , $F$4, $G$4))),""))</f>
        <v>8.3695625415425523E-2</v>
      </c>
      <c r="D44" s="172">
        <f>IF(D$9="","",IFERROR((IF(NOT(ISNUMBER(_xll.ciqfunctions.udf.CIQ($D$4, $B$28, "IQ_LTM", D$9, $E$4, , $F$4, $G$4))),"",_xll.ciqfunctions.udf.CIQ($D$4, $B$28, "IQ_LTM", D$9, $E$4, , $F$4, $G$4))/IF(NOT(ISNUMBER(_xll.ciqfunctions.udf.CIQ($D$4, $B44, D$9, $H$4, $E$4, , $F$4, $G$4))),"",_xll.ciqfunctions.udf.CIQ($D$4, $B44, D$9, $H$4, $E$4, , $F$4, $G$4))),""))</f>
        <v>7.8251144072556428E-2</v>
      </c>
      <c r="E44" s="172">
        <f>IF(E$9="","",IFERROR((IF(NOT(ISNUMBER(_xll.ciqfunctions.udf.CIQ($D$4, $B$28, "IQ_LTM", E$9, $E$4, , $F$4, $G$4))),"",_xll.ciqfunctions.udf.CIQ($D$4, $B$28, "IQ_LTM", E$9, $E$4, , $F$4, $G$4))/IF(NOT(ISNUMBER(_xll.ciqfunctions.udf.CIQ($D$4, $B44, E$9, $H$4, $E$4, , $F$4, $G$4))),"",_xll.ciqfunctions.udf.CIQ($D$4, $B44, E$9, $H$4, $E$4, , $F$4, $G$4))),""))</f>
        <v>8.041181384834635E-2</v>
      </c>
      <c r="F44" s="172">
        <f>IF(F$9="","",IFERROR((IF(NOT(ISNUMBER(_xll.ciqfunctions.udf.CIQ($D$4, $B$28, "IQ_LTM", F$9, $E$4, , $F$4, $G$4))),"",_xll.ciqfunctions.udf.CIQ($D$4, $B$28, "IQ_LTM", F$9, $E$4, , $F$4, $G$4))/IF(NOT(ISNUMBER(_xll.ciqfunctions.udf.CIQ($D$4, $B44, F$9, $H$4, $E$4, , $F$4, $G$4))),"",_xll.ciqfunctions.udf.CIQ($D$4, $B44, F$9, $H$4, $E$4, , $F$4, $G$4))),""))</f>
        <v>7.36242427886422E-2</v>
      </c>
      <c r="G44" s="172">
        <f>IF(G$9="","",IFERROR((IF(NOT(ISNUMBER(_xll.ciqfunctions.udf.CIQ($D$4, $B$28, "IQ_LTM", G$9, $E$4, , $F$4, $G$4))),"",_xll.ciqfunctions.udf.CIQ($D$4, $B$28, "IQ_LTM", G$9, $E$4, , $F$4, $G$4))/IF(NOT(ISNUMBER(_xll.ciqfunctions.udf.CIQ($D$4, $B44, G$9, $H$4, $E$4, , $F$4, $G$4))),"",_xll.ciqfunctions.udf.CIQ($D$4, $B44, G$9, $H$4, $E$4, , $F$4, $G$4))),""))</f>
        <v>6.8618131522695844E-2</v>
      </c>
      <c r="H44" s="172">
        <f>IF(H$9="","",IFERROR((IF(NOT(ISNUMBER(_xll.ciqfunctions.udf.CIQ($D$4, $B$28, "IQ_LTM", H$9, $E$4, , $F$4, $G$4))),"",_xll.ciqfunctions.udf.CIQ($D$4, $B$28, "IQ_LTM", H$9, $E$4, , $F$4, $G$4))/IF(NOT(ISNUMBER(_xll.ciqfunctions.udf.CIQ($D$4, $B44, H$9, $H$4, $E$4, , $F$4, $G$4))),"",_xll.ciqfunctions.udf.CIQ($D$4, $B44, H$9, $H$4, $E$4, , $F$4, $G$4))),""))</f>
        <v>4.8219751420385093E-2</v>
      </c>
      <c r="I44" s="172">
        <f>IF(I$9="","",IFERROR((IF(NOT(ISNUMBER(_xll.ciqfunctions.udf.CIQ($D$4, $B$28, "IQ_LTM", I$9, $E$4, , $F$4, $G$4))),"",_xll.ciqfunctions.udf.CIQ($D$4, $B$28, "IQ_LTM", I$9, $E$4, , $F$4, $G$4))/IF(NOT(ISNUMBER(_xll.ciqfunctions.udf.CIQ($D$4, $B44, I$9, $H$4, $E$4, , $F$4, $G$4))),"",_xll.ciqfunctions.udf.CIQ($D$4, $B44, I$9, $H$4, $E$4, , $F$4, $G$4))),""))</f>
        <v>3.0415650151622245E-2</v>
      </c>
      <c r="J44" s="172">
        <f>IF(J$9="","",IFERROR((IF(NOT(ISNUMBER(_xll.ciqfunctions.udf.CIQ($D$4, $B$28, "IQ_LTM", J$9, $E$4, , $F$4, $G$4))),"",_xll.ciqfunctions.udf.CIQ($D$4, $B$28, "IQ_LTM", J$9, $E$4, , $F$4, $G$4))/IF(NOT(ISNUMBER(_xll.ciqfunctions.udf.CIQ($D$4, $B44, J$9, $H$4, $E$4, , $F$4, $G$4))),"",_xll.ciqfunctions.udf.CIQ($D$4, $B44, J$9, $H$4, $E$4, , $F$4, $G$4))),""))</f>
        <v>6.2923106196748346E-2</v>
      </c>
      <c r="K44" s="172">
        <f>IF(K$9="","",IFERROR((IF(NOT(ISNUMBER(_xll.ciqfunctions.udf.CIQ($D$4, $B$28, "IQ_LTM", K$9, $E$4, , $F$4, $G$4))),"",_xll.ciqfunctions.udf.CIQ($D$4, $B$28, "IQ_LTM", K$9, $E$4, , $F$4, $G$4))/IF(NOT(ISNUMBER(_xll.ciqfunctions.udf.CIQ($D$4, $B44, K$9, $H$4, $E$4, , $F$4, $G$4))),"",_xll.ciqfunctions.udf.CIQ($D$4, $B44, K$9, $H$4, $E$4, , $F$4, $G$4))),""))</f>
        <v>5.3505798111653256E-2</v>
      </c>
      <c r="L44" s="172">
        <f>IF(L$9="","",IFERROR((IF(NOT(ISNUMBER(_xll.ciqfunctions.udf.CIQ($D$4, $B$28, "IQ_LTM", L$9, $E$4, , $F$4, $G$4))),"",_xll.ciqfunctions.udf.CIQ($D$4, $B$28, "IQ_LTM", L$9, $E$4, , $F$4, $G$4))/IF(NOT(ISNUMBER(_xll.ciqfunctions.udf.CIQ($D$4, $B44, L$9, $H$4, $E$4, , $F$4, $G$4))),"",_xll.ciqfunctions.udf.CIQ($D$4, $B44, L$9, $H$4, $E$4, , $F$4, $G$4))),""))</f>
        <v>5.5840071877807727E-2</v>
      </c>
      <c r="M44" s="172" t="str">
        <f>IF(M$9="","",IFERROR((IF(NOT(ISNUMBER(_xll.ciqfunctions.udf.CIQ($D$4, $B$28, "IQ_LTM", M$9, $E$4, , $F$4, $G$4))),"",_xll.ciqfunctions.udf.CIQ($D$4, $B$28, "IQ_LTM", M$9, $E$4, , $F$4, $G$4))/IF(NOT(ISNUMBER(_xll.ciqfunctions.udf.CIQ($D$4, $B44, M$9, $H$4, $E$4, , $F$4, $G$4))),"",_xll.ciqfunctions.udf.CIQ($D$4, $B44, M$9, $H$4, $E$4, , $F$4, $G$4))),""))</f>
        <v/>
      </c>
      <c r="N44" s="172" t="str">
        <f>IF(N$9="","",IFERROR((IF(NOT(ISNUMBER(_xll.ciqfunctions.udf.CIQ($D$4, $B$28, "IQ_LTM", N$9, $E$4, , $F$4, $G$4))),"",_xll.ciqfunctions.udf.CIQ($D$4, $B$28, "IQ_LTM", N$9, $E$4, , $F$4, $G$4))/IF(NOT(ISNUMBER(_xll.ciqfunctions.udf.CIQ($D$4, $B44, N$9, $H$4, $E$4, , $F$4, $G$4))),"",_xll.ciqfunctions.udf.CIQ($D$4, $B44, N$9, $H$4, $E$4, , $F$4, $G$4))),""))</f>
        <v/>
      </c>
      <c r="O44" s="172" t="str">
        <f>IF(O$9="","",IFERROR((IF(NOT(ISNUMBER(_xll.ciqfunctions.udf.CIQ($D$4, $B$28, "IQ_LTM", O$9, $E$4, , $F$4, $G$4))),"",_xll.ciqfunctions.udf.CIQ($D$4, $B$28, "IQ_LTM", O$9, $E$4, , $F$4, $G$4))/IF(NOT(ISNUMBER(_xll.ciqfunctions.udf.CIQ($D$4, $B44, O$9, $H$4, $E$4, , $F$4, $G$4))),"",_xll.ciqfunctions.udf.CIQ($D$4, $B44, O$9, $H$4, $E$4, , $F$4, $G$4))),""))</f>
        <v/>
      </c>
      <c r="P44" s="172" t="str">
        <f>IF(P$9="","",IFERROR((IF(NOT(ISNUMBER(_xll.ciqfunctions.udf.CIQ($D$4, $B$28, "IQ_LTM", P$9, $E$4, , $F$4, $G$4))),"",_xll.ciqfunctions.udf.CIQ($D$4, $B$28, "IQ_LTM", P$9, $E$4, , $F$4, $G$4))/IF(NOT(ISNUMBER(_xll.ciqfunctions.udf.CIQ($D$4, $B44, P$9, $H$4, $E$4, , $F$4, $G$4))),"",_xll.ciqfunctions.udf.CIQ($D$4, $B44, P$9, $H$4, $E$4, , $F$4, $G$4))),""))</f>
        <v/>
      </c>
      <c r="Q44" s="172" t="str">
        <f>IF(Q$9="","",IFERROR((IF(NOT(ISNUMBER(_xll.ciqfunctions.udf.CIQ($D$4, $B$28, "IQ_LTM", Q$9, $E$4, , $F$4, $G$4))),"",_xll.ciqfunctions.udf.CIQ($D$4, $B$28, "IQ_LTM", Q$9, $E$4, , $F$4, $G$4))/IF(NOT(ISNUMBER(_xll.ciqfunctions.udf.CIQ($D$4, $B44, Q$9, $H$4, $E$4, , $F$4, $G$4))),"",_xll.ciqfunctions.udf.CIQ($D$4, $B44, Q$9, $H$4, $E$4, , $F$4, $G$4))),""))</f>
        <v/>
      </c>
      <c r="R44" s="172" t="str">
        <f>IF(R$9="","",IFERROR((IF(NOT(ISNUMBER(_xll.ciqfunctions.udf.CIQ($D$4, $B$28, "IQ_LTM", R$9, $E$4, , $F$4, $G$4))),"",_xll.ciqfunctions.udf.CIQ($D$4, $B$28, "IQ_LTM", R$9, $E$4, , $F$4, $G$4))/IF(NOT(ISNUMBER(_xll.ciqfunctions.udf.CIQ($D$4, $B44, R$9, $H$4, $E$4, , $F$4, $G$4))),"",_xll.ciqfunctions.udf.CIQ($D$4, $B44, R$9, $H$4, $E$4, , $F$4, $G$4))),""))</f>
        <v/>
      </c>
      <c r="S44" s="172" t="str">
        <f>IF(S$9="","",IFERROR((IF(NOT(ISNUMBER(_xll.ciqfunctions.udf.CIQ($D$4, $B$28, "IQ_LTM", S$9, $E$4, , $F$4, $G$4))),"",_xll.ciqfunctions.udf.CIQ($D$4, $B$28, "IQ_LTM", S$9, $E$4, , $F$4, $G$4))/IF(NOT(ISNUMBER(_xll.ciqfunctions.udf.CIQ($D$4, $B44, S$9, $H$4, $E$4, , $F$4, $G$4))),"",_xll.ciqfunctions.udf.CIQ($D$4, $B44, S$9, $H$4, $E$4, , $F$4, $G$4))),""))</f>
        <v/>
      </c>
      <c r="T44" s="172" t="str">
        <f>IF(T$9="","",IFERROR((IF(NOT(ISNUMBER(_xll.ciqfunctions.udf.CIQ($D$4, $B$28, "IQ_LTM", T$9, $E$4, , $F$4, $G$4))),"",_xll.ciqfunctions.udf.CIQ($D$4, $B$28, "IQ_LTM", T$9, $E$4, , $F$4, $G$4))/IF(NOT(ISNUMBER(_xll.ciqfunctions.udf.CIQ($D$4, $B44, T$9, $H$4, $E$4, , $F$4, $G$4))),"",_xll.ciqfunctions.udf.CIQ($D$4, $B44, T$9, $H$4, $E$4, , $F$4, $G$4))),""))</f>
        <v/>
      </c>
      <c r="U44" s="172" t="str">
        <f>IF(U$9="","",IFERROR((IF(NOT(ISNUMBER(_xll.ciqfunctions.udf.CIQ($D$4, $B$28, "IQ_LTM", U$9, $E$4, , $F$4, $G$4))),"",_xll.ciqfunctions.udf.CIQ($D$4, $B$28, "IQ_LTM", U$9, $E$4, , $F$4, $G$4))/IF(NOT(ISNUMBER(_xll.ciqfunctions.udf.CIQ($D$4, $B44, U$9, $H$4, $E$4, , $F$4, $G$4))),"",_xll.ciqfunctions.udf.CIQ($D$4, $B44, U$9, $H$4, $E$4, , $F$4, $G$4))),""))</f>
        <v/>
      </c>
      <c r="V44" s="172" t="str">
        <f>IF(V$9="","",IFERROR((IF(NOT(ISNUMBER(_xll.ciqfunctions.udf.CIQ($D$4, $B$28, "IQ_LTM", V$9, $E$4, , $F$4, $G$4))),"",_xll.ciqfunctions.udf.CIQ($D$4, $B$28, "IQ_LTM", V$9, $E$4, , $F$4, $G$4))/IF(NOT(ISNUMBER(_xll.ciqfunctions.udf.CIQ($D$4, $B44, V$9, $H$4, $E$4, , $F$4, $G$4))),"",_xll.ciqfunctions.udf.CIQ($D$4, $B44, V$9, $H$4, $E$4, , $F$4, $G$4))),""))</f>
        <v/>
      </c>
      <c r="W44" s="172" t="str">
        <f>IF(W$9="","",IFERROR((IF(NOT(ISNUMBER(_xll.ciqfunctions.udf.CIQ($D$4, $B$28, "IQ_LTM", W$9, $E$4, , $F$4, $G$4))),"",_xll.ciqfunctions.udf.CIQ($D$4, $B$28, "IQ_LTM", W$9, $E$4, , $F$4, $G$4))/IF(NOT(ISNUMBER(_xll.ciqfunctions.udf.CIQ($D$4, $B44, W$9, $H$4, $E$4, , $F$4, $G$4))),"",_xll.ciqfunctions.udf.CIQ($D$4, $B44, W$9, $H$4, $E$4, , $F$4, $G$4))),""))</f>
        <v/>
      </c>
    </row>
    <row r="45" spans="1:23" ht="15" customHeight="1" x14ac:dyDescent="0.2">
      <c r="A45" s="25" t="s">
        <v>196</v>
      </c>
      <c r="B45" s="232" t="s">
        <v>622</v>
      </c>
      <c r="C45" s="172">
        <f>IF(C$9="","",IFERROR((IF(NOT(ISNUMBER(_xll.ciqfunctions.udf.CIQ($D$4, $B$28, "IQ_LTM", C$9, $E$4, , $F$4, $G$4))),"",_xll.ciqfunctions.udf.CIQ($D$4, $B$28, "IQ_LTM", C$9, $E$4, , $F$4, $G$4))/(IF(NOT(ISNUMBER(_xll.ciqfunctions.udf.CIQ($D$4, $B44, C$9, $H$4, $E$4, , $F$4, $G$4))),"",_xll.ciqfunctions.udf.CIQ($D$4, $B44, C$9, $H$4, $E$4, , $F$4, $G$4))-IF(NOT(ISNUMBER(_xll.ciqfunctions.udf.CIQ($D$4, "IQ_TOTAL_CL", C$9, $H$4, $E$4, , $F$4, $G$4))),"",_xll.ciqfunctions.udf.CIQ($D$4, "IQ_TOTAL_CL", C$9, $H$4, $E$4, , $F$4, $G$4)))),""))</f>
        <v>0.12947968953514058</v>
      </c>
      <c r="D45" s="172">
        <f>IF(D$9="","",IFERROR((IF(NOT(ISNUMBER(_xll.ciqfunctions.udf.CIQ($D$4, $B$28, "IQ_LTM", D$9, $E$4, , $F$4, $G$4))),"",_xll.ciqfunctions.udf.CIQ($D$4, $B$28, "IQ_LTM", D$9, $E$4, , $F$4, $G$4))/(IF(NOT(ISNUMBER(_xll.ciqfunctions.udf.CIQ($D$4, $B44, D$9, $H$4, $E$4, , $F$4, $G$4))),"",_xll.ciqfunctions.udf.CIQ($D$4, $B44, D$9, $H$4, $E$4, , $F$4, $G$4))-IF(NOT(ISNUMBER(_xll.ciqfunctions.udf.CIQ($D$4, "IQ_TOTAL_CL", D$9, $H$4, $E$4, , $F$4, $G$4))),"",_xll.ciqfunctions.udf.CIQ($D$4, "IQ_TOTAL_CL", D$9, $H$4, $E$4, , $F$4, $G$4)))),""))</f>
        <v>0.11832562811101428</v>
      </c>
      <c r="E45" s="172">
        <f>IF(E$9="","",IFERROR((IF(NOT(ISNUMBER(_xll.ciqfunctions.udf.CIQ($D$4, $B$28, "IQ_LTM", E$9, $E$4, , $F$4, $G$4))),"",_xll.ciqfunctions.udf.CIQ($D$4, $B$28, "IQ_LTM", E$9, $E$4, , $F$4, $G$4))/(IF(NOT(ISNUMBER(_xll.ciqfunctions.udf.CIQ($D$4, $B44, E$9, $H$4, $E$4, , $F$4, $G$4))),"",_xll.ciqfunctions.udf.CIQ($D$4, $B44, E$9, $H$4, $E$4, , $F$4, $G$4))-IF(NOT(ISNUMBER(_xll.ciqfunctions.udf.CIQ($D$4, "IQ_TOTAL_CL", E$9, $H$4, $E$4, , $F$4, $G$4))),"",_xll.ciqfunctions.udf.CIQ($D$4, "IQ_TOTAL_CL", E$9, $H$4, $E$4, , $F$4, $G$4)))),""))</f>
        <v>0.11836917757185124</v>
      </c>
      <c r="F45" s="172">
        <f>IF(F$9="","",IFERROR((IF(NOT(ISNUMBER(_xll.ciqfunctions.udf.CIQ($D$4, $B$28, "IQ_LTM", F$9, $E$4, , $F$4, $G$4))),"",_xll.ciqfunctions.udf.CIQ($D$4, $B$28, "IQ_LTM", F$9, $E$4, , $F$4, $G$4))/(IF(NOT(ISNUMBER(_xll.ciqfunctions.udf.CIQ($D$4, $B44, F$9, $H$4, $E$4, , $F$4, $G$4))),"",_xll.ciqfunctions.udf.CIQ($D$4, $B44, F$9, $H$4, $E$4, , $F$4, $G$4))-IF(NOT(ISNUMBER(_xll.ciqfunctions.udf.CIQ($D$4, "IQ_TOTAL_CL", F$9, $H$4, $E$4, , $F$4, $G$4))),"",_xll.ciqfunctions.udf.CIQ($D$4, "IQ_TOTAL_CL", F$9, $H$4, $E$4, , $F$4, $G$4)))),""))</f>
        <v>0.10887509076628978</v>
      </c>
      <c r="G45" s="172">
        <f>IF(G$9="","",IFERROR((IF(NOT(ISNUMBER(_xll.ciqfunctions.udf.CIQ($D$4, $B$28, "IQ_LTM", G$9, $E$4, , $F$4, $G$4))),"",_xll.ciqfunctions.udf.CIQ($D$4, $B$28, "IQ_LTM", G$9, $E$4, , $F$4, $G$4))/(IF(NOT(ISNUMBER(_xll.ciqfunctions.udf.CIQ($D$4, $B44, G$9, $H$4, $E$4, , $F$4, $G$4))),"",_xll.ciqfunctions.udf.CIQ($D$4, $B44, G$9, $H$4, $E$4, , $F$4, $G$4))-IF(NOT(ISNUMBER(_xll.ciqfunctions.udf.CIQ($D$4, "IQ_TOTAL_CL", G$9, $H$4, $E$4, , $F$4, $G$4))),"",_xll.ciqfunctions.udf.CIQ($D$4, "IQ_TOTAL_CL", G$9, $H$4, $E$4, , $F$4, $G$4)))),""))</f>
        <v>0.10343677263319105</v>
      </c>
      <c r="H45" s="172">
        <f>IF(H$9="","",IFERROR((IF(NOT(ISNUMBER(_xll.ciqfunctions.udf.CIQ($D$4, $B$28, "IQ_LTM", H$9, $E$4, , $F$4, $G$4))),"",_xll.ciqfunctions.udf.CIQ($D$4, $B$28, "IQ_LTM", H$9, $E$4, , $F$4, $G$4))/(IF(NOT(ISNUMBER(_xll.ciqfunctions.udf.CIQ($D$4, $B44, H$9, $H$4, $E$4, , $F$4, $G$4))),"",_xll.ciqfunctions.udf.CIQ($D$4, $B44, H$9, $H$4, $E$4, , $F$4, $G$4))-IF(NOT(ISNUMBER(_xll.ciqfunctions.udf.CIQ($D$4, "IQ_TOTAL_CL", H$9, $H$4, $E$4, , $F$4, $G$4))),"",_xll.ciqfunctions.udf.CIQ($D$4, "IQ_TOTAL_CL", H$9, $H$4, $E$4, , $F$4, $G$4)))),""))</f>
        <v>7.8269220085554883E-2</v>
      </c>
      <c r="I45" s="172">
        <f>IF(I$9="","",IFERROR((IF(NOT(ISNUMBER(_xll.ciqfunctions.udf.CIQ($D$4, $B$28, "IQ_LTM", I$9, $E$4, , $F$4, $G$4))),"",_xll.ciqfunctions.udf.CIQ($D$4, $B$28, "IQ_LTM", I$9, $E$4, , $F$4, $G$4))/(IF(NOT(ISNUMBER(_xll.ciqfunctions.udf.CIQ($D$4, $B44, I$9, $H$4, $E$4, , $F$4, $G$4))),"",_xll.ciqfunctions.udf.CIQ($D$4, $B44, I$9, $H$4, $E$4, , $F$4, $G$4))-IF(NOT(ISNUMBER(_xll.ciqfunctions.udf.CIQ($D$4, "IQ_TOTAL_CL", I$9, $H$4, $E$4, , $F$4, $G$4))),"",_xll.ciqfunctions.udf.CIQ($D$4, "IQ_TOTAL_CL", I$9, $H$4, $E$4, , $F$4, $G$4)))),""))</f>
        <v>4.7032111579630227E-2</v>
      </c>
      <c r="J45" s="172">
        <f>IF(J$9="","",IFERROR((IF(NOT(ISNUMBER(_xll.ciqfunctions.udf.CIQ($D$4, $B$28, "IQ_LTM", J$9, $E$4, , $F$4, $G$4))),"",_xll.ciqfunctions.udf.CIQ($D$4, $B$28, "IQ_LTM", J$9, $E$4, , $F$4, $G$4))/(IF(NOT(ISNUMBER(_xll.ciqfunctions.udf.CIQ($D$4, $B44, J$9, $H$4, $E$4, , $F$4, $G$4))),"",_xll.ciqfunctions.udf.CIQ($D$4, $B44, J$9, $H$4, $E$4, , $F$4, $G$4))-IF(NOT(ISNUMBER(_xll.ciqfunctions.udf.CIQ($D$4, "IQ_TOTAL_CL", J$9, $H$4, $E$4, , $F$4, $G$4))),"",_xll.ciqfunctions.udf.CIQ($D$4, "IQ_TOTAL_CL", J$9, $H$4, $E$4, , $F$4, $G$4)))),""))</f>
        <v>9.3765161778141842E-2</v>
      </c>
      <c r="K45" s="172">
        <f>IF(K$9="","",IFERROR((IF(NOT(ISNUMBER(_xll.ciqfunctions.udf.CIQ($D$4, $B$28, "IQ_LTM", K$9, $E$4, , $F$4, $G$4))),"",_xll.ciqfunctions.udf.CIQ($D$4, $B$28, "IQ_LTM", K$9, $E$4, , $F$4, $G$4))/(IF(NOT(ISNUMBER(_xll.ciqfunctions.udf.CIQ($D$4, $B44, K$9, $H$4, $E$4, , $F$4, $G$4))),"",_xll.ciqfunctions.udf.CIQ($D$4, $B44, K$9, $H$4, $E$4, , $F$4, $G$4))-IF(NOT(ISNUMBER(_xll.ciqfunctions.udf.CIQ($D$4, "IQ_TOTAL_CL", K$9, $H$4, $E$4, , $F$4, $G$4))),"",_xll.ciqfunctions.udf.CIQ($D$4, "IQ_TOTAL_CL", K$9, $H$4, $E$4, , $F$4, $G$4)))),""))</f>
        <v>8.4516205716573561E-2</v>
      </c>
      <c r="L45" s="172">
        <f>IF(L$9="","",IFERROR((IF(NOT(ISNUMBER(_xll.ciqfunctions.udf.CIQ($D$4, $B$28, "IQ_LTM", L$9, $E$4, , $F$4, $G$4))),"",_xll.ciqfunctions.udf.CIQ($D$4, $B$28, "IQ_LTM", L$9, $E$4, , $F$4, $G$4))/(IF(NOT(ISNUMBER(_xll.ciqfunctions.udf.CIQ($D$4, $B44, L$9, $H$4, $E$4, , $F$4, $G$4))),"",_xll.ciqfunctions.udf.CIQ($D$4, $B44, L$9, $H$4, $E$4, , $F$4, $G$4))-IF(NOT(ISNUMBER(_xll.ciqfunctions.udf.CIQ($D$4, "IQ_TOTAL_CL", L$9, $H$4, $E$4, , $F$4, $G$4))),"",_xll.ciqfunctions.udf.CIQ($D$4, "IQ_TOTAL_CL", L$9, $H$4, $E$4, , $F$4, $G$4)))),""))</f>
        <v>8.6823172319200406E-2</v>
      </c>
      <c r="M45" s="172" t="str">
        <f>IF(M$9="","",IFERROR((IF(NOT(ISNUMBER(_xll.ciqfunctions.udf.CIQ($D$4, $B$28, "IQ_LTM", M$9, $E$4, , $F$4, $G$4))),"",_xll.ciqfunctions.udf.CIQ($D$4, $B$28, "IQ_LTM", M$9, $E$4, , $F$4, $G$4))/(IF(NOT(ISNUMBER(_xll.ciqfunctions.udf.CIQ($D$4, $B44, M$9, $H$4, $E$4, , $F$4, $G$4))),"",_xll.ciqfunctions.udf.CIQ($D$4, $B44, M$9, $H$4, $E$4, , $F$4, $G$4))-IF(NOT(ISNUMBER(_xll.ciqfunctions.udf.CIQ($D$4, "IQ_TOTAL_CL", M$9, $H$4, $E$4, , $F$4, $G$4))),"",_xll.ciqfunctions.udf.CIQ($D$4, "IQ_TOTAL_CL", M$9, $H$4, $E$4, , $F$4, $G$4)))),""))</f>
        <v/>
      </c>
      <c r="N45" s="172" t="str">
        <f>IF(N$9="","",IFERROR((IF(NOT(ISNUMBER(_xll.ciqfunctions.udf.CIQ($D$4, $B$28, "IQ_LTM", N$9, $E$4, , $F$4, $G$4))),"",_xll.ciqfunctions.udf.CIQ($D$4, $B$28, "IQ_LTM", N$9, $E$4, , $F$4, $G$4))/(IF(NOT(ISNUMBER(_xll.ciqfunctions.udf.CIQ($D$4, $B44, N$9, $H$4, $E$4, , $F$4, $G$4))),"",_xll.ciqfunctions.udf.CIQ($D$4, $B44, N$9, $H$4, $E$4, , $F$4, $G$4))-IF(NOT(ISNUMBER(_xll.ciqfunctions.udf.CIQ($D$4, "IQ_TOTAL_CL", N$9, $H$4, $E$4, , $F$4, $G$4))),"",_xll.ciqfunctions.udf.CIQ($D$4, "IQ_TOTAL_CL", N$9, $H$4, $E$4, , $F$4, $G$4)))),""))</f>
        <v/>
      </c>
      <c r="O45" s="172" t="str">
        <f>IF(O$9="","",IFERROR((IF(NOT(ISNUMBER(_xll.ciqfunctions.udf.CIQ($D$4, $B$28, "IQ_LTM", O$9, $E$4, , $F$4, $G$4))),"",_xll.ciqfunctions.udf.CIQ($D$4, $B$28, "IQ_LTM", O$9, $E$4, , $F$4, $G$4))/(IF(NOT(ISNUMBER(_xll.ciqfunctions.udf.CIQ($D$4, $B44, O$9, $H$4, $E$4, , $F$4, $G$4))),"",_xll.ciqfunctions.udf.CIQ($D$4, $B44, O$9, $H$4, $E$4, , $F$4, $G$4))-IF(NOT(ISNUMBER(_xll.ciqfunctions.udf.CIQ($D$4, "IQ_TOTAL_CL", O$9, $H$4, $E$4, , $F$4, $G$4))),"",_xll.ciqfunctions.udf.CIQ($D$4, "IQ_TOTAL_CL", O$9, $H$4, $E$4, , $F$4, $G$4)))),""))</f>
        <v/>
      </c>
      <c r="P45" s="172" t="str">
        <f>IF(P$9="","",IFERROR((IF(NOT(ISNUMBER(_xll.ciqfunctions.udf.CIQ($D$4, $B$28, "IQ_LTM", P$9, $E$4, , $F$4, $G$4))),"",_xll.ciqfunctions.udf.CIQ($D$4, $B$28, "IQ_LTM", P$9, $E$4, , $F$4, $G$4))/(IF(NOT(ISNUMBER(_xll.ciqfunctions.udf.CIQ($D$4, $B44, P$9, $H$4, $E$4, , $F$4, $G$4))),"",_xll.ciqfunctions.udf.CIQ($D$4, $B44, P$9, $H$4, $E$4, , $F$4, $G$4))-IF(NOT(ISNUMBER(_xll.ciqfunctions.udf.CIQ($D$4, "IQ_TOTAL_CL", P$9, $H$4, $E$4, , $F$4, $G$4))),"",_xll.ciqfunctions.udf.CIQ($D$4, "IQ_TOTAL_CL", P$9, $H$4, $E$4, , $F$4, $G$4)))),""))</f>
        <v/>
      </c>
      <c r="Q45" s="172" t="str">
        <f>IF(Q$9="","",IFERROR((IF(NOT(ISNUMBER(_xll.ciqfunctions.udf.CIQ($D$4, $B$28, "IQ_LTM", Q$9, $E$4, , $F$4, $G$4))),"",_xll.ciqfunctions.udf.CIQ($D$4, $B$28, "IQ_LTM", Q$9, $E$4, , $F$4, $G$4))/(IF(NOT(ISNUMBER(_xll.ciqfunctions.udf.CIQ($D$4, $B44, Q$9, $H$4, $E$4, , $F$4, $G$4))),"",_xll.ciqfunctions.udf.CIQ($D$4, $B44, Q$9, $H$4, $E$4, , $F$4, $G$4))-IF(NOT(ISNUMBER(_xll.ciqfunctions.udf.CIQ($D$4, "IQ_TOTAL_CL", Q$9, $H$4, $E$4, , $F$4, $G$4))),"",_xll.ciqfunctions.udf.CIQ($D$4, "IQ_TOTAL_CL", Q$9, $H$4, $E$4, , $F$4, $G$4)))),""))</f>
        <v/>
      </c>
      <c r="R45" s="172" t="str">
        <f>IF(R$9="","",IFERROR((IF(NOT(ISNUMBER(_xll.ciqfunctions.udf.CIQ($D$4, $B$28, "IQ_LTM", R$9, $E$4, , $F$4, $G$4))),"",_xll.ciqfunctions.udf.CIQ($D$4, $B$28, "IQ_LTM", R$9, $E$4, , $F$4, $G$4))/(IF(NOT(ISNUMBER(_xll.ciqfunctions.udf.CIQ($D$4, $B44, R$9, $H$4, $E$4, , $F$4, $G$4))),"",_xll.ciqfunctions.udf.CIQ($D$4, $B44, R$9, $H$4, $E$4, , $F$4, $G$4))-IF(NOT(ISNUMBER(_xll.ciqfunctions.udf.CIQ($D$4, "IQ_TOTAL_CL", R$9, $H$4, $E$4, , $F$4, $G$4))),"",_xll.ciqfunctions.udf.CIQ($D$4, "IQ_TOTAL_CL", R$9, $H$4, $E$4, , $F$4, $G$4)))),""))</f>
        <v/>
      </c>
      <c r="S45" s="172" t="str">
        <f>IF(S$9="","",IFERROR((IF(NOT(ISNUMBER(_xll.ciqfunctions.udf.CIQ($D$4, $B$28, "IQ_LTM", S$9, $E$4, , $F$4, $G$4))),"",_xll.ciqfunctions.udf.CIQ($D$4, $B$28, "IQ_LTM", S$9, $E$4, , $F$4, $G$4))/(IF(NOT(ISNUMBER(_xll.ciqfunctions.udf.CIQ($D$4, $B44, S$9, $H$4, $E$4, , $F$4, $G$4))),"",_xll.ciqfunctions.udf.CIQ($D$4, $B44, S$9, $H$4, $E$4, , $F$4, $G$4))-IF(NOT(ISNUMBER(_xll.ciqfunctions.udf.CIQ($D$4, "IQ_TOTAL_CL", S$9, $H$4, $E$4, , $F$4, $G$4))),"",_xll.ciqfunctions.udf.CIQ($D$4, "IQ_TOTAL_CL", S$9, $H$4, $E$4, , $F$4, $G$4)))),""))</f>
        <v/>
      </c>
      <c r="T45" s="172" t="str">
        <f>IF(T$9="","",IFERROR((IF(NOT(ISNUMBER(_xll.ciqfunctions.udf.CIQ($D$4, $B$28, "IQ_LTM", T$9, $E$4, , $F$4, $G$4))),"",_xll.ciqfunctions.udf.CIQ($D$4, $B$28, "IQ_LTM", T$9, $E$4, , $F$4, $G$4))/(IF(NOT(ISNUMBER(_xll.ciqfunctions.udf.CIQ($D$4, $B44, T$9, $H$4, $E$4, , $F$4, $G$4))),"",_xll.ciqfunctions.udf.CIQ($D$4, $B44, T$9, $H$4, $E$4, , $F$4, $G$4))-IF(NOT(ISNUMBER(_xll.ciqfunctions.udf.CIQ($D$4, "IQ_TOTAL_CL", T$9, $H$4, $E$4, , $F$4, $G$4))),"",_xll.ciqfunctions.udf.CIQ($D$4, "IQ_TOTAL_CL", T$9, $H$4, $E$4, , $F$4, $G$4)))),""))</f>
        <v/>
      </c>
      <c r="U45" s="172" t="str">
        <f>IF(U$9="","",IFERROR((IF(NOT(ISNUMBER(_xll.ciqfunctions.udf.CIQ($D$4, $B$28, "IQ_LTM", U$9, $E$4, , $F$4, $G$4))),"",_xll.ciqfunctions.udf.CIQ($D$4, $B$28, "IQ_LTM", U$9, $E$4, , $F$4, $G$4))/(IF(NOT(ISNUMBER(_xll.ciqfunctions.udf.CIQ($D$4, $B44, U$9, $H$4, $E$4, , $F$4, $G$4))),"",_xll.ciqfunctions.udf.CIQ($D$4, $B44, U$9, $H$4, $E$4, , $F$4, $G$4))-IF(NOT(ISNUMBER(_xll.ciqfunctions.udf.CIQ($D$4, "IQ_TOTAL_CL", U$9, $H$4, $E$4, , $F$4, $G$4))),"",_xll.ciqfunctions.udf.CIQ($D$4, "IQ_TOTAL_CL", U$9, $H$4, $E$4, , $F$4, $G$4)))),""))</f>
        <v/>
      </c>
      <c r="V45" s="172" t="str">
        <f>IF(V$9="","",IFERROR((IF(NOT(ISNUMBER(_xll.ciqfunctions.udf.CIQ($D$4, $B$28, "IQ_LTM", V$9, $E$4, , $F$4, $G$4))),"",_xll.ciqfunctions.udf.CIQ($D$4, $B$28, "IQ_LTM", V$9, $E$4, , $F$4, $G$4))/(IF(NOT(ISNUMBER(_xll.ciqfunctions.udf.CIQ($D$4, $B44, V$9, $H$4, $E$4, , $F$4, $G$4))),"",_xll.ciqfunctions.udf.CIQ($D$4, $B44, V$9, $H$4, $E$4, , $F$4, $G$4))-IF(NOT(ISNUMBER(_xll.ciqfunctions.udf.CIQ($D$4, "IQ_TOTAL_CL", V$9, $H$4, $E$4, , $F$4, $G$4))),"",_xll.ciqfunctions.udf.CIQ($D$4, "IQ_TOTAL_CL", V$9, $H$4, $E$4, , $F$4, $G$4)))),""))</f>
        <v/>
      </c>
      <c r="W45" s="172" t="str">
        <f>IF(W$9="","",IFERROR((IF(NOT(ISNUMBER(_xll.ciqfunctions.udf.CIQ($D$4, $B$28, "IQ_LTM", W$9, $E$4, , $F$4, $G$4))),"",_xll.ciqfunctions.udf.CIQ($D$4, $B$28, "IQ_LTM", W$9, $E$4, , $F$4, $G$4))/(IF(NOT(ISNUMBER(_xll.ciqfunctions.udf.CIQ($D$4, $B44, W$9, $H$4, $E$4, , $F$4, $G$4))),"",_xll.ciqfunctions.udf.CIQ($D$4, $B44, W$9, $H$4, $E$4, , $F$4, $G$4))-IF(NOT(ISNUMBER(_xll.ciqfunctions.udf.CIQ($D$4, "IQ_TOTAL_CL", W$9, $H$4, $E$4, , $F$4, $G$4))),"",_xll.ciqfunctions.udf.CIQ($D$4, "IQ_TOTAL_CL", W$9, $H$4, $E$4, , $F$4, $G$4)))),""))</f>
        <v/>
      </c>
    </row>
    <row r="46" spans="1:23" ht="15" customHeight="1" x14ac:dyDescent="0.2">
      <c r="A46" s="25" t="s">
        <v>264</v>
      </c>
      <c r="B46" s="232" t="s">
        <v>620</v>
      </c>
      <c r="C46" s="172">
        <f>IF(C$9="","",IFERROR((IF(NOT(ISNUMBER(_xll.ciqfunctions.udf.CIQ($D$4, $B$28, "IQ_LTM", C$9, $E$4, , $F$4, $G$4))),"",_xll.ciqfunctions.udf.CIQ($D$4, $B$28, "IQ_LTM", C$9, $E$4, , $F$4, $G$4))/IF(NOT(ISNUMBER(_xll.ciqfunctions.udf.CIQ($D$4, $B46, C$9, $H$4, $E$4, , $F$4, $G$4))),"",_xll.ciqfunctions.udf.CIQ($D$4, $B46, C$9, $H$4, $E$4, , $F$4, $G$4))),""))</f>
        <v>0.20665718419101109</v>
      </c>
      <c r="D46" s="172">
        <f>IF(D$9="","",IFERROR((IF(NOT(ISNUMBER(_xll.ciqfunctions.udf.CIQ($D$4, $B$28, "IQ_LTM", D$9, $E$4, , $F$4, $G$4))),"",_xll.ciqfunctions.udf.CIQ($D$4, $B$28, "IQ_LTM", D$9, $E$4, , $F$4, $G$4))/IF(NOT(ISNUMBER(_xll.ciqfunctions.udf.CIQ($D$4, $B46, D$9, $H$4, $E$4, , $F$4, $G$4))),"",_xll.ciqfunctions.udf.CIQ($D$4, $B46, D$9, $H$4, $E$4, , $F$4, $G$4))),""))</f>
        <v>0.19343233128093687</v>
      </c>
      <c r="E46" s="172">
        <f>IF(E$9="","",IFERROR((IF(NOT(ISNUMBER(_xll.ciqfunctions.udf.CIQ($D$4, $B$28, "IQ_LTM", E$9, $E$4, , $F$4, $G$4))),"",_xll.ciqfunctions.udf.CIQ($D$4, $B$28, "IQ_LTM", E$9, $E$4, , $F$4, $G$4))/IF(NOT(ISNUMBER(_xll.ciqfunctions.udf.CIQ($D$4, $B46, E$9, $H$4, $E$4, , $F$4, $G$4))),"",_xll.ciqfunctions.udf.CIQ($D$4, $B46, E$9, $H$4, $E$4, , $F$4, $G$4))),""))</f>
        <v>0.19040692600393311</v>
      </c>
      <c r="F46" s="172">
        <f>IF(F$9="","",IFERROR((IF(NOT(ISNUMBER(_xll.ciqfunctions.udf.CIQ($D$4, $B$28, "IQ_LTM", F$9, $E$4, , $F$4, $G$4))),"",_xll.ciqfunctions.udf.CIQ($D$4, $B$28, "IQ_LTM", F$9, $E$4, , $F$4, $G$4))/IF(NOT(ISNUMBER(_xll.ciqfunctions.udf.CIQ($D$4, $B46, F$9, $H$4, $E$4, , $F$4, $G$4))),"",_xll.ciqfunctions.udf.CIQ($D$4, $B46, F$9, $H$4, $E$4, , $F$4, $G$4))),""))</f>
        <v>0.17574242623578237</v>
      </c>
      <c r="G46" s="172">
        <f>IF(G$9="","",IFERROR((IF(NOT(ISNUMBER(_xll.ciqfunctions.udf.CIQ($D$4, $B$28, "IQ_LTM", G$9, $E$4, , $F$4, $G$4))),"",_xll.ciqfunctions.udf.CIQ($D$4, $B$28, "IQ_LTM", G$9, $E$4, , $F$4, $G$4))/IF(NOT(ISNUMBER(_xll.ciqfunctions.udf.CIQ($D$4, $B46, G$9, $H$4, $E$4, , $F$4, $G$4))),"",_xll.ciqfunctions.udf.CIQ($D$4, $B46, G$9, $H$4, $E$4, , $F$4, $G$4))),""))</f>
        <v>0.16940460669274229</v>
      </c>
      <c r="H46" s="172">
        <f>IF(H$9="","",IFERROR((IF(NOT(ISNUMBER(_xll.ciqfunctions.udf.CIQ($D$4, $B$28, "IQ_LTM", H$9, $E$4, , $F$4, $G$4))),"",_xll.ciqfunctions.udf.CIQ($D$4, $B$28, "IQ_LTM", H$9, $E$4, , $F$4, $G$4))/IF(NOT(ISNUMBER(_xll.ciqfunctions.udf.CIQ($D$4, $B46, H$9, $H$4, $E$4, , $F$4, $G$4))),"",_xll.ciqfunctions.udf.CIQ($D$4, $B46, H$9, $H$4, $E$4, , $F$4, $G$4))),""))</f>
        <v>0.12202123184281508</v>
      </c>
      <c r="I46" s="172">
        <f>IF(I$9="","",IFERROR((IF(NOT(ISNUMBER(_xll.ciqfunctions.udf.CIQ($D$4, $B$28, "IQ_LTM", I$9, $E$4, , $F$4, $G$4))),"",_xll.ciqfunctions.udf.CIQ($D$4, $B$28, "IQ_LTM", I$9, $E$4, , $F$4, $G$4))/IF(NOT(ISNUMBER(_xll.ciqfunctions.udf.CIQ($D$4, $B46, I$9, $H$4, $E$4, , $F$4, $G$4))),"",_xll.ciqfunctions.udf.CIQ($D$4, $B46, I$9, $H$4, $E$4, , $F$4, $G$4))),""))</f>
        <v>8.3758193736343772E-2</v>
      </c>
      <c r="J46" s="172">
        <f>IF(J$9="","",IFERROR((IF(NOT(ISNUMBER(_xll.ciqfunctions.udf.CIQ($D$4, $B$28, "IQ_LTM", J$9, $E$4, , $F$4, $G$4))),"",_xll.ciqfunctions.udf.CIQ($D$4, $B$28, "IQ_LTM", J$9, $E$4, , $F$4, $G$4))/IF(NOT(ISNUMBER(_xll.ciqfunctions.udf.CIQ($D$4, $B46, J$9, $H$4, $E$4, , $F$4, $G$4))),"",_xll.ciqfunctions.udf.CIQ($D$4, $B46, J$9, $H$4, $E$4, , $F$4, $G$4))),""))</f>
        <v>0.18247253286246812</v>
      </c>
      <c r="K46" s="172">
        <f>IF(K$9="","",IFERROR((IF(NOT(ISNUMBER(_xll.ciqfunctions.udf.CIQ($D$4, $B$28, "IQ_LTM", K$9, $E$4, , $F$4, $G$4))),"",_xll.ciqfunctions.udf.CIQ($D$4, $B$28, "IQ_LTM", K$9, $E$4, , $F$4, $G$4))/IF(NOT(ISNUMBER(_xll.ciqfunctions.udf.CIQ($D$4, $B46, K$9, $H$4, $E$4, , $F$4, $G$4))),"",_xll.ciqfunctions.udf.CIQ($D$4, $B46, K$9, $H$4, $E$4, , $F$4, $G$4))),""))</f>
        <v>0.15434531765888657</v>
      </c>
      <c r="L46" s="172">
        <f>IF(L$9="","",IFERROR((IF(NOT(ISNUMBER(_xll.ciqfunctions.udf.CIQ($D$4, $B$28, "IQ_LTM", L$9, $E$4, , $F$4, $G$4))),"",_xll.ciqfunctions.udf.CIQ($D$4, $B$28, "IQ_LTM", L$9, $E$4, , $F$4, $G$4))/IF(NOT(ISNUMBER(_xll.ciqfunctions.udf.CIQ($D$4, $B46, L$9, $H$4, $E$4, , $F$4, $G$4))),"",_xll.ciqfunctions.udf.CIQ($D$4, $B46, L$9, $H$4, $E$4, , $F$4, $G$4))),""))</f>
        <v>0.14879585595977843</v>
      </c>
      <c r="M46" s="172" t="str">
        <f>IF(M$9="","",IFERROR((IF(NOT(ISNUMBER(_xll.ciqfunctions.udf.CIQ($D$4, $B$28, "IQ_LTM", M$9, $E$4, , $F$4, $G$4))),"",_xll.ciqfunctions.udf.CIQ($D$4, $B$28, "IQ_LTM", M$9, $E$4, , $F$4, $G$4))/IF(NOT(ISNUMBER(_xll.ciqfunctions.udf.CIQ($D$4, $B46, M$9, $H$4, $E$4, , $F$4, $G$4))),"",_xll.ciqfunctions.udf.CIQ($D$4, $B46, M$9, $H$4, $E$4, , $F$4, $G$4))),""))</f>
        <v/>
      </c>
      <c r="N46" s="172" t="str">
        <f>IF(N$9="","",IFERROR((IF(NOT(ISNUMBER(_xll.ciqfunctions.udf.CIQ($D$4, $B$28, "IQ_LTM", N$9, $E$4, , $F$4, $G$4))),"",_xll.ciqfunctions.udf.CIQ($D$4, $B$28, "IQ_LTM", N$9, $E$4, , $F$4, $G$4))/IF(NOT(ISNUMBER(_xll.ciqfunctions.udf.CIQ($D$4, $B46, N$9, $H$4, $E$4, , $F$4, $G$4))),"",_xll.ciqfunctions.udf.CIQ($D$4, $B46, N$9, $H$4, $E$4, , $F$4, $G$4))),""))</f>
        <v/>
      </c>
      <c r="O46" s="172" t="str">
        <f>IF(O$9="","",IFERROR((IF(NOT(ISNUMBER(_xll.ciqfunctions.udf.CIQ($D$4, $B$28, "IQ_LTM", O$9, $E$4, , $F$4, $G$4))),"",_xll.ciqfunctions.udf.CIQ($D$4, $B$28, "IQ_LTM", O$9, $E$4, , $F$4, $G$4))/IF(NOT(ISNUMBER(_xll.ciqfunctions.udf.CIQ($D$4, $B46, O$9, $H$4, $E$4, , $F$4, $G$4))),"",_xll.ciqfunctions.udf.CIQ($D$4, $B46, O$9, $H$4, $E$4, , $F$4, $G$4))),""))</f>
        <v/>
      </c>
      <c r="P46" s="172" t="str">
        <f>IF(P$9="","",IFERROR((IF(NOT(ISNUMBER(_xll.ciqfunctions.udf.CIQ($D$4, $B$28, "IQ_LTM", P$9, $E$4, , $F$4, $G$4))),"",_xll.ciqfunctions.udf.CIQ($D$4, $B$28, "IQ_LTM", P$9, $E$4, , $F$4, $G$4))/IF(NOT(ISNUMBER(_xll.ciqfunctions.udf.CIQ($D$4, $B46, P$9, $H$4, $E$4, , $F$4, $G$4))),"",_xll.ciqfunctions.udf.CIQ($D$4, $B46, P$9, $H$4, $E$4, , $F$4, $G$4))),""))</f>
        <v/>
      </c>
      <c r="Q46" s="172" t="str">
        <f>IF(Q$9="","",IFERROR((IF(NOT(ISNUMBER(_xll.ciqfunctions.udf.CIQ($D$4, $B$28, "IQ_LTM", Q$9, $E$4, , $F$4, $G$4))),"",_xll.ciqfunctions.udf.CIQ($D$4, $B$28, "IQ_LTM", Q$9, $E$4, , $F$4, $G$4))/IF(NOT(ISNUMBER(_xll.ciqfunctions.udf.CIQ($D$4, $B46, Q$9, $H$4, $E$4, , $F$4, $G$4))),"",_xll.ciqfunctions.udf.CIQ($D$4, $B46, Q$9, $H$4, $E$4, , $F$4, $G$4))),""))</f>
        <v/>
      </c>
      <c r="R46" s="172" t="str">
        <f>IF(R$9="","",IFERROR((IF(NOT(ISNUMBER(_xll.ciqfunctions.udf.CIQ($D$4, $B$28, "IQ_LTM", R$9, $E$4, , $F$4, $G$4))),"",_xll.ciqfunctions.udf.CIQ($D$4, $B$28, "IQ_LTM", R$9, $E$4, , $F$4, $G$4))/IF(NOT(ISNUMBER(_xll.ciqfunctions.udf.CIQ($D$4, $B46, R$9, $H$4, $E$4, , $F$4, $G$4))),"",_xll.ciqfunctions.udf.CIQ($D$4, $B46, R$9, $H$4, $E$4, , $F$4, $G$4))),""))</f>
        <v/>
      </c>
      <c r="S46" s="172" t="str">
        <f>IF(S$9="","",IFERROR((IF(NOT(ISNUMBER(_xll.ciqfunctions.udf.CIQ($D$4, $B$28, "IQ_LTM", S$9, $E$4, , $F$4, $G$4))),"",_xll.ciqfunctions.udf.CIQ($D$4, $B$28, "IQ_LTM", S$9, $E$4, , $F$4, $G$4))/IF(NOT(ISNUMBER(_xll.ciqfunctions.udf.CIQ($D$4, $B46, S$9, $H$4, $E$4, , $F$4, $G$4))),"",_xll.ciqfunctions.udf.CIQ($D$4, $B46, S$9, $H$4, $E$4, , $F$4, $G$4))),""))</f>
        <v/>
      </c>
      <c r="T46" s="172" t="str">
        <f>IF(T$9="","",IFERROR((IF(NOT(ISNUMBER(_xll.ciqfunctions.udf.CIQ($D$4, $B$28, "IQ_LTM", T$9, $E$4, , $F$4, $G$4))),"",_xll.ciqfunctions.udf.CIQ($D$4, $B$28, "IQ_LTM", T$9, $E$4, , $F$4, $G$4))/IF(NOT(ISNUMBER(_xll.ciqfunctions.udf.CIQ($D$4, $B46, T$9, $H$4, $E$4, , $F$4, $G$4))),"",_xll.ciqfunctions.udf.CIQ($D$4, $B46, T$9, $H$4, $E$4, , $F$4, $G$4))),""))</f>
        <v/>
      </c>
      <c r="U46" s="172" t="str">
        <f>IF(U$9="","",IFERROR((IF(NOT(ISNUMBER(_xll.ciqfunctions.udf.CIQ($D$4, $B$28, "IQ_LTM", U$9, $E$4, , $F$4, $G$4))),"",_xll.ciqfunctions.udf.CIQ($D$4, $B$28, "IQ_LTM", U$9, $E$4, , $F$4, $G$4))/IF(NOT(ISNUMBER(_xll.ciqfunctions.udf.CIQ($D$4, $B46, U$9, $H$4, $E$4, , $F$4, $G$4))),"",_xll.ciqfunctions.udf.CIQ($D$4, $B46, U$9, $H$4, $E$4, , $F$4, $G$4))),""))</f>
        <v/>
      </c>
      <c r="V46" s="172" t="str">
        <f>IF(V$9="","",IFERROR((IF(NOT(ISNUMBER(_xll.ciqfunctions.udf.CIQ($D$4, $B$28, "IQ_LTM", V$9, $E$4, , $F$4, $G$4))),"",_xll.ciqfunctions.udf.CIQ($D$4, $B$28, "IQ_LTM", V$9, $E$4, , $F$4, $G$4))/IF(NOT(ISNUMBER(_xll.ciqfunctions.udf.CIQ($D$4, $B46, V$9, $H$4, $E$4, , $F$4, $G$4))),"",_xll.ciqfunctions.udf.CIQ($D$4, $B46, V$9, $H$4, $E$4, , $F$4, $G$4))),""))</f>
        <v/>
      </c>
      <c r="W46" s="172" t="str">
        <f>IF(W$9="","",IFERROR((IF(NOT(ISNUMBER(_xll.ciqfunctions.udf.CIQ($D$4, $B$28, "IQ_LTM", W$9, $E$4, , $F$4, $G$4))),"",_xll.ciqfunctions.udf.CIQ($D$4, $B$28, "IQ_LTM", W$9, $E$4, , $F$4, $G$4))/IF(NOT(ISNUMBER(_xll.ciqfunctions.udf.CIQ($D$4, $B46, W$9, $H$4, $E$4, , $F$4, $G$4))),"",_xll.ciqfunctions.udf.CIQ($D$4, $B46, W$9, $H$4, $E$4, , $F$4, $G$4))),""))</f>
        <v/>
      </c>
    </row>
    <row r="47" spans="1:23" ht="15" customHeight="1" x14ac:dyDescent="0.2">
      <c r="A47" s="25" t="s">
        <v>1055</v>
      </c>
      <c r="B47" s="232" t="str">
        <f>"IQ_TOTAL_CAP"</f>
        <v>IQ_TOTAL_CAP</v>
      </c>
      <c r="C47" s="172">
        <f>IF(C$9="","",IFERROR((IF(NOT(ISNUMBER(_xll.ciqfunctions.udf.CIQ($D$4, $B$28, "IQ_LTM", C$9, $E$4, , $F$4, $G$4))),"",_xll.ciqfunctions.udf.CIQ($D$4, $B$28, "IQ_LTM", C$9, $E$4, , $F$4, $G$4))/IF(NOT(ISNUMBER(_xll.ciqfunctions.udf.CIQ($D$4, $B47, C$9, $H$4, $E$4, , $F$4, $G$4))),"",_xll.ciqfunctions.udf.CIQ($D$4, $B47, C$9, $H$4, $E$4, , $F$4, $G$4))),""))</f>
        <v>0.12454574761151163</v>
      </c>
      <c r="D47" s="172">
        <f>IF(D$9="","",IFERROR((IF(NOT(ISNUMBER(_xll.ciqfunctions.udf.CIQ($D$4, $B$28, "IQ_LTM", D$9, $E$4, , $F$4, $G$4))),"",_xll.ciqfunctions.udf.CIQ($D$4, $B$28, "IQ_LTM", D$9, $E$4, , $F$4, $G$4))/IF(NOT(ISNUMBER(_xll.ciqfunctions.udf.CIQ($D$4, $B47, D$9, $H$4, $E$4, , $F$4, $G$4))),"",_xll.ciqfunctions.udf.CIQ($D$4, $B47, D$9, $H$4, $E$4, , $F$4, $G$4))),""))</f>
        <v>0.11487528052024407</v>
      </c>
      <c r="E47" s="172">
        <f>IF(E$9="","",IFERROR((IF(NOT(ISNUMBER(_xll.ciqfunctions.udf.CIQ($D$4, $B$28, "IQ_LTM", E$9, $E$4, , $F$4, $G$4))),"",_xll.ciqfunctions.udf.CIQ($D$4, $B$28, "IQ_LTM", E$9, $E$4, , $F$4, $G$4))/IF(NOT(ISNUMBER(_xll.ciqfunctions.udf.CIQ($D$4, $B47, E$9, $H$4, $E$4, , $F$4, $G$4))),"",_xll.ciqfunctions.udf.CIQ($D$4, $B47, E$9, $H$4, $E$4, , $F$4, $G$4))),""))</f>
        <v>0.11968869090722901</v>
      </c>
      <c r="F47" s="172">
        <f>IF(F$9="","",IFERROR((IF(NOT(ISNUMBER(_xll.ciqfunctions.udf.CIQ($D$4, $B$28, "IQ_LTM", F$9, $E$4, , $F$4, $G$4))),"",_xll.ciqfunctions.udf.CIQ($D$4, $B$28, "IQ_LTM", F$9, $E$4, , $F$4, $G$4))/IF(NOT(ISNUMBER(_xll.ciqfunctions.udf.CIQ($D$4, $B47, F$9, $H$4, $E$4, , $F$4, $G$4))),"",_xll.ciqfunctions.udf.CIQ($D$4, $B47, F$9, $H$4, $E$4, , $F$4, $G$4))),""))</f>
        <v>0.10934418788090755</v>
      </c>
      <c r="G47" s="172">
        <f>IF(G$9="","",IFERROR((IF(NOT(ISNUMBER(_xll.ciqfunctions.udf.CIQ($D$4, $B$28, "IQ_LTM", G$9, $E$4, , $F$4, $G$4))),"",_xll.ciqfunctions.udf.CIQ($D$4, $B$28, "IQ_LTM", G$9, $E$4, , $F$4, $G$4))/IF(NOT(ISNUMBER(_xll.ciqfunctions.udf.CIQ($D$4, $B47, G$9, $H$4, $E$4, , $F$4, $G$4))),"",_xll.ciqfunctions.udf.CIQ($D$4, $B47, G$9, $H$4, $E$4, , $F$4, $G$4))),""))</f>
        <v>0.10733814308080848</v>
      </c>
      <c r="H47" s="172">
        <f>IF(H$9="","",IFERROR((IF(NOT(ISNUMBER(_xll.ciqfunctions.udf.CIQ($D$4, $B$28, "IQ_LTM", H$9, $E$4, , $F$4, $G$4))),"",_xll.ciqfunctions.udf.CIQ($D$4, $B$28, "IQ_LTM", H$9, $E$4, , $F$4, $G$4))/IF(NOT(ISNUMBER(_xll.ciqfunctions.udf.CIQ($D$4, $B47, H$9, $H$4, $E$4, , $F$4, $G$4))),"",_xll.ciqfunctions.udf.CIQ($D$4, $B47, H$9, $H$4, $E$4, , $F$4, $G$4))),""))</f>
        <v>7.7352053021687128E-2</v>
      </c>
      <c r="I47" s="172">
        <f>IF(I$9="","",IFERROR((IF(NOT(ISNUMBER(_xll.ciqfunctions.udf.CIQ($D$4, $B$28, "IQ_LTM", I$9, $E$4, , $F$4, $G$4))),"",_xll.ciqfunctions.udf.CIQ($D$4, $B$28, "IQ_LTM", I$9, $E$4, , $F$4, $G$4))/IF(NOT(ISNUMBER(_xll.ciqfunctions.udf.CIQ($D$4, $B47, I$9, $H$4, $E$4, , $F$4, $G$4))),"",_xll.ciqfunctions.udf.CIQ($D$4, $B47, I$9, $H$4, $E$4, , $F$4, $G$4))),""))</f>
        <v>4.8300083276005649E-2</v>
      </c>
      <c r="J47" s="172">
        <f>IF(J$9="","",IFERROR((IF(NOT(ISNUMBER(_xll.ciqfunctions.udf.CIQ($D$4, $B$28, "IQ_LTM", J$9, $E$4, , $F$4, $G$4))),"",_xll.ciqfunctions.udf.CIQ($D$4, $B$28, "IQ_LTM", J$9, $E$4, , $F$4, $G$4))/IF(NOT(ISNUMBER(_xll.ciqfunctions.udf.CIQ($D$4, $B47, J$9, $H$4, $E$4, , $F$4, $G$4))),"",_xll.ciqfunctions.udf.CIQ($D$4, $B47, J$9, $H$4, $E$4, , $F$4, $G$4))),""))</f>
        <v>9.6204446570684179E-2</v>
      </c>
      <c r="K47" s="172">
        <f>IF(K$9="","",IFERROR((IF(NOT(ISNUMBER(_xll.ciqfunctions.udf.CIQ($D$4, $B$28, "IQ_LTM", K$9, $E$4, , $F$4, $G$4))),"",_xll.ciqfunctions.udf.CIQ($D$4, $B$28, "IQ_LTM", K$9, $E$4, , $F$4, $G$4))/IF(NOT(ISNUMBER(_xll.ciqfunctions.udf.CIQ($D$4, $B47, K$9, $H$4, $E$4, , $F$4, $G$4))),"",_xll.ciqfunctions.udf.CIQ($D$4, $B47, K$9, $H$4, $E$4, , $F$4, $G$4))),""))</f>
        <v>8.9368992730087124E-2</v>
      </c>
      <c r="L47" s="172">
        <f>IF(L$9="","",IFERROR((IF(NOT(ISNUMBER(_xll.ciqfunctions.udf.CIQ($D$4, $B$28, "IQ_LTM", L$9, $E$4, , $F$4, $G$4))),"",_xll.ciqfunctions.udf.CIQ($D$4, $B$28, "IQ_LTM", L$9, $E$4, , $F$4, $G$4))/IF(NOT(ISNUMBER(_xll.ciqfunctions.udf.CIQ($D$4, $B47, L$9, $H$4, $E$4, , $F$4, $G$4))),"",_xll.ciqfunctions.udf.CIQ($D$4, $B47, L$9, $H$4, $E$4, , $F$4, $G$4))),""))</f>
        <v>9.0965943489744461E-2</v>
      </c>
      <c r="M47" s="172" t="str">
        <f>IF(M$9="","",IFERROR((IF(NOT(ISNUMBER(_xll.ciqfunctions.udf.CIQ($D$4, $B$28, "IQ_LTM", M$9, $E$4, , $F$4, $G$4))),"",_xll.ciqfunctions.udf.CIQ($D$4, $B$28, "IQ_LTM", M$9, $E$4, , $F$4, $G$4))/IF(NOT(ISNUMBER(_xll.ciqfunctions.udf.CIQ($D$4, $B47, M$9, $H$4, $E$4, , $F$4, $G$4))),"",_xll.ciqfunctions.udf.CIQ($D$4, $B47, M$9, $H$4, $E$4, , $F$4, $G$4))),""))</f>
        <v/>
      </c>
      <c r="N47" s="172" t="str">
        <f>IF(N$9="","",IFERROR((IF(NOT(ISNUMBER(_xll.ciqfunctions.udf.CIQ($D$4, $B$28, "IQ_LTM", N$9, $E$4, , $F$4, $G$4))),"",_xll.ciqfunctions.udf.CIQ($D$4, $B$28, "IQ_LTM", N$9, $E$4, , $F$4, $G$4))/IF(NOT(ISNUMBER(_xll.ciqfunctions.udf.CIQ($D$4, $B47, N$9, $H$4, $E$4, , $F$4, $G$4))),"",_xll.ciqfunctions.udf.CIQ($D$4, $B47, N$9, $H$4, $E$4, , $F$4, $G$4))),""))</f>
        <v/>
      </c>
      <c r="O47" s="172" t="str">
        <f>IF(O$9="","",IFERROR((IF(NOT(ISNUMBER(_xll.ciqfunctions.udf.CIQ($D$4, $B$28, "IQ_LTM", O$9, $E$4, , $F$4, $G$4))),"",_xll.ciqfunctions.udf.CIQ($D$4, $B$28, "IQ_LTM", O$9, $E$4, , $F$4, $G$4))/IF(NOT(ISNUMBER(_xll.ciqfunctions.udf.CIQ($D$4, $B47, O$9, $H$4, $E$4, , $F$4, $G$4))),"",_xll.ciqfunctions.udf.CIQ($D$4, $B47, O$9, $H$4, $E$4, , $F$4, $G$4))),""))</f>
        <v/>
      </c>
      <c r="P47" s="172" t="str">
        <f>IF(P$9="","",IFERROR((IF(NOT(ISNUMBER(_xll.ciqfunctions.udf.CIQ($D$4, $B$28, "IQ_LTM", P$9, $E$4, , $F$4, $G$4))),"",_xll.ciqfunctions.udf.CIQ($D$4, $B$28, "IQ_LTM", P$9, $E$4, , $F$4, $G$4))/IF(NOT(ISNUMBER(_xll.ciqfunctions.udf.CIQ($D$4, $B47, P$9, $H$4, $E$4, , $F$4, $G$4))),"",_xll.ciqfunctions.udf.CIQ($D$4, $B47, P$9, $H$4, $E$4, , $F$4, $G$4))),""))</f>
        <v/>
      </c>
      <c r="Q47" s="172" t="str">
        <f>IF(Q$9="","",IFERROR((IF(NOT(ISNUMBER(_xll.ciqfunctions.udf.CIQ($D$4, $B$28, "IQ_LTM", Q$9, $E$4, , $F$4, $G$4))),"",_xll.ciqfunctions.udf.CIQ($D$4, $B$28, "IQ_LTM", Q$9, $E$4, , $F$4, $G$4))/IF(NOT(ISNUMBER(_xll.ciqfunctions.udf.CIQ($D$4, $B47, Q$9, $H$4, $E$4, , $F$4, $G$4))),"",_xll.ciqfunctions.udf.CIQ($D$4, $B47, Q$9, $H$4, $E$4, , $F$4, $G$4))),""))</f>
        <v/>
      </c>
      <c r="R47" s="172" t="str">
        <f>IF(R$9="","",IFERROR((IF(NOT(ISNUMBER(_xll.ciqfunctions.udf.CIQ($D$4, $B$28, "IQ_LTM", R$9, $E$4, , $F$4, $G$4))),"",_xll.ciqfunctions.udf.CIQ($D$4, $B$28, "IQ_LTM", R$9, $E$4, , $F$4, $G$4))/IF(NOT(ISNUMBER(_xll.ciqfunctions.udf.CIQ($D$4, $B47, R$9, $H$4, $E$4, , $F$4, $G$4))),"",_xll.ciqfunctions.udf.CIQ($D$4, $B47, R$9, $H$4, $E$4, , $F$4, $G$4))),""))</f>
        <v/>
      </c>
      <c r="S47" s="172" t="str">
        <f>IF(S$9="","",IFERROR((IF(NOT(ISNUMBER(_xll.ciqfunctions.udf.CIQ($D$4, $B$28, "IQ_LTM", S$9, $E$4, , $F$4, $G$4))),"",_xll.ciqfunctions.udf.CIQ($D$4, $B$28, "IQ_LTM", S$9, $E$4, , $F$4, $G$4))/IF(NOT(ISNUMBER(_xll.ciqfunctions.udf.CIQ($D$4, $B47, S$9, $H$4, $E$4, , $F$4, $G$4))),"",_xll.ciqfunctions.udf.CIQ($D$4, $B47, S$9, $H$4, $E$4, , $F$4, $G$4))),""))</f>
        <v/>
      </c>
      <c r="T47" s="172" t="str">
        <f>IF(T$9="","",IFERROR((IF(NOT(ISNUMBER(_xll.ciqfunctions.udf.CIQ($D$4, $B$28, "IQ_LTM", T$9, $E$4, , $F$4, $G$4))),"",_xll.ciqfunctions.udf.CIQ($D$4, $B$28, "IQ_LTM", T$9, $E$4, , $F$4, $G$4))/IF(NOT(ISNUMBER(_xll.ciqfunctions.udf.CIQ($D$4, $B47, T$9, $H$4, $E$4, , $F$4, $G$4))),"",_xll.ciqfunctions.udf.CIQ($D$4, $B47, T$9, $H$4, $E$4, , $F$4, $G$4))),""))</f>
        <v/>
      </c>
      <c r="U47" s="172" t="str">
        <f>IF(U$9="","",IFERROR((IF(NOT(ISNUMBER(_xll.ciqfunctions.udf.CIQ($D$4, $B$28, "IQ_LTM", U$9, $E$4, , $F$4, $G$4))),"",_xll.ciqfunctions.udf.CIQ($D$4, $B$28, "IQ_LTM", U$9, $E$4, , $F$4, $G$4))/IF(NOT(ISNUMBER(_xll.ciqfunctions.udf.CIQ($D$4, $B47, U$9, $H$4, $E$4, , $F$4, $G$4))),"",_xll.ciqfunctions.udf.CIQ($D$4, $B47, U$9, $H$4, $E$4, , $F$4, $G$4))),""))</f>
        <v/>
      </c>
      <c r="V47" s="172" t="str">
        <f>IF(V$9="","",IFERROR((IF(NOT(ISNUMBER(_xll.ciqfunctions.udf.CIQ($D$4, $B$28, "IQ_LTM", V$9, $E$4, , $F$4, $G$4))),"",_xll.ciqfunctions.udf.CIQ($D$4, $B$28, "IQ_LTM", V$9, $E$4, , $F$4, $G$4))/IF(NOT(ISNUMBER(_xll.ciqfunctions.udf.CIQ($D$4, $B47, V$9, $H$4, $E$4, , $F$4, $G$4))),"",_xll.ciqfunctions.udf.CIQ($D$4, $B47, V$9, $H$4, $E$4, , $F$4, $G$4))),""))</f>
        <v/>
      </c>
      <c r="W47" s="172" t="str">
        <f>IF(W$9="","",IFERROR((IF(NOT(ISNUMBER(_xll.ciqfunctions.udf.CIQ($D$4, $B$28, "IQ_LTM", W$9, $E$4, , $F$4, $G$4))),"",_xll.ciqfunctions.udf.CIQ($D$4, $B$28, "IQ_LTM", W$9, $E$4, , $F$4, $G$4))/IF(NOT(ISNUMBER(_xll.ciqfunctions.udf.CIQ($D$4, $B47, W$9, $H$4, $E$4, , $F$4, $G$4))),"",_xll.ciqfunctions.udf.CIQ($D$4, $B47, W$9, $H$4, $E$4, , $F$4, $G$4))),""))</f>
        <v/>
      </c>
    </row>
    <row r="48" spans="1:23" ht="15" customHeight="1" x14ac:dyDescent="0.2">
      <c r="A48" s="25" t="s">
        <v>1056</v>
      </c>
      <c r="B48" s="232"/>
      <c r="C48" s="172">
        <f>IFERROR(C45/C47,"")</f>
        <v>1.0396154988688904</v>
      </c>
      <c r="D48" s="172">
        <f t="shared" ref="D48:K48" si="42">IFERROR(D45/D47,"")</f>
        <v>1.0300355966500745</v>
      </c>
      <c r="E48" s="172">
        <f t="shared" si="42"/>
        <v>0.98897545519651031</v>
      </c>
      <c r="F48" s="172">
        <f t="shared" si="42"/>
        <v>0.99570990352840072</v>
      </c>
      <c r="G48" s="172">
        <f t="shared" si="42"/>
        <v>0.96365345686406811</v>
      </c>
      <c r="H48" s="172">
        <f t="shared" si="42"/>
        <v>1.0118570487535814</v>
      </c>
      <c r="I48" s="172">
        <f t="shared" si="42"/>
        <v>0.97374804326672204</v>
      </c>
      <c r="J48" s="172">
        <f t="shared" si="42"/>
        <v>0.97464478119781994</v>
      </c>
      <c r="K48" s="172">
        <f t="shared" si="42"/>
        <v>0.9456994325966056</v>
      </c>
      <c r="L48" s="172">
        <f t="shared" ref="L48:W48" si="43">IFERROR(L45/L47,"")</f>
        <v>0.95445799810770815</v>
      </c>
      <c r="M48" s="172" t="str">
        <f t="shared" si="43"/>
        <v/>
      </c>
      <c r="N48" s="172" t="str">
        <f t="shared" si="43"/>
        <v/>
      </c>
      <c r="O48" s="172" t="str">
        <f t="shared" si="43"/>
        <v/>
      </c>
      <c r="P48" s="172" t="str">
        <f t="shared" si="43"/>
        <v/>
      </c>
      <c r="Q48" s="172" t="str">
        <f t="shared" si="43"/>
        <v/>
      </c>
      <c r="R48" s="172" t="str">
        <f t="shared" si="43"/>
        <v/>
      </c>
      <c r="S48" s="172" t="str">
        <f t="shared" si="43"/>
        <v/>
      </c>
      <c r="T48" s="172" t="str">
        <f t="shared" si="43"/>
        <v/>
      </c>
      <c r="U48" s="172" t="str">
        <f t="shared" si="43"/>
        <v/>
      </c>
      <c r="V48" s="172" t="str">
        <f t="shared" si="43"/>
        <v/>
      </c>
      <c r="W48" s="172" t="str">
        <f t="shared" si="43"/>
        <v/>
      </c>
    </row>
    <row r="49" spans="1:23" ht="15" customHeight="1" x14ac:dyDescent="0.2">
      <c r="A49" s="27"/>
      <c r="B49" s="232"/>
      <c r="C49" s="179"/>
      <c r="D49" s="179"/>
      <c r="E49" s="179"/>
      <c r="F49" s="179"/>
      <c r="G49" s="179"/>
      <c r="H49" s="179"/>
      <c r="I49" s="179"/>
      <c r="J49" s="179"/>
      <c r="K49" s="179"/>
      <c r="L49" s="179"/>
      <c r="M49" s="179"/>
      <c r="N49" s="179"/>
      <c r="O49" s="179"/>
      <c r="P49" s="179"/>
      <c r="Q49" s="179"/>
      <c r="R49" s="179"/>
      <c r="S49" s="179"/>
      <c r="T49" s="179"/>
      <c r="U49" s="179"/>
      <c r="V49" s="179"/>
      <c r="W49" s="179"/>
    </row>
    <row r="50" spans="1:23" ht="15" customHeight="1" x14ac:dyDescent="0.2">
      <c r="A50" s="916" t="s">
        <v>48</v>
      </c>
      <c r="B50" s="925"/>
      <c r="C50" s="926"/>
      <c r="D50" s="926"/>
      <c r="E50" s="926"/>
      <c r="F50" s="926"/>
      <c r="G50" s="926"/>
      <c r="H50" s="926"/>
      <c r="I50" s="926"/>
      <c r="J50" s="926"/>
      <c r="K50" s="926"/>
      <c r="L50" s="926"/>
      <c r="M50" s="926"/>
      <c r="N50" s="926"/>
      <c r="O50" s="926"/>
      <c r="P50" s="926"/>
      <c r="Q50" s="926"/>
      <c r="R50" s="926"/>
      <c r="S50" s="926"/>
      <c r="T50" s="926"/>
      <c r="U50" s="926"/>
      <c r="V50" s="926"/>
      <c r="W50" s="926"/>
    </row>
    <row r="51" spans="1:23" ht="15" customHeight="1" x14ac:dyDescent="0.2">
      <c r="A51" s="25" t="s">
        <v>36</v>
      </c>
      <c r="B51" s="232" t="s">
        <v>381</v>
      </c>
      <c r="C51" s="180">
        <f>IF(C$9="","",IF(NOT(ISNUMBER(_xll.ciqfunctions.udf.CIQ($D$4, $B51, C$9, $H$4, $E$4, , $F$4, $G$4))),"",_xll.ciqfunctions.udf.CIQ($D$4, $B51, C$9, $H$4, $E$4, , $F$4, $G$4)))</f>
        <v>2.3638699999999999</v>
      </c>
      <c r="D51" s="180">
        <f>IF(D$9="","",IF(NOT(ISNUMBER(_xll.ciqfunctions.udf.CIQ($D$4, $B51, D$9, $H$4, $E$4, , $F$4, $G$4))),"",_xll.ciqfunctions.udf.CIQ($D$4, $B51, D$9, $H$4, $E$4, , $F$4, $G$4)))</f>
        <v>2.3355999999999999</v>
      </c>
      <c r="E51" s="180">
        <f>IF(E$9="","",IF(NOT(ISNUMBER(_xll.ciqfunctions.udf.CIQ($D$4, $B51, E$9, $H$4, $E$4, , $F$4, $G$4))),"",_xll.ciqfunctions.udf.CIQ($D$4, $B51, E$9, $H$4, $E$4, , $F$4, $G$4)))</f>
        <v>2.3792399999999998</v>
      </c>
      <c r="F51" s="180">
        <f>IF(F$9="","",IF(NOT(ISNUMBER(_xll.ciqfunctions.udf.CIQ($D$4, $B51, F$9, $H$4, $E$4, , $F$4, $G$4))),"",_xll.ciqfunctions.udf.CIQ($D$4, $B51, F$9, $H$4, $E$4, , $F$4, $G$4)))</f>
        <v>2.39228</v>
      </c>
      <c r="G51" s="180">
        <f>IF(G$9="","",IF(NOT(ISNUMBER(_xll.ciqfunctions.udf.CIQ($D$4, $B51, G$9, $H$4, $E$4, , $F$4, $G$4))),"",_xll.ciqfunctions.udf.CIQ($D$4, $B51, G$9, $H$4, $E$4, , $F$4, $G$4)))</f>
        <v>2.4390800000000001</v>
      </c>
      <c r="H51" s="180">
        <f>IF(H$9="","",IF(NOT(ISNUMBER(_xll.ciqfunctions.udf.CIQ($D$4, $B51, H$9, $H$4, $E$4, , $F$4, $G$4))),"",_xll.ciqfunctions.udf.CIQ($D$4, $B51, H$9, $H$4, $E$4, , $F$4, $G$4)))</f>
        <v>2.4809600000000001</v>
      </c>
      <c r="I51" s="180">
        <f>IF(I$9="","",IF(NOT(ISNUMBER(_xll.ciqfunctions.udf.CIQ($D$4, $B51, I$9, $H$4, $E$4, , $F$4, $G$4))),"",_xll.ciqfunctions.udf.CIQ($D$4, $B51, I$9, $H$4, $E$4, , $F$4, $G$4)))</f>
        <v>2.4274900000000001</v>
      </c>
      <c r="J51" s="180">
        <f>IF(J$9="","",IF(NOT(ISNUMBER(_xll.ciqfunctions.udf.CIQ($D$4, $B51, J$9, $H$4, $E$4, , $F$4, $G$4))),"",_xll.ciqfunctions.udf.CIQ($D$4, $B51, J$9, $H$4, $E$4, , $F$4, $G$4)))</f>
        <v>2.29915</v>
      </c>
      <c r="K51" s="180">
        <f>IF(K$9="","",IF(NOT(ISNUMBER(_xll.ciqfunctions.udf.CIQ($D$4, $B51, K$9, $H$4, $E$4, , $F$4, $G$4))),"",_xll.ciqfunctions.udf.CIQ($D$4, $B51, K$9, $H$4, $E$4, , $F$4, $G$4)))</f>
        <v>2.2869600000000001</v>
      </c>
      <c r="L51" s="180">
        <f>IF(L$9="","",IF(NOT(ISNUMBER(_xll.ciqfunctions.udf.CIQ($D$4, $B51, L$9, $H$4, $E$4, , $F$4, $G$4))),"",_xll.ciqfunctions.udf.CIQ($D$4, $B51, L$9, $H$4, $E$4, , $F$4, $G$4)))</f>
        <v>2.3031999999999999</v>
      </c>
      <c r="M51" s="180" t="str">
        <f>IF(M$9="","",IF(NOT(ISNUMBER(_xll.ciqfunctions.udf.CIQ($D$4, $B51, M$9, $H$4, $E$4, , $F$4, $G$4))),"",_xll.ciqfunctions.udf.CIQ($D$4, $B51, M$9, $H$4, $E$4, , $F$4, $G$4)))</f>
        <v/>
      </c>
      <c r="N51" s="180" t="str">
        <f>IF(N$9="","",IF(NOT(ISNUMBER(_xll.ciqfunctions.udf.CIQ($D$4, $B51, N$9, $H$4, $E$4, , $F$4, $G$4))),"",_xll.ciqfunctions.udf.CIQ($D$4, $B51, N$9, $H$4, $E$4, , $F$4, $G$4)))</f>
        <v/>
      </c>
      <c r="O51" s="180" t="str">
        <f>IF(O$9="","",IF(NOT(ISNUMBER(_xll.ciqfunctions.udf.CIQ($D$4, $B51, O$9, $H$4, $E$4, , $F$4, $G$4))),"",_xll.ciqfunctions.udf.CIQ($D$4, $B51, O$9, $H$4, $E$4, , $F$4, $G$4)))</f>
        <v/>
      </c>
      <c r="P51" s="180" t="str">
        <f>IF(P$9="","",IF(NOT(ISNUMBER(_xll.ciqfunctions.udf.CIQ($D$4, $B51, P$9, $H$4, $E$4, , $F$4, $G$4))),"",_xll.ciqfunctions.udf.CIQ($D$4, $B51, P$9, $H$4, $E$4, , $F$4, $G$4)))</f>
        <v/>
      </c>
      <c r="Q51" s="180" t="str">
        <f>IF(Q$9="","",IF(NOT(ISNUMBER(_xll.ciqfunctions.udf.CIQ($D$4, $B51, Q$9, $H$4, $E$4, , $F$4, $G$4))),"",_xll.ciqfunctions.udf.CIQ($D$4, $B51, Q$9, $H$4, $E$4, , $F$4, $G$4)))</f>
        <v/>
      </c>
      <c r="R51" s="180" t="str">
        <f>IF(R$9="","",IF(NOT(ISNUMBER(_xll.ciqfunctions.udf.CIQ($D$4, $B51, R$9, $H$4, $E$4, , $F$4, $G$4))),"",_xll.ciqfunctions.udf.CIQ($D$4, $B51, R$9, $H$4, $E$4, , $F$4, $G$4)))</f>
        <v/>
      </c>
      <c r="S51" s="180" t="str">
        <f>IF(S$9="","",IF(NOT(ISNUMBER(_xll.ciqfunctions.udf.CIQ($D$4, $B51, S$9, $H$4, $E$4, , $F$4, $G$4))),"",_xll.ciqfunctions.udf.CIQ($D$4, $B51, S$9, $H$4, $E$4, , $F$4, $G$4)))</f>
        <v/>
      </c>
      <c r="T51" s="180" t="str">
        <f>IF(T$9="","",IF(NOT(ISNUMBER(_xll.ciqfunctions.udf.CIQ($D$4, $B51, T$9, $H$4, $E$4, , $F$4, $G$4))),"",_xll.ciqfunctions.udf.CIQ($D$4, $B51, T$9, $H$4, $E$4, , $F$4, $G$4)))</f>
        <v/>
      </c>
      <c r="U51" s="180" t="str">
        <f>IF(U$9="","",IF(NOT(ISNUMBER(_xll.ciqfunctions.udf.CIQ($D$4, $B51, U$9, $H$4, $E$4, , $F$4, $G$4))),"",_xll.ciqfunctions.udf.CIQ($D$4, $B51, U$9, $H$4, $E$4, , $F$4, $G$4)))</f>
        <v/>
      </c>
      <c r="V51" s="180" t="str">
        <f>IF(V$9="","",IF(NOT(ISNUMBER(_xll.ciqfunctions.udf.CIQ($D$4, $B51, V$9, $H$4, $E$4, , $F$4, $G$4))),"",_xll.ciqfunctions.udf.CIQ($D$4, $B51, V$9, $H$4, $E$4, , $F$4, $G$4)))</f>
        <v/>
      </c>
      <c r="W51" s="180" t="str">
        <f>IF(W$9="","",IF(NOT(ISNUMBER(_xll.ciqfunctions.udf.CIQ($D$4, $B51, W$9, $H$4, $E$4, , $F$4, $G$4))),"",_xll.ciqfunctions.udf.CIQ($D$4, $B51, W$9, $H$4, $E$4, , $F$4, $G$4)))</f>
        <v/>
      </c>
    </row>
    <row r="52" spans="1:23" ht="15" customHeight="1" x14ac:dyDescent="0.2">
      <c r="A52" s="25" t="s">
        <v>37</v>
      </c>
      <c r="B52" s="232" t="s">
        <v>382</v>
      </c>
      <c r="C52" s="180">
        <f>IF(C$9="","",IF(NOT(ISNUMBER(_xll.ciqfunctions.udf.CIQ($D$4, $B52, C$9, $H$4, $E$4, , $F$4, $G$4))),"",_xll.ciqfunctions.udf.CIQ($D$4, $B52, C$9, $H$4, $E$4, , $F$4, $G$4)))</f>
        <v>4.09293</v>
      </c>
      <c r="D52" s="180">
        <f>IF(D$9="","",IF(NOT(ISNUMBER(_xll.ciqfunctions.udf.CIQ($D$4, $B52, D$9, $H$4, $E$4, , $F$4, $G$4))),"",_xll.ciqfunctions.udf.CIQ($D$4, $B52, D$9, $H$4, $E$4, , $F$4, $G$4)))</f>
        <v>4.0606900000000001</v>
      </c>
      <c r="E52" s="180">
        <f>IF(E$9="","",IF(NOT(ISNUMBER(_xll.ciqfunctions.udf.CIQ($D$4, $B52, E$9, $H$4, $E$4, , $F$4, $G$4))),"",_xll.ciqfunctions.udf.CIQ($D$4, $B52, E$9, $H$4, $E$4, , $F$4, $G$4)))</f>
        <v>4.1409200000000004</v>
      </c>
      <c r="F52" s="180">
        <f>IF(F$9="","",IF(NOT(ISNUMBER(_xll.ciqfunctions.udf.CIQ($D$4, $B52, F$9, $H$4, $E$4, , $F$4, $G$4))),"",_xll.ciqfunctions.udf.CIQ($D$4, $B52, F$9, $H$4, $E$4, , $F$4, $G$4)))</f>
        <v>4.1354199999999999</v>
      </c>
      <c r="G52" s="180">
        <f>IF(G$9="","",IF(NOT(ISNUMBER(_xll.ciqfunctions.udf.CIQ($D$4, $B52, G$9, $H$4, $E$4, , $F$4, $G$4))),"",_xll.ciqfunctions.udf.CIQ($D$4, $B52, G$9, $H$4, $E$4, , $F$4, $G$4)))</f>
        <v>4.2122700000000002</v>
      </c>
      <c r="H52" s="180">
        <f>IF(H$9="","",IF(NOT(ISNUMBER(_xll.ciqfunctions.udf.CIQ($D$4, $B52, H$9, $H$4, $E$4, , $F$4, $G$4))),"",_xll.ciqfunctions.udf.CIQ($D$4, $B52, H$9, $H$4, $E$4, , $F$4, $G$4)))</f>
        <v>4.3698800000000002</v>
      </c>
      <c r="I52" s="180">
        <f>IF(I$9="","",IF(NOT(ISNUMBER(_xll.ciqfunctions.udf.CIQ($D$4, $B52, I$9, $H$4, $E$4, , $F$4, $G$4))),"",_xll.ciqfunctions.udf.CIQ($D$4, $B52, I$9, $H$4, $E$4, , $F$4, $G$4)))</f>
        <v>4.5479700000000003</v>
      </c>
      <c r="J52" s="180">
        <f>IF(J$9="","",IF(NOT(ISNUMBER(_xll.ciqfunctions.udf.CIQ($D$4, $B52, J$9, $H$4, $E$4, , $F$4, $G$4))),"",_xll.ciqfunctions.udf.CIQ($D$4, $B52, J$9, $H$4, $E$4, , $F$4, $G$4)))</f>
        <v>4.3948600000000004</v>
      </c>
      <c r="K52" s="180">
        <f>IF(K$9="","",IF(NOT(ISNUMBER(_xll.ciqfunctions.udf.CIQ($D$4, $B52, K$9, $H$4, $E$4, , $F$4, $G$4))),"",_xll.ciqfunctions.udf.CIQ($D$4, $B52, K$9, $H$4, $E$4, , $F$4, $G$4)))</f>
        <v>4.7206299999999999</v>
      </c>
      <c r="L52" s="180">
        <f>IF(L$9="","",IF(NOT(ISNUMBER(_xll.ciqfunctions.udf.CIQ($D$4, $B52, L$9, $H$4, $E$4, , $F$4, $G$4))),"",_xll.ciqfunctions.udf.CIQ($D$4, $B52, L$9, $H$4, $E$4, , $F$4, $G$4)))</f>
        <v>5.149</v>
      </c>
      <c r="M52" s="180" t="str">
        <f>IF(M$9="","",IF(NOT(ISNUMBER(_xll.ciqfunctions.udf.CIQ($D$4, $B52, M$9, $H$4, $E$4, , $F$4, $G$4))),"",_xll.ciqfunctions.udf.CIQ($D$4, $B52, M$9, $H$4, $E$4, , $F$4, $G$4)))</f>
        <v/>
      </c>
      <c r="N52" s="180" t="str">
        <f>IF(N$9="","",IF(NOT(ISNUMBER(_xll.ciqfunctions.udf.CIQ($D$4, $B52, N$9, $H$4, $E$4, , $F$4, $G$4))),"",_xll.ciqfunctions.udf.CIQ($D$4, $B52, N$9, $H$4, $E$4, , $F$4, $G$4)))</f>
        <v/>
      </c>
      <c r="O52" s="180" t="str">
        <f>IF(O$9="","",IF(NOT(ISNUMBER(_xll.ciqfunctions.udf.CIQ($D$4, $B52, O$9, $H$4, $E$4, , $F$4, $G$4))),"",_xll.ciqfunctions.udf.CIQ($D$4, $B52, O$9, $H$4, $E$4, , $F$4, $G$4)))</f>
        <v/>
      </c>
      <c r="P52" s="180" t="str">
        <f>IF(P$9="","",IF(NOT(ISNUMBER(_xll.ciqfunctions.udf.CIQ($D$4, $B52, P$9, $H$4, $E$4, , $F$4, $G$4))),"",_xll.ciqfunctions.udf.CIQ($D$4, $B52, P$9, $H$4, $E$4, , $F$4, $G$4)))</f>
        <v/>
      </c>
      <c r="Q52" s="180" t="str">
        <f>IF(Q$9="","",IF(NOT(ISNUMBER(_xll.ciqfunctions.udf.CIQ($D$4, $B52, Q$9, $H$4, $E$4, , $F$4, $G$4))),"",_xll.ciqfunctions.udf.CIQ($D$4, $B52, Q$9, $H$4, $E$4, , $F$4, $G$4)))</f>
        <v/>
      </c>
      <c r="R52" s="180" t="str">
        <f>IF(R$9="","",IF(NOT(ISNUMBER(_xll.ciqfunctions.udf.CIQ($D$4, $B52, R$9, $H$4, $E$4, , $F$4, $G$4))),"",_xll.ciqfunctions.udf.CIQ($D$4, $B52, R$9, $H$4, $E$4, , $F$4, $G$4)))</f>
        <v/>
      </c>
      <c r="S52" s="180" t="str">
        <f>IF(S$9="","",IF(NOT(ISNUMBER(_xll.ciqfunctions.udf.CIQ($D$4, $B52, S$9, $H$4, $E$4, , $F$4, $G$4))),"",_xll.ciqfunctions.udf.CIQ($D$4, $B52, S$9, $H$4, $E$4, , $F$4, $G$4)))</f>
        <v/>
      </c>
      <c r="T52" s="180" t="str">
        <f>IF(T$9="","",IF(NOT(ISNUMBER(_xll.ciqfunctions.udf.CIQ($D$4, $B52, T$9, $H$4, $E$4, , $F$4, $G$4))),"",_xll.ciqfunctions.udf.CIQ($D$4, $B52, T$9, $H$4, $E$4, , $F$4, $G$4)))</f>
        <v/>
      </c>
      <c r="U52" s="180" t="str">
        <f>IF(U$9="","",IF(NOT(ISNUMBER(_xll.ciqfunctions.udf.CIQ($D$4, $B52, U$9, $H$4, $E$4, , $F$4, $G$4))),"",_xll.ciqfunctions.udf.CIQ($D$4, $B52, U$9, $H$4, $E$4, , $F$4, $G$4)))</f>
        <v/>
      </c>
      <c r="V52" s="180" t="str">
        <f>IF(V$9="","",IF(NOT(ISNUMBER(_xll.ciqfunctions.udf.CIQ($D$4, $B52, V$9, $H$4, $E$4, , $F$4, $G$4))),"",_xll.ciqfunctions.udf.CIQ($D$4, $B52, V$9, $H$4, $E$4, , $F$4, $G$4)))</f>
        <v/>
      </c>
      <c r="W52" s="180" t="str">
        <f>IF(W$9="","",IF(NOT(ISNUMBER(_xll.ciqfunctions.udf.CIQ($D$4, $B52, W$9, $H$4, $E$4, , $F$4, $G$4))),"",_xll.ciqfunctions.udf.CIQ($D$4, $B52, W$9, $H$4, $E$4, , $F$4, $G$4)))</f>
        <v/>
      </c>
    </row>
    <row r="53" spans="1:23" ht="15" customHeight="1" x14ac:dyDescent="0.2">
      <c r="A53" s="25" t="s">
        <v>44</v>
      </c>
      <c r="B53" s="232" t="s">
        <v>383</v>
      </c>
      <c r="C53" s="180">
        <f>IF(C$9="","",IF(NOT(ISNUMBER(_xll.ciqfunctions.udf.CIQ($D$4, $B53, C$9, $H$4, $E$4, , $F$4, $G$4))),"",_xll.ciqfunctions.udf.CIQ($D$4, $B53, C$9, $H$4, $E$4, , $F$4, $G$4)))</f>
        <v>8.3367100000000001</v>
      </c>
      <c r="D53" s="180">
        <f>IF(D$9="","",IF(NOT(ISNUMBER(_xll.ciqfunctions.udf.CIQ($D$4, $B53, D$9, $H$4, $E$4, , $F$4, $G$4))),"",_xll.ciqfunctions.udf.CIQ($D$4, $B53, D$9, $H$4, $E$4, , $F$4, $G$4)))</f>
        <v>8.0772600000000008</v>
      </c>
      <c r="E53" s="180">
        <f>IF(E$9="","",IF(NOT(ISNUMBER(_xll.ciqfunctions.udf.CIQ($D$4, $B53, E$9, $H$4, $E$4, , $F$4, $G$4))),"",_xll.ciqfunctions.udf.CIQ($D$4, $B53, E$9, $H$4, $E$4, , $F$4, $G$4)))</f>
        <v>8.1131100000000007</v>
      </c>
      <c r="F53" s="180">
        <f>IF(F$9="","",IF(NOT(ISNUMBER(_xll.ciqfunctions.udf.CIQ($D$4, $B53, F$9, $H$4, $E$4, , $F$4, $G$4))),"",_xll.ciqfunctions.udf.CIQ($D$4, $B53, F$9, $H$4, $E$4, , $F$4, $G$4)))</f>
        <v>8.0567799999999998</v>
      </c>
      <c r="G53" s="180">
        <f>IF(G$9="","",IF(NOT(ISNUMBER(_xll.ciqfunctions.udf.CIQ($D$4, $B53, G$9, $H$4, $E$4, , $F$4, $G$4))),"",_xll.ciqfunctions.udf.CIQ($D$4, $B53, G$9, $H$4, $E$4, , $F$4, $G$4)))</f>
        <v>8.2558600000000002</v>
      </c>
      <c r="H53" s="180">
        <f>IF(H$9="","",IF(NOT(ISNUMBER(_xll.ciqfunctions.udf.CIQ($D$4, $B53, H$9, $H$4, $E$4, , $F$4, $G$4))),"",_xll.ciqfunctions.udf.CIQ($D$4, $B53, H$9, $H$4, $E$4, , $F$4, $G$4)))</f>
        <v>8.6007200000000008</v>
      </c>
      <c r="I53" s="180">
        <f>IF(I$9="","",IF(NOT(ISNUMBER(_xll.ciqfunctions.udf.CIQ($D$4, $B53, I$9, $H$4, $E$4, , $F$4, $G$4))),"",_xll.ciqfunctions.udf.CIQ($D$4, $B53, I$9, $H$4, $E$4, , $F$4, $G$4)))</f>
        <v>8.7516700000000007</v>
      </c>
      <c r="J53" s="180">
        <f>IF(J$9="","",IF(NOT(ISNUMBER(_xll.ciqfunctions.udf.CIQ($D$4, $B53, J$9, $H$4, $E$4, , $F$4, $G$4))),"",_xll.ciqfunctions.udf.CIQ($D$4, $B53, J$9, $H$4, $E$4, , $F$4, $G$4)))</f>
        <v>8.8971199999999993</v>
      </c>
      <c r="K53" s="180">
        <f>IF(K$9="","",IF(NOT(ISNUMBER(_xll.ciqfunctions.udf.CIQ($D$4, $B53, K$9, $H$4, $E$4, , $F$4, $G$4))),"",_xll.ciqfunctions.udf.CIQ($D$4, $B53, K$9, $H$4, $E$4, , $F$4, $G$4)))</f>
        <v>9.4047000000000001</v>
      </c>
      <c r="L53" s="180">
        <f>IF(L$9="","",IF(NOT(ISNUMBER(_xll.ciqfunctions.udf.CIQ($D$4, $B53, L$9, $H$4, $E$4, , $F$4, $G$4))),"",_xll.ciqfunctions.udf.CIQ($D$4, $B53, L$9, $H$4, $E$4, , $F$4, $G$4)))</f>
        <v>8.4565300000000008</v>
      </c>
      <c r="M53" s="180" t="str">
        <f>IF(M$9="","",IF(NOT(ISNUMBER(_xll.ciqfunctions.udf.CIQ($D$4, $B53, M$9, $H$4, $E$4, , $F$4, $G$4))),"",_xll.ciqfunctions.udf.CIQ($D$4, $B53, M$9, $H$4, $E$4, , $F$4, $G$4)))</f>
        <v/>
      </c>
      <c r="N53" s="180" t="str">
        <f>IF(N$9="","",IF(NOT(ISNUMBER(_xll.ciqfunctions.udf.CIQ($D$4, $B53, N$9, $H$4, $E$4, , $F$4, $G$4))),"",_xll.ciqfunctions.udf.CIQ($D$4, $B53, N$9, $H$4, $E$4, , $F$4, $G$4)))</f>
        <v/>
      </c>
      <c r="O53" s="180" t="str">
        <f>IF(O$9="","",IF(NOT(ISNUMBER(_xll.ciqfunctions.udf.CIQ($D$4, $B53, O$9, $H$4, $E$4, , $F$4, $G$4))),"",_xll.ciqfunctions.udf.CIQ($D$4, $B53, O$9, $H$4, $E$4, , $F$4, $G$4)))</f>
        <v/>
      </c>
      <c r="P53" s="180" t="str">
        <f>IF(P$9="","",IF(NOT(ISNUMBER(_xll.ciqfunctions.udf.CIQ($D$4, $B53, P$9, $H$4, $E$4, , $F$4, $G$4))),"",_xll.ciqfunctions.udf.CIQ($D$4, $B53, P$9, $H$4, $E$4, , $F$4, $G$4)))</f>
        <v/>
      </c>
      <c r="Q53" s="180" t="str">
        <f>IF(Q$9="","",IF(NOT(ISNUMBER(_xll.ciqfunctions.udf.CIQ($D$4, $B53, Q$9, $H$4, $E$4, , $F$4, $G$4))),"",_xll.ciqfunctions.udf.CIQ($D$4, $B53, Q$9, $H$4, $E$4, , $F$4, $G$4)))</f>
        <v/>
      </c>
      <c r="R53" s="180" t="str">
        <f>IF(R$9="","",IF(NOT(ISNUMBER(_xll.ciqfunctions.udf.CIQ($D$4, $B53, R$9, $H$4, $E$4, , $F$4, $G$4))),"",_xll.ciqfunctions.udf.CIQ($D$4, $B53, R$9, $H$4, $E$4, , $F$4, $G$4)))</f>
        <v/>
      </c>
      <c r="S53" s="180" t="str">
        <f>IF(S$9="","",IF(NOT(ISNUMBER(_xll.ciqfunctions.udf.CIQ($D$4, $B53, S$9, $H$4, $E$4, , $F$4, $G$4))),"",_xll.ciqfunctions.udf.CIQ($D$4, $B53, S$9, $H$4, $E$4, , $F$4, $G$4)))</f>
        <v/>
      </c>
      <c r="T53" s="180" t="str">
        <f>IF(T$9="","",IF(NOT(ISNUMBER(_xll.ciqfunctions.udf.CIQ($D$4, $B53, T$9, $H$4, $E$4, , $F$4, $G$4))),"",_xll.ciqfunctions.udf.CIQ($D$4, $B53, T$9, $H$4, $E$4, , $F$4, $G$4)))</f>
        <v/>
      </c>
      <c r="U53" s="180" t="str">
        <f>IF(U$9="","",IF(NOT(ISNUMBER(_xll.ciqfunctions.udf.CIQ($D$4, $B53, U$9, $H$4, $E$4, , $F$4, $G$4))),"",_xll.ciqfunctions.udf.CIQ($D$4, $B53, U$9, $H$4, $E$4, , $F$4, $G$4)))</f>
        <v/>
      </c>
      <c r="V53" s="180" t="str">
        <f>IF(V$9="","",IF(NOT(ISNUMBER(_xll.ciqfunctions.udf.CIQ($D$4, $B53, V$9, $H$4, $E$4, , $F$4, $G$4))),"",_xll.ciqfunctions.udf.CIQ($D$4, $B53, V$9, $H$4, $E$4, , $F$4, $G$4)))</f>
        <v/>
      </c>
      <c r="W53" s="180" t="str">
        <f>IF(W$9="","",IF(NOT(ISNUMBER(_xll.ciqfunctions.udf.CIQ($D$4, $B53, W$9, $H$4, $E$4, , $F$4, $G$4))),"",_xll.ciqfunctions.udf.CIQ($D$4, $B53, W$9, $H$4, $E$4, , $F$4, $G$4)))</f>
        <v/>
      </c>
    </row>
    <row r="54" spans="1:23" ht="15" customHeight="1" x14ac:dyDescent="0.2">
      <c r="A54" s="25" t="s">
        <v>46</v>
      </c>
      <c r="B54" s="232" t="s">
        <v>384</v>
      </c>
      <c r="C54" s="180">
        <f>IF(C$9="","",IF(NOT(ISNUMBER(_xll.ciqfunctions.udf.CIQ($D$4, $B54, C$9, $H$4, $E$4, , $F$4, $G$4))),"",_xll.ciqfunctions.udf.CIQ($D$4, $B54, C$9, $H$4, $E$4, , $F$4, $G$4)))</f>
        <v>73.774259999999998</v>
      </c>
      <c r="D54" s="180">
        <f>IF(D$9="","",IF(NOT(ISNUMBER(_xll.ciqfunctions.udf.CIQ($D$4, $B54, D$9, $H$4, $E$4, , $F$4, $G$4))),"",_xll.ciqfunctions.udf.CIQ($D$4, $B54, D$9, $H$4, $E$4, , $F$4, $G$4)))</f>
        <v>70.850729999999999</v>
      </c>
      <c r="E54" s="180">
        <f>IF(E$9="","",IF(NOT(ISNUMBER(_xll.ciqfunctions.udf.CIQ($D$4, $B54, E$9, $H$4, $E$4, , $F$4, $G$4))),"",_xll.ciqfunctions.udf.CIQ($D$4, $B54, E$9, $H$4, $E$4, , $F$4, $G$4)))</f>
        <v>72.188929999999999</v>
      </c>
      <c r="F54" s="180">
        <f>IF(F$9="","",IF(NOT(ISNUMBER(_xll.ciqfunctions.udf.CIQ($D$4, $B54, F$9, $H$4, $E$4, , $F$4, $G$4))),"",_xll.ciqfunctions.udf.CIQ($D$4, $B54, F$9, $H$4, $E$4, , $F$4, $G$4)))</f>
        <v>77.750360000000001</v>
      </c>
      <c r="G54" s="180">
        <f>IF(G$9="","",IF(NOT(ISNUMBER(_xll.ciqfunctions.udf.CIQ($D$4, $B54, G$9, $H$4, $E$4, , $F$4, $G$4))),"",_xll.ciqfunctions.udf.CIQ($D$4, $B54, G$9, $H$4, $E$4, , $F$4, $G$4)))</f>
        <v>84.801990000000004</v>
      </c>
      <c r="H54" s="180">
        <f>IF(H$9="","",IF(NOT(ISNUMBER(_xll.ciqfunctions.udf.CIQ($D$4, $B54, H$9, $H$4, $E$4, , $F$4, $G$4))),"",_xll.ciqfunctions.udf.CIQ($D$4, $B54, H$9, $H$4, $E$4, , $F$4, $G$4)))</f>
        <v>87.403790000000001</v>
      </c>
      <c r="I54" s="180">
        <f>IF(I$9="","",IF(NOT(ISNUMBER(_xll.ciqfunctions.udf.CIQ($D$4, $B54, I$9, $H$4, $E$4, , $F$4, $G$4))),"",_xll.ciqfunctions.udf.CIQ($D$4, $B54, I$9, $H$4, $E$4, , $F$4, $G$4)))</f>
        <v>86.476420000000005</v>
      </c>
      <c r="J54" s="180">
        <f>IF(J$9="","",IF(NOT(ISNUMBER(_xll.ciqfunctions.udf.CIQ($D$4, $B54, J$9, $H$4, $E$4, , $F$4, $G$4))),"",_xll.ciqfunctions.udf.CIQ($D$4, $B54, J$9, $H$4, $E$4, , $F$4, $G$4)))</f>
        <v>83.387280000000004</v>
      </c>
      <c r="K54" s="180">
        <f>IF(K$9="","",IF(NOT(ISNUMBER(_xll.ciqfunctions.udf.CIQ($D$4, $B54, K$9, $H$4, $E$4, , $F$4, $G$4))),"",_xll.ciqfunctions.udf.CIQ($D$4, $B54, K$9, $H$4, $E$4, , $F$4, $G$4)))</f>
        <v>87.367339999999999</v>
      </c>
      <c r="L54" s="180">
        <f>IF(L$9="","",IF(NOT(ISNUMBER(_xll.ciqfunctions.udf.CIQ($D$4, $B54, L$9, $H$4, $E$4, , $F$4, $G$4))),"",_xll.ciqfunctions.udf.CIQ($D$4, $B54, L$9, $H$4, $E$4, , $F$4, $G$4)))</f>
        <v>77.420109999999994</v>
      </c>
      <c r="M54" s="180" t="str">
        <f>IF(M$9="","",IF(NOT(ISNUMBER(_xll.ciqfunctions.udf.CIQ($D$4, $B54, M$9, $H$4, $E$4, , $F$4, $G$4))),"",_xll.ciqfunctions.udf.CIQ($D$4, $B54, M$9, $H$4, $E$4, , $F$4, $G$4)))</f>
        <v/>
      </c>
      <c r="N54" s="180" t="str">
        <f>IF(N$9="","",IF(NOT(ISNUMBER(_xll.ciqfunctions.udf.CIQ($D$4, $B54, N$9, $H$4, $E$4, , $F$4, $G$4))),"",_xll.ciqfunctions.udf.CIQ($D$4, $B54, N$9, $H$4, $E$4, , $F$4, $G$4)))</f>
        <v/>
      </c>
      <c r="O54" s="180" t="str">
        <f>IF(O$9="","",IF(NOT(ISNUMBER(_xll.ciqfunctions.udf.CIQ($D$4, $B54, O$9, $H$4, $E$4, , $F$4, $G$4))),"",_xll.ciqfunctions.udf.CIQ($D$4, $B54, O$9, $H$4, $E$4, , $F$4, $G$4)))</f>
        <v/>
      </c>
      <c r="P54" s="180" t="str">
        <f>IF(P$9="","",IF(NOT(ISNUMBER(_xll.ciqfunctions.udf.CIQ($D$4, $B54, P$9, $H$4, $E$4, , $F$4, $G$4))),"",_xll.ciqfunctions.udf.CIQ($D$4, $B54, P$9, $H$4, $E$4, , $F$4, $G$4)))</f>
        <v/>
      </c>
      <c r="Q54" s="180" t="str">
        <f>IF(Q$9="","",IF(NOT(ISNUMBER(_xll.ciqfunctions.udf.CIQ($D$4, $B54, Q$9, $H$4, $E$4, , $F$4, $G$4))),"",_xll.ciqfunctions.udf.CIQ($D$4, $B54, Q$9, $H$4, $E$4, , $F$4, $G$4)))</f>
        <v/>
      </c>
      <c r="R54" s="180" t="str">
        <f>IF(R$9="","",IF(NOT(ISNUMBER(_xll.ciqfunctions.udf.CIQ($D$4, $B54, R$9, $H$4, $E$4, , $F$4, $G$4))),"",_xll.ciqfunctions.udf.CIQ($D$4, $B54, R$9, $H$4, $E$4, , $F$4, $G$4)))</f>
        <v/>
      </c>
      <c r="S54" s="180" t="str">
        <f>IF(S$9="","",IF(NOT(ISNUMBER(_xll.ciqfunctions.udf.CIQ($D$4, $B54, S$9, $H$4, $E$4, , $F$4, $G$4))),"",_xll.ciqfunctions.udf.CIQ($D$4, $B54, S$9, $H$4, $E$4, , $F$4, $G$4)))</f>
        <v/>
      </c>
      <c r="T54" s="180" t="str">
        <f>IF(T$9="","",IF(NOT(ISNUMBER(_xll.ciqfunctions.udf.CIQ($D$4, $B54, T$9, $H$4, $E$4, , $F$4, $G$4))),"",_xll.ciqfunctions.udf.CIQ($D$4, $B54, T$9, $H$4, $E$4, , $F$4, $G$4)))</f>
        <v/>
      </c>
      <c r="U54" s="180" t="str">
        <f>IF(U$9="","",IF(NOT(ISNUMBER(_xll.ciqfunctions.udf.CIQ($D$4, $B54, U$9, $H$4, $E$4, , $F$4, $G$4))),"",_xll.ciqfunctions.udf.CIQ($D$4, $B54, U$9, $H$4, $E$4, , $F$4, $G$4)))</f>
        <v/>
      </c>
      <c r="V54" s="180" t="str">
        <f>IF(V$9="","",IF(NOT(ISNUMBER(_xll.ciqfunctions.udf.CIQ($D$4, $B54, V$9, $H$4, $E$4, , $F$4, $G$4))),"",_xll.ciqfunctions.udf.CIQ($D$4, $B54, V$9, $H$4, $E$4, , $F$4, $G$4)))</f>
        <v/>
      </c>
      <c r="W54" s="180" t="str">
        <f>IF(W$9="","",IF(NOT(ISNUMBER(_xll.ciqfunctions.udf.CIQ($D$4, $B54, W$9, $H$4, $E$4, , $F$4, $G$4))),"",_xll.ciqfunctions.udf.CIQ($D$4, $B54, W$9, $H$4, $E$4, , $F$4, $G$4)))</f>
        <v/>
      </c>
    </row>
    <row r="55" spans="1:23" ht="15" customHeight="1" x14ac:dyDescent="0.2">
      <c r="B55" s="232"/>
      <c r="C55" s="178"/>
      <c r="D55" s="178"/>
      <c r="E55" s="178"/>
      <c r="F55" s="178"/>
      <c r="G55" s="178"/>
      <c r="H55" s="178"/>
      <c r="I55" s="178"/>
      <c r="J55" s="178"/>
      <c r="K55" s="178"/>
      <c r="L55" s="178"/>
      <c r="M55" s="178"/>
      <c r="N55" s="178"/>
      <c r="O55" s="178"/>
      <c r="P55" s="178"/>
      <c r="Q55" s="178"/>
      <c r="R55" s="178"/>
      <c r="S55" s="178"/>
      <c r="T55" s="178"/>
      <c r="U55" s="178"/>
      <c r="V55" s="178"/>
      <c r="W55" s="178"/>
    </row>
    <row r="56" spans="1:23" ht="15" customHeight="1" x14ac:dyDescent="0.2">
      <c r="A56" s="916" t="s">
        <v>45</v>
      </c>
      <c r="B56" s="925"/>
      <c r="C56" s="879"/>
      <c r="D56" s="879"/>
      <c r="E56" s="879"/>
      <c r="F56" s="879"/>
      <c r="G56" s="879"/>
      <c r="H56" s="879"/>
      <c r="I56" s="879"/>
      <c r="J56" s="879"/>
      <c r="K56" s="879"/>
      <c r="L56" s="879"/>
      <c r="M56" s="879"/>
      <c r="N56" s="879"/>
      <c r="O56" s="879"/>
      <c r="P56" s="879"/>
      <c r="Q56" s="879"/>
      <c r="R56" s="879"/>
      <c r="S56" s="879"/>
      <c r="T56" s="879"/>
      <c r="U56" s="879"/>
      <c r="V56" s="879"/>
      <c r="W56" s="879"/>
    </row>
    <row r="57" spans="1:23" ht="15" customHeight="1" x14ac:dyDescent="0.2">
      <c r="A57" s="25" t="s">
        <v>54</v>
      </c>
      <c r="B57" s="232" t="s">
        <v>385</v>
      </c>
      <c r="C57" s="178">
        <f>IF(C$9="","",IF(NOT(ISNUMBER(_xll.ciqfunctions.udf.CIQ($D$4, $B57, C$9, $H$4, $E$4, , $F$4, $G$4))),"",_xll.ciqfunctions.udf.CIQ($D$4, $B57, C$9, $H$4, $E$4, , $F$4, $G$4)))</f>
        <v>4.9607599999999996</v>
      </c>
      <c r="D57" s="178">
        <f>IF(D$9="","",IF(NOT(ISNUMBER(_xll.ciqfunctions.udf.CIQ($D$4, $B57, D$9, $H$4, $E$4, , $F$4, $G$4))),"",_xll.ciqfunctions.udf.CIQ($D$4, $B57, D$9, $H$4, $E$4, , $F$4, $G$4)))</f>
        <v>5.1516099999999998</v>
      </c>
      <c r="E57" s="178">
        <f>IF(E$9="","",IF(NOT(ISNUMBER(_xll.ciqfunctions.udf.CIQ($D$4, $B57, E$9, $H$4, $E$4, , $F$4, $G$4))),"",_xll.ciqfunctions.udf.CIQ($D$4, $B57, E$9, $H$4, $E$4, , $F$4, $G$4)))</f>
        <v>5.0559799999999999</v>
      </c>
      <c r="F57" s="178">
        <f>IF(F$9="","",IF(NOT(ISNUMBER(_xll.ciqfunctions.udf.CIQ($D$4, $B57, F$9, $H$4, $E$4, , $F$4, $G$4))),"",_xll.ciqfunctions.udf.CIQ($D$4, $B57, F$9, $H$4, $E$4, , $F$4, $G$4)))</f>
        <v>4.6942700000000004</v>
      </c>
      <c r="G57" s="178">
        <f>IF(G$9="","",IF(NOT(ISNUMBER(_xll.ciqfunctions.udf.CIQ($D$4, $B57, G$9, $H$4, $E$4, , $F$4, $G$4))),"",_xll.ciqfunctions.udf.CIQ($D$4, $B57, G$9, $H$4, $E$4, , $F$4, $G$4)))</f>
        <v>4.3158700000000003</v>
      </c>
      <c r="H57" s="178">
        <f>IF(H$9="","",IF(NOT(ISNUMBER(_xll.ciqfunctions.udf.CIQ($D$4, $B57, H$9, $H$4, $E$4, , $F$4, $G$4))),"",_xll.ciqfunctions.udf.CIQ($D$4, $B57, H$9, $H$4, $E$4, , $F$4, $G$4)))</f>
        <v>4.1759700000000004</v>
      </c>
      <c r="I57" s="178">
        <f>IF(I$9="","",IF(NOT(ISNUMBER(_xll.ciqfunctions.udf.CIQ($D$4, $B57, I$9, $H$4, $E$4, , $F$4, $G$4))),"",_xll.ciqfunctions.udf.CIQ($D$4, $B57, I$9, $H$4, $E$4, , $F$4, $G$4)))</f>
        <v>4.2205000000000004</v>
      </c>
      <c r="J57" s="178">
        <f>IF(J$9="","",IF(NOT(ISNUMBER(_xll.ciqfunctions.udf.CIQ($D$4, $B57, J$9, $H$4, $E$4, , $F$4, $G$4))),"",_xll.ciqfunctions.udf.CIQ($D$4, $B57, J$9, $H$4, $E$4, , $F$4, $G$4)))</f>
        <v>4.3770800000000003</v>
      </c>
      <c r="K57" s="178">
        <f>IF(K$9="","",IF(NOT(ISNUMBER(_xll.ciqfunctions.udf.CIQ($D$4, $B57, K$9, $H$4, $E$4, , $F$4, $G$4))),"",_xll.ciqfunctions.udf.CIQ($D$4, $B57, K$9, $H$4, $E$4, , $F$4, $G$4)))</f>
        <v>4.1888699999999996</v>
      </c>
      <c r="L57" s="178">
        <f>IF(L$9="","",IF(NOT(ISNUMBER(_xll.ciqfunctions.udf.CIQ($D$4, $B57, L$9, $H$4, $E$4, , $F$4, $G$4))),"",_xll.ciqfunctions.udf.CIQ($D$4, $B57, L$9, $H$4, $E$4, , $F$4, $G$4)))</f>
        <v>4.71434</v>
      </c>
      <c r="M57" s="178" t="str">
        <f>IF(M$9="","",IF(NOT(ISNUMBER(_xll.ciqfunctions.udf.CIQ($D$4, $B57, M$9, $H$4, $E$4, , $F$4, $G$4))),"",_xll.ciqfunctions.udf.CIQ($D$4, $B57, M$9, $H$4, $E$4, , $F$4, $G$4)))</f>
        <v/>
      </c>
      <c r="N57" s="178" t="str">
        <f>IF(N$9="","",IF(NOT(ISNUMBER(_xll.ciqfunctions.udf.CIQ($D$4, $B57, N$9, $H$4, $E$4, , $F$4, $G$4))),"",_xll.ciqfunctions.udf.CIQ($D$4, $B57, N$9, $H$4, $E$4, , $F$4, $G$4)))</f>
        <v/>
      </c>
      <c r="O57" s="178" t="str">
        <f>IF(O$9="","",IF(NOT(ISNUMBER(_xll.ciqfunctions.udf.CIQ($D$4, $B57, O$9, $H$4, $E$4, , $F$4, $G$4))),"",_xll.ciqfunctions.udf.CIQ($D$4, $B57, O$9, $H$4, $E$4, , $F$4, $G$4)))</f>
        <v/>
      </c>
      <c r="P57" s="178" t="str">
        <f>IF(P$9="","",IF(NOT(ISNUMBER(_xll.ciqfunctions.udf.CIQ($D$4, $B57, P$9, $H$4, $E$4, , $F$4, $G$4))),"",_xll.ciqfunctions.udf.CIQ($D$4, $B57, P$9, $H$4, $E$4, , $F$4, $G$4)))</f>
        <v/>
      </c>
      <c r="Q57" s="178" t="str">
        <f>IF(Q$9="","",IF(NOT(ISNUMBER(_xll.ciqfunctions.udf.CIQ($D$4, $B57, Q$9, $H$4, $E$4, , $F$4, $G$4))),"",_xll.ciqfunctions.udf.CIQ($D$4, $B57, Q$9, $H$4, $E$4, , $F$4, $G$4)))</f>
        <v/>
      </c>
      <c r="R57" s="178" t="str">
        <f>IF(R$9="","",IF(NOT(ISNUMBER(_xll.ciqfunctions.udf.CIQ($D$4, $B57, R$9, $H$4, $E$4, , $F$4, $G$4))),"",_xll.ciqfunctions.udf.CIQ($D$4, $B57, R$9, $H$4, $E$4, , $F$4, $G$4)))</f>
        <v/>
      </c>
      <c r="S57" s="178" t="str">
        <f>IF(S$9="","",IF(NOT(ISNUMBER(_xll.ciqfunctions.udf.CIQ($D$4, $B57, S$9, $H$4, $E$4, , $F$4, $G$4))),"",_xll.ciqfunctions.udf.CIQ($D$4, $B57, S$9, $H$4, $E$4, , $F$4, $G$4)))</f>
        <v/>
      </c>
      <c r="T57" s="178" t="str">
        <f>IF(T$9="","",IF(NOT(ISNUMBER(_xll.ciqfunctions.udf.CIQ($D$4, $B57, T$9, $H$4, $E$4, , $F$4, $G$4))),"",_xll.ciqfunctions.udf.CIQ($D$4, $B57, T$9, $H$4, $E$4, , $F$4, $G$4)))</f>
        <v/>
      </c>
      <c r="U57" s="178" t="str">
        <f>IF(U$9="","",IF(NOT(ISNUMBER(_xll.ciqfunctions.udf.CIQ($D$4, $B57, U$9, $H$4, $E$4, , $F$4, $G$4))),"",_xll.ciqfunctions.udf.CIQ($D$4, $B57, U$9, $H$4, $E$4, , $F$4, $G$4)))</f>
        <v/>
      </c>
      <c r="V57" s="178" t="str">
        <f>IF(V$9="","",IF(NOT(ISNUMBER(_xll.ciqfunctions.udf.CIQ($D$4, $B57, V$9, $H$4, $E$4, , $F$4, $G$4))),"",_xll.ciqfunctions.udf.CIQ($D$4, $B57, V$9, $H$4, $E$4, , $F$4, $G$4)))</f>
        <v/>
      </c>
      <c r="W57" s="178" t="str">
        <f>IF(W$9="","",IF(NOT(ISNUMBER(_xll.ciqfunctions.udf.CIQ($D$4, $B57, W$9, $H$4, $E$4, , $F$4, $G$4))),"",_xll.ciqfunctions.udf.CIQ($D$4, $B57, W$9, $H$4, $E$4, , $F$4, $G$4)))</f>
        <v/>
      </c>
    </row>
    <row r="58" spans="1:23" ht="15" customHeight="1" x14ac:dyDescent="0.2">
      <c r="A58" s="25" t="s">
        <v>55</v>
      </c>
      <c r="B58" s="232" t="s">
        <v>386</v>
      </c>
      <c r="C58" s="178">
        <f>IF(C$9="","",IF(NOT(ISNUMBER(_xll.ciqfunctions.udf.CIQ($D$4, $B58, C$9, $H$4, $E$4, , $F$4, $G$4))),"",_xll.ciqfunctions.udf.CIQ($D$4, $B58, C$9, $H$4, $E$4, , $F$4, $G$4)))</f>
        <v>43.902070000000002</v>
      </c>
      <c r="D58" s="178">
        <f>IF(D$9="","",IF(NOT(ISNUMBER(_xll.ciqfunctions.udf.CIQ($D$4, $B58, D$9, $H$4, $E$4, , $F$4, $G$4))),"",_xll.ciqfunctions.udf.CIQ($D$4, $B58, D$9, $H$4, $E$4, , $F$4, $G$4)))</f>
        <v>45.188459999999999</v>
      </c>
      <c r="E58" s="178">
        <f>IF(E$9="","",IF(NOT(ISNUMBER(_xll.ciqfunctions.udf.CIQ($D$4, $B58, E$9, $H$4, $E$4, , $F$4, $G$4))),"",_xll.ciqfunctions.udf.CIQ($D$4, $B58, E$9, $H$4, $E$4, , $F$4, $G$4)))</f>
        <v>44.988810000000001</v>
      </c>
      <c r="F58" s="178">
        <f>IF(F$9="","",IF(NOT(ISNUMBER(_xll.ciqfunctions.udf.CIQ($D$4, $B58, F$9, $H$4, $E$4, , $F$4, $G$4))),"",_xll.ciqfunctions.udf.CIQ($D$4, $B58, F$9, $H$4, $E$4, , $F$4, $G$4)))</f>
        <v>45.303440000000002</v>
      </c>
      <c r="G58" s="178">
        <f>IF(G$9="","",IF(NOT(ISNUMBER(_xll.ciqfunctions.udf.CIQ($D$4, $B58, G$9, $H$4, $E$4, , $F$4, $G$4))),"",_xll.ciqfunctions.udf.CIQ($D$4, $B58, G$9, $H$4, $E$4, , $F$4, $G$4)))</f>
        <v>44.332120000000003</v>
      </c>
      <c r="H58" s="178">
        <f>IF(H$9="","",IF(NOT(ISNUMBER(_xll.ciqfunctions.udf.CIQ($D$4, $B58, H$9, $H$4, $E$4, , $F$4, $G$4))),"",_xll.ciqfunctions.udf.CIQ($D$4, $B58, H$9, $H$4, $E$4, , $F$4, $G$4)))</f>
        <v>42.438189999999999</v>
      </c>
      <c r="I58" s="178">
        <f>IF(I$9="","",IF(NOT(ISNUMBER(_xll.ciqfunctions.udf.CIQ($D$4, $B58, I$9, $H$4, $E$4, , $F$4, $G$4))),"",_xll.ciqfunctions.udf.CIQ($D$4, $B58, I$9, $H$4, $E$4, , $F$4, $G$4)))</f>
        <v>41.706000000000003</v>
      </c>
      <c r="J58" s="178">
        <f>IF(J$9="","",IF(NOT(ISNUMBER(_xll.ciqfunctions.udf.CIQ($D$4, $B58, J$9, $H$4, $E$4, , $F$4, $G$4))),"",_xll.ciqfunctions.udf.CIQ($D$4, $B58, J$9, $H$4, $E$4, , $F$4, $G$4)))</f>
        <v>41.024180000000001</v>
      </c>
      <c r="K58" s="178">
        <f>IF(K$9="","",IF(NOT(ISNUMBER(_xll.ciqfunctions.udf.CIQ($D$4, $B58, K$9, $H$4, $E$4, , $F$4, $G$4))),"",_xll.ciqfunctions.udf.CIQ($D$4, $B58, K$9, $H$4, $E$4, , $F$4, $G$4)))</f>
        <v>38.916409999999999</v>
      </c>
      <c r="L58" s="178">
        <f>IF(L$9="","",IF(NOT(ISNUMBER(_xll.ciqfunctions.udf.CIQ($D$4, $B58, L$9, $H$4, $E$4, , $F$4, $G$4))),"",_xll.ciqfunctions.udf.CIQ($D$4, $B58, L$9, $H$4, $E$4, , $F$4, $G$4)))</f>
        <v>43.161619999999999</v>
      </c>
      <c r="M58" s="178" t="str">
        <f>IF(M$9="","",IF(NOT(ISNUMBER(_xll.ciqfunctions.udf.CIQ($D$4, $B58, M$9, $H$4, $E$4, , $F$4, $G$4))),"",_xll.ciqfunctions.udf.CIQ($D$4, $B58, M$9, $H$4, $E$4, , $F$4, $G$4)))</f>
        <v/>
      </c>
      <c r="N58" s="178" t="str">
        <f>IF(N$9="","",IF(NOT(ISNUMBER(_xll.ciqfunctions.udf.CIQ($D$4, $B58, N$9, $H$4, $E$4, , $F$4, $G$4))),"",_xll.ciqfunctions.udf.CIQ($D$4, $B58, N$9, $H$4, $E$4, , $F$4, $G$4)))</f>
        <v/>
      </c>
      <c r="O58" s="178" t="str">
        <f>IF(O$9="","",IF(NOT(ISNUMBER(_xll.ciqfunctions.udf.CIQ($D$4, $B58, O$9, $H$4, $E$4, , $F$4, $G$4))),"",_xll.ciqfunctions.udf.CIQ($D$4, $B58, O$9, $H$4, $E$4, , $F$4, $G$4)))</f>
        <v/>
      </c>
      <c r="P58" s="178" t="str">
        <f>IF(P$9="","",IF(NOT(ISNUMBER(_xll.ciqfunctions.udf.CIQ($D$4, $B58, P$9, $H$4, $E$4, , $F$4, $G$4))),"",_xll.ciqfunctions.udf.CIQ($D$4, $B58, P$9, $H$4, $E$4, , $F$4, $G$4)))</f>
        <v/>
      </c>
      <c r="Q58" s="178" t="str">
        <f>IF(Q$9="","",IF(NOT(ISNUMBER(_xll.ciqfunctions.udf.CIQ($D$4, $B58, Q$9, $H$4, $E$4, , $F$4, $G$4))),"",_xll.ciqfunctions.udf.CIQ($D$4, $B58, Q$9, $H$4, $E$4, , $F$4, $G$4)))</f>
        <v/>
      </c>
      <c r="R58" s="178" t="str">
        <f>IF(R$9="","",IF(NOT(ISNUMBER(_xll.ciqfunctions.udf.CIQ($D$4, $B58, R$9, $H$4, $E$4, , $F$4, $G$4))),"",_xll.ciqfunctions.udf.CIQ($D$4, $B58, R$9, $H$4, $E$4, , $F$4, $G$4)))</f>
        <v/>
      </c>
      <c r="S58" s="178" t="str">
        <f>IF(S$9="","",IF(NOT(ISNUMBER(_xll.ciqfunctions.udf.CIQ($D$4, $B58, S$9, $H$4, $E$4, , $F$4, $G$4))),"",_xll.ciqfunctions.udf.CIQ($D$4, $B58, S$9, $H$4, $E$4, , $F$4, $G$4)))</f>
        <v/>
      </c>
      <c r="T58" s="178" t="str">
        <f>IF(T$9="","",IF(NOT(ISNUMBER(_xll.ciqfunctions.udf.CIQ($D$4, $B58, T$9, $H$4, $E$4, , $F$4, $G$4))),"",_xll.ciqfunctions.udf.CIQ($D$4, $B58, T$9, $H$4, $E$4, , $F$4, $G$4)))</f>
        <v/>
      </c>
      <c r="U58" s="178" t="str">
        <f>IF(U$9="","",IF(NOT(ISNUMBER(_xll.ciqfunctions.udf.CIQ($D$4, $B58, U$9, $H$4, $E$4, , $F$4, $G$4))),"",_xll.ciqfunctions.udf.CIQ($D$4, $B58, U$9, $H$4, $E$4, , $F$4, $G$4)))</f>
        <v/>
      </c>
      <c r="V58" s="178" t="str">
        <f>IF(V$9="","",IF(NOT(ISNUMBER(_xll.ciqfunctions.udf.CIQ($D$4, $B58, V$9, $H$4, $E$4, , $F$4, $G$4))),"",_xll.ciqfunctions.udf.CIQ($D$4, $B58, V$9, $H$4, $E$4, , $F$4, $G$4)))</f>
        <v/>
      </c>
      <c r="W58" s="178" t="str">
        <f>IF(W$9="","",IF(NOT(ISNUMBER(_xll.ciqfunctions.udf.CIQ($D$4, $B58, W$9, $H$4, $E$4, , $F$4, $G$4))),"",_xll.ciqfunctions.udf.CIQ($D$4, $B58, W$9, $H$4, $E$4, , $F$4, $G$4)))</f>
        <v/>
      </c>
    </row>
    <row r="59" spans="1:23" ht="15" customHeight="1" x14ac:dyDescent="0.2">
      <c r="A59" s="25" t="s">
        <v>56</v>
      </c>
      <c r="B59" s="232" t="s">
        <v>387</v>
      </c>
      <c r="C59" s="178">
        <f>IF(C$9="","",IF(NOT(ISNUMBER(_xll.ciqfunctions.udf.CIQ($D$4, $B59, C$9, $H$4, $E$4, , $F$4, $G$4))),"",_xll.ciqfunctions.udf.CIQ($D$4, $B59, C$9, $H$4, $E$4, , $F$4, $G$4)))</f>
        <v>38.45928</v>
      </c>
      <c r="D59" s="178">
        <f>IF(D$9="","",IF(NOT(ISNUMBER(_xll.ciqfunctions.udf.CIQ($D$4, $B59, D$9, $H$4, $E$4, , $F$4, $G$4))),"",_xll.ciqfunctions.udf.CIQ($D$4, $B59, D$9, $H$4, $E$4, , $F$4, $G$4)))</f>
        <v>38.364789999999999</v>
      </c>
      <c r="E59" s="178">
        <f>IF(E$9="","",IF(NOT(ISNUMBER(_xll.ciqfunctions.udf.CIQ($D$4, $B59, E$9, $H$4, $E$4, , $F$4, $G$4))),"",_xll.ciqfunctions.udf.CIQ($D$4, $B59, E$9, $H$4, $E$4, , $F$4, $G$4)))</f>
        <v>37.873860000000001</v>
      </c>
      <c r="F59" s="178">
        <f>IF(F$9="","",IF(NOT(ISNUMBER(_xll.ciqfunctions.udf.CIQ($D$4, $B59, F$9, $H$4, $E$4, , $F$4, $G$4))),"",_xll.ciqfunctions.udf.CIQ($D$4, $B59, F$9, $H$4, $E$4, , $F$4, $G$4)))</f>
        <v>38.948419999999999</v>
      </c>
      <c r="G59" s="178">
        <f>IF(G$9="","",IF(NOT(ISNUMBER(_xll.ciqfunctions.udf.CIQ($D$4, $B59, G$9, $H$4, $E$4, , $F$4, $G$4))),"",_xll.ciqfunctions.udf.CIQ($D$4, $B59, G$9, $H$4, $E$4, , $F$4, $G$4)))</f>
        <v>40.644669999999998</v>
      </c>
      <c r="H59" s="178">
        <f>IF(H$9="","",IF(NOT(ISNUMBER(_xll.ciqfunctions.udf.CIQ($D$4, $B59, H$9, $H$4, $E$4, , $F$4, $G$4))),"",_xll.ciqfunctions.udf.CIQ($D$4, $B59, H$9, $H$4, $E$4, , $F$4, $G$4)))</f>
        <v>42.694049999999997</v>
      </c>
      <c r="I59" s="178">
        <f>IF(I$9="","",IF(NOT(ISNUMBER(_xll.ciqfunctions.udf.CIQ($D$4, $B59, I$9, $H$4, $E$4, , $F$4, $G$4))),"",_xll.ciqfunctions.udf.CIQ($D$4, $B59, I$9, $H$4, $E$4, , $F$4, $G$4)))</f>
        <v>44.066090000000003</v>
      </c>
      <c r="J59" s="178">
        <f>IF(J$9="","",IF(NOT(ISNUMBER(_xll.ciqfunctions.udf.CIQ($D$4, $B59, J$9, $H$4, $E$4, , $F$4, $G$4))),"",_xll.ciqfunctions.udf.CIQ($D$4, $B59, J$9, $H$4, $E$4, , $F$4, $G$4)))</f>
        <v>43.470770000000002</v>
      </c>
      <c r="K59" s="178">
        <f>IF(K$9="","",IF(NOT(ISNUMBER(_xll.ciqfunctions.udf.CIQ($D$4, $B59, K$9, $H$4, $E$4, , $F$4, $G$4))),"",_xll.ciqfunctions.udf.CIQ($D$4, $B59, K$9, $H$4, $E$4, , $F$4, $G$4)))</f>
        <v>41.795740000000002</v>
      </c>
      <c r="L59" s="178">
        <f>IF(L$9="","",IF(NOT(ISNUMBER(_xll.ciqfunctions.udf.CIQ($D$4, $B59, L$9, $H$4, $E$4, , $F$4, $G$4))),"",_xll.ciqfunctions.udf.CIQ($D$4, $B59, L$9, $H$4, $E$4, , $F$4, $G$4)))</f>
        <v>43.24776</v>
      </c>
      <c r="M59" s="178" t="str">
        <f>IF(M$9="","",IF(NOT(ISNUMBER(_xll.ciqfunctions.udf.CIQ($D$4, $B59, M$9, $H$4, $E$4, , $F$4, $G$4))),"",_xll.ciqfunctions.udf.CIQ($D$4, $B59, M$9, $H$4, $E$4, , $F$4, $G$4)))</f>
        <v/>
      </c>
      <c r="N59" s="178" t="str">
        <f>IF(N$9="","",IF(NOT(ISNUMBER(_xll.ciqfunctions.udf.CIQ($D$4, $B59, N$9, $H$4, $E$4, , $F$4, $G$4))),"",_xll.ciqfunctions.udf.CIQ($D$4, $B59, N$9, $H$4, $E$4, , $F$4, $G$4)))</f>
        <v/>
      </c>
      <c r="O59" s="178" t="str">
        <f>IF(O$9="","",IF(NOT(ISNUMBER(_xll.ciqfunctions.udf.CIQ($D$4, $B59, O$9, $H$4, $E$4, , $F$4, $G$4))),"",_xll.ciqfunctions.udf.CIQ($D$4, $B59, O$9, $H$4, $E$4, , $F$4, $G$4)))</f>
        <v/>
      </c>
      <c r="P59" s="178" t="str">
        <f>IF(P$9="","",IF(NOT(ISNUMBER(_xll.ciqfunctions.udf.CIQ($D$4, $B59, P$9, $H$4, $E$4, , $F$4, $G$4))),"",_xll.ciqfunctions.udf.CIQ($D$4, $B59, P$9, $H$4, $E$4, , $F$4, $G$4)))</f>
        <v/>
      </c>
      <c r="Q59" s="178" t="str">
        <f>IF(Q$9="","",IF(NOT(ISNUMBER(_xll.ciqfunctions.udf.CIQ($D$4, $B59, Q$9, $H$4, $E$4, , $F$4, $G$4))),"",_xll.ciqfunctions.udf.CIQ($D$4, $B59, Q$9, $H$4, $E$4, , $F$4, $G$4)))</f>
        <v/>
      </c>
      <c r="R59" s="178" t="str">
        <f>IF(R$9="","",IF(NOT(ISNUMBER(_xll.ciqfunctions.udf.CIQ($D$4, $B59, R$9, $H$4, $E$4, , $F$4, $G$4))),"",_xll.ciqfunctions.udf.CIQ($D$4, $B59, R$9, $H$4, $E$4, , $F$4, $G$4)))</f>
        <v/>
      </c>
      <c r="S59" s="178" t="str">
        <f>IF(S$9="","",IF(NOT(ISNUMBER(_xll.ciqfunctions.udf.CIQ($D$4, $B59, S$9, $H$4, $E$4, , $F$4, $G$4))),"",_xll.ciqfunctions.udf.CIQ($D$4, $B59, S$9, $H$4, $E$4, , $F$4, $G$4)))</f>
        <v/>
      </c>
      <c r="T59" s="178" t="str">
        <f>IF(T$9="","",IF(NOT(ISNUMBER(_xll.ciqfunctions.udf.CIQ($D$4, $B59, T$9, $H$4, $E$4, , $F$4, $G$4))),"",_xll.ciqfunctions.udf.CIQ($D$4, $B59, T$9, $H$4, $E$4, , $F$4, $G$4)))</f>
        <v/>
      </c>
      <c r="U59" s="178" t="str">
        <f>IF(U$9="","",IF(NOT(ISNUMBER(_xll.ciqfunctions.udf.CIQ($D$4, $B59, U$9, $H$4, $E$4, , $F$4, $G$4))),"",_xll.ciqfunctions.udf.CIQ($D$4, $B59, U$9, $H$4, $E$4, , $F$4, $G$4)))</f>
        <v/>
      </c>
      <c r="V59" s="178" t="str">
        <f>IF(V$9="","",IF(NOT(ISNUMBER(_xll.ciqfunctions.udf.CIQ($D$4, $B59, V$9, $H$4, $E$4, , $F$4, $G$4))),"",_xll.ciqfunctions.udf.CIQ($D$4, $B59, V$9, $H$4, $E$4, , $F$4, $G$4)))</f>
        <v/>
      </c>
      <c r="W59" s="178" t="str">
        <f>IF(W$9="","",IF(NOT(ISNUMBER(_xll.ciqfunctions.udf.CIQ($D$4, $B59, W$9, $H$4, $E$4, , $F$4, $G$4))),"",_xll.ciqfunctions.udf.CIQ($D$4, $B59, W$9, $H$4, $E$4, , $F$4, $G$4)))</f>
        <v/>
      </c>
    </row>
    <row r="60" spans="1:23" ht="15" customHeight="1" x14ac:dyDescent="0.2">
      <c r="A60" s="25" t="s">
        <v>17</v>
      </c>
      <c r="B60" s="232" t="str">
        <f>"IQ_INVENTORY"</f>
        <v>IQ_INVENTORY</v>
      </c>
      <c r="C60" s="178">
        <f>IF(C$9="","",IF(NOT(ISNUMBER(_xll.ciqfunctions.udf.CIQ($D$4, $B60, C$9, $H$4, $E$4, , $F$4, $G$4))),"",_xll.ciqfunctions.udf.CIQ($D$4, $B60, C$9, $H$4, $E$4, , $F$4, $G$4)))</f>
        <v>43803</v>
      </c>
      <c r="D60" s="178">
        <f>IF(D$9="","",IF(NOT(ISNUMBER(_xll.ciqfunctions.udf.CIQ($D$4, $B60, D$9, $H$4, $E$4, , $F$4, $G$4))),"",_xll.ciqfunctions.udf.CIQ($D$4, $B60, D$9, $H$4, $E$4, , $F$4, $G$4)))</f>
        <v>44858</v>
      </c>
      <c r="E60" s="178">
        <f>IF(E$9="","",IF(NOT(ISNUMBER(_xll.ciqfunctions.udf.CIQ($D$4, $B60, E$9, $H$4, $E$4, , $F$4, $G$4))),"",_xll.ciqfunctions.udf.CIQ($D$4, $B60, E$9, $H$4, $E$4, , $F$4, $G$4)))</f>
        <v>45141</v>
      </c>
      <c r="F60" s="178">
        <f>IF(F$9="","",IF(NOT(ISNUMBER(_xll.ciqfunctions.udf.CIQ($D$4, $B60, F$9, $H$4, $E$4, , $F$4, $G$4))),"",_xll.ciqfunctions.udf.CIQ($D$4, $B60, F$9, $H$4, $E$4, , $F$4, $G$4)))</f>
        <v>44469</v>
      </c>
      <c r="G60" s="178">
        <f>IF(G$9="","",IF(NOT(ISNUMBER(_xll.ciqfunctions.udf.CIQ($D$4, $B60, G$9, $H$4, $E$4, , $F$4, $G$4))),"",_xll.ciqfunctions.udf.CIQ($D$4, $B60, G$9, $H$4, $E$4, , $F$4, $G$4)))</f>
        <v>43046</v>
      </c>
      <c r="H60" s="178">
        <f>IF(H$9="","",IF(NOT(ISNUMBER(_xll.ciqfunctions.udf.CIQ($D$4, $B60, H$9, $H$4, $E$4, , $F$4, $G$4))),"",_xll.ciqfunctions.udf.CIQ($D$4, $B60, H$9, $H$4, $E$4, , $F$4, $G$4)))</f>
        <v>43783</v>
      </c>
      <c r="I60" s="178">
        <f>IF(I$9="","",IF(NOT(ISNUMBER(_xll.ciqfunctions.udf.CIQ($D$4, $B60, I$9, $H$4, $E$4, , $F$4, $G$4))),"",_xll.ciqfunctions.udf.CIQ($D$4, $B60, I$9, $H$4, $E$4, , $F$4, $G$4)))</f>
        <v>44269</v>
      </c>
      <c r="J60" s="178">
        <f>IF(J$9="","",IF(NOT(ISNUMBER(_xll.ciqfunctions.udf.CIQ($D$4, $B60, J$9, $H$4, $E$4, , $F$4, $G$4))),"",_xll.ciqfunctions.udf.CIQ($D$4, $B60, J$9, $H$4, $E$4, , $F$4, $G$4)))</f>
        <v>44435</v>
      </c>
      <c r="K60" s="178">
        <f>IF(K$9="","",IF(NOT(ISNUMBER(_xll.ciqfunctions.udf.CIQ($D$4, $B60, K$9, $H$4, $E$4, , $F$4, $G$4))),"",_xll.ciqfunctions.udf.CIQ($D$4, $B60, K$9, $H$4, $E$4, , $F$4, $G$4)))</f>
        <v>44949</v>
      </c>
      <c r="L60" s="178">
        <f>IF(L$9="","",IF(NOT(ISNUMBER(_xll.ciqfunctions.udf.CIQ($D$4, $B60, L$9, $H$4, $E$4, , $F$4, $G$4))),"",_xll.ciqfunctions.udf.CIQ($D$4, $B60, L$9, $H$4, $E$4, , $F$4, $G$4)))</f>
        <v>56511</v>
      </c>
      <c r="M60" s="178" t="str">
        <f>IF(M$9="","",IF(NOT(ISNUMBER(_xll.ciqfunctions.udf.CIQ($D$4, $B60, M$9, $H$4, $E$4, , $F$4, $G$4))),"",_xll.ciqfunctions.udf.CIQ($D$4, $B60, M$9, $H$4, $E$4, , $F$4, $G$4)))</f>
        <v/>
      </c>
      <c r="N60" s="178" t="str">
        <f>IF(N$9="","",IF(NOT(ISNUMBER(_xll.ciqfunctions.udf.CIQ($D$4, $B60, N$9, $H$4, $E$4, , $F$4, $G$4))),"",_xll.ciqfunctions.udf.CIQ($D$4, $B60, N$9, $H$4, $E$4, , $F$4, $G$4)))</f>
        <v/>
      </c>
      <c r="O60" s="178" t="str">
        <f>IF(O$9="","",IF(NOT(ISNUMBER(_xll.ciqfunctions.udf.CIQ($D$4, $B60, O$9, $H$4, $E$4, , $F$4, $G$4))),"",_xll.ciqfunctions.udf.CIQ($D$4, $B60, O$9, $H$4, $E$4, , $F$4, $G$4)))</f>
        <v/>
      </c>
      <c r="P60" s="178" t="str">
        <f>IF(P$9="","",IF(NOT(ISNUMBER(_xll.ciqfunctions.udf.CIQ($D$4, $B60, P$9, $H$4, $E$4, , $F$4, $G$4))),"",_xll.ciqfunctions.udf.CIQ($D$4, $B60, P$9, $H$4, $E$4, , $F$4, $G$4)))</f>
        <v/>
      </c>
      <c r="Q60" s="178" t="str">
        <f>IF(Q$9="","",IF(NOT(ISNUMBER(_xll.ciqfunctions.udf.CIQ($D$4, $B60, Q$9, $H$4, $E$4, , $F$4, $G$4))),"",_xll.ciqfunctions.udf.CIQ($D$4, $B60, Q$9, $H$4, $E$4, , $F$4, $G$4)))</f>
        <v/>
      </c>
      <c r="R60" s="178" t="str">
        <f>IF(R$9="","",IF(NOT(ISNUMBER(_xll.ciqfunctions.udf.CIQ($D$4, $B60, R$9, $H$4, $E$4, , $F$4, $G$4))),"",_xll.ciqfunctions.udf.CIQ($D$4, $B60, R$9, $H$4, $E$4, , $F$4, $G$4)))</f>
        <v/>
      </c>
      <c r="S60" s="178" t="str">
        <f>IF(S$9="","",IF(NOT(ISNUMBER(_xll.ciqfunctions.udf.CIQ($D$4, $B60, S$9, $H$4, $E$4, , $F$4, $G$4))),"",_xll.ciqfunctions.udf.CIQ($D$4, $B60, S$9, $H$4, $E$4, , $F$4, $G$4)))</f>
        <v/>
      </c>
      <c r="T60" s="178" t="str">
        <f>IF(T$9="","",IF(NOT(ISNUMBER(_xll.ciqfunctions.udf.CIQ($D$4, $B60, T$9, $H$4, $E$4, , $F$4, $G$4))),"",_xll.ciqfunctions.udf.CIQ($D$4, $B60, T$9, $H$4, $E$4, , $F$4, $G$4)))</f>
        <v/>
      </c>
      <c r="U60" s="178" t="str">
        <f>IF(U$9="","",IF(NOT(ISNUMBER(_xll.ciqfunctions.udf.CIQ($D$4, $B60, U$9, $H$4, $E$4, , $F$4, $G$4))),"",_xll.ciqfunctions.udf.CIQ($D$4, $B60, U$9, $H$4, $E$4, , $F$4, $G$4)))</f>
        <v/>
      </c>
      <c r="V60" s="178" t="str">
        <f>IF(V$9="","",IF(NOT(ISNUMBER(_xll.ciqfunctions.udf.CIQ($D$4, $B60, V$9, $H$4, $E$4, , $F$4, $G$4))),"",_xll.ciqfunctions.udf.CIQ($D$4, $B60, V$9, $H$4, $E$4, , $F$4, $G$4)))</f>
        <v/>
      </c>
      <c r="W60" s="178" t="str">
        <f>IF(W$9="","",IF(NOT(ISNUMBER(_xll.ciqfunctions.udf.CIQ($D$4, $B60, W$9, $H$4, $E$4, , $F$4, $G$4))),"",_xll.ciqfunctions.udf.CIQ($D$4, $B60, W$9, $H$4, $E$4, , $F$4, $G$4)))</f>
        <v/>
      </c>
    </row>
    <row r="61" spans="1:23" ht="15" customHeight="1" x14ac:dyDescent="0.2">
      <c r="B61" s="232"/>
      <c r="C61" s="178"/>
      <c r="D61" s="178"/>
      <c r="E61" s="178"/>
      <c r="F61" s="178"/>
      <c r="G61" s="178"/>
      <c r="H61" s="178"/>
      <c r="I61" s="178"/>
      <c r="J61" s="178"/>
      <c r="K61" s="178"/>
      <c r="L61" s="178"/>
      <c r="M61" s="178"/>
      <c r="N61" s="178"/>
      <c r="O61" s="178"/>
      <c r="P61" s="178"/>
      <c r="Q61" s="178"/>
      <c r="R61" s="178"/>
      <c r="S61" s="178"/>
      <c r="T61" s="178"/>
      <c r="U61" s="178"/>
      <c r="V61" s="178"/>
      <c r="W61" s="178"/>
    </row>
    <row r="62" spans="1:23" ht="15" customHeight="1" x14ac:dyDescent="0.2">
      <c r="A62" s="916" t="s">
        <v>52</v>
      </c>
      <c r="B62" s="925"/>
      <c r="C62" s="879"/>
      <c r="D62" s="879"/>
      <c r="E62" s="879"/>
      <c r="F62" s="879"/>
      <c r="G62" s="879"/>
      <c r="H62" s="879"/>
      <c r="I62" s="879"/>
      <c r="J62" s="879"/>
      <c r="K62" s="879"/>
      <c r="L62" s="879"/>
      <c r="M62" s="879"/>
      <c r="N62" s="879"/>
      <c r="O62" s="879"/>
      <c r="P62" s="879"/>
      <c r="Q62" s="879"/>
      <c r="R62" s="879"/>
      <c r="S62" s="879"/>
      <c r="T62" s="879"/>
      <c r="U62" s="879"/>
      <c r="V62" s="879"/>
      <c r="W62" s="879"/>
    </row>
    <row r="63" spans="1:23" ht="15" customHeight="1" x14ac:dyDescent="0.2">
      <c r="A63" s="25" t="s">
        <v>8</v>
      </c>
      <c r="B63" s="232" t="s">
        <v>388</v>
      </c>
      <c r="C63" s="178">
        <f>IF(C$9="","",IF(NOT(ISNUMBER(_xll.ciqfunctions.udf.CIQ($D$4, $B63, C$9, $H$4, $E$4, , $F$4, $G$4))),"",_xll.ciqfunctions.udf.CIQ($D$4, $B63, C$9, $H$4, $E$4, , $F$4, $G$4)))</f>
        <v>6768</v>
      </c>
      <c r="D63" s="178">
        <f>IF(D$9="","",IF(NOT(ISNUMBER(_xll.ciqfunctions.udf.CIQ($D$4, $B63, D$9, $H$4, $E$4, , $F$4, $G$4))),"",_xll.ciqfunctions.udf.CIQ($D$4, $B63, D$9, $H$4, $E$4, , $F$4, $G$4)))</f>
        <v>6677</v>
      </c>
      <c r="E63" s="178">
        <f>IF(E$9="","",IF(NOT(ISNUMBER(_xll.ciqfunctions.udf.CIQ($D$4, $B63, E$9, $H$4, $E$4, , $F$4, $G$4))),"",_xll.ciqfunctions.udf.CIQ($D$4, $B63, E$9, $H$4, $E$4, , $F$4, $G$4)))</f>
        <v>6778</v>
      </c>
      <c r="F63" s="178">
        <f>IF(F$9="","",IF(NOT(ISNUMBER(_xll.ciqfunctions.udf.CIQ($D$4, $B63, F$9, $H$4, $E$4, , $F$4, $G$4))),"",_xll.ciqfunctions.udf.CIQ($D$4, $B63, F$9, $H$4, $E$4, , $F$4, $G$4)))</f>
        <v>5624</v>
      </c>
      <c r="G63" s="178">
        <f>IF(G$9="","",IF(NOT(ISNUMBER(_xll.ciqfunctions.udf.CIQ($D$4, $B63, G$9, $H$4, $E$4, , $F$4, $G$4))),"",_xll.ciqfunctions.udf.CIQ($D$4, $B63, G$9, $H$4, $E$4, , $F$4, $G$4)))</f>
        <v>5835</v>
      </c>
      <c r="H63" s="178">
        <f>IF(H$9="","",IF(NOT(ISNUMBER(_xll.ciqfunctions.udf.CIQ($D$4, $B63, H$9, $H$4, $E$4, , $F$4, $G$4))),"",_xll.ciqfunctions.udf.CIQ($D$4, $B63, H$9, $H$4, $E$4, , $F$4, $G$4)))</f>
        <v>5614</v>
      </c>
      <c r="I63" s="178">
        <f>IF(I$9="","",IF(NOT(ISNUMBER(_xll.ciqfunctions.udf.CIQ($D$4, $B63, I$9, $H$4, $E$4, , $F$4, $G$4))),"",_xll.ciqfunctions.udf.CIQ($D$4, $B63, I$9, $H$4, $E$4, , $F$4, $G$4)))</f>
        <v>6283</v>
      </c>
      <c r="J63" s="178">
        <f>IF(J$9="","",IF(NOT(ISNUMBER(_xll.ciqfunctions.udf.CIQ($D$4, $B63, J$9, $H$4, $E$4, , $F$4, $G$4))),"",_xll.ciqfunctions.udf.CIQ($D$4, $B63, J$9, $H$4, $E$4, , $F$4, $G$4)))</f>
        <v>6284</v>
      </c>
      <c r="K63" s="178">
        <f>IF(K$9="","",IF(NOT(ISNUMBER(_xll.ciqfunctions.udf.CIQ($D$4, $B63, K$9, $H$4, $E$4, , $F$4, $G$4))),"",_xll.ciqfunctions.udf.CIQ($D$4, $B63, K$9, $H$4, $E$4, , $F$4, $G$4)))</f>
        <v>6516</v>
      </c>
      <c r="L63" s="178">
        <f>IF(L$9="","",IF(NOT(ISNUMBER(_xll.ciqfunctions.udf.CIQ($D$4, $B63, L$9, $H$4, $E$4, , $F$4, $G$4))),"",_xll.ciqfunctions.udf.CIQ($D$4, $B63, L$9, $H$4, $E$4, , $F$4, $G$4)))</f>
        <v>8280</v>
      </c>
      <c r="M63" s="178" t="str">
        <f>IF(M$9="","",IF(NOT(ISNUMBER(_xll.ciqfunctions.udf.CIQ($D$4, $B63, M$9, $H$4, $E$4, , $F$4, $G$4))),"",_xll.ciqfunctions.udf.CIQ($D$4, $B63, M$9, $H$4, $E$4, , $F$4, $G$4)))</f>
        <v/>
      </c>
      <c r="N63" s="178" t="str">
        <f>IF(N$9="","",IF(NOT(ISNUMBER(_xll.ciqfunctions.udf.CIQ($D$4, $B63, N$9, $H$4, $E$4, , $F$4, $G$4))),"",_xll.ciqfunctions.udf.CIQ($D$4, $B63, N$9, $H$4, $E$4, , $F$4, $G$4)))</f>
        <v/>
      </c>
      <c r="O63" s="178" t="str">
        <f>IF(O$9="","",IF(NOT(ISNUMBER(_xll.ciqfunctions.udf.CIQ($D$4, $B63, O$9, $H$4, $E$4, , $F$4, $G$4))),"",_xll.ciqfunctions.udf.CIQ($D$4, $B63, O$9, $H$4, $E$4, , $F$4, $G$4)))</f>
        <v/>
      </c>
      <c r="P63" s="178" t="str">
        <f>IF(P$9="","",IF(NOT(ISNUMBER(_xll.ciqfunctions.udf.CIQ($D$4, $B63, P$9, $H$4, $E$4, , $F$4, $G$4))),"",_xll.ciqfunctions.udf.CIQ($D$4, $B63, P$9, $H$4, $E$4, , $F$4, $G$4)))</f>
        <v/>
      </c>
      <c r="Q63" s="178" t="str">
        <f>IF(Q$9="","",IF(NOT(ISNUMBER(_xll.ciqfunctions.udf.CIQ($D$4, $B63, Q$9, $H$4, $E$4, , $F$4, $G$4))),"",_xll.ciqfunctions.udf.CIQ($D$4, $B63, Q$9, $H$4, $E$4, , $F$4, $G$4)))</f>
        <v/>
      </c>
      <c r="R63" s="178" t="str">
        <f>IF(R$9="","",IF(NOT(ISNUMBER(_xll.ciqfunctions.udf.CIQ($D$4, $B63, R$9, $H$4, $E$4, , $F$4, $G$4))),"",_xll.ciqfunctions.udf.CIQ($D$4, $B63, R$9, $H$4, $E$4, , $F$4, $G$4)))</f>
        <v/>
      </c>
      <c r="S63" s="178" t="str">
        <f>IF(S$9="","",IF(NOT(ISNUMBER(_xll.ciqfunctions.udf.CIQ($D$4, $B63, S$9, $H$4, $E$4, , $F$4, $G$4))),"",_xll.ciqfunctions.udf.CIQ($D$4, $B63, S$9, $H$4, $E$4, , $F$4, $G$4)))</f>
        <v/>
      </c>
      <c r="T63" s="178" t="str">
        <f>IF(T$9="","",IF(NOT(ISNUMBER(_xll.ciqfunctions.udf.CIQ($D$4, $B63, T$9, $H$4, $E$4, , $F$4, $G$4))),"",_xll.ciqfunctions.udf.CIQ($D$4, $B63, T$9, $H$4, $E$4, , $F$4, $G$4)))</f>
        <v/>
      </c>
      <c r="U63" s="178" t="str">
        <f>IF(U$9="","",IF(NOT(ISNUMBER(_xll.ciqfunctions.udf.CIQ($D$4, $B63, U$9, $H$4, $E$4, , $F$4, $G$4))),"",_xll.ciqfunctions.udf.CIQ($D$4, $B63, U$9, $H$4, $E$4, , $F$4, $G$4)))</f>
        <v/>
      </c>
      <c r="V63" s="178" t="str">
        <f>IF(V$9="","",IF(NOT(ISNUMBER(_xll.ciqfunctions.udf.CIQ($D$4, $B63, V$9, $H$4, $E$4, , $F$4, $G$4))),"",_xll.ciqfunctions.udf.CIQ($D$4, $B63, V$9, $H$4, $E$4, , $F$4, $G$4)))</f>
        <v/>
      </c>
      <c r="W63" s="178" t="str">
        <f>IF(W$9="","",IF(NOT(ISNUMBER(_xll.ciqfunctions.udf.CIQ($D$4, $B63, W$9, $H$4, $E$4, , $F$4, $G$4))),"",_xll.ciqfunctions.udf.CIQ($D$4, $B63, W$9, $H$4, $E$4, , $F$4, $G$4)))</f>
        <v/>
      </c>
    </row>
    <row r="64" spans="1:23" ht="15" customHeight="1" x14ac:dyDescent="0.2">
      <c r="A64" s="25" t="s">
        <v>25</v>
      </c>
      <c r="B64" s="232" t="s">
        <v>389</v>
      </c>
      <c r="C64" s="178">
        <f>IF(C$9="","",IF(NOT(ISNUMBER(_xll.ciqfunctions.udf.CIQ($D$4, $B64, C$9, $H$4, $E$4, , $F$4, $G$4))),"",_xll.ciqfunctions.udf.CIQ($D$4, $B64, C$9, $H$4, $E$4, , $F$4, $G$4)))</f>
        <v>38080</v>
      </c>
      <c r="D64" s="178">
        <f>IF(D$9="","",IF(NOT(ISNUMBER(_xll.ciqfunctions.udf.CIQ($D$4, $B64, D$9, $H$4, $E$4, , $F$4, $G$4))),"",_xll.ciqfunctions.udf.CIQ($D$4, $B64, D$9, $H$4, $E$4, , $F$4, $G$4)))</f>
        <v>37415</v>
      </c>
      <c r="E64" s="178">
        <f>IF(E$9="","",IF(NOT(ISNUMBER(_xll.ciqfunctions.udf.CIQ($D$4, $B64, E$9, $H$4, $E$4, , $F$4, $G$4))),"",_xll.ciqfunctions.udf.CIQ($D$4, $B64, E$9, $H$4, $E$4, , $F$4, $G$4)))</f>
        <v>38410</v>
      </c>
      <c r="F64" s="178">
        <f>IF(F$9="","",IF(NOT(ISNUMBER(_xll.ciqfunctions.udf.CIQ($D$4, $B64, F$9, $H$4, $E$4, , $F$4, $G$4))),"",_xll.ciqfunctions.udf.CIQ($D$4, $B64, F$9, $H$4, $E$4, , $F$4, $G$4)))</f>
        <v>38487</v>
      </c>
      <c r="G64" s="178">
        <f>IF(G$9="","",IF(NOT(ISNUMBER(_xll.ciqfunctions.udf.CIQ($D$4, $B64, G$9, $H$4, $E$4, , $F$4, $G$4))),"",_xll.ciqfunctions.udf.CIQ($D$4, $B64, G$9, $H$4, $E$4, , $F$4, $G$4)))</f>
        <v>41433</v>
      </c>
      <c r="H64" s="178">
        <f>IF(H$9="","",IF(NOT(ISNUMBER(_xll.ciqfunctions.udf.CIQ($D$4, $B64, H$9, $H$4, $E$4, , $F$4, $G$4))),"",_xll.ciqfunctions.udf.CIQ($D$4, $B64, H$9, $H$4, $E$4, , $F$4, $G$4)))</f>
        <v>46092</v>
      </c>
      <c r="I64" s="178">
        <f>IF(I$9="","",IF(NOT(ISNUMBER(_xll.ciqfunctions.udf.CIQ($D$4, $B64, I$9, $H$4, $E$4, , $F$4, $G$4))),"",_xll.ciqfunctions.udf.CIQ($D$4, $B64, I$9, $H$4, $E$4, , $F$4, $G$4)))</f>
        <v>47060</v>
      </c>
      <c r="J64" s="178">
        <f>IF(J$9="","",IF(NOT(ISNUMBER(_xll.ciqfunctions.udf.CIQ($D$4, $B64, J$9, $H$4, $E$4, , $F$4, $G$4))),"",_xll.ciqfunctions.udf.CIQ($D$4, $B64, J$9, $H$4, $E$4, , $F$4, $G$4)))</f>
        <v>46973</v>
      </c>
      <c r="K64" s="178">
        <f>IF(K$9="","",IF(NOT(ISNUMBER(_xll.ciqfunctions.udf.CIQ($D$4, $B64, K$9, $H$4, $E$4, , $F$4, $G$4))),"",_xll.ciqfunctions.udf.CIQ($D$4, $B64, K$9, $H$4, $E$4, , $F$4, $G$4)))</f>
        <v>49141</v>
      </c>
      <c r="L64" s="178">
        <f>IF(L$9="","",IF(NOT(ISNUMBER(_xll.ciqfunctions.udf.CIQ($D$4, $B64, L$9, $H$4, $E$4, , $F$4, $G$4))),"",_xll.ciqfunctions.udf.CIQ($D$4, $B64, L$9, $H$4, $E$4, , $F$4, $G$4)))</f>
        <v>55261</v>
      </c>
      <c r="M64" s="178" t="str">
        <f>IF(M$9="","",IF(NOT(ISNUMBER(_xll.ciqfunctions.udf.CIQ($D$4, $B64, M$9, $H$4, $E$4, , $F$4, $G$4))),"",_xll.ciqfunctions.udf.CIQ($D$4, $B64, M$9, $H$4, $E$4, , $F$4, $G$4)))</f>
        <v/>
      </c>
      <c r="N64" s="178" t="str">
        <f>IF(N$9="","",IF(NOT(ISNUMBER(_xll.ciqfunctions.udf.CIQ($D$4, $B64, N$9, $H$4, $E$4, , $F$4, $G$4))),"",_xll.ciqfunctions.udf.CIQ($D$4, $B64, N$9, $H$4, $E$4, , $F$4, $G$4)))</f>
        <v/>
      </c>
      <c r="O64" s="178" t="str">
        <f>IF(O$9="","",IF(NOT(ISNUMBER(_xll.ciqfunctions.udf.CIQ($D$4, $B64, O$9, $H$4, $E$4, , $F$4, $G$4))),"",_xll.ciqfunctions.udf.CIQ($D$4, $B64, O$9, $H$4, $E$4, , $F$4, $G$4)))</f>
        <v/>
      </c>
      <c r="P64" s="178" t="str">
        <f>IF(P$9="","",IF(NOT(ISNUMBER(_xll.ciqfunctions.udf.CIQ($D$4, $B64, P$9, $H$4, $E$4, , $F$4, $G$4))),"",_xll.ciqfunctions.udf.CIQ($D$4, $B64, P$9, $H$4, $E$4, , $F$4, $G$4)))</f>
        <v/>
      </c>
      <c r="Q64" s="178" t="str">
        <f>IF(Q$9="","",IF(NOT(ISNUMBER(_xll.ciqfunctions.udf.CIQ($D$4, $B64, Q$9, $H$4, $E$4, , $F$4, $G$4))),"",_xll.ciqfunctions.udf.CIQ($D$4, $B64, Q$9, $H$4, $E$4, , $F$4, $G$4)))</f>
        <v/>
      </c>
      <c r="R64" s="178" t="str">
        <f>IF(R$9="","",IF(NOT(ISNUMBER(_xll.ciqfunctions.udf.CIQ($D$4, $B64, R$9, $H$4, $E$4, , $F$4, $G$4))),"",_xll.ciqfunctions.udf.CIQ($D$4, $B64, R$9, $H$4, $E$4, , $F$4, $G$4)))</f>
        <v/>
      </c>
      <c r="S64" s="178" t="str">
        <f>IF(S$9="","",IF(NOT(ISNUMBER(_xll.ciqfunctions.udf.CIQ($D$4, $B64, S$9, $H$4, $E$4, , $F$4, $G$4))),"",_xll.ciqfunctions.udf.CIQ($D$4, $B64, S$9, $H$4, $E$4, , $F$4, $G$4)))</f>
        <v/>
      </c>
      <c r="T64" s="178" t="str">
        <f>IF(T$9="","",IF(NOT(ISNUMBER(_xll.ciqfunctions.udf.CIQ($D$4, $B64, T$9, $H$4, $E$4, , $F$4, $G$4))),"",_xll.ciqfunctions.udf.CIQ($D$4, $B64, T$9, $H$4, $E$4, , $F$4, $G$4)))</f>
        <v/>
      </c>
      <c r="U64" s="178" t="str">
        <f>IF(U$9="","",IF(NOT(ISNUMBER(_xll.ciqfunctions.udf.CIQ($D$4, $B64, U$9, $H$4, $E$4, , $F$4, $G$4))),"",_xll.ciqfunctions.udf.CIQ($D$4, $B64, U$9, $H$4, $E$4, , $F$4, $G$4)))</f>
        <v/>
      </c>
      <c r="V64" s="178" t="str">
        <f>IF(V$9="","",IF(NOT(ISNUMBER(_xll.ciqfunctions.udf.CIQ($D$4, $B64, V$9, $H$4, $E$4, , $F$4, $G$4))),"",_xll.ciqfunctions.udf.CIQ($D$4, $B64, V$9, $H$4, $E$4, , $F$4, $G$4)))</f>
        <v/>
      </c>
      <c r="W64" s="178" t="str">
        <f>IF(W$9="","",IF(NOT(ISNUMBER(_xll.ciqfunctions.udf.CIQ($D$4, $B64, W$9, $H$4, $E$4, , $F$4, $G$4))),"",_xll.ciqfunctions.udf.CIQ($D$4, $B64, W$9, $H$4, $E$4, , $F$4, $G$4)))</f>
        <v/>
      </c>
    </row>
    <row r="65" spans="1:23" ht="15" customHeight="1" x14ac:dyDescent="0.2">
      <c r="A65" s="25" t="s">
        <v>53</v>
      </c>
      <c r="B65" s="232" t="s">
        <v>390</v>
      </c>
      <c r="C65" s="178">
        <f>IF(C$9="","",IF(NOT(ISNUMBER(_xll.ciqfunctions.udf.CIQ($D$4, $B65, C$9, $H$4, $E$4, , $F$4, $G$4))),"",_xll.ciqfunctions.udf.CIQ($D$4, $B65, C$9, $H$4, $E$4, , $F$4, $G$4)))</f>
        <v>25591</v>
      </c>
      <c r="D65" s="178">
        <f>IF(D$9="","",IF(NOT(ISNUMBER(_xll.ciqfunctions.udf.CIQ($D$4, $B65, D$9, $H$4, $E$4, , $F$4, $G$4))),"",_xll.ciqfunctions.udf.CIQ($D$4, $B65, D$9, $H$4, $E$4, , $F$4, $G$4)))</f>
        <v>23257</v>
      </c>
      <c r="E65" s="178">
        <f>IF(E$9="","",IF(NOT(ISNUMBER(_xll.ciqfunctions.udf.CIQ($D$4, $B65, E$9, $H$4, $E$4, , $F$4, $G$4))),"",_xll.ciqfunctions.udf.CIQ($D$4, $B65, E$9, $H$4, $E$4, , $F$4, $G$4)))</f>
        <v>28564</v>
      </c>
      <c r="F65" s="178">
        <f>IF(F$9="","",IF(NOT(ISNUMBER(_xll.ciqfunctions.udf.CIQ($D$4, $B65, F$9, $H$4, $E$4, , $F$4, $G$4))),"",_xll.ciqfunctions.udf.CIQ($D$4, $B65, F$9, $H$4, $E$4, , $F$4, $G$4)))</f>
        <v>27552</v>
      </c>
      <c r="G65" s="178">
        <f>IF(G$9="","",IF(NOT(ISNUMBER(_xll.ciqfunctions.udf.CIQ($D$4, $B65, G$9, $H$4, $E$4, , $F$4, $G$4))),"",_xll.ciqfunctions.udf.CIQ($D$4, $B65, G$9, $H$4, $E$4, , $F$4, $G$4)))</f>
        <v>31673</v>
      </c>
      <c r="H65" s="178">
        <f>IF(H$9="","",IF(NOT(ISNUMBER(_xll.ciqfunctions.udf.CIQ($D$4, $B65, H$9, $H$4, $E$4, , $F$4, $G$4))),"",_xll.ciqfunctions.udf.CIQ($D$4, $B65, H$9, $H$4, $E$4, , $F$4, $G$4)))</f>
        <v>28337</v>
      </c>
      <c r="I65" s="178">
        <f>IF(I$9="","",IF(NOT(ISNUMBER(_xll.ciqfunctions.udf.CIQ($D$4, $B65, I$9, $H$4, $E$4, , $F$4, $G$4))),"",_xll.ciqfunctions.udf.CIQ($D$4, $B65, I$9, $H$4, $E$4, , $F$4, $G$4)))</f>
        <v>27753</v>
      </c>
      <c r="J65" s="178">
        <f>IF(J$9="","",IF(NOT(ISNUMBER(_xll.ciqfunctions.udf.CIQ($D$4, $B65, J$9, $H$4, $E$4, , $F$4, $G$4))),"",_xll.ciqfunctions.udf.CIQ($D$4, $B65, J$9, $H$4, $E$4, , $F$4, $G$4)))</f>
        <v>25255</v>
      </c>
      <c r="K65" s="178">
        <f>IF(K$9="","",IF(NOT(ISNUMBER(_xll.ciqfunctions.udf.CIQ($D$4, $B65, K$9, $H$4, $E$4, , $F$4, $G$4))),"",_xll.ciqfunctions.udf.CIQ($D$4, $B65, K$9, $H$4, $E$4, , $F$4, $G$4)))</f>
        <v>36074</v>
      </c>
      <c r="L65" s="178">
        <f>IF(L$9="","",IF(NOT(ISNUMBER(_xll.ciqfunctions.udf.CIQ($D$4, $B65, L$9, $H$4, $E$4, , $F$4, $G$4))),"",_xll.ciqfunctions.udf.CIQ($D$4, $B65, L$9, $H$4, $E$4, , $F$4, $G$4)))</f>
        <v>24181</v>
      </c>
      <c r="M65" s="178" t="str">
        <f>IF(M$9="","",IF(NOT(ISNUMBER(_xll.ciqfunctions.udf.CIQ($D$4, $B65, M$9, $H$4, $E$4, , $F$4, $G$4))),"",_xll.ciqfunctions.udf.CIQ($D$4, $B65, M$9, $H$4, $E$4, , $F$4, $G$4)))</f>
        <v/>
      </c>
      <c r="N65" s="178" t="str">
        <f>IF(N$9="","",IF(NOT(ISNUMBER(_xll.ciqfunctions.udf.CIQ($D$4, $B65, N$9, $H$4, $E$4, , $F$4, $G$4))),"",_xll.ciqfunctions.udf.CIQ($D$4, $B65, N$9, $H$4, $E$4, , $F$4, $G$4)))</f>
        <v/>
      </c>
      <c r="O65" s="178" t="str">
        <f>IF(O$9="","",IF(NOT(ISNUMBER(_xll.ciqfunctions.udf.CIQ($D$4, $B65, O$9, $H$4, $E$4, , $F$4, $G$4))),"",_xll.ciqfunctions.udf.CIQ($D$4, $B65, O$9, $H$4, $E$4, , $F$4, $G$4)))</f>
        <v/>
      </c>
      <c r="P65" s="178" t="str">
        <f>IF(P$9="","",IF(NOT(ISNUMBER(_xll.ciqfunctions.udf.CIQ($D$4, $B65, P$9, $H$4, $E$4, , $F$4, $G$4))),"",_xll.ciqfunctions.udf.CIQ($D$4, $B65, P$9, $H$4, $E$4, , $F$4, $G$4)))</f>
        <v/>
      </c>
      <c r="Q65" s="178" t="str">
        <f>IF(Q$9="","",IF(NOT(ISNUMBER(_xll.ciqfunctions.udf.CIQ($D$4, $B65, Q$9, $H$4, $E$4, , $F$4, $G$4))),"",_xll.ciqfunctions.udf.CIQ($D$4, $B65, Q$9, $H$4, $E$4, , $F$4, $G$4)))</f>
        <v/>
      </c>
      <c r="R65" s="178" t="str">
        <f>IF(R$9="","",IF(NOT(ISNUMBER(_xll.ciqfunctions.udf.CIQ($D$4, $B65, R$9, $H$4, $E$4, , $F$4, $G$4))),"",_xll.ciqfunctions.udf.CIQ($D$4, $B65, R$9, $H$4, $E$4, , $F$4, $G$4)))</f>
        <v/>
      </c>
      <c r="S65" s="178" t="str">
        <f>IF(S$9="","",IF(NOT(ISNUMBER(_xll.ciqfunctions.udf.CIQ($D$4, $B65, S$9, $H$4, $E$4, , $F$4, $G$4))),"",_xll.ciqfunctions.udf.CIQ($D$4, $B65, S$9, $H$4, $E$4, , $F$4, $G$4)))</f>
        <v/>
      </c>
      <c r="T65" s="178" t="str">
        <f>IF(T$9="","",IF(NOT(ISNUMBER(_xll.ciqfunctions.udf.CIQ($D$4, $B65, T$9, $H$4, $E$4, , $F$4, $G$4))),"",_xll.ciqfunctions.udf.CIQ($D$4, $B65, T$9, $H$4, $E$4, , $F$4, $G$4)))</f>
        <v/>
      </c>
      <c r="U65" s="178" t="str">
        <f>IF(U$9="","",IF(NOT(ISNUMBER(_xll.ciqfunctions.udf.CIQ($D$4, $B65, U$9, $H$4, $E$4, , $F$4, $G$4))),"",_xll.ciqfunctions.udf.CIQ($D$4, $B65, U$9, $H$4, $E$4, , $F$4, $G$4)))</f>
        <v/>
      </c>
      <c r="V65" s="178" t="str">
        <f>IF(V$9="","",IF(NOT(ISNUMBER(_xll.ciqfunctions.udf.CIQ($D$4, $B65, V$9, $H$4, $E$4, , $F$4, $G$4))),"",_xll.ciqfunctions.udf.CIQ($D$4, $B65, V$9, $H$4, $E$4, , $F$4, $G$4)))</f>
        <v/>
      </c>
      <c r="W65" s="178" t="str">
        <f>IF(W$9="","",IF(NOT(ISNUMBER(_xll.ciqfunctions.udf.CIQ($D$4, $B65, W$9, $H$4, $E$4, , $F$4, $G$4))),"",_xll.ciqfunctions.udf.CIQ($D$4, $B65, W$9, $H$4, $E$4, , $F$4, $G$4)))</f>
        <v/>
      </c>
    </row>
    <row r="66" spans="1:23" ht="15" customHeight="1" x14ac:dyDescent="0.2">
      <c r="A66" s="25" t="s">
        <v>551</v>
      </c>
      <c r="B66" s="25" t="str">
        <f>"IQ_CASH_EQUIV"</f>
        <v>IQ_CASH_EQUIV</v>
      </c>
      <c r="C66" s="178">
        <f>IF(C$9="","",IF(NOT(ISNUMBER(_xll.ciqfunctions.udf.CIQ($D$4, $B66, C$9, $H$4, $E$4, , $F$4, $G$4))),"",_xll.ciqfunctions.udf.CIQ($D$4, $B66, C$9, $H$4, $E$4, , $F$4, $G$4)))</f>
        <v>7781</v>
      </c>
      <c r="D66" s="178">
        <f>IF(D$9="","",IF(NOT(ISNUMBER(_xll.ciqfunctions.udf.CIQ($D$4, $B66, D$9, $H$4, $E$4, , $F$4, $G$4))),"",_xll.ciqfunctions.udf.CIQ($D$4, $B66, D$9, $H$4, $E$4, , $F$4, $G$4)))</f>
        <v>7281</v>
      </c>
      <c r="E66" s="178">
        <f>IF(E$9="","",IF(NOT(ISNUMBER(_xll.ciqfunctions.udf.CIQ($D$4, $B66, E$9, $H$4, $E$4, , $F$4, $G$4))),"",_xll.ciqfunctions.udf.CIQ($D$4, $B66, E$9, $H$4, $E$4, , $F$4, $G$4)))</f>
        <v>9135</v>
      </c>
      <c r="F66" s="178">
        <f>IF(F$9="","",IF(NOT(ISNUMBER(_xll.ciqfunctions.udf.CIQ($D$4, $B66, F$9, $H$4, $E$4, , $F$4, $G$4))),"",_xll.ciqfunctions.udf.CIQ($D$4, $B66, F$9, $H$4, $E$4, , $F$4, $G$4)))</f>
        <v>8705</v>
      </c>
      <c r="G66" s="178">
        <f>IF(G$9="","",IF(NOT(ISNUMBER(_xll.ciqfunctions.udf.CIQ($D$4, $B66, G$9, $H$4, $E$4, , $F$4, $G$4))),"",_xll.ciqfunctions.udf.CIQ($D$4, $B66, G$9, $H$4, $E$4, , $F$4, $G$4)))</f>
        <v>6867</v>
      </c>
      <c r="H66" s="178">
        <f>IF(H$9="","",IF(NOT(ISNUMBER(_xll.ciqfunctions.udf.CIQ($D$4, $B66, H$9, $H$4, $E$4, , $F$4, $G$4))),"",_xll.ciqfunctions.udf.CIQ($D$4, $B66, H$9, $H$4, $E$4, , $F$4, $G$4)))</f>
        <v>6756</v>
      </c>
      <c r="I66" s="178">
        <f>IF(I$9="","",IF(NOT(ISNUMBER(_xll.ciqfunctions.udf.CIQ($D$4, $B66, I$9, $H$4, $E$4, , $F$4, $G$4))),"",_xll.ciqfunctions.udf.CIQ($D$4, $B66, I$9, $H$4, $E$4, , $F$4, $G$4)))</f>
        <v>7722</v>
      </c>
      <c r="J66" s="178">
        <f>IF(J$9="","",IF(NOT(ISNUMBER(_xll.ciqfunctions.udf.CIQ($D$4, $B66, J$9, $H$4, $E$4, , $F$4, $G$4))),"",_xll.ciqfunctions.udf.CIQ($D$4, $B66, J$9, $H$4, $E$4, , $F$4, $G$4)))</f>
        <v>9465</v>
      </c>
      <c r="K66" s="178">
        <f>IF(K$9="","",IF(NOT(ISNUMBER(_xll.ciqfunctions.udf.CIQ($D$4, $B66, K$9, $H$4, $E$4, , $F$4, $G$4))),"",_xll.ciqfunctions.udf.CIQ($D$4, $B66, K$9, $H$4, $E$4, , $F$4, $G$4)))</f>
        <v>17741</v>
      </c>
      <c r="L66" s="178">
        <f>IF(L$9="","",IF(NOT(ISNUMBER(_xll.ciqfunctions.udf.CIQ($D$4, $B66, L$9, $H$4, $E$4, , $F$4, $G$4))),"",_xll.ciqfunctions.udf.CIQ($D$4, $B66, L$9, $H$4, $E$4, , $F$4, $G$4)))</f>
        <v>14760</v>
      </c>
      <c r="M66" s="178" t="str">
        <f>IF(M$9="","",IF(NOT(ISNUMBER(_xll.ciqfunctions.udf.CIQ($D$4, $B66, M$9, $H$4, $E$4, , $F$4, $G$4))),"",_xll.ciqfunctions.udf.CIQ($D$4, $B66, M$9, $H$4, $E$4, , $F$4, $G$4)))</f>
        <v/>
      </c>
      <c r="N66" s="178" t="str">
        <f>IF(N$9="","",IF(NOT(ISNUMBER(_xll.ciqfunctions.udf.CIQ($D$4, $B66, N$9, $H$4, $E$4, , $F$4, $G$4))),"",_xll.ciqfunctions.udf.CIQ($D$4, $B66, N$9, $H$4, $E$4, , $F$4, $G$4)))</f>
        <v/>
      </c>
      <c r="O66" s="178" t="str">
        <f>IF(O$9="","",IF(NOT(ISNUMBER(_xll.ciqfunctions.udf.CIQ($D$4, $B66, O$9, $H$4, $E$4, , $F$4, $G$4))),"",_xll.ciqfunctions.udf.CIQ($D$4, $B66, O$9, $H$4, $E$4, , $F$4, $G$4)))</f>
        <v/>
      </c>
      <c r="P66" s="178" t="str">
        <f>IF(P$9="","",IF(NOT(ISNUMBER(_xll.ciqfunctions.udf.CIQ($D$4, $B66, P$9, $H$4, $E$4, , $F$4, $G$4))),"",_xll.ciqfunctions.udf.CIQ($D$4, $B66, P$9, $H$4, $E$4, , $F$4, $G$4)))</f>
        <v/>
      </c>
      <c r="Q66" s="178" t="str">
        <f>IF(Q$9="","",IF(NOT(ISNUMBER(_xll.ciqfunctions.udf.CIQ($D$4, $B66, Q$9, $H$4, $E$4, , $F$4, $G$4))),"",_xll.ciqfunctions.udf.CIQ($D$4, $B66, Q$9, $H$4, $E$4, , $F$4, $G$4)))</f>
        <v/>
      </c>
      <c r="R66" s="178" t="str">
        <f>IF(R$9="","",IF(NOT(ISNUMBER(_xll.ciqfunctions.udf.CIQ($D$4, $B66, R$9, $H$4, $E$4, , $F$4, $G$4))),"",_xll.ciqfunctions.udf.CIQ($D$4, $B66, R$9, $H$4, $E$4, , $F$4, $G$4)))</f>
        <v/>
      </c>
      <c r="S66" s="178" t="str">
        <f>IF(S$9="","",IF(NOT(ISNUMBER(_xll.ciqfunctions.udf.CIQ($D$4, $B66, S$9, $H$4, $E$4, , $F$4, $G$4))),"",_xll.ciqfunctions.udf.CIQ($D$4, $B66, S$9, $H$4, $E$4, , $F$4, $G$4)))</f>
        <v/>
      </c>
      <c r="T66" s="178" t="str">
        <f>IF(T$9="","",IF(NOT(ISNUMBER(_xll.ciqfunctions.udf.CIQ($D$4, $B66, T$9, $H$4, $E$4, , $F$4, $G$4))),"",_xll.ciqfunctions.udf.CIQ($D$4, $B66, T$9, $H$4, $E$4, , $F$4, $G$4)))</f>
        <v/>
      </c>
      <c r="U66" s="178" t="str">
        <f>IF(U$9="","",IF(NOT(ISNUMBER(_xll.ciqfunctions.udf.CIQ($D$4, $B66, U$9, $H$4, $E$4, , $F$4, $G$4))),"",_xll.ciqfunctions.udf.CIQ($D$4, $B66, U$9, $H$4, $E$4, , $F$4, $G$4)))</f>
        <v/>
      </c>
      <c r="V66" s="178" t="str">
        <f>IF(V$9="","",IF(NOT(ISNUMBER(_xll.ciqfunctions.udf.CIQ($D$4, $B66, V$9, $H$4, $E$4, , $F$4, $G$4))),"",_xll.ciqfunctions.udf.CIQ($D$4, $B66, V$9, $H$4, $E$4, , $F$4, $G$4)))</f>
        <v/>
      </c>
      <c r="W66" s="178" t="str">
        <f>IF(W$9="","",IF(NOT(ISNUMBER(_xll.ciqfunctions.udf.CIQ($D$4, $B66, W$9, $H$4, $E$4, , $F$4, $G$4))),"",_xll.ciqfunctions.udf.CIQ($D$4, $B66, W$9, $H$4, $E$4, , $F$4, $G$4)))</f>
        <v/>
      </c>
    </row>
    <row r="67" spans="1:23" ht="15" customHeight="1" x14ac:dyDescent="0.2">
      <c r="C67" s="171"/>
      <c r="D67" s="171"/>
      <c r="E67" s="171"/>
      <c r="F67" s="171"/>
      <c r="G67" s="171"/>
      <c r="H67" s="171"/>
      <c r="I67" s="171"/>
      <c r="J67" s="171"/>
      <c r="K67" s="171"/>
      <c r="L67" s="236"/>
      <c r="M67" s="236"/>
      <c r="N67" s="236"/>
      <c r="O67" s="236"/>
      <c r="P67" s="236"/>
      <c r="Q67" s="236"/>
      <c r="R67" s="236"/>
      <c r="S67" s="236"/>
      <c r="T67" s="236"/>
      <c r="U67" s="236"/>
      <c r="V67" s="236"/>
      <c r="W67" s="236"/>
    </row>
    <row r="68" spans="1:23" ht="15" customHeight="1" thickBot="1" x14ac:dyDescent="0.25">
      <c r="A68" s="176" t="s">
        <v>1034</v>
      </c>
      <c r="B68" s="176"/>
      <c r="C68" s="177"/>
      <c r="D68" s="177"/>
      <c r="E68" s="177"/>
      <c r="F68" s="177"/>
      <c r="G68" s="177"/>
      <c r="H68" s="177"/>
      <c r="I68" s="177"/>
      <c r="J68" s="177"/>
      <c r="K68" s="177"/>
      <c r="L68" s="177"/>
      <c r="M68" s="177"/>
      <c r="N68" s="177"/>
      <c r="O68" s="177"/>
      <c r="P68" s="177"/>
      <c r="Q68" s="177"/>
      <c r="R68" s="177"/>
      <c r="S68" s="177"/>
      <c r="T68" s="177"/>
      <c r="U68" s="177"/>
      <c r="V68" s="177"/>
      <c r="W68" s="177"/>
    </row>
    <row r="69" spans="1:23" ht="15" customHeight="1" x14ac:dyDescent="0.2">
      <c r="A69" s="27"/>
      <c r="B69" s="27"/>
      <c r="C69" s="181"/>
      <c r="D69" s="181"/>
      <c r="E69" s="181"/>
      <c r="F69" s="181"/>
      <c r="G69" s="181"/>
      <c r="H69" s="181"/>
      <c r="I69" s="181"/>
      <c r="J69" s="181"/>
      <c r="K69" s="181"/>
      <c r="L69" s="181"/>
      <c r="M69" s="181"/>
      <c r="N69" s="181"/>
      <c r="O69" s="181"/>
      <c r="P69" s="181"/>
      <c r="Q69" s="181"/>
      <c r="R69" s="181"/>
      <c r="S69" s="181"/>
      <c r="T69" s="181"/>
      <c r="U69" s="181"/>
      <c r="V69" s="181"/>
      <c r="W69" s="181"/>
    </row>
    <row r="70" spans="1:23" ht="15" customHeight="1" x14ac:dyDescent="0.2">
      <c r="A70" s="916" t="s">
        <v>47</v>
      </c>
      <c r="B70" s="916"/>
      <c r="C70" s="927"/>
      <c r="D70" s="927"/>
      <c r="E70" s="927"/>
      <c r="F70" s="927"/>
      <c r="G70" s="927"/>
      <c r="H70" s="927"/>
      <c r="I70" s="927"/>
      <c r="J70" s="927"/>
      <c r="K70" s="927"/>
      <c r="L70" s="927"/>
      <c r="M70" s="927"/>
      <c r="N70" s="927"/>
      <c r="O70" s="927"/>
      <c r="P70" s="927"/>
      <c r="Q70" s="927"/>
      <c r="R70" s="927"/>
      <c r="S70" s="927"/>
      <c r="T70" s="927"/>
      <c r="U70" s="927"/>
      <c r="V70" s="927"/>
      <c r="W70" s="927"/>
    </row>
    <row r="71" spans="1:23" ht="15" customHeight="1" x14ac:dyDescent="0.2">
      <c r="A71" s="140" t="s">
        <v>34</v>
      </c>
      <c r="B71" s="140"/>
      <c r="C71" s="172"/>
      <c r="D71" s="172">
        <f t="shared" ref="D71:W71" si="44">IFERROR(IF(D16/D$15 = 0, NA(), D16/D$15),NA())</f>
        <v>0.7517814627100069</v>
      </c>
      <c r="E71" s="172">
        <f t="shared" si="44"/>
        <v>0.75174559508783056</v>
      </c>
      <c r="F71" s="172">
        <f t="shared" si="44"/>
        <v>0.74872752162279888</v>
      </c>
      <c r="G71" s="172">
        <f t="shared" si="44"/>
        <v>0.74351939704408354</v>
      </c>
      <c r="H71" s="172">
        <f t="shared" si="44"/>
        <v>0.74628005188440727</v>
      </c>
      <c r="I71" s="172">
        <f t="shared" si="44"/>
        <v>0.7490226572447779</v>
      </c>
      <c r="J71" s="172">
        <f t="shared" si="44"/>
        <v>0.75311471780504002</v>
      </c>
      <c r="K71" s="172">
        <f t="shared" si="44"/>
        <v>0.75170213412834819</v>
      </c>
      <c r="L71" s="172">
        <f t="shared" si="44"/>
        <v>0.7490126651232466</v>
      </c>
      <c r="M71" s="172" t="e">
        <f t="shared" si="44"/>
        <v>#N/A</v>
      </c>
      <c r="N71" s="172" t="e">
        <f t="shared" si="44"/>
        <v>#N/A</v>
      </c>
      <c r="O71" s="172" t="e">
        <f t="shared" si="44"/>
        <v>#N/A</v>
      </c>
      <c r="P71" s="172" t="e">
        <f t="shared" si="44"/>
        <v>#N/A</v>
      </c>
      <c r="Q71" s="172" t="e">
        <f t="shared" si="44"/>
        <v>#N/A</v>
      </c>
      <c r="R71" s="172" t="e">
        <f t="shared" si="44"/>
        <v>#N/A</v>
      </c>
      <c r="S71" s="172" t="e">
        <f t="shared" si="44"/>
        <v>#N/A</v>
      </c>
      <c r="T71" s="172" t="e">
        <f t="shared" si="44"/>
        <v>#N/A</v>
      </c>
      <c r="U71" s="172" t="e">
        <f t="shared" si="44"/>
        <v>#N/A</v>
      </c>
      <c r="V71" s="172" t="e">
        <f t="shared" si="44"/>
        <v>#N/A</v>
      </c>
      <c r="W71" s="172" t="e">
        <f t="shared" si="44"/>
        <v>#N/A</v>
      </c>
    </row>
    <row r="72" spans="1:23" ht="15" customHeight="1" x14ac:dyDescent="0.2">
      <c r="A72" s="159" t="s">
        <v>30</v>
      </c>
      <c r="B72" s="159"/>
      <c r="C72" s="182"/>
      <c r="D72" s="182">
        <f t="shared" ref="D72:W72" si="45">IFERROR(D17/D$15,"")</f>
        <v>0.24821853728999316</v>
      </c>
      <c r="E72" s="182">
        <f t="shared" si="45"/>
        <v>0.24825440491216944</v>
      </c>
      <c r="F72" s="182">
        <f t="shared" si="45"/>
        <v>0.25127247837720118</v>
      </c>
      <c r="G72" s="182">
        <f t="shared" si="45"/>
        <v>0.25648060295591646</v>
      </c>
      <c r="H72" s="182">
        <f t="shared" si="45"/>
        <v>0.25371994811559273</v>
      </c>
      <c r="I72" s="182">
        <f t="shared" si="45"/>
        <v>0.25097734275522204</v>
      </c>
      <c r="J72" s="182">
        <f t="shared" si="45"/>
        <v>0.24688528219495995</v>
      </c>
      <c r="K72" s="182">
        <f t="shared" si="45"/>
        <v>0.24829786587165184</v>
      </c>
      <c r="L72" s="182">
        <f t="shared" si="45"/>
        <v>0.25098733487675334</v>
      </c>
      <c r="M72" s="182" t="str">
        <f t="shared" si="45"/>
        <v/>
      </c>
      <c r="N72" s="182" t="str">
        <f t="shared" si="45"/>
        <v/>
      </c>
      <c r="O72" s="182" t="str">
        <f t="shared" si="45"/>
        <v/>
      </c>
      <c r="P72" s="182" t="str">
        <f t="shared" si="45"/>
        <v/>
      </c>
      <c r="Q72" s="182" t="str">
        <f t="shared" si="45"/>
        <v/>
      </c>
      <c r="R72" s="182" t="str">
        <f t="shared" si="45"/>
        <v/>
      </c>
      <c r="S72" s="182" t="str">
        <f t="shared" si="45"/>
        <v/>
      </c>
      <c r="T72" s="182" t="str">
        <f t="shared" si="45"/>
        <v/>
      </c>
      <c r="U72" s="182" t="str">
        <f t="shared" si="45"/>
        <v/>
      </c>
      <c r="V72" s="182" t="str">
        <f t="shared" si="45"/>
        <v/>
      </c>
      <c r="W72" s="182" t="str">
        <f t="shared" si="45"/>
        <v/>
      </c>
    </row>
    <row r="73" spans="1:23" ht="15" customHeight="1" x14ac:dyDescent="0.2">
      <c r="A73" s="27"/>
      <c r="B73" s="27"/>
      <c r="C73" s="181"/>
      <c r="D73" s="181"/>
      <c r="E73" s="181"/>
      <c r="F73" s="181"/>
      <c r="G73" s="181"/>
      <c r="H73" s="181"/>
      <c r="I73" s="181"/>
      <c r="J73" s="181"/>
      <c r="K73" s="181"/>
      <c r="L73" s="181"/>
      <c r="M73" s="181"/>
      <c r="N73" s="181"/>
      <c r="O73" s="181"/>
      <c r="P73" s="181"/>
      <c r="Q73" s="181"/>
      <c r="R73" s="181"/>
      <c r="S73" s="181"/>
      <c r="T73" s="181"/>
      <c r="U73" s="181"/>
      <c r="V73" s="181"/>
      <c r="W73" s="181"/>
    </row>
    <row r="74" spans="1:23" ht="15" customHeight="1" x14ac:dyDescent="0.2">
      <c r="A74" s="140" t="s">
        <v>0</v>
      </c>
      <c r="B74" s="140"/>
      <c r="C74" s="172"/>
      <c r="D74" s="172">
        <f>IFERROR(IF(D19/D$15 = 0, NA(), D19/D$15),NA())</f>
        <v>0.1917996027663586</v>
      </c>
      <c r="E74" s="172">
        <f t="shared" ref="E74:W74" si="46">IFERROR(IF(E19/E$15 = 0, NA(), E19/E$15),NA())</f>
        <v>0.19235623935706916</v>
      </c>
      <c r="F74" s="172">
        <f t="shared" si="46"/>
        <v>0.20127558957127745</v>
      </c>
      <c r="G74" s="172">
        <f t="shared" si="46"/>
        <v>0.20962885363047545</v>
      </c>
      <c r="H74" s="172">
        <f t="shared" si="46"/>
        <v>0.21187465398736466</v>
      </c>
      <c r="I74" s="172">
        <f t="shared" si="46"/>
        <v>0.20829307646698614</v>
      </c>
      <c r="J74" s="172">
        <f t="shared" si="46"/>
        <v>0.20591300165660237</v>
      </c>
      <c r="K74" s="172">
        <f t="shared" si="46"/>
        <v>0.20010337100353928</v>
      </c>
      <c r="L74" s="172">
        <f t="shared" si="46"/>
        <v>0.20569389301515137</v>
      </c>
      <c r="M74" s="172" t="e">
        <f t="shared" si="46"/>
        <v>#N/A</v>
      </c>
      <c r="N74" s="172" t="e">
        <f t="shared" si="46"/>
        <v>#N/A</v>
      </c>
      <c r="O74" s="172" t="e">
        <f t="shared" si="46"/>
        <v>#N/A</v>
      </c>
      <c r="P74" s="172" t="e">
        <f t="shared" si="46"/>
        <v>#N/A</v>
      </c>
      <c r="Q74" s="172" t="e">
        <f t="shared" si="46"/>
        <v>#N/A</v>
      </c>
      <c r="R74" s="172" t="e">
        <f t="shared" si="46"/>
        <v>#N/A</v>
      </c>
      <c r="S74" s="172" t="e">
        <f t="shared" si="46"/>
        <v>#N/A</v>
      </c>
      <c r="T74" s="172" t="e">
        <f t="shared" si="46"/>
        <v>#N/A</v>
      </c>
      <c r="U74" s="172" t="e">
        <f t="shared" si="46"/>
        <v>#N/A</v>
      </c>
      <c r="V74" s="172" t="e">
        <f t="shared" si="46"/>
        <v>#N/A</v>
      </c>
      <c r="W74" s="172" t="e">
        <f t="shared" si="46"/>
        <v>#N/A</v>
      </c>
    </row>
    <row r="75" spans="1:23" ht="15" customHeight="1" x14ac:dyDescent="0.2">
      <c r="A75" s="140" t="s">
        <v>1</v>
      </c>
      <c r="B75" s="140"/>
      <c r="C75" s="172"/>
      <c r="D75" s="172" t="e">
        <f t="shared" ref="D75:D77" si="47">IFERROR(IF(D20/D$15 = 0, NA(), D20/D$15),NA())</f>
        <v>#N/A</v>
      </c>
      <c r="E75" s="172" t="e">
        <f t="shared" ref="E75:W75" si="48">IFERROR(IF(E20/E$15 = 0, NA(), E20/E$15),NA())</f>
        <v>#N/A</v>
      </c>
      <c r="F75" s="172" t="e">
        <f t="shared" si="48"/>
        <v>#N/A</v>
      </c>
      <c r="G75" s="172" t="e">
        <f t="shared" si="48"/>
        <v>#N/A</v>
      </c>
      <c r="H75" s="172" t="e">
        <f t="shared" si="48"/>
        <v>#N/A</v>
      </c>
      <c r="I75" s="172" t="e">
        <f t="shared" si="48"/>
        <v>#N/A</v>
      </c>
      <c r="J75" s="172" t="e">
        <f t="shared" si="48"/>
        <v>#N/A</v>
      </c>
      <c r="K75" s="172" t="e">
        <f t="shared" si="48"/>
        <v>#N/A</v>
      </c>
      <c r="L75" s="172" t="e">
        <f t="shared" si="48"/>
        <v>#N/A</v>
      </c>
      <c r="M75" s="172" t="e">
        <f t="shared" si="48"/>
        <v>#N/A</v>
      </c>
      <c r="N75" s="172" t="e">
        <f t="shared" si="48"/>
        <v>#N/A</v>
      </c>
      <c r="O75" s="172" t="e">
        <f t="shared" si="48"/>
        <v>#N/A</v>
      </c>
      <c r="P75" s="172" t="e">
        <f t="shared" si="48"/>
        <v>#N/A</v>
      </c>
      <c r="Q75" s="172" t="e">
        <f t="shared" si="48"/>
        <v>#N/A</v>
      </c>
      <c r="R75" s="172" t="e">
        <f t="shared" si="48"/>
        <v>#N/A</v>
      </c>
      <c r="S75" s="172" t="e">
        <f t="shared" si="48"/>
        <v>#N/A</v>
      </c>
      <c r="T75" s="172" t="e">
        <f t="shared" si="48"/>
        <v>#N/A</v>
      </c>
      <c r="U75" s="172" t="e">
        <f t="shared" si="48"/>
        <v>#N/A</v>
      </c>
      <c r="V75" s="172" t="e">
        <f t="shared" si="48"/>
        <v>#N/A</v>
      </c>
      <c r="W75" s="172" t="e">
        <f t="shared" si="48"/>
        <v>#N/A</v>
      </c>
    </row>
    <row r="76" spans="1:23" ht="15" customHeight="1" x14ac:dyDescent="0.2">
      <c r="A76" s="140" t="s">
        <v>39</v>
      </c>
      <c r="B76" s="140"/>
      <c r="C76" s="172"/>
      <c r="D76" s="172">
        <f t="shared" si="47"/>
        <v>1.8622951370372082E-2</v>
      </c>
      <c r="E76" s="172">
        <f t="shared" ref="E76:W76" si="49">IFERROR(IF(E21/E$15 = 0, NA(), E21/E$15),NA())</f>
        <v>1.8888049237003528E-2</v>
      </c>
      <c r="F76" s="172">
        <f t="shared" si="49"/>
        <v>1.9608819198141579E-2</v>
      </c>
      <c r="G76" s="172">
        <f t="shared" si="49"/>
        <v>2.074616206292591E-2</v>
      </c>
      <c r="H76" s="172">
        <f t="shared" si="49"/>
        <v>2.1043564115017097E-2</v>
      </c>
      <c r="I76" s="172">
        <f t="shared" si="49"/>
        <v>2.0757963083562564E-2</v>
      </c>
      <c r="J76" s="172">
        <f t="shared" si="49"/>
        <v>2.0968997870082679E-2</v>
      </c>
      <c r="K76" s="172">
        <f t="shared" si="49"/>
        <v>1.99445230358168E-2</v>
      </c>
      <c r="L76" s="172">
        <f t="shared" si="49"/>
        <v>1.8608337960101546E-2</v>
      </c>
      <c r="M76" s="172" t="e">
        <f t="shared" si="49"/>
        <v>#N/A</v>
      </c>
      <c r="N76" s="172" t="e">
        <f t="shared" si="49"/>
        <v>#N/A</v>
      </c>
      <c r="O76" s="172" t="e">
        <f t="shared" si="49"/>
        <v>#N/A</v>
      </c>
      <c r="P76" s="172" t="e">
        <f t="shared" si="49"/>
        <v>#N/A</v>
      </c>
      <c r="Q76" s="172" t="e">
        <f t="shared" si="49"/>
        <v>#N/A</v>
      </c>
      <c r="R76" s="172" t="e">
        <f t="shared" si="49"/>
        <v>#N/A</v>
      </c>
      <c r="S76" s="172" t="e">
        <f t="shared" si="49"/>
        <v>#N/A</v>
      </c>
      <c r="T76" s="172" t="e">
        <f t="shared" si="49"/>
        <v>#N/A</v>
      </c>
      <c r="U76" s="172" t="e">
        <f t="shared" si="49"/>
        <v>#N/A</v>
      </c>
      <c r="V76" s="172" t="e">
        <f t="shared" si="49"/>
        <v>#N/A</v>
      </c>
      <c r="W76" s="172" t="e">
        <f t="shared" si="49"/>
        <v>#N/A</v>
      </c>
    </row>
    <row r="77" spans="1:23" ht="15" customHeight="1" x14ac:dyDescent="0.2">
      <c r="A77" s="140" t="s">
        <v>38</v>
      </c>
      <c r="B77" s="140"/>
      <c r="C77" s="172"/>
      <c r="D77" s="172" t="e">
        <f t="shared" si="47"/>
        <v>#N/A</v>
      </c>
      <c r="E77" s="172" t="e">
        <f t="shared" ref="E77:W77" si="50">IFERROR(IF(E22/E$15 = 0, NA(), E22/E$15),NA())</f>
        <v>#N/A</v>
      </c>
      <c r="F77" s="172" t="e">
        <f t="shared" si="50"/>
        <v>#N/A</v>
      </c>
      <c r="G77" s="172" t="e">
        <f t="shared" si="50"/>
        <v>#N/A</v>
      </c>
      <c r="H77" s="172" t="e">
        <f t="shared" si="50"/>
        <v>#N/A</v>
      </c>
      <c r="I77" s="172" t="e">
        <f t="shared" si="50"/>
        <v>#N/A</v>
      </c>
      <c r="J77" s="172" t="e">
        <f t="shared" si="50"/>
        <v>#N/A</v>
      </c>
      <c r="K77" s="172" t="e">
        <f t="shared" si="50"/>
        <v>#N/A</v>
      </c>
      <c r="L77" s="172" t="e">
        <f t="shared" si="50"/>
        <v>#N/A</v>
      </c>
      <c r="M77" s="172" t="e">
        <f t="shared" si="50"/>
        <v>#N/A</v>
      </c>
      <c r="N77" s="172" t="e">
        <f t="shared" si="50"/>
        <v>#N/A</v>
      </c>
      <c r="O77" s="172" t="e">
        <f t="shared" si="50"/>
        <v>#N/A</v>
      </c>
      <c r="P77" s="172" t="e">
        <f t="shared" si="50"/>
        <v>#N/A</v>
      </c>
      <c r="Q77" s="172" t="e">
        <f t="shared" si="50"/>
        <v>#N/A</v>
      </c>
      <c r="R77" s="172" t="e">
        <f t="shared" si="50"/>
        <v>#N/A</v>
      </c>
      <c r="S77" s="172" t="e">
        <f t="shared" si="50"/>
        <v>#N/A</v>
      </c>
      <c r="T77" s="172" t="e">
        <f t="shared" si="50"/>
        <v>#N/A</v>
      </c>
      <c r="U77" s="172" t="e">
        <f t="shared" si="50"/>
        <v>#N/A</v>
      </c>
      <c r="V77" s="172" t="e">
        <f t="shared" si="50"/>
        <v>#N/A</v>
      </c>
      <c r="W77" s="172" t="e">
        <f t="shared" si="50"/>
        <v>#N/A</v>
      </c>
    </row>
    <row r="78" spans="1:23" ht="15" customHeight="1" x14ac:dyDescent="0.2">
      <c r="A78" s="159" t="s">
        <v>40</v>
      </c>
      <c r="B78" s="159"/>
      <c r="C78" s="182"/>
      <c r="D78" s="182">
        <f t="shared" ref="D78:W78" si="51">IFERROR(D23/D$15,"")</f>
        <v>0.21042255413673067</v>
      </c>
      <c r="E78" s="182">
        <f t="shared" si="51"/>
        <v>0.21124428859407271</v>
      </c>
      <c r="F78" s="182">
        <f t="shared" si="51"/>
        <v>0.22088440876941903</v>
      </c>
      <c r="G78" s="182">
        <f t="shared" si="51"/>
        <v>0.23037501569340135</v>
      </c>
      <c r="H78" s="182">
        <f t="shared" si="51"/>
        <v>0.23291821810238178</v>
      </c>
      <c r="I78" s="182">
        <f t="shared" si="51"/>
        <v>0.2290510395505487</v>
      </c>
      <c r="J78" s="182">
        <f t="shared" si="51"/>
        <v>0.22688199952668503</v>
      </c>
      <c r="K78" s="182">
        <f t="shared" si="51"/>
        <v>0.2200478940393561</v>
      </c>
      <c r="L78" s="182">
        <f t="shared" si="51"/>
        <v>0.2243022309752529</v>
      </c>
      <c r="M78" s="182" t="str">
        <f t="shared" si="51"/>
        <v/>
      </c>
      <c r="N78" s="182" t="str">
        <f t="shared" si="51"/>
        <v/>
      </c>
      <c r="O78" s="182" t="str">
        <f t="shared" si="51"/>
        <v/>
      </c>
      <c r="P78" s="182" t="str">
        <f t="shared" si="51"/>
        <v/>
      </c>
      <c r="Q78" s="182" t="str">
        <f t="shared" si="51"/>
        <v/>
      </c>
      <c r="R78" s="182" t="str">
        <f t="shared" si="51"/>
        <v/>
      </c>
      <c r="S78" s="182" t="str">
        <f t="shared" si="51"/>
        <v/>
      </c>
      <c r="T78" s="182" t="str">
        <f t="shared" si="51"/>
        <v/>
      </c>
      <c r="U78" s="182" t="str">
        <f t="shared" si="51"/>
        <v/>
      </c>
      <c r="V78" s="182" t="str">
        <f t="shared" si="51"/>
        <v/>
      </c>
      <c r="W78" s="182" t="str">
        <f t="shared" si="51"/>
        <v/>
      </c>
    </row>
    <row r="79" spans="1:23" ht="15" customHeight="1" x14ac:dyDescent="0.2">
      <c r="A79" s="27"/>
      <c r="B79" s="27"/>
      <c r="C79" s="181"/>
      <c r="D79" s="181"/>
      <c r="E79" s="181"/>
      <c r="F79" s="181"/>
      <c r="G79" s="181"/>
      <c r="H79" s="181"/>
      <c r="I79" s="181"/>
      <c r="J79" s="181"/>
      <c r="K79" s="181"/>
      <c r="L79" s="181"/>
      <c r="M79" s="181"/>
      <c r="N79" s="181"/>
      <c r="O79" s="181"/>
      <c r="P79" s="181"/>
      <c r="Q79" s="181"/>
      <c r="R79" s="181"/>
      <c r="S79" s="181"/>
      <c r="T79" s="181"/>
      <c r="U79" s="181"/>
      <c r="V79" s="181"/>
      <c r="W79" s="181"/>
    </row>
    <row r="80" spans="1:23" ht="15" customHeight="1" x14ac:dyDescent="0.2">
      <c r="A80" s="27" t="s">
        <v>41</v>
      </c>
      <c r="B80" s="27"/>
      <c r="C80" s="172"/>
      <c r="D80" s="172">
        <f t="shared" ref="D80:W80" si="52">IFERROR(D25/D$15,"")</f>
        <v>-4.6525885272541753E-3</v>
      </c>
      <c r="E80" s="172">
        <f t="shared" si="52"/>
        <v>-4.8347475862296173E-3</v>
      </c>
      <c r="F80" s="172">
        <f t="shared" si="52"/>
        <v>-5.1168771907991618E-3</v>
      </c>
      <c r="G80" s="172">
        <f t="shared" si="52"/>
        <v>-4.6658283131600234E-3</v>
      </c>
      <c r="H80" s="172">
        <f t="shared" si="52"/>
        <v>-4.3530138325108972E-3</v>
      </c>
      <c r="I80" s="172">
        <f t="shared" si="52"/>
        <v>-4.1387622593092987E-3</v>
      </c>
      <c r="J80" s="172">
        <f t="shared" si="52"/>
        <v>-4.5995526410211388E-3</v>
      </c>
      <c r="K80" s="172">
        <f t="shared" si="52"/>
        <v>-3.9238059128929399E-3</v>
      </c>
      <c r="L80" s="172">
        <f t="shared" si="52"/>
        <v>-3.2055646926952932E-3</v>
      </c>
      <c r="M80" s="172" t="str">
        <f t="shared" si="52"/>
        <v/>
      </c>
      <c r="N80" s="172" t="str">
        <f t="shared" si="52"/>
        <v/>
      </c>
      <c r="O80" s="172" t="str">
        <f t="shared" si="52"/>
        <v/>
      </c>
      <c r="P80" s="172" t="str">
        <f t="shared" si="52"/>
        <v/>
      </c>
      <c r="Q80" s="172" t="str">
        <f t="shared" si="52"/>
        <v/>
      </c>
      <c r="R80" s="172" t="str">
        <f t="shared" si="52"/>
        <v/>
      </c>
      <c r="S80" s="172" t="str">
        <f t="shared" si="52"/>
        <v/>
      </c>
      <c r="T80" s="172" t="str">
        <f t="shared" si="52"/>
        <v/>
      </c>
      <c r="U80" s="172" t="str">
        <f t="shared" si="52"/>
        <v/>
      </c>
      <c r="V80" s="172" t="str">
        <f t="shared" si="52"/>
        <v/>
      </c>
      <c r="W80" s="172" t="str">
        <f t="shared" si="52"/>
        <v/>
      </c>
    </row>
    <row r="81" spans="1:23" ht="15" customHeight="1" x14ac:dyDescent="0.2">
      <c r="A81" s="27" t="s">
        <v>4</v>
      </c>
      <c r="B81" s="27"/>
      <c r="C81" s="172"/>
      <c r="D81" s="172">
        <f t="shared" ref="D81:W81" si="53">IFERROR(D27/D$15,"")</f>
        <v>-8.2071157730309423E-3</v>
      </c>
      <c r="E81" s="172">
        <f t="shared" si="53"/>
        <v>-8.2899036550938849E-3</v>
      </c>
      <c r="F81" s="172">
        <f t="shared" si="53"/>
        <v>-8.5744508742455362E-3</v>
      </c>
      <c r="G81" s="172">
        <f t="shared" si="53"/>
        <v>-1.0076707287706869E-2</v>
      </c>
      <c r="H81" s="172">
        <f t="shared" si="53"/>
        <v>-3.7494278924657684E-3</v>
      </c>
      <c r="I81" s="172">
        <f t="shared" si="53"/>
        <v>4.7763921423780876E-3</v>
      </c>
      <c r="J81" s="172">
        <f t="shared" si="53"/>
        <v>-1.3178386301348948E-2</v>
      </c>
      <c r="K81" s="172">
        <f t="shared" si="53"/>
        <v>-4.2528762355785827E-3</v>
      </c>
      <c r="L81" s="172">
        <f t="shared" si="53"/>
        <v>-2.2854489012734962E-3</v>
      </c>
      <c r="M81" s="172" t="str">
        <f t="shared" si="53"/>
        <v/>
      </c>
      <c r="N81" s="172" t="str">
        <f t="shared" si="53"/>
        <v/>
      </c>
      <c r="O81" s="172" t="str">
        <f t="shared" si="53"/>
        <v/>
      </c>
      <c r="P81" s="172" t="str">
        <f t="shared" si="53"/>
        <v/>
      </c>
      <c r="Q81" s="172" t="str">
        <f t="shared" si="53"/>
        <v/>
      </c>
      <c r="R81" s="172" t="str">
        <f t="shared" si="53"/>
        <v/>
      </c>
      <c r="S81" s="172" t="str">
        <f t="shared" si="53"/>
        <v/>
      </c>
      <c r="T81" s="172" t="str">
        <f t="shared" si="53"/>
        <v/>
      </c>
      <c r="U81" s="172" t="str">
        <f t="shared" si="53"/>
        <v/>
      </c>
      <c r="V81" s="172" t="str">
        <f t="shared" si="53"/>
        <v/>
      </c>
      <c r="W81" s="172" t="str">
        <f t="shared" si="53"/>
        <v/>
      </c>
    </row>
    <row r="82" spans="1:23" ht="15" customHeight="1" x14ac:dyDescent="0.2">
      <c r="A82" s="140" t="s">
        <v>43</v>
      </c>
      <c r="B82" s="140"/>
      <c r="C82" s="172"/>
      <c r="D82" s="172">
        <f t="shared" ref="D82:W82" si="54">IFERROR(D26/D$15,"")</f>
        <v>1.701680054756096E-2</v>
      </c>
      <c r="E82" s="172">
        <f t="shared" si="54"/>
        <v>1.6441848158451233E-2</v>
      </c>
      <c r="F82" s="172">
        <f t="shared" si="54"/>
        <v>1.3602140501524486E-2</v>
      </c>
      <c r="G82" s="172">
        <f t="shared" si="54"/>
        <v>1.2768768793491304E-2</v>
      </c>
      <c r="H82" s="172">
        <f t="shared" si="54"/>
        <v>9.1936931265152108E-3</v>
      </c>
      <c r="I82" s="172">
        <f t="shared" si="54"/>
        <v>8.3222363701752518E-3</v>
      </c>
      <c r="J82" s="172">
        <f t="shared" si="54"/>
        <v>9.3804154483895837E-3</v>
      </c>
      <c r="K82" s="172">
        <f t="shared" si="54"/>
        <v>1.2265023222707283E-2</v>
      </c>
      <c r="L82" s="172">
        <f t="shared" si="54"/>
        <v>8.3037394762847574E-3</v>
      </c>
      <c r="M82" s="172" t="str">
        <f t="shared" si="54"/>
        <v/>
      </c>
      <c r="N82" s="172" t="str">
        <f t="shared" si="54"/>
        <v/>
      </c>
      <c r="O82" s="172" t="str">
        <f t="shared" si="54"/>
        <v/>
      </c>
      <c r="P82" s="172" t="str">
        <f t="shared" si="54"/>
        <v/>
      </c>
      <c r="Q82" s="172" t="str">
        <f t="shared" si="54"/>
        <v/>
      </c>
      <c r="R82" s="172" t="str">
        <f t="shared" si="54"/>
        <v/>
      </c>
      <c r="S82" s="172" t="str">
        <f t="shared" si="54"/>
        <v/>
      </c>
      <c r="T82" s="172" t="str">
        <f t="shared" si="54"/>
        <v/>
      </c>
      <c r="U82" s="172" t="str">
        <f t="shared" si="54"/>
        <v/>
      </c>
      <c r="V82" s="172" t="str">
        <f t="shared" si="54"/>
        <v/>
      </c>
      <c r="W82" s="172" t="str">
        <f t="shared" si="54"/>
        <v/>
      </c>
    </row>
    <row r="83" spans="1:23" ht="15" customHeight="1" x14ac:dyDescent="0.2">
      <c r="A83" s="159" t="s">
        <v>6</v>
      </c>
      <c r="B83" s="159"/>
      <c r="C83" s="182"/>
      <c r="D83" s="182">
        <f t="shared" ref="D83:W83" si="55">IFERROR(D28/D$15,"")</f>
        <v>3.363888690598664E-2</v>
      </c>
      <c r="E83" s="182">
        <f t="shared" si="55"/>
        <v>3.369291940096901E-2</v>
      </c>
      <c r="F83" s="182">
        <f t="shared" si="55"/>
        <v>3.0477257171302344E-2</v>
      </c>
      <c r="G83" s="182">
        <f t="shared" si="55"/>
        <v>2.8079354069890691E-2</v>
      </c>
      <c r="H83" s="182">
        <f t="shared" si="55"/>
        <v>1.9710478611672393E-2</v>
      </c>
      <c r="I83" s="182">
        <f t="shared" si="55"/>
        <v>1.2966436951429322E-2</v>
      </c>
      <c r="J83" s="182">
        <f t="shared" si="55"/>
        <v>2.8400806162255422E-2</v>
      </c>
      <c r="K83" s="182">
        <f t="shared" si="55"/>
        <v>2.4161630758059986E-2</v>
      </c>
      <c r="L83" s="182">
        <f t="shared" si="55"/>
        <v>2.3872378019184501E-2</v>
      </c>
      <c r="M83" s="182" t="str">
        <f t="shared" si="55"/>
        <v/>
      </c>
      <c r="N83" s="182" t="str">
        <f t="shared" si="55"/>
        <v/>
      </c>
      <c r="O83" s="182" t="str">
        <f t="shared" si="55"/>
        <v/>
      </c>
      <c r="P83" s="182" t="str">
        <f t="shared" si="55"/>
        <v/>
      </c>
      <c r="Q83" s="182" t="str">
        <f t="shared" si="55"/>
        <v/>
      </c>
      <c r="R83" s="182" t="str">
        <f t="shared" si="55"/>
        <v/>
      </c>
      <c r="S83" s="182" t="str">
        <f t="shared" si="55"/>
        <v/>
      </c>
      <c r="T83" s="182" t="str">
        <f t="shared" si="55"/>
        <v/>
      </c>
      <c r="U83" s="182" t="str">
        <f t="shared" si="55"/>
        <v/>
      </c>
      <c r="V83" s="182" t="str">
        <f t="shared" si="55"/>
        <v/>
      </c>
      <c r="W83" s="182" t="str">
        <f t="shared" si="55"/>
        <v/>
      </c>
    </row>
    <row r="84" spans="1:23" ht="15" customHeight="1" x14ac:dyDescent="0.2">
      <c r="C84" s="181"/>
      <c r="D84" s="181"/>
      <c r="E84" s="181"/>
      <c r="F84" s="181"/>
      <c r="G84" s="181"/>
      <c r="H84" s="181"/>
      <c r="I84" s="181"/>
      <c r="J84" s="181"/>
      <c r="K84" s="181"/>
      <c r="L84" s="181"/>
      <c r="M84" s="181"/>
      <c r="N84" s="181"/>
      <c r="O84" s="181"/>
      <c r="P84" s="181"/>
      <c r="Q84" s="181"/>
      <c r="R84" s="181"/>
      <c r="S84" s="181"/>
      <c r="T84" s="181"/>
      <c r="U84" s="181"/>
      <c r="V84" s="181"/>
      <c r="W84" s="181"/>
    </row>
    <row r="85" spans="1:23" ht="15" customHeight="1" x14ac:dyDescent="0.2">
      <c r="A85" s="916" t="s">
        <v>51</v>
      </c>
      <c r="B85" s="916"/>
      <c r="C85" s="928"/>
      <c r="D85" s="928"/>
      <c r="E85" s="928"/>
      <c r="F85" s="928"/>
      <c r="G85" s="928"/>
      <c r="H85" s="928"/>
      <c r="I85" s="928"/>
      <c r="J85" s="928"/>
      <c r="K85" s="928"/>
      <c r="L85" s="928"/>
      <c r="M85" s="928"/>
      <c r="N85" s="928"/>
      <c r="O85" s="928"/>
      <c r="P85" s="928"/>
      <c r="Q85" s="928"/>
      <c r="R85" s="928"/>
      <c r="S85" s="928"/>
      <c r="T85" s="928"/>
      <c r="U85" s="928"/>
      <c r="V85" s="928"/>
      <c r="W85" s="928"/>
    </row>
    <row r="86" spans="1:23" ht="15" customHeight="1" x14ac:dyDescent="0.2">
      <c r="A86" s="27" t="s">
        <v>30</v>
      </c>
      <c r="B86" s="27"/>
      <c r="C86" s="172"/>
      <c r="D86" s="172">
        <f t="shared" ref="D86:K86" si="56">IFERROR(D31/D$15,"")</f>
        <v>0.24821853728999316</v>
      </c>
      <c r="E86" s="172">
        <f t="shared" si="56"/>
        <v>0.24825440491216944</v>
      </c>
      <c r="F86" s="172">
        <f t="shared" si="56"/>
        <v>0.25127247837720118</v>
      </c>
      <c r="G86" s="172">
        <f t="shared" si="56"/>
        <v>0.25648060295591646</v>
      </c>
      <c r="H86" s="172">
        <f t="shared" si="56"/>
        <v>0.25371994811559273</v>
      </c>
      <c r="I86" s="172">
        <f t="shared" si="56"/>
        <v>0.25097734275522204</v>
      </c>
      <c r="J86" s="172">
        <f t="shared" si="56"/>
        <v>0.24688528219495995</v>
      </c>
      <c r="K86" s="172">
        <f t="shared" si="56"/>
        <v>0.24829786587165184</v>
      </c>
      <c r="L86" s="172">
        <f t="shared" ref="L86:W86" si="57">IFERROR(L31/L$15,"")</f>
        <v>0.25098733487675334</v>
      </c>
      <c r="M86" s="172" t="str">
        <f t="shared" si="57"/>
        <v/>
      </c>
      <c r="N86" s="172" t="str">
        <f t="shared" si="57"/>
        <v/>
      </c>
      <c r="O86" s="172" t="str">
        <f t="shared" si="57"/>
        <v/>
      </c>
      <c r="P86" s="172" t="str">
        <f t="shared" si="57"/>
        <v/>
      </c>
      <c r="Q86" s="172" t="str">
        <f t="shared" si="57"/>
        <v/>
      </c>
      <c r="R86" s="172" t="str">
        <f t="shared" si="57"/>
        <v/>
      </c>
      <c r="S86" s="172" t="str">
        <f t="shared" si="57"/>
        <v/>
      </c>
      <c r="T86" s="172" t="str">
        <f t="shared" si="57"/>
        <v/>
      </c>
      <c r="U86" s="172" t="str">
        <f t="shared" si="57"/>
        <v/>
      </c>
      <c r="V86" s="172" t="str">
        <f t="shared" si="57"/>
        <v/>
      </c>
      <c r="W86" s="172" t="str">
        <f t="shared" si="57"/>
        <v/>
      </c>
    </row>
    <row r="87" spans="1:23" ht="15" customHeight="1" x14ac:dyDescent="0.2">
      <c r="A87" s="238" t="s">
        <v>42</v>
      </c>
      <c r="B87" s="27"/>
      <c r="C87" s="172"/>
      <c r="D87" s="172">
        <f t="shared" ref="D87:K87" si="58">IFERROR(D32/D$15,"")</f>
        <v>7.5041885894006649E-2</v>
      </c>
      <c r="E87" s="172">
        <f t="shared" si="58"/>
        <v>7.4786214792103789E-2</v>
      </c>
      <c r="F87" s="172">
        <f t="shared" si="58"/>
        <v>6.9605708004065292E-2</v>
      </c>
      <c r="G87" s="172">
        <f t="shared" si="58"/>
        <v>6.7597911388366919E-2</v>
      </c>
      <c r="H87" s="172">
        <f t="shared" si="58"/>
        <v>6.2888858243245138E-2</v>
      </c>
      <c r="I87" s="172">
        <f t="shared" si="58"/>
        <v>6.3442229371798484E-2</v>
      </c>
      <c r="J87" s="172">
        <f t="shared" si="58"/>
        <v>6.1941278408440277E-2</v>
      </c>
      <c r="K87" s="172">
        <f t="shared" si="58"/>
        <v>6.8139017903929344E-2</v>
      </c>
      <c r="L87" s="172">
        <f t="shared" ref="L87:W87" si="59">IFERROR(L32/L$15,"")</f>
        <v>6.3901779821703558E-2</v>
      </c>
      <c r="M87" s="172" t="str">
        <f t="shared" si="59"/>
        <v/>
      </c>
      <c r="N87" s="172" t="str">
        <f t="shared" si="59"/>
        <v/>
      </c>
      <c r="O87" s="172" t="str">
        <f t="shared" si="59"/>
        <v/>
      </c>
      <c r="P87" s="172" t="str">
        <f t="shared" si="59"/>
        <v/>
      </c>
      <c r="Q87" s="172" t="str">
        <f t="shared" si="59"/>
        <v/>
      </c>
      <c r="R87" s="172" t="str">
        <f t="shared" si="59"/>
        <v/>
      </c>
      <c r="S87" s="172" t="str">
        <f t="shared" si="59"/>
        <v/>
      </c>
      <c r="T87" s="172" t="str">
        <f t="shared" si="59"/>
        <v/>
      </c>
      <c r="U87" s="172" t="str">
        <f t="shared" si="59"/>
        <v/>
      </c>
      <c r="V87" s="172" t="str">
        <f t="shared" si="59"/>
        <v/>
      </c>
      <c r="W87" s="172" t="str">
        <f t="shared" si="59"/>
        <v/>
      </c>
    </row>
    <row r="88" spans="1:23" s="48" customFormat="1" ht="15" customHeight="1" x14ac:dyDescent="0.2">
      <c r="A88" s="238" t="s">
        <v>968</v>
      </c>
      <c r="B88" s="50"/>
      <c r="C88" s="172"/>
      <c r="D88" s="172">
        <f t="shared" ref="D88:W88" si="60">IFERROR(D33/D$15,"")</f>
        <v>7.7095525116839592E-2</v>
      </c>
      <c r="E88" s="172">
        <f t="shared" si="60"/>
        <v>7.5574126275864767E-2</v>
      </c>
      <c r="F88" s="172">
        <f t="shared" si="60"/>
        <v>7.1137579076182775E-2</v>
      </c>
      <c r="G88" s="172">
        <f t="shared" si="60"/>
        <v>6.7256752278887694E-2</v>
      </c>
      <c r="H88" s="172">
        <f t="shared" si="60"/>
        <v>6.6040496219593361E-2</v>
      </c>
      <c r="I88" s="172">
        <f t="shared" si="60"/>
        <v>6.3442229371798484E-2</v>
      </c>
      <c r="J88" s="172">
        <f t="shared" si="60"/>
        <v>6.1824858196364636E-2</v>
      </c>
      <c r="K88" s="172">
        <f t="shared" si="60"/>
        <v>6.1400229991540746E-2</v>
      </c>
      <c r="L88" s="172">
        <f t="shared" si="60"/>
        <v>6.4090342450685636E-2</v>
      </c>
      <c r="M88" s="172" t="str">
        <f t="shared" si="60"/>
        <v/>
      </c>
      <c r="N88" s="172" t="str">
        <f t="shared" si="60"/>
        <v/>
      </c>
      <c r="O88" s="172" t="str">
        <f t="shared" si="60"/>
        <v/>
      </c>
      <c r="P88" s="172" t="str">
        <f t="shared" si="60"/>
        <v/>
      </c>
      <c r="Q88" s="172" t="str">
        <f t="shared" si="60"/>
        <v/>
      </c>
      <c r="R88" s="172" t="str">
        <f t="shared" si="60"/>
        <v/>
      </c>
      <c r="S88" s="172" t="str">
        <f t="shared" si="60"/>
        <v/>
      </c>
      <c r="T88" s="172" t="str">
        <f t="shared" si="60"/>
        <v/>
      </c>
      <c r="U88" s="172" t="str">
        <f t="shared" si="60"/>
        <v/>
      </c>
      <c r="V88" s="172" t="str">
        <f t="shared" si="60"/>
        <v/>
      </c>
      <c r="W88" s="172" t="str">
        <f t="shared" si="60"/>
        <v/>
      </c>
    </row>
    <row r="89" spans="1:23" s="48" customFormat="1" ht="15" customHeight="1" x14ac:dyDescent="0.2">
      <c r="A89" s="631" t="s">
        <v>970</v>
      </c>
      <c r="B89" s="50"/>
      <c r="C89" s="172"/>
      <c r="D89" s="172">
        <f t="shared" ref="D89:W89" si="61">IFERROR(D34/D$15,"")</f>
        <v>7.7095525116839592E-2</v>
      </c>
      <c r="E89" s="172">
        <f t="shared" si="61"/>
        <v>7.5574126275864767E-2</v>
      </c>
      <c r="F89" s="172">
        <f t="shared" si="61"/>
        <v>7.1137579076182775E-2</v>
      </c>
      <c r="G89" s="172">
        <f t="shared" si="61"/>
        <v>6.7256752278887694E-2</v>
      </c>
      <c r="H89" s="172">
        <f t="shared" si="61"/>
        <v>6.6040496219593361E-2</v>
      </c>
      <c r="I89" s="172">
        <f t="shared" si="61"/>
        <v>6.3442229371798484E-2</v>
      </c>
      <c r="J89" s="172">
        <f t="shared" si="61"/>
        <v>6.1824858196364636E-2</v>
      </c>
      <c r="K89" s="172">
        <f t="shared" si="61"/>
        <v>6.1400229991540746E-2</v>
      </c>
      <c r="L89" s="172">
        <f t="shared" si="61"/>
        <v>6.4090342450685636E-2</v>
      </c>
      <c r="M89" s="172" t="str">
        <f t="shared" si="61"/>
        <v/>
      </c>
      <c r="N89" s="172" t="str">
        <f t="shared" si="61"/>
        <v/>
      </c>
      <c r="O89" s="172" t="str">
        <f t="shared" si="61"/>
        <v/>
      </c>
      <c r="P89" s="172" t="str">
        <f t="shared" si="61"/>
        <v/>
      </c>
      <c r="Q89" s="172" t="str">
        <f t="shared" si="61"/>
        <v/>
      </c>
      <c r="R89" s="172" t="str">
        <f t="shared" si="61"/>
        <v/>
      </c>
      <c r="S89" s="172" t="str">
        <f t="shared" si="61"/>
        <v/>
      </c>
      <c r="T89" s="172" t="str">
        <f t="shared" si="61"/>
        <v/>
      </c>
      <c r="U89" s="172" t="str">
        <f t="shared" si="61"/>
        <v/>
      </c>
      <c r="V89" s="172" t="str">
        <f t="shared" si="61"/>
        <v/>
      </c>
      <c r="W89" s="172" t="str">
        <f t="shared" si="61"/>
        <v/>
      </c>
    </row>
    <row r="90" spans="1:23" ht="15" customHeight="1" x14ac:dyDescent="0.2">
      <c r="A90" s="238" t="s">
        <v>35</v>
      </c>
      <c r="B90" s="27"/>
      <c r="C90" s="172"/>
      <c r="D90" s="172">
        <f t="shared" ref="D90:K90" si="62">IFERROR(D35/D$15,"")</f>
        <v>5.6418934523634563E-2</v>
      </c>
      <c r="E90" s="172">
        <f t="shared" si="62"/>
        <v>5.5898165555100264E-2</v>
      </c>
      <c r="F90" s="172">
        <f t="shared" si="62"/>
        <v>4.9996888805923713E-2</v>
      </c>
      <c r="G90" s="172">
        <f t="shared" si="62"/>
        <v>4.6851749325441013E-2</v>
      </c>
      <c r="H90" s="172">
        <f t="shared" si="62"/>
        <v>4.1845294128228037E-2</v>
      </c>
      <c r="I90" s="172">
        <f t="shared" si="62"/>
        <v>4.268426628823592E-2</v>
      </c>
      <c r="J90" s="172">
        <f t="shared" si="62"/>
        <v>4.0972280538357594E-2</v>
      </c>
      <c r="K90" s="172">
        <f t="shared" si="62"/>
        <v>4.8194494868112552E-2</v>
      </c>
      <c r="L90" s="172">
        <f t="shared" ref="L90:W90" si="63">IFERROR(L35/L$15,"")</f>
        <v>4.5293441861602016E-2</v>
      </c>
      <c r="M90" s="172" t="str">
        <f t="shared" si="63"/>
        <v/>
      </c>
      <c r="N90" s="172" t="str">
        <f t="shared" si="63"/>
        <v/>
      </c>
      <c r="O90" s="172" t="str">
        <f t="shared" si="63"/>
        <v/>
      </c>
      <c r="P90" s="172" t="str">
        <f t="shared" si="63"/>
        <v/>
      </c>
      <c r="Q90" s="172" t="str">
        <f t="shared" si="63"/>
        <v/>
      </c>
      <c r="R90" s="172" t="str">
        <f t="shared" si="63"/>
        <v/>
      </c>
      <c r="S90" s="172" t="str">
        <f t="shared" si="63"/>
        <v/>
      </c>
      <c r="T90" s="172" t="str">
        <f t="shared" si="63"/>
        <v/>
      </c>
      <c r="U90" s="172" t="str">
        <f t="shared" si="63"/>
        <v/>
      </c>
      <c r="V90" s="172" t="str">
        <f t="shared" si="63"/>
        <v/>
      </c>
      <c r="W90" s="172" t="str">
        <f t="shared" si="63"/>
        <v/>
      </c>
    </row>
    <row r="91" spans="1:23" s="48" customFormat="1" ht="15" customHeight="1" x14ac:dyDescent="0.2">
      <c r="A91" s="50" t="s">
        <v>972</v>
      </c>
      <c r="B91" s="50"/>
      <c r="C91" s="172"/>
      <c r="D91" s="172">
        <f t="shared" ref="D91:W91" si="64">IFERROR(D36/D$15,"")</f>
        <v>5.847257374646752E-2</v>
      </c>
      <c r="E91" s="172">
        <f t="shared" si="64"/>
        <v>5.6686077038861242E-2</v>
      </c>
      <c r="F91" s="172">
        <f t="shared" si="64"/>
        <v>5.1528759878041196E-2</v>
      </c>
      <c r="G91" s="172">
        <f t="shared" si="64"/>
        <v>4.6531501030104575E-2</v>
      </c>
      <c r="H91" s="172">
        <f t="shared" si="64"/>
        <v>4.4996932104576261E-2</v>
      </c>
      <c r="I91" s="172">
        <f t="shared" si="64"/>
        <v>4.268426628823592E-2</v>
      </c>
      <c r="J91" s="172">
        <f t="shared" si="64"/>
        <v>4.0855860326281961E-2</v>
      </c>
      <c r="K91" s="172">
        <f t="shared" si="64"/>
        <v>4.1455706955723946E-2</v>
      </c>
      <c r="L91" s="172">
        <f t="shared" si="64"/>
        <v>4.5482004490584094E-2</v>
      </c>
      <c r="M91" s="172" t="str">
        <f t="shared" si="64"/>
        <v/>
      </c>
      <c r="N91" s="172" t="str">
        <f t="shared" si="64"/>
        <v/>
      </c>
      <c r="O91" s="172" t="str">
        <f t="shared" si="64"/>
        <v/>
      </c>
      <c r="P91" s="172" t="str">
        <f t="shared" si="64"/>
        <v/>
      </c>
      <c r="Q91" s="172" t="str">
        <f t="shared" si="64"/>
        <v/>
      </c>
      <c r="R91" s="172" t="str">
        <f t="shared" si="64"/>
        <v/>
      </c>
      <c r="S91" s="172" t="str">
        <f t="shared" si="64"/>
        <v/>
      </c>
      <c r="T91" s="172" t="str">
        <f t="shared" si="64"/>
        <v/>
      </c>
      <c r="U91" s="172" t="str">
        <f t="shared" si="64"/>
        <v/>
      </c>
      <c r="V91" s="172" t="str">
        <f t="shared" si="64"/>
        <v/>
      </c>
      <c r="W91" s="172" t="str">
        <f t="shared" si="64"/>
        <v/>
      </c>
    </row>
    <row r="92" spans="1:23" s="48" customFormat="1" ht="15" customHeight="1" x14ac:dyDescent="0.2">
      <c r="A92" s="630" t="s">
        <v>974</v>
      </c>
      <c r="B92" s="50"/>
      <c r="C92" s="172"/>
      <c r="D92" s="172">
        <f t="shared" ref="D92:W92" si="65">IFERROR(D37/D$15,"")</f>
        <v>5.847257374646752E-2</v>
      </c>
      <c r="E92" s="172">
        <f t="shared" si="65"/>
        <v>5.6686077038861242E-2</v>
      </c>
      <c r="F92" s="172">
        <f t="shared" si="65"/>
        <v>5.1528759878041196E-2</v>
      </c>
      <c r="G92" s="172">
        <f t="shared" si="65"/>
        <v>4.6531501030104575E-2</v>
      </c>
      <c r="H92" s="172">
        <f t="shared" si="65"/>
        <v>4.4996932104576261E-2</v>
      </c>
      <c r="I92" s="172">
        <f t="shared" si="65"/>
        <v>4.268426628823592E-2</v>
      </c>
      <c r="J92" s="172">
        <f t="shared" si="65"/>
        <v>4.0855860326281961E-2</v>
      </c>
      <c r="K92" s="172">
        <f t="shared" si="65"/>
        <v>4.1455706955723946E-2</v>
      </c>
      <c r="L92" s="172">
        <f t="shared" si="65"/>
        <v>4.5482004490584094E-2</v>
      </c>
      <c r="M92" s="172" t="str">
        <f t="shared" si="65"/>
        <v/>
      </c>
      <c r="N92" s="172" t="str">
        <f t="shared" si="65"/>
        <v/>
      </c>
      <c r="O92" s="172" t="str">
        <f t="shared" si="65"/>
        <v/>
      </c>
      <c r="P92" s="172" t="str">
        <f t="shared" si="65"/>
        <v/>
      </c>
      <c r="Q92" s="172" t="str">
        <f t="shared" si="65"/>
        <v/>
      </c>
      <c r="R92" s="172" t="str">
        <f t="shared" si="65"/>
        <v/>
      </c>
      <c r="S92" s="172" t="str">
        <f t="shared" si="65"/>
        <v/>
      </c>
      <c r="T92" s="172" t="str">
        <f t="shared" si="65"/>
        <v/>
      </c>
      <c r="U92" s="172" t="str">
        <f t="shared" si="65"/>
        <v/>
      </c>
      <c r="V92" s="172" t="str">
        <f t="shared" si="65"/>
        <v/>
      </c>
      <c r="W92" s="172" t="str">
        <f t="shared" si="65"/>
        <v/>
      </c>
    </row>
    <row r="93" spans="1:23" ht="15" customHeight="1" x14ac:dyDescent="0.2">
      <c r="A93" s="27" t="s">
        <v>50</v>
      </c>
      <c r="B93" s="27"/>
      <c r="C93" s="172"/>
      <c r="D93" s="172">
        <f t="shared" ref="D93:K93" si="66">IFERROR(D38/D$15,"")</f>
        <v>5.1766345996380386E-2</v>
      </c>
      <c r="E93" s="172">
        <f t="shared" si="66"/>
        <v>5.106341796887065E-2</v>
      </c>
      <c r="F93" s="172">
        <f t="shared" si="66"/>
        <v>4.4880011615124553E-2</v>
      </c>
      <c r="G93" s="172">
        <f t="shared" si="66"/>
        <v>4.218592101228099E-2</v>
      </c>
      <c r="H93" s="172">
        <f t="shared" si="66"/>
        <v>3.0225265467889027E-2</v>
      </c>
      <c r="I93" s="172">
        <f t="shared" si="66"/>
        <v>2.2278166036488758E-2</v>
      </c>
      <c r="J93" s="172">
        <f t="shared" si="66"/>
        <v>3.8391950592025409E-2</v>
      </c>
      <c r="K93" s="172">
        <f t="shared" si="66"/>
        <v>3.6777185411454152E-2</v>
      </c>
      <c r="L93" s="172">
        <f t="shared" ref="L93:W93" si="67">IFERROR(L38/L$15,"")</f>
        <v>3.2642286217119391E-2</v>
      </c>
      <c r="M93" s="172" t="str">
        <f t="shared" si="67"/>
        <v/>
      </c>
      <c r="N93" s="172" t="str">
        <f t="shared" si="67"/>
        <v/>
      </c>
      <c r="O93" s="172" t="str">
        <f t="shared" si="67"/>
        <v/>
      </c>
      <c r="P93" s="172" t="str">
        <f t="shared" si="67"/>
        <v/>
      </c>
      <c r="Q93" s="172" t="str">
        <f t="shared" si="67"/>
        <v/>
      </c>
      <c r="R93" s="172" t="str">
        <f t="shared" si="67"/>
        <v/>
      </c>
      <c r="S93" s="172" t="str">
        <f t="shared" si="67"/>
        <v/>
      </c>
      <c r="T93" s="172" t="str">
        <f t="shared" si="67"/>
        <v/>
      </c>
      <c r="U93" s="172" t="str">
        <f t="shared" si="67"/>
        <v/>
      </c>
      <c r="V93" s="172" t="str">
        <f t="shared" si="67"/>
        <v/>
      </c>
      <c r="W93" s="172" t="str">
        <f t="shared" si="67"/>
        <v/>
      </c>
    </row>
    <row r="94" spans="1:23" ht="15" customHeight="1" x14ac:dyDescent="0.2">
      <c r="A94" s="27" t="s">
        <v>6</v>
      </c>
      <c r="B94" s="27"/>
      <c r="C94" s="172"/>
      <c r="D94" s="172">
        <f>IFERROR(D39/D$15,"")</f>
        <v>3.363888690598664E-2</v>
      </c>
      <c r="E94" s="172">
        <f t="shared" ref="E94:K94" si="68">IFERROR(E39/E$15,"")</f>
        <v>3.369291940096901E-2</v>
      </c>
      <c r="F94" s="172">
        <f t="shared" si="68"/>
        <v>3.0477257171302344E-2</v>
      </c>
      <c r="G94" s="172">
        <f t="shared" si="68"/>
        <v>2.8079354069890691E-2</v>
      </c>
      <c r="H94" s="172">
        <f t="shared" si="68"/>
        <v>1.9710478611672393E-2</v>
      </c>
      <c r="I94" s="172">
        <f t="shared" si="68"/>
        <v>1.2966436951429322E-2</v>
      </c>
      <c r="J94" s="172">
        <f t="shared" si="68"/>
        <v>2.8400806162255422E-2</v>
      </c>
      <c r="K94" s="172">
        <f t="shared" si="68"/>
        <v>2.4161630758059986E-2</v>
      </c>
      <c r="L94" s="172">
        <f t="shared" ref="L94:W94" si="69">IFERROR(L39/L$15,"")</f>
        <v>2.3872378019184501E-2</v>
      </c>
      <c r="M94" s="172" t="str">
        <f t="shared" si="69"/>
        <v/>
      </c>
      <c r="N94" s="172" t="str">
        <f t="shared" si="69"/>
        <v/>
      </c>
      <c r="O94" s="172" t="str">
        <f t="shared" si="69"/>
        <v/>
      </c>
      <c r="P94" s="172" t="str">
        <f t="shared" si="69"/>
        <v/>
      </c>
      <c r="Q94" s="172" t="str">
        <f t="shared" si="69"/>
        <v/>
      </c>
      <c r="R94" s="172" t="str">
        <f t="shared" si="69"/>
        <v/>
      </c>
      <c r="S94" s="172" t="str">
        <f t="shared" si="69"/>
        <v/>
      </c>
      <c r="T94" s="172" t="str">
        <f t="shared" si="69"/>
        <v/>
      </c>
      <c r="U94" s="172" t="str">
        <f t="shared" si="69"/>
        <v/>
      </c>
      <c r="V94" s="172" t="str">
        <f t="shared" si="69"/>
        <v/>
      </c>
      <c r="W94" s="172" t="str">
        <f t="shared" si="69"/>
        <v/>
      </c>
    </row>
    <row r="95" spans="1:23" s="48" customFormat="1" ht="15" customHeight="1" x14ac:dyDescent="0.2">
      <c r="A95" s="170" t="s">
        <v>976</v>
      </c>
      <c r="B95" s="50"/>
      <c r="C95" s="172"/>
      <c r="D95" s="172">
        <f>IFERROR(D40/D$15,"")</f>
        <v>3.5222215690308929E-2</v>
      </c>
      <c r="E95" s="172">
        <f t="shared" ref="E95:W95" si="70">IFERROR(E40/E$15,"")</f>
        <v>3.3855608245427271E-2</v>
      </c>
      <c r="F95" s="172">
        <f t="shared" si="70"/>
        <v>3.0626656710845624E-2</v>
      </c>
      <c r="G95" s="172">
        <f t="shared" si="70"/>
        <v>2.7669452717068041E-2</v>
      </c>
      <c r="H95" s="172">
        <f t="shared" si="70"/>
        <v>2.6590159150822537E-2</v>
      </c>
      <c r="I95" s="172">
        <f t="shared" si="70"/>
        <v>2.8110049474635745E-2</v>
      </c>
      <c r="J95" s="172">
        <f t="shared" si="70"/>
        <v>2.6985136383415653E-2</v>
      </c>
      <c r="K95" s="172">
        <f t="shared" si="70"/>
        <v>2.7902230345649027E-2</v>
      </c>
      <c r="L95" s="172">
        <f t="shared" si="70"/>
        <v>3.1637142647628826E-2</v>
      </c>
      <c r="M95" s="172" t="str">
        <f t="shared" si="70"/>
        <v/>
      </c>
      <c r="N95" s="172" t="str">
        <f t="shared" si="70"/>
        <v/>
      </c>
      <c r="O95" s="172" t="str">
        <f t="shared" si="70"/>
        <v/>
      </c>
      <c r="P95" s="172" t="str">
        <f t="shared" si="70"/>
        <v/>
      </c>
      <c r="Q95" s="172" t="str">
        <f t="shared" si="70"/>
        <v/>
      </c>
      <c r="R95" s="172" t="str">
        <f t="shared" si="70"/>
        <v/>
      </c>
      <c r="S95" s="172" t="str">
        <f t="shared" si="70"/>
        <v/>
      </c>
      <c r="T95" s="172" t="str">
        <f t="shared" si="70"/>
        <v/>
      </c>
      <c r="U95" s="172" t="str">
        <f t="shared" si="70"/>
        <v/>
      </c>
      <c r="V95" s="172" t="str">
        <f t="shared" si="70"/>
        <v/>
      </c>
      <c r="W95" s="172" t="str">
        <f t="shared" si="70"/>
        <v/>
      </c>
    </row>
    <row r="96" spans="1:23" s="48" customFormat="1" ht="15" customHeight="1" x14ac:dyDescent="0.2">
      <c r="A96" s="170" t="s">
        <v>978</v>
      </c>
      <c r="B96" s="50"/>
      <c r="C96" s="172"/>
      <c r="D96" s="172">
        <f>IFERROR(D41/D$15,"")</f>
        <v>3.5222215690308929E-2</v>
      </c>
      <c r="E96" s="172">
        <f t="shared" ref="E96:W96" si="71">IFERROR(E41/E$15,"")</f>
        <v>3.3855608245427271E-2</v>
      </c>
      <c r="F96" s="172">
        <f t="shared" si="71"/>
        <v>3.0626656710845624E-2</v>
      </c>
      <c r="G96" s="172">
        <f t="shared" si="71"/>
        <v>2.7669452717068041E-2</v>
      </c>
      <c r="H96" s="172">
        <f t="shared" si="71"/>
        <v>2.6590159150822537E-2</v>
      </c>
      <c r="I96" s="172">
        <f t="shared" si="71"/>
        <v>2.8110049474635745E-2</v>
      </c>
      <c r="J96" s="172">
        <f t="shared" si="71"/>
        <v>2.6985136383415653E-2</v>
      </c>
      <c r="K96" s="172">
        <f t="shared" si="71"/>
        <v>2.7902230345649027E-2</v>
      </c>
      <c r="L96" s="172">
        <f t="shared" si="71"/>
        <v>3.1637142647628826E-2</v>
      </c>
      <c r="M96" s="172" t="str">
        <f t="shared" si="71"/>
        <v/>
      </c>
      <c r="N96" s="172" t="str">
        <f t="shared" si="71"/>
        <v/>
      </c>
      <c r="O96" s="172" t="str">
        <f t="shared" si="71"/>
        <v/>
      </c>
      <c r="P96" s="172" t="str">
        <f t="shared" si="71"/>
        <v/>
      </c>
      <c r="Q96" s="172" t="str">
        <f t="shared" si="71"/>
        <v/>
      </c>
      <c r="R96" s="172" t="str">
        <f t="shared" si="71"/>
        <v/>
      </c>
      <c r="S96" s="172" t="str">
        <f t="shared" si="71"/>
        <v/>
      </c>
      <c r="T96" s="172" t="str">
        <f t="shared" si="71"/>
        <v/>
      </c>
      <c r="U96" s="172" t="str">
        <f t="shared" si="71"/>
        <v/>
      </c>
      <c r="V96" s="172" t="str">
        <f t="shared" si="71"/>
        <v/>
      </c>
      <c r="W96" s="172" t="str">
        <f t="shared" si="71"/>
        <v/>
      </c>
    </row>
    <row r="97" spans="1:23" ht="15" customHeight="1" x14ac:dyDescent="0.2">
      <c r="A97" s="27"/>
      <c r="B97" s="27"/>
      <c r="C97" s="181"/>
      <c r="D97" s="181"/>
      <c r="E97" s="181"/>
      <c r="F97" s="181"/>
      <c r="G97" s="181"/>
      <c r="H97" s="181"/>
      <c r="I97" s="181"/>
      <c r="J97" s="181"/>
      <c r="K97" s="181"/>
      <c r="L97" s="181"/>
      <c r="M97" s="181"/>
      <c r="N97" s="181"/>
      <c r="O97" s="181"/>
      <c r="P97" s="181"/>
      <c r="Q97" s="181"/>
      <c r="R97" s="181"/>
      <c r="S97" s="181"/>
      <c r="T97" s="181"/>
      <c r="U97" s="181"/>
      <c r="V97" s="181"/>
      <c r="W97" s="181"/>
    </row>
    <row r="98" spans="1:23" ht="15" customHeight="1" x14ac:dyDescent="0.2">
      <c r="A98" s="916" t="s">
        <v>52</v>
      </c>
      <c r="B98" s="916"/>
      <c r="C98" s="929"/>
      <c r="D98" s="929"/>
      <c r="E98" s="929"/>
      <c r="F98" s="929"/>
      <c r="G98" s="929"/>
      <c r="H98" s="929"/>
      <c r="I98" s="929"/>
      <c r="J98" s="929"/>
      <c r="K98" s="929"/>
      <c r="L98" s="929"/>
      <c r="M98" s="929"/>
      <c r="N98" s="929"/>
      <c r="O98" s="929"/>
      <c r="P98" s="929"/>
      <c r="Q98" s="929"/>
      <c r="R98" s="929"/>
      <c r="S98" s="929"/>
      <c r="T98" s="929"/>
      <c r="U98" s="929"/>
      <c r="V98" s="929"/>
      <c r="W98" s="929"/>
    </row>
    <row r="99" spans="1:23" ht="15" customHeight="1" x14ac:dyDescent="0.2">
      <c r="A99" s="25" t="s">
        <v>8</v>
      </c>
      <c r="C99" s="183"/>
      <c r="D99" s="183">
        <f t="shared" ref="D99:K99" si="72">IFERROR(D63/D$15,"")</f>
        <v>1.4018652344980202E-2</v>
      </c>
      <c r="E99" s="183">
        <f t="shared" si="72"/>
        <v>1.3956524335376639E-2</v>
      </c>
      <c r="F99" s="183">
        <f t="shared" si="72"/>
        <v>1.1664903656690104E-2</v>
      </c>
      <c r="G99" s="183">
        <f t="shared" si="72"/>
        <v>1.2009311075116337E-2</v>
      </c>
      <c r="H99" s="183">
        <f t="shared" si="72"/>
        <v>1.1220302872229651E-2</v>
      </c>
      <c r="I99" s="183">
        <f t="shared" si="72"/>
        <v>1.2214111449149989E-2</v>
      </c>
      <c r="J99" s="183">
        <f t="shared" si="72"/>
        <v>1.1993190371857608E-2</v>
      </c>
      <c r="K99" s="183">
        <f t="shared" si="72"/>
        <v>1.1653381644672011E-2</v>
      </c>
      <c r="L99" s="183">
        <f t="shared" ref="L99:W99" si="73">IFERROR(L63/L$15,"")</f>
        <v>1.4456468221959166E-2</v>
      </c>
      <c r="M99" s="183" t="str">
        <f t="shared" si="73"/>
        <v/>
      </c>
      <c r="N99" s="183" t="str">
        <f t="shared" si="73"/>
        <v/>
      </c>
      <c r="O99" s="183" t="str">
        <f t="shared" si="73"/>
        <v/>
      </c>
      <c r="P99" s="183" t="str">
        <f t="shared" si="73"/>
        <v/>
      </c>
      <c r="Q99" s="183" t="str">
        <f t="shared" si="73"/>
        <v/>
      </c>
      <c r="R99" s="183" t="str">
        <f t="shared" si="73"/>
        <v/>
      </c>
      <c r="S99" s="183" t="str">
        <f t="shared" si="73"/>
        <v/>
      </c>
      <c r="T99" s="183" t="str">
        <f t="shared" si="73"/>
        <v/>
      </c>
      <c r="U99" s="183" t="str">
        <f t="shared" si="73"/>
        <v/>
      </c>
      <c r="V99" s="183" t="str">
        <f t="shared" si="73"/>
        <v/>
      </c>
      <c r="W99" s="183" t="str">
        <f t="shared" si="73"/>
        <v/>
      </c>
    </row>
    <row r="100" spans="1:23" ht="15" customHeight="1" x14ac:dyDescent="0.2">
      <c r="A100" s="25" t="s">
        <v>25</v>
      </c>
      <c r="C100" s="183"/>
      <c r="D100" s="183">
        <f t="shared" ref="D100:K100" si="74">IFERROR(D64/D$15,"")</f>
        <v>7.8554422268598809E-2</v>
      </c>
      <c r="E100" s="183">
        <f t="shared" si="74"/>
        <v>7.9089716689556902E-2</v>
      </c>
      <c r="F100" s="183">
        <f t="shared" si="74"/>
        <v>7.9827017609358467E-2</v>
      </c>
      <c r="G100" s="183">
        <f t="shared" si="74"/>
        <v>8.5275370312818372E-2</v>
      </c>
      <c r="H100" s="183">
        <f t="shared" si="74"/>
        <v>9.2120805127682406E-2</v>
      </c>
      <c r="I100" s="183">
        <f t="shared" si="74"/>
        <v>9.1484336272003572E-2</v>
      </c>
      <c r="J100" s="183">
        <f t="shared" si="74"/>
        <v>8.9649288882442307E-2</v>
      </c>
      <c r="K100" s="183">
        <f t="shared" si="74"/>
        <v>8.7885025690734697E-2</v>
      </c>
      <c r="L100" s="183">
        <f t="shared" ref="L100:W100" si="75">IFERROR(L64/L$15,"")</f>
        <v>9.6482957779430611E-2</v>
      </c>
      <c r="M100" s="183" t="str">
        <f t="shared" si="75"/>
        <v/>
      </c>
      <c r="N100" s="183" t="str">
        <f t="shared" si="75"/>
        <v/>
      </c>
      <c r="O100" s="183" t="str">
        <f t="shared" si="75"/>
        <v/>
      </c>
      <c r="P100" s="183" t="str">
        <f t="shared" si="75"/>
        <v/>
      </c>
      <c r="Q100" s="183" t="str">
        <f t="shared" si="75"/>
        <v/>
      </c>
      <c r="R100" s="183" t="str">
        <f t="shared" si="75"/>
        <v/>
      </c>
      <c r="S100" s="183" t="str">
        <f t="shared" si="75"/>
        <v/>
      </c>
      <c r="T100" s="183" t="str">
        <f t="shared" si="75"/>
        <v/>
      </c>
      <c r="U100" s="183" t="str">
        <f t="shared" si="75"/>
        <v/>
      </c>
      <c r="V100" s="183" t="str">
        <f t="shared" si="75"/>
        <v/>
      </c>
      <c r="W100" s="183" t="str">
        <f t="shared" si="75"/>
        <v/>
      </c>
    </row>
    <row r="101" spans="1:23" ht="15" customHeight="1" x14ac:dyDescent="0.2">
      <c r="A101" s="25" t="s">
        <v>53</v>
      </c>
      <c r="C101" s="183"/>
      <c r="D101" s="183">
        <f t="shared" ref="D101:K101" si="76">IFERROR(D65/D$15,"")</f>
        <v>4.8829084557017302E-2</v>
      </c>
      <c r="E101" s="183">
        <f t="shared" si="76"/>
        <v>5.8815898659737138E-2</v>
      </c>
      <c r="F101" s="183">
        <f t="shared" si="76"/>
        <v>5.7146412793230045E-2</v>
      </c>
      <c r="G101" s="183">
        <f t="shared" si="76"/>
        <v>6.5187816569350424E-2</v>
      </c>
      <c r="H101" s="183">
        <f t="shared" si="76"/>
        <v>5.6635148288274241E-2</v>
      </c>
      <c r="I101" s="183">
        <f t="shared" si="76"/>
        <v>5.3951652880512437E-2</v>
      </c>
      <c r="J101" s="183">
        <f t="shared" si="76"/>
        <v>4.8199876327381271E-2</v>
      </c>
      <c r="K101" s="183">
        <f t="shared" si="76"/>
        <v>6.4515667503053736E-2</v>
      </c>
      <c r="L101" s="183">
        <f t="shared" ref="L101:W101" si="77">IFERROR(L65/L$15,"")</f>
        <v>4.221882343903316E-2</v>
      </c>
      <c r="M101" s="183" t="str">
        <f t="shared" si="77"/>
        <v/>
      </c>
      <c r="N101" s="183" t="str">
        <f t="shared" si="77"/>
        <v/>
      </c>
      <c r="O101" s="183" t="str">
        <f t="shared" si="77"/>
        <v/>
      </c>
      <c r="P101" s="183" t="str">
        <f t="shared" si="77"/>
        <v/>
      </c>
      <c r="Q101" s="183" t="str">
        <f t="shared" si="77"/>
        <v/>
      </c>
      <c r="R101" s="183" t="str">
        <f t="shared" si="77"/>
        <v/>
      </c>
      <c r="S101" s="183" t="str">
        <f t="shared" si="77"/>
        <v/>
      </c>
      <c r="T101" s="183" t="str">
        <f t="shared" si="77"/>
        <v/>
      </c>
      <c r="U101" s="183" t="str">
        <f t="shared" si="77"/>
        <v/>
      </c>
      <c r="V101" s="183" t="str">
        <f t="shared" si="77"/>
        <v/>
      </c>
      <c r="W101" s="183" t="str">
        <f t="shared" si="77"/>
        <v/>
      </c>
    </row>
    <row r="102" spans="1:23" ht="15" customHeight="1" x14ac:dyDescent="0.2">
      <c r="A102" s="25" t="s">
        <v>1033</v>
      </c>
      <c r="C102" s="183"/>
      <c r="D102" s="587">
        <f t="shared" ref="D102:W102" si="78">IFERROR(D$65/D$28,"")</f>
        <v>1.4515665959305954</v>
      </c>
      <c r="E102" s="587">
        <f t="shared" si="78"/>
        <v>1.7456456639980444</v>
      </c>
      <c r="F102" s="587">
        <f t="shared" si="78"/>
        <v>1.875051041241323</v>
      </c>
      <c r="G102" s="587">
        <f t="shared" si="78"/>
        <v>2.3215568423367294</v>
      </c>
      <c r="H102" s="587">
        <f t="shared" si="78"/>
        <v>2.8733522612046238</v>
      </c>
      <c r="I102" s="587">
        <f t="shared" si="78"/>
        <v>4.160869565217391</v>
      </c>
      <c r="J102" s="587">
        <f t="shared" si="78"/>
        <v>1.6971305691821785</v>
      </c>
      <c r="K102" s="587">
        <f t="shared" si="78"/>
        <v>2.6701702442635087</v>
      </c>
      <c r="L102" s="587">
        <f t="shared" si="78"/>
        <v>1.7685219044832883</v>
      </c>
      <c r="M102" s="587" t="str">
        <f t="shared" si="78"/>
        <v/>
      </c>
      <c r="N102" s="587" t="str">
        <f t="shared" si="78"/>
        <v/>
      </c>
      <c r="O102" s="587" t="str">
        <f t="shared" si="78"/>
        <v/>
      </c>
      <c r="P102" s="587" t="str">
        <f t="shared" si="78"/>
        <v/>
      </c>
      <c r="Q102" s="587" t="str">
        <f t="shared" si="78"/>
        <v/>
      </c>
      <c r="R102" s="587" t="str">
        <f t="shared" si="78"/>
        <v/>
      </c>
      <c r="S102" s="587" t="str">
        <f t="shared" si="78"/>
        <v/>
      </c>
      <c r="T102" s="587" t="str">
        <f t="shared" si="78"/>
        <v/>
      </c>
      <c r="U102" s="587" t="str">
        <f t="shared" si="78"/>
        <v/>
      </c>
      <c r="V102" s="587" t="str">
        <f t="shared" si="78"/>
        <v/>
      </c>
      <c r="W102" s="587" t="str">
        <f t="shared" si="78"/>
        <v/>
      </c>
    </row>
    <row r="103" spans="1:23" ht="15" customHeight="1" x14ac:dyDescent="0.2">
      <c r="C103" s="172"/>
      <c r="D103" s="172"/>
      <c r="E103" s="172"/>
      <c r="F103" s="172"/>
      <c r="G103" s="172"/>
      <c r="H103" s="172"/>
      <c r="I103" s="172"/>
      <c r="J103" s="172"/>
      <c r="K103" s="172"/>
      <c r="L103" s="172"/>
      <c r="M103" s="172"/>
      <c r="N103" s="172"/>
      <c r="O103" s="172"/>
      <c r="P103" s="172"/>
      <c r="Q103" s="172"/>
      <c r="R103" s="172"/>
      <c r="S103" s="172"/>
      <c r="T103" s="172"/>
      <c r="U103" s="172"/>
      <c r="V103" s="172"/>
      <c r="W103" s="172"/>
    </row>
    <row r="104" spans="1:23" ht="15" customHeight="1" x14ac:dyDescent="0.2">
      <c r="A104" s="916" t="s">
        <v>480</v>
      </c>
      <c r="B104" s="916"/>
      <c r="C104" s="929"/>
      <c r="D104" s="929"/>
      <c r="E104" s="929"/>
      <c r="F104" s="929"/>
      <c r="G104" s="929"/>
      <c r="H104" s="929"/>
      <c r="I104" s="929"/>
      <c r="J104" s="929"/>
      <c r="K104" s="929"/>
      <c r="L104" s="929"/>
      <c r="M104" s="929"/>
      <c r="N104" s="929"/>
      <c r="O104" s="929"/>
      <c r="P104" s="929"/>
      <c r="Q104" s="929"/>
      <c r="R104" s="929"/>
      <c r="S104" s="929"/>
      <c r="T104" s="929"/>
      <c r="U104" s="929"/>
      <c r="V104" s="929"/>
      <c r="W104" s="929"/>
    </row>
    <row r="105" spans="1:23" ht="15" customHeight="1" x14ac:dyDescent="0.2">
      <c r="C105" s="172"/>
      <c r="D105" s="172"/>
      <c r="E105" s="172"/>
      <c r="F105" s="172"/>
      <c r="G105" s="172"/>
      <c r="H105" s="172"/>
      <c r="I105" s="172"/>
      <c r="J105" s="172"/>
      <c r="K105" s="172"/>
      <c r="L105" s="172"/>
      <c r="M105" s="172"/>
      <c r="N105" s="172"/>
      <c r="O105" s="172"/>
      <c r="P105" s="172"/>
      <c r="Q105" s="172"/>
      <c r="R105" s="172"/>
      <c r="S105" s="172"/>
      <c r="T105" s="172"/>
      <c r="U105" s="172"/>
      <c r="V105" s="172"/>
      <c r="W105" s="172"/>
    </row>
    <row r="106" spans="1:23" ht="15" customHeight="1" x14ac:dyDescent="0.2">
      <c r="A106" s="25" t="s">
        <v>34</v>
      </c>
      <c r="C106" s="363"/>
      <c r="D106" s="172">
        <f t="shared" ref="D106:W106" si="79">IFERROR(D16/SUM(D$16,D$19:D$22),"")</f>
        <v>0.78131191467448702</v>
      </c>
      <c r="E106" s="172">
        <f t="shared" si="79"/>
        <v>0.78063706361441765</v>
      </c>
      <c r="F106" s="172">
        <f t="shared" si="79"/>
        <v>0.77219297551333854</v>
      </c>
      <c r="G106" s="172">
        <f t="shared" si="79"/>
        <v>0.76344969980282718</v>
      </c>
      <c r="H106" s="172">
        <f t="shared" si="79"/>
        <v>0.76213375243654768</v>
      </c>
      <c r="I106" s="172">
        <f t="shared" si="79"/>
        <v>0.76581413005887189</v>
      </c>
      <c r="J106" s="172">
        <f t="shared" si="79"/>
        <v>0.76848698009476457</v>
      </c>
      <c r="K106" s="172">
        <f t="shared" si="79"/>
        <v>0.77355504228358996</v>
      </c>
      <c r="L106" s="172">
        <f t="shared" si="79"/>
        <v>0.76954813711948622</v>
      </c>
      <c r="M106" s="172" t="str">
        <f t="shared" si="79"/>
        <v/>
      </c>
      <c r="N106" s="172" t="str">
        <f t="shared" si="79"/>
        <v/>
      </c>
      <c r="O106" s="172" t="str">
        <f t="shared" si="79"/>
        <v/>
      </c>
      <c r="P106" s="172" t="str">
        <f t="shared" si="79"/>
        <v/>
      </c>
      <c r="Q106" s="172" t="str">
        <f t="shared" si="79"/>
        <v/>
      </c>
      <c r="R106" s="172" t="str">
        <f t="shared" si="79"/>
        <v/>
      </c>
      <c r="S106" s="172" t="str">
        <f t="shared" si="79"/>
        <v/>
      </c>
      <c r="T106" s="172" t="str">
        <f t="shared" si="79"/>
        <v/>
      </c>
      <c r="U106" s="172" t="str">
        <f t="shared" si="79"/>
        <v/>
      </c>
      <c r="V106" s="172" t="str">
        <f t="shared" si="79"/>
        <v/>
      </c>
      <c r="W106" s="172" t="str">
        <f t="shared" si="79"/>
        <v/>
      </c>
    </row>
    <row r="107" spans="1:23" ht="15" customHeight="1" x14ac:dyDescent="0.2">
      <c r="A107" s="140" t="s">
        <v>0</v>
      </c>
      <c r="B107" s="140"/>
      <c r="C107" s="363"/>
      <c r="D107" s="172">
        <f t="shared" ref="D107:K110" si="80">IFERROR(D19/SUM(D$16,D$19:D$22),"")</f>
        <v>0.19933361263124821</v>
      </c>
      <c r="E107" s="172">
        <f t="shared" si="80"/>
        <v>0.19974897204694694</v>
      </c>
      <c r="F107" s="172">
        <f t="shared" si="80"/>
        <v>0.2075836561642341</v>
      </c>
      <c r="G107" s="172">
        <f t="shared" si="80"/>
        <v>0.2152480298569916</v>
      </c>
      <c r="H107" s="172">
        <f t="shared" si="80"/>
        <v>0.21637564166675172</v>
      </c>
      <c r="I107" s="172">
        <f t="shared" si="80"/>
        <v>0.21296255808684106</v>
      </c>
      <c r="J107" s="172">
        <f t="shared" si="80"/>
        <v>0.2101160116303753</v>
      </c>
      <c r="K107" s="172">
        <f t="shared" si="80"/>
        <v>0.20592062279725043</v>
      </c>
      <c r="L107" s="172">
        <f t="shared" ref="L107:W107" si="81">IFERROR(L19/SUM(L$16,L$19:L$22),"")</f>
        <v>0.21133334529212333</v>
      </c>
      <c r="M107" s="172" t="str">
        <f t="shared" si="81"/>
        <v/>
      </c>
      <c r="N107" s="172" t="str">
        <f t="shared" si="81"/>
        <v/>
      </c>
      <c r="O107" s="172" t="str">
        <f t="shared" si="81"/>
        <v/>
      </c>
      <c r="P107" s="172" t="str">
        <f t="shared" si="81"/>
        <v/>
      </c>
      <c r="Q107" s="172" t="str">
        <f t="shared" si="81"/>
        <v/>
      </c>
      <c r="R107" s="172" t="str">
        <f t="shared" si="81"/>
        <v/>
      </c>
      <c r="S107" s="172" t="str">
        <f t="shared" si="81"/>
        <v/>
      </c>
      <c r="T107" s="172" t="str">
        <f t="shared" si="81"/>
        <v/>
      </c>
      <c r="U107" s="172" t="str">
        <f t="shared" si="81"/>
        <v/>
      </c>
      <c r="V107" s="172" t="str">
        <f t="shared" si="81"/>
        <v/>
      </c>
      <c r="W107" s="172" t="str">
        <f t="shared" si="81"/>
        <v/>
      </c>
    </row>
    <row r="108" spans="1:23" ht="15" customHeight="1" x14ac:dyDescent="0.2">
      <c r="A108" s="140" t="s">
        <v>1</v>
      </c>
      <c r="B108" s="140"/>
      <c r="C108" s="363"/>
      <c r="D108" s="172">
        <f t="shared" si="80"/>
        <v>0</v>
      </c>
      <c r="E108" s="172">
        <f t="shared" si="80"/>
        <v>0</v>
      </c>
      <c r="F108" s="172">
        <f t="shared" si="80"/>
        <v>0</v>
      </c>
      <c r="G108" s="172">
        <f t="shared" si="80"/>
        <v>0</v>
      </c>
      <c r="H108" s="172">
        <f t="shared" si="80"/>
        <v>0</v>
      </c>
      <c r="I108" s="172">
        <f t="shared" si="80"/>
        <v>0</v>
      </c>
      <c r="J108" s="172">
        <f t="shared" si="80"/>
        <v>0</v>
      </c>
      <c r="K108" s="172">
        <f t="shared" si="80"/>
        <v>0</v>
      </c>
      <c r="L108" s="172">
        <f t="shared" ref="L108:W108" si="82">IFERROR(L20/SUM(L$16,L$19:L$22),"")</f>
        <v>0</v>
      </c>
      <c r="M108" s="172" t="str">
        <f t="shared" si="82"/>
        <v/>
      </c>
      <c r="N108" s="172" t="str">
        <f t="shared" si="82"/>
        <v/>
      </c>
      <c r="O108" s="172" t="str">
        <f t="shared" si="82"/>
        <v/>
      </c>
      <c r="P108" s="172" t="str">
        <f t="shared" si="82"/>
        <v/>
      </c>
      <c r="Q108" s="172" t="str">
        <f t="shared" si="82"/>
        <v/>
      </c>
      <c r="R108" s="172" t="str">
        <f t="shared" si="82"/>
        <v/>
      </c>
      <c r="S108" s="172" t="str">
        <f t="shared" si="82"/>
        <v/>
      </c>
      <c r="T108" s="172" t="str">
        <f t="shared" si="82"/>
        <v/>
      </c>
      <c r="U108" s="172" t="str">
        <f t="shared" si="82"/>
        <v/>
      </c>
      <c r="V108" s="172" t="str">
        <f t="shared" si="82"/>
        <v/>
      </c>
      <c r="W108" s="172" t="str">
        <f t="shared" si="82"/>
        <v/>
      </c>
    </row>
    <row r="109" spans="1:23" ht="15" customHeight="1" x14ac:dyDescent="0.2">
      <c r="A109" s="140" t="s">
        <v>39</v>
      </c>
      <c r="B109" s="140"/>
      <c r="C109" s="363"/>
      <c r="D109" s="172">
        <f t="shared" si="80"/>
        <v>1.9354472694264793E-2</v>
      </c>
      <c r="E109" s="172">
        <f t="shared" si="80"/>
        <v>1.9613964338635426E-2</v>
      </c>
      <c r="F109" s="172">
        <f t="shared" si="80"/>
        <v>2.0223368322427316E-2</v>
      </c>
      <c r="G109" s="172">
        <f t="shared" si="80"/>
        <v>2.1302270340181197E-2</v>
      </c>
      <c r="H109" s="172">
        <f t="shared" si="80"/>
        <v>2.1490605896700581E-2</v>
      </c>
      <c r="I109" s="172">
        <f t="shared" si="80"/>
        <v>2.1223311854286997E-2</v>
      </c>
      <c r="J109" s="172">
        <f t="shared" si="80"/>
        <v>2.1397008274860123E-2</v>
      </c>
      <c r="K109" s="172">
        <f t="shared" si="80"/>
        <v>2.0524334919159667E-2</v>
      </c>
      <c r="L109" s="172">
        <f t="shared" ref="L109:W109" si="83">IFERROR(L21/SUM(L$16,L$19:L$22),"")</f>
        <v>1.9118517588390407E-2</v>
      </c>
      <c r="M109" s="172" t="str">
        <f t="shared" si="83"/>
        <v/>
      </c>
      <c r="N109" s="172" t="str">
        <f t="shared" si="83"/>
        <v/>
      </c>
      <c r="O109" s="172" t="str">
        <f t="shared" si="83"/>
        <v/>
      </c>
      <c r="P109" s="172" t="str">
        <f t="shared" si="83"/>
        <v/>
      </c>
      <c r="Q109" s="172" t="str">
        <f t="shared" si="83"/>
        <v/>
      </c>
      <c r="R109" s="172" t="str">
        <f t="shared" si="83"/>
        <v/>
      </c>
      <c r="S109" s="172" t="str">
        <f t="shared" si="83"/>
        <v/>
      </c>
      <c r="T109" s="172" t="str">
        <f t="shared" si="83"/>
        <v/>
      </c>
      <c r="U109" s="172" t="str">
        <f t="shared" si="83"/>
        <v/>
      </c>
      <c r="V109" s="172" t="str">
        <f t="shared" si="83"/>
        <v/>
      </c>
      <c r="W109" s="172" t="str">
        <f t="shared" si="83"/>
        <v/>
      </c>
    </row>
    <row r="110" spans="1:23" ht="15" customHeight="1" x14ac:dyDescent="0.2">
      <c r="A110" s="140" t="s">
        <v>38</v>
      </c>
      <c r="B110" s="140"/>
      <c r="C110" s="363"/>
      <c r="D110" s="172">
        <f t="shared" si="80"/>
        <v>0</v>
      </c>
      <c r="E110" s="172">
        <f t="shared" si="80"/>
        <v>0</v>
      </c>
      <c r="F110" s="172">
        <f t="shared" si="80"/>
        <v>0</v>
      </c>
      <c r="G110" s="172">
        <f t="shared" si="80"/>
        <v>0</v>
      </c>
      <c r="H110" s="172">
        <f t="shared" si="80"/>
        <v>0</v>
      </c>
      <c r="I110" s="172">
        <f t="shared" si="80"/>
        <v>0</v>
      </c>
      <c r="J110" s="172">
        <f t="shared" si="80"/>
        <v>0</v>
      </c>
      <c r="K110" s="172">
        <f t="shared" si="80"/>
        <v>0</v>
      </c>
      <c r="L110" s="172">
        <f t="shared" ref="L110:W110" si="84">IFERROR(L22/SUM(L$16,L$19:L$22),"")</f>
        <v>0</v>
      </c>
      <c r="M110" s="172" t="str">
        <f t="shared" si="84"/>
        <v/>
      </c>
      <c r="N110" s="172" t="str">
        <f t="shared" si="84"/>
        <v/>
      </c>
      <c r="O110" s="172" t="str">
        <f t="shared" si="84"/>
        <v/>
      </c>
      <c r="P110" s="172" t="str">
        <f t="shared" si="84"/>
        <v/>
      </c>
      <c r="Q110" s="172" t="str">
        <f t="shared" si="84"/>
        <v/>
      </c>
      <c r="R110" s="172" t="str">
        <f t="shared" si="84"/>
        <v/>
      </c>
      <c r="S110" s="172" t="str">
        <f t="shared" si="84"/>
        <v/>
      </c>
      <c r="T110" s="172" t="str">
        <f t="shared" si="84"/>
        <v/>
      </c>
      <c r="U110" s="172" t="str">
        <f t="shared" si="84"/>
        <v/>
      </c>
      <c r="V110" s="172" t="str">
        <f t="shared" si="84"/>
        <v/>
      </c>
      <c r="W110" s="172" t="str">
        <f t="shared" si="84"/>
        <v/>
      </c>
    </row>
    <row r="111" spans="1:23" ht="15" customHeight="1" x14ac:dyDescent="0.2">
      <c r="C111" s="172"/>
      <c r="D111" s="172"/>
      <c r="E111" s="172"/>
      <c r="F111" s="172"/>
      <c r="G111" s="172"/>
      <c r="H111" s="172"/>
      <c r="I111" s="172"/>
      <c r="J111" s="172"/>
      <c r="K111" s="172"/>
      <c r="L111" s="172"/>
      <c r="M111" s="172"/>
      <c r="N111" s="172"/>
      <c r="O111" s="172"/>
      <c r="P111" s="172"/>
      <c r="Q111" s="172"/>
      <c r="R111" s="172"/>
      <c r="S111" s="172"/>
      <c r="T111" s="172"/>
      <c r="U111" s="172"/>
      <c r="V111" s="172"/>
      <c r="W111" s="172"/>
    </row>
    <row r="112" spans="1:23" ht="15" customHeight="1" thickBot="1" x14ac:dyDescent="0.25">
      <c r="A112" s="176" t="s">
        <v>57</v>
      </c>
      <c r="B112" s="176"/>
      <c r="C112" s="177"/>
      <c r="D112" s="177"/>
      <c r="E112" s="177"/>
      <c r="F112" s="177"/>
      <c r="G112" s="177"/>
      <c r="H112" s="177"/>
      <c r="I112" s="177"/>
      <c r="J112" s="177"/>
      <c r="K112" s="177"/>
      <c r="L112" s="177"/>
      <c r="M112" s="177"/>
      <c r="N112" s="177"/>
      <c r="O112" s="177"/>
      <c r="P112" s="177"/>
      <c r="Q112" s="177"/>
      <c r="R112" s="177"/>
      <c r="S112" s="177"/>
      <c r="T112" s="177"/>
      <c r="U112" s="177"/>
      <c r="V112" s="177"/>
      <c r="W112" s="177"/>
    </row>
    <row r="113" spans="1:26" ht="15" customHeight="1" x14ac:dyDescent="0.2">
      <c r="A113" s="185"/>
      <c r="B113" s="185"/>
      <c r="C113" s="183"/>
      <c r="D113" s="183"/>
      <c r="E113" s="183"/>
      <c r="F113" s="183"/>
      <c r="G113" s="183"/>
      <c r="H113" s="183"/>
      <c r="I113" s="183"/>
      <c r="J113" s="183"/>
      <c r="K113" s="183"/>
      <c r="L113" s="183"/>
      <c r="M113" s="183"/>
      <c r="N113" s="183"/>
      <c r="O113" s="183"/>
      <c r="P113" s="183"/>
      <c r="Q113" s="183"/>
      <c r="R113" s="183"/>
      <c r="S113" s="183"/>
      <c r="T113" s="183"/>
      <c r="U113" s="183"/>
      <c r="V113" s="183"/>
      <c r="W113" s="183"/>
    </row>
    <row r="114" spans="1:26" ht="15" customHeight="1" x14ac:dyDescent="0.2">
      <c r="A114" s="878" t="s">
        <v>47</v>
      </c>
      <c r="B114" s="878"/>
      <c r="C114" s="928"/>
      <c r="D114" s="928"/>
      <c r="E114" s="928"/>
      <c r="F114" s="928"/>
      <c r="G114" s="928"/>
      <c r="H114" s="928"/>
      <c r="I114" s="928"/>
      <c r="J114" s="928"/>
      <c r="K114" s="928"/>
      <c r="L114" s="928"/>
      <c r="M114" s="928"/>
      <c r="N114" s="928"/>
      <c r="O114" s="928"/>
      <c r="P114" s="928"/>
      <c r="Q114" s="928"/>
      <c r="R114" s="928"/>
      <c r="S114" s="928"/>
      <c r="T114" s="928"/>
      <c r="U114" s="928"/>
      <c r="V114" s="928"/>
      <c r="W114" s="928"/>
    </row>
    <row r="115" spans="1:26" ht="15" customHeight="1" x14ac:dyDescent="0.2">
      <c r="A115" s="153" t="s">
        <v>33</v>
      </c>
      <c r="B115" s="153"/>
      <c r="C115" s="183"/>
      <c r="D115" s="183">
        <f t="shared" ref="D115:W115" si="85">IFERROR((D15-C15)/ABS(C15),"")</f>
        <v>1.6308511024194977E-2</v>
      </c>
      <c r="E115" s="183">
        <f t="shared" si="85"/>
        <v>1.9645429083717199E-2</v>
      </c>
      <c r="F115" s="183">
        <f t="shared" si="85"/>
        <v>-7.2500622875274635E-3</v>
      </c>
      <c r="G115" s="183">
        <f t="shared" si="85"/>
        <v>7.7634662850268599E-3</v>
      </c>
      <c r="H115" s="183">
        <f t="shared" si="85"/>
        <v>2.9781444945489871E-2</v>
      </c>
      <c r="I115" s="183">
        <f t="shared" si="85"/>
        <v>2.8104720161968889E-2</v>
      </c>
      <c r="J115" s="183">
        <f t="shared" si="85"/>
        <v>1.8582634305654107E-2</v>
      </c>
      <c r="K115" s="183">
        <f t="shared" si="85"/>
        <v>6.7155377086975443E-2</v>
      </c>
      <c r="L115" s="183">
        <f t="shared" si="85"/>
        <v>2.4327954345069579E-2</v>
      </c>
      <c r="M115" s="183" t="str">
        <f t="shared" si="85"/>
        <v/>
      </c>
      <c r="N115" s="183" t="str">
        <f t="shared" si="85"/>
        <v/>
      </c>
      <c r="O115" s="183" t="str">
        <f t="shared" si="85"/>
        <v/>
      </c>
      <c r="P115" s="183" t="str">
        <f t="shared" si="85"/>
        <v/>
      </c>
      <c r="Q115" s="183" t="str">
        <f t="shared" si="85"/>
        <v/>
      </c>
      <c r="R115" s="183" t="str">
        <f t="shared" si="85"/>
        <v/>
      </c>
      <c r="S115" s="183" t="str">
        <f t="shared" si="85"/>
        <v/>
      </c>
      <c r="T115" s="183" t="str">
        <f t="shared" si="85"/>
        <v/>
      </c>
      <c r="U115" s="183" t="str">
        <f t="shared" si="85"/>
        <v/>
      </c>
      <c r="V115" s="183" t="str">
        <f t="shared" si="85"/>
        <v/>
      </c>
      <c r="W115" s="183" t="str">
        <f t="shared" si="85"/>
        <v/>
      </c>
      <c r="Z115" s="573"/>
    </row>
    <row r="116" spans="1:26" ht="15" customHeight="1" x14ac:dyDescent="0.2">
      <c r="A116" s="153" t="s">
        <v>34</v>
      </c>
      <c r="B116" s="153"/>
      <c r="C116" s="183"/>
      <c r="D116" s="183">
        <f t="shared" ref="D116:W116" si="86">IFERROR((D16-C16)/ABS(C16),"")</f>
        <v>1.6383903354272106E-2</v>
      </c>
      <c r="E116" s="183">
        <f t="shared" si="86"/>
        <v>1.9596781625887748E-2</v>
      </c>
      <c r="F116" s="183">
        <f t="shared" si="86"/>
        <v>-1.12357088466827E-2</v>
      </c>
      <c r="G116" s="183">
        <f t="shared" si="86"/>
        <v>7.534959998227068E-4</v>
      </c>
      <c r="H116" s="183">
        <f t="shared" si="86"/>
        <v>3.3604978187213502E-2</v>
      </c>
      <c r="I116" s="183">
        <f t="shared" si="86"/>
        <v>3.1883041060964769E-2</v>
      </c>
      <c r="J116" s="183">
        <f t="shared" si="86"/>
        <v>2.4147354925110498E-2</v>
      </c>
      <c r="K116" s="183">
        <f t="shared" si="86"/>
        <v>6.5153761356293E-2</v>
      </c>
      <c r="L116" s="183">
        <f t="shared" si="86"/>
        <v>2.0663074122979193E-2</v>
      </c>
      <c r="M116" s="183" t="str">
        <f t="shared" si="86"/>
        <v/>
      </c>
      <c r="N116" s="183" t="str">
        <f t="shared" si="86"/>
        <v/>
      </c>
      <c r="O116" s="183" t="str">
        <f t="shared" si="86"/>
        <v/>
      </c>
      <c r="P116" s="183" t="str">
        <f t="shared" si="86"/>
        <v/>
      </c>
      <c r="Q116" s="183" t="str">
        <f t="shared" si="86"/>
        <v/>
      </c>
      <c r="R116" s="183" t="str">
        <f t="shared" si="86"/>
        <v/>
      </c>
      <c r="S116" s="183" t="str">
        <f t="shared" si="86"/>
        <v/>
      </c>
      <c r="T116" s="183" t="str">
        <f t="shared" si="86"/>
        <v/>
      </c>
      <c r="U116" s="183" t="str">
        <f t="shared" si="86"/>
        <v/>
      </c>
      <c r="V116" s="183" t="str">
        <f t="shared" si="86"/>
        <v/>
      </c>
      <c r="W116" s="183" t="str">
        <f t="shared" si="86"/>
        <v/>
      </c>
    </row>
    <row r="117" spans="1:26" ht="15" customHeight="1" x14ac:dyDescent="0.2">
      <c r="A117" s="175" t="s">
        <v>30</v>
      </c>
      <c r="B117" s="175"/>
      <c r="C117" s="184"/>
      <c r="D117" s="184">
        <f t="shared" ref="D117:W117" si="87">IFERROR((D17-C17)/ABS(C17),"")</f>
        <v>1.6080237894700655E-2</v>
      </c>
      <c r="E117" s="184">
        <f t="shared" si="87"/>
        <v>1.9792768027067035E-2</v>
      </c>
      <c r="F117" s="184">
        <f t="shared" si="87"/>
        <v>4.8189773151412103E-3</v>
      </c>
      <c r="G117" s="184">
        <f t="shared" si="87"/>
        <v>2.8651379327423111E-2</v>
      </c>
      <c r="H117" s="184">
        <f t="shared" si="87"/>
        <v>1.8697288491939301E-2</v>
      </c>
      <c r="I117" s="184">
        <f t="shared" si="87"/>
        <v>1.6991342843863975E-2</v>
      </c>
      <c r="J117" s="184">
        <f t="shared" si="87"/>
        <v>1.9751518155905318E-3</v>
      </c>
      <c r="K117" s="184">
        <f t="shared" si="87"/>
        <v>7.3261234239596781E-2</v>
      </c>
      <c r="L117" s="184">
        <f t="shared" si="87"/>
        <v>3.5423089112333973E-2</v>
      </c>
      <c r="M117" s="184" t="str">
        <f t="shared" si="87"/>
        <v/>
      </c>
      <c r="N117" s="184" t="str">
        <f t="shared" si="87"/>
        <v/>
      </c>
      <c r="O117" s="184" t="str">
        <f t="shared" si="87"/>
        <v/>
      </c>
      <c r="P117" s="184" t="str">
        <f t="shared" si="87"/>
        <v/>
      </c>
      <c r="Q117" s="184" t="str">
        <f t="shared" si="87"/>
        <v/>
      </c>
      <c r="R117" s="184" t="str">
        <f t="shared" si="87"/>
        <v/>
      </c>
      <c r="S117" s="184" t="str">
        <f t="shared" si="87"/>
        <v/>
      </c>
      <c r="T117" s="184" t="str">
        <f t="shared" si="87"/>
        <v/>
      </c>
      <c r="U117" s="184" t="str">
        <f t="shared" si="87"/>
        <v/>
      </c>
      <c r="V117" s="184" t="str">
        <f t="shared" si="87"/>
        <v/>
      </c>
      <c r="W117" s="184" t="str">
        <f t="shared" si="87"/>
        <v/>
      </c>
    </row>
    <row r="118" spans="1:26" ht="15" customHeight="1" x14ac:dyDescent="0.2">
      <c r="A118" s="185"/>
      <c r="B118" s="185"/>
      <c r="C118" s="183"/>
      <c r="D118" s="183"/>
      <c r="E118" s="183"/>
      <c r="F118" s="183"/>
      <c r="G118" s="183"/>
      <c r="H118" s="183"/>
      <c r="I118" s="183"/>
      <c r="J118" s="183"/>
      <c r="K118" s="183"/>
      <c r="L118" s="183"/>
      <c r="M118" s="183"/>
      <c r="N118" s="183"/>
      <c r="O118" s="183"/>
      <c r="P118" s="183"/>
      <c r="Q118" s="183"/>
      <c r="R118" s="183"/>
      <c r="S118" s="183"/>
      <c r="T118" s="183"/>
      <c r="U118" s="183"/>
      <c r="V118" s="183"/>
      <c r="W118" s="183"/>
    </row>
    <row r="119" spans="1:26" ht="15" customHeight="1" x14ac:dyDescent="0.2">
      <c r="A119" s="153" t="s">
        <v>0</v>
      </c>
      <c r="B119" s="153"/>
      <c r="C119" s="183"/>
      <c r="D119" s="183">
        <f t="shared" ref="D119:W119" si="88">IFERROR(IF((D19-C19)/ABS(C19) = 0, NA(),(D19-C19)/ABS(C19)),NA())</f>
        <v>3.0734861049994924E-2</v>
      </c>
      <c r="E119" s="183">
        <f t="shared" si="88"/>
        <v>2.260462163256817E-2</v>
      </c>
      <c r="F119" s="183">
        <f t="shared" si="88"/>
        <v>3.8782675715600845E-2</v>
      </c>
      <c r="G119" s="183">
        <f t="shared" si="88"/>
        <v>4.9587287847404703E-2</v>
      </c>
      <c r="H119" s="183">
        <f t="shared" si="88"/>
        <v>4.0813721736227701E-2</v>
      </c>
      <c r="I119" s="183">
        <f t="shared" si="88"/>
        <v>1.0725403263843034E-2</v>
      </c>
      <c r="J119" s="183">
        <f t="shared" si="88"/>
        <v>6.9437315090483164E-3</v>
      </c>
      <c r="K119" s="183">
        <f t="shared" si="88"/>
        <v>3.7046648932719133E-2</v>
      </c>
      <c r="L119" s="183">
        <f t="shared" si="88"/>
        <v>5.2945802945802943E-2</v>
      </c>
      <c r="M119" s="183" t="e">
        <f t="shared" si="88"/>
        <v>#N/A</v>
      </c>
      <c r="N119" s="183" t="e">
        <f t="shared" si="88"/>
        <v>#N/A</v>
      </c>
      <c r="O119" s="183" t="e">
        <f t="shared" si="88"/>
        <v>#N/A</v>
      </c>
      <c r="P119" s="183" t="e">
        <f t="shared" si="88"/>
        <v>#N/A</v>
      </c>
      <c r="Q119" s="183" t="e">
        <f t="shared" si="88"/>
        <v>#N/A</v>
      </c>
      <c r="R119" s="183" t="e">
        <f t="shared" si="88"/>
        <v>#N/A</v>
      </c>
      <c r="S119" s="183" t="e">
        <f t="shared" si="88"/>
        <v>#N/A</v>
      </c>
      <c r="T119" s="183" t="e">
        <f t="shared" si="88"/>
        <v>#N/A</v>
      </c>
      <c r="U119" s="183" t="e">
        <f t="shared" si="88"/>
        <v>#N/A</v>
      </c>
      <c r="V119" s="183" t="e">
        <f t="shared" si="88"/>
        <v>#N/A</v>
      </c>
      <c r="W119" s="183" t="e">
        <f t="shared" si="88"/>
        <v>#N/A</v>
      </c>
    </row>
    <row r="120" spans="1:26" ht="15" customHeight="1" x14ac:dyDescent="0.2">
      <c r="A120" s="153" t="s">
        <v>1</v>
      </c>
      <c r="B120" s="153"/>
      <c r="C120" s="183"/>
      <c r="D120" s="183" t="e">
        <f t="shared" ref="D120:W120" si="89">IFERROR(IF((D20-C20)/ABS(C20) = 0, NA(),(D20-C20)/ABS(C20)),NA())</f>
        <v>#N/A</v>
      </c>
      <c r="E120" s="183" t="e">
        <f t="shared" si="89"/>
        <v>#N/A</v>
      </c>
      <c r="F120" s="183" t="e">
        <f t="shared" si="89"/>
        <v>#N/A</v>
      </c>
      <c r="G120" s="183" t="e">
        <f t="shared" si="89"/>
        <v>#N/A</v>
      </c>
      <c r="H120" s="183" t="e">
        <f t="shared" si="89"/>
        <v>#N/A</v>
      </c>
      <c r="I120" s="183" t="e">
        <f t="shared" si="89"/>
        <v>#N/A</v>
      </c>
      <c r="J120" s="183" t="e">
        <f t="shared" si="89"/>
        <v>#N/A</v>
      </c>
      <c r="K120" s="183" t="e">
        <f t="shared" si="89"/>
        <v>#N/A</v>
      </c>
      <c r="L120" s="183" t="e">
        <f t="shared" si="89"/>
        <v>#N/A</v>
      </c>
      <c r="M120" s="183" t="e">
        <f t="shared" si="89"/>
        <v>#N/A</v>
      </c>
      <c r="N120" s="183" t="e">
        <f t="shared" si="89"/>
        <v>#N/A</v>
      </c>
      <c r="O120" s="183" t="e">
        <f t="shared" si="89"/>
        <v>#N/A</v>
      </c>
      <c r="P120" s="183" t="e">
        <f t="shared" si="89"/>
        <v>#N/A</v>
      </c>
      <c r="Q120" s="183" t="e">
        <f t="shared" si="89"/>
        <v>#N/A</v>
      </c>
      <c r="R120" s="183" t="e">
        <f t="shared" si="89"/>
        <v>#N/A</v>
      </c>
      <c r="S120" s="183" t="e">
        <f t="shared" si="89"/>
        <v>#N/A</v>
      </c>
      <c r="T120" s="183" t="e">
        <f t="shared" si="89"/>
        <v>#N/A</v>
      </c>
      <c r="U120" s="183" t="e">
        <f t="shared" si="89"/>
        <v>#N/A</v>
      </c>
      <c r="V120" s="183" t="e">
        <f t="shared" si="89"/>
        <v>#N/A</v>
      </c>
      <c r="W120" s="183" t="e">
        <f t="shared" si="89"/>
        <v>#N/A</v>
      </c>
    </row>
    <row r="121" spans="1:26" ht="15" customHeight="1" x14ac:dyDescent="0.2">
      <c r="A121" s="153" t="s">
        <v>39</v>
      </c>
      <c r="B121" s="153"/>
      <c r="C121" s="183"/>
      <c r="D121" s="183">
        <f t="shared" ref="D121:W121" si="90">IFERROR(IF((D21-C21)/ABS(C21) = 0, NA(),(D21-C21)/ABS(C21)),NA())</f>
        <v>4.6237320122670442E-2</v>
      </c>
      <c r="E121" s="183">
        <f t="shared" si="90"/>
        <v>3.4160090191657271E-2</v>
      </c>
      <c r="F121" s="183">
        <f t="shared" si="90"/>
        <v>3.0633380573421999E-2</v>
      </c>
      <c r="G121" s="183">
        <f t="shared" si="90"/>
        <v>6.6215358578379527E-2</v>
      </c>
      <c r="H121" s="183">
        <f t="shared" si="90"/>
        <v>4.4543650793650795E-2</v>
      </c>
      <c r="I121" s="183">
        <f t="shared" si="90"/>
        <v>1.4151391395194226E-2</v>
      </c>
      <c r="J121" s="183">
        <f t="shared" si="90"/>
        <v>2.8938003371417869E-2</v>
      </c>
      <c r="K121" s="183">
        <f t="shared" si="90"/>
        <v>1.5017748247929371E-2</v>
      </c>
      <c r="L121" s="183">
        <f t="shared" si="90"/>
        <v>-4.4296987087517933E-2</v>
      </c>
      <c r="M121" s="183" t="e">
        <f t="shared" si="90"/>
        <v>#N/A</v>
      </c>
      <c r="N121" s="183" t="e">
        <f t="shared" si="90"/>
        <v>#N/A</v>
      </c>
      <c r="O121" s="183" t="e">
        <f t="shared" si="90"/>
        <v>#N/A</v>
      </c>
      <c r="P121" s="183" t="e">
        <f t="shared" si="90"/>
        <v>#N/A</v>
      </c>
      <c r="Q121" s="183" t="e">
        <f t="shared" si="90"/>
        <v>#N/A</v>
      </c>
      <c r="R121" s="183" t="e">
        <f t="shared" si="90"/>
        <v>#N/A</v>
      </c>
      <c r="S121" s="183" t="e">
        <f t="shared" si="90"/>
        <v>#N/A</v>
      </c>
      <c r="T121" s="183" t="e">
        <f t="shared" si="90"/>
        <v>#N/A</v>
      </c>
      <c r="U121" s="183" t="e">
        <f t="shared" si="90"/>
        <v>#N/A</v>
      </c>
      <c r="V121" s="183" t="e">
        <f t="shared" si="90"/>
        <v>#N/A</v>
      </c>
      <c r="W121" s="183" t="e">
        <f t="shared" si="90"/>
        <v>#N/A</v>
      </c>
    </row>
    <row r="122" spans="1:26" ht="15" customHeight="1" x14ac:dyDescent="0.2">
      <c r="A122" s="153" t="s">
        <v>38</v>
      </c>
      <c r="B122" s="153"/>
      <c r="C122" s="183"/>
      <c r="D122" s="183" t="e">
        <f t="shared" ref="D122:W122" si="91">IFERROR(IF((D22-C22)/ABS(C22) = 0, NA(),(D22-C22)/ABS(C22)),NA())</f>
        <v>#N/A</v>
      </c>
      <c r="E122" s="183" t="e">
        <f t="shared" si="91"/>
        <v>#N/A</v>
      </c>
      <c r="F122" s="183" t="e">
        <f t="shared" si="91"/>
        <v>#N/A</v>
      </c>
      <c r="G122" s="183" t="e">
        <f t="shared" si="91"/>
        <v>#N/A</v>
      </c>
      <c r="H122" s="183" t="e">
        <f t="shared" si="91"/>
        <v>#N/A</v>
      </c>
      <c r="I122" s="183" t="e">
        <f t="shared" si="91"/>
        <v>#N/A</v>
      </c>
      <c r="J122" s="183" t="e">
        <f t="shared" si="91"/>
        <v>#N/A</v>
      </c>
      <c r="K122" s="183" t="e">
        <f t="shared" si="91"/>
        <v>#N/A</v>
      </c>
      <c r="L122" s="183" t="e">
        <f t="shared" si="91"/>
        <v>#N/A</v>
      </c>
      <c r="M122" s="183" t="e">
        <f t="shared" si="91"/>
        <v>#N/A</v>
      </c>
      <c r="N122" s="183" t="e">
        <f t="shared" si="91"/>
        <v>#N/A</v>
      </c>
      <c r="O122" s="183" t="e">
        <f t="shared" si="91"/>
        <v>#N/A</v>
      </c>
      <c r="P122" s="183" t="e">
        <f t="shared" si="91"/>
        <v>#N/A</v>
      </c>
      <c r="Q122" s="183" t="e">
        <f t="shared" si="91"/>
        <v>#N/A</v>
      </c>
      <c r="R122" s="183" t="e">
        <f t="shared" si="91"/>
        <v>#N/A</v>
      </c>
      <c r="S122" s="183" t="e">
        <f t="shared" si="91"/>
        <v>#N/A</v>
      </c>
      <c r="T122" s="183" t="e">
        <f t="shared" si="91"/>
        <v>#N/A</v>
      </c>
      <c r="U122" s="183" t="e">
        <f t="shared" si="91"/>
        <v>#N/A</v>
      </c>
      <c r="V122" s="183" t="e">
        <f t="shared" si="91"/>
        <v>#N/A</v>
      </c>
      <c r="W122" s="183" t="e">
        <f t="shared" si="91"/>
        <v>#N/A</v>
      </c>
    </row>
    <row r="123" spans="1:26" ht="15" customHeight="1" x14ac:dyDescent="0.2">
      <c r="A123" s="175" t="s">
        <v>40</v>
      </c>
      <c r="B123" s="175"/>
      <c r="C123" s="184"/>
      <c r="D123" s="184">
        <f t="shared" ref="D123:W123" si="92">IFERROR((D23-C23)/ABS(C23),"")</f>
        <v>3.2088314951548291E-2</v>
      </c>
      <c r="E123" s="184">
        <f t="shared" si="92"/>
        <v>2.3627311096255349E-2</v>
      </c>
      <c r="F123" s="184">
        <f t="shared" si="92"/>
        <v>3.8054020333167626E-2</v>
      </c>
      <c r="G123" s="184">
        <f t="shared" si="92"/>
        <v>5.1063430207990985E-2</v>
      </c>
      <c r="H123" s="184">
        <f t="shared" si="92"/>
        <v>4.114961628831533E-2</v>
      </c>
      <c r="I123" s="184">
        <f t="shared" si="92"/>
        <v>1.1034932511862982E-2</v>
      </c>
      <c r="J123" s="184">
        <f t="shared" si="92"/>
        <v>8.936982813494589E-3</v>
      </c>
      <c r="K123" s="184">
        <f t="shared" si="92"/>
        <v>3.5010683221453925E-2</v>
      </c>
      <c r="L123" s="184">
        <f t="shared" si="92"/>
        <v>4.4131989596879063E-2</v>
      </c>
      <c r="M123" s="184" t="str">
        <f t="shared" si="92"/>
        <v/>
      </c>
      <c r="N123" s="184" t="str">
        <f t="shared" si="92"/>
        <v/>
      </c>
      <c r="O123" s="184" t="str">
        <f t="shared" si="92"/>
        <v/>
      </c>
      <c r="P123" s="184" t="str">
        <f t="shared" si="92"/>
        <v/>
      </c>
      <c r="Q123" s="184" t="str">
        <f t="shared" si="92"/>
        <v/>
      </c>
      <c r="R123" s="184" t="str">
        <f t="shared" si="92"/>
        <v/>
      </c>
      <c r="S123" s="184" t="str">
        <f t="shared" si="92"/>
        <v/>
      </c>
      <c r="T123" s="184" t="str">
        <f t="shared" si="92"/>
        <v/>
      </c>
      <c r="U123" s="184" t="str">
        <f t="shared" si="92"/>
        <v/>
      </c>
      <c r="V123" s="184" t="str">
        <f t="shared" si="92"/>
        <v/>
      </c>
      <c r="W123" s="184" t="str">
        <f t="shared" si="92"/>
        <v/>
      </c>
      <c r="Z123" s="168"/>
    </row>
    <row r="124" spans="1:26" ht="15" customHeight="1" x14ac:dyDescent="0.2">
      <c r="A124" s="185"/>
      <c r="B124" s="185"/>
      <c r="C124" s="183"/>
      <c r="D124" s="183"/>
      <c r="E124" s="183"/>
      <c r="F124" s="183"/>
      <c r="G124" s="183"/>
      <c r="H124" s="183"/>
      <c r="I124" s="183"/>
      <c r="J124" s="183"/>
      <c r="K124" s="183"/>
      <c r="L124" s="183"/>
      <c r="M124" s="183"/>
      <c r="N124" s="183"/>
      <c r="O124" s="183"/>
      <c r="P124" s="183"/>
      <c r="Q124" s="183"/>
      <c r="R124" s="183"/>
      <c r="S124" s="183"/>
      <c r="T124" s="183"/>
      <c r="U124" s="183"/>
      <c r="V124" s="183"/>
      <c r="W124" s="183"/>
    </row>
    <row r="125" spans="1:26" ht="15" customHeight="1" x14ac:dyDescent="0.2">
      <c r="A125" s="185" t="s">
        <v>41</v>
      </c>
      <c r="B125" s="185"/>
      <c r="C125" s="183"/>
      <c r="D125" s="183">
        <f t="shared" ref="D125:W125" si="93">IFERROR((D25-C25)/ABS(C25),"")</f>
        <v>-7.4163839069316534E-2</v>
      </c>
      <c r="E125" s="183">
        <f t="shared" si="93"/>
        <v>-5.9566787003610108E-2</v>
      </c>
      <c r="F125" s="183">
        <f t="shared" si="93"/>
        <v>-5.068143100511073E-2</v>
      </c>
      <c r="G125" s="183">
        <f t="shared" si="93"/>
        <v>8.1070125658694772E-2</v>
      </c>
      <c r="H125" s="183">
        <f t="shared" si="93"/>
        <v>3.9258932509925008E-2</v>
      </c>
      <c r="I125" s="183">
        <f t="shared" si="93"/>
        <v>2.2497704315886134E-2</v>
      </c>
      <c r="J125" s="183">
        <f t="shared" si="93"/>
        <v>-0.13198684828558008</v>
      </c>
      <c r="K125" s="183">
        <f t="shared" si="93"/>
        <v>8.9626556016597511E-2</v>
      </c>
      <c r="L125" s="183">
        <f t="shared" si="93"/>
        <v>0.16317228805834094</v>
      </c>
      <c r="M125" s="183" t="str">
        <f t="shared" si="93"/>
        <v/>
      </c>
      <c r="N125" s="183" t="str">
        <f t="shared" si="93"/>
        <v/>
      </c>
      <c r="O125" s="183" t="str">
        <f t="shared" si="93"/>
        <v/>
      </c>
      <c r="P125" s="183" t="str">
        <f t="shared" si="93"/>
        <v/>
      </c>
      <c r="Q125" s="183" t="str">
        <f t="shared" si="93"/>
        <v/>
      </c>
      <c r="R125" s="183" t="str">
        <f t="shared" si="93"/>
        <v/>
      </c>
      <c r="S125" s="183" t="str">
        <f t="shared" si="93"/>
        <v/>
      </c>
      <c r="T125" s="183" t="str">
        <f t="shared" si="93"/>
        <v/>
      </c>
      <c r="U125" s="183" t="str">
        <f t="shared" si="93"/>
        <v/>
      </c>
      <c r="V125" s="183" t="str">
        <f t="shared" si="93"/>
        <v/>
      </c>
      <c r="W125" s="183" t="str">
        <f t="shared" si="93"/>
        <v/>
      </c>
    </row>
    <row r="126" spans="1:26" ht="15" customHeight="1" x14ac:dyDescent="0.2">
      <c r="A126" s="185" t="s">
        <v>4</v>
      </c>
      <c r="B126" s="185"/>
      <c r="C126" s="183"/>
      <c r="D126" s="183">
        <f t="shared" ref="D126:W126" si="94">IFERROR((D27-C27)/ABS(C27),"")</f>
        <v>-7.1839868384973957E-2</v>
      </c>
      <c r="E126" s="183">
        <f t="shared" si="94"/>
        <v>-2.9930928626247123E-2</v>
      </c>
      <c r="F126" s="183">
        <f t="shared" si="94"/>
        <v>-2.6825633383010434E-2</v>
      </c>
      <c r="G126" s="183">
        <f t="shared" si="94"/>
        <v>-0.18432510885341075</v>
      </c>
      <c r="H126" s="183">
        <f t="shared" si="94"/>
        <v>0.61683006535947715</v>
      </c>
      <c r="I126" s="183">
        <f t="shared" si="94"/>
        <v>2.3097014925373136</v>
      </c>
      <c r="J126" s="183">
        <f t="shared" si="94"/>
        <v>-3.8103378103378103</v>
      </c>
      <c r="K126" s="183">
        <f t="shared" si="94"/>
        <v>0.6556118754525706</v>
      </c>
      <c r="L126" s="183">
        <f t="shared" si="94"/>
        <v>0.44953742640874683</v>
      </c>
      <c r="M126" s="183" t="str">
        <f t="shared" si="94"/>
        <v/>
      </c>
      <c r="N126" s="183" t="str">
        <f t="shared" si="94"/>
        <v/>
      </c>
      <c r="O126" s="183" t="str">
        <f t="shared" si="94"/>
        <v/>
      </c>
      <c r="P126" s="183" t="str">
        <f t="shared" si="94"/>
        <v/>
      </c>
      <c r="Q126" s="183" t="str">
        <f t="shared" si="94"/>
        <v/>
      </c>
      <c r="R126" s="183" t="str">
        <f t="shared" si="94"/>
        <v/>
      </c>
      <c r="S126" s="183" t="str">
        <f t="shared" si="94"/>
        <v/>
      </c>
      <c r="T126" s="183" t="str">
        <f t="shared" si="94"/>
        <v/>
      </c>
      <c r="U126" s="183" t="str">
        <f t="shared" si="94"/>
        <v/>
      </c>
      <c r="V126" s="183" t="str">
        <f t="shared" si="94"/>
        <v/>
      </c>
      <c r="W126" s="183" t="str">
        <f t="shared" si="94"/>
        <v/>
      </c>
    </row>
    <row r="127" spans="1:26" ht="15" customHeight="1" x14ac:dyDescent="0.2">
      <c r="A127" s="153" t="s">
        <v>43</v>
      </c>
      <c r="B127" s="153"/>
      <c r="C127" s="183"/>
      <c r="D127" s="183">
        <f t="shared" ref="D127:W127" si="95">IFERROR((D26-C26)/ABS(C26),"")</f>
        <v>1.8471977883890423E-2</v>
      </c>
      <c r="E127" s="183">
        <f t="shared" si="95"/>
        <v>-1.4805675508945095E-2</v>
      </c>
      <c r="F127" s="183">
        <f t="shared" si="95"/>
        <v>-0.17871008140262992</v>
      </c>
      <c r="G127" s="183">
        <f t="shared" si="95"/>
        <v>-5.3979871912168347E-2</v>
      </c>
      <c r="H127" s="183">
        <f t="shared" si="95"/>
        <v>-0.25854287556415217</v>
      </c>
      <c r="I127" s="183">
        <f t="shared" si="95"/>
        <v>-6.9347826086956527E-2</v>
      </c>
      <c r="J127" s="183">
        <f t="shared" si="95"/>
        <v>0.14809623919644943</v>
      </c>
      <c r="K127" s="183">
        <f t="shared" si="95"/>
        <v>0.39532044760935908</v>
      </c>
      <c r="L127" s="183">
        <f t="shared" si="95"/>
        <v>-0.30650335374744825</v>
      </c>
      <c r="M127" s="183" t="str">
        <f t="shared" si="95"/>
        <v/>
      </c>
      <c r="N127" s="183" t="str">
        <f t="shared" si="95"/>
        <v/>
      </c>
      <c r="O127" s="183" t="str">
        <f t="shared" si="95"/>
        <v/>
      </c>
      <c r="P127" s="183" t="str">
        <f t="shared" si="95"/>
        <v/>
      </c>
      <c r="Q127" s="183" t="str">
        <f t="shared" si="95"/>
        <v/>
      </c>
      <c r="R127" s="183" t="str">
        <f t="shared" si="95"/>
        <v/>
      </c>
      <c r="S127" s="183" t="str">
        <f t="shared" si="95"/>
        <v/>
      </c>
      <c r="T127" s="183" t="str">
        <f t="shared" si="95"/>
        <v/>
      </c>
      <c r="U127" s="183" t="str">
        <f t="shared" si="95"/>
        <v/>
      </c>
      <c r="V127" s="183" t="str">
        <f t="shared" si="95"/>
        <v/>
      </c>
      <c r="W127" s="183" t="str">
        <f t="shared" si="95"/>
        <v/>
      </c>
    </row>
    <row r="128" spans="1:26" ht="15" customHeight="1" x14ac:dyDescent="0.2">
      <c r="A128" s="175" t="s">
        <v>6</v>
      </c>
      <c r="B128" s="175"/>
      <c r="C128" s="184"/>
      <c r="D128" s="184">
        <f t="shared" ref="D128:W128" si="96">IFERROR((D28-C28)/ABS(C28),"")</f>
        <v>-5.7473969057003353E-2</v>
      </c>
      <c r="E128" s="184">
        <f t="shared" si="96"/>
        <v>2.1283235551117215E-2</v>
      </c>
      <c r="F128" s="184">
        <f t="shared" si="96"/>
        <v>-0.10199841104931859</v>
      </c>
      <c r="G128" s="184">
        <f t="shared" si="96"/>
        <v>-7.1525792840615221E-2</v>
      </c>
      <c r="H128" s="184">
        <f t="shared" si="96"/>
        <v>-0.27713845928314884</v>
      </c>
      <c r="I128" s="184">
        <f t="shared" si="96"/>
        <v>-0.32366659906712636</v>
      </c>
      <c r="J128" s="184">
        <f t="shared" si="96"/>
        <v>1.2310344827586206</v>
      </c>
      <c r="K128" s="184">
        <f t="shared" si="96"/>
        <v>-9.2130905181103423E-2</v>
      </c>
      <c r="L128" s="184">
        <f t="shared" si="96"/>
        <v>1.2065136935603257E-2</v>
      </c>
      <c r="M128" s="184" t="str">
        <f t="shared" si="96"/>
        <v/>
      </c>
      <c r="N128" s="184" t="str">
        <f t="shared" si="96"/>
        <v/>
      </c>
      <c r="O128" s="184" t="str">
        <f t="shared" si="96"/>
        <v/>
      </c>
      <c r="P128" s="184" t="str">
        <f t="shared" si="96"/>
        <v/>
      </c>
      <c r="Q128" s="184" t="str">
        <f t="shared" si="96"/>
        <v/>
      </c>
      <c r="R128" s="184" t="str">
        <f t="shared" si="96"/>
        <v/>
      </c>
      <c r="S128" s="184" t="str">
        <f t="shared" si="96"/>
        <v/>
      </c>
      <c r="T128" s="184" t="str">
        <f t="shared" si="96"/>
        <v/>
      </c>
      <c r="U128" s="184" t="str">
        <f t="shared" si="96"/>
        <v/>
      </c>
      <c r="V128" s="184" t="str">
        <f t="shared" si="96"/>
        <v/>
      </c>
      <c r="W128" s="184" t="str">
        <f t="shared" si="96"/>
        <v/>
      </c>
    </row>
    <row r="129" spans="1:23" ht="15" customHeight="1" x14ac:dyDescent="0.2">
      <c r="A129" s="161"/>
      <c r="B129" s="161"/>
      <c r="C129" s="186"/>
      <c r="D129" s="186"/>
      <c r="E129" s="186"/>
      <c r="F129" s="186"/>
      <c r="G129" s="186"/>
      <c r="H129" s="186"/>
      <c r="I129" s="186"/>
      <c r="J129" s="186"/>
      <c r="K129" s="186"/>
      <c r="L129" s="186"/>
      <c r="M129" s="186"/>
      <c r="N129" s="186"/>
      <c r="O129" s="186"/>
      <c r="P129" s="186"/>
      <c r="Q129" s="186"/>
      <c r="R129" s="186"/>
      <c r="S129" s="186"/>
      <c r="T129" s="186"/>
      <c r="U129" s="186"/>
      <c r="V129" s="186"/>
      <c r="W129" s="186"/>
    </row>
    <row r="130" spans="1:23" ht="15" customHeight="1" x14ac:dyDescent="0.2">
      <c r="A130" s="916" t="s">
        <v>51</v>
      </c>
      <c r="B130" s="916"/>
      <c r="C130" s="916"/>
      <c r="D130" s="916"/>
      <c r="E130" s="916"/>
      <c r="F130" s="916"/>
      <c r="G130" s="916"/>
      <c r="H130" s="916"/>
      <c r="I130" s="916"/>
      <c r="J130" s="916"/>
      <c r="K130" s="916"/>
      <c r="L130" s="916"/>
      <c r="M130" s="916"/>
      <c r="N130" s="916"/>
      <c r="O130" s="916"/>
      <c r="P130" s="916"/>
      <c r="Q130" s="916"/>
      <c r="R130" s="916"/>
      <c r="S130" s="916"/>
      <c r="T130" s="916"/>
      <c r="U130" s="916"/>
      <c r="V130" s="916"/>
      <c r="W130" s="916"/>
    </row>
    <row r="131" spans="1:23" ht="15" customHeight="1" x14ac:dyDescent="0.2">
      <c r="A131" s="185" t="s">
        <v>30</v>
      </c>
      <c r="B131" s="185"/>
      <c r="C131" s="183"/>
      <c r="D131" s="183">
        <f t="shared" ref="D131:W131" si="97">IFERROR((D31-C31)/ABS(C31),"")</f>
        <v>1.6080237894700655E-2</v>
      </c>
      <c r="E131" s="183">
        <f t="shared" si="97"/>
        <v>1.9792768027067035E-2</v>
      </c>
      <c r="F131" s="183">
        <f t="shared" si="97"/>
        <v>4.8189773151412103E-3</v>
      </c>
      <c r="G131" s="183">
        <f t="shared" si="97"/>
        <v>2.8651379327423111E-2</v>
      </c>
      <c r="H131" s="183">
        <f t="shared" si="97"/>
        <v>1.8697288491939301E-2</v>
      </c>
      <c r="I131" s="183">
        <f t="shared" si="97"/>
        <v>1.6991342843863975E-2</v>
      </c>
      <c r="J131" s="183">
        <f t="shared" si="97"/>
        <v>1.9751518155905318E-3</v>
      </c>
      <c r="K131" s="183">
        <f t="shared" si="97"/>
        <v>7.3261234239596781E-2</v>
      </c>
      <c r="L131" s="183">
        <f t="shared" si="97"/>
        <v>3.5423089112333973E-2</v>
      </c>
      <c r="M131" s="183" t="str">
        <f t="shared" si="97"/>
        <v/>
      </c>
      <c r="N131" s="183" t="str">
        <f t="shared" si="97"/>
        <v/>
      </c>
      <c r="O131" s="183" t="str">
        <f t="shared" si="97"/>
        <v/>
      </c>
      <c r="P131" s="183" t="str">
        <f t="shared" si="97"/>
        <v/>
      </c>
      <c r="Q131" s="183" t="str">
        <f t="shared" si="97"/>
        <v/>
      </c>
      <c r="R131" s="183" t="str">
        <f t="shared" si="97"/>
        <v/>
      </c>
      <c r="S131" s="183" t="str">
        <f t="shared" si="97"/>
        <v/>
      </c>
      <c r="T131" s="183" t="str">
        <f t="shared" si="97"/>
        <v/>
      </c>
      <c r="U131" s="183" t="str">
        <f t="shared" si="97"/>
        <v/>
      </c>
      <c r="V131" s="183" t="str">
        <f t="shared" si="97"/>
        <v/>
      </c>
      <c r="W131" s="183" t="str">
        <f t="shared" si="97"/>
        <v/>
      </c>
    </row>
    <row r="132" spans="1:23" ht="15" customHeight="1" x14ac:dyDescent="0.2">
      <c r="A132" s="185" t="s">
        <v>42</v>
      </c>
      <c r="B132" s="185"/>
      <c r="C132" s="183"/>
      <c r="D132" s="183">
        <f t="shared" ref="D132:W132" si="98">IFERROR((D32-C32)/ABS(C32),"")</f>
        <v>-1.2733751346573488E-2</v>
      </c>
      <c r="E132" s="183">
        <f t="shared" si="98"/>
        <v>1.6171450954059651E-2</v>
      </c>
      <c r="F132" s="183">
        <f t="shared" si="98"/>
        <v>-7.6018722466960356E-2</v>
      </c>
      <c r="G132" s="183">
        <f t="shared" si="98"/>
        <v>-2.1305760004767721E-2</v>
      </c>
      <c r="H132" s="183">
        <f t="shared" si="98"/>
        <v>-4.1955912799902573E-2</v>
      </c>
      <c r="I132" s="183">
        <f t="shared" si="98"/>
        <v>3.7151210830737941E-2</v>
      </c>
      <c r="J132" s="183">
        <f t="shared" si="98"/>
        <v>-5.5155507890301825E-3</v>
      </c>
      <c r="K132" s="183">
        <f t="shared" si="98"/>
        <v>0.17393313819134185</v>
      </c>
      <c r="L132" s="183">
        <f t="shared" si="98"/>
        <v>-3.937007874015748E-2</v>
      </c>
      <c r="M132" s="183" t="str">
        <f t="shared" si="98"/>
        <v/>
      </c>
      <c r="N132" s="183" t="str">
        <f t="shared" si="98"/>
        <v/>
      </c>
      <c r="O132" s="183" t="str">
        <f t="shared" si="98"/>
        <v/>
      </c>
      <c r="P132" s="183" t="str">
        <f t="shared" si="98"/>
        <v/>
      </c>
      <c r="Q132" s="183" t="str">
        <f t="shared" si="98"/>
        <v/>
      </c>
      <c r="R132" s="183" t="str">
        <f t="shared" si="98"/>
        <v/>
      </c>
      <c r="S132" s="183" t="str">
        <f t="shared" si="98"/>
        <v/>
      </c>
      <c r="T132" s="183" t="str">
        <f t="shared" si="98"/>
        <v/>
      </c>
      <c r="U132" s="183" t="str">
        <f t="shared" si="98"/>
        <v/>
      </c>
      <c r="V132" s="183" t="str">
        <f t="shared" si="98"/>
        <v/>
      </c>
      <c r="W132" s="183" t="str">
        <f t="shared" si="98"/>
        <v/>
      </c>
    </row>
    <row r="133" spans="1:23" s="48" customFormat="1" ht="15" customHeight="1" x14ac:dyDescent="0.2">
      <c r="A133" s="238" t="s">
        <v>968</v>
      </c>
      <c r="B133" s="238"/>
      <c r="C133" s="183"/>
      <c r="D133" s="183">
        <f t="shared" ref="D133:W133" si="99">IFERROR((D33-C33)/ABS(C33),"")</f>
        <v>1.1518264558426467E-2</v>
      </c>
      <c r="E133" s="183">
        <f t="shared" si="99"/>
        <v>-4.7619758219164101E-4</v>
      </c>
      <c r="F133" s="183">
        <f t="shared" si="99"/>
        <v>-6.5529028557883423E-2</v>
      </c>
      <c r="G133" s="183">
        <f t="shared" si="99"/>
        <v>-4.7213882060010037E-2</v>
      </c>
      <c r="H133" s="183">
        <f t="shared" si="99"/>
        <v>1.1159107712043238E-2</v>
      </c>
      <c r="I133" s="183">
        <f t="shared" si="99"/>
        <v>-1.2344558135030565E-2</v>
      </c>
      <c r="J133" s="183">
        <f t="shared" si="99"/>
        <v>-7.3847096675348552E-3</v>
      </c>
      <c r="K133" s="183">
        <f t="shared" si="99"/>
        <v>5.9825893684015558E-2</v>
      </c>
      <c r="L133" s="183">
        <f t="shared" si="99"/>
        <v>6.920657112897588E-2</v>
      </c>
      <c r="M133" s="183" t="str">
        <f t="shared" si="99"/>
        <v/>
      </c>
      <c r="N133" s="183" t="str">
        <f t="shared" si="99"/>
        <v/>
      </c>
      <c r="O133" s="183" t="str">
        <f t="shared" si="99"/>
        <v/>
      </c>
      <c r="P133" s="183" t="str">
        <f t="shared" si="99"/>
        <v/>
      </c>
      <c r="Q133" s="183" t="str">
        <f t="shared" si="99"/>
        <v/>
      </c>
      <c r="R133" s="183" t="str">
        <f t="shared" si="99"/>
        <v/>
      </c>
      <c r="S133" s="183" t="str">
        <f t="shared" si="99"/>
        <v/>
      </c>
      <c r="T133" s="183" t="str">
        <f t="shared" si="99"/>
        <v/>
      </c>
      <c r="U133" s="183" t="str">
        <f t="shared" si="99"/>
        <v/>
      </c>
      <c r="V133" s="183" t="str">
        <f t="shared" si="99"/>
        <v/>
      </c>
      <c r="W133" s="183" t="str">
        <f t="shared" si="99"/>
        <v/>
      </c>
    </row>
    <row r="134" spans="1:23" s="48" customFormat="1" ht="15" customHeight="1" x14ac:dyDescent="0.2">
      <c r="A134" s="631" t="s">
        <v>970</v>
      </c>
      <c r="B134" s="238"/>
      <c r="C134" s="183"/>
      <c r="D134" s="183">
        <f t="shared" ref="D134:W134" si="100">IFERROR((D34-C34)/ABS(C34),"")</f>
        <v>1.1518264558426467E-2</v>
      </c>
      <c r="E134" s="183">
        <f t="shared" si="100"/>
        <v>-4.7619758219164101E-4</v>
      </c>
      <c r="F134" s="183">
        <f t="shared" si="100"/>
        <v>-6.5529028557883423E-2</v>
      </c>
      <c r="G134" s="183">
        <f t="shared" si="100"/>
        <v>-4.7213882060010037E-2</v>
      </c>
      <c r="H134" s="183">
        <f t="shared" si="100"/>
        <v>1.1159107712043238E-2</v>
      </c>
      <c r="I134" s="183">
        <f t="shared" si="100"/>
        <v>-1.2344558135030565E-2</v>
      </c>
      <c r="J134" s="183">
        <f t="shared" si="100"/>
        <v>-7.3847096675348552E-3</v>
      </c>
      <c r="K134" s="183">
        <f t="shared" si="100"/>
        <v>5.9825893684015558E-2</v>
      </c>
      <c r="L134" s="183">
        <f t="shared" si="100"/>
        <v>6.920657112897588E-2</v>
      </c>
      <c r="M134" s="183" t="str">
        <f t="shared" si="100"/>
        <v/>
      </c>
      <c r="N134" s="183" t="str">
        <f t="shared" si="100"/>
        <v/>
      </c>
      <c r="O134" s="183" t="str">
        <f t="shared" si="100"/>
        <v/>
      </c>
      <c r="P134" s="183" t="str">
        <f t="shared" si="100"/>
        <v/>
      </c>
      <c r="Q134" s="183" t="str">
        <f t="shared" si="100"/>
        <v/>
      </c>
      <c r="R134" s="183" t="str">
        <f t="shared" si="100"/>
        <v/>
      </c>
      <c r="S134" s="183" t="str">
        <f t="shared" si="100"/>
        <v/>
      </c>
      <c r="T134" s="183" t="str">
        <f t="shared" si="100"/>
        <v/>
      </c>
      <c r="U134" s="183" t="str">
        <f t="shared" si="100"/>
        <v/>
      </c>
      <c r="V134" s="183" t="str">
        <f t="shared" si="100"/>
        <v/>
      </c>
      <c r="W134" s="183" t="str">
        <f t="shared" si="100"/>
        <v/>
      </c>
    </row>
    <row r="135" spans="1:23" ht="15" customHeight="1" x14ac:dyDescent="0.2">
      <c r="A135" s="185" t="s">
        <v>35</v>
      </c>
      <c r="B135" s="185"/>
      <c r="C135" s="183"/>
      <c r="D135" s="183">
        <f t="shared" ref="D135:W135" si="101">IFERROR((D35-C35)/ABS(C35),"")</f>
        <v>-3.0766456266907122E-2</v>
      </c>
      <c r="E135" s="183">
        <f t="shared" si="101"/>
        <v>1.0233700506103007E-2</v>
      </c>
      <c r="F135" s="183">
        <f t="shared" si="101"/>
        <v>-0.11205658083766162</v>
      </c>
      <c r="G135" s="183">
        <f t="shared" si="101"/>
        <v>-5.5631611698817675E-2</v>
      </c>
      <c r="H135" s="183">
        <f t="shared" si="101"/>
        <v>-8.0258302583025826E-2</v>
      </c>
      <c r="I135" s="183">
        <f t="shared" si="101"/>
        <v>4.8717581315374694E-2</v>
      </c>
      <c r="J135" s="183">
        <f t="shared" si="101"/>
        <v>-2.2270802022134172E-2</v>
      </c>
      <c r="K135" s="183">
        <f t="shared" si="101"/>
        <v>0.25526364822060743</v>
      </c>
      <c r="L135" s="183">
        <f t="shared" si="101"/>
        <v>-3.7331156301024196E-2</v>
      </c>
      <c r="M135" s="183" t="str">
        <f t="shared" si="101"/>
        <v/>
      </c>
      <c r="N135" s="183" t="str">
        <f t="shared" si="101"/>
        <v/>
      </c>
      <c r="O135" s="183" t="str">
        <f t="shared" si="101"/>
        <v/>
      </c>
      <c r="P135" s="183" t="str">
        <f t="shared" si="101"/>
        <v/>
      </c>
      <c r="Q135" s="183" t="str">
        <f t="shared" si="101"/>
        <v/>
      </c>
      <c r="R135" s="183" t="str">
        <f t="shared" si="101"/>
        <v/>
      </c>
      <c r="S135" s="183" t="str">
        <f t="shared" si="101"/>
        <v/>
      </c>
      <c r="T135" s="183" t="str">
        <f t="shared" si="101"/>
        <v/>
      </c>
      <c r="U135" s="183" t="str">
        <f t="shared" si="101"/>
        <v/>
      </c>
      <c r="V135" s="183" t="str">
        <f t="shared" si="101"/>
        <v/>
      </c>
      <c r="W135" s="183" t="str">
        <f t="shared" si="101"/>
        <v/>
      </c>
    </row>
    <row r="136" spans="1:23" s="48" customFormat="1" ht="15" customHeight="1" x14ac:dyDescent="0.2">
      <c r="A136" s="50" t="s">
        <v>972</v>
      </c>
      <c r="B136" s="238"/>
      <c r="C136" s="183"/>
      <c r="D136" s="183">
        <f t="shared" ref="D136:W136" si="102">IFERROR((D36-C36)/ABS(C36),"")</f>
        <v>1.7674198769828866E-3</v>
      </c>
      <c r="E136" s="183">
        <f t="shared" si="102"/>
        <v>-1.1507521526634517E-2</v>
      </c>
      <c r="F136" s="183">
        <f t="shared" si="102"/>
        <v>-9.7570764611972907E-2</v>
      </c>
      <c r="G136" s="183">
        <f t="shared" si="102"/>
        <v>-8.9969429100763776E-2</v>
      </c>
      <c r="H136" s="183">
        <f t="shared" si="102"/>
        <v>-4.1798623520461417E-3</v>
      </c>
      <c r="I136" s="183">
        <f t="shared" si="102"/>
        <v>-2.473582986510562E-2</v>
      </c>
      <c r="J136" s="183">
        <f t="shared" si="102"/>
        <v>-2.5048959329598761E-2</v>
      </c>
      <c r="K136" s="183">
        <f t="shared" si="102"/>
        <v>8.2823375531368246E-2</v>
      </c>
      <c r="L136" s="183">
        <f t="shared" si="102"/>
        <v>0.12381363244176014</v>
      </c>
      <c r="M136" s="183" t="str">
        <f t="shared" si="102"/>
        <v/>
      </c>
      <c r="N136" s="183" t="str">
        <f t="shared" si="102"/>
        <v/>
      </c>
      <c r="O136" s="183" t="str">
        <f t="shared" si="102"/>
        <v/>
      </c>
      <c r="P136" s="183" t="str">
        <f t="shared" si="102"/>
        <v/>
      </c>
      <c r="Q136" s="183" t="str">
        <f t="shared" si="102"/>
        <v/>
      </c>
      <c r="R136" s="183" t="str">
        <f t="shared" si="102"/>
        <v/>
      </c>
      <c r="S136" s="183" t="str">
        <f t="shared" si="102"/>
        <v/>
      </c>
      <c r="T136" s="183" t="str">
        <f t="shared" si="102"/>
        <v/>
      </c>
      <c r="U136" s="183" t="str">
        <f t="shared" si="102"/>
        <v/>
      </c>
      <c r="V136" s="183" t="str">
        <f t="shared" si="102"/>
        <v/>
      </c>
      <c r="W136" s="183" t="str">
        <f t="shared" si="102"/>
        <v/>
      </c>
    </row>
    <row r="137" spans="1:23" s="48" customFormat="1" ht="15" customHeight="1" x14ac:dyDescent="0.2">
      <c r="A137" s="630" t="s">
        <v>974</v>
      </c>
      <c r="B137" s="238"/>
      <c r="C137" s="183"/>
      <c r="D137" s="183">
        <f t="shared" ref="D137:W137" si="103">IFERROR((D37-C37)/ABS(C37),"")</f>
        <v>1.7674198769828866E-3</v>
      </c>
      <c r="E137" s="183">
        <f t="shared" si="103"/>
        <v>-1.1507521526634517E-2</v>
      </c>
      <c r="F137" s="183">
        <f t="shared" si="103"/>
        <v>-9.7570764611972907E-2</v>
      </c>
      <c r="G137" s="183">
        <f t="shared" si="103"/>
        <v>-8.9969429100763776E-2</v>
      </c>
      <c r="H137" s="183">
        <f t="shared" si="103"/>
        <v>-4.1798623520461417E-3</v>
      </c>
      <c r="I137" s="183">
        <f t="shared" si="103"/>
        <v>-2.473582986510562E-2</v>
      </c>
      <c r="J137" s="183">
        <f t="shared" si="103"/>
        <v>-2.5048959329598761E-2</v>
      </c>
      <c r="K137" s="183">
        <f t="shared" si="103"/>
        <v>8.2823375531368246E-2</v>
      </c>
      <c r="L137" s="183">
        <f t="shared" si="103"/>
        <v>0.12381363244176014</v>
      </c>
      <c r="M137" s="183" t="str">
        <f t="shared" si="103"/>
        <v/>
      </c>
      <c r="N137" s="183" t="str">
        <f t="shared" si="103"/>
        <v/>
      </c>
      <c r="O137" s="183" t="str">
        <f t="shared" si="103"/>
        <v/>
      </c>
      <c r="P137" s="183" t="str">
        <f t="shared" si="103"/>
        <v/>
      </c>
      <c r="Q137" s="183" t="str">
        <f t="shared" si="103"/>
        <v/>
      </c>
      <c r="R137" s="183" t="str">
        <f t="shared" si="103"/>
        <v/>
      </c>
      <c r="S137" s="183" t="str">
        <f t="shared" si="103"/>
        <v/>
      </c>
      <c r="T137" s="183" t="str">
        <f t="shared" si="103"/>
        <v/>
      </c>
      <c r="U137" s="183" t="str">
        <f t="shared" si="103"/>
        <v/>
      </c>
      <c r="V137" s="183" t="str">
        <f t="shared" si="103"/>
        <v/>
      </c>
      <c r="W137" s="183" t="str">
        <f t="shared" si="103"/>
        <v/>
      </c>
    </row>
    <row r="138" spans="1:23" ht="15" customHeight="1" x14ac:dyDescent="0.2">
      <c r="A138" s="185" t="s">
        <v>50</v>
      </c>
      <c r="B138" s="185"/>
      <c r="C138" s="183"/>
      <c r="D138" s="183">
        <f t="shared" ref="D138:W138" si="104">IFERROR((D38-C38)/ABS(C38),"")</f>
        <v>-3.9201932818954094E-2</v>
      </c>
      <c r="E138" s="183">
        <f t="shared" si="104"/>
        <v>5.7998053212199871E-3</v>
      </c>
      <c r="F138" s="183">
        <f t="shared" si="104"/>
        <v>-0.12746481712972296</v>
      </c>
      <c r="G138" s="183">
        <f t="shared" si="104"/>
        <v>-5.2731306035677973E-2</v>
      </c>
      <c r="H138" s="183">
        <f t="shared" si="104"/>
        <v>-0.26218470995755477</v>
      </c>
      <c r="I138" s="183">
        <f t="shared" si="104"/>
        <v>-0.2422138464590359</v>
      </c>
      <c r="J138" s="183">
        <f t="shared" si="104"/>
        <v>0.7553228621291449</v>
      </c>
      <c r="K138" s="183">
        <f t="shared" si="104"/>
        <v>2.2270829190693973E-2</v>
      </c>
      <c r="L138" s="183">
        <f t="shared" si="104"/>
        <v>-9.0838358296051358E-2</v>
      </c>
      <c r="M138" s="183" t="str">
        <f t="shared" si="104"/>
        <v/>
      </c>
      <c r="N138" s="183" t="str">
        <f t="shared" si="104"/>
        <v/>
      </c>
      <c r="O138" s="183" t="str">
        <f t="shared" si="104"/>
        <v/>
      </c>
      <c r="P138" s="183" t="str">
        <f t="shared" si="104"/>
        <v/>
      </c>
      <c r="Q138" s="183" t="str">
        <f t="shared" si="104"/>
        <v/>
      </c>
      <c r="R138" s="183" t="str">
        <f t="shared" si="104"/>
        <v/>
      </c>
      <c r="S138" s="183" t="str">
        <f t="shared" si="104"/>
        <v/>
      </c>
      <c r="T138" s="183" t="str">
        <f t="shared" si="104"/>
        <v/>
      </c>
      <c r="U138" s="183" t="str">
        <f t="shared" si="104"/>
        <v/>
      </c>
      <c r="V138" s="183" t="str">
        <f t="shared" si="104"/>
        <v/>
      </c>
      <c r="W138" s="183" t="str">
        <f t="shared" si="104"/>
        <v/>
      </c>
    </row>
    <row r="139" spans="1:23" ht="15" customHeight="1" x14ac:dyDescent="0.2">
      <c r="A139" s="185" t="s">
        <v>6</v>
      </c>
      <c r="B139" s="185"/>
      <c r="C139" s="183"/>
      <c r="D139" s="183">
        <f t="shared" ref="D139:W139" si="105">IFERROR((D39-C39)/ABS(C39),"")</f>
        <v>-5.7473969057003353E-2</v>
      </c>
      <c r="E139" s="183">
        <f t="shared" si="105"/>
        <v>2.1283235551117215E-2</v>
      </c>
      <c r="F139" s="183">
        <f t="shared" si="105"/>
        <v>-0.10199841104931859</v>
      </c>
      <c r="G139" s="183">
        <f t="shared" si="105"/>
        <v>-7.1525792840615221E-2</v>
      </c>
      <c r="H139" s="183">
        <f t="shared" si="105"/>
        <v>-0.27713845928314884</v>
      </c>
      <c r="I139" s="183">
        <f t="shared" si="105"/>
        <v>-0.32366659906712636</v>
      </c>
      <c r="J139" s="183">
        <f t="shared" si="105"/>
        <v>1.2310344827586206</v>
      </c>
      <c r="K139" s="183">
        <f t="shared" si="105"/>
        <v>-9.2130905181103423E-2</v>
      </c>
      <c r="L139" s="183">
        <f t="shared" si="105"/>
        <v>1.2065136935603257E-2</v>
      </c>
      <c r="M139" s="183" t="str">
        <f t="shared" si="105"/>
        <v/>
      </c>
      <c r="N139" s="183" t="str">
        <f t="shared" si="105"/>
        <v/>
      </c>
      <c r="O139" s="183" t="str">
        <f t="shared" si="105"/>
        <v/>
      </c>
      <c r="P139" s="183" t="str">
        <f t="shared" si="105"/>
        <v/>
      </c>
      <c r="Q139" s="183" t="str">
        <f t="shared" si="105"/>
        <v/>
      </c>
      <c r="R139" s="183" t="str">
        <f t="shared" si="105"/>
        <v/>
      </c>
      <c r="S139" s="183" t="str">
        <f t="shared" si="105"/>
        <v/>
      </c>
      <c r="T139" s="183" t="str">
        <f t="shared" si="105"/>
        <v/>
      </c>
      <c r="U139" s="183" t="str">
        <f t="shared" si="105"/>
        <v/>
      </c>
      <c r="V139" s="183" t="str">
        <f t="shared" si="105"/>
        <v/>
      </c>
      <c r="W139" s="183" t="str">
        <f t="shared" si="105"/>
        <v/>
      </c>
    </row>
    <row r="140" spans="1:23" s="48" customFormat="1" ht="15" customHeight="1" x14ac:dyDescent="0.2">
      <c r="A140" s="170" t="s">
        <v>976</v>
      </c>
      <c r="B140" s="238"/>
      <c r="C140" s="183"/>
      <c r="D140" s="183">
        <f>IFERROR((D40-C40)/ABS(C40),"")</f>
        <v>-1.3110771221836518E-2</v>
      </c>
      <c r="E140" s="183">
        <f t="shared" ref="E140:W140" si="106">IFERROR((E40-D40)/ABS(D40),"")</f>
        <v>-1.9916393113310556E-2</v>
      </c>
      <c r="F140" s="183">
        <f t="shared" si="106"/>
        <v>-0.10193279288846059</v>
      </c>
      <c r="G140" s="183">
        <f t="shared" si="106"/>
        <v>-8.9542686829161292E-2</v>
      </c>
      <c r="H140" s="183">
        <f t="shared" si="106"/>
        <v>-1.038691326287723E-2</v>
      </c>
      <c r="I140" s="183">
        <f t="shared" si="106"/>
        <v>8.6871063273252044E-2</v>
      </c>
      <c r="J140" s="183">
        <f t="shared" si="106"/>
        <v>-2.2179191490980323E-2</v>
      </c>
      <c r="K140" s="183">
        <f t="shared" si="106"/>
        <v>0.10342281480475611</v>
      </c>
      <c r="L140" s="183">
        <f t="shared" si="106"/>
        <v>0.16144154815287701</v>
      </c>
      <c r="M140" s="183" t="str">
        <f t="shared" si="106"/>
        <v/>
      </c>
      <c r="N140" s="183" t="str">
        <f t="shared" si="106"/>
        <v/>
      </c>
      <c r="O140" s="183" t="str">
        <f t="shared" si="106"/>
        <v/>
      </c>
      <c r="P140" s="183" t="str">
        <f t="shared" si="106"/>
        <v/>
      </c>
      <c r="Q140" s="183" t="str">
        <f t="shared" si="106"/>
        <v/>
      </c>
      <c r="R140" s="183" t="str">
        <f t="shared" si="106"/>
        <v/>
      </c>
      <c r="S140" s="183" t="str">
        <f t="shared" si="106"/>
        <v/>
      </c>
      <c r="T140" s="183" t="str">
        <f t="shared" si="106"/>
        <v/>
      </c>
      <c r="U140" s="183" t="str">
        <f t="shared" si="106"/>
        <v/>
      </c>
      <c r="V140" s="183" t="str">
        <f t="shared" si="106"/>
        <v/>
      </c>
      <c r="W140" s="183" t="str">
        <f t="shared" si="106"/>
        <v/>
      </c>
    </row>
    <row r="141" spans="1:23" s="48" customFormat="1" ht="15" customHeight="1" x14ac:dyDescent="0.2">
      <c r="A141" s="170" t="s">
        <v>978</v>
      </c>
      <c r="B141" s="238"/>
      <c r="C141" s="183"/>
      <c r="D141" s="183">
        <f>IFERROR((D41-C41)/ABS(C41),"")</f>
        <v>-1.3110771221836518E-2</v>
      </c>
      <c r="E141" s="183">
        <f t="shared" ref="E141:W141" si="107">IFERROR((E41-D41)/ABS(D41),"")</f>
        <v>-1.9916393113310556E-2</v>
      </c>
      <c r="F141" s="183">
        <f t="shared" si="107"/>
        <v>-0.10193279288846059</v>
      </c>
      <c r="G141" s="183">
        <f t="shared" si="107"/>
        <v>-8.9542686829161292E-2</v>
      </c>
      <c r="H141" s="183">
        <f t="shared" si="107"/>
        <v>-1.038691326287723E-2</v>
      </c>
      <c r="I141" s="183">
        <f t="shared" si="107"/>
        <v>8.6871063273252044E-2</v>
      </c>
      <c r="J141" s="183">
        <f t="shared" si="107"/>
        <v>-2.2179191490980323E-2</v>
      </c>
      <c r="K141" s="183">
        <f t="shared" si="107"/>
        <v>0.10342281480475611</v>
      </c>
      <c r="L141" s="183">
        <f t="shared" si="107"/>
        <v>0.16144154815287701</v>
      </c>
      <c r="M141" s="183" t="str">
        <f t="shared" si="107"/>
        <v/>
      </c>
      <c r="N141" s="183" t="str">
        <f t="shared" si="107"/>
        <v/>
      </c>
      <c r="O141" s="183" t="str">
        <f t="shared" si="107"/>
        <v/>
      </c>
      <c r="P141" s="183" t="str">
        <f t="shared" si="107"/>
        <v/>
      </c>
      <c r="Q141" s="183" t="str">
        <f t="shared" si="107"/>
        <v/>
      </c>
      <c r="R141" s="183" t="str">
        <f t="shared" si="107"/>
        <v/>
      </c>
      <c r="S141" s="183" t="str">
        <f t="shared" si="107"/>
        <v/>
      </c>
      <c r="T141" s="183" t="str">
        <f t="shared" si="107"/>
        <v/>
      </c>
      <c r="U141" s="183" t="str">
        <f t="shared" si="107"/>
        <v/>
      </c>
      <c r="V141" s="183" t="str">
        <f t="shared" si="107"/>
        <v/>
      </c>
      <c r="W141" s="183" t="str">
        <f t="shared" si="107"/>
        <v/>
      </c>
    </row>
    <row r="142" spans="1:23" ht="15" customHeight="1" x14ac:dyDescent="0.2">
      <c r="A142" s="185"/>
      <c r="B142" s="185"/>
      <c r="C142" s="183"/>
      <c r="D142" s="183"/>
      <c r="E142" s="183"/>
      <c r="F142" s="183"/>
      <c r="G142" s="183"/>
      <c r="H142" s="183"/>
      <c r="I142" s="183"/>
      <c r="J142" s="183"/>
      <c r="K142" s="183"/>
      <c r="L142" s="183"/>
      <c r="M142" s="183"/>
      <c r="N142" s="183"/>
      <c r="O142" s="183"/>
      <c r="P142" s="183"/>
      <c r="Q142" s="183"/>
      <c r="R142" s="183"/>
      <c r="S142" s="183"/>
      <c r="T142" s="183"/>
      <c r="U142" s="183"/>
      <c r="V142" s="183"/>
      <c r="W142" s="183"/>
    </row>
    <row r="143" spans="1:23" ht="15" customHeight="1" x14ac:dyDescent="0.2">
      <c r="A143" s="916" t="s">
        <v>52</v>
      </c>
      <c r="B143" s="916"/>
      <c r="C143" s="930"/>
      <c r="D143" s="930"/>
      <c r="E143" s="930"/>
      <c r="F143" s="930"/>
      <c r="G143" s="930"/>
      <c r="H143" s="930"/>
      <c r="I143" s="930"/>
      <c r="J143" s="930"/>
      <c r="K143" s="930"/>
      <c r="L143" s="930"/>
      <c r="M143" s="930"/>
      <c r="N143" s="930"/>
      <c r="O143" s="930"/>
      <c r="P143" s="930"/>
      <c r="Q143" s="930"/>
      <c r="R143" s="930"/>
      <c r="S143" s="930"/>
      <c r="T143" s="930"/>
      <c r="U143" s="930"/>
      <c r="V143" s="930"/>
      <c r="W143" s="930"/>
    </row>
    <row r="144" spans="1:23" ht="15" customHeight="1" x14ac:dyDescent="0.2">
      <c r="A144" s="161" t="s">
        <v>8</v>
      </c>
      <c r="B144" s="161"/>
      <c r="C144" s="183"/>
      <c r="D144" s="183">
        <f t="shared" ref="D144:W144" si="108">IFERROR((D63-C63)/ABS(C63),"")</f>
        <v>-1.3445626477541371E-2</v>
      </c>
      <c r="E144" s="183">
        <f t="shared" si="108"/>
        <v>1.5126553841545605E-2</v>
      </c>
      <c r="F144" s="183">
        <f t="shared" si="108"/>
        <v>-0.17025671289465918</v>
      </c>
      <c r="G144" s="183">
        <f t="shared" si="108"/>
        <v>3.7517780938833567E-2</v>
      </c>
      <c r="H144" s="183">
        <f t="shared" si="108"/>
        <v>-3.7874892887746356E-2</v>
      </c>
      <c r="I144" s="183">
        <f t="shared" si="108"/>
        <v>0.11916636978981118</v>
      </c>
      <c r="J144" s="183">
        <f t="shared" si="108"/>
        <v>1.5915963711602739E-4</v>
      </c>
      <c r="K144" s="183">
        <f t="shared" si="108"/>
        <v>3.6919159770846595E-2</v>
      </c>
      <c r="L144" s="183">
        <f t="shared" si="108"/>
        <v>0.27071823204419887</v>
      </c>
      <c r="M144" s="183" t="str">
        <f t="shared" si="108"/>
        <v/>
      </c>
      <c r="N144" s="183" t="str">
        <f t="shared" si="108"/>
        <v/>
      </c>
      <c r="O144" s="183" t="str">
        <f t="shared" si="108"/>
        <v/>
      </c>
      <c r="P144" s="183" t="str">
        <f t="shared" si="108"/>
        <v/>
      </c>
      <c r="Q144" s="183" t="str">
        <f t="shared" si="108"/>
        <v/>
      </c>
      <c r="R144" s="183" t="str">
        <f t="shared" si="108"/>
        <v/>
      </c>
      <c r="S144" s="183" t="str">
        <f t="shared" si="108"/>
        <v/>
      </c>
      <c r="T144" s="183" t="str">
        <f t="shared" si="108"/>
        <v/>
      </c>
      <c r="U144" s="183" t="str">
        <f t="shared" si="108"/>
        <v/>
      </c>
      <c r="V144" s="183" t="str">
        <f t="shared" si="108"/>
        <v/>
      </c>
      <c r="W144" s="183" t="str">
        <f t="shared" si="108"/>
        <v/>
      </c>
    </row>
    <row r="145" spans="1:23" ht="15" customHeight="1" x14ac:dyDescent="0.2">
      <c r="A145" s="161" t="s">
        <v>25</v>
      </c>
      <c r="B145" s="161"/>
      <c r="C145" s="183"/>
      <c r="D145" s="183">
        <f t="shared" ref="D145:W145" si="109">IFERROR((D64-C64)/ABS(C64),"")</f>
        <v>-1.7463235294117647E-2</v>
      </c>
      <c r="E145" s="183">
        <f t="shared" si="109"/>
        <v>2.6593612187625282E-2</v>
      </c>
      <c r="F145" s="183">
        <f t="shared" si="109"/>
        <v>2.0046862796146837E-3</v>
      </c>
      <c r="G145" s="183">
        <f t="shared" si="109"/>
        <v>7.6545326993530283E-2</v>
      </c>
      <c r="H145" s="183">
        <f t="shared" si="109"/>
        <v>0.1124466005358048</v>
      </c>
      <c r="I145" s="183">
        <f t="shared" si="109"/>
        <v>2.1001475310249068E-2</v>
      </c>
      <c r="J145" s="183">
        <f t="shared" si="109"/>
        <v>-1.8487037824054399E-3</v>
      </c>
      <c r="K145" s="183">
        <f t="shared" si="109"/>
        <v>4.6154173674238394E-2</v>
      </c>
      <c r="L145" s="183">
        <f t="shared" si="109"/>
        <v>0.12453959015893043</v>
      </c>
      <c r="M145" s="183" t="str">
        <f t="shared" si="109"/>
        <v/>
      </c>
      <c r="N145" s="183" t="str">
        <f t="shared" si="109"/>
        <v/>
      </c>
      <c r="O145" s="183" t="str">
        <f t="shared" si="109"/>
        <v/>
      </c>
      <c r="P145" s="183" t="str">
        <f t="shared" si="109"/>
        <v/>
      </c>
      <c r="Q145" s="183" t="str">
        <f t="shared" si="109"/>
        <v/>
      </c>
      <c r="R145" s="183" t="str">
        <f t="shared" si="109"/>
        <v/>
      </c>
      <c r="S145" s="183" t="str">
        <f t="shared" si="109"/>
        <v/>
      </c>
      <c r="T145" s="183" t="str">
        <f t="shared" si="109"/>
        <v/>
      </c>
      <c r="U145" s="183" t="str">
        <f t="shared" si="109"/>
        <v/>
      </c>
      <c r="V145" s="183" t="str">
        <f t="shared" si="109"/>
        <v/>
      </c>
      <c r="W145" s="183" t="str">
        <f t="shared" si="109"/>
        <v/>
      </c>
    </row>
    <row r="146" spans="1:23" ht="15" customHeight="1" x14ac:dyDescent="0.2">
      <c r="A146" s="25" t="s">
        <v>53</v>
      </c>
      <c r="C146" s="173"/>
      <c r="D146" s="173">
        <f t="shared" ref="D146:W146" si="110">IFERROR((D65-C65)/ABS(C65),"")</f>
        <v>-9.1203938884764177E-2</v>
      </c>
      <c r="E146" s="173">
        <f t="shared" si="110"/>
        <v>0.22818936234252052</v>
      </c>
      <c r="F146" s="173">
        <f t="shared" si="110"/>
        <v>-3.5429211595014706E-2</v>
      </c>
      <c r="G146" s="173">
        <f t="shared" si="110"/>
        <v>0.14957171893147503</v>
      </c>
      <c r="H146" s="173">
        <f t="shared" si="110"/>
        <v>-0.10532630316042055</v>
      </c>
      <c r="I146" s="173">
        <f t="shared" si="110"/>
        <v>-2.0609097646186965E-2</v>
      </c>
      <c r="J146" s="173">
        <f t="shared" si="110"/>
        <v>-9.0008287392353975E-2</v>
      </c>
      <c r="K146" s="173">
        <f t="shared" si="110"/>
        <v>0.42839041773906156</v>
      </c>
      <c r="L146" s="173">
        <f t="shared" si="110"/>
        <v>-0.32968342850806676</v>
      </c>
      <c r="M146" s="173" t="str">
        <f t="shared" si="110"/>
        <v/>
      </c>
      <c r="N146" s="173" t="str">
        <f t="shared" si="110"/>
        <v/>
      </c>
      <c r="O146" s="173" t="str">
        <f t="shared" si="110"/>
        <v/>
      </c>
      <c r="P146" s="173" t="str">
        <f t="shared" si="110"/>
        <v/>
      </c>
      <c r="Q146" s="173" t="str">
        <f t="shared" si="110"/>
        <v/>
      </c>
      <c r="R146" s="173" t="str">
        <f t="shared" si="110"/>
        <v/>
      </c>
      <c r="S146" s="173" t="str">
        <f t="shared" si="110"/>
        <v/>
      </c>
      <c r="T146" s="173" t="str">
        <f t="shared" si="110"/>
        <v/>
      </c>
      <c r="U146" s="173" t="str">
        <f t="shared" si="110"/>
        <v/>
      </c>
      <c r="V146" s="173" t="str">
        <f t="shared" si="110"/>
        <v/>
      </c>
      <c r="W146" s="173" t="str">
        <f t="shared" si="110"/>
        <v/>
      </c>
    </row>
    <row r="147" spans="1:23" ht="15" customHeight="1" x14ac:dyDescent="0.2">
      <c r="A147" s="25" t="s">
        <v>551</v>
      </c>
      <c r="C147" s="173"/>
      <c r="D147" s="173">
        <f t="shared" ref="D147:W147" si="111">IFERROR((D66-C66)/ABS(C66),"")</f>
        <v>-6.4259092661611616E-2</v>
      </c>
      <c r="E147" s="173">
        <f t="shared" si="111"/>
        <v>0.25463535228677381</v>
      </c>
      <c r="F147" s="173">
        <f t="shared" si="111"/>
        <v>-4.707170224411604E-2</v>
      </c>
      <c r="G147" s="173">
        <f t="shared" si="111"/>
        <v>-0.21114302125215392</v>
      </c>
      <c r="H147" s="173">
        <f t="shared" si="111"/>
        <v>-1.616426387068589E-2</v>
      </c>
      <c r="I147" s="173">
        <f t="shared" si="111"/>
        <v>0.14298401420959148</v>
      </c>
      <c r="J147" s="173">
        <f t="shared" si="111"/>
        <v>0.22571872571872573</v>
      </c>
      <c r="K147" s="173">
        <f t="shared" si="111"/>
        <v>0.87437929212889598</v>
      </c>
      <c r="L147" s="173">
        <f t="shared" si="111"/>
        <v>-0.16802885970351164</v>
      </c>
      <c r="M147" s="173" t="str">
        <f t="shared" si="111"/>
        <v/>
      </c>
      <c r="N147" s="173" t="str">
        <f t="shared" si="111"/>
        <v/>
      </c>
      <c r="O147" s="173" t="str">
        <f t="shared" si="111"/>
        <v/>
      </c>
      <c r="P147" s="173" t="str">
        <f t="shared" si="111"/>
        <v/>
      </c>
      <c r="Q147" s="173" t="str">
        <f t="shared" si="111"/>
        <v/>
      </c>
      <c r="R147" s="173" t="str">
        <f t="shared" si="111"/>
        <v/>
      </c>
      <c r="S147" s="173" t="str">
        <f t="shared" si="111"/>
        <v/>
      </c>
      <c r="T147" s="173" t="str">
        <f t="shared" si="111"/>
        <v/>
      </c>
      <c r="U147" s="173" t="str">
        <f t="shared" si="111"/>
        <v/>
      </c>
      <c r="V147" s="173" t="str">
        <f t="shared" si="111"/>
        <v/>
      </c>
      <c r="W147" s="173" t="str">
        <f t="shared" si="111"/>
        <v/>
      </c>
    </row>
    <row r="148" spans="1:23" ht="15" customHeight="1" x14ac:dyDescent="0.2">
      <c r="C148" s="173"/>
      <c r="D148" s="173"/>
      <c r="E148" s="173"/>
      <c r="F148" s="173"/>
      <c r="G148" s="173"/>
      <c r="H148" s="173"/>
      <c r="I148" s="173"/>
      <c r="J148" s="173"/>
      <c r="K148" s="173"/>
      <c r="L148" s="173"/>
      <c r="M148" s="173"/>
      <c r="N148" s="173"/>
      <c r="O148" s="173"/>
      <c r="P148" s="173"/>
      <c r="Q148" s="173"/>
      <c r="R148" s="173"/>
      <c r="S148" s="173"/>
      <c r="T148" s="173"/>
      <c r="U148" s="173"/>
      <c r="V148" s="173"/>
      <c r="W148" s="173"/>
    </row>
    <row r="149" spans="1:23" ht="15" customHeight="1" x14ac:dyDescent="0.2">
      <c r="A149" s="25" t="s">
        <v>17</v>
      </c>
      <c r="C149" s="173"/>
      <c r="D149" s="173">
        <f t="shared" ref="D149:W149" si="112">IFERROR((D60-C60)/ABS(C60),"")</f>
        <v>2.4085108325913752E-2</v>
      </c>
      <c r="E149" s="173">
        <f t="shared" si="112"/>
        <v>6.3087966471978242E-3</v>
      </c>
      <c r="F149" s="173">
        <f t="shared" si="112"/>
        <v>-1.488668837642055E-2</v>
      </c>
      <c r="G149" s="173">
        <f t="shared" si="112"/>
        <v>-3.1999820099395088E-2</v>
      </c>
      <c r="H149" s="173">
        <f t="shared" si="112"/>
        <v>1.7121219160897646E-2</v>
      </c>
      <c r="I149" s="173">
        <f t="shared" si="112"/>
        <v>1.1100198707260809E-2</v>
      </c>
      <c r="J149" s="173">
        <f t="shared" si="112"/>
        <v>3.7498023447559239E-3</v>
      </c>
      <c r="K149" s="173">
        <f t="shared" si="112"/>
        <v>1.1567458084843029E-2</v>
      </c>
      <c r="L149" s="173">
        <f t="shared" si="112"/>
        <v>0.25722485483548019</v>
      </c>
      <c r="M149" s="173" t="str">
        <f t="shared" si="112"/>
        <v/>
      </c>
      <c r="N149" s="173" t="str">
        <f t="shared" si="112"/>
        <v/>
      </c>
      <c r="O149" s="173" t="str">
        <f t="shared" si="112"/>
        <v/>
      </c>
      <c r="P149" s="173" t="str">
        <f t="shared" si="112"/>
        <v/>
      </c>
      <c r="Q149" s="173" t="str">
        <f t="shared" si="112"/>
        <v/>
      </c>
      <c r="R149" s="173" t="str">
        <f t="shared" si="112"/>
        <v/>
      </c>
      <c r="S149" s="173" t="str">
        <f t="shared" si="112"/>
        <v/>
      </c>
      <c r="T149" s="173" t="str">
        <f t="shared" si="112"/>
        <v/>
      </c>
      <c r="U149" s="173" t="str">
        <f t="shared" si="112"/>
        <v/>
      </c>
      <c r="V149" s="173" t="str">
        <f t="shared" si="112"/>
        <v/>
      </c>
      <c r="W149" s="173" t="str">
        <f t="shared" si="112"/>
        <v/>
      </c>
    </row>
    <row r="150" spans="1:23" ht="15" customHeight="1" x14ac:dyDescent="0.2">
      <c r="L150" s="48"/>
      <c r="M150" s="48"/>
      <c r="N150" s="48"/>
      <c r="O150" s="48"/>
      <c r="P150" s="48"/>
      <c r="Q150" s="48"/>
      <c r="R150" s="48"/>
      <c r="S150" s="48"/>
      <c r="T150" s="48"/>
      <c r="U150" s="48"/>
      <c r="V150" s="48"/>
      <c r="W150" s="48"/>
    </row>
    <row r="151" spans="1:23" ht="15" customHeight="1" thickBot="1" x14ac:dyDescent="0.25">
      <c r="A151" s="176" t="s">
        <v>354</v>
      </c>
      <c r="B151" s="176"/>
      <c r="C151" s="177"/>
      <c r="D151" s="177"/>
      <c r="E151" s="177"/>
      <c r="F151" s="177"/>
      <c r="G151" s="177"/>
      <c r="H151" s="177"/>
      <c r="I151" s="177"/>
      <c r="J151" s="177"/>
      <c r="K151" s="177"/>
      <c r="L151" s="177"/>
      <c r="M151" s="177"/>
      <c r="N151" s="177"/>
      <c r="O151" s="177"/>
      <c r="P151" s="177"/>
      <c r="Q151" s="177"/>
      <c r="R151" s="177"/>
      <c r="S151" s="177"/>
      <c r="T151" s="177"/>
      <c r="U151" s="177"/>
      <c r="V151" s="177"/>
      <c r="W151" s="177"/>
    </row>
    <row r="152" spans="1:23" ht="15" customHeight="1" x14ac:dyDescent="0.2">
      <c r="A152" s="27"/>
      <c r="B152" s="27"/>
      <c r="C152" s="183"/>
      <c r="D152" s="183"/>
      <c r="E152" s="183"/>
      <c r="F152" s="183"/>
      <c r="G152" s="183"/>
      <c r="H152" s="183"/>
      <c r="I152" s="183"/>
      <c r="J152" s="183"/>
      <c r="K152" s="183"/>
      <c r="L152" s="183"/>
      <c r="M152" s="183"/>
      <c r="N152" s="183"/>
      <c r="O152" s="183"/>
      <c r="P152" s="183"/>
      <c r="Q152" s="183"/>
      <c r="R152" s="183"/>
      <c r="S152" s="183"/>
      <c r="T152" s="183"/>
      <c r="U152" s="183"/>
      <c r="V152" s="183"/>
      <c r="W152" s="183"/>
    </row>
    <row r="153" spans="1:23" ht="15" customHeight="1" x14ac:dyDescent="0.2">
      <c r="A153" s="878" t="s">
        <v>47</v>
      </c>
      <c r="B153" s="878"/>
      <c r="C153" s="928"/>
      <c r="D153" s="928"/>
      <c r="E153" s="928"/>
      <c r="F153" s="928"/>
      <c r="G153" s="928"/>
      <c r="H153" s="928"/>
      <c r="I153" s="928"/>
      <c r="J153" s="928"/>
      <c r="K153" s="928"/>
      <c r="L153" s="928"/>
      <c r="M153" s="928"/>
      <c r="N153" s="928"/>
      <c r="O153" s="928"/>
      <c r="P153" s="928"/>
      <c r="Q153" s="928"/>
      <c r="R153" s="928"/>
      <c r="S153" s="928"/>
      <c r="T153" s="928"/>
      <c r="U153" s="928"/>
      <c r="V153" s="928"/>
      <c r="W153" s="928"/>
    </row>
    <row r="154" spans="1:23" ht="15" customHeight="1" x14ac:dyDescent="0.2">
      <c r="A154" s="140" t="s">
        <v>33</v>
      </c>
      <c r="B154" s="140"/>
      <c r="C154" s="183"/>
      <c r="D154" s="183">
        <f t="shared" ref="D154:W154" si="113">IFERROR((D15-$C15)/ABS($C15),"")</f>
        <v>1.6308511024194977E-2</v>
      </c>
      <c r="E154" s="183">
        <f t="shared" si="113"/>
        <v>3.6274327804699018E-2</v>
      </c>
      <c r="F154" s="183">
        <f t="shared" si="113"/>
        <v>2.8761274381149299E-2</v>
      </c>
      <c r="G154" s="183">
        <f t="shared" si="113"/>
        <v>3.6748027850148621E-2</v>
      </c>
      <c r="H154" s="183">
        <f t="shared" si="113"/>
        <v>6.7623882163913018E-2</v>
      </c>
      <c r="I154" s="183">
        <f t="shared" si="113"/>
        <v>9.7629152610364645E-2</v>
      </c>
      <c r="J154" s="183">
        <f t="shared" si="113"/>
        <v>0.11802599375654806</v>
      </c>
      <c r="K154" s="183">
        <f t="shared" si="113"/>
        <v>0.19310745096030948</v>
      </c>
      <c r="L154" s="183">
        <f t="shared" si="113"/>
        <v>0.22213331455603424</v>
      </c>
      <c r="M154" s="183" t="str">
        <f t="shared" si="113"/>
        <v/>
      </c>
      <c r="N154" s="183" t="str">
        <f t="shared" si="113"/>
        <v/>
      </c>
      <c r="O154" s="183" t="str">
        <f t="shared" si="113"/>
        <v/>
      </c>
      <c r="P154" s="183" t="str">
        <f t="shared" si="113"/>
        <v/>
      </c>
      <c r="Q154" s="183" t="str">
        <f t="shared" si="113"/>
        <v/>
      </c>
      <c r="R154" s="183" t="str">
        <f t="shared" si="113"/>
        <v/>
      </c>
      <c r="S154" s="183" t="str">
        <f t="shared" si="113"/>
        <v/>
      </c>
      <c r="T154" s="183" t="str">
        <f t="shared" si="113"/>
        <v/>
      </c>
      <c r="U154" s="183" t="str">
        <f t="shared" si="113"/>
        <v/>
      </c>
      <c r="V154" s="183" t="str">
        <f t="shared" si="113"/>
        <v/>
      </c>
      <c r="W154" s="183" t="str">
        <f t="shared" si="113"/>
        <v/>
      </c>
    </row>
    <row r="155" spans="1:23" ht="15" customHeight="1" x14ac:dyDescent="0.2">
      <c r="A155" s="140" t="s">
        <v>34</v>
      </c>
      <c r="B155" s="140"/>
      <c r="C155" s="183"/>
      <c r="D155" s="183">
        <f>IFERROR(IF((D16-$C16)/ABS($C16) = 0, NA(), (D16-$C16)/ABS($C16)),NA())</f>
        <v>1.6383903354272106E-2</v>
      </c>
      <c r="E155" s="183">
        <f t="shared" ref="E155:W155" si="114">IFERROR(IF((E16-$C16)/ABS($C16) = 0, NA(), (E16-$C16)/ABS($C16)),NA())</f>
        <v>3.6301756756373177E-2</v>
      </c>
      <c r="F155" s="183">
        <f t="shared" si="114"/>
        <v>2.4658171940152768E-2</v>
      </c>
      <c r="G155" s="183">
        <f t="shared" si="114"/>
        <v>2.5430247773895322E-2</v>
      </c>
      <c r="H155" s="183">
        <f t="shared" si="114"/>
        <v>5.9889808882846007E-2</v>
      </c>
      <c r="I155" s="183">
        <f t="shared" si="114"/>
        <v>9.3682319179555884E-2</v>
      </c>
      <c r="J155" s="183">
        <f t="shared" si="114"/>
        <v>0.1200918543161026</v>
      </c>
      <c r="K155" s="183">
        <f t="shared" si="114"/>
        <v>0.19307005168934166</v>
      </c>
      <c r="L155" s="183">
        <f t="shared" si="114"/>
        <v>0.21772254660130516</v>
      </c>
      <c r="M155" s="183" t="e">
        <f t="shared" si="114"/>
        <v>#N/A</v>
      </c>
      <c r="N155" s="183" t="e">
        <f t="shared" si="114"/>
        <v>#N/A</v>
      </c>
      <c r="O155" s="183" t="e">
        <f t="shared" si="114"/>
        <v>#N/A</v>
      </c>
      <c r="P155" s="183" t="e">
        <f t="shared" si="114"/>
        <v>#N/A</v>
      </c>
      <c r="Q155" s="183" t="e">
        <f t="shared" si="114"/>
        <v>#N/A</v>
      </c>
      <c r="R155" s="183" t="e">
        <f t="shared" si="114"/>
        <v>#N/A</v>
      </c>
      <c r="S155" s="183" t="e">
        <f t="shared" si="114"/>
        <v>#N/A</v>
      </c>
      <c r="T155" s="183" t="e">
        <f t="shared" si="114"/>
        <v>#N/A</v>
      </c>
      <c r="U155" s="183" t="e">
        <f t="shared" si="114"/>
        <v>#N/A</v>
      </c>
      <c r="V155" s="183" t="e">
        <f t="shared" si="114"/>
        <v>#N/A</v>
      </c>
      <c r="W155" s="183" t="e">
        <f t="shared" si="114"/>
        <v>#N/A</v>
      </c>
    </row>
    <row r="156" spans="1:23" ht="15" customHeight="1" x14ac:dyDescent="0.2">
      <c r="A156" s="159" t="s">
        <v>30</v>
      </c>
      <c r="B156" s="159"/>
      <c r="C156" s="184"/>
      <c r="D156" s="184">
        <f t="shared" ref="D156:W156" si="115">IFERROR((D17-$C17)/ABS($C17),"")</f>
        <v>1.6080237894700655E-2</v>
      </c>
      <c r="E156" s="184">
        <f t="shared" si="115"/>
        <v>3.6191278340237554E-2</v>
      </c>
      <c r="F156" s="184">
        <f t="shared" si="115"/>
        <v>4.1184660604706325E-2</v>
      </c>
      <c r="G156" s="184">
        <f t="shared" si="115"/>
        <v>7.1016037265586057E-2</v>
      </c>
      <c r="H156" s="184">
        <f t="shared" si="115"/>
        <v>9.1041133093834339E-2</v>
      </c>
      <c r="I156" s="184">
        <f t="shared" si="115"/>
        <v>0.1095793870429895</v>
      </c>
      <c r="J156" s="184">
        <f t="shared" si="115"/>
        <v>0.11177097478384929</v>
      </c>
      <c r="K156" s="184">
        <f t="shared" si="115"/>
        <v>0.19322068858827371</v>
      </c>
      <c r="L156" s="184">
        <f t="shared" si="115"/>
        <v>0.23548825137081664</v>
      </c>
      <c r="M156" s="184" t="str">
        <f t="shared" si="115"/>
        <v/>
      </c>
      <c r="N156" s="184" t="str">
        <f t="shared" si="115"/>
        <v/>
      </c>
      <c r="O156" s="184" t="str">
        <f t="shared" si="115"/>
        <v/>
      </c>
      <c r="P156" s="184" t="str">
        <f t="shared" si="115"/>
        <v/>
      </c>
      <c r="Q156" s="184" t="str">
        <f t="shared" si="115"/>
        <v/>
      </c>
      <c r="R156" s="184" t="str">
        <f t="shared" si="115"/>
        <v/>
      </c>
      <c r="S156" s="184" t="str">
        <f t="shared" si="115"/>
        <v/>
      </c>
      <c r="T156" s="184" t="str">
        <f t="shared" si="115"/>
        <v/>
      </c>
      <c r="U156" s="184" t="str">
        <f t="shared" si="115"/>
        <v/>
      </c>
      <c r="V156" s="184" t="str">
        <f t="shared" si="115"/>
        <v/>
      </c>
      <c r="W156" s="184" t="str">
        <f t="shared" si="115"/>
        <v/>
      </c>
    </row>
    <row r="157" spans="1:23" ht="15" customHeight="1" x14ac:dyDescent="0.2">
      <c r="A157" s="27"/>
      <c r="B157" s="27"/>
      <c r="C157" s="183"/>
      <c r="D157" s="183"/>
      <c r="E157" s="183"/>
      <c r="F157" s="183"/>
      <c r="G157" s="183"/>
      <c r="H157" s="183"/>
      <c r="I157" s="183"/>
      <c r="J157" s="183"/>
      <c r="K157" s="183"/>
      <c r="L157" s="183"/>
      <c r="M157" s="183"/>
      <c r="N157" s="183"/>
      <c r="O157" s="183"/>
      <c r="P157" s="183"/>
      <c r="Q157" s="183"/>
      <c r="R157" s="183"/>
      <c r="S157" s="183"/>
      <c r="T157" s="183"/>
      <c r="U157" s="183"/>
      <c r="V157" s="183"/>
      <c r="W157" s="183"/>
    </row>
    <row r="158" spans="1:23" ht="15" customHeight="1" x14ac:dyDescent="0.2">
      <c r="A158" s="140" t="s">
        <v>0</v>
      </c>
      <c r="B158" s="140"/>
      <c r="C158" s="183"/>
      <c r="D158" s="183">
        <f t="shared" ref="D158:W158" si="116">IFERROR(IF((D19-$C19)/ABS($C19) = 0,NA(),(D19-$C19)/ABS($C19)),NA())</f>
        <v>3.0734861049994924E-2</v>
      </c>
      <c r="E158" s="183">
        <f t="shared" si="116"/>
        <v>5.4034232587527785E-2</v>
      </c>
      <c r="F158" s="183">
        <f t="shared" si="116"/>
        <v>9.491250042311207E-2</v>
      </c>
      <c r="G158" s="183">
        <f t="shared" si="116"/>
        <v>0.14920624174931457</v>
      </c>
      <c r="H158" s="183">
        <f t="shared" si="116"/>
        <v>0.19610962551760711</v>
      </c>
      <c r="I158" s="183">
        <f t="shared" si="116"/>
        <v>0.20893838359904771</v>
      </c>
      <c r="J158" s="183">
        <f t="shared" si="116"/>
        <v>0.21733292714574237</v>
      </c>
      <c r="K158" s="183">
        <f t="shared" si="116"/>
        <v>0.26243103273195006</v>
      </c>
      <c r="L158" s="183">
        <f t="shared" si="116"/>
        <v>0.32927145742364239</v>
      </c>
      <c r="M158" s="183" t="e">
        <f t="shared" si="116"/>
        <v>#N/A</v>
      </c>
      <c r="N158" s="183" t="e">
        <f t="shared" si="116"/>
        <v>#N/A</v>
      </c>
      <c r="O158" s="183" t="e">
        <f t="shared" si="116"/>
        <v>#N/A</v>
      </c>
      <c r="P158" s="183" t="e">
        <f t="shared" si="116"/>
        <v>#N/A</v>
      </c>
      <c r="Q158" s="183" t="e">
        <f t="shared" si="116"/>
        <v>#N/A</v>
      </c>
      <c r="R158" s="183" t="e">
        <f t="shared" si="116"/>
        <v>#N/A</v>
      </c>
      <c r="S158" s="183" t="e">
        <f t="shared" si="116"/>
        <v>#N/A</v>
      </c>
      <c r="T158" s="183" t="e">
        <f t="shared" si="116"/>
        <v>#N/A</v>
      </c>
      <c r="U158" s="183" t="e">
        <f t="shared" si="116"/>
        <v>#N/A</v>
      </c>
      <c r="V158" s="183" t="e">
        <f t="shared" si="116"/>
        <v>#N/A</v>
      </c>
      <c r="W158" s="183" t="e">
        <f t="shared" si="116"/>
        <v>#N/A</v>
      </c>
    </row>
    <row r="159" spans="1:23" ht="15" customHeight="1" x14ac:dyDescent="0.2">
      <c r="A159" s="140" t="s">
        <v>1</v>
      </c>
      <c r="B159" s="140"/>
      <c r="C159" s="183"/>
      <c r="D159" s="183" t="e">
        <f t="shared" ref="D159:W159" si="117">IFERROR(IF((D20-$C20)/ABS($C20) = 0,NA(),(D17-$C17)/ABS($C17)),NA())</f>
        <v>#N/A</v>
      </c>
      <c r="E159" s="183" t="e">
        <f t="shared" si="117"/>
        <v>#N/A</v>
      </c>
      <c r="F159" s="183" t="e">
        <f t="shared" si="117"/>
        <v>#N/A</v>
      </c>
      <c r="G159" s="183" t="e">
        <f t="shared" si="117"/>
        <v>#N/A</v>
      </c>
      <c r="H159" s="183" t="e">
        <f t="shared" si="117"/>
        <v>#N/A</v>
      </c>
      <c r="I159" s="183" t="e">
        <f t="shared" si="117"/>
        <v>#N/A</v>
      </c>
      <c r="J159" s="183" t="e">
        <f t="shared" si="117"/>
        <v>#N/A</v>
      </c>
      <c r="K159" s="183" t="e">
        <f t="shared" si="117"/>
        <v>#N/A</v>
      </c>
      <c r="L159" s="183" t="e">
        <f t="shared" si="117"/>
        <v>#N/A</v>
      </c>
      <c r="M159" s="183" t="e">
        <f t="shared" si="117"/>
        <v>#N/A</v>
      </c>
      <c r="N159" s="183" t="e">
        <f t="shared" si="117"/>
        <v>#N/A</v>
      </c>
      <c r="O159" s="183" t="e">
        <f t="shared" si="117"/>
        <v>#N/A</v>
      </c>
      <c r="P159" s="183" t="e">
        <f t="shared" si="117"/>
        <v>#N/A</v>
      </c>
      <c r="Q159" s="183" t="e">
        <f t="shared" si="117"/>
        <v>#N/A</v>
      </c>
      <c r="R159" s="183" t="e">
        <f t="shared" si="117"/>
        <v>#N/A</v>
      </c>
      <c r="S159" s="183" t="e">
        <f t="shared" si="117"/>
        <v>#N/A</v>
      </c>
      <c r="T159" s="183" t="e">
        <f t="shared" si="117"/>
        <v>#N/A</v>
      </c>
      <c r="U159" s="183" t="e">
        <f t="shared" si="117"/>
        <v>#N/A</v>
      </c>
      <c r="V159" s="183" t="e">
        <f t="shared" si="117"/>
        <v>#N/A</v>
      </c>
      <c r="W159" s="183" t="e">
        <f t="shared" si="117"/>
        <v>#N/A</v>
      </c>
    </row>
    <row r="160" spans="1:23" ht="15" customHeight="1" x14ac:dyDescent="0.2">
      <c r="A160" s="140" t="s">
        <v>39</v>
      </c>
      <c r="B160" s="140"/>
      <c r="C160" s="183"/>
      <c r="D160" s="183" t="e">
        <f t="shared" ref="D160:W160" si="118">IFERROR(IF((D21-$C21)/ABS($C21) = 0,NA(),(D18-$C18)/ABS($C18)),NA())</f>
        <v>#N/A</v>
      </c>
      <c r="E160" s="183" t="e">
        <f t="shared" si="118"/>
        <v>#N/A</v>
      </c>
      <c r="F160" s="183" t="e">
        <f t="shared" si="118"/>
        <v>#N/A</v>
      </c>
      <c r="G160" s="183" t="e">
        <f t="shared" si="118"/>
        <v>#N/A</v>
      </c>
      <c r="H160" s="183" t="e">
        <f t="shared" si="118"/>
        <v>#N/A</v>
      </c>
      <c r="I160" s="183" t="e">
        <f t="shared" si="118"/>
        <v>#N/A</v>
      </c>
      <c r="J160" s="183" t="e">
        <f t="shared" si="118"/>
        <v>#N/A</v>
      </c>
      <c r="K160" s="183" t="e">
        <f t="shared" si="118"/>
        <v>#N/A</v>
      </c>
      <c r="L160" s="183" t="e">
        <f t="shared" si="118"/>
        <v>#N/A</v>
      </c>
      <c r="M160" s="183" t="e">
        <f t="shared" si="118"/>
        <v>#N/A</v>
      </c>
      <c r="N160" s="183" t="e">
        <f t="shared" si="118"/>
        <v>#N/A</v>
      </c>
      <c r="O160" s="183" t="e">
        <f t="shared" si="118"/>
        <v>#N/A</v>
      </c>
      <c r="P160" s="183" t="e">
        <f t="shared" si="118"/>
        <v>#N/A</v>
      </c>
      <c r="Q160" s="183" t="e">
        <f t="shared" si="118"/>
        <v>#N/A</v>
      </c>
      <c r="R160" s="183" t="e">
        <f t="shared" si="118"/>
        <v>#N/A</v>
      </c>
      <c r="S160" s="183" t="e">
        <f t="shared" si="118"/>
        <v>#N/A</v>
      </c>
      <c r="T160" s="183" t="e">
        <f t="shared" si="118"/>
        <v>#N/A</v>
      </c>
      <c r="U160" s="183" t="e">
        <f t="shared" si="118"/>
        <v>#N/A</v>
      </c>
      <c r="V160" s="183" t="e">
        <f t="shared" si="118"/>
        <v>#N/A</v>
      </c>
      <c r="W160" s="183" t="e">
        <f t="shared" si="118"/>
        <v>#N/A</v>
      </c>
    </row>
    <row r="161" spans="1:23" ht="15" customHeight="1" x14ac:dyDescent="0.2">
      <c r="A161" s="140" t="s">
        <v>38</v>
      </c>
      <c r="B161" s="140"/>
      <c r="C161" s="183"/>
      <c r="D161" s="183" t="e">
        <f t="shared" ref="D161:W161" si="119">IFERROR(IF((D22-$C22)/ABS($C22) = 0,NA(),(D19-$C19)/ABS($C19)),NA())</f>
        <v>#N/A</v>
      </c>
      <c r="E161" s="183" t="e">
        <f t="shared" si="119"/>
        <v>#N/A</v>
      </c>
      <c r="F161" s="183" t="e">
        <f t="shared" si="119"/>
        <v>#N/A</v>
      </c>
      <c r="G161" s="183" t="e">
        <f t="shared" si="119"/>
        <v>#N/A</v>
      </c>
      <c r="H161" s="183" t="e">
        <f t="shared" si="119"/>
        <v>#N/A</v>
      </c>
      <c r="I161" s="183" t="e">
        <f t="shared" si="119"/>
        <v>#N/A</v>
      </c>
      <c r="J161" s="183" t="e">
        <f t="shared" si="119"/>
        <v>#N/A</v>
      </c>
      <c r="K161" s="183" t="e">
        <f t="shared" si="119"/>
        <v>#N/A</v>
      </c>
      <c r="L161" s="183" t="e">
        <f t="shared" si="119"/>
        <v>#N/A</v>
      </c>
      <c r="M161" s="183" t="e">
        <f t="shared" si="119"/>
        <v>#N/A</v>
      </c>
      <c r="N161" s="183" t="e">
        <f t="shared" si="119"/>
        <v>#N/A</v>
      </c>
      <c r="O161" s="183" t="e">
        <f t="shared" si="119"/>
        <v>#N/A</v>
      </c>
      <c r="P161" s="183" t="e">
        <f t="shared" si="119"/>
        <v>#N/A</v>
      </c>
      <c r="Q161" s="183" t="e">
        <f t="shared" si="119"/>
        <v>#N/A</v>
      </c>
      <c r="R161" s="183" t="e">
        <f t="shared" si="119"/>
        <v>#N/A</v>
      </c>
      <c r="S161" s="183" t="e">
        <f t="shared" si="119"/>
        <v>#N/A</v>
      </c>
      <c r="T161" s="183" t="e">
        <f t="shared" si="119"/>
        <v>#N/A</v>
      </c>
      <c r="U161" s="183" t="e">
        <f t="shared" si="119"/>
        <v>#N/A</v>
      </c>
      <c r="V161" s="183" t="e">
        <f t="shared" si="119"/>
        <v>#N/A</v>
      </c>
      <c r="W161" s="183" t="e">
        <f t="shared" si="119"/>
        <v>#N/A</v>
      </c>
    </row>
    <row r="162" spans="1:23" ht="15" customHeight="1" x14ac:dyDescent="0.2">
      <c r="A162" s="159" t="s">
        <v>40</v>
      </c>
      <c r="B162" s="159"/>
      <c r="C162" s="184"/>
      <c r="D162" s="184">
        <f t="shared" ref="D162:W162" si="120">IFERROR((D23-$C23)/ABS($C23),"")</f>
        <v>3.2088314951548291E-2</v>
      </c>
      <c r="E162" s="184">
        <f t="shared" si="120"/>
        <v>5.6473786647718495E-2</v>
      </c>
      <c r="F162" s="184">
        <f t="shared" si="120"/>
        <v>9.6676861606269371E-2</v>
      </c>
      <c r="G162" s="184">
        <f t="shared" si="120"/>
        <v>0.1526769439896197</v>
      </c>
      <c r="H162" s="184">
        <f t="shared" si="120"/>
        <v>0.20010915793918049</v>
      </c>
      <c r="I162" s="184">
        <f t="shared" si="120"/>
        <v>0.21335228150390806</v>
      </c>
      <c r="J162" s="184">
        <f t="shared" si="120"/>
        <v>0.22419598999042292</v>
      </c>
      <c r="K162" s="184">
        <f t="shared" si="120"/>
        <v>0.26705592799695183</v>
      </c>
      <c r="L162" s="184">
        <f t="shared" si="120"/>
        <v>0.32297362702997723</v>
      </c>
      <c r="M162" s="184" t="str">
        <f t="shared" si="120"/>
        <v/>
      </c>
      <c r="N162" s="184" t="str">
        <f t="shared" si="120"/>
        <v/>
      </c>
      <c r="O162" s="184" t="str">
        <f t="shared" si="120"/>
        <v/>
      </c>
      <c r="P162" s="184" t="str">
        <f t="shared" si="120"/>
        <v/>
      </c>
      <c r="Q162" s="184" t="str">
        <f t="shared" si="120"/>
        <v/>
      </c>
      <c r="R162" s="184" t="str">
        <f t="shared" si="120"/>
        <v/>
      </c>
      <c r="S162" s="184" t="str">
        <f t="shared" si="120"/>
        <v/>
      </c>
      <c r="T162" s="184" t="str">
        <f t="shared" si="120"/>
        <v/>
      </c>
      <c r="U162" s="184" t="str">
        <f t="shared" si="120"/>
        <v/>
      </c>
      <c r="V162" s="184" t="str">
        <f t="shared" si="120"/>
        <v/>
      </c>
      <c r="W162" s="184" t="str">
        <f t="shared" si="120"/>
        <v/>
      </c>
    </row>
    <row r="163" spans="1:23" ht="15" customHeight="1" x14ac:dyDescent="0.2">
      <c r="A163" s="27"/>
      <c r="B163" s="27"/>
      <c r="C163" s="183"/>
      <c r="D163" s="183"/>
      <c r="E163" s="183"/>
      <c r="F163" s="183"/>
      <c r="G163" s="183"/>
      <c r="H163" s="183"/>
      <c r="I163" s="183"/>
      <c r="J163" s="183"/>
      <c r="K163" s="183"/>
      <c r="L163" s="183"/>
      <c r="M163" s="183"/>
      <c r="N163" s="183"/>
      <c r="O163" s="183"/>
      <c r="P163" s="183"/>
      <c r="Q163" s="183"/>
      <c r="R163" s="183"/>
      <c r="S163" s="183"/>
      <c r="T163" s="183"/>
      <c r="U163" s="183"/>
      <c r="V163" s="183"/>
      <c r="W163" s="183"/>
    </row>
    <row r="164" spans="1:23" ht="15" customHeight="1" x14ac:dyDescent="0.2">
      <c r="A164" s="27" t="s">
        <v>41</v>
      </c>
      <c r="B164" s="27"/>
      <c r="C164" s="183"/>
      <c r="D164" s="183">
        <f t="shared" ref="D164:W164" si="121">IFERROR((D25-$C25)/ABS($C25),"")</f>
        <v>-7.4163839069316534E-2</v>
      </c>
      <c r="E164" s="183">
        <f t="shared" si="121"/>
        <v>-0.13814832767813864</v>
      </c>
      <c r="F164" s="183">
        <f t="shared" si="121"/>
        <v>-0.19583131362094039</v>
      </c>
      <c r="G164" s="183">
        <f t="shared" si="121"/>
        <v>-9.8885118759088703E-2</v>
      </c>
      <c r="H164" s="183">
        <f t="shared" si="121"/>
        <v>-5.5744062045564709E-2</v>
      </c>
      <c r="I164" s="183">
        <f t="shared" si="121"/>
        <v>-3.1992244304411055E-2</v>
      </c>
      <c r="J164" s="183">
        <f t="shared" si="121"/>
        <v>-0.16820164808531265</v>
      </c>
      <c r="K164" s="183">
        <f t="shared" si="121"/>
        <v>-6.3499757634512849E-2</v>
      </c>
      <c r="L164" s="183">
        <f t="shared" si="121"/>
        <v>0.11003393116820165</v>
      </c>
      <c r="M164" s="183" t="str">
        <f t="shared" si="121"/>
        <v/>
      </c>
      <c r="N164" s="183" t="str">
        <f t="shared" si="121"/>
        <v/>
      </c>
      <c r="O164" s="183" t="str">
        <f t="shared" si="121"/>
        <v/>
      </c>
      <c r="P164" s="183" t="str">
        <f t="shared" si="121"/>
        <v/>
      </c>
      <c r="Q164" s="183" t="str">
        <f t="shared" si="121"/>
        <v/>
      </c>
      <c r="R164" s="183" t="str">
        <f t="shared" si="121"/>
        <v/>
      </c>
      <c r="S164" s="183" t="str">
        <f t="shared" si="121"/>
        <v/>
      </c>
      <c r="T164" s="183" t="str">
        <f t="shared" si="121"/>
        <v/>
      </c>
      <c r="U164" s="183" t="str">
        <f t="shared" si="121"/>
        <v/>
      </c>
      <c r="V164" s="183" t="str">
        <f t="shared" si="121"/>
        <v/>
      </c>
      <c r="W164" s="183" t="str">
        <f t="shared" si="121"/>
        <v/>
      </c>
    </row>
    <row r="165" spans="1:23" ht="15" customHeight="1" x14ac:dyDescent="0.2">
      <c r="A165" s="27" t="s">
        <v>4</v>
      </c>
      <c r="B165" s="27"/>
      <c r="C165" s="183"/>
      <c r="D165" s="183">
        <f t="shared" ref="D165:W165" si="122">IFERROR((D26-$C26)/ABS($C26),"")</f>
        <v>1.8471977883890423E-2</v>
      </c>
      <c r="E165" s="183">
        <f t="shared" si="122"/>
        <v>3.3928122643880373E-3</v>
      </c>
      <c r="F165" s="183">
        <f t="shared" si="122"/>
        <v>-0.17592359889419451</v>
      </c>
      <c r="G165" s="183">
        <f t="shared" si="122"/>
        <v>-0.22040713747172658</v>
      </c>
      <c r="H165" s="183">
        <f t="shared" si="122"/>
        <v>-0.42196531791907516</v>
      </c>
      <c r="I165" s="183">
        <f t="shared" si="122"/>
        <v>-0.46205076652425231</v>
      </c>
      <c r="J165" s="183">
        <f t="shared" si="122"/>
        <v>-0.38238250816788139</v>
      </c>
      <c r="K165" s="183">
        <f t="shared" si="122"/>
        <v>-0.13822568484543854</v>
      </c>
      <c r="L165" s="183">
        <f t="shared" si="122"/>
        <v>-0.40236240261372203</v>
      </c>
      <c r="M165" s="183" t="str">
        <f t="shared" si="122"/>
        <v/>
      </c>
      <c r="N165" s="183" t="str">
        <f t="shared" si="122"/>
        <v/>
      </c>
      <c r="O165" s="183" t="str">
        <f t="shared" si="122"/>
        <v/>
      </c>
      <c r="P165" s="183" t="str">
        <f t="shared" si="122"/>
        <v/>
      </c>
      <c r="Q165" s="183" t="str">
        <f t="shared" si="122"/>
        <v/>
      </c>
      <c r="R165" s="183" t="str">
        <f t="shared" si="122"/>
        <v/>
      </c>
      <c r="S165" s="183" t="str">
        <f t="shared" si="122"/>
        <v/>
      </c>
      <c r="T165" s="183" t="str">
        <f t="shared" si="122"/>
        <v/>
      </c>
      <c r="U165" s="183" t="str">
        <f t="shared" si="122"/>
        <v/>
      </c>
      <c r="V165" s="183" t="str">
        <f t="shared" si="122"/>
        <v/>
      </c>
      <c r="W165" s="183" t="str">
        <f t="shared" si="122"/>
        <v/>
      </c>
    </row>
    <row r="166" spans="1:23" ht="15" customHeight="1" x14ac:dyDescent="0.2">
      <c r="A166" s="140" t="s">
        <v>43</v>
      </c>
      <c r="B166" s="140"/>
      <c r="C166" s="183"/>
      <c r="D166" s="183">
        <f t="shared" ref="D166:W166" si="123">IFERROR((D27-$C27)/ABS($C27),"")</f>
        <v>-7.1839868384973957E-2</v>
      </c>
      <c r="E166" s="183">
        <f t="shared" si="123"/>
        <v>-0.10392103098437072</v>
      </c>
      <c r="F166" s="183">
        <f t="shared" si="123"/>
        <v>-0.13353441184535234</v>
      </c>
      <c r="G166" s="183">
        <f t="shared" si="123"/>
        <v>-0.34247326569783382</v>
      </c>
      <c r="H166" s="183">
        <f t="shared" si="123"/>
        <v>0.4856046065259117</v>
      </c>
      <c r="I166" s="183">
        <f t="shared" si="123"/>
        <v>1.6737044145873321</v>
      </c>
      <c r="J166" s="183">
        <f t="shared" si="123"/>
        <v>-0.89333698930627914</v>
      </c>
      <c r="K166" s="183">
        <f t="shared" si="123"/>
        <v>0.34795722511653415</v>
      </c>
      <c r="L166" s="183">
        <f t="shared" si="123"/>
        <v>0.64107485604606529</v>
      </c>
      <c r="M166" s="183" t="str">
        <f t="shared" si="123"/>
        <v/>
      </c>
      <c r="N166" s="183" t="str">
        <f t="shared" si="123"/>
        <v/>
      </c>
      <c r="O166" s="183" t="str">
        <f t="shared" si="123"/>
        <v/>
      </c>
      <c r="P166" s="183" t="str">
        <f t="shared" si="123"/>
        <v/>
      </c>
      <c r="Q166" s="183" t="str">
        <f t="shared" si="123"/>
        <v/>
      </c>
      <c r="R166" s="183" t="str">
        <f t="shared" si="123"/>
        <v/>
      </c>
      <c r="S166" s="183" t="str">
        <f t="shared" si="123"/>
        <v/>
      </c>
      <c r="T166" s="183" t="str">
        <f t="shared" si="123"/>
        <v/>
      </c>
      <c r="U166" s="183" t="str">
        <f t="shared" si="123"/>
        <v/>
      </c>
      <c r="V166" s="183" t="str">
        <f t="shared" si="123"/>
        <v/>
      </c>
      <c r="W166" s="183" t="str">
        <f t="shared" si="123"/>
        <v/>
      </c>
    </row>
    <row r="167" spans="1:23" ht="15" customHeight="1" x14ac:dyDescent="0.2">
      <c r="A167" s="159" t="s">
        <v>6</v>
      </c>
      <c r="B167" s="159"/>
      <c r="C167" s="184"/>
      <c r="D167" s="184">
        <f t="shared" ref="D167:W167" si="124">IFERROR((D28-$C28)/ABS($C28),"")</f>
        <v>-5.7473969057003353E-2</v>
      </c>
      <c r="E167" s="184">
        <f t="shared" si="124"/>
        <v>-3.7413965527383963E-2</v>
      </c>
      <c r="F167" s="184">
        <f t="shared" si="124"/>
        <v>-0.13559621154185542</v>
      </c>
      <c r="G167" s="184">
        <f t="shared" si="124"/>
        <v>-0.19742337784575564</v>
      </c>
      <c r="H167" s="184">
        <f t="shared" si="124"/>
        <v>-0.41984822636625685</v>
      </c>
      <c r="I167" s="184">
        <f t="shared" si="124"/>
        <v>-0.60762397788105182</v>
      </c>
      <c r="J167" s="184">
        <f t="shared" si="124"/>
        <v>-0.12459556444496735</v>
      </c>
      <c r="K167" s="184">
        <f t="shared" si="124"/>
        <v>-0.20524736749220543</v>
      </c>
      <c r="L167" s="184">
        <f t="shared" si="124"/>
        <v>-0.19565856815106772</v>
      </c>
      <c r="M167" s="184" t="str">
        <f t="shared" si="124"/>
        <v/>
      </c>
      <c r="N167" s="184" t="str">
        <f t="shared" si="124"/>
        <v/>
      </c>
      <c r="O167" s="184" t="str">
        <f t="shared" si="124"/>
        <v/>
      </c>
      <c r="P167" s="184" t="str">
        <f t="shared" si="124"/>
        <v/>
      </c>
      <c r="Q167" s="184" t="str">
        <f t="shared" si="124"/>
        <v/>
      </c>
      <c r="R167" s="184" t="str">
        <f t="shared" si="124"/>
        <v/>
      </c>
      <c r="S167" s="184" t="str">
        <f t="shared" si="124"/>
        <v/>
      </c>
      <c r="T167" s="184" t="str">
        <f t="shared" si="124"/>
        <v/>
      </c>
      <c r="U167" s="184" t="str">
        <f t="shared" si="124"/>
        <v/>
      </c>
      <c r="V167" s="184" t="str">
        <f t="shared" si="124"/>
        <v/>
      </c>
      <c r="W167" s="184" t="str">
        <f t="shared" si="124"/>
        <v/>
      </c>
    </row>
    <row r="168" spans="1:23" ht="15" customHeight="1" x14ac:dyDescent="0.2">
      <c r="C168" s="181"/>
      <c r="D168" s="181"/>
      <c r="E168" s="181"/>
      <c r="F168" s="181"/>
      <c r="G168" s="181"/>
      <c r="H168" s="181"/>
      <c r="I168" s="181"/>
      <c r="J168" s="181"/>
      <c r="K168" s="181"/>
      <c r="L168" s="181"/>
      <c r="M168" s="181"/>
      <c r="N168" s="181"/>
      <c r="O168" s="181"/>
      <c r="P168" s="181"/>
      <c r="Q168" s="181"/>
      <c r="R168" s="181"/>
      <c r="S168" s="181"/>
      <c r="T168" s="181"/>
      <c r="U168" s="181"/>
      <c r="V168" s="181"/>
      <c r="W168" s="181"/>
    </row>
    <row r="169" spans="1:23" ht="15" customHeight="1" x14ac:dyDescent="0.2">
      <c r="A169" s="916" t="s">
        <v>51</v>
      </c>
      <c r="B169" s="916"/>
      <c r="C169" s="928"/>
      <c r="D169" s="928"/>
      <c r="E169" s="928"/>
      <c r="F169" s="928"/>
      <c r="G169" s="928"/>
      <c r="H169" s="928"/>
      <c r="I169" s="928"/>
      <c r="J169" s="928"/>
      <c r="K169" s="928"/>
      <c r="L169" s="928"/>
      <c r="M169" s="928"/>
      <c r="N169" s="928"/>
      <c r="O169" s="928"/>
      <c r="P169" s="928"/>
      <c r="Q169" s="928"/>
      <c r="R169" s="928"/>
      <c r="S169" s="928"/>
      <c r="T169" s="928"/>
      <c r="U169" s="928"/>
      <c r="V169" s="928"/>
      <c r="W169" s="928"/>
    </row>
    <row r="170" spans="1:23" ht="15" customHeight="1" x14ac:dyDescent="0.2">
      <c r="A170" s="27" t="s">
        <v>30</v>
      </c>
      <c r="B170" s="27"/>
      <c r="C170" s="183"/>
      <c r="D170" s="183">
        <f t="shared" ref="D170:W170" si="125">IFERROR((D31-$C31)/ABS($C31),"")</f>
        <v>1.6080237894700655E-2</v>
      </c>
      <c r="E170" s="183">
        <f t="shared" si="125"/>
        <v>3.6191278340237554E-2</v>
      </c>
      <c r="F170" s="183">
        <f t="shared" si="125"/>
        <v>4.1184660604706325E-2</v>
      </c>
      <c r="G170" s="183">
        <f t="shared" si="125"/>
        <v>7.1016037265586057E-2</v>
      </c>
      <c r="H170" s="183">
        <f t="shared" si="125"/>
        <v>9.1041133093834339E-2</v>
      </c>
      <c r="I170" s="183">
        <f t="shared" si="125"/>
        <v>0.1095793870429895</v>
      </c>
      <c r="J170" s="183">
        <f t="shared" si="125"/>
        <v>0.11177097478384929</v>
      </c>
      <c r="K170" s="183">
        <f t="shared" si="125"/>
        <v>0.19322068858827371</v>
      </c>
      <c r="L170" s="183">
        <f t="shared" si="125"/>
        <v>0.23548825137081664</v>
      </c>
      <c r="M170" s="183" t="str">
        <f t="shared" si="125"/>
        <v/>
      </c>
      <c r="N170" s="183" t="str">
        <f t="shared" si="125"/>
        <v/>
      </c>
      <c r="O170" s="183" t="str">
        <f t="shared" si="125"/>
        <v/>
      </c>
      <c r="P170" s="183" t="str">
        <f t="shared" si="125"/>
        <v/>
      </c>
      <c r="Q170" s="183" t="str">
        <f t="shared" si="125"/>
        <v/>
      </c>
      <c r="R170" s="183" t="str">
        <f t="shared" si="125"/>
        <v/>
      </c>
      <c r="S170" s="183" t="str">
        <f t="shared" si="125"/>
        <v/>
      </c>
      <c r="T170" s="183" t="str">
        <f t="shared" si="125"/>
        <v/>
      </c>
      <c r="U170" s="183" t="str">
        <f t="shared" si="125"/>
        <v/>
      </c>
      <c r="V170" s="183" t="str">
        <f t="shared" si="125"/>
        <v/>
      </c>
      <c r="W170" s="183" t="str">
        <f t="shared" si="125"/>
        <v/>
      </c>
    </row>
    <row r="171" spans="1:23" ht="15" customHeight="1" x14ac:dyDescent="0.2">
      <c r="A171" s="238" t="s">
        <v>42</v>
      </c>
      <c r="B171" s="27"/>
      <c r="C171" s="183"/>
      <c r="D171" s="183">
        <f t="shared" ref="D171:W171" si="126">IFERROR((D32-$C32)/ABS($C32),"")</f>
        <v>-1.2733751346573488E-2</v>
      </c>
      <c r="E171" s="183">
        <f t="shared" si="126"/>
        <v>3.2317763721238573E-3</v>
      </c>
      <c r="F171" s="183">
        <f t="shared" si="126"/>
        <v>-7.3032621605944259E-2</v>
      </c>
      <c r="G171" s="183">
        <f t="shared" si="126"/>
        <v>-9.2782366102256722E-2</v>
      </c>
      <c r="H171" s="183">
        <f t="shared" si="126"/>
        <v>-0.13084551004060438</v>
      </c>
      <c r="I171" s="183">
        <f t="shared" si="126"/>
        <v>-9.8555368339640362E-2</v>
      </c>
      <c r="J171" s="183">
        <f t="shared" si="126"/>
        <v>-0.10352733198906168</v>
      </c>
      <c r="K171" s="183">
        <f t="shared" si="126"/>
        <v>5.2398972460845787E-2</v>
      </c>
      <c r="L171" s="183">
        <f t="shared" si="126"/>
        <v>1.0965942049001464E-2</v>
      </c>
      <c r="M171" s="183" t="str">
        <f t="shared" si="126"/>
        <v/>
      </c>
      <c r="N171" s="183" t="str">
        <f t="shared" si="126"/>
        <v/>
      </c>
      <c r="O171" s="183" t="str">
        <f t="shared" si="126"/>
        <v/>
      </c>
      <c r="P171" s="183" t="str">
        <f t="shared" si="126"/>
        <v/>
      </c>
      <c r="Q171" s="183" t="str">
        <f t="shared" si="126"/>
        <v/>
      </c>
      <c r="R171" s="183" t="str">
        <f t="shared" si="126"/>
        <v/>
      </c>
      <c r="S171" s="183" t="str">
        <f t="shared" si="126"/>
        <v/>
      </c>
      <c r="T171" s="183" t="str">
        <f t="shared" si="126"/>
        <v/>
      </c>
      <c r="U171" s="183" t="str">
        <f t="shared" si="126"/>
        <v/>
      </c>
      <c r="V171" s="183" t="str">
        <f t="shared" si="126"/>
        <v/>
      </c>
      <c r="W171" s="183" t="str">
        <f t="shared" si="126"/>
        <v/>
      </c>
    </row>
    <row r="172" spans="1:23" s="48" customFormat="1" ht="15" customHeight="1" x14ac:dyDescent="0.2">
      <c r="A172" s="238" t="s">
        <v>968</v>
      </c>
      <c r="B172" s="50"/>
      <c r="C172" s="183"/>
      <c r="D172" s="183">
        <f t="shared" ref="D172:W172" si="127">IFERROR((D33-$C33)/ABS($C33),"")</f>
        <v>1.1518264558426467E-2</v>
      </c>
      <c r="E172" s="183">
        <f t="shared" si="127"/>
        <v>1.103658200650106E-2</v>
      </c>
      <c r="F172" s="183">
        <f t="shared" si="127"/>
        <v>-5.521566304886779E-2</v>
      </c>
      <c r="G172" s="183">
        <f t="shared" si="127"/>
        <v>-9.9822599305823323E-2</v>
      </c>
      <c r="H172" s="183">
        <f t="shared" si="127"/>
        <v>-8.9777422731529902E-2</v>
      </c>
      <c r="I172" s="183">
        <f t="shared" si="127"/>
        <v>-0.10101371825243788</v>
      </c>
      <c r="J172" s="183">
        <f t="shared" si="127"/>
        <v>-0.10765247093824032</v>
      </c>
      <c r="K172" s="183">
        <f t="shared" si="127"/>
        <v>-5.4266982535397496E-2</v>
      </c>
      <c r="L172" s="183">
        <f t="shared" si="127"/>
        <v>1.1183956806787505E-2</v>
      </c>
      <c r="M172" s="183" t="str">
        <f t="shared" si="127"/>
        <v/>
      </c>
      <c r="N172" s="183" t="str">
        <f t="shared" si="127"/>
        <v/>
      </c>
      <c r="O172" s="183" t="str">
        <f t="shared" si="127"/>
        <v/>
      </c>
      <c r="P172" s="183" t="str">
        <f t="shared" si="127"/>
        <v/>
      </c>
      <c r="Q172" s="183" t="str">
        <f t="shared" si="127"/>
        <v/>
      </c>
      <c r="R172" s="183" t="str">
        <f t="shared" si="127"/>
        <v/>
      </c>
      <c r="S172" s="183" t="str">
        <f t="shared" si="127"/>
        <v/>
      </c>
      <c r="T172" s="183" t="str">
        <f t="shared" si="127"/>
        <v/>
      </c>
      <c r="U172" s="183" t="str">
        <f t="shared" si="127"/>
        <v/>
      </c>
      <c r="V172" s="183" t="str">
        <f t="shared" si="127"/>
        <v/>
      </c>
      <c r="W172" s="183" t="str">
        <f t="shared" si="127"/>
        <v/>
      </c>
    </row>
    <row r="173" spans="1:23" s="48" customFormat="1" ht="15" customHeight="1" x14ac:dyDescent="0.2">
      <c r="A173" s="631" t="s">
        <v>970</v>
      </c>
      <c r="B173" s="50"/>
      <c r="C173" s="183"/>
      <c r="D173" s="183">
        <f t="shared" ref="D173:W173" si="128">IFERROR((D34-$C34)/ABS($C34),"")</f>
        <v>1.1518264558426467E-2</v>
      </c>
      <c r="E173" s="183">
        <f t="shared" si="128"/>
        <v>1.103658200650106E-2</v>
      </c>
      <c r="F173" s="183">
        <f t="shared" si="128"/>
        <v>-5.521566304886779E-2</v>
      </c>
      <c r="G173" s="183">
        <f t="shared" si="128"/>
        <v>-9.9822599305823323E-2</v>
      </c>
      <c r="H173" s="183">
        <f t="shared" si="128"/>
        <v>-8.9777422731529902E-2</v>
      </c>
      <c r="I173" s="183">
        <f t="shared" si="128"/>
        <v>-0.10101371825243788</v>
      </c>
      <c r="J173" s="183">
        <f t="shared" si="128"/>
        <v>-0.10765247093824032</v>
      </c>
      <c r="K173" s="183">
        <f t="shared" si="128"/>
        <v>-5.4266982535397496E-2</v>
      </c>
      <c r="L173" s="183">
        <f t="shared" si="128"/>
        <v>1.1183956806787505E-2</v>
      </c>
      <c r="M173" s="183" t="str">
        <f t="shared" si="128"/>
        <v/>
      </c>
      <c r="N173" s="183" t="str">
        <f t="shared" si="128"/>
        <v/>
      </c>
      <c r="O173" s="183" t="str">
        <f t="shared" si="128"/>
        <v/>
      </c>
      <c r="P173" s="183" t="str">
        <f t="shared" si="128"/>
        <v/>
      </c>
      <c r="Q173" s="183" t="str">
        <f t="shared" si="128"/>
        <v/>
      </c>
      <c r="R173" s="183" t="str">
        <f t="shared" si="128"/>
        <v/>
      </c>
      <c r="S173" s="183" t="str">
        <f t="shared" si="128"/>
        <v/>
      </c>
      <c r="T173" s="183" t="str">
        <f t="shared" si="128"/>
        <v/>
      </c>
      <c r="U173" s="183" t="str">
        <f t="shared" si="128"/>
        <v/>
      </c>
      <c r="V173" s="183" t="str">
        <f t="shared" si="128"/>
        <v/>
      </c>
      <c r="W173" s="183" t="str">
        <f t="shared" si="128"/>
        <v/>
      </c>
    </row>
    <row r="174" spans="1:23" ht="15" customHeight="1" x14ac:dyDescent="0.2">
      <c r="A174" s="238" t="s">
        <v>35</v>
      </c>
      <c r="B174" s="27"/>
      <c r="C174" s="183"/>
      <c r="D174" s="183">
        <f t="shared" ref="D174:W174" si="129">IFERROR((D35-$C35)/ABS($C35),"")</f>
        <v>-3.0766456266907122E-2</v>
      </c>
      <c r="E174" s="183">
        <f t="shared" si="129"/>
        <v>-2.084761045987376E-2</v>
      </c>
      <c r="F174" s="183">
        <f t="shared" si="129"/>
        <v>-0.13056807935076645</v>
      </c>
      <c r="G174" s="183">
        <f t="shared" si="129"/>
        <v>-0.17893597835888186</v>
      </c>
      <c r="H174" s="183">
        <f t="shared" si="129"/>
        <v>-0.24483318304779081</v>
      </c>
      <c r="I174" s="183">
        <f t="shared" si="129"/>
        <v>-0.20804328223624888</v>
      </c>
      <c r="J174" s="183">
        <f t="shared" si="129"/>
        <v>-0.22568079350766457</v>
      </c>
      <c r="K174" s="183">
        <f t="shared" si="129"/>
        <v>-2.8025247971145174E-2</v>
      </c>
      <c r="L174" s="183">
        <f t="shared" si="129"/>
        <v>-6.4310189359783596E-2</v>
      </c>
      <c r="M174" s="183" t="str">
        <f t="shared" si="129"/>
        <v/>
      </c>
      <c r="N174" s="183" t="str">
        <f t="shared" si="129"/>
        <v/>
      </c>
      <c r="O174" s="183" t="str">
        <f t="shared" si="129"/>
        <v/>
      </c>
      <c r="P174" s="183" t="str">
        <f t="shared" si="129"/>
        <v/>
      </c>
      <c r="Q174" s="183" t="str">
        <f t="shared" si="129"/>
        <v/>
      </c>
      <c r="R174" s="183" t="str">
        <f t="shared" si="129"/>
        <v/>
      </c>
      <c r="S174" s="183" t="str">
        <f t="shared" si="129"/>
        <v/>
      </c>
      <c r="T174" s="183" t="str">
        <f t="shared" si="129"/>
        <v/>
      </c>
      <c r="U174" s="183" t="str">
        <f t="shared" si="129"/>
        <v/>
      </c>
      <c r="V174" s="183" t="str">
        <f t="shared" si="129"/>
        <v/>
      </c>
      <c r="W174" s="183" t="str">
        <f t="shared" si="129"/>
        <v/>
      </c>
    </row>
    <row r="175" spans="1:23" s="48" customFormat="1" ht="15" customHeight="1" x14ac:dyDescent="0.2">
      <c r="A175" s="50" t="s">
        <v>972</v>
      </c>
      <c r="B175" s="50"/>
      <c r="C175" s="183"/>
      <c r="D175" s="183">
        <f t="shared" ref="D175:W175" si="130">IFERROR((D36-$C36)/ABS($C36),"")</f>
        <v>1.7674198769828866E-3</v>
      </c>
      <c r="E175" s="183">
        <f t="shared" si="130"/>
        <v>-9.7604402719326123E-3</v>
      </c>
      <c r="F175" s="183">
        <f t="shared" si="130"/>
        <v>-0.10637887126362355</v>
      </c>
      <c r="G175" s="183">
        <f t="shared" si="130"/>
        <v>-0.18677745404841548</v>
      </c>
      <c r="H175" s="183">
        <f t="shared" si="130"/>
        <v>-0.19017661235207362</v>
      </c>
      <c r="I175" s="183">
        <f t="shared" si="130"/>
        <v>-0.21020826588971619</v>
      </c>
      <c r="J175" s="183">
        <f t="shared" si="130"/>
        <v>-0.22999172691629796</v>
      </c>
      <c r="K175" s="183">
        <f t="shared" si="130"/>
        <v>-0.16621704255242617</v>
      </c>
      <c r="L175" s="183">
        <f t="shared" si="130"/>
        <v>-6.2983345922808534E-2</v>
      </c>
      <c r="M175" s="183" t="str">
        <f t="shared" si="130"/>
        <v/>
      </c>
      <c r="N175" s="183" t="str">
        <f t="shared" si="130"/>
        <v/>
      </c>
      <c r="O175" s="183" t="str">
        <f t="shared" si="130"/>
        <v/>
      </c>
      <c r="P175" s="183" t="str">
        <f t="shared" si="130"/>
        <v/>
      </c>
      <c r="Q175" s="183" t="str">
        <f t="shared" si="130"/>
        <v/>
      </c>
      <c r="R175" s="183" t="str">
        <f t="shared" si="130"/>
        <v/>
      </c>
      <c r="S175" s="183" t="str">
        <f t="shared" si="130"/>
        <v/>
      </c>
      <c r="T175" s="183" t="str">
        <f t="shared" si="130"/>
        <v/>
      </c>
      <c r="U175" s="183" t="str">
        <f t="shared" si="130"/>
        <v/>
      </c>
      <c r="V175" s="183" t="str">
        <f t="shared" si="130"/>
        <v/>
      </c>
      <c r="W175" s="183" t="str">
        <f t="shared" si="130"/>
        <v/>
      </c>
    </row>
    <row r="176" spans="1:23" s="48" customFormat="1" ht="15" customHeight="1" x14ac:dyDescent="0.2">
      <c r="A176" s="630" t="s">
        <v>974</v>
      </c>
      <c r="B176" s="50"/>
      <c r="C176" s="183"/>
      <c r="D176" s="183">
        <f t="shared" ref="D176:W176" si="131">IFERROR((D37-$C37)/ABS($C37),"")</f>
        <v>1.7674198769828866E-3</v>
      </c>
      <c r="E176" s="183">
        <f t="shared" si="131"/>
        <v>-9.7604402719326123E-3</v>
      </c>
      <c r="F176" s="183">
        <f t="shared" si="131"/>
        <v>-0.10637887126362355</v>
      </c>
      <c r="G176" s="183">
        <f t="shared" si="131"/>
        <v>-0.18677745404841548</v>
      </c>
      <c r="H176" s="183">
        <f t="shared" si="131"/>
        <v>-0.19017661235207362</v>
      </c>
      <c r="I176" s="183">
        <f t="shared" si="131"/>
        <v>-0.21020826588971619</v>
      </c>
      <c r="J176" s="183">
        <f t="shared" si="131"/>
        <v>-0.22999172691629796</v>
      </c>
      <c r="K176" s="183">
        <f t="shared" si="131"/>
        <v>-0.16621704255242617</v>
      </c>
      <c r="L176" s="183">
        <f t="shared" si="131"/>
        <v>-6.2983345922808534E-2</v>
      </c>
      <c r="M176" s="183" t="str">
        <f t="shared" si="131"/>
        <v/>
      </c>
      <c r="N176" s="183" t="str">
        <f t="shared" si="131"/>
        <v/>
      </c>
      <c r="O176" s="183" t="str">
        <f t="shared" si="131"/>
        <v/>
      </c>
      <c r="P176" s="183" t="str">
        <f t="shared" si="131"/>
        <v/>
      </c>
      <c r="Q176" s="183" t="str">
        <f t="shared" si="131"/>
        <v/>
      </c>
      <c r="R176" s="183" t="str">
        <f t="shared" si="131"/>
        <v/>
      </c>
      <c r="S176" s="183" t="str">
        <f t="shared" si="131"/>
        <v/>
      </c>
      <c r="T176" s="183" t="str">
        <f t="shared" si="131"/>
        <v/>
      </c>
      <c r="U176" s="183" t="str">
        <f t="shared" si="131"/>
        <v/>
      </c>
      <c r="V176" s="183" t="str">
        <f t="shared" si="131"/>
        <v/>
      </c>
      <c r="W176" s="183" t="str">
        <f t="shared" si="131"/>
        <v/>
      </c>
    </row>
    <row r="177" spans="1:23" ht="15" customHeight="1" x14ac:dyDescent="0.2">
      <c r="A177" s="27" t="s">
        <v>50</v>
      </c>
      <c r="B177" s="27"/>
      <c r="C177" s="183"/>
      <c r="D177" s="183">
        <f t="shared" ref="D177:W177" si="132">IFERROR((D38-$C38)/ABS($C38),"")</f>
        <v>-3.9201932818954094E-2</v>
      </c>
      <c r="E177" s="183">
        <f t="shared" si="132"/>
        <v>-3.3629491076299589E-2</v>
      </c>
      <c r="F177" s="183">
        <f t="shared" si="132"/>
        <v>-0.15680773127581638</v>
      </c>
      <c r="G177" s="183">
        <f t="shared" si="132"/>
        <v>-0.20127036084482894</v>
      </c>
      <c r="H177" s="183">
        <f t="shared" si="132"/>
        <v>-0.41068505962122981</v>
      </c>
      <c r="I177" s="183">
        <f t="shared" si="132"/>
        <v>-0.55342529810614915</v>
      </c>
      <c r="J177" s="183">
        <f t="shared" si="132"/>
        <v>-0.21611721611721613</v>
      </c>
      <c r="K177" s="183">
        <f t="shared" si="132"/>
        <v>-0.19865949653183695</v>
      </c>
      <c r="L177" s="183">
        <f t="shared" si="132"/>
        <v>-0.27145195230301611</v>
      </c>
      <c r="M177" s="183" t="str">
        <f t="shared" si="132"/>
        <v/>
      </c>
      <c r="N177" s="183" t="str">
        <f t="shared" si="132"/>
        <v/>
      </c>
      <c r="O177" s="183" t="str">
        <f t="shared" si="132"/>
        <v/>
      </c>
      <c r="P177" s="183" t="str">
        <f t="shared" si="132"/>
        <v/>
      </c>
      <c r="Q177" s="183" t="str">
        <f t="shared" si="132"/>
        <v/>
      </c>
      <c r="R177" s="183" t="str">
        <f t="shared" si="132"/>
        <v/>
      </c>
      <c r="S177" s="183" t="str">
        <f t="shared" si="132"/>
        <v/>
      </c>
      <c r="T177" s="183" t="str">
        <f t="shared" si="132"/>
        <v/>
      </c>
      <c r="U177" s="183" t="str">
        <f t="shared" si="132"/>
        <v/>
      </c>
      <c r="V177" s="183" t="str">
        <f t="shared" si="132"/>
        <v/>
      </c>
      <c r="W177" s="183" t="str">
        <f t="shared" si="132"/>
        <v/>
      </c>
    </row>
    <row r="178" spans="1:23" ht="15" customHeight="1" x14ac:dyDescent="0.2">
      <c r="A178" s="27" t="s">
        <v>6</v>
      </c>
      <c r="B178" s="27"/>
      <c r="C178" s="183"/>
      <c r="D178" s="183">
        <f t="shared" ref="D178:W178" si="133">IFERROR((D39-$C39)/ABS($C39),"")</f>
        <v>-5.7473969057003353E-2</v>
      </c>
      <c r="E178" s="183">
        <f t="shared" si="133"/>
        <v>-3.7413965527383963E-2</v>
      </c>
      <c r="F178" s="183">
        <f t="shared" si="133"/>
        <v>-0.13559621154185542</v>
      </c>
      <c r="G178" s="183">
        <f t="shared" si="133"/>
        <v>-0.19742337784575564</v>
      </c>
      <c r="H178" s="183">
        <f t="shared" si="133"/>
        <v>-0.41984822636625685</v>
      </c>
      <c r="I178" s="183">
        <f t="shared" si="133"/>
        <v>-0.60762397788105182</v>
      </c>
      <c r="J178" s="183">
        <f t="shared" si="133"/>
        <v>-0.12459556444496735</v>
      </c>
      <c r="K178" s="183">
        <f t="shared" si="133"/>
        <v>-0.20524736749220543</v>
      </c>
      <c r="L178" s="183">
        <f t="shared" si="133"/>
        <v>-0.19565856815106772</v>
      </c>
      <c r="M178" s="183" t="str">
        <f t="shared" si="133"/>
        <v/>
      </c>
      <c r="N178" s="183" t="str">
        <f t="shared" si="133"/>
        <v/>
      </c>
      <c r="O178" s="183" t="str">
        <f t="shared" si="133"/>
        <v/>
      </c>
      <c r="P178" s="183" t="str">
        <f t="shared" si="133"/>
        <v/>
      </c>
      <c r="Q178" s="183" t="str">
        <f t="shared" si="133"/>
        <v/>
      </c>
      <c r="R178" s="183" t="str">
        <f t="shared" si="133"/>
        <v/>
      </c>
      <c r="S178" s="183" t="str">
        <f t="shared" si="133"/>
        <v/>
      </c>
      <c r="T178" s="183" t="str">
        <f t="shared" si="133"/>
        <v/>
      </c>
      <c r="U178" s="183" t="str">
        <f t="shared" si="133"/>
        <v/>
      </c>
      <c r="V178" s="183" t="str">
        <f t="shared" si="133"/>
        <v/>
      </c>
      <c r="W178" s="183" t="str">
        <f t="shared" si="133"/>
        <v/>
      </c>
    </row>
    <row r="179" spans="1:23" s="48" customFormat="1" ht="15" customHeight="1" x14ac:dyDescent="0.2">
      <c r="A179" s="170" t="s">
        <v>976</v>
      </c>
      <c r="B179" s="50"/>
      <c r="C179" s="183"/>
      <c r="D179" s="183">
        <f t="shared" ref="D179:S180" si="134">IFERROR((D40-$C40)/ABS($C40),"")</f>
        <v>-1.3110771221836518E-2</v>
      </c>
      <c r="E179" s="183">
        <f t="shared" ref="E179:W179" si="135">IFERROR((E40-$C40)/ABS($C40),"")</f>
        <v>-3.2766045061474298E-2</v>
      </c>
      <c r="F179" s="183">
        <f t="shared" si="135"/>
        <v>-0.13135890346490967</v>
      </c>
      <c r="G179" s="183">
        <f t="shared" si="135"/>
        <v>-0.20913936113889051</v>
      </c>
      <c r="H179" s="183">
        <f t="shared" si="135"/>
        <v>-0.21735396199776452</v>
      </c>
      <c r="I179" s="183">
        <f t="shared" si="135"/>
        <v>-0.14936466850991231</v>
      </c>
      <c r="J179" s="183">
        <f t="shared" si="135"/>
        <v>-0.16823107241602447</v>
      </c>
      <c r="K179" s="183">
        <f t="shared" si="135"/>
        <v>-8.2207188658156391E-2</v>
      </c>
      <c r="L179" s="183">
        <f t="shared" si="135"/>
        <v>6.5962703688452223E-2</v>
      </c>
      <c r="M179" s="183" t="str">
        <f t="shared" si="135"/>
        <v/>
      </c>
      <c r="N179" s="183" t="str">
        <f t="shared" si="135"/>
        <v/>
      </c>
      <c r="O179" s="183" t="str">
        <f t="shared" si="135"/>
        <v/>
      </c>
      <c r="P179" s="183" t="str">
        <f t="shared" si="135"/>
        <v/>
      </c>
      <c r="Q179" s="183" t="str">
        <f t="shared" si="135"/>
        <v/>
      </c>
      <c r="R179" s="183" t="str">
        <f t="shared" si="135"/>
        <v/>
      </c>
      <c r="S179" s="183" t="str">
        <f t="shared" si="135"/>
        <v/>
      </c>
      <c r="T179" s="183" t="str">
        <f t="shared" si="135"/>
        <v/>
      </c>
      <c r="U179" s="183" t="str">
        <f t="shared" si="135"/>
        <v/>
      </c>
      <c r="V179" s="183" t="str">
        <f t="shared" si="135"/>
        <v/>
      </c>
      <c r="W179" s="183" t="str">
        <f t="shared" si="135"/>
        <v/>
      </c>
    </row>
    <row r="180" spans="1:23" s="48" customFormat="1" ht="15" customHeight="1" x14ac:dyDescent="0.2">
      <c r="A180" s="170" t="s">
        <v>978</v>
      </c>
      <c r="B180" s="50"/>
      <c r="C180" s="183"/>
      <c r="D180" s="183">
        <f t="shared" si="134"/>
        <v>-1.3110771221836518E-2</v>
      </c>
      <c r="E180" s="183">
        <f t="shared" si="134"/>
        <v>-3.2766045061474298E-2</v>
      </c>
      <c r="F180" s="183">
        <f t="shared" si="134"/>
        <v>-0.13135890346490967</v>
      </c>
      <c r="G180" s="183">
        <f t="shared" si="134"/>
        <v>-0.20913936113889051</v>
      </c>
      <c r="H180" s="183">
        <f t="shared" si="134"/>
        <v>-0.21735396199776452</v>
      </c>
      <c r="I180" s="183">
        <f t="shared" si="134"/>
        <v>-0.14936466850991231</v>
      </c>
      <c r="J180" s="183">
        <f t="shared" si="134"/>
        <v>-0.16823107241602447</v>
      </c>
      <c r="K180" s="183">
        <f t="shared" si="134"/>
        <v>-8.2207188658156391E-2</v>
      </c>
      <c r="L180" s="183">
        <f t="shared" si="134"/>
        <v>6.5962703688452223E-2</v>
      </c>
      <c r="M180" s="183" t="str">
        <f t="shared" si="134"/>
        <v/>
      </c>
      <c r="N180" s="183" t="str">
        <f t="shared" si="134"/>
        <v/>
      </c>
      <c r="O180" s="183" t="str">
        <f t="shared" si="134"/>
        <v/>
      </c>
      <c r="P180" s="183" t="str">
        <f t="shared" si="134"/>
        <v/>
      </c>
      <c r="Q180" s="183" t="str">
        <f t="shared" si="134"/>
        <v/>
      </c>
      <c r="R180" s="183" t="str">
        <f t="shared" si="134"/>
        <v/>
      </c>
      <c r="S180" s="183" t="str">
        <f t="shared" si="134"/>
        <v/>
      </c>
      <c r="T180" s="183" t="str">
        <f t="shared" ref="T180:W180" si="136">IFERROR((T41-$C41)/ABS($C41),"")</f>
        <v/>
      </c>
      <c r="U180" s="183" t="str">
        <f t="shared" si="136"/>
        <v/>
      </c>
      <c r="V180" s="183" t="str">
        <f t="shared" si="136"/>
        <v/>
      </c>
      <c r="W180" s="183" t="str">
        <f t="shared" si="136"/>
        <v/>
      </c>
    </row>
    <row r="181" spans="1:23" ht="15" customHeight="1" x14ac:dyDescent="0.2">
      <c r="A181" s="27"/>
      <c r="B181" s="27"/>
      <c r="C181" s="172"/>
      <c r="D181" s="172"/>
      <c r="E181" s="172"/>
      <c r="F181" s="172"/>
      <c r="G181" s="172"/>
      <c r="H181" s="172"/>
      <c r="I181" s="172"/>
      <c r="J181" s="172"/>
      <c r="K181" s="172"/>
      <c r="L181" s="172"/>
      <c r="M181" s="172"/>
      <c r="N181" s="172"/>
      <c r="O181" s="172"/>
      <c r="P181" s="172"/>
      <c r="Q181" s="172"/>
      <c r="R181" s="172"/>
      <c r="S181" s="172"/>
      <c r="T181" s="172"/>
      <c r="U181" s="172"/>
      <c r="V181" s="172"/>
      <c r="W181" s="172"/>
    </row>
    <row r="182" spans="1:23" ht="15" customHeight="1" x14ac:dyDescent="0.2">
      <c r="A182" s="916" t="s">
        <v>52</v>
      </c>
      <c r="B182" s="916"/>
      <c r="C182" s="928"/>
      <c r="D182" s="928"/>
      <c r="E182" s="928"/>
      <c r="F182" s="928"/>
      <c r="G182" s="928"/>
      <c r="H182" s="928"/>
      <c r="I182" s="928"/>
      <c r="J182" s="928"/>
      <c r="K182" s="928"/>
      <c r="L182" s="928"/>
      <c r="M182" s="928"/>
      <c r="N182" s="928"/>
      <c r="O182" s="928"/>
      <c r="P182" s="928"/>
      <c r="Q182" s="928"/>
      <c r="R182" s="928"/>
      <c r="S182" s="928"/>
      <c r="T182" s="928"/>
      <c r="U182" s="928"/>
      <c r="V182" s="928"/>
      <c r="W182" s="928"/>
    </row>
    <row r="183" spans="1:23" ht="15" customHeight="1" x14ac:dyDescent="0.2">
      <c r="A183" s="25" t="s">
        <v>8</v>
      </c>
      <c r="C183" s="183"/>
      <c r="D183" s="183">
        <f t="shared" ref="D183:W183" si="137">IFERROR(D63/$C63-1,"")</f>
        <v>-1.3445626477541328E-2</v>
      </c>
      <c r="E183" s="183">
        <f t="shared" si="137"/>
        <v>1.4775413711582974E-3</v>
      </c>
      <c r="F183" s="183">
        <f t="shared" si="137"/>
        <v>-0.16903073286052006</v>
      </c>
      <c r="G183" s="183">
        <f t="shared" si="137"/>
        <v>-0.13785460992907805</v>
      </c>
      <c r="H183" s="183">
        <f t="shared" si="137"/>
        <v>-0.17050827423167847</v>
      </c>
      <c r="I183" s="183">
        <f t="shared" si="137"/>
        <v>-7.1660756501182088E-2</v>
      </c>
      <c r="J183" s="183">
        <f t="shared" si="137"/>
        <v>-7.1513002364066214E-2</v>
      </c>
      <c r="K183" s="183">
        <f t="shared" si="137"/>
        <v>-3.7234042553191515E-2</v>
      </c>
      <c r="L183" s="183">
        <f t="shared" si="137"/>
        <v>0.22340425531914887</v>
      </c>
      <c r="M183" s="183" t="str">
        <f t="shared" si="137"/>
        <v/>
      </c>
      <c r="N183" s="183" t="str">
        <f t="shared" si="137"/>
        <v/>
      </c>
      <c r="O183" s="183" t="str">
        <f t="shared" si="137"/>
        <v/>
      </c>
      <c r="P183" s="183" t="str">
        <f t="shared" si="137"/>
        <v/>
      </c>
      <c r="Q183" s="183" t="str">
        <f t="shared" si="137"/>
        <v/>
      </c>
      <c r="R183" s="183" t="str">
        <f t="shared" si="137"/>
        <v/>
      </c>
      <c r="S183" s="183" t="str">
        <f t="shared" si="137"/>
        <v/>
      </c>
      <c r="T183" s="183" t="str">
        <f t="shared" si="137"/>
        <v/>
      </c>
      <c r="U183" s="183" t="str">
        <f t="shared" si="137"/>
        <v/>
      </c>
      <c r="V183" s="183" t="str">
        <f t="shared" si="137"/>
        <v/>
      </c>
      <c r="W183" s="183" t="str">
        <f t="shared" si="137"/>
        <v/>
      </c>
    </row>
    <row r="184" spans="1:23" ht="15" customHeight="1" x14ac:dyDescent="0.2">
      <c r="A184" s="25" t="s">
        <v>25</v>
      </c>
      <c r="C184" s="183"/>
      <c r="D184" s="183">
        <f t="shared" ref="D184:W184" si="138">IFERROR(D64/$C64-1,"")</f>
        <v>-1.7463235294117641E-2</v>
      </c>
      <c r="E184" s="183">
        <f t="shared" si="138"/>
        <v>8.6659663865547021E-3</v>
      </c>
      <c r="F184" s="183">
        <f t="shared" si="138"/>
        <v>1.0688025210084051E-2</v>
      </c>
      <c r="G184" s="183">
        <f t="shared" si="138"/>
        <v>8.805147058823537E-2</v>
      </c>
      <c r="H184" s="183">
        <f t="shared" si="138"/>
        <v>0.21039915966386546</v>
      </c>
      <c r="I184" s="183">
        <f t="shared" si="138"/>
        <v>0.23581932773109249</v>
      </c>
      <c r="J184" s="183">
        <f t="shared" si="138"/>
        <v>0.23353466386554622</v>
      </c>
      <c r="K184" s="183">
        <f t="shared" si="138"/>
        <v>0.29046743697478994</v>
      </c>
      <c r="L184" s="183">
        <f t="shared" si="138"/>
        <v>0.45118172268907553</v>
      </c>
      <c r="M184" s="183" t="str">
        <f t="shared" si="138"/>
        <v/>
      </c>
      <c r="N184" s="183" t="str">
        <f t="shared" si="138"/>
        <v/>
      </c>
      <c r="O184" s="183" t="str">
        <f t="shared" si="138"/>
        <v/>
      </c>
      <c r="P184" s="183" t="str">
        <f t="shared" si="138"/>
        <v/>
      </c>
      <c r="Q184" s="183" t="str">
        <f t="shared" si="138"/>
        <v/>
      </c>
      <c r="R184" s="183" t="str">
        <f t="shared" si="138"/>
        <v/>
      </c>
      <c r="S184" s="183" t="str">
        <f t="shared" si="138"/>
        <v/>
      </c>
      <c r="T184" s="183" t="str">
        <f t="shared" si="138"/>
        <v/>
      </c>
      <c r="U184" s="183" t="str">
        <f t="shared" si="138"/>
        <v/>
      </c>
      <c r="V184" s="183" t="str">
        <f t="shared" si="138"/>
        <v/>
      </c>
      <c r="W184" s="183" t="str">
        <f t="shared" si="138"/>
        <v/>
      </c>
    </row>
    <row r="185" spans="1:23" ht="15" customHeight="1" x14ac:dyDescent="0.2">
      <c r="A185" s="25" t="s">
        <v>53</v>
      </c>
      <c r="C185" s="183"/>
      <c r="D185" s="183">
        <f t="shared" ref="D185:W185" si="139">IFERROR(D65/$C65-1,"")</f>
        <v>-9.1203938884764191E-2</v>
      </c>
      <c r="E185" s="183">
        <f t="shared" si="139"/>
        <v>0.11617365480051589</v>
      </c>
      <c r="F185" s="183">
        <f t="shared" si="139"/>
        <v>7.6628502207807481E-2</v>
      </c>
      <c r="G185" s="183">
        <f t="shared" si="139"/>
        <v>0.23766167793364845</v>
      </c>
      <c r="H185" s="183">
        <f t="shared" si="139"/>
        <v>0.1073033488335744</v>
      </c>
      <c r="I185" s="183">
        <f t="shared" si="139"/>
        <v>8.4482825993513311E-2</v>
      </c>
      <c r="J185" s="183">
        <f t="shared" si="139"/>
        <v>-1.3129615880583034E-2</v>
      </c>
      <c r="K185" s="183">
        <f t="shared" si="139"/>
        <v>0.40963620022664227</v>
      </c>
      <c r="L185" s="183">
        <f t="shared" si="139"/>
        <v>-5.5097495213160874E-2</v>
      </c>
      <c r="M185" s="183" t="str">
        <f t="shared" si="139"/>
        <v/>
      </c>
      <c r="N185" s="183" t="str">
        <f t="shared" si="139"/>
        <v/>
      </c>
      <c r="O185" s="183" t="str">
        <f t="shared" si="139"/>
        <v/>
      </c>
      <c r="P185" s="183" t="str">
        <f t="shared" si="139"/>
        <v/>
      </c>
      <c r="Q185" s="183" t="str">
        <f t="shared" si="139"/>
        <v/>
      </c>
      <c r="R185" s="183" t="str">
        <f t="shared" si="139"/>
        <v/>
      </c>
      <c r="S185" s="183" t="str">
        <f t="shared" si="139"/>
        <v/>
      </c>
      <c r="T185" s="183" t="str">
        <f t="shared" si="139"/>
        <v/>
      </c>
      <c r="U185" s="183" t="str">
        <f t="shared" si="139"/>
        <v/>
      </c>
      <c r="V185" s="183" t="str">
        <f t="shared" si="139"/>
        <v/>
      </c>
      <c r="W185" s="183" t="str">
        <f t="shared" si="139"/>
        <v/>
      </c>
    </row>
    <row r="186" spans="1:23" ht="15" customHeight="1" x14ac:dyDescent="0.2">
      <c r="A186" s="25" t="s">
        <v>551</v>
      </c>
      <c r="C186" s="183"/>
      <c r="D186" s="183">
        <f t="shared" ref="D186:W186" si="140">IFERROR(D66/$C66-1,"")</f>
        <v>-6.4259092661611672E-2</v>
      </c>
      <c r="E186" s="183">
        <f t="shared" si="140"/>
        <v>0.17401362292764433</v>
      </c>
      <c r="F186" s="183">
        <f t="shared" si="140"/>
        <v>0.11875080323865816</v>
      </c>
      <c r="G186" s="183">
        <f t="shared" si="140"/>
        <v>-0.11746562138542604</v>
      </c>
      <c r="H186" s="183">
        <f t="shared" si="140"/>
        <v>-0.13173113995630381</v>
      </c>
      <c r="I186" s="183">
        <f t="shared" si="140"/>
        <v>-7.5825729340701642E-3</v>
      </c>
      <c r="J186" s="183">
        <f t="shared" si="140"/>
        <v>0.21642462408430796</v>
      </c>
      <c r="K186" s="183">
        <f t="shared" si="140"/>
        <v>1.2800411258193036</v>
      </c>
      <c r="L186" s="183">
        <f t="shared" si="140"/>
        <v>0.89692841537077506</v>
      </c>
      <c r="M186" s="183" t="str">
        <f t="shared" si="140"/>
        <v/>
      </c>
      <c r="N186" s="183" t="str">
        <f t="shared" si="140"/>
        <v/>
      </c>
      <c r="O186" s="183" t="str">
        <f t="shared" si="140"/>
        <v/>
      </c>
      <c r="P186" s="183" t="str">
        <f t="shared" si="140"/>
        <v/>
      </c>
      <c r="Q186" s="183" t="str">
        <f t="shared" si="140"/>
        <v/>
      </c>
      <c r="R186" s="183" t="str">
        <f t="shared" si="140"/>
        <v/>
      </c>
      <c r="S186" s="183" t="str">
        <f t="shared" si="140"/>
        <v/>
      </c>
      <c r="T186" s="183" t="str">
        <f t="shared" si="140"/>
        <v/>
      </c>
      <c r="U186" s="183" t="str">
        <f t="shared" si="140"/>
        <v/>
      </c>
      <c r="V186" s="183" t="str">
        <f t="shared" si="140"/>
        <v/>
      </c>
      <c r="W186" s="183" t="str">
        <f t="shared" si="140"/>
        <v/>
      </c>
    </row>
    <row r="187" spans="1:23" ht="15" customHeight="1" x14ac:dyDescent="0.2">
      <c r="C187" s="183"/>
      <c r="D187" s="183"/>
      <c r="E187" s="183"/>
      <c r="F187" s="183"/>
      <c r="G187" s="183"/>
      <c r="H187" s="183"/>
      <c r="I187" s="183"/>
      <c r="J187" s="183"/>
      <c r="K187" s="183"/>
      <c r="L187" s="183"/>
      <c r="M187" s="183"/>
      <c r="N187" s="183"/>
      <c r="O187" s="183"/>
      <c r="P187" s="183"/>
      <c r="Q187" s="183"/>
      <c r="R187" s="183"/>
      <c r="S187" s="183"/>
      <c r="T187" s="183"/>
      <c r="U187" s="183"/>
      <c r="V187" s="183"/>
      <c r="W187" s="183"/>
    </row>
    <row r="188" spans="1:23" ht="15" customHeight="1" x14ac:dyDescent="0.2">
      <c r="A188" s="25" t="s">
        <v>17</v>
      </c>
      <c r="C188" s="183"/>
      <c r="D188" s="183">
        <f t="shared" ref="D188:W188" si="141">IFERROR(D60/$C60-1,"")</f>
        <v>2.4085108325913707E-2</v>
      </c>
      <c r="E188" s="183">
        <f t="shared" si="141"/>
        <v>3.0545853023765446E-2</v>
      </c>
      <c r="F188" s="183">
        <f t="shared" si="141"/>
        <v>1.5204438052188296E-2</v>
      </c>
      <c r="G188" s="183">
        <f t="shared" si="141"/>
        <v>-1.7281921329589278E-2</v>
      </c>
      <c r="H188" s="183">
        <f t="shared" si="141"/>
        <v>-4.5658973129691915E-4</v>
      </c>
      <c r="I188" s="183">
        <f t="shared" si="141"/>
        <v>1.0638540739218882E-2</v>
      </c>
      <c r="J188" s="183">
        <f t="shared" si="141"/>
        <v>1.4428235508983311E-2</v>
      </c>
      <c r="K188" s="183">
        <f t="shared" si="141"/>
        <v>2.61625916033148E-2</v>
      </c>
      <c r="L188" s="183">
        <f t="shared" si="141"/>
        <v>0.29011711526607775</v>
      </c>
      <c r="M188" s="183" t="str">
        <f t="shared" si="141"/>
        <v/>
      </c>
      <c r="N188" s="183" t="str">
        <f t="shared" si="141"/>
        <v/>
      </c>
      <c r="O188" s="183" t="str">
        <f t="shared" si="141"/>
        <v/>
      </c>
      <c r="P188" s="183" t="str">
        <f t="shared" si="141"/>
        <v/>
      </c>
      <c r="Q188" s="183" t="str">
        <f t="shared" si="141"/>
        <v/>
      </c>
      <c r="R188" s="183" t="str">
        <f t="shared" si="141"/>
        <v/>
      </c>
      <c r="S188" s="183" t="str">
        <f t="shared" si="141"/>
        <v/>
      </c>
      <c r="T188" s="183" t="str">
        <f t="shared" si="141"/>
        <v/>
      </c>
      <c r="U188" s="183" t="str">
        <f t="shared" si="141"/>
        <v/>
      </c>
      <c r="V188" s="183" t="str">
        <f t="shared" si="141"/>
        <v/>
      </c>
      <c r="W188" s="183" t="str">
        <f t="shared" si="141"/>
        <v/>
      </c>
    </row>
    <row r="189" spans="1:23" ht="15" customHeight="1" x14ac:dyDescent="0.2">
      <c r="A189" s="27"/>
      <c r="B189" s="27"/>
      <c r="C189" s="172"/>
      <c r="D189" s="172"/>
      <c r="E189" s="172"/>
      <c r="F189" s="172"/>
      <c r="G189" s="172"/>
      <c r="H189" s="172"/>
      <c r="I189" s="172"/>
      <c r="J189" s="172"/>
      <c r="K189" s="172"/>
      <c r="L189" s="172"/>
      <c r="M189" s="172"/>
      <c r="N189" s="172"/>
      <c r="O189" s="172"/>
      <c r="P189" s="172"/>
      <c r="Q189" s="172"/>
      <c r="R189" s="172"/>
      <c r="S189" s="172"/>
      <c r="T189" s="172"/>
      <c r="U189" s="172"/>
      <c r="V189" s="172"/>
      <c r="W189" s="172"/>
    </row>
    <row r="190" spans="1:23" ht="15" customHeight="1" thickBot="1" x14ac:dyDescent="0.25">
      <c r="A190" s="176" t="s">
        <v>1057</v>
      </c>
      <c r="B190" s="176"/>
      <c r="C190" s="177"/>
      <c r="D190" s="177"/>
      <c r="E190" s="177"/>
      <c r="F190" s="177"/>
      <c r="G190" s="177"/>
      <c r="H190" s="177"/>
      <c r="I190" s="177"/>
      <c r="J190" s="177"/>
      <c r="K190" s="177"/>
      <c r="L190" s="177"/>
      <c r="M190" s="177"/>
      <c r="N190" s="177"/>
      <c r="O190" s="177"/>
      <c r="P190" s="177"/>
      <c r="Q190" s="177"/>
      <c r="R190" s="177"/>
      <c r="S190" s="177"/>
      <c r="T190" s="177"/>
      <c r="U190" s="177"/>
      <c r="V190" s="177"/>
      <c r="W190" s="177"/>
    </row>
    <row r="191" spans="1:23" ht="15" customHeight="1" x14ac:dyDescent="0.2">
      <c r="A191" s="27"/>
      <c r="B191" s="27"/>
      <c r="C191" s="172"/>
      <c r="D191" s="172"/>
      <c r="E191" s="172"/>
      <c r="F191" s="172"/>
      <c r="G191" s="172"/>
      <c r="H191" s="172"/>
      <c r="I191" s="172"/>
      <c r="J191" s="172"/>
      <c r="K191" s="172"/>
      <c r="L191" s="172"/>
      <c r="M191" s="172"/>
      <c r="N191" s="172"/>
      <c r="O191" s="172"/>
      <c r="P191" s="172"/>
      <c r="Q191" s="172"/>
      <c r="R191" s="172"/>
      <c r="S191" s="172"/>
      <c r="T191" s="172"/>
      <c r="U191" s="172"/>
      <c r="V191" s="172"/>
      <c r="W191" s="172"/>
    </row>
    <row r="192" spans="1:23" ht="15" customHeight="1" x14ac:dyDescent="0.2">
      <c r="A192" s="878" t="s">
        <v>47</v>
      </c>
      <c r="B192" s="878"/>
      <c r="C192" s="928"/>
      <c r="D192" s="928"/>
      <c r="E192" s="928"/>
      <c r="F192" s="928"/>
      <c r="G192" s="928"/>
      <c r="H192" s="928"/>
      <c r="I192" s="928"/>
      <c r="J192" s="928"/>
      <c r="K192" s="928"/>
      <c r="L192" s="928"/>
      <c r="M192" s="928"/>
      <c r="N192" s="928"/>
      <c r="O192" s="928"/>
      <c r="P192" s="928"/>
      <c r="Q192" s="928"/>
      <c r="R192" s="928"/>
      <c r="S192" s="928"/>
      <c r="T192" s="928"/>
      <c r="U192" s="928"/>
      <c r="V192" s="928"/>
      <c r="W192" s="928"/>
    </row>
    <row r="193" spans="1:23" ht="15" customHeight="1" x14ac:dyDescent="0.2">
      <c r="A193" s="140" t="s">
        <v>33</v>
      </c>
      <c r="B193" s="140"/>
      <c r="C193" s="183"/>
      <c r="D193" s="183">
        <f t="shared" ref="D193:W193" si="142">IF(chartType="Incremental",D115,D154)</f>
        <v>1.6308511024194977E-2</v>
      </c>
      <c r="E193" s="183">
        <f t="shared" si="142"/>
        <v>1.9645429083717199E-2</v>
      </c>
      <c r="F193" s="183">
        <f t="shared" si="142"/>
        <v>-7.2500622875274635E-3</v>
      </c>
      <c r="G193" s="183">
        <f t="shared" si="142"/>
        <v>7.7634662850268599E-3</v>
      </c>
      <c r="H193" s="183">
        <f t="shared" si="142"/>
        <v>2.9781444945489871E-2</v>
      </c>
      <c r="I193" s="183">
        <f t="shared" si="142"/>
        <v>2.8104720161968889E-2</v>
      </c>
      <c r="J193" s="183">
        <f t="shared" si="142"/>
        <v>1.8582634305654107E-2</v>
      </c>
      <c r="K193" s="183">
        <f t="shared" si="142"/>
        <v>6.7155377086975443E-2</v>
      </c>
      <c r="L193" s="183">
        <f t="shared" si="142"/>
        <v>2.4327954345069579E-2</v>
      </c>
      <c r="M193" s="183" t="str">
        <f t="shared" si="142"/>
        <v/>
      </c>
      <c r="N193" s="183" t="str">
        <f t="shared" si="142"/>
        <v/>
      </c>
      <c r="O193" s="183" t="str">
        <f t="shared" si="142"/>
        <v/>
      </c>
      <c r="P193" s="183" t="str">
        <f t="shared" si="142"/>
        <v/>
      </c>
      <c r="Q193" s="183" t="str">
        <f t="shared" si="142"/>
        <v/>
      </c>
      <c r="R193" s="183" t="str">
        <f t="shared" si="142"/>
        <v/>
      </c>
      <c r="S193" s="183" t="str">
        <f t="shared" si="142"/>
        <v/>
      </c>
      <c r="T193" s="183" t="str">
        <f t="shared" si="142"/>
        <v/>
      </c>
      <c r="U193" s="183" t="str">
        <f t="shared" si="142"/>
        <v/>
      </c>
      <c r="V193" s="183" t="str">
        <f t="shared" si="142"/>
        <v/>
      </c>
      <c r="W193" s="183" t="str">
        <f t="shared" si="142"/>
        <v/>
      </c>
    </row>
    <row r="194" spans="1:23" ht="15" customHeight="1" x14ac:dyDescent="0.2">
      <c r="A194" s="140" t="s">
        <v>34</v>
      </c>
      <c r="B194" s="140"/>
      <c r="C194" s="183"/>
      <c r="D194" s="183">
        <f>IF(chartType="Incremental",D116,D155)</f>
        <v>1.6383903354272106E-2</v>
      </c>
      <c r="E194" s="183">
        <f t="shared" ref="E194:W194" si="143">IF(chartType="Incremental",E116,E155)</f>
        <v>1.9596781625887748E-2</v>
      </c>
      <c r="F194" s="183">
        <f t="shared" si="143"/>
        <v>-1.12357088466827E-2</v>
      </c>
      <c r="G194" s="183">
        <f t="shared" si="143"/>
        <v>7.534959998227068E-4</v>
      </c>
      <c r="H194" s="183">
        <f t="shared" si="143"/>
        <v>3.3604978187213502E-2</v>
      </c>
      <c r="I194" s="183">
        <f t="shared" si="143"/>
        <v>3.1883041060964769E-2</v>
      </c>
      <c r="J194" s="183">
        <f t="shared" si="143"/>
        <v>2.4147354925110498E-2</v>
      </c>
      <c r="K194" s="183">
        <f t="shared" si="143"/>
        <v>6.5153761356293E-2</v>
      </c>
      <c r="L194" s="183">
        <f t="shared" si="143"/>
        <v>2.0663074122979193E-2</v>
      </c>
      <c r="M194" s="183" t="str">
        <f t="shared" si="143"/>
        <v/>
      </c>
      <c r="N194" s="183" t="str">
        <f t="shared" si="143"/>
        <v/>
      </c>
      <c r="O194" s="183" t="str">
        <f t="shared" si="143"/>
        <v/>
      </c>
      <c r="P194" s="183" t="str">
        <f t="shared" si="143"/>
        <v/>
      </c>
      <c r="Q194" s="183" t="str">
        <f t="shared" si="143"/>
        <v/>
      </c>
      <c r="R194" s="183" t="str">
        <f t="shared" si="143"/>
        <v/>
      </c>
      <c r="S194" s="183" t="str">
        <f t="shared" si="143"/>
        <v/>
      </c>
      <c r="T194" s="183" t="str">
        <f t="shared" si="143"/>
        <v/>
      </c>
      <c r="U194" s="183" t="str">
        <f t="shared" si="143"/>
        <v/>
      </c>
      <c r="V194" s="183" t="str">
        <f t="shared" si="143"/>
        <v/>
      </c>
      <c r="W194" s="183" t="str">
        <f t="shared" si="143"/>
        <v/>
      </c>
    </row>
    <row r="195" spans="1:23" ht="15" customHeight="1" x14ac:dyDescent="0.2">
      <c r="A195" s="159" t="s">
        <v>30</v>
      </c>
      <c r="B195" s="159"/>
      <c r="C195" s="184"/>
      <c r="D195" s="184">
        <f t="shared" ref="D195:W195" si="144">IF(chartType="Incremental",D117,D156)</f>
        <v>1.6080237894700655E-2</v>
      </c>
      <c r="E195" s="184">
        <f t="shared" si="144"/>
        <v>1.9792768027067035E-2</v>
      </c>
      <c r="F195" s="184">
        <f t="shared" si="144"/>
        <v>4.8189773151412103E-3</v>
      </c>
      <c r="G195" s="184">
        <f t="shared" si="144"/>
        <v>2.8651379327423111E-2</v>
      </c>
      <c r="H195" s="184">
        <f t="shared" si="144"/>
        <v>1.8697288491939301E-2</v>
      </c>
      <c r="I195" s="184">
        <f t="shared" si="144"/>
        <v>1.6991342843863975E-2</v>
      </c>
      <c r="J195" s="184">
        <f t="shared" si="144"/>
        <v>1.9751518155905318E-3</v>
      </c>
      <c r="K195" s="184">
        <f t="shared" si="144"/>
        <v>7.3261234239596781E-2</v>
      </c>
      <c r="L195" s="184">
        <f t="shared" si="144"/>
        <v>3.5423089112333973E-2</v>
      </c>
      <c r="M195" s="184" t="str">
        <f t="shared" si="144"/>
        <v/>
      </c>
      <c r="N195" s="184" t="str">
        <f t="shared" si="144"/>
        <v/>
      </c>
      <c r="O195" s="184" t="str">
        <f t="shared" si="144"/>
        <v/>
      </c>
      <c r="P195" s="184" t="str">
        <f t="shared" si="144"/>
        <v/>
      </c>
      <c r="Q195" s="184" t="str">
        <f t="shared" si="144"/>
        <v/>
      </c>
      <c r="R195" s="184" t="str">
        <f t="shared" si="144"/>
        <v/>
      </c>
      <c r="S195" s="184" t="str">
        <f t="shared" si="144"/>
        <v/>
      </c>
      <c r="T195" s="184" t="str">
        <f t="shared" si="144"/>
        <v/>
      </c>
      <c r="U195" s="184" t="str">
        <f t="shared" si="144"/>
        <v/>
      </c>
      <c r="V195" s="184" t="str">
        <f t="shared" si="144"/>
        <v/>
      </c>
      <c r="W195" s="184" t="str">
        <f t="shared" si="144"/>
        <v/>
      </c>
    </row>
    <row r="196" spans="1:23" ht="15" customHeight="1" x14ac:dyDescent="0.2">
      <c r="A196" s="27"/>
      <c r="B196" s="27"/>
      <c r="C196" s="183"/>
      <c r="D196" s="183"/>
      <c r="E196" s="183"/>
      <c r="F196" s="183"/>
      <c r="G196" s="183"/>
      <c r="H196" s="183"/>
      <c r="I196" s="183"/>
      <c r="J196" s="183"/>
      <c r="K196" s="183"/>
      <c r="L196" s="183"/>
      <c r="M196" s="183"/>
      <c r="N196" s="183"/>
      <c r="O196" s="183"/>
      <c r="P196" s="183"/>
      <c r="Q196" s="183"/>
      <c r="R196" s="183"/>
      <c r="S196" s="183"/>
      <c r="T196" s="183"/>
      <c r="U196" s="183"/>
      <c r="V196" s="183"/>
      <c r="W196" s="183"/>
    </row>
    <row r="197" spans="1:23" ht="15" customHeight="1" x14ac:dyDescent="0.2">
      <c r="A197" s="140" t="s">
        <v>0</v>
      </c>
      <c r="B197" s="140"/>
      <c r="C197" s="183"/>
      <c r="D197" s="183">
        <f t="shared" ref="D197:W197" si="145">IF(chartType="Incremental",D119,D158)</f>
        <v>3.0734861049994924E-2</v>
      </c>
      <c r="E197" s="183">
        <f t="shared" si="145"/>
        <v>2.260462163256817E-2</v>
      </c>
      <c r="F197" s="183">
        <f t="shared" si="145"/>
        <v>3.8782675715600845E-2</v>
      </c>
      <c r="G197" s="183">
        <f t="shared" si="145"/>
        <v>4.9587287847404703E-2</v>
      </c>
      <c r="H197" s="183">
        <f t="shared" si="145"/>
        <v>4.0813721736227701E-2</v>
      </c>
      <c r="I197" s="183">
        <f t="shared" si="145"/>
        <v>1.0725403263843034E-2</v>
      </c>
      <c r="J197" s="183">
        <f t="shared" si="145"/>
        <v>6.9437315090483164E-3</v>
      </c>
      <c r="K197" s="183">
        <f t="shared" si="145"/>
        <v>3.7046648932719133E-2</v>
      </c>
      <c r="L197" s="183">
        <f t="shared" si="145"/>
        <v>5.2945802945802943E-2</v>
      </c>
      <c r="M197" s="183" t="e">
        <f t="shared" si="145"/>
        <v>#N/A</v>
      </c>
      <c r="N197" s="183" t="e">
        <f t="shared" si="145"/>
        <v>#N/A</v>
      </c>
      <c r="O197" s="183" t="e">
        <f t="shared" si="145"/>
        <v>#N/A</v>
      </c>
      <c r="P197" s="183" t="e">
        <f t="shared" si="145"/>
        <v>#N/A</v>
      </c>
      <c r="Q197" s="183" t="e">
        <f t="shared" si="145"/>
        <v>#N/A</v>
      </c>
      <c r="R197" s="183" t="e">
        <f t="shared" si="145"/>
        <v>#N/A</v>
      </c>
      <c r="S197" s="183" t="e">
        <f t="shared" si="145"/>
        <v>#N/A</v>
      </c>
      <c r="T197" s="183" t="e">
        <f t="shared" si="145"/>
        <v>#N/A</v>
      </c>
      <c r="U197" s="183" t="e">
        <f t="shared" si="145"/>
        <v>#N/A</v>
      </c>
      <c r="V197" s="183" t="e">
        <f t="shared" si="145"/>
        <v>#N/A</v>
      </c>
      <c r="W197" s="183" t="e">
        <f t="shared" si="145"/>
        <v>#N/A</v>
      </c>
    </row>
    <row r="198" spans="1:23" ht="15" customHeight="1" x14ac:dyDescent="0.2">
      <c r="A198" s="140" t="s">
        <v>1</v>
      </c>
      <c r="B198" s="140"/>
      <c r="C198" s="183"/>
      <c r="D198" s="183" t="e">
        <f t="shared" ref="D198:W198" si="146">IF(chartType="Incremental",D120,D159)</f>
        <v>#N/A</v>
      </c>
      <c r="E198" s="183" t="e">
        <f t="shared" si="146"/>
        <v>#N/A</v>
      </c>
      <c r="F198" s="183" t="e">
        <f t="shared" si="146"/>
        <v>#N/A</v>
      </c>
      <c r="G198" s="183" t="e">
        <f t="shared" si="146"/>
        <v>#N/A</v>
      </c>
      <c r="H198" s="183" t="e">
        <f t="shared" si="146"/>
        <v>#N/A</v>
      </c>
      <c r="I198" s="183" t="e">
        <f t="shared" si="146"/>
        <v>#N/A</v>
      </c>
      <c r="J198" s="183" t="e">
        <f t="shared" si="146"/>
        <v>#N/A</v>
      </c>
      <c r="K198" s="183" t="e">
        <f t="shared" si="146"/>
        <v>#N/A</v>
      </c>
      <c r="L198" s="183" t="e">
        <f t="shared" si="146"/>
        <v>#N/A</v>
      </c>
      <c r="M198" s="183" t="e">
        <f t="shared" si="146"/>
        <v>#N/A</v>
      </c>
      <c r="N198" s="183" t="e">
        <f t="shared" si="146"/>
        <v>#N/A</v>
      </c>
      <c r="O198" s="183" t="e">
        <f t="shared" si="146"/>
        <v>#N/A</v>
      </c>
      <c r="P198" s="183" t="e">
        <f t="shared" si="146"/>
        <v>#N/A</v>
      </c>
      <c r="Q198" s="183" t="e">
        <f t="shared" si="146"/>
        <v>#N/A</v>
      </c>
      <c r="R198" s="183" t="e">
        <f t="shared" si="146"/>
        <v>#N/A</v>
      </c>
      <c r="S198" s="183" t="e">
        <f t="shared" si="146"/>
        <v>#N/A</v>
      </c>
      <c r="T198" s="183" t="e">
        <f t="shared" si="146"/>
        <v>#N/A</v>
      </c>
      <c r="U198" s="183" t="e">
        <f t="shared" si="146"/>
        <v>#N/A</v>
      </c>
      <c r="V198" s="183" t="e">
        <f t="shared" si="146"/>
        <v>#N/A</v>
      </c>
      <c r="W198" s="183" t="e">
        <f t="shared" si="146"/>
        <v>#N/A</v>
      </c>
    </row>
    <row r="199" spans="1:23" ht="15" customHeight="1" x14ac:dyDescent="0.2">
      <c r="A199" s="140" t="s">
        <v>39</v>
      </c>
      <c r="B199" s="140"/>
      <c r="C199" s="183"/>
      <c r="D199" s="183">
        <f t="shared" ref="D199:W199" si="147">IF(chartType="Incremental",D121,D160)</f>
        <v>4.6237320122670442E-2</v>
      </c>
      <c r="E199" s="183">
        <f t="shared" si="147"/>
        <v>3.4160090191657271E-2</v>
      </c>
      <c r="F199" s="183">
        <f t="shared" si="147"/>
        <v>3.0633380573421999E-2</v>
      </c>
      <c r="G199" s="183">
        <f t="shared" si="147"/>
        <v>6.6215358578379527E-2</v>
      </c>
      <c r="H199" s="183">
        <f t="shared" si="147"/>
        <v>4.4543650793650795E-2</v>
      </c>
      <c r="I199" s="183">
        <f t="shared" si="147"/>
        <v>1.4151391395194226E-2</v>
      </c>
      <c r="J199" s="183">
        <f t="shared" si="147"/>
        <v>2.8938003371417869E-2</v>
      </c>
      <c r="K199" s="183">
        <f t="shared" si="147"/>
        <v>1.5017748247929371E-2</v>
      </c>
      <c r="L199" s="183">
        <f t="shared" si="147"/>
        <v>-4.4296987087517933E-2</v>
      </c>
      <c r="M199" s="183" t="e">
        <f t="shared" si="147"/>
        <v>#N/A</v>
      </c>
      <c r="N199" s="183" t="e">
        <f t="shared" si="147"/>
        <v>#N/A</v>
      </c>
      <c r="O199" s="183" t="e">
        <f t="shared" si="147"/>
        <v>#N/A</v>
      </c>
      <c r="P199" s="183" t="e">
        <f t="shared" si="147"/>
        <v>#N/A</v>
      </c>
      <c r="Q199" s="183" t="e">
        <f t="shared" si="147"/>
        <v>#N/A</v>
      </c>
      <c r="R199" s="183" t="e">
        <f t="shared" si="147"/>
        <v>#N/A</v>
      </c>
      <c r="S199" s="183" t="e">
        <f t="shared" si="147"/>
        <v>#N/A</v>
      </c>
      <c r="T199" s="183" t="e">
        <f t="shared" si="147"/>
        <v>#N/A</v>
      </c>
      <c r="U199" s="183" t="e">
        <f t="shared" si="147"/>
        <v>#N/A</v>
      </c>
      <c r="V199" s="183" t="e">
        <f t="shared" si="147"/>
        <v>#N/A</v>
      </c>
      <c r="W199" s="183" t="e">
        <f t="shared" si="147"/>
        <v>#N/A</v>
      </c>
    </row>
    <row r="200" spans="1:23" ht="15" customHeight="1" x14ac:dyDescent="0.2">
      <c r="A200" s="140" t="s">
        <v>38</v>
      </c>
      <c r="B200" s="140"/>
      <c r="C200" s="183"/>
      <c r="D200" s="183" t="e">
        <f t="shared" ref="D200:W200" si="148">IF(chartType="Incremental",D122,D161)</f>
        <v>#N/A</v>
      </c>
      <c r="E200" s="183" t="e">
        <f t="shared" si="148"/>
        <v>#N/A</v>
      </c>
      <c r="F200" s="183" t="e">
        <f t="shared" si="148"/>
        <v>#N/A</v>
      </c>
      <c r="G200" s="183" t="e">
        <f t="shared" si="148"/>
        <v>#N/A</v>
      </c>
      <c r="H200" s="183" t="e">
        <f t="shared" si="148"/>
        <v>#N/A</v>
      </c>
      <c r="I200" s="183" t="e">
        <f t="shared" si="148"/>
        <v>#N/A</v>
      </c>
      <c r="J200" s="183" t="e">
        <f t="shared" si="148"/>
        <v>#N/A</v>
      </c>
      <c r="K200" s="183" t="e">
        <f t="shared" si="148"/>
        <v>#N/A</v>
      </c>
      <c r="L200" s="183" t="e">
        <f t="shared" si="148"/>
        <v>#N/A</v>
      </c>
      <c r="M200" s="183" t="e">
        <f t="shared" si="148"/>
        <v>#N/A</v>
      </c>
      <c r="N200" s="183" t="e">
        <f t="shared" si="148"/>
        <v>#N/A</v>
      </c>
      <c r="O200" s="183" t="e">
        <f t="shared" si="148"/>
        <v>#N/A</v>
      </c>
      <c r="P200" s="183" t="e">
        <f t="shared" si="148"/>
        <v>#N/A</v>
      </c>
      <c r="Q200" s="183" t="e">
        <f t="shared" si="148"/>
        <v>#N/A</v>
      </c>
      <c r="R200" s="183" t="e">
        <f t="shared" si="148"/>
        <v>#N/A</v>
      </c>
      <c r="S200" s="183" t="e">
        <f t="shared" si="148"/>
        <v>#N/A</v>
      </c>
      <c r="T200" s="183" t="e">
        <f t="shared" si="148"/>
        <v>#N/A</v>
      </c>
      <c r="U200" s="183" t="e">
        <f t="shared" si="148"/>
        <v>#N/A</v>
      </c>
      <c r="V200" s="183" t="e">
        <f t="shared" si="148"/>
        <v>#N/A</v>
      </c>
      <c r="W200" s="183" t="e">
        <f t="shared" si="148"/>
        <v>#N/A</v>
      </c>
    </row>
    <row r="201" spans="1:23" ht="15" customHeight="1" x14ac:dyDescent="0.2">
      <c r="A201" s="159" t="s">
        <v>40</v>
      </c>
      <c r="B201" s="159"/>
      <c r="C201" s="184"/>
      <c r="D201" s="184">
        <f t="shared" ref="D201:W201" si="149">IF(chartType="Incremental",D123,D162)</f>
        <v>3.2088314951548291E-2</v>
      </c>
      <c r="E201" s="184">
        <f t="shared" si="149"/>
        <v>2.3627311096255349E-2</v>
      </c>
      <c r="F201" s="184">
        <f t="shared" si="149"/>
        <v>3.8054020333167626E-2</v>
      </c>
      <c r="G201" s="184">
        <f t="shared" si="149"/>
        <v>5.1063430207990985E-2</v>
      </c>
      <c r="H201" s="184">
        <f t="shared" si="149"/>
        <v>4.114961628831533E-2</v>
      </c>
      <c r="I201" s="184">
        <f t="shared" si="149"/>
        <v>1.1034932511862982E-2</v>
      </c>
      <c r="J201" s="184">
        <f t="shared" si="149"/>
        <v>8.936982813494589E-3</v>
      </c>
      <c r="K201" s="184">
        <f t="shared" si="149"/>
        <v>3.5010683221453925E-2</v>
      </c>
      <c r="L201" s="184">
        <f t="shared" si="149"/>
        <v>4.4131989596879063E-2</v>
      </c>
      <c r="M201" s="184" t="str">
        <f t="shared" si="149"/>
        <v/>
      </c>
      <c r="N201" s="184" t="str">
        <f t="shared" si="149"/>
        <v/>
      </c>
      <c r="O201" s="184" t="str">
        <f t="shared" si="149"/>
        <v/>
      </c>
      <c r="P201" s="184" t="str">
        <f t="shared" si="149"/>
        <v/>
      </c>
      <c r="Q201" s="184" t="str">
        <f t="shared" si="149"/>
        <v/>
      </c>
      <c r="R201" s="184" t="str">
        <f t="shared" si="149"/>
        <v/>
      </c>
      <c r="S201" s="184" t="str">
        <f t="shared" si="149"/>
        <v/>
      </c>
      <c r="T201" s="184" t="str">
        <f t="shared" si="149"/>
        <v/>
      </c>
      <c r="U201" s="184" t="str">
        <f t="shared" si="149"/>
        <v/>
      </c>
      <c r="V201" s="184" t="str">
        <f t="shared" si="149"/>
        <v/>
      </c>
      <c r="W201" s="184" t="str">
        <f t="shared" si="149"/>
        <v/>
      </c>
    </row>
    <row r="202" spans="1:23" ht="15" customHeight="1" x14ac:dyDescent="0.2">
      <c r="A202" s="27"/>
      <c r="B202" s="27"/>
      <c r="C202" s="183"/>
      <c r="D202" s="183"/>
      <c r="E202" s="183"/>
      <c r="F202" s="183"/>
      <c r="G202" s="183"/>
      <c r="H202" s="183"/>
      <c r="I202" s="183"/>
      <c r="J202" s="183"/>
      <c r="K202" s="183"/>
      <c r="L202" s="183"/>
      <c r="M202" s="183"/>
      <c r="N202" s="183"/>
      <c r="O202" s="183"/>
      <c r="P202" s="183"/>
      <c r="Q202" s="183"/>
      <c r="R202" s="183"/>
      <c r="S202" s="183"/>
      <c r="T202" s="183"/>
      <c r="U202" s="183"/>
      <c r="V202" s="183"/>
      <c r="W202" s="183"/>
    </row>
    <row r="203" spans="1:23" ht="15" customHeight="1" x14ac:dyDescent="0.2">
      <c r="A203" s="27" t="s">
        <v>41</v>
      </c>
      <c r="B203" s="27"/>
      <c r="C203" s="183"/>
      <c r="D203" s="183">
        <f t="shared" ref="D203:W203" si="150">IF(chartType="Incremental",D125,D164)</f>
        <v>-7.4163839069316534E-2</v>
      </c>
      <c r="E203" s="183">
        <f t="shared" si="150"/>
        <v>-5.9566787003610108E-2</v>
      </c>
      <c r="F203" s="183">
        <f t="shared" si="150"/>
        <v>-5.068143100511073E-2</v>
      </c>
      <c r="G203" s="183">
        <f t="shared" si="150"/>
        <v>8.1070125658694772E-2</v>
      </c>
      <c r="H203" s="183">
        <f t="shared" si="150"/>
        <v>3.9258932509925008E-2</v>
      </c>
      <c r="I203" s="183">
        <f t="shared" si="150"/>
        <v>2.2497704315886134E-2</v>
      </c>
      <c r="J203" s="183">
        <f t="shared" si="150"/>
        <v>-0.13198684828558008</v>
      </c>
      <c r="K203" s="183">
        <f t="shared" si="150"/>
        <v>8.9626556016597511E-2</v>
      </c>
      <c r="L203" s="183">
        <f t="shared" si="150"/>
        <v>0.16317228805834094</v>
      </c>
      <c r="M203" s="183" t="str">
        <f t="shared" si="150"/>
        <v/>
      </c>
      <c r="N203" s="183" t="str">
        <f t="shared" si="150"/>
        <v/>
      </c>
      <c r="O203" s="183" t="str">
        <f t="shared" si="150"/>
        <v/>
      </c>
      <c r="P203" s="183" t="str">
        <f t="shared" si="150"/>
        <v/>
      </c>
      <c r="Q203" s="183" t="str">
        <f t="shared" si="150"/>
        <v/>
      </c>
      <c r="R203" s="183" t="str">
        <f t="shared" si="150"/>
        <v/>
      </c>
      <c r="S203" s="183" t="str">
        <f t="shared" si="150"/>
        <v/>
      </c>
      <c r="T203" s="183" t="str">
        <f t="shared" si="150"/>
        <v/>
      </c>
      <c r="U203" s="183" t="str">
        <f t="shared" si="150"/>
        <v/>
      </c>
      <c r="V203" s="183" t="str">
        <f t="shared" si="150"/>
        <v/>
      </c>
      <c r="W203" s="183" t="str">
        <f t="shared" si="150"/>
        <v/>
      </c>
    </row>
    <row r="204" spans="1:23" ht="15" customHeight="1" x14ac:dyDescent="0.2">
      <c r="A204" s="27" t="s">
        <v>4</v>
      </c>
      <c r="B204" s="27"/>
      <c r="C204" s="183"/>
      <c r="D204" s="183">
        <f t="shared" ref="D204:W204" si="151">IF(chartType="Incremental",D126,D165)</f>
        <v>-7.1839868384973957E-2</v>
      </c>
      <c r="E204" s="183">
        <f t="shared" si="151"/>
        <v>-2.9930928626247123E-2</v>
      </c>
      <c r="F204" s="183">
        <f t="shared" si="151"/>
        <v>-2.6825633383010434E-2</v>
      </c>
      <c r="G204" s="183">
        <f t="shared" si="151"/>
        <v>-0.18432510885341075</v>
      </c>
      <c r="H204" s="183">
        <f t="shared" si="151"/>
        <v>0.61683006535947715</v>
      </c>
      <c r="I204" s="183">
        <f t="shared" si="151"/>
        <v>2.3097014925373136</v>
      </c>
      <c r="J204" s="183">
        <f t="shared" si="151"/>
        <v>-3.8103378103378103</v>
      </c>
      <c r="K204" s="183">
        <f t="shared" si="151"/>
        <v>0.6556118754525706</v>
      </c>
      <c r="L204" s="183">
        <f t="shared" si="151"/>
        <v>0.44953742640874683</v>
      </c>
      <c r="M204" s="183" t="str">
        <f t="shared" si="151"/>
        <v/>
      </c>
      <c r="N204" s="183" t="str">
        <f t="shared" si="151"/>
        <v/>
      </c>
      <c r="O204" s="183" t="str">
        <f t="shared" si="151"/>
        <v/>
      </c>
      <c r="P204" s="183" t="str">
        <f t="shared" si="151"/>
        <v/>
      </c>
      <c r="Q204" s="183" t="str">
        <f t="shared" si="151"/>
        <v/>
      </c>
      <c r="R204" s="183" t="str">
        <f t="shared" si="151"/>
        <v/>
      </c>
      <c r="S204" s="183" t="str">
        <f t="shared" si="151"/>
        <v/>
      </c>
      <c r="T204" s="183" t="str">
        <f t="shared" si="151"/>
        <v/>
      </c>
      <c r="U204" s="183" t="str">
        <f t="shared" si="151"/>
        <v/>
      </c>
      <c r="V204" s="183" t="str">
        <f t="shared" si="151"/>
        <v/>
      </c>
      <c r="W204" s="183" t="str">
        <f t="shared" si="151"/>
        <v/>
      </c>
    </row>
    <row r="205" spans="1:23" ht="15" customHeight="1" x14ac:dyDescent="0.2">
      <c r="A205" s="140" t="s">
        <v>43</v>
      </c>
      <c r="B205" s="140"/>
      <c r="C205" s="183"/>
      <c r="D205" s="183">
        <f t="shared" ref="D205:W205" si="152">IF(chartType="Incremental",D127,D166)</f>
        <v>1.8471977883890423E-2</v>
      </c>
      <c r="E205" s="183">
        <f t="shared" si="152"/>
        <v>-1.4805675508945095E-2</v>
      </c>
      <c r="F205" s="183">
        <f t="shared" si="152"/>
        <v>-0.17871008140262992</v>
      </c>
      <c r="G205" s="183">
        <f t="shared" si="152"/>
        <v>-5.3979871912168347E-2</v>
      </c>
      <c r="H205" s="183">
        <f t="shared" si="152"/>
        <v>-0.25854287556415217</v>
      </c>
      <c r="I205" s="183">
        <f t="shared" si="152"/>
        <v>-6.9347826086956527E-2</v>
      </c>
      <c r="J205" s="183">
        <f t="shared" si="152"/>
        <v>0.14809623919644943</v>
      </c>
      <c r="K205" s="183">
        <f t="shared" si="152"/>
        <v>0.39532044760935908</v>
      </c>
      <c r="L205" s="183">
        <f t="shared" si="152"/>
        <v>-0.30650335374744825</v>
      </c>
      <c r="M205" s="183" t="str">
        <f t="shared" si="152"/>
        <v/>
      </c>
      <c r="N205" s="183" t="str">
        <f t="shared" si="152"/>
        <v/>
      </c>
      <c r="O205" s="183" t="str">
        <f t="shared" si="152"/>
        <v/>
      </c>
      <c r="P205" s="183" t="str">
        <f t="shared" si="152"/>
        <v/>
      </c>
      <c r="Q205" s="183" t="str">
        <f t="shared" si="152"/>
        <v/>
      </c>
      <c r="R205" s="183" t="str">
        <f t="shared" si="152"/>
        <v/>
      </c>
      <c r="S205" s="183" t="str">
        <f t="shared" si="152"/>
        <v/>
      </c>
      <c r="T205" s="183" t="str">
        <f t="shared" si="152"/>
        <v/>
      </c>
      <c r="U205" s="183" t="str">
        <f t="shared" si="152"/>
        <v/>
      </c>
      <c r="V205" s="183" t="str">
        <f t="shared" si="152"/>
        <v/>
      </c>
      <c r="W205" s="183" t="str">
        <f t="shared" si="152"/>
        <v/>
      </c>
    </row>
    <row r="206" spans="1:23" ht="15" customHeight="1" x14ac:dyDescent="0.2">
      <c r="A206" s="159" t="s">
        <v>6</v>
      </c>
      <c r="B206" s="159"/>
      <c r="C206" s="184"/>
      <c r="D206" s="184">
        <f t="shared" ref="D206:W206" si="153">IF(chartType="Incremental",D128,D167)</f>
        <v>-5.7473969057003353E-2</v>
      </c>
      <c r="E206" s="184">
        <f t="shared" si="153"/>
        <v>2.1283235551117215E-2</v>
      </c>
      <c r="F206" s="184">
        <f t="shared" si="153"/>
        <v>-0.10199841104931859</v>
      </c>
      <c r="G206" s="184">
        <f t="shared" si="153"/>
        <v>-7.1525792840615221E-2</v>
      </c>
      <c r="H206" s="184">
        <f t="shared" si="153"/>
        <v>-0.27713845928314884</v>
      </c>
      <c r="I206" s="184">
        <f t="shared" si="153"/>
        <v>-0.32366659906712636</v>
      </c>
      <c r="J206" s="184">
        <f t="shared" si="153"/>
        <v>1.2310344827586206</v>
      </c>
      <c r="K206" s="184">
        <f t="shared" si="153"/>
        <v>-9.2130905181103423E-2</v>
      </c>
      <c r="L206" s="184">
        <f t="shared" si="153"/>
        <v>1.2065136935603257E-2</v>
      </c>
      <c r="M206" s="184" t="str">
        <f t="shared" si="153"/>
        <v/>
      </c>
      <c r="N206" s="184" t="str">
        <f t="shared" si="153"/>
        <v/>
      </c>
      <c r="O206" s="184" t="str">
        <f t="shared" si="153"/>
        <v/>
      </c>
      <c r="P206" s="184" t="str">
        <f t="shared" si="153"/>
        <v/>
      </c>
      <c r="Q206" s="184" t="str">
        <f t="shared" si="153"/>
        <v/>
      </c>
      <c r="R206" s="184" t="str">
        <f t="shared" si="153"/>
        <v/>
      </c>
      <c r="S206" s="184" t="str">
        <f t="shared" si="153"/>
        <v/>
      </c>
      <c r="T206" s="184" t="str">
        <f t="shared" si="153"/>
        <v/>
      </c>
      <c r="U206" s="184" t="str">
        <f t="shared" si="153"/>
        <v/>
      </c>
      <c r="V206" s="184" t="str">
        <f t="shared" si="153"/>
        <v/>
      </c>
      <c r="W206" s="184" t="str">
        <f t="shared" si="153"/>
        <v/>
      </c>
    </row>
    <row r="207" spans="1:23" ht="15" customHeight="1" x14ac:dyDescent="0.2">
      <c r="C207" s="181"/>
      <c r="D207" s="181"/>
      <c r="E207" s="181"/>
      <c r="F207" s="181"/>
      <c r="G207" s="181"/>
      <c r="H207" s="181"/>
      <c r="I207" s="181"/>
      <c r="J207" s="181"/>
      <c r="K207" s="181"/>
      <c r="L207" s="181"/>
      <c r="M207" s="181"/>
      <c r="N207" s="181"/>
      <c r="O207" s="181"/>
      <c r="P207" s="181"/>
      <c r="Q207" s="181"/>
      <c r="R207" s="181"/>
      <c r="S207" s="181"/>
      <c r="T207" s="181"/>
      <c r="U207" s="181"/>
      <c r="V207" s="181"/>
      <c r="W207" s="181"/>
    </row>
    <row r="208" spans="1:23" ht="15" customHeight="1" x14ac:dyDescent="0.2">
      <c r="A208" s="916" t="s">
        <v>51</v>
      </c>
      <c r="B208" s="916"/>
      <c r="C208" s="928"/>
      <c r="D208" s="928"/>
      <c r="E208" s="928"/>
      <c r="F208" s="928"/>
      <c r="G208" s="928"/>
      <c r="H208" s="928"/>
      <c r="I208" s="928"/>
      <c r="J208" s="928"/>
      <c r="K208" s="928"/>
      <c r="L208" s="928"/>
      <c r="M208" s="928"/>
      <c r="N208" s="928"/>
      <c r="O208" s="928"/>
      <c r="P208" s="928"/>
      <c r="Q208" s="928"/>
      <c r="R208" s="928"/>
      <c r="S208" s="928"/>
      <c r="T208" s="928"/>
      <c r="U208" s="928"/>
      <c r="V208" s="928"/>
      <c r="W208" s="928"/>
    </row>
    <row r="209" spans="1:23" ht="15" customHeight="1" x14ac:dyDescent="0.2">
      <c r="A209" s="27" t="s">
        <v>30</v>
      </c>
      <c r="B209" s="27"/>
      <c r="C209" s="183"/>
      <c r="D209" s="183">
        <f t="shared" ref="D209:W209" si="154">IF(chartType="Incremental",D131,D170)</f>
        <v>1.6080237894700655E-2</v>
      </c>
      <c r="E209" s="183">
        <f t="shared" si="154"/>
        <v>1.9792768027067035E-2</v>
      </c>
      <c r="F209" s="183">
        <f t="shared" si="154"/>
        <v>4.8189773151412103E-3</v>
      </c>
      <c r="G209" s="183">
        <f t="shared" si="154"/>
        <v>2.8651379327423111E-2</v>
      </c>
      <c r="H209" s="183">
        <f t="shared" si="154"/>
        <v>1.8697288491939301E-2</v>
      </c>
      <c r="I209" s="183">
        <f t="shared" si="154"/>
        <v>1.6991342843863975E-2</v>
      </c>
      <c r="J209" s="183">
        <f t="shared" si="154"/>
        <v>1.9751518155905318E-3</v>
      </c>
      <c r="K209" s="183">
        <f t="shared" si="154"/>
        <v>7.3261234239596781E-2</v>
      </c>
      <c r="L209" s="183">
        <f t="shared" si="154"/>
        <v>3.5423089112333973E-2</v>
      </c>
      <c r="M209" s="183" t="str">
        <f t="shared" si="154"/>
        <v/>
      </c>
      <c r="N209" s="183" t="str">
        <f t="shared" si="154"/>
        <v/>
      </c>
      <c r="O209" s="183" t="str">
        <f t="shared" si="154"/>
        <v/>
      </c>
      <c r="P209" s="183" t="str">
        <f t="shared" si="154"/>
        <v/>
      </c>
      <c r="Q209" s="183" t="str">
        <f t="shared" si="154"/>
        <v/>
      </c>
      <c r="R209" s="183" t="str">
        <f t="shared" si="154"/>
        <v/>
      </c>
      <c r="S209" s="183" t="str">
        <f t="shared" si="154"/>
        <v/>
      </c>
      <c r="T209" s="183" t="str">
        <f t="shared" si="154"/>
        <v/>
      </c>
      <c r="U209" s="183" t="str">
        <f t="shared" si="154"/>
        <v/>
      </c>
      <c r="V209" s="183" t="str">
        <f t="shared" si="154"/>
        <v/>
      </c>
      <c r="W209" s="183" t="str">
        <f t="shared" si="154"/>
        <v/>
      </c>
    </row>
    <row r="210" spans="1:23" ht="15" customHeight="1" x14ac:dyDescent="0.2">
      <c r="A210" s="238" t="s">
        <v>42</v>
      </c>
      <c r="B210" s="27"/>
      <c r="C210" s="183"/>
      <c r="D210" s="183">
        <f t="shared" ref="D210:W210" si="155">IF(chartType="Incremental",D132,D171)</f>
        <v>-1.2733751346573488E-2</v>
      </c>
      <c r="E210" s="183">
        <f t="shared" si="155"/>
        <v>1.6171450954059651E-2</v>
      </c>
      <c r="F210" s="183">
        <f t="shared" si="155"/>
        <v>-7.6018722466960356E-2</v>
      </c>
      <c r="G210" s="183">
        <f t="shared" si="155"/>
        <v>-2.1305760004767721E-2</v>
      </c>
      <c r="H210" s="183">
        <f t="shared" si="155"/>
        <v>-4.1955912799902573E-2</v>
      </c>
      <c r="I210" s="183">
        <f t="shared" si="155"/>
        <v>3.7151210830737941E-2</v>
      </c>
      <c r="J210" s="183">
        <f t="shared" si="155"/>
        <v>-5.5155507890301825E-3</v>
      </c>
      <c r="K210" s="183">
        <f t="shared" si="155"/>
        <v>0.17393313819134185</v>
      </c>
      <c r="L210" s="183">
        <f t="shared" si="155"/>
        <v>-3.937007874015748E-2</v>
      </c>
      <c r="M210" s="183" t="str">
        <f t="shared" si="155"/>
        <v/>
      </c>
      <c r="N210" s="183" t="str">
        <f t="shared" si="155"/>
        <v/>
      </c>
      <c r="O210" s="183" t="str">
        <f t="shared" si="155"/>
        <v/>
      </c>
      <c r="P210" s="183" t="str">
        <f t="shared" si="155"/>
        <v/>
      </c>
      <c r="Q210" s="183" t="str">
        <f t="shared" si="155"/>
        <v/>
      </c>
      <c r="R210" s="183" t="str">
        <f t="shared" si="155"/>
        <v/>
      </c>
      <c r="S210" s="183" t="str">
        <f t="shared" si="155"/>
        <v/>
      </c>
      <c r="T210" s="183" t="str">
        <f t="shared" si="155"/>
        <v/>
      </c>
      <c r="U210" s="183" t="str">
        <f t="shared" si="155"/>
        <v/>
      </c>
      <c r="V210" s="183" t="str">
        <f t="shared" si="155"/>
        <v/>
      </c>
      <c r="W210" s="183" t="str">
        <f t="shared" si="155"/>
        <v/>
      </c>
    </row>
    <row r="211" spans="1:23" s="48" customFormat="1" ht="15" customHeight="1" x14ac:dyDescent="0.2">
      <c r="A211" s="238" t="s">
        <v>968</v>
      </c>
      <c r="B211" s="50"/>
      <c r="C211" s="183"/>
      <c r="D211" s="183">
        <f t="shared" ref="D211:W211" si="156">IF(chartType="Incremental",D133,D172)</f>
        <v>1.1518264558426467E-2</v>
      </c>
      <c r="E211" s="183">
        <f t="shared" si="156"/>
        <v>-4.7619758219164101E-4</v>
      </c>
      <c r="F211" s="183">
        <f t="shared" si="156"/>
        <v>-6.5529028557883423E-2</v>
      </c>
      <c r="G211" s="183">
        <f t="shared" si="156"/>
        <v>-4.7213882060010037E-2</v>
      </c>
      <c r="H211" s="183">
        <f t="shared" si="156"/>
        <v>1.1159107712043238E-2</v>
      </c>
      <c r="I211" s="183">
        <f t="shared" si="156"/>
        <v>-1.2344558135030565E-2</v>
      </c>
      <c r="J211" s="183">
        <f t="shared" si="156"/>
        <v>-7.3847096675348552E-3</v>
      </c>
      <c r="K211" s="183">
        <f t="shared" si="156"/>
        <v>5.9825893684015558E-2</v>
      </c>
      <c r="L211" s="183">
        <f t="shared" si="156"/>
        <v>6.920657112897588E-2</v>
      </c>
      <c r="M211" s="183" t="str">
        <f t="shared" si="156"/>
        <v/>
      </c>
      <c r="N211" s="183" t="str">
        <f t="shared" si="156"/>
        <v/>
      </c>
      <c r="O211" s="183" t="str">
        <f t="shared" si="156"/>
        <v/>
      </c>
      <c r="P211" s="183" t="str">
        <f t="shared" si="156"/>
        <v/>
      </c>
      <c r="Q211" s="183" t="str">
        <f t="shared" si="156"/>
        <v/>
      </c>
      <c r="R211" s="183" t="str">
        <f t="shared" si="156"/>
        <v/>
      </c>
      <c r="S211" s="183" t="str">
        <f t="shared" si="156"/>
        <v/>
      </c>
      <c r="T211" s="183" t="str">
        <f t="shared" si="156"/>
        <v/>
      </c>
      <c r="U211" s="183" t="str">
        <f t="shared" si="156"/>
        <v/>
      </c>
      <c r="V211" s="183" t="str">
        <f t="shared" si="156"/>
        <v/>
      </c>
      <c r="W211" s="183" t="str">
        <f t="shared" si="156"/>
        <v/>
      </c>
    </row>
    <row r="212" spans="1:23" s="48" customFormat="1" ht="15" customHeight="1" x14ac:dyDescent="0.2">
      <c r="A212" s="631" t="s">
        <v>970</v>
      </c>
      <c r="B212" s="50"/>
      <c r="C212" s="183"/>
      <c r="D212" s="183">
        <f t="shared" ref="D212:W212" si="157">IF(chartType="Incremental",D134,D173)</f>
        <v>1.1518264558426467E-2</v>
      </c>
      <c r="E212" s="183">
        <f t="shared" si="157"/>
        <v>-4.7619758219164101E-4</v>
      </c>
      <c r="F212" s="183">
        <f t="shared" si="157"/>
        <v>-6.5529028557883423E-2</v>
      </c>
      <c r="G212" s="183">
        <f t="shared" si="157"/>
        <v>-4.7213882060010037E-2</v>
      </c>
      <c r="H212" s="183">
        <f t="shared" si="157"/>
        <v>1.1159107712043238E-2</v>
      </c>
      <c r="I212" s="183">
        <f t="shared" si="157"/>
        <v>-1.2344558135030565E-2</v>
      </c>
      <c r="J212" s="183">
        <f t="shared" si="157"/>
        <v>-7.3847096675348552E-3</v>
      </c>
      <c r="K212" s="183">
        <f t="shared" si="157"/>
        <v>5.9825893684015558E-2</v>
      </c>
      <c r="L212" s="183">
        <f t="shared" si="157"/>
        <v>6.920657112897588E-2</v>
      </c>
      <c r="M212" s="183" t="str">
        <f t="shared" si="157"/>
        <v/>
      </c>
      <c r="N212" s="183" t="str">
        <f t="shared" si="157"/>
        <v/>
      </c>
      <c r="O212" s="183" t="str">
        <f t="shared" si="157"/>
        <v/>
      </c>
      <c r="P212" s="183" t="str">
        <f t="shared" si="157"/>
        <v/>
      </c>
      <c r="Q212" s="183" t="str">
        <f t="shared" si="157"/>
        <v/>
      </c>
      <c r="R212" s="183" t="str">
        <f t="shared" si="157"/>
        <v/>
      </c>
      <c r="S212" s="183" t="str">
        <f t="shared" si="157"/>
        <v/>
      </c>
      <c r="T212" s="183" t="str">
        <f t="shared" si="157"/>
        <v/>
      </c>
      <c r="U212" s="183" t="str">
        <f t="shared" si="157"/>
        <v/>
      </c>
      <c r="V212" s="183" t="str">
        <f t="shared" si="157"/>
        <v/>
      </c>
      <c r="W212" s="183" t="str">
        <f t="shared" si="157"/>
        <v/>
      </c>
    </row>
    <row r="213" spans="1:23" ht="15" customHeight="1" x14ac:dyDescent="0.2">
      <c r="A213" s="238" t="s">
        <v>35</v>
      </c>
      <c r="B213" s="27"/>
      <c r="C213" s="183"/>
      <c r="D213" s="183">
        <f t="shared" ref="D213:W213" si="158">IF(chartType="Incremental",D135,D174)</f>
        <v>-3.0766456266907122E-2</v>
      </c>
      <c r="E213" s="183">
        <f t="shared" si="158"/>
        <v>1.0233700506103007E-2</v>
      </c>
      <c r="F213" s="183">
        <f t="shared" si="158"/>
        <v>-0.11205658083766162</v>
      </c>
      <c r="G213" s="183">
        <f t="shared" si="158"/>
        <v>-5.5631611698817675E-2</v>
      </c>
      <c r="H213" s="183">
        <f t="shared" si="158"/>
        <v>-8.0258302583025826E-2</v>
      </c>
      <c r="I213" s="183">
        <f t="shared" si="158"/>
        <v>4.8717581315374694E-2</v>
      </c>
      <c r="J213" s="183">
        <f t="shared" si="158"/>
        <v>-2.2270802022134172E-2</v>
      </c>
      <c r="K213" s="183">
        <f t="shared" si="158"/>
        <v>0.25526364822060743</v>
      </c>
      <c r="L213" s="183">
        <f t="shared" si="158"/>
        <v>-3.7331156301024196E-2</v>
      </c>
      <c r="M213" s="183" t="str">
        <f t="shared" si="158"/>
        <v/>
      </c>
      <c r="N213" s="183" t="str">
        <f t="shared" si="158"/>
        <v/>
      </c>
      <c r="O213" s="183" t="str">
        <f t="shared" si="158"/>
        <v/>
      </c>
      <c r="P213" s="183" t="str">
        <f t="shared" si="158"/>
        <v/>
      </c>
      <c r="Q213" s="183" t="str">
        <f t="shared" si="158"/>
        <v/>
      </c>
      <c r="R213" s="183" t="str">
        <f t="shared" si="158"/>
        <v/>
      </c>
      <c r="S213" s="183" t="str">
        <f t="shared" si="158"/>
        <v/>
      </c>
      <c r="T213" s="183" t="str">
        <f t="shared" si="158"/>
        <v/>
      </c>
      <c r="U213" s="183" t="str">
        <f t="shared" si="158"/>
        <v/>
      </c>
      <c r="V213" s="183" t="str">
        <f t="shared" si="158"/>
        <v/>
      </c>
      <c r="W213" s="183" t="str">
        <f t="shared" si="158"/>
        <v/>
      </c>
    </row>
    <row r="214" spans="1:23" s="48" customFormat="1" ht="15" customHeight="1" x14ac:dyDescent="0.2">
      <c r="A214" s="50" t="s">
        <v>972</v>
      </c>
      <c r="B214" s="50"/>
      <c r="C214" s="183"/>
      <c r="D214" s="183">
        <f t="shared" ref="D214:W214" si="159">IF(chartType="Incremental",D136,D175)</f>
        <v>1.7674198769828866E-3</v>
      </c>
      <c r="E214" s="183">
        <f t="shared" si="159"/>
        <v>-1.1507521526634517E-2</v>
      </c>
      <c r="F214" s="183">
        <f t="shared" si="159"/>
        <v>-9.7570764611972907E-2</v>
      </c>
      <c r="G214" s="183">
        <f t="shared" si="159"/>
        <v>-8.9969429100763776E-2</v>
      </c>
      <c r="H214" s="183">
        <f t="shared" si="159"/>
        <v>-4.1798623520461417E-3</v>
      </c>
      <c r="I214" s="183">
        <f t="shared" si="159"/>
        <v>-2.473582986510562E-2</v>
      </c>
      <c r="J214" s="183">
        <f t="shared" si="159"/>
        <v>-2.5048959329598761E-2</v>
      </c>
      <c r="K214" s="183">
        <f t="shared" si="159"/>
        <v>8.2823375531368246E-2</v>
      </c>
      <c r="L214" s="183">
        <f t="shared" si="159"/>
        <v>0.12381363244176014</v>
      </c>
      <c r="M214" s="183" t="str">
        <f t="shared" si="159"/>
        <v/>
      </c>
      <c r="N214" s="183" t="str">
        <f t="shared" si="159"/>
        <v/>
      </c>
      <c r="O214" s="183" t="str">
        <f t="shared" si="159"/>
        <v/>
      </c>
      <c r="P214" s="183" t="str">
        <f t="shared" si="159"/>
        <v/>
      </c>
      <c r="Q214" s="183" t="str">
        <f t="shared" si="159"/>
        <v/>
      </c>
      <c r="R214" s="183" t="str">
        <f t="shared" si="159"/>
        <v/>
      </c>
      <c r="S214" s="183" t="str">
        <f t="shared" si="159"/>
        <v/>
      </c>
      <c r="T214" s="183" t="str">
        <f t="shared" si="159"/>
        <v/>
      </c>
      <c r="U214" s="183" t="str">
        <f t="shared" si="159"/>
        <v/>
      </c>
      <c r="V214" s="183" t="str">
        <f t="shared" si="159"/>
        <v/>
      </c>
      <c r="W214" s="183" t="str">
        <f t="shared" si="159"/>
        <v/>
      </c>
    </row>
    <row r="215" spans="1:23" s="48" customFormat="1" ht="15" customHeight="1" x14ac:dyDescent="0.2">
      <c r="A215" s="630" t="s">
        <v>974</v>
      </c>
      <c r="B215" s="50"/>
      <c r="C215" s="183"/>
      <c r="D215" s="183">
        <f t="shared" ref="D215:W215" si="160">IF(chartType="Incremental",D137,D176)</f>
        <v>1.7674198769828866E-3</v>
      </c>
      <c r="E215" s="183">
        <f t="shared" si="160"/>
        <v>-1.1507521526634517E-2</v>
      </c>
      <c r="F215" s="183">
        <f t="shared" si="160"/>
        <v>-9.7570764611972907E-2</v>
      </c>
      <c r="G215" s="183">
        <f t="shared" si="160"/>
        <v>-8.9969429100763776E-2</v>
      </c>
      <c r="H215" s="183">
        <f t="shared" si="160"/>
        <v>-4.1798623520461417E-3</v>
      </c>
      <c r="I215" s="183">
        <f t="shared" si="160"/>
        <v>-2.473582986510562E-2</v>
      </c>
      <c r="J215" s="183">
        <f t="shared" si="160"/>
        <v>-2.5048959329598761E-2</v>
      </c>
      <c r="K215" s="183">
        <f t="shared" si="160"/>
        <v>8.2823375531368246E-2</v>
      </c>
      <c r="L215" s="183">
        <f t="shared" si="160"/>
        <v>0.12381363244176014</v>
      </c>
      <c r="M215" s="183" t="str">
        <f t="shared" si="160"/>
        <v/>
      </c>
      <c r="N215" s="183" t="str">
        <f t="shared" si="160"/>
        <v/>
      </c>
      <c r="O215" s="183" t="str">
        <f t="shared" si="160"/>
        <v/>
      </c>
      <c r="P215" s="183" t="str">
        <f t="shared" si="160"/>
        <v/>
      </c>
      <c r="Q215" s="183" t="str">
        <f t="shared" si="160"/>
        <v/>
      </c>
      <c r="R215" s="183" t="str">
        <f t="shared" si="160"/>
        <v/>
      </c>
      <c r="S215" s="183" t="str">
        <f t="shared" si="160"/>
        <v/>
      </c>
      <c r="T215" s="183" t="str">
        <f t="shared" si="160"/>
        <v/>
      </c>
      <c r="U215" s="183" t="str">
        <f t="shared" si="160"/>
        <v/>
      </c>
      <c r="V215" s="183" t="str">
        <f t="shared" si="160"/>
        <v/>
      </c>
      <c r="W215" s="183" t="str">
        <f t="shared" si="160"/>
        <v/>
      </c>
    </row>
    <row r="216" spans="1:23" ht="15" customHeight="1" x14ac:dyDescent="0.2">
      <c r="A216" s="27" t="s">
        <v>50</v>
      </c>
      <c r="B216" s="27"/>
      <c r="C216" s="183"/>
      <c r="D216" s="183">
        <f t="shared" ref="D216:W216" si="161">IF(chartType="Incremental",D138,D177)</f>
        <v>-3.9201932818954094E-2</v>
      </c>
      <c r="E216" s="183">
        <f t="shared" si="161"/>
        <v>5.7998053212199871E-3</v>
      </c>
      <c r="F216" s="183">
        <f t="shared" si="161"/>
        <v>-0.12746481712972296</v>
      </c>
      <c r="G216" s="183">
        <f t="shared" si="161"/>
        <v>-5.2731306035677973E-2</v>
      </c>
      <c r="H216" s="183">
        <f t="shared" si="161"/>
        <v>-0.26218470995755477</v>
      </c>
      <c r="I216" s="183">
        <f t="shared" si="161"/>
        <v>-0.2422138464590359</v>
      </c>
      <c r="J216" s="183">
        <f t="shared" si="161"/>
        <v>0.7553228621291449</v>
      </c>
      <c r="K216" s="183">
        <f t="shared" si="161"/>
        <v>2.2270829190693973E-2</v>
      </c>
      <c r="L216" s="183">
        <f t="shared" si="161"/>
        <v>-9.0838358296051358E-2</v>
      </c>
      <c r="M216" s="183" t="str">
        <f t="shared" si="161"/>
        <v/>
      </c>
      <c r="N216" s="183" t="str">
        <f t="shared" si="161"/>
        <v/>
      </c>
      <c r="O216" s="183" t="str">
        <f t="shared" si="161"/>
        <v/>
      </c>
      <c r="P216" s="183" t="str">
        <f t="shared" si="161"/>
        <v/>
      </c>
      <c r="Q216" s="183" t="str">
        <f t="shared" si="161"/>
        <v/>
      </c>
      <c r="R216" s="183" t="str">
        <f t="shared" si="161"/>
        <v/>
      </c>
      <c r="S216" s="183" t="str">
        <f t="shared" si="161"/>
        <v/>
      </c>
      <c r="T216" s="183" t="str">
        <f t="shared" si="161"/>
        <v/>
      </c>
      <c r="U216" s="183" t="str">
        <f t="shared" si="161"/>
        <v/>
      </c>
      <c r="V216" s="183" t="str">
        <f t="shared" si="161"/>
        <v/>
      </c>
      <c r="W216" s="183" t="str">
        <f t="shared" si="161"/>
        <v/>
      </c>
    </row>
    <row r="217" spans="1:23" ht="15" customHeight="1" x14ac:dyDescent="0.2">
      <c r="A217" s="27" t="s">
        <v>6</v>
      </c>
      <c r="B217" s="27"/>
      <c r="C217" s="183"/>
      <c r="D217" s="183">
        <f t="shared" ref="D217:W217" si="162">IF(chartType="Incremental",D139,D178)</f>
        <v>-5.7473969057003353E-2</v>
      </c>
      <c r="E217" s="183">
        <f t="shared" si="162"/>
        <v>2.1283235551117215E-2</v>
      </c>
      <c r="F217" s="183">
        <f t="shared" si="162"/>
        <v>-0.10199841104931859</v>
      </c>
      <c r="G217" s="183">
        <f t="shared" si="162"/>
        <v>-7.1525792840615221E-2</v>
      </c>
      <c r="H217" s="183">
        <f t="shared" si="162"/>
        <v>-0.27713845928314884</v>
      </c>
      <c r="I217" s="183">
        <f t="shared" si="162"/>
        <v>-0.32366659906712636</v>
      </c>
      <c r="J217" s="183">
        <f t="shared" si="162"/>
        <v>1.2310344827586206</v>
      </c>
      <c r="K217" s="183">
        <f t="shared" si="162"/>
        <v>-9.2130905181103423E-2</v>
      </c>
      <c r="L217" s="183">
        <f t="shared" si="162"/>
        <v>1.2065136935603257E-2</v>
      </c>
      <c r="M217" s="183" t="str">
        <f t="shared" si="162"/>
        <v/>
      </c>
      <c r="N217" s="183" t="str">
        <f t="shared" si="162"/>
        <v/>
      </c>
      <c r="O217" s="183" t="str">
        <f t="shared" si="162"/>
        <v/>
      </c>
      <c r="P217" s="183" t="str">
        <f t="shared" si="162"/>
        <v/>
      </c>
      <c r="Q217" s="183" t="str">
        <f t="shared" si="162"/>
        <v/>
      </c>
      <c r="R217" s="183" t="str">
        <f t="shared" si="162"/>
        <v/>
      </c>
      <c r="S217" s="183" t="str">
        <f t="shared" si="162"/>
        <v/>
      </c>
      <c r="T217" s="183" t="str">
        <f t="shared" si="162"/>
        <v/>
      </c>
      <c r="U217" s="183" t="str">
        <f t="shared" si="162"/>
        <v/>
      </c>
      <c r="V217" s="183" t="str">
        <f t="shared" si="162"/>
        <v/>
      </c>
      <c r="W217" s="183" t="str">
        <f t="shared" si="162"/>
        <v/>
      </c>
    </row>
    <row r="218" spans="1:23" s="48" customFormat="1" ht="15" customHeight="1" x14ac:dyDescent="0.2">
      <c r="A218" s="170" t="s">
        <v>976</v>
      </c>
      <c r="B218" s="50"/>
      <c r="C218" s="183"/>
      <c r="D218" s="183">
        <f t="shared" ref="D218:W218" si="163">IF(chartType="Incremental",D140,D179)</f>
        <v>-1.3110771221836518E-2</v>
      </c>
      <c r="E218" s="183">
        <f t="shared" si="163"/>
        <v>-1.9916393113310556E-2</v>
      </c>
      <c r="F218" s="183">
        <f t="shared" si="163"/>
        <v>-0.10193279288846059</v>
      </c>
      <c r="G218" s="183">
        <f t="shared" si="163"/>
        <v>-8.9542686829161292E-2</v>
      </c>
      <c r="H218" s="183">
        <f t="shared" si="163"/>
        <v>-1.038691326287723E-2</v>
      </c>
      <c r="I218" s="183">
        <f t="shared" si="163"/>
        <v>8.6871063273252044E-2</v>
      </c>
      <c r="J218" s="183">
        <f t="shared" si="163"/>
        <v>-2.2179191490980323E-2</v>
      </c>
      <c r="K218" s="183">
        <f t="shared" si="163"/>
        <v>0.10342281480475611</v>
      </c>
      <c r="L218" s="183">
        <f t="shared" si="163"/>
        <v>0.16144154815287701</v>
      </c>
      <c r="M218" s="183" t="str">
        <f t="shared" si="163"/>
        <v/>
      </c>
      <c r="N218" s="183" t="str">
        <f t="shared" si="163"/>
        <v/>
      </c>
      <c r="O218" s="183" t="str">
        <f t="shared" si="163"/>
        <v/>
      </c>
      <c r="P218" s="183" t="str">
        <f t="shared" si="163"/>
        <v/>
      </c>
      <c r="Q218" s="183" t="str">
        <f t="shared" si="163"/>
        <v/>
      </c>
      <c r="R218" s="183" t="str">
        <f t="shared" si="163"/>
        <v/>
      </c>
      <c r="S218" s="183" t="str">
        <f t="shared" si="163"/>
        <v/>
      </c>
      <c r="T218" s="183" t="str">
        <f t="shared" si="163"/>
        <v/>
      </c>
      <c r="U218" s="183" t="str">
        <f t="shared" si="163"/>
        <v/>
      </c>
      <c r="V218" s="183" t="str">
        <f t="shared" si="163"/>
        <v/>
      </c>
      <c r="W218" s="183" t="str">
        <f t="shared" si="163"/>
        <v/>
      </c>
    </row>
    <row r="219" spans="1:23" s="48" customFormat="1" ht="15" customHeight="1" x14ac:dyDescent="0.2">
      <c r="A219" s="170" t="s">
        <v>978</v>
      </c>
      <c r="B219" s="50"/>
      <c r="C219" s="183"/>
      <c r="D219" s="183">
        <f t="shared" ref="D219:W219" si="164">IF(chartType="Incremental",D141,D180)</f>
        <v>-1.3110771221836518E-2</v>
      </c>
      <c r="E219" s="183">
        <f t="shared" si="164"/>
        <v>-1.9916393113310556E-2</v>
      </c>
      <c r="F219" s="183">
        <f t="shared" si="164"/>
        <v>-0.10193279288846059</v>
      </c>
      <c r="G219" s="183">
        <f t="shared" si="164"/>
        <v>-8.9542686829161292E-2</v>
      </c>
      <c r="H219" s="183">
        <f t="shared" si="164"/>
        <v>-1.038691326287723E-2</v>
      </c>
      <c r="I219" s="183">
        <f t="shared" si="164"/>
        <v>8.6871063273252044E-2</v>
      </c>
      <c r="J219" s="183">
        <f t="shared" si="164"/>
        <v>-2.2179191490980323E-2</v>
      </c>
      <c r="K219" s="183">
        <f t="shared" si="164"/>
        <v>0.10342281480475611</v>
      </c>
      <c r="L219" s="183">
        <f t="shared" si="164"/>
        <v>0.16144154815287701</v>
      </c>
      <c r="M219" s="183" t="str">
        <f t="shared" si="164"/>
        <v/>
      </c>
      <c r="N219" s="183" t="str">
        <f t="shared" si="164"/>
        <v/>
      </c>
      <c r="O219" s="183" t="str">
        <f t="shared" si="164"/>
        <v/>
      </c>
      <c r="P219" s="183" t="str">
        <f t="shared" si="164"/>
        <v/>
      </c>
      <c r="Q219" s="183" t="str">
        <f t="shared" si="164"/>
        <v/>
      </c>
      <c r="R219" s="183" t="str">
        <f t="shared" si="164"/>
        <v/>
      </c>
      <c r="S219" s="183" t="str">
        <f t="shared" si="164"/>
        <v/>
      </c>
      <c r="T219" s="183" t="str">
        <f t="shared" si="164"/>
        <v/>
      </c>
      <c r="U219" s="183" t="str">
        <f t="shared" si="164"/>
        <v/>
      </c>
      <c r="V219" s="183" t="str">
        <f t="shared" si="164"/>
        <v/>
      </c>
      <c r="W219" s="183" t="str">
        <f t="shared" si="164"/>
        <v/>
      </c>
    </row>
    <row r="220" spans="1:23" ht="15" customHeight="1" x14ac:dyDescent="0.2">
      <c r="A220" s="27"/>
      <c r="B220" s="27"/>
      <c r="C220" s="172"/>
      <c r="D220" s="172"/>
      <c r="E220" s="172"/>
      <c r="F220" s="172"/>
      <c r="G220" s="172"/>
      <c r="H220" s="172"/>
      <c r="I220" s="172"/>
      <c r="J220" s="172"/>
      <c r="K220" s="172"/>
      <c r="L220" s="172"/>
      <c r="M220" s="172"/>
      <c r="N220" s="172"/>
      <c r="O220" s="172"/>
      <c r="P220" s="172"/>
      <c r="Q220" s="172"/>
      <c r="R220" s="172"/>
      <c r="S220" s="172"/>
      <c r="T220" s="172"/>
      <c r="U220" s="172"/>
      <c r="V220" s="172"/>
      <c r="W220" s="172"/>
    </row>
    <row r="221" spans="1:23" ht="15" customHeight="1" x14ac:dyDescent="0.2">
      <c r="A221" s="916" t="s">
        <v>52</v>
      </c>
      <c r="B221" s="916"/>
      <c r="C221" s="928"/>
      <c r="D221" s="928"/>
      <c r="E221" s="928"/>
      <c r="F221" s="928"/>
      <c r="G221" s="928"/>
      <c r="H221" s="928"/>
      <c r="I221" s="928"/>
      <c r="J221" s="928"/>
      <c r="K221" s="928"/>
      <c r="L221" s="928"/>
      <c r="M221" s="928"/>
      <c r="N221" s="928"/>
      <c r="O221" s="928"/>
      <c r="P221" s="928"/>
      <c r="Q221" s="928"/>
      <c r="R221" s="928"/>
      <c r="S221" s="928"/>
      <c r="T221" s="928"/>
      <c r="U221" s="928"/>
      <c r="V221" s="928"/>
      <c r="W221" s="928"/>
    </row>
    <row r="222" spans="1:23" ht="15" customHeight="1" x14ac:dyDescent="0.2">
      <c r="A222" s="25" t="s">
        <v>8</v>
      </c>
      <c r="C222" s="183"/>
      <c r="D222" s="183">
        <f t="shared" ref="D222:K225" si="165">IF(chartType="Incremental",D144,D183)</f>
        <v>-1.3445626477541371E-2</v>
      </c>
      <c r="E222" s="183">
        <f t="shared" si="165"/>
        <v>1.5126553841545605E-2</v>
      </c>
      <c r="F222" s="183">
        <f t="shared" si="165"/>
        <v>-0.17025671289465918</v>
      </c>
      <c r="G222" s="183">
        <f t="shared" si="165"/>
        <v>3.7517780938833567E-2</v>
      </c>
      <c r="H222" s="183">
        <f t="shared" si="165"/>
        <v>-3.7874892887746356E-2</v>
      </c>
      <c r="I222" s="183">
        <f t="shared" si="165"/>
        <v>0.11916636978981118</v>
      </c>
      <c r="J222" s="183">
        <f t="shared" si="165"/>
        <v>1.5915963711602739E-4</v>
      </c>
      <c r="K222" s="183">
        <f t="shared" si="165"/>
        <v>3.6919159770846595E-2</v>
      </c>
      <c r="L222" s="183">
        <f t="shared" ref="L222:W222" si="166">IF(chartType="Incremental",L144,L183)</f>
        <v>0.27071823204419887</v>
      </c>
      <c r="M222" s="183" t="str">
        <f t="shared" si="166"/>
        <v/>
      </c>
      <c r="N222" s="183" t="str">
        <f t="shared" si="166"/>
        <v/>
      </c>
      <c r="O222" s="183" t="str">
        <f t="shared" si="166"/>
        <v/>
      </c>
      <c r="P222" s="183" t="str">
        <f t="shared" si="166"/>
        <v/>
      </c>
      <c r="Q222" s="183" t="str">
        <f t="shared" si="166"/>
        <v/>
      </c>
      <c r="R222" s="183" t="str">
        <f t="shared" si="166"/>
        <v/>
      </c>
      <c r="S222" s="183" t="str">
        <f t="shared" si="166"/>
        <v/>
      </c>
      <c r="T222" s="183" t="str">
        <f t="shared" si="166"/>
        <v/>
      </c>
      <c r="U222" s="183" t="str">
        <f t="shared" si="166"/>
        <v/>
      </c>
      <c r="V222" s="183" t="str">
        <f t="shared" si="166"/>
        <v/>
      </c>
      <c r="W222" s="183" t="str">
        <f t="shared" si="166"/>
        <v/>
      </c>
    </row>
    <row r="223" spans="1:23" ht="15" customHeight="1" x14ac:dyDescent="0.2">
      <c r="A223" s="25" t="s">
        <v>25</v>
      </c>
      <c r="C223" s="183"/>
      <c r="D223" s="183">
        <f t="shared" si="165"/>
        <v>-1.7463235294117647E-2</v>
      </c>
      <c r="E223" s="183">
        <f t="shared" si="165"/>
        <v>2.6593612187625282E-2</v>
      </c>
      <c r="F223" s="183">
        <f t="shared" si="165"/>
        <v>2.0046862796146837E-3</v>
      </c>
      <c r="G223" s="183">
        <f t="shared" si="165"/>
        <v>7.6545326993530283E-2</v>
      </c>
      <c r="H223" s="183">
        <f t="shared" si="165"/>
        <v>0.1124466005358048</v>
      </c>
      <c r="I223" s="183">
        <f t="shared" si="165"/>
        <v>2.1001475310249068E-2</v>
      </c>
      <c r="J223" s="183">
        <f t="shared" si="165"/>
        <v>-1.8487037824054399E-3</v>
      </c>
      <c r="K223" s="183">
        <f t="shared" si="165"/>
        <v>4.6154173674238394E-2</v>
      </c>
      <c r="L223" s="183">
        <f t="shared" ref="L223:W223" si="167">IF(chartType="Incremental",L145,L184)</f>
        <v>0.12453959015893043</v>
      </c>
      <c r="M223" s="183" t="str">
        <f t="shared" si="167"/>
        <v/>
      </c>
      <c r="N223" s="183" t="str">
        <f t="shared" si="167"/>
        <v/>
      </c>
      <c r="O223" s="183" t="str">
        <f t="shared" si="167"/>
        <v/>
      </c>
      <c r="P223" s="183" t="str">
        <f t="shared" si="167"/>
        <v/>
      </c>
      <c r="Q223" s="183" t="str">
        <f t="shared" si="167"/>
        <v/>
      </c>
      <c r="R223" s="183" t="str">
        <f t="shared" si="167"/>
        <v/>
      </c>
      <c r="S223" s="183" t="str">
        <f t="shared" si="167"/>
        <v/>
      </c>
      <c r="T223" s="183" t="str">
        <f t="shared" si="167"/>
        <v/>
      </c>
      <c r="U223" s="183" t="str">
        <f t="shared" si="167"/>
        <v/>
      </c>
      <c r="V223" s="183" t="str">
        <f t="shared" si="167"/>
        <v/>
      </c>
      <c r="W223" s="183" t="str">
        <f t="shared" si="167"/>
        <v/>
      </c>
    </row>
    <row r="224" spans="1:23" ht="15" customHeight="1" x14ac:dyDescent="0.2">
      <c r="A224" s="25" t="s">
        <v>53</v>
      </c>
      <c r="C224" s="183"/>
      <c r="D224" s="183">
        <f t="shared" si="165"/>
        <v>-9.1203938884764177E-2</v>
      </c>
      <c r="E224" s="183">
        <f t="shared" si="165"/>
        <v>0.22818936234252052</v>
      </c>
      <c r="F224" s="183">
        <f t="shared" si="165"/>
        <v>-3.5429211595014706E-2</v>
      </c>
      <c r="G224" s="183">
        <f t="shared" si="165"/>
        <v>0.14957171893147503</v>
      </c>
      <c r="H224" s="183">
        <f t="shared" si="165"/>
        <v>-0.10532630316042055</v>
      </c>
      <c r="I224" s="183">
        <f t="shared" si="165"/>
        <v>-2.0609097646186965E-2</v>
      </c>
      <c r="J224" s="183">
        <f t="shared" si="165"/>
        <v>-9.0008287392353975E-2</v>
      </c>
      <c r="K224" s="183">
        <f t="shared" si="165"/>
        <v>0.42839041773906156</v>
      </c>
      <c r="L224" s="183">
        <f t="shared" ref="L224:W224" si="168">IF(chartType="Incremental",L146,L185)</f>
        <v>-0.32968342850806676</v>
      </c>
      <c r="M224" s="183" t="str">
        <f t="shared" si="168"/>
        <v/>
      </c>
      <c r="N224" s="183" t="str">
        <f t="shared" si="168"/>
        <v/>
      </c>
      <c r="O224" s="183" t="str">
        <f t="shared" si="168"/>
        <v/>
      </c>
      <c r="P224" s="183" t="str">
        <f t="shared" si="168"/>
        <v/>
      </c>
      <c r="Q224" s="183" t="str">
        <f t="shared" si="168"/>
        <v/>
      </c>
      <c r="R224" s="183" t="str">
        <f t="shared" si="168"/>
        <v/>
      </c>
      <c r="S224" s="183" t="str">
        <f t="shared" si="168"/>
        <v/>
      </c>
      <c r="T224" s="183" t="str">
        <f t="shared" si="168"/>
        <v/>
      </c>
      <c r="U224" s="183" t="str">
        <f t="shared" si="168"/>
        <v/>
      </c>
      <c r="V224" s="183" t="str">
        <f t="shared" si="168"/>
        <v/>
      </c>
      <c r="W224" s="183" t="str">
        <f t="shared" si="168"/>
        <v/>
      </c>
    </row>
    <row r="225" spans="1:23" ht="15" customHeight="1" x14ac:dyDescent="0.2">
      <c r="A225" s="25" t="s">
        <v>551</v>
      </c>
      <c r="C225" s="183"/>
      <c r="D225" s="183">
        <f t="shared" si="165"/>
        <v>-6.4259092661611616E-2</v>
      </c>
      <c r="E225" s="183">
        <f t="shared" si="165"/>
        <v>0.25463535228677381</v>
      </c>
      <c r="F225" s="183">
        <f t="shared" si="165"/>
        <v>-4.707170224411604E-2</v>
      </c>
      <c r="G225" s="183">
        <f t="shared" si="165"/>
        <v>-0.21114302125215392</v>
      </c>
      <c r="H225" s="183">
        <f t="shared" si="165"/>
        <v>-1.616426387068589E-2</v>
      </c>
      <c r="I225" s="183">
        <f t="shared" si="165"/>
        <v>0.14298401420959148</v>
      </c>
      <c r="J225" s="183">
        <f t="shared" si="165"/>
        <v>0.22571872571872573</v>
      </c>
      <c r="K225" s="183">
        <f t="shared" si="165"/>
        <v>0.87437929212889598</v>
      </c>
      <c r="L225" s="183">
        <f t="shared" ref="L225:W225" si="169">IF(chartType="Incremental",L147,L186)</f>
        <v>-0.16802885970351164</v>
      </c>
      <c r="M225" s="183" t="str">
        <f t="shared" si="169"/>
        <v/>
      </c>
      <c r="N225" s="183" t="str">
        <f t="shared" si="169"/>
        <v/>
      </c>
      <c r="O225" s="183" t="str">
        <f t="shared" si="169"/>
        <v/>
      </c>
      <c r="P225" s="183" t="str">
        <f t="shared" si="169"/>
        <v/>
      </c>
      <c r="Q225" s="183" t="str">
        <f t="shared" si="169"/>
        <v/>
      </c>
      <c r="R225" s="183" t="str">
        <f t="shared" si="169"/>
        <v/>
      </c>
      <c r="S225" s="183" t="str">
        <f t="shared" si="169"/>
        <v/>
      </c>
      <c r="T225" s="183" t="str">
        <f t="shared" si="169"/>
        <v/>
      </c>
      <c r="U225" s="183" t="str">
        <f t="shared" si="169"/>
        <v/>
      </c>
      <c r="V225" s="183" t="str">
        <f t="shared" si="169"/>
        <v/>
      </c>
      <c r="W225" s="183" t="str">
        <f t="shared" si="169"/>
        <v/>
      </c>
    </row>
    <row r="226" spans="1:23" ht="15" customHeight="1" x14ac:dyDescent="0.2">
      <c r="C226" s="183"/>
      <c r="D226" s="183"/>
      <c r="E226" s="183"/>
      <c r="F226" s="183"/>
      <c r="G226" s="183"/>
      <c r="H226" s="183"/>
      <c r="I226" s="183"/>
      <c r="J226" s="183"/>
      <c r="K226" s="183"/>
      <c r="L226" s="183"/>
      <c r="M226" s="183"/>
      <c r="N226" s="183"/>
      <c r="O226" s="183"/>
      <c r="P226" s="183"/>
      <c r="Q226" s="183"/>
      <c r="R226" s="183"/>
      <c r="S226" s="183"/>
      <c r="T226" s="183"/>
      <c r="U226" s="183"/>
      <c r="V226" s="183"/>
      <c r="W226" s="183"/>
    </row>
    <row r="227" spans="1:23" ht="15" customHeight="1" x14ac:dyDescent="0.2">
      <c r="A227" s="25" t="s">
        <v>17</v>
      </c>
      <c r="C227" s="183"/>
      <c r="D227" s="183">
        <f t="shared" ref="D227:K227" si="170">IF(chartType="Incremental",D149,D188)</f>
        <v>2.4085108325913752E-2</v>
      </c>
      <c r="E227" s="183">
        <f t="shared" si="170"/>
        <v>6.3087966471978242E-3</v>
      </c>
      <c r="F227" s="183">
        <f t="shared" si="170"/>
        <v>-1.488668837642055E-2</v>
      </c>
      <c r="G227" s="183">
        <f t="shared" si="170"/>
        <v>-3.1999820099395088E-2</v>
      </c>
      <c r="H227" s="183">
        <f t="shared" si="170"/>
        <v>1.7121219160897646E-2</v>
      </c>
      <c r="I227" s="183">
        <f t="shared" si="170"/>
        <v>1.1100198707260809E-2</v>
      </c>
      <c r="J227" s="183">
        <f t="shared" si="170"/>
        <v>3.7498023447559239E-3</v>
      </c>
      <c r="K227" s="183">
        <f t="shared" si="170"/>
        <v>1.1567458084843029E-2</v>
      </c>
      <c r="L227" s="183">
        <f t="shared" ref="L227:W227" si="171">IF(chartType="Incremental",L149,L188)</f>
        <v>0.25722485483548019</v>
      </c>
      <c r="M227" s="183" t="str">
        <f t="shared" si="171"/>
        <v/>
      </c>
      <c r="N227" s="183" t="str">
        <f t="shared" si="171"/>
        <v/>
      </c>
      <c r="O227" s="183" t="str">
        <f t="shared" si="171"/>
        <v/>
      </c>
      <c r="P227" s="183" t="str">
        <f t="shared" si="171"/>
        <v/>
      </c>
      <c r="Q227" s="183" t="str">
        <f t="shared" si="171"/>
        <v/>
      </c>
      <c r="R227" s="183" t="str">
        <f t="shared" si="171"/>
        <v/>
      </c>
      <c r="S227" s="183" t="str">
        <f t="shared" si="171"/>
        <v/>
      </c>
      <c r="T227" s="183" t="str">
        <f t="shared" si="171"/>
        <v/>
      </c>
      <c r="U227" s="183" t="str">
        <f t="shared" si="171"/>
        <v/>
      </c>
      <c r="V227" s="183" t="str">
        <f t="shared" si="171"/>
        <v/>
      </c>
      <c r="W227" s="183" t="str">
        <f t="shared" si="171"/>
        <v/>
      </c>
    </row>
    <row r="228" spans="1:23" ht="15" customHeight="1" x14ac:dyDescent="0.2">
      <c r="A228" s="27"/>
      <c r="B228" s="27"/>
      <c r="C228" s="172"/>
      <c r="D228" s="172"/>
      <c r="E228" s="172"/>
      <c r="F228" s="172"/>
      <c r="G228" s="172"/>
      <c r="H228" s="172"/>
      <c r="I228" s="172"/>
      <c r="J228" s="172"/>
      <c r="K228" s="172"/>
      <c r="L228" s="173"/>
      <c r="M228" s="173"/>
      <c r="N228" s="173"/>
      <c r="O228" s="173"/>
      <c r="P228" s="173"/>
      <c r="Q228" s="173"/>
      <c r="R228" s="173"/>
      <c r="S228" s="173"/>
      <c r="T228" s="173"/>
      <c r="U228" s="173"/>
      <c r="V228" s="173"/>
      <c r="W228" s="173"/>
    </row>
    <row r="229" spans="1:23" ht="15" customHeight="1" thickBot="1" x14ac:dyDescent="0.25">
      <c r="A229" s="176" t="s">
        <v>7</v>
      </c>
      <c r="B229" s="176"/>
      <c r="C229" s="177"/>
      <c r="D229" s="177"/>
      <c r="E229" s="177"/>
      <c r="F229" s="177"/>
      <c r="G229" s="177"/>
      <c r="H229" s="177"/>
      <c r="I229" s="177"/>
      <c r="J229" s="177"/>
      <c r="K229" s="177"/>
      <c r="L229" s="177"/>
      <c r="M229" s="177"/>
      <c r="N229" s="177"/>
      <c r="O229" s="177"/>
      <c r="P229" s="177"/>
      <c r="Q229" s="177"/>
      <c r="R229" s="177"/>
      <c r="S229" s="177"/>
      <c r="T229" s="177"/>
      <c r="U229" s="177"/>
      <c r="V229" s="177"/>
      <c r="W229" s="177"/>
    </row>
    <row r="230" spans="1:23" ht="15" customHeight="1" x14ac:dyDescent="0.2"/>
    <row r="231" spans="1:23" ht="15" hidden="1" customHeight="1" outlineLevel="1" x14ac:dyDescent="0.2">
      <c r="I231" s="25" t="e">
        <f>IF(J232=1,J231-1,J231)</f>
        <v>#VALUE!</v>
      </c>
      <c r="J231" s="25" t="e">
        <f>IF(K232=1,K231-1,K231)</f>
        <v>#VALUE!</v>
      </c>
      <c r="K231" s="25" t="str">
        <f>IF(L232=1,L231-1,L231)</f>
        <v>2014</v>
      </c>
      <c r="L231" s="25" t="str">
        <f>StartingYear</f>
        <v>2014</v>
      </c>
      <c r="M231" s="25" t="e">
        <f>IF(N232=1,N231-1,N231)</f>
        <v>#VALUE!</v>
      </c>
      <c r="N231" s="25" t="e">
        <f>IF(O232=1,O231-1,O231)</f>
        <v>#VALUE!</v>
      </c>
      <c r="O231" s="25" t="str">
        <f>IF(P232=1,P231-1,P231)</f>
        <v>2022</v>
      </c>
      <c r="P231" s="25" t="str">
        <f>EndingYear</f>
        <v>2022</v>
      </c>
    </row>
    <row r="232" spans="1:23" ht="15" hidden="1" customHeight="1" outlineLevel="1" x14ac:dyDescent="0.2">
      <c r="I232" s="25" t="e">
        <f>IF(J232=1,4,J232-1)</f>
        <v>#VALUE!</v>
      </c>
      <c r="J232" s="25" t="e">
        <f>IF(K232=1,4,K232-1)</f>
        <v>#VALUE!</v>
      </c>
      <c r="K232" s="25" t="e">
        <f>IF(L232=1,4,L232-1)</f>
        <v>#VALUE!</v>
      </c>
      <c r="L232" s="25" t="str">
        <f>StartingQuarter</f>
        <v>NA</v>
      </c>
      <c r="M232" s="25" t="e">
        <f>IF(N232=1,4,N232-1)</f>
        <v>#VALUE!</v>
      </c>
      <c r="N232" s="25" t="e">
        <f>IF(O232=1,4,O232-1)</f>
        <v>#VALUE!</v>
      </c>
      <c r="O232" s="25" t="e">
        <f>IF(P232=1,4,P232-1)</f>
        <v>#VALUE!</v>
      </c>
      <c r="P232" s="25" t="str">
        <f>EndingQuarter</f>
        <v>NA</v>
      </c>
    </row>
    <row r="233" spans="1:23" ht="15" customHeight="1" collapsed="1" x14ac:dyDescent="0.2">
      <c r="A233" s="38" t="s">
        <v>189</v>
      </c>
      <c r="B233" s="38"/>
      <c r="C233" s="39"/>
      <c r="D233" s="39"/>
      <c r="E233" s="39"/>
      <c r="F233" s="40" t="str">
        <f>IF(TimePeriodType="Annual",Input!H12,LEFT(Input!H12,3)&amp;RIGHT(Input!H12,4))</f>
        <v>FY2014</v>
      </c>
      <c r="G233" s="40" t="str">
        <f>IF(TimePeriodType="Annual",Input!I12,LEFT(Input!I12,3)&amp;RIGHT(Input!I12,4))</f>
        <v>FY2022</v>
      </c>
      <c r="H233" s="41" t="s">
        <v>24</v>
      </c>
      <c r="I233" s="40"/>
      <c r="J233" s="40"/>
      <c r="K233" s="40"/>
      <c r="L233" s="40"/>
      <c r="M233" s="40"/>
      <c r="N233" s="40"/>
      <c r="O233" s="40"/>
      <c r="P233" s="40"/>
      <c r="Q233" s="187"/>
      <c r="R233" s="188"/>
      <c r="S233" s="187" t="str">
        <f>F233</f>
        <v>FY2014</v>
      </c>
      <c r="T233" s="187"/>
      <c r="U233" s="188"/>
      <c r="V233" s="187" t="str">
        <f>G233</f>
        <v>FY2022</v>
      </c>
      <c r="W233" s="188"/>
    </row>
    <row r="234" spans="1:23" ht="15" customHeight="1" x14ac:dyDescent="0.2">
      <c r="Q234" s="155"/>
      <c r="R234" s="155"/>
      <c r="S234" s="155"/>
      <c r="T234" s="155"/>
      <c r="U234" s="155"/>
      <c r="V234" s="155"/>
      <c r="W234" s="155"/>
    </row>
    <row r="235" spans="1:23" ht="15" customHeight="1" x14ac:dyDescent="0.2">
      <c r="A235" s="25" t="s">
        <v>2</v>
      </c>
      <c r="B235" s="25" t="s">
        <v>9</v>
      </c>
      <c r="F235" s="189">
        <f>IFERROR(IF(NOT(ISNUMBER(_xll.ciqfunctions.udf.CIQ($D$4,$B235, IQ_LTM, F$233, $E$4, , $F$4, $G$4))),"NA",_xll.ciqfunctions.udf.CIQ($D$4,$B235, IQ_LTM, F$233, $E$4, , $F$4, $G$4)),"NA")</f>
        <v>476294</v>
      </c>
      <c r="G235" s="189">
        <f>IFERROR(IF(NOT(ISNUMBER(_xll.ciqfunctions.udf.CIQ($D$4,$B235, IQ_LTM, G$233, $E$4, , $F$4, $G$4))),"NA",_xll.ciqfunctions.udf.CIQ($D$4,$B235, IQ_LTM, G$233, $E$4, , $F$4, $G$4)),"NA")</f>
        <v>572754</v>
      </c>
      <c r="H235" s="190">
        <f t="shared" ref="H235:H237" si="172">IFERROR(IF(ABS(G235-F235)/ABS(F235)&gt;1000%,"N/M",IF(G235&gt;=F235,ABS(G235-F235)/ABS(F235),-ABS(G235-F235)/ABS(F235))),"N/A")</f>
        <v>0.20252197172334735</v>
      </c>
      <c r="Q235" s="155" t="s">
        <v>33</v>
      </c>
      <c r="R235" s="155"/>
      <c r="S235" s="155" t="str">
        <f>$Q235&amp;" 
" &amp; IF(NOT(ISNUMBER(F235)),"NA", TEXT(F235,"###,0"))</f>
        <v>Revenue 
476,294</v>
      </c>
      <c r="T235" s="155"/>
      <c r="U235" s="155"/>
      <c r="V235" s="155" t="str">
        <f>$Q235&amp;" 
" &amp; IF(NOT(ISNUMBER(G235)),"NA", TEXT(G235,"###,0"))</f>
        <v>Revenue 
572,754</v>
      </c>
      <c r="W235" s="155"/>
    </row>
    <row r="236" spans="1:23" ht="15" customHeight="1" x14ac:dyDescent="0.2">
      <c r="A236" s="140" t="s">
        <v>3</v>
      </c>
      <c r="B236" s="140" t="s">
        <v>10</v>
      </c>
      <c r="C236" s="140"/>
      <c r="D236" s="140"/>
      <c r="E236" s="140"/>
      <c r="F236" s="191">
        <f>IFERROR(IF(NOT(ISNUMBER(_xll.ciqfunctions.udf.CIQ($D$4,$B236, IQ_LTM, F$233, $E$4, , $F$4, $G$4))),"NA",_xll.ciqfunctions.udf.CIQ($D$4,$B236, IQ_LTM, F$233, $E$4, , $F$4, $G$4)),"NA")</f>
        <v>358069</v>
      </c>
      <c r="G236" s="191">
        <f>IFERROR(IF(NOT(ISNUMBER(_xll.ciqfunctions.udf.CIQ($D$4,$B236, IQ_LTM, G$233, $E$4, , $F$4, $G$4))),"NA",_xll.ciqfunctions.udf.CIQ($D$4,$B236, IQ_LTM, G$233, $E$4, , $F$4, $G$4)),"NA")</f>
        <v>429000</v>
      </c>
      <c r="H236" s="192">
        <f t="shared" si="172"/>
        <v>0.19809310496021718</v>
      </c>
      <c r="I236" s="36"/>
      <c r="J236" s="36"/>
      <c r="K236" s="36"/>
      <c r="L236" s="36"/>
      <c r="M236" s="36"/>
      <c r="N236" s="36"/>
      <c r="O236" s="36"/>
      <c r="P236" s="36"/>
      <c r="Q236" s="155" t="s">
        <v>34</v>
      </c>
      <c r="R236" s="155"/>
      <c r="S236" s="155" t="str">
        <f>$Q236&amp;" 
" &amp; IF(NOT(ISNUMBER(F236)),"NA", TEXT(F236,"###,0"))</f>
        <v>COGS 
358,069</v>
      </c>
      <c r="T236" s="155"/>
      <c r="U236" s="155"/>
      <c r="V236" s="155" t="str">
        <f>$Q236&amp;" 
" &amp; IF(NOT(ISNUMBER(G236)),"NA", TEXT(G236,"###,0"))</f>
        <v>COGS 
429,000</v>
      </c>
      <c r="W236" s="155"/>
    </row>
    <row r="237" spans="1:23" ht="15" customHeight="1" x14ac:dyDescent="0.2">
      <c r="A237" s="158" t="s">
        <v>30</v>
      </c>
      <c r="B237" s="193" t="s">
        <v>478</v>
      </c>
      <c r="C237" s="193"/>
      <c r="D237" s="193"/>
      <c r="E237" s="193"/>
      <c r="F237" s="194">
        <f>IFERROR(IF(NOT(ISNUMBER(_xll.ciqfunctions.udf.CIQ($D$4,$B237, IQ_LTM, F$233, $E$4, , $F$4, $G$4))),"NA",_xll.ciqfunctions.udf.CIQ($D$4,$B237, IQ_LTM, F$233, $E$4, , $F$4, $G$4)),"NA")</f>
        <v>118225</v>
      </c>
      <c r="G237" s="194">
        <f>IFERROR(IF(NOT(ISNUMBER(_xll.ciqfunctions.udf.CIQ($D$4,$B237, IQ_LTM, G$233, $E$4, , $F$4, $G$4))),"NA",_xll.ciqfunctions.udf.CIQ($D$4,$B237, IQ_LTM, G$233, $E$4, , $F$4, $G$4)),"NA")</f>
        <v>143754</v>
      </c>
      <c r="H237" s="195">
        <f t="shared" si="172"/>
        <v>0.2159357157961514</v>
      </c>
      <c r="I237" s="196"/>
      <c r="J237" s="196"/>
      <c r="K237" s="196"/>
      <c r="L237" s="196"/>
      <c r="M237" s="196"/>
      <c r="N237" s="196"/>
      <c r="O237" s="196"/>
      <c r="P237" s="196"/>
      <c r="Q237" s="155" t="s">
        <v>30</v>
      </c>
      <c r="R237" s="155"/>
      <c r="S237" s="155" t="str">
        <f>$Q237&amp;" 
" &amp; IF(NOT(ISNUMBER(F237)),"NA", TEXT(F237,"###,0"))</f>
        <v>Gross Profit 
118,225</v>
      </c>
      <c r="T237" s="155"/>
      <c r="U237" s="155"/>
      <c r="V237" s="155" t="str">
        <f>$Q237&amp;" 
" &amp; IF(NOT(ISNUMBER(G237)),"NA", TEXT(G237,"###,0"))</f>
        <v>Gross Profit 
143,754</v>
      </c>
      <c r="W237" s="155"/>
    </row>
    <row r="238" spans="1:23" ht="15" customHeight="1" x14ac:dyDescent="0.2">
      <c r="F238" s="189"/>
      <c r="G238" s="189"/>
      <c r="H238" s="190"/>
      <c r="Q238" s="155"/>
      <c r="R238" s="155"/>
      <c r="S238" s="155"/>
      <c r="T238" s="155"/>
      <c r="U238" s="155"/>
      <c r="V238" s="155"/>
      <c r="W238" s="155"/>
    </row>
    <row r="239" spans="1:23" ht="15" customHeight="1" x14ac:dyDescent="0.2">
      <c r="A239" s="25" t="s">
        <v>0</v>
      </c>
      <c r="B239" s="25" t="s">
        <v>12</v>
      </c>
      <c r="F239" s="189">
        <f>IFERROR(IF(NOT(ISNUMBER(_xll.ciqfunctions.udf.CIQ($D$4,$B239, IQ_LTM, F$233, $E$4, , $F$4, $G$4))),"NA",_xll.ciqfunctions.udf.CIQ($D$4,$B239, IQ_LTM, F$233, $E$4, , $F$4, $G$4)),"NA")</f>
        <v>91353</v>
      </c>
      <c r="G239" s="189">
        <f>IFERROR(IF(NOT(ISNUMBER(_xll.ciqfunctions.udf.CIQ($D$4,$B239, IQ_LTM, G$233, $E$4, , $F$4, $G$4))),"NA",_xll.ciqfunctions.udf.CIQ($D$4,$B239, IQ_LTM, G$233, $E$4, , $F$4, $G$4)),"NA")</f>
        <v>117812</v>
      </c>
      <c r="H239" s="192">
        <f t="shared" ref="H239:H240" si="173">IFERROR(IF(ABS(G239-F239)/ABS(F239)&gt;1000%,"N/M",IF(G239&gt;=F239,ABS(G239-F239)/ABS(F239),-ABS(G239-F239)/ABS(F239))),"N/A")</f>
        <v>0.28963471369303689</v>
      </c>
      <c r="Q239" s="155" t="s">
        <v>0</v>
      </c>
      <c r="R239" s="155"/>
      <c r="S239" s="155" t="str">
        <f t="shared" ref="S239:S244" si="174">$Q239&amp;" 
" &amp; IF(NOT(ISNUMBER(F239)),"NA", TEXT(F239,"###,0"))</f>
        <v>SG&amp;A 
91,353</v>
      </c>
      <c r="T239" s="155"/>
      <c r="U239" s="155"/>
      <c r="V239" s="155" t="str">
        <f t="shared" ref="V239:V244" si="175">$Q239&amp;" 
" &amp; IF(NOT(ISNUMBER(G239)),"NA", TEXT(G239,"###,0"))</f>
        <v>SG&amp;A 
117,812</v>
      </c>
      <c r="W239" s="155"/>
    </row>
    <row r="240" spans="1:23" ht="15" customHeight="1" x14ac:dyDescent="0.2">
      <c r="A240" s="25" t="s">
        <v>1</v>
      </c>
      <c r="B240" s="25" t="s">
        <v>13</v>
      </c>
      <c r="F240" s="189">
        <f>IFERROR(IF(NOT(ISNUMBER(_xll.ciqfunctions.udf.CIQ($D$4,$B240, IQ_LTM, F$233, $E$4, , $F$4, $G$4))),"NA",_xll.ciqfunctions.udf.CIQ($D$4,$B240, IQ_LTM, F$233, $E$4, , $F$4, $G$4)),"NA")</f>
        <v>0</v>
      </c>
      <c r="G240" s="189">
        <f>IFERROR(IF(NOT(ISNUMBER(_xll.ciqfunctions.udf.CIQ($D$4,$B240, IQ_LTM, G$233, $E$4, , $F$4, $G$4))),"NA",_xll.ciqfunctions.udf.CIQ($D$4,$B240, IQ_LTM, G$233, $E$4, , $F$4, $G$4)),"NA")</f>
        <v>0</v>
      </c>
      <c r="H240" s="192" t="str">
        <f t="shared" si="173"/>
        <v>N/A</v>
      </c>
      <c r="I240" s="36"/>
      <c r="J240" s="36"/>
      <c r="K240" s="36"/>
      <c r="L240" s="36"/>
      <c r="M240" s="36"/>
      <c r="N240" s="36"/>
      <c r="O240" s="36"/>
      <c r="P240" s="36"/>
      <c r="Q240" s="155" t="s">
        <v>1</v>
      </c>
      <c r="R240" s="155"/>
      <c r="S240" s="155" t="str">
        <f t="shared" si="174"/>
        <v>R&amp;D 
0</v>
      </c>
      <c r="T240" s="155"/>
      <c r="U240" s="155"/>
      <c r="V240" s="155" t="str">
        <f t="shared" si="175"/>
        <v>R&amp;D 
0</v>
      </c>
      <c r="W240" s="155"/>
    </row>
    <row r="241" spans="1:27" ht="15" customHeight="1" x14ac:dyDescent="0.2">
      <c r="A241" s="140" t="s">
        <v>4</v>
      </c>
      <c r="B241" s="140"/>
      <c r="C241" s="140"/>
      <c r="D241" s="140"/>
      <c r="E241" s="140"/>
      <c r="F241" s="191">
        <f>IFERROR(F242-SUM(F239:F240),"NA")</f>
        <v>0</v>
      </c>
      <c r="G241" s="191">
        <f>IFERROR(G242-SUM(G239:G240),"NA")</f>
        <v>0</v>
      </c>
      <c r="H241" s="192" t="str">
        <f>IFERROR(IF(ABS(G241-F241)/ABS(F241)&gt;1000%,"N/M",IF(G241&gt;=F241,ABS(G241-F241)/ABS(F241),-ABS(G241-F241)/ABS(F241))),"N/A")</f>
        <v>N/A</v>
      </c>
      <c r="I241" s="197"/>
      <c r="J241" s="197"/>
      <c r="K241" s="197"/>
      <c r="L241" s="197"/>
      <c r="M241" s="197"/>
      <c r="N241" s="197"/>
      <c r="O241" s="197"/>
      <c r="P241" s="197"/>
      <c r="Q241" s="155" t="s">
        <v>38</v>
      </c>
      <c r="R241" s="155"/>
      <c r="S241" s="155" t="str">
        <f t="shared" si="174"/>
        <v>Other OpEx 
0</v>
      </c>
      <c r="T241" s="155"/>
      <c r="U241" s="155"/>
      <c r="V241" s="155" t="str">
        <f t="shared" si="175"/>
        <v>Other OpEx 
0</v>
      </c>
      <c r="W241" s="155"/>
      <c r="AA241" s="189"/>
    </row>
    <row r="242" spans="1:27" ht="15" customHeight="1" x14ac:dyDescent="0.2">
      <c r="A242" s="158" t="s">
        <v>5</v>
      </c>
      <c r="B242" s="193" t="s">
        <v>11</v>
      </c>
      <c r="C242" s="193"/>
      <c r="D242" s="193"/>
      <c r="E242" s="193"/>
      <c r="F242" s="194">
        <f>IFERROR(IF(NOT(ISNUMBER(_xll.ciqfunctions.udf.CIQ($D$4,$B242, IQ_LTM, F$233, $E$4, , $F$4, $G$4))),"NA",_xll.ciqfunctions.udf.CIQ($D$4,$B242, IQ_LTM, F$233, $E$4, , $F$4, $G$4)),"NA")</f>
        <v>91353</v>
      </c>
      <c r="G242" s="194">
        <f>IFERROR(IF(NOT(ISNUMBER(_xll.ciqfunctions.udf.CIQ($D$4,$B242, IQ_LTM, G$233, $E$4, , $F$4, $G$4))),"NA",_xll.ciqfunctions.udf.CIQ($D$4,$B242, IQ_LTM, G$233, $E$4, , $F$4, $G$4)),"NA")</f>
        <v>117812</v>
      </c>
      <c r="H242" s="195">
        <f t="shared" ref="H242:H244" si="176">IFERROR(IF(ABS(G242-F242)/ABS(F242)&gt;1000%,"N/M",IF(G242&gt;=F242,ABS(G242-F242)/ABS(F242),-ABS(G242-F242)/ABS(F242))),"N/A")</f>
        <v>0.28963471369303689</v>
      </c>
      <c r="I242" s="193"/>
      <c r="J242" s="193"/>
      <c r="K242" s="193"/>
      <c r="L242" s="193"/>
      <c r="M242" s="193"/>
      <c r="N242" s="193"/>
      <c r="O242" s="193"/>
      <c r="P242" s="193"/>
      <c r="Q242" s="155" t="s">
        <v>5</v>
      </c>
      <c r="R242" s="155"/>
      <c r="S242" s="155" t="str">
        <f t="shared" si="174"/>
        <v>Operating Expenses 
91,353</v>
      </c>
      <c r="T242" s="155"/>
      <c r="U242" s="155"/>
      <c r="V242" s="155" t="str">
        <f t="shared" si="175"/>
        <v>Operating Expenses 
117,812</v>
      </c>
      <c r="W242" s="155"/>
    </row>
    <row r="243" spans="1:27" ht="15" customHeight="1" x14ac:dyDescent="0.2">
      <c r="A243" s="140" t="s">
        <v>23</v>
      </c>
      <c r="B243" s="140"/>
      <c r="C243" s="140"/>
      <c r="D243" s="140"/>
      <c r="E243" s="140"/>
      <c r="F243" s="178">
        <f>IFERROR(F235-F236-F242-F244,"NA")</f>
        <v>10850</v>
      </c>
      <c r="G243" s="178">
        <f>IFERROR(G235-G236-G242-G244,"NA")</f>
        <v>12269</v>
      </c>
      <c r="H243" s="192">
        <f t="shared" si="176"/>
        <v>0.13078341013824885</v>
      </c>
      <c r="I243" s="166"/>
      <c r="J243" s="166"/>
      <c r="K243" s="166"/>
      <c r="L243" s="166"/>
      <c r="M243" s="166"/>
      <c r="N243" s="166"/>
      <c r="O243" s="166"/>
      <c r="P243" s="166"/>
      <c r="Q243" s="155" t="s">
        <v>23</v>
      </c>
      <c r="R243" s="155"/>
      <c r="S243" s="155" t="str">
        <f t="shared" si="174"/>
        <v>Taxes and Other 
10,850</v>
      </c>
      <c r="T243" s="155"/>
      <c r="U243" s="155"/>
      <c r="V243" s="155" t="str">
        <f t="shared" si="175"/>
        <v>Taxes and Other 
12,269</v>
      </c>
      <c r="W243" s="155"/>
    </row>
    <row r="244" spans="1:27" ht="15" customHeight="1" x14ac:dyDescent="0.2">
      <c r="A244" s="169" t="s">
        <v>6</v>
      </c>
      <c r="B244" s="193" t="s">
        <v>14</v>
      </c>
      <c r="C244" s="193"/>
      <c r="D244" s="193"/>
      <c r="E244" s="193"/>
      <c r="F244" s="198">
        <f>IFERROR(IF(NOT(ISNUMBER(_xll.ciqfunctions.udf.CIQ($D$4,$B244, IQ_LTM, F$233, $E$4, , $F$4, $G$4))),"NA",_xll.ciqfunctions.udf.CIQ($D$4,$B244, IQ_LTM, F$233, $E$4, , $F$4, $G$4)),"NA")</f>
        <v>16022</v>
      </c>
      <c r="G244" s="198">
        <f>IFERROR(IF(NOT(ISNUMBER(_xll.ciqfunctions.udf.CIQ($D$4,$B244, IQ_LTM, G$233, $E$4, , $F$4, $G$4))),"NA",_xll.ciqfunctions.udf.CIQ($D$4,$B244, IQ_LTM, G$233, $E$4, , $F$4, $G$4)),"NA")</f>
        <v>13673</v>
      </c>
      <c r="H244" s="195">
        <f t="shared" si="176"/>
        <v>-0.1466109099987517</v>
      </c>
      <c r="I244" s="199"/>
      <c r="J244" s="199"/>
      <c r="K244" s="199"/>
      <c r="L244" s="199"/>
      <c r="M244" s="199"/>
      <c r="N244" s="199"/>
      <c r="O244" s="199"/>
      <c r="P244" s="199"/>
      <c r="Q244" s="155" t="s">
        <v>6</v>
      </c>
      <c r="R244" s="155"/>
      <c r="S244" s="155" t="str">
        <f t="shared" si="174"/>
        <v>Net Income 
16,022</v>
      </c>
      <c r="T244" s="155"/>
      <c r="U244" s="155"/>
      <c r="V244" s="155" t="str">
        <f t="shared" si="175"/>
        <v>Net Income 
13,673</v>
      </c>
      <c r="W244" s="155"/>
    </row>
    <row r="245" spans="1:27" ht="15" customHeight="1" x14ac:dyDescent="0.2">
      <c r="F245" s="189"/>
      <c r="G245" s="189"/>
      <c r="H245" s="190"/>
      <c r="Q245" s="155"/>
      <c r="R245" s="155"/>
      <c r="S245" s="155"/>
      <c r="T245" s="155"/>
      <c r="U245" s="155"/>
      <c r="V245" s="155"/>
      <c r="W245" s="155"/>
    </row>
    <row r="246" spans="1:27" ht="15" customHeight="1" x14ac:dyDescent="0.2">
      <c r="F246" s="189"/>
      <c r="G246" s="189"/>
      <c r="H246" s="190"/>
      <c r="Q246" s="155"/>
      <c r="R246" s="155"/>
      <c r="S246" s="155"/>
      <c r="T246" s="155"/>
      <c r="U246" s="155"/>
      <c r="V246" s="155"/>
      <c r="W246" s="155"/>
    </row>
    <row r="247" spans="1:27" ht="15" customHeight="1" x14ac:dyDescent="0.2">
      <c r="A247" s="25" t="s">
        <v>8</v>
      </c>
      <c r="B247" s="25" t="s">
        <v>15</v>
      </c>
      <c r="F247" s="189">
        <f>IFERROR(IF(NOT(ISNUMBER(_xll.ciqfunctions.udf.CIQ($D$4,$B247, IQ_LTM, F$233, $E$4, , $F$4, $G$4))),"NA",_xll.ciqfunctions.udf.CIQ($D$4,$B247, IQ_LTM, F$233, $E$4, , $F$4, $G$4)),"NA")</f>
        <v>6677</v>
      </c>
      <c r="G247" s="189">
        <f>IFERROR(IF(NOT(ISNUMBER(_xll.ciqfunctions.udf.CIQ($D$4,$B247, IQ_LTM, G$233, $E$4, , $F$4, $G$4))),"NA",_xll.ciqfunctions.udf.CIQ($D$4,$B247, IQ_LTM, G$233, $E$4, , $F$4, $G$4)),"NA")</f>
        <v>8280</v>
      </c>
      <c r="H247" s="192">
        <f t="shared" ref="H247:H251" si="177">IFERROR(IF(ABS(G247-F247)/ABS(F247)&gt;1000%,"N/M",IF(G247&gt;=F247,ABS(G247-F247)/ABS(F247),-ABS(G247-F247)/ABS(F247))),"N/A")</f>
        <v>0.240077879287105</v>
      </c>
      <c r="Q247" s="155" t="s">
        <v>356</v>
      </c>
      <c r="R247" s="155"/>
      <c r="S247" s="155" t="str">
        <f>$Q247&amp;" 
" &amp; IF(NOT(ISNUMBER(F247)),"NA", TEXT(F247,"###,0"))</f>
        <v>A/R 
6,677</v>
      </c>
      <c r="T247" s="155"/>
      <c r="U247" s="155"/>
      <c r="V247" s="155" t="str">
        <f>$Q247&amp;" 
" &amp; IF(NOT(ISNUMBER(G247)),"NA", TEXT(G247,"###,0"))</f>
        <v>A/R 
8,280</v>
      </c>
      <c r="W247" s="155"/>
    </row>
    <row r="248" spans="1:27" ht="15" customHeight="1" x14ac:dyDescent="0.2">
      <c r="A248" s="25" t="s">
        <v>17</v>
      </c>
      <c r="B248" s="25" t="s">
        <v>16</v>
      </c>
      <c r="F248" s="179">
        <f>IFERROR(IF(NOT(ISNUMBER(_xll.ciqfunctions.udf.CIQ($D$4,$B248, IQ_LTM, F$233, $E$4, , $F$4, $G$4))),"NA",_xll.ciqfunctions.udf.CIQ($D$4,$B248, IQ_LTM, F$233, $E$4, , $F$4, $G$4)),"NA")</f>
        <v>44858</v>
      </c>
      <c r="G248" s="179">
        <f>IFERROR(IF(NOT(ISNUMBER(_xll.ciqfunctions.udf.CIQ($D$4,$B248, IQ_LTM, G$233, $E$4, , $F$4, $G$4))),"NA",_xll.ciqfunctions.udf.CIQ($D$4,$B248, IQ_LTM, G$233, $E$4, , $F$4, $G$4)),"NA")</f>
        <v>56511</v>
      </c>
      <c r="H248" s="192">
        <f t="shared" si="177"/>
        <v>0.25977529091800794</v>
      </c>
      <c r="Q248" s="155" t="s">
        <v>17</v>
      </c>
      <c r="R248" s="155"/>
      <c r="S248" s="155" t="str">
        <f>$Q248&amp;" 
" &amp; IF(NOT(ISNUMBER(F248)),"NA", TEXT(F248,"###,0"))</f>
        <v>Inventory 
44,858</v>
      </c>
      <c r="T248" s="155"/>
      <c r="U248" s="155"/>
      <c r="V248" s="155" t="str">
        <f>$Q248&amp;" 
" &amp; IF(NOT(ISNUMBER(G248)),"NA", TEXT(G248,"###,0"))</f>
        <v>Inventory 
56,511</v>
      </c>
      <c r="W248" s="155"/>
    </row>
    <row r="249" spans="1:27" ht="15" customHeight="1" x14ac:dyDescent="0.2">
      <c r="A249" s="25" t="s">
        <v>19</v>
      </c>
      <c r="B249" s="25" t="s">
        <v>18</v>
      </c>
      <c r="F249" s="189">
        <f>IFERROR(IF(NOT(ISNUMBER(_xll.ciqfunctions.udf.CIQ($D$4,$B249, IQ_LTM, F$233, $E$4, , $F$4, $G$4))),"NA",_xll.ciqfunctions.udf.CIQ($D$4,$B249, IQ_LTM, F$233, $E$4, , $F$4, $G$4)),"NA")</f>
        <v>117907</v>
      </c>
      <c r="G249" s="189">
        <f>IFERROR(IF(NOT(ISNUMBER(_xll.ciqfunctions.udf.CIQ($D$4,$B249, IQ_LTM, G$233, $E$4, , $F$4, $G$4))),"NA",_xll.ciqfunctions.udf.CIQ($D$4,$B249, IQ_LTM, G$233, $E$4, , $F$4, $G$4)),"NA")</f>
        <v>112624</v>
      </c>
      <c r="H249" s="192">
        <f t="shared" si="177"/>
        <v>-4.4806500038165671E-2</v>
      </c>
      <c r="Q249" s="155" t="s">
        <v>19</v>
      </c>
      <c r="R249" s="155"/>
      <c r="S249" s="155" t="str">
        <f>$Q249&amp;" 
" &amp; IF(NOT(ISNUMBER(F249)),"NA", TEXT(F249,"###,0"))</f>
        <v>Net PP&amp;E 
117,907</v>
      </c>
      <c r="T249" s="155"/>
      <c r="U249" s="155"/>
      <c r="V249" s="155" t="str">
        <f>$Q249&amp;" 
" &amp; IF(NOT(ISNUMBER(G249)),"NA", TEXT(G249,"###,0"))</f>
        <v>Net PP&amp;E 
112,624</v>
      </c>
      <c r="W249" s="155"/>
    </row>
    <row r="250" spans="1:27" ht="15" customHeight="1" x14ac:dyDescent="0.2">
      <c r="A250" s="140" t="s">
        <v>20</v>
      </c>
      <c r="B250" s="140"/>
      <c r="C250" s="140"/>
      <c r="D250" s="140"/>
      <c r="E250" s="140"/>
      <c r="F250" s="191">
        <f>IFERROR(F251-SUM(F247:F249),"NA")</f>
        <v>35309</v>
      </c>
      <c r="G250" s="191">
        <f>IFERROR(G251-SUM(G247:G249),"NA")</f>
        <v>67445</v>
      </c>
      <c r="H250" s="192">
        <f t="shared" si="177"/>
        <v>0.91013622589141574</v>
      </c>
      <c r="I250" s="140"/>
      <c r="J250" s="140"/>
      <c r="K250" s="140"/>
      <c r="L250" s="140"/>
      <c r="M250" s="140"/>
      <c r="N250" s="140"/>
      <c r="O250" s="140"/>
      <c r="P250" s="140"/>
      <c r="Q250" s="155" t="s">
        <v>20</v>
      </c>
      <c r="R250" s="155"/>
      <c r="S250" s="155" t="str">
        <f>$Q250&amp;" 
" &amp; IF(NOT(ISNUMBER(F250)),"NA", TEXT(F250,"###,0"))</f>
        <v>Other Assets 
35,309</v>
      </c>
      <c r="T250" s="155"/>
      <c r="U250" s="155"/>
      <c r="V250" s="155" t="str">
        <f>$Q250&amp;" 
" &amp; IF(NOT(ISNUMBER(G250)),"NA", TEXT(G250,"###,0"))</f>
        <v>Other Assets 
67,445</v>
      </c>
      <c r="W250" s="155"/>
    </row>
    <row r="251" spans="1:27" ht="15" customHeight="1" x14ac:dyDescent="0.2">
      <c r="A251" s="158" t="s">
        <v>22</v>
      </c>
      <c r="B251" s="193" t="s">
        <v>21</v>
      </c>
      <c r="C251" s="193"/>
      <c r="D251" s="193"/>
      <c r="E251" s="193"/>
      <c r="F251" s="194">
        <f>IFERROR(IF(NOT(ISNUMBER(_xll.ciqfunctions.udf.CIQ($D$4,$B251, IQ_LTM, F$233, $E$4, , $F$4, $G$4))),"NA",_xll.ciqfunctions.udf.CIQ($D$4,$B251, IQ_LTM, F$233, $E$4, , $F$4, $G$4)),"NA")</f>
        <v>204751</v>
      </c>
      <c r="G251" s="194">
        <f>IFERROR(IF(NOT(ISNUMBER(_xll.ciqfunctions.udf.CIQ($D$4,$B251, IQ_LTM, G$233, $E$4, , $F$4, $G$4))),"NA",_xll.ciqfunctions.udf.CIQ($D$4,$B251, IQ_LTM, G$233, $E$4, , $F$4, $G$4)),"NA")</f>
        <v>244860</v>
      </c>
      <c r="H251" s="195">
        <f t="shared" si="177"/>
        <v>0.19589159515704441</v>
      </c>
      <c r="I251" s="193"/>
      <c r="J251" s="193"/>
      <c r="K251" s="193"/>
      <c r="L251" s="193"/>
      <c r="M251" s="193"/>
      <c r="N251" s="193"/>
      <c r="O251" s="193"/>
      <c r="P251" s="193"/>
      <c r="Q251" s="155" t="s">
        <v>22</v>
      </c>
      <c r="R251" s="155"/>
      <c r="S251" s="155" t="str">
        <f>$Q251&amp;" 
" &amp; IF(NOT(ISNUMBER(F251)),"NA", TEXT(F251,"###,0"))</f>
        <v>Total Assets 
204,751</v>
      </c>
      <c r="T251" s="155"/>
      <c r="U251" s="155"/>
      <c r="V251" s="155" t="str">
        <f>$Q251&amp;" 
" &amp; IF(NOT(ISNUMBER(G251)),"NA", TEXT(G251,"###,0"))</f>
        <v>Total Assets 
244,860</v>
      </c>
      <c r="W251" s="155"/>
    </row>
    <row r="252" spans="1:27" ht="15" customHeight="1" x14ac:dyDescent="0.2">
      <c r="F252" s="189"/>
      <c r="G252" s="189"/>
      <c r="H252" s="190"/>
      <c r="Q252" s="155"/>
      <c r="R252" s="155"/>
      <c r="S252" s="155"/>
      <c r="T252" s="155"/>
      <c r="U252" s="155"/>
      <c r="V252" s="155"/>
      <c r="W252" s="155"/>
    </row>
    <row r="253" spans="1:27" ht="15" customHeight="1" x14ac:dyDescent="0.2">
      <c r="A253" s="25" t="s">
        <v>25</v>
      </c>
      <c r="B253" s="25" t="s">
        <v>26</v>
      </c>
      <c r="F253" s="189">
        <f>IFERROR(IF(NOT(ISNUMBER(_xll.ciqfunctions.udf.CIQ($D$4,$B253, IQ_LTM, F$233, $E$4, , $F$4, $G$4))),"NA",_xll.ciqfunctions.udf.CIQ($D$4,$B253, IQ_LTM, F$233, $E$4, , $F$4, $G$4)),"NA")</f>
        <v>37415</v>
      </c>
      <c r="G253" s="189">
        <f>IFERROR(IF(NOT(ISNUMBER(_xll.ciqfunctions.udf.CIQ($D$4,$B253, IQ_LTM, G$233, $E$4, , $F$4, $G$4))),"NA",_xll.ciqfunctions.udf.CIQ($D$4,$B253, IQ_LTM, G$233, $E$4, , $F$4, $G$4)),"NA")</f>
        <v>55261</v>
      </c>
      <c r="H253" s="190">
        <f t="shared" ref="H253:H255" si="178">IFERROR(IF(ABS(G253-F253)/ABS(F253)&gt;1000%,"N/M",IF(G253&gt;=F253,ABS(G253-F253)/ABS(F253),-ABS(G253-F253)/ABS(F253))),"N/A")</f>
        <v>0.47697447547774957</v>
      </c>
      <c r="Q253" s="155" t="s">
        <v>357</v>
      </c>
      <c r="R253" s="155"/>
      <c r="S253" s="155" t="str">
        <f>$Q253&amp;" 
" &amp; IF(NOT(ISNUMBER(F253)),"NA", TEXT(F253,"###,0"))</f>
        <v>A/P 
37,415</v>
      </c>
      <c r="T253" s="155"/>
      <c r="U253" s="155"/>
      <c r="V253" s="155" t="str">
        <f>$Q253&amp;" 
" &amp; IF(NOT(ISNUMBER(G253)),"NA", TEXT(G253,"###,0"))</f>
        <v>A/P 
55,261</v>
      </c>
      <c r="W253" s="155"/>
    </row>
    <row r="254" spans="1:27" ht="15" customHeight="1" x14ac:dyDescent="0.2">
      <c r="A254" s="140" t="s">
        <v>29</v>
      </c>
      <c r="B254" s="140"/>
      <c r="C254" s="140"/>
      <c r="D254" s="140"/>
      <c r="E254" s="140"/>
      <c r="F254" s="191">
        <f>IFERROR(F255-F253,"NA")</f>
        <v>31930</v>
      </c>
      <c r="G254" s="191">
        <f>IFERROR(G255-G253,"NA")</f>
        <v>32118</v>
      </c>
      <c r="H254" s="192">
        <f t="shared" si="178"/>
        <v>5.8878797369245226E-3</v>
      </c>
      <c r="I254" s="140"/>
      <c r="J254" s="140"/>
      <c r="K254" s="140"/>
      <c r="L254" s="140"/>
      <c r="M254" s="140"/>
      <c r="N254" s="140"/>
      <c r="O254" s="140"/>
      <c r="P254" s="140"/>
      <c r="Q254" s="155" t="s">
        <v>358</v>
      </c>
      <c r="R254" s="155"/>
      <c r="S254" s="155" t="str">
        <f>$Q254&amp;" 
" &amp; IF(NOT(ISNUMBER(F254)),"NA", TEXT(F254,"###,0"))</f>
        <v>Other Currrent Liab. 
31,930</v>
      </c>
      <c r="T254" s="155"/>
      <c r="U254" s="155"/>
      <c r="V254" s="155" t="str">
        <f>$Q254&amp;" 
" &amp; IF(NOT(ISNUMBER(G254)),"NA", TEXT(G254,"###,0"))</f>
        <v>Other Currrent Liab. 
32,118</v>
      </c>
      <c r="W254" s="155"/>
    </row>
    <row r="255" spans="1:27" ht="15" customHeight="1" x14ac:dyDescent="0.2">
      <c r="A255" s="193" t="s">
        <v>27</v>
      </c>
      <c r="B255" s="193" t="s">
        <v>28</v>
      </c>
      <c r="C255" s="193"/>
      <c r="D255" s="193"/>
      <c r="E255" s="193"/>
      <c r="F255" s="194">
        <f>IFERROR(IF(NOT(ISNUMBER(_xll.ciqfunctions.udf.CIQ($D$4,$B255, IQ_LTM, F$233, $E$4, , $F$4, $G$4))),"NA",_xll.ciqfunctions.udf.CIQ($D$4,$B255, IQ_LTM, F$233, $E$4, , $F$4, $G$4)),"NA")</f>
        <v>69345</v>
      </c>
      <c r="G255" s="194">
        <f>IFERROR(IF(NOT(ISNUMBER(_xll.ciqfunctions.udf.CIQ($D$4,$B255, IQ_LTM, G$233, $E$4, , $F$4, $G$4))),"NA",_xll.ciqfunctions.udf.CIQ($D$4,$B255, IQ_LTM, G$233, $E$4, , $F$4, $G$4)),"NA")</f>
        <v>87379</v>
      </c>
      <c r="H255" s="195">
        <f t="shared" si="178"/>
        <v>0.26006200879659674</v>
      </c>
      <c r="I255" s="193"/>
      <c r="J255" s="193"/>
      <c r="K255" s="193"/>
      <c r="L255" s="193"/>
      <c r="M255" s="193"/>
      <c r="N255" s="193"/>
      <c r="O255" s="193"/>
      <c r="P255" s="193"/>
      <c r="Q255" s="155" t="s">
        <v>359</v>
      </c>
      <c r="R255" s="155"/>
      <c r="S255" s="155" t="str">
        <f>$Q255&amp;" 
" &amp; IF(NOT(ISNUMBER(F255)),"NA", TEXT(F255,"###,0"))</f>
        <v>Total Current Liab.  
69,345</v>
      </c>
      <c r="T255" s="155"/>
      <c r="U255" s="155"/>
      <c r="V255" s="155" t="str">
        <f>$Q255&amp;" 
" &amp; IF(NOT(ISNUMBER(G255)),"NA", TEXT(G255,"###,0"))</f>
        <v>Total Current Liab.  
87,379</v>
      </c>
      <c r="W255" s="155"/>
    </row>
    <row r="256" spans="1:27" ht="15" customHeight="1" x14ac:dyDescent="0.2">
      <c r="F256" s="163"/>
      <c r="G256" s="163"/>
      <c r="H256" s="200"/>
      <c r="Q256" s="155"/>
      <c r="R256" s="155"/>
      <c r="S256" s="155"/>
      <c r="T256" s="155"/>
      <c r="U256" s="155"/>
      <c r="V256" s="155"/>
      <c r="W256" s="155"/>
    </row>
    <row r="257" spans="1:23" ht="15" customHeight="1" x14ac:dyDescent="0.2">
      <c r="A257" s="24" t="s">
        <v>32</v>
      </c>
      <c r="B257" s="24"/>
      <c r="F257" s="201">
        <f>IFERROR(F251-F255,"NA")</f>
        <v>135406</v>
      </c>
      <c r="G257" s="201">
        <f>IFERROR(G251-G255,"NA")</f>
        <v>157481</v>
      </c>
      <c r="H257" s="202">
        <f>IFERROR(IF(ABS(G257-F257)/ABS(F257)&gt;1000%,"N/M",IF(G257&gt;=F257,ABS(G257-F257)/ABS(F257),-ABS(G257-F257)/ABS(F257))),"N/A")</f>
        <v>0.16302822622335791</v>
      </c>
      <c r="Q257" s="155" t="s">
        <v>360</v>
      </c>
      <c r="R257" s="155"/>
      <c r="S257" s="155" t="str">
        <f>$Q257&amp;" 
" &amp; IF(NOT(ISNUMBER(F257)),"NA", TEXT(F257,"###,0"))</f>
        <v>Capital Employed 
135,406</v>
      </c>
      <c r="T257" s="155"/>
      <c r="U257" s="155"/>
      <c r="V257" s="155" t="str">
        <f>$Q257&amp;" 
" &amp; IF(NOT(ISNUMBER(G257)),"NA", TEXT(G257,"###,0"))</f>
        <v>Capital Employed 
157,481</v>
      </c>
      <c r="W257" s="155"/>
    </row>
    <row r="258" spans="1:23" ht="15" customHeight="1" x14ac:dyDescent="0.2">
      <c r="H258" s="200"/>
      <c r="Q258" s="155"/>
      <c r="R258" s="155"/>
      <c r="S258" s="155" t="str">
        <f t="shared" ref="S258" si="179">$Q258&amp;" 
"&amp;TEXT(F258,"###,#")</f>
        <v xml:space="preserve"> 
</v>
      </c>
      <c r="T258" s="155"/>
      <c r="U258" s="155"/>
      <c r="V258" s="155"/>
      <c r="W258" s="155"/>
    </row>
    <row r="259" spans="1:23" ht="15" customHeight="1" x14ac:dyDescent="0.2">
      <c r="A259" s="24" t="s">
        <v>31</v>
      </c>
      <c r="B259" s="24"/>
      <c r="F259" s="174">
        <f>IFERROR(F244/F257,"NA")</f>
        <v>0.11832562811101428</v>
      </c>
      <c r="G259" s="174">
        <f>IFERROR(G244/G257,"NA")</f>
        <v>8.6823172319200406E-2</v>
      </c>
      <c r="H259" s="203">
        <f>IFERROR(IF(ABS(G259-F259)/ABS(F259)&gt;1000%,"N/M",IF(G259&gt;=F259,ABS(G259-F259)/ABS(F259),-ABS(G259-F259)/ABS(F259))),"N/A")</f>
        <v>-0.26623527206006425</v>
      </c>
      <c r="I259" s="24"/>
      <c r="Q259" s="155" t="s">
        <v>196</v>
      </c>
      <c r="R259" s="155"/>
      <c r="S259" s="155" t="str">
        <f>$Q259&amp;" 
" &amp; IF(NOT(ISNUMBER(F259)),"NA", TEXT(F259,"0.00%"))</f>
        <v>ROCE 
11.83%</v>
      </c>
      <c r="T259" s="155"/>
      <c r="U259" s="155"/>
      <c r="V259" s="155" t="str">
        <f>$Q259&amp;" 
" &amp; IF(NOT(ISNUMBER(G259)),"NA", TEXT(G259,"0.00%"))</f>
        <v>ROCE 
8.68%</v>
      </c>
      <c r="W259" s="155"/>
    </row>
    <row r="260" spans="1:23" ht="15" customHeight="1" x14ac:dyDescent="0.2"/>
    <row r="261" spans="1:23" ht="15" customHeight="1" x14ac:dyDescent="0.2"/>
    <row r="262" spans="1:23" ht="15" customHeight="1" x14ac:dyDescent="0.2"/>
    <row r="263" spans="1:23" ht="15" customHeight="1" x14ac:dyDescent="0.2"/>
    <row r="264" spans="1:23" ht="15" customHeight="1" x14ac:dyDescent="0.2"/>
    <row r="265" spans="1:23" ht="15" customHeight="1" x14ac:dyDescent="0.2"/>
  </sheetData>
  <conditionalFormatting sqref="H235 H237:H255 H257 H259">
    <cfRule type="cellIs" dxfId="268" priority="3" operator="lessThan">
      <formula>0</formula>
    </cfRule>
    <cfRule type="cellIs" dxfId="267" priority="4" operator="greaterThan">
      <formula>0</formula>
    </cfRule>
  </conditionalFormatting>
  <conditionalFormatting sqref="H247:H251 H257 H239:H243 H236">
    <cfRule type="cellIs" dxfId="266" priority="1" operator="lessThan">
      <formula>0</formula>
    </cfRule>
    <cfRule type="cellIs" dxfId="265" priority="2" operator="greaterThan">
      <formula>0</formula>
    </cfRule>
  </conditionalFormatting>
  <pageMargins left="0.7" right="0.7" top="0.75" bottom="0.75" header="0.3" footer="0.3"/>
  <pageSetup orientation="portrait" horizontalDpi="1200" verticalDpi="1200" r:id="rId1"/>
  <ignoredErrors>
    <ignoredError sqref="C27:K27 L27:W27 C34:W34 C37:W37 E155:K155 D155 L155:W155 G243 F243" 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tabColor theme="0" tint="-0.499984740745262"/>
  </sheetPr>
  <dimension ref="A1:XDP57"/>
  <sheetViews>
    <sheetView showGridLines="0" workbookViewId="0">
      <selection activeCell="D15" sqref="D15"/>
    </sheetView>
  </sheetViews>
  <sheetFormatPr defaultColWidth="9" defaultRowHeight="12.75" outlineLevelRow="1" x14ac:dyDescent="0.2"/>
  <cols>
    <col min="1" max="1" width="33.25" style="25" customWidth="1"/>
    <col min="2" max="2" width="15.25" style="25" customWidth="1"/>
    <col min="3" max="3" width="16.125" style="25" bestFit="1" customWidth="1"/>
    <col min="4" max="4" width="25.5" style="25" customWidth="1"/>
    <col min="5" max="8" width="10.625" style="25" customWidth="1"/>
    <col min="9" max="9" width="11.25" style="25" customWidth="1"/>
    <col min="10" max="13" width="10.625" style="25" customWidth="1"/>
    <col min="14" max="14" width="14.625" style="25" customWidth="1"/>
    <col min="15" max="20" width="10.625" style="25" customWidth="1"/>
    <col min="21" max="21" width="10.25" style="25" customWidth="1"/>
    <col min="22" max="24" width="10.625" style="25" customWidth="1"/>
    <col min="25" max="26" width="10.625" style="48" customWidth="1"/>
    <col min="27" max="28" width="11.75" style="48" customWidth="1"/>
    <col min="29" max="29" width="10.625" style="25" customWidth="1"/>
    <col min="30" max="30" width="10.25" style="25" customWidth="1"/>
    <col min="31" max="36" width="9" style="25" customWidth="1"/>
    <col min="37" max="50" width="9" style="25" hidden="1" customWidth="1"/>
    <col min="51" max="52" width="9" style="25" customWidth="1"/>
    <col min="53" max="53" width="10.625" style="25" customWidth="1"/>
    <col min="54" max="54" width="9" style="25" customWidth="1"/>
    <col min="55" max="56" width="9.75" style="25" customWidth="1"/>
    <col min="57" max="57" width="9" style="25" hidden="1" customWidth="1"/>
    <col min="58" max="58" width="10.25" style="25" hidden="1" customWidth="1"/>
    <col min="59" max="70" width="9" style="25" hidden="1" customWidth="1"/>
    <col min="71" max="76" width="9.75" style="25" customWidth="1"/>
    <col min="77" max="78" width="9.75" style="25" hidden="1" customWidth="1"/>
    <col min="79" max="90" width="9" style="25" hidden="1" customWidth="1"/>
    <col min="91" max="91" width="10.25" style="25" customWidth="1"/>
    <col min="92" max="96" width="9" style="25" customWidth="1"/>
    <col min="97" max="110" width="9" style="25" hidden="1" customWidth="1"/>
    <col min="111" max="116" width="9" style="25" customWidth="1"/>
    <col min="117" max="130" width="9" style="25" hidden="1" customWidth="1"/>
    <col min="131" max="131" width="11.625" style="25" customWidth="1"/>
    <col min="132" max="136" width="9" style="25" customWidth="1"/>
    <col min="137" max="150" width="9" style="25" hidden="1" customWidth="1"/>
    <col min="151" max="156" width="9" style="25" customWidth="1"/>
    <col min="157" max="170" width="9" style="25" hidden="1" customWidth="1"/>
    <col min="171" max="176" width="9" style="25" customWidth="1"/>
    <col min="177" max="190" width="9" style="25" hidden="1" customWidth="1"/>
    <col min="191" max="196" width="9" style="25" customWidth="1"/>
    <col min="197" max="210" width="9" style="25" hidden="1" customWidth="1"/>
    <col min="211" max="216" width="9" style="25" customWidth="1"/>
    <col min="217" max="230" width="9" style="25" hidden="1" customWidth="1"/>
    <col min="231" max="231" width="9" style="25" customWidth="1"/>
    <col min="232" max="232" width="10.625" style="25" customWidth="1"/>
    <col min="233" max="236" width="9" style="25" customWidth="1"/>
    <col min="237" max="237" width="9" style="25" hidden="1" customWidth="1"/>
    <col min="238" max="238" width="9.25" style="25" hidden="1" customWidth="1"/>
    <col min="239" max="250" width="9" style="25" hidden="1" customWidth="1"/>
    <col min="251" max="256" width="10.625" style="25" customWidth="1"/>
    <col min="257" max="258" width="10.625" style="25" hidden="1" customWidth="1"/>
    <col min="259" max="270" width="9" style="25" hidden="1" customWidth="1"/>
    <col min="271" max="276" width="9" style="25" customWidth="1"/>
    <col min="277" max="290" width="9" style="25" hidden="1" customWidth="1"/>
    <col min="291" max="296" width="10.625" style="25" customWidth="1"/>
    <col min="297" max="298" width="10.625" style="25" hidden="1" customWidth="1"/>
    <col min="299" max="310" width="9" style="25" hidden="1" customWidth="1"/>
    <col min="311" max="316" width="9" style="25" customWidth="1"/>
    <col min="317" max="330" width="9" style="25" hidden="1" customWidth="1"/>
    <col min="331" max="336" width="10.25" style="25" customWidth="1"/>
    <col min="337" max="338" width="10.25" style="25" hidden="1" customWidth="1"/>
    <col min="339" max="350" width="9" style="25" hidden="1" customWidth="1"/>
    <col min="351" max="356" width="10.25" style="48" customWidth="1"/>
    <col min="357" max="358" width="10.25" style="48" hidden="1" customWidth="1"/>
    <col min="359" max="370" width="9" style="48" hidden="1" customWidth="1"/>
    <col min="371" max="376" width="9" style="25" customWidth="1"/>
    <col min="377" max="390" width="9" style="25" hidden="1" customWidth="1"/>
    <col min="391" max="396" width="9" style="48" customWidth="1"/>
    <col min="397" max="410" width="9" style="48" hidden="1" customWidth="1"/>
    <col min="411" max="416" width="9" style="48" customWidth="1"/>
    <col min="417" max="430" width="9" style="48" hidden="1" customWidth="1"/>
    <col min="431" max="431" width="10.25" style="48" customWidth="1"/>
    <col min="432" max="434" width="10.75" style="48" customWidth="1"/>
    <col min="435" max="436" width="10" style="48" customWidth="1"/>
    <col min="437" max="438" width="10" style="48" hidden="1" customWidth="1"/>
    <col min="439" max="450" width="9" style="48" hidden="1" customWidth="1"/>
    <col min="451" max="451" width="10.25" style="48" customWidth="1"/>
    <col min="452" max="454" width="10.75" style="48" customWidth="1"/>
    <col min="455" max="456" width="10" style="48" customWidth="1"/>
    <col min="457" max="458" width="10" style="48" hidden="1" customWidth="1"/>
    <col min="459" max="470" width="9" style="48" hidden="1" customWidth="1"/>
    <col min="471" max="474" width="11" style="48" customWidth="1"/>
    <col min="475" max="476" width="10" style="48" customWidth="1"/>
    <col min="477" max="478" width="10" style="48" hidden="1" customWidth="1"/>
    <col min="479" max="490" width="9" style="48" hidden="1" customWidth="1"/>
    <col min="491" max="491" width="10.25" style="48" customWidth="1"/>
    <col min="492" max="494" width="10.75" style="48" customWidth="1"/>
    <col min="495" max="496" width="10" style="48" customWidth="1"/>
    <col min="497" max="498" width="10" style="48" hidden="1" customWidth="1"/>
    <col min="499" max="510" width="9" style="48" hidden="1" customWidth="1"/>
    <col min="511" max="511" width="10.25" style="48" customWidth="1"/>
    <col min="512" max="514" width="10.75" style="48" customWidth="1"/>
    <col min="515" max="516" width="10" style="48" customWidth="1"/>
    <col min="517" max="518" width="10" style="48" hidden="1" customWidth="1"/>
    <col min="519" max="530" width="9" style="48" hidden="1" customWidth="1"/>
    <col min="531" max="531" width="10.25" style="48" customWidth="1"/>
    <col min="532" max="534" width="10.75" style="48" customWidth="1"/>
    <col min="535" max="536" width="10" style="48" customWidth="1"/>
    <col min="537" max="538" width="10" style="48" hidden="1" customWidth="1"/>
    <col min="539" max="550" width="9" style="48" hidden="1" customWidth="1"/>
    <col min="551" max="556" width="9" style="48" customWidth="1"/>
    <col min="557" max="570" width="9" style="48" hidden="1" customWidth="1"/>
    <col min="571" max="16384" width="9" style="25"/>
  </cols>
  <sheetData>
    <row r="1" spans="1:570" ht="20.100000000000001" customHeight="1" x14ac:dyDescent="0.2">
      <c r="A1" s="441" t="s">
        <v>411</v>
      </c>
      <c r="B1" s="909"/>
      <c r="C1" s="909"/>
      <c r="D1" s="909"/>
      <c r="E1" s="909"/>
      <c r="F1" s="910"/>
      <c r="G1" s="911"/>
      <c r="H1" s="909"/>
      <c r="I1" s="912"/>
      <c r="J1" s="912"/>
      <c r="K1" s="912"/>
      <c r="L1" s="912"/>
      <c r="M1" s="912"/>
      <c r="N1" s="912"/>
      <c r="O1" s="912"/>
      <c r="P1" s="912"/>
      <c r="Q1" s="912"/>
      <c r="R1" s="912"/>
      <c r="S1" s="912"/>
      <c r="T1" s="912"/>
      <c r="U1" s="912"/>
      <c r="V1" s="912"/>
      <c r="W1" s="912"/>
      <c r="X1" s="912"/>
      <c r="Y1" s="912"/>
      <c r="Z1" s="912"/>
      <c r="AA1" s="912"/>
      <c r="AB1" s="912"/>
      <c r="AC1" s="912"/>
      <c r="AE1" s="161" t="s">
        <v>189</v>
      </c>
      <c r="TK1" s="48" t="str">
        <f t="shared" ref="TK1:UD1" si="0">IF(TimePeriodType="Quarter",MID(TK3,3,1),"")</f>
        <v/>
      </c>
      <c r="TL1" s="48" t="str">
        <f t="shared" si="0"/>
        <v/>
      </c>
      <c r="TM1" s="48" t="str">
        <f t="shared" si="0"/>
        <v/>
      </c>
      <c r="TN1" s="48" t="str">
        <f t="shared" si="0"/>
        <v/>
      </c>
      <c r="TO1" s="48" t="str">
        <f t="shared" si="0"/>
        <v/>
      </c>
      <c r="TP1" s="48" t="str">
        <f t="shared" si="0"/>
        <v/>
      </c>
      <c r="TQ1" s="48" t="str">
        <f t="shared" si="0"/>
        <v/>
      </c>
      <c r="TR1" s="48" t="str">
        <f t="shared" si="0"/>
        <v/>
      </c>
      <c r="TS1" s="48" t="str">
        <f t="shared" si="0"/>
        <v/>
      </c>
      <c r="TT1" s="48" t="str">
        <f t="shared" si="0"/>
        <v/>
      </c>
      <c r="TU1" s="48" t="str">
        <f t="shared" si="0"/>
        <v/>
      </c>
      <c r="TV1" s="48" t="str">
        <f t="shared" si="0"/>
        <v/>
      </c>
      <c r="TW1" s="48" t="str">
        <f t="shared" si="0"/>
        <v/>
      </c>
      <c r="TX1" s="48" t="str">
        <f t="shared" si="0"/>
        <v/>
      </c>
      <c r="TY1" s="48" t="str">
        <f t="shared" si="0"/>
        <v/>
      </c>
      <c r="TZ1" s="48" t="str">
        <f t="shared" si="0"/>
        <v/>
      </c>
      <c r="UA1" s="48" t="str">
        <f t="shared" si="0"/>
        <v/>
      </c>
      <c r="UB1" s="48" t="str">
        <f t="shared" si="0"/>
        <v/>
      </c>
      <c r="UC1" s="48" t="str">
        <f t="shared" si="0"/>
        <v/>
      </c>
      <c r="UD1" s="48" t="str">
        <f t="shared" si="0"/>
        <v/>
      </c>
    </row>
    <row r="2" spans="1:570" s="161" customFormat="1" outlineLevel="1" x14ac:dyDescent="0.2">
      <c r="A2" s="142"/>
      <c r="B2" s="142"/>
      <c r="C2" s="142"/>
      <c r="D2" s="142"/>
      <c r="E2" s="142"/>
      <c r="F2" s="21"/>
      <c r="G2" s="234" t="s">
        <v>367</v>
      </c>
      <c r="H2" s="153" t="s">
        <v>370</v>
      </c>
      <c r="I2" s="161" t="s">
        <v>189</v>
      </c>
      <c r="J2" s="161" t="s">
        <v>408</v>
      </c>
      <c r="K2" s="160"/>
      <c r="L2" s="160"/>
      <c r="M2" s="1031"/>
      <c r="N2" s="160"/>
      <c r="O2" s="160"/>
      <c r="P2" s="160"/>
      <c r="Q2" s="160"/>
      <c r="AD2" s="19"/>
      <c r="AE2" s="46">
        <v>0</v>
      </c>
      <c r="AF2" s="46">
        <f t="shared" ref="AF2" si="1">AE2+1</f>
        <v>1</v>
      </c>
      <c r="AG2" s="46">
        <f t="shared" ref="AG2" si="2">AF2+1</f>
        <v>2</v>
      </c>
      <c r="AH2" s="46">
        <f t="shared" ref="AH2" si="3">AG2+1</f>
        <v>3</v>
      </c>
      <c r="AI2" s="46">
        <f t="shared" ref="AI2" si="4">AH2+1</f>
        <v>4</v>
      </c>
      <c r="AJ2" s="46">
        <f t="shared" ref="AJ2" si="5">AI2+1</f>
        <v>5</v>
      </c>
      <c r="AK2" s="46">
        <f t="shared" ref="AK2" si="6">AJ2+1</f>
        <v>6</v>
      </c>
      <c r="AL2" s="46">
        <f t="shared" ref="AL2" si="7">AK2+1</f>
        <v>7</v>
      </c>
      <c r="AM2" s="46">
        <f t="shared" ref="AM2" si="8">AL2+1</f>
        <v>8</v>
      </c>
      <c r="AN2" s="46">
        <f t="shared" ref="AN2" si="9">AM2+1</f>
        <v>9</v>
      </c>
      <c r="AO2" s="46">
        <f t="shared" ref="AO2" si="10">AN2+1</f>
        <v>10</v>
      </c>
      <c r="AP2" s="46">
        <f t="shared" ref="AP2" si="11">AO2+1</f>
        <v>11</v>
      </c>
      <c r="AQ2" s="46">
        <f t="shared" ref="AQ2" si="12">AP2+1</f>
        <v>12</v>
      </c>
      <c r="AR2" s="46">
        <f t="shared" ref="AR2" si="13">AQ2+1</f>
        <v>13</v>
      </c>
      <c r="AS2" s="46">
        <f t="shared" ref="AS2" si="14">AR2+1</f>
        <v>14</v>
      </c>
      <c r="AT2" s="46">
        <f t="shared" ref="AT2" si="15">AS2+1</f>
        <v>15</v>
      </c>
      <c r="AU2" s="46">
        <f t="shared" ref="AU2" si="16">AT2+1</f>
        <v>16</v>
      </c>
      <c r="AV2" s="46">
        <f t="shared" ref="AV2" si="17">AU2+1</f>
        <v>17</v>
      </c>
      <c r="AW2" s="46">
        <f t="shared" ref="AW2" si="18">AV2+1</f>
        <v>18</v>
      </c>
      <c r="AX2" s="46">
        <f t="shared" ref="AX2" si="19">AW2+1</f>
        <v>19</v>
      </c>
      <c r="BW2" s="223"/>
      <c r="PO2" s="235">
        <f t="shared" ref="PO2:QH2" si="20">IFERROR(IF(PO3="","",EDATE(IF(TimePeriodType="Annual",DATE(MID(PO3,3,4),12,31),PO4),-12)),"")</f>
        <v>44196</v>
      </c>
      <c r="PP2" s="235" t="str">
        <f t="shared" si="20"/>
        <v/>
      </c>
      <c r="PQ2" s="235" t="str">
        <f t="shared" si="20"/>
        <v/>
      </c>
      <c r="PR2" s="235" t="str">
        <f t="shared" si="20"/>
        <v/>
      </c>
      <c r="PS2" s="235" t="str">
        <f t="shared" si="20"/>
        <v/>
      </c>
      <c r="PT2" s="235" t="str">
        <f t="shared" si="20"/>
        <v/>
      </c>
      <c r="PU2" s="235" t="str">
        <f t="shared" si="20"/>
        <v/>
      </c>
      <c r="PV2" s="235" t="str">
        <f t="shared" si="20"/>
        <v/>
      </c>
      <c r="PW2" s="235" t="str">
        <f t="shared" si="20"/>
        <v/>
      </c>
      <c r="PX2" s="235" t="str">
        <f t="shared" si="20"/>
        <v/>
      </c>
      <c r="PY2" s="235" t="str">
        <f t="shared" si="20"/>
        <v/>
      </c>
      <c r="PZ2" s="235" t="str">
        <f t="shared" si="20"/>
        <v/>
      </c>
      <c r="QA2" s="235" t="str">
        <f t="shared" si="20"/>
        <v/>
      </c>
      <c r="QB2" s="235" t="str">
        <f t="shared" si="20"/>
        <v/>
      </c>
      <c r="QC2" s="235" t="str">
        <f t="shared" si="20"/>
        <v/>
      </c>
      <c r="QD2" s="235" t="str">
        <f t="shared" si="20"/>
        <v/>
      </c>
      <c r="QE2" s="235" t="str">
        <f t="shared" si="20"/>
        <v/>
      </c>
      <c r="QF2" s="235" t="str">
        <f t="shared" si="20"/>
        <v/>
      </c>
      <c r="QG2" s="235" t="str">
        <f t="shared" si="20"/>
        <v/>
      </c>
      <c r="QH2" s="235" t="str">
        <f t="shared" si="20"/>
        <v/>
      </c>
      <c r="QI2" s="235"/>
      <c r="QJ2" s="235"/>
      <c r="QK2" s="235"/>
      <c r="QL2" s="235"/>
      <c r="QM2" s="235"/>
      <c r="QN2" s="235"/>
      <c r="QO2" s="235"/>
      <c r="QP2" s="235"/>
      <c r="QQ2" s="235"/>
      <c r="QR2" s="235"/>
      <c r="QS2" s="235"/>
      <c r="QT2" s="235"/>
      <c r="QU2" s="235"/>
      <c r="QV2" s="235"/>
      <c r="QW2" s="235"/>
      <c r="QX2" s="235"/>
      <c r="QY2" s="235"/>
      <c r="QZ2" s="235"/>
      <c r="RA2" s="235"/>
      <c r="RB2" s="235"/>
      <c r="RC2" s="46"/>
      <c r="RD2" s="46"/>
      <c r="RE2" s="46"/>
      <c r="RF2" s="46"/>
      <c r="RG2" s="46"/>
      <c r="RH2" s="46"/>
      <c r="RI2" s="46"/>
      <c r="RJ2" s="46"/>
      <c r="RK2" s="46"/>
      <c r="RL2" s="46"/>
      <c r="RM2" s="46"/>
      <c r="RN2" s="46"/>
      <c r="RO2" s="46"/>
      <c r="RP2" s="46"/>
      <c r="RQ2" s="46"/>
      <c r="RR2" s="46"/>
      <c r="RS2" s="46"/>
      <c r="RT2" s="46"/>
      <c r="RU2" s="46"/>
      <c r="RV2" s="46"/>
      <c r="RW2" s="235"/>
      <c r="RX2" s="235"/>
      <c r="RY2" s="235"/>
      <c r="RZ2" s="235"/>
      <c r="SA2" s="235"/>
      <c r="SB2" s="235"/>
      <c r="SC2" s="235"/>
      <c r="SD2" s="235"/>
      <c r="SE2" s="235"/>
      <c r="SF2" s="235"/>
      <c r="SG2" s="235"/>
      <c r="SH2" s="235"/>
      <c r="SI2" s="235"/>
      <c r="SJ2" s="235"/>
      <c r="SK2" s="235"/>
      <c r="SL2" s="235"/>
      <c r="SM2" s="235"/>
      <c r="SN2" s="235"/>
      <c r="SO2" s="235"/>
      <c r="SP2" s="235"/>
      <c r="SQ2" s="235"/>
      <c r="SR2" s="235"/>
      <c r="SS2" s="235"/>
      <c r="ST2" s="235"/>
      <c r="SU2" s="235"/>
      <c r="SV2" s="235"/>
      <c r="SW2" s="235"/>
      <c r="SX2" s="235"/>
      <c r="SY2" s="235"/>
      <c r="SZ2" s="235"/>
      <c r="TA2" s="235"/>
      <c r="TB2" s="235"/>
      <c r="TC2" s="235"/>
      <c r="TD2" s="235"/>
      <c r="TE2" s="235"/>
      <c r="TF2" s="235"/>
      <c r="TG2" s="235"/>
      <c r="TH2" s="235"/>
      <c r="TI2" s="235"/>
      <c r="TJ2" s="235"/>
      <c r="TK2" s="235" t="str">
        <f>RIGHT(TK3,4)</f>
        <v>2021</v>
      </c>
      <c r="TL2" s="235" t="str">
        <f t="shared" ref="TL2:TR2" si="21">RIGHT(TL3,4)</f>
        <v/>
      </c>
      <c r="TM2" s="235" t="str">
        <f t="shared" si="21"/>
        <v/>
      </c>
      <c r="TN2" s="235" t="str">
        <f t="shared" si="21"/>
        <v/>
      </c>
      <c r="TO2" s="235" t="str">
        <f t="shared" si="21"/>
        <v/>
      </c>
      <c r="TP2" s="235" t="str">
        <f t="shared" si="21"/>
        <v/>
      </c>
      <c r="TQ2" s="235" t="str">
        <f t="shared" si="21"/>
        <v/>
      </c>
      <c r="TR2" s="235" t="str">
        <f t="shared" si="21"/>
        <v/>
      </c>
      <c r="TS2" s="235" t="str">
        <f t="shared" ref="TS2" si="22">RIGHT(TS3,4)</f>
        <v/>
      </c>
      <c r="TT2" s="235" t="str">
        <f t="shared" ref="TT2" si="23">RIGHT(TT3,4)</f>
        <v/>
      </c>
      <c r="TU2" s="235" t="str">
        <f t="shared" ref="TU2" si="24">RIGHT(TU3,4)</f>
        <v/>
      </c>
      <c r="TV2" s="235" t="str">
        <f t="shared" ref="TV2" si="25">RIGHT(TV3,4)</f>
        <v/>
      </c>
      <c r="TW2" s="235" t="str">
        <f t="shared" ref="TW2" si="26">RIGHT(TW3,4)</f>
        <v/>
      </c>
      <c r="TX2" s="235" t="str">
        <f t="shared" ref="TX2" si="27">RIGHT(TX3,4)</f>
        <v/>
      </c>
      <c r="TY2" s="235" t="str">
        <f t="shared" ref="TY2" si="28">RIGHT(TY3,4)</f>
        <v/>
      </c>
      <c r="TZ2" s="235" t="str">
        <f t="shared" ref="TZ2" si="29">RIGHT(TZ3,4)</f>
        <v/>
      </c>
      <c r="UA2" s="235" t="str">
        <f t="shared" ref="UA2" si="30">RIGHT(UA3,4)</f>
        <v/>
      </c>
      <c r="UB2" s="235" t="str">
        <f t="shared" ref="UB2" si="31">RIGHT(UB3,4)</f>
        <v/>
      </c>
      <c r="UC2" s="235" t="str">
        <f t="shared" ref="UC2" si="32">RIGHT(UC3,4)</f>
        <v/>
      </c>
      <c r="UD2" s="235" t="str">
        <f t="shared" ref="UD2" si="33">RIGHT(UD3,4)</f>
        <v/>
      </c>
    </row>
    <row r="3" spans="1:570" s="48" customFormat="1" outlineLevel="1" x14ac:dyDescent="0.2">
      <c r="A3" s="226" t="s">
        <v>82</v>
      </c>
      <c r="B3" s="153">
        <f>COUNTA(B7:B17)-COUNTBLANK(B7:B17)</f>
        <v>2</v>
      </c>
      <c r="C3" s="153" t="str">
        <f>ADDRESS(ROW(SummaryPeers),COLUMN(SummaryPeers))&amp;":"&amp;ADDRESS(ROW(SummaryPeers)+NumberOfPeers+1,COLUMN(L5))</f>
        <v>$B$5:$L$7</v>
      </c>
      <c r="D3" s="51" t="s">
        <v>74</v>
      </c>
      <c r="E3" s="44">
        <f>Input!C8</f>
        <v>44645</v>
      </c>
      <c r="F3" s="212"/>
      <c r="G3" s="48" t="str">
        <f>Input!$C$6</f>
        <v>USD</v>
      </c>
      <c r="H3" s="47" t="s">
        <v>372</v>
      </c>
      <c r="I3" s="49" t="s">
        <v>406</v>
      </c>
      <c r="J3" s="236" t="s">
        <v>371</v>
      </c>
      <c r="K3" s="49"/>
      <c r="L3" s="49"/>
      <c r="M3" s="49"/>
      <c r="N3" s="49"/>
      <c r="O3" s="49"/>
      <c r="P3" s="49"/>
      <c r="Q3" s="49"/>
      <c r="R3" s="49"/>
      <c r="S3" s="49"/>
      <c r="T3" s="49"/>
      <c r="V3" s="58"/>
      <c r="W3" s="49"/>
      <c r="X3" s="49"/>
      <c r="Y3" s="49"/>
      <c r="Z3" s="49"/>
      <c r="AA3" s="49"/>
      <c r="AB3" s="49"/>
      <c r="AC3" s="49"/>
      <c r="AD3" s="19"/>
      <c r="AE3" s="238" t="str">
        <f>IF('Peer Data_H'!AE2+'Peer Data_H'!$AE$4&lt;=$AF$4,IF(TimePeriodType="Quarter",REPLACE(INDEX(ImpData!$J$4:$J$15,'Peer Data_H'!AE2+'Peer Data_H'!$AE$4),4,1,""),INDEX(ImpData!$J$4:$J$15,'Peer Data_H'!AE2+'Peer Data_H'!$AE$4)),"")</f>
        <v>CY2021</v>
      </c>
      <c r="AF3" s="238" t="str">
        <f>IF('Peer Data_H'!AF2+'Peer Data_H'!$AE$4&lt;=$AF$4,IF(TimePeriodType="Quarter",REPLACE(INDEX(ImpData!$J$4:$J$15,'Peer Data_H'!AF2+'Peer Data_H'!$AE$4),4,1,""),INDEX(ImpData!$J$4:$J$15,'Peer Data_H'!AF2+'Peer Data_H'!$AE$4)),"")</f>
        <v/>
      </c>
      <c r="AG3" s="238" t="str">
        <f>IF('Peer Data_H'!AG2+'Peer Data_H'!$AE$4&lt;=$AF$4,IF(TimePeriodType="Quarter",REPLACE(INDEX(ImpData!$J$4:$J$15,'Peer Data_H'!AG2+'Peer Data_H'!$AE$4),4,1,""),INDEX(ImpData!$J$4:$J$15,'Peer Data_H'!AG2+'Peer Data_H'!$AE$4)),"")</f>
        <v/>
      </c>
      <c r="AH3" s="238" t="str">
        <f>IF('Peer Data_H'!AH2+'Peer Data_H'!$AE$4&lt;=$AF$4,IF(TimePeriodType="Quarter",REPLACE(INDEX(ImpData!$J$4:$J$15,'Peer Data_H'!AH2+'Peer Data_H'!$AE$4),4,1,""),INDEX(ImpData!$J$4:$J$15,'Peer Data_H'!AH2+'Peer Data_H'!$AE$4)),"")</f>
        <v/>
      </c>
      <c r="AI3" s="238" t="str">
        <f>IF('Peer Data_H'!AI2+'Peer Data_H'!$AE$4&lt;=$AF$4,IF(TimePeriodType="Quarter",REPLACE(INDEX(ImpData!$J$4:$J$15,'Peer Data_H'!AI2+'Peer Data_H'!$AE$4),4,1,""),INDEX(ImpData!$J$4:$J$15,'Peer Data_H'!AI2+'Peer Data_H'!$AE$4)),"")</f>
        <v/>
      </c>
      <c r="AJ3" s="238" t="str">
        <f>IF('Peer Data_H'!AJ2+'Peer Data_H'!$AE$4&lt;=$AF$4,IF(TimePeriodType="Quarter",REPLACE(INDEX(ImpData!$J$4:$J$15,'Peer Data_H'!AJ2+'Peer Data_H'!$AE$4),4,1,""),INDEX(ImpData!$J$4:$J$15,'Peer Data_H'!AJ2+'Peer Data_H'!$AE$4)),"")</f>
        <v/>
      </c>
      <c r="AK3" s="238" t="str">
        <f>IF('Peer Data_H'!AK2+'Peer Data_H'!$AE$4&lt;=$AF$4,IF(TimePeriodType="Quarter",REPLACE(INDEX(ImpData!$J$4:$J$15,'Peer Data_H'!AK2+'Peer Data_H'!$AE$4),4,1,""),INDEX(ImpData!$J$4:$J$15,'Peer Data_H'!AK2+'Peer Data_H'!$AE$4)),"")</f>
        <v/>
      </c>
      <c r="AL3" s="238" t="str">
        <f>IF('Peer Data_H'!AL2+'Peer Data_H'!$AE$4&lt;=$AF$4,IF(TimePeriodType="Quarter",REPLACE(INDEX(ImpData!$J$4:$J$15,'Peer Data_H'!AL2+'Peer Data_H'!$AE$4),4,1,""),INDEX(ImpData!$J$4:$J$15,'Peer Data_H'!AL2+'Peer Data_H'!$AE$4)),"")</f>
        <v/>
      </c>
      <c r="AM3" s="238" t="str">
        <f>IF('Peer Data_H'!AM2+'Peer Data_H'!$AE$4&lt;=$AF$4,IF(TimePeriodType="Quarter",REPLACE(INDEX(ImpData!$J$4:$J$15,'Peer Data_H'!AM2+'Peer Data_H'!$AE$4),4,1,""),INDEX(ImpData!$J$4:$J$15,'Peer Data_H'!AM2+'Peer Data_H'!$AE$4)),"")</f>
        <v/>
      </c>
      <c r="AN3" s="238" t="str">
        <f>IF('Peer Data_H'!AN2+'Peer Data_H'!$AE$4&lt;=$AF$4,IF(TimePeriodType="Quarter",REPLACE(INDEX(ImpData!$J$4:$J$15,'Peer Data_H'!AN2+'Peer Data_H'!$AE$4),4,1,""),INDEX(ImpData!$J$4:$J$15,'Peer Data_H'!AN2+'Peer Data_H'!$AE$4)),"")</f>
        <v/>
      </c>
      <c r="AO3" s="238" t="str">
        <f>IF('Peer Data_H'!AO2+'Peer Data_H'!$AE$4&lt;=$AF$4,IF(TimePeriodType="Quarter",REPLACE(INDEX(ImpData!$J$4:$J$15,'Peer Data_H'!AO2+'Peer Data_H'!$AE$4),4,1,""),INDEX(ImpData!$J$4:$J$15,'Peer Data_H'!AO2+'Peer Data_H'!$AE$4)),"")</f>
        <v/>
      </c>
      <c r="AP3" s="238" t="str">
        <f>IF('Peer Data_H'!AP2+'Peer Data_H'!$AE$4&lt;=$AF$4,IF(TimePeriodType="Quarter",REPLACE(INDEX(ImpData!$J$4:$J$15,'Peer Data_H'!AP2+'Peer Data_H'!$AE$4),4,1,""),INDEX(ImpData!$J$4:$J$15,'Peer Data_H'!AP2+'Peer Data_H'!$AE$4)),"")</f>
        <v/>
      </c>
      <c r="AQ3" s="238" t="str">
        <f>IF('Peer Data_H'!AQ2+'Peer Data_H'!$AE$4&lt;=$AF$4,IF(TimePeriodType="Quarter",REPLACE(INDEX(ImpData!$J$4:$J$15,'Peer Data_H'!AQ2+'Peer Data_H'!$AE$4),4,1,""),INDEX(ImpData!$J$4:$J$15,'Peer Data_H'!AQ2+'Peer Data_H'!$AE$4)),"")</f>
        <v/>
      </c>
      <c r="AR3" s="238" t="str">
        <f>IF('Peer Data_H'!AR2+'Peer Data_H'!$AE$4&lt;=$AF$4,IF(TimePeriodType="Quarter",REPLACE(INDEX(ImpData!$J$4:$J$15,'Peer Data_H'!AR2+'Peer Data_H'!$AE$4),4,1,""),INDEX(ImpData!$J$4:$J$15,'Peer Data_H'!AR2+'Peer Data_H'!$AE$4)),"")</f>
        <v/>
      </c>
      <c r="AS3" s="238" t="str">
        <f>IF('Peer Data_H'!AS2+'Peer Data_H'!$AE$4&lt;=$AF$4,IF(TimePeriodType="Quarter",REPLACE(INDEX(ImpData!$J$4:$J$15,'Peer Data_H'!AS2+'Peer Data_H'!$AE$4),4,1,""),INDEX(ImpData!$J$4:$J$15,'Peer Data_H'!AS2+'Peer Data_H'!$AE$4)),"")</f>
        <v/>
      </c>
      <c r="AT3" s="238" t="str">
        <f>IF('Peer Data_H'!AT2+'Peer Data_H'!$AE$4&lt;=$AF$4,IF(TimePeriodType="Quarter",REPLACE(INDEX(ImpData!$J$4:$J$15,'Peer Data_H'!AT2+'Peer Data_H'!$AE$4),4,1,""),INDEX(ImpData!$J$4:$J$15,'Peer Data_H'!AT2+'Peer Data_H'!$AE$4)),"")</f>
        <v/>
      </c>
      <c r="AU3" s="238" t="str">
        <f>IF('Peer Data_H'!AU2+'Peer Data_H'!$AE$4&lt;=$AF$4,IF(TimePeriodType="Quarter",REPLACE(INDEX(ImpData!$J$4:$J$15,'Peer Data_H'!AU2+'Peer Data_H'!$AE$4),4,1,""),INDEX(ImpData!$J$4:$J$15,'Peer Data_H'!AU2+'Peer Data_H'!$AE$4)),"")</f>
        <v/>
      </c>
      <c r="AV3" s="238" t="str">
        <f>IF('Peer Data_H'!AV2+'Peer Data_H'!$AE$4&lt;=$AF$4,IF(TimePeriodType="Quarter",REPLACE(INDEX(ImpData!$J$4:$J$15,'Peer Data_H'!AV2+'Peer Data_H'!$AE$4),4,1,""),INDEX(ImpData!$J$4:$J$15,'Peer Data_H'!AV2+'Peer Data_H'!$AE$4)),"")</f>
        <v/>
      </c>
      <c r="AW3" s="238" t="str">
        <f>IF('Peer Data_H'!AW2+'Peer Data_H'!$AE$4&lt;=$AF$4,IF(TimePeriodType="Quarter",REPLACE(INDEX(ImpData!$J$4:$J$15,'Peer Data_H'!AW2+'Peer Data_H'!$AE$4),4,1,""),INDEX(ImpData!$J$4:$J$15,'Peer Data_H'!AW2+'Peer Data_H'!$AE$4)),"")</f>
        <v/>
      </c>
      <c r="AX3" s="238" t="str">
        <f>IF('Peer Data_H'!AX2+'Peer Data_H'!$AE$4&lt;=$AF$4,IF(TimePeriodType="Quarter",REPLACE(INDEX(ImpData!$J$4:$J$15,'Peer Data_H'!AX2+'Peer Data_H'!$AE$4),4,1,""),INDEX(ImpData!$J$4:$J$15,'Peer Data_H'!AX2+'Peer Data_H'!$AE$4)),"")</f>
        <v/>
      </c>
      <c r="AY3" s="168" t="str">
        <f>AE3</f>
        <v>CY2021</v>
      </c>
      <c r="AZ3" s="168" t="str">
        <f t="shared" ref="AZ3:DK3" si="34">AF3</f>
        <v/>
      </c>
      <c r="BA3" s="168" t="str">
        <f t="shared" si="34"/>
        <v/>
      </c>
      <c r="BB3" s="168" t="str">
        <f t="shared" si="34"/>
        <v/>
      </c>
      <c r="BC3" s="168" t="str">
        <f t="shared" si="34"/>
        <v/>
      </c>
      <c r="BD3" s="168" t="str">
        <f t="shared" si="34"/>
        <v/>
      </c>
      <c r="BE3" s="168" t="str">
        <f t="shared" si="34"/>
        <v/>
      </c>
      <c r="BF3" s="168" t="str">
        <f t="shared" si="34"/>
        <v/>
      </c>
      <c r="BG3" s="168" t="str">
        <f t="shared" si="34"/>
        <v/>
      </c>
      <c r="BH3" s="168" t="str">
        <f t="shared" si="34"/>
        <v/>
      </c>
      <c r="BI3" s="168" t="str">
        <f t="shared" si="34"/>
        <v/>
      </c>
      <c r="BJ3" s="168" t="str">
        <f t="shared" si="34"/>
        <v/>
      </c>
      <c r="BK3" s="168" t="str">
        <f t="shared" si="34"/>
        <v/>
      </c>
      <c r="BL3" s="168" t="str">
        <f t="shared" si="34"/>
        <v/>
      </c>
      <c r="BM3" s="168" t="str">
        <f t="shared" si="34"/>
        <v/>
      </c>
      <c r="BN3" s="168" t="str">
        <f t="shared" si="34"/>
        <v/>
      </c>
      <c r="BO3" s="168" t="str">
        <f t="shared" si="34"/>
        <v/>
      </c>
      <c r="BP3" s="168" t="str">
        <f t="shared" si="34"/>
        <v/>
      </c>
      <c r="BQ3" s="168" t="str">
        <f t="shared" si="34"/>
        <v/>
      </c>
      <c r="BR3" s="168" t="str">
        <f t="shared" si="34"/>
        <v/>
      </c>
      <c r="BS3" s="168" t="str">
        <f t="shared" si="34"/>
        <v>CY2021</v>
      </c>
      <c r="BT3" s="168" t="str">
        <f t="shared" si="34"/>
        <v/>
      </c>
      <c r="BU3" s="168" t="str">
        <f t="shared" si="34"/>
        <v/>
      </c>
      <c r="BV3" s="168" t="str">
        <f t="shared" si="34"/>
        <v/>
      </c>
      <c r="BW3" s="168" t="str">
        <f t="shared" si="34"/>
        <v/>
      </c>
      <c r="BX3" s="168" t="str">
        <f t="shared" si="34"/>
        <v/>
      </c>
      <c r="BY3" s="168" t="str">
        <f t="shared" si="34"/>
        <v/>
      </c>
      <c r="BZ3" s="168" t="str">
        <f t="shared" si="34"/>
        <v/>
      </c>
      <c r="CA3" s="168" t="str">
        <f t="shared" si="34"/>
        <v/>
      </c>
      <c r="CB3" s="168" t="str">
        <f t="shared" si="34"/>
        <v/>
      </c>
      <c r="CC3" s="168" t="str">
        <f t="shared" si="34"/>
        <v/>
      </c>
      <c r="CD3" s="168" t="str">
        <f t="shared" si="34"/>
        <v/>
      </c>
      <c r="CE3" s="168" t="str">
        <f t="shared" si="34"/>
        <v/>
      </c>
      <c r="CF3" s="168" t="str">
        <f t="shared" si="34"/>
        <v/>
      </c>
      <c r="CG3" s="168" t="str">
        <f t="shared" si="34"/>
        <v/>
      </c>
      <c r="CH3" s="168" t="str">
        <f t="shared" si="34"/>
        <v/>
      </c>
      <c r="CI3" s="168" t="str">
        <f t="shared" si="34"/>
        <v/>
      </c>
      <c r="CJ3" s="168" t="str">
        <f t="shared" si="34"/>
        <v/>
      </c>
      <c r="CK3" s="168" t="str">
        <f t="shared" si="34"/>
        <v/>
      </c>
      <c r="CL3" s="168" t="str">
        <f t="shared" si="34"/>
        <v/>
      </c>
      <c r="CM3" s="168" t="str">
        <f t="shared" si="34"/>
        <v>CY2021</v>
      </c>
      <c r="CN3" s="168" t="str">
        <f t="shared" si="34"/>
        <v/>
      </c>
      <c r="CO3" s="168" t="str">
        <f t="shared" si="34"/>
        <v/>
      </c>
      <c r="CP3" s="168" t="str">
        <f t="shared" si="34"/>
        <v/>
      </c>
      <c r="CQ3" s="168" t="str">
        <f t="shared" si="34"/>
        <v/>
      </c>
      <c r="CR3" s="168" t="str">
        <f t="shared" si="34"/>
        <v/>
      </c>
      <c r="CS3" s="168" t="str">
        <f t="shared" si="34"/>
        <v/>
      </c>
      <c r="CT3" s="168" t="str">
        <f t="shared" si="34"/>
        <v/>
      </c>
      <c r="CU3" s="168" t="str">
        <f t="shared" si="34"/>
        <v/>
      </c>
      <c r="CV3" s="168" t="str">
        <f t="shared" si="34"/>
        <v/>
      </c>
      <c r="CW3" s="168" t="str">
        <f t="shared" si="34"/>
        <v/>
      </c>
      <c r="CX3" s="168" t="str">
        <f t="shared" si="34"/>
        <v/>
      </c>
      <c r="CY3" s="168" t="str">
        <f t="shared" si="34"/>
        <v/>
      </c>
      <c r="CZ3" s="168" t="str">
        <f t="shared" si="34"/>
        <v/>
      </c>
      <c r="DA3" s="168" t="str">
        <f t="shared" si="34"/>
        <v/>
      </c>
      <c r="DB3" s="168" t="str">
        <f t="shared" si="34"/>
        <v/>
      </c>
      <c r="DC3" s="168" t="str">
        <f t="shared" si="34"/>
        <v/>
      </c>
      <c r="DD3" s="168" t="str">
        <f t="shared" si="34"/>
        <v/>
      </c>
      <c r="DE3" s="168" t="str">
        <f t="shared" si="34"/>
        <v/>
      </c>
      <c r="DF3" s="168" t="str">
        <f t="shared" si="34"/>
        <v/>
      </c>
      <c r="DG3" s="168" t="str">
        <f t="shared" si="34"/>
        <v>CY2021</v>
      </c>
      <c r="DH3" s="168" t="str">
        <f t="shared" si="34"/>
        <v/>
      </c>
      <c r="DI3" s="168" t="str">
        <f t="shared" si="34"/>
        <v/>
      </c>
      <c r="DJ3" s="168" t="str">
        <f t="shared" si="34"/>
        <v/>
      </c>
      <c r="DK3" s="168" t="str">
        <f t="shared" si="34"/>
        <v/>
      </c>
      <c r="DL3" s="168" t="str">
        <f t="shared" ref="DL3:FW3" si="35">CR3</f>
        <v/>
      </c>
      <c r="DM3" s="168" t="str">
        <f t="shared" si="35"/>
        <v/>
      </c>
      <c r="DN3" s="168" t="str">
        <f t="shared" si="35"/>
        <v/>
      </c>
      <c r="DO3" s="168" t="str">
        <f t="shared" si="35"/>
        <v/>
      </c>
      <c r="DP3" s="168" t="str">
        <f t="shared" si="35"/>
        <v/>
      </c>
      <c r="DQ3" s="168" t="str">
        <f t="shared" si="35"/>
        <v/>
      </c>
      <c r="DR3" s="168" t="str">
        <f t="shared" si="35"/>
        <v/>
      </c>
      <c r="DS3" s="168" t="str">
        <f t="shared" si="35"/>
        <v/>
      </c>
      <c r="DT3" s="168" t="str">
        <f t="shared" si="35"/>
        <v/>
      </c>
      <c r="DU3" s="168" t="str">
        <f t="shared" si="35"/>
        <v/>
      </c>
      <c r="DV3" s="168" t="str">
        <f t="shared" si="35"/>
        <v/>
      </c>
      <c r="DW3" s="168" t="str">
        <f t="shared" si="35"/>
        <v/>
      </c>
      <c r="DX3" s="168" t="str">
        <f t="shared" si="35"/>
        <v/>
      </c>
      <c r="DY3" s="168" t="str">
        <f t="shared" si="35"/>
        <v/>
      </c>
      <c r="DZ3" s="168" t="str">
        <f t="shared" si="35"/>
        <v/>
      </c>
      <c r="EA3" s="168" t="str">
        <f t="shared" si="35"/>
        <v>CY2021</v>
      </c>
      <c r="EB3" s="168" t="str">
        <f t="shared" si="35"/>
        <v/>
      </c>
      <c r="EC3" s="168" t="str">
        <f t="shared" si="35"/>
        <v/>
      </c>
      <c r="ED3" s="168" t="str">
        <f t="shared" si="35"/>
        <v/>
      </c>
      <c r="EE3" s="168" t="str">
        <f t="shared" si="35"/>
        <v/>
      </c>
      <c r="EF3" s="168" t="str">
        <f t="shared" si="35"/>
        <v/>
      </c>
      <c r="EG3" s="168" t="str">
        <f t="shared" si="35"/>
        <v/>
      </c>
      <c r="EH3" s="168" t="str">
        <f t="shared" si="35"/>
        <v/>
      </c>
      <c r="EI3" s="168" t="str">
        <f t="shared" si="35"/>
        <v/>
      </c>
      <c r="EJ3" s="168" t="str">
        <f t="shared" si="35"/>
        <v/>
      </c>
      <c r="EK3" s="168" t="str">
        <f t="shared" si="35"/>
        <v/>
      </c>
      <c r="EL3" s="168" t="str">
        <f t="shared" si="35"/>
        <v/>
      </c>
      <c r="EM3" s="168" t="str">
        <f t="shared" si="35"/>
        <v/>
      </c>
      <c r="EN3" s="168" t="str">
        <f t="shared" si="35"/>
        <v/>
      </c>
      <c r="EO3" s="168" t="str">
        <f t="shared" si="35"/>
        <v/>
      </c>
      <c r="EP3" s="168" t="str">
        <f t="shared" si="35"/>
        <v/>
      </c>
      <c r="EQ3" s="168" t="str">
        <f t="shared" si="35"/>
        <v/>
      </c>
      <c r="ER3" s="168" t="str">
        <f t="shared" si="35"/>
        <v/>
      </c>
      <c r="ES3" s="168" t="str">
        <f t="shared" si="35"/>
        <v/>
      </c>
      <c r="ET3" s="168" t="str">
        <f t="shared" si="35"/>
        <v/>
      </c>
      <c r="EU3" s="168" t="str">
        <f t="shared" si="35"/>
        <v>CY2021</v>
      </c>
      <c r="EV3" s="168" t="str">
        <f t="shared" si="35"/>
        <v/>
      </c>
      <c r="EW3" s="168" t="str">
        <f t="shared" si="35"/>
        <v/>
      </c>
      <c r="EX3" s="168" t="str">
        <f t="shared" si="35"/>
        <v/>
      </c>
      <c r="EY3" s="168" t="str">
        <f t="shared" si="35"/>
        <v/>
      </c>
      <c r="EZ3" s="168" t="str">
        <f t="shared" si="35"/>
        <v/>
      </c>
      <c r="FA3" s="168" t="str">
        <f t="shared" si="35"/>
        <v/>
      </c>
      <c r="FB3" s="168" t="str">
        <f t="shared" si="35"/>
        <v/>
      </c>
      <c r="FC3" s="168" t="str">
        <f t="shared" si="35"/>
        <v/>
      </c>
      <c r="FD3" s="168" t="str">
        <f t="shared" si="35"/>
        <v/>
      </c>
      <c r="FE3" s="168" t="str">
        <f t="shared" si="35"/>
        <v/>
      </c>
      <c r="FF3" s="168" t="str">
        <f t="shared" si="35"/>
        <v/>
      </c>
      <c r="FG3" s="168" t="str">
        <f t="shared" si="35"/>
        <v/>
      </c>
      <c r="FH3" s="168" t="str">
        <f t="shared" si="35"/>
        <v/>
      </c>
      <c r="FI3" s="168" t="str">
        <f t="shared" si="35"/>
        <v/>
      </c>
      <c r="FJ3" s="168" t="str">
        <f t="shared" si="35"/>
        <v/>
      </c>
      <c r="FK3" s="168" t="str">
        <f t="shared" si="35"/>
        <v/>
      </c>
      <c r="FL3" s="168" t="str">
        <f t="shared" si="35"/>
        <v/>
      </c>
      <c r="FM3" s="168" t="str">
        <f t="shared" si="35"/>
        <v/>
      </c>
      <c r="FN3" s="168" t="str">
        <f t="shared" si="35"/>
        <v/>
      </c>
      <c r="FO3" s="168" t="str">
        <f t="shared" si="35"/>
        <v>CY2021</v>
      </c>
      <c r="FP3" s="168" t="str">
        <f t="shared" si="35"/>
        <v/>
      </c>
      <c r="FQ3" s="168" t="str">
        <f t="shared" si="35"/>
        <v/>
      </c>
      <c r="FR3" s="168" t="str">
        <f t="shared" si="35"/>
        <v/>
      </c>
      <c r="FS3" s="168" t="str">
        <f t="shared" si="35"/>
        <v/>
      </c>
      <c r="FT3" s="168" t="str">
        <f t="shared" si="35"/>
        <v/>
      </c>
      <c r="FU3" s="168" t="str">
        <f t="shared" si="35"/>
        <v/>
      </c>
      <c r="FV3" s="168" t="str">
        <f t="shared" si="35"/>
        <v/>
      </c>
      <c r="FW3" s="168" t="str">
        <f t="shared" si="35"/>
        <v/>
      </c>
      <c r="FX3" s="168" t="str">
        <f t="shared" ref="FX3:II3" si="36">FD3</f>
        <v/>
      </c>
      <c r="FY3" s="168" t="str">
        <f t="shared" si="36"/>
        <v/>
      </c>
      <c r="FZ3" s="168" t="str">
        <f t="shared" si="36"/>
        <v/>
      </c>
      <c r="GA3" s="168" t="str">
        <f t="shared" si="36"/>
        <v/>
      </c>
      <c r="GB3" s="168" t="str">
        <f t="shared" si="36"/>
        <v/>
      </c>
      <c r="GC3" s="168" t="str">
        <f t="shared" si="36"/>
        <v/>
      </c>
      <c r="GD3" s="168" t="str">
        <f t="shared" si="36"/>
        <v/>
      </c>
      <c r="GE3" s="168" t="str">
        <f t="shared" si="36"/>
        <v/>
      </c>
      <c r="GF3" s="168" t="str">
        <f t="shared" si="36"/>
        <v/>
      </c>
      <c r="GG3" s="168" t="str">
        <f t="shared" si="36"/>
        <v/>
      </c>
      <c r="GH3" s="168" t="str">
        <f t="shared" si="36"/>
        <v/>
      </c>
      <c r="GI3" s="168" t="str">
        <f t="shared" si="36"/>
        <v>CY2021</v>
      </c>
      <c r="GJ3" s="168" t="str">
        <f t="shared" si="36"/>
        <v/>
      </c>
      <c r="GK3" s="168" t="str">
        <f t="shared" si="36"/>
        <v/>
      </c>
      <c r="GL3" s="168" t="str">
        <f t="shared" si="36"/>
        <v/>
      </c>
      <c r="GM3" s="168" t="str">
        <f t="shared" si="36"/>
        <v/>
      </c>
      <c r="GN3" s="168" t="str">
        <f t="shared" si="36"/>
        <v/>
      </c>
      <c r="GO3" s="168" t="str">
        <f t="shared" si="36"/>
        <v/>
      </c>
      <c r="GP3" s="168" t="str">
        <f t="shared" si="36"/>
        <v/>
      </c>
      <c r="GQ3" s="168" t="str">
        <f t="shared" si="36"/>
        <v/>
      </c>
      <c r="GR3" s="168" t="str">
        <f t="shared" si="36"/>
        <v/>
      </c>
      <c r="GS3" s="168" t="str">
        <f t="shared" si="36"/>
        <v/>
      </c>
      <c r="GT3" s="168" t="str">
        <f t="shared" si="36"/>
        <v/>
      </c>
      <c r="GU3" s="168" t="str">
        <f t="shared" si="36"/>
        <v/>
      </c>
      <c r="GV3" s="168" t="str">
        <f t="shared" si="36"/>
        <v/>
      </c>
      <c r="GW3" s="168" t="str">
        <f t="shared" si="36"/>
        <v/>
      </c>
      <c r="GX3" s="168" t="str">
        <f t="shared" si="36"/>
        <v/>
      </c>
      <c r="GY3" s="168" t="str">
        <f t="shared" si="36"/>
        <v/>
      </c>
      <c r="GZ3" s="168" t="str">
        <f t="shared" si="36"/>
        <v/>
      </c>
      <c r="HA3" s="168" t="str">
        <f t="shared" si="36"/>
        <v/>
      </c>
      <c r="HB3" s="168" t="str">
        <f t="shared" si="36"/>
        <v/>
      </c>
      <c r="HC3" s="168" t="str">
        <f t="shared" si="36"/>
        <v>CY2021</v>
      </c>
      <c r="HD3" s="168" t="str">
        <f t="shared" si="36"/>
        <v/>
      </c>
      <c r="HE3" s="168" t="str">
        <f t="shared" si="36"/>
        <v/>
      </c>
      <c r="HF3" s="168" t="str">
        <f t="shared" si="36"/>
        <v/>
      </c>
      <c r="HG3" s="168" t="str">
        <f t="shared" si="36"/>
        <v/>
      </c>
      <c r="HH3" s="168" t="str">
        <f t="shared" si="36"/>
        <v/>
      </c>
      <c r="HI3" s="168" t="str">
        <f t="shared" si="36"/>
        <v/>
      </c>
      <c r="HJ3" s="168" t="str">
        <f t="shared" si="36"/>
        <v/>
      </c>
      <c r="HK3" s="168" t="str">
        <f t="shared" si="36"/>
        <v/>
      </c>
      <c r="HL3" s="168" t="str">
        <f t="shared" si="36"/>
        <v/>
      </c>
      <c r="HM3" s="168" t="str">
        <f t="shared" si="36"/>
        <v/>
      </c>
      <c r="HN3" s="168" t="str">
        <f t="shared" si="36"/>
        <v/>
      </c>
      <c r="HO3" s="168" t="str">
        <f t="shared" si="36"/>
        <v/>
      </c>
      <c r="HP3" s="168" t="str">
        <f t="shared" si="36"/>
        <v/>
      </c>
      <c r="HQ3" s="168" t="str">
        <f t="shared" si="36"/>
        <v/>
      </c>
      <c r="HR3" s="168" t="str">
        <f t="shared" si="36"/>
        <v/>
      </c>
      <c r="HS3" s="168" t="str">
        <f t="shared" si="36"/>
        <v/>
      </c>
      <c r="HT3" s="168" t="str">
        <f t="shared" si="36"/>
        <v/>
      </c>
      <c r="HU3" s="168" t="str">
        <f t="shared" si="36"/>
        <v/>
      </c>
      <c r="HV3" s="168" t="str">
        <f t="shared" si="36"/>
        <v/>
      </c>
      <c r="HW3" s="168" t="str">
        <f t="shared" si="36"/>
        <v>CY2021</v>
      </c>
      <c r="HX3" s="168" t="str">
        <f t="shared" si="36"/>
        <v/>
      </c>
      <c r="HY3" s="168" t="str">
        <f t="shared" si="36"/>
        <v/>
      </c>
      <c r="HZ3" s="168" t="str">
        <f t="shared" si="36"/>
        <v/>
      </c>
      <c r="IA3" s="168" t="str">
        <f t="shared" si="36"/>
        <v/>
      </c>
      <c r="IB3" s="168" t="str">
        <f t="shared" si="36"/>
        <v/>
      </c>
      <c r="IC3" s="168" t="str">
        <f t="shared" si="36"/>
        <v/>
      </c>
      <c r="ID3" s="168" t="str">
        <f t="shared" si="36"/>
        <v/>
      </c>
      <c r="IE3" s="168" t="str">
        <f t="shared" si="36"/>
        <v/>
      </c>
      <c r="IF3" s="168" t="str">
        <f t="shared" si="36"/>
        <v/>
      </c>
      <c r="IG3" s="168" t="str">
        <f t="shared" si="36"/>
        <v/>
      </c>
      <c r="IH3" s="168" t="str">
        <f t="shared" si="36"/>
        <v/>
      </c>
      <c r="II3" s="168" t="str">
        <f t="shared" si="36"/>
        <v/>
      </c>
      <c r="IJ3" s="168" t="str">
        <f t="shared" ref="IJ3:KU3" si="37">HP3</f>
        <v/>
      </c>
      <c r="IK3" s="168" t="str">
        <f t="shared" si="37"/>
        <v/>
      </c>
      <c r="IL3" s="168" t="str">
        <f t="shared" si="37"/>
        <v/>
      </c>
      <c r="IM3" s="168" t="str">
        <f t="shared" si="37"/>
        <v/>
      </c>
      <c r="IN3" s="168" t="str">
        <f t="shared" si="37"/>
        <v/>
      </c>
      <c r="IO3" s="168" t="str">
        <f t="shared" si="37"/>
        <v/>
      </c>
      <c r="IP3" s="168" t="str">
        <f t="shared" si="37"/>
        <v/>
      </c>
      <c r="IQ3" s="168" t="str">
        <f t="shared" si="37"/>
        <v>CY2021</v>
      </c>
      <c r="IR3" s="168" t="str">
        <f t="shared" si="37"/>
        <v/>
      </c>
      <c r="IS3" s="168" t="str">
        <f t="shared" si="37"/>
        <v/>
      </c>
      <c r="IT3" s="168" t="str">
        <f t="shared" si="37"/>
        <v/>
      </c>
      <c r="IU3" s="168" t="str">
        <f t="shared" si="37"/>
        <v/>
      </c>
      <c r="IV3" s="168" t="str">
        <f t="shared" si="37"/>
        <v/>
      </c>
      <c r="IW3" s="168" t="str">
        <f t="shared" si="37"/>
        <v/>
      </c>
      <c r="IX3" s="168" t="str">
        <f t="shared" si="37"/>
        <v/>
      </c>
      <c r="IY3" s="168" t="str">
        <f t="shared" si="37"/>
        <v/>
      </c>
      <c r="IZ3" s="168" t="str">
        <f t="shared" si="37"/>
        <v/>
      </c>
      <c r="JA3" s="168" t="str">
        <f t="shared" si="37"/>
        <v/>
      </c>
      <c r="JB3" s="168" t="str">
        <f t="shared" si="37"/>
        <v/>
      </c>
      <c r="JC3" s="168" t="str">
        <f t="shared" si="37"/>
        <v/>
      </c>
      <c r="JD3" s="168" t="str">
        <f t="shared" si="37"/>
        <v/>
      </c>
      <c r="JE3" s="168" t="str">
        <f t="shared" si="37"/>
        <v/>
      </c>
      <c r="JF3" s="168" t="str">
        <f t="shared" si="37"/>
        <v/>
      </c>
      <c r="JG3" s="168" t="str">
        <f t="shared" si="37"/>
        <v/>
      </c>
      <c r="JH3" s="168" t="str">
        <f t="shared" si="37"/>
        <v/>
      </c>
      <c r="JI3" s="168" t="str">
        <f t="shared" si="37"/>
        <v/>
      </c>
      <c r="JJ3" s="168" t="str">
        <f t="shared" si="37"/>
        <v/>
      </c>
      <c r="JK3" s="168" t="str">
        <f t="shared" si="37"/>
        <v>CY2021</v>
      </c>
      <c r="JL3" s="168" t="str">
        <f t="shared" si="37"/>
        <v/>
      </c>
      <c r="JM3" s="168" t="str">
        <f t="shared" si="37"/>
        <v/>
      </c>
      <c r="JN3" s="168" t="str">
        <f t="shared" si="37"/>
        <v/>
      </c>
      <c r="JO3" s="168" t="str">
        <f t="shared" si="37"/>
        <v/>
      </c>
      <c r="JP3" s="168" t="str">
        <f t="shared" si="37"/>
        <v/>
      </c>
      <c r="JQ3" s="168" t="str">
        <f t="shared" si="37"/>
        <v/>
      </c>
      <c r="JR3" s="168" t="str">
        <f t="shared" si="37"/>
        <v/>
      </c>
      <c r="JS3" s="168" t="str">
        <f t="shared" si="37"/>
        <v/>
      </c>
      <c r="JT3" s="168" t="str">
        <f t="shared" si="37"/>
        <v/>
      </c>
      <c r="JU3" s="168" t="str">
        <f t="shared" si="37"/>
        <v/>
      </c>
      <c r="JV3" s="168" t="str">
        <f t="shared" si="37"/>
        <v/>
      </c>
      <c r="JW3" s="168" t="str">
        <f t="shared" si="37"/>
        <v/>
      </c>
      <c r="JX3" s="168" t="str">
        <f t="shared" si="37"/>
        <v/>
      </c>
      <c r="JY3" s="168" t="str">
        <f t="shared" si="37"/>
        <v/>
      </c>
      <c r="JZ3" s="168" t="str">
        <f t="shared" si="37"/>
        <v/>
      </c>
      <c r="KA3" s="168" t="str">
        <f t="shared" si="37"/>
        <v/>
      </c>
      <c r="KB3" s="168" t="str">
        <f t="shared" si="37"/>
        <v/>
      </c>
      <c r="KC3" s="168" t="str">
        <f t="shared" si="37"/>
        <v/>
      </c>
      <c r="KD3" s="168" t="str">
        <f t="shared" si="37"/>
        <v/>
      </c>
      <c r="KE3" s="168" t="str">
        <f t="shared" si="37"/>
        <v>CY2021</v>
      </c>
      <c r="KF3" s="168" t="str">
        <f t="shared" si="37"/>
        <v/>
      </c>
      <c r="KG3" s="168" t="str">
        <f t="shared" si="37"/>
        <v/>
      </c>
      <c r="KH3" s="168" t="str">
        <f t="shared" si="37"/>
        <v/>
      </c>
      <c r="KI3" s="168" t="str">
        <f t="shared" si="37"/>
        <v/>
      </c>
      <c r="KJ3" s="168" t="str">
        <f t="shared" si="37"/>
        <v/>
      </c>
      <c r="KK3" s="168" t="str">
        <f t="shared" si="37"/>
        <v/>
      </c>
      <c r="KL3" s="168" t="str">
        <f t="shared" si="37"/>
        <v/>
      </c>
      <c r="KM3" s="168" t="str">
        <f t="shared" si="37"/>
        <v/>
      </c>
      <c r="KN3" s="168" t="str">
        <f t="shared" si="37"/>
        <v/>
      </c>
      <c r="KO3" s="168" t="str">
        <f t="shared" si="37"/>
        <v/>
      </c>
      <c r="KP3" s="168" t="str">
        <f t="shared" si="37"/>
        <v/>
      </c>
      <c r="KQ3" s="168" t="str">
        <f t="shared" si="37"/>
        <v/>
      </c>
      <c r="KR3" s="168" t="str">
        <f t="shared" si="37"/>
        <v/>
      </c>
      <c r="KS3" s="168" t="str">
        <f t="shared" si="37"/>
        <v/>
      </c>
      <c r="KT3" s="168" t="str">
        <f t="shared" si="37"/>
        <v/>
      </c>
      <c r="KU3" s="168" t="str">
        <f t="shared" si="37"/>
        <v/>
      </c>
      <c r="KV3" s="168" t="str">
        <f t="shared" ref="KV3:ML3" si="38">KB3</f>
        <v/>
      </c>
      <c r="KW3" s="168" t="str">
        <f t="shared" si="38"/>
        <v/>
      </c>
      <c r="KX3" s="168" t="str">
        <f t="shared" si="38"/>
        <v/>
      </c>
      <c r="KY3" s="168" t="str">
        <f t="shared" si="38"/>
        <v>CY2021</v>
      </c>
      <c r="KZ3" s="168" t="str">
        <f t="shared" si="38"/>
        <v/>
      </c>
      <c r="LA3" s="168" t="str">
        <f t="shared" si="38"/>
        <v/>
      </c>
      <c r="LB3" s="168" t="str">
        <f t="shared" si="38"/>
        <v/>
      </c>
      <c r="LC3" s="168" t="str">
        <f t="shared" si="38"/>
        <v/>
      </c>
      <c r="LD3" s="168" t="str">
        <f t="shared" si="38"/>
        <v/>
      </c>
      <c r="LE3" s="168" t="str">
        <f t="shared" si="38"/>
        <v/>
      </c>
      <c r="LF3" s="168" t="str">
        <f t="shared" si="38"/>
        <v/>
      </c>
      <c r="LG3" s="168" t="str">
        <f t="shared" si="38"/>
        <v/>
      </c>
      <c r="LH3" s="168" t="str">
        <f t="shared" si="38"/>
        <v/>
      </c>
      <c r="LI3" s="168" t="str">
        <f t="shared" si="38"/>
        <v/>
      </c>
      <c r="LJ3" s="168" t="str">
        <f t="shared" si="38"/>
        <v/>
      </c>
      <c r="LK3" s="168" t="str">
        <f t="shared" si="38"/>
        <v/>
      </c>
      <c r="LL3" s="168" t="str">
        <f t="shared" si="38"/>
        <v/>
      </c>
      <c r="LM3" s="168" t="str">
        <f t="shared" si="38"/>
        <v/>
      </c>
      <c r="LN3" s="168" t="str">
        <f t="shared" si="38"/>
        <v/>
      </c>
      <c r="LO3" s="168" t="str">
        <f t="shared" si="38"/>
        <v/>
      </c>
      <c r="LP3" s="168" t="str">
        <f t="shared" si="38"/>
        <v/>
      </c>
      <c r="LQ3" s="168" t="str">
        <f t="shared" si="38"/>
        <v/>
      </c>
      <c r="LR3" s="168" t="str">
        <f t="shared" si="38"/>
        <v/>
      </c>
      <c r="LS3" s="168" t="str">
        <f t="shared" si="38"/>
        <v>CY2021</v>
      </c>
      <c r="LT3" s="168" t="str">
        <f t="shared" si="38"/>
        <v/>
      </c>
      <c r="LU3" s="168" t="str">
        <f t="shared" si="38"/>
        <v/>
      </c>
      <c r="LV3" s="168" t="str">
        <f t="shared" si="38"/>
        <v/>
      </c>
      <c r="LW3" s="168" t="str">
        <f t="shared" si="38"/>
        <v/>
      </c>
      <c r="LX3" s="168" t="str">
        <f t="shared" si="38"/>
        <v/>
      </c>
      <c r="LY3" s="168" t="str">
        <f t="shared" si="38"/>
        <v/>
      </c>
      <c r="LZ3" s="168" t="str">
        <f t="shared" si="38"/>
        <v/>
      </c>
      <c r="MA3" s="168" t="str">
        <f t="shared" si="38"/>
        <v/>
      </c>
      <c r="MB3" s="168" t="str">
        <f t="shared" si="38"/>
        <v/>
      </c>
      <c r="MC3" s="168" t="str">
        <f t="shared" si="38"/>
        <v/>
      </c>
      <c r="MD3" s="168" t="str">
        <f t="shared" si="38"/>
        <v/>
      </c>
      <c r="ME3" s="168" t="str">
        <f t="shared" si="38"/>
        <v/>
      </c>
      <c r="MF3" s="168" t="str">
        <f t="shared" si="38"/>
        <v/>
      </c>
      <c r="MG3" s="168" t="str">
        <f t="shared" si="38"/>
        <v/>
      </c>
      <c r="MH3" s="168" t="str">
        <f t="shared" si="38"/>
        <v/>
      </c>
      <c r="MI3" s="168" t="str">
        <f t="shared" si="38"/>
        <v/>
      </c>
      <c r="MJ3" s="168" t="str">
        <f t="shared" si="38"/>
        <v/>
      </c>
      <c r="MK3" s="168" t="str">
        <f t="shared" si="38"/>
        <v/>
      </c>
      <c r="ML3" s="168" t="str">
        <f t="shared" si="38"/>
        <v/>
      </c>
      <c r="MM3" s="168" t="str">
        <f t="shared" ref="MM3" si="39">LS3</f>
        <v>CY2021</v>
      </c>
      <c r="MN3" s="168" t="str">
        <f t="shared" ref="MN3" si="40">LT3</f>
        <v/>
      </c>
      <c r="MO3" s="168" t="str">
        <f t="shared" ref="MO3" si="41">LU3</f>
        <v/>
      </c>
      <c r="MP3" s="168" t="str">
        <f t="shared" ref="MP3" si="42">LV3</f>
        <v/>
      </c>
      <c r="MQ3" s="168" t="str">
        <f t="shared" ref="MQ3" si="43">LW3</f>
        <v/>
      </c>
      <c r="MR3" s="168" t="str">
        <f t="shared" ref="MR3" si="44">LX3</f>
        <v/>
      </c>
      <c r="MS3" s="168" t="str">
        <f t="shared" ref="MS3" si="45">LY3</f>
        <v/>
      </c>
      <c r="MT3" s="168" t="str">
        <f t="shared" ref="MT3" si="46">LZ3</f>
        <v/>
      </c>
      <c r="MU3" s="168" t="str">
        <f t="shared" ref="MU3" si="47">MA3</f>
        <v/>
      </c>
      <c r="MV3" s="168" t="str">
        <f t="shared" ref="MV3" si="48">MB3</f>
        <v/>
      </c>
      <c r="MW3" s="168" t="str">
        <f t="shared" ref="MW3" si="49">MC3</f>
        <v/>
      </c>
      <c r="MX3" s="168" t="str">
        <f t="shared" ref="MX3" si="50">MD3</f>
        <v/>
      </c>
      <c r="MY3" s="168" t="str">
        <f t="shared" ref="MY3" si="51">ME3</f>
        <v/>
      </c>
      <c r="MZ3" s="168" t="str">
        <f t="shared" ref="MZ3" si="52">MF3</f>
        <v/>
      </c>
      <c r="NA3" s="168" t="str">
        <f t="shared" ref="NA3" si="53">MG3</f>
        <v/>
      </c>
      <c r="NB3" s="168" t="str">
        <f t="shared" ref="NB3" si="54">MH3</f>
        <v/>
      </c>
      <c r="NC3" s="168" t="str">
        <f t="shared" ref="NC3" si="55">MI3</f>
        <v/>
      </c>
      <c r="ND3" s="168" t="str">
        <f t="shared" ref="ND3" si="56">MJ3</f>
        <v/>
      </c>
      <c r="NE3" s="168" t="str">
        <f t="shared" ref="NE3" si="57">MK3</f>
        <v/>
      </c>
      <c r="NF3" s="168" t="str">
        <f t="shared" ref="NF3" si="58">ML3</f>
        <v/>
      </c>
      <c r="NG3" s="168" t="str">
        <f t="shared" ref="NG3" si="59">MM3</f>
        <v>CY2021</v>
      </c>
      <c r="NH3" s="168" t="str">
        <f t="shared" ref="NH3" si="60">MN3</f>
        <v/>
      </c>
      <c r="NI3" s="168" t="str">
        <f t="shared" ref="NI3" si="61">MO3</f>
        <v/>
      </c>
      <c r="NJ3" s="168" t="str">
        <f t="shared" ref="NJ3" si="62">MP3</f>
        <v/>
      </c>
      <c r="NK3" s="168" t="str">
        <f t="shared" ref="NK3" si="63">MQ3</f>
        <v/>
      </c>
      <c r="NL3" s="168" t="str">
        <f t="shared" ref="NL3" si="64">MR3</f>
        <v/>
      </c>
      <c r="NM3" s="168" t="str">
        <f t="shared" ref="NM3" si="65">MS3</f>
        <v/>
      </c>
      <c r="NN3" s="168" t="str">
        <f t="shared" ref="NN3" si="66">MT3</f>
        <v/>
      </c>
      <c r="NO3" s="168" t="str">
        <f t="shared" ref="NO3" si="67">MU3</f>
        <v/>
      </c>
      <c r="NP3" s="168" t="str">
        <f t="shared" ref="NP3" si="68">MV3</f>
        <v/>
      </c>
      <c r="NQ3" s="168" t="str">
        <f t="shared" ref="NQ3" si="69">MW3</f>
        <v/>
      </c>
      <c r="NR3" s="168" t="str">
        <f t="shared" ref="NR3" si="70">MX3</f>
        <v/>
      </c>
      <c r="NS3" s="168" t="str">
        <f t="shared" ref="NS3" si="71">MY3</f>
        <v/>
      </c>
      <c r="NT3" s="168" t="str">
        <f t="shared" ref="NT3" si="72">MZ3</f>
        <v/>
      </c>
      <c r="NU3" s="168" t="str">
        <f t="shared" ref="NU3" si="73">NA3</f>
        <v/>
      </c>
      <c r="NV3" s="168" t="str">
        <f t="shared" ref="NV3" si="74">NB3</f>
        <v/>
      </c>
      <c r="NW3" s="168" t="str">
        <f t="shared" ref="NW3" si="75">NC3</f>
        <v/>
      </c>
      <c r="NX3" s="168" t="str">
        <f t="shared" ref="NX3" si="76">ND3</f>
        <v/>
      </c>
      <c r="NY3" s="168" t="str">
        <f t="shared" ref="NY3" si="77">NE3</f>
        <v/>
      </c>
      <c r="NZ3" s="168" t="str">
        <f t="shared" ref="NZ3" si="78">NF3</f>
        <v/>
      </c>
      <c r="OA3" s="168" t="str">
        <f t="shared" ref="OA3" si="79">NG3</f>
        <v>CY2021</v>
      </c>
      <c r="OB3" s="168" t="str">
        <f t="shared" ref="OB3" si="80">NH3</f>
        <v/>
      </c>
      <c r="OC3" s="168" t="str">
        <f t="shared" ref="OC3" si="81">NI3</f>
        <v/>
      </c>
      <c r="OD3" s="168" t="str">
        <f t="shared" ref="OD3" si="82">NJ3</f>
        <v/>
      </c>
      <c r="OE3" s="168" t="str">
        <f t="shared" ref="OE3" si="83">NK3</f>
        <v/>
      </c>
      <c r="OF3" s="168" t="str">
        <f t="shared" ref="OF3" si="84">NL3</f>
        <v/>
      </c>
      <c r="OG3" s="168" t="str">
        <f t="shared" ref="OG3" si="85">NM3</f>
        <v/>
      </c>
      <c r="OH3" s="168" t="str">
        <f t="shared" ref="OH3" si="86">NN3</f>
        <v/>
      </c>
      <c r="OI3" s="168" t="str">
        <f t="shared" ref="OI3" si="87">NO3</f>
        <v/>
      </c>
      <c r="OJ3" s="168" t="str">
        <f t="shared" ref="OJ3" si="88">NP3</f>
        <v/>
      </c>
      <c r="OK3" s="168" t="str">
        <f t="shared" ref="OK3" si="89">NQ3</f>
        <v/>
      </c>
      <c r="OL3" s="168" t="str">
        <f t="shared" ref="OL3" si="90">NR3</f>
        <v/>
      </c>
      <c r="OM3" s="168" t="str">
        <f t="shared" ref="OM3" si="91">NS3</f>
        <v/>
      </c>
      <c r="ON3" s="168" t="str">
        <f t="shared" ref="ON3" si="92">NT3</f>
        <v/>
      </c>
      <c r="OO3" s="168" t="str">
        <f t="shared" ref="OO3" si="93">NU3</f>
        <v/>
      </c>
      <c r="OP3" s="168" t="str">
        <f t="shared" ref="OP3" si="94">NV3</f>
        <v/>
      </c>
      <c r="OQ3" s="168" t="str">
        <f t="shared" ref="OQ3" si="95">NW3</f>
        <v/>
      </c>
      <c r="OR3" s="168" t="str">
        <f t="shared" ref="OR3" si="96">NX3</f>
        <v/>
      </c>
      <c r="OS3" s="168" t="str">
        <f t="shared" ref="OS3" si="97">NY3</f>
        <v/>
      </c>
      <c r="OT3" s="168" t="str">
        <f t="shared" ref="OT3" si="98">NZ3</f>
        <v/>
      </c>
      <c r="OU3" s="168" t="str">
        <f t="shared" ref="OU3" si="99">OA3</f>
        <v>CY2021</v>
      </c>
      <c r="OV3" s="168" t="str">
        <f t="shared" ref="OV3" si="100">OB3</f>
        <v/>
      </c>
      <c r="OW3" s="168" t="str">
        <f t="shared" ref="OW3" si="101">OC3</f>
        <v/>
      </c>
      <c r="OX3" s="168" t="str">
        <f t="shared" ref="OX3" si="102">OD3</f>
        <v/>
      </c>
      <c r="OY3" s="168" t="str">
        <f t="shared" ref="OY3" si="103">OE3</f>
        <v/>
      </c>
      <c r="OZ3" s="168" t="str">
        <f t="shared" ref="OZ3" si="104">OF3</f>
        <v/>
      </c>
      <c r="PA3" s="168" t="str">
        <f t="shared" ref="PA3" si="105">OG3</f>
        <v/>
      </c>
      <c r="PB3" s="168" t="str">
        <f t="shared" ref="PB3" si="106">OH3</f>
        <v/>
      </c>
      <c r="PC3" s="168" t="str">
        <f t="shared" ref="PC3" si="107">OI3</f>
        <v/>
      </c>
      <c r="PD3" s="168" t="str">
        <f t="shared" ref="PD3" si="108">OJ3</f>
        <v/>
      </c>
      <c r="PE3" s="168" t="str">
        <f t="shared" ref="PE3" si="109">OK3</f>
        <v/>
      </c>
      <c r="PF3" s="168" t="str">
        <f t="shared" ref="PF3" si="110">OL3</f>
        <v/>
      </c>
      <c r="PG3" s="168" t="str">
        <f t="shared" ref="PG3" si="111">OM3</f>
        <v/>
      </c>
      <c r="PH3" s="168" t="str">
        <f t="shared" ref="PH3" si="112">ON3</f>
        <v/>
      </c>
      <c r="PI3" s="168" t="str">
        <f t="shared" ref="PI3" si="113">OO3</f>
        <v/>
      </c>
      <c r="PJ3" s="168" t="str">
        <f t="shared" ref="PJ3" si="114">OP3</f>
        <v/>
      </c>
      <c r="PK3" s="168" t="str">
        <f t="shared" ref="PK3" si="115">OQ3</f>
        <v/>
      </c>
      <c r="PL3" s="168" t="str">
        <f t="shared" ref="PL3" si="116">OR3</f>
        <v/>
      </c>
      <c r="PM3" s="168" t="str">
        <f t="shared" ref="PM3" si="117">OS3</f>
        <v/>
      </c>
      <c r="PN3" s="168" t="str">
        <f t="shared" ref="PN3:RY3" si="118">OT3</f>
        <v/>
      </c>
      <c r="PO3" s="238" t="str">
        <f t="shared" si="118"/>
        <v>CY2021</v>
      </c>
      <c r="PP3" s="237" t="str">
        <f t="shared" si="118"/>
        <v/>
      </c>
      <c r="PQ3" s="237" t="str">
        <f t="shared" si="118"/>
        <v/>
      </c>
      <c r="PR3" s="237" t="str">
        <f t="shared" si="118"/>
        <v/>
      </c>
      <c r="PS3" s="237" t="str">
        <f t="shared" si="118"/>
        <v/>
      </c>
      <c r="PT3" s="237" t="str">
        <f t="shared" si="118"/>
        <v/>
      </c>
      <c r="PU3" s="237" t="str">
        <f t="shared" si="118"/>
        <v/>
      </c>
      <c r="PV3" s="237" t="str">
        <f t="shared" si="118"/>
        <v/>
      </c>
      <c r="PW3" s="237" t="str">
        <f t="shared" si="118"/>
        <v/>
      </c>
      <c r="PX3" s="237" t="str">
        <f t="shared" si="118"/>
        <v/>
      </c>
      <c r="PY3" s="46" t="str">
        <f t="shared" si="118"/>
        <v/>
      </c>
      <c r="PZ3" s="46" t="str">
        <f t="shared" si="118"/>
        <v/>
      </c>
      <c r="QA3" s="46" t="str">
        <f t="shared" si="118"/>
        <v/>
      </c>
      <c r="QB3" s="46" t="str">
        <f t="shared" si="118"/>
        <v/>
      </c>
      <c r="QC3" s="46" t="str">
        <f t="shared" si="118"/>
        <v/>
      </c>
      <c r="QD3" s="46" t="str">
        <f t="shared" si="118"/>
        <v/>
      </c>
      <c r="QE3" s="46" t="str">
        <f t="shared" si="118"/>
        <v/>
      </c>
      <c r="QF3" s="46" t="str">
        <f t="shared" si="118"/>
        <v/>
      </c>
      <c r="QG3" s="46" t="str">
        <f t="shared" si="118"/>
        <v/>
      </c>
      <c r="QH3" s="46" t="str">
        <f t="shared" si="118"/>
        <v/>
      </c>
      <c r="QI3" s="238" t="str">
        <f t="shared" si="118"/>
        <v>CY2021</v>
      </c>
      <c r="QJ3" s="237" t="str">
        <f t="shared" si="118"/>
        <v/>
      </c>
      <c r="QK3" s="237" t="str">
        <f t="shared" si="118"/>
        <v/>
      </c>
      <c r="QL3" s="237" t="str">
        <f t="shared" si="118"/>
        <v/>
      </c>
      <c r="QM3" s="237" t="str">
        <f t="shared" si="118"/>
        <v/>
      </c>
      <c r="QN3" s="237" t="str">
        <f t="shared" si="118"/>
        <v/>
      </c>
      <c r="QO3" s="237" t="str">
        <f t="shared" si="118"/>
        <v/>
      </c>
      <c r="QP3" s="237" t="str">
        <f t="shared" si="118"/>
        <v/>
      </c>
      <c r="QQ3" s="237" t="str">
        <f t="shared" si="118"/>
        <v/>
      </c>
      <c r="QR3" s="237" t="str">
        <f t="shared" si="118"/>
        <v/>
      </c>
      <c r="QS3" s="46" t="str">
        <f t="shared" si="118"/>
        <v/>
      </c>
      <c r="QT3" s="46" t="str">
        <f t="shared" si="118"/>
        <v/>
      </c>
      <c r="QU3" s="46" t="str">
        <f t="shared" si="118"/>
        <v/>
      </c>
      <c r="QV3" s="46" t="str">
        <f t="shared" si="118"/>
        <v/>
      </c>
      <c r="QW3" s="46" t="str">
        <f t="shared" si="118"/>
        <v/>
      </c>
      <c r="QX3" s="46" t="str">
        <f t="shared" si="118"/>
        <v/>
      </c>
      <c r="QY3" s="46" t="str">
        <f t="shared" si="118"/>
        <v/>
      </c>
      <c r="QZ3" s="46" t="str">
        <f t="shared" si="118"/>
        <v/>
      </c>
      <c r="RA3" s="46" t="str">
        <f t="shared" si="118"/>
        <v/>
      </c>
      <c r="RB3" s="46" t="str">
        <f t="shared" si="118"/>
        <v/>
      </c>
      <c r="RC3" s="238" t="str">
        <f t="shared" si="118"/>
        <v>CY2021</v>
      </c>
      <c r="RD3" s="237" t="str">
        <f t="shared" si="118"/>
        <v/>
      </c>
      <c r="RE3" s="237" t="str">
        <f t="shared" si="118"/>
        <v/>
      </c>
      <c r="RF3" s="237" t="str">
        <f t="shared" si="118"/>
        <v/>
      </c>
      <c r="RG3" s="237" t="str">
        <f t="shared" si="118"/>
        <v/>
      </c>
      <c r="RH3" s="237" t="str">
        <f t="shared" si="118"/>
        <v/>
      </c>
      <c r="RI3" s="237" t="str">
        <f t="shared" si="118"/>
        <v/>
      </c>
      <c r="RJ3" s="237" t="str">
        <f t="shared" si="118"/>
        <v/>
      </c>
      <c r="RK3" s="237" t="str">
        <f t="shared" si="118"/>
        <v/>
      </c>
      <c r="RL3" s="237" t="str">
        <f t="shared" si="118"/>
        <v/>
      </c>
      <c r="RM3" s="46" t="str">
        <f t="shared" si="118"/>
        <v/>
      </c>
      <c r="RN3" s="46" t="str">
        <f t="shared" si="118"/>
        <v/>
      </c>
      <c r="RO3" s="46" t="str">
        <f t="shared" si="118"/>
        <v/>
      </c>
      <c r="RP3" s="46" t="str">
        <f t="shared" si="118"/>
        <v/>
      </c>
      <c r="RQ3" s="46" t="str">
        <f t="shared" si="118"/>
        <v/>
      </c>
      <c r="RR3" s="46" t="str">
        <f t="shared" si="118"/>
        <v/>
      </c>
      <c r="RS3" s="46" t="str">
        <f t="shared" si="118"/>
        <v/>
      </c>
      <c r="RT3" s="46" t="str">
        <f t="shared" si="118"/>
        <v/>
      </c>
      <c r="RU3" s="46" t="str">
        <f t="shared" si="118"/>
        <v/>
      </c>
      <c r="RV3" s="46" t="str">
        <f t="shared" si="118"/>
        <v/>
      </c>
      <c r="RW3" s="238" t="str">
        <f t="shared" si="118"/>
        <v>CY2021</v>
      </c>
      <c r="RX3" s="237" t="str">
        <f t="shared" si="118"/>
        <v/>
      </c>
      <c r="RY3" s="237" t="str">
        <f t="shared" si="118"/>
        <v/>
      </c>
      <c r="RZ3" s="237" t="str">
        <f t="shared" ref="RZ3:SP3" si="119">RF3</f>
        <v/>
      </c>
      <c r="SA3" s="237" t="str">
        <f t="shared" si="119"/>
        <v/>
      </c>
      <c r="SB3" s="237" t="str">
        <f t="shared" si="119"/>
        <v/>
      </c>
      <c r="SC3" s="237" t="str">
        <f t="shared" si="119"/>
        <v/>
      </c>
      <c r="SD3" s="237" t="str">
        <f t="shared" si="119"/>
        <v/>
      </c>
      <c r="SE3" s="237" t="str">
        <f t="shared" si="119"/>
        <v/>
      </c>
      <c r="SF3" s="237" t="str">
        <f t="shared" si="119"/>
        <v/>
      </c>
      <c r="SG3" s="46" t="str">
        <f t="shared" si="119"/>
        <v/>
      </c>
      <c r="SH3" s="46" t="str">
        <f t="shared" si="119"/>
        <v/>
      </c>
      <c r="SI3" s="46" t="str">
        <f t="shared" si="119"/>
        <v/>
      </c>
      <c r="SJ3" s="46" t="str">
        <f t="shared" si="119"/>
        <v/>
      </c>
      <c r="SK3" s="46" t="str">
        <f t="shared" si="119"/>
        <v/>
      </c>
      <c r="SL3" s="46" t="str">
        <f t="shared" si="119"/>
        <v/>
      </c>
      <c r="SM3" s="46" t="str">
        <f t="shared" si="119"/>
        <v/>
      </c>
      <c r="SN3" s="46" t="str">
        <f t="shared" si="119"/>
        <v/>
      </c>
      <c r="SO3" s="46" t="str">
        <f t="shared" si="119"/>
        <v/>
      </c>
      <c r="SP3" s="46" t="str">
        <f t="shared" si="119"/>
        <v/>
      </c>
      <c r="SQ3" s="238" t="str">
        <f t="shared" ref="SQ3" si="120">RW3</f>
        <v>CY2021</v>
      </c>
      <c r="SR3" s="237" t="str">
        <f t="shared" ref="SR3" si="121">RX3</f>
        <v/>
      </c>
      <c r="SS3" s="237" t="str">
        <f t="shared" ref="SS3" si="122">RY3</f>
        <v/>
      </c>
      <c r="ST3" s="237" t="str">
        <f t="shared" ref="ST3" si="123">RZ3</f>
        <v/>
      </c>
      <c r="SU3" s="237" t="str">
        <f t="shared" ref="SU3" si="124">SA3</f>
        <v/>
      </c>
      <c r="SV3" s="237" t="str">
        <f t="shared" ref="SV3" si="125">SB3</f>
        <v/>
      </c>
      <c r="SW3" s="237" t="str">
        <f t="shared" ref="SW3" si="126">SC3</f>
        <v/>
      </c>
      <c r="SX3" s="237" t="str">
        <f t="shared" ref="SX3" si="127">SD3</f>
        <v/>
      </c>
      <c r="SY3" s="237" t="str">
        <f t="shared" ref="SY3" si="128">SE3</f>
        <v/>
      </c>
      <c r="SZ3" s="237" t="str">
        <f t="shared" ref="SZ3" si="129">SF3</f>
        <v/>
      </c>
      <c r="TA3" s="46" t="str">
        <f t="shared" ref="TA3" si="130">SG3</f>
        <v/>
      </c>
      <c r="TB3" s="46" t="str">
        <f t="shared" ref="TB3" si="131">SH3</f>
        <v/>
      </c>
      <c r="TC3" s="46" t="str">
        <f t="shared" ref="TC3" si="132">SI3</f>
        <v/>
      </c>
      <c r="TD3" s="46" t="str">
        <f t="shared" ref="TD3" si="133">SJ3</f>
        <v/>
      </c>
      <c r="TE3" s="46" t="str">
        <f t="shared" ref="TE3" si="134">SK3</f>
        <v/>
      </c>
      <c r="TF3" s="46" t="str">
        <f t="shared" ref="TF3" si="135">SL3</f>
        <v/>
      </c>
      <c r="TG3" s="46" t="str">
        <f t="shared" ref="TG3" si="136">SM3</f>
        <v/>
      </c>
      <c r="TH3" s="46" t="str">
        <f t="shared" ref="TH3" si="137">SN3</f>
        <v/>
      </c>
      <c r="TI3" s="46" t="str">
        <f t="shared" ref="TI3" si="138">SO3</f>
        <v/>
      </c>
      <c r="TJ3" s="46" t="str">
        <f t="shared" ref="TJ3" si="139">SP3</f>
        <v/>
      </c>
      <c r="TK3" s="238" t="str">
        <f t="shared" ref="TK3" si="140">SQ3</f>
        <v>CY2021</v>
      </c>
      <c r="TL3" s="237" t="str">
        <f t="shared" ref="TL3" si="141">SR3</f>
        <v/>
      </c>
      <c r="TM3" s="237" t="str">
        <f t="shared" ref="TM3" si="142">SS3</f>
        <v/>
      </c>
      <c r="TN3" s="237" t="str">
        <f t="shared" ref="TN3" si="143">ST3</f>
        <v/>
      </c>
      <c r="TO3" s="237" t="str">
        <f t="shared" ref="TO3" si="144">SU3</f>
        <v/>
      </c>
      <c r="TP3" s="237" t="str">
        <f t="shared" ref="TP3" si="145">SV3</f>
        <v/>
      </c>
      <c r="TQ3" s="237" t="str">
        <f t="shared" ref="TQ3" si="146">SW3</f>
        <v/>
      </c>
      <c r="TR3" s="237" t="str">
        <f t="shared" ref="TR3" si="147">SX3</f>
        <v/>
      </c>
      <c r="TS3" s="237" t="str">
        <f t="shared" ref="TS3" si="148">SY3</f>
        <v/>
      </c>
      <c r="TT3" s="237" t="str">
        <f t="shared" ref="TT3" si="149">SZ3</f>
        <v/>
      </c>
      <c r="TU3" s="46" t="str">
        <f t="shared" ref="TU3" si="150">TA3</f>
        <v/>
      </c>
      <c r="TV3" s="46" t="str">
        <f t="shared" ref="TV3" si="151">TB3</f>
        <v/>
      </c>
      <c r="TW3" s="46" t="str">
        <f t="shared" ref="TW3" si="152">TC3</f>
        <v/>
      </c>
      <c r="TX3" s="46" t="str">
        <f t="shared" ref="TX3" si="153">TD3</f>
        <v/>
      </c>
      <c r="TY3" s="46" t="str">
        <f t="shared" ref="TY3" si="154">TE3</f>
        <v/>
      </c>
      <c r="TZ3" s="46" t="str">
        <f t="shared" ref="TZ3" si="155">TF3</f>
        <v/>
      </c>
      <c r="UA3" s="46" t="str">
        <f t="shared" ref="UA3" si="156">TG3</f>
        <v/>
      </c>
      <c r="UB3" s="46" t="str">
        <f t="shared" ref="UB3" si="157">TH3</f>
        <v/>
      </c>
      <c r="UC3" s="46" t="str">
        <f t="shared" ref="UC3" si="158">TI3</f>
        <v/>
      </c>
      <c r="UD3" s="46" t="str">
        <f t="shared" ref="UD3" si="159">TJ3</f>
        <v/>
      </c>
      <c r="UE3" s="168" t="str">
        <f t="shared" ref="UE3" si="160">TK3</f>
        <v>CY2021</v>
      </c>
      <c r="UF3" s="168" t="str">
        <f t="shared" ref="UF3" si="161">TL3</f>
        <v/>
      </c>
      <c r="UG3" s="168" t="str">
        <f t="shared" ref="UG3" si="162">TM3</f>
        <v/>
      </c>
      <c r="UH3" s="168" t="str">
        <f t="shared" ref="UH3" si="163">TN3</f>
        <v/>
      </c>
      <c r="UI3" s="168" t="str">
        <f t="shared" ref="UI3" si="164">TO3</f>
        <v/>
      </c>
      <c r="UJ3" s="168" t="str">
        <f t="shared" ref="UJ3" si="165">TP3</f>
        <v/>
      </c>
      <c r="UK3" s="168" t="str">
        <f t="shared" ref="UK3" si="166">TQ3</f>
        <v/>
      </c>
      <c r="UL3" s="168" t="str">
        <f t="shared" ref="UL3" si="167">TR3</f>
        <v/>
      </c>
      <c r="UM3" s="168" t="str">
        <f t="shared" ref="UM3" si="168">TS3</f>
        <v/>
      </c>
      <c r="UN3" s="168" t="str">
        <f t="shared" ref="UN3" si="169">TT3</f>
        <v/>
      </c>
      <c r="UO3" s="168" t="str">
        <f t="shared" ref="UO3" si="170">TU3</f>
        <v/>
      </c>
      <c r="UP3" s="168" t="str">
        <f t="shared" ref="UP3" si="171">TV3</f>
        <v/>
      </c>
      <c r="UQ3" s="168" t="str">
        <f t="shared" ref="UQ3" si="172">TW3</f>
        <v/>
      </c>
      <c r="UR3" s="168" t="str">
        <f t="shared" ref="UR3" si="173">TX3</f>
        <v/>
      </c>
      <c r="US3" s="168" t="str">
        <f t="shared" ref="US3" si="174">TY3</f>
        <v/>
      </c>
      <c r="UT3" s="168" t="str">
        <f t="shared" ref="UT3" si="175">TZ3</f>
        <v/>
      </c>
      <c r="UU3" s="168" t="str">
        <f t="shared" ref="UU3" si="176">UA3</f>
        <v/>
      </c>
      <c r="UV3" s="168" t="str">
        <f t="shared" ref="UV3" si="177">UB3</f>
        <v/>
      </c>
      <c r="UW3" s="168" t="str">
        <f t="shared" ref="UW3" si="178">UC3</f>
        <v/>
      </c>
      <c r="UX3" s="168" t="str">
        <f t="shared" ref="UX3" si="179">UD3</f>
        <v/>
      </c>
    </row>
    <row r="4" spans="1:570" s="48" customFormat="1" outlineLevel="1" x14ac:dyDescent="0.2">
      <c r="D4" s="51" t="s">
        <v>75</v>
      </c>
      <c r="E4" s="44">
        <f>IF(WEEKDAY(E3-365)=7,E3-1,IF(WEEKDAY(E3-365)=1,E3-365-2,E3-365))</f>
        <v>44280</v>
      </c>
      <c r="H4" s="49"/>
      <c r="I4" s="49"/>
      <c r="J4" s="49"/>
      <c r="K4" s="208"/>
      <c r="L4" s="49"/>
      <c r="M4" s="49"/>
      <c r="N4" s="49"/>
      <c r="O4" s="49"/>
      <c r="P4" s="49"/>
      <c r="Q4" s="49"/>
      <c r="R4" s="49"/>
      <c r="AC4" s="168"/>
      <c r="AD4" s="19"/>
      <c r="AE4" s="46">
        <f>MATCH(StartPeriod,ImpData!$J$4:$J$15,0)</f>
        <v>12</v>
      </c>
      <c r="AF4" s="46">
        <f>MATCH(EndPeriod,ImpData!$J$4:$J$15,0)</f>
        <v>12</v>
      </c>
      <c r="BS4" s="156"/>
      <c r="BT4" s="156"/>
      <c r="BU4" s="156"/>
      <c r="BV4" s="156"/>
      <c r="BW4" s="156"/>
      <c r="CM4" s="156"/>
      <c r="CN4" s="156"/>
      <c r="CO4" s="156"/>
      <c r="CP4" s="156"/>
      <c r="CQ4" s="156"/>
      <c r="EA4" s="49"/>
      <c r="EU4" s="55"/>
      <c r="IP4" s="25"/>
      <c r="JW4" s="49"/>
      <c r="PO4" s="651">
        <f t="shared" ref="PO4:QH4" si="180">IFERROR(IF(PO3="","",IF(TimePeriodType="Annual",DATE(MID(PO3,3,4),12,31),EOMONTH(DATE(RIGHT(PO3,4),MID(PO3,3,1)*3,1),0))),"")</f>
        <v>44561</v>
      </c>
      <c r="PP4" s="651" t="str">
        <f t="shared" si="180"/>
        <v/>
      </c>
      <c r="PQ4" s="651" t="str">
        <f t="shared" si="180"/>
        <v/>
      </c>
      <c r="PR4" s="651" t="str">
        <f t="shared" si="180"/>
        <v/>
      </c>
      <c r="PS4" s="651" t="str">
        <f t="shared" si="180"/>
        <v/>
      </c>
      <c r="PT4" s="651" t="str">
        <f t="shared" si="180"/>
        <v/>
      </c>
      <c r="PU4" s="651" t="str">
        <f t="shared" si="180"/>
        <v/>
      </c>
      <c r="PV4" s="651" t="str">
        <f t="shared" si="180"/>
        <v/>
      </c>
      <c r="PW4" s="651" t="str">
        <f t="shared" si="180"/>
        <v/>
      </c>
      <c r="PX4" s="651" t="str">
        <f t="shared" si="180"/>
        <v/>
      </c>
      <c r="PY4" s="651" t="str">
        <f t="shared" si="180"/>
        <v/>
      </c>
      <c r="PZ4" s="651" t="str">
        <f t="shared" si="180"/>
        <v/>
      </c>
      <c r="QA4" s="651" t="str">
        <f t="shared" si="180"/>
        <v/>
      </c>
      <c r="QB4" s="651" t="str">
        <f t="shared" si="180"/>
        <v/>
      </c>
      <c r="QC4" s="651" t="str">
        <f t="shared" si="180"/>
        <v/>
      </c>
      <c r="QD4" s="651" t="str">
        <f t="shared" si="180"/>
        <v/>
      </c>
      <c r="QE4" s="651" t="str">
        <f t="shared" si="180"/>
        <v/>
      </c>
      <c r="QF4" s="651" t="str">
        <f t="shared" si="180"/>
        <v/>
      </c>
      <c r="QG4" s="651" t="str">
        <f t="shared" si="180"/>
        <v/>
      </c>
      <c r="QH4" s="651" t="str">
        <f t="shared" si="180"/>
        <v/>
      </c>
      <c r="QI4" s="46"/>
      <c r="QJ4" s="46"/>
      <c r="QK4" s="46"/>
      <c r="QL4" s="46"/>
      <c r="QM4" s="46"/>
      <c r="QN4" s="46"/>
      <c r="QO4" s="46"/>
      <c r="QP4" s="46"/>
      <c r="QQ4" s="46"/>
      <c r="QR4" s="46"/>
      <c r="QS4" s="46"/>
      <c r="QT4" s="46"/>
      <c r="QU4" s="46"/>
      <c r="QV4" s="46"/>
      <c r="QW4" s="46"/>
      <c r="QX4" s="46"/>
      <c r="QY4" s="46"/>
      <c r="QZ4" s="46"/>
      <c r="RA4" s="46"/>
      <c r="RB4" s="46"/>
      <c r="RC4" s="651">
        <f t="shared" ref="RC4:RV4" si="181">IFERROR(IF(RC3="","",IF(TimePeriodType="Annual",DATE(MID(RC3,3,4),12,31),EOMONTH(DATE(RIGHT(RC3,4),MID(RC3,3,1)*3,1),0))),"")</f>
        <v>44561</v>
      </c>
      <c r="RD4" s="651" t="str">
        <f t="shared" si="181"/>
        <v/>
      </c>
      <c r="RE4" s="651" t="str">
        <f t="shared" si="181"/>
        <v/>
      </c>
      <c r="RF4" s="651" t="str">
        <f t="shared" si="181"/>
        <v/>
      </c>
      <c r="RG4" s="651" t="str">
        <f t="shared" si="181"/>
        <v/>
      </c>
      <c r="RH4" s="651" t="str">
        <f t="shared" si="181"/>
        <v/>
      </c>
      <c r="RI4" s="651" t="str">
        <f t="shared" si="181"/>
        <v/>
      </c>
      <c r="RJ4" s="651" t="str">
        <f t="shared" si="181"/>
        <v/>
      </c>
      <c r="RK4" s="651" t="str">
        <f t="shared" si="181"/>
        <v/>
      </c>
      <c r="RL4" s="651" t="str">
        <f t="shared" si="181"/>
        <v/>
      </c>
      <c r="RM4" s="651" t="str">
        <f t="shared" si="181"/>
        <v/>
      </c>
      <c r="RN4" s="651" t="str">
        <f t="shared" si="181"/>
        <v/>
      </c>
      <c r="RO4" s="651" t="str">
        <f t="shared" si="181"/>
        <v/>
      </c>
      <c r="RP4" s="651" t="str">
        <f t="shared" si="181"/>
        <v/>
      </c>
      <c r="RQ4" s="651" t="str">
        <f t="shared" si="181"/>
        <v/>
      </c>
      <c r="RR4" s="651" t="str">
        <f t="shared" si="181"/>
        <v/>
      </c>
      <c r="RS4" s="651" t="str">
        <f t="shared" si="181"/>
        <v/>
      </c>
      <c r="RT4" s="651" t="str">
        <f t="shared" si="181"/>
        <v/>
      </c>
      <c r="RU4" s="651" t="str">
        <f t="shared" si="181"/>
        <v/>
      </c>
      <c r="RV4" s="651" t="str">
        <f t="shared" si="181"/>
        <v/>
      </c>
      <c r="RW4" s="46"/>
      <c r="RX4" s="46"/>
      <c r="RY4" s="46"/>
      <c r="RZ4" s="46"/>
      <c r="SA4" s="46"/>
      <c r="SB4" s="46"/>
      <c r="SC4" s="46"/>
      <c r="SD4" s="46"/>
      <c r="SE4" s="46"/>
      <c r="SF4" s="46"/>
      <c r="SG4" s="46"/>
      <c r="SH4" s="46"/>
      <c r="SI4" s="46"/>
      <c r="SJ4" s="46"/>
      <c r="SK4" s="46"/>
      <c r="SL4" s="46"/>
      <c r="SM4" s="46"/>
      <c r="SN4" s="46"/>
      <c r="SO4" s="46"/>
      <c r="SP4" s="46"/>
      <c r="SQ4" s="46"/>
      <c r="SR4" s="46"/>
      <c r="SS4" s="46"/>
      <c r="ST4" s="46"/>
      <c r="SU4" s="46"/>
      <c r="SV4" s="46"/>
      <c r="SW4" s="46"/>
      <c r="SX4" s="46"/>
      <c r="SY4" s="46"/>
      <c r="SZ4" s="46"/>
      <c r="TA4" s="46"/>
      <c r="TB4" s="46"/>
      <c r="TC4" s="46"/>
      <c r="TD4" s="46"/>
      <c r="TE4" s="46"/>
      <c r="TF4" s="46"/>
      <c r="TG4" s="46"/>
      <c r="TH4" s="46"/>
      <c r="TI4" s="46"/>
      <c r="TJ4" s="46"/>
      <c r="TK4" s="46" t="str">
        <f t="shared" ref="TK4:UD4" si="182">IF(TK3&lt;&gt;"",IF(TimePeriodType="Quarter","CQ" &amp; IF(VALUE(TK1)=1,4,TK1-1) &amp; IF(VALUE(TK1)=1,TK2-1,TK2), "CY" &amp; TK2-1),"")</f>
        <v>CY2020</v>
      </c>
      <c r="TL4" s="46" t="str">
        <f t="shared" si="182"/>
        <v/>
      </c>
      <c r="TM4" s="46" t="str">
        <f t="shared" si="182"/>
        <v/>
      </c>
      <c r="TN4" s="46" t="str">
        <f t="shared" si="182"/>
        <v/>
      </c>
      <c r="TO4" s="46" t="str">
        <f t="shared" si="182"/>
        <v/>
      </c>
      <c r="TP4" s="46" t="str">
        <f t="shared" si="182"/>
        <v/>
      </c>
      <c r="TQ4" s="46" t="str">
        <f t="shared" si="182"/>
        <v/>
      </c>
      <c r="TR4" s="46" t="str">
        <f t="shared" si="182"/>
        <v/>
      </c>
      <c r="TS4" s="46" t="str">
        <f t="shared" si="182"/>
        <v/>
      </c>
      <c r="TT4" s="46" t="str">
        <f t="shared" si="182"/>
        <v/>
      </c>
      <c r="TU4" s="46" t="str">
        <f t="shared" si="182"/>
        <v/>
      </c>
      <c r="TV4" s="46" t="str">
        <f t="shared" si="182"/>
        <v/>
      </c>
      <c r="TW4" s="46" t="str">
        <f t="shared" si="182"/>
        <v/>
      </c>
      <c r="TX4" s="46" t="str">
        <f t="shared" si="182"/>
        <v/>
      </c>
      <c r="TY4" s="46" t="str">
        <f t="shared" si="182"/>
        <v/>
      </c>
      <c r="TZ4" s="46" t="str">
        <f t="shared" si="182"/>
        <v/>
      </c>
      <c r="UA4" s="46" t="str">
        <f t="shared" si="182"/>
        <v/>
      </c>
      <c r="UB4" s="46" t="str">
        <f t="shared" si="182"/>
        <v/>
      </c>
      <c r="UC4" s="46" t="str">
        <f t="shared" si="182"/>
        <v/>
      </c>
      <c r="UD4" s="46" t="str">
        <f t="shared" si="182"/>
        <v/>
      </c>
    </row>
    <row r="5" spans="1:570" s="55" customFormat="1" x14ac:dyDescent="0.2">
      <c r="D5" s="56"/>
      <c r="E5" s="57"/>
      <c r="H5" s="58"/>
      <c r="I5" s="58"/>
      <c r="J5" s="58"/>
      <c r="K5" s="58"/>
      <c r="L5" s="59"/>
      <c r="M5" s="58"/>
      <c r="S5" s="58"/>
      <c r="T5" s="58"/>
      <c r="U5" s="58"/>
      <c r="V5" s="58"/>
      <c r="W5" s="58"/>
      <c r="X5" s="58"/>
      <c r="Y5" s="58"/>
      <c r="Z5" s="58"/>
      <c r="AA5" s="58"/>
      <c r="AB5" s="58"/>
      <c r="AC5" s="58"/>
      <c r="AD5" s="19"/>
      <c r="AE5" s="1516" t="s">
        <v>256</v>
      </c>
      <c r="AF5" s="1517"/>
      <c r="AG5" s="1517"/>
      <c r="AH5" s="1517"/>
      <c r="AI5" s="1517"/>
      <c r="AJ5" s="1517"/>
      <c r="AK5" s="1517"/>
      <c r="AL5" s="1517"/>
      <c r="AM5" s="1517"/>
      <c r="AN5" s="1517"/>
      <c r="AO5" s="1517"/>
      <c r="AP5" s="1517"/>
      <c r="AQ5" s="1517"/>
      <c r="AR5" s="1517"/>
      <c r="AS5" s="1517"/>
      <c r="AT5" s="1517"/>
      <c r="AU5" s="1517"/>
      <c r="AV5" s="1517"/>
      <c r="AW5" s="1517"/>
      <c r="AX5" s="1517"/>
      <c r="AY5" s="1516" t="s">
        <v>257</v>
      </c>
      <c r="AZ5" s="1517"/>
      <c r="BA5" s="1517"/>
      <c r="BB5" s="1517"/>
      <c r="BC5" s="1517"/>
      <c r="BD5" s="1517"/>
      <c r="BE5" s="1517"/>
      <c r="BF5" s="1517"/>
      <c r="BG5" s="1517"/>
      <c r="BH5" s="1517"/>
      <c r="BI5" s="1517"/>
      <c r="BJ5" s="1517"/>
      <c r="BK5" s="1517"/>
      <c r="BL5" s="1517"/>
      <c r="BM5" s="1517"/>
      <c r="BN5" s="1517"/>
      <c r="BO5" s="1517"/>
      <c r="BP5" s="1517"/>
      <c r="BQ5" s="1517"/>
      <c r="BR5" s="1517"/>
      <c r="BS5" s="1516" t="s">
        <v>94</v>
      </c>
      <c r="BT5" s="1517"/>
      <c r="BU5" s="1517"/>
      <c r="BV5" s="1517"/>
      <c r="BW5" s="1517"/>
      <c r="BX5" s="1517"/>
      <c r="BY5" s="1517"/>
      <c r="BZ5" s="1517"/>
      <c r="CA5" s="1517"/>
      <c r="CB5" s="1517"/>
      <c r="CC5" s="1517"/>
      <c r="CD5" s="1517"/>
      <c r="CE5" s="1517"/>
      <c r="CF5" s="1517"/>
      <c r="CG5" s="1517"/>
      <c r="CH5" s="1517"/>
      <c r="CI5" s="1517"/>
      <c r="CJ5" s="1517"/>
      <c r="CK5" s="1517"/>
      <c r="CL5" s="1517"/>
      <c r="CM5" s="1516" t="s">
        <v>90</v>
      </c>
      <c r="CN5" s="1517"/>
      <c r="CO5" s="1517"/>
      <c r="CP5" s="1517"/>
      <c r="CQ5" s="1517"/>
      <c r="CR5" s="1517"/>
      <c r="CS5" s="1517"/>
      <c r="CT5" s="1517"/>
      <c r="CU5" s="1517"/>
      <c r="CV5" s="1517"/>
      <c r="CW5" s="1517"/>
      <c r="CX5" s="1517"/>
      <c r="CY5" s="1517"/>
      <c r="CZ5" s="1517"/>
      <c r="DA5" s="1517"/>
      <c r="DB5" s="1517"/>
      <c r="DC5" s="1517"/>
      <c r="DD5" s="1517"/>
      <c r="DE5" s="1517"/>
      <c r="DF5" s="1517"/>
      <c r="DG5" s="1516" t="s">
        <v>258</v>
      </c>
      <c r="DH5" s="1517"/>
      <c r="DI5" s="1517"/>
      <c r="DJ5" s="1517"/>
      <c r="DK5" s="1517"/>
      <c r="DL5" s="1517"/>
      <c r="DM5" s="1517"/>
      <c r="DN5" s="1517"/>
      <c r="DO5" s="1517"/>
      <c r="DP5" s="1517"/>
      <c r="DQ5" s="1517"/>
      <c r="DR5" s="1517"/>
      <c r="DS5" s="1517"/>
      <c r="DT5" s="1517"/>
      <c r="DU5" s="1517"/>
      <c r="DV5" s="1517"/>
      <c r="DW5" s="1517"/>
      <c r="DX5" s="1517"/>
      <c r="DY5" s="1517"/>
      <c r="DZ5" s="1517"/>
      <c r="EA5" s="1516" t="s">
        <v>259</v>
      </c>
      <c r="EB5" s="1517"/>
      <c r="EC5" s="1517"/>
      <c r="ED5" s="1517"/>
      <c r="EE5" s="1517"/>
      <c r="EF5" s="1517"/>
      <c r="EG5" s="1517"/>
      <c r="EH5" s="1517"/>
      <c r="EI5" s="1517"/>
      <c r="EJ5" s="1517"/>
      <c r="EK5" s="1517"/>
      <c r="EL5" s="1517"/>
      <c r="EM5" s="1517"/>
      <c r="EN5" s="1517"/>
      <c r="EO5" s="1517"/>
      <c r="EP5" s="1517"/>
      <c r="EQ5" s="1517"/>
      <c r="ER5" s="1517"/>
      <c r="ES5" s="1517"/>
      <c r="ET5" s="1517"/>
      <c r="EU5" s="1516" t="s">
        <v>260</v>
      </c>
      <c r="EV5" s="1517"/>
      <c r="EW5" s="1517"/>
      <c r="EX5" s="1517"/>
      <c r="EY5" s="1517"/>
      <c r="EZ5" s="1517"/>
      <c r="FA5" s="1517"/>
      <c r="FB5" s="1517"/>
      <c r="FC5" s="1517"/>
      <c r="FD5" s="1517"/>
      <c r="FE5" s="1517"/>
      <c r="FF5" s="1517"/>
      <c r="FG5" s="1517"/>
      <c r="FH5" s="1517"/>
      <c r="FI5" s="1517"/>
      <c r="FJ5" s="1517"/>
      <c r="FK5" s="1517"/>
      <c r="FL5" s="1517"/>
      <c r="FM5" s="1517"/>
      <c r="FN5" s="1517"/>
      <c r="FO5" s="1516" t="s">
        <v>261</v>
      </c>
      <c r="FP5" s="1517"/>
      <c r="FQ5" s="1517"/>
      <c r="FR5" s="1517"/>
      <c r="FS5" s="1517"/>
      <c r="FT5" s="1517"/>
      <c r="FU5" s="1517"/>
      <c r="FV5" s="1517"/>
      <c r="FW5" s="1517"/>
      <c r="FX5" s="1517"/>
      <c r="FY5" s="1517"/>
      <c r="FZ5" s="1517"/>
      <c r="GA5" s="1517"/>
      <c r="GB5" s="1517"/>
      <c r="GC5" s="1517"/>
      <c r="GD5" s="1517"/>
      <c r="GE5" s="1517"/>
      <c r="GF5" s="1517"/>
      <c r="GG5" s="1517"/>
      <c r="GH5" s="1517"/>
      <c r="GI5" s="1516" t="s">
        <v>262</v>
      </c>
      <c r="GJ5" s="1517"/>
      <c r="GK5" s="1517"/>
      <c r="GL5" s="1517"/>
      <c r="GM5" s="1517"/>
      <c r="GN5" s="1517"/>
      <c r="GO5" s="1517"/>
      <c r="GP5" s="1517"/>
      <c r="GQ5" s="1517"/>
      <c r="GR5" s="1517"/>
      <c r="GS5" s="1517"/>
      <c r="GT5" s="1517"/>
      <c r="GU5" s="1517"/>
      <c r="GV5" s="1517"/>
      <c r="GW5" s="1517"/>
      <c r="GX5" s="1517"/>
      <c r="GY5" s="1517"/>
      <c r="GZ5" s="1517"/>
      <c r="HA5" s="1517"/>
      <c r="HB5" s="1517"/>
      <c r="HC5" s="1516" t="s">
        <v>263</v>
      </c>
      <c r="HD5" s="1517"/>
      <c r="HE5" s="1517"/>
      <c r="HF5" s="1517"/>
      <c r="HG5" s="1517"/>
      <c r="HH5" s="1517"/>
      <c r="HI5" s="1517"/>
      <c r="HJ5" s="1517"/>
      <c r="HK5" s="1517"/>
      <c r="HL5" s="1517"/>
      <c r="HM5" s="1517"/>
      <c r="HN5" s="1517"/>
      <c r="HO5" s="1517"/>
      <c r="HP5" s="1517"/>
      <c r="HQ5" s="1517"/>
      <c r="HR5" s="1517"/>
      <c r="HS5" s="1517"/>
      <c r="HT5" s="1517"/>
      <c r="HU5" s="1517"/>
      <c r="HV5" s="1517"/>
      <c r="HW5" s="1516" t="s">
        <v>93</v>
      </c>
      <c r="HX5" s="1517"/>
      <c r="HY5" s="1517"/>
      <c r="HZ5" s="1517"/>
      <c r="IA5" s="1517"/>
      <c r="IB5" s="1517"/>
      <c r="IC5" s="1517"/>
      <c r="ID5" s="1517"/>
      <c r="IE5" s="1517"/>
      <c r="IF5" s="1517"/>
      <c r="IG5" s="1517"/>
      <c r="IH5" s="1517"/>
      <c r="II5" s="1517"/>
      <c r="IJ5" s="1517"/>
      <c r="IK5" s="1517"/>
      <c r="IL5" s="1517"/>
      <c r="IM5" s="1517"/>
      <c r="IN5" s="1517"/>
      <c r="IO5" s="1517"/>
      <c r="IP5" s="1517"/>
      <c r="IQ5" s="1516" t="s">
        <v>68</v>
      </c>
      <c r="IR5" s="1517"/>
      <c r="IS5" s="1517"/>
      <c r="IT5" s="1517"/>
      <c r="IU5" s="1517"/>
      <c r="IV5" s="1517"/>
      <c r="IW5" s="1517"/>
      <c r="IX5" s="1517"/>
      <c r="IY5" s="1517"/>
      <c r="IZ5" s="1517"/>
      <c r="JA5" s="1517"/>
      <c r="JB5" s="1517"/>
      <c r="JC5" s="1517"/>
      <c r="JD5" s="1517"/>
      <c r="JE5" s="1517"/>
      <c r="JF5" s="1517"/>
      <c r="JG5" s="1517"/>
      <c r="JH5" s="1517"/>
      <c r="JI5" s="1517"/>
      <c r="JJ5" s="1517"/>
      <c r="JK5" s="1516" t="s">
        <v>264</v>
      </c>
      <c r="JL5" s="1517"/>
      <c r="JM5" s="1517"/>
      <c r="JN5" s="1517"/>
      <c r="JO5" s="1517"/>
      <c r="JP5" s="1517"/>
      <c r="JQ5" s="1517"/>
      <c r="JR5" s="1517"/>
      <c r="JS5" s="1517"/>
      <c r="JT5" s="1517"/>
      <c r="JU5" s="1517"/>
      <c r="JV5" s="1517"/>
      <c r="JW5" s="1517"/>
      <c r="JX5" s="1517"/>
      <c r="JY5" s="1517"/>
      <c r="JZ5" s="1517"/>
      <c r="KA5" s="1517"/>
      <c r="KB5" s="1517"/>
      <c r="KC5" s="1517"/>
      <c r="KD5" s="1517"/>
      <c r="KE5" s="1516" t="s">
        <v>196</v>
      </c>
      <c r="KF5" s="1517"/>
      <c r="KG5" s="1517"/>
      <c r="KH5" s="1517"/>
      <c r="KI5" s="1517"/>
      <c r="KJ5" s="1517"/>
      <c r="KK5" s="1517"/>
      <c r="KL5" s="1517"/>
      <c r="KM5" s="1517"/>
      <c r="KN5" s="1517"/>
      <c r="KO5" s="1517"/>
      <c r="KP5" s="1517"/>
      <c r="KQ5" s="1517"/>
      <c r="KR5" s="1517"/>
      <c r="KS5" s="1517"/>
      <c r="KT5" s="1517"/>
      <c r="KU5" s="1517"/>
      <c r="KV5" s="1517"/>
      <c r="KW5" s="1517"/>
      <c r="KX5" s="1517"/>
      <c r="KY5" s="1516" t="s">
        <v>203</v>
      </c>
      <c r="KZ5" s="1517"/>
      <c r="LA5" s="1517"/>
      <c r="LB5" s="1517"/>
      <c r="LC5" s="1517"/>
      <c r="LD5" s="1517"/>
      <c r="LE5" s="1517"/>
      <c r="LF5" s="1517"/>
      <c r="LG5" s="1517"/>
      <c r="LH5" s="1517"/>
      <c r="LI5" s="1517"/>
      <c r="LJ5" s="1517"/>
      <c r="LK5" s="1517"/>
      <c r="LL5" s="1517"/>
      <c r="LM5" s="1517"/>
      <c r="LN5" s="1517"/>
      <c r="LO5" s="1517"/>
      <c r="LP5" s="1517"/>
      <c r="LQ5" s="1517"/>
      <c r="LR5" s="1517"/>
      <c r="LS5" s="1516" t="s">
        <v>186</v>
      </c>
      <c r="LT5" s="1517"/>
      <c r="LU5" s="1517"/>
      <c r="LV5" s="1517"/>
      <c r="LW5" s="1517"/>
      <c r="LX5" s="1517"/>
      <c r="LY5" s="1517"/>
      <c r="LZ5" s="1517"/>
      <c r="MA5" s="1517"/>
      <c r="MB5" s="1517"/>
      <c r="MC5" s="1517"/>
      <c r="MD5" s="1517"/>
      <c r="ME5" s="1517"/>
      <c r="MF5" s="1517"/>
      <c r="MG5" s="1517"/>
      <c r="MH5" s="1517"/>
      <c r="MI5" s="1517"/>
      <c r="MJ5" s="1517"/>
      <c r="MK5" s="1517"/>
      <c r="ML5" s="1517"/>
      <c r="MM5" s="1516" t="s">
        <v>1072</v>
      </c>
      <c r="MN5" s="1517"/>
      <c r="MO5" s="1517"/>
      <c r="MP5" s="1517"/>
      <c r="MQ5" s="1517"/>
      <c r="MR5" s="1517"/>
      <c r="MS5" s="1517"/>
      <c r="MT5" s="1517"/>
      <c r="MU5" s="1517"/>
      <c r="MV5" s="1517"/>
      <c r="MW5" s="1517"/>
      <c r="MX5" s="1517"/>
      <c r="MY5" s="1517"/>
      <c r="MZ5" s="1517"/>
      <c r="NA5" s="1517"/>
      <c r="NB5" s="1517"/>
      <c r="NC5" s="1517"/>
      <c r="ND5" s="1517"/>
      <c r="NE5" s="1517"/>
      <c r="NF5" s="1517"/>
      <c r="NG5" s="1516" t="s">
        <v>1097</v>
      </c>
      <c r="NH5" s="1517"/>
      <c r="NI5" s="1517"/>
      <c r="NJ5" s="1517"/>
      <c r="NK5" s="1517"/>
      <c r="NL5" s="1517"/>
      <c r="NM5" s="1517"/>
      <c r="NN5" s="1517"/>
      <c r="NO5" s="1517"/>
      <c r="NP5" s="1517"/>
      <c r="NQ5" s="1517"/>
      <c r="NR5" s="1517"/>
      <c r="NS5" s="1517"/>
      <c r="NT5" s="1517"/>
      <c r="NU5" s="1517"/>
      <c r="NV5" s="1517"/>
      <c r="NW5" s="1517"/>
      <c r="NX5" s="1517"/>
      <c r="NY5" s="1517"/>
      <c r="NZ5" s="1517"/>
      <c r="OA5" s="1516" t="s">
        <v>1095</v>
      </c>
      <c r="OB5" s="1517"/>
      <c r="OC5" s="1517"/>
      <c r="OD5" s="1517"/>
      <c r="OE5" s="1517"/>
      <c r="OF5" s="1517"/>
      <c r="OG5" s="1517"/>
      <c r="OH5" s="1517"/>
      <c r="OI5" s="1517"/>
      <c r="OJ5" s="1517"/>
      <c r="OK5" s="1517"/>
      <c r="OL5" s="1517"/>
      <c r="OM5" s="1517"/>
      <c r="ON5" s="1517"/>
      <c r="OO5" s="1517"/>
      <c r="OP5" s="1517"/>
      <c r="OQ5" s="1517"/>
      <c r="OR5" s="1517"/>
      <c r="OS5" s="1517"/>
      <c r="OT5" s="1517"/>
      <c r="OU5" s="1516" t="s">
        <v>1098</v>
      </c>
      <c r="OV5" s="1517"/>
      <c r="OW5" s="1517"/>
      <c r="OX5" s="1517"/>
      <c r="OY5" s="1517"/>
      <c r="OZ5" s="1517"/>
      <c r="PA5" s="1517"/>
      <c r="PB5" s="1517"/>
      <c r="PC5" s="1517"/>
      <c r="PD5" s="1517"/>
      <c r="PE5" s="1517"/>
      <c r="PF5" s="1517"/>
      <c r="PG5" s="1517"/>
      <c r="PH5" s="1517"/>
      <c r="PI5" s="1517"/>
      <c r="PJ5" s="1517"/>
      <c r="PK5" s="1517"/>
      <c r="PL5" s="1517"/>
      <c r="PM5" s="1517"/>
      <c r="PN5" s="1517"/>
      <c r="PO5" s="1518" t="s">
        <v>1060</v>
      </c>
      <c r="PP5" s="1518"/>
      <c r="PQ5" s="1518"/>
      <c r="PR5" s="1518"/>
      <c r="PS5" s="1518"/>
      <c r="PT5" s="1518"/>
      <c r="PU5" s="1518"/>
      <c r="PV5" s="1518"/>
      <c r="PW5" s="1518"/>
      <c r="PX5" s="1518"/>
      <c r="PY5" s="1518"/>
      <c r="PZ5" s="1518"/>
      <c r="QA5" s="1518"/>
      <c r="QB5" s="1518"/>
      <c r="QC5" s="1518"/>
      <c r="QD5" s="1518"/>
      <c r="QE5" s="1518"/>
      <c r="QF5" s="1518"/>
      <c r="QG5" s="1518"/>
      <c r="QH5" s="1519"/>
      <c r="QI5" s="1518" t="s">
        <v>1055</v>
      </c>
      <c r="QJ5" s="1518"/>
      <c r="QK5" s="1518"/>
      <c r="QL5" s="1518"/>
      <c r="QM5" s="1518"/>
      <c r="QN5" s="1518"/>
      <c r="QO5" s="1518"/>
      <c r="QP5" s="1518"/>
      <c r="QQ5" s="1518"/>
      <c r="QR5" s="1518"/>
      <c r="QS5" s="1518"/>
      <c r="QT5" s="1518"/>
      <c r="QU5" s="1518"/>
      <c r="QV5" s="1518"/>
      <c r="QW5" s="1518"/>
      <c r="QX5" s="1518"/>
      <c r="QY5" s="1518"/>
      <c r="QZ5" s="1518"/>
      <c r="RA5" s="1518"/>
      <c r="RB5" s="1519"/>
      <c r="RC5" s="1518" t="s">
        <v>1061</v>
      </c>
      <c r="RD5" s="1518"/>
      <c r="RE5" s="1518"/>
      <c r="RF5" s="1518"/>
      <c r="RG5" s="1518"/>
      <c r="RH5" s="1518"/>
      <c r="RI5" s="1518"/>
      <c r="RJ5" s="1518"/>
      <c r="RK5" s="1518"/>
      <c r="RL5" s="1518"/>
      <c r="RM5" s="1518"/>
      <c r="RN5" s="1518"/>
      <c r="RO5" s="1518"/>
      <c r="RP5" s="1518"/>
      <c r="RQ5" s="1518"/>
      <c r="RR5" s="1518"/>
      <c r="RS5" s="1518"/>
      <c r="RT5" s="1518"/>
      <c r="RU5" s="1518"/>
      <c r="RV5" s="1519"/>
      <c r="RW5" s="1518" t="s">
        <v>1056</v>
      </c>
      <c r="RX5" s="1518"/>
      <c r="RY5" s="1518"/>
      <c r="RZ5" s="1518"/>
      <c r="SA5" s="1518"/>
      <c r="SB5" s="1518"/>
      <c r="SC5" s="1518"/>
      <c r="SD5" s="1518"/>
      <c r="SE5" s="1518"/>
      <c r="SF5" s="1518"/>
      <c r="SG5" s="1518"/>
      <c r="SH5" s="1518"/>
      <c r="SI5" s="1518"/>
      <c r="SJ5" s="1518"/>
      <c r="SK5" s="1518"/>
      <c r="SL5" s="1518"/>
      <c r="SM5" s="1518"/>
      <c r="SN5" s="1518"/>
      <c r="SO5" s="1518"/>
      <c r="SP5" s="1519"/>
      <c r="SQ5" s="1518" t="s">
        <v>1167</v>
      </c>
      <c r="SR5" s="1518"/>
      <c r="SS5" s="1518"/>
      <c r="ST5" s="1518"/>
      <c r="SU5" s="1518"/>
      <c r="SV5" s="1518"/>
      <c r="SW5" s="1518"/>
      <c r="SX5" s="1518"/>
      <c r="SY5" s="1518"/>
      <c r="SZ5" s="1518"/>
      <c r="TA5" s="1518"/>
      <c r="TB5" s="1518"/>
      <c r="TC5" s="1518"/>
      <c r="TD5" s="1518"/>
      <c r="TE5" s="1518"/>
      <c r="TF5" s="1518"/>
      <c r="TG5" s="1518"/>
      <c r="TH5" s="1518"/>
      <c r="TI5" s="1518"/>
      <c r="TJ5" s="1519"/>
      <c r="TK5" s="1518" t="s">
        <v>1192</v>
      </c>
      <c r="TL5" s="1518"/>
      <c r="TM5" s="1518"/>
      <c r="TN5" s="1518"/>
      <c r="TO5" s="1518"/>
      <c r="TP5" s="1518"/>
      <c r="TQ5" s="1518"/>
      <c r="TR5" s="1518"/>
      <c r="TS5" s="1518"/>
      <c r="TT5" s="1518"/>
      <c r="TU5" s="1518"/>
      <c r="TV5" s="1518"/>
      <c r="TW5" s="1518"/>
      <c r="TX5" s="1518"/>
      <c r="TY5" s="1518"/>
      <c r="TZ5" s="1518"/>
      <c r="UA5" s="1518"/>
      <c r="UB5" s="1518"/>
      <c r="UC5" s="1518"/>
      <c r="UD5" s="1519"/>
      <c r="UE5" s="1516" t="s">
        <v>1193</v>
      </c>
      <c r="UF5" s="1517"/>
      <c r="UG5" s="1517"/>
      <c r="UH5" s="1517"/>
      <c r="UI5" s="1517"/>
      <c r="UJ5" s="1517"/>
      <c r="UK5" s="1517"/>
      <c r="UL5" s="1517"/>
      <c r="UM5" s="1517"/>
      <c r="UN5" s="1517"/>
      <c r="UO5" s="1517"/>
      <c r="UP5" s="1517"/>
      <c r="UQ5" s="1517"/>
      <c r="UR5" s="1517"/>
      <c r="US5" s="1517"/>
      <c r="UT5" s="1517"/>
      <c r="UU5" s="1517"/>
      <c r="UV5" s="1517"/>
      <c r="UW5" s="1517"/>
      <c r="UX5" s="1517"/>
    </row>
    <row r="6" spans="1:570" ht="39" customHeight="1" x14ac:dyDescent="0.2">
      <c r="A6" s="60" t="s">
        <v>70</v>
      </c>
      <c r="B6" s="60" t="s">
        <v>69</v>
      </c>
      <c r="C6" s="60" t="s">
        <v>479</v>
      </c>
      <c r="D6" s="60" t="s">
        <v>71</v>
      </c>
      <c r="E6" s="61" t="s">
        <v>72</v>
      </c>
      <c r="F6" s="61" t="s">
        <v>73</v>
      </c>
      <c r="G6" s="62" t="s">
        <v>204</v>
      </c>
      <c r="H6" s="62" t="s">
        <v>265</v>
      </c>
      <c r="I6" s="224" t="s">
        <v>266</v>
      </c>
      <c r="J6" s="224" t="s">
        <v>257</v>
      </c>
      <c r="K6" s="224" t="s">
        <v>94</v>
      </c>
      <c r="L6" s="224" t="s">
        <v>200</v>
      </c>
      <c r="M6" s="224" t="s">
        <v>196</v>
      </c>
      <c r="N6" s="225" t="s">
        <v>264</v>
      </c>
      <c r="O6" s="224" t="s">
        <v>1072</v>
      </c>
      <c r="P6" s="224" t="s">
        <v>1093</v>
      </c>
      <c r="Q6" s="224" t="s">
        <v>267</v>
      </c>
      <c r="R6" s="224" t="s">
        <v>961</v>
      </c>
      <c r="S6" s="224" t="s">
        <v>259</v>
      </c>
      <c r="T6" s="224" t="s">
        <v>1207</v>
      </c>
      <c r="U6" s="224" t="s">
        <v>1097</v>
      </c>
      <c r="V6" s="224" t="s">
        <v>1208</v>
      </c>
      <c r="W6" s="224" t="s">
        <v>268</v>
      </c>
      <c r="X6" s="224" t="s">
        <v>1095</v>
      </c>
      <c r="Y6" s="225" t="s">
        <v>1167</v>
      </c>
      <c r="Z6" s="224" t="s">
        <v>68</v>
      </c>
      <c r="AA6" s="991" t="s">
        <v>203</v>
      </c>
      <c r="AB6" s="991" t="s">
        <v>1098</v>
      </c>
      <c r="AC6" s="991" t="s">
        <v>269</v>
      </c>
      <c r="AD6" s="228" t="s">
        <v>361</v>
      </c>
      <c r="AE6" s="65" t="str">
        <f t="shared" ref="AE6:AX6" si="183">IF(TimePeriodType="Quarter",IF(AE3="","",REPLACE(AE3,4,2,"'")),AE3)</f>
        <v>CY2021</v>
      </c>
      <c r="AF6" s="65" t="str">
        <f t="shared" si="183"/>
        <v/>
      </c>
      <c r="AG6" s="65" t="str">
        <f t="shared" si="183"/>
        <v/>
      </c>
      <c r="AH6" s="65" t="str">
        <f t="shared" si="183"/>
        <v/>
      </c>
      <c r="AI6" s="65" t="str">
        <f t="shared" si="183"/>
        <v/>
      </c>
      <c r="AJ6" s="65" t="str">
        <f t="shared" si="183"/>
        <v/>
      </c>
      <c r="AK6" s="65" t="str">
        <f t="shared" si="183"/>
        <v/>
      </c>
      <c r="AL6" s="65" t="str">
        <f t="shared" si="183"/>
        <v/>
      </c>
      <c r="AM6" s="65" t="str">
        <f t="shared" si="183"/>
        <v/>
      </c>
      <c r="AN6" s="65" t="str">
        <f t="shared" si="183"/>
        <v/>
      </c>
      <c r="AO6" s="65" t="str">
        <f t="shared" si="183"/>
        <v/>
      </c>
      <c r="AP6" s="65" t="str">
        <f t="shared" si="183"/>
        <v/>
      </c>
      <c r="AQ6" s="65" t="str">
        <f t="shared" si="183"/>
        <v/>
      </c>
      <c r="AR6" s="65" t="str">
        <f t="shared" si="183"/>
        <v/>
      </c>
      <c r="AS6" s="65" t="str">
        <f t="shared" si="183"/>
        <v/>
      </c>
      <c r="AT6" s="65" t="str">
        <f t="shared" si="183"/>
        <v/>
      </c>
      <c r="AU6" s="65" t="str">
        <f t="shared" si="183"/>
        <v/>
      </c>
      <c r="AV6" s="65" t="str">
        <f t="shared" si="183"/>
        <v/>
      </c>
      <c r="AW6" s="65" t="str">
        <f t="shared" si="183"/>
        <v/>
      </c>
      <c r="AX6" s="65" t="str">
        <f t="shared" si="183"/>
        <v/>
      </c>
      <c r="AY6" s="65" t="str">
        <f>AE6</f>
        <v>CY2021</v>
      </c>
      <c r="AZ6" s="65" t="str">
        <f t="shared" ref="AZ6:DK6" si="184">AF6</f>
        <v/>
      </c>
      <c r="BA6" s="65" t="str">
        <f t="shared" si="184"/>
        <v/>
      </c>
      <c r="BB6" s="65" t="str">
        <f t="shared" si="184"/>
        <v/>
      </c>
      <c r="BC6" s="65" t="str">
        <f t="shared" si="184"/>
        <v/>
      </c>
      <c r="BD6" s="65" t="str">
        <f t="shared" si="184"/>
        <v/>
      </c>
      <c r="BE6" s="65" t="str">
        <f t="shared" si="184"/>
        <v/>
      </c>
      <c r="BF6" s="65" t="str">
        <f t="shared" si="184"/>
        <v/>
      </c>
      <c r="BG6" s="65" t="str">
        <f t="shared" si="184"/>
        <v/>
      </c>
      <c r="BH6" s="65" t="str">
        <f t="shared" si="184"/>
        <v/>
      </c>
      <c r="BI6" s="65" t="str">
        <f t="shared" si="184"/>
        <v/>
      </c>
      <c r="BJ6" s="65" t="str">
        <f t="shared" si="184"/>
        <v/>
      </c>
      <c r="BK6" s="65" t="str">
        <f t="shared" si="184"/>
        <v/>
      </c>
      <c r="BL6" s="65" t="str">
        <f t="shared" si="184"/>
        <v/>
      </c>
      <c r="BM6" s="65" t="str">
        <f t="shared" si="184"/>
        <v/>
      </c>
      <c r="BN6" s="65" t="str">
        <f t="shared" si="184"/>
        <v/>
      </c>
      <c r="BO6" s="65" t="str">
        <f t="shared" si="184"/>
        <v/>
      </c>
      <c r="BP6" s="65" t="str">
        <f t="shared" si="184"/>
        <v/>
      </c>
      <c r="BQ6" s="65" t="str">
        <f t="shared" si="184"/>
        <v/>
      </c>
      <c r="BR6" s="65" t="str">
        <f t="shared" si="184"/>
        <v/>
      </c>
      <c r="BS6" s="65" t="str">
        <f t="shared" si="184"/>
        <v>CY2021</v>
      </c>
      <c r="BT6" s="65" t="str">
        <f t="shared" si="184"/>
        <v/>
      </c>
      <c r="BU6" s="65" t="str">
        <f t="shared" si="184"/>
        <v/>
      </c>
      <c r="BV6" s="65" t="str">
        <f t="shared" si="184"/>
        <v/>
      </c>
      <c r="BW6" s="65" t="str">
        <f t="shared" si="184"/>
        <v/>
      </c>
      <c r="BX6" s="65" t="str">
        <f t="shared" si="184"/>
        <v/>
      </c>
      <c r="BY6" s="65" t="str">
        <f t="shared" si="184"/>
        <v/>
      </c>
      <c r="BZ6" s="65" t="str">
        <f t="shared" si="184"/>
        <v/>
      </c>
      <c r="CA6" s="65" t="str">
        <f t="shared" si="184"/>
        <v/>
      </c>
      <c r="CB6" s="65" t="str">
        <f t="shared" si="184"/>
        <v/>
      </c>
      <c r="CC6" s="65" t="str">
        <f t="shared" si="184"/>
        <v/>
      </c>
      <c r="CD6" s="65" t="str">
        <f t="shared" si="184"/>
        <v/>
      </c>
      <c r="CE6" s="65" t="str">
        <f t="shared" si="184"/>
        <v/>
      </c>
      <c r="CF6" s="65" t="str">
        <f t="shared" si="184"/>
        <v/>
      </c>
      <c r="CG6" s="65" t="str">
        <f t="shared" si="184"/>
        <v/>
      </c>
      <c r="CH6" s="65" t="str">
        <f t="shared" si="184"/>
        <v/>
      </c>
      <c r="CI6" s="65" t="str">
        <f t="shared" si="184"/>
        <v/>
      </c>
      <c r="CJ6" s="65" t="str">
        <f t="shared" si="184"/>
        <v/>
      </c>
      <c r="CK6" s="65" t="str">
        <f t="shared" si="184"/>
        <v/>
      </c>
      <c r="CL6" s="65" t="str">
        <f t="shared" si="184"/>
        <v/>
      </c>
      <c r="CM6" s="65" t="str">
        <f t="shared" si="184"/>
        <v>CY2021</v>
      </c>
      <c r="CN6" s="65" t="str">
        <f t="shared" si="184"/>
        <v/>
      </c>
      <c r="CO6" s="65" t="str">
        <f t="shared" si="184"/>
        <v/>
      </c>
      <c r="CP6" s="65" t="str">
        <f t="shared" si="184"/>
        <v/>
      </c>
      <c r="CQ6" s="65" t="str">
        <f t="shared" si="184"/>
        <v/>
      </c>
      <c r="CR6" s="65" t="str">
        <f t="shared" si="184"/>
        <v/>
      </c>
      <c r="CS6" s="65" t="str">
        <f t="shared" si="184"/>
        <v/>
      </c>
      <c r="CT6" s="65" t="str">
        <f t="shared" si="184"/>
        <v/>
      </c>
      <c r="CU6" s="65" t="str">
        <f t="shared" si="184"/>
        <v/>
      </c>
      <c r="CV6" s="65" t="str">
        <f t="shared" si="184"/>
        <v/>
      </c>
      <c r="CW6" s="65" t="str">
        <f t="shared" si="184"/>
        <v/>
      </c>
      <c r="CX6" s="65" t="str">
        <f t="shared" si="184"/>
        <v/>
      </c>
      <c r="CY6" s="65" t="str">
        <f t="shared" si="184"/>
        <v/>
      </c>
      <c r="CZ6" s="65" t="str">
        <f t="shared" si="184"/>
        <v/>
      </c>
      <c r="DA6" s="65" t="str">
        <f t="shared" si="184"/>
        <v/>
      </c>
      <c r="DB6" s="65" t="str">
        <f t="shared" si="184"/>
        <v/>
      </c>
      <c r="DC6" s="65" t="str">
        <f t="shared" si="184"/>
        <v/>
      </c>
      <c r="DD6" s="65" t="str">
        <f t="shared" si="184"/>
        <v/>
      </c>
      <c r="DE6" s="65" t="str">
        <f t="shared" si="184"/>
        <v/>
      </c>
      <c r="DF6" s="65" t="str">
        <f t="shared" si="184"/>
        <v/>
      </c>
      <c r="DG6" s="65" t="str">
        <f t="shared" si="184"/>
        <v>CY2021</v>
      </c>
      <c r="DH6" s="65" t="str">
        <f t="shared" si="184"/>
        <v/>
      </c>
      <c r="DI6" s="65" t="str">
        <f t="shared" si="184"/>
        <v/>
      </c>
      <c r="DJ6" s="65" t="str">
        <f t="shared" si="184"/>
        <v/>
      </c>
      <c r="DK6" s="65" t="str">
        <f t="shared" si="184"/>
        <v/>
      </c>
      <c r="DL6" s="65" t="str">
        <f t="shared" ref="DL6:FW6" si="185">CR6</f>
        <v/>
      </c>
      <c r="DM6" s="65" t="str">
        <f t="shared" si="185"/>
        <v/>
      </c>
      <c r="DN6" s="65" t="str">
        <f t="shared" si="185"/>
        <v/>
      </c>
      <c r="DO6" s="65" t="str">
        <f t="shared" si="185"/>
        <v/>
      </c>
      <c r="DP6" s="65" t="str">
        <f t="shared" si="185"/>
        <v/>
      </c>
      <c r="DQ6" s="65" t="str">
        <f t="shared" si="185"/>
        <v/>
      </c>
      <c r="DR6" s="65" t="str">
        <f t="shared" si="185"/>
        <v/>
      </c>
      <c r="DS6" s="65" t="str">
        <f t="shared" si="185"/>
        <v/>
      </c>
      <c r="DT6" s="65" t="str">
        <f t="shared" si="185"/>
        <v/>
      </c>
      <c r="DU6" s="65" t="str">
        <f t="shared" si="185"/>
        <v/>
      </c>
      <c r="DV6" s="65" t="str">
        <f t="shared" si="185"/>
        <v/>
      </c>
      <c r="DW6" s="65" t="str">
        <f t="shared" si="185"/>
        <v/>
      </c>
      <c r="DX6" s="65" t="str">
        <f t="shared" si="185"/>
        <v/>
      </c>
      <c r="DY6" s="65" t="str">
        <f t="shared" si="185"/>
        <v/>
      </c>
      <c r="DZ6" s="65" t="str">
        <f t="shared" si="185"/>
        <v/>
      </c>
      <c r="EA6" s="65" t="str">
        <f t="shared" si="185"/>
        <v>CY2021</v>
      </c>
      <c r="EB6" s="65" t="str">
        <f t="shared" si="185"/>
        <v/>
      </c>
      <c r="EC6" s="65" t="str">
        <f t="shared" si="185"/>
        <v/>
      </c>
      <c r="ED6" s="65" t="str">
        <f t="shared" si="185"/>
        <v/>
      </c>
      <c r="EE6" s="65" t="str">
        <f t="shared" si="185"/>
        <v/>
      </c>
      <c r="EF6" s="65" t="str">
        <f t="shared" si="185"/>
        <v/>
      </c>
      <c r="EG6" s="65" t="str">
        <f t="shared" si="185"/>
        <v/>
      </c>
      <c r="EH6" s="65" t="str">
        <f t="shared" si="185"/>
        <v/>
      </c>
      <c r="EI6" s="65" t="str">
        <f t="shared" si="185"/>
        <v/>
      </c>
      <c r="EJ6" s="65" t="str">
        <f t="shared" si="185"/>
        <v/>
      </c>
      <c r="EK6" s="65" t="str">
        <f t="shared" si="185"/>
        <v/>
      </c>
      <c r="EL6" s="65" t="str">
        <f t="shared" si="185"/>
        <v/>
      </c>
      <c r="EM6" s="65" t="str">
        <f t="shared" si="185"/>
        <v/>
      </c>
      <c r="EN6" s="65" t="str">
        <f t="shared" si="185"/>
        <v/>
      </c>
      <c r="EO6" s="65" t="str">
        <f t="shared" si="185"/>
        <v/>
      </c>
      <c r="EP6" s="65" t="str">
        <f t="shared" si="185"/>
        <v/>
      </c>
      <c r="EQ6" s="65" t="str">
        <f t="shared" si="185"/>
        <v/>
      </c>
      <c r="ER6" s="65" t="str">
        <f t="shared" si="185"/>
        <v/>
      </c>
      <c r="ES6" s="65" t="str">
        <f t="shared" si="185"/>
        <v/>
      </c>
      <c r="ET6" s="65" t="str">
        <f t="shared" si="185"/>
        <v/>
      </c>
      <c r="EU6" s="65" t="str">
        <f t="shared" si="185"/>
        <v>CY2021</v>
      </c>
      <c r="EV6" s="65" t="str">
        <f t="shared" si="185"/>
        <v/>
      </c>
      <c r="EW6" s="65" t="str">
        <f t="shared" si="185"/>
        <v/>
      </c>
      <c r="EX6" s="65" t="str">
        <f t="shared" si="185"/>
        <v/>
      </c>
      <c r="EY6" s="65" t="str">
        <f t="shared" si="185"/>
        <v/>
      </c>
      <c r="EZ6" s="65" t="str">
        <f t="shared" si="185"/>
        <v/>
      </c>
      <c r="FA6" s="65" t="str">
        <f t="shared" si="185"/>
        <v/>
      </c>
      <c r="FB6" s="65" t="str">
        <f t="shared" si="185"/>
        <v/>
      </c>
      <c r="FC6" s="65" t="str">
        <f t="shared" si="185"/>
        <v/>
      </c>
      <c r="FD6" s="65" t="str">
        <f t="shared" si="185"/>
        <v/>
      </c>
      <c r="FE6" s="65" t="str">
        <f t="shared" si="185"/>
        <v/>
      </c>
      <c r="FF6" s="65" t="str">
        <f t="shared" si="185"/>
        <v/>
      </c>
      <c r="FG6" s="65" t="str">
        <f t="shared" si="185"/>
        <v/>
      </c>
      <c r="FH6" s="65" t="str">
        <f t="shared" si="185"/>
        <v/>
      </c>
      <c r="FI6" s="65" t="str">
        <f t="shared" si="185"/>
        <v/>
      </c>
      <c r="FJ6" s="65" t="str">
        <f t="shared" si="185"/>
        <v/>
      </c>
      <c r="FK6" s="65" t="str">
        <f t="shared" si="185"/>
        <v/>
      </c>
      <c r="FL6" s="65" t="str">
        <f t="shared" si="185"/>
        <v/>
      </c>
      <c r="FM6" s="65" t="str">
        <f t="shared" si="185"/>
        <v/>
      </c>
      <c r="FN6" s="65" t="str">
        <f t="shared" si="185"/>
        <v/>
      </c>
      <c r="FO6" s="65" t="str">
        <f t="shared" si="185"/>
        <v>CY2021</v>
      </c>
      <c r="FP6" s="65" t="str">
        <f t="shared" si="185"/>
        <v/>
      </c>
      <c r="FQ6" s="65" t="str">
        <f t="shared" si="185"/>
        <v/>
      </c>
      <c r="FR6" s="65" t="str">
        <f t="shared" si="185"/>
        <v/>
      </c>
      <c r="FS6" s="65" t="str">
        <f t="shared" si="185"/>
        <v/>
      </c>
      <c r="FT6" s="65" t="str">
        <f t="shared" si="185"/>
        <v/>
      </c>
      <c r="FU6" s="65" t="str">
        <f t="shared" si="185"/>
        <v/>
      </c>
      <c r="FV6" s="65" t="str">
        <f t="shared" si="185"/>
        <v/>
      </c>
      <c r="FW6" s="65" t="str">
        <f t="shared" si="185"/>
        <v/>
      </c>
      <c r="FX6" s="65" t="str">
        <f t="shared" ref="FX6:II6" si="186">FD6</f>
        <v/>
      </c>
      <c r="FY6" s="65" t="str">
        <f t="shared" si="186"/>
        <v/>
      </c>
      <c r="FZ6" s="65" t="str">
        <f t="shared" si="186"/>
        <v/>
      </c>
      <c r="GA6" s="65" t="str">
        <f t="shared" si="186"/>
        <v/>
      </c>
      <c r="GB6" s="65" t="str">
        <f t="shared" si="186"/>
        <v/>
      </c>
      <c r="GC6" s="65" t="str">
        <f t="shared" si="186"/>
        <v/>
      </c>
      <c r="GD6" s="65" t="str">
        <f t="shared" si="186"/>
        <v/>
      </c>
      <c r="GE6" s="65" t="str">
        <f t="shared" si="186"/>
        <v/>
      </c>
      <c r="GF6" s="65" t="str">
        <f t="shared" si="186"/>
        <v/>
      </c>
      <c r="GG6" s="65" t="str">
        <f t="shared" si="186"/>
        <v/>
      </c>
      <c r="GH6" s="65" t="str">
        <f t="shared" si="186"/>
        <v/>
      </c>
      <c r="GI6" s="65" t="str">
        <f t="shared" si="186"/>
        <v>CY2021</v>
      </c>
      <c r="GJ6" s="65" t="str">
        <f t="shared" si="186"/>
        <v/>
      </c>
      <c r="GK6" s="65" t="str">
        <f t="shared" si="186"/>
        <v/>
      </c>
      <c r="GL6" s="65" t="str">
        <f t="shared" si="186"/>
        <v/>
      </c>
      <c r="GM6" s="65" t="str">
        <f t="shared" si="186"/>
        <v/>
      </c>
      <c r="GN6" s="65" t="str">
        <f t="shared" si="186"/>
        <v/>
      </c>
      <c r="GO6" s="65" t="str">
        <f t="shared" si="186"/>
        <v/>
      </c>
      <c r="GP6" s="65" t="str">
        <f t="shared" si="186"/>
        <v/>
      </c>
      <c r="GQ6" s="65" t="str">
        <f t="shared" si="186"/>
        <v/>
      </c>
      <c r="GR6" s="65" t="str">
        <f t="shared" si="186"/>
        <v/>
      </c>
      <c r="GS6" s="65" t="str">
        <f t="shared" si="186"/>
        <v/>
      </c>
      <c r="GT6" s="65" t="str">
        <f t="shared" si="186"/>
        <v/>
      </c>
      <c r="GU6" s="65" t="str">
        <f t="shared" si="186"/>
        <v/>
      </c>
      <c r="GV6" s="65" t="str">
        <f t="shared" si="186"/>
        <v/>
      </c>
      <c r="GW6" s="65" t="str">
        <f t="shared" si="186"/>
        <v/>
      </c>
      <c r="GX6" s="65" t="str">
        <f t="shared" si="186"/>
        <v/>
      </c>
      <c r="GY6" s="65" t="str">
        <f t="shared" si="186"/>
        <v/>
      </c>
      <c r="GZ6" s="65" t="str">
        <f t="shared" si="186"/>
        <v/>
      </c>
      <c r="HA6" s="65" t="str">
        <f t="shared" si="186"/>
        <v/>
      </c>
      <c r="HB6" s="65" t="str">
        <f t="shared" si="186"/>
        <v/>
      </c>
      <c r="HC6" s="65" t="str">
        <f t="shared" si="186"/>
        <v>CY2021</v>
      </c>
      <c r="HD6" s="65" t="str">
        <f t="shared" si="186"/>
        <v/>
      </c>
      <c r="HE6" s="65" t="str">
        <f t="shared" si="186"/>
        <v/>
      </c>
      <c r="HF6" s="65" t="str">
        <f t="shared" si="186"/>
        <v/>
      </c>
      <c r="HG6" s="65" t="str">
        <f t="shared" si="186"/>
        <v/>
      </c>
      <c r="HH6" s="65" t="str">
        <f t="shared" si="186"/>
        <v/>
      </c>
      <c r="HI6" s="65" t="str">
        <f t="shared" si="186"/>
        <v/>
      </c>
      <c r="HJ6" s="65" t="str">
        <f t="shared" si="186"/>
        <v/>
      </c>
      <c r="HK6" s="65" t="str">
        <f t="shared" si="186"/>
        <v/>
      </c>
      <c r="HL6" s="65" t="str">
        <f t="shared" si="186"/>
        <v/>
      </c>
      <c r="HM6" s="65" t="str">
        <f t="shared" si="186"/>
        <v/>
      </c>
      <c r="HN6" s="65" t="str">
        <f t="shared" si="186"/>
        <v/>
      </c>
      <c r="HO6" s="65" t="str">
        <f t="shared" si="186"/>
        <v/>
      </c>
      <c r="HP6" s="65" t="str">
        <f t="shared" si="186"/>
        <v/>
      </c>
      <c r="HQ6" s="65" t="str">
        <f t="shared" si="186"/>
        <v/>
      </c>
      <c r="HR6" s="65" t="str">
        <f t="shared" si="186"/>
        <v/>
      </c>
      <c r="HS6" s="65" t="str">
        <f t="shared" si="186"/>
        <v/>
      </c>
      <c r="HT6" s="65" t="str">
        <f t="shared" si="186"/>
        <v/>
      </c>
      <c r="HU6" s="65" t="str">
        <f t="shared" si="186"/>
        <v/>
      </c>
      <c r="HV6" s="65" t="str">
        <f t="shared" si="186"/>
        <v/>
      </c>
      <c r="HW6" s="65" t="str">
        <f t="shared" si="186"/>
        <v>CY2021</v>
      </c>
      <c r="HX6" s="65" t="str">
        <f t="shared" si="186"/>
        <v/>
      </c>
      <c r="HY6" s="65" t="str">
        <f t="shared" si="186"/>
        <v/>
      </c>
      <c r="HZ6" s="65" t="str">
        <f t="shared" si="186"/>
        <v/>
      </c>
      <c r="IA6" s="65" t="str">
        <f t="shared" si="186"/>
        <v/>
      </c>
      <c r="IB6" s="65" t="str">
        <f t="shared" si="186"/>
        <v/>
      </c>
      <c r="IC6" s="65" t="str">
        <f t="shared" si="186"/>
        <v/>
      </c>
      <c r="ID6" s="65" t="str">
        <f t="shared" si="186"/>
        <v/>
      </c>
      <c r="IE6" s="65" t="str">
        <f t="shared" si="186"/>
        <v/>
      </c>
      <c r="IF6" s="65" t="str">
        <f t="shared" si="186"/>
        <v/>
      </c>
      <c r="IG6" s="65" t="str">
        <f t="shared" si="186"/>
        <v/>
      </c>
      <c r="IH6" s="65" t="str">
        <f t="shared" si="186"/>
        <v/>
      </c>
      <c r="II6" s="65" t="str">
        <f t="shared" si="186"/>
        <v/>
      </c>
      <c r="IJ6" s="65" t="str">
        <f t="shared" ref="IJ6:KU6" si="187">HP6</f>
        <v/>
      </c>
      <c r="IK6" s="65" t="str">
        <f t="shared" si="187"/>
        <v/>
      </c>
      <c r="IL6" s="65" t="str">
        <f t="shared" si="187"/>
        <v/>
      </c>
      <c r="IM6" s="65" t="str">
        <f t="shared" si="187"/>
        <v/>
      </c>
      <c r="IN6" s="65" t="str">
        <f t="shared" si="187"/>
        <v/>
      </c>
      <c r="IO6" s="65" t="str">
        <f t="shared" si="187"/>
        <v/>
      </c>
      <c r="IP6" s="65" t="str">
        <f t="shared" si="187"/>
        <v/>
      </c>
      <c r="IQ6" s="65" t="str">
        <f t="shared" si="187"/>
        <v>CY2021</v>
      </c>
      <c r="IR6" s="65" t="str">
        <f t="shared" si="187"/>
        <v/>
      </c>
      <c r="IS6" s="65" t="str">
        <f t="shared" si="187"/>
        <v/>
      </c>
      <c r="IT6" s="65" t="str">
        <f t="shared" si="187"/>
        <v/>
      </c>
      <c r="IU6" s="65" t="str">
        <f t="shared" si="187"/>
        <v/>
      </c>
      <c r="IV6" s="65" t="str">
        <f t="shared" si="187"/>
        <v/>
      </c>
      <c r="IW6" s="65" t="str">
        <f t="shared" si="187"/>
        <v/>
      </c>
      <c r="IX6" s="65" t="str">
        <f t="shared" si="187"/>
        <v/>
      </c>
      <c r="IY6" s="65" t="str">
        <f t="shared" si="187"/>
        <v/>
      </c>
      <c r="IZ6" s="65" t="str">
        <f t="shared" si="187"/>
        <v/>
      </c>
      <c r="JA6" s="65" t="str">
        <f t="shared" si="187"/>
        <v/>
      </c>
      <c r="JB6" s="65" t="str">
        <f t="shared" si="187"/>
        <v/>
      </c>
      <c r="JC6" s="65" t="str">
        <f t="shared" si="187"/>
        <v/>
      </c>
      <c r="JD6" s="65" t="str">
        <f t="shared" si="187"/>
        <v/>
      </c>
      <c r="JE6" s="65" t="str">
        <f t="shared" si="187"/>
        <v/>
      </c>
      <c r="JF6" s="65" t="str">
        <f t="shared" si="187"/>
        <v/>
      </c>
      <c r="JG6" s="65" t="str">
        <f t="shared" si="187"/>
        <v/>
      </c>
      <c r="JH6" s="65" t="str">
        <f t="shared" si="187"/>
        <v/>
      </c>
      <c r="JI6" s="65" t="str">
        <f t="shared" si="187"/>
        <v/>
      </c>
      <c r="JJ6" s="65" t="str">
        <f t="shared" si="187"/>
        <v/>
      </c>
      <c r="JK6" s="65" t="str">
        <f t="shared" si="187"/>
        <v>CY2021</v>
      </c>
      <c r="JL6" s="65" t="str">
        <f t="shared" si="187"/>
        <v/>
      </c>
      <c r="JM6" s="65" t="str">
        <f t="shared" si="187"/>
        <v/>
      </c>
      <c r="JN6" s="65" t="str">
        <f t="shared" si="187"/>
        <v/>
      </c>
      <c r="JO6" s="65" t="str">
        <f t="shared" si="187"/>
        <v/>
      </c>
      <c r="JP6" s="65" t="str">
        <f t="shared" si="187"/>
        <v/>
      </c>
      <c r="JQ6" s="65" t="str">
        <f t="shared" si="187"/>
        <v/>
      </c>
      <c r="JR6" s="65" t="str">
        <f t="shared" si="187"/>
        <v/>
      </c>
      <c r="JS6" s="65" t="str">
        <f t="shared" si="187"/>
        <v/>
      </c>
      <c r="JT6" s="65" t="str">
        <f t="shared" si="187"/>
        <v/>
      </c>
      <c r="JU6" s="65" t="str">
        <f t="shared" si="187"/>
        <v/>
      </c>
      <c r="JV6" s="65" t="str">
        <f t="shared" si="187"/>
        <v/>
      </c>
      <c r="JW6" s="65" t="str">
        <f t="shared" si="187"/>
        <v/>
      </c>
      <c r="JX6" s="65" t="str">
        <f t="shared" si="187"/>
        <v/>
      </c>
      <c r="JY6" s="65" t="str">
        <f t="shared" si="187"/>
        <v/>
      </c>
      <c r="JZ6" s="65" t="str">
        <f t="shared" si="187"/>
        <v/>
      </c>
      <c r="KA6" s="65" t="str">
        <f t="shared" si="187"/>
        <v/>
      </c>
      <c r="KB6" s="65" t="str">
        <f t="shared" si="187"/>
        <v/>
      </c>
      <c r="KC6" s="65" t="str">
        <f t="shared" si="187"/>
        <v/>
      </c>
      <c r="KD6" s="65" t="str">
        <f t="shared" si="187"/>
        <v/>
      </c>
      <c r="KE6" s="65" t="str">
        <f t="shared" si="187"/>
        <v>CY2021</v>
      </c>
      <c r="KF6" s="65" t="str">
        <f t="shared" si="187"/>
        <v/>
      </c>
      <c r="KG6" s="65" t="str">
        <f t="shared" si="187"/>
        <v/>
      </c>
      <c r="KH6" s="65" t="str">
        <f t="shared" si="187"/>
        <v/>
      </c>
      <c r="KI6" s="65" t="str">
        <f t="shared" si="187"/>
        <v/>
      </c>
      <c r="KJ6" s="65" t="str">
        <f t="shared" si="187"/>
        <v/>
      </c>
      <c r="KK6" s="65" t="str">
        <f t="shared" si="187"/>
        <v/>
      </c>
      <c r="KL6" s="65" t="str">
        <f t="shared" si="187"/>
        <v/>
      </c>
      <c r="KM6" s="65" t="str">
        <f t="shared" si="187"/>
        <v/>
      </c>
      <c r="KN6" s="65" t="str">
        <f t="shared" si="187"/>
        <v/>
      </c>
      <c r="KO6" s="65" t="str">
        <f t="shared" si="187"/>
        <v/>
      </c>
      <c r="KP6" s="65" t="str">
        <f t="shared" si="187"/>
        <v/>
      </c>
      <c r="KQ6" s="65" t="str">
        <f t="shared" si="187"/>
        <v/>
      </c>
      <c r="KR6" s="65" t="str">
        <f t="shared" si="187"/>
        <v/>
      </c>
      <c r="KS6" s="65" t="str">
        <f t="shared" si="187"/>
        <v/>
      </c>
      <c r="KT6" s="65" t="str">
        <f t="shared" si="187"/>
        <v/>
      </c>
      <c r="KU6" s="65" t="str">
        <f t="shared" si="187"/>
        <v/>
      </c>
      <c r="KV6" s="65" t="str">
        <f t="shared" ref="KV6:ML6" si="188">KB6</f>
        <v/>
      </c>
      <c r="KW6" s="65" t="str">
        <f t="shared" si="188"/>
        <v/>
      </c>
      <c r="KX6" s="65" t="str">
        <f t="shared" si="188"/>
        <v/>
      </c>
      <c r="KY6" s="65" t="str">
        <f t="shared" si="188"/>
        <v>CY2021</v>
      </c>
      <c r="KZ6" s="65" t="str">
        <f t="shared" si="188"/>
        <v/>
      </c>
      <c r="LA6" s="65" t="str">
        <f t="shared" si="188"/>
        <v/>
      </c>
      <c r="LB6" s="65" t="str">
        <f t="shared" si="188"/>
        <v/>
      </c>
      <c r="LC6" s="65" t="str">
        <f t="shared" si="188"/>
        <v/>
      </c>
      <c r="LD6" s="65" t="str">
        <f t="shared" si="188"/>
        <v/>
      </c>
      <c r="LE6" s="65" t="str">
        <f t="shared" si="188"/>
        <v/>
      </c>
      <c r="LF6" s="65" t="str">
        <f t="shared" si="188"/>
        <v/>
      </c>
      <c r="LG6" s="65" t="str">
        <f t="shared" si="188"/>
        <v/>
      </c>
      <c r="LH6" s="65" t="str">
        <f t="shared" si="188"/>
        <v/>
      </c>
      <c r="LI6" s="65" t="str">
        <f t="shared" si="188"/>
        <v/>
      </c>
      <c r="LJ6" s="65" t="str">
        <f t="shared" si="188"/>
        <v/>
      </c>
      <c r="LK6" s="65" t="str">
        <f t="shared" si="188"/>
        <v/>
      </c>
      <c r="LL6" s="65" t="str">
        <f t="shared" si="188"/>
        <v/>
      </c>
      <c r="LM6" s="65" t="str">
        <f t="shared" si="188"/>
        <v/>
      </c>
      <c r="LN6" s="65" t="str">
        <f t="shared" si="188"/>
        <v/>
      </c>
      <c r="LO6" s="65" t="str">
        <f t="shared" si="188"/>
        <v/>
      </c>
      <c r="LP6" s="65" t="str">
        <f t="shared" si="188"/>
        <v/>
      </c>
      <c r="LQ6" s="65" t="str">
        <f t="shared" si="188"/>
        <v/>
      </c>
      <c r="LR6" s="65" t="str">
        <f t="shared" si="188"/>
        <v/>
      </c>
      <c r="LS6" s="65" t="str">
        <f t="shared" si="188"/>
        <v>CY2021</v>
      </c>
      <c r="LT6" s="65" t="str">
        <f t="shared" si="188"/>
        <v/>
      </c>
      <c r="LU6" s="65" t="str">
        <f t="shared" si="188"/>
        <v/>
      </c>
      <c r="LV6" s="65" t="str">
        <f t="shared" si="188"/>
        <v/>
      </c>
      <c r="LW6" s="65" t="str">
        <f t="shared" si="188"/>
        <v/>
      </c>
      <c r="LX6" s="65" t="str">
        <f t="shared" si="188"/>
        <v/>
      </c>
      <c r="LY6" s="65" t="str">
        <f t="shared" si="188"/>
        <v/>
      </c>
      <c r="LZ6" s="65" t="str">
        <f t="shared" si="188"/>
        <v/>
      </c>
      <c r="MA6" s="65" t="str">
        <f t="shared" si="188"/>
        <v/>
      </c>
      <c r="MB6" s="65" t="str">
        <f t="shared" si="188"/>
        <v/>
      </c>
      <c r="MC6" s="65" t="str">
        <f t="shared" si="188"/>
        <v/>
      </c>
      <c r="MD6" s="315" t="str">
        <f t="shared" si="188"/>
        <v/>
      </c>
      <c r="ME6" s="65" t="str">
        <f t="shared" si="188"/>
        <v/>
      </c>
      <c r="MF6" s="65" t="str">
        <f t="shared" si="188"/>
        <v/>
      </c>
      <c r="MG6" s="65" t="str">
        <f t="shared" si="188"/>
        <v/>
      </c>
      <c r="MH6" s="65" t="str">
        <f t="shared" si="188"/>
        <v/>
      </c>
      <c r="MI6" s="65" t="str">
        <f t="shared" si="188"/>
        <v/>
      </c>
      <c r="MJ6" s="65" t="str">
        <f t="shared" si="188"/>
        <v/>
      </c>
      <c r="MK6" s="65" t="str">
        <f t="shared" si="188"/>
        <v/>
      </c>
      <c r="ML6" s="65" t="str">
        <f t="shared" si="188"/>
        <v/>
      </c>
      <c r="MM6" s="65" t="str">
        <f t="shared" ref="MM6" si="189">LS6</f>
        <v>CY2021</v>
      </c>
      <c r="MN6" s="65" t="str">
        <f t="shared" ref="MN6" si="190">LT6</f>
        <v/>
      </c>
      <c r="MO6" s="65" t="str">
        <f t="shared" ref="MO6" si="191">LU6</f>
        <v/>
      </c>
      <c r="MP6" s="65" t="str">
        <f t="shared" ref="MP6" si="192">LV6</f>
        <v/>
      </c>
      <c r="MQ6" s="65" t="str">
        <f t="shared" ref="MQ6" si="193">LW6</f>
        <v/>
      </c>
      <c r="MR6" s="65" t="str">
        <f t="shared" ref="MR6" si="194">LX6</f>
        <v/>
      </c>
      <c r="MS6" s="65" t="str">
        <f t="shared" ref="MS6" si="195">LY6</f>
        <v/>
      </c>
      <c r="MT6" s="65" t="str">
        <f t="shared" ref="MT6" si="196">LZ6</f>
        <v/>
      </c>
      <c r="MU6" s="65" t="str">
        <f t="shared" ref="MU6" si="197">MA6</f>
        <v/>
      </c>
      <c r="MV6" s="65" t="str">
        <f t="shared" ref="MV6" si="198">MB6</f>
        <v/>
      </c>
      <c r="MW6" s="65" t="str">
        <f t="shared" ref="MW6" si="199">MC6</f>
        <v/>
      </c>
      <c r="MX6" s="315" t="str">
        <f t="shared" ref="MX6" si="200">MD6</f>
        <v/>
      </c>
      <c r="MY6" s="65" t="str">
        <f t="shared" ref="MY6" si="201">ME6</f>
        <v/>
      </c>
      <c r="MZ6" s="65" t="str">
        <f t="shared" ref="MZ6" si="202">MF6</f>
        <v/>
      </c>
      <c r="NA6" s="65" t="str">
        <f t="shared" ref="NA6" si="203">MG6</f>
        <v/>
      </c>
      <c r="NB6" s="65" t="str">
        <f t="shared" ref="NB6" si="204">MH6</f>
        <v/>
      </c>
      <c r="NC6" s="65" t="str">
        <f t="shared" ref="NC6" si="205">MI6</f>
        <v/>
      </c>
      <c r="ND6" s="65" t="str">
        <f t="shared" ref="ND6" si="206">MJ6</f>
        <v/>
      </c>
      <c r="NE6" s="65" t="str">
        <f t="shared" ref="NE6" si="207">MK6</f>
        <v/>
      </c>
      <c r="NF6" s="65" t="str">
        <f t="shared" ref="NF6" si="208">ML6</f>
        <v/>
      </c>
      <c r="NG6" s="65" t="str">
        <f t="shared" ref="NG6" si="209">MM6</f>
        <v>CY2021</v>
      </c>
      <c r="NH6" s="65" t="str">
        <f t="shared" ref="NH6" si="210">MN6</f>
        <v/>
      </c>
      <c r="NI6" s="65" t="str">
        <f t="shared" ref="NI6" si="211">MO6</f>
        <v/>
      </c>
      <c r="NJ6" s="65" t="str">
        <f t="shared" ref="NJ6" si="212">MP6</f>
        <v/>
      </c>
      <c r="NK6" s="65" t="str">
        <f t="shared" ref="NK6" si="213">MQ6</f>
        <v/>
      </c>
      <c r="NL6" s="65" t="str">
        <f t="shared" ref="NL6" si="214">MR6</f>
        <v/>
      </c>
      <c r="NM6" s="65" t="str">
        <f t="shared" ref="NM6" si="215">MS6</f>
        <v/>
      </c>
      <c r="NN6" s="65" t="str">
        <f t="shared" ref="NN6" si="216">MT6</f>
        <v/>
      </c>
      <c r="NO6" s="65" t="str">
        <f t="shared" ref="NO6" si="217">MU6</f>
        <v/>
      </c>
      <c r="NP6" s="65" t="str">
        <f t="shared" ref="NP6" si="218">MV6</f>
        <v/>
      </c>
      <c r="NQ6" s="65" t="str">
        <f t="shared" ref="NQ6" si="219">MW6</f>
        <v/>
      </c>
      <c r="NR6" s="315" t="str">
        <f t="shared" ref="NR6" si="220">MX6</f>
        <v/>
      </c>
      <c r="NS6" s="65" t="str">
        <f t="shared" ref="NS6" si="221">MY6</f>
        <v/>
      </c>
      <c r="NT6" s="65" t="str">
        <f t="shared" ref="NT6" si="222">MZ6</f>
        <v/>
      </c>
      <c r="NU6" s="65" t="str">
        <f t="shared" ref="NU6" si="223">NA6</f>
        <v/>
      </c>
      <c r="NV6" s="65" t="str">
        <f t="shared" ref="NV6" si="224">NB6</f>
        <v/>
      </c>
      <c r="NW6" s="65" t="str">
        <f t="shared" ref="NW6" si="225">NC6</f>
        <v/>
      </c>
      <c r="NX6" s="65" t="str">
        <f t="shared" ref="NX6" si="226">ND6</f>
        <v/>
      </c>
      <c r="NY6" s="65" t="str">
        <f t="shared" ref="NY6" si="227">NE6</f>
        <v/>
      </c>
      <c r="NZ6" s="65" t="str">
        <f t="shared" ref="NZ6" si="228">NF6</f>
        <v/>
      </c>
      <c r="OA6" s="65" t="str">
        <f t="shared" ref="OA6" si="229">NG6</f>
        <v>CY2021</v>
      </c>
      <c r="OB6" s="65" t="str">
        <f t="shared" ref="OB6" si="230">NH6</f>
        <v/>
      </c>
      <c r="OC6" s="65" t="str">
        <f t="shared" ref="OC6" si="231">NI6</f>
        <v/>
      </c>
      <c r="OD6" s="65" t="str">
        <f t="shared" ref="OD6" si="232">NJ6</f>
        <v/>
      </c>
      <c r="OE6" s="65" t="str">
        <f t="shared" ref="OE6" si="233">NK6</f>
        <v/>
      </c>
      <c r="OF6" s="65" t="str">
        <f t="shared" ref="OF6" si="234">NL6</f>
        <v/>
      </c>
      <c r="OG6" s="65" t="str">
        <f t="shared" ref="OG6" si="235">NM6</f>
        <v/>
      </c>
      <c r="OH6" s="65" t="str">
        <f t="shared" ref="OH6" si="236">NN6</f>
        <v/>
      </c>
      <c r="OI6" s="65" t="str">
        <f t="shared" ref="OI6" si="237">NO6</f>
        <v/>
      </c>
      <c r="OJ6" s="65" t="str">
        <f t="shared" ref="OJ6" si="238">NP6</f>
        <v/>
      </c>
      <c r="OK6" s="65" t="str">
        <f t="shared" ref="OK6" si="239">NQ6</f>
        <v/>
      </c>
      <c r="OL6" s="315" t="str">
        <f t="shared" ref="OL6" si="240">NR6</f>
        <v/>
      </c>
      <c r="OM6" s="65" t="str">
        <f t="shared" ref="OM6" si="241">NS6</f>
        <v/>
      </c>
      <c r="ON6" s="65" t="str">
        <f t="shared" ref="ON6" si="242">NT6</f>
        <v/>
      </c>
      <c r="OO6" s="65" t="str">
        <f t="shared" ref="OO6" si="243">NU6</f>
        <v/>
      </c>
      <c r="OP6" s="65" t="str">
        <f t="shared" ref="OP6" si="244">NV6</f>
        <v/>
      </c>
      <c r="OQ6" s="65" t="str">
        <f t="shared" ref="OQ6" si="245">NW6</f>
        <v/>
      </c>
      <c r="OR6" s="65" t="str">
        <f t="shared" ref="OR6" si="246">NX6</f>
        <v/>
      </c>
      <c r="OS6" s="65" t="str">
        <f t="shared" ref="OS6" si="247">NY6</f>
        <v/>
      </c>
      <c r="OT6" s="65" t="str">
        <f t="shared" ref="OT6" si="248">NZ6</f>
        <v/>
      </c>
      <c r="OU6" s="65" t="str">
        <f t="shared" ref="OU6" si="249">OA6</f>
        <v>CY2021</v>
      </c>
      <c r="OV6" s="65" t="str">
        <f t="shared" ref="OV6" si="250">OB6</f>
        <v/>
      </c>
      <c r="OW6" s="65" t="str">
        <f t="shared" ref="OW6" si="251">OC6</f>
        <v/>
      </c>
      <c r="OX6" s="65" t="str">
        <f t="shared" ref="OX6" si="252">OD6</f>
        <v/>
      </c>
      <c r="OY6" s="65" t="str">
        <f t="shared" ref="OY6" si="253">OE6</f>
        <v/>
      </c>
      <c r="OZ6" s="65" t="str">
        <f t="shared" ref="OZ6" si="254">OF6</f>
        <v/>
      </c>
      <c r="PA6" s="65" t="str">
        <f t="shared" ref="PA6" si="255">OG6</f>
        <v/>
      </c>
      <c r="PB6" s="65" t="str">
        <f t="shared" ref="PB6" si="256">OH6</f>
        <v/>
      </c>
      <c r="PC6" s="65" t="str">
        <f t="shared" ref="PC6" si="257">OI6</f>
        <v/>
      </c>
      <c r="PD6" s="65" t="str">
        <f t="shared" ref="PD6" si="258">OJ6</f>
        <v/>
      </c>
      <c r="PE6" s="65" t="str">
        <f t="shared" ref="PE6" si="259">OK6</f>
        <v/>
      </c>
      <c r="PF6" s="315" t="str">
        <f t="shared" ref="PF6" si="260">OL6</f>
        <v/>
      </c>
      <c r="PG6" s="65" t="str">
        <f t="shared" ref="PG6" si="261">OM6</f>
        <v/>
      </c>
      <c r="PH6" s="65" t="str">
        <f t="shared" ref="PH6" si="262">ON6</f>
        <v/>
      </c>
      <c r="PI6" s="65" t="str">
        <f t="shared" ref="PI6" si="263">OO6</f>
        <v/>
      </c>
      <c r="PJ6" s="65" t="str">
        <f t="shared" ref="PJ6" si="264">OP6</f>
        <v/>
      </c>
      <c r="PK6" s="65" t="str">
        <f t="shared" ref="PK6" si="265">OQ6</f>
        <v/>
      </c>
      <c r="PL6" s="65" t="str">
        <f t="shared" ref="PL6" si="266">OR6</f>
        <v/>
      </c>
      <c r="PM6" s="65" t="str">
        <f t="shared" ref="PM6" si="267">OS6</f>
        <v/>
      </c>
      <c r="PN6" s="65" t="str">
        <f t="shared" ref="PN6:RY6" si="268">OT6</f>
        <v/>
      </c>
      <c r="PO6" s="65" t="str">
        <f t="shared" si="268"/>
        <v>CY2021</v>
      </c>
      <c r="PP6" s="65" t="str">
        <f t="shared" si="268"/>
        <v/>
      </c>
      <c r="PQ6" s="65" t="str">
        <f t="shared" si="268"/>
        <v/>
      </c>
      <c r="PR6" s="65" t="str">
        <f t="shared" si="268"/>
        <v/>
      </c>
      <c r="PS6" s="65" t="str">
        <f t="shared" si="268"/>
        <v/>
      </c>
      <c r="PT6" s="65" t="str">
        <f t="shared" si="268"/>
        <v/>
      </c>
      <c r="PU6" s="65" t="str">
        <f t="shared" si="268"/>
        <v/>
      </c>
      <c r="PV6" s="65" t="str">
        <f t="shared" si="268"/>
        <v/>
      </c>
      <c r="PW6" s="65" t="str">
        <f t="shared" si="268"/>
        <v/>
      </c>
      <c r="PX6" s="65" t="str">
        <f t="shared" si="268"/>
        <v/>
      </c>
      <c r="PY6" s="65" t="str">
        <f t="shared" si="268"/>
        <v/>
      </c>
      <c r="PZ6" s="65" t="str">
        <f t="shared" si="268"/>
        <v/>
      </c>
      <c r="QA6" s="65" t="str">
        <f t="shared" si="268"/>
        <v/>
      </c>
      <c r="QB6" s="65" t="str">
        <f t="shared" si="268"/>
        <v/>
      </c>
      <c r="QC6" s="65" t="str">
        <f t="shared" si="268"/>
        <v/>
      </c>
      <c r="QD6" s="65" t="str">
        <f t="shared" si="268"/>
        <v/>
      </c>
      <c r="QE6" s="65" t="str">
        <f t="shared" si="268"/>
        <v/>
      </c>
      <c r="QF6" s="65" t="str">
        <f t="shared" si="268"/>
        <v/>
      </c>
      <c r="QG6" s="65" t="str">
        <f t="shared" si="268"/>
        <v/>
      </c>
      <c r="QH6" s="65" t="str">
        <f t="shared" si="268"/>
        <v/>
      </c>
      <c r="QI6" s="65" t="str">
        <f t="shared" si="268"/>
        <v>CY2021</v>
      </c>
      <c r="QJ6" s="65" t="str">
        <f t="shared" si="268"/>
        <v/>
      </c>
      <c r="QK6" s="65" t="str">
        <f t="shared" si="268"/>
        <v/>
      </c>
      <c r="QL6" s="65" t="str">
        <f t="shared" si="268"/>
        <v/>
      </c>
      <c r="QM6" s="65" t="str">
        <f t="shared" si="268"/>
        <v/>
      </c>
      <c r="QN6" s="65" t="str">
        <f t="shared" si="268"/>
        <v/>
      </c>
      <c r="QO6" s="65" t="str">
        <f t="shared" si="268"/>
        <v/>
      </c>
      <c r="QP6" s="65" t="str">
        <f t="shared" si="268"/>
        <v/>
      </c>
      <c r="QQ6" s="65" t="str">
        <f t="shared" si="268"/>
        <v/>
      </c>
      <c r="QR6" s="65" t="str">
        <f t="shared" si="268"/>
        <v/>
      </c>
      <c r="QS6" s="65" t="str">
        <f t="shared" si="268"/>
        <v/>
      </c>
      <c r="QT6" s="65" t="str">
        <f t="shared" si="268"/>
        <v/>
      </c>
      <c r="QU6" s="65" t="str">
        <f t="shared" si="268"/>
        <v/>
      </c>
      <c r="QV6" s="65" t="str">
        <f t="shared" si="268"/>
        <v/>
      </c>
      <c r="QW6" s="65" t="str">
        <f t="shared" si="268"/>
        <v/>
      </c>
      <c r="QX6" s="65" t="str">
        <f t="shared" si="268"/>
        <v/>
      </c>
      <c r="QY6" s="65" t="str">
        <f t="shared" si="268"/>
        <v/>
      </c>
      <c r="QZ6" s="65" t="str">
        <f t="shared" si="268"/>
        <v/>
      </c>
      <c r="RA6" s="65" t="str">
        <f t="shared" si="268"/>
        <v/>
      </c>
      <c r="RB6" s="65" t="str">
        <f t="shared" si="268"/>
        <v/>
      </c>
      <c r="RC6" s="65" t="str">
        <f t="shared" si="268"/>
        <v>CY2021</v>
      </c>
      <c r="RD6" s="65" t="str">
        <f t="shared" si="268"/>
        <v/>
      </c>
      <c r="RE6" s="65" t="str">
        <f t="shared" si="268"/>
        <v/>
      </c>
      <c r="RF6" s="65" t="str">
        <f t="shared" si="268"/>
        <v/>
      </c>
      <c r="RG6" s="65" t="str">
        <f t="shared" si="268"/>
        <v/>
      </c>
      <c r="RH6" s="65" t="str">
        <f t="shared" si="268"/>
        <v/>
      </c>
      <c r="RI6" s="65" t="str">
        <f t="shared" si="268"/>
        <v/>
      </c>
      <c r="RJ6" s="65" t="str">
        <f t="shared" si="268"/>
        <v/>
      </c>
      <c r="RK6" s="65" t="str">
        <f t="shared" si="268"/>
        <v/>
      </c>
      <c r="RL6" s="65" t="str">
        <f t="shared" si="268"/>
        <v/>
      </c>
      <c r="RM6" s="65" t="str">
        <f t="shared" si="268"/>
        <v/>
      </c>
      <c r="RN6" s="65" t="str">
        <f t="shared" si="268"/>
        <v/>
      </c>
      <c r="RO6" s="65" t="str">
        <f t="shared" si="268"/>
        <v/>
      </c>
      <c r="RP6" s="65" t="str">
        <f t="shared" si="268"/>
        <v/>
      </c>
      <c r="RQ6" s="65" t="str">
        <f t="shared" si="268"/>
        <v/>
      </c>
      <c r="RR6" s="65" t="str">
        <f t="shared" si="268"/>
        <v/>
      </c>
      <c r="RS6" s="65" t="str">
        <f t="shared" si="268"/>
        <v/>
      </c>
      <c r="RT6" s="65" t="str">
        <f t="shared" si="268"/>
        <v/>
      </c>
      <c r="RU6" s="65" t="str">
        <f t="shared" si="268"/>
        <v/>
      </c>
      <c r="RV6" s="65" t="str">
        <f t="shared" si="268"/>
        <v/>
      </c>
      <c r="RW6" s="65" t="str">
        <f t="shared" si="268"/>
        <v>CY2021</v>
      </c>
      <c r="RX6" s="65" t="str">
        <f t="shared" si="268"/>
        <v/>
      </c>
      <c r="RY6" s="65" t="str">
        <f t="shared" si="268"/>
        <v/>
      </c>
      <c r="RZ6" s="65" t="str">
        <f t="shared" ref="RZ6:SP6" si="269">RF6</f>
        <v/>
      </c>
      <c r="SA6" s="65" t="str">
        <f t="shared" si="269"/>
        <v/>
      </c>
      <c r="SB6" s="65" t="str">
        <f t="shared" si="269"/>
        <v/>
      </c>
      <c r="SC6" s="65" t="str">
        <f t="shared" si="269"/>
        <v/>
      </c>
      <c r="SD6" s="65" t="str">
        <f t="shared" si="269"/>
        <v/>
      </c>
      <c r="SE6" s="65" t="str">
        <f t="shared" si="269"/>
        <v/>
      </c>
      <c r="SF6" s="65" t="str">
        <f t="shared" si="269"/>
        <v/>
      </c>
      <c r="SG6" s="65" t="str">
        <f t="shared" si="269"/>
        <v/>
      </c>
      <c r="SH6" s="65" t="str">
        <f t="shared" si="269"/>
        <v/>
      </c>
      <c r="SI6" s="65" t="str">
        <f t="shared" si="269"/>
        <v/>
      </c>
      <c r="SJ6" s="65" t="str">
        <f t="shared" si="269"/>
        <v/>
      </c>
      <c r="SK6" s="65" t="str">
        <f t="shared" si="269"/>
        <v/>
      </c>
      <c r="SL6" s="65" t="str">
        <f t="shared" si="269"/>
        <v/>
      </c>
      <c r="SM6" s="65" t="str">
        <f t="shared" si="269"/>
        <v/>
      </c>
      <c r="SN6" s="65" t="str">
        <f t="shared" si="269"/>
        <v/>
      </c>
      <c r="SO6" s="65" t="str">
        <f t="shared" si="269"/>
        <v/>
      </c>
      <c r="SP6" s="65" t="str">
        <f t="shared" si="269"/>
        <v/>
      </c>
      <c r="SQ6" s="65" t="str">
        <f t="shared" ref="SQ6" si="270">RW6</f>
        <v>CY2021</v>
      </c>
      <c r="SR6" s="65" t="str">
        <f t="shared" ref="SR6" si="271">RX6</f>
        <v/>
      </c>
      <c r="SS6" s="65" t="str">
        <f t="shared" ref="SS6" si="272">RY6</f>
        <v/>
      </c>
      <c r="ST6" s="65" t="str">
        <f t="shared" ref="ST6" si="273">RZ6</f>
        <v/>
      </c>
      <c r="SU6" s="65" t="str">
        <f t="shared" ref="SU6" si="274">SA6</f>
        <v/>
      </c>
      <c r="SV6" s="65" t="str">
        <f t="shared" ref="SV6" si="275">SB6</f>
        <v/>
      </c>
      <c r="SW6" s="65" t="str">
        <f t="shared" ref="SW6" si="276">SC6</f>
        <v/>
      </c>
      <c r="SX6" s="65" t="str">
        <f t="shared" ref="SX6" si="277">SD6</f>
        <v/>
      </c>
      <c r="SY6" s="65" t="str">
        <f t="shared" ref="SY6" si="278">SE6</f>
        <v/>
      </c>
      <c r="SZ6" s="65" t="str">
        <f t="shared" ref="SZ6" si="279">SF6</f>
        <v/>
      </c>
      <c r="TA6" s="65" t="str">
        <f t="shared" ref="TA6" si="280">SG6</f>
        <v/>
      </c>
      <c r="TB6" s="65" t="str">
        <f t="shared" ref="TB6" si="281">SH6</f>
        <v/>
      </c>
      <c r="TC6" s="65" t="str">
        <f t="shared" ref="TC6" si="282">SI6</f>
        <v/>
      </c>
      <c r="TD6" s="65" t="str">
        <f t="shared" ref="TD6" si="283">SJ6</f>
        <v/>
      </c>
      <c r="TE6" s="65" t="str">
        <f t="shared" ref="TE6" si="284">SK6</f>
        <v/>
      </c>
      <c r="TF6" s="65" t="str">
        <f t="shared" ref="TF6" si="285">SL6</f>
        <v/>
      </c>
      <c r="TG6" s="65" t="str">
        <f t="shared" ref="TG6" si="286">SM6</f>
        <v/>
      </c>
      <c r="TH6" s="65" t="str">
        <f t="shared" ref="TH6" si="287">SN6</f>
        <v/>
      </c>
      <c r="TI6" s="65" t="str">
        <f t="shared" ref="TI6" si="288">SO6</f>
        <v/>
      </c>
      <c r="TJ6" s="65" t="str">
        <f t="shared" ref="TJ6" si="289">SP6</f>
        <v/>
      </c>
      <c r="TK6" s="65" t="str">
        <f t="shared" ref="TK6" si="290">SQ6</f>
        <v>CY2021</v>
      </c>
      <c r="TL6" s="65" t="str">
        <f t="shared" ref="TL6" si="291">SR6</f>
        <v/>
      </c>
      <c r="TM6" s="65" t="str">
        <f t="shared" ref="TM6" si="292">SS6</f>
        <v/>
      </c>
      <c r="TN6" s="65" t="str">
        <f t="shared" ref="TN6" si="293">ST6</f>
        <v/>
      </c>
      <c r="TO6" s="65" t="str">
        <f t="shared" ref="TO6" si="294">SU6</f>
        <v/>
      </c>
      <c r="TP6" s="65" t="str">
        <f t="shared" ref="TP6" si="295">SV6</f>
        <v/>
      </c>
      <c r="TQ6" s="65" t="str">
        <f t="shared" ref="TQ6" si="296">SW6</f>
        <v/>
      </c>
      <c r="TR6" s="65" t="str">
        <f t="shared" ref="TR6" si="297">SX6</f>
        <v/>
      </c>
      <c r="TS6" s="65" t="str">
        <f t="shared" ref="TS6" si="298">SY6</f>
        <v/>
      </c>
      <c r="TT6" s="65" t="str">
        <f t="shared" ref="TT6" si="299">SZ6</f>
        <v/>
      </c>
      <c r="TU6" s="65" t="str">
        <f t="shared" ref="TU6" si="300">TA6</f>
        <v/>
      </c>
      <c r="TV6" s="65" t="str">
        <f t="shared" ref="TV6" si="301">TB6</f>
        <v/>
      </c>
      <c r="TW6" s="65" t="str">
        <f t="shared" ref="TW6" si="302">TC6</f>
        <v/>
      </c>
      <c r="TX6" s="65" t="str">
        <f t="shared" ref="TX6" si="303">TD6</f>
        <v/>
      </c>
      <c r="TY6" s="65" t="str">
        <f t="shared" ref="TY6" si="304">TE6</f>
        <v/>
      </c>
      <c r="TZ6" s="65" t="str">
        <f t="shared" ref="TZ6" si="305">TF6</f>
        <v/>
      </c>
      <c r="UA6" s="65" t="str">
        <f t="shared" ref="UA6" si="306">TG6</f>
        <v/>
      </c>
      <c r="UB6" s="65" t="str">
        <f t="shared" ref="UB6" si="307">TH6</f>
        <v/>
      </c>
      <c r="UC6" s="65" t="str">
        <f t="shared" ref="UC6" si="308">TI6</f>
        <v/>
      </c>
      <c r="UD6" s="65" t="str">
        <f t="shared" ref="UD6" si="309">TJ6</f>
        <v/>
      </c>
      <c r="UE6" s="65" t="str">
        <f t="shared" ref="UE6" si="310">TK6</f>
        <v>CY2021</v>
      </c>
      <c r="UF6" s="65" t="str">
        <f t="shared" ref="UF6" si="311">TL6</f>
        <v/>
      </c>
      <c r="UG6" s="65" t="str">
        <f t="shared" ref="UG6" si="312">TM6</f>
        <v/>
      </c>
      <c r="UH6" s="65" t="str">
        <f t="shared" ref="UH6" si="313">TN6</f>
        <v/>
      </c>
      <c r="UI6" s="65" t="str">
        <f t="shared" ref="UI6" si="314">TO6</f>
        <v/>
      </c>
      <c r="UJ6" s="65" t="str">
        <f t="shared" ref="UJ6" si="315">TP6</f>
        <v/>
      </c>
      <c r="UK6" s="65" t="str">
        <f t="shared" ref="UK6" si="316">TQ6</f>
        <v/>
      </c>
      <c r="UL6" s="65" t="str">
        <f t="shared" ref="UL6" si="317">TR6</f>
        <v/>
      </c>
      <c r="UM6" s="65" t="str">
        <f t="shared" ref="UM6" si="318">TS6</f>
        <v/>
      </c>
      <c r="UN6" s="65" t="str">
        <f t="shared" ref="UN6" si="319">TT6</f>
        <v/>
      </c>
      <c r="UO6" s="65" t="str">
        <f t="shared" ref="UO6" si="320">TU6</f>
        <v/>
      </c>
      <c r="UP6" s="65" t="str">
        <f t="shared" ref="UP6" si="321">TV6</f>
        <v/>
      </c>
      <c r="UQ6" s="65" t="str">
        <f t="shared" ref="UQ6" si="322">TW6</f>
        <v/>
      </c>
      <c r="UR6" s="65" t="str">
        <f t="shared" ref="UR6" si="323">TX6</f>
        <v/>
      </c>
      <c r="US6" s="65" t="str">
        <f t="shared" ref="US6" si="324">TY6</f>
        <v/>
      </c>
      <c r="UT6" s="65" t="str">
        <f t="shared" ref="UT6" si="325">TZ6</f>
        <v/>
      </c>
      <c r="UU6" s="65" t="str">
        <f t="shared" ref="UU6" si="326">UA6</f>
        <v/>
      </c>
      <c r="UV6" s="65" t="str">
        <f t="shared" ref="UV6" si="327">UB6</f>
        <v/>
      </c>
      <c r="UW6" s="65" t="str">
        <f t="shared" ref="UW6" si="328">UC6</f>
        <v/>
      </c>
      <c r="UX6" s="65" t="str">
        <f t="shared" ref="UX6" si="329">UD6</f>
        <v/>
      </c>
    </row>
    <row r="7" spans="1:570" ht="15" customHeight="1" x14ac:dyDescent="0.2">
      <c r="A7" s="213" t="str">
        <f>IF(B7="","",_xll.ciqfunctions.udf.CIQ($B7,"IQ_COMPANY_NAME"))</f>
        <v>Walmart Inc.</v>
      </c>
      <c r="B7" s="268" t="str">
        <f>Input!C5</f>
        <v>NYSE:WMT</v>
      </c>
      <c r="C7" s="268" t="str">
        <f>Input!E19</f>
        <v>Walmart</v>
      </c>
      <c r="D7" s="268" t="str">
        <f>IF(B7="","",_xll.ciqfunctions.udf.CIQ($B7,"IQ_PRIMARY_INDUSTRY"))</f>
        <v>Hypermarkets and Super Centers</v>
      </c>
      <c r="E7" s="214">
        <f>IF($B7="","",IF(NOT(ISNUMBER(_xll.ciqfunctions.udf.CIQ($B7, "IQ_CLOSEPRICE", $E$3, $G$3, $H$3))),"",_xll.ciqfunctions.udf.CIQ($B7, "IQ_CLOSEPRICE", $E$3, $G$3, $H$3)))</f>
        <v>142.83000000000001</v>
      </c>
      <c r="F7" s="214">
        <f>IF($B7="","",IF(NOT(ISNUMBER(_xll.ciqfunctions.udf.CIQ($B7, "IQ_CLOSEPRICE", $E$4, $G$3, $H$3))),"",_xll.ciqfunctions.udf.CIQ($B7, "IQ_CLOSEPRICE", $E$4, $G$3, $H$3)))</f>
        <v>134.01</v>
      </c>
      <c r="G7" s="215">
        <f>IFERROR((E7-F7)/F7,"")</f>
        <v>6.581598388180003E-2</v>
      </c>
      <c r="H7" s="215">
        <f>IFERROR(IF($B7="","",_xll.ciqfunctions.udf.CIQ($B7, "IQ_TOTAL_REV_1YR_ANN_GROWTH", $I$3, $E$3, $J$3)/100),"")</f>
        <v>2.4327000000000001E-2</v>
      </c>
      <c r="I7" s="215" t="str">
        <f>IFERROR(IF($B7="","",_xll.ciqfunctions.udf.CIQ($B7,"IQ_NET_INT_INC_BNK",$I$3, $E$3, $J$3, , $G$3, $H$3)/_xll.ciqfunctions.udf.CIQ($B7,"IQ_GROSS_LOANS",$I$3, $E$3, $J$3, , $G$3, $H$3)),"")</f>
        <v/>
      </c>
      <c r="J7" s="215">
        <f>IFERROR(IF(B7="","",_xll.ciqfunctions.udf.CIQ($B7,"IQ_EBT",$I$3, $E$3, $J$3, , $G$3, $H$3)/_xll.ciqfunctions.udf.CIQ($B7,"IQ_TOTAL_REVENUE",$I$3, $E$3, $J$3, , $G$3, $H$3)),"")</f>
        <v>3.2642286217119391E-2</v>
      </c>
      <c r="K7" s="361">
        <f>IFERROR(IF(B7="","",_xll.ciqfunctions.udf.CIQ($B7,"IQ_NI_MARGIN",$I$3, $E$3, $J$3, , $G$3, $H$3)/100),"")</f>
        <v>2.3872000000000001E-2</v>
      </c>
      <c r="L7" s="215">
        <f>IFERROR(IF($B7="","",_xll.ciqfunctions.udf.CIQ($B7,"IQ_NI",$I$3, $E$3, $J$3, , $G$3, $H$3)/(0.5*(_xll.ciqfunctions.udf.CIQ($B7,"IQ_TOTAL_ASSETS",$I$3, $E$3, $J$3, , $G$3, $H$3)+_xll.ciqfunctions.udf.CIQ($B7,"IQ_TOTAL_ASSETS",$I$3 &amp; "-4", $E$3, $J$3, , $G$3, $H$3)))),"")</f>
        <v>5.4982748775524976E-2</v>
      </c>
      <c r="M7" s="215">
        <f>IFERROR(_xll.ciqfunctions.udf.CIQ($B7,"IQ_NI",$I$3, $E$3, $J$3, , $G$3, $H$3)/(_xll.ciqfunctions.udf.CIQ($B7,"IQ_TOTAL_ASSETS",$I$3, $E$3, $J$3, , $G$3, $H$3)+_xll.ciqfunctions.udf.CIQ($B7,"IQ_TOTAL_ASSETS",$I$3 &amp; "-4", $E$3, $J$3, , $G$3, $H$3)-_xll.ciqfunctions.udf.CIQ($B7,"IQ_TOTAL_CL",$I$3, $E$3, $J$3, , $G$3, $H$3)-_xll.ciqfunctions.udf.CIQ($B7,"IQ_TOTAL_CL",$I$3 &amp; "-4", $E$3, $J$3, , $G$3, $H$3)),"")</f>
        <v>4.3087365913302159E-2</v>
      </c>
      <c r="N7" s="215">
        <f>IFERROR(IF($B7="","",_xll.ciqfunctions.udf.CIQ($B7,"IQ_NI",$I$3, $E$3, $J$3, , $G$3, $H$3)/(0.5*(_xll.ciqfunctions.udf.CIQ($B7,"IQ_TOTAL_EQUITY",$I$3, $E$3, $J$3, , $G$3, $H$3)+_xll.ciqfunctions.udf.CIQ($B7,"IQ_TOTAL_EQUITY",$I$3 &amp; "-4", $E$3, $J$3, , $G$3, $H$3)))),"")</f>
        <v>0.1524116329101225</v>
      </c>
      <c r="O7" s="222" t="str">
        <f>IFERROR(IF($B7="","",(_xll.ciqfunctions.udf.CIQ($B7,"IQ_TIER_ONE_CAPITAL",$I$3, $E$3, $J$3, , $G$3, $H$3)+_xll.ciqfunctions.udf.CIQ($B7,"IQ_TIER_TWO_CAPITAL",$I$3, $E$3, $J$3, , $G$3, $H$3)-_xll.ciqfunctions.udf.CIQ($B7,"IQ_GW",$I$3, $E$3, $J$3, , $G$3, $H$3))/_xll.ciqfunctions.udf.CIQ($B7,"IQ_RISK_ADJ_BANK_ASSETS",$I$3, $E$3, $J$3, , $G$3, $H$3)),"")</f>
        <v/>
      </c>
      <c r="P7" s="217">
        <f>IFERROR(IF($B7="","",(_xll.ciqfunctions.udf.CIQ($B7,"IQ_TIER_ONE_CAPITAL",$I$3, $E$3, $J$3, , $G$3, $H$3)+_xll.ciqfunctions.udf.CIQ($B7,"IQ_TIER_TWO_CAPITAL",$I$3, $E$3, $J$3, , $G$3, $H$3))/_xll.ciqfunctions.udf.CIQ($B7,"IQ_TOTAL_ASSETS",$I$3, $E$3, $J$3, , $G$3, $H$3)),"")</f>
        <v>0</v>
      </c>
      <c r="Q7" s="215">
        <f>IFERROR(IF(B7="","",_xll.ciqfunctions.udf.CIQ($B7,"IQ_TIER_ONE_RATIO",$I$3, $E$3, $J$3, , $G$3, $H$3)/100),"")</f>
        <v>0</v>
      </c>
      <c r="R7" s="215">
        <f t="shared" ref="R7:R17" si="330">IFERROR(S7-Q7,"")</f>
        <v>0</v>
      </c>
      <c r="S7" s="215">
        <f>IFERROR(IF(B7="","",_xll.ciqfunctions.udf.CIQ($B7,"IQ_TOTAL_CAPITAL_RATIO",$I$3, $E$3, $J$3, , $G$3, $H$3)/100),"")</f>
        <v>0</v>
      </c>
      <c r="T7" s="215">
        <f>IFERROR(IF($B7="","",_xll.ciqfunctions.udf.CIQ($B7,"IQ_NON_PERF_LOANS_TOTAL_LOANS",$I$3, $E$3, $J$3, , $G$3, $H$3)/100),"")</f>
        <v>0</v>
      </c>
      <c r="U7" s="217" t="str">
        <f>IFERROR(IF($B7="","",-_xll.ciqfunctions.udf.CIQ($B7,"IQ_ALLOW_LL",$I$3, $E$3, $J$3, , $G$3, $H$3)/_xll.ciqfunctions.udf.CIQ($B7,"IQ_TOTAL_LOANS",$I$3, $E$3, $J$3, , $G$3, $H$3)),"")</f>
        <v/>
      </c>
      <c r="V7" s="217" t="str">
        <f>IFERROR(IF($B7="","",_xll.ciqfunctions.udf.CIQ($B7,"IQ_LL",$I$3, $E$3, $J$3, , $G$3, $H$3)/_xll.ciqfunctions.udf.CIQ($B7,"IQ_NET_LOANS",$I$3, $E$3, $J$3, , $G$3, $H$3)),"")</f>
        <v/>
      </c>
      <c r="W7" s="215">
        <f>IFERROR(IF(B7="","",_xll.ciqfunctions.udf.CIQ($B7,"IQ_NET_LOANS",$I$3, $E$3, $J$3, , $G$3, $H$3)/_xll.ciqfunctions.udf.CIQ($B7,"IQ_TOTAL_ASSETS",$I$3, $E$3, $J$3, , $G$3, $H$3)),"")</f>
        <v>0</v>
      </c>
      <c r="X7" s="217" t="str">
        <f>IFERROR(IF($B7="","",_xll.ciqfunctions.udf.CIQ($B7,"IQ_TOTAL_LOANS",$I$3, $E$3, $J$3, , $G$3, $H$3)/_xll.ciqfunctions.udf.CIQ($B7,"IQ_TOTAL_DEPOSITS",$I$3, $E$3, $J$3, , $G$3, $H$3)),"")</f>
        <v/>
      </c>
      <c r="Y7" s="215">
        <f>IFERROR(IF($B7="","",_xll.ciqfunctions.udf.CIQ($B7,"IQ_TOTAL_DEPOSITS",$I$3, $E$3, $J$3, , $G$3, $H$3)/_xll.ciqfunctions.udf.CIQ($B7,"IQ_TOTAL_ASSETS",$I$3, $E$3, $J$3, , $G$3, $H$3)),"")</f>
        <v>0</v>
      </c>
      <c r="Z7" s="216">
        <f>IFERROR(IF(B7="","",_xll.ciqfunctions.udf.CIQ($B7,"IQ_TOTAL_ASSETS",IQ_LTM)/_xll.ciqfunctions.udf.CIQ($B7,"IQ_TOTAL_COMMON_EQUITY",IQ_LTM)),"")</f>
        <v>2.9411552736838313</v>
      </c>
      <c r="AA7" s="217">
        <f>IFERROR(IF($B7="","",_xll.ciqfunctions.udf.CIQ($B7,"IQ_CASH_OPER",$I$3, $E$3, $J$3, , $G$3, $H$3)*2/(_xll.ciqfunctions.udf.CIQ($B7,"IQ_TOTAL_CL",$I$3, $E$3, $J$3, , $G$3, $H$3)+_xll.ciqfunctions.udf.CIQ($B7,"IQ_TOTAL_CL",$I$3 &amp; "-4", $E$3, $J$3, , $G$3, $H$3))),"")</f>
        <v>0.26864195884993114</v>
      </c>
      <c r="AB7" s="222">
        <f>IFERROR(IF($B7="","",_xll.ciqfunctions.udf.CIQ($B7,"IQ_NON_PERFORMING_LOANS",$I$3, $E$3, $J$3, , $G$3, $H$3)/_xll.ciqfunctions.udf.CIQ($B7,"IQ_TOTAL_EQUITY",$I$3, $E$3, $J$3, , $G$3, $H$3)),"")</f>
        <v>0</v>
      </c>
      <c r="AC7" s="1020">
        <f>IF(B7="","",IF(NOT(ISNUMBER(_xll.ciqfunctions.udf.CIQ($B7,"IQ_Z_SCORE",$I$3, $E$3, $J$3, , $G$3, $H$3))),"",_xll.ciqfunctions.udf.CIQ($B7,"IQ_Z_SCORE",$I$3, $E$3, $J$3, , $G$3, $H$3)))</f>
        <v>4.7071899999999998</v>
      </c>
      <c r="AD7" s="19"/>
      <c r="AE7" s="72" t="str">
        <f>IFERROR(IF(OR($B7="",AE$3=""),"",_xll.ciqfunctions.udf.CIQ($B7,"IQ_NET_INT_INC_BNK",AE$3,$E$3, $J$3, , $G$3, $H$3)*2/(_xll.ciqfunctions.udf.CIQ($B7,"IQ_GROSS_LOANS",AE$3,$E$3, $J$3, , $G$3, $H$3)+_xll.ciqfunctions.udf.CIQ($B7,"IQ_GROSS_LOANS", "IQ_" &amp; LEFT(AE$3,2) &amp; "-1",AE$3, $J$3, , $G$3, $H$3))),"")</f>
        <v/>
      </c>
      <c r="AF7" s="73" t="str">
        <f>IFERROR(IF(OR($B7="",AF$3=""),"",_xll.ciqfunctions.udf.CIQ($B7,"IQ_NET_INT_INC_BNK",AF$3,$E$3, $J$3, , $G$3, $H$3)*2/(_xll.ciqfunctions.udf.CIQ($B7,"IQ_GROSS_LOANS",AF$3,$E$3, $J$3, , $G$3, $H$3)+_xll.ciqfunctions.udf.CIQ($B7,"IQ_GROSS_LOANS", "IQ_" &amp; LEFT(AF$3,2) &amp; "-1",AF$3, $J$3, , $G$3, $H$3))),"")</f>
        <v/>
      </c>
      <c r="AG7" s="73" t="str">
        <f>IFERROR(IF(OR($B7="",AG$3=""),"",_xll.ciqfunctions.udf.CIQ($B7,"IQ_NET_INT_INC_BNK",AG$3,$E$3, $J$3, , $G$3, $H$3)*2/(_xll.ciqfunctions.udf.CIQ($B7,"IQ_GROSS_LOANS",AG$3,$E$3, $J$3, , $G$3, $H$3)+_xll.ciqfunctions.udf.CIQ($B7,"IQ_GROSS_LOANS", "IQ_" &amp; LEFT(AG$3,2) &amp; "-1",AG$3, $J$3, , $G$3, $H$3))),"")</f>
        <v/>
      </c>
      <c r="AH7" s="73" t="str">
        <f>IFERROR(IF(OR($B7="",AH$3=""),"",_xll.ciqfunctions.udf.CIQ($B7,"IQ_NET_INT_INC_BNK",AH$3,$E$3, $J$3, , $G$3, $H$3)*2/(_xll.ciqfunctions.udf.CIQ($B7,"IQ_GROSS_LOANS",AH$3,$E$3, $J$3, , $G$3, $H$3)+_xll.ciqfunctions.udf.CIQ($B7,"IQ_GROSS_LOANS", "IQ_" &amp; LEFT(AH$3,2) &amp; "-1",AH$3, $J$3, , $G$3, $H$3))),"")</f>
        <v/>
      </c>
      <c r="AI7" s="73" t="str">
        <f>IFERROR(IF(OR($B7="",AI$3=""),"",_xll.ciqfunctions.udf.CIQ($B7,"IQ_NET_INT_INC_BNK",AI$3,$E$3, $J$3, , $G$3, $H$3)*2/(_xll.ciqfunctions.udf.CIQ($B7,"IQ_GROSS_LOANS",AI$3,$E$3, $J$3, , $G$3, $H$3)+_xll.ciqfunctions.udf.CIQ($B7,"IQ_GROSS_LOANS", "IQ_" &amp; LEFT(AI$3,2) &amp; "-1",AI$3, $J$3, , $G$3, $H$3))),"")</f>
        <v/>
      </c>
      <c r="AJ7" s="73" t="str">
        <f>IFERROR(IF(OR($B7="",AJ$3=""),"",_xll.ciqfunctions.udf.CIQ($B7,"IQ_NET_INT_INC_BNK",AJ$3,$E$3, $J$3, , $G$3, $H$3)*2/(_xll.ciqfunctions.udf.CIQ($B7,"IQ_GROSS_LOANS",AJ$3,$E$3, $J$3, , $G$3, $H$3)+_xll.ciqfunctions.udf.CIQ($B7,"IQ_GROSS_LOANS", "IQ_" &amp; LEFT(AJ$3,2) &amp; "-1",AJ$3, $J$3, , $G$3, $H$3))),"")</f>
        <v/>
      </c>
      <c r="AK7" s="73" t="str">
        <f>IFERROR(IF(OR($B7="",AK$3=""),"",_xll.ciqfunctions.udf.CIQ($B7,"IQ_NET_INT_INC_BNK",AK$3,$E$3, $J$3, , $G$3, $H$3)*2/(_xll.ciqfunctions.udf.CIQ($B7,"IQ_GROSS_LOANS",AK$3,$E$3, $J$3, , $G$3, $H$3)+_xll.ciqfunctions.udf.CIQ($B7,"IQ_GROSS_LOANS", "IQ_" &amp; LEFT(AK$3,2) &amp; "-1",AK$3, $J$3, , $G$3, $H$3))),"")</f>
        <v/>
      </c>
      <c r="AL7" s="73" t="str">
        <f>IFERROR(IF(OR($B7="",AL$3=""),"",_xll.ciqfunctions.udf.CIQ($B7,"IQ_NET_INT_INC_BNK",AL$3,$E$3, $J$3, , $G$3, $H$3)*2/(_xll.ciqfunctions.udf.CIQ($B7,"IQ_GROSS_LOANS",AL$3,$E$3, $J$3, , $G$3, $H$3)+_xll.ciqfunctions.udf.CIQ($B7,"IQ_GROSS_LOANS", "IQ_" &amp; LEFT(AL$3,2) &amp; "-1",AL$3, $J$3, , $G$3, $H$3))),"")</f>
        <v/>
      </c>
      <c r="AM7" s="73" t="str">
        <f>IFERROR(IF(OR($B7="",AM$3=""),"",_xll.ciqfunctions.udf.CIQ($B7,"IQ_NET_INT_INC_BNK",AM$3,$E$3, $J$3, , $G$3, $H$3)*2/(_xll.ciqfunctions.udf.CIQ($B7,"IQ_GROSS_LOANS",AM$3,$E$3, $J$3, , $G$3, $H$3)+_xll.ciqfunctions.udf.CIQ($B7,"IQ_GROSS_LOANS", "IQ_" &amp; LEFT(AM$3,2) &amp; "-1",AM$3, $J$3, , $G$3, $H$3))),"")</f>
        <v/>
      </c>
      <c r="AN7" s="73" t="str">
        <f>IFERROR(IF(OR($B7="",AN$3=""),"",_xll.ciqfunctions.udf.CIQ($B7,"IQ_NET_INT_INC_BNK",AN$3,$E$3, $J$3, , $G$3, $H$3)*2/(_xll.ciqfunctions.udf.CIQ($B7,"IQ_GROSS_LOANS",AN$3,$E$3, $J$3, , $G$3, $H$3)+_xll.ciqfunctions.udf.CIQ($B7,"IQ_GROSS_LOANS", "IQ_" &amp; LEFT(AN$3,2) &amp; "-1",AN$3, $J$3, , $G$3, $H$3))),"")</f>
        <v/>
      </c>
      <c r="AO7" s="73" t="str">
        <f>IFERROR(IF(OR($B7="",AO$3=""),"",_xll.ciqfunctions.udf.CIQ($B7,"IQ_NET_INT_INC_BNK",AO$3,$E$3, $J$3, , $G$3, $H$3)*2/(_xll.ciqfunctions.udf.CIQ($B7,"IQ_GROSS_LOANS",AO$3,$E$3, $J$3, , $G$3, $H$3)+_xll.ciqfunctions.udf.CIQ($B7,"IQ_GROSS_LOANS", "IQ_" &amp; LEFT(AO$3,2) &amp; "-1",AO$3, $J$3, , $G$3, $H$3))),"")</f>
        <v/>
      </c>
      <c r="AP7" s="73" t="str">
        <f>IFERROR(IF(OR($B7="",AP$3=""),"",_xll.ciqfunctions.udf.CIQ($B7,"IQ_NET_INT_INC_BNK",AP$3,$E$3, $J$3, , $G$3, $H$3)*2/(_xll.ciqfunctions.udf.CIQ($B7,"IQ_GROSS_LOANS",AP$3,$E$3, $J$3, , $G$3, $H$3)+_xll.ciqfunctions.udf.CIQ($B7,"IQ_GROSS_LOANS", "IQ_" &amp; LEFT(AP$3,2) &amp; "-1",AP$3, $J$3, , $G$3, $H$3))),"")</f>
        <v/>
      </c>
      <c r="AQ7" s="73" t="str">
        <f>IFERROR(IF(OR($B7="",AQ$3=""),"",_xll.ciqfunctions.udf.CIQ($B7,"IQ_NET_INT_INC_BNK",AQ$3,$E$3, $J$3, , $G$3, $H$3)*2/(_xll.ciqfunctions.udf.CIQ($B7,"IQ_GROSS_LOANS",AQ$3,$E$3, $J$3, , $G$3, $H$3)+_xll.ciqfunctions.udf.CIQ($B7,"IQ_GROSS_LOANS", "IQ_" &amp; LEFT(AQ$3,2) &amp; "-1",AQ$3, $J$3, , $G$3, $H$3))),"")</f>
        <v/>
      </c>
      <c r="AR7" s="73" t="str">
        <f>IFERROR(IF(OR($B7="",AR$3=""),"",_xll.ciqfunctions.udf.CIQ($B7,"IQ_NET_INT_INC_BNK",AR$3,$E$3, $J$3, , $G$3, $H$3)*2/(_xll.ciqfunctions.udf.CIQ($B7,"IQ_GROSS_LOANS",AR$3,$E$3, $J$3, , $G$3, $H$3)+_xll.ciqfunctions.udf.CIQ($B7,"IQ_GROSS_LOANS", "IQ_" &amp; LEFT(AR$3,2) &amp; "-1",AR$3, $J$3, , $G$3, $H$3))),"")</f>
        <v/>
      </c>
      <c r="AS7" s="73" t="str">
        <f>IFERROR(IF(OR($B7="",AS$3=""),"",_xll.ciqfunctions.udf.CIQ($B7,"IQ_NET_INT_INC_BNK",AS$3,$E$3, $J$3, , $G$3, $H$3)*2/(_xll.ciqfunctions.udf.CIQ($B7,"IQ_GROSS_LOANS",AS$3,$E$3, $J$3, , $G$3, $H$3)+_xll.ciqfunctions.udf.CIQ($B7,"IQ_GROSS_LOANS", "IQ_" &amp; LEFT(AS$3,2) &amp; "-1",AS$3, $J$3, , $G$3, $H$3))),"")</f>
        <v/>
      </c>
      <c r="AT7" s="73" t="str">
        <f>IFERROR(IF(OR($B7="",AT$3=""),"",_xll.ciqfunctions.udf.CIQ($B7,"IQ_NET_INT_INC_BNK",AT$3,$E$3, $J$3, , $G$3, $H$3)*2/(_xll.ciqfunctions.udf.CIQ($B7,"IQ_GROSS_LOANS",AT$3,$E$3, $J$3, , $G$3, $H$3)+_xll.ciqfunctions.udf.CIQ($B7,"IQ_GROSS_LOANS", "IQ_" &amp; LEFT(AT$3,2) &amp; "-1",AT$3, $J$3, , $G$3, $H$3))),"")</f>
        <v/>
      </c>
      <c r="AU7" s="73" t="str">
        <f>IFERROR(IF(OR($B7="",AU$3=""),"",_xll.ciqfunctions.udf.CIQ($B7,"IQ_NET_INT_INC_BNK",AU$3,$E$3, $J$3, , $G$3, $H$3)*2/(_xll.ciqfunctions.udf.CIQ($B7,"IQ_GROSS_LOANS",AU$3,$E$3, $J$3, , $G$3, $H$3)+_xll.ciqfunctions.udf.CIQ($B7,"IQ_GROSS_LOANS", "IQ_" &amp; LEFT(AU$3,2) &amp; "-1",AU$3, $J$3, , $G$3, $H$3))),"")</f>
        <v/>
      </c>
      <c r="AV7" s="73" t="str">
        <f>IFERROR(IF(OR($B7="",AV$3=""),"",_xll.ciqfunctions.udf.CIQ($B7,"IQ_NET_INT_INC_BNK",AV$3,$E$3, $J$3, , $G$3, $H$3)*2/(_xll.ciqfunctions.udf.CIQ($B7,"IQ_GROSS_LOANS",AV$3,$E$3, $J$3, , $G$3, $H$3)+_xll.ciqfunctions.udf.CIQ($B7,"IQ_GROSS_LOANS", "IQ_" &amp; LEFT(AV$3,2) &amp; "-1",AV$3, $J$3, , $G$3, $H$3))),"")</f>
        <v/>
      </c>
      <c r="AW7" s="73" t="str">
        <f>IFERROR(IF(OR($B7="",AW$3=""),"",_xll.ciqfunctions.udf.CIQ($B7,"IQ_NET_INT_INC_BNK",AW$3,$E$3, $J$3, , $G$3, $H$3)*2/(_xll.ciqfunctions.udf.CIQ($B7,"IQ_GROSS_LOANS",AW$3,$E$3, $J$3, , $G$3, $H$3)+_xll.ciqfunctions.udf.CIQ($B7,"IQ_GROSS_LOANS", "IQ_" &amp; LEFT(AW$3,2) &amp; "-1",AW$3, $J$3, , $G$3, $H$3))),"")</f>
        <v/>
      </c>
      <c r="AX7" s="74" t="str">
        <f>IFERROR(IF(OR($B7="",AX$3=""),"",_xll.ciqfunctions.udf.CIQ($B7,"IQ_NET_INT_INC_BNK",AX$3,$E$3, $J$3, , $G$3, $H$3)*2/(_xll.ciqfunctions.udf.CIQ($B7,"IQ_GROSS_LOANS",AX$3,$E$3, $J$3, , $G$3, $H$3)+_xll.ciqfunctions.udf.CIQ($B7,"IQ_GROSS_LOANS", "IQ_" &amp; LEFT(AX$3,2) &amp; "-1",AX$3, $J$3, , $G$3, $H$3))),"")</f>
        <v/>
      </c>
      <c r="AY7" s="72" t="str">
        <f>IFERROR(IF(OR($B7="",AY$3=""),"",_xll.ciqfunctions.udf.CIQ($B7, "IQ_EBT", AY$3,$E$3, $J$3, , $G$3, $H$3)/(_xll.ciqfunctions.udf.CIQ($B7,"IQ_INT_INC_TOTAL",BW$3,$E$3, $J$3, , $G$3, $H$3)+_xll.ciqfunctions.udf.CIQ($B7,"IQ_NON_INT_INC",BW$3,$E$3, $J$3, , $G$3, $H$3))),"")</f>
        <v/>
      </c>
      <c r="AZ7" s="72" t="str">
        <f>IFERROR(IF(OR($B7="",AZ$3=""),"",_xll.ciqfunctions.udf.CIQ($B7, "IQ_EBT", AZ$3,$E$3, $J$3, , $G$3, $H$3)/(_xll.ciqfunctions.udf.CIQ($B7,"IQ_INT_INC_TOTAL",BX$3,$E$3, $J$3, , $G$3, $H$3)+_xll.ciqfunctions.udf.CIQ($B7,"IQ_NON_INT_INC",BX$3,$E$3, $J$3, , $G$3, $H$3))),"")</f>
        <v/>
      </c>
      <c r="BA7" s="72" t="str">
        <f>IFERROR(IF(OR($B7="",BA$3=""),"",_xll.ciqfunctions.udf.CIQ($B7, "IQ_EBT", BA$3,$E$3, $J$3, , $G$3, $H$3)/(_xll.ciqfunctions.udf.CIQ($B7,"IQ_INT_INC_TOTAL",BY$3,$E$3, $J$3, , $G$3, $H$3)+_xll.ciqfunctions.udf.CIQ($B7,"IQ_NON_INT_INC",BY$3,$E$3, $J$3, , $G$3, $H$3))),"")</f>
        <v/>
      </c>
      <c r="BB7" s="72" t="str">
        <f>IFERROR(IF(OR($B7="",BB$3=""),"",_xll.ciqfunctions.udf.CIQ($B7, "IQ_EBT", BB$3,$E$3, $J$3, , $G$3, $H$3)/(_xll.ciqfunctions.udf.CIQ($B7,"IQ_INT_INC_TOTAL",BZ$3,$E$3, $J$3, , $G$3, $H$3)+_xll.ciqfunctions.udf.CIQ($B7,"IQ_NON_INT_INC",BZ$3,$E$3, $J$3, , $G$3, $H$3))),"")</f>
        <v/>
      </c>
      <c r="BC7" s="72" t="str">
        <f>IFERROR(IF(OR($B7="",BC$3=""),"",_xll.ciqfunctions.udf.CIQ($B7, "IQ_EBT", BC$3,$E$3, $J$3, , $G$3, $H$3)/(_xll.ciqfunctions.udf.CIQ($B7,"IQ_INT_INC_TOTAL",CA$3,$E$3, $J$3, , $G$3, $H$3)+_xll.ciqfunctions.udf.CIQ($B7,"IQ_NON_INT_INC",CA$3,$E$3, $J$3, , $G$3, $H$3))),"")</f>
        <v/>
      </c>
      <c r="BD7" s="72" t="str">
        <f>IFERROR(IF(OR($B7="",BD$3=""),"",_xll.ciqfunctions.udf.CIQ($B7, "IQ_EBT", BD$3,$E$3, $J$3, , $G$3, $H$3)/(_xll.ciqfunctions.udf.CIQ($B7,"IQ_INT_INC_TOTAL",CB$3,$E$3, $J$3, , $G$3, $H$3)+_xll.ciqfunctions.udf.CIQ($B7,"IQ_NON_INT_INC",CB$3,$E$3, $J$3, , $G$3, $H$3))),"")</f>
        <v/>
      </c>
      <c r="BE7" s="72" t="str">
        <f>IFERROR(IF(OR($B7="",BE$3=""),"",_xll.ciqfunctions.udf.CIQ($B7, "IQ_EBT", BE$3,$E$3, $J$3, , $G$3, $H$3)/(_xll.ciqfunctions.udf.CIQ($B7,"IQ_INT_INC_TOTAL",CC$3,$E$3, $J$3, , $G$3, $H$3)+_xll.ciqfunctions.udf.CIQ($B7,"IQ_NON_INT_INC",CC$3,$E$3, $J$3, , $G$3, $H$3))),"")</f>
        <v/>
      </c>
      <c r="BF7" s="72" t="str">
        <f>IFERROR(IF(OR($B7="",BF$3=""),"",_xll.ciqfunctions.udf.CIQ($B7, "IQ_EBT", BF$3,$E$3, $J$3, , $G$3, $H$3)/(_xll.ciqfunctions.udf.CIQ($B7,"IQ_INT_INC_TOTAL",CD$3,$E$3, $J$3, , $G$3, $H$3)+_xll.ciqfunctions.udf.CIQ($B7,"IQ_NON_INT_INC",CD$3,$E$3, $J$3, , $G$3, $H$3))),"")</f>
        <v/>
      </c>
      <c r="BG7" s="72" t="str">
        <f>IFERROR(IF(OR($B7="",BG$3=""),"",_xll.ciqfunctions.udf.CIQ($B7, "IQ_EBT", BG$3,$E$3, $J$3, , $G$3, $H$3)/(_xll.ciqfunctions.udf.CIQ($B7,"IQ_INT_INC_TOTAL",CE$3,$E$3, $J$3, , $G$3, $H$3)+_xll.ciqfunctions.udf.CIQ($B7,"IQ_NON_INT_INC",CE$3,$E$3, $J$3, , $G$3, $H$3))),"")</f>
        <v/>
      </c>
      <c r="BH7" s="72" t="str">
        <f>IFERROR(IF(OR($B7="",BH$3=""),"",_xll.ciqfunctions.udf.CIQ($B7, "IQ_EBT", BH$3,$E$3, $J$3, , $G$3, $H$3)/(_xll.ciqfunctions.udf.CIQ($B7,"IQ_INT_INC_TOTAL",CF$3,$E$3, $J$3, , $G$3, $H$3)+_xll.ciqfunctions.udf.CIQ($B7,"IQ_NON_INT_INC",CF$3,$E$3, $J$3, , $G$3, $H$3))),"")</f>
        <v/>
      </c>
      <c r="BI7" s="72" t="str">
        <f>IFERROR(IF(OR($B7="",BI$3=""),"",_xll.ciqfunctions.udf.CIQ($B7, "IQ_EBT", BI$3,$E$3, $J$3, , $G$3, $H$3)/(_xll.ciqfunctions.udf.CIQ($B7,"IQ_INT_INC_TOTAL",CG$3,$E$3, $J$3, , $G$3, $H$3)+_xll.ciqfunctions.udf.CIQ($B7,"IQ_NON_INT_INC",CG$3,$E$3, $J$3, , $G$3, $H$3))),"")</f>
        <v/>
      </c>
      <c r="BJ7" s="72" t="str">
        <f>IFERROR(IF(OR($B7="",BJ$3=""),"",_xll.ciqfunctions.udf.CIQ($B7, "IQ_EBT", BJ$3,$E$3, $J$3, , $G$3, $H$3)/(_xll.ciqfunctions.udf.CIQ($B7,"IQ_INT_INC_TOTAL",CH$3,$E$3, $J$3, , $G$3, $H$3)+_xll.ciqfunctions.udf.CIQ($B7,"IQ_NON_INT_INC",CH$3,$E$3, $J$3, , $G$3, $H$3))),"")</f>
        <v/>
      </c>
      <c r="BK7" s="72" t="str">
        <f>IFERROR(IF(OR($B7="",BK$3=""),"",_xll.ciqfunctions.udf.CIQ($B7, "IQ_EBT", BK$3,$E$3, $J$3, , $G$3, $H$3)/(_xll.ciqfunctions.udf.CIQ($B7,"IQ_INT_INC_TOTAL",CI$3,$E$3, $J$3, , $G$3, $H$3)+_xll.ciqfunctions.udf.CIQ($B7,"IQ_NON_INT_INC",CI$3,$E$3, $J$3, , $G$3, $H$3))),"")</f>
        <v/>
      </c>
      <c r="BL7" s="72" t="str">
        <f>IFERROR(IF(OR($B7="",BL$3=""),"",_xll.ciqfunctions.udf.CIQ($B7, "IQ_EBT", BL$3,$E$3, $J$3, , $G$3, $H$3)/(_xll.ciqfunctions.udf.CIQ($B7,"IQ_INT_INC_TOTAL",CJ$3,$E$3, $J$3, , $G$3, $H$3)+_xll.ciqfunctions.udf.CIQ($B7,"IQ_NON_INT_INC",CJ$3,$E$3, $J$3, , $G$3, $H$3))),"")</f>
        <v/>
      </c>
      <c r="BM7" s="72" t="str">
        <f>IFERROR(IF(OR($B7="",BM$3=""),"",_xll.ciqfunctions.udf.CIQ($B7, "IQ_EBT", BM$3,$E$3, $J$3, , $G$3, $H$3)/(_xll.ciqfunctions.udf.CIQ($B7,"IQ_INT_INC_TOTAL",CK$3,$E$3, $J$3, , $G$3, $H$3)+_xll.ciqfunctions.udf.CIQ($B7,"IQ_NON_INT_INC",CK$3,$E$3, $J$3, , $G$3, $H$3))),"")</f>
        <v/>
      </c>
      <c r="BN7" s="72" t="str">
        <f>IFERROR(IF(OR($B7="",BN$3=""),"",_xll.ciqfunctions.udf.CIQ($B7, "IQ_EBT", BN$3,$E$3, $J$3, , $G$3, $H$3)/(_xll.ciqfunctions.udf.CIQ($B7,"IQ_INT_INC_TOTAL",CL$3,$E$3, $J$3, , $G$3, $H$3)+_xll.ciqfunctions.udf.CIQ($B7,"IQ_NON_INT_INC",CL$3,$E$3, $J$3, , $G$3, $H$3))),"")</f>
        <v/>
      </c>
      <c r="BO7" s="72" t="str">
        <f>IFERROR(IF(OR($B7="",BO$3=""),"",_xll.ciqfunctions.udf.CIQ($B7, "IQ_EBT", BO$3,$E$3, $J$3, , $G$3, $H$3)/(_xll.ciqfunctions.udf.CIQ($B7,"IQ_INT_INC_TOTAL",CM$3,$E$3, $J$3, , $G$3, $H$3)+_xll.ciqfunctions.udf.CIQ($B7,"IQ_NON_INT_INC",CM$3,$E$3, $J$3, , $G$3, $H$3))),"")</f>
        <v/>
      </c>
      <c r="BP7" s="72" t="str">
        <f>IFERROR(IF(OR($B7="",BP$3=""),"",_xll.ciqfunctions.udf.CIQ($B7, "IQ_EBT", BP$3,$E$3, $J$3, , $G$3, $H$3)/(_xll.ciqfunctions.udf.CIQ($B7,"IQ_INT_INC_TOTAL",CN$3,$E$3, $J$3, , $G$3, $H$3)+_xll.ciqfunctions.udf.CIQ($B7,"IQ_NON_INT_INC",CN$3,$E$3, $J$3, , $G$3, $H$3))),"")</f>
        <v/>
      </c>
      <c r="BQ7" s="72" t="str">
        <f>IFERROR(IF(OR($B7="",BQ$3=""),"",_xll.ciqfunctions.udf.CIQ($B7, "IQ_EBT", BQ$3,$E$3, $J$3, , $G$3, $H$3)/(_xll.ciqfunctions.udf.CIQ($B7,"IQ_INT_INC_TOTAL",CO$3,$E$3, $J$3, , $G$3, $H$3)+_xll.ciqfunctions.udf.CIQ($B7,"IQ_NON_INT_INC",CO$3,$E$3, $J$3, , $G$3, $H$3))),"")</f>
        <v/>
      </c>
      <c r="BR7" s="72" t="str">
        <f>IFERROR(IF(OR($B7="",BR$3=""),"",_xll.ciqfunctions.udf.CIQ($B7, "IQ_EBT", BR$3,$E$3, $J$3, , $G$3, $H$3)/(_xll.ciqfunctions.udf.CIQ($B7,"IQ_INT_INC_TOTAL",CP$3,$E$3, $J$3, , $G$3, $H$3)+_xll.ciqfunctions.udf.CIQ($B7,"IQ_NON_INT_INC",CP$3,$E$3, $J$3, , $G$3, $H$3))),"")</f>
        <v/>
      </c>
      <c r="BS7" s="241" t="str">
        <f>IFERROR(IF(OR($B7="",BS$3=""),"",_xll.ciqfunctions.udf.CIQ($B7,"IQ_NI",BS$3,$E$3, $J$3, , $G$3, $H$3)/(_xll.ciqfunctions.udf.CIQ($B7,"IQ_INT_INC_TOTAL",BS$3,$E$3, $J$3, , $G$3, $H$3)+_xll.ciqfunctions.udf.CIQ($B7,"IQ_NON_INT_INC",BS$3,$E$3, $J$3, , $G$3, $H$3))),"")</f>
        <v/>
      </c>
      <c r="BT7" s="243" t="str">
        <f>IFERROR(IF(OR($B7="",BT$3=""),"",_xll.ciqfunctions.udf.CIQ($B7,"IQ_NI",BT$3,$E$3, $J$3, , $G$3, $H$3)/(_xll.ciqfunctions.udf.CIQ($B7,"IQ_INT_INC_TOTAL",BT$3,$E$3, $J$3, , $G$3, $H$3)+_xll.ciqfunctions.udf.CIQ($B7,"IQ_NON_INT_INC",BT$3,$E$3, $J$3, , $G$3, $H$3))),"")</f>
        <v/>
      </c>
      <c r="BU7" s="243" t="str">
        <f>IFERROR(IF(OR($B7="",BU$3=""),"",_xll.ciqfunctions.udf.CIQ($B7,"IQ_NI",BU$3,$E$3, $J$3, , $G$3, $H$3)/(_xll.ciqfunctions.udf.CIQ($B7,"IQ_INT_INC_TOTAL",BU$3,$E$3, $J$3, , $G$3, $H$3)+_xll.ciqfunctions.udf.CIQ($B7,"IQ_NON_INT_INC",BU$3,$E$3, $J$3, , $G$3, $H$3))),"")</f>
        <v/>
      </c>
      <c r="BV7" s="243" t="str">
        <f>IFERROR(IF(OR($B7="",BV$3=""),"",_xll.ciqfunctions.udf.CIQ($B7,"IQ_NI",BV$3,$E$3, $J$3, , $G$3, $H$3)/(_xll.ciqfunctions.udf.CIQ($B7,"IQ_INT_INC_TOTAL",BV$3,$E$3, $J$3, , $G$3, $H$3)+_xll.ciqfunctions.udf.CIQ($B7,"IQ_NON_INT_INC",BV$3,$E$3, $J$3, , $G$3, $H$3))),"")</f>
        <v/>
      </c>
      <c r="BW7" s="243" t="str">
        <f>IFERROR(IF(OR($B7="",BW$3=""),"",_xll.ciqfunctions.udf.CIQ($B7,"IQ_NI",BW$3,$E$3, $J$3, , $G$3, $H$3)/(_xll.ciqfunctions.udf.CIQ($B7,"IQ_INT_INC_TOTAL",BW$3,$E$3, $J$3, , $G$3, $H$3)+_xll.ciqfunctions.udf.CIQ($B7,"IQ_NON_INT_INC",BW$3,$E$3, $J$3, , $G$3, $H$3))),"")</f>
        <v/>
      </c>
      <c r="BX7" s="243" t="str">
        <f>IFERROR(IF(OR($B7="",BX$3=""),"",_xll.ciqfunctions.udf.CIQ($B7,"IQ_NI",BX$3,$E$3, $J$3, , $G$3, $H$3)/(_xll.ciqfunctions.udf.CIQ($B7,"IQ_INT_INC_TOTAL",BX$3,$E$3, $J$3, , $G$3, $H$3)+_xll.ciqfunctions.udf.CIQ($B7,"IQ_NON_INT_INC",BX$3,$E$3, $J$3, , $G$3, $H$3))),"")</f>
        <v/>
      </c>
      <c r="BY7" s="243" t="str">
        <f>IFERROR(IF(OR($B7="",BY$3=""),"",_xll.ciqfunctions.udf.CIQ($B7,"IQ_NI",BY$3,$E$3, $J$3, , $G$3, $H$3)/(_xll.ciqfunctions.udf.CIQ($B7,"IQ_INT_INC_TOTAL",BY$3,$E$3, $J$3, , $G$3, $H$3)+_xll.ciqfunctions.udf.CIQ($B7,"IQ_NON_INT_INC",BY$3,$E$3, $J$3, , $G$3, $H$3))),"")</f>
        <v/>
      </c>
      <c r="BZ7" s="243" t="str">
        <f>IFERROR(IF(OR($B7="",BZ$3=""),"",_xll.ciqfunctions.udf.CIQ($B7,"IQ_NI",BZ$3,$E$3, $J$3, , $G$3, $H$3)/(_xll.ciqfunctions.udf.CIQ($B7,"IQ_INT_INC_TOTAL",BZ$3,$E$3, $J$3, , $G$3, $H$3)+_xll.ciqfunctions.udf.CIQ($B7,"IQ_NON_INT_INC",BZ$3,$E$3, $J$3, , $G$3, $H$3))),"")</f>
        <v/>
      </c>
      <c r="CA7" s="243" t="str">
        <f>IFERROR(IF(OR($B7="",CA$3=""),"",_xll.ciqfunctions.udf.CIQ($B7,"IQ_NI",CA$3,$E$3, $J$3, , $G$3, $H$3)/(_xll.ciqfunctions.udf.CIQ($B7,"IQ_INT_INC_TOTAL",CA$3,$E$3, $J$3, , $G$3, $H$3)+_xll.ciqfunctions.udf.CIQ($B7,"IQ_NON_INT_INC",CA$3,$E$3, $J$3, , $G$3, $H$3))),"")</f>
        <v/>
      </c>
      <c r="CB7" s="243" t="str">
        <f>IFERROR(IF(OR($B7="",CB$3=""),"",_xll.ciqfunctions.udf.CIQ($B7,"IQ_NI",CB$3,$E$3, $J$3, , $G$3, $H$3)/(_xll.ciqfunctions.udf.CIQ($B7,"IQ_INT_INC_TOTAL",CB$3,$E$3, $J$3, , $G$3, $H$3)+_xll.ciqfunctions.udf.CIQ($B7,"IQ_NON_INT_INC",CB$3,$E$3, $J$3, , $G$3, $H$3))),"")</f>
        <v/>
      </c>
      <c r="CC7" s="243" t="str">
        <f>IFERROR(IF(OR($B7="",CC$3=""),"",_xll.ciqfunctions.udf.CIQ($B7,"IQ_NI",CC$3,$E$3, $J$3, , $G$3, $H$3)/(_xll.ciqfunctions.udf.CIQ($B7,"IQ_INT_INC_TOTAL",CC$3,$E$3, $J$3, , $G$3, $H$3)+_xll.ciqfunctions.udf.CIQ($B7,"IQ_NON_INT_INC",CC$3,$E$3, $J$3, , $G$3, $H$3))),"")</f>
        <v/>
      </c>
      <c r="CD7" s="243" t="str">
        <f>IFERROR(IF(OR($B7="",CD$3=""),"",_xll.ciqfunctions.udf.CIQ($B7,"IQ_NI",CD$3,$E$3, $J$3, , $G$3, $H$3)/(_xll.ciqfunctions.udf.CIQ($B7,"IQ_INT_INC_TOTAL",CD$3,$E$3, $J$3, , $G$3, $H$3)+_xll.ciqfunctions.udf.CIQ($B7,"IQ_NON_INT_INC",CD$3,$E$3, $J$3, , $G$3, $H$3))),"")</f>
        <v/>
      </c>
      <c r="CE7" s="243" t="str">
        <f>IFERROR(IF(OR($B7="",CE$3=""),"",_xll.ciqfunctions.udf.CIQ($B7,"IQ_NI",CE$3,$E$3, $J$3, , $G$3, $H$3)/(_xll.ciqfunctions.udf.CIQ($B7,"IQ_INT_INC_TOTAL",CE$3,$E$3, $J$3, , $G$3, $H$3)+_xll.ciqfunctions.udf.CIQ($B7,"IQ_NON_INT_INC",CE$3,$E$3, $J$3, , $G$3, $H$3))),"")</f>
        <v/>
      </c>
      <c r="CF7" s="243" t="str">
        <f>IFERROR(IF(OR($B7="",CF$3=""),"",_xll.ciqfunctions.udf.CIQ($B7,"IQ_NI",CF$3,$E$3, $J$3, , $G$3, $H$3)/(_xll.ciqfunctions.udf.CIQ($B7,"IQ_INT_INC_TOTAL",CF$3,$E$3, $J$3, , $G$3, $H$3)+_xll.ciqfunctions.udf.CIQ($B7,"IQ_NON_INT_INC",CF$3,$E$3, $J$3, , $G$3, $H$3))),"")</f>
        <v/>
      </c>
      <c r="CG7" s="243" t="str">
        <f>IFERROR(IF(OR($B7="",CG$3=""),"",_xll.ciqfunctions.udf.CIQ($B7,"IQ_NI",CG$3,$E$3, $J$3, , $G$3, $H$3)/(_xll.ciqfunctions.udf.CIQ($B7,"IQ_INT_INC_TOTAL",CG$3,$E$3, $J$3, , $G$3, $H$3)+_xll.ciqfunctions.udf.CIQ($B7,"IQ_NON_INT_INC",CG$3,$E$3, $J$3, , $G$3, $H$3))),"")</f>
        <v/>
      </c>
      <c r="CH7" s="243" t="str">
        <f>IFERROR(IF(OR($B7="",CH$3=""),"",_xll.ciqfunctions.udf.CIQ($B7,"IQ_NI",CH$3,$E$3, $J$3, , $G$3, $H$3)/(_xll.ciqfunctions.udf.CIQ($B7,"IQ_INT_INC_TOTAL",CH$3,$E$3, $J$3, , $G$3, $H$3)+_xll.ciqfunctions.udf.CIQ($B7,"IQ_NON_INT_INC",CH$3,$E$3, $J$3, , $G$3, $H$3))),"")</f>
        <v/>
      </c>
      <c r="CI7" s="243" t="str">
        <f>IFERROR(IF(OR($B7="",CI$3=""),"",_xll.ciqfunctions.udf.CIQ($B7,"IQ_NI",CI$3,$E$3, $J$3, , $G$3, $H$3)/(_xll.ciqfunctions.udf.CIQ($B7,"IQ_INT_INC_TOTAL",CI$3,$E$3, $J$3, , $G$3, $H$3)+_xll.ciqfunctions.udf.CIQ($B7,"IQ_NON_INT_INC",CI$3,$E$3, $J$3, , $G$3, $H$3))),"")</f>
        <v/>
      </c>
      <c r="CJ7" s="243" t="str">
        <f>IFERROR(IF(OR($B7="",CJ$3=""),"",_xll.ciqfunctions.udf.CIQ($B7,"IQ_NI",CJ$3,$E$3, $J$3, , $G$3, $H$3)/(_xll.ciqfunctions.udf.CIQ($B7,"IQ_INT_INC_TOTAL",CJ$3,$E$3, $J$3, , $G$3, $H$3)+_xll.ciqfunctions.udf.CIQ($B7,"IQ_NON_INT_INC",CJ$3,$E$3, $J$3, , $G$3, $H$3))),"")</f>
        <v/>
      </c>
      <c r="CK7" s="243" t="str">
        <f>IFERROR(IF(OR($B7="",CK$3=""),"",_xll.ciqfunctions.udf.CIQ($B7,"IQ_NI",CK$3,$E$3, $J$3, , $G$3, $H$3)/(_xll.ciqfunctions.udf.CIQ($B7,"IQ_INT_INC_TOTAL",CK$3,$E$3, $J$3, , $G$3, $H$3)+_xll.ciqfunctions.udf.CIQ($B7,"IQ_NON_INT_INC",CK$3,$E$3, $J$3, , $G$3, $H$3))),"")</f>
        <v/>
      </c>
      <c r="CL7" s="242" t="str">
        <f>IFERROR(IF(OR($B7="",CL$3=""),"",_xll.ciqfunctions.udf.CIQ($B7,"IQ_NI",CL$3,$E$3, $J$3, , $G$3, $H$3)/(_xll.ciqfunctions.udf.CIQ($B7,"IQ_INT_INC_TOTAL",CL$3,$E$3, $J$3, , $G$3, $H$3)+_xll.ciqfunctions.udf.CIQ($B7,"IQ_NON_INT_INC",CL$3,$E$3, $J$3, , $G$3, $H$3))),"")</f>
        <v/>
      </c>
      <c r="CM7" s="72" t="str">
        <f>IFERROR(IF(OR($B7="",CM$3=""),"",_xll.ciqfunctions.udf.CIQ($B7,"IQ_SGA_SUPPL",CM$3,$E$3, $J$3, , $G$3, $H$3)/(_xll.ciqfunctions.udf.CIQ($B7,"IQ_INT_INC_TOTAL",CM$3,$E$3, $J$3, , $G$3, $H$3)+_xll.ciqfunctions.udf.CIQ($B7,"IQ_NON_INT_INC",CM$3,$E$3, $J$3, , $G$3, $H$3))),"")</f>
        <v/>
      </c>
      <c r="CN7" s="72" t="str">
        <f>IFERROR(IF(OR($B7="",CN$3=""),"",_xll.ciqfunctions.udf.CIQ($B7,"IQ_SGA_SUPPL",CN$3,$E$3, $J$3, , $G$3, $H$3)/(_xll.ciqfunctions.udf.CIQ($B7,"IQ_INT_INC_TOTAL",CN$3,$E$3, $J$3, , $G$3, $H$3)+_xll.ciqfunctions.udf.CIQ($B7,"IQ_NON_INT_INC",CN$3,$E$3, $J$3, , $G$3, $H$3))),"")</f>
        <v/>
      </c>
      <c r="CO7" s="72" t="str">
        <f>IFERROR(IF(OR($B7="",CO$3=""),"",_xll.ciqfunctions.udf.CIQ($B7,"IQ_SGA_SUPPL",CO$3,$E$3, $J$3, , $G$3, $H$3)/(_xll.ciqfunctions.udf.CIQ($B7,"IQ_INT_INC_TOTAL",CO$3,$E$3, $J$3, , $G$3, $H$3)+_xll.ciqfunctions.udf.CIQ($B7,"IQ_NON_INT_INC",CO$3,$E$3, $J$3, , $G$3, $H$3))),"")</f>
        <v/>
      </c>
      <c r="CP7" s="72" t="str">
        <f>IFERROR(IF(OR($B7="",CP$3=""),"",_xll.ciqfunctions.udf.CIQ($B7,"IQ_SGA_SUPPL",CP$3,$E$3, $J$3, , $G$3, $H$3)/(_xll.ciqfunctions.udf.CIQ($B7,"IQ_INT_INC_TOTAL",CP$3,$E$3, $J$3, , $G$3, $H$3)+_xll.ciqfunctions.udf.CIQ($B7,"IQ_NON_INT_INC",CP$3,$E$3, $J$3, , $G$3, $H$3))),"")</f>
        <v/>
      </c>
      <c r="CQ7" s="72" t="str">
        <f>IFERROR(IF(OR($B7="",CQ$3=""),"",_xll.ciqfunctions.udf.CIQ($B7,"IQ_SGA_SUPPL",CQ$3,$E$3, $J$3, , $G$3, $H$3)/(_xll.ciqfunctions.udf.CIQ($B7,"IQ_INT_INC_TOTAL",CQ$3,$E$3, $J$3, , $G$3, $H$3)+_xll.ciqfunctions.udf.CIQ($B7,"IQ_NON_INT_INC",CQ$3,$E$3, $J$3, , $G$3, $H$3))),"")</f>
        <v/>
      </c>
      <c r="CR7" s="72" t="str">
        <f>IFERROR(IF(OR($B7="",CR$3=""),"",_xll.ciqfunctions.udf.CIQ($B7,"IQ_SGA_SUPPL",CR$3,$E$3, $J$3, , $G$3, $H$3)/(_xll.ciqfunctions.udf.CIQ($B7,"IQ_INT_INC_TOTAL",CR$3,$E$3, $J$3, , $G$3, $H$3)+_xll.ciqfunctions.udf.CIQ($B7,"IQ_NON_INT_INC",CR$3,$E$3, $J$3, , $G$3, $H$3))),"")</f>
        <v/>
      </c>
      <c r="CS7" s="72" t="str">
        <f>IFERROR(IF(OR($B7="",CS$3=""),"",_xll.ciqfunctions.udf.CIQ($B7,"IQ_SGA_SUPPL",CS$3,$E$3, $J$3, , $G$3, $H$3)/(_xll.ciqfunctions.udf.CIQ($B7,"IQ_INT_INC_TOTAL",CS$3,$E$3, $J$3, , $G$3, $H$3)+_xll.ciqfunctions.udf.CIQ($B7,"IQ_NON_INT_INC",CS$3,$E$3, $J$3, , $G$3, $H$3))),"")</f>
        <v/>
      </c>
      <c r="CT7" s="72" t="str">
        <f>IFERROR(IF(OR($B7="",CT$3=""),"",_xll.ciqfunctions.udf.CIQ($B7,"IQ_SGA_SUPPL",CT$3,$E$3, $J$3, , $G$3, $H$3)/(_xll.ciqfunctions.udf.CIQ($B7,"IQ_INT_INC_TOTAL",CT$3,$E$3, $J$3, , $G$3, $H$3)+_xll.ciqfunctions.udf.CIQ($B7,"IQ_NON_INT_INC",CT$3,$E$3, $J$3, , $G$3, $H$3))),"")</f>
        <v/>
      </c>
      <c r="CU7" s="72" t="str">
        <f>IFERROR(IF(OR($B7="",CU$3=""),"",_xll.ciqfunctions.udf.CIQ($B7,"IQ_SGA_SUPPL",CU$3,$E$3, $J$3, , $G$3, $H$3)/(_xll.ciqfunctions.udf.CIQ($B7,"IQ_INT_INC_TOTAL",CU$3,$E$3, $J$3, , $G$3, $H$3)+_xll.ciqfunctions.udf.CIQ($B7,"IQ_NON_INT_INC",CU$3,$E$3, $J$3, , $G$3, $H$3))),"")</f>
        <v/>
      </c>
      <c r="CV7" s="72" t="str">
        <f>IFERROR(IF(OR($B7="",CV$3=""),"",_xll.ciqfunctions.udf.CIQ($B7,"IQ_SGA_SUPPL",CV$3,$E$3, $J$3, , $G$3, $H$3)/(_xll.ciqfunctions.udf.CIQ($B7,"IQ_INT_INC_TOTAL",CV$3,$E$3, $J$3, , $G$3, $H$3)+_xll.ciqfunctions.udf.CIQ($B7,"IQ_NON_INT_INC",CV$3,$E$3, $J$3, , $G$3, $H$3))),"")</f>
        <v/>
      </c>
      <c r="CW7" s="72" t="str">
        <f>IFERROR(IF(OR($B7="",CW$3=""),"",_xll.ciqfunctions.udf.CIQ($B7,"IQ_SGA_SUPPL",CW$3,$E$3, $J$3, , $G$3, $H$3)/(_xll.ciqfunctions.udf.CIQ($B7,"IQ_INT_INC_TOTAL",CW$3,$E$3, $J$3, , $G$3, $H$3)+_xll.ciqfunctions.udf.CIQ($B7,"IQ_NON_INT_INC",CW$3,$E$3, $J$3, , $G$3, $H$3))),"")</f>
        <v/>
      </c>
      <c r="CX7" s="72" t="str">
        <f>IFERROR(IF(OR($B7="",CX$3=""),"",_xll.ciqfunctions.udf.CIQ($B7,"IQ_SGA_SUPPL",CX$3,$E$3, $J$3, , $G$3, $H$3)/(_xll.ciqfunctions.udf.CIQ($B7,"IQ_INT_INC_TOTAL",CX$3,$E$3, $J$3, , $G$3, $H$3)+_xll.ciqfunctions.udf.CIQ($B7,"IQ_NON_INT_INC",CX$3,$E$3, $J$3, , $G$3, $H$3))),"")</f>
        <v/>
      </c>
      <c r="CY7" s="72" t="str">
        <f>IFERROR(IF(OR($B7="",CY$3=""),"",_xll.ciqfunctions.udf.CIQ($B7,"IQ_SGA_SUPPL",CY$3,$E$3, $J$3, , $G$3, $H$3)/(_xll.ciqfunctions.udf.CIQ($B7,"IQ_INT_INC_TOTAL",CY$3,$E$3, $J$3, , $G$3, $H$3)+_xll.ciqfunctions.udf.CIQ($B7,"IQ_NON_INT_INC",CY$3,$E$3, $J$3, , $G$3, $H$3))),"")</f>
        <v/>
      </c>
      <c r="CZ7" s="72" t="str">
        <f>IFERROR(IF(OR($B7="",CZ$3=""),"",_xll.ciqfunctions.udf.CIQ($B7,"IQ_SGA_SUPPL",CZ$3,$E$3, $J$3, , $G$3, $H$3)/(_xll.ciqfunctions.udf.CIQ($B7,"IQ_INT_INC_TOTAL",CZ$3,$E$3, $J$3, , $G$3, $H$3)+_xll.ciqfunctions.udf.CIQ($B7,"IQ_NON_INT_INC",CZ$3,$E$3, $J$3, , $G$3, $H$3))),"")</f>
        <v/>
      </c>
      <c r="DA7" s="72" t="str">
        <f>IFERROR(IF(OR($B7="",DA$3=""),"",_xll.ciqfunctions.udf.CIQ($B7,"IQ_SGA_SUPPL",DA$3,$E$3, $J$3, , $G$3, $H$3)/(_xll.ciqfunctions.udf.CIQ($B7,"IQ_INT_INC_TOTAL",DA$3,$E$3, $J$3, , $G$3, $H$3)+_xll.ciqfunctions.udf.CIQ($B7,"IQ_NON_INT_INC",DA$3,$E$3, $J$3, , $G$3, $H$3))),"")</f>
        <v/>
      </c>
      <c r="DB7" s="72" t="str">
        <f>IFERROR(IF(OR($B7="",DB$3=""),"",_xll.ciqfunctions.udf.CIQ($B7,"IQ_SGA_SUPPL",DB$3,$E$3, $J$3, , $G$3, $H$3)/(_xll.ciqfunctions.udf.CIQ($B7,"IQ_INT_INC_TOTAL",DB$3,$E$3, $J$3, , $G$3, $H$3)+_xll.ciqfunctions.udf.CIQ($B7,"IQ_NON_INT_INC",DB$3,$E$3, $J$3, , $G$3, $H$3))),"")</f>
        <v/>
      </c>
      <c r="DC7" s="72" t="str">
        <f>IFERROR(IF(OR($B7="",DC$3=""),"",_xll.ciqfunctions.udf.CIQ($B7,"IQ_SGA_SUPPL",DC$3,$E$3, $J$3, , $G$3, $H$3)/(_xll.ciqfunctions.udf.CIQ($B7,"IQ_INT_INC_TOTAL",DC$3,$E$3, $J$3, , $G$3, $H$3)+_xll.ciqfunctions.udf.CIQ($B7,"IQ_NON_INT_INC",DC$3,$E$3, $J$3, , $G$3, $H$3))),"")</f>
        <v/>
      </c>
      <c r="DD7" s="72" t="str">
        <f>IFERROR(IF(OR($B7="",DD$3=""),"",_xll.ciqfunctions.udf.CIQ($B7,"IQ_SGA_SUPPL",DD$3,$E$3, $J$3, , $G$3, $H$3)/(_xll.ciqfunctions.udf.CIQ($B7,"IQ_INT_INC_TOTAL",DD$3,$E$3, $J$3, , $G$3, $H$3)+_xll.ciqfunctions.udf.CIQ($B7,"IQ_NON_INT_INC",DD$3,$E$3, $J$3, , $G$3, $H$3))),"")</f>
        <v/>
      </c>
      <c r="DE7" s="72" t="str">
        <f>IFERROR(IF(OR($B7="",DE$3=""),"",_xll.ciqfunctions.udf.CIQ($B7,"IQ_SGA_SUPPL",DE$3,$E$3, $J$3, , $G$3, $H$3)/(_xll.ciqfunctions.udf.CIQ($B7,"IQ_INT_INC_TOTAL",DE$3,$E$3, $J$3, , $G$3, $H$3)+_xll.ciqfunctions.udf.CIQ($B7,"IQ_NON_INT_INC",DE$3,$E$3, $J$3, , $G$3, $H$3))),"")</f>
        <v/>
      </c>
      <c r="DF7" s="72" t="str">
        <f>IFERROR(IF(OR($B7="",DF$3=""),"",_xll.ciqfunctions.udf.CIQ($B7,"IQ_SGA_SUPPL",DF$3,$E$3, $J$3, , $G$3, $H$3)/(_xll.ciqfunctions.udf.CIQ($B7,"IQ_INT_INC_TOTAL",DF$3,$E$3, $J$3, , $G$3, $H$3)+_xll.ciqfunctions.udf.CIQ($B7,"IQ_NON_INT_INC",DF$3,$E$3, $J$3, , $G$3, $H$3))),"")</f>
        <v/>
      </c>
      <c r="DG7" s="72">
        <f>IFERROR(IF(OR($B7="",DG$3=""),"",_xll.ciqfunctions.udf.CIQ($B7,"IQ_TIER_ONE_RATIO",DG$3,$E$3, $J$3, , $G$3, $H$3)/100),"")</f>
        <v>0</v>
      </c>
      <c r="DH7" s="73" t="str">
        <f>IFERROR(IF(OR($B7="",DH$3=""),"",_xll.ciqfunctions.udf.CIQ($B7,"IQ_TIER_ONE_RATIO",DH$3,$E$3, $J$3, , $G$3, $H$3)/100),"")</f>
        <v/>
      </c>
      <c r="DI7" s="73" t="str">
        <f>IFERROR(IF(OR($B7="",DI$3=""),"",_xll.ciqfunctions.udf.CIQ($B7,"IQ_TIER_ONE_RATIO",DI$3,$E$3, $J$3, , $G$3, $H$3)/100),"")</f>
        <v/>
      </c>
      <c r="DJ7" s="73" t="str">
        <f>IFERROR(IF(OR($B7="",DJ$3=""),"",_xll.ciqfunctions.udf.CIQ($B7,"IQ_TIER_ONE_RATIO",DJ$3,$E$3, $J$3, , $G$3, $H$3)/100),"")</f>
        <v/>
      </c>
      <c r="DK7" s="73" t="str">
        <f>IFERROR(IF(OR($B7="",DK$3=""),"",_xll.ciqfunctions.udf.CIQ($B7,"IQ_TIER_ONE_RATIO",DK$3,$E$3, $J$3, , $G$3, $H$3)/100),"")</f>
        <v/>
      </c>
      <c r="DL7" s="73" t="str">
        <f>IFERROR(IF(OR($B7="",DL$3=""),"",_xll.ciqfunctions.udf.CIQ($B7,"IQ_TIER_ONE_RATIO",DL$3,$E$3, $J$3, , $G$3, $H$3)/100),"")</f>
        <v/>
      </c>
      <c r="DM7" s="73" t="str">
        <f>IFERROR(IF(OR($B7="",DM$3=""),"",_xll.ciqfunctions.udf.CIQ($B7,"IQ_TIER_ONE_RATIO",DM$3,$E$3, $J$3, , $G$3, $H$3)/100),"")</f>
        <v/>
      </c>
      <c r="DN7" s="73" t="str">
        <f>IFERROR(IF(OR($B7="",DN$3=""),"",_xll.ciqfunctions.udf.CIQ($B7,"IQ_TIER_ONE_RATIO",DN$3,$E$3, $J$3, , $G$3, $H$3)/100),"")</f>
        <v/>
      </c>
      <c r="DO7" s="73" t="str">
        <f>IFERROR(IF(OR($B7="",DO$3=""),"",_xll.ciqfunctions.udf.CIQ($B7,"IQ_TIER_ONE_RATIO",DO$3,$E$3, $J$3, , $G$3, $H$3)/100),"")</f>
        <v/>
      </c>
      <c r="DP7" s="73" t="str">
        <f>IFERROR(IF(OR($B7="",DP$3=""),"",_xll.ciqfunctions.udf.CIQ($B7,"IQ_TIER_ONE_RATIO",DP$3,$E$3, $J$3, , $G$3, $H$3)/100),"")</f>
        <v/>
      </c>
      <c r="DQ7" s="73" t="str">
        <f>IFERROR(IF(OR($B7="",DQ$3=""),"",_xll.ciqfunctions.udf.CIQ($B7,"IQ_TIER_ONE_RATIO",DQ$3,$E$3, $J$3, , $G$3, $H$3)/100),"")</f>
        <v/>
      </c>
      <c r="DR7" s="73" t="str">
        <f>IFERROR(IF(OR($B7="",DR$3=""),"",_xll.ciqfunctions.udf.CIQ($B7,"IQ_TIER_ONE_RATIO",DR$3,$E$3, $J$3, , $G$3, $H$3)/100),"")</f>
        <v/>
      </c>
      <c r="DS7" s="73" t="str">
        <f>IFERROR(IF(OR($B7="",DS$3=""),"",_xll.ciqfunctions.udf.CIQ($B7,"IQ_TIER_ONE_RATIO",DS$3,$E$3, $J$3, , $G$3, $H$3)/100),"")</f>
        <v/>
      </c>
      <c r="DT7" s="73" t="str">
        <f>IFERROR(IF(OR($B7="",DT$3=""),"",_xll.ciqfunctions.udf.CIQ($B7,"IQ_TIER_ONE_RATIO",DT$3,$E$3, $J$3, , $G$3, $H$3)/100),"")</f>
        <v/>
      </c>
      <c r="DU7" s="73" t="str">
        <f>IFERROR(IF(OR($B7="",DU$3=""),"",_xll.ciqfunctions.udf.CIQ($B7,"IQ_TIER_ONE_RATIO",DU$3,$E$3, $J$3, , $G$3, $H$3)/100),"")</f>
        <v/>
      </c>
      <c r="DV7" s="73" t="str">
        <f>IFERROR(IF(OR($B7="",DV$3=""),"",_xll.ciqfunctions.udf.CIQ($B7,"IQ_TIER_ONE_RATIO",DV$3,$E$3, $J$3, , $G$3, $H$3)/100),"")</f>
        <v/>
      </c>
      <c r="DW7" s="73" t="str">
        <f>IFERROR(IF(OR($B7="",DW$3=""),"",_xll.ciqfunctions.udf.CIQ($B7,"IQ_TIER_ONE_RATIO",DW$3,$E$3, $J$3, , $G$3, $H$3)/100),"")</f>
        <v/>
      </c>
      <c r="DX7" s="73" t="str">
        <f>IFERROR(IF(OR($B7="",DX$3=""),"",_xll.ciqfunctions.udf.CIQ($B7,"IQ_TIER_ONE_RATIO",DX$3,$E$3, $J$3, , $G$3, $H$3)/100),"")</f>
        <v/>
      </c>
      <c r="DY7" s="73" t="str">
        <f>IFERROR(IF(OR($B7="",DY$3=""),"",_xll.ciqfunctions.udf.CIQ($B7,"IQ_TIER_ONE_RATIO",DY$3,$E$3, $J$3, , $G$3, $H$3)/100),"")</f>
        <v/>
      </c>
      <c r="DZ7" s="74" t="str">
        <f>IFERROR(IF(OR($B7="",DZ$3=""),"",_xll.ciqfunctions.udf.CIQ($B7,"IQ_TIER_ONE_RATIO",DZ$3,$E$3, $J$3, , $G$3, $H$3)/100),"")</f>
        <v/>
      </c>
      <c r="EA7" s="72">
        <f>IFERROR(IF(OR($B7="",EA$3=""),"",_xll.ciqfunctions.udf.CIQ($B7,"IQ_TOTAL_CAPITAL_RATIO",EA$3,$E$3, $J$3, , $G$3, $H$3)/100),"")</f>
        <v>0</v>
      </c>
      <c r="EB7" s="73" t="str">
        <f>IFERROR(IF(OR($B7="",EB$3=""),"",_xll.ciqfunctions.udf.CIQ($B7,"IQ_TOTAL_CAPITAL_RATIO",EB$3,$E$3, $J$3, , $G$3, $H$3)/100),"")</f>
        <v/>
      </c>
      <c r="EC7" s="73" t="str">
        <f>IFERROR(IF(OR($B7="",EC$3=""),"",_xll.ciqfunctions.udf.CIQ($B7,"IQ_TOTAL_CAPITAL_RATIO",EC$3,$E$3, $J$3, , $G$3, $H$3)/100),"")</f>
        <v/>
      </c>
      <c r="ED7" s="73" t="str">
        <f>IFERROR(IF(OR($B7="",ED$3=""),"",_xll.ciqfunctions.udf.CIQ($B7,"IQ_TOTAL_CAPITAL_RATIO",ED$3,$E$3, $J$3, , $G$3, $H$3)/100),"")</f>
        <v/>
      </c>
      <c r="EE7" s="73" t="str">
        <f>IFERROR(IF(OR($B7="",EE$3=""),"",_xll.ciqfunctions.udf.CIQ($B7,"IQ_TOTAL_CAPITAL_RATIO",EE$3,$E$3, $J$3, , $G$3, $H$3)/100),"")</f>
        <v/>
      </c>
      <c r="EF7" s="73" t="str">
        <f>IFERROR(IF(OR($B7="",EF$3=""),"",_xll.ciqfunctions.udf.CIQ($B7,"IQ_TOTAL_CAPITAL_RATIO",EF$3,$E$3, $J$3, , $G$3, $H$3)/100),"")</f>
        <v/>
      </c>
      <c r="EG7" s="73" t="str">
        <f>IFERROR(IF(OR($B7="",EG$3=""),"",_xll.ciqfunctions.udf.CIQ($B7,"IQ_TOTAL_CAPITAL_RATIO",EG$3,$E$3, $J$3, , $G$3, $H$3)/100),"")</f>
        <v/>
      </c>
      <c r="EH7" s="73" t="str">
        <f>IFERROR(IF(OR($B7="",EH$3=""),"",_xll.ciqfunctions.udf.CIQ($B7,"IQ_TOTAL_CAPITAL_RATIO",EH$3,$E$3, $J$3, , $G$3, $H$3)/100),"")</f>
        <v/>
      </c>
      <c r="EI7" s="73" t="str">
        <f>IFERROR(IF(OR($B7="",EI$3=""),"",_xll.ciqfunctions.udf.CIQ($B7,"IQ_TOTAL_CAPITAL_RATIO",EI$3,$E$3, $J$3, , $G$3, $H$3)/100),"")</f>
        <v/>
      </c>
      <c r="EJ7" s="73" t="str">
        <f>IFERROR(IF(OR($B7="",EJ$3=""),"",_xll.ciqfunctions.udf.CIQ($B7,"IQ_TOTAL_CAPITAL_RATIO",EJ$3,$E$3, $J$3, , $G$3, $H$3)/100),"")</f>
        <v/>
      </c>
      <c r="EK7" s="73" t="str">
        <f>IFERROR(IF(OR($B7="",EK$3=""),"",_xll.ciqfunctions.udf.CIQ($B7,"IQ_TOTAL_CAPITAL_RATIO",EK$3,$E$3, $J$3, , $G$3, $H$3)/100),"")</f>
        <v/>
      </c>
      <c r="EL7" s="73" t="str">
        <f>IFERROR(IF(OR($B7="",EL$3=""),"",_xll.ciqfunctions.udf.CIQ($B7,"IQ_TOTAL_CAPITAL_RATIO",EL$3,$E$3, $J$3, , $G$3, $H$3)/100),"")</f>
        <v/>
      </c>
      <c r="EM7" s="73" t="str">
        <f>IFERROR(IF(OR($B7="",EM$3=""),"",_xll.ciqfunctions.udf.CIQ($B7,"IQ_TOTAL_CAPITAL_RATIO",EM$3,$E$3, $J$3, , $G$3, $H$3)/100),"")</f>
        <v/>
      </c>
      <c r="EN7" s="73" t="str">
        <f>IFERROR(IF(OR($B7="",EN$3=""),"",_xll.ciqfunctions.udf.CIQ($B7,"IQ_TOTAL_CAPITAL_RATIO",EN$3,$E$3, $J$3, , $G$3, $H$3)/100),"")</f>
        <v/>
      </c>
      <c r="EO7" s="73" t="str">
        <f>IFERROR(IF(OR($B7="",EO$3=""),"",_xll.ciqfunctions.udf.CIQ($B7,"IQ_TOTAL_CAPITAL_RATIO",EO$3,$E$3, $J$3, , $G$3, $H$3)/100),"")</f>
        <v/>
      </c>
      <c r="EP7" s="73" t="str">
        <f>IFERROR(IF(OR($B7="",EP$3=""),"",_xll.ciqfunctions.udf.CIQ($B7,"IQ_TOTAL_CAPITAL_RATIO",EP$3,$E$3, $J$3, , $G$3, $H$3)/100),"")</f>
        <v/>
      </c>
      <c r="EQ7" s="73" t="str">
        <f>IFERROR(IF(OR($B7="",EQ$3=""),"",_xll.ciqfunctions.udf.CIQ($B7,"IQ_TOTAL_CAPITAL_RATIO",EQ$3,$E$3, $J$3, , $G$3, $H$3)/100),"")</f>
        <v/>
      </c>
      <c r="ER7" s="73" t="str">
        <f>IFERROR(IF(OR($B7="",ER$3=""),"",_xll.ciqfunctions.udf.CIQ($B7,"IQ_TOTAL_CAPITAL_RATIO",ER$3,$E$3, $J$3, , $G$3, $H$3)/100),"")</f>
        <v/>
      </c>
      <c r="ES7" s="73" t="str">
        <f>IFERROR(IF(OR($B7="",ES$3=""),"",_xll.ciqfunctions.udf.CIQ($B7,"IQ_TOTAL_CAPITAL_RATIO",ES$3,$E$3, $J$3, , $G$3, $H$3)/100),"")</f>
        <v/>
      </c>
      <c r="ET7" s="74" t="str">
        <f>IFERROR(IF(OR($B7="",ET$3=""),"",_xll.ciqfunctions.udf.CIQ($B7,"IQ_TOTAL_CAPITAL_RATIO",ET$3,$E$3, $J$3, , $G$3, $H$3)/100),"")</f>
        <v/>
      </c>
      <c r="EU7" s="72">
        <f>IFERROR(IF(OR($B7="",EU$3=""),"",_xll.ciqfunctions.udf.CIQ($B7,"IQ_GROSS_LOANS",EU$3,$E$3, $J$3, , $G$3, $H$3)/_xll.ciqfunctions.udf.CIQ($B7,"IQ_TOTAL_ASSETS",EU$3,$E$3, $J$3, , $G$3, $H$3)),"")</f>
        <v>0</v>
      </c>
      <c r="EV7" s="73" t="str">
        <f>IFERROR(IF(OR($B7="",EV$3=""),"",_xll.ciqfunctions.udf.CIQ($B7,"IQ_GROSS_LOANS",EV$3,$E$3, $J$3, , $G$3, $H$3)/_xll.ciqfunctions.udf.CIQ($B7,"IQ_TOTAL_ASSETS",EV$3,$E$3, $J$3, , $G$3, $H$3)),"")</f>
        <v/>
      </c>
      <c r="EW7" s="73" t="str">
        <f>IFERROR(IF(OR($B7="",EW$3=""),"",_xll.ciqfunctions.udf.CIQ($B7,"IQ_GROSS_LOANS",EW$3,$E$3, $J$3, , $G$3, $H$3)/_xll.ciqfunctions.udf.CIQ($B7,"IQ_TOTAL_ASSETS",EW$3,$E$3, $J$3, , $G$3, $H$3)),"")</f>
        <v/>
      </c>
      <c r="EX7" s="73" t="str">
        <f>IFERROR(IF(OR($B7="",EX$3=""),"",_xll.ciqfunctions.udf.CIQ($B7,"IQ_GROSS_LOANS",EX$3,$E$3, $J$3, , $G$3, $H$3)/_xll.ciqfunctions.udf.CIQ($B7,"IQ_TOTAL_ASSETS",EX$3,$E$3, $J$3, , $G$3, $H$3)),"")</f>
        <v/>
      </c>
      <c r="EY7" s="73" t="str">
        <f>IFERROR(IF(OR($B7="",EY$3=""),"",_xll.ciqfunctions.udf.CIQ($B7,"IQ_GROSS_LOANS",EY$3,$E$3, $J$3, , $G$3, $H$3)/_xll.ciqfunctions.udf.CIQ($B7,"IQ_TOTAL_ASSETS",EY$3,$E$3, $J$3, , $G$3, $H$3)),"")</f>
        <v/>
      </c>
      <c r="EZ7" s="73" t="str">
        <f>IFERROR(IF(OR($B7="",EZ$3=""),"",_xll.ciqfunctions.udf.CIQ($B7,"IQ_GROSS_LOANS",EZ$3,$E$3, $J$3, , $G$3, $H$3)/_xll.ciqfunctions.udf.CIQ($B7,"IQ_TOTAL_ASSETS",EZ$3,$E$3, $J$3, , $G$3, $H$3)),"")</f>
        <v/>
      </c>
      <c r="FA7" s="73" t="str">
        <f>IFERROR(IF(OR($B7="",FA$3=""),"",_xll.ciqfunctions.udf.CIQ($B7,"IQ_GROSS_LOANS",FA$3,$E$3, $J$3, , $G$3, $H$3)/_xll.ciqfunctions.udf.CIQ($B7,"IQ_TOTAL_ASSETS",FA$3,$E$3, $J$3, , $G$3, $H$3)),"")</f>
        <v/>
      </c>
      <c r="FB7" s="73" t="str">
        <f>IFERROR(IF(OR($B7="",FB$3=""),"",_xll.ciqfunctions.udf.CIQ($B7,"IQ_GROSS_LOANS",FB$3,$E$3, $J$3, , $G$3, $H$3)/_xll.ciqfunctions.udf.CIQ($B7,"IQ_TOTAL_ASSETS",FB$3,$E$3, $J$3, , $G$3, $H$3)),"")</f>
        <v/>
      </c>
      <c r="FC7" s="73" t="str">
        <f>IFERROR(IF(OR($B7="",FC$3=""),"",_xll.ciqfunctions.udf.CIQ($B7,"IQ_GROSS_LOANS",FC$3,$E$3, $J$3, , $G$3, $H$3)/_xll.ciqfunctions.udf.CIQ($B7,"IQ_TOTAL_ASSETS",FC$3,$E$3, $J$3, , $G$3, $H$3)),"")</f>
        <v/>
      </c>
      <c r="FD7" s="73" t="str">
        <f>IFERROR(IF(OR($B7="",FD$3=""),"",_xll.ciqfunctions.udf.CIQ($B7,"IQ_GROSS_LOANS",FD$3,$E$3, $J$3, , $G$3, $H$3)/_xll.ciqfunctions.udf.CIQ($B7,"IQ_TOTAL_ASSETS",FD$3,$E$3, $J$3, , $G$3, $H$3)),"")</f>
        <v/>
      </c>
      <c r="FE7" s="73" t="str">
        <f>IFERROR(IF(OR($B7="",FE$3=""),"",_xll.ciqfunctions.udf.CIQ($B7,"IQ_GROSS_LOANS",FE$3,$E$3, $J$3, , $G$3, $H$3)/_xll.ciqfunctions.udf.CIQ($B7,"IQ_TOTAL_ASSETS",FE$3,$E$3, $J$3, , $G$3, $H$3)),"")</f>
        <v/>
      </c>
      <c r="FF7" s="73" t="str">
        <f>IFERROR(IF(OR($B7="",FF$3=""),"",_xll.ciqfunctions.udf.CIQ($B7,"IQ_GROSS_LOANS",FF$3,$E$3, $J$3, , $G$3, $H$3)/_xll.ciqfunctions.udf.CIQ($B7,"IQ_TOTAL_ASSETS",FF$3,$E$3, $J$3, , $G$3, $H$3)),"")</f>
        <v/>
      </c>
      <c r="FG7" s="73" t="str">
        <f>IFERROR(IF(OR($B7="",FG$3=""),"",_xll.ciqfunctions.udf.CIQ($B7,"IQ_GROSS_LOANS",FG$3,$E$3, $J$3, , $G$3, $H$3)/_xll.ciqfunctions.udf.CIQ($B7,"IQ_TOTAL_ASSETS",FG$3,$E$3, $J$3, , $G$3, $H$3)),"")</f>
        <v/>
      </c>
      <c r="FH7" s="73" t="str">
        <f>IFERROR(IF(OR($B7="",FH$3=""),"",_xll.ciqfunctions.udf.CIQ($B7,"IQ_GROSS_LOANS",FH$3,$E$3, $J$3, , $G$3, $H$3)/_xll.ciqfunctions.udf.CIQ($B7,"IQ_TOTAL_ASSETS",FH$3,$E$3, $J$3, , $G$3, $H$3)),"")</f>
        <v/>
      </c>
      <c r="FI7" s="73" t="str">
        <f>IFERROR(IF(OR($B7="",FI$3=""),"",_xll.ciqfunctions.udf.CIQ($B7,"IQ_GROSS_LOANS",FI$3,$E$3, $J$3, , $G$3, $H$3)/_xll.ciqfunctions.udf.CIQ($B7,"IQ_TOTAL_ASSETS",FI$3,$E$3, $J$3, , $G$3, $H$3)),"")</f>
        <v/>
      </c>
      <c r="FJ7" s="73" t="str">
        <f>IFERROR(IF(OR($B7="",FJ$3=""),"",_xll.ciqfunctions.udf.CIQ($B7,"IQ_GROSS_LOANS",FJ$3,$E$3, $J$3, , $G$3, $H$3)/_xll.ciqfunctions.udf.CIQ($B7,"IQ_TOTAL_ASSETS",FJ$3,$E$3, $J$3, , $G$3, $H$3)),"")</f>
        <v/>
      </c>
      <c r="FK7" s="73" t="str">
        <f>IFERROR(IF(OR($B7="",FK$3=""),"",_xll.ciqfunctions.udf.CIQ($B7,"IQ_GROSS_LOANS",FK$3,$E$3, $J$3, , $G$3, $H$3)/_xll.ciqfunctions.udf.CIQ($B7,"IQ_TOTAL_ASSETS",FK$3,$E$3, $J$3, , $G$3, $H$3)),"")</f>
        <v/>
      </c>
      <c r="FL7" s="73" t="str">
        <f>IFERROR(IF(OR($B7="",FL$3=""),"",_xll.ciqfunctions.udf.CIQ($B7,"IQ_GROSS_LOANS",FL$3,$E$3, $J$3, , $G$3, $H$3)/_xll.ciqfunctions.udf.CIQ($B7,"IQ_TOTAL_ASSETS",FL$3,$E$3, $J$3, , $G$3, $H$3)),"")</f>
        <v/>
      </c>
      <c r="FM7" s="73" t="str">
        <f>IFERROR(IF(OR($B7="",FM$3=""),"",_xll.ciqfunctions.udf.CIQ($B7,"IQ_GROSS_LOANS",FM$3,$E$3, $J$3, , $G$3, $H$3)/_xll.ciqfunctions.udf.CIQ($B7,"IQ_TOTAL_ASSETS",FM$3,$E$3, $J$3, , $G$3, $H$3)),"")</f>
        <v/>
      </c>
      <c r="FN7" s="74" t="str">
        <f>IFERROR(IF(OR($B7="",FN$3=""),"",_xll.ciqfunctions.udf.CIQ($B7,"IQ_GROSS_LOANS",FN$3,$E$3, $J$3, , $G$3, $H$3)/_xll.ciqfunctions.udf.CIQ($B7,"IQ_TOTAL_ASSETS",FN$3,$E$3, $J$3, , $G$3, $H$3)),"")</f>
        <v/>
      </c>
      <c r="FO7" s="72" t="str">
        <f>IFERROR(IF(OR($B7="",FO$3=""),"",_xll.ciqfunctions.udf.CIQ($B7,"IQ_NON_PERFORMING_LOANS",FO$3,$E$3, $J$3, , $G$3, $H$3)/_xll.ciqfunctions.udf.CIQ($B7,"IQ_TOTAL_LOANS",FO$3,$E$3, $J$3, , $G$3, $H$3)),"")</f>
        <v/>
      </c>
      <c r="FP7" s="73" t="str">
        <f>IFERROR(IF(OR($B7="",FP$3=""),"",_xll.ciqfunctions.udf.CIQ($B7,"IQ_NON_PERFORMING_LOANS",FP$3,$E$3, $J$3, , $G$3, $H$3)/_xll.ciqfunctions.udf.CIQ($B7,"IQ_TOTAL_LOANS",FP$3,$E$3, $J$3, , $G$3, $H$3)),"")</f>
        <v/>
      </c>
      <c r="FQ7" s="73" t="str">
        <f>IFERROR(IF(OR($B7="",FQ$3=""),"",_xll.ciqfunctions.udf.CIQ($B7,"IQ_NON_PERFORMING_LOANS",FQ$3,$E$3, $J$3, , $G$3, $H$3)/_xll.ciqfunctions.udf.CIQ($B7,"IQ_TOTAL_LOANS",FQ$3,$E$3, $J$3, , $G$3, $H$3)),"")</f>
        <v/>
      </c>
      <c r="FR7" s="73" t="str">
        <f>IFERROR(IF(OR($B7="",FR$3=""),"",_xll.ciqfunctions.udf.CIQ($B7,"IQ_NON_PERFORMING_LOANS",FR$3,$E$3, $J$3, , $G$3, $H$3)/_xll.ciqfunctions.udf.CIQ($B7,"IQ_TOTAL_LOANS",FR$3,$E$3, $J$3, , $G$3, $H$3)),"")</f>
        <v/>
      </c>
      <c r="FS7" s="73" t="str">
        <f>IFERROR(IF(OR($B7="",FS$3=""),"",_xll.ciqfunctions.udf.CIQ($B7,"IQ_NON_PERFORMING_LOANS",FS$3,$E$3, $J$3, , $G$3, $H$3)/_xll.ciqfunctions.udf.CIQ($B7,"IQ_TOTAL_LOANS",FS$3,$E$3, $J$3, , $G$3, $H$3)),"")</f>
        <v/>
      </c>
      <c r="FT7" s="73" t="str">
        <f>IFERROR(IF(OR($B7="",FT$3=""),"",_xll.ciqfunctions.udf.CIQ($B7,"IQ_NON_PERFORMING_LOANS",FT$3,$E$3, $J$3, , $G$3, $H$3)/_xll.ciqfunctions.udf.CIQ($B7,"IQ_TOTAL_LOANS",FT$3,$E$3, $J$3, , $G$3, $H$3)),"")</f>
        <v/>
      </c>
      <c r="FU7" s="73" t="str">
        <f>IFERROR(IF(OR($B7="",FU$3=""),"",_xll.ciqfunctions.udf.CIQ($B7,"IQ_NON_PERFORMING_LOANS",FU$3,$E$3, $J$3, , $G$3, $H$3)/_xll.ciqfunctions.udf.CIQ($B7,"IQ_TOTAL_LOANS",FU$3,$E$3, $J$3, , $G$3, $H$3)),"")</f>
        <v/>
      </c>
      <c r="FV7" s="73" t="str">
        <f>IFERROR(IF(OR($B7="",FV$3=""),"",_xll.ciqfunctions.udf.CIQ($B7,"IQ_NON_PERFORMING_LOANS",FV$3,$E$3, $J$3, , $G$3, $H$3)/_xll.ciqfunctions.udf.CIQ($B7,"IQ_TOTAL_LOANS",FV$3,$E$3, $J$3, , $G$3, $H$3)),"")</f>
        <v/>
      </c>
      <c r="FW7" s="73" t="str">
        <f>IFERROR(IF(OR($B7="",FW$3=""),"",_xll.ciqfunctions.udf.CIQ($B7,"IQ_NON_PERFORMING_LOANS",FW$3,$E$3, $J$3, , $G$3, $H$3)/_xll.ciqfunctions.udf.CIQ($B7,"IQ_TOTAL_LOANS",FW$3,$E$3, $J$3, , $G$3, $H$3)),"")</f>
        <v/>
      </c>
      <c r="FX7" s="73" t="str">
        <f>IFERROR(IF(OR($B7="",FX$3=""),"",_xll.ciqfunctions.udf.CIQ($B7,"IQ_NON_PERFORMING_LOANS",FX$3,$E$3, $J$3, , $G$3, $H$3)/_xll.ciqfunctions.udf.CIQ($B7,"IQ_TOTAL_LOANS",FX$3,$E$3, $J$3, , $G$3, $H$3)),"")</f>
        <v/>
      </c>
      <c r="FY7" s="73" t="str">
        <f>IFERROR(IF(OR($B7="",FY$3=""),"",_xll.ciqfunctions.udf.CIQ($B7,"IQ_NON_PERFORMING_LOANS",FY$3,$E$3, $J$3, , $G$3, $H$3)/_xll.ciqfunctions.udf.CIQ($B7,"IQ_TOTAL_LOANS",FY$3,$E$3, $J$3, , $G$3, $H$3)),"")</f>
        <v/>
      </c>
      <c r="FZ7" s="73" t="str">
        <f>IFERROR(IF(OR($B7="",FZ$3=""),"",_xll.ciqfunctions.udf.CIQ($B7,"IQ_NON_PERFORMING_LOANS",FZ$3,$E$3, $J$3, , $G$3, $H$3)/_xll.ciqfunctions.udf.CIQ($B7,"IQ_TOTAL_LOANS",FZ$3,$E$3, $J$3, , $G$3, $H$3)),"")</f>
        <v/>
      </c>
      <c r="GA7" s="73" t="str">
        <f>IFERROR(IF(OR($B7="",GA$3=""),"",_xll.ciqfunctions.udf.CIQ($B7,"IQ_NON_PERFORMING_LOANS",GA$3,$E$3, $J$3, , $G$3, $H$3)/_xll.ciqfunctions.udf.CIQ($B7,"IQ_TOTAL_LOANS",GA$3,$E$3, $J$3, , $G$3, $H$3)),"")</f>
        <v/>
      </c>
      <c r="GB7" s="73" t="str">
        <f>IFERROR(IF(OR($B7="",GB$3=""),"",_xll.ciqfunctions.udf.CIQ($B7,"IQ_NON_PERFORMING_LOANS",GB$3,$E$3, $J$3, , $G$3, $H$3)/_xll.ciqfunctions.udf.CIQ($B7,"IQ_TOTAL_LOANS",GB$3,$E$3, $J$3, , $G$3, $H$3)),"")</f>
        <v/>
      </c>
      <c r="GC7" s="73" t="str">
        <f>IFERROR(IF(OR($B7="",GC$3=""),"",_xll.ciqfunctions.udf.CIQ($B7,"IQ_NON_PERFORMING_LOANS",GC$3,$E$3, $J$3, , $G$3, $H$3)/_xll.ciqfunctions.udf.CIQ($B7,"IQ_TOTAL_LOANS",GC$3,$E$3, $J$3, , $G$3, $H$3)),"")</f>
        <v/>
      </c>
      <c r="GD7" s="73" t="str">
        <f>IFERROR(IF(OR($B7="",GD$3=""),"",_xll.ciqfunctions.udf.CIQ($B7,"IQ_NON_PERFORMING_LOANS",GD$3,$E$3, $J$3, , $G$3, $H$3)/_xll.ciqfunctions.udf.CIQ($B7,"IQ_TOTAL_LOANS",GD$3,$E$3, $J$3, , $G$3, $H$3)),"")</f>
        <v/>
      </c>
      <c r="GE7" s="73" t="str">
        <f>IFERROR(IF(OR($B7="",GE$3=""),"",_xll.ciqfunctions.udf.CIQ($B7,"IQ_NON_PERFORMING_LOANS",GE$3,$E$3, $J$3, , $G$3, $H$3)/_xll.ciqfunctions.udf.CIQ($B7,"IQ_TOTAL_LOANS",GE$3,$E$3, $J$3, , $G$3, $H$3)),"")</f>
        <v/>
      </c>
      <c r="GF7" s="73" t="str">
        <f>IFERROR(IF(OR($B7="",GF$3=""),"",_xll.ciqfunctions.udf.CIQ($B7,"IQ_NON_PERFORMING_LOANS",GF$3,$E$3, $J$3, , $G$3, $H$3)/_xll.ciqfunctions.udf.CIQ($B7,"IQ_TOTAL_LOANS",GF$3,$E$3, $J$3, , $G$3, $H$3)),"")</f>
        <v/>
      </c>
      <c r="GG7" s="73" t="str">
        <f>IFERROR(IF(OR($B7="",GG$3=""),"",_xll.ciqfunctions.udf.CIQ($B7,"IQ_NON_PERFORMING_LOANS",GG$3,$E$3, $J$3, , $G$3, $H$3)/_xll.ciqfunctions.udf.CIQ($B7,"IQ_TOTAL_LOANS",GG$3,$E$3, $J$3, , $G$3, $H$3)),"")</f>
        <v/>
      </c>
      <c r="GH7" s="74" t="str">
        <f>IFERROR(IF(OR($B7="",GH$3=""),"",_xll.ciqfunctions.udf.CIQ($B7,"IQ_NON_PERFORMING_LOANS",GH$3,$E$3, $J$3, , $G$3, $H$3)/_xll.ciqfunctions.udf.CIQ($B7,"IQ_TOTAL_LOANS",GH$3,$E$3, $J$3, , $G$3, $H$3)),"")</f>
        <v/>
      </c>
      <c r="GI7" s="72">
        <f>IFERROR(IF(OR($B7="",GI$3=""),"",_xll.ciqfunctions.udf.CIQ($B7,"IQ_NON_PERFORMING_ASSETS",GI$3,$E$3, $J$3, , $G$3, $H$3)/_xll.ciqfunctions.udf.CIQ($B7,"IQ_TOTAL_ASSETS",GI$3,$E$3, $J$3, , $G$3, $H$3)),"")</f>
        <v>0</v>
      </c>
      <c r="GJ7" s="73" t="str">
        <f>IFERROR(IF(OR($B7="",GJ$3=""),"",_xll.ciqfunctions.udf.CIQ($B7,"IQ_NON_PERFORMING_ASSETS",GJ$3,$E$3, $J$3, , $G$3, $H$3)/_xll.ciqfunctions.udf.CIQ($B7,"IQ_TOTAL_ASSETS",GJ$3,$E$3, $J$3, , $G$3, $H$3)),"")</f>
        <v/>
      </c>
      <c r="GK7" s="73" t="str">
        <f>IFERROR(IF(OR($B7="",GK$3=""),"",_xll.ciqfunctions.udf.CIQ($B7,"IQ_NON_PERFORMING_ASSETS",GK$3,$E$3, $J$3, , $G$3, $H$3)/_xll.ciqfunctions.udf.CIQ($B7,"IQ_TOTAL_ASSETS",GK$3,$E$3, $J$3, , $G$3, $H$3)),"")</f>
        <v/>
      </c>
      <c r="GL7" s="73" t="str">
        <f>IFERROR(IF(OR($B7="",GL$3=""),"",_xll.ciqfunctions.udf.CIQ($B7,"IQ_NON_PERFORMING_ASSETS",GL$3,$E$3, $J$3, , $G$3, $H$3)/_xll.ciqfunctions.udf.CIQ($B7,"IQ_TOTAL_ASSETS",GL$3,$E$3, $J$3, , $G$3, $H$3)),"")</f>
        <v/>
      </c>
      <c r="GM7" s="73" t="str">
        <f>IFERROR(IF(OR($B7="",GM$3=""),"",_xll.ciqfunctions.udf.CIQ($B7,"IQ_NON_PERFORMING_ASSETS",GM$3,$E$3, $J$3, , $G$3, $H$3)/_xll.ciqfunctions.udf.CIQ($B7,"IQ_TOTAL_ASSETS",GM$3,$E$3, $J$3, , $G$3, $H$3)),"")</f>
        <v/>
      </c>
      <c r="GN7" s="73" t="str">
        <f>IFERROR(IF(OR($B7="",GN$3=""),"",_xll.ciqfunctions.udf.CIQ($B7,"IQ_NON_PERFORMING_ASSETS",GN$3,$E$3, $J$3, , $G$3, $H$3)/_xll.ciqfunctions.udf.CIQ($B7,"IQ_TOTAL_ASSETS",GN$3,$E$3, $J$3, , $G$3, $H$3)),"")</f>
        <v/>
      </c>
      <c r="GO7" s="73" t="str">
        <f>IFERROR(IF(OR($B7="",GO$3=""),"",_xll.ciqfunctions.udf.CIQ($B7,"IQ_NON_PERFORMING_ASSETS",GO$3,$E$3, $J$3, , $G$3, $H$3)/_xll.ciqfunctions.udf.CIQ($B7,"IQ_TOTAL_ASSETS",GO$3,$E$3, $J$3, , $G$3, $H$3)),"")</f>
        <v/>
      </c>
      <c r="GP7" s="73" t="str">
        <f>IFERROR(IF(OR($B7="",GP$3=""),"",_xll.ciqfunctions.udf.CIQ($B7,"IQ_NON_PERFORMING_ASSETS",GP$3,$E$3, $J$3, , $G$3, $H$3)/_xll.ciqfunctions.udf.CIQ($B7,"IQ_TOTAL_ASSETS",GP$3,$E$3, $J$3, , $G$3, $H$3)),"")</f>
        <v/>
      </c>
      <c r="GQ7" s="73" t="str">
        <f>IFERROR(IF(OR($B7="",GQ$3=""),"",_xll.ciqfunctions.udf.CIQ($B7,"IQ_NON_PERFORMING_ASSETS",GQ$3,$E$3, $J$3, , $G$3, $H$3)/_xll.ciqfunctions.udf.CIQ($B7,"IQ_TOTAL_ASSETS",GQ$3,$E$3, $J$3, , $G$3, $H$3)),"")</f>
        <v/>
      </c>
      <c r="GR7" s="73" t="str">
        <f>IFERROR(IF(OR($B7="",GR$3=""),"",_xll.ciqfunctions.udf.CIQ($B7,"IQ_NON_PERFORMING_ASSETS",GR$3,$E$3, $J$3, , $G$3, $H$3)/_xll.ciqfunctions.udf.CIQ($B7,"IQ_TOTAL_ASSETS",GR$3,$E$3, $J$3, , $G$3, $H$3)),"")</f>
        <v/>
      </c>
      <c r="GS7" s="73" t="str">
        <f>IFERROR(IF(OR($B7="",GS$3=""),"",_xll.ciqfunctions.udf.CIQ($B7,"IQ_NON_PERFORMING_ASSETS",GS$3,$E$3, $J$3, , $G$3, $H$3)/_xll.ciqfunctions.udf.CIQ($B7,"IQ_TOTAL_ASSETS",GS$3,$E$3, $J$3, , $G$3, $H$3)),"")</f>
        <v/>
      </c>
      <c r="GT7" s="73" t="str">
        <f>IFERROR(IF(OR($B7="",GT$3=""),"",_xll.ciqfunctions.udf.CIQ($B7,"IQ_NON_PERFORMING_ASSETS",GT$3,$E$3, $J$3, , $G$3, $H$3)/_xll.ciqfunctions.udf.CIQ($B7,"IQ_TOTAL_ASSETS",GT$3,$E$3, $J$3, , $G$3, $H$3)),"")</f>
        <v/>
      </c>
      <c r="GU7" s="73" t="str">
        <f>IFERROR(IF(OR($B7="",GU$3=""),"",_xll.ciqfunctions.udf.CIQ($B7,"IQ_NON_PERFORMING_ASSETS",GU$3,$E$3, $J$3, , $G$3, $H$3)/_xll.ciqfunctions.udf.CIQ($B7,"IQ_TOTAL_ASSETS",GU$3,$E$3, $J$3, , $G$3, $H$3)),"")</f>
        <v/>
      </c>
      <c r="GV7" s="73" t="str">
        <f>IFERROR(IF(OR($B7="",GV$3=""),"",_xll.ciqfunctions.udf.CIQ($B7,"IQ_NON_PERFORMING_ASSETS",GV$3,$E$3, $J$3, , $G$3, $H$3)/_xll.ciqfunctions.udf.CIQ($B7,"IQ_TOTAL_ASSETS",GV$3,$E$3, $J$3, , $G$3, $H$3)),"")</f>
        <v/>
      </c>
      <c r="GW7" s="73" t="str">
        <f>IFERROR(IF(OR($B7="",GW$3=""),"",_xll.ciqfunctions.udf.CIQ($B7,"IQ_NON_PERFORMING_ASSETS",GW$3,$E$3, $J$3, , $G$3, $H$3)/_xll.ciqfunctions.udf.CIQ($B7,"IQ_TOTAL_ASSETS",GW$3,$E$3, $J$3, , $G$3, $H$3)),"")</f>
        <v/>
      </c>
      <c r="GX7" s="73" t="str">
        <f>IFERROR(IF(OR($B7="",GX$3=""),"",_xll.ciqfunctions.udf.CIQ($B7,"IQ_NON_PERFORMING_ASSETS",GX$3,$E$3, $J$3, , $G$3, $H$3)/_xll.ciqfunctions.udf.CIQ($B7,"IQ_TOTAL_ASSETS",GX$3,$E$3, $J$3, , $G$3, $H$3)),"")</f>
        <v/>
      </c>
      <c r="GY7" s="73" t="str">
        <f>IFERROR(IF(OR($B7="",GY$3=""),"",_xll.ciqfunctions.udf.CIQ($B7,"IQ_NON_PERFORMING_ASSETS",GY$3,$E$3, $J$3, , $G$3, $H$3)/_xll.ciqfunctions.udf.CIQ($B7,"IQ_TOTAL_ASSETS",GY$3,$E$3, $J$3, , $G$3, $H$3)),"")</f>
        <v/>
      </c>
      <c r="GZ7" s="73" t="str">
        <f>IFERROR(IF(OR($B7="",GZ$3=""),"",_xll.ciqfunctions.udf.CIQ($B7,"IQ_NON_PERFORMING_ASSETS",GZ$3,$E$3, $J$3, , $G$3, $H$3)/_xll.ciqfunctions.udf.CIQ($B7,"IQ_TOTAL_ASSETS",GZ$3,$E$3, $J$3, , $G$3, $H$3)),"")</f>
        <v/>
      </c>
      <c r="HA7" s="73" t="str">
        <f>IFERROR(IF(OR($B7="",HA$3=""),"",_xll.ciqfunctions.udf.CIQ($B7,"IQ_NON_PERFORMING_ASSETS",HA$3,$E$3, $J$3, , $G$3, $H$3)/_xll.ciqfunctions.udf.CIQ($B7,"IQ_TOTAL_ASSETS",HA$3,$E$3, $J$3, , $G$3, $H$3)),"")</f>
        <v/>
      </c>
      <c r="HB7" s="74" t="str">
        <f>IFERROR(IF(OR($B7="",HB$3=""),"",_xll.ciqfunctions.udf.CIQ($B7,"IQ_NON_PERFORMING_ASSETS",HB$3,$E$3, $J$3, , $G$3, $H$3)/_xll.ciqfunctions.udf.CIQ($B7,"IQ_TOTAL_ASSETS",HB$3,$E$3, $J$3, , $G$3, $H$3)),"")</f>
        <v/>
      </c>
      <c r="HC7" s="72">
        <f>IFERROR(IF(OR($B7="",HC$3=""),"",_xll.ciqfunctions.udf.CIQ($B7, "IQ_NI", $I$3, HC$3,$J$3, ,$G$3,$H$3)*2/(_xll.ciqfunctions.udf.CIQ($B7,"IQ_TOTAL_ASSETS",HC$3,$E$3, $J$3, , $G$3, $H$3)+_xll.ciqfunctions.udf.CIQ($B7,"IQ_TOTAL_ASSETS","IQ_" &amp; LEFT(HC$3,2) &amp; "-1",HC$3, $J$3, , $G$3, $H$3))),"")</f>
        <v>5.4327282670762991E-2</v>
      </c>
      <c r="HD7" s="73" t="str">
        <f>IFERROR(IF(OR($B7="",HD$3=""),"",_xll.ciqfunctions.udf.CIQ($B7, "IQ_NI", $I$3, HD$3,$J$3, ,$G$3,$H$3)*2/(_xll.ciqfunctions.udf.CIQ($B7,"IQ_TOTAL_ASSETS",HD$3,$E$3, $J$3, , $G$3, $H$3)+_xll.ciqfunctions.udf.CIQ($B7,"IQ_TOTAL_ASSETS","IQ_" &amp; LEFT(HD$3,2) &amp; "-1",HD$3, $J$3, , $G$3, $H$3))),"")</f>
        <v/>
      </c>
      <c r="HE7" s="73" t="str">
        <f>IFERROR(IF(OR($B7="",HE$3=""),"",_xll.ciqfunctions.udf.CIQ($B7, "IQ_NI", $I$3, HE$3,$J$3, ,$G$3,$H$3)*2/(_xll.ciqfunctions.udf.CIQ($B7,"IQ_TOTAL_ASSETS",HE$3,$E$3, $J$3, , $G$3, $H$3)+_xll.ciqfunctions.udf.CIQ($B7,"IQ_TOTAL_ASSETS","IQ_" &amp; LEFT(HE$3,2) &amp; "-1",HE$3, $J$3, , $G$3, $H$3))),"")</f>
        <v/>
      </c>
      <c r="HF7" s="73" t="str">
        <f>IFERROR(IF(OR($B7="",HF$3=""),"",_xll.ciqfunctions.udf.CIQ($B7, "IQ_NI", $I$3, HF$3,$J$3, ,$G$3,$H$3)*2/(_xll.ciqfunctions.udf.CIQ($B7,"IQ_TOTAL_ASSETS",HF$3,$E$3, $J$3, , $G$3, $H$3)+_xll.ciqfunctions.udf.CIQ($B7,"IQ_TOTAL_ASSETS","IQ_" &amp; LEFT(HF$3,2) &amp; "-1",HF$3, $J$3, , $G$3, $H$3))),"")</f>
        <v/>
      </c>
      <c r="HG7" s="73" t="str">
        <f>IFERROR(IF(OR($B7="",HG$3=""),"",_xll.ciqfunctions.udf.CIQ($B7, "IQ_NI", $I$3, HG$3,$J$3, ,$G$3,$H$3)*2/(_xll.ciqfunctions.udf.CIQ($B7,"IQ_TOTAL_ASSETS",HG$3,$E$3, $J$3, , $G$3, $H$3)+_xll.ciqfunctions.udf.CIQ($B7,"IQ_TOTAL_ASSETS","IQ_" &amp; LEFT(HG$3,2) &amp; "-1",HG$3, $J$3, , $G$3, $H$3))),"")</f>
        <v/>
      </c>
      <c r="HH7" s="73" t="str">
        <f>IFERROR(IF(OR($B7="",HH$3=""),"",_xll.ciqfunctions.udf.CIQ($B7, "IQ_NI", $I$3, HH$3,$J$3, ,$G$3,$H$3)*2/(_xll.ciqfunctions.udf.CIQ($B7,"IQ_TOTAL_ASSETS",HH$3,$E$3, $J$3, , $G$3, $H$3)+_xll.ciqfunctions.udf.CIQ($B7,"IQ_TOTAL_ASSETS","IQ_" &amp; LEFT(HH$3,2) &amp; "-1",HH$3, $J$3, , $G$3, $H$3))),"")</f>
        <v/>
      </c>
      <c r="HI7" s="73" t="str">
        <f>IFERROR(IF(OR($B7="",HI$3=""),"",_xll.ciqfunctions.udf.CIQ($B7, "IQ_NI", $I$3, HI$3,$J$3, ,$G$3,$H$3)*2/(_xll.ciqfunctions.udf.CIQ($B7,"IQ_TOTAL_ASSETS",HI$3,$E$3, $J$3, , $G$3, $H$3)+_xll.ciqfunctions.udf.CIQ($B7,"IQ_TOTAL_ASSETS","IQ_" &amp; LEFT(HI$3,2) &amp; "-1",HI$3, $J$3, , $G$3, $H$3))),"")</f>
        <v/>
      </c>
      <c r="HJ7" s="73" t="str">
        <f>IFERROR(IF(OR($B7="",HJ$3=""),"",_xll.ciqfunctions.udf.CIQ($B7, "IQ_NI", $I$3, HJ$3,$J$3, ,$G$3,$H$3)*2/(_xll.ciqfunctions.udf.CIQ($B7,"IQ_TOTAL_ASSETS",HJ$3,$E$3, $J$3, , $G$3, $H$3)+_xll.ciqfunctions.udf.CIQ($B7,"IQ_TOTAL_ASSETS","IQ_" &amp; LEFT(HJ$3,2) &amp; "-1",HJ$3, $J$3, , $G$3, $H$3))),"")</f>
        <v/>
      </c>
      <c r="HK7" s="73" t="str">
        <f>IFERROR(IF(OR($B7="",HK$3=""),"",_xll.ciqfunctions.udf.CIQ($B7, "IQ_NI", $I$3, HK$3,$J$3, ,$G$3,$H$3)*2/(_xll.ciqfunctions.udf.CIQ($B7,"IQ_TOTAL_ASSETS",HK$3,$E$3, $J$3, , $G$3, $H$3)+_xll.ciqfunctions.udf.CIQ($B7,"IQ_TOTAL_ASSETS","IQ_" &amp; LEFT(HK$3,2) &amp; "-1",HK$3, $J$3, , $G$3, $H$3))),"")</f>
        <v/>
      </c>
      <c r="HL7" s="73" t="str">
        <f>IFERROR(IF(OR($B7="",HL$3=""),"",_xll.ciqfunctions.udf.CIQ($B7, "IQ_NI", $I$3, HL$3,$J$3, ,$G$3,$H$3)*2/(_xll.ciqfunctions.udf.CIQ($B7,"IQ_TOTAL_ASSETS",HL$3,$E$3, $J$3, , $G$3, $H$3)+_xll.ciqfunctions.udf.CIQ($B7,"IQ_TOTAL_ASSETS","IQ_" &amp; LEFT(HL$3,2) &amp; "-1",HL$3, $J$3, , $G$3, $H$3))),"")</f>
        <v/>
      </c>
      <c r="HM7" s="73" t="str">
        <f>IFERROR(IF(OR($B7="",HM$3=""),"",_xll.ciqfunctions.udf.CIQ($B7, "IQ_NI", $I$3, HM$3,$J$3, ,$G$3,$H$3)*2/(_xll.ciqfunctions.udf.CIQ($B7,"IQ_TOTAL_ASSETS",HM$3,$E$3, $J$3, , $G$3, $H$3)+_xll.ciqfunctions.udf.CIQ($B7,"IQ_TOTAL_ASSETS","IQ_" &amp; LEFT(HM$3,2) &amp; "-1",HM$3, $J$3, , $G$3, $H$3))),"")</f>
        <v/>
      </c>
      <c r="HN7" s="73" t="str">
        <f>IFERROR(IF(OR($B7="",HN$3=""),"",_xll.ciqfunctions.udf.CIQ($B7, "IQ_NI", $I$3, HN$3,$J$3, ,$G$3,$H$3)*2/(_xll.ciqfunctions.udf.CIQ($B7,"IQ_TOTAL_ASSETS",HN$3,$E$3, $J$3, , $G$3, $H$3)+_xll.ciqfunctions.udf.CIQ($B7,"IQ_TOTAL_ASSETS","IQ_" &amp; LEFT(HN$3,2) &amp; "-1",HN$3, $J$3, , $G$3, $H$3))),"")</f>
        <v/>
      </c>
      <c r="HO7" s="73" t="str">
        <f>IFERROR(IF(OR($B7="",HO$3=""),"",_xll.ciqfunctions.udf.CIQ($B7, "IQ_NI", $I$3, HO$3,$J$3, ,$G$3,$H$3)*2/(_xll.ciqfunctions.udf.CIQ($B7,"IQ_TOTAL_ASSETS",HO$3,$E$3, $J$3, , $G$3, $H$3)+_xll.ciqfunctions.udf.CIQ($B7,"IQ_TOTAL_ASSETS","IQ_" &amp; LEFT(HO$3,2) &amp; "-1",HO$3, $J$3, , $G$3, $H$3))),"")</f>
        <v/>
      </c>
      <c r="HP7" s="73" t="str">
        <f>IFERROR(IF(OR($B7="",HP$3=""),"",_xll.ciqfunctions.udf.CIQ($B7, "IQ_NI", $I$3, HP$3,$J$3, ,$G$3,$H$3)*2/(_xll.ciqfunctions.udf.CIQ($B7,"IQ_TOTAL_ASSETS",HP$3,$E$3, $J$3, , $G$3, $H$3)+_xll.ciqfunctions.udf.CIQ($B7,"IQ_TOTAL_ASSETS","IQ_" &amp; LEFT(HP$3,2) &amp; "-1",HP$3, $J$3, , $G$3, $H$3))),"")</f>
        <v/>
      </c>
      <c r="HQ7" s="73" t="str">
        <f>IFERROR(IF(OR($B7="",HQ$3=""),"",_xll.ciqfunctions.udf.CIQ($B7, "IQ_NI", $I$3, HQ$3,$J$3, ,$G$3,$H$3)*2/(_xll.ciqfunctions.udf.CIQ($B7,"IQ_TOTAL_ASSETS",HQ$3,$E$3, $J$3, , $G$3, $H$3)+_xll.ciqfunctions.udf.CIQ($B7,"IQ_TOTAL_ASSETS","IQ_" &amp; LEFT(HQ$3,2) &amp; "-1",HQ$3, $J$3, , $G$3, $H$3))),"")</f>
        <v/>
      </c>
      <c r="HR7" s="73" t="str">
        <f>IFERROR(IF(OR($B7="",HR$3=""),"",_xll.ciqfunctions.udf.CIQ($B7, "IQ_NI", $I$3, HR$3,$J$3, ,$G$3,$H$3)*2/(_xll.ciqfunctions.udf.CIQ($B7,"IQ_TOTAL_ASSETS",HR$3,$E$3, $J$3, , $G$3, $H$3)+_xll.ciqfunctions.udf.CIQ($B7,"IQ_TOTAL_ASSETS","IQ_" &amp; LEFT(HR$3,2) &amp; "-1",HR$3, $J$3, , $G$3, $H$3))),"")</f>
        <v/>
      </c>
      <c r="HS7" s="73" t="str">
        <f>IFERROR(IF(OR($B7="",HS$3=""),"",_xll.ciqfunctions.udf.CIQ($B7, "IQ_NI", $I$3, HS$3,$J$3, ,$G$3,$H$3)*2/(_xll.ciqfunctions.udf.CIQ($B7,"IQ_TOTAL_ASSETS",HS$3,$E$3, $J$3, , $G$3, $H$3)+_xll.ciqfunctions.udf.CIQ($B7,"IQ_TOTAL_ASSETS","IQ_" &amp; LEFT(HS$3,2) &amp; "-1",HS$3, $J$3, , $G$3, $H$3))),"")</f>
        <v/>
      </c>
      <c r="HT7" s="73" t="str">
        <f>IFERROR(IF(OR($B7="",HT$3=""),"",_xll.ciqfunctions.udf.CIQ($B7, "IQ_NI", $I$3, HT$3,$J$3, ,$G$3,$H$3)*2/(_xll.ciqfunctions.udf.CIQ($B7,"IQ_TOTAL_ASSETS",HT$3,$E$3, $J$3, , $G$3, $H$3)+_xll.ciqfunctions.udf.CIQ($B7,"IQ_TOTAL_ASSETS","IQ_" &amp; LEFT(HT$3,2) &amp; "-1",HT$3, $J$3, , $G$3, $H$3))),"")</f>
        <v/>
      </c>
      <c r="HU7" s="73" t="str">
        <f>IFERROR(IF(OR($B7="",HU$3=""),"",_xll.ciqfunctions.udf.CIQ($B7, "IQ_NI", $I$3, HU$3,$J$3, ,$G$3,$H$3)*2/(_xll.ciqfunctions.udf.CIQ($B7,"IQ_TOTAL_ASSETS",HU$3,$E$3, $J$3, , $G$3, $H$3)+_xll.ciqfunctions.udf.CIQ($B7,"IQ_TOTAL_ASSETS","IQ_" &amp; LEFT(HU$3,2) &amp; "-1",HU$3, $J$3, , $G$3, $H$3))),"")</f>
        <v/>
      </c>
      <c r="HV7" s="74" t="str">
        <f>IFERROR(IF(OR($B7="",HV$3=""),"",_xll.ciqfunctions.udf.CIQ($B7, "IQ_NI", $I$3, HV$3,$J$3, ,$G$3,$H$3)*2/(_xll.ciqfunctions.udf.CIQ($B7,"IQ_TOTAL_ASSETS",HV$3,$E$3, $J$3, , $G$3, $H$3)+_xll.ciqfunctions.udf.CIQ($B7,"IQ_TOTAL_ASSETS","IQ_" &amp; LEFT(HV$3,2) &amp; "-1",HV$3, $J$3, , $G$3, $H$3))),"")</f>
        <v/>
      </c>
      <c r="HW7" s="72">
        <f>IFERROR(IF(OR($B7="",HW$3=""),"",_xll.ciqfunctions.udf.CIQ($B7,"IQ_CASH_OPER",HW$3,$E$3, $J$3, , $G$3, $H$3)/_xll.ciqfunctions.udf.CIQ($B7,"IQ_TOTAL_REV",HW$3,$E$3, $J$3, , $G$3, $H$3)),0)</f>
        <v>4.221882343903316E-2</v>
      </c>
      <c r="HX7" s="73" t="str">
        <f>IFERROR(IF(OR($B7="",HX$3=""),"",_xll.ciqfunctions.udf.CIQ($B7,"IQ_CASH_OPER",HX$3,$E$3, $J$3, , $G$3, $H$3)/_xll.ciqfunctions.udf.CIQ($B7,"IQ_TOTAL_REV",HX$3,$E$3, $J$3, , $G$3, $H$3)),0)</f>
        <v/>
      </c>
      <c r="HY7" s="73" t="str">
        <f>IFERROR(IF(OR($B7="",HY$3=""),"",_xll.ciqfunctions.udf.CIQ($B7,"IQ_CASH_OPER",HY$3,$E$3, $J$3, , $G$3, $H$3)/_xll.ciqfunctions.udf.CIQ($B7,"IQ_TOTAL_REV",HY$3,$E$3, $J$3, , $G$3, $H$3)),0)</f>
        <v/>
      </c>
      <c r="HZ7" s="73" t="str">
        <f>IFERROR(IF(OR($B7="",HZ$3=""),"",_xll.ciqfunctions.udf.CIQ($B7,"IQ_CASH_OPER",HZ$3,$E$3, $J$3, , $G$3, $H$3)/_xll.ciqfunctions.udf.CIQ($B7,"IQ_TOTAL_REV",HZ$3,$E$3, $J$3, , $G$3, $H$3)),0)</f>
        <v/>
      </c>
      <c r="IA7" s="73" t="str">
        <f>IFERROR(IF(OR($B7="",IA$3=""),"",_xll.ciqfunctions.udf.CIQ($B7,"IQ_CASH_OPER",IA$3,$E$3, $J$3, , $G$3, $H$3)/_xll.ciqfunctions.udf.CIQ($B7,"IQ_TOTAL_REV",IA$3,$E$3, $J$3, , $G$3, $H$3)),0)</f>
        <v/>
      </c>
      <c r="IB7" s="73" t="str">
        <f>IFERROR(IF(OR($B7="",IB$3=""),"",_xll.ciqfunctions.udf.CIQ($B7,"IQ_CASH_OPER",IB$3,$E$3, $J$3, , $G$3, $H$3)/_xll.ciqfunctions.udf.CIQ($B7,"IQ_TOTAL_REV",IB$3,$E$3, $J$3, , $G$3, $H$3)),0)</f>
        <v/>
      </c>
      <c r="IC7" s="73" t="str">
        <f>IFERROR(IF(OR($B7="",IC$3=""),"",_xll.ciqfunctions.udf.CIQ($B7,"IQ_CASH_OPER",IC$3,$E$3, $J$3, , $G$3, $H$3)/_xll.ciqfunctions.udf.CIQ($B7,"IQ_TOTAL_REV",IC$3,$E$3, $J$3, , $G$3, $H$3)),0)</f>
        <v/>
      </c>
      <c r="ID7" s="73" t="str">
        <f>IFERROR(IF(OR($B7="",ID$3=""),"",_xll.ciqfunctions.udf.CIQ($B7,"IQ_CASH_OPER",ID$3,$E$3, $J$3, , $G$3, $H$3)/_xll.ciqfunctions.udf.CIQ($B7,"IQ_TOTAL_REV",ID$3,$E$3, $J$3, , $G$3, $H$3)),0)</f>
        <v/>
      </c>
      <c r="IE7" s="73" t="str">
        <f>IFERROR(IF(OR($B7="",IE$3=""),"",_xll.ciqfunctions.udf.CIQ($B7,"IQ_CASH_OPER",IE$3,$E$3, $J$3, , $G$3, $H$3)/_xll.ciqfunctions.udf.CIQ($B7,"IQ_TOTAL_REV",IE$3,$E$3, $J$3, , $G$3, $H$3)),0)</f>
        <v/>
      </c>
      <c r="IF7" s="73" t="str">
        <f>IFERROR(IF(OR($B7="",IF$3=""),"",_xll.ciqfunctions.udf.CIQ($B7,"IQ_CASH_OPER",IF$3,$E$3, $J$3, , $G$3, $H$3)/_xll.ciqfunctions.udf.CIQ($B7,"IQ_TOTAL_REV",IF$3,$E$3, $J$3, , $G$3, $H$3)),0)</f>
        <v/>
      </c>
      <c r="IG7" s="73" t="str">
        <f>IFERROR(IF(OR($B7="",IG$3=""),"",_xll.ciqfunctions.udf.CIQ($B7,"IQ_CASH_OPER",IG$3,$E$3, $J$3, , $G$3, $H$3)/_xll.ciqfunctions.udf.CIQ($B7,"IQ_TOTAL_REV",IG$3,$E$3, $J$3, , $G$3, $H$3)),0)</f>
        <v/>
      </c>
      <c r="IH7" s="73" t="str">
        <f>IFERROR(IF(OR($B7="",IH$3=""),"",_xll.ciqfunctions.udf.CIQ($B7,"IQ_CASH_OPER",IH$3,$E$3, $J$3, , $G$3, $H$3)/_xll.ciqfunctions.udf.CIQ($B7,"IQ_TOTAL_REV",IH$3,$E$3, $J$3, , $G$3, $H$3)),0)</f>
        <v/>
      </c>
      <c r="II7" s="73" t="str">
        <f>IFERROR(IF(OR($B7="",II$3=""),"",_xll.ciqfunctions.udf.CIQ($B7,"IQ_CASH_OPER",II$3,$E$3, $J$3, , $G$3, $H$3)/_xll.ciqfunctions.udf.CIQ($B7,"IQ_TOTAL_REV",II$3,$E$3, $J$3, , $G$3, $H$3)),0)</f>
        <v/>
      </c>
      <c r="IJ7" s="73" t="str">
        <f>IFERROR(IF(OR($B7="",IJ$3=""),"",_xll.ciqfunctions.udf.CIQ($B7,"IQ_CASH_OPER",IJ$3,$E$3, $J$3, , $G$3, $H$3)/_xll.ciqfunctions.udf.CIQ($B7,"IQ_TOTAL_REV",IJ$3,$E$3, $J$3, , $G$3, $H$3)),0)</f>
        <v/>
      </c>
      <c r="IK7" s="73" t="str">
        <f>IFERROR(IF(OR($B7="",IK$3=""),"",_xll.ciqfunctions.udf.CIQ($B7,"IQ_CASH_OPER",IK$3,$E$3, $J$3, , $G$3, $H$3)/_xll.ciqfunctions.udf.CIQ($B7,"IQ_TOTAL_REV",IK$3,$E$3, $J$3, , $G$3, $H$3)),0)</f>
        <v/>
      </c>
      <c r="IL7" s="73" t="str">
        <f>IFERROR(IF(OR($B7="",IL$3=""),"",_xll.ciqfunctions.udf.CIQ($B7,"IQ_CASH_OPER",IL$3,$E$3, $J$3, , $G$3, $H$3)/_xll.ciqfunctions.udf.CIQ($B7,"IQ_TOTAL_REV",IL$3,$E$3, $J$3, , $G$3, $H$3)),0)</f>
        <v/>
      </c>
      <c r="IM7" s="73" t="str">
        <f>IFERROR(IF(OR($B7="",IM$3=""),"",_xll.ciqfunctions.udf.CIQ($B7,"IQ_CASH_OPER",IM$3,$E$3, $J$3, , $G$3, $H$3)/_xll.ciqfunctions.udf.CIQ($B7,"IQ_TOTAL_REV",IM$3,$E$3, $J$3, , $G$3, $H$3)),0)</f>
        <v/>
      </c>
      <c r="IN7" s="73" t="str">
        <f>IFERROR(IF(OR($B7="",IN$3=""),"",_xll.ciqfunctions.udf.CIQ($B7,"IQ_CASH_OPER",IN$3,$E$3, $J$3, , $G$3, $H$3)/_xll.ciqfunctions.udf.CIQ($B7,"IQ_TOTAL_REV",IN$3,$E$3, $J$3, , $G$3, $H$3)),0)</f>
        <v/>
      </c>
      <c r="IO7" s="73" t="str">
        <f>IFERROR(IF(OR($B7="",IO$3=""),"",_xll.ciqfunctions.udf.CIQ($B7,"IQ_CASH_OPER",IO$3,$E$3, $J$3, , $G$3, $H$3)/_xll.ciqfunctions.udf.CIQ($B7,"IQ_TOTAL_REV",IO$3,$E$3, $J$3, , $G$3, $H$3)),0)</f>
        <v/>
      </c>
      <c r="IP7" s="74" t="str">
        <f>IFERROR(IF(OR($B7="",IP$3=""),"",_xll.ciqfunctions.udf.CIQ($B7,"IQ_CASH_OPER",IP$3,$E$3, $J$3, , $G$3, $H$3)/_xll.ciqfunctions.udf.CIQ($B7,"IQ_TOTAL_REV",IP$3,$E$3, $J$3, , $G$3, $H$3)),0)</f>
        <v/>
      </c>
      <c r="IQ7" s="345">
        <f>IFERROR(IF(OR(IQ$3="",$B7=""),"",_xll.ciqfunctions.udf.CIQ($B7,"IQ_TOTAL_ASSETS",IQ$3,$E$3, $J$3, , $G$3, $H$3)/_xll.ciqfunctions.udf.CIQ($B7,"IQ_TOTAL_COMMON_EQUITY",IQ$3,$E$3, $J$3, , $G$3, $H$3)),0)</f>
        <v>2.9411552736838313</v>
      </c>
      <c r="IR7" s="346" t="str">
        <f>IFERROR(IF(OR(IR$3="",$B7=""),"",_xll.ciqfunctions.udf.CIQ($B7,"IQ_TOTAL_ASSETS",IR$3,$E$3, $J$3, , $G$3, $H$3)/_xll.ciqfunctions.udf.CIQ($B7,"IQ_TOTAL_COMMON_EQUITY",IR$3,$E$3, $J$3, , $G$3, $H$3)),0)</f>
        <v/>
      </c>
      <c r="IS7" s="346" t="str">
        <f>IFERROR(IF(OR(IS$3="",$B7=""),"",_xll.ciqfunctions.udf.CIQ($B7,"IQ_TOTAL_ASSETS",IS$3,$E$3, $J$3, , $G$3, $H$3)/_xll.ciqfunctions.udf.CIQ($B7,"IQ_TOTAL_COMMON_EQUITY",IS$3,$E$3, $J$3, , $G$3, $H$3)),0)</f>
        <v/>
      </c>
      <c r="IT7" s="346" t="str">
        <f>IFERROR(IF(OR(IT$3="",$B7=""),"",_xll.ciqfunctions.udf.CIQ($B7,"IQ_TOTAL_ASSETS",IT$3,$E$3, $J$3, , $G$3, $H$3)/_xll.ciqfunctions.udf.CIQ($B7,"IQ_TOTAL_COMMON_EQUITY",IT$3,$E$3, $J$3, , $G$3, $H$3)),0)</f>
        <v/>
      </c>
      <c r="IU7" s="346" t="str">
        <f>IFERROR(IF(OR(IU$3="",$B7=""),"",_xll.ciqfunctions.udf.CIQ($B7,"IQ_TOTAL_ASSETS",IU$3,$E$3, $J$3, , $G$3, $H$3)/_xll.ciqfunctions.udf.CIQ($B7,"IQ_TOTAL_COMMON_EQUITY",IU$3,$E$3, $J$3, , $G$3, $H$3)),0)</f>
        <v/>
      </c>
      <c r="IV7" s="346" t="str">
        <f>IFERROR(IF(OR(IV$3="",$B7=""),"",_xll.ciqfunctions.udf.CIQ($B7,"IQ_TOTAL_ASSETS",IV$3,$E$3, $J$3, , $G$3, $H$3)/_xll.ciqfunctions.udf.CIQ($B7,"IQ_TOTAL_COMMON_EQUITY",IV$3,$E$3, $J$3, , $G$3, $H$3)),0)</f>
        <v/>
      </c>
      <c r="IW7" s="346" t="str">
        <f>IFERROR(IF(OR(IW$3="",$B7=""),"",_xll.ciqfunctions.udf.CIQ($B7,"IQ_TOTAL_ASSETS",IW$3,$E$3, $J$3, , $G$3, $H$3)/_xll.ciqfunctions.udf.CIQ($B7,"IQ_TOTAL_COMMON_EQUITY",IW$3,$E$3, $J$3, , $G$3, $H$3)),0)</f>
        <v/>
      </c>
      <c r="IX7" s="346" t="str">
        <f>IFERROR(IF(OR(IX$3="",$B7=""),"",_xll.ciqfunctions.udf.CIQ($B7,"IQ_TOTAL_ASSETS",IX$3,$E$3, $J$3, , $G$3, $H$3)/_xll.ciqfunctions.udf.CIQ($B7,"IQ_TOTAL_COMMON_EQUITY",IX$3,$E$3, $J$3, , $G$3, $H$3)),0)</f>
        <v/>
      </c>
      <c r="IY7" s="346" t="str">
        <f>IFERROR(IF(OR(IY$3="",$B7=""),"",_xll.ciqfunctions.udf.CIQ($B7,"IQ_TOTAL_ASSETS",IY$3,$E$3, $J$3, , $G$3, $H$3)/_xll.ciqfunctions.udf.CIQ($B7,"IQ_TOTAL_COMMON_EQUITY",IY$3,$E$3, $J$3, , $G$3, $H$3)),0)</f>
        <v/>
      </c>
      <c r="IZ7" s="346" t="str">
        <f>IFERROR(IF(OR(IZ$3="",$B7=""),"",_xll.ciqfunctions.udf.CIQ($B7,"IQ_TOTAL_ASSETS",IZ$3,$E$3, $J$3, , $G$3, $H$3)/_xll.ciqfunctions.udf.CIQ($B7,"IQ_TOTAL_COMMON_EQUITY",IZ$3,$E$3, $J$3, , $G$3, $H$3)),0)</f>
        <v/>
      </c>
      <c r="JA7" s="346" t="str">
        <f>IFERROR(IF(OR(JA$3="",$B7=""),"",_xll.ciqfunctions.udf.CIQ($B7,"IQ_TOTAL_ASSETS",JA$3,$E$3, $J$3, , $G$3, $H$3)/_xll.ciqfunctions.udf.CIQ($B7,"IQ_TOTAL_COMMON_EQUITY",JA$3,$E$3, $J$3, , $G$3, $H$3)),0)</f>
        <v/>
      </c>
      <c r="JB7" s="346" t="str">
        <f>IFERROR(IF(OR(JB$3="",$B7=""),"",_xll.ciqfunctions.udf.CIQ($B7,"IQ_TOTAL_ASSETS",JB$3,$E$3, $J$3, , $G$3, $H$3)/_xll.ciqfunctions.udf.CIQ($B7,"IQ_TOTAL_COMMON_EQUITY",JB$3,$E$3, $J$3, , $G$3, $H$3)),0)</f>
        <v/>
      </c>
      <c r="JC7" s="346" t="str">
        <f>IFERROR(IF(OR(JC$3="",$B7=""),"",_xll.ciqfunctions.udf.CIQ($B7,"IQ_TOTAL_ASSETS",JC$3,$E$3, $J$3, , $G$3, $H$3)/_xll.ciqfunctions.udf.CIQ($B7,"IQ_TOTAL_COMMON_EQUITY",JC$3,$E$3, $J$3, , $G$3, $H$3)),0)</f>
        <v/>
      </c>
      <c r="JD7" s="346" t="str">
        <f>IFERROR(IF(OR(JD$3="",$B7=""),"",_xll.ciqfunctions.udf.CIQ($B7,"IQ_TOTAL_ASSETS",JD$3,$E$3, $J$3, , $G$3, $H$3)/_xll.ciqfunctions.udf.CIQ($B7,"IQ_TOTAL_COMMON_EQUITY",JD$3,$E$3, $J$3, , $G$3, $H$3)),0)</f>
        <v/>
      </c>
      <c r="JE7" s="346" t="str">
        <f>IFERROR(IF(OR(JE$3="",$B7=""),"",_xll.ciqfunctions.udf.CIQ($B7,"IQ_TOTAL_ASSETS",JE$3,$E$3, $J$3, , $G$3, $H$3)/_xll.ciqfunctions.udf.CIQ($B7,"IQ_TOTAL_COMMON_EQUITY",JE$3,$E$3, $J$3, , $G$3, $H$3)),0)</f>
        <v/>
      </c>
      <c r="JF7" s="346" t="str">
        <f>IFERROR(IF(OR(JF$3="",$B7=""),"",_xll.ciqfunctions.udf.CIQ($B7,"IQ_TOTAL_ASSETS",JF$3,$E$3, $J$3, , $G$3, $H$3)/_xll.ciqfunctions.udf.CIQ($B7,"IQ_TOTAL_COMMON_EQUITY",JF$3,$E$3, $J$3, , $G$3, $H$3)),0)</f>
        <v/>
      </c>
      <c r="JG7" s="346" t="str">
        <f>IFERROR(IF(OR(JG$3="",$B7=""),"",_xll.ciqfunctions.udf.CIQ($B7,"IQ_TOTAL_ASSETS",JG$3,$E$3, $J$3, , $G$3, $H$3)/_xll.ciqfunctions.udf.CIQ($B7,"IQ_TOTAL_COMMON_EQUITY",JG$3,$E$3, $J$3, , $G$3, $H$3)),0)</f>
        <v/>
      </c>
      <c r="JH7" s="346" t="str">
        <f>IFERROR(IF(OR(JH$3="",$B7=""),"",_xll.ciqfunctions.udf.CIQ($B7,"IQ_TOTAL_ASSETS",JH$3,$E$3, $J$3, , $G$3, $H$3)/_xll.ciqfunctions.udf.CIQ($B7,"IQ_TOTAL_COMMON_EQUITY",JH$3,$E$3, $J$3, , $G$3, $H$3)),0)</f>
        <v/>
      </c>
      <c r="JI7" s="346" t="str">
        <f>IFERROR(IF(OR(JI$3="",$B7=""),"",_xll.ciqfunctions.udf.CIQ($B7,"IQ_TOTAL_ASSETS",JI$3,$E$3, $J$3, , $G$3, $H$3)/_xll.ciqfunctions.udf.CIQ($B7,"IQ_TOTAL_COMMON_EQUITY",JI$3,$E$3, $J$3, , $G$3, $H$3)),0)</f>
        <v/>
      </c>
      <c r="JJ7" s="347" t="str">
        <f>IFERROR(IF(OR(JJ$3="",$B7=""),"",_xll.ciqfunctions.udf.CIQ($B7,"IQ_TOTAL_ASSETS",JJ$3,$E$3, $J$3, , $G$3, $H$3)/_xll.ciqfunctions.udf.CIQ($B7,"IQ_TOTAL_COMMON_EQUITY",JJ$3,$E$3, $J$3, , $G$3, $H$3)),0)</f>
        <v/>
      </c>
      <c r="JK7" s="72">
        <f>IFERROR(IF(OR($B7="",JK$3=""),"",_xll.ciqfunctions.udf.CIQ($B7, "IQ_NI", $I$3, HC$3,$J$3, ,$G$3,$H$3)*2/(_xll.ciqfunctions.udf.CIQ($B7,"IQ_TOTAL_EQUITY",JK$3,$E$3, $J$3, , $G$3, $H$3)+_xll.ciqfunctions.udf.CIQ($B7,"IQ_TOTAL_EQUITY","IQ_" &amp; LEFT(JK$3,2) &amp; "-1",JK$3, $J$3, , $G$3, $H$3))),"")</f>
        <v>0.15059468738504755</v>
      </c>
      <c r="JL7" s="73" t="str">
        <f>IFERROR(IF(OR($B7="",JL$3=""),"",_xll.ciqfunctions.udf.CIQ($B7, "IQ_NI", $I$3, HD$3,$J$3, ,$G$3,$H$3)*2/(_xll.ciqfunctions.udf.CIQ($B7,"IQ_TOTAL_EQUITY",JL$3,$E$3, $J$3, , $G$3, $H$3)+_xll.ciqfunctions.udf.CIQ($B7,"IQ_TOTAL_EQUITY","IQ_" &amp; LEFT(JL$3,2) &amp; "-1",JL$3, $J$3, , $G$3, $H$3))),"")</f>
        <v/>
      </c>
      <c r="JM7" s="73" t="str">
        <f>IFERROR(IF(OR($B7="",JM$3=""),"",_xll.ciqfunctions.udf.CIQ($B7, "IQ_NI", $I$3, HE$3,$J$3, ,$G$3,$H$3)*2/(_xll.ciqfunctions.udf.CIQ($B7,"IQ_TOTAL_EQUITY",JM$3,$E$3, $J$3, , $G$3, $H$3)+_xll.ciqfunctions.udf.CIQ($B7,"IQ_TOTAL_EQUITY","IQ_" &amp; LEFT(JM$3,2) &amp; "-1",JM$3, $J$3, , $G$3, $H$3))),"")</f>
        <v/>
      </c>
      <c r="JN7" s="73" t="str">
        <f>IFERROR(IF(OR($B7="",JN$3=""),"",_xll.ciqfunctions.udf.CIQ($B7, "IQ_NI", $I$3, HF$3,$J$3, ,$G$3,$H$3)*2/(_xll.ciqfunctions.udf.CIQ($B7,"IQ_TOTAL_EQUITY",JN$3,$E$3, $J$3, , $G$3, $H$3)+_xll.ciqfunctions.udf.CIQ($B7,"IQ_TOTAL_EQUITY","IQ_" &amp; LEFT(JN$3,2) &amp; "-1",JN$3, $J$3, , $G$3, $H$3))),"")</f>
        <v/>
      </c>
      <c r="JO7" s="73" t="str">
        <f>IFERROR(IF(OR($B7="",JO$3=""),"",_xll.ciqfunctions.udf.CIQ($B7, "IQ_NI", $I$3, HG$3,$J$3, ,$G$3,$H$3)*2/(_xll.ciqfunctions.udf.CIQ($B7,"IQ_TOTAL_EQUITY",JO$3,$E$3, $J$3, , $G$3, $H$3)+_xll.ciqfunctions.udf.CIQ($B7,"IQ_TOTAL_EQUITY","IQ_" &amp; LEFT(JO$3,2) &amp; "-1",JO$3, $J$3, , $G$3, $H$3))),"")</f>
        <v/>
      </c>
      <c r="JP7" s="73" t="str">
        <f>IFERROR(IF(OR($B7="",JP$3=""),"",_xll.ciqfunctions.udf.CIQ($B7, "IQ_NI", $I$3, HH$3,$J$3, ,$G$3,$H$3)*2/(_xll.ciqfunctions.udf.CIQ($B7,"IQ_TOTAL_EQUITY",JP$3,$E$3, $J$3, , $G$3, $H$3)+_xll.ciqfunctions.udf.CIQ($B7,"IQ_TOTAL_EQUITY","IQ_" &amp; LEFT(JP$3,2) &amp; "-1",JP$3, $J$3, , $G$3, $H$3))),"")</f>
        <v/>
      </c>
      <c r="JQ7" s="73" t="str">
        <f>IFERROR(IF(OR($B7="",JQ$3=""),"",_xll.ciqfunctions.udf.CIQ($B7, "IQ_NI", $I$3, HI$3,$J$3, ,$G$3,$H$3)*2/(_xll.ciqfunctions.udf.CIQ($B7,"IQ_TOTAL_EQUITY",JQ$3,$E$3, $J$3, , $G$3, $H$3)+_xll.ciqfunctions.udf.CIQ($B7,"IQ_TOTAL_EQUITY","IQ_" &amp; LEFT(JQ$3,2) &amp; "-1",JQ$3, $J$3, , $G$3, $H$3))),"")</f>
        <v/>
      </c>
      <c r="JR7" s="73" t="str">
        <f>IFERROR(IF(OR($B7="",JR$3=""),"",_xll.ciqfunctions.udf.CIQ($B7, "IQ_NI", $I$3, HJ$3,$J$3, ,$G$3,$H$3)*2/(_xll.ciqfunctions.udf.CIQ($B7,"IQ_TOTAL_EQUITY",JR$3,$E$3, $J$3, , $G$3, $H$3)+_xll.ciqfunctions.udf.CIQ($B7,"IQ_TOTAL_EQUITY","IQ_" &amp; LEFT(JR$3,2) &amp; "-1",JR$3, $J$3, , $G$3, $H$3))),"")</f>
        <v/>
      </c>
      <c r="JS7" s="73" t="str">
        <f>IFERROR(IF(OR($B7="",JS$3=""),"",_xll.ciqfunctions.udf.CIQ($B7, "IQ_NI", $I$3, HK$3,$J$3, ,$G$3,$H$3)*2/(_xll.ciqfunctions.udf.CIQ($B7,"IQ_TOTAL_EQUITY",JS$3,$E$3, $J$3, , $G$3, $H$3)+_xll.ciqfunctions.udf.CIQ($B7,"IQ_TOTAL_EQUITY","IQ_" &amp; LEFT(JS$3,2) &amp; "-1",JS$3, $J$3, , $G$3, $H$3))),"")</f>
        <v/>
      </c>
      <c r="JT7" s="73" t="str">
        <f>IFERROR(IF(OR($B7="",JT$3=""),"",_xll.ciqfunctions.udf.CIQ($B7, "IQ_NI", $I$3, HL$3,$J$3, ,$G$3,$H$3)*2/(_xll.ciqfunctions.udf.CIQ($B7,"IQ_TOTAL_EQUITY",JT$3,$E$3, $J$3, , $G$3, $H$3)+_xll.ciqfunctions.udf.CIQ($B7,"IQ_TOTAL_EQUITY","IQ_" &amp; LEFT(JT$3,2) &amp; "-1",JT$3, $J$3, , $G$3, $H$3))),"")</f>
        <v/>
      </c>
      <c r="JU7" s="73" t="str">
        <f>IFERROR(IF(OR($B7="",JU$3=""),"",_xll.ciqfunctions.udf.CIQ($B7, "IQ_NI", $I$3, HM$3,$J$3, ,$G$3,$H$3)*2/(_xll.ciqfunctions.udf.CIQ($B7,"IQ_TOTAL_EQUITY",JU$3,$E$3, $J$3, , $G$3, $H$3)+_xll.ciqfunctions.udf.CIQ($B7,"IQ_TOTAL_EQUITY","IQ_" &amp; LEFT(JU$3,2) &amp; "-1",JU$3, $J$3, , $G$3, $H$3))),"")</f>
        <v/>
      </c>
      <c r="JV7" s="73" t="str">
        <f>IFERROR(IF(OR($B7="",JV$3=""),"",_xll.ciqfunctions.udf.CIQ($B7, "IQ_NI", $I$3, HN$3,$J$3, ,$G$3,$H$3)*2/(_xll.ciqfunctions.udf.CIQ($B7,"IQ_TOTAL_EQUITY",JV$3,$E$3, $J$3, , $G$3, $H$3)+_xll.ciqfunctions.udf.CIQ($B7,"IQ_TOTAL_EQUITY","IQ_" &amp; LEFT(JV$3,2) &amp; "-1",JV$3, $J$3, , $G$3, $H$3))),"")</f>
        <v/>
      </c>
      <c r="JW7" s="73" t="str">
        <f>IFERROR(IF(OR($B7="",JW$3=""),"",_xll.ciqfunctions.udf.CIQ($B7, "IQ_NI", $I$3, HO$3,$J$3, ,$G$3,$H$3)*2/(_xll.ciqfunctions.udf.CIQ($B7,"IQ_TOTAL_EQUITY",JW$3,$E$3, $J$3, , $G$3, $H$3)+_xll.ciqfunctions.udf.CIQ($B7,"IQ_TOTAL_EQUITY","IQ_" &amp; LEFT(JW$3,2) &amp; "-1",JW$3, $J$3, , $G$3, $H$3))),"")</f>
        <v/>
      </c>
      <c r="JX7" s="73" t="str">
        <f>IFERROR(IF(OR($B7="",JX$3=""),"",_xll.ciqfunctions.udf.CIQ($B7, "IQ_NI", $I$3, HP$3,$J$3, ,$G$3,$H$3)*2/(_xll.ciqfunctions.udf.CIQ($B7,"IQ_TOTAL_EQUITY",JX$3,$E$3, $J$3, , $G$3, $H$3)+_xll.ciqfunctions.udf.CIQ($B7,"IQ_TOTAL_EQUITY","IQ_" &amp; LEFT(JX$3,2) &amp; "-1",JX$3, $J$3, , $G$3, $H$3))),"")</f>
        <v/>
      </c>
      <c r="JY7" s="73" t="str">
        <f>IFERROR(IF(OR($B7="",JY$3=""),"",_xll.ciqfunctions.udf.CIQ($B7, "IQ_NI", $I$3, HQ$3,$J$3, ,$G$3,$H$3)*2/(_xll.ciqfunctions.udf.CIQ($B7,"IQ_TOTAL_EQUITY",JY$3,$E$3, $J$3, , $G$3, $H$3)+_xll.ciqfunctions.udf.CIQ($B7,"IQ_TOTAL_EQUITY","IQ_" &amp; LEFT(JY$3,2) &amp; "-1",JY$3, $J$3, , $G$3, $H$3))),"")</f>
        <v/>
      </c>
      <c r="JZ7" s="73" t="str">
        <f>IFERROR(IF(OR($B7="",JZ$3=""),"",_xll.ciqfunctions.udf.CIQ($B7, "IQ_NI", $I$3, HR$3,$J$3, ,$G$3,$H$3)*2/(_xll.ciqfunctions.udf.CIQ($B7,"IQ_TOTAL_EQUITY",JZ$3,$E$3, $J$3, , $G$3, $H$3)+_xll.ciqfunctions.udf.CIQ($B7,"IQ_TOTAL_EQUITY","IQ_" &amp; LEFT(JZ$3,2) &amp; "-1",JZ$3, $J$3, , $G$3, $H$3))),"")</f>
        <v/>
      </c>
      <c r="KA7" s="73" t="str">
        <f>IFERROR(IF(OR($B7="",KA$3=""),"",_xll.ciqfunctions.udf.CIQ($B7, "IQ_NI", $I$3, HS$3,$J$3, ,$G$3,$H$3)*2/(_xll.ciqfunctions.udf.CIQ($B7,"IQ_TOTAL_EQUITY",KA$3,$E$3, $J$3, , $G$3, $H$3)+_xll.ciqfunctions.udf.CIQ($B7,"IQ_TOTAL_EQUITY","IQ_" &amp; LEFT(KA$3,2) &amp; "-1",KA$3, $J$3, , $G$3, $H$3))),"")</f>
        <v/>
      </c>
      <c r="KB7" s="73" t="str">
        <f>IFERROR(IF(OR($B7="",KB$3=""),"",_xll.ciqfunctions.udf.CIQ($B7, "IQ_NI", $I$3, HT$3,$J$3, ,$G$3,$H$3)*2/(_xll.ciqfunctions.udf.CIQ($B7,"IQ_TOTAL_EQUITY",KB$3,$E$3, $J$3, , $G$3, $H$3)+_xll.ciqfunctions.udf.CIQ($B7,"IQ_TOTAL_EQUITY","IQ_" &amp; LEFT(KB$3,2) &amp; "-1",KB$3, $J$3, , $G$3, $H$3))),"")</f>
        <v/>
      </c>
      <c r="KC7" s="73" t="str">
        <f>IFERROR(IF(OR($B7="",KC$3=""),"",_xll.ciqfunctions.udf.CIQ($B7, "IQ_NI", $I$3, HU$3,$J$3, ,$G$3,$H$3)*2/(_xll.ciqfunctions.udf.CIQ($B7,"IQ_TOTAL_EQUITY",KC$3,$E$3, $J$3, , $G$3, $H$3)+_xll.ciqfunctions.udf.CIQ($B7,"IQ_TOTAL_EQUITY","IQ_" &amp; LEFT(KC$3,2) &amp; "-1",KC$3, $J$3, , $G$3, $H$3))),"")</f>
        <v/>
      </c>
      <c r="KD7" s="74" t="str">
        <f>IFERROR(IF(OR($B7="",KD$3=""),"",_xll.ciqfunctions.udf.CIQ($B7, "IQ_NI", $I$3, HV$3,$J$3, ,$G$3,$H$3)*2/(_xll.ciqfunctions.udf.CIQ($B7,"IQ_TOTAL_EQUITY",KD$3,$E$3, $J$3, , $G$3, $H$3)+_xll.ciqfunctions.udf.CIQ($B7,"IQ_TOTAL_EQUITY","IQ_" &amp; LEFT(KD$3,2) &amp; "-1",KD$3, $J$3, , $G$3, $H$3))),"")</f>
        <v/>
      </c>
      <c r="KE7" s="72">
        <f>IFERROR(IF(OR($B7="",KE$3=""),"",_xll.ciqfunctions.udf.CIQ($B7, "IQ_NI", $I$3, KE$3,$J$3, ,$G$3,$H$3)*2/(_xll.ciqfunctions.udf.CIQ($B7, "IQ_TOTAL_ASSETS", $I$3, KE$3,$J$3, ,$G$3,$H$3)+_xll.ciqfunctions.udf.CIQ($B7, "IQ_TOTAL_ASSETS", $I$3 &amp; "-1", KE$3,$J$3, ,$G$3,$H$3)-_xll.ciqfunctions.udf.CIQ($B7, "IQ_TOTAL_CL", $I$3, KE$3,$J$3, ,$G$3,$H$3)-_xll.ciqfunctions.udf.CIQ($B7, "IQ_TOTAL_CL", $I$3 &amp; "-1", KE$3,$J$3, ,$G$3,$H$3))),"")</f>
        <v>8.3758792038264931E-2</v>
      </c>
      <c r="KF7" s="73" t="str">
        <f>IFERROR(IF(OR($B7="",KF$3=""),"",_xll.ciqfunctions.udf.CIQ($B7, "IQ_NI", $I$3, KF$3,$J$3, ,$G$3,$H$3)*2/(_xll.ciqfunctions.udf.CIQ($B7, "IQ_TOTAL_ASSETS", $I$3, KF$3,$J$3, ,$G$3,$H$3)+_xll.ciqfunctions.udf.CIQ($B7, "IQ_TOTAL_ASSETS", $I$3 &amp; "-1", KF$3,$J$3, ,$G$3,$H$3)-_xll.ciqfunctions.udf.CIQ($B7, "IQ_TOTAL_CL", $I$3, KF$3,$J$3, ,$G$3,$H$3)-_xll.ciqfunctions.udf.CIQ($B7, "IQ_TOTAL_CL", $I$3 &amp; "-1", KF$3,$J$3, ,$G$3,$H$3))),"")</f>
        <v/>
      </c>
      <c r="KG7" s="73" t="str">
        <f>IFERROR(IF(OR($B7="",KG$3=""),"",_xll.ciqfunctions.udf.CIQ($B7, "IQ_NI", $I$3, KG$3,$J$3, ,$G$3,$H$3)*2/(_xll.ciqfunctions.udf.CIQ($B7, "IQ_TOTAL_ASSETS", $I$3, KG$3,$J$3, ,$G$3,$H$3)+_xll.ciqfunctions.udf.CIQ($B7, "IQ_TOTAL_ASSETS", $I$3 &amp; "-1", KG$3,$J$3, ,$G$3,$H$3)-_xll.ciqfunctions.udf.CIQ($B7, "IQ_TOTAL_CL", $I$3, KG$3,$J$3, ,$G$3,$H$3)-_xll.ciqfunctions.udf.CIQ($B7, "IQ_TOTAL_CL", $I$3 &amp; "-1", KG$3,$J$3, ,$G$3,$H$3))),"")</f>
        <v/>
      </c>
      <c r="KH7" s="73" t="str">
        <f>IFERROR(IF(OR($B7="",KH$3=""),"",_xll.ciqfunctions.udf.CIQ($B7, "IQ_NI", $I$3, KH$3,$J$3, ,$G$3,$H$3)*2/(_xll.ciqfunctions.udf.CIQ($B7, "IQ_TOTAL_ASSETS", $I$3, KH$3,$J$3, ,$G$3,$H$3)+_xll.ciqfunctions.udf.CIQ($B7, "IQ_TOTAL_ASSETS", $I$3 &amp; "-1", KH$3,$J$3, ,$G$3,$H$3)-_xll.ciqfunctions.udf.CIQ($B7, "IQ_TOTAL_CL", $I$3, KH$3,$J$3, ,$G$3,$H$3)-_xll.ciqfunctions.udf.CIQ($B7, "IQ_TOTAL_CL", $I$3 &amp; "-1", KH$3,$J$3, ,$G$3,$H$3))),"")</f>
        <v/>
      </c>
      <c r="KI7" s="73" t="str">
        <f>IFERROR(IF(OR($B7="",KI$3=""),"",_xll.ciqfunctions.udf.CIQ($B7, "IQ_NI", $I$3, KI$3,$J$3, ,$G$3,$H$3)*2/(_xll.ciqfunctions.udf.CIQ($B7, "IQ_TOTAL_ASSETS", $I$3, KI$3,$J$3, ,$G$3,$H$3)+_xll.ciqfunctions.udf.CIQ($B7, "IQ_TOTAL_ASSETS", $I$3 &amp; "-1", KI$3,$J$3, ,$G$3,$H$3)-_xll.ciqfunctions.udf.CIQ($B7, "IQ_TOTAL_CL", $I$3, KI$3,$J$3, ,$G$3,$H$3)-_xll.ciqfunctions.udf.CIQ($B7, "IQ_TOTAL_CL", $I$3 &amp; "-1", KI$3,$J$3, ,$G$3,$H$3))),"")</f>
        <v/>
      </c>
      <c r="KJ7" s="73" t="str">
        <f>IFERROR(IF(OR($B7="",KJ$3=""),"",_xll.ciqfunctions.udf.CIQ($B7, "IQ_NI", $I$3, KJ$3,$J$3, ,$G$3,$H$3)*2/(_xll.ciqfunctions.udf.CIQ($B7, "IQ_TOTAL_ASSETS", $I$3, KJ$3,$J$3, ,$G$3,$H$3)+_xll.ciqfunctions.udf.CIQ($B7, "IQ_TOTAL_ASSETS", $I$3 &amp; "-1", KJ$3,$J$3, ,$G$3,$H$3)-_xll.ciqfunctions.udf.CIQ($B7, "IQ_TOTAL_CL", $I$3, KJ$3,$J$3, ,$G$3,$H$3)-_xll.ciqfunctions.udf.CIQ($B7, "IQ_TOTAL_CL", $I$3 &amp; "-1", KJ$3,$J$3, ,$G$3,$H$3))),"")</f>
        <v/>
      </c>
      <c r="KK7" s="73" t="str">
        <f>IFERROR(IF(OR($B7="",KK$3=""),"",_xll.ciqfunctions.udf.CIQ($B7, "IQ_NI", $I$3, KK$3,$J$3, ,$G$3,$H$3)*2/(_xll.ciqfunctions.udf.CIQ($B7, "IQ_TOTAL_ASSETS", $I$3, KK$3,$J$3, ,$G$3,$H$3)+_xll.ciqfunctions.udf.CIQ($B7, "IQ_TOTAL_ASSETS", $I$3 &amp; "-1", KK$3,$J$3, ,$G$3,$H$3)-_xll.ciqfunctions.udf.CIQ($B7, "IQ_TOTAL_CL", $I$3, KK$3,$J$3, ,$G$3,$H$3)-_xll.ciqfunctions.udf.CIQ($B7, "IQ_TOTAL_CL", $I$3 &amp; "-1", KK$3,$J$3, ,$G$3,$H$3))),"")</f>
        <v/>
      </c>
      <c r="KL7" s="73" t="str">
        <f>IFERROR(IF(OR($B7="",KL$3=""),"",_xll.ciqfunctions.udf.CIQ($B7, "IQ_NI", $I$3, KL$3,$J$3, ,$G$3,$H$3)*2/(_xll.ciqfunctions.udf.CIQ($B7, "IQ_TOTAL_ASSETS", $I$3, KL$3,$J$3, ,$G$3,$H$3)+_xll.ciqfunctions.udf.CIQ($B7, "IQ_TOTAL_ASSETS", $I$3 &amp; "-1", KL$3,$J$3, ,$G$3,$H$3)-_xll.ciqfunctions.udf.CIQ($B7, "IQ_TOTAL_CL", $I$3, KL$3,$J$3, ,$G$3,$H$3)-_xll.ciqfunctions.udf.CIQ($B7, "IQ_TOTAL_CL", $I$3 &amp; "-1", KL$3,$J$3, ,$G$3,$H$3))),"")</f>
        <v/>
      </c>
      <c r="KM7" s="73" t="str">
        <f>IFERROR(IF(OR($B7="",KM$3=""),"",_xll.ciqfunctions.udf.CIQ($B7, "IQ_NI", $I$3, KM$3,$J$3, ,$G$3,$H$3)*2/(_xll.ciqfunctions.udf.CIQ($B7, "IQ_TOTAL_ASSETS", $I$3, KM$3,$J$3, ,$G$3,$H$3)+_xll.ciqfunctions.udf.CIQ($B7, "IQ_TOTAL_ASSETS", $I$3 &amp; "-1", KM$3,$J$3, ,$G$3,$H$3)-_xll.ciqfunctions.udf.CIQ($B7, "IQ_TOTAL_CL", $I$3, KM$3,$J$3, ,$G$3,$H$3)-_xll.ciqfunctions.udf.CIQ($B7, "IQ_TOTAL_CL", $I$3 &amp; "-1", KM$3,$J$3, ,$G$3,$H$3))),"")</f>
        <v/>
      </c>
      <c r="KN7" s="73" t="str">
        <f>IFERROR(IF(OR($B7="",KN$3=""),"",_xll.ciqfunctions.udf.CIQ($B7, "IQ_NI", $I$3, KN$3,$J$3, ,$G$3,$H$3)*2/(_xll.ciqfunctions.udf.CIQ($B7, "IQ_TOTAL_ASSETS", $I$3, KN$3,$J$3, ,$G$3,$H$3)+_xll.ciqfunctions.udf.CIQ($B7, "IQ_TOTAL_ASSETS", $I$3 &amp; "-1", KN$3,$J$3, ,$G$3,$H$3)-_xll.ciqfunctions.udf.CIQ($B7, "IQ_TOTAL_CL", $I$3, KN$3,$J$3, ,$G$3,$H$3)-_xll.ciqfunctions.udf.CIQ($B7, "IQ_TOTAL_CL", $I$3 &amp; "-1", KN$3,$J$3, ,$G$3,$H$3))),"")</f>
        <v/>
      </c>
      <c r="KO7" s="73" t="str">
        <f>IFERROR(IF(OR($B7="",KO$3=""),"",_xll.ciqfunctions.udf.CIQ($B7, "IQ_NI", $I$3, KO$3,$J$3, ,$G$3,$H$3)*2/(_xll.ciqfunctions.udf.CIQ($B7, "IQ_TOTAL_ASSETS", $I$3, KO$3,$J$3, ,$G$3,$H$3)+_xll.ciqfunctions.udf.CIQ($B7, "IQ_TOTAL_ASSETS", $I$3 &amp; "-1", KO$3,$J$3, ,$G$3,$H$3)-_xll.ciqfunctions.udf.CIQ($B7, "IQ_TOTAL_CL", $I$3, KO$3,$J$3, ,$G$3,$H$3)-_xll.ciqfunctions.udf.CIQ($B7, "IQ_TOTAL_CL", $I$3 &amp; "-1", KO$3,$J$3, ,$G$3,$H$3))),"")</f>
        <v/>
      </c>
      <c r="KP7" s="73" t="str">
        <f>IFERROR(IF(OR($B7="",KP$3=""),"",_xll.ciqfunctions.udf.CIQ($B7, "IQ_NI", $I$3, KP$3,$J$3, ,$G$3,$H$3)*2/(_xll.ciqfunctions.udf.CIQ($B7, "IQ_TOTAL_ASSETS", $I$3, KP$3,$J$3, ,$G$3,$H$3)+_xll.ciqfunctions.udf.CIQ($B7, "IQ_TOTAL_ASSETS", $I$3 &amp; "-1", KP$3,$J$3, ,$G$3,$H$3)-_xll.ciqfunctions.udf.CIQ($B7, "IQ_TOTAL_CL", $I$3, KP$3,$J$3, ,$G$3,$H$3)-_xll.ciqfunctions.udf.CIQ($B7, "IQ_TOTAL_CL", $I$3 &amp; "-1", KP$3,$J$3, ,$G$3,$H$3))),"")</f>
        <v/>
      </c>
      <c r="KQ7" s="73" t="str">
        <f>IFERROR(IF(OR($B7="",KQ$3=""),"",_xll.ciqfunctions.udf.CIQ($B7, "IQ_NI", $I$3, KQ$3,$J$3, ,$G$3,$H$3)*2/(_xll.ciqfunctions.udf.CIQ($B7, "IQ_TOTAL_ASSETS", $I$3, KQ$3,$J$3, ,$G$3,$H$3)+_xll.ciqfunctions.udf.CIQ($B7, "IQ_TOTAL_ASSETS", $I$3 &amp; "-1", KQ$3,$J$3, ,$G$3,$H$3)-_xll.ciqfunctions.udf.CIQ($B7, "IQ_TOTAL_CL", $I$3, KQ$3,$J$3, ,$G$3,$H$3)-_xll.ciqfunctions.udf.CIQ($B7, "IQ_TOTAL_CL", $I$3 &amp; "-1", KQ$3,$J$3, ,$G$3,$H$3))),"")</f>
        <v/>
      </c>
      <c r="KR7" s="73" t="str">
        <f>IFERROR(IF(OR($B7="",KR$3=""),"",_xll.ciqfunctions.udf.CIQ($B7, "IQ_NI", $I$3, KR$3,$J$3, ,$G$3,$H$3)*2/(_xll.ciqfunctions.udf.CIQ($B7, "IQ_TOTAL_ASSETS", $I$3, KR$3,$J$3, ,$G$3,$H$3)+_xll.ciqfunctions.udf.CIQ($B7, "IQ_TOTAL_ASSETS", $I$3 &amp; "-1", KR$3,$J$3, ,$G$3,$H$3)-_xll.ciqfunctions.udf.CIQ($B7, "IQ_TOTAL_CL", $I$3, KR$3,$J$3, ,$G$3,$H$3)-_xll.ciqfunctions.udf.CIQ($B7, "IQ_TOTAL_CL", $I$3 &amp; "-1", KR$3,$J$3, ,$G$3,$H$3))),"")</f>
        <v/>
      </c>
      <c r="KS7" s="73" t="str">
        <f>IFERROR(IF(OR($B7="",KS$3=""),"",_xll.ciqfunctions.udf.CIQ($B7, "IQ_NI", $I$3, KS$3,$J$3, ,$G$3,$H$3)*2/(_xll.ciqfunctions.udf.CIQ($B7, "IQ_TOTAL_ASSETS", $I$3, KS$3,$J$3, ,$G$3,$H$3)+_xll.ciqfunctions.udf.CIQ($B7, "IQ_TOTAL_ASSETS", $I$3 &amp; "-1", KS$3,$J$3, ,$G$3,$H$3)-_xll.ciqfunctions.udf.CIQ($B7, "IQ_TOTAL_CL", $I$3, KS$3,$J$3, ,$G$3,$H$3)-_xll.ciqfunctions.udf.CIQ($B7, "IQ_TOTAL_CL", $I$3 &amp; "-1", KS$3,$J$3, ,$G$3,$H$3))),"")</f>
        <v/>
      </c>
      <c r="KT7" s="73" t="str">
        <f>IFERROR(IF(OR($B7="",KT$3=""),"",_xll.ciqfunctions.udf.CIQ($B7, "IQ_NI", $I$3, KT$3,$J$3, ,$G$3,$H$3)*2/(_xll.ciqfunctions.udf.CIQ($B7, "IQ_TOTAL_ASSETS", $I$3, KT$3,$J$3, ,$G$3,$H$3)+_xll.ciqfunctions.udf.CIQ($B7, "IQ_TOTAL_ASSETS", $I$3 &amp; "-1", KT$3,$J$3, ,$G$3,$H$3)-_xll.ciqfunctions.udf.CIQ($B7, "IQ_TOTAL_CL", $I$3, KT$3,$J$3, ,$G$3,$H$3)-_xll.ciqfunctions.udf.CIQ($B7, "IQ_TOTAL_CL", $I$3 &amp; "-1", KT$3,$J$3, ,$G$3,$H$3))),"")</f>
        <v/>
      </c>
      <c r="KU7" s="73" t="str">
        <f>IFERROR(IF(OR($B7="",KU$3=""),"",_xll.ciqfunctions.udf.CIQ($B7, "IQ_NI", $I$3, KU$3,$J$3, ,$G$3,$H$3)*2/(_xll.ciqfunctions.udf.CIQ($B7, "IQ_TOTAL_ASSETS", $I$3, KU$3,$J$3, ,$G$3,$H$3)+_xll.ciqfunctions.udf.CIQ($B7, "IQ_TOTAL_ASSETS", $I$3 &amp; "-1", KU$3,$J$3, ,$G$3,$H$3)-_xll.ciqfunctions.udf.CIQ($B7, "IQ_TOTAL_CL", $I$3, KU$3,$J$3, ,$G$3,$H$3)-_xll.ciqfunctions.udf.CIQ($B7, "IQ_TOTAL_CL", $I$3 &amp; "-1", KU$3,$J$3, ,$G$3,$H$3))),"")</f>
        <v/>
      </c>
      <c r="KV7" s="73" t="str">
        <f>IFERROR(IF(OR($B7="",KV$3=""),"",_xll.ciqfunctions.udf.CIQ($B7, "IQ_NI", $I$3, KV$3,$J$3, ,$G$3,$H$3)*2/(_xll.ciqfunctions.udf.CIQ($B7, "IQ_TOTAL_ASSETS", $I$3, KV$3,$J$3, ,$G$3,$H$3)+_xll.ciqfunctions.udf.CIQ($B7, "IQ_TOTAL_ASSETS", $I$3 &amp; "-1", KV$3,$J$3, ,$G$3,$H$3)-_xll.ciqfunctions.udf.CIQ($B7, "IQ_TOTAL_CL", $I$3, KV$3,$J$3, ,$G$3,$H$3)-_xll.ciqfunctions.udf.CIQ($B7, "IQ_TOTAL_CL", $I$3 &amp; "-1", KV$3,$J$3, ,$G$3,$H$3))),"")</f>
        <v/>
      </c>
      <c r="KW7" s="73" t="str">
        <f>IFERROR(IF(OR($B7="",KW$3=""),"",_xll.ciqfunctions.udf.CIQ($B7, "IQ_NI", $I$3, KW$3,$J$3, ,$G$3,$H$3)*2/(_xll.ciqfunctions.udf.CIQ($B7, "IQ_TOTAL_ASSETS", $I$3, KW$3,$J$3, ,$G$3,$H$3)+_xll.ciqfunctions.udf.CIQ($B7, "IQ_TOTAL_ASSETS", $I$3 &amp; "-1", KW$3,$J$3, ,$G$3,$H$3)-_xll.ciqfunctions.udf.CIQ($B7, "IQ_TOTAL_CL", $I$3, KW$3,$J$3, ,$G$3,$H$3)-_xll.ciqfunctions.udf.CIQ($B7, "IQ_TOTAL_CL", $I$3 &amp; "-1", KW$3,$J$3, ,$G$3,$H$3))),"")</f>
        <v/>
      </c>
      <c r="KX7" s="74" t="str">
        <f>IFERROR(IF(OR($B7="",KX$3=""),"",_xll.ciqfunctions.udf.CIQ($B7, "IQ_NI", $I$3, KX$3,$J$3, ,$G$3,$H$3)*2/(_xll.ciqfunctions.udf.CIQ($B7, "IQ_TOTAL_ASSETS", $I$3, KX$3,$J$3, ,$G$3,$H$3)+_xll.ciqfunctions.udf.CIQ($B7, "IQ_TOTAL_ASSETS", $I$3 &amp; "-1", KX$3,$J$3, ,$G$3,$H$3)-_xll.ciqfunctions.udf.CIQ($B7, "IQ_TOTAL_CL", $I$3, KX$3,$J$3, ,$G$3,$H$3)-_xll.ciqfunctions.udf.CIQ($B7, "IQ_TOTAL_CL", $I$3 &amp; "-1", KX$3,$J$3, ,$G$3,$H$3))),"")</f>
        <v/>
      </c>
      <c r="KY7" s="72">
        <f>IFERROR(IF(OR($B7="",KY$3=""),"",_xll.ciqfunctions.udf.CIQ($B7,"IQ_CASH_OPER",$I$3, KY$3,$J$3, ,$G$3,$H$3)*2/(_xll.ciqfunctions.udf.CIQ($B7,"IQ_TOTAL_CL",KY$3,$E$3, $J$3, , $G$3, $H$3)+_xll.ciqfunctions.udf.CIQ($B7,"IQ_TOTAL_CL","IQ_" &amp; LEFT(KY$3,2) &amp; "-1",KY$3, $J$3, , $G$3, $H$3))),"")</f>
        <v>0.40076878638403768</v>
      </c>
      <c r="KZ7" s="73" t="str">
        <f>IFERROR(IF(OR($B7="",KZ$3=""),"",_xll.ciqfunctions.udf.CIQ($B7,"IQ_CASH_OPER",$I$3, KZ$3,$J$3, ,$G$3,$H$3)*2/(_xll.ciqfunctions.udf.CIQ($B7,"IQ_TOTAL_CL",KZ$3,$E$3, $J$3, , $G$3, $H$3)+_xll.ciqfunctions.udf.CIQ($B7,"IQ_TOTAL_CL","IQ_" &amp; LEFT(KZ$3,2) &amp; "-1",KZ$3, $J$3, , $G$3, $H$3))),"")</f>
        <v/>
      </c>
      <c r="LA7" s="73" t="str">
        <f>IFERROR(IF(OR($B7="",LA$3=""),"",_xll.ciqfunctions.udf.CIQ($B7,"IQ_CASH_OPER",$I$3, LA$3,$J$3, ,$G$3,$H$3)*2/(_xll.ciqfunctions.udf.CIQ($B7,"IQ_TOTAL_CL",LA$3,$E$3, $J$3, , $G$3, $H$3)+_xll.ciqfunctions.udf.CIQ($B7,"IQ_TOTAL_CL","IQ_" &amp; LEFT(LA$3,2) &amp; "-1",LA$3, $J$3, , $G$3, $H$3))),"")</f>
        <v/>
      </c>
      <c r="LB7" s="73" t="str">
        <f>IFERROR(IF(OR($B7="",LB$3=""),"",_xll.ciqfunctions.udf.CIQ($B7,"IQ_CASH_OPER",$I$3, LB$3,$J$3, ,$G$3,$H$3)*2/(_xll.ciqfunctions.udf.CIQ($B7,"IQ_TOTAL_CL",LB$3,$E$3, $J$3, , $G$3, $H$3)+_xll.ciqfunctions.udf.CIQ($B7,"IQ_TOTAL_CL","IQ_" &amp; LEFT(LB$3,2) &amp; "-1",LB$3, $J$3, , $G$3, $H$3))),"")</f>
        <v/>
      </c>
      <c r="LC7" s="73" t="str">
        <f>IFERROR(IF(OR($B7="",LC$3=""),"",_xll.ciqfunctions.udf.CIQ($B7,"IQ_CASH_OPER",$I$3, LC$3,$J$3, ,$G$3,$H$3)*2/(_xll.ciqfunctions.udf.CIQ($B7,"IQ_TOTAL_CL",LC$3,$E$3, $J$3, , $G$3, $H$3)+_xll.ciqfunctions.udf.CIQ($B7,"IQ_TOTAL_CL","IQ_" &amp; LEFT(LC$3,2) &amp; "-1",LC$3, $J$3, , $G$3, $H$3))),"")</f>
        <v/>
      </c>
      <c r="LD7" s="73" t="str">
        <f>IFERROR(IF(OR($B7="",LD$3=""),"",_xll.ciqfunctions.udf.CIQ($B7,"IQ_CASH_OPER",$I$3, LD$3,$J$3, ,$G$3,$H$3)*2/(_xll.ciqfunctions.udf.CIQ($B7,"IQ_TOTAL_CL",LD$3,$E$3, $J$3, , $G$3, $H$3)+_xll.ciqfunctions.udf.CIQ($B7,"IQ_TOTAL_CL","IQ_" &amp; LEFT(LD$3,2) &amp; "-1",LD$3, $J$3, , $G$3, $H$3))),"")</f>
        <v/>
      </c>
      <c r="LE7" s="73" t="str">
        <f>IFERROR(IF(OR($B7="",LE$3=""),"",_xll.ciqfunctions.udf.CIQ($B7,"IQ_CASH_OPER",$I$3, LE$3,$J$3, ,$G$3,$H$3)*2/(_xll.ciqfunctions.udf.CIQ($B7,"IQ_TOTAL_CL",LE$3,$E$3, $J$3, , $G$3, $H$3)+_xll.ciqfunctions.udf.CIQ($B7,"IQ_TOTAL_CL","IQ_" &amp; LEFT(LE$3,2) &amp; "-1",LE$3, $J$3, , $G$3, $H$3))),"")</f>
        <v/>
      </c>
      <c r="LF7" s="73" t="str">
        <f>IFERROR(IF(OR($B7="",LF$3=""),"",_xll.ciqfunctions.udf.CIQ($B7,"IQ_CASH_OPER",$I$3, LF$3,$J$3, ,$G$3,$H$3)*2/(_xll.ciqfunctions.udf.CIQ($B7,"IQ_TOTAL_CL",LF$3,$E$3, $J$3, , $G$3, $H$3)+_xll.ciqfunctions.udf.CIQ($B7,"IQ_TOTAL_CL","IQ_" &amp; LEFT(LF$3,2) &amp; "-1",LF$3, $J$3, , $G$3, $H$3))),"")</f>
        <v/>
      </c>
      <c r="LG7" s="73" t="str">
        <f>IFERROR(IF(OR($B7="",LG$3=""),"",_xll.ciqfunctions.udf.CIQ($B7,"IQ_CASH_OPER",$I$3, LG$3,$J$3, ,$G$3,$H$3)*2/(_xll.ciqfunctions.udf.CIQ($B7,"IQ_TOTAL_CL",LG$3,$E$3, $J$3, , $G$3, $H$3)+_xll.ciqfunctions.udf.CIQ($B7,"IQ_TOTAL_CL","IQ_" &amp; LEFT(LG$3,2) &amp; "-1",LG$3, $J$3, , $G$3, $H$3))),"")</f>
        <v/>
      </c>
      <c r="LH7" s="73" t="str">
        <f>IFERROR(IF(OR($B7="",LH$3=""),"",_xll.ciqfunctions.udf.CIQ($B7,"IQ_CASH_OPER",$I$3, LH$3,$J$3, ,$G$3,$H$3)*2/(_xll.ciqfunctions.udf.CIQ($B7,"IQ_TOTAL_CL",LH$3,$E$3, $J$3, , $G$3, $H$3)+_xll.ciqfunctions.udf.CIQ($B7,"IQ_TOTAL_CL","IQ_" &amp; LEFT(LH$3,2) &amp; "-1",LH$3, $J$3, , $G$3, $H$3))),"")</f>
        <v/>
      </c>
      <c r="LI7" s="73" t="str">
        <f>IFERROR(IF(OR($B7="",LI$3=""),"",_xll.ciqfunctions.udf.CIQ($B7,"IQ_CASH_OPER",$I$3, LI$3,$J$3, ,$G$3,$H$3)*2/(_xll.ciqfunctions.udf.CIQ($B7,"IQ_TOTAL_CL",LI$3,$E$3, $J$3, , $G$3, $H$3)+_xll.ciqfunctions.udf.CIQ($B7,"IQ_TOTAL_CL","IQ_" &amp; LEFT(LI$3,2) &amp; "-1",LI$3, $J$3, , $G$3, $H$3))),"")</f>
        <v/>
      </c>
      <c r="LJ7" s="73" t="str">
        <f>IFERROR(IF(OR($B7="",LJ$3=""),"",_xll.ciqfunctions.udf.CIQ($B7,"IQ_CASH_OPER",$I$3, LJ$3,$J$3, ,$G$3,$H$3)*2/(_xll.ciqfunctions.udf.CIQ($B7,"IQ_TOTAL_CL",LJ$3,$E$3, $J$3, , $G$3, $H$3)+_xll.ciqfunctions.udf.CIQ($B7,"IQ_TOTAL_CL","IQ_" &amp; LEFT(LJ$3,2) &amp; "-1",LJ$3, $J$3, , $G$3, $H$3))),"")</f>
        <v/>
      </c>
      <c r="LK7" s="73" t="str">
        <f>IFERROR(IF(OR($B7="",LK$3=""),"",_xll.ciqfunctions.udf.CIQ($B7,"IQ_CASH_OPER",$I$3, LK$3,$J$3, ,$G$3,$H$3)*2/(_xll.ciqfunctions.udf.CIQ($B7,"IQ_TOTAL_CL",LK$3,$E$3, $J$3, , $G$3, $H$3)+_xll.ciqfunctions.udf.CIQ($B7,"IQ_TOTAL_CL","IQ_" &amp; LEFT(LK$3,2) &amp; "-1",LK$3, $J$3, , $G$3, $H$3))),"")</f>
        <v/>
      </c>
      <c r="LL7" s="73" t="str">
        <f>IFERROR(IF(OR($B7="",LL$3=""),"",_xll.ciqfunctions.udf.CIQ($B7,"IQ_CASH_OPER",$I$3, LL$3,$J$3, ,$G$3,$H$3)*2/(_xll.ciqfunctions.udf.CIQ($B7,"IQ_TOTAL_CL",LL$3,$E$3, $J$3, , $G$3, $H$3)+_xll.ciqfunctions.udf.CIQ($B7,"IQ_TOTAL_CL","IQ_" &amp; LEFT(LL$3,2) &amp; "-1",LL$3, $J$3, , $G$3, $H$3))),"")</f>
        <v/>
      </c>
      <c r="LM7" s="73" t="str">
        <f>IFERROR(IF(OR($B7="",LM$3=""),"",_xll.ciqfunctions.udf.CIQ($B7,"IQ_CASH_OPER",$I$3, LM$3,$J$3, ,$G$3,$H$3)*2/(_xll.ciqfunctions.udf.CIQ($B7,"IQ_TOTAL_CL",LM$3,$E$3, $J$3, , $G$3, $H$3)+_xll.ciqfunctions.udf.CIQ($B7,"IQ_TOTAL_CL","IQ_" &amp; LEFT(LM$3,2) &amp; "-1",LM$3, $J$3, , $G$3, $H$3))),"")</f>
        <v/>
      </c>
      <c r="LN7" s="73" t="str">
        <f>IFERROR(IF(OR($B7="",LN$3=""),"",_xll.ciqfunctions.udf.CIQ($B7,"IQ_CASH_OPER",$I$3, LN$3,$J$3, ,$G$3,$H$3)*2/(_xll.ciqfunctions.udf.CIQ($B7,"IQ_TOTAL_CL",LN$3,$E$3, $J$3, , $G$3, $H$3)+_xll.ciqfunctions.udf.CIQ($B7,"IQ_TOTAL_CL","IQ_" &amp; LEFT(LN$3,2) &amp; "-1",LN$3, $J$3, , $G$3, $H$3))),"")</f>
        <v/>
      </c>
      <c r="LO7" s="73" t="str">
        <f>IFERROR(IF(OR($B7="",LO$3=""),"",_xll.ciqfunctions.udf.CIQ($B7,"IQ_CASH_OPER",$I$3, LO$3,$J$3, ,$G$3,$H$3)*2/(_xll.ciqfunctions.udf.CIQ($B7,"IQ_TOTAL_CL",LO$3,$E$3, $J$3, , $G$3, $H$3)+_xll.ciqfunctions.udf.CIQ($B7,"IQ_TOTAL_CL","IQ_" &amp; LEFT(LO$3,2) &amp; "-1",LO$3, $J$3, , $G$3, $H$3))),"")</f>
        <v/>
      </c>
      <c r="LP7" s="73" t="str">
        <f>IFERROR(IF(OR($B7="",LP$3=""),"",_xll.ciqfunctions.udf.CIQ($B7,"IQ_CASH_OPER",$I$3, LP$3,$J$3, ,$G$3,$H$3)*2/(_xll.ciqfunctions.udf.CIQ($B7,"IQ_TOTAL_CL",LP$3,$E$3, $J$3, , $G$3, $H$3)+_xll.ciqfunctions.udf.CIQ($B7,"IQ_TOTAL_CL","IQ_" &amp; LEFT(LP$3,2) &amp; "-1",LP$3, $J$3, , $G$3, $H$3))),"")</f>
        <v/>
      </c>
      <c r="LQ7" s="73" t="str">
        <f>IFERROR(IF(OR($B7="",LQ$3=""),"",_xll.ciqfunctions.udf.CIQ($B7,"IQ_CASH_OPER",$I$3, LQ$3,$J$3, ,$G$3,$H$3)*2/(_xll.ciqfunctions.udf.CIQ($B7,"IQ_TOTAL_CL",LQ$3,$E$3, $J$3, , $G$3, $H$3)+_xll.ciqfunctions.udf.CIQ($B7,"IQ_TOTAL_CL","IQ_" &amp; LEFT(LQ$3,2) &amp; "-1",LQ$3, $J$3, , $G$3, $H$3))),"")</f>
        <v/>
      </c>
      <c r="LR7" s="74" t="str">
        <f>IFERROR(IF(OR($B7="",LR$3=""),"",_xll.ciqfunctions.udf.CIQ($B7,"IQ_CASH_OPER",$I$3, LR$3,$J$3, ,$G$3,$H$3)*2/(_xll.ciqfunctions.udf.CIQ($B7,"IQ_TOTAL_CL",LR$3,$E$3, $J$3, , $G$3, $H$3)+_xll.ciqfunctions.udf.CIQ($B7,"IQ_TOTAL_CL","IQ_" &amp; LEFT(LR$3,2) &amp; "-1",LR$3, $J$3, , $G$3, $H$3))),"")</f>
        <v/>
      </c>
      <c r="LS7" s="72">
        <f>IFERROR(IF(OR($B7="",LS$3=""),"",IF(_xll.ciqfunctions.udf.CIQ($B7,"IQ_INC_TAX",LS$3,$E$3, $J$3, , $G$3, $H$3)/ABS(_xll.ciqfunctions.udf.CIQ($B7,"IQ_EBT",IQ_LTM,$E$3, $J$3, , $G$3, $H$3))&lt;0,0,_xll.ciqfunctions.udf.CIQ($B7,"IQ_INC_TAX",LS$3,$E$3, $J$3, , $G$3, $H$3)/ABS(_xll.ciqfunctions.udf.CIQ($B7,"IQ_EBT",LS$3,$E$3, $J$3, , $G$3, $H$3)))),"")</f>
        <v>0.25438596491228072</v>
      </c>
      <c r="LT7" s="73" t="str">
        <f>IFERROR(IF(OR($B7="",LT$3=""),"",IF(_xll.ciqfunctions.udf.CIQ($B7,"IQ_INC_TAX",LT$3,$E$3, $J$3, , $G$3, $H$3)/ABS(_xll.ciqfunctions.udf.CIQ($B7,"IQ_EBT",IQ_LTM,$E$3, $J$3, , $G$3, $H$3))&lt;0,0,_xll.ciqfunctions.udf.CIQ($B7,"IQ_INC_TAX",LT$3,$E$3, $J$3, , $G$3, $H$3)/ABS(_xll.ciqfunctions.udf.CIQ($B7,"IQ_EBT",LT$3,$E$3, $J$3, , $G$3, $H$3)))),"")</f>
        <v/>
      </c>
      <c r="LU7" s="73" t="str">
        <f>IFERROR(IF(OR($B7="",LU$3=""),"",IF(_xll.ciqfunctions.udf.CIQ($B7,"IQ_INC_TAX",LU$3,$E$3, $J$3, , $G$3, $H$3)/ABS(_xll.ciqfunctions.udf.CIQ($B7,"IQ_EBT",IQ_LTM,$E$3, $J$3, , $G$3, $H$3))&lt;0,0,_xll.ciqfunctions.udf.CIQ($B7,"IQ_INC_TAX",LU$3,$E$3, $J$3, , $G$3, $H$3)/ABS(_xll.ciqfunctions.udf.CIQ($B7,"IQ_EBT",LU$3,$E$3, $J$3, , $G$3, $H$3)))),"")</f>
        <v/>
      </c>
      <c r="LV7" s="73" t="str">
        <f>IFERROR(IF(OR($B7="",LV$3=""),"",IF(_xll.ciqfunctions.udf.CIQ($B7,"IQ_INC_TAX",LV$3,$E$3, $J$3, , $G$3, $H$3)/ABS(_xll.ciqfunctions.udf.CIQ($B7,"IQ_EBT",IQ_LTM,$E$3, $J$3, , $G$3, $H$3))&lt;0,0,_xll.ciqfunctions.udf.CIQ($B7,"IQ_INC_TAX",LV$3,$E$3, $J$3, , $G$3, $H$3)/ABS(_xll.ciqfunctions.udf.CIQ($B7,"IQ_EBT",LV$3,$E$3, $J$3, , $G$3, $H$3)))),"")</f>
        <v/>
      </c>
      <c r="LW7" s="73" t="str">
        <f>IFERROR(IF(OR($B7="",LW$3=""),"",IF(_xll.ciqfunctions.udf.CIQ($B7,"IQ_INC_TAX",LW$3,$E$3, $J$3, , $G$3, $H$3)/ABS(_xll.ciqfunctions.udf.CIQ($B7,"IQ_EBT",IQ_LTM,$E$3, $J$3, , $G$3, $H$3))&lt;0,0,_xll.ciqfunctions.udf.CIQ($B7,"IQ_INC_TAX",LW$3,$E$3, $J$3, , $G$3, $H$3)/ABS(_xll.ciqfunctions.udf.CIQ($B7,"IQ_EBT",LW$3,$E$3, $J$3, , $G$3, $H$3)))),"")</f>
        <v/>
      </c>
      <c r="LX7" s="73" t="str">
        <f>IFERROR(IF(OR($B7="",LX$3=""),"",IF(_xll.ciqfunctions.udf.CIQ($B7,"IQ_INC_TAX",LX$3,$E$3, $J$3, , $G$3, $H$3)/ABS(_xll.ciqfunctions.udf.CIQ($B7,"IQ_EBT",IQ_LTM,$E$3, $J$3, , $G$3, $H$3))&lt;0,0,_xll.ciqfunctions.udf.CIQ($B7,"IQ_INC_TAX",LX$3,$E$3, $J$3, , $G$3, $H$3)/ABS(_xll.ciqfunctions.udf.CIQ($B7,"IQ_EBT",LX$3,$E$3, $J$3, , $G$3, $H$3)))),"")</f>
        <v/>
      </c>
      <c r="LY7" s="73" t="str">
        <f>IFERROR(IF(OR($B7="",LY$3=""),"",IF(_xll.ciqfunctions.udf.CIQ($B7,"IQ_INC_TAX",LY$3,$E$3, $J$3, , $G$3, $H$3)/ABS(_xll.ciqfunctions.udf.CIQ($B7,"IQ_EBT",IQ_LTM,$E$3, $J$3, , $G$3, $H$3))&lt;0,0,_xll.ciqfunctions.udf.CIQ($B7,"IQ_INC_TAX",LY$3,$E$3, $J$3, , $G$3, $H$3)/ABS(_xll.ciqfunctions.udf.CIQ($B7,"IQ_EBT",LY$3,$E$3, $J$3, , $G$3, $H$3)))),"")</f>
        <v/>
      </c>
      <c r="LZ7" s="73" t="str">
        <f>IFERROR(IF(OR($B7="",LZ$3=""),"",IF(_xll.ciqfunctions.udf.CIQ($B7,"IQ_INC_TAX",LZ$3,$E$3, $J$3, , $G$3, $H$3)/ABS(_xll.ciqfunctions.udf.CIQ($B7,"IQ_EBT",IQ_LTM,$E$3, $J$3, , $G$3, $H$3))&lt;0,0,_xll.ciqfunctions.udf.CIQ($B7,"IQ_INC_TAX",LZ$3,$E$3, $J$3, , $G$3, $H$3)/ABS(_xll.ciqfunctions.udf.CIQ($B7,"IQ_EBT",LZ$3,$E$3, $J$3, , $G$3, $H$3)))),"")</f>
        <v/>
      </c>
      <c r="MA7" s="73" t="str">
        <f>IFERROR(IF(OR($B7="",MA$3=""),"",IF(_xll.ciqfunctions.udf.CIQ($B7,"IQ_INC_TAX",MA$3,$E$3, $J$3, , $G$3, $H$3)/ABS(_xll.ciqfunctions.udf.CIQ($B7,"IQ_EBT",IQ_LTM,$E$3, $J$3, , $G$3, $H$3))&lt;0,0,_xll.ciqfunctions.udf.CIQ($B7,"IQ_INC_TAX",MA$3,$E$3, $J$3, , $G$3, $H$3)/ABS(_xll.ciqfunctions.udf.CIQ($B7,"IQ_EBT",MA$3,$E$3, $J$3, , $G$3, $H$3)))),"")</f>
        <v/>
      </c>
      <c r="MB7" s="73" t="str">
        <f>IFERROR(IF(OR($B7="",MB$3=""),"",IF(_xll.ciqfunctions.udf.CIQ($B7,"IQ_INC_TAX",MB$3,$E$3, $J$3, , $G$3, $H$3)/ABS(_xll.ciqfunctions.udf.CIQ($B7,"IQ_EBT",IQ_LTM,$E$3, $J$3, , $G$3, $H$3))&lt;0,0,_xll.ciqfunctions.udf.CIQ($B7,"IQ_INC_TAX",MB$3,$E$3, $J$3, , $G$3, $H$3)/ABS(_xll.ciqfunctions.udf.CIQ($B7,"IQ_EBT",MB$3,$E$3, $J$3, , $G$3, $H$3)))),"")</f>
        <v/>
      </c>
      <c r="MC7" s="73" t="str">
        <f>IFERROR(IF(OR($B7="",MC$3=""),"",IF(_xll.ciqfunctions.udf.CIQ($B7,"IQ_INC_TAX",MC$3,$E$3, $J$3, , $G$3, $H$3)/ABS(_xll.ciqfunctions.udf.CIQ($B7,"IQ_EBT",IQ_LTM,$E$3, $J$3, , $G$3, $H$3))&lt;0,0,_xll.ciqfunctions.udf.CIQ($B7,"IQ_INC_TAX",MC$3,$E$3, $J$3, , $G$3, $H$3)/ABS(_xll.ciqfunctions.udf.CIQ($B7,"IQ_EBT",MC$3,$E$3, $J$3, , $G$3, $H$3)))),"")</f>
        <v/>
      </c>
      <c r="MD7" s="316" t="str">
        <f>IFERROR(IF(OR($B7="",MD$3=""),"",IF(_xll.ciqfunctions.udf.CIQ($B7,"IQ_INC_TAX",MD$3,$E$3, $J$3, , $G$3, $H$3)/ABS(_xll.ciqfunctions.udf.CIQ($B7,"IQ_EBT",IQ_LTM,$E$3, $J$3, , $G$3, $H$3))&lt;0,0,_xll.ciqfunctions.udf.CIQ($B7,"IQ_INC_TAX",MD$3,$E$3, $J$3, , $G$3, $H$3)/ABS(_xll.ciqfunctions.udf.CIQ($B7,"IQ_EBT",MD$3,$E$3, $J$3, , $G$3, $H$3)))),"")</f>
        <v/>
      </c>
      <c r="ME7" s="242" t="str">
        <f>IFERROR(IF(OR($B7="",ME$3=""),"",IF(_xll.ciqfunctions.udf.CIQ($B7,"IQ_INC_TAX",ME$3,$E$3, $J$3, , $G$3, $H$3)/ABS(_xll.ciqfunctions.udf.CIQ($B7,"IQ_EBT",IQ_LTM,$E$3, $J$3, , $G$3, $H$3))&lt;0,0,_xll.ciqfunctions.udf.CIQ($B7,"IQ_INC_TAX",ME$3,$E$3, $J$3, , $G$3, $H$3)/ABS(_xll.ciqfunctions.udf.CIQ($B7,"IQ_EBT",ME$3,$E$3, $J$3, , $G$3, $H$3)))),"")</f>
        <v/>
      </c>
      <c r="MF7" s="73" t="str">
        <f>IFERROR(IF(OR($B7="",MF$3=""),"",IF(_xll.ciqfunctions.udf.CIQ($B7,"IQ_INC_TAX",MF$3,$E$3, $J$3, , $G$3, $H$3)/ABS(_xll.ciqfunctions.udf.CIQ($B7,"IQ_EBT",IQ_LTM,$E$3, $J$3, , $G$3, $H$3))&lt;0,0,_xll.ciqfunctions.udf.CIQ($B7,"IQ_INC_TAX",MF$3,$E$3, $J$3, , $G$3, $H$3)/ABS(_xll.ciqfunctions.udf.CIQ($B7,"IQ_EBT",MF$3,$E$3, $J$3, , $G$3, $H$3)))),"")</f>
        <v/>
      </c>
      <c r="MG7" s="73" t="str">
        <f>IFERROR(IF(OR($B7="",MG$3=""),"",IF(_xll.ciqfunctions.udf.CIQ($B7,"IQ_INC_TAX",MG$3,$E$3, $J$3, , $G$3, $H$3)/ABS(_xll.ciqfunctions.udf.CIQ($B7,"IQ_EBT",IQ_LTM,$E$3, $J$3, , $G$3, $H$3))&lt;0,0,_xll.ciqfunctions.udf.CIQ($B7,"IQ_INC_TAX",MG$3,$E$3, $J$3, , $G$3, $H$3)/ABS(_xll.ciqfunctions.udf.CIQ($B7,"IQ_EBT",MG$3,$E$3, $J$3, , $G$3, $H$3)))),"")</f>
        <v/>
      </c>
      <c r="MH7" s="73" t="str">
        <f>IFERROR(IF(OR($B7="",MH$3=""),"",IF(_xll.ciqfunctions.udf.CIQ($B7,"IQ_INC_TAX",MH$3,$E$3, $J$3, , $G$3, $H$3)/ABS(_xll.ciqfunctions.udf.CIQ($B7,"IQ_EBT",IQ_LTM,$E$3, $J$3, , $G$3, $H$3))&lt;0,0,_xll.ciqfunctions.udf.CIQ($B7,"IQ_INC_TAX",MH$3,$E$3, $J$3, , $G$3, $H$3)/ABS(_xll.ciqfunctions.udf.CIQ($B7,"IQ_EBT",MH$3,$E$3, $J$3, , $G$3, $H$3)))),"")</f>
        <v/>
      </c>
      <c r="MI7" s="73" t="str">
        <f>IFERROR(IF(OR($B7="",MI$3=""),"",IF(_xll.ciqfunctions.udf.CIQ($B7,"IQ_INC_TAX",MI$3,$E$3, $J$3, , $G$3, $H$3)/ABS(_xll.ciqfunctions.udf.CIQ($B7,"IQ_EBT",IQ_LTM,$E$3, $J$3, , $G$3, $H$3))&lt;0,0,_xll.ciqfunctions.udf.CIQ($B7,"IQ_INC_TAX",MI$3,$E$3, $J$3, , $G$3, $H$3)/ABS(_xll.ciqfunctions.udf.CIQ($B7,"IQ_EBT",MI$3,$E$3, $J$3, , $G$3, $H$3)))),"")</f>
        <v/>
      </c>
      <c r="MJ7" s="73" t="str">
        <f>IFERROR(IF(OR($B7="",MJ$3=""),"",IF(_xll.ciqfunctions.udf.CIQ($B7,"IQ_INC_TAX",MJ$3,$E$3, $J$3, , $G$3, $H$3)/ABS(_xll.ciqfunctions.udf.CIQ($B7,"IQ_EBT",IQ_LTM,$E$3, $J$3, , $G$3, $H$3))&lt;0,0,_xll.ciqfunctions.udf.CIQ($B7,"IQ_INC_TAX",MJ$3,$E$3, $J$3, , $G$3, $H$3)/ABS(_xll.ciqfunctions.udf.CIQ($B7,"IQ_EBT",MJ$3,$E$3, $J$3, , $G$3, $H$3)))),"")</f>
        <v/>
      </c>
      <c r="MK7" s="73" t="str">
        <f>IFERROR(IF(OR($B7="",MK$3=""),"",IF(_xll.ciqfunctions.udf.CIQ($B7,"IQ_INC_TAX",MK$3,$E$3, $J$3, , $G$3, $H$3)/ABS(_xll.ciqfunctions.udf.CIQ($B7,"IQ_EBT",IQ_LTM,$E$3, $J$3, , $G$3, $H$3))&lt;0,0,_xll.ciqfunctions.udf.CIQ($B7,"IQ_INC_TAX",MK$3,$E$3, $J$3, , $G$3, $H$3)/ABS(_xll.ciqfunctions.udf.CIQ($B7,"IQ_EBT",MK$3,$E$3, $J$3, , $G$3, $H$3)))),"")</f>
        <v/>
      </c>
      <c r="ML7" s="74" t="str">
        <f>IFERROR(IF(OR($B7="",ML$3=""),"",IF(_xll.ciqfunctions.udf.CIQ($B7,"IQ_INC_TAX",ML$3,$E$3, $J$3, , $G$3, $H$3)/ABS(_xll.ciqfunctions.udf.CIQ($B7,"IQ_EBT",IQ_LTM,$E$3, $J$3, , $G$3, $H$3))&lt;0,0,_xll.ciqfunctions.udf.CIQ($B7,"IQ_INC_TAX",ML$3,$E$3, $J$3, , $G$3, $H$3)/ABS(_xll.ciqfunctions.udf.CIQ($B7,"IQ_EBT",ML$3,$E$3, $J$3, , $G$3, $H$3)))),"")</f>
        <v/>
      </c>
      <c r="MM7" s="72" t="str">
        <f>IFERROR(IF(OR($B7="",MM$3=""),"",(_xll.ciqfunctions.udf.CIQ($B7,"IQ_TIER_ONE_CAPITAL",MM$3,$E$3, $J$3, , $G$3, $H$3)+_xll.ciqfunctions.udf.CIQ($B7,"IQ_TIER_TWO_CAPITAL",MM$3,$E$3, $J$3, , $G$3, $H$3)-_xll.ciqfunctions.udf.CIQ($B7,"IQ_GW",MM$3,$E$3, $J$3, , $G$3, $H$3))/_xll.ciqfunctions.udf.CIQ($B7,"IQ_RISK_ADJ_BANK_ASSETS",MM$3,$E$3, $J$3, , $G$3, $H$3)),"")</f>
        <v/>
      </c>
      <c r="MN7" s="72" t="str">
        <f>IFERROR(IF(OR($B7="",MN$3=""),"",(_xll.ciqfunctions.udf.CIQ($B7,"IQ_TIER_ONE_CAPITAL",MN$3,$E$3, $J$3, , $G$3, $H$3)+_xll.ciqfunctions.udf.CIQ($B7,"IQ_TIER_TWO_CAPITAL",MN$3,$E$3, $J$3, , $G$3, $H$3)-_xll.ciqfunctions.udf.CIQ($B7,"IQ_GW",MN$3,$E$3, $J$3, , $G$3, $H$3))/_xll.ciqfunctions.udf.CIQ($B7,"IQ_RISK_ADJ_BANK_ASSETS",MN$3,$E$3, $J$3, , $G$3, $H$3)),"")</f>
        <v/>
      </c>
      <c r="MO7" s="72" t="str">
        <f>IFERROR(IF(OR($B7="",MO$3=""),"",(_xll.ciqfunctions.udf.CIQ($B7,"IQ_TIER_ONE_CAPITAL",MO$3,$E$3, $J$3, , $G$3, $H$3)+_xll.ciqfunctions.udf.CIQ($B7,"IQ_TIER_TWO_CAPITAL",MO$3,$E$3, $J$3, , $G$3, $H$3)-_xll.ciqfunctions.udf.CIQ($B7,"IQ_GW",MO$3,$E$3, $J$3, , $G$3, $H$3))/_xll.ciqfunctions.udf.CIQ($B7,"IQ_RISK_ADJ_BANK_ASSETS",MO$3,$E$3, $J$3, , $G$3, $H$3)),"")</f>
        <v/>
      </c>
      <c r="MP7" s="72" t="str">
        <f>IFERROR(IF(OR($B7="",MP$3=""),"",(_xll.ciqfunctions.udf.CIQ($B7,"IQ_TIER_ONE_CAPITAL",MP$3,$E$3, $J$3, , $G$3, $H$3)+_xll.ciqfunctions.udf.CIQ($B7,"IQ_TIER_TWO_CAPITAL",MP$3,$E$3, $J$3, , $G$3, $H$3)-_xll.ciqfunctions.udf.CIQ($B7,"IQ_GW",MP$3,$E$3, $J$3, , $G$3, $H$3))/_xll.ciqfunctions.udf.CIQ($B7,"IQ_RISK_ADJ_BANK_ASSETS",MP$3,$E$3, $J$3, , $G$3, $H$3)),"")</f>
        <v/>
      </c>
      <c r="MQ7" s="72" t="str">
        <f>IFERROR(IF(OR($B7="",MQ$3=""),"",(_xll.ciqfunctions.udf.CIQ($B7,"IQ_TIER_ONE_CAPITAL",MQ$3,$E$3, $J$3, , $G$3, $H$3)+_xll.ciqfunctions.udf.CIQ($B7,"IQ_TIER_TWO_CAPITAL",MQ$3,$E$3, $J$3, , $G$3, $H$3)-_xll.ciqfunctions.udf.CIQ($B7,"IQ_GW",MQ$3,$E$3, $J$3, , $G$3, $H$3))/_xll.ciqfunctions.udf.CIQ($B7,"IQ_RISK_ADJ_BANK_ASSETS",MQ$3,$E$3, $J$3, , $G$3, $H$3)),"")</f>
        <v/>
      </c>
      <c r="MR7" s="72" t="str">
        <f>IFERROR(IF(OR($B7="",MR$3=""),"",(_xll.ciqfunctions.udf.CIQ($B7,"IQ_TIER_ONE_CAPITAL",MR$3,$E$3, $J$3, , $G$3, $H$3)+_xll.ciqfunctions.udf.CIQ($B7,"IQ_TIER_TWO_CAPITAL",MR$3,$E$3, $J$3, , $G$3, $H$3)-_xll.ciqfunctions.udf.CIQ($B7,"IQ_GW",MR$3,$E$3, $J$3, , $G$3, $H$3))/_xll.ciqfunctions.udf.CIQ($B7,"IQ_RISK_ADJ_BANK_ASSETS",MR$3,$E$3, $J$3, , $G$3, $H$3)),"")</f>
        <v/>
      </c>
      <c r="MS7" s="72" t="str">
        <f>IFERROR(IF(OR($B7="",MS$3=""),"",(_xll.ciqfunctions.udf.CIQ($B7,"IQ_TIER_ONE_CAPITAL",MS$3,$E$3, $J$3, , $G$3, $H$3)+_xll.ciqfunctions.udf.CIQ($B7,"IQ_TIER_TWO_CAPITAL",MS$3,$E$3, $J$3, , $G$3, $H$3)-_xll.ciqfunctions.udf.CIQ($B7,"IQ_GW",MS$3,$E$3, $J$3, , $G$3, $H$3))/_xll.ciqfunctions.udf.CIQ($B7,"IQ_RISK_ADJ_BANK_ASSETS",MS$3,$E$3, $J$3, , $G$3, $H$3)),"")</f>
        <v/>
      </c>
      <c r="MT7" s="72" t="str">
        <f>IFERROR(IF(OR($B7="",MT$3=""),"",(_xll.ciqfunctions.udf.CIQ($B7,"IQ_TIER_ONE_CAPITAL",MT$3,$E$3, $J$3, , $G$3, $H$3)+_xll.ciqfunctions.udf.CIQ($B7,"IQ_TIER_TWO_CAPITAL",MT$3,$E$3, $J$3, , $G$3, $H$3)-_xll.ciqfunctions.udf.CIQ($B7,"IQ_GW",MT$3,$E$3, $J$3, , $G$3, $H$3))/_xll.ciqfunctions.udf.CIQ($B7,"IQ_RISK_ADJ_BANK_ASSETS",MT$3,$E$3, $J$3, , $G$3, $H$3)),"")</f>
        <v/>
      </c>
      <c r="MU7" s="72" t="str">
        <f>IFERROR(IF(OR($B7="",MU$3=""),"",(_xll.ciqfunctions.udf.CIQ($B7,"IQ_TIER_ONE_CAPITAL",MU$3,$E$3, $J$3, , $G$3, $H$3)+_xll.ciqfunctions.udf.CIQ($B7,"IQ_TIER_TWO_CAPITAL",MU$3,$E$3, $J$3, , $G$3, $H$3)-_xll.ciqfunctions.udf.CIQ($B7,"IQ_GW",MU$3,$E$3, $J$3, , $G$3, $H$3))/_xll.ciqfunctions.udf.CIQ($B7,"IQ_RISK_ADJ_BANK_ASSETS",MU$3,$E$3, $J$3, , $G$3, $H$3)),"")</f>
        <v/>
      </c>
      <c r="MV7" s="72" t="str">
        <f>IFERROR(IF(OR($B7="",MV$3=""),"",(_xll.ciqfunctions.udf.CIQ($B7,"IQ_TIER_ONE_CAPITAL",MV$3,$E$3, $J$3, , $G$3, $H$3)+_xll.ciqfunctions.udf.CIQ($B7,"IQ_TIER_TWO_CAPITAL",MV$3,$E$3, $J$3, , $G$3, $H$3)-_xll.ciqfunctions.udf.CIQ($B7,"IQ_GW",MV$3,$E$3, $J$3, , $G$3, $H$3))/_xll.ciqfunctions.udf.CIQ($B7,"IQ_RISK_ADJ_BANK_ASSETS",MV$3,$E$3, $J$3, , $G$3, $H$3)),"")</f>
        <v/>
      </c>
      <c r="MW7" s="72" t="str">
        <f>IFERROR(IF(OR($B7="",MW$3=""),"",(_xll.ciqfunctions.udf.CIQ($B7,"IQ_TIER_ONE_CAPITAL",MW$3,$E$3, $J$3, , $G$3, $H$3)+_xll.ciqfunctions.udf.CIQ($B7,"IQ_TIER_TWO_CAPITAL",MW$3,$E$3, $J$3, , $G$3, $H$3)-_xll.ciqfunctions.udf.CIQ($B7,"IQ_GW",MW$3,$E$3, $J$3, , $G$3, $H$3))/_xll.ciqfunctions.udf.CIQ($B7,"IQ_RISK_ADJ_BANK_ASSETS",MW$3,$E$3, $J$3, , $G$3, $H$3)),"")</f>
        <v/>
      </c>
      <c r="MX7" s="72" t="str">
        <f>IFERROR(IF(OR($B7="",MX$3=""),"",(_xll.ciqfunctions.udf.CIQ($B7,"IQ_TIER_ONE_CAPITAL",MX$3,$E$3, $J$3, , $G$3, $H$3)+_xll.ciqfunctions.udf.CIQ($B7,"IQ_TIER_TWO_CAPITAL",MX$3,$E$3, $J$3, , $G$3, $H$3)-_xll.ciqfunctions.udf.CIQ($B7,"IQ_GW",MX$3,$E$3, $J$3, , $G$3, $H$3))/_xll.ciqfunctions.udf.CIQ($B7,"IQ_RISK_ADJ_BANK_ASSETS",MX$3,$E$3, $J$3, , $G$3, $H$3)),"")</f>
        <v/>
      </c>
      <c r="MY7" s="72" t="str">
        <f>IFERROR(IF(OR($B7="",MY$3=""),"",(_xll.ciqfunctions.udf.CIQ($B7,"IQ_TIER_ONE_CAPITAL",MY$3,$E$3, $J$3, , $G$3, $H$3)+_xll.ciqfunctions.udf.CIQ($B7,"IQ_TIER_TWO_CAPITAL",MY$3,$E$3, $J$3, , $G$3, $H$3)-_xll.ciqfunctions.udf.CIQ($B7,"IQ_GW",MY$3,$E$3, $J$3, , $G$3, $H$3))/_xll.ciqfunctions.udf.CIQ($B7,"IQ_RISK_ADJ_BANK_ASSETS",MY$3,$E$3, $J$3, , $G$3, $H$3)),"")</f>
        <v/>
      </c>
      <c r="MZ7" s="72" t="str">
        <f>IFERROR(IF(OR($B7="",MZ$3=""),"",(_xll.ciqfunctions.udf.CIQ($B7,"IQ_TIER_ONE_CAPITAL",MZ$3,$E$3, $J$3, , $G$3, $H$3)+_xll.ciqfunctions.udf.CIQ($B7,"IQ_TIER_TWO_CAPITAL",MZ$3,$E$3, $J$3, , $G$3, $H$3)-_xll.ciqfunctions.udf.CIQ($B7,"IQ_GW",MZ$3,$E$3, $J$3, , $G$3, $H$3))/_xll.ciqfunctions.udf.CIQ($B7,"IQ_RISK_ADJ_BANK_ASSETS",MZ$3,$E$3, $J$3, , $G$3, $H$3)),"")</f>
        <v/>
      </c>
      <c r="NA7" s="72" t="str">
        <f>IFERROR(IF(OR($B7="",NA$3=""),"",(_xll.ciqfunctions.udf.CIQ($B7,"IQ_TIER_ONE_CAPITAL",NA$3,$E$3, $J$3, , $G$3, $H$3)+_xll.ciqfunctions.udf.CIQ($B7,"IQ_TIER_TWO_CAPITAL",NA$3,$E$3, $J$3, , $G$3, $H$3)-_xll.ciqfunctions.udf.CIQ($B7,"IQ_GW",NA$3,$E$3, $J$3, , $G$3, $H$3))/_xll.ciqfunctions.udf.CIQ($B7,"IQ_RISK_ADJ_BANK_ASSETS",NA$3,$E$3, $J$3, , $G$3, $H$3)),"")</f>
        <v/>
      </c>
      <c r="NB7" s="72" t="str">
        <f>IFERROR(IF(OR($B7="",NB$3=""),"",(_xll.ciqfunctions.udf.CIQ($B7,"IQ_TIER_ONE_CAPITAL",NB$3,$E$3, $J$3, , $G$3, $H$3)+_xll.ciqfunctions.udf.CIQ($B7,"IQ_TIER_TWO_CAPITAL",NB$3,$E$3, $J$3, , $G$3, $H$3)-_xll.ciqfunctions.udf.CIQ($B7,"IQ_GW",NB$3,$E$3, $J$3, , $G$3, $H$3))/_xll.ciqfunctions.udf.CIQ($B7,"IQ_RISK_ADJ_BANK_ASSETS",NB$3,$E$3, $J$3, , $G$3, $H$3)),"")</f>
        <v/>
      </c>
      <c r="NC7" s="72" t="str">
        <f>IFERROR(IF(OR($B7="",NC$3=""),"",(_xll.ciqfunctions.udf.CIQ($B7,"IQ_TIER_ONE_CAPITAL",NC$3,$E$3, $J$3, , $G$3, $H$3)+_xll.ciqfunctions.udf.CIQ($B7,"IQ_TIER_TWO_CAPITAL",NC$3,$E$3, $J$3, , $G$3, $H$3)-_xll.ciqfunctions.udf.CIQ($B7,"IQ_GW",NC$3,$E$3, $J$3, , $G$3, $H$3))/_xll.ciqfunctions.udf.CIQ($B7,"IQ_RISK_ADJ_BANK_ASSETS",NC$3,$E$3, $J$3, , $G$3, $H$3)),"")</f>
        <v/>
      </c>
      <c r="ND7" s="72" t="str">
        <f>IFERROR(IF(OR($B7="",ND$3=""),"",(_xll.ciqfunctions.udf.CIQ($B7,"IQ_TIER_ONE_CAPITAL",ND$3,$E$3, $J$3, , $G$3, $H$3)+_xll.ciqfunctions.udf.CIQ($B7,"IQ_TIER_TWO_CAPITAL",ND$3,$E$3, $J$3, , $G$3, $H$3)-_xll.ciqfunctions.udf.CIQ($B7,"IQ_GW",ND$3,$E$3, $J$3, , $G$3, $H$3))/_xll.ciqfunctions.udf.CIQ($B7,"IQ_RISK_ADJ_BANK_ASSETS",ND$3,$E$3, $J$3, , $G$3, $H$3)),"")</f>
        <v/>
      </c>
      <c r="NE7" s="72" t="str">
        <f>IFERROR(IF(OR($B7="",NE$3=""),"",(_xll.ciqfunctions.udf.CIQ($B7,"IQ_TIER_ONE_CAPITAL",NE$3,$E$3, $J$3, , $G$3, $H$3)+_xll.ciqfunctions.udf.CIQ($B7,"IQ_TIER_TWO_CAPITAL",NE$3,$E$3, $J$3, , $G$3, $H$3)-_xll.ciqfunctions.udf.CIQ($B7,"IQ_GW",NE$3,$E$3, $J$3, , $G$3, $H$3))/_xll.ciqfunctions.udf.CIQ($B7,"IQ_RISK_ADJ_BANK_ASSETS",NE$3,$E$3, $J$3, , $G$3, $H$3)),"")</f>
        <v/>
      </c>
      <c r="NF7" s="72" t="str">
        <f>IFERROR(IF(OR($B7="",NF$3=""),"",(_xll.ciqfunctions.udf.CIQ($B7,"IQ_TIER_ONE_CAPITAL",NF$3,$E$3, $J$3, , $G$3, $H$3)+_xll.ciqfunctions.udf.CIQ($B7,"IQ_TIER_TWO_CAPITAL",NF$3,$E$3, $J$3, , $G$3, $H$3)-_xll.ciqfunctions.udf.CIQ($B7,"IQ_GW",NF$3,$E$3, $J$3, , $G$3, $H$3))/_xll.ciqfunctions.udf.CIQ($B7,"IQ_RISK_ADJ_BANK_ASSETS",NF$3,$E$3, $J$3, , $G$3, $H$3)),"")</f>
        <v/>
      </c>
      <c r="NG7" s="72" t="str">
        <f>IFERROR(IF(OR($B7="",NG$3=""),"",-_xll.ciqfunctions.udf.CIQ($B7,"IQ_ALLOW_LL",NG$3,$E$3, $J$3, , $G$3, $H$3)/_xll.ciqfunctions.udf.CIQ($B7,"IQ_TOTAL_LOANS",NG$3,$E$3, $J$3, , $G$3, $H$3)),"")</f>
        <v/>
      </c>
      <c r="NH7" s="72" t="str">
        <f>IFERROR(IF(OR($B7="",NH$3=""),"",-_xll.ciqfunctions.udf.CIQ($B7,"IQ_ALLOW_LL",NH$3,$E$3, $J$3, , $G$3, $H$3)/_xll.ciqfunctions.udf.CIQ($B7,"IQ_TOTAL_LOANS",NH$3,$E$3, $J$3, , $G$3, $H$3)),"")</f>
        <v/>
      </c>
      <c r="NI7" s="72" t="str">
        <f>IFERROR(IF(OR($B7="",NI$3=""),"",-_xll.ciqfunctions.udf.CIQ($B7,"IQ_ALLOW_LL",NI$3,$E$3, $J$3, , $G$3, $H$3)/_xll.ciqfunctions.udf.CIQ($B7,"IQ_TOTAL_LOANS",NI$3,$E$3, $J$3, , $G$3, $H$3)),"")</f>
        <v/>
      </c>
      <c r="NJ7" s="72" t="str">
        <f>IFERROR(IF(OR($B7="",NJ$3=""),"",-_xll.ciqfunctions.udf.CIQ($B7,"IQ_ALLOW_LL",NJ$3,$E$3, $J$3, , $G$3, $H$3)/_xll.ciqfunctions.udf.CIQ($B7,"IQ_TOTAL_LOANS",NJ$3,$E$3, $J$3, , $G$3, $H$3)),"")</f>
        <v/>
      </c>
      <c r="NK7" s="72" t="str">
        <f>IFERROR(IF(OR($B7="",NK$3=""),"",-_xll.ciqfunctions.udf.CIQ($B7,"IQ_ALLOW_LL",NK$3,$E$3, $J$3, , $G$3, $H$3)/_xll.ciqfunctions.udf.CIQ($B7,"IQ_TOTAL_LOANS",NK$3,$E$3, $J$3, , $G$3, $H$3)),"")</f>
        <v/>
      </c>
      <c r="NL7" s="72" t="str">
        <f>IFERROR(IF(OR($B7="",NL$3=""),"",-_xll.ciqfunctions.udf.CIQ($B7,"IQ_ALLOW_LL",NL$3,$E$3, $J$3, , $G$3, $H$3)/_xll.ciqfunctions.udf.CIQ($B7,"IQ_TOTAL_LOANS",NL$3,$E$3, $J$3, , $G$3, $H$3)),"")</f>
        <v/>
      </c>
      <c r="NM7" s="72" t="str">
        <f>IFERROR(IF(OR($B7="",NM$3=""),"",-_xll.ciqfunctions.udf.CIQ($B7,"IQ_ALLOW_LL",NM$3,$E$3, $J$3, , $G$3, $H$3)/_xll.ciqfunctions.udf.CIQ($B7,"IQ_TOTAL_LOANS",NM$3,$E$3, $J$3, , $G$3, $H$3)),"")</f>
        <v/>
      </c>
      <c r="NN7" s="72" t="str">
        <f>IFERROR(IF(OR($B7="",NN$3=""),"",-_xll.ciqfunctions.udf.CIQ($B7,"IQ_ALLOW_LL",NN$3,$E$3, $J$3, , $G$3, $H$3)/_xll.ciqfunctions.udf.CIQ($B7,"IQ_TOTAL_LOANS",NN$3,$E$3, $J$3, , $G$3, $H$3)),"")</f>
        <v/>
      </c>
      <c r="NO7" s="72" t="str">
        <f>IFERROR(IF(OR($B7="",NO$3=""),"",-_xll.ciqfunctions.udf.CIQ($B7,"IQ_ALLOW_LL",NO$3,$E$3, $J$3, , $G$3, $H$3)/_xll.ciqfunctions.udf.CIQ($B7,"IQ_TOTAL_LOANS",NO$3,$E$3, $J$3, , $G$3, $H$3)),"")</f>
        <v/>
      </c>
      <c r="NP7" s="72" t="str">
        <f>IFERROR(IF(OR($B7="",NP$3=""),"",-_xll.ciqfunctions.udf.CIQ($B7,"IQ_ALLOW_LL",NP$3,$E$3, $J$3, , $G$3, $H$3)/_xll.ciqfunctions.udf.CIQ($B7,"IQ_TOTAL_LOANS",NP$3,$E$3, $J$3, , $G$3, $H$3)),"")</f>
        <v/>
      </c>
      <c r="NQ7" s="72" t="str">
        <f>IFERROR(IF(OR($B7="",NQ$3=""),"",-_xll.ciqfunctions.udf.CIQ($B7,"IQ_ALLOW_LL",NQ$3,$E$3, $J$3, , $G$3, $H$3)/_xll.ciqfunctions.udf.CIQ($B7,"IQ_TOTAL_LOANS",NQ$3,$E$3, $J$3, , $G$3, $H$3)),"")</f>
        <v/>
      </c>
      <c r="NR7" s="72" t="str">
        <f>IFERROR(IF(OR($B7="",NR$3=""),"",-_xll.ciqfunctions.udf.CIQ($B7,"IQ_ALLOW_LL",NR$3,$E$3, $J$3, , $G$3, $H$3)/_xll.ciqfunctions.udf.CIQ($B7,"IQ_TOTAL_LOANS",NR$3,$E$3, $J$3, , $G$3, $H$3)),"")</f>
        <v/>
      </c>
      <c r="NS7" s="72" t="str">
        <f>IFERROR(IF(OR($B7="",NS$3=""),"",-_xll.ciqfunctions.udf.CIQ($B7,"IQ_ALLOW_LL",NS$3,$E$3, $J$3, , $G$3, $H$3)/_xll.ciqfunctions.udf.CIQ($B7,"IQ_TOTAL_LOANS",NS$3,$E$3, $J$3, , $G$3, $H$3)),"")</f>
        <v/>
      </c>
      <c r="NT7" s="72" t="str">
        <f>IFERROR(IF(OR($B7="",NT$3=""),"",-_xll.ciqfunctions.udf.CIQ($B7,"IQ_ALLOW_LL",NT$3,$E$3, $J$3, , $G$3, $H$3)/_xll.ciqfunctions.udf.CIQ($B7,"IQ_TOTAL_LOANS",NT$3,$E$3, $J$3, , $G$3, $H$3)),"")</f>
        <v/>
      </c>
      <c r="NU7" s="72" t="str">
        <f>IFERROR(IF(OR($B7="",NU$3=""),"",-_xll.ciqfunctions.udf.CIQ($B7,"IQ_ALLOW_LL",NU$3,$E$3, $J$3, , $G$3, $H$3)/_xll.ciqfunctions.udf.CIQ($B7,"IQ_TOTAL_LOANS",NU$3,$E$3, $J$3, , $G$3, $H$3)),"")</f>
        <v/>
      </c>
      <c r="NV7" s="72" t="str">
        <f>IFERROR(IF(OR($B7="",NV$3=""),"",-_xll.ciqfunctions.udf.CIQ($B7,"IQ_ALLOW_LL",NV$3,$E$3, $J$3, , $G$3, $H$3)/_xll.ciqfunctions.udf.CIQ($B7,"IQ_TOTAL_LOANS",NV$3,$E$3, $J$3, , $G$3, $H$3)),"")</f>
        <v/>
      </c>
      <c r="NW7" s="72" t="str">
        <f>IFERROR(IF(OR($B7="",NW$3=""),"",-_xll.ciqfunctions.udf.CIQ($B7,"IQ_ALLOW_LL",NW$3,$E$3, $J$3, , $G$3, $H$3)/_xll.ciqfunctions.udf.CIQ($B7,"IQ_TOTAL_LOANS",NW$3,$E$3, $J$3, , $G$3, $H$3)),"")</f>
        <v/>
      </c>
      <c r="NX7" s="72" t="str">
        <f>IFERROR(IF(OR($B7="",NX$3=""),"",-_xll.ciqfunctions.udf.CIQ($B7,"IQ_ALLOW_LL",NX$3,$E$3, $J$3, , $G$3, $H$3)/_xll.ciqfunctions.udf.CIQ($B7,"IQ_TOTAL_LOANS",NX$3,$E$3, $J$3, , $G$3, $H$3)),"")</f>
        <v/>
      </c>
      <c r="NY7" s="72" t="str">
        <f>IFERROR(IF(OR($B7="",NY$3=""),"",-_xll.ciqfunctions.udf.CIQ($B7,"IQ_ALLOW_LL",NY$3,$E$3, $J$3, , $G$3, $H$3)/_xll.ciqfunctions.udf.CIQ($B7,"IQ_TOTAL_LOANS",NY$3,$E$3, $J$3, , $G$3, $H$3)),"")</f>
        <v/>
      </c>
      <c r="NZ7" s="72" t="str">
        <f>IFERROR(IF(OR($B7="",NZ$3=""),"",-_xll.ciqfunctions.udf.CIQ($B7,"IQ_ALLOW_LL",NZ$3,$E$3, $J$3, , $G$3, $H$3)/_xll.ciqfunctions.udf.CIQ($B7,"IQ_TOTAL_LOANS",NZ$3,$E$3, $J$3, , $G$3, $H$3)),"")</f>
        <v/>
      </c>
      <c r="OA7" s="72" t="str">
        <f>IFERROR(IF(OR($B7="",OA$3=""),"",_xll.ciqfunctions.udf.CIQ($B7,"IQ_TOTAL_LOANS",OA$3,$E$3, $J$3, , $G$3, $H$3)/_xll.ciqfunctions.udf.CIQ($B7,"IQ_TOTAL_DEPOSITS",OA$3,$E$3, $J$3, , $G$3, $H$3)),"")</f>
        <v/>
      </c>
      <c r="OB7" s="72" t="str">
        <f>IFERROR(IF(OR($B7="",OB$3=""),"",_xll.ciqfunctions.udf.CIQ($B7,"IQ_TOTAL_LOANS",OB$3,$E$3, $J$3, , $G$3, $H$3)/_xll.ciqfunctions.udf.CIQ($B7,"IQ_TOTAL_DEPOSITS",OB$3,$E$3, $J$3, , $G$3, $H$3)),"")</f>
        <v/>
      </c>
      <c r="OC7" s="72" t="str">
        <f>IFERROR(IF(OR($B7="",OC$3=""),"",_xll.ciqfunctions.udf.CIQ($B7,"IQ_TOTAL_LOANS",OC$3,$E$3, $J$3, , $G$3, $H$3)/_xll.ciqfunctions.udf.CIQ($B7,"IQ_TOTAL_DEPOSITS",OC$3,$E$3, $J$3, , $G$3, $H$3)),"")</f>
        <v/>
      </c>
      <c r="OD7" s="72" t="str">
        <f>IFERROR(IF(OR($B7="",OD$3=""),"",_xll.ciqfunctions.udf.CIQ($B7,"IQ_TOTAL_LOANS",OD$3,$E$3, $J$3, , $G$3, $H$3)/_xll.ciqfunctions.udf.CIQ($B7,"IQ_TOTAL_DEPOSITS",OD$3,$E$3, $J$3, , $G$3, $H$3)),"")</f>
        <v/>
      </c>
      <c r="OE7" s="72" t="str">
        <f>IFERROR(IF(OR($B7="",OE$3=""),"",_xll.ciqfunctions.udf.CIQ($B7,"IQ_TOTAL_LOANS",OE$3,$E$3, $J$3, , $G$3, $H$3)/_xll.ciqfunctions.udf.CIQ($B7,"IQ_TOTAL_DEPOSITS",OE$3,$E$3, $J$3, , $G$3, $H$3)),"")</f>
        <v/>
      </c>
      <c r="OF7" s="72" t="str">
        <f>IFERROR(IF(OR($B7="",OF$3=""),"",_xll.ciqfunctions.udf.CIQ($B7,"IQ_TOTAL_LOANS",OF$3,$E$3, $J$3, , $G$3, $H$3)/_xll.ciqfunctions.udf.CIQ($B7,"IQ_TOTAL_DEPOSITS",OF$3,$E$3, $J$3, , $G$3, $H$3)),"")</f>
        <v/>
      </c>
      <c r="OG7" s="72" t="str">
        <f>IFERROR(IF(OR($B7="",OG$3=""),"",_xll.ciqfunctions.udf.CIQ($B7,"IQ_TOTAL_LOANS",OG$3,$E$3, $J$3, , $G$3, $H$3)/_xll.ciqfunctions.udf.CIQ($B7,"IQ_TOTAL_DEPOSITS",OG$3,$E$3, $J$3, , $G$3, $H$3)),"")</f>
        <v/>
      </c>
      <c r="OH7" s="72" t="str">
        <f>IFERROR(IF(OR($B7="",OH$3=""),"",_xll.ciqfunctions.udf.CIQ($B7,"IQ_TOTAL_LOANS",OH$3,$E$3, $J$3, , $G$3, $H$3)/_xll.ciqfunctions.udf.CIQ($B7,"IQ_TOTAL_DEPOSITS",OH$3,$E$3, $J$3, , $G$3, $H$3)),"")</f>
        <v/>
      </c>
      <c r="OI7" s="72" t="str">
        <f>IFERROR(IF(OR($B7="",OI$3=""),"",_xll.ciqfunctions.udf.CIQ($B7,"IQ_TOTAL_LOANS",OI$3,$E$3, $J$3, , $G$3, $H$3)/_xll.ciqfunctions.udf.CIQ($B7,"IQ_TOTAL_DEPOSITS",OI$3,$E$3, $J$3, , $G$3, $H$3)),"")</f>
        <v/>
      </c>
      <c r="OJ7" s="72" t="str">
        <f>IFERROR(IF(OR($B7="",OJ$3=""),"",_xll.ciqfunctions.udf.CIQ($B7,"IQ_TOTAL_LOANS",OJ$3,$E$3, $J$3, , $G$3, $H$3)/_xll.ciqfunctions.udf.CIQ($B7,"IQ_TOTAL_DEPOSITS",OJ$3,$E$3, $J$3, , $G$3, $H$3)),"")</f>
        <v/>
      </c>
      <c r="OK7" s="72" t="str">
        <f>IFERROR(IF(OR($B7="",OK$3=""),"",_xll.ciqfunctions.udf.CIQ($B7,"IQ_TOTAL_LOANS",OK$3,$E$3, $J$3, , $G$3, $H$3)/_xll.ciqfunctions.udf.CIQ($B7,"IQ_TOTAL_DEPOSITS",OK$3,$E$3, $J$3, , $G$3, $H$3)),"")</f>
        <v/>
      </c>
      <c r="OL7" s="72" t="str">
        <f>IFERROR(IF(OR($B7="",OL$3=""),"",_xll.ciqfunctions.udf.CIQ($B7,"IQ_TOTAL_LOANS",OL$3,$E$3, $J$3, , $G$3, $H$3)/_xll.ciqfunctions.udf.CIQ($B7,"IQ_TOTAL_DEPOSITS",OL$3,$E$3, $J$3, , $G$3, $H$3)),"")</f>
        <v/>
      </c>
      <c r="OM7" s="72" t="str">
        <f>IFERROR(IF(OR($B7="",OM$3=""),"",_xll.ciqfunctions.udf.CIQ($B7,"IQ_TOTAL_LOANS",OM$3,$E$3, $J$3, , $G$3, $H$3)/_xll.ciqfunctions.udf.CIQ($B7,"IQ_TOTAL_DEPOSITS",OM$3,$E$3, $J$3, , $G$3, $H$3)),"")</f>
        <v/>
      </c>
      <c r="ON7" s="72" t="str">
        <f>IFERROR(IF(OR($B7="",ON$3=""),"",_xll.ciqfunctions.udf.CIQ($B7,"IQ_TOTAL_LOANS",ON$3,$E$3, $J$3, , $G$3, $H$3)/_xll.ciqfunctions.udf.CIQ($B7,"IQ_TOTAL_DEPOSITS",ON$3,$E$3, $J$3, , $G$3, $H$3)),"")</f>
        <v/>
      </c>
      <c r="OO7" s="72" t="str">
        <f>IFERROR(IF(OR($B7="",OO$3=""),"",_xll.ciqfunctions.udf.CIQ($B7,"IQ_TOTAL_LOANS",OO$3,$E$3, $J$3, , $G$3, $H$3)/_xll.ciqfunctions.udf.CIQ($B7,"IQ_TOTAL_DEPOSITS",OO$3,$E$3, $J$3, , $G$3, $H$3)),"")</f>
        <v/>
      </c>
      <c r="OP7" s="72" t="str">
        <f>IFERROR(IF(OR($B7="",OP$3=""),"",_xll.ciqfunctions.udf.CIQ($B7,"IQ_TOTAL_LOANS",OP$3,$E$3, $J$3, , $G$3, $H$3)/_xll.ciqfunctions.udf.CIQ($B7,"IQ_TOTAL_DEPOSITS",OP$3,$E$3, $J$3, , $G$3, $H$3)),"")</f>
        <v/>
      </c>
      <c r="OQ7" s="72" t="str">
        <f>IFERROR(IF(OR($B7="",OQ$3=""),"",_xll.ciqfunctions.udf.CIQ($B7,"IQ_TOTAL_LOANS",OQ$3,$E$3, $J$3, , $G$3, $H$3)/_xll.ciqfunctions.udf.CIQ($B7,"IQ_TOTAL_DEPOSITS",OQ$3,$E$3, $J$3, , $G$3, $H$3)),"")</f>
        <v/>
      </c>
      <c r="OR7" s="72" t="str">
        <f>IFERROR(IF(OR($B7="",OR$3=""),"",_xll.ciqfunctions.udf.CIQ($B7,"IQ_TOTAL_LOANS",OR$3,$E$3, $J$3, , $G$3, $H$3)/_xll.ciqfunctions.udf.CIQ($B7,"IQ_TOTAL_DEPOSITS",OR$3,$E$3, $J$3, , $G$3, $H$3)),"")</f>
        <v/>
      </c>
      <c r="OS7" s="72" t="str">
        <f>IFERROR(IF(OR($B7="",OS$3=""),"",_xll.ciqfunctions.udf.CIQ($B7,"IQ_TOTAL_LOANS",OS$3,$E$3, $J$3, , $G$3, $H$3)/_xll.ciqfunctions.udf.CIQ($B7,"IQ_TOTAL_DEPOSITS",OS$3,$E$3, $J$3, , $G$3, $H$3)),"")</f>
        <v/>
      </c>
      <c r="OT7" s="72" t="str">
        <f>IFERROR(IF(OR($B7="",OT$3=""),"",_xll.ciqfunctions.udf.CIQ($B7,"IQ_TOTAL_LOANS",OT$3,$E$3, $J$3, , $G$3, $H$3)/_xll.ciqfunctions.udf.CIQ($B7,"IQ_TOTAL_DEPOSITS",OT$3,$E$3, $J$3, , $G$3, $H$3)),"")</f>
        <v/>
      </c>
      <c r="OU7" s="72">
        <f>IFERROR(IF(OR($B7="",OU$3=""),"",_xll.ciqfunctions.udf.CIQ($B7,"IQ_NON_PERFORMING_LOANS",OU$3,$E$3, $J$3, , $G$3, $H$3)/_xll.ciqfunctions.udf.CIQ($B7,"IQ_TOTAL_EQUITY",OU$3,$E$3, $J$3, , $G$3, $H$3)),"")</f>
        <v>0</v>
      </c>
      <c r="OV7" s="72" t="str">
        <f>IFERROR(IF(OR($B7="",OV$3=""),"",_xll.ciqfunctions.udf.CIQ($B7,"IQ_NON_PERFORMING_LOANS",OV$3,$E$3, $J$3, , $G$3, $H$3)/_xll.ciqfunctions.udf.CIQ($B7,"IQ_TOTAL_EQUITY",OV$3,$E$3, $J$3, , $G$3, $H$3)),"")</f>
        <v/>
      </c>
      <c r="OW7" s="72" t="str">
        <f>IFERROR(IF(OR($B7="",OW$3=""),"",_xll.ciqfunctions.udf.CIQ($B7,"IQ_NON_PERFORMING_LOANS",OW$3,$E$3, $J$3, , $G$3, $H$3)/_xll.ciqfunctions.udf.CIQ($B7,"IQ_TOTAL_EQUITY",OW$3,$E$3, $J$3, , $G$3, $H$3)),"")</f>
        <v/>
      </c>
      <c r="OX7" s="72" t="str">
        <f>IFERROR(IF(OR($B7="",OX$3=""),"",_xll.ciqfunctions.udf.CIQ($B7,"IQ_NON_PERFORMING_LOANS",OX$3,$E$3, $J$3, , $G$3, $H$3)/_xll.ciqfunctions.udf.CIQ($B7,"IQ_TOTAL_EQUITY",OX$3,$E$3, $J$3, , $G$3, $H$3)),"")</f>
        <v/>
      </c>
      <c r="OY7" s="72" t="str">
        <f>IFERROR(IF(OR($B7="",OY$3=""),"",_xll.ciqfunctions.udf.CIQ($B7,"IQ_NON_PERFORMING_LOANS",OY$3,$E$3, $J$3, , $G$3, $H$3)/_xll.ciqfunctions.udf.CIQ($B7,"IQ_TOTAL_EQUITY",OY$3,$E$3, $J$3, , $G$3, $H$3)),"")</f>
        <v/>
      </c>
      <c r="OZ7" s="72" t="str">
        <f>IFERROR(IF(OR($B7="",OZ$3=""),"",_xll.ciqfunctions.udf.CIQ($B7,"IQ_NON_PERFORMING_LOANS",OZ$3,$E$3, $J$3, , $G$3, $H$3)/_xll.ciqfunctions.udf.CIQ($B7,"IQ_TOTAL_EQUITY",OZ$3,$E$3, $J$3, , $G$3, $H$3)),"")</f>
        <v/>
      </c>
      <c r="PA7" s="72" t="str">
        <f>IFERROR(IF(OR($B7="",PA$3=""),"",_xll.ciqfunctions.udf.CIQ($B7,"IQ_NON_PERFORMING_LOANS",PA$3,$E$3, $J$3, , $G$3, $H$3)/_xll.ciqfunctions.udf.CIQ($B7,"IQ_TOTAL_EQUITY",PA$3,$E$3, $J$3, , $G$3, $H$3)),"")</f>
        <v/>
      </c>
      <c r="PB7" s="72" t="str">
        <f>IFERROR(IF(OR($B7="",PB$3=""),"",_xll.ciqfunctions.udf.CIQ($B7,"IQ_NON_PERFORMING_LOANS",PB$3,$E$3, $J$3, , $G$3, $H$3)/_xll.ciqfunctions.udf.CIQ($B7,"IQ_TOTAL_EQUITY",PB$3,$E$3, $J$3, , $G$3, $H$3)),"")</f>
        <v/>
      </c>
      <c r="PC7" s="72" t="str">
        <f>IFERROR(IF(OR($B7="",PC$3=""),"",_xll.ciqfunctions.udf.CIQ($B7,"IQ_NON_PERFORMING_LOANS",PC$3,$E$3, $J$3, , $G$3, $H$3)/_xll.ciqfunctions.udf.CIQ($B7,"IQ_TOTAL_EQUITY",PC$3,$E$3, $J$3, , $G$3, $H$3)),"")</f>
        <v/>
      </c>
      <c r="PD7" s="72" t="str">
        <f>IFERROR(IF(OR($B7="",PD$3=""),"",_xll.ciqfunctions.udf.CIQ($B7,"IQ_NON_PERFORMING_LOANS",PD$3,$E$3, $J$3, , $G$3, $H$3)/_xll.ciqfunctions.udf.CIQ($B7,"IQ_TOTAL_EQUITY",PD$3,$E$3, $J$3, , $G$3, $H$3)),"")</f>
        <v/>
      </c>
      <c r="PE7" s="72" t="str">
        <f>IFERROR(IF(OR($B7="",PE$3=""),"",_xll.ciqfunctions.udf.CIQ($B7,"IQ_NON_PERFORMING_LOANS",PE$3,$E$3, $J$3, , $G$3, $H$3)/_xll.ciqfunctions.udf.CIQ($B7,"IQ_TOTAL_EQUITY",PE$3,$E$3, $J$3, , $G$3, $H$3)),"")</f>
        <v/>
      </c>
      <c r="PF7" s="72" t="str">
        <f>IFERROR(IF(OR($B7="",PF$3=""),"",_xll.ciqfunctions.udf.CIQ($B7,"IQ_NON_PERFORMING_LOANS",PF$3,$E$3, $J$3, , $G$3, $H$3)/_xll.ciqfunctions.udf.CIQ($B7,"IQ_TOTAL_EQUITY",PF$3,$E$3, $J$3, , $G$3, $H$3)),"")</f>
        <v/>
      </c>
      <c r="PG7" s="72" t="str">
        <f>IFERROR(IF(OR($B7="",PG$3=""),"",_xll.ciqfunctions.udf.CIQ($B7,"IQ_NON_PERFORMING_LOANS",PG$3,$E$3, $J$3, , $G$3, $H$3)/_xll.ciqfunctions.udf.CIQ($B7,"IQ_TOTAL_EQUITY",PG$3,$E$3, $J$3, , $G$3, $H$3)),"")</f>
        <v/>
      </c>
      <c r="PH7" s="72" t="str">
        <f>IFERROR(IF(OR($B7="",PH$3=""),"",_xll.ciqfunctions.udf.CIQ($B7,"IQ_NON_PERFORMING_LOANS",PH$3,$E$3, $J$3, , $G$3, $H$3)/_xll.ciqfunctions.udf.CIQ($B7,"IQ_TOTAL_EQUITY",PH$3,$E$3, $J$3, , $G$3, $H$3)),"")</f>
        <v/>
      </c>
      <c r="PI7" s="72" t="str">
        <f>IFERROR(IF(OR($B7="",PI$3=""),"",_xll.ciqfunctions.udf.CIQ($B7,"IQ_NON_PERFORMING_LOANS",PI$3,$E$3, $J$3, , $G$3, $H$3)/_xll.ciqfunctions.udf.CIQ($B7,"IQ_TOTAL_EQUITY",PI$3,$E$3, $J$3, , $G$3, $H$3)),"")</f>
        <v/>
      </c>
      <c r="PJ7" s="72" t="str">
        <f>IFERROR(IF(OR($B7="",PJ$3=""),"",_xll.ciqfunctions.udf.CIQ($B7,"IQ_NON_PERFORMING_LOANS",PJ$3,$E$3, $J$3, , $G$3, $H$3)/_xll.ciqfunctions.udf.CIQ($B7,"IQ_TOTAL_EQUITY",PJ$3,$E$3, $J$3, , $G$3, $H$3)),"")</f>
        <v/>
      </c>
      <c r="PK7" s="72" t="str">
        <f>IFERROR(IF(OR($B7="",PK$3=""),"",_xll.ciqfunctions.udf.CIQ($B7,"IQ_NON_PERFORMING_LOANS",PK$3,$E$3, $J$3, , $G$3, $H$3)/_xll.ciqfunctions.udf.CIQ($B7,"IQ_TOTAL_EQUITY",PK$3,$E$3, $J$3, , $G$3, $H$3)),"")</f>
        <v/>
      </c>
      <c r="PL7" s="72" t="str">
        <f>IFERROR(IF(OR($B7="",PL$3=""),"",_xll.ciqfunctions.udf.CIQ($B7,"IQ_NON_PERFORMING_LOANS",PL$3,$E$3, $J$3, , $G$3, $H$3)/_xll.ciqfunctions.udf.CIQ($B7,"IQ_TOTAL_EQUITY",PL$3,$E$3, $J$3, , $G$3, $H$3)),"")</f>
        <v/>
      </c>
      <c r="PM7" s="72" t="str">
        <f>IFERROR(IF(OR($B7="",PM$3=""),"",_xll.ciqfunctions.udf.CIQ($B7,"IQ_NON_PERFORMING_LOANS",PM$3,$E$3, $J$3, , $G$3, $H$3)/_xll.ciqfunctions.udf.CIQ($B7,"IQ_TOTAL_EQUITY",PM$3,$E$3, $J$3, , $G$3, $H$3)),"")</f>
        <v/>
      </c>
      <c r="PN7" s="72" t="str">
        <f>IFERROR(IF(OR($B7="",PN$3=""),"",_xll.ciqfunctions.udf.CIQ($B7,"IQ_NON_PERFORMING_LOANS",PN$3,$E$3, $J$3, , $G$3, $H$3)/_xll.ciqfunctions.udf.CIQ($B7,"IQ_TOTAL_EQUITY",PN$3,$E$3, $J$3, , $G$3, $H$3)),"")</f>
        <v/>
      </c>
      <c r="PO7" s="72">
        <f>IFERROR(IF(OR($B7="",PO$3=""),"",(_xll.ciqfunctions.udf.CIQ($B7,"IQ_LASTSALEPRICE",PO$4)/_xll.ciqfunctions.udf.CIQ($B7,"IQ_LASTSALEPRICE",PO$2)-1)+(_xll.ciqfunctions.udf.CIQ($B7, "IQ_DPS_1YR_ANN_GROWTH", "IQ_LTM", PO$4)/100)),"")</f>
        <v>2.2350097814776305E-2</v>
      </c>
      <c r="PP7" s="72" t="str">
        <f>IFERROR(IF(OR($B7="",PP$3=""),"",(_xll.ciqfunctions.udf.CIQ($B7,"IQ_LASTSALEPRICE",PP$4)/_xll.ciqfunctions.udf.CIQ($B7,"IQ_LASTSALEPRICE",PP$2)-1)+(_xll.ciqfunctions.udf.CIQ($B7, "IQ_DPS_1YR_ANN_GROWTH", "IQ_LTM", PP$4)/100)),"")</f>
        <v/>
      </c>
      <c r="PQ7" s="72" t="str">
        <f>IFERROR(IF(OR($B7="",PQ$3=""),"",(_xll.ciqfunctions.udf.CIQ($B7,"IQ_LASTSALEPRICE",PQ$4)/_xll.ciqfunctions.udf.CIQ($B7,"IQ_LASTSALEPRICE",PQ$2)-1)+(_xll.ciqfunctions.udf.CIQ($B7, "IQ_DPS_1YR_ANN_GROWTH", "IQ_LTM", PQ$4)/100)),"")</f>
        <v/>
      </c>
      <c r="PR7" s="72" t="str">
        <f>IFERROR(IF(OR($B7="",PR$3=""),"",(_xll.ciqfunctions.udf.CIQ($B7,"IQ_LASTSALEPRICE",PR$4)/_xll.ciqfunctions.udf.CIQ($B7,"IQ_LASTSALEPRICE",PR$2)-1)+(_xll.ciqfunctions.udf.CIQ($B7, "IQ_DPS_1YR_ANN_GROWTH", "IQ_LTM", PR$4)/100)),"")</f>
        <v/>
      </c>
      <c r="PS7" s="72" t="str">
        <f>IFERROR(IF(OR($B7="",PS$3=""),"",(_xll.ciqfunctions.udf.CIQ($B7,"IQ_LASTSALEPRICE",PS$4)/_xll.ciqfunctions.udf.CIQ($B7,"IQ_LASTSALEPRICE",PS$2)-1)+(_xll.ciqfunctions.udf.CIQ($B7, "IQ_DPS_1YR_ANN_GROWTH", "IQ_LTM", PS$4)/100)),"")</f>
        <v/>
      </c>
      <c r="PT7" s="72" t="str">
        <f>IFERROR(IF(OR($B7="",PT$3=""),"",(_xll.ciqfunctions.udf.CIQ($B7,"IQ_LASTSALEPRICE",PT$4)/_xll.ciqfunctions.udf.CIQ($B7,"IQ_LASTSALEPRICE",PT$2)-1)+(_xll.ciqfunctions.udf.CIQ($B7, "IQ_DPS_1YR_ANN_GROWTH", "IQ_LTM", PT$4)/100)),"")</f>
        <v/>
      </c>
      <c r="PU7" s="72" t="str">
        <f>IFERROR(IF(OR($B7="",PU$3=""),"",(_xll.ciqfunctions.udf.CIQ($B7,"IQ_LASTSALEPRICE",PU$4)/_xll.ciqfunctions.udf.CIQ($B7,"IQ_LASTSALEPRICE",PU$2)-1)+(_xll.ciqfunctions.udf.CIQ($B7, "IQ_DPS_1YR_ANN_GROWTH", "IQ_LTM", PU$4)/100)),"")</f>
        <v/>
      </c>
      <c r="PV7" s="72" t="str">
        <f>IFERROR(IF(OR($B7="",PV$3=""),"",(_xll.ciqfunctions.udf.CIQ($B7,"IQ_LASTSALEPRICE",PV$4)/_xll.ciqfunctions.udf.CIQ($B7,"IQ_LASTSALEPRICE",PV$2)-1)+(_xll.ciqfunctions.udf.CIQ($B7, "IQ_DPS_1YR_ANN_GROWTH", "IQ_LTM", PV$4)/100)),"")</f>
        <v/>
      </c>
      <c r="PW7" s="72" t="str">
        <f>IFERROR(IF(OR($B7="",PW$3=""),"",(_xll.ciqfunctions.udf.CIQ($B7,"IQ_LASTSALEPRICE",PW$4)/_xll.ciqfunctions.udf.CIQ($B7,"IQ_LASTSALEPRICE",PW$2)-1)+(_xll.ciqfunctions.udf.CIQ($B7, "IQ_DPS_1YR_ANN_GROWTH", "IQ_LTM", PW$4)/100)),"")</f>
        <v/>
      </c>
      <c r="PX7" s="72" t="str">
        <f>IFERROR(IF(OR($B7="",PX$3=""),"",(_xll.ciqfunctions.udf.CIQ($B7,"IQ_LASTSALEPRICE",PX$4)/_xll.ciqfunctions.udf.CIQ($B7,"IQ_LASTSALEPRICE",PX$2)-1)+(_xll.ciqfunctions.udf.CIQ($B7, "IQ_DPS_1YR_ANN_GROWTH", "IQ_LTM", PX$4)/100)),"")</f>
        <v/>
      </c>
      <c r="PY7" s="72" t="str">
        <f>IFERROR(IF(OR($B7="",PY$3=""),"",(_xll.ciqfunctions.udf.CIQ($B7,"IQ_LASTSALEPRICE",PY$4)/_xll.ciqfunctions.udf.CIQ($B7,"IQ_LASTSALEPRICE",PY$2)-1)+(_xll.ciqfunctions.udf.CIQ($B7, "IQ_DPS_1YR_ANN_GROWTH", "IQ_LTM", PY$4)/100)),"")</f>
        <v/>
      </c>
      <c r="PZ7" s="72" t="str">
        <f>IFERROR(IF(OR($B7="",PZ$3=""),"",(_xll.ciqfunctions.udf.CIQ($B7,"IQ_LASTSALEPRICE",PZ$4)/_xll.ciqfunctions.udf.CIQ($B7,"IQ_LASTSALEPRICE",PZ$2)-1)+(_xll.ciqfunctions.udf.CIQ($B7, "IQ_DPS_1YR_ANN_GROWTH", "IQ_LTM", PZ$4)/100)),"")</f>
        <v/>
      </c>
      <c r="QA7" s="72" t="str">
        <f>IFERROR(IF(OR($B7="",QA$3=""),"",(_xll.ciqfunctions.udf.CIQ($B7,"IQ_LASTSALEPRICE",QA$4)/_xll.ciqfunctions.udf.CIQ($B7,"IQ_LASTSALEPRICE",QA$2)-1)+(_xll.ciqfunctions.udf.CIQ($B7, "IQ_DPS_1YR_ANN_GROWTH", "IQ_LTM", QA$4)/100)),"")</f>
        <v/>
      </c>
      <c r="QB7" s="72" t="str">
        <f>IFERROR(IF(OR($B7="",QB$3=""),"",(_xll.ciqfunctions.udf.CIQ($B7,"IQ_LASTSALEPRICE",QB$4)/_xll.ciqfunctions.udf.CIQ($B7,"IQ_LASTSALEPRICE",QB$2)-1)+(_xll.ciqfunctions.udf.CIQ($B7, "IQ_DPS_1YR_ANN_GROWTH", "IQ_LTM", QB$4)/100)),"")</f>
        <v/>
      </c>
      <c r="QC7" s="72" t="str">
        <f>IFERROR(IF(OR($B7="",QC$3=""),"",(_xll.ciqfunctions.udf.CIQ($B7,"IQ_LASTSALEPRICE",QC$4)/_xll.ciqfunctions.udf.CIQ($B7,"IQ_LASTSALEPRICE",QC$2)-1)+(_xll.ciqfunctions.udf.CIQ($B7, "IQ_DPS_1YR_ANN_GROWTH", "IQ_LTM", QC$4)/100)),"")</f>
        <v/>
      </c>
      <c r="QD7" s="72" t="str">
        <f>IFERROR(IF(OR($B7="",QD$3=""),"",(_xll.ciqfunctions.udf.CIQ($B7,"IQ_LASTSALEPRICE",QD$4)/_xll.ciqfunctions.udf.CIQ($B7,"IQ_LASTSALEPRICE",QD$2)-1)+(_xll.ciqfunctions.udf.CIQ($B7, "IQ_DPS_1YR_ANN_GROWTH", "IQ_LTM", QD$4)/100)),"")</f>
        <v/>
      </c>
      <c r="QE7" s="72" t="str">
        <f>IFERROR(IF(OR($B7="",QE$3=""),"",(_xll.ciqfunctions.udf.CIQ($B7,"IQ_LASTSALEPRICE",QE$4)/_xll.ciqfunctions.udf.CIQ($B7,"IQ_LASTSALEPRICE",QE$2)-1)+(_xll.ciqfunctions.udf.CIQ($B7, "IQ_DPS_1YR_ANN_GROWTH", "IQ_LTM", QE$4)/100)),"")</f>
        <v/>
      </c>
      <c r="QF7" s="72" t="str">
        <f>IFERROR(IF(OR($B7="",QF$3=""),"",(_xll.ciqfunctions.udf.CIQ($B7,"IQ_LASTSALEPRICE",QF$4)/_xll.ciqfunctions.udf.CIQ($B7,"IQ_LASTSALEPRICE",QF$2)-1)+(_xll.ciqfunctions.udf.CIQ($B7, "IQ_DPS_1YR_ANN_GROWTH", "IQ_LTM", QF$4)/100)),"")</f>
        <v/>
      </c>
      <c r="QG7" s="72" t="str">
        <f>IFERROR(IF(OR($B7="",QG$3=""),"",(_xll.ciqfunctions.udf.CIQ($B7,"IQ_LASTSALEPRICE",QG$4)/_xll.ciqfunctions.udf.CIQ($B7,"IQ_LASTSALEPRICE",QG$2)-1)+(_xll.ciqfunctions.udf.CIQ($B7, "IQ_DPS_1YR_ANN_GROWTH", "IQ_LTM", QG$4)/100)),"")</f>
        <v/>
      </c>
      <c r="QH7" s="72" t="str">
        <f>IFERROR(IF(OR($B7="",QH$3=""),"",(_xll.ciqfunctions.udf.CIQ($B7,"IQ_LASTSALEPRICE",QH$4)/_xll.ciqfunctions.udf.CIQ($B7,"IQ_LASTSALEPRICE",QH$2)-1)+(_xll.ciqfunctions.udf.CIQ($B7, "IQ_DPS_1YR_ANN_GROWTH", "IQ_LTM", QH$4)/100)),"")</f>
        <v/>
      </c>
      <c r="QI7" s="72" t="str">
        <f>IFERROR(IF(OR($B7="",QI$3=""),"",_xll.ciqfunctions.udf.CIQ($B7,"IQ_NI",QI$3,$E$3, $J$3, , $G$3, $H$3)*2/(_xll.ciqfunctions.udf.CIQ($B7,"IQ_TOTAL_BANK_CAPITAL",QI$3,$E$3, $J$3, , $G$3, $H$3)+_xll.ciqfunctions.udf.CIQ($B7,"IQ_TOTAL_BANK_CAPITAL","IQ_" &amp; LEFT(QI$3,2) &amp; "-1", QI$3, $J$3, , $G$3, $H$3))),"")</f>
        <v/>
      </c>
      <c r="QJ7" s="72" t="str">
        <f>IFERROR(IF(OR($B7="",QJ$3=""),"",_xll.ciqfunctions.udf.CIQ($B7,"IQ_NI",QJ$3,$E$3, $J$3, , $G$3, $H$3)*2/(_xll.ciqfunctions.udf.CIQ($B7,"IQ_TOTAL_BANK_CAPITAL",QJ$3,$E$3, $J$3, , $G$3, $H$3)+_xll.ciqfunctions.udf.CIQ($B7,"IQ_TOTAL_BANK_CAPITAL","IQ_" &amp; LEFT(QJ$3,2) &amp; "-1", QJ$3, $J$3, , $G$3, $H$3))),"")</f>
        <v/>
      </c>
      <c r="QK7" s="72" t="str">
        <f>IFERROR(IF(OR($B7="",QK$3=""),"",_xll.ciqfunctions.udf.CIQ($B7,"IQ_NI",QK$3,$E$3, $J$3, , $G$3, $H$3)*2/(_xll.ciqfunctions.udf.CIQ($B7,"IQ_TOTAL_BANK_CAPITAL",QK$3,$E$3, $J$3, , $G$3, $H$3)+_xll.ciqfunctions.udf.CIQ($B7,"IQ_TOTAL_BANK_CAPITAL","IQ_" &amp; LEFT(QK$3,2) &amp; "-1", QK$3, $J$3, , $G$3, $H$3))),"")</f>
        <v/>
      </c>
      <c r="QL7" s="72" t="str">
        <f>IFERROR(IF(OR($B7="",QL$3=""),"",_xll.ciqfunctions.udf.CIQ($B7,"IQ_NI",QL$3,$E$3, $J$3, , $G$3, $H$3)*2/(_xll.ciqfunctions.udf.CIQ($B7,"IQ_TOTAL_BANK_CAPITAL",QL$3,$E$3, $J$3, , $G$3, $H$3)+_xll.ciqfunctions.udf.CIQ($B7,"IQ_TOTAL_BANK_CAPITAL","IQ_" &amp; LEFT(QL$3,2) &amp; "-1", QL$3, $J$3, , $G$3, $H$3))),"")</f>
        <v/>
      </c>
      <c r="QM7" s="72" t="str">
        <f>IFERROR(IF(OR($B7="",QM$3=""),"",_xll.ciqfunctions.udf.CIQ($B7,"IQ_NI",QM$3,$E$3, $J$3, , $G$3, $H$3)*2/(_xll.ciqfunctions.udf.CIQ($B7,"IQ_TOTAL_BANK_CAPITAL",QM$3,$E$3, $J$3, , $G$3, $H$3)+_xll.ciqfunctions.udf.CIQ($B7,"IQ_TOTAL_BANK_CAPITAL","IQ_" &amp; LEFT(QM$3,2) &amp; "-1", QM$3, $J$3, , $G$3, $H$3))),"")</f>
        <v/>
      </c>
      <c r="QN7" s="72" t="str">
        <f>IFERROR(IF(OR($B7="",QN$3=""),"",_xll.ciqfunctions.udf.CIQ($B7,"IQ_NI",QN$3,$E$3, $J$3, , $G$3, $H$3)*2/(_xll.ciqfunctions.udf.CIQ($B7,"IQ_TOTAL_BANK_CAPITAL",QN$3,$E$3, $J$3, , $G$3, $H$3)+_xll.ciqfunctions.udf.CIQ($B7,"IQ_TOTAL_BANK_CAPITAL","IQ_" &amp; LEFT(QN$3,2) &amp; "-1", QN$3, $J$3, , $G$3, $H$3))),"")</f>
        <v/>
      </c>
      <c r="QO7" s="72" t="str">
        <f>IFERROR(IF(OR($B7="",QO$3=""),"",_xll.ciqfunctions.udf.CIQ($B7,"IQ_NI",QO$3,$E$3, $J$3, , $G$3, $H$3)*2/(_xll.ciqfunctions.udf.CIQ($B7,"IQ_TOTAL_BANK_CAPITAL",QO$3,$E$3, $J$3, , $G$3, $H$3)+_xll.ciqfunctions.udf.CIQ($B7,"IQ_TOTAL_BANK_CAPITAL","IQ_" &amp; LEFT(QO$3,2) &amp; "-1", QO$3, $J$3, , $G$3, $H$3))),"")</f>
        <v/>
      </c>
      <c r="QP7" s="72" t="str">
        <f>IFERROR(IF(OR($B7="",QP$3=""),"",_xll.ciqfunctions.udf.CIQ($B7,"IQ_NI",QP$3,$E$3, $J$3, , $G$3, $H$3)*2/(_xll.ciqfunctions.udf.CIQ($B7,"IQ_TOTAL_BANK_CAPITAL",QP$3,$E$3, $J$3, , $G$3, $H$3)+_xll.ciqfunctions.udf.CIQ($B7,"IQ_TOTAL_BANK_CAPITAL","IQ_" &amp; LEFT(QP$3,2) &amp; "-1", QP$3, $J$3, , $G$3, $H$3))),"")</f>
        <v/>
      </c>
      <c r="QQ7" s="72" t="str">
        <f>IFERROR(IF(OR($B7="",QQ$3=""),"",_xll.ciqfunctions.udf.CIQ($B7,"IQ_NI",QQ$3,$E$3, $J$3, , $G$3, $H$3)*2/(_xll.ciqfunctions.udf.CIQ($B7,"IQ_TOTAL_BANK_CAPITAL",QQ$3,$E$3, $J$3, , $G$3, $H$3)+_xll.ciqfunctions.udf.CIQ($B7,"IQ_TOTAL_BANK_CAPITAL","IQ_" &amp; LEFT(QQ$3,2) &amp; "-1", QQ$3, $J$3, , $G$3, $H$3))),"")</f>
        <v/>
      </c>
      <c r="QR7" s="72" t="str">
        <f>IFERROR(IF(OR($B7="",QR$3=""),"",_xll.ciqfunctions.udf.CIQ($B7,"IQ_NI",QR$3,$E$3, $J$3, , $G$3, $H$3)*2/(_xll.ciqfunctions.udf.CIQ($B7,"IQ_TOTAL_BANK_CAPITAL",QR$3,$E$3, $J$3, , $G$3, $H$3)+_xll.ciqfunctions.udf.CIQ($B7,"IQ_TOTAL_BANK_CAPITAL","IQ_" &amp; LEFT(QR$3,2) &amp; "-1", QR$3, $J$3, , $G$3, $H$3))),"")</f>
        <v/>
      </c>
      <c r="QS7" s="72" t="str">
        <f>IFERROR(IF(OR($B7="",QS$3=""),"",_xll.ciqfunctions.udf.CIQ($B7,"IQ_NI",QS$3,$E$3, $J$3, , $G$3, $H$3)*2/(_xll.ciqfunctions.udf.CIQ($B7,"IQ_TOTAL_BANK_CAPITAL",QS$3,$E$3, $J$3, , $G$3, $H$3)+_xll.ciqfunctions.udf.CIQ($B7,"IQ_TOTAL_BANK_CAPITAL","IQ_" &amp; LEFT(QS$3,2) &amp; "-1", QS$3, $J$3, , $G$3, $H$3))),"")</f>
        <v/>
      </c>
      <c r="QT7" s="72" t="str">
        <f>IFERROR(IF(OR($B7="",QT$3=""),"",_xll.ciqfunctions.udf.CIQ($B7,"IQ_NI",QT$3,$E$3, $J$3, , $G$3, $H$3)*2/(_xll.ciqfunctions.udf.CIQ($B7,"IQ_TOTAL_BANK_CAPITAL",QT$3,$E$3, $J$3, , $G$3, $H$3)+_xll.ciqfunctions.udf.CIQ($B7,"IQ_TOTAL_BANK_CAPITAL","IQ_" &amp; LEFT(QT$3,2) &amp; "-1", QT$3, $J$3, , $G$3, $H$3))),"")</f>
        <v/>
      </c>
      <c r="QU7" s="72" t="str">
        <f>IFERROR(IF(OR($B7="",QU$3=""),"",_xll.ciqfunctions.udf.CIQ($B7,"IQ_NI",QU$3,$E$3, $J$3, , $G$3, $H$3)*2/(_xll.ciqfunctions.udf.CIQ($B7,"IQ_TOTAL_BANK_CAPITAL",QU$3,$E$3, $J$3, , $G$3, $H$3)+_xll.ciqfunctions.udf.CIQ($B7,"IQ_TOTAL_BANK_CAPITAL","IQ_" &amp; LEFT(QU$3,2) &amp; "-1", QU$3, $J$3, , $G$3, $H$3))),"")</f>
        <v/>
      </c>
      <c r="QV7" s="72" t="str">
        <f>IFERROR(IF(OR($B7="",QV$3=""),"",_xll.ciqfunctions.udf.CIQ($B7,"IQ_NI",QV$3,$E$3, $J$3, , $G$3, $H$3)*2/(_xll.ciqfunctions.udf.CIQ($B7,"IQ_TOTAL_BANK_CAPITAL",QV$3,$E$3, $J$3, , $G$3, $H$3)+_xll.ciqfunctions.udf.CIQ($B7,"IQ_TOTAL_BANK_CAPITAL","IQ_" &amp; LEFT(QV$3,2) &amp; "-1", QV$3, $J$3, , $G$3, $H$3))),"")</f>
        <v/>
      </c>
      <c r="QW7" s="72" t="str">
        <f>IFERROR(IF(OR($B7="",QW$3=""),"",_xll.ciqfunctions.udf.CIQ($B7,"IQ_NI",QW$3,$E$3, $J$3, , $G$3, $H$3)*2/(_xll.ciqfunctions.udf.CIQ($B7,"IQ_TOTAL_BANK_CAPITAL",QW$3,$E$3, $J$3, , $G$3, $H$3)+_xll.ciqfunctions.udf.CIQ($B7,"IQ_TOTAL_BANK_CAPITAL","IQ_" &amp; LEFT(QW$3,2) &amp; "-1", QW$3, $J$3, , $G$3, $H$3))),"")</f>
        <v/>
      </c>
      <c r="QX7" s="72" t="str">
        <f>IFERROR(IF(OR($B7="",QX$3=""),"",_xll.ciqfunctions.udf.CIQ($B7,"IQ_NI",QX$3,$E$3, $J$3, , $G$3, $H$3)*2/(_xll.ciqfunctions.udf.CIQ($B7,"IQ_TOTAL_BANK_CAPITAL",QX$3,$E$3, $J$3, , $G$3, $H$3)+_xll.ciqfunctions.udf.CIQ($B7,"IQ_TOTAL_BANK_CAPITAL","IQ_" &amp; LEFT(QX$3,2) &amp; "-1", QX$3, $J$3, , $G$3, $H$3))),"")</f>
        <v/>
      </c>
      <c r="QY7" s="72" t="str">
        <f>IFERROR(IF(OR($B7="",QY$3=""),"",_xll.ciqfunctions.udf.CIQ($B7,"IQ_NI",QY$3,$E$3, $J$3, , $G$3, $H$3)*2/(_xll.ciqfunctions.udf.CIQ($B7,"IQ_TOTAL_BANK_CAPITAL",QY$3,$E$3, $J$3, , $G$3, $H$3)+_xll.ciqfunctions.udf.CIQ($B7,"IQ_TOTAL_BANK_CAPITAL","IQ_" &amp; LEFT(QY$3,2) &amp; "-1", QY$3, $J$3, , $G$3, $H$3))),"")</f>
        <v/>
      </c>
      <c r="QZ7" s="72" t="str">
        <f>IFERROR(IF(OR($B7="",QZ$3=""),"",_xll.ciqfunctions.udf.CIQ($B7,"IQ_NI",QZ$3,$E$3, $J$3, , $G$3, $H$3)*2/(_xll.ciqfunctions.udf.CIQ($B7,"IQ_TOTAL_BANK_CAPITAL",QZ$3,$E$3, $J$3, , $G$3, $H$3)+_xll.ciqfunctions.udf.CIQ($B7,"IQ_TOTAL_BANK_CAPITAL","IQ_" &amp; LEFT(QZ$3,2) &amp; "-1", QZ$3, $J$3, , $G$3, $H$3))),"")</f>
        <v/>
      </c>
      <c r="RA7" s="72" t="str">
        <f>IFERROR(IF(OR($B7="",RA$3=""),"",_xll.ciqfunctions.udf.CIQ($B7,"IQ_NI",RA$3,$E$3, $J$3, , $G$3, $H$3)*2/(_xll.ciqfunctions.udf.CIQ($B7,"IQ_TOTAL_BANK_CAPITAL",RA$3,$E$3, $J$3, , $G$3, $H$3)+_xll.ciqfunctions.udf.CIQ($B7,"IQ_TOTAL_BANK_CAPITAL","IQ_" &amp; LEFT(RA$3,2) &amp; "-1", RA$3, $J$3, , $G$3, $H$3))),"")</f>
        <v/>
      </c>
      <c r="RB7" s="72" t="str">
        <f>IFERROR(IF(OR($B7="",RB$3=""),"",_xll.ciqfunctions.udf.CIQ($B7,"IQ_NI",RB$3,$E$3, $J$3, , $G$3, $H$3)*2/(_xll.ciqfunctions.udf.CIQ($B7,"IQ_TOTAL_BANK_CAPITAL",RB$3,$E$3, $J$3, , $G$3, $H$3)+_xll.ciqfunctions.udf.CIQ($B7,"IQ_TOTAL_BANK_CAPITAL","IQ_" &amp; LEFT(RB$3,2) &amp; "-1", RB$3, $J$3, , $G$3, $H$3))),"")</f>
        <v/>
      </c>
      <c r="RC7" s="628" t="str">
        <f>IFERROR(IF(OR($B7="",RC$4=""),"",(IFERROR(_xll.ciqfunctions.udf.CIQ($B7,"IQ_MARKETCAP",RC$4),0)+IFERROR(_xll.ciqfunctions.udf.CIQ($B7,"IQ_TOTAL_DEBT",RC$3),0)+IFERROR(_xll.ciqfunctions.udf.CIQ($B7,"IQ_PREF_EQUITY",RC$3),0)+IFERROR(_xll.ciqfunctions.udf.CIQ($B7,"IQ_MINORITY_INTEREST",RC$3),0)-IFERROR(_xll.ciqfunctions.udf.CIQ($B7,"IQ_ST_INVEST",RC$3),0)-IFERROR(_xll.ciqfunctions.udf.CIQ($B7,"IQ_cash_equiv",RC$3),0))/_xll.ciqfunctions.udf.CIQ($B7,"IQ_TOTAL_BANK_CAPITAL",QI$3,$E$3,$J$3,,$G$3,$H$3)),"")</f>
        <v/>
      </c>
      <c r="RD7" s="628" t="str">
        <f>IFERROR(IF(OR($B7="",RD$4=""),"",(IFERROR(_xll.ciqfunctions.udf.CIQ($B7,"IQ_MARKETCAP",RD$4),0)+IFERROR(_xll.ciqfunctions.udf.CIQ($B7,"IQ_TOTAL_DEBT",RD$3),0)+IFERROR(_xll.ciqfunctions.udf.CIQ($B7,"IQ_PREF_EQUITY",RD$3),0)+IFERROR(_xll.ciqfunctions.udf.CIQ($B7,"IQ_MINORITY_INTEREST",RD$3),0)-IFERROR(_xll.ciqfunctions.udf.CIQ($B7,"IQ_ST_INVEST",RD$3),0)-IFERROR(_xll.ciqfunctions.udf.CIQ($B7,"IQ_cash_equiv",RD$3),0))/_xll.ciqfunctions.udf.CIQ($B7,"IQ_TOTAL_BANK_CAPITAL",QJ$3,$E$3,$J$3,,$G$3,$H$3)),"")</f>
        <v/>
      </c>
      <c r="RE7" s="628" t="str">
        <f>IFERROR(IF(OR($B7="",RE$4=""),"",(IFERROR(_xll.ciqfunctions.udf.CIQ($B7,"IQ_MARKETCAP",RE$4),0)+IFERROR(_xll.ciqfunctions.udf.CIQ($B7,"IQ_TOTAL_DEBT",RE$3),0)+IFERROR(_xll.ciqfunctions.udf.CIQ($B7,"IQ_PREF_EQUITY",RE$3),0)+IFERROR(_xll.ciqfunctions.udf.CIQ($B7,"IQ_MINORITY_INTEREST",RE$3),0)-IFERROR(_xll.ciqfunctions.udf.CIQ($B7,"IQ_ST_INVEST",RE$3),0)-IFERROR(_xll.ciqfunctions.udf.CIQ($B7,"IQ_cash_equiv",RE$3),0))/_xll.ciqfunctions.udf.CIQ($B7,"IQ_TOTAL_BANK_CAPITAL",QK$3,$E$3,$J$3,,$G$3,$H$3)),"")</f>
        <v/>
      </c>
      <c r="RF7" s="628" t="str">
        <f>IFERROR(IF(OR($B7="",RF$4=""),"",(IFERROR(_xll.ciqfunctions.udf.CIQ($B7,"IQ_MARKETCAP",RF$4),0)+IFERROR(_xll.ciqfunctions.udf.CIQ($B7,"IQ_TOTAL_DEBT",RF$3),0)+IFERROR(_xll.ciqfunctions.udf.CIQ($B7,"IQ_PREF_EQUITY",RF$3),0)+IFERROR(_xll.ciqfunctions.udf.CIQ($B7,"IQ_MINORITY_INTEREST",RF$3),0)-IFERROR(_xll.ciqfunctions.udf.CIQ($B7,"IQ_ST_INVEST",RF$3),0)-IFERROR(_xll.ciqfunctions.udf.CIQ($B7,"IQ_cash_equiv",RF$3),0))/_xll.ciqfunctions.udf.CIQ($B7,"IQ_TOTAL_BANK_CAPITAL",QL$3,$E$3,$J$3,,$G$3,$H$3)),"")</f>
        <v/>
      </c>
      <c r="RG7" s="628" t="str">
        <f>IFERROR(IF(OR($B7="",RG$4=""),"",(IFERROR(_xll.ciqfunctions.udf.CIQ($B7,"IQ_MARKETCAP",RG$4),0)+IFERROR(_xll.ciqfunctions.udf.CIQ($B7,"IQ_TOTAL_DEBT",RG$3),0)+IFERROR(_xll.ciqfunctions.udf.CIQ($B7,"IQ_PREF_EQUITY",RG$3),0)+IFERROR(_xll.ciqfunctions.udf.CIQ($B7,"IQ_MINORITY_INTEREST",RG$3),0)-IFERROR(_xll.ciqfunctions.udf.CIQ($B7,"IQ_ST_INVEST",RG$3),0)-IFERROR(_xll.ciqfunctions.udf.CIQ($B7,"IQ_cash_equiv",RG$3),0))/_xll.ciqfunctions.udf.CIQ($B7,"IQ_TOTAL_BANK_CAPITAL",QM$3,$E$3,$J$3,,$G$3,$H$3)),"")</f>
        <v/>
      </c>
      <c r="RH7" s="628" t="str">
        <f>IFERROR(IF(OR($B7="",RH$4=""),"",(IFERROR(_xll.ciqfunctions.udf.CIQ($B7,"IQ_MARKETCAP",RH$4),0)+IFERROR(_xll.ciqfunctions.udf.CIQ($B7,"IQ_TOTAL_DEBT",RH$3),0)+IFERROR(_xll.ciqfunctions.udf.CIQ($B7,"IQ_PREF_EQUITY",RH$3),0)+IFERROR(_xll.ciqfunctions.udf.CIQ($B7,"IQ_MINORITY_INTEREST",RH$3),0)-IFERROR(_xll.ciqfunctions.udf.CIQ($B7,"IQ_ST_INVEST",RH$3),0)-IFERROR(_xll.ciqfunctions.udf.CIQ($B7,"IQ_cash_equiv",RH$3),0))/_xll.ciqfunctions.udf.CIQ($B7,"IQ_TOTAL_BANK_CAPITAL",QN$3,$E$3,$J$3,,$G$3,$H$3)),"")</f>
        <v/>
      </c>
      <c r="RI7" s="628" t="str">
        <f>IFERROR(IF(OR($B7="",RI$4=""),"",(IFERROR(_xll.ciqfunctions.udf.CIQ($B7,"IQ_MARKETCAP",RI$4),0)+IFERROR(_xll.ciqfunctions.udf.CIQ($B7,"IQ_TOTAL_DEBT",RI$3),0)+IFERROR(_xll.ciqfunctions.udf.CIQ($B7,"IQ_PREF_EQUITY",RI$3),0)+IFERROR(_xll.ciqfunctions.udf.CIQ($B7,"IQ_MINORITY_INTEREST",RI$3),0)-IFERROR(_xll.ciqfunctions.udf.CIQ($B7,"IQ_ST_INVEST",RI$3),0)-IFERROR(_xll.ciqfunctions.udf.CIQ($B7,"IQ_cash_equiv",RI$3),0))/_xll.ciqfunctions.udf.CIQ($B7,"IQ_TOTAL_BANK_CAPITAL",QO$3,$E$3,$J$3,,$G$3,$H$3)),"")</f>
        <v/>
      </c>
      <c r="RJ7" s="628" t="str">
        <f>IFERROR(IF(OR($B7="",RJ$4=""),"",(IFERROR(_xll.ciqfunctions.udf.CIQ($B7,"IQ_MARKETCAP",RJ$4),0)+IFERROR(_xll.ciqfunctions.udf.CIQ($B7,"IQ_TOTAL_DEBT",RJ$3),0)+IFERROR(_xll.ciqfunctions.udf.CIQ($B7,"IQ_PREF_EQUITY",RJ$3),0)+IFERROR(_xll.ciqfunctions.udf.CIQ($B7,"IQ_MINORITY_INTEREST",RJ$3),0)-IFERROR(_xll.ciqfunctions.udf.CIQ($B7,"IQ_ST_INVEST",RJ$3),0)-IFERROR(_xll.ciqfunctions.udf.CIQ($B7,"IQ_cash_equiv",RJ$3),0))/_xll.ciqfunctions.udf.CIQ($B7,"IQ_TOTAL_BANK_CAPITAL",QP$3,$E$3,$J$3,,$G$3,$H$3)),"")</f>
        <v/>
      </c>
      <c r="RK7" s="628" t="str">
        <f>IFERROR(IF(OR($B7="",RK$4=""),"",(IFERROR(_xll.ciqfunctions.udf.CIQ($B7,"IQ_MARKETCAP",RK$4),0)+IFERROR(_xll.ciqfunctions.udf.CIQ($B7,"IQ_TOTAL_DEBT",RK$3),0)+IFERROR(_xll.ciqfunctions.udf.CIQ($B7,"IQ_PREF_EQUITY",RK$3),0)+IFERROR(_xll.ciqfunctions.udf.CIQ($B7,"IQ_MINORITY_INTEREST",RK$3),0)-IFERROR(_xll.ciqfunctions.udf.CIQ($B7,"IQ_ST_INVEST",RK$3),0)-IFERROR(_xll.ciqfunctions.udf.CIQ($B7,"IQ_cash_equiv",RK$3),0))/_xll.ciqfunctions.udf.CIQ($B7,"IQ_TOTAL_BANK_CAPITAL",QQ$3,$E$3,$J$3,,$G$3,$H$3)),"")</f>
        <v/>
      </c>
      <c r="RL7" s="628" t="str">
        <f>IFERROR(IF(OR($B7="",RL$4=""),"",(IFERROR(_xll.ciqfunctions.udf.CIQ($B7,"IQ_MARKETCAP",RL$4),0)+IFERROR(_xll.ciqfunctions.udf.CIQ($B7,"IQ_TOTAL_DEBT",RL$3),0)+IFERROR(_xll.ciqfunctions.udf.CIQ($B7,"IQ_PREF_EQUITY",RL$3),0)+IFERROR(_xll.ciqfunctions.udf.CIQ($B7,"IQ_MINORITY_INTEREST",RL$3),0)-IFERROR(_xll.ciqfunctions.udf.CIQ($B7,"IQ_ST_INVEST",RL$3),0)-IFERROR(_xll.ciqfunctions.udf.CIQ($B7,"IQ_cash_equiv",RL$3),0))/_xll.ciqfunctions.udf.CIQ($B7,"IQ_TOTAL_BANK_CAPITAL",QR$3,$E$3,$J$3,,$G$3,$H$3)),"")</f>
        <v/>
      </c>
      <c r="RM7" s="628" t="str">
        <f>IFERROR(IF(OR($B7="",RM$4=""),"",(IFERROR(_xll.ciqfunctions.udf.CIQ($B7,"IQ_MARKETCAP",RM$4),0)+IFERROR(_xll.ciqfunctions.udf.CIQ($B7,"IQ_TOTAL_DEBT",RM$3),0)+IFERROR(_xll.ciqfunctions.udf.CIQ($B7,"IQ_PREF_EQUITY",RM$3),0)+IFERROR(_xll.ciqfunctions.udf.CIQ($B7,"IQ_MINORITY_INTEREST",RM$3),0)-IFERROR(_xll.ciqfunctions.udf.CIQ($B7,"IQ_ST_INVEST",RM$3),0)-IFERROR(_xll.ciqfunctions.udf.CIQ($B7,"IQ_cash_equiv",RM$3),0))/_xll.ciqfunctions.udf.CIQ($B7,"IQ_TOTAL_BANK_CAPITAL",QS$3,$E$3,$J$3,,$G$3,$H$3)),"")</f>
        <v/>
      </c>
      <c r="RN7" s="628" t="str">
        <f>IFERROR(IF(OR($B7="",RN$4=""),"",(IFERROR(_xll.ciqfunctions.udf.CIQ($B7,"IQ_MARKETCAP",RN$4),0)+IFERROR(_xll.ciqfunctions.udf.CIQ($B7,"IQ_TOTAL_DEBT",RN$3),0)+IFERROR(_xll.ciqfunctions.udf.CIQ($B7,"IQ_PREF_EQUITY",RN$3),0)+IFERROR(_xll.ciqfunctions.udf.CIQ($B7,"IQ_MINORITY_INTEREST",RN$3),0)-IFERROR(_xll.ciqfunctions.udf.CIQ($B7,"IQ_ST_INVEST",RN$3),0)-IFERROR(_xll.ciqfunctions.udf.CIQ($B7,"IQ_cash_equiv",RN$3),0))/_xll.ciqfunctions.udf.CIQ($B7,"IQ_TOTAL_BANK_CAPITAL",QT$3,$E$3,$J$3,,$G$3,$H$3)),"")</f>
        <v/>
      </c>
      <c r="RO7" s="628" t="str">
        <f>IFERROR(IF(OR($B7="",RO$4=""),"",(IFERROR(_xll.ciqfunctions.udf.CIQ($B7,"IQ_MARKETCAP",RO$4),0)+IFERROR(_xll.ciqfunctions.udf.CIQ($B7,"IQ_TOTAL_DEBT",RO$3),0)+IFERROR(_xll.ciqfunctions.udf.CIQ($B7,"IQ_PREF_EQUITY",RO$3),0)+IFERROR(_xll.ciqfunctions.udf.CIQ($B7,"IQ_MINORITY_INTEREST",RO$3),0)-IFERROR(_xll.ciqfunctions.udf.CIQ($B7,"IQ_ST_INVEST",RO$3),0)-IFERROR(_xll.ciqfunctions.udf.CIQ($B7,"IQ_cash_equiv",RO$3),0))/_xll.ciqfunctions.udf.CIQ($B7,"IQ_TOTAL_BANK_CAPITAL",QU$3,$E$3,$J$3,,$G$3,$H$3)),"")</f>
        <v/>
      </c>
      <c r="RP7" s="628" t="str">
        <f>IFERROR(IF(OR($B7="",RP$4=""),"",(IFERROR(_xll.ciqfunctions.udf.CIQ($B7,"IQ_MARKETCAP",RP$4),0)+IFERROR(_xll.ciqfunctions.udf.CIQ($B7,"IQ_TOTAL_DEBT",RP$3),0)+IFERROR(_xll.ciqfunctions.udf.CIQ($B7,"IQ_PREF_EQUITY",RP$3),0)+IFERROR(_xll.ciqfunctions.udf.CIQ($B7,"IQ_MINORITY_INTEREST",RP$3),0)-IFERROR(_xll.ciqfunctions.udf.CIQ($B7,"IQ_ST_INVEST",RP$3),0)-IFERROR(_xll.ciqfunctions.udf.CIQ($B7,"IQ_cash_equiv",RP$3),0))/_xll.ciqfunctions.udf.CIQ($B7,"IQ_TOTAL_BANK_CAPITAL",QV$3,$E$3,$J$3,,$G$3,$H$3)),"")</f>
        <v/>
      </c>
      <c r="RQ7" s="628" t="str">
        <f>IFERROR(IF(OR($B7="",RQ$4=""),"",(IFERROR(_xll.ciqfunctions.udf.CIQ($B7,"IQ_MARKETCAP",RQ$4),0)+IFERROR(_xll.ciqfunctions.udf.CIQ($B7,"IQ_TOTAL_DEBT",RQ$3),0)+IFERROR(_xll.ciqfunctions.udf.CIQ($B7,"IQ_PREF_EQUITY",RQ$3),0)+IFERROR(_xll.ciqfunctions.udf.CIQ($B7,"IQ_MINORITY_INTEREST",RQ$3),0)-IFERROR(_xll.ciqfunctions.udf.CIQ($B7,"IQ_ST_INVEST",RQ$3),0)-IFERROR(_xll.ciqfunctions.udf.CIQ($B7,"IQ_cash_equiv",RQ$3),0))/_xll.ciqfunctions.udf.CIQ($B7,"IQ_TOTAL_BANK_CAPITAL",QW$3,$E$3,$J$3,,$G$3,$H$3)),"")</f>
        <v/>
      </c>
      <c r="RR7" s="628" t="str">
        <f>IFERROR(IF(OR($B7="",RR$4=""),"",(IFERROR(_xll.ciqfunctions.udf.CIQ($B7,"IQ_MARKETCAP",RR$4),0)+IFERROR(_xll.ciqfunctions.udf.CIQ($B7,"IQ_TOTAL_DEBT",RR$3),0)+IFERROR(_xll.ciqfunctions.udf.CIQ($B7,"IQ_PREF_EQUITY",RR$3),0)+IFERROR(_xll.ciqfunctions.udf.CIQ($B7,"IQ_MINORITY_INTEREST",RR$3),0)-IFERROR(_xll.ciqfunctions.udf.CIQ($B7,"IQ_ST_INVEST",RR$3),0)-IFERROR(_xll.ciqfunctions.udf.CIQ($B7,"IQ_cash_equiv",RR$3),0))/_xll.ciqfunctions.udf.CIQ($B7,"IQ_TOTAL_BANK_CAPITAL",QX$3,$E$3,$J$3,,$G$3,$H$3)),"")</f>
        <v/>
      </c>
      <c r="RS7" s="628" t="str">
        <f>IFERROR(IF(OR($B7="",RS$4=""),"",(IFERROR(_xll.ciqfunctions.udf.CIQ($B7,"IQ_MARKETCAP",RS$4),0)+IFERROR(_xll.ciqfunctions.udf.CIQ($B7,"IQ_TOTAL_DEBT",RS$3),0)+IFERROR(_xll.ciqfunctions.udf.CIQ($B7,"IQ_PREF_EQUITY",RS$3),0)+IFERROR(_xll.ciqfunctions.udf.CIQ($B7,"IQ_MINORITY_INTEREST",RS$3),0)-IFERROR(_xll.ciqfunctions.udf.CIQ($B7,"IQ_ST_INVEST",RS$3),0)-IFERROR(_xll.ciqfunctions.udf.CIQ($B7,"IQ_cash_equiv",RS$3),0))/_xll.ciqfunctions.udf.CIQ($B7,"IQ_TOTAL_BANK_CAPITAL",QY$3,$E$3,$J$3,,$G$3,$H$3)),"")</f>
        <v/>
      </c>
      <c r="RT7" s="628" t="str">
        <f>IFERROR(IF(OR($B7="",RT$4=""),"",(IFERROR(_xll.ciqfunctions.udf.CIQ($B7,"IQ_MARKETCAP",RT$4),0)+IFERROR(_xll.ciqfunctions.udf.CIQ($B7,"IQ_TOTAL_DEBT",RT$3),0)+IFERROR(_xll.ciqfunctions.udf.CIQ($B7,"IQ_PREF_EQUITY",RT$3),0)+IFERROR(_xll.ciqfunctions.udf.CIQ($B7,"IQ_MINORITY_INTEREST",RT$3),0)-IFERROR(_xll.ciqfunctions.udf.CIQ($B7,"IQ_ST_INVEST",RT$3),0)-IFERROR(_xll.ciqfunctions.udf.CIQ($B7,"IQ_cash_equiv",RT$3),0))/_xll.ciqfunctions.udf.CIQ($B7,"IQ_TOTAL_BANK_CAPITAL",QZ$3,$E$3,$J$3,,$G$3,$H$3)),"")</f>
        <v/>
      </c>
      <c r="RU7" s="628" t="str">
        <f>IFERROR(IF(OR($B7="",RU$4=""),"",(IFERROR(_xll.ciqfunctions.udf.CIQ($B7,"IQ_MARKETCAP",RU$4),0)+IFERROR(_xll.ciqfunctions.udf.CIQ($B7,"IQ_TOTAL_DEBT",RU$3),0)+IFERROR(_xll.ciqfunctions.udf.CIQ($B7,"IQ_PREF_EQUITY",RU$3),0)+IFERROR(_xll.ciqfunctions.udf.CIQ($B7,"IQ_MINORITY_INTEREST",RU$3),0)-IFERROR(_xll.ciqfunctions.udf.CIQ($B7,"IQ_ST_INVEST",RU$3),0)-IFERROR(_xll.ciqfunctions.udf.CIQ($B7,"IQ_cash_equiv",RU$3),0))/_xll.ciqfunctions.udf.CIQ($B7,"IQ_TOTAL_BANK_CAPITAL",RA$3,$E$3,$J$3,,$G$3,$H$3)),"")</f>
        <v/>
      </c>
      <c r="RV7" s="628" t="str">
        <f>IFERROR(IF(OR($B7="",RV$4=""),"",(IFERROR(_xll.ciqfunctions.udf.CIQ($B7,"IQ_MARKETCAP",RV$4),0)+IFERROR(_xll.ciqfunctions.udf.CIQ($B7,"IQ_TOTAL_DEBT",RV$3),0)+IFERROR(_xll.ciqfunctions.udf.CIQ($B7,"IQ_PREF_EQUITY",RV$3),0)+IFERROR(_xll.ciqfunctions.udf.CIQ($B7,"IQ_MINORITY_INTEREST",RV$3),0)-IFERROR(_xll.ciqfunctions.udf.CIQ($B7,"IQ_ST_INVEST",RV$3),0)-IFERROR(_xll.ciqfunctions.udf.CIQ($B7,"IQ_cash_equiv",RV$3),0))/_xll.ciqfunctions.udf.CIQ($B7,"IQ_TOTAL_BANK_CAPITAL",RB$3,$E$3,$J$3,,$G$3,$H$3)),"")</f>
        <v/>
      </c>
      <c r="RW7" s="72" t="str">
        <f t="shared" ref="RW7:RW17" si="331">IFERROR(IF(OR($B7="",RW$3="",KE7/QI7=""),"0",KE7/QI7),"0")</f>
        <v>0</v>
      </c>
      <c r="RX7" s="72" t="str">
        <f t="shared" ref="RX7:RX17" si="332">IFERROR(IF(OR($B7="",RX$3="",KF7/QJ7=""),"",KF7/QJ7),"")</f>
        <v/>
      </c>
      <c r="RY7" s="72" t="str">
        <f t="shared" ref="RY7:RY17" si="333">IFERROR(IF(OR($B7="",RY$3="",KG7/QK7=""),"",KG7/QK7),"")</f>
        <v/>
      </c>
      <c r="RZ7" s="72" t="str">
        <f t="shared" ref="RZ7:RZ17" si="334">IFERROR(IF(OR($B7="",RZ$3="",KH7/QL7=""),"",KH7/QL7),"")</f>
        <v/>
      </c>
      <c r="SA7" s="72" t="str">
        <f t="shared" ref="SA7:SA17" si="335">IFERROR(IF(OR($B7="",SA$3="",KI7/QM7=""),"",KI7/QM7),"")</f>
        <v/>
      </c>
      <c r="SB7" s="72" t="str">
        <f t="shared" ref="SB7:SB17" si="336">IFERROR(IF(OR($B7="",SB$3="",KJ7/QN7=""),"",KJ7/QN7),"")</f>
        <v/>
      </c>
      <c r="SC7" s="72" t="str">
        <f t="shared" ref="SC7:SC17" si="337">IFERROR(IF(OR($B7="",SC$3="",KK7/QO7=""),"",KK7/QO7),"")</f>
        <v/>
      </c>
      <c r="SD7" s="72" t="str">
        <f t="shared" ref="SD7:SD17" si="338">IFERROR(IF(OR($B7="",SD$3="",KL7/QP7=""),"",KL7/QP7),"")</f>
        <v/>
      </c>
      <c r="SE7" s="72" t="str">
        <f t="shared" ref="SE7:SE17" si="339">IFERROR(IF(OR($B7="",SE$3="",KM7/QQ7=""),"",KM7/QQ7),"")</f>
        <v/>
      </c>
      <c r="SF7" s="72" t="str">
        <f t="shared" ref="SF7:SF17" si="340">IFERROR(IF(OR($B7="",SF$3="",KN7/QR7=""),"",KN7/QR7),"")</f>
        <v/>
      </c>
      <c r="SG7" s="72" t="str">
        <f t="shared" ref="SG7:SG17" si="341">IFERROR(IF(OR($B7="",SG$3="",KO7/QS7=""),"",KO7/QS7),"")</f>
        <v/>
      </c>
      <c r="SH7" s="72" t="str">
        <f t="shared" ref="SH7:SH17" si="342">IFERROR(IF(OR($B7="",SH$3="",KP7/QT7=""),"",KP7/QT7),"")</f>
        <v/>
      </c>
      <c r="SI7" s="72" t="str">
        <f t="shared" ref="SI7:SI17" si="343">IFERROR(IF(OR($B7="",SI$3="",KQ7/QU7=""),"",KQ7/QU7),"")</f>
        <v/>
      </c>
      <c r="SJ7" s="72" t="str">
        <f t="shared" ref="SJ7:SJ17" si="344">IFERROR(IF(OR($B7="",SJ$3="",KR7/QV7=""),"",KR7/QV7),"")</f>
        <v/>
      </c>
      <c r="SK7" s="72" t="str">
        <f t="shared" ref="SK7:SK17" si="345">IFERROR(IF(OR($B7="",SK$3="",KS7/QW7=""),"",KS7/QW7),"")</f>
        <v/>
      </c>
      <c r="SL7" s="72" t="str">
        <f t="shared" ref="SL7:SL17" si="346">IFERROR(IF(OR($B7="",SL$3="",KT7/QX7=""),"",KT7/QX7),"")</f>
        <v/>
      </c>
      <c r="SM7" s="72" t="str">
        <f t="shared" ref="SM7:SM17" si="347">IFERROR(IF(OR($B7="",SM$3="",KU7/QY7=""),"",KU7/QY7),"")</f>
        <v/>
      </c>
      <c r="SN7" s="72" t="str">
        <f t="shared" ref="SN7:SN17" si="348">IFERROR(IF(OR($B7="",SN$3="",KV7/QZ7=""),"",KV7/QZ7),"")</f>
        <v/>
      </c>
      <c r="SO7" s="72" t="str">
        <f t="shared" ref="SO7:SO17" si="349">IFERROR(IF(OR($B7="",SO$3="",KW7/RA7=""),"",KW7/RA7),"")</f>
        <v/>
      </c>
      <c r="SP7" s="72" t="str">
        <f t="shared" ref="SP7:SP17" si="350">IFERROR(IF(OR($B7="",SP$3="",KX7/RB7=""),"",KX7/RB7),"")</f>
        <v/>
      </c>
      <c r="SQ7" s="72">
        <f>IFERROR(IF(OR($B7="",SQ$3=""),"",_xll.ciqfunctions.udf.CIQ($B7,"IQ_TOTAL_DEPOSITS",SQ$3,$E$3, $J$3, , $G$3, $H$3)/_xll.ciqfunctions.udf.CIQ($B7,"IQ_TOTAL_ASSETS",SQ$3,$E$3, $J$3, , $G$3, $H$3)),"")</f>
        <v>0</v>
      </c>
      <c r="SR7" s="72" t="str">
        <f>IFERROR(IF(OR($B7="",SR$3=""),"",_xll.ciqfunctions.udf.CIQ($B7,"IQ_TOTAL_DEPOSITS",SR$3,$E$3, $J$3, , $G$3, $H$3)/_xll.ciqfunctions.udf.CIQ($B7,"IQ_TOTAL_ASSETS",SR$3,$E$3, $J$3, , $G$3, $H$3)),"")</f>
        <v/>
      </c>
      <c r="SS7" s="72" t="str">
        <f>IFERROR(IF(OR($B7="",SS$3=""),"",_xll.ciqfunctions.udf.CIQ($B7,"IQ_TOTAL_DEPOSITS",SS$3,$E$3, $J$3, , $G$3, $H$3)/_xll.ciqfunctions.udf.CIQ($B7,"IQ_TOTAL_ASSETS",SS$3,$E$3, $J$3, , $G$3, $H$3)),"")</f>
        <v/>
      </c>
      <c r="ST7" s="72" t="str">
        <f>IFERROR(IF(OR($B7="",ST$3=""),"",_xll.ciqfunctions.udf.CIQ($B7,"IQ_TOTAL_DEPOSITS",ST$3,$E$3, $J$3, , $G$3, $H$3)/_xll.ciqfunctions.udf.CIQ($B7,"IQ_TOTAL_ASSETS",ST$3,$E$3, $J$3, , $G$3, $H$3)),"")</f>
        <v/>
      </c>
      <c r="SU7" s="72" t="str">
        <f>IFERROR(IF(OR($B7="",SU$3=""),"",_xll.ciqfunctions.udf.CIQ($B7,"IQ_TOTAL_DEPOSITS",SU$3,$E$3, $J$3, , $G$3, $H$3)/_xll.ciqfunctions.udf.CIQ($B7,"IQ_TOTAL_ASSETS",SU$3,$E$3, $J$3, , $G$3, $H$3)),"")</f>
        <v/>
      </c>
      <c r="SV7" s="72" t="str">
        <f>IFERROR(IF(OR($B7="",SV$3=""),"",_xll.ciqfunctions.udf.CIQ($B7,"IQ_TOTAL_DEPOSITS",SV$3,$E$3, $J$3, , $G$3, $H$3)/_xll.ciqfunctions.udf.CIQ($B7,"IQ_TOTAL_ASSETS",SV$3,$E$3, $J$3, , $G$3, $H$3)),"")</f>
        <v/>
      </c>
      <c r="SW7" s="72" t="str">
        <f>IFERROR(IF(OR($B7="",SW$3=""),"",_xll.ciqfunctions.udf.CIQ($B7,"IQ_TOTAL_DEPOSITS",SW$3,$E$3, $J$3, , $G$3, $H$3)/_xll.ciqfunctions.udf.CIQ($B7,"IQ_TOTAL_ASSETS",SW$3,$E$3, $J$3, , $G$3, $H$3)),"")</f>
        <v/>
      </c>
      <c r="SX7" s="72" t="str">
        <f>IFERROR(IF(OR($B7="",SX$3=""),"",_xll.ciqfunctions.udf.CIQ($B7,"IQ_TOTAL_DEPOSITS",SX$3,$E$3, $J$3, , $G$3, $H$3)/_xll.ciqfunctions.udf.CIQ($B7,"IQ_TOTAL_ASSETS",SX$3,$E$3, $J$3, , $G$3, $H$3)),"")</f>
        <v/>
      </c>
      <c r="SY7" s="72" t="str">
        <f>IFERROR(IF(OR($B7="",SY$3=""),"",_xll.ciqfunctions.udf.CIQ($B7,"IQ_TOTAL_DEPOSITS",SY$3,$E$3, $J$3, , $G$3, $H$3)/_xll.ciqfunctions.udf.CIQ($B7,"IQ_TOTAL_ASSETS",SY$3,$E$3, $J$3, , $G$3, $H$3)),"")</f>
        <v/>
      </c>
      <c r="SZ7" s="72" t="str">
        <f>IFERROR(IF(OR($B7="",SZ$3=""),"",_xll.ciqfunctions.udf.CIQ($B7,"IQ_TOTAL_DEPOSITS",SZ$3,$E$3, $J$3, , $G$3, $H$3)/_xll.ciqfunctions.udf.CIQ($B7,"IQ_TOTAL_ASSETS",SZ$3,$E$3, $J$3, , $G$3, $H$3)),"")</f>
        <v/>
      </c>
      <c r="TA7" s="72" t="str">
        <f>IFERROR(IF(OR($B7="",TA$3=""),"",_xll.ciqfunctions.udf.CIQ($B7,"IQ_TOTAL_DEPOSITS",TA$3,$E$3, $J$3, , $G$3, $H$3)/_xll.ciqfunctions.udf.CIQ($B7,"IQ_TOTAL_ASSETS",TA$3,$E$3, $J$3, , $G$3, $H$3)),"")</f>
        <v/>
      </c>
      <c r="TB7" s="72" t="str">
        <f>IFERROR(IF(OR($B7="",TB$3=""),"",_xll.ciqfunctions.udf.CIQ($B7,"IQ_TOTAL_DEPOSITS",TB$3,$E$3, $J$3, , $G$3, $H$3)/_xll.ciqfunctions.udf.CIQ($B7,"IQ_TOTAL_ASSETS",TB$3,$E$3, $J$3, , $G$3, $H$3)),"")</f>
        <v/>
      </c>
      <c r="TC7" s="72" t="str">
        <f>IFERROR(IF(OR($B7="",TC$3=""),"",_xll.ciqfunctions.udf.CIQ($B7,"IQ_TOTAL_DEPOSITS",TC$3,$E$3, $J$3, , $G$3, $H$3)/_xll.ciqfunctions.udf.CIQ($B7,"IQ_TOTAL_ASSETS",TC$3,$E$3, $J$3, , $G$3, $H$3)),"")</f>
        <v/>
      </c>
      <c r="TD7" s="72" t="str">
        <f>IFERROR(IF(OR($B7="",TD$3=""),"",_xll.ciqfunctions.udf.CIQ($B7,"IQ_TOTAL_DEPOSITS",TD$3,$E$3, $J$3, , $G$3, $H$3)/_xll.ciqfunctions.udf.CIQ($B7,"IQ_TOTAL_ASSETS",TD$3,$E$3, $J$3, , $G$3, $H$3)),"")</f>
        <v/>
      </c>
      <c r="TE7" s="72" t="str">
        <f>IFERROR(IF(OR($B7="",TE$3=""),"",_xll.ciqfunctions.udf.CIQ($B7,"IQ_TOTAL_DEPOSITS",TE$3,$E$3, $J$3, , $G$3, $H$3)/_xll.ciqfunctions.udf.CIQ($B7,"IQ_TOTAL_ASSETS",TE$3,$E$3, $J$3, , $G$3, $H$3)),"")</f>
        <v/>
      </c>
      <c r="TF7" s="72" t="str">
        <f>IFERROR(IF(OR($B7="",TF$3=""),"",_xll.ciqfunctions.udf.CIQ($B7,"IQ_TOTAL_DEPOSITS",TF$3,$E$3, $J$3, , $G$3, $H$3)/_xll.ciqfunctions.udf.CIQ($B7,"IQ_TOTAL_ASSETS",TF$3,$E$3, $J$3, , $G$3, $H$3)),"")</f>
        <v/>
      </c>
      <c r="TG7" s="72" t="str">
        <f>IFERROR(IF(OR($B7="",TG$3=""),"",_xll.ciqfunctions.udf.CIQ($B7,"IQ_TOTAL_DEPOSITS",TG$3,$E$3, $J$3, , $G$3, $H$3)/_xll.ciqfunctions.udf.CIQ($B7,"IQ_TOTAL_ASSETS",TG$3,$E$3, $J$3, , $G$3, $H$3)),"")</f>
        <v/>
      </c>
      <c r="TH7" s="72" t="str">
        <f>IFERROR(IF(OR($B7="",TH$3=""),"",_xll.ciqfunctions.udf.CIQ($B7,"IQ_TOTAL_DEPOSITS",TH$3,$E$3, $J$3, , $G$3, $H$3)/_xll.ciqfunctions.udf.CIQ($B7,"IQ_TOTAL_ASSETS",TH$3,$E$3, $J$3, , $G$3, $H$3)),"")</f>
        <v/>
      </c>
      <c r="TI7" s="72" t="str">
        <f>IFERROR(IF(OR($B7="",TI$3=""),"",_xll.ciqfunctions.udf.CIQ($B7,"IQ_TOTAL_DEPOSITS",TI$3,$E$3, $J$3, , $G$3, $H$3)/_xll.ciqfunctions.udf.CIQ($B7,"IQ_TOTAL_ASSETS",TI$3,$E$3, $J$3, , $G$3, $H$3)),"")</f>
        <v/>
      </c>
      <c r="TJ7" s="72" t="str">
        <f>IFERROR(IF(OR($B7="",TJ$3=""),"",_xll.ciqfunctions.udf.CIQ($B7,"IQ_TOTAL_DEPOSITS",TJ$3,$E$3, $J$3, , $G$3, $H$3)/_xll.ciqfunctions.udf.CIQ($B7,"IQ_TOTAL_ASSETS",TJ$3,$E$3, $J$3, , $G$3, $H$3)),"")</f>
        <v/>
      </c>
      <c r="TK7" s="72" t="str">
        <f>IFERROR(IF(OR($B7="",TK$3="",TK$4=""),"",(_xll.ciqfunctions.udf.CIQ($B7,"IQ_TOTAL_BANK_CAPITAL",TK$3,$E$3, $J$3, , $G$3, $H$3)/_xll.ciqfunctions.udf.CIQ($B7,"IQ_TOTAL_BANK_CAPITAL",TK$4,$E$3, $J$3, , $G$3, $H$3))-1),"")</f>
        <v/>
      </c>
      <c r="TL7" s="72" t="str">
        <f>IFERROR(IF(OR($B7="",TL$3="",TL$4=""),"",(_xll.ciqfunctions.udf.CIQ($B7,"IQ_TOTAL_BANK_CAPITAL",TL$3,$E$3, $J$3, , $G$3, $H$3)/_xll.ciqfunctions.udf.CIQ($B7,"IQ_TOTAL_BANK_CAPITAL",TL$4,$E$3, $J$3, , $G$3, $H$3))-1),"")</f>
        <v/>
      </c>
      <c r="TM7" s="72" t="str">
        <f>IFERROR(IF(OR($B7="",TM$3="",TM$4=""),"",(_xll.ciqfunctions.udf.CIQ($B7,"IQ_TOTAL_BANK_CAPITAL",TM$3,$E$3, $J$3, , $G$3, $H$3)/_xll.ciqfunctions.udf.CIQ($B7,"IQ_TOTAL_BANK_CAPITAL",TM$4,$E$3, $J$3, , $G$3, $H$3))-1),"")</f>
        <v/>
      </c>
      <c r="TN7" s="72" t="str">
        <f>IFERROR(IF(OR($B7="",TN$3="",TN$4=""),"",(_xll.ciqfunctions.udf.CIQ($B7,"IQ_TOTAL_BANK_CAPITAL",TN$3,$E$3, $J$3, , $G$3, $H$3)/_xll.ciqfunctions.udf.CIQ($B7,"IQ_TOTAL_BANK_CAPITAL",TN$4,$E$3, $J$3, , $G$3, $H$3))-1),"")</f>
        <v/>
      </c>
      <c r="TO7" s="72" t="str">
        <f>IFERROR(IF(OR($B7="",TO$3="",TO$4=""),"",(_xll.ciqfunctions.udf.CIQ($B7,"IQ_TOTAL_BANK_CAPITAL",TO$3,$E$3, $J$3, , $G$3, $H$3)/_xll.ciqfunctions.udf.CIQ($B7,"IQ_TOTAL_BANK_CAPITAL",TO$4,$E$3, $J$3, , $G$3, $H$3))-1),"")</f>
        <v/>
      </c>
      <c r="TP7" s="72" t="str">
        <f>IFERROR(IF(OR($B7="",TP$3="",TP$4=""),"",(_xll.ciqfunctions.udf.CIQ($B7,"IQ_TOTAL_BANK_CAPITAL",TP$3,$E$3, $J$3, , $G$3, $H$3)/_xll.ciqfunctions.udf.CIQ($B7,"IQ_TOTAL_BANK_CAPITAL",TP$4,$E$3, $J$3, , $G$3, $H$3))-1),"")</f>
        <v/>
      </c>
      <c r="TQ7" s="72" t="str">
        <f>IFERROR(IF(OR($B7="",TQ$3="",TQ$4=""),"",(_xll.ciqfunctions.udf.CIQ($B7,"IQ_TOTAL_BANK_CAPITAL",TQ$3,$E$3, $J$3, , $G$3, $H$3)/_xll.ciqfunctions.udf.CIQ($B7,"IQ_TOTAL_BANK_CAPITAL",TQ$4,$E$3, $J$3, , $G$3, $H$3))-1),"")</f>
        <v/>
      </c>
      <c r="TR7" s="72" t="str">
        <f>IFERROR(IF(OR($B7="",TR$3="",TR$4=""),"",(_xll.ciqfunctions.udf.CIQ($B7,"IQ_TOTAL_BANK_CAPITAL",TR$3,$E$3, $J$3, , $G$3, $H$3)/_xll.ciqfunctions.udf.CIQ($B7,"IQ_TOTAL_BANK_CAPITAL",TR$4,$E$3, $J$3, , $G$3, $H$3))-1),"")</f>
        <v/>
      </c>
      <c r="TS7" s="72" t="str">
        <f>IFERROR(IF(OR($B7="",TS$3="",TS$4=""),"",(_xll.ciqfunctions.udf.CIQ($B7,"IQ_TOTAL_BANK_CAPITAL",TS$3,$E$3, $J$3, , $G$3, $H$3)/_xll.ciqfunctions.udf.CIQ($B7,"IQ_TOTAL_BANK_CAPITAL",TS$4,$E$3, $J$3, , $G$3, $H$3))-1),"")</f>
        <v/>
      </c>
      <c r="TT7" s="72" t="str">
        <f>IFERROR(IF(OR($B7="",TT$3="",TT$4=""),"",(_xll.ciqfunctions.udf.CIQ($B7,"IQ_TOTAL_BANK_CAPITAL",TT$3,$E$3, $J$3, , $G$3, $H$3)/_xll.ciqfunctions.udf.CIQ($B7,"IQ_TOTAL_BANK_CAPITAL",TT$4,$E$3, $J$3, , $G$3, $H$3))-1),"")</f>
        <v/>
      </c>
      <c r="TU7" s="72" t="str">
        <f>IFERROR(IF(OR($B7="",TU$3="",TU$4=""),"",(_xll.ciqfunctions.udf.CIQ($B7,"IQ_TOTAL_BANK_CAPITAL",TU$3,$E$3, $J$3, , $G$3, $H$3)/_xll.ciqfunctions.udf.CIQ($B7,"IQ_TOTAL_BANK_CAPITAL",TU$4,$E$3, $J$3, , $G$3, $H$3))-1),"")</f>
        <v/>
      </c>
      <c r="TV7" s="72" t="str">
        <f>IFERROR(IF(OR($B7="",TV$3="",TV$4=""),"",(_xll.ciqfunctions.udf.CIQ($B7,"IQ_TOTAL_BANK_CAPITAL",TV$3,$E$3, $J$3, , $G$3, $H$3)/_xll.ciqfunctions.udf.CIQ($B7,"IQ_TOTAL_BANK_CAPITAL",TV$4,$E$3, $J$3, , $G$3, $H$3))-1),"")</f>
        <v/>
      </c>
      <c r="TW7" s="72" t="str">
        <f>IFERROR(IF(OR($B7="",TW$3="",TW$4=""),"",(_xll.ciqfunctions.udf.CIQ($B7,"IQ_TOTAL_BANK_CAPITAL",TW$3,$E$3, $J$3, , $G$3, $H$3)/_xll.ciqfunctions.udf.CIQ($B7,"IQ_TOTAL_BANK_CAPITAL",TW$4,$E$3, $J$3, , $G$3, $H$3))-1),"")</f>
        <v/>
      </c>
      <c r="TX7" s="72" t="str">
        <f>IFERROR(IF(OR($B7="",TX$3="",TX$4=""),"",(_xll.ciqfunctions.udf.CIQ($B7,"IQ_TOTAL_BANK_CAPITAL",TX$3,$E$3, $J$3, , $G$3, $H$3)/_xll.ciqfunctions.udf.CIQ($B7,"IQ_TOTAL_BANK_CAPITAL",TX$4,$E$3, $J$3, , $G$3, $H$3))-1),"")</f>
        <v/>
      </c>
      <c r="TY7" s="72" t="str">
        <f>IFERROR(IF(OR($B7="",TY$3="",TY$4=""),"",(_xll.ciqfunctions.udf.CIQ($B7,"IQ_TOTAL_BANK_CAPITAL",TY$3,$E$3, $J$3, , $G$3, $H$3)/_xll.ciqfunctions.udf.CIQ($B7,"IQ_TOTAL_BANK_CAPITAL",TY$4,$E$3, $J$3, , $G$3, $H$3))-1),"")</f>
        <v/>
      </c>
      <c r="TZ7" s="72" t="str">
        <f>IFERROR(IF(OR($B7="",TZ$3="",TZ$4=""),"",(_xll.ciqfunctions.udf.CIQ($B7,"IQ_TOTAL_BANK_CAPITAL",TZ$3,$E$3, $J$3, , $G$3, $H$3)/_xll.ciqfunctions.udf.CIQ($B7,"IQ_TOTAL_BANK_CAPITAL",TZ$4,$E$3, $J$3, , $G$3, $H$3))-1),"")</f>
        <v/>
      </c>
      <c r="UA7" s="72" t="str">
        <f>IFERROR(IF(OR($B7="",UA$3="",UA$4=""),"",(_xll.ciqfunctions.udf.CIQ($B7,"IQ_TOTAL_BANK_CAPITAL",UA$3,$E$3, $J$3, , $G$3, $H$3)/_xll.ciqfunctions.udf.CIQ($B7,"IQ_TOTAL_BANK_CAPITAL",UA$4,$E$3, $J$3, , $G$3, $H$3))-1),"")</f>
        <v/>
      </c>
      <c r="UB7" s="72" t="str">
        <f>IFERROR(IF(OR($B7="",UB$3="",UB$4=""),"",(_xll.ciqfunctions.udf.CIQ($B7,"IQ_TOTAL_BANK_CAPITAL",UB$3,$E$3, $J$3, , $G$3, $H$3)/_xll.ciqfunctions.udf.CIQ($B7,"IQ_TOTAL_BANK_CAPITAL",UB$4,$E$3, $J$3, , $G$3, $H$3))-1),"")</f>
        <v/>
      </c>
      <c r="UC7" s="72" t="str">
        <f>IFERROR(IF(OR($B7="",UC$3="",UC$4=""),"",(_xll.ciqfunctions.udf.CIQ($B7,"IQ_TOTAL_BANK_CAPITAL",UC$3,$E$3, $J$3, , $G$3, $H$3)/_xll.ciqfunctions.udf.CIQ($B7,"IQ_TOTAL_BANK_CAPITAL",UC$4,$E$3, $J$3, , $G$3, $H$3))-1),"")</f>
        <v/>
      </c>
      <c r="UD7" s="72" t="str">
        <f>IFERROR(IF(OR($B7="",UD$3="",UD$4=""),"",(_xll.ciqfunctions.udf.CIQ($B7,"IQ_TOTAL_BANK_CAPITAL",UD$3,$E$3, $J$3, , $G$3, $H$3)/_xll.ciqfunctions.udf.CIQ($B7,"IQ_TOTAL_BANK_CAPITAL",UD$4,$E$3, $J$3, , $G$3, $H$3))-1),"")</f>
        <v/>
      </c>
      <c r="UE7" s="72">
        <f>IFERROR(IF(OR($B7="",UE$3=""),"",(_xll.ciqfunctions.udf.CIQ($B7,"IQ_TOTAL_CAPITAL_RATIO",UE$3,$E$3, $J$3, , $G$3, $H$3) - _xll.ciqfunctions.udf.CIQ($B7,"IQ_TIER_ONE_RATIO",UE$3,$E$3, $J$3, , $G$3, $H$3))/100),"")</f>
        <v>0</v>
      </c>
      <c r="UF7" s="73" t="str">
        <f>IFERROR(IF(OR($B7="",UF$3=""),"",(_xll.ciqfunctions.udf.CIQ($B7,"IQ_TOTAL_CAPITAL_RATIO",UF$3,$E$3, $J$3, , $G$3, $H$3) - _xll.ciqfunctions.udf.CIQ($B7,"IQ_TIER_ONE_RATIO",UF$3,$E$3, $J$3, , $G$3, $H$3))/100),"")</f>
        <v/>
      </c>
      <c r="UG7" s="73" t="str">
        <f>IFERROR(IF(OR($B7="",UG$3=""),"",(_xll.ciqfunctions.udf.CIQ($B7,"IQ_TOTAL_CAPITAL_RATIO",UG$3,$E$3, $J$3, , $G$3, $H$3) - _xll.ciqfunctions.udf.CIQ($B7,"IQ_TIER_ONE_RATIO",UG$3,$E$3, $J$3, , $G$3, $H$3))/100),"")</f>
        <v/>
      </c>
      <c r="UH7" s="73" t="str">
        <f>IFERROR(IF(OR($B7="",UH$3=""),"",(_xll.ciqfunctions.udf.CIQ($B7,"IQ_TOTAL_CAPITAL_RATIO",UH$3,$E$3, $J$3, , $G$3, $H$3) - _xll.ciqfunctions.udf.CIQ($B7,"IQ_TIER_ONE_RATIO",UH$3,$E$3, $J$3, , $G$3, $H$3))/100),"")</f>
        <v/>
      </c>
      <c r="UI7" s="73" t="str">
        <f>IFERROR(IF(OR($B7="",UI$3=""),"",(_xll.ciqfunctions.udf.CIQ($B7,"IQ_TOTAL_CAPITAL_RATIO",UI$3,$E$3, $J$3, , $G$3, $H$3) - _xll.ciqfunctions.udf.CIQ($B7,"IQ_TIER_ONE_RATIO",UI$3,$E$3, $J$3, , $G$3, $H$3))/100),"")</f>
        <v/>
      </c>
      <c r="UJ7" s="73" t="str">
        <f>IFERROR(IF(OR($B7="",UJ$3=""),"",(_xll.ciqfunctions.udf.CIQ($B7,"IQ_TOTAL_CAPITAL_RATIO",UJ$3,$E$3, $J$3, , $G$3, $H$3) - _xll.ciqfunctions.udf.CIQ($B7,"IQ_TIER_ONE_RATIO",UJ$3,$E$3, $J$3, , $G$3, $H$3))/100),"")</f>
        <v/>
      </c>
      <c r="UK7" s="73" t="str">
        <f>IFERROR(IF(OR($B7="",UK$3=""),"",(_xll.ciqfunctions.udf.CIQ($B7,"IQ_TOTAL_CAPITAL_RATIO",UK$3,$E$3, $J$3, , $G$3, $H$3) - _xll.ciqfunctions.udf.CIQ($B7,"IQ_TIER_ONE_RATIO",UK$3,$E$3, $J$3, , $G$3, $H$3))/100),"")</f>
        <v/>
      </c>
      <c r="UL7" s="73" t="str">
        <f>IFERROR(IF(OR($B7="",UL$3=""),"",(_xll.ciqfunctions.udf.CIQ($B7,"IQ_TOTAL_CAPITAL_RATIO",UL$3,$E$3, $J$3, , $G$3, $H$3) - _xll.ciqfunctions.udf.CIQ($B7,"IQ_TIER_ONE_RATIO",UL$3,$E$3, $J$3, , $G$3, $H$3))/100),"")</f>
        <v/>
      </c>
      <c r="UM7" s="73" t="str">
        <f>IFERROR(IF(OR($B7="",UM$3=""),"",(_xll.ciqfunctions.udf.CIQ($B7,"IQ_TOTAL_CAPITAL_RATIO",UM$3,$E$3, $J$3, , $G$3, $H$3) - _xll.ciqfunctions.udf.CIQ($B7,"IQ_TIER_ONE_RATIO",UM$3,$E$3, $J$3, , $G$3, $H$3))/100),"")</f>
        <v/>
      </c>
      <c r="UN7" s="73" t="str">
        <f>IFERROR(IF(OR($B7="",UN$3=""),"",(_xll.ciqfunctions.udf.CIQ($B7,"IQ_TOTAL_CAPITAL_RATIO",UN$3,$E$3, $J$3, , $G$3, $H$3) - _xll.ciqfunctions.udf.CIQ($B7,"IQ_TIER_ONE_RATIO",UN$3,$E$3, $J$3, , $G$3, $H$3))/100),"")</f>
        <v/>
      </c>
      <c r="UO7" s="73" t="str">
        <f>IFERROR(IF(OR($B7="",UO$3=""),"",(_xll.ciqfunctions.udf.CIQ($B7,"IQ_TOTAL_CAPITAL_RATIO",UO$3,$E$3, $J$3, , $G$3, $H$3) - _xll.ciqfunctions.udf.CIQ($B7,"IQ_TIER_ONE_RATIO",UO$3,$E$3, $J$3, , $G$3, $H$3))/100),"")</f>
        <v/>
      </c>
      <c r="UP7" s="73" t="str">
        <f>IFERROR(IF(OR($B7="",UP$3=""),"",(_xll.ciqfunctions.udf.CIQ($B7,"IQ_TOTAL_CAPITAL_RATIO",UP$3,$E$3, $J$3, , $G$3, $H$3) - _xll.ciqfunctions.udf.CIQ($B7,"IQ_TIER_ONE_RATIO",UP$3,$E$3, $J$3, , $G$3, $H$3))/100),"")</f>
        <v/>
      </c>
      <c r="UQ7" s="73" t="str">
        <f>IFERROR(IF(OR($B7="",UQ$3=""),"",(_xll.ciqfunctions.udf.CIQ($B7,"IQ_TOTAL_CAPITAL_RATIO",UQ$3,$E$3, $J$3, , $G$3, $H$3) - _xll.ciqfunctions.udf.CIQ($B7,"IQ_TIER_ONE_RATIO",UQ$3,$E$3, $J$3, , $G$3, $H$3))/100),"")</f>
        <v/>
      </c>
      <c r="UR7" s="73" t="str">
        <f>IFERROR(IF(OR($B7="",UR$3=""),"",(_xll.ciqfunctions.udf.CIQ($B7,"IQ_TOTAL_CAPITAL_RATIO",UR$3,$E$3, $J$3, , $G$3, $H$3) - _xll.ciqfunctions.udf.CIQ($B7,"IQ_TIER_ONE_RATIO",UR$3,$E$3, $J$3, , $G$3, $H$3))/100),"")</f>
        <v/>
      </c>
      <c r="US7" s="73" t="str">
        <f>IFERROR(IF(OR($B7="",US$3=""),"",(_xll.ciqfunctions.udf.CIQ($B7,"IQ_TOTAL_CAPITAL_RATIO",US$3,$E$3, $J$3, , $G$3, $H$3) - _xll.ciqfunctions.udf.CIQ($B7,"IQ_TIER_ONE_RATIO",US$3,$E$3, $J$3, , $G$3, $H$3))/100),"")</f>
        <v/>
      </c>
      <c r="UT7" s="73" t="str">
        <f>IFERROR(IF(OR($B7="",UT$3=""),"",(_xll.ciqfunctions.udf.CIQ($B7,"IQ_TOTAL_CAPITAL_RATIO",UT$3,$E$3, $J$3, , $G$3, $H$3) - _xll.ciqfunctions.udf.CIQ($B7,"IQ_TIER_ONE_RATIO",UT$3,$E$3, $J$3, , $G$3, $H$3))/100),"")</f>
        <v/>
      </c>
      <c r="UU7" s="73" t="str">
        <f>IFERROR(IF(OR($B7="",UU$3=""),"",(_xll.ciqfunctions.udf.CIQ($B7,"IQ_TOTAL_CAPITAL_RATIO",UU$3,$E$3, $J$3, , $G$3, $H$3) - _xll.ciqfunctions.udf.CIQ($B7,"IQ_TIER_ONE_RATIO",UU$3,$E$3, $J$3, , $G$3, $H$3))/100),"")</f>
        <v/>
      </c>
      <c r="UV7" s="73" t="str">
        <f>IFERROR(IF(OR($B7="",UV$3=""),"",(_xll.ciqfunctions.udf.CIQ($B7,"IQ_TOTAL_CAPITAL_RATIO",UV$3,$E$3, $J$3, , $G$3, $H$3) - _xll.ciqfunctions.udf.CIQ($B7,"IQ_TIER_ONE_RATIO",UV$3,$E$3, $J$3, , $G$3, $H$3))/100),"")</f>
        <v/>
      </c>
      <c r="UW7" s="73" t="str">
        <f>IFERROR(IF(OR($B7="",UW$3=""),"",(_xll.ciqfunctions.udf.CIQ($B7,"IQ_TOTAL_CAPITAL_RATIO",UW$3,$E$3, $J$3, , $G$3, $H$3) - _xll.ciqfunctions.udf.CIQ($B7,"IQ_TIER_ONE_RATIO",UW$3,$E$3, $J$3, , $G$3, $H$3))/100),"")</f>
        <v/>
      </c>
      <c r="UX7" s="74" t="str">
        <f>IFERROR(IF(OR($B7="",UX$3=""),"",(_xll.ciqfunctions.udf.CIQ($B7,"IQ_TOTAL_CAPITAL_RATIO",UX$3,$E$3, $J$3, , $G$3, $H$3) - _xll.ciqfunctions.udf.CIQ($B7,"IQ_TIER_ONE_RATIO",UX$3,$E$3, $J$3, , $G$3, $H$3))/100),"")</f>
        <v/>
      </c>
    </row>
    <row r="8" spans="1:570" ht="15" customHeight="1" x14ac:dyDescent="0.2">
      <c r="A8" s="218" t="str">
        <f>IF(B8="","",_xll.ciqfunctions.udf.CIQ($B8,"IQ_COMPANY_NAME"))</f>
        <v>Costco Wholesale Corporation</v>
      </c>
      <c r="B8" s="272" t="str">
        <f>IF(Input!B20="","",Input!B20)</f>
        <v>NasdaqGS:COST</v>
      </c>
      <c r="C8" s="272" t="str">
        <f>Input!E20</f>
        <v>Costco</v>
      </c>
      <c r="D8" s="269" t="str">
        <f>IF(B8="","",_xll.ciqfunctions.udf.CIQ($B8,"IQ_PRIMARY_INDUSTRY"))</f>
        <v>Hypermarkets and Super Centers</v>
      </c>
      <c r="E8" s="219">
        <f>IF($B8="","",IF(NOT(ISNUMBER(_xll.ciqfunctions.udf.CIQ($B8, "IQ_CLOSEPRICE", $E$3, $G$3, $H$3))),"",_xll.ciqfunctions.udf.CIQ($B8, "IQ_CLOSEPRICE", $E$3, $G$3, $H$3)))</f>
        <v>558.11</v>
      </c>
      <c r="F8" s="219">
        <f>IF($B8="","",IF(NOT(ISNUMBER(_xll.ciqfunctions.udf.CIQ($B8, "IQ_CLOSEPRICE", $E$4, $G$3, $H$3))),"",_xll.ciqfunctions.udf.CIQ($B8, "IQ_CLOSEPRICE", $E$4, $G$3, $H$3)))</f>
        <v>346.34</v>
      </c>
      <c r="G8" s="220">
        <f>IFERROR((E8-F8)/F8,"")</f>
        <v>0.6114511751458106</v>
      </c>
      <c r="H8" s="220">
        <f>IFERROR(IF($B8="","",_xll.ciqfunctions.udf.CIQ($B8, "IQ_TOTAL_REV_1YR_ANN_GROWTH", $I$3, $E$3, $J$3)/100),"")</f>
        <v>0.176866</v>
      </c>
      <c r="I8" s="220" t="str">
        <f>IFERROR(IF($B8="","",_xll.ciqfunctions.udf.CIQ($B8,"IQ_NET_INT_INC_BNK",$I$3, $E$3, $J$3, , $G$3, $H$3)/_xll.ciqfunctions.udf.CIQ($B8,"IQ_GROSS_LOANS",$I$3, $E$3, $J$3, , $G$3, $H$3)),"")</f>
        <v/>
      </c>
      <c r="J8" s="220">
        <f>IFERROR(IF(B8="","",_xll.ciqfunctions.udf.CIQ($B8,"IQ_EBT",$I$3, $E$3, $J$3, , $G$3, $H$3)/_xll.ciqfunctions.udf.CIQ($B8,"IQ_TOTAL_REVENUE",$I$3, $E$3, $J$3, , $G$3, $H$3)),"")</f>
        <v>3.5382149092137244E-2</v>
      </c>
      <c r="K8" s="220">
        <f>IFERROR(IF(B8="","",_xll.ciqfunctions.udf.CIQ($B8,"IQ_NI_MARGIN",$I$3, $E$3, $J$3, , $G$3, $H$3)/100),"")</f>
        <v>2.6225000000000002E-2</v>
      </c>
      <c r="L8" s="220">
        <f>IFERROR(IF($B8="","",_xll.ciqfunctions.udf.CIQ($B8,"IQ_NI",$I$3, $E$3, $J$3, , $G$3, $H$3)/(0.5*(_xll.ciqfunctions.udf.CIQ($B8,"IQ_TOTAL_ASSETS",$I$3, $E$3, $J$3, , $G$3, $H$3)+_xll.ciqfunctions.udf.CIQ($B8,"IQ_TOTAL_ASSETS",$I$3 &amp; "-4", $E$3, $J$3, , $G$3, $H$3)))),"")</f>
        <v>9.344384555408658E-2</v>
      </c>
      <c r="M8" s="220">
        <f>IFERROR(_xll.ciqfunctions.udf.CIQ($B8,"IQ_NI",$I$3, $E$3, $J$3, , $G$3, $H$3)/(_xll.ciqfunctions.udf.CIQ($B8,"IQ_TOTAL_ASSETS",$I$3, $E$3, $J$3, , $G$3, $H$3)+_xll.ciqfunctions.udf.CIQ($B8,"IQ_TOTAL_ASSETS",$I$3 &amp; "-4", $E$3, $J$3, , $G$3, $H$3)-_xll.ciqfunctions.udf.CIQ($B8,"IQ_TOTAL_CL",$I$3, $E$3, $J$3, , $G$3, $H$3)-_xll.ciqfunctions.udf.CIQ($B8,"IQ_TOTAL_CL",$I$3 &amp; "-4", $E$3, $J$3, , $G$3, $H$3)),"")</f>
        <v>9.2056706797802534E-2</v>
      </c>
      <c r="N8" s="220">
        <f>IFERROR(IF($B8="","",_xll.ciqfunctions.udf.CIQ($B8,"IQ_NI",$I$3, $E$3, $J$3, , $G$3, $H$3)/(0.5*(_xll.ciqfunctions.udf.CIQ($B8,"IQ_TOTAL_EQUITY",$I$3, $E$3, $J$3, , $G$3, $H$3)+_xll.ciqfunctions.udf.CIQ($B8,"IQ_TOTAL_EQUITY",$I$3 &amp; "-4", $E$3, $J$3, , $G$3, $H$3)))),"")</f>
        <v>0.3053870655033929</v>
      </c>
      <c r="O8" s="222" t="str">
        <f>IFERROR(IF($B8="","",(_xll.ciqfunctions.udf.CIQ($B8,"IQ_TIER_ONE_CAPITAL",$I$3, $E$3, $J$3, , $G$3, $H$3)+_xll.ciqfunctions.udf.CIQ($B8,"IQ_TIER_TWO_CAPITAL",$I$3, $E$3, $J$3, , $G$3, $H$3)-_xll.ciqfunctions.udf.CIQ($B8,"IQ_GW",$I$3, $E$3, $J$3, , $G$3, $H$3))/_xll.ciqfunctions.udf.CIQ($B8,"IQ_RISK_ADJ_BANK_ASSETS",$I$3, $E$3, $J$3, , $G$3, $H$3)),"")</f>
        <v/>
      </c>
      <c r="P8" s="222">
        <f>IFERROR(IF($B8="","",(_xll.ciqfunctions.udf.CIQ($B8,"IQ_TIER_ONE_CAPITAL",$I$3, $E$3, $J$3, , $G$3, $H$3)+_xll.ciqfunctions.udf.CIQ($B8,"IQ_TIER_TWO_CAPITAL",$I$3, $E$3, $J$3, , $G$3, $H$3))/_xll.ciqfunctions.udf.CIQ($B8,"IQ_TOTAL_ASSETS",$I$3, $E$3, $J$3, , $G$3, $H$3)),"")</f>
        <v>0</v>
      </c>
      <c r="Q8" s="220">
        <f>IFERROR(IF(B8="","",_xll.ciqfunctions.udf.CIQ($B8,"IQ_TIER_ONE_RATIO",$I$3, $E$3, $J$3, , $G$3, $H$3)/100),"")</f>
        <v>0</v>
      </c>
      <c r="R8" s="220">
        <f t="shared" si="330"/>
        <v>0</v>
      </c>
      <c r="S8" s="220">
        <f>IFERROR(IF(B8="","",_xll.ciqfunctions.udf.CIQ($B8,"IQ_TOTAL_CAPITAL_RATIO",$I$3, $E$3, $J$3, , $G$3, $H$3)/100),"")</f>
        <v>0</v>
      </c>
      <c r="T8" s="220">
        <f>IFERROR(IF($B8="","",_xll.ciqfunctions.udf.CIQ($B8,"IQ_NON_PERF_LOANS_TOTAL_LOANS",$I$3, $E$3, $J$3, , $G$3, $H$3)/100),"")</f>
        <v>0</v>
      </c>
      <c r="U8" s="222" t="str">
        <f>IFERROR(IF($B8="","",-_xll.ciqfunctions.udf.CIQ($B8,"IQ_ALLOW_LL",$I$3, $E$3, $J$3, , $G$3, $H$3)/_xll.ciqfunctions.udf.CIQ($B8,"IQ_TOTAL_LOANS",$I$3, $E$3, $J$3, , $G$3, $H$3)),"")</f>
        <v/>
      </c>
      <c r="V8" s="220" t="str">
        <f>IFERROR(IF($B8="","",_xll.ciqfunctions.udf.CIQ($B8,"IQ_LL",$I$3, $E$3, $J$3, , $G$3, $H$3)/_xll.ciqfunctions.udf.CIQ($B8,"IQ_NET_LOANS",$I$3, $E$3, $J$3, , $G$3, $H$3)),"")</f>
        <v/>
      </c>
      <c r="W8" s="220">
        <f>IFERROR(IF(B8="","",_xll.ciqfunctions.udf.CIQ($B8,"IQ_NET_LOANS",$I$3, $E$3, $J$3, , $G$3, $H$3)/_xll.ciqfunctions.udf.CIQ($B8,"IQ_TOTAL_ASSETS",$I$3, $E$3, $J$3, , $G$3, $H$3)),"")</f>
        <v>0</v>
      </c>
      <c r="X8" s="222" t="str">
        <f>IFERROR(IF($B8="","",_xll.ciqfunctions.udf.CIQ($B8,"IQ_TOTAL_LOANS",$I$3, $E$3, $J$3, , $G$3, $H$3)/_xll.ciqfunctions.udf.CIQ($B8,"IQ_TOTAL_DEPOSITS",$I$3, $E$3, $J$3, , $G$3, $H$3)),"")</f>
        <v/>
      </c>
      <c r="Y8" s="220">
        <f>IFERROR(IF($B8="","",_xll.ciqfunctions.udf.CIQ($B8,"IQ_TOTAL_DEPOSITS",$I$3, $E$3, $J$3, , $G$3, $H$3)/_xll.ciqfunctions.udf.CIQ($B8,"IQ_TOTAL_ASSETS",$I$3, $E$3, $J$3, , $G$3, $H$3)),"")</f>
        <v>0</v>
      </c>
      <c r="Z8" s="221">
        <f>IFERROR(IF(B8="","",_xll.ciqfunctions.udf.CIQ($B8,"IQ_TOTAL_ASSETS",IQ_LTM)/_xll.ciqfunctions.udf.CIQ($B8,"IQ_TOTAL_COMMON_EQUITY",IQ_LTM)),"")</f>
        <v>3.2484292924091052</v>
      </c>
      <c r="AA8" s="222">
        <f>IFERROR(IF($B8="","",_xll.ciqfunctions.udf.CIQ($B8,"IQ_CASH_OPER",$I$3, $E$3, $J$3, , $G$3, $H$3)*2/(_xll.ciqfunctions.udf.CIQ($B8,"IQ_TOTAL_CL",$I$3, $E$3, $J$3, , $G$3, $H$3)+_xll.ciqfunctions.udf.CIQ($B8,"IQ_TOTAL_CL",$I$3 &amp; "-4", $E$3, $J$3, , $G$3, $H$3))),"")</f>
        <v>0.34184033454370233</v>
      </c>
      <c r="AB8" s="222">
        <f>IFERROR(IF($B8="","",_xll.ciqfunctions.udf.CIQ($B8,"IQ_NON_PERFORMING_LOANS",$I$3, $E$3, $J$3, , $G$3, $H$3)/_xll.ciqfunctions.udf.CIQ($B8,"IQ_TOTAL_EQUITY",$I$3, $E$3, $J$3, , $G$3, $H$3)),"")</f>
        <v>0</v>
      </c>
      <c r="AC8" s="1021">
        <f>IF(B8="","",IF(NOT(ISNUMBER(_xll.ciqfunctions.udf.CIQ($B8,"IQ_Z_SCORE",$I$3, $E$3, $J$3, , $G$3, $H$3))),"",_xll.ciqfunctions.udf.CIQ($B8,"IQ_Z_SCORE",$I$3, $E$3, $J$3, , $G$3, $H$3)))</f>
        <v>6.7716200000000004</v>
      </c>
      <c r="AD8" s="19"/>
      <c r="AE8" s="86" t="str">
        <f>IFERROR(IF(OR($B8="",AE$3=""),"",_xll.ciqfunctions.udf.CIQ($B8,"IQ_NET_INT_INC_BNK",AE$3,$E$3, $J$3, , $G$3, $H$3)*2/(_xll.ciqfunctions.udf.CIQ($B8,"IQ_GROSS_LOANS",AE$3,$E$3, $J$3, , $G$3, $H$3)+_xll.ciqfunctions.udf.CIQ($B8,"IQ_GROSS_LOANS", "IQ_" &amp; LEFT(AE$3,2) &amp; "-1",AE$3, $J$3, , $G$3, $H$3))),"")</f>
        <v/>
      </c>
      <c r="AF8" s="87" t="str">
        <f>IFERROR(IF(OR($B8="",AF$3=""),"",_xll.ciqfunctions.udf.CIQ($B8,"IQ_NET_INT_INC_BNK",AF$3,$E$3, $J$3, , $G$3, $H$3)*2/(_xll.ciqfunctions.udf.CIQ($B8,"IQ_GROSS_LOANS",AF$3,$E$3, $J$3, , $G$3, $H$3)+_xll.ciqfunctions.udf.CIQ($B8,"IQ_GROSS_LOANS", "IQ_" &amp; LEFT(AF$3,2) &amp; "-1",AF$3, $J$3, , $G$3, $H$3))),"")</f>
        <v/>
      </c>
      <c r="AG8" s="87" t="str">
        <f>IFERROR(IF(OR($B8="",AG$3=""),"",_xll.ciqfunctions.udf.CIQ($B8,"IQ_NET_INT_INC_BNK",AG$3,$E$3, $J$3, , $G$3, $H$3)*2/(_xll.ciqfunctions.udf.CIQ($B8,"IQ_GROSS_LOANS",AG$3,$E$3, $J$3, , $G$3, $H$3)+_xll.ciqfunctions.udf.CIQ($B8,"IQ_GROSS_LOANS", "IQ_" &amp; LEFT(AG$3,2) &amp; "-1",AG$3, $J$3, , $G$3, $H$3))),"")</f>
        <v/>
      </c>
      <c r="AH8" s="87" t="str">
        <f>IFERROR(IF(OR($B8="",AH$3=""),"",_xll.ciqfunctions.udf.CIQ($B8,"IQ_NET_INT_INC_BNK",AH$3,$E$3, $J$3, , $G$3, $H$3)*2/(_xll.ciqfunctions.udf.CIQ($B8,"IQ_GROSS_LOANS",AH$3,$E$3, $J$3, , $G$3, $H$3)+_xll.ciqfunctions.udf.CIQ($B8,"IQ_GROSS_LOANS", "IQ_" &amp; LEFT(AH$3,2) &amp; "-1",AH$3, $J$3, , $G$3, $H$3))),"")</f>
        <v/>
      </c>
      <c r="AI8" s="87" t="str">
        <f>IFERROR(IF(OR($B8="",AI$3=""),"",_xll.ciqfunctions.udf.CIQ($B8,"IQ_NET_INT_INC_BNK",AI$3,$E$3, $J$3, , $G$3, $H$3)*2/(_xll.ciqfunctions.udf.CIQ($B8,"IQ_GROSS_LOANS",AI$3,$E$3, $J$3, , $G$3, $H$3)+_xll.ciqfunctions.udf.CIQ($B8,"IQ_GROSS_LOANS", "IQ_" &amp; LEFT(AI$3,2) &amp; "-1",AI$3, $J$3, , $G$3, $H$3))),"")</f>
        <v/>
      </c>
      <c r="AJ8" s="87" t="str">
        <f>IFERROR(IF(OR($B8="",AJ$3=""),"",_xll.ciqfunctions.udf.CIQ($B8,"IQ_NET_INT_INC_BNK",AJ$3,$E$3, $J$3, , $G$3, $H$3)*2/(_xll.ciqfunctions.udf.CIQ($B8,"IQ_GROSS_LOANS",AJ$3,$E$3, $J$3, , $G$3, $H$3)+_xll.ciqfunctions.udf.CIQ($B8,"IQ_GROSS_LOANS", "IQ_" &amp; LEFT(AJ$3,2) &amp; "-1",AJ$3, $J$3, , $G$3, $H$3))),"")</f>
        <v/>
      </c>
      <c r="AK8" s="87" t="str">
        <f>IFERROR(IF(OR($B8="",AK$3=""),"",_xll.ciqfunctions.udf.CIQ($B8,"IQ_NET_INT_INC_BNK",AK$3,$E$3, $J$3, , $G$3, $H$3)*2/(_xll.ciqfunctions.udf.CIQ($B8,"IQ_GROSS_LOANS",AK$3,$E$3, $J$3, , $G$3, $H$3)+_xll.ciqfunctions.udf.CIQ($B8,"IQ_GROSS_LOANS", "IQ_" &amp; LEFT(AK$3,2) &amp; "-1",AK$3, $J$3, , $G$3, $H$3))),"")</f>
        <v/>
      </c>
      <c r="AL8" s="87" t="str">
        <f>IFERROR(IF(OR($B8="",AL$3=""),"",_xll.ciqfunctions.udf.CIQ($B8,"IQ_NET_INT_INC_BNK",AL$3,$E$3, $J$3, , $G$3, $H$3)*2/(_xll.ciqfunctions.udf.CIQ($B8,"IQ_GROSS_LOANS",AL$3,$E$3, $J$3, , $G$3, $H$3)+_xll.ciqfunctions.udf.CIQ($B8,"IQ_GROSS_LOANS", "IQ_" &amp; LEFT(AL$3,2) &amp; "-1",AL$3, $J$3, , $G$3, $H$3))),"")</f>
        <v/>
      </c>
      <c r="AM8" s="87" t="str">
        <f>IFERROR(IF(OR($B8="",AM$3=""),"",_xll.ciqfunctions.udf.CIQ($B8,"IQ_NET_INT_INC_BNK",AM$3,$E$3, $J$3, , $G$3, $H$3)*2/(_xll.ciqfunctions.udf.CIQ($B8,"IQ_GROSS_LOANS",AM$3,$E$3, $J$3, , $G$3, $H$3)+_xll.ciqfunctions.udf.CIQ($B8,"IQ_GROSS_LOANS", "IQ_" &amp; LEFT(AM$3,2) &amp; "-1",AM$3, $J$3, , $G$3, $H$3))),"")</f>
        <v/>
      </c>
      <c r="AN8" s="87" t="str">
        <f>IFERROR(IF(OR($B8="",AN$3=""),"",_xll.ciqfunctions.udf.CIQ($B8,"IQ_NET_INT_INC_BNK",AN$3,$E$3, $J$3, , $G$3, $H$3)*2/(_xll.ciqfunctions.udf.CIQ($B8,"IQ_GROSS_LOANS",AN$3,$E$3, $J$3, , $G$3, $H$3)+_xll.ciqfunctions.udf.CIQ($B8,"IQ_GROSS_LOANS", "IQ_" &amp; LEFT(AN$3,2) &amp; "-1",AN$3, $J$3, , $G$3, $H$3))),"")</f>
        <v/>
      </c>
      <c r="AO8" s="87" t="str">
        <f>IFERROR(IF(OR($B8="",AO$3=""),"",_xll.ciqfunctions.udf.CIQ($B8,"IQ_NET_INT_INC_BNK",AO$3,$E$3, $J$3, , $G$3, $H$3)*2/(_xll.ciqfunctions.udf.CIQ($B8,"IQ_GROSS_LOANS",AO$3,$E$3, $J$3, , $G$3, $H$3)+_xll.ciqfunctions.udf.CIQ($B8,"IQ_GROSS_LOANS", "IQ_" &amp; LEFT(AO$3,2) &amp; "-1",AO$3, $J$3, , $G$3, $H$3))),"")</f>
        <v/>
      </c>
      <c r="AP8" s="87" t="str">
        <f>IFERROR(IF(OR($B8="",AP$3=""),"",_xll.ciqfunctions.udf.CIQ($B8,"IQ_NET_INT_INC_BNK",AP$3,$E$3, $J$3, , $G$3, $H$3)*2/(_xll.ciqfunctions.udf.CIQ($B8,"IQ_GROSS_LOANS",AP$3,$E$3, $J$3, , $G$3, $H$3)+_xll.ciqfunctions.udf.CIQ($B8,"IQ_GROSS_LOANS", "IQ_" &amp; LEFT(AP$3,2) &amp; "-1",AP$3, $J$3, , $G$3, $H$3))),"")</f>
        <v/>
      </c>
      <c r="AQ8" s="87" t="str">
        <f>IFERROR(IF(OR($B8="",AQ$3=""),"",_xll.ciqfunctions.udf.CIQ($B8,"IQ_NET_INT_INC_BNK",AQ$3,$E$3, $J$3, , $G$3, $H$3)*2/(_xll.ciqfunctions.udf.CIQ($B8,"IQ_GROSS_LOANS",AQ$3,$E$3, $J$3, , $G$3, $H$3)+_xll.ciqfunctions.udf.CIQ($B8,"IQ_GROSS_LOANS", "IQ_" &amp; LEFT(AQ$3,2) &amp; "-1",AQ$3, $J$3, , $G$3, $H$3))),"")</f>
        <v/>
      </c>
      <c r="AR8" s="87" t="str">
        <f>IFERROR(IF(OR($B8="",AR$3=""),"",_xll.ciqfunctions.udf.CIQ($B8,"IQ_NET_INT_INC_BNK",AR$3,$E$3, $J$3, , $G$3, $H$3)*2/(_xll.ciqfunctions.udf.CIQ($B8,"IQ_GROSS_LOANS",AR$3,$E$3, $J$3, , $G$3, $H$3)+_xll.ciqfunctions.udf.CIQ($B8,"IQ_GROSS_LOANS", "IQ_" &amp; LEFT(AR$3,2) &amp; "-1",AR$3, $J$3, , $G$3, $H$3))),"")</f>
        <v/>
      </c>
      <c r="AS8" s="87" t="str">
        <f>IFERROR(IF(OR($B8="",AS$3=""),"",_xll.ciqfunctions.udf.CIQ($B8,"IQ_NET_INT_INC_BNK",AS$3,$E$3, $J$3, , $G$3, $H$3)*2/(_xll.ciqfunctions.udf.CIQ($B8,"IQ_GROSS_LOANS",AS$3,$E$3, $J$3, , $G$3, $H$3)+_xll.ciqfunctions.udf.CIQ($B8,"IQ_GROSS_LOANS", "IQ_" &amp; LEFT(AS$3,2) &amp; "-1",AS$3, $J$3, , $G$3, $H$3))),"")</f>
        <v/>
      </c>
      <c r="AT8" s="87" t="str">
        <f>IFERROR(IF(OR($B8="",AT$3=""),"",_xll.ciqfunctions.udf.CIQ($B8,"IQ_NET_INT_INC_BNK",AT$3,$E$3, $J$3, , $G$3, $H$3)*2/(_xll.ciqfunctions.udf.CIQ($B8,"IQ_GROSS_LOANS",AT$3,$E$3, $J$3, , $G$3, $H$3)+_xll.ciqfunctions.udf.CIQ($B8,"IQ_GROSS_LOANS", "IQ_" &amp; LEFT(AT$3,2) &amp; "-1",AT$3, $J$3, , $G$3, $H$3))),"")</f>
        <v/>
      </c>
      <c r="AU8" s="87" t="str">
        <f>IFERROR(IF(OR($B8="",AU$3=""),"",_xll.ciqfunctions.udf.CIQ($B8,"IQ_NET_INT_INC_BNK",AU$3,$E$3, $J$3, , $G$3, $H$3)*2/(_xll.ciqfunctions.udf.CIQ($B8,"IQ_GROSS_LOANS",AU$3,$E$3, $J$3, , $G$3, $H$3)+_xll.ciqfunctions.udf.CIQ($B8,"IQ_GROSS_LOANS", "IQ_" &amp; LEFT(AU$3,2) &amp; "-1",AU$3, $J$3, , $G$3, $H$3))),"")</f>
        <v/>
      </c>
      <c r="AV8" s="87" t="str">
        <f>IFERROR(IF(OR($B8="",AV$3=""),"",_xll.ciqfunctions.udf.CIQ($B8,"IQ_NET_INT_INC_BNK",AV$3,$E$3, $J$3, , $G$3, $H$3)*2/(_xll.ciqfunctions.udf.CIQ($B8,"IQ_GROSS_LOANS",AV$3,$E$3, $J$3, , $G$3, $H$3)+_xll.ciqfunctions.udf.CIQ($B8,"IQ_GROSS_LOANS", "IQ_" &amp; LEFT(AV$3,2) &amp; "-1",AV$3, $J$3, , $G$3, $H$3))),"")</f>
        <v/>
      </c>
      <c r="AW8" s="87" t="str">
        <f>IFERROR(IF(OR($B8="",AW$3=""),"",_xll.ciqfunctions.udf.CIQ($B8,"IQ_NET_INT_INC_BNK",AW$3,$E$3, $J$3, , $G$3, $H$3)*2/(_xll.ciqfunctions.udf.CIQ($B8,"IQ_GROSS_LOANS",AW$3,$E$3, $J$3, , $G$3, $H$3)+_xll.ciqfunctions.udf.CIQ($B8,"IQ_GROSS_LOANS", "IQ_" &amp; LEFT(AW$3,2) &amp; "-1",AW$3, $J$3, , $G$3, $H$3))),"")</f>
        <v/>
      </c>
      <c r="AX8" s="88" t="str">
        <f>IFERROR(IF(OR($B8="",AX$3=""),"",_xll.ciqfunctions.udf.CIQ($B8,"IQ_NET_INT_INC_BNK",AX$3,$E$3, $J$3, , $G$3, $H$3)*2/(_xll.ciqfunctions.udf.CIQ($B8,"IQ_GROSS_LOANS",AX$3,$E$3, $J$3, , $G$3, $H$3)+_xll.ciqfunctions.udf.CIQ($B8,"IQ_GROSS_LOANS", "IQ_" &amp; LEFT(AX$3,2) &amp; "-1",AX$3, $J$3, , $G$3, $H$3))),"")</f>
        <v/>
      </c>
      <c r="AY8" s="72" t="str">
        <f>IFERROR(IF(OR($B8="",AY$3=""),"",_xll.ciqfunctions.udf.CIQ($B8, "IQ_EBT", AY$3,$E$3, $J$3, , $G$3, $H$3)/(_xll.ciqfunctions.udf.CIQ($B8,"IQ_INT_INC_TOTAL",BW$3,$E$3, $J$3, , $G$3, $H$3)+_xll.ciqfunctions.udf.CIQ($B8,"IQ_NON_INT_INC",BW$3,$E$3, $J$3, , $G$3, $H$3))),"")</f>
        <v/>
      </c>
      <c r="AZ8" s="72" t="str">
        <f>IFERROR(IF(OR($B8="",AZ$3=""),"",_xll.ciqfunctions.udf.CIQ($B8, "IQ_EBT", AZ$3,$E$3, $J$3, , $G$3, $H$3)/(_xll.ciqfunctions.udf.CIQ($B8,"IQ_INT_INC_TOTAL",BX$3,$E$3, $J$3, , $G$3, $H$3)+_xll.ciqfunctions.udf.CIQ($B8,"IQ_NON_INT_INC",BX$3,$E$3, $J$3, , $G$3, $H$3))),"")</f>
        <v/>
      </c>
      <c r="BA8" s="72" t="str">
        <f>IFERROR(IF(OR($B8="",BA$3=""),"",_xll.ciqfunctions.udf.CIQ($B8, "IQ_EBT", BA$3,$E$3, $J$3, , $G$3, $H$3)/(_xll.ciqfunctions.udf.CIQ($B8,"IQ_INT_INC_TOTAL",BY$3,$E$3, $J$3, , $G$3, $H$3)+_xll.ciqfunctions.udf.CIQ($B8,"IQ_NON_INT_INC",BY$3,$E$3, $J$3, , $G$3, $H$3))),"")</f>
        <v/>
      </c>
      <c r="BB8" s="72" t="str">
        <f>IFERROR(IF(OR($B8="",BB$3=""),"",_xll.ciqfunctions.udf.CIQ($B8, "IQ_EBT", BB$3,$E$3, $J$3, , $G$3, $H$3)/(_xll.ciqfunctions.udf.CIQ($B8,"IQ_INT_INC_TOTAL",BZ$3,$E$3, $J$3, , $G$3, $H$3)+_xll.ciqfunctions.udf.CIQ($B8,"IQ_NON_INT_INC",BZ$3,$E$3, $J$3, , $G$3, $H$3))),"")</f>
        <v/>
      </c>
      <c r="BC8" s="72" t="str">
        <f>IFERROR(IF(OR($B8="",BC$3=""),"",_xll.ciqfunctions.udf.CIQ($B8, "IQ_EBT", BC$3,$E$3, $J$3, , $G$3, $H$3)/(_xll.ciqfunctions.udf.CIQ($B8,"IQ_INT_INC_TOTAL",CA$3,$E$3, $J$3, , $G$3, $H$3)+_xll.ciqfunctions.udf.CIQ($B8,"IQ_NON_INT_INC",CA$3,$E$3, $J$3, , $G$3, $H$3))),"")</f>
        <v/>
      </c>
      <c r="BD8" s="72" t="str">
        <f>IFERROR(IF(OR($B8="",BD$3=""),"",_xll.ciqfunctions.udf.CIQ($B8, "IQ_EBT", BD$3,$E$3, $J$3, , $G$3, $H$3)/(_xll.ciqfunctions.udf.CIQ($B8,"IQ_INT_INC_TOTAL",CB$3,$E$3, $J$3, , $G$3, $H$3)+_xll.ciqfunctions.udf.CIQ($B8,"IQ_NON_INT_INC",CB$3,$E$3, $J$3, , $G$3, $H$3))),"")</f>
        <v/>
      </c>
      <c r="BE8" s="72" t="str">
        <f>IFERROR(IF(OR($B8="",BE$3=""),"",_xll.ciqfunctions.udf.CIQ($B8, "IQ_EBT", BE$3,$E$3, $J$3, , $G$3, $H$3)/(_xll.ciqfunctions.udf.CIQ($B8,"IQ_INT_INC_TOTAL",CC$3,$E$3, $J$3, , $G$3, $H$3)+_xll.ciqfunctions.udf.CIQ($B8,"IQ_NON_INT_INC",CC$3,$E$3, $J$3, , $G$3, $H$3))),"")</f>
        <v/>
      </c>
      <c r="BF8" s="72" t="str">
        <f>IFERROR(IF(OR($B8="",BF$3=""),"",_xll.ciqfunctions.udf.CIQ($B8, "IQ_EBT", BF$3,$E$3, $J$3, , $G$3, $H$3)/(_xll.ciqfunctions.udf.CIQ($B8,"IQ_INT_INC_TOTAL",CD$3,$E$3, $J$3, , $G$3, $H$3)+_xll.ciqfunctions.udf.CIQ($B8,"IQ_NON_INT_INC",CD$3,$E$3, $J$3, , $G$3, $H$3))),"")</f>
        <v/>
      </c>
      <c r="BG8" s="72" t="str">
        <f>IFERROR(IF(OR($B8="",BG$3=""),"",_xll.ciqfunctions.udf.CIQ($B8, "IQ_EBT", BG$3,$E$3, $J$3, , $G$3, $H$3)/(_xll.ciqfunctions.udf.CIQ($B8,"IQ_INT_INC_TOTAL",CE$3,$E$3, $J$3, , $G$3, $H$3)+_xll.ciqfunctions.udf.CIQ($B8,"IQ_NON_INT_INC",CE$3,$E$3, $J$3, , $G$3, $H$3))),"")</f>
        <v/>
      </c>
      <c r="BH8" s="72" t="str">
        <f>IFERROR(IF(OR($B8="",BH$3=""),"",_xll.ciqfunctions.udf.CIQ($B8, "IQ_EBT", BH$3,$E$3, $J$3, , $G$3, $H$3)/(_xll.ciqfunctions.udf.CIQ($B8,"IQ_INT_INC_TOTAL",CF$3,$E$3, $J$3, , $G$3, $H$3)+_xll.ciqfunctions.udf.CIQ($B8,"IQ_NON_INT_INC",CF$3,$E$3, $J$3, , $G$3, $H$3))),"")</f>
        <v/>
      </c>
      <c r="BI8" s="72" t="str">
        <f>IFERROR(IF(OR($B8="",BI$3=""),"",_xll.ciqfunctions.udf.CIQ($B8, "IQ_EBT", BI$3,$E$3, $J$3, , $G$3, $H$3)/(_xll.ciqfunctions.udf.CIQ($B8,"IQ_INT_INC_TOTAL",CG$3,$E$3, $J$3, , $G$3, $H$3)+_xll.ciqfunctions.udf.CIQ($B8,"IQ_NON_INT_INC",CG$3,$E$3, $J$3, , $G$3, $H$3))),"")</f>
        <v/>
      </c>
      <c r="BJ8" s="72" t="str">
        <f>IFERROR(IF(OR($B8="",BJ$3=""),"",_xll.ciqfunctions.udf.CIQ($B8, "IQ_EBT", BJ$3,$E$3, $J$3, , $G$3, $H$3)/(_xll.ciqfunctions.udf.CIQ($B8,"IQ_INT_INC_TOTAL",CH$3,$E$3, $J$3, , $G$3, $H$3)+_xll.ciqfunctions.udf.CIQ($B8,"IQ_NON_INT_INC",CH$3,$E$3, $J$3, , $G$3, $H$3))),"")</f>
        <v/>
      </c>
      <c r="BK8" s="72" t="str">
        <f>IFERROR(IF(OR($B8="",BK$3=""),"",_xll.ciqfunctions.udf.CIQ($B8, "IQ_EBT", BK$3,$E$3, $J$3, , $G$3, $H$3)/(_xll.ciqfunctions.udf.CIQ($B8,"IQ_INT_INC_TOTAL",CI$3,$E$3, $J$3, , $G$3, $H$3)+_xll.ciqfunctions.udf.CIQ($B8,"IQ_NON_INT_INC",CI$3,$E$3, $J$3, , $G$3, $H$3))),"")</f>
        <v/>
      </c>
      <c r="BL8" s="72" t="str">
        <f>IFERROR(IF(OR($B8="",BL$3=""),"",_xll.ciqfunctions.udf.CIQ($B8, "IQ_EBT", BL$3,$E$3, $J$3, , $G$3, $H$3)/(_xll.ciqfunctions.udf.CIQ($B8,"IQ_INT_INC_TOTAL",CJ$3,$E$3, $J$3, , $G$3, $H$3)+_xll.ciqfunctions.udf.CIQ($B8,"IQ_NON_INT_INC",CJ$3,$E$3, $J$3, , $G$3, $H$3))),"")</f>
        <v/>
      </c>
      <c r="BM8" s="72" t="str">
        <f>IFERROR(IF(OR($B8="",BM$3=""),"",_xll.ciqfunctions.udf.CIQ($B8, "IQ_EBT", BM$3,$E$3, $J$3, , $G$3, $H$3)/(_xll.ciqfunctions.udf.CIQ($B8,"IQ_INT_INC_TOTAL",CK$3,$E$3, $J$3, , $G$3, $H$3)+_xll.ciqfunctions.udf.CIQ($B8,"IQ_NON_INT_INC",CK$3,$E$3, $J$3, , $G$3, $H$3))),"")</f>
        <v/>
      </c>
      <c r="BN8" s="72" t="str">
        <f>IFERROR(IF(OR($B8="",BN$3=""),"",_xll.ciqfunctions.udf.CIQ($B8, "IQ_EBT", BN$3,$E$3, $J$3, , $G$3, $H$3)/(_xll.ciqfunctions.udf.CIQ($B8,"IQ_INT_INC_TOTAL",CL$3,$E$3, $J$3, , $G$3, $H$3)+_xll.ciqfunctions.udf.CIQ($B8,"IQ_NON_INT_INC",CL$3,$E$3, $J$3, , $G$3, $H$3))),"")</f>
        <v/>
      </c>
      <c r="BO8" s="72" t="str">
        <f>IFERROR(IF(OR($B8="",BO$3=""),"",_xll.ciqfunctions.udf.CIQ($B8, "IQ_EBT", BO$3,$E$3, $J$3, , $G$3, $H$3)/(_xll.ciqfunctions.udf.CIQ($B8,"IQ_INT_INC_TOTAL",CM$3,$E$3, $J$3, , $G$3, $H$3)+_xll.ciqfunctions.udf.CIQ($B8,"IQ_NON_INT_INC",CM$3,$E$3, $J$3, , $G$3, $H$3))),"")</f>
        <v/>
      </c>
      <c r="BP8" s="72" t="str">
        <f>IFERROR(IF(OR($B8="",BP$3=""),"",_xll.ciqfunctions.udf.CIQ($B8, "IQ_EBT", BP$3,$E$3, $J$3, , $G$3, $H$3)/(_xll.ciqfunctions.udf.CIQ($B8,"IQ_INT_INC_TOTAL",CN$3,$E$3, $J$3, , $G$3, $H$3)+_xll.ciqfunctions.udf.CIQ($B8,"IQ_NON_INT_INC",CN$3,$E$3, $J$3, , $G$3, $H$3))),"")</f>
        <v/>
      </c>
      <c r="BQ8" s="72" t="str">
        <f>IFERROR(IF(OR($B8="",BQ$3=""),"",_xll.ciqfunctions.udf.CIQ($B8, "IQ_EBT", BQ$3,$E$3, $J$3, , $G$3, $H$3)/(_xll.ciqfunctions.udf.CIQ($B8,"IQ_INT_INC_TOTAL",CO$3,$E$3, $J$3, , $G$3, $H$3)+_xll.ciqfunctions.udf.CIQ($B8,"IQ_NON_INT_INC",CO$3,$E$3, $J$3, , $G$3, $H$3))),"")</f>
        <v/>
      </c>
      <c r="BR8" s="72" t="str">
        <f>IFERROR(IF(OR($B8="",BR$3=""),"",_xll.ciqfunctions.udf.CIQ($B8, "IQ_EBT", BR$3,$E$3, $J$3, , $G$3, $H$3)/(_xll.ciqfunctions.udf.CIQ($B8,"IQ_INT_INC_TOTAL",CP$3,$E$3, $J$3, , $G$3, $H$3)+_xll.ciqfunctions.udf.CIQ($B8,"IQ_NON_INT_INC",CP$3,$E$3, $J$3, , $G$3, $H$3))),"")</f>
        <v/>
      </c>
      <c r="BS8" s="87" t="str">
        <f>IFERROR(IF(OR($B8="",BS$3=""),"",_xll.ciqfunctions.udf.CIQ($B8,"IQ_NI",BS$3,$E$3, $J$3, , $G$3, $H$3)/(_xll.ciqfunctions.udf.CIQ($B8,"IQ_INT_INC_TOTAL",BS$3,$E$3, $J$3, , $G$3, $H$3)+_xll.ciqfunctions.udf.CIQ($B8,"IQ_NON_INT_INC",BS$3,$E$3, $J$3, , $G$3, $H$3))),"")</f>
        <v/>
      </c>
      <c r="BT8" s="87" t="str">
        <f>IFERROR(IF(OR($B8="",BT$3=""),"",_xll.ciqfunctions.udf.CIQ($B8,"IQ_NI",BT$3,$E$3, $J$3, , $G$3, $H$3)/(_xll.ciqfunctions.udf.CIQ($B8,"IQ_INT_INC_TOTAL",BT$3,$E$3, $J$3, , $G$3, $H$3)+_xll.ciqfunctions.udf.CIQ($B8,"IQ_NON_INT_INC",BT$3,$E$3, $J$3, , $G$3, $H$3))),"")</f>
        <v/>
      </c>
      <c r="BU8" s="87" t="str">
        <f>IFERROR(IF(OR($B8="",BU$3=""),"",_xll.ciqfunctions.udf.CIQ($B8,"IQ_NI",BU$3,$E$3, $J$3, , $G$3, $H$3)/(_xll.ciqfunctions.udf.CIQ($B8,"IQ_INT_INC_TOTAL",BU$3,$E$3, $J$3, , $G$3, $H$3)+_xll.ciqfunctions.udf.CIQ($B8,"IQ_NON_INT_INC",BU$3,$E$3, $J$3, , $G$3, $H$3))),"")</f>
        <v/>
      </c>
      <c r="BV8" s="87" t="str">
        <f>IFERROR(IF(OR($B8="",BV$3=""),"",_xll.ciqfunctions.udf.CIQ($B8,"IQ_NI",BV$3,$E$3, $J$3, , $G$3, $H$3)/(_xll.ciqfunctions.udf.CIQ($B8,"IQ_INT_INC_TOTAL",BV$3,$E$3, $J$3, , $G$3, $H$3)+_xll.ciqfunctions.udf.CIQ($B8,"IQ_NON_INT_INC",BV$3,$E$3, $J$3, , $G$3, $H$3))),"")</f>
        <v/>
      </c>
      <c r="BW8" s="87" t="str">
        <f>IFERROR(IF(OR($B8="",BW$3=""),"",_xll.ciqfunctions.udf.CIQ($B8,"IQ_NI",BW$3,$E$3, $J$3, , $G$3, $H$3)/(_xll.ciqfunctions.udf.CIQ($B8,"IQ_INT_INC_TOTAL",BW$3,$E$3, $J$3, , $G$3, $H$3)+_xll.ciqfunctions.udf.CIQ($B8,"IQ_NON_INT_INC",BW$3,$E$3, $J$3, , $G$3, $H$3))),"")</f>
        <v/>
      </c>
      <c r="BX8" s="87" t="str">
        <f>IFERROR(IF(OR($B8="",BX$3=""),"",_xll.ciqfunctions.udf.CIQ($B8,"IQ_NI",BX$3,$E$3, $J$3, , $G$3, $H$3)/(_xll.ciqfunctions.udf.CIQ($B8,"IQ_INT_INC_TOTAL",BX$3,$E$3, $J$3, , $G$3, $H$3)+_xll.ciqfunctions.udf.CIQ($B8,"IQ_NON_INT_INC",BX$3,$E$3, $J$3, , $G$3, $H$3))),"")</f>
        <v/>
      </c>
      <c r="BY8" s="87" t="str">
        <f>IFERROR(IF(OR($B8="",BY$3=""),"",_xll.ciqfunctions.udf.CIQ($B8,"IQ_NI",BY$3,$E$3, $J$3, , $G$3, $H$3)/(_xll.ciqfunctions.udf.CIQ($B8,"IQ_INT_INC_TOTAL",BY$3,$E$3, $J$3, , $G$3, $H$3)+_xll.ciqfunctions.udf.CIQ($B8,"IQ_NON_INT_INC",BY$3,$E$3, $J$3, , $G$3, $H$3))),"")</f>
        <v/>
      </c>
      <c r="BZ8" s="87" t="str">
        <f>IFERROR(IF(OR($B8="",BZ$3=""),"",_xll.ciqfunctions.udf.CIQ($B8,"IQ_NI",BZ$3,$E$3, $J$3, , $G$3, $H$3)/(_xll.ciqfunctions.udf.CIQ($B8,"IQ_INT_INC_TOTAL",BZ$3,$E$3, $J$3, , $G$3, $H$3)+_xll.ciqfunctions.udf.CIQ($B8,"IQ_NON_INT_INC",BZ$3,$E$3, $J$3, , $G$3, $H$3))),"")</f>
        <v/>
      </c>
      <c r="CA8" s="87" t="str">
        <f>IFERROR(IF(OR($B8="",CA$3=""),"",_xll.ciqfunctions.udf.CIQ($B8,"IQ_NI",CA$3,$E$3, $J$3, , $G$3, $H$3)/(_xll.ciqfunctions.udf.CIQ($B8,"IQ_INT_INC_TOTAL",CA$3,$E$3, $J$3, , $G$3, $H$3)+_xll.ciqfunctions.udf.CIQ($B8,"IQ_NON_INT_INC",CA$3,$E$3, $J$3, , $G$3, $H$3))),"")</f>
        <v/>
      </c>
      <c r="CB8" s="87" t="str">
        <f>IFERROR(IF(OR($B8="",CB$3=""),"",_xll.ciqfunctions.udf.CIQ($B8,"IQ_NI",CB$3,$E$3, $J$3, , $G$3, $H$3)/(_xll.ciqfunctions.udf.CIQ($B8,"IQ_INT_INC_TOTAL",CB$3,$E$3, $J$3, , $G$3, $H$3)+_xll.ciqfunctions.udf.CIQ($B8,"IQ_NON_INT_INC",CB$3,$E$3, $J$3, , $G$3, $H$3))),"")</f>
        <v/>
      </c>
      <c r="CC8" s="87" t="str">
        <f>IFERROR(IF(OR($B8="",CC$3=""),"",_xll.ciqfunctions.udf.CIQ($B8,"IQ_NI",CC$3,$E$3, $J$3, , $G$3, $H$3)/(_xll.ciqfunctions.udf.CIQ($B8,"IQ_INT_INC_TOTAL",CC$3,$E$3, $J$3, , $G$3, $H$3)+_xll.ciqfunctions.udf.CIQ($B8,"IQ_NON_INT_INC",CC$3,$E$3, $J$3, , $G$3, $H$3))),"")</f>
        <v/>
      </c>
      <c r="CD8" s="87" t="str">
        <f>IFERROR(IF(OR($B8="",CD$3=""),"",_xll.ciqfunctions.udf.CIQ($B8,"IQ_NI",CD$3,$E$3, $J$3, , $G$3, $H$3)/(_xll.ciqfunctions.udf.CIQ($B8,"IQ_INT_INC_TOTAL",CD$3,$E$3, $J$3, , $G$3, $H$3)+_xll.ciqfunctions.udf.CIQ($B8,"IQ_NON_INT_INC",CD$3,$E$3, $J$3, , $G$3, $H$3))),"")</f>
        <v/>
      </c>
      <c r="CE8" s="87" t="str">
        <f>IFERROR(IF(OR($B8="",CE$3=""),"",_xll.ciqfunctions.udf.CIQ($B8,"IQ_NI",CE$3,$E$3, $J$3, , $G$3, $H$3)/(_xll.ciqfunctions.udf.CIQ($B8,"IQ_INT_INC_TOTAL",CE$3,$E$3, $J$3, , $G$3, $H$3)+_xll.ciqfunctions.udf.CIQ($B8,"IQ_NON_INT_INC",CE$3,$E$3, $J$3, , $G$3, $H$3))),"")</f>
        <v/>
      </c>
      <c r="CF8" s="87" t="str">
        <f>IFERROR(IF(OR($B8="",CF$3=""),"",_xll.ciqfunctions.udf.CIQ($B8,"IQ_NI",CF$3,$E$3, $J$3, , $G$3, $H$3)/(_xll.ciqfunctions.udf.CIQ($B8,"IQ_INT_INC_TOTAL",CF$3,$E$3, $J$3, , $G$3, $H$3)+_xll.ciqfunctions.udf.CIQ($B8,"IQ_NON_INT_INC",CF$3,$E$3, $J$3, , $G$3, $H$3))),"")</f>
        <v/>
      </c>
      <c r="CG8" s="87" t="str">
        <f>IFERROR(IF(OR($B8="",CG$3=""),"",_xll.ciqfunctions.udf.CIQ($B8,"IQ_NI",CG$3,$E$3, $J$3, , $G$3, $H$3)/(_xll.ciqfunctions.udf.CIQ($B8,"IQ_INT_INC_TOTAL",CG$3,$E$3, $J$3, , $G$3, $H$3)+_xll.ciqfunctions.udf.CIQ($B8,"IQ_NON_INT_INC",CG$3,$E$3, $J$3, , $G$3, $H$3))),"")</f>
        <v/>
      </c>
      <c r="CH8" s="87" t="str">
        <f>IFERROR(IF(OR($B8="",CH$3=""),"",_xll.ciqfunctions.udf.CIQ($B8,"IQ_NI",CH$3,$E$3, $J$3, , $G$3, $H$3)/(_xll.ciqfunctions.udf.CIQ($B8,"IQ_INT_INC_TOTAL",CH$3,$E$3, $J$3, , $G$3, $H$3)+_xll.ciqfunctions.udf.CIQ($B8,"IQ_NON_INT_INC",CH$3,$E$3, $J$3, , $G$3, $H$3))),"")</f>
        <v/>
      </c>
      <c r="CI8" s="87" t="str">
        <f>IFERROR(IF(OR($B8="",CI$3=""),"",_xll.ciqfunctions.udf.CIQ($B8,"IQ_NI",CI$3,$E$3, $J$3, , $G$3, $H$3)/(_xll.ciqfunctions.udf.CIQ($B8,"IQ_INT_INC_TOTAL",CI$3,$E$3, $J$3, , $G$3, $H$3)+_xll.ciqfunctions.udf.CIQ($B8,"IQ_NON_INT_INC",CI$3,$E$3, $J$3, , $G$3, $H$3))),"")</f>
        <v/>
      </c>
      <c r="CJ8" s="87" t="str">
        <f>IFERROR(IF(OR($B8="",CJ$3=""),"",_xll.ciqfunctions.udf.CIQ($B8,"IQ_NI",CJ$3,$E$3, $J$3, , $G$3, $H$3)/(_xll.ciqfunctions.udf.CIQ($B8,"IQ_INT_INC_TOTAL",CJ$3,$E$3, $J$3, , $G$3, $H$3)+_xll.ciqfunctions.udf.CIQ($B8,"IQ_NON_INT_INC",CJ$3,$E$3, $J$3, , $G$3, $H$3))),"")</f>
        <v/>
      </c>
      <c r="CK8" s="87" t="str">
        <f>IFERROR(IF(OR($B8="",CK$3=""),"",_xll.ciqfunctions.udf.CIQ($B8,"IQ_NI",CK$3,$E$3, $J$3, , $G$3, $H$3)/(_xll.ciqfunctions.udf.CIQ($B8,"IQ_INT_INC_TOTAL",CK$3,$E$3, $J$3, , $G$3, $H$3)+_xll.ciqfunctions.udf.CIQ($B8,"IQ_NON_INT_INC",CK$3,$E$3, $J$3, , $G$3, $H$3))),"")</f>
        <v/>
      </c>
      <c r="CL8" s="87" t="str">
        <f>IFERROR(IF(OR($B8="",CL$3=""),"",_xll.ciqfunctions.udf.CIQ($B8,"IQ_NI",CL$3,$E$3, $J$3, , $G$3, $H$3)/(_xll.ciqfunctions.udf.CIQ($B8,"IQ_INT_INC_TOTAL",CL$3,$E$3, $J$3, , $G$3, $H$3)+_xll.ciqfunctions.udf.CIQ($B8,"IQ_NON_INT_INC",CL$3,$E$3, $J$3, , $G$3, $H$3))),"")</f>
        <v/>
      </c>
      <c r="CM8" s="72" t="str">
        <f>IFERROR(IF(OR($B8="",CM$3=""),"",_xll.ciqfunctions.udf.CIQ($B8,"IQ_SGA_SUPPL",CM$3,$E$3, $J$3, , $G$3, $H$3)/(_xll.ciqfunctions.udf.CIQ($B8,"IQ_INT_INC_TOTAL",CM$3,$E$3, $J$3, , $G$3, $H$3)+_xll.ciqfunctions.udf.CIQ($B8,"IQ_NON_INT_INC",CM$3,$E$3, $J$3, , $G$3, $H$3))),"")</f>
        <v/>
      </c>
      <c r="CN8" s="72" t="str">
        <f>IFERROR(IF(OR($B8="",CN$3=""),"",_xll.ciqfunctions.udf.CIQ($B8,"IQ_SGA_SUPPL",CN$3,$E$3, $J$3, , $G$3, $H$3)/(_xll.ciqfunctions.udf.CIQ($B8,"IQ_INT_INC_TOTAL",CN$3,$E$3, $J$3, , $G$3, $H$3)+_xll.ciqfunctions.udf.CIQ($B8,"IQ_NON_INT_INC",CN$3,$E$3, $J$3, , $G$3, $H$3))),"")</f>
        <v/>
      </c>
      <c r="CO8" s="72" t="str">
        <f>IFERROR(IF(OR($B8="",CO$3=""),"",_xll.ciqfunctions.udf.CIQ($B8,"IQ_SGA_SUPPL",CO$3,$E$3, $J$3, , $G$3, $H$3)/(_xll.ciqfunctions.udf.CIQ($B8,"IQ_INT_INC_TOTAL",CO$3,$E$3, $J$3, , $G$3, $H$3)+_xll.ciqfunctions.udf.CIQ($B8,"IQ_NON_INT_INC",CO$3,$E$3, $J$3, , $G$3, $H$3))),"")</f>
        <v/>
      </c>
      <c r="CP8" s="72" t="str">
        <f>IFERROR(IF(OR($B8="",CP$3=""),"",_xll.ciqfunctions.udf.CIQ($B8,"IQ_SGA_SUPPL",CP$3,$E$3, $J$3, , $G$3, $H$3)/(_xll.ciqfunctions.udf.CIQ($B8,"IQ_INT_INC_TOTAL",CP$3,$E$3, $J$3, , $G$3, $H$3)+_xll.ciqfunctions.udf.CIQ($B8,"IQ_NON_INT_INC",CP$3,$E$3, $J$3, , $G$3, $H$3))),"")</f>
        <v/>
      </c>
      <c r="CQ8" s="72" t="str">
        <f>IFERROR(IF(OR($B8="",CQ$3=""),"",_xll.ciqfunctions.udf.CIQ($B8,"IQ_SGA_SUPPL",CQ$3,$E$3, $J$3, , $G$3, $H$3)/(_xll.ciqfunctions.udf.CIQ($B8,"IQ_INT_INC_TOTAL",CQ$3,$E$3, $J$3, , $G$3, $H$3)+_xll.ciqfunctions.udf.CIQ($B8,"IQ_NON_INT_INC",CQ$3,$E$3, $J$3, , $G$3, $H$3))),"")</f>
        <v/>
      </c>
      <c r="CR8" s="72" t="str">
        <f>IFERROR(IF(OR($B8="",CR$3=""),"",_xll.ciqfunctions.udf.CIQ($B8,"IQ_SGA_SUPPL",CR$3,$E$3, $J$3, , $G$3, $H$3)/(_xll.ciqfunctions.udf.CIQ($B8,"IQ_INT_INC_TOTAL",CR$3,$E$3, $J$3, , $G$3, $H$3)+_xll.ciqfunctions.udf.CIQ($B8,"IQ_NON_INT_INC",CR$3,$E$3, $J$3, , $G$3, $H$3))),"")</f>
        <v/>
      </c>
      <c r="CS8" s="72" t="str">
        <f>IFERROR(IF(OR($B8="",CS$3=""),"",_xll.ciqfunctions.udf.CIQ($B8,"IQ_SGA_SUPPL",CS$3,$E$3, $J$3, , $G$3, $H$3)/(_xll.ciqfunctions.udf.CIQ($B8,"IQ_INT_INC_TOTAL",CS$3,$E$3, $J$3, , $G$3, $H$3)+_xll.ciqfunctions.udf.CIQ($B8,"IQ_NON_INT_INC",CS$3,$E$3, $J$3, , $G$3, $H$3))),"")</f>
        <v/>
      </c>
      <c r="CT8" s="72" t="str">
        <f>IFERROR(IF(OR($B8="",CT$3=""),"",_xll.ciqfunctions.udf.CIQ($B8,"IQ_SGA_SUPPL",CT$3,$E$3, $J$3, , $G$3, $H$3)/(_xll.ciqfunctions.udf.CIQ($B8,"IQ_INT_INC_TOTAL",CT$3,$E$3, $J$3, , $G$3, $H$3)+_xll.ciqfunctions.udf.CIQ($B8,"IQ_NON_INT_INC",CT$3,$E$3, $J$3, , $G$3, $H$3))),"")</f>
        <v/>
      </c>
      <c r="CU8" s="72" t="str">
        <f>IFERROR(IF(OR($B8="",CU$3=""),"",_xll.ciqfunctions.udf.CIQ($B8,"IQ_SGA_SUPPL",CU$3,$E$3, $J$3, , $G$3, $H$3)/(_xll.ciqfunctions.udf.CIQ($B8,"IQ_INT_INC_TOTAL",CU$3,$E$3, $J$3, , $G$3, $H$3)+_xll.ciqfunctions.udf.CIQ($B8,"IQ_NON_INT_INC",CU$3,$E$3, $J$3, , $G$3, $H$3))),"")</f>
        <v/>
      </c>
      <c r="CV8" s="72" t="str">
        <f>IFERROR(IF(OR($B8="",CV$3=""),"",_xll.ciqfunctions.udf.CIQ($B8,"IQ_SGA_SUPPL",CV$3,$E$3, $J$3, , $G$3, $H$3)/(_xll.ciqfunctions.udf.CIQ($B8,"IQ_INT_INC_TOTAL",CV$3,$E$3, $J$3, , $G$3, $H$3)+_xll.ciqfunctions.udf.CIQ($B8,"IQ_NON_INT_INC",CV$3,$E$3, $J$3, , $G$3, $H$3))),"")</f>
        <v/>
      </c>
      <c r="CW8" s="72" t="str">
        <f>IFERROR(IF(OR($B8="",CW$3=""),"",_xll.ciqfunctions.udf.CIQ($B8,"IQ_SGA_SUPPL",CW$3,$E$3, $J$3, , $G$3, $H$3)/(_xll.ciqfunctions.udf.CIQ($B8,"IQ_INT_INC_TOTAL",CW$3,$E$3, $J$3, , $G$3, $H$3)+_xll.ciqfunctions.udf.CIQ($B8,"IQ_NON_INT_INC",CW$3,$E$3, $J$3, , $G$3, $H$3))),"")</f>
        <v/>
      </c>
      <c r="CX8" s="72" t="str">
        <f>IFERROR(IF(OR($B8="",CX$3=""),"",_xll.ciqfunctions.udf.CIQ($B8,"IQ_SGA_SUPPL",CX$3,$E$3, $J$3, , $G$3, $H$3)/(_xll.ciqfunctions.udf.CIQ($B8,"IQ_INT_INC_TOTAL",CX$3,$E$3, $J$3, , $G$3, $H$3)+_xll.ciqfunctions.udf.CIQ($B8,"IQ_NON_INT_INC",CX$3,$E$3, $J$3, , $G$3, $H$3))),"")</f>
        <v/>
      </c>
      <c r="CY8" s="72" t="str">
        <f>IFERROR(IF(OR($B8="",CY$3=""),"",_xll.ciqfunctions.udf.CIQ($B8,"IQ_SGA_SUPPL",CY$3,$E$3, $J$3, , $G$3, $H$3)/(_xll.ciqfunctions.udf.CIQ($B8,"IQ_INT_INC_TOTAL",CY$3,$E$3, $J$3, , $G$3, $H$3)+_xll.ciqfunctions.udf.CIQ($B8,"IQ_NON_INT_INC",CY$3,$E$3, $J$3, , $G$3, $H$3))),"")</f>
        <v/>
      </c>
      <c r="CZ8" s="72" t="str">
        <f>IFERROR(IF(OR($B8="",CZ$3=""),"",_xll.ciqfunctions.udf.CIQ($B8,"IQ_SGA_SUPPL",CZ$3,$E$3, $J$3, , $G$3, $H$3)/(_xll.ciqfunctions.udf.CIQ($B8,"IQ_INT_INC_TOTAL",CZ$3,$E$3, $J$3, , $G$3, $H$3)+_xll.ciqfunctions.udf.CIQ($B8,"IQ_NON_INT_INC",CZ$3,$E$3, $J$3, , $G$3, $H$3))),"")</f>
        <v/>
      </c>
      <c r="DA8" s="72" t="str">
        <f>IFERROR(IF(OR($B8="",DA$3=""),"",_xll.ciqfunctions.udf.CIQ($B8,"IQ_SGA_SUPPL",DA$3,$E$3, $J$3, , $G$3, $H$3)/(_xll.ciqfunctions.udf.CIQ($B8,"IQ_INT_INC_TOTAL",DA$3,$E$3, $J$3, , $G$3, $H$3)+_xll.ciqfunctions.udf.CIQ($B8,"IQ_NON_INT_INC",DA$3,$E$3, $J$3, , $G$3, $H$3))),"")</f>
        <v/>
      </c>
      <c r="DB8" s="72" t="str">
        <f>IFERROR(IF(OR($B8="",DB$3=""),"",_xll.ciqfunctions.udf.CIQ($B8,"IQ_SGA_SUPPL",DB$3,$E$3, $J$3, , $G$3, $H$3)/(_xll.ciqfunctions.udf.CIQ($B8,"IQ_INT_INC_TOTAL",DB$3,$E$3, $J$3, , $G$3, $H$3)+_xll.ciqfunctions.udf.CIQ($B8,"IQ_NON_INT_INC",DB$3,$E$3, $J$3, , $G$3, $H$3))),"")</f>
        <v/>
      </c>
      <c r="DC8" s="72" t="str">
        <f>IFERROR(IF(OR($B8="",DC$3=""),"",_xll.ciqfunctions.udf.CIQ($B8,"IQ_SGA_SUPPL",DC$3,$E$3, $J$3, , $G$3, $H$3)/(_xll.ciqfunctions.udf.CIQ($B8,"IQ_INT_INC_TOTAL",DC$3,$E$3, $J$3, , $G$3, $H$3)+_xll.ciqfunctions.udf.CIQ($B8,"IQ_NON_INT_INC",DC$3,$E$3, $J$3, , $G$3, $H$3))),"")</f>
        <v/>
      </c>
      <c r="DD8" s="72" t="str">
        <f>IFERROR(IF(OR($B8="",DD$3=""),"",_xll.ciqfunctions.udf.CIQ($B8,"IQ_SGA_SUPPL",DD$3,$E$3, $J$3, , $G$3, $H$3)/(_xll.ciqfunctions.udf.CIQ($B8,"IQ_INT_INC_TOTAL",DD$3,$E$3, $J$3, , $G$3, $H$3)+_xll.ciqfunctions.udf.CIQ($B8,"IQ_NON_INT_INC",DD$3,$E$3, $J$3, , $G$3, $H$3))),"")</f>
        <v/>
      </c>
      <c r="DE8" s="72" t="str">
        <f>IFERROR(IF(OR($B8="",DE$3=""),"",_xll.ciqfunctions.udf.CIQ($B8,"IQ_SGA_SUPPL",DE$3,$E$3, $J$3, , $G$3, $H$3)/(_xll.ciqfunctions.udf.CIQ($B8,"IQ_INT_INC_TOTAL",DE$3,$E$3, $J$3, , $G$3, $H$3)+_xll.ciqfunctions.udf.CIQ($B8,"IQ_NON_INT_INC",DE$3,$E$3, $J$3, , $G$3, $H$3))),"")</f>
        <v/>
      </c>
      <c r="DF8" s="72" t="str">
        <f>IFERROR(IF(OR($B8="",DF$3=""),"",_xll.ciqfunctions.udf.CIQ($B8,"IQ_SGA_SUPPL",DF$3,$E$3, $J$3, , $G$3, $H$3)/(_xll.ciqfunctions.udf.CIQ($B8,"IQ_INT_INC_TOTAL",DF$3,$E$3, $J$3, , $G$3, $H$3)+_xll.ciqfunctions.udf.CIQ($B8,"IQ_NON_INT_INC",DF$3,$E$3, $J$3, , $G$3, $H$3))),"")</f>
        <v/>
      </c>
      <c r="DG8" s="86">
        <f>IFERROR(IF(OR($B8="",DG$3=""),"",_xll.ciqfunctions.udf.CIQ($B8,"IQ_TIER_ONE_RATIO",DG$3,$E$3, $J$3, , $G$3, $H$3)/100),"")</f>
        <v>0</v>
      </c>
      <c r="DH8" s="87" t="str">
        <f>IFERROR(IF(OR($B8="",DH$3=""),"",_xll.ciqfunctions.udf.CIQ($B8,"IQ_TIER_ONE_RATIO",DH$3,$E$3, $J$3, , $G$3, $H$3)/100),"")</f>
        <v/>
      </c>
      <c r="DI8" s="87" t="str">
        <f>IFERROR(IF(OR($B8="",DI$3=""),"",_xll.ciqfunctions.udf.CIQ($B8,"IQ_TIER_ONE_RATIO",DI$3,$E$3, $J$3, , $G$3, $H$3)/100),"")</f>
        <v/>
      </c>
      <c r="DJ8" s="87" t="str">
        <f>IFERROR(IF(OR($B8="",DJ$3=""),"",_xll.ciqfunctions.udf.CIQ($B8,"IQ_TIER_ONE_RATIO",DJ$3,$E$3, $J$3, , $G$3, $H$3)/100),"")</f>
        <v/>
      </c>
      <c r="DK8" s="87" t="str">
        <f>IFERROR(IF(OR($B8="",DK$3=""),"",_xll.ciqfunctions.udf.CIQ($B8,"IQ_TIER_ONE_RATIO",DK$3,$E$3, $J$3, , $G$3, $H$3)/100),"")</f>
        <v/>
      </c>
      <c r="DL8" s="87" t="str">
        <f>IFERROR(IF(OR($B8="",DL$3=""),"",_xll.ciqfunctions.udf.CIQ($B8,"IQ_TIER_ONE_RATIO",DL$3,$E$3, $J$3, , $G$3, $H$3)/100),"")</f>
        <v/>
      </c>
      <c r="DM8" s="87" t="str">
        <f>IFERROR(IF(OR($B8="",DM$3=""),"",_xll.ciqfunctions.udf.CIQ($B8,"IQ_TIER_ONE_RATIO",DM$3,$E$3, $J$3, , $G$3, $H$3)/100),"")</f>
        <v/>
      </c>
      <c r="DN8" s="87" t="str">
        <f>IFERROR(IF(OR($B8="",DN$3=""),"",_xll.ciqfunctions.udf.CIQ($B8,"IQ_TIER_ONE_RATIO",DN$3,$E$3, $J$3, , $G$3, $H$3)/100),"")</f>
        <v/>
      </c>
      <c r="DO8" s="87" t="str">
        <f>IFERROR(IF(OR($B8="",DO$3=""),"",_xll.ciqfunctions.udf.CIQ($B8,"IQ_TIER_ONE_RATIO",DO$3,$E$3, $J$3, , $G$3, $H$3)/100),"")</f>
        <v/>
      </c>
      <c r="DP8" s="87" t="str">
        <f>IFERROR(IF(OR($B8="",DP$3=""),"",_xll.ciqfunctions.udf.CIQ($B8,"IQ_TIER_ONE_RATIO",DP$3,$E$3, $J$3, , $G$3, $H$3)/100),"")</f>
        <v/>
      </c>
      <c r="DQ8" s="87" t="str">
        <f>IFERROR(IF(OR($B8="",DQ$3=""),"",_xll.ciqfunctions.udf.CIQ($B8,"IQ_TIER_ONE_RATIO",DQ$3,$E$3, $J$3, , $G$3, $H$3)/100),"")</f>
        <v/>
      </c>
      <c r="DR8" s="87" t="str">
        <f>IFERROR(IF(OR($B8="",DR$3=""),"",_xll.ciqfunctions.udf.CIQ($B8,"IQ_TIER_ONE_RATIO",DR$3,$E$3, $J$3, , $G$3, $H$3)/100),"")</f>
        <v/>
      </c>
      <c r="DS8" s="87" t="str">
        <f>IFERROR(IF(OR($B8="",DS$3=""),"",_xll.ciqfunctions.udf.CIQ($B8,"IQ_TIER_ONE_RATIO",DS$3,$E$3, $J$3, , $G$3, $H$3)/100),"")</f>
        <v/>
      </c>
      <c r="DT8" s="87" t="str">
        <f>IFERROR(IF(OR($B8="",DT$3=""),"",_xll.ciqfunctions.udf.CIQ($B8,"IQ_TIER_ONE_RATIO",DT$3,$E$3, $J$3, , $G$3, $H$3)/100),"")</f>
        <v/>
      </c>
      <c r="DU8" s="87" t="str">
        <f>IFERROR(IF(OR($B8="",DU$3=""),"",_xll.ciqfunctions.udf.CIQ($B8,"IQ_TIER_ONE_RATIO",DU$3,$E$3, $J$3, , $G$3, $H$3)/100),"")</f>
        <v/>
      </c>
      <c r="DV8" s="87" t="str">
        <f>IFERROR(IF(OR($B8="",DV$3=""),"",_xll.ciqfunctions.udf.CIQ($B8,"IQ_TIER_ONE_RATIO",DV$3,$E$3, $J$3, , $G$3, $H$3)/100),"")</f>
        <v/>
      </c>
      <c r="DW8" s="87" t="str">
        <f>IFERROR(IF(OR($B8="",DW$3=""),"",_xll.ciqfunctions.udf.CIQ($B8,"IQ_TIER_ONE_RATIO",DW$3,$E$3, $J$3, , $G$3, $H$3)/100),"")</f>
        <v/>
      </c>
      <c r="DX8" s="87" t="str">
        <f>IFERROR(IF(OR($B8="",DX$3=""),"",_xll.ciqfunctions.udf.CIQ($B8,"IQ_TIER_ONE_RATIO",DX$3,$E$3, $J$3, , $G$3, $H$3)/100),"")</f>
        <v/>
      </c>
      <c r="DY8" s="87" t="str">
        <f>IFERROR(IF(OR($B8="",DY$3=""),"",_xll.ciqfunctions.udf.CIQ($B8,"IQ_TIER_ONE_RATIO",DY$3,$E$3, $J$3, , $G$3, $H$3)/100),"")</f>
        <v/>
      </c>
      <c r="DZ8" s="88" t="str">
        <f>IFERROR(IF(OR($B8="",DZ$3=""),"",_xll.ciqfunctions.udf.CIQ($B8,"IQ_TIER_ONE_RATIO",DZ$3,$E$3, $J$3, , $G$3, $H$3)/100),"")</f>
        <v/>
      </c>
      <c r="EA8" s="86">
        <f>IFERROR(IF(OR($B8="",EA$3=""),"",_xll.ciqfunctions.udf.CIQ($B8,"IQ_TOTAL_CAPITAL_RATIO",EA$3,$E$3, $J$3, , $G$3, $H$3)/100),"")</f>
        <v>0</v>
      </c>
      <c r="EB8" s="87" t="str">
        <f>IFERROR(IF(OR($B8="",EB$3=""),"",_xll.ciqfunctions.udf.CIQ($B8,"IQ_TOTAL_CAPITAL_RATIO",EB$3,$E$3, $J$3, , $G$3, $H$3)/100),"")</f>
        <v/>
      </c>
      <c r="EC8" s="87" t="str">
        <f>IFERROR(IF(OR($B8="",EC$3=""),"",_xll.ciqfunctions.udf.CIQ($B8,"IQ_TOTAL_CAPITAL_RATIO",EC$3,$E$3, $J$3, , $G$3, $H$3)/100),"")</f>
        <v/>
      </c>
      <c r="ED8" s="87" t="str">
        <f>IFERROR(IF(OR($B8="",ED$3=""),"",_xll.ciqfunctions.udf.CIQ($B8,"IQ_TOTAL_CAPITAL_RATIO",ED$3,$E$3, $J$3, , $G$3, $H$3)/100),"")</f>
        <v/>
      </c>
      <c r="EE8" s="87" t="str">
        <f>IFERROR(IF(OR($B8="",EE$3=""),"",_xll.ciqfunctions.udf.CIQ($B8,"IQ_TOTAL_CAPITAL_RATIO",EE$3,$E$3, $J$3, , $G$3, $H$3)/100),"")</f>
        <v/>
      </c>
      <c r="EF8" s="87" t="str">
        <f>IFERROR(IF(OR($B8="",EF$3=""),"",_xll.ciqfunctions.udf.CIQ($B8,"IQ_TOTAL_CAPITAL_RATIO",EF$3,$E$3, $J$3, , $G$3, $H$3)/100),"")</f>
        <v/>
      </c>
      <c r="EG8" s="87" t="str">
        <f>IFERROR(IF(OR($B8="",EG$3=""),"",_xll.ciqfunctions.udf.CIQ($B8,"IQ_TOTAL_CAPITAL_RATIO",EG$3,$E$3, $J$3, , $G$3, $H$3)/100),"")</f>
        <v/>
      </c>
      <c r="EH8" s="87" t="str">
        <f>IFERROR(IF(OR($B8="",EH$3=""),"",_xll.ciqfunctions.udf.CIQ($B8,"IQ_TOTAL_CAPITAL_RATIO",EH$3,$E$3, $J$3, , $G$3, $H$3)/100),"")</f>
        <v/>
      </c>
      <c r="EI8" s="87" t="str">
        <f>IFERROR(IF(OR($B8="",EI$3=""),"",_xll.ciqfunctions.udf.CIQ($B8,"IQ_TOTAL_CAPITAL_RATIO",EI$3,$E$3, $J$3, , $G$3, $H$3)/100),"")</f>
        <v/>
      </c>
      <c r="EJ8" s="87" t="str">
        <f>IFERROR(IF(OR($B8="",EJ$3=""),"",_xll.ciqfunctions.udf.CIQ($B8,"IQ_TOTAL_CAPITAL_RATIO",EJ$3,$E$3, $J$3, , $G$3, $H$3)/100),"")</f>
        <v/>
      </c>
      <c r="EK8" s="87" t="str">
        <f>IFERROR(IF(OR($B8="",EK$3=""),"",_xll.ciqfunctions.udf.CIQ($B8,"IQ_TOTAL_CAPITAL_RATIO",EK$3,$E$3, $J$3, , $G$3, $H$3)/100),"")</f>
        <v/>
      </c>
      <c r="EL8" s="87" t="str">
        <f>IFERROR(IF(OR($B8="",EL$3=""),"",_xll.ciqfunctions.udf.CIQ($B8,"IQ_TOTAL_CAPITAL_RATIO",EL$3,$E$3, $J$3, , $G$3, $H$3)/100),"")</f>
        <v/>
      </c>
      <c r="EM8" s="87" t="str">
        <f>IFERROR(IF(OR($B8="",EM$3=""),"",_xll.ciqfunctions.udf.CIQ($B8,"IQ_TOTAL_CAPITAL_RATIO",EM$3,$E$3, $J$3, , $G$3, $H$3)/100),"")</f>
        <v/>
      </c>
      <c r="EN8" s="87" t="str">
        <f>IFERROR(IF(OR($B8="",EN$3=""),"",_xll.ciqfunctions.udf.CIQ($B8,"IQ_TOTAL_CAPITAL_RATIO",EN$3,$E$3, $J$3, , $G$3, $H$3)/100),"")</f>
        <v/>
      </c>
      <c r="EO8" s="87" t="str">
        <f>IFERROR(IF(OR($B8="",EO$3=""),"",_xll.ciqfunctions.udf.CIQ($B8,"IQ_TOTAL_CAPITAL_RATIO",EO$3,$E$3, $J$3, , $G$3, $H$3)/100),"")</f>
        <v/>
      </c>
      <c r="EP8" s="87" t="str">
        <f>IFERROR(IF(OR($B8="",EP$3=""),"",_xll.ciqfunctions.udf.CIQ($B8,"IQ_TOTAL_CAPITAL_RATIO",EP$3,$E$3, $J$3, , $G$3, $H$3)/100),"")</f>
        <v/>
      </c>
      <c r="EQ8" s="87" t="str">
        <f>IFERROR(IF(OR($B8="",EQ$3=""),"",_xll.ciqfunctions.udf.CIQ($B8,"IQ_TOTAL_CAPITAL_RATIO",EQ$3,$E$3, $J$3, , $G$3, $H$3)/100),"")</f>
        <v/>
      </c>
      <c r="ER8" s="87" t="str">
        <f>IFERROR(IF(OR($B8="",ER$3=""),"",_xll.ciqfunctions.udf.CIQ($B8,"IQ_TOTAL_CAPITAL_RATIO",ER$3,$E$3, $J$3, , $G$3, $H$3)/100),"")</f>
        <v/>
      </c>
      <c r="ES8" s="87" t="str">
        <f>IFERROR(IF(OR($B8="",ES$3=""),"",_xll.ciqfunctions.udf.CIQ($B8,"IQ_TOTAL_CAPITAL_RATIO",ES$3,$E$3, $J$3, , $G$3, $H$3)/100),"")</f>
        <v/>
      </c>
      <c r="ET8" s="88" t="str">
        <f>IFERROR(IF(OR($B8="",ET$3=""),"",_xll.ciqfunctions.udf.CIQ($B8,"IQ_TOTAL_CAPITAL_RATIO",ET$3,$E$3, $J$3, , $G$3, $H$3)/100),"")</f>
        <v/>
      </c>
      <c r="EU8" s="86">
        <f>IFERROR(IF(OR($B8="",EU$3=""),"",_xll.ciqfunctions.udf.CIQ($B8,"IQ_GROSS_LOANS",EU$3,$E$3, $J$3, , $G$3, $H$3)/_xll.ciqfunctions.udf.CIQ($B8,"IQ_TOTAL_ASSETS",EU$3,$E$3, $J$3, , $G$3, $H$3)),"")</f>
        <v>0</v>
      </c>
      <c r="EV8" s="87" t="str">
        <f>IFERROR(IF(OR($B8="",EV$3=""),"",_xll.ciqfunctions.udf.CIQ($B8,"IQ_GROSS_LOANS",EV$3,$E$3, $J$3, , $G$3, $H$3)/_xll.ciqfunctions.udf.CIQ($B8,"IQ_TOTAL_ASSETS",EV$3,$E$3, $J$3, , $G$3, $H$3)),"")</f>
        <v/>
      </c>
      <c r="EW8" s="87" t="str">
        <f>IFERROR(IF(OR($B8="",EW$3=""),"",_xll.ciqfunctions.udf.CIQ($B8,"IQ_GROSS_LOANS",EW$3,$E$3, $J$3, , $G$3, $H$3)/_xll.ciqfunctions.udf.CIQ($B8,"IQ_TOTAL_ASSETS",EW$3,$E$3, $J$3, , $G$3, $H$3)),"")</f>
        <v/>
      </c>
      <c r="EX8" s="87" t="str">
        <f>IFERROR(IF(OR($B8="",EX$3=""),"",_xll.ciqfunctions.udf.CIQ($B8,"IQ_GROSS_LOANS",EX$3,$E$3, $J$3, , $G$3, $H$3)/_xll.ciqfunctions.udf.CIQ($B8,"IQ_TOTAL_ASSETS",EX$3,$E$3, $J$3, , $G$3, $H$3)),"")</f>
        <v/>
      </c>
      <c r="EY8" s="87" t="str">
        <f>IFERROR(IF(OR($B8="",EY$3=""),"",_xll.ciqfunctions.udf.CIQ($B8,"IQ_GROSS_LOANS",EY$3,$E$3, $J$3, , $G$3, $H$3)/_xll.ciqfunctions.udf.CIQ($B8,"IQ_TOTAL_ASSETS",EY$3,$E$3, $J$3, , $G$3, $H$3)),"")</f>
        <v/>
      </c>
      <c r="EZ8" s="87" t="str">
        <f>IFERROR(IF(OR($B8="",EZ$3=""),"",_xll.ciqfunctions.udf.CIQ($B8,"IQ_GROSS_LOANS",EZ$3,$E$3, $J$3, , $G$3, $H$3)/_xll.ciqfunctions.udf.CIQ($B8,"IQ_TOTAL_ASSETS",EZ$3,$E$3, $J$3, , $G$3, $H$3)),"")</f>
        <v/>
      </c>
      <c r="FA8" s="87" t="str">
        <f>IFERROR(IF(OR($B8="",FA$3=""),"",_xll.ciqfunctions.udf.CIQ($B8,"IQ_GROSS_LOANS",FA$3,$E$3, $J$3, , $G$3, $H$3)/_xll.ciqfunctions.udf.CIQ($B8,"IQ_TOTAL_ASSETS",FA$3,$E$3, $J$3, , $G$3, $H$3)),"")</f>
        <v/>
      </c>
      <c r="FB8" s="87" t="str">
        <f>IFERROR(IF(OR($B8="",FB$3=""),"",_xll.ciqfunctions.udf.CIQ($B8,"IQ_GROSS_LOANS",FB$3,$E$3, $J$3, , $G$3, $H$3)/_xll.ciqfunctions.udf.CIQ($B8,"IQ_TOTAL_ASSETS",FB$3,$E$3, $J$3, , $G$3, $H$3)),"")</f>
        <v/>
      </c>
      <c r="FC8" s="87" t="str">
        <f>IFERROR(IF(OR($B8="",FC$3=""),"",_xll.ciqfunctions.udf.CIQ($B8,"IQ_GROSS_LOANS",FC$3,$E$3, $J$3, , $G$3, $H$3)/_xll.ciqfunctions.udf.CIQ($B8,"IQ_TOTAL_ASSETS",FC$3,$E$3, $J$3, , $G$3, $H$3)),"")</f>
        <v/>
      </c>
      <c r="FD8" s="87" t="str">
        <f>IFERROR(IF(OR($B8="",FD$3=""),"",_xll.ciqfunctions.udf.CIQ($B8,"IQ_GROSS_LOANS",FD$3,$E$3, $J$3, , $G$3, $H$3)/_xll.ciqfunctions.udf.CIQ($B8,"IQ_TOTAL_ASSETS",FD$3,$E$3, $J$3, , $G$3, $H$3)),"")</f>
        <v/>
      </c>
      <c r="FE8" s="87" t="str">
        <f>IFERROR(IF(OR($B8="",FE$3=""),"",_xll.ciqfunctions.udf.CIQ($B8,"IQ_GROSS_LOANS",FE$3,$E$3, $J$3, , $G$3, $H$3)/_xll.ciqfunctions.udf.CIQ($B8,"IQ_TOTAL_ASSETS",FE$3,$E$3, $J$3, , $G$3, $H$3)),"")</f>
        <v/>
      </c>
      <c r="FF8" s="87" t="str">
        <f>IFERROR(IF(OR($B8="",FF$3=""),"",_xll.ciqfunctions.udf.CIQ($B8,"IQ_GROSS_LOANS",FF$3,$E$3, $J$3, , $G$3, $H$3)/_xll.ciqfunctions.udf.CIQ($B8,"IQ_TOTAL_ASSETS",FF$3,$E$3, $J$3, , $G$3, $H$3)),"")</f>
        <v/>
      </c>
      <c r="FG8" s="87" t="str">
        <f>IFERROR(IF(OR($B8="",FG$3=""),"",_xll.ciqfunctions.udf.CIQ($B8,"IQ_GROSS_LOANS",FG$3,$E$3, $J$3, , $G$3, $H$3)/_xll.ciqfunctions.udf.CIQ($B8,"IQ_TOTAL_ASSETS",FG$3,$E$3, $J$3, , $G$3, $H$3)),"")</f>
        <v/>
      </c>
      <c r="FH8" s="87" t="str">
        <f>IFERROR(IF(OR($B8="",FH$3=""),"",_xll.ciqfunctions.udf.CIQ($B8,"IQ_GROSS_LOANS",FH$3,$E$3, $J$3, , $G$3, $H$3)/_xll.ciqfunctions.udf.CIQ($B8,"IQ_TOTAL_ASSETS",FH$3,$E$3, $J$3, , $G$3, $H$3)),"")</f>
        <v/>
      </c>
      <c r="FI8" s="87" t="str">
        <f>IFERROR(IF(OR($B8="",FI$3=""),"",_xll.ciqfunctions.udf.CIQ($B8,"IQ_GROSS_LOANS",FI$3,$E$3, $J$3, , $G$3, $H$3)/_xll.ciqfunctions.udf.CIQ($B8,"IQ_TOTAL_ASSETS",FI$3,$E$3, $J$3, , $G$3, $H$3)),"")</f>
        <v/>
      </c>
      <c r="FJ8" s="87" t="str">
        <f>IFERROR(IF(OR($B8="",FJ$3=""),"",_xll.ciqfunctions.udf.CIQ($B8,"IQ_GROSS_LOANS",FJ$3,$E$3, $J$3, , $G$3, $H$3)/_xll.ciqfunctions.udf.CIQ($B8,"IQ_TOTAL_ASSETS",FJ$3,$E$3, $J$3, , $G$3, $H$3)),"")</f>
        <v/>
      </c>
      <c r="FK8" s="87" t="str">
        <f>IFERROR(IF(OR($B8="",FK$3=""),"",_xll.ciqfunctions.udf.CIQ($B8,"IQ_GROSS_LOANS",FK$3,$E$3, $J$3, , $G$3, $H$3)/_xll.ciqfunctions.udf.CIQ($B8,"IQ_TOTAL_ASSETS",FK$3,$E$3, $J$3, , $G$3, $H$3)),"")</f>
        <v/>
      </c>
      <c r="FL8" s="87" t="str">
        <f>IFERROR(IF(OR($B8="",FL$3=""),"",_xll.ciqfunctions.udf.CIQ($B8,"IQ_GROSS_LOANS",FL$3,$E$3, $J$3, , $G$3, $H$3)/_xll.ciqfunctions.udf.CIQ($B8,"IQ_TOTAL_ASSETS",FL$3,$E$3, $J$3, , $G$3, $H$3)),"")</f>
        <v/>
      </c>
      <c r="FM8" s="87" t="str">
        <f>IFERROR(IF(OR($B8="",FM$3=""),"",_xll.ciqfunctions.udf.CIQ($B8,"IQ_GROSS_LOANS",FM$3,$E$3, $J$3, , $G$3, $H$3)/_xll.ciqfunctions.udf.CIQ($B8,"IQ_TOTAL_ASSETS",FM$3,$E$3, $J$3, , $G$3, $H$3)),"")</f>
        <v/>
      </c>
      <c r="FN8" s="88" t="str">
        <f>IFERROR(IF(OR($B8="",FN$3=""),"",_xll.ciqfunctions.udf.CIQ($B8,"IQ_GROSS_LOANS",FN$3,$E$3, $J$3, , $G$3, $H$3)/_xll.ciqfunctions.udf.CIQ($B8,"IQ_TOTAL_ASSETS",FN$3,$E$3, $J$3, , $G$3, $H$3)),"")</f>
        <v/>
      </c>
      <c r="FO8" s="86" t="str">
        <f>IFERROR(IF(OR($B8="",FO$3=""),"",_xll.ciqfunctions.udf.CIQ($B8,"IQ_NON_PERFORMING_LOANS",FO$3,$E$3, $J$3, , $G$3, $H$3)/_xll.ciqfunctions.udf.CIQ($B8,"IQ_TOTAL_LOANS",FO$3,$E$3, $J$3, , $G$3, $H$3)),"")</f>
        <v/>
      </c>
      <c r="FP8" s="87" t="str">
        <f>IFERROR(IF(OR($B8="",FP$3=""),"",_xll.ciqfunctions.udf.CIQ($B8,"IQ_NON_PERFORMING_LOANS",FP$3,$E$3, $J$3, , $G$3, $H$3)/_xll.ciqfunctions.udf.CIQ($B8,"IQ_TOTAL_LOANS",FP$3,$E$3, $J$3, , $G$3, $H$3)),"")</f>
        <v/>
      </c>
      <c r="FQ8" s="87" t="str">
        <f>IFERROR(IF(OR($B8="",FQ$3=""),"",_xll.ciqfunctions.udf.CIQ($B8,"IQ_NON_PERFORMING_LOANS",FQ$3,$E$3, $J$3, , $G$3, $H$3)/_xll.ciqfunctions.udf.CIQ($B8,"IQ_TOTAL_LOANS",FQ$3,$E$3, $J$3, , $G$3, $H$3)),"")</f>
        <v/>
      </c>
      <c r="FR8" s="87" t="str">
        <f>IFERROR(IF(OR($B8="",FR$3=""),"",_xll.ciqfunctions.udf.CIQ($B8,"IQ_NON_PERFORMING_LOANS",FR$3,$E$3, $J$3, , $G$3, $H$3)/_xll.ciqfunctions.udf.CIQ($B8,"IQ_TOTAL_LOANS",FR$3,$E$3, $J$3, , $G$3, $H$3)),"")</f>
        <v/>
      </c>
      <c r="FS8" s="87" t="str">
        <f>IFERROR(IF(OR($B8="",FS$3=""),"",_xll.ciqfunctions.udf.CIQ($B8,"IQ_NON_PERFORMING_LOANS",FS$3,$E$3, $J$3, , $G$3, $H$3)/_xll.ciqfunctions.udf.CIQ($B8,"IQ_TOTAL_LOANS",FS$3,$E$3, $J$3, , $G$3, $H$3)),"")</f>
        <v/>
      </c>
      <c r="FT8" s="87" t="str">
        <f>IFERROR(IF(OR($B8="",FT$3=""),"",_xll.ciqfunctions.udf.CIQ($B8,"IQ_NON_PERFORMING_LOANS",FT$3,$E$3, $J$3, , $G$3, $H$3)/_xll.ciqfunctions.udf.CIQ($B8,"IQ_TOTAL_LOANS",FT$3,$E$3, $J$3, , $G$3, $H$3)),"")</f>
        <v/>
      </c>
      <c r="FU8" s="87" t="str">
        <f>IFERROR(IF(OR($B8="",FU$3=""),"",_xll.ciqfunctions.udf.CIQ($B8,"IQ_NON_PERFORMING_LOANS",FU$3,$E$3, $J$3, , $G$3, $H$3)/_xll.ciqfunctions.udf.CIQ($B8,"IQ_TOTAL_LOANS",FU$3,$E$3, $J$3, , $G$3, $H$3)),"")</f>
        <v/>
      </c>
      <c r="FV8" s="87" t="str">
        <f>IFERROR(IF(OR($B8="",FV$3=""),"",_xll.ciqfunctions.udf.CIQ($B8,"IQ_NON_PERFORMING_LOANS",FV$3,$E$3, $J$3, , $G$3, $H$3)/_xll.ciqfunctions.udf.CIQ($B8,"IQ_TOTAL_LOANS",FV$3,$E$3, $J$3, , $G$3, $H$3)),"")</f>
        <v/>
      </c>
      <c r="FW8" s="87" t="str">
        <f>IFERROR(IF(OR($B8="",FW$3=""),"",_xll.ciqfunctions.udf.CIQ($B8,"IQ_NON_PERFORMING_LOANS",FW$3,$E$3, $J$3, , $G$3, $H$3)/_xll.ciqfunctions.udf.CIQ($B8,"IQ_TOTAL_LOANS",FW$3,$E$3, $J$3, , $G$3, $H$3)),"")</f>
        <v/>
      </c>
      <c r="FX8" s="87" t="str">
        <f>IFERROR(IF(OR($B8="",FX$3=""),"",_xll.ciqfunctions.udf.CIQ($B8,"IQ_NON_PERFORMING_LOANS",FX$3,$E$3, $J$3, , $G$3, $H$3)/_xll.ciqfunctions.udf.CIQ($B8,"IQ_TOTAL_LOANS",FX$3,$E$3, $J$3, , $G$3, $H$3)),"")</f>
        <v/>
      </c>
      <c r="FY8" s="87" t="str">
        <f>IFERROR(IF(OR($B8="",FY$3=""),"",_xll.ciqfunctions.udf.CIQ($B8,"IQ_NON_PERFORMING_LOANS",FY$3,$E$3, $J$3, , $G$3, $H$3)/_xll.ciqfunctions.udf.CIQ($B8,"IQ_TOTAL_LOANS",FY$3,$E$3, $J$3, , $G$3, $H$3)),"")</f>
        <v/>
      </c>
      <c r="FZ8" s="87" t="str">
        <f>IFERROR(IF(OR($B8="",FZ$3=""),"",_xll.ciqfunctions.udf.CIQ($B8,"IQ_NON_PERFORMING_LOANS",FZ$3,$E$3, $J$3, , $G$3, $H$3)/_xll.ciqfunctions.udf.CIQ($B8,"IQ_TOTAL_LOANS",FZ$3,$E$3, $J$3, , $G$3, $H$3)),"")</f>
        <v/>
      </c>
      <c r="GA8" s="87" t="str">
        <f>IFERROR(IF(OR($B8="",GA$3=""),"",_xll.ciqfunctions.udf.CIQ($B8,"IQ_NON_PERFORMING_LOANS",GA$3,$E$3, $J$3, , $G$3, $H$3)/_xll.ciqfunctions.udf.CIQ($B8,"IQ_TOTAL_LOANS",GA$3,$E$3, $J$3, , $G$3, $H$3)),"")</f>
        <v/>
      </c>
      <c r="GB8" s="87" t="str">
        <f>IFERROR(IF(OR($B8="",GB$3=""),"",_xll.ciqfunctions.udf.CIQ($B8,"IQ_NON_PERFORMING_LOANS",GB$3,$E$3, $J$3, , $G$3, $H$3)/_xll.ciqfunctions.udf.CIQ($B8,"IQ_TOTAL_LOANS",GB$3,$E$3, $J$3, , $G$3, $H$3)),"")</f>
        <v/>
      </c>
      <c r="GC8" s="87" t="str">
        <f>IFERROR(IF(OR($B8="",GC$3=""),"",_xll.ciqfunctions.udf.CIQ($B8,"IQ_NON_PERFORMING_LOANS",GC$3,$E$3, $J$3, , $G$3, $H$3)/_xll.ciqfunctions.udf.CIQ($B8,"IQ_TOTAL_LOANS",GC$3,$E$3, $J$3, , $G$3, $H$3)),"")</f>
        <v/>
      </c>
      <c r="GD8" s="87" t="str">
        <f>IFERROR(IF(OR($B8="",GD$3=""),"",_xll.ciqfunctions.udf.CIQ($B8,"IQ_NON_PERFORMING_LOANS",GD$3,$E$3, $J$3, , $G$3, $H$3)/_xll.ciqfunctions.udf.CIQ($B8,"IQ_TOTAL_LOANS",GD$3,$E$3, $J$3, , $G$3, $H$3)),"")</f>
        <v/>
      </c>
      <c r="GE8" s="87" t="str">
        <f>IFERROR(IF(OR($B8="",GE$3=""),"",_xll.ciqfunctions.udf.CIQ($B8,"IQ_NON_PERFORMING_LOANS",GE$3,$E$3, $J$3, , $G$3, $H$3)/_xll.ciqfunctions.udf.CIQ($B8,"IQ_TOTAL_LOANS",GE$3,$E$3, $J$3, , $G$3, $H$3)),"")</f>
        <v/>
      </c>
      <c r="GF8" s="87" t="str">
        <f>IFERROR(IF(OR($B8="",GF$3=""),"",_xll.ciqfunctions.udf.CIQ($B8,"IQ_NON_PERFORMING_LOANS",GF$3,$E$3, $J$3, , $G$3, $H$3)/_xll.ciqfunctions.udf.CIQ($B8,"IQ_TOTAL_LOANS",GF$3,$E$3, $J$3, , $G$3, $H$3)),"")</f>
        <v/>
      </c>
      <c r="GG8" s="87" t="str">
        <f>IFERROR(IF(OR($B8="",GG$3=""),"",_xll.ciqfunctions.udf.CIQ($B8,"IQ_NON_PERFORMING_LOANS",GG$3,$E$3, $J$3, , $G$3, $H$3)/_xll.ciqfunctions.udf.CIQ($B8,"IQ_TOTAL_LOANS",GG$3,$E$3, $J$3, , $G$3, $H$3)),"")</f>
        <v/>
      </c>
      <c r="GH8" s="88" t="str">
        <f>IFERROR(IF(OR($B8="",GH$3=""),"",_xll.ciqfunctions.udf.CIQ($B8,"IQ_NON_PERFORMING_LOANS",GH$3,$E$3, $J$3, , $G$3, $H$3)/_xll.ciqfunctions.udf.CIQ($B8,"IQ_TOTAL_LOANS",GH$3,$E$3, $J$3, , $G$3, $H$3)),"")</f>
        <v/>
      </c>
      <c r="GI8" s="86">
        <f>IFERROR(IF(OR($B8="",GI$3=""),"",_xll.ciqfunctions.udf.CIQ($B8,"IQ_NON_PERFORMING_ASSETS",GI$3,$E$3, $J$3, , $G$3, $H$3)/_xll.ciqfunctions.udf.CIQ($B8,"IQ_TOTAL_ASSETS",GI$3,$E$3, $J$3, , $G$3, $H$3)),"")</f>
        <v>0</v>
      </c>
      <c r="GJ8" s="87" t="str">
        <f>IFERROR(IF(OR($B8="",GJ$3=""),"",_xll.ciqfunctions.udf.CIQ($B8,"IQ_NON_PERFORMING_ASSETS",GJ$3,$E$3, $J$3, , $G$3, $H$3)/_xll.ciqfunctions.udf.CIQ($B8,"IQ_TOTAL_ASSETS",GJ$3,$E$3, $J$3, , $G$3, $H$3)),"")</f>
        <v/>
      </c>
      <c r="GK8" s="87" t="str">
        <f>IFERROR(IF(OR($B8="",GK$3=""),"",_xll.ciqfunctions.udf.CIQ($B8,"IQ_NON_PERFORMING_ASSETS",GK$3,$E$3, $J$3, , $G$3, $H$3)/_xll.ciqfunctions.udf.CIQ($B8,"IQ_TOTAL_ASSETS",GK$3,$E$3, $J$3, , $G$3, $H$3)),"")</f>
        <v/>
      </c>
      <c r="GL8" s="87" t="str">
        <f>IFERROR(IF(OR($B8="",GL$3=""),"",_xll.ciqfunctions.udf.CIQ($B8,"IQ_NON_PERFORMING_ASSETS",GL$3,$E$3, $J$3, , $G$3, $H$3)/_xll.ciqfunctions.udf.CIQ($B8,"IQ_TOTAL_ASSETS",GL$3,$E$3, $J$3, , $G$3, $H$3)),"")</f>
        <v/>
      </c>
      <c r="GM8" s="87" t="str">
        <f>IFERROR(IF(OR($B8="",GM$3=""),"",_xll.ciqfunctions.udf.CIQ($B8,"IQ_NON_PERFORMING_ASSETS",GM$3,$E$3, $J$3, , $G$3, $H$3)/_xll.ciqfunctions.udf.CIQ($B8,"IQ_TOTAL_ASSETS",GM$3,$E$3, $J$3, , $G$3, $H$3)),"")</f>
        <v/>
      </c>
      <c r="GN8" s="87" t="str">
        <f>IFERROR(IF(OR($B8="",GN$3=""),"",_xll.ciqfunctions.udf.CIQ($B8,"IQ_NON_PERFORMING_ASSETS",GN$3,$E$3, $J$3, , $G$3, $H$3)/_xll.ciqfunctions.udf.CIQ($B8,"IQ_TOTAL_ASSETS",GN$3,$E$3, $J$3, , $G$3, $H$3)),"")</f>
        <v/>
      </c>
      <c r="GO8" s="87" t="str">
        <f>IFERROR(IF(OR($B8="",GO$3=""),"",_xll.ciqfunctions.udf.CIQ($B8,"IQ_NON_PERFORMING_ASSETS",GO$3,$E$3, $J$3, , $G$3, $H$3)/_xll.ciqfunctions.udf.CIQ($B8,"IQ_TOTAL_ASSETS",GO$3,$E$3, $J$3, , $G$3, $H$3)),"")</f>
        <v/>
      </c>
      <c r="GP8" s="87" t="str">
        <f>IFERROR(IF(OR($B8="",GP$3=""),"",_xll.ciqfunctions.udf.CIQ($B8,"IQ_NON_PERFORMING_ASSETS",GP$3,$E$3, $J$3, , $G$3, $H$3)/_xll.ciqfunctions.udf.CIQ($B8,"IQ_TOTAL_ASSETS",GP$3,$E$3, $J$3, , $G$3, $H$3)),"")</f>
        <v/>
      </c>
      <c r="GQ8" s="87" t="str">
        <f>IFERROR(IF(OR($B8="",GQ$3=""),"",_xll.ciqfunctions.udf.CIQ($B8,"IQ_NON_PERFORMING_ASSETS",GQ$3,$E$3, $J$3, , $G$3, $H$3)/_xll.ciqfunctions.udf.CIQ($B8,"IQ_TOTAL_ASSETS",GQ$3,$E$3, $J$3, , $G$3, $H$3)),"")</f>
        <v/>
      </c>
      <c r="GR8" s="87" t="str">
        <f>IFERROR(IF(OR($B8="",GR$3=""),"",_xll.ciqfunctions.udf.CIQ($B8,"IQ_NON_PERFORMING_ASSETS",GR$3,$E$3, $J$3, , $G$3, $H$3)/_xll.ciqfunctions.udf.CIQ($B8,"IQ_TOTAL_ASSETS",GR$3,$E$3, $J$3, , $G$3, $H$3)),"")</f>
        <v/>
      </c>
      <c r="GS8" s="87" t="str">
        <f>IFERROR(IF(OR($B8="",GS$3=""),"",_xll.ciqfunctions.udf.CIQ($B8,"IQ_NON_PERFORMING_ASSETS",GS$3,$E$3, $J$3, , $G$3, $H$3)/_xll.ciqfunctions.udf.CIQ($B8,"IQ_TOTAL_ASSETS",GS$3,$E$3, $J$3, , $G$3, $H$3)),"")</f>
        <v/>
      </c>
      <c r="GT8" s="87" t="str">
        <f>IFERROR(IF(OR($B8="",GT$3=""),"",_xll.ciqfunctions.udf.CIQ($B8,"IQ_NON_PERFORMING_ASSETS",GT$3,$E$3, $J$3, , $G$3, $H$3)/_xll.ciqfunctions.udf.CIQ($B8,"IQ_TOTAL_ASSETS",GT$3,$E$3, $J$3, , $G$3, $H$3)),"")</f>
        <v/>
      </c>
      <c r="GU8" s="87" t="str">
        <f>IFERROR(IF(OR($B8="",GU$3=""),"",_xll.ciqfunctions.udf.CIQ($B8,"IQ_NON_PERFORMING_ASSETS",GU$3,$E$3, $J$3, , $G$3, $H$3)/_xll.ciqfunctions.udf.CIQ($B8,"IQ_TOTAL_ASSETS",GU$3,$E$3, $J$3, , $G$3, $H$3)),"")</f>
        <v/>
      </c>
      <c r="GV8" s="87" t="str">
        <f>IFERROR(IF(OR($B8="",GV$3=""),"",_xll.ciqfunctions.udf.CIQ($B8,"IQ_NON_PERFORMING_ASSETS",GV$3,$E$3, $J$3, , $G$3, $H$3)/_xll.ciqfunctions.udf.CIQ($B8,"IQ_TOTAL_ASSETS",GV$3,$E$3, $J$3, , $G$3, $H$3)),"")</f>
        <v/>
      </c>
      <c r="GW8" s="87" t="str">
        <f>IFERROR(IF(OR($B8="",GW$3=""),"",_xll.ciqfunctions.udf.CIQ($B8,"IQ_NON_PERFORMING_ASSETS",GW$3,$E$3, $J$3, , $G$3, $H$3)/_xll.ciqfunctions.udf.CIQ($B8,"IQ_TOTAL_ASSETS",GW$3,$E$3, $J$3, , $G$3, $H$3)),"")</f>
        <v/>
      </c>
      <c r="GX8" s="87" t="str">
        <f>IFERROR(IF(OR($B8="",GX$3=""),"",_xll.ciqfunctions.udf.CIQ($B8,"IQ_NON_PERFORMING_ASSETS",GX$3,$E$3, $J$3, , $G$3, $H$3)/_xll.ciqfunctions.udf.CIQ($B8,"IQ_TOTAL_ASSETS",GX$3,$E$3, $J$3, , $G$3, $H$3)),"")</f>
        <v/>
      </c>
      <c r="GY8" s="87" t="str">
        <f>IFERROR(IF(OR($B8="",GY$3=""),"",_xll.ciqfunctions.udf.CIQ($B8,"IQ_NON_PERFORMING_ASSETS",GY$3,$E$3, $J$3, , $G$3, $H$3)/_xll.ciqfunctions.udf.CIQ($B8,"IQ_TOTAL_ASSETS",GY$3,$E$3, $J$3, , $G$3, $H$3)),"")</f>
        <v/>
      </c>
      <c r="GZ8" s="87" t="str">
        <f>IFERROR(IF(OR($B8="",GZ$3=""),"",_xll.ciqfunctions.udf.CIQ($B8,"IQ_NON_PERFORMING_ASSETS",GZ$3,$E$3, $J$3, , $G$3, $H$3)/_xll.ciqfunctions.udf.CIQ($B8,"IQ_TOTAL_ASSETS",GZ$3,$E$3, $J$3, , $G$3, $H$3)),"")</f>
        <v/>
      </c>
      <c r="HA8" s="87" t="str">
        <f>IFERROR(IF(OR($B8="",HA$3=""),"",_xll.ciqfunctions.udf.CIQ($B8,"IQ_NON_PERFORMING_ASSETS",HA$3,$E$3, $J$3, , $G$3, $H$3)/_xll.ciqfunctions.udf.CIQ($B8,"IQ_TOTAL_ASSETS",HA$3,$E$3, $J$3, , $G$3, $H$3)),"")</f>
        <v/>
      </c>
      <c r="HB8" s="88" t="str">
        <f>IFERROR(IF(OR($B8="",HB$3=""),"",_xll.ciqfunctions.udf.CIQ($B8,"IQ_NON_PERFORMING_ASSETS",HB$3,$E$3, $J$3, , $G$3, $H$3)/_xll.ciqfunctions.udf.CIQ($B8,"IQ_TOTAL_ASSETS",HB$3,$E$3, $J$3, , $G$3, $H$3)),"")</f>
        <v/>
      </c>
      <c r="HC8" s="86">
        <f>IFERROR(IF(OR($B8="",HC$3=""),"",_xll.ciqfunctions.udf.CIQ($B8, "IQ_NI", $I$3, HC$3,$J$3, ,$G$3,$H$3)*2/(_xll.ciqfunctions.udf.CIQ($B8,"IQ_TOTAL_ASSETS",HC$3,$E$3, $J$3, , $G$3, $H$3)+_xll.ciqfunctions.udf.CIQ($B8,"IQ_TOTAL_ASSETS","IQ_" &amp; LEFT(HC$3,2) &amp; "-1",HC$3, $J$3, , $G$3, $H$3))),"")</f>
        <v>8.0520399466092019E-2</v>
      </c>
      <c r="HD8" s="87" t="str">
        <f>IFERROR(IF(OR($B8="",HD$3=""),"",_xll.ciqfunctions.udf.CIQ($B8, "IQ_NI", $I$3, HD$3,$J$3, ,$G$3,$H$3)*2/(_xll.ciqfunctions.udf.CIQ($B8,"IQ_TOTAL_ASSETS",HD$3,$E$3, $J$3, , $G$3, $H$3)+_xll.ciqfunctions.udf.CIQ($B8,"IQ_TOTAL_ASSETS","IQ_" &amp; LEFT(HD$3,2) &amp; "-1",HD$3, $J$3, , $G$3, $H$3))),"")</f>
        <v/>
      </c>
      <c r="HE8" s="87" t="str">
        <f>IFERROR(IF(OR($B8="",HE$3=""),"",_xll.ciqfunctions.udf.CIQ($B8, "IQ_NI", $I$3, HE$3,$J$3, ,$G$3,$H$3)*2/(_xll.ciqfunctions.udf.CIQ($B8,"IQ_TOTAL_ASSETS",HE$3,$E$3, $J$3, , $G$3, $H$3)+_xll.ciqfunctions.udf.CIQ($B8,"IQ_TOTAL_ASSETS","IQ_" &amp; LEFT(HE$3,2) &amp; "-1",HE$3, $J$3, , $G$3, $H$3))),"")</f>
        <v/>
      </c>
      <c r="HF8" s="87" t="str">
        <f>IFERROR(IF(OR($B8="",HF$3=""),"",_xll.ciqfunctions.udf.CIQ($B8, "IQ_NI", $I$3, HF$3,$J$3, ,$G$3,$H$3)*2/(_xll.ciqfunctions.udf.CIQ($B8,"IQ_TOTAL_ASSETS",HF$3,$E$3, $J$3, , $G$3, $H$3)+_xll.ciqfunctions.udf.CIQ($B8,"IQ_TOTAL_ASSETS","IQ_" &amp; LEFT(HF$3,2) &amp; "-1",HF$3, $J$3, , $G$3, $H$3))),"")</f>
        <v/>
      </c>
      <c r="HG8" s="87" t="str">
        <f>IFERROR(IF(OR($B8="",HG$3=""),"",_xll.ciqfunctions.udf.CIQ($B8, "IQ_NI", $I$3, HG$3,$J$3, ,$G$3,$H$3)*2/(_xll.ciqfunctions.udf.CIQ($B8,"IQ_TOTAL_ASSETS",HG$3,$E$3, $J$3, , $G$3, $H$3)+_xll.ciqfunctions.udf.CIQ($B8,"IQ_TOTAL_ASSETS","IQ_" &amp; LEFT(HG$3,2) &amp; "-1",HG$3, $J$3, , $G$3, $H$3))),"")</f>
        <v/>
      </c>
      <c r="HH8" s="87" t="str">
        <f>IFERROR(IF(OR($B8="",HH$3=""),"",_xll.ciqfunctions.udf.CIQ($B8, "IQ_NI", $I$3, HH$3,$J$3, ,$G$3,$H$3)*2/(_xll.ciqfunctions.udf.CIQ($B8,"IQ_TOTAL_ASSETS",HH$3,$E$3, $J$3, , $G$3, $H$3)+_xll.ciqfunctions.udf.CIQ($B8,"IQ_TOTAL_ASSETS","IQ_" &amp; LEFT(HH$3,2) &amp; "-1",HH$3, $J$3, , $G$3, $H$3))),"")</f>
        <v/>
      </c>
      <c r="HI8" s="87" t="str">
        <f>IFERROR(IF(OR($B8="",HI$3=""),"",_xll.ciqfunctions.udf.CIQ($B8, "IQ_NI", $I$3, HI$3,$J$3, ,$G$3,$H$3)*2/(_xll.ciqfunctions.udf.CIQ($B8,"IQ_TOTAL_ASSETS",HI$3,$E$3, $J$3, , $G$3, $H$3)+_xll.ciqfunctions.udf.CIQ($B8,"IQ_TOTAL_ASSETS","IQ_" &amp; LEFT(HI$3,2) &amp; "-1",HI$3, $J$3, , $G$3, $H$3))),"")</f>
        <v/>
      </c>
      <c r="HJ8" s="87" t="str">
        <f>IFERROR(IF(OR($B8="",HJ$3=""),"",_xll.ciqfunctions.udf.CIQ($B8, "IQ_NI", $I$3, HJ$3,$J$3, ,$G$3,$H$3)*2/(_xll.ciqfunctions.udf.CIQ($B8,"IQ_TOTAL_ASSETS",HJ$3,$E$3, $J$3, , $G$3, $H$3)+_xll.ciqfunctions.udf.CIQ($B8,"IQ_TOTAL_ASSETS","IQ_" &amp; LEFT(HJ$3,2) &amp; "-1",HJ$3, $J$3, , $G$3, $H$3))),"")</f>
        <v/>
      </c>
      <c r="HK8" s="87" t="str">
        <f>IFERROR(IF(OR($B8="",HK$3=""),"",_xll.ciqfunctions.udf.CIQ($B8, "IQ_NI", $I$3, HK$3,$J$3, ,$G$3,$H$3)*2/(_xll.ciqfunctions.udf.CIQ($B8,"IQ_TOTAL_ASSETS",HK$3,$E$3, $J$3, , $G$3, $H$3)+_xll.ciqfunctions.udf.CIQ($B8,"IQ_TOTAL_ASSETS","IQ_" &amp; LEFT(HK$3,2) &amp; "-1",HK$3, $J$3, , $G$3, $H$3))),"")</f>
        <v/>
      </c>
      <c r="HL8" s="87" t="str">
        <f>IFERROR(IF(OR($B8="",HL$3=""),"",_xll.ciqfunctions.udf.CIQ($B8, "IQ_NI", $I$3, HL$3,$J$3, ,$G$3,$H$3)*2/(_xll.ciqfunctions.udf.CIQ($B8,"IQ_TOTAL_ASSETS",HL$3,$E$3, $J$3, , $G$3, $H$3)+_xll.ciqfunctions.udf.CIQ($B8,"IQ_TOTAL_ASSETS","IQ_" &amp; LEFT(HL$3,2) &amp; "-1",HL$3, $J$3, , $G$3, $H$3))),"")</f>
        <v/>
      </c>
      <c r="HM8" s="87" t="str">
        <f>IFERROR(IF(OR($B8="",HM$3=""),"",_xll.ciqfunctions.udf.CIQ($B8, "IQ_NI", $I$3, HM$3,$J$3, ,$G$3,$H$3)*2/(_xll.ciqfunctions.udf.CIQ($B8,"IQ_TOTAL_ASSETS",HM$3,$E$3, $J$3, , $G$3, $H$3)+_xll.ciqfunctions.udf.CIQ($B8,"IQ_TOTAL_ASSETS","IQ_" &amp; LEFT(HM$3,2) &amp; "-1",HM$3, $J$3, , $G$3, $H$3))),"")</f>
        <v/>
      </c>
      <c r="HN8" s="87" t="str">
        <f>IFERROR(IF(OR($B8="",HN$3=""),"",_xll.ciqfunctions.udf.CIQ($B8, "IQ_NI", $I$3, HN$3,$J$3, ,$G$3,$H$3)*2/(_xll.ciqfunctions.udf.CIQ($B8,"IQ_TOTAL_ASSETS",HN$3,$E$3, $J$3, , $G$3, $H$3)+_xll.ciqfunctions.udf.CIQ($B8,"IQ_TOTAL_ASSETS","IQ_" &amp; LEFT(HN$3,2) &amp; "-1",HN$3, $J$3, , $G$3, $H$3))),"")</f>
        <v/>
      </c>
      <c r="HO8" s="87" t="str">
        <f>IFERROR(IF(OR($B8="",HO$3=""),"",_xll.ciqfunctions.udf.CIQ($B8, "IQ_NI", $I$3, HO$3,$J$3, ,$G$3,$H$3)*2/(_xll.ciqfunctions.udf.CIQ($B8,"IQ_TOTAL_ASSETS",HO$3,$E$3, $J$3, , $G$3, $H$3)+_xll.ciqfunctions.udf.CIQ($B8,"IQ_TOTAL_ASSETS","IQ_" &amp; LEFT(HO$3,2) &amp; "-1",HO$3, $J$3, , $G$3, $H$3))),"")</f>
        <v/>
      </c>
      <c r="HP8" s="87" t="str">
        <f>IFERROR(IF(OR($B8="",HP$3=""),"",_xll.ciqfunctions.udf.CIQ($B8, "IQ_NI", $I$3, HP$3,$J$3, ,$G$3,$H$3)*2/(_xll.ciqfunctions.udf.CIQ($B8,"IQ_TOTAL_ASSETS",HP$3,$E$3, $J$3, , $G$3, $H$3)+_xll.ciqfunctions.udf.CIQ($B8,"IQ_TOTAL_ASSETS","IQ_" &amp; LEFT(HP$3,2) &amp; "-1",HP$3, $J$3, , $G$3, $H$3))),"")</f>
        <v/>
      </c>
      <c r="HQ8" s="87" t="str">
        <f>IFERROR(IF(OR($B8="",HQ$3=""),"",_xll.ciqfunctions.udf.CIQ($B8, "IQ_NI", $I$3, HQ$3,$J$3, ,$G$3,$H$3)*2/(_xll.ciqfunctions.udf.CIQ($B8,"IQ_TOTAL_ASSETS",HQ$3,$E$3, $J$3, , $G$3, $H$3)+_xll.ciqfunctions.udf.CIQ($B8,"IQ_TOTAL_ASSETS","IQ_" &amp; LEFT(HQ$3,2) &amp; "-1",HQ$3, $J$3, , $G$3, $H$3))),"")</f>
        <v/>
      </c>
      <c r="HR8" s="87" t="str">
        <f>IFERROR(IF(OR($B8="",HR$3=""),"",_xll.ciqfunctions.udf.CIQ($B8, "IQ_NI", $I$3, HR$3,$J$3, ,$G$3,$H$3)*2/(_xll.ciqfunctions.udf.CIQ($B8,"IQ_TOTAL_ASSETS",HR$3,$E$3, $J$3, , $G$3, $H$3)+_xll.ciqfunctions.udf.CIQ($B8,"IQ_TOTAL_ASSETS","IQ_" &amp; LEFT(HR$3,2) &amp; "-1",HR$3, $J$3, , $G$3, $H$3))),"")</f>
        <v/>
      </c>
      <c r="HS8" s="87" t="str">
        <f>IFERROR(IF(OR($B8="",HS$3=""),"",_xll.ciqfunctions.udf.CIQ($B8, "IQ_NI", $I$3, HS$3,$J$3, ,$G$3,$H$3)*2/(_xll.ciqfunctions.udf.CIQ($B8,"IQ_TOTAL_ASSETS",HS$3,$E$3, $J$3, , $G$3, $H$3)+_xll.ciqfunctions.udf.CIQ($B8,"IQ_TOTAL_ASSETS","IQ_" &amp; LEFT(HS$3,2) &amp; "-1",HS$3, $J$3, , $G$3, $H$3))),"")</f>
        <v/>
      </c>
      <c r="HT8" s="87" t="str">
        <f>IFERROR(IF(OR($B8="",HT$3=""),"",_xll.ciqfunctions.udf.CIQ($B8, "IQ_NI", $I$3, HT$3,$J$3, ,$G$3,$H$3)*2/(_xll.ciqfunctions.udf.CIQ($B8,"IQ_TOTAL_ASSETS",HT$3,$E$3, $J$3, , $G$3, $H$3)+_xll.ciqfunctions.udf.CIQ($B8,"IQ_TOTAL_ASSETS","IQ_" &amp; LEFT(HT$3,2) &amp; "-1",HT$3, $J$3, , $G$3, $H$3))),"")</f>
        <v/>
      </c>
      <c r="HU8" s="87" t="str">
        <f>IFERROR(IF(OR($B8="",HU$3=""),"",_xll.ciqfunctions.udf.CIQ($B8, "IQ_NI", $I$3, HU$3,$J$3, ,$G$3,$H$3)*2/(_xll.ciqfunctions.udf.CIQ($B8,"IQ_TOTAL_ASSETS",HU$3,$E$3, $J$3, , $G$3, $H$3)+_xll.ciqfunctions.udf.CIQ($B8,"IQ_TOTAL_ASSETS","IQ_" &amp; LEFT(HU$3,2) &amp; "-1",HU$3, $J$3, , $G$3, $H$3))),"")</f>
        <v/>
      </c>
      <c r="HV8" s="88" t="str">
        <f>IFERROR(IF(OR($B8="",HV$3=""),"",_xll.ciqfunctions.udf.CIQ($B8, "IQ_NI", $I$3, HV$3,$J$3, ,$G$3,$H$3)*2/(_xll.ciqfunctions.udf.CIQ($B8,"IQ_TOTAL_ASSETS",HV$3,$E$3, $J$3, , $G$3, $H$3)+_xll.ciqfunctions.udf.CIQ($B8,"IQ_TOTAL_ASSETS","IQ_" &amp; LEFT(HV$3,2) &amp; "-1",HV$3, $J$3, , $G$3, $H$3))),"")</f>
        <v/>
      </c>
      <c r="HW8" s="86">
        <f>IFERROR(IF(OR($B8="",HW$3=""),"",_xll.ciqfunctions.udf.CIQ($B8,"IQ_CASH_OPER",HW$3,$E$3, $J$3, , $G$3, $H$3)/_xll.ciqfunctions.udf.CIQ($B8,"IQ_TOTAL_REV",HW$3,$E$3, $J$3, , $G$3, $H$3)),0)</f>
        <v>4.711843375155108E-2</v>
      </c>
      <c r="HX8" s="87" t="str">
        <f>IFERROR(IF(OR($B8="",HX$3=""),"",_xll.ciqfunctions.udf.CIQ($B8,"IQ_CASH_OPER",HX$3,$E$3, $J$3, , $G$3, $H$3)/_xll.ciqfunctions.udf.CIQ($B8,"IQ_TOTAL_REV",HX$3,$E$3, $J$3, , $G$3, $H$3)),0)</f>
        <v/>
      </c>
      <c r="HY8" s="87" t="str">
        <f>IFERROR(IF(OR($B8="",HY$3=""),"",_xll.ciqfunctions.udf.CIQ($B8,"IQ_CASH_OPER",HY$3,$E$3, $J$3, , $G$3, $H$3)/_xll.ciqfunctions.udf.CIQ($B8,"IQ_TOTAL_REV",HY$3,$E$3, $J$3, , $G$3, $H$3)),0)</f>
        <v/>
      </c>
      <c r="HZ8" s="87" t="str">
        <f>IFERROR(IF(OR($B8="",HZ$3=""),"",_xll.ciqfunctions.udf.CIQ($B8,"IQ_CASH_OPER",HZ$3,$E$3, $J$3, , $G$3, $H$3)/_xll.ciqfunctions.udf.CIQ($B8,"IQ_TOTAL_REV",HZ$3,$E$3, $J$3, , $G$3, $H$3)),0)</f>
        <v/>
      </c>
      <c r="IA8" s="87" t="str">
        <f>IFERROR(IF(OR($B8="",IA$3=""),"",_xll.ciqfunctions.udf.CIQ($B8,"IQ_CASH_OPER",IA$3,$E$3, $J$3, , $G$3, $H$3)/_xll.ciqfunctions.udf.CIQ($B8,"IQ_TOTAL_REV",IA$3,$E$3, $J$3, , $G$3, $H$3)),0)</f>
        <v/>
      </c>
      <c r="IB8" s="87" t="str">
        <f>IFERROR(IF(OR($B8="",IB$3=""),"",_xll.ciqfunctions.udf.CIQ($B8,"IQ_CASH_OPER",IB$3,$E$3, $J$3, , $G$3, $H$3)/_xll.ciqfunctions.udf.CIQ($B8,"IQ_TOTAL_REV",IB$3,$E$3, $J$3, , $G$3, $H$3)),0)</f>
        <v/>
      </c>
      <c r="IC8" s="87" t="str">
        <f>IFERROR(IF(OR($B8="",IC$3=""),"",_xll.ciqfunctions.udf.CIQ($B8,"IQ_CASH_OPER",IC$3,$E$3, $J$3, , $G$3, $H$3)/_xll.ciqfunctions.udf.CIQ($B8,"IQ_TOTAL_REV",IC$3,$E$3, $J$3, , $G$3, $H$3)),0)</f>
        <v/>
      </c>
      <c r="ID8" s="87" t="str">
        <f>IFERROR(IF(OR($B8="",ID$3=""),"",_xll.ciqfunctions.udf.CIQ($B8,"IQ_CASH_OPER",ID$3,$E$3, $J$3, , $G$3, $H$3)/_xll.ciqfunctions.udf.CIQ($B8,"IQ_TOTAL_REV",ID$3,$E$3, $J$3, , $G$3, $H$3)),0)</f>
        <v/>
      </c>
      <c r="IE8" s="87" t="str">
        <f>IFERROR(IF(OR($B8="",IE$3=""),"",_xll.ciqfunctions.udf.CIQ($B8,"IQ_CASH_OPER",IE$3,$E$3, $J$3, , $G$3, $H$3)/_xll.ciqfunctions.udf.CIQ($B8,"IQ_TOTAL_REV",IE$3,$E$3, $J$3, , $G$3, $H$3)),0)</f>
        <v/>
      </c>
      <c r="IF8" s="87" t="str">
        <f>IFERROR(IF(OR($B8="",IF$3=""),"",_xll.ciqfunctions.udf.CIQ($B8,"IQ_CASH_OPER",IF$3,$E$3, $J$3, , $G$3, $H$3)/_xll.ciqfunctions.udf.CIQ($B8,"IQ_TOTAL_REV",IF$3,$E$3, $J$3, , $G$3, $H$3)),0)</f>
        <v/>
      </c>
      <c r="IG8" s="87" t="str">
        <f>IFERROR(IF(OR($B8="",IG$3=""),"",_xll.ciqfunctions.udf.CIQ($B8,"IQ_CASH_OPER",IG$3,$E$3, $J$3, , $G$3, $H$3)/_xll.ciqfunctions.udf.CIQ($B8,"IQ_TOTAL_REV",IG$3,$E$3, $J$3, , $G$3, $H$3)),0)</f>
        <v/>
      </c>
      <c r="IH8" s="87" t="str">
        <f>IFERROR(IF(OR($B8="",IH$3=""),"",_xll.ciqfunctions.udf.CIQ($B8,"IQ_CASH_OPER",IH$3,$E$3, $J$3, , $G$3, $H$3)/_xll.ciqfunctions.udf.CIQ($B8,"IQ_TOTAL_REV",IH$3,$E$3, $J$3, , $G$3, $H$3)),0)</f>
        <v/>
      </c>
      <c r="II8" s="87" t="str">
        <f>IFERROR(IF(OR($B8="",II$3=""),"",_xll.ciqfunctions.udf.CIQ($B8,"IQ_CASH_OPER",II$3,$E$3, $J$3, , $G$3, $H$3)/_xll.ciqfunctions.udf.CIQ($B8,"IQ_TOTAL_REV",II$3,$E$3, $J$3, , $G$3, $H$3)),0)</f>
        <v/>
      </c>
      <c r="IJ8" s="87" t="str">
        <f>IFERROR(IF(OR($B8="",IJ$3=""),"",_xll.ciqfunctions.udf.CIQ($B8,"IQ_CASH_OPER",IJ$3,$E$3, $J$3, , $G$3, $H$3)/_xll.ciqfunctions.udf.CIQ($B8,"IQ_TOTAL_REV",IJ$3,$E$3, $J$3, , $G$3, $H$3)),0)</f>
        <v/>
      </c>
      <c r="IK8" s="87" t="str">
        <f>IFERROR(IF(OR($B8="",IK$3=""),"",_xll.ciqfunctions.udf.CIQ($B8,"IQ_CASH_OPER",IK$3,$E$3, $J$3, , $G$3, $H$3)/_xll.ciqfunctions.udf.CIQ($B8,"IQ_TOTAL_REV",IK$3,$E$3, $J$3, , $G$3, $H$3)),0)</f>
        <v/>
      </c>
      <c r="IL8" s="87" t="str">
        <f>IFERROR(IF(OR($B8="",IL$3=""),"",_xll.ciqfunctions.udf.CIQ($B8,"IQ_CASH_OPER",IL$3,$E$3, $J$3, , $G$3, $H$3)/_xll.ciqfunctions.udf.CIQ($B8,"IQ_TOTAL_REV",IL$3,$E$3, $J$3, , $G$3, $H$3)),0)</f>
        <v/>
      </c>
      <c r="IM8" s="87" t="str">
        <f>IFERROR(IF(OR($B8="",IM$3=""),"",_xll.ciqfunctions.udf.CIQ($B8,"IQ_CASH_OPER",IM$3,$E$3, $J$3, , $G$3, $H$3)/_xll.ciqfunctions.udf.CIQ($B8,"IQ_TOTAL_REV",IM$3,$E$3, $J$3, , $G$3, $H$3)),0)</f>
        <v/>
      </c>
      <c r="IN8" s="87" t="str">
        <f>IFERROR(IF(OR($B8="",IN$3=""),"",_xll.ciqfunctions.udf.CIQ($B8,"IQ_CASH_OPER",IN$3,$E$3, $J$3, , $G$3, $H$3)/_xll.ciqfunctions.udf.CIQ($B8,"IQ_TOTAL_REV",IN$3,$E$3, $J$3, , $G$3, $H$3)),0)</f>
        <v/>
      </c>
      <c r="IO8" s="87" t="str">
        <f>IFERROR(IF(OR($B8="",IO$3=""),"",_xll.ciqfunctions.udf.CIQ($B8,"IQ_CASH_OPER",IO$3,$E$3, $J$3, , $G$3, $H$3)/_xll.ciqfunctions.udf.CIQ($B8,"IQ_TOTAL_REV",IO$3,$E$3, $J$3, , $G$3, $H$3)),0)</f>
        <v/>
      </c>
      <c r="IP8" s="88" t="str">
        <f>IFERROR(IF(OR($B8="",IP$3=""),"",_xll.ciqfunctions.udf.CIQ($B8,"IQ_CASH_OPER",IP$3,$E$3, $J$3, , $G$3, $H$3)/_xll.ciqfunctions.udf.CIQ($B8,"IQ_TOTAL_REV",IP$3,$E$3, $J$3, , $G$3, $H$3)),0)</f>
        <v/>
      </c>
      <c r="IQ8" s="348">
        <f>IFERROR(IF(OR(IQ$3="",$B8=""),"",_xll.ciqfunctions.udf.CIQ($B8,"IQ_TOTAL_ASSETS",IQ$3,$E$3, $J$3, , $G$3, $H$3)/_xll.ciqfunctions.udf.CIQ($B8,"IQ_TOTAL_COMMON_EQUITY",IQ$3,$E$3, $J$3, , $G$3, $H$3)),0)</f>
        <v>3.4744624383902942</v>
      </c>
      <c r="IR8" s="349" t="str">
        <f>IFERROR(IF(OR(IR$3="",$B8=""),"",_xll.ciqfunctions.udf.CIQ($B8,"IQ_TOTAL_ASSETS",IR$3,$E$3, $J$3, , $G$3, $H$3)/_xll.ciqfunctions.udf.CIQ($B8,"IQ_TOTAL_COMMON_EQUITY",IR$3,$E$3, $J$3, , $G$3, $H$3)),0)</f>
        <v/>
      </c>
      <c r="IS8" s="349" t="str">
        <f>IFERROR(IF(OR(IS$3="",$B8=""),"",_xll.ciqfunctions.udf.CIQ($B8,"IQ_TOTAL_ASSETS",IS$3,$E$3, $J$3, , $G$3, $H$3)/_xll.ciqfunctions.udf.CIQ($B8,"IQ_TOTAL_COMMON_EQUITY",IS$3,$E$3, $J$3, , $G$3, $H$3)),0)</f>
        <v/>
      </c>
      <c r="IT8" s="349" t="str">
        <f>IFERROR(IF(OR(IT$3="",$B8=""),"",_xll.ciqfunctions.udf.CIQ($B8,"IQ_TOTAL_ASSETS",IT$3,$E$3, $J$3, , $G$3, $H$3)/_xll.ciqfunctions.udf.CIQ($B8,"IQ_TOTAL_COMMON_EQUITY",IT$3,$E$3, $J$3, , $G$3, $H$3)),0)</f>
        <v/>
      </c>
      <c r="IU8" s="349" t="str">
        <f>IFERROR(IF(OR(IU$3="",$B8=""),"",_xll.ciqfunctions.udf.CIQ($B8,"IQ_TOTAL_ASSETS",IU$3,$E$3, $J$3, , $G$3, $H$3)/_xll.ciqfunctions.udf.CIQ($B8,"IQ_TOTAL_COMMON_EQUITY",IU$3,$E$3, $J$3, , $G$3, $H$3)),0)</f>
        <v/>
      </c>
      <c r="IV8" s="349" t="str">
        <f>IFERROR(IF(OR(IV$3="",$B8=""),"",_xll.ciqfunctions.udf.CIQ($B8,"IQ_TOTAL_ASSETS",IV$3,$E$3, $J$3, , $G$3, $H$3)/_xll.ciqfunctions.udf.CIQ($B8,"IQ_TOTAL_COMMON_EQUITY",IV$3,$E$3, $J$3, , $G$3, $H$3)),0)</f>
        <v/>
      </c>
      <c r="IW8" s="349" t="str">
        <f>IFERROR(IF(OR(IW$3="",$B8=""),"",_xll.ciqfunctions.udf.CIQ($B8,"IQ_TOTAL_ASSETS",IW$3,$E$3, $J$3, , $G$3, $H$3)/_xll.ciqfunctions.udf.CIQ($B8,"IQ_TOTAL_COMMON_EQUITY",IW$3,$E$3, $J$3, , $G$3, $H$3)),0)</f>
        <v/>
      </c>
      <c r="IX8" s="349" t="str">
        <f>IFERROR(IF(OR(IX$3="",$B8=""),"",_xll.ciqfunctions.udf.CIQ($B8,"IQ_TOTAL_ASSETS",IX$3,$E$3, $J$3, , $G$3, $H$3)/_xll.ciqfunctions.udf.CIQ($B8,"IQ_TOTAL_COMMON_EQUITY",IX$3,$E$3, $J$3, , $G$3, $H$3)),0)</f>
        <v/>
      </c>
      <c r="IY8" s="349" t="str">
        <f>IFERROR(IF(OR(IY$3="",$B8=""),"",_xll.ciqfunctions.udf.CIQ($B8,"IQ_TOTAL_ASSETS",IY$3,$E$3, $J$3, , $G$3, $H$3)/_xll.ciqfunctions.udf.CIQ($B8,"IQ_TOTAL_COMMON_EQUITY",IY$3,$E$3, $J$3, , $G$3, $H$3)),0)</f>
        <v/>
      </c>
      <c r="IZ8" s="349" t="str">
        <f>IFERROR(IF(OR(IZ$3="",$B8=""),"",_xll.ciqfunctions.udf.CIQ($B8,"IQ_TOTAL_ASSETS",IZ$3,$E$3, $J$3, , $G$3, $H$3)/_xll.ciqfunctions.udf.CIQ($B8,"IQ_TOTAL_COMMON_EQUITY",IZ$3,$E$3, $J$3, , $G$3, $H$3)),0)</f>
        <v/>
      </c>
      <c r="JA8" s="349" t="str">
        <f>IFERROR(IF(OR(JA$3="",$B8=""),"",_xll.ciqfunctions.udf.CIQ($B8,"IQ_TOTAL_ASSETS",JA$3,$E$3, $J$3, , $G$3, $H$3)/_xll.ciqfunctions.udf.CIQ($B8,"IQ_TOTAL_COMMON_EQUITY",JA$3,$E$3, $J$3, , $G$3, $H$3)),0)</f>
        <v/>
      </c>
      <c r="JB8" s="349" t="str">
        <f>IFERROR(IF(OR(JB$3="",$B8=""),"",_xll.ciqfunctions.udf.CIQ($B8,"IQ_TOTAL_ASSETS",JB$3,$E$3, $J$3, , $G$3, $H$3)/_xll.ciqfunctions.udf.CIQ($B8,"IQ_TOTAL_COMMON_EQUITY",JB$3,$E$3, $J$3, , $G$3, $H$3)),0)</f>
        <v/>
      </c>
      <c r="JC8" s="349" t="str">
        <f>IFERROR(IF(OR(JC$3="",$B8=""),"",_xll.ciqfunctions.udf.CIQ($B8,"IQ_TOTAL_ASSETS",JC$3,$E$3, $J$3, , $G$3, $H$3)/_xll.ciqfunctions.udf.CIQ($B8,"IQ_TOTAL_COMMON_EQUITY",JC$3,$E$3, $J$3, , $G$3, $H$3)),0)</f>
        <v/>
      </c>
      <c r="JD8" s="349" t="str">
        <f>IFERROR(IF(OR(JD$3="",$B8=""),"",_xll.ciqfunctions.udf.CIQ($B8,"IQ_TOTAL_ASSETS",JD$3,$E$3, $J$3, , $G$3, $H$3)/_xll.ciqfunctions.udf.CIQ($B8,"IQ_TOTAL_COMMON_EQUITY",JD$3,$E$3, $J$3, , $G$3, $H$3)),0)</f>
        <v/>
      </c>
      <c r="JE8" s="349" t="str">
        <f>IFERROR(IF(OR(JE$3="",$B8=""),"",_xll.ciqfunctions.udf.CIQ($B8,"IQ_TOTAL_ASSETS",JE$3,$E$3, $J$3, , $G$3, $H$3)/_xll.ciqfunctions.udf.CIQ($B8,"IQ_TOTAL_COMMON_EQUITY",JE$3,$E$3, $J$3, , $G$3, $H$3)),0)</f>
        <v/>
      </c>
      <c r="JF8" s="349" t="str">
        <f>IFERROR(IF(OR(JF$3="",$B8=""),"",_xll.ciqfunctions.udf.CIQ($B8,"IQ_TOTAL_ASSETS",JF$3,$E$3, $J$3, , $G$3, $H$3)/_xll.ciqfunctions.udf.CIQ($B8,"IQ_TOTAL_COMMON_EQUITY",JF$3,$E$3, $J$3, , $G$3, $H$3)),0)</f>
        <v/>
      </c>
      <c r="JG8" s="349" t="str">
        <f>IFERROR(IF(OR(JG$3="",$B8=""),"",_xll.ciqfunctions.udf.CIQ($B8,"IQ_TOTAL_ASSETS",JG$3,$E$3, $J$3, , $G$3, $H$3)/_xll.ciqfunctions.udf.CIQ($B8,"IQ_TOTAL_COMMON_EQUITY",JG$3,$E$3, $J$3, , $G$3, $H$3)),0)</f>
        <v/>
      </c>
      <c r="JH8" s="349" t="str">
        <f>IFERROR(IF(OR(JH$3="",$B8=""),"",_xll.ciqfunctions.udf.CIQ($B8,"IQ_TOTAL_ASSETS",JH$3,$E$3, $J$3, , $G$3, $H$3)/_xll.ciqfunctions.udf.CIQ($B8,"IQ_TOTAL_COMMON_EQUITY",JH$3,$E$3, $J$3, , $G$3, $H$3)),0)</f>
        <v/>
      </c>
      <c r="JI8" s="349" t="str">
        <f>IFERROR(IF(OR(JI$3="",$B8=""),"",_xll.ciqfunctions.udf.CIQ($B8,"IQ_TOTAL_ASSETS",JI$3,$E$3, $J$3, , $G$3, $H$3)/_xll.ciqfunctions.udf.CIQ($B8,"IQ_TOTAL_COMMON_EQUITY",JI$3,$E$3, $J$3, , $G$3, $H$3)),0)</f>
        <v/>
      </c>
      <c r="JJ8" s="350" t="str">
        <f>IFERROR(IF(OR(JJ$3="",$B8=""),"",_xll.ciqfunctions.udf.CIQ($B8,"IQ_TOTAL_ASSETS",JJ$3,$E$3, $J$3, , $G$3, $H$3)/_xll.ciqfunctions.udf.CIQ($B8,"IQ_TOTAL_COMMON_EQUITY",JJ$3,$E$3, $J$3, , $G$3, $H$3)),0)</f>
        <v/>
      </c>
      <c r="JK8" s="86">
        <f>IFERROR(IF(OR($B8="",JK$3=""),"",_xll.ciqfunctions.udf.CIQ($B8, "IQ_NI", $I$3, HC$3,$J$3, ,$G$3,$H$3)*2/(_xll.ciqfunctions.udf.CIQ($B8,"IQ_TOTAL_EQUITY",JK$3,$E$3, $J$3, , $G$3, $H$3)+_xll.ciqfunctions.udf.CIQ($B8,"IQ_TOTAL_EQUITY","IQ_" &amp; LEFT(JK$3,2) &amp; "-1",JK$3, $J$3, , $G$3, $H$3))),"")</f>
        <v>0.2918767670290594</v>
      </c>
      <c r="JL8" s="87" t="str">
        <f>IFERROR(IF(OR($B8="",JL$3=""),"",_xll.ciqfunctions.udf.CIQ($B8, "IQ_NI", $I$3, HD$3,$J$3, ,$G$3,$H$3)*2/(_xll.ciqfunctions.udf.CIQ($B8,"IQ_TOTAL_EQUITY",JL$3,$E$3, $J$3, , $G$3, $H$3)+_xll.ciqfunctions.udf.CIQ($B8,"IQ_TOTAL_EQUITY","IQ_" &amp; LEFT(JL$3,2) &amp; "-1",JL$3, $J$3, , $G$3, $H$3))),"")</f>
        <v/>
      </c>
      <c r="JM8" s="87" t="str">
        <f>IFERROR(IF(OR($B8="",JM$3=""),"",_xll.ciqfunctions.udf.CIQ($B8, "IQ_NI", $I$3, HE$3,$J$3, ,$G$3,$H$3)*2/(_xll.ciqfunctions.udf.CIQ($B8,"IQ_TOTAL_EQUITY",JM$3,$E$3, $J$3, , $G$3, $H$3)+_xll.ciqfunctions.udf.CIQ($B8,"IQ_TOTAL_EQUITY","IQ_" &amp; LEFT(JM$3,2) &amp; "-1",JM$3, $J$3, , $G$3, $H$3))),"")</f>
        <v/>
      </c>
      <c r="JN8" s="87" t="str">
        <f>IFERROR(IF(OR($B8="",JN$3=""),"",_xll.ciqfunctions.udf.CIQ($B8, "IQ_NI", $I$3, HF$3,$J$3, ,$G$3,$H$3)*2/(_xll.ciqfunctions.udf.CIQ($B8,"IQ_TOTAL_EQUITY",JN$3,$E$3, $J$3, , $G$3, $H$3)+_xll.ciqfunctions.udf.CIQ($B8,"IQ_TOTAL_EQUITY","IQ_" &amp; LEFT(JN$3,2) &amp; "-1",JN$3, $J$3, , $G$3, $H$3))),"")</f>
        <v/>
      </c>
      <c r="JO8" s="87" t="str">
        <f>IFERROR(IF(OR($B8="",JO$3=""),"",_xll.ciqfunctions.udf.CIQ($B8, "IQ_NI", $I$3, HG$3,$J$3, ,$G$3,$H$3)*2/(_xll.ciqfunctions.udf.CIQ($B8,"IQ_TOTAL_EQUITY",JO$3,$E$3, $J$3, , $G$3, $H$3)+_xll.ciqfunctions.udf.CIQ($B8,"IQ_TOTAL_EQUITY","IQ_" &amp; LEFT(JO$3,2) &amp; "-1",JO$3, $J$3, , $G$3, $H$3))),"")</f>
        <v/>
      </c>
      <c r="JP8" s="87" t="str">
        <f>IFERROR(IF(OR($B8="",JP$3=""),"",_xll.ciqfunctions.udf.CIQ($B8, "IQ_NI", $I$3, HH$3,$J$3, ,$G$3,$H$3)*2/(_xll.ciqfunctions.udf.CIQ($B8,"IQ_TOTAL_EQUITY",JP$3,$E$3, $J$3, , $G$3, $H$3)+_xll.ciqfunctions.udf.CIQ($B8,"IQ_TOTAL_EQUITY","IQ_" &amp; LEFT(JP$3,2) &amp; "-1",JP$3, $J$3, , $G$3, $H$3))),"")</f>
        <v/>
      </c>
      <c r="JQ8" s="87" t="str">
        <f>IFERROR(IF(OR($B8="",JQ$3=""),"",_xll.ciqfunctions.udf.CIQ($B8, "IQ_NI", $I$3, HI$3,$J$3, ,$G$3,$H$3)*2/(_xll.ciqfunctions.udf.CIQ($B8,"IQ_TOTAL_EQUITY",JQ$3,$E$3, $J$3, , $G$3, $H$3)+_xll.ciqfunctions.udf.CIQ($B8,"IQ_TOTAL_EQUITY","IQ_" &amp; LEFT(JQ$3,2) &amp; "-1",JQ$3, $J$3, , $G$3, $H$3))),"")</f>
        <v/>
      </c>
      <c r="JR8" s="87" t="str">
        <f>IFERROR(IF(OR($B8="",JR$3=""),"",_xll.ciqfunctions.udf.CIQ($B8, "IQ_NI", $I$3, HJ$3,$J$3, ,$G$3,$H$3)*2/(_xll.ciqfunctions.udf.CIQ($B8,"IQ_TOTAL_EQUITY",JR$3,$E$3, $J$3, , $G$3, $H$3)+_xll.ciqfunctions.udf.CIQ($B8,"IQ_TOTAL_EQUITY","IQ_" &amp; LEFT(JR$3,2) &amp; "-1",JR$3, $J$3, , $G$3, $H$3))),"")</f>
        <v/>
      </c>
      <c r="JS8" s="87" t="str">
        <f>IFERROR(IF(OR($B8="",JS$3=""),"",_xll.ciqfunctions.udf.CIQ($B8, "IQ_NI", $I$3, HK$3,$J$3, ,$G$3,$H$3)*2/(_xll.ciqfunctions.udf.CIQ($B8,"IQ_TOTAL_EQUITY",JS$3,$E$3, $J$3, , $G$3, $H$3)+_xll.ciqfunctions.udf.CIQ($B8,"IQ_TOTAL_EQUITY","IQ_" &amp; LEFT(JS$3,2) &amp; "-1",JS$3, $J$3, , $G$3, $H$3))),"")</f>
        <v/>
      </c>
      <c r="JT8" s="87" t="str">
        <f>IFERROR(IF(OR($B8="",JT$3=""),"",_xll.ciqfunctions.udf.CIQ($B8, "IQ_NI", $I$3, HL$3,$J$3, ,$G$3,$H$3)*2/(_xll.ciqfunctions.udf.CIQ($B8,"IQ_TOTAL_EQUITY",JT$3,$E$3, $J$3, , $G$3, $H$3)+_xll.ciqfunctions.udf.CIQ($B8,"IQ_TOTAL_EQUITY","IQ_" &amp; LEFT(JT$3,2) &amp; "-1",JT$3, $J$3, , $G$3, $H$3))),"")</f>
        <v/>
      </c>
      <c r="JU8" s="87" t="str">
        <f>IFERROR(IF(OR($B8="",JU$3=""),"",_xll.ciqfunctions.udf.CIQ($B8, "IQ_NI", $I$3, HM$3,$J$3, ,$G$3,$H$3)*2/(_xll.ciqfunctions.udf.CIQ($B8,"IQ_TOTAL_EQUITY",JU$3,$E$3, $J$3, , $G$3, $H$3)+_xll.ciqfunctions.udf.CIQ($B8,"IQ_TOTAL_EQUITY","IQ_" &amp; LEFT(JU$3,2) &amp; "-1",JU$3, $J$3, , $G$3, $H$3))),"")</f>
        <v/>
      </c>
      <c r="JV8" s="87" t="str">
        <f>IFERROR(IF(OR($B8="",JV$3=""),"",_xll.ciqfunctions.udf.CIQ($B8, "IQ_NI", $I$3, HN$3,$J$3, ,$G$3,$H$3)*2/(_xll.ciqfunctions.udf.CIQ($B8,"IQ_TOTAL_EQUITY",JV$3,$E$3, $J$3, , $G$3, $H$3)+_xll.ciqfunctions.udf.CIQ($B8,"IQ_TOTAL_EQUITY","IQ_" &amp; LEFT(JV$3,2) &amp; "-1",JV$3, $J$3, , $G$3, $H$3))),"")</f>
        <v/>
      </c>
      <c r="JW8" s="87" t="str">
        <f>IFERROR(IF(OR($B8="",JW$3=""),"",_xll.ciqfunctions.udf.CIQ($B8, "IQ_NI", $I$3, HO$3,$J$3, ,$G$3,$H$3)*2/(_xll.ciqfunctions.udf.CIQ($B8,"IQ_TOTAL_EQUITY",JW$3,$E$3, $J$3, , $G$3, $H$3)+_xll.ciqfunctions.udf.CIQ($B8,"IQ_TOTAL_EQUITY","IQ_" &amp; LEFT(JW$3,2) &amp; "-1",JW$3, $J$3, , $G$3, $H$3))),"")</f>
        <v/>
      </c>
      <c r="JX8" s="87" t="str">
        <f>IFERROR(IF(OR($B8="",JX$3=""),"",_xll.ciqfunctions.udf.CIQ($B8, "IQ_NI", $I$3, HP$3,$J$3, ,$G$3,$H$3)*2/(_xll.ciqfunctions.udf.CIQ($B8,"IQ_TOTAL_EQUITY",JX$3,$E$3, $J$3, , $G$3, $H$3)+_xll.ciqfunctions.udf.CIQ($B8,"IQ_TOTAL_EQUITY","IQ_" &amp; LEFT(JX$3,2) &amp; "-1",JX$3, $J$3, , $G$3, $H$3))),"")</f>
        <v/>
      </c>
      <c r="JY8" s="87" t="str">
        <f>IFERROR(IF(OR($B8="",JY$3=""),"",_xll.ciqfunctions.udf.CIQ($B8, "IQ_NI", $I$3, HQ$3,$J$3, ,$G$3,$H$3)*2/(_xll.ciqfunctions.udf.CIQ($B8,"IQ_TOTAL_EQUITY",JY$3,$E$3, $J$3, , $G$3, $H$3)+_xll.ciqfunctions.udf.CIQ($B8,"IQ_TOTAL_EQUITY","IQ_" &amp; LEFT(JY$3,2) &amp; "-1",JY$3, $J$3, , $G$3, $H$3))),"")</f>
        <v/>
      </c>
      <c r="JZ8" s="87" t="str">
        <f>IFERROR(IF(OR($B8="",JZ$3=""),"",_xll.ciqfunctions.udf.CIQ($B8, "IQ_NI", $I$3, HR$3,$J$3, ,$G$3,$H$3)*2/(_xll.ciqfunctions.udf.CIQ($B8,"IQ_TOTAL_EQUITY",JZ$3,$E$3, $J$3, , $G$3, $H$3)+_xll.ciqfunctions.udf.CIQ($B8,"IQ_TOTAL_EQUITY","IQ_" &amp; LEFT(JZ$3,2) &amp; "-1",JZ$3, $J$3, , $G$3, $H$3))),"")</f>
        <v/>
      </c>
      <c r="KA8" s="87" t="str">
        <f>IFERROR(IF(OR($B8="",KA$3=""),"",_xll.ciqfunctions.udf.CIQ($B8, "IQ_NI", $I$3, HS$3,$J$3, ,$G$3,$H$3)*2/(_xll.ciqfunctions.udf.CIQ($B8,"IQ_TOTAL_EQUITY",KA$3,$E$3, $J$3, , $G$3, $H$3)+_xll.ciqfunctions.udf.CIQ($B8,"IQ_TOTAL_EQUITY","IQ_" &amp; LEFT(KA$3,2) &amp; "-1",KA$3, $J$3, , $G$3, $H$3))),"")</f>
        <v/>
      </c>
      <c r="KB8" s="87" t="str">
        <f>IFERROR(IF(OR($B8="",KB$3=""),"",_xll.ciqfunctions.udf.CIQ($B8, "IQ_NI", $I$3, HT$3,$J$3, ,$G$3,$H$3)*2/(_xll.ciqfunctions.udf.CIQ($B8,"IQ_TOTAL_EQUITY",KB$3,$E$3, $J$3, , $G$3, $H$3)+_xll.ciqfunctions.udf.CIQ($B8,"IQ_TOTAL_EQUITY","IQ_" &amp; LEFT(KB$3,2) &amp; "-1",KB$3, $J$3, , $G$3, $H$3))),"")</f>
        <v/>
      </c>
      <c r="KC8" s="87" t="str">
        <f>IFERROR(IF(OR($B8="",KC$3=""),"",_xll.ciqfunctions.udf.CIQ($B8, "IQ_NI", $I$3, HU$3,$J$3, ,$G$3,$H$3)*2/(_xll.ciqfunctions.udf.CIQ($B8,"IQ_TOTAL_EQUITY",KC$3,$E$3, $J$3, , $G$3, $H$3)+_xll.ciqfunctions.udf.CIQ($B8,"IQ_TOTAL_EQUITY","IQ_" &amp; LEFT(KC$3,2) &amp; "-1",KC$3, $J$3, , $G$3, $H$3))),"")</f>
        <v/>
      </c>
      <c r="KD8" s="88" t="str">
        <f>IFERROR(IF(OR($B8="",KD$3=""),"",_xll.ciqfunctions.udf.CIQ($B8, "IQ_NI", $I$3, HV$3,$J$3, ,$G$3,$H$3)*2/(_xll.ciqfunctions.udf.CIQ($B8,"IQ_TOTAL_EQUITY",KD$3,$E$3, $J$3, , $G$3, $H$3)+_xll.ciqfunctions.udf.CIQ($B8,"IQ_TOTAL_EQUITY","IQ_" &amp; LEFT(KD$3,2) &amp; "-1",KD$3, $J$3, , $G$3, $H$3))),"")</f>
        <v/>
      </c>
      <c r="KE8" s="86">
        <f>IFERROR(IF(OR($B8="",KE$3=""),"",_xll.ciqfunctions.udf.CIQ($B8, "IQ_NI", $I$3, KE$3,$J$3, ,$G$3,$H$3)*2/(_xll.ciqfunctions.udf.CIQ($B8, "IQ_TOTAL_ASSETS", $I$3, KE$3,$J$3, ,$G$3,$H$3)+_xll.ciqfunctions.udf.CIQ($B8, "IQ_TOTAL_ASSETS", $I$3 &amp; "-1", KE$3,$J$3, ,$G$3,$H$3)-_xll.ciqfunctions.udf.CIQ($B8, "IQ_TOTAL_CL", $I$3, KE$3,$J$3, ,$G$3,$H$3)-_xll.ciqfunctions.udf.CIQ($B8, "IQ_TOTAL_CL", $I$3 &amp; "-1", KE$3,$J$3, ,$G$3,$H$3))),"")</f>
        <v>0.16938716825386085</v>
      </c>
      <c r="KF8" s="87" t="str">
        <f>IFERROR(IF(OR($B8="",KF$3=""),"",_xll.ciqfunctions.udf.CIQ($B8, "IQ_NI", $I$3, KF$3,$J$3, ,$G$3,$H$3)*2/(_xll.ciqfunctions.udf.CIQ($B8, "IQ_TOTAL_ASSETS", $I$3, KF$3,$J$3, ,$G$3,$H$3)+_xll.ciqfunctions.udf.CIQ($B8, "IQ_TOTAL_ASSETS", $I$3 &amp; "-1", KF$3,$J$3, ,$G$3,$H$3)-_xll.ciqfunctions.udf.CIQ($B8, "IQ_TOTAL_CL", $I$3, KF$3,$J$3, ,$G$3,$H$3)-_xll.ciqfunctions.udf.CIQ($B8, "IQ_TOTAL_CL", $I$3 &amp; "-1", KF$3,$J$3, ,$G$3,$H$3))),"")</f>
        <v/>
      </c>
      <c r="KG8" s="87" t="str">
        <f>IFERROR(IF(OR($B8="",KG$3=""),"",_xll.ciqfunctions.udf.CIQ($B8, "IQ_NI", $I$3, KG$3,$J$3, ,$G$3,$H$3)*2/(_xll.ciqfunctions.udf.CIQ($B8, "IQ_TOTAL_ASSETS", $I$3, KG$3,$J$3, ,$G$3,$H$3)+_xll.ciqfunctions.udf.CIQ($B8, "IQ_TOTAL_ASSETS", $I$3 &amp; "-1", KG$3,$J$3, ,$G$3,$H$3)-_xll.ciqfunctions.udf.CIQ($B8, "IQ_TOTAL_CL", $I$3, KG$3,$J$3, ,$G$3,$H$3)-_xll.ciqfunctions.udf.CIQ($B8, "IQ_TOTAL_CL", $I$3 &amp; "-1", KG$3,$J$3, ,$G$3,$H$3))),"")</f>
        <v/>
      </c>
      <c r="KH8" s="87" t="str">
        <f>IFERROR(IF(OR($B8="",KH$3=""),"",_xll.ciqfunctions.udf.CIQ($B8, "IQ_NI", $I$3, KH$3,$J$3, ,$G$3,$H$3)*2/(_xll.ciqfunctions.udf.CIQ($B8, "IQ_TOTAL_ASSETS", $I$3, KH$3,$J$3, ,$G$3,$H$3)+_xll.ciqfunctions.udf.CIQ($B8, "IQ_TOTAL_ASSETS", $I$3 &amp; "-1", KH$3,$J$3, ,$G$3,$H$3)-_xll.ciqfunctions.udf.CIQ($B8, "IQ_TOTAL_CL", $I$3, KH$3,$J$3, ,$G$3,$H$3)-_xll.ciqfunctions.udf.CIQ($B8, "IQ_TOTAL_CL", $I$3 &amp; "-1", KH$3,$J$3, ,$G$3,$H$3))),"")</f>
        <v/>
      </c>
      <c r="KI8" s="87" t="str">
        <f>IFERROR(IF(OR($B8="",KI$3=""),"",_xll.ciqfunctions.udf.CIQ($B8, "IQ_NI", $I$3, KI$3,$J$3, ,$G$3,$H$3)*2/(_xll.ciqfunctions.udf.CIQ($B8, "IQ_TOTAL_ASSETS", $I$3, KI$3,$J$3, ,$G$3,$H$3)+_xll.ciqfunctions.udf.CIQ($B8, "IQ_TOTAL_ASSETS", $I$3 &amp; "-1", KI$3,$J$3, ,$G$3,$H$3)-_xll.ciqfunctions.udf.CIQ($B8, "IQ_TOTAL_CL", $I$3, KI$3,$J$3, ,$G$3,$H$3)-_xll.ciqfunctions.udf.CIQ($B8, "IQ_TOTAL_CL", $I$3 &amp; "-1", KI$3,$J$3, ,$G$3,$H$3))),"")</f>
        <v/>
      </c>
      <c r="KJ8" s="87" t="str">
        <f>IFERROR(IF(OR($B8="",KJ$3=""),"",_xll.ciqfunctions.udf.CIQ($B8, "IQ_NI", $I$3, KJ$3,$J$3, ,$G$3,$H$3)*2/(_xll.ciqfunctions.udf.CIQ($B8, "IQ_TOTAL_ASSETS", $I$3, KJ$3,$J$3, ,$G$3,$H$3)+_xll.ciqfunctions.udf.CIQ($B8, "IQ_TOTAL_ASSETS", $I$3 &amp; "-1", KJ$3,$J$3, ,$G$3,$H$3)-_xll.ciqfunctions.udf.CIQ($B8, "IQ_TOTAL_CL", $I$3, KJ$3,$J$3, ,$G$3,$H$3)-_xll.ciqfunctions.udf.CIQ($B8, "IQ_TOTAL_CL", $I$3 &amp; "-1", KJ$3,$J$3, ,$G$3,$H$3))),"")</f>
        <v/>
      </c>
      <c r="KK8" s="87" t="str">
        <f>IFERROR(IF(OR($B8="",KK$3=""),"",_xll.ciqfunctions.udf.CIQ($B8, "IQ_NI", $I$3, KK$3,$J$3, ,$G$3,$H$3)*2/(_xll.ciqfunctions.udf.CIQ($B8, "IQ_TOTAL_ASSETS", $I$3, KK$3,$J$3, ,$G$3,$H$3)+_xll.ciqfunctions.udf.CIQ($B8, "IQ_TOTAL_ASSETS", $I$3 &amp; "-1", KK$3,$J$3, ,$G$3,$H$3)-_xll.ciqfunctions.udf.CIQ($B8, "IQ_TOTAL_CL", $I$3, KK$3,$J$3, ,$G$3,$H$3)-_xll.ciqfunctions.udf.CIQ($B8, "IQ_TOTAL_CL", $I$3 &amp; "-1", KK$3,$J$3, ,$G$3,$H$3))),"")</f>
        <v/>
      </c>
      <c r="KL8" s="87" t="str">
        <f>IFERROR(IF(OR($B8="",KL$3=""),"",_xll.ciqfunctions.udf.CIQ($B8, "IQ_NI", $I$3, KL$3,$J$3, ,$G$3,$H$3)*2/(_xll.ciqfunctions.udf.CIQ($B8, "IQ_TOTAL_ASSETS", $I$3, KL$3,$J$3, ,$G$3,$H$3)+_xll.ciqfunctions.udf.CIQ($B8, "IQ_TOTAL_ASSETS", $I$3 &amp; "-1", KL$3,$J$3, ,$G$3,$H$3)-_xll.ciqfunctions.udf.CIQ($B8, "IQ_TOTAL_CL", $I$3, KL$3,$J$3, ,$G$3,$H$3)-_xll.ciqfunctions.udf.CIQ($B8, "IQ_TOTAL_CL", $I$3 &amp; "-1", KL$3,$J$3, ,$G$3,$H$3))),"")</f>
        <v/>
      </c>
      <c r="KM8" s="87" t="str">
        <f>IFERROR(IF(OR($B8="",KM$3=""),"",_xll.ciqfunctions.udf.CIQ($B8, "IQ_NI", $I$3, KM$3,$J$3, ,$G$3,$H$3)*2/(_xll.ciqfunctions.udf.CIQ($B8, "IQ_TOTAL_ASSETS", $I$3, KM$3,$J$3, ,$G$3,$H$3)+_xll.ciqfunctions.udf.CIQ($B8, "IQ_TOTAL_ASSETS", $I$3 &amp; "-1", KM$3,$J$3, ,$G$3,$H$3)-_xll.ciqfunctions.udf.CIQ($B8, "IQ_TOTAL_CL", $I$3, KM$3,$J$3, ,$G$3,$H$3)-_xll.ciqfunctions.udf.CIQ($B8, "IQ_TOTAL_CL", $I$3 &amp; "-1", KM$3,$J$3, ,$G$3,$H$3))),"")</f>
        <v/>
      </c>
      <c r="KN8" s="87" t="str">
        <f>IFERROR(IF(OR($B8="",KN$3=""),"",_xll.ciqfunctions.udf.CIQ($B8, "IQ_NI", $I$3, KN$3,$J$3, ,$G$3,$H$3)*2/(_xll.ciqfunctions.udf.CIQ($B8, "IQ_TOTAL_ASSETS", $I$3, KN$3,$J$3, ,$G$3,$H$3)+_xll.ciqfunctions.udf.CIQ($B8, "IQ_TOTAL_ASSETS", $I$3 &amp; "-1", KN$3,$J$3, ,$G$3,$H$3)-_xll.ciqfunctions.udf.CIQ($B8, "IQ_TOTAL_CL", $I$3, KN$3,$J$3, ,$G$3,$H$3)-_xll.ciqfunctions.udf.CIQ($B8, "IQ_TOTAL_CL", $I$3 &amp; "-1", KN$3,$J$3, ,$G$3,$H$3))),"")</f>
        <v/>
      </c>
      <c r="KO8" s="87" t="str">
        <f>IFERROR(IF(OR($B8="",KO$3=""),"",_xll.ciqfunctions.udf.CIQ($B8, "IQ_NI", $I$3, KO$3,$J$3, ,$G$3,$H$3)*2/(_xll.ciqfunctions.udf.CIQ($B8, "IQ_TOTAL_ASSETS", $I$3, KO$3,$J$3, ,$G$3,$H$3)+_xll.ciqfunctions.udf.CIQ($B8, "IQ_TOTAL_ASSETS", $I$3 &amp; "-1", KO$3,$J$3, ,$G$3,$H$3)-_xll.ciqfunctions.udf.CIQ($B8, "IQ_TOTAL_CL", $I$3, KO$3,$J$3, ,$G$3,$H$3)-_xll.ciqfunctions.udf.CIQ($B8, "IQ_TOTAL_CL", $I$3 &amp; "-1", KO$3,$J$3, ,$G$3,$H$3))),"")</f>
        <v/>
      </c>
      <c r="KP8" s="87" t="str">
        <f>IFERROR(IF(OR($B8="",KP$3=""),"",_xll.ciqfunctions.udf.CIQ($B8, "IQ_NI", $I$3, KP$3,$J$3, ,$G$3,$H$3)*2/(_xll.ciqfunctions.udf.CIQ($B8, "IQ_TOTAL_ASSETS", $I$3, KP$3,$J$3, ,$G$3,$H$3)+_xll.ciqfunctions.udf.CIQ($B8, "IQ_TOTAL_ASSETS", $I$3 &amp; "-1", KP$3,$J$3, ,$G$3,$H$3)-_xll.ciqfunctions.udf.CIQ($B8, "IQ_TOTAL_CL", $I$3, KP$3,$J$3, ,$G$3,$H$3)-_xll.ciqfunctions.udf.CIQ($B8, "IQ_TOTAL_CL", $I$3 &amp; "-1", KP$3,$J$3, ,$G$3,$H$3))),"")</f>
        <v/>
      </c>
      <c r="KQ8" s="87" t="str">
        <f>IFERROR(IF(OR($B8="",KQ$3=""),"",_xll.ciqfunctions.udf.CIQ($B8, "IQ_NI", $I$3, KQ$3,$J$3, ,$G$3,$H$3)*2/(_xll.ciqfunctions.udf.CIQ($B8, "IQ_TOTAL_ASSETS", $I$3, KQ$3,$J$3, ,$G$3,$H$3)+_xll.ciqfunctions.udf.CIQ($B8, "IQ_TOTAL_ASSETS", $I$3 &amp; "-1", KQ$3,$J$3, ,$G$3,$H$3)-_xll.ciqfunctions.udf.CIQ($B8, "IQ_TOTAL_CL", $I$3, KQ$3,$J$3, ,$G$3,$H$3)-_xll.ciqfunctions.udf.CIQ($B8, "IQ_TOTAL_CL", $I$3 &amp; "-1", KQ$3,$J$3, ,$G$3,$H$3))),"")</f>
        <v/>
      </c>
      <c r="KR8" s="87" t="str">
        <f>IFERROR(IF(OR($B8="",KR$3=""),"",_xll.ciqfunctions.udf.CIQ($B8, "IQ_NI", $I$3, KR$3,$J$3, ,$G$3,$H$3)*2/(_xll.ciqfunctions.udf.CIQ($B8, "IQ_TOTAL_ASSETS", $I$3, KR$3,$J$3, ,$G$3,$H$3)+_xll.ciqfunctions.udf.CIQ($B8, "IQ_TOTAL_ASSETS", $I$3 &amp; "-1", KR$3,$J$3, ,$G$3,$H$3)-_xll.ciqfunctions.udf.CIQ($B8, "IQ_TOTAL_CL", $I$3, KR$3,$J$3, ,$G$3,$H$3)-_xll.ciqfunctions.udf.CIQ($B8, "IQ_TOTAL_CL", $I$3 &amp; "-1", KR$3,$J$3, ,$G$3,$H$3))),"")</f>
        <v/>
      </c>
      <c r="KS8" s="87" t="str">
        <f>IFERROR(IF(OR($B8="",KS$3=""),"",_xll.ciqfunctions.udf.CIQ($B8, "IQ_NI", $I$3, KS$3,$J$3, ,$G$3,$H$3)*2/(_xll.ciqfunctions.udf.CIQ($B8, "IQ_TOTAL_ASSETS", $I$3, KS$3,$J$3, ,$G$3,$H$3)+_xll.ciqfunctions.udf.CIQ($B8, "IQ_TOTAL_ASSETS", $I$3 &amp; "-1", KS$3,$J$3, ,$G$3,$H$3)-_xll.ciqfunctions.udf.CIQ($B8, "IQ_TOTAL_CL", $I$3, KS$3,$J$3, ,$G$3,$H$3)-_xll.ciqfunctions.udf.CIQ($B8, "IQ_TOTAL_CL", $I$3 &amp; "-1", KS$3,$J$3, ,$G$3,$H$3))),"")</f>
        <v/>
      </c>
      <c r="KT8" s="87" t="str">
        <f>IFERROR(IF(OR($B8="",KT$3=""),"",_xll.ciqfunctions.udf.CIQ($B8, "IQ_NI", $I$3, KT$3,$J$3, ,$G$3,$H$3)*2/(_xll.ciqfunctions.udf.CIQ($B8, "IQ_TOTAL_ASSETS", $I$3, KT$3,$J$3, ,$G$3,$H$3)+_xll.ciqfunctions.udf.CIQ($B8, "IQ_TOTAL_ASSETS", $I$3 &amp; "-1", KT$3,$J$3, ,$G$3,$H$3)-_xll.ciqfunctions.udf.CIQ($B8, "IQ_TOTAL_CL", $I$3, KT$3,$J$3, ,$G$3,$H$3)-_xll.ciqfunctions.udf.CIQ($B8, "IQ_TOTAL_CL", $I$3 &amp; "-1", KT$3,$J$3, ,$G$3,$H$3))),"")</f>
        <v/>
      </c>
      <c r="KU8" s="87" t="str">
        <f>IFERROR(IF(OR($B8="",KU$3=""),"",_xll.ciqfunctions.udf.CIQ($B8, "IQ_NI", $I$3, KU$3,$J$3, ,$G$3,$H$3)*2/(_xll.ciqfunctions.udf.CIQ($B8, "IQ_TOTAL_ASSETS", $I$3, KU$3,$J$3, ,$G$3,$H$3)+_xll.ciqfunctions.udf.CIQ($B8, "IQ_TOTAL_ASSETS", $I$3 &amp; "-1", KU$3,$J$3, ,$G$3,$H$3)-_xll.ciqfunctions.udf.CIQ($B8, "IQ_TOTAL_CL", $I$3, KU$3,$J$3, ,$G$3,$H$3)-_xll.ciqfunctions.udf.CIQ($B8, "IQ_TOTAL_CL", $I$3 &amp; "-1", KU$3,$J$3, ,$G$3,$H$3))),"")</f>
        <v/>
      </c>
      <c r="KV8" s="87" t="str">
        <f>IFERROR(IF(OR($B8="",KV$3=""),"",_xll.ciqfunctions.udf.CIQ($B8, "IQ_NI", $I$3, KV$3,$J$3, ,$G$3,$H$3)*2/(_xll.ciqfunctions.udf.CIQ($B8, "IQ_TOTAL_ASSETS", $I$3, KV$3,$J$3, ,$G$3,$H$3)+_xll.ciqfunctions.udf.CIQ($B8, "IQ_TOTAL_ASSETS", $I$3 &amp; "-1", KV$3,$J$3, ,$G$3,$H$3)-_xll.ciqfunctions.udf.CIQ($B8, "IQ_TOTAL_CL", $I$3, KV$3,$J$3, ,$G$3,$H$3)-_xll.ciqfunctions.udf.CIQ($B8, "IQ_TOTAL_CL", $I$3 &amp; "-1", KV$3,$J$3, ,$G$3,$H$3))),"")</f>
        <v/>
      </c>
      <c r="KW8" s="87" t="str">
        <f>IFERROR(IF(OR($B8="",KW$3=""),"",_xll.ciqfunctions.udf.CIQ($B8, "IQ_NI", $I$3, KW$3,$J$3, ,$G$3,$H$3)*2/(_xll.ciqfunctions.udf.CIQ($B8, "IQ_TOTAL_ASSETS", $I$3, KW$3,$J$3, ,$G$3,$H$3)+_xll.ciqfunctions.udf.CIQ($B8, "IQ_TOTAL_ASSETS", $I$3 &amp; "-1", KW$3,$J$3, ,$G$3,$H$3)-_xll.ciqfunctions.udf.CIQ($B8, "IQ_TOTAL_CL", $I$3, KW$3,$J$3, ,$G$3,$H$3)-_xll.ciqfunctions.udf.CIQ($B8, "IQ_TOTAL_CL", $I$3 &amp; "-1", KW$3,$J$3, ,$G$3,$H$3))),"")</f>
        <v/>
      </c>
      <c r="KX8" s="88" t="str">
        <f>IFERROR(IF(OR($B8="",KX$3=""),"",_xll.ciqfunctions.udf.CIQ($B8, "IQ_NI", $I$3, KX$3,$J$3, ,$G$3,$H$3)*2/(_xll.ciqfunctions.udf.CIQ($B8, "IQ_TOTAL_ASSETS", $I$3, KX$3,$J$3, ,$G$3,$H$3)+_xll.ciqfunctions.udf.CIQ($B8, "IQ_TOTAL_ASSETS", $I$3 &amp; "-1", KX$3,$J$3, ,$G$3,$H$3)-_xll.ciqfunctions.udf.CIQ($B8, "IQ_TOTAL_CL", $I$3, KX$3,$J$3, ,$G$3,$H$3)-_xll.ciqfunctions.udf.CIQ($B8, "IQ_TOTAL_CL", $I$3 &amp; "-1", KX$3,$J$3, ,$G$3,$H$3))),"")</f>
        <v/>
      </c>
      <c r="KY8" s="86">
        <f>IFERROR(IF(OR($B8="",KY$3=""),"",_xll.ciqfunctions.udf.CIQ($B8,"IQ_CASH_OPER",$I$3, KY$3,$J$3, ,$G$3,$H$3)*2/(_xll.ciqfunctions.udf.CIQ($B8,"IQ_TOTAL_CL",KY$3,$E$3, $J$3, , $G$3, $H$3)+_xll.ciqfunctions.udf.CIQ($B8,"IQ_TOTAL_CL","IQ_" &amp; LEFT(KY$3,2) &amp; "-1",KY$3, $J$3, , $G$3, $H$3))),"")</f>
        <v>0.27141753397264007</v>
      </c>
      <c r="KZ8" s="87" t="str">
        <f>IFERROR(IF(OR($B8="",KZ$3=""),"",_xll.ciqfunctions.udf.CIQ($B8,"IQ_CASH_OPER",$I$3, KZ$3,$J$3, ,$G$3,$H$3)*2/(_xll.ciqfunctions.udf.CIQ($B8,"IQ_TOTAL_CL",KZ$3,$E$3, $J$3, , $G$3, $H$3)+_xll.ciqfunctions.udf.CIQ($B8,"IQ_TOTAL_CL","IQ_" &amp; LEFT(KZ$3,2) &amp; "-1",KZ$3, $J$3, , $G$3, $H$3))),"")</f>
        <v/>
      </c>
      <c r="LA8" s="87" t="str">
        <f>IFERROR(IF(OR($B8="",LA$3=""),"",_xll.ciqfunctions.udf.CIQ($B8,"IQ_CASH_OPER",$I$3, LA$3,$J$3, ,$G$3,$H$3)*2/(_xll.ciqfunctions.udf.CIQ($B8,"IQ_TOTAL_CL",LA$3,$E$3, $J$3, , $G$3, $H$3)+_xll.ciqfunctions.udf.CIQ($B8,"IQ_TOTAL_CL","IQ_" &amp; LEFT(LA$3,2) &amp; "-1",LA$3, $J$3, , $G$3, $H$3))),"")</f>
        <v/>
      </c>
      <c r="LB8" s="87" t="str">
        <f>IFERROR(IF(OR($B8="",LB$3=""),"",_xll.ciqfunctions.udf.CIQ($B8,"IQ_CASH_OPER",$I$3, LB$3,$J$3, ,$G$3,$H$3)*2/(_xll.ciqfunctions.udf.CIQ($B8,"IQ_TOTAL_CL",LB$3,$E$3, $J$3, , $G$3, $H$3)+_xll.ciqfunctions.udf.CIQ($B8,"IQ_TOTAL_CL","IQ_" &amp; LEFT(LB$3,2) &amp; "-1",LB$3, $J$3, , $G$3, $H$3))),"")</f>
        <v/>
      </c>
      <c r="LC8" s="87" t="str">
        <f>IFERROR(IF(OR($B8="",LC$3=""),"",_xll.ciqfunctions.udf.CIQ($B8,"IQ_CASH_OPER",$I$3, LC$3,$J$3, ,$G$3,$H$3)*2/(_xll.ciqfunctions.udf.CIQ($B8,"IQ_TOTAL_CL",LC$3,$E$3, $J$3, , $G$3, $H$3)+_xll.ciqfunctions.udf.CIQ($B8,"IQ_TOTAL_CL","IQ_" &amp; LEFT(LC$3,2) &amp; "-1",LC$3, $J$3, , $G$3, $H$3))),"")</f>
        <v/>
      </c>
      <c r="LD8" s="87" t="str">
        <f>IFERROR(IF(OR($B8="",LD$3=""),"",_xll.ciqfunctions.udf.CIQ($B8,"IQ_CASH_OPER",$I$3, LD$3,$J$3, ,$G$3,$H$3)*2/(_xll.ciqfunctions.udf.CIQ($B8,"IQ_TOTAL_CL",LD$3,$E$3, $J$3, , $G$3, $H$3)+_xll.ciqfunctions.udf.CIQ($B8,"IQ_TOTAL_CL","IQ_" &amp; LEFT(LD$3,2) &amp; "-1",LD$3, $J$3, , $G$3, $H$3))),"")</f>
        <v/>
      </c>
      <c r="LE8" s="87" t="str">
        <f>IFERROR(IF(OR($B8="",LE$3=""),"",_xll.ciqfunctions.udf.CIQ($B8,"IQ_CASH_OPER",$I$3, LE$3,$J$3, ,$G$3,$H$3)*2/(_xll.ciqfunctions.udf.CIQ($B8,"IQ_TOTAL_CL",LE$3,$E$3, $J$3, , $G$3, $H$3)+_xll.ciqfunctions.udf.CIQ($B8,"IQ_TOTAL_CL","IQ_" &amp; LEFT(LE$3,2) &amp; "-1",LE$3, $J$3, , $G$3, $H$3))),"")</f>
        <v/>
      </c>
      <c r="LF8" s="87" t="str">
        <f>IFERROR(IF(OR($B8="",LF$3=""),"",_xll.ciqfunctions.udf.CIQ($B8,"IQ_CASH_OPER",$I$3, LF$3,$J$3, ,$G$3,$H$3)*2/(_xll.ciqfunctions.udf.CIQ($B8,"IQ_TOTAL_CL",LF$3,$E$3, $J$3, , $G$3, $H$3)+_xll.ciqfunctions.udf.CIQ($B8,"IQ_TOTAL_CL","IQ_" &amp; LEFT(LF$3,2) &amp; "-1",LF$3, $J$3, , $G$3, $H$3))),"")</f>
        <v/>
      </c>
      <c r="LG8" s="87" t="str">
        <f>IFERROR(IF(OR($B8="",LG$3=""),"",_xll.ciqfunctions.udf.CIQ($B8,"IQ_CASH_OPER",$I$3, LG$3,$J$3, ,$G$3,$H$3)*2/(_xll.ciqfunctions.udf.CIQ($B8,"IQ_TOTAL_CL",LG$3,$E$3, $J$3, , $G$3, $H$3)+_xll.ciqfunctions.udf.CIQ($B8,"IQ_TOTAL_CL","IQ_" &amp; LEFT(LG$3,2) &amp; "-1",LG$3, $J$3, , $G$3, $H$3))),"")</f>
        <v/>
      </c>
      <c r="LH8" s="87" t="str">
        <f>IFERROR(IF(OR($B8="",LH$3=""),"",_xll.ciqfunctions.udf.CIQ($B8,"IQ_CASH_OPER",$I$3, LH$3,$J$3, ,$G$3,$H$3)*2/(_xll.ciqfunctions.udf.CIQ($B8,"IQ_TOTAL_CL",LH$3,$E$3, $J$3, , $G$3, $H$3)+_xll.ciqfunctions.udf.CIQ($B8,"IQ_TOTAL_CL","IQ_" &amp; LEFT(LH$3,2) &amp; "-1",LH$3, $J$3, , $G$3, $H$3))),"")</f>
        <v/>
      </c>
      <c r="LI8" s="87" t="str">
        <f>IFERROR(IF(OR($B8="",LI$3=""),"",_xll.ciqfunctions.udf.CIQ($B8,"IQ_CASH_OPER",$I$3, LI$3,$J$3, ,$G$3,$H$3)*2/(_xll.ciqfunctions.udf.CIQ($B8,"IQ_TOTAL_CL",LI$3,$E$3, $J$3, , $G$3, $H$3)+_xll.ciqfunctions.udf.CIQ($B8,"IQ_TOTAL_CL","IQ_" &amp; LEFT(LI$3,2) &amp; "-1",LI$3, $J$3, , $G$3, $H$3))),"")</f>
        <v/>
      </c>
      <c r="LJ8" s="87" t="str">
        <f>IFERROR(IF(OR($B8="",LJ$3=""),"",_xll.ciqfunctions.udf.CIQ($B8,"IQ_CASH_OPER",$I$3, LJ$3,$J$3, ,$G$3,$H$3)*2/(_xll.ciqfunctions.udf.CIQ($B8,"IQ_TOTAL_CL",LJ$3,$E$3, $J$3, , $G$3, $H$3)+_xll.ciqfunctions.udf.CIQ($B8,"IQ_TOTAL_CL","IQ_" &amp; LEFT(LJ$3,2) &amp; "-1",LJ$3, $J$3, , $G$3, $H$3))),"")</f>
        <v/>
      </c>
      <c r="LK8" s="87" t="str">
        <f>IFERROR(IF(OR($B8="",LK$3=""),"",_xll.ciqfunctions.udf.CIQ($B8,"IQ_CASH_OPER",$I$3, LK$3,$J$3, ,$G$3,$H$3)*2/(_xll.ciqfunctions.udf.CIQ($B8,"IQ_TOTAL_CL",LK$3,$E$3, $J$3, , $G$3, $H$3)+_xll.ciqfunctions.udf.CIQ($B8,"IQ_TOTAL_CL","IQ_" &amp; LEFT(LK$3,2) &amp; "-1",LK$3, $J$3, , $G$3, $H$3))),"")</f>
        <v/>
      </c>
      <c r="LL8" s="87" t="str">
        <f>IFERROR(IF(OR($B8="",LL$3=""),"",_xll.ciqfunctions.udf.CIQ($B8,"IQ_CASH_OPER",$I$3, LL$3,$J$3, ,$G$3,$H$3)*2/(_xll.ciqfunctions.udf.CIQ($B8,"IQ_TOTAL_CL",LL$3,$E$3, $J$3, , $G$3, $H$3)+_xll.ciqfunctions.udf.CIQ($B8,"IQ_TOTAL_CL","IQ_" &amp; LEFT(LL$3,2) &amp; "-1",LL$3, $J$3, , $G$3, $H$3))),"")</f>
        <v/>
      </c>
      <c r="LM8" s="87" t="str">
        <f>IFERROR(IF(OR($B8="",LM$3=""),"",_xll.ciqfunctions.udf.CIQ($B8,"IQ_CASH_OPER",$I$3, LM$3,$J$3, ,$G$3,$H$3)*2/(_xll.ciqfunctions.udf.CIQ($B8,"IQ_TOTAL_CL",LM$3,$E$3, $J$3, , $G$3, $H$3)+_xll.ciqfunctions.udf.CIQ($B8,"IQ_TOTAL_CL","IQ_" &amp; LEFT(LM$3,2) &amp; "-1",LM$3, $J$3, , $G$3, $H$3))),"")</f>
        <v/>
      </c>
      <c r="LN8" s="87" t="str">
        <f>IFERROR(IF(OR($B8="",LN$3=""),"",_xll.ciqfunctions.udf.CIQ($B8,"IQ_CASH_OPER",$I$3, LN$3,$J$3, ,$G$3,$H$3)*2/(_xll.ciqfunctions.udf.CIQ($B8,"IQ_TOTAL_CL",LN$3,$E$3, $J$3, , $G$3, $H$3)+_xll.ciqfunctions.udf.CIQ($B8,"IQ_TOTAL_CL","IQ_" &amp; LEFT(LN$3,2) &amp; "-1",LN$3, $J$3, , $G$3, $H$3))),"")</f>
        <v/>
      </c>
      <c r="LO8" s="87" t="str">
        <f>IFERROR(IF(OR($B8="",LO$3=""),"",_xll.ciqfunctions.udf.CIQ($B8,"IQ_CASH_OPER",$I$3, LO$3,$J$3, ,$G$3,$H$3)*2/(_xll.ciqfunctions.udf.CIQ($B8,"IQ_TOTAL_CL",LO$3,$E$3, $J$3, , $G$3, $H$3)+_xll.ciqfunctions.udf.CIQ($B8,"IQ_TOTAL_CL","IQ_" &amp; LEFT(LO$3,2) &amp; "-1",LO$3, $J$3, , $G$3, $H$3))),"")</f>
        <v/>
      </c>
      <c r="LP8" s="87" t="str">
        <f>IFERROR(IF(OR($B8="",LP$3=""),"",_xll.ciqfunctions.udf.CIQ($B8,"IQ_CASH_OPER",$I$3, LP$3,$J$3, ,$G$3,$H$3)*2/(_xll.ciqfunctions.udf.CIQ($B8,"IQ_TOTAL_CL",LP$3,$E$3, $J$3, , $G$3, $H$3)+_xll.ciqfunctions.udf.CIQ($B8,"IQ_TOTAL_CL","IQ_" &amp; LEFT(LP$3,2) &amp; "-1",LP$3, $J$3, , $G$3, $H$3))),"")</f>
        <v/>
      </c>
      <c r="LQ8" s="87" t="str">
        <f>IFERROR(IF(OR($B8="",LQ$3=""),"",_xll.ciqfunctions.udf.CIQ($B8,"IQ_CASH_OPER",$I$3, LQ$3,$J$3, ,$G$3,$H$3)*2/(_xll.ciqfunctions.udf.CIQ($B8,"IQ_TOTAL_CL",LQ$3,$E$3, $J$3, , $G$3, $H$3)+_xll.ciqfunctions.udf.CIQ($B8,"IQ_TOTAL_CL","IQ_" &amp; LEFT(LQ$3,2) &amp; "-1",LQ$3, $J$3, , $G$3, $H$3))),"")</f>
        <v/>
      </c>
      <c r="LR8" s="88" t="str">
        <f>IFERROR(IF(OR($B8="",LR$3=""),"",_xll.ciqfunctions.udf.CIQ($B8,"IQ_CASH_OPER",$I$3, LR$3,$J$3, ,$G$3,$H$3)*2/(_xll.ciqfunctions.udf.CIQ($B8,"IQ_TOTAL_CL",LR$3,$E$3, $J$3, , $G$3, $H$3)+_xll.ciqfunctions.udf.CIQ($B8,"IQ_TOTAL_CL","IQ_" &amp; LEFT(LR$3,2) &amp; "-1",LR$3, $J$3, , $G$3, $H$3))),"")</f>
        <v/>
      </c>
      <c r="LS8" s="86">
        <f>IFERROR(IF(OR($B8="",LS$3=""),"",IF(_xll.ciqfunctions.udf.CIQ($B8,"IQ_INC_TAX",LS$3,$E$3, $J$3, , $G$3, $H$3)/ABS(_xll.ciqfunctions.udf.CIQ($B8,"IQ_EBT",IQ_LTM,$E$3, $J$3, , $G$3, $H$3))&lt;0,0,_xll.ciqfunctions.udf.CIQ($B8,"IQ_INC_TAX",LS$3,$E$3, $J$3, , $G$3, $H$3)/ABS(_xll.ciqfunctions.udf.CIQ($B8,"IQ_EBT",LS$3,$E$3, $J$3, , $G$3, $H$3)))),"")</f>
        <v>0.24626221966647499</v>
      </c>
      <c r="LT8" s="87" t="str">
        <f>IFERROR(IF(OR($B8="",LT$3=""),"",IF(_xll.ciqfunctions.udf.CIQ($B8,"IQ_INC_TAX",LT$3,$E$3, $J$3, , $G$3, $H$3)/ABS(_xll.ciqfunctions.udf.CIQ($B8,"IQ_EBT",IQ_LTM,$E$3, $J$3, , $G$3, $H$3))&lt;0,0,_xll.ciqfunctions.udf.CIQ($B8,"IQ_INC_TAX",LT$3,$E$3, $J$3, , $G$3, $H$3)/ABS(_xll.ciqfunctions.udf.CIQ($B8,"IQ_EBT",LT$3,$E$3, $J$3, , $G$3, $H$3)))),"")</f>
        <v/>
      </c>
      <c r="LU8" s="87" t="str">
        <f>IFERROR(IF(OR($B8="",LU$3=""),"",IF(_xll.ciqfunctions.udf.CIQ($B8,"IQ_INC_TAX",LU$3,$E$3, $J$3, , $G$3, $H$3)/ABS(_xll.ciqfunctions.udf.CIQ($B8,"IQ_EBT",IQ_LTM,$E$3, $J$3, , $G$3, $H$3))&lt;0,0,_xll.ciqfunctions.udf.CIQ($B8,"IQ_INC_TAX",LU$3,$E$3, $J$3, , $G$3, $H$3)/ABS(_xll.ciqfunctions.udf.CIQ($B8,"IQ_EBT",LU$3,$E$3, $J$3, , $G$3, $H$3)))),"")</f>
        <v/>
      </c>
      <c r="LV8" s="87" t="str">
        <f>IFERROR(IF(OR($B8="",LV$3=""),"",IF(_xll.ciqfunctions.udf.CIQ($B8,"IQ_INC_TAX",LV$3,$E$3, $J$3, , $G$3, $H$3)/ABS(_xll.ciqfunctions.udf.CIQ($B8,"IQ_EBT",IQ_LTM,$E$3, $J$3, , $G$3, $H$3))&lt;0,0,_xll.ciqfunctions.udf.CIQ($B8,"IQ_INC_TAX",LV$3,$E$3, $J$3, , $G$3, $H$3)/ABS(_xll.ciqfunctions.udf.CIQ($B8,"IQ_EBT",LV$3,$E$3, $J$3, , $G$3, $H$3)))),"")</f>
        <v/>
      </c>
      <c r="LW8" s="87" t="str">
        <f>IFERROR(IF(OR($B8="",LW$3=""),"",IF(_xll.ciqfunctions.udf.CIQ($B8,"IQ_INC_TAX",LW$3,$E$3, $J$3, , $G$3, $H$3)/ABS(_xll.ciqfunctions.udf.CIQ($B8,"IQ_EBT",IQ_LTM,$E$3, $J$3, , $G$3, $H$3))&lt;0,0,_xll.ciqfunctions.udf.CIQ($B8,"IQ_INC_TAX",LW$3,$E$3, $J$3, , $G$3, $H$3)/ABS(_xll.ciqfunctions.udf.CIQ($B8,"IQ_EBT",LW$3,$E$3, $J$3, , $G$3, $H$3)))),"")</f>
        <v/>
      </c>
      <c r="LX8" s="87" t="str">
        <f>IFERROR(IF(OR($B8="",LX$3=""),"",IF(_xll.ciqfunctions.udf.CIQ($B8,"IQ_INC_TAX",LX$3,$E$3, $J$3, , $G$3, $H$3)/ABS(_xll.ciqfunctions.udf.CIQ($B8,"IQ_EBT",IQ_LTM,$E$3, $J$3, , $G$3, $H$3))&lt;0,0,_xll.ciqfunctions.udf.CIQ($B8,"IQ_INC_TAX",LX$3,$E$3, $J$3, , $G$3, $H$3)/ABS(_xll.ciqfunctions.udf.CIQ($B8,"IQ_EBT",LX$3,$E$3, $J$3, , $G$3, $H$3)))),"")</f>
        <v/>
      </c>
      <c r="LY8" s="87" t="str">
        <f>IFERROR(IF(OR($B8="",LY$3=""),"",IF(_xll.ciqfunctions.udf.CIQ($B8,"IQ_INC_TAX",LY$3,$E$3, $J$3, , $G$3, $H$3)/ABS(_xll.ciqfunctions.udf.CIQ($B8,"IQ_EBT",IQ_LTM,$E$3, $J$3, , $G$3, $H$3))&lt;0,0,_xll.ciqfunctions.udf.CIQ($B8,"IQ_INC_TAX",LY$3,$E$3, $J$3, , $G$3, $H$3)/ABS(_xll.ciqfunctions.udf.CIQ($B8,"IQ_EBT",LY$3,$E$3, $J$3, , $G$3, $H$3)))),"")</f>
        <v/>
      </c>
      <c r="LZ8" s="87" t="str">
        <f>IFERROR(IF(OR($B8="",LZ$3=""),"",IF(_xll.ciqfunctions.udf.CIQ($B8,"IQ_INC_TAX",LZ$3,$E$3, $J$3, , $G$3, $H$3)/ABS(_xll.ciqfunctions.udf.CIQ($B8,"IQ_EBT",IQ_LTM,$E$3, $J$3, , $G$3, $H$3))&lt;0,0,_xll.ciqfunctions.udf.CIQ($B8,"IQ_INC_TAX",LZ$3,$E$3, $J$3, , $G$3, $H$3)/ABS(_xll.ciqfunctions.udf.CIQ($B8,"IQ_EBT",LZ$3,$E$3, $J$3, , $G$3, $H$3)))),"")</f>
        <v/>
      </c>
      <c r="MA8" s="87" t="str">
        <f>IFERROR(IF(OR($B8="",MA$3=""),"",IF(_xll.ciqfunctions.udf.CIQ($B8,"IQ_INC_TAX",MA$3,$E$3, $J$3, , $G$3, $H$3)/ABS(_xll.ciqfunctions.udf.CIQ($B8,"IQ_EBT",IQ_LTM,$E$3, $J$3, , $G$3, $H$3))&lt;0,0,_xll.ciqfunctions.udf.CIQ($B8,"IQ_INC_TAX",MA$3,$E$3, $J$3, , $G$3, $H$3)/ABS(_xll.ciqfunctions.udf.CIQ($B8,"IQ_EBT",MA$3,$E$3, $J$3, , $G$3, $H$3)))),"")</f>
        <v/>
      </c>
      <c r="MB8" s="87" t="str">
        <f>IFERROR(IF(OR($B8="",MB$3=""),"",IF(_xll.ciqfunctions.udf.CIQ($B8,"IQ_INC_TAX",MB$3,$E$3, $J$3, , $G$3, $H$3)/ABS(_xll.ciqfunctions.udf.CIQ($B8,"IQ_EBT",IQ_LTM,$E$3, $J$3, , $G$3, $H$3))&lt;0,0,_xll.ciqfunctions.udf.CIQ($B8,"IQ_INC_TAX",MB$3,$E$3, $J$3, , $G$3, $H$3)/ABS(_xll.ciqfunctions.udf.CIQ($B8,"IQ_EBT",MB$3,$E$3, $J$3, , $G$3, $H$3)))),"")</f>
        <v/>
      </c>
      <c r="MC8" s="87" t="str">
        <f>IFERROR(IF(OR($B8="",MC$3=""),"",IF(_xll.ciqfunctions.udf.CIQ($B8,"IQ_INC_TAX",MC$3,$E$3, $J$3, , $G$3, $H$3)/ABS(_xll.ciqfunctions.udf.CIQ($B8,"IQ_EBT",IQ_LTM,$E$3, $J$3, , $G$3, $H$3))&lt;0,0,_xll.ciqfunctions.udf.CIQ($B8,"IQ_INC_TAX",MC$3,$E$3, $J$3, , $G$3, $H$3)/ABS(_xll.ciqfunctions.udf.CIQ($B8,"IQ_EBT",MC$3,$E$3, $J$3, , $G$3, $H$3)))),"")</f>
        <v/>
      </c>
      <c r="MD8" s="317" t="str">
        <f>IFERROR(IF(OR($B8="",MD$3=""),"",IF(_xll.ciqfunctions.udf.CIQ($B8,"IQ_INC_TAX",MD$3,$E$3, $J$3, , $G$3, $H$3)/ABS(_xll.ciqfunctions.udf.CIQ($B8,"IQ_EBT",IQ_LTM,$E$3, $J$3, , $G$3, $H$3))&lt;0,0,_xll.ciqfunctions.udf.CIQ($B8,"IQ_INC_TAX",MD$3,$E$3, $J$3, , $G$3, $H$3)/ABS(_xll.ciqfunctions.udf.CIQ($B8,"IQ_EBT",MD$3,$E$3, $J$3, , $G$3, $H$3)))),"")</f>
        <v/>
      </c>
      <c r="ME8" s="314" t="str">
        <f>IFERROR(IF(OR($B8="",ME$3=""),"",IF(_xll.ciqfunctions.udf.CIQ($B8,"IQ_INC_TAX",ME$3,$E$3, $J$3, , $G$3, $H$3)/ABS(_xll.ciqfunctions.udf.CIQ($B8,"IQ_EBT",IQ_LTM,$E$3, $J$3, , $G$3, $H$3))&lt;0,0,_xll.ciqfunctions.udf.CIQ($B8,"IQ_INC_TAX",ME$3,$E$3, $J$3, , $G$3, $H$3)/ABS(_xll.ciqfunctions.udf.CIQ($B8,"IQ_EBT",ME$3,$E$3, $J$3, , $G$3, $H$3)))),"")</f>
        <v/>
      </c>
      <c r="MF8" s="87" t="str">
        <f>IFERROR(IF(OR($B8="",MF$3=""),"",IF(_xll.ciqfunctions.udf.CIQ($B8,"IQ_INC_TAX",MF$3,$E$3, $J$3, , $G$3, $H$3)/ABS(_xll.ciqfunctions.udf.CIQ($B8,"IQ_EBT",IQ_LTM,$E$3, $J$3, , $G$3, $H$3))&lt;0,0,_xll.ciqfunctions.udf.CIQ($B8,"IQ_INC_TAX",MF$3,$E$3, $J$3, , $G$3, $H$3)/ABS(_xll.ciqfunctions.udf.CIQ($B8,"IQ_EBT",MF$3,$E$3, $J$3, , $G$3, $H$3)))),"")</f>
        <v/>
      </c>
      <c r="MG8" s="87" t="str">
        <f>IFERROR(IF(OR($B8="",MG$3=""),"",IF(_xll.ciqfunctions.udf.CIQ($B8,"IQ_INC_TAX",MG$3,$E$3, $J$3, , $G$3, $H$3)/ABS(_xll.ciqfunctions.udf.CIQ($B8,"IQ_EBT",IQ_LTM,$E$3, $J$3, , $G$3, $H$3))&lt;0,0,_xll.ciqfunctions.udf.CIQ($B8,"IQ_INC_TAX",MG$3,$E$3, $J$3, , $G$3, $H$3)/ABS(_xll.ciqfunctions.udf.CIQ($B8,"IQ_EBT",MG$3,$E$3, $J$3, , $G$3, $H$3)))),"")</f>
        <v/>
      </c>
      <c r="MH8" s="87" t="str">
        <f>IFERROR(IF(OR($B8="",MH$3=""),"",IF(_xll.ciqfunctions.udf.CIQ($B8,"IQ_INC_TAX",MH$3,$E$3, $J$3, , $G$3, $H$3)/ABS(_xll.ciqfunctions.udf.CIQ($B8,"IQ_EBT",IQ_LTM,$E$3, $J$3, , $G$3, $H$3))&lt;0,0,_xll.ciqfunctions.udf.CIQ($B8,"IQ_INC_TAX",MH$3,$E$3, $J$3, , $G$3, $H$3)/ABS(_xll.ciqfunctions.udf.CIQ($B8,"IQ_EBT",MH$3,$E$3, $J$3, , $G$3, $H$3)))),"")</f>
        <v/>
      </c>
      <c r="MI8" s="87" t="str">
        <f>IFERROR(IF(OR($B8="",MI$3=""),"",IF(_xll.ciqfunctions.udf.CIQ($B8,"IQ_INC_TAX",MI$3,$E$3, $J$3, , $G$3, $H$3)/ABS(_xll.ciqfunctions.udf.CIQ($B8,"IQ_EBT",IQ_LTM,$E$3, $J$3, , $G$3, $H$3))&lt;0,0,_xll.ciqfunctions.udf.CIQ($B8,"IQ_INC_TAX",MI$3,$E$3, $J$3, , $G$3, $H$3)/ABS(_xll.ciqfunctions.udf.CIQ($B8,"IQ_EBT",MI$3,$E$3, $J$3, , $G$3, $H$3)))),"")</f>
        <v/>
      </c>
      <c r="MJ8" s="87" t="str">
        <f>IFERROR(IF(OR($B8="",MJ$3=""),"",IF(_xll.ciqfunctions.udf.CIQ($B8,"IQ_INC_TAX",MJ$3,$E$3, $J$3, , $G$3, $H$3)/ABS(_xll.ciqfunctions.udf.CIQ($B8,"IQ_EBT",IQ_LTM,$E$3, $J$3, , $G$3, $H$3))&lt;0,0,_xll.ciqfunctions.udf.CIQ($B8,"IQ_INC_TAX",MJ$3,$E$3, $J$3, , $G$3, $H$3)/ABS(_xll.ciqfunctions.udf.CIQ($B8,"IQ_EBT",MJ$3,$E$3, $J$3, , $G$3, $H$3)))),"")</f>
        <v/>
      </c>
      <c r="MK8" s="87" t="str">
        <f>IFERROR(IF(OR($B8="",MK$3=""),"",IF(_xll.ciqfunctions.udf.CIQ($B8,"IQ_INC_TAX",MK$3,$E$3, $J$3, , $G$3, $H$3)/ABS(_xll.ciqfunctions.udf.CIQ($B8,"IQ_EBT",IQ_LTM,$E$3, $J$3, , $G$3, $H$3))&lt;0,0,_xll.ciqfunctions.udf.CIQ($B8,"IQ_INC_TAX",MK$3,$E$3, $J$3, , $G$3, $H$3)/ABS(_xll.ciqfunctions.udf.CIQ($B8,"IQ_EBT",MK$3,$E$3, $J$3, , $G$3, $H$3)))),"")</f>
        <v/>
      </c>
      <c r="ML8" s="88" t="str">
        <f>IFERROR(IF(OR($B8="",ML$3=""),"",IF(_xll.ciqfunctions.udf.CIQ($B8,"IQ_INC_TAX",ML$3,$E$3, $J$3, , $G$3, $H$3)/ABS(_xll.ciqfunctions.udf.CIQ($B8,"IQ_EBT",IQ_LTM,$E$3, $J$3, , $G$3, $H$3))&lt;0,0,_xll.ciqfunctions.udf.CIQ($B8,"IQ_INC_TAX",ML$3,$E$3, $J$3, , $G$3, $H$3)/ABS(_xll.ciqfunctions.udf.CIQ($B8,"IQ_EBT",ML$3,$E$3, $J$3, , $G$3, $H$3)))),"")</f>
        <v/>
      </c>
      <c r="MM8" s="72" t="str">
        <f>IFERROR(IF(OR($B8="",MM$3=""),"",(_xll.ciqfunctions.udf.CIQ($B8,"IQ_TIER_ONE_CAPITAL",MM$3,$E$3, $J$3, , $G$3, $H$3)+_xll.ciqfunctions.udf.CIQ($B8,"IQ_TIER_TWO_CAPITAL",MM$3,$E$3, $J$3, , $G$3, $H$3)-_xll.ciqfunctions.udf.CIQ($B8,"IQ_GW",MM$3,$E$3, $J$3, , $G$3, $H$3))/_xll.ciqfunctions.udf.CIQ($B8,"IQ_RISK_ADJ_BANK_ASSETS",MM$3,$E$3, $J$3, , $G$3, $H$3)),"")</f>
        <v/>
      </c>
      <c r="MN8" s="72" t="str">
        <f>IFERROR(IF(OR($B8="",MN$3=""),"",(_xll.ciqfunctions.udf.CIQ($B8,"IQ_TIER_ONE_CAPITAL",MN$3,$E$3, $J$3, , $G$3, $H$3)+_xll.ciqfunctions.udf.CIQ($B8,"IQ_TIER_TWO_CAPITAL",MN$3,$E$3, $J$3, , $G$3, $H$3)-_xll.ciqfunctions.udf.CIQ($B8,"IQ_GW",MN$3,$E$3, $J$3, , $G$3, $H$3))/_xll.ciqfunctions.udf.CIQ($B8,"IQ_RISK_ADJ_BANK_ASSETS",MN$3,$E$3, $J$3, , $G$3, $H$3)),"")</f>
        <v/>
      </c>
      <c r="MO8" s="72" t="str">
        <f>IFERROR(IF(OR($B8="",MO$3=""),"",(_xll.ciqfunctions.udf.CIQ($B8,"IQ_TIER_ONE_CAPITAL",MO$3,$E$3, $J$3, , $G$3, $H$3)+_xll.ciqfunctions.udf.CIQ($B8,"IQ_TIER_TWO_CAPITAL",MO$3,$E$3, $J$3, , $G$3, $H$3)-_xll.ciqfunctions.udf.CIQ($B8,"IQ_GW",MO$3,$E$3, $J$3, , $G$3, $H$3))/_xll.ciqfunctions.udf.CIQ($B8,"IQ_RISK_ADJ_BANK_ASSETS",MO$3,$E$3, $J$3, , $G$3, $H$3)),"")</f>
        <v/>
      </c>
      <c r="MP8" s="72" t="str">
        <f>IFERROR(IF(OR($B8="",MP$3=""),"",(_xll.ciqfunctions.udf.CIQ($B8,"IQ_TIER_ONE_CAPITAL",MP$3,$E$3, $J$3, , $G$3, $H$3)+_xll.ciqfunctions.udf.CIQ($B8,"IQ_TIER_TWO_CAPITAL",MP$3,$E$3, $J$3, , $G$3, $H$3)-_xll.ciqfunctions.udf.CIQ($B8,"IQ_GW",MP$3,$E$3, $J$3, , $G$3, $H$3))/_xll.ciqfunctions.udf.CIQ($B8,"IQ_RISK_ADJ_BANK_ASSETS",MP$3,$E$3, $J$3, , $G$3, $H$3)),"")</f>
        <v/>
      </c>
      <c r="MQ8" s="72" t="str">
        <f>IFERROR(IF(OR($B8="",MQ$3=""),"",(_xll.ciqfunctions.udf.CIQ($B8,"IQ_TIER_ONE_CAPITAL",MQ$3,$E$3, $J$3, , $G$3, $H$3)+_xll.ciqfunctions.udf.CIQ($B8,"IQ_TIER_TWO_CAPITAL",MQ$3,$E$3, $J$3, , $G$3, $H$3)-_xll.ciqfunctions.udf.CIQ($B8,"IQ_GW",MQ$3,$E$3, $J$3, , $G$3, $H$3))/_xll.ciqfunctions.udf.CIQ($B8,"IQ_RISK_ADJ_BANK_ASSETS",MQ$3,$E$3, $J$3, , $G$3, $H$3)),"")</f>
        <v/>
      </c>
      <c r="MR8" s="72" t="str">
        <f>IFERROR(IF(OR($B8="",MR$3=""),"",(_xll.ciqfunctions.udf.CIQ($B8,"IQ_TIER_ONE_CAPITAL",MR$3,$E$3, $J$3, , $G$3, $H$3)+_xll.ciqfunctions.udf.CIQ($B8,"IQ_TIER_TWO_CAPITAL",MR$3,$E$3, $J$3, , $G$3, $H$3)-_xll.ciqfunctions.udf.CIQ($B8,"IQ_GW",MR$3,$E$3, $J$3, , $G$3, $H$3))/_xll.ciqfunctions.udf.CIQ($B8,"IQ_RISK_ADJ_BANK_ASSETS",MR$3,$E$3, $J$3, , $G$3, $H$3)),"")</f>
        <v/>
      </c>
      <c r="MS8" s="72" t="str">
        <f>IFERROR(IF(OR($B8="",MS$3=""),"",(_xll.ciqfunctions.udf.CIQ($B8,"IQ_TIER_ONE_CAPITAL",MS$3,$E$3, $J$3, , $G$3, $H$3)+_xll.ciqfunctions.udf.CIQ($B8,"IQ_TIER_TWO_CAPITAL",MS$3,$E$3, $J$3, , $G$3, $H$3)-_xll.ciqfunctions.udf.CIQ($B8,"IQ_GW",MS$3,$E$3, $J$3, , $G$3, $H$3))/_xll.ciqfunctions.udf.CIQ($B8,"IQ_RISK_ADJ_BANK_ASSETS",MS$3,$E$3, $J$3, , $G$3, $H$3)),"")</f>
        <v/>
      </c>
      <c r="MT8" s="72" t="str">
        <f>IFERROR(IF(OR($B8="",MT$3=""),"",(_xll.ciqfunctions.udf.CIQ($B8,"IQ_TIER_ONE_CAPITAL",MT$3,$E$3, $J$3, , $G$3, $H$3)+_xll.ciqfunctions.udf.CIQ($B8,"IQ_TIER_TWO_CAPITAL",MT$3,$E$3, $J$3, , $G$3, $H$3)-_xll.ciqfunctions.udf.CIQ($B8,"IQ_GW",MT$3,$E$3, $J$3, , $G$3, $H$3))/_xll.ciqfunctions.udf.CIQ($B8,"IQ_RISK_ADJ_BANK_ASSETS",MT$3,$E$3, $J$3, , $G$3, $H$3)),"")</f>
        <v/>
      </c>
      <c r="MU8" s="72" t="str">
        <f>IFERROR(IF(OR($B8="",MU$3=""),"",(_xll.ciqfunctions.udf.CIQ($B8,"IQ_TIER_ONE_CAPITAL",MU$3,$E$3, $J$3, , $G$3, $H$3)+_xll.ciqfunctions.udf.CIQ($B8,"IQ_TIER_TWO_CAPITAL",MU$3,$E$3, $J$3, , $G$3, $H$3)-_xll.ciqfunctions.udf.CIQ($B8,"IQ_GW",MU$3,$E$3, $J$3, , $G$3, $H$3))/_xll.ciqfunctions.udf.CIQ($B8,"IQ_RISK_ADJ_BANK_ASSETS",MU$3,$E$3, $J$3, , $G$3, $H$3)),"")</f>
        <v/>
      </c>
      <c r="MV8" s="72" t="str">
        <f>IFERROR(IF(OR($B8="",MV$3=""),"",(_xll.ciqfunctions.udf.CIQ($B8,"IQ_TIER_ONE_CAPITAL",MV$3,$E$3, $J$3, , $G$3, $H$3)+_xll.ciqfunctions.udf.CIQ($B8,"IQ_TIER_TWO_CAPITAL",MV$3,$E$3, $J$3, , $G$3, $H$3)-_xll.ciqfunctions.udf.CIQ($B8,"IQ_GW",MV$3,$E$3, $J$3, , $G$3, $H$3))/_xll.ciqfunctions.udf.CIQ($B8,"IQ_RISK_ADJ_BANK_ASSETS",MV$3,$E$3, $J$3, , $G$3, $H$3)),"")</f>
        <v/>
      </c>
      <c r="MW8" s="72" t="str">
        <f>IFERROR(IF(OR($B8="",MW$3=""),"",(_xll.ciqfunctions.udf.CIQ($B8,"IQ_TIER_ONE_CAPITAL",MW$3,$E$3, $J$3, , $G$3, $H$3)+_xll.ciqfunctions.udf.CIQ($B8,"IQ_TIER_TWO_CAPITAL",MW$3,$E$3, $J$3, , $G$3, $H$3)-_xll.ciqfunctions.udf.CIQ($B8,"IQ_GW",MW$3,$E$3, $J$3, , $G$3, $H$3))/_xll.ciqfunctions.udf.CIQ($B8,"IQ_RISK_ADJ_BANK_ASSETS",MW$3,$E$3, $J$3, , $G$3, $H$3)),"")</f>
        <v/>
      </c>
      <c r="MX8" s="72" t="str">
        <f>IFERROR(IF(OR($B8="",MX$3=""),"",(_xll.ciqfunctions.udf.CIQ($B8,"IQ_TIER_ONE_CAPITAL",MX$3,$E$3, $J$3, , $G$3, $H$3)+_xll.ciqfunctions.udf.CIQ($B8,"IQ_TIER_TWO_CAPITAL",MX$3,$E$3, $J$3, , $G$3, $H$3)-_xll.ciqfunctions.udf.CIQ($B8,"IQ_GW",MX$3,$E$3, $J$3, , $G$3, $H$3))/_xll.ciqfunctions.udf.CIQ($B8,"IQ_RISK_ADJ_BANK_ASSETS",MX$3,$E$3, $J$3, , $G$3, $H$3)),"")</f>
        <v/>
      </c>
      <c r="MY8" s="72" t="str">
        <f>IFERROR(IF(OR($B8="",MY$3=""),"",(_xll.ciqfunctions.udf.CIQ($B8,"IQ_TIER_ONE_CAPITAL",MY$3,$E$3, $J$3, , $G$3, $H$3)+_xll.ciqfunctions.udf.CIQ($B8,"IQ_TIER_TWO_CAPITAL",MY$3,$E$3, $J$3, , $G$3, $H$3)-_xll.ciqfunctions.udf.CIQ($B8,"IQ_GW",MY$3,$E$3, $J$3, , $G$3, $H$3))/_xll.ciqfunctions.udf.CIQ($B8,"IQ_RISK_ADJ_BANK_ASSETS",MY$3,$E$3, $J$3, , $G$3, $H$3)),"")</f>
        <v/>
      </c>
      <c r="MZ8" s="72" t="str">
        <f>IFERROR(IF(OR($B8="",MZ$3=""),"",(_xll.ciqfunctions.udf.CIQ($B8,"IQ_TIER_ONE_CAPITAL",MZ$3,$E$3, $J$3, , $G$3, $H$3)+_xll.ciqfunctions.udf.CIQ($B8,"IQ_TIER_TWO_CAPITAL",MZ$3,$E$3, $J$3, , $G$3, $H$3)-_xll.ciqfunctions.udf.CIQ($B8,"IQ_GW",MZ$3,$E$3, $J$3, , $G$3, $H$3))/_xll.ciqfunctions.udf.CIQ($B8,"IQ_RISK_ADJ_BANK_ASSETS",MZ$3,$E$3, $J$3, , $G$3, $H$3)),"")</f>
        <v/>
      </c>
      <c r="NA8" s="72" t="str">
        <f>IFERROR(IF(OR($B8="",NA$3=""),"",(_xll.ciqfunctions.udf.CIQ($B8,"IQ_TIER_ONE_CAPITAL",NA$3,$E$3, $J$3, , $G$3, $H$3)+_xll.ciqfunctions.udf.CIQ($B8,"IQ_TIER_TWO_CAPITAL",NA$3,$E$3, $J$3, , $G$3, $H$3)-_xll.ciqfunctions.udf.CIQ($B8,"IQ_GW",NA$3,$E$3, $J$3, , $G$3, $H$3))/_xll.ciqfunctions.udf.CIQ($B8,"IQ_RISK_ADJ_BANK_ASSETS",NA$3,$E$3, $J$3, , $G$3, $H$3)),"")</f>
        <v/>
      </c>
      <c r="NB8" s="72" t="str">
        <f>IFERROR(IF(OR($B8="",NB$3=""),"",(_xll.ciqfunctions.udf.CIQ($B8,"IQ_TIER_ONE_CAPITAL",NB$3,$E$3, $J$3, , $G$3, $H$3)+_xll.ciqfunctions.udf.CIQ($B8,"IQ_TIER_TWO_CAPITAL",NB$3,$E$3, $J$3, , $G$3, $H$3)-_xll.ciqfunctions.udf.CIQ($B8,"IQ_GW",NB$3,$E$3, $J$3, , $G$3, $H$3))/_xll.ciqfunctions.udf.CIQ($B8,"IQ_RISK_ADJ_BANK_ASSETS",NB$3,$E$3, $J$3, , $G$3, $H$3)),"")</f>
        <v/>
      </c>
      <c r="NC8" s="72" t="str">
        <f>IFERROR(IF(OR($B8="",NC$3=""),"",(_xll.ciqfunctions.udf.CIQ($B8,"IQ_TIER_ONE_CAPITAL",NC$3,$E$3, $J$3, , $G$3, $H$3)+_xll.ciqfunctions.udf.CIQ($B8,"IQ_TIER_TWO_CAPITAL",NC$3,$E$3, $J$3, , $G$3, $H$3)-_xll.ciqfunctions.udf.CIQ($B8,"IQ_GW",NC$3,$E$3, $J$3, , $G$3, $H$3))/_xll.ciqfunctions.udf.CIQ($B8,"IQ_RISK_ADJ_BANK_ASSETS",NC$3,$E$3, $J$3, , $G$3, $H$3)),"")</f>
        <v/>
      </c>
      <c r="ND8" s="72" t="str">
        <f>IFERROR(IF(OR($B8="",ND$3=""),"",(_xll.ciqfunctions.udf.CIQ($B8,"IQ_TIER_ONE_CAPITAL",ND$3,$E$3, $J$3, , $G$3, $H$3)+_xll.ciqfunctions.udf.CIQ($B8,"IQ_TIER_TWO_CAPITAL",ND$3,$E$3, $J$3, , $G$3, $H$3)-_xll.ciqfunctions.udf.CIQ($B8,"IQ_GW",ND$3,$E$3, $J$3, , $G$3, $H$3))/_xll.ciqfunctions.udf.CIQ($B8,"IQ_RISK_ADJ_BANK_ASSETS",ND$3,$E$3, $J$3, , $G$3, $H$3)),"")</f>
        <v/>
      </c>
      <c r="NE8" s="72" t="str">
        <f>IFERROR(IF(OR($B8="",NE$3=""),"",(_xll.ciqfunctions.udf.CIQ($B8,"IQ_TIER_ONE_CAPITAL",NE$3,$E$3, $J$3, , $G$3, $H$3)+_xll.ciqfunctions.udf.CIQ($B8,"IQ_TIER_TWO_CAPITAL",NE$3,$E$3, $J$3, , $G$3, $H$3)-_xll.ciqfunctions.udf.CIQ($B8,"IQ_GW",NE$3,$E$3, $J$3, , $G$3, $H$3))/_xll.ciqfunctions.udf.CIQ($B8,"IQ_RISK_ADJ_BANK_ASSETS",NE$3,$E$3, $J$3, , $G$3, $H$3)),"")</f>
        <v/>
      </c>
      <c r="NF8" s="72" t="str">
        <f>IFERROR(IF(OR($B8="",NF$3=""),"",(_xll.ciqfunctions.udf.CIQ($B8,"IQ_TIER_ONE_CAPITAL",NF$3,$E$3, $J$3, , $G$3, $H$3)+_xll.ciqfunctions.udf.CIQ($B8,"IQ_TIER_TWO_CAPITAL",NF$3,$E$3, $J$3, , $G$3, $H$3)-_xll.ciqfunctions.udf.CIQ($B8,"IQ_GW",NF$3,$E$3, $J$3, , $G$3, $H$3))/_xll.ciqfunctions.udf.CIQ($B8,"IQ_RISK_ADJ_BANK_ASSETS",NF$3,$E$3, $J$3, , $G$3, $H$3)),"")</f>
        <v/>
      </c>
      <c r="NG8" s="72" t="str">
        <f>IFERROR(IF(OR($B8="",NG$3=""),"",-_xll.ciqfunctions.udf.CIQ($B8,"IQ_ALLOW_LL",NG$3,$E$3, $J$3, , $G$3, $H$3)/_xll.ciqfunctions.udf.CIQ($B8,"IQ_TOTAL_LOANS",NG$3,$E$3, $J$3, , $G$3, $H$3)),"")</f>
        <v/>
      </c>
      <c r="NH8" s="72" t="str">
        <f>IFERROR(IF(OR($B8="",NH$3=""),"",-_xll.ciqfunctions.udf.CIQ($B8,"IQ_ALLOW_LL",NH$3,$E$3, $J$3, , $G$3, $H$3)/_xll.ciqfunctions.udf.CIQ($B8,"IQ_TOTAL_LOANS",NH$3,$E$3, $J$3, , $G$3, $H$3)),"")</f>
        <v/>
      </c>
      <c r="NI8" s="72" t="str">
        <f>IFERROR(IF(OR($B8="",NI$3=""),"",-_xll.ciqfunctions.udf.CIQ($B8,"IQ_ALLOW_LL",NI$3,$E$3, $J$3, , $G$3, $H$3)/_xll.ciqfunctions.udf.CIQ($B8,"IQ_TOTAL_LOANS",NI$3,$E$3, $J$3, , $G$3, $H$3)),"")</f>
        <v/>
      </c>
      <c r="NJ8" s="72" t="str">
        <f>IFERROR(IF(OR($B8="",NJ$3=""),"",-_xll.ciqfunctions.udf.CIQ($B8,"IQ_ALLOW_LL",NJ$3,$E$3, $J$3, , $G$3, $H$3)/_xll.ciqfunctions.udf.CIQ($B8,"IQ_TOTAL_LOANS",NJ$3,$E$3, $J$3, , $G$3, $H$3)),"")</f>
        <v/>
      </c>
      <c r="NK8" s="72" t="str">
        <f>IFERROR(IF(OR($B8="",NK$3=""),"",-_xll.ciqfunctions.udf.CIQ($B8,"IQ_ALLOW_LL",NK$3,$E$3, $J$3, , $G$3, $H$3)/_xll.ciqfunctions.udf.CIQ($B8,"IQ_TOTAL_LOANS",NK$3,$E$3, $J$3, , $G$3, $H$3)),"")</f>
        <v/>
      </c>
      <c r="NL8" s="72" t="str">
        <f>IFERROR(IF(OR($B8="",NL$3=""),"",-_xll.ciqfunctions.udf.CIQ($B8,"IQ_ALLOW_LL",NL$3,$E$3, $J$3, , $G$3, $H$3)/_xll.ciqfunctions.udf.CIQ($B8,"IQ_TOTAL_LOANS",NL$3,$E$3, $J$3, , $G$3, $H$3)),"")</f>
        <v/>
      </c>
      <c r="NM8" s="72" t="str">
        <f>IFERROR(IF(OR($B8="",NM$3=""),"",-_xll.ciqfunctions.udf.CIQ($B8,"IQ_ALLOW_LL",NM$3,$E$3, $J$3, , $G$3, $H$3)/_xll.ciqfunctions.udf.CIQ($B8,"IQ_TOTAL_LOANS",NM$3,$E$3, $J$3, , $G$3, $H$3)),"")</f>
        <v/>
      </c>
      <c r="NN8" s="72" t="str">
        <f>IFERROR(IF(OR($B8="",NN$3=""),"",-_xll.ciqfunctions.udf.CIQ($B8,"IQ_ALLOW_LL",NN$3,$E$3, $J$3, , $G$3, $H$3)/_xll.ciqfunctions.udf.CIQ($B8,"IQ_TOTAL_LOANS",NN$3,$E$3, $J$3, , $G$3, $H$3)),"")</f>
        <v/>
      </c>
      <c r="NO8" s="72" t="str">
        <f>IFERROR(IF(OR($B8="",NO$3=""),"",-_xll.ciqfunctions.udf.CIQ($B8,"IQ_ALLOW_LL",NO$3,$E$3, $J$3, , $G$3, $H$3)/_xll.ciqfunctions.udf.CIQ($B8,"IQ_TOTAL_LOANS",NO$3,$E$3, $J$3, , $G$3, $H$3)),"")</f>
        <v/>
      </c>
      <c r="NP8" s="72" t="str">
        <f>IFERROR(IF(OR($B8="",NP$3=""),"",-_xll.ciqfunctions.udf.CIQ($B8,"IQ_ALLOW_LL",NP$3,$E$3, $J$3, , $G$3, $H$3)/_xll.ciqfunctions.udf.CIQ($B8,"IQ_TOTAL_LOANS",NP$3,$E$3, $J$3, , $G$3, $H$3)),"")</f>
        <v/>
      </c>
      <c r="NQ8" s="72" t="str">
        <f>IFERROR(IF(OR($B8="",NQ$3=""),"",-_xll.ciqfunctions.udf.CIQ($B8,"IQ_ALLOW_LL",NQ$3,$E$3, $J$3, , $G$3, $H$3)/_xll.ciqfunctions.udf.CIQ($B8,"IQ_TOTAL_LOANS",NQ$3,$E$3, $J$3, , $G$3, $H$3)),"")</f>
        <v/>
      </c>
      <c r="NR8" s="72" t="str">
        <f>IFERROR(IF(OR($B8="",NR$3=""),"",-_xll.ciqfunctions.udf.CIQ($B8,"IQ_ALLOW_LL",NR$3,$E$3, $J$3, , $G$3, $H$3)/_xll.ciqfunctions.udf.CIQ($B8,"IQ_TOTAL_LOANS",NR$3,$E$3, $J$3, , $G$3, $H$3)),"")</f>
        <v/>
      </c>
      <c r="NS8" s="72" t="str">
        <f>IFERROR(IF(OR($B8="",NS$3=""),"",-_xll.ciqfunctions.udf.CIQ($B8,"IQ_ALLOW_LL",NS$3,$E$3, $J$3, , $G$3, $H$3)/_xll.ciqfunctions.udf.CIQ($B8,"IQ_TOTAL_LOANS",NS$3,$E$3, $J$3, , $G$3, $H$3)),"")</f>
        <v/>
      </c>
      <c r="NT8" s="72" t="str">
        <f>IFERROR(IF(OR($B8="",NT$3=""),"",-_xll.ciqfunctions.udf.CIQ($B8,"IQ_ALLOW_LL",NT$3,$E$3, $J$3, , $G$3, $H$3)/_xll.ciqfunctions.udf.CIQ($B8,"IQ_TOTAL_LOANS",NT$3,$E$3, $J$3, , $G$3, $H$3)),"")</f>
        <v/>
      </c>
      <c r="NU8" s="72" t="str">
        <f>IFERROR(IF(OR($B8="",NU$3=""),"",-_xll.ciqfunctions.udf.CIQ($B8,"IQ_ALLOW_LL",NU$3,$E$3, $J$3, , $G$3, $H$3)/_xll.ciqfunctions.udf.CIQ($B8,"IQ_TOTAL_LOANS",NU$3,$E$3, $J$3, , $G$3, $H$3)),"")</f>
        <v/>
      </c>
      <c r="NV8" s="72" t="str">
        <f>IFERROR(IF(OR($B8="",NV$3=""),"",-_xll.ciqfunctions.udf.CIQ($B8,"IQ_ALLOW_LL",NV$3,$E$3, $J$3, , $G$3, $H$3)/_xll.ciqfunctions.udf.CIQ($B8,"IQ_TOTAL_LOANS",NV$3,$E$3, $J$3, , $G$3, $H$3)),"")</f>
        <v/>
      </c>
      <c r="NW8" s="72" t="str">
        <f>IFERROR(IF(OR($B8="",NW$3=""),"",-_xll.ciqfunctions.udf.CIQ($B8,"IQ_ALLOW_LL",NW$3,$E$3, $J$3, , $G$3, $H$3)/_xll.ciqfunctions.udf.CIQ($B8,"IQ_TOTAL_LOANS",NW$3,$E$3, $J$3, , $G$3, $H$3)),"")</f>
        <v/>
      </c>
      <c r="NX8" s="72" t="str">
        <f>IFERROR(IF(OR($B8="",NX$3=""),"",-_xll.ciqfunctions.udf.CIQ($B8,"IQ_ALLOW_LL",NX$3,$E$3, $J$3, , $G$3, $H$3)/_xll.ciqfunctions.udf.CIQ($B8,"IQ_TOTAL_LOANS",NX$3,$E$3, $J$3, , $G$3, $H$3)),"")</f>
        <v/>
      </c>
      <c r="NY8" s="72" t="str">
        <f>IFERROR(IF(OR($B8="",NY$3=""),"",-_xll.ciqfunctions.udf.CIQ($B8,"IQ_ALLOW_LL",NY$3,$E$3, $J$3, , $G$3, $H$3)/_xll.ciqfunctions.udf.CIQ($B8,"IQ_TOTAL_LOANS",NY$3,$E$3, $J$3, , $G$3, $H$3)),"")</f>
        <v/>
      </c>
      <c r="NZ8" s="72" t="str">
        <f>IFERROR(IF(OR($B8="",NZ$3=""),"",-_xll.ciqfunctions.udf.CIQ($B8,"IQ_ALLOW_LL",NZ$3,$E$3, $J$3, , $G$3, $H$3)/_xll.ciqfunctions.udf.CIQ($B8,"IQ_TOTAL_LOANS",NZ$3,$E$3, $J$3, , $G$3, $H$3)),"")</f>
        <v/>
      </c>
      <c r="OA8" s="72" t="str">
        <f>IFERROR(IF(OR($B8="",OA$3=""),"",_xll.ciqfunctions.udf.CIQ($B8,"IQ_TOTAL_LOANS",OA$3,$E$3, $J$3, , $G$3, $H$3)/_xll.ciqfunctions.udf.CIQ($B8,"IQ_TOTAL_DEPOSITS",OA$3,$E$3, $J$3, , $G$3, $H$3)),"")</f>
        <v/>
      </c>
      <c r="OB8" s="72" t="str">
        <f>IFERROR(IF(OR($B8="",OB$3=""),"",_xll.ciqfunctions.udf.CIQ($B8,"IQ_TOTAL_LOANS",OB$3,$E$3, $J$3, , $G$3, $H$3)/_xll.ciqfunctions.udf.CIQ($B8,"IQ_TOTAL_DEPOSITS",OB$3,$E$3, $J$3, , $G$3, $H$3)),"")</f>
        <v/>
      </c>
      <c r="OC8" s="72" t="str">
        <f>IFERROR(IF(OR($B8="",OC$3=""),"",_xll.ciqfunctions.udf.CIQ($B8,"IQ_TOTAL_LOANS",OC$3,$E$3, $J$3, , $G$3, $H$3)/_xll.ciqfunctions.udf.CIQ($B8,"IQ_TOTAL_DEPOSITS",OC$3,$E$3, $J$3, , $G$3, $H$3)),"")</f>
        <v/>
      </c>
      <c r="OD8" s="72" t="str">
        <f>IFERROR(IF(OR($B8="",OD$3=""),"",_xll.ciqfunctions.udf.CIQ($B8,"IQ_TOTAL_LOANS",OD$3,$E$3, $J$3, , $G$3, $H$3)/_xll.ciqfunctions.udf.CIQ($B8,"IQ_TOTAL_DEPOSITS",OD$3,$E$3, $J$3, , $G$3, $H$3)),"")</f>
        <v/>
      </c>
      <c r="OE8" s="72" t="str">
        <f>IFERROR(IF(OR($B8="",OE$3=""),"",_xll.ciqfunctions.udf.CIQ($B8,"IQ_TOTAL_LOANS",OE$3,$E$3, $J$3, , $G$3, $H$3)/_xll.ciqfunctions.udf.CIQ($B8,"IQ_TOTAL_DEPOSITS",OE$3,$E$3, $J$3, , $G$3, $H$3)),"")</f>
        <v/>
      </c>
      <c r="OF8" s="72" t="str">
        <f>IFERROR(IF(OR($B8="",OF$3=""),"",_xll.ciqfunctions.udf.CIQ($B8,"IQ_TOTAL_LOANS",OF$3,$E$3, $J$3, , $G$3, $H$3)/_xll.ciqfunctions.udf.CIQ($B8,"IQ_TOTAL_DEPOSITS",OF$3,$E$3, $J$3, , $G$3, $H$3)),"")</f>
        <v/>
      </c>
      <c r="OG8" s="72" t="str">
        <f>IFERROR(IF(OR($B8="",OG$3=""),"",_xll.ciqfunctions.udf.CIQ($B8,"IQ_TOTAL_LOANS",OG$3,$E$3, $J$3, , $G$3, $H$3)/_xll.ciqfunctions.udf.CIQ($B8,"IQ_TOTAL_DEPOSITS",OG$3,$E$3, $J$3, , $G$3, $H$3)),"")</f>
        <v/>
      </c>
      <c r="OH8" s="72" t="str">
        <f>IFERROR(IF(OR($B8="",OH$3=""),"",_xll.ciqfunctions.udf.CIQ($B8,"IQ_TOTAL_LOANS",OH$3,$E$3, $J$3, , $G$3, $H$3)/_xll.ciqfunctions.udf.CIQ($B8,"IQ_TOTAL_DEPOSITS",OH$3,$E$3, $J$3, , $G$3, $H$3)),"")</f>
        <v/>
      </c>
      <c r="OI8" s="72" t="str">
        <f>IFERROR(IF(OR($B8="",OI$3=""),"",_xll.ciqfunctions.udf.CIQ($B8,"IQ_TOTAL_LOANS",OI$3,$E$3, $J$3, , $G$3, $H$3)/_xll.ciqfunctions.udf.CIQ($B8,"IQ_TOTAL_DEPOSITS",OI$3,$E$3, $J$3, , $G$3, $H$3)),"")</f>
        <v/>
      </c>
      <c r="OJ8" s="72" t="str">
        <f>IFERROR(IF(OR($B8="",OJ$3=""),"",_xll.ciqfunctions.udf.CIQ($B8,"IQ_TOTAL_LOANS",OJ$3,$E$3, $J$3, , $G$3, $H$3)/_xll.ciqfunctions.udf.CIQ($B8,"IQ_TOTAL_DEPOSITS",OJ$3,$E$3, $J$3, , $G$3, $H$3)),"")</f>
        <v/>
      </c>
      <c r="OK8" s="72" t="str">
        <f>IFERROR(IF(OR($B8="",OK$3=""),"",_xll.ciqfunctions.udf.CIQ($B8,"IQ_TOTAL_LOANS",OK$3,$E$3, $J$3, , $G$3, $H$3)/_xll.ciqfunctions.udf.CIQ($B8,"IQ_TOTAL_DEPOSITS",OK$3,$E$3, $J$3, , $G$3, $H$3)),"")</f>
        <v/>
      </c>
      <c r="OL8" s="72" t="str">
        <f>IFERROR(IF(OR($B8="",OL$3=""),"",_xll.ciqfunctions.udf.CIQ($B8,"IQ_TOTAL_LOANS",OL$3,$E$3, $J$3, , $G$3, $H$3)/_xll.ciqfunctions.udf.CIQ($B8,"IQ_TOTAL_DEPOSITS",OL$3,$E$3, $J$3, , $G$3, $H$3)),"")</f>
        <v/>
      </c>
      <c r="OM8" s="72" t="str">
        <f>IFERROR(IF(OR($B8="",OM$3=""),"",_xll.ciqfunctions.udf.CIQ($B8,"IQ_TOTAL_LOANS",OM$3,$E$3, $J$3, , $G$3, $H$3)/_xll.ciqfunctions.udf.CIQ($B8,"IQ_TOTAL_DEPOSITS",OM$3,$E$3, $J$3, , $G$3, $H$3)),"")</f>
        <v/>
      </c>
      <c r="ON8" s="72" t="str">
        <f>IFERROR(IF(OR($B8="",ON$3=""),"",_xll.ciqfunctions.udf.CIQ($B8,"IQ_TOTAL_LOANS",ON$3,$E$3, $J$3, , $G$3, $H$3)/_xll.ciqfunctions.udf.CIQ($B8,"IQ_TOTAL_DEPOSITS",ON$3,$E$3, $J$3, , $G$3, $H$3)),"")</f>
        <v/>
      </c>
      <c r="OO8" s="72" t="str">
        <f>IFERROR(IF(OR($B8="",OO$3=""),"",_xll.ciqfunctions.udf.CIQ($B8,"IQ_TOTAL_LOANS",OO$3,$E$3, $J$3, , $G$3, $H$3)/_xll.ciqfunctions.udf.CIQ($B8,"IQ_TOTAL_DEPOSITS",OO$3,$E$3, $J$3, , $G$3, $H$3)),"")</f>
        <v/>
      </c>
      <c r="OP8" s="72" t="str">
        <f>IFERROR(IF(OR($B8="",OP$3=""),"",_xll.ciqfunctions.udf.CIQ($B8,"IQ_TOTAL_LOANS",OP$3,$E$3, $J$3, , $G$3, $H$3)/_xll.ciqfunctions.udf.CIQ($B8,"IQ_TOTAL_DEPOSITS",OP$3,$E$3, $J$3, , $G$3, $H$3)),"")</f>
        <v/>
      </c>
      <c r="OQ8" s="72" t="str">
        <f>IFERROR(IF(OR($B8="",OQ$3=""),"",_xll.ciqfunctions.udf.CIQ($B8,"IQ_TOTAL_LOANS",OQ$3,$E$3, $J$3, , $G$3, $H$3)/_xll.ciqfunctions.udf.CIQ($B8,"IQ_TOTAL_DEPOSITS",OQ$3,$E$3, $J$3, , $G$3, $H$3)),"")</f>
        <v/>
      </c>
      <c r="OR8" s="72" t="str">
        <f>IFERROR(IF(OR($B8="",OR$3=""),"",_xll.ciqfunctions.udf.CIQ($B8,"IQ_TOTAL_LOANS",OR$3,$E$3, $J$3, , $G$3, $H$3)/_xll.ciqfunctions.udf.CIQ($B8,"IQ_TOTAL_DEPOSITS",OR$3,$E$3, $J$3, , $G$3, $H$3)),"")</f>
        <v/>
      </c>
      <c r="OS8" s="72" t="str">
        <f>IFERROR(IF(OR($B8="",OS$3=""),"",_xll.ciqfunctions.udf.CIQ($B8,"IQ_TOTAL_LOANS",OS$3,$E$3, $J$3, , $G$3, $H$3)/_xll.ciqfunctions.udf.CIQ($B8,"IQ_TOTAL_DEPOSITS",OS$3,$E$3, $J$3, , $G$3, $H$3)),"")</f>
        <v/>
      </c>
      <c r="OT8" s="72" t="str">
        <f>IFERROR(IF(OR($B8="",OT$3=""),"",_xll.ciqfunctions.udf.CIQ($B8,"IQ_TOTAL_LOANS",OT$3,$E$3, $J$3, , $G$3, $H$3)/_xll.ciqfunctions.udf.CIQ($B8,"IQ_TOTAL_DEPOSITS",OT$3,$E$3, $J$3, , $G$3, $H$3)),"")</f>
        <v/>
      </c>
      <c r="OU8" s="72">
        <f>IFERROR(IF(OR($B8="",OU$3=""),"",_xll.ciqfunctions.udf.CIQ($B8,"IQ_NON_PERFORMING_LOANS",OU$3,$E$3, $J$3, , $G$3, $H$3)/_xll.ciqfunctions.udf.CIQ($B8,"IQ_TOTAL_EQUITY",OU$3,$E$3, $J$3, , $G$3, $H$3)),"")</f>
        <v>0</v>
      </c>
      <c r="OV8" s="72" t="str">
        <f>IFERROR(IF(OR($B8="",OV$3=""),"",_xll.ciqfunctions.udf.CIQ($B8,"IQ_NON_PERFORMING_LOANS",OV$3,$E$3, $J$3, , $G$3, $H$3)/_xll.ciqfunctions.udf.CIQ($B8,"IQ_TOTAL_EQUITY",OV$3,$E$3, $J$3, , $G$3, $H$3)),"")</f>
        <v/>
      </c>
      <c r="OW8" s="72" t="str">
        <f>IFERROR(IF(OR($B8="",OW$3=""),"",_xll.ciqfunctions.udf.CIQ($B8,"IQ_NON_PERFORMING_LOANS",OW$3,$E$3, $J$3, , $G$3, $H$3)/_xll.ciqfunctions.udf.CIQ($B8,"IQ_TOTAL_EQUITY",OW$3,$E$3, $J$3, , $G$3, $H$3)),"")</f>
        <v/>
      </c>
      <c r="OX8" s="72" t="str">
        <f>IFERROR(IF(OR($B8="",OX$3=""),"",_xll.ciqfunctions.udf.CIQ($B8,"IQ_NON_PERFORMING_LOANS",OX$3,$E$3, $J$3, , $G$3, $H$3)/_xll.ciqfunctions.udf.CIQ($B8,"IQ_TOTAL_EQUITY",OX$3,$E$3, $J$3, , $G$3, $H$3)),"")</f>
        <v/>
      </c>
      <c r="OY8" s="72" t="str">
        <f>IFERROR(IF(OR($B8="",OY$3=""),"",_xll.ciqfunctions.udf.CIQ($B8,"IQ_NON_PERFORMING_LOANS",OY$3,$E$3, $J$3, , $G$3, $H$3)/_xll.ciqfunctions.udf.CIQ($B8,"IQ_TOTAL_EQUITY",OY$3,$E$3, $J$3, , $G$3, $H$3)),"")</f>
        <v/>
      </c>
      <c r="OZ8" s="72" t="str">
        <f>IFERROR(IF(OR($B8="",OZ$3=""),"",_xll.ciqfunctions.udf.CIQ($B8,"IQ_NON_PERFORMING_LOANS",OZ$3,$E$3, $J$3, , $G$3, $H$3)/_xll.ciqfunctions.udf.CIQ($B8,"IQ_TOTAL_EQUITY",OZ$3,$E$3, $J$3, , $G$3, $H$3)),"")</f>
        <v/>
      </c>
      <c r="PA8" s="72" t="str">
        <f>IFERROR(IF(OR($B8="",PA$3=""),"",_xll.ciqfunctions.udf.CIQ($B8,"IQ_NON_PERFORMING_LOANS",PA$3,$E$3, $J$3, , $G$3, $H$3)/_xll.ciqfunctions.udf.CIQ($B8,"IQ_TOTAL_EQUITY",PA$3,$E$3, $J$3, , $G$3, $H$3)),"")</f>
        <v/>
      </c>
      <c r="PB8" s="72" t="str">
        <f>IFERROR(IF(OR($B8="",PB$3=""),"",_xll.ciqfunctions.udf.CIQ($B8,"IQ_NON_PERFORMING_LOANS",PB$3,$E$3, $J$3, , $G$3, $H$3)/_xll.ciqfunctions.udf.CIQ($B8,"IQ_TOTAL_EQUITY",PB$3,$E$3, $J$3, , $G$3, $H$3)),"")</f>
        <v/>
      </c>
      <c r="PC8" s="72" t="str">
        <f>IFERROR(IF(OR($B8="",PC$3=""),"",_xll.ciqfunctions.udf.CIQ($B8,"IQ_NON_PERFORMING_LOANS",PC$3,$E$3, $J$3, , $G$3, $H$3)/_xll.ciqfunctions.udf.CIQ($B8,"IQ_TOTAL_EQUITY",PC$3,$E$3, $J$3, , $G$3, $H$3)),"")</f>
        <v/>
      </c>
      <c r="PD8" s="72" t="str">
        <f>IFERROR(IF(OR($B8="",PD$3=""),"",_xll.ciqfunctions.udf.CIQ($B8,"IQ_NON_PERFORMING_LOANS",PD$3,$E$3, $J$3, , $G$3, $H$3)/_xll.ciqfunctions.udf.CIQ($B8,"IQ_TOTAL_EQUITY",PD$3,$E$3, $J$3, , $G$3, $H$3)),"")</f>
        <v/>
      </c>
      <c r="PE8" s="72" t="str">
        <f>IFERROR(IF(OR($B8="",PE$3=""),"",_xll.ciqfunctions.udf.CIQ($B8,"IQ_NON_PERFORMING_LOANS",PE$3,$E$3, $J$3, , $G$3, $H$3)/_xll.ciqfunctions.udf.CIQ($B8,"IQ_TOTAL_EQUITY",PE$3,$E$3, $J$3, , $G$3, $H$3)),"")</f>
        <v/>
      </c>
      <c r="PF8" s="72" t="str">
        <f>IFERROR(IF(OR($B8="",PF$3=""),"",_xll.ciqfunctions.udf.CIQ($B8,"IQ_NON_PERFORMING_LOANS",PF$3,$E$3, $J$3, , $G$3, $H$3)/_xll.ciqfunctions.udf.CIQ($B8,"IQ_TOTAL_EQUITY",PF$3,$E$3, $J$3, , $G$3, $H$3)),"")</f>
        <v/>
      </c>
      <c r="PG8" s="72" t="str">
        <f>IFERROR(IF(OR($B8="",PG$3=""),"",_xll.ciqfunctions.udf.CIQ($B8,"IQ_NON_PERFORMING_LOANS",PG$3,$E$3, $J$3, , $G$3, $H$3)/_xll.ciqfunctions.udf.CIQ($B8,"IQ_TOTAL_EQUITY",PG$3,$E$3, $J$3, , $G$3, $H$3)),"")</f>
        <v/>
      </c>
      <c r="PH8" s="72" t="str">
        <f>IFERROR(IF(OR($B8="",PH$3=""),"",_xll.ciqfunctions.udf.CIQ($B8,"IQ_NON_PERFORMING_LOANS",PH$3,$E$3, $J$3, , $G$3, $H$3)/_xll.ciqfunctions.udf.CIQ($B8,"IQ_TOTAL_EQUITY",PH$3,$E$3, $J$3, , $G$3, $H$3)),"")</f>
        <v/>
      </c>
      <c r="PI8" s="72" t="str">
        <f>IFERROR(IF(OR($B8="",PI$3=""),"",_xll.ciqfunctions.udf.CIQ($B8,"IQ_NON_PERFORMING_LOANS",PI$3,$E$3, $J$3, , $G$3, $H$3)/_xll.ciqfunctions.udf.CIQ($B8,"IQ_TOTAL_EQUITY",PI$3,$E$3, $J$3, , $G$3, $H$3)),"")</f>
        <v/>
      </c>
      <c r="PJ8" s="72" t="str">
        <f>IFERROR(IF(OR($B8="",PJ$3=""),"",_xll.ciqfunctions.udf.CIQ($B8,"IQ_NON_PERFORMING_LOANS",PJ$3,$E$3, $J$3, , $G$3, $H$3)/_xll.ciqfunctions.udf.CIQ($B8,"IQ_TOTAL_EQUITY",PJ$3,$E$3, $J$3, , $G$3, $H$3)),"")</f>
        <v/>
      </c>
      <c r="PK8" s="72" t="str">
        <f>IFERROR(IF(OR($B8="",PK$3=""),"",_xll.ciqfunctions.udf.CIQ($B8,"IQ_NON_PERFORMING_LOANS",PK$3,$E$3, $J$3, , $G$3, $H$3)/_xll.ciqfunctions.udf.CIQ($B8,"IQ_TOTAL_EQUITY",PK$3,$E$3, $J$3, , $G$3, $H$3)),"")</f>
        <v/>
      </c>
      <c r="PL8" s="72" t="str">
        <f>IFERROR(IF(OR($B8="",PL$3=""),"",_xll.ciqfunctions.udf.CIQ($B8,"IQ_NON_PERFORMING_LOANS",PL$3,$E$3, $J$3, , $G$3, $H$3)/_xll.ciqfunctions.udf.CIQ($B8,"IQ_TOTAL_EQUITY",PL$3,$E$3, $J$3, , $G$3, $H$3)),"")</f>
        <v/>
      </c>
      <c r="PM8" s="72" t="str">
        <f>IFERROR(IF(OR($B8="",PM$3=""),"",_xll.ciqfunctions.udf.CIQ($B8,"IQ_NON_PERFORMING_LOANS",PM$3,$E$3, $J$3, , $G$3, $H$3)/_xll.ciqfunctions.udf.CIQ($B8,"IQ_TOTAL_EQUITY",PM$3,$E$3, $J$3, , $G$3, $H$3)),"")</f>
        <v/>
      </c>
      <c r="PN8" s="72" t="str">
        <f>IFERROR(IF(OR($B8="",PN$3=""),"",_xll.ciqfunctions.udf.CIQ($B8,"IQ_NON_PERFORMING_LOANS",PN$3,$E$3, $J$3, , $G$3, $H$3)/_xll.ciqfunctions.udf.CIQ($B8,"IQ_TOTAL_EQUITY",PN$3,$E$3, $J$3, , $G$3, $H$3)),"")</f>
        <v/>
      </c>
      <c r="PO8" s="72">
        <f>IFERROR(IF(OR($B8="",PO$3=""),"",(_xll.ciqfunctions.udf.CIQ($B8,"IQ_LASTSALEPRICE",PO$4)/_xll.ciqfunctions.udf.CIQ($B8,"IQ_LASTSALEPRICE",PO$2)-1)+(_xll.ciqfunctions.udf.CIQ($B8, "IQ_DPS_1YR_ANN_GROWTH", "IQ_LTM", PO$4)/100)),"")</f>
        <v>0.62307779377886319</v>
      </c>
      <c r="PP8" s="72" t="str">
        <f>IFERROR(IF(OR($B8="",PP$3=""),"",(_xll.ciqfunctions.udf.CIQ($B8,"IQ_LASTSALEPRICE",PP$4)/_xll.ciqfunctions.udf.CIQ($B8,"IQ_LASTSALEPRICE",PP$2)-1)+(_xll.ciqfunctions.udf.CIQ($B8, "IQ_DPS_1YR_ANN_GROWTH", "IQ_LTM", PP$4)/100)),"")</f>
        <v/>
      </c>
      <c r="PQ8" s="72" t="str">
        <f>IFERROR(IF(OR($B8="",PQ$3=""),"",(_xll.ciqfunctions.udf.CIQ($B8,"IQ_LASTSALEPRICE",PQ$4)/_xll.ciqfunctions.udf.CIQ($B8,"IQ_LASTSALEPRICE",PQ$2)-1)+(_xll.ciqfunctions.udf.CIQ($B8, "IQ_DPS_1YR_ANN_GROWTH", "IQ_LTM", PQ$4)/100)),"")</f>
        <v/>
      </c>
      <c r="PR8" s="72" t="str">
        <f>IFERROR(IF(OR($B8="",PR$3=""),"",(_xll.ciqfunctions.udf.CIQ($B8,"IQ_LASTSALEPRICE",PR$4)/_xll.ciqfunctions.udf.CIQ($B8,"IQ_LASTSALEPRICE",PR$2)-1)+(_xll.ciqfunctions.udf.CIQ($B8, "IQ_DPS_1YR_ANN_GROWTH", "IQ_LTM", PR$4)/100)),"")</f>
        <v/>
      </c>
      <c r="PS8" s="72" t="str">
        <f>IFERROR(IF(OR($B8="",PS$3=""),"",(_xll.ciqfunctions.udf.CIQ($B8,"IQ_LASTSALEPRICE",PS$4)/_xll.ciqfunctions.udf.CIQ($B8,"IQ_LASTSALEPRICE",PS$2)-1)+(_xll.ciqfunctions.udf.CIQ($B8, "IQ_DPS_1YR_ANN_GROWTH", "IQ_LTM", PS$4)/100)),"")</f>
        <v/>
      </c>
      <c r="PT8" s="72" t="str">
        <f>IFERROR(IF(OR($B8="",PT$3=""),"",(_xll.ciqfunctions.udf.CIQ($B8,"IQ_LASTSALEPRICE",PT$4)/_xll.ciqfunctions.udf.CIQ($B8,"IQ_LASTSALEPRICE",PT$2)-1)+(_xll.ciqfunctions.udf.CIQ($B8, "IQ_DPS_1YR_ANN_GROWTH", "IQ_LTM", PT$4)/100)),"")</f>
        <v/>
      </c>
      <c r="PU8" s="72" t="str">
        <f>IFERROR(IF(OR($B8="",PU$3=""),"",(_xll.ciqfunctions.udf.CIQ($B8,"IQ_LASTSALEPRICE",PU$4)/_xll.ciqfunctions.udf.CIQ($B8,"IQ_LASTSALEPRICE",PU$2)-1)+(_xll.ciqfunctions.udf.CIQ($B8, "IQ_DPS_1YR_ANN_GROWTH", "IQ_LTM", PU$4)/100)),"")</f>
        <v/>
      </c>
      <c r="PV8" s="72" t="str">
        <f>IFERROR(IF(OR($B8="",PV$3=""),"",(_xll.ciqfunctions.udf.CIQ($B8,"IQ_LASTSALEPRICE",PV$4)/_xll.ciqfunctions.udf.CIQ($B8,"IQ_LASTSALEPRICE",PV$2)-1)+(_xll.ciqfunctions.udf.CIQ($B8, "IQ_DPS_1YR_ANN_GROWTH", "IQ_LTM", PV$4)/100)),"")</f>
        <v/>
      </c>
      <c r="PW8" s="72" t="str">
        <f>IFERROR(IF(OR($B8="",PW$3=""),"",(_xll.ciqfunctions.udf.CIQ($B8,"IQ_LASTSALEPRICE",PW$4)/_xll.ciqfunctions.udf.CIQ($B8,"IQ_LASTSALEPRICE",PW$2)-1)+(_xll.ciqfunctions.udf.CIQ($B8, "IQ_DPS_1YR_ANN_GROWTH", "IQ_LTM", PW$4)/100)),"")</f>
        <v/>
      </c>
      <c r="PX8" s="72" t="str">
        <f>IFERROR(IF(OR($B8="",PX$3=""),"",(_xll.ciqfunctions.udf.CIQ($B8,"IQ_LASTSALEPRICE",PX$4)/_xll.ciqfunctions.udf.CIQ($B8,"IQ_LASTSALEPRICE",PX$2)-1)+(_xll.ciqfunctions.udf.CIQ($B8, "IQ_DPS_1YR_ANN_GROWTH", "IQ_LTM", PX$4)/100)),"")</f>
        <v/>
      </c>
      <c r="PY8" s="72" t="str">
        <f>IFERROR(IF(OR($B8="",PY$3=""),"",(_xll.ciqfunctions.udf.CIQ($B8,"IQ_LASTSALEPRICE",PY$4)/_xll.ciqfunctions.udf.CIQ($B8,"IQ_LASTSALEPRICE",PY$2)-1)+(_xll.ciqfunctions.udf.CIQ($B8, "IQ_DPS_1YR_ANN_GROWTH", "IQ_LTM", PY$4)/100)),"")</f>
        <v/>
      </c>
      <c r="PZ8" s="72" t="str">
        <f>IFERROR(IF(OR($B8="",PZ$3=""),"",(_xll.ciqfunctions.udf.CIQ($B8,"IQ_LASTSALEPRICE",PZ$4)/_xll.ciqfunctions.udf.CIQ($B8,"IQ_LASTSALEPRICE",PZ$2)-1)+(_xll.ciqfunctions.udf.CIQ($B8, "IQ_DPS_1YR_ANN_GROWTH", "IQ_LTM", PZ$4)/100)),"")</f>
        <v/>
      </c>
      <c r="QA8" s="72" t="str">
        <f>IFERROR(IF(OR($B8="",QA$3=""),"",(_xll.ciqfunctions.udf.CIQ($B8,"IQ_LASTSALEPRICE",QA$4)/_xll.ciqfunctions.udf.CIQ($B8,"IQ_LASTSALEPRICE",QA$2)-1)+(_xll.ciqfunctions.udf.CIQ($B8, "IQ_DPS_1YR_ANN_GROWTH", "IQ_LTM", QA$4)/100)),"")</f>
        <v/>
      </c>
      <c r="QB8" s="72" t="str">
        <f>IFERROR(IF(OR($B8="",QB$3=""),"",(_xll.ciqfunctions.udf.CIQ($B8,"IQ_LASTSALEPRICE",QB$4)/_xll.ciqfunctions.udf.CIQ($B8,"IQ_LASTSALEPRICE",QB$2)-1)+(_xll.ciqfunctions.udf.CIQ($B8, "IQ_DPS_1YR_ANN_GROWTH", "IQ_LTM", QB$4)/100)),"")</f>
        <v/>
      </c>
      <c r="QC8" s="72" t="str">
        <f>IFERROR(IF(OR($B8="",QC$3=""),"",(_xll.ciqfunctions.udf.CIQ($B8,"IQ_LASTSALEPRICE",QC$4)/_xll.ciqfunctions.udf.CIQ($B8,"IQ_LASTSALEPRICE",QC$2)-1)+(_xll.ciqfunctions.udf.CIQ($B8, "IQ_DPS_1YR_ANN_GROWTH", "IQ_LTM", QC$4)/100)),"")</f>
        <v/>
      </c>
      <c r="QD8" s="72" t="str">
        <f>IFERROR(IF(OR($B8="",QD$3=""),"",(_xll.ciqfunctions.udf.CIQ($B8,"IQ_LASTSALEPRICE",QD$4)/_xll.ciqfunctions.udf.CIQ($B8,"IQ_LASTSALEPRICE",QD$2)-1)+(_xll.ciqfunctions.udf.CIQ($B8, "IQ_DPS_1YR_ANN_GROWTH", "IQ_LTM", QD$4)/100)),"")</f>
        <v/>
      </c>
      <c r="QE8" s="72" t="str">
        <f>IFERROR(IF(OR($B8="",QE$3=""),"",(_xll.ciqfunctions.udf.CIQ($B8,"IQ_LASTSALEPRICE",QE$4)/_xll.ciqfunctions.udf.CIQ($B8,"IQ_LASTSALEPRICE",QE$2)-1)+(_xll.ciqfunctions.udf.CIQ($B8, "IQ_DPS_1YR_ANN_GROWTH", "IQ_LTM", QE$4)/100)),"")</f>
        <v/>
      </c>
      <c r="QF8" s="72" t="str">
        <f>IFERROR(IF(OR($B8="",QF$3=""),"",(_xll.ciqfunctions.udf.CIQ($B8,"IQ_LASTSALEPRICE",QF$4)/_xll.ciqfunctions.udf.CIQ($B8,"IQ_LASTSALEPRICE",QF$2)-1)+(_xll.ciqfunctions.udf.CIQ($B8, "IQ_DPS_1YR_ANN_GROWTH", "IQ_LTM", QF$4)/100)),"")</f>
        <v/>
      </c>
      <c r="QG8" s="72" t="str">
        <f>IFERROR(IF(OR($B8="",QG$3=""),"",(_xll.ciqfunctions.udf.CIQ($B8,"IQ_LASTSALEPRICE",QG$4)/_xll.ciqfunctions.udf.CIQ($B8,"IQ_LASTSALEPRICE",QG$2)-1)+(_xll.ciqfunctions.udf.CIQ($B8, "IQ_DPS_1YR_ANN_GROWTH", "IQ_LTM", QG$4)/100)),"")</f>
        <v/>
      </c>
      <c r="QH8" s="72" t="str">
        <f>IFERROR(IF(OR($B8="",QH$3=""),"",(_xll.ciqfunctions.udf.CIQ($B8,"IQ_LASTSALEPRICE",QH$4)/_xll.ciqfunctions.udf.CIQ($B8,"IQ_LASTSALEPRICE",QH$2)-1)+(_xll.ciqfunctions.udf.CIQ($B8, "IQ_DPS_1YR_ANN_GROWTH", "IQ_LTM", QH$4)/100)),"")</f>
        <v/>
      </c>
      <c r="QI8" s="72" t="str">
        <f>IFERROR(IF(OR($B8="",QI$3=""),"",_xll.ciqfunctions.udf.CIQ($B8,"IQ_NI",QI$3,$E$3, $J$3, , $G$3, $H$3)*2/(_xll.ciqfunctions.udf.CIQ($B8,"IQ_TOTAL_BANK_CAPITAL",QI$3,$E$3, $J$3, , $G$3, $H$3)+_xll.ciqfunctions.udf.CIQ($B8,"IQ_TOTAL_BANK_CAPITAL","IQ_" &amp; LEFT(QI$3,2) &amp; "-1", QI$3, $J$3, , $G$3, $H$3))),"")</f>
        <v/>
      </c>
      <c r="QJ8" s="72" t="str">
        <f>IFERROR(IF(OR($B8="",QJ$3=""),"",_xll.ciqfunctions.udf.CIQ($B8,"IQ_NI",QJ$3,$E$3, $J$3, , $G$3, $H$3)*2/(_xll.ciqfunctions.udf.CIQ($B8,"IQ_TOTAL_BANK_CAPITAL",QJ$3,$E$3, $J$3, , $G$3, $H$3)+_xll.ciqfunctions.udf.CIQ($B8,"IQ_TOTAL_BANK_CAPITAL","IQ_" &amp; LEFT(QJ$3,2) &amp; "-1", QJ$3, $J$3, , $G$3, $H$3))),"")</f>
        <v/>
      </c>
      <c r="QK8" s="72" t="str">
        <f>IFERROR(IF(OR($B8="",QK$3=""),"",_xll.ciqfunctions.udf.CIQ($B8,"IQ_NI",QK$3,$E$3, $J$3, , $G$3, $H$3)*2/(_xll.ciqfunctions.udf.CIQ($B8,"IQ_TOTAL_BANK_CAPITAL",QK$3,$E$3, $J$3, , $G$3, $H$3)+_xll.ciqfunctions.udf.CIQ($B8,"IQ_TOTAL_BANK_CAPITAL","IQ_" &amp; LEFT(QK$3,2) &amp; "-1", QK$3, $J$3, , $G$3, $H$3))),"")</f>
        <v/>
      </c>
      <c r="QL8" s="72" t="str">
        <f>IFERROR(IF(OR($B8="",QL$3=""),"",_xll.ciqfunctions.udf.CIQ($B8,"IQ_NI",QL$3,$E$3, $J$3, , $G$3, $H$3)*2/(_xll.ciqfunctions.udf.CIQ($B8,"IQ_TOTAL_BANK_CAPITAL",QL$3,$E$3, $J$3, , $G$3, $H$3)+_xll.ciqfunctions.udf.CIQ($B8,"IQ_TOTAL_BANK_CAPITAL","IQ_" &amp; LEFT(QL$3,2) &amp; "-1", QL$3, $J$3, , $G$3, $H$3))),"")</f>
        <v/>
      </c>
      <c r="QM8" s="72" t="str">
        <f>IFERROR(IF(OR($B8="",QM$3=""),"",_xll.ciqfunctions.udf.CIQ($B8,"IQ_NI",QM$3,$E$3, $J$3, , $G$3, $H$3)*2/(_xll.ciqfunctions.udf.CIQ($B8,"IQ_TOTAL_BANK_CAPITAL",QM$3,$E$3, $J$3, , $G$3, $H$3)+_xll.ciqfunctions.udf.CIQ($B8,"IQ_TOTAL_BANK_CAPITAL","IQ_" &amp; LEFT(QM$3,2) &amp; "-1", QM$3, $J$3, , $G$3, $H$3))),"")</f>
        <v/>
      </c>
      <c r="QN8" s="72" t="str">
        <f>IFERROR(IF(OR($B8="",QN$3=""),"",_xll.ciqfunctions.udf.CIQ($B8,"IQ_NI",QN$3,$E$3, $J$3, , $G$3, $H$3)*2/(_xll.ciqfunctions.udf.CIQ($B8,"IQ_TOTAL_BANK_CAPITAL",QN$3,$E$3, $J$3, , $G$3, $H$3)+_xll.ciqfunctions.udf.CIQ($B8,"IQ_TOTAL_BANK_CAPITAL","IQ_" &amp; LEFT(QN$3,2) &amp; "-1", QN$3, $J$3, , $G$3, $H$3))),"")</f>
        <v/>
      </c>
      <c r="QO8" s="72" t="str">
        <f>IFERROR(IF(OR($B8="",QO$3=""),"",_xll.ciqfunctions.udf.CIQ($B8,"IQ_NI",QO$3,$E$3, $J$3, , $G$3, $H$3)*2/(_xll.ciqfunctions.udf.CIQ($B8,"IQ_TOTAL_BANK_CAPITAL",QO$3,$E$3, $J$3, , $G$3, $H$3)+_xll.ciqfunctions.udf.CIQ($B8,"IQ_TOTAL_BANK_CAPITAL","IQ_" &amp; LEFT(QO$3,2) &amp; "-1", QO$3, $J$3, , $G$3, $H$3))),"")</f>
        <v/>
      </c>
      <c r="QP8" s="72" t="str">
        <f>IFERROR(IF(OR($B8="",QP$3=""),"",_xll.ciqfunctions.udf.CIQ($B8,"IQ_NI",QP$3,$E$3, $J$3, , $G$3, $H$3)*2/(_xll.ciqfunctions.udf.CIQ($B8,"IQ_TOTAL_BANK_CAPITAL",QP$3,$E$3, $J$3, , $G$3, $H$3)+_xll.ciqfunctions.udf.CIQ($B8,"IQ_TOTAL_BANK_CAPITAL","IQ_" &amp; LEFT(QP$3,2) &amp; "-1", QP$3, $J$3, , $G$3, $H$3))),"")</f>
        <v/>
      </c>
      <c r="QQ8" s="72" t="str">
        <f>IFERROR(IF(OR($B8="",QQ$3=""),"",_xll.ciqfunctions.udf.CIQ($B8,"IQ_NI",QQ$3,$E$3, $J$3, , $G$3, $H$3)*2/(_xll.ciqfunctions.udf.CIQ($B8,"IQ_TOTAL_BANK_CAPITAL",QQ$3,$E$3, $J$3, , $G$3, $H$3)+_xll.ciqfunctions.udf.CIQ($B8,"IQ_TOTAL_BANK_CAPITAL","IQ_" &amp; LEFT(QQ$3,2) &amp; "-1", QQ$3, $J$3, , $G$3, $H$3))),"")</f>
        <v/>
      </c>
      <c r="QR8" s="72" t="str">
        <f>IFERROR(IF(OR($B8="",QR$3=""),"",_xll.ciqfunctions.udf.CIQ($B8,"IQ_NI",QR$3,$E$3, $J$3, , $G$3, $H$3)*2/(_xll.ciqfunctions.udf.CIQ($B8,"IQ_TOTAL_BANK_CAPITAL",QR$3,$E$3, $J$3, , $G$3, $H$3)+_xll.ciqfunctions.udf.CIQ($B8,"IQ_TOTAL_BANK_CAPITAL","IQ_" &amp; LEFT(QR$3,2) &amp; "-1", QR$3, $J$3, , $G$3, $H$3))),"")</f>
        <v/>
      </c>
      <c r="QS8" s="72" t="str">
        <f>IFERROR(IF(OR($B8="",QS$3=""),"",_xll.ciqfunctions.udf.CIQ($B8,"IQ_NI",QS$3,$E$3, $J$3, , $G$3, $H$3)*2/(_xll.ciqfunctions.udf.CIQ($B8,"IQ_TOTAL_BANK_CAPITAL",QS$3,$E$3, $J$3, , $G$3, $H$3)+_xll.ciqfunctions.udf.CIQ($B8,"IQ_TOTAL_BANK_CAPITAL","IQ_" &amp; LEFT(QS$3,2) &amp; "-1", QS$3, $J$3, , $G$3, $H$3))),"")</f>
        <v/>
      </c>
      <c r="QT8" s="72" t="str">
        <f>IFERROR(IF(OR($B8="",QT$3=""),"",_xll.ciqfunctions.udf.CIQ($B8,"IQ_NI",QT$3,$E$3, $J$3, , $G$3, $H$3)*2/(_xll.ciqfunctions.udf.CIQ($B8,"IQ_TOTAL_BANK_CAPITAL",QT$3,$E$3, $J$3, , $G$3, $H$3)+_xll.ciqfunctions.udf.CIQ($B8,"IQ_TOTAL_BANK_CAPITAL","IQ_" &amp; LEFT(QT$3,2) &amp; "-1", QT$3, $J$3, , $G$3, $H$3))),"")</f>
        <v/>
      </c>
      <c r="QU8" s="72" t="str">
        <f>IFERROR(IF(OR($B8="",QU$3=""),"",_xll.ciqfunctions.udf.CIQ($B8,"IQ_NI",QU$3,$E$3, $J$3, , $G$3, $H$3)*2/(_xll.ciqfunctions.udf.CIQ($B8,"IQ_TOTAL_BANK_CAPITAL",QU$3,$E$3, $J$3, , $G$3, $H$3)+_xll.ciqfunctions.udf.CIQ($B8,"IQ_TOTAL_BANK_CAPITAL","IQ_" &amp; LEFT(QU$3,2) &amp; "-1", QU$3, $J$3, , $G$3, $H$3))),"")</f>
        <v/>
      </c>
      <c r="QV8" s="72" t="str">
        <f>IFERROR(IF(OR($B8="",QV$3=""),"",_xll.ciqfunctions.udf.CIQ($B8,"IQ_NI",QV$3,$E$3, $J$3, , $G$3, $H$3)*2/(_xll.ciqfunctions.udf.CIQ($B8,"IQ_TOTAL_BANK_CAPITAL",QV$3,$E$3, $J$3, , $G$3, $H$3)+_xll.ciqfunctions.udf.CIQ($B8,"IQ_TOTAL_BANK_CAPITAL","IQ_" &amp; LEFT(QV$3,2) &amp; "-1", QV$3, $J$3, , $G$3, $H$3))),"")</f>
        <v/>
      </c>
      <c r="QW8" s="72" t="str">
        <f>IFERROR(IF(OR($B8="",QW$3=""),"",_xll.ciqfunctions.udf.CIQ($B8,"IQ_NI",QW$3,$E$3, $J$3, , $G$3, $H$3)*2/(_xll.ciqfunctions.udf.CIQ($B8,"IQ_TOTAL_BANK_CAPITAL",QW$3,$E$3, $J$3, , $G$3, $H$3)+_xll.ciqfunctions.udf.CIQ($B8,"IQ_TOTAL_BANK_CAPITAL","IQ_" &amp; LEFT(QW$3,2) &amp; "-1", QW$3, $J$3, , $G$3, $H$3))),"")</f>
        <v/>
      </c>
      <c r="QX8" s="72" t="str">
        <f>IFERROR(IF(OR($B8="",QX$3=""),"",_xll.ciqfunctions.udf.CIQ($B8,"IQ_NI",QX$3,$E$3, $J$3, , $G$3, $H$3)*2/(_xll.ciqfunctions.udf.CIQ($B8,"IQ_TOTAL_BANK_CAPITAL",QX$3,$E$3, $J$3, , $G$3, $H$3)+_xll.ciqfunctions.udf.CIQ($B8,"IQ_TOTAL_BANK_CAPITAL","IQ_" &amp; LEFT(QX$3,2) &amp; "-1", QX$3, $J$3, , $G$3, $H$3))),"")</f>
        <v/>
      </c>
      <c r="QY8" s="72" t="str">
        <f>IFERROR(IF(OR($B8="",QY$3=""),"",_xll.ciqfunctions.udf.CIQ($B8,"IQ_NI",QY$3,$E$3, $J$3, , $G$3, $H$3)*2/(_xll.ciqfunctions.udf.CIQ($B8,"IQ_TOTAL_BANK_CAPITAL",QY$3,$E$3, $J$3, , $G$3, $H$3)+_xll.ciqfunctions.udf.CIQ($B8,"IQ_TOTAL_BANK_CAPITAL","IQ_" &amp; LEFT(QY$3,2) &amp; "-1", QY$3, $J$3, , $G$3, $H$3))),"")</f>
        <v/>
      </c>
      <c r="QZ8" s="72" t="str">
        <f>IFERROR(IF(OR($B8="",QZ$3=""),"",_xll.ciqfunctions.udf.CIQ($B8,"IQ_NI",QZ$3,$E$3, $J$3, , $G$3, $H$3)*2/(_xll.ciqfunctions.udf.CIQ($B8,"IQ_TOTAL_BANK_CAPITAL",QZ$3,$E$3, $J$3, , $G$3, $H$3)+_xll.ciqfunctions.udf.CIQ($B8,"IQ_TOTAL_BANK_CAPITAL","IQ_" &amp; LEFT(QZ$3,2) &amp; "-1", QZ$3, $J$3, , $G$3, $H$3))),"")</f>
        <v/>
      </c>
      <c r="RA8" s="72" t="str">
        <f>IFERROR(IF(OR($B8="",RA$3=""),"",_xll.ciqfunctions.udf.CIQ($B8,"IQ_NI",RA$3,$E$3, $J$3, , $G$3, $H$3)*2/(_xll.ciqfunctions.udf.CIQ($B8,"IQ_TOTAL_BANK_CAPITAL",RA$3,$E$3, $J$3, , $G$3, $H$3)+_xll.ciqfunctions.udf.CIQ($B8,"IQ_TOTAL_BANK_CAPITAL","IQ_" &amp; LEFT(RA$3,2) &amp; "-1", RA$3, $J$3, , $G$3, $H$3))),"")</f>
        <v/>
      </c>
      <c r="RB8" s="72" t="str">
        <f>IFERROR(IF(OR($B8="",RB$3=""),"",_xll.ciqfunctions.udf.CIQ($B8,"IQ_NI",RB$3,$E$3, $J$3, , $G$3, $H$3)*2/(_xll.ciqfunctions.udf.CIQ($B8,"IQ_TOTAL_BANK_CAPITAL",RB$3,$E$3, $J$3, , $G$3, $H$3)+_xll.ciqfunctions.udf.CIQ($B8,"IQ_TOTAL_BANK_CAPITAL","IQ_" &amp; LEFT(RB$3,2) &amp; "-1", RB$3, $J$3, , $G$3, $H$3))),"")</f>
        <v/>
      </c>
      <c r="RC8" s="628" t="str">
        <f>IFERROR(IF(OR($B8="",RC$4=""),"",(IFERROR(_xll.ciqfunctions.udf.CIQ($B8,"IQ_MARKETCAP",RC$4),0)+IFERROR(_xll.ciqfunctions.udf.CIQ($B8,"IQ_TOTAL_DEBT",RC$3),0)+IFERROR(_xll.ciqfunctions.udf.CIQ($B8,"IQ_PREF_EQUITY",RC$3),0)+IFERROR(_xll.ciqfunctions.udf.CIQ($B8,"IQ_MINORITY_INTEREST",RC$3),0)-IFERROR(_xll.ciqfunctions.udf.CIQ($B8,"IQ_ST_INVEST",RC$3),0)-IFERROR(_xll.ciqfunctions.udf.CIQ($B8,"IQ_cash_equiv",RC$3),0))/_xll.ciqfunctions.udf.CIQ($B8,"IQ_TOTAL_BANK_CAPITAL",QI$3,$E$3,$J$3,,$G$3,$H$3)),"")</f>
        <v/>
      </c>
      <c r="RD8" s="628" t="str">
        <f>IFERROR(IF(OR($B8="",RD$4=""),"",(IFERROR(_xll.ciqfunctions.udf.CIQ($B8,"IQ_MARKETCAP",RD$4),0)+IFERROR(_xll.ciqfunctions.udf.CIQ($B8,"IQ_TOTAL_DEBT",RD$3),0)+IFERROR(_xll.ciqfunctions.udf.CIQ($B8,"IQ_PREF_EQUITY",RD$3),0)+IFERROR(_xll.ciqfunctions.udf.CIQ($B8,"IQ_MINORITY_INTEREST",RD$3),0)-IFERROR(_xll.ciqfunctions.udf.CIQ($B8,"IQ_ST_INVEST",RD$3),0)-IFERROR(_xll.ciqfunctions.udf.CIQ($B8,"IQ_cash_equiv",RD$3),0))/_xll.ciqfunctions.udf.CIQ($B8,"IQ_TOTAL_BANK_CAPITAL",QJ$3,$E$3,$J$3,,$G$3,$H$3)),"")</f>
        <v/>
      </c>
      <c r="RE8" s="628" t="str">
        <f>IFERROR(IF(OR($B8="",RE$4=""),"",(IFERROR(_xll.ciqfunctions.udf.CIQ($B8,"IQ_MARKETCAP",RE$4),0)+IFERROR(_xll.ciqfunctions.udf.CIQ($B8,"IQ_TOTAL_DEBT",RE$3),0)+IFERROR(_xll.ciqfunctions.udf.CIQ($B8,"IQ_PREF_EQUITY",RE$3),0)+IFERROR(_xll.ciqfunctions.udf.CIQ($B8,"IQ_MINORITY_INTEREST",RE$3),0)-IFERROR(_xll.ciqfunctions.udf.CIQ($B8,"IQ_ST_INVEST",RE$3),0)-IFERROR(_xll.ciqfunctions.udf.CIQ($B8,"IQ_cash_equiv",RE$3),0))/_xll.ciqfunctions.udf.CIQ($B8,"IQ_TOTAL_BANK_CAPITAL",QK$3,$E$3,$J$3,,$G$3,$H$3)),"")</f>
        <v/>
      </c>
      <c r="RF8" s="628" t="str">
        <f>IFERROR(IF(OR($B8="",RF$4=""),"",(IFERROR(_xll.ciqfunctions.udf.CIQ($B8,"IQ_MARKETCAP",RF$4),0)+IFERROR(_xll.ciqfunctions.udf.CIQ($B8,"IQ_TOTAL_DEBT",RF$3),0)+IFERROR(_xll.ciqfunctions.udf.CIQ($B8,"IQ_PREF_EQUITY",RF$3),0)+IFERROR(_xll.ciqfunctions.udf.CIQ($B8,"IQ_MINORITY_INTEREST",RF$3),0)-IFERROR(_xll.ciqfunctions.udf.CIQ($B8,"IQ_ST_INVEST",RF$3),0)-IFERROR(_xll.ciqfunctions.udf.CIQ($B8,"IQ_cash_equiv",RF$3),0))/_xll.ciqfunctions.udf.CIQ($B8,"IQ_TOTAL_BANK_CAPITAL",QL$3,$E$3,$J$3,,$G$3,$H$3)),"")</f>
        <v/>
      </c>
      <c r="RG8" s="628" t="str">
        <f>IFERROR(IF(OR($B8="",RG$4=""),"",(IFERROR(_xll.ciqfunctions.udf.CIQ($B8,"IQ_MARKETCAP",RG$4),0)+IFERROR(_xll.ciqfunctions.udf.CIQ($B8,"IQ_TOTAL_DEBT",RG$3),0)+IFERROR(_xll.ciqfunctions.udf.CIQ($B8,"IQ_PREF_EQUITY",RG$3),0)+IFERROR(_xll.ciqfunctions.udf.CIQ($B8,"IQ_MINORITY_INTEREST",RG$3),0)-IFERROR(_xll.ciqfunctions.udf.CIQ($B8,"IQ_ST_INVEST",RG$3),0)-IFERROR(_xll.ciqfunctions.udf.CIQ($B8,"IQ_cash_equiv",RG$3),0))/_xll.ciqfunctions.udf.CIQ($B8,"IQ_TOTAL_BANK_CAPITAL",QM$3,$E$3,$J$3,,$G$3,$H$3)),"")</f>
        <v/>
      </c>
      <c r="RH8" s="628" t="str">
        <f>IFERROR(IF(OR($B8="",RH$4=""),"",(IFERROR(_xll.ciqfunctions.udf.CIQ($B8,"IQ_MARKETCAP",RH$4),0)+IFERROR(_xll.ciqfunctions.udf.CIQ($B8,"IQ_TOTAL_DEBT",RH$3),0)+IFERROR(_xll.ciqfunctions.udf.CIQ($B8,"IQ_PREF_EQUITY",RH$3),0)+IFERROR(_xll.ciqfunctions.udf.CIQ($B8,"IQ_MINORITY_INTEREST",RH$3),0)-IFERROR(_xll.ciqfunctions.udf.CIQ($B8,"IQ_ST_INVEST",RH$3),0)-IFERROR(_xll.ciqfunctions.udf.CIQ($B8,"IQ_cash_equiv",RH$3),0))/_xll.ciqfunctions.udf.CIQ($B8,"IQ_TOTAL_BANK_CAPITAL",QN$3,$E$3,$J$3,,$G$3,$H$3)),"")</f>
        <v/>
      </c>
      <c r="RI8" s="628" t="str">
        <f>IFERROR(IF(OR($B8="",RI$4=""),"",(IFERROR(_xll.ciqfunctions.udf.CIQ($B8,"IQ_MARKETCAP",RI$4),0)+IFERROR(_xll.ciqfunctions.udf.CIQ($B8,"IQ_TOTAL_DEBT",RI$3),0)+IFERROR(_xll.ciqfunctions.udf.CIQ($B8,"IQ_PREF_EQUITY",RI$3),0)+IFERROR(_xll.ciqfunctions.udf.CIQ($B8,"IQ_MINORITY_INTEREST",RI$3),0)-IFERROR(_xll.ciqfunctions.udf.CIQ($B8,"IQ_ST_INVEST",RI$3),0)-IFERROR(_xll.ciqfunctions.udf.CIQ($B8,"IQ_cash_equiv",RI$3),0))/_xll.ciqfunctions.udf.CIQ($B8,"IQ_TOTAL_BANK_CAPITAL",QO$3,$E$3,$J$3,,$G$3,$H$3)),"")</f>
        <v/>
      </c>
      <c r="RJ8" s="628" t="str">
        <f>IFERROR(IF(OR($B8="",RJ$4=""),"",(IFERROR(_xll.ciqfunctions.udf.CIQ($B8,"IQ_MARKETCAP",RJ$4),0)+IFERROR(_xll.ciqfunctions.udf.CIQ($B8,"IQ_TOTAL_DEBT",RJ$3),0)+IFERROR(_xll.ciqfunctions.udf.CIQ($B8,"IQ_PREF_EQUITY",RJ$3),0)+IFERROR(_xll.ciqfunctions.udf.CIQ($B8,"IQ_MINORITY_INTEREST",RJ$3),0)-IFERROR(_xll.ciqfunctions.udf.CIQ($B8,"IQ_ST_INVEST",RJ$3),0)-IFERROR(_xll.ciqfunctions.udf.CIQ($B8,"IQ_cash_equiv",RJ$3),0))/_xll.ciqfunctions.udf.CIQ($B8,"IQ_TOTAL_BANK_CAPITAL",QP$3,$E$3,$J$3,,$G$3,$H$3)),"")</f>
        <v/>
      </c>
      <c r="RK8" s="628" t="str">
        <f>IFERROR(IF(OR($B8="",RK$4=""),"",(IFERROR(_xll.ciqfunctions.udf.CIQ($B8,"IQ_MARKETCAP",RK$4),0)+IFERROR(_xll.ciqfunctions.udf.CIQ($B8,"IQ_TOTAL_DEBT",RK$3),0)+IFERROR(_xll.ciqfunctions.udf.CIQ($B8,"IQ_PREF_EQUITY",RK$3),0)+IFERROR(_xll.ciqfunctions.udf.CIQ($B8,"IQ_MINORITY_INTEREST",RK$3),0)-IFERROR(_xll.ciqfunctions.udf.CIQ($B8,"IQ_ST_INVEST",RK$3),0)-IFERROR(_xll.ciqfunctions.udf.CIQ($B8,"IQ_cash_equiv",RK$3),0))/_xll.ciqfunctions.udf.CIQ($B8,"IQ_TOTAL_BANK_CAPITAL",QQ$3,$E$3,$J$3,,$G$3,$H$3)),"")</f>
        <v/>
      </c>
      <c r="RL8" s="628" t="str">
        <f>IFERROR(IF(OR($B8="",RL$4=""),"",(IFERROR(_xll.ciqfunctions.udf.CIQ($B8,"IQ_MARKETCAP",RL$4),0)+IFERROR(_xll.ciqfunctions.udf.CIQ($B8,"IQ_TOTAL_DEBT",RL$3),0)+IFERROR(_xll.ciqfunctions.udf.CIQ($B8,"IQ_PREF_EQUITY",RL$3),0)+IFERROR(_xll.ciqfunctions.udf.CIQ($B8,"IQ_MINORITY_INTEREST",RL$3),0)-IFERROR(_xll.ciqfunctions.udf.CIQ($B8,"IQ_ST_INVEST",RL$3),0)-IFERROR(_xll.ciqfunctions.udf.CIQ($B8,"IQ_cash_equiv",RL$3),0))/_xll.ciqfunctions.udf.CIQ($B8,"IQ_TOTAL_BANK_CAPITAL",QR$3,$E$3,$J$3,,$G$3,$H$3)),"")</f>
        <v/>
      </c>
      <c r="RM8" s="628" t="str">
        <f>IFERROR(IF(OR($B8="",RM$4=""),"",(IFERROR(_xll.ciqfunctions.udf.CIQ($B8,"IQ_MARKETCAP",RM$4),0)+IFERROR(_xll.ciqfunctions.udf.CIQ($B8,"IQ_TOTAL_DEBT",RM$3),0)+IFERROR(_xll.ciqfunctions.udf.CIQ($B8,"IQ_PREF_EQUITY",RM$3),0)+IFERROR(_xll.ciqfunctions.udf.CIQ($B8,"IQ_MINORITY_INTEREST",RM$3),0)-IFERROR(_xll.ciqfunctions.udf.CIQ($B8,"IQ_ST_INVEST",RM$3),0)-IFERROR(_xll.ciqfunctions.udf.CIQ($B8,"IQ_cash_equiv",RM$3),0))/_xll.ciqfunctions.udf.CIQ($B8,"IQ_TOTAL_BANK_CAPITAL",QS$3,$E$3,$J$3,,$G$3,$H$3)),"")</f>
        <v/>
      </c>
      <c r="RN8" s="628" t="str">
        <f>IFERROR(IF(OR($B8="",RN$4=""),"",(IFERROR(_xll.ciqfunctions.udf.CIQ($B8,"IQ_MARKETCAP",RN$4),0)+IFERROR(_xll.ciqfunctions.udf.CIQ($B8,"IQ_TOTAL_DEBT",RN$3),0)+IFERROR(_xll.ciqfunctions.udf.CIQ($B8,"IQ_PREF_EQUITY",RN$3),0)+IFERROR(_xll.ciqfunctions.udf.CIQ($B8,"IQ_MINORITY_INTEREST",RN$3),0)-IFERROR(_xll.ciqfunctions.udf.CIQ($B8,"IQ_ST_INVEST",RN$3),0)-IFERROR(_xll.ciqfunctions.udf.CIQ($B8,"IQ_cash_equiv",RN$3),0))/_xll.ciqfunctions.udf.CIQ($B8,"IQ_TOTAL_BANK_CAPITAL",QT$3,$E$3,$J$3,,$G$3,$H$3)),"")</f>
        <v/>
      </c>
      <c r="RO8" s="628" t="str">
        <f>IFERROR(IF(OR($B8="",RO$4=""),"",(IFERROR(_xll.ciqfunctions.udf.CIQ($B8,"IQ_MARKETCAP",RO$4),0)+IFERROR(_xll.ciqfunctions.udf.CIQ($B8,"IQ_TOTAL_DEBT",RO$3),0)+IFERROR(_xll.ciqfunctions.udf.CIQ($B8,"IQ_PREF_EQUITY",RO$3),0)+IFERROR(_xll.ciqfunctions.udf.CIQ($B8,"IQ_MINORITY_INTEREST",RO$3),0)-IFERROR(_xll.ciqfunctions.udf.CIQ($B8,"IQ_ST_INVEST",RO$3),0)-IFERROR(_xll.ciqfunctions.udf.CIQ($B8,"IQ_cash_equiv",RO$3),0))/_xll.ciqfunctions.udf.CIQ($B8,"IQ_TOTAL_BANK_CAPITAL",QU$3,$E$3,$J$3,,$G$3,$H$3)),"")</f>
        <v/>
      </c>
      <c r="RP8" s="628" t="str">
        <f>IFERROR(IF(OR($B8="",RP$4=""),"",(IFERROR(_xll.ciqfunctions.udf.CIQ($B8,"IQ_MARKETCAP",RP$4),0)+IFERROR(_xll.ciqfunctions.udf.CIQ($B8,"IQ_TOTAL_DEBT",RP$3),0)+IFERROR(_xll.ciqfunctions.udf.CIQ($B8,"IQ_PREF_EQUITY",RP$3),0)+IFERROR(_xll.ciqfunctions.udf.CIQ($B8,"IQ_MINORITY_INTEREST",RP$3),0)-IFERROR(_xll.ciqfunctions.udf.CIQ($B8,"IQ_ST_INVEST",RP$3),0)-IFERROR(_xll.ciqfunctions.udf.CIQ($B8,"IQ_cash_equiv",RP$3),0))/_xll.ciqfunctions.udf.CIQ($B8,"IQ_TOTAL_BANK_CAPITAL",QV$3,$E$3,$J$3,,$G$3,$H$3)),"")</f>
        <v/>
      </c>
      <c r="RQ8" s="628" t="str">
        <f>IFERROR(IF(OR($B8="",RQ$4=""),"",(IFERROR(_xll.ciqfunctions.udf.CIQ($B8,"IQ_MARKETCAP",RQ$4),0)+IFERROR(_xll.ciqfunctions.udf.CIQ($B8,"IQ_TOTAL_DEBT",RQ$3),0)+IFERROR(_xll.ciqfunctions.udf.CIQ($B8,"IQ_PREF_EQUITY",RQ$3),0)+IFERROR(_xll.ciqfunctions.udf.CIQ($B8,"IQ_MINORITY_INTEREST",RQ$3),0)-IFERROR(_xll.ciqfunctions.udf.CIQ($B8,"IQ_ST_INVEST",RQ$3),0)-IFERROR(_xll.ciqfunctions.udf.CIQ($B8,"IQ_cash_equiv",RQ$3),0))/_xll.ciqfunctions.udf.CIQ($B8,"IQ_TOTAL_BANK_CAPITAL",QW$3,$E$3,$J$3,,$G$3,$H$3)),"")</f>
        <v/>
      </c>
      <c r="RR8" s="628" t="str">
        <f>IFERROR(IF(OR($B8="",RR$4=""),"",(IFERROR(_xll.ciqfunctions.udf.CIQ($B8,"IQ_MARKETCAP",RR$4),0)+IFERROR(_xll.ciqfunctions.udf.CIQ($B8,"IQ_TOTAL_DEBT",RR$3),0)+IFERROR(_xll.ciqfunctions.udf.CIQ($B8,"IQ_PREF_EQUITY",RR$3),0)+IFERROR(_xll.ciqfunctions.udf.CIQ($B8,"IQ_MINORITY_INTEREST",RR$3),0)-IFERROR(_xll.ciqfunctions.udf.CIQ($B8,"IQ_ST_INVEST",RR$3),0)-IFERROR(_xll.ciqfunctions.udf.CIQ($B8,"IQ_cash_equiv",RR$3),0))/_xll.ciqfunctions.udf.CIQ($B8,"IQ_TOTAL_BANK_CAPITAL",QX$3,$E$3,$J$3,,$G$3,$H$3)),"")</f>
        <v/>
      </c>
      <c r="RS8" s="628" t="str">
        <f>IFERROR(IF(OR($B8="",RS$4=""),"",(IFERROR(_xll.ciqfunctions.udf.CIQ($B8,"IQ_MARKETCAP",RS$4),0)+IFERROR(_xll.ciqfunctions.udf.CIQ($B8,"IQ_TOTAL_DEBT",RS$3),0)+IFERROR(_xll.ciqfunctions.udf.CIQ($B8,"IQ_PREF_EQUITY",RS$3),0)+IFERROR(_xll.ciqfunctions.udf.CIQ($B8,"IQ_MINORITY_INTEREST",RS$3),0)-IFERROR(_xll.ciqfunctions.udf.CIQ($B8,"IQ_ST_INVEST",RS$3),0)-IFERROR(_xll.ciqfunctions.udf.CIQ($B8,"IQ_cash_equiv",RS$3),0))/_xll.ciqfunctions.udf.CIQ($B8,"IQ_TOTAL_BANK_CAPITAL",QY$3,$E$3,$J$3,,$G$3,$H$3)),"")</f>
        <v/>
      </c>
      <c r="RT8" s="628" t="str">
        <f>IFERROR(IF(OR($B8="",RT$4=""),"",(IFERROR(_xll.ciqfunctions.udf.CIQ($B8,"IQ_MARKETCAP",RT$4),0)+IFERROR(_xll.ciqfunctions.udf.CIQ($B8,"IQ_TOTAL_DEBT",RT$3),0)+IFERROR(_xll.ciqfunctions.udf.CIQ($B8,"IQ_PREF_EQUITY",RT$3),0)+IFERROR(_xll.ciqfunctions.udf.CIQ($B8,"IQ_MINORITY_INTEREST",RT$3),0)-IFERROR(_xll.ciqfunctions.udf.CIQ($B8,"IQ_ST_INVEST",RT$3),0)-IFERROR(_xll.ciqfunctions.udf.CIQ($B8,"IQ_cash_equiv",RT$3),0))/_xll.ciqfunctions.udf.CIQ($B8,"IQ_TOTAL_BANK_CAPITAL",QZ$3,$E$3,$J$3,,$G$3,$H$3)),"")</f>
        <v/>
      </c>
      <c r="RU8" s="628" t="str">
        <f>IFERROR(IF(OR($B8="",RU$4=""),"",(IFERROR(_xll.ciqfunctions.udf.CIQ($B8,"IQ_MARKETCAP",RU$4),0)+IFERROR(_xll.ciqfunctions.udf.CIQ($B8,"IQ_TOTAL_DEBT",RU$3),0)+IFERROR(_xll.ciqfunctions.udf.CIQ($B8,"IQ_PREF_EQUITY",RU$3),0)+IFERROR(_xll.ciqfunctions.udf.CIQ($B8,"IQ_MINORITY_INTEREST",RU$3),0)-IFERROR(_xll.ciqfunctions.udf.CIQ($B8,"IQ_ST_INVEST",RU$3),0)-IFERROR(_xll.ciqfunctions.udf.CIQ($B8,"IQ_cash_equiv",RU$3),0))/_xll.ciqfunctions.udf.CIQ($B8,"IQ_TOTAL_BANK_CAPITAL",RA$3,$E$3,$J$3,,$G$3,$H$3)),"")</f>
        <v/>
      </c>
      <c r="RV8" s="628" t="str">
        <f>IFERROR(IF(OR($B8="",RV$4=""),"",(IFERROR(_xll.ciqfunctions.udf.CIQ($B8,"IQ_MARKETCAP",RV$4),0)+IFERROR(_xll.ciqfunctions.udf.CIQ($B8,"IQ_TOTAL_DEBT",RV$3),0)+IFERROR(_xll.ciqfunctions.udf.CIQ($B8,"IQ_PREF_EQUITY",RV$3),0)+IFERROR(_xll.ciqfunctions.udf.CIQ($B8,"IQ_MINORITY_INTEREST",RV$3),0)-IFERROR(_xll.ciqfunctions.udf.CIQ($B8,"IQ_ST_INVEST",RV$3),0)-IFERROR(_xll.ciqfunctions.udf.CIQ($B8,"IQ_cash_equiv",RV$3),0))/_xll.ciqfunctions.udf.CIQ($B8,"IQ_TOTAL_BANK_CAPITAL",RB$3,$E$3,$J$3,,$G$3,$H$3)),"")</f>
        <v/>
      </c>
      <c r="RW8" s="72" t="str">
        <f t="shared" si="331"/>
        <v>0</v>
      </c>
      <c r="RX8" s="72" t="str">
        <f t="shared" si="332"/>
        <v/>
      </c>
      <c r="RY8" s="72" t="str">
        <f t="shared" si="333"/>
        <v/>
      </c>
      <c r="RZ8" s="72" t="str">
        <f t="shared" si="334"/>
        <v/>
      </c>
      <c r="SA8" s="72" t="str">
        <f t="shared" si="335"/>
        <v/>
      </c>
      <c r="SB8" s="72" t="str">
        <f t="shared" si="336"/>
        <v/>
      </c>
      <c r="SC8" s="72" t="str">
        <f t="shared" si="337"/>
        <v/>
      </c>
      <c r="SD8" s="72" t="str">
        <f t="shared" si="338"/>
        <v/>
      </c>
      <c r="SE8" s="72" t="str">
        <f t="shared" si="339"/>
        <v/>
      </c>
      <c r="SF8" s="72" t="str">
        <f t="shared" si="340"/>
        <v/>
      </c>
      <c r="SG8" s="72" t="str">
        <f t="shared" si="341"/>
        <v/>
      </c>
      <c r="SH8" s="72" t="str">
        <f t="shared" si="342"/>
        <v/>
      </c>
      <c r="SI8" s="72" t="str">
        <f t="shared" si="343"/>
        <v/>
      </c>
      <c r="SJ8" s="72" t="str">
        <f t="shared" si="344"/>
        <v/>
      </c>
      <c r="SK8" s="72" t="str">
        <f t="shared" si="345"/>
        <v/>
      </c>
      <c r="SL8" s="72" t="str">
        <f t="shared" si="346"/>
        <v/>
      </c>
      <c r="SM8" s="72" t="str">
        <f t="shared" si="347"/>
        <v/>
      </c>
      <c r="SN8" s="72" t="str">
        <f t="shared" si="348"/>
        <v/>
      </c>
      <c r="SO8" s="72" t="str">
        <f t="shared" si="349"/>
        <v/>
      </c>
      <c r="SP8" s="72" t="str">
        <f t="shared" si="350"/>
        <v/>
      </c>
      <c r="SQ8" s="72">
        <f>IFERROR(IF(OR($B8="",SQ$3=""),"",_xll.ciqfunctions.udf.CIQ($B8,"IQ_TOTAL_DEPOSITS",SQ$3,$E$3, $J$3, , $G$3, $H$3)/_xll.ciqfunctions.udf.CIQ($B8,"IQ_TOTAL_ASSETS",SQ$3,$E$3, $J$3, , $G$3, $H$3)),"")</f>
        <v>0</v>
      </c>
      <c r="SR8" s="72" t="str">
        <f>IFERROR(IF(OR($B8="",SR$3=""),"",_xll.ciqfunctions.udf.CIQ($B8,"IQ_TOTAL_DEPOSITS",SR$3,$E$3, $J$3, , $G$3, $H$3)/_xll.ciqfunctions.udf.CIQ($B8,"IQ_TOTAL_ASSETS",SR$3,$E$3, $J$3, , $G$3, $H$3)),"")</f>
        <v/>
      </c>
      <c r="SS8" s="72" t="str">
        <f>IFERROR(IF(OR($B8="",SS$3=""),"",_xll.ciqfunctions.udf.CIQ($B8,"IQ_TOTAL_DEPOSITS",SS$3,$E$3, $J$3, , $G$3, $H$3)/_xll.ciqfunctions.udf.CIQ($B8,"IQ_TOTAL_ASSETS",SS$3,$E$3, $J$3, , $G$3, $H$3)),"")</f>
        <v/>
      </c>
      <c r="ST8" s="72" t="str">
        <f>IFERROR(IF(OR($B8="",ST$3=""),"",_xll.ciqfunctions.udf.CIQ($B8,"IQ_TOTAL_DEPOSITS",ST$3,$E$3, $J$3, , $G$3, $H$3)/_xll.ciqfunctions.udf.CIQ($B8,"IQ_TOTAL_ASSETS",ST$3,$E$3, $J$3, , $G$3, $H$3)),"")</f>
        <v/>
      </c>
      <c r="SU8" s="72" t="str">
        <f>IFERROR(IF(OR($B8="",SU$3=""),"",_xll.ciqfunctions.udf.CIQ($B8,"IQ_TOTAL_DEPOSITS",SU$3,$E$3, $J$3, , $G$3, $H$3)/_xll.ciqfunctions.udf.CIQ($B8,"IQ_TOTAL_ASSETS",SU$3,$E$3, $J$3, , $G$3, $H$3)),"")</f>
        <v/>
      </c>
      <c r="SV8" s="72" t="str">
        <f>IFERROR(IF(OR($B8="",SV$3=""),"",_xll.ciqfunctions.udf.CIQ($B8,"IQ_TOTAL_DEPOSITS",SV$3,$E$3, $J$3, , $G$3, $H$3)/_xll.ciqfunctions.udf.CIQ($B8,"IQ_TOTAL_ASSETS",SV$3,$E$3, $J$3, , $G$3, $H$3)),"")</f>
        <v/>
      </c>
      <c r="SW8" s="72" t="str">
        <f>IFERROR(IF(OR($B8="",SW$3=""),"",_xll.ciqfunctions.udf.CIQ($B8,"IQ_TOTAL_DEPOSITS",SW$3,$E$3, $J$3, , $G$3, $H$3)/_xll.ciqfunctions.udf.CIQ($B8,"IQ_TOTAL_ASSETS",SW$3,$E$3, $J$3, , $G$3, $H$3)),"")</f>
        <v/>
      </c>
      <c r="SX8" s="72" t="str">
        <f>IFERROR(IF(OR($B8="",SX$3=""),"",_xll.ciqfunctions.udf.CIQ($B8,"IQ_TOTAL_DEPOSITS",SX$3,$E$3, $J$3, , $G$3, $H$3)/_xll.ciqfunctions.udf.CIQ($B8,"IQ_TOTAL_ASSETS",SX$3,$E$3, $J$3, , $G$3, $H$3)),"")</f>
        <v/>
      </c>
      <c r="SY8" s="72" t="str">
        <f>IFERROR(IF(OR($B8="",SY$3=""),"",_xll.ciqfunctions.udf.CIQ($B8,"IQ_TOTAL_DEPOSITS",SY$3,$E$3, $J$3, , $G$3, $H$3)/_xll.ciqfunctions.udf.CIQ($B8,"IQ_TOTAL_ASSETS",SY$3,$E$3, $J$3, , $G$3, $H$3)),"")</f>
        <v/>
      </c>
      <c r="SZ8" s="72" t="str">
        <f>IFERROR(IF(OR($B8="",SZ$3=""),"",_xll.ciqfunctions.udf.CIQ($B8,"IQ_TOTAL_DEPOSITS",SZ$3,$E$3, $J$3, , $G$3, $H$3)/_xll.ciqfunctions.udf.CIQ($B8,"IQ_TOTAL_ASSETS",SZ$3,$E$3, $J$3, , $G$3, $H$3)),"")</f>
        <v/>
      </c>
      <c r="TA8" s="72" t="str">
        <f>IFERROR(IF(OR($B8="",TA$3=""),"",_xll.ciqfunctions.udf.CIQ($B8,"IQ_TOTAL_DEPOSITS",TA$3,$E$3, $J$3, , $G$3, $H$3)/_xll.ciqfunctions.udf.CIQ($B8,"IQ_TOTAL_ASSETS",TA$3,$E$3, $J$3, , $G$3, $H$3)),"")</f>
        <v/>
      </c>
      <c r="TB8" s="72" t="str">
        <f>IFERROR(IF(OR($B8="",TB$3=""),"",_xll.ciqfunctions.udf.CIQ($B8,"IQ_TOTAL_DEPOSITS",TB$3,$E$3, $J$3, , $G$3, $H$3)/_xll.ciqfunctions.udf.CIQ($B8,"IQ_TOTAL_ASSETS",TB$3,$E$3, $J$3, , $G$3, $H$3)),"")</f>
        <v/>
      </c>
      <c r="TC8" s="72" t="str">
        <f>IFERROR(IF(OR($B8="",TC$3=""),"",_xll.ciqfunctions.udf.CIQ($B8,"IQ_TOTAL_DEPOSITS",TC$3,$E$3, $J$3, , $G$3, $H$3)/_xll.ciqfunctions.udf.CIQ($B8,"IQ_TOTAL_ASSETS",TC$3,$E$3, $J$3, , $G$3, $H$3)),"")</f>
        <v/>
      </c>
      <c r="TD8" s="72" t="str">
        <f>IFERROR(IF(OR($B8="",TD$3=""),"",_xll.ciqfunctions.udf.CIQ($B8,"IQ_TOTAL_DEPOSITS",TD$3,$E$3, $J$3, , $G$3, $H$3)/_xll.ciqfunctions.udf.CIQ($B8,"IQ_TOTAL_ASSETS",TD$3,$E$3, $J$3, , $G$3, $H$3)),"")</f>
        <v/>
      </c>
      <c r="TE8" s="72" t="str">
        <f>IFERROR(IF(OR($B8="",TE$3=""),"",_xll.ciqfunctions.udf.CIQ($B8,"IQ_TOTAL_DEPOSITS",TE$3,$E$3, $J$3, , $G$3, $H$3)/_xll.ciqfunctions.udf.CIQ($B8,"IQ_TOTAL_ASSETS",TE$3,$E$3, $J$3, , $G$3, $H$3)),"")</f>
        <v/>
      </c>
      <c r="TF8" s="72" t="str">
        <f>IFERROR(IF(OR($B8="",TF$3=""),"",_xll.ciqfunctions.udf.CIQ($B8,"IQ_TOTAL_DEPOSITS",TF$3,$E$3, $J$3, , $G$3, $H$3)/_xll.ciqfunctions.udf.CIQ($B8,"IQ_TOTAL_ASSETS",TF$3,$E$3, $J$3, , $G$3, $H$3)),"")</f>
        <v/>
      </c>
      <c r="TG8" s="72" t="str">
        <f>IFERROR(IF(OR($B8="",TG$3=""),"",_xll.ciqfunctions.udf.CIQ($B8,"IQ_TOTAL_DEPOSITS",TG$3,$E$3, $J$3, , $G$3, $H$3)/_xll.ciqfunctions.udf.CIQ($B8,"IQ_TOTAL_ASSETS",TG$3,$E$3, $J$3, , $G$3, $H$3)),"")</f>
        <v/>
      </c>
      <c r="TH8" s="72" t="str">
        <f>IFERROR(IF(OR($B8="",TH$3=""),"",_xll.ciqfunctions.udf.CIQ($B8,"IQ_TOTAL_DEPOSITS",TH$3,$E$3, $J$3, , $G$3, $H$3)/_xll.ciqfunctions.udf.CIQ($B8,"IQ_TOTAL_ASSETS",TH$3,$E$3, $J$3, , $G$3, $H$3)),"")</f>
        <v/>
      </c>
      <c r="TI8" s="72" t="str">
        <f>IFERROR(IF(OR($B8="",TI$3=""),"",_xll.ciqfunctions.udf.CIQ($B8,"IQ_TOTAL_DEPOSITS",TI$3,$E$3, $J$3, , $G$3, $H$3)/_xll.ciqfunctions.udf.CIQ($B8,"IQ_TOTAL_ASSETS",TI$3,$E$3, $J$3, , $G$3, $H$3)),"")</f>
        <v/>
      </c>
      <c r="TJ8" s="72" t="str">
        <f>IFERROR(IF(OR($B8="",TJ$3=""),"",_xll.ciqfunctions.udf.CIQ($B8,"IQ_TOTAL_DEPOSITS",TJ$3,$E$3, $J$3, , $G$3, $H$3)/_xll.ciqfunctions.udf.CIQ($B8,"IQ_TOTAL_ASSETS",TJ$3,$E$3, $J$3, , $G$3, $H$3)),"")</f>
        <v/>
      </c>
      <c r="TK8" s="72" t="str">
        <f>IFERROR(IF(OR($B8="",TK$3="",TK$4=""),"",(_xll.ciqfunctions.udf.CIQ($B8,"IQ_TOTAL_BANK_CAPITAL",TK$3,$E$3, $J$3, , $G$3, $H$3)/_xll.ciqfunctions.udf.CIQ($B8,"IQ_TOTAL_BANK_CAPITAL",TK$4,$E$3, $J$3, , $G$3, $H$3))-1),"")</f>
        <v/>
      </c>
      <c r="TL8" s="72" t="str">
        <f>IFERROR(IF(OR($B8="",TL$3="",TL$4=""),"",(_xll.ciqfunctions.udf.CIQ($B8,"IQ_TOTAL_BANK_CAPITAL",TL$3,$E$3, $J$3, , $G$3, $H$3)/_xll.ciqfunctions.udf.CIQ($B8,"IQ_TOTAL_BANK_CAPITAL",TL$4,$E$3, $J$3, , $G$3, $H$3))-1),"")</f>
        <v/>
      </c>
      <c r="TM8" s="72" t="str">
        <f>IFERROR(IF(OR($B8="",TM$3="",TM$4=""),"",(_xll.ciqfunctions.udf.CIQ($B8,"IQ_TOTAL_BANK_CAPITAL",TM$3,$E$3, $J$3, , $G$3, $H$3)/_xll.ciqfunctions.udf.CIQ($B8,"IQ_TOTAL_BANK_CAPITAL",TM$4,$E$3, $J$3, , $G$3, $H$3))-1),"")</f>
        <v/>
      </c>
      <c r="TN8" s="72" t="str">
        <f>IFERROR(IF(OR($B8="",TN$3="",TN$4=""),"",(_xll.ciqfunctions.udf.CIQ($B8,"IQ_TOTAL_BANK_CAPITAL",TN$3,$E$3, $J$3, , $G$3, $H$3)/_xll.ciqfunctions.udf.CIQ($B8,"IQ_TOTAL_BANK_CAPITAL",TN$4,$E$3, $J$3, , $G$3, $H$3))-1),"")</f>
        <v/>
      </c>
      <c r="TO8" s="72" t="str">
        <f>IFERROR(IF(OR($B8="",TO$3="",TO$4=""),"",(_xll.ciqfunctions.udf.CIQ($B8,"IQ_TOTAL_BANK_CAPITAL",TO$3,$E$3, $J$3, , $G$3, $H$3)/_xll.ciqfunctions.udf.CIQ($B8,"IQ_TOTAL_BANK_CAPITAL",TO$4,$E$3, $J$3, , $G$3, $H$3))-1),"")</f>
        <v/>
      </c>
      <c r="TP8" s="72" t="str">
        <f>IFERROR(IF(OR($B8="",TP$3="",TP$4=""),"",(_xll.ciqfunctions.udf.CIQ($B8,"IQ_TOTAL_BANK_CAPITAL",TP$3,$E$3, $J$3, , $G$3, $H$3)/_xll.ciqfunctions.udf.CIQ($B8,"IQ_TOTAL_BANK_CAPITAL",TP$4,$E$3, $J$3, , $G$3, $H$3))-1),"")</f>
        <v/>
      </c>
      <c r="TQ8" s="72" t="str">
        <f>IFERROR(IF(OR($B8="",TQ$3="",TQ$4=""),"",(_xll.ciqfunctions.udf.CIQ($B8,"IQ_TOTAL_BANK_CAPITAL",TQ$3,$E$3, $J$3, , $G$3, $H$3)/_xll.ciqfunctions.udf.CIQ($B8,"IQ_TOTAL_BANK_CAPITAL",TQ$4,$E$3, $J$3, , $G$3, $H$3))-1),"")</f>
        <v/>
      </c>
      <c r="TR8" s="72" t="str">
        <f>IFERROR(IF(OR($B8="",TR$3="",TR$4=""),"",(_xll.ciqfunctions.udf.CIQ($B8,"IQ_TOTAL_BANK_CAPITAL",TR$3,$E$3, $J$3, , $G$3, $H$3)/_xll.ciqfunctions.udf.CIQ($B8,"IQ_TOTAL_BANK_CAPITAL",TR$4,$E$3, $J$3, , $G$3, $H$3))-1),"")</f>
        <v/>
      </c>
      <c r="TS8" s="72" t="str">
        <f>IFERROR(IF(OR($B8="",TS$3="",TS$4=""),"",(_xll.ciqfunctions.udf.CIQ($B8,"IQ_TOTAL_BANK_CAPITAL",TS$3,$E$3, $J$3, , $G$3, $H$3)/_xll.ciqfunctions.udf.CIQ($B8,"IQ_TOTAL_BANK_CAPITAL",TS$4,$E$3, $J$3, , $G$3, $H$3))-1),"")</f>
        <v/>
      </c>
      <c r="TT8" s="72" t="str">
        <f>IFERROR(IF(OR($B8="",TT$3="",TT$4=""),"",(_xll.ciqfunctions.udf.CIQ($B8,"IQ_TOTAL_BANK_CAPITAL",TT$3,$E$3, $J$3, , $G$3, $H$3)/_xll.ciqfunctions.udf.CIQ($B8,"IQ_TOTAL_BANK_CAPITAL",TT$4,$E$3, $J$3, , $G$3, $H$3))-1),"")</f>
        <v/>
      </c>
      <c r="TU8" s="72" t="str">
        <f>IFERROR(IF(OR($B8="",TU$3="",TU$4=""),"",(_xll.ciqfunctions.udf.CIQ($B8,"IQ_TOTAL_BANK_CAPITAL",TU$3,$E$3, $J$3, , $G$3, $H$3)/_xll.ciqfunctions.udf.CIQ($B8,"IQ_TOTAL_BANK_CAPITAL",TU$4,$E$3, $J$3, , $G$3, $H$3))-1),"")</f>
        <v/>
      </c>
      <c r="TV8" s="72" t="str">
        <f>IFERROR(IF(OR($B8="",TV$3="",TV$4=""),"",(_xll.ciqfunctions.udf.CIQ($B8,"IQ_TOTAL_BANK_CAPITAL",TV$3,$E$3, $J$3, , $G$3, $H$3)/_xll.ciqfunctions.udf.CIQ($B8,"IQ_TOTAL_BANK_CAPITAL",TV$4,$E$3, $J$3, , $G$3, $H$3))-1),"")</f>
        <v/>
      </c>
      <c r="TW8" s="72" t="str">
        <f>IFERROR(IF(OR($B8="",TW$3="",TW$4=""),"",(_xll.ciqfunctions.udf.CIQ($B8,"IQ_TOTAL_BANK_CAPITAL",TW$3,$E$3, $J$3, , $G$3, $H$3)/_xll.ciqfunctions.udf.CIQ($B8,"IQ_TOTAL_BANK_CAPITAL",TW$4,$E$3, $J$3, , $G$3, $H$3))-1),"")</f>
        <v/>
      </c>
      <c r="TX8" s="72" t="str">
        <f>IFERROR(IF(OR($B8="",TX$3="",TX$4=""),"",(_xll.ciqfunctions.udf.CIQ($B8,"IQ_TOTAL_BANK_CAPITAL",TX$3,$E$3, $J$3, , $G$3, $H$3)/_xll.ciqfunctions.udf.CIQ($B8,"IQ_TOTAL_BANK_CAPITAL",TX$4,$E$3, $J$3, , $G$3, $H$3))-1),"")</f>
        <v/>
      </c>
      <c r="TY8" s="72" t="str">
        <f>IFERROR(IF(OR($B8="",TY$3="",TY$4=""),"",(_xll.ciqfunctions.udf.CIQ($B8,"IQ_TOTAL_BANK_CAPITAL",TY$3,$E$3, $J$3, , $G$3, $H$3)/_xll.ciqfunctions.udf.CIQ($B8,"IQ_TOTAL_BANK_CAPITAL",TY$4,$E$3, $J$3, , $G$3, $H$3))-1),"")</f>
        <v/>
      </c>
      <c r="TZ8" s="72" t="str">
        <f>IFERROR(IF(OR($B8="",TZ$3="",TZ$4=""),"",(_xll.ciqfunctions.udf.CIQ($B8,"IQ_TOTAL_BANK_CAPITAL",TZ$3,$E$3, $J$3, , $G$3, $H$3)/_xll.ciqfunctions.udf.CIQ($B8,"IQ_TOTAL_BANK_CAPITAL",TZ$4,$E$3, $J$3, , $G$3, $H$3))-1),"")</f>
        <v/>
      </c>
      <c r="UA8" s="72" t="str">
        <f>IFERROR(IF(OR($B8="",UA$3="",UA$4=""),"",(_xll.ciqfunctions.udf.CIQ($B8,"IQ_TOTAL_BANK_CAPITAL",UA$3,$E$3, $J$3, , $G$3, $H$3)/_xll.ciqfunctions.udf.CIQ($B8,"IQ_TOTAL_BANK_CAPITAL",UA$4,$E$3, $J$3, , $G$3, $H$3))-1),"")</f>
        <v/>
      </c>
      <c r="UB8" s="72" t="str">
        <f>IFERROR(IF(OR($B8="",UB$3="",UB$4=""),"",(_xll.ciqfunctions.udf.CIQ($B8,"IQ_TOTAL_BANK_CAPITAL",UB$3,$E$3, $J$3, , $G$3, $H$3)/_xll.ciqfunctions.udf.CIQ($B8,"IQ_TOTAL_BANK_CAPITAL",UB$4,$E$3, $J$3, , $G$3, $H$3))-1),"")</f>
        <v/>
      </c>
      <c r="UC8" s="72" t="str">
        <f>IFERROR(IF(OR($B8="",UC$3="",UC$4=""),"",(_xll.ciqfunctions.udf.CIQ($B8,"IQ_TOTAL_BANK_CAPITAL",UC$3,$E$3, $J$3, , $G$3, $H$3)/_xll.ciqfunctions.udf.CIQ($B8,"IQ_TOTAL_BANK_CAPITAL",UC$4,$E$3, $J$3, , $G$3, $H$3))-1),"")</f>
        <v/>
      </c>
      <c r="UD8" s="72" t="str">
        <f>IFERROR(IF(OR($B8="",UD$3="",UD$4=""),"",(_xll.ciqfunctions.udf.CIQ($B8,"IQ_TOTAL_BANK_CAPITAL",UD$3,$E$3, $J$3, , $G$3, $H$3)/_xll.ciqfunctions.udf.CIQ($B8,"IQ_TOTAL_BANK_CAPITAL",UD$4,$E$3, $J$3, , $G$3, $H$3))-1),"")</f>
        <v/>
      </c>
      <c r="UE8" s="86">
        <f>IFERROR(IF(OR($B8="",UE$3=""),"",(_xll.ciqfunctions.udf.CIQ($B8,"IQ_TOTAL_CAPITAL_RATIO",UE$3,$E$3, $J$3, , $G$3, $H$3) - _xll.ciqfunctions.udf.CIQ($B8,"IQ_TIER_ONE_RATIO",UE$3,$E$3, $J$3, , $G$3, $H$3))/100),"")</f>
        <v>0</v>
      </c>
      <c r="UF8" s="87" t="str">
        <f>IFERROR(IF(OR($B8="",UF$3=""),"",(_xll.ciqfunctions.udf.CIQ($B8,"IQ_TOTAL_CAPITAL_RATIO",UF$3,$E$3, $J$3, , $G$3, $H$3) - _xll.ciqfunctions.udf.CIQ($B8,"IQ_TIER_ONE_RATIO",UF$3,$E$3, $J$3, , $G$3, $H$3))/100),"")</f>
        <v/>
      </c>
      <c r="UG8" s="87" t="str">
        <f>IFERROR(IF(OR($B8="",UG$3=""),"",(_xll.ciqfunctions.udf.CIQ($B8,"IQ_TOTAL_CAPITAL_RATIO",UG$3,$E$3, $J$3, , $G$3, $H$3) - _xll.ciqfunctions.udf.CIQ($B8,"IQ_TIER_ONE_RATIO",UG$3,$E$3, $J$3, , $G$3, $H$3))/100),"")</f>
        <v/>
      </c>
      <c r="UH8" s="87" t="str">
        <f>IFERROR(IF(OR($B8="",UH$3=""),"",(_xll.ciqfunctions.udf.CIQ($B8,"IQ_TOTAL_CAPITAL_RATIO",UH$3,$E$3, $J$3, , $G$3, $H$3) - _xll.ciqfunctions.udf.CIQ($B8,"IQ_TIER_ONE_RATIO",UH$3,$E$3, $J$3, , $G$3, $H$3))/100),"")</f>
        <v/>
      </c>
      <c r="UI8" s="87" t="str">
        <f>IFERROR(IF(OR($B8="",UI$3=""),"",(_xll.ciqfunctions.udf.CIQ($B8,"IQ_TOTAL_CAPITAL_RATIO",UI$3,$E$3, $J$3, , $G$3, $H$3) - _xll.ciqfunctions.udf.CIQ($B8,"IQ_TIER_ONE_RATIO",UI$3,$E$3, $J$3, , $G$3, $H$3))/100),"")</f>
        <v/>
      </c>
      <c r="UJ8" s="87" t="str">
        <f>IFERROR(IF(OR($B8="",UJ$3=""),"",(_xll.ciqfunctions.udf.CIQ($B8,"IQ_TOTAL_CAPITAL_RATIO",UJ$3,$E$3, $J$3, , $G$3, $H$3) - _xll.ciqfunctions.udf.CIQ($B8,"IQ_TIER_ONE_RATIO",UJ$3,$E$3, $J$3, , $G$3, $H$3))/100),"")</f>
        <v/>
      </c>
      <c r="UK8" s="87" t="str">
        <f>IFERROR(IF(OR($B8="",UK$3=""),"",(_xll.ciqfunctions.udf.CIQ($B8,"IQ_TOTAL_CAPITAL_RATIO",UK$3,$E$3, $J$3, , $G$3, $H$3) - _xll.ciqfunctions.udf.CIQ($B8,"IQ_TIER_ONE_RATIO",UK$3,$E$3, $J$3, , $G$3, $H$3))/100),"")</f>
        <v/>
      </c>
      <c r="UL8" s="87" t="str">
        <f>IFERROR(IF(OR($B8="",UL$3=""),"",(_xll.ciqfunctions.udf.CIQ($B8,"IQ_TOTAL_CAPITAL_RATIO",UL$3,$E$3, $J$3, , $G$3, $H$3) - _xll.ciqfunctions.udf.CIQ($B8,"IQ_TIER_ONE_RATIO",UL$3,$E$3, $J$3, , $G$3, $H$3))/100),"")</f>
        <v/>
      </c>
      <c r="UM8" s="87" t="str">
        <f>IFERROR(IF(OR($B8="",UM$3=""),"",(_xll.ciqfunctions.udf.CIQ($B8,"IQ_TOTAL_CAPITAL_RATIO",UM$3,$E$3, $J$3, , $G$3, $H$3) - _xll.ciqfunctions.udf.CIQ($B8,"IQ_TIER_ONE_RATIO",UM$3,$E$3, $J$3, , $G$3, $H$3))/100),"")</f>
        <v/>
      </c>
      <c r="UN8" s="87" t="str">
        <f>IFERROR(IF(OR($B8="",UN$3=""),"",(_xll.ciqfunctions.udf.CIQ($B8,"IQ_TOTAL_CAPITAL_RATIO",UN$3,$E$3, $J$3, , $G$3, $H$3) - _xll.ciqfunctions.udf.CIQ($B8,"IQ_TIER_ONE_RATIO",UN$3,$E$3, $J$3, , $G$3, $H$3))/100),"")</f>
        <v/>
      </c>
      <c r="UO8" s="87" t="str">
        <f>IFERROR(IF(OR($B8="",UO$3=""),"",(_xll.ciqfunctions.udf.CIQ($B8,"IQ_TOTAL_CAPITAL_RATIO",UO$3,$E$3, $J$3, , $G$3, $H$3) - _xll.ciqfunctions.udf.CIQ($B8,"IQ_TIER_ONE_RATIO",UO$3,$E$3, $J$3, , $G$3, $H$3))/100),"")</f>
        <v/>
      </c>
      <c r="UP8" s="87" t="str">
        <f>IFERROR(IF(OR($B8="",UP$3=""),"",(_xll.ciqfunctions.udf.CIQ($B8,"IQ_TOTAL_CAPITAL_RATIO",UP$3,$E$3, $J$3, , $G$3, $H$3) - _xll.ciqfunctions.udf.CIQ($B8,"IQ_TIER_ONE_RATIO",UP$3,$E$3, $J$3, , $G$3, $H$3))/100),"")</f>
        <v/>
      </c>
      <c r="UQ8" s="87" t="str">
        <f>IFERROR(IF(OR($B8="",UQ$3=""),"",(_xll.ciqfunctions.udf.CIQ($B8,"IQ_TOTAL_CAPITAL_RATIO",UQ$3,$E$3, $J$3, , $G$3, $H$3) - _xll.ciqfunctions.udf.CIQ($B8,"IQ_TIER_ONE_RATIO",UQ$3,$E$3, $J$3, , $G$3, $H$3))/100),"")</f>
        <v/>
      </c>
      <c r="UR8" s="87" t="str">
        <f>IFERROR(IF(OR($B8="",UR$3=""),"",(_xll.ciqfunctions.udf.CIQ($B8,"IQ_TOTAL_CAPITAL_RATIO",UR$3,$E$3, $J$3, , $G$3, $H$3) - _xll.ciqfunctions.udf.CIQ($B8,"IQ_TIER_ONE_RATIO",UR$3,$E$3, $J$3, , $G$3, $H$3))/100),"")</f>
        <v/>
      </c>
      <c r="US8" s="87" t="str">
        <f>IFERROR(IF(OR($B8="",US$3=""),"",(_xll.ciqfunctions.udf.CIQ($B8,"IQ_TOTAL_CAPITAL_RATIO",US$3,$E$3, $J$3, , $G$3, $H$3) - _xll.ciqfunctions.udf.CIQ($B8,"IQ_TIER_ONE_RATIO",US$3,$E$3, $J$3, , $G$3, $H$3))/100),"")</f>
        <v/>
      </c>
      <c r="UT8" s="87" t="str">
        <f>IFERROR(IF(OR($B8="",UT$3=""),"",(_xll.ciqfunctions.udf.CIQ($B8,"IQ_TOTAL_CAPITAL_RATIO",UT$3,$E$3, $J$3, , $G$3, $H$3) - _xll.ciqfunctions.udf.CIQ($B8,"IQ_TIER_ONE_RATIO",UT$3,$E$3, $J$3, , $G$3, $H$3))/100),"")</f>
        <v/>
      </c>
      <c r="UU8" s="87" t="str">
        <f>IFERROR(IF(OR($B8="",UU$3=""),"",(_xll.ciqfunctions.udf.CIQ($B8,"IQ_TOTAL_CAPITAL_RATIO",UU$3,$E$3, $J$3, , $G$3, $H$3) - _xll.ciqfunctions.udf.CIQ($B8,"IQ_TIER_ONE_RATIO",UU$3,$E$3, $J$3, , $G$3, $H$3))/100),"")</f>
        <v/>
      </c>
      <c r="UV8" s="87" t="str">
        <f>IFERROR(IF(OR($B8="",UV$3=""),"",(_xll.ciqfunctions.udf.CIQ($B8,"IQ_TOTAL_CAPITAL_RATIO",UV$3,$E$3, $J$3, , $G$3, $H$3) - _xll.ciqfunctions.udf.CIQ($B8,"IQ_TIER_ONE_RATIO",UV$3,$E$3, $J$3, , $G$3, $H$3))/100),"")</f>
        <v/>
      </c>
      <c r="UW8" s="87" t="str">
        <f>IFERROR(IF(OR($B8="",UW$3=""),"",(_xll.ciqfunctions.udf.CIQ($B8,"IQ_TOTAL_CAPITAL_RATIO",UW$3,$E$3, $J$3, , $G$3, $H$3) - _xll.ciqfunctions.udf.CIQ($B8,"IQ_TIER_ONE_RATIO",UW$3,$E$3, $J$3, , $G$3, $H$3))/100),"")</f>
        <v/>
      </c>
      <c r="UX8" s="88" t="str">
        <f>IFERROR(IF(OR($B8="",UX$3=""),"",(_xll.ciqfunctions.udf.CIQ($B8,"IQ_TOTAL_CAPITAL_RATIO",UX$3,$E$3, $J$3, , $G$3, $H$3) - _xll.ciqfunctions.udf.CIQ($B8,"IQ_TIER_ONE_RATIO",UX$3,$E$3, $J$3, , $G$3, $H$3))/100),"")</f>
        <v/>
      </c>
    </row>
    <row r="9" spans="1:570" ht="15" customHeight="1" x14ac:dyDescent="0.2">
      <c r="A9" s="218" t="str">
        <f>IF(B9="","",_xll.ciqfunctions.udf.CIQ($B9,"IQ_COMPANY_NAME"))</f>
        <v/>
      </c>
      <c r="B9" s="272" t="str">
        <f>IF(Input!B21="","",Input!B21)</f>
        <v/>
      </c>
      <c r="C9" s="272">
        <f>Input!E21</f>
        <v>0</v>
      </c>
      <c r="D9" s="269" t="str">
        <f>IF(B9="","",_xll.ciqfunctions.udf.CIQ($B9,"IQ_PRIMARY_INDUSTRY"))</f>
        <v/>
      </c>
      <c r="E9" s="219" t="str">
        <f>IF($B9="","",IF(NOT(ISNUMBER(_xll.ciqfunctions.udf.CIQ($B9, "IQ_CLOSEPRICE", $E$3, $G$3, $H$3))),"",_xll.ciqfunctions.udf.CIQ($B9, "IQ_CLOSEPRICE", $E$3, $G$3, $H$3)))</f>
        <v/>
      </c>
      <c r="F9" s="219" t="str">
        <f>IF($B9="","",IF(NOT(ISNUMBER(_xll.ciqfunctions.udf.CIQ($B9, "IQ_CLOSEPRICE", $E$4, $G$3, $H$3))),"",_xll.ciqfunctions.udf.CIQ($B9, "IQ_CLOSEPRICE", $E$4, $G$3, $H$3)))</f>
        <v/>
      </c>
      <c r="G9" s="220" t="str">
        <f t="shared" ref="G9:G17" si="351">IFERROR((E9-F9)/F9,"")</f>
        <v/>
      </c>
      <c r="H9" s="220" t="str">
        <f>IFERROR(IF($B9="","",_xll.ciqfunctions.udf.CIQ($B9, "IQ_TOTAL_REV_1YR_ANN_GROWTH", $I$3, $E$3, $J$3)/100),"")</f>
        <v/>
      </c>
      <c r="I9" s="220" t="str">
        <f>IFERROR(IF($B9="","",_xll.ciqfunctions.udf.CIQ($B9,"IQ_NET_INT_INC_BNK",$I$3, $E$3, $J$3, , $G$3, $H$3)/_xll.ciqfunctions.udf.CIQ($B9,"IQ_GROSS_LOANS",$I$3, $E$3, $J$3, , $G$3, $H$3)),"")</f>
        <v/>
      </c>
      <c r="J9" s="220" t="str">
        <f>IFERROR(IF(B9="","",_xll.ciqfunctions.udf.CIQ($B9,"IQ_EBT",$I$3, $E$3, $J$3, , $G$3, $H$3)/_xll.ciqfunctions.udf.CIQ($B9,"IQ_TOTAL_REVENUE",$I$3, $E$3, $J$3, , $G$3, $H$3)),"")</f>
        <v/>
      </c>
      <c r="K9" s="220" t="str">
        <f>IFERROR(IF(B9="","",_xll.ciqfunctions.udf.CIQ($B9,"IQ_NI_MARGIN",$I$3, $E$3, $J$3, , $G$3, $H$3)/100),"")</f>
        <v/>
      </c>
      <c r="L9" s="220" t="str">
        <f>IFERROR(IF($B9="","",_xll.ciqfunctions.udf.CIQ($B9,"IQ_NI",$I$3, $E$3, $J$3, , $G$3, $H$3)/(0.5*(_xll.ciqfunctions.udf.CIQ($B9,"IQ_TOTAL_ASSETS",$I$3, $E$3, $J$3, , $G$3, $H$3)+_xll.ciqfunctions.udf.CIQ($B9,"IQ_TOTAL_ASSETS",$I$3 &amp; "-4", $E$3, $J$3, , $G$3, $H$3)))),"")</f>
        <v/>
      </c>
      <c r="M9" s="220" t="str">
        <f>IFERROR(_xll.ciqfunctions.udf.CIQ($B9,"IQ_NI",$I$3, $E$3, $J$3, , $G$3, $H$3)/(_xll.ciqfunctions.udf.CIQ($B9,"IQ_TOTAL_ASSETS",$I$3, $E$3, $J$3, , $G$3, $H$3)+_xll.ciqfunctions.udf.CIQ($B9,"IQ_TOTAL_ASSETS",$I$3 &amp; "-4", $E$3, $J$3, , $G$3, $H$3)-_xll.ciqfunctions.udf.CIQ($B9,"IQ_TOTAL_CL",$I$3, $E$3, $J$3, , $G$3, $H$3)-_xll.ciqfunctions.udf.CIQ($B9,"IQ_TOTAL_CL",$I$3 &amp; "-4", $E$3, $J$3, , $G$3, $H$3)),"")</f>
        <v/>
      </c>
      <c r="N9" s="220" t="str">
        <f>IFERROR(IF($B9="","",_xll.ciqfunctions.udf.CIQ($B9,"IQ_NI",$I$3, $E$3, $J$3, , $G$3, $H$3)/(0.5*(_xll.ciqfunctions.udf.CIQ($B9,"IQ_TOTAL_EQUITY",$I$3, $E$3, $J$3, , $G$3, $H$3)+_xll.ciqfunctions.udf.CIQ($B9,"IQ_TOTAL_EQUITY",$I$3 &amp; "-4", $E$3, $J$3, , $G$3, $H$3)))),"")</f>
        <v/>
      </c>
      <c r="O9" s="222" t="str">
        <f>IFERROR(IF($B9="","",(_xll.ciqfunctions.udf.CIQ($B9,"IQ_TIER_ONE_CAPITAL",$I$3, $E$3, $J$3, , $G$3, $H$3)+_xll.ciqfunctions.udf.CIQ($B9,"IQ_TIER_TWO_CAPITAL",$I$3, $E$3, $J$3, , $G$3, $H$3)-_xll.ciqfunctions.udf.CIQ($B9,"IQ_GW",$I$3, $E$3, $J$3, , $G$3, $H$3))/_xll.ciqfunctions.udf.CIQ($B9,"IQ_RISK_ADJ_BANK_ASSETS",$I$3, $E$3, $J$3, , $G$3, $H$3)),"")</f>
        <v/>
      </c>
      <c r="P9" s="222" t="str">
        <f>IFERROR(IF($B9="","",(_xll.ciqfunctions.udf.CIQ($B9,"IQ_TIER_ONE_CAPITAL",$I$3, $E$3, $J$3, , $G$3, $H$3)+_xll.ciqfunctions.udf.CIQ($B9,"IQ_TIER_TWO_CAPITAL",$I$3, $E$3, $J$3, , $G$3, $H$3))/_xll.ciqfunctions.udf.CIQ($B9,"IQ_TOTAL_ASSETS",$I$3, $E$3, $J$3, , $G$3, $H$3)),"")</f>
        <v/>
      </c>
      <c r="Q9" s="220" t="str">
        <f>IFERROR(IF(B9="","",_xll.ciqfunctions.udf.CIQ($B9,"IQ_TIER_ONE_RATIO",$I$3, $E$3, $J$3, , $G$3, $H$3)/100),"")</f>
        <v/>
      </c>
      <c r="R9" s="220" t="str">
        <f t="shared" si="330"/>
        <v/>
      </c>
      <c r="S9" s="220" t="str">
        <f>IFERROR(IF(B9="","",_xll.ciqfunctions.udf.CIQ($B9,"IQ_TOTAL_CAPITAL_RATIO",$I$3, $E$3, $J$3, , $G$3, $H$3)/100),"")</f>
        <v/>
      </c>
      <c r="T9" s="220" t="str">
        <f>IFERROR(IF($B9="","",_xll.ciqfunctions.udf.CIQ($B9,"IQ_NON_PERF_LOANS_TOTAL_LOANS",$I$3, $E$3, $J$3, , $G$3, $H$3)/100),"")</f>
        <v/>
      </c>
      <c r="U9" s="222" t="str">
        <f>IFERROR(IF($B9="","",-_xll.ciqfunctions.udf.CIQ($B9,"IQ_ALLOW_LL",$I$3, $E$3, $J$3, , $G$3, $H$3)/_xll.ciqfunctions.udf.CIQ($B9,"IQ_TOTAL_LOANS",$I$3, $E$3, $J$3, , $G$3, $H$3)),"")</f>
        <v/>
      </c>
      <c r="V9" s="220" t="str">
        <f>IFERROR(IF($B9="","",_xll.ciqfunctions.udf.CIQ($B9,"IQ_LL",$I$3, $E$3, $J$3, , $G$3, $H$3)/_xll.ciqfunctions.udf.CIQ($B9,"IQ_NET_LOANS",$I$3, $E$3, $J$3, , $G$3, $H$3)),"")</f>
        <v/>
      </c>
      <c r="W9" s="220" t="str">
        <f>IFERROR(IF(B9="","",_xll.ciqfunctions.udf.CIQ($B9,"IQ_NET_LOANS",$I$3, $E$3, $J$3, , $G$3, $H$3)/_xll.ciqfunctions.udf.CIQ($B9,"IQ_TOTAL_ASSETS",$I$3, $E$3, $J$3, , $G$3, $H$3)),"")</f>
        <v/>
      </c>
      <c r="X9" s="222" t="str">
        <f>IFERROR(IF($B9="","",_xll.ciqfunctions.udf.CIQ($B9,"IQ_TOTAL_LOANS",$I$3, $E$3, $J$3, , $G$3, $H$3)/_xll.ciqfunctions.udf.CIQ($B9,"IQ_TOTAL_DEPOSITS",$I$3, $E$3, $J$3, , $G$3, $H$3)),"")</f>
        <v/>
      </c>
      <c r="Y9" s="220" t="str">
        <f>IFERROR(IF($B9="","",_xll.ciqfunctions.udf.CIQ($B9,"IQ_TOTAL_DEPOSITS",$I$3, $E$3, $J$3, , $G$3, $H$3)/_xll.ciqfunctions.udf.CIQ($B9,"IQ_TOTAL_ASSETS",$I$3, $E$3, $J$3, , $G$3, $H$3)),"")</f>
        <v/>
      </c>
      <c r="Z9" s="221" t="str">
        <f>IFERROR(IF(B9="","",_xll.ciqfunctions.udf.CIQ($B9,"IQ_TOTAL_ASSETS",IQ_LTM)/_xll.ciqfunctions.udf.CIQ($B9,"IQ_TOTAL_COMMON_EQUITY",IQ_LTM)),"")</f>
        <v/>
      </c>
      <c r="AA9" s="222" t="str">
        <f>IFERROR(IF($B9="","",_xll.ciqfunctions.udf.CIQ($B9,"IQ_CASH_OPER",$I$3, $E$3, $J$3, , $G$3, $H$3)*2/(_xll.ciqfunctions.udf.CIQ($B9,"IQ_TOTAL_CL",$I$3, $E$3, $J$3, , $G$3, $H$3)+_xll.ciqfunctions.udf.CIQ($B9,"IQ_TOTAL_CL",$I$3 &amp; "-4", $E$3, $J$3, , $G$3, $H$3))),"")</f>
        <v/>
      </c>
      <c r="AB9" s="222" t="str">
        <f>IFERROR(IF($B9="","",_xll.ciqfunctions.udf.CIQ($B9,"IQ_NON_PERFORMING_LOANS",$I$3, $E$3, $J$3, , $G$3, $H$3)/_xll.ciqfunctions.udf.CIQ($B9,"IQ_TOTAL_EQUITY",$I$3, $E$3, $J$3, , $G$3, $H$3)),"")</f>
        <v/>
      </c>
      <c r="AC9" s="1021" t="str">
        <f>IF(B9="","",IF(NOT(ISNUMBER(_xll.ciqfunctions.udf.CIQ($B9,"IQ_Z_SCORE",$I$3, $E$3, $J$3, , $G$3, $H$3))),"",_xll.ciqfunctions.udf.CIQ($B9,"IQ_Z_SCORE",$I$3, $E$3, $J$3, , $G$3, $H$3)))</f>
        <v/>
      </c>
      <c r="AD9" s="19"/>
      <c r="AE9" s="86" t="str">
        <f>IFERROR(IF(OR($B9="",AE$3=""),"",_xll.ciqfunctions.udf.CIQ($B9,"IQ_NET_INT_INC_BNK",AE$3,$E$3, $J$3, , $G$3, $H$3)*2/(_xll.ciqfunctions.udf.CIQ($B9,"IQ_GROSS_LOANS",AE$3,$E$3, $J$3, , $G$3, $H$3)+_xll.ciqfunctions.udf.CIQ($B9,"IQ_GROSS_LOANS", "IQ_" &amp; LEFT(AE$3,2) &amp; "-1",AE$3, $J$3, , $G$3, $H$3))),"")</f>
        <v/>
      </c>
      <c r="AF9" s="87" t="str">
        <f>IFERROR(IF(OR($B9="",AF$3=""),"",_xll.ciqfunctions.udf.CIQ($B9,"IQ_NET_INT_INC_BNK",AF$3,$E$3, $J$3, , $G$3, $H$3)*2/(_xll.ciqfunctions.udf.CIQ($B9,"IQ_GROSS_LOANS",AF$3,$E$3, $J$3, , $G$3, $H$3)+_xll.ciqfunctions.udf.CIQ($B9,"IQ_GROSS_LOANS", "IQ_" &amp; LEFT(AF$3,2) &amp; "-1",AF$3, $J$3, , $G$3, $H$3))),"")</f>
        <v/>
      </c>
      <c r="AG9" s="87" t="str">
        <f>IFERROR(IF(OR($B9="",AG$3=""),"",_xll.ciqfunctions.udf.CIQ($B9,"IQ_NET_INT_INC_BNK",AG$3,$E$3, $J$3, , $G$3, $H$3)*2/(_xll.ciqfunctions.udf.CIQ($B9,"IQ_GROSS_LOANS",AG$3,$E$3, $J$3, , $G$3, $H$3)+_xll.ciqfunctions.udf.CIQ($B9,"IQ_GROSS_LOANS", "IQ_" &amp; LEFT(AG$3,2) &amp; "-1",AG$3, $J$3, , $G$3, $H$3))),"")</f>
        <v/>
      </c>
      <c r="AH9" s="87" t="str">
        <f>IFERROR(IF(OR($B9="",AH$3=""),"",_xll.ciqfunctions.udf.CIQ($B9,"IQ_NET_INT_INC_BNK",AH$3,$E$3, $J$3, , $G$3, $H$3)*2/(_xll.ciqfunctions.udf.CIQ($B9,"IQ_GROSS_LOANS",AH$3,$E$3, $J$3, , $G$3, $H$3)+_xll.ciqfunctions.udf.CIQ($B9,"IQ_GROSS_LOANS", "IQ_" &amp; LEFT(AH$3,2) &amp; "-1",AH$3, $J$3, , $G$3, $H$3))),"")</f>
        <v/>
      </c>
      <c r="AI9" s="87" t="str">
        <f>IFERROR(IF(OR($B9="",AI$3=""),"",_xll.ciqfunctions.udf.CIQ($B9,"IQ_NET_INT_INC_BNK",AI$3,$E$3, $J$3, , $G$3, $H$3)*2/(_xll.ciqfunctions.udf.CIQ($B9,"IQ_GROSS_LOANS",AI$3,$E$3, $J$3, , $G$3, $H$3)+_xll.ciqfunctions.udf.CIQ($B9,"IQ_GROSS_LOANS", "IQ_" &amp; LEFT(AI$3,2) &amp; "-1",AI$3, $J$3, , $G$3, $H$3))),"")</f>
        <v/>
      </c>
      <c r="AJ9" s="87" t="str">
        <f>IFERROR(IF(OR($B9="",AJ$3=""),"",_xll.ciqfunctions.udf.CIQ($B9,"IQ_NET_INT_INC_BNK",AJ$3,$E$3, $J$3, , $G$3, $H$3)*2/(_xll.ciqfunctions.udf.CIQ($B9,"IQ_GROSS_LOANS",AJ$3,$E$3, $J$3, , $G$3, $H$3)+_xll.ciqfunctions.udf.CIQ($B9,"IQ_GROSS_LOANS", "IQ_" &amp; LEFT(AJ$3,2) &amp; "-1",AJ$3, $J$3, , $G$3, $H$3))),"")</f>
        <v/>
      </c>
      <c r="AK9" s="87" t="str">
        <f>IFERROR(IF(OR($B9="",AK$3=""),"",_xll.ciqfunctions.udf.CIQ($B9,"IQ_NET_INT_INC_BNK",AK$3,$E$3, $J$3, , $G$3, $H$3)*2/(_xll.ciqfunctions.udf.CIQ($B9,"IQ_GROSS_LOANS",AK$3,$E$3, $J$3, , $G$3, $H$3)+_xll.ciqfunctions.udf.CIQ($B9,"IQ_GROSS_LOANS", "IQ_" &amp; LEFT(AK$3,2) &amp; "-1",AK$3, $J$3, , $G$3, $H$3))),"")</f>
        <v/>
      </c>
      <c r="AL9" s="87" t="str">
        <f>IFERROR(IF(OR($B9="",AL$3=""),"",_xll.ciqfunctions.udf.CIQ($B9,"IQ_NET_INT_INC_BNK",AL$3,$E$3, $J$3, , $G$3, $H$3)*2/(_xll.ciqfunctions.udf.CIQ($B9,"IQ_GROSS_LOANS",AL$3,$E$3, $J$3, , $G$3, $H$3)+_xll.ciqfunctions.udf.CIQ($B9,"IQ_GROSS_LOANS", "IQ_" &amp; LEFT(AL$3,2) &amp; "-1",AL$3, $J$3, , $G$3, $H$3))),"")</f>
        <v/>
      </c>
      <c r="AM9" s="87" t="str">
        <f>IFERROR(IF(OR($B9="",AM$3=""),"",_xll.ciqfunctions.udf.CIQ($B9,"IQ_NET_INT_INC_BNK",AM$3,$E$3, $J$3, , $G$3, $H$3)*2/(_xll.ciqfunctions.udf.CIQ($B9,"IQ_GROSS_LOANS",AM$3,$E$3, $J$3, , $G$3, $H$3)+_xll.ciqfunctions.udf.CIQ($B9,"IQ_GROSS_LOANS", "IQ_" &amp; LEFT(AM$3,2) &amp; "-1",AM$3, $J$3, , $G$3, $H$3))),"")</f>
        <v/>
      </c>
      <c r="AN9" s="87" t="str">
        <f>IFERROR(IF(OR($B9="",AN$3=""),"",_xll.ciqfunctions.udf.CIQ($B9,"IQ_NET_INT_INC_BNK",AN$3,$E$3, $J$3, , $G$3, $H$3)*2/(_xll.ciqfunctions.udf.CIQ($B9,"IQ_GROSS_LOANS",AN$3,$E$3, $J$3, , $G$3, $H$3)+_xll.ciqfunctions.udf.CIQ($B9,"IQ_GROSS_LOANS", "IQ_" &amp; LEFT(AN$3,2) &amp; "-1",AN$3, $J$3, , $G$3, $H$3))),"")</f>
        <v/>
      </c>
      <c r="AO9" s="87" t="str">
        <f>IFERROR(IF(OR($B9="",AO$3=""),"",_xll.ciqfunctions.udf.CIQ($B9,"IQ_NET_INT_INC_BNK",AO$3,$E$3, $J$3, , $G$3, $H$3)*2/(_xll.ciqfunctions.udf.CIQ($B9,"IQ_GROSS_LOANS",AO$3,$E$3, $J$3, , $G$3, $H$3)+_xll.ciqfunctions.udf.CIQ($B9,"IQ_GROSS_LOANS", "IQ_" &amp; LEFT(AO$3,2) &amp; "-1",AO$3, $J$3, , $G$3, $H$3))),"")</f>
        <v/>
      </c>
      <c r="AP9" s="87" t="str">
        <f>IFERROR(IF(OR($B9="",AP$3=""),"",_xll.ciqfunctions.udf.CIQ($B9,"IQ_NET_INT_INC_BNK",AP$3,$E$3, $J$3, , $G$3, $H$3)*2/(_xll.ciqfunctions.udf.CIQ($B9,"IQ_GROSS_LOANS",AP$3,$E$3, $J$3, , $G$3, $H$3)+_xll.ciqfunctions.udf.CIQ($B9,"IQ_GROSS_LOANS", "IQ_" &amp; LEFT(AP$3,2) &amp; "-1",AP$3, $J$3, , $G$3, $H$3))),"")</f>
        <v/>
      </c>
      <c r="AQ9" s="87" t="str">
        <f>IFERROR(IF(OR($B9="",AQ$3=""),"",_xll.ciqfunctions.udf.CIQ($B9,"IQ_NET_INT_INC_BNK",AQ$3,$E$3, $J$3, , $G$3, $H$3)*2/(_xll.ciqfunctions.udf.CIQ($B9,"IQ_GROSS_LOANS",AQ$3,$E$3, $J$3, , $G$3, $H$3)+_xll.ciqfunctions.udf.CIQ($B9,"IQ_GROSS_LOANS", "IQ_" &amp; LEFT(AQ$3,2) &amp; "-1",AQ$3, $J$3, , $G$3, $H$3))),"")</f>
        <v/>
      </c>
      <c r="AR9" s="87" t="str">
        <f>IFERROR(IF(OR($B9="",AR$3=""),"",_xll.ciqfunctions.udf.CIQ($B9,"IQ_NET_INT_INC_BNK",AR$3,$E$3, $J$3, , $G$3, $H$3)*2/(_xll.ciqfunctions.udf.CIQ($B9,"IQ_GROSS_LOANS",AR$3,$E$3, $J$3, , $G$3, $H$3)+_xll.ciqfunctions.udf.CIQ($B9,"IQ_GROSS_LOANS", "IQ_" &amp; LEFT(AR$3,2) &amp; "-1",AR$3, $J$3, , $G$3, $H$3))),"")</f>
        <v/>
      </c>
      <c r="AS9" s="87" t="str">
        <f>IFERROR(IF(OR($B9="",AS$3=""),"",_xll.ciqfunctions.udf.CIQ($B9,"IQ_NET_INT_INC_BNK",AS$3,$E$3, $J$3, , $G$3, $H$3)*2/(_xll.ciqfunctions.udf.CIQ($B9,"IQ_GROSS_LOANS",AS$3,$E$3, $J$3, , $G$3, $H$3)+_xll.ciqfunctions.udf.CIQ($B9,"IQ_GROSS_LOANS", "IQ_" &amp; LEFT(AS$3,2) &amp; "-1",AS$3, $J$3, , $G$3, $H$3))),"")</f>
        <v/>
      </c>
      <c r="AT9" s="87" t="str">
        <f>IFERROR(IF(OR($B9="",AT$3=""),"",_xll.ciqfunctions.udf.CIQ($B9,"IQ_NET_INT_INC_BNK",AT$3,$E$3, $J$3, , $G$3, $H$3)*2/(_xll.ciqfunctions.udf.CIQ($B9,"IQ_GROSS_LOANS",AT$3,$E$3, $J$3, , $G$3, $H$3)+_xll.ciqfunctions.udf.CIQ($B9,"IQ_GROSS_LOANS", "IQ_" &amp; LEFT(AT$3,2) &amp; "-1",AT$3, $J$3, , $G$3, $H$3))),"")</f>
        <v/>
      </c>
      <c r="AU9" s="87" t="str">
        <f>IFERROR(IF(OR($B9="",AU$3=""),"",_xll.ciqfunctions.udf.CIQ($B9,"IQ_NET_INT_INC_BNK",AU$3,$E$3, $J$3, , $G$3, $H$3)*2/(_xll.ciqfunctions.udf.CIQ($B9,"IQ_GROSS_LOANS",AU$3,$E$3, $J$3, , $G$3, $H$3)+_xll.ciqfunctions.udf.CIQ($B9,"IQ_GROSS_LOANS", "IQ_" &amp; LEFT(AU$3,2) &amp; "-1",AU$3, $J$3, , $G$3, $H$3))),"")</f>
        <v/>
      </c>
      <c r="AV9" s="87" t="str">
        <f>IFERROR(IF(OR($B9="",AV$3=""),"",_xll.ciqfunctions.udf.CIQ($B9,"IQ_NET_INT_INC_BNK",AV$3,$E$3, $J$3, , $G$3, $H$3)*2/(_xll.ciqfunctions.udf.CIQ($B9,"IQ_GROSS_LOANS",AV$3,$E$3, $J$3, , $G$3, $H$3)+_xll.ciqfunctions.udf.CIQ($B9,"IQ_GROSS_LOANS", "IQ_" &amp; LEFT(AV$3,2) &amp; "-1",AV$3, $J$3, , $G$3, $H$3))),"")</f>
        <v/>
      </c>
      <c r="AW9" s="87" t="str">
        <f>IFERROR(IF(OR($B9="",AW$3=""),"",_xll.ciqfunctions.udf.CIQ($B9,"IQ_NET_INT_INC_BNK",AW$3,$E$3, $J$3, , $G$3, $H$3)*2/(_xll.ciqfunctions.udf.CIQ($B9,"IQ_GROSS_LOANS",AW$3,$E$3, $J$3, , $G$3, $H$3)+_xll.ciqfunctions.udf.CIQ($B9,"IQ_GROSS_LOANS", "IQ_" &amp; LEFT(AW$3,2) &amp; "-1",AW$3, $J$3, , $G$3, $H$3))),"")</f>
        <v/>
      </c>
      <c r="AX9" s="88" t="str">
        <f>IFERROR(IF(OR($B9="",AX$3=""),"",_xll.ciqfunctions.udf.CIQ($B9,"IQ_NET_INT_INC_BNK",AX$3,$E$3, $J$3, , $G$3, $H$3)*2/(_xll.ciqfunctions.udf.CIQ($B9,"IQ_GROSS_LOANS",AX$3,$E$3, $J$3, , $G$3, $H$3)+_xll.ciqfunctions.udf.CIQ($B9,"IQ_GROSS_LOANS", "IQ_" &amp; LEFT(AX$3,2) &amp; "-1",AX$3, $J$3, , $G$3, $H$3))),"")</f>
        <v/>
      </c>
      <c r="AY9" s="72" t="str">
        <f>IFERROR(IF(OR($B9="",AY$3=""),"",_xll.ciqfunctions.udf.CIQ($B9, "IQ_EBT", AY$3,$E$3, $J$3, , $G$3, $H$3)/(_xll.ciqfunctions.udf.CIQ($B9,"IQ_INT_INC_TOTAL",BW$3,$E$3, $J$3, , $G$3, $H$3)+_xll.ciqfunctions.udf.CIQ($B9,"IQ_NON_INT_INC",BW$3,$E$3, $J$3, , $G$3, $H$3))),"")</f>
        <v/>
      </c>
      <c r="AZ9" s="72" t="str">
        <f>IFERROR(IF(OR($B9="",AZ$3=""),"",_xll.ciqfunctions.udf.CIQ($B9, "IQ_EBT", AZ$3,$E$3, $J$3, , $G$3, $H$3)/(_xll.ciqfunctions.udf.CIQ($B9,"IQ_INT_INC_TOTAL",BX$3,$E$3, $J$3, , $G$3, $H$3)+_xll.ciqfunctions.udf.CIQ($B9,"IQ_NON_INT_INC",BX$3,$E$3, $J$3, , $G$3, $H$3))),"")</f>
        <v/>
      </c>
      <c r="BA9" s="72" t="str">
        <f>IFERROR(IF(OR($B9="",BA$3=""),"",_xll.ciqfunctions.udf.CIQ($B9, "IQ_EBT", BA$3,$E$3, $J$3, , $G$3, $H$3)/(_xll.ciqfunctions.udf.CIQ($B9,"IQ_INT_INC_TOTAL",BY$3,$E$3, $J$3, , $G$3, $H$3)+_xll.ciqfunctions.udf.CIQ($B9,"IQ_NON_INT_INC",BY$3,$E$3, $J$3, , $G$3, $H$3))),"")</f>
        <v/>
      </c>
      <c r="BB9" s="72" t="str">
        <f>IFERROR(IF(OR($B9="",BB$3=""),"",_xll.ciqfunctions.udf.CIQ($B9, "IQ_EBT", BB$3,$E$3, $J$3, , $G$3, $H$3)/(_xll.ciqfunctions.udf.CIQ($B9,"IQ_INT_INC_TOTAL",BZ$3,$E$3, $J$3, , $G$3, $H$3)+_xll.ciqfunctions.udf.CIQ($B9,"IQ_NON_INT_INC",BZ$3,$E$3, $J$3, , $G$3, $H$3))),"")</f>
        <v/>
      </c>
      <c r="BC9" s="72" t="str">
        <f>IFERROR(IF(OR($B9="",BC$3=""),"",_xll.ciqfunctions.udf.CIQ($B9, "IQ_EBT", BC$3,$E$3, $J$3, , $G$3, $H$3)/(_xll.ciqfunctions.udf.CIQ($B9,"IQ_INT_INC_TOTAL",CA$3,$E$3, $J$3, , $G$3, $H$3)+_xll.ciqfunctions.udf.CIQ($B9,"IQ_NON_INT_INC",CA$3,$E$3, $J$3, , $G$3, $H$3))),"")</f>
        <v/>
      </c>
      <c r="BD9" s="72" t="str">
        <f>IFERROR(IF(OR($B9="",BD$3=""),"",_xll.ciqfunctions.udf.CIQ($B9, "IQ_EBT", BD$3,$E$3, $J$3, , $G$3, $H$3)/(_xll.ciqfunctions.udf.CIQ($B9,"IQ_INT_INC_TOTAL",CB$3,$E$3, $J$3, , $G$3, $H$3)+_xll.ciqfunctions.udf.CIQ($B9,"IQ_NON_INT_INC",CB$3,$E$3, $J$3, , $G$3, $H$3))),"")</f>
        <v/>
      </c>
      <c r="BE9" s="72" t="str">
        <f>IFERROR(IF(OR($B9="",BE$3=""),"",_xll.ciqfunctions.udf.CIQ($B9, "IQ_EBT", BE$3,$E$3, $J$3, , $G$3, $H$3)/(_xll.ciqfunctions.udf.CIQ($B9,"IQ_INT_INC_TOTAL",CC$3,$E$3, $J$3, , $G$3, $H$3)+_xll.ciqfunctions.udf.CIQ($B9,"IQ_NON_INT_INC",CC$3,$E$3, $J$3, , $G$3, $H$3))),"")</f>
        <v/>
      </c>
      <c r="BF9" s="72" t="str">
        <f>IFERROR(IF(OR($B9="",BF$3=""),"",_xll.ciqfunctions.udf.CIQ($B9, "IQ_EBT", BF$3,$E$3, $J$3, , $G$3, $H$3)/(_xll.ciqfunctions.udf.CIQ($B9,"IQ_INT_INC_TOTAL",CD$3,$E$3, $J$3, , $G$3, $H$3)+_xll.ciqfunctions.udf.CIQ($B9,"IQ_NON_INT_INC",CD$3,$E$3, $J$3, , $G$3, $H$3))),"")</f>
        <v/>
      </c>
      <c r="BG9" s="72" t="str">
        <f>IFERROR(IF(OR($B9="",BG$3=""),"",_xll.ciqfunctions.udf.CIQ($B9, "IQ_EBT", BG$3,$E$3, $J$3, , $G$3, $H$3)/(_xll.ciqfunctions.udf.CIQ($B9,"IQ_INT_INC_TOTAL",CE$3,$E$3, $J$3, , $G$3, $H$3)+_xll.ciqfunctions.udf.CIQ($B9,"IQ_NON_INT_INC",CE$3,$E$3, $J$3, , $G$3, $H$3))),"")</f>
        <v/>
      </c>
      <c r="BH9" s="72" t="str">
        <f>IFERROR(IF(OR($B9="",BH$3=""),"",_xll.ciqfunctions.udf.CIQ($B9, "IQ_EBT", BH$3,$E$3, $J$3, , $G$3, $H$3)/(_xll.ciqfunctions.udf.CIQ($B9,"IQ_INT_INC_TOTAL",CF$3,$E$3, $J$3, , $G$3, $H$3)+_xll.ciqfunctions.udf.CIQ($B9,"IQ_NON_INT_INC",CF$3,$E$3, $J$3, , $G$3, $H$3))),"")</f>
        <v/>
      </c>
      <c r="BI9" s="72" t="str">
        <f>IFERROR(IF(OR($B9="",BI$3=""),"",_xll.ciqfunctions.udf.CIQ($B9, "IQ_EBT", BI$3,$E$3, $J$3, , $G$3, $H$3)/(_xll.ciqfunctions.udf.CIQ($B9,"IQ_INT_INC_TOTAL",CG$3,$E$3, $J$3, , $G$3, $H$3)+_xll.ciqfunctions.udf.CIQ($B9,"IQ_NON_INT_INC",CG$3,$E$3, $J$3, , $G$3, $H$3))),"")</f>
        <v/>
      </c>
      <c r="BJ9" s="72" t="str">
        <f>IFERROR(IF(OR($B9="",BJ$3=""),"",_xll.ciqfunctions.udf.CIQ($B9, "IQ_EBT", BJ$3,$E$3, $J$3, , $G$3, $H$3)/(_xll.ciqfunctions.udf.CIQ($B9,"IQ_INT_INC_TOTAL",CH$3,$E$3, $J$3, , $G$3, $H$3)+_xll.ciqfunctions.udf.CIQ($B9,"IQ_NON_INT_INC",CH$3,$E$3, $J$3, , $G$3, $H$3))),"")</f>
        <v/>
      </c>
      <c r="BK9" s="72" t="str">
        <f>IFERROR(IF(OR($B9="",BK$3=""),"",_xll.ciqfunctions.udf.CIQ($B9, "IQ_EBT", BK$3,$E$3, $J$3, , $G$3, $H$3)/(_xll.ciqfunctions.udf.CIQ($B9,"IQ_INT_INC_TOTAL",CI$3,$E$3, $J$3, , $G$3, $H$3)+_xll.ciqfunctions.udf.CIQ($B9,"IQ_NON_INT_INC",CI$3,$E$3, $J$3, , $G$3, $H$3))),"")</f>
        <v/>
      </c>
      <c r="BL9" s="72" t="str">
        <f>IFERROR(IF(OR($B9="",BL$3=""),"",_xll.ciqfunctions.udf.CIQ($B9, "IQ_EBT", BL$3,$E$3, $J$3, , $G$3, $H$3)/(_xll.ciqfunctions.udf.CIQ($B9,"IQ_INT_INC_TOTAL",CJ$3,$E$3, $J$3, , $G$3, $H$3)+_xll.ciqfunctions.udf.CIQ($B9,"IQ_NON_INT_INC",CJ$3,$E$3, $J$3, , $G$3, $H$3))),"")</f>
        <v/>
      </c>
      <c r="BM9" s="72" t="str">
        <f>IFERROR(IF(OR($B9="",BM$3=""),"",_xll.ciqfunctions.udf.CIQ($B9, "IQ_EBT", BM$3,$E$3, $J$3, , $G$3, $H$3)/(_xll.ciqfunctions.udf.CIQ($B9,"IQ_INT_INC_TOTAL",CK$3,$E$3, $J$3, , $G$3, $H$3)+_xll.ciqfunctions.udf.CIQ($B9,"IQ_NON_INT_INC",CK$3,$E$3, $J$3, , $G$3, $H$3))),"")</f>
        <v/>
      </c>
      <c r="BN9" s="72" t="str">
        <f>IFERROR(IF(OR($B9="",BN$3=""),"",_xll.ciqfunctions.udf.CIQ($B9, "IQ_EBT", BN$3,$E$3, $J$3, , $G$3, $H$3)/(_xll.ciqfunctions.udf.CIQ($B9,"IQ_INT_INC_TOTAL",CL$3,$E$3, $J$3, , $G$3, $H$3)+_xll.ciqfunctions.udf.CIQ($B9,"IQ_NON_INT_INC",CL$3,$E$3, $J$3, , $G$3, $H$3))),"")</f>
        <v/>
      </c>
      <c r="BO9" s="72" t="str">
        <f>IFERROR(IF(OR($B9="",BO$3=""),"",_xll.ciqfunctions.udf.CIQ($B9, "IQ_EBT", BO$3,$E$3, $J$3, , $G$3, $H$3)/(_xll.ciqfunctions.udf.CIQ($B9,"IQ_INT_INC_TOTAL",CM$3,$E$3, $J$3, , $G$3, $H$3)+_xll.ciqfunctions.udf.CIQ($B9,"IQ_NON_INT_INC",CM$3,$E$3, $J$3, , $G$3, $H$3))),"")</f>
        <v/>
      </c>
      <c r="BP9" s="72" t="str">
        <f>IFERROR(IF(OR($B9="",BP$3=""),"",_xll.ciqfunctions.udf.CIQ($B9, "IQ_EBT", BP$3,$E$3, $J$3, , $G$3, $H$3)/(_xll.ciqfunctions.udf.CIQ($B9,"IQ_INT_INC_TOTAL",CN$3,$E$3, $J$3, , $G$3, $H$3)+_xll.ciqfunctions.udf.CIQ($B9,"IQ_NON_INT_INC",CN$3,$E$3, $J$3, , $G$3, $H$3))),"")</f>
        <v/>
      </c>
      <c r="BQ9" s="72" t="str">
        <f>IFERROR(IF(OR($B9="",BQ$3=""),"",_xll.ciqfunctions.udf.CIQ($B9, "IQ_EBT", BQ$3,$E$3, $J$3, , $G$3, $H$3)/(_xll.ciqfunctions.udf.CIQ($B9,"IQ_INT_INC_TOTAL",CO$3,$E$3, $J$3, , $G$3, $H$3)+_xll.ciqfunctions.udf.CIQ($B9,"IQ_NON_INT_INC",CO$3,$E$3, $J$3, , $G$3, $H$3))),"")</f>
        <v/>
      </c>
      <c r="BR9" s="72" t="str">
        <f>IFERROR(IF(OR($B9="",BR$3=""),"",_xll.ciqfunctions.udf.CIQ($B9, "IQ_EBT", BR$3,$E$3, $J$3, , $G$3, $H$3)/(_xll.ciqfunctions.udf.CIQ($B9,"IQ_INT_INC_TOTAL",CP$3,$E$3, $J$3, , $G$3, $H$3)+_xll.ciqfunctions.udf.CIQ($B9,"IQ_NON_INT_INC",CP$3,$E$3, $J$3, , $G$3, $H$3))),"")</f>
        <v/>
      </c>
      <c r="BS9" s="87" t="str">
        <f>IFERROR(IF(OR($B9="",BS$3=""),"",_xll.ciqfunctions.udf.CIQ($B9,"IQ_NI",BS$3,$E$3, $J$3, , $G$3, $H$3)/(_xll.ciqfunctions.udf.CIQ($B9,"IQ_INT_INC_TOTAL",BS$3,$E$3, $J$3, , $G$3, $H$3)+_xll.ciqfunctions.udf.CIQ($B9,"IQ_NON_INT_INC",BS$3,$E$3, $J$3, , $G$3, $H$3))),"")</f>
        <v/>
      </c>
      <c r="BT9" s="87" t="str">
        <f>IFERROR(IF(OR($B9="",BT$3=""),"",_xll.ciqfunctions.udf.CIQ($B9,"IQ_NI",BT$3,$E$3, $J$3, , $G$3, $H$3)/(_xll.ciqfunctions.udf.CIQ($B9,"IQ_INT_INC_TOTAL",BT$3,$E$3, $J$3, , $G$3, $H$3)+_xll.ciqfunctions.udf.CIQ($B9,"IQ_NON_INT_INC",BT$3,$E$3, $J$3, , $G$3, $H$3))),"")</f>
        <v/>
      </c>
      <c r="BU9" s="87" t="str">
        <f>IFERROR(IF(OR($B9="",BU$3=""),"",_xll.ciqfunctions.udf.CIQ($B9,"IQ_NI",BU$3,$E$3, $J$3, , $G$3, $H$3)/(_xll.ciqfunctions.udf.CIQ($B9,"IQ_INT_INC_TOTAL",BU$3,$E$3, $J$3, , $G$3, $H$3)+_xll.ciqfunctions.udf.CIQ($B9,"IQ_NON_INT_INC",BU$3,$E$3, $J$3, , $G$3, $H$3))),"")</f>
        <v/>
      </c>
      <c r="BV9" s="87" t="str">
        <f>IFERROR(IF(OR($B9="",BV$3=""),"",_xll.ciqfunctions.udf.CIQ($B9,"IQ_NI",BV$3,$E$3, $J$3, , $G$3, $H$3)/(_xll.ciqfunctions.udf.CIQ($B9,"IQ_INT_INC_TOTAL",BV$3,$E$3, $J$3, , $G$3, $H$3)+_xll.ciqfunctions.udf.CIQ($B9,"IQ_NON_INT_INC",BV$3,$E$3, $J$3, , $G$3, $H$3))),"")</f>
        <v/>
      </c>
      <c r="BW9" s="87" t="str">
        <f>IFERROR(IF(OR($B9="",BW$3=""),"",_xll.ciqfunctions.udf.CIQ($B9,"IQ_NI",BW$3,$E$3, $J$3, , $G$3, $H$3)/(_xll.ciqfunctions.udf.CIQ($B9,"IQ_INT_INC_TOTAL",BW$3,$E$3, $J$3, , $G$3, $H$3)+_xll.ciqfunctions.udf.CIQ($B9,"IQ_NON_INT_INC",BW$3,$E$3, $J$3, , $G$3, $H$3))),"")</f>
        <v/>
      </c>
      <c r="BX9" s="87" t="str">
        <f>IFERROR(IF(OR($B9="",BX$3=""),"",_xll.ciqfunctions.udf.CIQ($B9,"IQ_NI",BX$3,$E$3, $J$3, , $G$3, $H$3)/(_xll.ciqfunctions.udf.CIQ($B9,"IQ_INT_INC_TOTAL",BX$3,$E$3, $J$3, , $G$3, $H$3)+_xll.ciqfunctions.udf.CIQ($B9,"IQ_NON_INT_INC",BX$3,$E$3, $J$3, , $G$3, $H$3))),"")</f>
        <v/>
      </c>
      <c r="BY9" s="87" t="str">
        <f>IFERROR(IF(OR($B9="",BY$3=""),"",_xll.ciqfunctions.udf.CIQ($B9,"IQ_NI",BY$3,$E$3, $J$3, , $G$3, $H$3)/(_xll.ciqfunctions.udf.CIQ($B9,"IQ_INT_INC_TOTAL",BY$3,$E$3, $J$3, , $G$3, $H$3)+_xll.ciqfunctions.udf.CIQ($B9,"IQ_NON_INT_INC",BY$3,$E$3, $J$3, , $G$3, $H$3))),"")</f>
        <v/>
      </c>
      <c r="BZ9" s="87" t="str">
        <f>IFERROR(IF(OR($B9="",BZ$3=""),"",_xll.ciqfunctions.udf.CIQ($B9,"IQ_NI",BZ$3,$E$3, $J$3, , $G$3, $H$3)/(_xll.ciqfunctions.udf.CIQ($B9,"IQ_INT_INC_TOTAL",BZ$3,$E$3, $J$3, , $G$3, $H$3)+_xll.ciqfunctions.udf.CIQ($B9,"IQ_NON_INT_INC",BZ$3,$E$3, $J$3, , $G$3, $H$3))),"")</f>
        <v/>
      </c>
      <c r="CA9" s="87" t="str">
        <f>IFERROR(IF(OR($B9="",CA$3=""),"",_xll.ciqfunctions.udf.CIQ($B9,"IQ_NI",CA$3,$E$3, $J$3, , $G$3, $H$3)/(_xll.ciqfunctions.udf.CIQ($B9,"IQ_INT_INC_TOTAL",CA$3,$E$3, $J$3, , $G$3, $H$3)+_xll.ciqfunctions.udf.CIQ($B9,"IQ_NON_INT_INC",CA$3,$E$3, $J$3, , $G$3, $H$3))),"")</f>
        <v/>
      </c>
      <c r="CB9" s="87" t="str">
        <f>IFERROR(IF(OR($B9="",CB$3=""),"",_xll.ciqfunctions.udf.CIQ($B9,"IQ_NI",CB$3,$E$3, $J$3, , $G$3, $H$3)/(_xll.ciqfunctions.udf.CIQ($B9,"IQ_INT_INC_TOTAL",CB$3,$E$3, $J$3, , $G$3, $H$3)+_xll.ciqfunctions.udf.CIQ($B9,"IQ_NON_INT_INC",CB$3,$E$3, $J$3, , $G$3, $H$3))),"")</f>
        <v/>
      </c>
      <c r="CC9" s="87" t="str">
        <f>IFERROR(IF(OR($B9="",CC$3=""),"",_xll.ciqfunctions.udf.CIQ($B9,"IQ_NI",CC$3,$E$3, $J$3, , $G$3, $H$3)/(_xll.ciqfunctions.udf.CIQ($B9,"IQ_INT_INC_TOTAL",CC$3,$E$3, $J$3, , $G$3, $H$3)+_xll.ciqfunctions.udf.CIQ($B9,"IQ_NON_INT_INC",CC$3,$E$3, $J$3, , $G$3, $H$3))),"")</f>
        <v/>
      </c>
      <c r="CD9" s="87" t="str">
        <f>IFERROR(IF(OR($B9="",CD$3=""),"",_xll.ciqfunctions.udf.CIQ($B9,"IQ_NI",CD$3,$E$3, $J$3, , $G$3, $H$3)/(_xll.ciqfunctions.udf.CIQ($B9,"IQ_INT_INC_TOTAL",CD$3,$E$3, $J$3, , $G$3, $H$3)+_xll.ciqfunctions.udf.CIQ($B9,"IQ_NON_INT_INC",CD$3,$E$3, $J$3, , $G$3, $H$3))),"")</f>
        <v/>
      </c>
      <c r="CE9" s="87" t="str">
        <f>IFERROR(IF(OR($B9="",CE$3=""),"",_xll.ciqfunctions.udf.CIQ($B9,"IQ_NI",CE$3,$E$3, $J$3, , $G$3, $H$3)/(_xll.ciqfunctions.udf.CIQ($B9,"IQ_INT_INC_TOTAL",CE$3,$E$3, $J$3, , $G$3, $H$3)+_xll.ciqfunctions.udf.CIQ($B9,"IQ_NON_INT_INC",CE$3,$E$3, $J$3, , $G$3, $H$3))),"")</f>
        <v/>
      </c>
      <c r="CF9" s="87" t="str">
        <f>IFERROR(IF(OR($B9="",CF$3=""),"",_xll.ciqfunctions.udf.CIQ($B9,"IQ_NI",CF$3,$E$3, $J$3, , $G$3, $H$3)/(_xll.ciqfunctions.udf.CIQ($B9,"IQ_INT_INC_TOTAL",CF$3,$E$3, $J$3, , $G$3, $H$3)+_xll.ciqfunctions.udf.CIQ($B9,"IQ_NON_INT_INC",CF$3,$E$3, $J$3, , $G$3, $H$3))),"")</f>
        <v/>
      </c>
      <c r="CG9" s="87" t="str">
        <f>IFERROR(IF(OR($B9="",CG$3=""),"",_xll.ciqfunctions.udf.CIQ($B9,"IQ_NI",CG$3,$E$3, $J$3, , $G$3, $H$3)/(_xll.ciqfunctions.udf.CIQ($B9,"IQ_INT_INC_TOTAL",CG$3,$E$3, $J$3, , $G$3, $H$3)+_xll.ciqfunctions.udf.CIQ($B9,"IQ_NON_INT_INC",CG$3,$E$3, $J$3, , $G$3, $H$3))),"")</f>
        <v/>
      </c>
      <c r="CH9" s="87" t="str">
        <f>IFERROR(IF(OR($B9="",CH$3=""),"",_xll.ciqfunctions.udf.CIQ($B9,"IQ_NI",CH$3,$E$3, $J$3, , $G$3, $H$3)/(_xll.ciqfunctions.udf.CIQ($B9,"IQ_INT_INC_TOTAL",CH$3,$E$3, $J$3, , $G$3, $H$3)+_xll.ciqfunctions.udf.CIQ($B9,"IQ_NON_INT_INC",CH$3,$E$3, $J$3, , $G$3, $H$3))),"")</f>
        <v/>
      </c>
      <c r="CI9" s="87" t="str">
        <f>IFERROR(IF(OR($B9="",CI$3=""),"",_xll.ciqfunctions.udf.CIQ($B9,"IQ_NI",CI$3,$E$3, $J$3, , $G$3, $H$3)/(_xll.ciqfunctions.udf.CIQ($B9,"IQ_INT_INC_TOTAL",CI$3,$E$3, $J$3, , $G$3, $H$3)+_xll.ciqfunctions.udf.CIQ($B9,"IQ_NON_INT_INC",CI$3,$E$3, $J$3, , $G$3, $H$3))),"")</f>
        <v/>
      </c>
      <c r="CJ9" s="87" t="str">
        <f>IFERROR(IF(OR($B9="",CJ$3=""),"",_xll.ciqfunctions.udf.CIQ($B9,"IQ_NI",CJ$3,$E$3, $J$3, , $G$3, $H$3)/(_xll.ciqfunctions.udf.CIQ($B9,"IQ_INT_INC_TOTAL",CJ$3,$E$3, $J$3, , $G$3, $H$3)+_xll.ciqfunctions.udf.CIQ($B9,"IQ_NON_INT_INC",CJ$3,$E$3, $J$3, , $G$3, $H$3))),"")</f>
        <v/>
      </c>
      <c r="CK9" s="87" t="str">
        <f>IFERROR(IF(OR($B9="",CK$3=""),"",_xll.ciqfunctions.udf.CIQ($B9,"IQ_NI",CK$3,$E$3, $J$3, , $G$3, $H$3)/(_xll.ciqfunctions.udf.CIQ($B9,"IQ_INT_INC_TOTAL",CK$3,$E$3, $J$3, , $G$3, $H$3)+_xll.ciqfunctions.udf.CIQ($B9,"IQ_NON_INT_INC",CK$3,$E$3, $J$3, , $G$3, $H$3))),"")</f>
        <v/>
      </c>
      <c r="CL9" s="87" t="str">
        <f>IFERROR(IF(OR($B9="",CL$3=""),"",_xll.ciqfunctions.udf.CIQ($B9,"IQ_NI",CL$3,$E$3, $J$3, , $G$3, $H$3)/(_xll.ciqfunctions.udf.CIQ($B9,"IQ_INT_INC_TOTAL",CL$3,$E$3, $J$3, , $G$3, $H$3)+_xll.ciqfunctions.udf.CIQ($B9,"IQ_NON_INT_INC",CL$3,$E$3, $J$3, , $G$3, $H$3))),"")</f>
        <v/>
      </c>
      <c r="CM9" s="72" t="str">
        <f>IFERROR(IF(OR($B9="",CM$3=""),"",_xll.ciqfunctions.udf.CIQ($B9,"IQ_SGA_SUPPL",CM$3,$E$3, $J$3, , $G$3, $H$3)/(_xll.ciqfunctions.udf.CIQ($B9,"IQ_INT_INC_TOTAL",CM$3,$E$3, $J$3, , $G$3, $H$3)+_xll.ciqfunctions.udf.CIQ($B9,"IQ_NON_INT_INC",CM$3,$E$3, $J$3, , $G$3, $H$3))),"")</f>
        <v/>
      </c>
      <c r="CN9" s="72" t="str">
        <f>IFERROR(IF(OR($B9="",CN$3=""),"",_xll.ciqfunctions.udf.CIQ($B9,"IQ_SGA_SUPPL",CN$3,$E$3, $J$3, , $G$3, $H$3)/(_xll.ciqfunctions.udf.CIQ($B9,"IQ_INT_INC_TOTAL",CN$3,$E$3, $J$3, , $G$3, $H$3)+_xll.ciqfunctions.udf.CIQ($B9,"IQ_NON_INT_INC",CN$3,$E$3, $J$3, , $G$3, $H$3))),"")</f>
        <v/>
      </c>
      <c r="CO9" s="72" t="str">
        <f>IFERROR(IF(OR($B9="",CO$3=""),"",_xll.ciqfunctions.udf.CIQ($B9,"IQ_SGA_SUPPL",CO$3,$E$3, $J$3, , $G$3, $H$3)/(_xll.ciqfunctions.udf.CIQ($B9,"IQ_INT_INC_TOTAL",CO$3,$E$3, $J$3, , $G$3, $H$3)+_xll.ciqfunctions.udf.CIQ($B9,"IQ_NON_INT_INC",CO$3,$E$3, $J$3, , $G$3, $H$3))),"")</f>
        <v/>
      </c>
      <c r="CP9" s="72" t="str">
        <f>IFERROR(IF(OR($B9="",CP$3=""),"",_xll.ciqfunctions.udf.CIQ($B9,"IQ_SGA_SUPPL",CP$3,$E$3, $J$3, , $G$3, $H$3)/(_xll.ciqfunctions.udf.CIQ($B9,"IQ_INT_INC_TOTAL",CP$3,$E$3, $J$3, , $G$3, $H$3)+_xll.ciqfunctions.udf.CIQ($B9,"IQ_NON_INT_INC",CP$3,$E$3, $J$3, , $G$3, $H$3))),"")</f>
        <v/>
      </c>
      <c r="CQ9" s="72" t="str">
        <f>IFERROR(IF(OR($B9="",CQ$3=""),"",_xll.ciqfunctions.udf.CIQ($B9,"IQ_SGA_SUPPL",CQ$3,$E$3, $J$3, , $G$3, $H$3)/(_xll.ciqfunctions.udf.CIQ($B9,"IQ_INT_INC_TOTAL",CQ$3,$E$3, $J$3, , $G$3, $H$3)+_xll.ciqfunctions.udf.CIQ($B9,"IQ_NON_INT_INC",CQ$3,$E$3, $J$3, , $G$3, $H$3))),"")</f>
        <v/>
      </c>
      <c r="CR9" s="72" t="str">
        <f>IFERROR(IF(OR($B9="",CR$3=""),"",_xll.ciqfunctions.udf.CIQ($B9,"IQ_SGA_SUPPL",CR$3,$E$3, $J$3, , $G$3, $H$3)/(_xll.ciqfunctions.udf.CIQ($B9,"IQ_INT_INC_TOTAL",CR$3,$E$3, $J$3, , $G$3, $H$3)+_xll.ciqfunctions.udf.CIQ($B9,"IQ_NON_INT_INC",CR$3,$E$3, $J$3, , $G$3, $H$3))),"")</f>
        <v/>
      </c>
      <c r="CS9" s="72" t="str">
        <f>IFERROR(IF(OR($B9="",CS$3=""),"",_xll.ciqfunctions.udf.CIQ($B9,"IQ_SGA_SUPPL",CS$3,$E$3, $J$3, , $G$3, $H$3)/(_xll.ciqfunctions.udf.CIQ($B9,"IQ_INT_INC_TOTAL",CS$3,$E$3, $J$3, , $G$3, $H$3)+_xll.ciqfunctions.udf.CIQ($B9,"IQ_NON_INT_INC",CS$3,$E$3, $J$3, , $G$3, $H$3))),"")</f>
        <v/>
      </c>
      <c r="CT9" s="72" t="str">
        <f>IFERROR(IF(OR($B9="",CT$3=""),"",_xll.ciqfunctions.udf.CIQ($B9,"IQ_SGA_SUPPL",CT$3,$E$3, $J$3, , $G$3, $H$3)/(_xll.ciqfunctions.udf.CIQ($B9,"IQ_INT_INC_TOTAL",CT$3,$E$3, $J$3, , $G$3, $H$3)+_xll.ciqfunctions.udf.CIQ($B9,"IQ_NON_INT_INC",CT$3,$E$3, $J$3, , $G$3, $H$3))),"")</f>
        <v/>
      </c>
      <c r="CU9" s="72" t="str">
        <f>IFERROR(IF(OR($B9="",CU$3=""),"",_xll.ciqfunctions.udf.CIQ($B9,"IQ_SGA_SUPPL",CU$3,$E$3, $J$3, , $G$3, $H$3)/(_xll.ciqfunctions.udf.CIQ($B9,"IQ_INT_INC_TOTAL",CU$3,$E$3, $J$3, , $G$3, $H$3)+_xll.ciqfunctions.udf.CIQ($B9,"IQ_NON_INT_INC",CU$3,$E$3, $J$3, , $G$3, $H$3))),"")</f>
        <v/>
      </c>
      <c r="CV9" s="72" t="str">
        <f>IFERROR(IF(OR($B9="",CV$3=""),"",_xll.ciqfunctions.udf.CIQ($B9,"IQ_SGA_SUPPL",CV$3,$E$3, $J$3, , $G$3, $H$3)/(_xll.ciqfunctions.udf.CIQ($B9,"IQ_INT_INC_TOTAL",CV$3,$E$3, $J$3, , $G$3, $H$3)+_xll.ciqfunctions.udf.CIQ($B9,"IQ_NON_INT_INC",CV$3,$E$3, $J$3, , $G$3, $H$3))),"")</f>
        <v/>
      </c>
      <c r="CW9" s="72" t="str">
        <f>IFERROR(IF(OR($B9="",CW$3=""),"",_xll.ciqfunctions.udf.CIQ($B9,"IQ_SGA_SUPPL",CW$3,$E$3, $J$3, , $G$3, $H$3)/(_xll.ciqfunctions.udf.CIQ($B9,"IQ_INT_INC_TOTAL",CW$3,$E$3, $J$3, , $G$3, $H$3)+_xll.ciqfunctions.udf.CIQ($B9,"IQ_NON_INT_INC",CW$3,$E$3, $J$3, , $G$3, $H$3))),"")</f>
        <v/>
      </c>
      <c r="CX9" s="72" t="str">
        <f>IFERROR(IF(OR($B9="",CX$3=""),"",_xll.ciqfunctions.udf.CIQ($B9,"IQ_SGA_SUPPL",CX$3,$E$3, $J$3, , $G$3, $H$3)/(_xll.ciqfunctions.udf.CIQ($B9,"IQ_INT_INC_TOTAL",CX$3,$E$3, $J$3, , $G$3, $H$3)+_xll.ciqfunctions.udf.CIQ($B9,"IQ_NON_INT_INC",CX$3,$E$3, $J$3, , $G$3, $H$3))),"")</f>
        <v/>
      </c>
      <c r="CY9" s="72" t="str">
        <f>IFERROR(IF(OR($B9="",CY$3=""),"",_xll.ciqfunctions.udf.CIQ($B9,"IQ_SGA_SUPPL",CY$3,$E$3, $J$3, , $G$3, $H$3)/(_xll.ciqfunctions.udf.CIQ($B9,"IQ_INT_INC_TOTAL",CY$3,$E$3, $J$3, , $G$3, $H$3)+_xll.ciqfunctions.udf.CIQ($B9,"IQ_NON_INT_INC",CY$3,$E$3, $J$3, , $G$3, $H$3))),"")</f>
        <v/>
      </c>
      <c r="CZ9" s="72" t="str">
        <f>IFERROR(IF(OR($B9="",CZ$3=""),"",_xll.ciqfunctions.udf.CIQ($B9,"IQ_SGA_SUPPL",CZ$3,$E$3, $J$3, , $G$3, $H$3)/(_xll.ciqfunctions.udf.CIQ($B9,"IQ_INT_INC_TOTAL",CZ$3,$E$3, $J$3, , $G$3, $H$3)+_xll.ciqfunctions.udf.CIQ($B9,"IQ_NON_INT_INC",CZ$3,$E$3, $J$3, , $G$3, $H$3))),"")</f>
        <v/>
      </c>
      <c r="DA9" s="72" t="str">
        <f>IFERROR(IF(OR($B9="",DA$3=""),"",_xll.ciqfunctions.udf.CIQ($B9,"IQ_SGA_SUPPL",DA$3,$E$3, $J$3, , $G$3, $H$3)/(_xll.ciqfunctions.udf.CIQ($B9,"IQ_INT_INC_TOTAL",DA$3,$E$3, $J$3, , $G$3, $H$3)+_xll.ciqfunctions.udf.CIQ($B9,"IQ_NON_INT_INC",DA$3,$E$3, $J$3, , $G$3, $H$3))),"")</f>
        <v/>
      </c>
      <c r="DB9" s="72" t="str">
        <f>IFERROR(IF(OR($B9="",DB$3=""),"",_xll.ciqfunctions.udf.CIQ($B9,"IQ_SGA_SUPPL",DB$3,$E$3, $J$3, , $G$3, $H$3)/(_xll.ciqfunctions.udf.CIQ($B9,"IQ_INT_INC_TOTAL",DB$3,$E$3, $J$3, , $G$3, $H$3)+_xll.ciqfunctions.udf.CIQ($B9,"IQ_NON_INT_INC",DB$3,$E$3, $J$3, , $G$3, $H$3))),"")</f>
        <v/>
      </c>
      <c r="DC9" s="72" t="str">
        <f>IFERROR(IF(OR($B9="",DC$3=""),"",_xll.ciqfunctions.udf.CIQ($B9,"IQ_SGA_SUPPL",DC$3,$E$3, $J$3, , $G$3, $H$3)/(_xll.ciqfunctions.udf.CIQ($B9,"IQ_INT_INC_TOTAL",DC$3,$E$3, $J$3, , $G$3, $H$3)+_xll.ciqfunctions.udf.CIQ($B9,"IQ_NON_INT_INC",DC$3,$E$3, $J$3, , $G$3, $H$3))),"")</f>
        <v/>
      </c>
      <c r="DD9" s="72" t="str">
        <f>IFERROR(IF(OR($B9="",DD$3=""),"",_xll.ciqfunctions.udf.CIQ($B9,"IQ_SGA_SUPPL",DD$3,$E$3, $J$3, , $G$3, $H$3)/(_xll.ciqfunctions.udf.CIQ($B9,"IQ_INT_INC_TOTAL",DD$3,$E$3, $J$3, , $G$3, $H$3)+_xll.ciqfunctions.udf.CIQ($B9,"IQ_NON_INT_INC",DD$3,$E$3, $J$3, , $G$3, $H$3))),"")</f>
        <v/>
      </c>
      <c r="DE9" s="72" t="str">
        <f>IFERROR(IF(OR($B9="",DE$3=""),"",_xll.ciqfunctions.udf.CIQ($B9,"IQ_SGA_SUPPL",DE$3,$E$3, $J$3, , $G$3, $H$3)/(_xll.ciqfunctions.udf.CIQ($B9,"IQ_INT_INC_TOTAL",DE$3,$E$3, $J$3, , $G$3, $H$3)+_xll.ciqfunctions.udf.CIQ($B9,"IQ_NON_INT_INC",DE$3,$E$3, $J$3, , $G$3, $H$3))),"")</f>
        <v/>
      </c>
      <c r="DF9" s="72" t="str">
        <f>IFERROR(IF(OR($B9="",DF$3=""),"",_xll.ciqfunctions.udf.CIQ($B9,"IQ_SGA_SUPPL",DF$3,$E$3, $J$3, , $G$3, $H$3)/(_xll.ciqfunctions.udf.CIQ($B9,"IQ_INT_INC_TOTAL",DF$3,$E$3, $J$3, , $G$3, $H$3)+_xll.ciqfunctions.udf.CIQ($B9,"IQ_NON_INT_INC",DF$3,$E$3, $J$3, , $G$3, $H$3))),"")</f>
        <v/>
      </c>
      <c r="DG9" s="86" t="str">
        <f>IFERROR(IF(OR($B9="",DG$3=""),"",_xll.ciqfunctions.udf.CIQ($B9,"IQ_TIER_ONE_RATIO",DG$3,$E$3, $J$3, , $G$3, $H$3)/100),"")</f>
        <v/>
      </c>
      <c r="DH9" s="87" t="str">
        <f>IFERROR(IF(OR($B9="",DH$3=""),"",_xll.ciqfunctions.udf.CIQ($B9,"IQ_TIER_ONE_RATIO",DH$3,$E$3, $J$3, , $G$3, $H$3)/100),"")</f>
        <v/>
      </c>
      <c r="DI9" s="87" t="str">
        <f>IFERROR(IF(OR($B9="",DI$3=""),"",_xll.ciqfunctions.udf.CIQ($B9,"IQ_TIER_ONE_RATIO",DI$3,$E$3, $J$3, , $G$3, $H$3)/100),"")</f>
        <v/>
      </c>
      <c r="DJ9" s="87" t="str">
        <f>IFERROR(IF(OR($B9="",DJ$3=""),"",_xll.ciqfunctions.udf.CIQ($B9,"IQ_TIER_ONE_RATIO",DJ$3,$E$3, $J$3, , $G$3, $H$3)/100),"")</f>
        <v/>
      </c>
      <c r="DK9" s="87" t="str">
        <f>IFERROR(IF(OR($B9="",DK$3=""),"",_xll.ciqfunctions.udf.CIQ($B9,"IQ_TIER_ONE_RATIO",DK$3,$E$3, $J$3, , $G$3, $H$3)/100),"")</f>
        <v/>
      </c>
      <c r="DL9" s="87" t="str">
        <f>IFERROR(IF(OR($B9="",DL$3=""),"",_xll.ciqfunctions.udf.CIQ($B9,"IQ_TIER_ONE_RATIO",DL$3,$E$3, $J$3, , $G$3, $H$3)/100),"")</f>
        <v/>
      </c>
      <c r="DM9" s="87" t="str">
        <f>IFERROR(IF(OR($B9="",DM$3=""),"",_xll.ciqfunctions.udf.CIQ($B9,"IQ_TIER_ONE_RATIO",DM$3,$E$3, $J$3, , $G$3, $H$3)/100),"")</f>
        <v/>
      </c>
      <c r="DN9" s="87" t="str">
        <f>IFERROR(IF(OR($B9="",DN$3=""),"",_xll.ciqfunctions.udf.CIQ($B9,"IQ_TIER_ONE_RATIO",DN$3,$E$3, $J$3, , $G$3, $H$3)/100),"")</f>
        <v/>
      </c>
      <c r="DO9" s="87" t="str">
        <f>IFERROR(IF(OR($B9="",DO$3=""),"",_xll.ciqfunctions.udf.CIQ($B9,"IQ_TIER_ONE_RATIO",DO$3,$E$3, $J$3, , $G$3, $H$3)/100),"")</f>
        <v/>
      </c>
      <c r="DP9" s="87" t="str">
        <f>IFERROR(IF(OR($B9="",DP$3=""),"",_xll.ciqfunctions.udf.CIQ($B9,"IQ_TIER_ONE_RATIO",DP$3,$E$3, $J$3, , $G$3, $H$3)/100),"")</f>
        <v/>
      </c>
      <c r="DQ9" s="87" t="str">
        <f>IFERROR(IF(OR($B9="",DQ$3=""),"",_xll.ciqfunctions.udf.CIQ($B9,"IQ_TIER_ONE_RATIO",DQ$3,$E$3, $J$3, , $G$3, $H$3)/100),"")</f>
        <v/>
      </c>
      <c r="DR9" s="87" t="str">
        <f>IFERROR(IF(OR($B9="",DR$3=""),"",_xll.ciqfunctions.udf.CIQ($B9,"IQ_TIER_ONE_RATIO",DR$3,$E$3, $J$3, , $G$3, $H$3)/100),"")</f>
        <v/>
      </c>
      <c r="DS9" s="87" t="str">
        <f>IFERROR(IF(OR($B9="",DS$3=""),"",_xll.ciqfunctions.udf.CIQ($B9,"IQ_TIER_ONE_RATIO",DS$3,$E$3, $J$3, , $G$3, $H$3)/100),"")</f>
        <v/>
      </c>
      <c r="DT9" s="87" t="str">
        <f>IFERROR(IF(OR($B9="",DT$3=""),"",_xll.ciqfunctions.udf.CIQ($B9,"IQ_TIER_ONE_RATIO",DT$3,$E$3, $J$3, , $G$3, $H$3)/100),"")</f>
        <v/>
      </c>
      <c r="DU9" s="87" t="str">
        <f>IFERROR(IF(OR($B9="",DU$3=""),"",_xll.ciqfunctions.udf.CIQ($B9,"IQ_TIER_ONE_RATIO",DU$3,$E$3, $J$3, , $G$3, $H$3)/100),"")</f>
        <v/>
      </c>
      <c r="DV9" s="87" t="str">
        <f>IFERROR(IF(OR($B9="",DV$3=""),"",_xll.ciqfunctions.udf.CIQ($B9,"IQ_TIER_ONE_RATIO",DV$3,$E$3, $J$3, , $G$3, $H$3)/100),"")</f>
        <v/>
      </c>
      <c r="DW9" s="87" t="str">
        <f>IFERROR(IF(OR($B9="",DW$3=""),"",_xll.ciqfunctions.udf.CIQ($B9,"IQ_TIER_ONE_RATIO",DW$3,$E$3, $J$3, , $G$3, $H$3)/100),"")</f>
        <v/>
      </c>
      <c r="DX9" s="87" t="str">
        <f>IFERROR(IF(OR($B9="",DX$3=""),"",_xll.ciqfunctions.udf.CIQ($B9,"IQ_TIER_ONE_RATIO",DX$3,$E$3, $J$3, , $G$3, $H$3)/100),"")</f>
        <v/>
      </c>
      <c r="DY9" s="87" t="str">
        <f>IFERROR(IF(OR($B9="",DY$3=""),"",_xll.ciqfunctions.udf.CIQ($B9,"IQ_TIER_ONE_RATIO",DY$3,$E$3, $J$3, , $G$3, $H$3)/100),"")</f>
        <v/>
      </c>
      <c r="DZ9" s="88" t="str">
        <f>IFERROR(IF(OR($B9="",DZ$3=""),"",_xll.ciqfunctions.udf.CIQ($B9,"IQ_TIER_ONE_RATIO",DZ$3,$E$3, $J$3, , $G$3, $H$3)/100),"")</f>
        <v/>
      </c>
      <c r="EA9" s="86" t="str">
        <f>IFERROR(IF(OR($B9="",EA$3=""),"",_xll.ciqfunctions.udf.CIQ($B9,"IQ_TOTAL_CAPITAL_RATIO",EA$3,$E$3, $J$3, , $G$3, $H$3)/100),"")</f>
        <v/>
      </c>
      <c r="EB9" s="87" t="str">
        <f>IFERROR(IF(OR($B9="",EB$3=""),"",_xll.ciqfunctions.udf.CIQ($B9,"IQ_TOTAL_CAPITAL_RATIO",EB$3,$E$3, $J$3, , $G$3, $H$3)/100),"")</f>
        <v/>
      </c>
      <c r="EC9" s="87" t="str">
        <f>IFERROR(IF(OR($B9="",EC$3=""),"",_xll.ciqfunctions.udf.CIQ($B9,"IQ_TOTAL_CAPITAL_RATIO",EC$3,$E$3, $J$3, , $G$3, $H$3)/100),"")</f>
        <v/>
      </c>
      <c r="ED9" s="87" t="str">
        <f>IFERROR(IF(OR($B9="",ED$3=""),"",_xll.ciqfunctions.udf.CIQ($B9,"IQ_TOTAL_CAPITAL_RATIO",ED$3,$E$3, $J$3, , $G$3, $H$3)/100),"")</f>
        <v/>
      </c>
      <c r="EE9" s="87" t="str">
        <f>IFERROR(IF(OR($B9="",EE$3=""),"",_xll.ciqfunctions.udf.CIQ($B9,"IQ_TOTAL_CAPITAL_RATIO",EE$3,$E$3, $J$3, , $G$3, $H$3)/100),"")</f>
        <v/>
      </c>
      <c r="EF9" s="87" t="str">
        <f>IFERROR(IF(OR($B9="",EF$3=""),"",_xll.ciqfunctions.udf.CIQ($B9,"IQ_TOTAL_CAPITAL_RATIO",EF$3,$E$3, $J$3, , $G$3, $H$3)/100),"")</f>
        <v/>
      </c>
      <c r="EG9" s="87" t="str">
        <f>IFERROR(IF(OR($B9="",EG$3=""),"",_xll.ciqfunctions.udf.CIQ($B9,"IQ_TOTAL_CAPITAL_RATIO",EG$3,$E$3, $J$3, , $G$3, $H$3)/100),"")</f>
        <v/>
      </c>
      <c r="EH9" s="87" t="str">
        <f>IFERROR(IF(OR($B9="",EH$3=""),"",_xll.ciqfunctions.udf.CIQ($B9,"IQ_TOTAL_CAPITAL_RATIO",EH$3,$E$3, $J$3, , $G$3, $H$3)/100),"")</f>
        <v/>
      </c>
      <c r="EI9" s="87" t="str">
        <f>IFERROR(IF(OR($B9="",EI$3=""),"",_xll.ciqfunctions.udf.CIQ($B9,"IQ_TOTAL_CAPITAL_RATIO",EI$3,$E$3, $J$3, , $G$3, $H$3)/100),"")</f>
        <v/>
      </c>
      <c r="EJ9" s="87" t="str">
        <f>IFERROR(IF(OR($B9="",EJ$3=""),"",_xll.ciqfunctions.udf.CIQ($B9,"IQ_TOTAL_CAPITAL_RATIO",EJ$3,$E$3, $J$3, , $G$3, $H$3)/100),"")</f>
        <v/>
      </c>
      <c r="EK9" s="87" t="str">
        <f>IFERROR(IF(OR($B9="",EK$3=""),"",_xll.ciqfunctions.udf.CIQ($B9,"IQ_TOTAL_CAPITAL_RATIO",EK$3,$E$3, $J$3, , $G$3, $H$3)/100),"")</f>
        <v/>
      </c>
      <c r="EL9" s="87" t="str">
        <f>IFERROR(IF(OR($B9="",EL$3=""),"",_xll.ciqfunctions.udf.CIQ($B9,"IQ_TOTAL_CAPITAL_RATIO",EL$3,$E$3, $J$3, , $G$3, $H$3)/100),"")</f>
        <v/>
      </c>
      <c r="EM9" s="87" t="str">
        <f>IFERROR(IF(OR($B9="",EM$3=""),"",_xll.ciqfunctions.udf.CIQ($B9,"IQ_TOTAL_CAPITAL_RATIO",EM$3,$E$3, $J$3, , $G$3, $H$3)/100),"")</f>
        <v/>
      </c>
      <c r="EN9" s="87" t="str">
        <f>IFERROR(IF(OR($B9="",EN$3=""),"",_xll.ciqfunctions.udf.CIQ($B9,"IQ_TOTAL_CAPITAL_RATIO",EN$3,$E$3, $J$3, , $G$3, $H$3)/100),"")</f>
        <v/>
      </c>
      <c r="EO9" s="87" t="str">
        <f>IFERROR(IF(OR($B9="",EO$3=""),"",_xll.ciqfunctions.udf.CIQ($B9,"IQ_TOTAL_CAPITAL_RATIO",EO$3,$E$3, $J$3, , $G$3, $H$3)/100),"")</f>
        <v/>
      </c>
      <c r="EP9" s="87" t="str">
        <f>IFERROR(IF(OR($B9="",EP$3=""),"",_xll.ciqfunctions.udf.CIQ($B9,"IQ_TOTAL_CAPITAL_RATIO",EP$3,$E$3, $J$3, , $G$3, $H$3)/100),"")</f>
        <v/>
      </c>
      <c r="EQ9" s="87" t="str">
        <f>IFERROR(IF(OR($B9="",EQ$3=""),"",_xll.ciqfunctions.udf.CIQ($B9,"IQ_TOTAL_CAPITAL_RATIO",EQ$3,$E$3, $J$3, , $G$3, $H$3)/100),"")</f>
        <v/>
      </c>
      <c r="ER9" s="87" t="str">
        <f>IFERROR(IF(OR($B9="",ER$3=""),"",_xll.ciqfunctions.udf.CIQ($B9,"IQ_TOTAL_CAPITAL_RATIO",ER$3,$E$3, $J$3, , $G$3, $H$3)/100),"")</f>
        <v/>
      </c>
      <c r="ES9" s="87" t="str">
        <f>IFERROR(IF(OR($B9="",ES$3=""),"",_xll.ciqfunctions.udf.CIQ($B9,"IQ_TOTAL_CAPITAL_RATIO",ES$3,$E$3, $J$3, , $G$3, $H$3)/100),"")</f>
        <v/>
      </c>
      <c r="ET9" s="88" t="str">
        <f>IFERROR(IF(OR($B9="",ET$3=""),"",_xll.ciqfunctions.udf.CIQ($B9,"IQ_TOTAL_CAPITAL_RATIO",ET$3,$E$3, $J$3, , $G$3, $H$3)/100),"")</f>
        <v/>
      </c>
      <c r="EU9" s="86" t="str">
        <f>IFERROR(IF(OR($B9="",EU$3=""),"",_xll.ciqfunctions.udf.CIQ($B9,"IQ_GROSS_LOANS",EU$3,$E$3, $J$3, , $G$3, $H$3)/_xll.ciqfunctions.udf.CIQ($B9,"IQ_TOTAL_ASSETS",EU$3,$E$3, $J$3, , $G$3, $H$3)),"")</f>
        <v/>
      </c>
      <c r="EV9" s="87" t="str">
        <f>IFERROR(IF(OR($B9="",EV$3=""),"",_xll.ciqfunctions.udf.CIQ($B9,"IQ_GROSS_LOANS",EV$3,$E$3, $J$3, , $G$3, $H$3)/_xll.ciqfunctions.udf.CIQ($B9,"IQ_TOTAL_ASSETS",EV$3,$E$3, $J$3, , $G$3, $H$3)),"")</f>
        <v/>
      </c>
      <c r="EW9" s="87" t="str">
        <f>IFERROR(IF(OR($B9="",EW$3=""),"",_xll.ciqfunctions.udf.CIQ($B9,"IQ_GROSS_LOANS",EW$3,$E$3, $J$3, , $G$3, $H$3)/_xll.ciqfunctions.udf.CIQ($B9,"IQ_TOTAL_ASSETS",EW$3,$E$3, $J$3, , $G$3, $H$3)),"")</f>
        <v/>
      </c>
      <c r="EX9" s="87" t="str">
        <f>IFERROR(IF(OR($B9="",EX$3=""),"",_xll.ciqfunctions.udf.CIQ($B9,"IQ_GROSS_LOANS",EX$3,$E$3, $J$3, , $G$3, $H$3)/_xll.ciqfunctions.udf.CIQ($B9,"IQ_TOTAL_ASSETS",EX$3,$E$3, $J$3, , $G$3, $H$3)),"")</f>
        <v/>
      </c>
      <c r="EY9" s="87" t="str">
        <f>IFERROR(IF(OR($B9="",EY$3=""),"",_xll.ciqfunctions.udf.CIQ($B9,"IQ_GROSS_LOANS",EY$3,$E$3, $J$3, , $G$3, $H$3)/_xll.ciqfunctions.udf.CIQ($B9,"IQ_TOTAL_ASSETS",EY$3,$E$3, $J$3, , $G$3, $H$3)),"")</f>
        <v/>
      </c>
      <c r="EZ9" s="87" t="str">
        <f>IFERROR(IF(OR($B9="",EZ$3=""),"",_xll.ciqfunctions.udf.CIQ($B9,"IQ_GROSS_LOANS",EZ$3,$E$3, $J$3, , $G$3, $H$3)/_xll.ciqfunctions.udf.CIQ($B9,"IQ_TOTAL_ASSETS",EZ$3,$E$3, $J$3, , $G$3, $H$3)),"")</f>
        <v/>
      </c>
      <c r="FA9" s="87" t="str">
        <f>IFERROR(IF(OR($B9="",FA$3=""),"",_xll.ciqfunctions.udf.CIQ($B9,"IQ_GROSS_LOANS",FA$3,$E$3, $J$3, , $G$3, $H$3)/_xll.ciqfunctions.udf.CIQ($B9,"IQ_TOTAL_ASSETS",FA$3,$E$3, $J$3, , $G$3, $H$3)),"")</f>
        <v/>
      </c>
      <c r="FB9" s="87" t="str">
        <f>IFERROR(IF(OR($B9="",FB$3=""),"",_xll.ciqfunctions.udf.CIQ($B9,"IQ_GROSS_LOANS",FB$3,$E$3, $J$3, , $G$3, $H$3)/_xll.ciqfunctions.udf.CIQ($B9,"IQ_TOTAL_ASSETS",FB$3,$E$3, $J$3, , $G$3, $H$3)),"")</f>
        <v/>
      </c>
      <c r="FC9" s="87" t="str">
        <f>IFERROR(IF(OR($B9="",FC$3=""),"",_xll.ciqfunctions.udf.CIQ($B9,"IQ_GROSS_LOANS",FC$3,$E$3, $J$3, , $G$3, $H$3)/_xll.ciqfunctions.udf.CIQ($B9,"IQ_TOTAL_ASSETS",FC$3,$E$3, $J$3, , $G$3, $H$3)),"")</f>
        <v/>
      </c>
      <c r="FD9" s="87" t="str">
        <f>IFERROR(IF(OR($B9="",FD$3=""),"",_xll.ciqfunctions.udf.CIQ($B9,"IQ_GROSS_LOANS",FD$3,$E$3, $J$3, , $G$3, $H$3)/_xll.ciqfunctions.udf.CIQ($B9,"IQ_TOTAL_ASSETS",FD$3,$E$3, $J$3, , $G$3, $H$3)),"")</f>
        <v/>
      </c>
      <c r="FE9" s="87" t="str">
        <f>IFERROR(IF(OR($B9="",FE$3=""),"",_xll.ciqfunctions.udf.CIQ($B9,"IQ_GROSS_LOANS",FE$3,$E$3, $J$3, , $G$3, $H$3)/_xll.ciqfunctions.udf.CIQ($B9,"IQ_TOTAL_ASSETS",FE$3,$E$3, $J$3, , $G$3, $H$3)),"")</f>
        <v/>
      </c>
      <c r="FF9" s="87" t="str">
        <f>IFERROR(IF(OR($B9="",FF$3=""),"",_xll.ciqfunctions.udf.CIQ($B9,"IQ_GROSS_LOANS",FF$3,$E$3, $J$3, , $G$3, $H$3)/_xll.ciqfunctions.udf.CIQ($B9,"IQ_TOTAL_ASSETS",FF$3,$E$3, $J$3, , $G$3, $H$3)),"")</f>
        <v/>
      </c>
      <c r="FG9" s="87" t="str">
        <f>IFERROR(IF(OR($B9="",FG$3=""),"",_xll.ciqfunctions.udf.CIQ($B9,"IQ_GROSS_LOANS",FG$3,$E$3, $J$3, , $G$3, $H$3)/_xll.ciqfunctions.udf.CIQ($B9,"IQ_TOTAL_ASSETS",FG$3,$E$3, $J$3, , $G$3, $H$3)),"")</f>
        <v/>
      </c>
      <c r="FH9" s="87" t="str">
        <f>IFERROR(IF(OR($B9="",FH$3=""),"",_xll.ciqfunctions.udf.CIQ($B9,"IQ_GROSS_LOANS",FH$3,$E$3, $J$3, , $G$3, $H$3)/_xll.ciqfunctions.udf.CIQ($B9,"IQ_TOTAL_ASSETS",FH$3,$E$3, $J$3, , $G$3, $H$3)),"")</f>
        <v/>
      </c>
      <c r="FI9" s="87" t="str">
        <f>IFERROR(IF(OR($B9="",FI$3=""),"",_xll.ciqfunctions.udf.CIQ($B9,"IQ_GROSS_LOANS",FI$3,$E$3, $J$3, , $G$3, $H$3)/_xll.ciqfunctions.udf.CIQ($B9,"IQ_TOTAL_ASSETS",FI$3,$E$3, $J$3, , $G$3, $H$3)),"")</f>
        <v/>
      </c>
      <c r="FJ9" s="87" t="str">
        <f>IFERROR(IF(OR($B9="",FJ$3=""),"",_xll.ciqfunctions.udf.CIQ($B9,"IQ_GROSS_LOANS",FJ$3,$E$3, $J$3, , $G$3, $H$3)/_xll.ciqfunctions.udf.CIQ($B9,"IQ_TOTAL_ASSETS",FJ$3,$E$3, $J$3, , $G$3, $H$3)),"")</f>
        <v/>
      </c>
      <c r="FK9" s="87" t="str">
        <f>IFERROR(IF(OR($B9="",FK$3=""),"",_xll.ciqfunctions.udf.CIQ($B9,"IQ_GROSS_LOANS",FK$3,$E$3, $J$3, , $G$3, $H$3)/_xll.ciqfunctions.udf.CIQ($B9,"IQ_TOTAL_ASSETS",FK$3,$E$3, $J$3, , $G$3, $H$3)),"")</f>
        <v/>
      </c>
      <c r="FL9" s="87" t="str">
        <f>IFERROR(IF(OR($B9="",FL$3=""),"",_xll.ciqfunctions.udf.CIQ($B9,"IQ_GROSS_LOANS",FL$3,$E$3, $J$3, , $G$3, $H$3)/_xll.ciqfunctions.udf.CIQ($B9,"IQ_TOTAL_ASSETS",FL$3,$E$3, $J$3, , $G$3, $H$3)),"")</f>
        <v/>
      </c>
      <c r="FM9" s="87" t="str">
        <f>IFERROR(IF(OR($B9="",FM$3=""),"",_xll.ciqfunctions.udf.CIQ($B9,"IQ_GROSS_LOANS",FM$3,$E$3, $J$3, , $G$3, $H$3)/_xll.ciqfunctions.udf.CIQ($B9,"IQ_TOTAL_ASSETS",FM$3,$E$3, $J$3, , $G$3, $H$3)),"")</f>
        <v/>
      </c>
      <c r="FN9" s="88" t="str">
        <f>IFERROR(IF(OR($B9="",FN$3=""),"",_xll.ciqfunctions.udf.CIQ($B9,"IQ_GROSS_LOANS",FN$3,$E$3, $J$3, , $G$3, $H$3)/_xll.ciqfunctions.udf.CIQ($B9,"IQ_TOTAL_ASSETS",FN$3,$E$3, $J$3, , $G$3, $H$3)),"")</f>
        <v/>
      </c>
      <c r="FO9" s="86" t="str">
        <f>IFERROR(IF(OR($B9="",FO$3=""),"",_xll.ciqfunctions.udf.CIQ($B9,"IQ_NON_PERFORMING_LOANS",FO$3,$E$3, $J$3, , $G$3, $H$3)/_xll.ciqfunctions.udf.CIQ($B9,"IQ_TOTAL_LOANS",FO$3,$E$3, $J$3, , $G$3, $H$3)),"")</f>
        <v/>
      </c>
      <c r="FP9" s="87" t="str">
        <f>IFERROR(IF(OR($B9="",FP$3=""),"",_xll.ciqfunctions.udf.CIQ($B9,"IQ_NON_PERFORMING_LOANS",FP$3,$E$3, $J$3, , $G$3, $H$3)/_xll.ciqfunctions.udf.CIQ($B9,"IQ_TOTAL_LOANS",FP$3,$E$3, $J$3, , $G$3, $H$3)),"")</f>
        <v/>
      </c>
      <c r="FQ9" s="87" t="str">
        <f>IFERROR(IF(OR($B9="",FQ$3=""),"",_xll.ciqfunctions.udf.CIQ($B9,"IQ_NON_PERFORMING_LOANS",FQ$3,$E$3, $J$3, , $G$3, $H$3)/_xll.ciqfunctions.udf.CIQ($B9,"IQ_TOTAL_LOANS",FQ$3,$E$3, $J$3, , $G$3, $H$3)),"")</f>
        <v/>
      </c>
      <c r="FR9" s="87" t="str">
        <f>IFERROR(IF(OR($B9="",FR$3=""),"",_xll.ciqfunctions.udf.CIQ($B9,"IQ_NON_PERFORMING_LOANS",FR$3,$E$3, $J$3, , $G$3, $H$3)/_xll.ciqfunctions.udf.CIQ($B9,"IQ_TOTAL_LOANS",FR$3,$E$3, $J$3, , $G$3, $H$3)),"")</f>
        <v/>
      </c>
      <c r="FS9" s="87" t="str">
        <f>IFERROR(IF(OR($B9="",FS$3=""),"",_xll.ciqfunctions.udf.CIQ($B9,"IQ_NON_PERFORMING_LOANS",FS$3,$E$3, $J$3, , $G$3, $H$3)/_xll.ciqfunctions.udf.CIQ($B9,"IQ_TOTAL_LOANS",FS$3,$E$3, $J$3, , $G$3, $H$3)),"")</f>
        <v/>
      </c>
      <c r="FT9" s="87" t="str">
        <f>IFERROR(IF(OR($B9="",FT$3=""),"",_xll.ciqfunctions.udf.CIQ($B9,"IQ_NON_PERFORMING_LOANS",FT$3,$E$3, $J$3, , $G$3, $H$3)/_xll.ciqfunctions.udf.CIQ($B9,"IQ_TOTAL_LOANS",FT$3,$E$3, $J$3, , $G$3, $H$3)),"")</f>
        <v/>
      </c>
      <c r="FU9" s="87" t="str">
        <f>IFERROR(IF(OR($B9="",FU$3=""),"",_xll.ciqfunctions.udf.CIQ($B9,"IQ_NON_PERFORMING_LOANS",FU$3,$E$3, $J$3, , $G$3, $H$3)/_xll.ciqfunctions.udf.CIQ($B9,"IQ_TOTAL_LOANS",FU$3,$E$3, $J$3, , $G$3, $H$3)),"")</f>
        <v/>
      </c>
      <c r="FV9" s="87" t="str">
        <f>IFERROR(IF(OR($B9="",FV$3=""),"",_xll.ciqfunctions.udf.CIQ($B9,"IQ_NON_PERFORMING_LOANS",FV$3,$E$3, $J$3, , $G$3, $H$3)/_xll.ciqfunctions.udf.CIQ($B9,"IQ_TOTAL_LOANS",FV$3,$E$3, $J$3, , $G$3, $H$3)),"")</f>
        <v/>
      </c>
      <c r="FW9" s="87" t="str">
        <f>IFERROR(IF(OR($B9="",FW$3=""),"",_xll.ciqfunctions.udf.CIQ($B9,"IQ_NON_PERFORMING_LOANS",FW$3,$E$3, $J$3, , $G$3, $H$3)/_xll.ciqfunctions.udf.CIQ($B9,"IQ_TOTAL_LOANS",FW$3,$E$3, $J$3, , $G$3, $H$3)),"")</f>
        <v/>
      </c>
      <c r="FX9" s="87" t="str">
        <f>IFERROR(IF(OR($B9="",FX$3=""),"",_xll.ciqfunctions.udf.CIQ($B9,"IQ_NON_PERFORMING_LOANS",FX$3,$E$3, $J$3, , $G$3, $H$3)/_xll.ciqfunctions.udf.CIQ($B9,"IQ_TOTAL_LOANS",FX$3,$E$3, $J$3, , $G$3, $H$3)),"")</f>
        <v/>
      </c>
      <c r="FY9" s="87" t="str">
        <f>IFERROR(IF(OR($B9="",FY$3=""),"",_xll.ciqfunctions.udf.CIQ($B9,"IQ_NON_PERFORMING_LOANS",FY$3,$E$3, $J$3, , $G$3, $H$3)/_xll.ciqfunctions.udf.CIQ($B9,"IQ_TOTAL_LOANS",FY$3,$E$3, $J$3, , $G$3, $H$3)),"")</f>
        <v/>
      </c>
      <c r="FZ9" s="87" t="str">
        <f>IFERROR(IF(OR($B9="",FZ$3=""),"",_xll.ciqfunctions.udf.CIQ($B9,"IQ_NON_PERFORMING_LOANS",FZ$3,$E$3, $J$3, , $G$3, $H$3)/_xll.ciqfunctions.udf.CIQ($B9,"IQ_TOTAL_LOANS",FZ$3,$E$3, $J$3, , $G$3, $H$3)),"")</f>
        <v/>
      </c>
      <c r="GA9" s="87" t="str">
        <f>IFERROR(IF(OR($B9="",GA$3=""),"",_xll.ciqfunctions.udf.CIQ($B9,"IQ_NON_PERFORMING_LOANS",GA$3,$E$3, $J$3, , $G$3, $H$3)/_xll.ciqfunctions.udf.CIQ($B9,"IQ_TOTAL_LOANS",GA$3,$E$3, $J$3, , $G$3, $H$3)),"")</f>
        <v/>
      </c>
      <c r="GB9" s="87" t="str">
        <f>IFERROR(IF(OR($B9="",GB$3=""),"",_xll.ciqfunctions.udf.CIQ($B9,"IQ_NON_PERFORMING_LOANS",GB$3,$E$3, $J$3, , $G$3, $H$3)/_xll.ciqfunctions.udf.CIQ($B9,"IQ_TOTAL_LOANS",GB$3,$E$3, $J$3, , $G$3, $H$3)),"")</f>
        <v/>
      </c>
      <c r="GC9" s="87" t="str">
        <f>IFERROR(IF(OR($B9="",GC$3=""),"",_xll.ciqfunctions.udf.CIQ($B9,"IQ_NON_PERFORMING_LOANS",GC$3,$E$3, $J$3, , $G$3, $H$3)/_xll.ciqfunctions.udf.CIQ($B9,"IQ_TOTAL_LOANS",GC$3,$E$3, $J$3, , $G$3, $H$3)),"")</f>
        <v/>
      </c>
      <c r="GD9" s="87" t="str">
        <f>IFERROR(IF(OR($B9="",GD$3=""),"",_xll.ciqfunctions.udf.CIQ($B9,"IQ_NON_PERFORMING_LOANS",GD$3,$E$3, $J$3, , $G$3, $H$3)/_xll.ciqfunctions.udf.CIQ($B9,"IQ_TOTAL_LOANS",GD$3,$E$3, $J$3, , $G$3, $H$3)),"")</f>
        <v/>
      </c>
      <c r="GE9" s="87" t="str">
        <f>IFERROR(IF(OR($B9="",GE$3=""),"",_xll.ciqfunctions.udf.CIQ($B9,"IQ_NON_PERFORMING_LOANS",GE$3,$E$3, $J$3, , $G$3, $H$3)/_xll.ciqfunctions.udf.CIQ($B9,"IQ_TOTAL_LOANS",GE$3,$E$3, $J$3, , $G$3, $H$3)),"")</f>
        <v/>
      </c>
      <c r="GF9" s="87" t="str">
        <f>IFERROR(IF(OR($B9="",GF$3=""),"",_xll.ciqfunctions.udf.CIQ($B9,"IQ_NON_PERFORMING_LOANS",GF$3,$E$3, $J$3, , $G$3, $H$3)/_xll.ciqfunctions.udf.CIQ($B9,"IQ_TOTAL_LOANS",GF$3,$E$3, $J$3, , $G$3, $H$3)),"")</f>
        <v/>
      </c>
      <c r="GG9" s="87" t="str">
        <f>IFERROR(IF(OR($B9="",GG$3=""),"",_xll.ciqfunctions.udf.CIQ($B9,"IQ_NON_PERFORMING_LOANS",GG$3,$E$3, $J$3, , $G$3, $H$3)/_xll.ciqfunctions.udf.CIQ($B9,"IQ_TOTAL_LOANS",GG$3,$E$3, $J$3, , $G$3, $H$3)),"")</f>
        <v/>
      </c>
      <c r="GH9" s="88" t="str">
        <f>IFERROR(IF(OR($B9="",GH$3=""),"",_xll.ciqfunctions.udf.CIQ($B9,"IQ_NON_PERFORMING_LOANS",GH$3,$E$3, $J$3, , $G$3, $H$3)/_xll.ciqfunctions.udf.CIQ($B9,"IQ_TOTAL_LOANS",GH$3,$E$3, $J$3, , $G$3, $H$3)),"")</f>
        <v/>
      </c>
      <c r="GI9" s="86" t="str">
        <f>IFERROR(IF(OR($B9="",GI$3=""),"",_xll.ciqfunctions.udf.CIQ($B9,"IQ_NON_PERFORMING_ASSETS",GI$3,$E$3, $J$3, , $G$3, $H$3)/_xll.ciqfunctions.udf.CIQ($B9,"IQ_TOTAL_ASSETS",GI$3,$E$3, $J$3, , $G$3, $H$3)),"")</f>
        <v/>
      </c>
      <c r="GJ9" s="87" t="str">
        <f>IFERROR(IF(OR($B9="",GJ$3=""),"",_xll.ciqfunctions.udf.CIQ($B9,"IQ_NON_PERFORMING_ASSETS",GJ$3,$E$3, $J$3, , $G$3, $H$3)/_xll.ciqfunctions.udf.CIQ($B9,"IQ_TOTAL_ASSETS",GJ$3,$E$3, $J$3, , $G$3, $H$3)),"")</f>
        <v/>
      </c>
      <c r="GK9" s="87" t="str">
        <f>IFERROR(IF(OR($B9="",GK$3=""),"",_xll.ciqfunctions.udf.CIQ($B9,"IQ_NON_PERFORMING_ASSETS",GK$3,$E$3, $J$3, , $G$3, $H$3)/_xll.ciqfunctions.udf.CIQ($B9,"IQ_TOTAL_ASSETS",GK$3,$E$3, $J$3, , $G$3, $H$3)),"")</f>
        <v/>
      </c>
      <c r="GL9" s="87" t="str">
        <f>IFERROR(IF(OR($B9="",GL$3=""),"",_xll.ciqfunctions.udf.CIQ($B9,"IQ_NON_PERFORMING_ASSETS",GL$3,$E$3, $J$3, , $G$3, $H$3)/_xll.ciqfunctions.udf.CIQ($B9,"IQ_TOTAL_ASSETS",GL$3,$E$3, $J$3, , $G$3, $H$3)),"")</f>
        <v/>
      </c>
      <c r="GM9" s="87" t="str">
        <f>IFERROR(IF(OR($B9="",GM$3=""),"",_xll.ciqfunctions.udf.CIQ($B9,"IQ_NON_PERFORMING_ASSETS",GM$3,$E$3, $J$3, , $G$3, $H$3)/_xll.ciqfunctions.udf.CIQ($B9,"IQ_TOTAL_ASSETS",GM$3,$E$3, $J$3, , $G$3, $H$3)),"")</f>
        <v/>
      </c>
      <c r="GN9" s="87" t="str">
        <f>IFERROR(IF(OR($B9="",GN$3=""),"",_xll.ciqfunctions.udf.CIQ($B9,"IQ_NON_PERFORMING_ASSETS",GN$3,$E$3, $J$3, , $G$3, $H$3)/_xll.ciqfunctions.udf.CIQ($B9,"IQ_TOTAL_ASSETS",GN$3,$E$3, $J$3, , $G$3, $H$3)),"")</f>
        <v/>
      </c>
      <c r="GO9" s="87" t="str">
        <f>IFERROR(IF(OR($B9="",GO$3=""),"",_xll.ciqfunctions.udf.CIQ($B9,"IQ_NON_PERFORMING_ASSETS",GO$3,$E$3, $J$3, , $G$3, $H$3)/_xll.ciqfunctions.udf.CIQ($B9,"IQ_TOTAL_ASSETS",GO$3,$E$3, $J$3, , $G$3, $H$3)),"")</f>
        <v/>
      </c>
      <c r="GP9" s="87" t="str">
        <f>IFERROR(IF(OR($B9="",GP$3=""),"",_xll.ciqfunctions.udf.CIQ($B9,"IQ_NON_PERFORMING_ASSETS",GP$3,$E$3, $J$3, , $G$3, $H$3)/_xll.ciqfunctions.udf.CIQ($B9,"IQ_TOTAL_ASSETS",GP$3,$E$3, $J$3, , $G$3, $H$3)),"")</f>
        <v/>
      </c>
      <c r="GQ9" s="87" t="str">
        <f>IFERROR(IF(OR($B9="",GQ$3=""),"",_xll.ciqfunctions.udf.CIQ($B9,"IQ_NON_PERFORMING_ASSETS",GQ$3,$E$3, $J$3, , $G$3, $H$3)/_xll.ciqfunctions.udf.CIQ($B9,"IQ_TOTAL_ASSETS",GQ$3,$E$3, $J$3, , $G$3, $H$3)),"")</f>
        <v/>
      </c>
      <c r="GR9" s="87" t="str">
        <f>IFERROR(IF(OR($B9="",GR$3=""),"",_xll.ciqfunctions.udf.CIQ($B9,"IQ_NON_PERFORMING_ASSETS",GR$3,$E$3, $J$3, , $G$3, $H$3)/_xll.ciqfunctions.udf.CIQ($B9,"IQ_TOTAL_ASSETS",GR$3,$E$3, $J$3, , $G$3, $H$3)),"")</f>
        <v/>
      </c>
      <c r="GS9" s="87" t="str">
        <f>IFERROR(IF(OR($B9="",GS$3=""),"",_xll.ciqfunctions.udf.CIQ($B9,"IQ_NON_PERFORMING_ASSETS",GS$3,$E$3, $J$3, , $G$3, $H$3)/_xll.ciqfunctions.udf.CIQ($B9,"IQ_TOTAL_ASSETS",GS$3,$E$3, $J$3, , $G$3, $H$3)),"")</f>
        <v/>
      </c>
      <c r="GT9" s="87" t="str">
        <f>IFERROR(IF(OR($B9="",GT$3=""),"",_xll.ciqfunctions.udf.CIQ($B9,"IQ_NON_PERFORMING_ASSETS",GT$3,$E$3, $J$3, , $G$3, $H$3)/_xll.ciqfunctions.udf.CIQ($B9,"IQ_TOTAL_ASSETS",GT$3,$E$3, $J$3, , $G$3, $H$3)),"")</f>
        <v/>
      </c>
      <c r="GU9" s="87" t="str">
        <f>IFERROR(IF(OR($B9="",GU$3=""),"",_xll.ciqfunctions.udf.CIQ($B9,"IQ_NON_PERFORMING_ASSETS",GU$3,$E$3, $J$3, , $G$3, $H$3)/_xll.ciqfunctions.udf.CIQ($B9,"IQ_TOTAL_ASSETS",GU$3,$E$3, $J$3, , $G$3, $H$3)),"")</f>
        <v/>
      </c>
      <c r="GV9" s="87" t="str">
        <f>IFERROR(IF(OR($B9="",GV$3=""),"",_xll.ciqfunctions.udf.CIQ($B9,"IQ_NON_PERFORMING_ASSETS",GV$3,$E$3, $J$3, , $G$3, $H$3)/_xll.ciqfunctions.udf.CIQ($B9,"IQ_TOTAL_ASSETS",GV$3,$E$3, $J$3, , $G$3, $H$3)),"")</f>
        <v/>
      </c>
      <c r="GW9" s="87" t="str">
        <f>IFERROR(IF(OR($B9="",GW$3=""),"",_xll.ciqfunctions.udf.CIQ($B9,"IQ_NON_PERFORMING_ASSETS",GW$3,$E$3, $J$3, , $G$3, $H$3)/_xll.ciqfunctions.udf.CIQ($B9,"IQ_TOTAL_ASSETS",GW$3,$E$3, $J$3, , $G$3, $H$3)),"")</f>
        <v/>
      </c>
      <c r="GX9" s="87" t="str">
        <f>IFERROR(IF(OR($B9="",GX$3=""),"",_xll.ciqfunctions.udf.CIQ($B9,"IQ_NON_PERFORMING_ASSETS",GX$3,$E$3, $J$3, , $G$3, $H$3)/_xll.ciqfunctions.udf.CIQ($B9,"IQ_TOTAL_ASSETS",GX$3,$E$3, $J$3, , $G$3, $H$3)),"")</f>
        <v/>
      </c>
      <c r="GY9" s="87" t="str">
        <f>IFERROR(IF(OR($B9="",GY$3=""),"",_xll.ciqfunctions.udf.CIQ($B9,"IQ_NON_PERFORMING_ASSETS",GY$3,$E$3, $J$3, , $G$3, $H$3)/_xll.ciqfunctions.udf.CIQ($B9,"IQ_TOTAL_ASSETS",GY$3,$E$3, $J$3, , $G$3, $H$3)),"")</f>
        <v/>
      </c>
      <c r="GZ9" s="87" t="str">
        <f>IFERROR(IF(OR($B9="",GZ$3=""),"",_xll.ciqfunctions.udf.CIQ($B9,"IQ_NON_PERFORMING_ASSETS",GZ$3,$E$3, $J$3, , $G$3, $H$3)/_xll.ciqfunctions.udf.CIQ($B9,"IQ_TOTAL_ASSETS",GZ$3,$E$3, $J$3, , $G$3, $H$3)),"")</f>
        <v/>
      </c>
      <c r="HA9" s="87" t="str">
        <f>IFERROR(IF(OR($B9="",HA$3=""),"",_xll.ciqfunctions.udf.CIQ($B9,"IQ_NON_PERFORMING_ASSETS",HA$3,$E$3, $J$3, , $G$3, $H$3)/_xll.ciqfunctions.udf.CIQ($B9,"IQ_TOTAL_ASSETS",HA$3,$E$3, $J$3, , $G$3, $H$3)),"")</f>
        <v/>
      </c>
      <c r="HB9" s="88" t="str">
        <f>IFERROR(IF(OR($B9="",HB$3=""),"",_xll.ciqfunctions.udf.CIQ($B9,"IQ_NON_PERFORMING_ASSETS",HB$3,$E$3, $J$3, , $G$3, $H$3)/_xll.ciqfunctions.udf.CIQ($B9,"IQ_TOTAL_ASSETS",HB$3,$E$3, $J$3, , $G$3, $H$3)),"")</f>
        <v/>
      </c>
      <c r="HC9" s="86" t="str">
        <f>IFERROR(IF(OR($B9="",HC$3=""),"",_xll.ciqfunctions.udf.CIQ($B9, "IQ_NI", $I$3, HC$3,$J$3, ,$G$3,$H$3)*2/(_xll.ciqfunctions.udf.CIQ($B9,"IQ_TOTAL_ASSETS",HC$3,$E$3, $J$3, , $G$3, $H$3)+_xll.ciqfunctions.udf.CIQ($B9,"IQ_TOTAL_ASSETS","IQ_" &amp; LEFT(HC$3,2) &amp; "-1",HC$3, $J$3, , $G$3, $H$3))),"")</f>
        <v/>
      </c>
      <c r="HD9" s="87" t="str">
        <f>IFERROR(IF(OR($B9="",HD$3=""),"",_xll.ciqfunctions.udf.CIQ($B9, "IQ_NI", $I$3, HD$3,$J$3, ,$G$3,$H$3)*2/(_xll.ciqfunctions.udf.CIQ($B9,"IQ_TOTAL_ASSETS",HD$3,$E$3, $J$3, , $G$3, $H$3)+_xll.ciqfunctions.udf.CIQ($B9,"IQ_TOTAL_ASSETS","IQ_" &amp; LEFT(HD$3,2) &amp; "-1",HD$3, $J$3, , $G$3, $H$3))),"")</f>
        <v/>
      </c>
      <c r="HE9" s="87" t="str">
        <f>IFERROR(IF(OR($B9="",HE$3=""),"",_xll.ciqfunctions.udf.CIQ($B9, "IQ_NI", $I$3, HE$3,$J$3, ,$G$3,$H$3)*2/(_xll.ciqfunctions.udf.CIQ($B9,"IQ_TOTAL_ASSETS",HE$3,$E$3, $J$3, , $G$3, $H$3)+_xll.ciqfunctions.udf.CIQ($B9,"IQ_TOTAL_ASSETS","IQ_" &amp; LEFT(HE$3,2) &amp; "-1",HE$3, $J$3, , $G$3, $H$3))),"")</f>
        <v/>
      </c>
      <c r="HF9" s="87" t="str">
        <f>IFERROR(IF(OR($B9="",HF$3=""),"",_xll.ciqfunctions.udf.CIQ($B9, "IQ_NI", $I$3, HF$3,$J$3, ,$G$3,$H$3)*2/(_xll.ciqfunctions.udf.CIQ($B9,"IQ_TOTAL_ASSETS",HF$3,$E$3, $J$3, , $G$3, $H$3)+_xll.ciqfunctions.udf.CIQ($B9,"IQ_TOTAL_ASSETS","IQ_" &amp; LEFT(HF$3,2) &amp; "-1",HF$3, $J$3, , $G$3, $H$3))),"")</f>
        <v/>
      </c>
      <c r="HG9" s="87" t="str">
        <f>IFERROR(IF(OR($B9="",HG$3=""),"",_xll.ciqfunctions.udf.CIQ($B9, "IQ_NI", $I$3, HG$3,$J$3, ,$G$3,$H$3)*2/(_xll.ciqfunctions.udf.CIQ($B9,"IQ_TOTAL_ASSETS",HG$3,$E$3, $J$3, , $G$3, $H$3)+_xll.ciqfunctions.udf.CIQ($B9,"IQ_TOTAL_ASSETS","IQ_" &amp; LEFT(HG$3,2) &amp; "-1",HG$3, $J$3, , $G$3, $H$3))),"")</f>
        <v/>
      </c>
      <c r="HH9" s="87" t="str">
        <f>IFERROR(IF(OR($B9="",HH$3=""),"",_xll.ciqfunctions.udf.CIQ($B9, "IQ_NI", $I$3, HH$3,$J$3, ,$G$3,$H$3)*2/(_xll.ciqfunctions.udf.CIQ($B9,"IQ_TOTAL_ASSETS",HH$3,$E$3, $J$3, , $G$3, $H$3)+_xll.ciqfunctions.udf.CIQ($B9,"IQ_TOTAL_ASSETS","IQ_" &amp; LEFT(HH$3,2) &amp; "-1",HH$3, $J$3, , $G$3, $H$3))),"")</f>
        <v/>
      </c>
      <c r="HI9" s="87" t="str">
        <f>IFERROR(IF(OR($B9="",HI$3=""),"",_xll.ciqfunctions.udf.CIQ($B9, "IQ_NI", $I$3, HI$3,$J$3, ,$G$3,$H$3)*2/(_xll.ciqfunctions.udf.CIQ($B9,"IQ_TOTAL_ASSETS",HI$3,$E$3, $J$3, , $G$3, $H$3)+_xll.ciqfunctions.udf.CIQ($B9,"IQ_TOTAL_ASSETS","IQ_" &amp; LEFT(HI$3,2) &amp; "-1",HI$3, $J$3, , $G$3, $H$3))),"")</f>
        <v/>
      </c>
      <c r="HJ9" s="87" t="str">
        <f>IFERROR(IF(OR($B9="",HJ$3=""),"",_xll.ciqfunctions.udf.CIQ($B9, "IQ_NI", $I$3, HJ$3,$J$3, ,$G$3,$H$3)*2/(_xll.ciqfunctions.udf.CIQ($B9,"IQ_TOTAL_ASSETS",HJ$3,$E$3, $J$3, , $G$3, $H$3)+_xll.ciqfunctions.udf.CIQ($B9,"IQ_TOTAL_ASSETS","IQ_" &amp; LEFT(HJ$3,2) &amp; "-1",HJ$3, $J$3, , $G$3, $H$3))),"")</f>
        <v/>
      </c>
      <c r="HK9" s="87" t="str">
        <f>IFERROR(IF(OR($B9="",HK$3=""),"",_xll.ciqfunctions.udf.CIQ($B9, "IQ_NI", $I$3, HK$3,$J$3, ,$G$3,$H$3)*2/(_xll.ciqfunctions.udf.CIQ($B9,"IQ_TOTAL_ASSETS",HK$3,$E$3, $J$3, , $G$3, $H$3)+_xll.ciqfunctions.udf.CIQ($B9,"IQ_TOTAL_ASSETS","IQ_" &amp; LEFT(HK$3,2) &amp; "-1",HK$3, $J$3, , $G$3, $H$3))),"")</f>
        <v/>
      </c>
      <c r="HL9" s="87" t="str">
        <f>IFERROR(IF(OR($B9="",HL$3=""),"",_xll.ciqfunctions.udf.CIQ($B9, "IQ_NI", $I$3, HL$3,$J$3, ,$G$3,$H$3)*2/(_xll.ciqfunctions.udf.CIQ($B9,"IQ_TOTAL_ASSETS",HL$3,$E$3, $J$3, , $G$3, $H$3)+_xll.ciqfunctions.udf.CIQ($B9,"IQ_TOTAL_ASSETS","IQ_" &amp; LEFT(HL$3,2) &amp; "-1",HL$3, $J$3, , $G$3, $H$3))),"")</f>
        <v/>
      </c>
      <c r="HM9" s="87" t="str">
        <f>IFERROR(IF(OR($B9="",HM$3=""),"",_xll.ciqfunctions.udf.CIQ($B9, "IQ_NI", $I$3, HM$3,$J$3, ,$G$3,$H$3)*2/(_xll.ciqfunctions.udf.CIQ($B9,"IQ_TOTAL_ASSETS",HM$3,$E$3, $J$3, , $G$3, $H$3)+_xll.ciqfunctions.udf.CIQ($B9,"IQ_TOTAL_ASSETS","IQ_" &amp; LEFT(HM$3,2) &amp; "-1",HM$3, $J$3, , $G$3, $H$3))),"")</f>
        <v/>
      </c>
      <c r="HN9" s="87" t="str">
        <f>IFERROR(IF(OR($B9="",HN$3=""),"",_xll.ciqfunctions.udf.CIQ($B9, "IQ_NI", $I$3, HN$3,$J$3, ,$G$3,$H$3)*2/(_xll.ciqfunctions.udf.CIQ($B9,"IQ_TOTAL_ASSETS",HN$3,$E$3, $J$3, , $G$3, $H$3)+_xll.ciqfunctions.udf.CIQ($B9,"IQ_TOTAL_ASSETS","IQ_" &amp; LEFT(HN$3,2) &amp; "-1",HN$3, $J$3, , $G$3, $H$3))),"")</f>
        <v/>
      </c>
      <c r="HO9" s="87" t="str">
        <f>IFERROR(IF(OR($B9="",HO$3=""),"",_xll.ciqfunctions.udf.CIQ($B9, "IQ_NI", $I$3, HO$3,$J$3, ,$G$3,$H$3)*2/(_xll.ciqfunctions.udf.CIQ($B9,"IQ_TOTAL_ASSETS",HO$3,$E$3, $J$3, , $G$3, $H$3)+_xll.ciqfunctions.udf.CIQ($B9,"IQ_TOTAL_ASSETS","IQ_" &amp; LEFT(HO$3,2) &amp; "-1",HO$3, $J$3, , $G$3, $H$3))),"")</f>
        <v/>
      </c>
      <c r="HP9" s="87" t="str">
        <f>IFERROR(IF(OR($B9="",HP$3=""),"",_xll.ciqfunctions.udf.CIQ($B9, "IQ_NI", $I$3, HP$3,$J$3, ,$G$3,$H$3)*2/(_xll.ciqfunctions.udf.CIQ($B9,"IQ_TOTAL_ASSETS",HP$3,$E$3, $J$3, , $G$3, $H$3)+_xll.ciqfunctions.udf.CIQ($B9,"IQ_TOTAL_ASSETS","IQ_" &amp; LEFT(HP$3,2) &amp; "-1",HP$3, $J$3, , $G$3, $H$3))),"")</f>
        <v/>
      </c>
      <c r="HQ9" s="87" t="str">
        <f>IFERROR(IF(OR($B9="",HQ$3=""),"",_xll.ciqfunctions.udf.CIQ($B9, "IQ_NI", $I$3, HQ$3,$J$3, ,$G$3,$H$3)*2/(_xll.ciqfunctions.udf.CIQ($B9,"IQ_TOTAL_ASSETS",HQ$3,$E$3, $J$3, , $G$3, $H$3)+_xll.ciqfunctions.udf.CIQ($B9,"IQ_TOTAL_ASSETS","IQ_" &amp; LEFT(HQ$3,2) &amp; "-1",HQ$3, $J$3, , $G$3, $H$3))),"")</f>
        <v/>
      </c>
      <c r="HR9" s="87" t="str">
        <f>IFERROR(IF(OR($B9="",HR$3=""),"",_xll.ciqfunctions.udf.CIQ($B9, "IQ_NI", $I$3, HR$3,$J$3, ,$G$3,$H$3)*2/(_xll.ciqfunctions.udf.CIQ($B9,"IQ_TOTAL_ASSETS",HR$3,$E$3, $J$3, , $G$3, $H$3)+_xll.ciqfunctions.udf.CIQ($B9,"IQ_TOTAL_ASSETS","IQ_" &amp; LEFT(HR$3,2) &amp; "-1",HR$3, $J$3, , $G$3, $H$3))),"")</f>
        <v/>
      </c>
      <c r="HS9" s="87" t="str">
        <f>IFERROR(IF(OR($B9="",HS$3=""),"",_xll.ciqfunctions.udf.CIQ($B9, "IQ_NI", $I$3, HS$3,$J$3, ,$G$3,$H$3)*2/(_xll.ciqfunctions.udf.CIQ($B9,"IQ_TOTAL_ASSETS",HS$3,$E$3, $J$3, , $G$3, $H$3)+_xll.ciqfunctions.udf.CIQ($B9,"IQ_TOTAL_ASSETS","IQ_" &amp; LEFT(HS$3,2) &amp; "-1",HS$3, $J$3, , $G$3, $H$3))),"")</f>
        <v/>
      </c>
      <c r="HT9" s="87" t="str">
        <f>IFERROR(IF(OR($B9="",HT$3=""),"",_xll.ciqfunctions.udf.CIQ($B9, "IQ_NI", $I$3, HT$3,$J$3, ,$G$3,$H$3)*2/(_xll.ciqfunctions.udf.CIQ($B9,"IQ_TOTAL_ASSETS",HT$3,$E$3, $J$3, , $G$3, $H$3)+_xll.ciqfunctions.udf.CIQ($B9,"IQ_TOTAL_ASSETS","IQ_" &amp; LEFT(HT$3,2) &amp; "-1",HT$3, $J$3, , $G$3, $H$3))),"")</f>
        <v/>
      </c>
      <c r="HU9" s="87" t="str">
        <f>IFERROR(IF(OR($B9="",HU$3=""),"",_xll.ciqfunctions.udf.CIQ($B9, "IQ_NI", $I$3, HU$3,$J$3, ,$G$3,$H$3)*2/(_xll.ciqfunctions.udf.CIQ($B9,"IQ_TOTAL_ASSETS",HU$3,$E$3, $J$3, , $G$3, $H$3)+_xll.ciqfunctions.udf.CIQ($B9,"IQ_TOTAL_ASSETS","IQ_" &amp; LEFT(HU$3,2) &amp; "-1",HU$3, $J$3, , $G$3, $H$3))),"")</f>
        <v/>
      </c>
      <c r="HV9" s="88" t="str">
        <f>IFERROR(IF(OR($B9="",HV$3=""),"",_xll.ciqfunctions.udf.CIQ($B9, "IQ_NI", $I$3, HV$3,$J$3, ,$G$3,$H$3)*2/(_xll.ciqfunctions.udf.CIQ($B9,"IQ_TOTAL_ASSETS",HV$3,$E$3, $J$3, , $G$3, $H$3)+_xll.ciqfunctions.udf.CIQ($B9,"IQ_TOTAL_ASSETS","IQ_" &amp; LEFT(HV$3,2) &amp; "-1",HV$3, $J$3, , $G$3, $H$3))),"")</f>
        <v/>
      </c>
      <c r="HW9" s="86" t="str">
        <f>IFERROR(IF(OR($B9="",HW$3=""),"",_xll.ciqfunctions.udf.CIQ($B9,"IQ_CASH_OPER",HW$3,$E$3, $J$3, , $G$3, $H$3)/_xll.ciqfunctions.udf.CIQ($B9,"IQ_TOTAL_REV",HW$3,$E$3, $J$3, , $G$3, $H$3)),0)</f>
        <v/>
      </c>
      <c r="HX9" s="87" t="str">
        <f>IFERROR(IF(OR($B9="",HX$3=""),"",_xll.ciqfunctions.udf.CIQ($B9,"IQ_CASH_OPER",HX$3,$E$3, $J$3, , $G$3, $H$3)/_xll.ciqfunctions.udf.CIQ($B9,"IQ_TOTAL_REV",HX$3,$E$3, $J$3, , $G$3, $H$3)),0)</f>
        <v/>
      </c>
      <c r="HY9" s="87" t="str">
        <f>IFERROR(IF(OR($B9="",HY$3=""),"",_xll.ciqfunctions.udf.CIQ($B9,"IQ_CASH_OPER",HY$3,$E$3, $J$3, , $G$3, $H$3)/_xll.ciqfunctions.udf.CIQ($B9,"IQ_TOTAL_REV",HY$3,$E$3, $J$3, , $G$3, $H$3)),0)</f>
        <v/>
      </c>
      <c r="HZ9" s="87" t="str">
        <f>IFERROR(IF(OR($B9="",HZ$3=""),"",_xll.ciqfunctions.udf.CIQ($B9,"IQ_CASH_OPER",HZ$3,$E$3, $J$3, , $G$3, $H$3)/_xll.ciqfunctions.udf.CIQ($B9,"IQ_TOTAL_REV",HZ$3,$E$3, $J$3, , $G$3, $H$3)),0)</f>
        <v/>
      </c>
      <c r="IA9" s="87" t="str">
        <f>IFERROR(IF(OR($B9="",IA$3=""),"",_xll.ciqfunctions.udf.CIQ($B9,"IQ_CASH_OPER",IA$3,$E$3, $J$3, , $G$3, $H$3)/_xll.ciqfunctions.udf.CIQ($B9,"IQ_TOTAL_REV",IA$3,$E$3, $J$3, , $G$3, $H$3)),0)</f>
        <v/>
      </c>
      <c r="IB9" s="87" t="str">
        <f>IFERROR(IF(OR($B9="",IB$3=""),"",_xll.ciqfunctions.udf.CIQ($B9,"IQ_CASH_OPER",IB$3,$E$3, $J$3, , $G$3, $H$3)/_xll.ciqfunctions.udf.CIQ($B9,"IQ_TOTAL_REV",IB$3,$E$3, $J$3, , $G$3, $H$3)),0)</f>
        <v/>
      </c>
      <c r="IC9" s="87" t="str">
        <f>IFERROR(IF(OR($B9="",IC$3=""),"",_xll.ciqfunctions.udf.CIQ($B9,"IQ_CASH_OPER",IC$3,$E$3, $J$3, , $G$3, $H$3)/_xll.ciqfunctions.udf.CIQ($B9,"IQ_TOTAL_REV",IC$3,$E$3, $J$3, , $G$3, $H$3)),0)</f>
        <v/>
      </c>
      <c r="ID9" s="87" t="str">
        <f>IFERROR(IF(OR($B9="",ID$3=""),"",_xll.ciqfunctions.udf.CIQ($B9,"IQ_CASH_OPER",ID$3,$E$3, $J$3, , $G$3, $H$3)/_xll.ciqfunctions.udf.CIQ($B9,"IQ_TOTAL_REV",ID$3,$E$3, $J$3, , $G$3, $H$3)),0)</f>
        <v/>
      </c>
      <c r="IE9" s="87" t="str">
        <f>IFERROR(IF(OR($B9="",IE$3=""),"",_xll.ciqfunctions.udf.CIQ($B9,"IQ_CASH_OPER",IE$3,$E$3, $J$3, , $G$3, $H$3)/_xll.ciqfunctions.udf.CIQ($B9,"IQ_TOTAL_REV",IE$3,$E$3, $J$3, , $G$3, $H$3)),0)</f>
        <v/>
      </c>
      <c r="IF9" s="87" t="str">
        <f>IFERROR(IF(OR($B9="",IF$3=""),"",_xll.ciqfunctions.udf.CIQ($B9,"IQ_CASH_OPER",IF$3,$E$3, $J$3, , $G$3, $H$3)/_xll.ciqfunctions.udf.CIQ($B9,"IQ_TOTAL_REV",IF$3,$E$3, $J$3, , $G$3, $H$3)),0)</f>
        <v/>
      </c>
      <c r="IG9" s="87" t="str">
        <f>IFERROR(IF(OR($B9="",IG$3=""),"",_xll.ciqfunctions.udf.CIQ($B9,"IQ_CASH_OPER",IG$3,$E$3, $J$3, , $G$3, $H$3)/_xll.ciqfunctions.udf.CIQ($B9,"IQ_TOTAL_REV",IG$3,$E$3, $J$3, , $G$3, $H$3)),0)</f>
        <v/>
      </c>
      <c r="IH9" s="87" t="str">
        <f>IFERROR(IF(OR($B9="",IH$3=""),"",_xll.ciqfunctions.udf.CIQ($B9,"IQ_CASH_OPER",IH$3,$E$3, $J$3, , $G$3, $H$3)/_xll.ciqfunctions.udf.CIQ($B9,"IQ_TOTAL_REV",IH$3,$E$3, $J$3, , $G$3, $H$3)),0)</f>
        <v/>
      </c>
      <c r="II9" s="87" t="str">
        <f>IFERROR(IF(OR($B9="",II$3=""),"",_xll.ciqfunctions.udf.CIQ($B9,"IQ_CASH_OPER",II$3,$E$3, $J$3, , $G$3, $H$3)/_xll.ciqfunctions.udf.CIQ($B9,"IQ_TOTAL_REV",II$3,$E$3, $J$3, , $G$3, $H$3)),0)</f>
        <v/>
      </c>
      <c r="IJ9" s="87" t="str">
        <f>IFERROR(IF(OR($B9="",IJ$3=""),"",_xll.ciqfunctions.udf.CIQ($B9,"IQ_CASH_OPER",IJ$3,$E$3, $J$3, , $G$3, $H$3)/_xll.ciqfunctions.udf.CIQ($B9,"IQ_TOTAL_REV",IJ$3,$E$3, $J$3, , $G$3, $H$3)),0)</f>
        <v/>
      </c>
      <c r="IK9" s="87" t="str">
        <f>IFERROR(IF(OR($B9="",IK$3=""),"",_xll.ciqfunctions.udf.CIQ($B9,"IQ_CASH_OPER",IK$3,$E$3, $J$3, , $G$3, $H$3)/_xll.ciqfunctions.udf.CIQ($B9,"IQ_TOTAL_REV",IK$3,$E$3, $J$3, , $G$3, $H$3)),0)</f>
        <v/>
      </c>
      <c r="IL9" s="87" t="str">
        <f>IFERROR(IF(OR($B9="",IL$3=""),"",_xll.ciqfunctions.udf.CIQ($B9,"IQ_CASH_OPER",IL$3,$E$3, $J$3, , $G$3, $H$3)/_xll.ciqfunctions.udf.CIQ($B9,"IQ_TOTAL_REV",IL$3,$E$3, $J$3, , $G$3, $H$3)),0)</f>
        <v/>
      </c>
      <c r="IM9" s="87" t="str">
        <f>IFERROR(IF(OR($B9="",IM$3=""),"",_xll.ciqfunctions.udf.CIQ($B9,"IQ_CASH_OPER",IM$3,$E$3, $J$3, , $G$3, $H$3)/_xll.ciqfunctions.udf.CIQ($B9,"IQ_TOTAL_REV",IM$3,$E$3, $J$3, , $G$3, $H$3)),0)</f>
        <v/>
      </c>
      <c r="IN9" s="87" t="str">
        <f>IFERROR(IF(OR($B9="",IN$3=""),"",_xll.ciqfunctions.udf.CIQ($B9,"IQ_CASH_OPER",IN$3,$E$3, $J$3, , $G$3, $H$3)/_xll.ciqfunctions.udf.CIQ($B9,"IQ_TOTAL_REV",IN$3,$E$3, $J$3, , $G$3, $H$3)),0)</f>
        <v/>
      </c>
      <c r="IO9" s="87" t="str">
        <f>IFERROR(IF(OR($B9="",IO$3=""),"",_xll.ciqfunctions.udf.CIQ($B9,"IQ_CASH_OPER",IO$3,$E$3, $J$3, , $G$3, $H$3)/_xll.ciqfunctions.udf.CIQ($B9,"IQ_TOTAL_REV",IO$3,$E$3, $J$3, , $G$3, $H$3)),0)</f>
        <v/>
      </c>
      <c r="IP9" s="88" t="str">
        <f>IFERROR(IF(OR($B9="",IP$3=""),"",_xll.ciqfunctions.udf.CIQ($B9,"IQ_CASH_OPER",IP$3,$E$3, $J$3, , $G$3, $H$3)/_xll.ciqfunctions.udf.CIQ($B9,"IQ_TOTAL_REV",IP$3,$E$3, $J$3, , $G$3, $H$3)),0)</f>
        <v/>
      </c>
      <c r="IQ9" s="348" t="str">
        <f>IFERROR(IF(OR(IQ$3="",$B9=""),"",_xll.ciqfunctions.udf.CIQ($B9,"IQ_TOTAL_ASSETS",IQ$3,$E$3, $J$3, , $G$3, $H$3)/_xll.ciqfunctions.udf.CIQ($B9,"IQ_TOTAL_COMMON_EQUITY",IQ$3,$E$3, $J$3, , $G$3, $H$3)),0)</f>
        <v/>
      </c>
      <c r="IR9" s="349" t="str">
        <f>IFERROR(IF(OR(IR$3="",$B9=""),"",_xll.ciqfunctions.udf.CIQ($B9,"IQ_TOTAL_ASSETS",IR$3,$E$3, $J$3, , $G$3, $H$3)/_xll.ciqfunctions.udf.CIQ($B9,"IQ_TOTAL_COMMON_EQUITY",IR$3,$E$3, $J$3, , $G$3, $H$3)),0)</f>
        <v/>
      </c>
      <c r="IS9" s="349" t="str">
        <f>IFERROR(IF(OR(IS$3="",$B9=""),"",_xll.ciqfunctions.udf.CIQ($B9,"IQ_TOTAL_ASSETS",IS$3,$E$3, $J$3, , $G$3, $H$3)/_xll.ciqfunctions.udf.CIQ($B9,"IQ_TOTAL_COMMON_EQUITY",IS$3,$E$3, $J$3, , $G$3, $H$3)),0)</f>
        <v/>
      </c>
      <c r="IT9" s="349" t="str">
        <f>IFERROR(IF(OR(IT$3="",$B9=""),"",_xll.ciqfunctions.udf.CIQ($B9,"IQ_TOTAL_ASSETS",IT$3,$E$3, $J$3, , $G$3, $H$3)/_xll.ciqfunctions.udf.CIQ($B9,"IQ_TOTAL_COMMON_EQUITY",IT$3,$E$3, $J$3, , $G$3, $H$3)),0)</f>
        <v/>
      </c>
      <c r="IU9" s="349" t="str">
        <f>IFERROR(IF(OR(IU$3="",$B9=""),"",_xll.ciqfunctions.udf.CIQ($B9,"IQ_TOTAL_ASSETS",IU$3,$E$3, $J$3, , $G$3, $H$3)/_xll.ciqfunctions.udf.CIQ($B9,"IQ_TOTAL_COMMON_EQUITY",IU$3,$E$3, $J$3, , $G$3, $H$3)),0)</f>
        <v/>
      </c>
      <c r="IV9" s="349" t="str">
        <f>IFERROR(IF(OR(IV$3="",$B9=""),"",_xll.ciqfunctions.udf.CIQ($B9,"IQ_TOTAL_ASSETS",IV$3,$E$3, $J$3, , $G$3, $H$3)/_xll.ciqfunctions.udf.CIQ($B9,"IQ_TOTAL_COMMON_EQUITY",IV$3,$E$3, $J$3, , $G$3, $H$3)),0)</f>
        <v/>
      </c>
      <c r="IW9" s="349" t="str">
        <f>IFERROR(IF(OR(IW$3="",$B9=""),"",_xll.ciqfunctions.udf.CIQ($B9,"IQ_TOTAL_ASSETS",IW$3,$E$3, $J$3, , $G$3, $H$3)/_xll.ciqfunctions.udf.CIQ($B9,"IQ_TOTAL_COMMON_EQUITY",IW$3,$E$3, $J$3, , $G$3, $H$3)),0)</f>
        <v/>
      </c>
      <c r="IX9" s="349" t="str">
        <f>IFERROR(IF(OR(IX$3="",$B9=""),"",_xll.ciqfunctions.udf.CIQ($B9,"IQ_TOTAL_ASSETS",IX$3,$E$3, $J$3, , $G$3, $H$3)/_xll.ciqfunctions.udf.CIQ($B9,"IQ_TOTAL_COMMON_EQUITY",IX$3,$E$3, $J$3, , $G$3, $H$3)),0)</f>
        <v/>
      </c>
      <c r="IY9" s="349" t="str">
        <f>IFERROR(IF(OR(IY$3="",$B9=""),"",_xll.ciqfunctions.udf.CIQ($B9,"IQ_TOTAL_ASSETS",IY$3,$E$3, $J$3, , $G$3, $H$3)/_xll.ciqfunctions.udf.CIQ($B9,"IQ_TOTAL_COMMON_EQUITY",IY$3,$E$3, $J$3, , $G$3, $H$3)),0)</f>
        <v/>
      </c>
      <c r="IZ9" s="349" t="str">
        <f>IFERROR(IF(OR(IZ$3="",$B9=""),"",_xll.ciqfunctions.udf.CIQ($B9,"IQ_TOTAL_ASSETS",IZ$3,$E$3, $J$3, , $G$3, $H$3)/_xll.ciqfunctions.udf.CIQ($B9,"IQ_TOTAL_COMMON_EQUITY",IZ$3,$E$3, $J$3, , $G$3, $H$3)),0)</f>
        <v/>
      </c>
      <c r="JA9" s="349" t="str">
        <f>IFERROR(IF(OR(JA$3="",$B9=""),"",_xll.ciqfunctions.udf.CIQ($B9,"IQ_TOTAL_ASSETS",JA$3,$E$3, $J$3, , $G$3, $H$3)/_xll.ciqfunctions.udf.CIQ($B9,"IQ_TOTAL_COMMON_EQUITY",JA$3,$E$3, $J$3, , $G$3, $H$3)),0)</f>
        <v/>
      </c>
      <c r="JB9" s="349" t="str">
        <f>IFERROR(IF(OR(JB$3="",$B9=""),"",_xll.ciqfunctions.udf.CIQ($B9,"IQ_TOTAL_ASSETS",JB$3,$E$3, $J$3, , $G$3, $H$3)/_xll.ciqfunctions.udf.CIQ($B9,"IQ_TOTAL_COMMON_EQUITY",JB$3,$E$3, $J$3, , $G$3, $H$3)),0)</f>
        <v/>
      </c>
      <c r="JC9" s="349" t="str">
        <f>IFERROR(IF(OR(JC$3="",$B9=""),"",_xll.ciqfunctions.udf.CIQ($B9,"IQ_TOTAL_ASSETS",JC$3,$E$3, $J$3, , $G$3, $H$3)/_xll.ciqfunctions.udf.CIQ($B9,"IQ_TOTAL_COMMON_EQUITY",JC$3,$E$3, $J$3, , $G$3, $H$3)),0)</f>
        <v/>
      </c>
      <c r="JD9" s="349" t="str">
        <f>IFERROR(IF(OR(JD$3="",$B9=""),"",_xll.ciqfunctions.udf.CIQ($B9,"IQ_TOTAL_ASSETS",JD$3,$E$3, $J$3, , $G$3, $H$3)/_xll.ciqfunctions.udf.CIQ($B9,"IQ_TOTAL_COMMON_EQUITY",JD$3,$E$3, $J$3, , $G$3, $H$3)),0)</f>
        <v/>
      </c>
      <c r="JE9" s="349" t="str">
        <f>IFERROR(IF(OR(JE$3="",$B9=""),"",_xll.ciqfunctions.udf.CIQ($B9,"IQ_TOTAL_ASSETS",JE$3,$E$3, $J$3, , $G$3, $H$3)/_xll.ciqfunctions.udf.CIQ($B9,"IQ_TOTAL_COMMON_EQUITY",JE$3,$E$3, $J$3, , $G$3, $H$3)),0)</f>
        <v/>
      </c>
      <c r="JF9" s="349" t="str">
        <f>IFERROR(IF(OR(JF$3="",$B9=""),"",_xll.ciqfunctions.udf.CIQ($B9,"IQ_TOTAL_ASSETS",JF$3,$E$3, $J$3, , $G$3, $H$3)/_xll.ciqfunctions.udf.CIQ($B9,"IQ_TOTAL_COMMON_EQUITY",JF$3,$E$3, $J$3, , $G$3, $H$3)),0)</f>
        <v/>
      </c>
      <c r="JG9" s="349" t="str">
        <f>IFERROR(IF(OR(JG$3="",$B9=""),"",_xll.ciqfunctions.udf.CIQ($B9,"IQ_TOTAL_ASSETS",JG$3,$E$3, $J$3, , $G$3, $H$3)/_xll.ciqfunctions.udf.CIQ($B9,"IQ_TOTAL_COMMON_EQUITY",JG$3,$E$3, $J$3, , $G$3, $H$3)),0)</f>
        <v/>
      </c>
      <c r="JH9" s="349" t="str">
        <f>IFERROR(IF(OR(JH$3="",$B9=""),"",_xll.ciqfunctions.udf.CIQ($B9,"IQ_TOTAL_ASSETS",JH$3,$E$3, $J$3, , $G$3, $H$3)/_xll.ciqfunctions.udf.CIQ($B9,"IQ_TOTAL_COMMON_EQUITY",JH$3,$E$3, $J$3, , $G$3, $H$3)),0)</f>
        <v/>
      </c>
      <c r="JI9" s="349" t="str">
        <f>IFERROR(IF(OR(JI$3="",$B9=""),"",_xll.ciqfunctions.udf.CIQ($B9,"IQ_TOTAL_ASSETS",JI$3,$E$3, $J$3, , $G$3, $H$3)/_xll.ciqfunctions.udf.CIQ($B9,"IQ_TOTAL_COMMON_EQUITY",JI$3,$E$3, $J$3, , $G$3, $H$3)),0)</f>
        <v/>
      </c>
      <c r="JJ9" s="350" t="str">
        <f>IFERROR(IF(OR(JJ$3="",$B9=""),"",_xll.ciqfunctions.udf.CIQ($B9,"IQ_TOTAL_ASSETS",JJ$3,$E$3, $J$3, , $G$3, $H$3)/_xll.ciqfunctions.udf.CIQ($B9,"IQ_TOTAL_COMMON_EQUITY",JJ$3,$E$3, $J$3, , $G$3, $H$3)),0)</f>
        <v/>
      </c>
      <c r="JK9" s="86" t="str">
        <f>IFERROR(IF(OR($B9="",JK$3=""),"",_xll.ciqfunctions.udf.CIQ($B9, "IQ_NI", $I$3, HC$3,$J$3, ,$G$3,$H$3)*2/(_xll.ciqfunctions.udf.CIQ($B9,"IQ_TOTAL_EQUITY",JK$3,$E$3, $J$3, , $G$3, $H$3)+_xll.ciqfunctions.udf.CIQ($B9,"IQ_TOTAL_EQUITY","IQ_" &amp; LEFT(JK$3,2) &amp; "-1",JK$3, $J$3, , $G$3, $H$3))),"")</f>
        <v/>
      </c>
      <c r="JL9" s="87" t="str">
        <f>IFERROR(IF(OR($B9="",JL$3=""),"",_xll.ciqfunctions.udf.CIQ($B9, "IQ_NI", $I$3, HD$3,$J$3, ,$G$3,$H$3)*2/(_xll.ciqfunctions.udf.CIQ($B9,"IQ_TOTAL_EQUITY",JL$3,$E$3, $J$3, , $G$3, $H$3)+_xll.ciqfunctions.udf.CIQ($B9,"IQ_TOTAL_EQUITY","IQ_" &amp; LEFT(JL$3,2) &amp; "-1",JL$3, $J$3, , $G$3, $H$3))),"")</f>
        <v/>
      </c>
      <c r="JM9" s="87" t="str">
        <f>IFERROR(IF(OR($B9="",JM$3=""),"",_xll.ciqfunctions.udf.CIQ($B9, "IQ_NI", $I$3, HE$3,$J$3, ,$G$3,$H$3)*2/(_xll.ciqfunctions.udf.CIQ($B9,"IQ_TOTAL_EQUITY",JM$3,$E$3, $J$3, , $G$3, $H$3)+_xll.ciqfunctions.udf.CIQ($B9,"IQ_TOTAL_EQUITY","IQ_" &amp; LEFT(JM$3,2) &amp; "-1",JM$3, $J$3, , $G$3, $H$3))),"")</f>
        <v/>
      </c>
      <c r="JN9" s="87" t="str">
        <f>IFERROR(IF(OR($B9="",JN$3=""),"",_xll.ciqfunctions.udf.CIQ($B9, "IQ_NI", $I$3, HF$3,$J$3, ,$G$3,$H$3)*2/(_xll.ciqfunctions.udf.CIQ($B9,"IQ_TOTAL_EQUITY",JN$3,$E$3, $J$3, , $G$3, $H$3)+_xll.ciqfunctions.udf.CIQ($B9,"IQ_TOTAL_EQUITY","IQ_" &amp; LEFT(JN$3,2) &amp; "-1",JN$3, $J$3, , $G$3, $H$3))),"")</f>
        <v/>
      </c>
      <c r="JO9" s="87" t="str">
        <f>IFERROR(IF(OR($B9="",JO$3=""),"",_xll.ciqfunctions.udf.CIQ($B9, "IQ_NI", $I$3, HG$3,$J$3, ,$G$3,$H$3)*2/(_xll.ciqfunctions.udf.CIQ($B9,"IQ_TOTAL_EQUITY",JO$3,$E$3, $J$3, , $G$3, $H$3)+_xll.ciqfunctions.udf.CIQ($B9,"IQ_TOTAL_EQUITY","IQ_" &amp; LEFT(JO$3,2) &amp; "-1",JO$3, $J$3, , $G$3, $H$3))),"")</f>
        <v/>
      </c>
      <c r="JP9" s="87" t="str">
        <f>IFERROR(IF(OR($B9="",JP$3=""),"",_xll.ciqfunctions.udf.CIQ($B9, "IQ_NI", $I$3, HH$3,$J$3, ,$G$3,$H$3)*2/(_xll.ciqfunctions.udf.CIQ($B9,"IQ_TOTAL_EQUITY",JP$3,$E$3, $J$3, , $G$3, $H$3)+_xll.ciqfunctions.udf.CIQ($B9,"IQ_TOTAL_EQUITY","IQ_" &amp; LEFT(JP$3,2) &amp; "-1",JP$3, $J$3, , $G$3, $H$3))),"")</f>
        <v/>
      </c>
      <c r="JQ9" s="87" t="str">
        <f>IFERROR(IF(OR($B9="",JQ$3=""),"",_xll.ciqfunctions.udf.CIQ($B9, "IQ_NI", $I$3, HI$3,$J$3, ,$G$3,$H$3)*2/(_xll.ciqfunctions.udf.CIQ($B9,"IQ_TOTAL_EQUITY",JQ$3,$E$3, $J$3, , $G$3, $H$3)+_xll.ciqfunctions.udf.CIQ($B9,"IQ_TOTAL_EQUITY","IQ_" &amp; LEFT(JQ$3,2) &amp; "-1",JQ$3, $J$3, , $G$3, $H$3))),"")</f>
        <v/>
      </c>
      <c r="JR9" s="87" t="str">
        <f>IFERROR(IF(OR($B9="",JR$3=""),"",_xll.ciqfunctions.udf.CIQ($B9, "IQ_NI", $I$3, HJ$3,$J$3, ,$G$3,$H$3)*2/(_xll.ciqfunctions.udf.CIQ($B9,"IQ_TOTAL_EQUITY",JR$3,$E$3, $J$3, , $G$3, $H$3)+_xll.ciqfunctions.udf.CIQ($B9,"IQ_TOTAL_EQUITY","IQ_" &amp; LEFT(JR$3,2) &amp; "-1",JR$3, $J$3, , $G$3, $H$3))),"")</f>
        <v/>
      </c>
      <c r="JS9" s="87" t="str">
        <f>IFERROR(IF(OR($B9="",JS$3=""),"",_xll.ciqfunctions.udf.CIQ($B9, "IQ_NI", $I$3, HK$3,$J$3, ,$G$3,$H$3)*2/(_xll.ciqfunctions.udf.CIQ($B9,"IQ_TOTAL_EQUITY",JS$3,$E$3, $J$3, , $G$3, $H$3)+_xll.ciqfunctions.udf.CIQ($B9,"IQ_TOTAL_EQUITY","IQ_" &amp; LEFT(JS$3,2) &amp; "-1",JS$3, $J$3, , $G$3, $H$3))),"")</f>
        <v/>
      </c>
      <c r="JT9" s="87" t="str">
        <f>IFERROR(IF(OR($B9="",JT$3=""),"",_xll.ciqfunctions.udf.CIQ($B9, "IQ_NI", $I$3, HL$3,$J$3, ,$G$3,$H$3)*2/(_xll.ciqfunctions.udf.CIQ($B9,"IQ_TOTAL_EQUITY",JT$3,$E$3, $J$3, , $G$3, $H$3)+_xll.ciqfunctions.udf.CIQ($B9,"IQ_TOTAL_EQUITY","IQ_" &amp; LEFT(JT$3,2) &amp; "-1",JT$3, $J$3, , $G$3, $H$3))),"")</f>
        <v/>
      </c>
      <c r="JU9" s="87" t="str">
        <f>IFERROR(IF(OR($B9="",JU$3=""),"",_xll.ciqfunctions.udf.CIQ($B9, "IQ_NI", $I$3, HM$3,$J$3, ,$G$3,$H$3)*2/(_xll.ciqfunctions.udf.CIQ($B9,"IQ_TOTAL_EQUITY",JU$3,$E$3, $J$3, , $G$3, $H$3)+_xll.ciqfunctions.udf.CIQ($B9,"IQ_TOTAL_EQUITY","IQ_" &amp; LEFT(JU$3,2) &amp; "-1",JU$3, $J$3, , $G$3, $H$3))),"")</f>
        <v/>
      </c>
      <c r="JV9" s="87" t="str">
        <f>IFERROR(IF(OR($B9="",JV$3=""),"",_xll.ciqfunctions.udf.CIQ($B9, "IQ_NI", $I$3, HN$3,$J$3, ,$G$3,$H$3)*2/(_xll.ciqfunctions.udf.CIQ($B9,"IQ_TOTAL_EQUITY",JV$3,$E$3, $J$3, , $G$3, $H$3)+_xll.ciqfunctions.udf.CIQ($B9,"IQ_TOTAL_EQUITY","IQ_" &amp; LEFT(JV$3,2) &amp; "-1",JV$3, $J$3, , $G$3, $H$3))),"")</f>
        <v/>
      </c>
      <c r="JW9" s="87" t="str">
        <f>IFERROR(IF(OR($B9="",JW$3=""),"",_xll.ciqfunctions.udf.CIQ($B9, "IQ_NI", $I$3, HO$3,$J$3, ,$G$3,$H$3)*2/(_xll.ciqfunctions.udf.CIQ($B9,"IQ_TOTAL_EQUITY",JW$3,$E$3, $J$3, , $G$3, $H$3)+_xll.ciqfunctions.udf.CIQ($B9,"IQ_TOTAL_EQUITY","IQ_" &amp; LEFT(JW$3,2) &amp; "-1",JW$3, $J$3, , $G$3, $H$3))),"")</f>
        <v/>
      </c>
      <c r="JX9" s="87" t="str">
        <f>IFERROR(IF(OR($B9="",JX$3=""),"",_xll.ciqfunctions.udf.CIQ($B9, "IQ_NI", $I$3, HP$3,$J$3, ,$G$3,$H$3)*2/(_xll.ciqfunctions.udf.CIQ($B9,"IQ_TOTAL_EQUITY",JX$3,$E$3, $J$3, , $G$3, $H$3)+_xll.ciqfunctions.udf.CIQ($B9,"IQ_TOTAL_EQUITY","IQ_" &amp; LEFT(JX$3,2) &amp; "-1",JX$3, $J$3, , $G$3, $H$3))),"")</f>
        <v/>
      </c>
      <c r="JY9" s="87" t="str">
        <f>IFERROR(IF(OR($B9="",JY$3=""),"",_xll.ciqfunctions.udf.CIQ($B9, "IQ_NI", $I$3, HQ$3,$J$3, ,$G$3,$H$3)*2/(_xll.ciqfunctions.udf.CIQ($B9,"IQ_TOTAL_EQUITY",JY$3,$E$3, $J$3, , $G$3, $H$3)+_xll.ciqfunctions.udf.CIQ($B9,"IQ_TOTAL_EQUITY","IQ_" &amp; LEFT(JY$3,2) &amp; "-1",JY$3, $J$3, , $G$3, $H$3))),"")</f>
        <v/>
      </c>
      <c r="JZ9" s="87" t="str">
        <f>IFERROR(IF(OR($B9="",JZ$3=""),"",_xll.ciqfunctions.udf.CIQ($B9, "IQ_NI", $I$3, HR$3,$J$3, ,$G$3,$H$3)*2/(_xll.ciqfunctions.udf.CIQ($B9,"IQ_TOTAL_EQUITY",JZ$3,$E$3, $J$3, , $G$3, $H$3)+_xll.ciqfunctions.udf.CIQ($B9,"IQ_TOTAL_EQUITY","IQ_" &amp; LEFT(JZ$3,2) &amp; "-1",JZ$3, $J$3, , $G$3, $H$3))),"")</f>
        <v/>
      </c>
      <c r="KA9" s="87" t="str">
        <f>IFERROR(IF(OR($B9="",KA$3=""),"",_xll.ciqfunctions.udf.CIQ($B9, "IQ_NI", $I$3, HS$3,$J$3, ,$G$3,$H$3)*2/(_xll.ciqfunctions.udf.CIQ($B9,"IQ_TOTAL_EQUITY",KA$3,$E$3, $J$3, , $G$3, $H$3)+_xll.ciqfunctions.udf.CIQ($B9,"IQ_TOTAL_EQUITY","IQ_" &amp; LEFT(KA$3,2) &amp; "-1",KA$3, $J$3, , $G$3, $H$3))),"")</f>
        <v/>
      </c>
      <c r="KB9" s="87" t="str">
        <f>IFERROR(IF(OR($B9="",KB$3=""),"",_xll.ciqfunctions.udf.CIQ($B9, "IQ_NI", $I$3, HT$3,$J$3, ,$G$3,$H$3)*2/(_xll.ciqfunctions.udf.CIQ($B9,"IQ_TOTAL_EQUITY",KB$3,$E$3, $J$3, , $G$3, $H$3)+_xll.ciqfunctions.udf.CIQ($B9,"IQ_TOTAL_EQUITY","IQ_" &amp; LEFT(KB$3,2) &amp; "-1",KB$3, $J$3, , $G$3, $H$3))),"")</f>
        <v/>
      </c>
      <c r="KC9" s="87" t="str">
        <f>IFERROR(IF(OR($B9="",KC$3=""),"",_xll.ciqfunctions.udf.CIQ($B9, "IQ_NI", $I$3, HU$3,$J$3, ,$G$3,$H$3)*2/(_xll.ciqfunctions.udf.CIQ($B9,"IQ_TOTAL_EQUITY",KC$3,$E$3, $J$3, , $G$3, $H$3)+_xll.ciqfunctions.udf.CIQ($B9,"IQ_TOTAL_EQUITY","IQ_" &amp; LEFT(KC$3,2) &amp; "-1",KC$3, $J$3, , $G$3, $H$3))),"")</f>
        <v/>
      </c>
      <c r="KD9" s="88" t="str">
        <f>IFERROR(IF(OR($B9="",KD$3=""),"",_xll.ciqfunctions.udf.CIQ($B9, "IQ_NI", $I$3, HV$3,$J$3, ,$G$3,$H$3)*2/(_xll.ciqfunctions.udf.CIQ($B9,"IQ_TOTAL_EQUITY",KD$3,$E$3, $J$3, , $G$3, $H$3)+_xll.ciqfunctions.udf.CIQ($B9,"IQ_TOTAL_EQUITY","IQ_" &amp; LEFT(KD$3,2) &amp; "-1",KD$3, $J$3, , $G$3, $H$3))),"")</f>
        <v/>
      </c>
      <c r="KE9" s="86" t="str">
        <f>IFERROR(IF(OR($B9="",KE$3=""),"",_xll.ciqfunctions.udf.CIQ($B9, "IQ_NI", $I$3, KE$3,$J$3, ,$G$3,$H$3)*2/(_xll.ciqfunctions.udf.CIQ($B9, "IQ_TOTAL_ASSETS", $I$3, KE$3,$J$3, ,$G$3,$H$3)+_xll.ciqfunctions.udf.CIQ($B9, "IQ_TOTAL_ASSETS", $I$3 &amp; "-1", KE$3,$J$3, ,$G$3,$H$3)-_xll.ciqfunctions.udf.CIQ($B9, "IQ_TOTAL_CL", $I$3, KE$3,$J$3, ,$G$3,$H$3)-_xll.ciqfunctions.udf.CIQ($B9, "IQ_TOTAL_CL", $I$3 &amp; "-1", KE$3,$J$3, ,$G$3,$H$3))),"")</f>
        <v/>
      </c>
      <c r="KF9" s="87" t="str">
        <f>IFERROR(IF(OR($B9="",KF$3=""),"",_xll.ciqfunctions.udf.CIQ($B9, "IQ_NI", $I$3, KF$3,$J$3, ,$G$3,$H$3)*2/(_xll.ciqfunctions.udf.CIQ($B9, "IQ_TOTAL_ASSETS", $I$3, KF$3,$J$3, ,$G$3,$H$3)+_xll.ciqfunctions.udf.CIQ($B9, "IQ_TOTAL_ASSETS", $I$3 &amp; "-1", KF$3,$J$3, ,$G$3,$H$3)-_xll.ciqfunctions.udf.CIQ($B9, "IQ_TOTAL_CL", $I$3, KF$3,$J$3, ,$G$3,$H$3)-_xll.ciqfunctions.udf.CIQ($B9, "IQ_TOTAL_CL", $I$3 &amp; "-1", KF$3,$J$3, ,$G$3,$H$3))),"")</f>
        <v/>
      </c>
      <c r="KG9" s="87" t="str">
        <f>IFERROR(IF(OR($B9="",KG$3=""),"",_xll.ciqfunctions.udf.CIQ($B9, "IQ_NI", $I$3, KG$3,$J$3, ,$G$3,$H$3)*2/(_xll.ciqfunctions.udf.CIQ($B9, "IQ_TOTAL_ASSETS", $I$3, KG$3,$J$3, ,$G$3,$H$3)+_xll.ciqfunctions.udf.CIQ($B9, "IQ_TOTAL_ASSETS", $I$3 &amp; "-1", KG$3,$J$3, ,$G$3,$H$3)-_xll.ciqfunctions.udf.CIQ($B9, "IQ_TOTAL_CL", $I$3, KG$3,$J$3, ,$G$3,$H$3)-_xll.ciqfunctions.udf.CIQ($B9, "IQ_TOTAL_CL", $I$3 &amp; "-1", KG$3,$J$3, ,$G$3,$H$3))),"")</f>
        <v/>
      </c>
      <c r="KH9" s="87" t="str">
        <f>IFERROR(IF(OR($B9="",KH$3=""),"",_xll.ciqfunctions.udf.CIQ($B9, "IQ_NI", $I$3, KH$3,$J$3, ,$G$3,$H$3)*2/(_xll.ciqfunctions.udf.CIQ($B9, "IQ_TOTAL_ASSETS", $I$3, KH$3,$J$3, ,$G$3,$H$3)+_xll.ciqfunctions.udf.CIQ($B9, "IQ_TOTAL_ASSETS", $I$3 &amp; "-1", KH$3,$J$3, ,$G$3,$H$3)-_xll.ciqfunctions.udf.CIQ($B9, "IQ_TOTAL_CL", $I$3, KH$3,$J$3, ,$G$3,$H$3)-_xll.ciqfunctions.udf.CIQ($B9, "IQ_TOTAL_CL", $I$3 &amp; "-1", KH$3,$J$3, ,$G$3,$H$3))),"")</f>
        <v/>
      </c>
      <c r="KI9" s="87" t="str">
        <f>IFERROR(IF(OR($B9="",KI$3=""),"",_xll.ciqfunctions.udf.CIQ($B9, "IQ_NI", $I$3, KI$3,$J$3, ,$G$3,$H$3)*2/(_xll.ciqfunctions.udf.CIQ($B9, "IQ_TOTAL_ASSETS", $I$3, KI$3,$J$3, ,$G$3,$H$3)+_xll.ciqfunctions.udf.CIQ($B9, "IQ_TOTAL_ASSETS", $I$3 &amp; "-1", KI$3,$J$3, ,$G$3,$H$3)-_xll.ciqfunctions.udf.CIQ($B9, "IQ_TOTAL_CL", $I$3, KI$3,$J$3, ,$G$3,$H$3)-_xll.ciqfunctions.udf.CIQ($B9, "IQ_TOTAL_CL", $I$3 &amp; "-1", KI$3,$J$3, ,$G$3,$H$3))),"")</f>
        <v/>
      </c>
      <c r="KJ9" s="87" t="str">
        <f>IFERROR(IF(OR($B9="",KJ$3=""),"",_xll.ciqfunctions.udf.CIQ($B9, "IQ_NI", $I$3, KJ$3,$J$3, ,$G$3,$H$3)*2/(_xll.ciqfunctions.udf.CIQ($B9, "IQ_TOTAL_ASSETS", $I$3, KJ$3,$J$3, ,$G$3,$H$3)+_xll.ciqfunctions.udf.CIQ($B9, "IQ_TOTAL_ASSETS", $I$3 &amp; "-1", KJ$3,$J$3, ,$G$3,$H$3)-_xll.ciqfunctions.udf.CIQ($B9, "IQ_TOTAL_CL", $I$3, KJ$3,$J$3, ,$G$3,$H$3)-_xll.ciqfunctions.udf.CIQ($B9, "IQ_TOTAL_CL", $I$3 &amp; "-1", KJ$3,$J$3, ,$G$3,$H$3))),"")</f>
        <v/>
      </c>
      <c r="KK9" s="87" t="str">
        <f>IFERROR(IF(OR($B9="",KK$3=""),"",_xll.ciqfunctions.udf.CIQ($B9, "IQ_NI", $I$3, KK$3,$J$3, ,$G$3,$H$3)*2/(_xll.ciqfunctions.udf.CIQ($B9, "IQ_TOTAL_ASSETS", $I$3, KK$3,$J$3, ,$G$3,$H$3)+_xll.ciqfunctions.udf.CIQ($B9, "IQ_TOTAL_ASSETS", $I$3 &amp; "-1", KK$3,$J$3, ,$G$3,$H$3)-_xll.ciqfunctions.udf.CIQ($B9, "IQ_TOTAL_CL", $I$3, KK$3,$J$3, ,$G$3,$H$3)-_xll.ciqfunctions.udf.CIQ($B9, "IQ_TOTAL_CL", $I$3 &amp; "-1", KK$3,$J$3, ,$G$3,$H$3))),"")</f>
        <v/>
      </c>
      <c r="KL9" s="87" t="str">
        <f>IFERROR(IF(OR($B9="",KL$3=""),"",_xll.ciqfunctions.udf.CIQ($B9, "IQ_NI", $I$3, KL$3,$J$3, ,$G$3,$H$3)*2/(_xll.ciqfunctions.udf.CIQ($B9, "IQ_TOTAL_ASSETS", $I$3, KL$3,$J$3, ,$G$3,$H$3)+_xll.ciqfunctions.udf.CIQ($B9, "IQ_TOTAL_ASSETS", $I$3 &amp; "-1", KL$3,$J$3, ,$G$3,$H$3)-_xll.ciqfunctions.udf.CIQ($B9, "IQ_TOTAL_CL", $I$3, KL$3,$J$3, ,$G$3,$H$3)-_xll.ciqfunctions.udf.CIQ($B9, "IQ_TOTAL_CL", $I$3 &amp; "-1", KL$3,$J$3, ,$G$3,$H$3))),"")</f>
        <v/>
      </c>
      <c r="KM9" s="87" t="str">
        <f>IFERROR(IF(OR($B9="",KM$3=""),"",_xll.ciqfunctions.udf.CIQ($B9, "IQ_NI", $I$3, KM$3,$J$3, ,$G$3,$H$3)*2/(_xll.ciqfunctions.udf.CIQ($B9, "IQ_TOTAL_ASSETS", $I$3, KM$3,$J$3, ,$G$3,$H$3)+_xll.ciqfunctions.udf.CIQ($B9, "IQ_TOTAL_ASSETS", $I$3 &amp; "-1", KM$3,$J$3, ,$G$3,$H$3)-_xll.ciqfunctions.udf.CIQ($B9, "IQ_TOTAL_CL", $I$3, KM$3,$J$3, ,$G$3,$H$3)-_xll.ciqfunctions.udf.CIQ($B9, "IQ_TOTAL_CL", $I$3 &amp; "-1", KM$3,$J$3, ,$G$3,$H$3))),"")</f>
        <v/>
      </c>
      <c r="KN9" s="87" t="str">
        <f>IFERROR(IF(OR($B9="",KN$3=""),"",_xll.ciqfunctions.udf.CIQ($B9, "IQ_NI", $I$3, KN$3,$J$3, ,$G$3,$H$3)*2/(_xll.ciqfunctions.udf.CIQ($B9, "IQ_TOTAL_ASSETS", $I$3, KN$3,$J$3, ,$G$3,$H$3)+_xll.ciqfunctions.udf.CIQ($B9, "IQ_TOTAL_ASSETS", $I$3 &amp; "-1", KN$3,$J$3, ,$G$3,$H$3)-_xll.ciqfunctions.udf.CIQ($B9, "IQ_TOTAL_CL", $I$3, KN$3,$J$3, ,$G$3,$H$3)-_xll.ciqfunctions.udf.CIQ($B9, "IQ_TOTAL_CL", $I$3 &amp; "-1", KN$3,$J$3, ,$G$3,$H$3))),"")</f>
        <v/>
      </c>
      <c r="KO9" s="87" t="str">
        <f>IFERROR(IF(OR($B9="",KO$3=""),"",_xll.ciqfunctions.udf.CIQ($B9, "IQ_NI", $I$3, KO$3,$J$3, ,$G$3,$H$3)*2/(_xll.ciqfunctions.udf.CIQ($B9, "IQ_TOTAL_ASSETS", $I$3, KO$3,$J$3, ,$G$3,$H$3)+_xll.ciqfunctions.udf.CIQ($B9, "IQ_TOTAL_ASSETS", $I$3 &amp; "-1", KO$3,$J$3, ,$G$3,$H$3)-_xll.ciqfunctions.udf.CIQ($B9, "IQ_TOTAL_CL", $I$3, KO$3,$J$3, ,$G$3,$H$3)-_xll.ciqfunctions.udf.CIQ($B9, "IQ_TOTAL_CL", $I$3 &amp; "-1", KO$3,$J$3, ,$G$3,$H$3))),"")</f>
        <v/>
      </c>
      <c r="KP9" s="87" t="str">
        <f>IFERROR(IF(OR($B9="",KP$3=""),"",_xll.ciqfunctions.udf.CIQ($B9, "IQ_NI", $I$3, KP$3,$J$3, ,$G$3,$H$3)*2/(_xll.ciqfunctions.udf.CIQ($B9, "IQ_TOTAL_ASSETS", $I$3, KP$3,$J$3, ,$G$3,$H$3)+_xll.ciqfunctions.udf.CIQ($B9, "IQ_TOTAL_ASSETS", $I$3 &amp; "-1", KP$3,$J$3, ,$G$3,$H$3)-_xll.ciqfunctions.udf.CIQ($B9, "IQ_TOTAL_CL", $I$3, KP$3,$J$3, ,$G$3,$H$3)-_xll.ciqfunctions.udf.CIQ($B9, "IQ_TOTAL_CL", $I$3 &amp; "-1", KP$3,$J$3, ,$G$3,$H$3))),"")</f>
        <v/>
      </c>
      <c r="KQ9" s="87" t="str">
        <f>IFERROR(IF(OR($B9="",KQ$3=""),"",_xll.ciqfunctions.udf.CIQ($B9, "IQ_NI", $I$3, KQ$3,$J$3, ,$G$3,$H$3)*2/(_xll.ciqfunctions.udf.CIQ($B9, "IQ_TOTAL_ASSETS", $I$3, KQ$3,$J$3, ,$G$3,$H$3)+_xll.ciqfunctions.udf.CIQ($B9, "IQ_TOTAL_ASSETS", $I$3 &amp; "-1", KQ$3,$J$3, ,$G$3,$H$3)-_xll.ciqfunctions.udf.CIQ($B9, "IQ_TOTAL_CL", $I$3, KQ$3,$J$3, ,$G$3,$H$3)-_xll.ciqfunctions.udf.CIQ($B9, "IQ_TOTAL_CL", $I$3 &amp; "-1", KQ$3,$J$3, ,$G$3,$H$3))),"")</f>
        <v/>
      </c>
      <c r="KR9" s="87" t="str">
        <f>IFERROR(IF(OR($B9="",KR$3=""),"",_xll.ciqfunctions.udf.CIQ($B9, "IQ_NI", $I$3, KR$3,$J$3, ,$G$3,$H$3)*2/(_xll.ciqfunctions.udf.CIQ($B9, "IQ_TOTAL_ASSETS", $I$3, KR$3,$J$3, ,$G$3,$H$3)+_xll.ciqfunctions.udf.CIQ($B9, "IQ_TOTAL_ASSETS", $I$3 &amp; "-1", KR$3,$J$3, ,$G$3,$H$3)-_xll.ciqfunctions.udf.CIQ($B9, "IQ_TOTAL_CL", $I$3, KR$3,$J$3, ,$G$3,$H$3)-_xll.ciqfunctions.udf.CIQ($B9, "IQ_TOTAL_CL", $I$3 &amp; "-1", KR$3,$J$3, ,$G$3,$H$3))),"")</f>
        <v/>
      </c>
      <c r="KS9" s="87" t="str">
        <f>IFERROR(IF(OR($B9="",KS$3=""),"",_xll.ciqfunctions.udf.CIQ($B9, "IQ_NI", $I$3, KS$3,$J$3, ,$G$3,$H$3)*2/(_xll.ciqfunctions.udf.CIQ($B9, "IQ_TOTAL_ASSETS", $I$3, KS$3,$J$3, ,$G$3,$H$3)+_xll.ciqfunctions.udf.CIQ($B9, "IQ_TOTAL_ASSETS", $I$3 &amp; "-1", KS$3,$J$3, ,$G$3,$H$3)-_xll.ciqfunctions.udf.CIQ($B9, "IQ_TOTAL_CL", $I$3, KS$3,$J$3, ,$G$3,$H$3)-_xll.ciqfunctions.udf.CIQ($B9, "IQ_TOTAL_CL", $I$3 &amp; "-1", KS$3,$J$3, ,$G$3,$H$3))),"")</f>
        <v/>
      </c>
      <c r="KT9" s="87" t="str">
        <f>IFERROR(IF(OR($B9="",KT$3=""),"",_xll.ciqfunctions.udf.CIQ($B9, "IQ_NI", $I$3, KT$3,$J$3, ,$G$3,$H$3)*2/(_xll.ciqfunctions.udf.CIQ($B9, "IQ_TOTAL_ASSETS", $I$3, KT$3,$J$3, ,$G$3,$H$3)+_xll.ciqfunctions.udf.CIQ($B9, "IQ_TOTAL_ASSETS", $I$3 &amp; "-1", KT$3,$J$3, ,$G$3,$H$3)-_xll.ciqfunctions.udf.CIQ($B9, "IQ_TOTAL_CL", $I$3, KT$3,$J$3, ,$G$3,$H$3)-_xll.ciqfunctions.udf.CIQ($B9, "IQ_TOTAL_CL", $I$3 &amp; "-1", KT$3,$J$3, ,$G$3,$H$3))),"")</f>
        <v/>
      </c>
      <c r="KU9" s="87" t="str">
        <f>IFERROR(IF(OR($B9="",KU$3=""),"",_xll.ciqfunctions.udf.CIQ($B9, "IQ_NI", $I$3, KU$3,$J$3, ,$G$3,$H$3)*2/(_xll.ciqfunctions.udf.CIQ($B9, "IQ_TOTAL_ASSETS", $I$3, KU$3,$J$3, ,$G$3,$H$3)+_xll.ciqfunctions.udf.CIQ($B9, "IQ_TOTAL_ASSETS", $I$3 &amp; "-1", KU$3,$J$3, ,$G$3,$H$3)-_xll.ciqfunctions.udf.CIQ($B9, "IQ_TOTAL_CL", $I$3, KU$3,$J$3, ,$G$3,$H$3)-_xll.ciqfunctions.udf.CIQ($B9, "IQ_TOTAL_CL", $I$3 &amp; "-1", KU$3,$J$3, ,$G$3,$H$3))),"")</f>
        <v/>
      </c>
      <c r="KV9" s="87" t="str">
        <f>IFERROR(IF(OR($B9="",KV$3=""),"",_xll.ciqfunctions.udf.CIQ($B9, "IQ_NI", $I$3, KV$3,$J$3, ,$G$3,$H$3)*2/(_xll.ciqfunctions.udf.CIQ($B9, "IQ_TOTAL_ASSETS", $I$3, KV$3,$J$3, ,$G$3,$H$3)+_xll.ciqfunctions.udf.CIQ($B9, "IQ_TOTAL_ASSETS", $I$3 &amp; "-1", KV$3,$J$3, ,$G$3,$H$3)-_xll.ciqfunctions.udf.CIQ($B9, "IQ_TOTAL_CL", $I$3, KV$3,$J$3, ,$G$3,$H$3)-_xll.ciqfunctions.udf.CIQ($B9, "IQ_TOTAL_CL", $I$3 &amp; "-1", KV$3,$J$3, ,$G$3,$H$3))),"")</f>
        <v/>
      </c>
      <c r="KW9" s="87" t="str">
        <f>IFERROR(IF(OR($B9="",KW$3=""),"",_xll.ciqfunctions.udf.CIQ($B9, "IQ_NI", $I$3, KW$3,$J$3, ,$G$3,$H$3)*2/(_xll.ciqfunctions.udf.CIQ($B9, "IQ_TOTAL_ASSETS", $I$3, KW$3,$J$3, ,$G$3,$H$3)+_xll.ciqfunctions.udf.CIQ($B9, "IQ_TOTAL_ASSETS", $I$3 &amp; "-1", KW$3,$J$3, ,$G$3,$H$3)-_xll.ciqfunctions.udf.CIQ($B9, "IQ_TOTAL_CL", $I$3, KW$3,$J$3, ,$G$3,$H$3)-_xll.ciqfunctions.udf.CIQ($B9, "IQ_TOTAL_CL", $I$3 &amp; "-1", KW$3,$J$3, ,$G$3,$H$3))),"")</f>
        <v/>
      </c>
      <c r="KX9" s="88" t="str">
        <f>IFERROR(IF(OR($B9="",KX$3=""),"",_xll.ciqfunctions.udf.CIQ($B9, "IQ_NI", $I$3, KX$3,$J$3, ,$G$3,$H$3)*2/(_xll.ciqfunctions.udf.CIQ($B9, "IQ_TOTAL_ASSETS", $I$3, KX$3,$J$3, ,$G$3,$H$3)+_xll.ciqfunctions.udf.CIQ($B9, "IQ_TOTAL_ASSETS", $I$3 &amp; "-1", KX$3,$J$3, ,$G$3,$H$3)-_xll.ciqfunctions.udf.CIQ($B9, "IQ_TOTAL_CL", $I$3, KX$3,$J$3, ,$G$3,$H$3)-_xll.ciqfunctions.udf.CIQ($B9, "IQ_TOTAL_CL", $I$3 &amp; "-1", KX$3,$J$3, ,$G$3,$H$3))),"")</f>
        <v/>
      </c>
      <c r="KY9" s="86" t="str">
        <f>IFERROR(IF(OR($B9="",KY$3=""),"",_xll.ciqfunctions.udf.CIQ($B9,"IQ_CASH_OPER",$I$3, KY$3,$J$3, ,$G$3,$H$3)*2/(_xll.ciqfunctions.udf.CIQ($B9,"IQ_TOTAL_CL",KY$3,$E$3, $J$3, , $G$3, $H$3)+_xll.ciqfunctions.udf.CIQ($B9,"IQ_TOTAL_CL","IQ_" &amp; LEFT(KY$3,2) &amp; "-1",KY$3, $J$3, , $G$3, $H$3))),"")</f>
        <v/>
      </c>
      <c r="KZ9" s="87" t="str">
        <f>IFERROR(IF(OR($B9="",KZ$3=""),"",_xll.ciqfunctions.udf.CIQ($B9,"IQ_CASH_OPER",$I$3, KZ$3,$J$3, ,$G$3,$H$3)*2/(_xll.ciqfunctions.udf.CIQ($B9,"IQ_TOTAL_CL",KZ$3,$E$3, $J$3, , $G$3, $H$3)+_xll.ciqfunctions.udf.CIQ($B9,"IQ_TOTAL_CL","IQ_" &amp; LEFT(KZ$3,2) &amp; "-1",KZ$3, $J$3, , $G$3, $H$3))),"")</f>
        <v/>
      </c>
      <c r="LA9" s="87" t="str">
        <f>IFERROR(IF(OR($B9="",LA$3=""),"",_xll.ciqfunctions.udf.CIQ($B9,"IQ_CASH_OPER",$I$3, LA$3,$J$3, ,$G$3,$H$3)*2/(_xll.ciqfunctions.udf.CIQ($B9,"IQ_TOTAL_CL",LA$3,$E$3, $J$3, , $G$3, $H$3)+_xll.ciqfunctions.udf.CIQ($B9,"IQ_TOTAL_CL","IQ_" &amp; LEFT(LA$3,2) &amp; "-1",LA$3, $J$3, , $G$3, $H$3))),"")</f>
        <v/>
      </c>
      <c r="LB9" s="87" t="str">
        <f>IFERROR(IF(OR($B9="",LB$3=""),"",_xll.ciqfunctions.udf.CIQ($B9,"IQ_CASH_OPER",$I$3, LB$3,$J$3, ,$G$3,$H$3)*2/(_xll.ciqfunctions.udf.CIQ($B9,"IQ_TOTAL_CL",LB$3,$E$3, $J$3, , $G$3, $H$3)+_xll.ciqfunctions.udf.CIQ($B9,"IQ_TOTAL_CL","IQ_" &amp; LEFT(LB$3,2) &amp; "-1",LB$3, $J$3, , $G$3, $H$3))),"")</f>
        <v/>
      </c>
      <c r="LC9" s="87" t="str">
        <f>IFERROR(IF(OR($B9="",LC$3=""),"",_xll.ciqfunctions.udf.CIQ($B9,"IQ_CASH_OPER",$I$3, LC$3,$J$3, ,$G$3,$H$3)*2/(_xll.ciqfunctions.udf.CIQ($B9,"IQ_TOTAL_CL",LC$3,$E$3, $J$3, , $G$3, $H$3)+_xll.ciqfunctions.udf.CIQ($B9,"IQ_TOTAL_CL","IQ_" &amp; LEFT(LC$3,2) &amp; "-1",LC$3, $J$3, , $G$3, $H$3))),"")</f>
        <v/>
      </c>
      <c r="LD9" s="87" t="str">
        <f>IFERROR(IF(OR($B9="",LD$3=""),"",_xll.ciqfunctions.udf.CIQ($B9,"IQ_CASH_OPER",$I$3, LD$3,$J$3, ,$G$3,$H$3)*2/(_xll.ciqfunctions.udf.CIQ($B9,"IQ_TOTAL_CL",LD$3,$E$3, $J$3, , $G$3, $H$3)+_xll.ciqfunctions.udf.CIQ($B9,"IQ_TOTAL_CL","IQ_" &amp; LEFT(LD$3,2) &amp; "-1",LD$3, $J$3, , $G$3, $H$3))),"")</f>
        <v/>
      </c>
      <c r="LE9" s="87" t="str">
        <f>IFERROR(IF(OR($B9="",LE$3=""),"",_xll.ciqfunctions.udf.CIQ($B9,"IQ_CASH_OPER",$I$3, LE$3,$J$3, ,$G$3,$H$3)*2/(_xll.ciqfunctions.udf.CIQ($B9,"IQ_TOTAL_CL",LE$3,$E$3, $J$3, , $G$3, $H$3)+_xll.ciqfunctions.udf.CIQ($B9,"IQ_TOTAL_CL","IQ_" &amp; LEFT(LE$3,2) &amp; "-1",LE$3, $J$3, , $G$3, $H$3))),"")</f>
        <v/>
      </c>
      <c r="LF9" s="87" t="str">
        <f>IFERROR(IF(OR($B9="",LF$3=""),"",_xll.ciqfunctions.udf.CIQ($B9,"IQ_CASH_OPER",$I$3, LF$3,$J$3, ,$G$3,$H$3)*2/(_xll.ciqfunctions.udf.CIQ($B9,"IQ_TOTAL_CL",LF$3,$E$3, $J$3, , $G$3, $H$3)+_xll.ciqfunctions.udf.CIQ($B9,"IQ_TOTAL_CL","IQ_" &amp; LEFT(LF$3,2) &amp; "-1",LF$3, $J$3, , $G$3, $H$3))),"")</f>
        <v/>
      </c>
      <c r="LG9" s="87" t="str">
        <f>IFERROR(IF(OR($B9="",LG$3=""),"",_xll.ciqfunctions.udf.CIQ($B9,"IQ_CASH_OPER",$I$3, LG$3,$J$3, ,$G$3,$H$3)*2/(_xll.ciqfunctions.udf.CIQ($B9,"IQ_TOTAL_CL",LG$3,$E$3, $J$3, , $G$3, $H$3)+_xll.ciqfunctions.udf.CIQ($B9,"IQ_TOTAL_CL","IQ_" &amp; LEFT(LG$3,2) &amp; "-1",LG$3, $J$3, , $G$3, $H$3))),"")</f>
        <v/>
      </c>
      <c r="LH9" s="87" t="str">
        <f>IFERROR(IF(OR($B9="",LH$3=""),"",_xll.ciqfunctions.udf.CIQ($B9,"IQ_CASH_OPER",$I$3, LH$3,$J$3, ,$G$3,$H$3)*2/(_xll.ciqfunctions.udf.CIQ($B9,"IQ_TOTAL_CL",LH$3,$E$3, $J$3, , $G$3, $H$3)+_xll.ciqfunctions.udf.CIQ($B9,"IQ_TOTAL_CL","IQ_" &amp; LEFT(LH$3,2) &amp; "-1",LH$3, $J$3, , $G$3, $H$3))),"")</f>
        <v/>
      </c>
      <c r="LI9" s="87" t="str">
        <f>IFERROR(IF(OR($B9="",LI$3=""),"",_xll.ciqfunctions.udf.CIQ($B9,"IQ_CASH_OPER",$I$3, LI$3,$J$3, ,$G$3,$H$3)*2/(_xll.ciqfunctions.udf.CIQ($B9,"IQ_TOTAL_CL",LI$3,$E$3, $J$3, , $G$3, $H$3)+_xll.ciqfunctions.udf.CIQ($B9,"IQ_TOTAL_CL","IQ_" &amp; LEFT(LI$3,2) &amp; "-1",LI$3, $J$3, , $G$3, $H$3))),"")</f>
        <v/>
      </c>
      <c r="LJ9" s="87" t="str">
        <f>IFERROR(IF(OR($B9="",LJ$3=""),"",_xll.ciqfunctions.udf.CIQ($B9,"IQ_CASH_OPER",$I$3, LJ$3,$J$3, ,$G$3,$H$3)*2/(_xll.ciqfunctions.udf.CIQ($B9,"IQ_TOTAL_CL",LJ$3,$E$3, $J$3, , $G$3, $H$3)+_xll.ciqfunctions.udf.CIQ($B9,"IQ_TOTAL_CL","IQ_" &amp; LEFT(LJ$3,2) &amp; "-1",LJ$3, $J$3, , $G$3, $H$3))),"")</f>
        <v/>
      </c>
      <c r="LK9" s="87" t="str">
        <f>IFERROR(IF(OR($B9="",LK$3=""),"",_xll.ciqfunctions.udf.CIQ($B9,"IQ_CASH_OPER",$I$3, LK$3,$J$3, ,$G$3,$H$3)*2/(_xll.ciqfunctions.udf.CIQ($B9,"IQ_TOTAL_CL",LK$3,$E$3, $J$3, , $G$3, $H$3)+_xll.ciqfunctions.udf.CIQ($B9,"IQ_TOTAL_CL","IQ_" &amp; LEFT(LK$3,2) &amp; "-1",LK$3, $J$3, , $G$3, $H$3))),"")</f>
        <v/>
      </c>
      <c r="LL9" s="87" t="str">
        <f>IFERROR(IF(OR($B9="",LL$3=""),"",_xll.ciqfunctions.udf.CIQ($B9,"IQ_CASH_OPER",$I$3, LL$3,$J$3, ,$G$3,$H$3)*2/(_xll.ciqfunctions.udf.CIQ($B9,"IQ_TOTAL_CL",LL$3,$E$3, $J$3, , $G$3, $H$3)+_xll.ciqfunctions.udf.CIQ($B9,"IQ_TOTAL_CL","IQ_" &amp; LEFT(LL$3,2) &amp; "-1",LL$3, $J$3, , $G$3, $H$3))),"")</f>
        <v/>
      </c>
      <c r="LM9" s="87" t="str">
        <f>IFERROR(IF(OR($B9="",LM$3=""),"",_xll.ciqfunctions.udf.CIQ($B9,"IQ_CASH_OPER",$I$3, LM$3,$J$3, ,$G$3,$H$3)*2/(_xll.ciqfunctions.udf.CIQ($B9,"IQ_TOTAL_CL",LM$3,$E$3, $J$3, , $G$3, $H$3)+_xll.ciqfunctions.udf.CIQ($B9,"IQ_TOTAL_CL","IQ_" &amp; LEFT(LM$3,2) &amp; "-1",LM$3, $J$3, , $G$3, $H$3))),"")</f>
        <v/>
      </c>
      <c r="LN9" s="87" t="str">
        <f>IFERROR(IF(OR($B9="",LN$3=""),"",_xll.ciqfunctions.udf.CIQ($B9,"IQ_CASH_OPER",$I$3, LN$3,$J$3, ,$G$3,$H$3)*2/(_xll.ciqfunctions.udf.CIQ($B9,"IQ_TOTAL_CL",LN$3,$E$3, $J$3, , $G$3, $H$3)+_xll.ciqfunctions.udf.CIQ($B9,"IQ_TOTAL_CL","IQ_" &amp; LEFT(LN$3,2) &amp; "-1",LN$3, $J$3, , $G$3, $H$3))),"")</f>
        <v/>
      </c>
      <c r="LO9" s="87" t="str">
        <f>IFERROR(IF(OR($B9="",LO$3=""),"",_xll.ciqfunctions.udf.CIQ($B9,"IQ_CASH_OPER",$I$3, LO$3,$J$3, ,$G$3,$H$3)*2/(_xll.ciqfunctions.udf.CIQ($B9,"IQ_TOTAL_CL",LO$3,$E$3, $J$3, , $G$3, $H$3)+_xll.ciqfunctions.udf.CIQ($B9,"IQ_TOTAL_CL","IQ_" &amp; LEFT(LO$3,2) &amp; "-1",LO$3, $J$3, , $G$3, $H$3))),"")</f>
        <v/>
      </c>
      <c r="LP9" s="87" t="str">
        <f>IFERROR(IF(OR($B9="",LP$3=""),"",_xll.ciqfunctions.udf.CIQ($B9,"IQ_CASH_OPER",$I$3, LP$3,$J$3, ,$G$3,$H$3)*2/(_xll.ciqfunctions.udf.CIQ($B9,"IQ_TOTAL_CL",LP$3,$E$3, $J$3, , $G$3, $H$3)+_xll.ciqfunctions.udf.CIQ($B9,"IQ_TOTAL_CL","IQ_" &amp; LEFT(LP$3,2) &amp; "-1",LP$3, $J$3, , $G$3, $H$3))),"")</f>
        <v/>
      </c>
      <c r="LQ9" s="87" t="str">
        <f>IFERROR(IF(OR($B9="",LQ$3=""),"",_xll.ciqfunctions.udf.CIQ($B9,"IQ_CASH_OPER",$I$3, LQ$3,$J$3, ,$G$3,$H$3)*2/(_xll.ciqfunctions.udf.CIQ($B9,"IQ_TOTAL_CL",LQ$3,$E$3, $J$3, , $G$3, $H$3)+_xll.ciqfunctions.udf.CIQ($B9,"IQ_TOTAL_CL","IQ_" &amp; LEFT(LQ$3,2) &amp; "-1",LQ$3, $J$3, , $G$3, $H$3))),"")</f>
        <v/>
      </c>
      <c r="LR9" s="88" t="str">
        <f>IFERROR(IF(OR($B9="",LR$3=""),"",_xll.ciqfunctions.udf.CIQ($B9,"IQ_CASH_OPER",$I$3, LR$3,$J$3, ,$G$3,$H$3)*2/(_xll.ciqfunctions.udf.CIQ($B9,"IQ_TOTAL_CL",LR$3,$E$3, $J$3, , $G$3, $H$3)+_xll.ciqfunctions.udf.CIQ($B9,"IQ_TOTAL_CL","IQ_" &amp; LEFT(LR$3,2) &amp; "-1",LR$3, $J$3, , $G$3, $H$3))),"")</f>
        <v/>
      </c>
      <c r="LS9" s="86" t="str">
        <f>IFERROR(IF(OR($B9="",LS$3=""),"",IF(_xll.ciqfunctions.udf.CIQ($B9,"IQ_INC_TAX",LS$3,$E$3, $J$3, , $G$3, $H$3)/ABS(_xll.ciqfunctions.udf.CIQ($B9,"IQ_EBT",IQ_LTM,$E$3, $J$3, , $G$3, $H$3))&lt;0,0,_xll.ciqfunctions.udf.CIQ($B9,"IQ_INC_TAX",LS$3,$E$3, $J$3, , $G$3, $H$3)/ABS(_xll.ciqfunctions.udf.CIQ($B9,"IQ_EBT",LS$3,$E$3, $J$3, , $G$3, $H$3)))),"")</f>
        <v/>
      </c>
      <c r="LT9" s="87" t="str">
        <f>IFERROR(IF(OR($B9="",LT$3=""),"",IF(_xll.ciqfunctions.udf.CIQ($B9,"IQ_INC_TAX",LT$3,$E$3, $J$3, , $G$3, $H$3)/ABS(_xll.ciqfunctions.udf.CIQ($B9,"IQ_EBT",IQ_LTM,$E$3, $J$3, , $G$3, $H$3))&lt;0,0,_xll.ciqfunctions.udf.CIQ($B9,"IQ_INC_TAX",LT$3,$E$3, $J$3, , $G$3, $H$3)/ABS(_xll.ciqfunctions.udf.CIQ($B9,"IQ_EBT",LT$3,$E$3, $J$3, , $G$3, $H$3)))),"")</f>
        <v/>
      </c>
      <c r="LU9" s="87" t="str">
        <f>IFERROR(IF(OR($B9="",LU$3=""),"",IF(_xll.ciqfunctions.udf.CIQ($B9,"IQ_INC_TAX",LU$3,$E$3, $J$3, , $G$3, $H$3)/ABS(_xll.ciqfunctions.udf.CIQ($B9,"IQ_EBT",IQ_LTM,$E$3, $J$3, , $G$3, $H$3))&lt;0,0,_xll.ciqfunctions.udf.CIQ($B9,"IQ_INC_TAX",LU$3,$E$3, $J$3, , $G$3, $H$3)/ABS(_xll.ciqfunctions.udf.CIQ($B9,"IQ_EBT",LU$3,$E$3, $J$3, , $G$3, $H$3)))),"")</f>
        <v/>
      </c>
      <c r="LV9" s="87" t="str">
        <f>IFERROR(IF(OR($B9="",LV$3=""),"",IF(_xll.ciqfunctions.udf.CIQ($B9,"IQ_INC_TAX",LV$3,$E$3, $J$3, , $G$3, $H$3)/ABS(_xll.ciqfunctions.udf.CIQ($B9,"IQ_EBT",IQ_LTM,$E$3, $J$3, , $G$3, $H$3))&lt;0,0,_xll.ciqfunctions.udf.CIQ($B9,"IQ_INC_TAX",LV$3,$E$3, $J$3, , $G$3, $H$3)/ABS(_xll.ciqfunctions.udf.CIQ($B9,"IQ_EBT",LV$3,$E$3, $J$3, , $G$3, $H$3)))),"")</f>
        <v/>
      </c>
      <c r="LW9" s="87" t="str">
        <f>IFERROR(IF(OR($B9="",LW$3=""),"",IF(_xll.ciqfunctions.udf.CIQ($B9,"IQ_INC_TAX",LW$3,$E$3, $J$3, , $G$3, $H$3)/ABS(_xll.ciqfunctions.udf.CIQ($B9,"IQ_EBT",IQ_LTM,$E$3, $J$3, , $G$3, $H$3))&lt;0,0,_xll.ciqfunctions.udf.CIQ($B9,"IQ_INC_TAX",LW$3,$E$3, $J$3, , $G$3, $H$3)/ABS(_xll.ciqfunctions.udf.CIQ($B9,"IQ_EBT",LW$3,$E$3, $J$3, , $G$3, $H$3)))),"")</f>
        <v/>
      </c>
      <c r="LX9" s="87" t="str">
        <f>IFERROR(IF(OR($B9="",LX$3=""),"",IF(_xll.ciqfunctions.udf.CIQ($B9,"IQ_INC_TAX",LX$3,$E$3, $J$3, , $G$3, $H$3)/ABS(_xll.ciqfunctions.udf.CIQ($B9,"IQ_EBT",IQ_LTM,$E$3, $J$3, , $G$3, $H$3))&lt;0,0,_xll.ciqfunctions.udf.CIQ($B9,"IQ_INC_TAX",LX$3,$E$3, $J$3, , $G$3, $H$3)/ABS(_xll.ciqfunctions.udf.CIQ($B9,"IQ_EBT",LX$3,$E$3, $J$3, , $G$3, $H$3)))),"")</f>
        <v/>
      </c>
      <c r="LY9" s="87" t="str">
        <f>IFERROR(IF(OR($B9="",LY$3=""),"",IF(_xll.ciqfunctions.udf.CIQ($B9,"IQ_INC_TAX",LY$3,$E$3, $J$3, , $G$3, $H$3)/ABS(_xll.ciqfunctions.udf.CIQ($B9,"IQ_EBT",IQ_LTM,$E$3, $J$3, , $G$3, $H$3))&lt;0,0,_xll.ciqfunctions.udf.CIQ($B9,"IQ_INC_TAX",LY$3,$E$3, $J$3, , $G$3, $H$3)/ABS(_xll.ciqfunctions.udf.CIQ($B9,"IQ_EBT",LY$3,$E$3, $J$3, , $G$3, $H$3)))),"")</f>
        <v/>
      </c>
      <c r="LZ9" s="87" t="str">
        <f>IFERROR(IF(OR($B9="",LZ$3=""),"",IF(_xll.ciqfunctions.udf.CIQ($B9,"IQ_INC_TAX",LZ$3,$E$3, $J$3, , $G$3, $H$3)/ABS(_xll.ciqfunctions.udf.CIQ($B9,"IQ_EBT",IQ_LTM,$E$3, $J$3, , $G$3, $H$3))&lt;0,0,_xll.ciqfunctions.udf.CIQ($B9,"IQ_INC_TAX",LZ$3,$E$3, $J$3, , $G$3, $H$3)/ABS(_xll.ciqfunctions.udf.CIQ($B9,"IQ_EBT",LZ$3,$E$3, $J$3, , $G$3, $H$3)))),"")</f>
        <v/>
      </c>
      <c r="MA9" s="87" t="str">
        <f>IFERROR(IF(OR($B9="",MA$3=""),"",IF(_xll.ciqfunctions.udf.CIQ($B9,"IQ_INC_TAX",MA$3,$E$3, $J$3, , $G$3, $H$3)/ABS(_xll.ciqfunctions.udf.CIQ($B9,"IQ_EBT",IQ_LTM,$E$3, $J$3, , $G$3, $H$3))&lt;0,0,_xll.ciqfunctions.udf.CIQ($B9,"IQ_INC_TAX",MA$3,$E$3, $J$3, , $G$3, $H$3)/ABS(_xll.ciqfunctions.udf.CIQ($B9,"IQ_EBT",MA$3,$E$3, $J$3, , $G$3, $H$3)))),"")</f>
        <v/>
      </c>
      <c r="MB9" s="87" t="str">
        <f>IFERROR(IF(OR($B9="",MB$3=""),"",IF(_xll.ciqfunctions.udf.CIQ($B9,"IQ_INC_TAX",MB$3,$E$3, $J$3, , $G$3, $H$3)/ABS(_xll.ciqfunctions.udf.CIQ($B9,"IQ_EBT",IQ_LTM,$E$3, $J$3, , $G$3, $H$3))&lt;0,0,_xll.ciqfunctions.udf.CIQ($B9,"IQ_INC_TAX",MB$3,$E$3, $J$3, , $G$3, $H$3)/ABS(_xll.ciqfunctions.udf.CIQ($B9,"IQ_EBT",MB$3,$E$3, $J$3, , $G$3, $H$3)))),"")</f>
        <v/>
      </c>
      <c r="MC9" s="87" t="str">
        <f>IFERROR(IF(OR($B9="",MC$3=""),"",IF(_xll.ciqfunctions.udf.CIQ($B9,"IQ_INC_TAX",MC$3,$E$3, $J$3, , $G$3, $H$3)/ABS(_xll.ciqfunctions.udf.CIQ($B9,"IQ_EBT",IQ_LTM,$E$3, $J$3, , $G$3, $H$3))&lt;0,0,_xll.ciqfunctions.udf.CIQ($B9,"IQ_INC_TAX",MC$3,$E$3, $J$3, , $G$3, $H$3)/ABS(_xll.ciqfunctions.udf.CIQ($B9,"IQ_EBT",MC$3,$E$3, $J$3, , $G$3, $H$3)))),"")</f>
        <v/>
      </c>
      <c r="MD9" s="317" t="str">
        <f>IFERROR(IF(OR($B9="",MD$3=""),"",IF(_xll.ciqfunctions.udf.CIQ($B9,"IQ_INC_TAX",MD$3,$E$3, $J$3, , $G$3, $H$3)/ABS(_xll.ciqfunctions.udf.CIQ($B9,"IQ_EBT",IQ_LTM,$E$3, $J$3, , $G$3, $H$3))&lt;0,0,_xll.ciqfunctions.udf.CIQ($B9,"IQ_INC_TAX",MD$3,$E$3, $J$3, , $G$3, $H$3)/ABS(_xll.ciqfunctions.udf.CIQ($B9,"IQ_EBT",MD$3,$E$3, $J$3, , $G$3, $H$3)))),"")</f>
        <v/>
      </c>
      <c r="ME9" s="314" t="str">
        <f>IFERROR(IF(OR($B9="",ME$3=""),"",IF(_xll.ciqfunctions.udf.CIQ($B9,"IQ_INC_TAX",ME$3,$E$3, $J$3, , $G$3, $H$3)/ABS(_xll.ciqfunctions.udf.CIQ($B9,"IQ_EBT",IQ_LTM,$E$3, $J$3, , $G$3, $H$3))&lt;0,0,_xll.ciqfunctions.udf.CIQ($B9,"IQ_INC_TAX",ME$3,$E$3, $J$3, , $G$3, $H$3)/ABS(_xll.ciqfunctions.udf.CIQ($B9,"IQ_EBT",ME$3,$E$3, $J$3, , $G$3, $H$3)))),"")</f>
        <v/>
      </c>
      <c r="MF9" s="87" t="str">
        <f>IFERROR(IF(OR($B9="",MF$3=""),"",IF(_xll.ciqfunctions.udf.CIQ($B9,"IQ_INC_TAX",MF$3,$E$3, $J$3, , $G$3, $H$3)/ABS(_xll.ciqfunctions.udf.CIQ($B9,"IQ_EBT",IQ_LTM,$E$3, $J$3, , $G$3, $H$3))&lt;0,0,_xll.ciqfunctions.udf.CIQ($B9,"IQ_INC_TAX",MF$3,$E$3, $J$3, , $G$3, $H$3)/ABS(_xll.ciqfunctions.udf.CIQ($B9,"IQ_EBT",MF$3,$E$3, $J$3, , $G$3, $H$3)))),"")</f>
        <v/>
      </c>
      <c r="MG9" s="87" t="str">
        <f>IFERROR(IF(OR($B9="",MG$3=""),"",IF(_xll.ciqfunctions.udf.CIQ($B9,"IQ_INC_TAX",MG$3,$E$3, $J$3, , $G$3, $H$3)/ABS(_xll.ciqfunctions.udf.CIQ($B9,"IQ_EBT",IQ_LTM,$E$3, $J$3, , $G$3, $H$3))&lt;0,0,_xll.ciqfunctions.udf.CIQ($B9,"IQ_INC_TAX",MG$3,$E$3, $J$3, , $G$3, $H$3)/ABS(_xll.ciqfunctions.udf.CIQ($B9,"IQ_EBT",MG$3,$E$3, $J$3, , $G$3, $H$3)))),"")</f>
        <v/>
      </c>
      <c r="MH9" s="87" t="str">
        <f>IFERROR(IF(OR($B9="",MH$3=""),"",IF(_xll.ciqfunctions.udf.CIQ($B9,"IQ_INC_TAX",MH$3,$E$3, $J$3, , $G$3, $H$3)/ABS(_xll.ciqfunctions.udf.CIQ($B9,"IQ_EBT",IQ_LTM,$E$3, $J$3, , $G$3, $H$3))&lt;0,0,_xll.ciqfunctions.udf.CIQ($B9,"IQ_INC_TAX",MH$3,$E$3, $J$3, , $G$3, $H$3)/ABS(_xll.ciqfunctions.udf.CIQ($B9,"IQ_EBT",MH$3,$E$3, $J$3, , $G$3, $H$3)))),"")</f>
        <v/>
      </c>
      <c r="MI9" s="87" t="str">
        <f>IFERROR(IF(OR($B9="",MI$3=""),"",IF(_xll.ciqfunctions.udf.CIQ($B9,"IQ_INC_TAX",MI$3,$E$3, $J$3, , $G$3, $H$3)/ABS(_xll.ciqfunctions.udf.CIQ($B9,"IQ_EBT",IQ_LTM,$E$3, $J$3, , $G$3, $H$3))&lt;0,0,_xll.ciqfunctions.udf.CIQ($B9,"IQ_INC_TAX",MI$3,$E$3, $J$3, , $G$3, $H$3)/ABS(_xll.ciqfunctions.udf.CIQ($B9,"IQ_EBT",MI$3,$E$3, $J$3, , $G$3, $H$3)))),"")</f>
        <v/>
      </c>
      <c r="MJ9" s="87" t="str">
        <f>IFERROR(IF(OR($B9="",MJ$3=""),"",IF(_xll.ciqfunctions.udf.CIQ($B9,"IQ_INC_TAX",MJ$3,$E$3, $J$3, , $G$3, $H$3)/ABS(_xll.ciqfunctions.udf.CIQ($B9,"IQ_EBT",IQ_LTM,$E$3, $J$3, , $G$3, $H$3))&lt;0,0,_xll.ciqfunctions.udf.CIQ($B9,"IQ_INC_TAX",MJ$3,$E$3, $J$3, , $G$3, $H$3)/ABS(_xll.ciqfunctions.udf.CIQ($B9,"IQ_EBT",MJ$3,$E$3, $J$3, , $G$3, $H$3)))),"")</f>
        <v/>
      </c>
      <c r="MK9" s="87" t="str">
        <f>IFERROR(IF(OR($B9="",MK$3=""),"",IF(_xll.ciqfunctions.udf.CIQ($B9,"IQ_INC_TAX",MK$3,$E$3, $J$3, , $G$3, $H$3)/ABS(_xll.ciqfunctions.udf.CIQ($B9,"IQ_EBT",IQ_LTM,$E$3, $J$3, , $G$3, $H$3))&lt;0,0,_xll.ciqfunctions.udf.CIQ($B9,"IQ_INC_TAX",MK$3,$E$3, $J$3, , $G$3, $H$3)/ABS(_xll.ciqfunctions.udf.CIQ($B9,"IQ_EBT",MK$3,$E$3, $J$3, , $G$3, $H$3)))),"")</f>
        <v/>
      </c>
      <c r="ML9" s="88" t="str">
        <f>IFERROR(IF(OR($B9="",ML$3=""),"",IF(_xll.ciqfunctions.udf.CIQ($B9,"IQ_INC_TAX",ML$3,$E$3, $J$3, , $G$3, $H$3)/ABS(_xll.ciqfunctions.udf.CIQ($B9,"IQ_EBT",IQ_LTM,$E$3, $J$3, , $G$3, $H$3))&lt;0,0,_xll.ciqfunctions.udf.CIQ($B9,"IQ_INC_TAX",ML$3,$E$3, $J$3, , $G$3, $H$3)/ABS(_xll.ciqfunctions.udf.CIQ($B9,"IQ_EBT",ML$3,$E$3, $J$3, , $G$3, $H$3)))),"")</f>
        <v/>
      </c>
      <c r="MM9" s="72" t="str">
        <f>IFERROR(IF(OR($B9="",MM$3=""),"",(_xll.ciqfunctions.udf.CIQ($B9,"IQ_TIER_ONE_CAPITAL",MM$3,$E$3, $J$3, , $G$3, $H$3)+_xll.ciqfunctions.udf.CIQ($B9,"IQ_TIER_TWO_CAPITAL",MM$3,$E$3, $J$3, , $G$3, $H$3)-_xll.ciqfunctions.udf.CIQ($B9,"IQ_GW",MM$3,$E$3, $J$3, , $G$3, $H$3))/_xll.ciqfunctions.udf.CIQ($B9,"IQ_RISK_ADJ_BANK_ASSETS",MM$3,$E$3, $J$3, , $G$3, $H$3)),"")</f>
        <v/>
      </c>
      <c r="MN9" s="72" t="str">
        <f>IFERROR(IF(OR($B9="",MN$3=""),"",(_xll.ciqfunctions.udf.CIQ($B9,"IQ_TIER_ONE_CAPITAL",MN$3,$E$3, $J$3, , $G$3, $H$3)+_xll.ciqfunctions.udf.CIQ($B9,"IQ_TIER_TWO_CAPITAL",MN$3,$E$3, $J$3, , $G$3, $H$3)-_xll.ciqfunctions.udf.CIQ($B9,"IQ_GW",MN$3,$E$3, $J$3, , $G$3, $H$3))/_xll.ciqfunctions.udf.CIQ($B9,"IQ_RISK_ADJ_BANK_ASSETS",MN$3,$E$3, $J$3, , $G$3, $H$3)),"")</f>
        <v/>
      </c>
      <c r="MO9" s="72" t="str">
        <f>IFERROR(IF(OR($B9="",MO$3=""),"",(_xll.ciqfunctions.udf.CIQ($B9,"IQ_TIER_ONE_CAPITAL",MO$3,$E$3, $J$3, , $G$3, $H$3)+_xll.ciqfunctions.udf.CIQ($B9,"IQ_TIER_TWO_CAPITAL",MO$3,$E$3, $J$3, , $G$3, $H$3)-_xll.ciqfunctions.udf.CIQ($B9,"IQ_GW",MO$3,$E$3, $J$3, , $G$3, $H$3))/_xll.ciqfunctions.udf.CIQ($B9,"IQ_RISK_ADJ_BANK_ASSETS",MO$3,$E$3, $J$3, , $G$3, $H$3)),"")</f>
        <v/>
      </c>
      <c r="MP9" s="72" t="str">
        <f>IFERROR(IF(OR($B9="",MP$3=""),"",(_xll.ciqfunctions.udf.CIQ($B9,"IQ_TIER_ONE_CAPITAL",MP$3,$E$3, $J$3, , $G$3, $H$3)+_xll.ciqfunctions.udf.CIQ($B9,"IQ_TIER_TWO_CAPITAL",MP$3,$E$3, $J$3, , $G$3, $H$3)-_xll.ciqfunctions.udf.CIQ($B9,"IQ_GW",MP$3,$E$3, $J$3, , $G$3, $H$3))/_xll.ciqfunctions.udf.CIQ($B9,"IQ_RISK_ADJ_BANK_ASSETS",MP$3,$E$3, $J$3, , $G$3, $H$3)),"")</f>
        <v/>
      </c>
      <c r="MQ9" s="72" t="str">
        <f>IFERROR(IF(OR($B9="",MQ$3=""),"",(_xll.ciqfunctions.udf.CIQ($B9,"IQ_TIER_ONE_CAPITAL",MQ$3,$E$3, $J$3, , $G$3, $H$3)+_xll.ciqfunctions.udf.CIQ($B9,"IQ_TIER_TWO_CAPITAL",MQ$3,$E$3, $J$3, , $G$3, $H$3)-_xll.ciqfunctions.udf.CIQ($B9,"IQ_GW",MQ$3,$E$3, $J$3, , $G$3, $H$3))/_xll.ciqfunctions.udf.CIQ($B9,"IQ_RISK_ADJ_BANK_ASSETS",MQ$3,$E$3, $J$3, , $G$3, $H$3)),"")</f>
        <v/>
      </c>
      <c r="MR9" s="72" t="str">
        <f>IFERROR(IF(OR($B9="",MR$3=""),"",(_xll.ciqfunctions.udf.CIQ($B9,"IQ_TIER_ONE_CAPITAL",MR$3,$E$3, $J$3, , $G$3, $H$3)+_xll.ciqfunctions.udf.CIQ($B9,"IQ_TIER_TWO_CAPITAL",MR$3,$E$3, $J$3, , $G$3, $H$3)-_xll.ciqfunctions.udf.CIQ($B9,"IQ_GW",MR$3,$E$3, $J$3, , $G$3, $H$3))/_xll.ciqfunctions.udf.CIQ($B9,"IQ_RISK_ADJ_BANK_ASSETS",MR$3,$E$3, $J$3, , $G$3, $H$3)),"")</f>
        <v/>
      </c>
      <c r="MS9" s="72" t="str">
        <f>IFERROR(IF(OR($B9="",MS$3=""),"",(_xll.ciqfunctions.udf.CIQ($B9,"IQ_TIER_ONE_CAPITAL",MS$3,$E$3, $J$3, , $G$3, $H$3)+_xll.ciqfunctions.udf.CIQ($B9,"IQ_TIER_TWO_CAPITAL",MS$3,$E$3, $J$3, , $G$3, $H$3)-_xll.ciqfunctions.udf.CIQ($B9,"IQ_GW",MS$3,$E$3, $J$3, , $G$3, $H$3))/_xll.ciqfunctions.udf.CIQ($B9,"IQ_RISK_ADJ_BANK_ASSETS",MS$3,$E$3, $J$3, , $G$3, $H$3)),"")</f>
        <v/>
      </c>
      <c r="MT9" s="72" t="str">
        <f>IFERROR(IF(OR($B9="",MT$3=""),"",(_xll.ciqfunctions.udf.CIQ($B9,"IQ_TIER_ONE_CAPITAL",MT$3,$E$3, $J$3, , $G$3, $H$3)+_xll.ciqfunctions.udf.CIQ($B9,"IQ_TIER_TWO_CAPITAL",MT$3,$E$3, $J$3, , $G$3, $H$3)-_xll.ciqfunctions.udf.CIQ($B9,"IQ_GW",MT$3,$E$3, $J$3, , $G$3, $H$3))/_xll.ciqfunctions.udf.CIQ($B9,"IQ_RISK_ADJ_BANK_ASSETS",MT$3,$E$3, $J$3, , $G$3, $H$3)),"")</f>
        <v/>
      </c>
      <c r="MU9" s="72" t="str">
        <f>IFERROR(IF(OR($B9="",MU$3=""),"",(_xll.ciqfunctions.udf.CIQ($B9,"IQ_TIER_ONE_CAPITAL",MU$3,$E$3, $J$3, , $G$3, $H$3)+_xll.ciqfunctions.udf.CIQ($B9,"IQ_TIER_TWO_CAPITAL",MU$3,$E$3, $J$3, , $G$3, $H$3)-_xll.ciqfunctions.udf.CIQ($B9,"IQ_GW",MU$3,$E$3, $J$3, , $G$3, $H$3))/_xll.ciqfunctions.udf.CIQ($B9,"IQ_RISK_ADJ_BANK_ASSETS",MU$3,$E$3, $J$3, , $G$3, $H$3)),"")</f>
        <v/>
      </c>
      <c r="MV9" s="72" t="str">
        <f>IFERROR(IF(OR($B9="",MV$3=""),"",(_xll.ciqfunctions.udf.CIQ($B9,"IQ_TIER_ONE_CAPITAL",MV$3,$E$3, $J$3, , $G$3, $H$3)+_xll.ciqfunctions.udf.CIQ($B9,"IQ_TIER_TWO_CAPITAL",MV$3,$E$3, $J$3, , $G$3, $H$3)-_xll.ciqfunctions.udf.CIQ($B9,"IQ_GW",MV$3,$E$3, $J$3, , $G$3, $H$3))/_xll.ciqfunctions.udf.CIQ($B9,"IQ_RISK_ADJ_BANK_ASSETS",MV$3,$E$3, $J$3, , $G$3, $H$3)),"")</f>
        <v/>
      </c>
      <c r="MW9" s="72" t="str">
        <f>IFERROR(IF(OR($B9="",MW$3=""),"",(_xll.ciqfunctions.udf.CIQ($B9,"IQ_TIER_ONE_CAPITAL",MW$3,$E$3, $J$3, , $G$3, $H$3)+_xll.ciqfunctions.udf.CIQ($B9,"IQ_TIER_TWO_CAPITAL",MW$3,$E$3, $J$3, , $G$3, $H$3)-_xll.ciqfunctions.udf.CIQ($B9,"IQ_GW",MW$3,$E$3, $J$3, , $G$3, $H$3))/_xll.ciqfunctions.udf.CIQ($B9,"IQ_RISK_ADJ_BANK_ASSETS",MW$3,$E$3, $J$3, , $G$3, $H$3)),"")</f>
        <v/>
      </c>
      <c r="MX9" s="72" t="str">
        <f>IFERROR(IF(OR($B9="",MX$3=""),"",(_xll.ciqfunctions.udf.CIQ($B9,"IQ_TIER_ONE_CAPITAL",MX$3,$E$3, $J$3, , $G$3, $H$3)+_xll.ciqfunctions.udf.CIQ($B9,"IQ_TIER_TWO_CAPITAL",MX$3,$E$3, $J$3, , $G$3, $H$3)-_xll.ciqfunctions.udf.CIQ($B9,"IQ_GW",MX$3,$E$3, $J$3, , $G$3, $H$3))/_xll.ciqfunctions.udf.CIQ($B9,"IQ_RISK_ADJ_BANK_ASSETS",MX$3,$E$3, $J$3, , $G$3, $H$3)),"")</f>
        <v/>
      </c>
      <c r="MY9" s="72" t="str">
        <f>IFERROR(IF(OR($B9="",MY$3=""),"",(_xll.ciqfunctions.udf.CIQ($B9,"IQ_TIER_ONE_CAPITAL",MY$3,$E$3, $J$3, , $G$3, $H$3)+_xll.ciqfunctions.udf.CIQ($B9,"IQ_TIER_TWO_CAPITAL",MY$3,$E$3, $J$3, , $G$3, $H$3)-_xll.ciqfunctions.udf.CIQ($B9,"IQ_GW",MY$3,$E$3, $J$3, , $G$3, $H$3))/_xll.ciqfunctions.udf.CIQ($B9,"IQ_RISK_ADJ_BANK_ASSETS",MY$3,$E$3, $J$3, , $G$3, $H$3)),"")</f>
        <v/>
      </c>
      <c r="MZ9" s="72" t="str">
        <f>IFERROR(IF(OR($B9="",MZ$3=""),"",(_xll.ciqfunctions.udf.CIQ($B9,"IQ_TIER_ONE_CAPITAL",MZ$3,$E$3, $J$3, , $G$3, $H$3)+_xll.ciqfunctions.udf.CIQ($B9,"IQ_TIER_TWO_CAPITAL",MZ$3,$E$3, $J$3, , $G$3, $H$3)-_xll.ciqfunctions.udf.CIQ($B9,"IQ_GW",MZ$3,$E$3, $J$3, , $G$3, $H$3))/_xll.ciqfunctions.udf.CIQ($B9,"IQ_RISK_ADJ_BANK_ASSETS",MZ$3,$E$3, $J$3, , $G$3, $H$3)),"")</f>
        <v/>
      </c>
      <c r="NA9" s="72" t="str">
        <f>IFERROR(IF(OR($B9="",NA$3=""),"",(_xll.ciqfunctions.udf.CIQ($B9,"IQ_TIER_ONE_CAPITAL",NA$3,$E$3, $J$3, , $G$3, $H$3)+_xll.ciqfunctions.udf.CIQ($B9,"IQ_TIER_TWO_CAPITAL",NA$3,$E$3, $J$3, , $G$3, $H$3)-_xll.ciqfunctions.udf.CIQ($B9,"IQ_GW",NA$3,$E$3, $J$3, , $G$3, $H$3))/_xll.ciqfunctions.udf.CIQ($B9,"IQ_RISK_ADJ_BANK_ASSETS",NA$3,$E$3, $J$3, , $G$3, $H$3)),"")</f>
        <v/>
      </c>
      <c r="NB9" s="72" t="str">
        <f>IFERROR(IF(OR($B9="",NB$3=""),"",(_xll.ciqfunctions.udf.CIQ($B9,"IQ_TIER_ONE_CAPITAL",NB$3,$E$3, $J$3, , $G$3, $H$3)+_xll.ciqfunctions.udf.CIQ($B9,"IQ_TIER_TWO_CAPITAL",NB$3,$E$3, $J$3, , $G$3, $H$3)-_xll.ciqfunctions.udf.CIQ($B9,"IQ_GW",NB$3,$E$3, $J$3, , $G$3, $H$3))/_xll.ciqfunctions.udf.CIQ($B9,"IQ_RISK_ADJ_BANK_ASSETS",NB$3,$E$3, $J$3, , $G$3, $H$3)),"")</f>
        <v/>
      </c>
      <c r="NC9" s="72" t="str">
        <f>IFERROR(IF(OR($B9="",NC$3=""),"",(_xll.ciqfunctions.udf.CIQ($B9,"IQ_TIER_ONE_CAPITAL",NC$3,$E$3, $J$3, , $G$3, $H$3)+_xll.ciqfunctions.udf.CIQ($B9,"IQ_TIER_TWO_CAPITAL",NC$3,$E$3, $J$3, , $G$3, $H$3)-_xll.ciqfunctions.udf.CIQ($B9,"IQ_GW",NC$3,$E$3, $J$3, , $G$3, $H$3))/_xll.ciqfunctions.udf.CIQ($B9,"IQ_RISK_ADJ_BANK_ASSETS",NC$3,$E$3, $J$3, , $G$3, $H$3)),"")</f>
        <v/>
      </c>
      <c r="ND9" s="72" t="str">
        <f>IFERROR(IF(OR($B9="",ND$3=""),"",(_xll.ciqfunctions.udf.CIQ($B9,"IQ_TIER_ONE_CAPITAL",ND$3,$E$3, $J$3, , $G$3, $H$3)+_xll.ciqfunctions.udf.CIQ($B9,"IQ_TIER_TWO_CAPITAL",ND$3,$E$3, $J$3, , $G$3, $H$3)-_xll.ciqfunctions.udf.CIQ($B9,"IQ_GW",ND$3,$E$3, $J$3, , $G$3, $H$3))/_xll.ciqfunctions.udf.CIQ($B9,"IQ_RISK_ADJ_BANK_ASSETS",ND$3,$E$3, $J$3, , $G$3, $H$3)),"")</f>
        <v/>
      </c>
      <c r="NE9" s="72" t="str">
        <f>IFERROR(IF(OR($B9="",NE$3=""),"",(_xll.ciqfunctions.udf.CIQ($B9,"IQ_TIER_ONE_CAPITAL",NE$3,$E$3, $J$3, , $G$3, $H$3)+_xll.ciqfunctions.udf.CIQ($B9,"IQ_TIER_TWO_CAPITAL",NE$3,$E$3, $J$3, , $G$3, $H$3)-_xll.ciqfunctions.udf.CIQ($B9,"IQ_GW",NE$3,$E$3, $J$3, , $G$3, $H$3))/_xll.ciqfunctions.udf.CIQ($B9,"IQ_RISK_ADJ_BANK_ASSETS",NE$3,$E$3, $J$3, , $G$3, $H$3)),"")</f>
        <v/>
      </c>
      <c r="NF9" s="72" t="str">
        <f>IFERROR(IF(OR($B9="",NF$3=""),"",(_xll.ciqfunctions.udf.CIQ($B9,"IQ_TIER_ONE_CAPITAL",NF$3,$E$3, $J$3, , $G$3, $H$3)+_xll.ciqfunctions.udf.CIQ($B9,"IQ_TIER_TWO_CAPITAL",NF$3,$E$3, $J$3, , $G$3, $H$3)-_xll.ciqfunctions.udf.CIQ($B9,"IQ_GW",NF$3,$E$3, $J$3, , $G$3, $H$3))/_xll.ciqfunctions.udf.CIQ($B9,"IQ_RISK_ADJ_BANK_ASSETS",NF$3,$E$3, $J$3, , $G$3, $H$3)),"")</f>
        <v/>
      </c>
      <c r="NG9" s="72" t="str">
        <f>IFERROR(IF(OR($B9="",NG$3=""),"",-_xll.ciqfunctions.udf.CIQ($B9,"IQ_ALLOW_LL",NG$3,$E$3, $J$3, , $G$3, $H$3)/_xll.ciqfunctions.udf.CIQ($B9,"IQ_TOTAL_LOANS",NG$3,$E$3, $J$3, , $G$3, $H$3)),"")</f>
        <v/>
      </c>
      <c r="NH9" s="72" t="str">
        <f>IFERROR(IF(OR($B9="",NH$3=""),"",-_xll.ciqfunctions.udf.CIQ($B9,"IQ_ALLOW_LL",NH$3,$E$3, $J$3, , $G$3, $H$3)/_xll.ciqfunctions.udf.CIQ($B9,"IQ_TOTAL_LOANS",NH$3,$E$3, $J$3, , $G$3, $H$3)),"")</f>
        <v/>
      </c>
      <c r="NI9" s="72" t="str">
        <f>IFERROR(IF(OR($B9="",NI$3=""),"",-_xll.ciqfunctions.udf.CIQ($B9,"IQ_ALLOW_LL",NI$3,$E$3, $J$3, , $G$3, $H$3)/_xll.ciqfunctions.udf.CIQ($B9,"IQ_TOTAL_LOANS",NI$3,$E$3, $J$3, , $G$3, $H$3)),"")</f>
        <v/>
      </c>
      <c r="NJ9" s="72" t="str">
        <f>IFERROR(IF(OR($B9="",NJ$3=""),"",-_xll.ciqfunctions.udf.CIQ($B9,"IQ_ALLOW_LL",NJ$3,$E$3, $J$3, , $G$3, $H$3)/_xll.ciqfunctions.udf.CIQ($B9,"IQ_TOTAL_LOANS",NJ$3,$E$3, $J$3, , $G$3, $H$3)),"")</f>
        <v/>
      </c>
      <c r="NK9" s="72" t="str">
        <f>IFERROR(IF(OR($B9="",NK$3=""),"",-_xll.ciqfunctions.udf.CIQ($B9,"IQ_ALLOW_LL",NK$3,$E$3, $J$3, , $G$3, $H$3)/_xll.ciqfunctions.udf.CIQ($B9,"IQ_TOTAL_LOANS",NK$3,$E$3, $J$3, , $G$3, $H$3)),"")</f>
        <v/>
      </c>
      <c r="NL9" s="72" t="str">
        <f>IFERROR(IF(OR($B9="",NL$3=""),"",-_xll.ciqfunctions.udf.CIQ($B9,"IQ_ALLOW_LL",NL$3,$E$3, $J$3, , $G$3, $H$3)/_xll.ciqfunctions.udf.CIQ($B9,"IQ_TOTAL_LOANS",NL$3,$E$3, $J$3, , $G$3, $H$3)),"")</f>
        <v/>
      </c>
      <c r="NM9" s="72" t="str">
        <f>IFERROR(IF(OR($B9="",NM$3=""),"",-_xll.ciqfunctions.udf.CIQ($B9,"IQ_ALLOW_LL",NM$3,$E$3, $J$3, , $G$3, $H$3)/_xll.ciqfunctions.udf.CIQ($B9,"IQ_TOTAL_LOANS",NM$3,$E$3, $J$3, , $G$3, $H$3)),"")</f>
        <v/>
      </c>
      <c r="NN9" s="72" t="str">
        <f>IFERROR(IF(OR($B9="",NN$3=""),"",-_xll.ciqfunctions.udf.CIQ($B9,"IQ_ALLOW_LL",NN$3,$E$3, $J$3, , $G$3, $H$3)/_xll.ciqfunctions.udf.CIQ($B9,"IQ_TOTAL_LOANS",NN$3,$E$3, $J$3, , $G$3, $H$3)),"")</f>
        <v/>
      </c>
      <c r="NO9" s="72" t="str">
        <f>IFERROR(IF(OR($B9="",NO$3=""),"",-_xll.ciqfunctions.udf.CIQ($B9,"IQ_ALLOW_LL",NO$3,$E$3, $J$3, , $G$3, $H$3)/_xll.ciqfunctions.udf.CIQ($B9,"IQ_TOTAL_LOANS",NO$3,$E$3, $J$3, , $G$3, $H$3)),"")</f>
        <v/>
      </c>
      <c r="NP9" s="72" t="str">
        <f>IFERROR(IF(OR($B9="",NP$3=""),"",-_xll.ciqfunctions.udf.CIQ($B9,"IQ_ALLOW_LL",NP$3,$E$3, $J$3, , $G$3, $H$3)/_xll.ciqfunctions.udf.CIQ($B9,"IQ_TOTAL_LOANS",NP$3,$E$3, $J$3, , $G$3, $H$3)),"")</f>
        <v/>
      </c>
      <c r="NQ9" s="72" t="str">
        <f>IFERROR(IF(OR($B9="",NQ$3=""),"",-_xll.ciqfunctions.udf.CIQ($B9,"IQ_ALLOW_LL",NQ$3,$E$3, $J$3, , $G$3, $H$3)/_xll.ciqfunctions.udf.CIQ($B9,"IQ_TOTAL_LOANS",NQ$3,$E$3, $J$3, , $G$3, $H$3)),"")</f>
        <v/>
      </c>
      <c r="NR9" s="72" t="str">
        <f>IFERROR(IF(OR($B9="",NR$3=""),"",-_xll.ciqfunctions.udf.CIQ($B9,"IQ_ALLOW_LL",NR$3,$E$3, $J$3, , $G$3, $H$3)/_xll.ciqfunctions.udf.CIQ($B9,"IQ_TOTAL_LOANS",NR$3,$E$3, $J$3, , $G$3, $H$3)),"")</f>
        <v/>
      </c>
      <c r="NS9" s="72" t="str">
        <f>IFERROR(IF(OR($B9="",NS$3=""),"",-_xll.ciqfunctions.udf.CIQ($B9,"IQ_ALLOW_LL",NS$3,$E$3, $J$3, , $G$3, $H$3)/_xll.ciqfunctions.udf.CIQ($B9,"IQ_TOTAL_LOANS",NS$3,$E$3, $J$3, , $G$3, $H$3)),"")</f>
        <v/>
      </c>
      <c r="NT9" s="72" t="str">
        <f>IFERROR(IF(OR($B9="",NT$3=""),"",-_xll.ciqfunctions.udf.CIQ($B9,"IQ_ALLOW_LL",NT$3,$E$3, $J$3, , $G$3, $H$3)/_xll.ciqfunctions.udf.CIQ($B9,"IQ_TOTAL_LOANS",NT$3,$E$3, $J$3, , $G$3, $H$3)),"")</f>
        <v/>
      </c>
      <c r="NU9" s="72" t="str">
        <f>IFERROR(IF(OR($B9="",NU$3=""),"",-_xll.ciqfunctions.udf.CIQ($B9,"IQ_ALLOW_LL",NU$3,$E$3, $J$3, , $G$3, $H$3)/_xll.ciqfunctions.udf.CIQ($B9,"IQ_TOTAL_LOANS",NU$3,$E$3, $J$3, , $G$3, $H$3)),"")</f>
        <v/>
      </c>
      <c r="NV9" s="72" t="str">
        <f>IFERROR(IF(OR($B9="",NV$3=""),"",-_xll.ciqfunctions.udf.CIQ($B9,"IQ_ALLOW_LL",NV$3,$E$3, $J$3, , $G$3, $H$3)/_xll.ciqfunctions.udf.CIQ($B9,"IQ_TOTAL_LOANS",NV$3,$E$3, $J$3, , $G$3, $H$3)),"")</f>
        <v/>
      </c>
      <c r="NW9" s="72" t="str">
        <f>IFERROR(IF(OR($B9="",NW$3=""),"",-_xll.ciqfunctions.udf.CIQ($B9,"IQ_ALLOW_LL",NW$3,$E$3, $J$3, , $G$3, $H$3)/_xll.ciqfunctions.udf.CIQ($B9,"IQ_TOTAL_LOANS",NW$3,$E$3, $J$3, , $G$3, $H$3)),"")</f>
        <v/>
      </c>
      <c r="NX9" s="72" t="str">
        <f>IFERROR(IF(OR($B9="",NX$3=""),"",-_xll.ciqfunctions.udf.CIQ($B9,"IQ_ALLOW_LL",NX$3,$E$3, $J$3, , $G$3, $H$3)/_xll.ciqfunctions.udf.CIQ($B9,"IQ_TOTAL_LOANS",NX$3,$E$3, $J$3, , $G$3, $H$3)),"")</f>
        <v/>
      </c>
      <c r="NY9" s="72" t="str">
        <f>IFERROR(IF(OR($B9="",NY$3=""),"",-_xll.ciqfunctions.udf.CIQ($B9,"IQ_ALLOW_LL",NY$3,$E$3, $J$3, , $G$3, $H$3)/_xll.ciqfunctions.udf.CIQ($B9,"IQ_TOTAL_LOANS",NY$3,$E$3, $J$3, , $G$3, $H$3)),"")</f>
        <v/>
      </c>
      <c r="NZ9" s="72" t="str">
        <f>IFERROR(IF(OR($B9="",NZ$3=""),"",-_xll.ciqfunctions.udf.CIQ($B9,"IQ_ALLOW_LL",NZ$3,$E$3, $J$3, , $G$3, $H$3)/_xll.ciqfunctions.udf.CIQ($B9,"IQ_TOTAL_LOANS",NZ$3,$E$3, $J$3, , $G$3, $H$3)),"")</f>
        <v/>
      </c>
      <c r="OA9" s="72" t="str">
        <f>IFERROR(IF(OR($B9="",OA$3=""),"",_xll.ciqfunctions.udf.CIQ($B9,"IQ_TOTAL_LOANS",OA$3,$E$3, $J$3, , $G$3, $H$3)/_xll.ciqfunctions.udf.CIQ($B9,"IQ_TOTAL_DEPOSITS",OA$3,$E$3, $J$3, , $G$3, $H$3)),"")</f>
        <v/>
      </c>
      <c r="OB9" s="72" t="str">
        <f>IFERROR(IF(OR($B9="",OB$3=""),"",_xll.ciqfunctions.udf.CIQ($B9,"IQ_TOTAL_LOANS",OB$3,$E$3, $J$3, , $G$3, $H$3)/_xll.ciqfunctions.udf.CIQ($B9,"IQ_TOTAL_DEPOSITS",OB$3,$E$3, $J$3, , $G$3, $H$3)),"")</f>
        <v/>
      </c>
      <c r="OC9" s="72" t="str">
        <f>IFERROR(IF(OR($B9="",OC$3=""),"",_xll.ciqfunctions.udf.CIQ($B9,"IQ_TOTAL_LOANS",OC$3,$E$3, $J$3, , $G$3, $H$3)/_xll.ciqfunctions.udf.CIQ($B9,"IQ_TOTAL_DEPOSITS",OC$3,$E$3, $J$3, , $G$3, $H$3)),"")</f>
        <v/>
      </c>
      <c r="OD9" s="72" t="str">
        <f>IFERROR(IF(OR($B9="",OD$3=""),"",_xll.ciqfunctions.udf.CIQ($B9,"IQ_TOTAL_LOANS",OD$3,$E$3, $J$3, , $G$3, $H$3)/_xll.ciqfunctions.udf.CIQ($B9,"IQ_TOTAL_DEPOSITS",OD$3,$E$3, $J$3, , $G$3, $H$3)),"")</f>
        <v/>
      </c>
      <c r="OE9" s="72" t="str">
        <f>IFERROR(IF(OR($B9="",OE$3=""),"",_xll.ciqfunctions.udf.CIQ($B9,"IQ_TOTAL_LOANS",OE$3,$E$3, $J$3, , $G$3, $H$3)/_xll.ciqfunctions.udf.CIQ($B9,"IQ_TOTAL_DEPOSITS",OE$3,$E$3, $J$3, , $G$3, $H$3)),"")</f>
        <v/>
      </c>
      <c r="OF9" s="72" t="str">
        <f>IFERROR(IF(OR($B9="",OF$3=""),"",_xll.ciqfunctions.udf.CIQ($B9,"IQ_TOTAL_LOANS",OF$3,$E$3, $J$3, , $G$3, $H$3)/_xll.ciqfunctions.udf.CIQ($B9,"IQ_TOTAL_DEPOSITS",OF$3,$E$3, $J$3, , $G$3, $H$3)),"")</f>
        <v/>
      </c>
      <c r="OG9" s="72" t="str">
        <f>IFERROR(IF(OR($B9="",OG$3=""),"",_xll.ciqfunctions.udf.CIQ($B9,"IQ_TOTAL_LOANS",OG$3,$E$3, $J$3, , $G$3, $H$3)/_xll.ciqfunctions.udf.CIQ($B9,"IQ_TOTAL_DEPOSITS",OG$3,$E$3, $J$3, , $G$3, $H$3)),"")</f>
        <v/>
      </c>
      <c r="OH9" s="72" t="str">
        <f>IFERROR(IF(OR($B9="",OH$3=""),"",_xll.ciqfunctions.udf.CIQ($B9,"IQ_TOTAL_LOANS",OH$3,$E$3, $J$3, , $G$3, $H$3)/_xll.ciqfunctions.udf.CIQ($B9,"IQ_TOTAL_DEPOSITS",OH$3,$E$3, $J$3, , $G$3, $H$3)),"")</f>
        <v/>
      </c>
      <c r="OI9" s="72" t="str">
        <f>IFERROR(IF(OR($B9="",OI$3=""),"",_xll.ciqfunctions.udf.CIQ($B9,"IQ_TOTAL_LOANS",OI$3,$E$3, $J$3, , $G$3, $H$3)/_xll.ciqfunctions.udf.CIQ($B9,"IQ_TOTAL_DEPOSITS",OI$3,$E$3, $J$3, , $G$3, $H$3)),"")</f>
        <v/>
      </c>
      <c r="OJ9" s="72" t="str">
        <f>IFERROR(IF(OR($B9="",OJ$3=""),"",_xll.ciqfunctions.udf.CIQ($B9,"IQ_TOTAL_LOANS",OJ$3,$E$3, $J$3, , $G$3, $H$3)/_xll.ciqfunctions.udf.CIQ($B9,"IQ_TOTAL_DEPOSITS",OJ$3,$E$3, $J$3, , $G$3, $H$3)),"")</f>
        <v/>
      </c>
      <c r="OK9" s="72" t="str">
        <f>IFERROR(IF(OR($B9="",OK$3=""),"",_xll.ciqfunctions.udf.CIQ($B9,"IQ_TOTAL_LOANS",OK$3,$E$3, $J$3, , $G$3, $H$3)/_xll.ciqfunctions.udf.CIQ($B9,"IQ_TOTAL_DEPOSITS",OK$3,$E$3, $J$3, , $G$3, $H$3)),"")</f>
        <v/>
      </c>
      <c r="OL9" s="72" t="str">
        <f>IFERROR(IF(OR($B9="",OL$3=""),"",_xll.ciqfunctions.udf.CIQ($B9,"IQ_TOTAL_LOANS",OL$3,$E$3, $J$3, , $G$3, $H$3)/_xll.ciqfunctions.udf.CIQ($B9,"IQ_TOTAL_DEPOSITS",OL$3,$E$3, $J$3, , $G$3, $H$3)),"")</f>
        <v/>
      </c>
      <c r="OM9" s="72" t="str">
        <f>IFERROR(IF(OR($B9="",OM$3=""),"",_xll.ciqfunctions.udf.CIQ($B9,"IQ_TOTAL_LOANS",OM$3,$E$3, $J$3, , $G$3, $H$3)/_xll.ciqfunctions.udf.CIQ($B9,"IQ_TOTAL_DEPOSITS",OM$3,$E$3, $J$3, , $G$3, $H$3)),"")</f>
        <v/>
      </c>
      <c r="ON9" s="72" t="str">
        <f>IFERROR(IF(OR($B9="",ON$3=""),"",_xll.ciqfunctions.udf.CIQ($B9,"IQ_TOTAL_LOANS",ON$3,$E$3, $J$3, , $G$3, $H$3)/_xll.ciqfunctions.udf.CIQ($B9,"IQ_TOTAL_DEPOSITS",ON$3,$E$3, $J$3, , $G$3, $H$3)),"")</f>
        <v/>
      </c>
      <c r="OO9" s="72" t="str">
        <f>IFERROR(IF(OR($B9="",OO$3=""),"",_xll.ciqfunctions.udf.CIQ($B9,"IQ_TOTAL_LOANS",OO$3,$E$3, $J$3, , $G$3, $H$3)/_xll.ciqfunctions.udf.CIQ($B9,"IQ_TOTAL_DEPOSITS",OO$3,$E$3, $J$3, , $G$3, $H$3)),"")</f>
        <v/>
      </c>
      <c r="OP9" s="72" t="str">
        <f>IFERROR(IF(OR($B9="",OP$3=""),"",_xll.ciqfunctions.udf.CIQ($B9,"IQ_TOTAL_LOANS",OP$3,$E$3, $J$3, , $G$3, $H$3)/_xll.ciqfunctions.udf.CIQ($B9,"IQ_TOTAL_DEPOSITS",OP$3,$E$3, $J$3, , $G$3, $H$3)),"")</f>
        <v/>
      </c>
      <c r="OQ9" s="72" t="str">
        <f>IFERROR(IF(OR($B9="",OQ$3=""),"",_xll.ciqfunctions.udf.CIQ($B9,"IQ_TOTAL_LOANS",OQ$3,$E$3, $J$3, , $G$3, $H$3)/_xll.ciqfunctions.udf.CIQ($B9,"IQ_TOTAL_DEPOSITS",OQ$3,$E$3, $J$3, , $G$3, $H$3)),"")</f>
        <v/>
      </c>
      <c r="OR9" s="72" t="str">
        <f>IFERROR(IF(OR($B9="",OR$3=""),"",_xll.ciqfunctions.udf.CIQ($B9,"IQ_TOTAL_LOANS",OR$3,$E$3, $J$3, , $G$3, $H$3)/_xll.ciqfunctions.udf.CIQ($B9,"IQ_TOTAL_DEPOSITS",OR$3,$E$3, $J$3, , $G$3, $H$3)),"")</f>
        <v/>
      </c>
      <c r="OS9" s="72" t="str">
        <f>IFERROR(IF(OR($B9="",OS$3=""),"",_xll.ciqfunctions.udf.CIQ($B9,"IQ_TOTAL_LOANS",OS$3,$E$3, $J$3, , $G$3, $H$3)/_xll.ciqfunctions.udf.CIQ($B9,"IQ_TOTAL_DEPOSITS",OS$3,$E$3, $J$3, , $G$3, $H$3)),"")</f>
        <v/>
      </c>
      <c r="OT9" s="72" t="str">
        <f>IFERROR(IF(OR($B9="",OT$3=""),"",_xll.ciqfunctions.udf.CIQ($B9,"IQ_TOTAL_LOANS",OT$3,$E$3, $J$3, , $G$3, $H$3)/_xll.ciqfunctions.udf.CIQ($B9,"IQ_TOTAL_DEPOSITS",OT$3,$E$3, $J$3, , $G$3, $H$3)),"")</f>
        <v/>
      </c>
      <c r="OU9" s="72" t="str">
        <f>IFERROR(IF(OR($B9="",OU$3=""),"",_xll.ciqfunctions.udf.CIQ($B9,"IQ_NON_PERFORMING_LOANS",OU$3,$E$3, $J$3, , $G$3, $H$3)/_xll.ciqfunctions.udf.CIQ($B9,"IQ_TOTAL_EQUITY",OU$3,$E$3, $J$3, , $G$3, $H$3)),"")</f>
        <v/>
      </c>
      <c r="OV9" s="72" t="str">
        <f>IFERROR(IF(OR($B9="",OV$3=""),"",_xll.ciqfunctions.udf.CIQ($B9,"IQ_NON_PERFORMING_LOANS",OV$3,$E$3, $J$3, , $G$3, $H$3)/_xll.ciqfunctions.udf.CIQ($B9,"IQ_TOTAL_EQUITY",OV$3,$E$3, $J$3, , $G$3, $H$3)),"")</f>
        <v/>
      </c>
      <c r="OW9" s="72" t="str">
        <f>IFERROR(IF(OR($B9="",OW$3=""),"",_xll.ciqfunctions.udf.CIQ($B9,"IQ_NON_PERFORMING_LOANS",OW$3,$E$3, $J$3, , $G$3, $H$3)/_xll.ciqfunctions.udf.CIQ($B9,"IQ_TOTAL_EQUITY",OW$3,$E$3, $J$3, , $G$3, $H$3)),"")</f>
        <v/>
      </c>
      <c r="OX9" s="72" t="str">
        <f>IFERROR(IF(OR($B9="",OX$3=""),"",_xll.ciqfunctions.udf.CIQ($B9,"IQ_NON_PERFORMING_LOANS",OX$3,$E$3, $J$3, , $G$3, $H$3)/_xll.ciqfunctions.udf.CIQ($B9,"IQ_TOTAL_EQUITY",OX$3,$E$3, $J$3, , $G$3, $H$3)),"")</f>
        <v/>
      </c>
      <c r="OY9" s="72" t="str">
        <f>IFERROR(IF(OR($B9="",OY$3=""),"",_xll.ciqfunctions.udf.CIQ($B9,"IQ_NON_PERFORMING_LOANS",OY$3,$E$3, $J$3, , $G$3, $H$3)/_xll.ciqfunctions.udf.CIQ($B9,"IQ_TOTAL_EQUITY",OY$3,$E$3, $J$3, , $G$3, $H$3)),"")</f>
        <v/>
      </c>
      <c r="OZ9" s="72" t="str">
        <f>IFERROR(IF(OR($B9="",OZ$3=""),"",_xll.ciqfunctions.udf.CIQ($B9,"IQ_NON_PERFORMING_LOANS",OZ$3,$E$3, $J$3, , $G$3, $H$3)/_xll.ciqfunctions.udf.CIQ($B9,"IQ_TOTAL_EQUITY",OZ$3,$E$3, $J$3, , $G$3, $H$3)),"")</f>
        <v/>
      </c>
      <c r="PA9" s="72" t="str">
        <f>IFERROR(IF(OR($B9="",PA$3=""),"",_xll.ciqfunctions.udf.CIQ($B9,"IQ_NON_PERFORMING_LOANS",PA$3,$E$3, $J$3, , $G$3, $H$3)/_xll.ciqfunctions.udf.CIQ($B9,"IQ_TOTAL_EQUITY",PA$3,$E$3, $J$3, , $G$3, $H$3)),"")</f>
        <v/>
      </c>
      <c r="PB9" s="72" t="str">
        <f>IFERROR(IF(OR($B9="",PB$3=""),"",_xll.ciqfunctions.udf.CIQ($B9,"IQ_NON_PERFORMING_LOANS",PB$3,$E$3, $J$3, , $G$3, $H$3)/_xll.ciqfunctions.udf.CIQ($B9,"IQ_TOTAL_EQUITY",PB$3,$E$3, $J$3, , $G$3, $H$3)),"")</f>
        <v/>
      </c>
      <c r="PC9" s="72" t="str">
        <f>IFERROR(IF(OR($B9="",PC$3=""),"",_xll.ciqfunctions.udf.CIQ($B9,"IQ_NON_PERFORMING_LOANS",PC$3,$E$3, $J$3, , $G$3, $H$3)/_xll.ciqfunctions.udf.CIQ($B9,"IQ_TOTAL_EQUITY",PC$3,$E$3, $J$3, , $G$3, $H$3)),"")</f>
        <v/>
      </c>
      <c r="PD9" s="72" t="str">
        <f>IFERROR(IF(OR($B9="",PD$3=""),"",_xll.ciqfunctions.udf.CIQ($B9,"IQ_NON_PERFORMING_LOANS",PD$3,$E$3, $J$3, , $G$3, $H$3)/_xll.ciqfunctions.udf.CIQ($B9,"IQ_TOTAL_EQUITY",PD$3,$E$3, $J$3, , $G$3, $H$3)),"")</f>
        <v/>
      </c>
      <c r="PE9" s="72" t="str">
        <f>IFERROR(IF(OR($B9="",PE$3=""),"",_xll.ciqfunctions.udf.CIQ($B9,"IQ_NON_PERFORMING_LOANS",PE$3,$E$3, $J$3, , $G$3, $H$3)/_xll.ciqfunctions.udf.CIQ($B9,"IQ_TOTAL_EQUITY",PE$3,$E$3, $J$3, , $G$3, $H$3)),"")</f>
        <v/>
      </c>
      <c r="PF9" s="72" t="str">
        <f>IFERROR(IF(OR($B9="",PF$3=""),"",_xll.ciqfunctions.udf.CIQ($B9,"IQ_NON_PERFORMING_LOANS",PF$3,$E$3, $J$3, , $G$3, $H$3)/_xll.ciqfunctions.udf.CIQ($B9,"IQ_TOTAL_EQUITY",PF$3,$E$3, $J$3, , $G$3, $H$3)),"")</f>
        <v/>
      </c>
      <c r="PG9" s="72" t="str">
        <f>IFERROR(IF(OR($B9="",PG$3=""),"",_xll.ciqfunctions.udf.CIQ($B9,"IQ_NON_PERFORMING_LOANS",PG$3,$E$3, $J$3, , $G$3, $H$3)/_xll.ciqfunctions.udf.CIQ($B9,"IQ_TOTAL_EQUITY",PG$3,$E$3, $J$3, , $G$3, $H$3)),"")</f>
        <v/>
      </c>
      <c r="PH9" s="72" t="str">
        <f>IFERROR(IF(OR($B9="",PH$3=""),"",_xll.ciqfunctions.udf.CIQ($B9,"IQ_NON_PERFORMING_LOANS",PH$3,$E$3, $J$3, , $G$3, $H$3)/_xll.ciqfunctions.udf.CIQ($B9,"IQ_TOTAL_EQUITY",PH$3,$E$3, $J$3, , $G$3, $H$3)),"")</f>
        <v/>
      </c>
      <c r="PI9" s="72" t="str">
        <f>IFERROR(IF(OR($B9="",PI$3=""),"",_xll.ciqfunctions.udf.CIQ($B9,"IQ_NON_PERFORMING_LOANS",PI$3,$E$3, $J$3, , $G$3, $H$3)/_xll.ciqfunctions.udf.CIQ($B9,"IQ_TOTAL_EQUITY",PI$3,$E$3, $J$3, , $G$3, $H$3)),"")</f>
        <v/>
      </c>
      <c r="PJ9" s="72" t="str">
        <f>IFERROR(IF(OR($B9="",PJ$3=""),"",_xll.ciqfunctions.udf.CIQ($B9,"IQ_NON_PERFORMING_LOANS",PJ$3,$E$3, $J$3, , $G$3, $H$3)/_xll.ciqfunctions.udf.CIQ($B9,"IQ_TOTAL_EQUITY",PJ$3,$E$3, $J$3, , $G$3, $H$3)),"")</f>
        <v/>
      </c>
      <c r="PK9" s="72" t="str">
        <f>IFERROR(IF(OR($B9="",PK$3=""),"",_xll.ciqfunctions.udf.CIQ($B9,"IQ_NON_PERFORMING_LOANS",PK$3,$E$3, $J$3, , $G$3, $H$3)/_xll.ciqfunctions.udf.CIQ($B9,"IQ_TOTAL_EQUITY",PK$3,$E$3, $J$3, , $G$3, $H$3)),"")</f>
        <v/>
      </c>
      <c r="PL9" s="72" t="str">
        <f>IFERROR(IF(OR($B9="",PL$3=""),"",_xll.ciqfunctions.udf.CIQ($B9,"IQ_NON_PERFORMING_LOANS",PL$3,$E$3, $J$3, , $G$3, $H$3)/_xll.ciqfunctions.udf.CIQ($B9,"IQ_TOTAL_EQUITY",PL$3,$E$3, $J$3, , $G$3, $H$3)),"")</f>
        <v/>
      </c>
      <c r="PM9" s="72" t="str">
        <f>IFERROR(IF(OR($B9="",PM$3=""),"",_xll.ciqfunctions.udf.CIQ($B9,"IQ_NON_PERFORMING_LOANS",PM$3,$E$3, $J$3, , $G$3, $H$3)/_xll.ciqfunctions.udf.CIQ($B9,"IQ_TOTAL_EQUITY",PM$3,$E$3, $J$3, , $G$3, $H$3)),"")</f>
        <v/>
      </c>
      <c r="PN9" s="72" t="str">
        <f>IFERROR(IF(OR($B9="",PN$3=""),"",_xll.ciqfunctions.udf.CIQ($B9,"IQ_NON_PERFORMING_LOANS",PN$3,$E$3, $J$3, , $G$3, $H$3)/_xll.ciqfunctions.udf.CIQ($B9,"IQ_TOTAL_EQUITY",PN$3,$E$3, $J$3, , $G$3, $H$3)),"")</f>
        <v/>
      </c>
      <c r="PO9" s="72" t="str">
        <f>IFERROR(IF(OR($B9="",PO$3=""),"",(_xll.ciqfunctions.udf.CIQ($B9,"IQ_LASTSALEPRICE",PO$4)/_xll.ciqfunctions.udf.CIQ($B9,"IQ_LASTSALEPRICE",PO$2)-1)+(_xll.ciqfunctions.udf.CIQ($B9, "IQ_DPS_1YR_ANN_GROWTH", "IQ_LTM", PO$4)/100)),"")</f>
        <v/>
      </c>
      <c r="PP9" s="72" t="str">
        <f>IFERROR(IF(OR($B9="",PP$3=""),"",(_xll.ciqfunctions.udf.CIQ($B9,"IQ_LASTSALEPRICE",PP$4)/_xll.ciqfunctions.udf.CIQ($B9,"IQ_LASTSALEPRICE",PP$2)-1)+(_xll.ciqfunctions.udf.CIQ($B9, "IQ_DPS_1YR_ANN_GROWTH", "IQ_LTM", PP$4)/100)),"")</f>
        <v/>
      </c>
      <c r="PQ9" s="72" t="str">
        <f>IFERROR(IF(OR($B9="",PQ$3=""),"",(_xll.ciqfunctions.udf.CIQ($B9,"IQ_LASTSALEPRICE",PQ$4)/_xll.ciqfunctions.udf.CIQ($B9,"IQ_LASTSALEPRICE",PQ$2)-1)+(_xll.ciqfunctions.udf.CIQ($B9, "IQ_DPS_1YR_ANN_GROWTH", "IQ_LTM", PQ$4)/100)),"")</f>
        <v/>
      </c>
      <c r="PR9" s="72" t="str">
        <f>IFERROR(IF(OR($B9="",PR$3=""),"",(_xll.ciqfunctions.udf.CIQ($B9,"IQ_LASTSALEPRICE",PR$4)/_xll.ciqfunctions.udf.CIQ($B9,"IQ_LASTSALEPRICE",PR$2)-1)+(_xll.ciqfunctions.udf.CIQ($B9, "IQ_DPS_1YR_ANN_GROWTH", "IQ_LTM", PR$4)/100)),"")</f>
        <v/>
      </c>
      <c r="PS9" s="72" t="str">
        <f>IFERROR(IF(OR($B9="",PS$3=""),"",(_xll.ciqfunctions.udf.CIQ($B9,"IQ_LASTSALEPRICE",PS$4)/_xll.ciqfunctions.udf.CIQ($B9,"IQ_LASTSALEPRICE",PS$2)-1)+(_xll.ciqfunctions.udf.CIQ($B9, "IQ_DPS_1YR_ANN_GROWTH", "IQ_LTM", PS$4)/100)),"")</f>
        <v/>
      </c>
      <c r="PT9" s="72" t="str">
        <f>IFERROR(IF(OR($B9="",PT$3=""),"",(_xll.ciqfunctions.udf.CIQ($B9,"IQ_LASTSALEPRICE",PT$4)/_xll.ciqfunctions.udf.CIQ($B9,"IQ_LASTSALEPRICE",PT$2)-1)+(_xll.ciqfunctions.udf.CIQ($B9, "IQ_DPS_1YR_ANN_GROWTH", "IQ_LTM", PT$4)/100)),"")</f>
        <v/>
      </c>
      <c r="PU9" s="72" t="str">
        <f>IFERROR(IF(OR($B9="",PU$3=""),"",(_xll.ciqfunctions.udf.CIQ($B9,"IQ_LASTSALEPRICE",PU$4)/_xll.ciqfunctions.udf.CIQ($B9,"IQ_LASTSALEPRICE",PU$2)-1)+(_xll.ciqfunctions.udf.CIQ($B9, "IQ_DPS_1YR_ANN_GROWTH", "IQ_LTM", PU$4)/100)),"")</f>
        <v/>
      </c>
      <c r="PV9" s="72" t="str">
        <f>IFERROR(IF(OR($B9="",PV$3=""),"",(_xll.ciqfunctions.udf.CIQ($B9,"IQ_LASTSALEPRICE",PV$4)/_xll.ciqfunctions.udf.CIQ($B9,"IQ_LASTSALEPRICE",PV$2)-1)+(_xll.ciqfunctions.udf.CIQ($B9, "IQ_DPS_1YR_ANN_GROWTH", "IQ_LTM", PV$4)/100)),"")</f>
        <v/>
      </c>
      <c r="PW9" s="72" t="str">
        <f>IFERROR(IF(OR($B9="",PW$3=""),"",(_xll.ciqfunctions.udf.CIQ($B9,"IQ_LASTSALEPRICE",PW$4)/_xll.ciqfunctions.udf.CIQ($B9,"IQ_LASTSALEPRICE",PW$2)-1)+(_xll.ciqfunctions.udf.CIQ($B9, "IQ_DPS_1YR_ANN_GROWTH", "IQ_LTM", PW$4)/100)),"")</f>
        <v/>
      </c>
      <c r="PX9" s="72" t="str">
        <f>IFERROR(IF(OR($B9="",PX$3=""),"",(_xll.ciqfunctions.udf.CIQ($B9,"IQ_LASTSALEPRICE",PX$4)/_xll.ciqfunctions.udf.CIQ($B9,"IQ_LASTSALEPRICE",PX$2)-1)+(_xll.ciqfunctions.udf.CIQ($B9, "IQ_DPS_1YR_ANN_GROWTH", "IQ_LTM", PX$4)/100)),"")</f>
        <v/>
      </c>
      <c r="PY9" s="72" t="str">
        <f>IFERROR(IF(OR($B9="",PY$3=""),"",(_xll.ciqfunctions.udf.CIQ($B9,"IQ_LASTSALEPRICE",PY$4)/_xll.ciqfunctions.udf.CIQ($B9,"IQ_LASTSALEPRICE",PY$2)-1)+(_xll.ciqfunctions.udf.CIQ($B9, "IQ_DPS_1YR_ANN_GROWTH", "IQ_LTM", PY$4)/100)),"")</f>
        <v/>
      </c>
      <c r="PZ9" s="72" t="str">
        <f>IFERROR(IF(OR($B9="",PZ$3=""),"",(_xll.ciqfunctions.udf.CIQ($B9,"IQ_LASTSALEPRICE",PZ$4)/_xll.ciqfunctions.udf.CIQ($B9,"IQ_LASTSALEPRICE",PZ$2)-1)+(_xll.ciqfunctions.udf.CIQ($B9, "IQ_DPS_1YR_ANN_GROWTH", "IQ_LTM", PZ$4)/100)),"")</f>
        <v/>
      </c>
      <c r="QA9" s="72" t="str">
        <f>IFERROR(IF(OR($B9="",QA$3=""),"",(_xll.ciqfunctions.udf.CIQ($B9,"IQ_LASTSALEPRICE",QA$4)/_xll.ciqfunctions.udf.CIQ($B9,"IQ_LASTSALEPRICE",QA$2)-1)+(_xll.ciqfunctions.udf.CIQ($B9, "IQ_DPS_1YR_ANN_GROWTH", "IQ_LTM", QA$4)/100)),"")</f>
        <v/>
      </c>
      <c r="QB9" s="72" t="str">
        <f>IFERROR(IF(OR($B9="",QB$3=""),"",(_xll.ciqfunctions.udf.CIQ($B9,"IQ_LASTSALEPRICE",QB$4)/_xll.ciqfunctions.udf.CIQ($B9,"IQ_LASTSALEPRICE",QB$2)-1)+(_xll.ciqfunctions.udf.CIQ($B9, "IQ_DPS_1YR_ANN_GROWTH", "IQ_LTM", QB$4)/100)),"")</f>
        <v/>
      </c>
      <c r="QC9" s="72" t="str">
        <f>IFERROR(IF(OR($B9="",QC$3=""),"",(_xll.ciqfunctions.udf.CIQ($B9,"IQ_LASTSALEPRICE",QC$4)/_xll.ciqfunctions.udf.CIQ($B9,"IQ_LASTSALEPRICE",QC$2)-1)+(_xll.ciqfunctions.udf.CIQ($B9, "IQ_DPS_1YR_ANN_GROWTH", "IQ_LTM", QC$4)/100)),"")</f>
        <v/>
      </c>
      <c r="QD9" s="72" t="str">
        <f>IFERROR(IF(OR($B9="",QD$3=""),"",(_xll.ciqfunctions.udf.CIQ($B9,"IQ_LASTSALEPRICE",QD$4)/_xll.ciqfunctions.udf.CIQ($B9,"IQ_LASTSALEPRICE",QD$2)-1)+(_xll.ciqfunctions.udf.CIQ($B9, "IQ_DPS_1YR_ANN_GROWTH", "IQ_LTM", QD$4)/100)),"")</f>
        <v/>
      </c>
      <c r="QE9" s="72" t="str">
        <f>IFERROR(IF(OR($B9="",QE$3=""),"",(_xll.ciqfunctions.udf.CIQ($B9,"IQ_LASTSALEPRICE",QE$4)/_xll.ciqfunctions.udf.CIQ($B9,"IQ_LASTSALEPRICE",QE$2)-1)+(_xll.ciqfunctions.udf.CIQ($B9, "IQ_DPS_1YR_ANN_GROWTH", "IQ_LTM", QE$4)/100)),"")</f>
        <v/>
      </c>
      <c r="QF9" s="72" t="str">
        <f>IFERROR(IF(OR($B9="",QF$3=""),"",(_xll.ciqfunctions.udf.CIQ($B9,"IQ_LASTSALEPRICE",QF$4)/_xll.ciqfunctions.udf.CIQ($B9,"IQ_LASTSALEPRICE",QF$2)-1)+(_xll.ciqfunctions.udf.CIQ($B9, "IQ_DPS_1YR_ANN_GROWTH", "IQ_LTM", QF$4)/100)),"")</f>
        <v/>
      </c>
      <c r="QG9" s="72" t="str">
        <f>IFERROR(IF(OR($B9="",QG$3=""),"",(_xll.ciqfunctions.udf.CIQ($B9,"IQ_LASTSALEPRICE",QG$4)/_xll.ciqfunctions.udf.CIQ($B9,"IQ_LASTSALEPRICE",QG$2)-1)+(_xll.ciqfunctions.udf.CIQ($B9, "IQ_DPS_1YR_ANN_GROWTH", "IQ_LTM", QG$4)/100)),"")</f>
        <v/>
      </c>
      <c r="QH9" s="72" t="str">
        <f>IFERROR(IF(OR($B9="",QH$3=""),"",(_xll.ciqfunctions.udf.CIQ($B9,"IQ_LASTSALEPRICE",QH$4)/_xll.ciqfunctions.udf.CIQ($B9,"IQ_LASTSALEPRICE",QH$2)-1)+(_xll.ciqfunctions.udf.CIQ($B9, "IQ_DPS_1YR_ANN_GROWTH", "IQ_LTM", QH$4)/100)),"")</f>
        <v/>
      </c>
      <c r="QI9" s="72" t="str">
        <f>IFERROR(IF(OR($B9="",QI$3=""),"",_xll.ciqfunctions.udf.CIQ($B9,"IQ_NI",QI$3,$E$3, $J$3, , $G$3, $H$3)*2/(_xll.ciqfunctions.udf.CIQ($B9,"IQ_TOTAL_BANK_CAPITAL",QI$3,$E$3, $J$3, , $G$3, $H$3)+_xll.ciqfunctions.udf.CIQ($B9,"IQ_TOTAL_BANK_CAPITAL","IQ_" &amp; LEFT(QI$3,2) &amp; "-1", QI$3, $J$3, , $G$3, $H$3))),"")</f>
        <v/>
      </c>
      <c r="QJ9" s="72" t="str">
        <f>IFERROR(IF(OR($B9="",QJ$3=""),"",_xll.ciqfunctions.udf.CIQ($B9,"IQ_NI",QJ$3,$E$3, $J$3, , $G$3, $H$3)*2/(_xll.ciqfunctions.udf.CIQ($B9,"IQ_TOTAL_BANK_CAPITAL",QJ$3,$E$3, $J$3, , $G$3, $H$3)+_xll.ciqfunctions.udf.CIQ($B9,"IQ_TOTAL_BANK_CAPITAL","IQ_" &amp; LEFT(QJ$3,2) &amp; "-1", QJ$3, $J$3, , $G$3, $H$3))),"")</f>
        <v/>
      </c>
      <c r="QK9" s="72" t="str">
        <f>IFERROR(IF(OR($B9="",QK$3=""),"",_xll.ciqfunctions.udf.CIQ($B9,"IQ_NI",QK$3,$E$3, $J$3, , $G$3, $H$3)*2/(_xll.ciqfunctions.udf.CIQ($B9,"IQ_TOTAL_BANK_CAPITAL",QK$3,$E$3, $J$3, , $G$3, $H$3)+_xll.ciqfunctions.udf.CIQ($B9,"IQ_TOTAL_BANK_CAPITAL","IQ_" &amp; LEFT(QK$3,2) &amp; "-1", QK$3, $J$3, , $G$3, $H$3))),"")</f>
        <v/>
      </c>
      <c r="QL9" s="72" t="str">
        <f>IFERROR(IF(OR($B9="",QL$3=""),"",_xll.ciqfunctions.udf.CIQ($B9,"IQ_NI",QL$3,$E$3, $J$3, , $G$3, $H$3)*2/(_xll.ciqfunctions.udf.CIQ($B9,"IQ_TOTAL_BANK_CAPITAL",QL$3,$E$3, $J$3, , $G$3, $H$3)+_xll.ciqfunctions.udf.CIQ($B9,"IQ_TOTAL_BANK_CAPITAL","IQ_" &amp; LEFT(QL$3,2) &amp; "-1", QL$3, $J$3, , $G$3, $H$3))),"")</f>
        <v/>
      </c>
      <c r="QM9" s="72" t="str">
        <f>IFERROR(IF(OR($B9="",QM$3=""),"",_xll.ciqfunctions.udf.CIQ($B9,"IQ_NI",QM$3,$E$3, $J$3, , $G$3, $H$3)*2/(_xll.ciqfunctions.udf.CIQ($B9,"IQ_TOTAL_BANK_CAPITAL",QM$3,$E$3, $J$3, , $G$3, $H$3)+_xll.ciqfunctions.udf.CIQ($B9,"IQ_TOTAL_BANK_CAPITAL","IQ_" &amp; LEFT(QM$3,2) &amp; "-1", QM$3, $J$3, , $G$3, $H$3))),"")</f>
        <v/>
      </c>
      <c r="QN9" s="72" t="str">
        <f>IFERROR(IF(OR($B9="",QN$3=""),"",_xll.ciqfunctions.udf.CIQ($B9,"IQ_NI",QN$3,$E$3, $J$3, , $G$3, $H$3)*2/(_xll.ciqfunctions.udf.CIQ($B9,"IQ_TOTAL_BANK_CAPITAL",QN$3,$E$3, $J$3, , $G$3, $H$3)+_xll.ciqfunctions.udf.CIQ($B9,"IQ_TOTAL_BANK_CAPITAL","IQ_" &amp; LEFT(QN$3,2) &amp; "-1", QN$3, $J$3, , $G$3, $H$3))),"")</f>
        <v/>
      </c>
      <c r="QO9" s="72" t="str">
        <f>IFERROR(IF(OR($B9="",QO$3=""),"",_xll.ciqfunctions.udf.CIQ($B9,"IQ_NI",QO$3,$E$3, $J$3, , $G$3, $H$3)*2/(_xll.ciqfunctions.udf.CIQ($B9,"IQ_TOTAL_BANK_CAPITAL",QO$3,$E$3, $J$3, , $G$3, $H$3)+_xll.ciqfunctions.udf.CIQ($B9,"IQ_TOTAL_BANK_CAPITAL","IQ_" &amp; LEFT(QO$3,2) &amp; "-1", QO$3, $J$3, , $G$3, $H$3))),"")</f>
        <v/>
      </c>
      <c r="QP9" s="72" t="str">
        <f>IFERROR(IF(OR($B9="",QP$3=""),"",_xll.ciqfunctions.udf.CIQ($B9,"IQ_NI",QP$3,$E$3, $J$3, , $G$3, $H$3)*2/(_xll.ciqfunctions.udf.CIQ($B9,"IQ_TOTAL_BANK_CAPITAL",QP$3,$E$3, $J$3, , $G$3, $H$3)+_xll.ciqfunctions.udf.CIQ($B9,"IQ_TOTAL_BANK_CAPITAL","IQ_" &amp; LEFT(QP$3,2) &amp; "-1", QP$3, $J$3, , $G$3, $H$3))),"")</f>
        <v/>
      </c>
      <c r="QQ9" s="72" t="str">
        <f>IFERROR(IF(OR($B9="",QQ$3=""),"",_xll.ciqfunctions.udf.CIQ($B9,"IQ_NI",QQ$3,$E$3, $J$3, , $G$3, $H$3)*2/(_xll.ciqfunctions.udf.CIQ($B9,"IQ_TOTAL_BANK_CAPITAL",QQ$3,$E$3, $J$3, , $G$3, $H$3)+_xll.ciqfunctions.udf.CIQ($B9,"IQ_TOTAL_BANK_CAPITAL","IQ_" &amp; LEFT(QQ$3,2) &amp; "-1", QQ$3, $J$3, , $G$3, $H$3))),"")</f>
        <v/>
      </c>
      <c r="QR9" s="72" t="str">
        <f>IFERROR(IF(OR($B9="",QR$3=""),"",_xll.ciqfunctions.udf.CIQ($B9,"IQ_NI",QR$3,$E$3, $J$3, , $G$3, $H$3)*2/(_xll.ciqfunctions.udf.CIQ($B9,"IQ_TOTAL_BANK_CAPITAL",QR$3,$E$3, $J$3, , $G$3, $H$3)+_xll.ciqfunctions.udf.CIQ($B9,"IQ_TOTAL_BANK_CAPITAL","IQ_" &amp; LEFT(QR$3,2) &amp; "-1", QR$3, $J$3, , $G$3, $H$3))),"")</f>
        <v/>
      </c>
      <c r="QS9" s="72" t="str">
        <f>IFERROR(IF(OR($B9="",QS$3=""),"",_xll.ciqfunctions.udf.CIQ($B9,"IQ_NI",QS$3,$E$3, $J$3, , $G$3, $H$3)*2/(_xll.ciqfunctions.udf.CIQ($B9,"IQ_TOTAL_BANK_CAPITAL",QS$3,$E$3, $J$3, , $G$3, $H$3)+_xll.ciqfunctions.udf.CIQ($B9,"IQ_TOTAL_BANK_CAPITAL","IQ_" &amp; LEFT(QS$3,2) &amp; "-1", QS$3, $J$3, , $G$3, $H$3))),"")</f>
        <v/>
      </c>
      <c r="QT9" s="72" t="str">
        <f>IFERROR(IF(OR($B9="",QT$3=""),"",_xll.ciqfunctions.udf.CIQ($B9,"IQ_NI",QT$3,$E$3, $J$3, , $G$3, $H$3)*2/(_xll.ciqfunctions.udf.CIQ($B9,"IQ_TOTAL_BANK_CAPITAL",QT$3,$E$3, $J$3, , $G$3, $H$3)+_xll.ciqfunctions.udf.CIQ($B9,"IQ_TOTAL_BANK_CAPITAL","IQ_" &amp; LEFT(QT$3,2) &amp; "-1", QT$3, $J$3, , $G$3, $H$3))),"")</f>
        <v/>
      </c>
      <c r="QU9" s="72" t="str">
        <f>IFERROR(IF(OR($B9="",QU$3=""),"",_xll.ciqfunctions.udf.CIQ($B9,"IQ_NI",QU$3,$E$3, $J$3, , $G$3, $H$3)*2/(_xll.ciqfunctions.udf.CIQ($B9,"IQ_TOTAL_BANK_CAPITAL",QU$3,$E$3, $J$3, , $G$3, $H$3)+_xll.ciqfunctions.udf.CIQ($B9,"IQ_TOTAL_BANK_CAPITAL","IQ_" &amp; LEFT(QU$3,2) &amp; "-1", QU$3, $J$3, , $G$3, $H$3))),"")</f>
        <v/>
      </c>
      <c r="QV9" s="72" t="str">
        <f>IFERROR(IF(OR($B9="",QV$3=""),"",_xll.ciqfunctions.udf.CIQ($B9,"IQ_NI",QV$3,$E$3, $J$3, , $G$3, $H$3)*2/(_xll.ciqfunctions.udf.CIQ($B9,"IQ_TOTAL_BANK_CAPITAL",QV$3,$E$3, $J$3, , $G$3, $H$3)+_xll.ciqfunctions.udf.CIQ($B9,"IQ_TOTAL_BANK_CAPITAL","IQ_" &amp; LEFT(QV$3,2) &amp; "-1", QV$3, $J$3, , $G$3, $H$3))),"")</f>
        <v/>
      </c>
      <c r="QW9" s="72" t="str">
        <f>IFERROR(IF(OR($B9="",QW$3=""),"",_xll.ciqfunctions.udf.CIQ($B9,"IQ_NI",QW$3,$E$3, $J$3, , $G$3, $H$3)*2/(_xll.ciqfunctions.udf.CIQ($B9,"IQ_TOTAL_BANK_CAPITAL",QW$3,$E$3, $J$3, , $G$3, $H$3)+_xll.ciqfunctions.udf.CIQ($B9,"IQ_TOTAL_BANK_CAPITAL","IQ_" &amp; LEFT(QW$3,2) &amp; "-1", QW$3, $J$3, , $G$3, $H$3))),"")</f>
        <v/>
      </c>
      <c r="QX9" s="72" t="str">
        <f>IFERROR(IF(OR($B9="",QX$3=""),"",_xll.ciqfunctions.udf.CIQ($B9,"IQ_NI",QX$3,$E$3, $J$3, , $G$3, $H$3)*2/(_xll.ciqfunctions.udf.CIQ($B9,"IQ_TOTAL_BANK_CAPITAL",QX$3,$E$3, $J$3, , $G$3, $H$3)+_xll.ciqfunctions.udf.CIQ($B9,"IQ_TOTAL_BANK_CAPITAL","IQ_" &amp; LEFT(QX$3,2) &amp; "-1", QX$3, $J$3, , $G$3, $H$3))),"")</f>
        <v/>
      </c>
      <c r="QY9" s="72" t="str">
        <f>IFERROR(IF(OR($B9="",QY$3=""),"",_xll.ciqfunctions.udf.CIQ($B9,"IQ_NI",QY$3,$E$3, $J$3, , $G$3, $H$3)*2/(_xll.ciqfunctions.udf.CIQ($B9,"IQ_TOTAL_BANK_CAPITAL",QY$3,$E$3, $J$3, , $G$3, $H$3)+_xll.ciqfunctions.udf.CIQ($B9,"IQ_TOTAL_BANK_CAPITAL","IQ_" &amp; LEFT(QY$3,2) &amp; "-1", QY$3, $J$3, , $G$3, $H$3))),"")</f>
        <v/>
      </c>
      <c r="QZ9" s="72" t="str">
        <f>IFERROR(IF(OR($B9="",QZ$3=""),"",_xll.ciqfunctions.udf.CIQ($B9,"IQ_NI",QZ$3,$E$3, $J$3, , $G$3, $H$3)*2/(_xll.ciqfunctions.udf.CIQ($B9,"IQ_TOTAL_BANK_CAPITAL",QZ$3,$E$3, $J$3, , $G$3, $H$3)+_xll.ciqfunctions.udf.CIQ($B9,"IQ_TOTAL_BANK_CAPITAL","IQ_" &amp; LEFT(QZ$3,2) &amp; "-1", QZ$3, $J$3, , $G$3, $H$3))),"")</f>
        <v/>
      </c>
      <c r="RA9" s="72" t="str">
        <f>IFERROR(IF(OR($B9="",RA$3=""),"",_xll.ciqfunctions.udf.CIQ($B9,"IQ_NI",RA$3,$E$3, $J$3, , $G$3, $H$3)*2/(_xll.ciqfunctions.udf.CIQ($B9,"IQ_TOTAL_BANK_CAPITAL",RA$3,$E$3, $J$3, , $G$3, $H$3)+_xll.ciqfunctions.udf.CIQ($B9,"IQ_TOTAL_BANK_CAPITAL","IQ_" &amp; LEFT(RA$3,2) &amp; "-1", RA$3, $J$3, , $G$3, $H$3))),"")</f>
        <v/>
      </c>
      <c r="RB9" s="72" t="str">
        <f>IFERROR(IF(OR($B9="",RB$3=""),"",_xll.ciqfunctions.udf.CIQ($B9,"IQ_NI",RB$3,$E$3, $J$3, , $G$3, $H$3)*2/(_xll.ciqfunctions.udf.CIQ($B9,"IQ_TOTAL_BANK_CAPITAL",RB$3,$E$3, $J$3, , $G$3, $H$3)+_xll.ciqfunctions.udf.CIQ($B9,"IQ_TOTAL_BANK_CAPITAL","IQ_" &amp; LEFT(RB$3,2) &amp; "-1", RB$3, $J$3, , $G$3, $H$3))),"")</f>
        <v/>
      </c>
      <c r="RC9" s="628" t="str">
        <f>IFERROR(IF(OR($B9="",RC$4=""),"",(IFERROR(_xll.ciqfunctions.udf.CIQ($B9,"IQ_MARKETCAP",RC$4),0)+IFERROR(_xll.ciqfunctions.udf.CIQ($B9,"IQ_TOTAL_DEBT",RC$3),0)+IFERROR(_xll.ciqfunctions.udf.CIQ($B9,"IQ_PREF_EQUITY",RC$3),0)+IFERROR(_xll.ciqfunctions.udf.CIQ($B9,"IQ_MINORITY_INTEREST",RC$3),0)-IFERROR(_xll.ciqfunctions.udf.CIQ($B9,"IQ_ST_INVEST",RC$3),0)-IFERROR(_xll.ciqfunctions.udf.CIQ($B9,"IQ_cash_equiv",RC$3),0))/_xll.ciqfunctions.udf.CIQ($B9,"IQ_TOTAL_BANK_CAPITAL",QI$3,$E$3,$J$3,,$G$3,$H$3)),"")</f>
        <v/>
      </c>
      <c r="RD9" s="628" t="str">
        <f>IFERROR(IF(OR($B9="",RD$4=""),"",(IFERROR(_xll.ciqfunctions.udf.CIQ($B9,"IQ_MARKETCAP",RD$4),0)+IFERROR(_xll.ciqfunctions.udf.CIQ($B9,"IQ_TOTAL_DEBT",RD$3),0)+IFERROR(_xll.ciqfunctions.udf.CIQ($B9,"IQ_PREF_EQUITY",RD$3),0)+IFERROR(_xll.ciqfunctions.udf.CIQ($B9,"IQ_MINORITY_INTEREST",RD$3),0)-IFERROR(_xll.ciqfunctions.udf.CIQ($B9,"IQ_ST_INVEST",RD$3),0)-IFERROR(_xll.ciqfunctions.udf.CIQ($B9,"IQ_cash_equiv",RD$3),0))/_xll.ciqfunctions.udf.CIQ($B9,"IQ_TOTAL_BANK_CAPITAL",QJ$3,$E$3,$J$3,,$G$3,$H$3)),"")</f>
        <v/>
      </c>
      <c r="RE9" s="628" t="str">
        <f>IFERROR(IF(OR($B9="",RE$4=""),"",(IFERROR(_xll.ciqfunctions.udf.CIQ($B9,"IQ_MARKETCAP",RE$4),0)+IFERROR(_xll.ciqfunctions.udf.CIQ($B9,"IQ_TOTAL_DEBT",RE$3),0)+IFERROR(_xll.ciqfunctions.udf.CIQ($B9,"IQ_PREF_EQUITY",RE$3),0)+IFERROR(_xll.ciqfunctions.udf.CIQ($B9,"IQ_MINORITY_INTEREST",RE$3),0)-IFERROR(_xll.ciqfunctions.udf.CIQ($B9,"IQ_ST_INVEST",RE$3),0)-IFERROR(_xll.ciqfunctions.udf.CIQ($B9,"IQ_cash_equiv",RE$3),0))/_xll.ciqfunctions.udf.CIQ($B9,"IQ_TOTAL_BANK_CAPITAL",QK$3,$E$3,$J$3,,$G$3,$H$3)),"")</f>
        <v/>
      </c>
      <c r="RF9" s="628" t="str">
        <f>IFERROR(IF(OR($B9="",RF$4=""),"",(IFERROR(_xll.ciqfunctions.udf.CIQ($B9,"IQ_MARKETCAP",RF$4),0)+IFERROR(_xll.ciqfunctions.udf.CIQ($B9,"IQ_TOTAL_DEBT",RF$3),0)+IFERROR(_xll.ciqfunctions.udf.CIQ($B9,"IQ_PREF_EQUITY",RF$3),0)+IFERROR(_xll.ciqfunctions.udf.CIQ($B9,"IQ_MINORITY_INTEREST",RF$3),0)-IFERROR(_xll.ciqfunctions.udf.CIQ($B9,"IQ_ST_INVEST",RF$3),0)-IFERROR(_xll.ciqfunctions.udf.CIQ($B9,"IQ_cash_equiv",RF$3),0))/_xll.ciqfunctions.udf.CIQ($B9,"IQ_TOTAL_BANK_CAPITAL",QL$3,$E$3,$J$3,,$G$3,$H$3)),"")</f>
        <v/>
      </c>
      <c r="RG9" s="628" t="str">
        <f>IFERROR(IF(OR($B9="",RG$4=""),"",(IFERROR(_xll.ciqfunctions.udf.CIQ($B9,"IQ_MARKETCAP",RG$4),0)+IFERROR(_xll.ciqfunctions.udf.CIQ($B9,"IQ_TOTAL_DEBT",RG$3),0)+IFERROR(_xll.ciqfunctions.udf.CIQ($B9,"IQ_PREF_EQUITY",RG$3),0)+IFERROR(_xll.ciqfunctions.udf.CIQ($B9,"IQ_MINORITY_INTEREST",RG$3),0)-IFERROR(_xll.ciqfunctions.udf.CIQ($B9,"IQ_ST_INVEST",RG$3),0)-IFERROR(_xll.ciqfunctions.udf.CIQ($B9,"IQ_cash_equiv",RG$3),0))/_xll.ciqfunctions.udf.CIQ($B9,"IQ_TOTAL_BANK_CAPITAL",QM$3,$E$3,$J$3,,$G$3,$H$3)),"")</f>
        <v/>
      </c>
      <c r="RH9" s="628" t="str">
        <f>IFERROR(IF(OR($B9="",RH$4=""),"",(IFERROR(_xll.ciqfunctions.udf.CIQ($B9,"IQ_MARKETCAP",RH$4),0)+IFERROR(_xll.ciqfunctions.udf.CIQ($B9,"IQ_TOTAL_DEBT",RH$3),0)+IFERROR(_xll.ciqfunctions.udf.CIQ($B9,"IQ_PREF_EQUITY",RH$3),0)+IFERROR(_xll.ciqfunctions.udf.CIQ($B9,"IQ_MINORITY_INTEREST",RH$3),0)-IFERROR(_xll.ciqfunctions.udf.CIQ($B9,"IQ_ST_INVEST",RH$3),0)-IFERROR(_xll.ciqfunctions.udf.CIQ($B9,"IQ_cash_equiv",RH$3),0))/_xll.ciqfunctions.udf.CIQ($B9,"IQ_TOTAL_BANK_CAPITAL",QN$3,$E$3,$J$3,,$G$3,$H$3)),"")</f>
        <v/>
      </c>
      <c r="RI9" s="628" t="str">
        <f>IFERROR(IF(OR($B9="",RI$4=""),"",(IFERROR(_xll.ciqfunctions.udf.CIQ($B9,"IQ_MARKETCAP",RI$4),0)+IFERROR(_xll.ciqfunctions.udf.CIQ($B9,"IQ_TOTAL_DEBT",RI$3),0)+IFERROR(_xll.ciqfunctions.udf.CIQ($B9,"IQ_PREF_EQUITY",RI$3),0)+IFERROR(_xll.ciqfunctions.udf.CIQ($B9,"IQ_MINORITY_INTEREST",RI$3),0)-IFERROR(_xll.ciqfunctions.udf.CIQ($B9,"IQ_ST_INVEST",RI$3),0)-IFERROR(_xll.ciqfunctions.udf.CIQ($B9,"IQ_cash_equiv",RI$3),0))/_xll.ciqfunctions.udf.CIQ($B9,"IQ_TOTAL_BANK_CAPITAL",QO$3,$E$3,$J$3,,$G$3,$H$3)),"")</f>
        <v/>
      </c>
      <c r="RJ9" s="628" t="str">
        <f>IFERROR(IF(OR($B9="",RJ$4=""),"",(IFERROR(_xll.ciqfunctions.udf.CIQ($B9,"IQ_MARKETCAP",RJ$4),0)+IFERROR(_xll.ciqfunctions.udf.CIQ($B9,"IQ_TOTAL_DEBT",RJ$3),0)+IFERROR(_xll.ciqfunctions.udf.CIQ($B9,"IQ_PREF_EQUITY",RJ$3),0)+IFERROR(_xll.ciqfunctions.udf.CIQ($B9,"IQ_MINORITY_INTEREST",RJ$3),0)-IFERROR(_xll.ciqfunctions.udf.CIQ($B9,"IQ_ST_INVEST",RJ$3),0)-IFERROR(_xll.ciqfunctions.udf.CIQ($B9,"IQ_cash_equiv",RJ$3),0))/_xll.ciqfunctions.udf.CIQ($B9,"IQ_TOTAL_BANK_CAPITAL",QP$3,$E$3,$J$3,,$G$3,$H$3)),"")</f>
        <v/>
      </c>
      <c r="RK9" s="628" t="str">
        <f>IFERROR(IF(OR($B9="",RK$4=""),"",(IFERROR(_xll.ciqfunctions.udf.CIQ($B9,"IQ_MARKETCAP",RK$4),0)+IFERROR(_xll.ciqfunctions.udf.CIQ($B9,"IQ_TOTAL_DEBT",RK$3),0)+IFERROR(_xll.ciqfunctions.udf.CIQ($B9,"IQ_PREF_EQUITY",RK$3),0)+IFERROR(_xll.ciqfunctions.udf.CIQ($B9,"IQ_MINORITY_INTEREST",RK$3),0)-IFERROR(_xll.ciqfunctions.udf.CIQ($B9,"IQ_ST_INVEST",RK$3),0)-IFERROR(_xll.ciqfunctions.udf.CIQ($B9,"IQ_cash_equiv",RK$3),0))/_xll.ciqfunctions.udf.CIQ($B9,"IQ_TOTAL_BANK_CAPITAL",QQ$3,$E$3,$J$3,,$G$3,$H$3)),"")</f>
        <v/>
      </c>
      <c r="RL9" s="628" t="str">
        <f>IFERROR(IF(OR($B9="",RL$4=""),"",(IFERROR(_xll.ciqfunctions.udf.CIQ($B9,"IQ_MARKETCAP",RL$4),0)+IFERROR(_xll.ciqfunctions.udf.CIQ($B9,"IQ_TOTAL_DEBT",RL$3),0)+IFERROR(_xll.ciqfunctions.udf.CIQ($B9,"IQ_PREF_EQUITY",RL$3),0)+IFERROR(_xll.ciqfunctions.udf.CIQ($B9,"IQ_MINORITY_INTEREST",RL$3),0)-IFERROR(_xll.ciqfunctions.udf.CIQ($B9,"IQ_ST_INVEST",RL$3),0)-IFERROR(_xll.ciqfunctions.udf.CIQ($B9,"IQ_cash_equiv",RL$3),0))/_xll.ciqfunctions.udf.CIQ($B9,"IQ_TOTAL_BANK_CAPITAL",QR$3,$E$3,$J$3,,$G$3,$H$3)),"")</f>
        <v/>
      </c>
      <c r="RM9" s="628" t="str">
        <f>IFERROR(IF(OR($B9="",RM$4=""),"",(IFERROR(_xll.ciqfunctions.udf.CIQ($B9,"IQ_MARKETCAP",RM$4),0)+IFERROR(_xll.ciqfunctions.udf.CIQ($B9,"IQ_TOTAL_DEBT",RM$3),0)+IFERROR(_xll.ciqfunctions.udf.CIQ($B9,"IQ_PREF_EQUITY",RM$3),0)+IFERROR(_xll.ciqfunctions.udf.CIQ($B9,"IQ_MINORITY_INTEREST",RM$3),0)-IFERROR(_xll.ciqfunctions.udf.CIQ($B9,"IQ_ST_INVEST",RM$3),0)-IFERROR(_xll.ciqfunctions.udf.CIQ($B9,"IQ_cash_equiv",RM$3),0))/_xll.ciqfunctions.udf.CIQ($B9,"IQ_TOTAL_BANK_CAPITAL",QS$3,$E$3,$J$3,,$G$3,$H$3)),"")</f>
        <v/>
      </c>
      <c r="RN9" s="628" t="str">
        <f>IFERROR(IF(OR($B9="",RN$4=""),"",(IFERROR(_xll.ciqfunctions.udf.CIQ($B9,"IQ_MARKETCAP",RN$4),0)+IFERROR(_xll.ciqfunctions.udf.CIQ($B9,"IQ_TOTAL_DEBT",RN$3),0)+IFERROR(_xll.ciqfunctions.udf.CIQ($B9,"IQ_PREF_EQUITY",RN$3),0)+IFERROR(_xll.ciqfunctions.udf.CIQ($B9,"IQ_MINORITY_INTEREST",RN$3),0)-IFERROR(_xll.ciqfunctions.udf.CIQ($B9,"IQ_ST_INVEST",RN$3),0)-IFERROR(_xll.ciqfunctions.udf.CIQ($B9,"IQ_cash_equiv",RN$3),0))/_xll.ciqfunctions.udf.CIQ($B9,"IQ_TOTAL_BANK_CAPITAL",QT$3,$E$3,$J$3,,$G$3,$H$3)),"")</f>
        <v/>
      </c>
      <c r="RO9" s="628" t="str">
        <f>IFERROR(IF(OR($B9="",RO$4=""),"",(IFERROR(_xll.ciqfunctions.udf.CIQ($B9,"IQ_MARKETCAP",RO$4),0)+IFERROR(_xll.ciqfunctions.udf.CIQ($B9,"IQ_TOTAL_DEBT",RO$3),0)+IFERROR(_xll.ciqfunctions.udf.CIQ($B9,"IQ_PREF_EQUITY",RO$3),0)+IFERROR(_xll.ciqfunctions.udf.CIQ($B9,"IQ_MINORITY_INTEREST",RO$3),0)-IFERROR(_xll.ciqfunctions.udf.CIQ($B9,"IQ_ST_INVEST",RO$3),0)-IFERROR(_xll.ciqfunctions.udf.CIQ($B9,"IQ_cash_equiv",RO$3),0))/_xll.ciqfunctions.udf.CIQ($B9,"IQ_TOTAL_BANK_CAPITAL",QU$3,$E$3,$J$3,,$G$3,$H$3)),"")</f>
        <v/>
      </c>
      <c r="RP9" s="628" t="str">
        <f>IFERROR(IF(OR($B9="",RP$4=""),"",(IFERROR(_xll.ciqfunctions.udf.CIQ($B9,"IQ_MARKETCAP",RP$4),0)+IFERROR(_xll.ciqfunctions.udf.CIQ($B9,"IQ_TOTAL_DEBT",RP$3),0)+IFERROR(_xll.ciqfunctions.udf.CIQ($B9,"IQ_PREF_EQUITY",RP$3),0)+IFERROR(_xll.ciqfunctions.udf.CIQ($B9,"IQ_MINORITY_INTEREST",RP$3),0)-IFERROR(_xll.ciqfunctions.udf.CIQ($B9,"IQ_ST_INVEST",RP$3),0)-IFERROR(_xll.ciqfunctions.udf.CIQ($B9,"IQ_cash_equiv",RP$3),0))/_xll.ciqfunctions.udf.CIQ($B9,"IQ_TOTAL_BANK_CAPITAL",QV$3,$E$3,$J$3,,$G$3,$H$3)),"")</f>
        <v/>
      </c>
      <c r="RQ9" s="628" t="str">
        <f>IFERROR(IF(OR($B9="",RQ$4=""),"",(IFERROR(_xll.ciqfunctions.udf.CIQ($B9,"IQ_MARKETCAP",RQ$4),0)+IFERROR(_xll.ciqfunctions.udf.CIQ($B9,"IQ_TOTAL_DEBT",RQ$3),0)+IFERROR(_xll.ciqfunctions.udf.CIQ($B9,"IQ_PREF_EQUITY",RQ$3),0)+IFERROR(_xll.ciqfunctions.udf.CIQ($B9,"IQ_MINORITY_INTEREST",RQ$3),0)-IFERROR(_xll.ciqfunctions.udf.CIQ($B9,"IQ_ST_INVEST",RQ$3),0)-IFERROR(_xll.ciqfunctions.udf.CIQ($B9,"IQ_cash_equiv",RQ$3),0))/_xll.ciqfunctions.udf.CIQ($B9,"IQ_TOTAL_BANK_CAPITAL",QW$3,$E$3,$J$3,,$G$3,$H$3)),"")</f>
        <v/>
      </c>
      <c r="RR9" s="628" t="str">
        <f>IFERROR(IF(OR($B9="",RR$4=""),"",(IFERROR(_xll.ciqfunctions.udf.CIQ($B9,"IQ_MARKETCAP",RR$4),0)+IFERROR(_xll.ciqfunctions.udf.CIQ($B9,"IQ_TOTAL_DEBT",RR$3),0)+IFERROR(_xll.ciqfunctions.udf.CIQ($B9,"IQ_PREF_EQUITY",RR$3),0)+IFERROR(_xll.ciqfunctions.udf.CIQ($B9,"IQ_MINORITY_INTEREST",RR$3),0)-IFERROR(_xll.ciqfunctions.udf.CIQ($B9,"IQ_ST_INVEST",RR$3),0)-IFERROR(_xll.ciqfunctions.udf.CIQ($B9,"IQ_cash_equiv",RR$3),0))/_xll.ciqfunctions.udf.CIQ($B9,"IQ_TOTAL_BANK_CAPITAL",QX$3,$E$3,$J$3,,$G$3,$H$3)),"")</f>
        <v/>
      </c>
      <c r="RS9" s="628" t="str">
        <f>IFERROR(IF(OR($B9="",RS$4=""),"",(IFERROR(_xll.ciqfunctions.udf.CIQ($B9,"IQ_MARKETCAP",RS$4),0)+IFERROR(_xll.ciqfunctions.udf.CIQ($B9,"IQ_TOTAL_DEBT",RS$3),0)+IFERROR(_xll.ciqfunctions.udf.CIQ($B9,"IQ_PREF_EQUITY",RS$3),0)+IFERROR(_xll.ciqfunctions.udf.CIQ($B9,"IQ_MINORITY_INTEREST",RS$3),0)-IFERROR(_xll.ciqfunctions.udf.CIQ($B9,"IQ_ST_INVEST",RS$3),0)-IFERROR(_xll.ciqfunctions.udf.CIQ($B9,"IQ_cash_equiv",RS$3),0))/_xll.ciqfunctions.udf.CIQ($B9,"IQ_TOTAL_BANK_CAPITAL",QY$3,$E$3,$J$3,,$G$3,$H$3)),"")</f>
        <v/>
      </c>
      <c r="RT9" s="628" t="str">
        <f>IFERROR(IF(OR($B9="",RT$4=""),"",(IFERROR(_xll.ciqfunctions.udf.CIQ($B9,"IQ_MARKETCAP",RT$4),0)+IFERROR(_xll.ciqfunctions.udf.CIQ($B9,"IQ_TOTAL_DEBT",RT$3),0)+IFERROR(_xll.ciqfunctions.udf.CIQ($B9,"IQ_PREF_EQUITY",RT$3),0)+IFERROR(_xll.ciqfunctions.udf.CIQ($B9,"IQ_MINORITY_INTEREST",RT$3),0)-IFERROR(_xll.ciqfunctions.udf.CIQ($B9,"IQ_ST_INVEST",RT$3),0)-IFERROR(_xll.ciqfunctions.udf.CIQ($B9,"IQ_cash_equiv",RT$3),0))/_xll.ciqfunctions.udf.CIQ($B9,"IQ_TOTAL_BANK_CAPITAL",QZ$3,$E$3,$J$3,,$G$3,$H$3)),"")</f>
        <v/>
      </c>
      <c r="RU9" s="628" t="str">
        <f>IFERROR(IF(OR($B9="",RU$4=""),"",(IFERROR(_xll.ciqfunctions.udf.CIQ($B9,"IQ_MARKETCAP",RU$4),0)+IFERROR(_xll.ciqfunctions.udf.CIQ($B9,"IQ_TOTAL_DEBT",RU$3),0)+IFERROR(_xll.ciqfunctions.udf.CIQ($B9,"IQ_PREF_EQUITY",RU$3),0)+IFERROR(_xll.ciqfunctions.udf.CIQ($B9,"IQ_MINORITY_INTEREST",RU$3),0)-IFERROR(_xll.ciqfunctions.udf.CIQ($B9,"IQ_ST_INVEST",RU$3),0)-IFERROR(_xll.ciqfunctions.udf.CIQ($B9,"IQ_cash_equiv",RU$3),0))/_xll.ciqfunctions.udf.CIQ($B9,"IQ_TOTAL_BANK_CAPITAL",RA$3,$E$3,$J$3,,$G$3,$H$3)),"")</f>
        <v/>
      </c>
      <c r="RV9" s="628" t="str">
        <f>IFERROR(IF(OR($B9="",RV$4=""),"",(IFERROR(_xll.ciqfunctions.udf.CIQ($B9,"IQ_MARKETCAP",RV$4),0)+IFERROR(_xll.ciqfunctions.udf.CIQ($B9,"IQ_TOTAL_DEBT",RV$3),0)+IFERROR(_xll.ciqfunctions.udf.CIQ($B9,"IQ_PREF_EQUITY",RV$3),0)+IFERROR(_xll.ciqfunctions.udf.CIQ($B9,"IQ_MINORITY_INTEREST",RV$3),0)-IFERROR(_xll.ciqfunctions.udf.CIQ($B9,"IQ_ST_INVEST",RV$3),0)-IFERROR(_xll.ciqfunctions.udf.CIQ($B9,"IQ_cash_equiv",RV$3),0))/_xll.ciqfunctions.udf.CIQ($B9,"IQ_TOTAL_BANK_CAPITAL",RB$3,$E$3,$J$3,,$G$3,$H$3)),"")</f>
        <v/>
      </c>
      <c r="RW9" s="72" t="str">
        <f t="shared" si="331"/>
        <v>0</v>
      </c>
      <c r="RX9" s="72" t="str">
        <f t="shared" si="332"/>
        <v/>
      </c>
      <c r="RY9" s="72" t="str">
        <f t="shared" si="333"/>
        <v/>
      </c>
      <c r="RZ9" s="72" t="str">
        <f t="shared" si="334"/>
        <v/>
      </c>
      <c r="SA9" s="72" t="str">
        <f t="shared" si="335"/>
        <v/>
      </c>
      <c r="SB9" s="72" t="str">
        <f t="shared" si="336"/>
        <v/>
      </c>
      <c r="SC9" s="72" t="str">
        <f t="shared" si="337"/>
        <v/>
      </c>
      <c r="SD9" s="72" t="str">
        <f t="shared" si="338"/>
        <v/>
      </c>
      <c r="SE9" s="72" t="str">
        <f t="shared" si="339"/>
        <v/>
      </c>
      <c r="SF9" s="72" t="str">
        <f t="shared" si="340"/>
        <v/>
      </c>
      <c r="SG9" s="72" t="str">
        <f t="shared" si="341"/>
        <v/>
      </c>
      <c r="SH9" s="72" t="str">
        <f t="shared" si="342"/>
        <v/>
      </c>
      <c r="SI9" s="72" t="str">
        <f t="shared" si="343"/>
        <v/>
      </c>
      <c r="SJ9" s="72" t="str">
        <f t="shared" si="344"/>
        <v/>
      </c>
      <c r="SK9" s="72" t="str">
        <f t="shared" si="345"/>
        <v/>
      </c>
      <c r="SL9" s="72" t="str">
        <f t="shared" si="346"/>
        <v/>
      </c>
      <c r="SM9" s="72" t="str">
        <f t="shared" si="347"/>
        <v/>
      </c>
      <c r="SN9" s="72" t="str">
        <f t="shared" si="348"/>
        <v/>
      </c>
      <c r="SO9" s="72" t="str">
        <f t="shared" si="349"/>
        <v/>
      </c>
      <c r="SP9" s="72" t="str">
        <f t="shared" si="350"/>
        <v/>
      </c>
      <c r="SQ9" s="72" t="str">
        <f>IFERROR(IF(OR($B9="",SQ$3=""),"",_xll.ciqfunctions.udf.CIQ($B9,"IQ_TOTAL_DEPOSITS",SQ$3,$E$3, $J$3, , $G$3, $H$3)/_xll.ciqfunctions.udf.CIQ($B9,"IQ_TOTAL_ASSETS",SQ$3,$E$3, $J$3, , $G$3, $H$3)),"")</f>
        <v/>
      </c>
      <c r="SR9" s="72" t="str">
        <f>IFERROR(IF(OR($B9="",SR$3=""),"",_xll.ciqfunctions.udf.CIQ($B9,"IQ_TOTAL_DEPOSITS",SR$3,$E$3, $J$3, , $G$3, $H$3)/_xll.ciqfunctions.udf.CIQ($B9,"IQ_TOTAL_ASSETS",SR$3,$E$3, $J$3, , $G$3, $H$3)),"")</f>
        <v/>
      </c>
      <c r="SS9" s="72" t="str">
        <f>IFERROR(IF(OR($B9="",SS$3=""),"",_xll.ciqfunctions.udf.CIQ($B9,"IQ_TOTAL_DEPOSITS",SS$3,$E$3, $J$3, , $G$3, $H$3)/_xll.ciqfunctions.udf.CIQ($B9,"IQ_TOTAL_ASSETS",SS$3,$E$3, $J$3, , $G$3, $H$3)),"")</f>
        <v/>
      </c>
      <c r="ST9" s="72" t="str">
        <f>IFERROR(IF(OR($B9="",ST$3=""),"",_xll.ciqfunctions.udf.CIQ($B9,"IQ_TOTAL_DEPOSITS",ST$3,$E$3, $J$3, , $G$3, $H$3)/_xll.ciqfunctions.udf.CIQ($B9,"IQ_TOTAL_ASSETS",ST$3,$E$3, $J$3, , $G$3, $H$3)),"")</f>
        <v/>
      </c>
      <c r="SU9" s="72" t="str">
        <f>IFERROR(IF(OR($B9="",SU$3=""),"",_xll.ciqfunctions.udf.CIQ($B9,"IQ_TOTAL_DEPOSITS",SU$3,$E$3, $J$3, , $G$3, $H$3)/_xll.ciqfunctions.udf.CIQ($B9,"IQ_TOTAL_ASSETS",SU$3,$E$3, $J$3, , $G$3, $H$3)),"")</f>
        <v/>
      </c>
      <c r="SV9" s="72" t="str">
        <f>IFERROR(IF(OR($B9="",SV$3=""),"",_xll.ciqfunctions.udf.CIQ($B9,"IQ_TOTAL_DEPOSITS",SV$3,$E$3, $J$3, , $G$3, $H$3)/_xll.ciqfunctions.udf.CIQ($B9,"IQ_TOTAL_ASSETS",SV$3,$E$3, $J$3, , $G$3, $H$3)),"")</f>
        <v/>
      </c>
      <c r="SW9" s="72" t="str">
        <f>IFERROR(IF(OR($B9="",SW$3=""),"",_xll.ciqfunctions.udf.CIQ($B9,"IQ_TOTAL_DEPOSITS",SW$3,$E$3, $J$3, , $G$3, $H$3)/_xll.ciqfunctions.udf.CIQ($B9,"IQ_TOTAL_ASSETS",SW$3,$E$3, $J$3, , $G$3, $H$3)),"")</f>
        <v/>
      </c>
      <c r="SX9" s="72" t="str">
        <f>IFERROR(IF(OR($B9="",SX$3=""),"",_xll.ciqfunctions.udf.CIQ($B9,"IQ_TOTAL_DEPOSITS",SX$3,$E$3, $J$3, , $G$3, $H$3)/_xll.ciqfunctions.udf.CIQ($B9,"IQ_TOTAL_ASSETS",SX$3,$E$3, $J$3, , $G$3, $H$3)),"")</f>
        <v/>
      </c>
      <c r="SY9" s="72" t="str">
        <f>IFERROR(IF(OR($B9="",SY$3=""),"",_xll.ciqfunctions.udf.CIQ($B9,"IQ_TOTAL_DEPOSITS",SY$3,$E$3, $J$3, , $G$3, $H$3)/_xll.ciqfunctions.udf.CIQ($B9,"IQ_TOTAL_ASSETS",SY$3,$E$3, $J$3, , $G$3, $H$3)),"")</f>
        <v/>
      </c>
      <c r="SZ9" s="72" t="str">
        <f>IFERROR(IF(OR($B9="",SZ$3=""),"",_xll.ciqfunctions.udf.CIQ($B9,"IQ_TOTAL_DEPOSITS",SZ$3,$E$3, $J$3, , $G$3, $H$3)/_xll.ciqfunctions.udf.CIQ($B9,"IQ_TOTAL_ASSETS",SZ$3,$E$3, $J$3, , $G$3, $H$3)),"")</f>
        <v/>
      </c>
      <c r="TA9" s="72" t="str">
        <f>IFERROR(IF(OR($B9="",TA$3=""),"",_xll.ciqfunctions.udf.CIQ($B9,"IQ_TOTAL_DEPOSITS",TA$3,$E$3, $J$3, , $G$3, $H$3)/_xll.ciqfunctions.udf.CIQ($B9,"IQ_TOTAL_ASSETS",TA$3,$E$3, $J$3, , $G$3, $H$3)),"")</f>
        <v/>
      </c>
      <c r="TB9" s="72" t="str">
        <f>IFERROR(IF(OR($B9="",TB$3=""),"",_xll.ciqfunctions.udf.CIQ($B9,"IQ_TOTAL_DEPOSITS",TB$3,$E$3, $J$3, , $G$3, $H$3)/_xll.ciqfunctions.udf.CIQ($B9,"IQ_TOTAL_ASSETS",TB$3,$E$3, $J$3, , $G$3, $H$3)),"")</f>
        <v/>
      </c>
      <c r="TC9" s="72" t="str">
        <f>IFERROR(IF(OR($B9="",TC$3=""),"",_xll.ciqfunctions.udf.CIQ($B9,"IQ_TOTAL_DEPOSITS",TC$3,$E$3, $J$3, , $G$3, $H$3)/_xll.ciqfunctions.udf.CIQ($B9,"IQ_TOTAL_ASSETS",TC$3,$E$3, $J$3, , $G$3, $H$3)),"")</f>
        <v/>
      </c>
      <c r="TD9" s="72" t="str">
        <f>IFERROR(IF(OR($B9="",TD$3=""),"",_xll.ciqfunctions.udf.CIQ($B9,"IQ_TOTAL_DEPOSITS",TD$3,$E$3, $J$3, , $G$3, $H$3)/_xll.ciqfunctions.udf.CIQ($B9,"IQ_TOTAL_ASSETS",TD$3,$E$3, $J$3, , $G$3, $H$3)),"")</f>
        <v/>
      </c>
      <c r="TE9" s="72" t="str">
        <f>IFERROR(IF(OR($B9="",TE$3=""),"",_xll.ciqfunctions.udf.CIQ($B9,"IQ_TOTAL_DEPOSITS",TE$3,$E$3, $J$3, , $G$3, $H$3)/_xll.ciqfunctions.udf.CIQ($B9,"IQ_TOTAL_ASSETS",TE$3,$E$3, $J$3, , $G$3, $H$3)),"")</f>
        <v/>
      </c>
      <c r="TF9" s="72" t="str">
        <f>IFERROR(IF(OR($B9="",TF$3=""),"",_xll.ciqfunctions.udf.CIQ($B9,"IQ_TOTAL_DEPOSITS",TF$3,$E$3, $J$3, , $G$3, $H$3)/_xll.ciqfunctions.udf.CIQ($B9,"IQ_TOTAL_ASSETS",TF$3,$E$3, $J$3, , $G$3, $H$3)),"")</f>
        <v/>
      </c>
      <c r="TG9" s="72" t="str">
        <f>IFERROR(IF(OR($B9="",TG$3=""),"",_xll.ciqfunctions.udf.CIQ($B9,"IQ_TOTAL_DEPOSITS",TG$3,$E$3, $J$3, , $G$3, $H$3)/_xll.ciqfunctions.udf.CIQ($B9,"IQ_TOTAL_ASSETS",TG$3,$E$3, $J$3, , $G$3, $H$3)),"")</f>
        <v/>
      </c>
      <c r="TH9" s="72" t="str">
        <f>IFERROR(IF(OR($B9="",TH$3=""),"",_xll.ciqfunctions.udf.CIQ($B9,"IQ_TOTAL_DEPOSITS",TH$3,$E$3, $J$3, , $G$3, $H$3)/_xll.ciqfunctions.udf.CIQ($B9,"IQ_TOTAL_ASSETS",TH$3,$E$3, $J$3, , $G$3, $H$3)),"")</f>
        <v/>
      </c>
      <c r="TI9" s="72" t="str">
        <f>IFERROR(IF(OR($B9="",TI$3=""),"",_xll.ciqfunctions.udf.CIQ($B9,"IQ_TOTAL_DEPOSITS",TI$3,$E$3, $J$3, , $G$3, $H$3)/_xll.ciqfunctions.udf.CIQ($B9,"IQ_TOTAL_ASSETS",TI$3,$E$3, $J$3, , $G$3, $H$3)),"")</f>
        <v/>
      </c>
      <c r="TJ9" s="72" t="str">
        <f>IFERROR(IF(OR($B9="",TJ$3=""),"",_xll.ciqfunctions.udf.CIQ($B9,"IQ_TOTAL_DEPOSITS",TJ$3,$E$3, $J$3, , $G$3, $H$3)/_xll.ciqfunctions.udf.CIQ($B9,"IQ_TOTAL_ASSETS",TJ$3,$E$3, $J$3, , $G$3, $H$3)),"")</f>
        <v/>
      </c>
      <c r="TK9" s="72" t="str">
        <f>IFERROR(IF(OR($B9="",TK$3="",TK$4=""),"",(_xll.ciqfunctions.udf.CIQ($B9,"IQ_TOTAL_BANK_CAPITAL",TK$3,$E$3, $J$3, , $G$3, $H$3)/_xll.ciqfunctions.udf.CIQ($B9,"IQ_TOTAL_BANK_CAPITAL",TK$4,$E$3, $J$3, , $G$3, $H$3))-1),"")</f>
        <v/>
      </c>
      <c r="TL9" s="72" t="str">
        <f>IFERROR(IF(OR($B9="",TL$3="",TL$4=""),"",(_xll.ciqfunctions.udf.CIQ($B9,"IQ_TOTAL_BANK_CAPITAL",TL$3,$E$3, $J$3, , $G$3, $H$3)/_xll.ciqfunctions.udf.CIQ($B9,"IQ_TOTAL_BANK_CAPITAL",TL$4,$E$3, $J$3, , $G$3, $H$3))-1),"")</f>
        <v/>
      </c>
      <c r="TM9" s="72" t="str">
        <f>IFERROR(IF(OR($B9="",TM$3="",TM$4=""),"",(_xll.ciqfunctions.udf.CIQ($B9,"IQ_TOTAL_BANK_CAPITAL",TM$3,$E$3, $J$3, , $G$3, $H$3)/_xll.ciqfunctions.udf.CIQ($B9,"IQ_TOTAL_BANK_CAPITAL",TM$4,$E$3, $J$3, , $G$3, $H$3))-1),"")</f>
        <v/>
      </c>
      <c r="TN9" s="72" t="str">
        <f>IFERROR(IF(OR($B9="",TN$3="",TN$4=""),"",(_xll.ciqfunctions.udf.CIQ($B9,"IQ_TOTAL_BANK_CAPITAL",TN$3,$E$3, $J$3, , $G$3, $H$3)/_xll.ciqfunctions.udf.CIQ($B9,"IQ_TOTAL_BANK_CAPITAL",TN$4,$E$3, $J$3, , $G$3, $H$3))-1),"")</f>
        <v/>
      </c>
      <c r="TO9" s="72" t="str">
        <f>IFERROR(IF(OR($B9="",TO$3="",TO$4=""),"",(_xll.ciqfunctions.udf.CIQ($B9,"IQ_TOTAL_BANK_CAPITAL",TO$3,$E$3, $J$3, , $G$3, $H$3)/_xll.ciqfunctions.udf.CIQ($B9,"IQ_TOTAL_BANK_CAPITAL",TO$4,$E$3, $J$3, , $G$3, $H$3))-1),"")</f>
        <v/>
      </c>
      <c r="TP9" s="72" t="str">
        <f>IFERROR(IF(OR($B9="",TP$3="",TP$4=""),"",(_xll.ciqfunctions.udf.CIQ($B9,"IQ_TOTAL_BANK_CAPITAL",TP$3,$E$3, $J$3, , $G$3, $H$3)/_xll.ciqfunctions.udf.CIQ($B9,"IQ_TOTAL_BANK_CAPITAL",TP$4,$E$3, $J$3, , $G$3, $H$3))-1),"")</f>
        <v/>
      </c>
      <c r="TQ9" s="72" t="str">
        <f>IFERROR(IF(OR($B9="",TQ$3="",TQ$4=""),"",(_xll.ciqfunctions.udf.CIQ($B9,"IQ_TOTAL_BANK_CAPITAL",TQ$3,$E$3, $J$3, , $G$3, $H$3)/_xll.ciqfunctions.udf.CIQ($B9,"IQ_TOTAL_BANK_CAPITAL",TQ$4,$E$3, $J$3, , $G$3, $H$3))-1),"")</f>
        <v/>
      </c>
      <c r="TR9" s="72" t="str">
        <f>IFERROR(IF(OR($B9="",TR$3="",TR$4=""),"",(_xll.ciqfunctions.udf.CIQ($B9,"IQ_TOTAL_BANK_CAPITAL",TR$3,$E$3, $J$3, , $G$3, $H$3)/_xll.ciqfunctions.udf.CIQ($B9,"IQ_TOTAL_BANK_CAPITAL",TR$4,$E$3, $J$3, , $G$3, $H$3))-1),"")</f>
        <v/>
      </c>
      <c r="TS9" s="72" t="str">
        <f>IFERROR(IF(OR($B9="",TS$3="",TS$4=""),"",(_xll.ciqfunctions.udf.CIQ($B9,"IQ_TOTAL_BANK_CAPITAL",TS$3,$E$3, $J$3, , $G$3, $H$3)/_xll.ciqfunctions.udf.CIQ($B9,"IQ_TOTAL_BANK_CAPITAL",TS$4,$E$3, $J$3, , $G$3, $H$3))-1),"")</f>
        <v/>
      </c>
      <c r="TT9" s="72" t="str">
        <f>IFERROR(IF(OR($B9="",TT$3="",TT$4=""),"",(_xll.ciqfunctions.udf.CIQ($B9,"IQ_TOTAL_BANK_CAPITAL",TT$3,$E$3, $J$3, , $G$3, $H$3)/_xll.ciqfunctions.udf.CIQ($B9,"IQ_TOTAL_BANK_CAPITAL",TT$4,$E$3, $J$3, , $G$3, $H$3))-1),"")</f>
        <v/>
      </c>
      <c r="TU9" s="72" t="str">
        <f>IFERROR(IF(OR($B9="",TU$3="",TU$4=""),"",(_xll.ciqfunctions.udf.CIQ($B9,"IQ_TOTAL_BANK_CAPITAL",TU$3,$E$3, $J$3, , $G$3, $H$3)/_xll.ciqfunctions.udf.CIQ($B9,"IQ_TOTAL_BANK_CAPITAL",TU$4,$E$3, $J$3, , $G$3, $H$3))-1),"")</f>
        <v/>
      </c>
      <c r="TV9" s="72" t="str">
        <f>IFERROR(IF(OR($B9="",TV$3="",TV$4=""),"",(_xll.ciqfunctions.udf.CIQ($B9,"IQ_TOTAL_BANK_CAPITAL",TV$3,$E$3, $J$3, , $G$3, $H$3)/_xll.ciqfunctions.udf.CIQ($B9,"IQ_TOTAL_BANK_CAPITAL",TV$4,$E$3, $J$3, , $G$3, $H$3))-1),"")</f>
        <v/>
      </c>
      <c r="TW9" s="72" t="str">
        <f>IFERROR(IF(OR($B9="",TW$3="",TW$4=""),"",(_xll.ciqfunctions.udf.CIQ($B9,"IQ_TOTAL_BANK_CAPITAL",TW$3,$E$3, $J$3, , $G$3, $H$3)/_xll.ciqfunctions.udf.CIQ($B9,"IQ_TOTAL_BANK_CAPITAL",TW$4,$E$3, $J$3, , $G$3, $H$3))-1),"")</f>
        <v/>
      </c>
      <c r="TX9" s="72" t="str">
        <f>IFERROR(IF(OR($B9="",TX$3="",TX$4=""),"",(_xll.ciqfunctions.udf.CIQ($B9,"IQ_TOTAL_BANK_CAPITAL",TX$3,$E$3, $J$3, , $G$3, $H$3)/_xll.ciqfunctions.udf.CIQ($B9,"IQ_TOTAL_BANK_CAPITAL",TX$4,$E$3, $J$3, , $G$3, $H$3))-1),"")</f>
        <v/>
      </c>
      <c r="TY9" s="72" t="str">
        <f>IFERROR(IF(OR($B9="",TY$3="",TY$4=""),"",(_xll.ciqfunctions.udf.CIQ($B9,"IQ_TOTAL_BANK_CAPITAL",TY$3,$E$3, $J$3, , $G$3, $H$3)/_xll.ciqfunctions.udf.CIQ($B9,"IQ_TOTAL_BANK_CAPITAL",TY$4,$E$3, $J$3, , $G$3, $H$3))-1),"")</f>
        <v/>
      </c>
      <c r="TZ9" s="72" t="str">
        <f>IFERROR(IF(OR($B9="",TZ$3="",TZ$4=""),"",(_xll.ciqfunctions.udf.CIQ($B9,"IQ_TOTAL_BANK_CAPITAL",TZ$3,$E$3, $J$3, , $G$3, $H$3)/_xll.ciqfunctions.udf.CIQ($B9,"IQ_TOTAL_BANK_CAPITAL",TZ$4,$E$3, $J$3, , $G$3, $H$3))-1),"")</f>
        <v/>
      </c>
      <c r="UA9" s="72" t="str">
        <f>IFERROR(IF(OR($B9="",UA$3="",UA$4=""),"",(_xll.ciqfunctions.udf.CIQ($B9,"IQ_TOTAL_BANK_CAPITAL",UA$3,$E$3, $J$3, , $G$3, $H$3)/_xll.ciqfunctions.udf.CIQ($B9,"IQ_TOTAL_BANK_CAPITAL",UA$4,$E$3, $J$3, , $G$3, $H$3))-1),"")</f>
        <v/>
      </c>
      <c r="UB9" s="72" t="str">
        <f>IFERROR(IF(OR($B9="",UB$3="",UB$4=""),"",(_xll.ciqfunctions.udf.CIQ($B9,"IQ_TOTAL_BANK_CAPITAL",UB$3,$E$3, $J$3, , $G$3, $H$3)/_xll.ciqfunctions.udf.CIQ($B9,"IQ_TOTAL_BANK_CAPITAL",UB$4,$E$3, $J$3, , $G$3, $H$3))-1),"")</f>
        <v/>
      </c>
      <c r="UC9" s="72" t="str">
        <f>IFERROR(IF(OR($B9="",UC$3="",UC$4=""),"",(_xll.ciqfunctions.udf.CIQ($B9,"IQ_TOTAL_BANK_CAPITAL",UC$3,$E$3, $J$3, , $G$3, $H$3)/_xll.ciqfunctions.udf.CIQ($B9,"IQ_TOTAL_BANK_CAPITAL",UC$4,$E$3, $J$3, , $G$3, $H$3))-1),"")</f>
        <v/>
      </c>
      <c r="UD9" s="72" t="str">
        <f>IFERROR(IF(OR($B9="",UD$3="",UD$4=""),"",(_xll.ciqfunctions.udf.CIQ($B9,"IQ_TOTAL_BANK_CAPITAL",UD$3,$E$3, $J$3, , $G$3, $H$3)/_xll.ciqfunctions.udf.CIQ($B9,"IQ_TOTAL_BANK_CAPITAL",UD$4,$E$3, $J$3, , $G$3, $H$3))-1),"")</f>
        <v/>
      </c>
      <c r="UE9" s="86" t="str">
        <f>IFERROR(IF(OR($B9="",UE$3=""),"",(_xll.ciqfunctions.udf.CIQ($B9,"IQ_TOTAL_CAPITAL_RATIO",UE$3,$E$3, $J$3, , $G$3, $H$3) - _xll.ciqfunctions.udf.CIQ($B9,"IQ_TIER_ONE_RATIO",UE$3,$E$3, $J$3, , $G$3, $H$3))/100),"")</f>
        <v/>
      </c>
      <c r="UF9" s="87" t="str">
        <f>IFERROR(IF(OR($B9="",UF$3=""),"",(_xll.ciqfunctions.udf.CIQ($B9,"IQ_TOTAL_CAPITAL_RATIO",UF$3,$E$3, $J$3, , $G$3, $H$3) - _xll.ciqfunctions.udf.CIQ($B9,"IQ_TIER_ONE_RATIO",UF$3,$E$3, $J$3, , $G$3, $H$3))/100),"")</f>
        <v/>
      </c>
      <c r="UG9" s="87" t="str">
        <f>IFERROR(IF(OR($B9="",UG$3=""),"",(_xll.ciqfunctions.udf.CIQ($B9,"IQ_TOTAL_CAPITAL_RATIO",UG$3,$E$3, $J$3, , $G$3, $H$3) - _xll.ciqfunctions.udf.CIQ($B9,"IQ_TIER_ONE_RATIO",UG$3,$E$3, $J$3, , $G$3, $H$3))/100),"")</f>
        <v/>
      </c>
      <c r="UH9" s="87" t="str">
        <f>IFERROR(IF(OR($B9="",UH$3=""),"",(_xll.ciqfunctions.udf.CIQ($B9,"IQ_TOTAL_CAPITAL_RATIO",UH$3,$E$3, $J$3, , $G$3, $H$3) - _xll.ciqfunctions.udf.CIQ($B9,"IQ_TIER_ONE_RATIO",UH$3,$E$3, $J$3, , $G$3, $H$3))/100),"")</f>
        <v/>
      </c>
      <c r="UI9" s="87" t="str">
        <f>IFERROR(IF(OR($B9="",UI$3=""),"",(_xll.ciqfunctions.udf.CIQ($B9,"IQ_TOTAL_CAPITAL_RATIO",UI$3,$E$3, $J$3, , $G$3, $H$3) - _xll.ciqfunctions.udf.CIQ($B9,"IQ_TIER_ONE_RATIO",UI$3,$E$3, $J$3, , $G$3, $H$3))/100),"")</f>
        <v/>
      </c>
      <c r="UJ9" s="87" t="str">
        <f>IFERROR(IF(OR($B9="",UJ$3=""),"",(_xll.ciqfunctions.udf.CIQ($B9,"IQ_TOTAL_CAPITAL_RATIO",UJ$3,$E$3, $J$3, , $G$3, $H$3) - _xll.ciqfunctions.udf.CIQ($B9,"IQ_TIER_ONE_RATIO",UJ$3,$E$3, $J$3, , $G$3, $H$3))/100),"")</f>
        <v/>
      </c>
      <c r="UK9" s="87" t="str">
        <f>IFERROR(IF(OR($B9="",UK$3=""),"",(_xll.ciqfunctions.udf.CIQ($B9,"IQ_TOTAL_CAPITAL_RATIO",UK$3,$E$3, $J$3, , $G$3, $H$3) - _xll.ciqfunctions.udf.CIQ($B9,"IQ_TIER_ONE_RATIO",UK$3,$E$3, $J$3, , $G$3, $H$3))/100),"")</f>
        <v/>
      </c>
      <c r="UL9" s="87" t="str">
        <f>IFERROR(IF(OR($B9="",UL$3=""),"",(_xll.ciqfunctions.udf.CIQ($B9,"IQ_TOTAL_CAPITAL_RATIO",UL$3,$E$3, $J$3, , $G$3, $H$3) - _xll.ciqfunctions.udf.CIQ($B9,"IQ_TIER_ONE_RATIO",UL$3,$E$3, $J$3, , $G$3, $H$3))/100),"")</f>
        <v/>
      </c>
      <c r="UM9" s="87" t="str">
        <f>IFERROR(IF(OR($B9="",UM$3=""),"",(_xll.ciqfunctions.udf.CIQ($B9,"IQ_TOTAL_CAPITAL_RATIO",UM$3,$E$3, $J$3, , $G$3, $H$3) - _xll.ciqfunctions.udf.CIQ($B9,"IQ_TIER_ONE_RATIO",UM$3,$E$3, $J$3, , $G$3, $H$3))/100),"")</f>
        <v/>
      </c>
      <c r="UN9" s="87" t="str">
        <f>IFERROR(IF(OR($B9="",UN$3=""),"",(_xll.ciqfunctions.udf.CIQ($B9,"IQ_TOTAL_CAPITAL_RATIO",UN$3,$E$3, $J$3, , $G$3, $H$3) - _xll.ciqfunctions.udf.CIQ($B9,"IQ_TIER_ONE_RATIO",UN$3,$E$3, $J$3, , $G$3, $H$3))/100),"")</f>
        <v/>
      </c>
      <c r="UO9" s="87" t="str">
        <f>IFERROR(IF(OR($B9="",UO$3=""),"",(_xll.ciqfunctions.udf.CIQ($B9,"IQ_TOTAL_CAPITAL_RATIO",UO$3,$E$3, $J$3, , $G$3, $H$3) - _xll.ciqfunctions.udf.CIQ($B9,"IQ_TIER_ONE_RATIO",UO$3,$E$3, $J$3, , $G$3, $H$3))/100),"")</f>
        <v/>
      </c>
      <c r="UP9" s="87" t="str">
        <f>IFERROR(IF(OR($B9="",UP$3=""),"",(_xll.ciqfunctions.udf.CIQ($B9,"IQ_TOTAL_CAPITAL_RATIO",UP$3,$E$3, $J$3, , $G$3, $H$3) - _xll.ciqfunctions.udf.CIQ($B9,"IQ_TIER_ONE_RATIO",UP$3,$E$3, $J$3, , $G$3, $H$3))/100),"")</f>
        <v/>
      </c>
      <c r="UQ9" s="87" t="str">
        <f>IFERROR(IF(OR($B9="",UQ$3=""),"",(_xll.ciqfunctions.udf.CIQ($B9,"IQ_TOTAL_CAPITAL_RATIO",UQ$3,$E$3, $J$3, , $G$3, $H$3) - _xll.ciqfunctions.udf.CIQ($B9,"IQ_TIER_ONE_RATIO",UQ$3,$E$3, $J$3, , $G$3, $H$3))/100),"")</f>
        <v/>
      </c>
      <c r="UR9" s="87" t="str">
        <f>IFERROR(IF(OR($B9="",UR$3=""),"",(_xll.ciqfunctions.udf.CIQ($B9,"IQ_TOTAL_CAPITAL_RATIO",UR$3,$E$3, $J$3, , $G$3, $H$3) - _xll.ciqfunctions.udf.CIQ($B9,"IQ_TIER_ONE_RATIO",UR$3,$E$3, $J$3, , $G$3, $H$3))/100),"")</f>
        <v/>
      </c>
      <c r="US9" s="87" t="str">
        <f>IFERROR(IF(OR($B9="",US$3=""),"",(_xll.ciqfunctions.udf.CIQ($B9,"IQ_TOTAL_CAPITAL_RATIO",US$3,$E$3, $J$3, , $G$3, $H$3) - _xll.ciqfunctions.udf.CIQ($B9,"IQ_TIER_ONE_RATIO",US$3,$E$3, $J$3, , $G$3, $H$3))/100),"")</f>
        <v/>
      </c>
      <c r="UT9" s="87" t="str">
        <f>IFERROR(IF(OR($B9="",UT$3=""),"",(_xll.ciqfunctions.udf.CIQ($B9,"IQ_TOTAL_CAPITAL_RATIO",UT$3,$E$3, $J$3, , $G$3, $H$3) - _xll.ciqfunctions.udf.CIQ($B9,"IQ_TIER_ONE_RATIO",UT$3,$E$3, $J$3, , $G$3, $H$3))/100),"")</f>
        <v/>
      </c>
      <c r="UU9" s="87" t="str">
        <f>IFERROR(IF(OR($B9="",UU$3=""),"",(_xll.ciqfunctions.udf.CIQ($B9,"IQ_TOTAL_CAPITAL_RATIO",UU$3,$E$3, $J$3, , $G$3, $H$3) - _xll.ciqfunctions.udf.CIQ($B9,"IQ_TIER_ONE_RATIO",UU$3,$E$3, $J$3, , $G$3, $H$3))/100),"")</f>
        <v/>
      </c>
      <c r="UV9" s="87" t="str">
        <f>IFERROR(IF(OR($B9="",UV$3=""),"",(_xll.ciqfunctions.udf.CIQ($B9,"IQ_TOTAL_CAPITAL_RATIO",UV$3,$E$3, $J$3, , $G$3, $H$3) - _xll.ciqfunctions.udf.CIQ($B9,"IQ_TIER_ONE_RATIO",UV$3,$E$3, $J$3, , $G$3, $H$3))/100),"")</f>
        <v/>
      </c>
      <c r="UW9" s="87" t="str">
        <f>IFERROR(IF(OR($B9="",UW$3=""),"",(_xll.ciqfunctions.udf.CIQ($B9,"IQ_TOTAL_CAPITAL_RATIO",UW$3,$E$3, $J$3, , $G$3, $H$3) - _xll.ciqfunctions.udf.CIQ($B9,"IQ_TIER_ONE_RATIO",UW$3,$E$3, $J$3, , $G$3, $H$3))/100),"")</f>
        <v/>
      </c>
      <c r="UX9" s="88" t="str">
        <f>IFERROR(IF(OR($B9="",UX$3=""),"",(_xll.ciqfunctions.udf.CIQ($B9,"IQ_TOTAL_CAPITAL_RATIO",UX$3,$E$3, $J$3, , $G$3, $H$3) - _xll.ciqfunctions.udf.CIQ($B9,"IQ_TIER_ONE_RATIO",UX$3,$E$3, $J$3, , $G$3, $H$3))/100),"")</f>
        <v/>
      </c>
    </row>
    <row r="10" spans="1:570" ht="15" customHeight="1" x14ac:dyDescent="0.2">
      <c r="A10" s="218" t="str">
        <f>IF(B10="","",_xll.ciqfunctions.udf.CIQ($B10,"IQ_COMPANY_NAME"))</f>
        <v/>
      </c>
      <c r="B10" s="272" t="str">
        <f>IF(Input!B22="","",Input!B22)</f>
        <v/>
      </c>
      <c r="C10" s="272">
        <f>Input!E22</f>
        <v>0</v>
      </c>
      <c r="D10" s="269" t="str">
        <f>IF(B10="","",_xll.ciqfunctions.udf.CIQ($B10,"IQ_PRIMARY_INDUSTRY"))</f>
        <v/>
      </c>
      <c r="E10" s="219" t="str">
        <f>IF($B10="","",IF(NOT(ISNUMBER(_xll.ciqfunctions.udf.CIQ($B10, "IQ_CLOSEPRICE", $E$3, $G$3, $H$3))),"",_xll.ciqfunctions.udf.CIQ($B10, "IQ_CLOSEPRICE", $E$3, $G$3, $H$3)))</f>
        <v/>
      </c>
      <c r="F10" s="219" t="str">
        <f>IF($B10="","",IF(NOT(ISNUMBER(_xll.ciqfunctions.udf.CIQ($B10, "IQ_CLOSEPRICE", $E$4, $G$3, $H$3))),"",_xll.ciqfunctions.udf.CIQ($B10, "IQ_CLOSEPRICE", $E$4, $G$3, $H$3)))</f>
        <v/>
      </c>
      <c r="G10" s="220" t="str">
        <f t="shared" si="351"/>
        <v/>
      </c>
      <c r="H10" s="220" t="str">
        <f>IFERROR(IF($B10="","",_xll.ciqfunctions.udf.CIQ($B10, "IQ_TOTAL_REV_1YR_ANN_GROWTH", $I$3, $E$3, $J$3)/100),"")</f>
        <v/>
      </c>
      <c r="I10" s="220" t="str">
        <f>IFERROR(IF($B10="","",_xll.ciqfunctions.udf.CIQ($B10,"IQ_NET_INT_INC_BNK",$I$3, $E$3, $J$3, , $G$3, $H$3)/_xll.ciqfunctions.udf.CIQ($B10,"IQ_GROSS_LOANS",$I$3, $E$3, $J$3, , $G$3, $H$3)),"")</f>
        <v/>
      </c>
      <c r="J10" s="220" t="str">
        <f>IFERROR(IF(B10="","",_xll.ciqfunctions.udf.CIQ($B10,"IQ_EBT",$I$3, $E$3, $J$3, , $G$3, $H$3)/_xll.ciqfunctions.udf.CIQ($B10,"IQ_TOTAL_REVENUE",$I$3, $E$3, $J$3, , $G$3, $H$3)),"")</f>
        <v/>
      </c>
      <c r="K10" s="220" t="str">
        <f>IFERROR(IF(B10="","",_xll.ciqfunctions.udf.CIQ($B10,"IQ_NI_MARGIN",$I$3, $E$3, $J$3, , $G$3, $H$3)/100),"")</f>
        <v/>
      </c>
      <c r="L10" s="220" t="str">
        <f>IFERROR(IF($B10="","",_xll.ciqfunctions.udf.CIQ($B10,"IQ_NI",$I$3, $E$3, $J$3, , $G$3, $H$3)/(0.5*(_xll.ciqfunctions.udf.CIQ($B10,"IQ_TOTAL_ASSETS",$I$3, $E$3, $J$3, , $G$3, $H$3)+_xll.ciqfunctions.udf.CIQ($B10,"IQ_TOTAL_ASSETS",$I$3 &amp; "-4", $E$3, $J$3, , $G$3, $H$3)))),"")</f>
        <v/>
      </c>
      <c r="M10" s="220" t="str">
        <f>IFERROR(_xll.ciqfunctions.udf.CIQ($B10,"IQ_NI",$I$3, $E$3, $J$3, , $G$3, $H$3)/(_xll.ciqfunctions.udf.CIQ($B10,"IQ_TOTAL_ASSETS",$I$3, $E$3, $J$3, , $G$3, $H$3)+_xll.ciqfunctions.udf.CIQ($B10,"IQ_TOTAL_ASSETS",$I$3 &amp; "-4", $E$3, $J$3, , $G$3, $H$3)-_xll.ciqfunctions.udf.CIQ($B10,"IQ_TOTAL_CL",$I$3, $E$3, $J$3, , $G$3, $H$3)-_xll.ciqfunctions.udf.CIQ($B10,"IQ_TOTAL_CL",$I$3 &amp; "-4", $E$3, $J$3, , $G$3, $H$3)),"")</f>
        <v/>
      </c>
      <c r="N10" s="220" t="str">
        <f>IFERROR(IF($B10="","",_xll.ciqfunctions.udf.CIQ($B10,"IQ_NI",$I$3, $E$3, $J$3, , $G$3, $H$3)/(0.5*(_xll.ciqfunctions.udf.CIQ($B10,"IQ_TOTAL_EQUITY",$I$3, $E$3, $J$3, , $G$3, $H$3)+_xll.ciqfunctions.udf.CIQ($B10,"IQ_TOTAL_EQUITY",$I$3 &amp; "-4", $E$3, $J$3, , $G$3, $H$3)))),"")</f>
        <v/>
      </c>
      <c r="O10" s="222" t="str">
        <f>IFERROR(IF($B10="","",(_xll.ciqfunctions.udf.CIQ($B10,"IQ_TIER_ONE_CAPITAL",$I$3, $E$3, $J$3, , $G$3, $H$3)+_xll.ciqfunctions.udf.CIQ($B10,"IQ_TIER_TWO_CAPITAL",$I$3, $E$3, $J$3, , $G$3, $H$3)-_xll.ciqfunctions.udf.CIQ($B10,"IQ_GW",$I$3, $E$3, $J$3, , $G$3, $H$3))/_xll.ciqfunctions.udf.CIQ($B10,"IQ_RISK_ADJ_BANK_ASSETS",$I$3, $E$3, $J$3, , $G$3, $H$3)),"")</f>
        <v/>
      </c>
      <c r="P10" s="222" t="str">
        <f>IFERROR(IF($B10="","",(_xll.ciqfunctions.udf.CIQ($B10,"IQ_TIER_ONE_CAPITAL",$I$3, $E$3, $J$3, , $G$3, $H$3)+_xll.ciqfunctions.udf.CIQ($B10,"IQ_TIER_TWO_CAPITAL",$I$3, $E$3, $J$3, , $G$3, $H$3))/_xll.ciqfunctions.udf.CIQ($B10,"IQ_TOTAL_ASSETS",$I$3, $E$3, $J$3, , $G$3, $H$3)),"")</f>
        <v/>
      </c>
      <c r="Q10" s="220" t="str">
        <f>IFERROR(IF(B10="","",_xll.ciqfunctions.udf.CIQ($B10,"IQ_TIER_ONE_RATIO",$I$3, $E$3, $J$3, , $G$3, $H$3)/100),"")</f>
        <v/>
      </c>
      <c r="R10" s="220" t="str">
        <f t="shared" si="330"/>
        <v/>
      </c>
      <c r="S10" s="220" t="str">
        <f>IFERROR(IF(B10="","",_xll.ciqfunctions.udf.CIQ($B10,"IQ_TOTAL_CAPITAL_RATIO",$I$3, $E$3, $J$3, , $G$3, $H$3)/100),"")</f>
        <v/>
      </c>
      <c r="T10" s="220" t="str">
        <f>IFERROR(IF($B10="","",_xll.ciqfunctions.udf.CIQ($B10,"IQ_NON_PERF_LOANS_TOTAL_LOANS",$I$3, $E$3, $J$3, , $G$3, $H$3)/100),"")</f>
        <v/>
      </c>
      <c r="U10" s="222" t="str">
        <f>IFERROR(IF($B10="","",-_xll.ciqfunctions.udf.CIQ($B10,"IQ_ALLOW_LL",$I$3, $E$3, $J$3, , $G$3, $H$3)/_xll.ciqfunctions.udf.CIQ($B10,"IQ_TOTAL_LOANS",$I$3, $E$3, $J$3, , $G$3, $H$3)),"")</f>
        <v/>
      </c>
      <c r="V10" s="220" t="str">
        <f>IFERROR(IF($B10="","",_xll.ciqfunctions.udf.CIQ($B10,"IQ_LL",$I$3, $E$3, $J$3, , $G$3, $H$3)/_xll.ciqfunctions.udf.CIQ($B10,"IQ_NET_LOANS",$I$3, $E$3, $J$3, , $G$3, $H$3)),"")</f>
        <v/>
      </c>
      <c r="W10" s="220" t="str">
        <f>IFERROR(IF(B10="","",_xll.ciqfunctions.udf.CIQ($B10,"IQ_NET_LOANS",$I$3, $E$3, $J$3, , $G$3, $H$3)/_xll.ciqfunctions.udf.CIQ($B10,"IQ_TOTAL_ASSETS",$I$3, $E$3, $J$3, , $G$3, $H$3)),"")</f>
        <v/>
      </c>
      <c r="X10" s="222" t="str">
        <f>IFERROR(IF($B10="","",_xll.ciqfunctions.udf.CIQ($B10,"IQ_TOTAL_LOANS",$I$3, $E$3, $J$3, , $G$3, $H$3)/_xll.ciqfunctions.udf.CIQ($B10,"IQ_TOTAL_DEPOSITS",$I$3, $E$3, $J$3, , $G$3, $H$3)),"")</f>
        <v/>
      </c>
      <c r="Y10" s="220" t="str">
        <f>IFERROR(IF($B10="","",_xll.ciqfunctions.udf.CIQ($B10,"IQ_TOTAL_DEPOSITS",$I$3, $E$3, $J$3, , $G$3, $H$3)/_xll.ciqfunctions.udf.CIQ($B10,"IQ_TOTAL_ASSETS",$I$3, $E$3, $J$3, , $G$3, $H$3)),"")</f>
        <v/>
      </c>
      <c r="Z10" s="221" t="str">
        <f>IFERROR(IF(B10="","",_xll.ciqfunctions.udf.CIQ($B10,"IQ_TOTAL_ASSETS",IQ_LTM)/_xll.ciqfunctions.udf.CIQ($B10,"IQ_TOTAL_COMMON_EQUITY",IQ_LTM)),"")</f>
        <v/>
      </c>
      <c r="AA10" s="222" t="str">
        <f>IFERROR(IF($B10="","",_xll.ciqfunctions.udf.CIQ($B10,"IQ_CASH_OPER",$I$3, $E$3, $J$3, , $G$3, $H$3)*2/(_xll.ciqfunctions.udf.CIQ($B10,"IQ_TOTAL_CL",$I$3, $E$3, $J$3, , $G$3, $H$3)+_xll.ciqfunctions.udf.CIQ($B10,"IQ_TOTAL_CL",$I$3 &amp; "-4", $E$3, $J$3, , $G$3, $H$3))),"")</f>
        <v/>
      </c>
      <c r="AB10" s="222" t="str">
        <f>IFERROR(IF($B10="","",_xll.ciqfunctions.udf.CIQ($B10,"IQ_NON_PERFORMING_LOANS",$I$3, $E$3, $J$3, , $G$3, $H$3)/_xll.ciqfunctions.udf.CIQ($B10,"IQ_TOTAL_EQUITY",$I$3, $E$3, $J$3, , $G$3, $H$3)),"")</f>
        <v/>
      </c>
      <c r="AC10" s="1021" t="str">
        <f>IF(B10="","",IF(NOT(ISNUMBER(_xll.ciqfunctions.udf.CIQ($B10,"IQ_Z_SCORE",$I$3, $E$3, $J$3, , $G$3, $H$3))),"",_xll.ciqfunctions.udf.CIQ($B10,"IQ_Z_SCORE",$I$3, $E$3, $J$3, , $G$3, $H$3)))</f>
        <v/>
      </c>
      <c r="AD10" s="19"/>
      <c r="AE10" s="86" t="str">
        <f>IFERROR(IF(OR($B10="",AE$3=""),"",_xll.ciqfunctions.udf.CIQ($B10,"IQ_NET_INT_INC_BNK",AE$3,$E$3, $J$3, , $G$3, $H$3)*2/(_xll.ciqfunctions.udf.CIQ($B10,"IQ_GROSS_LOANS",AE$3,$E$3, $J$3, , $G$3, $H$3)+_xll.ciqfunctions.udf.CIQ($B10,"IQ_GROSS_LOANS", "IQ_" &amp; LEFT(AE$3,2) &amp; "-1",AE$3, $J$3, , $G$3, $H$3))),"")</f>
        <v/>
      </c>
      <c r="AF10" s="87" t="str">
        <f>IFERROR(IF(OR($B10="",AF$3=""),"",_xll.ciqfunctions.udf.CIQ($B10,"IQ_NET_INT_INC_BNK",AF$3,$E$3, $J$3, , $G$3, $H$3)*2/(_xll.ciqfunctions.udf.CIQ($B10,"IQ_GROSS_LOANS",AF$3,$E$3, $J$3, , $G$3, $H$3)+_xll.ciqfunctions.udf.CIQ($B10,"IQ_GROSS_LOANS", "IQ_" &amp; LEFT(AF$3,2) &amp; "-1",AF$3, $J$3, , $G$3, $H$3))),"")</f>
        <v/>
      </c>
      <c r="AG10" s="87" t="str">
        <f>IFERROR(IF(OR($B10="",AG$3=""),"",_xll.ciqfunctions.udf.CIQ($B10,"IQ_NET_INT_INC_BNK",AG$3,$E$3, $J$3, , $G$3, $H$3)*2/(_xll.ciqfunctions.udf.CIQ($B10,"IQ_GROSS_LOANS",AG$3,$E$3, $J$3, , $G$3, $H$3)+_xll.ciqfunctions.udf.CIQ($B10,"IQ_GROSS_LOANS", "IQ_" &amp; LEFT(AG$3,2) &amp; "-1",AG$3, $J$3, , $G$3, $H$3))),"")</f>
        <v/>
      </c>
      <c r="AH10" s="87" t="str">
        <f>IFERROR(IF(OR($B10="",AH$3=""),"",_xll.ciqfunctions.udf.CIQ($B10,"IQ_NET_INT_INC_BNK",AH$3,$E$3, $J$3, , $G$3, $H$3)*2/(_xll.ciqfunctions.udf.CIQ($B10,"IQ_GROSS_LOANS",AH$3,$E$3, $J$3, , $G$3, $H$3)+_xll.ciqfunctions.udf.CIQ($B10,"IQ_GROSS_LOANS", "IQ_" &amp; LEFT(AH$3,2) &amp; "-1",AH$3, $J$3, , $G$3, $H$3))),"")</f>
        <v/>
      </c>
      <c r="AI10" s="87" t="str">
        <f>IFERROR(IF(OR($B10="",AI$3=""),"",_xll.ciqfunctions.udf.CIQ($B10,"IQ_NET_INT_INC_BNK",AI$3,$E$3, $J$3, , $G$3, $H$3)*2/(_xll.ciqfunctions.udf.CIQ($B10,"IQ_GROSS_LOANS",AI$3,$E$3, $J$3, , $G$3, $H$3)+_xll.ciqfunctions.udf.CIQ($B10,"IQ_GROSS_LOANS", "IQ_" &amp; LEFT(AI$3,2) &amp; "-1",AI$3, $J$3, , $G$3, $H$3))),"")</f>
        <v/>
      </c>
      <c r="AJ10" s="87" t="str">
        <f>IFERROR(IF(OR($B10="",AJ$3=""),"",_xll.ciqfunctions.udf.CIQ($B10,"IQ_NET_INT_INC_BNK",AJ$3,$E$3, $J$3, , $G$3, $H$3)*2/(_xll.ciqfunctions.udf.CIQ($B10,"IQ_GROSS_LOANS",AJ$3,$E$3, $J$3, , $G$3, $H$3)+_xll.ciqfunctions.udf.CIQ($B10,"IQ_GROSS_LOANS", "IQ_" &amp; LEFT(AJ$3,2) &amp; "-1",AJ$3, $J$3, , $G$3, $H$3))),"")</f>
        <v/>
      </c>
      <c r="AK10" s="87" t="str">
        <f>IFERROR(IF(OR($B10="",AK$3=""),"",_xll.ciqfunctions.udf.CIQ($B10,"IQ_NET_INT_INC_BNK",AK$3,$E$3, $J$3, , $G$3, $H$3)*2/(_xll.ciqfunctions.udf.CIQ($B10,"IQ_GROSS_LOANS",AK$3,$E$3, $J$3, , $G$3, $H$3)+_xll.ciqfunctions.udf.CIQ($B10,"IQ_GROSS_LOANS", "IQ_" &amp; LEFT(AK$3,2) &amp; "-1",AK$3, $J$3, , $G$3, $H$3))),"")</f>
        <v/>
      </c>
      <c r="AL10" s="87" t="str">
        <f>IFERROR(IF(OR($B10="",AL$3=""),"",_xll.ciqfunctions.udf.CIQ($B10,"IQ_NET_INT_INC_BNK",AL$3,$E$3, $J$3, , $G$3, $H$3)*2/(_xll.ciqfunctions.udf.CIQ($B10,"IQ_GROSS_LOANS",AL$3,$E$3, $J$3, , $G$3, $H$3)+_xll.ciqfunctions.udf.CIQ($B10,"IQ_GROSS_LOANS", "IQ_" &amp; LEFT(AL$3,2) &amp; "-1",AL$3, $J$3, , $G$3, $H$3))),"")</f>
        <v/>
      </c>
      <c r="AM10" s="87" t="str">
        <f>IFERROR(IF(OR($B10="",AM$3=""),"",_xll.ciqfunctions.udf.CIQ($B10,"IQ_NET_INT_INC_BNK",AM$3,$E$3, $J$3, , $G$3, $H$3)*2/(_xll.ciqfunctions.udf.CIQ($B10,"IQ_GROSS_LOANS",AM$3,$E$3, $J$3, , $G$3, $H$3)+_xll.ciqfunctions.udf.CIQ($B10,"IQ_GROSS_LOANS", "IQ_" &amp; LEFT(AM$3,2) &amp; "-1",AM$3, $J$3, , $G$3, $H$3))),"")</f>
        <v/>
      </c>
      <c r="AN10" s="87" t="str">
        <f>IFERROR(IF(OR($B10="",AN$3=""),"",_xll.ciqfunctions.udf.CIQ($B10,"IQ_NET_INT_INC_BNK",AN$3,$E$3, $J$3, , $G$3, $H$3)*2/(_xll.ciqfunctions.udf.CIQ($B10,"IQ_GROSS_LOANS",AN$3,$E$3, $J$3, , $G$3, $H$3)+_xll.ciqfunctions.udf.CIQ($B10,"IQ_GROSS_LOANS", "IQ_" &amp; LEFT(AN$3,2) &amp; "-1",AN$3, $J$3, , $G$3, $H$3))),"")</f>
        <v/>
      </c>
      <c r="AO10" s="87" t="str">
        <f>IFERROR(IF(OR($B10="",AO$3=""),"",_xll.ciqfunctions.udf.CIQ($B10,"IQ_NET_INT_INC_BNK",AO$3,$E$3, $J$3, , $G$3, $H$3)*2/(_xll.ciqfunctions.udf.CIQ($B10,"IQ_GROSS_LOANS",AO$3,$E$3, $J$3, , $G$3, $H$3)+_xll.ciqfunctions.udf.CIQ($B10,"IQ_GROSS_LOANS", "IQ_" &amp; LEFT(AO$3,2) &amp; "-1",AO$3, $J$3, , $G$3, $H$3))),"")</f>
        <v/>
      </c>
      <c r="AP10" s="87" t="str">
        <f>IFERROR(IF(OR($B10="",AP$3=""),"",_xll.ciqfunctions.udf.CIQ($B10,"IQ_NET_INT_INC_BNK",AP$3,$E$3, $J$3, , $G$3, $H$3)*2/(_xll.ciqfunctions.udf.CIQ($B10,"IQ_GROSS_LOANS",AP$3,$E$3, $J$3, , $G$3, $H$3)+_xll.ciqfunctions.udf.CIQ($B10,"IQ_GROSS_LOANS", "IQ_" &amp; LEFT(AP$3,2) &amp; "-1",AP$3, $J$3, , $G$3, $H$3))),"")</f>
        <v/>
      </c>
      <c r="AQ10" s="87" t="str">
        <f>IFERROR(IF(OR($B10="",AQ$3=""),"",_xll.ciqfunctions.udf.CIQ($B10,"IQ_NET_INT_INC_BNK",AQ$3,$E$3, $J$3, , $G$3, $H$3)*2/(_xll.ciqfunctions.udf.CIQ($B10,"IQ_GROSS_LOANS",AQ$3,$E$3, $J$3, , $G$3, $H$3)+_xll.ciqfunctions.udf.CIQ($B10,"IQ_GROSS_LOANS", "IQ_" &amp; LEFT(AQ$3,2) &amp; "-1",AQ$3, $J$3, , $G$3, $H$3))),"")</f>
        <v/>
      </c>
      <c r="AR10" s="87" t="str">
        <f>IFERROR(IF(OR($B10="",AR$3=""),"",_xll.ciqfunctions.udf.CIQ($B10,"IQ_NET_INT_INC_BNK",AR$3,$E$3, $J$3, , $G$3, $H$3)*2/(_xll.ciqfunctions.udf.CIQ($B10,"IQ_GROSS_LOANS",AR$3,$E$3, $J$3, , $G$3, $H$3)+_xll.ciqfunctions.udf.CIQ($B10,"IQ_GROSS_LOANS", "IQ_" &amp; LEFT(AR$3,2) &amp; "-1",AR$3, $J$3, , $G$3, $H$3))),"")</f>
        <v/>
      </c>
      <c r="AS10" s="87" t="str">
        <f>IFERROR(IF(OR($B10="",AS$3=""),"",_xll.ciqfunctions.udf.CIQ($B10,"IQ_NET_INT_INC_BNK",AS$3,$E$3, $J$3, , $G$3, $H$3)*2/(_xll.ciqfunctions.udf.CIQ($B10,"IQ_GROSS_LOANS",AS$3,$E$3, $J$3, , $G$3, $H$3)+_xll.ciqfunctions.udf.CIQ($B10,"IQ_GROSS_LOANS", "IQ_" &amp; LEFT(AS$3,2) &amp; "-1",AS$3, $J$3, , $G$3, $H$3))),"")</f>
        <v/>
      </c>
      <c r="AT10" s="87" t="str">
        <f>IFERROR(IF(OR($B10="",AT$3=""),"",_xll.ciqfunctions.udf.CIQ($B10,"IQ_NET_INT_INC_BNK",AT$3,$E$3, $J$3, , $G$3, $H$3)*2/(_xll.ciqfunctions.udf.CIQ($B10,"IQ_GROSS_LOANS",AT$3,$E$3, $J$3, , $G$3, $H$3)+_xll.ciqfunctions.udf.CIQ($B10,"IQ_GROSS_LOANS", "IQ_" &amp; LEFT(AT$3,2) &amp; "-1",AT$3, $J$3, , $G$3, $H$3))),"")</f>
        <v/>
      </c>
      <c r="AU10" s="87" t="str">
        <f>IFERROR(IF(OR($B10="",AU$3=""),"",_xll.ciqfunctions.udf.CIQ($B10,"IQ_NET_INT_INC_BNK",AU$3,$E$3, $J$3, , $G$3, $H$3)*2/(_xll.ciqfunctions.udf.CIQ($B10,"IQ_GROSS_LOANS",AU$3,$E$3, $J$3, , $G$3, $H$3)+_xll.ciqfunctions.udf.CIQ($B10,"IQ_GROSS_LOANS", "IQ_" &amp; LEFT(AU$3,2) &amp; "-1",AU$3, $J$3, , $G$3, $H$3))),"")</f>
        <v/>
      </c>
      <c r="AV10" s="87" t="str">
        <f>IFERROR(IF(OR($B10="",AV$3=""),"",_xll.ciqfunctions.udf.CIQ($B10,"IQ_NET_INT_INC_BNK",AV$3,$E$3, $J$3, , $G$3, $H$3)*2/(_xll.ciqfunctions.udf.CIQ($B10,"IQ_GROSS_LOANS",AV$3,$E$3, $J$3, , $G$3, $H$3)+_xll.ciqfunctions.udf.CIQ($B10,"IQ_GROSS_LOANS", "IQ_" &amp; LEFT(AV$3,2) &amp; "-1",AV$3, $J$3, , $G$3, $H$3))),"")</f>
        <v/>
      </c>
      <c r="AW10" s="87" t="str">
        <f>IFERROR(IF(OR($B10="",AW$3=""),"",_xll.ciqfunctions.udf.CIQ($B10,"IQ_NET_INT_INC_BNK",AW$3,$E$3, $J$3, , $G$3, $H$3)*2/(_xll.ciqfunctions.udf.CIQ($B10,"IQ_GROSS_LOANS",AW$3,$E$3, $J$3, , $G$3, $H$3)+_xll.ciqfunctions.udf.CIQ($B10,"IQ_GROSS_LOANS", "IQ_" &amp; LEFT(AW$3,2) &amp; "-1",AW$3, $J$3, , $G$3, $H$3))),"")</f>
        <v/>
      </c>
      <c r="AX10" s="88" t="str">
        <f>IFERROR(IF(OR($B10="",AX$3=""),"",_xll.ciqfunctions.udf.CIQ($B10,"IQ_NET_INT_INC_BNK",AX$3,$E$3, $J$3, , $G$3, $H$3)*2/(_xll.ciqfunctions.udf.CIQ($B10,"IQ_GROSS_LOANS",AX$3,$E$3, $J$3, , $G$3, $H$3)+_xll.ciqfunctions.udf.CIQ($B10,"IQ_GROSS_LOANS", "IQ_" &amp; LEFT(AX$3,2) &amp; "-1",AX$3, $J$3, , $G$3, $H$3))),"")</f>
        <v/>
      </c>
      <c r="AY10" s="72" t="str">
        <f>IFERROR(IF(OR($B10="",AY$3=""),"",_xll.ciqfunctions.udf.CIQ($B10, "IQ_EBT", AY$3,$E$3, $J$3, , $G$3, $H$3)/(_xll.ciqfunctions.udf.CIQ($B10,"IQ_INT_INC_TOTAL",BW$3,$E$3, $J$3, , $G$3, $H$3)+_xll.ciqfunctions.udf.CIQ($B10,"IQ_NON_INT_INC",BW$3,$E$3, $J$3, , $G$3, $H$3))),"")</f>
        <v/>
      </c>
      <c r="AZ10" s="72" t="str">
        <f>IFERROR(IF(OR($B10="",AZ$3=""),"",_xll.ciqfunctions.udf.CIQ($B10, "IQ_EBT", AZ$3,$E$3, $J$3, , $G$3, $H$3)/(_xll.ciqfunctions.udf.CIQ($B10,"IQ_INT_INC_TOTAL",BX$3,$E$3, $J$3, , $G$3, $H$3)+_xll.ciqfunctions.udf.CIQ($B10,"IQ_NON_INT_INC",BX$3,$E$3, $J$3, , $G$3, $H$3))),"")</f>
        <v/>
      </c>
      <c r="BA10" s="72" t="str">
        <f>IFERROR(IF(OR($B10="",BA$3=""),"",_xll.ciqfunctions.udf.CIQ($B10, "IQ_EBT", BA$3,$E$3, $J$3, , $G$3, $H$3)/(_xll.ciqfunctions.udf.CIQ($B10,"IQ_INT_INC_TOTAL",BY$3,$E$3, $J$3, , $G$3, $H$3)+_xll.ciqfunctions.udf.CIQ($B10,"IQ_NON_INT_INC",BY$3,$E$3, $J$3, , $G$3, $H$3))),"")</f>
        <v/>
      </c>
      <c r="BB10" s="72" t="str">
        <f>IFERROR(IF(OR($B10="",BB$3=""),"",_xll.ciqfunctions.udf.CIQ($B10, "IQ_EBT", BB$3,$E$3, $J$3, , $G$3, $H$3)/(_xll.ciqfunctions.udf.CIQ($B10,"IQ_INT_INC_TOTAL",BZ$3,$E$3, $J$3, , $G$3, $H$3)+_xll.ciqfunctions.udf.CIQ($B10,"IQ_NON_INT_INC",BZ$3,$E$3, $J$3, , $G$3, $H$3))),"")</f>
        <v/>
      </c>
      <c r="BC10" s="72" t="str">
        <f>IFERROR(IF(OR($B10="",BC$3=""),"",_xll.ciqfunctions.udf.CIQ($B10, "IQ_EBT", BC$3,$E$3, $J$3, , $G$3, $H$3)/(_xll.ciqfunctions.udf.CIQ($B10,"IQ_INT_INC_TOTAL",CA$3,$E$3, $J$3, , $G$3, $H$3)+_xll.ciqfunctions.udf.CIQ($B10,"IQ_NON_INT_INC",CA$3,$E$3, $J$3, , $G$3, $H$3))),"")</f>
        <v/>
      </c>
      <c r="BD10" s="72" t="str">
        <f>IFERROR(IF(OR($B10="",BD$3=""),"",_xll.ciqfunctions.udf.CIQ($B10, "IQ_EBT", BD$3,$E$3, $J$3, , $G$3, $H$3)/(_xll.ciqfunctions.udf.CIQ($B10,"IQ_INT_INC_TOTAL",CB$3,$E$3, $J$3, , $G$3, $H$3)+_xll.ciqfunctions.udf.CIQ($B10,"IQ_NON_INT_INC",CB$3,$E$3, $J$3, , $G$3, $H$3))),"")</f>
        <v/>
      </c>
      <c r="BE10" s="72" t="str">
        <f>IFERROR(IF(OR($B10="",BE$3=""),"",_xll.ciqfunctions.udf.CIQ($B10, "IQ_EBT", BE$3,$E$3, $J$3, , $G$3, $H$3)/(_xll.ciqfunctions.udf.CIQ($B10,"IQ_INT_INC_TOTAL",CC$3,$E$3, $J$3, , $G$3, $H$3)+_xll.ciqfunctions.udf.CIQ($B10,"IQ_NON_INT_INC",CC$3,$E$3, $J$3, , $G$3, $H$3))),"")</f>
        <v/>
      </c>
      <c r="BF10" s="72" t="str">
        <f>IFERROR(IF(OR($B10="",BF$3=""),"",_xll.ciqfunctions.udf.CIQ($B10, "IQ_EBT", BF$3,$E$3, $J$3, , $G$3, $H$3)/(_xll.ciqfunctions.udf.CIQ($B10,"IQ_INT_INC_TOTAL",CD$3,$E$3, $J$3, , $G$3, $H$3)+_xll.ciqfunctions.udf.CIQ($B10,"IQ_NON_INT_INC",CD$3,$E$3, $J$3, , $G$3, $H$3))),"")</f>
        <v/>
      </c>
      <c r="BG10" s="72" t="str">
        <f>IFERROR(IF(OR($B10="",BG$3=""),"",_xll.ciqfunctions.udf.CIQ($B10, "IQ_EBT", BG$3,$E$3, $J$3, , $G$3, $H$3)/(_xll.ciqfunctions.udf.CIQ($B10,"IQ_INT_INC_TOTAL",CE$3,$E$3, $J$3, , $G$3, $H$3)+_xll.ciqfunctions.udf.CIQ($B10,"IQ_NON_INT_INC",CE$3,$E$3, $J$3, , $G$3, $H$3))),"")</f>
        <v/>
      </c>
      <c r="BH10" s="72" t="str">
        <f>IFERROR(IF(OR($B10="",BH$3=""),"",_xll.ciqfunctions.udf.CIQ($B10, "IQ_EBT", BH$3,$E$3, $J$3, , $G$3, $H$3)/(_xll.ciqfunctions.udf.CIQ($B10,"IQ_INT_INC_TOTAL",CF$3,$E$3, $J$3, , $G$3, $H$3)+_xll.ciqfunctions.udf.CIQ($B10,"IQ_NON_INT_INC",CF$3,$E$3, $J$3, , $G$3, $H$3))),"")</f>
        <v/>
      </c>
      <c r="BI10" s="72" t="str">
        <f>IFERROR(IF(OR($B10="",BI$3=""),"",_xll.ciqfunctions.udf.CIQ($B10, "IQ_EBT", BI$3,$E$3, $J$3, , $G$3, $H$3)/(_xll.ciqfunctions.udf.CIQ($B10,"IQ_INT_INC_TOTAL",CG$3,$E$3, $J$3, , $G$3, $H$3)+_xll.ciqfunctions.udf.CIQ($B10,"IQ_NON_INT_INC",CG$3,$E$3, $J$3, , $G$3, $H$3))),"")</f>
        <v/>
      </c>
      <c r="BJ10" s="72" t="str">
        <f>IFERROR(IF(OR($B10="",BJ$3=""),"",_xll.ciqfunctions.udf.CIQ($B10, "IQ_EBT", BJ$3,$E$3, $J$3, , $G$3, $H$3)/(_xll.ciqfunctions.udf.CIQ($B10,"IQ_INT_INC_TOTAL",CH$3,$E$3, $J$3, , $G$3, $H$3)+_xll.ciqfunctions.udf.CIQ($B10,"IQ_NON_INT_INC",CH$3,$E$3, $J$3, , $G$3, $H$3))),"")</f>
        <v/>
      </c>
      <c r="BK10" s="72" t="str">
        <f>IFERROR(IF(OR($B10="",BK$3=""),"",_xll.ciqfunctions.udf.CIQ($B10, "IQ_EBT", BK$3,$E$3, $J$3, , $G$3, $H$3)/(_xll.ciqfunctions.udf.CIQ($B10,"IQ_INT_INC_TOTAL",CI$3,$E$3, $J$3, , $G$3, $H$3)+_xll.ciqfunctions.udf.CIQ($B10,"IQ_NON_INT_INC",CI$3,$E$3, $J$3, , $G$3, $H$3))),"")</f>
        <v/>
      </c>
      <c r="BL10" s="72" t="str">
        <f>IFERROR(IF(OR($B10="",BL$3=""),"",_xll.ciqfunctions.udf.CIQ($B10, "IQ_EBT", BL$3,$E$3, $J$3, , $G$3, $H$3)/(_xll.ciqfunctions.udf.CIQ($B10,"IQ_INT_INC_TOTAL",CJ$3,$E$3, $J$3, , $G$3, $H$3)+_xll.ciqfunctions.udf.CIQ($B10,"IQ_NON_INT_INC",CJ$3,$E$3, $J$3, , $G$3, $H$3))),"")</f>
        <v/>
      </c>
      <c r="BM10" s="72" t="str">
        <f>IFERROR(IF(OR($B10="",BM$3=""),"",_xll.ciqfunctions.udf.CIQ($B10, "IQ_EBT", BM$3,$E$3, $J$3, , $G$3, $H$3)/(_xll.ciqfunctions.udf.CIQ($B10,"IQ_INT_INC_TOTAL",CK$3,$E$3, $J$3, , $G$3, $H$3)+_xll.ciqfunctions.udf.CIQ($B10,"IQ_NON_INT_INC",CK$3,$E$3, $J$3, , $G$3, $H$3))),"")</f>
        <v/>
      </c>
      <c r="BN10" s="72" t="str">
        <f>IFERROR(IF(OR($B10="",BN$3=""),"",_xll.ciqfunctions.udf.CIQ($B10, "IQ_EBT", BN$3,$E$3, $J$3, , $G$3, $H$3)/(_xll.ciqfunctions.udf.CIQ($B10,"IQ_INT_INC_TOTAL",CL$3,$E$3, $J$3, , $G$3, $H$3)+_xll.ciqfunctions.udf.CIQ($B10,"IQ_NON_INT_INC",CL$3,$E$3, $J$3, , $G$3, $H$3))),"")</f>
        <v/>
      </c>
      <c r="BO10" s="72" t="str">
        <f>IFERROR(IF(OR($B10="",BO$3=""),"",_xll.ciqfunctions.udf.CIQ($B10, "IQ_EBT", BO$3,$E$3, $J$3, , $G$3, $H$3)/(_xll.ciqfunctions.udf.CIQ($B10,"IQ_INT_INC_TOTAL",CM$3,$E$3, $J$3, , $G$3, $H$3)+_xll.ciqfunctions.udf.CIQ($B10,"IQ_NON_INT_INC",CM$3,$E$3, $J$3, , $G$3, $H$3))),"")</f>
        <v/>
      </c>
      <c r="BP10" s="72" t="str">
        <f>IFERROR(IF(OR($B10="",BP$3=""),"",_xll.ciqfunctions.udf.CIQ($B10, "IQ_EBT", BP$3,$E$3, $J$3, , $G$3, $H$3)/(_xll.ciqfunctions.udf.CIQ($B10,"IQ_INT_INC_TOTAL",CN$3,$E$3, $J$3, , $G$3, $H$3)+_xll.ciqfunctions.udf.CIQ($B10,"IQ_NON_INT_INC",CN$3,$E$3, $J$3, , $G$3, $H$3))),"")</f>
        <v/>
      </c>
      <c r="BQ10" s="72" t="str">
        <f>IFERROR(IF(OR($B10="",BQ$3=""),"",_xll.ciqfunctions.udf.CIQ($B10, "IQ_EBT", BQ$3,$E$3, $J$3, , $G$3, $H$3)/(_xll.ciqfunctions.udf.CIQ($B10,"IQ_INT_INC_TOTAL",CO$3,$E$3, $J$3, , $G$3, $H$3)+_xll.ciqfunctions.udf.CIQ($B10,"IQ_NON_INT_INC",CO$3,$E$3, $J$3, , $G$3, $H$3))),"")</f>
        <v/>
      </c>
      <c r="BR10" s="72" t="str">
        <f>IFERROR(IF(OR($B10="",BR$3=""),"",_xll.ciqfunctions.udf.CIQ($B10, "IQ_EBT", BR$3,$E$3, $J$3, , $G$3, $H$3)/(_xll.ciqfunctions.udf.CIQ($B10,"IQ_INT_INC_TOTAL",CP$3,$E$3, $J$3, , $G$3, $H$3)+_xll.ciqfunctions.udf.CIQ($B10,"IQ_NON_INT_INC",CP$3,$E$3, $J$3, , $G$3, $H$3))),"")</f>
        <v/>
      </c>
      <c r="BS10" s="87" t="str">
        <f>IFERROR(IF(OR($B10="",BS$3=""),"",_xll.ciqfunctions.udf.CIQ($B10,"IQ_NI",BS$3,$E$3, $J$3, , $G$3, $H$3)/(_xll.ciqfunctions.udf.CIQ($B10,"IQ_INT_INC_TOTAL",BS$3,$E$3, $J$3, , $G$3, $H$3)+_xll.ciqfunctions.udf.CIQ($B10,"IQ_NON_INT_INC",BS$3,$E$3, $J$3, , $G$3, $H$3))),"")</f>
        <v/>
      </c>
      <c r="BT10" s="87" t="str">
        <f>IFERROR(IF(OR($B10="",BT$3=""),"",_xll.ciqfunctions.udf.CIQ($B10,"IQ_NI",BT$3,$E$3, $J$3, , $G$3, $H$3)/(_xll.ciqfunctions.udf.CIQ($B10,"IQ_INT_INC_TOTAL",BT$3,$E$3, $J$3, , $G$3, $H$3)+_xll.ciqfunctions.udf.CIQ($B10,"IQ_NON_INT_INC",BT$3,$E$3, $J$3, , $G$3, $H$3))),"")</f>
        <v/>
      </c>
      <c r="BU10" s="87" t="str">
        <f>IFERROR(IF(OR($B10="",BU$3=""),"",_xll.ciqfunctions.udf.CIQ($B10,"IQ_NI",BU$3,$E$3, $J$3, , $G$3, $H$3)/(_xll.ciqfunctions.udf.CIQ($B10,"IQ_INT_INC_TOTAL",BU$3,$E$3, $J$3, , $G$3, $H$3)+_xll.ciqfunctions.udf.CIQ($B10,"IQ_NON_INT_INC",BU$3,$E$3, $J$3, , $G$3, $H$3))),"")</f>
        <v/>
      </c>
      <c r="BV10" s="87" t="str">
        <f>IFERROR(IF(OR($B10="",BV$3=""),"",_xll.ciqfunctions.udf.CIQ($B10,"IQ_NI",BV$3,$E$3, $J$3, , $G$3, $H$3)/(_xll.ciqfunctions.udf.CIQ($B10,"IQ_INT_INC_TOTAL",BV$3,$E$3, $J$3, , $G$3, $H$3)+_xll.ciqfunctions.udf.CIQ($B10,"IQ_NON_INT_INC",BV$3,$E$3, $J$3, , $G$3, $H$3))),"")</f>
        <v/>
      </c>
      <c r="BW10" s="87" t="str">
        <f>IFERROR(IF(OR($B10="",BW$3=""),"",_xll.ciqfunctions.udf.CIQ($B10,"IQ_NI",BW$3,$E$3, $J$3, , $G$3, $H$3)/(_xll.ciqfunctions.udf.CIQ($B10,"IQ_INT_INC_TOTAL",BW$3,$E$3, $J$3, , $G$3, $H$3)+_xll.ciqfunctions.udf.CIQ($B10,"IQ_NON_INT_INC",BW$3,$E$3, $J$3, , $G$3, $H$3))),"")</f>
        <v/>
      </c>
      <c r="BX10" s="87" t="str">
        <f>IFERROR(IF(OR($B10="",BX$3=""),"",_xll.ciqfunctions.udf.CIQ($B10,"IQ_NI",BX$3,$E$3, $J$3, , $G$3, $H$3)/(_xll.ciqfunctions.udf.CIQ($B10,"IQ_INT_INC_TOTAL",BX$3,$E$3, $J$3, , $G$3, $H$3)+_xll.ciqfunctions.udf.CIQ($B10,"IQ_NON_INT_INC",BX$3,$E$3, $J$3, , $G$3, $H$3))),"")</f>
        <v/>
      </c>
      <c r="BY10" s="87" t="str">
        <f>IFERROR(IF(OR($B10="",BY$3=""),"",_xll.ciqfunctions.udf.CIQ($B10,"IQ_NI",BY$3,$E$3, $J$3, , $G$3, $H$3)/(_xll.ciqfunctions.udf.CIQ($B10,"IQ_INT_INC_TOTAL",BY$3,$E$3, $J$3, , $G$3, $H$3)+_xll.ciqfunctions.udf.CIQ($B10,"IQ_NON_INT_INC",BY$3,$E$3, $J$3, , $G$3, $H$3))),"")</f>
        <v/>
      </c>
      <c r="BZ10" s="87" t="str">
        <f>IFERROR(IF(OR($B10="",BZ$3=""),"",_xll.ciqfunctions.udf.CIQ($B10,"IQ_NI",BZ$3,$E$3, $J$3, , $G$3, $H$3)/(_xll.ciqfunctions.udf.CIQ($B10,"IQ_INT_INC_TOTAL",BZ$3,$E$3, $J$3, , $G$3, $H$3)+_xll.ciqfunctions.udf.CIQ($B10,"IQ_NON_INT_INC",BZ$3,$E$3, $J$3, , $G$3, $H$3))),"")</f>
        <v/>
      </c>
      <c r="CA10" s="87" t="str">
        <f>IFERROR(IF(OR($B10="",CA$3=""),"",_xll.ciqfunctions.udf.CIQ($B10,"IQ_NI",CA$3,$E$3, $J$3, , $G$3, $H$3)/(_xll.ciqfunctions.udf.CIQ($B10,"IQ_INT_INC_TOTAL",CA$3,$E$3, $J$3, , $G$3, $H$3)+_xll.ciqfunctions.udf.CIQ($B10,"IQ_NON_INT_INC",CA$3,$E$3, $J$3, , $G$3, $H$3))),"")</f>
        <v/>
      </c>
      <c r="CB10" s="87" t="str">
        <f>IFERROR(IF(OR($B10="",CB$3=""),"",_xll.ciqfunctions.udf.CIQ($B10,"IQ_NI",CB$3,$E$3, $J$3, , $G$3, $H$3)/(_xll.ciqfunctions.udf.CIQ($B10,"IQ_INT_INC_TOTAL",CB$3,$E$3, $J$3, , $G$3, $H$3)+_xll.ciqfunctions.udf.CIQ($B10,"IQ_NON_INT_INC",CB$3,$E$3, $J$3, , $G$3, $H$3))),"")</f>
        <v/>
      </c>
      <c r="CC10" s="87" t="str">
        <f>IFERROR(IF(OR($B10="",CC$3=""),"",_xll.ciqfunctions.udf.CIQ($B10,"IQ_NI",CC$3,$E$3, $J$3, , $G$3, $H$3)/(_xll.ciqfunctions.udf.CIQ($B10,"IQ_INT_INC_TOTAL",CC$3,$E$3, $J$3, , $G$3, $H$3)+_xll.ciqfunctions.udf.CIQ($B10,"IQ_NON_INT_INC",CC$3,$E$3, $J$3, , $G$3, $H$3))),"")</f>
        <v/>
      </c>
      <c r="CD10" s="87" t="str">
        <f>IFERROR(IF(OR($B10="",CD$3=""),"",_xll.ciqfunctions.udf.CIQ($B10,"IQ_NI",CD$3,$E$3, $J$3, , $G$3, $H$3)/(_xll.ciqfunctions.udf.CIQ($B10,"IQ_INT_INC_TOTAL",CD$3,$E$3, $J$3, , $G$3, $H$3)+_xll.ciqfunctions.udf.CIQ($B10,"IQ_NON_INT_INC",CD$3,$E$3, $J$3, , $G$3, $H$3))),"")</f>
        <v/>
      </c>
      <c r="CE10" s="87" t="str">
        <f>IFERROR(IF(OR($B10="",CE$3=""),"",_xll.ciqfunctions.udf.CIQ($B10,"IQ_NI",CE$3,$E$3, $J$3, , $G$3, $H$3)/(_xll.ciqfunctions.udf.CIQ($B10,"IQ_INT_INC_TOTAL",CE$3,$E$3, $J$3, , $G$3, $H$3)+_xll.ciqfunctions.udf.CIQ($B10,"IQ_NON_INT_INC",CE$3,$E$3, $J$3, , $G$3, $H$3))),"")</f>
        <v/>
      </c>
      <c r="CF10" s="87" t="str">
        <f>IFERROR(IF(OR($B10="",CF$3=""),"",_xll.ciqfunctions.udf.CIQ($B10,"IQ_NI",CF$3,$E$3, $J$3, , $G$3, $H$3)/(_xll.ciqfunctions.udf.CIQ($B10,"IQ_INT_INC_TOTAL",CF$3,$E$3, $J$3, , $G$3, $H$3)+_xll.ciqfunctions.udf.CIQ($B10,"IQ_NON_INT_INC",CF$3,$E$3, $J$3, , $G$3, $H$3))),"")</f>
        <v/>
      </c>
      <c r="CG10" s="87" t="str">
        <f>IFERROR(IF(OR($B10="",CG$3=""),"",_xll.ciqfunctions.udf.CIQ($B10,"IQ_NI",CG$3,$E$3, $J$3, , $G$3, $H$3)/(_xll.ciqfunctions.udf.CIQ($B10,"IQ_INT_INC_TOTAL",CG$3,$E$3, $J$3, , $G$3, $H$3)+_xll.ciqfunctions.udf.CIQ($B10,"IQ_NON_INT_INC",CG$3,$E$3, $J$3, , $G$3, $H$3))),"")</f>
        <v/>
      </c>
      <c r="CH10" s="87" t="str">
        <f>IFERROR(IF(OR($B10="",CH$3=""),"",_xll.ciqfunctions.udf.CIQ($B10,"IQ_NI",CH$3,$E$3, $J$3, , $G$3, $H$3)/(_xll.ciqfunctions.udf.CIQ($B10,"IQ_INT_INC_TOTAL",CH$3,$E$3, $J$3, , $G$3, $H$3)+_xll.ciqfunctions.udf.CIQ($B10,"IQ_NON_INT_INC",CH$3,$E$3, $J$3, , $G$3, $H$3))),"")</f>
        <v/>
      </c>
      <c r="CI10" s="87" t="str">
        <f>IFERROR(IF(OR($B10="",CI$3=""),"",_xll.ciqfunctions.udf.CIQ($B10,"IQ_NI",CI$3,$E$3, $J$3, , $G$3, $H$3)/(_xll.ciqfunctions.udf.CIQ($B10,"IQ_INT_INC_TOTAL",CI$3,$E$3, $J$3, , $G$3, $H$3)+_xll.ciqfunctions.udf.CIQ($B10,"IQ_NON_INT_INC",CI$3,$E$3, $J$3, , $G$3, $H$3))),"")</f>
        <v/>
      </c>
      <c r="CJ10" s="87" t="str">
        <f>IFERROR(IF(OR($B10="",CJ$3=""),"",_xll.ciqfunctions.udf.CIQ($B10,"IQ_NI",CJ$3,$E$3, $J$3, , $G$3, $H$3)/(_xll.ciqfunctions.udf.CIQ($B10,"IQ_INT_INC_TOTAL",CJ$3,$E$3, $J$3, , $G$3, $H$3)+_xll.ciqfunctions.udf.CIQ($B10,"IQ_NON_INT_INC",CJ$3,$E$3, $J$3, , $G$3, $H$3))),"")</f>
        <v/>
      </c>
      <c r="CK10" s="87" t="str">
        <f>IFERROR(IF(OR($B10="",CK$3=""),"",_xll.ciqfunctions.udf.CIQ($B10,"IQ_NI",CK$3,$E$3, $J$3, , $G$3, $H$3)/(_xll.ciqfunctions.udf.CIQ($B10,"IQ_INT_INC_TOTAL",CK$3,$E$3, $J$3, , $G$3, $H$3)+_xll.ciqfunctions.udf.CIQ($B10,"IQ_NON_INT_INC",CK$3,$E$3, $J$3, , $G$3, $H$3))),"")</f>
        <v/>
      </c>
      <c r="CL10" s="87" t="str">
        <f>IFERROR(IF(OR($B10="",CL$3=""),"",_xll.ciqfunctions.udf.CIQ($B10,"IQ_NI",CL$3,$E$3, $J$3, , $G$3, $H$3)/(_xll.ciqfunctions.udf.CIQ($B10,"IQ_INT_INC_TOTAL",CL$3,$E$3, $J$3, , $G$3, $H$3)+_xll.ciqfunctions.udf.CIQ($B10,"IQ_NON_INT_INC",CL$3,$E$3, $J$3, , $G$3, $H$3))),"")</f>
        <v/>
      </c>
      <c r="CM10" s="72" t="str">
        <f>IFERROR(IF(OR($B10="",CM$3=""),"",_xll.ciqfunctions.udf.CIQ($B10,"IQ_SGA_SUPPL",CM$3,$E$3, $J$3, , $G$3, $H$3)/(_xll.ciqfunctions.udf.CIQ($B10,"IQ_INT_INC_TOTAL",CM$3,$E$3, $J$3, , $G$3, $H$3)+_xll.ciqfunctions.udf.CIQ($B10,"IQ_NON_INT_INC",CM$3,$E$3, $J$3, , $G$3, $H$3))),"")</f>
        <v/>
      </c>
      <c r="CN10" s="72" t="str">
        <f>IFERROR(IF(OR($B10="",CN$3=""),"",_xll.ciqfunctions.udf.CIQ($B10,"IQ_SGA_SUPPL",CN$3,$E$3, $J$3, , $G$3, $H$3)/(_xll.ciqfunctions.udf.CIQ($B10,"IQ_INT_INC_TOTAL",CN$3,$E$3, $J$3, , $G$3, $H$3)+_xll.ciqfunctions.udf.CIQ($B10,"IQ_NON_INT_INC",CN$3,$E$3, $J$3, , $G$3, $H$3))),"")</f>
        <v/>
      </c>
      <c r="CO10" s="72" t="str">
        <f>IFERROR(IF(OR($B10="",CO$3=""),"",_xll.ciqfunctions.udf.CIQ($B10,"IQ_SGA_SUPPL",CO$3,$E$3, $J$3, , $G$3, $H$3)/(_xll.ciqfunctions.udf.CIQ($B10,"IQ_INT_INC_TOTAL",CO$3,$E$3, $J$3, , $G$3, $H$3)+_xll.ciqfunctions.udf.CIQ($B10,"IQ_NON_INT_INC",CO$3,$E$3, $J$3, , $G$3, $H$3))),"")</f>
        <v/>
      </c>
      <c r="CP10" s="72" t="str">
        <f>IFERROR(IF(OR($B10="",CP$3=""),"",_xll.ciqfunctions.udf.CIQ($B10,"IQ_SGA_SUPPL",CP$3,$E$3, $J$3, , $G$3, $H$3)/(_xll.ciqfunctions.udf.CIQ($B10,"IQ_INT_INC_TOTAL",CP$3,$E$3, $J$3, , $G$3, $H$3)+_xll.ciqfunctions.udf.CIQ($B10,"IQ_NON_INT_INC",CP$3,$E$3, $J$3, , $G$3, $H$3))),"")</f>
        <v/>
      </c>
      <c r="CQ10" s="72" t="str">
        <f>IFERROR(IF(OR($B10="",CQ$3=""),"",_xll.ciqfunctions.udf.CIQ($B10,"IQ_SGA_SUPPL",CQ$3,$E$3, $J$3, , $G$3, $H$3)/(_xll.ciqfunctions.udf.CIQ($B10,"IQ_INT_INC_TOTAL",CQ$3,$E$3, $J$3, , $G$3, $H$3)+_xll.ciqfunctions.udf.CIQ($B10,"IQ_NON_INT_INC",CQ$3,$E$3, $J$3, , $G$3, $H$3))),"")</f>
        <v/>
      </c>
      <c r="CR10" s="72" t="str">
        <f>IFERROR(IF(OR($B10="",CR$3=""),"",_xll.ciqfunctions.udf.CIQ($B10,"IQ_SGA_SUPPL",CR$3,$E$3, $J$3, , $G$3, $H$3)/(_xll.ciqfunctions.udf.CIQ($B10,"IQ_INT_INC_TOTAL",CR$3,$E$3, $J$3, , $G$3, $H$3)+_xll.ciqfunctions.udf.CIQ($B10,"IQ_NON_INT_INC",CR$3,$E$3, $J$3, , $G$3, $H$3))),"")</f>
        <v/>
      </c>
      <c r="CS10" s="72" t="str">
        <f>IFERROR(IF(OR($B10="",CS$3=""),"",_xll.ciqfunctions.udf.CIQ($B10,"IQ_SGA_SUPPL",CS$3,$E$3, $J$3, , $G$3, $H$3)/(_xll.ciqfunctions.udf.CIQ($B10,"IQ_INT_INC_TOTAL",CS$3,$E$3, $J$3, , $G$3, $H$3)+_xll.ciqfunctions.udf.CIQ($B10,"IQ_NON_INT_INC",CS$3,$E$3, $J$3, , $G$3, $H$3))),"")</f>
        <v/>
      </c>
      <c r="CT10" s="72" t="str">
        <f>IFERROR(IF(OR($B10="",CT$3=""),"",_xll.ciqfunctions.udf.CIQ($B10,"IQ_SGA_SUPPL",CT$3,$E$3, $J$3, , $G$3, $H$3)/(_xll.ciqfunctions.udf.CIQ($B10,"IQ_INT_INC_TOTAL",CT$3,$E$3, $J$3, , $G$3, $H$3)+_xll.ciqfunctions.udf.CIQ($B10,"IQ_NON_INT_INC",CT$3,$E$3, $J$3, , $G$3, $H$3))),"")</f>
        <v/>
      </c>
      <c r="CU10" s="72" t="str">
        <f>IFERROR(IF(OR($B10="",CU$3=""),"",_xll.ciqfunctions.udf.CIQ($B10,"IQ_SGA_SUPPL",CU$3,$E$3, $J$3, , $G$3, $H$3)/(_xll.ciqfunctions.udf.CIQ($B10,"IQ_INT_INC_TOTAL",CU$3,$E$3, $J$3, , $G$3, $H$3)+_xll.ciqfunctions.udf.CIQ($B10,"IQ_NON_INT_INC",CU$3,$E$3, $J$3, , $G$3, $H$3))),"")</f>
        <v/>
      </c>
      <c r="CV10" s="72" t="str">
        <f>IFERROR(IF(OR($B10="",CV$3=""),"",_xll.ciqfunctions.udf.CIQ($B10,"IQ_SGA_SUPPL",CV$3,$E$3, $J$3, , $G$3, $H$3)/(_xll.ciqfunctions.udf.CIQ($B10,"IQ_INT_INC_TOTAL",CV$3,$E$3, $J$3, , $G$3, $H$3)+_xll.ciqfunctions.udf.CIQ($B10,"IQ_NON_INT_INC",CV$3,$E$3, $J$3, , $G$3, $H$3))),"")</f>
        <v/>
      </c>
      <c r="CW10" s="72" t="str">
        <f>IFERROR(IF(OR($B10="",CW$3=""),"",_xll.ciqfunctions.udf.CIQ($B10,"IQ_SGA_SUPPL",CW$3,$E$3, $J$3, , $G$3, $H$3)/(_xll.ciqfunctions.udf.CIQ($B10,"IQ_INT_INC_TOTAL",CW$3,$E$3, $J$3, , $G$3, $H$3)+_xll.ciqfunctions.udf.CIQ($B10,"IQ_NON_INT_INC",CW$3,$E$3, $J$3, , $G$3, $H$3))),"")</f>
        <v/>
      </c>
      <c r="CX10" s="72" t="str">
        <f>IFERROR(IF(OR($B10="",CX$3=""),"",_xll.ciqfunctions.udf.CIQ($B10,"IQ_SGA_SUPPL",CX$3,$E$3, $J$3, , $G$3, $H$3)/(_xll.ciqfunctions.udf.CIQ($B10,"IQ_INT_INC_TOTAL",CX$3,$E$3, $J$3, , $G$3, $H$3)+_xll.ciqfunctions.udf.CIQ($B10,"IQ_NON_INT_INC",CX$3,$E$3, $J$3, , $G$3, $H$3))),"")</f>
        <v/>
      </c>
      <c r="CY10" s="72" t="str">
        <f>IFERROR(IF(OR($B10="",CY$3=""),"",_xll.ciqfunctions.udf.CIQ($B10,"IQ_SGA_SUPPL",CY$3,$E$3, $J$3, , $G$3, $H$3)/(_xll.ciqfunctions.udf.CIQ($B10,"IQ_INT_INC_TOTAL",CY$3,$E$3, $J$3, , $G$3, $H$3)+_xll.ciqfunctions.udf.CIQ($B10,"IQ_NON_INT_INC",CY$3,$E$3, $J$3, , $G$3, $H$3))),"")</f>
        <v/>
      </c>
      <c r="CZ10" s="72" t="str">
        <f>IFERROR(IF(OR($B10="",CZ$3=""),"",_xll.ciqfunctions.udf.CIQ($B10,"IQ_SGA_SUPPL",CZ$3,$E$3, $J$3, , $G$3, $H$3)/(_xll.ciqfunctions.udf.CIQ($B10,"IQ_INT_INC_TOTAL",CZ$3,$E$3, $J$3, , $G$3, $H$3)+_xll.ciqfunctions.udf.CIQ($B10,"IQ_NON_INT_INC",CZ$3,$E$3, $J$3, , $G$3, $H$3))),"")</f>
        <v/>
      </c>
      <c r="DA10" s="72" t="str">
        <f>IFERROR(IF(OR($B10="",DA$3=""),"",_xll.ciqfunctions.udf.CIQ($B10,"IQ_SGA_SUPPL",DA$3,$E$3, $J$3, , $G$3, $H$3)/(_xll.ciqfunctions.udf.CIQ($B10,"IQ_INT_INC_TOTAL",DA$3,$E$3, $J$3, , $G$3, $H$3)+_xll.ciqfunctions.udf.CIQ($B10,"IQ_NON_INT_INC",DA$3,$E$3, $J$3, , $G$3, $H$3))),"")</f>
        <v/>
      </c>
      <c r="DB10" s="72" t="str">
        <f>IFERROR(IF(OR($B10="",DB$3=""),"",_xll.ciqfunctions.udf.CIQ($B10,"IQ_SGA_SUPPL",DB$3,$E$3, $J$3, , $G$3, $H$3)/(_xll.ciqfunctions.udf.CIQ($B10,"IQ_INT_INC_TOTAL",DB$3,$E$3, $J$3, , $G$3, $H$3)+_xll.ciqfunctions.udf.CIQ($B10,"IQ_NON_INT_INC",DB$3,$E$3, $J$3, , $G$3, $H$3))),"")</f>
        <v/>
      </c>
      <c r="DC10" s="72" t="str">
        <f>IFERROR(IF(OR($B10="",DC$3=""),"",_xll.ciqfunctions.udf.CIQ($B10,"IQ_SGA_SUPPL",DC$3,$E$3, $J$3, , $G$3, $H$3)/(_xll.ciqfunctions.udf.CIQ($B10,"IQ_INT_INC_TOTAL",DC$3,$E$3, $J$3, , $G$3, $H$3)+_xll.ciqfunctions.udf.CIQ($B10,"IQ_NON_INT_INC",DC$3,$E$3, $J$3, , $G$3, $H$3))),"")</f>
        <v/>
      </c>
      <c r="DD10" s="72" t="str">
        <f>IFERROR(IF(OR($B10="",DD$3=""),"",_xll.ciqfunctions.udf.CIQ($B10,"IQ_SGA_SUPPL",DD$3,$E$3, $J$3, , $G$3, $H$3)/(_xll.ciqfunctions.udf.CIQ($B10,"IQ_INT_INC_TOTAL",DD$3,$E$3, $J$3, , $G$3, $H$3)+_xll.ciqfunctions.udf.CIQ($B10,"IQ_NON_INT_INC",DD$3,$E$3, $J$3, , $G$3, $H$3))),"")</f>
        <v/>
      </c>
      <c r="DE10" s="72" t="str">
        <f>IFERROR(IF(OR($B10="",DE$3=""),"",_xll.ciqfunctions.udf.CIQ($B10,"IQ_SGA_SUPPL",DE$3,$E$3, $J$3, , $G$3, $H$3)/(_xll.ciqfunctions.udf.CIQ($B10,"IQ_INT_INC_TOTAL",DE$3,$E$3, $J$3, , $G$3, $H$3)+_xll.ciqfunctions.udf.CIQ($B10,"IQ_NON_INT_INC",DE$3,$E$3, $J$3, , $G$3, $H$3))),"")</f>
        <v/>
      </c>
      <c r="DF10" s="72" t="str">
        <f>IFERROR(IF(OR($B10="",DF$3=""),"",_xll.ciqfunctions.udf.CIQ($B10,"IQ_SGA_SUPPL",DF$3,$E$3, $J$3, , $G$3, $H$3)/(_xll.ciqfunctions.udf.CIQ($B10,"IQ_INT_INC_TOTAL",DF$3,$E$3, $J$3, , $G$3, $H$3)+_xll.ciqfunctions.udf.CIQ($B10,"IQ_NON_INT_INC",DF$3,$E$3, $J$3, , $G$3, $H$3))),"")</f>
        <v/>
      </c>
      <c r="DG10" s="86" t="str">
        <f>IFERROR(IF(OR($B10="",DG$3=""),"",_xll.ciqfunctions.udf.CIQ($B10,"IQ_TIER_ONE_RATIO",DG$3,$E$3, $J$3, , $G$3, $H$3)/100),"")</f>
        <v/>
      </c>
      <c r="DH10" s="87" t="str">
        <f>IFERROR(IF(OR($B10="",DH$3=""),"",_xll.ciqfunctions.udf.CIQ($B10,"IQ_TIER_ONE_RATIO",DH$3,$E$3, $J$3, , $G$3, $H$3)/100),"")</f>
        <v/>
      </c>
      <c r="DI10" s="87" t="str">
        <f>IFERROR(IF(OR($B10="",DI$3=""),"",_xll.ciqfunctions.udf.CIQ($B10,"IQ_TIER_ONE_RATIO",DI$3,$E$3, $J$3, , $G$3, $H$3)/100),"")</f>
        <v/>
      </c>
      <c r="DJ10" s="87" t="str">
        <f>IFERROR(IF(OR($B10="",DJ$3=""),"",_xll.ciqfunctions.udf.CIQ($B10,"IQ_TIER_ONE_RATIO",DJ$3,$E$3, $J$3, , $G$3, $H$3)/100),"")</f>
        <v/>
      </c>
      <c r="DK10" s="87" t="str">
        <f>IFERROR(IF(OR($B10="",DK$3=""),"",_xll.ciqfunctions.udf.CIQ($B10,"IQ_TIER_ONE_RATIO",DK$3,$E$3, $J$3, , $G$3, $H$3)/100),"")</f>
        <v/>
      </c>
      <c r="DL10" s="87" t="str">
        <f>IFERROR(IF(OR($B10="",DL$3=""),"",_xll.ciqfunctions.udf.CIQ($B10,"IQ_TIER_ONE_RATIO",DL$3,$E$3, $J$3, , $G$3, $H$3)/100),"")</f>
        <v/>
      </c>
      <c r="DM10" s="87" t="str">
        <f>IFERROR(IF(OR($B10="",DM$3=""),"",_xll.ciqfunctions.udf.CIQ($B10,"IQ_TIER_ONE_RATIO",DM$3,$E$3, $J$3, , $G$3, $H$3)/100),"")</f>
        <v/>
      </c>
      <c r="DN10" s="87" t="str">
        <f>IFERROR(IF(OR($B10="",DN$3=""),"",_xll.ciqfunctions.udf.CIQ($B10,"IQ_TIER_ONE_RATIO",DN$3,$E$3, $J$3, , $G$3, $H$3)/100),"")</f>
        <v/>
      </c>
      <c r="DO10" s="87" t="str">
        <f>IFERROR(IF(OR($B10="",DO$3=""),"",_xll.ciqfunctions.udf.CIQ($B10,"IQ_TIER_ONE_RATIO",DO$3,$E$3, $J$3, , $G$3, $H$3)/100),"")</f>
        <v/>
      </c>
      <c r="DP10" s="87" t="str">
        <f>IFERROR(IF(OR($B10="",DP$3=""),"",_xll.ciqfunctions.udf.CIQ($B10,"IQ_TIER_ONE_RATIO",DP$3,$E$3, $J$3, , $G$3, $H$3)/100),"")</f>
        <v/>
      </c>
      <c r="DQ10" s="87" t="str">
        <f>IFERROR(IF(OR($B10="",DQ$3=""),"",_xll.ciqfunctions.udf.CIQ($B10,"IQ_TIER_ONE_RATIO",DQ$3,$E$3, $J$3, , $G$3, $H$3)/100),"")</f>
        <v/>
      </c>
      <c r="DR10" s="87" t="str">
        <f>IFERROR(IF(OR($B10="",DR$3=""),"",_xll.ciqfunctions.udf.CIQ($B10,"IQ_TIER_ONE_RATIO",DR$3,$E$3, $J$3, , $G$3, $H$3)/100),"")</f>
        <v/>
      </c>
      <c r="DS10" s="87" t="str">
        <f>IFERROR(IF(OR($B10="",DS$3=""),"",_xll.ciqfunctions.udf.CIQ($B10,"IQ_TIER_ONE_RATIO",DS$3,$E$3, $J$3, , $G$3, $H$3)/100),"")</f>
        <v/>
      </c>
      <c r="DT10" s="87" t="str">
        <f>IFERROR(IF(OR($B10="",DT$3=""),"",_xll.ciqfunctions.udf.CIQ($B10,"IQ_TIER_ONE_RATIO",DT$3,$E$3, $J$3, , $G$3, $H$3)/100),"")</f>
        <v/>
      </c>
      <c r="DU10" s="87" t="str">
        <f>IFERROR(IF(OR($B10="",DU$3=""),"",_xll.ciqfunctions.udf.CIQ($B10,"IQ_TIER_ONE_RATIO",DU$3,$E$3, $J$3, , $G$3, $H$3)/100),"")</f>
        <v/>
      </c>
      <c r="DV10" s="87" t="str">
        <f>IFERROR(IF(OR($B10="",DV$3=""),"",_xll.ciqfunctions.udf.CIQ($B10,"IQ_TIER_ONE_RATIO",DV$3,$E$3, $J$3, , $G$3, $H$3)/100),"")</f>
        <v/>
      </c>
      <c r="DW10" s="87" t="str">
        <f>IFERROR(IF(OR($B10="",DW$3=""),"",_xll.ciqfunctions.udf.CIQ($B10,"IQ_TIER_ONE_RATIO",DW$3,$E$3, $J$3, , $G$3, $H$3)/100),"")</f>
        <v/>
      </c>
      <c r="DX10" s="87" t="str">
        <f>IFERROR(IF(OR($B10="",DX$3=""),"",_xll.ciqfunctions.udf.CIQ($B10,"IQ_TIER_ONE_RATIO",DX$3,$E$3, $J$3, , $G$3, $H$3)/100),"")</f>
        <v/>
      </c>
      <c r="DY10" s="87" t="str">
        <f>IFERROR(IF(OR($B10="",DY$3=""),"",_xll.ciqfunctions.udf.CIQ($B10,"IQ_TIER_ONE_RATIO",DY$3,$E$3, $J$3, , $G$3, $H$3)/100),"")</f>
        <v/>
      </c>
      <c r="DZ10" s="88" t="str">
        <f>IFERROR(IF(OR($B10="",DZ$3=""),"",_xll.ciqfunctions.udf.CIQ($B10,"IQ_TIER_ONE_RATIO",DZ$3,$E$3, $J$3, , $G$3, $H$3)/100),"")</f>
        <v/>
      </c>
      <c r="EA10" s="86" t="str">
        <f>IFERROR(IF(OR($B10="",EA$3=""),"",_xll.ciqfunctions.udf.CIQ($B10,"IQ_TOTAL_CAPITAL_RATIO",EA$3,$E$3, $J$3, , $G$3, $H$3)/100),"")</f>
        <v/>
      </c>
      <c r="EB10" s="87" t="str">
        <f>IFERROR(IF(OR($B10="",EB$3=""),"",_xll.ciqfunctions.udf.CIQ($B10,"IQ_TOTAL_CAPITAL_RATIO",EB$3,$E$3, $J$3, , $G$3, $H$3)/100),"")</f>
        <v/>
      </c>
      <c r="EC10" s="87" t="str">
        <f>IFERROR(IF(OR($B10="",EC$3=""),"",_xll.ciqfunctions.udf.CIQ($B10,"IQ_TOTAL_CAPITAL_RATIO",EC$3,$E$3, $J$3, , $G$3, $H$3)/100),"")</f>
        <v/>
      </c>
      <c r="ED10" s="87" t="str">
        <f>IFERROR(IF(OR($B10="",ED$3=""),"",_xll.ciqfunctions.udf.CIQ($B10,"IQ_TOTAL_CAPITAL_RATIO",ED$3,$E$3, $J$3, , $G$3, $H$3)/100),"")</f>
        <v/>
      </c>
      <c r="EE10" s="87" t="str">
        <f>IFERROR(IF(OR($B10="",EE$3=""),"",_xll.ciqfunctions.udf.CIQ($B10,"IQ_TOTAL_CAPITAL_RATIO",EE$3,$E$3, $J$3, , $G$3, $H$3)/100),"")</f>
        <v/>
      </c>
      <c r="EF10" s="87" t="str">
        <f>IFERROR(IF(OR($B10="",EF$3=""),"",_xll.ciqfunctions.udf.CIQ($B10,"IQ_TOTAL_CAPITAL_RATIO",EF$3,$E$3, $J$3, , $G$3, $H$3)/100),"")</f>
        <v/>
      </c>
      <c r="EG10" s="87" t="str">
        <f>IFERROR(IF(OR($B10="",EG$3=""),"",_xll.ciqfunctions.udf.CIQ($B10,"IQ_TOTAL_CAPITAL_RATIO",EG$3,$E$3, $J$3, , $G$3, $H$3)/100),"")</f>
        <v/>
      </c>
      <c r="EH10" s="87" t="str">
        <f>IFERROR(IF(OR($B10="",EH$3=""),"",_xll.ciqfunctions.udf.CIQ($B10,"IQ_TOTAL_CAPITAL_RATIO",EH$3,$E$3, $J$3, , $G$3, $H$3)/100),"")</f>
        <v/>
      </c>
      <c r="EI10" s="87" t="str">
        <f>IFERROR(IF(OR($B10="",EI$3=""),"",_xll.ciqfunctions.udf.CIQ($B10,"IQ_TOTAL_CAPITAL_RATIO",EI$3,$E$3, $J$3, , $G$3, $H$3)/100),"")</f>
        <v/>
      </c>
      <c r="EJ10" s="87" t="str">
        <f>IFERROR(IF(OR($B10="",EJ$3=""),"",_xll.ciqfunctions.udf.CIQ($B10,"IQ_TOTAL_CAPITAL_RATIO",EJ$3,$E$3, $J$3, , $G$3, $H$3)/100),"")</f>
        <v/>
      </c>
      <c r="EK10" s="87" t="str">
        <f>IFERROR(IF(OR($B10="",EK$3=""),"",_xll.ciqfunctions.udf.CIQ($B10,"IQ_TOTAL_CAPITAL_RATIO",EK$3,$E$3, $J$3, , $G$3, $H$3)/100),"")</f>
        <v/>
      </c>
      <c r="EL10" s="87" t="str">
        <f>IFERROR(IF(OR($B10="",EL$3=""),"",_xll.ciqfunctions.udf.CIQ($B10,"IQ_TOTAL_CAPITAL_RATIO",EL$3,$E$3, $J$3, , $G$3, $H$3)/100),"")</f>
        <v/>
      </c>
      <c r="EM10" s="87" t="str">
        <f>IFERROR(IF(OR($B10="",EM$3=""),"",_xll.ciqfunctions.udf.CIQ($B10,"IQ_TOTAL_CAPITAL_RATIO",EM$3,$E$3, $J$3, , $G$3, $H$3)/100),"")</f>
        <v/>
      </c>
      <c r="EN10" s="87" t="str">
        <f>IFERROR(IF(OR($B10="",EN$3=""),"",_xll.ciqfunctions.udf.CIQ($B10,"IQ_TOTAL_CAPITAL_RATIO",EN$3,$E$3, $J$3, , $G$3, $H$3)/100),"")</f>
        <v/>
      </c>
      <c r="EO10" s="87" t="str">
        <f>IFERROR(IF(OR($B10="",EO$3=""),"",_xll.ciqfunctions.udf.CIQ($B10,"IQ_TOTAL_CAPITAL_RATIO",EO$3,$E$3, $J$3, , $G$3, $H$3)/100),"")</f>
        <v/>
      </c>
      <c r="EP10" s="87" t="str">
        <f>IFERROR(IF(OR($B10="",EP$3=""),"",_xll.ciqfunctions.udf.CIQ($B10,"IQ_TOTAL_CAPITAL_RATIO",EP$3,$E$3, $J$3, , $G$3, $H$3)/100),"")</f>
        <v/>
      </c>
      <c r="EQ10" s="87" t="str">
        <f>IFERROR(IF(OR($B10="",EQ$3=""),"",_xll.ciqfunctions.udf.CIQ($B10,"IQ_TOTAL_CAPITAL_RATIO",EQ$3,$E$3, $J$3, , $G$3, $H$3)/100),"")</f>
        <v/>
      </c>
      <c r="ER10" s="87" t="str">
        <f>IFERROR(IF(OR($B10="",ER$3=""),"",_xll.ciqfunctions.udf.CIQ($B10,"IQ_TOTAL_CAPITAL_RATIO",ER$3,$E$3, $J$3, , $G$3, $H$3)/100),"")</f>
        <v/>
      </c>
      <c r="ES10" s="87" t="str">
        <f>IFERROR(IF(OR($B10="",ES$3=""),"",_xll.ciqfunctions.udf.CIQ($B10,"IQ_TOTAL_CAPITAL_RATIO",ES$3,$E$3, $J$3, , $G$3, $H$3)/100),"")</f>
        <v/>
      </c>
      <c r="ET10" s="88" t="str">
        <f>IFERROR(IF(OR($B10="",ET$3=""),"",_xll.ciqfunctions.udf.CIQ($B10,"IQ_TOTAL_CAPITAL_RATIO",ET$3,$E$3, $J$3, , $G$3, $H$3)/100),"")</f>
        <v/>
      </c>
      <c r="EU10" s="86" t="str">
        <f>IFERROR(IF(OR($B10="",EU$3=""),"",_xll.ciqfunctions.udf.CIQ($B10,"IQ_GROSS_LOANS",EU$3,$E$3, $J$3, , $G$3, $H$3)/_xll.ciqfunctions.udf.CIQ($B10,"IQ_TOTAL_ASSETS",EU$3,$E$3, $J$3, , $G$3, $H$3)),"")</f>
        <v/>
      </c>
      <c r="EV10" s="87" t="str">
        <f>IFERROR(IF(OR($B10="",EV$3=""),"",_xll.ciqfunctions.udf.CIQ($B10,"IQ_GROSS_LOANS",EV$3,$E$3, $J$3, , $G$3, $H$3)/_xll.ciqfunctions.udf.CIQ($B10,"IQ_TOTAL_ASSETS",EV$3,$E$3, $J$3, , $G$3, $H$3)),"")</f>
        <v/>
      </c>
      <c r="EW10" s="87" t="str">
        <f>IFERROR(IF(OR($B10="",EW$3=""),"",_xll.ciqfunctions.udf.CIQ($B10,"IQ_GROSS_LOANS",EW$3,$E$3, $J$3, , $G$3, $H$3)/_xll.ciqfunctions.udf.CIQ($B10,"IQ_TOTAL_ASSETS",EW$3,$E$3, $J$3, , $G$3, $H$3)),"")</f>
        <v/>
      </c>
      <c r="EX10" s="87" t="str">
        <f>IFERROR(IF(OR($B10="",EX$3=""),"",_xll.ciqfunctions.udf.CIQ($B10,"IQ_GROSS_LOANS",EX$3,$E$3, $J$3, , $G$3, $H$3)/_xll.ciqfunctions.udf.CIQ($B10,"IQ_TOTAL_ASSETS",EX$3,$E$3, $J$3, , $G$3, $H$3)),"")</f>
        <v/>
      </c>
      <c r="EY10" s="87" t="str">
        <f>IFERROR(IF(OR($B10="",EY$3=""),"",_xll.ciqfunctions.udf.CIQ($B10,"IQ_GROSS_LOANS",EY$3,$E$3, $J$3, , $G$3, $H$3)/_xll.ciqfunctions.udf.CIQ($B10,"IQ_TOTAL_ASSETS",EY$3,$E$3, $J$3, , $G$3, $H$3)),"")</f>
        <v/>
      </c>
      <c r="EZ10" s="87" t="str">
        <f>IFERROR(IF(OR($B10="",EZ$3=""),"",_xll.ciqfunctions.udf.CIQ($B10,"IQ_GROSS_LOANS",EZ$3,$E$3, $J$3, , $G$3, $H$3)/_xll.ciqfunctions.udf.CIQ($B10,"IQ_TOTAL_ASSETS",EZ$3,$E$3, $J$3, , $G$3, $H$3)),"")</f>
        <v/>
      </c>
      <c r="FA10" s="87" t="str">
        <f>IFERROR(IF(OR($B10="",FA$3=""),"",_xll.ciqfunctions.udf.CIQ($B10,"IQ_GROSS_LOANS",FA$3,$E$3, $J$3, , $G$3, $H$3)/_xll.ciqfunctions.udf.CIQ($B10,"IQ_TOTAL_ASSETS",FA$3,$E$3, $J$3, , $G$3, $H$3)),"")</f>
        <v/>
      </c>
      <c r="FB10" s="87" t="str">
        <f>IFERROR(IF(OR($B10="",FB$3=""),"",_xll.ciqfunctions.udf.CIQ($B10,"IQ_GROSS_LOANS",FB$3,$E$3, $J$3, , $G$3, $H$3)/_xll.ciqfunctions.udf.CIQ($B10,"IQ_TOTAL_ASSETS",FB$3,$E$3, $J$3, , $G$3, $H$3)),"")</f>
        <v/>
      </c>
      <c r="FC10" s="87" t="str">
        <f>IFERROR(IF(OR($B10="",FC$3=""),"",_xll.ciqfunctions.udf.CIQ($B10,"IQ_GROSS_LOANS",FC$3,$E$3, $J$3, , $G$3, $H$3)/_xll.ciqfunctions.udf.CIQ($B10,"IQ_TOTAL_ASSETS",FC$3,$E$3, $J$3, , $G$3, $H$3)),"")</f>
        <v/>
      </c>
      <c r="FD10" s="87" t="str">
        <f>IFERROR(IF(OR($B10="",FD$3=""),"",_xll.ciqfunctions.udf.CIQ($B10,"IQ_GROSS_LOANS",FD$3,$E$3, $J$3, , $G$3, $H$3)/_xll.ciqfunctions.udf.CIQ($B10,"IQ_TOTAL_ASSETS",FD$3,$E$3, $J$3, , $G$3, $H$3)),"")</f>
        <v/>
      </c>
      <c r="FE10" s="87" t="str">
        <f>IFERROR(IF(OR($B10="",FE$3=""),"",_xll.ciqfunctions.udf.CIQ($B10,"IQ_GROSS_LOANS",FE$3,$E$3, $J$3, , $G$3, $H$3)/_xll.ciqfunctions.udf.CIQ($B10,"IQ_TOTAL_ASSETS",FE$3,$E$3, $J$3, , $G$3, $H$3)),"")</f>
        <v/>
      </c>
      <c r="FF10" s="87" t="str">
        <f>IFERROR(IF(OR($B10="",FF$3=""),"",_xll.ciqfunctions.udf.CIQ($B10,"IQ_GROSS_LOANS",FF$3,$E$3, $J$3, , $G$3, $H$3)/_xll.ciqfunctions.udf.CIQ($B10,"IQ_TOTAL_ASSETS",FF$3,$E$3, $J$3, , $G$3, $H$3)),"")</f>
        <v/>
      </c>
      <c r="FG10" s="87" t="str">
        <f>IFERROR(IF(OR($B10="",FG$3=""),"",_xll.ciqfunctions.udf.CIQ($B10,"IQ_GROSS_LOANS",FG$3,$E$3, $J$3, , $G$3, $H$3)/_xll.ciqfunctions.udf.CIQ($B10,"IQ_TOTAL_ASSETS",FG$3,$E$3, $J$3, , $G$3, $H$3)),"")</f>
        <v/>
      </c>
      <c r="FH10" s="87" t="str">
        <f>IFERROR(IF(OR($B10="",FH$3=""),"",_xll.ciqfunctions.udf.CIQ($B10,"IQ_GROSS_LOANS",FH$3,$E$3, $J$3, , $G$3, $H$3)/_xll.ciqfunctions.udf.CIQ($B10,"IQ_TOTAL_ASSETS",FH$3,$E$3, $J$3, , $G$3, $H$3)),"")</f>
        <v/>
      </c>
      <c r="FI10" s="87" t="str">
        <f>IFERROR(IF(OR($B10="",FI$3=""),"",_xll.ciqfunctions.udf.CIQ($B10,"IQ_GROSS_LOANS",FI$3,$E$3, $J$3, , $G$3, $H$3)/_xll.ciqfunctions.udf.CIQ($B10,"IQ_TOTAL_ASSETS",FI$3,$E$3, $J$3, , $G$3, $H$3)),"")</f>
        <v/>
      </c>
      <c r="FJ10" s="87" t="str">
        <f>IFERROR(IF(OR($B10="",FJ$3=""),"",_xll.ciqfunctions.udf.CIQ($B10,"IQ_GROSS_LOANS",FJ$3,$E$3, $J$3, , $G$3, $H$3)/_xll.ciqfunctions.udf.CIQ($B10,"IQ_TOTAL_ASSETS",FJ$3,$E$3, $J$3, , $G$3, $H$3)),"")</f>
        <v/>
      </c>
      <c r="FK10" s="87" t="str">
        <f>IFERROR(IF(OR($B10="",FK$3=""),"",_xll.ciqfunctions.udf.CIQ($B10,"IQ_GROSS_LOANS",FK$3,$E$3, $J$3, , $G$3, $H$3)/_xll.ciqfunctions.udf.CIQ($B10,"IQ_TOTAL_ASSETS",FK$3,$E$3, $J$3, , $G$3, $H$3)),"")</f>
        <v/>
      </c>
      <c r="FL10" s="87" t="str">
        <f>IFERROR(IF(OR($B10="",FL$3=""),"",_xll.ciqfunctions.udf.CIQ($B10,"IQ_GROSS_LOANS",FL$3,$E$3, $J$3, , $G$3, $H$3)/_xll.ciqfunctions.udf.CIQ($B10,"IQ_TOTAL_ASSETS",FL$3,$E$3, $J$3, , $G$3, $H$3)),"")</f>
        <v/>
      </c>
      <c r="FM10" s="87" t="str">
        <f>IFERROR(IF(OR($B10="",FM$3=""),"",_xll.ciqfunctions.udf.CIQ($B10,"IQ_GROSS_LOANS",FM$3,$E$3, $J$3, , $G$3, $H$3)/_xll.ciqfunctions.udf.CIQ($B10,"IQ_TOTAL_ASSETS",FM$3,$E$3, $J$3, , $G$3, $H$3)),"")</f>
        <v/>
      </c>
      <c r="FN10" s="88" t="str">
        <f>IFERROR(IF(OR($B10="",FN$3=""),"",_xll.ciqfunctions.udf.CIQ($B10,"IQ_GROSS_LOANS",FN$3,$E$3, $J$3, , $G$3, $H$3)/_xll.ciqfunctions.udf.CIQ($B10,"IQ_TOTAL_ASSETS",FN$3,$E$3, $J$3, , $G$3, $H$3)),"")</f>
        <v/>
      </c>
      <c r="FO10" s="86" t="str">
        <f>IFERROR(IF(OR($B10="",FO$3=""),"",_xll.ciqfunctions.udf.CIQ($B10,"IQ_NON_PERFORMING_LOANS",FO$3,$E$3, $J$3, , $G$3, $H$3)/_xll.ciqfunctions.udf.CIQ($B10,"IQ_TOTAL_LOANS",FO$3,$E$3, $J$3, , $G$3, $H$3)),"")</f>
        <v/>
      </c>
      <c r="FP10" s="87" t="str">
        <f>IFERROR(IF(OR($B10="",FP$3=""),"",_xll.ciqfunctions.udf.CIQ($B10,"IQ_NON_PERFORMING_LOANS",FP$3,$E$3, $J$3, , $G$3, $H$3)/_xll.ciqfunctions.udf.CIQ($B10,"IQ_TOTAL_LOANS",FP$3,$E$3, $J$3, , $G$3, $H$3)),"")</f>
        <v/>
      </c>
      <c r="FQ10" s="87" t="str">
        <f>IFERROR(IF(OR($B10="",FQ$3=""),"",_xll.ciqfunctions.udf.CIQ($B10,"IQ_NON_PERFORMING_LOANS",FQ$3,$E$3, $J$3, , $G$3, $H$3)/_xll.ciqfunctions.udf.CIQ($B10,"IQ_TOTAL_LOANS",FQ$3,$E$3, $J$3, , $G$3, $H$3)),"")</f>
        <v/>
      </c>
      <c r="FR10" s="87" t="str">
        <f>IFERROR(IF(OR($B10="",FR$3=""),"",_xll.ciqfunctions.udf.CIQ($B10,"IQ_NON_PERFORMING_LOANS",FR$3,$E$3, $J$3, , $G$3, $H$3)/_xll.ciqfunctions.udf.CIQ($B10,"IQ_TOTAL_LOANS",FR$3,$E$3, $J$3, , $G$3, $H$3)),"")</f>
        <v/>
      </c>
      <c r="FS10" s="87" t="str">
        <f>IFERROR(IF(OR($B10="",FS$3=""),"",_xll.ciqfunctions.udf.CIQ($B10,"IQ_NON_PERFORMING_LOANS",FS$3,$E$3, $J$3, , $G$3, $H$3)/_xll.ciqfunctions.udf.CIQ($B10,"IQ_TOTAL_LOANS",FS$3,$E$3, $J$3, , $G$3, $H$3)),"")</f>
        <v/>
      </c>
      <c r="FT10" s="87" t="str">
        <f>IFERROR(IF(OR($B10="",FT$3=""),"",_xll.ciqfunctions.udf.CIQ($B10,"IQ_NON_PERFORMING_LOANS",FT$3,$E$3, $J$3, , $G$3, $H$3)/_xll.ciqfunctions.udf.CIQ($B10,"IQ_TOTAL_LOANS",FT$3,$E$3, $J$3, , $G$3, $H$3)),"")</f>
        <v/>
      </c>
      <c r="FU10" s="87" t="str">
        <f>IFERROR(IF(OR($B10="",FU$3=""),"",_xll.ciqfunctions.udf.CIQ($B10,"IQ_NON_PERFORMING_LOANS",FU$3,$E$3, $J$3, , $G$3, $H$3)/_xll.ciqfunctions.udf.CIQ($B10,"IQ_TOTAL_LOANS",FU$3,$E$3, $J$3, , $G$3, $H$3)),"")</f>
        <v/>
      </c>
      <c r="FV10" s="87" t="str">
        <f>IFERROR(IF(OR($B10="",FV$3=""),"",_xll.ciqfunctions.udf.CIQ($B10,"IQ_NON_PERFORMING_LOANS",FV$3,$E$3, $J$3, , $G$3, $H$3)/_xll.ciqfunctions.udf.CIQ($B10,"IQ_TOTAL_LOANS",FV$3,$E$3, $J$3, , $G$3, $H$3)),"")</f>
        <v/>
      </c>
      <c r="FW10" s="87" t="str">
        <f>IFERROR(IF(OR($B10="",FW$3=""),"",_xll.ciqfunctions.udf.CIQ($B10,"IQ_NON_PERFORMING_LOANS",FW$3,$E$3, $J$3, , $G$3, $H$3)/_xll.ciqfunctions.udf.CIQ($B10,"IQ_TOTAL_LOANS",FW$3,$E$3, $J$3, , $G$3, $H$3)),"")</f>
        <v/>
      </c>
      <c r="FX10" s="87" t="str">
        <f>IFERROR(IF(OR($B10="",FX$3=""),"",_xll.ciqfunctions.udf.CIQ($B10,"IQ_NON_PERFORMING_LOANS",FX$3,$E$3, $J$3, , $G$3, $H$3)/_xll.ciqfunctions.udf.CIQ($B10,"IQ_TOTAL_LOANS",FX$3,$E$3, $J$3, , $G$3, $H$3)),"")</f>
        <v/>
      </c>
      <c r="FY10" s="87" t="str">
        <f>IFERROR(IF(OR($B10="",FY$3=""),"",_xll.ciqfunctions.udf.CIQ($B10,"IQ_NON_PERFORMING_LOANS",FY$3,$E$3, $J$3, , $G$3, $H$3)/_xll.ciqfunctions.udf.CIQ($B10,"IQ_TOTAL_LOANS",FY$3,$E$3, $J$3, , $G$3, $H$3)),"")</f>
        <v/>
      </c>
      <c r="FZ10" s="87" t="str">
        <f>IFERROR(IF(OR($B10="",FZ$3=""),"",_xll.ciqfunctions.udf.CIQ($B10,"IQ_NON_PERFORMING_LOANS",FZ$3,$E$3, $J$3, , $G$3, $H$3)/_xll.ciqfunctions.udf.CIQ($B10,"IQ_TOTAL_LOANS",FZ$3,$E$3, $J$3, , $G$3, $H$3)),"")</f>
        <v/>
      </c>
      <c r="GA10" s="87" t="str">
        <f>IFERROR(IF(OR($B10="",GA$3=""),"",_xll.ciqfunctions.udf.CIQ($B10,"IQ_NON_PERFORMING_LOANS",GA$3,$E$3, $J$3, , $G$3, $H$3)/_xll.ciqfunctions.udf.CIQ($B10,"IQ_TOTAL_LOANS",GA$3,$E$3, $J$3, , $G$3, $H$3)),"")</f>
        <v/>
      </c>
      <c r="GB10" s="87" t="str">
        <f>IFERROR(IF(OR($B10="",GB$3=""),"",_xll.ciqfunctions.udf.CIQ($B10,"IQ_NON_PERFORMING_LOANS",GB$3,$E$3, $J$3, , $G$3, $H$3)/_xll.ciqfunctions.udf.CIQ($B10,"IQ_TOTAL_LOANS",GB$3,$E$3, $J$3, , $G$3, $H$3)),"")</f>
        <v/>
      </c>
      <c r="GC10" s="87" t="str">
        <f>IFERROR(IF(OR($B10="",GC$3=""),"",_xll.ciqfunctions.udf.CIQ($B10,"IQ_NON_PERFORMING_LOANS",GC$3,$E$3, $J$3, , $G$3, $H$3)/_xll.ciqfunctions.udf.CIQ($B10,"IQ_TOTAL_LOANS",GC$3,$E$3, $J$3, , $G$3, $H$3)),"")</f>
        <v/>
      </c>
      <c r="GD10" s="87" t="str">
        <f>IFERROR(IF(OR($B10="",GD$3=""),"",_xll.ciqfunctions.udf.CIQ($B10,"IQ_NON_PERFORMING_LOANS",GD$3,$E$3, $J$3, , $G$3, $H$3)/_xll.ciqfunctions.udf.CIQ($B10,"IQ_TOTAL_LOANS",GD$3,$E$3, $J$3, , $G$3, $H$3)),"")</f>
        <v/>
      </c>
      <c r="GE10" s="87" t="str">
        <f>IFERROR(IF(OR($B10="",GE$3=""),"",_xll.ciqfunctions.udf.CIQ($B10,"IQ_NON_PERFORMING_LOANS",GE$3,$E$3, $J$3, , $G$3, $H$3)/_xll.ciqfunctions.udf.CIQ($B10,"IQ_TOTAL_LOANS",GE$3,$E$3, $J$3, , $G$3, $H$3)),"")</f>
        <v/>
      </c>
      <c r="GF10" s="87" t="str">
        <f>IFERROR(IF(OR($B10="",GF$3=""),"",_xll.ciqfunctions.udf.CIQ($B10,"IQ_NON_PERFORMING_LOANS",GF$3,$E$3, $J$3, , $G$3, $H$3)/_xll.ciqfunctions.udf.CIQ($B10,"IQ_TOTAL_LOANS",GF$3,$E$3, $J$3, , $G$3, $H$3)),"")</f>
        <v/>
      </c>
      <c r="GG10" s="87" t="str">
        <f>IFERROR(IF(OR($B10="",GG$3=""),"",_xll.ciqfunctions.udf.CIQ($B10,"IQ_NON_PERFORMING_LOANS",GG$3,$E$3, $J$3, , $G$3, $H$3)/_xll.ciqfunctions.udf.CIQ($B10,"IQ_TOTAL_LOANS",GG$3,$E$3, $J$3, , $G$3, $H$3)),"")</f>
        <v/>
      </c>
      <c r="GH10" s="88" t="str">
        <f>IFERROR(IF(OR($B10="",GH$3=""),"",_xll.ciqfunctions.udf.CIQ($B10,"IQ_NON_PERFORMING_LOANS",GH$3,$E$3, $J$3, , $G$3, $H$3)/_xll.ciqfunctions.udf.CIQ($B10,"IQ_TOTAL_LOANS",GH$3,$E$3, $J$3, , $G$3, $H$3)),"")</f>
        <v/>
      </c>
      <c r="GI10" s="86" t="str">
        <f>IFERROR(IF(OR($B10="",GI$3=""),"",_xll.ciqfunctions.udf.CIQ($B10,"IQ_NON_PERFORMING_ASSETS",GI$3,$E$3, $J$3, , $G$3, $H$3)/_xll.ciqfunctions.udf.CIQ($B10,"IQ_TOTAL_ASSETS",GI$3,$E$3, $J$3, , $G$3, $H$3)),"")</f>
        <v/>
      </c>
      <c r="GJ10" s="87" t="str">
        <f>IFERROR(IF(OR($B10="",GJ$3=""),"",_xll.ciqfunctions.udf.CIQ($B10,"IQ_NON_PERFORMING_ASSETS",GJ$3,$E$3, $J$3, , $G$3, $H$3)/_xll.ciqfunctions.udf.CIQ($B10,"IQ_TOTAL_ASSETS",GJ$3,$E$3, $J$3, , $G$3, $H$3)),"")</f>
        <v/>
      </c>
      <c r="GK10" s="87" t="str">
        <f>IFERROR(IF(OR($B10="",GK$3=""),"",_xll.ciqfunctions.udf.CIQ($B10,"IQ_NON_PERFORMING_ASSETS",GK$3,$E$3, $J$3, , $G$3, $H$3)/_xll.ciqfunctions.udf.CIQ($B10,"IQ_TOTAL_ASSETS",GK$3,$E$3, $J$3, , $G$3, $H$3)),"")</f>
        <v/>
      </c>
      <c r="GL10" s="87" t="str">
        <f>IFERROR(IF(OR($B10="",GL$3=""),"",_xll.ciqfunctions.udf.CIQ($B10,"IQ_NON_PERFORMING_ASSETS",GL$3,$E$3, $J$3, , $G$3, $H$3)/_xll.ciqfunctions.udf.CIQ($B10,"IQ_TOTAL_ASSETS",GL$3,$E$3, $J$3, , $G$3, $H$3)),"")</f>
        <v/>
      </c>
      <c r="GM10" s="87" t="str">
        <f>IFERROR(IF(OR($B10="",GM$3=""),"",_xll.ciqfunctions.udf.CIQ($B10,"IQ_NON_PERFORMING_ASSETS",GM$3,$E$3, $J$3, , $G$3, $H$3)/_xll.ciqfunctions.udf.CIQ($B10,"IQ_TOTAL_ASSETS",GM$3,$E$3, $J$3, , $G$3, $H$3)),"")</f>
        <v/>
      </c>
      <c r="GN10" s="87" t="str">
        <f>IFERROR(IF(OR($B10="",GN$3=""),"",_xll.ciqfunctions.udf.CIQ($B10,"IQ_NON_PERFORMING_ASSETS",GN$3,$E$3, $J$3, , $G$3, $H$3)/_xll.ciqfunctions.udf.CIQ($B10,"IQ_TOTAL_ASSETS",GN$3,$E$3, $J$3, , $G$3, $H$3)),"")</f>
        <v/>
      </c>
      <c r="GO10" s="87" t="str">
        <f>IFERROR(IF(OR($B10="",GO$3=""),"",_xll.ciqfunctions.udf.CIQ($B10,"IQ_NON_PERFORMING_ASSETS",GO$3,$E$3, $J$3, , $G$3, $H$3)/_xll.ciqfunctions.udf.CIQ($B10,"IQ_TOTAL_ASSETS",GO$3,$E$3, $J$3, , $G$3, $H$3)),"")</f>
        <v/>
      </c>
      <c r="GP10" s="87" t="str">
        <f>IFERROR(IF(OR($B10="",GP$3=""),"",_xll.ciqfunctions.udf.CIQ($B10,"IQ_NON_PERFORMING_ASSETS",GP$3,$E$3, $J$3, , $G$3, $H$3)/_xll.ciqfunctions.udf.CIQ($B10,"IQ_TOTAL_ASSETS",GP$3,$E$3, $J$3, , $G$3, $H$3)),"")</f>
        <v/>
      </c>
      <c r="GQ10" s="87" t="str">
        <f>IFERROR(IF(OR($B10="",GQ$3=""),"",_xll.ciqfunctions.udf.CIQ($B10,"IQ_NON_PERFORMING_ASSETS",GQ$3,$E$3, $J$3, , $G$3, $H$3)/_xll.ciqfunctions.udf.CIQ($B10,"IQ_TOTAL_ASSETS",GQ$3,$E$3, $J$3, , $G$3, $H$3)),"")</f>
        <v/>
      </c>
      <c r="GR10" s="87" t="str">
        <f>IFERROR(IF(OR($B10="",GR$3=""),"",_xll.ciqfunctions.udf.CIQ($B10,"IQ_NON_PERFORMING_ASSETS",GR$3,$E$3, $J$3, , $G$3, $H$3)/_xll.ciqfunctions.udf.CIQ($B10,"IQ_TOTAL_ASSETS",GR$3,$E$3, $J$3, , $G$3, $H$3)),"")</f>
        <v/>
      </c>
      <c r="GS10" s="87" t="str">
        <f>IFERROR(IF(OR($B10="",GS$3=""),"",_xll.ciqfunctions.udf.CIQ($B10,"IQ_NON_PERFORMING_ASSETS",GS$3,$E$3, $J$3, , $G$3, $H$3)/_xll.ciqfunctions.udf.CIQ($B10,"IQ_TOTAL_ASSETS",GS$3,$E$3, $J$3, , $G$3, $H$3)),"")</f>
        <v/>
      </c>
      <c r="GT10" s="87" t="str">
        <f>IFERROR(IF(OR($B10="",GT$3=""),"",_xll.ciqfunctions.udf.CIQ($B10,"IQ_NON_PERFORMING_ASSETS",GT$3,$E$3, $J$3, , $G$3, $H$3)/_xll.ciqfunctions.udf.CIQ($B10,"IQ_TOTAL_ASSETS",GT$3,$E$3, $J$3, , $G$3, $H$3)),"")</f>
        <v/>
      </c>
      <c r="GU10" s="87" t="str">
        <f>IFERROR(IF(OR($B10="",GU$3=""),"",_xll.ciqfunctions.udf.CIQ($B10,"IQ_NON_PERFORMING_ASSETS",GU$3,$E$3, $J$3, , $G$3, $H$3)/_xll.ciqfunctions.udf.CIQ($B10,"IQ_TOTAL_ASSETS",GU$3,$E$3, $J$3, , $G$3, $H$3)),"")</f>
        <v/>
      </c>
      <c r="GV10" s="87" t="str">
        <f>IFERROR(IF(OR($B10="",GV$3=""),"",_xll.ciqfunctions.udf.CIQ($B10,"IQ_NON_PERFORMING_ASSETS",GV$3,$E$3, $J$3, , $G$3, $H$3)/_xll.ciqfunctions.udf.CIQ($B10,"IQ_TOTAL_ASSETS",GV$3,$E$3, $J$3, , $G$3, $H$3)),"")</f>
        <v/>
      </c>
      <c r="GW10" s="87" t="str">
        <f>IFERROR(IF(OR($B10="",GW$3=""),"",_xll.ciqfunctions.udf.CIQ($B10,"IQ_NON_PERFORMING_ASSETS",GW$3,$E$3, $J$3, , $G$3, $H$3)/_xll.ciqfunctions.udf.CIQ($B10,"IQ_TOTAL_ASSETS",GW$3,$E$3, $J$3, , $G$3, $H$3)),"")</f>
        <v/>
      </c>
      <c r="GX10" s="87" t="str">
        <f>IFERROR(IF(OR($B10="",GX$3=""),"",_xll.ciqfunctions.udf.CIQ($B10,"IQ_NON_PERFORMING_ASSETS",GX$3,$E$3, $J$3, , $G$3, $H$3)/_xll.ciqfunctions.udf.CIQ($B10,"IQ_TOTAL_ASSETS",GX$3,$E$3, $J$3, , $G$3, $H$3)),"")</f>
        <v/>
      </c>
      <c r="GY10" s="87" t="str">
        <f>IFERROR(IF(OR($B10="",GY$3=""),"",_xll.ciqfunctions.udf.CIQ($B10,"IQ_NON_PERFORMING_ASSETS",GY$3,$E$3, $J$3, , $G$3, $H$3)/_xll.ciqfunctions.udf.CIQ($B10,"IQ_TOTAL_ASSETS",GY$3,$E$3, $J$3, , $G$3, $H$3)),"")</f>
        <v/>
      </c>
      <c r="GZ10" s="87" t="str">
        <f>IFERROR(IF(OR($B10="",GZ$3=""),"",_xll.ciqfunctions.udf.CIQ($B10,"IQ_NON_PERFORMING_ASSETS",GZ$3,$E$3, $J$3, , $G$3, $H$3)/_xll.ciqfunctions.udf.CIQ($B10,"IQ_TOTAL_ASSETS",GZ$3,$E$3, $J$3, , $G$3, $H$3)),"")</f>
        <v/>
      </c>
      <c r="HA10" s="87" t="str">
        <f>IFERROR(IF(OR($B10="",HA$3=""),"",_xll.ciqfunctions.udf.CIQ($B10,"IQ_NON_PERFORMING_ASSETS",HA$3,$E$3, $J$3, , $G$3, $H$3)/_xll.ciqfunctions.udf.CIQ($B10,"IQ_TOTAL_ASSETS",HA$3,$E$3, $J$3, , $G$3, $H$3)),"")</f>
        <v/>
      </c>
      <c r="HB10" s="88" t="str">
        <f>IFERROR(IF(OR($B10="",HB$3=""),"",_xll.ciqfunctions.udf.CIQ($B10,"IQ_NON_PERFORMING_ASSETS",HB$3,$E$3, $J$3, , $G$3, $H$3)/_xll.ciqfunctions.udf.CIQ($B10,"IQ_TOTAL_ASSETS",HB$3,$E$3, $J$3, , $G$3, $H$3)),"")</f>
        <v/>
      </c>
      <c r="HC10" s="86" t="str">
        <f>IFERROR(IF(OR($B10="",HC$3=""),"",_xll.ciqfunctions.udf.CIQ($B10, "IQ_NI", $I$3, HC$3,$J$3, ,$G$3,$H$3)*2/(_xll.ciqfunctions.udf.CIQ($B10,"IQ_TOTAL_ASSETS",HC$3,$E$3, $J$3, , $G$3, $H$3)+_xll.ciqfunctions.udf.CIQ($B10,"IQ_TOTAL_ASSETS","IQ_" &amp; LEFT(HC$3,2) &amp; "-1",HC$3, $J$3, , $G$3, $H$3))),"")</f>
        <v/>
      </c>
      <c r="HD10" s="87" t="str">
        <f>IFERROR(IF(OR($B10="",HD$3=""),"",_xll.ciqfunctions.udf.CIQ($B10, "IQ_NI", $I$3, HD$3,$J$3, ,$G$3,$H$3)*2/(_xll.ciqfunctions.udf.CIQ($B10,"IQ_TOTAL_ASSETS",HD$3,$E$3, $J$3, , $G$3, $H$3)+_xll.ciqfunctions.udf.CIQ($B10,"IQ_TOTAL_ASSETS","IQ_" &amp; LEFT(HD$3,2) &amp; "-1",HD$3, $J$3, , $G$3, $H$3))),"")</f>
        <v/>
      </c>
      <c r="HE10" s="87" t="str">
        <f>IFERROR(IF(OR($B10="",HE$3=""),"",_xll.ciqfunctions.udf.CIQ($B10, "IQ_NI", $I$3, HE$3,$J$3, ,$G$3,$H$3)*2/(_xll.ciqfunctions.udf.CIQ($B10,"IQ_TOTAL_ASSETS",HE$3,$E$3, $J$3, , $G$3, $H$3)+_xll.ciqfunctions.udf.CIQ($B10,"IQ_TOTAL_ASSETS","IQ_" &amp; LEFT(HE$3,2) &amp; "-1",HE$3, $J$3, , $G$3, $H$3))),"")</f>
        <v/>
      </c>
      <c r="HF10" s="87" t="str">
        <f>IFERROR(IF(OR($B10="",HF$3=""),"",_xll.ciqfunctions.udf.CIQ($B10, "IQ_NI", $I$3, HF$3,$J$3, ,$G$3,$H$3)*2/(_xll.ciqfunctions.udf.CIQ($B10,"IQ_TOTAL_ASSETS",HF$3,$E$3, $J$3, , $G$3, $H$3)+_xll.ciqfunctions.udf.CIQ($B10,"IQ_TOTAL_ASSETS","IQ_" &amp; LEFT(HF$3,2) &amp; "-1",HF$3, $J$3, , $G$3, $H$3))),"")</f>
        <v/>
      </c>
      <c r="HG10" s="87" t="str">
        <f>IFERROR(IF(OR($B10="",HG$3=""),"",_xll.ciqfunctions.udf.CIQ($B10, "IQ_NI", $I$3, HG$3,$J$3, ,$G$3,$H$3)*2/(_xll.ciqfunctions.udf.CIQ($B10,"IQ_TOTAL_ASSETS",HG$3,$E$3, $J$3, , $G$3, $H$3)+_xll.ciqfunctions.udf.CIQ($B10,"IQ_TOTAL_ASSETS","IQ_" &amp; LEFT(HG$3,2) &amp; "-1",HG$3, $J$3, , $G$3, $H$3))),"")</f>
        <v/>
      </c>
      <c r="HH10" s="87" t="str">
        <f>IFERROR(IF(OR($B10="",HH$3=""),"",_xll.ciqfunctions.udf.CIQ($B10, "IQ_NI", $I$3, HH$3,$J$3, ,$G$3,$H$3)*2/(_xll.ciqfunctions.udf.CIQ($B10,"IQ_TOTAL_ASSETS",HH$3,$E$3, $J$3, , $G$3, $H$3)+_xll.ciqfunctions.udf.CIQ($B10,"IQ_TOTAL_ASSETS","IQ_" &amp; LEFT(HH$3,2) &amp; "-1",HH$3, $J$3, , $G$3, $H$3))),"")</f>
        <v/>
      </c>
      <c r="HI10" s="87" t="str">
        <f>IFERROR(IF(OR($B10="",HI$3=""),"",_xll.ciqfunctions.udf.CIQ($B10, "IQ_NI", $I$3, HI$3,$J$3, ,$G$3,$H$3)*2/(_xll.ciqfunctions.udf.CIQ($B10,"IQ_TOTAL_ASSETS",HI$3,$E$3, $J$3, , $G$3, $H$3)+_xll.ciqfunctions.udf.CIQ($B10,"IQ_TOTAL_ASSETS","IQ_" &amp; LEFT(HI$3,2) &amp; "-1",HI$3, $J$3, , $G$3, $H$3))),"")</f>
        <v/>
      </c>
      <c r="HJ10" s="87" t="str">
        <f>IFERROR(IF(OR($B10="",HJ$3=""),"",_xll.ciqfunctions.udf.CIQ($B10, "IQ_NI", $I$3, HJ$3,$J$3, ,$G$3,$H$3)*2/(_xll.ciqfunctions.udf.CIQ($B10,"IQ_TOTAL_ASSETS",HJ$3,$E$3, $J$3, , $G$3, $H$3)+_xll.ciqfunctions.udf.CIQ($B10,"IQ_TOTAL_ASSETS","IQ_" &amp; LEFT(HJ$3,2) &amp; "-1",HJ$3, $J$3, , $G$3, $H$3))),"")</f>
        <v/>
      </c>
      <c r="HK10" s="87" t="str">
        <f>IFERROR(IF(OR($B10="",HK$3=""),"",_xll.ciqfunctions.udf.CIQ($B10, "IQ_NI", $I$3, HK$3,$J$3, ,$G$3,$H$3)*2/(_xll.ciqfunctions.udf.CIQ($B10,"IQ_TOTAL_ASSETS",HK$3,$E$3, $J$3, , $G$3, $H$3)+_xll.ciqfunctions.udf.CIQ($B10,"IQ_TOTAL_ASSETS","IQ_" &amp; LEFT(HK$3,2) &amp; "-1",HK$3, $J$3, , $G$3, $H$3))),"")</f>
        <v/>
      </c>
      <c r="HL10" s="87" t="str">
        <f>IFERROR(IF(OR($B10="",HL$3=""),"",_xll.ciqfunctions.udf.CIQ($B10, "IQ_NI", $I$3, HL$3,$J$3, ,$G$3,$H$3)*2/(_xll.ciqfunctions.udf.CIQ($B10,"IQ_TOTAL_ASSETS",HL$3,$E$3, $J$3, , $G$3, $H$3)+_xll.ciqfunctions.udf.CIQ($B10,"IQ_TOTAL_ASSETS","IQ_" &amp; LEFT(HL$3,2) &amp; "-1",HL$3, $J$3, , $G$3, $H$3))),"")</f>
        <v/>
      </c>
      <c r="HM10" s="87" t="str">
        <f>IFERROR(IF(OR($B10="",HM$3=""),"",_xll.ciqfunctions.udf.CIQ($B10, "IQ_NI", $I$3, HM$3,$J$3, ,$G$3,$H$3)*2/(_xll.ciqfunctions.udf.CIQ($B10,"IQ_TOTAL_ASSETS",HM$3,$E$3, $J$3, , $G$3, $H$3)+_xll.ciqfunctions.udf.CIQ($B10,"IQ_TOTAL_ASSETS","IQ_" &amp; LEFT(HM$3,2) &amp; "-1",HM$3, $J$3, , $G$3, $H$3))),"")</f>
        <v/>
      </c>
      <c r="HN10" s="87" t="str">
        <f>IFERROR(IF(OR($B10="",HN$3=""),"",_xll.ciqfunctions.udf.CIQ($B10, "IQ_NI", $I$3, HN$3,$J$3, ,$G$3,$H$3)*2/(_xll.ciqfunctions.udf.CIQ($B10,"IQ_TOTAL_ASSETS",HN$3,$E$3, $J$3, , $G$3, $H$3)+_xll.ciqfunctions.udf.CIQ($B10,"IQ_TOTAL_ASSETS","IQ_" &amp; LEFT(HN$3,2) &amp; "-1",HN$3, $J$3, , $G$3, $H$3))),"")</f>
        <v/>
      </c>
      <c r="HO10" s="87" t="str">
        <f>IFERROR(IF(OR($B10="",HO$3=""),"",_xll.ciqfunctions.udf.CIQ($B10, "IQ_NI", $I$3, HO$3,$J$3, ,$G$3,$H$3)*2/(_xll.ciqfunctions.udf.CIQ($B10,"IQ_TOTAL_ASSETS",HO$3,$E$3, $J$3, , $G$3, $H$3)+_xll.ciqfunctions.udf.CIQ($B10,"IQ_TOTAL_ASSETS","IQ_" &amp; LEFT(HO$3,2) &amp; "-1",HO$3, $J$3, , $G$3, $H$3))),"")</f>
        <v/>
      </c>
      <c r="HP10" s="87" t="str">
        <f>IFERROR(IF(OR($B10="",HP$3=""),"",_xll.ciqfunctions.udf.CIQ($B10, "IQ_NI", $I$3, HP$3,$J$3, ,$G$3,$H$3)*2/(_xll.ciqfunctions.udf.CIQ($B10,"IQ_TOTAL_ASSETS",HP$3,$E$3, $J$3, , $G$3, $H$3)+_xll.ciqfunctions.udf.CIQ($B10,"IQ_TOTAL_ASSETS","IQ_" &amp; LEFT(HP$3,2) &amp; "-1",HP$3, $J$3, , $G$3, $H$3))),"")</f>
        <v/>
      </c>
      <c r="HQ10" s="87" t="str">
        <f>IFERROR(IF(OR($B10="",HQ$3=""),"",_xll.ciqfunctions.udf.CIQ($B10, "IQ_NI", $I$3, HQ$3,$J$3, ,$G$3,$H$3)*2/(_xll.ciqfunctions.udf.CIQ($B10,"IQ_TOTAL_ASSETS",HQ$3,$E$3, $J$3, , $G$3, $H$3)+_xll.ciqfunctions.udf.CIQ($B10,"IQ_TOTAL_ASSETS","IQ_" &amp; LEFT(HQ$3,2) &amp; "-1",HQ$3, $J$3, , $G$3, $H$3))),"")</f>
        <v/>
      </c>
      <c r="HR10" s="87" t="str">
        <f>IFERROR(IF(OR($B10="",HR$3=""),"",_xll.ciqfunctions.udf.CIQ($B10, "IQ_NI", $I$3, HR$3,$J$3, ,$G$3,$H$3)*2/(_xll.ciqfunctions.udf.CIQ($B10,"IQ_TOTAL_ASSETS",HR$3,$E$3, $J$3, , $G$3, $H$3)+_xll.ciqfunctions.udf.CIQ($B10,"IQ_TOTAL_ASSETS","IQ_" &amp; LEFT(HR$3,2) &amp; "-1",HR$3, $J$3, , $G$3, $H$3))),"")</f>
        <v/>
      </c>
      <c r="HS10" s="87" t="str">
        <f>IFERROR(IF(OR($B10="",HS$3=""),"",_xll.ciqfunctions.udf.CIQ($B10, "IQ_NI", $I$3, HS$3,$J$3, ,$G$3,$H$3)*2/(_xll.ciqfunctions.udf.CIQ($B10,"IQ_TOTAL_ASSETS",HS$3,$E$3, $J$3, , $G$3, $H$3)+_xll.ciqfunctions.udf.CIQ($B10,"IQ_TOTAL_ASSETS","IQ_" &amp; LEFT(HS$3,2) &amp; "-1",HS$3, $J$3, , $G$3, $H$3))),"")</f>
        <v/>
      </c>
      <c r="HT10" s="87" t="str">
        <f>IFERROR(IF(OR($B10="",HT$3=""),"",_xll.ciqfunctions.udf.CIQ($B10, "IQ_NI", $I$3, HT$3,$J$3, ,$G$3,$H$3)*2/(_xll.ciqfunctions.udf.CIQ($B10,"IQ_TOTAL_ASSETS",HT$3,$E$3, $J$3, , $G$3, $H$3)+_xll.ciqfunctions.udf.CIQ($B10,"IQ_TOTAL_ASSETS","IQ_" &amp; LEFT(HT$3,2) &amp; "-1",HT$3, $J$3, , $G$3, $H$3))),"")</f>
        <v/>
      </c>
      <c r="HU10" s="87" t="str">
        <f>IFERROR(IF(OR($B10="",HU$3=""),"",_xll.ciqfunctions.udf.CIQ($B10, "IQ_NI", $I$3, HU$3,$J$3, ,$G$3,$H$3)*2/(_xll.ciqfunctions.udf.CIQ($B10,"IQ_TOTAL_ASSETS",HU$3,$E$3, $J$3, , $G$3, $H$3)+_xll.ciqfunctions.udf.CIQ($B10,"IQ_TOTAL_ASSETS","IQ_" &amp; LEFT(HU$3,2) &amp; "-1",HU$3, $J$3, , $G$3, $H$3))),"")</f>
        <v/>
      </c>
      <c r="HV10" s="88" t="str">
        <f>IFERROR(IF(OR($B10="",HV$3=""),"",_xll.ciqfunctions.udf.CIQ($B10, "IQ_NI", $I$3, HV$3,$J$3, ,$G$3,$H$3)*2/(_xll.ciqfunctions.udf.CIQ($B10,"IQ_TOTAL_ASSETS",HV$3,$E$3, $J$3, , $G$3, $H$3)+_xll.ciqfunctions.udf.CIQ($B10,"IQ_TOTAL_ASSETS","IQ_" &amp; LEFT(HV$3,2) &amp; "-1",HV$3, $J$3, , $G$3, $H$3))),"")</f>
        <v/>
      </c>
      <c r="HW10" s="86" t="str">
        <f>IFERROR(IF(OR($B10="",HW$3=""),"",_xll.ciqfunctions.udf.CIQ($B10,"IQ_CASH_OPER",HW$3,$E$3, $J$3, , $G$3, $H$3)/_xll.ciqfunctions.udf.CIQ($B10,"IQ_TOTAL_REV",HW$3,$E$3, $J$3, , $G$3, $H$3)),0)</f>
        <v/>
      </c>
      <c r="HX10" s="87" t="str">
        <f>IFERROR(IF(OR($B10="",HX$3=""),"",_xll.ciqfunctions.udf.CIQ($B10,"IQ_CASH_OPER",HX$3,$E$3, $J$3, , $G$3, $H$3)/_xll.ciqfunctions.udf.CIQ($B10,"IQ_TOTAL_REV",HX$3,$E$3, $J$3, , $G$3, $H$3)),0)</f>
        <v/>
      </c>
      <c r="HY10" s="87" t="str">
        <f>IFERROR(IF(OR($B10="",HY$3=""),"",_xll.ciqfunctions.udf.CIQ($B10,"IQ_CASH_OPER",HY$3,$E$3, $J$3, , $G$3, $H$3)/_xll.ciqfunctions.udf.CIQ($B10,"IQ_TOTAL_REV",HY$3,$E$3, $J$3, , $G$3, $H$3)),0)</f>
        <v/>
      </c>
      <c r="HZ10" s="87" t="str">
        <f>IFERROR(IF(OR($B10="",HZ$3=""),"",_xll.ciqfunctions.udf.CIQ($B10,"IQ_CASH_OPER",HZ$3,$E$3, $J$3, , $G$3, $H$3)/_xll.ciqfunctions.udf.CIQ($B10,"IQ_TOTAL_REV",HZ$3,$E$3, $J$3, , $G$3, $H$3)),0)</f>
        <v/>
      </c>
      <c r="IA10" s="87" t="str">
        <f>IFERROR(IF(OR($B10="",IA$3=""),"",_xll.ciqfunctions.udf.CIQ($B10,"IQ_CASH_OPER",IA$3,$E$3, $J$3, , $G$3, $H$3)/_xll.ciqfunctions.udf.CIQ($B10,"IQ_TOTAL_REV",IA$3,$E$3, $J$3, , $G$3, $H$3)),0)</f>
        <v/>
      </c>
      <c r="IB10" s="87" t="str">
        <f>IFERROR(IF(OR($B10="",IB$3=""),"",_xll.ciqfunctions.udf.CIQ($B10,"IQ_CASH_OPER",IB$3,$E$3, $J$3, , $G$3, $H$3)/_xll.ciqfunctions.udf.CIQ($B10,"IQ_TOTAL_REV",IB$3,$E$3, $J$3, , $G$3, $H$3)),0)</f>
        <v/>
      </c>
      <c r="IC10" s="87" t="str">
        <f>IFERROR(IF(OR($B10="",IC$3=""),"",_xll.ciqfunctions.udf.CIQ($B10,"IQ_CASH_OPER",IC$3,$E$3, $J$3, , $G$3, $H$3)/_xll.ciqfunctions.udf.CIQ($B10,"IQ_TOTAL_REV",IC$3,$E$3, $J$3, , $G$3, $H$3)),0)</f>
        <v/>
      </c>
      <c r="ID10" s="87" t="str">
        <f>IFERROR(IF(OR($B10="",ID$3=""),"",_xll.ciqfunctions.udf.CIQ($B10,"IQ_CASH_OPER",ID$3,$E$3, $J$3, , $G$3, $H$3)/_xll.ciqfunctions.udf.CIQ($B10,"IQ_TOTAL_REV",ID$3,$E$3, $J$3, , $G$3, $H$3)),0)</f>
        <v/>
      </c>
      <c r="IE10" s="87" t="str">
        <f>IFERROR(IF(OR($B10="",IE$3=""),"",_xll.ciqfunctions.udf.CIQ($B10,"IQ_CASH_OPER",IE$3,$E$3, $J$3, , $G$3, $H$3)/_xll.ciqfunctions.udf.CIQ($B10,"IQ_TOTAL_REV",IE$3,$E$3, $J$3, , $G$3, $H$3)),0)</f>
        <v/>
      </c>
      <c r="IF10" s="87" t="str">
        <f>IFERROR(IF(OR($B10="",IF$3=""),"",_xll.ciqfunctions.udf.CIQ($B10,"IQ_CASH_OPER",IF$3,$E$3, $J$3, , $G$3, $H$3)/_xll.ciqfunctions.udf.CIQ($B10,"IQ_TOTAL_REV",IF$3,$E$3, $J$3, , $G$3, $H$3)),0)</f>
        <v/>
      </c>
      <c r="IG10" s="87" t="str">
        <f>IFERROR(IF(OR($B10="",IG$3=""),"",_xll.ciqfunctions.udf.CIQ($B10,"IQ_CASH_OPER",IG$3,$E$3, $J$3, , $G$3, $H$3)/_xll.ciqfunctions.udf.CIQ($B10,"IQ_TOTAL_REV",IG$3,$E$3, $J$3, , $G$3, $H$3)),0)</f>
        <v/>
      </c>
      <c r="IH10" s="87" t="str">
        <f>IFERROR(IF(OR($B10="",IH$3=""),"",_xll.ciqfunctions.udf.CIQ($B10,"IQ_CASH_OPER",IH$3,$E$3, $J$3, , $G$3, $H$3)/_xll.ciqfunctions.udf.CIQ($B10,"IQ_TOTAL_REV",IH$3,$E$3, $J$3, , $G$3, $H$3)),0)</f>
        <v/>
      </c>
      <c r="II10" s="87" t="str">
        <f>IFERROR(IF(OR($B10="",II$3=""),"",_xll.ciqfunctions.udf.CIQ($B10,"IQ_CASH_OPER",II$3,$E$3, $J$3, , $G$3, $H$3)/_xll.ciqfunctions.udf.CIQ($B10,"IQ_TOTAL_REV",II$3,$E$3, $J$3, , $G$3, $H$3)),0)</f>
        <v/>
      </c>
      <c r="IJ10" s="87" t="str">
        <f>IFERROR(IF(OR($B10="",IJ$3=""),"",_xll.ciqfunctions.udf.CIQ($B10,"IQ_CASH_OPER",IJ$3,$E$3, $J$3, , $G$3, $H$3)/_xll.ciqfunctions.udf.CIQ($B10,"IQ_TOTAL_REV",IJ$3,$E$3, $J$3, , $G$3, $H$3)),0)</f>
        <v/>
      </c>
      <c r="IK10" s="87" t="str">
        <f>IFERROR(IF(OR($B10="",IK$3=""),"",_xll.ciqfunctions.udf.CIQ($B10,"IQ_CASH_OPER",IK$3,$E$3, $J$3, , $G$3, $H$3)/_xll.ciqfunctions.udf.CIQ($B10,"IQ_TOTAL_REV",IK$3,$E$3, $J$3, , $G$3, $H$3)),0)</f>
        <v/>
      </c>
      <c r="IL10" s="87" t="str">
        <f>IFERROR(IF(OR($B10="",IL$3=""),"",_xll.ciqfunctions.udf.CIQ($B10,"IQ_CASH_OPER",IL$3,$E$3, $J$3, , $G$3, $H$3)/_xll.ciqfunctions.udf.CIQ($B10,"IQ_TOTAL_REV",IL$3,$E$3, $J$3, , $G$3, $H$3)),0)</f>
        <v/>
      </c>
      <c r="IM10" s="87" t="str">
        <f>IFERROR(IF(OR($B10="",IM$3=""),"",_xll.ciqfunctions.udf.CIQ($B10,"IQ_CASH_OPER",IM$3,$E$3, $J$3, , $G$3, $H$3)/_xll.ciqfunctions.udf.CIQ($B10,"IQ_TOTAL_REV",IM$3,$E$3, $J$3, , $G$3, $H$3)),0)</f>
        <v/>
      </c>
      <c r="IN10" s="87" t="str">
        <f>IFERROR(IF(OR($B10="",IN$3=""),"",_xll.ciqfunctions.udf.CIQ($B10,"IQ_CASH_OPER",IN$3,$E$3, $J$3, , $G$3, $H$3)/_xll.ciqfunctions.udf.CIQ($B10,"IQ_TOTAL_REV",IN$3,$E$3, $J$3, , $G$3, $H$3)),0)</f>
        <v/>
      </c>
      <c r="IO10" s="87" t="str">
        <f>IFERROR(IF(OR($B10="",IO$3=""),"",_xll.ciqfunctions.udf.CIQ($B10,"IQ_CASH_OPER",IO$3,$E$3, $J$3, , $G$3, $H$3)/_xll.ciqfunctions.udf.CIQ($B10,"IQ_TOTAL_REV",IO$3,$E$3, $J$3, , $G$3, $H$3)),0)</f>
        <v/>
      </c>
      <c r="IP10" s="88" t="str">
        <f>IFERROR(IF(OR($B10="",IP$3=""),"",_xll.ciqfunctions.udf.CIQ($B10,"IQ_CASH_OPER",IP$3,$E$3, $J$3, , $G$3, $H$3)/_xll.ciqfunctions.udf.CIQ($B10,"IQ_TOTAL_REV",IP$3,$E$3, $J$3, , $G$3, $H$3)),0)</f>
        <v/>
      </c>
      <c r="IQ10" s="348" t="str">
        <f>IFERROR(IF(OR(IQ$3="",$B10=""),"",_xll.ciqfunctions.udf.CIQ($B10,"IQ_TOTAL_ASSETS",IQ$3,$E$3, $J$3, , $G$3, $H$3)/_xll.ciqfunctions.udf.CIQ($B10,"IQ_TOTAL_COMMON_EQUITY",IQ$3,$E$3, $J$3, , $G$3, $H$3)),0)</f>
        <v/>
      </c>
      <c r="IR10" s="349" t="str">
        <f>IFERROR(IF(OR(IR$3="",$B10=""),"",_xll.ciqfunctions.udf.CIQ($B10,"IQ_TOTAL_ASSETS",IR$3,$E$3, $J$3, , $G$3, $H$3)/_xll.ciqfunctions.udf.CIQ($B10,"IQ_TOTAL_COMMON_EQUITY",IR$3,$E$3, $J$3, , $G$3, $H$3)),0)</f>
        <v/>
      </c>
      <c r="IS10" s="349" t="str">
        <f>IFERROR(IF(OR(IS$3="",$B10=""),"",_xll.ciqfunctions.udf.CIQ($B10,"IQ_TOTAL_ASSETS",IS$3,$E$3, $J$3, , $G$3, $H$3)/_xll.ciqfunctions.udf.CIQ($B10,"IQ_TOTAL_COMMON_EQUITY",IS$3,$E$3, $J$3, , $G$3, $H$3)),0)</f>
        <v/>
      </c>
      <c r="IT10" s="349" t="str">
        <f>IFERROR(IF(OR(IT$3="",$B10=""),"",_xll.ciqfunctions.udf.CIQ($B10,"IQ_TOTAL_ASSETS",IT$3,$E$3, $J$3, , $G$3, $H$3)/_xll.ciqfunctions.udf.CIQ($B10,"IQ_TOTAL_COMMON_EQUITY",IT$3,$E$3, $J$3, , $G$3, $H$3)),0)</f>
        <v/>
      </c>
      <c r="IU10" s="349" t="str">
        <f>IFERROR(IF(OR(IU$3="",$B10=""),"",_xll.ciqfunctions.udf.CIQ($B10,"IQ_TOTAL_ASSETS",IU$3,$E$3, $J$3, , $G$3, $H$3)/_xll.ciqfunctions.udf.CIQ($B10,"IQ_TOTAL_COMMON_EQUITY",IU$3,$E$3, $J$3, , $G$3, $H$3)),0)</f>
        <v/>
      </c>
      <c r="IV10" s="349" t="str">
        <f>IFERROR(IF(OR(IV$3="",$B10=""),"",_xll.ciqfunctions.udf.CIQ($B10,"IQ_TOTAL_ASSETS",IV$3,$E$3, $J$3, , $G$3, $H$3)/_xll.ciqfunctions.udf.CIQ($B10,"IQ_TOTAL_COMMON_EQUITY",IV$3,$E$3, $J$3, , $G$3, $H$3)),0)</f>
        <v/>
      </c>
      <c r="IW10" s="349" t="str">
        <f>IFERROR(IF(OR(IW$3="",$B10=""),"",_xll.ciqfunctions.udf.CIQ($B10,"IQ_TOTAL_ASSETS",IW$3,$E$3, $J$3, , $G$3, $H$3)/_xll.ciqfunctions.udf.CIQ($B10,"IQ_TOTAL_COMMON_EQUITY",IW$3,$E$3, $J$3, , $G$3, $H$3)),0)</f>
        <v/>
      </c>
      <c r="IX10" s="349" t="str">
        <f>IFERROR(IF(OR(IX$3="",$B10=""),"",_xll.ciqfunctions.udf.CIQ($B10,"IQ_TOTAL_ASSETS",IX$3,$E$3, $J$3, , $G$3, $H$3)/_xll.ciqfunctions.udf.CIQ($B10,"IQ_TOTAL_COMMON_EQUITY",IX$3,$E$3, $J$3, , $G$3, $H$3)),0)</f>
        <v/>
      </c>
      <c r="IY10" s="349" t="str">
        <f>IFERROR(IF(OR(IY$3="",$B10=""),"",_xll.ciqfunctions.udf.CIQ($B10,"IQ_TOTAL_ASSETS",IY$3,$E$3, $J$3, , $G$3, $H$3)/_xll.ciqfunctions.udf.CIQ($B10,"IQ_TOTAL_COMMON_EQUITY",IY$3,$E$3, $J$3, , $G$3, $H$3)),0)</f>
        <v/>
      </c>
      <c r="IZ10" s="349" t="str">
        <f>IFERROR(IF(OR(IZ$3="",$B10=""),"",_xll.ciqfunctions.udf.CIQ($B10,"IQ_TOTAL_ASSETS",IZ$3,$E$3, $J$3, , $G$3, $H$3)/_xll.ciqfunctions.udf.CIQ($B10,"IQ_TOTAL_COMMON_EQUITY",IZ$3,$E$3, $J$3, , $G$3, $H$3)),0)</f>
        <v/>
      </c>
      <c r="JA10" s="349" t="str">
        <f>IFERROR(IF(OR(JA$3="",$B10=""),"",_xll.ciqfunctions.udf.CIQ($B10,"IQ_TOTAL_ASSETS",JA$3,$E$3, $J$3, , $G$3, $H$3)/_xll.ciqfunctions.udf.CIQ($B10,"IQ_TOTAL_COMMON_EQUITY",JA$3,$E$3, $J$3, , $G$3, $H$3)),0)</f>
        <v/>
      </c>
      <c r="JB10" s="349" t="str">
        <f>IFERROR(IF(OR(JB$3="",$B10=""),"",_xll.ciqfunctions.udf.CIQ($B10,"IQ_TOTAL_ASSETS",JB$3,$E$3, $J$3, , $G$3, $H$3)/_xll.ciqfunctions.udf.CIQ($B10,"IQ_TOTAL_COMMON_EQUITY",JB$3,$E$3, $J$3, , $G$3, $H$3)),0)</f>
        <v/>
      </c>
      <c r="JC10" s="349" t="str">
        <f>IFERROR(IF(OR(JC$3="",$B10=""),"",_xll.ciqfunctions.udf.CIQ($B10,"IQ_TOTAL_ASSETS",JC$3,$E$3, $J$3, , $G$3, $H$3)/_xll.ciqfunctions.udf.CIQ($B10,"IQ_TOTAL_COMMON_EQUITY",JC$3,$E$3, $J$3, , $G$3, $H$3)),0)</f>
        <v/>
      </c>
      <c r="JD10" s="349" t="str">
        <f>IFERROR(IF(OR(JD$3="",$B10=""),"",_xll.ciqfunctions.udf.CIQ($B10,"IQ_TOTAL_ASSETS",JD$3,$E$3, $J$3, , $G$3, $H$3)/_xll.ciqfunctions.udf.CIQ($B10,"IQ_TOTAL_COMMON_EQUITY",JD$3,$E$3, $J$3, , $G$3, $H$3)),0)</f>
        <v/>
      </c>
      <c r="JE10" s="349" t="str">
        <f>IFERROR(IF(OR(JE$3="",$B10=""),"",_xll.ciqfunctions.udf.CIQ($B10,"IQ_TOTAL_ASSETS",JE$3,$E$3, $J$3, , $G$3, $H$3)/_xll.ciqfunctions.udf.CIQ($B10,"IQ_TOTAL_COMMON_EQUITY",JE$3,$E$3, $J$3, , $G$3, $H$3)),0)</f>
        <v/>
      </c>
      <c r="JF10" s="349" t="str">
        <f>IFERROR(IF(OR(JF$3="",$B10=""),"",_xll.ciqfunctions.udf.CIQ($B10,"IQ_TOTAL_ASSETS",JF$3,$E$3, $J$3, , $G$3, $H$3)/_xll.ciqfunctions.udf.CIQ($B10,"IQ_TOTAL_COMMON_EQUITY",JF$3,$E$3, $J$3, , $G$3, $H$3)),0)</f>
        <v/>
      </c>
      <c r="JG10" s="349" t="str">
        <f>IFERROR(IF(OR(JG$3="",$B10=""),"",_xll.ciqfunctions.udf.CIQ($B10,"IQ_TOTAL_ASSETS",JG$3,$E$3, $J$3, , $G$3, $H$3)/_xll.ciqfunctions.udf.CIQ($B10,"IQ_TOTAL_COMMON_EQUITY",JG$3,$E$3, $J$3, , $G$3, $H$3)),0)</f>
        <v/>
      </c>
      <c r="JH10" s="349" t="str">
        <f>IFERROR(IF(OR(JH$3="",$B10=""),"",_xll.ciqfunctions.udf.CIQ($B10,"IQ_TOTAL_ASSETS",JH$3,$E$3, $J$3, , $G$3, $H$3)/_xll.ciqfunctions.udf.CIQ($B10,"IQ_TOTAL_COMMON_EQUITY",JH$3,$E$3, $J$3, , $G$3, $H$3)),0)</f>
        <v/>
      </c>
      <c r="JI10" s="349" t="str">
        <f>IFERROR(IF(OR(JI$3="",$B10=""),"",_xll.ciqfunctions.udf.CIQ($B10,"IQ_TOTAL_ASSETS",JI$3,$E$3, $J$3, , $G$3, $H$3)/_xll.ciqfunctions.udf.CIQ($B10,"IQ_TOTAL_COMMON_EQUITY",JI$3,$E$3, $J$3, , $G$3, $H$3)),0)</f>
        <v/>
      </c>
      <c r="JJ10" s="350" t="str">
        <f>IFERROR(IF(OR(JJ$3="",$B10=""),"",_xll.ciqfunctions.udf.CIQ($B10,"IQ_TOTAL_ASSETS",JJ$3,$E$3, $J$3, , $G$3, $H$3)/_xll.ciqfunctions.udf.CIQ($B10,"IQ_TOTAL_COMMON_EQUITY",JJ$3,$E$3, $J$3, , $G$3, $H$3)),0)</f>
        <v/>
      </c>
      <c r="JK10" s="86" t="str">
        <f>IFERROR(IF(OR($B10="",JK$3=""),"",_xll.ciqfunctions.udf.CIQ($B10, "IQ_NI", $I$3, HC$3,$J$3, ,$G$3,$H$3)*2/(_xll.ciqfunctions.udf.CIQ($B10,"IQ_TOTAL_EQUITY",JK$3,$E$3, $J$3, , $G$3, $H$3)+_xll.ciqfunctions.udf.CIQ($B10,"IQ_TOTAL_EQUITY","IQ_" &amp; LEFT(JK$3,2) &amp; "-1",JK$3, $J$3, , $G$3, $H$3))),"")</f>
        <v/>
      </c>
      <c r="JL10" s="87" t="str">
        <f>IFERROR(IF(OR($B10="",JL$3=""),"",_xll.ciqfunctions.udf.CIQ($B10, "IQ_NI", $I$3, HD$3,$J$3, ,$G$3,$H$3)*2/(_xll.ciqfunctions.udf.CIQ($B10,"IQ_TOTAL_EQUITY",JL$3,$E$3, $J$3, , $G$3, $H$3)+_xll.ciqfunctions.udf.CIQ($B10,"IQ_TOTAL_EQUITY","IQ_" &amp; LEFT(JL$3,2) &amp; "-1",JL$3, $J$3, , $G$3, $H$3))),"")</f>
        <v/>
      </c>
      <c r="JM10" s="87" t="str">
        <f>IFERROR(IF(OR($B10="",JM$3=""),"",_xll.ciqfunctions.udf.CIQ($B10, "IQ_NI", $I$3, HE$3,$J$3, ,$G$3,$H$3)*2/(_xll.ciqfunctions.udf.CIQ($B10,"IQ_TOTAL_EQUITY",JM$3,$E$3, $J$3, , $G$3, $H$3)+_xll.ciqfunctions.udf.CIQ($B10,"IQ_TOTAL_EQUITY","IQ_" &amp; LEFT(JM$3,2) &amp; "-1",JM$3, $J$3, , $G$3, $H$3))),"")</f>
        <v/>
      </c>
      <c r="JN10" s="87" t="str">
        <f>IFERROR(IF(OR($B10="",JN$3=""),"",_xll.ciqfunctions.udf.CIQ($B10, "IQ_NI", $I$3, HF$3,$J$3, ,$G$3,$H$3)*2/(_xll.ciqfunctions.udf.CIQ($B10,"IQ_TOTAL_EQUITY",JN$3,$E$3, $J$3, , $G$3, $H$3)+_xll.ciqfunctions.udf.CIQ($B10,"IQ_TOTAL_EQUITY","IQ_" &amp; LEFT(JN$3,2) &amp; "-1",JN$3, $J$3, , $G$3, $H$3))),"")</f>
        <v/>
      </c>
      <c r="JO10" s="87" t="str">
        <f>IFERROR(IF(OR($B10="",JO$3=""),"",_xll.ciqfunctions.udf.CIQ($B10, "IQ_NI", $I$3, HG$3,$J$3, ,$G$3,$H$3)*2/(_xll.ciqfunctions.udf.CIQ($B10,"IQ_TOTAL_EQUITY",JO$3,$E$3, $J$3, , $G$3, $H$3)+_xll.ciqfunctions.udf.CIQ($B10,"IQ_TOTAL_EQUITY","IQ_" &amp; LEFT(JO$3,2) &amp; "-1",JO$3, $J$3, , $G$3, $H$3))),"")</f>
        <v/>
      </c>
      <c r="JP10" s="87" t="str">
        <f>IFERROR(IF(OR($B10="",JP$3=""),"",_xll.ciqfunctions.udf.CIQ($B10, "IQ_NI", $I$3, HH$3,$J$3, ,$G$3,$H$3)*2/(_xll.ciqfunctions.udf.CIQ($B10,"IQ_TOTAL_EQUITY",JP$3,$E$3, $J$3, , $G$3, $H$3)+_xll.ciqfunctions.udf.CIQ($B10,"IQ_TOTAL_EQUITY","IQ_" &amp; LEFT(JP$3,2) &amp; "-1",JP$3, $J$3, , $G$3, $H$3))),"")</f>
        <v/>
      </c>
      <c r="JQ10" s="87" t="str">
        <f>IFERROR(IF(OR($B10="",JQ$3=""),"",_xll.ciqfunctions.udf.CIQ($B10, "IQ_NI", $I$3, HI$3,$J$3, ,$G$3,$H$3)*2/(_xll.ciqfunctions.udf.CIQ($B10,"IQ_TOTAL_EQUITY",JQ$3,$E$3, $J$3, , $G$3, $H$3)+_xll.ciqfunctions.udf.CIQ($B10,"IQ_TOTAL_EQUITY","IQ_" &amp; LEFT(JQ$3,2) &amp; "-1",JQ$3, $J$3, , $G$3, $H$3))),"")</f>
        <v/>
      </c>
      <c r="JR10" s="87" t="str">
        <f>IFERROR(IF(OR($B10="",JR$3=""),"",_xll.ciqfunctions.udf.CIQ($B10, "IQ_NI", $I$3, HJ$3,$J$3, ,$G$3,$H$3)*2/(_xll.ciqfunctions.udf.CIQ($B10,"IQ_TOTAL_EQUITY",JR$3,$E$3, $J$3, , $G$3, $H$3)+_xll.ciqfunctions.udf.CIQ($B10,"IQ_TOTAL_EQUITY","IQ_" &amp; LEFT(JR$3,2) &amp; "-1",JR$3, $J$3, , $G$3, $H$3))),"")</f>
        <v/>
      </c>
      <c r="JS10" s="87" t="str">
        <f>IFERROR(IF(OR($B10="",JS$3=""),"",_xll.ciqfunctions.udf.CIQ($B10, "IQ_NI", $I$3, HK$3,$J$3, ,$G$3,$H$3)*2/(_xll.ciqfunctions.udf.CIQ($B10,"IQ_TOTAL_EQUITY",JS$3,$E$3, $J$3, , $G$3, $H$3)+_xll.ciqfunctions.udf.CIQ($B10,"IQ_TOTAL_EQUITY","IQ_" &amp; LEFT(JS$3,2) &amp; "-1",JS$3, $J$3, , $G$3, $H$3))),"")</f>
        <v/>
      </c>
      <c r="JT10" s="87" t="str">
        <f>IFERROR(IF(OR($B10="",JT$3=""),"",_xll.ciqfunctions.udf.CIQ($B10, "IQ_NI", $I$3, HL$3,$J$3, ,$G$3,$H$3)*2/(_xll.ciqfunctions.udf.CIQ($B10,"IQ_TOTAL_EQUITY",JT$3,$E$3, $J$3, , $G$3, $H$3)+_xll.ciqfunctions.udf.CIQ($B10,"IQ_TOTAL_EQUITY","IQ_" &amp; LEFT(JT$3,2) &amp; "-1",JT$3, $J$3, , $G$3, $H$3))),"")</f>
        <v/>
      </c>
      <c r="JU10" s="87" t="str">
        <f>IFERROR(IF(OR($B10="",JU$3=""),"",_xll.ciqfunctions.udf.CIQ($B10, "IQ_NI", $I$3, HM$3,$J$3, ,$G$3,$H$3)*2/(_xll.ciqfunctions.udf.CIQ($B10,"IQ_TOTAL_EQUITY",JU$3,$E$3, $J$3, , $G$3, $H$3)+_xll.ciqfunctions.udf.CIQ($B10,"IQ_TOTAL_EQUITY","IQ_" &amp; LEFT(JU$3,2) &amp; "-1",JU$3, $J$3, , $G$3, $H$3))),"")</f>
        <v/>
      </c>
      <c r="JV10" s="87" t="str">
        <f>IFERROR(IF(OR($B10="",JV$3=""),"",_xll.ciqfunctions.udf.CIQ($B10, "IQ_NI", $I$3, HN$3,$J$3, ,$G$3,$H$3)*2/(_xll.ciqfunctions.udf.CIQ($B10,"IQ_TOTAL_EQUITY",JV$3,$E$3, $J$3, , $G$3, $H$3)+_xll.ciqfunctions.udf.CIQ($B10,"IQ_TOTAL_EQUITY","IQ_" &amp; LEFT(JV$3,2) &amp; "-1",JV$3, $J$3, , $G$3, $H$3))),"")</f>
        <v/>
      </c>
      <c r="JW10" s="87" t="str">
        <f>IFERROR(IF(OR($B10="",JW$3=""),"",_xll.ciqfunctions.udf.CIQ($B10, "IQ_NI", $I$3, HO$3,$J$3, ,$G$3,$H$3)*2/(_xll.ciqfunctions.udf.CIQ($B10,"IQ_TOTAL_EQUITY",JW$3,$E$3, $J$3, , $G$3, $H$3)+_xll.ciqfunctions.udf.CIQ($B10,"IQ_TOTAL_EQUITY","IQ_" &amp; LEFT(JW$3,2) &amp; "-1",JW$3, $J$3, , $G$3, $H$3))),"")</f>
        <v/>
      </c>
      <c r="JX10" s="87" t="str">
        <f>IFERROR(IF(OR($B10="",JX$3=""),"",_xll.ciqfunctions.udf.CIQ($B10, "IQ_NI", $I$3, HP$3,$J$3, ,$G$3,$H$3)*2/(_xll.ciqfunctions.udf.CIQ($B10,"IQ_TOTAL_EQUITY",JX$3,$E$3, $J$3, , $G$3, $H$3)+_xll.ciqfunctions.udf.CIQ($B10,"IQ_TOTAL_EQUITY","IQ_" &amp; LEFT(JX$3,2) &amp; "-1",JX$3, $J$3, , $G$3, $H$3))),"")</f>
        <v/>
      </c>
      <c r="JY10" s="87" t="str">
        <f>IFERROR(IF(OR($B10="",JY$3=""),"",_xll.ciqfunctions.udf.CIQ($B10, "IQ_NI", $I$3, HQ$3,$J$3, ,$G$3,$H$3)*2/(_xll.ciqfunctions.udf.CIQ($B10,"IQ_TOTAL_EQUITY",JY$3,$E$3, $J$3, , $G$3, $H$3)+_xll.ciqfunctions.udf.CIQ($B10,"IQ_TOTAL_EQUITY","IQ_" &amp; LEFT(JY$3,2) &amp; "-1",JY$3, $J$3, , $G$3, $H$3))),"")</f>
        <v/>
      </c>
      <c r="JZ10" s="87" t="str">
        <f>IFERROR(IF(OR($B10="",JZ$3=""),"",_xll.ciqfunctions.udf.CIQ($B10, "IQ_NI", $I$3, HR$3,$J$3, ,$G$3,$H$3)*2/(_xll.ciqfunctions.udf.CIQ($B10,"IQ_TOTAL_EQUITY",JZ$3,$E$3, $J$3, , $G$3, $H$3)+_xll.ciqfunctions.udf.CIQ($B10,"IQ_TOTAL_EQUITY","IQ_" &amp; LEFT(JZ$3,2) &amp; "-1",JZ$3, $J$3, , $G$3, $H$3))),"")</f>
        <v/>
      </c>
      <c r="KA10" s="87" t="str">
        <f>IFERROR(IF(OR($B10="",KA$3=""),"",_xll.ciqfunctions.udf.CIQ($B10, "IQ_NI", $I$3, HS$3,$J$3, ,$G$3,$H$3)*2/(_xll.ciqfunctions.udf.CIQ($B10,"IQ_TOTAL_EQUITY",KA$3,$E$3, $J$3, , $G$3, $H$3)+_xll.ciqfunctions.udf.CIQ($B10,"IQ_TOTAL_EQUITY","IQ_" &amp; LEFT(KA$3,2) &amp; "-1",KA$3, $J$3, , $G$3, $H$3))),"")</f>
        <v/>
      </c>
      <c r="KB10" s="87" t="str">
        <f>IFERROR(IF(OR($B10="",KB$3=""),"",_xll.ciqfunctions.udf.CIQ($B10, "IQ_NI", $I$3, HT$3,$J$3, ,$G$3,$H$3)*2/(_xll.ciqfunctions.udf.CIQ($B10,"IQ_TOTAL_EQUITY",KB$3,$E$3, $J$3, , $G$3, $H$3)+_xll.ciqfunctions.udf.CIQ($B10,"IQ_TOTAL_EQUITY","IQ_" &amp; LEFT(KB$3,2) &amp; "-1",KB$3, $J$3, , $G$3, $H$3))),"")</f>
        <v/>
      </c>
      <c r="KC10" s="87" t="str">
        <f>IFERROR(IF(OR($B10="",KC$3=""),"",_xll.ciqfunctions.udf.CIQ($B10, "IQ_NI", $I$3, HU$3,$J$3, ,$G$3,$H$3)*2/(_xll.ciqfunctions.udf.CIQ($B10,"IQ_TOTAL_EQUITY",KC$3,$E$3, $J$3, , $G$3, $H$3)+_xll.ciqfunctions.udf.CIQ($B10,"IQ_TOTAL_EQUITY","IQ_" &amp; LEFT(KC$3,2) &amp; "-1",KC$3, $J$3, , $G$3, $H$3))),"")</f>
        <v/>
      </c>
      <c r="KD10" s="88" t="str">
        <f>IFERROR(IF(OR($B10="",KD$3=""),"",_xll.ciqfunctions.udf.CIQ($B10, "IQ_NI", $I$3, HV$3,$J$3, ,$G$3,$H$3)*2/(_xll.ciqfunctions.udf.CIQ($B10,"IQ_TOTAL_EQUITY",KD$3,$E$3, $J$3, , $G$3, $H$3)+_xll.ciqfunctions.udf.CIQ($B10,"IQ_TOTAL_EQUITY","IQ_" &amp; LEFT(KD$3,2) &amp; "-1",KD$3, $J$3, , $G$3, $H$3))),"")</f>
        <v/>
      </c>
      <c r="KE10" s="86" t="str">
        <f>IFERROR(IF(OR($B10="",KE$3=""),"",_xll.ciqfunctions.udf.CIQ($B10, "IQ_NI", $I$3, KE$3,$J$3, ,$G$3,$H$3)*2/(_xll.ciqfunctions.udf.CIQ($B10, "IQ_TOTAL_ASSETS", $I$3, KE$3,$J$3, ,$G$3,$H$3)+_xll.ciqfunctions.udf.CIQ($B10, "IQ_TOTAL_ASSETS", $I$3 &amp; "-1", KE$3,$J$3, ,$G$3,$H$3)-_xll.ciqfunctions.udf.CIQ($B10, "IQ_TOTAL_CL", $I$3, KE$3,$J$3, ,$G$3,$H$3)-_xll.ciqfunctions.udf.CIQ($B10, "IQ_TOTAL_CL", $I$3 &amp; "-1", KE$3,$J$3, ,$G$3,$H$3))),"")</f>
        <v/>
      </c>
      <c r="KF10" s="87" t="str">
        <f>IFERROR(IF(OR($B10="",KF$3=""),"",_xll.ciqfunctions.udf.CIQ($B10, "IQ_NI", $I$3, KF$3,$J$3, ,$G$3,$H$3)*2/(_xll.ciqfunctions.udf.CIQ($B10, "IQ_TOTAL_ASSETS", $I$3, KF$3,$J$3, ,$G$3,$H$3)+_xll.ciqfunctions.udf.CIQ($B10, "IQ_TOTAL_ASSETS", $I$3 &amp; "-1", KF$3,$J$3, ,$G$3,$H$3)-_xll.ciqfunctions.udf.CIQ($B10, "IQ_TOTAL_CL", $I$3, KF$3,$J$3, ,$G$3,$H$3)-_xll.ciqfunctions.udf.CIQ($B10, "IQ_TOTAL_CL", $I$3 &amp; "-1", KF$3,$J$3, ,$G$3,$H$3))),"")</f>
        <v/>
      </c>
      <c r="KG10" s="87" t="str">
        <f>IFERROR(IF(OR($B10="",KG$3=""),"",_xll.ciqfunctions.udf.CIQ($B10, "IQ_NI", $I$3, KG$3,$J$3, ,$G$3,$H$3)*2/(_xll.ciqfunctions.udf.CIQ($B10, "IQ_TOTAL_ASSETS", $I$3, KG$3,$J$3, ,$G$3,$H$3)+_xll.ciqfunctions.udf.CIQ($B10, "IQ_TOTAL_ASSETS", $I$3 &amp; "-1", KG$3,$J$3, ,$G$3,$H$3)-_xll.ciqfunctions.udf.CIQ($B10, "IQ_TOTAL_CL", $I$3, KG$3,$J$3, ,$G$3,$H$3)-_xll.ciqfunctions.udf.CIQ($B10, "IQ_TOTAL_CL", $I$3 &amp; "-1", KG$3,$J$3, ,$G$3,$H$3))),"")</f>
        <v/>
      </c>
      <c r="KH10" s="87" t="str">
        <f>IFERROR(IF(OR($B10="",KH$3=""),"",_xll.ciqfunctions.udf.CIQ($B10, "IQ_NI", $I$3, KH$3,$J$3, ,$G$3,$H$3)*2/(_xll.ciqfunctions.udf.CIQ($B10, "IQ_TOTAL_ASSETS", $I$3, KH$3,$J$3, ,$G$3,$H$3)+_xll.ciqfunctions.udf.CIQ($B10, "IQ_TOTAL_ASSETS", $I$3 &amp; "-1", KH$3,$J$3, ,$G$3,$H$3)-_xll.ciqfunctions.udf.CIQ($B10, "IQ_TOTAL_CL", $I$3, KH$3,$J$3, ,$G$3,$H$3)-_xll.ciqfunctions.udf.CIQ($B10, "IQ_TOTAL_CL", $I$3 &amp; "-1", KH$3,$J$3, ,$G$3,$H$3))),"")</f>
        <v/>
      </c>
      <c r="KI10" s="87" t="str">
        <f>IFERROR(IF(OR($B10="",KI$3=""),"",_xll.ciqfunctions.udf.CIQ($B10, "IQ_NI", $I$3, KI$3,$J$3, ,$G$3,$H$3)*2/(_xll.ciqfunctions.udf.CIQ($B10, "IQ_TOTAL_ASSETS", $I$3, KI$3,$J$3, ,$G$3,$H$3)+_xll.ciqfunctions.udf.CIQ($B10, "IQ_TOTAL_ASSETS", $I$3 &amp; "-1", KI$3,$J$3, ,$G$3,$H$3)-_xll.ciqfunctions.udf.CIQ($B10, "IQ_TOTAL_CL", $I$3, KI$3,$J$3, ,$G$3,$H$3)-_xll.ciqfunctions.udf.CIQ($B10, "IQ_TOTAL_CL", $I$3 &amp; "-1", KI$3,$J$3, ,$G$3,$H$3))),"")</f>
        <v/>
      </c>
      <c r="KJ10" s="87" t="str">
        <f>IFERROR(IF(OR($B10="",KJ$3=""),"",_xll.ciqfunctions.udf.CIQ($B10, "IQ_NI", $I$3, KJ$3,$J$3, ,$G$3,$H$3)*2/(_xll.ciqfunctions.udf.CIQ($B10, "IQ_TOTAL_ASSETS", $I$3, KJ$3,$J$3, ,$G$3,$H$3)+_xll.ciqfunctions.udf.CIQ($B10, "IQ_TOTAL_ASSETS", $I$3 &amp; "-1", KJ$3,$J$3, ,$G$3,$H$3)-_xll.ciqfunctions.udf.CIQ($B10, "IQ_TOTAL_CL", $I$3, KJ$3,$J$3, ,$G$3,$H$3)-_xll.ciqfunctions.udf.CIQ($B10, "IQ_TOTAL_CL", $I$3 &amp; "-1", KJ$3,$J$3, ,$G$3,$H$3))),"")</f>
        <v/>
      </c>
      <c r="KK10" s="87" t="str">
        <f>IFERROR(IF(OR($B10="",KK$3=""),"",_xll.ciqfunctions.udf.CIQ($B10, "IQ_NI", $I$3, KK$3,$J$3, ,$G$3,$H$3)*2/(_xll.ciqfunctions.udf.CIQ($B10, "IQ_TOTAL_ASSETS", $I$3, KK$3,$J$3, ,$G$3,$H$3)+_xll.ciqfunctions.udf.CIQ($B10, "IQ_TOTAL_ASSETS", $I$3 &amp; "-1", KK$3,$J$3, ,$G$3,$H$3)-_xll.ciqfunctions.udf.CIQ($B10, "IQ_TOTAL_CL", $I$3, KK$3,$J$3, ,$G$3,$H$3)-_xll.ciqfunctions.udf.CIQ($B10, "IQ_TOTAL_CL", $I$3 &amp; "-1", KK$3,$J$3, ,$G$3,$H$3))),"")</f>
        <v/>
      </c>
      <c r="KL10" s="87" t="str">
        <f>IFERROR(IF(OR($B10="",KL$3=""),"",_xll.ciqfunctions.udf.CIQ($B10, "IQ_NI", $I$3, KL$3,$J$3, ,$G$3,$H$3)*2/(_xll.ciqfunctions.udf.CIQ($B10, "IQ_TOTAL_ASSETS", $I$3, KL$3,$J$3, ,$G$3,$H$3)+_xll.ciqfunctions.udf.CIQ($B10, "IQ_TOTAL_ASSETS", $I$3 &amp; "-1", KL$3,$J$3, ,$G$3,$H$3)-_xll.ciqfunctions.udf.CIQ($B10, "IQ_TOTAL_CL", $I$3, KL$3,$J$3, ,$G$3,$H$3)-_xll.ciqfunctions.udf.CIQ($B10, "IQ_TOTAL_CL", $I$3 &amp; "-1", KL$3,$J$3, ,$G$3,$H$3))),"")</f>
        <v/>
      </c>
      <c r="KM10" s="87" t="str">
        <f>IFERROR(IF(OR($B10="",KM$3=""),"",_xll.ciqfunctions.udf.CIQ($B10, "IQ_NI", $I$3, KM$3,$J$3, ,$G$3,$H$3)*2/(_xll.ciqfunctions.udf.CIQ($B10, "IQ_TOTAL_ASSETS", $I$3, KM$3,$J$3, ,$G$3,$H$3)+_xll.ciqfunctions.udf.CIQ($B10, "IQ_TOTAL_ASSETS", $I$3 &amp; "-1", KM$3,$J$3, ,$G$3,$H$3)-_xll.ciqfunctions.udf.CIQ($B10, "IQ_TOTAL_CL", $I$3, KM$3,$J$3, ,$G$3,$H$3)-_xll.ciqfunctions.udf.CIQ($B10, "IQ_TOTAL_CL", $I$3 &amp; "-1", KM$3,$J$3, ,$G$3,$H$3))),"")</f>
        <v/>
      </c>
      <c r="KN10" s="87" t="str">
        <f>IFERROR(IF(OR($B10="",KN$3=""),"",_xll.ciqfunctions.udf.CIQ($B10, "IQ_NI", $I$3, KN$3,$J$3, ,$G$3,$H$3)*2/(_xll.ciqfunctions.udf.CIQ($B10, "IQ_TOTAL_ASSETS", $I$3, KN$3,$J$3, ,$G$3,$H$3)+_xll.ciqfunctions.udf.CIQ($B10, "IQ_TOTAL_ASSETS", $I$3 &amp; "-1", KN$3,$J$3, ,$G$3,$H$3)-_xll.ciqfunctions.udf.CIQ($B10, "IQ_TOTAL_CL", $I$3, KN$3,$J$3, ,$G$3,$H$3)-_xll.ciqfunctions.udf.CIQ($B10, "IQ_TOTAL_CL", $I$3 &amp; "-1", KN$3,$J$3, ,$G$3,$H$3))),"")</f>
        <v/>
      </c>
      <c r="KO10" s="87" t="str">
        <f>IFERROR(IF(OR($B10="",KO$3=""),"",_xll.ciqfunctions.udf.CIQ($B10, "IQ_NI", $I$3, KO$3,$J$3, ,$G$3,$H$3)*2/(_xll.ciqfunctions.udf.CIQ($B10, "IQ_TOTAL_ASSETS", $I$3, KO$3,$J$3, ,$G$3,$H$3)+_xll.ciqfunctions.udf.CIQ($B10, "IQ_TOTAL_ASSETS", $I$3 &amp; "-1", KO$3,$J$3, ,$G$3,$H$3)-_xll.ciqfunctions.udf.CIQ($B10, "IQ_TOTAL_CL", $I$3, KO$3,$J$3, ,$G$3,$H$3)-_xll.ciqfunctions.udf.CIQ($B10, "IQ_TOTAL_CL", $I$3 &amp; "-1", KO$3,$J$3, ,$G$3,$H$3))),"")</f>
        <v/>
      </c>
      <c r="KP10" s="87" t="str">
        <f>IFERROR(IF(OR($B10="",KP$3=""),"",_xll.ciqfunctions.udf.CIQ($B10, "IQ_NI", $I$3, KP$3,$J$3, ,$G$3,$H$3)*2/(_xll.ciqfunctions.udf.CIQ($B10, "IQ_TOTAL_ASSETS", $I$3, KP$3,$J$3, ,$G$3,$H$3)+_xll.ciqfunctions.udf.CIQ($B10, "IQ_TOTAL_ASSETS", $I$3 &amp; "-1", KP$3,$J$3, ,$G$3,$H$3)-_xll.ciqfunctions.udf.CIQ($B10, "IQ_TOTAL_CL", $I$3, KP$3,$J$3, ,$G$3,$H$3)-_xll.ciqfunctions.udf.CIQ($B10, "IQ_TOTAL_CL", $I$3 &amp; "-1", KP$3,$J$3, ,$G$3,$H$3))),"")</f>
        <v/>
      </c>
      <c r="KQ10" s="87" t="str">
        <f>IFERROR(IF(OR($B10="",KQ$3=""),"",_xll.ciqfunctions.udf.CIQ($B10, "IQ_NI", $I$3, KQ$3,$J$3, ,$G$3,$H$3)*2/(_xll.ciqfunctions.udf.CIQ($B10, "IQ_TOTAL_ASSETS", $I$3, KQ$3,$J$3, ,$G$3,$H$3)+_xll.ciqfunctions.udf.CIQ($B10, "IQ_TOTAL_ASSETS", $I$3 &amp; "-1", KQ$3,$J$3, ,$G$3,$H$3)-_xll.ciqfunctions.udf.CIQ($B10, "IQ_TOTAL_CL", $I$3, KQ$3,$J$3, ,$G$3,$H$3)-_xll.ciqfunctions.udf.CIQ($B10, "IQ_TOTAL_CL", $I$3 &amp; "-1", KQ$3,$J$3, ,$G$3,$H$3))),"")</f>
        <v/>
      </c>
      <c r="KR10" s="87" t="str">
        <f>IFERROR(IF(OR($B10="",KR$3=""),"",_xll.ciqfunctions.udf.CIQ($B10, "IQ_NI", $I$3, KR$3,$J$3, ,$G$3,$H$3)*2/(_xll.ciqfunctions.udf.CIQ($B10, "IQ_TOTAL_ASSETS", $I$3, KR$3,$J$3, ,$G$3,$H$3)+_xll.ciqfunctions.udf.CIQ($B10, "IQ_TOTAL_ASSETS", $I$3 &amp; "-1", KR$3,$J$3, ,$G$3,$H$3)-_xll.ciqfunctions.udf.CIQ($B10, "IQ_TOTAL_CL", $I$3, KR$3,$J$3, ,$G$3,$H$3)-_xll.ciqfunctions.udf.CIQ($B10, "IQ_TOTAL_CL", $I$3 &amp; "-1", KR$3,$J$3, ,$G$3,$H$3))),"")</f>
        <v/>
      </c>
      <c r="KS10" s="87" t="str">
        <f>IFERROR(IF(OR($B10="",KS$3=""),"",_xll.ciqfunctions.udf.CIQ($B10, "IQ_NI", $I$3, KS$3,$J$3, ,$G$3,$H$3)*2/(_xll.ciqfunctions.udf.CIQ($B10, "IQ_TOTAL_ASSETS", $I$3, KS$3,$J$3, ,$G$3,$H$3)+_xll.ciqfunctions.udf.CIQ($B10, "IQ_TOTAL_ASSETS", $I$3 &amp; "-1", KS$3,$J$3, ,$G$3,$H$3)-_xll.ciqfunctions.udf.CIQ($B10, "IQ_TOTAL_CL", $I$3, KS$3,$J$3, ,$G$3,$H$3)-_xll.ciqfunctions.udf.CIQ($B10, "IQ_TOTAL_CL", $I$3 &amp; "-1", KS$3,$J$3, ,$G$3,$H$3))),"")</f>
        <v/>
      </c>
      <c r="KT10" s="87" t="str">
        <f>IFERROR(IF(OR($B10="",KT$3=""),"",_xll.ciqfunctions.udf.CIQ($B10, "IQ_NI", $I$3, KT$3,$J$3, ,$G$3,$H$3)*2/(_xll.ciqfunctions.udf.CIQ($B10, "IQ_TOTAL_ASSETS", $I$3, KT$3,$J$3, ,$G$3,$H$3)+_xll.ciqfunctions.udf.CIQ($B10, "IQ_TOTAL_ASSETS", $I$3 &amp; "-1", KT$3,$J$3, ,$G$3,$H$3)-_xll.ciqfunctions.udf.CIQ($B10, "IQ_TOTAL_CL", $I$3, KT$3,$J$3, ,$G$3,$H$3)-_xll.ciqfunctions.udf.CIQ($B10, "IQ_TOTAL_CL", $I$3 &amp; "-1", KT$3,$J$3, ,$G$3,$H$3))),"")</f>
        <v/>
      </c>
      <c r="KU10" s="87" t="str">
        <f>IFERROR(IF(OR($B10="",KU$3=""),"",_xll.ciqfunctions.udf.CIQ($B10, "IQ_NI", $I$3, KU$3,$J$3, ,$G$3,$H$3)*2/(_xll.ciqfunctions.udf.CIQ($B10, "IQ_TOTAL_ASSETS", $I$3, KU$3,$J$3, ,$G$3,$H$3)+_xll.ciqfunctions.udf.CIQ($B10, "IQ_TOTAL_ASSETS", $I$3 &amp; "-1", KU$3,$J$3, ,$G$3,$H$3)-_xll.ciqfunctions.udf.CIQ($B10, "IQ_TOTAL_CL", $I$3, KU$3,$J$3, ,$G$3,$H$3)-_xll.ciqfunctions.udf.CIQ($B10, "IQ_TOTAL_CL", $I$3 &amp; "-1", KU$3,$J$3, ,$G$3,$H$3))),"")</f>
        <v/>
      </c>
      <c r="KV10" s="87" t="str">
        <f>IFERROR(IF(OR($B10="",KV$3=""),"",_xll.ciqfunctions.udf.CIQ($B10, "IQ_NI", $I$3, KV$3,$J$3, ,$G$3,$H$3)*2/(_xll.ciqfunctions.udf.CIQ($B10, "IQ_TOTAL_ASSETS", $I$3, KV$3,$J$3, ,$G$3,$H$3)+_xll.ciqfunctions.udf.CIQ($B10, "IQ_TOTAL_ASSETS", $I$3 &amp; "-1", KV$3,$J$3, ,$G$3,$H$3)-_xll.ciqfunctions.udf.CIQ($B10, "IQ_TOTAL_CL", $I$3, KV$3,$J$3, ,$G$3,$H$3)-_xll.ciqfunctions.udf.CIQ($B10, "IQ_TOTAL_CL", $I$3 &amp; "-1", KV$3,$J$3, ,$G$3,$H$3))),"")</f>
        <v/>
      </c>
      <c r="KW10" s="87" t="str">
        <f>IFERROR(IF(OR($B10="",KW$3=""),"",_xll.ciqfunctions.udf.CIQ($B10, "IQ_NI", $I$3, KW$3,$J$3, ,$G$3,$H$3)*2/(_xll.ciqfunctions.udf.CIQ($B10, "IQ_TOTAL_ASSETS", $I$3, KW$3,$J$3, ,$G$3,$H$3)+_xll.ciqfunctions.udf.CIQ($B10, "IQ_TOTAL_ASSETS", $I$3 &amp; "-1", KW$3,$J$3, ,$G$3,$H$3)-_xll.ciqfunctions.udf.CIQ($B10, "IQ_TOTAL_CL", $I$3, KW$3,$J$3, ,$G$3,$H$3)-_xll.ciqfunctions.udf.CIQ($B10, "IQ_TOTAL_CL", $I$3 &amp; "-1", KW$3,$J$3, ,$G$3,$H$3))),"")</f>
        <v/>
      </c>
      <c r="KX10" s="88" t="str">
        <f>IFERROR(IF(OR($B10="",KX$3=""),"",_xll.ciqfunctions.udf.CIQ($B10, "IQ_NI", $I$3, KX$3,$J$3, ,$G$3,$H$3)*2/(_xll.ciqfunctions.udf.CIQ($B10, "IQ_TOTAL_ASSETS", $I$3, KX$3,$J$3, ,$G$3,$H$3)+_xll.ciqfunctions.udf.CIQ($B10, "IQ_TOTAL_ASSETS", $I$3 &amp; "-1", KX$3,$J$3, ,$G$3,$H$3)-_xll.ciqfunctions.udf.CIQ($B10, "IQ_TOTAL_CL", $I$3, KX$3,$J$3, ,$G$3,$H$3)-_xll.ciqfunctions.udf.CIQ($B10, "IQ_TOTAL_CL", $I$3 &amp; "-1", KX$3,$J$3, ,$G$3,$H$3))),"")</f>
        <v/>
      </c>
      <c r="KY10" s="86" t="str">
        <f>IFERROR(IF(OR($B10="",KY$3=""),"",_xll.ciqfunctions.udf.CIQ($B10,"IQ_CASH_OPER",$I$3, KY$3,$J$3, ,$G$3,$H$3)*2/(_xll.ciqfunctions.udf.CIQ($B10,"IQ_TOTAL_CL",KY$3,$E$3, $J$3, , $G$3, $H$3)+_xll.ciqfunctions.udf.CIQ($B10,"IQ_TOTAL_CL","IQ_" &amp; LEFT(KY$3,2) &amp; "-1",KY$3, $J$3, , $G$3, $H$3))),"")</f>
        <v/>
      </c>
      <c r="KZ10" s="87" t="str">
        <f>IFERROR(IF(OR($B10="",KZ$3=""),"",_xll.ciqfunctions.udf.CIQ($B10,"IQ_CASH_OPER",$I$3, KZ$3,$J$3, ,$G$3,$H$3)*2/(_xll.ciqfunctions.udf.CIQ($B10,"IQ_TOTAL_CL",KZ$3,$E$3, $J$3, , $G$3, $H$3)+_xll.ciqfunctions.udf.CIQ($B10,"IQ_TOTAL_CL","IQ_" &amp; LEFT(KZ$3,2) &amp; "-1",KZ$3, $J$3, , $G$3, $H$3))),"")</f>
        <v/>
      </c>
      <c r="LA10" s="87" t="str">
        <f>IFERROR(IF(OR($B10="",LA$3=""),"",_xll.ciqfunctions.udf.CIQ($B10,"IQ_CASH_OPER",$I$3, LA$3,$J$3, ,$G$3,$H$3)*2/(_xll.ciqfunctions.udf.CIQ($B10,"IQ_TOTAL_CL",LA$3,$E$3, $J$3, , $G$3, $H$3)+_xll.ciqfunctions.udf.CIQ($B10,"IQ_TOTAL_CL","IQ_" &amp; LEFT(LA$3,2) &amp; "-1",LA$3, $J$3, , $G$3, $H$3))),"")</f>
        <v/>
      </c>
      <c r="LB10" s="87" t="str">
        <f>IFERROR(IF(OR($B10="",LB$3=""),"",_xll.ciqfunctions.udf.CIQ($B10,"IQ_CASH_OPER",$I$3, LB$3,$J$3, ,$G$3,$H$3)*2/(_xll.ciqfunctions.udf.CIQ($B10,"IQ_TOTAL_CL",LB$3,$E$3, $J$3, , $G$3, $H$3)+_xll.ciqfunctions.udf.CIQ($B10,"IQ_TOTAL_CL","IQ_" &amp; LEFT(LB$3,2) &amp; "-1",LB$3, $J$3, , $G$3, $H$3))),"")</f>
        <v/>
      </c>
      <c r="LC10" s="87" t="str">
        <f>IFERROR(IF(OR($B10="",LC$3=""),"",_xll.ciqfunctions.udf.CIQ($B10,"IQ_CASH_OPER",$I$3, LC$3,$J$3, ,$G$3,$H$3)*2/(_xll.ciqfunctions.udf.CIQ($B10,"IQ_TOTAL_CL",LC$3,$E$3, $J$3, , $G$3, $H$3)+_xll.ciqfunctions.udf.CIQ($B10,"IQ_TOTAL_CL","IQ_" &amp; LEFT(LC$3,2) &amp; "-1",LC$3, $J$3, , $G$3, $H$3))),"")</f>
        <v/>
      </c>
      <c r="LD10" s="87" t="str">
        <f>IFERROR(IF(OR($B10="",LD$3=""),"",_xll.ciqfunctions.udf.CIQ($B10,"IQ_CASH_OPER",$I$3, LD$3,$J$3, ,$G$3,$H$3)*2/(_xll.ciqfunctions.udf.CIQ($B10,"IQ_TOTAL_CL",LD$3,$E$3, $J$3, , $G$3, $H$3)+_xll.ciqfunctions.udf.CIQ($B10,"IQ_TOTAL_CL","IQ_" &amp; LEFT(LD$3,2) &amp; "-1",LD$3, $J$3, , $G$3, $H$3))),"")</f>
        <v/>
      </c>
      <c r="LE10" s="87" t="str">
        <f>IFERROR(IF(OR($B10="",LE$3=""),"",_xll.ciqfunctions.udf.CIQ($B10,"IQ_CASH_OPER",$I$3, LE$3,$J$3, ,$G$3,$H$3)*2/(_xll.ciqfunctions.udf.CIQ($B10,"IQ_TOTAL_CL",LE$3,$E$3, $J$3, , $G$3, $H$3)+_xll.ciqfunctions.udf.CIQ($B10,"IQ_TOTAL_CL","IQ_" &amp; LEFT(LE$3,2) &amp; "-1",LE$3, $J$3, , $G$3, $H$3))),"")</f>
        <v/>
      </c>
      <c r="LF10" s="87" t="str">
        <f>IFERROR(IF(OR($B10="",LF$3=""),"",_xll.ciqfunctions.udf.CIQ($B10,"IQ_CASH_OPER",$I$3, LF$3,$J$3, ,$G$3,$H$3)*2/(_xll.ciqfunctions.udf.CIQ($B10,"IQ_TOTAL_CL",LF$3,$E$3, $J$3, , $G$3, $H$3)+_xll.ciqfunctions.udf.CIQ($B10,"IQ_TOTAL_CL","IQ_" &amp; LEFT(LF$3,2) &amp; "-1",LF$3, $J$3, , $G$3, $H$3))),"")</f>
        <v/>
      </c>
      <c r="LG10" s="87" t="str">
        <f>IFERROR(IF(OR($B10="",LG$3=""),"",_xll.ciqfunctions.udf.CIQ($B10,"IQ_CASH_OPER",$I$3, LG$3,$J$3, ,$G$3,$H$3)*2/(_xll.ciqfunctions.udf.CIQ($B10,"IQ_TOTAL_CL",LG$3,$E$3, $J$3, , $G$3, $H$3)+_xll.ciqfunctions.udf.CIQ($B10,"IQ_TOTAL_CL","IQ_" &amp; LEFT(LG$3,2) &amp; "-1",LG$3, $J$3, , $G$3, $H$3))),"")</f>
        <v/>
      </c>
      <c r="LH10" s="87" t="str">
        <f>IFERROR(IF(OR($B10="",LH$3=""),"",_xll.ciqfunctions.udf.CIQ($B10,"IQ_CASH_OPER",$I$3, LH$3,$J$3, ,$G$3,$H$3)*2/(_xll.ciqfunctions.udf.CIQ($B10,"IQ_TOTAL_CL",LH$3,$E$3, $J$3, , $G$3, $H$3)+_xll.ciqfunctions.udf.CIQ($B10,"IQ_TOTAL_CL","IQ_" &amp; LEFT(LH$3,2) &amp; "-1",LH$3, $J$3, , $G$3, $H$3))),"")</f>
        <v/>
      </c>
      <c r="LI10" s="87" t="str">
        <f>IFERROR(IF(OR($B10="",LI$3=""),"",_xll.ciqfunctions.udf.CIQ($B10,"IQ_CASH_OPER",$I$3, LI$3,$J$3, ,$G$3,$H$3)*2/(_xll.ciqfunctions.udf.CIQ($B10,"IQ_TOTAL_CL",LI$3,$E$3, $J$3, , $G$3, $H$3)+_xll.ciqfunctions.udf.CIQ($B10,"IQ_TOTAL_CL","IQ_" &amp; LEFT(LI$3,2) &amp; "-1",LI$3, $J$3, , $G$3, $H$3))),"")</f>
        <v/>
      </c>
      <c r="LJ10" s="87" t="str">
        <f>IFERROR(IF(OR($B10="",LJ$3=""),"",_xll.ciqfunctions.udf.CIQ($B10,"IQ_CASH_OPER",$I$3, LJ$3,$J$3, ,$G$3,$H$3)*2/(_xll.ciqfunctions.udf.CIQ($B10,"IQ_TOTAL_CL",LJ$3,$E$3, $J$3, , $G$3, $H$3)+_xll.ciqfunctions.udf.CIQ($B10,"IQ_TOTAL_CL","IQ_" &amp; LEFT(LJ$3,2) &amp; "-1",LJ$3, $J$3, , $G$3, $H$3))),"")</f>
        <v/>
      </c>
      <c r="LK10" s="87" t="str">
        <f>IFERROR(IF(OR($B10="",LK$3=""),"",_xll.ciqfunctions.udf.CIQ($B10,"IQ_CASH_OPER",$I$3, LK$3,$J$3, ,$G$3,$H$3)*2/(_xll.ciqfunctions.udf.CIQ($B10,"IQ_TOTAL_CL",LK$3,$E$3, $J$3, , $G$3, $H$3)+_xll.ciqfunctions.udf.CIQ($B10,"IQ_TOTAL_CL","IQ_" &amp; LEFT(LK$3,2) &amp; "-1",LK$3, $J$3, , $G$3, $H$3))),"")</f>
        <v/>
      </c>
      <c r="LL10" s="87" t="str">
        <f>IFERROR(IF(OR($B10="",LL$3=""),"",_xll.ciqfunctions.udf.CIQ($B10,"IQ_CASH_OPER",$I$3, LL$3,$J$3, ,$G$3,$H$3)*2/(_xll.ciqfunctions.udf.CIQ($B10,"IQ_TOTAL_CL",LL$3,$E$3, $J$3, , $G$3, $H$3)+_xll.ciqfunctions.udf.CIQ($B10,"IQ_TOTAL_CL","IQ_" &amp; LEFT(LL$3,2) &amp; "-1",LL$3, $J$3, , $G$3, $H$3))),"")</f>
        <v/>
      </c>
      <c r="LM10" s="87" t="str">
        <f>IFERROR(IF(OR($B10="",LM$3=""),"",_xll.ciqfunctions.udf.CIQ($B10,"IQ_CASH_OPER",$I$3, LM$3,$J$3, ,$G$3,$H$3)*2/(_xll.ciqfunctions.udf.CIQ($B10,"IQ_TOTAL_CL",LM$3,$E$3, $J$3, , $G$3, $H$3)+_xll.ciqfunctions.udf.CIQ($B10,"IQ_TOTAL_CL","IQ_" &amp; LEFT(LM$3,2) &amp; "-1",LM$3, $J$3, , $G$3, $H$3))),"")</f>
        <v/>
      </c>
      <c r="LN10" s="87" t="str">
        <f>IFERROR(IF(OR($B10="",LN$3=""),"",_xll.ciqfunctions.udf.CIQ($B10,"IQ_CASH_OPER",$I$3, LN$3,$J$3, ,$G$3,$H$3)*2/(_xll.ciqfunctions.udf.CIQ($B10,"IQ_TOTAL_CL",LN$3,$E$3, $J$3, , $G$3, $H$3)+_xll.ciqfunctions.udf.CIQ($B10,"IQ_TOTAL_CL","IQ_" &amp; LEFT(LN$3,2) &amp; "-1",LN$3, $J$3, , $G$3, $H$3))),"")</f>
        <v/>
      </c>
      <c r="LO10" s="87" t="str">
        <f>IFERROR(IF(OR($B10="",LO$3=""),"",_xll.ciqfunctions.udf.CIQ($B10,"IQ_CASH_OPER",$I$3, LO$3,$J$3, ,$G$3,$H$3)*2/(_xll.ciqfunctions.udf.CIQ($B10,"IQ_TOTAL_CL",LO$3,$E$3, $J$3, , $G$3, $H$3)+_xll.ciqfunctions.udf.CIQ($B10,"IQ_TOTAL_CL","IQ_" &amp; LEFT(LO$3,2) &amp; "-1",LO$3, $J$3, , $G$3, $H$3))),"")</f>
        <v/>
      </c>
      <c r="LP10" s="87" t="str">
        <f>IFERROR(IF(OR($B10="",LP$3=""),"",_xll.ciqfunctions.udf.CIQ($B10,"IQ_CASH_OPER",$I$3, LP$3,$J$3, ,$G$3,$H$3)*2/(_xll.ciqfunctions.udf.CIQ($B10,"IQ_TOTAL_CL",LP$3,$E$3, $J$3, , $G$3, $H$3)+_xll.ciqfunctions.udf.CIQ($B10,"IQ_TOTAL_CL","IQ_" &amp; LEFT(LP$3,2) &amp; "-1",LP$3, $J$3, , $G$3, $H$3))),"")</f>
        <v/>
      </c>
      <c r="LQ10" s="87" t="str">
        <f>IFERROR(IF(OR($B10="",LQ$3=""),"",_xll.ciqfunctions.udf.CIQ($B10,"IQ_CASH_OPER",$I$3, LQ$3,$J$3, ,$G$3,$H$3)*2/(_xll.ciqfunctions.udf.CIQ($B10,"IQ_TOTAL_CL",LQ$3,$E$3, $J$3, , $G$3, $H$3)+_xll.ciqfunctions.udf.CIQ($B10,"IQ_TOTAL_CL","IQ_" &amp; LEFT(LQ$3,2) &amp; "-1",LQ$3, $J$3, , $G$3, $H$3))),"")</f>
        <v/>
      </c>
      <c r="LR10" s="88" t="str">
        <f>IFERROR(IF(OR($B10="",LR$3=""),"",_xll.ciqfunctions.udf.CIQ($B10,"IQ_CASH_OPER",$I$3, LR$3,$J$3, ,$G$3,$H$3)*2/(_xll.ciqfunctions.udf.CIQ($B10,"IQ_TOTAL_CL",LR$3,$E$3, $J$3, , $G$3, $H$3)+_xll.ciqfunctions.udf.CIQ($B10,"IQ_TOTAL_CL","IQ_" &amp; LEFT(LR$3,2) &amp; "-1",LR$3, $J$3, , $G$3, $H$3))),"")</f>
        <v/>
      </c>
      <c r="LS10" s="86" t="str">
        <f>IFERROR(IF(OR($B10="",LS$3=""),"",IF(_xll.ciqfunctions.udf.CIQ($B10,"IQ_INC_TAX",LS$3,$E$3, $J$3, , $G$3, $H$3)/ABS(_xll.ciqfunctions.udf.CIQ($B10,"IQ_EBT",IQ_LTM,$E$3, $J$3, , $G$3, $H$3))&lt;0,0,_xll.ciqfunctions.udf.CIQ($B10,"IQ_INC_TAX",LS$3,$E$3, $J$3, , $G$3, $H$3)/ABS(_xll.ciqfunctions.udf.CIQ($B10,"IQ_EBT",LS$3,$E$3, $J$3, , $G$3, $H$3)))),"")</f>
        <v/>
      </c>
      <c r="LT10" s="87" t="str">
        <f>IFERROR(IF(OR($B10="",LT$3=""),"",IF(_xll.ciqfunctions.udf.CIQ($B10,"IQ_INC_TAX",LT$3,$E$3, $J$3, , $G$3, $H$3)/ABS(_xll.ciqfunctions.udf.CIQ($B10,"IQ_EBT",IQ_LTM,$E$3, $J$3, , $G$3, $H$3))&lt;0,0,_xll.ciqfunctions.udf.CIQ($B10,"IQ_INC_TAX",LT$3,$E$3, $J$3, , $G$3, $H$3)/ABS(_xll.ciqfunctions.udf.CIQ($B10,"IQ_EBT",LT$3,$E$3, $J$3, , $G$3, $H$3)))),"")</f>
        <v/>
      </c>
      <c r="LU10" s="87" t="str">
        <f>IFERROR(IF(OR($B10="",LU$3=""),"",IF(_xll.ciqfunctions.udf.CIQ($B10,"IQ_INC_TAX",LU$3,$E$3, $J$3, , $G$3, $H$3)/ABS(_xll.ciqfunctions.udf.CIQ($B10,"IQ_EBT",IQ_LTM,$E$3, $J$3, , $G$3, $H$3))&lt;0,0,_xll.ciqfunctions.udf.CIQ($B10,"IQ_INC_TAX",LU$3,$E$3, $J$3, , $G$3, $H$3)/ABS(_xll.ciqfunctions.udf.CIQ($B10,"IQ_EBT",LU$3,$E$3, $J$3, , $G$3, $H$3)))),"")</f>
        <v/>
      </c>
      <c r="LV10" s="87" t="str">
        <f>IFERROR(IF(OR($B10="",LV$3=""),"",IF(_xll.ciqfunctions.udf.CIQ($B10,"IQ_INC_TAX",LV$3,$E$3, $J$3, , $G$3, $H$3)/ABS(_xll.ciqfunctions.udf.CIQ($B10,"IQ_EBT",IQ_LTM,$E$3, $J$3, , $G$3, $H$3))&lt;0,0,_xll.ciqfunctions.udf.CIQ($B10,"IQ_INC_TAX",LV$3,$E$3, $J$3, , $G$3, $H$3)/ABS(_xll.ciqfunctions.udf.CIQ($B10,"IQ_EBT",LV$3,$E$3, $J$3, , $G$3, $H$3)))),"")</f>
        <v/>
      </c>
      <c r="LW10" s="87" t="str">
        <f>IFERROR(IF(OR($B10="",LW$3=""),"",IF(_xll.ciqfunctions.udf.CIQ($B10,"IQ_INC_TAX",LW$3,$E$3, $J$3, , $G$3, $H$3)/ABS(_xll.ciqfunctions.udf.CIQ($B10,"IQ_EBT",IQ_LTM,$E$3, $J$3, , $G$3, $H$3))&lt;0,0,_xll.ciqfunctions.udf.CIQ($B10,"IQ_INC_TAX",LW$3,$E$3, $J$3, , $G$3, $H$3)/ABS(_xll.ciqfunctions.udf.CIQ($B10,"IQ_EBT",LW$3,$E$3, $J$3, , $G$3, $H$3)))),"")</f>
        <v/>
      </c>
      <c r="LX10" s="87" t="str">
        <f>IFERROR(IF(OR($B10="",LX$3=""),"",IF(_xll.ciqfunctions.udf.CIQ($B10,"IQ_INC_TAX",LX$3,$E$3, $J$3, , $G$3, $H$3)/ABS(_xll.ciqfunctions.udf.CIQ($B10,"IQ_EBT",IQ_LTM,$E$3, $J$3, , $G$3, $H$3))&lt;0,0,_xll.ciqfunctions.udf.CIQ($B10,"IQ_INC_TAX",LX$3,$E$3, $J$3, , $G$3, $H$3)/ABS(_xll.ciqfunctions.udf.CIQ($B10,"IQ_EBT",LX$3,$E$3, $J$3, , $G$3, $H$3)))),"")</f>
        <v/>
      </c>
      <c r="LY10" s="87" t="str">
        <f>IFERROR(IF(OR($B10="",LY$3=""),"",IF(_xll.ciqfunctions.udf.CIQ($B10,"IQ_INC_TAX",LY$3,$E$3, $J$3, , $G$3, $H$3)/ABS(_xll.ciqfunctions.udf.CIQ($B10,"IQ_EBT",IQ_LTM,$E$3, $J$3, , $G$3, $H$3))&lt;0,0,_xll.ciqfunctions.udf.CIQ($B10,"IQ_INC_TAX",LY$3,$E$3, $J$3, , $G$3, $H$3)/ABS(_xll.ciqfunctions.udf.CIQ($B10,"IQ_EBT",LY$3,$E$3, $J$3, , $G$3, $H$3)))),"")</f>
        <v/>
      </c>
      <c r="LZ10" s="87" t="str">
        <f>IFERROR(IF(OR($B10="",LZ$3=""),"",IF(_xll.ciqfunctions.udf.CIQ($B10,"IQ_INC_TAX",LZ$3,$E$3, $J$3, , $G$3, $H$3)/ABS(_xll.ciqfunctions.udf.CIQ($B10,"IQ_EBT",IQ_LTM,$E$3, $J$3, , $G$3, $H$3))&lt;0,0,_xll.ciqfunctions.udf.CIQ($B10,"IQ_INC_TAX",LZ$3,$E$3, $J$3, , $G$3, $H$3)/ABS(_xll.ciqfunctions.udf.CIQ($B10,"IQ_EBT",LZ$3,$E$3, $J$3, , $G$3, $H$3)))),"")</f>
        <v/>
      </c>
      <c r="MA10" s="87" t="str">
        <f>IFERROR(IF(OR($B10="",MA$3=""),"",IF(_xll.ciqfunctions.udf.CIQ($B10,"IQ_INC_TAX",MA$3,$E$3, $J$3, , $G$3, $H$3)/ABS(_xll.ciqfunctions.udf.CIQ($B10,"IQ_EBT",IQ_LTM,$E$3, $J$3, , $G$3, $H$3))&lt;0,0,_xll.ciqfunctions.udf.CIQ($B10,"IQ_INC_TAX",MA$3,$E$3, $J$3, , $G$3, $H$3)/ABS(_xll.ciqfunctions.udf.CIQ($B10,"IQ_EBT",MA$3,$E$3, $J$3, , $G$3, $H$3)))),"")</f>
        <v/>
      </c>
      <c r="MB10" s="87" t="str">
        <f>IFERROR(IF(OR($B10="",MB$3=""),"",IF(_xll.ciqfunctions.udf.CIQ($B10,"IQ_INC_TAX",MB$3,$E$3, $J$3, , $G$3, $H$3)/ABS(_xll.ciqfunctions.udf.CIQ($B10,"IQ_EBT",IQ_LTM,$E$3, $J$3, , $G$3, $H$3))&lt;0,0,_xll.ciqfunctions.udf.CIQ($B10,"IQ_INC_TAX",MB$3,$E$3, $J$3, , $G$3, $H$3)/ABS(_xll.ciqfunctions.udf.CIQ($B10,"IQ_EBT",MB$3,$E$3, $J$3, , $G$3, $H$3)))),"")</f>
        <v/>
      </c>
      <c r="MC10" s="87" t="str">
        <f>IFERROR(IF(OR($B10="",MC$3=""),"",IF(_xll.ciqfunctions.udf.CIQ($B10,"IQ_INC_TAX",MC$3,$E$3, $J$3, , $G$3, $H$3)/ABS(_xll.ciqfunctions.udf.CIQ($B10,"IQ_EBT",IQ_LTM,$E$3, $J$3, , $G$3, $H$3))&lt;0,0,_xll.ciqfunctions.udf.CIQ($B10,"IQ_INC_TAX",MC$3,$E$3, $J$3, , $G$3, $H$3)/ABS(_xll.ciqfunctions.udf.CIQ($B10,"IQ_EBT",MC$3,$E$3, $J$3, , $G$3, $H$3)))),"")</f>
        <v/>
      </c>
      <c r="MD10" s="317" t="str">
        <f>IFERROR(IF(OR($B10="",MD$3=""),"",IF(_xll.ciqfunctions.udf.CIQ($B10,"IQ_INC_TAX",MD$3,$E$3, $J$3, , $G$3, $H$3)/ABS(_xll.ciqfunctions.udf.CIQ($B10,"IQ_EBT",IQ_LTM,$E$3, $J$3, , $G$3, $H$3))&lt;0,0,_xll.ciqfunctions.udf.CIQ($B10,"IQ_INC_TAX",MD$3,$E$3, $J$3, , $G$3, $H$3)/ABS(_xll.ciqfunctions.udf.CIQ($B10,"IQ_EBT",MD$3,$E$3, $J$3, , $G$3, $H$3)))),"")</f>
        <v/>
      </c>
      <c r="ME10" s="314" t="str">
        <f>IFERROR(IF(OR($B10="",ME$3=""),"",IF(_xll.ciqfunctions.udf.CIQ($B10,"IQ_INC_TAX",ME$3,$E$3, $J$3, , $G$3, $H$3)/ABS(_xll.ciqfunctions.udf.CIQ($B10,"IQ_EBT",IQ_LTM,$E$3, $J$3, , $G$3, $H$3))&lt;0,0,_xll.ciqfunctions.udf.CIQ($B10,"IQ_INC_TAX",ME$3,$E$3, $J$3, , $G$3, $H$3)/ABS(_xll.ciqfunctions.udf.CIQ($B10,"IQ_EBT",ME$3,$E$3, $J$3, , $G$3, $H$3)))),"")</f>
        <v/>
      </c>
      <c r="MF10" s="87" t="str">
        <f>IFERROR(IF(OR($B10="",MF$3=""),"",IF(_xll.ciqfunctions.udf.CIQ($B10,"IQ_INC_TAX",MF$3,$E$3, $J$3, , $G$3, $H$3)/ABS(_xll.ciqfunctions.udf.CIQ($B10,"IQ_EBT",IQ_LTM,$E$3, $J$3, , $G$3, $H$3))&lt;0,0,_xll.ciqfunctions.udf.CIQ($B10,"IQ_INC_TAX",MF$3,$E$3, $J$3, , $G$3, $H$3)/ABS(_xll.ciqfunctions.udf.CIQ($B10,"IQ_EBT",MF$3,$E$3, $J$3, , $G$3, $H$3)))),"")</f>
        <v/>
      </c>
      <c r="MG10" s="87" t="str">
        <f>IFERROR(IF(OR($B10="",MG$3=""),"",IF(_xll.ciqfunctions.udf.CIQ($B10,"IQ_INC_TAX",MG$3,$E$3, $J$3, , $G$3, $H$3)/ABS(_xll.ciqfunctions.udf.CIQ($B10,"IQ_EBT",IQ_LTM,$E$3, $J$3, , $G$3, $H$3))&lt;0,0,_xll.ciqfunctions.udf.CIQ($B10,"IQ_INC_TAX",MG$3,$E$3, $J$3, , $G$3, $H$3)/ABS(_xll.ciqfunctions.udf.CIQ($B10,"IQ_EBT",MG$3,$E$3, $J$3, , $G$3, $H$3)))),"")</f>
        <v/>
      </c>
      <c r="MH10" s="87" t="str">
        <f>IFERROR(IF(OR($B10="",MH$3=""),"",IF(_xll.ciqfunctions.udf.CIQ($B10,"IQ_INC_TAX",MH$3,$E$3, $J$3, , $G$3, $H$3)/ABS(_xll.ciqfunctions.udf.CIQ($B10,"IQ_EBT",IQ_LTM,$E$3, $J$3, , $G$3, $H$3))&lt;0,0,_xll.ciqfunctions.udf.CIQ($B10,"IQ_INC_TAX",MH$3,$E$3, $J$3, , $G$3, $H$3)/ABS(_xll.ciqfunctions.udf.CIQ($B10,"IQ_EBT",MH$3,$E$3, $J$3, , $G$3, $H$3)))),"")</f>
        <v/>
      </c>
      <c r="MI10" s="87" t="str">
        <f>IFERROR(IF(OR($B10="",MI$3=""),"",IF(_xll.ciqfunctions.udf.CIQ($B10,"IQ_INC_TAX",MI$3,$E$3, $J$3, , $G$3, $H$3)/ABS(_xll.ciqfunctions.udf.CIQ($B10,"IQ_EBT",IQ_LTM,$E$3, $J$3, , $G$3, $H$3))&lt;0,0,_xll.ciqfunctions.udf.CIQ($B10,"IQ_INC_TAX",MI$3,$E$3, $J$3, , $G$3, $H$3)/ABS(_xll.ciqfunctions.udf.CIQ($B10,"IQ_EBT",MI$3,$E$3, $J$3, , $G$3, $H$3)))),"")</f>
        <v/>
      </c>
      <c r="MJ10" s="87" t="str">
        <f>IFERROR(IF(OR($B10="",MJ$3=""),"",IF(_xll.ciqfunctions.udf.CIQ($B10,"IQ_INC_TAX",MJ$3,$E$3, $J$3, , $G$3, $H$3)/ABS(_xll.ciqfunctions.udf.CIQ($B10,"IQ_EBT",IQ_LTM,$E$3, $J$3, , $G$3, $H$3))&lt;0,0,_xll.ciqfunctions.udf.CIQ($B10,"IQ_INC_TAX",MJ$3,$E$3, $J$3, , $G$3, $H$3)/ABS(_xll.ciqfunctions.udf.CIQ($B10,"IQ_EBT",MJ$3,$E$3, $J$3, , $G$3, $H$3)))),"")</f>
        <v/>
      </c>
      <c r="MK10" s="87" t="str">
        <f>IFERROR(IF(OR($B10="",MK$3=""),"",IF(_xll.ciqfunctions.udf.CIQ($B10,"IQ_INC_TAX",MK$3,$E$3, $J$3, , $G$3, $H$3)/ABS(_xll.ciqfunctions.udf.CIQ($B10,"IQ_EBT",IQ_LTM,$E$3, $J$3, , $G$3, $H$3))&lt;0,0,_xll.ciqfunctions.udf.CIQ($B10,"IQ_INC_TAX",MK$3,$E$3, $J$3, , $G$3, $H$3)/ABS(_xll.ciqfunctions.udf.CIQ($B10,"IQ_EBT",MK$3,$E$3, $J$3, , $G$3, $H$3)))),"")</f>
        <v/>
      </c>
      <c r="ML10" s="88" t="str">
        <f>IFERROR(IF(OR($B10="",ML$3=""),"",IF(_xll.ciqfunctions.udf.CIQ($B10,"IQ_INC_TAX",ML$3,$E$3, $J$3, , $G$3, $H$3)/ABS(_xll.ciqfunctions.udf.CIQ($B10,"IQ_EBT",IQ_LTM,$E$3, $J$3, , $G$3, $H$3))&lt;0,0,_xll.ciqfunctions.udf.CIQ($B10,"IQ_INC_TAX",ML$3,$E$3, $J$3, , $G$3, $H$3)/ABS(_xll.ciqfunctions.udf.CIQ($B10,"IQ_EBT",ML$3,$E$3, $J$3, , $G$3, $H$3)))),"")</f>
        <v/>
      </c>
      <c r="MM10" s="72" t="str">
        <f>IFERROR(IF(OR($B10="",MM$3=""),"",(_xll.ciqfunctions.udf.CIQ($B10,"IQ_TIER_ONE_CAPITAL",MM$3,$E$3, $J$3, , $G$3, $H$3)+_xll.ciqfunctions.udf.CIQ($B10,"IQ_TIER_TWO_CAPITAL",MM$3,$E$3, $J$3, , $G$3, $H$3)-_xll.ciqfunctions.udf.CIQ($B10,"IQ_GW",MM$3,$E$3, $J$3, , $G$3, $H$3))/_xll.ciqfunctions.udf.CIQ($B10,"IQ_RISK_ADJ_BANK_ASSETS",MM$3,$E$3, $J$3, , $G$3, $H$3)),"")</f>
        <v/>
      </c>
      <c r="MN10" s="72" t="str">
        <f>IFERROR(IF(OR($B10="",MN$3=""),"",(_xll.ciqfunctions.udf.CIQ($B10,"IQ_TIER_ONE_CAPITAL",MN$3,$E$3, $J$3, , $G$3, $H$3)+_xll.ciqfunctions.udf.CIQ($B10,"IQ_TIER_TWO_CAPITAL",MN$3,$E$3, $J$3, , $G$3, $H$3)-_xll.ciqfunctions.udf.CIQ($B10,"IQ_GW",MN$3,$E$3, $J$3, , $G$3, $H$3))/_xll.ciqfunctions.udf.CIQ($B10,"IQ_RISK_ADJ_BANK_ASSETS",MN$3,$E$3, $J$3, , $G$3, $H$3)),"")</f>
        <v/>
      </c>
      <c r="MO10" s="72" t="str">
        <f>IFERROR(IF(OR($B10="",MO$3=""),"",(_xll.ciqfunctions.udf.CIQ($B10,"IQ_TIER_ONE_CAPITAL",MO$3,$E$3, $J$3, , $G$3, $H$3)+_xll.ciqfunctions.udf.CIQ($B10,"IQ_TIER_TWO_CAPITAL",MO$3,$E$3, $J$3, , $G$3, $H$3)-_xll.ciqfunctions.udf.CIQ($B10,"IQ_GW",MO$3,$E$3, $J$3, , $G$3, $H$3))/_xll.ciqfunctions.udf.CIQ($B10,"IQ_RISK_ADJ_BANK_ASSETS",MO$3,$E$3, $J$3, , $G$3, $H$3)),"")</f>
        <v/>
      </c>
      <c r="MP10" s="72" t="str">
        <f>IFERROR(IF(OR($B10="",MP$3=""),"",(_xll.ciqfunctions.udf.CIQ($B10,"IQ_TIER_ONE_CAPITAL",MP$3,$E$3, $J$3, , $G$3, $H$3)+_xll.ciqfunctions.udf.CIQ($B10,"IQ_TIER_TWO_CAPITAL",MP$3,$E$3, $J$3, , $G$3, $H$3)-_xll.ciqfunctions.udf.CIQ($B10,"IQ_GW",MP$3,$E$3, $J$3, , $G$3, $H$3))/_xll.ciqfunctions.udf.CIQ($B10,"IQ_RISK_ADJ_BANK_ASSETS",MP$3,$E$3, $J$3, , $G$3, $H$3)),"")</f>
        <v/>
      </c>
      <c r="MQ10" s="72" t="str">
        <f>IFERROR(IF(OR($B10="",MQ$3=""),"",(_xll.ciqfunctions.udf.CIQ($B10,"IQ_TIER_ONE_CAPITAL",MQ$3,$E$3, $J$3, , $G$3, $H$3)+_xll.ciqfunctions.udf.CIQ($B10,"IQ_TIER_TWO_CAPITAL",MQ$3,$E$3, $J$3, , $G$3, $H$3)-_xll.ciqfunctions.udf.CIQ($B10,"IQ_GW",MQ$3,$E$3, $J$3, , $G$3, $H$3))/_xll.ciqfunctions.udf.CIQ($B10,"IQ_RISK_ADJ_BANK_ASSETS",MQ$3,$E$3, $J$3, , $G$3, $H$3)),"")</f>
        <v/>
      </c>
      <c r="MR10" s="72" t="str">
        <f>IFERROR(IF(OR($B10="",MR$3=""),"",(_xll.ciqfunctions.udf.CIQ($B10,"IQ_TIER_ONE_CAPITAL",MR$3,$E$3, $J$3, , $G$3, $H$3)+_xll.ciqfunctions.udf.CIQ($B10,"IQ_TIER_TWO_CAPITAL",MR$3,$E$3, $J$3, , $G$3, $H$3)-_xll.ciqfunctions.udf.CIQ($B10,"IQ_GW",MR$3,$E$3, $J$3, , $G$3, $H$3))/_xll.ciqfunctions.udf.CIQ($B10,"IQ_RISK_ADJ_BANK_ASSETS",MR$3,$E$3, $J$3, , $G$3, $H$3)),"")</f>
        <v/>
      </c>
      <c r="MS10" s="72" t="str">
        <f>IFERROR(IF(OR($B10="",MS$3=""),"",(_xll.ciqfunctions.udf.CIQ($B10,"IQ_TIER_ONE_CAPITAL",MS$3,$E$3, $J$3, , $G$3, $H$3)+_xll.ciqfunctions.udf.CIQ($B10,"IQ_TIER_TWO_CAPITAL",MS$3,$E$3, $J$3, , $G$3, $H$3)-_xll.ciqfunctions.udf.CIQ($B10,"IQ_GW",MS$3,$E$3, $J$3, , $G$3, $H$3))/_xll.ciqfunctions.udf.CIQ($B10,"IQ_RISK_ADJ_BANK_ASSETS",MS$3,$E$3, $J$3, , $G$3, $H$3)),"")</f>
        <v/>
      </c>
      <c r="MT10" s="72" t="str">
        <f>IFERROR(IF(OR($B10="",MT$3=""),"",(_xll.ciqfunctions.udf.CIQ($B10,"IQ_TIER_ONE_CAPITAL",MT$3,$E$3, $J$3, , $G$3, $H$3)+_xll.ciqfunctions.udf.CIQ($B10,"IQ_TIER_TWO_CAPITAL",MT$3,$E$3, $J$3, , $G$3, $H$3)-_xll.ciqfunctions.udf.CIQ($B10,"IQ_GW",MT$3,$E$3, $J$3, , $G$3, $H$3))/_xll.ciqfunctions.udf.CIQ($B10,"IQ_RISK_ADJ_BANK_ASSETS",MT$3,$E$3, $J$3, , $G$3, $H$3)),"")</f>
        <v/>
      </c>
      <c r="MU10" s="72" t="str">
        <f>IFERROR(IF(OR($B10="",MU$3=""),"",(_xll.ciqfunctions.udf.CIQ($B10,"IQ_TIER_ONE_CAPITAL",MU$3,$E$3, $J$3, , $G$3, $H$3)+_xll.ciqfunctions.udf.CIQ($B10,"IQ_TIER_TWO_CAPITAL",MU$3,$E$3, $J$3, , $G$3, $H$3)-_xll.ciqfunctions.udf.CIQ($B10,"IQ_GW",MU$3,$E$3, $J$3, , $G$3, $H$3))/_xll.ciqfunctions.udf.CIQ($B10,"IQ_RISK_ADJ_BANK_ASSETS",MU$3,$E$3, $J$3, , $G$3, $H$3)),"")</f>
        <v/>
      </c>
      <c r="MV10" s="72" t="str">
        <f>IFERROR(IF(OR($B10="",MV$3=""),"",(_xll.ciqfunctions.udf.CIQ($B10,"IQ_TIER_ONE_CAPITAL",MV$3,$E$3, $J$3, , $G$3, $H$3)+_xll.ciqfunctions.udf.CIQ($B10,"IQ_TIER_TWO_CAPITAL",MV$3,$E$3, $J$3, , $G$3, $H$3)-_xll.ciqfunctions.udf.CIQ($B10,"IQ_GW",MV$3,$E$3, $J$3, , $G$3, $H$3))/_xll.ciqfunctions.udf.CIQ($B10,"IQ_RISK_ADJ_BANK_ASSETS",MV$3,$E$3, $J$3, , $G$3, $H$3)),"")</f>
        <v/>
      </c>
      <c r="MW10" s="72" t="str">
        <f>IFERROR(IF(OR($B10="",MW$3=""),"",(_xll.ciqfunctions.udf.CIQ($B10,"IQ_TIER_ONE_CAPITAL",MW$3,$E$3, $J$3, , $G$3, $H$3)+_xll.ciqfunctions.udf.CIQ($B10,"IQ_TIER_TWO_CAPITAL",MW$3,$E$3, $J$3, , $G$3, $H$3)-_xll.ciqfunctions.udf.CIQ($B10,"IQ_GW",MW$3,$E$3, $J$3, , $G$3, $H$3))/_xll.ciqfunctions.udf.CIQ($B10,"IQ_RISK_ADJ_BANK_ASSETS",MW$3,$E$3, $J$3, , $G$3, $H$3)),"")</f>
        <v/>
      </c>
      <c r="MX10" s="72" t="str">
        <f>IFERROR(IF(OR($B10="",MX$3=""),"",(_xll.ciqfunctions.udf.CIQ($B10,"IQ_TIER_ONE_CAPITAL",MX$3,$E$3, $J$3, , $G$3, $H$3)+_xll.ciqfunctions.udf.CIQ($B10,"IQ_TIER_TWO_CAPITAL",MX$3,$E$3, $J$3, , $G$3, $H$3)-_xll.ciqfunctions.udf.CIQ($B10,"IQ_GW",MX$3,$E$3, $J$3, , $G$3, $H$3))/_xll.ciqfunctions.udf.CIQ($B10,"IQ_RISK_ADJ_BANK_ASSETS",MX$3,$E$3, $J$3, , $G$3, $H$3)),"")</f>
        <v/>
      </c>
      <c r="MY10" s="72" t="str">
        <f>IFERROR(IF(OR($B10="",MY$3=""),"",(_xll.ciqfunctions.udf.CIQ($B10,"IQ_TIER_ONE_CAPITAL",MY$3,$E$3, $J$3, , $G$3, $H$3)+_xll.ciqfunctions.udf.CIQ($B10,"IQ_TIER_TWO_CAPITAL",MY$3,$E$3, $J$3, , $G$3, $H$3)-_xll.ciqfunctions.udf.CIQ($B10,"IQ_GW",MY$3,$E$3, $J$3, , $G$3, $H$3))/_xll.ciqfunctions.udf.CIQ($B10,"IQ_RISK_ADJ_BANK_ASSETS",MY$3,$E$3, $J$3, , $G$3, $H$3)),"")</f>
        <v/>
      </c>
      <c r="MZ10" s="72" t="str">
        <f>IFERROR(IF(OR($B10="",MZ$3=""),"",(_xll.ciqfunctions.udf.CIQ($B10,"IQ_TIER_ONE_CAPITAL",MZ$3,$E$3, $J$3, , $G$3, $H$3)+_xll.ciqfunctions.udf.CIQ($B10,"IQ_TIER_TWO_CAPITAL",MZ$3,$E$3, $J$3, , $G$3, $H$3)-_xll.ciqfunctions.udf.CIQ($B10,"IQ_GW",MZ$3,$E$3, $J$3, , $G$3, $H$3))/_xll.ciqfunctions.udf.CIQ($B10,"IQ_RISK_ADJ_BANK_ASSETS",MZ$3,$E$3, $J$3, , $G$3, $H$3)),"")</f>
        <v/>
      </c>
      <c r="NA10" s="72" t="str">
        <f>IFERROR(IF(OR($B10="",NA$3=""),"",(_xll.ciqfunctions.udf.CIQ($B10,"IQ_TIER_ONE_CAPITAL",NA$3,$E$3, $J$3, , $G$3, $H$3)+_xll.ciqfunctions.udf.CIQ($B10,"IQ_TIER_TWO_CAPITAL",NA$3,$E$3, $J$3, , $G$3, $H$3)-_xll.ciqfunctions.udf.CIQ($B10,"IQ_GW",NA$3,$E$3, $J$3, , $G$3, $H$3))/_xll.ciqfunctions.udf.CIQ($B10,"IQ_RISK_ADJ_BANK_ASSETS",NA$3,$E$3, $J$3, , $G$3, $H$3)),"")</f>
        <v/>
      </c>
      <c r="NB10" s="72" t="str">
        <f>IFERROR(IF(OR($B10="",NB$3=""),"",(_xll.ciqfunctions.udf.CIQ($B10,"IQ_TIER_ONE_CAPITAL",NB$3,$E$3, $J$3, , $G$3, $H$3)+_xll.ciqfunctions.udf.CIQ($B10,"IQ_TIER_TWO_CAPITAL",NB$3,$E$3, $J$3, , $G$3, $H$3)-_xll.ciqfunctions.udf.CIQ($B10,"IQ_GW",NB$3,$E$3, $J$3, , $G$3, $H$3))/_xll.ciqfunctions.udf.CIQ($B10,"IQ_RISK_ADJ_BANK_ASSETS",NB$3,$E$3, $J$3, , $G$3, $H$3)),"")</f>
        <v/>
      </c>
      <c r="NC10" s="72" t="str">
        <f>IFERROR(IF(OR($B10="",NC$3=""),"",(_xll.ciqfunctions.udf.CIQ($B10,"IQ_TIER_ONE_CAPITAL",NC$3,$E$3, $J$3, , $G$3, $H$3)+_xll.ciqfunctions.udf.CIQ($B10,"IQ_TIER_TWO_CAPITAL",NC$3,$E$3, $J$3, , $G$3, $H$3)-_xll.ciqfunctions.udf.CIQ($B10,"IQ_GW",NC$3,$E$3, $J$3, , $G$3, $H$3))/_xll.ciqfunctions.udf.CIQ($B10,"IQ_RISK_ADJ_BANK_ASSETS",NC$3,$E$3, $J$3, , $G$3, $H$3)),"")</f>
        <v/>
      </c>
      <c r="ND10" s="72" t="str">
        <f>IFERROR(IF(OR($B10="",ND$3=""),"",(_xll.ciqfunctions.udf.CIQ($B10,"IQ_TIER_ONE_CAPITAL",ND$3,$E$3, $J$3, , $G$3, $H$3)+_xll.ciqfunctions.udf.CIQ($B10,"IQ_TIER_TWO_CAPITAL",ND$3,$E$3, $J$3, , $G$3, $H$3)-_xll.ciqfunctions.udf.CIQ($B10,"IQ_GW",ND$3,$E$3, $J$3, , $G$3, $H$3))/_xll.ciqfunctions.udf.CIQ($B10,"IQ_RISK_ADJ_BANK_ASSETS",ND$3,$E$3, $J$3, , $G$3, $H$3)),"")</f>
        <v/>
      </c>
      <c r="NE10" s="72" t="str">
        <f>IFERROR(IF(OR($B10="",NE$3=""),"",(_xll.ciqfunctions.udf.CIQ($B10,"IQ_TIER_ONE_CAPITAL",NE$3,$E$3, $J$3, , $G$3, $H$3)+_xll.ciqfunctions.udf.CIQ($B10,"IQ_TIER_TWO_CAPITAL",NE$3,$E$3, $J$3, , $G$3, $H$3)-_xll.ciqfunctions.udf.CIQ($B10,"IQ_GW",NE$3,$E$3, $J$3, , $G$3, $H$3))/_xll.ciqfunctions.udf.CIQ($B10,"IQ_RISK_ADJ_BANK_ASSETS",NE$3,$E$3, $J$3, , $G$3, $H$3)),"")</f>
        <v/>
      </c>
      <c r="NF10" s="72" t="str">
        <f>IFERROR(IF(OR($B10="",NF$3=""),"",(_xll.ciqfunctions.udf.CIQ($B10,"IQ_TIER_ONE_CAPITAL",NF$3,$E$3, $J$3, , $G$3, $H$3)+_xll.ciqfunctions.udf.CIQ($B10,"IQ_TIER_TWO_CAPITAL",NF$3,$E$3, $J$3, , $G$3, $H$3)-_xll.ciqfunctions.udf.CIQ($B10,"IQ_GW",NF$3,$E$3, $J$3, , $G$3, $H$3))/_xll.ciqfunctions.udf.CIQ($B10,"IQ_RISK_ADJ_BANK_ASSETS",NF$3,$E$3, $J$3, , $G$3, $H$3)),"")</f>
        <v/>
      </c>
      <c r="NG10" s="72" t="str">
        <f>IFERROR(IF(OR($B10="",NG$3=""),"",-_xll.ciqfunctions.udf.CIQ($B10,"IQ_ALLOW_LL",NG$3,$E$3, $J$3, , $G$3, $H$3)/_xll.ciqfunctions.udf.CIQ($B10,"IQ_TOTAL_LOANS",NG$3,$E$3, $J$3, , $G$3, $H$3)),"")</f>
        <v/>
      </c>
      <c r="NH10" s="72" t="str">
        <f>IFERROR(IF(OR($B10="",NH$3=""),"",-_xll.ciqfunctions.udf.CIQ($B10,"IQ_ALLOW_LL",NH$3,$E$3, $J$3, , $G$3, $H$3)/_xll.ciqfunctions.udf.CIQ($B10,"IQ_TOTAL_LOANS",NH$3,$E$3, $J$3, , $G$3, $H$3)),"")</f>
        <v/>
      </c>
      <c r="NI10" s="72" t="str">
        <f>IFERROR(IF(OR($B10="",NI$3=""),"",-_xll.ciqfunctions.udf.CIQ($B10,"IQ_ALLOW_LL",NI$3,$E$3, $J$3, , $G$3, $H$3)/_xll.ciqfunctions.udf.CIQ($B10,"IQ_TOTAL_LOANS",NI$3,$E$3, $J$3, , $G$3, $H$3)),"")</f>
        <v/>
      </c>
      <c r="NJ10" s="72" t="str">
        <f>IFERROR(IF(OR($B10="",NJ$3=""),"",-_xll.ciqfunctions.udf.CIQ($B10,"IQ_ALLOW_LL",NJ$3,$E$3, $J$3, , $G$3, $H$3)/_xll.ciqfunctions.udf.CIQ($B10,"IQ_TOTAL_LOANS",NJ$3,$E$3, $J$3, , $G$3, $H$3)),"")</f>
        <v/>
      </c>
      <c r="NK10" s="72" t="str">
        <f>IFERROR(IF(OR($B10="",NK$3=""),"",-_xll.ciqfunctions.udf.CIQ($B10,"IQ_ALLOW_LL",NK$3,$E$3, $J$3, , $G$3, $H$3)/_xll.ciqfunctions.udf.CIQ($B10,"IQ_TOTAL_LOANS",NK$3,$E$3, $J$3, , $G$3, $H$3)),"")</f>
        <v/>
      </c>
      <c r="NL10" s="72" t="str">
        <f>IFERROR(IF(OR($B10="",NL$3=""),"",-_xll.ciqfunctions.udf.CIQ($B10,"IQ_ALLOW_LL",NL$3,$E$3, $J$3, , $G$3, $H$3)/_xll.ciqfunctions.udf.CIQ($B10,"IQ_TOTAL_LOANS",NL$3,$E$3, $J$3, , $G$3, $H$3)),"")</f>
        <v/>
      </c>
      <c r="NM10" s="72" t="str">
        <f>IFERROR(IF(OR($B10="",NM$3=""),"",-_xll.ciqfunctions.udf.CIQ($B10,"IQ_ALLOW_LL",NM$3,$E$3, $J$3, , $G$3, $H$3)/_xll.ciqfunctions.udf.CIQ($B10,"IQ_TOTAL_LOANS",NM$3,$E$3, $J$3, , $G$3, $H$3)),"")</f>
        <v/>
      </c>
      <c r="NN10" s="72" t="str">
        <f>IFERROR(IF(OR($B10="",NN$3=""),"",-_xll.ciqfunctions.udf.CIQ($B10,"IQ_ALLOW_LL",NN$3,$E$3, $J$3, , $G$3, $H$3)/_xll.ciqfunctions.udf.CIQ($B10,"IQ_TOTAL_LOANS",NN$3,$E$3, $J$3, , $G$3, $H$3)),"")</f>
        <v/>
      </c>
      <c r="NO10" s="72" t="str">
        <f>IFERROR(IF(OR($B10="",NO$3=""),"",-_xll.ciqfunctions.udf.CIQ($B10,"IQ_ALLOW_LL",NO$3,$E$3, $J$3, , $G$3, $H$3)/_xll.ciqfunctions.udf.CIQ($B10,"IQ_TOTAL_LOANS",NO$3,$E$3, $J$3, , $G$3, $H$3)),"")</f>
        <v/>
      </c>
      <c r="NP10" s="72" t="str">
        <f>IFERROR(IF(OR($B10="",NP$3=""),"",-_xll.ciqfunctions.udf.CIQ($B10,"IQ_ALLOW_LL",NP$3,$E$3, $J$3, , $G$3, $H$3)/_xll.ciqfunctions.udf.CIQ($B10,"IQ_TOTAL_LOANS",NP$3,$E$3, $J$3, , $G$3, $H$3)),"")</f>
        <v/>
      </c>
      <c r="NQ10" s="72" t="str">
        <f>IFERROR(IF(OR($B10="",NQ$3=""),"",-_xll.ciqfunctions.udf.CIQ($B10,"IQ_ALLOW_LL",NQ$3,$E$3, $J$3, , $G$3, $H$3)/_xll.ciqfunctions.udf.CIQ($B10,"IQ_TOTAL_LOANS",NQ$3,$E$3, $J$3, , $G$3, $H$3)),"")</f>
        <v/>
      </c>
      <c r="NR10" s="72" t="str">
        <f>IFERROR(IF(OR($B10="",NR$3=""),"",-_xll.ciqfunctions.udf.CIQ($B10,"IQ_ALLOW_LL",NR$3,$E$3, $J$3, , $G$3, $H$3)/_xll.ciqfunctions.udf.CIQ($B10,"IQ_TOTAL_LOANS",NR$3,$E$3, $J$3, , $G$3, $H$3)),"")</f>
        <v/>
      </c>
      <c r="NS10" s="72" t="str">
        <f>IFERROR(IF(OR($B10="",NS$3=""),"",-_xll.ciqfunctions.udf.CIQ($B10,"IQ_ALLOW_LL",NS$3,$E$3, $J$3, , $G$3, $H$3)/_xll.ciqfunctions.udf.CIQ($B10,"IQ_TOTAL_LOANS",NS$3,$E$3, $J$3, , $G$3, $H$3)),"")</f>
        <v/>
      </c>
      <c r="NT10" s="72" t="str">
        <f>IFERROR(IF(OR($B10="",NT$3=""),"",-_xll.ciqfunctions.udf.CIQ($B10,"IQ_ALLOW_LL",NT$3,$E$3, $J$3, , $G$3, $H$3)/_xll.ciqfunctions.udf.CIQ($B10,"IQ_TOTAL_LOANS",NT$3,$E$3, $J$3, , $G$3, $H$3)),"")</f>
        <v/>
      </c>
      <c r="NU10" s="72" t="str">
        <f>IFERROR(IF(OR($B10="",NU$3=""),"",-_xll.ciqfunctions.udf.CIQ($B10,"IQ_ALLOW_LL",NU$3,$E$3, $J$3, , $G$3, $H$3)/_xll.ciqfunctions.udf.CIQ($B10,"IQ_TOTAL_LOANS",NU$3,$E$3, $J$3, , $G$3, $H$3)),"")</f>
        <v/>
      </c>
      <c r="NV10" s="72" t="str">
        <f>IFERROR(IF(OR($B10="",NV$3=""),"",-_xll.ciqfunctions.udf.CIQ($B10,"IQ_ALLOW_LL",NV$3,$E$3, $J$3, , $G$3, $H$3)/_xll.ciqfunctions.udf.CIQ($B10,"IQ_TOTAL_LOANS",NV$3,$E$3, $J$3, , $G$3, $H$3)),"")</f>
        <v/>
      </c>
      <c r="NW10" s="72" t="str">
        <f>IFERROR(IF(OR($B10="",NW$3=""),"",-_xll.ciqfunctions.udf.CIQ($B10,"IQ_ALLOW_LL",NW$3,$E$3, $J$3, , $G$3, $H$3)/_xll.ciqfunctions.udf.CIQ($B10,"IQ_TOTAL_LOANS",NW$3,$E$3, $J$3, , $G$3, $H$3)),"")</f>
        <v/>
      </c>
      <c r="NX10" s="72" t="str">
        <f>IFERROR(IF(OR($B10="",NX$3=""),"",-_xll.ciqfunctions.udf.CIQ($B10,"IQ_ALLOW_LL",NX$3,$E$3, $J$3, , $G$3, $H$3)/_xll.ciqfunctions.udf.CIQ($B10,"IQ_TOTAL_LOANS",NX$3,$E$3, $J$3, , $G$3, $H$3)),"")</f>
        <v/>
      </c>
      <c r="NY10" s="72" t="str">
        <f>IFERROR(IF(OR($B10="",NY$3=""),"",-_xll.ciqfunctions.udf.CIQ($B10,"IQ_ALLOW_LL",NY$3,$E$3, $J$3, , $G$3, $H$3)/_xll.ciqfunctions.udf.CIQ($B10,"IQ_TOTAL_LOANS",NY$3,$E$3, $J$3, , $G$3, $H$3)),"")</f>
        <v/>
      </c>
      <c r="NZ10" s="72" t="str">
        <f>IFERROR(IF(OR($B10="",NZ$3=""),"",-_xll.ciqfunctions.udf.CIQ($B10,"IQ_ALLOW_LL",NZ$3,$E$3, $J$3, , $G$3, $H$3)/_xll.ciqfunctions.udf.CIQ($B10,"IQ_TOTAL_LOANS",NZ$3,$E$3, $J$3, , $G$3, $H$3)),"")</f>
        <v/>
      </c>
      <c r="OA10" s="72" t="str">
        <f>IFERROR(IF(OR($B10="",OA$3=""),"",_xll.ciqfunctions.udf.CIQ($B10,"IQ_TOTAL_LOANS",OA$3,$E$3, $J$3, , $G$3, $H$3)/_xll.ciqfunctions.udf.CIQ($B10,"IQ_TOTAL_DEPOSITS",OA$3,$E$3, $J$3, , $G$3, $H$3)),"")</f>
        <v/>
      </c>
      <c r="OB10" s="72" t="str">
        <f>IFERROR(IF(OR($B10="",OB$3=""),"",_xll.ciqfunctions.udf.CIQ($B10,"IQ_TOTAL_LOANS",OB$3,$E$3, $J$3, , $G$3, $H$3)/_xll.ciqfunctions.udf.CIQ($B10,"IQ_TOTAL_DEPOSITS",OB$3,$E$3, $J$3, , $G$3, $H$3)),"")</f>
        <v/>
      </c>
      <c r="OC10" s="72" t="str">
        <f>IFERROR(IF(OR($B10="",OC$3=""),"",_xll.ciqfunctions.udf.CIQ($B10,"IQ_TOTAL_LOANS",OC$3,$E$3, $J$3, , $G$3, $H$3)/_xll.ciqfunctions.udf.CIQ($B10,"IQ_TOTAL_DEPOSITS",OC$3,$E$3, $J$3, , $G$3, $H$3)),"")</f>
        <v/>
      </c>
      <c r="OD10" s="72" t="str">
        <f>IFERROR(IF(OR($B10="",OD$3=""),"",_xll.ciqfunctions.udf.CIQ($B10,"IQ_TOTAL_LOANS",OD$3,$E$3, $J$3, , $G$3, $H$3)/_xll.ciqfunctions.udf.CIQ($B10,"IQ_TOTAL_DEPOSITS",OD$3,$E$3, $J$3, , $G$3, $H$3)),"")</f>
        <v/>
      </c>
      <c r="OE10" s="72" t="str">
        <f>IFERROR(IF(OR($B10="",OE$3=""),"",_xll.ciqfunctions.udf.CIQ($B10,"IQ_TOTAL_LOANS",OE$3,$E$3, $J$3, , $G$3, $H$3)/_xll.ciqfunctions.udf.CIQ($B10,"IQ_TOTAL_DEPOSITS",OE$3,$E$3, $J$3, , $G$3, $H$3)),"")</f>
        <v/>
      </c>
      <c r="OF10" s="72" t="str">
        <f>IFERROR(IF(OR($B10="",OF$3=""),"",_xll.ciqfunctions.udf.CIQ($B10,"IQ_TOTAL_LOANS",OF$3,$E$3, $J$3, , $G$3, $H$3)/_xll.ciqfunctions.udf.CIQ($B10,"IQ_TOTAL_DEPOSITS",OF$3,$E$3, $J$3, , $G$3, $H$3)),"")</f>
        <v/>
      </c>
      <c r="OG10" s="72" t="str">
        <f>IFERROR(IF(OR($B10="",OG$3=""),"",_xll.ciqfunctions.udf.CIQ($B10,"IQ_TOTAL_LOANS",OG$3,$E$3, $J$3, , $G$3, $H$3)/_xll.ciqfunctions.udf.CIQ($B10,"IQ_TOTAL_DEPOSITS",OG$3,$E$3, $J$3, , $G$3, $H$3)),"")</f>
        <v/>
      </c>
      <c r="OH10" s="72" t="str">
        <f>IFERROR(IF(OR($B10="",OH$3=""),"",_xll.ciqfunctions.udf.CIQ($B10,"IQ_TOTAL_LOANS",OH$3,$E$3, $J$3, , $G$3, $H$3)/_xll.ciqfunctions.udf.CIQ($B10,"IQ_TOTAL_DEPOSITS",OH$3,$E$3, $J$3, , $G$3, $H$3)),"")</f>
        <v/>
      </c>
      <c r="OI10" s="72" t="str">
        <f>IFERROR(IF(OR($B10="",OI$3=""),"",_xll.ciqfunctions.udf.CIQ($B10,"IQ_TOTAL_LOANS",OI$3,$E$3, $J$3, , $G$3, $H$3)/_xll.ciqfunctions.udf.CIQ($B10,"IQ_TOTAL_DEPOSITS",OI$3,$E$3, $J$3, , $G$3, $H$3)),"")</f>
        <v/>
      </c>
      <c r="OJ10" s="72" t="str">
        <f>IFERROR(IF(OR($B10="",OJ$3=""),"",_xll.ciqfunctions.udf.CIQ($B10,"IQ_TOTAL_LOANS",OJ$3,$E$3, $J$3, , $G$3, $H$3)/_xll.ciqfunctions.udf.CIQ($B10,"IQ_TOTAL_DEPOSITS",OJ$3,$E$3, $J$3, , $G$3, $H$3)),"")</f>
        <v/>
      </c>
      <c r="OK10" s="72" t="str">
        <f>IFERROR(IF(OR($B10="",OK$3=""),"",_xll.ciqfunctions.udf.CIQ($B10,"IQ_TOTAL_LOANS",OK$3,$E$3, $J$3, , $G$3, $H$3)/_xll.ciqfunctions.udf.CIQ($B10,"IQ_TOTAL_DEPOSITS",OK$3,$E$3, $J$3, , $G$3, $H$3)),"")</f>
        <v/>
      </c>
      <c r="OL10" s="72" t="str">
        <f>IFERROR(IF(OR($B10="",OL$3=""),"",_xll.ciqfunctions.udf.CIQ($B10,"IQ_TOTAL_LOANS",OL$3,$E$3, $J$3, , $G$3, $H$3)/_xll.ciqfunctions.udf.CIQ($B10,"IQ_TOTAL_DEPOSITS",OL$3,$E$3, $J$3, , $G$3, $H$3)),"")</f>
        <v/>
      </c>
      <c r="OM10" s="72" t="str">
        <f>IFERROR(IF(OR($B10="",OM$3=""),"",_xll.ciqfunctions.udf.CIQ($B10,"IQ_TOTAL_LOANS",OM$3,$E$3, $J$3, , $G$3, $H$3)/_xll.ciqfunctions.udf.CIQ($B10,"IQ_TOTAL_DEPOSITS",OM$3,$E$3, $J$3, , $G$3, $H$3)),"")</f>
        <v/>
      </c>
      <c r="ON10" s="72" t="str">
        <f>IFERROR(IF(OR($B10="",ON$3=""),"",_xll.ciqfunctions.udf.CIQ($B10,"IQ_TOTAL_LOANS",ON$3,$E$3, $J$3, , $G$3, $H$3)/_xll.ciqfunctions.udf.CIQ($B10,"IQ_TOTAL_DEPOSITS",ON$3,$E$3, $J$3, , $G$3, $H$3)),"")</f>
        <v/>
      </c>
      <c r="OO10" s="72" t="str">
        <f>IFERROR(IF(OR($B10="",OO$3=""),"",_xll.ciqfunctions.udf.CIQ($B10,"IQ_TOTAL_LOANS",OO$3,$E$3, $J$3, , $G$3, $H$3)/_xll.ciqfunctions.udf.CIQ($B10,"IQ_TOTAL_DEPOSITS",OO$3,$E$3, $J$3, , $G$3, $H$3)),"")</f>
        <v/>
      </c>
      <c r="OP10" s="72" t="str">
        <f>IFERROR(IF(OR($B10="",OP$3=""),"",_xll.ciqfunctions.udf.CIQ($B10,"IQ_TOTAL_LOANS",OP$3,$E$3, $J$3, , $G$3, $H$3)/_xll.ciqfunctions.udf.CIQ($B10,"IQ_TOTAL_DEPOSITS",OP$3,$E$3, $J$3, , $G$3, $H$3)),"")</f>
        <v/>
      </c>
      <c r="OQ10" s="72" t="str">
        <f>IFERROR(IF(OR($B10="",OQ$3=""),"",_xll.ciqfunctions.udf.CIQ($B10,"IQ_TOTAL_LOANS",OQ$3,$E$3, $J$3, , $G$3, $H$3)/_xll.ciqfunctions.udf.CIQ($B10,"IQ_TOTAL_DEPOSITS",OQ$3,$E$3, $J$3, , $G$3, $H$3)),"")</f>
        <v/>
      </c>
      <c r="OR10" s="72" t="str">
        <f>IFERROR(IF(OR($B10="",OR$3=""),"",_xll.ciqfunctions.udf.CIQ($B10,"IQ_TOTAL_LOANS",OR$3,$E$3, $J$3, , $G$3, $H$3)/_xll.ciqfunctions.udf.CIQ($B10,"IQ_TOTAL_DEPOSITS",OR$3,$E$3, $J$3, , $G$3, $H$3)),"")</f>
        <v/>
      </c>
      <c r="OS10" s="72" t="str">
        <f>IFERROR(IF(OR($B10="",OS$3=""),"",_xll.ciqfunctions.udf.CIQ($B10,"IQ_TOTAL_LOANS",OS$3,$E$3, $J$3, , $G$3, $H$3)/_xll.ciqfunctions.udf.CIQ($B10,"IQ_TOTAL_DEPOSITS",OS$3,$E$3, $J$3, , $G$3, $H$3)),"")</f>
        <v/>
      </c>
      <c r="OT10" s="72" t="str">
        <f>IFERROR(IF(OR($B10="",OT$3=""),"",_xll.ciqfunctions.udf.CIQ($B10,"IQ_TOTAL_LOANS",OT$3,$E$3, $J$3, , $G$3, $H$3)/_xll.ciqfunctions.udf.CIQ($B10,"IQ_TOTAL_DEPOSITS",OT$3,$E$3, $J$3, , $G$3, $H$3)),"")</f>
        <v/>
      </c>
      <c r="OU10" s="72" t="str">
        <f>IFERROR(IF(OR($B10="",OU$3=""),"",_xll.ciqfunctions.udf.CIQ($B10,"IQ_NON_PERFORMING_LOANS",OU$3,$E$3, $J$3, , $G$3, $H$3)/_xll.ciqfunctions.udf.CIQ($B10,"IQ_TOTAL_EQUITY",OU$3,$E$3, $J$3, , $G$3, $H$3)),"")</f>
        <v/>
      </c>
      <c r="OV10" s="72" t="str">
        <f>IFERROR(IF(OR($B10="",OV$3=""),"",_xll.ciqfunctions.udf.CIQ($B10,"IQ_NON_PERFORMING_LOANS",OV$3,$E$3, $J$3, , $G$3, $H$3)/_xll.ciqfunctions.udf.CIQ($B10,"IQ_TOTAL_EQUITY",OV$3,$E$3, $J$3, , $G$3, $H$3)),"")</f>
        <v/>
      </c>
      <c r="OW10" s="72" t="str">
        <f>IFERROR(IF(OR($B10="",OW$3=""),"",_xll.ciqfunctions.udf.CIQ($B10,"IQ_NON_PERFORMING_LOANS",OW$3,$E$3, $J$3, , $G$3, $H$3)/_xll.ciqfunctions.udf.CIQ($B10,"IQ_TOTAL_EQUITY",OW$3,$E$3, $J$3, , $G$3, $H$3)),"")</f>
        <v/>
      </c>
      <c r="OX10" s="72" t="str">
        <f>IFERROR(IF(OR($B10="",OX$3=""),"",_xll.ciqfunctions.udf.CIQ($B10,"IQ_NON_PERFORMING_LOANS",OX$3,$E$3, $J$3, , $G$3, $H$3)/_xll.ciqfunctions.udf.CIQ($B10,"IQ_TOTAL_EQUITY",OX$3,$E$3, $J$3, , $G$3, $H$3)),"")</f>
        <v/>
      </c>
      <c r="OY10" s="72" t="str">
        <f>IFERROR(IF(OR($B10="",OY$3=""),"",_xll.ciqfunctions.udf.CIQ($B10,"IQ_NON_PERFORMING_LOANS",OY$3,$E$3, $J$3, , $G$3, $H$3)/_xll.ciqfunctions.udf.CIQ($B10,"IQ_TOTAL_EQUITY",OY$3,$E$3, $J$3, , $G$3, $H$3)),"")</f>
        <v/>
      </c>
      <c r="OZ10" s="72" t="str">
        <f>IFERROR(IF(OR($B10="",OZ$3=""),"",_xll.ciqfunctions.udf.CIQ($B10,"IQ_NON_PERFORMING_LOANS",OZ$3,$E$3, $J$3, , $G$3, $H$3)/_xll.ciqfunctions.udf.CIQ($B10,"IQ_TOTAL_EQUITY",OZ$3,$E$3, $J$3, , $G$3, $H$3)),"")</f>
        <v/>
      </c>
      <c r="PA10" s="72" t="str">
        <f>IFERROR(IF(OR($B10="",PA$3=""),"",_xll.ciqfunctions.udf.CIQ($B10,"IQ_NON_PERFORMING_LOANS",PA$3,$E$3, $J$3, , $G$3, $H$3)/_xll.ciqfunctions.udf.CIQ($B10,"IQ_TOTAL_EQUITY",PA$3,$E$3, $J$3, , $G$3, $H$3)),"")</f>
        <v/>
      </c>
      <c r="PB10" s="72" t="str">
        <f>IFERROR(IF(OR($B10="",PB$3=""),"",_xll.ciqfunctions.udf.CIQ($B10,"IQ_NON_PERFORMING_LOANS",PB$3,$E$3, $J$3, , $G$3, $H$3)/_xll.ciqfunctions.udf.CIQ($B10,"IQ_TOTAL_EQUITY",PB$3,$E$3, $J$3, , $G$3, $H$3)),"")</f>
        <v/>
      </c>
      <c r="PC10" s="72" t="str">
        <f>IFERROR(IF(OR($B10="",PC$3=""),"",_xll.ciqfunctions.udf.CIQ($B10,"IQ_NON_PERFORMING_LOANS",PC$3,$E$3, $J$3, , $G$3, $H$3)/_xll.ciqfunctions.udf.CIQ($B10,"IQ_TOTAL_EQUITY",PC$3,$E$3, $J$3, , $G$3, $H$3)),"")</f>
        <v/>
      </c>
      <c r="PD10" s="72" t="str">
        <f>IFERROR(IF(OR($B10="",PD$3=""),"",_xll.ciqfunctions.udf.CIQ($B10,"IQ_NON_PERFORMING_LOANS",PD$3,$E$3, $J$3, , $G$3, $H$3)/_xll.ciqfunctions.udf.CIQ($B10,"IQ_TOTAL_EQUITY",PD$3,$E$3, $J$3, , $G$3, $H$3)),"")</f>
        <v/>
      </c>
      <c r="PE10" s="72" t="str">
        <f>IFERROR(IF(OR($B10="",PE$3=""),"",_xll.ciqfunctions.udf.CIQ($B10,"IQ_NON_PERFORMING_LOANS",PE$3,$E$3, $J$3, , $G$3, $H$3)/_xll.ciqfunctions.udf.CIQ($B10,"IQ_TOTAL_EQUITY",PE$3,$E$3, $J$3, , $G$3, $H$3)),"")</f>
        <v/>
      </c>
      <c r="PF10" s="72" t="str">
        <f>IFERROR(IF(OR($B10="",PF$3=""),"",_xll.ciqfunctions.udf.CIQ($B10,"IQ_NON_PERFORMING_LOANS",PF$3,$E$3, $J$3, , $G$3, $H$3)/_xll.ciqfunctions.udf.CIQ($B10,"IQ_TOTAL_EQUITY",PF$3,$E$3, $J$3, , $G$3, $H$3)),"")</f>
        <v/>
      </c>
      <c r="PG10" s="72" t="str">
        <f>IFERROR(IF(OR($B10="",PG$3=""),"",_xll.ciqfunctions.udf.CIQ($B10,"IQ_NON_PERFORMING_LOANS",PG$3,$E$3, $J$3, , $G$3, $H$3)/_xll.ciqfunctions.udf.CIQ($B10,"IQ_TOTAL_EQUITY",PG$3,$E$3, $J$3, , $G$3, $H$3)),"")</f>
        <v/>
      </c>
      <c r="PH10" s="72" t="str">
        <f>IFERROR(IF(OR($B10="",PH$3=""),"",_xll.ciqfunctions.udf.CIQ($B10,"IQ_NON_PERFORMING_LOANS",PH$3,$E$3, $J$3, , $G$3, $H$3)/_xll.ciqfunctions.udf.CIQ($B10,"IQ_TOTAL_EQUITY",PH$3,$E$3, $J$3, , $G$3, $H$3)),"")</f>
        <v/>
      </c>
      <c r="PI10" s="72" t="str">
        <f>IFERROR(IF(OR($B10="",PI$3=""),"",_xll.ciqfunctions.udf.CIQ($B10,"IQ_NON_PERFORMING_LOANS",PI$3,$E$3, $J$3, , $G$3, $H$3)/_xll.ciqfunctions.udf.CIQ($B10,"IQ_TOTAL_EQUITY",PI$3,$E$3, $J$3, , $G$3, $H$3)),"")</f>
        <v/>
      </c>
      <c r="PJ10" s="72" t="str">
        <f>IFERROR(IF(OR($B10="",PJ$3=""),"",_xll.ciqfunctions.udf.CIQ($B10,"IQ_NON_PERFORMING_LOANS",PJ$3,$E$3, $J$3, , $G$3, $H$3)/_xll.ciqfunctions.udf.CIQ($B10,"IQ_TOTAL_EQUITY",PJ$3,$E$3, $J$3, , $G$3, $H$3)),"")</f>
        <v/>
      </c>
      <c r="PK10" s="72" t="str">
        <f>IFERROR(IF(OR($B10="",PK$3=""),"",_xll.ciqfunctions.udf.CIQ($B10,"IQ_NON_PERFORMING_LOANS",PK$3,$E$3, $J$3, , $G$3, $H$3)/_xll.ciqfunctions.udf.CIQ($B10,"IQ_TOTAL_EQUITY",PK$3,$E$3, $J$3, , $G$3, $H$3)),"")</f>
        <v/>
      </c>
      <c r="PL10" s="72" t="str">
        <f>IFERROR(IF(OR($B10="",PL$3=""),"",_xll.ciqfunctions.udf.CIQ($B10,"IQ_NON_PERFORMING_LOANS",PL$3,$E$3, $J$3, , $G$3, $H$3)/_xll.ciqfunctions.udf.CIQ($B10,"IQ_TOTAL_EQUITY",PL$3,$E$3, $J$3, , $G$3, $H$3)),"")</f>
        <v/>
      </c>
      <c r="PM10" s="72" t="str">
        <f>IFERROR(IF(OR($B10="",PM$3=""),"",_xll.ciqfunctions.udf.CIQ($B10,"IQ_NON_PERFORMING_LOANS",PM$3,$E$3, $J$3, , $G$3, $H$3)/_xll.ciqfunctions.udf.CIQ($B10,"IQ_TOTAL_EQUITY",PM$3,$E$3, $J$3, , $G$3, $H$3)),"")</f>
        <v/>
      </c>
      <c r="PN10" s="72" t="str">
        <f>IFERROR(IF(OR($B10="",PN$3=""),"",_xll.ciqfunctions.udf.CIQ($B10,"IQ_NON_PERFORMING_LOANS",PN$3,$E$3, $J$3, , $G$3, $H$3)/_xll.ciqfunctions.udf.CIQ($B10,"IQ_TOTAL_EQUITY",PN$3,$E$3, $J$3, , $G$3, $H$3)),"")</f>
        <v/>
      </c>
      <c r="PO10" s="72" t="str">
        <f>IFERROR(IF(OR($B10="",PO$3=""),"",(_xll.ciqfunctions.udf.CIQ($B10,"IQ_LASTSALEPRICE",PO$4)/_xll.ciqfunctions.udf.CIQ($B10,"IQ_LASTSALEPRICE",PO$2)-1)+(_xll.ciqfunctions.udf.CIQ($B10, "IQ_DPS_1YR_ANN_GROWTH", "IQ_LTM", PO$4)/100)),"")</f>
        <v/>
      </c>
      <c r="PP10" s="72" t="str">
        <f>IFERROR(IF(OR($B10="",PP$3=""),"",(_xll.ciqfunctions.udf.CIQ($B10,"IQ_LASTSALEPRICE",PP$4)/_xll.ciqfunctions.udf.CIQ($B10,"IQ_LASTSALEPRICE",PP$2)-1)+(_xll.ciqfunctions.udf.CIQ($B10, "IQ_DPS_1YR_ANN_GROWTH", "IQ_LTM", PP$4)/100)),"")</f>
        <v/>
      </c>
      <c r="PQ10" s="72" t="str">
        <f>IFERROR(IF(OR($B10="",PQ$3=""),"",(_xll.ciqfunctions.udf.CIQ($B10,"IQ_LASTSALEPRICE",PQ$4)/_xll.ciqfunctions.udf.CIQ($B10,"IQ_LASTSALEPRICE",PQ$2)-1)+(_xll.ciqfunctions.udf.CIQ($B10, "IQ_DPS_1YR_ANN_GROWTH", "IQ_LTM", PQ$4)/100)),"")</f>
        <v/>
      </c>
      <c r="PR10" s="72" t="str">
        <f>IFERROR(IF(OR($B10="",PR$3=""),"",(_xll.ciqfunctions.udf.CIQ($B10,"IQ_LASTSALEPRICE",PR$4)/_xll.ciqfunctions.udf.CIQ($B10,"IQ_LASTSALEPRICE",PR$2)-1)+(_xll.ciqfunctions.udf.CIQ($B10, "IQ_DPS_1YR_ANN_GROWTH", "IQ_LTM", PR$4)/100)),"")</f>
        <v/>
      </c>
      <c r="PS10" s="72" t="str">
        <f>IFERROR(IF(OR($B10="",PS$3=""),"",(_xll.ciqfunctions.udf.CIQ($B10,"IQ_LASTSALEPRICE",PS$4)/_xll.ciqfunctions.udf.CIQ($B10,"IQ_LASTSALEPRICE",PS$2)-1)+(_xll.ciqfunctions.udf.CIQ($B10, "IQ_DPS_1YR_ANN_GROWTH", "IQ_LTM", PS$4)/100)),"")</f>
        <v/>
      </c>
      <c r="PT10" s="72" t="str">
        <f>IFERROR(IF(OR($B10="",PT$3=""),"",(_xll.ciqfunctions.udf.CIQ($B10,"IQ_LASTSALEPRICE",PT$4)/_xll.ciqfunctions.udf.CIQ($B10,"IQ_LASTSALEPRICE",PT$2)-1)+(_xll.ciqfunctions.udf.CIQ($B10, "IQ_DPS_1YR_ANN_GROWTH", "IQ_LTM", PT$4)/100)),"")</f>
        <v/>
      </c>
      <c r="PU10" s="72" t="str">
        <f>IFERROR(IF(OR($B10="",PU$3=""),"",(_xll.ciqfunctions.udf.CIQ($B10,"IQ_LASTSALEPRICE",PU$4)/_xll.ciqfunctions.udf.CIQ($B10,"IQ_LASTSALEPRICE",PU$2)-1)+(_xll.ciqfunctions.udf.CIQ($B10, "IQ_DPS_1YR_ANN_GROWTH", "IQ_LTM", PU$4)/100)),"")</f>
        <v/>
      </c>
      <c r="PV10" s="72" t="str">
        <f>IFERROR(IF(OR($B10="",PV$3=""),"",(_xll.ciqfunctions.udf.CIQ($B10,"IQ_LASTSALEPRICE",PV$4)/_xll.ciqfunctions.udf.CIQ($B10,"IQ_LASTSALEPRICE",PV$2)-1)+(_xll.ciqfunctions.udf.CIQ($B10, "IQ_DPS_1YR_ANN_GROWTH", "IQ_LTM", PV$4)/100)),"")</f>
        <v/>
      </c>
      <c r="PW10" s="72" t="str">
        <f>IFERROR(IF(OR($B10="",PW$3=""),"",(_xll.ciqfunctions.udf.CIQ($B10,"IQ_LASTSALEPRICE",PW$4)/_xll.ciqfunctions.udf.CIQ($B10,"IQ_LASTSALEPRICE",PW$2)-1)+(_xll.ciqfunctions.udf.CIQ($B10, "IQ_DPS_1YR_ANN_GROWTH", "IQ_LTM", PW$4)/100)),"")</f>
        <v/>
      </c>
      <c r="PX10" s="72" t="str">
        <f>IFERROR(IF(OR($B10="",PX$3=""),"",(_xll.ciqfunctions.udf.CIQ($B10,"IQ_LASTSALEPRICE",PX$4)/_xll.ciqfunctions.udf.CIQ($B10,"IQ_LASTSALEPRICE",PX$2)-1)+(_xll.ciqfunctions.udf.CIQ($B10, "IQ_DPS_1YR_ANN_GROWTH", "IQ_LTM", PX$4)/100)),"")</f>
        <v/>
      </c>
      <c r="PY10" s="72" t="str">
        <f>IFERROR(IF(OR($B10="",PY$3=""),"",(_xll.ciqfunctions.udf.CIQ($B10,"IQ_LASTSALEPRICE",PY$4)/_xll.ciqfunctions.udf.CIQ($B10,"IQ_LASTSALEPRICE",PY$2)-1)+(_xll.ciqfunctions.udf.CIQ($B10, "IQ_DPS_1YR_ANN_GROWTH", "IQ_LTM", PY$4)/100)),"")</f>
        <v/>
      </c>
      <c r="PZ10" s="72" t="str">
        <f>IFERROR(IF(OR($B10="",PZ$3=""),"",(_xll.ciqfunctions.udf.CIQ($B10,"IQ_LASTSALEPRICE",PZ$4)/_xll.ciqfunctions.udf.CIQ($B10,"IQ_LASTSALEPRICE",PZ$2)-1)+(_xll.ciqfunctions.udf.CIQ($B10, "IQ_DPS_1YR_ANN_GROWTH", "IQ_LTM", PZ$4)/100)),"")</f>
        <v/>
      </c>
      <c r="QA10" s="72" t="str">
        <f>IFERROR(IF(OR($B10="",QA$3=""),"",(_xll.ciqfunctions.udf.CIQ($B10,"IQ_LASTSALEPRICE",QA$4)/_xll.ciqfunctions.udf.CIQ($B10,"IQ_LASTSALEPRICE",QA$2)-1)+(_xll.ciqfunctions.udf.CIQ($B10, "IQ_DPS_1YR_ANN_GROWTH", "IQ_LTM", QA$4)/100)),"")</f>
        <v/>
      </c>
      <c r="QB10" s="72" t="str">
        <f>IFERROR(IF(OR($B10="",QB$3=""),"",(_xll.ciqfunctions.udf.CIQ($B10,"IQ_LASTSALEPRICE",QB$4)/_xll.ciqfunctions.udf.CIQ($B10,"IQ_LASTSALEPRICE",QB$2)-1)+(_xll.ciqfunctions.udf.CIQ($B10, "IQ_DPS_1YR_ANN_GROWTH", "IQ_LTM", QB$4)/100)),"")</f>
        <v/>
      </c>
      <c r="QC10" s="72" t="str">
        <f>IFERROR(IF(OR($B10="",QC$3=""),"",(_xll.ciqfunctions.udf.CIQ($B10,"IQ_LASTSALEPRICE",QC$4)/_xll.ciqfunctions.udf.CIQ($B10,"IQ_LASTSALEPRICE",QC$2)-1)+(_xll.ciqfunctions.udf.CIQ($B10, "IQ_DPS_1YR_ANN_GROWTH", "IQ_LTM", QC$4)/100)),"")</f>
        <v/>
      </c>
      <c r="QD10" s="72" t="str">
        <f>IFERROR(IF(OR($B10="",QD$3=""),"",(_xll.ciqfunctions.udf.CIQ($B10,"IQ_LASTSALEPRICE",QD$4)/_xll.ciqfunctions.udf.CIQ($B10,"IQ_LASTSALEPRICE",QD$2)-1)+(_xll.ciqfunctions.udf.CIQ($B10, "IQ_DPS_1YR_ANN_GROWTH", "IQ_LTM", QD$4)/100)),"")</f>
        <v/>
      </c>
      <c r="QE10" s="72" t="str">
        <f>IFERROR(IF(OR($B10="",QE$3=""),"",(_xll.ciqfunctions.udf.CIQ($B10,"IQ_LASTSALEPRICE",QE$4)/_xll.ciqfunctions.udf.CIQ($B10,"IQ_LASTSALEPRICE",QE$2)-1)+(_xll.ciqfunctions.udf.CIQ($B10, "IQ_DPS_1YR_ANN_GROWTH", "IQ_LTM", QE$4)/100)),"")</f>
        <v/>
      </c>
      <c r="QF10" s="72" t="str">
        <f>IFERROR(IF(OR($B10="",QF$3=""),"",(_xll.ciqfunctions.udf.CIQ($B10,"IQ_LASTSALEPRICE",QF$4)/_xll.ciqfunctions.udf.CIQ($B10,"IQ_LASTSALEPRICE",QF$2)-1)+(_xll.ciqfunctions.udf.CIQ($B10, "IQ_DPS_1YR_ANN_GROWTH", "IQ_LTM", QF$4)/100)),"")</f>
        <v/>
      </c>
      <c r="QG10" s="72" t="str">
        <f>IFERROR(IF(OR($B10="",QG$3=""),"",(_xll.ciqfunctions.udf.CIQ($B10,"IQ_LASTSALEPRICE",QG$4)/_xll.ciqfunctions.udf.CIQ($B10,"IQ_LASTSALEPRICE",QG$2)-1)+(_xll.ciqfunctions.udf.CIQ($B10, "IQ_DPS_1YR_ANN_GROWTH", "IQ_LTM", QG$4)/100)),"")</f>
        <v/>
      </c>
      <c r="QH10" s="72" t="str">
        <f>IFERROR(IF(OR($B10="",QH$3=""),"",(_xll.ciqfunctions.udf.CIQ($B10,"IQ_LASTSALEPRICE",QH$4)/_xll.ciqfunctions.udf.CIQ($B10,"IQ_LASTSALEPRICE",QH$2)-1)+(_xll.ciqfunctions.udf.CIQ($B10, "IQ_DPS_1YR_ANN_GROWTH", "IQ_LTM", QH$4)/100)),"")</f>
        <v/>
      </c>
      <c r="QI10" s="72" t="str">
        <f>IFERROR(IF(OR($B10="",QI$3=""),"",_xll.ciqfunctions.udf.CIQ($B10,"IQ_NI",QI$3,$E$3, $J$3, , $G$3, $H$3)*2/(_xll.ciqfunctions.udf.CIQ($B10,"IQ_TOTAL_BANK_CAPITAL",QI$3,$E$3, $J$3, , $G$3, $H$3)+_xll.ciqfunctions.udf.CIQ($B10,"IQ_TOTAL_BANK_CAPITAL","IQ_" &amp; LEFT(QI$3,2) &amp; "-1", QI$3, $J$3, , $G$3, $H$3))),"")</f>
        <v/>
      </c>
      <c r="QJ10" s="72" t="str">
        <f>IFERROR(IF(OR($B10="",QJ$3=""),"",_xll.ciqfunctions.udf.CIQ($B10,"IQ_NI",QJ$3,$E$3, $J$3, , $G$3, $H$3)*2/(_xll.ciqfunctions.udf.CIQ($B10,"IQ_TOTAL_BANK_CAPITAL",QJ$3,$E$3, $J$3, , $G$3, $H$3)+_xll.ciqfunctions.udf.CIQ($B10,"IQ_TOTAL_BANK_CAPITAL","IQ_" &amp; LEFT(QJ$3,2) &amp; "-1", QJ$3, $J$3, , $G$3, $H$3))),"")</f>
        <v/>
      </c>
      <c r="QK10" s="72" t="str">
        <f>IFERROR(IF(OR($B10="",QK$3=""),"",_xll.ciqfunctions.udf.CIQ($B10,"IQ_NI",QK$3,$E$3, $J$3, , $G$3, $H$3)*2/(_xll.ciqfunctions.udf.CIQ($B10,"IQ_TOTAL_BANK_CAPITAL",QK$3,$E$3, $J$3, , $G$3, $H$3)+_xll.ciqfunctions.udf.CIQ($B10,"IQ_TOTAL_BANK_CAPITAL","IQ_" &amp; LEFT(QK$3,2) &amp; "-1", QK$3, $J$3, , $G$3, $H$3))),"")</f>
        <v/>
      </c>
      <c r="QL10" s="72" t="str">
        <f>IFERROR(IF(OR($B10="",QL$3=""),"",_xll.ciqfunctions.udf.CIQ($B10,"IQ_NI",QL$3,$E$3, $J$3, , $G$3, $H$3)*2/(_xll.ciqfunctions.udf.CIQ($B10,"IQ_TOTAL_BANK_CAPITAL",QL$3,$E$3, $J$3, , $G$3, $H$3)+_xll.ciqfunctions.udf.CIQ($B10,"IQ_TOTAL_BANK_CAPITAL","IQ_" &amp; LEFT(QL$3,2) &amp; "-1", QL$3, $J$3, , $G$3, $H$3))),"")</f>
        <v/>
      </c>
      <c r="QM10" s="72" t="str">
        <f>IFERROR(IF(OR($B10="",QM$3=""),"",_xll.ciqfunctions.udf.CIQ($B10,"IQ_NI",QM$3,$E$3, $J$3, , $G$3, $H$3)*2/(_xll.ciqfunctions.udf.CIQ($B10,"IQ_TOTAL_BANK_CAPITAL",QM$3,$E$3, $J$3, , $G$3, $H$3)+_xll.ciqfunctions.udf.CIQ($B10,"IQ_TOTAL_BANK_CAPITAL","IQ_" &amp; LEFT(QM$3,2) &amp; "-1", QM$3, $J$3, , $G$3, $H$3))),"")</f>
        <v/>
      </c>
      <c r="QN10" s="72" t="str">
        <f>IFERROR(IF(OR($B10="",QN$3=""),"",_xll.ciqfunctions.udf.CIQ($B10,"IQ_NI",QN$3,$E$3, $J$3, , $G$3, $H$3)*2/(_xll.ciqfunctions.udf.CIQ($B10,"IQ_TOTAL_BANK_CAPITAL",QN$3,$E$3, $J$3, , $G$3, $H$3)+_xll.ciqfunctions.udf.CIQ($B10,"IQ_TOTAL_BANK_CAPITAL","IQ_" &amp; LEFT(QN$3,2) &amp; "-1", QN$3, $J$3, , $G$3, $H$3))),"")</f>
        <v/>
      </c>
      <c r="QO10" s="72" t="str">
        <f>IFERROR(IF(OR($B10="",QO$3=""),"",_xll.ciqfunctions.udf.CIQ($B10,"IQ_NI",QO$3,$E$3, $J$3, , $G$3, $H$3)*2/(_xll.ciqfunctions.udf.CIQ($B10,"IQ_TOTAL_BANK_CAPITAL",QO$3,$E$3, $J$3, , $G$3, $H$3)+_xll.ciqfunctions.udf.CIQ($B10,"IQ_TOTAL_BANK_CAPITAL","IQ_" &amp; LEFT(QO$3,2) &amp; "-1", QO$3, $J$3, , $G$3, $H$3))),"")</f>
        <v/>
      </c>
      <c r="QP10" s="72" t="str">
        <f>IFERROR(IF(OR($B10="",QP$3=""),"",_xll.ciqfunctions.udf.CIQ($B10,"IQ_NI",QP$3,$E$3, $J$3, , $G$3, $H$3)*2/(_xll.ciqfunctions.udf.CIQ($B10,"IQ_TOTAL_BANK_CAPITAL",QP$3,$E$3, $J$3, , $G$3, $H$3)+_xll.ciqfunctions.udf.CIQ($B10,"IQ_TOTAL_BANK_CAPITAL","IQ_" &amp; LEFT(QP$3,2) &amp; "-1", QP$3, $J$3, , $G$3, $H$3))),"")</f>
        <v/>
      </c>
      <c r="QQ10" s="72" t="str">
        <f>IFERROR(IF(OR($B10="",QQ$3=""),"",_xll.ciqfunctions.udf.CIQ($B10,"IQ_NI",QQ$3,$E$3, $J$3, , $G$3, $H$3)*2/(_xll.ciqfunctions.udf.CIQ($B10,"IQ_TOTAL_BANK_CAPITAL",QQ$3,$E$3, $J$3, , $G$3, $H$3)+_xll.ciqfunctions.udf.CIQ($B10,"IQ_TOTAL_BANK_CAPITAL","IQ_" &amp; LEFT(QQ$3,2) &amp; "-1", QQ$3, $J$3, , $G$3, $H$3))),"")</f>
        <v/>
      </c>
      <c r="QR10" s="72" t="str">
        <f>IFERROR(IF(OR($B10="",QR$3=""),"",_xll.ciqfunctions.udf.CIQ($B10,"IQ_NI",QR$3,$E$3, $J$3, , $G$3, $H$3)*2/(_xll.ciqfunctions.udf.CIQ($B10,"IQ_TOTAL_BANK_CAPITAL",QR$3,$E$3, $J$3, , $G$3, $H$3)+_xll.ciqfunctions.udf.CIQ($B10,"IQ_TOTAL_BANK_CAPITAL","IQ_" &amp; LEFT(QR$3,2) &amp; "-1", QR$3, $J$3, , $G$3, $H$3))),"")</f>
        <v/>
      </c>
      <c r="QS10" s="72" t="str">
        <f>IFERROR(IF(OR($B10="",QS$3=""),"",_xll.ciqfunctions.udf.CIQ($B10,"IQ_NI",QS$3,$E$3, $J$3, , $G$3, $H$3)*2/(_xll.ciqfunctions.udf.CIQ($B10,"IQ_TOTAL_BANK_CAPITAL",QS$3,$E$3, $J$3, , $G$3, $H$3)+_xll.ciqfunctions.udf.CIQ($B10,"IQ_TOTAL_BANK_CAPITAL","IQ_" &amp; LEFT(QS$3,2) &amp; "-1", QS$3, $J$3, , $G$3, $H$3))),"")</f>
        <v/>
      </c>
      <c r="QT10" s="72" t="str">
        <f>IFERROR(IF(OR($B10="",QT$3=""),"",_xll.ciqfunctions.udf.CIQ($B10,"IQ_NI",QT$3,$E$3, $J$3, , $G$3, $H$3)*2/(_xll.ciqfunctions.udf.CIQ($B10,"IQ_TOTAL_BANK_CAPITAL",QT$3,$E$3, $J$3, , $G$3, $H$3)+_xll.ciqfunctions.udf.CIQ($B10,"IQ_TOTAL_BANK_CAPITAL","IQ_" &amp; LEFT(QT$3,2) &amp; "-1", QT$3, $J$3, , $G$3, $H$3))),"")</f>
        <v/>
      </c>
      <c r="QU10" s="72" t="str">
        <f>IFERROR(IF(OR($B10="",QU$3=""),"",_xll.ciqfunctions.udf.CIQ($B10,"IQ_NI",QU$3,$E$3, $J$3, , $G$3, $H$3)*2/(_xll.ciqfunctions.udf.CIQ($B10,"IQ_TOTAL_BANK_CAPITAL",QU$3,$E$3, $J$3, , $G$3, $H$3)+_xll.ciqfunctions.udf.CIQ($B10,"IQ_TOTAL_BANK_CAPITAL","IQ_" &amp; LEFT(QU$3,2) &amp; "-1", QU$3, $J$3, , $G$3, $H$3))),"")</f>
        <v/>
      </c>
      <c r="QV10" s="72" t="str">
        <f>IFERROR(IF(OR($B10="",QV$3=""),"",_xll.ciqfunctions.udf.CIQ($B10,"IQ_NI",QV$3,$E$3, $J$3, , $G$3, $H$3)*2/(_xll.ciqfunctions.udf.CIQ($B10,"IQ_TOTAL_BANK_CAPITAL",QV$3,$E$3, $J$3, , $G$3, $H$3)+_xll.ciqfunctions.udf.CIQ($B10,"IQ_TOTAL_BANK_CAPITAL","IQ_" &amp; LEFT(QV$3,2) &amp; "-1", QV$3, $J$3, , $G$3, $H$3))),"")</f>
        <v/>
      </c>
      <c r="QW10" s="72" t="str">
        <f>IFERROR(IF(OR($B10="",QW$3=""),"",_xll.ciqfunctions.udf.CIQ($B10,"IQ_NI",QW$3,$E$3, $J$3, , $G$3, $H$3)*2/(_xll.ciqfunctions.udf.CIQ($B10,"IQ_TOTAL_BANK_CAPITAL",QW$3,$E$3, $J$3, , $G$3, $H$3)+_xll.ciqfunctions.udf.CIQ($B10,"IQ_TOTAL_BANK_CAPITAL","IQ_" &amp; LEFT(QW$3,2) &amp; "-1", QW$3, $J$3, , $G$3, $H$3))),"")</f>
        <v/>
      </c>
      <c r="QX10" s="72" t="str">
        <f>IFERROR(IF(OR($B10="",QX$3=""),"",_xll.ciqfunctions.udf.CIQ($B10,"IQ_NI",QX$3,$E$3, $J$3, , $G$3, $H$3)*2/(_xll.ciqfunctions.udf.CIQ($B10,"IQ_TOTAL_BANK_CAPITAL",QX$3,$E$3, $J$3, , $G$3, $H$3)+_xll.ciqfunctions.udf.CIQ($B10,"IQ_TOTAL_BANK_CAPITAL","IQ_" &amp; LEFT(QX$3,2) &amp; "-1", QX$3, $J$3, , $G$3, $H$3))),"")</f>
        <v/>
      </c>
      <c r="QY10" s="72" t="str">
        <f>IFERROR(IF(OR($B10="",QY$3=""),"",_xll.ciqfunctions.udf.CIQ($B10,"IQ_NI",QY$3,$E$3, $J$3, , $G$3, $H$3)*2/(_xll.ciqfunctions.udf.CIQ($B10,"IQ_TOTAL_BANK_CAPITAL",QY$3,$E$3, $J$3, , $G$3, $H$3)+_xll.ciqfunctions.udf.CIQ($B10,"IQ_TOTAL_BANK_CAPITAL","IQ_" &amp; LEFT(QY$3,2) &amp; "-1", QY$3, $J$3, , $G$3, $H$3))),"")</f>
        <v/>
      </c>
      <c r="QZ10" s="72" t="str">
        <f>IFERROR(IF(OR($B10="",QZ$3=""),"",_xll.ciqfunctions.udf.CIQ($B10,"IQ_NI",QZ$3,$E$3, $J$3, , $G$3, $H$3)*2/(_xll.ciqfunctions.udf.CIQ($B10,"IQ_TOTAL_BANK_CAPITAL",QZ$3,$E$3, $J$3, , $G$3, $H$3)+_xll.ciqfunctions.udf.CIQ($B10,"IQ_TOTAL_BANK_CAPITAL","IQ_" &amp; LEFT(QZ$3,2) &amp; "-1", QZ$3, $J$3, , $G$3, $H$3))),"")</f>
        <v/>
      </c>
      <c r="RA10" s="72" t="str">
        <f>IFERROR(IF(OR($B10="",RA$3=""),"",_xll.ciqfunctions.udf.CIQ($B10,"IQ_NI",RA$3,$E$3, $J$3, , $G$3, $H$3)*2/(_xll.ciqfunctions.udf.CIQ($B10,"IQ_TOTAL_BANK_CAPITAL",RA$3,$E$3, $J$3, , $G$3, $H$3)+_xll.ciqfunctions.udf.CIQ($B10,"IQ_TOTAL_BANK_CAPITAL","IQ_" &amp; LEFT(RA$3,2) &amp; "-1", RA$3, $J$3, , $G$3, $H$3))),"")</f>
        <v/>
      </c>
      <c r="RB10" s="72" t="str">
        <f>IFERROR(IF(OR($B10="",RB$3=""),"",_xll.ciqfunctions.udf.CIQ($B10,"IQ_NI",RB$3,$E$3, $J$3, , $G$3, $H$3)*2/(_xll.ciqfunctions.udf.CIQ($B10,"IQ_TOTAL_BANK_CAPITAL",RB$3,$E$3, $J$3, , $G$3, $H$3)+_xll.ciqfunctions.udf.CIQ($B10,"IQ_TOTAL_BANK_CAPITAL","IQ_" &amp; LEFT(RB$3,2) &amp; "-1", RB$3, $J$3, , $G$3, $H$3))),"")</f>
        <v/>
      </c>
      <c r="RC10" s="628" t="str">
        <f>IFERROR(IF(OR($B10="",RC$4=""),"",(IFERROR(_xll.ciqfunctions.udf.CIQ($B10,"IQ_MARKETCAP",RC$4),0)+IFERROR(_xll.ciqfunctions.udf.CIQ($B10,"IQ_TOTAL_DEBT",RC$3),0)+IFERROR(_xll.ciqfunctions.udf.CIQ($B10,"IQ_PREF_EQUITY",RC$3),0)+IFERROR(_xll.ciqfunctions.udf.CIQ($B10,"IQ_MINORITY_INTEREST",RC$3),0)-IFERROR(_xll.ciqfunctions.udf.CIQ($B10,"IQ_ST_INVEST",RC$3),0)-IFERROR(_xll.ciqfunctions.udf.CIQ($B10,"IQ_cash_equiv",RC$3),0))/_xll.ciqfunctions.udf.CIQ($B10,"IQ_TOTAL_BANK_CAPITAL",QI$3,$E$3,$J$3,,$G$3,$H$3)),"")</f>
        <v/>
      </c>
      <c r="RD10" s="628" t="str">
        <f>IFERROR(IF(OR($B10="",RD$4=""),"",(IFERROR(_xll.ciqfunctions.udf.CIQ($B10,"IQ_MARKETCAP",RD$4),0)+IFERROR(_xll.ciqfunctions.udf.CIQ($B10,"IQ_TOTAL_DEBT",RD$3),0)+IFERROR(_xll.ciqfunctions.udf.CIQ($B10,"IQ_PREF_EQUITY",RD$3),0)+IFERROR(_xll.ciqfunctions.udf.CIQ($B10,"IQ_MINORITY_INTEREST",RD$3),0)-IFERROR(_xll.ciqfunctions.udf.CIQ($B10,"IQ_ST_INVEST",RD$3),0)-IFERROR(_xll.ciqfunctions.udf.CIQ($B10,"IQ_cash_equiv",RD$3),0))/_xll.ciqfunctions.udf.CIQ($B10,"IQ_TOTAL_BANK_CAPITAL",QJ$3,$E$3,$J$3,,$G$3,$H$3)),"")</f>
        <v/>
      </c>
      <c r="RE10" s="628" t="str">
        <f>IFERROR(IF(OR($B10="",RE$4=""),"",(IFERROR(_xll.ciqfunctions.udf.CIQ($B10,"IQ_MARKETCAP",RE$4),0)+IFERROR(_xll.ciqfunctions.udf.CIQ($B10,"IQ_TOTAL_DEBT",RE$3),0)+IFERROR(_xll.ciqfunctions.udf.CIQ($B10,"IQ_PREF_EQUITY",RE$3),0)+IFERROR(_xll.ciqfunctions.udf.CIQ($B10,"IQ_MINORITY_INTEREST",RE$3),0)-IFERROR(_xll.ciqfunctions.udf.CIQ($B10,"IQ_ST_INVEST",RE$3),0)-IFERROR(_xll.ciqfunctions.udf.CIQ($B10,"IQ_cash_equiv",RE$3),0))/_xll.ciqfunctions.udf.CIQ($B10,"IQ_TOTAL_BANK_CAPITAL",QK$3,$E$3,$J$3,,$G$3,$H$3)),"")</f>
        <v/>
      </c>
      <c r="RF10" s="628" t="str">
        <f>IFERROR(IF(OR($B10="",RF$4=""),"",(IFERROR(_xll.ciqfunctions.udf.CIQ($B10,"IQ_MARKETCAP",RF$4),0)+IFERROR(_xll.ciqfunctions.udf.CIQ($B10,"IQ_TOTAL_DEBT",RF$3),0)+IFERROR(_xll.ciqfunctions.udf.CIQ($B10,"IQ_PREF_EQUITY",RF$3),0)+IFERROR(_xll.ciqfunctions.udf.CIQ($B10,"IQ_MINORITY_INTEREST",RF$3),0)-IFERROR(_xll.ciqfunctions.udf.CIQ($B10,"IQ_ST_INVEST",RF$3),0)-IFERROR(_xll.ciqfunctions.udf.CIQ($B10,"IQ_cash_equiv",RF$3),0))/_xll.ciqfunctions.udf.CIQ($B10,"IQ_TOTAL_BANK_CAPITAL",QL$3,$E$3,$J$3,,$G$3,$H$3)),"")</f>
        <v/>
      </c>
      <c r="RG10" s="628" t="str">
        <f>IFERROR(IF(OR($B10="",RG$4=""),"",(IFERROR(_xll.ciqfunctions.udf.CIQ($B10,"IQ_MARKETCAP",RG$4),0)+IFERROR(_xll.ciqfunctions.udf.CIQ($B10,"IQ_TOTAL_DEBT",RG$3),0)+IFERROR(_xll.ciqfunctions.udf.CIQ($B10,"IQ_PREF_EQUITY",RG$3),0)+IFERROR(_xll.ciqfunctions.udf.CIQ($B10,"IQ_MINORITY_INTEREST",RG$3),0)-IFERROR(_xll.ciqfunctions.udf.CIQ($B10,"IQ_ST_INVEST",RG$3),0)-IFERROR(_xll.ciqfunctions.udf.CIQ($B10,"IQ_cash_equiv",RG$3),0))/_xll.ciqfunctions.udf.CIQ($B10,"IQ_TOTAL_BANK_CAPITAL",QM$3,$E$3,$J$3,,$G$3,$H$3)),"")</f>
        <v/>
      </c>
      <c r="RH10" s="628" t="str">
        <f>IFERROR(IF(OR($B10="",RH$4=""),"",(IFERROR(_xll.ciqfunctions.udf.CIQ($B10,"IQ_MARKETCAP",RH$4),0)+IFERROR(_xll.ciqfunctions.udf.CIQ($B10,"IQ_TOTAL_DEBT",RH$3),0)+IFERROR(_xll.ciqfunctions.udf.CIQ($B10,"IQ_PREF_EQUITY",RH$3),0)+IFERROR(_xll.ciqfunctions.udf.CIQ($B10,"IQ_MINORITY_INTEREST",RH$3),0)-IFERROR(_xll.ciqfunctions.udf.CIQ($B10,"IQ_ST_INVEST",RH$3),0)-IFERROR(_xll.ciqfunctions.udf.CIQ($B10,"IQ_cash_equiv",RH$3),0))/_xll.ciqfunctions.udf.CIQ($B10,"IQ_TOTAL_BANK_CAPITAL",QN$3,$E$3,$J$3,,$G$3,$H$3)),"")</f>
        <v/>
      </c>
      <c r="RI10" s="628" t="str">
        <f>IFERROR(IF(OR($B10="",RI$4=""),"",(IFERROR(_xll.ciqfunctions.udf.CIQ($B10,"IQ_MARKETCAP",RI$4),0)+IFERROR(_xll.ciqfunctions.udf.CIQ($B10,"IQ_TOTAL_DEBT",RI$3),0)+IFERROR(_xll.ciqfunctions.udf.CIQ($B10,"IQ_PREF_EQUITY",RI$3),0)+IFERROR(_xll.ciqfunctions.udf.CIQ($B10,"IQ_MINORITY_INTEREST",RI$3),0)-IFERROR(_xll.ciqfunctions.udf.CIQ($B10,"IQ_ST_INVEST",RI$3),0)-IFERROR(_xll.ciqfunctions.udf.CIQ($B10,"IQ_cash_equiv",RI$3),0))/_xll.ciqfunctions.udf.CIQ($B10,"IQ_TOTAL_BANK_CAPITAL",QO$3,$E$3,$J$3,,$G$3,$H$3)),"")</f>
        <v/>
      </c>
      <c r="RJ10" s="628" t="str">
        <f>IFERROR(IF(OR($B10="",RJ$4=""),"",(IFERROR(_xll.ciqfunctions.udf.CIQ($B10,"IQ_MARKETCAP",RJ$4),0)+IFERROR(_xll.ciqfunctions.udf.CIQ($B10,"IQ_TOTAL_DEBT",RJ$3),0)+IFERROR(_xll.ciqfunctions.udf.CIQ($B10,"IQ_PREF_EQUITY",RJ$3),0)+IFERROR(_xll.ciqfunctions.udf.CIQ($B10,"IQ_MINORITY_INTEREST",RJ$3),0)-IFERROR(_xll.ciqfunctions.udf.CIQ($B10,"IQ_ST_INVEST",RJ$3),0)-IFERROR(_xll.ciqfunctions.udf.CIQ($B10,"IQ_cash_equiv",RJ$3),0))/_xll.ciqfunctions.udf.CIQ($B10,"IQ_TOTAL_BANK_CAPITAL",QP$3,$E$3,$J$3,,$G$3,$H$3)),"")</f>
        <v/>
      </c>
      <c r="RK10" s="628" t="str">
        <f>IFERROR(IF(OR($B10="",RK$4=""),"",(IFERROR(_xll.ciqfunctions.udf.CIQ($B10,"IQ_MARKETCAP",RK$4),0)+IFERROR(_xll.ciqfunctions.udf.CIQ($B10,"IQ_TOTAL_DEBT",RK$3),0)+IFERROR(_xll.ciqfunctions.udf.CIQ($B10,"IQ_PREF_EQUITY",RK$3),0)+IFERROR(_xll.ciqfunctions.udf.CIQ($B10,"IQ_MINORITY_INTEREST",RK$3),0)-IFERROR(_xll.ciqfunctions.udf.CIQ($B10,"IQ_ST_INVEST",RK$3),0)-IFERROR(_xll.ciqfunctions.udf.CIQ($B10,"IQ_cash_equiv",RK$3),0))/_xll.ciqfunctions.udf.CIQ($B10,"IQ_TOTAL_BANK_CAPITAL",QQ$3,$E$3,$J$3,,$G$3,$H$3)),"")</f>
        <v/>
      </c>
      <c r="RL10" s="628" t="str">
        <f>IFERROR(IF(OR($B10="",RL$4=""),"",(IFERROR(_xll.ciqfunctions.udf.CIQ($B10,"IQ_MARKETCAP",RL$4),0)+IFERROR(_xll.ciqfunctions.udf.CIQ($B10,"IQ_TOTAL_DEBT",RL$3),0)+IFERROR(_xll.ciqfunctions.udf.CIQ($B10,"IQ_PREF_EQUITY",RL$3),0)+IFERROR(_xll.ciqfunctions.udf.CIQ($B10,"IQ_MINORITY_INTEREST",RL$3),0)-IFERROR(_xll.ciqfunctions.udf.CIQ($B10,"IQ_ST_INVEST",RL$3),0)-IFERROR(_xll.ciqfunctions.udf.CIQ($B10,"IQ_cash_equiv",RL$3),0))/_xll.ciqfunctions.udf.CIQ($B10,"IQ_TOTAL_BANK_CAPITAL",QR$3,$E$3,$J$3,,$G$3,$H$3)),"")</f>
        <v/>
      </c>
      <c r="RM10" s="628" t="str">
        <f>IFERROR(IF(OR($B10="",RM$4=""),"",(IFERROR(_xll.ciqfunctions.udf.CIQ($B10,"IQ_MARKETCAP",RM$4),0)+IFERROR(_xll.ciqfunctions.udf.CIQ($B10,"IQ_TOTAL_DEBT",RM$3),0)+IFERROR(_xll.ciqfunctions.udf.CIQ($B10,"IQ_PREF_EQUITY",RM$3),0)+IFERROR(_xll.ciqfunctions.udf.CIQ($B10,"IQ_MINORITY_INTEREST",RM$3),0)-IFERROR(_xll.ciqfunctions.udf.CIQ($B10,"IQ_ST_INVEST",RM$3),0)-IFERROR(_xll.ciqfunctions.udf.CIQ($B10,"IQ_cash_equiv",RM$3),0))/_xll.ciqfunctions.udf.CIQ($B10,"IQ_TOTAL_BANK_CAPITAL",QS$3,$E$3,$J$3,,$G$3,$H$3)),"")</f>
        <v/>
      </c>
      <c r="RN10" s="628" t="str">
        <f>IFERROR(IF(OR($B10="",RN$4=""),"",(IFERROR(_xll.ciqfunctions.udf.CIQ($B10,"IQ_MARKETCAP",RN$4),0)+IFERROR(_xll.ciqfunctions.udf.CIQ($B10,"IQ_TOTAL_DEBT",RN$3),0)+IFERROR(_xll.ciqfunctions.udf.CIQ($B10,"IQ_PREF_EQUITY",RN$3),0)+IFERROR(_xll.ciqfunctions.udf.CIQ($B10,"IQ_MINORITY_INTEREST",RN$3),0)-IFERROR(_xll.ciqfunctions.udf.CIQ($B10,"IQ_ST_INVEST",RN$3),0)-IFERROR(_xll.ciqfunctions.udf.CIQ($B10,"IQ_cash_equiv",RN$3),0))/_xll.ciqfunctions.udf.CIQ($B10,"IQ_TOTAL_BANK_CAPITAL",QT$3,$E$3,$J$3,,$G$3,$H$3)),"")</f>
        <v/>
      </c>
      <c r="RO10" s="628" t="str">
        <f>IFERROR(IF(OR($B10="",RO$4=""),"",(IFERROR(_xll.ciqfunctions.udf.CIQ($B10,"IQ_MARKETCAP",RO$4),0)+IFERROR(_xll.ciqfunctions.udf.CIQ($B10,"IQ_TOTAL_DEBT",RO$3),0)+IFERROR(_xll.ciqfunctions.udf.CIQ($B10,"IQ_PREF_EQUITY",RO$3),0)+IFERROR(_xll.ciqfunctions.udf.CIQ($B10,"IQ_MINORITY_INTEREST",RO$3),0)-IFERROR(_xll.ciqfunctions.udf.CIQ($B10,"IQ_ST_INVEST",RO$3),0)-IFERROR(_xll.ciqfunctions.udf.CIQ($B10,"IQ_cash_equiv",RO$3),0))/_xll.ciqfunctions.udf.CIQ($B10,"IQ_TOTAL_BANK_CAPITAL",QU$3,$E$3,$J$3,,$G$3,$H$3)),"")</f>
        <v/>
      </c>
      <c r="RP10" s="628" t="str">
        <f>IFERROR(IF(OR($B10="",RP$4=""),"",(IFERROR(_xll.ciqfunctions.udf.CIQ($B10,"IQ_MARKETCAP",RP$4),0)+IFERROR(_xll.ciqfunctions.udf.CIQ($B10,"IQ_TOTAL_DEBT",RP$3),0)+IFERROR(_xll.ciqfunctions.udf.CIQ($B10,"IQ_PREF_EQUITY",RP$3),0)+IFERROR(_xll.ciqfunctions.udf.CIQ($B10,"IQ_MINORITY_INTEREST",RP$3),0)-IFERROR(_xll.ciqfunctions.udf.CIQ($B10,"IQ_ST_INVEST",RP$3),0)-IFERROR(_xll.ciqfunctions.udf.CIQ($B10,"IQ_cash_equiv",RP$3),0))/_xll.ciqfunctions.udf.CIQ($B10,"IQ_TOTAL_BANK_CAPITAL",QV$3,$E$3,$J$3,,$G$3,$H$3)),"")</f>
        <v/>
      </c>
      <c r="RQ10" s="628" t="str">
        <f>IFERROR(IF(OR($B10="",RQ$4=""),"",(IFERROR(_xll.ciqfunctions.udf.CIQ($B10,"IQ_MARKETCAP",RQ$4),0)+IFERROR(_xll.ciqfunctions.udf.CIQ($B10,"IQ_TOTAL_DEBT",RQ$3),0)+IFERROR(_xll.ciqfunctions.udf.CIQ($B10,"IQ_PREF_EQUITY",RQ$3),0)+IFERROR(_xll.ciqfunctions.udf.CIQ($B10,"IQ_MINORITY_INTEREST",RQ$3),0)-IFERROR(_xll.ciqfunctions.udf.CIQ($B10,"IQ_ST_INVEST",RQ$3),0)-IFERROR(_xll.ciqfunctions.udf.CIQ($B10,"IQ_cash_equiv",RQ$3),0))/_xll.ciqfunctions.udf.CIQ($B10,"IQ_TOTAL_BANK_CAPITAL",QW$3,$E$3,$J$3,,$G$3,$H$3)),"")</f>
        <v/>
      </c>
      <c r="RR10" s="628" t="str">
        <f>IFERROR(IF(OR($B10="",RR$4=""),"",(IFERROR(_xll.ciqfunctions.udf.CIQ($B10,"IQ_MARKETCAP",RR$4),0)+IFERROR(_xll.ciqfunctions.udf.CIQ($B10,"IQ_TOTAL_DEBT",RR$3),0)+IFERROR(_xll.ciqfunctions.udf.CIQ($B10,"IQ_PREF_EQUITY",RR$3),0)+IFERROR(_xll.ciqfunctions.udf.CIQ($B10,"IQ_MINORITY_INTEREST",RR$3),0)-IFERROR(_xll.ciqfunctions.udf.CIQ($B10,"IQ_ST_INVEST",RR$3),0)-IFERROR(_xll.ciqfunctions.udf.CIQ($B10,"IQ_cash_equiv",RR$3),0))/_xll.ciqfunctions.udf.CIQ($B10,"IQ_TOTAL_BANK_CAPITAL",QX$3,$E$3,$J$3,,$G$3,$H$3)),"")</f>
        <v/>
      </c>
      <c r="RS10" s="628" t="str">
        <f>IFERROR(IF(OR($B10="",RS$4=""),"",(IFERROR(_xll.ciqfunctions.udf.CIQ($B10,"IQ_MARKETCAP",RS$4),0)+IFERROR(_xll.ciqfunctions.udf.CIQ($B10,"IQ_TOTAL_DEBT",RS$3),0)+IFERROR(_xll.ciqfunctions.udf.CIQ($B10,"IQ_PREF_EQUITY",RS$3),0)+IFERROR(_xll.ciqfunctions.udf.CIQ($B10,"IQ_MINORITY_INTEREST",RS$3),0)-IFERROR(_xll.ciqfunctions.udf.CIQ($B10,"IQ_ST_INVEST",RS$3),0)-IFERROR(_xll.ciqfunctions.udf.CIQ($B10,"IQ_cash_equiv",RS$3),0))/_xll.ciqfunctions.udf.CIQ($B10,"IQ_TOTAL_BANK_CAPITAL",QY$3,$E$3,$J$3,,$G$3,$H$3)),"")</f>
        <v/>
      </c>
      <c r="RT10" s="628" t="str">
        <f>IFERROR(IF(OR($B10="",RT$4=""),"",(IFERROR(_xll.ciqfunctions.udf.CIQ($B10,"IQ_MARKETCAP",RT$4),0)+IFERROR(_xll.ciqfunctions.udf.CIQ($B10,"IQ_TOTAL_DEBT",RT$3),0)+IFERROR(_xll.ciqfunctions.udf.CIQ($B10,"IQ_PREF_EQUITY",RT$3),0)+IFERROR(_xll.ciqfunctions.udf.CIQ($B10,"IQ_MINORITY_INTEREST",RT$3),0)-IFERROR(_xll.ciqfunctions.udf.CIQ($B10,"IQ_ST_INVEST",RT$3),0)-IFERROR(_xll.ciqfunctions.udf.CIQ($B10,"IQ_cash_equiv",RT$3),0))/_xll.ciqfunctions.udf.CIQ($B10,"IQ_TOTAL_BANK_CAPITAL",QZ$3,$E$3,$J$3,,$G$3,$H$3)),"")</f>
        <v/>
      </c>
      <c r="RU10" s="628" t="str">
        <f>IFERROR(IF(OR($B10="",RU$4=""),"",(IFERROR(_xll.ciqfunctions.udf.CIQ($B10,"IQ_MARKETCAP",RU$4),0)+IFERROR(_xll.ciqfunctions.udf.CIQ($B10,"IQ_TOTAL_DEBT",RU$3),0)+IFERROR(_xll.ciqfunctions.udf.CIQ($B10,"IQ_PREF_EQUITY",RU$3),0)+IFERROR(_xll.ciqfunctions.udf.CIQ($B10,"IQ_MINORITY_INTEREST",RU$3),0)-IFERROR(_xll.ciqfunctions.udf.CIQ($B10,"IQ_ST_INVEST",RU$3),0)-IFERROR(_xll.ciqfunctions.udf.CIQ($B10,"IQ_cash_equiv",RU$3),0))/_xll.ciqfunctions.udf.CIQ($B10,"IQ_TOTAL_BANK_CAPITAL",RA$3,$E$3,$J$3,,$G$3,$H$3)),"")</f>
        <v/>
      </c>
      <c r="RV10" s="628" t="str">
        <f>IFERROR(IF(OR($B10="",RV$4=""),"",(IFERROR(_xll.ciqfunctions.udf.CIQ($B10,"IQ_MARKETCAP",RV$4),0)+IFERROR(_xll.ciqfunctions.udf.CIQ($B10,"IQ_TOTAL_DEBT",RV$3),0)+IFERROR(_xll.ciqfunctions.udf.CIQ($B10,"IQ_PREF_EQUITY",RV$3),0)+IFERROR(_xll.ciqfunctions.udf.CIQ($B10,"IQ_MINORITY_INTEREST",RV$3),0)-IFERROR(_xll.ciqfunctions.udf.CIQ($B10,"IQ_ST_INVEST",RV$3),0)-IFERROR(_xll.ciqfunctions.udf.CIQ($B10,"IQ_cash_equiv",RV$3),0))/_xll.ciqfunctions.udf.CIQ($B10,"IQ_TOTAL_BANK_CAPITAL",RB$3,$E$3,$J$3,,$G$3,$H$3)),"")</f>
        <v/>
      </c>
      <c r="RW10" s="72" t="str">
        <f t="shared" si="331"/>
        <v>0</v>
      </c>
      <c r="RX10" s="72" t="str">
        <f t="shared" si="332"/>
        <v/>
      </c>
      <c r="RY10" s="72" t="str">
        <f t="shared" si="333"/>
        <v/>
      </c>
      <c r="RZ10" s="72" t="str">
        <f t="shared" si="334"/>
        <v/>
      </c>
      <c r="SA10" s="72" t="str">
        <f t="shared" si="335"/>
        <v/>
      </c>
      <c r="SB10" s="72" t="str">
        <f t="shared" si="336"/>
        <v/>
      </c>
      <c r="SC10" s="72" t="str">
        <f t="shared" si="337"/>
        <v/>
      </c>
      <c r="SD10" s="72" t="str">
        <f t="shared" si="338"/>
        <v/>
      </c>
      <c r="SE10" s="72" t="str">
        <f t="shared" si="339"/>
        <v/>
      </c>
      <c r="SF10" s="72" t="str">
        <f t="shared" si="340"/>
        <v/>
      </c>
      <c r="SG10" s="72" t="str">
        <f t="shared" si="341"/>
        <v/>
      </c>
      <c r="SH10" s="72" t="str">
        <f t="shared" si="342"/>
        <v/>
      </c>
      <c r="SI10" s="72" t="str">
        <f t="shared" si="343"/>
        <v/>
      </c>
      <c r="SJ10" s="72" t="str">
        <f t="shared" si="344"/>
        <v/>
      </c>
      <c r="SK10" s="72" t="str">
        <f t="shared" si="345"/>
        <v/>
      </c>
      <c r="SL10" s="72" t="str">
        <f t="shared" si="346"/>
        <v/>
      </c>
      <c r="SM10" s="72" t="str">
        <f t="shared" si="347"/>
        <v/>
      </c>
      <c r="SN10" s="72" t="str">
        <f t="shared" si="348"/>
        <v/>
      </c>
      <c r="SO10" s="72" t="str">
        <f t="shared" si="349"/>
        <v/>
      </c>
      <c r="SP10" s="72" t="str">
        <f t="shared" si="350"/>
        <v/>
      </c>
      <c r="SQ10" s="72" t="str">
        <f>IFERROR(IF(OR($B10="",SQ$3=""),"",_xll.ciqfunctions.udf.CIQ($B10,"IQ_TOTAL_DEPOSITS",SQ$3,$E$3, $J$3, , $G$3, $H$3)/_xll.ciqfunctions.udf.CIQ($B10,"IQ_TOTAL_ASSETS",SQ$3,$E$3, $J$3, , $G$3, $H$3)),"")</f>
        <v/>
      </c>
      <c r="SR10" s="72" t="str">
        <f>IFERROR(IF(OR($B10="",SR$3=""),"",_xll.ciqfunctions.udf.CIQ($B10,"IQ_TOTAL_DEPOSITS",SR$3,$E$3, $J$3, , $G$3, $H$3)/_xll.ciqfunctions.udf.CIQ($B10,"IQ_TOTAL_ASSETS",SR$3,$E$3, $J$3, , $G$3, $H$3)),"")</f>
        <v/>
      </c>
      <c r="SS10" s="72" t="str">
        <f>IFERROR(IF(OR($B10="",SS$3=""),"",_xll.ciqfunctions.udf.CIQ($B10,"IQ_TOTAL_DEPOSITS",SS$3,$E$3, $J$3, , $G$3, $H$3)/_xll.ciqfunctions.udf.CIQ($B10,"IQ_TOTAL_ASSETS",SS$3,$E$3, $J$3, , $G$3, $H$3)),"")</f>
        <v/>
      </c>
      <c r="ST10" s="72" t="str">
        <f>IFERROR(IF(OR($B10="",ST$3=""),"",_xll.ciqfunctions.udf.CIQ($B10,"IQ_TOTAL_DEPOSITS",ST$3,$E$3, $J$3, , $G$3, $H$3)/_xll.ciqfunctions.udf.CIQ($B10,"IQ_TOTAL_ASSETS",ST$3,$E$3, $J$3, , $G$3, $H$3)),"")</f>
        <v/>
      </c>
      <c r="SU10" s="72" t="str">
        <f>IFERROR(IF(OR($B10="",SU$3=""),"",_xll.ciqfunctions.udf.CIQ($B10,"IQ_TOTAL_DEPOSITS",SU$3,$E$3, $J$3, , $G$3, $H$3)/_xll.ciqfunctions.udf.CIQ($B10,"IQ_TOTAL_ASSETS",SU$3,$E$3, $J$3, , $G$3, $H$3)),"")</f>
        <v/>
      </c>
      <c r="SV10" s="72" t="str">
        <f>IFERROR(IF(OR($B10="",SV$3=""),"",_xll.ciqfunctions.udf.CIQ($B10,"IQ_TOTAL_DEPOSITS",SV$3,$E$3, $J$3, , $G$3, $H$3)/_xll.ciqfunctions.udf.CIQ($B10,"IQ_TOTAL_ASSETS",SV$3,$E$3, $J$3, , $G$3, $H$3)),"")</f>
        <v/>
      </c>
      <c r="SW10" s="72" t="str">
        <f>IFERROR(IF(OR($B10="",SW$3=""),"",_xll.ciqfunctions.udf.CIQ($B10,"IQ_TOTAL_DEPOSITS",SW$3,$E$3, $J$3, , $G$3, $H$3)/_xll.ciqfunctions.udf.CIQ($B10,"IQ_TOTAL_ASSETS",SW$3,$E$3, $J$3, , $G$3, $H$3)),"")</f>
        <v/>
      </c>
      <c r="SX10" s="72" t="str">
        <f>IFERROR(IF(OR($B10="",SX$3=""),"",_xll.ciqfunctions.udf.CIQ($B10,"IQ_TOTAL_DEPOSITS",SX$3,$E$3, $J$3, , $G$3, $H$3)/_xll.ciqfunctions.udf.CIQ($B10,"IQ_TOTAL_ASSETS",SX$3,$E$3, $J$3, , $G$3, $H$3)),"")</f>
        <v/>
      </c>
      <c r="SY10" s="72" t="str">
        <f>IFERROR(IF(OR($B10="",SY$3=""),"",_xll.ciqfunctions.udf.CIQ($B10,"IQ_TOTAL_DEPOSITS",SY$3,$E$3, $J$3, , $G$3, $H$3)/_xll.ciqfunctions.udf.CIQ($B10,"IQ_TOTAL_ASSETS",SY$3,$E$3, $J$3, , $G$3, $H$3)),"")</f>
        <v/>
      </c>
      <c r="SZ10" s="72" t="str">
        <f>IFERROR(IF(OR($B10="",SZ$3=""),"",_xll.ciqfunctions.udf.CIQ($B10,"IQ_TOTAL_DEPOSITS",SZ$3,$E$3, $J$3, , $G$3, $H$3)/_xll.ciqfunctions.udf.CIQ($B10,"IQ_TOTAL_ASSETS",SZ$3,$E$3, $J$3, , $G$3, $H$3)),"")</f>
        <v/>
      </c>
      <c r="TA10" s="72" t="str">
        <f>IFERROR(IF(OR($B10="",TA$3=""),"",_xll.ciqfunctions.udf.CIQ($B10,"IQ_TOTAL_DEPOSITS",TA$3,$E$3, $J$3, , $G$3, $H$3)/_xll.ciqfunctions.udf.CIQ($B10,"IQ_TOTAL_ASSETS",TA$3,$E$3, $J$3, , $G$3, $H$3)),"")</f>
        <v/>
      </c>
      <c r="TB10" s="72" t="str">
        <f>IFERROR(IF(OR($B10="",TB$3=""),"",_xll.ciqfunctions.udf.CIQ($B10,"IQ_TOTAL_DEPOSITS",TB$3,$E$3, $J$3, , $G$3, $H$3)/_xll.ciqfunctions.udf.CIQ($B10,"IQ_TOTAL_ASSETS",TB$3,$E$3, $J$3, , $G$3, $H$3)),"")</f>
        <v/>
      </c>
      <c r="TC10" s="72" t="str">
        <f>IFERROR(IF(OR($B10="",TC$3=""),"",_xll.ciqfunctions.udf.CIQ($B10,"IQ_TOTAL_DEPOSITS",TC$3,$E$3, $J$3, , $G$3, $H$3)/_xll.ciqfunctions.udf.CIQ($B10,"IQ_TOTAL_ASSETS",TC$3,$E$3, $J$3, , $G$3, $H$3)),"")</f>
        <v/>
      </c>
      <c r="TD10" s="72" t="str">
        <f>IFERROR(IF(OR($B10="",TD$3=""),"",_xll.ciqfunctions.udf.CIQ($B10,"IQ_TOTAL_DEPOSITS",TD$3,$E$3, $J$3, , $G$3, $H$3)/_xll.ciqfunctions.udf.CIQ($B10,"IQ_TOTAL_ASSETS",TD$3,$E$3, $J$3, , $G$3, $H$3)),"")</f>
        <v/>
      </c>
      <c r="TE10" s="72" t="str">
        <f>IFERROR(IF(OR($B10="",TE$3=""),"",_xll.ciqfunctions.udf.CIQ($B10,"IQ_TOTAL_DEPOSITS",TE$3,$E$3, $J$3, , $G$3, $H$3)/_xll.ciqfunctions.udf.CIQ($B10,"IQ_TOTAL_ASSETS",TE$3,$E$3, $J$3, , $G$3, $H$3)),"")</f>
        <v/>
      </c>
      <c r="TF10" s="72" t="str">
        <f>IFERROR(IF(OR($B10="",TF$3=""),"",_xll.ciqfunctions.udf.CIQ($B10,"IQ_TOTAL_DEPOSITS",TF$3,$E$3, $J$3, , $G$3, $H$3)/_xll.ciqfunctions.udf.CIQ($B10,"IQ_TOTAL_ASSETS",TF$3,$E$3, $J$3, , $G$3, $H$3)),"")</f>
        <v/>
      </c>
      <c r="TG10" s="72" t="str">
        <f>IFERROR(IF(OR($B10="",TG$3=""),"",_xll.ciqfunctions.udf.CIQ($B10,"IQ_TOTAL_DEPOSITS",TG$3,$E$3, $J$3, , $G$3, $H$3)/_xll.ciqfunctions.udf.CIQ($B10,"IQ_TOTAL_ASSETS",TG$3,$E$3, $J$3, , $G$3, $H$3)),"")</f>
        <v/>
      </c>
      <c r="TH10" s="72" t="str">
        <f>IFERROR(IF(OR($B10="",TH$3=""),"",_xll.ciqfunctions.udf.CIQ($B10,"IQ_TOTAL_DEPOSITS",TH$3,$E$3, $J$3, , $G$3, $H$3)/_xll.ciqfunctions.udf.CIQ($B10,"IQ_TOTAL_ASSETS",TH$3,$E$3, $J$3, , $G$3, $H$3)),"")</f>
        <v/>
      </c>
      <c r="TI10" s="72" t="str">
        <f>IFERROR(IF(OR($B10="",TI$3=""),"",_xll.ciqfunctions.udf.CIQ($B10,"IQ_TOTAL_DEPOSITS",TI$3,$E$3, $J$3, , $G$3, $H$3)/_xll.ciqfunctions.udf.CIQ($B10,"IQ_TOTAL_ASSETS",TI$3,$E$3, $J$3, , $G$3, $H$3)),"")</f>
        <v/>
      </c>
      <c r="TJ10" s="72" t="str">
        <f>IFERROR(IF(OR($B10="",TJ$3=""),"",_xll.ciqfunctions.udf.CIQ($B10,"IQ_TOTAL_DEPOSITS",TJ$3,$E$3, $J$3, , $G$3, $H$3)/_xll.ciqfunctions.udf.CIQ($B10,"IQ_TOTAL_ASSETS",TJ$3,$E$3, $J$3, , $G$3, $H$3)),"")</f>
        <v/>
      </c>
      <c r="TK10" s="72" t="str">
        <f>IFERROR(IF(OR($B10="",TK$3="",TK$4=""),"",(_xll.ciqfunctions.udf.CIQ($B10,"IQ_TOTAL_BANK_CAPITAL",TK$3,$E$3, $J$3, , $G$3, $H$3)/_xll.ciqfunctions.udf.CIQ($B10,"IQ_TOTAL_BANK_CAPITAL",TK$4,$E$3, $J$3, , $G$3, $H$3))-1),"")</f>
        <v/>
      </c>
      <c r="TL10" s="72" t="str">
        <f>IFERROR(IF(OR($B10="",TL$3="",TL$4=""),"",(_xll.ciqfunctions.udf.CIQ($B10,"IQ_TOTAL_BANK_CAPITAL",TL$3,$E$3, $J$3, , $G$3, $H$3)/_xll.ciqfunctions.udf.CIQ($B10,"IQ_TOTAL_BANK_CAPITAL",TL$4,$E$3, $J$3, , $G$3, $H$3))-1),"")</f>
        <v/>
      </c>
      <c r="TM10" s="72" t="str">
        <f>IFERROR(IF(OR($B10="",TM$3="",TM$4=""),"",(_xll.ciqfunctions.udf.CIQ($B10,"IQ_TOTAL_BANK_CAPITAL",TM$3,$E$3, $J$3, , $G$3, $H$3)/_xll.ciqfunctions.udf.CIQ($B10,"IQ_TOTAL_BANK_CAPITAL",TM$4,$E$3, $J$3, , $G$3, $H$3))-1),"")</f>
        <v/>
      </c>
      <c r="TN10" s="72" t="str">
        <f>IFERROR(IF(OR($B10="",TN$3="",TN$4=""),"",(_xll.ciqfunctions.udf.CIQ($B10,"IQ_TOTAL_BANK_CAPITAL",TN$3,$E$3, $J$3, , $G$3, $H$3)/_xll.ciqfunctions.udf.CIQ($B10,"IQ_TOTAL_BANK_CAPITAL",TN$4,$E$3, $J$3, , $G$3, $H$3))-1),"")</f>
        <v/>
      </c>
      <c r="TO10" s="72" t="str">
        <f>IFERROR(IF(OR($B10="",TO$3="",TO$4=""),"",(_xll.ciqfunctions.udf.CIQ($B10,"IQ_TOTAL_BANK_CAPITAL",TO$3,$E$3, $J$3, , $G$3, $H$3)/_xll.ciqfunctions.udf.CIQ($B10,"IQ_TOTAL_BANK_CAPITAL",TO$4,$E$3, $J$3, , $G$3, $H$3))-1),"")</f>
        <v/>
      </c>
      <c r="TP10" s="72" t="str">
        <f>IFERROR(IF(OR($B10="",TP$3="",TP$4=""),"",(_xll.ciqfunctions.udf.CIQ($B10,"IQ_TOTAL_BANK_CAPITAL",TP$3,$E$3, $J$3, , $G$3, $H$3)/_xll.ciqfunctions.udf.CIQ($B10,"IQ_TOTAL_BANK_CAPITAL",TP$4,$E$3, $J$3, , $G$3, $H$3))-1),"")</f>
        <v/>
      </c>
      <c r="TQ10" s="72" t="str">
        <f>IFERROR(IF(OR($B10="",TQ$3="",TQ$4=""),"",(_xll.ciqfunctions.udf.CIQ($B10,"IQ_TOTAL_BANK_CAPITAL",TQ$3,$E$3, $J$3, , $G$3, $H$3)/_xll.ciqfunctions.udf.CIQ($B10,"IQ_TOTAL_BANK_CAPITAL",TQ$4,$E$3, $J$3, , $G$3, $H$3))-1),"")</f>
        <v/>
      </c>
      <c r="TR10" s="72" t="str">
        <f>IFERROR(IF(OR($B10="",TR$3="",TR$4=""),"",(_xll.ciqfunctions.udf.CIQ($B10,"IQ_TOTAL_BANK_CAPITAL",TR$3,$E$3, $J$3, , $G$3, $H$3)/_xll.ciqfunctions.udf.CIQ($B10,"IQ_TOTAL_BANK_CAPITAL",TR$4,$E$3, $J$3, , $G$3, $H$3))-1),"")</f>
        <v/>
      </c>
      <c r="TS10" s="72" t="str">
        <f>IFERROR(IF(OR($B10="",TS$3="",TS$4=""),"",(_xll.ciqfunctions.udf.CIQ($B10,"IQ_TOTAL_BANK_CAPITAL",TS$3,$E$3, $J$3, , $G$3, $H$3)/_xll.ciqfunctions.udf.CIQ($B10,"IQ_TOTAL_BANK_CAPITAL",TS$4,$E$3, $J$3, , $G$3, $H$3))-1),"")</f>
        <v/>
      </c>
      <c r="TT10" s="72" t="str">
        <f>IFERROR(IF(OR($B10="",TT$3="",TT$4=""),"",(_xll.ciqfunctions.udf.CIQ($B10,"IQ_TOTAL_BANK_CAPITAL",TT$3,$E$3, $J$3, , $G$3, $H$3)/_xll.ciqfunctions.udf.CIQ($B10,"IQ_TOTAL_BANK_CAPITAL",TT$4,$E$3, $J$3, , $G$3, $H$3))-1),"")</f>
        <v/>
      </c>
      <c r="TU10" s="72" t="str">
        <f>IFERROR(IF(OR($B10="",TU$3="",TU$4=""),"",(_xll.ciqfunctions.udf.CIQ($B10,"IQ_TOTAL_BANK_CAPITAL",TU$3,$E$3, $J$3, , $G$3, $H$3)/_xll.ciqfunctions.udf.CIQ($B10,"IQ_TOTAL_BANK_CAPITAL",TU$4,$E$3, $J$3, , $G$3, $H$3))-1),"")</f>
        <v/>
      </c>
      <c r="TV10" s="72" t="str">
        <f>IFERROR(IF(OR($B10="",TV$3="",TV$4=""),"",(_xll.ciqfunctions.udf.CIQ($B10,"IQ_TOTAL_BANK_CAPITAL",TV$3,$E$3, $J$3, , $G$3, $H$3)/_xll.ciqfunctions.udf.CIQ($B10,"IQ_TOTAL_BANK_CAPITAL",TV$4,$E$3, $J$3, , $G$3, $H$3))-1),"")</f>
        <v/>
      </c>
      <c r="TW10" s="72" t="str">
        <f>IFERROR(IF(OR($B10="",TW$3="",TW$4=""),"",(_xll.ciqfunctions.udf.CIQ($B10,"IQ_TOTAL_BANK_CAPITAL",TW$3,$E$3, $J$3, , $G$3, $H$3)/_xll.ciqfunctions.udf.CIQ($B10,"IQ_TOTAL_BANK_CAPITAL",TW$4,$E$3, $J$3, , $G$3, $H$3))-1),"")</f>
        <v/>
      </c>
      <c r="TX10" s="72" t="str">
        <f>IFERROR(IF(OR($B10="",TX$3="",TX$4=""),"",(_xll.ciqfunctions.udf.CIQ($B10,"IQ_TOTAL_BANK_CAPITAL",TX$3,$E$3, $J$3, , $G$3, $H$3)/_xll.ciqfunctions.udf.CIQ($B10,"IQ_TOTAL_BANK_CAPITAL",TX$4,$E$3, $J$3, , $G$3, $H$3))-1),"")</f>
        <v/>
      </c>
      <c r="TY10" s="72" t="str">
        <f>IFERROR(IF(OR($B10="",TY$3="",TY$4=""),"",(_xll.ciqfunctions.udf.CIQ($B10,"IQ_TOTAL_BANK_CAPITAL",TY$3,$E$3, $J$3, , $G$3, $H$3)/_xll.ciqfunctions.udf.CIQ($B10,"IQ_TOTAL_BANK_CAPITAL",TY$4,$E$3, $J$3, , $G$3, $H$3))-1),"")</f>
        <v/>
      </c>
      <c r="TZ10" s="72" t="str">
        <f>IFERROR(IF(OR($B10="",TZ$3="",TZ$4=""),"",(_xll.ciqfunctions.udf.CIQ($B10,"IQ_TOTAL_BANK_CAPITAL",TZ$3,$E$3, $J$3, , $G$3, $H$3)/_xll.ciqfunctions.udf.CIQ($B10,"IQ_TOTAL_BANK_CAPITAL",TZ$4,$E$3, $J$3, , $G$3, $H$3))-1),"")</f>
        <v/>
      </c>
      <c r="UA10" s="72" t="str">
        <f>IFERROR(IF(OR($B10="",UA$3="",UA$4=""),"",(_xll.ciqfunctions.udf.CIQ($B10,"IQ_TOTAL_BANK_CAPITAL",UA$3,$E$3, $J$3, , $G$3, $H$3)/_xll.ciqfunctions.udf.CIQ($B10,"IQ_TOTAL_BANK_CAPITAL",UA$4,$E$3, $J$3, , $G$3, $H$3))-1),"")</f>
        <v/>
      </c>
      <c r="UB10" s="72" t="str">
        <f>IFERROR(IF(OR($B10="",UB$3="",UB$4=""),"",(_xll.ciqfunctions.udf.CIQ($B10,"IQ_TOTAL_BANK_CAPITAL",UB$3,$E$3, $J$3, , $G$3, $H$3)/_xll.ciqfunctions.udf.CIQ($B10,"IQ_TOTAL_BANK_CAPITAL",UB$4,$E$3, $J$3, , $G$3, $H$3))-1),"")</f>
        <v/>
      </c>
      <c r="UC10" s="72" t="str">
        <f>IFERROR(IF(OR($B10="",UC$3="",UC$4=""),"",(_xll.ciqfunctions.udf.CIQ($B10,"IQ_TOTAL_BANK_CAPITAL",UC$3,$E$3, $J$3, , $G$3, $H$3)/_xll.ciqfunctions.udf.CIQ($B10,"IQ_TOTAL_BANK_CAPITAL",UC$4,$E$3, $J$3, , $G$3, $H$3))-1),"")</f>
        <v/>
      </c>
      <c r="UD10" s="72" t="str">
        <f>IFERROR(IF(OR($B10="",UD$3="",UD$4=""),"",(_xll.ciqfunctions.udf.CIQ($B10,"IQ_TOTAL_BANK_CAPITAL",UD$3,$E$3, $J$3, , $G$3, $H$3)/_xll.ciqfunctions.udf.CIQ($B10,"IQ_TOTAL_BANK_CAPITAL",UD$4,$E$3, $J$3, , $G$3, $H$3))-1),"")</f>
        <v/>
      </c>
      <c r="UE10" s="86" t="str">
        <f>IFERROR(IF(OR($B10="",UE$3=""),"",(_xll.ciqfunctions.udf.CIQ($B10,"IQ_TOTAL_CAPITAL_RATIO",UE$3,$E$3, $J$3, , $G$3, $H$3) - _xll.ciqfunctions.udf.CIQ($B10,"IQ_TIER_ONE_RATIO",UE$3,$E$3, $J$3, , $G$3, $H$3))/100),"")</f>
        <v/>
      </c>
      <c r="UF10" s="87" t="str">
        <f>IFERROR(IF(OR($B10="",UF$3=""),"",(_xll.ciqfunctions.udf.CIQ($B10,"IQ_TOTAL_CAPITAL_RATIO",UF$3,$E$3, $J$3, , $G$3, $H$3) - _xll.ciqfunctions.udf.CIQ($B10,"IQ_TIER_ONE_RATIO",UF$3,$E$3, $J$3, , $G$3, $H$3))/100),"")</f>
        <v/>
      </c>
      <c r="UG10" s="87" t="str">
        <f>IFERROR(IF(OR($B10="",UG$3=""),"",(_xll.ciqfunctions.udf.CIQ($B10,"IQ_TOTAL_CAPITAL_RATIO",UG$3,$E$3, $J$3, , $G$3, $H$3) - _xll.ciqfunctions.udf.CIQ($B10,"IQ_TIER_ONE_RATIO",UG$3,$E$3, $J$3, , $G$3, $H$3))/100),"")</f>
        <v/>
      </c>
      <c r="UH10" s="87" t="str">
        <f>IFERROR(IF(OR($B10="",UH$3=""),"",(_xll.ciqfunctions.udf.CIQ($B10,"IQ_TOTAL_CAPITAL_RATIO",UH$3,$E$3, $J$3, , $G$3, $H$3) - _xll.ciqfunctions.udf.CIQ($B10,"IQ_TIER_ONE_RATIO",UH$3,$E$3, $J$3, , $G$3, $H$3))/100),"")</f>
        <v/>
      </c>
      <c r="UI10" s="87" t="str">
        <f>IFERROR(IF(OR($B10="",UI$3=""),"",(_xll.ciqfunctions.udf.CIQ($B10,"IQ_TOTAL_CAPITAL_RATIO",UI$3,$E$3, $J$3, , $G$3, $H$3) - _xll.ciqfunctions.udf.CIQ($B10,"IQ_TIER_ONE_RATIO",UI$3,$E$3, $J$3, , $G$3, $H$3))/100),"")</f>
        <v/>
      </c>
      <c r="UJ10" s="87" t="str">
        <f>IFERROR(IF(OR($B10="",UJ$3=""),"",(_xll.ciqfunctions.udf.CIQ($B10,"IQ_TOTAL_CAPITAL_RATIO",UJ$3,$E$3, $J$3, , $G$3, $H$3) - _xll.ciqfunctions.udf.CIQ($B10,"IQ_TIER_ONE_RATIO",UJ$3,$E$3, $J$3, , $G$3, $H$3))/100),"")</f>
        <v/>
      </c>
      <c r="UK10" s="87" t="str">
        <f>IFERROR(IF(OR($B10="",UK$3=""),"",(_xll.ciqfunctions.udf.CIQ($B10,"IQ_TOTAL_CAPITAL_RATIO",UK$3,$E$3, $J$3, , $G$3, $H$3) - _xll.ciqfunctions.udf.CIQ($B10,"IQ_TIER_ONE_RATIO",UK$3,$E$3, $J$3, , $G$3, $H$3))/100),"")</f>
        <v/>
      </c>
      <c r="UL10" s="87" t="str">
        <f>IFERROR(IF(OR($B10="",UL$3=""),"",(_xll.ciqfunctions.udf.CIQ($B10,"IQ_TOTAL_CAPITAL_RATIO",UL$3,$E$3, $J$3, , $G$3, $H$3) - _xll.ciqfunctions.udf.CIQ($B10,"IQ_TIER_ONE_RATIO",UL$3,$E$3, $J$3, , $G$3, $H$3))/100),"")</f>
        <v/>
      </c>
      <c r="UM10" s="87" t="str">
        <f>IFERROR(IF(OR($B10="",UM$3=""),"",(_xll.ciqfunctions.udf.CIQ($B10,"IQ_TOTAL_CAPITAL_RATIO",UM$3,$E$3, $J$3, , $G$3, $H$3) - _xll.ciqfunctions.udf.CIQ($B10,"IQ_TIER_ONE_RATIO",UM$3,$E$3, $J$3, , $G$3, $H$3))/100),"")</f>
        <v/>
      </c>
      <c r="UN10" s="87" t="str">
        <f>IFERROR(IF(OR($B10="",UN$3=""),"",(_xll.ciqfunctions.udf.CIQ($B10,"IQ_TOTAL_CAPITAL_RATIO",UN$3,$E$3, $J$3, , $G$3, $H$3) - _xll.ciqfunctions.udf.CIQ($B10,"IQ_TIER_ONE_RATIO",UN$3,$E$3, $J$3, , $G$3, $H$3))/100),"")</f>
        <v/>
      </c>
      <c r="UO10" s="87" t="str">
        <f>IFERROR(IF(OR($B10="",UO$3=""),"",(_xll.ciqfunctions.udf.CIQ($B10,"IQ_TOTAL_CAPITAL_RATIO",UO$3,$E$3, $J$3, , $G$3, $H$3) - _xll.ciqfunctions.udf.CIQ($B10,"IQ_TIER_ONE_RATIO",UO$3,$E$3, $J$3, , $G$3, $H$3))/100),"")</f>
        <v/>
      </c>
      <c r="UP10" s="87" t="str">
        <f>IFERROR(IF(OR($B10="",UP$3=""),"",(_xll.ciqfunctions.udf.CIQ($B10,"IQ_TOTAL_CAPITAL_RATIO",UP$3,$E$3, $J$3, , $G$3, $H$3) - _xll.ciqfunctions.udf.CIQ($B10,"IQ_TIER_ONE_RATIO",UP$3,$E$3, $J$3, , $G$3, $H$3))/100),"")</f>
        <v/>
      </c>
      <c r="UQ10" s="87" t="str">
        <f>IFERROR(IF(OR($B10="",UQ$3=""),"",(_xll.ciqfunctions.udf.CIQ($B10,"IQ_TOTAL_CAPITAL_RATIO",UQ$3,$E$3, $J$3, , $G$3, $H$3) - _xll.ciqfunctions.udf.CIQ($B10,"IQ_TIER_ONE_RATIO",UQ$3,$E$3, $J$3, , $G$3, $H$3))/100),"")</f>
        <v/>
      </c>
      <c r="UR10" s="87" t="str">
        <f>IFERROR(IF(OR($B10="",UR$3=""),"",(_xll.ciqfunctions.udf.CIQ($B10,"IQ_TOTAL_CAPITAL_RATIO",UR$3,$E$3, $J$3, , $G$3, $H$3) - _xll.ciqfunctions.udf.CIQ($B10,"IQ_TIER_ONE_RATIO",UR$3,$E$3, $J$3, , $G$3, $H$3))/100),"")</f>
        <v/>
      </c>
      <c r="US10" s="87" t="str">
        <f>IFERROR(IF(OR($B10="",US$3=""),"",(_xll.ciqfunctions.udf.CIQ($B10,"IQ_TOTAL_CAPITAL_RATIO",US$3,$E$3, $J$3, , $G$3, $H$3) - _xll.ciqfunctions.udf.CIQ($B10,"IQ_TIER_ONE_RATIO",US$3,$E$3, $J$3, , $G$3, $H$3))/100),"")</f>
        <v/>
      </c>
      <c r="UT10" s="87" t="str">
        <f>IFERROR(IF(OR($B10="",UT$3=""),"",(_xll.ciqfunctions.udf.CIQ($B10,"IQ_TOTAL_CAPITAL_RATIO",UT$3,$E$3, $J$3, , $G$3, $H$3) - _xll.ciqfunctions.udf.CIQ($B10,"IQ_TIER_ONE_RATIO",UT$3,$E$3, $J$3, , $G$3, $H$3))/100),"")</f>
        <v/>
      </c>
      <c r="UU10" s="87" t="str">
        <f>IFERROR(IF(OR($B10="",UU$3=""),"",(_xll.ciqfunctions.udf.CIQ($B10,"IQ_TOTAL_CAPITAL_RATIO",UU$3,$E$3, $J$3, , $G$3, $H$3) - _xll.ciqfunctions.udf.CIQ($B10,"IQ_TIER_ONE_RATIO",UU$3,$E$3, $J$3, , $G$3, $H$3))/100),"")</f>
        <v/>
      </c>
      <c r="UV10" s="87" t="str">
        <f>IFERROR(IF(OR($B10="",UV$3=""),"",(_xll.ciqfunctions.udf.CIQ($B10,"IQ_TOTAL_CAPITAL_RATIO",UV$3,$E$3, $J$3, , $G$3, $H$3) - _xll.ciqfunctions.udf.CIQ($B10,"IQ_TIER_ONE_RATIO",UV$3,$E$3, $J$3, , $G$3, $H$3))/100),"")</f>
        <v/>
      </c>
      <c r="UW10" s="87" t="str">
        <f>IFERROR(IF(OR($B10="",UW$3=""),"",(_xll.ciqfunctions.udf.CIQ($B10,"IQ_TOTAL_CAPITAL_RATIO",UW$3,$E$3, $J$3, , $G$3, $H$3) - _xll.ciqfunctions.udf.CIQ($B10,"IQ_TIER_ONE_RATIO",UW$3,$E$3, $J$3, , $G$3, $H$3))/100),"")</f>
        <v/>
      </c>
      <c r="UX10" s="88" t="str">
        <f>IFERROR(IF(OR($B10="",UX$3=""),"",(_xll.ciqfunctions.udf.CIQ($B10,"IQ_TOTAL_CAPITAL_RATIO",UX$3,$E$3, $J$3, , $G$3, $H$3) - _xll.ciqfunctions.udf.CIQ($B10,"IQ_TIER_ONE_RATIO",UX$3,$E$3, $J$3, , $G$3, $H$3))/100),"")</f>
        <v/>
      </c>
    </row>
    <row r="11" spans="1:570" ht="15" customHeight="1" x14ac:dyDescent="0.2">
      <c r="A11" s="218" t="str">
        <f>IF(B11="","",_xll.ciqfunctions.udf.CIQ($B11,"IQ_COMPANY_NAME"))</f>
        <v/>
      </c>
      <c r="B11" s="272" t="str">
        <f>IF(Input!B23="","",Input!B23)</f>
        <v/>
      </c>
      <c r="C11" s="272">
        <f>Input!E23</f>
        <v>0</v>
      </c>
      <c r="D11" s="269" t="str">
        <f>IF(B11="","",_xll.ciqfunctions.udf.CIQ($B11,"IQ_PRIMARY_INDUSTRY"))</f>
        <v/>
      </c>
      <c r="E11" s="219" t="str">
        <f>IF($B11="","",IF(NOT(ISNUMBER(_xll.ciqfunctions.udf.CIQ($B11, "IQ_CLOSEPRICE", $E$3, $G$3, $H$3))),"",_xll.ciqfunctions.udf.CIQ($B11, "IQ_CLOSEPRICE", $E$3, $G$3, $H$3)))</f>
        <v/>
      </c>
      <c r="F11" s="219" t="str">
        <f>IF($B11="","",IF(NOT(ISNUMBER(_xll.ciqfunctions.udf.CIQ($B11, "IQ_CLOSEPRICE", $E$4, $G$3, $H$3))),"",_xll.ciqfunctions.udf.CIQ($B11, "IQ_CLOSEPRICE", $E$4, $G$3, $H$3)))</f>
        <v/>
      </c>
      <c r="G11" s="220" t="str">
        <f t="shared" si="351"/>
        <v/>
      </c>
      <c r="H11" s="220" t="str">
        <f>IFERROR(IF($B11="","",_xll.ciqfunctions.udf.CIQ($B11, "IQ_TOTAL_REV_1YR_ANN_GROWTH", $I$3, $E$3, $J$3)/100),"")</f>
        <v/>
      </c>
      <c r="I11" s="220" t="str">
        <f>IFERROR(IF($B11="","",_xll.ciqfunctions.udf.CIQ($B11,"IQ_NET_INT_INC_BNK",$I$3, $E$3, $J$3, , $G$3, $H$3)/_xll.ciqfunctions.udf.CIQ($B11,"IQ_GROSS_LOANS",$I$3, $E$3, $J$3, , $G$3, $H$3)),"")</f>
        <v/>
      </c>
      <c r="J11" s="220" t="str">
        <f>IFERROR(IF(B11="","",_xll.ciqfunctions.udf.CIQ($B11,"IQ_EBT",$I$3, $E$3, $J$3, , $G$3, $H$3)/_xll.ciqfunctions.udf.CIQ($B11,"IQ_TOTAL_REVENUE",$I$3, $E$3, $J$3, , $G$3, $H$3)),"")</f>
        <v/>
      </c>
      <c r="K11" s="220" t="str">
        <f>IFERROR(IF(B11="","",_xll.ciqfunctions.udf.CIQ($B11,"IQ_NI_MARGIN",$I$3, $E$3, $J$3, , $G$3, $H$3)/100),"")</f>
        <v/>
      </c>
      <c r="L11" s="220" t="str">
        <f>IFERROR(IF($B11="","",_xll.ciqfunctions.udf.CIQ($B11,"IQ_NI",$I$3, $E$3, $J$3, , $G$3, $H$3)/(0.5*(_xll.ciqfunctions.udf.CIQ($B11,"IQ_TOTAL_ASSETS",$I$3, $E$3, $J$3, , $G$3, $H$3)+_xll.ciqfunctions.udf.CIQ($B11,"IQ_TOTAL_ASSETS",$I$3 &amp; "-4", $E$3, $J$3, , $G$3, $H$3)))),"")</f>
        <v/>
      </c>
      <c r="M11" s="220" t="str">
        <f>IFERROR(_xll.ciqfunctions.udf.CIQ($B11,"IQ_NI",$I$3, $E$3, $J$3, , $G$3, $H$3)/(_xll.ciqfunctions.udf.CIQ($B11,"IQ_TOTAL_ASSETS",$I$3, $E$3, $J$3, , $G$3, $H$3)+_xll.ciqfunctions.udf.CIQ($B11,"IQ_TOTAL_ASSETS",$I$3 &amp; "-4", $E$3, $J$3, , $G$3, $H$3)-_xll.ciqfunctions.udf.CIQ($B11,"IQ_TOTAL_CL",$I$3, $E$3, $J$3, , $G$3, $H$3)-_xll.ciqfunctions.udf.CIQ($B11,"IQ_TOTAL_CL",$I$3 &amp; "-4", $E$3, $J$3, , $G$3, $H$3)),"")</f>
        <v/>
      </c>
      <c r="N11" s="220" t="str">
        <f>IFERROR(IF($B11="","",_xll.ciqfunctions.udf.CIQ($B11,"IQ_NI",$I$3, $E$3, $J$3, , $G$3, $H$3)/(0.5*(_xll.ciqfunctions.udf.CIQ($B11,"IQ_TOTAL_EQUITY",$I$3, $E$3, $J$3, , $G$3, $H$3)+_xll.ciqfunctions.udf.CIQ($B11,"IQ_TOTAL_EQUITY",$I$3 &amp; "-4", $E$3, $J$3, , $G$3, $H$3)))),"")</f>
        <v/>
      </c>
      <c r="O11" s="222" t="str">
        <f>IFERROR(IF($B11="","",(_xll.ciqfunctions.udf.CIQ($B11,"IQ_TIER_ONE_CAPITAL",$I$3, $E$3, $J$3, , $G$3, $H$3)+_xll.ciqfunctions.udf.CIQ($B11,"IQ_TIER_TWO_CAPITAL",$I$3, $E$3, $J$3, , $G$3, $H$3)-_xll.ciqfunctions.udf.CIQ($B11,"IQ_GW",$I$3, $E$3, $J$3, , $G$3, $H$3))/_xll.ciqfunctions.udf.CIQ($B11,"IQ_RISK_ADJ_BANK_ASSETS",$I$3, $E$3, $J$3, , $G$3, $H$3)),"")</f>
        <v/>
      </c>
      <c r="P11" s="222" t="str">
        <f>IFERROR(IF($B11="","",(_xll.ciqfunctions.udf.CIQ($B11,"IQ_TIER_ONE_CAPITAL",$I$3, $E$3, $J$3, , $G$3, $H$3)+_xll.ciqfunctions.udf.CIQ($B11,"IQ_TIER_TWO_CAPITAL",$I$3, $E$3, $J$3, , $G$3, $H$3))/_xll.ciqfunctions.udf.CIQ($B11,"IQ_TOTAL_ASSETS",$I$3, $E$3, $J$3, , $G$3, $H$3)),"")</f>
        <v/>
      </c>
      <c r="Q11" s="220" t="str">
        <f>IFERROR(IF(B11="","",_xll.ciqfunctions.udf.CIQ($B11,"IQ_TIER_ONE_RATIO",$I$3, $E$3, $J$3, , $G$3, $H$3)/100),"")</f>
        <v/>
      </c>
      <c r="R11" s="220" t="str">
        <f t="shared" si="330"/>
        <v/>
      </c>
      <c r="S11" s="220" t="str">
        <f>IFERROR(IF(B11="","",_xll.ciqfunctions.udf.CIQ($B11,"IQ_TOTAL_CAPITAL_RATIO",$I$3, $E$3, $J$3, , $G$3, $H$3)/100),"")</f>
        <v/>
      </c>
      <c r="T11" s="220" t="str">
        <f>IFERROR(IF($B11="","",_xll.ciqfunctions.udf.CIQ($B11,"IQ_NON_PERF_LOANS_TOTAL_LOANS",$I$3, $E$3, $J$3, , $G$3, $H$3)/100),"")</f>
        <v/>
      </c>
      <c r="U11" s="222" t="str">
        <f>IFERROR(IF($B11="","",-_xll.ciqfunctions.udf.CIQ($B11,"IQ_ALLOW_LL",$I$3, $E$3, $J$3, , $G$3, $H$3)/_xll.ciqfunctions.udf.CIQ($B11,"IQ_TOTAL_LOANS",$I$3, $E$3, $J$3, , $G$3, $H$3)),"")</f>
        <v/>
      </c>
      <c r="V11" s="220" t="str">
        <f>IFERROR(IF($B11="","",_xll.ciqfunctions.udf.CIQ($B11,"IQ_LL",$I$3, $E$3, $J$3, , $G$3, $H$3)/_xll.ciqfunctions.udf.CIQ($B11,"IQ_NET_LOANS",$I$3, $E$3, $J$3, , $G$3, $H$3)),"")</f>
        <v/>
      </c>
      <c r="W11" s="220" t="str">
        <f>IFERROR(IF(B11="","",_xll.ciqfunctions.udf.CIQ($B11,"IQ_NET_LOANS",$I$3, $E$3, $J$3, , $G$3, $H$3)/_xll.ciqfunctions.udf.CIQ($B11,"IQ_TOTAL_ASSETS",$I$3, $E$3, $J$3, , $G$3, $H$3)),"")</f>
        <v/>
      </c>
      <c r="X11" s="222" t="str">
        <f>IFERROR(IF($B11="","",_xll.ciqfunctions.udf.CIQ($B11,"IQ_TOTAL_LOANS",$I$3, $E$3, $J$3, , $G$3, $H$3)/_xll.ciqfunctions.udf.CIQ($B11,"IQ_TOTAL_DEPOSITS",$I$3, $E$3, $J$3, , $G$3, $H$3)),"")</f>
        <v/>
      </c>
      <c r="Y11" s="220" t="str">
        <f>IFERROR(IF($B11="","",_xll.ciqfunctions.udf.CIQ($B11,"IQ_TOTAL_DEPOSITS",$I$3, $E$3, $J$3, , $G$3, $H$3)/_xll.ciqfunctions.udf.CIQ($B11,"IQ_TOTAL_ASSETS",$I$3, $E$3, $J$3, , $G$3, $H$3)),"")</f>
        <v/>
      </c>
      <c r="Z11" s="221" t="str">
        <f>IFERROR(IF(B11="","",_xll.ciqfunctions.udf.CIQ($B11,"IQ_TOTAL_ASSETS",IQ_LTM)/_xll.ciqfunctions.udf.CIQ($B11,"IQ_TOTAL_COMMON_EQUITY",IQ_LTM)),"")</f>
        <v/>
      </c>
      <c r="AA11" s="222" t="str">
        <f>IFERROR(IF($B11="","",_xll.ciqfunctions.udf.CIQ($B11,"IQ_CASH_OPER",$I$3, $E$3, $J$3, , $G$3, $H$3)*2/(_xll.ciqfunctions.udf.CIQ($B11,"IQ_TOTAL_CL",$I$3, $E$3, $J$3, , $G$3, $H$3)+_xll.ciqfunctions.udf.CIQ($B11,"IQ_TOTAL_CL",$I$3 &amp; "-4", $E$3, $J$3, , $G$3, $H$3))),"")</f>
        <v/>
      </c>
      <c r="AB11" s="222" t="str">
        <f>IFERROR(IF($B11="","",_xll.ciqfunctions.udf.CIQ($B11,"IQ_NON_PERFORMING_LOANS",$I$3, $E$3, $J$3, , $G$3, $H$3)/_xll.ciqfunctions.udf.CIQ($B11,"IQ_TOTAL_EQUITY",$I$3, $E$3, $J$3, , $G$3, $H$3)),"")</f>
        <v/>
      </c>
      <c r="AC11" s="1021" t="str">
        <f>IF(B11="","",IF(NOT(ISNUMBER(_xll.ciqfunctions.udf.CIQ($B11,"IQ_Z_SCORE",$I$3, $E$3, $J$3, , $G$3, $H$3))),"",_xll.ciqfunctions.udf.CIQ($B11,"IQ_Z_SCORE",$I$3, $E$3, $J$3, , $G$3, $H$3)))</f>
        <v/>
      </c>
      <c r="AD11" s="19"/>
      <c r="AE11" s="86" t="str">
        <f>IFERROR(IF(OR($B11="",AE$3=""),"",_xll.ciqfunctions.udf.CIQ($B11,"IQ_NET_INT_INC_BNK",AE$3,$E$3, $J$3, , $G$3, $H$3)*2/(_xll.ciqfunctions.udf.CIQ($B11,"IQ_GROSS_LOANS",AE$3,$E$3, $J$3, , $G$3, $H$3)+_xll.ciqfunctions.udf.CIQ($B11,"IQ_GROSS_LOANS", "IQ_" &amp; LEFT(AE$3,2) &amp; "-1",AE$3, $J$3, , $G$3, $H$3))),"")</f>
        <v/>
      </c>
      <c r="AF11" s="87" t="str">
        <f>IFERROR(IF(OR($B11="",AF$3=""),"",_xll.ciqfunctions.udf.CIQ($B11,"IQ_NET_INT_INC_BNK",AF$3,$E$3, $J$3, , $G$3, $H$3)*2/(_xll.ciqfunctions.udf.CIQ($B11,"IQ_GROSS_LOANS",AF$3,$E$3, $J$3, , $G$3, $H$3)+_xll.ciqfunctions.udf.CIQ($B11,"IQ_GROSS_LOANS", "IQ_" &amp; LEFT(AF$3,2) &amp; "-1",AF$3, $J$3, , $G$3, $H$3))),"")</f>
        <v/>
      </c>
      <c r="AG11" s="87" t="str">
        <f>IFERROR(IF(OR($B11="",AG$3=""),"",_xll.ciqfunctions.udf.CIQ($B11,"IQ_NET_INT_INC_BNK",AG$3,$E$3, $J$3, , $G$3, $H$3)*2/(_xll.ciqfunctions.udf.CIQ($B11,"IQ_GROSS_LOANS",AG$3,$E$3, $J$3, , $G$3, $H$3)+_xll.ciqfunctions.udf.CIQ($B11,"IQ_GROSS_LOANS", "IQ_" &amp; LEFT(AG$3,2) &amp; "-1",AG$3, $J$3, , $G$3, $H$3))),"")</f>
        <v/>
      </c>
      <c r="AH11" s="87" t="str">
        <f>IFERROR(IF(OR($B11="",AH$3=""),"",_xll.ciqfunctions.udf.CIQ($B11,"IQ_NET_INT_INC_BNK",AH$3,$E$3, $J$3, , $G$3, $H$3)*2/(_xll.ciqfunctions.udf.CIQ($B11,"IQ_GROSS_LOANS",AH$3,$E$3, $J$3, , $G$3, $H$3)+_xll.ciqfunctions.udf.CIQ($B11,"IQ_GROSS_LOANS", "IQ_" &amp; LEFT(AH$3,2) &amp; "-1",AH$3, $J$3, , $G$3, $H$3))),"")</f>
        <v/>
      </c>
      <c r="AI11" s="87" t="str">
        <f>IFERROR(IF(OR($B11="",AI$3=""),"",_xll.ciqfunctions.udf.CIQ($B11,"IQ_NET_INT_INC_BNK",AI$3,$E$3, $J$3, , $G$3, $H$3)*2/(_xll.ciqfunctions.udf.CIQ($B11,"IQ_GROSS_LOANS",AI$3,$E$3, $J$3, , $G$3, $H$3)+_xll.ciqfunctions.udf.CIQ($B11,"IQ_GROSS_LOANS", "IQ_" &amp; LEFT(AI$3,2) &amp; "-1",AI$3, $J$3, , $G$3, $H$3))),"")</f>
        <v/>
      </c>
      <c r="AJ11" s="87" t="str">
        <f>IFERROR(IF(OR($B11="",AJ$3=""),"",_xll.ciqfunctions.udf.CIQ($B11,"IQ_NET_INT_INC_BNK",AJ$3,$E$3, $J$3, , $G$3, $H$3)*2/(_xll.ciqfunctions.udf.CIQ($B11,"IQ_GROSS_LOANS",AJ$3,$E$3, $J$3, , $G$3, $H$3)+_xll.ciqfunctions.udf.CIQ($B11,"IQ_GROSS_LOANS", "IQ_" &amp; LEFT(AJ$3,2) &amp; "-1",AJ$3, $J$3, , $G$3, $H$3))),"")</f>
        <v/>
      </c>
      <c r="AK11" s="87" t="str">
        <f>IFERROR(IF(OR($B11="",AK$3=""),"",_xll.ciqfunctions.udf.CIQ($B11,"IQ_NET_INT_INC_BNK",AK$3,$E$3, $J$3, , $G$3, $H$3)*2/(_xll.ciqfunctions.udf.CIQ($B11,"IQ_GROSS_LOANS",AK$3,$E$3, $J$3, , $G$3, $H$3)+_xll.ciqfunctions.udf.CIQ($B11,"IQ_GROSS_LOANS", "IQ_" &amp; LEFT(AK$3,2) &amp; "-1",AK$3, $J$3, , $G$3, $H$3))),"")</f>
        <v/>
      </c>
      <c r="AL11" s="87" t="str">
        <f>IFERROR(IF(OR($B11="",AL$3=""),"",_xll.ciqfunctions.udf.CIQ($B11,"IQ_NET_INT_INC_BNK",AL$3,$E$3, $J$3, , $G$3, $H$3)*2/(_xll.ciqfunctions.udf.CIQ($B11,"IQ_GROSS_LOANS",AL$3,$E$3, $J$3, , $G$3, $H$3)+_xll.ciqfunctions.udf.CIQ($B11,"IQ_GROSS_LOANS", "IQ_" &amp; LEFT(AL$3,2) &amp; "-1",AL$3, $J$3, , $G$3, $H$3))),"")</f>
        <v/>
      </c>
      <c r="AM11" s="87" t="str">
        <f>IFERROR(IF(OR($B11="",AM$3=""),"",_xll.ciqfunctions.udf.CIQ($B11,"IQ_NET_INT_INC_BNK",AM$3,$E$3, $J$3, , $G$3, $H$3)*2/(_xll.ciqfunctions.udf.CIQ($B11,"IQ_GROSS_LOANS",AM$3,$E$3, $J$3, , $G$3, $H$3)+_xll.ciqfunctions.udf.CIQ($B11,"IQ_GROSS_LOANS", "IQ_" &amp; LEFT(AM$3,2) &amp; "-1",AM$3, $J$3, , $G$3, $H$3))),"")</f>
        <v/>
      </c>
      <c r="AN11" s="87" t="str">
        <f>IFERROR(IF(OR($B11="",AN$3=""),"",_xll.ciqfunctions.udf.CIQ($B11,"IQ_NET_INT_INC_BNK",AN$3,$E$3, $J$3, , $G$3, $H$3)*2/(_xll.ciqfunctions.udf.CIQ($B11,"IQ_GROSS_LOANS",AN$3,$E$3, $J$3, , $G$3, $H$3)+_xll.ciqfunctions.udf.CIQ($B11,"IQ_GROSS_LOANS", "IQ_" &amp; LEFT(AN$3,2) &amp; "-1",AN$3, $J$3, , $G$3, $H$3))),"")</f>
        <v/>
      </c>
      <c r="AO11" s="87" t="str">
        <f>IFERROR(IF(OR($B11="",AO$3=""),"",_xll.ciqfunctions.udf.CIQ($B11,"IQ_NET_INT_INC_BNK",AO$3,$E$3, $J$3, , $G$3, $H$3)*2/(_xll.ciqfunctions.udf.CIQ($B11,"IQ_GROSS_LOANS",AO$3,$E$3, $J$3, , $G$3, $H$3)+_xll.ciqfunctions.udf.CIQ($B11,"IQ_GROSS_LOANS", "IQ_" &amp; LEFT(AO$3,2) &amp; "-1",AO$3, $J$3, , $G$3, $H$3))),"")</f>
        <v/>
      </c>
      <c r="AP11" s="87" t="str">
        <f>IFERROR(IF(OR($B11="",AP$3=""),"",_xll.ciqfunctions.udf.CIQ($B11,"IQ_NET_INT_INC_BNK",AP$3,$E$3, $J$3, , $G$3, $H$3)*2/(_xll.ciqfunctions.udf.CIQ($B11,"IQ_GROSS_LOANS",AP$3,$E$3, $J$3, , $G$3, $H$3)+_xll.ciqfunctions.udf.CIQ($B11,"IQ_GROSS_LOANS", "IQ_" &amp; LEFT(AP$3,2) &amp; "-1",AP$3, $J$3, , $G$3, $H$3))),"")</f>
        <v/>
      </c>
      <c r="AQ11" s="87" t="str">
        <f>IFERROR(IF(OR($B11="",AQ$3=""),"",_xll.ciqfunctions.udf.CIQ($B11,"IQ_NET_INT_INC_BNK",AQ$3,$E$3, $J$3, , $G$3, $H$3)*2/(_xll.ciqfunctions.udf.CIQ($B11,"IQ_GROSS_LOANS",AQ$3,$E$3, $J$3, , $G$3, $H$3)+_xll.ciqfunctions.udf.CIQ($B11,"IQ_GROSS_LOANS", "IQ_" &amp; LEFT(AQ$3,2) &amp; "-1",AQ$3, $J$3, , $G$3, $H$3))),"")</f>
        <v/>
      </c>
      <c r="AR11" s="87" t="str">
        <f>IFERROR(IF(OR($B11="",AR$3=""),"",_xll.ciqfunctions.udf.CIQ($B11,"IQ_NET_INT_INC_BNK",AR$3,$E$3, $J$3, , $G$3, $H$3)*2/(_xll.ciqfunctions.udf.CIQ($B11,"IQ_GROSS_LOANS",AR$3,$E$3, $J$3, , $G$3, $H$3)+_xll.ciqfunctions.udf.CIQ($B11,"IQ_GROSS_LOANS", "IQ_" &amp; LEFT(AR$3,2) &amp; "-1",AR$3, $J$3, , $G$3, $H$3))),"")</f>
        <v/>
      </c>
      <c r="AS11" s="87" t="str">
        <f>IFERROR(IF(OR($B11="",AS$3=""),"",_xll.ciqfunctions.udf.CIQ($B11,"IQ_NET_INT_INC_BNK",AS$3,$E$3, $J$3, , $G$3, $H$3)*2/(_xll.ciqfunctions.udf.CIQ($B11,"IQ_GROSS_LOANS",AS$3,$E$3, $J$3, , $G$3, $H$3)+_xll.ciqfunctions.udf.CIQ($B11,"IQ_GROSS_LOANS", "IQ_" &amp; LEFT(AS$3,2) &amp; "-1",AS$3, $J$3, , $G$3, $H$3))),"")</f>
        <v/>
      </c>
      <c r="AT11" s="87" t="str">
        <f>IFERROR(IF(OR($B11="",AT$3=""),"",_xll.ciqfunctions.udf.CIQ($B11,"IQ_NET_INT_INC_BNK",AT$3,$E$3, $J$3, , $G$3, $H$3)*2/(_xll.ciqfunctions.udf.CIQ($B11,"IQ_GROSS_LOANS",AT$3,$E$3, $J$3, , $G$3, $H$3)+_xll.ciqfunctions.udf.CIQ($B11,"IQ_GROSS_LOANS", "IQ_" &amp; LEFT(AT$3,2) &amp; "-1",AT$3, $J$3, , $G$3, $H$3))),"")</f>
        <v/>
      </c>
      <c r="AU11" s="87" t="str">
        <f>IFERROR(IF(OR($B11="",AU$3=""),"",_xll.ciqfunctions.udf.CIQ($B11,"IQ_NET_INT_INC_BNK",AU$3,$E$3, $J$3, , $G$3, $H$3)*2/(_xll.ciqfunctions.udf.CIQ($B11,"IQ_GROSS_LOANS",AU$3,$E$3, $J$3, , $G$3, $H$3)+_xll.ciqfunctions.udf.CIQ($B11,"IQ_GROSS_LOANS", "IQ_" &amp; LEFT(AU$3,2) &amp; "-1",AU$3, $J$3, , $G$3, $H$3))),"")</f>
        <v/>
      </c>
      <c r="AV11" s="87" t="str">
        <f>IFERROR(IF(OR($B11="",AV$3=""),"",_xll.ciqfunctions.udf.CIQ($B11,"IQ_NET_INT_INC_BNK",AV$3,$E$3, $J$3, , $G$3, $H$3)*2/(_xll.ciqfunctions.udf.CIQ($B11,"IQ_GROSS_LOANS",AV$3,$E$3, $J$3, , $G$3, $H$3)+_xll.ciqfunctions.udf.CIQ($B11,"IQ_GROSS_LOANS", "IQ_" &amp; LEFT(AV$3,2) &amp; "-1",AV$3, $J$3, , $G$3, $H$3))),"")</f>
        <v/>
      </c>
      <c r="AW11" s="87" t="str">
        <f>IFERROR(IF(OR($B11="",AW$3=""),"",_xll.ciqfunctions.udf.CIQ($B11,"IQ_NET_INT_INC_BNK",AW$3,$E$3, $J$3, , $G$3, $H$3)*2/(_xll.ciqfunctions.udf.CIQ($B11,"IQ_GROSS_LOANS",AW$3,$E$3, $J$3, , $G$3, $H$3)+_xll.ciqfunctions.udf.CIQ($B11,"IQ_GROSS_LOANS", "IQ_" &amp; LEFT(AW$3,2) &amp; "-1",AW$3, $J$3, , $G$3, $H$3))),"")</f>
        <v/>
      </c>
      <c r="AX11" s="88" t="str">
        <f>IFERROR(IF(OR($B11="",AX$3=""),"",_xll.ciqfunctions.udf.CIQ($B11,"IQ_NET_INT_INC_BNK",AX$3,$E$3, $J$3, , $G$3, $H$3)*2/(_xll.ciqfunctions.udf.CIQ($B11,"IQ_GROSS_LOANS",AX$3,$E$3, $J$3, , $G$3, $H$3)+_xll.ciqfunctions.udf.CIQ($B11,"IQ_GROSS_LOANS", "IQ_" &amp; LEFT(AX$3,2) &amp; "-1",AX$3, $J$3, , $G$3, $H$3))),"")</f>
        <v/>
      </c>
      <c r="AY11" s="72" t="str">
        <f>IFERROR(IF(OR($B11="",AY$3=""),"",_xll.ciqfunctions.udf.CIQ($B11, "IQ_EBT", AY$3,$E$3, $J$3, , $G$3, $H$3)/(_xll.ciqfunctions.udf.CIQ($B11,"IQ_INT_INC_TOTAL",BW$3,$E$3, $J$3, , $G$3, $H$3)+_xll.ciqfunctions.udf.CIQ($B11,"IQ_NON_INT_INC",BW$3,$E$3, $J$3, , $G$3, $H$3))),"")</f>
        <v/>
      </c>
      <c r="AZ11" s="72" t="str">
        <f>IFERROR(IF(OR($B11="",AZ$3=""),"",_xll.ciqfunctions.udf.CIQ($B11, "IQ_EBT", AZ$3,$E$3, $J$3, , $G$3, $H$3)/(_xll.ciqfunctions.udf.CIQ($B11,"IQ_INT_INC_TOTAL",BX$3,$E$3, $J$3, , $G$3, $H$3)+_xll.ciqfunctions.udf.CIQ($B11,"IQ_NON_INT_INC",BX$3,$E$3, $J$3, , $G$3, $H$3))),"")</f>
        <v/>
      </c>
      <c r="BA11" s="72" t="str">
        <f>IFERROR(IF(OR($B11="",BA$3=""),"",_xll.ciqfunctions.udf.CIQ($B11, "IQ_EBT", BA$3,$E$3, $J$3, , $G$3, $H$3)/(_xll.ciqfunctions.udf.CIQ($B11,"IQ_INT_INC_TOTAL",BY$3,$E$3, $J$3, , $G$3, $H$3)+_xll.ciqfunctions.udf.CIQ($B11,"IQ_NON_INT_INC",BY$3,$E$3, $J$3, , $G$3, $H$3))),"")</f>
        <v/>
      </c>
      <c r="BB11" s="72" t="str">
        <f>IFERROR(IF(OR($B11="",BB$3=""),"",_xll.ciqfunctions.udf.CIQ($B11, "IQ_EBT", BB$3,$E$3, $J$3, , $G$3, $H$3)/(_xll.ciqfunctions.udf.CIQ($B11,"IQ_INT_INC_TOTAL",BZ$3,$E$3, $J$3, , $G$3, $H$3)+_xll.ciqfunctions.udf.CIQ($B11,"IQ_NON_INT_INC",BZ$3,$E$3, $J$3, , $G$3, $H$3))),"")</f>
        <v/>
      </c>
      <c r="BC11" s="72" t="str">
        <f>IFERROR(IF(OR($B11="",BC$3=""),"",_xll.ciqfunctions.udf.CIQ($B11, "IQ_EBT", BC$3,$E$3, $J$3, , $G$3, $H$3)/(_xll.ciqfunctions.udf.CIQ($B11,"IQ_INT_INC_TOTAL",CA$3,$E$3, $J$3, , $G$3, $H$3)+_xll.ciqfunctions.udf.CIQ($B11,"IQ_NON_INT_INC",CA$3,$E$3, $J$3, , $G$3, $H$3))),"")</f>
        <v/>
      </c>
      <c r="BD11" s="72" t="str">
        <f>IFERROR(IF(OR($B11="",BD$3=""),"",_xll.ciqfunctions.udf.CIQ($B11, "IQ_EBT", BD$3,$E$3, $J$3, , $G$3, $H$3)/(_xll.ciqfunctions.udf.CIQ($B11,"IQ_INT_INC_TOTAL",CB$3,$E$3, $J$3, , $G$3, $H$3)+_xll.ciqfunctions.udf.CIQ($B11,"IQ_NON_INT_INC",CB$3,$E$3, $J$3, , $G$3, $H$3))),"")</f>
        <v/>
      </c>
      <c r="BE11" s="72" t="str">
        <f>IFERROR(IF(OR($B11="",BE$3=""),"",_xll.ciqfunctions.udf.CIQ($B11, "IQ_EBT", BE$3,$E$3, $J$3, , $G$3, $H$3)/(_xll.ciqfunctions.udf.CIQ($B11,"IQ_INT_INC_TOTAL",CC$3,$E$3, $J$3, , $G$3, $H$3)+_xll.ciqfunctions.udf.CIQ($B11,"IQ_NON_INT_INC",CC$3,$E$3, $J$3, , $G$3, $H$3))),"")</f>
        <v/>
      </c>
      <c r="BF11" s="72" t="str">
        <f>IFERROR(IF(OR($B11="",BF$3=""),"",_xll.ciqfunctions.udf.CIQ($B11, "IQ_EBT", BF$3,$E$3, $J$3, , $G$3, $H$3)/(_xll.ciqfunctions.udf.CIQ($B11,"IQ_INT_INC_TOTAL",CD$3,$E$3, $J$3, , $G$3, $H$3)+_xll.ciqfunctions.udf.CIQ($B11,"IQ_NON_INT_INC",CD$3,$E$3, $J$3, , $G$3, $H$3))),"")</f>
        <v/>
      </c>
      <c r="BG11" s="72" t="str">
        <f>IFERROR(IF(OR($B11="",BG$3=""),"",_xll.ciqfunctions.udf.CIQ($B11, "IQ_EBT", BG$3,$E$3, $J$3, , $G$3, $H$3)/(_xll.ciqfunctions.udf.CIQ($B11,"IQ_INT_INC_TOTAL",CE$3,$E$3, $J$3, , $G$3, $H$3)+_xll.ciqfunctions.udf.CIQ($B11,"IQ_NON_INT_INC",CE$3,$E$3, $J$3, , $G$3, $H$3))),"")</f>
        <v/>
      </c>
      <c r="BH11" s="72" t="str">
        <f>IFERROR(IF(OR($B11="",BH$3=""),"",_xll.ciqfunctions.udf.CIQ($B11, "IQ_EBT", BH$3,$E$3, $J$3, , $G$3, $H$3)/(_xll.ciqfunctions.udf.CIQ($B11,"IQ_INT_INC_TOTAL",CF$3,$E$3, $J$3, , $G$3, $H$3)+_xll.ciqfunctions.udf.CIQ($B11,"IQ_NON_INT_INC",CF$3,$E$3, $J$3, , $G$3, $H$3))),"")</f>
        <v/>
      </c>
      <c r="BI11" s="72" t="str">
        <f>IFERROR(IF(OR($B11="",BI$3=""),"",_xll.ciqfunctions.udf.CIQ($B11, "IQ_EBT", BI$3,$E$3, $J$3, , $G$3, $H$3)/(_xll.ciqfunctions.udf.CIQ($B11,"IQ_INT_INC_TOTAL",CG$3,$E$3, $J$3, , $G$3, $H$3)+_xll.ciqfunctions.udf.CIQ($B11,"IQ_NON_INT_INC",CG$3,$E$3, $J$3, , $G$3, $H$3))),"")</f>
        <v/>
      </c>
      <c r="BJ11" s="72" t="str">
        <f>IFERROR(IF(OR($B11="",BJ$3=""),"",_xll.ciqfunctions.udf.CIQ($B11, "IQ_EBT", BJ$3,$E$3, $J$3, , $G$3, $H$3)/(_xll.ciqfunctions.udf.CIQ($B11,"IQ_INT_INC_TOTAL",CH$3,$E$3, $J$3, , $G$3, $H$3)+_xll.ciqfunctions.udf.CIQ($B11,"IQ_NON_INT_INC",CH$3,$E$3, $J$3, , $G$3, $H$3))),"")</f>
        <v/>
      </c>
      <c r="BK11" s="72" t="str">
        <f>IFERROR(IF(OR($B11="",BK$3=""),"",_xll.ciqfunctions.udf.CIQ($B11, "IQ_EBT", BK$3,$E$3, $J$3, , $G$3, $H$3)/(_xll.ciqfunctions.udf.CIQ($B11,"IQ_INT_INC_TOTAL",CI$3,$E$3, $J$3, , $G$3, $H$3)+_xll.ciqfunctions.udf.CIQ($B11,"IQ_NON_INT_INC",CI$3,$E$3, $J$3, , $G$3, $H$3))),"")</f>
        <v/>
      </c>
      <c r="BL11" s="72" t="str">
        <f>IFERROR(IF(OR($B11="",BL$3=""),"",_xll.ciqfunctions.udf.CIQ($B11, "IQ_EBT", BL$3,$E$3, $J$3, , $G$3, $H$3)/(_xll.ciqfunctions.udf.CIQ($B11,"IQ_INT_INC_TOTAL",CJ$3,$E$3, $J$3, , $G$3, $H$3)+_xll.ciqfunctions.udf.CIQ($B11,"IQ_NON_INT_INC",CJ$3,$E$3, $J$3, , $G$3, $H$3))),"")</f>
        <v/>
      </c>
      <c r="BM11" s="72" t="str">
        <f>IFERROR(IF(OR($B11="",BM$3=""),"",_xll.ciqfunctions.udf.CIQ($B11, "IQ_EBT", BM$3,$E$3, $J$3, , $G$3, $H$3)/(_xll.ciqfunctions.udf.CIQ($B11,"IQ_INT_INC_TOTAL",CK$3,$E$3, $J$3, , $G$3, $H$3)+_xll.ciqfunctions.udf.CIQ($B11,"IQ_NON_INT_INC",CK$3,$E$3, $J$3, , $G$3, $H$3))),"")</f>
        <v/>
      </c>
      <c r="BN11" s="72" t="str">
        <f>IFERROR(IF(OR($B11="",BN$3=""),"",_xll.ciqfunctions.udf.CIQ($B11, "IQ_EBT", BN$3,$E$3, $J$3, , $G$3, $H$3)/(_xll.ciqfunctions.udf.CIQ($B11,"IQ_INT_INC_TOTAL",CL$3,$E$3, $J$3, , $G$3, $H$3)+_xll.ciqfunctions.udf.CIQ($B11,"IQ_NON_INT_INC",CL$3,$E$3, $J$3, , $G$3, $H$3))),"")</f>
        <v/>
      </c>
      <c r="BO11" s="72" t="str">
        <f>IFERROR(IF(OR($B11="",BO$3=""),"",_xll.ciqfunctions.udf.CIQ($B11, "IQ_EBT", BO$3,$E$3, $J$3, , $G$3, $H$3)/(_xll.ciqfunctions.udf.CIQ($B11,"IQ_INT_INC_TOTAL",CM$3,$E$3, $J$3, , $G$3, $H$3)+_xll.ciqfunctions.udf.CIQ($B11,"IQ_NON_INT_INC",CM$3,$E$3, $J$3, , $G$3, $H$3))),"")</f>
        <v/>
      </c>
      <c r="BP11" s="72" t="str">
        <f>IFERROR(IF(OR($B11="",BP$3=""),"",_xll.ciqfunctions.udf.CIQ($B11, "IQ_EBT", BP$3,$E$3, $J$3, , $G$3, $H$3)/(_xll.ciqfunctions.udf.CIQ($B11,"IQ_INT_INC_TOTAL",CN$3,$E$3, $J$3, , $G$3, $H$3)+_xll.ciqfunctions.udf.CIQ($B11,"IQ_NON_INT_INC",CN$3,$E$3, $J$3, , $G$3, $H$3))),"")</f>
        <v/>
      </c>
      <c r="BQ11" s="72" t="str">
        <f>IFERROR(IF(OR($B11="",BQ$3=""),"",_xll.ciqfunctions.udf.CIQ($B11, "IQ_EBT", BQ$3,$E$3, $J$3, , $G$3, $H$3)/(_xll.ciqfunctions.udf.CIQ($B11,"IQ_INT_INC_TOTAL",CO$3,$E$3, $J$3, , $G$3, $H$3)+_xll.ciqfunctions.udf.CIQ($B11,"IQ_NON_INT_INC",CO$3,$E$3, $J$3, , $G$3, $H$3))),"")</f>
        <v/>
      </c>
      <c r="BR11" s="72" t="str">
        <f>IFERROR(IF(OR($B11="",BR$3=""),"",_xll.ciqfunctions.udf.CIQ($B11, "IQ_EBT", BR$3,$E$3, $J$3, , $G$3, $H$3)/(_xll.ciqfunctions.udf.CIQ($B11,"IQ_INT_INC_TOTAL",CP$3,$E$3, $J$3, , $G$3, $H$3)+_xll.ciqfunctions.udf.CIQ($B11,"IQ_NON_INT_INC",CP$3,$E$3, $J$3, , $G$3, $H$3))),"")</f>
        <v/>
      </c>
      <c r="BS11" s="87" t="str">
        <f>IFERROR(IF(OR($B11="",BS$3=""),"",_xll.ciqfunctions.udf.CIQ($B11,"IQ_NI",BS$3,$E$3, $J$3, , $G$3, $H$3)/(_xll.ciqfunctions.udf.CIQ($B11,"IQ_INT_INC_TOTAL",BS$3,$E$3, $J$3, , $G$3, $H$3)+_xll.ciqfunctions.udf.CIQ($B11,"IQ_NON_INT_INC",BS$3,$E$3, $J$3, , $G$3, $H$3))),"")</f>
        <v/>
      </c>
      <c r="BT11" s="87" t="str">
        <f>IFERROR(IF(OR($B11="",BT$3=""),"",_xll.ciqfunctions.udf.CIQ($B11,"IQ_NI",BT$3,$E$3, $J$3, , $G$3, $H$3)/(_xll.ciqfunctions.udf.CIQ($B11,"IQ_INT_INC_TOTAL",BT$3,$E$3, $J$3, , $G$3, $H$3)+_xll.ciqfunctions.udf.CIQ($B11,"IQ_NON_INT_INC",BT$3,$E$3, $J$3, , $G$3, $H$3))),"")</f>
        <v/>
      </c>
      <c r="BU11" s="87" t="str">
        <f>IFERROR(IF(OR($B11="",BU$3=""),"",_xll.ciqfunctions.udf.CIQ($B11,"IQ_NI",BU$3,$E$3, $J$3, , $G$3, $H$3)/(_xll.ciqfunctions.udf.CIQ($B11,"IQ_INT_INC_TOTAL",BU$3,$E$3, $J$3, , $G$3, $H$3)+_xll.ciqfunctions.udf.CIQ($B11,"IQ_NON_INT_INC",BU$3,$E$3, $J$3, , $G$3, $H$3))),"")</f>
        <v/>
      </c>
      <c r="BV11" s="87" t="str">
        <f>IFERROR(IF(OR($B11="",BV$3=""),"",_xll.ciqfunctions.udf.CIQ($B11,"IQ_NI",BV$3,$E$3, $J$3, , $G$3, $H$3)/(_xll.ciqfunctions.udf.CIQ($B11,"IQ_INT_INC_TOTAL",BV$3,$E$3, $J$3, , $G$3, $H$3)+_xll.ciqfunctions.udf.CIQ($B11,"IQ_NON_INT_INC",BV$3,$E$3, $J$3, , $G$3, $H$3))),"")</f>
        <v/>
      </c>
      <c r="BW11" s="87" t="str">
        <f>IFERROR(IF(OR($B11="",BW$3=""),"",_xll.ciqfunctions.udf.CIQ($B11,"IQ_NI",BW$3,$E$3, $J$3, , $G$3, $H$3)/(_xll.ciqfunctions.udf.CIQ($B11,"IQ_INT_INC_TOTAL",BW$3,$E$3, $J$3, , $G$3, $H$3)+_xll.ciqfunctions.udf.CIQ($B11,"IQ_NON_INT_INC",BW$3,$E$3, $J$3, , $G$3, $H$3))),"")</f>
        <v/>
      </c>
      <c r="BX11" s="87" t="str">
        <f>IFERROR(IF(OR($B11="",BX$3=""),"",_xll.ciqfunctions.udf.CIQ($B11,"IQ_NI",BX$3,$E$3, $J$3, , $G$3, $H$3)/(_xll.ciqfunctions.udf.CIQ($B11,"IQ_INT_INC_TOTAL",BX$3,$E$3, $J$3, , $G$3, $H$3)+_xll.ciqfunctions.udf.CIQ($B11,"IQ_NON_INT_INC",BX$3,$E$3, $J$3, , $G$3, $H$3))),"")</f>
        <v/>
      </c>
      <c r="BY11" s="87" t="str">
        <f>IFERROR(IF(OR($B11="",BY$3=""),"",_xll.ciqfunctions.udf.CIQ($B11,"IQ_NI",BY$3,$E$3, $J$3, , $G$3, $H$3)/(_xll.ciqfunctions.udf.CIQ($B11,"IQ_INT_INC_TOTAL",BY$3,$E$3, $J$3, , $G$3, $H$3)+_xll.ciqfunctions.udf.CIQ($B11,"IQ_NON_INT_INC",BY$3,$E$3, $J$3, , $G$3, $H$3))),"")</f>
        <v/>
      </c>
      <c r="BZ11" s="87" t="str">
        <f>IFERROR(IF(OR($B11="",BZ$3=""),"",_xll.ciqfunctions.udf.CIQ($B11,"IQ_NI",BZ$3,$E$3, $J$3, , $G$3, $H$3)/(_xll.ciqfunctions.udf.CIQ($B11,"IQ_INT_INC_TOTAL",BZ$3,$E$3, $J$3, , $G$3, $H$3)+_xll.ciqfunctions.udf.CIQ($B11,"IQ_NON_INT_INC",BZ$3,$E$3, $J$3, , $G$3, $H$3))),"")</f>
        <v/>
      </c>
      <c r="CA11" s="87" t="str">
        <f>IFERROR(IF(OR($B11="",CA$3=""),"",_xll.ciqfunctions.udf.CIQ($B11,"IQ_NI",CA$3,$E$3, $J$3, , $G$3, $H$3)/(_xll.ciqfunctions.udf.CIQ($B11,"IQ_INT_INC_TOTAL",CA$3,$E$3, $J$3, , $G$3, $H$3)+_xll.ciqfunctions.udf.CIQ($B11,"IQ_NON_INT_INC",CA$3,$E$3, $J$3, , $G$3, $H$3))),"")</f>
        <v/>
      </c>
      <c r="CB11" s="87" t="str">
        <f>IFERROR(IF(OR($B11="",CB$3=""),"",_xll.ciqfunctions.udf.CIQ($B11,"IQ_NI",CB$3,$E$3, $J$3, , $G$3, $H$3)/(_xll.ciqfunctions.udf.CIQ($B11,"IQ_INT_INC_TOTAL",CB$3,$E$3, $J$3, , $G$3, $H$3)+_xll.ciqfunctions.udf.CIQ($B11,"IQ_NON_INT_INC",CB$3,$E$3, $J$3, , $G$3, $H$3))),"")</f>
        <v/>
      </c>
      <c r="CC11" s="87" t="str">
        <f>IFERROR(IF(OR($B11="",CC$3=""),"",_xll.ciqfunctions.udf.CIQ($B11,"IQ_NI",CC$3,$E$3, $J$3, , $G$3, $H$3)/(_xll.ciqfunctions.udf.CIQ($B11,"IQ_INT_INC_TOTAL",CC$3,$E$3, $J$3, , $G$3, $H$3)+_xll.ciqfunctions.udf.CIQ($B11,"IQ_NON_INT_INC",CC$3,$E$3, $J$3, , $G$3, $H$3))),"")</f>
        <v/>
      </c>
      <c r="CD11" s="87" t="str">
        <f>IFERROR(IF(OR($B11="",CD$3=""),"",_xll.ciqfunctions.udf.CIQ($B11,"IQ_NI",CD$3,$E$3, $J$3, , $G$3, $H$3)/(_xll.ciqfunctions.udf.CIQ($B11,"IQ_INT_INC_TOTAL",CD$3,$E$3, $J$3, , $G$3, $H$3)+_xll.ciqfunctions.udf.CIQ($B11,"IQ_NON_INT_INC",CD$3,$E$3, $J$3, , $G$3, $H$3))),"")</f>
        <v/>
      </c>
      <c r="CE11" s="87" t="str">
        <f>IFERROR(IF(OR($B11="",CE$3=""),"",_xll.ciqfunctions.udf.CIQ($B11,"IQ_NI",CE$3,$E$3, $J$3, , $G$3, $H$3)/(_xll.ciqfunctions.udf.CIQ($B11,"IQ_INT_INC_TOTAL",CE$3,$E$3, $J$3, , $G$3, $H$3)+_xll.ciqfunctions.udf.CIQ($B11,"IQ_NON_INT_INC",CE$3,$E$3, $J$3, , $G$3, $H$3))),"")</f>
        <v/>
      </c>
      <c r="CF11" s="87" t="str">
        <f>IFERROR(IF(OR($B11="",CF$3=""),"",_xll.ciqfunctions.udf.CIQ($B11,"IQ_NI",CF$3,$E$3, $J$3, , $G$3, $H$3)/(_xll.ciqfunctions.udf.CIQ($B11,"IQ_INT_INC_TOTAL",CF$3,$E$3, $J$3, , $G$3, $H$3)+_xll.ciqfunctions.udf.CIQ($B11,"IQ_NON_INT_INC",CF$3,$E$3, $J$3, , $G$3, $H$3))),"")</f>
        <v/>
      </c>
      <c r="CG11" s="87" t="str">
        <f>IFERROR(IF(OR($B11="",CG$3=""),"",_xll.ciqfunctions.udf.CIQ($B11,"IQ_NI",CG$3,$E$3, $J$3, , $G$3, $H$3)/(_xll.ciqfunctions.udf.CIQ($B11,"IQ_INT_INC_TOTAL",CG$3,$E$3, $J$3, , $G$3, $H$3)+_xll.ciqfunctions.udf.CIQ($B11,"IQ_NON_INT_INC",CG$3,$E$3, $J$3, , $G$3, $H$3))),"")</f>
        <v/>
      </c>
      <c r="CH11" s="87" t="str">
        <f>IFERROR(IF(OR($B11="",CH$3=""),"",_xll.ciqfunctions.udf.CIQ($B11,"IQ_NI",CH$3,$E$3, $J$3, , $G$3, $H$3)/(_xll.ciqfunctions.udf.CIQ($B11,"IQ_INT_INC_TOTAL",CH$3,$E$3, $J$3, , $G$3, $H$3)+_xll.ciqfunctions.udf.CIQ($B11,"IQ_NON_INT_INC",CH$3,$E$3, $J$3, , $G$3, $H$3))),"")</f>
        <v/>
      </c>
      <c r="CI11" s="87" t="str">
        <f>IFERROR(IF(OR($B11="",CI$3=""),"",_xll.ciqfunctions.udf.CIQ($B11,"IQ_NI",CI$3,$E$3, $J$3, , $G$3, $H$3)/(_xll.ciqfunctions.udf.CIQ($B11,"IQ_INT_INC_TOTAL",CI$3,$E$3, $J$3, , $G$3, $H$3)+_xll.ciqfunctions.udf.CIQ($B11,"IQ_NON_INT_INC",CI$3,$E$3, $J$3, , $G$3, $H$3))),"")</f>
        <v/>
      </c>
      <c r="CJ11" s="87" t="str">
        <f>IFERROR(IF(OR($B11="",CJ$3=""),"",_xll.ciqfunctions.udf.CIQ($B11,"IQ_NI",CJ$3,$E$3, $J$3, , $G$3, $H$3)/(_xll.ciqfunctions.udf.CIQ($B11,"IQ_INT_INC_TOTAL",CJ$3,$E$3, $J$3, , $G$3, $H$3)+_xll.ciqfunctions.udf.CIQ($B11,"IQ_NON_INT_INC",CJ$3,$E$3, $J$3, , $G$3, $H$3))),"")</f>
        <v/>
      </c>
      <c r="CK11" s="87" t="str">
        <f>IFERROR(IF(OR($B11="",CK$3=""),"",_xll.ciqfunctions.udf.CIQ($B11,"IQ_NI",CK$3,$E$3, $J$3, , $G$3, $H$3)/(_xll.ciqfunctions.udf.CIQ($B11,"IQ_INT_INC_TOTAL",CK$3,$E$3, $J$3, , $G$3, $H$3)+_xll.ciqfunctions.udf.CIQ($B11,"IQ_NON_INT_INC",CK$3,$E$3, $J$3, , $G$3, $H$3))),"")</f>
        <v/>
      </c>
      <c r="CL11" s="87" t="str">
        <f>IFERROR(IF(OR($B11="",CL$3=""),"",_xll.ciqfunctions.udf.CIQ($B11,"IQ_NI",CL$3,$E$3, $J$3, , $G$3, $H$3)/(_xll.ciqfunctions.udf.CIQ($B11,"IQ_INT_INC_TOTAL",CL$3,$E$3, $J$3, , $G$3, $H$3)+_xll.ciqfunctions.udf.CIQ($B11,"IQ_NON_INT_INC",CL$3,$E$3, $J$3, , $G$3, $H$3))),"")</f>
        <v/>
      </c>
      <c r="CM11" s="72" t="str">
        <f>IFERROR(IF(OR($B11="",CM$3=""),"",_xll.ciqfunctions.udf.CIQ($B11,"IQ_SGA_SUPPL",CM$3,$E$3, $J$3, , $G$3, $H$3)/(_xll.ciqfunctions.udf.CIQ($B11,"IQ_INT_INC_TOTAL",CM$3,$E$3, $J$3, , $G$3, $H$3)+_xll.ciqfunctions.udf.CIQ($B11,"IQ_NON_INT_INC",CM$3,$E$3, $J$3, , $G$3, $H$3))),"")</f>
        <v/>
      </c>
      <c r="CN11" s="72" t="str">
        <f>IFERROR(IF(OR($B11="",CN$3=""),"",_xll.ciqfunctions.udf.CIQ($B11,"IQ_SGA_SUPPL",CN$3,$E$3, $J$3, , $G$3, $H$3)/(_xll.ciqfunctions.udf.CIQ($B11,"IQ_INT_INC_TOTAL",CN$3,$E$3, $J$3, , $G$3, $H$3)+_xll.ciqfunctions.udf.CIQ($B11,"IQ_NON_INT_INC",CN$3,$E$3, $J$3, , $G$3, $H$3))),"")</f>
        <v/>
      </c>
      <c r="CO11" s="72" t="str">
        <f>IFERROR(IF(OR($B11="",CO$3=""),"",_xll.ciqfunctions.udf.CIQ($B11,"IQ_SGA_SUPPL",CO$3,$E$3, $J$3, , $G$3, $H$3)/(_xll.ciqfunctions.udf.CIQ($B11,"IQ_INT_INC_TOTAL",CO$3,$E$3, $J$3, , $G$3, $H$3)+_xll.ciqfunctions.udf.CIQ($B11,"IQ_NON_INT_INC",CO$3,$E$3, $J$3, , $G$3, $H$3))),"")</f>
        <v/>
      </c>
      <c r="CP11" s="72" t="str">
        <f>IFERROR(IF(OR($B11="",CP$3=""),"",_xll.ciqfunctions.udf.CIQ($B11,"IQ_SGA_SUPPL",CP$3,$E$3, $J$3, , $G$3, $H$3)/(_xll.ciqfunctions.udf.CIQ($B11,"IQ_INT_INC_TOTAL",CP$3,$E$3, $J$3, , $G$3, $H$3)+_xll.ciqfunctions.udf.CIQ($B11,"IQ_NON_INT_INC",CP$3,$E$3, $J$3, , $G$3, $H$3))),"")</f>
        <v/>
      </c>
      <c r="CQ11" s="72" t="str">
        <f>IFERROR(IF(OR($B11="",CQ$3=""),"",_xll.ciqfunctions.udf.CIQ($B11,"IQ_SGA_SUPPL",CQ$3,$E$3, $J$3, , $G$3, $H$3)/(_xll.ciqfunctions.udf.CIQ($B11,"IQ_INT_INC_TOTAL",CQ$3,$E$3, $J$3, , $G$3, $H$3)+_xll.ciqfunctions.udf.CIQ($B11,"IQ_NON_INT_INC",CQ$3,$E$3, $J$3, , $G$3, $H$3))),"")</f>
        <v/>
      </c>
      <c r="CR11" s="72" t="str">
        <f>IFERROR(IF(OR($B11="",CR$3=""),"",_xll.ciqfunctions.udf.CIQ($B11,"IQ_SGA_SUPPL",CR$3,$E$3, $J$3, , $G$3, $H$3)/(_xll.ciqfunctions.udf.CIQ($B11,"IQ_INT_INC_TOTAL",CR$3,$E$3, $J$3, , $G$3, $H$3)+_xll.ciqfunctions.udf.CIQ($B11,"IQ_NON_INT_INC",CR$3,$E$3, $J$3, , $G$3, $H$3))),"")</f>
        <v/>
      </c>
      <c r="CS11" s="72" t="str">
        <f>IFERROR(IF(OR($B11="",CS$3=""),"",_xll.ciqfunctions.udf.CIQ($B11,"IQ_SGA_SUPPL",CS$3,$E$3, $J$3, , $G$3, $H$3)/(_xll.ciqfunctions.udf.CIQ($B11,"IQ_INT_INC_TOTAL",CS$3,$E$3, $J$3, , $G$3, $H$3)+_xll.ciqfunctions.udf.CIQ($B11,"IQ_NON_INT_INC",CS$3,$E$3, $J$3, , $G$3, $H$3))),"")</f>
        <v/>
      </c>
      <c r="CT11" s="72" t="str">
        <f>IFERROR(IF(OR($B11="",CT$3=""),"",_xll.ciqfunctions.udf.CIQ($B11,"IQ_SGA_SUPPL",CT$3,$E$3, $J$3, , $G$3, $H$3)/(_xll.ciqfunctions.udf.CIQ($B11,"IQ_INT_INC_TOTAL",CT$3,$E$3, $J$3, , $G$3, $H$3)+_xll.ciqfunctions.udf.CIQ($B11,"IQ_NON_INT_INC",CT$3,$E$3, $J$3, , $G$3, $H$3))),"")</f>
        <v/>
      </c>
      <c r="CU11" s="72" t="str">
        <f>IFERROR(IF(OR($B11="",CU$3=""),"",_xll.ciqfunctions.udf.CIQ($B11,"IQ_SGA_SUPPL",CU$3,$E$3, $J$3, , $G$3, $H$3)/(_xll.ciqfunctions.udf.CIQ($B11,"IQ_INT_INC_TOTAL",CU$3,$E$3, $J$3, , $G$3, $H$3)+_xll.ciqfunctions.udf.CIQ($B11,"IQ_NON_INT_INC",CU$3,$E$3, $J$3, , $G$3, $H$3))),"")</f>
        <v/>
      </c>
      <c r="CV11" s="72" t="str">
        <f>IFERROR(IF(OR($B11="",CV$3=""),"",_xll.ciqfunctions.udf.CIQ($B11,"IQ_SGA_SUPPL",CV$3,$E$3, $J$3, , $G$3, $H$3)/(_xll.ciqfunctions.udf.CIQ($B11,"IQ_INT_INC_TOTAL",CV$3,$E$3, $J$3, , $G$3, $H$3)+_xll.ciqfunctions.udf.CIQ($B11,"IQ_NON_INT_INC",CV$3,$E$3, $J$3, , $G$3, $H$3))),"")</f>
        <v/>
      </c>
      <c r="CW11" s="72" t="str">
        <f>IFERROR(IF(OR($B11="",CW$3=""),"",_xll.ciqfunctions.udf.CIQ($B11,"IQ_SGA_SUPPL",CW$3,$E$3, $J$3, , $G$3, $H$3)/(_xll.ciqfunctions.udf.CIQ($B11,"IQ_INT_INC_TOTAL",CW$3,$E$3, $J$3, , $G$3, $H$3)+_xll.ciqfunctions.udf.CIQ($B11,"IQ_NON_INT_INC",CW$3,$E$3, $J$3, , $G$3, $H$3))),"")</f>
        <v/>
      </c>
      <c r="CX11" s="72" t="str">
        <f>IFERROR(IF(OR($B11="",CX$3=""),"",_xll.ciqfunctions.udf.CIQ($B11,"IQ_SGA_SUPPL",CX$3,$E$3, $J$3, , $G$3, $H$3)/(_xll.ciqfunctions.udf.CIQ($B11,"IQ_INT_INC_TOTAL",CX$3,$E$3, $J$3, , $G$3, $H$3)+_xll.ciqfunctions.udf.CIQ($B11,"IQ_NON_INT_INC",CX$3,$E$3, $J$3, , $G$3, $H$3))),"")</f>
        <v/>
      </c>
      <c r="CY11" s="72" t="str">
        <f>IFERROR(IF(OR($B11="",CY$3=""),"",_xll.ciqfunctions.udf.CIQ($B11,"IQ_SGA_SUPPL",CY$3,$E$3, $J$3, , $G$3, $H$3)/(_xll.ciqfunctions.udf.CIQ($B11,"IQ_INT_INC_TOTAL",CY$3,$E$3, $J$3, , $G$3, $H$3)+_xll.ciqfunctions.udf.CIQ($B11,"IQ_NON_INT_INC",CY$3,$E$3, $J$3, , $G$3, $H$3))),"")</f>
        <v/>
      </c>
      <c r="CZ11" s="72" t="str">
        <f>IFERROR(IF(OR($B11="",CZ$3=""),"",_xll.ciqfunctions.udf.CIQ($B11,"IQ_SGA_SUPPL",CZ$3,$E$3, $J$3, , $G$3, $H$3)/(_xll.ciqfunctions.udf.CIQ($B11,"IQ_INT_INC_TOTAL",CZ$3,$E$3, $J$3, , $G$3, $H$3)+_xll.ciqfunctions.udf.CIQ($B11,"IQ_NON_INT_INC",CZ$3,$E$3, $J$3, , $G$3, $H$3))),"")</f>
        <v/>
      </c>
      <c r="DA11" s="72" t="str">
        <f>IFERROR(IF(OR($B11="",DA$3=""),"",_xll.ciqfunctions.udf.CIQ($B11,"IQ_SGA_SUPPL",DA$3,$E$3, $J$3, , $G$3, $H$3)/(_xll.ciqfunctions.udf.CIQ($B11,"IQ_INT_INC_TOTAL",DA$3,$E$3, $J$3, , $G$3, $H$3)+_xll.ciqfunctions.udf.CIQ($B11,"IQ_NON_INT_INC",DA$3,$E$3, $J$3, , $G$3, $H$3))),"")</f>
        <v/>
      </c>
      <c r="DB11" s="72" t="str">
        <f>IFERROR(IF(OR($B11="",DB$3=""),"",_xll.ciqfunctions.udf.CIQ($B11,"IQ_SGA_SUPPL",DB$3,$E$3, $J$3, , $G$3, $H$3)/(_xll.ciqfunctions.udf.CIQ($B11,"IQ_INT_INC_TOTAL",DB$3,$E$3, $J$3, , $G$3, $H$3)+_xll.ciqfunctions.udf.CIQ($B11,"IQ_NON_INT_INC",DB$3,$E$3, $J$3, , $G$3, $H$3))),"")</f>
        <v/>
      </c>
      <c r="DC11" s="72" t="str">
        <f>IFERROR(IF(OR($B11="",DC$3=""),"",_xll.ciqfunctions.udf.CIQ($B11,"IQ_SGA_SUPPL",DC$3,$E$3, $J$3, , $G$3, $H$3)/(_xll.ciqfunctions.udf.CIQ($B11,"IQ_INT_INC_TOTAL",DC$3,$E$3, $J$3, , $G$3, $H$3)+_xll.ciqfunctions.udf.CIQ($B11,"IQ_NON_INT_INC",DC$3,$E$3, $J$3, , $G$3, $H$3))),"")</f>
        <v/>
      </c>
      <c r="DD11" s="72" t="str">
        <f>IFERROR(IF(OR($B11="",DD$3=""),"",_xll.ciqfunctions.udf.CIQ($B11,"IQ_SGA_SUPPL",DD$3,$E$3, $J$3, , $G$3, $H$3)/(_xll.ciqfunctions.udf.CIQ($B11,"IQ_INT_INC_TOTAL",DD$3,$E$3, $J$3, , $G$3, $H$3)+_xll.ciqfunctions.udf.CIQ($B11,"IQ_NON_INT_INC",DD$3,$E$3, $J$3, , $G$3, $H$3))),"")</f>
        <v/>
      </c>
      <c r="DE11" s="72" t="str">
        <f>IFERROR(IF(OR($B11="",DE$3=""),"",_xll.ciqfunctions.udf.CIQ($B11,"IQ_SGA_SUPPL",DE$3,$E$3, $J$3, , $G$3, $H$3)/(_xll.ciqfunctions.udf.CIQ($B11,"IQ_INT_INC_TOTAL",DE$3,$E$3, $J$3, , $G$3, $H$3)+_xll.ciqfunctions.udf.CIQ($B11,"IQ_NON_INT_INC",DE$3,$E$3, $J$3, , $G$3, $H$3))),"")</f>
        <v/>
      </c>
      <c r="DF11" s="72" t="str">
        <f>IFERROR(IF(OR($B11="",DF$3=""),"",_xll.ciqfunctions.udf.CIQ($B11,"IQ_SGA_SUPPL",DF$3,$E$3, $J$3, , $G$3, $H$3)/(_xll.ciqfunctions.udf.CIQ($B11,"IQ_INT_INC_TOTAL",DF$3,$E$3, $J$3, , $G$3, $H$3)+_xll.ciqfunctions.udf.CIQ($B11,"IQ_NON_INT_INC",DF$3,$E$3, $J$3, , $G$3, $H$3))),"")</f>
        <v/>
      </c>
      <c r="DG11" s="86" t="str">
        <f>IFERROR(IF(OR($B11="",DG$3=""),"",_xll.ciqfunctions.udf.CIQ($B11,"IQ_TIER_ONE_RATIO",DG$3,$E$3, $J$3, , $G$3, $H$3)/100),"")</f>
        <v/>
      </c>
      <c r="DH11" s="87" t="str">
        <f>IFERROR(IF(OR($B11="",DH$3=""),"",_xll.ciqfunctions.udf.CIQ($B11,"IQ_TIER_ONE_RATIO",DH$3,$E$3, $J$3, , $G$3, $H$3)/100),"")</f>
        <v/>
      </c>
      <c r="DI11" s="87" t="str">
        <f>IFERROR(IF(OR($B11="",DI$3=""),"",_xll.ciqfunctions.udf.CIQ($B11,"IQ_TIER_ONE_RATIO",DI$3,$E$3, $J$3, , $G$3, $H$3)/100),"")</f>
        <v/>
      </c>
      <c r="DJ11" s="87" t="str">
        <f>IFERROR(IF(OR($B11="",DJ$3=""),"",_xll.ciqfunctions.udf.CIQ($B11,"IQ_TIER_ONE_RATIO",DJ$3,$E$3, $J$3, , $G$3, $H$3)/100),"")</f>
        <v/>
      </c>
      <c r="DK11" s="87" t="str">
        <f>IFERROR(IF(OR($B11="",DK$3=""),"",_xll.ciqfunctions.udf.CIQ($B11,"IQ_TIER_ONE_RATIO",DK$3,$E$3, $J$3, , $G$3, $H$3)/100),"")</f>
        <v/>
      </c>
      <c r="DL11" s="87" t="str">
        <f>IFERROR(IF(OR($B11="",DL$3=""),"",_xll.ciqfunctions.udf.CIQ($B11,"IQ_TIER_ONE_RATIO",DL$3,$E$3, $J$3, , $G$3, $H$3)/100),"")</f>
        <v/>
      </c>
      <c r="DM11" s="87" t="str">
        <f>IFERROR(IF(OR($B11="",DM$3=""),"",_xll.ciqfunctions.udf.CIQ($B11,"IQ_TIER_ONE_RATIO",DM$3,$E$3, $J$3, , $G$3, $H$3)/100),"")</f>
        <v/>
      </c>
      <c r="DN11" s="87" t="str">
        <f>IFERROR(IF(OR($B11="",DN$3=""),"",_xll.ciqfunctions.udf.CIQ($B11,"IQ_TIER_ONE_RATIO",DN$3,$E$3, $J$3, , $G$3, $H$3)/100),"")</f>
        <v/>
      </c>
      <c r="DO11" s="87" t="str">
        <f>IFERROR(IF(OR($B11="",DO$3=""),"",_xll.ciqfunctions.udf.CIQ($B11,"IQ_TIER_ONE_RATIO",DO$3,$E$3, $J$3, , $G$3, $H$3)/100),"")</f>
        <v/>
      </c>
      <c r="DP11" s="87" t="str">
        <f>IFERROR(IF(OR($B11="",DP$3=""),"",_xll.ciqfunctions.udf.CIQ($B11,"IQ_TIER_ONE_RATIO",DP$3,$E$3, $J$3, , $G$3, $H$3)/100),"")</f>
        <v/>
      </c>
      <c r="DQ11" s="87" t="str">
        <f>IFERROR(IF(OR($B11="",DQ$3=""),"",_xll.ciqfunctions.udf.CIQ($B11,"IQ_TIER_ONE_RATIO",DQ$3,$E$3, $J$3, , $G$3, $H$3)/100),"")</f>
        <v/>
      </c>
      <c r="DR11" s="87" t="str">
        <f>IFERROR(IF(OR($B11="",DR$3=""),"",_xll.ciqfunctions.udf.CIQ($B11,"IQ_TIER_ONE_RATIO",DR$3,$E$3, $J$3, , $G$3, $H$3)/100),"")</f>
        <v/>
      </c>
      <c r="DS11" s="87" t="str">
        <f>IFERROR(IF(OR($B11="",DS$3=""),"",_xll.ciqfunctions.udf.CIQ($B11,"IQ_TIER_ONE_RATIO",DS$3,$E$3, $J$3, , $G$3, $H$3)/100),"")</f>
        <v/>
      </c>
      <c r="DT11" s="87" t="str">
        <f>IFERROR(IF(OR($B11="",DT$3=""),"",_xll.ciqfunctions.udf.CIQ($B11,"IQ_TIER_ONE_RATIO",DT$3,$E$3, $J$3, , $G$3, $H$3)/100),"")</f>
        <v/>
      </c>
      <c r="DU11" s="87" t="str">
        <f>IFERROR(IF(OR($B11="",DU$3=""),"",_xll.ciqfunctions.udf.CIQ($B11,"IQ_TIER_ONE_RATIO",DU$3,$E$3, $J$3, , $G$3, $H$3)/100),"")</f>
        <v/>
      </c>
      <c r="DV11" s="87" t="str">
        <f>IFERROR(IF(OR($B11="",DV$3=""),"",_xll.ciqfunctions.udf.CIQ($B11,"IQ_TIER_ONE_RATIO",DV$3,$E$3, $J$3, , $G$3, $H$3)/100),"")</f>
        <v/>
      </c>
      <c r="DW11" s="87" t="str">
        <f>IFERROR(IF(OR($B11="",DW$3=""),"",_xll.ciqfunctions.udf.CIQ($B11,"IQ_TIER_ONE_RATIO",DW$3,$E$3, $J$3, , $G$3, $H$3)/100),"")</f>
        <v/>
      </c>
      <c r="DX11" s="87" t="str">
        <f>IFERROR(IF(OR($B11="",DX$3=""),"",_xll.ciqfunctions.udf.CIQ($B11,"IQ_TIER_ONE_RATIO",DX$3,$E$3, $J$3, , $G$3, $H$3)/100),"")</f>
        <v/>
      </c>
      <c r="DY11" s="87" t="str">
        <f>IFERROR(IF(OR($B11="",DY$3=""),"",_xll.ciqfunctions.udf.CIQ($B11,"IQ_TIER_ONE_RATIO",DY$3,$E$3, $J$3, , $G$3, $H$3)/100),"")</f>
        <v/>
      </c>
      <c r="DZ11" s="88" t="str">
        <f>IFERROR(IF(OR($B11="",DZ$3=""),"",_xll.ciqfunctions.udf.CIQ($B11,"IQ_TIER_ONE_RATIO",DZ$3,$E$3, $J$3, , $G$3, $H$3)/100),"")</f>
        <v/>
      </c>
      <c r="EA11" s="86" t="str">
        <f>IFERROR(IF(OR($B11="",EA$3=""),"",_xll.ciqfunctions.udf.CIQ($B11,"IQ_TOTAL_CAPITAL_RATIO",EA$3,$E$3, $J$3, , $G$3, $H$3)/100),"")</f>
        <v/>
      </c>
      <c r="EB11" s="87" t="str">
        <f>IFERROR(IF(OR($B11="",EB$3=""),"",_xll.ciqfunctions.udf.CIQ($B11,"IQ_TOTAL_CAPITAL_RATIO",EB$3,$E$3, $J$3, , $G$3, $H$3)/100),"")</f>
        <v/>
      </c>
      <c r="EC11" s="87" t="str">
        <f>IFERROR(IF(OR($B11="",EC$3=""),"",_xll.ciqfunctions.udf.CIQ($B11,"IQ_TOTAL_CAPITAL_RATIO",EC$3,$E$3, $J$3, , $G$3, $H$3)/100),"")</f>
        <v/>
      </c>
      <c r="ED11" s="87" t="str">
        <f>IFERROR(IF(OR($B11="",ED$3=""),"",_xll.ciqfunctions.udf.CIQ($B11,"IQ_TOTAL_CAPITAL_RATIO",ED$3,$E$3, $J$3, , $G$3, $H$3)/100),"")</f>
        <v/>
      </c>
      <c r="EE11" s="87" t="str">
        <f>IFERROR(IF(OR($B11="",EE$3=""),"",_xll.ciqfunctions.udf.CIQ($B11,"IQ_TOTAL_CAPITAL_RATIO",EE$3,$E$3, $J$3, , $G$3, $H$3)/100),"")</f>
        <v/>
      </c>
      <c r="EF11" s="87" t="str">
        <f>IFERROR(IF(OR($B11="",EF$3=""),"",_xll.ciqfunctions.udf.CIQ($B11,"IQ_TOTAL_CAPITAL_RATIO",EF$3,$E$3, $J$3, , $G$3, $H$3)/100),"")</f>
        <v/>
      </c>
      <c r="EG11" s="87" t="str">
        <f>IFERROR(IF(OR($B11="",EG$3=""),"",_xll.ciqfunctions.udf.CIQ($B11,"IQ_TOTAL_CAPITAL_RATIO",EG$3,$E$3, $J$3, , $G$3, $H$3)/100),"")</f>
        <v/>
      </c>
      <c r="EH11" s="87" t="str">
        <f>IFERROR(IF(OR($B11="",EH$3=""),"",_xll.ciqfunctions.udf.CIQ($B11,"IQ_TOTAL_CAPITAL_RATIO",EH$3,$E$3, $J$3, , $G$3, $H$3)/100),"")</f>
        <v/>
      </c>
      <c r="EI11" s="87" t="str">
        <f>IFERROR(IF(OR($B11="",EI$3=""),"",_xll.ciqfunctions.udf.CIQ($B11,"IQ_TOTAL_CAPITAL_RATIO",EI$3,$E$3, $J$3, , $G$3, $H$3)/100),"")</f>
        <v/>
      </c>
      <c r="EJ11" s="87" t="str">
        <f>IFERROR(IF(OR($B11="",EJ$3=""),"",_xll.ciqfunctions.udf.CIQ($B11,"IQ_TOTAL_CAPITAL_RATIO",EJ$3,$E$3, $J$3, , $G$3, $H$3)/100),"")</f>
        <v/>
      </c>
      <c r="EK11" s="87" t="str">
        <f>IFERROR(IF(OR($B11="",EK$3=""),"",_xll.ciqfunctions.udf.CIQ($B11,"IQ_TOTAL_CAPITAL_RATIO",EK$3,$E$3, $J$3, , $G$3, $H$3)/100),"")</f>
        <v/>
      </c>
      <c r="EL11" s="87" t="str">
        <f>IFERROR(IF(OR($B11="",EL$3=""),"",_xll.ciqfunctions.udf.CIQ($B11,"IQ_TOTAL_CAPITAL_RATIO",EL$3,$E$3, $J$3, , $G$3, $H$3)/100),"")</f>
        <v/>
      </c>
      <c r="EM11" s="87" t="str">
        <f>IFERROR(IF(OR($B11="",EM$3=""),"",_xll.ciqfunctions.udf.CIQ($B11,"IQ_TOTAL_CAPITAL_RATIO",EM$3,$E$3, $J$3, , $G$3, $H$3)/100),"")</f>
        <v/>
      </c>
      <c r="EN11" s="87" t="str">
        <f>IFERROR(IF(OR($B11="",EN$3=""),"",_xll.ciqfunctions.udf.CIQ($B11,"IQ_TOTAL_CAPITAL_RATIO",EN$3,$E$3, $J$3, , $G$3, $H$3)/100),"")</f>
        <v/>
      </c>
      <c r="EO11" s="87" t="str">
        <f>IFERROR(IF(OR($B11="",EO$3=""),"",_xll.ciqfunctions.udf.CIQ($B11,"IQ_TOTAL_CAPITAL_RATIO",EO$3,$E$3, $J$3, , $G$3, $H$3)/100),"")</f>
        <v/>
      </c>
      <c r="EP11" s="87" t="str">
        <f>IFERROR(IF(OR($B11="",EP$3=""),"",_xll.ciqfunctions.udf.CIQ($B11,"IQ_TOTAL_CAPITAL_RATIO",EP$3,$E$3, $J$3, , $G$3, $H$3)/100),"")</f>
        <v/>
      </c>
      <c r="EQ11" s="87" t="str">
        <f>IFERROR(IF(OR($B11="",EQ$3=""),"",_xll.ciqfunctions.udf.CIQ($B11,"IQ_TOTAL_CAPITAL_RATIO",EQ$3,$E$3, $J$3, , $G$3, $H$3)/100),"")</f>
        <v/>
      </c>
      <c r="ER11" s="87" t="str">
        <f>IFERROR(IF(OR($B11="",ER$3=""),"",_xll.ciqfunctions.udf.CIQ($B11,"IQ_TOTAL_CAPITAL_RATIO",ER$3,$E$3, $J$3, , $G$3, $H$3)/100),"")</f>
        <v/>
      </c>
      <c r="ES11" s="87" t="str">
        <f>IFERROR(IF(OR($B11="",ES$3=""),"",_xll.ciqfunctions.udf.CIQ($B11,"IQ_TOTAL_CAPITAL_RATIO",ES$3,$E$3, $J$3, , $G$3, $H$3)/100),"")</f>
        <v/>
      </c>
      <c r="ET11" s="88" t="str">
        <f>IFERROR(IF(OR($B11="",ET$3=""),"",_xll.ciqfunctions.udf.CIQ($B11,"IQ_TOTAL_CAPITAL_RATIO",ET$3,$E$3, $J$3, , $G$3, $H$3)/100),"")</f>
        <v/>
      </c>
      <c r="EU11" s="86" t="str">
        <f>IFERROR(IF(OR($B11="",EU$3=""),"",_xll.ciqfunctions.udf.CIQ($B11,"IQ_GROSS_LOANS",EU$3,$E$3, $J$3, , $G$3, $H$3)/_xll.ciqfunctions.udf.CIQ($B11,"IQ_TOTAL_ASSETS",EU$3,$E$3, $J$3, , $G$3, $H$3)),"")</f>
        <v/>
      </c>
      <c r="EV11" s="87" t="str">
        <f>IFERROR(IF(OR($B11="",EV$3=""),"",_xll.ciqfunctions.udf.CIQ($B11,"IQ_GROSS_LOANS",EV$3,$E$3, $J$3, , $G$3, $H$3)/_xll.ciqfunctions.udf.CIQ($B11,"IQ_TOTAL_ASSETS",EV$3,$E$3, $J$3, , $G$3, $H$3)),"")</f>
        <v/>
      </c>
      <c r="EW11" s="87" t="str">
        <f>IFERROR(IF(OR($B11="",EW$3=""),"",_xll.ciqfunctions.udf.CIQ($B11,"IQ_GROSS_LOANS",EW$3,$E$3, $J$3, , $G$3, $H$3)/_xll.ciqfunctions.udf.CIQ($B11,"IQ_TOTAL_ASSETS",EW$3,$E$3, $J$3, , $G$3, $H$3)),"")</f>
        <v/>
      </c>
      <c r="EX11" s="87" t="str">
        <f>IFERROR(IF(OR($B11="",EX$3=""),"",_xll.ciqfunctions.udf.CIQ($B11,"IQ_GROSS_LOANS",EX$3,$E$3, $J$3, , $G$3, $H$3)/_xll.ciqfunctions.udf.CIQ($B11,"IQ_TOTAL_ASSETS",EX$3,$E$3, $J$3, , $G$3, $H$3)),"")</f>
        <v/>
      </c>
      <c r="EY11" s="87" t="str">
        <f>IFERROR(IF(OR($B11="",EY$3=""),"",_xll.ciqfunctions.udf.CIQ($B11,"IQ_GROSS_LOANS",EY$3,$E$3, $J$3, , $G$3, $H$3)/_xll.ciqfunctions.udf.CIQ($B11,"IQ_TOTAL_ASSETS",EY$3,$E$3, $J$3, , $G$3, $H$3)),"")</f>
        <v/>
      </c>
      <c r="EZ11" s="87" t="str">
        <f>IFERROR(IF(OR($B11="",EZ$3=""),"",_xll.ciqfunctions.udf.CIQ($B11,"IQ_GROSS_LOANS",EZ$3,$E$3, $J$3, , $G$3, $H$3)/_xll.ciqfunctions.udf.CIQ($B11,"IQ_TOTAL_ASSETS",EZ$3,$E$3, $J$3, , $G$3, $H$3)),"")</f>
        <v/>
      </c>
      <c r="FA11" s="87" t="str">
        <f>IFERROR(IF(OR($B11="",FA$3=""),"",_xll.ciqfunctions.udf.CIQ($B11,"IQ_GROSS_LOANS",FA$3,$E$3, $J$3, , $G$3, $H$3)/_xll.ciqfunctions.udf.CIQ($B11,"IQ_TOTAL_ASSETS",FA$3,$E$3, $J$3, , $G$3, $H$3)),"")</f>
        <v/>
      </c>
      <c r="FB11" s="87" t="str">
        <f>IFERROR(IF(OR($B11="",FB$3=""),"",_xll.ciqfunctions.udf.CIQ($B11,"IQ_GROSS_LOANS",FB$3,$E$3, $J$3, , $G$3, $H$3)/_xll.ciqfunctions.udf.CIQ($B11,"IQ_TOTAL_ASSETS",FB$3,$E$3, $J$3, , $G$3, $H$3)),"")</f>
        <v/>
      </c>
      <c r="FC11" s="87" t="str">
        <f>IFERROR(IF(OR($B11="",FC$3=""),"",_xll.ciqfunctions.udf.CIQ($B11,"IQ_GROSS_LOANS",FC$3,$E$3, $J$3, , $G$3, $H$3)/_xll.ciqfunctions.udf.CIQ($B11,"IQ_TOTAL_ASSETS",FC$3,$E$3, $J$3, , $G$3, $H$3)),"")</f>
        <v/>
      </c>
      <c r="FD11" s="87" t="str">
        <f>IFERROR(IF(OR($B11="",FD$3=""),"",_xll.ciqfunctions.udf.CIQ($B11,"IQ_GROSS_LOANS",FD$3,$E$3, $J$3, , $G$3, $H$3)/_xll.ciqfunctions.udf.CIQ($B11,"IQ_TOTAL_ASSETS",FD$3,$E$3, $J$3, , $G$3, $H$3)),"")</f>
        <v/>
      </c>
      <c r="FE11" s="87" t="str">
        <f>IFERROR(IF(OR($B11="",FE$3=""),"",_xll.ciqfunctions.udf.CIQ($B11,"IQ_GROSS_LOANS",FE$3,$E$3, $J$3, , $G$3, $H$3)/_xll.ciqfunctions.udf.CIQ($B11,"IQ_TOTAL_ASSETS",FE$3,$E$3, $J$3, , $G$3, $H$3)),"")</f>
        <v/>
      </c>
      <c r="FF11" s="87" t="str">
        <f>IFERROR(IF(OR($B11="",FF$3=""),"",_xll.ciqfunctions.udf.CIQ($B11,"IQ_GROSS_LOANS",FF$3,$E$3, $J$3, , $G$3, $H$3)/_xll.ciqfunctions.udf.CIQ($B11,"IQ_TOTAL_ASSETS",FF$3,$E$3, $J$3, , $G$3, $H$3)),"")</f>
        <v/>
      </c>
      <c r="FG11" s="87" t="str">
        <f>IFERROR(IF(OR($B11="",FG$3=""),"",_xll.ciqfunctions.udf.CIQ($B11,"IQ_GROSS_LOANS",FG$3,$E$3, $J$3, , $G$3, $H$3)/_xll.ciqfunctions.udf.CIQ($B11,"IQ_TOTAL_ASSETS",FG$3,$E$3, $J$3, , $G$3, $H$3)),"")</f>
        <v/>
      </c>
      <c r="FH11" s="87" t="str">
        <f>IFERROR(IF(OR($B11="",FH$3=""),"",_xll.ciqfunctions.udf.CIQ($B11,"IQ_GROSS_LOANS",FH$3,$E$3, $J$3, , $G$3, $H$3)/_xll.ciqfunctions.udf.CIQ($B11,"IQ_TOTAL_ASSETS",FH$3,$E$3, $J$3, , $G$3, $H$3)),"")</f>
        <v/>
      </c>
      <c r="FI11" s="87" t="str">
        <f>IFERROR(IF(OR($B11="",FI$3=""),"",_xll.ciqfunctions.udf.CIQ($B11,"IQ_GROSS_LOANS",FI$3,$E$3, $J$3, , $G$3, $H$3)/_xll.ciqfunctions.udf.CIQ($B11,"IQ_TOTAL_ASSETS",FI$3,$E$3, $J$3, , $G$3, $H$3)),"")</f>
        <v/>
      </c>
      <c r="FJ11" s="87" t="str">
        <f>IFERROR(IF(OR($B11="",FJ$3=""),"",_xll.ciqfunctions.udf.CIQ($B11,"IQ_GROSS_LOANS",FJ$3,$E$3, $J$3, , $G$3, $H$3)/_xll.ciqfunctions.udf.CIQ($B11,"IQ_TOTAL_ASSETS",FJ$3,$E$3, $J$3, , $G$3, $H$3)),"")</f>
        <v/>
      </c>
      <c r="FK11" s="87" t="str">
        <f>IFERROR(IF(OR($B11="",FK$3=""),"",_xll.ciqfunctions.udf.CIQ($B11,"IQ_GROSS_LOANS",FK$3,$E$3, $J$3, , $G$3, $H$3)/_xll.ciqfunctions.udf.CIQ($B11,"IQ_TOTAL_ASSETS",FK$3,$E$3, $J$3, , $G$3, $H$3)),"")</f>
        <v/>
      </c>
      <c r="FL11" s="87" t="str">
        <f>IFERROR(IF(OR($B11="",FL$3=""),"",_xll.ciqfunctions.udf.CIQ($B11,"IQ_GROSS_LOANS",FL$3,$E$3, $J$3, , $G$3, $H$3)/_xll.ciqfunctions.udf.CIQ($B11,"IQ_TOTAL_ASSETS",FL$3,$E$3, $J$3, , $G$3, $H$3)),"")</f>
        <v/>
      </c>
      <c r="FM11" s="87" t="str">
        <f>IFERROR(IF(OR($B11="",FM$3=""),"",_xll.ciqfunctions.udf.CIQ($B11,"IQ_GROSS_LOANS",FM$3,$E$3, $J$3, , $G$3, $H$3)/_xll.ciqfunctions.udf.CIQ($B11,"IQ_TOTAL_ASSETS",FM$3,$E$3, $J$3, , $G$3, $H$3)),"")</f>
        <v/>
      </c>
      <c r="FN11" s="88" t="str">
        <f>IFERROR(IF(OR($B11="",FN$3=""),"",_xll.ciqfunctions.udf.CIQ($B11,"IQ_GROSS_LOANS",FN$3,$E$3, $J$3, , $G$3, $H$3)/_xll.ciqfunctions.udf.CIQ($B11,"IQ_TOTAL_ASSETS",FN$3,$E$3, $J$3, , $G$3, $H$3)),"")</f>
        <v/>
      </c>
      <c r="FO11" s="86" t="str">
        <f>IFERROR(IF(OR($B11="",FO$3=""),"",_xll.ciqfunctions.udf.CIQ($B11,"IQ_NON_PERFORMING_LOANS",FO$3,$E$3, $J$3, , $G$3, $H$3)/_xll.ciqfunctions.udf.CIQ($B11,"IQ_TOTAL_LOANS",FO$3,$E$3, $J$3, , $G$3, $H$3)),"")</f>
        <v/>
      </c>
      <c r="FP11" s="87" t="str">
        <f>IFERROR(IF(OR($B11="",FP$3=""),"",_xll.ciqfunctions.udf.CIQ($B11,"IQ_NON_PERFORMING_LOANS",FP$3,$E$3, $J$3, , $G$3, $H$3)/_xll.ciqfunctions.udf.CIQ($B11,"IQ_TOTAL_LOANS",FP$3,$E$3, $J$3, , $G$3, $H$3)),"")</f>
        <v/>
      </c>
      <c r="FQ11" s="87" t="str">
        <f>IFERROR(IF(OR($B11="",FQ$3=""),"",_xll.ciqfunctions.udf.CIQ($B11,"IQ_NON_PERFORMING_LOANS",FQ$3,$E$3, $J$3, , $G$3, $H$3)/_xll.ciqfunctions.udf.CIQ($B11,"IQ_TOTAL_LOANS",FQ$3,$E$3, $J$3, , $G$3, $H$3)),"")</f>
        <v/>
      </c>
      <c r="FR11" s="87" t="str">
        <f>IFERROR(IF(OR($B11="",FR$3=""),"",_xll.ciqfunctions.udf.CIQ($B11,"IQ_NON_PERFORMING_LOANS",FR$3,$E$3, $J$3, , $G$3, $H$3)/_xll.ciqfunctions.udf.CIQ($B11,"IQ_TOTAL_LOANS",FR$3,$E$3, $J$3, , $G$3, $H$3)),"")</f>
        <v/>
      </c>
      <c r="FS11" s="87" t="str">
        <f>IFERROR(IF(OR($B11="",FS$3=""),"",_xll.ciqfunctions.udf.CIQ($B11,"IQ_NON_PERFORMING_LOANS",FS$3,$E$3, $J$3, , $G$3, $H$3)/_xll.ciqfunctions.udf.CIQ($B11,"IQ_TOTAL_LOANS",FS$3,$E$3, $J$3, , $G$3, $H$3)),"")</f>
        <v/>
      </c>
      <c r="FT11" s="87" t="str">
        <f>IFERROR(IF(OR($B11="",FT$3=""),"",_xll.ciqfunctions.udf.CIQ($B11,"IQ_NON_PERFORMING_LOANS",FT$3,$E$3, $J$3, , $G$3, $H$3)/_xll.ciqfunctions.udf.CIQ($B11,"IQ_TOTAL_LOANS",FT$3,$E$3, $J$3, , $G$3, $H$3)),"")</f>
        <v/>
      </c>
      <c r="FU11" s="87" t="str">
        <f>IFERROR(IF(OR($B11="",FU$3=""),"",_xll.ciqfunctions.udf.CIQ($B11,"IQ_NON_PERFORMING_LOANS",FU$3,$E$3, $J$3, , $G$3, $H$3)/_xll.ciqfunctions.udf.CIQ($B11,"IQ_TOTAL_LOANS",FU$3,$E$3, $J$3, , $G$3, $H$3)),"")</f>
        <v/>
      </c>
      <c r="FV11" s="87" t="str">
        <f>IFERROR(IF(OR($B11="",FV$3=""),"",_xll.ciqfunctions.udf.CIQ($B11,"IQ_NON_PERFORMING_LOANS",FV$3,$E$3, $J$3, , $G$3, $H$3)/_xll.ciqfunctions.udf.CIQ($B11,"IQ_TOTAL_LOANS",FV$3,$E$3, $J$3, , $G$3, $H$3)),"")</f>
        <v/>
      </c>
      <c r="FW11" s="87" t="str">
        <f>IFERROR(IF(OR($B11="",FW$3=""),"",_xll.ciqfunctions.udf.CIQ($B11,"IQ_NON_PERFORMING_LOANS",FW$3,$E$3, $J$3, , $G$3, $H$3)/_xll.ciqfunctions.udf.CIQ($B11,"IQ_TOTAL_LOANS",FW$3,$E$3, $J$3, , $G$3, $H$3)),"")</f>
        <v/>
      </c>
      <c r="FX11" s="87" t="str">
        <f>IFERROR(IF(OR($B11="",FX$3=""),"",_xll.ciqfunctions.udf.CIQ($B11,"IQ_NON_PERFORMING_LOANS",FX$3,$E$3, $J$3, , $G$3, $H$3)/_xll.ciqfunctions.udf.CIQ($B11,"IQ_TOTAL_LOANS",FX$3,$E$3, $J$3, , $G$3, $H$3)),"")</f>
        <v/>
      </c>
      <c r="FY11" s="87" t="str">
        <f>IFERROR(IF(OR($B11="",FY$3=""),"",_xll.ciqfunctions.udf.CIQ($B11,"IQ_NON_PERFORMING_LOANS",FY$3,$E$3, $J$3, , $G$3, $H$3)/_xll.ciqfunctions.udf.CIQ($B11,"IQ_TOTAL_LOANS",FY$3,$E$3, $J$3, , $G$3, $H$3)),"")</f>
        <v/>
      </c>
      <c r="FZ11" s="87" t="str">
        <f>IFERROR(IF(OR($B11="",FZ$3=""),"",_xll.ciqfunctions.udf.CIQ($B11,"IQ_NON_PERFORMING_LOANS",FZ$3,$E$3, $J$3, , $G$3, $H$3)/_xll.ciqfunctions.udf.CIQ($B11,"IQ_TOTAL_LOANS",FZ$3,$E$3, $J$3, , $G$3, $H$3)),"")</f>
        <v/>
      </c>
      <c r="GA11" s="87" t="str">
        <f>IFERROR(IF(OR($B11="",GA$3=""),"",_xll.ciqfunctions.udf.CIQ($B11,"IQ_NON_PERFORMING_LOANS",GA$3,$E$3, $J$3, , $G$3, $H$3)/_xll.ciqfunctions.udf.CIQ($B11,"IQ_TOTAL_LOANS",GA$3,$E$3, $J$3, , $G$3, $H$3)),"")</f>
        <v/>
      </c>
      <c r="GB11" s="87" t="str">
        <f>IFERROR(IF(OR($B11="",GB$3=""),"",_xll.ciqfunctions.udf.CIQ($B11,"IQ_NON_PERFORMING_LOANS",GB$3,$E$3, $J$3, , $G$3, $H$3)/_xll.ciqfunctions.udf.CIQ($B11,"IQ_TOTAL_LOANS",GB$3,$E$3, $J$3, , $G$3, $H$3)),"")</f>
        <v/>
      </c>
      <c r="GC11" s="87" t="str">
        <f>IFERROR(IF(OR($B11="",GC$3=""),"",_xll.ciqfunctions.udf.CIQ($B11,"IQ_NON_PERFORMING_LOANS",GC$3,$E$3, $J$3, , $G$3, $H$3)/_xll.ciqfunctions.udf.CIQ($B11,"IQ_TOTAL_LOANS",GC$3,$E$3, $J$3, , $G$3, $H$3)),"")</f>
        <v/>
      </c>
      <c r="GD11" s="87" t="str">
        <f>IFERROR(IF(OR($B11="",GD$3=""),"",_xll.ciqfunctions.udf.CIQ($B11,"IQ_NON_PERFORMING_LOANS",GD$3,$E$3, $J$3, , $G$3, $H$3)/_xll.ciqfunctions.udf.CIQ($B11,"IQ_TOTAL_LOANS",GD$3,$E$3, $J$3, , $G$3, $H$3)),"")</f>
        <v/>
      </c>
      <c r="GE11" s="87" t="str">
        <f>IFERROR(IF(OR($B11="",GE$3=""),"",_xll.ciqfunctions.udf.CIQ($B11,"IQ_NON_PERFORMING_LOANS",GE$3,$E$3, $J$3, , $G$3, $H$3)/_xll.ciqfunctions.udf.CIQ($B11,"IQ_TOTAL_LOANS",GE$3,$E$3, $J$3, , $G$3, $H$3)),"")</f>
        <v/>
      </c>
      <c r="GF11" s="87" t="str">
        <f>IFERROR(IF(OR($B11="",GF$3=""),"",_xll.ciqfunctions.udf.CIQ($B11,"IQ_NON_PERFORMING_LOANS",GF$3,$E$3, $J$3, , $G$3, $H$3)/_xll.ciqfunctions.udf.CIQ($B11,"IQ_TOTAL_LOANS",GF$3,$E$3, $J$3, , $G$3, $H$3)),"")</f>
        <v/>
      </c>
      <c r="GG11" s="87" t="str">
        <f>IFERROR(IF(OR($B11="",GG$3=""),"",_xll.ciqfunctions.udf.CIQ($B11,"IQ_NON_PERFORMING_LOANS",GG$3,$E$3, $J$3, , $G$3, $H$3)/_xll.ciqfunctions.udf.CIQ($B11,"IQ_TOTAL_LOANS",GG$3,$E$3, $J$3, , $G$3, $H$3)),"")</f>
        <v/>
      </c>
      <c r="GH11" s="88" t="str">
        <f>IFERROR(IF(OR($B11="",GH$3=""),"",_xll.ciqfunctions.udf.CIQ($B11,"IQ_NON_PERFORMING_LOANS",GH$3,$E$3, $J$3, , $G$3, $H$3)/_xll.ciqfunctions.udf.CIQ($B11,"IQ_TOTAL_LOANS",GH$3,$E$3, $J$3, , $G$3, $H$3)),"")</f>
        <v/>
      </c>
      <c r="GI11" s="86" t="str">
        <f>IFERROR(IF(OR($B11="",GI$3=""),"",_xll.ciqfunctions.udf.CIQ($B11,"IQ_NON_PERFORMING_ASSETS",GI$3,$E$3, $J$3, , $G$3, $H$3)/_xll.ciqfunctions.udf.CIQ($B11,"IQ_TOTAL_ASSETS",GI$3,$E$3, $J$3, , $G$3, $H$3)),"")</f>
        <v/>
      </c>
      <c r="GJ11" s="87" t="str">
        <f>IFERROR(IF(OR($B11="",GJ$3=""),"",_xll.ciqfunctions.udf.CIQ($B11,"IQ_NON_PERFORMING_ASSETS",GJ$3,$E$3, $J$3, , $G$3, $H$3)/_xll.ciqfunctions.udf.CIQ($B11,"IQ_TOTAL_ASSETS",GJ$3,$E$3, $J$3, , $G$3, $H$3)),"")</f>
        <v/>
      </c>
      <c r="GK11" s="87" t="str">
        <f>IFERROR(IF(OR($B11="",GK$3=""),"",_xll.ciqfunctions.udf.CIQ($B11,"IQ_NON_PERFORMING_ASSETS",GK$3,$E$3, $J$3, , $G$3, $H$3)/_xll.ciqfunctions.udf.CIQ($B11,"IQ_TOTAL_ASSETS",GK$3,$E$3, $J$3, , $G$3, $H$3)),"")</f>
        <v/>
      </c>
      <c r="GL11" s="87" t="str">
        <f>IFERROR(IF(OR($B11="",GL$3=""),"",_xll.ciqfunctions.udf.CIQ($B11,"IQ_NON_PERFORMING_ASSETS",GL$3,$E$3, $J$3, , $G$3, $H$3)/_xll.ciqfunctions.udf.CIQ($B11,"IQ_TOTAL_ASSETS",GL$3,$E$3, $J$3, , $G$3, $H$3)),"")</f>
        <v/>
      </c>
      <c r="GM11" s="87" t="str">
        <f>IFERROR(IF(OR($B11="",GM$3=""),"",_xll.ciqfunctions.udf.CIQ($B11,"IQ_NON_PERFORMING_ASSETS",GM$3,$E$3, $J$3, , $G$3, $H$3)/_xll.ciqfunctions.udf.CIQ($B11,"IQ_TOTAL_ASSETS",GM$3,$E$3, $J$3, , $G$3, $H$3)),"")</f>
        <v/>
      </c>
      <c r="GN11" s="87" t="str">
        <f>IFERROR(IF(OR($B11="",GN$3=""),"",_xll.ciqfunctions.udf.CIQ($B11,"IQ_NON_PERFORMING_ASSETS",GN$3,$E$3, $J$3, , $G$3, $H$3)/_xll.ciqfunctions.udf.CIQ($B11,"IQ_TOTAL_ASSETS",GN$3,$E$3, $J$3, , $G$3, $H$3)),"")</f>
        <v/>
      </c>
      <c r="GO11" s="87" t="str">
        <f>IFERROR(IF(OR($B11="",GO$3=""),"",_xll.ciqfunctions.udf.CIQ($B11,"IQ_NON_PERFORMING_ASSETS",GO$3,$E$3, $J$3, , $G$3, $H$3)/_xll.ciqfunctions.udf.CIQ($B11,"IQ_TOTAL_ASSETS",GO$3,$E$3, $J$3, , $G$3, $H$3)),"")</f>
        <v/>
      </c>
      <c r="GP11" s="87" t="str">
        <f>IFERROR(IF(OR($B11="",GP$3=""),"",_xll.ciqfunctions.udf.CIQ($B11,"IQ_NON_PERFORMING_ASSETS",GP$3,$E$3, $J$3, , $G$3, $H$3)/_xll.ciqfunctions.udf.CIQ($B11,"IQ_TOTAL_ASSETS",GP$3,$E$3, $J$3, , $G$3, $H$3)),"")</f>
        <v/>
      </c>
      <c r="GQ11" s="87" t="str">
        <f>IFERROR(IF(OR($B11="",GQ$3=""),"",_xll.ciqfunctions.udf.CIQ($B11,"IQ_NON_PERFORMING_ASSETS",GQ$3,$E$3, $J$3, , $G$3, $H$3)/_xll.ciqfunctions.udf.CIQ($B11,"IQ_TOTAL_ASSETS",GQ$3,$E$3, $J$3, , $G$3, $H$3)),"")</f>
        <v/>
      </c>
      <c r="GR11" s="87" t="str">
        <f>IFERROR(IF(OR($B11="",GR$3=""),"",_xll.ciqfunctions.udf.CIQ($B11,"IQ_NON_PERFORMING_ASSETS",GR$3,$E$3, $J$3, , $G$3, $H$3)/_xll.ciqfunctions.udf.CIQ($B11,"IQ_TOTAL_ASSETS",GR$3,$E$3, $J$3, , $G$3, $H$3)),"")</f>
        <v/>
      </c>
      <c r="GS11" s="87" t="str">
        <f>IFERROR(IF(OR($B11="",GS$3=""),"",_xll.ciqfunctions.udf.CIQ($B11,"IQ_NON_PERFORMING_ASSETS",GS$3,$E$3, $J$3, , $G$3, $H$3)/_xll.ciqfunctions.udf.CIQ($B11,"IQ_TOTAL_ASSETS",GS$3,$E$3, $J$3, , $G$3, $H$3)),"")</f>
        <v/>
      </c>
      <c r="GT11" s="87" t="str">
        <f>IFERROR(IF(OR($B11="",GT$3=""),"",_xll.ciqfunctions.udf.CIQ($B11,"IQ_NON_PERFORMING_ASSETS",GT$3,$E$3, $J$3, , $G$3, $H$3)/_xll.ciqfunctions.udf.CIQ($B11,"IQ_TOTAL_ASSETS",GT$3,$E$3, $J$3, , $G$3, $H$3)),"")</f>
        <v/>
      </c>
      <c r="GU11" s="87" t="str">
        <f>IFERROR(IF(OR($B11="",GU$3=""),"",_xll.ciqfunctions.udf.CIQ($B11,"IQ_NON_PERFORMING_ASSETS",GU$3,$E$3, $J$3, , $G$3, $H$3)/_xll.ciqfunctions.udf.CIQ($B11,"IQ_TOTAL_ASSETS",GU$3,$E$3, $J$3, , $G$3, $H$3)),"")</f>
        <v/>
      </c>
      <c r="GV11" s="87" t="str">
        <f>IFERROR(IF(OR($B11="",GV$3=""),"",_xll.ciqfunctions.udf.CIQ($B11,"IQ_NON_PERFORMING_ASSETS",GV$3,$E$3, $J$3, , $G$3, $H$3)/_xll.ciqfunctions.udf.CIQ($B11,"IQ_TOTAL_ASSETS",GV$3,$E$3, $J$3, , $G$3, $H$3)),"")</f>
        <v/>
      </c>
      <c r="GW11" s="87" t="str">
        <f>IFERROR(IF(OR($B11="",GW$3=""),"",_xll.ciqfunctions.udf.CIQ($B11,"IQ_NON_PERFORMING_ASSETS",GW$3,$E$3, $J$3, , $G$3, $H$3)/_xll.ciqfunctions.udf.CIQ($B11,"IQ_TOTAL_ASSETS",GW$3,$E$3, $J$3, , $G$3, $H$3)),"")</f>
        <v/>
      </c>
      <c r="GX11" s="87" t="str">
        <f>IFERROR(IF(OR($B11="",GX$3=""),"",_xll.ciqfunctions.udf.CIQ($B11,"IQ_NON_PERFORMING_ASSETS",GX$3,$E$3, $J$3, , $G$3, $H$3)/_xll.ciqfunctions.udf.CIQ($B11,"IQ_TOTAL_ASSETS",GX$3,$E$3, $J$3, , $G$3, $H$3)),"")</f>
        <v/>
      </c>
      <c r="GY11" s="87" t="str">
        <f>IFERROR(IF(OR($B11="",GY$3=""),"",_xll.ciqfunctions.udf.CIQ($B11,"IQ_NON_PERFORMING_ASSETS",GY$3,$E$3, $J$3, , $G$3, $H$3)/_xll.ciqfunctions.udf.CIQ($B11,"IQ_TOTAL_ASSETS",GY$3,$E$3, $J$3, , $G$3, $H$3)),"")</f>
        <v/>
      </c>
      <c r="GZ11" s="87" t="str">
        <f>IFERROR(IF(OR($B11="",GZ$3=""),"",_xll.ciqfunctions.udf.CIQ($B11,"IQ_NON_PERFORMING_ASSETS",GZ$3,$E$3, $J$3, , $G$3, $H$3)/_xll.ciqfunctions.udf.CIQ($B11,"IQ_TOTAL_ASSETS",GZ$3,$E$3, $J$3, , $G$3, $H$3)),"")</f>
        <v/>
      </c>
      <c r="HA11" s="87" t="str">
        <f>IFERROR(IF(OR($B11="",HA$3=""),"",_xll.ciqfunctions.udf.CIQ($B11,"IQ_NON_PERFORMING_ASSETS",HA$3,$E$3, $J$3, , $G$3, $H$3)/_xll.ciqfunctions.udf.CIQ($B11,"IQ_TOTAL_ASSETS",HA$3,$E$3, $J$3, , $G$3, $H$3)),"")</f>
        <v/>
      </c>
      <c r="HB11" s="88" t="str">
        <f>IFERROR(IF(OR($B11="",HB$3=""),"",_xll.ciqfunctions.udf.CIQ($B11,"IQ_NON_PERFORMING_ASSETS",HB$3,$E$3, $J$3, , $G$3, $H$3)/_xll.ciqfunctions.udf.CIQ($B11,"IQ_TOTAL_ASSETS",HB$3,$E$3, $J$3, , $G$3, $H$3)),"")</f>
        <v/>
      </c>
      <c r="HC11" s="86" t="str">
        <f>IFERROR(IF(OR($B11="",HC$3=""),"",_xll.ciqfunctions.udf.CIQ($B11, "IQ_NI", $I$3, HC$3,$J$3, ,$G$3,$H$3)*2/(_xll.ciqfunctions.udf.CIQ($B11,"IQ_TOTAL_ASSETS",HC$3,$E$3, $J$3, , $G$3, $H$3)+_xll.ciqfunctions.udf.CIQ($B11,"IQ_TOTAL_ASSETS","IQ_" &amp; LEFT(HC$3,2) &amp; "-1",HC$3, $J$3, , $G$3, $H$3))),"")</f>
        <v/>
      </c>
      <c r="HD11" s="87" t="str">
        <f>IFERROR(IF(OR($B11="",HD$3=""),"",_xll.ciqfunctions.udf.CIQ($B11, "IQ_NI", $I$3, HD$3,$J$3, ,$G$3,$H$3)*2/(_xll.ciqfunctions.udf.CIQ($B11,"IQ_TOTAL_ASSETS",HD$3,$E$3, $J$3, , $G$3, $H$3)+_xll.ciqfunctions.udf.CIQ($B11,"IQ_TOTAL_ASSETS","IQ_" &amp; LEFT(HD$3,2) &amp; "-1",HD$3, $J$3, , $G$3, $H$3))),"")</f>
        <v/>
      </c>
      <c r="HE11" s="87" t="str">
        <f>IFERROR(IF(OR($B11="",HE$3=""),"",_xll.ciqfunctions.udf.CIQ($B11, "IQ_NI", $I$3, HE$3,$J$3, ,$G$3,$H$3)*2/(_xll.ciqfunctions.udf.CIQ($B11,"IQ_TOTAL_ASSETS",HE$3,$E$3, $J$3, , $G$3, $H$3)+_xll.ciqfunctions.udf.CIQ($B11,"IQ_TOTAL_ASSETS","IQ_" &amp; LEFT(HE$3,2) &amp; "-1",HE$3, $J$3, , $G$3, $H$3))),"")</f>
        <v/>
      </c>
      <c r="HF11" s="87" t="str">
        <f>IFERROR(IF(OR($B11="",HF$3=""),"",_xll.ciqfunctions.udf.CIQ($B11, "IQ_NI", $I$3, HF$3,$J$3, ,$G$3,$H$3)*2/(_xll.ciqfunctions.udf.CIQ($B11,"IQ_TOTAL_ASSETS",HF$3,$E$3, $J$3, , $G$3, $H$3)+_xll.ciqfunctions.udf.CIQ($B11,"IQ_TOTAL_ASSETS","IQ_" &amp; LEFT(HF$3,2) &amp; "-1",HF$3, $J$3, , $G$3, $H$3))),"")</f>
        <v/>
      </c>
      <c r="HG11" s="87" t="str">
        <f>IFERROR(IF(OR($B11="",HG$3=""),"",_xll.ciqfunctions.udf.CIQ($B11, "IQ_NI", $I$3, HG$3,$J$3, ,$G$3,$H$3)*2/(_xll.ciqfunctions.udf.CIQ($B11,"IQ_TOTAL_ASSETS",HG$3,$E$3, $J$3, , $G$3, $H$3)+_xll.ciqfunctions.udf.CIQ($B11,"IQ_TOTAL_ASSETS","IQ_" &amp; LEFT(HG$3,2) &amp; "-1",HG$3, $J$3, , $G$3, $H$3))),"")</f>
        <v/>
      </c>
      <c r="HH11" s="87" t="str">
        <f>IFERROR(IF(OR($B11="",HH$3=""),"",_xll.ciqfunctions.udf.CIQ($B11, "IQ_NI", $I$3, HH$3,$J$3, ,$G$3,$H$3)*2/(_xll.ciqfunctions.udf.CIQ($B11,"IQ_TOTAL_ASSETS",HH$3,$E$3, $J$3, , $G$3, $H$3)+_xll.ciqfunctions.udf.CIQ($B11,"IQ_TOTAL_ASSETS","IQ_" &amp; LEFT(HH$3,2) &amp; "-1",HH$3, $J$3, , $G$3, $H$3))),"")</f>
        <v/>
      </c>
      <c r="HI11" s="87" t="str">
        <f>IFERROR(IF(OR($B11="",HI$3=""),"",_xll.ciqfunctions.udf.CIQ($B11, "IQ_NI", $I$3, HI$3,$J$3, ,$G$3,$H$3)*2/(_xll.ciqfunctions.udf.CIQ($B11,"IQ_TOTAL_ASSETS",HI$3,$E$3, $J$3, , $G$3, $H$3)+_xll.ciqfunctions.udf.CIQ($B11,"IQ_TOTAL_ASSETS","IQ_" &amp; LEFT(HI$3,2) &amp; "-1",HI$3, $J$3, , $G$3, $H$3))),"")</f>
        <v/>
      </c>
      <c r="HJ11" s="87" t="str">
        <f>IFERROR(IF(OR($B11="",HJ$3=""),"",_xll.ciqfunctions.udf.CIQ($B11, "IQ_NI", $I$3, HJ$3,$J$3, ,$G$3,$H$3)*2/(_xll.ciqfunctions.udf.CIQ($B11,"IQ_TOTAL_ASSETS",HJ$3,$E$3, $J$3, , $G$3, $H$3)+_xll.ciqfunctions.udf.CIQ($B11,"IQ_TOTAL_ASSETS","IQ_" &amp; LEFT(HJ$3,2) &amp; "-1",HJ$3, $J$3, , $G$3, $H$3))),"")</f>
        <v/>
      </c>
      <c r="HK11" s="87" t="str">
        <f>IFERROR(IF(OR($B11="",HK$3=""),"",_xll.ciqfunctions.udf.CIQ($B11, "IQ_NI", $I$3, HK$3,$J$3, ,$G$3,$H$3)*2/(_xll.ciqfunctions.udf.CIQ($B11,"IQ_TOTAL_ASSETS",HK$3,$E$3, $J$3, , $G$3, $H$3)+_xll.ciqfunctions.udf.CIQ($B11,"IQ_TOTAL_ASSETS","IQ_" &amp; LEFT(HK$3,2) &amp; "-1",HK$3, $J$3, , $G$3, $H$3))),"")</f>
        <v/>
      </c>
      <c r="HL11" s="87" t="str">
        <f>IFERROR(IF(OR($B11="",HL$3=""),"",_xll.ciqfunctions.udf.CIQ($B11, "IQ_NI", $I$3, HL$3,$J$3, ,$G$3,$H$3)*2/(_xll.ciqfunctions.udf.CIQ($B11,"IQ_TOTAL_ASSETS",HL$3,$E$3, $J$3, , $G$3, $H$3)+_xll.ciqfunctions.udf.CIQ($B11,"IQ_TOTAL_ASSETS","IQ_" &amp; LEFT(HL$3,2) &amp; "-1",HL$3, $J$3, , $G$3, $H$3))),"")</f>
        <v/>
      </c>
      <c r="HM11" s="87" t="str">
        <f>IFERROR(IF(OR($B11="",HM$3=""),"",_xll.ciqfunctions.udf.CIQ($B11, "IQ_NI", $I$3, HM$3,$J$3, ,$G$3,$H$3)*2/(_xll.ciqfunctions.udf.CIQ($B11,"IQ_TOTAL_ASSETS",HM$3,$E$3, $J$3, , $G$3, $H$3)+_xll.ciqfunctions.udf.CIQ($B11,"IQ_TOTAL_ASSETS","IQ_" &amp; LEFT(HM$3,2) &amp; "-1",HM$3, $J$3, , $G$3, $H$3))),"")</f>
        <v/>
      </c>
      <c r="HN11" s="87" t="str">
        <f>IFERROR(IF(OR($B11="",HN$3=""),"",_xll.ciqfunctions.udf.CIQ($B11, "IQ_NI", $I$3, HN$3,$J$3, ,$G$3,$H$3)*2/(_xll.ciqfunctions.udf.CIQ($B11,"IQ_TOTAL_ASSETS",HN$3,$E$3, $J$3, , $G$3, $H$3)+_xll.ciqfunctions.udf.CIQ($B11,"IQ_TOTAL_ASSETS","IQ_" &amp; LEFT(HN$3,2) &amp; "-1",HN$3, $J$3, , $G$3, $H$3))),"")</f>
        <v/>
      </c>
      <c r="HO11" s="87" t="str">
        <f>IFERROR(IF(OR($B11="",HO$3=""),"",_xll.ciqfunctions.udf.CIQ($B11, "IQ_NI", $I$3, HO$3,$J$3, ,$G$3,$H$3)*2/(_xll.ciqfunctions.udf.CIQ($B11,"IQ_TOTAL_ASSETS",HO$3,$E$3, $J$3, , $G$3, $H$3)+_xll.ciqfunctions.udf.CIQ($B11,"IQ_TOTAL_ASSETS","IQ_" &amp; LEFT(HO$3,2) &amp; "-1",HO$3, $J$3, , $G$3, $H$3))),"")</f>
        <v/>
      </c>
      <c r="HP11" s="87" t="str">
        <f>IFERROR(IF(OR($B11="",HP$3=""),"",_xll.ciqfunctions.udf.CIQ($B11, "IQ_NI", $I$3, HP$3,$J$3, ,$G$3,$H$3)*2/(_xll.ciqfunctions.udf.CIQ($B11,"IQ_TOTAL_ASSETS",HP$3,$E$3, $J$3, , $G$3, $H$3)+_xll.ciqfunctions.udf.CIQ($B11,"IQ_TOTAL_ASSETS","IQ_" &amp; LEFT(HP$3,2) &amp; "-1",HP$3, $J$3, , $G$3, $H$3))),"")</f>
        <v/>
      </c>
      <c r="HQ11" s="87" t="str">
        <f>IFERROR(IF(OR($B11="",HQ$3=""),"",_xll.ciqfunctions.udf.CIQ($B11, "IQ_NI", $I$3, HQ$3,$J$3, ,$G$3,$H$3)*2/(_xll.ciqfunctions.udf.CIQ($B11,"IQ_TOTAL_ASSETS",HQ$3,$E$3, $J$3, , $G$3, $H$3)+_xll.ciqfunctions.udf.CIQ($B11,"IQ_TOTAL_ASSETS","IQ_" &amp; LEFT(HQ$3,2) &amp; "-1",HQ$3, $J$3, , $G$3, $H$3))),"")</f>
        <v/>
      </c>
      <c r="HR11" s="87" t="str">
        <f>IFERROR(IF(OR($B11="",HR$3=""),"",_xll.ciqfunctions.udf.CIQ($B11, "IQ_NI", $I$3, HR$3,$J$3, ,$G$3,$H$3)*2/(_xll.ciqfunctions.udf.CIQ($B11,"IQ_TOTAL_ASSETS",HR$3,$E$3, $J$3, , $G$3, $H$3)+_xll.ciqfunctions.udf.CIQ($B11,"IQ_TOTAL_ASSETS","IQ_" &amp; LEFT(HR$3,2) &amp; "-1",HR$3, $J$3, , $G$3, $H$3))),"")</f>
        <v/>
      </c>
      <c r="HS11" s="87" t="str">
        <f>IFERROR(IF(OR($B11="",HS$3=""),"",_xll.ciqfunctions.udf.CIQ($B11, "IQ_NI", $I$3, HS$3,$J$3, ,$G$3,$H$3)*2/(_xll.ciqfunctions.udf.CIQ($B11,"IQ_TOTAL_ASSETS",HS$3,$E$3, $J$3, , $G$3, $H$3)+_xll.ciqfunctions.udf.CIQ($B11,"IQ_TOTAL_ASSETS","IQ_" &amp; LEFT(HS$3,2) &amp; "-1",HS$3, $J$3, , $G$3, $H$3))),"")</f>
        <v/>
      </c>
      <c r="HT11" s="87" t="str">
        <f>IFERROR(IF(OR($B11="",HT$3=""),"",_xll.ciqfunctions.udf.CIQ($B11, "IQ_NI", $I$3, HT$3,$J$3, ,$G$3,$H$3)*2/(_xll.ciqfunctions.udf.CIQ($B11,"IQ_TOTAL_ASSETS",HT$3,$E$3, $J$3, , $G$3, $H$3)+_xll.ciqfunctions.udf.CIQ($B11,"IQ_TOTAL_ASSETS","IQ_" &amp; LEFT(HT$3,2) &amp; "-1",HT$3, $J$3, , $G$3, $H$3))),"")</f>
        <v/>
      </c>
      <c r="HU11" s="87" t="str">
        <f>IFERROR(IF(OR($B11="",HU$3=""),"",_xll.ciqfunctions.udf.CIQ($B11, "IQ_NI", $I$3, HU$3,$J$3, ,$G$3,$H$3)*2/(_xll.ciqfunctions.udf.CIQ($B11,"IQ_TOTAL_ASSETS",HU$3,$E$3, $J$3, , $G$3, $H$3)+_xll.ciqfunctions.udf.CIQ($B11,"IQ_TOTAL_ASSETS","IQ_" &amp; LEFT(HU$3,2) &amp; "-1",HU$3, $J$3, , $G$3, $H$3))),"")</f>
        <v/>
      </c>
      <c r="HV11" s="88" t="str">
        <f>IFERROR(IF(OR($B11="",HV$3=""),"",_xll.ciqfunctions.udf.CIQ($B11, "IQ_NI", $I$3, HV$3,$J$3, ,$G$3,$H$3)*2/(_xll.ciqfunctions.udf.CIQ($B11,"IQ_TOTAL_ASSETS",HV$3,$E$3, $J$3, , $G$3, $H$3)+_xll.ciqfunctions.udf.CIQ($B11,"IQ_TOTAL_ASSETS","IQ_" &amp; LEFT(HV$3,2) &amp; "-1",HV$3, $J$3, , $G$3, $H$3))),"")</f>
        <v/>
      </c>
      <c r="HW11" s="86" t="str">
        <f>IFERROR(IF(OR($B11="",HW$3=""),"",_xll.ciqfunctions.udf.CIQ($B11,"IQ_CASH_OPER",HW$3,$E$3, $J$3, , $G$3, $H$3)/_xll.ciqfunctions.udf.CIQ($B11,"IQ_TOTAL_REV",HW$3,$E$3, $J$3, , $G$3, $H$3)),0)</f>
        <v/>
      </c>
      <c r="HX11" s="87" t="str">
        <f>IFERROR(IF(OR($B11="",HX$3=""),"",_xll.ciqfunctions.udf.CIQ($B11,"IQ_CASH_OPER",HX$3,$E$3, $J$3, , $G$3, $H$3)/_xll.ciqfunctions.udf.CIQ($B11,"IQ_TOTAL_REV",HX$3,$E$3, $J$3, , $G$3, $H$3)),0)</f>
        <v/>
      </c>
      <c r="HY11" s="87" t="str">
        <f>IFERROR(IF(OR($B11="",HY$3=""),"",_xll.ciqfunctions.udf.CIQ($B11,"IQ_CASH_OPER",HY$3,$E$3, $J$3, , $G$3, $H$3)/_xll.ciqfunctions.udf.CIQ($B11,"IQ_TOTAL_REV",HY$3,$E$3, $J$3, , $G$3, $H$3)),0)</f>
        <v/>
      </c>
      <c r="HZ11" s="87" t="str">
        <f>IFERROR(IF(OR($B11="",HZ$3=""),"",_xll.ciqfunctions.udf.CIQ($B11,"IQ_CASH_OPER",HZ$3,$E$3, $J$3, , $G$3, $H$3)/_xll.ciqfunctions.udf.CIQ($B11,"IQ_TOTAL_REV",HZ$3,$E$3, $J$3, , $G$3, $H$3)),0)</f>
        <v/>
      </c>
      <c r="IA11" s="87" t="str">
        <f>IFERROR(IF(OR($B11="",IA$3=""),"",_xll.ciqfunctions.udf.CIQ($B11,"IQ_CASH_OPER",IA$3,$E$3, $J$3, , $G$3, $H$3)/_xll.ciqfunctions.udf.CIQ($B11,"IQ_TOTAL_REV",IA$3,$E$3, $J$3, , $G$3, $H$3)),0)</f>
        <v/>
      </c>
      <c r="IB11" s="87" t="str">
        <f>IFERROR(IF(OR($B11="",IB$3=""),"",_xll.ciqfunctions.udf.CIQ($B11,"IQ_CASH_OPER",IB$3,$E$3, $J$3, , $G$3, $H$3)/_xll.ciqfunctions.udf.CIQ($B11,"IQ_TOTAL_REV",IB$3,$E$3, $J$3, , $G$3, $H$3)),0)</f>
        <v/>
      </c>
      <c r="IC11" s="87" t="str">
        <f>IFERROR(IF(OR($B11="",IC$3=""),"",_xll.ciqfunctions.udf.CIQ($B11,"IQ_CASH_OPER",IC$3,$E$3, $J$3, , $G$3, $H$3)/_xll.ciqfunctions.udf.CIQ($B11,"IQ_TOTAL_REV",IC$3,$E$3, $J$3, , $G$3, $H$3)),0)</f>
        <v/>
      </c>
      <c r="ID11" s="87" t="str">
        <f>IFERROR(IF(OR($B11="",ID$3=""),"",_xll.ciqfunctions.udf.CIQ($B11,"IQ_CASH_OPER",ID$3,$E$3, $J$3, , $G$3, $H$3)/_xll.ciqfunctions.udf.CIQ($B11,"IQ_TOTAL_REV",ID$3,$E$3, $J$3, , $G$3, $H$3)),0)</f>
        <v/>
      </c>
      <c r="IE11" s="87" t="str">
        <f>IFERROR(IF(OR($B11="",IE$3=""),"",_xll.ciqfunctions.udf.CIQ($B11,"IQ_CASH_OPER",IE$3,$E$3, $J$3, , $G$3, $H$3)/_xll.ciqfunctions.udf.CIQ($B11,"IQ_TOTAL_REV",IE$3,$E$3, $J$3, , $G$3, $H$3)),0)</f>
        <v/>
      </c>
      <c r="IF11" s="87" t="str">
        <f>IFERROR(IF(OR($B11="",IF$3=""),"",_xll.ciqfunctions.udf.CIQ($B11,"IQ_CASH_OPER",IF$3,$E$3, $J$3, , $G$3, $H$3)/_xll.ciqfunctions.udf.CIQ($B11,"IQ_TOTAL_REV",IF$3,$E$3, $J$3, , $G$3, $H$3)),0)</f>
        <v/>
      </c>
      <c r="IG11" s="87" t="str">
        <f>IFERROR(IF(OR($B11="",IG$3=""),"",_xll.ciqfunctions.udf.CIQ($B11,"IQ_CASH_OPER",IG$3,$E$3, $J$3, , $G$3, $H$3)/_xll.ciqfunctions.udf.CIQ($B11,"IQ_TOTAL_REV",IG$3,$E$3, $J$3, , $G$3, $H$3)),0)</f>
        <v/>
      </c>
      <c r="IH11" s="87" t="str">
        <f>IFERROR(IF(OR($B11="",IH$3=""),"",_xll.ciqfunctions.udf.CIQ($B11,"IQ_CASH_OPER",IH$3,$E$3, $J$3, , $G$3, $H$3)/_xll.ciqfunctions.udf.CIQ($B11,"IQ_TOTAL_REV",IH$3,$E$3, $J$3, , $G$3, $H$3)),0)</f>
        <v/>
      </c>
      <c r="II11" s="87" t="str">
        <f>IFERROR(IF(OR($B11="",II$3=""),"",_xll.ciqfunctions.udf.CIQ($B11,"IQ_CASH_OPER",II$3,$E$3, $J$3, , $G$3, $H$3)/_xll.ciqfunctions.udf.CIQ($B11,"IQ_TOTAL_REV",II$3,$E$3, $J$3, , $G$3, $H$3)),0)</f>
        <v/>
      </c>
      <c r="IJ11" s="87" t="str">
        <f>IFERROR(IF(OR($B11="",IJ$3=""),"",_xll.ciqfunctions.udf.CIQ($B11,"IQ_CASH_OPER",IJ$3,$E$3, $J$3, , $G$3, $H$3)/_xll.ciqfunctions.udf.CIQ($B11,"IQ_TOTAL_REV",IJ$3,$E$3, $J$3, , $G$3, $H$3)),0)</f>
        <v/>
      </c>
      <c r="IK11" s="87" t="str">
        <f>IFERROR(IF(OR($B11="",IK$3=""),"",_xll.ciqfunctions.udf.CIQ($B11,"IQ_CASH_OPER",IK$3,$E$3, $J$3, , $G$3, $H$3)/_xll.ciqfunctions.udf.CIQ($B11,"IQ_TOTAL_REV",IK$3,$E$3, $J$3, , $G$3, $H$3)),0)</f>
        <v/>
      </c>
      <c r="IL11" s="87" t="str">
        <f>IFERROR(IF(OR($B11="",IL$3=""),"",_xll.ciqfunctions.udf.CIQ($B11,"IQ_CASH_OPER",IL$3,$E$3, $J$3, , $G$3, $H$3)/_xll.ciqfunctions.udf.CIQ($B11,"IQ_TOTAL_REV",IL$3,$E$3, $J$3, , $G$3, $H$3)),0)</f>
        <v/>
      </c>
      <c r="IM11" s="87" t="str">
        <f>IFERROR(IF(OR($B11="",IM$3=""),"",_xll.ciqfunctions.udf.CIQ($B11,"IQ_CASH_OPER",IM$3,$E$3, $J$3, , $G$3, $H$3)/_xll.ciqfunctions.udf.CIQ($B11,"IQ_TOTAL_REV",IM$3,$E$3, $J$3, , $G$3, $H$3)),0)</f>
        <v/>
      </c>
      <c r="IN11" s="87" t="str">
        <f>IFERROR(IF(OR($B11="",IN$3=""),"",_xll.ciqfunctions.udf.CIQ($B11,"IQ_CASH_OPER",IN$3,$E$3, $J$3, , $G$3, $H$3)/_xll.ciqfunctions.udf.CIQ($B11,"IQ_TOTAL_REV",IN$3,$E$3, $J$3, , $G$3, $H$3)),0)</f>
        <v/>
      </c>
      <c r="IO11" s="87" t="str">
        <f>IFERROR(IF(OR($B11="",IO$3=""),"",_xll.ciqfunctions.udf.CIQ($B11,"IQ_CASH_OPER",IO$3,$E$3, $J$3, , $G$3, $H$3)/_xll.ciqfunctions.udf.CIQ($B11,"IQ_TOTAL_REV",IO$3,$E$3, $J$3, , $G$3, $H$3)),0)</f>
        <v/>
      </c>
      <c r="IP11" s="88" t="str">
        <f>IFERROR(IF(OR($B11="",IP$3=""),"",_xll.ciqfunctions.udf.CIQ($B11,"IQ_CASH_OPER",IP$3,$E$3, $J$3, , $G$3, $H$3)/_xll.ciqfunctions.udf.CIQ($B11,"IQ_TOTAL_REV",IP$3,$E$3, $J$3, , $G$3, $H$3)),0)</f>
        <v/>
      </c>
      <c r="IQ11" s="348" t="str">
        <f>IFERROR(IF(OR(IQ$3="",$B11=""),"",_xll.ciqfunctions.udf.CIQ($B11,"IQ_TOTAL_ASSETS",IQ$3,$E$3, $J$3, , $G$3, $H$3)/_xll.ciqfunctions.udf.CIQ($B11,"IQ_TOTAL_COMMON_EQUITY",IQ$3,$E$3, $J$3, , $G$3, $H$3)),0)</f>
        <v/>
      </c>
      <c r="IR11" s="349" t="str">
        <f>IFERROR(IF(OR(IR$3="",$B11=""),"",_xll.ciqfunctions.udf.CIQ($B11,"IQ_TOTAL_ASSETS",IR$3,$E$3, $J$3, , $G$3, $H$3)/_xll.ciqfunctions.udf.CIQ($B11,"IQ_TOTAL_COMMON_EQUITY",IR$3,$E$3, $J$3, , $G$3, $H$3)),0)</f>
        <v/>
      </c>
      <c r="IS11" s="349" t="str">
        <f>IFERROR(IF(OR(IS$3="",$B11=""),"",_xll.ciqfunctions.udf.CIQ($B11,"IQ_TOTAL_ASSETS",IS$3,$E$3, $J$3, , $G$3, $H$3)/_xll.ciqfunctions.udf.CIQ($B11,"IQ_TOTAL_COMMON_EQUITY",IS$3,$E$3, $J$3, , $G$3, $H$3)),0)</f>
        <v/>
      </c>
      <c r="IT11" s="349" t="str">
        <f>IFERROR(IF(OR(IT$3="",$B11=""),"",_xll.ciqfunctions.udf.CIQ($B11,"IQ_TOTAL_ASSETS",IT$3,$E$3, $J$3, , $G$3, $H$3)/_xll.ciqfunctions.udf.CIQ($B11,"IQ_TOTAL_COMMON_EQUITY",IT$3,$E$3, $J$3, , $G$3, $H$3)),0)</f>
        <v/>
      </c>
      <c r="IU11" s="349" t="str">
        <f>IFERROR(IF(OR(IU$3="",$B11=""),"",_xll.ciqfunctions.udf.CIQ($B11,"IQ_TOTAL_ASSETS",IU$3,$E$3, $J$3, , $G$3, $H$3)/_xll.ciqfunctions.udf.CIQ($B11,"IQ_TOTAL_COMMON_EQUITY",IU$3,$E$3, $J$3, , $G$3, $H$3)),0)</f>
        <v/>
      </c>
      <c r="IV11" s="349" t="str">
        <f>IFERROR(IF(OR(IV$3="",$B11=""),"",_xll.ciqfunctions.udf.CIQ($B11,"IQ_TOTAL_ASSETS",IV$3,$E$3, $J$3, , $G$3, $H$3)/_xll.ciqfunctions.udf.CIQ($B11,"IQ_TOTAL_COMMON_EQUITY",IV$3,$E$3, $J$3, , $G$3, $H$3)),0)</f>
        <v/>
      </c>
      <c r="IW11" s="349" t="str">
        <f>IFERROR(IF(OR(IW$3="",$B11=""),"",_xll.ciqfunctions.udf.CIQ($B11,"IQ_TOTAL_ASSETS",IW$3,$E$3, $J$3, , $G$3, $H$3)/_xll.ciqfunctions.udf.CIQ($B11,"IQ_TOTAL_COMMON_EQUITY",IW$3,$E$3, $J$3, , $G$3, $H$3)),0)</f>
        <v/>
      </c>
      <c r="IX11" s="349" t="str">
        <f>IFERROR(IF(OR(IX$3="",$B11=""),"",_xll.ciqfunctions.udf.CIQ($B11,"IQ_TOTAL_ASSETS",IX$3,$E$3, $J$3, , $G$3, $H$3)/_xll.ciqfunctions.udf.CIQ($B11,"IQ_TOTAL_COMMON_EQUITY",IX$3,$E$3, $J$3, , $G$3, $H$3)),0)</f>
        <v/>
      </c>
      <c r="IY11" s="349" t="str">
        <f>IFERROR(IF(OR(IY$3="",$B11=""),"",_xll.ciqfunctions.udf.CIQ($B11,"IQ_TOTAL_ASSETS",IY$3,$E$3, $J$3, , $G$3, $H$3)/_xll.ciqfunctions.udf.CIQ($B11,"IQ_TOTAL_COMMON_EQUITY",IY$3,$E$3, $J$3, , $G$3, $H$3)),0)</f>
        <v/>
      </c>
      <c r="IZ11" s="349" t="str">
        <f>IFERROR(IF(OR(IZ$3="",$B11=""),"",_xll.ciqfunctions.udf.CIQ($B11,"IQ_TOTAL_ASSETS",IZ$3,$E$3, $J$3, , $G$3, $H$3)/_xll.ciqfunctions.udf.CIQ($B11,"IQ_TOTAL_COMMON_EQUITY",IZ$3,$E$3, $J$3, , $G$3, $H$3)),0)</f>
        <v/>
      </c>
      <c r="JA11" s="349" t="str">
        <f>IFERROR(IF(OR(JA$3="",$B11=""),"",_xll.ciqfunctions.udf.CIQ($B11,"IQ_TOTAL_ASSETS",JA$3,$E$3, $J$3, , $G$3, $H$3)/_xll.ciqfunctions.udf.CIQ($B11,"IQ_TOTAL_COMMON_EQUITY",JA$3,$E$3, $J$3, , $G$3, $H$3)),0)</f>
        <v/>
      </c>
      <c r="JB11" s="349" t="str">
        <f>IFERROR(IF(OR(JB$3="",$B11=""),"",_xll.ciqfunctions.udf.CIQ($B11,"IQ_TOTAL_ASSETS",JB$3,$E$3, $J$3, , $G$3, $H$3)/_xll.ciqfunctions.udf.CIQ($B11,"IQ_TOTAL_COMMON_EQUITY",JB$3,$E$3, $J$3, , $G$3, $H$3)),0)</f>
        <v/>
      </c>
      <c r="JC11" s="349" t="str">
        <f>IFERROR(IF(OR(JC$3="",$B11=""),"",_xll.ciqfunctions.udf.CIQ($B11,"IQ_TOTAL_ASSETS",JC$3,$E$3, $J$3, , $G$3, $H$3)/_xll.ciqfunctions.udf.CIQ($B11,"IQ_TOTAL_COMMON_EQUITY",JC$3,$E$3, $J$3, , $G$3, $H$3)),0)</f>
        <v/>
      </c>
      <c r="JD11" s="349" t="str">
        <f>IFERROR(IF(OR(JD$3="",$B11=""),"",_xll.ciqfunctions.udf.CIQ($B11,"IQ_TOTAL_ASSETS",JD$3,$E$3, $J$3, , $G$3, $H$3)/_xll.ciqfunctions.udf.CIQ($B11,"IQ_TOTAL_COMMON_EQUITY",JD$3,$E$3, $J$3, , $G$3, $H$3)),0)</f>
        <v/>
      </c>
      <c r="JE11" s="349" t="str">
        <f>IFERROR(IF(OR(JE$3="",$B11=""),"",_xll.ciqfunctions.udf.CIQ($B11,"IQ_TOTAL_ASSETS",JE$3,$E$3, $J$3, , $G$3, $H$3)/_xll.ciqfunctions.udf.CIQ($B11,"IQ_TOTAL_COMMON_EQUITY",JE$3,$E$3, $J$3, , $G$3, $H$3)),0)</f>
        <v/>
      </c>
      <c r="JF11" s="349" t="str">
        <f>IFERROR(IF(OR(JF$3="",$B11=""),"",_xll.ciqfunctions.udf.CIQ($B11,"IQ_TOTAL_ASSETS",JF$3,$E$3, $J$3, , $G$3, $H$3)/_xll.ciqfunctions.udf.CIQ($B11,"IQ_TOTAL_COMMON_EQUITY",JF$3,$E$3, $J$3, , $G$3, $H$3)),0)</f>
        <v/>
      </c>
      <c r="JG11" s="349" t="str">
        <f>IFERROR(IF(OR(JG$3="",$B11=""),"",_xll.ciqfunctions.udf.CIQ($B11,"IQ_TOTAL_ASSETS",JG$3,$E$3, $J$3, , $G$3, $H$3)/_xll.ciqfunctions.udf.CIQ($B11,"IQ_TOTAL_COMMON_EQUITY",JG$3,$E$3, $J$3, , $G$3, $H$3)),0)</f>
        <v/>
      </c>
      <c r="JH11" s="349" t="str">
        <f>IFERROR(IF(OR(JH$3="",$B11=""),"",_xll.ciqfunctions.udf.CIQ($B11,"IQ_TOTAL_ASSETS",JH$3,$E$3, $J$3, , $G$3, $H$3)/_xll.ciqfunctions.udf.CIQ($B11,"IQ_TOTAL_COMMON_EQUITY",JH$3,$E$3, $J$3, , $G$3, $H$3)),0)</f>
        <v/>
      </c>
      <c r="JI11" s="349" t="str">
        <f>IFERROR(IF(OR(JI$3="",$B11=""),"",_xll.ciqfunctions.udf.CIQ($B11,"IQ_TOTAL_ASSETS",JI$3,$E$3, $J$3, , $G$3, $H$3)/_xll.ciqfunctions.udf.CIQ($B11,"IQ_TOTAL_COMMON_EQUITY",JI$3,$E$3, $J$3, , $G$3, $H$3)),0)</f>
        <v/>
      </c>
      <c r="JJ11" s="350" t="str">
        <f>IFERROR(IF(OR(JJ$3="",$B11=""),"",_xll.ciqfunctions.udf.CIQ($B11,"IQ_TOTAL_ASSETS",JJ$3,$E$3, $J$3, , $G$3, $H$3)/_xll.ciqfunctions.udf.CIQ($B11,"IQ_TOTAL_COMMON_EQUITY",JJ$3,$E$3, $J$3, , $G$3, $H$3)),0)</f>
        <v/>
      </c>
      <c r="JK11" s="86" t="str">
        <f>IFERROR(IF(OR($B11="",JK$3=""),"",_xll.ciqfunctions.udf.CIQ($B11, "IQ_NI", $I$3, HC$3,$J$3, ,$G$3,$H$3)*2/(_xll.ciqfunctions.udf.CIQ($B11,"IQ_TOTAL_EQUITY",JK$3,$E$3, $J$3, , $G$3, $H$3)+_xll.ciqfunctions.udf.CIQ($B11,"IQ_TOTAL_EQUITY","IQ_" &amp; LEFT(JK$3,2) &amp; "-1",JK$3, $J$3, , $G$3, $H$3))),"")</f>
        <v/>
      </c>
      <c r="JL11" s="87" t="str">
        <f>IFERROR(IF(OR($B11="",JL$3=""),"",_xll.ciqfunctions.udf.CIQ($B11, "IQ_NI", $I$3, HD$3,$J$3, ,$G$3,$H$3)*2/(_xll.ciqfunctions.udf.CIQ($B11,"IQ_TOTAL_EQUITY",JL$3,$E$3, $J$3, , $G$3, $H$3)+_xll.ciqfunctions.udf.CIQ($B11,"IQ_TOTAL_EQUITY","IQ_" &amp; LEFT(JL$3,2) &amp; "-1",JL$3, $J$3, , $G$3, $H$3))),"")</f>
        <v/>
      </c>
      <c r="JM11" s="87" t="str">
        <f>IFERROR(IF(OR($B11="",JM$3=""),"",_xll.ciqfunctions.udf.CIQ($B11, "IQ_NI", $I$3, HE$3,$J$3, ,$G$3,$H$3)*2/(_xll.ciqfunctions.udf.CIQ($B11,"IQ_TOTAL_EQUITY",JM$3,$E$3, $J$3, , $G$3, $H$3)+_xll.ciqfunctions.udf.CIQ($B11,"IQ_TOTAL_EQUITY","IQ_" &amp; LEFT(JM$3,2) &amp; "-1",JM$3, $J$3, , $G$3, $H$3))),"")</f>
        <v/>
      </c>
      <c r="JN11" s="87" t="str">
        <f>IFERROR(IF(OR($B11="",JN$3=""),"",_xll.ciqfunctions.udf.CIQ($B11, "IQ_NI", $I$3, HF$3,$J$3, ,$G$3,$H$3)*2/(_xll.ciqfunctions.udf.CIQ($B11,"IQ_TOTAL_EQUITY",JN$3,$E$3, $J$3, , $G$3, $H$3)+_xll.ciqfunctions.udf.CIQ($B11,"IQ_TOTAL_EQUITY","IQ_" &amp; LEFT(JN$3,2) &amp; "-1",JN$3, $J$3, , $G$3, $H$3))),"")</f>
        <v/>
      </c>
      <c r="JO11" s="87" t="str">
        <f>IFERROR(IF(OR($B11="",JO$3=""),"",_xll.ciqfunctions.udf.CIQ($B11, "IQ_NI", $I$3, HG$3,$J$3, ,$G$3,$H$3)*2/(_xll.ciqfunctions.udf.CIQ($B11,"IQ_TOTAL_EQUITY",JO$3,$E$3, $J$3, , $G$3, $H$3)+_xll.ciqfunctions.udf.CIQ($B11,"IQ_TOTAL_EQUITY","IQ_" &amp; LEFT(JO$3,2) &amp; "-1",JO$3, $J$3, , $G$3, $H$3))),"")</f>
        <v/>
      </c>
      <c r="JP11" s="87" t="str">
        <f>IFERROR(IF(OR($B11="",JP$3=""),"",_xll.ciqfunctions.udf.CIQ($B11, "IQ_NI", $I$3, HH$3,$J$3, ,$G$3,$H$3)*2/(_xll.ciqfunctions.udf.CIQ($B11,"IQ_TOTAL_EQUITY",JP$3,$E$3, $J$3, , $G$3, $H$3)+_xll.ciqfunctions.udf.CIQ($B11,"IQ_TOTAL_EQUITY","IQ_" &amp; LEFT(JP$3,2) &amp; "-1",JP$3, $J$3, , $G$3, $H$3))),"")</f>
        <v/>
      </c>
      <c r="JQ11" s="87" t="str">
        <f>IFERROR(IF(OR($B11="",JQ$3=""),"",_xll.ciqfunctions.udf.CIQ($B11, "IQ_NI", $I$3, HI$3,$J$3, ,$G$3,$H$3)*2/(_xll.ciqfunctions.udf.CIQ($B11,"IQ_TOTAL_EQUITY",JQ$3,$E$3, $J$3, , $G$3, $H$3)+_xll.ciqfunctions.udf.CIQ($B11,"IQ_TOTAL_EQUITY","IQ_" &amp; LEFT(JQ$3,2) &amp; "-1",JQ$3, $J$3, , $G$3, $H$3))),"")</f>
        <v/>
      </c>
      <c r="JR11" s="87" t="str">
        <f>IFERROR(IF(OR($B11="",JR$3=""),"",_xll.ciqfunctions.udf.CIQ($B11, "IQ_NI", $I$3, HJ$3,$J$3, ,$G$3,$H$3)*2/(_xll.ciqfunctions.udf.CIQ($B11,"IQ_TOTAL_EQUITY",JR$3,$E$3, $J$3, , $G$3, $H$3)+_xll.ciqfunctions.udf.CIQ($B11,"IQ_TOTAL_EQUITY","IQ_" &amp; LEFT(JR$3,2) &amp; "-1",JR$3, $J$3, , $G$3, $H$3))),"")</f>
        <v/>
      </c>
      <c r="JS11" s="87" t="str">
        <f>IFERROR(IF(OR($B11="",JS$3=""),"",_xll.ciqfunctions.udf.CIQ($B11, "IQ_NI", $I$3, HK$3,$J$3, ,$G$3,$H$3)*2/(_xll.ciqfunctions.udf.CIQ($B11,"IQ_TOTAL_EQUITY",JS$3,$E$3, $J$3, , $G$3, $H$3)+_xll.ciqfunctions.udf.CIQ($B11,"IQ_TOTAL_EQUITY","IQ_" &amp; LEFT(JS$3,2) &amp; "-1",JS$3, $J$3, , $G$3, $H$3))),"")</f>
        <v/>
      </c>
      <c r="JT11" s="87" t="str">
        <f>IFERROR(IF(OR($B11="",JT$3=""),"",_xll.ciqfunctions.udf.CIQ($B11, "IQ_NI", $I$3, HL$3,$J$3, ,$G$3,$H$3)*2/(_xll.ciqfunctions.udf.CIQ($B11,"IQ_TOTAL_EQUITY",JT$3,$E$3, $J$3, , $G$3, $H$3)+_xll.ciqfunctions.udf.CIQ($B11,"IQ_TOTAL_EQUITY","IQ_" &amp; LEFT(JT$3,2) &amp; "-1",JT$3, $J$3, , $G$3, $H$3))),"")</f>
        <v/>
      </c>
      <c r="JU11" s="87" t="str">
        <f>IFERROR(IF(OR($B11="",JU$3=""),"",_xll.ciqfunctions.udf.CIQ($B11, "IQ_NI", $I$3, HM$3,$J$3, ,$G$3,$H$3)*2/(_xll.ciqfunctions.udf.CIQ($B11,"IQ_TOTAL_EQUITY",JU$3,$E$3, $J$3, , $G$3, $H$3)+_xll.ciqfunctions.udf.CIQ($B11,"IQ_TOTAL_EQUITY","IQ_" &amp; LEFT(JU$3,2) &amp; "-1",JU$3, $J$3, , $G$3, $H$3))),"")</f>
        <v/>
      </c>
      <c r="JV11" s="87" t="str">
        <f>IFERROR(IF(OR($B11="",JV$3=""),"",_xll.ciqfunctions.udf.CIQ($B11, "IQ_NI", $I$3, HN$3,$J$3, ,$G$3,$H$3)*2/(_xll.ciqfunctions.udf.CIQ($B11,"IQ_TOTAL_EQUITY",JV$3,$E$3, $J$3, , $G$3, $H$3)+_xll.ciqfunctions.udf.CIQ($B11,"IQ_TOTAL_EQUITY","IQ_" &amp; LEFT(JV$3,2) &amp; "-1",JV$3, $J$3, , $G$3, $H$3))),"")</f>
        <v/>
      </c>
      <c r="JW11" s="87" t="str">
        <f>IFERROR(IF(OR($B11="",JW$3=""),"",_xll.ciqfunctions.udf.CIQ($B11, "IQ_NI", $I$3, HO$3,$J$3, ,$G$3,$H$3)*2/(_xll.ciqfunctions.udf.CIQ($B11,"IQ_TOTAL_EQUITY",JW$3,$E$3, $J$3, , $G$3, $H$3)+_xll.ciqfunctions.udf.CIQ($B11,"IQ_TOTAL_EQUITY","IQ_" &amp; LEFT(JW$3,2) &amp; "-1",JW$3, $J$3, , $G$3, $H$3))),"")</f>
        <v/>
      </c>
      <c r="JX11" s="87" t="str">
        <f>IFERROR(IF(OR($B11="",JX$3=""),"",_xll.ciqfunctions.udf.CIQ($B11, "IQ_NI", $I$3, HP$3,$J$3, ,$G$3,$H$3)*2/(_xll.ciqfunctions.udf.CIQ($B11,"IQ_TOTAL_EQUITY",JX$3,$E$3, $J$3, , $G$3, $H$3)+_xll.ciqfunctions.udf.CIQ($B11,"IQ_TOTAL_EQUITY","IQ_" &amp; LEFT(JX$3,2) &amp; "-1",JX$3, $J$3, , $G$3, $H$3))),"")</f>
        <v/>
      </c>
      <c r="JY11" s="87" t="str">
        <f>IFERROR(IF(OR($B11="",JY$3=""),"",_xll.ciqfunctions.udf.CIQ($B11, "IQ_NI", $I$3, HQ$3,$J$3, ,$G$3,$H$3)*2/(_xll.ciqfunctions.udf.CIQ($B11,"IQ_TOTAL_EQUITY",JY$3,$E$3, $J$3, , $G$3, $H$3)+_xll.ciqfunctions.udf.CIQ($B11,"IQ_TOTAL_EQUITY","IQ_" &amp; LEFT(JY$3,2) &amp; "-1",JY$3, $J$3, , $G$3, $H$3))),"")</f>
        <v/>
      </c>
      <c r="JZ11" s="87" t="str">
        <f>IFERROR(IF(OR($B11="",JZ$3=""),"",_xll.ciqfunctions.udf.CIQ($B11, "IQ_NI", $I$3, HR$3,$J$3, ,$G$3,$H$3)*2/(_xll.ciqfunctions.udf.CIQ($B11,"IQ_TOTAL_EQUITY",JZ$3,$E$3, $J$3, , $G$3, $H$3)+_xll.ciqfunctions.udf.CIQ($B11,"IQ_TOTAL_EQUITY","IQ_" &amp; LEFT(JZ$3,2) &amp; "-1",JZ$3, $J$3, , $G$3, $H$3))),"")</f>
        <v/>
      </c>
      <c r="KA11" s="87" t="str">
        <f>IFERROR(IF(OR($B11="",KA$3=""),"",_xll.ciqfunctions.udf.CIQ($B11, "IQ_NI", $I$3, HS$3,$J$3, ,$G$3,$H$3)*2/(_xll.ciqfunctions.udf.CIQ($B11,"IQ_TOTAL_EQUITY",KA$3,$E$3, $J$3, , $G$3, $H$3)+_xll.ciqfunctions.udf.CIQ($B11,"IQ_TOTAL_EQUITY","IQ_" &amp; LEFT(KA$3,2) &amp; "-1",KA$3, $J$3, , $G$3, $H$3))),"")</f>
        <v/>
      </c>
      <c r="KB11" s="87" t="str">
        <f>IFERROR(IF(OR($B11="",KB$3=""),"",_xll.ciqfunctions.udf.CIQ($B11, "IQ_NI", $I$3, HT$3,$J$3, ,$G$3,$H$3)*2/(_xll.ciqfunctions.udf.CIQ($B11,"IQ_TOTAL_EQUITY",KB$3,$E$3, $J$3, , $G$3, $H$3)+_xll.ciqfunctions.udf.CIQ($B11,"IQ_TOTAL_EQUITY","IQ_" &amp; LEFT(KB$3,2) &amp; "-1",KB$3, $J$3, , $G$3, $H$3))),"")</f>
        <v/>
      </c>
      <c r="KC11" s="87" t="str">
        <f>IFERROR(IF(OR($B11="",KC$3=""),"",_xll.ciqfunctions.udf.CIQ($B11, "IQ_NI", $I$3, HU$3,$J$3, ,$G$3,$H$3)*2/(_xll.ciqfunctions.udf.CIQ($B11,"IQ_TOTAL_EQUITY",KC$3,$E$3, $J$3, , $G$3, $H$3)+_xll.ciqfunctions.udf.CIQ($B11,"IQ_TOTAL_EQUITY","IQ_" &amp; LEFT(KC$3,2) &amp; "-1",KC$3, $J$3, , $G$3, $H$3))),"")</f>
        <v/>
      </c>
      <c r="KD11" s="88" t="str">
        <f>IFERROR(IF(OR($B11="",KD$3=""),"",_xll.ciqfunctions.udf.CIQ($B11, "IQ_NI", $I$3, HV$3,$J$3, ,$G$3,$H$3)*2/(_xll.ciqfunctions.udf.CIQ($B11,"IQ_TOTAL_EQUITY",KD$3,$E$3, $J$3, , $G$3, $H$3)+_xll.ciqfunctions.udf.CIQ($B11,"IQ_TOTAL_EQUITY","IQ_" &amp; LEFT(KD$3,2) &amp; "-1",KD$3, $J$3, , $G$3, $H$3))),"")</f>
        <v/>
      </c>
      <c r="KE11" s="86" t="str">
        <f>IFERROR(IF(OR($B11="",KE$3=""),"",_xll.ciqfunctions.udf.CIQ($B11, "IQ_NI", $I$3, KE$3,$J$3, ,$G$3,$H$3)*2/(_xll.ciqfunctions.udf.CIQ($B11, "IQ_TOTAL_ASSETS", $I$3, KE$3,$J$3, ,$G$3,$H$3)+_xll.ciqfunctions.udf.CIQ($B11, "IQ_TOTAL_ASSETS", $I$3 &amp; "-1", KE$3,$J$3, ,$G$3,$H$3)-_xll.ciqfunctions.udf.CIQ($B11, "IQ_TOTAL_CL", $I$3, KE$3,$J$3, ,$G$3,$H$3)-_xll.ciqfunctions.udf.CIQ($B11, "IQ_TOTAL_CL", $I$3 &amp; "-1", KE$3,$J$3, ,$G$3,$H$3))),"")</f>
        <v/>
      </c>
      <c r="KF11" s="87" t="str">
        <f>IFERROR(IF(OR($B11="",KF$3=""),"",_xll.ciqfunctions.udf.CIQ($B11, "IQ_NI", $I$3, KF$3,$J$3, ,$G$3,$H$3)*2/(_xll.ciqfunctions.udf.CIQ($B11, "IQ_TOTAL_ASSETS", $I$3, KF$3,$J$3, ,$G$3,$H$3)+_xll.ciqfunctions.udf.CIQ($B11, "IQ_TOTAL_ASSETS", $I$3 &amp; "-1", KF$3,$J$3, ,$G$3,$H$3)-_xll.ciqfunctions.udf.CIQ($B11, "IQ_TOTAL_CL", $I$3, KF$3,$J$3, ,$G$3,$H$3)-_xll.ciqfunctions.udf.CIQ($B11, "IQ_TOTAL_CL", $I$3 &amp; "-1", KF$3,$J$3, ,$G$3,$H$3))),"")</f>
        <v/>
      </c>
      <c r="KG11" s="87" t="str">
        <f>IFERROR(IF(OR($B11="",KG$3=""),"",_xll.ciqfunctions.udf.CIQ($B11, "IQ_NI", $I$3, KG$3,$J$3, ,$G$3,$H$3)*2/(_xll.ciqfunctions.udf.CIQ($B11, "IQ_TOTAL_ASSETS", $I$3, KG$3,$J$3, ,$G$3,$H$3)+_xll.ciqfunctions.udf.CIQ($B11, "IQ_TOTAL_ASSETS", $I$3 &amp; "-1", KG$3,$J$3, ,$G$3,$H$3)-_xll.ciqfunctions.udf.CIQ($B11, "IQ_TOTAL_CL", $I$3, KG$3,$J$3, ,$G$3,$H$3)-_xll.ciqfunctions.udf.CIQ($B11, "IQ_TOTAL_CL", $I$3 &amp; "-1", KG$3,$J$3, ,$G$3,$H$3))),"")</f>
        <v/>
      </c>
      <c r="KH11" s="87" t="str">
        <f>IFERROR(IF(OR($B11="",KH$3=""),"",_xll.ciqfunctions.udf.CIQ($B11, "IQ_NI", $I$3, KH$3,$J$3, ,$G$3,$H$3)*2/(_xll.ciqfunctions.udf.CIQ($B11, "IQ_TOTAL_ASSETS", $I$3, KH$3,$J$3, ,$G$3,$H$3)+_xll.ciqfunctions.udf.CIQ($B11, "IQ_TOTAL_ASSETS", $I$3 &amp; "-1", KH$3,$J$3, ,$G$3,$H$3)-_xll.ciqfunctions.udf.CIQ($B11, "IQ_TOTAL_CL", $I$3, KH$3,$J$3, ,$G$3,$H$3)-_xll.ciqfunctions.udf.CIQ($B11, "IQ_TOTAL_CL", $I$3 &amp; "-1", KH$3,$J$3, ,$G$3,$H$3))),"")</f>
        <v/>
      </c>
      <c r="KI11" s="87" t="str">
        <f>IFERROR(IF(OR($B11="",KI$3=""),"",_xll.ciqfunctions.udf.CIQ($B11, "IQ_NI", $I$3, KI$3,$J$3, ,$G$3,$H$3)*2/(_xll.ciqfunctions.udf.CIQ($B11, "IQ_TOTAL_ASSETS", $I$3, KI$3,$J$3, ,$G$3,$H$3)+_xll.ciqfunctions.udf.CIQ($B11, "IQ_TOTAL_ASSETS", $I$3 &amp; "-1", KI$3,$J$3, ,$G$3,$H$3)-_xll.ciqfunctions.udf.CIQ($B11, "IQ_TOTAL_CL", $I$3, KI$3,$J$3, ,$G$3,$H$3)-_xll.ciqfunctions.udf.CIQ($B11, "IQ_TOTAL_CL", $I$3 &amp; "-1", KI$3,$J$3, ,$G$3,$H$3))),"")</f>
        <v/>
      </c>
      <c r="KJ11" s="87" t="str">
        <f>IFERROR(IF(OR($B11="",KJ$3=""),"",_xll.ciqfunctions.udf.CIQ($B11, "IQ_NI", $I$3, KJ$3,$J$3, ,$G$3,$H$3)*2/(_xll.ciqfunctions.udf.CIQ($B11, "IQ_TOTAL_ASSETS", $I$3, KJ$3,$J$3, ,$G$3,$H$3)+_xll.ciqfunctions.udf.CIQ($B11, "IQ_TOTAL_ASSETS", $I$3 &amp; "-1", KJ$3,$J$3, ,$G$3,$H$3)-_xll.ciqfunctions.udf.CIQ($B11, "IQ_TOTAL_CL", $I$3, KJ$3,$J$3, ,$G$3,$H$3)-_xll.ciqfunctions.udf.CIQ($B11, "IQ_TOTAL_CL", $I$3 &amp; "-1", KJ$3,$J$3, ,$G$3,$H$3))),"")</f>
        <v/>
      </c>
      <c r="KK11" s="87" t="str">
        <f>IFERROR(IF(OR($B11="",KK$3=""),"",_xll.ciqfunctions.udf.CIQ($B11, "IQ_NI", $I$3, KK$3,$J$3, ,$G$3,$H$3)*2/(_xll.ciqfunctions.udf.CIQ($B11, "IQ_TOTAL_ASSETS", $I$3, KK$3,$J$3, ,$G$3,$H$3)+_xll.ciqfunctions.udf.CIQ($B11, "IQ_TOTAL_ASSETS", $I$3 &amp; "-1", KK$3,$J$3, ,$G$3,$H$3)-_xll.ciqfunctions.udf.CIQ($B11, "IQ_TOTAL_CL", $I$3, KK$3,$J$3, ,$G$3,$H$3)-_xll.ciqfunctions.udf.CIQ($B11, "IQ_TOTAL_CL", $I$3 &amp; "-1", KK$3,$J$3, ,$G$3,$H$3))),"")</f>
        <v/>
      </c>
      <c r="KL11" s="87" t="str">
        <f>IFERROR(IF(OR($B11="",KL$3=""),"",_xll.ciqfunctions.udf.CIQ($B11, "IQ_NI", $I$3, KL$3,$J$3, ,$G$3,$H$3)*2/(_xll.ciqfunctions.udf.CIQ($B11, "IQ_TOTAL_ASSETS", $I$3, KL$3,$J$3, ,$G$3,$H$3)+_xll.ciqfunctions.udf.CIQ($B11, "IQ_TOTAL_ASSETS", $I$3 &amp; "-1", KL$3,$J$3, ,$G$3,$H$3)-_xll.ciqfunctions.udf.CIQ($B11, "IQ_TOTAL_CL", $I$3, KL$3,$J$3, ,$G$3,$H$3)-_xll.ciqfunctions.udf.CIQ($B11, "IQ_TOTAL_CL", $I$3 &amp; "-1", KL$3,$J$3, ,$G$3,$H$3))),"")</f>
        <v/>
      </c>
      <c r="KM11" s="87" t="str">
        <f>IFERROR(IF(OR($B11="",KM$3=""),"",_xll.ciqfunctions.udf.CIQ($B11, "IQ_NI", $I$3, KM$3,$J$3, ,$G$3,$H$3)*2/(_xll.ciqfunctions.udf.CIQ($B11, "IQ_TOTAL_ASSETS", $I$3, KM$3,$J$3, ,$G$3,$H$3)+_xll.ciqfunctions.udf.CIQ($B11, "IQ_TOTAL_ASSETS", $I$3 &amp; "-1", KM$3,$J$3, ,$G$3,$H$3)-_xll.ciqfunctions.udf.CIQ($B11, "IQ_TOTAL_CL", $I$3, KM$3,$J$3, ,$G$3,$H$3)-_xll.ciqfunctions.udf.CIQ($B11, "IQ_TOTAL_CL", $I$3 &amp; "-1", KM$3,$J$3, ,$G$3,$H$3))),"")</f>
        <v/>
      </c>
      <c r="KN11" s="87" t="str">
        <f>IFERROR(IF(OR($B11="",KN$3=""),"",_xll.ciqfunctions.udf.CIQ($B11, "IQ_NI", $I$3, KN$3,$J$3, ,$G$3,$H$3)*2/(_xll.ciqfunctions.udf.CIQ($B11, "IQ_TOTAL_ASSETS", $I$3, KN$3,$J$3, ,$G$3,$H$3)+_xll.ciqfunctions.udf.CIQ($B11, "IQ_TOTAL_ASSETS", $I$3 &amp; "-1", KN$3,$J$3, ,$G$3,$H$3)-_xll.ciqfunctions.udf.CIQ($B11, "IQ_TOTAL_CL", $I$3, KN$3,$J$3, ,$G$3,$H$3)-_xll.ciqfunctions.udf.CIQ($B11, "IQ_TOTAL_CL", $I$3 &amp; "-1", KN$3,$J$3, ,$G$3,$H$3))),"")</f>
        <v/>
      </c>
      <c r="KO11" s="87" t="str">
        <f>IFERROR(IF(OR($B11="",KO$3=""),"",_xll.ciqfunctions.udf.CIQ($B11, "IQ_NI", $I$3, KO$3,$J$3, ,$G$3,$H$3)*2/(_xll.ciqfunctions.udf.CIQ($B11, "IQ_TOTAL_ASSETS", $I$3, KO$3,$J$3, ,$G$3,$H$3)+_xll.ciqfunctions.udf.CIQ($B11, "IQ_TOTAL_ASSETS", $I$3 &amp; "-1", KO$3,$J$3, ,$G$3,$H$3)-_xll.ciqfunctions.udf.CIQ($B11, "IQ_TOTAL_CL", $I$3, KO$3,$J$3, ,$G$3,$H$3)-_xll.ciqfunctions.udf.CIQ($B11, "IQ_TOTAL_CL", $I$3 &amp; "-1", KO$3,$J$3, ,$G$3,$H$3))),"")</f>
        <v/>
      </c>
      <c r="KP11" s="87" t="str">
        <f>IFERROR(IF(OR($B11="",KP$3=""),"",_xll.ciqfunctions.udf.CIQ($B11, "IQ_NI", $I$3, KP$3,$J$3, ,$G$3,$H$3)*2/(_xll.ciqfunctions.udf.CIQ($B11, "IQ_TOTAL_ASSETS", $I$3, KP$3,$J$3, ,$G$3,$H$3)+_xll.ciqfunctions.udf.CIQ($B11, "IQ_TOTAL_ASSETS", $I$3 &amp; "-1", KP$3,$J$3, ,$G$3,$H$3)-_xll.ciqfunctions.udf.CIQ($B11, "IQ_TOTAL_CL", $I$3, KP$3,$J$3, ,$G$3,$H$3)-_xll.ciqfunctions.udf.CIQ($B11, "IQ_TOTAL_CL", $I$3 &amp; "-1", KP$3,$J$3, ,$G$3,$H$3))),"")</f>
        <v/>
      </c>
      <c r="KQ11" s="87" t="str">
        <f>IFERROR(IF(OR($B11="",KQ$3=""),"",_xll.ciqfunctions.udf.CIQ($B11, "IQ_NI", $I$3, KQ$3,$J$3, ,$G$3,$H$3)*2/(_xll.ciqfunctions.udf.CIQ($B11, "IQ_TOTAL_ASSETS", $I$3, KQ$3,$J$3, ,$G$3,$H$3)+_xll.ciqfunctions.udf.CIQ($B11, "IQ_TOTAL_ASSETS", $I$3 &amp; "-1", KQ$3,$J$3, ,$G$3,$H$3)-_xll.ciqfunctions.udf.CIQ($B11, "IQ_TOTAL_CL", $I$3, KQ$3,$J$3, ,$G$3,$H$3)-_xll.ciqfunctions.udf.CIQ($B11, "IQ_TOTAL_CL", $I$3 &amp; "-1", KQ$3,$J$3, ,$G$3,$H$3))),"")</f>
        <v/>
      </c>
      <c r="KR11" s="87" t="str">
        <f>IFERROR(IF(OR($B11="",KR$3=""),"",_xll.ciqfunctions.udf.CIQ($B11, "IQ_NI", $I$3, KR$3,$J$3, ,$G$3,$H$3)*2/(_xll.ciqfunctions.udf.CIQ($B11, "IQ_TOTAL_ASSETS", $I$3, KR$3,$J$3, ,$G$3,$H$3)+_xll.ciqfunctions.udf.CIQ($B11, "IQ_TOTAL_ASSETS", $I$3 &amp; "-1", KR$3,$J$3, ,$G$3,$H$3)-_xll.ciqfunctions.udf.CIQ($B11, "IQ_TOTAL_CL", $I$3, KR$3,$J$3, ,$G$3,$H$3)-_xll.ciqfunctions.udf.CIQ($B11, "IQ_TOTAL_CL", $I$3 &amp; "-1", KR$3,$J$3, ,$G$3,$H$3))),"")</f>
        <v/>
      </c>
      <c r="KS11" s="87" t="str">
        <f>IFERROR(IF(OR($B11="",KS$3=""),"",_xll.ciqfunctions.udf.CIQ($B11, "IQ_NI", $I$3, KS$3,$J$3, ,$G$3,$H$3)*2/(_xll.ciqfunctions.udf.CIQ($B11, "IQ_TOTAL_ASSETS", $I$3, KS$3,$J$3, ,$G$3,$H$3)+_xll.ciqfunctions.udf.CIQ($B11, "IQ_TOTAL_ASSETS", $I$3 &amp; "-1", KS$3,$J$3, ,$G$3,$H$3)-_xll.ciqfunctions.udf.CIQ($B11, "IQ_TOTAL_CL", $I$3, KS$3,$J$3, ,$G$3,$H$3)-_xll.ciqfunctions.udf.CIQ($B11, "IQ_TOTAL_CL", $I$3 &amp; "-1", KS$3,$J$3, ,$G$3,$H$3))),"")</f>
        <v/>
      </c>
      <c r="KT11" s="87" t="str">
        <f>IFERROR(IF(OR($B11="",KT$3=""),"",_xll.ciqfunctions.udf.CIQ($B11, "IQ_NI", $I$3, KT$3,$J$3, ,$G$3,$H$3)*2/(_xll.ciqfunctions.udf.CIQ($B11, "IQ_TOTAL_ASSETS", $I$3, KT$3,$J$3, ,$G$3,$H$3)+_xll.ciqfunctions.udf.CIQ($B11, "IQ_TOTAL_ASSETS", $I$3 &amp; "-1", KT$3,$J$3, ,$G$3,$H$3)-_xll.ciqfunctions.udf.CIQ($B11, "IQ_TOTAL_CL", $I$3, KT$3,$J$3, ,$G$3,$H$3)-_xll.ciqfunctions.udf.CIQ($B11, "IQ_TOTAL_CL", $I$3 &amp; "-1", KT$3,$J$3, ,$G$3,$H$3))),"")</f>
        <v/>
      </c>
      <c r="KU11" s="87" t="str">
        <f>IFERROR(IF(OR($B11="",KU$3=""),"",_xll.ciqfunctions.udf.CIQ($B11, "IQ_NI", $I$3, KU$3,$J$3, ,$G$3,$H$3)*2/(_xll.ciqfunctions.udf.CIQ($B11, "IQ_TOTAL_ASSETS", $I$3, KU$3,$J$3, ,$G$3,$H$3)+_xll.ciqfunctions.udf.CIQ($B11, "IQ_TOTAL_ASSETS", $I$3 &amp; "-1", KU$3,$J$3, ,$G$3,$H$3)-_xll.ciqfunctions.udf.CIQ($B11, "IQ_TOTAL_CL", $I$3, KU$3,$J$3, ,$G$3,$H$3)-_xll.ciqfunctions.udf.CIQ($B11, "IQ_TOTAL_CL", $I$3 &amp; "-1", KU$3,$J$3, ,$G$3,$H$3))),"")</f>
        <v/>
      </c>
      <c r="KV11" s="87" t="str">
        <f>IFERROR(IF(OR($B11="",KV$3=""),"",_xll.ciqfunctions.udf.CIQ($B11, "IQ_NI", $I$3, KV$3,$J$3, ,$G$3,$H$3)*2/(_xll.ciqfunctions.udf.CIQ($B11, "IQ_TOTAL_ASSETS", $I$3, KV$3,$J$3, ,$G$3,$H$3)+_xll.ciqfunctions.udf.CIQ($B11, "IQ_TOTAL_ASSETS", $I$3 &amp; "-1", KV$3,$J$3, ,$G$3,$H$3)-_xll.ciqfunctions.udf.CIQ($B11, "IQ_TOTAL_CL", $I$3, KV$3,$J$3, ,$G$3,$H$3)-_xll.ciqfunctions.udf.CIQ($B11, "IQ_TOTAL_CL", $I$3 &amp; "-1", KV$3,$J$3, ,$G$3,$H$3))),"")</f>
        <v/>
      </c>
      <c r="KW11" s="87" t="str">
        <f>IFERROR(IF(OR($B11="",KW$3=""),"",_xll.ciqfunctions.udf.CIQ($B11, "IQ_NI", $I$3, KW$3,$J$3, ,$G$3,$H$3)*2/(_xll.ciqfunctions.udf.CIQ($B11, "IQ_TOTAL_ASSETS", $I$3, KW$3,$J$3, ,$G$3,$H$3)+_xll.ciqfunctions.udf.CIQ($B11, "IQ_TOTAL_ASSETS", $I$3 &amp; "-1", KW$3,$J$3, ,$G$3,$H$3)-_xll.ciqfunctions.udf.CIQ($B11, "IQ_TOTAL_CL", $I$3, KW$3,$J$3, ,$G$3,$H$3)-_xll.ciqfunctions.udf.CIQ($B11, "IQ_TOTAL_CL", $I$3 &amp; "-1", KW$3,$J$3, ,$G$3,$H$3))),"")</f>
        <v/>
      </c>
      <c r="KX11" s="88" t="str">
        <f>IFERROR(IF(OR($B11="",KX$3=""),"",_xll.ciqfunctions.udf.CIQ($B11, "IQ_NI", $I$3, KX$3,$J$3, ,$G$3,$H$3)*2/(_xll.ciqfunctions.udf.CIQ($B11, "IQ_TOTAL_ASSETS", $I$3, KX$3,$J$3, ,$G$3,$H$3)+_xll.ciqfunctions.udf.CIQ($B11, "IQ_TOTAL_ASSETS", $I$3 &amp; "-1", KX$3,$J$3, ,$G$3,$H$3)-_xll.ciqfunctions.udf.CIQ($B11, "IQ_TOTAL_CL", $I$3, KX$3,$J$3, ,$G$3,$H$3)-_xll.ciqfunctions.udf.CIQ($B11, "IQ_TOTAL_CL", $I$3 &amp; "-1", KX$3,$J$3, ,$G$3,$H$3))),"")</f>
        <v/>
      </c>
      <c r="KY11" s="86" t="str">
        <f>IFERROR(IF(OR($B11="",KY$3=""),"",_xll.ciqfunctions.udf.CIQ($B11,"IQ_CASH_OPER",$I$3, KY$3,$J$3, ,$G$3,$H$3)*2/(_xll.ciqfunctions.udf.CIQ($B11,"IQ_TOTAL_CL",KY$3,$E$3, $J$3, , $G$3, $H$3)+_xll.ciqfunctions.udf.CIQ($B11,"IQ_TOTAL_CL","IQ_" &amp; LEFT(KY$3,2) &amp; "-1",KY$3, $J$3, , $G$3, $H$3))),"")</f>
        <v/>
      </c>
      <c r="KZ11" s="87" t="str">
        <f>IFERROR(IF(OR($B11="",KZ$3=""),"",_xll.ciqfunctions.udf.CIQ($B11,"IQ_CASH_OPER",$I$3, KZ$3,$J$3, ,$G$3,$H$3)*2/(_xll.ciqfunctions.udf.CIQ($B11,"IQ_TOTAL_CL",KZ$3,$E$3, $J$3, , $G$3, $H$3)+_xll.ciqfunctions.udf.CIQ($B11,"IQ_TOTAL_CL","IQ_" &amp; LEFT(KZ$3,2) &amp; "-1",KZ$3, $J$3, , $G$3, $H$3))),"")</f>
        <v/>
      </c>
      <c r="LA11" s="87" t="str">
        <f>IFERROR(IF(OR($B11="",LA$3=""),"",_xll.ciqfunctions.udf.CIQ($B11,"IQ_CASH_OPER",$I$3, LA$3,$J$3, ,$G$3,$H$3)*2/(_xll.ciqfunctions.udf.CIQ($B11,"IQ_TOTAL_CL",LA$3,$E$3, $J$3, , $G$3, $H$3)+_xll.ciqfunctions.udf.CIQ($B11,"IQ_TOTAL_CL","IQ_" &amp; LEFT(LA$3,2) &amp; "-1",LA$3, $J$3, , $G$3, $H$3))),"")</f>
        <v/>
      </c>
      <c r="LB11" s="87" t="str">
        <f>IFERROR(IF(OR($B11="",LB$3=""),"",_xll.ciqfunctions.udf.CIQ($B11,"IQ_CASH_OPER",$I$3, LB$3,$J$3, ,$G$3,$H$3)*2/(_xll.ciqfunctions.udf.CIQ($B11,"IQ_TOTAL_CL",LB$3,$E$3, $J$3, , $G$3, $H$3)+_xll.ciqfunctions.udf.CIQ($B11,"IQ_TOTAL_CL","IQ_" &amp; LEFT(LB$3,2) &amp; "-1",LB$3, $J$3, , $G$3, $H$3))),"")</f>
        <v/>
      </c>
      <c r="LC11" s="87" t="str">
        <f>IFERROR(IF(OR($B11="",LC$3=""),"",_xll.ciqfunctions.udf.CIQ($B11,"IQ_CASH_OPER",$I$3, LC$3,$J$3, ,$G$3,$H$3)*2/(_xll.ciqfunctions.udf.CIQ($B11,"IQ_TOTAL_CL",LC$3,$E$3, $J$3, , $G$3, $H$3)+_xll.ciqfunctions.udf.CIQ($B11,"IQ_TOTAL_CL","IQ_" &amp; LEFT(LC$3,2) &amp; "-1",LC$3, $J$3, , $G$3, $H$3))),"")</f>
        <v/>
      </c>
      <c r="LD11" s="87" t="str">
        <f>IFERROR(IF(OR($B11="",LD$3=""),"",_xll.ciqfunctions.udf.CIQ($B11,"IQ_CASH_OPER",$I$3, LD$3,$J$3, ,$G$3,$H$3)*2/(_xll.ciqfunctions.udf.CIQ($B11,"IQ_TOTAL_CL",LD$3,$E$3, $J$3, , $G$3, $H$3)+_xll.ciqfunctions.udf.CIQ($B11,"IQ_TOTAL_CL","IQ_" &amp; LEFT(LD$3,2) &amp; "-1",LD$3, $J$3, , $G$3, $H$3))),"")</f>
        <v/>
      </c>
      <c r="LE11" s="87" t="str">
        <f>IFERROR(IF(OR($B11="",LE$3=""),"",_xll.ciqfunctions.udf.CIQ($B11,"IQ_CASH_OPER",$I$3, LE$3,$J$3, ,$G$3,$H$3)*2/(_xll.ciqfunctions.udf.CIQ($B11,"IQ_TOTAL_CL",LE$3,$E$3, $J$3, , $G$3, $H$3)+_xll.ciqfunctions.udf.CIQ($B11,"IQ_TOTAL_CL","IQ_" &amp; LEFT(LE$3,2) &amp; "-1",LE$3, $J$3, , $G$3, $H$3))),"")</f>
        <v/>
      </c>
      <c r="LF11" s="87" t="str">
        <f>IFERROR(IF(OR($B11="",LF$3=""),"",_xll.ciqfunctions.udf.CIQ($B11,"IQ_CASH_OPER",$I$3, LF$3,$J$3, ,$G$3,$H$3)*2/(_xll.ciqfunctions.udf.CIQ($B11,"IQ_TOTAL_CL",LF$3,$E$3, $J$3, , $G$3, $H$3)+_xll.ciqfunctions.udf.CIQ($B11,"IQ_TOTAL_CL","IQ_" &amp; LEFT(LF$3,2) &amp; "-1",LF$3, $J$3, , $G$3, $H$3))),"")</f>
        <v/>
      </c>
      <c r="LG11" s="87" t="str">
        <f>IFERROR(IF(OR($B11="",LG$3=""),"",_xll.ciqfunctions.udf.CIQ($B11,"IQ_CASH_OPER",$I$3, LG$3,$J$3, ,$G$3,$H$3)*2/(_xll.ciqfunctions.udf.CIQ($B11,"IQ_TOTAL_CL",LG$3,$E$3, $J$3, , $G$3, $H$3)+_xll.ciqfunctions.udf.CIQ($B11,"IQ_TOTAL_CL","IQ_" &amp; LEFT(LG$3,2) &amp; "-1",LG$3, $J$3, , $G$3, $H$3))),"")</f>
        <v/>
      </c>
      <c r="LH11" s="87" t="str">
        <f>IFERROR(IF(OR($B11="",LH$3=""),"",_xll.ciqfunctions.udf.CIQ($B11,"IQ_CASH_OPER",$I$3, LH$3,$J$3, ,$G$3,$H$3)*2/(_xll.ciqfunctions.udf.CIQ($B11,"IQ_TOTAL_CL",LH$3,$E$3, $J$3, , $G$3, $H$3)+_xll.ciqfunctions.udf.CIQ($B11,"IQ_TOTAL_CL","IQ_" &amp; LEFT(LH$3,2) &amp; "-1",LH$3, $J$3, , $G$3, $H$3))),"")</f>
        <v/>
      </c>
      <c r="LI11" s="87" t="str">
        <f>IFERROR(IF(OR($B11="",LI$3=""),"",_xll.ciqfunctions.udf.CIQ($B11,"IQ_CASH_OPER",$I$3, LI$3,$J$3, ,$G$3,$H$3)*2/(_xll.ciqfunctions.udf.CIQ($B11,"IQ_TOTAL_CL",LI$3,$E$3, $J$3, , $G$3, $H$3)+_xll.ciqfunctions.udf.CIQ($B11,"IQ_TOTAL_CL","IQ_" &amp; LEFT(LI$3,2) &amp; "-1",LI$3, $J$3, , $G$3, $H$3))),"")</f>
        <v/>
      </c>
      <c r="LJ11" s="87" t="str">
        <f>IFERROR(IF(OR($B11="",LJ$3=""),"",_xll.ciqfunctions.udf.CIQ($B11,"IQ_CASH_OPER",$I$3, LJ$3,$J$3, ,$G$3,$H$3)*2/(_xll.ciqfunctions.udf.CIQ($B11,"IQ_TOTAL_CL",LJ$3,$E$3, $J$3, , $G$3, $H$3)+_xll.ciqfunctions.udf.CIQ($B11,"IQ_TOTAL_CL","IQ_" &amp; LEFT(LJ$3,2) &amp; "-1",LJ$3, $J$3, , $G$3, $H$3))),"")</f>
        <v/>
      </c>
      <c r="LK11" s="87" t="str">
        <f>IFERROR(IF(OR($B11="",LK$3=""),"",_xll.ciqfunctions.udf.CIQ($B11,"IQ_CASH_OPER",$I$3, LK$3,$J$3, ,$G$3,$H$3)*2/(_xll.ciqfunctions.udf.CIQ($B11,"IQ_TOTAL_CL",LK$3,$E$3, $J$3, , $G$3, $H$3)+_xll.ciqfunctions.udf.CIQ($B11,"IQ_TOTAL_CL","IQ_" &amp; LEFT(LK$3,2) &amp; "-1",LK$3, $J$3, , $G$3, $H$3))),"")</f>
        <v/>
      </c>
      <c r="LL11" s="87" t="str">
        <f>IFERROR(IF(OR($B11="",LL$3=""),"",_xll.ciqfunctions.udf.CIQ($B11,"IQ_CASH_OPER",$I$3, LL$3,$J$3, ,$G$3,$H$3)*2/(_xll.ciqfunctions.udf.CIQ($B11,"IQ_TOTAL_CL",LL$3,$E$3, $J$3, , $G$3, $H$3)+_xll.ciqfunctions.udf.CIQ($B11,"IQ_TOTAL_CL","IQ_" &amp; LEFT(LL$3,2) &amp; "-1",LL$3, $J$3, , $G$3, $H$3))),"")</f>
        <v/>
      </c>
      <c r="LM11" s="87" t="str">
        <f>IFERROR(IF(OR($B11="",LM$3=""),"",_xll.ciqfunctions.udf.CIQ($B11,"IQ_CASH_OPER",$I$3, LM$3,$J$3, ,$G$3,$H$3)*2/(_xll.ciqfunctions.udf.CIQ($B11,"IQ_TOTAL_CL",LM$3,$E$3, $J$3, , $G$3, $H$3)+_xll.ciqfunctions.udf.CIQ($B11,"IQ_TOTAL_CL","IQ_" &amp; LEFT(LM$3,2) &amp; "-1",LM$3, $J$3, , $G$3, $H$3))),"")</f>
        <v/>
      </c>
      <c r="LN11" s="87" t="str">
        <f>IFERROR(IF(OR($B11="",LN$3=""),"",_xll.ciqfunctions.udf.CIQ($B11,"IQ_CASH_OPER",$I$3, LN$3,$J$3, ,$G$3,$H$3)*2/(_xll.ciqfunctions.udf.CIQ($B11,"IQ_TOTAL_CL",LN$3,$E$3, $J$3, , $G$3, $H$3)+_xll.ciqfunctions.udf.CIQ($B11,"IQ_TOTAL_CL","IQ_" &amp; LEFT(LN$3,2) &amp; "-1",LN$3, $J$3, , $G$3, $H$3))),"")</f>
        <v/>
      </c>
      <c r="LO11" s="87" t="str">
        <f>IFERROR(IF(OR($B11="",LO$3=""),"",_xll.ciqfunctions.udf.CIQ($B11,"IQ_CASH_OPER",$I$3, LO$3,$J$3, ,$G$3,$H$3)*2/(_xll.ciqfunctions.udf.CIQ($B11,"IQ_TOTAL_CL",LO$3,$E$3, $J$3, , $G$3, $H$3)+_xll.ciqfunctions.udf.CIQ($B11,"IQ_TOTAL_CL","IQ_" &amp; LEFT(LO$3,2) &amp; "-1",LO$3, $J$3, , $G$3, $H$3))),"")</f>
        <v/>
      </c>
      <c r="LP11" s="87" t="str">
        <f>IFERROR(IF(OR($B11="",LP$3=""),"",_xll.ciqfunctions.udf.CIQ($B11,"IQ_CASH_OPER",$I$3, LP$3,$J$3, ,$G$3,$H$3)*2/(_xll.ciqfunctions.udf.CIQ($B11,"IQ_TOTAL_CL",LP$3,$E$3, $J$3, , $G$3, $H$3)+_xll.ciqfunctions.udf.CIQ($B11,"IQ_TOTAL_CL","IQ_" &amp; LEFT(LP$3,2) &amp; "-1",LP$3, $J$3, , $G$3, $H$3))),"")</f>
        <v/>
      </c>
      <c r="LQ11" s="87" t="str">
        <f>IFERROR(IF(OR($B11="",LQ$3=""),"",_xll.ciqfunctions.udf.CIQ($B11,"IQ_CASH_OPER",$I$3, LQ$3,$J$3, ,$G$3,$H$3)*2/(_xll.ciqfunctions.udf.CIQ($B11,"IQ_TOTAL_CL",LQ$3,$E$3, $J$3, , $G$3, $H$3)+_xll.ciqfunctions.udf.CIQ($B11,"IQ_TOTAL_CL","IQ_" &amp; LEFT(LQ$3,2) &amp; "-1",LQ$3, $J$3, , $G$3, $H$3))),"")</f>
        <v/>
      </c>
      <c r="LR11" s="88" t="str">
        <f>IFERROR(IF(OR($B11="",LR$3=""),"",_xll.ciqfunctions.udf.CIQ($B11,"IQ_CASH_OPER",$I$3, LR$3,$J$3, ,$G$3,$H$3)*2/(_xll.ciqfunctions.udf.CIQ($B11,"IQ_TOTAL_CL",LR$3,$E$3, $J$3, , $G$3, $H$3)+_xll.ciqfunctions.udf.CIQ($B11,"IQ_TOTAL_CL","IQ_" &amp; LEFT(LR$3,2) &amp; "-1",LR$3, $J$3, , $G$3, $H$3))),"")</f>
        <v/>
      </c>
      <c r="LS11" s="86" t="str">
        <f>IFERROR(IF(OR($B11="",LS$3=""),"",IF(_xll.ciqfunctions.udf.CIQ($B11,"IQ_INC_TAX",LS$3,$E$3, $J$3, , $G$3, $H$3)/ABS(_xll.ciqfunctions.udf.CIQ($B11,"IQ_EBT",IQ_LTM,$E$3, $J$3, , $G$3, $H$3))&lt;0,0,_xll.ciqfunctions.udf.CIQ($B11,"IQ_INC_TAX",LS$3,$E$3, $J$3, , $G$3, $H$3)/ABS(_xll.ciqfunctions.udf.CIQ($B11,"IQ_EBT",LS$3,$E$3, $J$3, , $G$3, $H$3)))),"")</f>
        <v/>
      </c>
      <c r="LT11" s="87" t="str">
        <f>IFERROR(IF(OR($B11="",LT$3=""),"",IF(_xll.ciqfunctions.udf.CIQ($B11,"IQ_INC_TAX",LT$3,$E$3, $J$3, , $G$3, $H$3)/ABS(_xll.ciqfunctions.udf.CIQ($B11,"IQ_EBT",IQ_LTM,$E$3, $J$3, , $G$3, $H$3))&lt;0,0,_xll.ciqfunctions.udf.CIQ($B11,"IQ_INC_TAX",LT$3,$E$3, $J$3, , $G$3, $H$3)/ABS(_xll.ciqfunctions.udf.CIQ($B11,"IQ_EBT",LT$3,$E$3, $J$3, , $G$3, $H$3)))),"")</f>
        <v/>
      </c>
      <c r="LU11" s="87" t="str">
        <f>IFERROR(IF(OR($B11="",LU$3=""),"",IF(_xll.ciqfunctions.udf.CIQ($B11,"IQ_INC_TAX",LU$3,$E$3, $J$3, , $G$3, $H$3)/ABS(_xll.ciqfunctions.udf.CIQ($B11,"IQ_EBT",IQ_LTM,$E$3, $J$3, , $G$3, $H$3))&lt;0,0,_xll.ciqfunctions.udf.CIQ($B11,"IQ_INC_TAX",LU$3,$E$3, $J$3, , $G$3, $H$3)/ABS(_xll.ciqfunctions.udf.CIQ($B11,"IQ_EBT",LU$3,$E$3, $J$3, , $G$3, $H$3)))),"")</f>
        <v/>
      </c>
      <c r="LV11" s="87" t="str">
        <f>IFERROR(IF(OR($B11="",LV$3=""),"",IF(_xll.ciqfunctions.udf.CIQ($B11,"IQ_INC_TAX",LV$3,$E$3, $J$3, , $G$3, $H$3)/ABS(_xll.ciqfunctions.udf.CIQ($B11,"IQ_EBT",IQ_LTM,$E$3, $J$3, , $G$3, $H$3))&lt;0,0,_xll.ciqfunctions.udf.CIQ($B11,"IQ_INC_TAX",LV$3,$E$3, $J$3, , $G$3, $H$3)/ABS(_xll.ciqfunctions.udf.CIQ($B11,"IQ_EBT",LV$3,$E$3, $J$3, , $G$3, $H$3)))),"")</f>
        <v/>
      </c>
      <c r="LW11" s="87" t="str">
        <f>IFERROR(IF(OR($B11="",LW$3=""),"",IF(_xll.ciqfunctions.udf.CIQ($B11,"IQ_INC_TAX",LW$3,$E$3, $J$3, , $G$3, $H$3)/ABS(_xll.ciqfunctions.udf.CIQ($B11,"IQ_EBT",IQ_LTM,$E$3, $J$3, , $G$3, $H$3))&lt;0,0,_xll.ciqfunctions.udf.CIQ($B11,"IQ_INC_TAX",LW$3,$E$3, $J$3, , $G$3, $H$3)/ABS(_xll.ciqfunctions.udf.CIQ($B11,"IQ_EBT",LW$3,$E$3, $J$3, , $G$3, $H$3)))),"")</f>
        <v/>
      </c>
      <c r="LX11" s="87" t="str">
        <f>IFERROR(IF(OR($B11="",LX$3=""),"",IF(_xll.ciqfunctions.udf.CIQ($B11,"IQ_INC_TAX",LX$3,$E$3, $J$3, , $G$3, $H$3)/ABS(_xll.ciqfunctions.udf.CIQ($B11,"IQ_EBT",IQ_LTM,$E$3, $J$3, , $G$3, $H$3))&lt;0,0,_xll.ciqfunctions.udf.CIQ($B11,"IQ_INC_TAX",LX$3,$E$3, $J$3, , $G$3, $H$3)/ABS(_xll.ciqfunctions.udf.CIQ($B11,"IQ_EBT",LX$3,$E$3, $J$3, , $G$3, $H$3)))),"")</f>
        <v/>
      </c>
      <c r="LY11" s="87" t="str">
        <f>IFERROR(IF(OR($B11="",LY$3=""),"",IF(_xll.ciqfunctions.udf.CIQ($B11,"IQ_INC_TAX",LY$3,$E$3, $J$3, , $G$3, $H$3)/ABS(_xll.ciqfunctions.udf.CIQ($B11,"IQ_EBT",IQ_LTM,$E$3, $J$3, , $G$3, $H$3))&lt;0,0,_xll.ciqfunctions.udf.CIQ($B11,"IQ_INC_TAX",LY$3,$E$3, $J$3, , $G$3, $H$3)/ABS(_xll.ciqfunctions.udf.CIQ($B11,"IQ_EBT",LY$3,$E$3, $J$3, , $G$3, $H$3)))),"")</f>
        <v/>
      </c>
      <c r="LZ11" s="87" t="str">
        <f>IFERROR(IF(OR($B11="",LZ$3=""),"",IF(_xll.ciqfunctions.udf.CIQ($B11,"IQ_INC_TAX",LZ$3,$E$3, $J$3, , $G$3, $H$3)/ABS(_xll.ciqfunctions.udf.CIQ($B11,"IQ_EBT",IQ_LTM,$E$3, $J$3, , $G$3, $H$3))&lt;0,0,_xll.ciqfunctions.udf.CIQ($B11,"IQ_INC_TAX",LZ$3,$E$3, $J$3, , $G$3, $H$3)/ABS(_xll.ciqfunctions.udf.CIQ($B11,"IQ_EBT",LZ$3,$E$3, $J$3, , $G$3, $H$3)))),"")</f>
        <v/>
      </c>
      <c r="MA11" s="87" t="str">
        <f>IFERROR(IF(OR($B11="",MA$3=""),"",IF(_xll.ciqfunctions.udf.CIQ($B11,"IQ_INC_TAX",MA$3,$E$3, $J$3, , $G$3, $H$3)/ABS(_xll.ciqfunctions.udf.CIQ($B11,"IQ_EBT",IQ_LTM,$E$3, $J$3, , $G$3, $H$3))&lt;0,0,_xll.ciqfunctions.udf.CIQ($B11,"IQ_INC_TAX",MA$3,$E$3, $J$3, , $G$3, $H$3)/ABS(_xll.ciqfunctions.udf.CIQ($B11,"IQ_EBT",MA$3,$E$3, $J$3, , $G$3, $H$3)))),"")</f>
        <v/>
      </c>
      <c r="MB11" s="87" t="str">
        <f>IFERROR(IF(OR($B11="",MB$3=""),"",IF(_xll.ciqfunctions.udf.CIQ($B11,"IQ_INC_TAX",MB$3,$E$3, $J$3, , $G$3, $H$3)/ABS(_xll.ciqfunctions.udf.CIQ($B11,"IQ_EBT",IQ_LTM,$E$3, $J$3, , $G$3, $H$3))&lt;0,0,_xll.ciqfunctions.udf.CIQ($B11,"IQ_INC_TAX",MB$3,$E$3, $J$3, , $G$3, $H$3)/ABS(_xll.ciqfunctions.udf.CIQ($B11,"IQ_EBT",MB$3,$E$3, $J$3, , $G$3, $H$3)))),"")</f>
        <v/>
      </c>
      <c r="MC11" s="87" t="str">
        <f>IFERROR(IF(OR($B11="",MC$3=""),"",IF(_xll.ciqfunctions.udf.CIQ($B11,"IQ_INC_TAX",MC$3,$E$3, $J$3, , $G$3, $H$3)/ABS(_xll.ciqfunctions.udf.CIQ($B11,"IQ_EBT",IQ_LTM,$E$3, $J$3, , $G$3, $H$3))&lt;0,0,_xll.ciqfunctions.udf.CIQ($B11,"IQ_INC_TAX",MC$3,$E$3, $J$3, , $G$3, $H$3)/ABS(_xll.ciqfunctions.udf.CIQ($B11,"IQ_EBT",MC$3,$E$3, $J$3, , $G$3, $H$3)))),"")</f>
        <v/>
      </c>
      <c r="MD11" s="317" t="str">
        <f>IFERROR(IF(OR($B11="",MD$3=""),"",IF(_xll.ciqfunctions.udf.CIQ($B11,"IQ_INC_TAX",MD$3,$E$3, $J$3, , $G$3, $H$3)/ABS(_xll.ciqfunctions.udf.CIQ($B11,"IQ_EBT",IQ_LTM,$E$3, $J$3, , $G$3, $H$3))&lt;0,0,_xll.ciqfunctions.udf.CIQ($B11,"IQ_INC_TAX",MD$3,$E$3, $J$3, , $G$3, $H$3)/ABS(_xll.ciqfunctions.udf.CIQ($B11,"IQ_EBT",MD$3,$E$3, $J$3, , $G$3, $H$3)))),"")</f>
        <v/>
      </c>
      <c r="ME11" s="314" t="str">
        <f>IFERROR(IF(OR($B11="",ME$3=""),"",IF(_xll.ciqfunctions.udf.CIQ($B11,"IQ_INC_TAX",ME$3,$E$3, $J$3, , $G$3, $H$3)/ABS(_xll.ciqfunctions.udf.CIQ($B11,"IQ_EBT",IQ_LTM,$E$3, $J$3, , $G$3, $H$3))&lt;0,0,_xll.ciqfunctions.udf.CIQ($B11,"IQ_INC_TAX",ME$3,$E$3, $J$3, , $G$3, $H$3)/ABS(_xll.ciqfunctions.udf.CIQ($B11,"IQ_EBT",ME$3,$E$3, $J$3, , $G$3, $H$3)))),"")</f>
        <v/>
      </c>
      <c r="MF11" s="87" t="str">
        <f>IFERROR(IF(OR($B11="",MF$3=""),"",IF(_xll.ciqfunctions.udf.CIQ($B11,"IQ_INC_TAX",MF$3,$E$3, $J$3, , $G$3, $H$3)/ABS(_xll.ciqfunctions.udf.CIQ($B11,"IQ_EBT",IQ_LTM,$E$3, $J$3, , $G$3, $H$3))&lt;0,0,_xll.ciqfunctions.udf.CIQ($B11,"IQ_INC_TAX",MF$3,$E$3, $J$3, , $G$3, $H$3)/ABS(_xll.ciqfunctions.udf.CIQ($B11,"IQ_EBT",MF$3,$E$3, $J$3, , $G$3, $H$3)))),"")</f>
        <v/>
      </c>
      <c r="MG11" s="87" t="str">
        <f>IFERROR(IF(OR($B11="",MG$3=""),"",IF(_xll.ciqfunctions.udf.CIQ($B11,"IQ_INC_TAX",MG$3,$E$3, $J$3, , $G$3, $H$3)/ABS(_xll.ciqfunctions.udf.CIQ($B11,"IQ_EBT",IQ_LTM,$E$3, $J$3, , $G$3, $H$3))&lt;0,0,_xll.ciqfunctions.udf.CIQ($B11,"IQ_INC_TAX",MG$3,$E$3, $J$3, , $G$3, $H$3)/ABS(_xll.ciqfunctions.udf.CIQ($B11,"IQ_EBT",MG$3,$E$3, $J$3, , $G$3, $H$3)))),"")</f>
        <v/>
      </c>
      <c r="MH11" s="87" t="str">
        <f>IFERROR(IF(OR($B11="",MH$3=""),"",IF(_xll.ciqfunctions.udf.CIQ($B11,"IQ_INC_TAX",MH$3,$E$3, $J$3, , $G$3, $H$3)/ABS(_xll.ciqfunctions.udf.CIQ($B11,"IQ_EBT",IQ_LTM,$E$3, $J$3, , $G$3, $H$3))&lt;0,0,_xll.ciqfunctions.udf.CIQ($B11,"IQ_INC_TAX",MH$3,$E$3, $J$3, , $G$3, $H$3)/ABS(_xll.ciqfunctions.udf.CIQ($B11,"IQ_EBT",MH$3,$E$3, $J$3, , $G$3, $H$3)))),"")</f>
        <v/>
      </c>
      <c r="MI11" s="87" t="str">
        <f>IFERROR(IF(OR($B11="",MI$3=""),"",IF(_xll.ciqfunctions.udf.CIQ($B11,"IQ_INC_TAX",MI$3,$E$3, $J$3, , $G$3, $H$3)/ABS(_xll.ciqfunctions.udf.CIQ($B11,"IQ_EBT",IQ_LTM,$E$3, $J$3, , $G$3, $H$3))&lt;0,0,_xll.ciqfunctions.udf.CIQ($B11,"IQ_INC_TAX",MI$3,$E$3, $J$3, , $G$3, $H$3)/ABS(_xll.ciqfunctions.udf.CIQ($B11,"IQ_EBT",MI$3,$E$3, $J$3, , $G$3, $H$3)))),"")</f>
        <v/>
      </c>
      <c r="MJ11" s="87" t="str">
        <f>IFERROR(IF(OR($B11="",MJ$3=""),"",IF(_xll.ciqfunctions.udf.CIQ($B11,"IQ_INC_TAX",MJ$3,$E$3, $J$3, , $G$3, $H$3)/ABS(_xll.ciqfunctions.udf.CIQ($B11,"IQ_EBT",IQ_LTM,$E$3, $J$3, , $G$3, $H$3))&lt;0,0,_xll.ciqfunctions.udf.CIQ($B11,"IQ_INC_TAX",MJ$3,$E$3, $J$3, , $G$3, $H$3)/ABS(_xll.ciqfunctions.udf.CIQ($B11,"IQ_EBT",MJ$3,$E$3, $J$3, , $G$3, $H$3)))),"")</f>
        <v/>
      </c>
      <c r="MK11" s="87" t="str">
        <f>IFERROR(IF(OR($B11="",MK$3=""),"",IF(_xll.ciqfunctions.udf.CIQ($B11,"IQ_INC_TAX",MK$3,$E$3, $J$3, , $G$3, $H$3)/ABS(_xll.ciqfunctions.udf.CIQ($B11,"IQ_EBT",IQ_LTM,$E$3, $J$3, , $G$3, $H$3))&lt;0,0,_xll.ciqfunctions.udf.CIQ($B11,"IQ_INC_TAX",MK$3,$E$3, $J$3, , $G$3, $H$3)/ABS(_xll.ciqfunctions.udf.CIQ($B11,"IQ_EBT",MK$3,$E$3, $J$3, , $G$3, $H$3)))),"")</f>
        <v/>
      </c>
      <c r="ML11" s="88" t="str">
        <f>IFERROR(IF(OR($B11="",ML$3=""),"",IF(_xll.ciqfunctions.udf.CIQ($B11,"IQ_INC_TAX",ML$3,$E$3, $J$3, , $G$3, $H$3)/ABS(_xll.ciqfunctions.udf.CIQ($B11,"IQ_EBT",IQ_LTM,$E$3, $J$3, , $G$3, $H$3))&lt;0,0,_xll.ciqfunctions.udf.CIQ($B11,"IQ_INC_TAX",ML$3,$E$3, $J$3, , $G$3, $H$3)/ABS(_xll.ciqfunctions.udf.CIQ($B11,"IQ_EBT",ML$3,$E$3, $J$3, , $G$3, $H$3)))),"")</f>
        <v/>
      </c>
      <c r="MM11" s="72" t="str">
        <f>IFERROR(IF(OR($B11="",MM$3=""),"",(_xll.ciqfunctions.udf.CIQ($B11,"IQ_TIER_ONE_CAPITAL",MM$3,$E$3, $J$3, , $G$3, $H$3)+_xll.ciqfunctions.udf.CIQ($B11,"IQ_TIER_TWO_CAPITAL",MM$3,$E$3, $J$3, , $G$3, $H$3)-_xll.ciqfunctions.udf.CIQ($B11,"IQ_GW",MM$3,$E$3, $J$3, , $G$3, $H$3))/_xll.ciqfunctions.udf.CIQ($B11,"IQ_RISK_ADJ_BANK_ASSETS",MM$3,$E$3, $J$3, , $G$3, $H$3)),"")</f>
        <v/>
      </c>
      <c r="MN11" s="72" t="str">
        <f>IFERROR(IF(OR($B11="",MN$3=""),"",(_xll.ciqfunctions.udf.CIQ($B11,"IQ_TIER_ONE_CAPITAL",MN$3,$E$3, $J$3, , $G$3, $H$3)+_xll.ciqfunctions.udf.CIQ($B11,"IQ_TIER_TWO_CAPITAL",MN$3,$E$3, $J$3, , $G$3, $H$3)-_xll.ciqfunctions.udf.CIQ($B11,"IQ_GW",MN$3,$E$3, $J$3, , $G$3, $H$3))/_xll.ciqfunctions.udf.CIQ($B11,"IQ_RISK_ADJ_BANK_ASSETS",MN$3,$E$3, $J$3, , $G$3, $H$3)),"")</f>
        <v/>
      </c>
      <c r="MO11" s="72" t="str">
        <f>IFERROR(IF(OR($B11="",MO$3=""),"",(_xll.ciqfunctions.udf.CIQ($B11,"IQ_TIER_ONE_CAPITAL",MO$3,$E$3, $J$3, , $G$3, $H$3)+_xll.ciqfunctions.udf.CIQ($B11,"IQ_TIER_TWO_CAPITAL",MO$3,$E$3, $J$3, , $G$3, $H$3)-_xll.ciqfunctions.udf.CIQ($B11,"IQ_GW",MO$3,$E$3, $J$3, , $G$3, $H$3))/_xll.ciqfunctions.udf.CIQ($B11,"IQ_RISK_ADJ_BANK_ASSETS",MO$3,$E$3, $J$3, , $G$3, $H$3)),"")</f>
        <v/>
      </c>
      <c r="MP11" s="72" t="str">
        <f>IFERROR(IF(OR($B11="",MP$3=""),"",(_xll.ciqfunctions.udf.CIQ($B11,"IQ_TIER_ONE_CAPITAL",MP$3,$E$3, $J$3, , $G$3, $H$3)+_xll.ciqfunctions.udf.CIQ($B11,"IQ_TIER_TWO_CAPITAL",MP$3,$E$3, $J$3, , $G$3, $H$3)-_xll.ciqfunctions.udf.CIQ($B11,"IQ_GW",MP$3,$E$3, $J$3, , $G$3, $H$3))/_xll.ciqfunctions.udf.CIQ($B11,"IQ_RISK_ADJ_BANK_ASSETS",MP$3,$E$3, $J$3, , $G$3, $H$3)),"")</f>
        <v/>
      </c>
      <c r="MQ11" s="72" t="str">
        <f>IFERROR(IF(OR($B11="",MQ$3=""),"",(_xll.ciqfunctions.udf.CIQ($B11,"IQ_TIER_ONE_CAPITAL",MQ$3,$E$3, $J$3, , $G$3, $H$3)+_xll.ciqfunctions.udf.CIQ($B11,"IQ_TIER_TWO_CAPITAL",MQ$3,$E$3, $J$3, , $G$3, $H$3)-_xll.ciqfunctions.udf.CIQ($B11,"IQ_GW",MQ$3,$E$3, $J$3, , $G$3, $H$3))/_xll.ciqfunctions.udf.CIQ($B11,"IQ_RISK_ADJ_BANK_ASSETS",MQ$3,$E$3, $J$3, , $G$3, $H$3)),"")</f>
        <v/>
      </c>
      <c r="MR11" s="72" t="str">
        <f>IFERROR(IF(OR($B11="",MR$3=""),"",(_xll.ciqfunctions.udf.CIQ($B11,"IQ_TIER_ONE_CAPITAL",MR$3,$E$3, $J$3, , $G$3, $H$3)+_xll.ciqfunctions.udf.CIQ($B11,"IQ_TIER_TWO_CAPITAL",MR$3,$E$3, $J$3, , $G$3, $H$3)-_xll.ciqfunctions.udf.CIQ($B11,"IQ_GW",MR$3,$E$3, $J$3, , $G$3, $H$3))/_xll.ciqfunctions.udf.CIQ($B11,"IQ_RISK_ADJ_BANK_ASSETS",MR$3,$E$3, $J$3, , $G$3, $H$3)),"")</f>
        <v/>
      </c>
      <c r="MS11" s="72" t="str">
        <f>IFERROR(IF(OR($B11="",MS$3=""),"",(_xll.ciqfunctions.udf.CIQ($B11,"IQ_TIER_ONE_CAPITAL",MS$3,$E$3, $J$3, , $G$3, $H$3)+_xll.ciqfunctions.udf.CIQ($B11,"IQ_TIER_TWO_CAPITAL",MS$3,$E$3, $J$3, , $G$3, $H$3)-_xll.ciqfunctions.udf.CIQ($B11,"IQ_GW",MS$3,$E$3, $J$3, , $G$3, $H$3))/_xll.ciqfunctions.udf.CIQ($B11,"IQ_RISK_ADJ_BANK_ASSETS",MS$3,$E$3, $J$3, , $G$3, $H$3)),"")</f>
        <v/>
      </c>
      <c r="MT11" s="72" t="str">
        <f>IFERROR(IF(OR($B11="",MT$3=""),"",(_xll.ciqfunctions.udf.CIQ($B11,"IQ_TIER_ONE_CAPITAL",MT$3,$E$3, $J$3, , $G$3, $H$3)+_xll.ciqfunctions.udf.CIQ($B11,"IQ_TIER_TWO_CAPITAL",MT$3,$E$3, $J$3, , $G$3, $H$3)-_xll.ciqfunctions.udf.CIQ($B11,"IQ_GW",MT$3,$E$3, $J$3, , $G$3, $H$3))/_xll.ciqfunctions.udf.CIQ($B11,"IQ_RISK_ADJ_BANK_ASSETS",MT$3,$E$3, $J$3, , $G$3, $H$3)),"")</f>
        <v/>
      </c>
      <c r="MU11" s="72" t="str">
        <f>IFERROR(IF(OR($B11="",MU$3=""),"",(_xll.ciqfunctions.udf.CIQ($B11,"IQ_TIER_ONE_CAPITAL",MU$3,$E$3, $J$3, , $G$3, $H$3)+_xll.ciqfunctions.udf.CIQ($B11,"IQ_TIER_TWO_CAPITAL",MU$3,$E$3, $J$3, , $G$3, $H$3)-_xll.ciqfunctions.udf.CIQ($B11,"IQ_GW",MU$3,$E$3, $J$3, , $G$3, $H$3))/_xll.ciqfunctions.udf.CIQ($B11,"IQ_RISK_ADJ_BANK_ASSETS",MU$3,$E$3, $J$3, , $G$3, $H$3)),"")</f>
        <v/>
      </c>
      <c r="MV11" s="72" t="str">
        <f>IFERROR(IF(OR($B11="",MV$3=""),"",(_xll.ciqfunctions.udf.CIQ($B11,"IQ_TIER_ONE_CAPITAL",MV$3,$E$3, $J$3, , $G$3, $H$3)+_xll.ciqfunctions.udf.CIQ($B11,"IQ_TIER_TWO_CAPITAL",MV$3,$E$3, $J$3, , $G$3, $H$3)-_xll.ciqfunctions.udf.CIQ($B11,"IQ_GW",MV$3,$E$3, $J$3, , $G$3, $H$3))/_xll.ciqfunctions.udf.CIQ($B11,"IQ_RISK_ADJ_BANK_ASSETS",MV$3,$E$3, $J$3, , $G$3, $H$3)),"")</f>
        <v/>
      </c>
      <c r="MW11" s="72" t="str">
        <f>IFERROR(IF(OR($B11="",MW$3=""),"",(_xll.ciqfunctions.udf.CIQ($B11,"IQ_TIER_ONE_CAPITAL",MW$3,$E$3, $J$3, , $G$3, $H$3)+_xll.ciqfunctions.udf.CIQ($B11,"IQ_TIER_TWO_CAPITAL",MW$3,$E$3, $J$3, , $G$3, $H$3)-_xll.ciqfunctions.udf.CIQ($B11,"IQ_GW",MW$3,$E$3, $J$3, , $G$3, $H$3))/_xll.ciqfunctions.udf.CIQ($B11,"IQ_RISK_ADJ_BANK_ASSETS",MW$3,$E$3, $J$3, , $G$3, $H$3)),"")</f>
        <v/>
      </c>
      <c r="MX11" s="72" t="str">
        <f>IFERROR(IF(OR($B11="",MX$3=""),"",(_xll.ciqfunctions.udf.CIQ($B11,"IQ_TIER_ONE_CAPITAL",MX$3,$E$3, $J$3, , $G$3, $H$3)+_xll.ciqfunctions.udf.CIQ($B11,"IQ_TIER_TWO_CAPITAL",MX$3,$E$3, $J$3, , $G$3, $H$3)-_xll.ciqfunctions.udf.CIQ($B11,"IQ_GW",MX$3,$E$3, $J$3, , $G$3, $H$3))/_xll.ciqfunctions.udf.CIQ($B11,"IQ_RISK_ADJ_BANK_ASSETS",MX$3,$E$3, $J$3, , $G$3, $H$3)),"")</f>
        <v/>
      </c>
      <c r="MY11" s="72" t="str">
        <f>IFERROR(IF(OR($B11="",MY$3=""),"",(_xll.ciqfunctions.udf.CIQ($B11,"IQ_TIER_ONE_CAPITAL",MY$3,$E$3, $J$3, , $G$3, $H$3)+_xll.ciqfunctions.udf.CIQ($B11,"IQ_TIER_TWO_CAPITAL",MY$3,$E$3, $J$3, , $G$3, $H$3)-_xll.ciqfunctions.udf.CIQ($B11,"IQ_GW",MY$3,$E$3, $J$3, , $G$3, $H$3))/_xll.ciqfunctions.udf.CIQ($B11,"IQ_RISK_ADJ_BANK_ASSETS",MY$3,$E$3, $J$3, , $G$3, $H$3)),"")</f>
        <v/>
      </c>
      <c r="MZ11" s="72" t="str">
        <f>IFERROR(IF(OR($B11="",MZ$3=""),"",(_xll.ciqfunctions.udf.CIQ($B11,"IQ_TIER_ONE_CAPITAL",MZ$3,$E$3, $J$3, , $G$3, $H$3)+_xll.ciqfunctions.udf.CIQ($B11,"IQ_TIER_TWO_CAPITAL",MZ$3,$E$3, $J$3, , $G$3, $H$3)-_xll.ciqfunctions.udf.CIQ($B11,"IQ_GW",MZ$3,$E$3, $J$3, , $G$3, $H$3))/_xll.ciqfunctions.udf.CIQ($B11,"IQ_RISK_ADJ_BANK_ASSETS",MZ$3,$E$3, $J$3, , $G$3, $H$3)),"")</f>
        <v/>
      </c>
      <c r="NA11" s="72" t="str">
        <f>IFERROR(IF(OR($B11="",NA$3=""),"",(_xll.ciqfunctions.udf.CIQ($B11,"IQ_TIER_ONE_CAPITAL",NA$3,$E$3, $J$3, , $G$3, $H$3)+_xll.ciqfunctions.udf.CIQ($B11,"IQ_TIER_TWO_CAPITAL",NA$3,$E$3, $J$3, , $G$3, $H$3)-_xll.ciqfunctions.udf.CIQ($B11,"IQ_GW",NA$3,$E$3, $J$3, , $G$3, $H$3))/_xll.ciqfunctions.udf.CIQ($B11,"IQ_RISK_ADJ_BANK_ASSETS",NA$3,$E$3, $J$3, , $G$3, $H$3)),"")</f>
        <v/>
      </c>
      <c r="NB11" s="72" t="str">
        <f>IFERROR(IF(OR($B11="",NB$3=""),"",(_xll.ciqfunctions.udf.CIQ($B11,"IQ_TIER_ONE_CAPITAL",NB$3,$E$3, $J$3, , $G$3, $H$3)+_xll.ciqfunctions.udf.CIQ($B11,"IQ_TIER_TWO_CAPITAL",NB$3,$E$3, $J$3, , $G$3, $H$3)-_xll.ciqfunctions.udf.CIQ($B11,"IQ_GW",NB$3,$E$3, $J$3, , $G$3, $H$3))/_xll.ciqfunctions.udf.CIQ($B11,"IQ_RISK_ADJ_BANK_ASSETS",NB$3,$E$3, $J$3, , $G$3, $H$3)),"")</f>
        <v/>
      </c>
      <c r="NC11" s="72" t="str">
        <f>IFERROR(IF(OR($B11="",NC$3=""),"",(_xll.ciqfunctions.udf.CIQ($B11,"IQ_TIER_ONE_CAPITAL",NC$3,$E$3, $J$3, , $G$3, $H$3)+_xll.ciqfunctions.udf.CIQ($B11,"IQ_TIER_TWO_CAPITAL",NC$3,$E$3, $J$3, , $G$3, $H$3)-_xll.ciqfunctions.udf.CIQ($B11,"IQ_GW",NC$3,$E$3, $J$3, , $G$3, $H$3))/_xll.ciqfunctions.udf.CIQ($B11,"IQ_RISK_ADJ_BANK_ASSETS",NC$3,$E$3, $J$3, , $G$3, $H$3)),"")</f>
        <v/>
      </c>
      <c r="ND11" s="72" t="str">
        <f>IFERROR(IF(OR($B11="",ND$3=""),"",(_xll.ciqfunctions.udf.CIQ($B11,"IQ_TIER_ONE_CAPITAL",ND$3,$E$3, $J$3, , $G$3, $H$3)+_xll.ciqfunctions.udf.CIQ($B11,"IQ_TIER_TWO_CAPITAL",ND$3,$E$3, $J$3, , $G$3, $H$3)-_xll.ciqfunctions.udf.CIQ($B11,"IQ_GW",ND$3,$E$3, $J$3, , $G$3, $H$3))/_xll.ciqfunctions.udf.CIQ($B11,"IQ_RISK_ADJ_BANK_ASSETS",ND$3,$E$3, $J$3, , $G$3, $H$3)),"")</f>
        <v/>
      </c>
      <c r="NE11" s="72" t="str">
        <f>IFERROR(IF(OR($B11="",NE$3=""),"",(_xll.ciqfunctions.udf.CIQ($B11,"IQ_TIER_ONE_CAPITAL",NE$3,$E$3, $J$3, , $G$3, $H$3)+_xll.ciqfunctions.udf.CIQ($B11,"IQ_TIER_TWO_CAPITAL",NE$3,$E$3, $J$3, , $G$3, $H$3)-_xll.ciqfunctions.udf.CIQ($B11,"IQ_GW",NE$3,$E$3, $J$3, , $G$3, $H$3))/_xll.ciqfunctions.udf.CIQ($B11,"IQ_RISK_ADJ_BANK_ASSETS",NE$3,$E$3, $J$3, , $G$3, $H$3)),"")</f>
        <v/>
      </c>
      <c r="NF11" s="72" t="str">
        <f>IFERROR(IF(OR($B11="",NF$3=""),"",(_xll.ciqfunctions.udf.CIQ($B11,"IQ_TIER_ONE_CAPITAL",NF$3,$E$3, $J$3, , $G$3, $H$3)+_xll.ciqfunctions.udf.CIQ($B11,"IQ_TIER_TWO_CAPITAL",NF$3,$E$3, $J$3, , $G$3, $H$3)-_xll.ciqfunctions.udf.CIQ($B11,"IQ_GW",NF$3,$E$3, $J$3, , $G$3, $H$3))/_xll.ciqfunctions.udf.CIQ($B11,"IQ_RISK_ADJ_BANK_ASSETS",NF$3,$E$3, $J$3, , $G$3, $H$3)),"")</f>
        <v/>
      </c>
      <c r="NG11" s="72" t="str">
        <f>IFERROR(IF(OR($B11="",NG$3=""),"",-_xll.ciqfunctions.udf.CIQ($B11,"IQ_ALLOW_LL",NG$3,$E$3, $J$3, , $G$3, $H$3)/_xll.ciqfunctions.udf.CIQ($B11,"IQ_TOTAL_LOANS",NG$3,$E$3, $J$3, , $G$3, $H$3)),"")</f>
        <v/>
      </c>
      <c r="NH11" s="72" t="str">
        <f>IFERROR(IF(OR($B11="",NH$3=""),"",-_xll.ciqfunctions.udf.CIQ($B11,"IQ_ALLOW_LL",NH$3,$E$3, $J$3, , $G$3, $H$3)/_xll.ciqfunctions.udf.CIQ($B11,"IQ_TOTAL_LOANS",NH$3,$E$3, $J$3, , $G$3, $H$3)),"")</f>
        <v/>
      </c>
      <c r="NI11" s="72" t="str">
        <f>IFERROR(IF(OR($B11="",NI$3=""),"",-_xll.ciqfunctions.udf.CIQ($B11,"IQ_ALLOW_LL",NI$3,$E$3, $J$3, , $G$3, $H$3)/_xll.ciqfunctions.udf.CIQ($B11,"IQ_TOTAL_LOANS",NI$3,$E$3, $J$3, , $G$3, $H$3)),"")</f>
        <v/>
      </c>
      <c r="NJ11" s="72" t="str">
        <f>IFERROR(IF(OR($B11="",NJ$3=""),"",-_xll.ciqfunctions.udf.CIQ($B11,"IQ_ALLOW_LL",NJ$3,$E$3, $J$3, , $G$3, $H$3)/_xll.ciqfunctions.udf.CIQ($B11,"IQ_TOTAL_LOANS",NJ$3,$E$3, $J$3, , $G$3, $H$3)),"")</f>
        <v/>
      </c>
      <c r="NK11" s="72" t="str">
        <f>IFERROR(IF(OR($B11="",NK$3=""),"",-_xll.ciqfunctions.udf.CIQ($B11,"IQ_ALLOW_LL",NK$3,$E$3, $J$3, , $G$3, $H$3)/_xll.ciqfunctions.udf.CIQ($B11,"IQ_TOTAL_LOANS",NK$3,$E$3, $J$3, , $G$3, $H$3)),"")</f>
        <v/>
      </c>
      <c r="NL11" s="72" t="str">
        <f>IFERROR(IF(OR($B11="",NL$3=""),"",-_xll.ciqfunctions.udf.CIQ($B11,"IQ_ALLOW_LL",NL$3,$E$3, $J$3, , $G$3, $H$3)/_xll.ciqfunctions.udf.CIQ($B11,"IQ_TOTAL_LOANS",NL$3,$E$3, $J$3, , $G$3, $H$3)),"")</f>
        <v/>
      </c>
      <c r="NM11" s="72" t="str">
        <f>IFERROR(IF(OR($B11="",NM$3=""),"",-_xll.ciqfunctions.udf.CIQ($B11,"IQ_ALLOW_LL",NM$3,$E$3, $J$3, , $G$3, $H$3)/_xll.ciqfunctions.udf.CIQ($B11,"IQ_TOTAL_LOANS",NM$3,$E$3, $J$3, , $G$3, $H$3)),"")</f>
        <v/>
      </c>
      <c r="NN11" s="72" t="str">
        <f>IFERROR(IF(OR($B11="",NN$3=""),"",-_xll.ciqfunctions.udf.CIQ($B11,"IQ_ALLOW_LL",NN$3,$E$3, $J$3, , $G$3, $H$3)/_xll.ciqfunctions.udf.CIQ($B11,"IQ_TOTAL_LOANS",NN$3,$E$3, $J$3, , $G$3, $H$3)),"")</f>
        <v/>
      </c>
      <c r="NO11" s="72" t="str">
        <f>IFERROR(IF(OR($B11="",NO$3=""),"",-_xll.ciqfunctions.udf.CIQ($B11,"IQ_ALLOW_LL",NO$3,$E$3, $J$3, , $G$3, $H$3)/_xll.ciqfunctions.udf.CIQ($B11,"IQ_TOTAL_LOANS",NO$3,$E$3, $J$3, , $G$3, $H$3)),"")</f>
        <v/>
      </c>
      <c r="NP11" s="72" t="str">
        <f>IFERROR(IF(OR($B11="",NP$3=""),"",-_xll.ciqfunctions.udf.CIQ($B11,"IQ_ALLOW_LL",NP$3,$E$3, $J$3, , $G$3, $H$3)/_xll.ciqfunctions.udf.CIQ($B11,"IQ_TOTAL_LOANS",NP$3,$E$3, $J$3, , $G$3, $H$3)),"")</f>
        <v/>
      </c>
      <c r="NQ11" s="72" t="str">
        <f>IFERROR(IF(OR($B11="",NQ$3=""),"",-_xll.ciqfunctions.udf.CIQ($B11,"IQ_ALLOW_LL",NQ$3,$E$3, $J$3, , $G$3, $H$3)/_xll.ciqfunctions.udf.CIQ($B11,"IQ_TOTAL_LOANS",NQ$3,$E$3, $J$3, , $G$3, $H$3)),"")</f>
        <v/>
      </c>
      <c r="NR11" s="72" t="str">
        <f>IFERROR(IF(OR($B11="",NR$3=""),"",-_xll.ciqfunctions.udf.CIQ($B11,"IQ_ALLOW_LL",NR$3,$E$3, $J$3, , $G$3, $H$3)/_xll.ciqfunctions.udf.CIQ($B11,"IQ_TOTAL_LOANS",NR$3,$E$3, $J$3, , $G$3, $H$3)),"")</f>
        <v/>
      </c>
      <c r="NS11" s="72" t="str">
        <f>IFERROR(IF(OR($B11="",NS$3=""),"",-_xll.ciqfunctions.udf.CIQ($B11,"IQ_ALLOW_LL",NS$3,$E$3, $J$3, , $G$3, $H$3)/_xll.ciqfunctions.udf.CIQ($B11,"IQ_TOTAL_LOANS",NS$3,$E$3, $J$3, , $G$3, $H$3)),"")</f>
        <v/>
      </c>
      <c r="NT11" s="72" t="str">
        <f>IFERROR(IF(OR($B11="",NT$3=""),"",-_xll.ciqfunctions.udf.CIQ($B11,"IQ_ALLOW_LL",NT$3,$E$3, $J$3, , $G$3, $H$3)/_xll.ciqfunctions.udf.CIQ($B11,"IQ_TOTAL_LOANS",NT$3,$E$3, $J$3, , $G$3, $H$3)),"")</f>
        <v/>
      </c>
      <c r="NU11" s="72" t="str">
        <f>IFERROR(IF(OR($B11="",NU$3=""),"",-_xll.ciqfunctions.udf.CIQ($B11,"IQ_ALLOW_LL",NU$3,$E$3, $J$3, , $G$3, $H$3)/_xll.ciqfunctions.udf.CIQ($B11,"IQ_TOTAL_LOANS",NU$3,$E$3, $J$3, , $G$3, $H$3)),"")</f>
        <v/>
      </c>
      <c r="NV11" s="72" t="str">
        <f>IFERROR(IF(OR($B11="",NV$3=""),"",-_xll.ciqfunctions.udf.CIQ($B11,"IQ_ALLOW_LL",NV$3,$E$3, $J$3, , $G$3, $H$3)/_xll.ciqfunctions.udf.CIQ($B11,"IQ_TOTAL_LOANS",NV$3,$E$3, $J$3, , $G$3, $H$3)),"")</f>
        <v/>
      </c>
      <c r="NW11" s="72" t="str">
        <f>IFERROR(IF(OR($B11="",NW$3=""),"",-_xll.ciqfunctions.udf.CIQ($B11,"IQ_ALLOW_LL",NW$3,$E$3, $J$3, , $G$3, $H$3)/_xll.ciqfunctions.udf.CIQ($B11,"IQ_TOTAL_LOANS",NW$3,$E$3, $J$3, , $G$3, $H$3)),"")</f>
        <v/>
      </c>
      <c r="NX11" s="72" t="str">
        <f>IFERROR(IF(OR($B11="",NX$3=""),"",-_xll.ciqfunctions.udf.CIQ($B11,"IQ_ALLOW_LL",NX$3,$E$3, $J$3, , $G$3, $H$3)/_xll.ciqfunctions.udf.CIQ($B11,"IQ_TOTAL_LOANS",NX$3,$E$3, $J$3, , $G$3, $H$3)),"")</f>
        <v/>
      </c>
      <c r="NY11" s="72" t="str">
        <f>IFERROR(IF(OR($B11="",NY$3=""),"",-_xll.ciqfunctions.udf.CIQ($B11,"IQ_ALLOW_LL",NY$3,$E$3, $J$3, , $G$3, $H$3)/_xll.ciqfunctions.udf.CIQ($B11,"IQ_TOTAL_LOANS",NY$3,$E$3, $J$3, , $G$3, $H$3)),"")</f>
        <v/>
      </c>
      <c r="NZ11" s="72" t="str">
        <f>IFERROR(IF(OR($B11="",NZ$3=""),"",-_xll.ciqfunctions.udf.CIQ($B11,"IQ_ALLOW_LL",NZ$3,$E$3, $J$3, , $G$3, $H$3)/_xll.ciqfunctions.udf.CIQ($B11,"IQ_TOTAL_LOANS",NZ$3,$E$3, $J$3, , $G$3, $H$3)),"")</f>
        <v/>
      </c>
      <c r="OA11" s="72" t="str">
        <f>IFERROR(IF(OR($B11="",OA$3=""),"",_xll.ciqfunctions.udf.CIQ($B11,"IQ_TOTAL_LOANS",OA$3,$E$3, $J$3, , $G$3, $H$3)/_xll.ciqfunctions.udf.CIQ($B11,"IQ_TOTAL_DEPOSITS",OA$3,$E$3, $J$3, , $G$3, $H$3)),"")</f>
        <v/>
      </c>
      <c r="OB11" s="72" t="str">
        <f>IFERROR(IF(OR($B11="",OB$3=""),"",_xll.ciqfunctions.udf.CIQ($B11,"IQ_TOTAL_LOANS",OB$3,$E$3, $J$3, , $G$3, $H$3)/_xll.ciqfunctions.udf.CIQ($B11,"IQ_TOTAL_DEPOSITS",OB$3,$E$3, $J$3, , $G$3, $H$3)),"")</f>
        <v/>
      </c>
      <c r="OC11" s="72" t="str">
        <f>IFERROR(IF(OR($B11="",OC$3=""),"",_xll.ciqfunctions.udf.CIQ($B11,"IQ_TOTAL_LOANS",OC$3,$E$3, $J$3, , $G$3, $H$3)/_xll.ciqfunctions.udf.CIQ($B11,"IQ_TOTAL_DEPOSITS",OC$3,$E$3, $J$3, , $G$3, $H$3)),"")</f>
        <v/>
      </c>
      <c r="OD11" s="72" t="str">
        <f>IFERROR(IF(OR($B11="",OD$3=""),"",_xll.ciqfunctions.udf.CIQ($B11,"IQ_TOTAL_LOANS",OD$3,$E$3, $J$3, , $G$3, $H$3)/_xll.ciqfunctions.udf.CIQ($B11,"IQ_TOTAL_DEPOSITS",OD$3,$E$3, $J$3, , $G$3, $H$3)),"")</f>
        <v/>
      </c>
      <c r="OE11" s="72" t="str">
        <f>IFERROR(IF(OR($B11="",OE$3=""),"",_xll.ciqfunctions.udf.CIQ($B11,"IQ_TOTAL_LOANS",OE$3,$E$3, $J$3, , $G$3, $H$3)/_xll.ciqfunctions.udf.CIQ($B11,"IQ_TOTAL_DEPOSITS",OE$3,$E$3, $J$3, , $G$3, $H$3)),"")</f>
        <v/>
      </c>
      <c r="OF11" s="72" t="str">
        <f>IFERROR(IF(OR($B11="",OF$3=""),"",_xll.ciqfunctions.udf.CIQ($B11,"IQ_TOTAL_LOANS",OF$3,$E$3, $J$3, , $G$3, $H$3)/_xll.ciqfunctions.udf.CIQ($B11,"IQ_TOTAL_DEPOSITS",OF$3,$E$3, $J$3, , $G$3, $H$3)),"")</f>
        <v/>
      </c>
      <c r="OG11" s="72" t="str">
        <f>IFERROR(IF(OR($B11="",OG$3=""),"",_xll.ciqfunctions.udf.CIQ($B11,"IQ_TOTAL_LOANS",OG$3,$E$3, $J$3, , $G$3, $H$3)/_xll.ciqfunctions.udf.CIQ($B11,"IQ_TOTAL_DEPOSITS",OG$3,$E$3, $J$3, , $G$3, $H$3)),"")</f>
        <v/>
      </c>
      <c r="OH11" s="72" t="str">
        <f>IFERROR(IF(OR($B11="",OH$3=""),"",_xll.ciqfunctions.udf.CIQ($B11,"IQ_TOTAL_LOANS",OH$3,$E$3, $J$3, , $G$3, $H$3)/_xll.ciqfunctions.udf.CIQ($B11,"IQ_TOTAL_DEPOSITS",OH$3,$E$3, $J$3, , $G$3, $H$3)),"")</f>
        <v/>
      </c>
      <c r="OI11" s="72" t="str">
        <f>IFERROR(IF(OR($B11="",OI$3=""),"",_xll.ciqfunctions.udf.CIQ($B11,"IQ_TOTAL_LOANS",OI$3,$E$3, $J$3, , $G$3, $H$3)/_xll.ciqfunctions.udf.CIQ($B11,"IQ_TOTAL_DEPOSITS",OI$3,$E$3, $J$3, , $G$3, $H$3)),"")</f>
        <v/>
      </c>
      <c r="OJ11" s="72" t="str">
        <f>IFERROR(IF(OR($B11="",OJ$3=""),"",_xll.ciqfunctions.udf.CIQ($B11,"IQ_TOTAL_LOANS",OJ$3,$E$3, $J$3, , $G$3, $H$3)/_xll.ciqfunctions.udf.CIQ($B11,"IQ_TOTAL_DEPOSITS",OJ$3,$E$3, $J$3, , $G$3, $H$3)),"")</f>
        <v/>
      </c>
      <c r="OK11" s="72" t="str">
        <f>IFERROR(IF(OR($B11="",OK$3=""),"",_xll.ciqfunctions.udf.CIQ($B11,"IQ_TOTAL_LOANS",OK$3,$E$3, $J$3, , $G$3, $H$3)/_xll.ciqfunctions.udf.CIQ($B11,"IQ_TOTAL_DEPOSITS",OK$3,$E$3, $J$3, , $G$3, $H$3)),"")</f>
        <v/>
      </c>
      <c r="OL11" s="72" t="str">
        <f>IFERROR(IF(OR($B11="",OL$3=""),"",_xll.ciqfunctions.udf.CIQ($B11,"IQ_TOTAL_LOANS",OL$3,$E$3, $J$3, , $G$3, $H$3)/_xll.ciqfunctions.udf.CIQ($B11,"IQ_TOTAL_DEPOSITS",OL$3,$E$3, $J$3, , $G$3, $H$3)),"")</f>
        <v/>
      </c>
      <c r="OM11" s="72" t="str">
        <f>IFERROR(IF(OR($B11="",OM$3=""),"",_xll.ciqfunctions.udf.CIQ($B11,"IQ_TOTAL_LOANS",OM$3,$E$3, $J$3, , $G$3, $H$3)/_xll.ciqfunctions.udf.CIQ($B11,"IQ_TOTAL_DEPOSITS",OM$3,$E$3, $J$3, , $G$3, $H$3)),"")</f>
        <v/>
      </c>
      <c r="ON11" s="72" t="str">
        <f>IFERROR(IF(OR($B11="",ON$3=""),"",_xll.ciqfunctions.udf.CIQ($B11,"IQ_TOTAL_LOANS",ON$3,$E$3, $J$3, , $G$3, $H$3)/_xll.ciqfunctions.udf.CIQ($B11,"IQ_TOTAL_DEPOSITS",ON$3,$E$3, $J$3, , $G$3, $H$3)),"")</f>
        <v/>
      </c>
      <c r="OO11" s="72" t="str">
        <f>IFERROR(IF(OR($B11="",OO$3=""),"",_xll.ciqfunctions.udf.CIQ($B11,"IQ_TOTAL_LOANS",OO$3,$E$3, $J$3, , $G$3, $H$3)/_xll.ciqfunctions.udf.CIQ($B11,"IQ_TOTAL_DEPOSITS",OO$3,$E$3, $J$3, , $G$3, $H$3)),"")</f>
        <v/>
      </c>
      <c r="OP11" s="72" t="str">
        <f>IFERROR(IF(OR($B11="",OP$3=""),"",_xll.ciqfunctions.udf.CIQ($B11,"IQ_TOTAL_LOANS",OP$3,$E$3, $J$3, , $G$3, $H$3)/_xll.ciqfunctions.udf.CIQ($B11,"IQ_TOTAL_DEPOSITS",OP$3,$E$3, $J$3, , $G$3, $H$3)),"")</f>
        <v/>
      </c>
      <c r="OQ11" s="72" t="str">
        <f>IFERROR(IF(OR($B11="",OQ$3=""),"",_xll.ciqfunctions.udf.CIQ($B11,"IQ_TOTAL_LOANS",OQ$3,$E$3, $J$3, , $G$3, $H$3)/_xll.ciqfunctions.udf.CIQ($B11,"IQ_TOTAL_DEPOSITS",OQ$3,$E$3, $J$3, , $G$3, $H$3)),"")</f>
        <v/>
      </c>
      <c r="OR11" s="72" t="str">
        <f>IFERROR(IF(OR($B11="",OR$3=""),"",_xll.ciqfunctions.udf.CIQ($B11,"IQ_TOTAL_LOANS",OR$3,$E$3, $J$3, , $G$3, $H$3)/_xll.ciqfunctions.udf.CIQ($B11,"IQ_TOTAL_DEPOSITS",OR$3,$E$3, $J$3, , $G$3, $H$3)),"")</f>
        <v/>
      </c>
      <c r="OS11" s="72" t="str">
        <f>IFERROR(IF(OR($B11="",OS$3=""),"",_xll.ciqfunctions.udf.CIQ($B11,"IQ_TOTAL_LOANS",OS$3,$E$3, $J$3, , $G$3, $H$3)/_xll.ciqfunctions.udf.CIQ($B11,"IQ_TOTAL_DEPOSITS",OS$3,$E$3, $J$3, , $G$3, $H$3)),"")</f>
        <v/>
      </c>
      <c r="OT11" s="72" t="str">
        <f>IFERROR(IF(OR($B11="",OT$3=""),"",_xll.ciqfunctions.udf.CIQ($B11,"IQ_TOTAL_LOANS",OT$3,$E$3, $J$3, , $G$3, $H$3)/_xll.ciqfunctions.udf.CIQ($B11,"IQ_TOTAL_DEPOSITS",OT$3,$E$3, $J$3, , $G$3, $H$3)),"")</f>
        <v/>
      </c>
      <c r="OU11" s="72" t="str">
        <f>IFERROR(IF(OR($B11="",OU$3=""),"",_xll.ciqfunctions.udf.CIQ($B11,"IQ_NON_PERFORMING_LOANS",OU$3,$E$3, $J$3, , $G$3, $H$3)/_xll.ciqfunctions.udf.CIQ($B11,"IQ_TOTAL_EQUITY",OU$3,$E$3, $J$3, , $G$3, $H$3)),"")</f>
        <v/>
      </c>
      <c r="OV11" s="72" t="str">
        <f>IFERROR(IF(OR($B11="",OV$3=""),"",_xll.ciqfunctions.udf.CIQ($B11,"IQ_NON_PERFORMING_LOANS",OV$3,$E$3, $J$3, , $G$3, $H$3)/_xll.ciqfunctions.udf.CIQ($B11,"IQ_TOTAL_EQUITY",OV$3,$E$3, $J$3, , $G$3, $H$3)),"")</f>
        <v/>
      </c>
      <c r="OW11" s="72" t="str">
        <f>IFERROR(IF(OR($B11="",OW$3=""),"",_xll.ciqfunctions.udf.CIQ($B11,"IQ_NON_PERFORMING_LOANS",OW$3,$E$3, $J$3, , $G$3, $H$3)/_xll.ciqfunctions.udf.CIQ($B11,"IQ_TOTAL_EQUITY",OW$3,$E$3, $J$3, , $G$3, $H$3)),"")</f>
        <v/>
      </c>
      <c r="OX11" s="72" t="str">
        <f>IFERROR(IF(OR($B11="",OX$3=""),"",_xll.ciqfunctions.udf.CIQ($B11,"IQ_NON_PERFORMING_LOANS",OX$3,$E$3, $J$3, , $G$3, $H$3)/_xll.ciqfunctions.udf.CIQ($B11,"IQ_TOTAL_EQUITY",OX$3,$E$3, $J$3, , $G$3, $H$3)),"")</f>
        <v/>
      </c>
      <c r="OY11" s="72" t="str">
        <f>IFERROR(IF(OR($B11="",OY$3=""),"",_xll.ciqfunctions.udf.CIQ($B11,"IQ_NON_PERFORMING_LOANS",OY$3,$E$3, $J$3, , $G$3, $H$3)/_xll.ciqfunctions.udf.CIQ($B11,"IQ_TOTAL_EQUITY",OY$3,$E$3, $J$3, , $G$3, $H$3)),"")</f>
        <v/>
      </c>
      <c r="OZ11" s="72" t="str">
        <f>IFERROR(IF(OR($B11="",OZ$3=""),"",_xll.ciqfunctions.udf.CIQ($B11,"IQ_NON_PERFORMING_LOANS",OZ$3,$E$3, $J$3, , $G$3, $H$3)/_xll.ciqfunctions.udf.CIQ($B11,"IQ_TOTAL_EQUITY",OZ$3,$E$3, $J$3, , $G$3, $H$3)),"")</f>
        <v/>
      </c>
      <c r="PA11" s="72" t="str">
        <f>IFERROR(IF(OR($B11="",PA$3=""),"",_xll.ciqfunctions.udf.CIQ($B11,"IQ_NON_PERFORMING_LOANS",PA$3,$E$3, $J$3, , $G$3, $H$3)/_xll.ciqfunctions.udf.CIQ($B11,"IQ_TOTAL_EQUITY",PA$3,$E$3, $J$3, , $G$3, $H$3)),"")</f>
        <v/>
      </c>
      <c r="PB11" s="72" t="str">
        <f>IFERROR(IF(OR($B11="",PB$3=""),"",_xll.ciqfunctions.udf.CIQ($B11,"IQ_NON_PERFORMING_LOANS",PB$3,$E$3, $J$3, , $G$3, $H$3)/_xll.ciqfunctions.udf.CIQ($B11,"IQ_TOTAL_EQUITY",PB$3,$E$3, $J$3, , $G$3, $H$3)),"")</f>
        <v/>
      </c>
      <c r="PC11" s="72" t="str">
        <f>IFERROR(IF(OR($B11="",PC$3=""),"",_xll.ciqfunctions.udf.CIQ($B11,"IQ_NON_PERFORMING_LOANS",PC$3,$E$3, $J$3, , $G$3, $H$3)/_xll.ciqfunctions.udf.CIQ($B11,"IQ_TOTAL_EQUITY",PC$3,$E$3, $J$3, , $G$3, $H$3)),"")</f>
        <v/>
      </c>
      <c r="PD11" s="72" t="str">
        <f>IFERROR(IF(OR($B11="",PD$3=""),"",_xll.ciqfunctions.udf.CIQ($B11,"IQ_NON_PERFORMING_LOANS",PD$3,$E$3, $J$3, , $G$3, $H$3)/_xll.ciqfunctions.udf.CIQ($B11,"IQ_TOTAL_EQUITY",PD$3,$E$3, $J$3, , $G$3, $H$3)),"")</f>
        <v/>
      </c>
      <c r="PE11" s="72" t="str">
        <f>IFERROR(IF(OR($B11="",PE$3=""),"",_xll.ciqfunctions.udf.CIQ($B11,"IQ_NON_PERFORMING_LOANS",PE$3,$E$3, $J$3, , $G$3, $H$3)/_xll.ciqfunctions.udf.CIQ($B11,"IQ_TOTAL_EQUITY",PE$3,$E$3, $J$3, , $G$3, $H$3)),"")</f>
        <v/>
      </c>
      <c r="PF11" s="72" t="str">
        <f>IFERROR(IF(OR($B11="",PF$3=""),"",_xll.ciqfunctions.udf.CIQ($B11,"IQ_NON_PERFORMING_LOANS",PF$3,$E$3, $J$3, , $G$3, $H$3)/_xll.ciqfunctions.udf.CIQ($B11,"IQ_TOTAL_EQUITY",PF$3,$E$3, $J$3, , $G$3, $H$3)),"")</f>
        <v/>
      </c>
      <c r="PG11" s="72" t="str">
        <f>IFERROR(IF(OR($B11="",PG$3=""),"",_xll.ciqfunctions.udf.CIQ($B11,"IQ_NON_PERFORMING_LOANS",PG$3,$E$3, $J$3, , $G$3, $H$3)/_xll.ciqfunctions.udf.CIQ($B11,"IQ_TOTAL_EQUITY",PG$3,$E$3, $J$3, , $G$3, $H$3)),"")</f>
        <v/>
      </c>
      <c r="PH11" s="72" t="str">
        <f>IFERROR(IF(OR($B11="",PH$3=""),"",_xll.ciqfunctions.udf.CIQ($B11,"IQ_NON_PERFORMING_LOANS",PH$3,$E$3, $J$3, , $G$3, $H$3)/_xll.ciqfunctions.udf.CIQ($B11,"IQ_TOTAL_EQUITY",PH$3,$E$3, $J$3, , $G$3, $H$3)),"")</f>
        <v/>
      </c>
      <c r="PI11" s="72" t="str">
        <f>IFERROR(IF(OR($B11="",PI$3=""),"",_xll.ciqfunctions.udf.CIQ($B11,"IQ_NON_PERFORMING_LOANS",PI$3,$E$3, $J$3, , $G$3, $H$3)/_xll.ciqfunctions.udf.CIQ($B11,"IQ_TOTAL_EQUITY",PI$3,$E$3, $J$3, , $G$3, $H$3)),"")</f>
        <v/>
      </c>
      <c r="PJ11" s="72" t="str">
        <f>IFERROR(IF(OR($B11="",PJ$3=""),"",_xll.ciqfunctions.udf.CIQ($B11,"IQ_NON_PERFORMING_LOANS",PJ$3,$E$3, $J$3, , $G$3, $H$3)/_xll.ciqfunctions.udf.CIQ($B11,"IQ_TOTAL_EQUITY",PJ$3,$E$3, $J$3, , $G$3, $H$3)),"")</f>
        <v/>
      </c>
      <c r="PK11" s="72" t="str">
        <f>IFERROR(IF(OR($B11="",PK$3=""),"",_xll.ciqfunctions.udf.CIQ($B11,"IQ_NON_PERFORMING_LOANS",PK$3,$E$3, $J$3, , $G$3, $H$3)/_xll.ciqfunctions.udf.CIQ($B11,"IQ_TOTAL_EQUITY",PK$3,$E$3, $J$3, , $G$3, $H$3)),"")</f>
        <v/>
      </c>
      <c r="PL11" s="72" t="str">
        <f>IFERROR(IF(OR($B11="",PL$3=""),"",_xll.ciqfunctions.udf.CIQ($B11,"IQ_NON_PERFORMING_LOANS",PL$3,$E$3, $J$3, , $G$3, $H$3)/_xll.ciqfunctions.udf.CIQ($B11,"IQ_TOTAL_EQUITY",PL$3,$E$3, $J$3, , $G$3, $H$3)),"")</f>
        <v/>
      </c>
      <c r="PM11" s="72" t="str">
        <f>IFERROR(IF(OR($B11="",PM$3=""),"",_xll.ciqfunctions.udf.CIQ($B11,"IQ_NON_PERFORMING_LOANS",PM$3,$E$3, $J$3, , $G$3, $H$3)/_xll.ciqfunctions.udf.CIQ($B11,"IQ_TOTAL_EQUITY",PM$3,$E$3, $J$3, , $G$3, $H$3)),"")</f>
        <v/>
      </c>
      <c r="PN11" s="72" t="str">
        <f>IFERROR(IF(OR($B11="",PN$3=""),"",_xll.ciqfunctions.udf.CIQ($B11,"IQ_NON_PERFORMING_LOANS",PN$3,$E$3, $J$3, , $G$3, $H$3)/_xll.ciqfunctions.udf.CIQ($B11,"IQ_TOTAL_EQUITY",PN$3,$E$3, $J$3, , $G$3, $H$3)),"")</f>
        <v/>
      </c>
      <c r="PO11" s="72" t="str">
        <f>IFERROR(IF(OR($B11="",PO$3=""),"",(_xll.ciqfunctions.udf.CIQ($B11,"IQ_LASTSALEPRICE",PO$4)/_xll.ciqfunctions.udf.CIQ($B11,"IQ_LASTSALEPRICE",PO$2)-1)+(_xll.ciqfunctions.udf.CIQ($B11, "IQ_DPS_1YR_ANN_GROWTH", "IQ_LTM", PO$4)/100)),"")</f>
        <v/>
      </c>
      <c r="PP11" s="72" t="str">
        <f>IFERROR(IF(OR($B11="",PP$3=""),"",(_xll.ciqfunctions.udf.CIQ($B11,"IQ_LASTSALEPRICE",PP$4)/_xll.ciqfunctions.udf.CIQ($B11,"IQ_LASTSALEPRICE",PP$2)-1)+(_xll.ciqfunctions.udf.CIQ($B11, "IQ_DPS_1YR_ANN_GROWTH", "IQ_LTM", PP$4)/100)),"")</f>
        <v/>
      </c>
      <c r="PQ11" s="72" t="str">
        <f>IFERROR(IF(OR($B11="",PQ$3=""),"",(_xll.ciqfunctions.udf.CIQ($B11,"IQ_LASTSALEPRICE",PQ$4)/_xll.ciqfunctions.udf.CIQ($B11,"IQ_LASTSALEPRICE",PQ$2)-1)+(_xll.ciqfunctions.udf.CIQ($B11, "IQ_DPS_1YR_ANN_GROWTH", "IQ_LTM", PQ$4)/100)),"")</f>
        <v/>
      </c>
      <c r="PR11" s="72" t="str">
        <f>IFERROR(IF(OR($B11="",PR$3=""),"",(_xll.ciqfunctions.udf.CIQ($B11,"IQ_LASTSALEPRICE",PR$4)/_xll.ciqfunctions.udf.CIQ($B11,"IQ_LASTSALEPRICE",PR$2)-1)+(_xll.ciqfunctions.udf.CIQ($B11, "IQ_DPS_1YR_ANN_GROWTH", "IQ_LTM", PR$4)/100)),"")</f>
        <v/>
      </c>
      <c r="PS11" s="72" t="str">
        <f>IFERROR(IF(OR($B11="",PS$3=""),"",(_xll.ciqfunctions.udf.CIQ($B11,"IQ_LASTSALEPRICE",PS$4)/_xll.ciqfunctions.udf.CIQ($B11,"IQ_LASTSALEPRICE",PS$2)-1)+(_xll.ciqfunctions.udf.CIQ($B11, "IQ_DPS_1YR_ANN_GROWTH", "IQ_LTM", PS$4)/100)),"")</f>
        <v/>
      </c>
      <c r="PT11" s="72" t="str">
        <f>IFERROR(IF(OR($B11="",PT$3=""),"",(_xll.ciqfunctions.udf.CIQ($B11,"IQ_LASTSALEPRICE",PT$4)/_xll.ciqfunctions.udf.CIQ($B11,"IQ_LASTSALEPRICE",PT$2)-1)+(_xll.ciqfunctions.udf.CIQ($B11, "IQ_DPS_1YR_ANN_GROWTH", "IQ_LTM", PT$4)/100)),"")</f>
        <v/>
      </c>
      <c r="PU11" s="72" t="str">
        <f>IFERROR(IF(OR($B11="",PU$3=""),"",(_xll.ciqfunctions.udf.CIQ($B11,"IQ_LASTSALEPRICE",PU$4)/_xll.ciqfunctions.udf.CIQ($B11,"IQ_LASTSALEPRICE",PU$2)-1)+(_xll.ciqfunctions.udf.CIQ($B11, "IQ_DPS_1YR_ANN_GROWTH", "IQ_LTM", PU$4)/100)),"")</f>
        <v/>
      </c>
      <c r="PV11" s="72" t="str">
        <f>IFERROR(IF(OR($B11="",PV$3=""),"",(_xll.ciqfunctions.udf.CIQ($B11,"IQ_LASTSALEPRICE",PV$4)/_xll.ciqfunctions.udf.CIQ($B11,"IQ_LASTSALEPRICE",PV$2)-1)+(_xll.ciqfunctions.udf.CIQ($B11, "IQ_DPS_1YR_ANN_GROWTH", "IQ_LTM", PV$4)/100)),"")</f>
        <v/>
      </c>
      <c r="PW11" s="72" t="str">
        <f>IFERROR(IF(OR($B11="",PW$3=""),"",(_xll.ciqfunctions.udf.CIQ($B11,"IQ_LASTSALEPRICE",PW$4)/_xll.ciqfunctions.udf.CIQ($B11,"IQ_LASTSALEPRICE",PW$2)-1)+(_xll.ciqfunctions.udf.CIQ($B11, "IQ_DPS_1YR_ANN_GROWTH", "IQ_LTM", PW$4)/100)),"")</f>
        <v/>
      </c>
      <c r="PX11" s="72" t="str">
        <f>IFERROR(IF(OR($B11="",PX$3=""),"",(_xll.ciqfunctions.udf.CIQ($B11,"IQ_LASTSALEPRICE",PX$4)/_xll.ciqfunctions.udf.CIQ($B11,"IQ_LASTSALEPRICE",PX$2)-1)+(_xll.ciqfunctions.udf.CIQ($B11, "IQ_DPS_1YR_ANN_GROWTH", "IQ_LTM", PX$4)/100)),"")</f>
        <v/>
      </c>
      <c r="PY11" s="72" t="str">
        <f>IFERROR(IF(OR($B11="",PY$3=""),"",(_xll.ciqfunctions.udf.CIQ($B11,"IQ_LASTSALEPRICE",PY$4)/_xll.ciqfunctions.udf.CIQ($B11,"IQ_LASTSALEPRICE",PY$2)-1)+(_xll.ciqfunctions.udf.CIQ($B11, "IQ_DPS_1YR_ANN_GROWTH", "IQ_LTM", PY$4)/100)),"")</f>
        <v/>
      </c>
      <c r="PZ11" s="72" t="str">
        <f>IFERROR(IF(OR($B11="",PZ$3=""),"",(_xll.ciqfunctions.udf.CIQ($B11,"IQ_LASTSALEPRICE",PZ$4)/_xll.ciqfunctions.udf.CIQ($B11,"IQ_LASTSALEPRICE",PZ$2)-1)+(_xll.ciqfunctions.udf.CIQ($B11, "IQ_DPS_1YR_ANN_GROWTH", "IQ_LTM", PZ$4)/100)),"")</f>
        <v/>
      </c>
      <c r="QA11" s="72" t="str">
        <f>IFERROR(IF(OR($B11="",QA$3=""),"",(_xll.ciqfunctions.udf.CIQ($B11,"IQ_LASTSALEPRICE",QA$4)/_xll.ciqfunctions.udf.CIQ($B11,"IQ_LASTSALEPRICE",QA$2)-1)+(_xll.ciqfunctions.udf.CIQ($B11, "IQ_DPS_1YR_ANN_GROWTH", "IQ_LTM", QA$4)/100)),"")</f>
        <v/>
      </c>
      <c r="QB11" s="72" t="str">
        <f>IFERROR(IF(OR($B11="",QB$3=""),"",(_xll.ciqfunctions.udf.CIQ($B11,"IQ_LASTSALEPRICE",QB$4)/_xll.ciqfunctions.udf.CIQ($B11,"IQ_LASTSALEPRICE",QB$2)-1)+(_xll.ciqfunctions.udf.CIQ($B11, "IQ_DPS_1YR_ANN_GROWTH", "IQ_LTM", QB$4)/100)),"")</f>
        <v/>
      </c>
      <c r="QC11" s="72" t="str">
        <f>IFERROR(IF(OR($B11="",QC$3=""),"",(_xll.ciqfunctions.udf.CIQ($B11,"IQ_LASTSALEPRICE",QC$4)/_xll.ciqfunctions.udf.CIQ($B11,"IQ_LASTSALEPRICE",QC$2)-1)+(_xll.ciqfunctions.udf.CIQ($B11, "IQ_DPS_1YR_ANN_GROWTH", "IQ_LTM", QC$4)/100)),"")</f>
        <v/>
      </c>
      <c r="QD11" s="72" t="str">
        <f>IFERROR(IF(OR($B11="",QD$3=""),"",(_xll.ciqfunctions.udf.CIQ($B11,"IQ_LASTSALEPRICE",QD$4)/_xll.ciqfunctions.udf.CIQ($B11,"IQ_LASTSALEPRICE",QD$2)-1)+(_xll.ciqfunctions.udf.CIQ($B11, "IQ_DPS_1YR_ANN_GROWTH", "IQ_LTM", QD$4)/100)),"")</f>
        <v/>
      </c>
      <c r="QE11" s="72" t="str">
        <f>IFERROR(IF(OR($B11="",QE$3=""),"",(_xll.ciqfunctions.udf.CIQ($B11,"IQ_LASTSALEPRICE",QE$4)/_xll.ciqfunctions.udf.CIQ($B11,"IQ_LASTSALEPRICE",QE$2)-1)+(_xll.ciqfunctions.udf.CIQ($B11, "IQ_DPS_1YR_ANN_GROWTH", "IQ_LTM", QE$4)/100)),"")</f>
        <v/>
      </c>
      <c r="QF11" s="72" t="str">
        <f>IFERROR(IF(OR($B11="",QF$3=""),"",(_xll.ciqfunctions.udf.CIQ($B11,"IQ_LASTSALEPRICE",QF$4)/_xll.ciqfunctions.udf.CIQ($B11,"IQ_LASTSALEPRICE",QF$2)-1)+(_xll.ciqfunctions.udf.CIQ($B11, "IQ_DPS_1YR_ANN_GROWTH", "IQ_LTM", QF$4)/100)),"")</f>
        <v/>
      </c>
      <c r="QG11" s="72" t="str">
        <f>IFERROR(IF(OR($B11="",QG$3=""),"",(_xll.ciqfunctions.udf.CIQ($B11,"IQ_LASTSALEPRICE",QG$4)/_xll.ciqfunctions.udf.CIQ($B11,"IQ_LASTSALEPRICE",QG$2)-1)+(_xll.ciqfunctions.udf.CIQ($B11, "IQ_DPS_1YR_ANN_GROWTH", "IQ_LTM", QG$4)/100)),"")</f>
        <v/>
      </c>
      <c r="QH11" s="72" t="str">
        <f>IFERROR(IF(OR($B11="",QH$3=""),"",(_xll.ciqfunctions.udf.CIQ($B11,"IQ_LASTSALEPRICE",QH$4)/_xll.ciqfunctions.udf.CIQ($B11,"IQ_LASTSALEPRICE",QH$2)-1)+(_xll.ciqfunctions.udf.CIQ($B11, "IQ_DPS_1YR_ANN_GROWTH", "IQ_LTM", QH$4)/100)),"")</f>
        <v/>
      </c>
      <c r="QI11" s="72" t="str">
        <f>IFERROR(IF(OR($B11="",QI$3=""),"",_xll.ciqfunctions.udf.CIQ($B11,"IQ_NI",QI$3,$E$3, $J$3, , $G$3, $H$3)*2/(_xll.ciqfunctions.udf.CIQ($B11,"IQ_TOTAL_BANK_CAPITAL",QI$3,$E$3, $J$3, , $G$3, $H$3)+_xll.ciqfunctions.udf.CIQ($B11,"IQ_TOTAL_BANK_CAPITAL","IQ_" &amp; LEFT(QI$3,2) &amp; "-1", QI$3, $J$3, , $G$3, $H$3))),"")</f>
        <v/>
      </c>
      <c r="QJ11" s="72" t="str">
        <f>IFERROR(IF(OR($B11="",QJ$3=""),"",_xll.ciqfunctions.udf.CIQ($B11,"IQ_NI",QJ$3,$E$3, $J$3, , $G$3, $H$3)*2/(_xll.ciqfunctions.udf.CIQ($B11,"IQ_TOTAL_BANK_CAPITAL",QJ$3,$E$3, $J$3, , $G$3, $H$3)+_xll.ciqfunctions.udf.CIQ($B11,"IQ_TOTAL_BANK_CAPITAL","IQ_" &amp; LEFT(QJ$3,2) &amp; "-1", QJ$3, $J$3, , $G$3, $H$3))),"")</f>
        <v/>
      </c>
      <c r="QK11" s="72" t="str">
        <f>IFERROR(IF(OR($B11="",QK$3=""),"",_xll.ciqfunctions.udf.CIQ($B11,"IQ_NI",QK$3,$E$3, $J$3, , $G$3, $H$3)*2/(_xll.ciqfunctions.udf.CIQ($B11,"IQ_TOTAL_BANK_CAPITAL",QK$3,$E$3, $J$3, , $G$3, $H$3)+_xll.ciqfunctions.udf.CIQ($B11,"IQ_TOTAL_BANK_CAPITAL","IQ_" &amp; LEFT(QK$3,2) &amp; "-1", QK$3, $J$3, , $G$3, $H$3))),"")</f>
        <v/>
      </c>
      <c r="QL11" s="72" t="str">
        <f>IFERROR(IF(OR($B11="",QL$3=""),"",_xll.ciqfunctions.udf.CIQ($B11,"IQ_NI",QL$3,$E$3, $J$3, , $G$3, $H$3)*2/(_xll.ciqfunctions.udf.CIQ($B11,"IQ_TOTAL_BANK_CAPITAL",QL$3,$E$3, $J$3, , $G$3, $H$3)+_xll.ciqfunctions.udf.CIQ($B11,"IQ_TOTAL_BANK_CAPITAL","IQ_" &amp; LEFT(QL$3,2) &amp; "-1", QL$3, $J$3, , $G$3, $H$3))),"")</f>
        <v/>
      </c>
      <c r="QM11" s="72" t="str">
        <f>IFERROR(IF(OR($B11="",QM$3=""),"",_xll.ciqfunctions.udf.CIQ($B11,"IQ_NI",QM$3,$E$3, $J$3, , $G$3, $H$3)*2/(_xll.ciqfunctions.udf.CIQ($B11,"IQ_TOTAL_BANK_CAPITAL",QM$3,$E$3, $J$3, , $G$3, $H$3)+_xll.ciqfunctions.udf.CIQ($B11,"IQ_TOTAL_BANK_CAPITAL","IQ_" &amp; LEFT(QM$3,2) &amp; "-1", QM$3, $J$3, , $G$3, $H$3))),"")</f>
        <v/>
      </c>
      <c r="QN11" s="72" t="str">
        <f>IFERROR(IF(OR($B11="",QN$3=""),"",_xll.ciqfunctions.udf.CIQ($B11,"IQ_NI",QN$3,$E$3, $J$3, , $G$3, $H$3)*2/(_xll.ciqfunctions.udf.CIQ($B11,"IQ_TOTAL_BANK_CAPITAL",QN$3,$E$3, $J$3, , $G$3, $H$3)+_xll.ciqfunctions.udf.CIQ($B11,"IQ_TOTAL_BANK_CAPITAL","IQ_" &amp; LEFT(QN$3,2) &amp; "-1", QN$3, $J$3, , $G$3, $H$3))),"")</f>
        <v/>
      </c>
      <c r="QO11" s="72" t="str">
        <f>IFERROR(IF(OR($B11="",QO$3=""),"",_xll.ciqfunctions.udf.CIQ($B11,"IQ_NI",QO$3,$E$3, $J$3, , $G$3, $H$3)*2/(_xll.ciqfunctions.udf.CIQ($B11,"IQ_TOTAL_BANK_CAPITAL",QO$3,$E$3, $J$3, , $G$3, $H$3)+_xll.ciqfunctions.udf.CIQ($B11,"IQ_TOTAL_BANK_CAPITAL","IQ_" &amp; LEFT(QO$3,2) &amp; "-1", QO$3, $J$3, , $G$3, $H$3))),"")</f>
        <v/>
      </c>
      <c r="QP11" s="72" t="str">
        <f>IFERROR(IF(OR($B11="",QP$3=""),"",_xll.ciqfunctions.udf.CIQ($B11,"IQ_NI",QP$3,$E$3, $J$3, , $G$3, $H$3)*2/(_xll.ciqfunctions.udf.CIQ($B11,"IQ_TOTAL_BANK_CAPITAL",QP$3,$E$3, $J$3, , $G$3, $H$3)+_xll.ciqfunctions.udf.CIQ($B11,"IQ_TOTAL_BANK_CAPITAL","IQ_" &amp; LEFT(QP$3,2) &amp; "-1", QP$3, $J$3, , $G$3, $H$3))),"")</f>
        <v/>
      </c>
      <c r="QQ11" s="72" t="str">
        <f>IFERROR(IF(OR($B11="",QQ$3=""),"",_xll.ciqfunctions.udf.CIQ($B11,"IQ_NI",QQ$3,$E$3, $J$3, , $G$3, $H$3)*2/(_xll.ciqfunctions.udf.CIQ($B11,"IQ_TOTAL_BANK_CAPITAL",QQ$3,$E$3, $J$3, , $G$3, $H$3)+_xll.ciqfunctions.udf.CIQ($B11,"IQ_TOTAL_BANK_CAPITAL","IQ_" &amp; LEFT(QQ$3,2) &amp; "-1", QQ$3, $J$3, , $G$3, $H$3))),"")</f>
        <v/>
      </c>
      <c r="QR11" s="72" t="str">
        <f>IFERROR(IF(OR($B11="",QR$3=""),"",_xll.ciqfunctions.udf.CIQ($B11,"IQ_NI",QR$3,$E$3, $J$3, , $G$3, $H$3)*2/(_xll.ciqfunctions.udf.CIQ($B11,"IQ_TOTAL_BANK_CAPITAL",QR$3,$E$3, $J$3, , $G$3, $H$3)+_xll.ciqfunctions.udf.CIQ($B11,"IQ_TOTAL_BANK_CAPITAL","IQ_" &amp; LEFT(QR$3,2) &amp; "-1", QR$3, $J$3, , $G$3, $H$3))),"")</f>
        <v/>
      </c>
      <c r="QS11" s="72" t="str">
        <f>IFERROR(IF(OR($B11="",QS$3=""),"",_xll.ciqfunctions.udf.CIQ($B11,"IQ_NI",QS$3,$E$3, $J$3, , $G$3, $H$3)*2/(_xll.ciqfunctions.udf.CIQ($B11,"IQ_TOTAL_BANK_CAPITAL",QS$3,$E$3, $J$3, , $G$3, $H$3)+_xll.ciqfunctions.udf.CIQ($B11,"IQ_TOTAL_BANK_CAPITAL","IQ_" &amp; LEFT(QS$3,2) &amp; "-1", QS$3, $J$3, , $G$3, $H$3))),"")</f>
        <v/>
      </c>
      <c r="QT11" s="72" t="str">
        <f>IFERROR(IF(OR($B11="",QT$3=""),"",_xll.ciqfunctions.udf.CIQ($B11,"IQ_NI",QT$3,$E$3, $J$3, , $G$3, $H$3)*2/(_xll.ciqfunctions.udf.CIQ($B11,"IQ_TOTAL_BANK_CAPITAL",QT$3,$E$3, $J$3, , $G$3, $H$3)+_xll.ciqfunctions.udf.CIQ($B11,"IQ_TOTAL_BANK_CAPITAL","IQ_" &amp; LEFT(QT$3,2) &amp; "-1", QT$3, $J$3, , $G$3, $H$3))),"")</f>
        <v/>
      </c>
      <c r="QU11" s="72" t="str">
        <f>IFERROR(IF(OR($B11="",QU$3=""),"",_xll.ciqfunctions.udf.CIQ($B11,"IQ_NI",QU$3,$E$3, $J$3, , $G$3, $H$3)*2/(_xll.ciqfunctions.udf.CIQ($B11,"IQ_TOTAL_BANK_CAPITAL",QU$3,$E$3, $J$3, , $G$3, $H$3)+_xll.ciqfunctions.udf.CIQ($B11,"IQ_TOTAL_BANK_CAPITAL","IQ_" &amp; LEFT(QU$3,2) &amp; "-1", QU$3, $J$3, , $G$3, $H$3))),"")</f>
        <v/>
      </c>
      <c r="QV11" s="72" t="str">
        <f>IFERROR(IF(OR($B11="",QV$3=""),"",_xll.ciqfunctions.udf.CIQ($B11,"IQ_NI",QV$3,$E$3, $J$3, , $G$3, $H$3)*2/(_xll.ciqfunctions.udf.CIQ($B11,"IQ_TOTAL_BANK_CAPITAL",QV$3,$E$3, $J$3, , $G$3, $H$3)+_xll.ciqfunctions.udf.CIQ($B11,"IQ_TOTAL_BANK_CAPITAL","IQ_" &amp; LEFT(QV$3,2) &amp; "-1", QV$3, $J$3, , $G$3, $H$3))),"")</f>
        <v/>
      </c>
      <c r="QW11" s="72" t="str">
        <f>IFERROR(IF(OR($B11="",QW$3=""),"",_xll.ciqfunctions.udf.CIQ($B11,"IQ_NI",QW$3,$E$3, $J$3, , $G$3, $H$3)*2/(_xll.ciqfunctions.udf.CIQ($B11,"IQ_TOTAL_BANK_CAPITAL",QW$3,$E$3, $J$3, , $G$3, $H$3)+_xll.ciqfunctions.udf.CIQ($B11,"IQ_TOTAL_BANK_CAPITAL","IQ_" &amp; LEFT(QW$3,2) &amp; "-1", QW$3, $J$3, , $G$3, $H$3))),"")</f>
        <v/>
      </c>
      <c r="QX11" s="72" t="str">
        <f>IFERROR(IF(OR($B11="",QX$3=""),"",_xll.ciqfunctions.udf.CIQ($B11,"IQ_NI",QX$3,$E$3, $J$3, , $G$3, $H$3)*2/(_xll.ciqfunctions.udf.CIQ($B11,"IQ_TOTAL_BANK_CAPITAL",QX$3,$E$3, $J$3, , $G$3, $H$3)+_xll.ciqfunctions.udf.CIQ($B11,"IQ_TOTAL_BANK_CAPITAL","IQ_" &amp; LEFT(QX$3,2) &amp; "-1", QX$3, $J$3, , $G$3, $H$3))),"")</f>
        <v/>
      </c>
      <c r="QY11" s="72" t="str">
        <f>IFERROR(IF(OR($B11="",QY$3=""),"",_xll.ciqfunctions.udf.CIQ($B11,"IQ_NI",QY$3,$E$3, $J$3, , $G$3, $H$3)*2/(_xll.ciqfunctions.udf.CIQ($B11,"IQ_TOTAL_BANK_CAPITAL",QY$3,$E$3, $J$3, , $G$3, $H$3)+_xll.ciqfunctions.udf.CIQ($B11,"IQ_TOTAL_BANK_CAPITAL","IQ_" &amp; LEFT(QY$3,2) &amp; "-1", QY$3, $J$3, , $G$3, $H$3))),"")</f>
        <v/>
      </c>
      <c r="QZ11" s="72" t="str">
        <f>IFERROR(IF(OR($B11="",QZ$3=""),"",_xll.ciqfunctions.udf.CIQ($B11,"IQ_NI",QZ$3,$E$3, $J$3, , $G$3, $H$3)*2/(_xll.ciqfunctions.udf.CIQ($B11,"IQ_TOTAL_BANK_CAPITAL",QZ$3,$E$3, $J$3, , $G$3, $H$3)+_xll.ciqfunctions.udf.CIQ($B11,"IQ_TOTAL_BANK_CAPITAL","IQ_" &amp; LEFT(QZ$3,2) &amp; "-1", QZ$3, $J$3, , $G$3, $H$3))),"")</f>
        <v/>
      </c>
      <c r="RA11" s="72" t="str">
        <f>IFERROR(IF(OR($B11="",RA$3=""),"",_xll.ciqfunctions.udf.CIQ($B11,"IQ_NI",RA$3,$E$3, $J$3, , $G$3, $H$3)*2/(_xll.ciqfunctions.udf.CIQ($B11,"IQ_TOTAL_BANK_CAPITAL",RA$3,$E$3, $J$3, , $G$3, $H$3)+_xll.ciqfunctions.udf.CIQ($B11,"IQ_TOTAL_BANK_CAPITAL","IQ_" &amp; LEFT(RA$3,2) &amp; "-1", RA$3, $J$3, , $G$3, $H$3))),"")</f>
        <v/>
      </c>
      <c r="RB11" s="72" t="str">
        <f>IFERROR(IF(OR($B11="",RB$3=""),"",_xll.ciqfunctions.udf.CIQ($B11,"IQ_NI",RB$3,$E$3, $J$3, , $G$3, $H$3)*2/(_xll.ciqfunctions.udf.CIQ($B11,"IQ_TOTAL_BANK_CAPITAL",RB$3,$E$3, $J$3, , $G$3, $H$3)+_xll.ciqfunctions.udf.CIQ($B11,"IQ_TOTAL_BANK_CAPITAL","IQ_" &amp; LEFT(RB$3,2) &amp; "-1", RB$3, $J$3, , $G$3, $H$3))),"")</f>
        <v/>
      </c>
      <c r="RC11" s="628" t="str">
        <f>IFERROR(IF(OR($B11="",RC$4=""),"",(IFERROR(_xll.ciqfunctions.udf.CIQ($B11,"IQ_MARKETCAP",RC$4),0)+IFERROR(_xll.ciqfunctions.udf.CIQ($B11,"IQ_TOTAL_DEBT",RC$3),0)+IFERROR(_xll.ciqfunctions.udf.CIQ($B11,"IQ_PREF_EQUITY",RC$3),0)+IFERROR(_xll.ciqfunctions.udf.CIQ($B11,"IQ_MINORITY_INTEREST",RC$3),0)-IFERROR(_xll.ciqfunctions.udf.CIQ($B11,"IQ_ST_INVEST",RC$3),0)-IFERROR(_xll.ciqfunctions.udf.CIQ($B11,"IQ_cash_equiv",RC$3),0))/_xll.ciqfunctions.udf.CIQ($B11,"IQ_TOTAL_BANK_CAPITAL",QI$3,$E$3,$J$3,,$G$3,$H$3)),"")</f>
        <v/>
      </c>
      <c r="RD11" s="628" t="str">
        <f>IFERROR(IF(OR($B11="",RD$4=""),"",(IFERROR(_xll.ciqfunctions.udf.CIQ($B11,"IQ_MARKETCAP",RD$4),0)+IFERROR(_xll.ciqfunctions.udf.CIQ($B11,"IQ_TOTAL_DEBT",RD$3),0)+IFERROR(_xll.ciqfunctions.udf.CIQ($B11,"IQ_PREF_EQUITY",RD$3),0)+IFERROR(_xll.ciqfunctions.udf.CIQ($B11,"IQ_MINORITY_INTEREST",RD$3),0)-IFERROR(_xll.ciqfunctions.udf.CIQ($B11,"IQ_ST_INVEST",RD$3),0)-IFERROR(_xll.ciqfunctions.udf.CIQ($B11,"IQ_cash_equiv",RD$3),0))/_xll.ciqfunctions.udf.CIQ($B11,"IQ_TOTAL_BANK_CAPITAL",QJ$3,$E$3,$J$3,,$G$3,$H$3)),"")</f>
        <v/>
      </c>
      <c r="RE11" s="628" t="str">
        <f>IFERROR(IF(OR($B11="",RE$4=""),"",(IFERROR(_xll.ciqfunctions.udf.CIQ($B11,"IQ_MARKETCAP",RE$4),0)+IFERROR(_xll.ciqfunctions.udf.CIQ($B11,"IQ_TOTAL_DEBT",RE$3),0)+IFERROR(_xll.ciqfunctions.udf.CIQ($B11,"IQ_PREF_EQUITY",RE$3),0)+IFERROR(_xll.ciqfunctions.udf.CIQ($B11,"IQ_MINORITY_INTEREST",RE$3),0)-IFERROR(_xll.ciqfunctions.udf.CIQ($B11,"IQ_ST_INVEST",RE$3),0)-IFERROR(_xll.ciqfunctions.udf.CIQ($B11,"IQ_cash_equiv",RE$3),0))/_xll.ciqfunctions.udf.CIQ($B11,"IQ_TOTAL_BANK_CAPITAL",QK$3,$E$3,$J$3,,$G$3,$H$3)),"")</f>
        <v/>
      </c>
      <c r="RF11" s="628" t="str">
        <f>IFERROR(IF(OR($B11="",RF$4=""),"",(IFERROR(_xll.ciqfunctions.udf.CIQ($B11,"IQ_MARKETCAP",RF$4),0)+IFERROR(_xll.ciqfunctions.udf.CIQ($B11,"IQ_TOTAL_DEBT",RF$3),0)+IFERROR(_xll.ciqfunctions.udf.CIQ($B11,"IQ_PREF_EQUITY",RF$3),0)+IFERROR(_xll.ciqfunctions.udf.CIQ($B11,"IQ_MINORITY_INTEREST",RF$3),0)-IFERROR(_xll.ciqfunctions.udf.CIQ($B11,"IQ_ST_INVEST",RF$3),0)-IFERROR(_xll.ciqfunctions.udf.CIQ($B11,"IQ_cash_equiv",RF$3),0))/_xll.ciqfunctions.udf.CIQ($B11,"IQ_TOTAL_BANK_CAPITAL",QL$3,$E$3,$J$3,,$G$3,$H$3)),"")</f>
        <v/>
      </c>
      <c r="RG11" s="628" t="str">
        <f>IFERROR(IF(OR($B11="",RG$4=""),"",(IFERROR(_xll.ciqfunctions.udf.CIQ($B11,"IQ_MARKETCAP",RG$4),0)+IFERROR(_xll.ciqfunctions.udf.CIQ($B11,"IQ_TOTAL_DEBT",RG$3),0)+IFERROR(_xll.ciqfunctions.udf.CIQ($B11,"IQ_PREF_EQUITY",RG$3),0)+IFERROR(_xll.ciqfunctions.udf.CIQ($B11,"IQ_MINORITY_INTEREST",RG$3),0)-IFERROR(_xll.ciqfunctions.udf.CIQ($B11,"IQ_ST_INVEST",RG$3),0)-IFERROR(_xll.ciqfunctions.udf.CIQ($B11,"IQ_cash_equiv",RG$3),0))/_xll.ciqfunctions.udf.CIQ($B11,"IQ_TOTAL_BANK_CAPITAL",QM$3,$E$3,$J$3,,$G$3,$H$3)),"")</f>
        <v/>
      </c>
      <c r="RH11" s="628" t="str">
        <f>IFERROR(IF(OR($B11="",RH$4=""),"",(IFERROR(_xll.ciqfunctions.udf.CIQ($B11,"IQ_MARKETCAP",RH$4),0)+IFERROR(_xll.ciqfunctions.udf.CIQ($B11,"IQ_TOTAL_DEBT",RH$3),0)+IFERROR(_xll.ciqfunctions.udf.CIQ($B11,"IQ_PREF_EQUITY",RH$3),0)+IFERROR(_xll.ciqfunctions.udf.CIQ($B11,"IQ_MINORITY_INTEREST",RH$3),0)-IFERROR(_xll.ciqfunctions.udf.CIQ($B11,"IQ_ST_INVEST",RH$3),0)-IFERROR(_xll.ciqfunctions.udf.CIQ($B11,"IQ_cash_equiv",RH$3),0))/_xll.ciqfunctions.udf.CIQ($B11,"IQ_TOTAL_BANK_CAPITAL",QN$3,$E$3,$J$3,,$G$3,$H$3)),"")</f>
        <v/>
      </c>
      <c r="RI11" s="628" t="str">
        <f>IFERROR(IF(OR($B11="",RI$4=""),"",(IFERROR(_xll.ciqfunctions.udf.CIQ($B11,"IQ_MARKETCAP",RI$4),0)+IFERROR(_xll.ciqfunctions.udf.CIQ($B11,"IQ_TOTAL_DEBT",RI$3),0)+IFERROR(_xll.ciqfunctions.udf.CIQ($B11,"IQ_PREF_EQUITY",RI$3),0)+IFERROR(_xll.ciqfunctions.udf.CIQ($B11,"IQ_MINORITY_INTEREST",RI$3),0)-IFERROR(_xll.ciqfunctions.udf.CIQ($B11,"IQ_ST_INVEST",RI$3),0)-IFERROR(_xll.ciqfunctions.udf.CIQ($B11,"IQ_cash_equiv",RI$3),0))/_xll.ciqfunctions.udf.CIQ($B11,"IQ_TOTAL_BANK_CAPITAL",QO$3,$E$3,$J$3,,$G$3,$H$3)),"")</f>
        <v/>
      </c>
      <c r="RJ11" s="628" t="str">
        <f>IFERROR(IF(OR($B11="",RJ$4=""),"",(IFERROR(_xll.ciqfunctions.udf.CIQ($B11,"IQ_MARKETCAP",RJ$4),0)+IFERROR(_xll.ciqfunctions.udf.CIQ($B11,"IQ_TOTAL_DEBT",RJ$3),0)+IFERROR(_xll.ciqfunctions.udf.CIQ($B11,"IQ_PREF_EQUITY",RJ$3),0)+IFERROR(_xll.ciqfunctions.udf.CIQ($B11,"IQ_MINORITY_INTEREST",RJ$3),0)-IFERROR(_xll.ciqfunctions.udf.CIQ($B11,"IQ_ST_INVEST",RJ$3),0)-IFERROR(_xll.ciqfunctions.udf.CIQ($B11,"IQ_cash_equiv",RJ$3),0))/_xll.ciqfunctions.udf.CIQ($B11,"IQ_TOTAL_BANK_CAPITAL",QP$3,$E$3,$J$3,,$G$3,$H$3)),"")</f>
        <v/>
      </c>
      <c r="RK11" s="628" t="str">
        <f>IFERROR(IF(OR($B11="",RK$4=""),"",(IFERROR(_xll.ciqfunctions.udf.CIQ($B11,"IQ_MARKETCAP",RK$4),0)+IFERROR(_xll.ciqfunctions.udf.CIQ($B11,"IQ_TOTAL_DEBT",RK$3),0)+IFERROR(_xll.ciqfunctions.udf.CIQ($B11,"IQ_PREF_EQUITY",RK$3),0)+IFERROR(_xll.ciqfunctions.udf.CIQ($B11,"IQ_MINORITY_INTEREST",RK$3),0)-IFERROR(_xll.ciqfunctions.udf.CIQ($B11,"IQ_ST_INVEST",RK$3),0)-IFERROR(_xll.ciqfunctions.udf.CIQ($B11,"IQ_cash_equiv",RK$3),0))/_xll.ciqfunctions.udf.CIQ($B11,"IQ_TOTAL_BANK_CAPITAL",QQ$3,$E$3,$J$3,,$G$3,$H$3)),"")</f>
        <v/>
      </c>
      <c r="RL11" s="628" t="str">
        <f>IFERROR(IF(OR($B11="",RL$4=""),"",(IFERROR(_xll.ciqfunctions.udf.CIQ($B11,"IQ_MARKETCAP",RL$4),0)+IFERROR(_xll.ciqfunctions.udf.CIQ($B11,"IQ_TOTAL_DEBT",RL$3),0)+IFERROR(_xll.ciqfunctions.udf.CIQ($B11,"IQ_PREF_EQUITY",RL$3),0)+IFERROR(_xll.ciqfunctions.udf.CIQ($B11,"IQ_MINORITY_INTEREST",RL$3),0)-IFERROR(_xll.ciqfunctions.udf.CIQ($B11,"IQ_ST_INVEST",RL$3),0)-IFERROR(_xll.ciqfunctions.udf.CIQ($B11,"IQ_cash_equiv",RL$3),0))/_xll.ciqfunctions.udf.CIQ($B11,"IQ_TOTAL_BANK_CAPITAL",QR$3,$E$3,$J$3,,$G$3,$H$3)),"")</f>
        <v/>
      </c>
      <c r="RM11" s="628" t="str">
        <f>IFERROR(IF(OR($B11="",RM$4=""),"",(IFERROR(_xll.ciqfunctions.udf.CIQ($B11,"IQ_MARKETCAP",RM$4),0)+IFERROR(_xll.ciqfunctions.udf.CIQ($B11,"IQ_TOTAL_DEBT",RM$3),0)+IFERROR(_xll.ciqfunctions.udf.CIQ($B11,"IQ_PREF_EQUITY",RM$3),0)+IFERROR(_xll.ciqfunctions.udf.CIQ($B11,"IQ_MINORITY_INTEREST",RM$3),0)-IFERROR(_xll.ciqfunctions.udf.CIQ($B11,"IQ_ST_INVEST",RM$3),0)-IFERROR(_xll.ciqfunctions.udf.CIQ($B11,"IQ_cash_equiv",RM$3),0))/_xll.ciqfunctions.udf.CIQ($B11,"IQ_TOTAL_BANK_CAPITAL",QS$3,$E$3,$J$3,,$G$3,$H$3)),"")</f>
        <v/>
      </c>
      <c r="RN11" s="628" t="str">
        <f>IFERROR(IF(OR($B11="",RN$4=""),"",(IFERROR(_xll.ciqfunctions.udf.CIQ($B11,"IQ_MARKETCAP",RN$4),0)+IFERROR(_xll.ciqfunctions.udf.CIQ($B11,"IQ_TOTAL_DEBT",RN$3),0)+IFERROR(_xll.ciqfunctions.udf.CIQ($B11,"IQ_PREF_EQUITY",RN$3),0)+IFERROR(_xll.ciqfunctions.udf.CIQ($B11,"IQ_MINORITY_INTEREST",RN$3),0)-IFERROR(_xll.ciqfunctions.udf.CIQ($B11,"IQ_ST_INVEST",RN$3),0)-IFERROR(_xll.ciqfunctions.udf.CIQ($B11,"IQ_cash_equiv",RN$3),0))/_xll.ciqfunctions.udf.CIQ($B11,"IQ_TOTAL_BANK_CAPITAL",QT$3,$E$3,$J$3,,$G$3,$H$3)),"")</f>
        <v/>
      </c>
      <c r="RO11" s="628" t="str">
        <f>IFERROR(IF(OR($B11="",RO$4=""),"",(IFERROR(_xll.ciqfunctions.udf.CIQ($B11,"IQ_MARKETCAP",RO$4),0)+IFERROR(_xll.ciqfunctions.udf.CIQ($B11,"IQ_TOTAL_DEBT",RO$3),0)+IFERROR(_xll.ciqfunctions.udf.CIQ($B11,"IQ_PREF_EQUITY",RO$3),0)+IFERROR(_xll.ciqfunctions.udf.CIQ($B11,"IQ_MINORITY_INTEREST",RO$3),0)-IFERROR(_xll.ciqfunctions.udf.CIQ($B11,"IQ_ST_INVEST",RO$3),0)-IFERROR(_xll.ciqfunctions.udf.CIQ($B11,"IQ_cash_equiv",RO$3),0))/_xll.ciqfunctions.udf.CIQ($B11,"IQ_TOTAL_BANK_CAPITAL",QU$3,$E$3,$J$3,,$G$3,$H$3)),"")</f>
        <v/>
      </c>
      <c r="RP11" s="628" t="str">
        <f>IFERROR(IF(OR($B11="",RP$4=""),"",(IFERROR(_xll.ciqfunctions.udf.CIQ($B11,"IQ_MARKETCAP",RP$4),0)+IFERROR(_xll.ciqfunctions.udf.CIQ($B11,"IQ_TOTAL_DEBT",RP$3),0)+IFERROR(_xll.ciqfunctions.udf.CIQ($B11,"IQ_PREF_EQUITY",RP$3),0)+IFERROR(_xll.ciqfunctions.udf.CIQ($B11,"IQ_MINORITY_INTEREST",RP$3),0)-IFERROR(_xll.ciqfunctions.udf.CIQ($B11,"IQ_ST_INVEST",RP$3),0)-IFERROR(_xll.ciqfunctions.udf.CIQ($B11,"IQ_cash_equiv",RP$3),0))/_xll.ciqfunctions.udf.CIQ($B11,"IQ_TOTAL_BANK_CAPITAL",QV$3,$E$3,$J$3,,$G$3,$H$3)),"")</f>
        <v/>
      </c>
      <c r="RQ11" s="628" t="str">
        <f>IFERROR(IF(OR($B11="",RQ$4=""),"",(IFERROR(_xll.ciqfunctions.udf.CIQ($B11,"IQ_MARKETCAP",RQ$4),0)+IFERROR(_xll.ciqfunctions.udf.CIQ($B11,"IQ_TOTAL_DEBT",RQ$3),0)+IFERROR(_xll.ciqfunctions.udf.CIQ($B11,"IQ_PREF_EQUITY",RQ$3),0)+IFERROR(_xll.ciqfunctions.udf.CIQ($B11,"IQ_MINORITY_INTEREST",RQ$3),0)-IFERROR(_xll.ciqfunctions.udf.CIQ($B11,"IQ_ST_INVEST",RQ$3),0)-IFERROR(_xll.ciqfunctions.udf.CIQ($B11,"IQ_cash_equiv",RQ$3),0))/_xll.ciqfunctions.udf.CIQ($B11,"IQ_TOTAL_BANK_CAPITAL",QW$3,$E$3,$J$3,,$G$3,$H$3)),"")</f>
        <v/>
      </c>
      <c r="RR11" s="628" t="str">
        <f>IFERROR(IF(OR($B11="",RR$4=""),"",(IFERROR(_xll.ciqfunctions.udf.CIQ($B11,"IQ_MARKETCAP",RR$4),0)+IFERROR(_xll.ciqfunctions.udf.CIQ($B11,"IQ_TOTAL_DEBT",RR$3),0)+IFERROR(_xll.ciqfunctions.udf.CIQ($B11,"IQ_PREF_EQUITY",RR$3),0)+IFERROR(_xll.ciqfunctions.udf.CIQ($B11,"IQ_MINORITY_INTEREST",RR$3),0)-IFERROR(_xll.ciqfunctions.udf.CIQ($B11,"IQ_ST_INVEST",RR$3),0)-IFERROR(_xll.ciqfunctions.udf.CIQ($B11,"IQ_cash_equiv",RR$3),0))/_xll.ciqfunctions.udf.CIQ($B11,"IQ_TOTAL_BANK_CAPITAL",QX$3,$E$3,$J$3,,$G$3,$H$3)),"")</f>
        <v/>
      </c>
      <c r="RS11" s="628" t="str">
        <f>IFERROR(IF(OR($B11="",RS$4=""),"",(IFERROR(_xll.ciqfunctions.udf.CIQ($B11,"IQ_MARKETCAP",RS$4),0)+IFERROR(_xll.ciqfunctions.udf.CIQ($B11,"IQ_TOTAL_DEBT",RS$3),0)+IFERROR(_xll.ciqfunctions.udf.CIQ($B11,"IQ_PREF_EQUITY",RS$3),0)+IFERROR(_xll.ciqfunctions.udf.CIQ($B11,"IQ_MINORITY_INTEREST",RS$3),0)-IFERROR(_xll.ciqfunctions.udf.CIQ($B11,"IQ_ST_INVEST",RS$3),0)-IFERROR(_xll.ciqfunctions.udf.CIQ($B11,"IQ_cash_equiv",RS$3),0))/_xll.ciqfunctions.udf.CIQ($B11,"IQ_TOTAL_BANK_CAPITAL",QY$3,$E$3,$J$3,,$G$3,$H$3)),"")</f>
        <v/>
      </c>
      <c r="RT11" s="628" t="str">
        <f>IFERROR(IF(OR($B11="",RT$4=""),"",(IFERROR(_xll.ciqfunctions.udf.CIQ($B11,"IQ_MARKETCAP",RT$4),0)+IFERROR(_xll.ciqfunctions.udf.CIQ($B11,"IQ_TOTAL_DEBT",RT$3),0)+IFERROR(_xll.ciqfunctions.udf.CIQ($B11,"IQ_PREF_EQUITY",RT$3),0)+IFERROR(_xll.ciqfunctions.udf.CIQ($B11,"IQ_MINORITY_INTEREST",RT$3),0)-IFERROR(_xll.ciqfunctions.udf.CIQ($B11,"IQ_ST_INVEST",RT$3),0)-IFERROR(_xll.ciqfunctions.udf.CIQ($B11,"IQ_cash_equiv",RT$3),0))/_xll.ciqfunctions.udf.CIQ($B11,"IQ_TOTAL_BANK_CAPITAL",QZ$3,$E$3,$J$3,,$G$3,$H$3)),"")</f>
        <v/>
      </c>
      <c r="RU11" s="628" t="str">
        <f>IFERROR(IF(OR($B11="",RU$4=""),"",(IFERROR(_xll.ciqfunctions.udf.CIQ($B11,"IQ_MARKETCAP",RU$4),0)+IFERROR(_xll.ciqfunctions.udf.CIQ($B11,"IQ_TOTAL_DEBT",RU$3),0)+IFERROR(_xll.ciqfunctions.udf.CIQ($B11,"IQ_PREF_EQUITY",RU$3),0)+IFERROR(_xll.ciqfunctions.udf.CIQ($B11,"IQ_MINORITY_INTEREST",RU$3),0)-IFERROR(_xll.ciqfunctions.udf.CIQ($B11,"IQ_ST_INVEST",RU$3),0)-IFERROR(_xll.ciqfunctions.udf.CIQ($B11,"IQ_cash_equiv",RU$3),0))/_xll.ciqfunctions.udf.CIQ($B11,"IQ_TOTAL_BANK_CAPITAL",RA$3,$E$3,$J$3,,$G$3,$H$3)),"")</f>
        <v/>
      </c>
      <c r="RV11" s="628" t="str">
        <f>IFERROR(IF(OR($B11="",RV$4=""),"",(IFERROR(_xll.ciqfunctions.udf.CIQ($B11,"IQ_MARKETCAP",RV$4),0)+IFERROR(_xll.ciqfunctions.udf.CIQ($B11,"IQ_TOTAL_DEBT",RV$3),0)+IFERROR(_xll.ciqfunctions.udf.CIQ($B11,"IQ_PREF_EQUITY",RV$3),0)+IFERROR(_xll.ciqfunctions.udf.CIQ($B11,"IQ_MINORITY_INTEREST",RV$3),0)-IFERROR(_xll.ciqfunctions.udf.CIQ($B11,"IQ_ST_INVEST",RV$3),0)-IFERROR(_xll.ciqfunctions.udf.CIQ($B11,"IQ_cash_equiv",RV$3),0))/_xll.ciqfunctions.udf.CIQ($B11,"IQ_TOTAL_BANK_CAPITAL",RB$3,$E$3,$J$3,,$G$3,$H$3)),"")</f>
        <v/>
      </c>
      <c r="RW11" s="72" t="str">
        <f t="shared" si="331"/>
        <v>0</v>
      </c>
      <c r="RX11" s="72" t="str">
        <f t="shared" si="332"/>
        <v/>
      </c>
      <c r="RY11" s="72" t="str">
        <f t="shared" si="333"/>
        <v/>
      </c>
      <c r="RZ11" s="72" t="str">
        <f t="shared" si="334"/>
        <v/>
      </c>
      <c r="SA11" s="72" t="str">
        <f t="shared" si="335"/>
        <v/>
      </c>
      <c r="SB11" s="72" t="str">
        <f t="shared" si="336"/>
        <v/>
      </c>
      <c r="SC11" s="72" t="str">
        <f t="shared" si="337"/>
        <v/>
      </c>
      <c r="SD11" s="72" t="str">
        <f t="shared" si="338"/>
        <v/>
      </c>
      <c r="SE11" s="72" t="str">
        <f t="shared" si="339"/>
        <v/>
      </c>
      <c r="SF11" s="72" t="str">
        <f t="shared" si="340"/>
        <v/>
      </c>
      <c r="SG11" s="72" t="str">
        <f t="shared" si="341"/>
        <v/>
      </c>
      <c r="SH11" s="72" t="str">
        <f t="shared" si="342"/>
        <v/>
      </c>
      <c r="SI11" s="72" t="str">
        <f t="shared" si="343"/>
        <v/>
      </c>
      <c r="SJ11" s="72" t="str">
        <f t="shared" si="344"/>
        <v/>
      </c>
      <c r="SK11" s="72" t="str">
        <f t="shared" si="345"/>
        <v/>
      </c>
      <c r="SL11" s="72" t="str">
        <f t="shared" si="346"/>
        <v/>
      </c>
      <c r="SM11" s="72" t="str">
        <f t="shared" si="347"/>
        <v/>
      </c>
      <c r="SN11" s="72" t="str">
        <f t="shared" si="348"/>
        <v/>
      </c>
      <c r="SO11" s="72" t="str">
        <f t="shared" si="349"/>
        <v/>
      </c>
      <c r="SP11" s="72" t="str">
        <f t="shared" si="350"/>
        <v/>
      </c>
      <c r="SQ11" s="72" t="str">
        <f>IFERROR(IF(OR($B11="",SQ$3=""),"",_xll.ciqfunctions.udf.CIQ($B11,"IQ_TOTAL_DEPOSITS",SQ$3,$E$3, $J$3, , $G$3, $H$3)/_xll.ciqfunctions.udf.CIQ($B11,"IQ_TOTAL_ASSETS",SQ$3,$E$3, $J$3, , $G$3, $H$3)),"")</f>
        <v/>
      </c>
      <c r="SR11" s="72" t="str">
        <f>IFERROR(IF(OR($B11="",SR$3=""),"",_xll.ciqfunctions.udf.CIQ($B11,"IQ_TOTAL_DEPOSITS",SR$3,$E$3, $J$3, , $G$3, $H$3)/_xll.ciqfunctions.udf.CIQ($B11,"IQ_TOTAL_ASSETS",SR$3,$E$3, $J$3, , $G$3, $H$3)),"")</f>
        <v/>
      </c>
      <c r="SS11" s="72" t="str">
        <f>IFERROR(IF(OR($B11="",SS$3=""),"",_xll.ciqfunctions.udf.CIQ($B11,"IQ_TOTAL_DEPOSITS",SS$3,$E$3, $J$3, , $G$3, $H$3)/_xll.ciqfunctions.udf.CIQ($B11,"IQ_TOTAL_ASSETS",SS$3,$E$3, $J$3, , $G$3, $H$3)),"")</f>
        <v/>
      </c>
      <c r="ST11" s="72" t="str">
        <f>IFERROR(IF(OR($B11="",ST$3=""),"",_xll.ciqfunctions.udf.CIQ($B11,"IQ_TOTAL_DEPOSITS",ST$3,$E$3, $J$3, , $G$3, $H$3)/_xll.ciqfunctions.udf.CIQ($B11,"IQ_TOTAL_ASSETS",ST$3,$E$3, $J$3, , $G$3, $H$3)),"")</f>
        <v/>
      </c>
      <c r="SU11" s="72" t="str">
        <f>IFERROR(IF(OR($B11="",SU$3=""),"",_xll.ciqfunctions.udf.CIQ($B11,"IQ_TOTAL_DEPOSITS",SU$3,$E$3, $J$3, , $G$3, $H$3)/_xll.ciqfunctions.udf.CIQ($B11,"IQ_TOTAL_ASSETS",SU$3,$E$3, $J$3, , $G$3, $H$3)),"")</f>
        <v/>
      </c>
      <c r="SV11" s="72" t="str">
        <f>IFERROR(IF(OR($B11="",SV$3=""),"",_xll.ciqfunctions.udf.CIQ($B11,"IQ_TOTAL_DEPOSITS",SV$3,$E$3, $J$3, , $G$3, $H$3)/_xll.ciqfunctions.udf.CIQ($B11,"IQ_TOTAL_ASSETS",SV$3,$E$3, $J$3, , $G$3, $H$3)),"")</f>
        <v/>
      </c>
      <c r="SW11" s="72" t="str">
        <f>IFERROR(IF(OR($B11="",SW$3=""),"",_xll.ciqfunctions.udf.CIQ($B11,"IQ_TOTAL_DEPOSITS",SW$3,$E$3, $J$3, , $G$3, $H$3)/_xll.ciqfunctions.udf.CIQ($B11,"IQ_TOTAL_ASSETS",SW$3,$E$3, $J$3, , $G$3, $H$3)),"")</f>
        <v/>
      </c>
      <c r="SX11" s="72" t="str">
        <f>IFERROR(IF(OR($B11="",SX$3=""),"",_xll.ciqfunctions.udf.CIQ($B11,"IQ_TOTAL_DEPOSITS",SX$3,$E$3, $J$3, , $G$3, $H$3)/_xll.ciqfunctions.udf.CIQ($B11,"IQ_TOTAL_ASSETS",SX$3,$E$3, $J$3, , $G$3, $H$3)),"")</f>
        <v/>
      </c>
      <c r="SY11" s="72" t="str">
        <f>IFERROR(IF(OR($B11="",SY$3=""),"",_xll.ciqfunctions.udf.CIQ($B11,"IQ_TOTAL_DEPOSITS",SY$3,$E$3, $J$3, , $G$3, $H$3)/_xll.ciqfunctions.udf.CIQ($B11,"IQ_TOTAL_ASSETS",SY$3,$E$3, $J$3, , $G$3, $H$3)),"")</f>
        <v/>
      </c>
      <c r="SZ11" s="72" t="str">
        <f>IFERROR(IF(OR($B11="",SZ$3=""),"",_xll.ciqfunctions.udf.CIQ($B11,"IQ_TOTAL_DEPOSITS",SZ$3,$E$3, $J$3, , $G$3, $H$3)/_xll.ciqfunctions.udf.CIQ($B11,"IQ_TOTAL_ASSETS",SZ$3,$E$3, $J$3, , $G$3, $H$3)),"")</f>
        <v/>
      </c>
      <c r="TA11" s="72" t="str">
        <f>IFERROR(IF(OR($B11="",TA$3=""),"",_xll.ciqfunctions.udf.CIQ($B11,"IQ_TOTAL_DEPOSITS",TA$3,$E$3, $J$3, , $G$3, $H$3)/_xll.ciqfunctions.udf.CIQ($B11,"IQ_TOTAL_ASSETS",TA$3,$E$3, $J$3, , $G$3, $H$3)),"")</f>
        <v/>
      </c>
      <c r="TB11" s="72" t="str">
        <f>IFERROR(IF(OR($B11="",TB$3=""),"",_xll.ciqfunctions.udf.CIQ($B11,"IQ_TOTAL_DEPOSITS",TB$3,$E$3, $J$3, , $G$3, $H$3)/_xll.ciqfunctions.udf.CIQ($B11,"IQ_TOTAL_ASSETS",TB$3,$E$3, $J$3, , $G$3, $H$3)),"")</f>
        <v/>
      </c>
      <c r="TC11" s="72" t="str">
        <f>IFERROR(IF(OR($B11="",TC$3=""),"",_xll.ciqfunctions.udf.CIQ($B11,"IQ_TOTAL_DEPOSITS",TC$3,$E$3, $J$3, , $G$3, $H$3)/_xll.ciqfunctions.udf.CIQ($B11,"IQ_TOTAL_ASSETS",TC$3,$E$3, $J$3, , $G$3, $H$3)),"")</f>
        <v/>
      </c>
      <c r="TD11" s="72" t="str">
        <f>IFERROR(IF(OR($B11="",TD$3=""),"",_xll.ciqfunctions.udf.CIQ($B11,"IQ_TOTAL_DEPOSITS",TD$3,$E$3, $J$3, , $G$3, $H$3)/_xll.ciqfunctions.udf.CIQ($B11,"IQ_TOTAL_ASSETS",TD$3,$E$3, $J$3, , $G$3, $H$3)),"")</f>
        <v/>
      </c>
      <c r="TE11" s="72" t="str">
        <f>IFERROR(IF(OR($B11="",TE$3=""),"",_xll.ciqfunctions.udf.CIQ($B11,"IQ_TOTAL_DEPOSITS",TE$3,$E$3, $J$3, , $G$3, $H$3)/_xll.ciqfunctions.udf.CIQ($B11,"IQ_TOTAL_ASSETS",TE$3,$E$3, $J$3, , $G$3, $H$3)),"")</f>
        <v/>
      </c>
      <c r="TF11" s="72" t="str">
        <f>IFERROR(IF(OR($B11="",TF$3=""),"",_xll.ciqfunctions.udf.CIQ($B11,"IQ_TOTAL_DEPOSITS",TF$3,$E$3, $J$3, , $G$3, $H$3)/_xll.ciqfunctions.udf.CIQ($B11,"IQ_TOTAL_ASSETS",TF$3,$E$3, $J$3, , $G$3, $H$3)),"")</f>
        <v/>
      </c>
      <c r="TG11" s="72" t="str">
        <f>IFERROR(IF(OR($B11="",TG$3=""),"",_xll.ciqfunctions.udf.CIQ($B11,"IQ_TOTAL_DEPOSITS",TG$3,$E$3, $J$3, , $G$3, $H$3)/_xll.ciqfunctions.udf.CIQ($B11,"IQ_TOTAL_ASSETS",TG$3,$E$3, $J$3, , $G$3, $H$3)),"")</f>
        <v/>
      </c>
      <c r="TH11" s="72" t="str">
        <f>IFERROR(IF(OR($B11="",TH$3=""),"",_xll.ciqfunctions.udf.CIQ($B11,"IQ_TOTAL_DEPOSITS",TH$3,$E$3, $J$3, , $G$3, $H$3)/_xll.ciqfunctions.udf.CIQ($B11,"IQ_TOTAL_ASSETS",TH$3,$E$3, $J$3, , $G$3, $H$3)),"")</f>
        <v/>
      </c>
      <c r="TI11" s="72" t="str">
        <f>IFERROR(IF(OR($B11="",TI$3=""),"",_xll.ciqfunctions.udf.CIQ($B11,"IQ_TOTAL_DEPOSITS",TI$3,$E$3, $J$3, , $G$3, $H$3)/_xll.ciqfunctions.udf.CIQ($B11,"IQ_TOTAL_ASSETS",TI$3,$E$3, $J$3, , $G$3, $H$3)),"")</f>
        <v/>
      </c>
      <c r="TJ11" s="72" t="str">
        <f>IFERROR(IF(OR($B11="",TJ$3=""),"",_xll.ciqfunctions.udf.CIQ($B11,"IQ_TOTAL_DEPOSITS",TJ$3,$E$3, $J$3, , $G$3, $H$3)/_xll.ciqfunctions.udf.CIQ($B11,"IQ_TOTAL_ASSETS",TJ$3,$E$3, $J$3, , $G$3, $H$3)),"")</f>
        <v/>
      </c>
      <c r="TK11" s="72" t="str">
        <f>IFERROR(IF(OR($B11="",TK$3="",TK$4=""),"",(_xll.ciqfunctions.udf.CIQ($B11,"IQ_TOTAL_BANK_CAPITAL",TK$3,$E$3, $J$3, , $G$3, $H$3)/_xll.ciqfunctions.udf.CIQ($B11,"IQ_TOTAL_BANK_CAPITAL",TK$4,$E$3, $J$3, , $G$3, $H$3))-1),"")</f>
        <v/>
      </c>
      <c r="TL11" s="72" t="str">
        <f>IFERROR(IF(OR($B11="",TL$3="",TL$4=""),"",(_xll.ciqfunctions.udf.CIQ($B11,"IQ_TOTAL_BANK_CAPITAL",TL$3,$E$3, $J$3, , $G$3, $H$3)/_xll.ciqfunctions.udf.CIQ($B11,"IQ_TOTAL_BANK_CAPITAL",TL$4,$E$3, $J$3, , $G$3, $H$3))-1),"")</f>
        <v/>
      </c>
      <c r="TM11" s="72" t="str">
        <f>IFERROR(IF(OR($B11="",TM$3="",TM$4=""),"",(_xll.ciqfunctions.udf.CIQ($B11,"IQ_TOTAL_BANK_CAPITAL",TM$3,$E$3, $J$3, , $G$3, $H$3)/_xll.ciqfunctions.udf.CIQ($B11,"IQ_TOTAL_BANK_CAPITAL",TM$4,$E$3, $J$3, , $G$3, $H$3))-1),"")</f>
        <v/>
      </c>
      <c r="TN11" s="72" t="str">
        <f>IFERROR(IF(OR($B11="",TN$3="",TN$4=""),"",(_xll.ciqfunctions.udf.CIQ($B11,"IQ_TOTAL_BANK_CAPITAL",TN$3,$E$3, $J$3, , $G$3, $H$3)/_xll.ciqfunctions.udf.CIQ($B11,"IQ_TOTAL_BANK_CAPITAL",TN$4,$E$3, $J$3, , $G$3, $H$3))-1),"")</f>
        <v/>
      </c>
      <c r="TO11" s="72" t="str">
        <f>IFERROR(IF(OR($B11="",TO$3="",TO$4=""),"",(_xll.ciqfunctions.udf.CIQ($B11,"IQ_TOTAL_BANK_CAPITAL",TO$3,$E$3, $J$3, , $G$3, $H$3)/_xll.ciqfunctions.udf.CIQ($B11,"IQ_TOTAL_BANK_CAPITAL",TO$4,$E$3, $J$3, , $G$3, $H$3))-1),"")</f>
        <v/>
      </c>
      <c r="TP11" s="72" t="str">
        <f>IFERROR(IF(OR($B11="",TP$3="",TP$4=""),"",(_xll.ciqfunctions.udf.CIQ($B11,"IQ_TOTAL_BANK_CAPITAL",TP$3,$E$3, $J$3, , $G$3, $H$3)/_xll.ciqfunctions.udf.CIQ($B11,"IQ_TOTAL_BANK_CAPITAL",TP$4,$E$3, $J$3, , $G$3, $H$3))-1),"")</f>
        <v/>
      </c>
      <c r="TQ11" s="72" t="str">
        <f>IFERROR(IF(OR($B11="",TQ$3="",TQ$4=""),"",(_xll.ciqfunctions.udf.CIQ($B11,"IQ_TOTAL_BANK_CAPITAL",TQ$3,$E$3, $J$3, , $G$3, $H$3)/_xll.ciqfunctions.udf.CIQ($B11,"IQ_TOTAL_BANK_CAPITAL",TQ$4,$E$3, $J$3, , $G$3, $H$3))-1),"")</f>
        <v/>
      </c>
      <c r="TR11" s="72" t="str">
        <f>IFERROR(IF(OR($B11="",TR$3="",TR$4=""),"",(_xll.ciqfunctions.udf.CIQ($B11,"IQ_TOTAL_BANK_CAPITAL",TR$3,$E$3, $J$3, , $G$3, $H$3)/_xll.ciqfunctions.udf.CIQ($B11,"IQ_TOTAL_BANK_CAPITAL",TR$4,$E$3, $J$3, , $G$3, $H$3))-1),"")</f>
        <v/>
      </c>
      <c r="TS11" s="72" t="str">
        <f>IFERROR(IF(OR($B11="",TS$3="",TS$4=""),"",(_xll.ciqfunctions.udf.CIQ($B11,"IQ_TOTAL_BANK_CAPITAL",TS$3,$E$3, $J$3, , $G$3, $H$3)/_xll.ciqfunctions.udf.CIQ($B11,"IQ_TOTAL_BANK_CAPITAL",TS$4,$E$3, $J$3, , $G$3, $H$3))-1),"")</f>
        <v/>
      </c>
      <c r="TT11" s="72" t="str">
        <f>IFERROR(IF(OR($B11="",TT$3="",TT$4=""),"",(_xll.ciqfunctions.udf.CIQ($B11,"IQ_TOTAL_BANK_CAPITAL",TT$3,$E$3, $J$3, , $G$3, $H$3)/_xll.ciqfunctions.udf.CIQ($B11,"IQ_TOTAL_BANK_CAPITAL",TT$4,$E$3, $J$3, , $G$3, $H$3))-1),"")</f>
        <v/>
      </c>
      <c r="TU11" s="72" t="str">
        <f>IFERROR(IF(OR($B11="",TU$3="",TU$4=""),"",(_xll.ciqfunctions.udf.CIQ($B11,"IQ_TOTAL_BANK_CAPITAL",TU$3,$E$3, $J$3, , $G$3, $H$3)/_xll.ciqfunctions.udf.CIQ($B11,"IQ_TOTAL_BANK_CAPITAL",TU$4,$E$3, $J$3, , $G$3, $H$3))-1),"")</f>
        <v/>
      </c>
      <c r="TV11" s="72" t="str">
        <f>IFERROR(IF(OR($B11="",TV$3="",TV$4=""),"",(_xll.ciqfunctions.udf.CIQ($B11,"IQ_TOTAL_BANK_CAPITAL",TV$3,$E$3, $J$3, , $G$3, $H$3)/_xll.ciqfunctions.udf.CIQ($B11,"IQ_TOTAL_BANK_CAPITAL",TV$4,$E$3, $J$3, , $G$3, $H$3))-1),"")</f>
        <v/>
      </c>
      <c r="TW11" s="72" t="str">
        <f>IFERROR(IF(OR($B11="",TW$3="",TW$4=""),"",(_xll.ciqfunctions.udf.CIQ($B11,"IQ_TOTAL_BANK_CAPITAL",TW$3,$E$3, $J$3, , $G$3, $H$3)/_xll.ciqfunctions.udf.CIQ($B11,"IQ_TOTAL_BANK_CAPITAL",TW$4,$E$3, $J$3, , $G$3, $H$3))-1),"")</f>
        <v/>
      </c>
      <c r="TX11" s="72" t="str">
        <f>IFERROR(IF(OR($B11="",TX$3="",TX$4=""),"",(_xll.ciqfunctions.udf.CIQ($B11,"IQ_TOTAL_BANK_CAPITAL",TX$3,$E$3, $J$3, , $G$3, $H$3)/_xll.ciqfunctions.udf.CIQ($B11,"IQ_TOTAL_BANK_CAPITAL",TX$4,$E$3, $J$3, , $G$3, $H$3))-1),"")</f>
        <v/>
      </c>
      <c r="TY11" s="72" t="str">
        <f>IFERROR(IF(OR($B11="",TY$3="",TY$4=""),"",(_xll.ciqfunctions.udf.CIQ($B11,"IQ_TOTAL_BANK_CAPITAL",TY$3,$E$3, $J$3, , $G$3, $H$3)/_xll.ciqfunctions.udf.CIQ($B11,"IQ_TOTAL_BANK_CAPITAL",TY$4,$E$3, $J$3, , $G$3, $H$3))-1),"")</f>
        <v/>
      </c>
      <c r="TZ11" s="72" t="str">
        <f>IFERROR(IF(OR($B11="",TZ$3="",TZ$4=""),"",(_xll.ciqfunctions.udf.CIQ($B11,"IQ_TOTAL_BANK_CAPITAL",TZ$3,$E$3, $J$3, , $G$3, $H$3)/_xll.ciqfunctions.udf.CIQ($B11,"IQ_TOTAL_BANK_CAPITAL",TZ$4,$E$3, $J$3, , $G$3, $H$3))-1),"")</f>
        <v/>
      </c>
      <c r="UA11" s="72" t="str">
        <f>IFERROR(IF(OR($B11="",UA$3="",UA$4=""),"",(_xll.ciqfunctions.udf.CIQ($B11,"IQ_TOTAL_BANK_CAPITAL",UA$3,$E$3, $J$3, , $G$3, $H$3)/_xll.ciqfunctions.udf.CIQ($B11,"IQ_TOTAL_BANK_CAPITAL",UA$4,$E$3, $J$3, , $G$3, $H$3))-1),"")</f>
        <v/>
      </c>
      <c r="UB11" s="72" t="str">
        <f>IFERROR(IF(OR($B11="",UB$3="",UB$4=""),"",(_xll.ciqfunctions.udf.CIQ($B11,"IQ_TOTAL_BANK_CAPITAL",UB$3,$E$3, $J$3, , $G$3, $H$3)/_xll.ciqfunctions.udf.CIQ($B11,"IQ_TOTAL_BANK_CAPITAL",UB$4,$E$3, $J$3, , $G$3, $H$3))-1),"")</f>
        <v/>
      </c>
      <c r="UC11" s="72" t="str">
        <f>IFERROR(IF(OR($B11="",UC$3="",UC$4=""),"",(_xll.ciqfunctions.udf.CIQ($B11,"IQ_TOTAL_BANK_CAPITAL",UC$3,$E$3, $J$3, , $G$3, $H$3)/_xll.ciqfunctions.udf.CIQ($B11,"IQ_TOTAL_BANK_CAPITAL",UC$4,$E$3, $J$3, , $G$3, $H$3))-1),"")</f>
        <v/>
      </c>
      <c r="UD11" s="72" t="str">
        <f>IFERROR(IF(OR($B11="",UD$3="",UD$4=""),"",(_xll.ciqfunctions.udf.CIQ($B11,"IQ_TOTAL_BANK_CAPITAL",UD$3,$E$3, $J$3, , $G$3, $H$3)/_xll.ciqfunctions.udf.CIQ($B11,"IQ_TOTAL_BANK_CAPITAL",UD$4,$E$3, $J$3, , $G$3, $H$3))-1),"")</f>
        <v/>
      </c>
      <c r="UE11" s="86" t="str">
        <f>IFERROR(IF(OR($B11="",UE$3=""),"",(_xll.ciqfunctions.udf.CIQ($B11,"IQ_TOTAL_CAPITAL_RATIO",UE$3,$E$3, $J$3, , $G$3, $H$3) - _xll.ciqfunctions.udf.CIQ($B11,"IQ_TIER_ONE_RATIO",UE$3,$E$3, $J$3, , $G$3, $H$3))/100),"")</f>
        <v/>
      </c>
      <c r="UF11" s="87" t="str">
        <f>IFERROR(IF(OR($B11="",UF$3=""),"",(_xll.ciqfunctions.udf.CIQ($B11,"IQ_TOTAL_CAPITAL_RATIO",UF$3,$E$3, $J$3, , $G$3, $H$3) - _xll.ciqfunctions.udf.CIQ($B11,"IQ_TIER_ONE_RATIO",UF$3,$E$3, $J$3, , $G$3, $H$3))/100),"")</f>
        <v/>
      </c>
      <c r="UG11" s="87" t="str">
        <f>IFERROR(IF(OR($B11="",UG$3=""),"",(_xll.ciqfunctions.udf.CIQ($B11,"IQ_TOTAL_CAPITAL_RATIO",UG$3,$E$3, $J$3, , $G$3, $H$3) - _xll.ciqfunctions.udf.CIQ($B11,"IQ_TIER_ONE_RATIO",UG$3,$E$3, $J$3, , $G$3, $H$3))/100),"")</f>
        <v/>
      </c>
      <c r="UH11" s="87" t="str">
        <f>IFERROR(IF(OR($B11="",UH$3=""),"",(_xll.ciqfunctions.udf.CIQ($B11,"IQ_TOTAL_CAPITAL_RATIO",UH$3,$E$3, $J$3, , $G$3, $H$3) - _xll.ciqfunctions.udf.CIQ($B11,"IQ_TIER_ONE_RATIO",UH$3,$E$3, $J$3, , $G$3, $H$3))/100),"")</f>
        <v/>
      </c>
      <c r="UI11" s="87" t="str">
        <f>IFERROR(IF(OR($B11="",UI$3=""),"",(_xll.ciqfunctions.udf.CIQ($B11,"IQ_TOTAL_CAPITAL_RATIO",UI$3,$E$3, $J$3, , $G$3, $H$3) - _xll.ciqfunctions.udf.CIQ($B11,"IQ_TIER_ONE_RATIO",UI$3,$E$3, $J$3, , $G$3, $H$3))/100),"")</f>
        <v/>
      </c>
      <c r="UJ11" s="87" t="str">
        <f>IFERROR(IF(OR($B11="",UJ$3=""),"",(_xll.ciqfunctions.udf.CIQ($B11,"IQ_TOTAL_CAPITAL_RATIO",UJ$3,$E$3, $J$3, , $G$3, $H$3) - _xll.ciqfunctions.udf.CIQ($B11,"IQ_TIER_ONE_RATIO",UJ$3,$E$3, $J$3, , $G$3, $H$3))/100),"")</f>
        <v/>
      </c>
      <c r="UK11" s="87" t="str">
        <f>IFERROR(IF(OR($B11="",UK$3=""),"",(_xll.ciqfunctions.udf.CIQ($B11,"IQ_TOTAL_CAPITAL_RATIO",UK$3,$E$3, $J$3, , $G$3, $H$3) - _xll.ciqfunctions.udf.CIQ($B11,"IQ_TIER_ONE_RATIO",UK$3,$E$3, $J$3, , $G$3, $H$3))/100),"")</f>
        <v/>
      </c>
      <c r="UL11" s="87" t="str">
        <f>IFERROR(IF(OR($B11="",UL$3=""),"",(_xll.ciqfunctions.udf.CIQ($B11,"IQ_TOTAL_CAPITAL_RATIO",UL$3,$E$3, $J$3, , $G$3, $H$3) - _xll.ciqfunctions.udf.CIQ($B11,"IQ_TIER_ONE_RATIO",UL$3,$E$3, $J$3, , $G$3, $H$3))/100),"")</f>
        <v/>
      </c>
      <c r="UM11" s="87" t="str">
        <f>IFERROR(IF(OR($B11="",UM$3=""),"",(_xll.ciqfunctions.udf.CIQ($B11,"IQ_TOTAL_CAPITAL_RATIO",UM$3,$E$3, $J$3, , $G$3, $H$3) - _xll.ciqfunctions.udf.CIQ($B11,"IQ_TIER_ONE_RATIO",UM$3,$E$3, $J$3, , $G$3, $H$3))/100),"")</f>
        <v/>
      </c>
      <c r="UN11" s="87" t="str">
        <f>IFERROR(IF(OR($B11="",UN$3=""),"",(_xll.ciqfunctions.udf.CIQ($B11,"IQ_TOTAL_CAPITAL_RATIO",UN$3,$E$3, $J$3, , $G$3, $H$3) - _xll.ciqfunctions.udf.CIQ($B11,"IQ_TIER_ONE_RATIO",UN$3,$E$3, $J$3, , $G$3, $H$3))/100),"")</f>
        <v/>
      </c>
      <c r="UO11" s="87" t="str">
        <f>IFERROR(IF(OR($B11="",UO$3=""),"",(_xll.ciqfunctions.udf.CIQ($B11,"IQ_TOTAL_CAPITAL_RATIO",UO$3,$E$3, $J$3, , $G$3, $H$3) - _xll.ciqfunctions.udf.CIQ($B11,"IQ_TIER_ONE_RATIO",UO$3,$E$3, $J$3, , $G$3, $H$3))/100),"")</f>
        <v/>
      </c>
      <c r="UP11" s="87" t="str">
        <f>IFERROR(IF(OR($B11="",UP$3=""),"",(_xll.ciqfunctions.udf.CIQ($B11,"IQ_TOTAL_CAPITAL_RATIO",UP$3,$E$3, $J$3, , $G$3, $H$3) - _xll.ciqfunctions.udf.CIQ($B11,"IQ_TIER_ONE_RATIO",UP$3,$E$3, $J$3, , $G$3, $H$3))/100),"")</f>
        <v/>
      </c>
      <c r="UQ11" s="87" t="str">
        <f>IFERROR(IF(OR($B11="",UQ$3=""),"",(_xll.ciqfunctions.udf.CIQ($B11,"IQ_TOTAL_CAPITAL_RATIO",UQ$3,$E$3, $J$3, , $G$3, $H$3) - _xll.ciqfunctions.udf.CIQ($B11,"IQ_TIER_ONE_RATIO",UQ$3,$E$3, $J$3, , $G$3, $H$3))/100),"")</f>
        <v/>
      </c>
      <c r="UR11" s="87" t="str">
        <f>IFERROR(IF(OR($B11="",UR$3=""),"",(_xll.ciqfunctions.udf.CIQ($B11,"IQ_TOTAL_CAPITAL_RATIO",UR$3,$E$3, $J$3, , $G$3, $H$3) - _xll.ciqfunctions.udf.CIQ($B11,"IQ_TIER_ONE_RATIO",UR$3,$E$3, $J$3, , $G$3, $H$3))/100),"")</f>
        <v/>
      </c>
      <c r="US11" s="87" t="str">
        <f>IFERROR(IF(OR($B11="",US$3=""),"",(_xll.ciqfunctions.udf.CIQ($B11,"IQ_TOTAL_CAPITAL_RATIO",US$3,$E$3, $J$3, , $G$3, $H$3) - _xll.ciqfunctions.udf.CIQ($B11,"IQ_TIER_ONE_RATIO",US$3,$E$3, $J$3, , $G$3, $H$3))/100),"")</f>
        <v/>
      </c>
      <c r="UT11" s="87" t="str">
        <f>IFERROR(IF(OR($B11="",UT$3=""),"",(_xll.ciqfunctions.udf.CIQ($B11,"IQ_TOTAL_CAPITAL_RATIO",UT$3,$E$3, $J$3, , $G$3, $H$3) - _xll.ciqfunctions.udf.CIQ($B11,"IQ_TIER_ONE_RATIO",UT$3,$E$3, $J$3, , $G$3, $H$3))/100),"")</f>
        <v/>
      </c>
      <c r="UU11" s="87" t="str">
        <f>IFERROR(IF(OR($B11="",UU$3=""),"",(_xll.ciqfunctions.udf.CIQ($B11,"IQ_TOTAL_CAPITAL_RATIO",UU$3,$E$3, $J$3, , $G$3, $H$3) - _xll.ciqfunctions.udf.CIQ($B11,"IQ_TIER_ONE_RATIO",UU$3,$E$3, $J$3, , $G$3, $H$3))/100),"")</f>
        <v/>
      </c>
      <c r="UV11" s="87" t="str">
        <f>IFERROR(IF(OR($B11="",UV$3=""),"",(_xll.ciqfunctions.udf.CIQ($B11,"IQ_TOTAL_CAPITAL_RATIO",UV$3,$E$3, $J$3, , $G$3, $H$3) - _xll.ciqfunctions.udf.CIQ($B11,"IQ_TIER_ONE_RATIO",UV$3,$E$3, $J$3, , $G$3, $H$3))/100),"")</f>
        <v/>
      </c>
      <c r="UW11" s="87" t="str">
        <f>IFERROR(IF(OR($B11="",UW$3=""),"",(_xll.ciqfunctions.udf.CIQ($B11,"IQ_TOTAL_CAPITAL_RATIO",UW$3,$E$3, $J$3, , $G$3, $H$3) - _xll.ciqfunctions.udf.CIQ($B11,"IQ_TIER_ONE_RATIO",UW$3,$E$3, $J$3, , $G$3, $H$3))/100),"")</f>
        <v/>
      </c>
      <c r="UX11" s="88" t="str">
        <f>IFERROR(IF(OR($B11="",UX$3=""),"",(_xll.ciqfunctions.udf.CIQ($B11,"IQ_TOTAL_CAPITAL_RATIO",UX$3,$E$3, $J$3, , $G$3, $H$3) - _xll.ciqfunctions.udf.CIQ($B11,"IQ_TIER_ONE_RATIO",UX$3,$E$3, $J$3, , $G$3, $H$3))/100),"")</f>
        <v/>
      </c>
    </row>
    <row r="12" spans="1:570" ht="15" customHeight="1" x14ac:dyDescent="0.2">
      <c r="A12" s="218" t="str">
        <f>IF(B12="","",_xll.ciqfunctions.udf.CIQ($B12,"IQ_COMPANY_NAME"))</f>
        <v/>
      </c>
      <c r="B12" s="272" t="str">
        <f>IF(Input!B24="","",Input!B24)</f>
        <v/>
      </c>
      <c r="C12" s="272">
        <f>Input!E24</f>
        <v>0</v>
      </c>
      <c r="D12" s="269" t="str">
        <f>IF(B12="","",_xll.ciqfunctions.udf.CIQ($B12,"IQ_PRIMARY_INDUSTRY"))</f>
        <v/>
      </c>
      <c r="E12" s="219" t="str">
        <f>IF($B12="","",IF(NOT(ISNUMBER(_xll.ciqfunctions.udf.CIQ($B12, "IQ_CLOSEPRICE", $E$3, $G$3, $H$3))),"",_xll.ciqfunctions.udf.CIQ($B12, "IQ_CLOSEPRICE", $E$3, $G$3, $H$3)))</f>
        <v/>
      </c>
      <c r="F12" s="219" t="str">
        <f>IF($B12="","",IF(NOT(ISNUMBER(_xll.ciqfunctions.udf.CIQ($B12, "IQ_CLOSEPRICE", $E$4, $G$3, $H$3))),"",_xll.ciqfunctions.udf.CIQ($B12, "IQ_CLOSEPRICE", $E$4, $G$3, $H$3)))</f>
        <v/>
      </c>
      <c r="G12" s="220" t="str">
        <f t="shared" si="351"/>
        <v/>
      </c>
      <c r="H12" s="220" t="str">
        <f>IFERROR(IF($B12="","",_xll.ciqfunctions.udf.CIQ($B12, "IQ_TOTAL_REV_1YR_ANN_GROWTH", $I$3, $E$3, $J$3)/100),"")</f>
        <v/>
      </c>
      <c r="I12" s="220" t="str">
        <f>IFERROR(IF($B12="","",_xll.ciqfunctions.udf.CIQ($B12,"IQ_NET_INT_INC_BNK",$I$3, $E$3, $J$3, , $G$3, $H$3)/_xll.ciqfunctions.udf.CIQ($B12,"IQ_GROSS_LOANS",$I$3, $E$3, $J$3, , $G$3, $H$3)),"")</f>
        <v/>
      </c>
      <c r="J12" s="220" t="str">
        <f>IFERROR(IF(B12="","",_xll.ciqfunctions.udf.CIQ($B12,"IQ_EBT",$I$3, $E$3, $J$3, , $G$3, $H$3)/_xll.ciqfunctions.udf.CIQ($B12,"IQ_TOTAL_REVENUE",$I$3, $E$3, $J$3, , $G$3, $H$3)),"")</f>
        <v/>
      </c>
      <c r="K12" s="220" t="str">
        <f>IFERROR(IF(B12="","",_xll.ciqfunctions.udf.CIQ($B12,"IQ_NI_MARGIN",$I$3, $E$3, $J$3, , $G$3, $H$3)/100),"")</f>
        <v/>
      </c>
      <c r="L12" s="220" t="str">
        <f>IFERROR(IF($B12="","",_xll.ciqfunctions.udf.CIQ($B12,"IQ_NI",$I$3, $E$3, $J$3, , $G$3, $H$3)/(0.5*(_xll.ciqfunctions.udf.CIQ($B12,"IQ_TOTAL_ASSETS",$I$3, $E$3, $J$3, , $G$3, $H$3)+_xll.ciqfunctions.udf.CIQ($B12,"IQ_TOTAL_ASSETS",$I$3 &amp; "-4", $E$3, $J$3, , $G$3, $H$3)))),"")</f>
        <v/>
      </c>
      <c r="M12" s="220" t="str">
        <f>IFERROR(_xll.ciqfunctions.udf.CIQ($B12,"IQ_NI",$I$3, $E$3, $J$3, , $G$3, $H$3)/(_xll.ciqfunctions.udf.CIQ($B12,"IQ_TOTAL_ASSETS",$I$3, $E$3, $J$3, , $G$3, $H$3)+_xll.ciqfunctions.udf.CIQ($B12,"IQ_TOTAL_ASSETS",$I$3 &amp; "-4", $E$3, $J$3, , $G$3, $H$3)-_xll.ciqfunctions.udf.CIQ($B12,"IQ_TOTAL_CL",$I$3, $E$3, $J$3, , $G$3, $H$3)-_xll.ciqfunctions.udf.CIQ($B12,"IQ_TOTAL_CL",$I$3 &amp; "-4", $E$3, $J$3, , $G$3, $H$3)),"")</f>
        <v/>
      </c>
      <c r="N12" s="220" t="str">
        <f>IFERROR(IF($B12="","",_xll.ciqfunctions.udf.CIQ($B12,"IQ_NI",$I$3, $E$3, $J$3, , $G$3, $H$3)/(0.5*(_xll.ciqfunctions.udf.CIQ($B12,"IQ_TOTAL_EQUITY",$I$3, $E$3, $J$3, , $G$3, $H$3)+_xll.ciqfunctions.udf.CIQ($B12,"IQ_TOTAL_EQUITY",$I$3 &amp; "-4", $E$3, $J$3, , $G$3, $H$3)))),"")</f>
        <v/>
      </c>
      <c r="O12" s="222" t="str">
        <f>IFERROR(IF($B12="","",(_xll.ciqfunctions.udf.CIQ($B12,"IQ_TIER_ONE_CAPITAL",$I$3, $E$3, $J$3, , $G$3, $H$3)+_xll.ciqfunctions.udf.CIQ($B12,"IQ_TIER_TWO_CAPITAL",$I$3, $E$3, $J$3, , $G$3, $H$3)-_xll.ciqfunctions.udf.CIQ($B12,"IQ_GW",$I$3, $E$3, $J$3, , $G$3, $H$3))/_xll.ciqfunctions.udf.CIQ($B12,"IQ_RISK_ADJ_BANK_ASSETS",$I$3, $E$3, $J$3, , $G$3, $H$3)),"")</f>
        <v/>
      </c>
      <c r="P12" s="222" t="str">
        <f>IFERROR(IF($B12="","",(_xll.ciqfunctions.udf.CIQ($B12,"IQ_TIER_ONE_CAPITAL",$I$3, $E$3, $J$3, , $G$3, $H$3)+_xll.ciqfunctions.udf.CIQ($B12,"IQ_TIER_TWO_CAPITAL",$I$3, $E$3, $J$3, , $G$3, $H$3))/_xll.ciqfunctions.udf.CIQ($B12,"IQ_TOTAL_ASSETS",$I$3, $E$3, $J$3, , $G$3, $H$3)),"")</f>
        <v/>
      </c>
      <c r="Q12" s="220" t="str">
        <f>IFERROR(IF(B12="","",_xll.ciqfunctions.udf.CIQ($B12,"IQ_TIER_ONE_RATIO",$I$3, $E$3, $J$3, , $G$3, $H$3)/100),"")</f>
        <v/>
      </c>
      <c r="R12" s="220" t="str">
        <f t="shared" si="330"/>
        <v/>
      </c>
      <c r="S12" s="220" t="str">
        <f>IFERROR(IF(B12="","",_xll.ciqfunctions.udf.CIQ($B12,"IQ_TOTAL_CAPITAL_RATIO",$I$3, $E$3, $J$3, , $G$3, $H$3)/100),"")</f>
        <v/>
      </c>
      <c r="T12" s="220" t="str">
        <f>IFERROR(IF($B12="","",_xll.ciqfunctions.udf.CIQ($B12,"IQ_NON_PERF_LOANS_TOTAL_LOANS",$I$3, $E$3, $J$3, , $G$3, $H$3)/100),"")</f>
        <v/>
      </c>
      <c r="U12" s="222" t="str">
        <f>IFERROR(IF($B12="","",-_xll.ciqfunctions.udf.CIQ($B12,"IQ_ALLOW_LL",$I$3, $E$3, $J$3, , $G$3, $H$3)/_xll.ciqfunctions.udf.CIQ($B12,"IQ_TOTAL_LOANS",$I$3, $E$3, $J$3, , $G$3, $H$3)),"")</f>
        <v/>
      </c>
      <c r="V12" s="220" t="str">
        <f>IFERROR(IF($B12="","",_xll.ciqfunctions.udf.CIQ($B12,"IQ_LL",$I$3, $E$3, $J$3, , $G$3, $H$3)/_xll.ciqfunctions.udf.CIQ($B12,"IQ_NET_LOANS",$I$3, $E$3, $J$3, , $G$3, $H$3)),"")</f>
        <v/>
      </c>
      <c r="W12" s="220" t="str">
        <f>IFERROR(IF(B12="","",_xll.ciqfunctions.udf.CIQ($B12,"IQ_NET_LOANS",$I$3, $E$3, $J$3, , $G$3, $H$3)/_xll.ciqfunctions.udf.CIQ($B12,"IQ_TOTAL_ASSETS",$I$3, $E$3, $J$3, , $G$3, $H$3)),"")</f>
        <v/>
      </c>
      <c r="X12" s="222" t="str">
        <f>IFERROR(IF($B12="","",_xll.ciqfunctions.udf.CIQ($B12,"IQ_TOTAL_LOANS",$I$3, $E$3, $J$3, , $G$3, $H$3)/_xll.ciqfunctions.udf.CIQ($B12,"IQ_TOTAL_DEPOSITS",$I$3, $E$3, $J$3, , $G$3, $H$3)),"")</f>
        <v/>
      </c>
      <c r="Y12" s="220" t="str">
        <f>IFERROR(IF($B12="","",_xll.ciqfunctions.udf.CIQ($B12,"IQ_TOTAL_DEPOSITS",$I$3, $E$3, $J$3, , $G$3, $H$3)/_xll.ciqfunctions.udf.CIQ($B12,"IQ_TOTAL_ASSETS",$I$3, $E$3, $J$3, , $G$3, $H$3)),"")</f>
        <v/>
      </c>
      <c r="Z12" s="221" t="str">
        <f>IFERROR(IF(B12="","",_xll.ciqfunctions.udf.CIQ($B12,"IQ_TOTAL_ASSETS",IQ_LTM)/_xll.ciqfunctions.udf.CIQ($B12,"IQ_TOTAL_COMMON_EQUITY",IQ_LTM)),"")</f>
        <v/>
      </c>
      <c r="AA12" s="222" t="str">
        <f>IFERROR(IF($B12="","",_xll.ciqfunctions.udf.CIQ($B12,"IQ_CASH_OPER",$I$3, $E$3, $J$3, , $G$3, $H$3)*2/(_xll.ciqfunctions.udf.CIQ($B12,"IQ_TOTAL_CL",$I$3, $E$3, $J$3, , $G$3, $H$3)+_xll.ciqfunctions.udf.CIQ($B12,"IQ_TOTAL_CL",$I$3 &amp; "-4", $E$3, $J$3, , $G$3, $H$3))),"")</f>
        <v/>
      </c>
      <c r="AB12" s="222" t="str">
        <f>IFERROR(IF($B12="","",_xll.ciqfunctions.udf.CIQ($B12,"IQ_NON_PERFORMING_LOANS",$I$3, $E$3, $J$3, , $G$3, $H$3)/_xll.ciqfunctions.udf.CIQ($B12,"IQ_TOTAL_EQUITY",$I$3, $E$3, $J$3, , $G$3, $H$3)),"")</f>
        <v/>
      </c>
      <c r="AC12" s="1021" t="str">
        <f>IF(B12="","",IF(NOT(ISNUMBER(_xll.ciqfunctions.udf.CIQ($B12,"IQ_Z_SCORE",$I$3, $E$3, $J$3, , $G$3, $H$3))),"",_xll.ciqfunctions.udf.CIQ($B12,"IQ_Z_SCORE",$I$3, $E$3, $J$3, , $G$3, $H$3)))</f>
        <v/>
      </c>
      <c r="AD12" s="19"/>
      <c r="AE12" s="86" t="str">
        <f>IFERROR(IF(OR($B12="",AE$3=""),"",_xll.ciqfunctions.udf.CIQ($B12,"IQ_NET_INT_INC_BNK",AE$3,$E$3, $J$3, , $G$3, $H$3)*2/(_xll.ciqfunctions.udf.CIQ($B12,"IQ_GROSS_LOANS",AE$3,$E$3, $J$3, , $G$3, $H$3)+_xll.ciqfunctions.udf.CIQ($B12,"IQ_GROSS_LOANS", "IQ_" &amp; LEFT(AE$3,2) &amp; "-1",AE$3, $J$3, , $G$3, $H$3))),"")</f>
        <v/>
      </c>
      <c r="AF12" s="87" t="str">
        <f>IFERROR(IF(OR($B12="",AF$3=""),"",_xll.ciqfunctions.udf.CIQ($B12,"IQ_NET_INT_INC_BNK",AF$3,$E$3, $J$3, , $G$3, $H$3)*2/(_xll.ciqfunctions.udf.CIQ($B12,"IQ_GROSS_LOANS",AF$3,$E$3, $J$3, , $G$3, $H$3)+_xll.ciqfunctions.udf.CIQ($B12,"IQ_GROSS_LOANS", "IQ_" &amp; LEFT(AF$3,2) &amp; "-1",AF$3, $J$3, , $G$3, $H$3))),"")</f>
        <v/>
      </c>
      <c r="AG12" s="87" t="str">
        <f>IFERROR(IF(OR($B12="",AG$3=""),"",_xll.ciqfunctions.udf.CIQ($B12,"IQ_NET_INT_INC_BNK",AG$3,$E$3, $J$3, , $G$3, $H$3)*2/(_xll.ciqfunctions.udf.CIQ($B12,"IQ_GROSS_LOANS",AG$3,$E$3, $J$3, , $G$3, $H$3)+_xll.ciqfunctions.udf.CIQ($B12,"IQ_GROSS_LOANS", "IQ_" &amp; LEFT(AG$3,2) &amp; "-1",AG$3, $J$3, , $G$3, $H$3))),"")</f>
        <v/>
      </c>
      <c r="AH12" s="87" t="str">
        <f>IFERROR(IF(OR($B12="",AH$3=""),"",_xll.ciqfunctions.udf.CIQ($B12,"IQ_NET_INT_INC_BNK",AH$3,$E$3, $J$3, , $G$3, $H$3)*2/(_xll.ciqfunctions.udf.CIQ($B12,"IQ_GROSS_LOANS",AH$3,$E$3, $J$3, , $G$3, $H$3)+_xll.ciqfunctions.udf.CIQ($B12,"IQ_GROSS_LOANS", "IQ_" &amp; LEFT(AH$3,2) &amp; "-1",AH$3, $J$3, , $G$3, $H$3))),"")</f>
        <v/>
      </c>
      <c r="AI12" s="87" t="str">
        <f>IFERROR(IF(OR($B12="",AI$3=""),"",_xll.ciqfunctions.udf.CIQ($B12,"IQ_NET_INT_INC_BNK",AI$3,$E$3, $J$3, , $G$3, $H$3)*2/(_xll.ciqfunctions.udf.CIQ($B12,"IQ_GROSS_LOANS",AI$3,$E$3, $J$3, , $G$3, $H$3)+_xll.ciqfunctions.udf.CIQ($B12,"IQ_GROSS_LOANS", "IQ_" &amp; LEFT(AI$3,2) &amp; "-1",AI$3, $J$3, , $G$3, $H$3))),"")</f>
        <v/>
      </c>
      <c r="AJ12" s="87" t="str">
        <f>IFERROR(IF(OR($B12="",AJ$3=""),"",_xll.ciqfunctions.udf.CIQ($B12,"IQ_NET_INT_INC_BNK",AJ$3,$E$3, $J$3, , $G$3, $H$3)*2/(_xll.ciqfunctions.udf.CIQ($B12,"IQ_GROSS_LOANS",AJ$3,$E$3, $J$3, , $G$3, $H$3)+_xll.ciqfunctions.udf.CIQ($B12,"IQ_GROSS_LOANS", "IQ_" &amp; LEFT(AJ$3,2) &amp; "-1",AJ$3, $J$3, , $G$3, $H$3))),"")</f>
        <v/>
      </c>
      <c r="AK12" s="87" t="str">
        <f>IFERROR(IF(OR($B12="",AK$3=""),"",_xll.ciqfunctions.udf.CIQ($B12,"IQ_NET_INT_INC_BNK",AK$3,$E$3, $J$3, , $G$3, $H$3)*2/(_xll.ciqfunctions.udf.CIQ($B12,"IQ_GROSS_LOANS",AK$3,$E$3, $J$3, , $G$3, $H$3)+_xll.ciqfunctions.udf.CIQ($B12,"IQ_GROSS_LOANS", "IQ_" &amp; LEFT(AK$3,2) &amp; "-1",AK$3, $J$3, , $G$3, $H$3))),"")</f>
        <v/>
      </c>
      <c r="AL12" s="87" t="str">
        <f>IFERROR(IF(OR($B12="",AL$3=""),"",_xll.ciqfunctions.udf.CIQ($B12,"IQ_NET_INT_INC_BNK",AL$3,$E$3, $J$3, , $G$3, $H$3)*2/(_xll.ciqfunctions.udf.CIQ($B12,"IQ_GROSS_LOANS",AL$3,$E$3, $J$3, , $G$3, $H$3)+_xll.ciqfunctions.udf.CIQ($B12,"IQ_GROSS_LOANS", "IQ_" &amp; LEFT(AL$3,2) &amp; "-1",AL$3, $J$3, , $G$3, $H$3))),"")</f>
        <v/>
      </c>
      <c r="AM12" s="87" t="str">
        <f>IFERROR(IF(OR($B12="",AM$3=""),"",_xll.ciqfunctions.udf.CIQ($B12,"IQ_NET_INT_INC_BNK",AM$3,$E$3, $J$3, , $G$3, $H$3)*2/(_xll.ciqfunctions.udf.CIQ($B12,"IQ_GROSS_LOANS",AM$3,$E$3, $J$3, , $G$3, $H$3)+_xll.ciqfunctions.udf.CIQ($B12,"IQ_GROSS_LOANS", "IQ_" &amp; LEFT(AM$3,2) &amp; "-1",AM$3, $J$3, , $G$3, $H$3))),"")</f>
        <v/>
      </c>
      <c r="AN12" s="87" t="str">
        <f>IFERROR(IF(OR($B12="",AN$3=""),"",_xll.ciqfunctions.udf.CIQ($B12,"IQ_NET_INT_INC_BNK",AN$3,$E$3, $J$3, , $G$3, $H$3)*2/(_xll.ciqfunctions.udf.CIQ($B12,"IQ_GROSS_LOANS",AN$3,$E$3, $J$3, , $G$3, $H$3)+_xll.ciqfunctions.udf.CIQ($B12,"IQ_GROSS_LOANS", "IQ_" &amp; LEFT(AN$3,2) &amp; "-1",AN$3, $J$3, , $G$3, $H$3))),"")</f>
        <v/>
      </c>
      <c r="AO12" s="87" t="str">
        <f>IFERROR(IF(OR($B12="",AO$3=""),"",_xll.ciqfunctions.udf.CIQ($B12,"IQ_NET_INT_INC_BNK",AO$3,$E$3, $J$3, , $G$3, $H$3)*2/(_xll.ciqfunctions.udf.CIQ($B12,"IQ_GROSS_LOANS",AO$3,$E$3, $J$3, , $G$3, $H$3)+_xll.ciqfunctions.udf.CIQ($B12,"IQ_GROSS_LOANS", "IQ_" &amp; LEFT(AO$3,2) &amp; "-1",AO$3, $J$3, , $G$3, $H$3))),"")</f>
        <v/>
      </c>
      <c r="AP12" s="87" t="str">
        <f>IFERROR(IF(OR($B12="",AP$3=""),"",_xll.ciqfunctions.udf.CIQ($B12,"IQ_NET_INT_INC_BNK",AP$3,$E$3, $J$3, , $G$3, $H$3)*2/(_xll.ciqfunctions.udf.CIQ($B12,"IQ_GROSS_LOANS",AP$3,$E$3, $J$3, , $G$3, $H$3)+_xll.ciqfunctions.udf.CIQ($B12,"IQ_GROSS_LOANS", "IQ_" &amp; LEFT(AP$3,2) &amp; "-1",AP$3, $J$3, , $G$3, $H$3))),"")</f>
        <v/>
      </c>
      <c r="AQ12" s="87" t="str">
        <f>IFERROR(IF(OR($B12="",AQ$3=""),"",_xll.ciqfunctions.udf.CIQ($B12,"IQ_NET_INT_INC_BNK",AQ$3,$E$3, $J$3, , $G$3, $H$3)*2/(_xll.ciqfunctions.udf.CIQ($B12,"IQ_GROSS_LOANS",AQ$3,$E$3, $J$3, , $G$3, $H$3)+_xll.ciqfunctions.udf.CIQ($B12,"IQ_GROSS_LOANS", "IQ_" &amp; LEFT(AQ$3,2) &amp; "-1",AQ$3, $J$3, , $G$3, $H$3))),"")</f>
        <v/>
      </c>
      <c r="AR12" s="87" t="str">
        <f>IFERROR(IF(OR($B12="",AR$3=""),"",_xll.ciqfunctions.udf.CIQ($B12,"IQ_NET_INT_INC_BNK",AR$3,$E$3, $J$3, , $G$3, $H$3)*2/(_xll.ciqfunctions.udf.CIQ($B12,"IQ_GROSS_LOANS",AR$3,$E$3, $J$3, , $G$3, $H$3)+_xll.ciqfunctions.udf.CIQ($B12,"IQ_GROSS_LOANS", "IQ_" &amp; LEFT(AR$3,2) &amp; "-1",AR$3, $J$3, , $G$3, $H$3))),"")</f>
        <v/>
      </c>
      <c r="AS12" s="87" t="str">
        <f>IFERROR(IF(OR($B12="",AS$3=""),"",_xll.ciqfunctions.udf.CIQ($B12,"IQ_NET_INT_INC_BNK",AS$3,$E$3, $J$3, , $G$3, $H$3)*2/(_xll.ciqfunctions.udf.CIQ($B12,"IQ_GROSS_LOANS",AS$3,$E$3, $J$3, , $G$3, $H$3)+_xll.ciqfunctions.udf.CIQ($B12,"IQ_GROSS_LOANS", "IQ_" &amp; LEFT(AS$3,2) &amp; "-1",AS$3, $J$3, , $G$3, $H$3))),"")</f>
        <v/>
      </c>
      <c r="AT12" s="87" t="str">
        <f>IFERROR(IF(OR($B12="",AT$3=""),"",_xll.ciqfunctions.udf.CIQ($B12,"IQ_NET_INT_INC_BNK",AT$3,$E$3, $J$3, , $G$3, $H$3)*2/(_xll.ciqfunctions.udf.CIQ($B12,"IQ_GROSS_LOANS",AT$3,$E$3, $J$3, , $G$3, $H$3)+_xll.ciqfunctions.udf.CIQ($B12,"IQ_GROSS_LOANS", "IQ_" &amp; LEFT(AT$3,2) &amp; "-1",AT$3, $J$3, , $G$3, $H$3))),"")</f>
        <v/>
      </c>
      <c r="AU12" s="87" t="str">
        <f>IFERROR(IF(OR($B12="",AU$3=""),"",_xll.ciqfunctions.udf.CIQ($B12,"IQ_NET_INT_INC_BNK",AU$3,$E$3, $J$3, , $G$3, $H$3)*2/(_xll.ciqfunctions.udf.CIQ($B12,"IQ_GROSS_LOANS",AU$3,$E$3, $J$3, , $G$3, $H$3)+_xll.ciqfunctions.udf.CIQ($B12,"IQ_GROSS_LOANS", "IQ_" &amp; LEFT(AU$3,2) &amp; "-1",AU$3, $J$3, , $G$3, $H$3))),"")</f>
        <v/>
      </c>
      <c r="AV12" s="87" t="str">
        <f>IFERROR(IF(OR($B12="",AV$3=""),"",_xll.ciqfunctions.udf.CIQ($B12,"IQ_NET_INT_INC_BNK",AV$3,$E$3, $J$3, , $G$3, $H$3)*2/(_xll.ciqfunctions.udf.CIQ($B12,"IQ_GROSS_LOANS",AV$3,$E$3, $J$3, , $G$3, $H$3)+_xll.ciqfunctions.udf.CIQ($B12,"IQ_GROSS_LOANS", "IQ_" &amp; LEFT(AV$3,2) &amp; "-1",AV$3, $J$3, , $G$3, $H$3))),"")</f>
        <v/>
      </c>
      <c r="AW12" s="87" t="str">
        <f>IFERROR(IF(OR($B12="",AW$3=""),"",_xll.ciqfunctions.udf.CIQ($B12,"IQ_NET_INT_INC_BNK",AW$3,$E$3, $J$3, , $G$3, $H$3)*2/(_xll.ciqfunctions.udf.CIQ($B12,"IQ_GROSS_LOANS",AW$3,$E$3, $J$3, , $G$3, $H$3)+_xll.ciqfunctions.udf.CIQ($B12,"IQ_GROSS_LOANS", "IQ_" &amp; LEFT(AW$3,2) &amp; "-1",AW$3, $J$3, , $G$3, $H$3))),"")</f>
        <v/>
      </c>
      <c r="AX12" s="88" t="str">
        <f>IFERROR(IF(OR($B12="",AX$3=""),"",_xll.ciqfunctions.udf.CIQ($B12,"IQ_NET_INT_INC_BNK",AX$3,$E$3, $J$3, , $G$3, $H$3)*2/(_xll.ciqfunctions.udf.CIQ($B12,"IQ_GROSS_LOANS",AX$3,$E$3, $J$3, , $G$3, $H$3)+_xll.ciqfunctions.udf.CIQ($B12,"IQ_GROSS_LOANS", "IQ_" &amp; LEFT(AX$3,2) &amp; "-1",AX$3, $J$3, , $G$3, $H$3))),"")</f>
        <v/>
      </c>
      <c r="AY12" s="72" t="str">
        <f>IFERROR(IF(OR($B12="",AY$3=""),"",_xll.ciqfunctions.udf.CIQ($B12, "IQ_EBT", AY$3,$E$3, $J$3, , $G$3, $H$3)/(_xll.ciqfunctions.udf.CIQ($B12,"IQ_INT_INC_TOTAL",BW$3,$E$3, $J$3, , $G$3, $H$3)+_xll.ciqfunctions.udf.CIQ($B12,"IQ_NON_INT_INC",BW$3,$E$3, $J$3, , $G$3, $H$3))),"")</f>
        <v/>
      </c>
      <c r="AZ12" s="72" t="str">
        <f>IFERROR(IF(OR($B12="",AZ$3=""),"",_xll.ciqfunctions.udf.CIQ($B12, "IQ_EBT", AZ$3,$E$3, $J$3, , $G$3, $H$3)/(_xll.ciqfunctions.udf.CIQ($B12,"IQ_INT_INC_TOTAL",BX$3,$E$3, $J$3, , $G$3, $H$3)+_xll.ciqfunctions.udf.CIQ($B12,"IQ_NON_INT_INC",BX$3,$E$3, $J$3, , $G$3, $H$3))),"")</f>
        <v/>
      </c>
      <c r="BA12" s="72" t="str">
        <f>IFERROR(IF(OR($B12="",BA$3=""),"",_xll.ciqfunctions.udf.CIQ($B12, "IQ_EBT", BA$3,$E$3, $J$3, , $G$3, $H$3)/(_xll.ciqfunctions.udf.CIQ($B12,"IQ_INT_INC_TOTAL",BY$3,$E$3, $J$3, , $G$3, $H$3)+_xll.ciqfunctions.udf.CIQ($B12,"IQ_NON_INT_INC",BY$3,$E$3, $J$3, , $G$3, $H$3))),"")</f>
        <v/>
      </c>
      <c r="BB12" s="72" t="str">
        <f>IFERROR(IF(OR($B12="",BB$3=""),"",_xll.ciqfunctions.udf.CIQ($B12, "IQ_EBT", BB$3,$E$3, $J$3, , $G$3, $H$3)/(_xll.ciqfunctions.udf.CIQ($B12,"IQ_INT_INC_TOTAL",BZ$3,$E$3, $J$3, , $G$3, $H$3)+_xll.ciqfunctions.udf.CIQ($B12,"IQ_NON_INT_INC",BZ$3,$E$3, $J$3, , $G$3, $H$3))),"")</f>
        <v/>
      </c>
      <c r="BC12" s="72" t="str">
        <f>IFERROR(IF(OR($B12="",BC$3=""),"",_xll.ciqfunctions.udf.CIQ($B12, "IQ_EBT", BC$3,$E$3, $J$3, , $G$3, $H$3)/(_xll.ciqfunctions.udf.CIQ($B12,"IQ_INT_INC_TOTAL",CA$3,$E$3, $J$3, , $G$3, $H$3)+_xll.ciqfunctions.udf.CIQ($B12,"IQ_NON_INT_INC",CA$3,$E$3, $J$3, , $G$3, $H$3))),"")</f>
        <v/>
      </c>
      <c r="BD12" s="72" t="str">
        <f>IFERROR(IF(OR($B12="",BD$3=""),"",_xll.ciqfunctions.udf.CIQ($B12, "IQ_EBT", BD$3,$E$3, $J$3, , $G$3, $H$3)/(_xll.ciqfunctions.udf.CIQ($B12,"IQ_INT_INC_TOTAL",CB$3,$E$3, $J$3, , $G$3, $H$3)+_xll.ciqfunctions.udf.CIQ($B12,"IQ_NON_INT_INC",CB$3,$E$3, $J$3, , $G$3, $H$3))),"")</f>
        <v/>
      </c>
      <c r="BE12" s="72" t="str">
        <f>IFERROR(IF(OR($B12="",BE$3=""),"",_xll.ciqfunctions.udf.CIQ($B12, "IQ_EBT", BE$3,$E$3, $J$3, , $G$3, $H$3)/(_xll.ciqfunctions.udf.CIQ($B12,"IQ_INT_INC_TOTAL",CC$3,$E$3, $J$3, , $G$3, $H$3)+_xll.ciqfunctions.udf.CIQ($B12,"IQ_NON_INT_INC",CC$3,$E$3, $J$3, , $G$3, $H$3))),"")</f>
        <v/>
      </c>
      <c r="BF12" s="72" t="str">
        <f>IFERROR(IF(OR($B12="",BF$3=""),"",_xll.ciqfunctions.udf.CIQ($B12, "IQ_EBT", BF$3,$E$3, $J$3, , $G$3, $H$3)/(_xll.ciqfunctions.udf.CIQ($B12,"IQ_INT_INC_TOTAL",CD$3,$E$3, $J$3, , $G$3, $H$3)+_xll.ciqfunctions.udf.CIQ($B12,"IQ_NON_INT_INC",CD$3,$E$3, $J$3, , $G$3, $H$3))),"")</f>
        <v/>
      </c>
      <c r="BG12" s="72" t="str">
        <f>IFERROR(IF(OR($B12="",BG$3=""),"",_xll.ciqfunctions.udf.CIQ($B12, "IQ_EBT", BG$3,$E$3, $J$3, , $G$3, $H$3)/(_xll.ciqfunctions.udf.CIQ($B12,"IQ_INT_INC_TOTAL",CE$3,$E$3, $J$3, , $G$3, $H$3)+_xll.ciqfunctions.udf.CIQ($B12,"IQ_NON_INT_INC",CE$3,$E$3, $J$3, , $G$3, $H$3))),"")</f>
        <v/>
      </c>
      <c r="BH12" s="72" t="str">
        <f>IFERROR(IF(OR($B12="",BH$3=""),"",_xll.ciqfunctions.udf.CIQ($B12, "IQ_EBT", BH$3,$E$3, $J$3, , $G$3, $H$3)/(_xll.ciqfunctions.udf.CIQ($B12,"IQ_INT_INC_TOTAL",CF$3,$E$3, $J$3, , $G$3, $H$3)+_xll.ciqfunctions.udf.CIQ($B12,"IQ_NON_INT_INC",CF$3,$E$3, $J$3, , $G$3, $H$3))),"")</f>
        <v/>
      </c>
      <c r="BI12" s="72" t="str">
        <f>IFERROR(IF(OR($B12="",BI$3=""),"",_xll.ciqfunctions.udf.CIQ($B12, "IQ_EBT", BI$3,$E$3, $J$3, , $G$3, $H$3)/(_xll.ciqfunctions.udf.CIQ($B12,"IQ_INT_INC_TOTAL",CG$3,$E$3, $J$3, , $G$3, $H$3)+_xll.ciqfunctions.udf.CIQ($B12,"IQ_NON_INT_INC",CG$3,$E$3, $J$3, , $G$3, $H$3))),"")</f>
        <v/>
      </c>
      <c r="BJ12" s="72" t="str">
        <f>IFERROR(IF(OR($B12="",BJ$3=""),"",_xll.ciqfunctions.udf.CIQ($B12, "IQ_EBT", BJ$3,$E$3, $J$3, , $G$3, $H$3)/(_xll.ciqfunctions.udf.CIQ($B12,"IQ_INT_INC_TOTAL",CH$3,$E$3, $J$3, , $G$3, $H$3)+_xll.ciqfunctions.udf.CIQ($B12,"IQ_NON_INT_INC",CH$3,$E$3, $J$3, , $G$3, $H$3))),"")</f>
        <v/>
      </c>
      <c r="BK12" s="72" t="str">
        <f>IFERROR(IF(OR($B12="",BK$3=""),"",_xll.ciqfunctions.udf.CIQ($B12, "IQ_EBT", BK$3,$E$3, $J$3, , $G$3, $H$3)/(_xll.ciqfunctions.udf.CIQ($B12,"IQ_INT_INC_TOTAL",CI$3,$E$3, $J$3, , $G$3, $H$3)+_xll.ciqfunctions.udf.CIQ($B12,"IQ_NON_INT_INC",CI$3,$E$3, $J$3, , $G$3, $H$3))),"")</f>
        <v/>
      </c>
      <c r="BL12" s="72" t="str">
        <f>IFERROR(IF(OR($B12="",BL$3=""),"",_xll.ciqfunctions.udf.CIQ($B12, "IQ_EBT", BL$3,$E$3, $J$3, , $G$3, $H$3)/(_xll.ciqfunctions.udf.CIQ($B12,"IQ_INT_INC_TOTAL",CJ$3,$E$3, $J$3, , $G$3, $H$3)+_xll.ciqfunctions.udf.CIQ($B12,"IQ_NON_INT_INC",CJ$3,$E$3, $J$3, , $G$3, $H$3))),"")</f>
        <v/>
      </c>
      <c r="BM12" s="72" t="str">
        <f>IFERROR(IF(OR($B12="",BM$3=""),"",_xll.ciqfunctions.udf.CIQ($B12, "IQ_EBT", BM$3,$E$3, $J$3, , $G$3, $H$3)/(_xll.ciqfunctions.udf.CIQ($B12,"IQ_INT_INC_TOTAL",CK$3,$E$3, $J$3, , $G$3, $H$3)+_xll.ciqfunctions.udf.CIQ($B12,"IQ_NON_INT_INC",CK$3,$E$3, $J$3, , $G$3, $H$3))),"")</f>
        <v/>
      </c>
      <c r="BN12" s="72" t="str">
        <f>IFERROR(IF(OR($B12="",BN$3=""),"",_xll.ciqfunctions.udf.CIQ($B12, "IQ_EBT", BN$3,$E$3, $J$3, , $G$3, $H$3)/(_xll.ciqfunctions.udf.CIQ($B12,"IQ_INT_INC_TOTAL",CL$3,$E$3, $J$3, , $G$3, $H$3)+_xll.ciqfunctions.udf.CIQ($B12,"IQ_NON_INT_INC",CL$3,$E$3, $J$3, , $G$3, $H$3))),"")</f>
        <v/>
      </c>
      <c r="BO12" s="72" t="str">
        <f>IFERROR(IF(OR($B12="",BO$3=""),"",_xll.ciqfunctions.udf.CIQ($B12, "IQ_EBT", BO$3,$E$3, $J$3, , $G$3, $H$3)/(_xll.ciqfunctions.udf.CIQ($B12,"IQ_INT_INC_TOTAL",CM$3,$E$3, $J$3, , $G$3, $H$3)+_xll.ciqfunctions.udf.CIQ($B12,"IQ_NON_INT_INC",CM$3,$E$3, $J$3, , $G$3, $H$3))),"")</f>
        <v/>
      </c>
      <c r="BP12" s="72" t="str">
        <f>IFERROR(IF(OR($B12="",BP$3=""),"",_xll.ciqfunctions.udf.CIQ($B12, "IQ_EBT", BP$3,$E$3, $J$3, , $G$3, $H$3)/(_xll.ciqfunctions.udf.CIQ($B12,"IQ_INT_INC_TOTAL",CN$3,$E$3, $J$3, , $G$3, $H$3)+_xll.ciqfunctions.udf.CIQ($B12,"IQ_NON_INT_INC",CN$3,$E$3, $J$3, , $G$3, $H$3))),"")</f>
        <v/>
      </c>
      <c r="BQ12" s="72" t="str">
        <f>IFERROR(IF(OR($B12="",BQ$3=""),"",_xll.ciqfunctions.udf.CIQ($B12, "IQ_EBT", BQ$3,$E$3, $J$3, , $G$3, $H$3)/(_xll.ciqfunctions.udf.CIQ($B12,"IQ_INT_INC_TOTAL",CO$3,$E$3, $J$3, , $G$3, $H$3)+_xll.ciqfunctions.udf.CIQ($B12,"IQ_NON_INT_INC",CO$3,$E$3, $J$3, , $G$3, $H$3))),"")</f>
        <v/>
      </c>
      <c r="BR12" s="72" t="str">
        <f>IFERROR(IF(OR($B12="",BR$3=""),"",_xll.ciqfunctions.udf.CIQ($B12, "IQ_EBT", BR$3,$E$3, $J$3, , $G$3, $H$3)/(_xll.ciqfunctions.udf.CIQ($B12,"IQ_INT_INC_TOTAL",CP$3,$E$3, $J$3, , $G$3, $H$3)+_xll.ciqfunctions.udf.CIQ($B12,"IQ_NON_INT_INC",CP$3,$E$3, $J$3, , $G$3, $H$3))),"")</f>
        <v/>
      </c>
      <c r="BS12" s="87" t="str">
        <f>IFERROR(IF(OR($B12="",BS$3=""),"",_xll.ciqfunctions.udf.CIQ($B12,"IQ_NI",BS$3,$E$3, $J$3, , $G$3, $H$3)/(_xll.ciqfunctions.udf.CIQ($B12,"IQ_INT_INC_TOTAL",BS$3,$E$3, $J$3, , $G$3, $H$3)+_xll.ciqfunctions.udf.CIQ($B12,"IQ_NON_INT_INC",BS$3,$E$3, $J$3, , $G$3, $H$3))),"")</f>
        <v/>
      </c>
      <c r="BT12" s="87" t="str">
        <f>IFERROR(IF(OR($B12="",BT$3=""),"",_xll.ciqfunctions.udf.CIQ($B12,"IQ_NI",BT$3,$E$3, $J$3, , $G$3, $H$3)/(_xll.ciqfunctions.udf.CIQ($B12,"IQ_INT_INC_TOTAL",BT$3,$E$3, $J$3, , $G$3, $H$3)+_xll.ciqfunctions.udf.CIQ($B12,"IQ_NON_INT_INC",BT$3,$E$3, $J$3, , $G$3, $H$3))),"")</f>
        <v/>
      </c>
      <c r="BU12" s="87" t="str">
        <f>IFERROR(IF(OR($B12="",BU$3=""),"",_xll.ciqfunctions.udf.CIQ($B12,"IQ_NI",BU$3,$E$3, $J$3, , $G$3, $H$3)/(_xll.ciqfunctions.udf.CIQ($B12,"IQ_INT_INC_TOTAL",BU$3,$E$3, $J$3, , $G$3, $H$3)+_xll.ciqfunctions.udf.CIQ($B12,"IQ_NON_INT_INC",BU$3,$E$3, $J$3, , $G$3, $H$3))),"")</f>
        <v/>
      </c>
      <c r="BV12" s="87" t="str">
        <f>IFERROR(IF(OR($B12="",BV$3=""),"",_xll.ciqfunctions.udf.CIQ($B12,"IQ_NI",BV$3,$E$3, $J$3, , $G$3, $H$3)/(_xll.ciqfunctions.udf.CIQ($B12,"IQ_INT_INC_TOTAL",BV$3,$E$3, $J$3, , $G$3, $H$3)+_xll.ciqfunctions.udf.CIQ($B12,"IQ_NON_INT_INC",BV$3,$E$3, $J$3, , $G$3, $H$3))),"")</f>
        <v/>
      </c>
      <c r="BW12" s="87" t="str">
        <f>IFERROR(IF(OR($B12="",BW$3=""),"",_xll.ciqfunctions.udf.CIQ($B12,"IQ_NI",BW$3,$E$3, $J$3, , $G$3, $H$3)/(_xll.ciqfunctions.udf.CIQ($B12,"IQ_INT_INC_TOTAL",BW$3,$E$3, $J$3, , $G$3, $H$3)+_xll.ciqfunctions.udf.CIQ($B12,"IQ_NON_INT_INC",BW$3,$E$3, $J$3, , $G$3, $H$3))),"")</f>
        <v/>
      </c>
      <c r="BX12" s="87" t="str">
        <f>IFERROR(IF(OR($B12="",BX$3=""),"",_xll.ciqfunctions.udf.CIQ($B12,"IQ_NI",BX$3,$E$3, $J$3, , $G$3, $H$3)/(_xll.ciqfunctions.udf.CIQ($B12,"IQ_INT_INC_TOTAL",BX$3,$E$3, $J$3, , $G$3, $H$3)+_xll.ciqfunctions.udf.CIQ($B12,"IQ_NON_INT_INC",BX$3,$E$3, $J$3, , $G$3, $H$3))),"")</f>
        <v/>
      </c>
      <c r="BY12" s="87" t="str">
        <f>IFERROR(IF(OR($B12="",BY$3=""),"",_xll.ciqfunctions.udf.CIQ($B12,"IQ_NI",BY$3,$E$3, $J$3, , $G$3, $H$3)/(_xll.ciqfunctions.udf.CIQ($B12,"IQ_INT_INC_TOTAL",BY$3,$E$3, $J$3, , $G$3, $H$3)+_xll.ciqfunctions.udf.CIQ($B12,"IQ_NON_INT_INC",BY$3,$E$3, $J$3, , $G$3, $H$3))),"")</f>
        <v/>
      </c>
      <c r="BZ12" s="87" t="str">
        <f>IFERROR(IF(OR($B12="",BZ$3=""),"",_xll.ciqfunctions.udf.CIQ($B12,"IQ_NI",BZ$3,$E$3, $J$3, , $G$3, $H$3)/(_xll.ciqfunctions.udf.CIQ($B12,"IQ_INT_INC_TOTAL",BZ$3,$E$3, $J$3, , $G$3, $H$3)+_xll.ciqfunctions.udf.CIQ($B12,"IQ_NON_INT_INC",BZ$3,$E$3, $J$3, , $G$3, $H$3))),"")</f>
        <v/>
      </c>
      <c r="CA12" s="87" t="str">
        <f>IFERROR(IF(OR($B12="",CA$3=""),"",_xll.ciqfunctions.udf.CIQ($B12,"IQ_NI",CA$3,$E$3, $J$3, , $G$3, $H$3)/(_xll.ciqfunctions.udf.CIQ($B12,"IQ_INT_INC_TOTAL",CA$3,$E$3, $J$3, , $G$3, $H$3)+_xll.ciqfunctions.udf.CIQ($B12,"IQ_NON_INT_INC",CA$3,$E$3, $J$3, , $G$3, $H$3))),"")</f>
        <v/>
      </c>
      <c r="CB12" s="87" t="str">
        <f>IFERROR(IF(OR($B12="",CB$3=""),"",_xll.ciqfunctions.udf.CIQ($B12,"IQ_NI",CB$3,$E$3, $J$3, , $G$3, $H$3)/(_xll.ciqfunctions.udf.CIQ($B12,"IQ_INT_INC_TOTAL",CB$3,$E$3, $J$3, , $G$3, $H$3)+_xll.ciqfunctions.udf.CIQ($B12,"IQ_NON_INT_INC",CB$3,$E$3, $J$3, , $G$3, $H$3))),"")</f>
        <v/>
      </c>
      <c r="CC12" s="87" t="str">
        <f>IFERROR(IF(OR($B12="",CC$3=""),"",_xll.ciqfunctions.udf.CIQ($B12,"IQ_NI",CC$3,$E$3, $J$3, , $G$3, $H$3)/(_xll.ciqfunctions.udf.CIQ($B12,"IQ_INT_INC_TOTAL",CC$3,$E$3, $J$3, , $G$3, $H$3)+_xll.ciqfunctions.udf.CIQ($B12,"IQ_NON_INT_INC",CC$3,$E$3, $J$3, , $G$3, $H$3))),"")</f>
        <v/>
      </c>
      <c r="CD12" s="87" t="str">
        <f>IFERROR(IF(OR($B12="",CD$3=""),"",_xll.ciqfunctions.udf.CIQ($B12,"IQ_NI",CD$3,$E$3, $J$3, , $G$3, $H$3)/(_xll.ciqfunctions.udf.CIQ($B12,"IQ_INT_INC_TOTAL",CD$3,$E$3, $J$3, , $G$3, $H$3)+_xll.ciqfunctions.udf.CIQ($B12,"IQ_NON_INT_INC",CD$3,$E$3, $J$3, , $G$3, $H$3))),"")</f>
        <v/>
      </c>
      <c r="CE12" s="87" t="str">
        <f>IFERROR(IF(OR($B12="",CE$3=""),"",_xll.ciqfunctions.udf.CIQ($B12,"IQ_NI",CE$3,$E$3, $J$3, , $G$3, $H$3)/(_xll.ciqfunctions.udf.CIQ($B12,"IQ_INT_INC_TOTAL",CE$3,$E$3, $J$3, , $G$3, $H$3)+_xll.ciqfunctions.udf.CIQ($B12,"IQ_NON_INT_INC",CE$3,$E$3, $J$3, , $G$3, $H$3))),"")</f>
        <v/>
      </c>
      <c r="CF12" s="87" t="str">
        <f>IFERROR(IF(OR($B12="",CF$3=""),"",_xll.ciqfunctions.udf.CIQ($B12,"IQ_NI",CF$3,$E$3, $J$3, , $G$3, $H$3)/(_xll.ciqfunctions.udf.CIQ($B12,"IQ_INT_INC_TOTAL",CF$3,$E$3, $J$3, , $G$3, $H$3)+_xll.ciqfunctions.udf.CIQ($B12,"IQ_NON_INT_INC",CF$3,$E$3, $J$3, , $G$3, $H$3))),"")</f>
        <v/>
      </c>
      <c r="CG12" s="87" t="str">
        <f>IFERROR(IF(OR($B12="",CG$3=""),"",_xll.ciqfunctions.udf.CIQ($B12,"IQ_NI",CG$3,$E$3, $J$3, , $G$3, $H$3)/(_xll.ciqfunctions.udf.CIQ($B12,"IQ_INT_INC_TOTAL",CG$3,$E$3, $J$3, , $G$3, $H$3)+_xll.ciqfunctions.udf.CIQ($B12,"IQ_NON_INT_INC",CG$3,$E$3, $J$3, , $G$3, $H$3))),"")</f>
        <v/>
      </c>
      <c r="CH12" s="87" t="str">
        <f>IFERROR(IF(OR($B12="",CH$3=""),"",_xll.ciqfunctions.udf.CIQ($B12,"IQ_NI",CH$3,$E$3, $J$3, , $G$3, $H$3)/(_xll.ciqfunctions.udf.CIQ($B12,"IQ_INT_INC_TOTAL",CH$3,$E$3, $J$3, , $G$3, $H$3)+_xll.ciqfunctions.udf.CIQ($B12,"IQ_NON_INT_INC",CH$3,$E$3, $J$3, , $G$3, $H$3))),"")</f>
        <v/>
      </c>
      <c r="CI12" s="87" t="str">
        <f>IFERROR(IF(OR($B12="",CI$3=""),"",_xll.ciqfunctions.udf.CIQ($B12,"IQ_NI",CI$3,$E$3, $J$3, , $G$3, $H$3)/(_xll.ciqfunctions.udf.CIQ($B12,"IQ_INT_INC_TOTAL",CI$3,$E$3, $J$3, , $G$3, $H$3)+_xll.ciqfunctions.udf.CIQ($B12,"IQ_NON_INT_INC",CI$3,$E$3, $J$3, , $G$3, $H$3))),"")</f>
        <v/>
      </c>
      <c r="CJ12" s="87" t="str">
        <f>IFERROR(IF(OR($B12="",CJ$3=""),"",_xll.ciqfunctions.udf.CIQ($B12,"IQ_NI",CJ$3,$E$3, $J$3, , $G$3, $H$3)/(_xll.ciqfunctions.udf.CIQ($B12,"IQ_INT_INC_TOTAL",CJ$3,$E$3, $J$3, , $G$3, $H$3)+_xll.ciqfunctions.udf.CIQ($B12,"IQ_NON_INT_INC",CJ$3,$E$3, $J$3, , $G$3, $H$3))),"")</f>
        <v/>
      </c>
      <c r="CK12" s="87" t="str">
        <f>IFERROR(IF(OR($B12="",CK$3=""),"",_xll.ciqfunctions.udf.CIQ($B12,"IQ_NI",CK$3,$E$3, $J$3, , $G$3, $H$3)/(_xll.ciqfunctions.udf.CIQ($B12,"IQ_INT_INC_TOTAL",CK$3,$E$3, $J$3, , $G$3, $H$3)+_xll.ciqfunctions.udf.CIQ($B12,"IQ_NON_INT_INC",CK$3,$E$3, $J$3, , $G$3, $H$3))),"")</f>
        <v/>
      </c>
      <c r="CL12" s="87" t="str">
        <f>IFERROR(IF(OR($B12="",CL$3=""),"",_xll.ciqfunctions.udf.CIQ($B12,"IQ_NI",CL$3,$E$3, $J$3, , $G$3, $H$3)/(_xll.ciqfunctions.udf.CIQ($B12,"IQ_INT_INC_TOTAL",CL$3,$E$3, $J$3, , $G$3, $H$3)+_xll.ciqfunctions.udf.CIQ($B12,"IQ_NON_INT_INC",CL$3,$E$3, $J$3, , $G$3, $H$3))),"")</f>
        <v/>
      </c>
      <c r="CM12" s="72" t="str">
        <f>IFERROR(IF(OR($B12="",CM$3=""),"",_xll.ciqfunctions.udf.CIQ($B12,"IQ_SGA_SUPPL",CM$3,$E$3, $J$3, , $G$3, $H$3)/(_xll.ciqfunctions.udf.CIQ($B12,"IQ_INT_INC_TOTAL",CM$3,$E$3, $J$3, , $G$3, $H$3)+_xll.ciqfunctions.udf.CIQ($B12,"IQ_NON_INT_INC",CM$3,$E$3, $J$3, , $G$3, $H$3))),"")</f>
        <v/>
      </c>
      <c r="CN12" s="72" t="str">
        <f>IFERROR(IF(OR($B12="",CN$3=""),"",_xll.ciqfunctions.udf.CIQ($B12,"IQ_SGA_SUPPL",CN$3,$E$3, $J$3, , $G$3, $H$3)/(_xll.ciqfunctions.udf.CIQ($B12,"IQ_INT_INC_TOTAL",CN$3,$E$3, $J$3, , $G$3, $H$3)+_xll.ciqfunctions.udf.CIQ($B12,"IQ_NON_INT_INC",CN$3,$E$3, $J$3, , $G$3, $H$3))),"")</f>
        <v/>
      </c>
      <c r="CO12" s="72" t="str">
        <f>IFERROR(IF(OR($B12="",CO$3=""),"",_xll.ciqfunctions.udf.CIQ($B12,"IQ_SGA_SUPPL",CO$3,$E$3, $J$3, , $G$3, $H$3)/(_xll.ciqfunctions.udf.CIQ($B12,"IQ_INT_INC_TOTAL",CO$3,$E$3, $J$3, , $G$3, $H$3)+_xll.ciqfunctions.udf.CIQ($B12,"IQ_NON_INT_INC",CO$3,$E$3, $J$3, , $G$3, $H$3))),"")</f>
        <v/>
      </c>
      <c r="CP12" s="72" t="str">
        <f>IFERROR(IF(OR($B12="",CP$3=""),"",_xll.ciqfunctions.udf.CIQ($B12,"IQ_SGA_SUPPL",CP$3,$E$3, $J$3, , $G$3, $H$3)/(_xll.ciqfunctions.udf.CIQ($B12,"IQ_INT_INC_TOTAL",CP$3,$E$3, $J$3, , $G$3, $H$3)+_xll.ciqfunctions.udf.CIQ($B12,"IQ_NON_INT_INC",CP$3,$E$3, $J$3, , $G$3, $H$3))),"")</f>
        <v/>
      </c>
      <c r="CQ12" s="72" t="str">
        <f>IFERROR(IF(OR($B12="",CQ$3=""),"",_xll.ciqfunctions.udf.CIQ($B12,"IQ_SGA_SUPPL",CQ$3,$E$3, $J$3, , $G$3, $H$3)/(_xll.ciqfunctions.udf.CIQ($B12,"IQ_INT_INC_TOTAL",CQ$3,$E$3, $J$3, , $G$3, $H$3)+_xll.ciqfunctions.udf.CIQ($B12,"IQ_NON_INT_INC",CQ$3,$E$3, $J$3, , $G$3, $H$3))),"")</f>
        <v/>
      </c>
      <c r="CR12" s="72" t="str">
        <f>IFERROR(IF(OR($B12="",CR$3=""),"",_xll.ciqfunctions.udf.CIQ($B12,"IQ_SGA_SUPPL",CR$3,$E$3, $J$3, , $G$3, $H$3)/(_xll.ciqfunctions.udf.CIQ($B12,"IQ_INT_INC_TOTAL",CR$3,$E$3, $J$3, , $G$3, $H$3)+_xll.ciqfunctions.udf.CIQ($B12,"IQ_NON_INT_INC",CR$3,$E$3, $J$3, , $G$3, $H$3))),"")</f>
        <v/>
      </c>
      <c r="CS12" s="72" t="str">
        <f>IFERROR(IF(OR($B12="",CS$3=""),"",_xll.ciqfunctions.udf.CIQ($B12,"IQ_SGA_SUPPL",CS$3,$E$3, $J$3, , $G$3, $H$3)/(_xll.ciqfunctions.udf.CIQ($B12,"IQ_INT_INC_TOTAL",CS$3,$E$3, $J$3, , $G$3, $H$3)+_xll.ciqfunctions.udf.CIQ($B12,"IQ_NON_INT_INC",CS$3,$E$3, $J$3, , $G$3, $H$3))),"")</f>
        <v/>
      </c>
      <c r="CT12" s="72" t="str">
        <f>IFERROR(IF(OR($B12="",CT$3=""),"",_xll.ciqfunctions.udf.CIQ($B12,"IQ_SGA_SUPPL",CT$3,$E$3, $J$3, , $G$3, $H$3)/(_xll.ciqfunctions.udf.CIQ($B12,"IQ_INT_INC_TOTAL",CT$3,$E$3, $J$3, , $G$3, $H$3)+_xll.ciqfunctions.udf.CIQ($B12,"IQ_NON_INT_INC",CT$3,$E$3, $J$3, , $G$3, $H$3))),"")</f>
        <v/>
      </c>
      <c r="CU12" s="72" t="str">
        <f>IFERROR(IF(OR($B12="",CU$3=""),"",_xll.ciqfunctions.udf.CIQ($B12,"IQ_SGA_SUPPL",CU$3,$E$3, $J$3, , $G$3, $H$3)/(_xll.ciqfunctions.udf.CIQ($B12,"IQ_INT_INC_TOTAL",CU$3,$E$3, $J$3, , $G$3, $H$3)+_xll.ciqfunctions.udf.CIQ($B12,"IQ_NON_INT_INC",CU$3,$E$3, $J$3, , $G$3, $H$3))),"")</f>
        <v/>
      </c>
      <c r="CV12" s="72" t="str">
        <f>IFERROR(IF(OR($B12="",CV$3=""),"",_xll.ciqfunctions.udf.CIQ($B12,"IQ_SGA_SUPPL",CV$3,$E$3, $J$3, , $G$3, $H$3)/(_xll.ciqfunctions.udf.CIQ($B12,"IQ_INT_INC_TOTAL",CV$3,$E$3, $J$3, , $G$3, $H$3)+_xll.ciqfunctions.udf.CIQ($B12,"IQ_NON_INT_INC",CV$3,$E$3, $J$3, , $G$3, $H$3))),"")</f>
        <v/>
      </c>
      <c r="CW12" s="72" t="str">
        <f>IFERROR(IF(OR($B12="",CW$3=""),"",_xll.ciqfunctions.udf.CIQ($B12,"IQ_SGA_SUPPL",CW$3,$E$3, $J$3, , $G$3, $H$3)/(_xll.ciqfunctions.udf.CIQ($B12,"IQ_INT_INC_TOTAL",CW$3,$E$3, $J$3, , $G$3, $H$3)+_xll.ciqfunctions.udf.CIQ($B12,"IQ_NON_INT_INC",CW$3,$E$3, $J$3, , $G$3, $H$3))),"")</f>
        <v/>
      </c>
      <c r="CX12" s="72" t="str">
        <f>IFERROR(IF(OR($B12="",CX$3=""),"",_xll.ciqfunctions.udf.CIQ($B12,"IQ_SGA_SUPPL",CX$3,$E$3, $J$3, , $G$3, $H$3)/(_xll.ciqfunctions.udf.CIQ($B12,"IQ_INT_INC_TOTAL",CX$3,$E$3, $J$3, , $G$3, $H$3)+_xll.ciqfunctions.udf.CIQ($B12,"IQ_NON_INT_INC",CX$3,$E$3, $J$3, , $G$3, $H$3))),"")</f>
        <v/>
      </c>
      <c r="CY12" s="72" t="str">
        <f>IFERROR(IF(OR($B12="",CY$3=""),"",_xll.ciqfunctions.udf.CIQ($B12,"IQ_SGA_SUPPL",CY$3,$E$3, $J$3, , $G$3, $H$3)/(_xll.ciqfunctions.udf.CIQ($B12,"IQ_INT_INC_TOTAL",CY$3,$E$3, $J$3, , $G$3, $H$3)+_xll.ciqfunctions.udf.CIQ($B12,"IQ_NON_INT_INC",CY$3,$E$3, $J$3, , $G$3, $H$3))),"")</f>
        <v/>
      </c>
      <c r="CZ12" s="72" t="str">
        <f>IFERROR(IF(OR($B12="",CZ$3=""),"",_xll.ciqfunctions.udf.CIQ($B12,"IQ_SGA_SUPPL",CZ$3,$E$3, $J$3, , $G$3, $H$3)/(_xll.ciqfunctions.udf.CIQ($B12,"IQ_INT_INC_TOTAL",CZ$3,$E$3, $J$3, , $G$3, $H$3)+_xll.ciqfunctions.udf.CIQ($B12,"IQ_NON_INT_INC",CZ$3,$E$3, $J$3, , $G$3, $H$3))),"")</f>
        <v/>
      </c>
      <c r="DA12" s="72" t="str">
        <f>IFERROR(IF(OR($B12="",DA$3=""),"",_xll.ciqfunctions.udf.CIQ($B12,"IQ_SGA_SUPPL",DA$3,$E$3, $J$3, , $G$3, $H$3)/(_xll.ciqfunctions.udf.CIQ($B12,"IQ_INT_INC_TOTAL",DA$3,$E$3, $J$3, , $G$3, $H$3)+_xll.ciqfunctions.udf.CIQ($B12,"IQ_NON_INT_INC",DA$3,$E$3, $J$3, , $G$3, $H$3))),"")</f>
        <v/>
      </c>
      <c r="DB12" s="72" t="str">
        <f>IFERROR(IF(OR($B12="",DB$3=""),"",_xll.ciqfunctions.udf.CIQ($B12,"IQ_SGA_SUPPL",DB$3,$E$3, $J$3, , $G$3, $H$3)/(_xll.ciqfunctions.udf.CIQ($B12,"IQ_INT_INC_TOTAL",DB$3,$E$3, $J$3, , $G$3, $H$3)+_xll.ciqfunctions.udf.CIQ($B12,"IQ_NON_INT_INC",DB$3,$E$3, $J$3, , $G$3, $H$3))),"")</f>
        <v/>
      </c>
      <c r="DC12" s="72" t="str">
        <f>IFERROR(IF(OR($B12="",DC$3=""),"",_xll.ciqfunctions.udf.CIQ($B12,"IQ_SGA_SUPPL",DC$3,$E$3, $J$3, , $G$3, $H$3)/(_xll.ciqfunctions.udf.CIQ($B12,"IQ_INT_INC_TOTAL",DC$3,$E$3, $J$3, , $G$3, $H$3)+_xll.ciqfunctions.udf.CIQ($B12,"IQ_NON_INT_INC",DC$3,$E$3, $J$3, , $G$3, $H$3))),"")</f>
        <v/>
      </c>
      <c r="DD12" s="72" t="str">
        <f>IFERROR(IF(OR($B12="",DD$3=""),"",_xll.ciqfunctions.udf.CIQ($B12,"IQ_SGA_SUPPL",DD$3,$E$3, $J$3, , $G$3, $H$3)/(_xll.ciqfunctions.udf.CIQ($B12,"IQ_INT_INC_TOTAL",DD$3,$E$3, $J$3, , $G$3, $H$3)+_xll.ciqfunctions.udf.CIQ($B12,"IQ_NON_INT_INC",DD$3,$E$3, $J$3, , $G$3, $H$3))),"")</f>
        <v/>
      </c>
      <c r="DE12" s="72" t="str">
        <f>IFERROR(IF(OR($B12="",DE$3=""),"",_xll.ciqfunctions.udf.CIQ($B12,"IQ_SGA_SUPPL",DE$3,$E$3, $J$3, , $G$3, $H$3)/(_xll.ciqfunctions.udf.CIQ($B12,"IQ_INT_INC_TOTAL",DE$3,$E$3, $J$3, , $G$3, $H$3)+_xll.ciqfunctions.udf.CIQ($B12,"IQ_NON_INT_INC",DE$3,$E$3, $J$3, , $G$3, $H$3))),"")</f>
        <v/>
      </c>
      <c r="DF12" s="72" t="str">
        <f>IFERROR(IF(OR($B12="",DF$3=""),"",_xll.ciqfunctions.udf.CIQ($B12,"IQ_SGA_SUPPL",DF$3,$E$3, $J$3, , $G$3, $H$3)/(_xll.ciqfunctions.udf.CIQ($B12,"IQ_INT_INC_TOTAL",DF$3,$E$3, $J$3, , $G$3, $H$3)+_xll.ciqfunctions.udf.CIQ($B12,"IQ_NON_INT_INC",DF$3,$E$3, $J$3, , $G$3, $H$3))),"")</f>
        <v/>
      </c>
      <c r="DG12" s="86" t="str">
        <f>IFERROR(IF(OR($B12="",DG$3=""),"",_xll.ciqfunctions.udf.CIQ($B12,"IQ_TIER_ONE_RATIO",DG$3,$E$3, $J$3, , $G$3, $H$3)/100),"")</f>
        <v/>
      </c>
      <c r="DH12" s="87" t="str">
        <f>IFERROR(IF(OR($B12="",DH$3=""),"",_xll.ciqfunctions.udf.CIQ($B12,"IQ_TIER_ONE_RATIO",DH$3,$E$3, $J$3, , $G$3, $H$3)/100),"")</f>
        <v/>
      </c>
      <c r="DI12" s="87" t="str">
        <f>IFERROR(IF(OR($B12="",DI$3=""),"",_xll.ciqfunctions.udf.CIQ($B12,"IQ_TIER_ONE_RATIO",DI$3,$E$3, $J$3, , $G$3, $H$3)/100),"")</f>
        <v/>
      </c>
      <c r="DJ12" s="87" t="str">
        <f>IFERROR(IF(OR($B12="",DJ$3=""),"",_xll.ciqfunctions.udf.CIQ($B12,"IQ_TIER_ONE_RATIO",DJ$3,$E$3, $J$3, , $G$3, $H$3)/100),"")</f>
        <v/>
      </c>
      <c r="DK12" s="87" t="str">
        <f>IFERROR(IF(OR($B12="",DK$3=""),"",_xll.ciqfunctions.udf.CIQ($B12,"IQ_TIER_ONE_RATIO",DK$3,$E$3, $J$3, , $G$3, $H$3)/100),"")</f>
        <v/>
      </c>
      <c r="DL12" s="87" t="str">
        <f>IFERROR(IF(OR($B12="",DL$3=""),"",_xll.ciqfunctions.udf.CIQ($B12,"IQ_TIER_ONE_RATIO",DL$3,$E$3, $J$3, , $G$3, $H$3)/100),"")</f>
        <v/>
      </c>
      <c r="DM12" s="87" t="str">
        <f>IFERROR(IF(OR($B12="",DM$3=""),"",_xll.ciqfunctions.udf.CIQ($B12,"IQ_TIER_ONE_RATIO",DM$3,$E$3, $J$3, , $G$3, $H$3)/100),"")</f>
        <v/>
      </c>
      <c r="DN12" s="87" t="str">
        <f>IFERROR(IF(OR($B12="",DN$3=""),"",_xll.ciqfunctions.udf.CIQ($B12,"IQ_TIER_ONE_RATIO",DN$3,$E$3, $J$3, , $G$3, $H$3)/100),"")</f>
        <v/>
      </c>
      <c r="DO12" s="87" t="str">
        <f>IFERROR(IF(OR($B12="",DO$3=""),"",_xll.ciqfunctions.udf.CIQ($B12,"IQ_TIER_ONE_RATIO",DO$3,$E$3, $J$3, , $G$3, $H$3)/100),"")</f>
        <v/>
      </c>
      <c r="DP12" s="87" t="str">
        <f>IFERROR(IF(OR($B12="",DP$3=""),"",_xll.ciqfunctions.udf.CIQ($B12,"IQ_TIER_ONE_RATIO",DP$3,$E$3, $J$3, , $G$3, $H$3)/100),"")</f>
        <v/>
      </c>
      <c r="DQ12" s="87" t="str">
        <f>IFERROR(IF(OR($B12="",DQ$3=""),"",_xll.ciqfunctions.udf.CIQ($B12,"IQ_TIER_ONE_RATIO",DQ$3,$E$3, $J$3, , $G$3, $H$3)/100),"")</f>
        <v/>
      </c>
      <c r="DR12" s="87" t="str">
        <f>IFERROR(IF(OR($B12="",DR$3=""),"",_xll.ciqfunctions.udf.CIQ($B12,"IQ_TIER_ONE_RATIO",DR$3,$E$3, $J$3, , $G$3, $H$3)/100),"")</f>
        <v/>
      </c>
      <c r="DS12" s="87" t="str">
        <f>IFERROR(IF(OR($B12="",DS$3=""),"",_xll.ciqfunctions.udf.CIQ($B12,"IQ_TIER_ONE_RATIO",DS$3,$E$3, $J$3, , $G$3, $H$3)/100),"")</f>
        <v/>
      </c>
      <c r="DT12" s="87" t="str">
        <f>IFERROR(IF(OR($B12="",DT$3=""),"",_xll.ciqfunctions.udf.CIQ($B12,"IQ_TIER_ONE_RATIO",DT$3,$E$3, $J$3, , $G$3, $H$3)/100),"")</f>
        <v/>
      </c>
      <c r="DU12" s="87" t="str">
        <f>IFERROR(IF(OR($B12="",DU$3=""),"",_xll.ciqfunctions.udf.CIQ($B12,"IQ_TIER_ONE_RATIO",DU$3,$E$3, $J$3, , $G$3, $H$3)/100),"")</f>
        <v/>
      </c>
      <c r="DV12" s="87" t="str">
        <f>IFERROR(IF(OR($B12="",DV$3=""),"",_xll.ciqfunctions.udf.CIQ($B12,"IQ_TIER_ONE_RATIO",DV$3,$E$3, $J$3, , $G$3, $H$3)/100),"")</f>
        <v/>
      </c>
      <c r="DW12" s="87" t="str">
        <f>IFERROR(IF(OR($B12="",DW$3=""),"",_xll.ciqfunctions.udf.CIQ($B12,"IQ_TIER_ONE_RATIO",DW$3,$E$3, $J$3, , $G$3, $H$3)/100),"")</f>
        <v/>
      </c>
      <c r="DX12" s="87" t="str">
        <f>IFERROR(IF(OR($B12="",DX$3=""),"",_xll.ciqfunctions.udf.CIQ($B12,"IQ_TIER_ONE_RATIO",DX$3,$E$3, $J$3, , $G$3, $H$3)/100),"")</f>
        <v/>
      </c>
      <c r="DY12" s="87" t="str">
        <f>IFERROR(IF(OR($B12="",DY$3=""),"",_xll.ciqfunctions.udf.CIQ($B12,"IQ_TIER_ONE_RATIO",DY$3,$E$3, $J$3, , $G$3, $H$3)/100),"")</f>
        <v/>
      </c>
      <c r="DZ12" s="88" t="str">
        <f>IFERROR(IF(OR($B12="",DZ$3=""),"",_xll.ciqfunctions.udf.CIQ($B12,"IQ_TIER_ONE_RATIO",DZ$3,$E$3, $J$3, , $G$3, $H$3)/100),"")</f>
        <v/>
      </c>
      <c r="EA12" s="86" t="str">
        <f>IFERROR(IF(OR($B12="",EA$3=""),"",_xll.ciqfunctions.udf.CIQ($B12,"IQ_TOTAL_CAPITAL_RATIO",EA$3,$E$3, $J$3, , $G$3, $H$3)/100),"")</f>
        <v/>
      </c>
      <c r="EB12" s="87" t="str">
        <f>IFERROR(IF(OR($B12="",EB$3=""),"",_xll.ciqfunctions.udf.CIQ($B12,"IQ_TOTAL_CAPITAL_RATIO",EB$3,$E$3, $J$3, , $G$3, $H$3)/100),"")</f>
        <v/>
      </c>
      <c r="EC12" s="87" t="str">
        <f>IFERROR(IF(OR($B12="",EC$3=""),"",_xll.ciqfunctions.udf.CIQ($B12,"IQ_TOTAL_CAPITAL_RATIO",EC$3,$E$3, $J$3, , $G$3, $H$3)/100),"")</f>
        <v/>
      </c>
      <c r="ED12" s="87" t="str">
        <f>IFERROR(IF(OR($B12="",ED$3=""),"",_xll.ciqfunctions.udf.CIQ($B12,"IQ_TOTAL_CAPITAL_RATIO",ED$3,$E$3, $J$3, , $G$3, $H$3)/100),"")</f>
        <v/>
      </c>
      <c r="EE12" s="87" t="str">
        <f>IFERROR(IF(OR($B12="",EE$3=""),"",_xll.ciqfunctions.udf.CIQ($B12,"IQ_TOTAL_CAPITAL_RATIO",EE$3,$E$3, $J$3, , $G$3, $H$3)/100),"")</f>
        <v/>
      </c>
      <c r="EF12" s="87" t="str">
        <f>IFERROR(IF(OR($B12="",EF$3=""),"",_xll.ciqfunctions.udf.CIQ($B12,"IQ_TOTAL_CAPITAL_RATIO",EF$3,$E$3, $J$3, , $G$3, $H$3)/100),"")</f>
        <v/>
      </c>
      <c r="EG12" s="87" t="str">
        <f>IFERROR(IF(OR($B12="",EG$3=""),"",_xll.ciqfunctions.udf.CIQ($B12,"IQ_TOTAL_CAPITAL_RATIO",EG$3,$E$3, $J$3, , $G$3, $H$3)/100),"")</f>
        <v/>
      </c>
      <c r="EH12" s="87" t="str">
        <f>IFERROR(IF(OR($B12="",EH$3=""),"",_xll.ciqfunctions.udf.CIQ($B12,"IQ_TOTAL_CAPITAL_RATIO",EH$3,$E$3, $J$3, , $G$3, $H$3)/100),"")</f>
        <v/>
      </c>
      <c r="EI12" s="87" t="str">
        <f>IFERROR(IF(OR($B12="",EI$3=""),"",_xll.ciqfunctions.udf.CIQ($B12,"IQ_TOTAL_CAPITAL_RATIO",EI$3,$E$3, $J$3, , $G$3, $H$3)/100),"")</f>
        <v/>
      </c>
      <c r="EJ12" s="87" t="str">
        <f>IFERROR(IF(OR($B12="",EJ$3=""),"",_xll.ciqfunctions.udf.CIQ($B12,"IQ_TOTAL_CAPITAL_RATIO",EJ$3,$E$3, $J$3, , $G$3, $H$3)/100),"")</f>
        <v/>
      </c>
      <c r="EK12" s="87" t="str">
        <f>IFERROR(IF(OR($B12="",EK$3=""),"",_xll.ciqfunctions.udf.CIQ($B12,"IQ_TOTAL_CAPITAL_RATIO",EK$3,$E$3, $J$3, , $G$3, $H$3)/100),"")</f>
        <v/>
      </c>
      <c r="EL12" s="87" t="str">
        <f>IFERROR(IF(OR($B12="",EL$3=""),"",_xll.ciqfunctions.udf.CIQ($B12,"IQ_TOTAL_CAPITAL_RATIO",EL$3,$E$3, $J$3, , $G$3, $H$3)/100),"")</f>
        <v/>
      </c>
      <c r="EM12" s="87" t="str">
        <f>IFERROR(IF(OR($B12="",EM$3=""),"",_xll.ciqfunctions.udf.CIQ($B12,"IQ_TOTAL_CAPITAL_RATIO",EM$3,$E$3, $J$3, , $G$3, $H$3)/100),"")</f>
        <v/>
      </c>
      <c r="EN12" s="87" t="str">
        <f>IFERROR(IF(OR($B12="",EN$3=""),"",_xll.ciqfunctions.udf.CIQ($B12,"IQ_TOTAL_CAPITAL_RATIO",EN$3,$E$3, $J$3, , $G$3, $H$3)/100),"")</f>
        <v/>
      </c>
      <c r="EO12" s="87" t="str">
        <f>IFERROR(IF(OR($B12="",EO$3=""),"",_xll.ciqfunctions.udf.CIQ($B12,"IQ_TOTAL_CAPITAL_RATIO",EO$3,$E$3, $J$3, , $G$3, $H$3)/100),"")</f>
        <v/>
      </c>
      <c r="EP12" s="87" t="str">
        <f>IFERROR(IF(OR($B12="",EP$3=""),"",_xll.ciqfunctions.udf.CIQ($B12,"IQ_TOTAL_CAPITAL_RATIO",EP$3,$E$3, $J$3, , $G$3, $H$3)/100),"")</f>
        <v/>
      </c>
      <c r="EQ12" s="87" t="str">
        <f>IFERROR(IF(OR($B12="",EQ$3=""),"",_xll.ciqfunctions.udf.CIQ($B12,"IQ_TOTAL_CAPITAL_RATIO",EQ$3,$E$3, $J$3, , $G$3, $H$3)/100),"")</f>
        <v/>
      </c>
      <c r="ER12" s="87" t="str">
        <f>IFERROR(IF(OR($B12="",ER$3=""),"",_xll.ciqfunctions.udf.CIQ($B12,"IQ_TOTAL_CAPITAL_RATIO",ER$3,$E$3, $J$3, , $G$3, $H$3)/100),"")</f>
        <v/>
      </c>
      <c r="ES12" s="87" t="str">
        <f>IFERROR(IF(OR($B12="",ES$3=""),"",_xll.ciqfunctions.udf.CIQ($B12,"IQ_TOTAL_CAPITAL_RATIO",ES$3,$E$3, $J$3, , $G$3, $H$3)/100),"")</f>
        <v/>
      </c>
      <c r="ET12" s="88" t="str">
        <f>IFERROR(IF(OR($B12="",ET$3=""),"",_xll.ciqfunctions.udf.CIQ($B12,"IQ_TOTAL_CAPITAL_RATIO",ET$3,$E$3, $J$3, , $G$3, $H$3)/100),"")</f>
        <v/>
      </c>
      <c r="EU12" s="86" t="str">
        <f>IFERROR(IF(OR($B12="",EU$3=""),"",_xll.ciqfunctions.udf.CIQ($B12,"IQ_GROSS_LOANS",EU$3,$E$3, $J$3, , $G$3, $H$3)/_xll.ciqfunctions.udf.CIQ($B12,"IQ_TOTAL_ASSETS",EU$3,$E$3, $J$3, , $G$3, $H$3)),"")</f>
        <v/>
      </c>
      <c r="EV12" s="87" t="str">
        <f>IFERROR(IF(OR($B12="",EV$3=""),"",_xll.ciqfunctions.udf.CIQ($B12,"IQ_GROSS_LOANS",EV$3,$E$3, $J$3, , $G$3, $H$3)/_xll.ciqfunctions.udf.CIQ($B12,"IQ_TOTAL_ASSETS",EV$3,$E$3, $J$3, , $G$3, $H$3)),"")</f>
        <v/>
      </c>
      <c r="EW12" s="87" t="str">
        <f>IFERROR(IF(OR($B12="",EW$3=""),"",_xll.ciqfunctions.udf.CIQ($B12,"IQ_GROSS_LOANS",EW$3,$E$3, $J$3, , $G$3, $H$3)/_xll.ciqfunctions.udf.CIQ($B12,"IQ_TOTAL_ASSETS",EW$3,$E$3, $J$3, , $G$3, $H$3)),"")</f>
        <v/>
      </c>
      <c r="EX12" s="87" t="str">
        <f>IFERROR(IF(OR($B12="",EX$3=""),"",_xll.ciqfunctions.udf.CIQ($B12,"IQ_GROSS_LOANS",EX$3,$E$3, $J$3, , $G$3, $H$3)/_xll.ciqfunctions.udf.CIQ($B12,"IQ_TOTAL_ASSETS",EX$3,$E$3, $J$3, , $G$3, $H$3)),"")</f>
        <v/>
      </c>
      <c r="EY12" s="87" t="str">
        <f>IFERROR(IF(OR($B12="",EY$3=""),"",_xll.ciqfunctions.udf.CIQ($B12,"IQ_GROSS_LOANS",EY$3,$E$3, $J$3, , $G$3, $H$3)/_xll.ciqfunctions.udf.CIQ($B12,"IQ_TOTAL_ASSETS",EY$3,$E$3, $J$3, , $G$3, $H$3)),"")</f>
        <v/>
      </c>
      <c r="EZ12" s="87" t="str">
        <f>IFERROR(IF(OR($B12="",EZ$3=""),"",_xll.ciqfunctions.udf.CIQ($B12,"IQ_GROSS_LOANS",EZ$3,$E$3, $J$3, , $G$3, $H$3)/_xll.ciqfunctions.udf.CIQ($B12,"IQ_TOTAL_ASSETS",EZ$3,$E$3, $J$3, , $G$3, $H$3)),"")</f>
        <v/>
      </c>
      <c r="FA12" s="87" t="str">
        <f>IFERROR(IF(OR($B12="",FA$3=""),"",_xll.ciqfunctions.udf.CIQ($B12,"IQ_GROSS_LOANS",FA$3,$E$3, $J$3, , $G$3, $H$3)/_xll.ciqfunctions.udf.CIQ($B12,"IQ_TOTAL_ASSETS",FA$3,$E$3, $J$3, , $G$3, $H$3)),"")</f>
        <v/>
      </c>
      <c r="FB12" s="87" t="str">
        <f>IFERROR(IF(OR($B12="",FB$3=""),"",_xll.ciqfunctions.udf.CIQ($B12,"IQ_GROSS_LOANS",FB$3,$E$3, $J$3, , $G$3, $H$3)/_xll.ciqfunctions.udf.CIQ($B12,"IQ_TOTAL_ASSETS",FB$3,$E$3, $J$3, , $G$3, $H$3)),"")</f>
        <v/>
      </c>
      <c r="FC12" s="87" t="str">
        <f>IFERROR(IF(OR($B12="",FC$3=""),"",_xll.ciqfunctions.udf.CIQ($B12,"IQ_GROSS_LOANS",FC$3,$E$3, $J$3, , $G$3, $H$3)/_xll.ciqfunctions.udf.CIQ($B12,"IQ_TOTAL_ASSETS",FC$3,$E$3, $J$3, , $G$3, $H$3)),"")</f>
        <v/>
      </c>
      <c r="FD12" s="87" t="str">
        <f>IFERROR(IF(OR($B12="",FD$3=""),"",_xll.ciqfunctions.udf.CIQ($B12,"IQ_GROSS_LOANS",FD$3,$E$3, $J$3, , $G$3, $H$3)/_xll.ciqfunctions.udf.CIQ($B12,"IQ_TOTAL_ASSETS",FD$3,$E$3, $J$3, , $G$3, $H$3)),"")</f>
        <v/>
      </c>
      <c r="FE12" s="87" t="str">
        <f>IFERROR(IF(OR($B12="",FE$3=""),"",_xll.ciqfunctions.udf.CIQ($B12,"IQ_GROSS_LOANS",FE$3,$E$3, $J$3, , $G$3, $H$3)/_xll.ciqfunctions.udf.CIQ($B12,"IQ_TOTAL_ASSETS",FE$3,$E$3, $J$3, , $G$3, $H$3)),"")</f>
        <v/>
      </c>
      <c r="FF12" s="87" t="str">
        <f>IFERROR(IF(OR($B12="",FF$3=""),"",_xll.ciqfunctions.udf.CIQ($B12,"IQ_GROSS_LOANS",FF$3,$E$3, $J$3, , $G$3, $H$3)/_xll.ciqfunctions.udf.CIQ($B12,"IQ_TOTAL_ASSETS",FF$3,$E$3, $J$3, , $G$3, $H$3)),"")</f>
        <v/>
      </c>
      <c r="FG12" s="87" t="str">
        <f>IFERROR(IF(OR($B12="",FG$3=""),"",_xll.ciqfunctions.udf.CIQ($B12,"IQ_GROSS_LOANS",FG$3,$E$3, $J$3, , $G$3, $H$3)/_xll.ciqfunctions.udf.CIQ($B12,"IQ_TOTAL_ASSETS",FG$3,$E$3, $J$3, , $G$3, $H$3)),"")</f>
        <v/>
      </c>
      <c r="FH12" s="87" t="str">
        <f>IFERROR(IF(OR($B12="",FH$3=""),"",_xll.ciqfunctions.udf.CIQ($B12,"IQ_GROSS_LOANS",FH$3,$E$3, $J$3, , $G$3, $H$3)/_xll.ciqfunctions.udf.CIQ($B12,"IQ_TOTAL_ASSETS",FH$3,$E$3, $J$3, , $G$3, $H$3)),"")</f>
        <v/>
      </c>
      <c r="FI12" s="87" t="str">
        <f>IFERROR(IF(OR($B12="",FI$3=""),"",_xll.ciqfunctions.udf.CIQ($B12,"IQ_GROSS_LOANS",FI$3,$E$3, $J$3, , $G$3, $H$3)/_xll.ciqfunctions.udf.CIQ($B12,"IQ_TOTAL_ASSETS",FI$3,$E$3, $J$3, , $G$3, $H$3)),"")</f>
        <v/>
      </c>
      <c r="FJ12" s="87" t="str">
        <f>IFERROR(IF(OR($B12="",FJ$3=""),"",_xll.ciqfunctions.udf.CIQ($B12,"IQ_GROSS_LOANS",FJ$3,$E$3, $J$3, , $G$3, $H$3)/_xll.ciqfunctions.udf.CIQ($B12,"IQ_TOTAL_ASSETS",FJ$3,$E$3, $J$3, , $G$3, $H$3)),"")</f>
        <v/>
      </c>
      <c r="FK12" s="87" t="str">
        <f>IFERROR(IF(OR($B12="",FK$3=""),"",_xll.ciqfunctions.udf.CIQ($B12,"IQ_GROSS_LOANS",FK$3,$E$3, $J$3, , $G$3, $H$3)/_xll.ciqfunctions.udf.CIQ($B12,"IQ_TOTAL_ASSETS",FK$3,$E$3, $J$3, , $G$3, $H$3)),"")</f>
        <v/>
      </c>
      <c r="FL12" s="87" t="str">
        <f>IFERROR(IF(OR($B12="",FL$3=""),"",_xll.ciqfunctions.udf.CIQ($B12,"IQ_GROSS_LOANS",FL$3,$E$3, $J$3, , $G$3, $H$3)/_xll.ciqfunctions.udf.CIQ($B12,"IQ_TOTAL_ASSETS",FL$3,$E$3, $J$3, , $G$3, $H$3)),"")</f>
        <v/>
      </c>
      <c r="FM12" s="87" t="str">
        <f>IFERROR(IF(OR($B12="",FM$3=""),"",_xll.ciqfunctions.udf.CIQ($B12,"IQ_GROSS_LOANS",FM$3,$E$3, $J$3, , $G$3, $H$3)/_xll.ciqfunctions.udf.CIQ($B12,"IQ_TOTAL_ASSETS",FM$3,$E$3, $J$3, , $G$3, $H$3)),"")</f>
        <v/>
      </c>
      <c r="FN12" s="88" t="str">
        <f>IFERROR(IF(OR($B12="",FN$3=""),"",_xll.ciqfunctions.udf.CIQ($B12,"IQ_GROSS_LOANS",FN$3,$E$3, $J$3, , $G$3, $H$3)/_xll.ciqfunctions.udf.CIQ($B12,"IQ_TOTAL_ASSETS",FN$3,$E$3, $J$3, , $G$3, $H$3)),"")</f>
        <v/>
      </c>
      <c r="FO12" s="86" t="str">
        <f>IFERROR(IF(OR($B12="",FO$3=""),"",_xll.ciqfunctions.udf.CIQ($B12,"IQ_NON_PERFORMING_LOANS",FO$3,$E$3, $J$3, , $G$3, $H$3)/_xll.ciqfunctions.udf.CIQ($B12,"IQ_TOTAL_LOANS",FO$3,$E$3, $J$3, , $G$3, $H$3)),"")</f>
        <v/>
      </c>
      <c r="FP12" s="87" t="str">
        <f>IFERROR(IF(OR($B12="",FP$3=""),"",_xll.ciqfunctions.udf.CIQ($B12,"IQ_NON_PERFORMING_LOANS",FP$3,$E$3, $J$3, , $G$3, $H$3)/_xll.ciqfunctions.udf.CIQ($B12,"IQ_TOTAL_LOANS",FP$3,$E$3, $J$3, , $G$3, $H$3)),"")</f>
        <v/>
      </c>
      <c r="FQ12" s="87" t="str">
        <f>IFERROR(IF(OR($B12="",FQ$3=""),"",_xll.ciqfunctions.udf.CIQ($B12,"IQ_NON_PERFORMING_LOANS",FQ$3,$E$3, $J$3, , $G$3, $H$3)/_xll.ciqfunctions.udf.CIQ($B12,"IQ_TOTAL_LOANS",FQ$3,$E$3, $J$3, , $G$3, $H$3)),"")</f>
        <v/>
      </c>
      <c r="FR12" s="87" t="str">
        <f>IFERROR(IF(OR($B12="",FR$3=""),"",_xll.ciqfunctions.udf.CIQ($B12,"IQ_NON_PERFORMING_LOANS",FR$3,$E$3, $J$3, , $G$3, $H$3)/_xll.ciqfunctions.udf.CIQ($B12,"IQ_TOTAL_LOANS",FR$3,$E$3, $J$3, , $G$3, $H$3)),"")</f>
        <v/>
      </c>
      <c r="FS12" s="87" t="str">
        <f>IFERROR(IF(OR($B12="",FS$3=""),"",_xll.ciqfunctions.udf.CIQ($B12,"IQ_NON_PERFORMING_LOANS",FS$3,$E$3, $J$3, , $G$3, $H$3)/_xll.ciqfunctions.udf.CIQ($B12,"IQ_TOTAL_LOANS",FS$3,$E$3, $J$3, , $G$3, $H$3)),"")</f>
        <v/>
      </c>
      <c r="FT12" s="87" t="str">
        <f>IFERROR(IF(OR($B12="",FT$3=""),"",_xll.ciqfunctions.udf.CIQ($B12,"IQ_NON_PERFORMING_LOANS",FT$3,$E$3, $J$3, , $G$3, $H$3)/_xll.ciqfunctions.udf.CIQ($B12,"IQ_TOTAL_LOANS",FT$3,$E$3, $J$3, , $G$3, $H$3)),"")</f>
        <v/>
      </c>
      <c r="FU12" s="87" t="str">
        <f>IFERROR(IF(OR($B12="",FU$3=""),"",_xll.ciqfunctions.udf.CIQ($B12,"IQ_NON_PERFORMING_LOANS",FU$3,$E$3, $J$3, , $G$3, $H$3)/_xll.ciqfunctions.udf.CIQ($B12,"IQ_TOTAL_LOANS",FU$3,$E$3, $J$3, , $G$3, $H$3)),"")</f>
        <v/>
      </c>
      <c r="FV12" s="87" t="str">
        <f>IFERROR(IF(OR($B12="",FV$3=""),"",_xll.ciqfunctions.udf.CIQ($B12,"IQ_NON_PERFORMING_LOANS",FV$3,$E$3, $J$3, , $G$3, $H$3)/_xll.ciqfunctions.udf.CIQ($B12,"IQ_TOTAL_LOANS",FV$3,$E$3, $J$3, , $G$3, $H$3)),"")</f>
        <v/>
      </c>
      <c r="FW12" s="87" t="str">
        <f>IFERROR(IF(OR($B12="",FW$3=""),"",_xll.ciqfunctions.udf.CIQ($B12,"IQ_NON_PERFORMING_LOANS",FW$3,$E$3, $J$3, , $G$3, $H$3)/_xll.ciqfunctions.udf.CIQ($B12,"IQ_TOTAL_LOANS",FW$3,$E$3, $J$3, , $G$3, $H$3)),"")</f>
        <v/>
      </c>
      <c r="FX12" s="87" t="str">
        <f>IFERROR(IF(OR($B12="",FX$3=""),"",_xll.ciqfunctions.udf.CIQ($B12,"IQ_NON_PERFORMING_LOANS",FX$3,$E$3, $J$3, , $G$3, $H$3)/_xll.ciqfunctions.udf.CIQ($B12,"IQ_TOTAL_LOANS",FX$3,$E$3, $J$3, , $G$3, $H$3)),"")</f>
        <v/>
      </c>
      <c r="FY12" s="87" t="str">
        <f>IFERROR(IF(OR($B12="",FY$3=""),"",_xll.ciqfunctions.udf.CIQ($B12,"IQ_NON_PERFORMING_LOANS",FY$3,$E$3, $J$3, , $G$3, $H$3)/_xll.ciqfunctions.udf.CIQ($B12,"IQ_TOTAL_LOANS",FY$3,$E$3, $J$3, , $G$3, $H$3)),"")</f>
        <v/>
      </c>
      <c r="FZ12" s="87" t="str">
        <f>IFERROR(IF(OR($B12="",FZ$3=""),"",_xll.ciqfunctions.udf.CIQ($B12,"IQ_NON_PERFORMING_LOANS",FZ$3,$E$3, $J$3, , $G$3, $H$3)/_xll.ciqfunctions.udf.CIQ($B12,"IQ_TOTAL_LOANS",FZ$3,$E$3, $J$3, , $G$3, $H$3)),"")</f>
        <v/>
      </c>
      <c r="GA12" s="87" t="str">
        <f>IFERROR(IF(OR($B12="",GA$3=""),"",_xll.ciqfunctions.udf.CIQ($B12,"IQ_NON_PERFORMING_LOANS",GA$3,$E$3, $J$3, , $G$3, $H$3)/_xll.ciqfunctions.udf.CIQ($B12,"IQ_TOTAL_LOANS",GA$3,$E$3, $J$3, , $G$3, $H$3)),"")</f>
        <v/>
      </c>
      <c r="GB12" s="87" t="str">
        <f>IFERROR(IF(OR($B12="",GB$3=""),"",_xll.ciqfunctions.udf.CIQ($B12,"IQ_NON_PERFORMING_LOANS",GB$3,$E$3, $J$3, , $G$3, $H$3)/_xll.ciqfunctions.udf.CIQ($B12,"IQ_TOTAL_LOANS",GB$3,$E$3, $J$3, , $G$3, $H$3)),"")</f>
        <v/>
      </c>
      <c r="GC12" s="87" t="str">
        <f>IFERROR(IF(OR($B12="",GC$3=""),"",_xll.ciqfunctions.udf.CIQ($B12,"IQ_NON_PERFORMING_LOANS",GC$3,$E$3, $J$3, , $G$3, $H$3)/_xll.ciqfunctions.udf.CIQ($B12,"IQ_TOTAL_LOANS",GC$3,$E$3, $J$3, , $G$3, $H$3)),"")</f>
        <v/>
      </c>
      <c r="GD12" s="87" t="str">
        <f>IFERROR(IF(OR($B12="",GD$3=""),"",_xll.ciqfunctions.udf.CIQ($B12,"IQ_NON_PERFORMING_LOANS",GD$3,$E$3, $J$3, , $G$3, $H$3)/_xll.ciqfunctions.udf.CIQ($B12,"IQ_TOTAL_LOANS",GD$3,$E$3, $J$3, , $G$3, $H$3)),"")</f>
        <v/>
      </c>
      <c r="GE12" s="87" t="str">
        <f>IFERROR(IF(OR($B12="",GE$3=""),"",_xll.ciqfunctions.udf.CIQ($B12,"IQ_NON_PERFORMING_LOANS",GE$3,$E$3, $J$3, , $G$3, $H$3)/_xll.ciqfunctions.udf.CIQ($B12,"IQ_TOTAL_LOANS",GE$3,$E$3, $J$3, , $G$3, $H$3)),"")</f>
        <v/>
      </c>
      <c r="GF12" s="87" t="str">
        <f>IFERROR(IF(OR($B12="",GF$3=""),"",_xll.ciqfunctions.udf.CIQ($B12,"IQ_NON_PERFORMING_LOANS",GF$3,$E$3, $J$3, , $G$3, $H$3)/_xll.ciqfunctions.udf.CIQ($B12,"IQ_TOTAL_LOANS",GF$3,$E$3, $J$3, , $G$3, $H$3)),"")</f>
        <v/>
      </c>
      <c r="GG12" s="87" t="str">
        <f>IFERROR(IF(OR($B12="",GG$3=""),"",_xll.ciqfunctions.udf.CIQ($B12,"IQ_NON_PERFORMING_LOANS",GG$3,$E$3, $J$3, , $G$3, $H$3)/_xll.ciqfunctions.udf.CIQ($B12,"IQ_TOTAL_LOANS",GG$3,$E$3, $J$3, , $G$3, $H$3)),"")</f>
        <v/>
      </c>
      <c r="GH12" s="88" t="str">
        <f>IFERROR(IF(OR($B12="",GH$3=""),"",_xll.ciqfunctions.udf.CIQ($B12,"IQ_NON_PERFORMING_LOANS",GH$3,$E$3, $J$3, , $G$3, $H$3)/_xll.ciqfunctions.udf.CIQ($B12,"IQ_TOTAL_LOANS",GH$3,$E$3, $J$3, , $G$3, $H$3)),"")</f>
        <v/>
      </c>
      <c r="GI12" s="86" t="str">
        <f>IFERROR(IF(OR($B12="",GI$3=""),"",_xll.ciqfunctions.udf.CIQ($B12,"IQ_NON_PERFORMING_ASSETS",GI$3,$E$3, $J$3, , $G$3, $H$3)/_xll.ciqfunctions.udf.CIQ($B12,"IQ_TOTAL_ASSETS",GI$3,$E$3, $J$3, , $G$3, $H$3)),"")</f>
        <v/>
      </c>
      <c r="GJ12" s="87" t="str">
        <f>IFERROR(IF(OR($B12="",GJ$3=""),"",_xll.ciqfunctions.udf.CIQ($B12,"IQ_NON_PERFORMING_ASSETS",GJ$3,$E$3, $J$3, , $G$3, $H$3)/_xll.ciqfunctions.udf.CIQ($B12,"IQ_TOTAL_ASSETS",GJ$3,$E$3, $J$3, , $G$3, $H$3)),"")</f>
        <v/>
      </c>
      <c r="GK12" s="87" t="str">
        <f>IFERROR(IF(OR($B12="",GK$3=""),"",_xll.ciqfunctions.udf.CIQ($B12,"IQ_NON_PERFORMING_ASSETS",GK$3,$E$3, $J$3, , $G$3, $H$3)/_xll.ciqfunctions.udf.CIQ($B12,"IQ_TOTAL_ASSETS",GK$3,$E$3, $J$3, , $G$3, $H$3)),"")</f>
        <v/>
      </c>
      <c r="GL12" s="87" t="str">
        <f>IFERROR(IF(OR($B12="",GL$3=""),"",_xll.ciqfunctions.udf.CIQ($B12,"IQ_NON_PERFORMING_ASSETS",GL$3,$E$3, $J$3, , $G$3, $H$3)/_xll.ciqfunctions.udf.CIQ($B12,"IQ_TOTAL_ASSETS",GL$3,$E$3, $J$3, , $G$3, $H$3)),"")</f>
        <v/>
      </c>
      <c r="GM12" s="87" t="str">
        <f>IFERROR(IF(OR($B12="",GM$3=""),"",_xll.ciqfunctions.udf.CIQ($B12,"IQ_NON_PERFORMING_ASSETS",GM$3,$E$3, $J$3, , $G$3, $H$3)/_xll.ciqfunctions.udf.CIQ($B12,"IQ_TOTAL_ASSETS",GM$3,$E$3, $J$3, , $G$3, $H$3)),"")</f>
        <v/>
      </c>
      <c r="GN12" s="87" t="str">
        <f>IFERROR(IF(OR($B12="",GN$3=""),"",_xll.ciqfunctions.udf.CIQ($B12,"IQ_NON_PERFORMING_ASSETS",GN$3,$E$3, $J$3, , $G$3, $H$3)/_xll.ciqfunctions.udf.CIQ($B12,"IQ_TOTAL_ASSETS",GN$3,$E$3, $J$3, , $G$3, $H$3)),"")</f>
        <v/>
      </c>
      <c r="GO12" s="87" t="str">
        <f>IFERROR(IF(OR($B12="",GO$3=""),"",_xll.ciqfunctions.udf.CIQ($B12,"IQ_NON_PERFORMING_ASSETS",GO$3,$E$3, $J$3, , $G$3, $H$3)/_xll.ciqfunctions.udf.CIQ($B12,"IQ_TOTAL_ASSETS",GO$3,$E$3, $J$3, , $G$3, $H$3)),"")</f>
        <v/>
      </c>
      <c r="GP12" s="87" t="str">
        <f>IFERROR(IF(OR($B12="",GP$3=""),"",_xll.ciqfunctions.udf.CIQ($B12,"IQ_NON_PERFORMING_ASSETS",GP$3,$E$3, $J$3, , $G$3, $H$3)/_xll.ciqfunctions.udf.CIQ($B12,"IQ_TOTAL_ASSETS",GP$3,$E$3, $J$3, , $G$3, $H$3)),"")</f>
        <v/>
      </c>
      <c r="GQ12" s="87" t="str">
        <f>IFERROR(IF(OR($B12="",GQ$3=""),"",_xll.ciqfunctions.udf.CIQ($B12,"IQ_NON_PERFORMING_ASSETS",GQ$3,$E$3, $J$3, , $G$3, $H$3)/_xll.ciqfunctions.udf.CIQ($B12,"IQ_TOTAL_ASSETS",GQ$3,$E$3, $J$3, , $G$3, $H$3)),"")</f>
        <v/>
      </c>
      <c r="GR12" s="87" t="str">
        <f>IFERROR(IF(OR($B12="",GR$3=""),"",_xll.ciqfunctions.udf.CIQ($B12,"IQ_NON_PERFORMING_ASSETS",GR$3,$E$3, $J$3, , $G$3, $H$3)/_xll.ciqfunctions.udf.CIQ($B12,"IQ_TOTAL_ASSETS",GR$3,$E$3, $J$3, , $G$3, $H$3)),"")</f>
        <v/>
      </c>
      <c r="GS12" s="87" t="str">
        <f>IFERROR(IF(OR($B12="",GS$3=""),"",_xll.ciqfunctions.udf.CIQ($B12,"IQ_NON_PERFORMING_ASSETS",GS$3,$E$3, $J$3, , $G$3, $H$3)/_xll.ciqfunctions.udf.CIQ($B12,"IQ_TOTAL_ASSETS",GS$3,$E$3, $J$3, , $G$3, $H$3)),"")</f>
        <v/>
      </c>
      <c r="GT12" s="87" t="str">
        <f>IFERROR(IF(OR($B12="",GT$3=""),"",_xll.ciqfunctions.udf.CIQ($B12,"IQ_NON_PERFORMING_ASSETS",GT$3,$E$3, $J$3, , $G$3, $H$3)/_xll.ciqfunctions.udf.CIQ($B12,"IQ_TOTAL_ASSETS",GT$3,$E$3, $J$3, , $G$3, $H$3)),"")</f>
        <v/>
      </c>
      <c r="GU12" s="87" t="str">
        <f>IFERROR(IF(OR($B12="",GU$3=""),"",_xll.ciqfunctions.udf.CIQ($B12,"IQ_NON_PERFORMING_ASSETS",GU$3,$E$3, $J$3, , $G$3, $H$3)/_xll.ciqfunctions.udf.CIQ($B12,"IQ_TOTAL_ASSETS",GU$3,$E$3, $J$3, , $G$3, $H$3)),"")</f>
        <v/>
      </c>
      <c r="GV12" s="87" t="str">
        <f>IFERROR(IF(OR($B12="",GV$3=""),"",_xll.ciqfunctions.udf.CIQ($B12,"IQ_NON_PERFORMING_ASSETS",GV$3,$E$3, $J$3, , $G$3, $H$3)/_xll.ciqfunctions.udf.CIQ($B12,"IQ_TOTAL_ASSETS",GV$3,$E$3, $J$3, , $G$3, $H$3)),"")</f>
        <v/>
      </c>
      <c r="GW12" s="87" t="str">
        <f>IFERROR(IF(OR($B12="",GW$3=""),"",_xll.ciqfunctions.udf.CIQ($B12,"IQ_NON_PERFORMING_ASSETS",GW$3,$E$3, $J$3, , $G$3, $H$3)/_xll.ciqfunctions.udf.CIQ($B12,"IQ_TOTAL_ASSETS",GW$3,$E$3, $J$3, , $G$3, $H$3)),"")</f>
        <v/>
      </c>
      <c r="GX12" s="87" t="str">
        <f>IFERROR(IF(OR($B12="",GX$3=""),"",_xll.ciqfunctions.udf.CIQ($B12,"IQ_NON_PERFORMING_ASSETS",GX$3,$E$3, $J$3, , $G$3, $H$3)/_xll.ciqfunctions.udf.CIQ($B12,"IQ_TOTAL_ASSETS",GX$3,$E$3, $J$3, , $G$3, $H$3)),"")</f>
        <v/>
      </c>
      <c r="GY12" s="87" t="str">
        <f>IFERROR(IF(OR($B12="",GY$3=""),"",_xll.ciqfunctions.udf.CIQ($B12,"IQ_NON_PERFORMING_ASSETS",GY$3,$E$3, $J$3, , $G$3, $H$3)/_xll.ciqfunctions.udf.CIQ($B12,"IQ_TOTAL_ASSETS",GY$3,$E$3, $J$3, , $G$3, $H$3)),"")</f>
        <v/>
      </c>
      <c r="GZ12" s="87" t="str">
        <f>IFERROR(IF(OR($B12="",GZ$3=""),"",_xll.ciqfunctions.udf.CIQ($B12,"IQ_NON_PERFORMING_ASSETS",GZ$3,$E$3, $J$3, , $G$3, $H$3)/_xll.ciqfunctions.udf.CIQ($B12,"IQ_TOTAL_ASSETS",GZ$3,$E$3, $J$3, , $G$3, $H$3)),"")</f>
        <v/>
      </c>
      <c r="HA12" s="87" t="str">
        <f>IFERROR(IF(OR($B12="",HA$3=""),"",_xll.ciqfunctions.udf.CIQ($B12,"IQ_NON_PERFORMING_ASSETS",HA$3,$E$3, $J$3, , $G$3, $H$3)/_xll.ciqfunctions.udf.CIQ($B12,"IQ_TOTAL_ASSETS",HA$3,$E$3, $J$3, , $G$3, $H$3)),"")</f>
        <v/>
      </c>
      <c r="HB12" s="88" t="str">
        <f>IFERROR(IF(OR($B12="",HB$3=""),"",_xll.ciqfunctions.udf.CIQ($B12,"IQ_NON_PERFORMING_ASSETS",HB$3,$E$3, $J$3, , $G$3, $H$3)/_xll.ciqfunctions.udf.CIQ($B12,"IQ_TOTAL_ASSETS",HB$3,$E$3, $J$3, , $G$3, $H$3)),"")</f>
        <v/>
      </c>
      <c r="HC12" s="86" t="str">
        <f>IFERROR(IF(OR($B12="",HC$3=""),"",_xll.ciqfunctions.udf.CIQ($B12, "IQ_NI", $I$3, HC$3,$J$3, ,$G$3,$H$3)*2/(_xll.ciqfunctions.udf.CIQ($B12,"IQ_TOTAL_ASSETS",HC$3,$E$3, $J$3, , $G$3, $H$3)+_xll.ciqfunctions.udf.CIQ($B12,"IQ_TOTAL_ASSETS","IQ_" &amp; LEFT(HC$3,2) &amp; "-1",HC$3, $J$3, , $G$3, $H$3))),"")</f>
        <v/>
      </c>
      <c r="HD12" s="87" t="str">
        <f>IFERROR(IF(OR($B12="",HD$3=""),"",_xll.ciqfunctions.udf.CIQ($B12, "IQ_NI", $I$3, HD$3,$J$3, ,$G$3,$H$3)*2/(_xll.ciqfunctions.udf.CIQ($B12,"IQ_TOTAL_ASSETS",HD$3,$E$3, $J$3, , $G$3, $H$3)+_xll.ciqfunctions.udf.CIQ($B12,"IQ_TOTAL_ASSETS","IQ_" &amp; LEFT(HD$3,2) &amp; "-1",HD$3, $J$3, , $G$3, $H$3))),"")</f>
        <v/>
      </c>
      <c r="HE12" s="87" t="str">
        <f>IFERROR(IF(OR($B12="",HE$3=""),"",_xll.ciqfunctions.udf.CIQ($B12, "IQ_NI", $I$3, HE$3,$J$3, ,$G$3,$H$3)*2/(_xll.ciqfunctions.udf.CIQ($B12,"IQ_TOTAL_ASSETS",HE$3,$E$3, $J$3, , $G$3, $H$3)+_xll.ciqfunctions.udf.CIQ($B12,"IQ_TOTAL_ASSETS","IQ_" &amp; LEFT(HE$3,2) &amp; "-1",HE$3, $J$3, , $G$3, $H$3))),"")</f>
        <v/>
      </c>
      <c r="HF12" s="87" t="str">
        <f>IFERROR(IF(OR($B12="",HF$3=""),"",_xll.ciqfunctions.udf.CIQ($B12, "IQ_NI", $I$3, HF$3,$J$3, ,$G$3,$H$3)*2/(_xll.ciqfunctions.udf.CIQ($B12,"IQ_TOTAL_ASSETS",HF$3,$E$3, $J$3, , $G$3, $H$3)+_xll.ciqfunctions.udf.CIQ($B12,"IQ_TOTAL_ASSETS","IQ_" &amp; LEFT(HF$3,2) &amp; "-1",HF$3, $J$3, , $G$3, $H$3))),"")</f>
        <v/>
      </c>
      <c r="HG12" s="87" t="str">
        <f>IFERROR(IF(OR($B12="",HG$3=""),"",_xll.ciqfunctions.udf.CIQ($B12, "IQ_NI", $I$3, HG$3,$J$3, ,$G$3,$H$3)*2/(_xll.ciqfunctions.udf.CIQ($B12,"IQ_TOTAL_ASSETS",HG$3,$E$3, $J$3, , $G$3, $H$3)+_xll.ciqfunctions.udf.CIQ($B12,"IQ_TOTAL_ASSETS","IQ_" &amp; LEFT(HG$3,2) &amp; "-1",HG$3, $J$3, , $G$3, $H$3))),"")</f>
        <v/>
      </c>
      <c r="HH12" s="87" t="str">
        <f>IFERROR(IF(OR($B12="",HH$3=""),"",_xll.ciqfunctions.udf.CIQ($B12, "IQ_NI", $I$3, HH$3,$J$3, ,$G$3,$H$3)*2/(_xll.ciqfunctions.udf.CIQ($B12,"IQ_TOTAL_ASSETS",HH$3,$E$3, $J$3, , $G$3, $H$3)+_xll.ciqfunctions.udf.CIQ($B12,"IQ_TOTAL_ASSETS","IQ_" &amp; LEFT(HH$3,2) &amp; "-1",HH$3, $J$3, , $G$3, $H$3))),"")</f>
        <v/>
      </c>
      <c r="HI12" s="87" t="str">
        <f>IFERROR(IF(OR($B12="",HI$3=""),"",_xll.ciqfunctions.udf.CIQ($B12, "IQ_NI", $I$3, HI$3,$J$3, ,$G$3,$H$3)*2/(_xll.ciqfunctions.udf.CIQ($B12,"IQ_TOTAL_ASSETS",HI$3,$E$3, $J$3, , $G$3, $H$3)+_xll.ciqfunctions.udf.CIQ($B12,"IQ_TOTAL_ASSETS","IQ_" &amp; LEFT(HI$3,2) &amp; "-1",HI$3, $J$3, , $G$3, $H$3))),"")</f>
        <v/>
      </c>
      <c r="HJ12" s="87" t="str">
        <f>IFERROR(IF(OR($B12="",HJ$3=""),"",_xll.ciqfunctions.udf.CIQ($B12, "IQ_NI", $I$3, HJ$3,$J$3, ,$G$3,$H$3)*2/(_xll.ciqfunctions.udf.CIQ($B12,"IQ_TOTAL_ASSETS",HJ$3,$E$3, $J$3, , $G$3, $H$3)+_xll.ciqfunctions.udf.CIQ($B12,"IQ_TOTAL_ASSETS","IQ_" &amp; LEFT(HJ$3,2) &amp; "-1",HJ$3, $J$3, , $G$3, $H$3))),"")</f>
        <v/>
      </c>
      <c r="HK12" s="87" t="str">
        <f>IFERROR(IF(OR($B12="",HK$3=""),"",_xll.ciqfunctions.udf.CIQ($B12, "IQ_NI", $I$3, HK$3,$J$3, ,$G$3,$H$3)*2/(_xll.ciqfunctions.udf.CIQ($B12,"IQ_TOTAL_ASSETS",HK$3,$E$3, $J$3, , $G$3, $H$3)+_xll.ciqfunctions.udf.CIQ($B12,"IQ_TOTAL_ASSETS","IQ_" &amp; LEFT(HK$3,2) &amp; "-1",HK$3, $J$3, , $G$3, $H$3))),"")</f>
        <v/>
      </c>
      <c r="HL12" s="87" t="str">
        <f>IFERROR(IF(OR($B12="",HL$3=""),"",_xll.ciqfunctions.udf.CIQ($B12, "IQ_NI", $I$3, HL$3,$J$3, ,$G$3,$H$3)*2/(_xll.ciqfunctions.udf.CIQ($B12,"IQ_TOTAL_ASSETS",HL$3,$E$3, $J$3, , $G$3, $H$3)+_xll.ciqfunctions.udf.CIQ($B12,"IQ_TOTAL_ASSETS","IQ_" &amp; LEFT(HL$3,2) &amp; "-1",HL$3, $J$3, , $G$3, $H$3))),"")</f>
        <v/>
      </c>
      <c r="HM12" s="87" t="str">
        <f>IFERROR(IF(OR($B12="",HM$3=""),"",_xll.ciqfunctions.udf.CIQ($B12, "IQ_NI", $I$3, HM$3,$J$3, ,$G$3,$H$3)*2/(_xll.ciqfunctions.udf.CIQ($B12,"IQ_TOTAL_ASSETS",HM$3,$E$3, $J$3, , $G$3, $H$3)+_xll.ciqfunctions.udf.CIQ($B12,"IQ_TOTAL_ASSETS","IQ_" &amp; LEFT(HM$3,2) &amp; "-1",HM$3, $J$3, , $G$3, $H$3))),"")</f>
        <v/>
      </c>
      <c r="HN12" s="87" t="str">
        <f>IFERROR(IF(OR($B12="",HN$3=""),"",_xll.ciqfunctions.udf.CIQ($B12, "IQ_NI", $I$3, HN$3,$J$3, ,$G$3,$H$3)*2/(_xll.ciqfunctions.udf.CIQ($B12,"IQ_TOTAL_ASSETS",HN$3,$E$3, $J$3, , $G$3, $H$3)+_xll.ciqfunctions.udf.CIQ($B12,"IQ_TOTAL_ASSETS","IQ_" &amp; LEFT(HN$3,2) &amp; "-1",HN$3, $J$3, , $G$3, $H$3))),"")</f>
        <v/>
      </c>
      <c r="HO12" s="87" t="str">
        <f>IFERROR(IF(OR($B12="",HO$3=""),"",_xll.ciqfunctions.udf.CIQ($B12, "IQ_NI", $I$3, HO$3,$J$3, ,$G$3,$H$3)*2/(_xll.ciqfunctions.udf.CIQ($B12,"IQ_TOTAL_ASSETS",HO$3,$E$3, $J$3, , $G$3, $H$3)+_xll.ciqfunctions.udf.CIQ($B12,"IQ_TOTAL_ASSETS","IQ_" &amp; LEFT(HO$3,2) &amp; "-1",HO$3, $J$3, , $G$3, $H$3))),"")</f>
        <v/>
      </c>
      <c r="HP12" s="87" t="str">
        <f>IFERROR(IF(OR($B12="",HP$3=""),"",_xll.ciqfunctions.udf.CIQ($B12, "IQ_NI", $I$3, HP$3,$J$3, ,$G$3,$H$3)*2/(_xll.ciqfunctions.udf.CIQ($B12,"IQ_TOTAL_ASSETS",HP$3,$E$3, $J$3, , $G$3, $H$3)+_xll.ciqfunctions.udf.CIQ($B12,"IQ_TOTAL_ASSETS","IQ_" &amp; LEFT(HP$3,2) &amp; "-1",HP$3, $J$3, , $G$3, $H$3))),"")</f>
        <v/>
      </c>
      <c r="HQ12" s="87" t="str">
        <f>IFERROR(IF(OR($B12="",HQ$3=""),"",_xll.ciqfunctions.udf.CIQ($B12, "IQ_NI", $I$3, HQ$3,$J$3, ,$G$3,$H$3)*2/(_xll.ciqfunctions.udf.CIQ($B12,"IQ_TOTAL_ASSETS",HQ$3,$E$3, $J$3, , $G$3, $H$3)+_xll.ciqfunctions.udf.CIQ($B12,"IQ_TOTAL_ASSETS","IQ_" &amp; LEFT(HQ$3,2) &amp; "-1",HQ$3, $J$3, , $G$3, $H$3))),"")</f>
        <v/>
      </c>
      <c r="HR12" s="87" t="str">
        <f>IFERROR(IF(OR($B12="",HR$3=""),"",_xll.ciqfunctions.udf.CIQ($B12, "IQ_NI", $I$3, HR$3,$J$3, ,$G$3,$H$3)*2/(_xll.ciqfunctions.udf.CIQ($B12,"IQ_TOTAL_ASSETS",HR$3,$E$3, $J$3, , $G$3, $H$3)+_xll.ciqfunctions.udf.CIQ($B12,"IQ_TOTAL_ASSETS","IQ_" &amp; LEFT(HR$3,2) &amp; "-1",HR$3, $J$3, , $G$3, $H$3))),"")</f>
        <v/>
      </c>
      <c r="HS12" s="87" t="str">
        <f>IFERROR(IF(OR($B12="",HS$3=""),"",_xll.ciqfunctions.udf.CIQ($B12, "IQ_NI", $I$3, HS$3,$J$3, ,$G$3,$H$3)*2/(_xll.ciqfunctions.udf.CIQ($B12,"IQ_TOTAL_ASSETS",HS$3,$E$3, $J$3, , $G$3, $H$3)+_xll.ciqfunctions.udf.CIQ($B12,"IQ_TOTAL_ASSETS","IQ_" &amp; LEFT(HS$3,2) &amp; "-1",HS$3, $J$3, , $G$3, $H$3))),"")</f>
        <v/>
      </c>
      <c r="HT12" s="87" t="str">
        <f>IFERROR(IF(OR($B12="",HT$3=""),"",_xll.ciqfunctions.udf.CIQ($B12, "IQ_NI", $I$3, HT$3,$J$3, ,$G$3,$H$3)*2/(_xll.ciqfunctions.udf.CIQ($B12,"IQ_TOTAL_ASSETS",HT$3,$E$3, $J$3, , $G$3, $H$3)+_xll.ciqfunctions.udf.CIQ($B12,"IQ_TOTAL_ASSETS","IQ_" &amp; LEFT(HT$3,2) &amp; "-1",HT$3, $J$3, , $G$3, $H$3))),"")</f>
        <v/>
      </c>
      <c r="HU12" s="87" t="str">
        <f>IFERROR(IF(OR($B12="",HU$3=""),"",_xll.ciqfunctions.udf.CIQ($B12, "IQ_NI", $I$3, HU$3,$J$3, ,$G$3,$H$3)*2/(_xll.ciqfunctions.udf.CIQ($B12,"IQ_TOTAL_ASSETS",HU$3,$E$3, $J$3, , $G$3, $H$3)+_xll.ciqfunctions.udf.CIQ($B12,"IQ_TOTAL_ASSETS","IQ_" &amp; LEFT(HU$3,2) &amp; "-1",HU$3, $J$3, , $G$3, $H$3))),"")</f>
        <v/>
      </c>
      <c r="HV12" s="88" t="str">
        <f>IFERROR(IF(OR($B12="",HV$3=""),"",_xll.ciqfunctions.udf.CIQ($B12, "IQ_NI", $I$3, HV$3,$J$3, ,$G$3,$H$3)*2/(_xll.ciqfunctions.udf.CIQ($B12,"IQ_TOTAL_ASSETS",HV$3,$E$3, $J$3, , $G$3, $H$3)+_xll.ciqfunctions.udf.CIQ($B12,"IQ_TOTAL_ASSETS","IQ_" &amp; LEFT(HV$3,2) &amp; "-1",HV$3, $J$3, , $G$3, $H$3))),"")</f>
        <v/>
      </c>
      <c r="HW12" s="86" t="str">
        <f>IFERROR(IF(OR($B12="",HW$3=""),"",_xll.ciqfunctions.udf.CIQ($B12,"IQ_CASH_OPER",HW$3,$E$3, $J$3, , $G$3, $H$3)/_xll.ciqfunctions.udf.CIQ($B12,"IQ_TOTAL_REV",HW$3,$E$3, $J$3, , $G$3, $H$3)),0)</f>
        <v/>
      </c>
      <c r="HX12" s="87" t="str">
        <f>IFERROR(IF(OR($B12="",HX$3=""),"",_xll.ciqfunctions.udf.CIQ($B12,"IQ_CASH_OPER",HX$3,$E$3, $J$3, , $G$3, $H$3)/_xll.ciqfunctions.udf.CIQ($B12,"IQ_TOTAL_REV",HX$3,$E$3, $J$3, , $G$3, $H$3)),0)</f>
        <v/>
      </c>
      <c r="HY12" s="87" t="str">
        <f>IFERROR(IF(OR($B12="",HY$3=""),"",_xll.ciqfunctions.udf.CIQ($B12,"IQ_CASH_OPER",HY$3,$E$3, $J$3, , $G$3, $H$3)/_xll.ciqfunctions.udf.CIQ($B12,"IQ_TOTAL_REV",HY$3,$E$3, $J$3, , $G$3, $H$3)),0)</f>
        <v/>
      </c>
      <c r="HZ12" s="87" t="str">
        <f>IFERROR(IF(OR($B12="",HZ$3=""),"",_xll.ciqfunctions.udf.CIQ($B12,"IQ_CASH_OPER",HZ$3,$E$3, $J$3, , $G$3, $H$3)/_xll.ciqfunctions.udf.CIQ($B12,"IQ_TOTAL_REV",HZ$3,$E$3, $J$3, , $G$3, $H$3)),0)</f>
        <v/>
      </c>
      <c r="IA12" s="87" t="str">
        <f>IFERROR(IF(OR($B12="",IA$3=""),"",_xll.ciqfunctions.udf.CIQ($B12,"IQ_CASH_OPER",IA$3,$E$3, $J$3, , $G$3, $H$3)/_xll.ciqfunctions.udf.CIQ($B12,"IQ_TOTAL_REV",IA$3,$E$3, $J$3, , $G$3, $H$3)),0)</f>
        <v/>
      </c>
      <c r="IB12" s="87" t="str">
        <f>IFERROR(IF(OR($B12="",IB$3=""),"",_xll.ciqfunctions.udf.CIQ($B12,"IQ_CASH_OPER",IB$3,$E$3, $J$3, , $G$3, $H$3)/_xll.ciqfunctions.udf.CIQ($B12,"IQ_TOTAL_REV",IB$3,$E$3, $J$3, , $G$3, $H$3)),0)</f>
        <v/>
      </c>
      <c r="IC12" s="87" t="str">
        <f>IFERROR(IF(OR($B12="",IC$3=""),"",_xll.ciqfunctions.udf.CIQ($B12,"IQ_CASH_OPER",IC$3,$E$3, $J$3, , $G$3, $H$3)/_xll.ciqfunctions.udf.CIQ($B12,"IQ_TOTAL_REV",IC$3,$E$3, $J$3, , $G$3, $H$3)),0)</f>
        <v/>
      </c>
      <c r="ID12" s="87" t="str">
        <f>IFERROR(IF(OR($B12="",ID$3=""),"",_xll.ciqfunctions.udf.CIQ($B12,"IQ_CASH_OPER",ID$3,$E$3, $J$3, , $G$3, $H$3)/_xll.ciqfunctions.udf.CIQ($B12,"IQ_TOTAL_REV",ID$3,$E$3, $J$3, , $G$3, $H$3)),0)</f>
        <v/>
      </c>
      <c r="IE12" s="87" t="str">
        <f>IFERROR(IF(OR($B12="",IE$3=""),"",_xll.ciqfunctions.udf.CIQ($B12,"IQ_CASH_OPER",IE$3,$E$3, $J$3, , $G$3, $H$3)/_xll.ciqfunctions.udf.CIQ($B12,"IQ_TOTAL_REV",IE$3,$E$3, $J$3, , $G$3, $H$3)),0)</f>
        <v/>
      </c>
      <c r="IF12" s="87" t="str">
        <f>IFERROR(IF(OR($B12="",IF$3=""),"",_xll.ciqfunctions.udf.CIQ($B12,"IQ_CASH_OPER",IF$3,$E$3, $J$3, , $G$3, $H$3)/_xll.ciqfunctions.udf.CIQ($B12,"IQ_TOTAL_REV",IF$3,$E$3, $J$3, , $G$3, $H$3)),0)</f>
        <v/>
      </c>
      <c r="IG12" s="87" t="str">
        <f>IFERROR(IF(OR($B12="",IG$3=""),"",_xll.ciqfunctions.udf.CIQ($B12,"IQ_CASH_OPER",IG$3,$E$3, $J$3, , $G$3, $H$3)/_xll.ciqfunctions.udf.CIQ($B12,"IQ_TOTAL_REV",IG$3,$E$3, $J$3, , $G$3, $H$3)),0)</f>
        <v/>
      </c>
      <c r="IH12" s="87" t="str">
        <f>IFERROR(IF(OR($B12="",IH$3=""),"",_xll.ciqfunctions.udf.CIQ($B12,"IQ_CASH_OPER",IH$3,$E$3, $J$3, , $G$3, $H$3)/_xll.ciqfunctions.udf.CIQ($B12,"IQ_TOTAL_REV",IH$3,$E$3, $J$3, , $G$3, $H$3)),0)</f>
        <v/>
      </c>
      <c r="II12" s="87" t="str">
        <f>IFERROR(IF(OR($B12="",II$3=""),"",_xll.ciqfunctions.udf.CIQ($B12,"IQ_CASH_OPER",II$3,$E$3, $J$3, , $G$3, $H$3)/_xll.ciqfunctions.udf.CIQ($B12,"IQ_TOTAL_REV",II$3,$E$3, $J$3, , $G$3, $H$3)),0)</f>
        <v/>
      </c>
      <c r="IJ12" s="87" t="str">
        <f>IFERROR(IF(OR($B12="",IJ$3=""),"",_xll.ciqfunctions.udf.CIQ($B12,"IQ_CASH_OPER",IJ$3,$E$3, $J$3, , $G$3, $H$3)/_xll.ciqfunctions.udf.CIQ($B12,"IQ_TOTAL_REV",IJ$3,$E$3, $J$3, , $G$3, $H$3)),0)</f>
        <v/>
      </c>
      <c r="IK12" s="87" t="str">
        <f>IFERROR(IF(OR($B12="",IK$3=""),"",_xll.ciqfunctions.udf.CIQ($B12,"IQ_CASH_OPER",IK$3,$E$3, $J$3, , $G$3, $H$3)/_xll.ciqfunctions.udf.CIQ($B12,"IQ_TOTAL_REV",IK$3,$E$3, $J$3, , $G$3, $H$3)),0)</f>
        <v/>
      </c>
      <c r="IL12" s="87" t="str">
        <f>IFERROR(IF(OR($B12="",IL$3=""),"",_xll.ciqfunctions.udf.CIQ($B12,"IQ_CASH_OPER",IL$3,$E$3, $J$3, , $G$3, $H$3)/_xll.ciqfunctions.udf.CIQ($B12,"IQ_TOTAL_REV",IL$3,$E$3, $J$3, , $G$3, $H$3)),0)</f>
        <v/>
      </c>
      <c r="IM12" s="87" t="str">
        <f>IFERROR(IF(OR($B12="",IM$3=""),"",_xll.ciqfunctions.udf.CIQ($B12,"IQ_CASH_OPER",IM$3,$E$3, $J$3, , $G$3, $H$3)/_xll.ciqfunctions.udf.CIQ($B12,"IQ_TOTAL_REV",IM$3,$E$3, $J$3, , $G$3, $H$3)),0)</f>
        <v/>
      </c>
      <c r="IN12" s="87" t="str">
        <f>IFERROR(IF(OR($B12="",IN$3=""),"",_xll.ciqfunctions.udf.CIQ($B12,"IQ_CASH_OPER",IN$3,$E$3, $J$3, , $G$3, $H$3)/_xll.ciqfunctions.udf.CIQ($B12,"IQ_TOTAL_REV",IN$3,$E$3, $J$3, , $G$3, $H$3)),0)</f>
        <v/>
      </c>
      <c r="IO12" s="87" t="str">
        <f>IFERROR(IF(OR($B12="",IO$3=""),"",_xll.ciqfunctions.udf.CIQ($B12,"IQ_CASH_OPER",IO$3,$E$3, $J$3, , $G$3, $H$3)/_xll.ciqfunctions.udf.CIQ($B12,"IQ_TOTAL_REV",IO$3,$E$3, $J$3, , $G$3, $H$3)),0)</f>
        <v/>
      </c>
      <c r="IP12" s="88" t="str">
        <f>IFERROR(IF(OR($B12="",IP$3=""),"",_xll.ciqfunctions.udf.CIQ($B12,"IQ_CASH_OPER",IP$3,$E$3, $J$3, , $G$3, $H$3)/_xll.ciqfunctions.udf.CIQ($B12,"IQ_TOTAL_REV",IP$3,$E$3, $J$3, , $G$3, $H$3)),0)</f>
        <v/>
      </c>
      <c r="IQ12" s="348" t="str">
        <f>IFERROR(IF(OR(IQ$3="",$B12=""),"",_xll.ciqfunctions.udf.CIQ($B12,"IQ_TOTAL_ASSETS",IQ$3,$E$3, $J$3, , $G$3, $H$3)/_xll.ciqfunctions.udf.CIQ($B12,"IQ_TOTAL_COMMON_EQUITY",IQ$3,$E$3, $J$3, , $G$3, $H$3)),0)</f>
        <v/>
      </c>
      <c r="IR12" s="349" t="str">
        <f>IFERROR(IF(OR(IR$3="",$B12=""),"",_xll.ciqfunctions.udf.CIQ($B12,"IQ_TOTAL_ASSETS",IR$3,$E$3, $J$3, , $G$3, $H$3)/_xll.ciqfunctions.udf.CIQ($B12,"IQ_TOTAL_COMMON_EQUITY",IR$3,$E$3, $J$3, , $G$3, $H$3)),0)</f>
        <v/>
      </c>
      <c r="IS12" s="349" t="str">
        <f>IFERROR(IF(OR(IS$3="",$B12=""),"",_xll.ciqfunctions.udf.CIQ($B12,"IQ_TOTAL_ASSETS",IS$3,$E$3, $J$3, , $G$3, $H$3)/_xll.ciqfunctions.udf.CIQ($B12,"IQ_TOTAL_COMMON_EQUITY",IS$3,$E$3, $J$3, , $G$3, $H$3)),0)</f>
        <v/>
      </c>
      <c r="IT12" s="349" t="str">
        <f>IFERROR(IF(OR(IT$3="",$B12=""),"",_xll.ciqfunctions.udf.CIQ($B12,"IQ_TOTAL_ASSETS",IT$3,$E$3, $J$3, , $G$3, $H$3)/_xll.ciqfunctions.udf.CIQ($B12,"IQ_TOTAL_COMMON_EQUITY",IT$3,$E$3, $J$3, , $G$3, $H$3)),0)</f>
        <v/>
      </c>
      <c r="IU12" s="349" t="str">
        <f>IFERROR(IF(OR(IU$3="",$B12=""),"",_xll.ciqfunctions.udf.CIQ($B12,"IQ_TOTAL_ASSETS",IU$3,$E$3, $J$3, , $G$3, $H$3)/_xll.ciqfunctions.udf.CIQ($B12,"IQ_TOTAL_COMMON_EQUITY",IU$3,$E$3, $J$3, , $G$3, $H$3)),0)</f>
        <v/>
      </c>
      <c r="IV12" s="349" t="str">
        <f>IFERROR(IF(OR(IV$3="",$B12=""),"",_xll.ciqfunctions.udf.CIQ($B12,"IQ_TOTAL_ASSETS",IV$3,$E$3, $J$3, , $G$3, $H$3)/_xll.ciqfunctions.udf.CIQ($B12,"IQ_TOTAL_COMMON_EQUITY",IV$3,$E$3, $J$3, , $G$3, $H$3)),0)</f>
        <v/>
      </c>
      <c r="IW12" s="349" t="str">
        <f>IFERROR(IF(OR(IW$3="",$B12=""),"",_xll.ciqfunctions.udf.CIQ($B12,"IQ_TOTAL_ASSETS",IW$3,$E$3, $J$3, , $G$3, $H$3)/_xll.ciqfunctions.udf.CIQ($B12,"IQ_TOTAL_COMMON_EQUITY",IW$3,$E$3, $J$3, , $G$3, $H$3)),0)</f>
        <v/>
      </c>
      <c r="IX12" s="349" t="str">
        <f>IFERROR(IF(OR(IX$3="",$B12=""),"",_xll.ciqfunctions.udf.CIQ($B12,"IQ_TOTAL_ASSETS",IX$3,$E$3, $J$3, , $G$3, $H$3)/_xll.ciqfunctions.udf.CIQ($B12,"IQ_TOTAL_COMMON_EQUITY",IX$3,$E$3, $J$3, , $G$3, $H$3)),0)</f>
        <v/>
      </c>
      <c r="IY12" s="349" t="str">
        <f>IFERROR(IF(OR(IY$3="",$B12=""),"",_xll.ciqfunctions.udf.CIQ($B12,"IQ_TOTAL_ASSETS",IY$3,$E$3, $J$3, , $G$3, $H$3)/_xll.ciqfunctions.udf.CIQ($B12,"IQ_TOTAL_COMMON_EQUITY",IY$3,$E$3, $J$3, , $G$3, $H$3)),0)</f>
        <v/>
      </c>
      <c r="IZ12" s="349" t="str">
        <f>IFERROR(IF(OR(IZ$3="",$B12=""),"",_xll.ciqfunctions.udf.CIQ($B12,"IQ_TOTAL_ASSETS",IZ$3,$E$3, $J$3, , $G$3, $H$3)/_xll.ciqfunctions.udf.CIQ($B12,"IQ_TOTAL_COMMON_EQUITY",IZ$3,$E$3, $J$3, , $G$3, $H$3)),0)</f>
        <v/>
      </c>
      <c r="JA12" s="349" t="str">
        <f>IFERROR(IF(OR(JA$3="",$B12=""),"",_xll.ciqfunctions.udf.CIQ($B12,"IQ_TOTAL_ASSETS",JA$3,$E$3, $J$3, , $G$3, $H$3)/_xll.ciqfunctions.udf.CIQ($B12,"IQ_TOTAL_COMMON_EQUITY",JA$3,$E$3, $J$3, , $G$3, $H$3)),0)</f>
        <v/>
      </c>
      <c r="JB12" s="349" t="str">
        <f>IFERROR(IF(OR(JB$3="",$B12=""),"",_xll.ciqfunctions.udf.CIQ($B12,"IQ_TOTAL_ASSETS",JB$3,$E$3, $J$3, , $G$3, $H$3)/_xll.ciqfunctions.udf.CIQ($B12,"IQ_TOTAL_COMMON_EQUITY",JB$3,$E$3, $J$3, , $G$3, $H$3)),0)</f>
        <v/>
      </c>
      <c r="JC12" s="349" t="str">
        <f>IFERROR(IF(OR(JC$3="",$B12=""),"",_xll.ciqfunctions.udf.CIQ($B12,"IQ_TOTAL_ASSETS",JC$3,$E$3, $J$3, , $G$3, $H$3)/_xll.ciqfunctions.udf.CIQ($B12,"IQ_TOTAL_COMMON_EQUITY",JC$3,$E$3, $J$3, , $G$3, $H$3)),0)</f>
        <v/>
      </c>
      <c r="JD12" s="349" t="str">
        <f>IFERROR(IF(OR(JD$3="",$B12=""),"",_xll.ciqfunctions.udf.CIQ($B12,"IQ_TOTAL_ASSETS",JD$3,$E$3, $J$3, , $G$3, $H$3)/_xll.ciqfunctions.udf.CIQ($B12,"IQ_TOTAL_COMMON_EQUITY",JD$3,$E$3, $J$3, , $G$3, $H$3)),0)</f>
        <v/>
      </c>
      <c r="JE12" s="349" t="str">
        <f>IFERROR(IF(OR(JE$3="",$B12=""),"",_xll.ciqfunctions.udf.CIQ($B12,"IQ_TOTAL_ASSETS",JE$3,$E$3, $J$3, , $G$3, $H$3)/_xll.ciqfunctions.udf.CIQ($B12,"IQ_TOTAL_COMMON_EQUITY",JE$3,$E$3, $J$3, , $G$3, $H$3)),0)</f>
        <v/>
      </c>
      <c r="JF12" s="349" t="str">
        <f>IFERROR(IF(OR(JF$3="",$B12=""),"",_xll.ciqfunctions.udf.CIQ($B12,"IQ_TOTAL_ASSETS",JF$3,$E$3, $J$3, , $G$3, $H$3)/_xll.ciqfunctions.udf.CIQ($B12,"IQ_TOTAL_COMMON_EQUITY",JF$3,$E$3, $J$3, , $G$3, $H$3)),0)</f>
        <v/>
      </c>
      <c r="JG12" s="349" t="str">
        <f>IFERROR(IF(OR(JG$3="",$B12=""),"",_xll.ciqfunctions.udf.CIQ($B12,"IQ_TOTAL_ASSETS",JG$3,$E$3, $J$3, , $G$3, $H$3)/_xll.ciqfunctions.udf.CIQ($B12,"IQ_TOTAL_COMMON_EQUITY",JG$3,$E$3, $J$3, , $G$3, $H$3)),0)</f>
        <v/>
      </c>
      <c r="JH12" s="349" t="str">
        <f>IFERROR(IF(OR(JH$3="",$B12=""),"",_xll.ciqfunctions.udf.CIQ($B12,"IQ_TOTAL_ASSETS",JH$3,$E$3, $J$3, , $G$3, $H$3)/_xll.ciqfunctions.udf.CIQ($B12,"IQ_TOTAL_COMMON_EQUITY",JH$3,$E$3, $J$3, , $G$3, $H$3)),0)</f>
        <v/>
      </c>
      <c r="JI12" s="349" t="str">
        <f>IFERROR(IF(OR(JI$3="",$B12=""),"",_xll.ciqfunctions.udf.CIQ($B12,"IQ_TOTAL_ASSETS",JI$3,$E$3, $J$3, , $G$3, $H$3)/_xll.ciqfunctions.udf.CIQ($B12,"IQ_TOTAL_COMMON_EQUITY",JI$3,$E$3, $J$3, , $G$3, $H$3)),0)</f>
        <v/>
      </c>
      <c r="JJ12" s="350" t="str">
        <f>IFERROR(IF(OR(JJ$3="",$B12=""),"",_xll.ciqfunctions.udf.CIQ($B12,"IQ_TOTAL_ASSETS",JJ$3,$E$3, $J$3, , $G$3, $H$3)/_xll.ciqfunctions.udf.CIQ($B12,"IQ_TOTAL_COMMON_EQUITY",JJ$3,$E$3, $J$3, , $G$3, $H$3)),0)</f>
        <v/>
      </c>
      <c r="JK12" s="86" t="str">
        <f>IFERROR(IF(OR($B12="",JK$3=""),"",_xll.ciqfunctions.udf.CIQ($B12, "IQ_NI", $I$3, HC$3,$J$3, ,$G$3,$H$3)*2/(_xll.ciqfunctions.udf.CIQ($B12,"IQ_TOTAL_EQUITY",JK$3,$E$3, $J$3, , $G$3, $H$3)+_xll.ciqfunctions.udf.CIQ($B12,"IQ_TOTAL_EQUITY","IQ_" &amp; LEFT(JK$3,2) &amp; "-1",JK$3, $J$3, , $G$3, $H$3))),"")</f>
        <v/>
      </c>
      <c r="JL12" s="87" t="str">
        <f>IFERROR(IF(OR($B12="",JL$3=""),"",_xll.ciqfunctions.udf.CIQ($B12, "IQ_NI", $I$3, HD$3,$J$3, ,$G$3,$H$3)*2/(_xll.ciqfunctions.udf.CIQ($B12,"IQ_TOTAL_EQUITY",JL$3,$E$3, $J$3, , $G$3, $H$3)+_xll.ciqfunctions.udf.CIQ($B12,"IQ_TOTAL_EQUITY","IQ_" &amp; LEFT(JL$3,2) &amp; "-1",JL$3, $J$3, , $G$3, $H$3))),"")</f>
        <v/>
      </c>
      <c r="JM12" s="87" t="str">
        <f>IFERROR(IF(OR($B12="",JM$3=""),"",_xll.ciqfunctions.udf.CIQ($B12, "IQ_NI", $I$3, HE$3,$J$3, ,$G$3,$H$3)*2/(_xll.ciqfunctions.udf.CIQ($B12,"IQ_TOTAL_EQUITY",JM$3,$E$3, $J$3, , $G$3, $H$3)+_xll.ciqfunctions.udf.CIQ($B12,"IQ_TOTAL_EQUITY","IQ_" &amp; LEFT(JM$3,2) &amp; "-1",JM$3, $J$3, , $G$3, $H$3))),"")</f>
        <v/>
      </c>
      <c r="JN12" s="87" t="str">
        <f>IFERROR(IF(OR($B12="",JN$3=""),"",_xll.ciqfunctions.udf.CIQ($B12, "IQ_NI", $I$3, HF$3,$J$3, ,$G$3,$H$3)*2/(_xll.ciqfunctions.udf.CIQ($B12,"IQ_TOTAL_EQUITY",JN$3,$E$3, $J$3, , $G$3, $H$3)+_xll.ciqfunctions.udf.CIQ($B12,"IQ_TOTAL_EQUITY","IQ_" &amp; LEFT(JN$3,2) &amp; "-1",JN$3, $J$3, , $G$3, $H$3))),"")</f>
        <v/>
      </c>
      <c r="JO12" s="87" t="str">
        <f>IFERROR(IF(OR($B12="",JO$3=""),"",_xll.ciqfunctions.udf.CIQ($B12, "IQ_NI", $I$3, HG$3,$J$3, ,$G$3,$H$3)*2/(_xll.ciqfunctions.udf.CIQ($B12,"IQ_TOTAL_EQUITY",JO$3,$E$3, $J$3, , $G$3, $H$3)+_xll.ciqfunctions.udf.CIQ($B12,"IQ_TOTAL_EQUITY","IQ_" &amp; LEFT(JO$3,2) &amp; "-1",JO$3, $J$3, , $G$3, $H$3))),"")</f>
        <v/>
      </c>
      <c r="JP12" s="87" t="str">
        <f>IFERROR(IF(OR($B12="",JP$3=""),"",_xll.ciqfunctions.udf.CIQ($B12, "IQ_NI", $I$3, HH$3,$J$3, ,$G$3,$H$3)*2/(_xll.ciqfunctions.udf.CIQ($B12,"IQ_TOTAL_EQUITY",JP$3,$E$3, $J$3, , $G$3, $H$3)+_xll.ciqfunctions.udf.CIQ($B12,"IQ_TOTAL_EQUITY","IQ_" &amp; LEFT(JP$3,2) &amp; "-1",JP$3, $J$3, , $G$3, $H$3))),"")</f>
        <v/>
      </c>
      <c r="JQ12" s="87" t="str">
        <f>IFERROR(IF(OR($B12="",JQ$3=""),"",_xll.ciqfunctions.udf.CIQ($B12, "IQ_NI", $I$3, HI$3,$J$3, ,$G$3,$H$3)*2/(_xll.ciqfunctions.udf.CIQ($B12,"IQ_TOTAL_EQUITY",JQ$3,$E$3, $J$3, , $G$3, $H$3)+_xll.ciqfunctions.udf.CIQ($B12,"IQ_TOTAL_EQUITY","IQ_" &amp; LEFT(JQ$3,2) &amp; "-1",JQ$3, $J$3, , $G$3, $H$3))),"")</f>
        <v/>
      </c>
      <c r="JR12" s="87" t="str">
        <f>IFERROR(IF(OR($B12="",JR$3=""),"",_xll.ciqfunctions.udf.CIQ($B12, "IQ_NI", $I$3, HJ$3,$J$3, ,$G$3,$H$3)*2/(_xll.ciqfunctions.udf.CIQ($B12,"IQ_TOTAL_EQUITY",JR$3,$E$3, $J$3, , $G$3, $H$3)+_xll.ciqfunctions.udf.CIQ($B12,"IQ_TOTAL_EQUITY","IQ_" &amp; LEFT(JR$3,2) &amp; "-1",JR$3, $J$3, , $G$3, $H$3))),"")</f>
        <v/>
      </c>
      <c r="JS12" s="87" t="str">
        <f>IFERROR(IF(OR($B12="",JS$3=""),"",_xll.ciqfunctions.udf.CIQ($B12, "IQ_NI", $I$3, HK$3,$J$3, ,$G$3,$H$3)*2/(_xll.ciqfunctions.udf.CIQ($B12,"IQ_TOTAL_EQUITY",JS$3,$E$3, $J$3, , $G$3, $H$3)+_xll.ciqfunctions.udf.CIQ($B12,"IQ_TOTAL_EQUITY","IQ_" &amp; LEFT(JS$3,2) &amp; "-1",JS$3, $J$3, , $G$3, $H$3))),"")</f>
        <v/>
      </c>
      <c r="JT12" s="87" t="str">
        <f>IFERROR(IF(OR($B12="",JT$3=""),"",_xll.ciqfunctions.udf.CIQ($B12, "IQ_NI", $I$3, HL$3,$J$3, ,$G$3,$H$3)*2/(_xll.ciqfunctions.udf.CIQ($B12,"IQ_TOTAL_EQUITY",JT$3,$E$3, $J$3, , $G$3, $H$3)+_xll.ciqfunctions.udf.CIQ($B12,"IQ_TOTAL_EQUITY","IQ_" &amp; LEFT(JT$3,2) &amp; "-1",JT$3, $J$3, , $G$3, $H$3))),"")</f>
        <v/>
      </c>
      <c r="JU12" s="87" t="str">
        <f>IFERROR(IF(OR($B12="",JU$3=""),"",_xll.ciqfunctions.udf.CIQ($B12, "IQ_NI", $I$3, HM$3,$J$3, ,$G$3,$H$3)*2/(_xll.ciqfunctions.udf.CIQ($B12,"IQ_TOTAL_EQUITY",JU$3,$E$3, $J$3, , $G$3, $H$3)+_xll.ciqfunctions.udf.CIQ($B12,"IQ_TOTAL_EQUITY","IQ_" &amp; LEFT(JU$3,2) &amp; "-1",JU$3, $J$3, , $G$3, $H$3))),"")</f>
        <v/>
      </c>
      <c r="JV12" s="87" t="str">
        <f>IFERROR(IF(OR($B12="",JV$3=""),"",_xll.ciqfunctions.udf.CIQ($B12, "IQ_NI", $I$3, HN$3,$J$3, ,$G$3,$H$3)*2/(_xll.ciqfunctions.udf.CIQ($B12,"IQ_TOTAL_EQUITY",JV$3,$E$3, $J$3, , $G$3, $H$3)+_xll.ciqfunctions.udf.CIQ($B12,"IQ_TOTAL_EQUITY","IQ_" &amp; LEFT(JV$3,2) &amp; "-1",JV$3, $J$3, , $G$3, $H$3))),"")</f>
        <v/>
      </c>
      <c r="JW12" s="87" t="str">
        <f>IFERROR(IF(OR($B12="",JW$3=""),"",_xll.ciqfunctions.udf.CIQ($B12, "IQ_NI", $I$3, HO$3,$J$3, ,$G$3,$H$3)*2/(_xll.ciqfunctions.udf.CIQ($B12,"IQ_TOTAL_EQUITY",JW$3,$E$3, $J$3, , $G$3, $H$3)+_xll.ciqfunctions.udf.CIQ($B12,"IQ_TOTAL_EQUITY","IQ_" &amp; LEFT(JW$3,2) &amp; "-1",JW$3, $J$3, , $G$3, $H$3))),"")</f>
        <v/>
      </c>
      <c r="JX12" s="87" t="str">
        <f>IFERROR(IF(OR($B12="",JX$3=""),"",_xll.ciqfunctions.udf.CIQ($B12, "IQ_NI", $I$3, HP$3,$J$3, ,$G$3,$H$3)*2/(_xll.ciqfunctions.udf.CIQ($B12,"IQ_TOTAL_EQUITY",JX$3,$E$3, $J$3, , $G$3, $H$3)+_xll.ciqfunctions.udf.CIQ($B12,"IQ_TOTAL_EQUITY","IQ_" &amp; LEFT(JX$3,2) &amp; "-1",JX$3, $J$3, , $G$3, $H$3))),"")</f>
        <v/>
      </c>
      <c r="JY12" s="87" t="str">
        <f>IFERROR(IF(OR($B12="",JY$3=""),"",_xll.ciqfunctions.udf.CIQ($B12, "IQ_NI", $I$3, HQ$3,$J$3, ,$G$3,$H$3)*2/(_xll.ciqfunctions.udf.CIQ($B12,"IQ_TOTAL_EQUITY",JY$3,$E$3, $J$3, , $G$3, $H$3)+_xll.ciqfunctions.udf.CIQ($B12,"IQ_TOTAL_EQUITY","IQ_" &amp; LEFT(JY$3,2) &amp; "-1",JY$3, $J$3, , $G$3, $H$3))),"")</f>
        <v/>
      </c>
      <c r="JZ12" s="87" t="str">
        <f>IFERROR(IF(OR($B12="",JZ$3=""),"",_xll.ciqfunctions.udf.CIQ($B12, "IQ_NI", $I$3, HR$3,$J$3, ,$G$3,$H$3)*2/(_xll.ciqfunctions.udf.CIQ($B12,"IQ_TOTAL_EQUITY",JZ$3,$E$3, $J$3, , $G$3, $H$3)+_xll.ciqfunctions.udf.CIQ($B12,"IQ_TOTAL_EQUITY","IQ_" &amp; LEFT(JZ$3,2) &amp; "-1",JZ$3, $J$3, , $G$3, $H$3))),"")</f>
        <v/>
      </c>
      <c r="KA12" s="87" t="str">
        <f>IFERROR(IF(OR($B12="",KA$3=""),"",_xll.ciqfunctions.udf.CIQ($B12, "IQ_NI", $I$3, HS$3,$J$3, ,$G$3,$H$3)*2/(_xll.ciqfunctions.udf.CIQ($B12,"IQ_TOTAL_EQUITY",KA$3,$E$3, $J$3, , $G$3, $H$3)+_xll.ciqfunctions.udf.CIQ($B12,"IQ_TOTAL_EQUITY","IQ_" &amp; LEFT(KA$3,2) &amp; "-1",KA$3, $J$3, , $G$3, $H$3))),"")</f>
        <v/>
      </c>
      <c r="KB12" s="87" t="str">
        <f>IFERROR(IF(OR($B12="",KB$3=""),"",_xll.ciqfunctions.udf.CIQ($B12, "IQ_NI", $I$3, HT$3,$J$3, ,$G$3,$H$3)*2/(_xll.ciqfunctions.udf.CIQ($B12,"IQ_TOTAL_EQUITY",KB$3,$E$3, $J$3, , $G$3, $H$3)+_xll.ciqfunctions.udf.CIQ($B12,"IQ_TOTAL_EQUITY","IQ_" &amp; LEFT(KB$3,2) &amp; "-1",KB$3, $J$3, , $G$3, $H$3))),"")</f>
        <v/>
      </c>
      <c r="KC12" s="87" t="str">
        <f>IFERROR(IF(OR($B12="",KC$3=""),"",_xll.ciqfunctions.udf.CIQ($B12, "IQ_NI", $I$3, HU$3,$J$3, ,$G$3,$H$3)*2/(_xll.ciqfunctions.udf.CIQ($B12,"IQ_TOTAL_EQUITY",KC$3,$E$3, $J$3, , $G$3, $H$3)+_xll.ciqfunctions.udf.CIQ($B12,"IQ_TOTAL_EQUITY","IQ_" &amp; LEFT(KC$3,2) &amp; "-1",KC$3, $J$3, , $G$3, $H$3))),"")</f>
        <v/>
      </c>
      <c r="KD12" s="88" t="str">
        <f>IFERROR(IF(OR($B12="",KD$3=""),"",_xll.ciqfunctions.udf.CIQ($B12, "IQ_NI", $I$3, HV$3,$J$3, ,$G$3,$H$3)*2/(_xll.ciqfunctions.udf.CIQ($B12,"IQ_TOTAL_EQUITY",KD$3,$E$3, $J$3, , $G$3, $H$3)+_xll.ciqfunctions.udf.CIQ($B12,"IQ_TOTAL_EQUITY","IQ_" &amp; LEFT(KD$3,2) &amp; "-1",KD$3, $J$3, , $G$3, $H$3))),"")</f>
        <v/>
      </c>
      <c r="KE12" s="86" t="str">
        <f>IFERROR(IF(OR($B12="",KE$3=""),"",_xll.ciqfunctions.udf.CIQ($B12, "IQ_NI", $I$3, KE$3,$J$3, ,$G$3,$H$3)*2/(_xll.ciqfunctions.udf.CIQ($B12, "IQ_TOTAL_ASSETS", $I$3, KE$3,$J$3, ,$G$3,$H$3)+_xll.ciqfunctions.udf.CIQ($B12, "IQ_TOTAL_ASSETS", $I$3 &amp; "-1", KE$3,$J$3, ,$G$3,$H$3)-_xll.ciqfunctions.udf.CIQ($B12, "IQ_TOTAL_CL", $I$3, KE$3,$J$3, ,$G$3,$H$3)-_xll.ciqfunctions.udf.CIQ($B12, "IQ_TOTAL_CL", $I$3 &amp; "-1", KE$3,$J$3, ,$G$3,$H$3))),"")</f>
        <v/>
      </c>
      <c r="KF12" s="87" t="str">
        <f>IFERROR(IF(OR($B12="",KF$3=""),"",_xll.ciqfunctions.udf.CIQ($B12, "IQ_NI", $I$3, KF$3,$J$3, ,$G$3,$H$3)*2/(_xll.ciqfunctions.udf.CIQ($B12, "IQ_TOTAL_ASSETS", $I$3, KF$3,$J$3, ,$G$3,$H$3)+_xll.ciqfunctions.udf.CIQ($B12, "IQ_TOTAL_ASSETS", $I$3 &amp; "-1", KF$3,$J$3, ,$G$3,$H$3)-_xll.ciqfunctions.udf.CIQ($B12, "IQ_TOTAL_CL", $I$3, KF$3,$J$3, ,$G$3,$H$3)-_xll.ciqfunctions.udf.CIQ($B12, "IQ_TOTAL_CL", $I$3 &amp; "-1", KF$3,$J$3, ,$G$3,$H$3))),"")</f>
        <v/>
      </c>
      <c r="KG12" s="87" t="str">
        <f>IFERROR(IF(OR($B12="",KG$3=""),"",_xll.ciqfunctions.udf.CIQ($B12, "IQ_NI", $I$3, KG$3,$J$3, ,$G$3,$H$3)*2/(_xll.ciqfunctions.udf.CIQ($B12, "IQ_TOTAL_ASSETS", $I$3, KG$3,$J$3, ,$G$3,$H$3)+_xll.ciqfunctions.udf.CIQ($B12, "IQ_TOTAL_ASSETS", $I$3 &amp; "-1", KG$3,$J$3, ,$G$3,$H$3)-_xll.ciqfunctions.udf.CIQ($B12, "IQ_TOTAL_CL", $I$3, KG$3,$J$3, ,$G$3,$H$3)-_xll.ciqfunctions.udf.CIQ($B12, "IQ_TOTAL_CL", $I$3 &amp; "-1", KG$3,$J$3, ,$G$3,$H$3))),"")</f>
        <v/>
      </c>
      <c r="KH12" s="87" t="str">
        <f>IFERROR(IF(OR($B12="",KH$3=""),"",_xll.ciqfunctions.udf.CIQ($B12, "IQ_NI", $I$3, KH$3,$J$3, ,$G$3,$H$3)*2/(_xll.ciqfunctions.udf.CIQ($B12, "IQ_TOTAL_ASSETS", $I$3, KH$3,$J$3, ,$G$3,$H$3)+_xll.ciqfunctions.udf.CIQ($B12, "IQ_TOTAL_ASSETS", $I$3 &amp; "-1", KH$3,$J$3, ,$G$3,$H$3)-_xll.ciqfunctions.udf.CIQ($B12, "IQ_TOTAL_CL", $I$3, KH$3,$J$3, ,$G$3,$H$3)-_xll.ciqfunctions.udf.CIQ($B12, "IQ_TOTAL_CL", $I$3 &amp; "-1", KH$3,$J$3, ,$G$3,$H$3))),"")</f>
        <v/>
      </c>
      <c r="KI12" s="87" t="str">
        <f>IFERROR(IF(OR($B12="",KI$3=""),"",_xll.ciqfunctions.udf.CIQ($B12, "IQ_NI", $I$3, KI$3,$J$3, ,$G$3,$H$3)*2/(_xll.ciqfunctions.udf.CIQ($B12, "IQ_TOTAL_ASSETS", $I$3, KI$3,$J$3, ,$G$3,$H$3)+_xll.ciqfunctions.udf.CIQ($B12, "IQ_TOTAL_ASSETS", $I$3 &amp; "-1", KI$3,$J$3, ,$G$3,$H$3)-_xll.ciqfunctions.udf.CIQ($B12, "IQ_TOTAL_CL", $I$3, KI$3,$J$3, ,$G$3,$H$3)-_xll.ciqfunctions.udf.CIQ($B12, "IQ_TOTAL_CL", $I$3 &amp; "-1", KI$3,$J$3, ,$G$3,$H$3))),"")</f>
        <v/>
      </c>
      <c r="KJ12" s="87" t="str">
        <f>IFERROR(IF(OR($B12="",KJ$3=""),"",_xll.ciqfunctions.udf.CIQ($B12, "IQ_NI", $I$3, KJ$3,$J$3, ,$G$3,$H$3)*2/(_xll.ciqfunctions.udf.CIQ($B12, "IQ_TOTAL_ASSETS", $I$3, KJ$3,$J$3, ,$G$3,$H$3)+_xll.ciqfunctions.udf.CIQ($B12, "IQ_TOTAL_ASSETS", $I$3 &amp; "-1", KJ$3,$J$3, ,$G$3,$H$3)-_xll.ciqfunctions.udf.CIQ($B12, "IQ_TOTAL_CL", $I$3, KJ$3,$J$3, ,$G$3,$H$3)-_xll.ciqfunctions.udf.CIQ($B12, "IQ_TOTAL_CL", $I$3 &amp; "-1", KJ$3,$J$3, ,$G$3,$H$3))),"")</f>
        <v/>
      </c>
      <c r="KK12" s="87" t="str">
        <f>IFERROR(IF(OR($B12="",KK$3=""),"",_xll.ciqfunctions.udf.CIQ($B12, "IQ_NI", $I$3, KK$3,$J$3, ,$G$3,$H$3)*2/(_xll.ciqfunctions.udf.CIQ($B12, "IQ_TOTAL_ASSETS", $I$3, KK$3,$J$3, ,$G$3,$H$3)+_xll.ciqfunctions.udf.CIQ($B12, "IQ_TOTAL_ASSETS", $I$3 &amp; "-1", KK$3,$J$3, ,$G$3,$H$3)-_xll.ciqfunctions.udf.CIQ($B12, "IQ_TOTAL_CL", $I$3, KK$3,$J$3, ,$G$3,$H$3)-_xll.ciqfunctions.udf.CIQ($B12, "IQ_TOTAL_CL", $I$3 &amp; "-1", KK$3,$J$3, ,$G$3,$H$3))),"")</f>
        <v/>
      </c>
      <c r="KL12" s="87" t="str">
        <f>IFERROR(IF(OR($B12="",KL$3=""),"",_xll.ciqfunctions.udf.CIQ($B12, "IQ_NI", $I$3, KL$3,$J$3, ,$G$3,$H$3)*2/(_xll.ciqfunctions.udf.CIQ($B12, "IQ_TOTAL_ASSETS", $I$3, KL$3,$J$3, ,$G$3,$H$3)+_xll.ciqfunctions.udf.CIQ($B12, "IQ_TOTAL_ASSETS", $I$3 &amp; "-1", KL$3,$J$3, ,$G$3,$H$3)-_xll.ciqfunctions.udf.CIQ($B12, "IQ_TOTAL_CL", $I$3, KL$3,$J$3, ,$G$3,$H$3)-_xll.ciqfunctions.udf.CIQ($B12, "IQ_TOTAL_CL", $I$3 &amp; "-1", KL$3,$J$3, ,$G$3,$H$3))),"")</f>
        <v/>
      </c>
      <c r="KM12" s="87" t="str">
        <f>IFERROR(IF(OR($B12="",KM$3=""),"",_xll.ciqfunctions.udf.CIQ($B12, "IQ_NI", $I$3, KM$3,$J$3, ,$G$3,$H$3)*2/(_xll.ciqfunctions.udf.CIQ($B12, "IQ_TOTAL_ASSETS", $I$3, KM$3,$J$3, ,$G$3,$H$3)+_xll.ciqfunctions.udf.CIQ($B12, "IQ_TOTAL_ASSETS", $I$3 &amp; "-1", KM$3,$J$3, ,$G$3,$H$3)-_xll.ciqfunctions.udf.CIQ($B12, "IQ_TOTAL_CL", $I$3, KM$3,$J$3, ,$G$3,$H$3)-_xll.ciqfunctions.udf.CIQ($B12, "IQ_TOTAL_CL", $I$3 &amp; "-1", KM$3,$J$3, ,$G$3,$H$3))),"")</f>
        <v/>
      </c>
      <c r="KN12" s="87" t="str">
        <f>IFERROR(IF(OR($B12="",KN$3=""),"",_xll.ciqfunctions.udf.CIQ($B12, "IQ_NI", $I$3, KN$3,$J$3, ,$G$3,$H$3)*2/(_xll.ciqfunctions.udf.CIQ($B12, "IQ_TOTAL_ASSETS", $I$3, KN$3,$J$3, ,$G$3,$H$3)+_xll.ciqfunctions.udf.CIQ($B12, "IQ_TOTAL_ASSETS", $I$3 &amp; "-1", KN$3,$J$3, ,$G$3,$H$3)-_xll.ciqfunctions.udf.CIQ($B12, "IQ_TOTAL_CL", $I$3, KN$3,$J$3, ,$G$3,$H$3)-_xll.ciqfunctions.udf.CIQ($B12, "IQ_TOTAL_CL", $I$3 &amp; "-1", KN$3,$J$3, ,$G$3,$H$3))),"")</f>
        <v/>
      </c>
      <c r="KO12" s="87" t="str">
        <f>IFERROR(IF(OR($B12="",KO$3=""),"",_xll.ciqfunctions.udf.CIQ($B12, "IQ_NI", $I$3, KO$3,$J$3, ,$G$3,$H$3)*2/(_xll.ciqfunctions.udf.CIQ($B12, "IQ_TOTAL_ASSETS", $I$3, KO$3,$J$3, ,$G$3,$H$3)+_xll.ciqfunctions.udf.CIQ($B12, "IQ_TOTAL_ASSETS", $I$3 &amp; "-1", KO$3,$J$3, ,$G$3,$H$3)-_xll.ciqfunctions.udf.CIQ($B12, "IQ_TOTAL_CL", $I$3, KO$3,$J$3, ,$G$3,$H$3)-_xll.ciqfunctions.udf.CIQ($B12, "IQ_TOTAL_CL", $I$3 &amp; "-1", KO$3,$J$3, ,$G$3,$H$3))),"")</f>
        <v/>
      </c>
      <c r="KP12" s="87" t="str">
        <f>IFERROR(IF(OR($B12="",KP$3=""),"",_xll.ciqfunctions.udf.CIQ($B12, "IQ_NI", $I$3, KP$3,$J$3, ,$G$3,$H$3)*2/(_xll.ciqfunctions.udf.CIQ($B12, "IQ_TOTAL_ASSETS", $I$3, KP$3,$J$3, ,$G$3,$H$3)+_xll.ciqfunctions.udf.CIQ($B12, "IQ_TOTAL_ASSETS", $I$3 &amp; "-1", KP$3,$J$3, ,$G$3,$H$3)-_xll.ciqfunctions.udf.CIQ($B12, "IQ_TOTAL_CL", $I$3, KP$3,$J$3, ,$G$3,$H$3)-_xll.ciqfunctions.udf.CIQ($B12, "IQ_TOTAL_CL", $I$3 &amp; "-1", KP$3,$J$3, ,$G$3,$H$3))),"")</f>
        <v/>
      </c>
      <c r="KQ12" s="87" t="str">
        <f>IFERROR(IF(OR($B12="",KQ$3=""),"",_xll.ciqfunctions.udf.CIQ($B12, "IQ_NI", $I$3, KQ$3,$J$3, ,$G$3,$H$3)*2/(_xll.ciqfunctions.udf.CIQ($B12, "IQ_TOTAL_ASSETS", $I$3, KQ$3,$J$3, ,$G$3,$H$3)+_xll.ciqfunctions.udf.CIQ($B12, "IQ_TOTAL_ASSETS", $I$3 &amp; "-1", KQ$3,$J$3, ,$G$3,$H$3)-_xll.ciqfunctions.udf.CIQ($B12, "IQ_TOTAL_CL", $I$3, KQ$3,$J$3, ,$G$3,$H$3)-_xll.ciqfunctions.udf.CIQ($B12, "IQ_TOTAL_CL", $I$3 &amp; "-1", KQ$3,$J$3, ,$G$3,$H$3))),"")</f>
        <v/>
      </c>
      <c r="KR12" s="87" t="str">
        <f>IFERROR(IF(OR($B12="",KR$3=""),"",_xll.ciqfunctions.udf.CIQ($B12, "IQ_NI", $I$3, KR$3,$J$3, ,$G$3,$H$3)*2/(_xll.ciqfunctions.udf.CIQ($B12, "IQ_TOTAL_ASSETS", $I$3, KR$3,$J$3, ,$G$3,$H$3)+_xll.ciqfunctions.udf.CIQ($B12, "IQ_TOTAL_ASSETS", $I$3 &amp; "-1", KR$3,$J$3, ,$G$3,$H$3)-_xll.ciqfunctions.udf.CIQ($B12, "IQ_TOTAL_CL", $I$3, KR$3,$J$3, ,$G$3,$H$3)-_xll.ciqfunctions.udf.CIQ($B12, "IQ_TOTAL_CL", $I$3 &amp; "-1", KR$3,$J$3, ,$G$3,$H$3))),"")</f>
        <v/>
      </c>
      <c r="KS12" s="87" t="str">
        <f>IFERROR(IF(OR($B12="",KS$3=""),"",_xll.ciqfunctions.udf.CIQ($B12, "IQ_NI", $I$3, KS$3,$J$3, ,$G$3,$H$3)*2/(_xll.ciqfunctions.udf.CIQ($B12, "IQ_TOTAL_ASSETS", $I$3, KS$3,$J$3, ,$G$3,$H$3)+_xll.ciqfunctions.udf.CIQ($B12, "IQ_TOTAL_ASSETS", $I$3 &amp; "-1", KS$3,$J$3, ,$G$3,$H$3)-_xll.ciqfunctions.udf.CIQ($B12, "IQ_TOTAL_CL", $I$3, KS$3,$J$3, ,$G$3,$H$3)-_xll.ciqfunctions.udf.CIQ($B12, "IQ_TOTAL_CL", $I$3 &amp; "-1", KS$3,$J$3, ,$G$3,$H$3))),"")</f>
        <v/>
      </c>
      <c r="KT12" s="87" t="str">
        <f>IFERROR(IF(OR($B12="",KT$3=""),"",_xll.ciqfunctions.udf.CIQ($B12, "IQ_NI", $I$3, KT$3,$J$3, ,$G$3,$H$3)*2/(_xll.ciqfunctions.udf.CIQ($B12, "IQ_TOTAL_ASSETS", $I$3, KT$3,$J$3, ,$G$3,$H$3)+_xll.ciqfunctions.udf.CIQ($B12, "IQ_TOTAL_ASSETS", $I$3 &amp; "-1", KT$3,$J$3, ,$G$3,$H$3)-_xll.ciqfunctions.udf.CIQ($B12, "IQ_TOTAL_CL", $I$3, KT$3,$J$3, ,$G$3,$H$3)-_xll.ciqfunctions.udf.CIQ($B12, "IQ_TOTAL_CL", $I$3 &amp; "-1", KT$3,$J$3, ,$G$3,$H$3))),"")</f>
        <v/>
      </c>
      <c r="KU12" s="87" t="str">
        <f>IFERROR(IF(OR($B12="",KU$3=""),"",_xll.ciqfunctions.udf.CIQ($B12, "IQ_NI", $I$3, KU$3,$J$3, ,$G$3,$H$3)*2/(_xll.ciqfunctions.udf.CIQ($B12, "IQ_TOTAL_ASSETS", $I$3, KU$3,$J$3, ,$G$3,$H$3)+_xll.ciqfunctions.udf.CIQ($B12, "IQ_TOTAL_ASSETS", $I$3 &amp; "-1", KU$3,$J$3, ,$G$3,$H$3)-_xll.ciqfunctions.udf.CIQ($B12, "IQ_TOTAL_CL", $I$3, KU$3,$J$3, ,$G$3,$H$3)-_xll.ciqfunctions.udf.CIQ($B12, "IQ_TOTAL_CL", $I$3 &amp; "-1", KU$3,$J$3, ,$G$3,$H$3))),"")</f>
        <v/>
      </c>
      <c r="KV12" s="87" t="str">
        <f>IFERROR(IF(OR($B12="",KV$3=""),"",_xll.ciqfunctions.udf.CIQ($B12, "IQ_NI", $I$3, KV$3,$J$3, ,$G$3,$H$3)*2/(_xll.ciqfunctions.udf.CIQ($B12, "IQ_TOTAL_ASSETS", $I$3, KV$3,$J$3, ,$G$3,$H$3)+_xll.ciqfunctions.udf.CIQ($B12, "IQ_TOTAL_ASSETS", $I$3 &amp; "-1", KV$3,$J$3, ,$G$3,$H$3)-_xll.ciqfunctions.udf.CIQ($B12, "IQ_TOTAL_CL", $I$3, KV$3,$J$3, ,$G$3,$H$3)-_xll.ciqfunctions.udf.CIQ($B12, "IQ_TOTAL_CL", $I$3 &amp; "-1", KV$3,$J$3, ,$G$3,$H$3))),"")</f>
        <v/>
      </c>
      <c r="KW12" s="87" t="str">
        <f>IFERROR(IF(OR($B12="",KW$3=""),"",_xll.ciqfunctions.udf.CIQ($B12, "IQ_NI", $I$3, KW$3,$J$3, ,$G$3,$H$3)*2/(_xll.ciqfunctions.udf.CIQ($B12, "IQ_TOTAL_ASSETS", $I$3, KW$3,$J$3, ,$G$3,$H$3)+_xll.ciqfunctions.udf.CIQ($B12, "IQ_TOTAL_ASSETS", $I$3 &amp; "-1", KW$3,$J$3, ,$G$3,$H$3)-_xll.ciqfunctions.udf.CIQ($B12, "IQ_TOTAL_CL", $I$3, KW$3,$J$3, ,$G$3,$H$3)-_xll.ciqfunctions.udf.CIQ($B12, "IQ_TOTAL_CL", $I$3 &amp; "-1", KW$3,$J$3, ,$G$3,$H$3))),"")</f>
        <v/>
      </c>
      <c r="KX12" s="88" t="str">
        <f>IFERROR(IF(OR($B12="",KX$3=""),"",_xll.ciqfunctions.udf.CIQ($B12, "IQ_NI", $I$3, KX$3,$J$3, ,$G$3,$H$3)*2/(_xll.ciqfunctions.udf.CIQ($B12, "IQ_TOTAL_ASSETS", $I$3, KX$3,$J$3, ,$G$3,$H$3)+_xll.ciqfunctions.udf.CIQ($B12, "IQ_TOTAL_ASSETS", $I$3 &amp; "-1", KX$3,$J$3, ,$G$3,$H$3)-_xll.ciqfunctions.udf.CIQ($B12, "IQ_TOTAL_CL", $I$3, KX$3,$J$3, ,$G$3,$H$3)-_xll.ciqfunctions.udf.CIQ($B12, "IQ_TOTAL_CL", $I$3 &amp; "-1", KX$3,$J$3, ,$G$3,$H$3))),"")</f>
        <v/>
      </c>
      <c r="KY12" s="86" t="str">
        <f>IFERROR(IF(OR($B12="",KY$3=""),"",_xll.ciqfunctions.udf.CIQ($B12,"IQ_CASH_OPER",$I$3, KY$3,$J$3, ,$G$3,$H$3)*2/(_xll.ciqfunctions.udf.CIQ($B12,"IQ_TOTAL_CL",KY$3,$E$3, $J$3, , $G$3, $H$3)+_xll.ciqfunctions.udf.CIQ($B12,"IQ_TOTAL_CL","IQ_" &amp; LEFT(KY$3,2) &amp; "-1",KY$3, $J$3, , $G$3, $H$3))),"")</f>
        <v/>
      </c>
      <c r="KZ12" s="87" t="str">
        <f>IFERROR(IF(OR($B12="",KZ$3=""),"",_xll.ciqfunctions.udf.CIQ($B12,"IQ_CASH_OPER",$I$3, KZ$3,$J$3, ,$G$3,$H$3)*2/(_xll.ciqfunctions.udf.CIQ($B12,"IQ_TOTAL_CL",KZ$3,$E$3, $J$3, , $G$3, $H$3)+_xll.ciqfunctions.udf.CIQ($B12,"IQ_TOTAL_CL","IQ_" &amp; LEFT(KZ$3,2) &amp; "-1",KZ$3, $J$3, , $G$3, $H$3))),"")</f>
        <v/>
      </c>
      <c r="LA12" s="87" t="str">
        <f>IFERROR(IF(OR($B12="",LA$3=""),"",_xll.ciqfunctions.udf.CIQ($B12,"IQ_CASH_OPER",$I$3, LA$3,$J$3, ,$G$3,$H$3)*2/(_xll.ciqfunctions.udf.CIQ($B12,"IQ_TOTAL_CL",LA$3,$E$3, $J$3, , $G$3, $H$3)+_xll.ciqfunctions.udf.CIQ($B12,"IQ_TOTAL_CL","IQ_" &amp; LEFT(LA$3,2) &amp; "-1",LA$3, $J$3, , $G$3, $H$3))),"")</f>
        <v/>
      </c>
      <c r="LB12" s="87" t="str">
        <f>IFERROR(IF(OR($B12="",LB$3=""),"",_xll.ciqfunctions.udf.CIQ($B12,"IQ_CASH_OPER",$I$3, LB$3,$J$3, ,$G$3,$H$3)*2/(_xll.ciqfunctions.udf.CIQ($B12,"IQ_TOTAL_CL",LB$3,$E$3, $J$3, , $G$3, $H$3)+_xll.ciqfunctions.udf.CIQ($B12,"IQ_TOTAL_CL","IQ_" &amp; LEFT(LB$3,2) &amp; "-1",LB$3, $J$3, , $G$3, $H$3))),"")</f>
        <v/>
      </c>
      <c r="LC12" s="87" t="str">
        <f>IFERROR(IF(OR($B12="",LC$3=""),"",_xll.ciqfunctions.udf.CIQ($B12,"IQ_CASH_OPER",$I$3, LC$3,$J$3, ,$G$3,$H$3)*2/(_xll.ciqfunctions.udf.CIQ($B12,"IQ_TOTAL_CL",LC$3,$E$3, $J$3, , $G$3, $H$3)+_xll.ciqfunctions.udf.CIQ($B12,"IQ_TOTAL_CL","IQ_" &amp; LEFT(LC$3,2) &amp; "-1",LC$3, $J$3, , $G$3, $H$3))),"")</f>
        <v/>
      </c>
      <c r="LD12" s="87" t="str">
        <f>IFERROR(IF(OR($B12="",LD$3=""),"",_xll.ciqfunctions.udf.CIQ($B12,"IQ_CASH_OPER",$I$3, LD$3,$J$3, ,$G$3,$H$3)*2/(_xll.ciqfunctions.udf.CIQ($B12,"IQ_TOTAL_CL",LD$3,$E$3, $J$3, , $G$3, $H$3)+_xll.ciqfunctions.udf.CIQ($B12,"IQ_TOTAL_CL","IQ_" &amp; LEFT(LD$3,2) &amp; "-1",LD$3, $J$3, , $G$3, $H$3))),"")</f>
        <v/>
      </c>
      <c r="LE12" s="87" t="str">
        <f>IFERROR(IF(OR($B12="",LE$3=""),"",_xll.ciqfunctions.udf.CIQ($B12,"IQ_CASH_OPER",$I$3, LE$3,$J$3, ,$G$3,$H$3)*2/(_xll.ciqfunctions.udf.CIQ($B12,"IQ_TOTAL_CL",LE$3,$E$3, $J$3, , $G$3, $H$3)+_xll.ciqfunctions.udf.CIQ($B12,"IQ_TOTAL_CL","IQ_" &amp; LEFT(LE$3,2) &amp; "-1",LE$3, $J$3, , $G$3, $H$3))),"")</f>
        <v/>
      </c>
      <c r="LF12" s="87" t="str">
        <f>IFERROR(IF(OR($B12="",LF$3=""),"",_xll.ciqfunctions.udf.CIQ($B12,"IQ_CASH_OPER",$I$3, LF$3,$J$3, ,$G$3,$H$3)*2/(_xll.ciqfunctions.udf.CIQ($B12,"IQ_TOTAL_CL",LF$3,$E$3, $J$3, , $G$3, $H$3)+_xll.ciqfunctions.udf.CIQ($B12,"IQ_TOTAL_CL","IQ_" &amp; LEFT(LF$3,2) &amp; "-1",LF$3, $J$3, , $G$3, $H$3))),"")</f>
        <v/>
      </c>
      <c r="LG12" s="87" t="str">
        <f>IFERROR(IF(OR($B12="",LG$3=""),"",_xll.ciqfunctions.udf.CIQ($B12,"IQ_CASH_OPER",$I$3, LG$3,$J$3, ,$G$3,$H$3)*2/(_xll.ciqfunctions.udf.CIQ($B12,"IQ_TOTAL_CL",LG$3,$E$3, $J$3, , $G$3, $H$3)+_xll.ciqfunctions.udf.CIQ($B12,"IQ_TOTAL_CL","IQ_" &amp; LEFT(LG$3,2) &amp; "-1",LG$3, $J$3, , $G$3, $H$3))),"")</f>
        <v/>
      </c>
      <c r="LH12" s="87" t="str">
        <f>IFERROR(IF(OR($B12="",LH$3=""),"",_xll.ciqfunctions.udf.CIQ($B12,"IQ_CASH_OPER",$I$3, LH$3,$J$3, ,$G$3,$H$3)*2/(_xll.ciqfunctions.udf.CIQ($B12,"IQ_TOTAL_CL",LH$3,$E$3, $J$3, , $G$3, $H$3)+_xll.ciqfunctions.udf.CIQ($B12,"IQ_TOTAL_CL","IQ_" &amp; LEFT(LH$3,2) &amp; "-1",LH$3, $J$3, , $G$3, $H$3))),"")</f>
        <v/>
      </c>
      <c r="LI12" s="87" t="str">
        <f>IFERROR(IF(OR($B12="",LI$3=""),"",_xll.ciqfunctions.udf.CIQ($B12,"IQ_CASH_OPER",$I$3, LI$3,$J$3, ,$G$3,$H$3)*2/(_xll.ciqfunctions.udf.CIQ($B12,"IQ_TOTAL_CL",LI$3,$E$3, $J$3, , $G$3, $H$3)+_xll.ciqfunctions.udf.CIQ($B12,"IQ_TOTAL_CL","IQ_" &amp; LEFT(LI$3,2) &amp; "-1",LI$3, $J$3, , $G$3, $H$3))),"")</f>
        <v/>
      </c>
      <c r="LJ12" s="87" t="str">
        <f>IFERROR(IF(OR($B12="",LJ$3=""),"",_xll.ciqfunctions.udf.CIQ($B12,"IQ_CASH_OPER",$I$3, LJ$3,$J$3, ,$G$3,$H$3)*2/(_xll.ciqfunctions.udf.CIQ($B12,"IQ_TOTAL_CL",LJ$3,$E$3, $J$3, , $G$3, $H$3)+_xll.ciqfunctions.udf.CIQ($B12,"IQ_TOTAL_CL","IQ_" &amp; LEFT(LJ$3,2) &amp; "-1",LJ$3, $J$3, , $G$3, $H$3))),"")</f>
        <v/>
      </c>
      <c r="LK12" s="87" t="str">
        <f>IFERROR(IF(OR($B12="",LK$3=""),"",_xll.ciqfunctions.udf.CIQ($B12,"IQ_CASH_OPER",$I$3, LK$3,$J$3, ,$G$3,$H$3)*2/(_xll.ciqfunctions.udf.CIQ($B12,"IQ_TOTAL_CL",LK$3,$E$3, $J$3, , $G$3, $H$3)+_xll.ciqfunctions.udf.CIQ($B12,"IQ_TOTAL_CL","IQ_" &amp; LEFT(LK$3,2) &amp; "-1",LK$3, $J$3, , $G$3, $H$3))),"")</f>
        <v/>
      </c>
      <c r="LL12" s="87" t="str">
        <f>IFERROR(IF(OR($B12="",LL$3=""),"",_xll.ciqfunctions.udf.CIQ($B12,"IQ_CASH_OPER",$I$3, LL$3,$J$3, ,$G$3,$H$3)*2/(_xll.ciqfunctions.udf.CIQ($B12,"IQ_TOTAL_CL",LL$3,$E$3, $J$3, , $G$3, $H$3)+_xll.ciqfunctions.udf.CIQ($B12,"IQ_TOTAL_CL","IQ_" &amp; LEFT(LL$3,2) &amp; "-1",LL$3, $J$3, , $G$3, $H$3))),"")</f>
        <v/>
      </c>
      <c r="LM12" s="87" t="str">
        <f>IFERROR(IF(OR($B12="",LM$3=""),"",_xll.ciqfunctions.udf.CIQ($B12,"IQ_CASH_OPER",$I$3, LM$3,$J$3, ,$G$3,$H$3)*2/(_xll.ciqfunctions.udf.CIQ($B12,"IQ_TOTAL_CL",LM$3,$E$3, $J$3, , $G$3, $H$3)+_xll.ciqfunctions.udf.CIQ($B12,"IQ_TOTAL_CL","IQ_" &amp; LEFT(LM$3,2) &amp; "-1",LM$3, $J$3, , $G$3, $H$3))),"")</f>
        <v/>
      </c>
      <c r="LN12" s="87" t="str">
        <f>IFERROR(IF(OR($B12="",LN$3=""),"",_xll.ciqfunctions.udf.CIQ($B12,"IQ_CASH_OPER",$I$3, LN$3,$J$3, ,$G$3,$H$3)*2/(_xll.ciqfunctions.udf.CIQ($B12,"IQ_TOTAL_CL",LN$3,$E$3, $J$3, , $G$3, $H$3)+_xll.ciqfunctions.udf.CIQ($B12,"IQ_TOTAL_CL","IQ_" &amp; LEFT(LN$3,2) &amp; "-1",LN$3, $J$3, , $G$3, $H$3))),"")</f>
        <v/>
      </c>
      <c r="LO12" s="87" t="str">
        <f>IFERROR(IF(OR($B12="",LO$3=""),"",_xll.ciqfunctions.udf.CIQ($B12,"IQ_CASH_OPER",$I$3, LO$3,$J$3, ,$G$3,$H$3)*2/(_xll.ciqfunctions.udf.CIQ($B12,"IQ_TOTAL_CL",LO$3,$E$3, $J$3, , $G$3, $H$3)+_xll.ciqfunctions.udf.CIQ($B12,"IQ_TOTAL_CL","IQ_" &amp; LEFT(LO$3,2) &amp; "-1",LO$3, $J$3, , $G$3, $H$3))),"")</f>
        <v/>
      </c>
      <c r="LP12" s="87" t="str">
        <f>IFERROR(IF(OR($B12="",LP$3=""),"",_xll.ciqfunctions.udf.CIQ($B12,"IQ_CASH_OPER",$I$3, LP$3,$J$3, ,$G$3,$H$3)*2/(_xll.ciqfunctions.udf.CIQ($B12,"IQ_TOTAL_CL",LP$3,$E$3, $J$3, , $G$3, $H$3)+_xll.ciqfunctions.udf.CIQ($B12,"IQ_TOTAL_CL","IQ_" &amp; LEFT(LP$3,2) &amp; "-1",LP$3, $J$3, , $G$3, $H$3))),"")</f>
        <v/>
      </c>
      <c r="LQ12" s="87" t="str">
        <f>IFERROR(IF(OR($B12="",LQ$3=""),"",_xll.ciqfunctions.udf.CIQ($B12,"IQ_CASH_OPER",$I$3, LQ$3,$J$3, ,$G$3,$H$3)*2/(_xll.ciqfunctions.udf.CIQ($B12,"IQ_TOTAL_CL",LQ$3,$E$3, $J$3, , $G$3, $H$3)+_xll.ciqfunctions.udf.CIQ($B12,"IQ_TOTAL_CL","IQ_" &amp; LEFT(LQ$3,2) &amp; "-1",LQ$3, $J$3, , $G$3, $H$3))),"")</f>
        <v/>
      </c>
      <c r="LR12" s="88" t="str">
        <f>IFERROR(IF(OR($B12="",LR$3=""),"",_xll.ciqfunctions.udf.CIQ($B12,"IQ_CASH_OPER",$I$3, LR$3,$J$3, ,$G$3,$H$3)*2/(_xll.ciqfunctions.udf.CIQ($B12,"IQ_TOTAL_CL",LR$3,$E$3, $J$3, , $G$3, $H$3)+_xll.ciqfunctions.udf.CIQ($B12,"IQ_TOTAL_CL","IQ_" &amp; LEFT(LR$3,2) &amp; "-1",LR$3, $J$3, , $G$3, $H$3))),"")</f>
        <v/>
      </c>
      <c r="LS12" s="86" t="str">
        <f>IFERROR(IF(OR($B12="",LS$3=""),"",IF(_xll.ciqfunctions.udf.CIQ($B12,"IQ_INC_TAX",LS$3,$E$3, $J$3, , $G$3, $H$3)/ABS(_xll.ciqfunctions.udf.CIQ($B12,"IQ_EBT",IQ_LTM,$E$3, $J$3, , $G$3, $H$3))&lt;0,0,_xll.ciqfunctions.udf.CIQ($B12,"IQ_INC_TAX",LS$3,$E$3, $J$3, , $G$3, $H$3)/ABS(_xll.ciqfunctions.udf.CIQ($B12,"IQ_EBT",LS$3,$E$3, $J$3, , $G$3, $H$3)))),"")</f>
        <v/>
      </c>
      <c r="LT12" s="87" t="str">
        <f>IFERROR(IF(OR($B12="",LT$3=""),"",IF(_xll.ciqfunctions.udf.CIQ($B12,"IQ_INC_TAX",LT$3,$E$3, $J$3, , $G$3, $H$3)/ABS(_xll.ciqfunctions.udf.CIQ($B12,"IQ_EBT",IQ_LTM,$E$3, $J$3, , $G$3, $H$3))&lt;0,0,_xll.ciqfunctions.udf.CIQ($B12,"IQ_INC_TAX",LT$3,$E$3, $J$3, , $G$3, $H$3)/ABS(_xll.ciqfunctions.udf.CIQ($B12,"IQ_EBT",LT$3,$E$3, $J$3, , $G$3, $H$3)))),"")</f>
        <v/>
      </c>
      <c r="LU12" s="87" t="str">
        <f>IFERROR(IF(OR($B12="",LU$3=""),"",IF(_xll.ciqfunctions.udf.CIQ($B12,"IQ_INC_TAX",LU$3,$E$3, $J$3, , $G$3, $H$3)/ABS(_xll.ciqfunctions.udf.CIQ($B12,"IQ_EBT",IQ_LTM,$E$3, $J$3, , $G$3, $H$3))&lt;0,0,_xll.ciqfunctions.udf.CIQ($B12,"IQ_INC_TAX",LU$3,$E$3, $J$3, , $G$3, $H$3)/ABS(_xll.ciqfunctions.udf.CIQ($B12,"IQ_EBT",LU$3,$E$3, $J$3, , $G$3, $H$3)))),"")</f>
        <v/>
      </c>
      <c r="LV12" s="87" t="str">
        <f>IFERROR(IF(OR($B12="",LV$3=""),"",IF(_xll.ciqfunctions.udf.CIQ($B12,"IQ_INC_TAX",LV$3,$E$3, $J$3, , $G$3, $H$3)/ABS(_xll.ciqfunctions.udf.CIQ($B12,"IQ_EBT",IQ_LTM,$E$3, $J$3, , $G$3, $H$3))&lt;0,0,_xll.ciqfunctions.udf.CIQ($B12,"IQ_INC_TAX",LV$3,$E$3, $J$3, , $G$3, $H$3)/ABS(_xll.ciqfunctions.udf.CIQ($B12,"IQ_EBT",LV$3,$E$3, $J$3, , $G$3, $H$3)))),"")</f>
        <v/>
      </c>
      <c r="LW12" s="87" t="str">
        <f>IFERROR(IF(OR($B12="",LW$3=""),"",IF(_xll.ciqfunctions.udf.CIQ($B12,"IQ_INC_TAX",LW$3,$E$3, $J$3, , $G$3, $H$3)/ABS(_xll.ciqfunctions.udf.CIQ($B12,"IQ_EBT",IQ_LTM,$E$3, $J$3, , $G$3, $H$3))&lt;0,0,_xll.ciqfunctions.udf.CIQ($B12,"IQ_INC_TAX",LW$3,$E$3, $J$3, , $G$3, $H$3)/ABS(_xll.ciqfunctions.udf.CIQ($B12,"IQ_EBT",LW$3,$E$3, $J$3, , $G$3, $H$3)))),"")</f>
        <v/>
      </c>
      <c r="LX12" s="87" t="str">
        <f>IFERROR(IF(OR($B12="",LX$3=""),"",IF(_xll.ciqfunctions.udf.CIQ($B12,"IQ_INC_TAX",LX$3,$E$3, $J$3, , $G$3, $H$3)/ABS(_xll.ciqfunctions.udf.CIQ($B12,"IQ_EBT",IQ_LTM,$E$3, $J$3, , $G$3, $H$3))&lt;0,0,_xll.ciqfunctions.udf.CIQ($B12,"IQ_INC_TAX",LX$3,$E$3, $J$3, , $G$3, $H$3)/ABS(_xll.ciqfunctions.udf.CIQ($B12,"IQ_EBT",LX$3,$E$3, $J$3, , $G$3, $H$3)))),"")</f>
        <v/>
      </c>
      <c r="LY12" s="87" t="str">
        <f>IFERROR(IF(OR($B12="",LY$3=""),"",IF(_xll.ciqfunctions.udf.CIQ($B12,"IQ_INC_TAX",LY$3,$E$3, $J$3, , $G$3, $H$3)/ABS(_xll.ciqfunctions.udf.CIQ($B12,"IQ_EBT",IQ_LTM,$E$3, $J$3, , $G$3, $H$3))&lt;0,0,_xll.ciqfunctions.udf.CIQ($B12,"IQ_INC_TAX",LY$3,$E$3, $J$3, , $G$3, $H$3)/ABS(_xll.ciqfunctions.udf.CIQ($B12,"IQ_EBT",LY$3,$E$3, $J$3, , $G$3, $H$3)))),"")</f>
        <v/>
      </c>
      <c r="LZ12" s="87" t="str">
        <f>IFERROR(IF(OR($B12="",LZ$3=""),"",IF(_xll.ciqfunctions.udf.CIQ($B12,"IQ_INC_TAX",LZ$3,$E$3, $J$3, , $G$3, $H$3)/ABS(_xll.ciqfunctions.udf.CIQ($B12,"IQ_EBT",IQ_LTM,$E$3, $J$3, , $G$3, $H$3))&lt;0,0,_xll.ciqfunctions.udf.CIQ($B12,"IQ_INC_TAX",LZ$3,$E$3, $J$3, , $G$3, $H$3)/ABS(_xll.ciqfunctions.udf.CIQ($B12,"IQ_EBT",LZ$3,$E$3, $J$3, , $G$3, $H$3)))),"")</f>
        <v/>
      </c>
      <c r="MA12" s="87" t="str">
        <f>IFERROR(IF(OR($B12="",MA$3=""),"",IF(_xll.ciqfunctions.udf.CIQ($B12,"IQ_INC_TAX",MA$3,$E$3, $J$3, , $G$3, $H$3)/ABS(_xll.ciqfunctions.udf.CIQ($B12,"IQ_EBT",IQ_LTM,$E$3, $J$3, , $G$3, $H$3))&lt;0,0,_xll.ciqfunctions.udf.CIQ($B12,"IQ_INC_TAX",MA$3,$E$3, $J$3, , $G$3, $H$3)/ABS(_xll.ciqfunctions.udf.CIQ($B12,"IQ_EBT",MA$3,$E$3, $J$3, , $G$3, $H$3)))),"")</f>
        <v/>
      </c>
      <c r="MB12" s="87" t="str">
        <f>IFERROR(IF(OR($B12="",MB$3=""),"",IF(_xll.ciqfunctions.udf.CIQ($B12,"IQ_INC_TAX",MB$3,$E$3, $J$3, , $G$3, $H$3)/ABS(_xll.ciqfunctions.udf.CIQ($B12,"IQ_EBT",IQ_LTM,$E$3, $J$3, , $G$3, $H$3))&lt;0,0,_xll.ciqfunctions.udf.CIQ($B12,"IQ_INC_TAX",MB$3,$E$3, $J$3, , $G$3, $H$3)/ABS(_xll.ciqfunctions.udf.CIQ($B12,"IQ_EBT",MB$3,$E$3, $J$3, , $G$3, $H$3)))),"")</f>
        <v/>
      </c>
      <c r="MC12" s="87" t="str">
        <f>IFERROR(IF(OR($B12="",MC$3=""),"",IF(_xll.ciqfunctions.udf.CIQ($B12,"IQ_INC_TAX",MC$3,$E$3, $J$3, , $G$3, $H$3)/ABS(_xll.ciqfunctions.udf.CIQ($B12,"IQ_EBT",IQ_LTM,$E$3, $J$3, , $G$3, $H$3))&lt;0,0,_xll.ciqfunctions.udf.CIQ($B12,"IQ_INC_TAX",MC$3,$E$3, $J$3, , $G$3, $H$3)/ABS(_xll.ciqfunctions.udf.CIQ($B12,"IQ_EBT",MC$3,$E$3, $J$3, , $G$3, $H$3)))),"")</f>
        <v/>
      </c>
      <c r="MD12" s="317" t="str">
        <f>IFERROR(IF(OR($B12="",MD$3=""),"",IF(_xll.ciqfunctions.udf.CIQ($B12,"IQ_INC_TAX",MD$3,$E$3, $J$3, , $G$3, $H$3)/ABS(_xll.ciqfunctions.udf.CIQ($B12,"IQ_EBT",IQ_LTM,$E$3, $J$3, , $G$3, $H$3))&lt;0,0,_xll.ciqfunctions.udf.CIQ($B12,"IQ_INC_TAX",MD$3,$E$3, $J$3, , $G$3, $H$3)/ABS(_xll.ciqfunctions.udf.CIQ($B12,"IQ_EBT",MD$3,$E$3, $J$3, , $G$3, $H$3)))),"")</f>
        <v/>
      </c>
      <c r="ME12" s="314" t="str">
        <f>IFERROR(IF(OR($B12="",ME$3=""),"",IF(_xll.ciqfunctions.udf.CIQ($B12,"IQ_INC_TAX",ME$3,$E$3, $J$3, , $G$3, $H$3)/ABS(_xll.ciqfunctions.udf.CIQ($B12,"IQ_EBT",IQ_LTM,$E$3, $J$3, , $G$3, $H$3))&lt;0,0,_xll.ciqfunctions.udf.CIQ($B12,"IQ_INC_TAX",ME$3,$E$3, $J$3, , $G$3, $H$3)/ABS(_xll.ciqfunctions.udf.CIQ($B12,"IQ_EBT",ME$3,$E$3, $J$3, , $G$3, $H$3)))),"")</f>
        <v/>
      </c>
      <c r="MF12" s="87" t="str">
        <f>IFERROR(IF(OR($B12="",MF$3=""),"",IF(_xll.ciqfunctions.udf.CIQ($B12,"IQ_INC_TAX",MF$3,$E$3, $J$3, , $G$3, $H$3)/ABS(_xll.ciqfunctions.udf.CIQ($B12,"IQ_EBT",IQ_LTM,$E$3, $J$3, , $G$3, $H$3))&lt;0,0,_xll.ciqfunctions.udf.CIQ($B12,"IQ_INC_TAX",MF$3,$E$3, $J$3, , $G$3, $H$3)/ABS(_xll.ciqfunctions.udf.CIQ($B12,"IQ_EBT",MF$3,$E$3, $J$3, , $G$3, $H$3)))),"")</f>
        <v/>
      </c>
      <c r="MG12" s="87" t="str">
        <f>IFERROR(IF(OR($B12="",MG$3=""),"",IF(_xll.ciqfunctions.udf.CIQ($B12,"IQ_INC_TAX",MG$3,$E$3, $J$3, , $G$3, $H$3)/ABS(_xll.ciqfunctions.udf.CIQ($B12,"IQ_EBT",IQ_LTM,$E$3, $J$3, , $G$3, $H$3))&lt;0,0,_xll.ciqfunctions.udf.CIQ($B12,"IQ_INC_TAX",MG$3,$E$3, $J$3, , $G$3, $H$3)/ABS(_xll.ciqfunctions.udf.CIQ($B12,"IQ_EBT",MG$3,$E$3, $J$3, , $G$3, $H$3)))),"")</f>
        <v/>
      </c>
      <c r="MH12" s="87" t="str">
        <f>IFERROR(IF(OR($B12="",MH$3=""),"",IF(_xll.ciqfunctions.udf.CIQ($B12,"IQ_INC_TAX",MH$3,$E$3, $J$3, , $G$3, $H$3)/ABS(_xll.ciqfunctions.udf.CIQ($B12,"IQ_EBT",IQ_LTM,$E$3, $J$3, , $G$3, $H$3))&lt;0,0,_xll.ciqfunctions.udf.CIQ($B12,"IQ_INC_TAX",MH$3,$E$3, $J$3, , $G$3, $H$3)/ABS(_xll.ciqfunctions.udf.CIQ($B12,"IQ_EBT",MH$3,$E$3, $J$3, , $G$3, $H$3)))),"")</f>
        <v/>
      </c>
      <c r="MI12" s="87" t="str">
        <f>IFERROR(IF(OR($B12="",MI$3=""),"",IF(_xll.ciqfunctions.udf.CIQ($B12,"IQ_INC_TAX",MI$3,$E$3, $J$3, , $G$3, $H$3)/ABS(_xll.ciqfunctions.udf.CIQ($B12,"IQ_EBT",IQ_LTM,$E$3, $J$3, , $G$3, $H$3))&lt;0,0,_xll.ciqfunctions.udf.CIQ($B12,"IQ_INC_TAX",MI$3,$E$3, $J$3, , $G$3, $H$3)/ABS(_xll.ciqfunctions.udf.CIQ($B12,"IQ_EBT",MI$3,$E$3, $J$3, , $G$3, $H$3)))),"")</f>
        <v/>
      </c>
      <c r="MJ12" s="87" t="str">
        <f>IFERROR(IF(OR($B12="",MJ$3=""),"",IF(_xll.ciqfunctions.udf.CIQ($B12,"IQ_INC_TAX",MJ$3,$E$3, $J$3, , $G$3, $H$3)/ABS(_xll.ciqfunctions.udf.CIQ($B12,"IQ_EBT",IQ_LTM,$E$3, $J$3, , $G$3, $H$3))&lt;0,0,_xll.ciqfunctions.udf.CIQ($B12,"IQ_INC_TAX",MJ$3,$E$3, $J$3, , $G$3, $H$3)/ABS(_xll.ciqfunctions.udf.CIQ($B12,"IQ_EBT",MJ$3,$E$3, $J$3, , $G$3, $H$3)))),"")</f>
        <v/>
      </c>
      <c r="MK12" s="87" t="str">
        <f>IFERROR(IF(OR($B12="",MK$3=""),"",IF(_xll.ciqfunctions.udf.CIQ($B12,"IQ_INC_TAX",MK$3,$E$3, $J$3, , $G$3, $H$3)/ABS(_xll.ciqfunctions.udf.CIQ($B12,"IQ_EBT",IQ_LTM,$E$3, $J$3, , $G$3, $H$3))&lt;0,0,_xll.ciqfunctions.udf.CIQ($B12,"IQ_INC_TAX",MK$3,$E$3, $J$3, , $G$3, $H$3)/ABS(_xll.ciqfunctions.udf.CIQ($B12,"IQ_EBT",MK$3,$E$3, $J$3, , $G$3, $H$3)))),"")</f>
        <v/>
      </c>
      <c r="ML12" s="88" t="str">
        <f>IFERROR(IF(OR($B12="",ML$3=""),"",IF(_xll.ciqfunctions.udf.CIQ($B12,"IQ_INC_TAX",ML$3,$E$3, $J$3, , $G$3, $H$3)/ABS(_xll.ciqfunctions.udf.CIQ($B12,"IQ_EBT",IQ_LTM,$E$3, $J$3, , $G$3, $H$3))&lt;0,0,_xll.ciqfunctions.udf.CIQ($B12,"IQ_INC_TAX",ML$3,$E$3, $J$3, , $G$3, $H$3)/ABS(_xll.ciqfunctions.udf.CIQ($B12,"IQ_EBT",ML$3,$E$3, $J$3, , $G$3, $H$3)))),"")</f>
        <v/>
      </c>
      <c r="MM12" s="72" t="str">
        <f>IFERROR(IF(OR($B12="",MM$3=""),"",(_xll.ciqfunctions.udf.CIQ($B12,"IQ_TIER_ONE_CAPITAL",MM$3,$E$3, $J$3, , $G$3, $H$3)+_xll.ciqfunctions.udf.CIQ($B12,"IQ_TIER_TWO_CAPITAL",MM$3,$E$3, $J$3, , $G$3, $H$3)-_xll.ciqfunctions.udf.CIQ($B12,"IQ_GW",MM$3,$E$3, $J$3, , $G$3, $H$3))/_xll.ciqfunctions.udf.CIQ($B12,"IQ_RISK_ADJ_BANK_ASSETS",MM$3,$E$3, $J$3, , $G$3, $H$3)),"")</f>
        <v/>
      </c>
      <c r="MN12" s="72" t="str">
        <f>IFERROR(IF(OR($B12="",MN$3=""),"",(_xll.ciqfunctions.udf.CIQ($B12,"IQ_TIER_ONE_CAPITAL",MN$3,$E$3, $J$3, , $G$3, $H$3)+_xll.ciqfunctions.udf.CIQ($B12,"IQ_TIER_TWO_CAPITAL",MN$3,$E$3, $J$3, , $G$3, $H$3)-_xll.ciqfunctions.udf.CIQ($B12,"IQ_GW",MN$3,$E$3, $J$3, , $G$3, $H$3))/_xll.ciqfunctions.udf.CIQ($B12,"IQ_RISK_ADJ_BANK_ASSETS",MN$3,$E$3, $J$3, , $G$3, $H$3)),"")</f>
        <v/>
      </c>
      <c r="MO12" s="72" t="str">
        <f>IFERROR(IF(OR($B12="",MO$3=""),"",(_xll.ciqfunctions.udf.CIQ($B12,"IQ_TIER_ONE_CAPITAL",MO$3,$E$3, $J$3, , $G$3, $H$3)+_xll.ciqfunctions.udf.CIQ($B12,"IQ_TIER_TWO_CAPITAL",MO$3,$E$3, $J$3, , $G$3, $H$3)-_xll.ciqfunctions.udf.CIQ($B12,"IQ_GW",MO$3,$E$3, $J$3, , $G$3, $H$3))/_xll.ciqfunctions.udf.CIQ($B12,"IQ_RISK_ADJ_BANK_ASSETS",MO$3,$E$3, $J$3, , $G$3, $H$3)),"")</f>
        <v/>
      </c>
      <c r="MP12" s="72" t="str">
        <f>IFERROR(IF(OR($B12="",MP$3=""),"",(_xll.ciqfunctions.udf.CIQ($B12,"IQ_TIER_ONE_CAPITAL",MP$3,$E$3, $J$3, , $G$3, $H$3)+_xll.ciqfunctions.udf.CIQ($B12,"IQ_TIER_TWO_CAPITAL",MP$3,$E$3, $J$3, , $G$3, $H$3)-_xll.ciqfunctions.udf.CIQ($B12,"IQ_GW",MP$3,$E$3, $J$3, , $G$3, $H$3))/_xll.ciqfunctions.udf.CIQ($B12,"IQ_RISK_ADJ_BANK_ASSETS",MP$3,$E$3, $J$3, , $G$3, $H$3)),"")</f>
        <v/>
      </c>
      <c r="MQ12" s="72" t="str">
        <f>IFERROR(IF(OR($B12="",MQ$3=""),"",(_xll.ciqfunctions.udf.CIQ($B12,"IQ_TIER_ONE_CAPITAL",MQ$3,$E$3, $J$3, , $G$3, $H$3)+_xll.ciqfunctions.udf.CIQ($B12,"IQ_TIER_TWO_CAPITAL",MQ$3,$E$3, $J$3, , $G$3, $H$3)-_xll.ciqfunctions.udf.CIQ($B12,"IQ_GW",MQ$3,$E$3, $J$3, , $G$3, $H$3))/_xll.ciqfunctions.udf.CIQ($B12,"IQ_RISK_ADJ_BANK_ASSETS",MQ$3,$E$3, $J$3, , $G$3, $H$3)),"")</f>
        <v/>
      </c>
      <c r="MR12" s="72" t="str">
        <f>IFERROR(IF(OR($B12="",MR$3=""),"",(_xll.ciqfunctions.udf.CIQ($B12,"IQ_TIER_ONE_CAPITAL",MR$3,$E$3, $J$3, , $G$3, $H$3)+_xll.ciqfunctions.udf.CIQ($B12,"IQ_TIER_TWO_CAPITAL",MR$3,$E$3, $J$3, , $G$3, $H$3)-_xll.ciqfunctions.udf.CIQ($B12,"IQ_GW",MR$3,$E$3, $J$3, , $G$3, $H$3))/_xll.ciqfunctions.udf.CIQ($B12,"IQ_RISK_ADJ_BANK_ASSETS",MR$3,$E$3, $J$3, , $G$3, $H$3)),"")</f>
        <v/>
      </c>
      <c r="MS12" s="72" t="str">
        <f>IFERROR(IF(OR($B12="",MS$3=""),"",(_xll.ciqfunctions.udf.CIQ($B12,"IQ_TIER_ONE_CAPITAL",MS$3,$E$3, $J$3, , $G$3, $H$3)+_xll.ciqfunctions.udf.CIQ($B12,"IQ_TIER_TWO_CAPITAL",MS$3,$E$3, $J$3, , $G$3, $H$3)-_xll.ciqfunctions.udf.CIQ($B12,"IQ_GW",MS$3,$E$3, $J$3, , $G$3, $H$3))/_xll.ciqfunctions.udf.CIQ($B12,"IQ_RISK_ADJ_BANK_ASSETS",MS$3,$E$3, $J$3, , $G$3, $H$3)),"")</f>
        <v/>
      </c>
      <c r="MT12" s="72" t="str">
        <f>IFERROR(IF(OR($B12="",MT$3=""),"",(_xll.ciqfunctions.udf.CIQ($B12,"IQ_TIER_ONE_CAPITAL",MT$3,$E$3, $J$3, , $G$3, $H$3)+_xll.ciqfunctions.udf.CIQ($B12,"IQ_TIER_TWO_CAPITAL",MT$3,$E$3, $J$3, , $G$3, $H$3)-_xll.ciqfunctions.udf.CIQ($B12,"IQ_GW",MT$3,$E$3, $J$3, , $G$3, $H$3))/_xll.ciqfunctions.udf.CIQ($B12,"IQ_RISK_ADJ_BANK_ASSETS",MT$3,$E$3, $J$3, , $G$3, $H$3)),"")</f>
        <v/>
      </c>
      <c r="MU12" s="72" t="str">
        <f>IFERROR(IF(OR($B12="",MU$3=""),"",(_xll.ciqfunctions.udf.CIQ($B12,"IQ_TIER_ONE_CAPITAL",MU$3,$E$3, $J$3, , $G$3, $H$3)+_xll.ciqfunctions.udf.CIQ($B12,"IQ_TIER_TWO_CAPITAL",MU$3,$E$3, $J$3, , $G$3, $H$3)-_xll.ciqfunctions.udf.CIQ($B12,"IQ_GW",MU$3,$E$3, $J$3, , $G$3, $H$3))/_xll.ciqfunctions.udf.CIQ($B12,"IQ_RISK_ADJ_BANK_ASSETS",MU$3,$E$3, $J$3, , $G$3, $H$3)),"")</f>
        <v/>
      </c>
      <c r="MV12" s="72" t="str">
        <f>IFERROR(IF(OR($B12="",MV$3=""),"",(_xll.ciqfunctions.udf.CIQ($B12,"IQ_TIER_ONE_CAPITAL",MV$3,$E$3, $J$3, , $G$3, $H$3)+_xll.ciqfunctions.udf.CIQ($B12,"IQ_TIER_TWO_CAPITAL",MV$3,$E$3, $J$3, , $G$3, $H$3)-_xll.ciqfunctions.udf.CIQ($B12,"IQ_GW",MV$3,$E$3, $J$3, , $G$3, $H$3))/_xll.ciqfunctions.udf.CIQ($B12,"IQ_RISK_ADJ_BANK_ASSETS",MV$3,$E$3, $J$3, , $G$3, $H$3)),"")</f>
        <v/>
      </c>
      <c r="MW12" s="72" t="str">
        <f>IFERROR(IF(OR($B12="",MW$3=""),"",(_xll.ciqfunctions.udf.CIQ($B12,"IQ_TIER_ONE_CAPITAL",MW$3,$E$3, $J$3, , $G$3, $H$3)+_xll.ciqfunctions.udf.CIQ($B12,"IQ_TIER_TWO_CAPITAL",MW$3,$E$3, $J$3, , $G$3, $H$3)-_xll.ciqfunctions.udf.CIQ($B12,"IQ_GW",MW$3,$E$3, $J$3, , $G$3, $H$3))/_xll.ciqfunctions.udf.CIQ($B12,"IQ_RISK_ADJ_BANK_ASSETS",MW$3,$E$3, $J$3, , $G$3, $H$3)),"")</f>
        <v/>
      </c>
      <c r="MX12" s="72" t="str">
        <f>IFERROR(IF(OR($B12="",MX$3=""),"",(_xll.ciqfunctions.udf.CIQ($B12,"IQ_TIER_ONE_CAPITAL",MX$3,$E$3, $J$3, , $G$3, $H$3)+_xll.ciqfunctions.udf.CIQ($B12,"IQ_TIER_TWO_CAPITAL",MX$3,$E$3, $J$3, , $G$3, $H$3)-_xll.ciqfunctions.udf.CIQ($B12,"IQ_GW",MX$3,$E$3, $J$3, , $G$3, $H$3))/_xll.ciqfunctions.udf.CIQ($B12,"IQ_RISK_ADJ_BANK_ASSETS",MX$3,$E$3, $J$3, , $G$3, $H$3)),"")</f>
        <v/>
      </c>
      <c r="MY12" s="72" t="str">
        <f>IFERROR(IF(OR($B12="",MY$3=""),"",(_xll.ciqfunctions.udf.CIQ($B12,"IQ_TIER_ONE_CAPITAL",MY$3,$E$3, $J$3, , $G$3, $H$3)+_xll.ciqfunctions.udf.CIQ($B12,"IQ_TIER_TWO_CAPITAL",MY$3,$E$3, $J$3, , $G$3, $H$3)-_xll.ciqfunctions.udf.CIQ($B12,"IQ_GW",MY$3,$E$3, $J$3, , $G$3, $H$3))/_xll.ciqfunctions.udf.CIQ($B12,"IQ_RISK_ADJ_BANK_ASSETS",MY$3,$E$3, $J$3, , $G$3, $H$3)),"")</f>
        <v/>
      </c>
      <c r="MZ12" s="72" t="str">
        <f>IFERROR(IF(OR($B12="",MZ$3=""),"",(_xll.ciqfunctions.udf.CIQ($B12,"IQ_TIER_ONE_CAPITAL",MZ$3,$E$3, $J$3, , $G$3, $H$3)+_xll.ciqfunctions.udf.CIQ($B12,"IQ_TIER_TWO_CAPITAL",MZ$3,$E$3, $J$3, , $G$3, $H$3)-_xll.ciqfunctions.udf.CIQ($B12,"IQ_GW",MZ$3,$E$3, $J$3, , $G$3, $H$3))/_xll.ciqfunctions.udf.CIQ($B12,"IQ_RISK_ADJ_BANK_ASSETS",MZ$3,$E$3, $J$3, , $G$3, $H$3)),"")</f>
        <v/>
      </c>
      <c r="NA12" s="72" t="str">
        <f>IFERROR(IF(OR($B12="",NA$3=""),"",(_xll.ciqfunctions.udf.CIQ($B12,"IQ_TIER_ONE_CAPITAL",NA$3,$E$3, $J$3, , $G$3, $H$3)+_xll.ciqfunctions.udf.CIQ($B12,"IQ_TIER_TWO_CAPITAL",NA$3,$E$3, $J$3, , $G$3, $H$3)-_xll.ciqfunctions.udf.CIQ($B12,"IQ_GW",NA$3,$E$3, $J$3, , $G$3, $H$3))/_xll.ciqfunctions.udf.CIQ($B12,"IQ_RISK_ADJ_BANK_ASSETS",NA$3,$E$3, $J$3, , $G$3, $H$3)),"")</f>
        <v/>
      </c>
      <c r="NB12" s="72" t="str">
        <f>IFERROR(IF(OR($B12="",NB$3=""),"",(_xll.ciqfunctions.udf.CIQ($B12,"IQ_TIER_ONE_CAPITAL",NB$3,$E$3, $J$3, , $G$3, $H$3)+_xll.ciqfunctions.udf.CIQ($B12,"IQ_TIER_TWO_CAPITAL",NB$3,$E$3, $J$3, , $G$3, $H$3)-_xll.ciqfunctions.udf.CIQ($B12,"IQ_GW",NB$3,$E$3, $J$3, , $G$3, $H$3))/_xll.ciqfunctions.udf.CIQ($B12,"IQ_RISK_ADJ_BANK_ASSETS",NB$3,$E$3, $J$3, , $G$3, $H$3)),"")</f>
        <v/>
      </c>
      <c r="NC12" s="72" t="str">
        <f>IFERROR(IF(OR($B12="",NC$3=""),"",(_xll.ciqfunctions.udf.CIQ($B12,"IQ_TIER_ONE_CAPITAL",NC$3,$E$3, $J$3, , $G$3, $H$3)+_xll.ciqfunctions.udf.CIQ($B12,"IQ_TIER_TWO_CAPITAL",NC$3,$E$3, $J$3, , $G$3, $H$3)-_xll.ciqfunctions.udf.CIQ($B12,"IQ_GW",NC$3,$E$3, $J$3, , $G$3, $H$3))/_xll.ciqfunctions.udf.CIQ($B12,"IQ_RISK_ADJ_BANK_ASSETS",NC$3,$E$3, $J$3, , $G$3, $H$3)),"")</f>
        <v/>
      </c>
      <c r="ND12" s="72" t="str">
        <f>IFERROR(IF(OR($B12="",ND$3=""),"",(_xll.ciqfunctions.udf.CIQ($B12,"IQ_TIER_ONE_CAPITAL",ND$3,$E$3, $J$3, , $G$3, $H$3)+_xll.ciqfunctions.udf.CIQ($B12,"IQ_TIER_TWO_CAPITAL",ND$3,$E$3, $J$3, , $G$3, $H$3)-_xll.ciqfunctions.udf.CIQ($B12,"IQ_GW",ND$3,$E$3, $J$3, , $G$3, $H$3))/_xll.ciqfunctions.udf.CIQ($B12,"IQ_RISK_ADJ_BANK_ASSETS",ND$3,$E$3, $J$3, , $G$3, $H$3)),"")</f>
        <v/>
      </c>
      <c r="NE12" s="72" t="str">
        <f>IFERROR(IF(OR($B12="",NE$3=""),"",(_xll.ciqfunctions.udf.CIQ($B12,"IQ_TIER_ONE_CAPITAL",NE$3,$E$3, $J$3, , $G$3, $H$3)+_xll.ciqfunctions.udf.CIQ($B12,"IQ_TIER_TWO_CAPITAL",NE$3,$E$3, $J$3, , $G$3, $H$3)-_xll.ciqfunctions.udf.CIQ($B12,"IQ_GW",NE$3,$E$3, $J$3, , $G$3, $H$3))/_xll.ciqfunctions.udf.CIQ($B12,"IQ_RISK_ADJ_BANK_ASSETS",NE$3,$E$3, $J$3, , $G$3, $H$3)),"")</f>
        <v/>
      </c>
      <c r="NF12" s="72" t="str">
        <f>IFERROR(IF(OR($B12="",NF$3=""),"",(_xll.ciqfunctions.udf.CIQ($B12,"IQ_TIER_ONE_CAPITAL",NF$3,$E$3, $J$3, , $G$3, $H$3)+_xll.ciqfunctions.udf.CIQ($B12,"IQ_TIER_TWO_CAPITAL",NF$3,$E$3, $J$3, , $G$3, $H$3)-_xll.ciqfunctions.udf.CIQ($B12,"IQ_GW",NF$3,$E$3, $J$3, , $G$3, $H$3))/_xll.ciqfunctions.udf.CIQ($B12,"IQ_RISK_ADJ_BANK_ASSETS",NF$3,$E$3, $J$3, , $G$3, $H$3)),"")</f>
        <v/>
      </c>
      <c r="NG12" s="72" t="str">
        <f>IFERROR(IF(OR($B12="",NG$3=""),"",-_xll.ciqfunctions.udf.CIQ($B12,"IQ_ALLOW_LL",NG$3,$E$3, $J$3, , $G$3, $H$3)/_xll.ciqfunctions.udf.CIQ($B12,"IQ_TOTAL_LOANS",NG$3,$E$3, $J$3, , $G$3, $H$3)),"")</f>
        <v/>
      </c>
      <c r="NH12" s="72" t="str">
        <f>IFERROR(IF(OR($B12="",NH$3=""),"",-_xll.ciqfunctions.udf.CIQ($B12,"IQ_ALLOW_LL",NH$3,$E$3, $J$3, , $G$3, $H$3)/_xll.ciqfunctions.udf.CIQ($B12,"IQ_TOTAL_LOANS",NH$3,$E$3, $J$3, , $G$3, $H$3)),"")</f>
        <v/>
      </c>
      <c r="NI12" s="72" t="str">
        <f>IFERROR(IF(OR($B12="",NI$3=""),"",-_xll.ciqfunctions.udf.CIQ($B12,"IQ_ALLOW_LL",NI$3,$E$3, $J$3, , $G$3, $H$3)/_xll.ciqfunctions.udf.CIQ($B12,"IQ_TOTAL_LOANS",NI$3,$E$3, $J$3, , $G$3, $H$3)),"")</f>
        <v/>
      </c>
      <c r="NJ12" s="72" t="str">
        <f>IFERROR(IF(OR($B12="",NJ$3=""),"",-_xll.ciqfunctions.udf.CIQ($B12,"IQ_ALLOW_LL",NJ$3,$E$3, $J$3, , $G$3, $H$3)/_xll.ciqfunctions.udf.CIQ($B12,"IQ_TOTAL_LOANS",NJ$3,$E$3, $J$3, , $G$3, $H$3)),"")</f>
        <v/>
      </c>
      <c r="NK12" s="72" t="str">
        <f>IFERROR(IF(OR($B12="",NK$3=""),"",-_xll.ciqfunctions.udf.CIQ($B12,"IQ_ALLOW_LL",NK$3,$E$3, $J$3, , $G$3, $H$3)/_xll.ciqfunctions.udf.CIQ($B12,"IQ_TOTAL_LOANS",NK$3,$E$3, $J$3, , $G$3, $H$3)),"")</f>
        <v/>
      </c>
      <c r="NL12" s="72" t="str">
        <f>IFERROR(IF(OR($B12="",NL$3=""),"",-_xll.ciqfunctions.udf.CIQ($B12,"IQ_ALLOW_LL",NL$3,$E$3, $J$3, , $G$3, $H$3)/_xll.ciqfunctions.udf.CIQ($B12,"IQ_TOTAL_LOANS",NL$3,$E$3, $J$3, , $G$3, $H$3)),"")</f>
        <v/>
      </c>
      <c r="NM12" s="72" t="str">
        <f>IFERROR(IF(OR($B12="",NM$3=""),"",-_xll.ciqfunctions.udf.CIQ($B12,"IQ_ALLOW_LL",NM$3,$E$3, $J$3, , $G$3, $H$3)/_xll.ciqfunctions.udf.CIQ($B12,"IQ_TOTAL_LOANS",NM$3,$E$3, $J$3, , $G$3, $H$3)),"")</f>
        <v/>
      </c>
      <c r="NN12" s="72" t="str">
        <f>IFERROR(IF(OR($B12="",NN$3=""),"",-_xll.ciqfunctions.udf.CIQ($B12,"IQ_ALLOW_LL",NN$3,$E$3, $J$3, , $G$3, $H$3)/_xll.ciqfunctions.udf.CIQ($B12,"IQ_TOTAL_LOANS",NN$3,$E$3, $J$3, , $G$3, $H$3)),"")</f>
        <v/>
      </c>
      <c r="NO12" s="72" t="str">
        <f>IFERROR(IF(OR($B12="",NO$3=""),"",-_xll.ciqfunctions.udf.CIQ($B12,"IQ_ALLOW_LL",NO$3,$E$3, $J$3, , $G$3, $H$3)/_xll.ciqfunctions.udf.CIQ($B12,"IQ_TOTAL_LOANS",NO$3,$E$3, $J$3, , $G$3, $H$3)),"")</f>
        <v/>
      </c>
      <c r="NP12" s="72" t="str">
        <f>IFERROR(IF(OR($B12="",NP$3=""),"",-_xll.ciqfunctions.udf.CIQ($B12,"IQ_ALLOW_LL",NP$3,$E$3, $J$3, , $G$3, $H$3)/_xll.ciqfunctions.udf.CIQ($B12,"IQ_TOTAL_LOANS",NP$3,$E$3, $J$3, , $G$3, $H$3)),"")</f>
        <v/>
      </c>
      <c r="NQ12" s="72" t="str">
        <f>IFERROR(IF(OR($B12="",NQ$3=""),"",-_xll.ciqfunctions.udf.CIQ($B12,"IQ_ALLOW_LL",NQ$3,$E$3, $J$3, , $G$3, $H$3)/_xll.ciqfunctions.udf.CIQ($B12,"IQ_TOTAL_LOANS",NQ$3,$E$3, $J$3, , $G$3, $H$3)),"")</f>
        <v/>
      </c>
      <c r="NR12" s="72" t="str">
        <f>IFERROR(IF(OR($B12="",NR$3=""),"",-_xll.ciqfunctions.udf.CIQ($B12,"IQ_ALLOW_LL",NR$3,$E$3, $J$3, , $G$3, $H$3)/_xll.ciqfunctions.udf.CIQ($B12,"IQ_TOTAL_LOANS",NR$3,$E$3, $J$3, , $G$3, $H$3)),"")</f>
        <v/>
      </c>
      <c r="NS12" s="72" t="str">
        <f>IFERROR(IF(OR($B12="",NS$3=""),"",-_xll.ciqfunctions.udf.CIQ($B12,"IQ_ALLOW_LL",NS$3,$E$3, $J$3, , $G$3, $H$3)/_xll.ciqfunctions.udf.CIQ($B12,"IQ_TOTAL_LOANS",NS$3,$E$3, $J$3, , $G$3, $H$3)),"")</f>
        <v/>
      </c>
      <c r="NT12" s="72" t="str">
        <f>IFERROR(IF(OR($B12="",NT$3=""),"",-_xll.ciqfunctions.udf.CIQ($B12,"IQ_ALLOW_LL",NT$3,$E$3, $J$3, , $G$3, $H$3)/_xll.ciqfunctions.udf.CIQ($B12,"IQ_TOTAL_LOANS",NT$3,$E$3, $J$3, , $G$3, $H$3)),"")</f>
        <v/>
      </c>
      <c r="NU12" s="72" t="str">
        <f>IFERROR(IF(OR($B12="",NU$3=""),"",-_xll.ciqfunctions.udf.CIQ($B12,"IQ_ALLOW_LL",NU$3,$E$3, $J$3, , $G$3, $H$3)/_xll.ciqfunctions.udf.CIQ($B12,"IQ_TOTAL_LOANS",NU$3,$E$3, $J$3, , $G$3, $H$3)),"")</f>
        <v/>
      </c>
      <c r="NV12" s="72" t="str">
        <f>IFERROR(IF(OR($B12="",NV$3=""),"",-_xll.ciqfunctions.udf.CIQ($B12,"IQ_ALLOW_LL",NV$3,$E$3, $J$3, , $G$3, $H$3)/_xll.ciqfunctions.udf.CIQ($B12,"IQ_TOTAL_LOANS",NV$3,$E$3, $J$3, , $G$3, $H$3)),"")</f>
        <v/>
      </c>
      <c r="NW12" s="72" t="str">
        <f>IFERROR(IF(OR($B12="",NW$3=""),"",-_xll.ciqfunctions.udf.CIQ($B12,"IQ_ALLOW_LL",NW$3,$E$3, $J$3, , $G$3, $H$3)/_xll.ciqfunctions.udf.CIQ($B12,"IQ_TOTAL_LOANS",NW$3,$E$3, $J$3, , $G$3, $H$3)),"")</f>
        <v/>
      </c>
      <c r="NX12" s="72" t="str">
        <f>IFERROR(IF(OR($B12="",NX$3=""),"",-_xll.ciqfunctions.udf.CIQ($B12,"IQ_ALLOW_LL",NX$3,$E$3, $J$3, , $G$3, $H$3)/_xll.ciqfunctions.udf.CIQ($B12,"IQ_TOTAL_LOANS",NX$3,$E$3, $J$3, , $G$3, $H$3)),"")</f>
        <v/>
      </c>
      <c r="NY12" s="72" t="str">
        <f>IFERROR(IF(OR($B12="",NY$3=""),"",-_xll.ciqfunctions.udf.CIQ($B12,"IQ_ALLOW_LL",NY$3,$E$3, $J$3, , $G$3, $H$3)/_xll.ciqfunctions.udf.CIQ($B12,"IQ_TOTAL_LOANS",NY$3,$E$3, $J$3, , $G$3, $H$3)),"")</f>
        <v/>
      </c>
      <c r="NZ12" s="72" t="str">
        <f>IFERROR(IF(OR($B12="",NZ$3=""),"",-_xll.ciqfunctions.udf.CIQ($B12,"IQ_ALLOW_LL",NZ$3,$E$3, $J$3, , $G$3, $H$3)/_xll.ciqfunctions.udf.CIQ($B12,"IQ_TOTAL_LOANS",NZ$3,$E$3, $J$3, , $G$3, $H$3)),"")</f>
        <v/>
      </c>
      <c r="OA12" s="72" t="str">
        <f>IFERROR(IF(OR($B12="",OA$3=""),"",_xll.ciqfunctions.udf.CIQ($B12,"IQ_TOTAL_LOANS",OA$3,$E$3, $J$3, , $G$3, $H$3)/_xll.ciqfunctions.udf.CIQ($B12,"IQ_TOTAL_DEPOSITS",OA$3,$E$3, $J$3, , $G$3, $H$3)),"")</f>
        <v/>
      </c>
      <c r="OB12" s="72" t="str">
        <f>IFERROR(IF(OR($B12="",OB$3=""),"",_xll.ciqfunctions.udf.CIQ($B12,"IQ_TOTAL_LOANS",OB$3,$E$3, $J$3, , $G$3, $H$3)/_xll.ciqfunctions.udf.CIQ($B12,"IQ_TOTAL_DEPOSITS",OB$3,$E$3, $J$3, , $G$3, $H$3)),"")</f>
        <v/>
      </c>
      <c r="OC12" s="72" t="str">
        <f>IFERROR(IF(OR($B12="",OC$3=""),"",_xll.ciqfunctions.udf.CIQ($B12,"IQ_TOTAL_LOANS",OC$3,$E$3, $J$3, , $G$3, $H$3)/_xll.ciqfunctions.udf.CIQ($B12,"IQ_TOTAL_DEPOSITS",OC$3,$E$3, $J$3, , $G$3, $H$3)),"")</f>
        <v/>
      </c>
      <c r="OD12" s="72" t="str">
        <f>IFERROR(IF(OR($B12="",OD$3=""),"",_xll.ciqfunctions.udf.CIQ($B12,"IQ_TOTAL_LOANS",OD$3,$E$3, $J$3, , $G$3, $H$3)/_xll.ciqfunctions.udf.CIQ($B12,"IQ_TOTAL_DEPOSITS",OD$3,$E$3, $J$3, , $G$3, $H$3)),"")</f>
        <v/>
      </c>
      <c r="OE12" s="72" t="str">
        <f>IFERROR(IF(OR($B12="",OE$3=""),"",_xll.ciqfunctions.udf.CIQ($B12,"IQ_TOTAL_LOANS",OE$3,$E$3, $J$3, , $G$3, $H$3)/_xll.ciqfunctions.udf.CIQ($B12,"IQ_TOTAL_DEPOSITS",OE$3,$E$3, $J$3, , $G$3, $H$3)),"")</f>
        <v/>
      </c>
      <c r="OF12" s="72" t="str">
        <f>IFERROR(IF(OR($B12="",OF$3=""),"",_xll.ciqfunctions.udf.CIQ($B12,"IQ_TOTAL_LOANS",OF$3,$E$3, $J$3, , $G$3, $H$3)/_xll.ciqfunctions.udf.CIQ($B12,"IQ_TOTAL_DEPOSITS",OF$3,$E$3, $J$3, , $G$3, $H$3)),"")</f>
        <v/>
      </c>
      <c r="OG12" s="72" t="str">
        <f>IFERROR(IF(OR($B12="",OG$3=""),"",_xll.ciqfunctions.udf.CIQ($B12,"IQ_TOTAL_LOANS",OG$3,$E$3, $J$3, , $G$3, $H$3)/_xll.ciqfunctions.udf.CIQ($B12,"IQ_TOTAL_DEPOSITS",OG$3,$E$3, $J$3, , $G$3, $H$3)),"")</f>
        <v/>
      </c>
      <c r="OH12" s="72" t="str">
        <f>IFERROR(IF(OR($B12="",OH$3=""),"",_xll.ciqfunctions.udf.CIQ($B12,"IQ_TOTAL_LOANS",OH$3,$E$3, $J$3, , $G$3, $H$3)/_xll.ciqfunctions.udf.CIQ($B12,"IQ_TOTAL_DEPOSITS",OH$3,$E$3, $J$3, , $G$3, $H$3)),"")</f>
        <v/>
      </c>
      <c r="OI12" s="72" t="str">
        <f>IFERROR(IF(OR($B12="",OI$3=""),"",_xll.ciqfunctions.udf.CIQ($B12,"IQ_TOTAL_LOANS",OI$3,$E$3, $J$3, , $G$3, $H$3)/_xll.ciqfunctions.udf.CIQ($B12,"IQ_TOTAL_DEPOSITS",OI$3,$E$3, $J$3, , $G$3, $H$3)),"")</f>
        <v/>
      </c>
      <c r="OJ12" s="72" t="str">
        <f>IFERROR(IF(OR($B12="",OJ$3=""),"",_xll.ciqfunctions.udf.CIQ($B12,"IQ_TOTAL_LOANS",OJ$3,$E$3, $J$3, , $G$3, $H$3)/_xll.ciqfunctions.udf.CIQ($B12,"IQ_TOTAL_DEPOSITS",OJ$3,$E$3, $J$3, , $G$3, $H$3)),"")</f>
        <v/>
      </c>
      <c r="OK12" s="72" t="str">
        <f>IFERROR(IF(OR($B12="",OK$3=""),"",_xll.ciqfunctions.udf.CIQ($B12,"IQ_TOTAL_LOANS",OK$3,$E$3, $J$3, , $G$3, $H$3)/_xll.ciqfunctions.udf.CIQ($B12,"IQ_TOTAL_DEPOSITS",OK$3,$E$3, $J$3, , $G$3, $H$3)),"")</f>
        <v/>
      </c>
      <c r="OL12" s="72" t="str">
        <f>IFERROR(IF(OR($B12="",OL$3=""),"",_xll.ciqfunctions.udf.CIQ($B12,"IQ_TOTAL_LOANS",OL$3,$E$3, $J$3, , $G$3, $H$3)/_xll.ciqfunctions.udf.CIQ($B12,"IQ_TOTAL_DEPOSITS",OL$3,$E$3, $J$3, , $G$3, $H$3)),"")</f>
        <v/>
      </c>
      <c r="OM12" s="72" t="str">
        <f>IFERROR(IF(OR($B12="",OM$3=""),"",_xll.ciqfunctions.udf.CIQ($B12,"IQ_TOTAL_LOANS",OM$3,$E$3, $J$3, , $G$3, $H$3)/_xll.ciqfunctions.udf.CIQ($B12,"IQ_TOTAL_DEPOSITS",OM$3,$E$3, $J$3, , $G$3, $H$3)),"")</f>
        <v/>
      </c>
      <c r="ON12" s="72" t="str">
        <f>IFERROR(IF(OR($B12="",ON$3=""),"",_xll.ciqfunctions.udf.CIQ($B12,"IQ_TOTAL_LOANS",ON$3,$E$3, $J$3, , $G$3, $H$3)/_xll.ciqfunctions.udf.CIQ($B12,"IQ_TOTAL_DEPOSITS",ON$3,$E$3, $J$3, , $G$3, $H$3)),"")</f>
        <v/>
      </c>
      <c r="OO12" s="72" t="str">
        <f>IFERROR(IF(OR($B12="",OO$3=""),"",_xll.ciqfunctions.udf.CIQ($B12,"IQ_TOTAL_LOANS",OO$3,$E$3, $J$3, , $G$3, $H$3)/_xll.ciqfunctions.udf.CIQ($B12,"IQ_TOTAL_DEPOSITS",OO$3,$E$3, $J$3, , $G$3, $H$3)),"")</f>
        <v/>
      </c>
      <c r="OP12" s="72" t="str">
        <f>IFERROR(IF(OR($B12="",OP$3=""),"",_xll.ciqfunctions.udf.CIQ($B12,"IQ_TOTAL_LOANS",OP$3,$E$3, $J$3, , $G$3, $H$3)/_xll.ciqfunctions.udf.CIQ($B12,"IQ_TOTAL_DEPOSITS",OP$3,$E$3, $J$3, , $G$3, $H$3)),"")</f>
        <v/>
      </c>
      <c r="OQ12" s="72" t="str">
        <f>IFERROR(IF(OR($B12="",OQ$3=""),"",_xll.ciqfunctions.udf.CIQ($B12,"IQ_TOTAL_LOANS",OQ$3,$E$3, $J$3, , $G$3, $H$3)/_xll.ciqfunctions.udf.CIQ($B12,"IQ_TOTAL_DEPOSITS",OQ$3,$E$3, $J$3, , $G$3, $H$3)),"")</f>
        <v/>
      </c>
      <c r="OR12" s="72" t="str">
        <f>IFERROR(IF(OR($B12="",OR$3=""),"",_xll.ciqfunctions.udf.CIQ($B12,"IQ_TOTAL_LOANS",OR$3,$E$3, $J$3, , $G$3, $H$3)/_xll.ciqfunctions.udf.CIQ($B12,"IQ_TOTAL_DEPOSITS",OR$3,$E$3, $J$3, , $G$3, $H$3)),"")</f>
        <v/>
      </c>
      <c r="OS12" s="72" t="str">
        <f>IFERROR(IF(OR($B12="",OS$3=""),"",_xll.ciqfunctions.udf.CIQ($B12,"IQ_TOTAL_LOANS",OS$3,$E$3, $J$3, , $G$3, $H$3)/_xll.ciqfunctions.udf.CIQ($B12,"IQ_TOTAL_DEPOSITS",OS$3,$E$3, $J$3, , $G$3, $H$3)),"")</f>
        <v/>
      </c>
      <c r="OT12" s="72" t="str">
        <f>IFERROR(IF(OR($B12="",OT$3=""),"",_xll.ciqfunctions.udf.CIQ($B12,"IQ_TOTAL_LOANS",OT$3,$E$3, $J$3, , $G$3, $H$3)/_xll.ciqfunctions.udf.CIQ($B12,"IQ_TOTAL_DEPOSITS",OT$3,$E$3, $J$3, , $G$3, $H$3)),"")</f>
        <v/>
      </c>
      <c r="OU12" s="72" t="str">
        <f>IFERROR(IF(OR($B12="",OU$3=""),"",_xll.ciqfunctions.udf.CIQ($B12,"IQ_NON_PERFORMING_LOANS",OU$3,$E$3, $J$3, , $G$3, $H$3)/_xll.ciqfunctions.udf.CIQ($B12,"IQ_TOTAL_EQUITY",OU$3,$E$3, $J$3, , $G$3, $H$3)),"")</f>
        <v/>
      </c>
      <c r="OV12" s="72" t="str">
        <f>IFERROR(IF(OR($B12="",OV$3=""),"",_xll.ciqfunctions.udf.CIQ($B12,"IQ_NON_PERFORMING_LOANS",OV$3,$E$3, $J$3, , $G$3, $H$3)/_xll.ciqfunctions.udf.CIQ($B12,"IQ_TOTAL_EQUITY",OV$3,$E$3, $J$3, , $G$3, $H$3)),"")</f>
        <v/>
      </c>
      <c r="OW12" s="72" t="str">
        <f>IFERROR(IF(OR($B12="",OW$3=""),"",_xll.ciqfunctions.udf.CIQ($B12,"IQ_NON_PERFORMING_LOANS",OW$3,$E$3, $J$3, , $G$3, $H$3)/_xll.ciqfunctions.udf.CIQ($B12,"IQ_TOTAL_EQUITY",OW$3,$E$3, $J$3, , $G$3, $H$3)),"")</f>
        <v/>
      </c>
      <c r="OX12" s="72" t="str">
        <f>IFERROR(IF(OR($B12="",OX$3=""),"",_xll.ciqfunctions.udf.CIQ($B12,"IQ_NON_PERFORMING_LOANS",OX$3,$E$3, $J$3, , $G$3, $H$3)/_xll.ciqfunctions.udf.CIQ($B12,"IQ_TOTAL_EQUITY",OX$3,$E$3, $J$3, , $G$3, $H$3)),"")</f>
        <v/>
      </c>
      <c r="OY12" s="72" t="str">
        <f>IFERROR(IF(OR($B12="",OY$3=""),"",_xll.ciqfunctions.udf.CIQ($B12,"IQ_NON_PERFORMING_LOANS",OY$3,$E$3, $J$3, , $G$3, $H$3)/_xll.ciqfunctions.udf.CIQ($B12,"IQ_TOTAL_EQUITY",OY$3,$E$3, $J$3, , $G$3, $H$3)),"")</f>
        <v/>
      </c>
      <c r="OZ12" s="72" t="str">
        <f>IFERROR(IF(OR($B12="",OZ$3=""),"",_xll.ciqfunctions.udf.CIQ($B12,"IQ_NON_PERFORMING_LOANS",OZ$3,$E$3, $J$3, , $G$3, $H$3)/_xll.ciqfunctions.udf.CIQ($B12,"IQ_TOTAL_EQUITY",OZ$3,$E$3, $J$3, , $G$3, $H$3)),"")</f>
        <v/>
      </c>
      <c r="PA12" s="72" t="str">
        <f>IFERROR(IF(OR($B12="",PA$3=""),"",_xll.ciqfunctions.udf.CIQ($B12,"IQ_NON_PERFORMING_LOANS",PA$3,$E$3, $J$3, , $G$3, $H$3)/_xll.ciqfunctions.udf.CIQ($B12,"IQ_TOTAL_EQUITY",PA$3,$E$3, $J$3, , $G$3, $H$3)),"")</f>
        <v/>
      </c>
      <c r="PB12" s="72" t="str">
        <f>IFERROR(IF(OR($B12="",PB$3=""),"",_xll.ciqfunctions.udf.CIQ($B12,"IQ_NON_PERFORMING_LOANS",PB$3,$E$3, $J$3, , $G$3, $H$3)/_xll.ciqfunctions.udf.CIQ($B12,"IQ_TOTAL_EQUITY",PB$3,$E$3, $J$3, , $G$3, $H$3)),"")</f>
        <v/>
      </c>
      <c r="PC12" s="72" t="str">
        <f>IFERROR(IF(OR($B12="",PC$3=""),"",_xll.ciqfunctions.udf.CIQ($B12,"IQ_NON_PERFORMING_LOANS",PC$3,$E$3, $J$3, , $G$3, $H$3)/_xll.ciqfunctions.udf.CIQ($B12,"IQ_TOTAL_EQUITY",PC$3,$E$3, $J$3, , $G$3, $H$3)),"")</f>
        <v/>
      </c>
      <c r="PD12" s="72" t="str">
        <f>IFERROR(IF(OR($B12="",PD$3=""),"",_xll.ciqfunctions.udf.CIQ($B12,"IQ_NON_PERFORMING_LOANS",PD$3,$E$3, $J$3, , $G$3, $H$3)/_xll.ciqfunctions.udf.CIQ($B12,"IQ_TOTAL_EQUITY",PD$3,$E$3, $J$3, , $G$3, $H$3)),"")</f>
        <v/>
      </c>
      <c r="PE12" s="72" t="str">
        <f>IFERROR(IF(OR($B12="",PE$3=""),"",_xll.ciqfunctions.udf.CIQ($B12,"IQ_NON_PERFORMING_LOANS",PE$3,$E$3, $J$3, , $G$3, $H$3)/_xll.ciqfunctions.udf.CIQ($B12,"IQ_TOTAL_EQUITY",PE$3,$E$3, $J$3, , $G$3, $H$3)),"")</f>
        <v/>
      </c>
      <c r="PF12" s="72" t="str">
        <f>IFERROR(IF(OR($B12="",PF$3=""),"",_xll.ciqfunctions.udf.CIQ($B12,"IQ_NON_PERFORMING_LOANS",PF$3,$E$3, $J$3, , $G$3, $H$3)/_xll.ciqfunctions.udf.CIQ($B12,"IQ_TOTAL_EQUITY",PF$3,$E$3, $J$3, , $G$3, $H$3)),"")</f>
        <v/>
      </c>
      <c r="PG12" s="72" t="str">
        <f>IFERROR(IF(OR($B12="",PG$3=""),"",_xll.ciqfunctions.udf.CIQ($B12,"IQ_NON_PERFORMING_LOANS",PG$3,$E$3, $J$3, , $G$3, $H$3)/_xll.ciqfunctions.udf.CIQ($B12,"IQ_TOTAL_EQUITY",PG$3,$E$3, $J$3, , $G$3, $H$3)),"")</f>
        <v/>
      </c>
      <c r="PH12" s="72" t="str">
        <f>IFERROR(IF(OR($B12="",PH$3=""),"",_xll.ciqfunctions.udf.CIQ($B12,"IQ_NON_PERFORMING_LOANS",PH$3,$E$3, $J$3, , $G$3, $H$3)/_xll.ciqfunctions.udf.CIQ($B12,"IQ_TOTAL_EQUITY",PH$3,$E$3, $J$3, , $G$3, $H$3)),"")</f>
        <v/>
      </c>
      <c r="PI12" s="72" t="str">
        <f>IFERROR(IF(OR($B12="",PI$3=""),"",_xll.ciqfunctions.udf.CIQ($B12,"IQ_NON_PERFORMING_LOANS",PI$3,$E$3, $J$3, , $G$3, $H$3)/_xll.ciqfunctions.udf.CIQ($B12,"IQ_TOTAL_EQUITY",PI$3,$E$3, $J$3, , $G$3, $H$3)),"")</f>
        <v/>
      </c>
      <c r="PJ12" s="72" t="str">
        <f>IFERROR(IF(OR($B12="",PJ$3=""),"",_xll.ciqfunctions.udf.CIQ($B12,"IQ_NON_PERFORMING_LOANS",PJ$3,$E$3, $J$3, , $G$3, $H$3)/_xll.ciqfunctions.udf.CIQ($B12,"IQ_TOTAL_EQUITY",PJ$3,$E$3, $J$3, , $G$3, $H$3)),"")</f>
        <v/>
      </c>
      <c r="PK12" s="72" t="str">
        <f>IFERROR(IF(OR($B12="",PK$3=""),"",_xll.ciqfunctions.udf.CIQ($B12,"IQ_NON_PERFORMING_LOANS",PK$3,$E$3, $J$3, , $G$3, $H$3)/_xll.ciqfunctions.udf.CIQ($B12,"IQ_TOTAL_EQUITY",PK$3,$E$3, $J$3, , $G$3, $H$3)),"")</f>
        <v/>
      </c>
      <c r="PL12" s="72" t="str">
        <f>IFERROR(IF(OR($B12="",PL$3=""),"",_xll.ciqfunctions.udf.CIQ($B12,"IQ_NON_PERFORMING_LOANS",PL$3,$E$3, $J$3, , $G$3, $H$3)/_xll.ciqfunctions.udf.CIQ($B12,"IQ_TOTAL_EQUITY",PL$3,$E$3, $J$3, , $G$3, $H$3)),"")</f>
        <v/>
      </c>
      <c r="PM12" s="72" t="str">
        <f>IFERROR(IF(OR($B12="",PM$3=""),"",_xll.ciqfunctions.udf.CIQ($B12,"IQ_NON_PERFORMING_LOANS",PM$3,$E$3, $J$3, , $G$3, $H$3)/_xll.ciqfunctions.udf.CIQ($B12,"IQ_TOTAL_EQUITY",PM$3,$E$3, $J$3, , $G$3, $H$3)),"")</f>
        <v/>
      </c>
      <c r="PN12" s="72" t="str">
        <f>IFERROR(IF(OR($B12="",PN$3=""),"",_xll.ciqfunctions.udf.CIQ($B12,"IQ_NON_PERFORMING_LOANS",PN$3,$E$3, $J$3, , $G$3, $H$3)/_xll.ciqfunctions.udf.CIQ($B12,"IQ_TOTAL_EQUITY",PN$3,$E$3, $J$3, , $G$3, $H$3)),"")</f>
        <v/>
      </c>
      <c r="PO12" s="72" t="str">
        <f>IFERROR(IF(OR($B12="",PO$3=""),"",(_xll.ciqfunctions.udf.CIQ($B12,"IQ_LASTSALEPRICE",PO$4)/_xll.ciqfunctions.udf.CIQ($B12,"IQ_LASTSALEPRICE",PO$2)-1)+(_xll.ciqfunctions.udf.CIQ($B12, "IQ_DPS_1YR_ANN_GROWTH", "IQ_LTM", PO$4)/100)),"")</f>
        <v/>
      </c>
      <c r="PP12" s="72" t="str">
        <f>IFERROR(IF(OR($B12="",PP$3=""),"",(_xll.ciqfunctions.udf.CIQ($B12,"IQ_LASTSALEPRICE",PP$4)/_xll.ciqfunctions.udf.CIQ($B12,"IQ_LASTSALEPRICE",PP$2)-1)+(_xll.ciqfunctions.udf.CIQ($B12, "IQ_DPS_1YR_ANN_GROWTH", "IQ_LTM", PP$4)/100)),"")</f>
        <v/>
      </c>
      <c r="PQ12" s="72" t="str">
        <f>IFERROR(IF(OR($B12="",PQ$3=""),"",(_xll.ciqfunctions.udf.CIQ($B12,"IQ_LASTSALEPRICE",PQ$4)/_xll.ciqfunctions.udf.CIQ($B12,"IQ_LASTSALEPRICE",PQ$2)-1)+(_xll.ciqfunctions.udf.CIQ($B12, "IQ_DPS_1YR_ANN_GROWTH", "IQ_LTM", PQ$4)/100)),"")</f>
        <v/>
      </c>
      <c r="PR12" s="72" t="str">
        <f>IFERROR(IF(OR($B12="",PR$3=""),"",(_xll.ciqfunctions.udf.CIQ($B12,"IQ_LASTSALEPRICE",PR$4)/_xll.ciqfunctions.udf.CIQ($B12,"IQ_LASTSALEPRICE",PR$2)-1)+(_xll.ciqfunctions.udf.CIQ($B12, "IQ_DPS_1YR_ANN_GROWTH", "IQ_LTM", PR$4)/100)),"")</f>
        <v/>
      </c>
      <c r="PS12" s="72" t="str">
        <f>IFERROR(IF(OR($B12="",PS$3=""),"",(_xll.ciqfunctions.udf.CIQ($B12,"IQ_LASTSALEPRICE",PS$4)/_xll.ciqfunctions.udf.CIQ($B12,"IQ_LASTSALEPRICE",PS$2)-1)+(_xll.ciqfunctions.udf.CIQ($B12, "IQ_DPS_1YR_ANN_GROWTH", "IQ_LTM", PS$4)/100)),"")</f>
        <v/>
      </c>
      <c r="PT12" s="72" t="str">
        <f>IFERROR(IF(OR($B12="",PT$3=""),"",(_xll.ciqfunctions.udf.CIQ($B12,"IQ_LASTSALEPRICE",PT$4)/_xll.ciqfunctions.udf.CIQ($B12,"IQ_LASTSALEPRICE",PT$2)-1)+(_xll.ciqfunctions.udf.CIQ($B12, "IQ_DPS_1YR_ANN_GROWTH", "IQ_LTM", PT$4)/100)),"")</f>
        <v/>
      </c>
      <c r="PU12" s="72" t="str">
        <f>IFERROR(IF(OR($B12="",PU$3=""),"",(_xll.ciqfunctions.udf.CIQ($B12,"IQ_LASTSALEPRICE",PU$4)/_xll.ciqfunctions.udf.CIQ($B12,"IQ_LASTSALEPRICE",PU$2)-1)+(_xll.ciqfunctions.udf.CIQ($B12, "IQ_DPS_1YR_ANN_GROWTH", "IQ_LTM", PU$4)/100)),"")</f>
        <v/>
      </c>
      <c r="PV12" s="72" t="str">
        <f>IFERROR(IF(OR($B12="",PV$3=""),"",(_xll.ciqfunctions.udf.CIQ($B12,"IQ_LASTSALEPRICE",PV$4)/_xll.ciqfunctions.udf.CIQ($B12,"IQ_LASTSALEPRICE",PV$2)-1)+(_xll.ciqfunctions.udf.CIQ($B12, "IQ_DPS_1YR_ANN_GROWTH", "IQ_LTM", PV$4)/100)),"")</f>
        <v/>
      </c>
      <c r="PW12" s="72" t="str">
        <f>IFERROR(IF(OR($B12="",PW$3=""),"",(_xll.ciqfunctions.udf.CIQ($B12,"IQ_LASTSALEPRICE",PW$4)/_xll.ciqfunctions.udf.CIQ($B12,"IQ_LASTSALEPRICE",PW$2)-1)+(_xll.ciqfunctions.udf.CIQ($B12, "IQ_DPS_1YR_ANN_GROWTH", "IQ_LTM", PW$4)/100)),"")</f>
        <v/>
      </c>
      <c r="PX12" s="72" t="str">
        <f>IFERROR(IF(OR($B12="",PX$3=""),"",(_xll.ciqfunctions.udf.CIQ($B12,"IQ_LASTSALEPRICE",PX$4)/_xll.ciqfunctions.udf.CIQ($B12,"IQ_LASTSALEPRICE",PX$2)-1)+(_xll.ciqfunctions.udf.CIQ($B12, "IQ_DPS_1YR_ANN_GROWTH", "IQ_LTM", PX$4)/100)),"")</f>
        <v/>
      </c>
      <c r="PY12" s="72" t="str">
        <f>IFERROR(IF(OR($B12="",PY$3=""),"",(_xll.ciqfunctions.udf.CIQ($B12,"IQ_LASTSALEPRICE",PY$4)/_xll.ciqfunctions.udf.CIQ($B12,"IQ_LASTSALEPRICE",PY$2)-1)+(_xll.ciqfunctions.udf.CIQ($B12, "IQ_DPS_1YR_ANN_GROWTH", "IQ_LTM", PY$4)/100)),"")</f>
        <v/>
      </c>
      <c r="PZ12" s="72" t="str">
        <f>IFERROR(IF(OR($B12="",PZ$3=""),"",(_xll.ciqfunctions.udf.CIQ($B12,"IQ_LASTSALEPRICE",PZ$4)/_xll.ciqfunctions.udf.CIQ($B12,"IQ_LASTSALEPRICE",PZ$2)-1)+(_xll.ciqfunctions.udf.CIQ($B12, "IQ_DPS_1YR_ANN_GROWTH", "IQ_LTM", PZ$4)/100)),"")</f>
        <v/>
      </c>
      <c r="QA12" s="72" t="str">
        <f>IFERROR(IF(OR($B12="",QA$3=""),"",(_xll.ciqfunctions.udf.CIQ($B12,"IQ_LASTSALEPRICE",QA$4)/_xll.ciqfunctions.udf.CIQ($B12,"IQ_LASTSALEPRICE",QA$2)-1)+(_xll.ciqfunctions.udf.CIQ($B12, "IQ_DPS_1YR_ANN_GROWTH", "IQ_LTM", QA$4)/100)),"")</f>
        <v/>
      </c>
      <c r="QB12" s="72" t="str">
        <f>IFERROR(IF(OR($B12="",QB$3=""),"",(_xll.ciqfunctions.udf.CIQ($B12,"IQ_LASTSALEPRICE",QB$4)/_xll.ciqfunctions.udf.CIQ($B12,"IQ_LASTSALEPRICE",QB$2)-1)+(_xll.ciqfunctions.udf.CIQ($B12, "IQ_DPS_1YR_ANN_GROWTH", "IQ_LTM", QB$4)/100)),"")</f>
        <v/>
      </c>
      <c r="QC12" s="72" t="str">
        <f>IFERROR(IF(OR($B12="",QC$3=""),"",(_xll.ciqfunctions.udf.CIQ($B12,"IQ_LASTSALEPRICE",QC$4)/_xll.ciqfunctions.udf.CIQ($B12,"IQ_LASTSALEPRICE",QC$2)-1)+(_xll.ciqfunctions.udf.CIQ($B12, "IQ_DPS_1YR_ANN_GROWTH", "IQ_LTM", QC$4)/100)),"")</f>
        <v/>
      </c>
      <c r="QD12" s="72" t="str">
        <f>IFERROR(IF(OR($B12="",QD$3=""),"",(_xll.ciqfunctions.udf.CIQ($B12,"IQ_LASTSALEPRICE",QD$4)/_xll.ciqfunctions.udf.CIQ($B12,"IQ_LASTSALEPRICE",QD$2)-1)+(_xll.ciqfunctions.udf.CIQ($B12, "IQ_DPS_1YR_ANN_GROWTH", "IQ_LTM", QD$4)/100)),"")</f>
        <v/>
      </c>
      <c r="QE12" s="72" t="str">
        <f>IFERROR(IF(OR($B12="",QE$3=""),"",(_xll.ciqfunctions.udf.CIQ($B12,"IQ_LASTSALEPRICE",QE$4)/_xll.ciqfunctions.udf.CIQ($B12,"IQ_LASTSALEPRICE",QE$2)-1)+(_xll.ciqfunctions.udf.CIQ($B12, "IQ_DPS_1YR_ANN_GROWTH", "IQ_LTM", QE$4)/100)),"")</f>
        <v/>
      </c>
      <c r="QF12" s="72" t="str">
        <f>IFERROR(IF(OR($B12="",QF$3=""),"",(_xll.ciqfunctions.udf.CIQ($B12,"IQ_LASTSALEPRICE",QF$4)/_xll.ciqfunctions.udf.CIQ($B12,"IQ_LASTSALEPRICE",QF$2)-1)+(_xll.ciqfunctions.udf.CIQ($B12, "IQ_DPS_1YR_ANN_GROWTH", "IQ_LTM", QF$4)/100)),"")</f>
        <v/>
      </c>
      <c r="QG12" s="72" t="str">
        <f>IFERROR(IF(OR($B12="",QG$3=""),"",(_xll.ciqfunctions.udf.CIQ($B12,"IQ_LASTSALEPRICE",QG$4)/_xll.ciqfunctions.udf.CIQ($B12,"IQ_LASTSALEPRICE",QG$2)-1)+(_xll.ciqfunctions.udf.CIQ($B12, "IQ_DPS_1YR_ANN_GROWTH", "IQ_LTM", QG$4)/100)),"")</f>
        <v/>
      </c>
      <c r="QH12" s="72" t="str">
        <f>IFERROR(IF(OR($B12="",QH$3=""),"",(_xll.ciqfunctions.udf.CIQ($B12,"IQ_LASTSALEPRICE",QH$4)/_xll.ciqfunctions.udf.CIQ($B12,"IQ_LASTSALEPRICE",QH$2)-1)+(_xll.ciqfunctions.udf.CIQ($B12, "IQ_DPS_1YR_ANN_GROWTH", "IQ_LTM", QH$4)/100)),"")</f>
        <v/>
      </c>
      <c r="QI12" s="72" t="str">
        <f>IFERROR(IF(OR($B12="",QI$3=""),"",_xll.ciqfunctions.udf.CIQ($B12,"IQ_NI",QI$3,$E$3, $J$3, , $G$3, $H$3)*2/(_xll.ciqfunctions.udf.CIQ($B12,"IQ_TOTAL_BANK_CAPITAL",QI$3,$E$3, $J$3, , $G$3, $H$3)+_xll.ciqfunctions.udf.CIQ($B12,"IQ_TOTAL_BANK_CAPITAL","IQ_" &amp; LEFT(QI$3,2) &amp; "-1", QI$3, $J$3, , $G$3, $H$3))),"")</f>
        <v/>
      </c>
      <c r="QJ12" s="72" t="str">
        <f>IFERROR(IF(OR($B12="",QJ$3=""),"",_xll.ciqfunctions.udf.CIQ($B12,"IQ_NI",QJ$3,$E$3, $J$3, , $G$3, $H$3)*2/(_xll.ciqfunctions.udf.CIQ($B12,"IQ_TOTAL_BANK_CAPITAL",QJ$3,$E$3, $J$3, , $G$3, $H$3)+_xll.ciqfunctions.udf.CIQ($B12,"IQ_TOTAL_BANK_CAPITAL","IQ_" &amp; LEFT(QJ$3,2) &amp; "-1", QJ$3, $J$3, , $G$3, $H$3))),"")</f>
        <v/>
      </c>
      <c r="QK12" s="72" t="str">
        <f>IFERROR(IF(OR($B12="",QK$3=""),"",_xll.ciqfunctions.udf.CIQ($B12,"IQ_NI",QK$3,$E$3, $J$3, , $G$3, $H$3)*2/(_xll.ciqfunctions.udf.CIQ($B12,"IQ_TOTAL_BANK_CAPITAL",QK$3,$E$3, $J$3, , $G$3, $H$3)+_xll.ciqfunctions.udf.CIQ($B12,"IQ_TOTAL_BANK_CAPITAL","IQ_" &amp; LEFT(QK$3,2) &amp; "-1", QK$3, $J$3, , $G$3, $H$3))),"")</f>
        <v/>
      </c>
      <c r="QL12" s="72" t="str">
        <f>IFERROR(IF(OR($B12="",QL$3=""),"",_xll.ciqfunctions.udf.CIQ($B12,"IQ_NI",QL$3,$E$3, $J$3, , $G$3, $H$3)*2/(_xll.ciqfunctions.udf.CIQ($B12,"IQ_TOTAL_BANK_CAPITAL",QL$3,$E$3, $J$3, , $G$3, $H$3)+_xll.ciqfunctions.udf.CIQ($B12,"IQ_TOTAL_BANK_CAPITAL","IQ_" &amp; LEFT(QL$3,2) &amp; "-1", QL$3, $J$3, , $G$3, $H$3))),"")</f>
        <v/>
      </c>
      <c r="QM12" s="72" t="str">
        <f>IFERROR(IF(OR($B12="",QM$3=""),"",_xll.ciqfunctions.udf.CIQ($B12,"IQ_NI",QM$3,$E$3, $J$3, , $G$3, $H$3)*2/(_xll.ciqfunctions.udf.CIQ($B12,"IQ_TOTAL_BANK_CAPITAL",QM$3,$E$3, $J$3, , $G$3, $H$3)+_xll.ciqfunctions.udf.CIQ($B12,"IQ_TOTAL_BANK_CAPITAL","IQ_" &amp; LEFT(QM$3,2) &amp; "-1", QM$3, $J$3, , $G$3, $H$3))),"")</f>
        <v/>
      </c>
      <c r="QN12" s="72" t="str">
        <f>IFERROR(IF(OR($B12="",QN$3=""),"",_xll.ciqfunctions.udf.CIQ($B12,"IQ_NI",QN$3,$E$3, $J$3, , $G$3, $H$3)*2/(_xll.ciqfunctions.udf.CIQ($B12,"IQ_TOTAL_BANK_CAPITAL",QN$3,$E$3, $J$3, , $G$3, $H$3)+_xll.ciqfunctions.udf.CIQ($B12,"IQ_TOTAL_BANK_CAPITAL","IQ_" &amp; LEFT(QN$3,2) &amp; "-1", QN$3, $J$3, , $G$3, $H$3))),"")</f>
        <v/>
      </c>
      <c r="QO12" s="72" t="str">
        <f>IFERROR(IF(OR($B12="",QO$3=""),"",_xll.ciqfunctions.udf.CIQ($B12,"IQ_NI",QO$3,$E$3, $J$3, , $G$3, $H$3)*2/(_xll.ciqfunctions.udf.CIQ($B12,"IQ_TOTAL_BANK_CAPITAL",QO$3,$E$3, $J$3, , $G$3, $H$3)+_xll.ciqfunctions.udf.CIQ($B12,"IQ_TOTAL_BANK_CAPITAL","IQ_" &amp; LEFT(QO$3,2) &amp; "-1", QO$3, $J$3, , $G$3, $H$3))),"")</f>
        <v/>
      </c>
      <c r="QP12" s="72" t="str">
        <f>IFERROR(IF(OR($B12="",QP$3=""),"",_xll.ciqfunctions.udf.CIQ($B12,"IQ_NI",QP$3,$E$3, $J$3, , $G$3, $H$3)*2/(_xll.ciqfunctions.udf.CIQ($B12,"IQ_TOTAL_BANK_CAPITAL",QP$3,$E$3, $J$3, , $G$3, $H$3)+_xll.ciqfunctions.udf.CIQ($B12,"IQ_TOTAL_BANK_CAPITAL","IQ_" &amp; LEFT(QP$3,2) &amp; "-1", QP$3, $J$3, , $G$3, $H$3))),"")</f>
        <v/>
      </c>
      <c r="QQ12" s="72" t="str">
        <f>IFERROR(IF(OR($B12="",QQ$3=""),"",_xll.ciqfunctions.udf.CIQ($B12,"IQ_NI",QQ$3,$E$3, $J$3, , $G$3, $H$3)*2/(_xll.ciqfunctions.udf.CIQ($B12,"IQ_TOTAL_BANK_CAPITAL",QQ$3,$E$3, $J$3, , $G$3, $H$3)+_xll.ciqfunctions.udf.CIQ($B12,"IQ_TOTAL_BANK_CAPITAL","IQ_" &amp; LEFT(QQ$3,2) &amp; "-1", QQ$3, $J$3, , $G$3, $H$3))),"")</f>
        <v/>
      </c>
      <c r="QR12" s="72" t="str">
        <f>IFERROR(IF(OR($B12="",QR$3=""),"",_xll.ciqfunctions.udf.CIQ($B12,"IQ_NI",QR$3,$E$3, $J$3, , $G$3, $H$3)*2/(_xll.ciqfunctions.udf.CIQ($B12,"IQ_TOTAL_BANK_CAPITAL",QR$3,$E$3, $J$3, , $G$3, $H$3)+_xll.ciqfunctions.udf.CIQ($B12,"IQ_TOTAL_BANK_CAPITAL","IQ_" &amp; LEFT(QR$3,2) &amp; "-1", QR$3, $J$3, , $G$3, $H$3))),"")</f>
        <v/>
      </c>
      <c r="QS12" s="72" t="str">
        <f>IFERROR(IF(OR($B12="",QS$3=""),"",_xll.ciqfunctions.udf.CIQ($B12,"IQ_NI",QS$3,$E$3, $J$3, , $G$3, $H$3)*2/(_xll.ciqfunctions.udf.CIQ($B12,"IQ_TOTAL_BANK_CAPITAL",QS$3,$E$3, $J$3, , $G$3, $H$3)+_xll.ciqfunctions.udf.CIQ($B12,"IQ_TOTAL_BANK_CAPITAL","IQ_" &amp; LEFT(QS$3,2) &amp; "-1", QS$3, $J$3, , $G$3, $H$3))),"")</f>
        <v/>
      </c>
      <c r="QT12" s="72" t="str">
        <f>IFERROR(IF(OR($B12="",QT$3=""),"",_xll.ciqfunctions.udf.CIQ($B12,"IQ_NI",QT$3,$E$3, $J$3, , $G$3, $H$3)*2/(_xll.ciqfunctions.udf.CIQ($B12,"IQ_TOTAL_BANK_CAPITAL",QT$3,$E$3, $J$3, , $G$3, $H$3)+_xll.ciqfunctions.udf.CIQ($B12,"IQ_TOTAL_BANK_CAPITAL","IQ_" &amp; LEFT(QT$3,2) &amp; "-1", QT$3, $J$3, , $G$3, $H$3))),"")</f>
        <v/>
      </c>
      <c r="QU12" s="72" t="str">
        <f>IFERROR(IF(OR($B12="",QU$3=""),"",_xll.ciqfunctions.udf.CIQ($B12,"IQ_NI",QU$3,$E$3, $J$3, , $G$3, $H$3)*2/(_xll.ciqfunctions.udf.CIQ($B12,"IQ_TOTAL_BANK_CAPITAL",QU$3,$E$3, $J$3, , $G$3, $H$3)+_xll.ciqfunctions.udf.CIQ($B12,"IQ_TOTAL_BANK_CAPITAL","IQ_" &amp; LEFT(QU$3,2) &amp; "-1", QU$3, $J$3, , $G$3, $H$3))),"")</f>
        <v/>
      </c>
      <c r="QV12" s="72" t="str">
        <f>IFERROR(IF(OR($B12="",QV$3=""),"",_xll.ciqfunctions.udf.CIQ($B12,"IQ_NI",QV$3,$E$3, $J$3, , $G$3, $H$3)*2/(_xll.ciqfunctions.udf.CIQ($B12,"IQ_TOTAL_BANK_CAPITAL",QV$3,$E$3, $J$3, , $G$3, $H$3)+_xll.ciqfunctions.udf.CIQ($B12,"IQ_TOTAL_BANK_CAPITAL","IQ_" &amp; LEFT(QV$3,2) &amp; "-1", QV$3, $J$3, , $G$3, $H$3))),"")</f>
        <v/>
      </c>
      <c r="QW12" s="72" t="str">
        <f>IFERROR(IF(OR($B12="",QW$3=""),"",_xll.ciqfunctions.udf.CIQ($B12,"IQ_NI",QW$3,$E$3, $J$3, , $G$3, $H$3)*2/(_xll.ciqfunctions.udf.CIQ($B12,"IQ_TOTAL_BANK_CAPITAL",QW$3,$E$3, $J$3, , $G$3, $H$3)+_xll.ciqfunctions.udf.CIQ($B12,"IQ_TOTAL_BANK_CAPITAL","IQ_" &amp; LEFT(QW$3,2) &amp; "-1", QW$3, $J$3, , $G$3, $H$3))),"")</f>
        <v/>
      </c>
      <c r="QX12" s="72" t="str">
        <f>IFERROR(IF(OR($B12="",QX$3=""),"",_xll.ciqfunctions.udf.CIQ($B12,"IQ_NI",QX$3,$E$3, $J$3, , $G$3, $H$3)*2/(_xll.ciqfunctions.udf.CIQ($B12,"IQ_TOTAL_BANK_CAPITAL",QX$3,$E$3, $J$3, , $G$3, $H$3)+_xll.ciqfunctions.udf.CIQ($B12,"IQ_TOTAL_BANK_CAPITAL","IQ_" &amp; LEFT(QX$3,2) &amp; "-1", QX$3, $J$3, , $G$3, $H$3))),"")</f>
        <v/>
      </c>
      <c r="QY12" s="72" t="str">
        <f>IFERROR(IF(OR($B12="",QY$3=""),"",_xll.ciqfunctions.udf.CIQ($B12,"IQ_NI",QY$3,$E$3, $J$3, , $G$3, $H$3)*2/(_xll.ciqfunctions.udf.CIQ($B12,"IQ_TOTAL_BANK_CAPITAL",QY$3,$E$3, $J$3, , $G$3, $H$3)+_xll.ciqfunctions.udf.CIQ($B12,"IQ_TOTAL_BANK_CAPITAL","IQ_" &amp; LEFT(QY$3,2) &amp; "-1", QY$3, $J$3, , $G$3, $H$3))),"")</f>
        <v/>
      </c>
      <c r="QZ12" s="72" t="str">
        <f>IFERROR(IF(OR($B12="",QZ$3=""),"",_xll.ciqfunctions.udf.CIQ($B12,"IQ_NI",QZ$3,$E$3, $J$3, , $G$3, $H$3)*2/(_xll.ciqfunctions.udf.CIQ($B12,"IQ_TOTAL_BANK_CAPITAL",QZ$3,$E$3, $J$3, , $G$3, $H$3)+_xll.ciqfunctions.udf.CIQ($B12,"IQ_TOTAL_BANK_CAPITAL","IQ_" &amp; LEFT(QZ$3,2) &amp; "-1", QZ$3, $J$3, , $G$3, $H$3))),"")</f>
        <v/>
      </c>
      <c r="RA12" s="72" t="str">
        <f>IFERROR(IF(OR($B12="",RA$3=""),"",_xll.ciqfunctions.udf.CIQ($B12,"IQ_NI",RA$3,$E$3, $J$3, , $G$3, $H$3)*2/(_xll.ciqfunctions.udf.CIQ($B12,"IQ_TOTAL_BANK_CAPITAL",RA$3,$E$3, $J$3, , $G$3, $H$3)+_xll.ciqfunctions.udf.CIQ($B12,"IQ_TOTAL_BANK_CAPITAL","IQ_" &amp; LEFT(RA$3,2) &amp; "-1", RA$3, $J$3, , $G$3, $H$3))),"")</f>
        <v/>
      </c>
      <c r="RB12" s="72" t="str">
        <f>IFERROR(IF(OR($B12="",RB$3=""),"",_xll.ciqfunctions.udf.CIQ($B12,"IQ_NI",RB$3,$E$3, $J$3, , $G$3, $H$3)*2/(_xll.ciqfunctions.udf.CIQ($B12,"IQ_TOTAL_BANK_CAPITAL",RB$3,$E$3, $J$3, , $G$3, $H$3)+_xll.ciqfunctions.udf.CIQ($B12,"IQ_TOTAL_BANK_CAPITAL","IQ_" &amp; LEFT(RB$3,2) &amp; "-1", RB$3, $J$3, , $G$3, $H$3))),"")</f>
        <v/>
      </c>
      <c r="RC12" s="628" t="str">
        <f>IFERROR(IF(OR($B12="",RC$4=""),"",(IFERROR(_xll.ciqfunctions.udf.CIQ($B12,"IQ_MARKETCAP",RC$4),0)+IFERROR(_xll.ciqfunctions.udf.CIQ($B12,"IQ_TOTAL_DEBT",RC$3),0)+IFERROR(_xll.ciqfunctions.udf.CIQ($B12,"IQ_PREF_EQUITY",RC$3),0)+IFERROR(_xll.ciqfunctions.udf.CIQ($B12,"IQ_MINORITY_INTEREST",RC$3),0)-IFERROR(_xll.ciqfunctions.udf.CIQ($B12,"IQ_ST_INVEST",RC$3),0)-IFERROR(_xll.ciqfunctions.udf.CIQ($B12,"IQ_cash_equiv",RC$3),0))/_xll.ciqfunctions.udf.CIQ($B12,"IQ_TOTAL_BANK_CAPITAL",QI$3,$E$3,$J$3,,$G$3,$H$3)),"")</f>
        <v/>
      </c>
      <c r="RD12" s="628" t="str">
        <f>IFERROR(IF(OR($B12="",RD$4=""),"",(IFERROR(_xll.ciqfunctions.udf.CIQ($B12,"IQ_MARKETCAP",RD$4),0)+IFERROR(_xll.ciqfunctions.udf.CIQ($B12,"IQ_TOTAL_DEBT",RD$3),0)+IFERROR(_xll.ciqfunctions.udf.CIQ($B12,"IQ_PREF_EQUITY",RD$3),0)+IFERROR(_xll.ciqfunctions.udf.CIQ($B12,"IQ_MINORITY_INTEREST",RD$3),0)-IFERROR(_xll.ciqfunctions.udf.CIQ($B12,"IQ_ST_INVEST",RD$3),0)-IFERROR(_xll.ciqfunctions.udf.CIQ($B12,"IQ_cash_equiv",RD$3),0))/_xll.ciqfunctions.udf.CIQ($B12,"IQ_TOTAL_BANK_CAPITAL",QJ$3,$E$3,$J$3,,$G$3,$H$3)),"")</f>
        <v/>
      </c>
      <c r="RE12" s="628" t="str">
        <f>IFERROR(IF(OR($B12="",RE$4=""),"",(IFERROR(_xll.ciqfunctions.udf.CIQ($B12,"IQ_MARKETCAP",RE$4),0)+IFERROR(_xll.ciqfunctions.udf.CIQ($B12,"IQ_TOTAL_DEBT",RE$3),0)+IFERROR(_xll.ciqfunctions.udf.CIQ($B12,"IQ_PREF_EQUITY",RE$3),0)+IFERROR(_xll.ciqfunctions.udf.CIQ($B12,"IQ_MINORITY_INTEREST",RE$3),0)-IFERROR(_xll.ciqfunctions.udf.CIQ($B12,"IQ_ST_INVEST",RE$3),0)-IFERROR(_xll.ciqfunctions.udf.CIQ($B12,"IQ_cash_equiv",RE$3),0))/_xll.ciqfunctions.udf.CIQ($B12,"IQ_TOTAL_BANK_CAPITAL",QK$3,$E$3,$J$3,,$G$3,$H$3)),"")</f>
        <v/>
      </c>
      <c r="RF12" s="628" t="str">
        <f>IFERROR(IF(OR($B12="",RF$4=""),"",(IFERROR(_xll.ciqfunctions.udf.CIQ($B12,"IQ_MARKETCAP",RF$4),0)+IFERROR(_xll.ciqfunctions.udf.CIQ($B12,"IQ_TOTAL_DEBT",RF$3),0)+IFERROR(_xll.ciqfunctions.udf.CIQ($B12,"IQ_PREF_EQUITY",RF$3),0)+IFERROR(_xll.ciqfunctions.udf.CIQ($B12,"IQ_MINORITY_INTEREST",RF$3),0)-IFERROR(_xll.ciqfunctions.udf.CIQ($B12,"IQ_ST_INVEST",RF$3),0)-IFERROR(_xll.ciqfunctions.udf.CIQ($B12,"IQ_cash_equiv",RF$3),0))/_xll.ciqfunctions.udf.CIQ($B12,"IQ_TOTAL_BANK_CAPITAL",QL$3,$E$3,$J$3,,$G$3,$H$3)),"")</f>
        <v/>
      </c>
      <c r="RG12" s="628" t="str">
        <f>IFERROR(IF(OR($B12="",RG$4=""),"",(IFERROR(_xll.ciqfunctions.udf.CIQ($B12,"IQ_MARKETCAP",RG$4),0)+IFERROR(_xll.ciqfunctions.udf.CIQ($B12,"IQ_TOTAL_DEBT",RG$3),0)+IFERROR(_xll.ciqfunctions.udf.CIQ($B12,"IQ_PREF_EQUITY",RG$3),0)+IFERROR(_xll.ciqfunctions.udf.CIQ($B12,"IQ_MINORITY_INTEREST",RG$3),0)-IFERROR(_xll.ciqfunctions.udf.CIQ($B12,"IQ_ST_INVEST",RG$3),0)-IFERROR(_xll.ciqfunctions.udf.CIQ($B12,"IQ_cash_equiv",RG$3),0))/_xll.ciqfunctions.udf.CIQ($B12,"IQ_TOTAL_BANK_CAPITAL",QM$3,$E$3,$J$3,,$G$3,$H$3)),"")</f>
        <v/>
      </c>
      <c r="RH12" s="628" t="str">
        <f>IFERROR(IF(OR($B12="",RH$4=""),"",(IFERROR(_xll.ciqfunctions.udf.CIQ($B12,"IQ_MARKETCAP",RH$4),0)+IFERROR(_xll.ciqfunctions.udf.CIQ($B12,"IQ_TOTAL_DEBT",RH$3),0)+IFERROR(_xll.ciqfunctions.udf.CIQ($B12,"IQ_PREF_EQUITY",RH$3),0)+IFERROR(_xll.ciqfunctions.udf.CIQ($B12,"IQ_MINORITY_INTEREST",RH$3),0)-IFERROR(_xll.ciqfunctions.udf.CIQ($B12,"IQ_ST_INVEST",RH$3),0)-IFERROR(_xll.ciqfunctions.udf.CIQ($B12,"IQ_cash_equiv",RH$3),0))/_xll.ciqfunctions.udf.CIQ($B12,"IQ_TOTAL_BANK_CAPITAL",QN$3,$E$3,$J$3,,$G$3,$H$3)),"")</f>
        <v/>
      </c>
      <c r="RI12" s="628" t="str">
        <f>IFERROR(IF(OR($B12="",RI$4=""),"",(IFERROR(_xll.ciqfunctions.udf.CIQ($B12,"IQ_MARKETCAP",RI$4),0)+IFERROR(_xll.ciqfunctions.udf.CIQ($B12,"IQ_TOTAL_DEBT",RI$3),0)+IFERROR(_xll.ciqfunctions.udf.CIQ($B12,"IQ_PREF_EQUITY",RI$3),0)+IFERROR(_xll.ciqfunctions.udf.CIQ($B12,"IQ_MINORITY_INTEREST",RI$3),0)-IFERROR(_xll.ciqfunctions.udf.CIQ($B12,"IQ_ST_INVEST",RI$3),0)-IFERROR(_xll.ciqfunctions.udf.CIQ($B12,"IQ_cash_equiv",RI$3),0))/_xll.ciqfunctions.udf.CIQ($B12,"IQ_TOTAL_BANK_CAPITAL",QO$3,$E$3,$J$3,,$G$3,$H$3)),"")</f>
        <v/>
      </c>
      <c r="RJ12" s="628" t="str">
        <f>IFERROR(IF(OR($B12="",RJ$4=""),"",(IFERROR(_xll.ciqfunctions.udf.CIQ($B12,"IQ_MARKETCAP",RJ$4),0)+IFERROR(_xll.ciqfunctions.udf.CIQ($B12,"IQ_TOTAL_DEBT",RJ$3),0)+IFERROR(_xll.ciqfunctions.udf.CIQ($B12,"IQ_PREF_EQUITY",RJ$3),0)+IFERROR(_xll.ciqfunctions.udf.CIQ($B12,"IQ_MINORITY_INTEREST",RJ$3),0)-IFERROR(_xll.ciqfunctions.udf.CIQ($B12,"IQ_ST_INVEST",RJ$3),0)-IFERROR(_xll.ciqfunctions.udf.CIQ($B12,"IQ_cash_equiv",RJ$3),0))/_xll.ciqfunctions.udf.CIQ($B12,"IQ_TOTAL_BANK_CAPITAL",QP$3,$E$3,$J$3,,$G$3,$H$3)),"")</f>
        <v/>
      </c>
      <c r="RK12" s="628" t="str">
        <f>IFERROR(IF(OR($B12="",RK$4=""),"",(IFERROR(_xll.ciqfunctions.udf.CIQ($B12,"IQ_MARKETCAP",RK$4),0)+IFERROR(_xll.ciqfunctions.udf.CIQ($B12,"IQ_TOTAL_DEBT",RK$3),0)+IFERROR(_xll.ciqfunctions.udf.CIQ($B12,"IQ_PREF_EQUITY",RK$3),0)+IFERROR(_xll.ciqfunctions.udf.CIQ($B12,"IQ_MINORITY_INTEREST",RK$3),0)-IFERROR(_xll.ciqfunctions.udf.CIQ($B12,"IQ_ST_INVEST",RK$3),0)-IFERROR(_xll.ciqfunctions.udf.CIQ($B12,"IQ_cash_equiv",RK$3),0))/_xll.ciqfunctions.udf.CIQ($B12,"IQ_TOTAL_BANK_CAPITAL",QQ$3,$E$3,$J$3,,$G$3,$H$3)),"")</f>
        <v/>
      </c>
      <c r="RL12" s="628" t="str">
        <f>IFERROR(IF(OR($B12="",RL$4=""),"",(IFERROR(_xll.ciqfunctions.udf.CIQ($B12,"IQ_MARKETCAP",RL$4),0)+IFERROR(_xll.ciqfunctions.udf.CIQ($B12,"IQ_TOTAL_DEBT",RL$3),0)+IFERROR(_xll.ciqfunctions.udf.CIQ($B12,"IQ_PREF_EQUITY",RL$3),0)+IFERROR(_xll.ciqfunctions.udf.CIQ($B12,"IQ_MINORITY_INTEREST",RL$3),0)-IFERROR(_xll.ciqfunctions.udf.CIQ($B12,"IQ_ST_INVEST",RL$3),0)-IFERROR(_xll.ciqfunctions.udf.CIQ($B12,"IQ_cash_equiv",RL$3),0))/_xll.ciqfunctions.udf.CIQ($B12,"IQ_TOTAL_BANK_CAPITAL",QR$3,$E$3,$J$3,,$G$3,$H$3)),"")</f>
        <v/>
      </c>
      <c r="RM12" s="628" t="str">
        <f>IFERROR(IF(OR($B12="",RM$4=""),"",(IFERROR(_xll.ciqfunctions.udf.CIQ($B12,"IQ_MARKETCAP",RM$4),0)+IFERROR(_xll.ciqfunctions.udf.CIQ($B12,"IQ_TOTAL_DEBT",RM$3),0)+IFERROR(_xll.ciqfunctions.udf.CIQ($B12,"IQ_PREF_EQUITY",RM$3),0)+IFERROR(_xll.ciqfunctions.udf.CIQ($B12,"IQ_MINORITY_INTEREST",RM$3),0)-IFERROR(_xll.ciqfunctions.udf.CIQ($B12,"IQ_ST_INVEST",RM$3),0)-IFERROR(_xll.ciqfunctions.udf.CIQ($B12,"IQ_cash_equiv",RM$3),0))/_xll.ciqfunctions.udf.CIQ($B12,"IQ_TOTAL_BANK_CAPITAL",QS$3,$E$3,$J$3,,$G$3,$H$3)),"")</f>
        <v/>
      </c>
      <c r="RN12" s="628" t="str">
        <f>IFERROR(IF(OR($B12="",RN$4=""),"",(IFERROR(_xll.ciqfunctions.udf.CIQ($B12,"IQ_MARKETCAP",RN$4),0)+IFERROR(_xll.ciqfunctions.udf.CIQ($B12,"IQ_TOTAL_DEBT",RN$3),0)+IFERROR(_xll.ciqfunctions.udf.CIQ($B12,"IQ_PREF_EQUITY",RN$3),0)+IFERROR(_xll.ciqfunctions.udf.CIQ($B12,"IQ_MINORITY_INTEREST",RN$3),0)-IFERROR(_xll.ciqfunctions.udf.CIQ($B12,"IQ_ST_INVEST",RN$3),0)-IFERROR(_xll.ciqfunctions.udf.CIQ($B12,"IQ_cash_equiv",RN$3),0))/_xll.ciqfunctions.udf.CIQ($B12,"IQ_TOTAL_BANK_CAPITAL",QT$3,$E$3,$J$3,,$G$3,$H$3)),"")</f>
        <v/>
      </c>
      <c r="RO12" s="628" t="str">
        <f>IFERROR(IF(OR($B12="",RO$4=""),"",(IFERROR(_xll.ciqfunctions.udf.CIQ($B12,"IQ_MARKETCAP",RO$4),0)+IFERROR(_xll.ciqfunctions.udf.CIQ($B12,"IQ_TOTAL_DEBT",RO$3),0)+IFERROR(_xll.ciqfunctions.udf.CIQ($B12,"IQ_PREF_EQUITY",RO$3),0)+IFERROR(_xll.ciqfunctions.udf.CIQ($B12,"IQ_MINORITY_INTEREST",RO$3),0)-IFERROR(_xll.ciqfunctions.udf.CIQ($B12,"IQ_ST_INVEST",RO$3),0)-IFERROR(_xll.ciqfunctions.udf.CIQ($B12,"IQ_cash_equiv",RO$3),0))/_xll.ciqfunctions.udf.CIQ($B12,"IQ_TOTAL_BANK_CAPITAL",QU$3,$E$3,$J$3,,$G$3,$H$3)),"")</f>
        <v/>
      </c>
      <c r="RP12" s="628" t="str">
        <f>IFERROR(IF(OR($B12="",RP$4=""),"",(IFERROR(_xll.ciqfunctions.udf.CIQ($B12,"IQ_MARKETCAP",RP$4),0)+IFERROR(_xll.ciqfunctions.udf.CIQ($B12,"IQ_TOTAL_DEBT",RP$3),0)+IFERROR(_xll.ciqfunctions.udf.CIQ($B12,"IQ_PREF_EQUITY",RP$3),0)+IFERROR(_xll.ciqfunctions.udf.CIQ($B12,"IQ_MINORITY_INTEREST",RP$3),0)-IFERROR(_xll.ciqfunctions.udf.CIQ($B12,"IQ_ST_INVEST",RP$3),0)-IFERROR(_xll.ciqfunctions.udf.CIQ($B12,"IQ_cash_equiv",RP$3),0))/_xll.ciqfunctions.udf.CIQ($B12,"IQ_TOTAL_BANK_CAPITAL",QV$3,$E$3,$J$3,,$G$3,$H$3)),"")</f>
        <v/>
      </c>
      <c r="RQ12" s="628" t="str">
        <f>IFERROR(IF(OR($B12="",RQ$4=""),"",(IFERROR(_xll.ciqfunctions.udf.CIQ($B12,"IQ_MARKETCAP",RQ$4),0)+IFERROR(_xll.ciqfunctions.udf.CIQ($B12,"IQ_TOTAL_DEBT",RQ$3),0)+IFERROR(_xll.ciqfunctions.udf.CIQ($B12,"IQ_PREF_EQUITY",RQ$3),0)+IFERROR(_xll.ciqfunctions.udf.CIQ($B12,"IQ_MINORITY_INTEREST",RQ$3),0)-IFERROR(_xll.ciqfunctions.udf.CIQ($B12,"IQ_ST_INVEST",RQ$3),0)-IFERROR(_xll.ciqfunctions.udf.CIQ($B12,"IQ_cash_equiv",RQ$3),0))/_xll.ciqfunctions.udf.CIQ($B12,"IQ_TOTAL_BANK_CAPITAL",QW$3,$E$3,$J$3,,$G$3,$H$3)),"")</f>
        <v/>
      </c>
      <c r="RR12" s="628" t="str">
        <f>IFERROR(IF(OR($B12="",RR$4=""),"",(IFERROR(_xll.ciqfunctions.udf.CIQ($B12,"IQ_MARKETCAP",RR$4),0)+IFERROR(_xll.ciqfunctions.udf.CIQ($B12,"IQ_TOTAL_DEBT",RR$3),0)+IFERROR(_xll.ciqfunctions.udf.CIQ($B12,"IQ_PREF_EQUITY",RR$3),0)+IFERROR(_xll.ciqfunctions.udf.CIQ($B12,"IQ_MINORITY_INTEREST",RR$3),0)-IFERROR(_xll.ciqfunctions.udf.CIQ($B12,"IQ_ST_INVEST",RR$3),0)-IFERROR(_xll.ciqfunctions.udf.CIQ($B12,"IQ_cash_equiv",RR$3),0))/_xll.ciqfunctions.udf.CIQ($B12,"IQ_TOTAL_BANK_CAPITAL",QX$3,$E$3,$J$3,,$G$3,$H$3)),"")</f>
        <v/>
      </c>
      <c r="RS12" s="628" t="str">
        <f>IFERROR(IF(OR($B12="",RS$4=""),"",(IFERROR(_xll.ciqfunctions.udf.CIQ($B12,"IQ_MARKETCAP",RS$4),0)+IFERROR(_xll.ciqfunctions.udf.CIQ($B12,"IQ_TOTAL_DEBT",RS$3),0)+IFERROR(_xll.ciqfunctions.udf.CIQ($B12,"IQ_PREF_EQUITY",RS$3),0)+IFERROR(_xll.ciqfunctions.udf.CIQ($B12,"IQ_MINORITY_INTEREST",RS$3),0)-IFERROR(_xll.ciqfunctions.udf.CIQ($B12,"IQ_ST_INVEST",RS$3),0)-IFERROR(_xll.ciqfunctions.udf.CIQ($B12,"IQ_cash_equiv",RS$3),0))/_xll.ciqfunctions.udf.CIQ($B12,"IQ_TOTAL_BANK_CAPITAL",QY$3,$E$3,$J$3,,$G$3,$H$3)),"")</f>
        <v/>
      </c>
      <c r="RT12" s="628" t="str">
        <f>IFERROR(IF(OR($B12="",RT$4=""),"",(IFERROR(_xll.ciqfunctions.udf.CIQ($B12,"IQ_MARKETCAP",RT$4),0)+IFERROR(_xll.ciqfunctions.udf.CIQ($B12,"IQ_TOTAL_DEBT",RT$3),0)+IFERROR(_xll.ciqfunctions.udf.CIQ($B12,"IQ_PREF_EQUITY",RT$3),0)+IFERROR(_xll.ciqfunctions.udf.CIQ($B12,"IQ_MINORITY_INTEREST",RT$3),0)-IFERROR(_xll.ciqfunctions.udf.CIQ($B12,"IQ_ST_INVEST",RT$3),0)-IFERROR(_xll.ciqfunctions.udf.CIQ($B12,"IQ_cash_equiv",RT$3),0))/_xll.ciqfunctions.udf.CIQ($B12,"IQ_TOTAL_BANK_CAPITAL",QZ$3,$E$3,$J$3,,$G$3,$H$3)),"")</f>
        <v/>
      </c>
      <c r="RU12" s="628" t="str">
        <f>IFERROR(IF(OR($B12="",RU$4=""),"",(IFERROR(_xll.ciqfunctions.udf.CIQ($B12,"IQ_MARKETCAP",RU$4),0)+IFERROR(_xll.ciqfunctions.udf.CIQ($B12,"IQ_TOTAL_DEBT",RU$3),0)+IFERROR(_xll.ciqfunctions.udf.CIQ($B12,"IQ_PREF_EQUITY",RU$3),0)+IFERROR(_xll.ciqfunctions.udf.CIQ($B12,"IQ_MINORITY_INTEREST",RU$3),0)-IFERROR(_xll.ciqfunctions.udf.CIQ($B12,"IQ_ST_INVEST",RU$3),0)-IFERROR(_xll.ciqfunctions.udf.CIQ($B12,"IQ_cash_equiv",RU$3),0))/_xll.ciqfunctions.udf.CIQ($B12,"IQ_TOTAL_BANK_CAPITAL",RA$3,$E$3,$J$3,,$G$3,$H$3)),"")</f>
        <v/>
      </c>
      <c r="RV12" s="628" t="str">
        <f>IFERROR(IF(OR($B12="",RV$4=""),"",(IFERROR(_xll.ciqfunctions.udf.CIQ($B12,"IQ_MARKETCAP",RV$4),0)+IFERROR(_xll.ciqfunctions.udf.CIQ($B12,"IQ_TOTAL_DEBT",RV$3),0)+IFERROR(_xll.ciqfunctions.udf.CIQ($B12,"IQ_PREF_EQUITY",RV$3),0)+IFERROR(_xll.ciqfunctions.udf.CIQ($B12,"IQ_MINORITY_INTEREST",RV$3),0)-IFERROR(_xll.ciqfunctions.udf.CIQ($B12,"IQ_ST_INVEST",RV$3),0)-IFERROR(_xll.ciqfunctions.udf.CIQ($B12,"IQ_cash_equiv",RV$3),0))/_xll.ciqfunctions.udf.CIQ($B12,"IQ_TOTAL_BANK_CAPITAL",RB$3,$E$3,$J$3,,$G$3,$H$3)),"")</f>
        <v/>
      </c>
      <c r="RW12" s="72" t="str">
        <f t="shared" si="331"/>
        <v>0</v>
      </c>
      <c r="RX12" s="72" t="str">
        <f t="shared" si="332"/>
        <v/>
      </c>
      <c r="RY12" s="72" t="str">
        <f t="shared" si="333"/>
        <v/>
      </c>
      <c r="RZ12" s="72" t="str">
        <f t="shared" si="334"/>
        <v/>
      </c>
      <c r="SA12" s="72" t="str">
        <f t="shared" si="335"/>
        <v/>
      </c>
      <c r="SB12" s="72" t="str">
        <f t="shared" si="336"/>
        <v/>
      </c>
      <c r="SC12" s="72" t="str">
        <f t="shared" si="337"/>
        <v/>
      </c>
      <c r="SD12" s="72" t="str">
        <f t="shared" si="338"/>
        <v/>
      </c>
      <c r="SE12" s="72" t="str">
        <f t="shared" si="339"/>
        <v/>
      </c>
      <c r="SF12" s="72" t="str">
        <f t="shared" si="340"/>
        <v/>
      </c>
      <c r="SG12" s="72" t="str">
        <f t="shared" si="341"/>
        <v/>
      </c>
      <c r="SH12" s="72" t="str">
        <f t="shared" si="342"/>
        <v/>
      </c>
      <c r="SI12" s="72" t="str">
        <f t="shared" si="343"/>
        <v/>
      </c>
      <c r="SJ12" s="72" t="str">
        <f t="shared" si="344"/>
        <v/>
      </c>
      <c r="SK12" s="72" t="str">
        <f t="shared" si="345"/>
        <v/>
      </c>
      <c r="SL12" s="72" t="str">
        <f t="shared" si="346"/>
        <v/>
      </c>
      <c r="SM12" s="72" t="str">
        <f t="shared" si="347"/>
        <v/>
      </c>
      <c r="SN12" s="72" t="str">
        <f t="shared" si="348"/>
        <v/>
      </c>
      <c r="SO12" s="72" t="str">
        <f t="shared" si="349"/>
        <v/>
      </c>
      <c r="SP12" s="72" t="str">
        <f t="shared" si="350"/>
        <v/>
      </c>
      <c r="SQ12" s="72" t="str">
        <f>IFERROR(IF(OR($B12="",SQ$3=""),"",_xll.ciqfunctions.udf.CIQ($B12,"IQ_TOTAL_DEPOSITS",SQ$3,$E$3, $J$3, , $G$3, $H$3)/_xll.ciqfunctions.udf.CIQ($B12,"IQ_TOTAL_ASSETS",SQ$3,$E$3, $J$3, , $G$3, $H$3)),"")</f>
        <v/>
      </c>
      <c r="SR12" s="72" t="str">
        <f>IFERROR(IF(OR($B12="",SR$3=""),"",_xll.ciqfunctions.udf.CIQ($B12,"IQ_TOTAL_DEPOSITS",SR$3,$E$3, $J$3, , $G$3, $H$3)/_xll.ciqfunctions.udf.CIQ($B12,"IQ_TOTAL_ASSETS",SR$3,$E$3, $J$3, , $G$3, $H$3)),"")</f>
        <v/>
      </c>
      <c r="SS12" s="72" t="str">
        <f>IFERROR(IF(OR($B12="",SS$3=""),"",_xll.ciqfunctions.udf.CIQ($B12,"IQ_TOTAL_DEPOSITS",SS$3,$E$3, $J$3, , $G$3, $H$3)/_xll.ciqfunctions.udf.CIQ($B12,"IQ_TOTAL_ASSETS",SS$3,$E$3, $J$3, , $G$3, $H$3)),"")</f>
        <v/>
      </c>
      <c r="ST12" s="72" t="str">
        <f>IFERROR(IF(OR($B12="",ST$3=""),"",_xll.ciqfunctions.udf.CIQ($B12,"IQ_TOTAL_DEPOSITS",ST$3,$E$3, $J$3, , $G$3, $H$3)/_xll.ciqfunctions.udf.CIQ($B12,"IQ_TOTAL_ASSETS",ST$3,$E$3, $J$3, , $G$3, $H$3)),"")</f>
        <v/>
      </c>
      <c r="SU12" s="72" t="str">
        <f>IFERROR(IF(OR($B12="",SU$3=""),"",_xll.ciqfunctions.udf.CIQ($B12,"IQ_TOTAL_DEPOSITS",SU$3,$E$3, $J$3, , $G$3, $H$3)/_xll.ciqfunctions.udf.CIQ($B12,"IQ_TOTAL_ASSETS",SU$3,$E$3, $J$3, , $G$3, $H$3)),"")</f>
        <v/>
      </c>
      <c r="SV12" s="72" t="str">
        <f>IFERROR(IF(OR($B12="",SV$3=""),"",_xll.ciqfunctions.udf.CIQ($B12,"IQ_TOTAL_DEPOSITS",SV$3,$E$3, $J$3, , $G$3, $H$3)/_xll.ciqfunctions.udf.CIQ($B12,"IQ_TOTAL_ASSETS",SV$3,$E$3, $J$3, , $G$3, $H$3)),"")</f>
        <v/>
      </c>
      <c r="SW12" s="72" t="str">
        <f>IFERROR(IF(OR($B12="",SW$3=""),"",_xll.ciqfunctions.udf.CIQ($B12,"IQ_TOTAL_DEPOSITS",SW$3,$E$3, $J$3, , $G$3, $H$3)/_xll.ciqfunctions.udf.CIQ($B12,"IQ_TOTAL_ASSETS",SW$3,$E$3, $J$3, , $G$3, $H$3)),"")</f>
        <v/>
      </c>
      <c r="SX12" s="72" t="str">
        <f>IFERROR(IF(OR($B12="",SX$3=""),"",_xll.ciqfunctions.udf.CIQ($B12,"IQ_TOTAL_DEPOSITS",SX$3,$E$3, $J$3, , $G$3, $H$3)/_xll.ciqfunctions.udf.CIQ($B12,"IQ_TOTAL_ASSETS",SX$3,$E$3, $J$3, , $G$3, $H$3)),"")</f>
        <v/>
      </c>
      <c r="SY12" s="72" t="str">
        <f>IFERROR(IF(OR($B12="",SY$3=""),"",_xll.ciqfunctions.udf.CIQ($B12,"IQ_TOTAL_DEPOSITS",SY$3,$E$3, $J$3, , $G$3, $H$3)/_xll.ciqfunctions.udf.CIQ($B12,"IQ_TOTAL_ASSETS",SY$3,$E$3, $J$3, , $G$3, $H$3)),"")</f>
        <v/>
      </c>
      <c r="SZ12" s="72" t="str">
        <f>IFERROR(IF(OR($B12="",SZ$3=""),"",_xll.ciqfunctions.udf.CIQ($B12,"IQ_TOTAL_DEPOSITS",SZ$3,$E$3, $J$3, , $G$3, $H$3)/_xll.ciqfunctions.udf.CIQ($B12,"IQ_TOTAL_ASSETS",SZ$3,$E$3, $J$3, , $G$3, $H$3)),"")</f>
        <v/>
      </c>
      <c r="TA12" s="72" t="str">
        <f>IFERROR(IF(OR($B12="",TA$3=""),"",_xll.ciqfunctions.udf.CIQ($B12,"IQ_TOTAL_DEPOSITS",TA$3,$E$3, $J$3, , $G$3, $H$3)/_xll.ciqfunctions.udf.CIQ($B12,"IQ_TOTAL_ASSETS",TA$3,$E$3, $J$3, , $G$3, $H$3)),"")</f>
        <v/>
      </c>
      <c r="TB12" s="72" t="str">
        <f>IFERROR(IF(OR($B12="",TB$3=""),"",_xll.ciqfunctions.udf.CIQ($B12,"IQ_TOTAL_DEPOSITS",TB$3,$E$3, $J$3, , $G$3, $H$3)/_xll.ciqfunctions.udf.CIQ($B12,"IQ_TOTAL_ASSETS",TB$3,$E$3, $J$3, , $G$3, $H$3)),"")</f>
        <v/>
      </c>
      <c r="TC12" s="72" t="str">
        <f>IFERROR(IF(OR($B12="",TC$3=""),"",_xll.ciqfunctions.udf.CIQ($B12,"IQ_TOTAL_DEPOSITS",TC$3,$E$3, $J$3, , $G$3, $H$3)/_xll.ciqfunctions.udf.CIQ($B12,"IQ_TOTAL_ASSETS",TC$3,$E$3, $J$3, , $G$3, $H$3)),"")</f>
        <v/>
      </c>
      <c r="TD12" s="72" t="str">
        <f>IFERROR(IF(OR($B12="",TD$3=""),"",_xll.ciqfunctions.udf.CIQ($B12,"IQ_TOTAL_DEPOSITS",TD$3,$E$3, $J$3, , $G$3, $H$3)/_xll.ciqfunctions.udf.CIQ($B12,"IQ_TOTAL_ASSETS",TD$3,$E$3, $J$3, , $G$3, $H$3)),"")</f>
        <v/>
      </c>
      <c r="TE12" s="72" t="str">
        <f>IFERROR(IF(OR($B12="",TE$3=""),"",_xll.ciqfunctions.udf.CIQ($B12,"IQ_TOTAL_DEPOSITS",TE$3,$E$3, $J$3, , $G$3, $H$3)/_xll.ciqfunctions.udf.CIQ($B12,"IQ_TOTAL_ASSETS",TE$3,$E$3, $J$3, , $G$3, $H$3)),"")</f>
        <v/>
      </c>
      <c r="TF12" s="72" t="str">
        <f>IFERROR(IF(OR($B12="",TF$3=""),"",_xll.ciqfunctions.udf.CIQ($B12,"IQ_TOTAL_DEPOSITS",TF$3,$E$3, $J$3, , $G$3, $H$3)/_xll.ciqfunctions.udf.CIQ($B12,"IQ_TOTAL_ASSETS",TF$3,$E$3, $J$3, , $G$3, $H$3)),"")</f>
        <v/>
      </c>
      <c r="TG12" s="72" t="str">
        <f>IFERROR(IF(OR($B12="",TG$3=""),"",_xll.ciqfunctions.udf.CIQ($B12,"IQ_TOTAL_DEPOSITS",TG$3,$E$3, $J$3, , $G$3, $H$3)/_xll.ciqfunctions.udf.CIQ($B12,"IQ_TOTAL_ASSETS",TG$3,$E$3, $J$3, , $G$3, $H$3)),"")</f>
        <v/>
      </c>
      <c r="TH12" s="72" t="str">
        <f>IFERROR(IF(OR($B12="",TH$3=""),"",_xll.ciqfunctions.udf.CIQ($B12,"IQ_TOTAL_DEPOSITS",TH$3,$E$3, $J$3, , $G$3, $H$3)/_xll.ciqfunctions.udf.CIQ($B12,"IQ_TOTAL_ASSETS",TH$3,$E$3, $J$3, , $G$3, $H$3)),"")</f>
        <v/>
      </c>
      <c r="TI12" s="72" t="str">
        <f>IFERROR(IF(OR($B12="",TI$3=""),"",_xll.ciqfunctions.udf.CIQ($B12,"IQ_TOTAL_DEPOSITS",TI$3,$E$3, $J$3, , $G$3, $H$3)/_xll.ciqfunctions.udf.CIQ($B12,"IQ_TOTAL_ASSETS",TI$3,$E$3, $J$3, , $G$3, $H$3)),"")</f>
        <v/>
      </c>
      <c r="TJ12" s="72" t="str">
        <f>IFERROR(IF(OR($B12="",TJ$3=""),"",_xll.ciqfunctions.udf.CIQ($B12,"IQ_TOTAL_DEPOSITS",TJ$3,$E$3, $J$3, , $G$3, $H$3)/_xll.ciqfunctions.udf.CIQ($B12,"IQ_TOTAL_ASSETS",TJ$3,$E$3, $J$3, , $G$3, $H$3)),"")</f>
        <v/>
      </c>
      <c r="TK12" s="72" t="str">
        <f>IFERROR(IF(OR($B12="",TK$3="",TK$4=""),"",(_xll.ciqfunctions.udf.CIQ($B12,"IQ_TOTAL_BANK_CAPITAL",TK$3,$E$3, $J$3, , $G$3, $H$3)/_xll.ciqfunctions.udf.CIQ($B12,"IQ_TOTAL_BANK_CAPITAL",TK$4,$E$3, $J$3, , $G$3, $H$3))-1),"")</f>
        <v/>
      </c>
      <c r="TL12" s="72" t="str">
        <f>IFERROR(IF(OR($B12="",TL$3="",TL$4=""),"",(_xll.ciqfunctions.udf.CIQ($B12,"IQ_TOTAL_BANK_CAPITAL",TL$3,$E$3, $J$3, , $G$3, $H$3)/_xll.ciqfunctions.udf.CIQ($B12,"IQ_TOTAL_BANK_CAPITAL",TL$4,$E$3, $J$3, , $G$3, $H$3))-1),"")</f>
        <v/>
      </c>
      <c r="TM12" s="72" t="str">
        <f>IFERROR(IF(OR($B12="",TM$3="",TM$4=""),"",(_xll.ciqfunctions.udf.CIQ($B12,"IQ_TOTAL_BANK_CAPITAL",TM$3,$E$3, $J$3, , $G$3, $H$3)/_xll.ciqfunctions.udf.CIQ($B12,"IQ_TOTAL_BANK_CAPITAL",TM$4,$E$3, $J$3, , $G$3, $H$3))-1),"")</f>
        <v/>
      </c>
      <c r="TN12" s="72" t="str">
        <f>IFERROR(IF(OR($B12="",TN$3="",TN$4=""),"",(_xll.ciqfunctions.udf.CIQ($B12,"IQ_TOTAL_BANK_CAPITAL",TN$3,$E$3, $J$3, , $G$3, $H$3)/_xll.ciqfunctions.udf.CIQ($B12,"IQ_TOTAL_BANK_CAPITAL",TN$4,$E$3, $J$3, , $G$3, $H$3))-1),"")</f>
        <v/>
      </c>
      <c r="TO12" s="72" t="str">
        <f>IFERROR(IF(OR($B12="",TO$3="",TO$4=""),"",(_xll.ciqfunctions.udf.CIQ($B12,"IQ_TOTAL_BANK_CAPITAL",TO$3,$E$3, $J$3, , $G$3, $H$3)/_xll.ciqfunctions.udf.CIQ($B12,"IQ_TOTAL_BANK_CAPITAL",TO$4,$E$3, $J$3, , $G$3, $H$3))-1),"")</f>
        <v/>
      </c>
      <c r="TP12" s="72" t="str">
        <f>IFERROR(IF(OR($B12="",TP$3="",TP$4=""),"",(_xll.ciqfunctions.udf.CIQ($B12,"IQ_TOTAL_BANK_CAPITAL",TP$3,$E$3, $J$3, , $G$3, $H$3)/_xll.ciqfunctions.udf.CIQ($B12,"IQ_TOTAL_BANK_CAPITAL",TP$4,$E$3, $J$3, , $G$3, $H$3))-1),"")</f>
        <v/>
      </c>
      <c r="TQ12" s="72" t="str">
        <f>IFERROR(IF(OR($B12="",TQ$3="",TQ$4=""),"",(_xll.ciqfunctions.udf.CIQ($B12,"IQ_TOTAL_BANK_CAPITAL",TQ$3,$E$3, $J$3, , $G$3, $H$3)/_xll.ciqfunctions.udf.CIQ($B12,"IQ_TOTAL_BANK_CAPITAL",TQ$4,$E$3, $J$3, , $G$3, $H$3))-1),"")</f>
        <v/>
      </c>
      <c r="TR12" s="72" t="str">
        <f>IFERROR(IF(OR($B12="",TR$3="",TR$4=""),"",(_xll.ciqfunctions.udf.CIQ($B12,"IQ_TOTAL_BANK_CAPITAL",TR$3,$E$3, $J$3, , $G$3, $H$3)/_xll.ciqfunctions.udf.CIQ($B12,"IQ_TOTAL_BANK_CAPITAL",TR$4,$E$3, $J$3, , $G$3, $H$3))-1),"")</f>
        <v/>
      </c>
      <c r="TS12" s="72" t="str">
        <f>IFERROR(IF(OR($B12="",TS$3="",TS$4=""),"",(_xll.ciqfunctions.udf.CIQ($B12,"IQ_TOTAL_BANK_CAPITAL",TS$3,$E$3, $J$3, , $G$3, $H$3)/_xll.ciqfunctions.udf.CIQ($B12,"IQ_TOTAL_BANK_CAPITAL",TS$4,$E$3, $J$3, , $G$3, $H$3))-1),"")</f>
        <v/>
      </c>
      <c r="TT12" s="72" t="str">
        <f>IFERROR(IF(OR($B12="",TT$3="",TT$4=""),"",(_xll.ciqfunctions.udf.CIQ($B12,"IQ_TOTAL_BANK_CAPITAL",TT$3,$E$3, $J$3, , $G$3, $H$3)/_xll.ciqfunctions.udf.CIQ($B12,"IQ_TOTAL_BANK_CAPITAL",TT$4,$E$3, $J$3, , $G$3, $H$3))-1),"")</f>
        <v/>
      </c>
      <c r="TU12" s="72" t="str">
        <f>IFERROR(IF(OR($B12="",TU$3="",TU$4=""),"",(_xll.ciqfunctions.udf.CIQ($B12,"IQ_TOTAL_BANK_CAPITAL",TU$3,$E$3, $J$3, , $G$3, $H$3)/_xll.ciqfunctions.udf.CIQ($B12,"IQ_TOTAL_BANK_CAPITAL",TU$4,$E$3, $J$3, , $G$3, $H$3))-1),"")</f>
        <v/>
      </c>
      <c r="TV12" s="72" t="str">
        <f>IFERROR(IF(OR($B12="",TV$3="",TV$4=""),"",(_xll.ciqfunctions.udf.CIQ($B12,"IQ_TOTAL_BANK_CAPITAL",TV$3,$E$3, $J$3, , $G$3, $H$3)/_xll.ciqfunctions.udf.CIQ($B12,"IQ_TOTAL_BANK_CAPITAL",TV$4,$E$3, $J$3, , $G$3, $H$3))-1),"")</f>
        <v/>
      </c>
      <c r="TW12" s="72" t="str">
        <f>IFERROR(IF(OR($B12="",TW$3="",TW$4=""),"",(_xll.ciqfunctions.udf.CIQ($B12,"IQ_TOTAL_BANK_CAPITAL",TW$3,$E$3, $J$3, , $G$3, $H$3)/_xll.ciqfunctions.udf.CIQ($B12,"IQ_TOTAL_BANK_CAPITAL",TW$4,$E$3, $J$3, , $G$3, $H$3))-1),"")</f>
        <v/>
      </c>
      <c r="TX12" s="72" t="str">
        <f>IFERROR(IF(OR($B12="",TX$3="",TX$4=""),"",(_xll.ciqfunctions.udf.CIQ($B12,"IQ_TOTAL_BANK_CAPITAL",TX$3,$E$3, $J$3, , $G$3, $H$3)/_xll.ciqfunctions.udf.CIQ($B12,"IQ_TOTAL_BANK_CAPITAL",TX$4,$E$3, $J$3, , $G$3, $H$3))-1),"")</f>
        <v/>
      </c>
      <c r="TY12" s="72" t="str">
        <f>IFERROR(IF(OR($B12="",TY$3="",TY$4=""),"",(_xll.ciqfunctions.udf.CIQ($B12,"IQ_TOTAL_BANK_CAPITAL",TY$3,$E$3, $J$3, , $G$3, $H$3)/_xll.ciqfunctions.udf.CIQ($B12,"IQ_TOTAL_BANK_CAPITAL",TY$4,$E$3, $J$3, , $G$3, $H$3))-1),"")</f>
        <v/>
      </c>
      <c r="TZ12" s="72" t="str">
        <f>IFERROR(IF(OR($B12="",TZ$3="",TZ$4=""),"",(_xll.ciqfunctions.udf.CIQ($B12,"IQ_TOTAL_BANK_CAPITAL",TZ$3,$E$3, $J$3, , $G$3, $H$3)/_xll.ciqfunctions.udf.CIQ($B12,"IQ_TOTAL_BANK_CAPITAL",TZ$4,$E$3, $J$3, , $G$3, $H$3))-1),"")</f>
        <v/>
      </c>
      <c r="UA12" s="72" t="str">
        <f>IFERROR(IF(OR($B12="",UA$3="",UA$4=""),"",(_xll.ciqfunctions.udf.CIQ($B12,"IQ_TOTAL_BANK_CAPITAL",UA$3,$E$3, $J$3, , $G$3, $H$3)/_xll.ciqfunctions.udf.CIQ($B12,"IQ_TOTAL_BANK_CAPITAL",UA$4,$E$3, $J$3, , $G$3, $H$3))-1),"")</f>
        <v/>
      </c>
      <c r="UB12" s="72" t="str">
        <f>IFERROR(IF(OR($B12="",UB$3="",UB$4=""),"",(_xll.ciqfunctions.udf.CIQ($B12,"IQ_TOTAL_BANK_CAPITAL",UB$3,$E$3, $J$3, , $G$3, $H$3)/_xll.ciqfunctions.udf.CIQ($B12,"IQ_TOTAL_BANK_CAPITAL",UB$4,$E$3, $J$3, , $G$3, $H$3))-1),"")</f>
        <v/>
      </c>
      <c r="UC12" s="72" t="str">
        <f>IFERROR(IF(OR($B12="",UC$3="",UC$4=""),"",(_xll.ciqfunctions.udf.CIQ($B12,"IQ_TOTAL_BANK_CAPITAL",UC$3,$E$3, $J$3, , $G$3, $H$3)/_xll.ciqfunctions.udf.CIQ($B12,"IQ_TOTAL_BANK_CAPITAL",UC$4,$E$3, $J$3, , $G$3, $H$3))-1),"")</f>
        <v/>
      </c>
      <c r="UD12" s="72" t="str">
        <f>IFERROR(IF(OR($B12="",UD$3="",UD$4=""),"",(_xll.ciqfunctions.udf.CIQ($B12,"IQ_TOTAL_BANK_CAPITAL",UD$3,$E$3, $J$3, , $G$3, $H$3)/_xll.ciqfunctions.udf.CIQ($B12,"IQ_TOTAL_BANK_CAPITAL",UD$4,$E$3, $J$3, , $G$3, $H$3))-1),"")</f>
        <v/>
      </c>
      <c r="UE12" s="86" t="str">
        <f>IFERROR(IF(OR($B12="",UE$3=""),"",(_xll.ciqfunctions.udf.CIQ($B12,"IQ_TOTAL_CAPITAL_RATIO",UE$3,$E$3, $J$3, , $G$3, $H$3) - _xll.ciqfunctions.udf.CIQ($B12,"IQ_TIER_ONE_RATIO",UE$3,$E$3, $J$3, , $G$3, $H$3))/100),"")</f>
        <v/>
      </c>
      <c r="UF12" s="87" t="str">
        <f>IFERROR(IF(OR($B12="",UF$3=""),"",(_xll.ciqfunctions.udf.CIQ($B12,"IQ_TOTAL_CAPITAL_RATIO",UF$3,$E$3, $J$3, , $G$3, $H$3) - _xll.ciqfunctions.udf.CIQ($B12,"IQ_TIER_ONE_RATIO",UF$3,$E$3, $J$3, , $G$3, $H$3))/100),"")</f>
        <v/>
      </c>
      <c r="UG12" s="87" t="str">
        <f>IFERROR(IF(OR($B12="",UG$3=""),"",(_xll.ciqfunctions.udf.CIQ($B12,"IQ_TOTAL_CAPITAL_RATIO",UG$3,$E$3, $J$3, , $G$3, $H$3) - _xll.ciqfunctions.udf.CIQ($B12,"IQ_TIER_ONE_RATIO",UG$3,$E$3, $J$3, , $G$3, $H$3))/100),"")</f>
        <v/>
      </c>
      <c r="UH12" s="87" t="str">
        <f>IFERROR(IF(OR($B12="",UH$3=""),"",(_xll.ciqfunctions.udf.CIQ($B12,"IQ_TOTAL_CAPITAL_RATIO",UH$3,$E$3, $J$3, , $G$3, $H$3) - _xll.ciqfunctions.udf.CIQ($B12,"IQ_TIER_ONE_RATIO",UH$3,$E$3, $J$3, , $G$3, $H$3))/100),"")</f>
        <v/>
      </c>
      <c r="UI12" s="87" t="str">
        <f>IFERROR(IF(OR($B12="",UI$3=""),"",(_xll.ciqfunctions.udf.CIQ($B12,"IQ_TOTAL_CAPITAL_RATIO",UI$3,$E$3, $J$3, , $G$3, $H$3) - _xll.ciqfunctions.udf.CIQ($B12,"IQ_TIER_ONE_RATIO",UI$3,$E$3, $J$3, , $G$3, $H$3))/100),"")</f>
        <v/>
      </c>
      <c r="UJ12" s="87" t="str">
        <f>IFERROR(IF(OR($B12="",UJ$3=""),"",(_xll.ciqfunctions.udf.CIQ($B12,"IQ_TOTAL_CAPITAL_RATIO",UJ$3,$E$3, $J$3, , $G$3, $H$3) - _xll.ciqfunctions.udf.CIQ($B12,"IQ_TIER_ONE_RATIO",UJ$3,$E$3, $J$3, , $G$3, $H$3))/100),"")</f>
        <v/>
      </c>
      <c r="UK12" s="87" t="str">
        <f>IFERROR(IF(OR($B12="",UK$3=""),"",(_xll.ciqfunctions.udf.CIQ($B12,"IQ_TOTAL_CAPITAL_RATIO",UK$3,$E$3, $J$3, , $G$3, $H$3) - _xll.ciqfunctions.udf.CIQ($B12,"IQ_TIER_ONE_RATIO",UK$3,$E$3, $J$3, , $G$3, $H$3))/100),"")</f>
        <v/>
      </c>
      <c r="UL12" s="87" t="str">
        <f>IFERROR(IF(OR($B12="",UL$3=""),"",(_xll.ciqfunctions.udf.CIQ($B12,"IQ_TOTAL_CAPITAL_RATIO",UL$3,$E$3, $J$3, , $G$3, $H$3) - _xll.ciqfunctions.udf.CIQ($B12,"IQ_TIER_ONE_RATIO",UL$3,$E$3, $J$3, , $G$3, $H$3))/100),"")</f>
        <v/>
      </c>
      <c r="UM12" s="87" t="str">
        <f>IFERROR(IF(OR($B12="",UM$3=""),"",(_xll.ciqfunctions.udf.CIQ($B12,"IQ_TOTAL_CAPITAL_RATIO",UM$3,$E$3, $J$3, , $G$3, $H$3) - _xll.ciqfunctions.udf.CIQ($B12,"IQ_TIER_ONE_RATIO",UM$3,$E$3, $J$3, , $G$3, $H$3))/100),"")</f>
        <v/>
      </c>
      <c r="UN12" s="87" t="str">
        <f>IFERROR(IF(OR($B12="",UN$3=""),"",(_xll.ciqfunctions.udf.CIQ($B12,"IQ_TOTAL_CAPITAL_RATIO",UN$3,$E$3, $J$3, , $G$3, $H$3) - _xll.ciqfunctions.udf.CIQ($B12,"IQ_TIER_ONE_RATIO",UN$3,$E$3, $J$3, , $G$3, $H$3))/100),"")</f>
        <v/>
      </c>
      <c r="UO12" s="87" t="str">
        <f>IFERROR(IF(OR($B12="",UO$3=""),"",(_xll.ciqfunctions.udf.CIQ($B12,"IQ_TOTAL_CAPITAL_RATIO",UO$3,$E$3, $J$3, , $G$3, $H$3) - _xll.ciqfunctions.udf.CIQ($B12,"IQ_TIER_ONE_RATIO",UO$3,$E$3, $J$3, , $G$3, $H$3))/100),"")</f>
        <v/>
      </c>
      <c r="UP12" s="87" t="str">
        <f>IFERROR(IF(OR($B12="",UP$3=""),"",(_xll.ciqfunctions.udf.CIQ($B12,"IQ_TOTAL_CAPITAL_RATIO",UP$3,$E$3, $J$3, , $G$3, $H$3) - _xll.ciqfunctions.udf.CIQ($B12,"IQ_TIER_ONE_RATIO",UP$3,$E$3, $J$3, , $G$3, $H$3))/100),"")</f>
        <v/>
      </c>
      <c r="UQ12" s="87" t="str">
        <f>IFERROR(IF(OR($B12="",UQ$3=""),"",(_xll.ciqfunctions.udf.CIQ($B12,"IQ_TOTAL_CAPITAL_RATIO",UQ$3,$E$3, $J$3, , $G$3, $H$3) - _xll.ciqfunctions.udf.CIQ($B12,"IQ_TIER_ONE_RATIO",UQ$3,$E$3, $J$3, , $G$3, $H$3))/100),"")</f>
        <v/>
      </c>
      <c r="UR12" s="87" t="str">
        <f>IFERROR(IF(OR($B12="",UR$3=""),"",(_xll.ciqfunctions.udf.CIQ($B12,"IQ_TOTAL_CAPITAL_RATIO",UR$3,$E$3, $J$3, , $G$3, $H$3) - _xll.ciqfunctions.udf.CIQ($B12,"IQ_TIER_ONE_RATIO",UR$3,$E$3, $J$3, , $G$3, $H$3))/100),"")</f>
        <v/>
      </c>
      <c r="US12" s="87" t="str">
        <f>IFERROR(IF(OR($B12="",US$3=""),"",(_xll.ciqfunctions.udf.CIQ($B12,"IQ_TOTAL_CAPITAL_RATIO",US$3,$E$3, $J$3, , $G$3, $H$3) - _xll.ciqfunctions.udf.CIQ($B12,"IQ_TIER_ONE_RATIO",US$3,$E$3, $J$3, , $G$3, $H$3))/100),"")</f>
        <v/>
      </c>
      <c r="UT12" s="87" t="str">
        <f>IFERROR(IF(OR($B12="",UT$3=""),"",(_xll.ciqfunctions.udf.CIQ($B12,"IQ_TOTAL_CAPITAL_RATIO",UT$3,$E$3, $J$3, , $G$3, $H$3) - _xll.ciqfunctions.udf.CIQ($B12,"IQ_TIER_ONE_RATIO",UT$3,$E$3, $J$3, , $G$3, $H$3))/100),"")</f>
        <v/>
      </c>
      <c r="UU12" s="87" t="str">
        <f>IFERROR(IF(OR($B12="",UU$3=""),"",(_xll.ciqfunctions.udf.CIQ($B12,"IQ_TOTAL_CAPITAL_RATIO",UU$3,$E$3, $J$3, , $G$3, $H$3) - _xll.ciqfunctions.udf.CIQ($B12,"IQ_TIER_ONE_RATIO",UU$3,$E$3, $J$3, , $G$3, $H$3))/100),"")</f>
        <v/>
      </c>
      <c r="UV12" s="87" t="str">
        <f>IFERROR(IF(OR($B12="",UV$3=""),"",(_xll.ciqfunctions.udf.CIQ($B12,"IQ_TOTAL_CAPITAL_RATIO",UV$3,$E$3, $J$3, , $G$3, $H$3) - _xll.ciqfunctions.udf.CIQ($B12,"IQ_TIER_ONE_RATIO",UV$3,$E$3, $J$3, , $G$3, $H$3))/100),"")</f>
        <v/>
      </c>
      <c r="UW12" s="87" t="str">
        <f>IFERROR(IF(OR($B12="",UW$3=""),"",(_xll.ciqfunctions.udf.CIQ($B12,"IQ_TOTAL_CAPITAL_RATIO",UW$3,$E$3, $J$3, , $G$3, $H$3) - _xll.ciqfunctions.udf.CIQ($B12,"IQ_TIER_ONE_RATIO",UW$3,$E$3, $J$3, , $G$3, $H$3))/100),"")</f>
        <v/>
      </c>
      <c r="UX12" s="88" t="str">
        <f>IFERROR(IF(OR($B12="",UX$3=""),"",(_xll.ciqfunctions.udf.CIQ($B12,"IQ_TOTAL_CAPITAL_RATIO",UX$3,$E$3, $J$3, , $G$3, $H$3) - _xll.ciqfunctions.udf.CIQ($B12,"IQ_TIER_ONE_RATIO",UX$3,$E$3, $J$3, , $G$3, $H$3))/100),"")</f>
        <v/>
      </c>
    </row>
    <row r="13" spans="1:570" ht="15" customHeight="1" x14ac:dyDescent="0.2">
      <c r="A13" s="218" t="str">
        <f>IF(B13="","",_xll.ciqfunctions.udf.CIQ($B13,"IQ_COMPANY_NAME"))</f>
        <v/>
      </c>
      <c r="B13" s="272" t="str">
        <f>IF(Input!B25="","",Input!B25)</f>
        <v/>
      </c>
      <c r="C13" s="272">
        <f>Input!E25</f>
        <v>0</v>
      </c>
      <c r="D13" s="269" t="str">
        <f>IF(B13="","",_xll.ciqfunctions.udf.CIQ($B13,"IQ_PRIMARY_INDUSTRY"))</f>
        <v/>
      </c>
      <c r="E13" s="219" t="str">
        <f>IF($B13="","",IF(NOT(ISNUMBER(_xll.ciqfunctions.udf.CIQ($B13, "IQ_CLOSEPRICE", $E$3, $G$3, $H$3))),"",_xll.ciqfunctions.udf.CIQ($B13, "IQ_CLOSEPRICE", $E$3, $G$3, $H$3)))</f>
        <v/>
      </c>
      <c r="F13" s="219" t="str">
        <f>IF($B13="","",IF(NOT(ISNUMBER(_xll.ciqfunctions.udf.CIQ($B13, "IQ_CLOSEPRICE", $E$4, $G$3, $H$3))),"",_xll.ciqfunctions.udf.CIQ($B13, "IQ_CLOSEPRICE", $E$4, $G$3, $H$3)))</f>
        <v/>
      </c>
      <c r="G13" s="220" t="str">
        <f t="shared" si="351"/>
        <v/>
      </c>
      <c r="H13" s="220" t="str">
        <f>IFERROR(IF($B13="","",_xll.ciqfunctions.udf.CIQ($B13, "IQ_TOTAL_REV_1YR_ANN_GROWTH", $I$3, $E$3, $J$3)/100),"")</f>
        <v/>
      </c>
      <c r="I13" s="220" t="str">
        <f>IFERROR(IF($B13="","",_xll.ciqfunctions.udf.CIQ($B13,"IQ_NET_INT_INC_BNK",$I$3, $E$3, $J$3, , $G$3, $H$3)/_xll.ciqfunctions.udf.CIQ($B13,"IQ_GROSS_LOANS",$I$3, $E$3, $J$3, , $G$3, $H$3)),"")</f>
        <v/>
      </c>
      <c r="J13" s="220" t="str">
        <f>IFERROR(IF(B13="","",_xll.ciqfunctions.udf.CIQ($B13,"IQ_EBT",$I$3, $E$3, $J$3, , $G$3, $H$3)/_xll.ciqfunctions.udf.CIQ($B13,"IQ_TOTAL_REVENUE",$I$3, $E$3, $J$3, , $G$3, $H$3)),"")</f>
        <v/>
      </c>
      <c r="K13" s="220" t="str">
        <f>IFERROR(IF(B13="","",_xll.ciqfunctions.udf.CIQ($B13,"IQ_NI_MARGIN",$I$3, $E$3, $J$3, , $G$3, $H$3)/100),"")</f>
        <v/>
      </c>
      <c r="L13" s="220" t="str">
        <f>IFERROR(IF($B13="","",_xll.ciqfunctions.udf.CIQ($B13,"IQ_NI",$I$3, $E$3, $J$3, , $G$3, $H$3)/(0.5*(_xll.ciqfunctions.udf.CIQ($B13,"IQ_TOTAL_ASSETS",$I$3, $E$3, $J$3, , $G$3, $H$3)+_xll.ciqfunctions.udf.CIQ($B13,"IQ_TOTAL_ASSETS",$I$3 &amp; "-4", $E$3, $J$3, , $G$3, $H$3)))),"")</f>
        <v/>
      </c>
      <c r="M13" s="220" t="str">
        <f>IFERROR(_xll.ciqfunctions.udf.CIQ($B13,"IQ_NI",$I$3, $E$3, $J$3, , $G$3, $H$3)/(_xll.ciqfunctions.udf.CIQ($B13,"IQ_TOTAL_ASSETS",$I$3, $E$3, $J$3, , $G$3, $H$3)+_xll.ciqfunctions.udf.CIQ($B13,"IQ_TOTAL_ASSETS",$I$3 &amp; "-4", $E$3, $J$3, , $G$3, $H$3)-_xll.ciqfunctions.udf.CIQ($B13,"IQ_TOTAL_CL",$I$3, $E$3, $J$3, , $G$3, $H$3)-_xll.ciqfunctions.udf.CIQ($B13,"IQ_TOTAL_CL",$I$3 &amp; "-4", $E$3, $J$3, , $G$3, $H$3)),"")</f>
        <v/>
      </c>
      <c r="N13" s="220" t="str">
        <f>IFERROR(IF($B13="","",_xll.ciqfunctions.udf.CIQ($B13,"IQ_NI",$I$3, $E$3, $J$3, , $G$3, $H$3)/(0.5*(_xll.ciqfunctions.udf.CIQ($B13,"IQ_TOTAL_EQUITY",$I$3, $E$3, $J$3, , $G$3, $H$3)+_xll.ciqfunctions.udf.CIQ($B13,"IQ_TOTAL_EQUITY",$I$3 &amp; "-4", $E$3, $J$3, , $G$3, $H$3)))),"")</f>
        <v/>
      </c>
      <c r="O13" s="222" t="str">
        <f>IFERROR(IF($B13="","",(_xll.ciqfunctions.udf.CIQ($B13,"IQ_TIER_ONE_CAPITAL",$I$3, $E$3, $J$3, , $G$3, $H$3)+_xll.ciqfunctions.udf.CIQ($B13,"IQ_TIER_TWO_CAPITAL",$I$3, $E$3, $J$3, , $G$3, $H$3)-_xll.ciqfunctions.udf.CIQ($B13,"IQ_GW",$I$3, $E$3, $J$3, , $G$3, $H$3))/_xll.ciqfunctions.udf.CIQ($B13,"IQ_RISK_ADJ_BANK_ASSETS",$I$3, $E$3, $J$3, , $G$3, $H$3)),"")</f>
        <v/>
      </c>
      <c r="P13" s="222" t="str">
        <f>IFERROR(IF($B13="","",(_xll.ciqfunctions.udf.CIQ($B13,"IQ_TIER_ONE_CAPITAL",$I$3, $E$3, $J$3, , $G$3, $H$3)+_xll.ciqfunctions.udf.CIQ($B13,"IQ_TIER_TWO_CAPITAL",$I$3, $E$3, $J$3, , $G$3, $H$3))/_xll.ciqfunctions.udf.CIQ($B13,"IQ_TOTAL_ASSETS",$I$3, $E$3, $J$3, , $G$3, $H$3)),"")</f>
        <v/>
      </c>
      <c r="Q13" s="220" t="str">
        <f>IFERROR(IF(B13="","",_xll.ciqfunctions.udf.CIQ($B13,"IQ_TIER_ONE_RATIO",$I$3, $E$3, $J$3, , $G$3, $H$3)/100),"")</f>
        <v/>
      </c>
      <c r="R13" s="220" t="str">
        <f t="shared" si="330"/>
        <v/>
      </c>
      <c r="S13" s="220" t="str">
        <f>IFERROR(IF(B13="","",_xll.ciqfunctions.udf.CIQ($B13,"IQ_TOTAL_CAPITAL_RATIO",$I$3, $E$3, $J$3, , $G$3, $H$3)/100),"")</f>
        <v/>
      </c>
      <c r="T13" s="220" t="str">
        <f>IFERROR(IF($B13="","",_xll.ciqfunctions.udf.CIQ($B13,"IQ_NON_PERF_LOANS_TOTAL_LOANS",$I$3, $E$3, $J$3, , $G$3, $H$3)/100),"")</f>
        <v/>
      </c>
      <c r="U13" s="222" t="str">
        <f>IFERROR(IF($B13="","",-_xll.ciqfunctions.udf.CIQ($B13,"IQ_ALLOW_LL",$I$3, $E$3, $J$3, , $G$3, $H$3)/_xll.ciqfunctions.udf.CIQ($B13,"IQ_TOTAL_LOANS",$I$3, $E$3, $J$3, , $G$3, $H$3)),"")</f>
        <v/>
      </c>
      <c r="V13" s="220" t="str">
        <f>IFERROR(IF($B13="","",_xll.ciqfunctions.udf.CIQ($B13,"IQ_LL",$I$3, $E$3, $J$3, , $G$3, $H$3)/_xll.ciqfunctions.udf.CIQ($B13,"IQ_NET_LOANS",$I$3, $E$3, $J$3, , $G$3, $H$3)),"")</f>
        <v/>
      </c>
      <c r="W13" s="220" t="str">
        <f>IFERROR(IF(B13="","",_xll.ciqfunctions.udf.CIQ($B13,"IQ_NET_LOANS",$I$3, $E$3, $J$3, , $G$3, $H$3)/_xll.ciqfunctions.udf.CIQ($B13,"IQ_TOTAL_ASSETS",$I$3, $E$3, $J$3, , $G$3, $H$3)),"")</f>
        <v/>
      </c>
      <c r="X13" s="222" t="str">
        <f>IFERROR(IF($B13="","",_xll.ciqfunctions.udf.CIQ($B13,"IQ_TOTAL_LOANS",$I$3, $E$3, $J$3, , $G$3, $H$3)/_xll.ciqfunctions.udf.CIQ($B13,"IQ_TOTAL_DEPOSITS",$I$3, $E$3, $J$3, , $G$3, $H$3)),"")</f>
        <v/>
      </c>
      <c r="Y13" s="220" t="str">
        <f>IFERROR(IF($B13="","",_xll.ciqfunctions.udf.CIQ($B13,"IQ_TOTAL_DEPOSITS",$I$3, $E$3, $J$3, , $G$3, $H$3)/_xll.ciqfunctions.udf.CIQ($B13,"IQ_TOTAL_ASSETS",$I$3, $E$3, $J$3, , $G$3, $H$3)),"")</f>
        <v/>
      </c>
      <c r="Z13" s="221" t="str">
        <f>IFERROR(IF(B13="","",_xll.ciqfunctions.udf.CIQ($B13,"IQ_TOTAL_ASSETS",IQ_LTM)/_xll.ciqfunctions.udf.CIQ($B13,"IQ_TOTAL_COMMON_EQUITY",IQ_LTM)),"")</f>
        <v/>
      </c>
      <c r="AA13" s="222" t="str">
        <f>IFERROR(IF($B13="","",_xll.ciqfunctions.udf.CIQ($B13,"IQ_CASH_OPER",$I$3, $E$3, $J$3, , $G$3, $H$3)*2/(_xll.ciqfunctions.udf.CIQ($B13,"IQ_TOTAL_CL",$I$3, $E$3, $J$3, , $G$3, $H$3)+_xll.ciqfunctions.udf.CIQ($B13,"IQ_TOTAL_CL",$I$3 &amp; "-4", $E$3, $J$3, , $G$3, $H$3))),"")</f>
        <v/>
      </c>
      <c r="AB13" s="222" t="str">
        <f>IFERROR(IF($B13="","",_xll.ciqfunctions.udf.CIQ($B13,"IQ_NON_PERFORMING_LOANS",$I$3, $E$3, $J$3, , $G$3, $H$3)/_xll.ciqfunctions.udf.CIQ($B13,"IQ_TOTAL_EQUITY",$I$3, $E$3, $J$3, , $G$3, $H$3)),"")</f>
        <v/>
      </c>
      <c r="AC13" s="1021" t="str">
        <f>IF(B13="","",IF(NOT(ISNUMBER(_xll.ciqfunctions.udf.CIQ($B13,"IQ_Z_SCORE",$I$3, $E$3, $J$3, , $G$3, $H$3))),"",_xll.ciqfunctions.udf.CIQ($B13,"IQ_Z_SCORE",$I$3, $E$3, $J$3, , $G$3, $H$3)))</f>
        <v/>
      </c>
      <c r="AD13" s="19"/>
      <c r="AE13" s="86" t="str">
        <f>IFERROR(IF(OR($B13="",AE$3=""),"",_xll.ciqfunctions.udf.CIQ($B13,"IQ_NET_INT_INC_BNK",AE$3,$E$3, $J$3, , $G$3, $H$3)*2/(_xll.ciqfunctions.udf.CIQ($B13,"IQ_GROSS_LOANS",AE$3,$E$3, $J$3, , $G$3, $H$3)+_xll.ciqfunctions.udf.CIQ($B13,"IQ_GROSS_LOANS", "IQ_" &amp; LEFT(AE$3,2) &amp; "-1",AE$3, $J$3, , $G$3, $H$3))),"")</f>
        <v/>
      </c>
      <c r="AF13" s="87" t="str">
        <f>IFERROR(IF(OR($B13="",AF$3=""),"",_xll.ciqfunctions.udf.CIQ($B13,"IQ_NET_INT_INC_BNK",AF$3,$E$3, $J$3, , $G$3, $H$3)*2/(_xll.ciqfunctions.udf.CIQ($B13,"IQ_GROSS_LOANS",AF$3,$E$3, $J$3, , $G$3, $H$3)+_xll.ciqfunctions.udf.CIQ($B13,"IQ_GROSS_LOANS", "IQ_" &amp; LEFT(AF$3,2) &amp; "-1",AF$3, $J$3, , $G$3, $H$3))),"")</f>
        <v/>
      </c>
      <c r="AG13" s="87" t="str">
        <f>IFERROR(IF(OR($B13="",AG$3=""),"",_xll.ciqfunctions.udf.CIQ($B13,"IQ_NET_INT_INC_BNK",AG$3,$E$3, $J$3, , $G$3, $H$3)*2/(_xll.ciqfunctions.udf.CIQ($B13,"IQ_GROSS_LOANS",AG$3,$E$3, $J$3, , $G$3, $H$3)+_xll.ciqfunctions.udf.CIQ($B13,"IQ_GROSS_LOANS", "IQ_" &amp; LEFT(AG$3,2) &amp; "-1",AG$3, $J$3, , $G$3, $H$3))),"")</f>
        <v/>
      </c>
      <c r="AH13" s="87" t="str">
        <f>IFERROR(IF(OR($B13="",AH$3=""),"",_xll.ciqfunctions.udf.CIQ($B13,"IQ_NET_INT_INC_BNK",AH$3,$E$3, $J$3, , $G$3, $H$3)*2/(_xll.ciqfunctions.udf.CIQ($B13,"IQ_GROSS_LOANS",AH$3,$E$3, $J$3, , $G$3, $H$3)+_xll.ciqfunctions.udf.CIQ($B13,"IQ_GROSS_LOANS", "IQ_" &amp; LEFT(AH$3,2) &amp; "-1",AH$3, $J$3, , $G$3, $H$3))),"")</f>
        <v/>
      </c>
      <c r="AI13" s="87" t="str">
        <f>IFERROR(IF(OR($B13="",AI$3=""),"",_xll.ciqfunctions.udf.CIQ($B13,"IQ_NET_INT_INC_BNK",AI$3,$E$3, $J$3, , $G$3, $H$3)*2/(_xll.ciqfunctions.udf.CIQ($B13,"IQ_GROSS_LOANS",AI$3,$E$3, $J$3, , $G$3, $H$3)+_xll.ciqfunctions.udf.CIQ($B13,"IQ_GROSS_LOANS", "IQ_" &amp; LEFT(AI$3,2) &amp; "-1",AI$3, $J$3, , $G$3, $H$3))),"")</f>
        <v/>
      </c>
      <c r="AJ13" s="87" t="str">
        <f>IFERROR(IF(OR($B13="",AJ$3=""),"",_xll.ciqfunctions.udf.CIQ($B13,"IQ_NET_INT_INC_BNK",AJ$3,$E$3, $J$3, , $G$3, $H$3)*2/(_xll.ciqfunctions.udf.CIQ($B13,"IQ_GROSS_LOANS",AJ$3,$E$3, $J$3, , $G$3, $H$3)+_xll.ciqfunctions.udf.CIQ($B13,"IQ_GROSS_LOANS", "IQ_" &amp; LEFT(AJ$3,2) &amp; "-1",AJ$3, $J$3, , $G$3, $H$3))),"")</f>
        <v/>
      </c>
      <c r="AK13" s="87" t="str">
        <f>IFERROR(IF(OR($B13="",AK$3=""),"",_xll.ciqfunctions.udf.CIQ($B13,"IQ_NET_INT_INC_BNK",AK$3,$E$3, $J$3, , $G$3, $H$3)*2/(_xll.ciqfunctions.udf.CIQ($B13,"IQ_GROSS_LOANS",AK$3,$E$3, $J$3, , $G$3, $H$3)+_xll.ciqfunctions.udf.CIQ($B13,"IQ_GROSS_LOANS", "IQ_" &amp; LEFT(AK$3,2) &amp; "-1",AK$3, $J$3, , $G$3, $H$3))),"")</f>
        <v/>
      </c>
      <c r="AL13" s="87" t="str">
        <f>IFERROR(IF(OR($B13="",AL$3=""),"",_xll.ciqfunctions.udf.CIQ($B13,"IQ_NET_INT_INC_BNK",AL$3,$E$3, $J$3, , $G$3, $H$3)*2/(_xll.ciqfunctions.udf.CIQ($B13,"IQ_GROSS_LOANS",AL$3,$E$3, $J$3, , $G$3, $H$3)+_xll.ciqfunctions.udf.CIQ($B13,"IQ_GROSS_LOANS", "IQ_" &amp; LEFT(AL$3,2) &amp; "-1",AL$3, $J$3, , $G$3, $H$3))),"")</f>
        <v/>
      </c>
      <c r="AM13" s="87" t="str">
        <f>IFERROR(IF(OR($B13="",AM$3=""),"",_xll.ciqfunctions.udf.CIQ($B13,"IQ_NET_INT_INC_BNK",AM$3,$E$3, $J$3, , $G$3, $H$3)*2/(_xll.ciqfunctions.udf.CIQ($B13,"IQ_GROSS_LOANS",AM$3,$E$3, $J$3, , $G$3, $H$3)+_xll.ciqfunctions.udf.CIQ($B13,"IQ_GROSS_LOANS", "IQ_" &amp; LEFT(AM$3,2) &amp; "-1",AM$3, $J$3, , $G$3, $H$3))),"")</f>
        <v/>
      </c>
      <c r="AN13" s="87" t="str">
        <f>IFERROR(IF(OR($B13="",AN$3=""),"",_xll.ciqfunctions.udf.CIQ($B13,"IQ_NET_INT_INC_BNK",AN$3,$E$3, $J$3, , $G$3, $H$3)*2/(_xll.ciqfunctions.udf.CIQ($B13,"IQ_GROSS_LOANS",AN$3,$E$3, $J$3, , $G$3, $H$3)+_xll.ciqfunctions.udf.CIQ($B13,"IQ_GROSS_LOANS", "IQ_" &amp; LEFT(AN$3,2) &amp; "-1",AN$3, $J$3, , $G$3, $H$3))),"")</f>
        <v/>
      </c>
      <c r="AO13" s="87" t="str">
        <f>IFERROR(IF(OR($B13="",AO$3=""),"",_xll.ciqfunctions.udf.CIQ($B13,"IQ_NET_INT_INC_BNK",AO$3,$E$3, $J$3, , $G$3, $H$3)*2/(_xll.ciqfunctions.udf.CIQ($B13,"IQ_GROSS_LOANS",AO$3,$E$3, $J$3, , $G$3, $H$3)+_xll.ciqfunctions.udf.CIQ($B13,"IQ_GROSS_LOANS", "IQ_" &amp; LEFT(AO$3,2) &amp; "-1",AO$3, $J$3, , $G$3, $H$3))),"")</f>
        <v/>
      </c>
      <c r="AP13" s="87" t="str">
        <f>IFERROR(IF(OR($B13="",AP$3=""),"",_xll.ciqfunctions.udf.CIQ($B13,"IQ_NET_INT_INC_BNK",AP$3,$E$3, $J$3, , $G$3, $H$3)*2/(_xll.ciqfunctions.udf.CIQ($B13,"IQ_GROSS_LOANS",AP$3,$E$3, $J$3, , $G$3, $H$3)+_xll.ciqfunctions.udf.CIQ($B13,"IQ_GROSS_LOANS", "IQ_" &amp; LEFT(AP$3,2) &amp; "-1",AP$3, $J$3, , $G$3, $H$3))),"")</f>
        <v/>
      </c>
      <c r="AQ13" s="87" t="str">
        <f>IFERROR(IF(OR($B13="",AQ$3=""),"",_xll.ciqfunctions.udf.CIQ($B13,"IQ_NET_INT_INC_BNK",AQ$3,$E$3, $J$3, , $G$3, $H$3)*2/(_xll.ciqfunctions.udf.CIQ($B13,"IQ_GROSS_LOANS",AQ$3,$E$3, $J$3, , $G$3, $H$3)+_xll.ciqfunctions.udf.CIQ($B13,"IQ_GROSS_LOANS", "IQ_" &amp; LEFT(AQ$3,2) &amp; "-1",AQ$3, $J$3, , $G$3, $H$3))),"")</f>
        <v/>
      </c>
      <c r="AR13" s="87" t="str">
        <f>IFERROR(IF(OR($B13="",AR$3=""),"",_xll.ciqfunctions.udf.CIQ($B13,"IQ_NET_INT_INC_BNK",AR$3,$E$3, $J$3, , $G$3, $H$3)*2/(_xll.ciqfunctions.udf.CIQ($B13,"IQ_GROSS_LOANS",AR$3,$E$3, $J$3, , $G$3, $H$3)+_xll.ciqfunctions.udf.CIQ($B13,"IQ_GROSS_LOANS", "IQ_" &amp; LEFT(AR$3,2) &amp; "-1",AR$3, $J$3, , $G$3, $H$3))),"")</f>
        <v/>
      </c>
      <c r="AS13" s="87" t="str">
        <f>IFERROR(IF(OR($B13="",AS$3=""),"",_xll.ciqfunctions.udf.CIQ($B13,"IQ_NET_INT_INC_BNK",AS$3,$E$3, $J$3, , $G$3, $H$3)*2/(_xll.ciqfunctions.udf.CIQ($B13,"IQ_GROSS_LOANS",AS$3,$E$3, $J$3, , $G$3, $H$3)+_xll.ciqfunctions.udf.CIQ($B13,"IQ_GROSS_LOANS", "IQ_" &amp; LEFT(AS$3,2) &amp; "-1",AS$3, $J$3, , $G$3, $H$3))),"")</f>
        <v/>
      </c>
      <c r="AT13" s="87" t="str">
        <f>IFERROR(IF(OR($B13="",AT$3=""),"",_xll.ciqfunctions.udf.CIQ($B13,"IQ_NET_INT_INC_BNK",AT$3,$E$3, $J$3, , $G$3, $H$3)*2/(_xll.ciqfunctions.udf.CIQ($B13,"IQ_GROSS_LOANS",AT$3,$E$3, $J$3, , $G$3, $H$3)+_xll.ciqfunctions.udf.CIQ($B13,"IQ_GROSS_LOANS", "IQ_" &amp; LEFT(AT$3,2) &amp; "-1",AT$3, $J$3, , $G$3, $H$3))),"")</f>
        <v/>
      </c>
      <c r="AU13" s="87" t="str">
        <f>IFERROR(IF(OR($B13="",AU$3=""),"",_xll.ciqfunctions.udf.CIQ($B13,"IQ_NET_INT_INC_BNK",AU$3,$E$3, $J$3, , $G$3, $H$3)*2/(_xll.ciqfunctions.udf.CIQ($B13,"IQ_GROSS_LOANS",AU$3,$E$3, $J$3, , $G$3, $H$3)+_xll.ciqfunctions.udf.CIQ($B13,"IQ_GROSS_LOANS", "IQ_" &amp; LEFT(AU$3,2) &amp; "-1",AU$3, $J$3, , $G$3, $H$3))),"")</f>
        <v/>
      </c>
      <c r="AV13" s="87" t="str">
        <f>IFERROR(IF(OR($B13="",AV$3=""),"",_xll.ciqfunctions.udf.CIQ($B13,"IQ_NET_INT_INC_BNK",AV$3,$E$3, $J$3, , $G$3, $H$3)*2/(_xll.ciqfunctions.udf.CIQ($B13,"IQ_GROSS_LOANS",AV$3,$E$3, $J$3, , $G$3, $H$3)+_xll.ciqfunctions.udf.CIQ($B13,"IQ_GROSS_LOANS", "IQ_" &amp; LEFT(AV$3,2) &amp; "-1",AV$3, $J$3, , $G$3, $H$3))),"")</f>
        <v/>
      </c>
      <c r="AW13" s="87" t="str">
        <f>IFERROR(IF(OR($B13="",AW$3=""),"",_xll.ciqfunctions.udf.CIQ($B13,"IQ_NET_INT_INC_BNK",AW$3,$E$3, $J$3, , $G$3, $H$3)*2/(_xll.ciqfunctions.udf.CIQ($B13,"IQ_GROSS_LOANS",AW$3,$E$3, $J$3, , $G$3, $H$3)+_xll.ciqfunctions.udf.CIQ($B13,"IQ_GROSS_LOANS", "IQ_" &amp; LEFT(AW$3,2) &amp; "-1",AW$3, $J$3, , $G$3, $H$3))),"")</f>
        <v/>
      </c>
      <c r="AX13" s="88" t="str">
        <f>IFERROR(IF(OR($B13="",AX$3=""),"",_xll.ciqfunctions.udf.CIQ($B13,"IQ_NET_INT_INC_BNK",AX$3,$E$3, $J$3, , $G$3, $H$3)*2/(_xll.ciqfunctions.udf.CIQ($B13,"IQ_GROSS_LOANS",AX$3,$E$3, $J$3, , $G$3, $H$3)+_xll.ciqfunctions.udf.CIQ($B13,"IQ_GROSS_LOANS", "IQ_" &amp; LEFT(AX$3,2) &amp; "-1",AX$3, $J$3, , $G$3, $H$3))),"")</f>
        <v/>
      </c>
      <c r="AY13" s="72" t="str">
        <f>IFERROR(IF(OR($B13="",AY$3=""),"",_xll.ciqfunctions.udf.CIQ($B13, "IQ_EBT", AY$3,$E$3, $J$3, , $G$3, $H$3)/(_xll.ciqfunctions.udf.CIQ($B13,"IQ_INT_INC_TOTAL",BW$3,$E$3, $J$3, , $G$3, $H$3)+_xll.ciqfunctions.udf.CIQ($B13,"IQ_NON_INT_INC",BW$3,$E$3, $J$3, , $G$3, $H$3))),"")</f>
        <v/>
      </c>
      <c r="AZ13" s="72" t="str">
        <f>IFERROR(IF(OR($B13="",AZ$3=""),"",_xll.ciqfunctions.udf.CIQ($B13, "IQ_EBT", AZ$3,$E$3, $J$3, , $G$3, $H$3)/(_xll.ciqfunctions.udf.CIQ($B13,"IQ_INT_INC_TOTAL",BX$3,$E$3, $J$3, , $G$3, $H$3)+_xll.ciqfunctions.udf.CIQ($B13,"IQ_NON_INT_INC",BX$3,$E$3, $J$3, , $G$3, $H$3))),"")</f>
        <v/>
      </c>
      <c r="BA13" s="72" t="str">
        <f>IFERROR(IF(OR($B13="",BA$3=""),"",_xll.ciqfunctions.udf.CIQ($B13, "IQ_EBT", BA$3,$E$3, $J$3, , $G$3, $H$3)/(_xll.ciqfunctions.udf.CIQ($B13,"IQ_INT_INC_TOTAL",BY$3,$E$3, $J$3, , $G$3, $H$3)+_xll.ciqfunctions.udf.CIQ($B13,"IQ_NON_INT_INC",BY$3,$E$3, $J$3, , $G$3, $H$3))),"")</f>
        <v/>
      </c>
      <c r="BB13" s="72" t="str">
        <f>IFERROR(IF(OR($B13="",BB$3=""),"",_xll.ciqfunctions.udf.CIQ($B13, "IQ_EBT", BB$3,$E$3, $J$3, , $G$3, $H$3)/(_xll.ciqfunctions.udf.CIQ($B13,"IQ_INT_INC_TOTAL",BZ$3,$E$3, $J$3, , $G$3, $H$3)+_xll.ciqfunctions.udf.CIQ($B13,"IQ_NON_INT_INC",BZ$3,$E$3, $J$3, , $G$3, $H$3))),"")</f>
        <v/>
      </c>
      <c r="BC13" s="72" t="str">
        <f>IFERROR(IF(OR($B13="",BC$3=""),"",_xll.ciqfunctions.udf.CIQ($B13, "IQ_EBT", BC$3,$E$3, $J$3, , $G$3, $H$3)/(_xll.ciqfunctions.udf.CIQ($B13,"IQ_INT_INC_TOTAL",CA$3,$E$3, $J$3, , $G$3, $H$3)+_xll.ciqfunctions.udf.CIQ($B13,"IQ_NON_INT_INC",CA$3,$E$3, $J$3, , $G$3, $H$3))),"")</f>
        <v/>
      </c>
      <c r="BD13" s="72" t="str">
        <f>IFERROR(IF(OR($B13="",BD$3=""),"",_xll.ciqfunctions.udf.CIQ($B13, "IQ_EBT", BD$3,$E$3, $J$3, , $G$3, $H$3)/(_xll.ciqfunctions.udf.CIQ($B13,"IQ_INT_INC_TOTAL",CB$3,$E$3, $J$3, , $G$3, $H$3)+_xll.ciqfunctions.udf.CIQ($B13,"IQ_NON_INT_INC",CB$3,$E$3, $J$3, , $G$3, $H$3))),"")</f>
        <v/>
      </c>
      <c r="BE13" s="72" t="str">
        <f>IFERROR(IF(OR($B13="",BE$3=""),"",_xll.ciqfunctions.udf.CIQ($B13, "IQ_EBT", BE$3,$E$3, $J$3, , $G$3, $H$3)/(_xll.ciqfunctions.udf.CIQ($B13,"IQ_INT_INC_TOTAL",CC$3,$E$3, $J$3, , $G$3, $H$3)+_xll.ciqfunctions.udf.CIQ($B13,"IQ_NON_INT_INC",CC$3,$E$3, $J$3, , $G$3, $H$3))),"")</f>
        <v/>
      </c>
      <c r="BF13" s="72" t="str">
        <f>IFERROR(IF(OR($B13="",BF$3=""),"",_xll.ciqfunctions.udf.CIQ($B13, "IQ_EBT", BF$3,$E$3, $J$3, , $G$3, $H$3)/(_xll.ciqfunctions.udf.CIQ($B13,"IQ_INT_INC_TOTAL",CD$3,$E$3, $J$3, , $G$3, $H$3)+_xll.ciqfunctions.udf.CIQ($B13,"IQ_NON_INT_INC",CD$3,$E$3, $J$3, , $G$3, $H$3))),"")</f>
        <v/>
      </c>
      <c r="BG13" s="72" t="str">
        <f>IFERROR(IF(OR($B13="",BG$3=""),"",_xll.ciqfunctions.udf.CIQ($B13, "IQ_EBT", BG$3,$E$3, $J$3, , $G$3, $H$3)/(_xll.ciqfunctions.udf.CIQ($B13,"IQ_INT_INC_TOTAL",CE$3,$E$3, $J$3, , $G$3, $H$3)+_xll.ciqfunctions.udf.CIQ($B13,"IQ_NON_INT_INC",CE$3,$E$3, $J$3, , $G$3, $H$3))),"")</f>
        <v/>
      </c>
      <c r="BH13" s="72" t="str">
        <f>IFERROR(IF(OR($B13="",BH$3=""),"",_xll.ciqfunctions.udf.CIQ($B13, "IQ_EBT", BH$3,$E$3, $J$3, , $G$3, $H$3)/(_xll.ciqfunctions.udf.CIQ($B13,"IQ_INT_INC_TOTAL",CF$3,$E$3, $J$3, , $G$3, $H$3)+_xll.ciqfunctions.udf.CIQ($B13,"IQ_NON_INT_INC",CF$3,$E$3, $J$3, , $G$3, $H$3))),"")</f>
        <v/>
      </c>
      <c r="BI13" s="72" t="str">
        <f>IFERROR(IF(OR($B13="",BI$3=""),"",_xll.ciqfunctions.udf.CIQ($B13, "IQ_EBT", BI$3,$E$3, $J$3, , $G$3, $H$3)/(_xll.ciqfunctions.udf.CIQ($B13,"IQ_INT_INC_TOTAL",CG$3,$E$3, $J$3, , $G$3, $H$3)+_xll.ciqfunctions.udf.CIQ($B13,"IQ_NON_INT_INC",CG$3,$E$3, $J$3, , $G$3, $H$3))),"")</f>
        <v/>
      </c>
      <c r="BJ13" s="72" t="str">
        <f>IFERROR(IF(OR($B13="",BJ$3=""),"",_xll.ciqfunctions.udf.CIQ($B13, "IQ_EBT", BJ$3,$E$3, $J$3, , $G$3, $H$3)/(_xll.ciqfunctions.udf.CIQ($B13,"IQ_INT_INC_TOTAL",CH$3,$E$3, $J$3, , $G$3, $H$3)+_xll.ciqfunctions.udf.CIQ($B13,"IQ_NON_INT_INC",CH$3,$E$3, $J$3, , $G$3, $H$3))),"")</f>
        <v/>
      </c>
      <c r="BK13" s="72" t="str">
        <f>IFERROR(IF(OR($B13="",BK$3=""),"",_xll.ciqfunctions.udf.CIQ($B13, "IQ_EBT", BK$3,$E$3, $J$3, , $G$3, $H$3)/(_xll.ciqfunctions.udf.CIQ($B13,"IQ_INT_INC_TOTAL",CI$3,$E$3, $J$3, , $G$3, $H$3)+_xll.ciqfunctions.udf.CIQ($B13,"IQ_NON_INT_INC",CI$3,$E$3, $J$3, , $G$3, $H$3))),"")</f>
        <v/>
      </c>
      <c r="BL13" s="72" t="str">
        <f>IFERROR(IF(OR($B13="",BL$3=""),"",_xll.ciqfunctions.udf.CIQ($B13, "IQ_EBT", BL$3,$E$3, $J$3, , $G$3, $H$3)/(_xll.ciqfunctions.udf.CIQ($B13,"IQ_INT_INC_TOTAL",CJ$3,$E$3, $J$3, , $G$3, $H$3)+_xll.ciqfunctions.udf.CIQ($B13,"IQ_NON_INT_INC",CJ$3,$E$3, $J$3, , $G$3, $H$3))),"")</f>
        <v/>
      </c>
      <c r="BM13" s="72" t="str">
        <f>IFERROR(IF(OR($B13="",BM$3=""),"",_xll.ciqfunctions.udf.CIQ($B13, "IQ_EBT", BM$3,$E$3, $J$3, , $G$3, $H$3)/(_xll.ciqfunctions.udf.CIQ($B13,"IQ_INT_INC_TOTAL",CK$3,$E$3, $J$3, , $G$3, $H$3)+_xll.ciqfunctions.udf.CIQ($B13,"IQ_NON_INT_INC",CK$3,$E$3, $J$3, , $G$3, $H$3))),"")</f>
        <v/>
      </c>
      <c r="BN13" s="72" t="str">
        <f>IFERROR(IF(OR($B13="",BN$3=""),"",_xll.ciqfunctions.udf.CIQ($B13, "IQ_EBT", BN$3,$E$3, $J$3, , $G$3, $H$3)/(_xll.ciqfunctions.udf.CIQ($B13,"IQ_INT_INC_TOTAL",CL$3,$E$3, $J$3, , $G$3, $H$3)+_xll.ciqfunctions.udf.CIQ($B13,"IQ_NON_INT_INC",CL$3,$E$3, $J$3, , $G$3, $H$3))),"")</f>
        <v/>
      </c>
      <c r="BO13" s="72" t="str">
        <f>IFERROR(IF(OR($B13="",BO$3=""),"",_xll.ciqfunctions.udf.CIQ($B13, "IQ_EBT", BO$3,$E$3, $J$3, , $G$3, $H$3)/(_xll.ciqfunctions.udf.CIQ($B13,"IQ_INT_INC_TOTAL",CM$3,$E$3, $J$3, , $G$3, $H$3)+_xll.ciqfunctions.udf.CIQ($B13,"IQ_NON_INT_INC",CM$3,$E$3, $J$3, , $G$3, $H$3))),"")</f>
        <v/>
      </c>
      <c r="BP13" s="72" t="str">
        <f>IFERROR(IF(OR($B13="",BP$3=""),"",_xll.ciqfunctions.udf.CIQ($B13, "IQ_EBT", BP$3,$E$3, $J$3, , $G$3, $H$3)/(_xll.ciqfunctions.udf.CIQ($B13,"IQ_INT_INC_TOTAL",CN$3,$E$3, $J$3, , $G$3, $H$3)+_xll.ciqfunctions.udf.CIQ($B13,"IQ_NON_INT_INC",CN$3,$E$3, $J$3, , $G$3, $H$3))),"")</f>
        <v/>
      </c>
      <c r="BQ13" s="72" t="str">
        <f>IFERROR(IF(OR($B13="",BQ$3=""),"",_xll.ciqfunctions.udf.CIQ($B13, "IQ_EBT", BQ$3,$E$3, $J$3, , $G$3, $H$3)/(_xll.ciqfunctions.udf.CIQ($B13,"IQ_INT_INC_TOTAL",CO$3,$E$3, $J$3, , $G$3, $H$3)+_xll.ciqfunctions.udf.CIQ($B13,"IQ_NON_INT_INC",CO$3,$E$3, $J$3, , $G$3, $H$3))),"")</f>
        <v/>
      </c>
      <c r="BR13" s="72" t="str">
        <f>IFERROR(IF(OR($B13="",BR$3=""),"",_xll.ciqfunctions.udf.CIQ($B13, "IQ_EBT", BR$3,$E$3, $J$3, , $G$3, $H$3)/(_xll.ciqfunctions.udf.CIQ($B13,"IQ_INT_INC_TOTAL",CP$3,$E$3, $J$3, , $G$3, $H$3)+_xll.ciqfunctions.udf.CIQ($B13,"IQ_NON_INT_INC",CP$3,$E$3, $J$3, , $G$3, $H$3))),"")</f>
        <v/>
      </c>
      <c r="BS13" s="87" t="str">
        <f>IFERROR(IF(OR($B13="",BS$3=""),"",_xll.ciqfunctions.udf.CIQ($B13,"IQ_NI",BS$3,$E$3, $J$3, , $G$3, $H$3)/(_xll.ciqfunctions.udf.CIQ($B13,"IQ_INT_INC_TOTAL",BS$3,$E$3, $J$3, , $G$3, $H$3)+_xll.ciqfunctions.udf.CIQ($B13,"IQ_NON_INT_INC",BS$3,$E$3, $J$3, , $G$3, $H$3))),"")</f>
        <v/>
      </c>
      <c r="BT13" s="87" t="str">
        <f>IFERROR(IF(OR($B13="",BT$3=""),"",_xll.ciqfunctions.udf.CIQ($B13,"IQ_NI",BT$3,$E$3, $J$3, , $G$3, $H$3)/(_xll.ciqfunctions.udf.CIQ($B13,"IQ_INT_INC_TOTAL",BT$3,$E$3, $J$3, , $G$3, $H$3)+_xll.ciqfunctions.udf.CIQ($B13,"IQ_NON_INT_INC",BT$3,$E$3, $J$3, , $G$3, $H$3))),"")</f>
        <v/>
      </c>
      <c r="BU13" s="87" t="str">
        <f>IFERROR(IF(OR($B13="",BU$3=""),"",_xll.ciqfunctions.udf.CIQ($B13,"IQ_NI",BU$3,$E$3, $J$3, , $G$3, $H$3)/(_xll.ciqfunctions.udf.CIQ($B13,"IQ_INT_INC_TOTAL",BU$3,$E$3, $J$3, , $G$3, $H$3)+_xll.ciqfunctions.udf.CIQ($B13,"IQ_NON_INT_INC",BU$3,$E$3, $J$3, , $G$3, $H$3))),"")</f>
        <v/>
      </c>
      <c r="BV13" s="87" t="str">
        <f>IFERROR(IF(OR($B13="",BV$3=""),"",_xll.ciqfunctions.udf.CIQ($B13,"IQ_NI",BV$3,$E$3, $J$3, , $G$3, $H$3)/(_xll.ciqfunctions.udf.CIQ($B13,"IQ_INT_INC_TOTAL",BV$3,$E$3, $J$3, , $G$3, $H$3)+_xll.ciqfunctions.udf.CIQ($B13,"IQ_NON_INT_INC",BV$3,$E$3, $J$3, , $G$3, $H$3))),"")</f>
        <v/>
      </c>
      <c r="BW13" s="87" t="str">
        <f>IFERROR(IF(OR($B13="",BW$3=""),"",_xll.ciqfunctions.udf.CIQ($B13,"IQ_NI",BW$3,$E$3, $J$3, , $G$3, $H$3)/(_xll.ciqfunctions.udf.CIQ($B13,"IQ_INT_INC_TOTAL",BW$3,$E$3, $J$3, , $G$3, $H$3)+_xll.ciqfunctions.udf.CIQ($B13,"IQ_NON_INT_INC",BW$3,$E$3, $J$3, , $G$3, $H$3))),"")</f>
        <v/>
      </c>
      <c r="BX13" s="87" t="str">
        <f>IFERROR(IF(OR($B13="",BX$3=""),"",_xll.ciqfunctions.udf.CIQ($B13,"IQ_NI",BX$3,$E$3, $J$3, , $G$3, $H$3)/(_xll.ciqfunctions.udf.CIQ($B13,"IQ_INT_INC_TOTAL",BX$3,$E$3, $J$3, , $G$3, $H$3)+_xll.ciqfunctions.udf.CIQ($B13,"IQ_NON_INT_INC",BX$3,$E$3, $J$3, , $G$3, $H$3))),"")</f>
        <v/>
      </c>
      <c r="BY13" s="87" t="str">
        <f>IFERROR(IF(OR($B13="",BY$3=""),"",_xll.ciqfunctions.udf.CIQ($B13,"IQ_NI",BY$3,$E$3, $J$3, , $G$3, $H$3)/(_xll.ciqfunctions.udf.CIQ($B13,"IQ_INT_INC_TOTAL",BY$3,$E$3, $J$3, , $G$3, $H$3)+_xll.ciqfunctions.udf.CIQ($B13,"IQ_NON_INT_INC",BY$3,$E$3, $J$3, , $G$3, $H$3))),"")</f>
        <v/>
      </c>
      <c r="BZ13" s="87" t="str">
        <f>IFERROR(IF(OR($B13="",BZ$3=""),"",_xll.ciqfunctions.udf.CIQ($B13,"IQ_NI",BZ$3,$E$3, $J$3, , $G$3, $H$3)/(_xll.ciqfunctions.udf.CIQ($B13,"IQ_INT_INC_TOTAL",BZ$3,$E$3, $J$3, , $G$3, $H$3)+_xll.ciqfunctions.udf.CIQ($B13,"IQ_NON_INT_INC",BZ$3,$E$3, $J$3, , $G$3, $H$3))),"")</f>
        <v/>
      </c>
      <c r="CA13" s="87" t="str">
        <f>IFERROR(IF(OR($B13="",CA$3=""),"",_xll.ciqfunctions.udf.CIQ($B13,"IQ_NI",CA$3,$E$3, $J$3, , $G$3, $H$3)/(_xll.ciqfunctions.udf.CIQ($B13,"IQ_INT_INC_TOTAL",CA$3,$E$3, $J$3, , $G$3, $H$3)+_xll.ciqfunctions.udf.CIQ($B13,"IQ_NON_INT_INC",CA$3,$E$3, $J$3, , $G$3, $H$3))),"")</f>
        <v/>
      </c>
      <c r="CB13" s="87" t="str">
        <f>IFERROR(IF(OR($B13="",CB$3=""),"",_xll.ciqfunctions.udf.CIQ($B13,"IQ_NI",CB$3,$E$3, $J$3, , $G$3, $H$3)/(_xll.ciqfunctions.udf.CIQ($B13,"IQ_INT_INC_TOTAL",CB$3,$E$3, $J$3, , $G$3, $H$3)+_xll.ciqfunctions.udf.CIQ($B13,"IQ_NON_INT_INC",CB$3,$E$3, $J$3, , $G$3, $H$3))),"")</f>
        <v/>
      </c>
      <c r="CC13" s="87" t="str">
        <f>IFERROR(IF(OR($B13="",CC$3=""),"",_xll.ciqfunctions.udf.CIQ($B13,"IQ_NI",CC$3,$E$3, $J$3, , $G$3, $H$3)/(_xll.ciqfunctions.udf.CIQ($B13,"IQ_INT_INC_TOTAL",CC$3,$E$3, $J$3, , $G$3, $H$3)+_xll.ciqfunctions.udf.CIQ($B13,"IQ_NON_INT_INC",CC$3,$E$3, $J$3, , $G$3, $H$3))),"")</f>
        <v/>
      </c>
      <c r="CD13" s="87" t="str">
        <f>IFERROR(IF(OR($B13="",CD$3=""),"",_xll.ciqfunctions.udf.CIQ($B13,"IQ_NI",CD$3,$E$3, $J$3, , $G$3, $H$3)/(_xll.ciqfunctions.udf.CIQ($B13,"IQ_INT_INC_TOTAL",CD$3,$E$3, $J$3, , $G$3, $H$3)+_xll.ciqfunctions.udf.CIQ($B13,"IQ_NON_INT_INC",CD$3,$E$3, $J$3, , $G$3, $H$3))),"")</f>
        <v/>
      </c>
      <c r="CE13" s="87" t="str">
        <f>IFERROR(IF(OR($B13="",CE$3=""),"",_xll.ciqfunctions.udf.CIQ($B13,"IQ_NI",CE$3,$E$3, $J$3, , $G$3, $H$3)/(_xll.ciqfunctions.udf.CIQ($B13,"IQ_INT_INC_TOTAL",CE$3,$E$3, $J$3, , $G$3, $H$3)+_xll.ciqfunctions.udf.CIQ($B13,"IQ_NON_INT_INC",CE$3,$E$3, $J$3, , $G$3, $H$3))),"")</f>
        <v/>
      </c>
      <c r="CF13" s="87" t="str">
        <f>IFERROR(IF(OR($B13="",CF$3=""),"",_xll.ciqfunctions.udf.CIQ($B13,"IQ_NI",CF$3,$E$3, $J$3, , $G$3, $H$3)/(_xll.ciqfunctions.udf.CIQ($B13,"IQ_INT_INC_TOTAL",CF$3,$E$3, $J$3, , $G$3, $H$3)+_xll.ciqfunctions.udf.CIQ($B13,"IQ_NON_INT_INC",CF$3,$E$3, $J$3, , $G$3, $H$3))),"")</f>
        <v/>
      </c>
      <c r="CG13" s="87" t="str">
        <f>IFERROR(IF(OR($B13="",CG$3=""),"",_xll.ciqfunctions.udf.CIQ($B13,"IQ_NI",CG$3,$E$3, $J$3, , $G$3, $H$3)/(_xll.ciqfunctions.udf.CIQ($B13,"IQ_INT_INC_TOTAL",CG$3,$E$3, $J$3, , $G$3, $H$3)+_xll.ciqfunctions.udf.CIQ($B13,"IQ_NON_INT_INC",CG$3,$E$3, $J$3, , $G$3, $H$3))),"")</f>
        <v/>
      </c>
      <c r="CH13" s="87" t="str">
        <f>IFERROR(IF(OR($B13="",CH$3=""),"",_xll.ciqfunctions.udf.CIQ($B13,"IQ_NI",CH$3,$E$3, $J$3, , $G$3, $H$3)/(_xll.ciqfunctions.udf.CIQ($B13,"IQ_INT_INC_TOTAL",CH$3,$E$3, $J$3, , $G$3, $H$3)+_xll.ciqfunctions.udf.CIQ($B13,"IQ_NON_INT_INC",CH$3,$E$3, $J$3, , $G$3, $H$3))),"")</f>
        <v/>
      </c>
      <c r="CI13" s="87" t="str">
        <f>IFERROR(IF(OR($B13="",CI$3=""),"",_xll.ciqfunctions.udf.CIQ($B13,"IQ_NI",CI$3,$E$3, $J$3, , $G$3, $H$3)/(_xll.ciqfunctions.udf.CIQ($B13,"IQ_INT_INC_TOTAL",CI$3,$E$3, $J$3, , $G$3, $H$3)+_xll.ciqfunctions.udf.CIQ($B13,"IQ_NON_INT_INC",CI$3,$E$3, $J$3, , $G$3, $H$3))),"")</f>
        <v/>
      </c>
      <c r="CJ13" s="87" t="str">
        <f>IFERROR(IF(OR($B13="",CJ$3=""),"",_xll.ciqfunctions.udf.CIQ($B13,"IQ_NI",CJ$3,$E$3, $J$3, , $G$3, $H$3)/(_xll.ciqfunctions.udf.CIQ($B13,"IQ_INT_INC_TOTAL",CJ$3,$E$3, $J$3, , $G$3, $H$3)+_xll.ciqfunctions.udf.CIQ($B13,"IQ_NON_INT_INC",CJ$3,$E$3, $J$3, , $G$3, $H$3))),"")</f>
        <v/>
      </c>
      <c r="CK13" s="87" t="str">
        <f>IFERROR(IF(OR($B13="",CK$3=""),"",_xll.ciqfunctions.udf.CIQ($B13,"IQ_NI",CK$3,$E$3, $J$3, , $G$3, $H$3)/(_xll.ciqfunctions.udf.CIQ($B13,"IQ_INT_INC_TOTAL",CK$3,$E$3, $J$3, , $G$3, $H$3)+_xll.ciqfunctions.udf.CIQ($B13,"IQ_NON_INT_INC",CK$3,$E$3, $J$3, , $G$3, $H$3))),"")</f>
        <v/>
      </c>
      <c r="CL13" s="87" t="str">
        <f>IFERROR(IF(OR($B13="",CL$3=""),"",_xll.ciqfunctions.udf.CIQ($B13,"IQ_NI",CL$3,$E$3, $J$3, , $G$3, $H$3)/(_xll.ciqfunctions.udf.CIQ($B13,"IQ_INT_INC_TOTAL",CL$3,$E$3, $J$3, , $G$3, $H$3)+_xll.ciqfunctions.udf.CIQ($B13,"IQ_NON_INT_INC",CL$3,$E$3, $J$3, , $G$3, $H$3))),"")</f>
        <v/>
      </c>
      <c r="CM13" s="72" t="str">
        <f>IFERROR(IF(OR($B13="",CM$3=""),"",_xll.ciqfunctions.udf.CIQ($B13,"IQ_SGA_SUPPL",CM$3,$E$3, $J$3, , $G$3, $H$3)/(_xll.ciqfunctions.udf.CIQ($B13,"IQ_INT_INC_TOTAL",CM$3,$E$3, $J$3, , $G$3, $H$3)+_xll.ciqfunctions.udf.CIQ($B13,"IQ_NON_INT_INC",CM$3,$E$3, $J$3, , $G$3, $H$3))),"")</f>
        <v/>
      </c>
      <c r="CN13" s="72" t="str">
        <f>IFERROR(IF(OR($B13="",CN$3=""),"",_xll.ciqfunctions.udf.CIQ($B13,"IQ_SGA_SUPPL",CN$3,$E$3, $J$3, , $G$3, $H$3)/(_xll.ciqfunctions.udf.CIQ($B13,"IQ_INT_INC_TOTAL",CN$3,$E$3, $J$3, , $G$3, $H$3)+_xll.ciqfunctions.udf.CIQ($B13,"IQ_NON_INT_INC",CN$3,$E$3, $J$3, , $G$3, $H$3))),"")</f>
        <v/>
      </c>
      <c r="CO13" s="72" t="str">
        <f>IFERROR(IF(OR($B13="",CO$3=""),"",_xll.ciqfunctions.udf.CIQ($B13,"IQ_SGA_SUPPL",CO$3,$E$3, $J$3, , $G$3, $H$3)/(_xll.ciqfunctions.udf.CIQ($B13,"IQ_INT_INC_TOTAL",CO$3,$E$3, $J$3, , $G$3, $H$3)+_xll.ciqfunctions.udf.CIQ($B13,"IQ_NON_INT_INC",CO$3,$E$3, $J$3, , $G$3, $H$3))),"")</f>
        <v/>
      </c>
      <c r="CP13" s="72" t="str">
        <f>IFERROR(IF(OR($B13="",CP$3=""),"",_xll.ciqfunctions.udf.CIQ($B13,"IQ_SGA_SUPPL",CP$3,$E$3, $J$3, , $G$3, $H$3)/(_xll.ciqfunctions.udf.CIQ($B13,"IQ_INT_INC_TOTAL",CP$3,$E$3, $J$3, , $G$3, $H$3)+_xll.ciqfunctions.udf.CIQ($B13,"IQ_NON_INT_INC",CP$3,$E$3, $J$3, , $G$3, $H$3))),"")</f>
        <v/>
      </c>
      <c r="CQ13" s="72" t="str">
        <f>IFERROR(IF(OR($B13="",CQ$3=""),"",_xll.ciqfunctions.udf.CIQ($B13,"IQ_SGA_SUPPL",CQ$3,$E$3, $J$3, , $G$3, $H$3)/(_xll.ciqfunctions.udf.CIQ($B13,"IQ_INT_INC_TOTAL",CQ$3,$E$3, $J$3, , $G$3, $H$3)+_xll.ciqfunctions.udf.CIQ($B13,"IQ_NON_INT_INC",CQ$3,$E$3, $J$3, , $G$3, $H$3))),"")</f>
        <v/>
      </c>
      <c r="CR13" s="72" t="str">
        <f>IFERROR(IF(OR($B13="",CR$3=""),"",_xll.ciqfunctions.udf.CIQ($B13,"IQ_SGA_SUPPL",CR$3,$E$3, $J$3, , $G$3, $H$3)/(_xll.ciqfunctions.udf.CIQ($B13,"IQ_INT_INC_TOTAL",CR$3,$E$3, $J$3, , $G$3, $H$3)+_xll.ciqfunctions.udf.CIQ($B13,"IQ_NON_INT_INC",CR$3,$E$3, $J$3, , $G$3, $H$3))),"")</f>
        <v/>
      </c>
      <c r="CS13" s="72" t="str">
        <f>IFERROR(IF(OR($B13="",CS$3=""),"",_xll.ciqfunctions.udf.CIQ($B13,"IQ_SGA_SUPPL",CS$3,$E$3, $J$3, , $G$3, $H$3)/(_xll.ciqfunctions.udf.CIQ($B13,"IQ_INT_INC_TOTAL",CS$3,$E$3, $J$3, , $G$3, $H$3)+_xll.ciqfunctions.udf.CIQ($B13,"IQ_NON_INT_INC",CS$3,$E$3, $J$3, , $G$3, $H$3))),"")</f>
        <v/>
      </c>
      <c r="CT13" s="72" t="str">
        <f>IFERROR(IF(OR($B13="",CT$3=""),"",_xll.ciqfunctions.udf.CIQ($B13,"IQ_SGA_SUPPL",CT$3,$E$3, $J$3, , $G$3, $H$3)/(_xll.ciqfunctions.udf.CIQ($B13,"IQ_INT_INC_TOTAL",CT$3,$E$3, $J$3, , $G$3, $H$3)+_xll.ciqfunctions.udf.CIQ($B13,"IQ_NON_INT_INC",CT$3,$E$3, $J$3, , $G$3, $H$3))),"")</f>
        <v/>
      </c>
      <c r="CU13" s="72" t="str">
        <f>IFERROR(IF(OR($B13="",CU$3=""),"",_xll.ciqfunctions.udf.CIQ($B13,"IQ_SGA_SUPPL",CU$3,$E$3, $J$3, , $G$3, $H$3)/(_xll.ciqfunctions.udf.CIQ($B13,"IQ_INT_INC_TOTAL",CU$3,$E$3, $J$3, , $G$3, $H$3)+_xll.ciqfunctions.udf.CIQ($B13,"IQ_NON_INT_INC",CU$3,$E$3, $J$3, , $G$3, $H$3))),"")</f>
        <v/>
      </c>
      <c r="CV13" s="72" t="str">
        <f>IFERROR(IF(OR($B13="",CV$3=""),"",_xll.ciqfunctions.udf.CIQ($B13,"IQ_SGA_SUPPL",CV$3,$E$3, $J$3, , $G$3, $H$3)/(_xll.ciqfunctions.udf.CIQ($B13,"IQ_INT_INC_TOTAL",CV$3,$E$3, $J$3, , $G$3, $H$3)+_xll.ciqfunctions.udf.CIQ($B13,"IQ_NON_INT_INC",CV$3,$E$3, $J$3, , $G$3, $H$3))),"")</f>
        <v/>
      </c>
      <c r="CW13" s="72" t="str">
        <f>IFERROR(IF(OR($B13="",CW$3=""),"",_xll.ciqfunctions.udf.CIQ($B13,"IQ_SGA_SUPPL",CW$3,$E$3, $J$3, , $G$3, $H$3)/(_xll.ciqfunctions.udf.CIQ($B13,"IQ_INT_INC_TOTAL",CW$3,$E$3, $J$3, , $G$3, $H$3)+_xll.ciqfunctions.udf.CIQ($B13,"IQ_NON_INT_INC",CW$3,$E$3, $J$3, , $G$3, $H$3))),"")</f>
        <v/>
      </c>
      <c r="CX13" s="72" t="str">
        <f>IFERROR(IF(OR($B13="",CX$3=""),"",_xll.ciqfunctions.udf.CIQ($B13,"IQ_SGA_SUPPL",CX$3,$E$3, $J$3, , $G$3, $H$3)/(_xll.ciqfunctions.udf.CIQ($B13,"IQ_INT_INC_TOTAL",CX$3,$E$3, $J$3, , $G$3, $H$3)+_xll.ciqfunctions.udf.CIQ($B13,"IQ_NON_INT_INC",CX$3,$E$3, $J$3, , $G$3, $H$3))),"")</f>
        <v/>
      </c>
      <c r="CY13" s="72" t="str">
        <f>IFERROR(IF(OR($B13="",CY$3=""),"",_xll.ciqfunctions.udf.CIQ($B13,"IQ_SGA_SUPPL",CY$3,$E$3, $J$3, , $G$3, $H$3)/(_xll.ciqfunctions.udf.CIQ($B13,"IQ_INT_INC_TOTAL",CY$3,$E$3, $J$3, , $G$3, $H$3)+_xll.ciqfunctions.udf.CIQ($B13,"IQ_NON_INT_INC",CY$3,$E$3, $J$3, , $G$3, $H$3))),"")</f>
        <v/>
      </c>
      <c r="CZ13" s="72" t="str">
        <f>IFERROR(IF(OR($B13="",CZ$3=""),"",_xll.ciqfunctions.udf.CIQ($B13,"IQ_SGA_SUPPL",CZ$3,$E$3, $J$3, , $G$3, $H$3)/(_xll.ciqfunctions.udf.CIQ($B13,"IQ_INT_INC_TOTAL",CZ$3,$E$3, $J$3, , $G$3, $H$3)+_xll.ciqfunctions.udf.CIQ($B13,"IQ_NON_INT_INC",CZ$3,$E$3, $J$3, , $G$3, $H$3))),"")</f>
        <v/>
      </c>
      <c r="DA13" s="72" t="str">
        <f>IFERROR(IF(OR($B13="",DA$3=""),"",_xll.ciqfunctions.udf.CIQ($B13,"IQ_SGA_SUPPL",DA$3,$E$3, $J$3, , $G$3, $H$3)/(_xll.ciqfunctions.udf.CIQ($B13,"IQ_INT_INC_TOTAL",DA$3,$E$3, $J$3, , $G$3, $H$3)+_xll.ciqfunctions.udf.CIQ($B13,"IQ_NON_INT_INC",DA$3,$E$3, $J$3, , $G$3, $H$3))),"")</f>
        <v/>
      </c>
      <c r="DB13" s="72" t="str">
        <f>IFERROR(IF(OR($B13="",DB$3=""),"",_xll.ciqfunctions.udf.CIQ($B13,"IQ_SGA_SUPPL",DB$3,$E$3, $J$3, , $G$3, $H$3)/(_xll.ciqfunctions.udf.CIQ($B13,"IQ_INT_INC_TOTAL",DB$3,$E$3, $J$3, , $G$3, $H$3)+_xll.ciqfunctions.udf.CIQ($B13,"IQ_NON_INT_INC",DB$3,$E$3, $J$3, , $G$3, $H$3))),"")</f>
        <v/>
      </c>
      <c r="DC13" s="72" t="str">
        <f>IFERROR(IF(OR($B13="",DC$3=""),"",_xll.ciqfunctions.udf.CIQ($B13,"IQ_SGA_SUPPL",DC$3,$E$3, $J$3, , $G$3, $H$3)/(_xll.ciqfunctions.udf.CIQ($B13,"IQ_INT_INC_TOTAL",DC$3,$E$3, $J$3, , $G$3, $H$3)+_xll.ciqfunctions.udf.CIQ($B13,"IQ_NON_INT_INC",DC$3,$E$3, $J$3, , $G$3, $H$3))),"")</f>
        <v/>
      </c>
      <c r="DD13" s="72" t="str">
        <f>IFERROR(IF(OR($B13="",DD$3=""),"",_xll.ciqfunctions.udf.CIQ($B13,"IQ_SGA_SUPPL",DD$3,$E$3, $J$3, , $G$3, $H$3)/(_xll.ciqfunctions.udf.CIQ($B13,"IQ_INT_INC_TOTAL",DD$3,$E$3, $J$3, , $G$3, $H$3)+_xll.ciqfunctions.udf.CIQ($B13,"IQ_NON_INT_INC",DD$3,$E$3, $J$3, , $G$3, $H$3))),"")</f>
        <v/>
      </c>
      <c r="DE13" s="72" t="str">
        <f>IFERROR(IF(OR($B13="",DE$3=""),"",_xll.ciqfunctions.udf.CIQ($B13,"IQ_SGA_SUPPL",DE$3,$E$3, $J$3, , $G$3, $H$3)/(_xll.ciqfunctions.udf.CIQ($B13,"IQ_INT_INC_TOTAL",DE$3,$E$3, $J$3, , $G$3, $H$3)+_xll.ciqfunctions.udf.CIQ($B13,"IQ_NON_INT_INC",DE$3,$E$3, $J$3, , $G$3, $H$3))),"")</f>
        <v/>
      </c>
      <c r="DF13" s="72" t="str">
        <f>IFERROR(IF(OR($B13="",DF$3=""),"",_xll.ciqfunctions.udf.CIQ($B13,"IQ_SGA_SUPPL",DF$3,$E$3, $J$3, , $G$3, $H$3)/(_xll.ciqfunctions.udf.CIQ($B13,"IQ_INT_INC_TOTAL",DF$3,$E$3, $J$3, , $G$3, $H$3)+_xll.ciqfunctions.udf.CIQ($B13,"IQ_NON_INT_INC",DF$3,$E$3, $J$3, , $G$3, $H$3))),"")</f>
        <v/>
      </c>
      <c r="DG13" s="86" t="str">
        <f>IFERROR(IF(OR($B13="",DG$3=""),"",_xll.ciqfunctions.udf.CIQ($B13,"IQ_TIER_ONE_RATIO",DG$3,$E$3, $J$3, , $G$3, $H$3)/100),"")</f>
        <v/>
      </c>
      <c r="DH13" s="87" t="str">
        <f>IFERROR(IF(OR($B13="",DH$3=""),"",_xll.ciqfunctions.udf.CIQ($B13,"IQ_TIER_ONE_RATIO",DH$3,$E$3, $J$3, , $G$3, $H$3)/100),"")</f>
        <v/>
      </c>
      <c r="DI13" s="87" t="str">
        <f>IFERROR(IF(OR($B13="",DI$3=""),"",_xll.ciqfunctions.udf.CIQ($B13,"IQ_TIER_ONE_RATIO",DI$3,$E$3, $J$3, , $G$3, $H$3)/100),"")</f>
        <v/>
      </c>
      <c r="DJ13" s="87" t="str">
        <f>IFERROR(IF(OR($B13="",DJ$3=""),"",_xll.ciqfunctions.udf.CIQ($B13,"IQ_TIER_ONE_RATIO",DJ$3,$E$3, $J$3, , $G$3, $H$3)/100),"")</f>
        <v/>
      </c>
      <c r="DK13" s="87" t="str">
        <f>IFERROR(IF(OR($B13="",DK$3=""),"",_xll.ciqfunctions.udf.CIQ($B13,"IQ_TIER_ONE_RATIO",DK$3,$E$3, $J$3, , $G$3, $H$3)/100),"")</f>
        <v/>
      </c>
      <c r="DL13" s="87" t="str">
        <f>IFERROR(IF(OR($B13="",DL$3=""),"",_xll.ciqfunctions.udf.CIQ($B13,"IQ_TIER_ONE_RATIO",DL$3,$E$3, $J$3, , $G$3, $H$3)/100),"")</f>
        <v/>
      </c>
      <c r="DM13" s="87" t="str">
        <f>IFERROR(IF(OR($B13="",DM$3=""),"",_xll.ciqfunctions.udf.CIQ($B13,"IQ_TIER_ONE_RATIO",DM$3,$E$3, $J$3, , $G$3, $H$3)/100),"")</f>
        <v/>
      </c>
      <c r="DN13" s="87" t="str">
        <f>IFERROR(IF(OR($B13="",DN$3=""),"",_xll.ciqfunctions.udf.CIQ($B13,"IQ_TIER_ONE_RATIO",DN$3,$E$3, $J$3, , $G$3, $H$3)/100),"")</f>
        <v/>
      </c>
      <c r="DO13" s="87" t="str">
        <f>IFERROR(IF(OR($B13="",DO$3=""),"",_xll.ciqfunctions.udf.CIQ($B13,"IQ_TIER_ONE_RATIO",DO$3,$E$3, $J$3, , $G$3, $H$3)/100),"")</f>
        <v/>
      </c>
      <c r="DP13" s="87" t="str">
        <f>IFERROR(IF(OR($B13="",DP$3=""),"",_xll.ciqfunctions.udf.CIQ($B13,"IQ_TIER_ONE_RATIO",DP$3,$E$3, $J$3, , $G$3, $H$3)/100),"")</f>
        <v/>
      </c>
      <c r="DQ13" s="87" t="str">
        <f>IFERROR(IF(OR($B13="",DQ$3=""),"",_xll.ciqfunctions.udf.CIQ($B13,"IQ_TIER_ONE_RATIO",DQ$3,$E$3, $J$3, , $G$3, $H$3)/100),"")</f>
        <v/>
      </c>
      <c r="DR13" s="87" t="str">
        <f>IFERROR(IF(OR($B13="",DR$3=""),"",_xll.ciqfunctions.udf.CIQ($B13,"IQ_TIER_ONE_RATIO",DR$3,$E$3, $J$3, , $G$3, $H$3)/100),"")</f>
        <v/>
      </c>
      <c r="DS13" s="87" t="str">
        <f>IFERROR(IF(OR($B13="",DS$3=""),"",_xll.ciqfunctions.udf.CIQ($B13,"IQ_TIER_ONE_RATIO",DS$3,$E$3, $J$3, , $G$3, $H$3)/100),"")</f>
        <v/>
      </c>
      <c r="DT13" s="87" t="str">
        <f>IFERROR(IF(OR($B13="",DT$3=""),"",_xll.ciqfunctions.udf.CIQ($B13,"IQ_TIER_ONE_RATIO",DT$3,$E$3, $J$3, , $G$3, $H$3)/100),"")</f>
        <v/>
      </c>
      <c r="DU13" s="87" t="str">
        <f>IFERROR(IF(OR($B13="",DU$3=""),"",_xll.ciqfunctions.udf.CIQ($B13,"IQ_TIER_ONE_RATIO",DU$3,$E$3, $J$3, , $G$3, $H$3)/100),"")</f>
        <v/>
      </c>
      <c r="DV13" s="87" t="str">
        <f>IFERROR(IF(OR($B13="",DV$3=""),"",_xll.ciqfunctions.udf.CIQ($B13,"IQ_TIER_ONE_RATIO",DV$3,$E$3, $J$3, , $G$3, $H$3)/100),"")</f>
        <v/>
      </c>
      <c r="DW13" s="87" t="str">
        <f>IFERROR(IF(OR($B13="",DW$3=""),"",_xll.ciqfunctions.udf.CIQ($B13,"IQ_TIER_ONE_RATIO",DW$3,$E$3, $J$3, , $G$3, $H$3)/100),"")</f>
        <v/>
      </c>
      <c r="DX13" s="87" t="str">
        <f>IFERROR(IF(OR($B13="",DX$3=""),"",_xll.ciqfunctions.udf.CIQ($B13,"IQ_TIER_ONE_RATIO",DX$3,$E$3, $J$3, , $G$3, $H$3)/100),"")</f>
        <v/>
      </c>
      <c r="DY13" s="87" t="str">
        <f>IFERROR(IF(OR($B13="",DY$3=""),"",_xll.ciqfunctions.udf.CIQ($B13,"IQ_TIER_ONE_RATIO",DY$3,$E$3, $J$3, , $G$3, $H$3)/100),"")</f>
        <v/>
      </c>
      <c r="DZ13" s="88" t="str">
        <f>IFERROR(IF(OR($B13="",DZ$3=""),"",_xll.ciqfunctions.udf.CIQ($B13,"IQ_TIER_ONE_RATIO",DZ$3,$E$3, $J$3, , $G$3, $H$3)/100),"")</f>
        <v/>
      </c>
      <c r="EA13" s="86" t="str">
        <f>IFERROR(IF(OR($B13="",EA$3=""),"",_xll.ciqfunctions.udf.CIQ($B13,"IQ_TOTAL_CAPITAL_RATIO",EA$3,$E$3, $J$3, , $G$3, $H$3)/100),"")</f>
        <v/>
      </c>
      <c r="EB13" s="87" t="str">
        <f>IFERROR(IF(OR($B13="",EB$3=""),"",_xll.ciqfunctions.udf.CIQ($B13,"IQ_TOTAL_CAPITAL_RATIO",EB$3,$E$3, $J$3, , $G$3, $H$3)/100),"")</f>
        <v/>
      </c>
      <c r="EC13" s="87" t="str">
        <f>IFERROR(IF(OR($B13="",EC$3=""),"",_xll.ciqfunctions.udf.CIQ($B13,"IQ_TOTAL_CAPITAL_RATIO",EC$3,$E$3, $J$3, , $G$3, $H$3)/100),"")</f>
        <v/>
      </c>
      <c r="ED13" s="87" t="str">
        <f>IFERROR(IF(OR($B13="",ED$3=""),"",_xll.ciqfunctions.udf.CIQ($B13,"IQ_TOTAL_CAPITAL_RATIO",ED$3,$E$3, $J$3, , $G$3, $H$3)/100),"")</f>
        <v/>
      </c>
      <c r="EE13" s="87" t="str">
        <f>IFERROR(IF(OR($B13="",EE$3=""),"",_xll.ciqfunctions.udf.CIQ($B13,"IQ_TOTAL_CAPITAL_RATIO",EE$3,$E$3, $J$3, , $G$3, $H$3)/100),"")</f>
        <v/>
      </c>
      <c r="EF13" s="87" t="str">
        <f>IFERROR(IF(OR($B13="",EF$3=""),"",_xll.ciqfunctions.udf.CIQ($B13,"IQ_TOTAL_CAPITAL_RATIO",EF$3,$E$3, $J$3, , $G$3, $H$3)/100),"")</f>
        <v/>
      </c>
      <c r="EG13" s="87" t="str">
        <f>IFERROR(IF(OR($B13="",EG$3=""),"",_xll.ciqfunctions.udf.CIQ($B13,"IQ_TOTAL_CAPITAL_RATIO",EG$3,$E$3, $J$3, , $G$3, $H$3)/100),"")</f>
        <v/>
      </c>
      <c r="EH13" s="87" t="str">
        <f>IFERROR(IF(OR($B13="",EH$3=""),"",_xll.ciqfunctions.udf.CIQ($B13,"IQ_TOTAL_CAPITAL_RATIO",EH$3,$E$3, $J$3, , $G$3, $H$3)/100),"")</f>
        <v/>
      </c>
      <c r="EI13" s="87" t="str">
        <f>IFERROR(IF(OR($B13="",EI$3=""),"",_xll.ciqfunctions.udf.CIQ($B13,"IQ_TOTAL_CAPITAL_RATIO",EI$3,$E$3, $J$3, , $G$3, $H$3)/100),"")</f>
        <v/>
      </c>
      <c r="EJ13" s="87" t="str">
        <f>IFERROR(IF(OR($B13="",EJ$3=""),"",_xll.ciqfunctions.udf.CIQ($B13,"IQ_TOTAL_CAPITAL_RATIO",EJ$3,$E$3, $J$3, , $G$3, $H$3)/100),"")</f>
        <v/>
      </c>
      <c r="EK13" s="87" t="str">
        <f>IFERROR(IF(OR($B13="",EK$3=""),"",_xll.ciqfunctions.udf.CIQ($B13,"IQ_TOTAL_CAPITAL_RATIO",EK$3,$E$3, $J$3, , $G$3, $H$3)/100),"")</f>
        <v/>
      </c>
      <c r="EL13" s="87" t="str">
        <f>IFERROR(IF(OR($B13="",EL$3=""),"",_xll.ciqfunctions.udf.CIQ($B13,"IQ_TOTAL_CAPITAL_RATIO",EL$3,$E$3, $J$3, , $G$3, $H$3)/100),"")</f>
        <v/>
      </c>
      <c r="EM13" s="87" t="str">
        <f>IFERROR(IF(OR($B13="",EM$3=""),"",_xll.ciqfunctions.udf.CIQ($B13,"IQ_TOTAL_CAPITAL_RATIO",EM$3,$E$3, $J$3, , $G$3, $H$3)/100),"")</f>
        <v/>
      </c>
      <c r="EN13" s="87" t="str">
        <f>IFERROR(IF(OR($B13="",EN$3=""),"",_xll.ciqfunctions.udf.CIQ($B13,"IQ_TOTAL_CAPITAL_RATIO",EN$3,$E$3, $J$3, , $G$3, $H$3)/100),"")</f>
        <v/>
      </c>
      <c r="EO13" s="87" t="str">
        <f>IFERROR(IF(OR($B13="",EO$3=""),"",_xll.ciqfunctions.udf.CIQ($B13,"IQ_TOTAL_CAPITAL_RATIO",EO$3,$E$3, $J$3, , $G$3, $H$3)/100),"")</f>
        <v/>
      </c>
      <c r="EP13" s="87" t="str">
        <f>IFERROR(IF(OR($B13="",EP$3=""),"",_xll.ciqfunctions.udf.CIQ($B13,"IQ_TOTAL_CAPITAL_RATIO",EP$3,$E$3, $J$3, , $G$3, $H$3)/100),"")</f>
        <v/>
      </c>
      <c r="EQ13" s="87" t="str">
        <f>IFERROR(IF(OR($B13="",EQ$3=""),"",_xll.ciqfunctions.udf.CIQ($B13,"IQ_TOTAL_CAPITAL_RATIO",EQ$3,$E$3, $J$3, , $G$3, $H$3)/100),"")</f>
        <v/>
      </c>
      <c r="ER13" s="87" t="str">
        <f>IFERROR(IF(OR($B13="",ER$3=""),"",_xll.ciqfunctions.udf.CIQ($B13,"IQ_TOTAL_CAPITAL_RATIO",ER$3,$E$3, $J$3, , $G$3, $H$3)/100),"")</f>
        <v/>
      </c>
      <c r="ES13" s="87" t="str">
        <f>IFERROR(IF(OR($B13="",ES$3=""),"",_xll.ciqfunctions.udf.CIQ($B13,"IQ_TOTAL_CAPITAL_RATIO",ES$3,$E$3, $J$3, , $G$3, $H$3)/100),"")</f>
        <v/>
      </c>
      <c r="ET13" s="88" t="str">
        <f>IFERROR(IF(OR($B13="",ET$3=""),"",_xll.ciqfunctions.udf.CIQ($B13,"IQ_TOTAL_CAPITAL_RATIO",ET$3,$E$3, $J$3, , $G$3, $H$3)/100),"")</f>
        <v/>
      </c>
      <c r="EU13" s="86" t="str">
        <f>IFERROR(IF(OR($B13="",EU$3=""),"",_xll.ciqfunctions.udf.CIQ($B13,"IQ_GROSS_LOANS",EU$3,$E$3, $J$3, , $G$3, $H$3)/_xll.ciqfunctions.udf.CIQ($B13,"IQ_TOTAL_ASSETS",EU$3,$E$3, $J$3, , $G$3, $H$3)),"")</f>
        <v/>
      </c>
      <c r="EV13" s="87" t="str">
        <f>IFERROR(IF(OR($B13="",EV$3=""),"",_xll.ciqfunctions.udf.CIQ($B13,"IQ_GROSS_LOANS",EV$3,$E$3, $J$3, , $G$3, $H$3)/_xll.ciqfunctions.udf.CIQ($B13,"IQ_TOTAL_ASSETS",EV$3,$E$3, $J$3, , $G$3, $H$3)),"")</f>
        <v/>
      </c>
      <c r="EW13" s="87" t="str">
        <f>IFERROR(IF(OR($B13="",EW$3=""),"",_xll.ciqfunctions.udf.CIQ($B13,"IQ_GROSS_LOANS",EW$3,$E$3, $J$3, , $G$3, $H$3)/_xll.ciqfunctions.udf.CIQ($B13,"IQ_TOTAL_ASSETS",EW$3,$E$3, $J$3, , $G$3, $H$3)),"")</f>
        <v/>
      </c>
      <c r="EX13" s="87" t="str">
        <f>IFERROR(IF(OR($B13="",EX$3=""),"",_xll.ciqfunctions.udf.CIQ($B13,"IQ_GROSS_LOANS",EX$3,$E$3, $J$3, , $G$3, $H$3)/_xll.ciqfunctions.udf.CIQ($B13,"IQ_TOTAL_ASSETS",EX$3,$E$3, $J$3, , $G$3, $H$3)),"")</f>
        <v/>
      </c>
      <c r="EY13" s="87" t="str">
        <f>IFERROR(IF(OR($B13="",EY$3=""),"",_xll.ciqfunctions.udf.CIQ($B13,"IQ_GROSS_LOANS",EY$3,$E$3, $J$3, , $G$3, $H$3)/_xll.ciqfunctions.udf.CIQ($B13,"IQ_TOTAL_ASSETS",EY$3,$E$3, $J$3, , $G$3, $H$3)),"")</f>
        <v/>
      </c>
      <c r="EZ13" s="87" t="str">
        <f>IFERROR(IF(OR($B13="",EZ$3=""),"",_xll.ciqfunctions.udf.CIQ($B13,"IQ_GROSS_LOANS",EZ$3,$E$3, $J$3, , $G$3, $H$3)/_xll.ciqfunctions.udf.CIQ($B13,"IQ_TOTAL_ASSETS",EZ$3,$E$3, $J$3, , $G$3, $H$3)),"")</f>
        <v/>
      </c>
      <c r="FA13" s="87" t="str">
        <f>IFERROR(IF(OR($B13="",FA$3=""),"",_xll.ciqfunctions.udf.CIQ($B13,"IQ_GROSS_LOANS",FA$3,$E$3, $J$3, , $G$3, $H$3)/_xll.ciqfunctions.udf.CIQ($B13,"IQ_TOTAL_ASSETS",FA$3,$E$3, $J$3, , $G$3, $H$3)),"")</f>
        <v/>
      </c>
      <c r="FB13" s="87" t="str">
        <f>IFERROR(IF(OR($B13="",FB$3=""),"",_xll.ciqfunctions.udf.CIQ($B13,"IQ_GROSS_LOANS",FB$3,$E$3, $J$3, , $G$3, $H$3)/_xll.ciqfunctions.udf.CIQ($B13,"IQ_TOTAL_ASSETS",FB$3,$E$3, $J$3, , $G$3, $H$3)),"")</f>
        <v/>
      </c>
      <c r="FC13" s="87" t="str">
        <f>IFERROR(IF(OR($B13="",FC$3=""),"",_xll.ciqfunctions.udf.CIQ($B13,"IQ_GROSS_LOANS",FC$3,$E$3, $J$3, , $G$3, $H$3)/_xll.ciqfunctions.udf.CIQ($B13,"IQ_TOTAL_ASSETS",FC$3,$E$3, $J$3, , $G$3, $H$3)),"")</f>
        <v/>
      </c>
      <c r="FD13" s="87" t="str">
        <f>IFERROR(IF(OR($B13="",FD$3=""),"",_xll.ciqfunctions.udf.CIQ($B13,"IQ_GROSS_LOANS",FD$3,$E$3, $J$3, , $G$3, $H$3)/_xll.ciqfunctions.udf.CIQ($B13,"IQ_TOTAL_ASSETS",FD$3,$E$3, $J$3, , $G$3, $H$3)),"")</f>
        <v/>
      </c>
      <c r="FE13" s="87" t="str">
        <f>IFERROR(IF(OR($B13="",FE$3=""),"",_xll.ciqfunctions.udf.CIQ($B13,"IQ_GROSS_LOANS",FE$3,$E$3, $J$3, , $G$3, $H$3)/_xll.ciqfunctions.udf.CIQ($B13,"IQ_TOTAL_ASSETS",FE$3,$E$3, $J$3, , $G$3, $H$3)),"")</f>
        <v/>
      </c>
      <c r="FF13" s="87" t="str">
        <f>IFERROR(IF(OR($B13="",FF$3=""),"",_xll.ciqfunctions.udf.CIQ($B13,"IQ_GROSS_LOANS",FF$3,$E$3, $J$3, , $G$3, $H$3)/_xll.ciqfunctions.udf.CIQ($B13,"IQ_TOTAL_ASSETS",FF$3,$E$3, $J$3, , $G$3, $H$3)),"")</f>
        <v/>
      </c>
      <c r="FG13" s="87" t="str">
        <f>IFERROR(IF(OR($B13="",FG$3=""),"",_xll.ciqfunctions.udf.CIQ($B13,"IQ_GROSS_LOANS",FG$3,$E$3, $J$3, , $G$3, $H$3)/_xll.ciqfunctions.udf.CIQ($B13,"IQ_TOTAL_ASSETS",FG$3,$E$3, $J$3, , $G$3, $H$3)),"")</f>
        <v/>
      </c>
      <c r="FH13" s="87" t="str">
        <f>IFERROR(IF(OR($B13="",FH$3=""),"",_xll.ciqfunctions.udf.CIQ($B13,"IQ_GROSS_LOANS",FH$3,$E$3, $J$3, , $G$3, $H$3)/_xll.ciqfunctions.udf.CIQ($B13,"IQ_TOTAL_ASSETS",FH$3,$E$3, $J$3, , $G$3, $H$3)),"")</f>
        <v/>
      </c>
      <c r="FI13" s="87" t="str">
        <f>IFERROR(IF(OR($B13="",FI$3=""),"",_xll.ciqfunctions.udf.CIQ($B13,"IQ_GROSS_LOANS",FI$3,$E$3, $J$3, , $G$3, $H$3)/_xll.ciqfunctions.udf.CIQ($B13,"IQ_TOTAL_ASSETS",FI$3,$E$3, $J$3, , $G$3, $H$3)),"")</f>
        <v/>
      </c>
      <c r="FJ13" s="87" t="str">
        <f>IFERROR(IF(OR($B13="",FJ$3=""),"",_xll.ciqfunctions.udf.CIQ($B13,"IQ_GROSS_LOANS",FJ$3,$E$3, $J$3, , $G$3, $H$3)/_xll.ciqfunctions.udf.CIQ($B13,"IQ_TOTAL_ASSETS",FJ$3,$E$3, $J$3, , $G$3, $H$3)),"")</f>
        <v/>
      </c>
      <c r="FK13" s="87" t="str">
        <f>IFERROR(IF(OR($B13="",FK$3=""),"",_xll.ciqfunctions.udf.CIQ($B13,"IQ_GROSS_LOANS",FK$3,$E$3, $J$3, , $G$3, $H$3)/_xll.ciqfunctions.udf.CIQ($B13,"IQ_TOTAL_ASSETS",FK$3,$E$3, $J$3, , $G$3, $H$3)),"")</f>
        <v/>
      </c>
      <c r="FL13" s="87" t="str">
        <f>IFERROR(IF(OR($B13="",FL$3=""),"",_xll.ciqfunctions.udf.CIQ($B13,"IQ_GROSS_LOANS",FL$3,$E$3, $J$3, , $G$3, $H$3)/_xll.ciqfunctions.udf.CIQ($B13,"IQ_TOTAL_ASSETS",FL$3,$E$3, $J$3, , $G$3, $H$3)),"")</f>
        <v/>
      </c>
      <c r="FM13" s="87" t="str">
        <f>IFERROR(IF(OR($B13="",FM$3=""),"",_xll.ciqfunctions.udf.CIQ($B13,"IQ_GROSS_LOANS",FM$3,$E$3, $J$3, , $G$3, $H$3)/_xll.ciqfunctions.udf.CIQ($B13,"IQ_TOTAL_ASSETS",FM$3,$E$3, $J$3, , $G$3, $H$3)),"")</f>
        <v/>
      </c>
      <c r="FN13" s="88" t="str">
        <f>IFERROR(IF(OR($B13="",FN$3=""),"",_xll.ciqfunctions.udf.CIQ($B13,"IQ_GROSS_LOANS",FN$3,$E$3, $J$3, , $G$3, $H$3)/_xll.ciqfunctions.udf.CIQ($B13,"IQ_TOTAL_ASSETS",FN$3,$E$3, $J$3, , $G$3, $H$3)),"")</f>
        <v/>
      </c>
      <c r="FO13" s="86" t="str">
        <f>IFERROR(IF(OR($B13="",FO$3=""),"",_xll.ciqfunctions.udf.CIQ($B13,"IQ_NON_PERFORMING_LOANS",FO$3,$E$3, $J$3, , $G$3, $H$3)/_xll.ciqfunctions.udf.CIQ($B13,"IQ_TOTAL_LOANS",FO$3,$E$3, $J$3, , $G$3, $H$3)),"")</f>
        <v/>
      </c>
      <c r="FP13" s="87" t="str">
        <f>IFERROR(IF(OR($B13="",FP$3=""),"",_xll.ciqfunctions.udf.CIQ($B13,"IQ_NON_PERFORMING_LOANS",FP$3,$E$3, $J$3, , $G$3, $H$3)/_xll.ciqfunctions.udf.CIQ($B13,"IQ_TOTAL_LOANS",FP$3,$E$3, $J$3, , $G$3, $H$3)),"")</f>
        <v/>
      </c>
      <c r="FQ13" s="87" t="str">
        <f>IFERROR(IF(OR($B13="",FQ$3=""),"",_xll.ciqfunctions.udf.CIQ($B13,"IQ_NON_PERFORMING_LOANS",FQ$3,$E$3, $J$3, , $G$3, $H$3)/_xll.ciqfunctions.udf.CIQ($B13,"IQ_TOTAL_LOANS",FQ$3,$E$3, $J$3, , $G$3, $H$3)),"")</f>
        <v/>
      </c>
      <c r="FR13" s="87" t="str">
        <f>IFERROR(IF(OR($B13="",FR$3=""),"",_xll.ciqfunctions.udf.CIQ($B13,"IQ_NON_PERFORMING_LOANS",FR$3,$E$3, $J$3, , $G$3, $H$3)/_xll.ciqfunctions.udf.CIQ($B13,"IQ_TOTAL_LOANS",FR$3,$E$3, $J$3, , $G$3, $H$3)),"")</f>
        <v/>
      </c>
      <c r="FS13" s="87" t="str">
        <f>IFERROR(IF(OR($B13="",FS$3=""),"",_xll.ciqfunctions.udf.CIQ($B13,"IQ_NON_PERFORMING_LOANS",FS$3,$E$3, $J$3, , $G$3, $H$3)/_xll.ciqfunctions.udf.CIQ($B13,"IQ_TOTAL_LOANS",FS$3,$E$3, $J$3, , $G$3, $H$3)),"")</f>
        <v/>
      </c>
      <c r="FT13" s="87" t="str">
        <f>IFERROR(IF(OR($B13="",FT$3=""),"",_xll.ciqfunctions.udf.CIQ($B13,"IQ_NON_PERFORMING_LOANS",FT$3,$E$3, $J$3, , $G$3, $H$3)/_xll.ciqfunctions.udf.CIQ($B13,"IQ_TOTAL_LOANS",FT$3,$E$3, $J$3, , $G$3, $H$3)),"")</f>
        <v/>
      </c>
      <c r="FU13" s="87" t="str">
        <f>IFERROR(IF(OR($B13="",FU$3=""),"",_xll.ciqfunctions.udf.CIQ($B13,"IQ_NON_PERFORMING_LOANS",FU$3,$E$3, $J$3, , $G$3, $H$3)/_xll.ciqfunctions.udf.CIQ($B13,"IQ_TOTAL_LOANS",FU$3,$E$3, $J$3, , $G$3, $H$3)),"")</f>
        <v/>
      </c>
      <c r="FV13" s="87" t="str">
        <f>IFERROR(IF(OR($B13="",FV$3=""),"",_xll.ciqfunctions.udf.CIQ($B13,"IQ_NON_PERFORMING_LOANS",FV$3,$E$3, $J$3, , $G$3, $H$3)/_xll.ciqfunctions.udf.CIQ($B13,"IQ_TOTAL_LOANS",FV$3,$E$3, $J$3, , $G$3, $H$3)),"")</f>
        <v/>
      </c>
      <c r="FW13" s="87" t="str">
        <f>IFERROR(IF(OR($B13="",FW$3=""),"",_xll.ciqfunctions.udf.CIQ($B13,"IQ_NON_PERFORMING_LOANS",FW$3,$E$3, $J$3, , $G$3, $H$3)/_xll.ciqfunctions.udf.CIQ($B13,"IQ_TOTAL_LOANS",FW$3,$E$3, $J$3, , $G$3, $H$3)),"")</f>
        <v/>
      </c>
      <c r="FX13" s="87" t="str">
        <f>IFERROR(IF(OR($B13="",FX$3=""),"",_xll.ciqfunctions.udf.CIQ($B13,"IQ_NON_PERFORMING_LOANS",FX$3,$E$3, $J$3, , $G$3, $H$3)/_xll.ciqfunctions.udf.CIQ($B13,"IQ_TOTAL_LOANS",FX$3,$E$3, $J$3, , $G$3, $H$3)),"")</f>
        <v/>
      </c>
      <c r="FY13" s="87" t="str">
        <f>IFERROR(IF(OR($B13="",FY$3=""),"",_xll.ciqfunctions.udf.CIQ($B13,"IQ_NON_PERFORMING_LOANS",FY$3,$E$3, $J$3, , $G$3, $H$3)/_xll.ciqfunctions.udf.CIQ($B13,"IQ_TOTAL_LOANS",FY$3,$E$3, $J$3, , $G$3, $H$3)),"")</f>
        <v/>
      </c>
      <c r="FZ13" s="87" t="str">
        <f>IFERROR(IF(OR($B13="",FZ$3=""),"",_xll.ciqfunctions.udf.CIQ($B13,"IQ_NON_PERFORMING_LOANS",FZ$3,$E$3, $J$3, , $G$3, $H$3)/_xll.ciqfunctions.udf.CIQ($B13,"IQ_TOTAL_LOANS",FZ$3,$E$3, $J$3, , $G$3, $H$3)),"")</f>
        <v/>
      </c>
      <c r="GA13" s="87" t="str">
        <f>IFERROR(IF(OR($B13="",GA$3=""),"",_xll.ciqfunctions.udf.CIQ($B13,"IQ_NON_PERFORMING_LOANS",GA$3,$E$3, $J$3, , $G$3, $H$3)/_xll.ciqfunctions.udf.CIQ($B13,"IQ_TOTAL_LOANS",GA$3,$E$3, $J$3, , $G$3, $H$3)),"")</f>
        <v/>
      </c>
      <c r="GB13" s="87" t="str">
        <f>IFERROR(IF(OR($B13="",GB$3=""),"",_xll.ciqfunctions.udf.CIQ($B13,"IQ_NON_PERFORMING_LOANS",GB$3,$E$3, $J$3, , $G$3, $H$3)/_xll.ciqfunctions.udf.CIQ($B13,"IQ_TOTAL_LOANS",GB$3,$E$3, $J$3, , $G$3, $H$3)),"")</f>
        <v/>
      </c>
      <c r="GC13" s="87" t="str">
        <f>IFERROR(IF(OR($B13="",GC$3=""),"",_xll.ciqfunctions.udf.CIQ($B13,"IQ_NON_PERFORMING_LOANS",GC$3,$E$3, $J$3, , $G$3, $H$3)/_xll.ciqfunctions.udf.CIQ($B13,"IQ_TOTAL_LOANS",GC$3,$E$3, $J$3, , $G$3, $H$3)),"")</f>
        <v/>
      </c>
      <c r="GD13" s="87" t="str">
        <f>IFERROR(IF(OR($B13="",GD$3=""),"",_xll.ciqfunctions.udf.CIQ($B13,"IQ_NON_PERFORMING_LOANS",GD$3,$E$3, $J$3, , $G$3, $H$3)/_xll.ciqfunctions.udf.CIQ($B13,"IQ_TOTAL_LOANS",GD$3,$E$3, $J$3, , $G$3, $H$3)),"")</f>
        <v/>
      </c>
      <c r="GE13" s="87" t="str">
        <f>IFERROR(IF(OR($B13="",GE$3=""),"",_xll.ciqfunctions.udf.CIQ($B13,"IQ_NON_PERFORMING_LOANS",GE$3,$E$3, $J$3, , $G$3, $H$3)/_xll.ciqfunctions.udf.CIQ($B13,"IQ_TOTAL_LOANS",GE$3,$E$3, $J$3, , $G$3, $H$3)),"")</f>
        <v/>
      </c>
      <c r="GF13" s="87" t="str">
        <f>IFERROR(IF(OR($B13="",GF$3=""),"",_xll.ciqfunctions.udf.CIQ($B13,"IQ_NON_PERFORMING_LOANS",GF$3,$E$3, $J$3, , $G$3, $H$3)/_xll.ciqfunctions.udf.CIQ($B13,"IQ_TOTAL_LOANS",GF$3,$E$3, $J$3, , $G$3, $H$3)),"")</f>
        <v/>
      </c>
      <c r="GG13" s="87" t="str">
        <f>IFERROR(IF(OR($B13="",GG$3=""),"",_xll.ciqfunctions.udf.CIQ($B13,"IQ_NON_PERFORMING_LOANS",GG$3,$E$3, $J$3, , $G$3, $H$3)/_xll.ciqfunctions.udf.CIQ($B13,"IQ_TOTAL_LOANS",GG$3,$E$3, $J$3, , $G$3, $H$3)),"")</f>
        <v/>
      </c>
      <c r="GH13" s="88" t="str">
        <f>IFERROR(IF(OR($B13="",GH$3=""),"",_xll.ciqfunctions.udf.CIQ($B13,"IQ_NON_PERFORMING_LOANS",GH$3,$E$3, $J$3, , $G$3, $H$3)/_xll.ciqfunctions.udf.CIQ($B13,"IQ_TOTAL_LOANS",GH$3,$E$3, $J$3, , $G$3, $H$3)),"")</f>
        <v/>
      </c>
      <c r="GI13" s="86" t="str">
        <f>IFERROR(IF(OR($B13="",GI$3=""),"",_xll.ciqfunctions.udf.CIQ($B13,"IQ_NON_PERFORMING_ASSETS",GI$3,$E$3, $J$3, , $G$3, $H$3)/_xll.ciqfunctions.udf.CIQ($B13,"IQ_TOTAL_ASSETS",GI$3,$E$3, $J$3, , $G$3, $H$3)),"")</f>
        <v/>
      </c>
      <c r="GJ13" s="87" t="str">
        <f>IFERROR(IF(OR($B13="",GJ$3=""),"",_xll.ciqfunctions.udf.CIQ($B13,"IQ_NON_PERFORMING_ASSETS",GJ$3,$E$3, $J$3, , $G$3, $H$3)/_xll.ciqfunctions.udf.CIQ($B13,"IQ_TOTAL_ASSETS",GJ$3,$E$3, $J$3, , $G$3, $H$3)),"")</f>
        <v/>
      </c>
      <c r="GK13" s="87" t="str">
        <f>IFERROR(IF(OR($B13="",GK$3=""),"",_xll.ciqfunctions.udf.CIQ($B13,"IQ_NON_PERFORMING_ASSETS",GK$3,$E$3, $J$3, , $G$3, $H$3)/_xll.ciqfunctions.udf.CIQ($B13,"IQ_TOTAL_ASSETS",GK$3,$E$3, $J$3, , $G$3, $H$3)),"")</f>
        <v/>
      </c>
      <c r="GL13" s="87" t="str">
        <f>IFERROR(IF(OR($B13="",GL$3=""),"",_xll.ciqfunctions.udf.CIQ($B13,"IQ_NON_PERFORMING_ASSETS",GL$3,$E$3, $J$3, , $G$3, $H$3)/_xll.ciqfunctions.udf.CIQ($B13,"IQ_TOTAL_ASSETS",GL$3,$E$3, $J$3, , $G$3, $H$3)),"")</f>
        <v/>
      </c>
      <c r="GM13" s="87" t="str">
        <f>IFERROR(IF(OR($B13="",GM$3=""),"",_xll.ciqfunctions.udf.CIQ($B13,"IQ_NON_PERFORMING_ASSETS",GM$3,$E$3, $J$3, , $G$3, $H$3)/_xll.ciqfunctions.udf.CIQ($B13,"IQ_TOTAL_ASSETS",GM$3,$E$3, $J$3, , $G$3, $H$3)),"")</f>
        <v/>
      </c>
      <c r="GN13" s="87" t="str">
        <f>IFERROR(IF(OR($B13="",GN$3=""),"",_xll.ciqfunctions.udf.CIQ($B13,"IQ_NON_PERFORMING_ASSETS",GN$3,$E$3, $J$3, , $G$3, $H$3)/_xll.ciqfunctions.udf.CIQ($B13,"IQ_TOTAL_ASSETS",GN$3,$E$3, $J$3, , $G$3, $H$3)),"")</f>
        <v/>
      </c>
      <c r="GO13" s="87" t="str">
        <f>IFERROR(IF(OR($B13="",GO$3=""),"",_xll.ciqfunctions.udf.CIQ($B13,"IQ_NON_PERFORMING_ASSETS",GO$3,$E$3, $J$3, , $G$3, $H$3)/_xll.ciqfunctions.udf.CIQ($B13,"IQ_TOTAL_ASSETS",GO$3,$E$3, $J$3, , $G$3, $H$3)),"")</f>
        <v/>
      </c>
      <c r="GP13" s="87" t="str">
        <f>IFERROR(IF(OR($B13="",GP$3=""),"",_xll.ciqfunctions.udf.CIQ($B13,"IQ_NON_PERFORMING_ASSETS",GP$3,$E$3, $J$3, , $G$3, $H$3)/_xll.ciqfunctions.udf.CIQ($B13,"IQ_TOTAL_ASSETS",GP$3,$E$3, $J$3, , $G$3, $H$3)),"")</f>
        <v/>
      </c>
      <c r="GQ13" s="87" t="str">
        <f>IFERROR(IF(OR($B13="",GQ$3=""),"",_xll.ciqfunctions.udf.CIQ($B13,"IQ_NON_PERFORMING_ASSETS",GQ$3,$E$3, $J$3, , $G$3, $H$3)/_xll.ciqfunctions.udf.CIQ($B13,"IQ_TOTAL_ASSETS",GQ$3,$E$3, $J$3, , $G$3, $H$3)),"")</f>
        <v/>
      </c>
      <c r="GR13" s="87" t="str">
        <f>IFERROR(IF(OR($B13="",GR$3=""),"",_xll.ciqfunctions.udf.CIQ($B13,"IQ_NON_PERFORMING_ASSETS",GR$3,$E$3, $J$3, , $G$3, $H$3)/_xll.ciqfunctions.udf.CIQ($B13,"IQ_TOTAL_ASSETS",GR$3,$E$3, $J$3, , $G$3, $H$3)),"")</f>
        <v/>
      </c>
      <c r="GS13" s="87" t="str">
        <f>IFERROR(IF(OR($B13="",GS$3=""),"",_xll.ciqfunctions.udf.CIQ($B13,"IQ_NON_PERFORMING_ASSETS",GS$3,$E$3, $J$3, , $G$3, $H$3)/_xll.ciqfunctions.udf.CIQ($B13,"IQ_TOTAL_ASSETS",GS$3,$E$3, $J$3, , $G$3, $H$3)),"")</f>
        <v/>
      </c>
      <c r="GT13" s="87" t="str">
        <f>IFERROR(IF(OR($B13="",GT$3=""),"",_xll.ciqfunctions.udf.CIQ($B13,"IQ_NON_PERFORMING_ASSETS",GT$3,$E$3, $J$3, , $G$3, $H$3)/_xll.ciqfunctions.udf.CIQ($B13,"IQ_TOTAL_ASSETS",GT$3,$E$3, $J$3, , $G$3, $H$3)),"")</f>
        <v/>
      </c>
      <c r="GU13" s="87" t="str">
        <f>IFERROR(IF(OR($B13="",GU$3=""),"",_xll.ciqfunctions.udf.CIQ($B13,"IQ_NON_PERFORMING_ASSETS",GU$3,$E$3, $J$3, , $G$3, $H$3)/_xll.ciqfunctions.udf.CIQ($B13,"IQ_TOTAL_ASSETS",GU$3,$E$3, $J$3, , $G$3, $H$3)),"")</f>
        <v/>
      </c>
      <c r="GV13" s="87" t="str">
        <f>IFERROR(IF(OR($B13="",GV$3=""),"",_xll.ciqfunctions.udf.CIQ($B13,"IQ_NON_PERFORMING_ASSETS",GV$3,$E$3, $J$3, , $G$3, $H$3)/_xll.ciqfunctions.udf.CIQ($B13,"IQ_TOTAL_ASSETS",GV$3,$E$3, $J$3, , $G$3, $H$3)),"")</f>
        <v/>
      </c>
      <c r="GW13" s="87" t="str">
        <f>IFERROR(IF(OR($B13="",GW$3=""),"",_xll.ciqfunctions.udf.CIQ($B13,"IQ_NON_PERFORMING_ASSETS",GW$3,$E$3, $J$3, , $G$3, $H$3)/_xll.ciqfunctions.udf.CIQ($B13,"IQ_TOTAL_ASSETS",GW$3,$E$3, $J$3, , $G$3, $H$3)),"")</f>
        <v/>
      </c>
      <c r="GX13" s="87" t="str">
        <f>IFERROR(IF(OR($B13="",GX$3=""),"",_xll.ciqfunctions.udf.CIQ($B13,"IQ_NON_PERFORMING_ASSETS",GX$3,$E$3, $J$3, , $G$3, $H$3)/_xll.ciqfunctions.udf.CIQ($B13,"IQ_TOTAL_ASSETS",GX$3,$E$3, $J$3, , $G$3, $H$3)),"")</f>
        <v/>
      </c>
      <c r="GY13" s="87" t="str">
        <f>IFERROR(IF(OR($B13="",GY$3=""),"",_xll.ciqfunctions.udf.CIQ($B13,"IQ_NON_PERFORMING_ASSETS",GY$3,$E$3, $J$3, , $G$3, $H$3)/_xll.ciqfunctions.udf.CIQ($B13,"IQ_TOTAL_ASSETS",GY$3,$E$3, $J$3, , $G$3, $H$3)),"")</f>
        <v/>
      </c>
      <c r="GZ13" s="87" t="str">
        <f>IFERROR(IF(OR($B13="",GZ$3=""),"",_xll.ciqfunctions.udf.CIQ($B13,"IQ_NON_PERFORMING_ASSETS",GZ$3,$E$3, $J$3, , $G$3, $H$3)/_xll.ciqfunctions.udf.CIQ($B13,"IQ_TOTAL_ASSETS",GZ$3,$E$3, $J$3, , $G$3, $H$3)),"")</f>
        <v/>
      </c>
      <c r="HA13" s="87" t="str">
        <f>IFERROR(IF(OR($B13="",HA$3=""),"",_xll.ciqfunctions.udf.CIQ($B13,"IQ_NON_PERFORMING_ASSETS",HA$3,$E$3, $J$3, , $G$3, $H$3)/_xll.ciqfunctions.udf.CIQ($B13,"IQ_TOTAL_ASSETS",HA$3,$E$3, $J$3, , $G$3, $H$3)),"")</f>
        <v/>
      </c>
      <c r="HB13" s="88" t="str">
        <f>IFERROR(IF(OR($B13="",HB$3=""),"",_xll.ciqfunctions.udf.CIQ($B13,"IQ_NON_PERFORMING_ASSETS",HB$3,$E$3, $J$3, , $G$3, $H$3)/_xll.ciqfunctions.udf.CIQ($B13,"IQ_TOTAL_ASSETS",HB$3,$E$3, $J$3, , $G$3, $H$3)),"")</f>
        <v/>
      </c>
      <c r="HC13" s="86" t="str">
        <f>IFERROR(IF(OR($B13="",HC$3=""),"",_xll.ciqfunctions.udf.CIQ($B13, "IQ_NI", $I$3, HC$3,$J$3, ,$G$3,$H$3)*2/(_xll.ciqfunctions.udf.CIQ($B13,"IQ_TOTAL_ASSETS",HC$3,$E$3, $J$3, , $G$3, $H$3)+_xll.ciqfunctions.udf.CIQ($B13,"IQ_TOTAL_ASSETS","IQ_" &amp; LEFT(HC$3,2) &amp; "-1",HC$3, $J$3, , $G$3, $H$3))),"")</f>
        <v/>
      </c>
      <c r="HD13" s="87" t="str">
        <f>IFERROR(IF(OR($B13="",HD$3=""),"",_xll.ciqfunctions.udf.CIQ($B13, "IQ_NI", $I$3, HD$3,$J$3, ,$G$3,$H$3)*2/(_xll.ciqfunctions.udf.CIQ($B13,"IQ_TOTAL_ASSETS",HD$3,$E$3, $J$3, , $G$3, $H$3)+_xll.ciqfunctions.udf.CIQ($B13,"IQ_TOTAL_ASSETS","IQ_" &amp; LEFT(HD$3,2) &amp; "-1",HD$3, $J$3, , $G$3, $H$3))),"")</f>
        <v/>
      </c>
      <c r="HE13" s="87" t="str">
        <f>IFERROR(IF(OR($B13="",HE$3=""),"",_xll.ciqfunctions.udf.CIQ($B13, "IQ_NI", $I$3, HE$3,$J$3, ,$G$3,$H$3)*2/(_xll.ciqfunctions.udf.CIQ($B13,"IQ_TOTAL_ASSETS",HE$3,$E$3, $J$3, , $G$3, $H$3)+_xll.ciqfunctions.udf.CIQ($B13,"IQ_TOTAL_ASSETS","IQ_" &amp; LEFT(HE$3,2) &amp; "-1",HE$3, $J$3, , $G$3, $H$3))),"")</f>
        <v/>
      </c>
      <c r="HF13" s="87" t="str">
        <f>IFERROR(IF(OR($B13="",HF$3=""),"",_xll.ciqfunctions.udf.CIQ($B13, "IQ_NI", $I$3, HF$3,$J$3, ,$G$3,$H$3)*2/(_xll.ciqfunctions.udf.CIQ($B13,"IQ_TOTAL_ASSETS",HF$3,$E$3, $J$3, , $G$3, $H$3)+_xll.ciqfunctions.udf.CIQ($B13,"IQ_TOTAL_ASSETS","IQ_" &amp; LEFT(HF$3,2) &amp; "-1",HF$3, $J$3, , $G$3, $H$3))),"")</f>
        <v/>
      </c>
      <c r="HG13" s="87" t="str">
        <f>IFERROR(IF(OR($B13="",HG$3=""),"",_xll.ciqfunctions.udf.CIQ($B13, "IQ_NI", $I$3, HG$3,$J$3, ,$G$3,$H$3)*2/(_xll.ciqfunctions.udf.CIQ($B13,"IQ_TOTAL_ASSETS",HG$3,$E$3, $J$3, , $G$3, $H$3)+_xll.ciqfunctions.udf.CIQ($B13,"IQ_TOTAL_ASSETS","IQ_" &amp; LEFT(HG$3,2) &amp; "-1",HG$3, $J$3, , $G$3, $H$3))),"")</f>
        <v/>
      </c>
      <c r="HH13" s="87" t="str">
        <f>IFERROR(IF(OR($B13="",HH$3=""),"",_xll.ciqfunctions.udf.CIQ($B13, "IQ_NI", $I$3, HH$3,$J$3, ,$G$3,$H$3)*2/(_xll.ciqfunctions.udf.CIQ($B13,"IQ_TOTAL_ASSETS",HH$3,$E$3, $J$3, , $G$3, $H$3)+_xll.ciqfunctions.udf.CIQ($B13,"IQ_TOTAL_ASSETS","IQ_" &amp; LEFT(HH$3,2) &amp; "-1",HH$3, $J$3, , $G$3, $H$3))),"")</f>
        <v/>
      </c>
      <c r="HI13" s="87" t="str">
        <f>IFERROR(IF(OR($B13="",HI$3=""),"",_xll.ciqfunctions.udf.CIQ($B13, "IQ_NI", $I$3, HI$3,$J$3, ,$G$3,$H$3)*2/(_xll.ciqfunctions.udf.CIQ($B13,"IQ_TOTAL_ASSETS",HI$3,$E$3, $J$3, , $G$3, $H$3)+_xll.ciqfunctions.udf.CIQ($B13,"IQ_TOTAL_ASSETS","IQ_" &amp; LEFT(HI$3,2) &amp; "-1",HI$3, $J$3, , $G$3, $H$3))),"")</f>
        <v/>
      </c>
      <c r="HJ13" s="87" t="str">
        <f>IFERROR(IF(OR($B13="",HJ$3=""),"",_xll.ciqfunctions.udf.CIQ($B13, "IQ_NI", $I$3, HJ$3,$J$3, ,$G$3,$H$3)*2/(_xll.ciqfunctions.udf.CIQ($B13,"IQ_TOTAL_ASSETS",HJ$3,$E$3, $J$3, , $G$3, $H$3)+_xll.ciqfunctions.udf.CIQ($B13,"IQ_TOTAL_ASSETS","IQ_" &amp; LEFT(HJ$3,2) &amp; "-1",HJ$3, $J$3, , $G$3, $H$3))),"")</f>
        <v/>
      </c>
      <c r="HK13" s="87" t="str">
        <f>IFERROR(IF(OR($B13="",HK$3=""),"",_xll.ciqfunctions.udf.CIQ($B13, "IQ_NI", $I$3, HK$3,$J$3, ,$G$3,$H$3)*2/(_xll.ciqfunctions.udf.CIQ($B13,"IQ_TOTAL_ASSETS",HK$3,$E$3, $J$3, , $G$3, $H$3)+_xll.ciqfunctions.udf.CIQ($B13,"IQ_TOTAL_ASSETS","IQ_" &amp; LEFT(HK$3,2) &amp; "-1",HK$3, $J$3, , $G$3, $H$3))),"")</f>
        <v/>
      </c>
      <c r="HL13" s="87" t="str">
        <f>IFERROR(IF(OR($B13="",HL$3=""),"",_xll.ciqfunctions.udf.CIQ($B13, "IQ_NI", $I$3, HL$3,$J$3, ,$G$3,$H$3)*2/(_xll.ciqfunctions.udf.CIQ($B13,"IQ_TOTAL_ASSETS",HL$3,$E$3, $J$3, , $G$3, $H$3)+_xll.ciqfunctions.udf.CIQ($B13,"IQ_TOTAL_ASSETS","IQ_" &amp; LEFT(HL$3,2) &amp; "-1",HL$3, $J$3, , $G$3, $H$3))),"")</f>
        <v/>
      </c>
      <c r="HM13" s="87" t="str">
        <f>IFERROR(IF(OR($B13="",HM$3=""),"",_xll.ciqfunctions.udf.CIQ($B13, "IQ_NI", $I$3, HM$3,$J$3, ,$G$3,$H$3)*2/(_xll.ciqfunctions.udf.CIQ($B13,"IQ_TOTAL_ASSETS",HM$3,$E$3, $J$3, , $G$3, $H$3)+_xll.ciqfunctions.udf.CIQ($B13,"IQ_TOTAL_ASSETS","IQ_" &amp; LEFT(HM$3,2) &amp; "-1",HM$3, $J$3, , $G$3, $H$3))),"")</f>
        <v/>
      </c>
      <c r="HN13" s="87" t="str">
        <f>IFERROR(IF(OR($B13="",HN$3=""),"",_xll.ciqfunctions.udf.CIQ($B13, "IQ_NI", $I$3, HN$3,$J$3, ,$G$3,$H$3)*2/(_xll.ciqfunctions.udf.CIQ($B13,"IQ_TOTAL_ASSETS",HN$3,$E$3, $J$3, , $G$3, $H$3)+_xll.ciqfunctions.udf.CIQ($B13,"IQ_TOTAL_ASSETS","IQ_" &amp; LEFT(HN$3,2) &amp; "-1",HN$3, $J$3, , $G$3, $H$3))),"")</f>
        <v/>
      </c>
      <c r="HO13" s="87" t="str">
        <f>IFERROR(IF(OR($B13="",HO$3=""),"",_xll.ciqfunctions.udf.CIQ($B13, "IQ_NI", $I$3, HO$3,$J$3, ,$G$3,$H$3)*2/(_xll.ciqfunctions.udf.CIQ($B13,"IQ_TOTAL_ASSETS",HO$3,$E$3, $J$3, , $G$3, $H$3)+_xll.ciqfunctions.udf.CIQ($B13,"IQ_TOTAL_ASSETS","IQ_" &amp; LEFT(HO$3,2) &amp; "-1",HO$3, $J$3, , $G$3, $H$3))),"")</f>
        <v/>
      </c>
      <c r="HP13" s="87" t="str">
        <f>IFERROR(IF(OR($B13="",HP$3=""),"",_xll.ciqfunctions.udf.CIQ($B13, "IQ_NI", $I$3, HP$3,$J$3, ,$G$3,$H$3)*2/(_xll.ciqfunctions.udf.CIQ($B13,"IQ_TOTAL_ASSETS",HP$3,$E$3, $J$3, , $G$3, $H$3)+_xll.ciqfunctions.udf.CIQ($B13,"IQ_TOTAL_ASSETS","IQ_" &amp; LEFT(HP$3,2) &amp; "-1",HP$3, $J$3, , $G$3, $H$3))),"")</f>
        <v/>
      </c>
      <c r="HQ13" s="87" t="str">
        <f>IFERROR(IF(OR($B13="",HQ$3=""),"",_xll.ciqfunctions.udf.CIQ($B13, "IQ_NI", $I$3, HQ$3,$J$3, ,$G$3,$H$3)*2/(_xll.ciqfunctions.udf.CIQ($B13,"IQ_TOTAL_ASSETS",HQ$3,$E$3, $J$3, , $G$3, $H$3)+_xll.ciqfunctions.udf.CIQ($B13,"IQ_TOTAL_ASSETS","IQ_" &amp; LEFT(HQ$3,2) &amp; "-1",HQ$3, $J$3, , $G$3, $H$3))),"")</f>
        <v/>
      </c>
      <c r="HR13" s="87" t="str">
        <f>IFERROR(IF(OR($B13="",HR$3=""),"",_xll.ciqfunctions.udf.CIQ($B13, "IQ_NI", $I$3, HR$3,$J$3, ,$G$3,$H$3)*2/(_xll.ciqfunctions.udf.CIQ($B13,"IQ_TOTAL_ASSETS",HR$3,$E$3, $J$3, , $G$3, $H$3)+_xll.ciqfunctions.udf.CIQ($B13,"IQ_TOTAL_ASSETS","IQ_" &amp; LEFT(HR$3,2) &amp; "-1",HR$3, $J$3, , $G$3, $H$3))),"")</f>
        <v/>
      </c>
      <c r="HS13" s="87" t="str">
        <f>IFERROR(IF(OR($B13="",HS$3=""),"",_xll.ciqfunctions.udf.CIQ($B13, "IQ_NI", $I$3, HS$3,$J$3, ,$G$3,$H$3)*2/(_xll.ciqfunctions.udf.CIQ($B13,"IQ_TOTAL_ASSETS",HS$3,$E$3, $J$3, , $G$3, $H$3)+_xll.ciqfunctions.udf.CIQ($B13,"IQ_TOTAL_ASSETS","IQ_" &amp; LEFT(HS$3,2) &amp; "-1",HS$3, $J$3, , $G$3, $H$3))),"")</f>
        <v/>
      </c>
      <c r="HT13" s="87" t="str">
        <f>IFERROR(IF(OR($B13="",HT$3=""),"",_xll.ciqfunctions.udf.CIQ($B13, "IQ_NI", $I$3, HT$3,$J$3, ,$G$3,$H$3)*2/(_xll.ciqfunctions.udf.CIQ($B13,"IQ_TOTAL_ASSETS",HT$3,$E$3, $J$3, , $G$3, $H$3)+_xll.ciqfunctions.udf.CIQ($B13,"IQ_TOTAL_ASSETS","IQ_" &amp; LEFT(HT$3,2) &amp; "-1",HT$3, $J$3, , $G$3, $H$3))),"")</f>
        <v/>
      </c>
      <c r="HU13" s="87" t="str">
        <f>IFERROR(IF(OR($B13="",HU$3=""),"",_xll.ciqfunctions.udf.CIQ($B13, "IQ_NI", $I$3, HU$3,$J$3, ,$G$3,$H$3)*2/(_xll.ciqfunctions.udf.CIQ($B13,"IQ_TOTAL_ASSETS",HU$3,$E$3, $J$3, , $G$3, $H$3)+_xll.ciqfunctions.udf.CIQ($B13,"IQ_TOTAL_ASSETS","IQ_" &amp; LEFT(HU$3,2) &amp; "-1",HU$3, $J$3, , $G$3, $H$3))),"")</f>
        <v/>
      </c>
      <c r="HV13" s="88" t="str">
        <f>IFERROR(IF(OR($B13="",HV$3=""),"",_xll.ciqfunctions.udf.CIQ($B13, "IQ_NI", $I$3, HV$3,$J$3, ,$G$3,$H$3)*2/(_xll.ciqfunctions.udf.CIQ($B13,"IQ_TOTAL_ASSETS",HV$3,$E$3, $J$3, , $G$3, $H$3)+_xll.ciqfunctions.udf.CIQ($B13,"IQ_TOTAL_ASSETS","IQ_" &amp; LEFT(HV$3,2) &amp; "-1",HV$3, $J$3, , $G$3, $H$3))),"")</f>
        <v/>
      </c>
      <c r="HW13" s="86" t="str">
        <f>IFERROR(IF(OR($B13="",HW$3=""),"",_xll.ciqfunctions.udf.CIQ($B13,"IQ_CASH_OPER",HW$3,$E$3, $J$3, , $G$3, $H$3)/_xll.ciqfunctions.udf.CIQ($B13,"IQ_TOTAL_REV",HW$3,$E$3, $J$3, , $G$3, $H$3)),0)</f>
        <v/>
      </c>
      <c r="HX13" s="87" t="str">
        <f>IFERROR(IF(OR($B13="",HX$3=""),"",_xll.ciqfunctions.udf.CIQ($B13,"IQ_CASH_OPER",HX$3,$E$3, $J$3, , $G$3, $H$3)/_xll.ciqfunctions.udf.CIQ($B13,"IQ_TOTAL_REV",HX$3,$E$3, $J$3, , $G$3, $H$3)),0)</f>
        <v/>
      </c>
      <c r="HY13" s="87" t="str">
        <f>IFERROR(IF(OR($B13="",HY$3=""),"",_xll.ciqfunctions.udf.CIQ($B13,"IQ_CASH_OPER",HY$3,$E$3, $J$3, , $G$3, $H$3)/_xll.ciqfunctions.udf.CIQ($B13,"IQ_TOTAL_REV",HY$3,$E$3, $J$3, , $G$3, $H$3)),0)</f>
        <v/>
      </c>
      <c r="HZ13" s="87" t="str">
        <f>IFERROR(IF(OR($B13="",HZ$3=""),"",_xll.ciqfunctions.udf.CIQ($B13,"IQ_CASH_OPER",HZ$3,$E$3, $J$3, , $G$3, $H$3)/_xll.ciqfunctions.udf.CIQ($B13,"IQ_TOTAL_REV",HZ$3,$E$3, $J$3, , $G$3, $H$3)),0)</f>
        <v/>
      </c>
      <c r="IA13" s="87" t="str">
        <f>IFERROR(IF(OR($B13="",IA$3=""),"",_xll.ciqfunctions.udf.CIQ($B13,"IQ_CASH_OPER",IA$3,$E$3, $J$3, , $G$3, $H$3)/_xll.ciqfunctions.udf.CIQ($B13,"IQ_TOTAL_REV",IA$3,$E$3, $J$3, , $G$3, $H$3)),0)</f>
        <v/>
      </c>
      <c r="IB13" s="87" t="str">
        <f>IFERROR(IF(OR($B13="",IB$3=""),"",_xll.ciqfunctions.udf.CIQ($B13,"IQ_CASH_OPER",IB$3,$E$3, $J$3, , $G$3, $H$3)/_xll.ciqfunctions.udf.CIQ($B13,"IQ_TOTAL_REV",IB$3,$E$3, $J$3, , $G$3, $H$3)),0)</f>
        <v/>
      </c>
      <c r="IC13" s="87" t="str">
        <f>IFERROR(IF(OR($B13="",IC$3=""),"",_xll.ciqfunctions.udf.CIQ($B13,"IQ_CASH_OPER",IC$3,$E$3, $J$3, , $G$3, $H$3)/_xll.ciqfunctions.udf.CIQ($B13,"IQ_TOTAL_REV",IC$3,$E$3, $J$3, , $G$3, $H$3)),0)</f>
        <v/>
      </c>
      <c r="ID13" s="87" t="str">
        <f>IFERROR(IF(OR($B13="",ID$3=""),"",_xll.ciqfunctions.udf.CIQ($B13,"IQ_CASH_OPER",ID$3,$E$3, $J$3, , $G$3, $H$3)/_xll.ciqfunctions.udf.CIQ($B13,"IQ_TOTAL_REV",ID$3,$E$3, $J$3, , $G$3, $H$3)),0)</f>
        <v/>
      </c>
      <c r="IE13" s="87" t="str">
        <f>IFERROR(IF(OR($B13="",IE$3=""),"",_xll.ciqfunctions.udf.CIQ($B13,"IQ_CASH_OPER",IE$3,$E$3, $J$3, , $G$3, $H$3)/_xll.ciqfunctions.udf.CIQ($B13,"IQ_TOTAL_REV",IE$3,$E$3, $J$3, , $G$3, $H$3)),0)</f>
        <v/>
      </c>
      <c r="IF13" s="87" t="str">
        <f>IFERROR(IF(OR($B13="",IF$3=""),"",_xll.ciqfunctions.udf.CIQ($B13,"IQ_CASH_OPER",IF$3,$E$3, $J$3, , $G$3, $H$3)/_xll.ciqfunctions.udf.CIQ($B13,"IQ_TOTAL_REV",IF$3,$E$3, $J$3, , $G$3, $H$3)),0)</f>
        <v/>
      </c>
      <c r="IG13" s="87" t="str">
        <f>IFERROR(IF(OR($B13="",IG$3=""),"",_xll.ciqfunctions.udf.CIQ($B13,"IQ_CASH_OPER",IG$3,$E$3, $J$3, , $G$3, $H$3)/_xll.ciqfunctions.udf.CIQ($B13,"IQ_TOTAL_REV",IG$3,$E$3, $J$3, , $G$3, $H$3)),0)</f>
        <v/>
      </c>
      <c r="IH13" s="87" t="str">
        <f>IFERROR(IF(OR($B13="",IH$3=""),"",_xll.ciqfunctions.udf.CIQ($B13,"IQ_CASH_OPER",IH$3,$E$3, $J$3, , $G$3, $H$3)/_xll.ciqfunctions.udf.CIQ($B13,"IQ_TOTAL_REV",IH$3,$E$3, $J$3, , $G$3, $H$3)),0)</f>
        <v/>
      </c>
      <c r="II13" s="87" t="str">
        <f>IFERROR(IF(OR($B13="",II$3=""),"",_xll.ciqfunctions.udf.CIQ($B13,"IQ_CASH_OPER",II$3,$E$3, $J$3, , $G$3, $H$3)/_xll.ciqfunctions.udf.CIQ($B13,"IQ_TOTAL_REV",II$3,$E$3, $J$3, , $G$3, $H$3)),0)</f>
        <v/>
      </c>
      <c r="IJ13" s="87" t="str">
        <f>IFERROR(IF(OR($B13="",IJ$3=""),"",_xll.ciqfunctions.udf.CIQ($B13,"IQ_CASH_OPER",IJ$3,$E$3, $J$3, , $G$3, $H$3)/_xll.ciqfunctions.udf.CIQ($B13,"IQ_TOTAL_REV",IJ$3,$E$3, $J$3, , $G$3, $H$3)),0)</f>
        <v/>
      </c>
      <c r="IK13" s="87" t="str">
        <f>IFERROR(IF(OR($B13="",IK$3=""),"",_xll.ciqfunctions.udf.CIQ($B13,"IQ_CASH_OPER",IK$3,$E$3, $J$3, , $G$3, $H$3)/_xll.ciqfunctions.udf.CIQ($B13,"IQ_TOTAL_REV",IK$3,$E$3, $J$3, , $G$3, $H$3)),0)</f>
        <v/>
      </c>
      <c r="IL13" s="87" t="str">
        <f>IFERROR(IF(OR($B13="",IL$3=""),"",_xll.ciqfunctions.udf.CIQ($B13,"IQ_CASH_OPER",IL$3,$E$3, $J$3, , $G$3, $H$3)/_xll.ciqfunctions.udf.CIQ($B13,"IQ_TOTAL_REV",IL$3,$E$3, $J$3, , $G$3, $H$3)),0)</f>
        <v/>
      </c>
      <c r="IM13" s="87" t="str">
        <f>IFERROR(IF(OR($B13="",IM$3=""),"",_xll.ciqfunctions.udf.CIQ($B13,"IQ_CASH_OPER",IM$3,$E$3, $J$3, , $G$3, $H$3)/_xll.ciqfunctions.udf.CIQ($B13,"IQ_TOTAL_REV",IM$3,$E$3, $J$3, , $G$3, $H$3)),0)</f>
        <v/>
      </c>
      <c r="IN13" s="87" t="str">
        <f>IFERROR(IF(OR($B13="",IN$3=""),"",_xll.ciqfunctions.udf.CIQ($B13,"IQ_CASH_OPER",IN$3,$E$3, $J$3, , $G$3, $H$3)/_xll.ciqfunctions.udf.CIQ($B13,"IQ_TOTAL_REV",IN$3,$E$3, $J$3, , $G$3, $H$3)),0)</f>
        <v/>
      </c>
      <c r="IO13" s="87" t="str">
        <f>IFERROR(IF(OR($B13="",IO$3=""),"",_xll.ciqfunctions.udf.CIQ($B13,"IQ_CASH_OPER",IO$3,$E$3, $J$3, , $G$3, $H$3)/_xll.ciqfunctions.udf.CIQ($B13,"IQ_TOTAL_REV",IO$3,$E$3, $J$3, , $G$3, $H$3)),0)</f>
        <v/>
      </c>
      <c r="IP13" s="88" t="str">
        <f>IFERROR(IF(OR($B13="",IP$3=""),"",_xll.ciqfunctions.udf.CIQ($B13,"IQ_CASH_OPER",IP$3,$E$3, $J$3, , $G$3, $H$3)/_xll.ciqfunctions.udf.CIQ($B13,"IQ_TOTAL_REV",IP$3,$E$3, $J$3, , $G$3, $H$3)),0)</f>
        <v/>
      </c>
      <c r="IQ13" s="348" t="str">
        <f>IFERROR(IF(OR(IQ$3="",$B13=""),"",_xll.ciqfunctions.udf.CIQ($B13,"IQ_TOTAL_ASSETS",IQ$3,$E$3, $J$3, , $G$3, $H$3)/_xll.ciqfunctions.udf.CIQ($B13,"IQ_TOTAL_COMMON_EQUITY",IQ$3,$E$3, $J$3, , $G$3, $H$3)),0)</f>
        <v/>
      </c>
      <c r="IR13" s="349" t="str">
        <f>IFERROR(IF(OR(IR$3="",$B13=""),"",_xll.ciqfunctions.udf.CIQ($B13,"IQ_TOTAL_ASSETS",IR$3,$E$3, $J$3, , $G$3, $H$3)/_xll.ciqfunctions.udf.CIQ($B13,"IQ_TOTAL_COMMON_EQUITY",IR$3,$E$3, $J$3, , $G$3, $H$3)),0)</f>
        <v/>
      </c>
      <c r="IS13" s="349" t="str">
        <f>IFERROR(IF(OR(IS$3="",$B13=""),"",_xll.ciqfunctions.udf.CIQ($B13,"IQ_TOTAL_ASSETS",IS$3,$E$3, $J$3, , $G$3, $H$3)/_xll.ciqfunctions.udf.CIQ($B13,"IQ_TOTAL_COMMON_EQUITY",IS$3,$E$3, $J$3, , $G$3, $H$3)),0)</f>
        <v/>
      </c>
      <c r="IT13" s="349" t="str">
        <f>IFERROR(IF(OR(IT$3="",$B13=""),"",_xll.ciqfunctions.udf.CIQ($B13,"IQ_TOTAL_ASSETS",IT$3,$E$3, $J$3, , $G$3, $H$3)/_xll.ciqfunctions.udf.CIQ($B13,"IQ_TOTAL_COMMON_EQUITY",IT$3,$E$3, $J$3, , $G$3, $H$3)),0)</f>
        <v/>
      </c>
      <c r="IU13" s="349" t="str">
        <f>IFERROR(IF(OR(IU$3="",$B13=""),"",_xll.ciqfunctions.udf.CIQ($B13,"IQ_TOTAL_ASSETS",IU$3,$E$3, $J$3, , $G$3, $H$3)/_xll.ciqfunctions.udf.CIQ($B13,"IQ_TOTAL_COMMON_EQUITY",IU$3,$E$3, $J$3, , $G$3, $H$3)),0)</f>
        <v/>
      </c>
      <c r="IV13" s="349" t="str">
        <f>IFERROR(IF(OR(IV$3="",$B13=""),"",_xll.ciqfunctions.udf.CIQ($B13,"IQ_TOTAL_ASSETS",IV$3,$E$3, $J$3, , $G$3, $H$3)/_xll.ciqfunctions.udf.CIQ($B13,"IQ_TOTAL_COMMON_EQUITY",IV$3,$E$3, $J$3, , $G$3, $H$3)),0)</f>
        <v/>
      </c>
      <c r="IW13" s="349" t="str">
        <f>IFERROR(IF(OR(IW$3="",$B13=""),"",_xll.ciqfunctions.udf.CIQ($B13,"IQ_TOTAL_ASSETS",IW$3,$E$3, $J$3, , $G$3, $H$3)/_xll.ciqfunctions.udf.CIQ($B13,"IQ_TOTAL_COMMON_EQUITY",IW$3,$E$3, $J$3, , $G$3, $H$3)),0)</f>
        <v/>
      </c>
      <c r="IX13" s="349" t="str">
        <f>IFERROR(IF(OR(IX$3="",$B13=""),"",_xll.ciqfunctions.udf.CIQ($B13,"IQ_TOTAL_ASSETS",IX$3,$E$3, $J$3, , $G$3, $H$3)/_xll.ciqfunctions.udf.CIQ($B13,"IQ_TOTAL_COMMON_EQUITY",IX$3,$E$3, $J$3, , $G$3, $H$3)),0)</f>
        <v/>
      </c>
      <c r="IY13" s="349" t="str">
        <f>IFERROR(IF(OR(IY$3="",$B13=""),"",_xll.ciqfunctions.udf.CIQ($B13,"IQ_TOTAL_ASSETS",IY$3,$E$3, $J$3, , $G$3, $H$3)/_xll.ciqfunctions.udf.CIQ($B13,"IQ_TOTAL_COMMON_EQUITY",IY$3,$E$3, $J$3, , $G$3, $H$3)),0)</f>
        <v/>
      </c>
      <c r="IZ13" s="349" t="str">
        <f>IFERROR(IF(OR(IZ$3="",$B13=""),"",_xll.ciqfunctions.udf.CIQ($B13,"IQ_TOTAL_ASSETS",IZ$3,$E$3, $J$3, , $G$3, $H$3)/_xll.ciqfunctions.udf.CIQ($B13,"IQ_TOTAL_COMMON_EQUITY",IZ$3,$E$3, $J$3, , $G$3, $H$3)),0)</f>
        <v/>
      </c>
      <c r="JA13" s="349" t="str">
        <f>IFERROR(IF(OR(JA$3="",$B13=""),"",_xll.ciqfunctions.udf.CIQ($B13,"IQ_TOTAL_ASSETS",JA$3,$E$3, $J$3, , $G$3, $H$3)/_xll.ciqfunctions.udf.CIQ($B13,"IQ_TOTAL_COMMON_EQUITY",JA$3,$E$3, $J$3, , $G$3, $H$3)),0)</f>
        <v/>
      </c>
      <c r="JB13" s="349" t="str">
        <f>IFERROR(IF(OR(JB$3="",$B13=""),"",_xll.ciqfunctions.udf.CIQ($B13,"IQ_TOTAL_ASSETS",JB$3,$E$3, $J$3, , $G$3, $H$3)/_xll.ciqfunctions.udf.CIQ($B13,"IQ_TOTAL_COMMON_EQUITY",JB$3,$E$3, $J$3, , $G$3, $H$3)),0)</f>
        <v/>
      </c>
      <c r="JC13" s="349" t="str">
        <f>IFERROR(IF(OR(JC$3="",$B13=""),"",_xll.ciqfunctions.udf.CIQ($B13,"IQ_TOTAL_ASSETS",JC$3,$E$3, $J$3, , $G$3, $H$3)/_xll.ciqfunctions.udf.CIQ($B13,"IQ_TOTAL_COMMON_EQUITY",JC$3,$E$3, $J$3, , $G$3, $H$3)),0)</f>
        <v/>
      </c>
      <c r="JD13" s="349" t="str">
        <f>IFERROR(IF(OR(JD$3="",$B13=""),"",_xll.ciqfunctions.udf.CIQ($B13,"IQ_TOTAL_ASSETS",JD$3,$E$3, $J$3, , $G$3, $H$3)/_xll.ciqfunctions.udf.CIQ($B13,"IQ_TOTAL_COMMON_EQUITY",JD$3,$E$3, $J$3, , $G$3, $H$3)),0)</f>
        <v/>
      </c>
      <c r="JE13" s="349" t="str">
        <f>IFERROR(IF(OR(JE$3="",$B13=""),"",_xll.ciqfunctions.udf.CIQ($B13,"IQ_TOTAL_ASSETS",JE$3,$E$3, $J$3, , $G$3, $H$3)/_xll.ciqfunctions.udf.CIQ($B13,"IQ_TOTAL_COMMON_EQUITY",JE$3,$E$3, $J$3, , $G$3, $H$3)),0)</f>
        <v/>
      </c>
      <c r="JF13" s="349" t="str">
        <f>IFERROR(IF(OR(JF$3="",$B13=""),"",_xll.ciqfunctions.udf.CIQ($B13,"IQ_TOTAL_ASSETS",JF$3,$E$3, $J$3, , $G$3, $H$3)/_xll.ciqfunctions.udf.CIQ($B13,"IQ_TOTAL_COMMON_EQUITY",JF$3,$E$3, $J$3, , $G$3, $H$3)),0)</f>
        <v/>
      </c>
      <c r="JG13" s="349" t="str">
        <f>IFERROR(IF(OR(JG$3="",$B13=""),"",_xll.ciqfunctions.udf.CIQ($B13,"IQ_TOTAL_ASSETS",JG$3,$E$3, $J$3, , $G$3, $H$3)/_xll.ciqfunctions.udf.CIQ($B13,"IQ_TOTAL_COMMON_EQUITY",JG$3,$E$3, $J$3, , $G$3, $H$3)),0)</f>
        <v/>
      </c>
      <c r="JH13" s="349" t="str">
        <f>IFERROR(IF(OR(JH$3="",$B13=""),"",_xll.ciqfunctions.udf.CIQ($B13,"IQ_TOTAL_ASSETS",JH$3,$E$3, $J$3, , $G$3, $H$3)/_xll.ciqfunctions.udf.CIQ($B13,"IQ_TOTAL_COMMON_EQUITY",JH$3,$E$3, $J$3, , $G$3, $H$3)),0)</f>
        <v/>
      </c>
      <c r="JI13" s="349" t="str">
        <f>IFERROR(IF(OR(JI$3="",$B13=""),"",_xll.ciqfunctions.udf.CIQ($B13,"IQ_TOTAL_ASSETS",JI$3,$E$3, $J$3, , $G$3, $H$3)/_xll.ciqfunctions.udf.CIQ($B13,"IQ_TOTAL_COMMON_EQUITY",JI$3,$E$3, $J$3, , $G$3, $H$3)),0)</f>
        <v/>
      </c>
      <c r="JJ13" s="350" t="str">
        <f>IFERROR(IF(OR(JJ$3="",$B13=""),"",_xll.ciqfunctions.udf.CIQ($B13,"IQ_TOTAL_ASSETS",JJ$3,$E$3, $J$3, , $G$3, $H$3)/_xll.ciqfunctions.udf.CIQ($B13,"IQ_TOTAL_COMMON_EQUITY",JJ$3,$E$3, $J$3, , $G$3, $H$3)),0)</f>
        <v/>
      </c>
      <c r="JK13" s="86" t="str">
        <f>IFERROR(IF(OR($B13="",JK$3=""),"",_xll.ciqfunctions.udf.CIQ($B13, "IQ_NI", $I$3, HC$3,$J$3, ,$G$3,$H$3)*2/(_xll.ciqfunctions.udf.CIQ($B13,"IQ_TOTAL_EQUITY",JK$3,$E$3, $J$3, , $G$3, $H$3)+_xll.ciqfunctions.udf.CIQ($B13,"IQ_TOTAL_EQUITY","IQ_" &amp; LEFT(JK$3,2) &amp; "-1",JK$3, $J$3, , $G$3, $H$3))),"")</f>
        <v/>
      </c>
      <c r="JL13" s="87" t="str">
        <f>IFERROR(IF(OR($B13="",JL$3=""),"",_xll.ciqfunctions.udf.CIQ($B13, "IQ_NI", $I$3, HD$3,$J$3, ,$G$3,$H$3)*2/(_xll.ciqfunctions.udf.CIQ($B13,"IQ_TOTAL_EQUITY",JL$3,$E$3, $J$3, , $G$3, $H$3)+_xll.ciqfunctions.udf.CIQ($B13,"IQ_TOTAL_EQUITY","IQ_" &amp; LEFT(JL$3,2) &amp; "-1",JL$3, $J$3, , $G$3, $H$3))),"")</f>
        <v/>
      </c>
      <c r="JM13" s="87" t="str">
        <f>IFERROR(IF(OR($B13="",JM$3=""),"",_xll.ciqfunctions.udf.CIQ($B13, "IQ_NI", $I$3, HE$3,$J$3, ,$G$3,$H$3)*2/(_xll.ciqfunctions.udf.CIQ($B13,"IQ_TOTAL_EQUITY",JM$3,$E$3, $J$3, , $G$3, $H$3)+_xll.ciqfunctions.udf.CIQ($B13,"IQ_TOTAL_EQUITY","IQ_" &amp; LEFT(JM$3,2) &amp; "-1",JM$3, $J$3, , $G$3, $H$3))),"")</f>
        <v/>
      </c>
      <c r="JN13" s="87" t="str">
        <f>IFERROR(IF(OR($B13="",JN$3=""),"",_xll.ciqfunctions.udf.CIQ($B13, "IQ_NI", $I$3, HF$3,$J$3, ,$G$3,$H$3)*2/(_xll.ciqfunctions.udf.CIQ($B13,"IQ_TOTAL_EQUITY",JN$3,$E$3, $J$3, , $G$3, $H$3)+_xll.ciqfunctions.udf.CIQ($B13,"IQ_TOTAL_EQUITY","IQ_" &amp; LEFT(JN$3,2) &amp; "-1",JN$3, $J$3, , $G$3, $H$3))),"")</f>
        <v/>
      </c>
      <c r="JO13" s="87" t="str">
        <f>IFERROR(IF(OR($B13="",JO$3=""),"",_xll.ciqfunctions.udf.CIQ($B13, "IQ_NI", $I$3, HG$3,$J$3, ,$G$3,$H$3)*2/(_xll.ciqfunctions.udf.CIQ($B13,"IQ_TOTAL_EQUITY",JO$3,$E$3, $J$3, , $G$3, $H$3)+_xll.ciqfunctions.udf.CIQ($B13,"IQ_TOTAL_EQUITY","IQ_" &amp; LEFT(JO$3,2) &amp; "-1",JO$3, $J$3, , $G$3, $H$3))),"")</f>
        <v/>
      </c>
      <c r="JP13" s="87" t="str">
        <f>IFERROR(IF(OR($B13="",JP$3=""),"",_xll.ciqfunctions.udf.CIQ($B13, "IQ_NI", $I$3, HH$3,$J$3, ,$G$3,$H$3)*2/(_xll.ciqfunctions.udf.CIQ($B13,"IQ_TOTAL_EQUITY",JP$3,$E$3, $J$3, , $G$3, $H$3)+_xll.ciqfunctions.udf.CIQ($B13,"IQ_TOTAL_EQUITY","IQ_" &amp; LEFT(JP$3,2) &amp; "-1",JP$3, $J$3, , $G$3, $H$3))),"")</f>
        <v/>
      </c>
      <c r="JQ13" s="87" t="str">
        <f>IFERROR(IF(OR($B13="",JQ$3=""),"",_xll.ciqfunctions.udf.CIQ($B13, "IQ_NI", $I$3, HI$3,$J$3, ,$G$3,$H$3)*2/(_xll.ciqfunctions.udf.CIQ($B13,"IQ_TOTAL_EQUITY",JQ$3,$E$3, $J$3, , $G$3, $H$3)+_xll.ciqfunctions.udf.CIQ($B13,"IQ_TOTAL_EQUITY","IQ_" &amp; LEFT(JQ$3,2) &amp; "-1",JQ$3, $J$3, , $G$3, $H$3))),"")</f>
        <v/>
      </c>
      <c r="JR13" s="87" t="str">
        <f>IFERROR(IF(OR($B13="",JR$3=""),"",_xll.ciqfunctions.udf.CIQ($B13, "IQ_NI", $I$3, HJ$3,$J$3, ,$G$3,$H$3)*2/(_xll.ciqfunctions.udf.CIQ($B13,"IQ_TOTAL_EQUITY",JR$3,$E$3, $J$3, , $G$3, $H$3)+_xll.ciqfunctions.udf.CIQ($B13,"IQ_TOTAL_EQUITY","IQ_" &amp; LEFT(JR$3,2) &amp; "-1",JR$3, $J$3, , $G$3, $H$3))),"")</f>
        <v/>
      </c>
      <c r="JS13" s="87" t="str">
        <f>IFERROR(IF(OR($B13="",JS$3=""),"",_xll.ciqfunctions.udf.CIQ($B13, "IQ_NI", $I$3, HK$3,$J$3, ,$G$3,$H$3)*2/(_xll.ciqfunctions.udf.CIQ($B13,"IQ_TOTAL_EQUITY",JS$3,$E$3, $J$3, , $G$3, $H$3)+_xll.ciqfunctions.udf.CIQ($B13,"IQ_TOTAL_EQUITY","IQ_" &amp; LEFT(JS$3,2) &amp; "-1",JS$3, $J$3, , $G$3, $H$3))),"")</f>
        <v/>
      </c>
      <c r="JT13" s="87" t="str">
        <f>IFERROR(IF(OR($B13="",JT$3=""),"",_xll.ciqfunctions.udf.CIQ($B13, "IQ_NI", $I$3, HL$3,$J$3, ,$G$3,$H$3)*2/(_xll.ciqfunctions.udf.CIQ($B13,"IQ_TOTAL_EQUITY",JT$3,$E$3, $J$3, , $G$3, $H$3)+_xll.ciqfunctions.udf.CIQ($B13,"IQ_TOTAL_EQUITY","IQ_" &amp; LEFT(JT$3,2) &amp; "-1",JT$3, $J$3, , $G$3, $H$3))),"")</f>
        <v/>
      </c>
      <c r="JU13" s="87" t="str">
        <f>IFERROR(IF(OR($B13="",JU$3=""),"",_xll.ciqfunctions.udf.CIQ($B13, "IQ_NI", $I$3, HM$3,$J$3, ,$G$3,$H$3)*2/(_xll.ciqfunctions.udf.CIQ($B13,"IQ_TOTAL_EQUITY",JU$3,$E$3, $J$3, , $G$3, $H$3)+_xll.ciqfunctions.udf.CIQ($B13,"IQ_TOTAL_EQUITY","IQ_" &amp; LEFT(JU$3,2) &amp; "-1",JU$3, $J$3, , $G$3, $H$3))),"")</f>
        <v/>
      </c>
      <c r="JV13" s="87" t="str">
        <f>IFERROR(IF(OR($B13="",JV$3=""),"",_xll.ciqfunctions.udf.CIQ($B13, "IQ_NI", $I$3, HN$3,$J$3, ,$G$3,$H$3)*2/(_xll.ciqfunctions.udf.CIQ($B13,"IQ_TOTAL_EQUITY",JV$3,$E$3, $J$3, , $G$3, $H$3)+_xll.ciqfunctions.udf.CIQ($B13,"IQ_TOTAL_EQUITY","IQ_" &amp; LEFT(JV$3,2) &amp; "-1",JV$3, $J$3, , $G$3, $H$3))),"")</f>
        <v/>
      </c>
      <c r="JW13" s="87" t="str">
        <f>IFERROR(IF(OR($B13="",JW$3=""),"",_xll.ciqfunctions.udf.CIQ($B13, "IQ_NI", $I$3, HO$3,$J$3, ,$G$3,$H$3)*2/(_xll.ciqfunctions.udf.CIQ($B13,"IQ_TOTAL_EQUITY",JW$3,$E$3, $J$3, , $G$3, $H$3)+_xll.ciqfunctions.udf.CIQ($B13,"IQ_TOTAL_EQUITY","IQ_" &amp; LEFT(JW$3,2) &amp; "-1",JW$3, $J$3, , $G$3, $H$3))),"")</f>
        <v/>
      </c>
      <c r="JX13" s="87" t="str">
        <f>IFERROR(IF(OR($B13="",JX$3=""),"",_xll.ciqfunctions.udf.CIQ($B13, "IQ_NI", $I$3, HP$3,$J$3, ,$G$3,$H$3)*2/(_xll.ciqfunctions.udf.CIQ($B13,"IQ_TOTAL_EQUITY",JX$3,$E$3, $J$3, , $G$3, $H$3)+_xll.ciqfunctions.udf.CIQ($B13,"IQ_TOTAL_EQUITY","IQ_" &amp; LEFT(JX$3,2) &amp; "-1",JX$3, $J$3, , $G$3, $H$3))),"")</f>
        <v/>
      </c>
      <c r="JY13" s="87" t="str">
        <f>IFERROR(IF(OR($B13="",JY$3=""),"",_xll.ciqfunctions.udf.CIQ($B13, "IQ_NI", $I$3, HQ$3,$J$3, ,$G$3,$H$3)*2/(_xll.ciqfunctions.udf.CIQ($B13,"IQ_TOTAL_EQUITY",JY$3,$E$3, $J$3, , $G$3, $H$3)+_xll.ciqfunctions.udf.CIQ($B13,"IQ_TOTAL_EQUITY","IQ_" &amp; LEFT(JY$3,2) &amp; "-1",JY$3, $J$3, , $G$3, $H$3))),"")</f>
        <v/>
      </c>
      <c r="JZ13" s="87" t="str">
        <f>IFERROR(IF(OR($B13="",JZ$3=""),"",_xll.ciqfunctions.udf.CIQ($B13, "IQ_NI", $I$3, HR$3,$J$3, ,$G$3,$H$3)*2/(_xll.ciqfunctions.udf.CIQ($B13,"IQ_TOTAL_EQUITY",JZ$3,$E$3, $J$3, , $G$3, $H$3)+_xll.ciqfunctions.udf.CIQ($B13,"IQ_TOTAL_EQUITY","IQ_" &amp; LEFT(JZ$3,2) &amp; "-1",JZ$3, $J$3, , $G$3, $H$3))),"")</f>
        <v/>
      </c>
      <c r="KA13" s="87" t="str">
        <f>IFERROR(IF(OR($B13="",KA$3=""),"",_xll.ciqfunctions.udf.CIQ($B13, "IQ_NI", $I$3, HS$3,$J$3, ,$G$3,$H$3)*2/(_xll.ciqfunctions.udf.CIQ($B13,"IQ_TOTAL_EQUITY",KA$3,$E$3, $J$3, , $G$3, $H$3)+_xll.ciqfunctions.udf.CIQ($B13,"IQ_TOTAL_EQUITY","IQ_" &amp; LEFT(KA$3,2) &amp; "-1",KA$3, $J$3, , $G$3, $H$3))),"")</f>
        <v/>
      </c>
      <c r="KB13" s="87" t="str">
        <f>IFERROR(IF(OR($B13="",KB$3=""),"",_xll.ciqfunctions.udf.CIQ($B13, "IQ_NI", $I$3, HT$3,$J$3, ,$G$3,$H$3)*2/(_xll.ciqfunctions.udf.CIQ($B13,"IQ_TOTAL_EQUITY",KB$3,$E$3, $J$3, , $G$3, $H$3)+_xll.ciqfunctions.udf.CIQ($B13,"IQ_TOTAL_EQUITY","IQ_" &amp; LEFT(KB$3,2) &amp; "-1",KB$3, $J$3, , $G$3, $H$3))),"")</f>
        <v/>
      </c>
      <c r="KC13" s="87" t="str">
        <f>IFERROR(IF(OR($B13="",KC$3=""),"",_xll.ciqfunctions.udf.CIQ($B13, "IQ_NI", $I$3, HU$3,$J$3, ,$G$3,$H$3)*2/(_xll.ciqfunctions.udf.CIQ($B13,"IQ_TOTAL_EQUITY",KC$3,$E$3, $J$3, , $G$3, $H$3)+_xll.ciqfunctions.udf.CIQ($B13,"IQ_TOTAL_EQUITY","IQ_" &amp; LEFT(KC$3,2) &amp; "-1",KC$3, $J$3, , $G$3, $H$3))),"")</f>
        <v/>
      </c>
      <c r="KD13" s="88" t="str">
        <f>IFERROR(IF(OR($B13="",KD$3=""),"",_xll.ciqfunctions.udf.CIQ($B13, "IQ_NI", $I$3, HV$3,$J$3, ,$G$3,$H$3)*2/(_xll.ciqfunctions.udf.CIQ($B13,"IQ_TOTAL_EQUITY",KD$3,$E$3, $J$3, , $G$3, $H$3)+_xll.ciqfunctions.udf.CIQ($B13,"IQ_TOTAL_EQUITY","IQ_" &amp; LEFT(KD$3,2) &amp; "-1",KD$3, $J$3, , $G$3, $H$3))),"")</f>
        <v/>
      </c>
      <c r="KE13" s="86" t="str">
        <f>IFERROR(IF(OR($B13="",KE$3=""),"",_xll.ciqfunctions.udf.CIQ($B13, "IQ_NI", $I$3, KE$3,$J$3, ,$G$3,$H$3)*2/(_xll.ciqfunctions.udf.CIQ($B13, "IQ_TOTAL_ASSETS", $I$3, KE$3,$J$3, ,$G$3,$H$3)+_xll.ciqfunctions.udf.CIQ($B13, "IQ_TOTAL_ASSETS", $I$3 &amp; "-1", KE$3,$J$3, ,$G$3,$H$3)-_xll.ciqfunctions.udf.CIQ($B13, "IQ_TOTAL_CL", $I$3, KE$3,$J$3, ,$G$3,$H$3)-_xll.ciqfunctions.udf.CIQ($B13, "IQ_TOTAL_CL", $I$3 &amp; "-1", KE$3,$J$3, ,$G$3,$H$3))),"")</f>
        <v/>
      </c>
      <c r="KF13" s="87" t="str">
        <f>IFERROR(IF(OR($B13="",KF$3=""),"",_xll.ciqfunctions.udf.CIQ($B13, "IQ_NI", $I$3, KF$3,$J$3, ,$G$3,$H$3)*2/(_xll.ciqfunctions.udf.CIQ($B13, "IQ_TOTAL_ASSETS", $I$3, KF$3,$J$3, ,$G$3,$H$3)+_xll.ciqfunctions.udf.CIQ($B13, "IQ_TOTAL_ASSETS", $I$3 &amp; "-1", KF$3,$J$3, ,$G$3,$H$3)-_xll.ciqfunctions.udf.CIQ($B13, "IQ_TOTAL_CL", $I$3, KF$3,$J$3, ,$G$3,$H$3)-_xll.ciqfunctions.udf.CIQ($B13, "IQ_TOTAL_CL", $I$3 &amp; "-1", KF$3,$J$3, ,$G$3,$H$3))),"")</f>
        <v/>
      </c>
      <c r="KG13" s="87" t="str">
        <f>IFERROR(IF(OR($B13="",KG$3=""),"",_xll.ciqfunctions.udf.CIQ($B13, "IQ_NI", $I$3, KG$3,$J$3, ,$G$3,$H$3)*2/(_xll.ciqfunctions.udf.CIQ($B13, "IQ_TOTAL_ASSETS", $I$3, KG$3,$J$3, ,$G$3,$H$3)+_xll.ciqfunctions.udf.CIQ($B13, "IQ_TOTAL_ASSETS", $I$3 &amp; "-1", KG$3,$J$3, ,$G$3,$H$3)-_xll.ciqfunctions.udf.CIQ($B13, "IQ_TOTAL_CL", $I$3, KG$3,$J$3, ,$G$3,$H$3)-_xll.ciqfunctions.udf.CIQ($B13, "IQ_TOTAL_CL", $I$3 &amp; "-1", KG$3,$J$3, ,$G$3,$H$3))),"")</f>
        <v/>
      </c>
      <c r="KH13" s="87" t="str">
        <f>IFERROR(IF(OR($B13="",KH$3=""),"",_xll.ciqfunctions.udf.CIQ($B13, "IQ_NI", $I$3, KH$3,$J$3, ,$G$3,$H$3)*2/(_xll.ciqfunctions.udf.CIQ($B13, "IQ_TOTAL_ASSETS", $I$3, KH$3,$J$3, ,$G$3,$H$3)+_xll.ciqfunctions.udf.CIQ($B13, "IQ_TOTAL_ASSETS", $I$3 &amp; "-1", KH$3,$J$3, ,$G$3,$H$3)-_xll.ciqfunctions.udf.CIQ($B13, "IQ_TOTAL_CL", $I$3, KH$3,$J$3, ,$G$3,$H$3)-_xll.ciqfunctions.udf.CIQ($B13, "IQ_TOTAL_CL", $I$3 &amp; "-1", KH$3,$J$3, ,$G$3,$H$3))),"")</f>
        <v/>
      </c>
      <c r="KI13" s="87" t="str">
        <f>IFERROR(IF(OR($B13="",KI$3=""),"",_xll.ciqfunctions.udf.CIQ($B13, "IQ_NI", $I$3, KI$3,$J$3, ,$G$3,$H$3)*2/(_xll.ciqfunctions.udf.CIQ($B13, "IQ_TOTAL_ASSETS", $I$3, KI$3,$J$3, ,$G$3,$H$3)+_xll.ciqfunctions.udf.CIQ($B13, "IQ_TOTAL_ASSETS", $I$3 &amp; "-1", KI$3,$J$3, ,$G$3,$H$3)-_xll.ciqfunctions.udf.CIQ($B13, "IQ_TOTAL_CL", $I$3, KI$3,$J$3, ,$G$3,$H$3)-_xll.ciqfunctions.udf.CIQ($B13, "IQ_TOTAL_CL", $I$3 &amp; "-1", KI$3,$J$3, ,$G$3,$H$3))),"")</f>
        <v/>
      </c>
      <c r="KJ13" s="87" t="str">
        <f>IFERROR(IF(OR($B13="",KJ$3=""),"",_xll.ciqfunctions.udf.CIQ($B13, "IQ_NI", $I$3, KJ$3,$J$3, ,$G$3,$H$3)*2/(_xll.ciqfunctions.udf.CIQ($B13, "IQ_TOTAL_ASSETS", $I$3, KJ$3,$J$3, ,$G$3,$H$3)+_xll.ciqfunctions.udf.CIQ($B13, "IQ_TOTAL_ASSETS", $I$3 &amp; "-1", KJ$3,$J$3, ,$G$3,$H$3)-_xll.ciqfunctions.udf.CIQ($B13, "IQ_TOTAL_CL", $I$3, KJ$3,$J$3, ,$G$3,$H$3)-_xll.ciqfunctions.udf.CIQ($B13, "IQ_TOTAL_CL", $I$3 &amp; "-1", KJ$3,$J$3, ,$G$3,$H$3))),"")</f>
        <v/>
      </c>
      <c r="KK13" s="87" t="str">
        <f>IFERROR(IF(OR($B13="",KK$3=""),"",_xll.ciqfunctions.udf.CIQ($B13, "IQ_NI", $I$3, KK$3,$J$3, ,$G$3,$H$3)*2/(_xll.ciqfunctions.udf.CIQ($B13, "IQ_TOTAL_ASSETS", $I$3, KK$3,$J$3, ,$G$3,$H$3)+_xll.ciqfunctions.udf.CIQ($B13, "IQ_TOTAL_ASSETS", $I$3 &amp; "-1", KK$3,$J$3, ,$G$3,$H$3)-_xll.ciqfunctions.udf.CIQ($B13, "IQ_TOTAL_CL", $I$3, KK$3,$J$3, ,$G$3,$H$3)-_xll.ciqfunctions.udf.CIQ($B13, "IQ_TOTAL_CL", $I$3 &amp; "-1", KK$3,$J$3, ,$G$3,$H$3))),"")</f>
        <v/>
      </c>
      <c r="KL13" s="87" t="str">
        <f>IFERROR(IF(OR($B13="",KL$3=""),"",_xll.ciqfunctions.udf.CIQ($B13, "IQ_NI", $I$3, KL$3,$J$3, ,$G$3,$H$3)*2/(_xll.ciqfunctions.udf.CIQ($B13, "IQ_TOTAL_ASSETS", $I$3, KL$3,$J$3, ,$G$3,$H$3)+_xll.ciqfunctions.udf.CIQ($B13, "IQ_TOTAL_ASSETS", $I$3 &amp; "-1", KL$3,$J$3, ,$G$3,$H$3)-_xll.ciqfunctions.udf.CIQ($B13, "IQ_TOTAL_CL", $I$3, KL$3,$J$3, ,$G$3,$H$3)-_xll.ciqfunctions.udf.CIQ($B13, "IQ_TOTAL_CL", $I$3 &amp; "-1", KL$3,$J$3, ,$G$3,$H$3))),"")</f>
        <v/>
      </c>
      <c r="KM13" s="87" t="str">
        <f>IFERROR(IF(OR($B13="",KM$3=""),"",_xll.ciqfunctions.udf.CIQ($B13, "IQ_NI", $I$3, KM$3,$J$3, ,$G$3,$H$3)*2/(_xll.ciqfunctions.udf.CIQ($B13, "IQ_TOTAL_ASSETS", $I$3, KM$3,$J$3, ,$G$3,$H$3)+_xll.ciqfunctions.udf.CIQ($B13, "IQ_TOTAL_ASSETS", $I$3 &amp; "-1", KM$3,$J$3, ,$G$3,$H$3)-_xll.ciqfunctions.udf.CIQ($B13, "IQ_TOTAL_CL", $I$3, KM$3,$J$3, ,$G$3,$H$3)-_xll.ciqfunctions.udf.CIQ($B13, "IQ_TOTAL_CL", $I$3 &amp; "-1", KM$3,$J$3, ,$G$3,$H$3))),"")</f>
        <v/>
      </c>
      <c r="KN13" s="87" t="str">
        <f>IFERROR(IF(OR($B13="",KN$3=""),"",_xll.ciqfunctions.udf.CIQ($B13, "IQ_NI", $I$3, KN$3,$J$3, ,$G$3,$H$3)*2/(_xll.ciqfunctions.udf.CIQ($B13, "IQ_TOTAL_ASSETS", $I$3, KN$3,$J$3, ,$G$3,$H$3)+_xll.ciqfunctions.udf.CIQ($B13, "IQ_TOTAL_ASSETS", $I$3 &amp; "-1", KN$3,$J$3, ,$G$3,$H$3)-_xll.ciqfunctions.udf.CIQ($B13, "IQ_TOTAL_CL", $I$3, KN$3,$J$3, ,$G$3,$H$3)-_xll.ciqfunctions.udf.CIQ($B13, "IQ_TOTAL_CL", $I$3 &amp; "-1", KN$3,$J$3, ,$G$3,$H$3))),"")</f>
        <v/>
      </c>
      <c r="KO13" s="87" t="str">
        <f>IFERROR(IF(OR($B13="",KO$3=""),"",_xll.ciqfunctions.udf.CIQ($B13, "IQ_NI", $I$3, KO$3,$J$3, ,$G$3,$H$3)*2/(_xll.ciqfunctions.udf.CIQ($B13, "IQ_TOTAL_ASSETS", $I$3, KO$3,$J$3, ,$G$3,$H$3)+_xll.ciqfunctions.udf.CIQ($B13, "IQ_TOTAL_ASSETS", $I$3 &amp; "-1", KO$3,$J$3, ,$G$3,$H$3)-_xll.ciqfunctions.udf.CIQ($B13, "IQ_TOTAL_CL", $I$3, KO$3,$J$3, ,$G$3,$H$3)-_xll.ciqfunctions.udf.CIQ($B13, "IQ_TOTAL_CL", $I$3 &amp; "-1", KO$3,$J$3, ,$G$3,$H$3))),"")</f>
        <v/>
      </c>
      <c r="KP13" s="87" t="str">
        <f>IFERROR(IF(OR($B13="",KP$3=""),"",_xll.ciqfunctions.udf.CIQ($B13, "IQ_NI", $I$3, KP$3,$J$3, ,$G$3,$H$3)*2/(_xll.ciqfunctions.udf.CIQ($B13, "IQ_TOTAL_ASSETS", $I$3, KP$3,$J$3, ,$G$3,$H$3)+_xll.ciqfunctions.udf.CIQ($B13, "IQ_TOTAL_ASSETS", $I$3 &amp; "-1", KP$3,$J$3, ,$G$3,$H$3)-_xll.ciqfunctions.udf.CIQ($B13, "IQ_TOTAL_CL", $I$3, KP$3,$J$3, ,$G$3,$H$3)-_xll.ciqfunctions.udf.CIQ($B13, "IQ_TOTAL_CL", $I$3 &amp; "-1", KP$3,$J$3, ,$G$3,$H$3))),"")</f>
        <v/>
      </c>
      <c r="KQ13" s="87" t="str">
        <f>IFERROR(IF(OR($B13="",KQ$3=""),"",_xll.ciqfunctions.udf.CIQ($B13, "IQ_NI", $I$3, KQ$3,$J$3, ,$G$3,$H$3)*2/(_xll.ciqfunctions.udf.CIQ($B13, "IQ_TOTAL_ASSETS", $I$3, KQ$3,$J$3, ,$G$3,$H$3)+_xll.ciqfunctions.udf.CIQ($B13, "IQ_TOTAL_ASSETS", $I$3 &amp; "-1", KQ$3,$J$3, ,$G$3,$H$3)-_xll.ciqfunctions.udf.CIQ($B13, "IQ_TOTAL_CL", $I$3, KQ$3,$J$3, ,$G$3,$H$3)-_xll.ciqfunctions.udf.CIQ($B13, "IQ_TOTAL_CL", $I$3 &amp; "-1", KQ$3,$J$3, ,$G$3,$H$3))),"")</f>
        <v/>
      </c>
      <c r="KR13" s="87" t="str">
        <f>IFERROR(IF(OR($B13="",KR$3=""),"",_xll.ciqfunctions.udf.CIQ($B13, "IQ_NI", $I$3, KR$3,$J$3, ,$G$3,$H$3)*2/(_xll.ciqfunctions.udf.CIQ($B13, "IQ_TOTAL_ASSETS", $I$3, KR$3,$J$3, ,$G$3,$H$3)+_xll.ciqfunctions.udf.CIQ($B13, "IQ_TOTAL_ASSETS", $I$3 &amp; "-1", KR$3,$J$3, ,$G$3,$H$3)-_xll.ciqfunctions.udf.CIQ($B13, "IQ_TOTAL_CL", $I$3, KR$3,$J$3, ,$G$3,$H$3)-_xll.ciqfunctions.udf.CIQ($B13, "IQ_TOTAL_CL", $I$3 &amp; "-1", KR$3,$J$3, ,$G$3,$H$3))),"")</f>
        <v/>
      </c>
      <c r="KS13" s="87" t="str">
        <f>IFERROR(IF(OR($B13="",KS$3=""),"",_xll.ciqfunctions.udf.CIQ($B13, "IQ_NI", $I$3, KS$3,$J$3, ,$G$3,$H$3)*2/(_xll.ciqfunctions.udf.CIQ($B13, "IQ_TOTAL_ASSETS", $I$3, KS$3,$J$3, ,$G$3,$H$3)+_xll.ciqfunctions.udf.CIQ($B13, "IQ_TOTAL_ASSETS", $I$3 &amp; "-1", KS$3,$J$3, ,$G$3,$H$3)-_xll.ciqfunctions.udf.CIQ($B13, "IQ_TOTAL_CL", $I$3, KS$3,$J$3, ,$G$3,$H$3)-_xll.ciqfunctions.udf.CIQ($B13, "IQ_TOTAL_CL", $I$3 &amp; "-1", KS$3,$J$3, ,$G$3,$H$3))),"")</f>
        <v/>
      </c>
      <c r="KT13" s="87" t="str">
        <f>IFERROR(IF(OR($B13="",KT$3=""),"",_xll.ciqfunctions.udf.CIQ($B13, "IQ_NI", $I$3, KT$3,$J$3, ,$G$3,$H$3)*2/(_xll.ciqfunctions.udf.CIQ($B13, "IQ_TOTAL_ASSETS", $I$3, KT$3,$J$3, ,$G$3,$H$3)+_xll.ciqfunctions.udf.CIQ($B13, "IQ_TOTAL_ASSETS", $I$3 &amp; "-1", KT$3,$J$3, ,$G$3,$H$3)-_xll.ciqfunctions.udf.CIQ($B13, "IQ_TOTAL_CL", $I$3, KT$3,$J$3, ,$G$3,$H$3)-_xll.ciqfunctions.udf.CIQ($B13, "IQ_TOTAL_CL", $I$3 &amp; "-1", KT$3,$J$3, ,$G$3,$H$3))),"")</f>
        <v/>
      </c>
      <c r="KU13" s="87" t="str">
        <f>IFERROR(IF(OR($B13="",KU$3=""),"",_xll.ciqfunctions.udf.CIQ($B13, "IQ_NI", $I$3, KU$3,$J$3, ,$G$3,$H$3)*2/(_xll.ciqfunctions.udf.CIQ($B13, "IQ_TOTAL_ASSETS", $I$3, KU$3,$J$3, ,$G$3,$H$3)+_xll.ciqfunctions.udf.CIQ($B13, "IQ_TOTAL_ASSETS", $I$3 &amp; "-1", KU$3,$J$3, ,$G$3,$H$3)-_xll.ciqfunctions.udf.CIQ($B13, "IQ_TOTAL_CL", $I$3, KU$3,$J$3, ,$G$3,$H$3)-_xll.ciqfunctions.udf.CIQ($B13, "IQ_TOTAL_CL", $I$3 &amp; "-1", KU$3,$J$3, ,$G$3,$H$3))),"")</f>
        <v/>
      </c>
      <c r="KV13" s="87" t="str">
        <f>IFERROR(IF(OR($B13="",KV$3=""),"",_xll.ciqfunctions.udf.CIQ($B13, "IQ_NI", $I$3, KV$3,$J$3, ,$G$3,$H$3)*2/(_xll.ciqfunctions.udf.CIQ($B13, "IQ_TOTAL_ASSETS", $I$3, KV$3,$J$3, ,$G$3,$H$3)+_xll.ciqfunctions.udf.CIQ($B13, "IQ_TOTAL_ASSETS", $I$3 &amp; "-1", KV$3,$J$3, ,$G$3,$H$3)-_xll.ciqfunctions.udf.CIQ($B13, "IQ_TOTAL_CL", $I$3, KV$3,$J$3, ,$G$3,$H$3)-_xll.ciqfunctions.udf.CIQ($B13, "IQ_TOTAL_CL", $I$3 &amp; "-1", KV$3,$J$3, ,$G$3,$H$3))),"")</f>
        <v/>
      </c>
      <c r="KW13" s="87" t="str">
        <f>IFERROR(IF(OR($B13="",KW$3=""),"",_xll.ciqfunctions.udf.CIQ($B13, "IQ_NI", $I$3, KW$3,$J$3, ,$G$3,$H$3)*2/(_xll.ciqfunctions.udf.CIQ($B13, "IQ_TOTAL_ASSETS", $I$3, KW$3,$J$3, ,$G$3,$H$3)+_xll.ciqfunctions.udf.CIQ($B13, "IQ_TOTAL_ASSETS", $I$3 &amp; "-1", KW$3,$J$3, ,$G$3,$H$3)-_xll.ciqfunctions.udf.CIQ($B13, "IQ_TOTAL_CL", $I$3, KW$3,$J$3, ,$G$3,$H$3)-_xll.ciqfunctions.udf.CIQ($B13, "IQ_TOTAL_CL", $I$3 &amp; "-1", KW$3,$J$3, ,$G$3,$H$3))),"")</f>
        <v/>
      </c>
      <c r="KX13" s="88" t="str">
        <f>IFERROR(IF(OR($B13="",KX$3=""),"",_xll.ciqfunctions.udf.CIQ($B13, "IQ_NI", $I$3, KX$3,$J$3, ,$G$3,$H$3)*2/(_xll.ciqfunctions.udf.CIQ($B13, "IQ_TOTAL_ASSETS", $I$3, KX$3,$J$3, ,$G$3,$H$3)+_xll.ciqfunctions.udf.CIQ($B13, "IQ_TOTAL_ASSETS", $I$3 &amp; "-1", KX$3,$J$3, ,$G$3,$H$3)-_xll.ciqfunctions.udf.CIQ($B13, "IQ_TOTAL_CL", $I$3, KX$3,$J$3, ,$G$3,$H$3)-_xll.ciqfunctions.udf.CIQ($B13, "IQ_TOTAL_CL", $I$3 &amp; "-1", KX$3,$J$3, ,$G$3,$H$3))),"")</f>
        <v/>
      </c>
      <c r="KY13" s="86" t="str">
        <f>IFERROR(IF(OR($B13="",KY$3=""),"",_xll.ciqfunctions.udf.CIQ($B13,"IQ_CASH_OPER",$I$3, KY$3,$J$3, ,$G$3,$H$3)*2/(_xll.ciqfunctions.udf.CIQ($B13,"IQ_TOTAL_CL",KY$3,$E$3, $J$3, , $G$3, $H$3)+_xll.ciqfunctions.udf.CIQ($B13,"IQ_TOTAL_CL","IQ_" &amp; LEFT(KY$3,2) &amp; "-1",KY$3, $J$3, , $G$3, $H$3))),"")</f>
        <v/>
      </c>
      <c r="KZ13" s="87" t="str">
        <f>IFERROR(IF(OR($B13="",KZ$3=""),"",_xll.ciqfunctions.udf.CIQ($B13,"IQ_CASH_OPER",$I$3, KZ$3,$J$3, ,$G$3,$H$3)*2/(_xll.ciqfunctions.udf.CIQ($B13,"IQ_TOTAL_CL",KZ$3,$E$3, $J$3, , $G$3, $H$3)+_xll.ciqfunctions.udf.CIQ($B13,"IQ_TOTAL_CL","IQ_" &amp; LEFT(KZ$3,2) &amp; "-1",KZ$3, $J$3, , $G$3, $H$3))),"")</f>
        <v/>
      </c>
      <c r="LA13" s="87" t="str">
        <f>IFERROR(IF(OR($B13="",LA$3=""),"",_xll.ciqfunctions.udf.CIQ($B13,"IQ_CASH_OPER",$I$3, LA$3,$J$3, ,$G$3,$H$3)*2/(_xll.ciqfunctions.udf.CIQ($B13,"IQ_TOTAL_CL",LA$3,$E$3, $J$3, , $G$3, $H$3)+_xll.ciqfunctions.udf.CIQ($B13,"IQ_TOTAL_CL","IQ_" &amp; LEFT(LA$3,2) &amp; "-1",LA$3, $J$3, , $G$3, $H$3))),"")</f>
        <v/>
      </c>
      <c r="LB13" s="87" t="str">
        <f>IFERROR(IF(OR($B13="",LB$3=""),"",_xll.ciqfunctions.udf.CIQ($B13,"IQ_CASH_OPER",$I$3, LB$3,$J$3, ,$G$3,$H$3)*2/(_xll.ciqfunctions.udf.CIQ($B13,"IQ_TOTAL_CL",LB$3,$E$3, $J$3, , $G$3, $H$3)+_xll.ciqfunctions.udf.CIQ($B13,"IQ_TOTAL_CL","IQ_" &amp; LEFT(LB$3,2) &amp; "-1",LB$3, $J$3, , $G$3, $H$3))),"")</f>
        <v/>
      </c>
      <c r="LC13" s="87" t="str">
        <f>IFERROR(IF(OR($B13="",LC$3=""),"",_xll.ciqfunctions.udf.CIQ($B13,"IQ_CASH_OPER",$I$3, LC$3,$J$3, ,$G$3,$H$3)*2/(_xll.ciqfunctions.udf.CIQ($B13,"IQ_TOTAL_CL",LC$3,$E$3, $J$3, , $G$3, $H$3)+_xll.ciqfunctions.udf.CIQ($B13,"IQ_TOTAL_CL","IQ_" &amp; LEFT(LC$3,2) &amp; "-1",LC$3, $J$3, , $G$3, $H$3))),"")</f>
        <v/>
      </c>
      <c r="LD13" s="87" t="str">
        <f>IFERROR(IF(OR($B13="",LD$3=""),"",_xll.ciqfunctions.udf.CIQ($B13,"IQ_CASH_OPER",$I$3, LD$3,$J$3, ,$G$3,$H$3)*2/(_xll.ciqfunctions.udf.CIQ($B13,"IQ_TOTAL_CL",LD$3,$E$3, $J$3, , $G$3, $H$3)+_xll.ciqfunctions.udf.CIQ($B13,"IQ_TOTAL_CL","IQ_" &amp; LEFT(LD$3,2) &amp; "-1",LD$3, $J$3, , $G$3, $H$3))),"")</f>
        <v/>
      </c>
      <c r="LE13" s="87" t="str">
        <f>IFERROR(IF(OR($B13="",LE$3=""),"",_xll.ciqfunctions.udf.CIQ($B13,"IQ_CASH_OPER",$I$3, LE$3,$J$3, ,$G$3,$H$3)*2/(_xll.ciqfunctions.udf.CIQ($B13,"IQ_TOTAL_CL",LE$3,$E$3, $J$3, , $G$3, $H$3)+_xll.ciqfunctions.udf.CIQ($B13,"IQ_TOTAL_CL","IQ_" &amp; LEFT(LE$3,2) &amp; "-1",LE$3, $J$3, , $G$3, $H$3))),"")</f>
        <v/>
      </c>
      <c r="LF13" s="87" t="str">
        <f>IFERROR(IF(OR($B13="",LF$3=""),"",_xll.ciqfunctions.udf.CIQ($B13,"IQ_CASH_OPER",$I$3, LF$3,$J$3, ,$G$3,$H$3)*2/(_xll.ciqfunctions.udf.CIQ($B13,"IQ_TOTAL_CL",LF$3,$E$3, $J$3, , $G$3, $H$3)+_xll.ciqfunctions.udf.CIQ($B13,"IQ_TOTAL_CL","IQ_" &amp; LEFT(LF$3,2) &amp; "-1",LF$3, $J$3, , $G$3, $H$3))),"")</f>
        <v/>
      </c>
      <c r="LG13" s="87" t="str">
        <f>IFERROR(IF(OR($B13="",LG$3=""),"",_xll.ciqfunctions.udf.CIQ($B13,"IQ_CASH_OPER",$I$3, LG$3,$J$3, ,$G$3,$H$3)*2/(_xll.ciqfunctions.udf.CIQ($B13,"IQ_TOTAL_CL",LG$3,$E$3, $J$3, , $G$3, $H$3)+_xll.ciqfunctions.udf.CIQ($B13,"IQ_TOTAL_CL","IQ_" &amp; LEFT(LG$3,2) &amp; "-1",LG$3, $J$3, , $G$3, $H$3))),"")</f>
        <v/>
      </c>
      <c r="LH13" s="87" t="str">
        <f>IFERROR(IF(OR($B13="",LH$3=""),"",_xll.ciqfunctions.udf.CIQ($B13,"IQ_CASH_OPER",$I$3, LH$3,$J$3, ,$G$3,$H$3)*2/(_xll.ciqfunctions.udf.CIQ($B13,"IQ_TOTAL_CL",LH$3,$E$3, $J$3, , $G$3, $H$3)+_xll.ciqfunctions.udf.CIQ($B13,"IQ_TOTAL_CL","IQ_" &amp; LEFT(LH$3,2) &amp; "-1",LH$3, $J$3, , $G$3, $H$3))),"")</f>
        <v/>
      </c>
      <c r="LI13" s="87" t="str">
        <f>IFERROR(IF(OR($B13="",LI$3=""),"",_xll.ciqfunctions.udf.CIQ($B13,"IQ_CASH_OPER",$I$3, LI$3,$J$3, ,$G$3,$H$3)*2/(_xll.ciqfunctions.udf.CIQ($B13,"IQ_TOTAL_CL",LI$3,$E$3, $J$3, , $G$3, $H$3)+_xll.ciqfunctions.udf.CIQ($B13,"IQ_TOTAL_CL","IQ_" &amp; LEFT(LI$3,2) &amp; "-1",LI$3, $J$3, , $G$3, $H$3))),"")</f>
        <v/>
      </c>
      <c r="LJ13" s="87" t="str">
        <f>IFERROR(IF(OR($B13="",LJ$3=""),"",_xll.ciqfunctions.udf.CIQ($B13,"IQ_CASH_OPER",$I$3, LJ$3,$J$3, ,$G$3,$H$3)*2/(_xll.ciqfunctions.udf.CIQ($B13,"IQ_TOTAL_CL",LJ$3,$E$3, $J$3, , $G$3, $H$3)+_xll.ciqfunctions.udf.CIQ($B13,"IQ_TOTAL_CL","IQ_" &amp; LEFT(LJ$3,2) &amp; "-1",LJ$3, $J$3, , $G$3, $H$3))),"")</f>
        <v/>
      </c>
      <c r="LK13" s="87" t="str">
        <f>IFERROR(IF(OR($B13="",LK$3=""),"",_xll.ciqfunctions.udf.CIQ($B13,"IQ_CASH_OPER",$I$3, LK$3,$J$3, ,$G$3,$H$3)*2/(_xll.ciqfunctions.udf.CIQ($B13,"IQ_TOTAL_CL",LK$3,$E$3, $J$3, , $G$3, $H$3)+_xll.ciqfunctions.udf.CIQ($B13,"IQ_TOTAL_CL","IQ_" &amp; LEFT(LK$3,2) &amp; "-1",LK$3, $J$3, , $G$3, $H$3))),"")</f>
        <v/>
      </c>
      <c r="LL13" s="87" t="str">
        <f>IFERROR(IF(OR($B13="",LL$3=""),"",_xll.ciqfunctions.udf.CIQ($B13,"IQ_CASH_OPER",$I$3, LL$3,$J$3, ,$G$3,$H$3)*2/(_xll.ciqfunctions.udf.CIQ($B13,"IQ_TOTAL_CL",LL$3,$E$3, $J$3, , $G$3, $H$3)+_xll.ciqfunctions.udf.CIQ($B13,"IQ_TOTAL_CL","IQ_" &amp; LEFT(LL$3,2) &amp; "-1",LL$3, $J$3, , $G$3, $H$3))),"")</f>
        <v/>
      </c>
      <c r="LM13" s="87" t="str">
        <f>IFERROR(IF(OR($B13="",LM$3=""),"",_xll.ciqfunctions.udf.CIQ($B13,"IQ_CASH_OPER",$I$3, LM$3,$J$3, ,$G$3,$H$3)*2/(_xll.ciqfunctions.udf.CIQ($B13,"IQ_TOTAL_CL",LM$3,$E$3, $J$3, , $G$3, $H$3)+_xll.ciqfunctions.udf.CIQ($B13,"IQ_TOTAL_CL","IQ_" &amp; LEFT(LM$3,2) &amp; "-1",LM$3, $J$3, , $G$3, $H$3))),"")</f>
        <v/>
      </c>
      <c r="LN13" s="87" t="str">
        <f>IFERROR(IF(OR($B13="",LN$3=""),"",_xll.ciqfunctions.udf.CIQ($B13,"IQ_CASH_OPER",$I$3, LN$3,$J$3, ,$G$3,$H$3)*2/(_xll.ciqfunctions.udf.CIQ($B13,"IQ_TOTAL_CL",LN$3,$E$3, $J$3, , $G$3, $H$3)+_xll.ciqfunctions.udf.CIQ($B13,"IQ_TOTAL_CL","IQ_" &amp; LEFT(LN$3,2) &amp; "-1",LN$3, $J$3, , $G$3, $H$3))),"")</f>
        <v/>
      </c>
      <c r="LO13" s="87" t="str">
        <f>IFERROR(IF(OR($B13="",LO$3=""),"",_xll.ciqfunctions.udf.CIQ($B13,"IQ_CASH_OPER",$I$3, LO$3,$J$3, ,$G$3,$H$3)*2/(_xll.ciqfunctions.udf.CIQ($B13,"IQ_TOTAL_CL",LO$3,$E$3, $J$3, , $G$3, $H$3)+_xll.ciqfunctions.udf.CIQ($B13,"IQ_TOTAL_CL","IQ_" &amp; LEFT(LO$3,2) &amp; "-1",LO$3, $J$3, , $G$3, $H$3))),"")</f>
        <v/>
      </c>
      <c r="LP13" s="87" t="str">
        <f>IFERROR(IF(OR($B13="",LP$3=""),"",_xll.ciqfunctions.udf.CIQ($B13,"IQ_CASH_OPER",$I$3, LP$3,$J$3, ,$G$3,$H$3)*2/(_xll.ciqfunctions.udf.CIQ($B13,"IQ_TOTAL_CL",LP$3,$E$3, $J$3, , $G$3, $H$3)+_xll.ciqfunctions.udf.CIQ($B13,"IQ_TOTAL_CL","IQ_" &amp; LEFT(LP$3,2) &amp; "-1",LP$3, $J$3, , $G$3, $H$3))),"")</f>
        <v/>
      </c>
      <c r="LQ13" s="87" t="str">
        <f>IFERROR(IF(OR($B13="",LQ$3=""),"",_xll.ciqfunctions.udf.CIQ($B13,"IQ_CASH_OPER",$I$3, LQ$3,$J$3, ,$G$3,$H$3)*2/(_xll.ciqfunctions.udf.CIQ($B13,"IQ_TOTAL_CL",LQ$3,$E$3, $J$3, , $G$3, $H$3)+_xll.ciqfunctions.udf.CIQ($B13,"IQ_TOTAL_CL","IQ_" &amp; LEFT(LQ$3,2) &amp; "-1",LQ$3, $J$3, , $G$3, $H$3))),"")</f>
        <v/>
      </c>
      <c r="LR13" s="88" t="str">
        <f>IFERROR(IF(OR($B13="",LR$3=""),"",_xll.ciqfunctions.udf.CIQ($B13,"IQ_CASH_OPER",$I$3, LR$3,$J$3, ,$G$3,$H$3)*2/(_xll.ciqfunctions.udf.CIQ($B13,"IQ_TOTAL_CL",LR$3,$E$3, $J$3, , $G$3, $H$3)+_xll.ciqfunctions.udf.CIQ($B13,"IQ_TOTAL_CL","IQ_" &amp; LEFT(LR$3,2) &amp; "-1",LR$3, $J$3, , $G$3, $H$3))),"")</f>
        <v/>
      </c>
      <c r="LS13" s="86" t="str">
        <f>IFERROR(IF(OR($B13="",LS$3=""),"",IF(_xll.ciqfunctions.udf.CIQ($B13,"IQ_INC_TAX",LS$3,$E$3, $J$3, , $G$3, $H$3)/ABS(_xll.ciqfunctions.udf.CIQ($B13,"IQ_EBT",IQ_LTM,$E$3, $J$3, , $G$3, $H$3))&lt;0,0,_xll.ciqfunctions.udf.CIQ($B13,"IQ_INC_TAX",LS$3,$E$3, $J$3, , $G$3, $H$3)/ABS(_xll.ciqfunctions.udf.CIQ($B13,"IQ_EBT",LS$3,$E$3, $J$3, , $G$3, $H$3)))),"")</f>
        <v/>
      </c>
      <c r="LT13" s="87" t="str">
        <f>IFERROR(IF(OR($B13="",LT$3=""),"",IF(_xll.ciqfunctions.udf.CIQ($B13,"IQ_INC_TAX",LT$3,$E$3, $J$3, , $G$3, $H$3)/ABS(_xll.ciqfunctions.udf.CIQ($B13,"IQ_EBT",IQ_LTM,$E$3, $J$3, , $G$3, $H$3))&lt;0,0,_xll.ciqfunctions.udf.CIQ($B13,"IQ_INC_TAX",LT$3,$E$3, $J$3, , $G$3, $H$3)/ABS(_xll.ciqfunctions.udf.CIQ($B13,"IQ_EBT",LT$3,$E$3, $J$3, , $G$3, $H$3)))),"")</f>
        <v/>
      </c>
      <c r="LU13" s="87" t="str">
        <f>IFERROR(IF(OR($B13="",LU$3=""),"",IF(_xll.ciqfunctions.udf.CIQ($B13,"IQ_INC_TAX",LU$3,$E$3, $J$3, , $G$3, $H$3)/ABS(_xll.ciqfunctions.udf.CIQ($B13,"IQ_EBT",IQ_LTM,$E$3, $J$3, , $G$3, $H$3))&lt;0,0,_xll.ciqfunctions.udf.CIQ($B13,"IQ_INC_TAX",LU$3,$E$3, $J$3, , $G$3, $H$3)/ABS(_xll.ciqfunctions.udf.CIQ($B13,"IQ_EBT",LU$3,$E$3, $J$3, , $G$3, $H$3)))),"")</f>
        <v/>
      </c>
      <c r="LV13" s="87" t="str">
        <f>IFERROR(IF(OR($B13="",LV$3=""),"",IF(_xll.ciqfunctions.udf.CIQ($B13,"IQ_INC_TAX",LV$3,$E$3, $J$3, , $G$3, $H$3)/ABS(_xll.ciqfunctions.udf.CIQ($B13,"IQ_EBT",IQ_LTM,$E$3, $J$3, , $G$3, $H$3))&lt;0,0,_xll.ciqfunctions.udf.CIQ($B13,"IQ_INC_TAX",LV$3,$E$3, $J$3, , $G$3, $H$3)/ABS(_xll.ciqfunctions.udf.CIQ($B13,"IQ_EBT",LV$3,$E$3, $J$3, , $G$3, $H$3)))),"")</f>
        <v/>
      </c>
      <c r="LW13" s="87" t="str">
        <f>IFERROR(IF(OR($B13="",LW$3=""),"",IF(_xll.ciqfunctions.udf.CIQ($B13,"IQ_INC_TAX",LW$3,$E$3, $J$3, , $G$3, $H$3)/ABS(_xll.ciqfunctions.udf.CIQ($B13,"IQ_EBT",IQ_LTM,$E$3, $J$3, , $G$3, $H$3))&lt;0,0,_xll.ciqfunctions.udf.CIQ($B13,"IQ_INC_TAX",LW$3,$E$3, $J$3, , $G$3, $H$3)/ABS(_xll.ciqfunctions.udf.CIQ($B13,"IQ_EBT",LW$3,$E$3, $J$3, , $G$3, $H$3)))),"")</f>
        <v/>
      </c>
      <c r="LX13" s="87" t="str">
        <f>IFERROR(IF(OR($B13="",LX$3=""),"",IF(_xll.ciqfunctions.udf.CIQ($B13,"IQ_INC_TAX",LX$3,$E$3, $J$3, , $G$3, $H$3)/ABS(_xll.ciqfunctions.udf.CIQ($B13,"IQ_EBT",IQ_LTM,$E$3, $J$3, , $G$3, $H$3))&lt;0,0,_xll.ciqfunctions.udf.CIQ($B13,"IQ_INC_TAX",LX$3,$E$3, $J$3, , $G$3, $H$3)/ABS(_xll.ciqfunctions.udf.CIQ($B13,"IQ_EBT",LX$3,$E$3, $J$3, , $G$3, $H$3)))),"")</f>
        <v/>
      </c>
      <c r="LY13" s="87" t="str">
        <f>IFERROR(IF(OR($B13="",LY$3=""),"",IF(_xll.ciqfunctions.udf.CIQ($B13,"IQ_INC_TAX",LY$3,$E$3, $J$3, , $G$3, $H$3)/ABS(_xll.ciqfunctions.udf.CIQ($B13,"IQ_EBT",IQ_LTM,$E$3, $J$3, , $G$3, $H$3))&lt;0,0,_xll.ciqfunctions.udf.CIQ($B13,"IQ_INC_TAX",LY$3,$E$3, $J$3, , $G$3, $H$3)/ABS(_xll.ciqfunctions.udf.CIQ($B13,"IQ_EBT",LY$3,$E$3, $J$3, , $G$3, $H$3)))),"")</f>
        <v/>
      </c>
      <c r="LZ13" s="87" t="str">
        <f>IFERROR(IF(OR($B13="",LZ$3=""),"",IF(_xll.ciqfunctions.udf.CIQ($B13,"IQ_INC_TAX",LZ$3,$E$3, $J$3, , $G$3, $H$3)/ABS(_xll.ciqfunctions.udf.CIQ($B13,"IQ_EBT",IQ_LTM,$E$3, $J$3, , $G$3, $H$3))&lt;0,0,_xll.ciqfunctions.udf.CIQ($B13,"IQ_INC_TAX",LZ$3,$E$3, $J$3, , $G$3, $H$3)/ABS(_xll.ciqfunctions.udf.CIQ($B13,"IQ_EBT",LZ$3,$E$3, $J$3, , $G$3, $H$3)))),"")</f>
        <v/>
      </c>
      <c r="MA13" s="87" t="str">
        <f>IFERROR(IF(OR($B13="",MA$3=""),"",IF(_xll.ciqfunctions.udf.CIQ($B13,"IQ_INC_TAX",MA$3,$E$3, $J$3, , $G$3, $H$3)/ABS(_xll.ciqfunctions.udf.CIQ($B13,"IQ_EBT",IQ_LTM,$E$3, $J$3, , $G$3, $H$3))&lt;0,0,_xll.ciqfunctions.udf.CIQ($B13,"IQ_INC_TAX",MA$3,$E$3, $J$3, , $G$3, $H$3)/ABS(_xll.ciqfunctions.udf.CIQ($B13,"IQ_EBT",MA$3,$E$3, $J$3, , $G$3, $H$3)))),"")</f>
        <v/>
      </c>
      <c r="MB13" s="87" t="str">
        <f>IFERROR(IF(OR($B13="",MB$3=""),"",IF(_xll.ciqfunctions.udf.CIQ($B13,"IQ_INC_TAX",MB$3,$E$3, $J$3, , $G$3, $H$3)/ABS(_xll.ciqfunctions.udf.CIQ($B13,"IQ_EBT",IQ_LTM,$E$3, $J$3, , $G$3, $H$3))&lt;0,0,_xll.ciqfunctions.udf.CIQ($B13,"IQ_INC_TAX",MB$3,$E$3, $J$3, , $G$3, $H$3)/ABS(_xll.ciqfunctions.udf.CIQ($B13,"IQ_EBT",MB$3,$E$3, $J$3, , $G$3, $H$3)))),"")</f>
        <v/>
      </c>
      <c r="MC13" s="87" t="str">
        <f>IFERROR(IF(OR($B13="",MC$3=""),"",IF(_xll.ciqfunctions.udf.CIQ($B13,"IQ_INC_TAX",MC$3,$E$3, $J$3, , $G$3, $H$3)/ABS(_xll.ciqfunctions.udf.CIQ($B13,"IQ_EBT",IQ_LTM,$E$3, $J$3, , $G$3, $H$3))&lt;0,0,_xll.ciqfunctions.udf.CIQ($B13,"IQ_INC_TAX",MC$3,$E$3, $J$3, , $G$3, $H$3)/ABS(_xll.ciqfunctions.udf.CIQ($B13,"IQ_EBT",MC$3,$E$3, $J$3, , $G$3, $H$3)))),"")</f>
        <v/>
      </c>
      <c r="MD13" s="317" t="str">
        <f>IFERROR(IF(OR($B13="",MD$3=""),"",IF(_xll.ciqfunctions.udf.CIQ($B13,"IQ_INC_TAX",MD$3,$E$3, $J$3, , $G$3, $H$3)/ABS(_xll.ciqfunctions.udf.CIQ($B13,"IQ_EBT",IQ_LTM,$E$3, $J$3, , $G$3, $H$3))&lt;0,0,_xll.ciqfunctions.udf.CIQ($B13,"IQ_INC_TAX",MD$3,$E$3, $J$3, , $G$3, $H$3)/ABS(_xll.ciqfunctions.udf.CIQ($B13,"IQ_EBT",MD$3,$E$3, $J$3, , $G$3, $H$3)))),"")</f>
        <v/>
      </c>
      <c r="ME13" s="314" t="str">
        <f>IFERROR(IF(OR($B13="",ME$3=""),"",IF(_xll.ciqfunctions.udf.CIQ($B13,"IQ_INC_TAX",ME$3,$E$3, $J$3, , $G$3, $H$3)/ABS(_xll.ciqfunctions.udf.CIQ($B13,"IQ_EBT",IQ_LTM,$E$3, $J$3, , $G$3, $H$3))&lt;0,0,_xll.ciqfunctions.udf.CIQ($B13,"IQ_INC_TAX",ME$3,$E$3, $J$3, , $G$3, $H$3)/ABS(_xll.ciqfunctions.udf.CIQ($B13,"IQ_EBT",ME$3,$E$3, $J$3, , $G$3, $H$3)))),"")</f>
        <v/>
      </c>
      <c r="MF13" s="87" t="str">
        <f>IFERROR(IF(OR($B13="",MF$3=""),"",IF(_xll.ciqfunctions.udf.CIQ($B13,"IQ_INC_TAX",MF$3,$E$3, $J$3, , $G$3, $H$3)/ABS(_xll.ciqfunctions.udf.CIQ($B13,"IQ_EBT",IQ_LTM,$E$3, $J$3, , $G$3, $H$3))&lt;0,0,_xll.ciqfunctions.udf.CIQ($B13,"IQ_INC_TAX",MF$3,$E$3, $J$3, , $G$3, $H$3)/ABS(_xll.ciqfunctions.udf.CIQ($B13,"IQ_EBT",MF$3,$E$3, $J$3, , $G$3, $H$3)))),"")</f>
        <v/>
      </c>
      <c r="MG13" s="87" t="str">
        <f>IFERROR(IF(OR($B13="",MG$3=""),"",IF(_xll.ciqfunctions.udf.CIQ($B13,"IQ_INC_TAX",MG$3,$E$3, $J$3, , $G$3, $H$3)/ABS(_xll.ciqfunctions.udf.CIQ($B13,"IQ_EBT",IQ_LTM,$E$3, $J$3, , $G$3, $H$3))&lt;0,0,_xll.ciqfunctions.udf.CIQ($B13,"IQ_INC_TAX",MG$3,$E$3, $J$3, , $G$3, $H$3)/ABS(_xll.ciqfunctions.udf.CIQ($B13,"IQ_EBT",MG$3,$E$3, $J$3, , $G$3, $H$3)))),"")</f>
        <v/>
      </c>
      <c r="MH13" s="87" t="str">
        <f>IFERROR(IF(OR($B13="",MH$3=""),"",IF(_xll.ciqfunctions.udf.CIQ($B13,"IQ_INC_TAX",MH$3,$E$3, $J$3, , $G$3, $H$3)/ABS(_xll.ciqfunctions.udf.CIQ($B13,"IQ_EBT",IQ_LTM,$E$3, $J$3, , $G$3, $H$3))&lt;0,0,_xll.ciqfunctions.udf.CIQ($B13,"IQ_INC_TAX",MH$3,$E$3, $J$3, , $G$3, $H$3)/ABS(_xll.ciqfunctions.udf.CIQ($B13,"IQ_EBT",MH$3,$E$3, $J$3, , $G$3, $H$3)))),"")</f>
        <v/>
      </c>
      <c r="MI13" s="87" t="str">
        <f>IFERROR(IF(OR($B13="",MI$3=""),"",IF(_xll.ciqfunctions.udf.CIQ($B13,"IQ_INC_TAX",MI$3,$E$3, $J$3, , $G$3, $H$3)/ABS(_xll.ciqfunctions.udf.CIQ($B13,"IQ_EBT",IQ_LTM,$E$3, $J$3, , $G$3, $H$3))&lt;0,0,_xll.ciqfunctions.udf.CIQ($B13,"IQ_INC_TAX",MI$3,$E$3, $J$3, , $G$3, $H$3)/ABS(_xll.ciqfunctions.udf.CIQ($B13,"IQ_EBT",MI$3,$E$3, $J$3, , $G$3, $H$3)))),"")</f>
        <v/>
      </c>
      <c r="MJ13" s="87" t="str">
        <f>IFERROR(IF(OR($B13="",MJ$3=""),"",IF(_xll.ciqfunctions.udf.CIQ($B13,"IQ_INC_TAX",MJ$3,$E$3, $J$3, , $G$3, $H$3)/ABS(_xll.ciqfunctions.udf.CIQ($B13,"IQ_EBT",IQ_LTM,$E$3, $J$3, , $G$3, $H$3))&lt;0,0,_xll.ciqfunctions.udf.CIQ($B13,"IQ_INC_TAX",MJ$3,$E$3, $J$3, , $G$3, $H$3)/ABS(_xll.ciqfunctions.udf.CIQ($B13,"IQ_EBT",MJ$3,$E$3, $J$3, , $G$3, $H$3)))),"")</f>
        <v/>
      </c>
      <c r="MK13" s="87" t="str">
        <f>IFERROR(IF(OR($B13="",MK$3=""),"",IF(_xll.ciqfunctions.udf.CIQ($B13,"IQ_INC_TAX",MK$3,$E$3, $J$3, , $G$3, $H$3)/ABS(_xll.ciqfunctions.udf.CIQ($B13,"IQ_EBT",IQ_LTM,$E$3, $J$3, , $G$3, $H$3))&lt;0,0,_xll.ciqfunctions.udf.CIQ($B13,"IQ_INC_TAX",MK$3,$E$3, $J$3, , $G$3, $H$3)/ABS(_xll.ciqfunctions.udf.CIQ($B13,"IQ_EBT",MK$3,$E$3, $J$3, , $G$3, $H$3)))),"")</f>
        <v/>
      </c>
      <c r="ML13" s="88" t="str">
        <f>IFERROR(IF(OR($B13="",ML$3=""),"",IF(_xll.ciqfunctions.udf.CIQ($B13,"IQ_INC_TAX",ML$3,$E$3, $J$3, , $G$3, $H$3)/ABS(_xll.ciqfunctions.udf.CIQ($B13,"IQ_EBT",IQ_LTM,$E$3, $J$3, , $G$3, $H$3))&lt;0,0,_xll.ciqfunctions.udf.CIQ($B13,"IQ_INC_TAX",ML$3,$E$3, $J$3, , $G$3, $H$3)/ABS(_xll.ciqfunctions.udf.CIQ($B13,"IQ_EBT",ML$3,$E$3, $J$3, , $G$3, $H$3)))),"")</f>
        <v/>
      </c>
      <c r="MM13" s="72" t="str">
        <f>IFERROR(IF(OR($B13="",MM$3=""),"",(_xll.ciqfunctions.udf.CIQ($B13,"IQ_TIER_ONE_CAPITAL",MM$3,$E$3, $J$3, , $G$3, $H$3)+_xll.ciqfunctions.udf.CIQ($B13,"IQ_TIER_TWO_CAPITAL",MM$3,$E$3, $J$3, , $G$3, $H$3)-_xll.ciqfunctions.udf.CIQ($B13,"IQ_GW",MM$3,$E$3, $J$3, , $G$3, $H$3))/_xll.ciqfunctions.udf.CIQ($B13,"IQ_RISK_ADJ_BANK_ASSETS",MM$3,$E$3, $J$3, , $G$3, $H$3)),"")</f>
        <v/>
      </c>
      <c r="MN13" s="72" t="str">
        <f>IFERROR(IF(OR($B13="",MN$3=""),"",(_xll.ciqfunctions.udf.CIQ($B13,"IQ_TIER_ONE_CAPITAL",MN$3,$E$3, $J$3, , $G$3, $H$3)+_xll.ciqfunctions.udf.CIQ($B13,"IQ_TIER_TWO_CAPITAL",MN$3,$E$3, $J$3, , $G$3, $H$3)-_xll.ciqfunctions.udf.CIQ($B13,"IQ_GW",MN$3,$E$3, $J$3, , $G$3, $H$3))/_xll.ciqfunctions.udf.CIQ($B13,"IQ_RISK_ADJ_BANK_ASSETS",MN$3,$E$3, $J$3, , $G$3, $H$3)),"")</f>
        <v/>
      </c>
      <c r="MO13" s="72" t="str">
        <f>IFERROR(IF(OR($B13="",MO$3=""),"",(_xll.ciqfunctions.udf.CIQ($B13,"IQ_TIER_ONE_CAPITAL",MO$3,$E$3, $J$3, , $G$3, $H$3)+_xll.ciqfunctions.udf.CIQ($B13,"IQ_TIER_TWO_CAPITAL",MO$3,$E$3, $J$3, , $G$3, $H$3)-_xll.ciqfunctions.udf.CIQ($B13,"IQ_GW",MO$3,$E$3, $J$3, , $G$3, $H$3))/_xll.ciqfunctions.udf.CIQ($B13,"IQ_RISK_ADJ_BANK_ASSETS",MO$3,$E$3, $J$3, , $G$3, $H$3)),"")</f>
        <v/>
      </c>
      <c r="MP13" s="72" t="str">
        <f>IFERROR(IF(OR($B13="",MP$3=""),"",(_xll.ciqfunctions.udf.CIQ($B13,"IQ_TIER_ONE_CAPITAL",MP$3,$E$3, $J$3, , $G$3, $H$3)+_xll.ciqfunctions.udf.CIQ($B13,"IQ_TIER_TWO_CAPITAL",MP$3,$E$3, $J$3, , $G$3, $H$3)-_xll.ciqfunctions.udf.CIQ($B13,"IQ_GW",MP$3,$E$3, $J$3, , $G$3, $H$3))/_xll.ciqfunctions.udf.CIQ($B13,"IQ_RISK_ADJ_BANK_ASSETS",MP$3,$E$3, $J$3, , $G$3, $H$3)),"")</f>
        <v/>
      </c>
      <c r="MQ13" s="72" t="str">
        <f>IFERROR(IF(OR($B13="",MQ$3=""),"",(_xll.ciqfunctions.udf.CIQ($B13,"IQ_TIER_ONE_CAPITAL",MQ$3,$E$3, $J$3, , $G$3, $H$3)+_xll.ciqfunctions.udf.CIQ($B13,"IQ_TIER_TWO_CAPITAL",MQ$3,$E$3, $J$3, , $G$3, $H$3)-_xll.ciqfunctions.udf.CIQ($B13,"IQ_GW",MQ$3,$E$3, $J$3, , $G$3, $H$3))/_xll.ciqfunctions.udf.CIQ($B13,"IQ_RISK_ADJ_BANK_ASSETS",MQ$3,$E$3, $J$3, , $G$3, $H$3)),"")</f>
        <v/>
      </c>
      <c r="MR13" s="72" t="str">
        <f>IFERROR(IF(OR($B13="",MR$3=""),"",(_xll.ciqfunctions.udf.CIQ($B13,"IQ_TIER_ONE_CAPITAL",MR$3,$E$3, $J$3, , $G$3, $H$3)+_xll.ciqfunctions.udf.CIQ($B13,"IQ_TIER_TWO_CAPITAL",MR$3,$E$3, $J$3, , $G$3, $H$3)-_xll.ciqfunctions.udf.CIQ($B13,"IQ_GW",MR$3,$E$3, $J$3, , $G$3, $H$3))/_xll.ciqfunctions.udf.CIQ($B13,"IQ_RISK_ADJ_BANK_ASSETS",MR$3,$E$3, $J$3, , $G$3, $H$3)),"")</f>
        <v/>
      </c>
      <c r="MS13" s="72" t="str">
        <f>IFERROR(IF(OR($B13="",MS$3=""),"",(_xll.ciqfunctions.udf.CIQ($B13,"IQ_TIER_ONE_CAPITAL",MS$3,$E$3, $J$3, , $G$3, $H$3)+_xll.ciqfunctions.udf.CIQ($B13,"IQ_TIER_TWO_CAPITAL",MS$3,$E$3, $J$3, , $G$3, $H$3)-_xll.ciqfunctions.udf.CIQ($B13,"IQ_GW",MS$3,$E$3, $J$3, , $G$3, $H$3))/_xll.ciqfunctions.udf.CIQ($B13,"IQ_RISK_ADJ_BANK_ASSETS",MS$3,$E$3, $J$3, , $G$3, $H$3)),"")</f>
        <v/>
      </c>
      <c r="MT13" s="72" t="str">
        <f>IFERROR(IF(OR($B13="",MT$3=""),"",(_xll.ciqfunctions.udf.CIQ($B13,"IQ_TIER_ONE_CAPITAL",MT$3,$E$3, $J$3, , $G$3, $H$3)+_xll.ciqfunctions.udf.CIQ($B13,"IQ_TIER_TWO_CAPITAL",MT$3,$E$3, $J$3, , $G$3, $H$3)-_xll.ciqfunctions.udf.CIQ($B13,"IQ_GW",MT$3,$E$3, $J$3, , $G$3, $H$3))/_xll.ciqfunctions.udf.CIQ($B13,"IQ_RISK_ADJ_BANK_ASSETS",MT$3,$E$3, $J$3, , $G$3, $H$3)),"")</f>
        <v/>
      </c>
      <c r="MU13" s="72" t="str">
        <f>IFERROR(IF(OR($B13="",MU$3=""),"",(_xll.ciqfunctions.udf.CIQ($B13,"IQ_TIER_ONE_CAPITAL",MU$3,$E$3, $J$3, , $G$3, $H$3)+_xll.ciqfunctions.udf.CIQ($B13,"IQ_TIER_TWO_CAPITAL",MU$3,$E$3, $J$3, , $G$3, $H$3)-_xll.ciqfunctions.udf.CIQ($B13,"IQ_GW",MU$3,$E$3, $J$3, , $G$3, $H$3))/_xll.ciqfunctions.udf.CIQ($B13,"IQ_RISK_ADJ_BANK_ASSETS",MU$3,$E$3, $J$3, , $G$3, $H$3)),"")</f>
        <v/>
      </c>
      <c r="MV13" s="72" t="str">
        <f>IFERROR(IF(OR($B13="",MV$3=""),"",(_xll.ciqfunctions.udf.CIQ($B13,"IQ_TIER_ONE_CAPITAL",MV$3,$E$3, $J$3, , $G$3, $H$3)+_xll.ciqfunctions.udf.CIQ($B13,"IQ_TIER_TWO_CAPITAL",MV$3,$E$3, $J$3, , $G$3, $H$3)-_xll.ciqfunctions.udf.CIQ($B13,"IQ_GW",MV$3,$E$3, $J$3, , $G$3, $H$3))/_xll.ciqfunctions.udf.CIQ($B13,"IQ_RISK_ADJ_BANK_ASSETS",MV$3,$E$3, $J$3, , $G$3, $H$3)),"")</f>
        <v/>
      </c>
      <c r="MW13" s="72" t="str">
        <f>IFERROR(IF(OR($B13="",MW$3=""),"",(_xll.ciqfunctions.udf.CIQ($B13,"IQ_TIER_ONE_CAPITAL",MW$3,$E$3, $J$3, , $G$3, $H$3)+_xll.ciqfunctions.udf.CIQ($B13,"IQ_TIER_TWO_CAPITAL",MW$3,$E$3, $J$3, , $G$3, $H$3)-_xll.ciqfunctions.udf.CIQ($B13,"IQ_GW",MW$3,$E$3, $J$3, , $G$3, $H$3))/_xll.ciqfunctions.udf.CIQ($B13,"IQ_RISK_ADJ_BANK_ASSETS",MW$3,$E$3, $J$3, , $G$3, $H$3)),"")</f>
        <v/>
      </c>
      <c r="MX13" s="72" t="str">
        <f>IFERROR(IF(OR($B13="",MX$3=""),"",(_xll.ciqfunctions.udf.CIQ($B13,"IQ_TIER_ONE_CAPITAL",MX$3,$E$3, $J$3, , $G$3, $H$3)+_xll.ciqfunctions.udf.CIQ($B13,"IQ_TIER_TWO_CAPITAL",MX$3,$E$3, $J$3, , $G$3, $H$3)-_xll.ciqfunctions.udf.CIQ($B13,"IQ_GW",MX$3,$E$3, $J$3, , $G$3, $H$3))/_xll.ciqfunctions.udf.CIQ($B13,"IQ_RISK_ADJ_BANK_ASSETS",MX$3,$E$3, $J$3, , $G$3, $H$3)),"")</f>
        <v/>
      </c>
      <c r="MY13" s="72" t="str">
        <f>IFERROR(IF(OR($B13="",MY$3=""),"",(_xll.ciqfunctions.udf.CIQ($B13,"IQ_TIER_ONE_CAPITAL",MY$3,$E$3, $J$3, , $G$3, $H$3)+_xll.ciqfunctions.udf.CIQ($B13,"IQ_TIER_TWO_CAPITAL",MY$3,$E$3, $J$3, , $G$3, $H$3)-_xll.ciqfunctions.udf.CIQ($B13,"IQ_GW",MY$3,$E$3, $J$3, , $G$3, $H$3))/_xll.ciqfunctions.udf.CIQ($B13,"IQ_RISK_ADJ_BANK_ASSETS",MY$3,$E$3, $J$3, , $G$3, $H$3)),"")</f>
        <v/>
      </c>
      <c r="MZ13" s="72" t="str">
        <f>IFERROR(IF(OR($B13="",MZ$3=""),"",(_xll.ciqfunctions.udf.CIQ($B13,"IQ_TIER_ONE_CAPITAL",MZ$3,$E$3, $J$3, , $G$3, $H$3)+_xll.ciqfunctions.udf.CIQ($B13,"IQ_TIER_TWO_CAPITAL",MZ$3,$E$3, $J$3, , $G$3, $H$3)-_xll.ciqfunctions.udf.CIQ($B13,"IQ_GW",MZ$3,$E$3, $J$3, , $G$3, $H$3))/_xll.ciqfunctions.udf.CIQ($B13,"IQ_RISK_ADJ_BANK_ASSETS",MZ$3,$E$3, $J$3, , $G$3, $H$3)),"")</f>
        <v/>
      </c>
      <c r="NA13" s="72" t="str">
        <f>IFERROR(IF(OR($B13="",NA$3=""),"",(_xll.ciqfunctions.udf.CIQ($B13,"IQ_TIER_ONE_CAPITAL",NA$3,$E$3, $J$3, , $G$3, $H$3)+_xll.ciqfunctions.udf.CIQ($B13,"IQ_TIER_TWO_CAPITAL",NA$3,$E$3, $J$3, , $G$3, $H$3)-_xll.ciqfunctions.udf.CIQ($B13,"IQ_GW",NA$3,$E$3, $J$3, , $G$3, $H$3))/_xll.ciqfunctions.udf.CIQ($B13,"IQ_RISK_ADJ_BANK_ASSETS",NA$3,$E$3, $J$3, , $G$3, $H$3)),"")</f>
        <v/>
      </c>
      <c r="NB13" s="72" t="str">
        <f>IFERROR(IF(OR($B13="",NB$3=""),"",(_xll.ciqfunctions.udf.CIQ($B13,"IQ_TIER_ONE_CAPITAL",NB$3,$E$3, $J$3, , $G$3, $H$3)+_xll.ciqfunctions.udf.CIQ($B13,"IQ_TIER_TWO_CAPITAL",NB$3,$E$3, $J$3, , $G$3, $H$3)-_xll.ciqfunctions.udf.CIQ($B13,"IQ_GW",NB$3,$E$3, $J$3, , $G$3, $H$3))/_xll.ciqfunctions.udf.CIQ($B13,"IQ_RISK_ADJ_BANK_ASSETS",NB$3,$E$3, $J$3, , $G$3, $H$3)),"")</f>
        <v/>
      </c>
      <c r="NC13" s="72" t="str">
        <f>IFERROR(IF(OR($B13="",NC$3=""),"",(_xll.ciqfunctions.udf.CIQ($B13,"IQ_TIER_ONE_CAPITAL",NC$3,$E$3, $J$3, , $G$3, $H$3)+_xll.ciqfunctions.udf.CIQ($B13,"IQ_TIER_TWO_CAPITAL",NC$3,$E$3, $J$3, , $G$3, $H$3)-_xll.ciqfunctions.udf.CIQ($B13,"IQ_GW",NC$3,$E$3, $J$3, , $G$3, $H$3))/_xll.ciqfunctions.udf.CIQ($B13,"IQ_RISK_ADJ_BANK_ASSETS",NC$3,$E$3, $J$3, , $G$3, $H$3)),"")</f>
        <v/>
      </c>
      <c r="ND13" s="72" t="str">
        <f>IFERROR(IF(OR($B13="",ND$3=""),"",(_xll.ciqfunctions.udf.CIQ($B13,"IQ_TIER_ONE_CAPITAL",ND$3,$E$3, $J$3, , $G$3, $H$3)+_xll.ciqfunctions.udf.CIQ($B13,"IQ_TIER_TWO_CAPITAL",ND$3,$E$3, $J$3, , $G$3, $H$3)-_xll.ciqfunctions.udf.CIQ($B13,"IQ_GW",ND$3,$E$3, $J$3, , $G$3, $H$3))/_xll.ciqfunctions.udf.CIQ($B13,"IQ_RISK_ADJ_BANK_ASSETS",ND$3,$E$3, $J$3, , $G$3, $H$3)),"")</f>
        <v/>
      </c>
      <c r="NE13" s="72" t="str">
        <f>IFERROR(IF(OR($B13="",NE$3=""),"",(_xll.ciqfunctions.udf.CIQ($B13,"IQ_TIER_ONE_CAPITAL",NE$3,$E$3, $J$3, , $G$3, $H$3)+_xll.ciqfunctions.udf.CIQ($B13,"IQ_TIER_TWO_CAPITAL",NE$3,$E$3, $J$3, , $G$3, $H$3)-_xll.ciqfunctions.udf.CIQ($B13,"IQ_GW",NE$3,$E$3, $J$3, , $G$3, $H$3))/_xll.ciqfunctions.udf.CIQ($B13,"IQ_RISK_ADJ_BANK_ASSETS",NE$3,$E$3, $J$3, , $G$3, $H$3)),"")</f>
        <v/>
      </c>
      <c r="NF13" s="72" t="str">
        <f>IFERROR(IF(OR($B13="",NF$3=""),"",(_xll.ciqfunctions.udf.CIQ($B13,"IQ_TIER_ONE_CAPITAL",NF$3,$E$3, $J$3, , $G$3, $H$3)+_xll.ciqfunctions.udf.CIQ($B13,"IQ_TIER_TWO_CAPITAL",NF$3,$E$3, $J$3, , $G$3, $H$3)-_xll.ciqfunctions.udf.CIQ($B13,"IQ_GW",NF$3,$E$3, $J$3, , $G$3, $H$3))/_xll.ciqfunctions.udf.CIQ($B13,"IQ_RISK_ADJ_BANK_ASSETS",NF$3,$E$3, $J$3, , $G$3, $H$3)),"")</f>
        <v/>
      </c>
      <c r="NG13" s="72" t="str">
        <f>IFERROR(IF(OR($B13="",NG$3=""),"",-_xll.ciqfunctions.udf.CIQ($B13,"IQ_ALLOW_LL",NG$3,$E$3, $J$3, , $G$3, $H$3)/_xll.ciqfunctions.udf.CIQ($B13,"IQ_TOTAL_LOANS",NG$3,$E$3, $J$3, , $G$3, $H$3)),"")</f>
        <v/>
      </c>
      <c r="NH13" s="72" t="str">
        <f>IFERROR(IF(OR($B13="",NH$3=""),"",-_xll.ciqfunctions.udf.CIQ($B13,"IQ_ALLOW_LL",NH$3,$E$3, $J$3, , $G$3, $H$3)/_xll.ciqfunctions.udf.CIQ($B13,"IQ_TOTAL_LOANS",NH$3,$E$3, $J$3, , $G$3, $H$3)),"")</f>
        <v/>
      </c>
      <c r="NI13" s="72" t="str">
        <f>IFERROR(IF(OR($B13="",NI$3=""),"",-_xll.ciqfunctions.udf.CIQ($B13,"IQ_ALLOW_LL",NI$3,$E$3, $J$3, , $G$3, $H$3)/_xll.ciqfunctions.udf.CIQ($B13,"IQ_TOTAL_LOANS",NI$3,$E$3, $J$3, , $G$3, $H$3)),"")</f>
        <v/>
      </c>
      <c r="NJ13" s="72" t="str">
        <f>IFERROR(IF(OR($B13="",NJ$3=""),"",-_xll.ciqfunctions.udf.CIQ($B13,"IQ_ALLOW_LL",NJ$3,$E$3, $J$3, , $G$3, $H$3)/_xll.ciqfunctions.udf.CIQ($B13,"IQ_TOTAL_LOANS",NJ$3,$E$3, $J$3, , $G$3, $H$3)),"")</f>
        <v/>
      </c>
      <c r="NK13" s="72" t="str">
        <f>IFERROR(IF(OR($B13="",NK$3=""),"",-_xll.ciqfunctions.udf.CIQ($B13,"IQ_ALLOW_LL",NK$3,$E$3, $J$3, , $G$3, $H$3)/_xll.ciqfunctions.udf.CIQ($B13,"IQ_TOTAL_LOANS",NK$3,$E$3, $J$3, , $G$3, $H$3)),"")</f>
        <v/>
      </c>
      <c r="NL13" s="72" t="str">
        <f>IFERROR(IF(OR($B13="",NL$3=""),"",-_xll.ciqfunctions.udf.CIQ($B13,"IQ_ALLOW_LL",NL$3,$E$3, $J$3, , $G$3, $H$3)/_xll.ciqfunctions.udf.CIQ($B13,"IQ_TOTAL_LOANS",NL$3,$E$3, $J$3, , $G$3, $H$3)),"")</f>
        <v/>
      </c>
      <c r="NM13" s="72" t="str">
        <f>IFERROR(IF(OR($B13="",NM$3=""),"",-_xll.ciqfunctions.udf.CIQ($B13,"IQ_ALLOW_LL",NM$3,$E$3, $J$3, , $G$3, $H$3)/_xll.ciqfunctions.udf.CIQ($B13,"IQ_TOTAL_LOANS",NM$3,$E$3, $J$3, , $G$3, $H$3)),"")</f>
        <v/>
      </c>
      <c r="NN13" s="72" t="str">
        <f>IFERROR(IF(OR($B13="",NN$3=""),"",-_xll.ciqfunctions.udf.CIQ($B13,"IQ_ALLOW_LL",NN$3,$E$3, $J$3, , $G$3, $H$3)/_xll.ciqfunctions.udf.CIQ($B13,"IQ_TOTAL_LOANS",NN$3,$E$3, $J$3, , $G$3, $H$3)),"")</f>
        <v/>
      </c>
      <c r="NO13" s="72" t="str">
        <f>IFERROR(IF(OR($B13="",NO$3=""),"",-_xll.ciqfunctions.udf.CIQ($B13,"IQ_ALLOW_LL",NO$3,$E$3, $J$3, , $G$3, $H$3)/_xll.ciqfunctions.udf.CIQ($B13,"IQ_TOTAL_LOANS",NO$3,$E$3, $J$3, , $G$3, $H$3)),"")</f>
        <v/>
      </c>
      <c r="NP13" s="72" t="str">
        <f>IFERROR(IF(OR($B13="",NP$3=""),"",-_xll.ciqfunctions.udf.CIQ($B13,"IQ_ALLOW_LL",NP$3,$E$3, $J$3, , $G$3, $H$3)/_xll.ciqfunctions.udf.CIQ($B13,"IQ_TOTAL_LOANS",NP$3,$E$3, $J$3, , $G$3, $H$3)),"")</f>
        <v/>
      </c>
      <c r="NQ13" s="72" t="str">
        <f>IFERROR(IF(OR($B13="",NQ$3=""),"",-_xll.ciqfunctions.udf.CIQ($B13,"IQ_ALLOW_LL",NQ$3,$E$3, $J$3, , $G$3, $H$3)/_xll.ciqfunctions.udf.CIQ($B13,"IQ_TOTAL_LOANS",NQ$3,$E$3, $J$3, , $G$3, $H$3)),"")</f>
        <v/>
      </c>
      <c r="NR13" s="72" t="str">
        <f>IFERROR(IF(OR($B13="",NR$3=""),"",-_xll.ciqfunctions.udf.CIQ($B13,"IQ_ALLOW_LL",NR$3,$E$3, $J$3, , $G$3, $H$3)/_xll.ciqfunctions.udf.CIQ($B13,"IQ_TOTAL_LOANS",NR$3,$E$3, $J$3, , $G$3, $H$3)),"")</f>
        <v/>
      </c>
      <c r="NS13" s="72" t="str">
        <f>IFERROR(IF(OR($B13="",NS$3=""),"",-_xll.ciqfunctions.udf.CIQ($B13,"IQ_ALLOW_LL",NS$3,$E$3, $J$3, , $G$3, $H$3)/_xll.ciqfunctions.udf.CIQ($B13,"IQ_TOTAL_LOANS",NS$3,$E$3, $J$3, , $G$3, $H$3)),"")</f>
        <v/>
      </c>
      <c r="NT13" s="72" t="str">
        <f>IFERROR(IF(OR($B13="",NT$3=""),"",-_xll.ciqfunctions.udf.CIQ($B13,"IQ_ALLOW_LL",NT$3,$E$3, $J$3, , $G$3, $H$3)/_xll.ciqfunctions.udf.CIQ($B13,"IQ_TOTAL_LOANS",NT$3,$E$3, $J$3, , $G$3, $H$3)),"")</f>
        <v/>
      </c>
      <c r="NU13" s="72" t="str">
        <f>IFERROR(IF(OR($B13="",NU$3=""),"",-_xll.ciqfunctions.udf.CIQ($B13,"IQ_ALLOW_LL",NU$3,$E$3, $J$3, , $G$3, $H$3)/_xll.ciqfunctions.udf.CIQ($B13,"IQ_TOTAL_LOANS",NU$3,$E$3, $J$3, , $G$3, $H$3)),"")</f>
        <v/>
      </c>
      <c r="NV13" s="72" t="str">
        <f>IFERROR(IF(OR($B13="",NV$3=""),"",-_xll.ciqfunctions.udf.CIQ($B13,"IQ_ALLOW_LL",NV$3,$E$3, $J$3, , $G$3, $H$3)/_xll.ciqfunctions.udf.CIQ($B13,"IQ_TOTAL_LOANS",NV$3,$E$3, $J$3, , $G$3, $H$3)),"")</f>
        <v/>
      </c>
      <c r="NW13" s="72" t="str">
        <f>IFERROR(IF(OR($B13="",NW$3=""),"",-_xll.ciqfunctions.udf.CIQ($B13,"IQ_ALLOW_LL",NW$3,$E$3, $J$3, , $G$3, $H$3)/_xll.ciqfunctions.udf.CIQ($B13,"IQ_TOTAL_LOANS",NW$3,$E$3, $J$3, , $G$3, $H$3)),"")</f>
        <v/>
      </c>
      <c r="NX13" s="72" t="str">
        <f>IFERROR(IF(OR($B13="",NX$3=""),"",-_xll.ciqfunctions.udf.CIQ($B13,"IQ_ALLOW_LL",NX$3,$E$3, $J$3, , $G$3, $H$3)/_xll.ciqfunctions.udf.CIQ($B13,"IQ_TOTAL_LOANS",NX$3,$E$3, $J$3, , $G$3, $H$3)),"")</f>
        <v/>
      </c>
      <c r="NY13" s="72" t="str">
        <f>IFERROR(IF(OR($B13="",NY$3=""),"",-_xll.ciqfunctions.udf.CIQ($B13,"IQ_ALLOW_LL",NY$3,$E$3, $J$3, , $G$3, $H$3)/_xll.ciqfunctions.udf.CIQ($B13,"IQ_TOTAL_LOANS",NY$3,$E$3, $J$3, , $G$3, $H$3)),"")</f>
        <v/>
      </c>
      <c r="NZ13" s="72" t="str">
        <f>IFERROR(IF(OR($B13="",NZ$3=""),"",-_xll.ciqfunctions.udf.CIQ($B13,"IQ_ALLOW_LL",NZ$3,$E$3, $J$3, , $G$3, $H$3)/_xll.ciqfunctions.udf.CIQ($B13,"IQ_TOTAL_LOANS",NZ$3,$E$3, $J$3, , $G$3, $H$3)),"")</f>
        <v/>
      </c>
      <c r="OA13" s="72" t="str">
        <f>IFERROR(IF(OR($B13="",OA$3=""),"",_xll.ciqfunctions.udf.CIQ($B13,"IQ_TOTAL_LOANS",OA$3,$E$3, $J$3, , $G$3, $H$3)/_xll.ciqfunctions.udf.CIQ($B13,"IQ_TOTAL_DEPOSITS",OA$3,$E$3, $J$3, , $G$3, $H$3)),"")</f>
        <v/>
      </c>
      <c r="OB13" s="72" t="str">
        <f>IFERROR(IF(OR($B13="",OB$3=""),"",_xll.ciqfunctions.udf.CIQ($B13,"IQ_TOTAL_LOANS",OB$3,$E$3, $J$3, , $G$3, $H$3)/_xll.ciqfunctions.udf.CIQ($B13,"IQ_TOTAL_DEPOSITS",OB$3,$E$3, $J$3, , $G$3, $H$3)),"")</f>
        <v/>
      </c>
      <c r="OC13" s="72" t="str">
        <f>IFERROR(IF(OR($B13="",OC$3=""),"",_xll.ciqfunctions.udf.CIQ($B13,"IQ_TOTAL_LOANS",OC$3,$E$3, $J$3, , $G$3, $H$3)/_xll.ciqfunctions.udf.CIQ($B13,"IQ_TOTAL_DEPOSITS",OC$3,$E$3, $J$3, , $G$3, $H$3)),"")</f>
        <v/>
      </c>
      <c r="OD13" s="72" t="str">
        <f>IFERROR(IF(OR($B13="",OD$3=""),"",_xll.ciqfunctions.udf.CIQ($B13,"IQ_TOTAL_LOANS",OD$3,$E$3, $J$3, , $G$3, $H$3)/_xll.ciqfunctions.udf.CIQ($B13,"IQ_TOTAL_DEPOSITS",OD$3,$E$3, $J$3, , $G$3, $H$3)),"")</f>
        <v/>
      </c>
      <c r="OE13" s="72" t="str">
        <f>IFERROR(IF(OR($B13="",OE$3=""),"",_xll.ciqfunctions.udf.CIQ($B13,"IQ_TOTAL_LOANS",OE$3,$E$3, $J$3, , $G$3, $H$3)/_xll.ciqfunctions.udf.CIQ($B13,"IQ_TOTAL_DEPOSITS",OE$3,$E$3, $J$3, , $G$3, $H$3)),"")</f>
        <v/>
      </c>
      <c r="OF13" s="72" t="str">
        <f>IFERROR(IF(OR($B13="",OF$3=""),"",_xll.ciqfunctions.udf.CIQ($B13,"IQ_TOTAL_LOANS",OF$3,$E$3, $J$3, , $G$3, $H$3)/_xll.ciqfunctions.udf.CIQ($B13,"IQ_TOTAL_DEPOSITS",OF$3,$E$3, $J$3, , $G$3, $H$3)),"")</f>
        <v/>
      </c>
      <c r="OG13" s="72" t="str">
        <f>IFERROR(IF(OR($B13="",OG$3=""),"",_xll.ciqfunctions.udf.CIQ($B13,"IQ_TOTAL_LOANS",OG$3,$E$3, $J$3, , $G$3, $H$3)/_xll.ciqfunctions.udf.CIQ($B13,"IQ_TOTAL_DEPOSITS",OG$3,$E$3, $J$3, , $G$3, $H$3)),"")</f>
        <v/>
      </c>
      <c r="OH13" s="72" t="str">
        <f>IFERROR(IF(OR($B13="",OH$3=""),"",_xll.ciqfunctions.udf.CIQ($B13,"IQ_TOTAL_LOANS",OH$3,$E$3, $J$3, , $G$3, $H$3)/_xll.ciqfunctions.udf.CIQ($B13,"IQ_TOTAL_DEPOSITS",OH$3,$E$3, $J$3, , $G$3, $H$3)),"")</f>
        <v/>
      </c>
      <c r="OI13" s="72" t="str">
        <f>IFERROR(IF(OR($B13="",OI$3=""),"",_xll.ciqfunctions.udf.CIQ($B13,"IQ_TOTAL_LOANS",OI$3,$E$3, $J$3, , $G$3, $H$3)/_xll.ciqfunctions.udf.CIQ($B13,"IQ_TOTAL_DEPOSITS",OI$3,$E$3, $J$3, , $G$3, $H$3)),"")</f>
        <v/>
      </c>
      <c r="OJ13" s="72" t="str">
        <f>IFERROR(IF(OR($B13="",OJ$3=""),"",_xll.ciqfunctions.udf.CIQ($B13,"IQ_TOTAL_LOANS",OJ$3,$E$3, $J$3, , $G$3, $H$3)/_xll.ciqfunctions.udf.CIQ($B13,"IQ_TOTAL_DEPOSITS",OJ$3,$E$3, $J$3, , $G$3, $H$3)),"")</f>
        <v/>
      </c>
      <c r="OK13" s="72" t="str">
        <f>IFERROR(IF(OR($B13="",OK$3=""),"",_xll.ciqfunctions.udf.CIQ($B13,"IQ_TOTAL_LOANS",OK$3,$E$3, $J$3, , $G$3, $H$3)/_xll.ciqfunctions.udf.CIQ($B13,"IQ_TOTAL_DEPOSITS",OK$3,$E$3, $J$3, , $G$3, $H$3)),"")</f>
        <v/>
      </c>
      <c r="OL13" s="72" t="str">
        <f>IFERROR(IF(OR($B13="",OL$3=""),"",_xll.ciqfunctions.udf.CIQ($B13,"IQ_TOTAL_LOANS",OL$3,$E$3, $J$3, , $G$3, $H$3)/_xll.ciqfunctions.udf.CIQ($B13,"IQ_TOTAL_DEPOSITS",OL$3,$E$3, $J$3, , $G$3, $H$3)),"")</f>
        <v/>
      </c>
      <c r="OM13" s="72" t="str">
        <f>IFERROR(IF(OR($B13="",OM$3=""),"",_xll.ciqfunctions.udf.CIQ($B13,"IQ_TOTAL_LOANS",OM$3,$E$3, $J$3, , $G$3, $H$3)/_xll.ciqfunctions.udf.CIQ($B13,"IQ_TOTAL_DEPOSITS",OM$3,$E$3, $J$3, , $G$3, $H$3)),"")</f>
        <v/>
      </c>
      <c r="ON13" s="72" t="str">
        <f>IFERROR(IF(OR($B13="",ON$3=""),"",_xll.ciqfunctions.udf.CIQ($B13,"IQ_TOTAL_LOANS",ON$3,$E$3, $J$3, , $G$3, $H$3)/_xll.ciqfunctions.udf.CIQ($B13,"IQ_TOTAL_DEPOSITS",ON$3,$E$3, $J$3, , $G$3, $H$3)),"")</f>
        <v/>
      </c>
      <c r="OO13" s="72" t="str">
        <f>IFERROR(IF(OR($B13="",OO$3=""),"",_xll.ciqfunctions.udf.CIQ($B13,"IQ_TOTAL_LOANS",OO$3,$E$3, $J$3, , $G$3, $H$3)/_xll.ciqfunctions.udf.CIQ($B13,"IQ_TOTAL_DEPOSITS",OO$3,$E$3, $J$3, , $G$3, $H$3)),"")</f>
        <v/>
      </c>
      <c r="OP13" s="72" t="str">
        <f>IFERROR(IF(OR($B13="",OP$3=""),"",_xll.ciqfunctions.udf.CIQ($B13,"IQ_TOTAL_LOANS",OP$3,$E$3, $J$3, , $G$3, $H$3)/_xll.ciqfunctions.udf.CIQ($B13,"IQ_TOTAL_DEPOSITS",OP$3,$E$3, $J$3, , $G$3, $H$3)),"")</f>
        <v/>
      </c>
      <c r="OQ13" s="72" t="str">
        <f>IFERROR(IF(OR($B13="",OQ$3=""),"",_xll.ciqfunctions.udf.CIQ($B13,"IQ_TOTAL_LOANS",OQ$3,$E$3, $J$3, , $G$3, $H$3)/_xll.ciqfunctions.udf.CIQ($B13,"IQ_TOTAL_DEPOSITS",OQ$3,$E$3, $J$3, , $G$3, $H$3)),"")</f>
        <v/>
      </c>
      <c r="OR13" s="72" t="str">
        <f>IFERROR(IF(OR($B13="",OR$3=""),"",_xll.ciqfunctions.udf.CIQ($B13,"IQ_TOTAL_LOANS",OR$3,$E$3, $J$3, , $G$3, $H$3)/_xll.ciqfunctions.udf.CIQ($B13,"IQ_TOTAL_DEPOSITS",OR$3,$E$3, $J$3, , $G$3, $H$3)),"")</f>
        <v/>
      </c>
      <c r="OS13" s="72" t="str">
        <f>IFERROR(IF(OR($B13="",OS$3=""),"",_xll.ciqfunctions.udf.CIQ($B13,"IQ_TOTAL_LOANS",OS$3,$E$3, $J$3, , $G$3, $H$3)/_xll.ciqfunctions.udf.CIQ($B13,"IQ_TOTAL_DEPOSITS",OS$3,$E$3, $J$3, , $G$3, $H$3)),"")</f>
        <v/>
      </c>
      <c r="OT13" s="72" t="str">
        <f>IFERROR(IF(OR($B13="",OT$3=""),"",_xll.ciqfunctions.udf.CIQ($B13,"IQ_TOTAL_LOANS",OT$3,$E$3, $J$3, , $G$3, $H$3)/_xll.ciqfunctions.udf.CIQ($B13,"IQ_TOTAL_DEPOSITS",OT$3,$E$3, $J$3, , $G$3, $H$3)),"")</f>
        <v/>
      </c>
      <c r="OU13" s="72" t="str">
        <f>IFERROR(IF(OR($B13="",OU$3=""),"",_xll.ciqfunctions.udf.CIQ($B13,"IQ_NON_PERFORMING_LOANS",OU$3,$E$3, $J$3, , $G$3, $H$3)/_xll.ciqfunctions.udf.CIQ($B13,"IQ_TOTAL_EQUITY",OU$3,$E$3, $J$3, , $G$3, $H$3)),"")</f>
        <v/>
      </c>
      <c r="OV13" s="72" t="str">
        <f>IFERROR(IF(OR($B13="",OV$3=""),"",_xll.ciqfunctions.udf.CIQ($B13,"IQ_NON_PERFORMING_LOANS",OV$3,$E$3, $J$3, , $G$3, $H$3)/_xll.ciqfunctions.udf.CIQ($B13,"IQ_TOTAL_EQUITY",OV$3,$E$3, $J$3, , $G$3, $H$3)),"")</f>
        <v/>
      </c>
      <c r="OW13" s="72" t="str">
        <f>IFERROR(IF(OR($B13="",OW$3=""),"",_xll.ciqfunctions.udf.CIQ($B13,"IQ_NON_PERFORMING_LOANS",OW$3,$E$3, $J$3, , $G$3, $H$3)/_xll.ciqfunctions.udf.CIQ($B13,"IQ_TOTAL_EQUITY",OW$3,$E$3, $J$3, , $G$3, $H$3)),"")</f>
        <v/>
      </c>
      <c r="OX13" s="72" t="str">
        <f>IFERROR(IF(OR($B13="",OX$3=""),"",_xll.ciqfunctions.udf.CIQ($B13,"IQ_NON_PERFORMING_LOANS",OX$3,$E$3, $J$3, , $G$3, $H$3)/_xll.ciqfunctions.udf.CIQ($B13,"IQ_TOTAL_EQUITY",OX$3,$E$3, $J$3, , $G$3, $H$3)),"")</f>
        <v/>
      </c>
      <c r="OY13" s="72" t="str">
        <f>IFERROR(IF(OR($B13="",OY$3=""),"",_xll.ciqfunctions.udf.CIQ($B13,"IQ_NON_PERFORMING_LOANS",OY$3,$E$3, $J$3, , $G$3, $H$3)/_xll.ciqfunctions.udf.CIQ($B13,"IQ_TOTAL_EQUITY",OY$3,$E$3, $J$3, , $G$3, $H$3)),"")</f>
        <v/>
      </c>
      <c r="OZ13" s="72" t="str">
        <f>IFERROR(IF(OR($B13="",OZ$3=""),"",_xll.ciqfunctions.udf.CIQ($B13,"IQ_NON_PERFORMING_LOANS",OZ$3,$E$3, $J$3, , $G$3, $H$3)/_xll.ciqfunctions.udf.CIQ($B13,"IQ_TOTAL_EQUITY",OZ$3,$E$3, $J$3, , $G$3, $H$3)),"")</f>
        <v/>
      </c>
      <c r="PA13" s="72" t="str">
        <f>IFERROR(IF(OR($B13="",PA$3=""),"",_xll.ciqfunctions.udf.CIQ($B13,"IQ_NON_PERFORMING_LOANS",PA$3,$E$3, $J$3, , $G$3, $H$3)/_xll.ciqfunctions.udf.CIQ($B13,"IQ_TOTAL_EQUITY",PA$3,$E$3, $J$3, , $G$3, $H$3)),"")</f>
        <v/>
      </c>
      <c r="PB13" s="72" t="str">
        <f>IFERROR(IF(OR($B13="",PB$3=""),"",_xll.ciqfunctions.udf.CIQ($B13,"IQ_NON_PERFORMING_LOANS",PB$3,$E$3, $J$3, , $G$3, $H$3)/_xll.ciqfunctions.udf.CIQ($B13,"IQ_TOTAL_EQUITY",PB$3,$E$3, $J$3, , $G$3, $H$3)),"")</f>
        <v/>
      </c>
      <c r="PC13" s="72" t="str">
        <f>IFERROR(IF(OR($B13="",PC$3=""),"",_xll.ciqfunctions.udf.CIQ($B13,"IQ_NON_PERFORMING_LOANS",PC$3,$E$3, $J$3, , $G$3, $H$3)/_xll.ciqfunctions.udf.CIQ($B13,"IQ_TOTAL_EQUITY",PC$3,$E$3, $J$3, , $G$3, $H$3)),"")</f>
        <v/>
      </c>
      <c r="PD13" s="72" t="str">
        <f>IFERROR(IF(OR($B13="",PD$3=""),"",_xll.ciqfunctions.udf.CIQ($B13,"IQ_NON_PERFORMING_LOANS",PD$3,$E$3, $J$3, , $G$3, $H$3)/_xll.ciqfunctions.udf.CIQ($B13,"IQ_TOTAL_EQUITY",PD$3,$E$3, $J$3, , $G$3, $H$3)),"")</f>
        <v/>
      </c>
      <c r="PE13" s="72" t="str">
        <f>IFERROR(IF(OR($B13="",PE$3=""),"",_xll.ciqfunctions.udf.CIQ($B13,"IQ_NON_PERFORMING_LOANS",PE$3,$E$3, $J$3, , $G$3, $H$3)/_xll.ciqfunctions.udf.CIQ($B13,"IQ_TOTAL_EQUITY",PE$3,$E$3, $J$3, , $G$3, $H$3)),"")</f>
        <v/>
      </c>
      <c r="PF13" s="72" t="str">
        <f>IFERROR(IF(OR($B13="",PF$3=""),"",_xll.ciqfunctions.udf.CIQ($B13,"IQ_NON_PERFORMING_LOANS",PF$3,$E$3, $J$3, , $G$3, $H$3)/_xll.ciqfunctions.udf.CIQ($B13,"IQ_TOTAL_EQUITY",PF$3,$E$3, $J$3, , $G$3, $H$3)),"")</f>
        <v/>
      </c>
      <c r="PG13" s="72" t="str">
        <f>IFERROR(IF(OR($B13="",PG$3=""),"",_xll.ciqfunctions.udf.CIQ($B13,"IQ_NON_PERFORMING_LOANS",PG$3,$E$3, $J$3, , $G$3, $H$3)/_xll.ciqfunctions.udf.CIQ($B13,"IQ_TOTAL_EQUITY",PG$3,$E$3, $J$3, , $G$3, $H$3)),"")</f>
        <v/>
      </c>
      <c r="PH13" s="72" t="str">
        <f>IFERROR(IF(OR($B13="",PH$3=""),"",_xll.ciqfunctions.udf.CIQ($B13,"IQ_NON_PERFORMING_LOANS",PH$3,$E$3, $J$3, , $G$3, $H$3)/_xll.ciqfunctions.udf.CIQ($B13,"IQ_TOTAL_EQUITY",PH$3,$E$3, $J$3, , $G$3, $H$3)),"")</f>
        <v/>
      </c>
      <c r="PI13" s="72" t="str">
        <f>IFERROR(IF(OR($B13="",PI$3=""),"",_xll.ciqfunctions.udf.CIQ($B13,"IQ_NON_PERFORMING_LOANS",PI$3,$E$3, $J$3, , $G$3, $H$3)/_xll.ciqfunctions.udf.CIQ($B13,"IQ_TOTAL_EQUITY",PI$3,$E$3, $J$3, , $G$3, $H$3)),"")</f>
        <v/>
      </c>
      <c r="PJ13" s="72" t="str">
        <f>IFERROR(IF(OR($B13="",PJ$3=""),"",_xll.ciqfunctions.udf.CIQ($B13,"IQ_NON_PERFORMING_LOANS",PJ$3,$E$3, $J$3, , $G$3, $H$3)/_xll.ciqfunctions.udf.CIQ($B13,"IQ_TOTAL_EQUITY",PJ$3,$E$3, $J$3, , $G$3, $H$3)),"")</f>
        <v/>
      </c>
      <c r="PK13" s="72" t="str">
        <f>IFERROR(IF(OR($B13="",PK$3=""),"",_xll.ciqfunctions.udf.CIQ($B13,"IQ_NON_PERFORMING_LOANS",PK$3,$E$3, $J$3, , $G$3, $H$3)/_xll.ciqfunctions.udf.CIQ($B13,"IQ_TOTAL_EQUITY",PK$3,$E$3, $J$3, , $G$3, $H$3)),"")</f>
        <v/>
      </c>
      <c r="PL13" s="72" t="str">
        <f>IFERROR(IF(OR($B13="",PL$3=""),"",_xll.ciqfunctions.udf.CIQ($B13,"IQ_NON_PERFORMING_LOANS",PL$3,$E$3, $J$3, , $G$3, $H$3)/_xll.ciqfunctions.udf.CIQ($B13,"IQ_TOTAL_EQUITY",PL$3,$E$3, $J$3, , $G$3, $H$3)),"")</f>
        <v/>
      </c>
      <c r="PM13" s="72" t="str">
        <f>IFERROR(IF(OR($B13="",PM$3=""),"",_xll.ciqfunctions.udf.CIQ($B13,"IQ_NON_PERFORMING_LOANS",PM$3,$E$3, $J$3, , $G$3, $H$3)/_xll.ciqfunctions.udf.CIQ($B13,"IQ_TOTAL_EQUITY",PM$3,$E$3, $J$3, , $G$3, $H$3)),"")</f>
        <v/>
      </c>
      <c r="PN13" s="72" t="str">
        <f>IFERROR(IF(OR($B13="",PN$3=""),"",_xll.ciqfunctions.udf.CIQ($B13,"IQ_NON_PERFORMING_LOANS",PN$3,$E$3, $J$3, , $G$3, $H$3)/_xll.ciqfunctions.udf.CIQ($B13,"IQ_TOTAL_EQUITY",PN$3,$E$3, $J$3, , $G$3, $H$3)),"")</f>
        <v/>
      </c>
      <c r="PO13" s="72" t="str">
        <f>IFERROR(IF(OR($B13="",PO$3=""),"",(_xll.ciqfunctions.udf.CIQ($B13,"IQ_LASTSALEPRICE",PO$4)/_xll.ciqfunctions.udf.CIQ($B13,"IQ_LASTSALEPRICE",PO$2)-1)+(_xll.ciqfunctions.udf.CIQ($B13, "IQ_DPS_1YR_ANN_GROWTH", "IQ_LTM", PO$4)/100)),"")</f>
        <v/>
      </c>
      <c r="PP13" s="72" t="str">
        <f>IFERROR(IF(OR($B13="",PP$3=""),"",(_xll.ciqfunctions.udf.CIQ($B13,"IQ_LASTSALEPRICE",PP$4)/_xll.ciqfunctions.udf.CIQ($B13,"IQ_LASTSALEPRICE",PP$2)-1)+(_xll.ciqfunctions.udf.CIQ($B13, "IQ_DPS_1YR_ANN_GROWTH", "IQ_LTM", PP$4)/100)),"")</f>
        <v/>
      </c>
      <c r="PQ13" s="72" t="str">
        <f>IFERROR(IF(OR($B13="",PQ$3=""),"",(_xll.ciqfunctions.udf.CIQ($B13,"IQ_LASTSALEPRICE",PQ$4)/_xll.ciqfunctions.udf.CIQ($B13,"IQ_LASTSALEPRICE",PQ$2)-1)+(_xll.ciqfunctions.udf.CIQ($B13, "IQ_DPS_1YR_ANN_GROWTH", "IQ_LTM", PQ$4)/100)),"")</f>
        <v/>
      </c>
      <c r="PR13" s="72" t="str">
        <f>IFERROR(IF(OR($B13="",PR$3=""),"",(_xll.ciqfunctions.udf.CIQ($B13,"IQ_LASTSALEPRICE",PR$4)/_xll.ciqfunctions.udf.CIQ($B13,"IQ_LASTSALEPRICE",PR$2)-1)+(_xll.ciqfunctions.udf.CIQ($B13, "IQ_DPS_1YR_ANN_GROWTH", "IQ_LTM", PR$4)/100)),"")</f>
        <v/>
      </c>
      <c r="PS13" s="72" t="str">
        <f>IFERROR(IF(OR($B13="",PS$3=""),"",(_xll.ciqfunctions.udf.CIQ($B13,"IQ_LASTSALEPRICE",PS$4)/_xll.ciqfunctions.udf.CIQ($B13,"IQ_LASTSALEPRICE",PS$2)-1)+(_xll.ciqfunctions.udf.CIQ($B13, "IQ_DPS_1YR_ANN_GROWTH", "IQ_LTM", PS$4)/100)),"")</f>
        <v/>
      </c>
      <c r="PT13" s="72" t="str">
        <f>IFERROR(IF(OR($B13="",PT$3=""),"",(_xll.ciqfunctions.udf.CIQ($B13,"IQ_LASTSALEPRICE",PT$4)/_xll.ciqfunctions.udf.CIQ($B13,"IQ_LASTSALEPRICE",PT$2)-1)+(_xll.ciqfunctions.udf.CIQ($B13, "IQ_DPS_1YR_ANN_GROWTH", "IQ_LTM", PT$4)/100)),"")</f>
        <v/>
      </c>
      <c r="PU13" s="72" t="str">
        <f>IFERROR(IF(OR($B13="",PU$3=""),"",(_xll.ciqfunctions.udf.CIQ($B13,"IQ_LASTSALEPRICE",PU$4)/_xll.ciqfunctions.udf.CIQ($B13,"IQ_LASTSALEPRICE",PU$2)-1)+(_xll.ciqfunctions.udf.CIQ($B13, "IQ_DPS_1YR_ANN_GROWTH", "IQ_LTM", PU$4)/100)),"")</f>
        <v/>
      </c>
      <c r="PV13" s="72" t="str">
        <f>IFERROR(IF(OR($B13="",PV$3=""),"",(_xll.ciqfunctions.udf.CIQ($B13,"IQ_LASTSALEPRICE",PV$4)/_xll.ciqfunctions.udf.CIQ($B13,"IQ_LASTSALEPRICE",PV$2)-1)+(_xll.ciqfunctions.udf.CIQ($B13, "IQ_DPS_1YR_ANN_GROWTH", "IQ_LTM", PV$4)/100)),"")</f>
        <v/>
      </c>
      <c r="PW13" s="72" t="str">
        <f>IFERROR(IF(OR($B13="",PW$3=""),"",(_xll.ciqfunctions.udf.CIQ($B13,"IQ_LASTSALEPRICE",PW$4)/_xll.ciqfunctions.udf.CIQ($B13,"IQ_LASTSALEPRICE",PW$2)-1)+(_xll.ciqfunctions.udf.CIQ($B13, "IQ_DPS_1YR_ANN_GROWTH", "IQ_LTM", PW$4)/100)),"")</f>
        <v/>
      </c>
      <c r="PX13" s="72" t="str">
        <f>IFERROR(IF(OR($B13="",PX$3=""),"",(_xll.ciqfunctions.udf.CIQ($B13,"IQ_LASTSALEPRICE",PX$4)/_xll.ciqfunctions.udf.CIQ($B13,"IQ_LASTSALEPRICE",PX$2)-1)+(_xll.ciqfunctions.udf.CIQ($B13, "IQ_DPS_1YR_ANN_GROWTH", "IQ_LTM", PX$4)/100)),"")</f>
        <v/>
      </c>
      <c r="PY13" s="72" t="str">
        <f>IFERROR(IF(OR($B13="",PY$3=""),"",(_xll.ciqfunctions.udf.CIQ($B13,"IQ_LASTSALEPRICE",PY$4)/_xll.ciqfunctions.udf.CIQ($B13,"IQ_LASTSALEPRICE",PY$2)-1)+(_xll.ciqfunctions.udf.CIQ($B13, "IQ_DPS_1YR_ANN_GROWTH", "IQ_LTM", PY$4)/100)),"")</f>
        <v/>
      </c>
      <c r="PZ13" s="72" t="str">
        <f>IFERROR(IF(OR($B13="",PZ$3=""),"",(_xll.ciqfunctions.udf.CIQ($B13,"IQ_LASTSALEPRICE",PZ$4)/_xll.ciqfunctions.udf.CIQ($B13,"IQ_LASTSALEPRICE",PZ$2)-1)+(_xll.ciqfunctions.udf.CIQ($B13, "IQ_DPS_1YR_ANN_GROWTH", "IQ_LTM", PZ$4)/100)),"")</f>
        <v/>
      </c>
      <c r="QA13" s="72" t="str">
        <f>IFERROR(IF(OR($B13="",QA$3=""),"",(_xll.ciqfunctions.udf.CIQ($B13,"IQ_LASTSALEPRICE",QA$4)/_xll.ciqfunctions.udf.CIQ($B13,"IQ_LASTSALEPRICE",QA$2)-1)+(_xll.ciqfunctions.udf.CIQ($B13, "IQ_DPS_1YR_ANN_GROWTH", "IQ_LTM", QA$4)/100)),"")</f>
        <v/>
      </c>
      <c r="QB13" s="72" t="str">
        <f>IFERROR(IF(OR($B13="",QB$3=""),"",(_xll.ciqfunctions.udf.CIQ($B13,"IQ_LASTSALEPRICE",QB$4)/_xll.ciqfunctions.udf.CIQ($B13,"IQ_LASTSALEPRICE",QB$2)-1)+(_xll.ciqfunctions.udf.CIQ($B13, "IQ_DPS_1YR_ANN_GROWTH", "IQ_LTM", QB$4)/100)),"")</f>
        <v/>
      </c>
      <c r="QC13" s="72" t="str">
        <f>IFERROR(IF(OR($B13="",QC$3=""),"",(_xll.ciqfunctions.udf.CIQ($B13,"IQ_LASTSALEPRICE",QC$4)/_xll.ciqfunctions.udf.CIQ($B13,"IQ_LASTSALEPRICE",QC$2)-1)+(_xll.ciqfunctions.udf.CIQ($B13, "IQ_DPS_1YR_ANN_GROWTH", "IQ_LTM", QC$4)/100)),"")</f>
        <v/>
      </c>
      <c r="QD13" s="72" t="str">
        <f>IFERROR(IF(OR($B13="",QD$3=""),"",(_xll.ciqfunctions.udf.CIQ($B13,"IQ_LASTSALEPRICE",QD$4)/_xll.ciqfunctions.udf.CIQ($B13,"IQ_LASTSALEPRICE",QD$2)-1)+(_xll.ciqfunctions.udf.CIQ($B13, "IQ_DPS_1YR_ANN_GROWTH", "IQ_LTM", QD$4)/100)),"")</f>
        <v/>
      </c>
      <c r="QE13" s="72" t="str">
        <f>IFERROR(IF(OR($B13="",QE$3=""),"",(_xll.ciqfunctions.udf.CIQ($B13,"IQ_LASTSALEPRICE",QE$4)/_xll.ciqfunctions.udf.CIQ($B13,"IQ_LASTSALEPRICE",QE$2)-1)+(_xll.ciqfunctions.udf.CIQ($B13, "IQ_DPS_1YR_ANN_GROWTH", "IQ_LTM", QE$4)/100)),"")</f>
        <v/>
      </c>
      <c r="QF13" s="72" t="str">
        <f>IFERROR(IF(OR($B13="",QF$3=""),"",(_xll.ciqfunctions.udf.CIQ($B13,"IQ_LASTSALEPRICE",QF$4)/_xll.ciqfunctions.udf.CIQ($B13,"IQ_LASTSALEPRICE",QF$2)-1)+(_xll.ciqfunctions.udf.CIQ($B13, "IQ_DPS_1YR_ANN_GROWTH", "IQ_LTM", QF$4)/100)),"")</f>
        <v/>
      </c>
      <c r="QG13" s="72" t="str">
        <f>IFERROR(IF(OR($B13="",QG$3=""),"",(_xll.ciqfunctions.udf.CIQ($B13,"IQ_LASTSALEPRICE",QG$4)/_xll.ciqfunctions.udf.CIQ($B13,"IQ_LASTSALEPRICE",QG$2)-1)+(_xll.ciqfunctions.udf.CIQ($B13, "IQ_DPS_1YR_ANN_GROWTH", "IQ_LTM", QG$4)/100)),"")</f>
        <v/>
      </c>
      <c r="QH13" s="72" t="str">
        <f>IFERROR(IF(OR($B13="",QH$3=""),"",(_xll.ciqfunctions.udf.CIQ($B13,"IQ_LASTSALEPRICE",QH$4)/_xll.ciqfunctions.udf.CIQ($B13,"IQ_LASTSALEPRICE",QH$2)-1)+(_xll.ciqfunctions.udf.CIQ($B13, "IQ_DPS_1YR_ANN_GROWTH", "IQ_LTM", QH$4)/100)),"")</f>
        <v/>
      </c>
      <c r="QI13" s="72" t="str">
        <f>IFERROR(IF(OR($B13="",QI$3=""),"",_xll.ciqfunctions.udf.CIQ($B13,"IQ_NI",QI$3,$E$3, $J$3, , $G$3, $H$3)*2/(_xll.ciqfunctions.udf.CIQ($B13,"IQ_TOTAL_BANK_CAPITAL",QI$3,$E$3, $J$3, , $G$3, $H$3)+_xll.ciqfunctions.udf.CIQ($B13,"IQ_TOTAL_BANK_CAPITAL","IQ_" &amp; LEFT(QI$3,2) &amp; "-1", QI$3, $J$3, , $G$3, $H$3))),"")</f>
        <v/>
      </c>
      <c r="QJ13" s="72" t="str">
        <f>IFERROR(IF(OR($B13="",QJ$3=""),"",_xll.ciqfunctions.udf.CIQ($B13,"IQ_NI",QJ$3,$E$3, $J$3, , $G$3, $H$3)*2/(_xll.ciqfunctions.udf.CIQ($B13,"IQ_TOTAL_BANK_CAPITAL",QJ$3,$E$3, $J$3, , $G$3, $H$3)+_xll.ciqfunctions.udf.CIQ($B13,"IQ_TOTAL_BANK_CAPITAL","IQ_" &amp; LEFT(QJ$3,2) &amp; "-1", QJ$3, $J$3, , $G$3, $H$3))),"")</f>
        <v/>
      </c>
      <c r="QK13" s="72" t="str">
        <f>IFERROR(IF(OR($B13="",QK$3=""),"",_xll.ciqfunctions.udf.CIQ($B13,"IQ_NI",QK$3,$E$3, $J$3, , $G$3, $H$3)*2/(_xll.ciqfunctions.udf.CIQ($B13,"IQ_TOTAL_BANK_CAPITAL",QK$3,$E$3, $J$3, , $G$3, $H$3)+_xll.ciqfunctions.udf.CIQ($B13,"IQ_TOTAL_BANK_CAPITAL","IQ_" &amp; LEFT(QK$3,2) &amp; "-1", QK$3, $J$3, , $G$3, $H$3))),"")</f>
        <v/>
      </c>
      <c r="QL13" s="72" t="str">
        <f>IFERROR(IF(OR($B13="",QL$3=""),"",_xll.ciqfunctions.udf.CIQ($B13,"IQ_NI",QL$3,$E$3, $J$3, , $G$3, $H$3)*2/(_xll.ciqfunctions.udf.CIQ($B13,"IQ_TOTAL_BANK_CAPITAL",QL$3,$E$3, $J$3, , $G$3, $H$3)+_xll.ciqfunctions.udf.CIQ($B13,"IQ_TOTAL_BANK_CAPITAL","IQ_" &amp; LEFT(QL$3,2) &amp; "-1", QL$3, $J$3, , $G$3, $H$3))),"")</f>
        <v/>
      </c>
      <c r="QM13" s="72" t="str">
        <f>IFERROR(IF(OR($B13="",QM$3=""),"",_xll.ciqfunctions.udf.CIQ($B13,"IQ_NI",QM$3,$E$3, $J$3, , $G$3, $H$3)*2/(_xll.ciqfunctions.udf.CIQ($B13,"IQ_TOTAL_BANK_CAPITAL",QM$3,$E$3, $J$3, , $G$3, $H$3)+_xll.ciqfunctions.udf.CIQ($B13,"IQ_TOTAL_BANK_CAPITAL","IQ_" &amp; LEFT(QM$3,2) &amp; "-1", QM$3, $J$3, , $G$3, $H$3))),"")</f>
        <v/>
      </c>
      <c r="QN13" s="72" t="str">
        <f>IFERROR(IF(OR($B13="",QN$3=""),"",_xll.ciqfunctions.udf.CIQ($B13,"IQ_NI",QN$3,$E$3, $J$3, , $G$3, $H$3)*2/(_xll.ciqfunctions.udf.CIQ($B13,"IQ_TOTAL_BANK_CAPITAL",QN$3,$E$3, $J$3, , $G$3, $H$3)+_xll.ciqfunctions.udf.CIQ($B13,"IQ_TOTAL_BANK_CAPITAL","IQ_" &amp; LEFT(QN$3,2) &amp; "-1", QN$3, $J$3, , $G$3, $H$3))),"")</f>
        <v/>
      </c>
      <c r="QO13" s="72" t="str">
        <f>IFERROR(IF(OR($B13="",QO$3=""),"",_xll.ciqfunctions.udf.CIQ($B13,"IQ_NI",QO$3,$E$3, $J$3, , $G$3, $H$3)*2/(_xll.ciqfunctions.udf.CIQ($B13,"IQ_TOTAL_BANK_CAPITAL",QO$3,$E$3, $J$3, , $G$3, $H$3)+_xll.ciqfunctions.udf.CIQ($B13,"IQ_TOTAL_BANK_CAPITAL","IQ_" &amp; LEFT(QO$3,2) &amp; "-1", QO$3, $J$3, , $G$3, $H$3))),"")</f>
        <v/>
      </c>
      <c r="QP13" s="72" t="str">
        <f>IFERROR(IF(OR($B13="",QP$3=""),"",_xll.ciqfunctions.udf.CIQ($B13,"IQ_NI",QP$3,$E$3, $J$3, , $G$3, $H$3)*2/(_xll.ciqfunctions.udf.CIQ($B13,"IQ_TOTAL_BANK_CAPITAL",QP$3,$E$3, $J$3, , $G$3, $H$3)+_xll.ciqfunctions.udf.CIQ($B13,"IQ_TOTAL_BANK_CAPITAL","IQ_" &amp; LEFT(QP$3,2) &amp; "-1", QP$3, $J$3, , $G$3, $H$3))),"")</f>
        <v/>
      </c>
      <c r="QQ13" s="72" t="str">
        <f>IFERROR(IF(OR($B13="",QQ$3=""),"",_xll.ciqfunctions.udf.CIQ($B13,"IQ_NI",QQ$3,$E$3, $J$3, , $G$3, $H$3)*2/(_xll.ciqfunctions.udf.CIQ($B13,"IQ_TOTAL_BANK_CAPITAL",QQ$3,$E$3, $J$3, , $G$3, $H$3)+_xll.ciqfunctions.udf.CIQ($B13,"IQ_TOTAL_BANK_CAPITAL","IQ_" &amp; LEFT(QQ$3,2) &amp; "-1", QQ$3, $J$3, , $G$3, $H$3))),"")</f>
        <v/>
      </c>
      <c r="QR13" s="72" t="str">
        <f>IFERROR(IF(OR($B13="",QR$3=""),"",_xll.ciqfunctions.udf.CIQ($B13,"IQ_NI",QR$3,$E$3, $J$3, , $G$3, $H$3)*2/(_xll.ciqfunctions.udf.CIQ($B13,"IQ_TOTAL_BANK_CAPITAL",QR$3,$E$3, $J$3, , $G$3, $H$3)+_xll.ciqfunctions.udf.CIQ($B13,"IQ_TOTAL_BANK_CAPITAL","IQ_" &amp; LEFT(QR$3,2) &amp; "-1", QR$3, $J$3, , $G$3, $H$3))),"")</f>
        <v/>
      </c>
      <c r="QS13" s="72" t="str">
        <f>IFERROR(IF(OR($B13="",QS$3=""),"",_xll.ciqfunctions.udf.CIQ($B13,"IQ_NI",QS$3,$E$3, $J$3, , $G$3, $H$3)*2/(_xll.ciqfunctions.udf.CIQ($B13,"IQ_TOTAL_BANK_CAPITAL",QS$3,$E$3, $J$3, , $G$3, $H$3)+_xll.ciqfunctions.udf.CIQ($B13,"IQ_TOTAL_BANK_CAPITAL","IQ_" &amp; LEFT(QS$3,2) &amp; "-1", QS$3, $J$3, , $G$3, $H$3))),"")</f>
        <v/>
      </c>
      <c r="QT13" s="72" t="str">
        <f>IFERROR(IF(OR($B13="",QT$3=""),"",_xll.ciqfunctions.udf.CIQ($B13,"IQ_NI",QT$3,$E$3, $J$3, , $G$3, $H$3)*2/(_xll.ciqfunctions.udf.CIQ($B13,"IQ_TOTAL_BANK_CAPITAL",QT$3,$E$3, $J$3, , $G$3, $H$3)+_xll.ciqfunctions.udf.CIQ($B13,"IQ_TOTAL_BANK_CAPITAL","IQ_" &amp; LEFT(QT$3,2) &amp; "-1", QT$3, $J$3, , $G$3, $H$3))),"")</f>
        <v/>
      </c>
      <c r="QU13" s="72" t="str">
        <f>IFERROR(IF(OR($B13="",QU$3=""),"",_xll.ciqfunctions.udf.CIQ($B13,"IQ_NI",QU$3,$E$3, $J$3, , $G$3, $H$3)*2/(_xll.ciqfunctions.udf.CIQ($B13,"IQ_TOTAL_BANK_CAPITAL",QU$3,$E$3, $J$3, , $G$3, $H$3)+_xll.ciqfunctions.udf.CIQ($B13,"IQ_TOTAL_BANK_CAPITAL","IQ_" &amp; LEFT(QU$3,2) &amp; "-1", QU$3, $J$3, , $G$3, $H$3))),"")</f>
        <v/>
      </c>
      <c r="QV13" s="72" t="str">
        <f>IFERROR(IF(OR($B13="",QV$3=""),"",_xll.ciqfunctions.udf.CIQ($B13,"IQ_NI",QV$3,$E$3, $J$3, , $G$3, $H$3)*2/(_xll.ciqfunctions.udf.CIQ($B13,"IQ_TOTAL_BANK_CAPITAL",QV$3,$E$3, $J$3, , $G$3, $H$3)+_xll.ciqfunctions.udf.CIQ($B13,"IQ_TOTAL_BANK_CAPITAL","IQ_" &amp; LEFT(QV$3,2) &amp; "-1", QV$3, $J$3, , $G$3, $H$3))),"")</f>
        <v/>
      </c>
      <c r="QW13" s="72" t="str">
        <f>IFERROR(IF(OR($B13="",QW$3=""),"",_xll.ciqfunctions.udf.CIQ($B13,"IQ_NI",QW$3,$E$3, $J$3, , $G$3, $H$3)*2/(_xll.ciqfunctions.udf.CIQ($B13,"IQ_TOTAL_BANK_CAPITAL",QW$3,$E$3, $J$3, , $G$3, $H$3)+_xll.ciqfunctions.udf.CIQ($B13,"IQ_TOTAL_BANK_CAPITAL","IQ_" &amp; LEFT(QW$3,2) &amp; "-1", QW$3, $J$3, , $G$3, $H$3))),"")</f>
        <v/>
      </c>
      <c r="QX13" s="72" t="str">
        <f>IFERROR(IF(OR($B13="",QX$3=""),"",_xll.ciqfunctions.udf.CIQ($B13,"IQ_NI",QX$3,$E$3, $J$3, , $G$3, $H$3)*2/(_xll.ciqfunctions.udf.CIQ($B13,"IQ_TOTAL_BANK_CAPITAL",QX$3,$E$3, $J$3, , $G$3, $H$3)+_xll.ciqfunctions.udf.CIQ($B13,"IQ_TOTAL_BANK_CAPITAL","IQ_" &amp; LEFT(QX$3,2) &amp; "-1", QX$3, $J$3, , $G$3, $H$3))),"")</f>
        <v/>
      </c>
      <c r="QY13" s="72" t="str">
        <f>IFERROR(IF(OR($B13="",QY$3=""),"",_xll.ciqfunctions.udf.CIQ($B13,"IQ_NI",QY$3,$E$3, $J$3, , $G$3, $H$3)*2/(_xll.ciqfunctions.udf.CIQ($B13,"IQ_TOTAL_BANK_CAPITAL",QY$3,$E$3, $J$3, , $G$3, $H$3)+_xll.ciqfunctions.udf.CIQ($B13,"IQ_TOTAL_BANK_CAPITAL","IQ_" &amp; LEFT(QY$3,2) &amp; "-1", QY$3, $J$3, , $G$3, $H$3))),"")</f>
        <v/>
      </c>
      <c r="QZ13" s="72" t="str">
        <f>IFERROR(IF(OR($B13="",QZ$3=""),"",_xll.ciqfunctions.udf.CIQ($B13,"IQ_NI",QZ$3,$E$3, $J$3, , $G$3, $H$3)*2/(_xll.ciqfunctions.udf.CIQ($B13,"IQ_TOTAL_BANK_CAPITAL",QZ$3,$E$3, $J$3, , $G$3, $H$3)+_xll.ciqfunctions.udf.CIQ($B13,"IQ_TOTAL_BANK_CAPITAL","IQ_" &amp; LEFT(QZ$3,2) &amp; "-1", QZ$3, $J$3, , $G$3, $H$3))),"")</f>
        <v/>
      </c>
      <c r="RA13" s="72" t="str">
        <f>IFERROR(IF(OR($B13="",RA$3=""),"",_xll.ciqfunctions.udf.CIQ($B13,"IQ_NI",RA$3,$E$3, $J$3, , $G$3, $H$3)*2/(_xll.ciqfunctions.udf.CIQ($B13,"IQ_TOTAL_BANK_CAPITAL",RA$3,$E$3, $J$3, , $G$3, $H$3)+_xll.ciqfunctions.udf.CIQ($B13,"IQ_TOTAL_BANK_CAPITAL","IQ_" &amp; LEFT(RA$3,2) &amp; "-1", RA$3, $J$3, , $G$3, $H$3))),"")</f>
        <v/>
      </c>
      <c r="RB13" s="72" t="str">
        <f>IFERROR(IF(OR($B13="",RB$3=""),"",_xll.ciqfunctions.udf.CIQ($B13,"IQ_NI",RB$3,$E$3, $J$3, , $G$3, $H$3)*2/(_xll.ciqfunctions.udf.CIQ($B13,"IQ_TOTAL_BANK_CAPITAL",RB$3,$E$3, $J$3, , $G$3, $H$3)+_xll.ciqfunctions.udf.CIQ($B13,"IQ_TOTAL_BANK_CAPITAL","IQ_" &amp; LEFT(RB$3,2) &amp; "-1", RB$3, $J$3, , $G$3, $H$3))),"")</f>
        <v/>
      </c>
      <c r="RC13" s="628" t="str">
        <f>IFERROR(IF(OR($B13="",RC$4=""),"",(IFERROR(_xll.ciqfunctions.udf.CIQ($B13,"IQ_MARKETCAP",RC$4),0)+IFERROR(_xll.ciqfunctions.udf.CIQ($B13,"IQ_TOTAL_DEBT",RC$3),0)+IFERROR(_xll.ciqfunctions.udf.CIQ($B13,"IQ_PREF_EQUITY",RC$3),0)+IFERROR(_xll.ciqfunctions.udf.CIQ($B13,"IQ_MINORITY_INTEREST",RC$3),0)-IFERROR(_xll.ciqfunctions.udf.CIQ($B13,"IQ_ST_INVEST",RC$3),0)-IFERROR(_xll.ciqfunctions.udf.CIQ($B13,"IQ_cash_equiv",RC$3),0))/_xll.ciqfunctions.udf.CIQ($B13,"IQ_TOTAL_BANK_CAPITAL",QI$3,$E$3,$J$3,,$G$3,$H$3)),"")</f>
        <v/>
      </c>
      <c r="RD13" s="628" t="str">
        <f>IFERROR(IF(OR($B13="",RD$4=""),"",(IFERROR(_xll.ciqfunctions.udf.CIQ($B13,"IQ_MARKETCAP",RD$4),0)+IFERROR(_xll.ciqfunctions.udf.CIQ($B13,"IQ_TOTAL_DEBT",RD$3),0)+IFERROR(_xll.ciqfunctions.udf.CIQ($B13,"IQ_PREF_EQUITY",RD$3),0)+IFERROR(_xll.ciqfunctions.udf.CIQ($B13,"IQ_MINORITY_INTEREST",RD$3),0)-IFERROR(_xll.ciqfunctions.udf.CIQ($B13,"IQ_ST_INVEST",RD$3),0)-IFERROR(_xll.ciqfunctions.udf.CIQ($B13,"IQ_cash_equiv",RD$3),0))/_xll.ciqfunctions.udf.CIQ($B13,"IQ_TOTAL_BANK_CAPITAL",QJ$3,$E$3,$J$3,,$G$3,$H$3)),"")</f>
        <v/>
      </c>
      <c r="RE13" s="628" t="str">
        <f>IFERROR(IF(OR($B13="",RE$4=""),"",(IFERROR(_xll.ciqfunctions.udf.CIQ($B13,"IQ_MARKETCAP",RE$4),0)+IFERROR(_xll.ciqfunctions.udf.CIQ($B13,"IQ_TOTAL_DEBT",RE$3),0)+IFERROR(_xll.ciqfunctions.udf.CIQ($B13,"IQ_PREF_EQUITY",RE$3),0)+IFERROR(_xll.ciqfunctions.udf.CIQ($B13,"IQ_MINORITY_INTEREST",RE$3),0)-IFERROR(_xll.ciqfunctions.udf.CIQ($B13,"IQ_ST_INVEST",RE$3),0)-IFERROR(_xll.ciqfunctions.udf.CIQ($B13,"IQ_cash_equiv",RE$3),0))/_xll.ciqfunctions.udf.CIQ($B13,"IQ_TOTAL_BANK_CAPITAL",QK$3,$E$3,$J$3,,$G$3,$H$3)),"")</f>
        <v/>
      </c>
      <c r="RF13" s="628" t="str">
        <f>IFERROR(IF(OR($B13="",RF$4=""),"",(IFERROR(_xll.ciqfunctions.udf.CIQ($B13,"IQ_MARKETCAP",RF$4),0)+IFERROR(_xll.ciqfunctions.udf.CIQ($B13,"IQ_TOTAL_DEBT",RF$3),0)+IFERROR(_xll.ciqfunctions.udf.CIQ($B13,"IQ_PREF_EQUITY",RF$3),0)+IFERROR(_xll.ciqfunctions.udf.CIQ($B13,"IQ_MINORITY_INTEREST",RF$3),0)-IFERROR(_xll.ciqfunctions.udf.CIQ($B13,"IQ_ST_INVEST",RF$3),0)-IFERROR(_xll.ciqfunctions.udf.CIQ($B13,"IQ_cash_equiv",RF$3),0))/_xll.ciqfunctions.udf.CIQ($B13,"IQ_TOTAL_BANK_CAPITAL",QL$3,$E$3,$J$3,,$G$3,$H$3)),"")</f>
        <v/>
      </c>
      <c r="RG13" s="628" t="str">
        <f>IFERROR(IF(OR($B13="",RG$4=""),"",(IFERROR(_xll.ciqfunctions.udf.CIQ($B13,"IQ_MARKETCAP",RG$4),0)+IFERROR(_xll.ciqfunctions.udf.CIQ($B13,"IQ_TOTAL_DEBT",RG$3),0)+IFERROR(_xll.ciqfunctions.udf.CIQ($B13,"IQ_PREF_EQUITY",RG$3),0)+IFERROR(_xll.ciqfunctions.udf.CIQ($B13,"IQ_MINORITY_INTEREST",RG$3),0)-IFERROR(_xll.ciqfunctions.udf.CIQ($B13,"IQ_ST_INVEST",RG$3),0)-IFERROR(_xll.ciqfunctions.udf.CIQ($B13,"IQ_cash_equiv",RG$3),0))/_xll.ciqfunctions.udf.CIQ($B13,"IQ_TOTAL_BANK_CAPITAL",QM$3,$E$3,$J$3,,$G$3,$H$3)),"")</f>
        <v/>
      </c>
      <c r="RH13" s="628" t="str">
        <f>IFERROR(IF(OR($B13="",RH$4=""),"",(IFERROR(_xll.ciqfunctions.udf.CIQ($B13,"IQ_MARKETCAP",RH$4),0)+IFERROR(_xll.ciqfunctions.udf.CIQ($B13,"IQ_TOTAL_DEBT",RH$3),0)+IFERROR(_xll.ciqfunctions.udf.CIQ($B13,"IQ_PREF_EQUITY",RH$3),0)+IFERROR(_xll.ciqfunctions.udf.CIQ($B13,"IQ_MINORITY_INTEREST",RH$3),0)-IFERROR(_xll.ciqfunctions.udf.CIQ($B13,"IQ_ST_INVEST",RH$3),0)-IFERROR(_xll.ciqfunctions.udf.CIQ($B13,"IQ_cash_equiv",RH$3),0))/_xll.ciqfunctions.udf.CIQ($B13,"IQ_TOTAL_BANK_CAPITAL",QN$3,$E$3,$J$3,,$G$3,$H$3)),"")</f>
        <v/>
      </c>
      <c r="RI13" s="628" t="str">
        <f>IFERROR(IF(OR($B13="",RI$4=""),"",(IFERROR(_xll.ciqfunctions.udf.CIQ($B13,"IQ_MARKETCAP",RI$4),0)+IFERROR(_xll.ciqfunctions.udf.CIQ($B13,"IQ_TOTAL_DEBT",RI$3),0)+IFERROR(_xll.ciqfunctions.udf.CIQ($B13,"IQ_PREF_EQUITY",RI$3),0)+IFERROR(_xll.ciqfunctions.udf.CIQ($B13,"IQ_MINORITY_INTEREST",RI$3),0)-IFERROR(_xll.ciqfunctions.udf.CIQ($B13,"IQ_ST_INVEST",RI$3),0)-IFERROR(_xll.ciqfunctions.udf.CIQ($B13,"IQ_cash_equiv",RI$3),0))/_xll.ciqfunctions.udf.CIQ($B13,"IQ_TOTAL_BANK_CAPITAL",QO$3,$E$3,$J$3,,$G$3,$H$3)),"")</f>
        <v/>
      </c>
      <c r="RJ13" s="628" t="str">
        <f>IFERROR(IF(OR($B13="",RJ$4=""),"",(IFERROR(_xll.ciqfunctions.udf.CIQ($B13,"IQ_MARKETCAP",RJ$4),0)+IFERROR(_xll.ciqfunctions.udf.CIQ($B13,"IQ_TOTAL_DEBT",RJ$3),0)+IFERROR(_xll.ciqfunctions.udf.CIQ($B13,"IQ_PREF_EQUITY",RJ$3),0)+IFERROR(_xll.ciqfunctions.udf.CIQ($B13,"IQ_MINORITY_INTEREST",RJ$3),0)-IFERROR(_xll.ciqfunctions.udf.CIQ($B13,"IQ_ST_INVEST",RJ$3),0)-IFERROR(_xll.ciqfunctions.udf.CIQ($B13,"IQ_cash_equiv",RJ$3),0))/_xll.ciqfunctions.udf.CIQ($B13,"IQ_TOTAL_BANK_CAPITAL",QP$3,$E$3,$J$3,,$G$3,$H$3)),"")</f>
        <v/>
      </c>
      <c r="RK13" s="628" t="str">
        <f>IFERROR(IF(OR($B13="",RK$4=""),"",(IFERROR(_xll.ciqfunctions.udf.CIQ($B13,"IQ_MARKETCAP",RK$4),0)+IFERROR(_xll.ciqfunctions.udf.CIQ($B13,"IQ_TOTAL_DEBT",RK$3),0)+IFERROR(_xll.ciqfunctions.udf.CIQ($B13,"IQ_PREF_EQUITY",RK$3),0)+IFERROR(_xll.ciqfunctions.udf.CIQ($B13,"IQ_MINORITY_INTEREST",RK$3),0)-IFERROR(_xll.ciqfunctions.udf.CIQ($B13,"IQ_ST_INVEST",RK$3),0)-IFERROR(_xll.ciqfunctions.udf.CIQ($B13,"IQ_cash_equiv",RK$3),0))/_xll.ciqfunctions.udf.CIQ($B13,"IQ_TOTAL_BANK_CAPITAL",QQ$3,$E$3,$J$3,,$G$3,$H$3)),"")</f>
        <v/>
      </c>
      <c r="RL13" s="628" t="str">
        <f>IFERROR(IF(OR($B13="",RL$4=""),"",(IFERROR(_xll.ciqfunctions.udf.CIQ($B13,"IQ_MARKETCAP",RL$4),0)+IFERROR(_xll.ciqfunctions.udf.CIQ($B13,"IQ_TOTAL_DEBT",RL$3),0)+IFERROR(_xll.ciqfunctions.udf.CIQ($B13,"IQ_PREF_EQUITY",RL$3),0)+IFERROR(_xll.ciqfunctions.udf.CIQ($B13,"IQ_MINORITY_INTEREST",RL$3),0)-IFERROR(_xll.ciqfunctions.udf.CIQ($B13,"IQ_ST_INVEST",RL$3),0)-IFERROR(_xll.ciqfunctions.udf.CIQ($B13,"IQ_cash_equiv",RL$3),0))/_xll.ciqfunctions.udf.CIQ($B13,"IQ_TOTAL_BANK_CAPITAL",QR$3,$E$3,$J$3,,$G$3,$H$3)),"")</f>
        <v/>
      </c>
      <c r="RM13" s="628" t="str">
        <f>IFERROR(IF(OR($B13="",RM$4=""),"",(IFERROR(_xll.ciqfunctions.udf.CIQ($B13,"IQ_MARKETCAP",RM$4),0)+IFERROR(_xll.ciqfunctions.udf.CIQ($B13,"IQ_TOTAL_DEBT",RM$3),0)+IFERROR(_xll.ciqfunctions.udf.CIQ($B13,"IQ_PREF_EQUITY",RM$3),0)+IFERROR(_xll.ciqfunctions.udf.CIQ($B13,"IQ_MINORITY_INTEREST",RM$3),0)-IFERROR(_xll.ciqfunctions.udf.CIQ($B13,"IQ_ST_INVEST",RM$3),0)-IFERROR(_xll.ciqfunctions.udf.CIQ($B13,"IQ_cash_equiv",RM$3),0))/_xll.ciqfunctions.udf.CIQ($B13,"IQ_TOTAL_BANK_CAPITAL",QS$3,$E$3,$J$3,,$G$3,$H$3)),"")</f>
        <v/>
      </c>
      <c r="RN13" s="628" t="str">
        <f>IFERROR(IF(OR($B13="",RN$4=""),"",(IFERROR(_xll.ciqfunctions.udf.CIQ($B13,"IQ_MARKETCAP",RN$4),0)+IFERROR(_xll.ciqfunctions.udf.CIQ($B13,"IQ_TOTAL_DEBT",RN$3),0)+IFERROR(_xll.ciqfunctions.udf.CIQ($B13,"IQ_PREF_EQUITY",RN$3),0)+IFERROR(_xll.ciqfunctions.udf.CIQ($B13,"IQ_MINORITY_INTEREST",RN$3),0)-IFERROR(_xll.ciqfunctions.udf.CIQ($B13,"IQ_ST_INVEST",RN$3),0)-IFERROR(_xll.ciqfunctions.udf.CIQ($B13,"IQ_cash_equiv",RN$3),0))/_xll.ciqfunctions.udf.CIQ($B13,"IQ_TOTAL_BANK_CAPITAL",QT$3,$E$3,$J$3,,$G$3,$H$3)),"")</f>
        <v/>
      </c>
      <c r="RO13" s="628" t="str">
        <f>IFERROR(IF(OR($B13="",RO$4=""),"",(IFERROR(_xll.ciqfunctions.udf.CIQ($B13,"IQ_MARKETCAP",RO$4),0)+IFERROR(_xll.ciqfunctions.udf.CIQ($B13,"IQ_TOTAL_DEBT",RO$3),0)+IFERROR(_xll.ciqfunctions.udf.CIQ($B13,"IQ_PREF_EQUITY",RO$3),0)+IFERROR(_xll.ciqfunctions.udf.CIQ($B13,"IQ_MINORITY_INTEREST",RO$3),0)-IFERROR(_xll.ciqfunctions.udf.CIQ($B13,"IQ_ST_INVEST",RO$3),0)-IFERROR(_xll.ciqfunctions.udf.CIQ($B13,"IQ_cash_equiv",RO$3),0))/_xll.ciqfunctions.udf.CIQ($B13,"IQ_TOTAL_BANK_CAPITAL",QU$3,$E$3,$J$3,,$G$3,$H$3)),"")</f>
        <v/>
      </c>
      <c r="RP13" s="628" t="str">
        <f>IFERROR(IF(OR($B13="",RP$4=""),"",(IFERROR(_xll.ciqfunctions.udf.CIQ($B13,"IQ_MARKETCAP",RP$4),0)+IFERROR(_xll.ciqfunctions.udf.CIQ($B13,"IQ_TOTAL_DEBT",RP$3),0)+IFERROR(_xll.ciqfunctions.udf.CIQ($B13,"IQ_PREF_EQUITY",RP$3),0)+IFERROR(_xll.ciqfunctions.udf.CIQ($B13,"IQ_MINORITY_INTEREST",RP$3),0)-IFERROR(_xll.ciqfunctions.udf.CIQ($B13,"IQ_ST_INVEST",RP$3),0)-IFERROR(_xll.ciqfunctions.udf.CIQ($B13,"IQ_cash_equiv",RP$3),0))/_xll.ciqfunctions.udf.CIQ($B13,"IQ_TOTAL_BANK_CAPITAL",QV$3,$E$3,$J$3,,$G$3,$H$3)),"")</f>
        <v/>
      </c>
      <c r="RQ13" s="628" t="str">
        <f>IFERROR(IF(OR($B13="",RQ$4=""),"",(IFERROR(_xll.ciqfunctions.udf.CIQ($B13,"IQ_MARKETCAP",RQ$4),0)+IFERROR(_xll.ciqfunctions.udf.CIQ($B13,"IQ_TOTAL_DEBT",RQ$3),0)+IFERROR(_xll.ciqfunctions.udf.CIQ($B13,"IQ_PREF_EQUITY",RQ$3),0)+IFERROR(_xll.ciqfunctions.udf.CIQ($B13,"IQ_MINORITY_INTEREST",RQ$3),0)-IFERROR(_xll.ciqfunctions.udf.CIQ($B13,"IQ_ST_INVEST",RQ$3),0)-IFERROR(_xll.ciqfunctions.udf.CIQ($B13,"IQ_cash_equiv",RQ$3),0))/_xll.ciqfunctions.udf.CIQ($B13,"IQ_TOTAL_BANK_CAPITAL",QW$3,$E$3,$J$3,,$G$3,$H$3)),"")</f>
        <v/>
      </c>
      <c r="RR13" s="628" t="str">
        <f>IFERROR(IF(OR($B13="",RR$4=""),"",(IFERROR(_xll.ciqfunctions.udf.CIQ($B13,"IQ_MARKETCAP",RR$4),0)+IFERROR(_xll.ciqfunctions.udf.CIQ($B13,"IQ_TOTAL_DEBT",RR$3),0)+IFERROR(_xll.ciqfunctions.udf.CIQ($B13,"IQ_PREF_EQUITY",RR$3),0)+IFERROR(_xll.ciqfunctions.udf.CIQ($B13,"IQ_MINORITY_INTEREST",RR$3),0)-IFERROR(_xll.ciqfunctions.udf.CIQ($B13,"IQ_ST_INVEST",RR$3),0)-IFERROR(_xll.ciqfunctions.udf.CIQ($B13,"IQ_cash_equiv",RR$3),0))/_xll.ciqfunctions.udf.CIQ($B13,"IQ_TOTAL_BANK_CAPITAL",QX$3,$E$3,$J$3,,$G$3,$H$3)),"")</f>
        <v/>
      </c>
      <c r="RS13" s="628" t="str">
        <f>IFERROR(IF(OR($B13="",RS$4=""),"",(IFERROR(_xll.ciqfunctions.udf.CIQ($B13,"IQ_MARKETCAP",RS$4),0)+IFERROR(_xll.ciqfunctions.udf.CIQ($B13,"IQ_TOTAL_DEBT",RS$3),0)+IFERROR(_xll.ciqfunctions.udf.CIQ($B13,"IQ_PREF_EQUITY",RS$3),0)+IFERROR(_xll.ciqfunctions.udf.CIQ($B13,"IQ_MINORITY_INTEREST",RS$3),0)-IFERROR(_xll.ciqfunctions.udf.CIQ($B13,"IQ_ST_INVEST",RS$3),0)-IFERROR(_xll.ciqfunctions.udf.CIQ($B13,"IQ_cash_equiv",RS$3),0))/_xll.ciqfunctions.udf.CIQ($B13,"IQ_TOTAL_BANK_CAPITAL",QY$3,$E$3,$J$3,,$G$3,$H$3)),"")</f>
        <v/>
      </c>
      <c r="RT13" s="628" t="str">
        <f>IFERROR(IF(OR($B13="",RT$4=""),"",(IFERROR(_xll.ciqfunctions.udf.CIQ($B13,"IQ_MARKETCAP",RT$4),0)+IFERROR(_xll.ciqfunctions.udf.CIQ($B13,"IQ_TOTAL_DEBT",RT$3),0)+IFERROR(_xll.ciqfunctions.udf.CIQ($B13,"IQ_PREF_EQUITY",RT$3),0)+IFERROR(_xll.ciqfunctions.udf.CIQ($B13,"IQ_MINORITY_INTEREST",RT$3),0)-IFERROR(_xll.ciqfunctions.udf.CIQ($B13,"IQ_ST_INVEST",RT$3),0)-IFERROR(_xll.ciqfunctions.udf.CIQ($B13,"IQ_cash_equiv",RT$3),0))/_xll.ciqfunctions.udf.CIQ($B13,"IQ_TOTAL_BANK_CAPITAL",QZ$3,$E$3,$J$3,,$G$3,$H$3)),"")</f>
        <v/>
      </c>
      <c r="RU13" s="628" t="str">
        <f>IFERROR(IF(OR($B13="",RU$4=""),"",(IFERROR(_xll.ciqfunctions.udf.CIQ($B13,"IQ_MARKETCAP",RU$4),0)+IFERROR(_xll.ciqfunctions.udf.CIQ($B13,"IQ_TOTAL_DEBT",RU$3),0)+IFERROR(_xll.ciqfunctions.udf.CIQ($B13,"IQ_PREF_EQUITY",RU$3),0)+IFERROR(_xll.ciqfunctions.udf.CIQ($B13,"IQ_MINORITY_INTEREST",RU$3),0)-IFERROR(_xll.ciqfunctions.udf.CIQ($B13,"IQ_ST_INVEST",RU$3),0)-IFERROR(_xll.ciqfunctions.udf.CIQ($B13,"IQ_cash_equiv",RU$3),0))/_xll.ciqfunctions.udf.CIQ($B13,"IQ_TOTAL_BANK_CAPITAL",RA$3,$E$3,$J$3,,$G$3,$H$3)),"")</f>
        <v/>
      </c>
      <c r="RV13" s="628" t="str">
        <f>IFERROR(IF(OR($B13="",RV$4=""),"",(IFERROR(_xll.ciqfunctions.udf.CIQ($B13,"IQ_MARKETCAP",RV$4),0)+IFERROR(_xll.ciqfunctions.udf.CIQ($B13,"IQ_TOTAL_DEBT",RV$3),0)+IFERROR(_xll.ciqfunctions.udf.CIQ($B13,"IQ_PREF_EQUITY",RV$3),0)+IFERROR(_xll.ciqfunctions.udf.CIQ($B13,"IQ_MINORITY_INTEREST",RV$3),0)-IFERROR(_xll.ciqfunctions.udf.CIQ($B13,"IQ_ST_INVEST",RV$3),0)-IFERROR(_xll.ciqfunctions.udf.CIQ($B13,"IQ_cash_equiv",RV$3),0))/_xll.ciqfunctions.udf.CIQ($B13,"IQ_TOTAL_BANK_CAPITAL",RB$3,$E$3,$J$3,,$G$3,$H$3)),"")</f>
        <v/>
      </c>
      <c r="RW13" s="72" t="str">
        <f t="shared" si="331"/>
        <v>0</v>
      </c>
      <c r="RX13" s="72" t="str">
        <f t="shared" si="332"/>
        <v/>
      </c>
      <c r="RY13" s="72" t="str">
        <f t="shared" si="333"/>
        <v/>
      </c>
      <c r="RZ13" s="72" t="str">
        <f t="shared" si="334"/>
        <v/>
      </c>
      <c r="SA13" s="72" t="str">
        <f t="shared" si="335"/>
        <v/>
      </c>
      <c r="SB13" s="72" t="str">
        <f t="shared" si="336"/>
        <v/>
      </c>
      <c r="SC13" s="72" t="str">
        <f t="shared" si="337"/>
        <v/>
      </c>
      <c r="SD13" s="72" t="str">
        <f t="shared" si="338"/>
        <v/>
      </c>
      <c r="SE13" s="72" t="str">
        <f t="shared" si="339"/>
        <v/>
      </c>
      <c r="SF13" s="72" t="str">
        <f t="shared" si="340"/>
        <v/>
      </c>
      <c r="SG13" s="72" t="str">
        <f t="shared" si="341"/>
        <v/>
      </c>
      <c r="SH13" s="72" t="str">
        <f t="shared" si="342"/>
        <v/>
      </c>
      <c r="SI13" s="72" t="str">
        <f t="shared" si="343"/>
        <v/>
      </c>
      <c r="SJ13" s="72" t="str">
        <f t="shared" si="344"/>
        <v/>
      </c>
      <c r="SK13" s="72" t="str">
        <f t="shared" si="345"/>
        <v/>
      </c>
      <c r="SL13" s="72" t="str">
        <f t="shared" si="346"/>
        <v/>
      </c>
      <c r="SM13" s="72" t="str">
        <f t="shared" si="347"/>
        <v/>
      </c>
      <c r="SN13" s="72" t="str">
        <f t="shared" si="348"/>
        <v/>
      </c>
      <c r="SO13" s="72" t="str">
        <f t="shared" si="349"/>
        <v/>
      </c>
      <c r="SP13" s="72" t="str">
        <f t="shared" si="350"/>
        <v/>
      </c>
      <c r="SQ13" s="72" t="str">
        <f>IFERROR(IF(OR($B13="",SQ$3=""),"",_xll.ciqfunctions.udf.CIQ($B13,"IQ_TOTAL_DEPOSITS",SQ$3,$E$3, $J$3, , $G$3, $H$3)/_xll.ciqfunctions.udf.CIQ($B13,"IQ_TOTAL_ASSETS",SQ$3,$E$3, $J$3, , $G$3, $H$3)),"")</f>
        <v/>
      </c>
      <c r="SR13" s="72" t="str">
        <f>IFERROR(IF(OR($B13="",SR$3=""),"",_xll.ciqfunctions.udf.CIQ($B13,"IQ_TOTAL_DEPOSITS",SR$3,$E$3, $J$3, , $G$3, $H$3)/_xll.ciqfunctions.udf.CIQ($B13,"IQ_TOTAL_ASSETS",SR$3,$E$3, $J$3, , $G$3, $H$3)),"")</f>
        <v/>
      </c>
      <c r="SS13" s="72" t="str">
        <f>IFERROR(IF(OR($B13="",SS$3=""),"",_xll.ciqfunctions.udf.CIQ($B13,"IQ_TOTAL_DEPOSITS",SS$3,$E$3, $J$3, , $G$3, $H$3)/_xll.ciqfunctions.udf.CIQ($B13,"IQ_TOTAL_ASSETS",SS$3,$E$3, $J$3, , $G$3, $H$3)),"")</f>
        <v/>
      </c>
      <c r="ST13" s="72" t="str">
        <f>IFERROR(IF(OR($B13="",ST$3=""),"",_xll.ciqfunctions.udf.CIQ($B13,"IQ_TOTAL_DEPOSITS",ST$3,$E$3, $J$3, , $G$3, $H$3)/_xll.ciqfunctions.udf.CIQ($B13,"IQ_TOTAL_ASSETS",ST$3,$E$3, $J$3, , $G$3, $H$3)),"")</f>
        <v/>
      </c>
      <c r="SU13" s="72" t="str">
        <f>IFERROR(IF(OR($B13="",SU$3=""),"",_xll.ciqfunctions.udf.CIQ($B13,"IQ_TOTAL_DEPOSITS",SU$3,$E$3, $J$3, , $G$3, $H$3)/_xll.ciqfunctions.udf.CIQ($B13,"IQ_TOTAL_ASSETS",SU$3,$E$3, $J$3, , $G$3, $H$3)),"")</f>
        <v/>
      </c>
      <c r="SV13" s="72" t="str">
        <f>IFERROR(IF(OR($B13="",SV$3=""),"",_xll.ciqfunctions.udf.CIQ($B13,"IQ_TOTAL_DEPOSITS",SV$3,$E$3, $J$3, , $G$3, $H$3)/_xll.ciqfunctions.udf.CIQ($B13,"IQ_TOTAL_ASSETS",SV$3,$E$3, $J$3, , $G$3, $H$3)),"")</f>
        <v/>
      </c>
      <c r="SW13" s="72" t="str">
        <f>IFERROR(IF(OR($B13="",SW$3=""),"",_xll.ciqfunctions.udf.CIQ($B13,"IQ_TOTAL_DEPOSITS",SW$3,$E$3, $J$3, , $G$3, $H$3)/_xll.ciqfunctions.udf.CIQ($B13,"IQ_TOTAL_ASSETS",SW$3,$E$3, $J$3, , $G$3, $H$3)),"")</f>
        <v/>
      </c>
      <c r="SX13" s="72" t="str">
        <f>IFERROR(IF(OR($B13="",SX$3=""),"",_xll.ciqfunctions.udf.CIQ($B13,"IQ_TOTAL_DEPOSITS",SX$3,$E$3, $J$3, , $G$3, $H$3)/_xll.ciqfunctions.udf.CIQ($B13,"IQ_TOTAL_ASSETS",SX$3,$E$3, $J$3, , $G$3, $H$3)),"")</f>
        <v/>
      </c>
      <c r="SY13" s="72" t="str">
        <f>IFERROR(IF(OR($B13="",SY$3=""),"",_xll.ciqfunctions.udf.CIQ($B13,"IQ_TOTAL_DEPOSITS",SY$3,$E$3, $J$3, , $G$3, $H$3)/_xll.ciqfunctions.udf.CIQ($B13,"IQ_TOTAL_ASSETS",SY$3,$E$3, $J$3, , $G$3, $H$3)),"")</f>
        <v/>
      </c>
      <c r="SZ13" s="72" t="str">
        <f>IFERROR(IF(OR($B13="",SZ$3=""),"",_xll.ciqfunctions.udf.CIQ($B13,"IQ_TOTAL_DEPOSITS",SZ$3,$E$3, $J$3, , $G$3, $H$3)/_xll.ciqfunctions.udf.CIQ($B13,"IQ_TOTAL_ASSETS",SZ$3,$E$3, $J$3, , $G$3, $H$3)),"")</f>
        <v/>
      </c>
      <c r="TA13" s="72" t="str">
        <f>IFERROR(IF(OR($B13="",TA$3=""),"",_xll.ciqfunctions.udf.CIQ($B13,"IQ_TOTAL_DEPOSITS",TA$3,$E$3, $J$3, , $G$3, $H$3)/_xll.ciqfunctions.udf.CIQ($B13,"IQ_TOTAL_ASSETS",TA$3,$E$3, $J$3, , $G$3, $H$3)),"")</f>
        <v/>
      </c>
      <c r="TB13" s="72" t="str">
        <f>IFERROR(IF(OR($B13="",TB$3=""),"",_xll.ciqfunctions.udf.CIQ($B13,"IQ_TOTAL_DEPOSITS",TB$3,$E$3, $J$3, , $G$3, $H$3)/_xll.ciqfunctions.udf.CIQ($B13,"IQ_TOTAL_ASSETS",TB$3,$E$3, $J$3, , $G$3, $H$3)),"")</f>
        <v/>
      </c>
      <c r="TC13" s="72" t="str">
        <f>IFERROR(IF(OR($B13="",TC$3=""),"",_xll.ciqfunctions.udf.CIQ($B13,"IQ_TOTAL_DEPOSITS",TC$3,$E$3, $J$3, , $G$3, $H$3)/_xll.ciqfunctions.udf.CIQ($B13,"IQ_TOTAL_ASSETS",TC$3,$E$3, $J$3, , $G$3, $H$3)),"")</f>
        <v/>
      </c>
      <c r="TD13" s="72" t="str">
        <f>IFERROR(IF(OR($B13="",TD$3=""),"",_xll.ciqfunctions.udf.CIQ($B13,"IQ_TOTAL_DEPOSITS",TD$3,$E$3, $J$3, , $G$3, $H$3)/_xll.ciqfunctions.udf.CIQ($B13,"IQ_TOTAL_ASSETS",TD$3,$E$3, $J$3, , $G$3, $H$3)),"")</f>
        <v/>
      </c>
      <c r="TE13" s="72" t="str">
        <f>IFERROR(IF(OR($B13="",TE$3=""),"",_xll.ciqfunctions.udf.CIQ($B13,"IQ_TOTAL_DEPOSITS",TE$3,$E$3, $J$3, , $G$3, $H$3)/_xll.ciqfunctions.udf.CIQ($B13,"IQ_TOTAL_ASSETS",TE$3,$E$3, $J$3, , $G$3, $H$3)),"")</f>
        <v/>
      </c>
      <c r="TF13" s="72" t="str">
        <f>IFERROR(IF(OR($B13="",TF$3=""),"",_xll.ciqfunctions.udf.CIQ($B13,"IQ_TOTAL_DEPOSITS",TF$3,$E$3, $J$3, , $G$3, $H$3)/_xll.ciqfunctions.udf.CIQ($B13,"IQ_TOTAL_ASSETS",TF$3,$E$3, $J$3, , $G$3, $H$3)),"")</f>
        <v/>
      </c>
      <c r="TG13" s="72" t="str">
        <f>IFERROR(IF(OR($B13="",TG$3=""),"",_xll.ciqfunctions.udf.CIQ($B13,"IQ_TOTAL_DEPOSITS",TG$3,$E$3, $J$3, , $G$3, $H$3)/_xll.ciqfunctions.udf.CIQ($B13,"IQ_TOTAL_ASSETS",TG$3,$E$3, $J$3, , $G$3, $H$3)),"")</f>
        <v/>
      </c>
      <c r="TH13" s="72" t="str">
        <f>IFERROR(IF(OR($B13="",TH$3=""),"",_xll.ciqfunctions.udf.CIQ($B13,"IQ_TOTAL_DEPOSITS",TH$3,$E$3, $J$3, , $G$3, $H$3)/_xll.ciqfunctions.udf.CIQ($B13,"IQ_TOTAL_ASSETS",TH$3,$E$3, $J$3, , $G$3, $H$3)),"")</f>
        <v/>
      </c>
      <c r="TI13" s="72" t="str">
        <f>IFERROR(IF(OR($B13="",TI$3=""),"",_xll.ciqfunctions.udf.CIQ($B13,"IQ_TOTAL_DEPOSITS",TI$3,$E$3, $J$3, , $G$3, $H$3)/_xll.ciqfunctions.udf.CIQ($B13,"IQ_TOTAL_ASSETS",TI$3,$E$3, $J$3, , $G$3, $H$3)),"")</f>
        <v/>
      </c>
      <c r="TJ13" s="72" t="str">
        <f>IFERROR(IF(OR($B13="",TJ$3=""),"",_xll.ciqfunctions.udf.CIQ($B13,"IQ_TOTAL_DEPOSITS",TJ$3,$E$3, $J$3, , $G$3, $H$3)/_xll.ciqfunctions.udf.CIQ($B13,"IQ_TOTAL_ASSETS",TJ$3,$E$3, $J$3, , $G$3, $H$3)),"")</f>
        <v/>
      </c>
      <c r="TK13" s="72" t="str">
        <f>IFERROR(IF(OR($B13="",TK$3="",TK$4=""),"",(_xll.ciqfunctions.udf.CIQ($B13,"IQ_TOTAL_BANK_CAPITAL",TK$3,$E$3, $J$3, , $G$3, $H$3)/_xll.ciqfunctions.udf.CIQ($B13,"IQ_TOTAL_BANK_CAPITAL",TK$4,$E$3, $J$3, , $G$3, $H$3))-1),"")</f>
        <v/>
      </c>
      <c r="TL13" s="72" t="str">
        <f>IFERROR(IF(OR($B13="",TL$3="",TL$4=""),"",(_xll.ciqfunctions.udf.CIQ($B13,"IQ_TOTAL_BANK_CAPITAL",TL$3,$E$3, $J$3, , $G$3, $H$3)/_xll.ciqfunctions.udf.CIQ($B13,"IQ_TOTAL_BANK_CAPITAL",TL$4,$E$3, $J$3, , $G$3, $H$3))-1),"")</f>
        <v/>
      </c>
      <c r="TM13" s="72" t="str">
        <f>IFERROR(IF(OR($B13="",TM$3="",TM$4=""),"",(_xll.ciqfunctions.udf.CIQ($B13,"IQ_TOTAL_BANK_CAPITAL",TM$3,$E$3, $J$3, , $G$3, $H$3)/_xll.ciqfunctions.udf.CIQ($B13,"IQ_TOTAL_BANK_CAPITAL",TM$4,$E$3, $J$3, , $G$3, $H$3))-1),"")</f>
        <v/>
      </c>
      <c r="TN13" s="72" t="str">
        <f>IFERROR(IF(OR($B13="",TN$3="",TN$4=""),"",(_xll.ciqfunctions.udf.CIQ($B13,"IQ_TOTAL_BANK_CAPITAL",TN$3,$E$3, $J$3, , $G$3, $H$3)/_xll.ciqfunctions.udf.CIQ($B13,"IQ_TOTAL_BANK_CAPITAL",TN$4,$E$3, $J$3, , $G$3, $H$3))-1),"")</f>
        <v/>
      </c>
      <c r="TO13" s="72" t="str">
        <f>IFERROR(IF(OR($B13="",TO$3="",TO$4=""),"",(_xll.ciqfunctions.udf.CIQ($B13,"IQ_TOTAL_BANK_CAPITAL",TO$3,$E$3, $J$3, , $G$3, $H$3)/_xll.ciqfunctions.udf.CIQ($B13,"IQ_TOTAL_BANK_CAPITAL",TO$4,$E$3, $J$3, , $G$3, $H$3))-1),"")</f>
        <v/>
      </c>
      <c r="TP13" s="72" t="str">
        <f>IFERROR(IF(OR($B13="",TP$3="",TP$4=""),"",(_xll.ciqfunctions.udf.CIQ($B13,"IQ_TOTAL_BANK_CAPITAL",TP$3,$E$3, $J$3, , $G$3, $H$3)/_xll.ciqfunctions.udf.CIQ($B13,"IQ_TOTAL_BANK_CAPITAL",TP$4,$E$3, $J$3, , $G$3, $H$3))-1),"")</f>
        <v/>
      </c>
      <c r="TQ13" s="72" t="str">
        <f>IFERROR(IF(OR($B13="",TQ$3="",TQ$4=""),"",(_xll.ciqfunctions.udf.CIQ($B13,"IQ_TOTAL_BANK_CAPITAL",TQ$3,$E$3, $J$3, , $G$3, $H$3)/_xll.ciqfunctions.udf.CIQ($B13,"IQ_TOTAL_BANK_CAPITAL",TQ$4,$E$3, $J$3, , $G$3, $H$3))-1),"")</f>
        <v/>
      </c>
      <c r="TR13" s="72" t="str">
        <f>IFERROR(IF(OR($B13="",TR$3="",TR$4=""),"",(_xll.ciqfunctions.udf.CIQ($B13,"IQ_TOTAL_BANK_CAPITAL",TR$3,$E$3, $J$3, , $G$3, $H$3)/_xll.ciqfunctions.udf.CIQ($B13,"IQ_TOTAL_BANK_CAPITAL",TR$4,$E$3, $J$3, , $G$3, $H$3))-1),"")</f>
        <v/>
      </c>
      <c r="TS13" s="72" t="str">
        <f>IFERROR(IF(OR($B13="",TS$3="",TS$4=""),"",(_xll.ciqfunctions.udf.CIQ($B13,"IQ_TOTAL_BANK_CAPITAL",TS$3,$E$3, $J$3, , $G$3, $H$3)/_xll.ciqfunctions.udf.CIQ($B13,"IQ_TOTAL_BANK_CAPITAL",TS$4,$E$3, $J$3, , $G$3, $H$3))-1),"")</f>
        <v/>
      </c>
      <c r="TT13" s="72" t="str">
        <f>IFERROR(IF(OR($B13="",TT$3="",TT$4=""),"",(_xll.ciqfunctions.udf.CIQ($B13,"IQ_TOTAL_BANK_CAPITAL",TT$3,$E$3, $J$3, , $G$3, $H$3)/_xll.ciqfunctions.udf.CIQ($B13,"IQ_TOTAL_BANK_CAPITAL",TT$4,$E$3, $J$3, , $G$3, $H$3))-1),"")</f>
        <v/>
      </c>
      <c r="TU13" s="72" t="str">
        <f>IFERROR(IF(OR($B13="",TU$3="",TU$4=""),"",(_xll.ciqfunctions.udf.CIQ($B13,"IQ_TOTAL_BANK_CAPITAL",TU$3,$E$3, $J$3, , $G$3, $H$3)/_xll.ciqfunctions.udf.CIQ($B13,"IQ_TOTAL_BANK_CAPITAL",TU$4,$E$3, $J$3, , $G$3, $H$3))-1),"")</f>
        <v/>
      </c>
      <c r="TV13" s="72" t="str">
        <f>IFERROR(IF(OR($B13="",TV$3="",TV$4=""),"",(_xll.ciqfunctions.udf.CIQ($B13,"IQ_TOTAL_BANK_CAPITAL",TV$3,$E$3, $J$3, , $G$3, $H$3)/_xll.ciqfunctions.udf.CIQ($B13,"IQ_TOTAL_BANK_CAPITAL",TV$4,$E$3, $J$3, , $G$3, $H$3))-1),"")</f>
        <v/>
      </c>
      <c r="TW13" s="72" t="str">
        <f>IFERROR(IF(OR($B13="",TW$3="",TW$4=""),"",(_xll.ciqfunctions.udf.CIQ($B13,"IQ_TOTAL_BANK_CAPITAL",TW$3,$E$3, $J$3, , $G$3, $H$3)/_xll.ciqfunctions.udf.CIQ($B13,"IQ_TOTAL_BANK_CAPITAL",TW$4,$E$3, $J$3, , $G$3, $H$3))-1),"")</f>
        <v/>
      </c>
      <c r="TX13" s="72" t="str">
        <f>IFERROR(IF(OR($B13="",TX$3="",TX$4=""),"",(_xll.ciqfunctions.udf.CIQ($B13,"IQ_TOTAL_BANK_CAPITAL",TX$3,$E$3, $J$3, , $G$3, $H$3)/_xll.ciqfunctions.udf.CIQ($B13,"IQ_TOTAL_BANK_CAPITAL",TX$4,$E$3, $J$3, , $G$3, $H$3))-1),"")</f>
        <v/>
      </c>
      <c r="TY13" s="72" t="str">
        <f>IFERROR(IF(OR($B13="",TY$3="",TY$4=""),"",(_xll.ciqfunctions.udf.CIQ($B13,"IQ_TOTAL_BANK_CAPITAL",TY$3,$E$3, $J$3, , $G$3, $H$3)/_xll.ciqfunctions.udf.CIQ($B13,"IQ_TOTAL_BANK_CAPITAL",TY$4,$E$3, $J$3, , $G$3, $H$3))-1),"")</f>
        <v/>
      </c>
      <c r="TZ13" s="72" t="str">
        <f>IFERROR(IF(OR($B13="",TZ$3="",TZ$4=""),"",(_xll.ciqfunctions.udf.CIQ($B13,"IQ_TOTAL_BANK_CAPITAL",TZ$3,$E$3, $J$3, , $G$3, $H$3)/_xll.ciqfunctions.udf.CIQ($B13,"IQ_TOTAL_BANK_CAPITAL",TZ$4,$E$3, $J$3, , $G$3, $H$3))-1),"")</f>
        <v/>
      </c>
      <c r="UA13" s="72" t="str">
        <f>IFERROR(IF(OR($B13="",UA$3="",UA$4=""),"",(_xll.ciqfunctions.udf.CIQ($B13,"IQ_TOTAL_BANK_CAPITAL",UA$3,$E$3, $J$3, , $G$3, $H$3)/_xll.ciqfunctions.udf.CIQ($B13,"IQ_TOTAL_BANK_CAPITAL",UA$4,$E$3, $J$3, , $G$3, $H$3))-1),"")</f>
        <v/>
      </c>
      <c r="UB13" s="72" t="str">
        <f>IFERROR(IF(OR($B13="",UB$3="",UB$4=""),"",(_xll.ciqfunctions.udf.CIQ($B13,"IQ_TOTAL_BANK_CAPITAL",UB$3,$E$3, $J$3, , $G$3, $H$3)/_xll.ciqfunctions.udf.CIQ($B13,"IQ_TOTAL_BANK_CAPITAL",UB$4,$E$3, $J$3, , $G$3, $H$3))-1),"")</f>
        <v/>
      </c>
      <c r="UC13" s="72" t="str">
        <f>IFERROR(IF(OR($B13="",UC$3="",UC$4=""),"",(_xll.ciqfunctions.udf.CIQ($B13,"IQ_TOTAL_BANK_CAPITAL",UC$3,$E$3, $J$3, , $G$3, $H$3)/_xll.ciqfunctions.udf.CIQ($B13,"IQ_TOTAL_BANK_CAPITAL",UC$4,$E$3, $J$3, , $G$3, $H$3))-1),"")</f>
        <v/>
      </c>
      <c r="UD13" s="72" t="str">
        <f>IFERROR(IF(OR($B13="",UD$3="",UD$4=""),"",(_xll.ciqfunctions.udf.CIQ($B13,"IQ_TOTAL_BANK_CAPITAL",UD$3,$E$3, $J$3, , $G$3, $H$3)/_xll.ciqfunctions.udf.CIQ($B13,"IQ_TOTAL_BANK_CAPITAL",UD$4,$E$3, $J$3, , $G$3, $H$3))-1),"")</f>
        <v/>
      </c>
      <c r="UE13" s="86" t="str">
        <f>IFERROR(IF(OR($B13="",UE$3=""),"",(_xll.ciqfunctions.udf.CIQ($B13,"IQ_TOTAL_CAPITAL_RATIO",UE$3,$E$3, $J$3, , $G$3, $H$3) - _xll.ciqfunctions.udf.CIQ($B13,"IQ_TIER_ONE_RATIO",UE$3,$E$3, $J$3, , $G$3, $H$3))/100),"")</f>
        <v/>
      </c>
      <c r="UF13" s="87" t="str">
        <f>IFERROR(IF(OR($B13="",UF$3=""),"",(_xll.ciqfunctions.udf.CIQ($B13,"IQ_TOTAL_CAPITAL_RATIO",UF$3,$E$3, $J$3, , $G$3, $H$3) - _xll.ciqfunctions.udf.CIQ($B13,"IQ_TIER_ONE_RATIO",UF$3,$E$3, $J$3, , $G$3, $H$3))/100),"")</f>
        <v/>
      </c>
      <c r="UG13" s="87" t="str">
        <f>IFERROR(IF(OR($B13="",UG$3=""),"",(_xll.ciqfunctions.udf.CIQ($B13,"IQ_TOTAL_CAPITAL_RATIO",UG$3,$E$3, $J$3, , $G$3, $H$3) - _xll.ciqfunctions.udf.CIQ($B13,"IQ_TIER_ONE_RATIO",UG$3,$E$3, $J$3, , $G$3, $H$3))/100),"")</f>
        <v/>
      </c>
      <c r="UH13" s="87" t="str">
        <f>IFERROR(IF(OR($B13="",UH$3=""),"",(_xll.ciqfunctions.udf.CIQ($B13,"IQ_TOTAL_CAPITAL_RATIO",UH$3,$E$3, $J$3, , $G$3, $H$3) - _xll.ciqfunctions.udf.CIQ($B13,"IQ_TIER_ONE_RATIO",UH$3,$E$3, $J$3, , $G$3, $H$3))/100),"")</f>
        <v/>
      </c>
      <c r="UI13" s="87" t="str">
        <f>IFERROR(IF(OR($B13="",UI$3=""),"",(_xll.ciqfunctions.udf.CIQ($B13,"IQ_TOTAL_CAPITAL_RATIO",UI$3,$E$3, $J$3, , $G$3, $H$3) - _xll.ciqfunctions.udf.CIQ($B13,"IQ_TIER_ONE_RATIO",UI$3,$E$3, $J$3, , $G$3, $H$3))/100),"")</f>
        <v/>
      </c>
      <c r="UJ13" s="87" t="str">
        <f>IFERROR(IF(OR($B13="",UJ$3=""),"",(_xll.ciqfunctions.udf.CIQ($B13,"IQ_TOTAL_CAPITAL_RATIO",UJ$3,$E$3, $J$3, , $G$3, $H$3) - _xll.ciqfunctions.udf.CIQ($B13,"IQ_TIER_ONE_RATIO",UJ$3,$E$3, $J$3, , $G$3, $H$3))/100),"")</f>
        <v/>
      </c>
      <c r="UK13" s="87" t="str">
        <f>IFERROR(IF(OR($B13="",UK$3=""),"",(_xll.ciqfunctions.udf.CIQ($B13,"IQ_TOTAL_CAPITAL_RATIO",UK$3,$E$3, $J$3, , $G$3, $H$3) - _xll.ciqfunctions.udf.CIQ($B13,"IQ_TIER_ONE_RATIO",UK$3,$E$3, $J$3, , $G$3, $H$3))/100),"")</f>
        <v/>
      </c>
      <c r="UL13" s="87" t="str">
        <f>IFERROR(IF(OR($B13="",UL$3=""),"",(_xll.ciqfunctions.udf.CIQ($B13,"IQ_TOTAL_CAPITAL_RATIO",UL$3,$E$3, $J$3, , $G$3, $H$3) - _xll.ciqfunctions.udf.CIQ($B13,"IQ_TIER_ONE_RATIO",UL$3,$E$3, $J$3, , $G$3, $H$3))/100),"")</f>
        <v/>
      </c>
      <c r="UM13" s="87" t="str">
        <f>IFERROR(IF(OR($B13="",UM$3=""),"",(_xll.ciqfunctions.udf.CIQ($B13,"IQ_TOTAL_CAPITAL_RATIO",UM$3,$E$3, $J$3, , $G$3, $H$3) - _xll.ciqfunctions.udf.CIQ($B13,"IQ_TIER_ONE_RATIO",UM$3,$E$3, $J$3, , $G$3, $H$3))/100),"")</f>
        <v/>
      </c>
      <c r="UN13" s="87" t="str">
        <f>IFERROR(IF(OR($B13="",UN$3=""),"",(_xll.ciqfunctions.udf.CIQ($B13,"IQ_TOTAL_CAPITAL_RATIO",UN$3,$E$3, $J$3, , $G$3, $H$3) - _xll.ciqfunctions.udf.CIQ($B13,"IQ_TIER_ONE_RATIO",UN$3,$E$3, $J$3, , $G$3, $H$3))/100),"")</f>
        <v/>
      </c>
      <c r="UO13" s="87" t="str">
        <f>IFERROR(IF(OR($B13="",UO$3=""),"",(_xll.ciqfunctions.udf.CIQ($B13,"IQ_TOTAL_CAPITAL_RATIO",UO$3,$E$3, $J$3, , $G$3, $H$3) - _xll.ciqfunctions.udf.CIQ($B13,"IQ_TIER_ONE_RATIO",UO$3,$E$3, $J$3, , $G$3, $H$3))/100),"")</f>
        <v/>
      </c>
      <c r="UP13" s="87" t="str">
        <f>IFERROR(IF(OR($B13="",UP$3=""),"",(_xll.ciqfunctions.udf.CIQ($B13,"IQ_TOTAL_CAPITAL_RATIO",UP$3,$E$3, $J$3, , $G$3, $H$3) - _xll.ciqfunctions.udf.CIQ($B13,"IQ_TIER_ONE_RATIO",UP$3,$E$3, $J$3, , $G$3, $H$3))/100),"")</f>
        <v/>
      </c>
      <c r="UQ13" s="87" t="str">
        <f>IFERROR(IF(OR($B13="",UQ$3=""),"",(_xll.ciqfunctions.udf.CIQ($B13,"IQ_TOTAL_CAPITAL_RATIO",UQ$3,$E$3, $J$3, , $G$3, $H$3) - _xll.ciqfunctions.udf.CIQ($B13,"IQ_TIER_ONE_RATIO",UQ$3,$E$3, $J$3, , $G$3, $H$3))/100),"")</f>
        <v/>
      </c>
      <c r="UR13" s="87" t="str">
        <f>IFERROR(IF(OR($B13="",UR$3=""),"",(_xll.ciqfunctions.udf.CIQ($B13,"IQ_TOTAL_CAPITAL_RATIO",UR$3,$E$3, $J$3, , $G$3, $H$3) - _xll.ciqfunctions.udf.CIQ($B13,"IQ_TIER_ONE_RATIO",UR$3,$E$3, $J$3, , $G$3, $H$3))/100),"")</f>
        <v/>
      </c>
      <c r="US13" s="87" t="str">
        <f>IFERROR(IF(OR($B13="",US$3=""),"",(_xll.ciqfunctions.udf.CIQ($B13,"IQ_TOTAL_CAPITAL_RATIO",US$3,$E$3, $J$3, , $G$3, $H$3) - _xll.ciqfunctions.udf.CIQ($B13,"IQ_TIER_ONE_RATIO",US$3,$E$3, $J$3, , $G$3, $H$3))/100),"")</f>
        <v/>
      </c>
      <c r="UT13" s="87" t="str">
        <f>IFERROR(IF(OR($B13="",UT$3=""),"",(_xll.ciqfunctions.udf.CIQ($B13,"IQ_TOTAL_CAPITAL_RATIO",UT$3,$E$3, $J$3, , $G$3, $H$3) - _xll.ciqfunctions.udf.CIQ($B13,"IQ_TIER_ONE_RATIO",UT$3,$E$3, $J$3, , $G$3, $H$3))/100),"")</f>
        <v/>
      </c>
      <c r="UU13" s="87" t="str">
        <f>IFERROR(IF(OR($B13="",UU$3=""),"",(_xll.ciqfunctions.udf.CIQ($B13,"IQ_TOTAL_CAPITAL_RATIO",UU$3,$E$3, $J$3, , $G$3, $H$3) - _xll.ciqfunctions.udf.CIQ($B13,"IQ_TIER_ONE_RATIO",UU$3,$E$3, $J$3, , $G$3, $H$3))/100),"")</f>
        <v/>
      </c>
      <c r="UV13" s="87" t="str">
        <f>IFERROR(IF(OR($B13="",UV$3=""),"",(_xll.ciqfunctions.udf.CIQ($B13,"IQ_TOTAL_CAPITAL_RATIO",UV$3,$E$3, $J$3, , $G$3, $H$3) - _xll.ciqfunctions.udf.CIQ($B13,"IQ_TIER_ONE_RATIO",UV$3,$E$3, $J$3, , $G$3, $H$3))/100),"")</f>
        <v/>
      </c>
      <c r="UW13" s="87" t="str">
        <f>IFERROR(IF(OR($B13="",UW$3=""),"",(_xll.ciqfunctions.udf.CIQ($B13,"IQ_TOTAL_CAPITAL_RATIO",UW$3,$E$3, $J$3, , $G$3, $H$3) - _xll.ciqfunctions.udf.CIQ($B13,"IQ_TIER_ONE_RATIO",UW$3,$E$3, $J$3, , $G$3, $H$3))/100),"")</f>
        <v/>
      </c>
      <c r="UX13" s="88" t="str">
        <f>IFERROR(IF(OR($B13="",UX$3=""),"",(_xll.ciqfunctions.udf.CIQ($B13,"IQ_TOTAL_CAPITAL_RATIO",UX$3,$E$3, $J$3, , $G$3, $H$3) - _xll.ciqfunctions.udf.CIQ($B13,"IQ_TIER_ONE_RATIO",UX$3,$E$3, $J$3, , $G$3, $H$3))/100),"")</f>
        <v/>
      </c>
    </row>
    <row r="14" spans="1:570" ht="15" customHeight="1" x14ac:dyDescent="0.2">
      <c r="A14" s="218" t="str">
        <f>IF(B14="","",_xll.ciqfunctions.udf.CIQ($B14,"IQ_COMPANY_NAME"))</f>
        <v/>
      </c>
      <c r="B14" s="272" t="str">
        <f>IF(Input!B26="","",Input!B26)</f>
        <v/>
      </c>
      <c r="C14" s="272">
        <f>Input!E26</f>
        <v>0</v>
      </c>
      <c r="D14" s="269" t="str">
        <f>IF(B14="","",_xll.ciqfunctions.udf.CIQ($B14,"IQ_PRIMARY_INDUSTRY"))</f>
        <v/>
      </c>
      <c r="E14" s="219" t="str">
        <f>IF($B14="","",IF(NOT(ISNUMBER(_xll.ciqfunctions.udf.CIQ($B14, "IQ_CLOSEPRICE", $E$3, $G$3, $H$3))),"",_xll.ciqfunctions.udf.CIQ($B14, "IQ_CLOSEPRICE", $E$3, $G$3, $H$3)))</f>
        <v/>
      </c>
      <c r="F14" s="219" t="str">
        <f>IF($B14="","",IF(NOT(ISNUMBER(_xll.ciqfunctions.udf.CIQ($B14, "IQ_CLOSEPRICE", $E$4, $G$3, $H$3))),"",_xll.ciqfunctions.udf.CIQ($B14, "IQ_CLOSEPRICE", $E$4, $G$3, $H$3)))</f>
        <v/>
      </c>
      <c r="G14" s="220" t="str">
        <f t="shared" si="351"/>
        <v/>
      </c>
      <c r="H14" s="220" t="str">
        <f>IFERROR(IF($B14="","",_xll.ciqfunctions.udf.CIQ($B14, "IQ_TOTAL_REV_1YR_ANN_GROWTH", $I$3, $E$3, $J$3)/100),"")</f>
        <v/>
      </c>
      <c r="I14" s="220" t="str">
        <f>IFERROR(IF($B14="","",_xll.ciqfunctions.udf.CIQ($B14,"IQ_NET_INT_INC_BNK",$I$3, $E$3, $J$3, , $G$3, $H$3)/_xll.ciqfunctions.udf.CIQ($B14,"IQ_GROSS_LOANS",$I$3, $E$3, $J$3, , $G$3, $H$3)),"")</f>
        <v/>
      </c>
      <c r="J14" s="220" t="str">
        <f>IFERROR(IF(B14="","",_xll.ciqfunctions.udf.CIQ($B14,"IQ_EBT",$I$3, $E$3, $J$3, , $G$3, $H$3)/_xll.ciqfunctions.udf.CIQ($B14,"IQ_TOTAL_REVENUE",$I$3, $E$3, $J$3, , $G$3, $H$3)),"")</f>
        <v/>
      </c>
      <c r="K14" s="220" t="str">
        <f>IFERROR(IF(B14="","",_xll.ciqfunctions.udf.CIQ($B14,"IQ_NI_MARGIN",$I$3, $E$3, $J$3, , $G$3, $H$3)/100),"")</f>
        <v/>
      </c>
      <c r="L14" s="220" t="str">
        <f>IFERROR(IF($B14="","",_xll.ciqfunctions.udf.CIQ($B14,"IQ_NI",$I$3, $E$3, $J$3, , $G$3, $H$3)/(0.5*(_xll.ciqfunctions.udf.CIQ($B14,"IQ_TOTAL_ASSETS",$I$3, $E$3, $J$3, , $G$3, $H$3)+_xll.ciqfunctions.udf.CIQ($B14,"IQ_TOTAL_ASSETS",$I$3 &amp; "-4", $E$3, $J$3, , $G$3, $H$3)))),"")</f>
        <v/>
      </c>
      <c r="M14" s="220" t="str">
        <f>IFERROR(_xll.ciqfunctions.udf.CIQ($B14,"IQ_NI",$I$3, $E$3, $J$3, , $G$3, $H$3)/(_xll.ciqfunctions.udf.CIQ($B14,"IQ_TOTAL_ASSETS",$I$3, $E$3, $J$3, , $G$3, $H$3)+_xll.ciqfunctions.udf.CIQ($B14,"IQ_TOTAL_ASSETS",$I$3 &amp; "-4", $E$3, $J$3, , $G$3, $H$3)-_xll.ciqfunctions.udf.CIQ($B14,"IQ_TOTAL_CL",$I$3, $E$3, $J$3, , $G$3, $H$3)-_xll.ciqfunctions.udf.CIQ($B14,"IQ_TOTAL_CL",$I$3 &amp; "-4", $E$3, $J$3, , $G$3, $H$3)),"")</f>
        <v/>
      </c>
      <c r="N14" s="220" t="str">
        <f>IFERROR(IF($B14="","",_xll.ciqfunctions.udf.CIQ($B14,"IQ_NI",$I$3, $E$3, $J$3, , $G$3, $H$3)/(0.5*(_xll.ciqfunctions.udf.CIQ($B14,"IQ_TOTAL_EQUITY",$I$3, $E$3, $J$3, , $G$3, $H$3)+_xll.ciqfunctions.udf.CIQ($B14,"IQ_TOTAL_EQUITY",$I$3 &amp; "-4", $E$3, $J$3, , $G$3, $H$3)))),"")</f>
        <v/>
      </c>
      <c r="O14" s="222" t="str">
        <f>IFERROR(IF($B14="","",(_xll.ciqfunctions.udf.CIQ($B14,"IQ_TIER_ONE_CAPITAL",$I$3, $E$3, $J$3, , $G$3, $H$3)+_xll.ciqfunctions.udf.CIQ($B14,"IQ_TIER_TWO_CAPITAL",$I$3, $E$3, $J$3, , $G$3, $H$3)-_xll.ciqfunctions.udf.CIQ($B14,"IQ_GW",$I$3, $E$3, $J$3, , $G$3, $H$3))/_xll.ciqfunctions.udf.CIQ($B14,"IQ_RISK_ADJ_BANK_ASSETS",$I$3, $E$3, $J$3, , $G$3, $H$3)),"")</f>
        <v/>
      </c>
      <c r="P14" s="222" t="str">
        <f>IFERROR(IF($B14="","",(_xll.ciqfunctions.udf.CIQ($B14,"IQ_TIER_ONE_CAPITAL",$I$3, $E$3, $J$3, , $G$3, $H$3)+_xll.ciqfunctions.udf.CIQ($B14,"IQ_TIER_TWO_CAPITAL",$I$3, $E$3, $J$3, , $G$3, $H$3))/_xll.ciqfunctions.udf.CIQ($B14,"IQ_TOTAL_ASSETS",$I$3, $E$3, $J$3, , $G$3, $H$3)),"")</f>
        <v/>
      </c>
      <c r="Q14" s="220" t="str">
        <f>IFERROR(IF(B14="","",_xll.ciqfunctions.udf.CIQ($B14,"IQ_TIER_ONE_RATIO",$I$3, $E$3, $J$3, , $G$3, $H$3)/100),"")</f>
        <v/>
      </c>
      <c r="R14" s="220" t="str">
        <f t="shared" si="330"/>
        <v/>
      </c>
      <c r="S14" s="220" t="str">
        <f>IFERROR(IF(B14="","",_xll.ciqfunctions.udf.CIQ($B14,"IQ_TOTAL_CAPITAL_RATIO",$I$3, $E$3, $J$3, , $G$3, $H$3)/100),"")</f>
        <v/>
      </c>
      <c r="T14" s="220" t="str">
        <f>IFERROR(IF($B14="","",_xll.ciqfunctions.udf.CIQ($B14,"IQ_NON_PERF_LOANS_TOTAL_LOANS",$I$3, $E$3, $J$3, , $G$3, $H$3)/100),"")</f>
        <v/>
      </c>
      <c r="U14" s="222" t="str">
        <f>IFERROR(IF($B14="","",-_xll.ciqfunctions.udf.CIQ($B14,"IQ_ALLOW_LL",$I$3, $E$3, $J$3, , $G$3, $H$3)/_xll.ciqfunctions.udf.CIQ($B14,"IQ_TOTAL_LOANS",$I$3, $E$3, $J$3, , $G$3, $H$3)),"")</f>
        <v/>
      </c>
      <c r="V14" s="220" t="str">
        <f>IFERROR(IF($B14="","",_xll.ciqfunctions.udf.CIQ($B14,"IQ_LL",$I$3, $E$3, $J$3, , $G$3, $H$3)/_xll.ciqfunctions.udf.CIQ($B14,"IQ_NET_LOANS",$I$3, $E$3, $J$3, , $G$3, $H$3)),"")</f>
        <v/>
      </c>
      <c r="W14" s="220" t="str">
        <f>IFERROR(IF(B14="","",_xll.ciqfunctions.udf.CIQ($B14,"IQ_NET_LOANS",$I$3, $E$3, $J$3, , $G$3, $H$3)/_xll.ciqfunctions.udf.CIQ($B14,"IQ_TOTAL_ASSETS",$I$3, $E$3, $J$3, , $G$3, $H$3)),"")</f>
        <v/>
      </c>
      <c r="X14" s="222" t="str">
        <f>IFERROR(IF($B14="","",_xll.ciqfunctions.udf.CIQ($B14,"IQ_TOTAL_LOANS",$I$3, $E$3, $J$3, , $G$3, $H$3)/_xll.ciqfunctions.udf.CIQ($B14,"IQ_TOTAL_DEPOSITS",$I$3, $E$3, $J$3, , $G$3, $H$3)),"")</f>
        <v/>
      </c>
      <c r="Y14" s="220" t="str">
        <f>IFERROR(IF($B14="","",_xll.ciqfunctions.udf.CIQ($B14,"IQ_TOTAL_DEPOSITS",$I$3, $E$3, $J$3, , $G$3, $H$3)/_xll.ciqfunctions.udf.CIQ($B14,"IQ_TOTAL_ASSETS",$I$3, $E$3, $J$3, , $G$3, $H$3)),"")</f>
        <v/>
      </c>
      <c r="Z14" s="221" t="str">
        <f>IFERROR(IF(B14="","",_xll.ciqfunctions.udf.CIQ($B14,"IQ_TOTAL_ASSETS",IQ_LTM)/_xll.ciqfunctions.udf.CIQ($B14,"IQ_TOTAL_COMMON_EQUITY",IQ_LTM)),"")</f>
        <v/>
      </c>
      <c r="AA14" s="222" t="str">
        <f>IFERROR(IF($B14="","",_xll.ciqfunctions.udf.CIQ($B14,"IQ_CASH_OPER",$I$3, $E$3, $J$3, , $G$3, $H$3)*2/(_xll.ciqfunctions.udf.CIQ($B14,"IQ_TOTAL_CL",$I$3, $E$3, $J$3, , $G$3, $H$3)+_xll.ciqfunctions.udf.CIQ($B14,"IQ_TOTAL_CL",$I$3 &amp; "-4", $E$3, $J$3, , $G$3, $H$3))),"")</f>
        <v/>
      </c>
      <c r="AB14" s="222" t="str">
        <f>IFERROR(IF($B14="","",_xll.ciqfunctions.udf.CIQ($B14,"IQ_NON_PERFORMING_LOANS",$I$3, $E$3, $J$3, , $G$3, $H$3)/_xll.ciqfunctions.udf.CIQ($B14,"IQ_TOTAL_EQUITY",$I$3, $E$3, $J$3, , $G$3, $H$3)),"")</f>
        <v/>
      </c>
      <c r="AC14" s="1021" t="str">
        <f>IF(B14="","",IF(NOT(ISNUMBER(_xll.ciqfunctions.udf.CIQ($B14,"IQ_Z_SCORE",$I$3, $E$3, $J$3, , $G$3, $H$3))),"",_xll.ciqfunctions.udf.CIQ($B14,"IQ_Z_SCORE",$I$3, $E$3, $J$3, , $G$3, $H$3)))</f>
        <v/>
      </c>
      <c r="AD14" s="19"/>
      <c r="AE14" s="86" t="str">
        <f>IFERROR(IF(OR($B14="",AE$3=""),"",_xll.ciqfunctions.udf.CIQ($B14,"IQ_NET_INT_INC_BNK",AE$3,$E$3, $J$3, , $G$3, $H$3)*2/(_xll.ciqfunctions.udf.CIQ($B14,"IQ_GROSS_LOANS",AE$3,$E$3, $J$3, , $G$3, $H$3)+_xll.ciqfunctions.udf.CIQ($B14,"IQ_GROSS_LOANS", "IQ_" &amp; LEFT(AE$3,2) &amp; "-1",AE$3, $J$3, , $G$3, $H$3))),"")</f>
        <v/>
      </c>
      <c r="AF14" s="87" t="str">
        <f>IFERROR(IF(OR($B14="",AF$3=""),"",_xll.ciqfunctions.udf.CIQ($B14,"IQ_NET_INT_INC_BNK",AF$3,$E$3, $J$3, , $G$3, $H$3)*2/(_xll.ciqfunctions.udf.CIQ($B14,"IQ_GROSS_LOANS",AF$3,$E$3, $J$3, , $G$3, $H$3)+_xll.ciqfunctions.udf.CIQ($B14,"IQ_GROSS_LOANS", "IQ_" &amp; LEFT(AF$3,2) &amp; "-1",AF$3, $J$3, , $G$3, $H$3))),"")</f>
        <v/>
      </c>
      <c r="AG14" s="87" t="str">
        <f>IFERROR(IF(OR($B14="",AG$3=""),"",_xll.ciqfunctions.udf.CIQ($B14,"IQ_NET_INT_INC_BNK",AG$3,$E$3, $J$3, , $G$3, $H$3)*2/(_xll.ciqfunctions.udf.CIQ($B14,"IQ_GROSS_LOANS",AG$3,$E$3, $J$3, , $G$3, $H$3)+_xll.ciqfunctions.udf.CIQ($B14,"IQ_GROSS_LOANS", "IQ_" &amp; LEFT(AG$3,2) &amp; "-1",AG$3, $J$3, , $G$3, $H$3))),"")</f>
        <v/>
      </c>
      <c r="AH14" s="87" t="str">
        <f>IFERROR(IF(OR($B14="",AH$3=""),"",_xll.ciqfunctions.udf.CIQ($B14,"IQ_NET_INT_INC_BNK",AH$3,$E$3, $J$3, , $G$3, $H$3)*2/(_xll.ciqfunctions.udf.CIQ($B14,"IQ_GROSS_LOANS",AH$3,$E$3, $J$3, , $G$3, $H$3)+_xll.ciqfunctions.udf.CIQ($B14,"IQ_GROSS_LOANS", "IQ_" &amp; LEFT(AH$3,2) &amp; "-1",AH$3, $J$3, , $G$3, $H$3))),"")</f>
        <v/>
      </c>
      <c r="AI14" s="87" t="str">
        <f>IFERROR(IF(OR($B14="",AI$3=""),"",_xll.ciqfunctions.udf.CIQ($B14,"IQ_NET_INT_INC_BNK",AI$3,$E$3, $J$3, , $G$3, $H$3)*2/(_xll.ciqfunctions.udf.CIQ($B14,"IQ_GROSS_LOANS",AI$3,$E$3, $J$3, , $G$3, $H$3)+_xll.ciqfunctions.udf.CIQ($B14,"IQ_GROSS_LOANS", "IQ_" &amp; LEFT(AI$3,2) &amp; "-1",AI$3, $J$3, , $G$3, $H$3))),"")</f>
        <v/>
      </c>
      <c r="AJ14" s="87" t="str">
        <f>IFERROR(IF(OR($B14="",AJ$3=""),"",_xll.ciqfunctions.udf.CIQ($B14,"IQ_NET_INT_INC_BNK",AJ$3,$E$3, $J$3, , $G$3, $H$3)*2/(_xll.ciqfunctions.udf.CIQ($B14,"IQ_GROSS_LOANS",AJ$3,$E$3, $J$3, , $G$3, $H$3)+_xll.ciqfunctions.udf.CIQ($B14,"IQ_GROSS_LOANS", "IQ_" &amp; LEFT(AJ$3,2) &amp; "-1",AJ$3, $J$3, , $G$3, $H$3))),"")</f>
        <v/>
      </c>
      <c r="AK14" s="87" t="str">
        <f>IFERROR(IF(OR($B14="",AK$3=""),"",_xll.ciqfunctions.udf.CIQ($B14,"IQ_NET_INT_INC_BNK",AK$3,$E$3, $J$3, , $G$3, $H$3)*2/(_xll.ciqfunctions.udf.CIQ($B14,"IQ_GROSS_LOANS",AK$3,$E$3, $J$3, , $G$3, $H$3)+_xll.ciqfunctions.udf.CIQ($B14,"IQ_GROSS_LOANS", "IQ_" &amp; LEFT(AK$3,2) &amp; "-1",AK$3, $J$3, , $G$3, $H$3))),"")</f>
        <v/>
      </c>
      <c r="AL14" s="87" t="str">
        <f>IFERROR(IF(OR($B14="",AL$3=""),"",_xll.ciqfunctions.udf.CIQ($B14,"IQ_NET_INT_INC_BNK",AL$3,$E$3, $J$3, , $G$3, $H$3)*2/(_xll.ciqfunctions.udf.CIQ($B14,"IQ_GROSS_LOANS",AL$3,$E$3, $J$3, , $G$3, $H$3)+_xll.ciqfunctions.udf.CIQ($B14,"IQ_GROSS_LOANS", "IQ_" &amp; LEFT(AL$3,2) &amp; "-1",AL$3, $J$3, , $G$3, $H$3))),"")</f>
        <v/>
      </c>
      <c r="AM14" s="87" t="str">
        <f>IFERROR(IF(OR($B14="",AM$3=""),"",_xll.ciqfunctions.udf.CIQ($B14,"IQ_NET_INT_INC_BNK",AM$3,$E$3, $J$3, , $G$3, $H$3)*2/(_xll.ciqfunctions.udf.CIQ($B14,"IQ_GROSS_LOANS",AM$3,$E$3, $J$3, , $G$3, $H$3)+_xll.ciqfunctions.udf.CIQ($B14,"IQ_GROSS_LOANS", "IQ_" &amp; LEFT(AM$3,2) &amp; "-1",AM$3, $J$3, , $G$3, $H$3))),"")</f>
        <v/>
      </c>
      <c r="AN14" s="87" t="str">
        <f>IFERROR(IF(OR($B14="",AN$3=""),"",_xll.ciqfunctions.udf.CIQ($B14,"IQ_NET_INT_INC_BNK",AN$3,$E$3, $J$3, , $G$3, $H$3)*2/(_xll.ciqfunctions.udf.CIQ($B14,"IQ_GROSS_LOANS",AN$3,$E$3, $J$3, , $G$3, $H$3)+_xll.ciqfunctions.udf.CIQ($B14,"IQ_GROSS_LOANS", "IQ_" &amp; LEFT(AN$3,2) &amp; "-1",AN$3, $J$3, , $G$3, $H$3))),"")</f>
        <v/>
      </c>
      <c r="AO14" s="87" t="str">
        <f>IFERROR(IF(OR($B14="",AO$3=""),"",_xll.ciqfunctions.udf.CIQ($B14,"IQ_NET_INT_INC_BNK",AO$3,$E$3, $J$3, , $G$3, $H$3)*2/(_xll.ciqfunctions.udf.CIQ($B14,"IQ_GROSS_LOANS",AO$3,$E$3, $J$3, , $G$3, $H$3)+_xll.ciqfunctions.udf.CIQ($B14,"IQ_GROSS_LOANS", "IQ_" &amp; LEFT(AO$3,2) &amp; "-1",AO$3, $J$3, , $G$3, $H$3))),"")</f>
        <v/>
      </c>
      <c r="AP14" s="87" t="str">
        <f>IFERROR(IF(OR($B14="",AP$3=""),"",_xll.ciqfunctions.udf.CIQ($B14,"IQ_NET_INT_INC_BNK",AP$3,$E$3, $J$3, , $G$3, $H$3)*2/(_xll.ciqfunctions.udf.CIQ($B14,"IQ_GROSS_LOANS",AP$3,$E$3, $J$3, , $G$3, $H$3)+_xll.ciqfunctions.udf.CIQ($B14,"IQ_GROSS_LOANS", "IQ_" &amp; LEFT(AP$3,2) &amp; "-1",AP$3, $J$3, , $G$3, $H$3))),"")</f>
        <v/>
      </c>
      <c r="AQ14" s="87" t="str">
        <f>IFERROR(IF(OR($B14="",AQ$3=""),"",_xll.ciqfunctions.udf.CIQ($B14,"IQ_NET_INT_INC_BNK",AQ$3,$E$3, $J$3, , $G$3, $H$3)*2/(_xll.ciqfunctions.udf.CIQ($B14,"IQ_GROSS_LOANS",AQ$3,$E$3, $J$3, , $G$3, $H$3)+_xll.ciqfunctions.udf.CIQ($B14,"IQ_GROSS_LOANS", "IQ_" &amp; LEFT(AQ$3,2) &amp; "-1",AQ$3, $J$3, , $G$3, $H$3))),"")</f>
        <v/>
      </c>
      <c r="AR14" s="87" t="str">
        <f>IFERROR(IF(OR($B14="",AR$3=""),"",_xll.ciqfunctions.udf.CIQ($B14,"IQ_NET_INT_INC_BNK",AR$3,$E$3, $J$3, , $G$3, $H$3)*2/(_xll.ciqfunctions.udf.CIQ($B14,"IQ_GROSS_LOANS",AR$3,$E$3, $J$3, , $G$3, $H$3)+_xll.ciqfunctions.udf.CIQ($B14,"IQ_GROSS_LOANS", "IQ_" &amp; LEFT(AR$3,2) &amp; "-1",AR$3, $J$3, , $G$3, $H$3))),"")</f>
        <v/>
      </c>
      <c r="AS14" s="87" t="str">
        <f>IFERROR(IF(OR($B14="",AS$3=""),"",_xll.ciqfunctions.udf.CIQ($B14,"IQ_NET_INT_INC_BNK",AS$3,$E$3, $J$3, , $G$3, $H$3)*2/(_xll.ciqfunctions.udf.CIQ($B14,"IQ_GROSS_LOANS",AS$3,$E$3, $J$3, , $G$3, $H$3)+_xll.ciqfunctions.udf.CIQ($B14,"IQ_GROSS_LOANS", "IQ_" &amp; LEFT(AS$3,2) &amp; "-1",AS$3, $J$3, , $G$3, $H$3))),"")</f>
        <v/>
      </c>
      <c r="AT14" s="87" t="str">
        <f>IFERROR(IF(OR($B14="",AT$3=""),"",_xll.ciqfunctions.udf.CIQ($B14,"IQ_NET_INT_INC_BNK",AT$3,$E$3, $J$3, , $G$3, $H$3)*2/(_xll.ciqfunctions.udf.CIQ($B14,"IQ_GROSS_LOANS",AT$3,$E$3, $J$3, , $G$3, $H$3)+_xll.ciqfunctions.udf.CIQ($B14,"IQ_GROSS_LOANS", "IQ_" &amp; LEFT(AT$3,2) &amp; "-1",AT$3, $J$3, , $G$3, $H$3))),"")</f>
        <v/>
      </c>
      <c r="AU14" s="87" t="str">
        <f>IFERROR(IF(OR($B14="",AU$3=""),"",_xll.ciqfunctions.udf.CIQ($B14,"IQ_NET_INT_INC_BNK",AU$3,$E$3, $J$3, , $G$3, $H$3)*2/(_xll.ciqfunctions.udf.CIQ($B14,"IQ_GROSS_LOANS",AU$3,$E$3, $J$3, , $G$3, $H$3)+_xll.ciqfunctions.udf.CIQ($B14,"IQ_GROSS_LOANS", "IQ_" &amp; LEFT(AU$3,2) &amp; "-1",AU$3, $J$3, , $G$3, $H$3))),"")</f>
        <v/>
      </c>
      <c r="AV14" s="87" t="str">
        <f>IFERROR(IF(OR($B14="",AV$3=""),"",_xll.ciqfunctions.udf.CIQ($B14,"IQ_NET_INT_INC_BNK",AV$3,$E$3, $J$3, , $G$3, $H$3)*2/(_xll.ciqfunctions.udf.CIQ($B14,"IQ_GROSS_LOANS",AV$3,$E$3, $J$3, , $G$3, $H$3)+_xll.ciqfunctions.udf.CIQ($B14,"IQ_GROSS_LOANS", "IQ_" &amp; LEFT(AV$3,2) &amp; "-1",AV$3, $J$3, , $G$3, $H$3))),"")</f>
        <v/>
      </c>
      <c r="AW14" s="87" t="str">
        <f>IFERROR(IF(OR($B14="",AW$3=""),"",_xll.ciqfunctions.udf.CIQ($B14,"IQ_NET_INT_INC_BNK",AW$3,$E$3, $J$3, , $G$3, $H$3)*2/(_xll.ciqfunctions.udf.CIQ($B14,"IQ_GROSS_LOANS",AW$3,$E$3, $J$3, , $G$3, $H$3)+_xll.ciqfunctions.udf.CIQ($B14,"IQ_GROSS_LOANS", "IQ_" &amp; LEFT(AW$3,2) &amp; "-1",AW$3, $J$3, , $G$3, $H$3))),"")</f>
        <v/>
      </c>
      <c r="AX14" s="88" t="str">
        <f>IFERROR(IF(OR($B14="",AX$3=""),"",_xll.ciqfunctions.udf.CIQ($B14,"IQ_NET_INT_INC_BNK",AX$3,$E$3, $J$3, , $G$3, $H$3)*2/(_xll.ciqfunctions.udf.CIQ($B14,"IQ_GROSS_LOANS",AX$3,$E$3, $J$3, , $G$3, $H$3)+_xll.ciqfunctions.udf.CIQ($B14,"IQ_GROSS_LOANS", "IQ_" &amp; LEFT(AX$3,2) &amp; "-1",AX$3, $J$3, , $G$3, $H$3))),"")</f>
        <v/>
      </c>
      <c r="AY14" s="72" t="str">
        <f>IFERROR(IF(OR($B14="",AY$3=""),"",_xll.ciqfunctions.udf.CIQ($B14, "IQ_EBT", AY$3,$E$3, $J$3, , $G$3, $H$3)/(_xll.ciqfunctions.udf.CIQ($B14,"IQ_INT_INC_TOTAL",BW$3,$E$3, $J$3, , $G$3, $H$3)+_xll.ciqfunctions.udf.CIQ($B14,"IQ_NON_INT_INC",BW$3,$E$3, $J$3, , $G$3, $H$3))),"")</f>
        <v/>
      </c>
      <c r="AZ14" s="72" t="str">
        <f>IFERROR(IF(OR($B14="",AZ$3=""),"",_xll.ciqfunctions.udf.CIQ($B14, "IQ_EBT", AZ$3,$E$3, $J$3, , $G$3, $H$3)/(_xll.ciqfunctions.udf.CIQ($B14,"IQ_INT_INC_TOTAL",BX$3,$E$3, $J$3, , $G$3, $H$3)+_xll.ciqfunctions.udf.CIQ($B14,"IQ_NON_INT_INC",BX$3,$E$3, $J$3, , $G$3, $H$3))),"")</f>
        <v/>
      </c>
      <c r="BA14" s="72" t="str">
        <f>IFERROR(IF(OR($B14="",BA$3=""),"",_xll.ciqfunctions.udf.CIQ($B14, "IQ_EBT", BA$3,$E$3, $J$3, , $G$3, $H$3)/(_xll.ciqfunctions.udf.CIQ($B14,"IQ_INT_INC_TOTAL",BY$3,$E$3, $J$3, , $G$3, $H$3)+_xll.ciqfunctions.udf.CIQ($B14,"IQ_NON_INT_INC",BY$3,$E$3, $J$3, , $G$3, $H$3))),"")</f>
        <v/>
      </c>
      <c r="BB14" s="72" t="str">
        <f>IFERROR(IF(OR($B14="",BB$3=""),"",_xll.ciqfunctions.udf.CIQ($B14, "IQ_EBT", BB$3,$E$3, $J$3, , $G$3, $H$3)/(_xll.ciqfunctions.udf.CIQ($B14,"IQ_INT_INC_TOTAL",BZ$3,$E$3, $J$3, , $G$3, $H$3)+_xll.ciqfunctions.udf.CIQ($B14,"IQ_NON_INT_INC",BZ$3,$E$3, $J$3, , $G$3, $H$3))),"")</f>
        <v/>
      </c>
      <c r="BC14" s="72" t="str">
        <f>IFERROR(IF(OR($B14="",BC$3=""),"",_xll.ciqfunctions.udf.CIQ($B14, "IQ_EBT", BC$3,$E$3, $J$3, , $G$3, $H$3)/(_xll.ciqfunctions.udf.CIQ($B14,"IQ_INT_INC_TOTAL",CA$3,$E$3, $J$3, , $G$3, $H$3)+_xll.ciqfunctions.udf.CIQ($B14,"IQ_NON_INT_INC",CA$3,$E$3, $J$3, , $G$3, $H$3))),"")</f>
        <v/>
      </c>
      <c r="BD14" s="72" t="str">
        <f>IFERROR(IF(OR($B14="",BD$3=""),"",_xll.ciqfunctions.udf.CIQ($B14, "IQ_EBT", BD$3,$E$3, $J$3, , $G$3, $H$3)/(_xll.ciqfunctions.udf.CIQ($B14,"IQ_INT_INC_TOTAL",CB$3,$E$3, $J$3, , $G$3, $H$3)+_xll.ciqfunctions.udf.CIQ($B14,"IQ_NON_INT_INC",CB$3,$E$3, $J$3, , $G$3, $H$3))),"")</f>
        <v/>
      </c>
      <c r="BE14" s="72" t="str">
        <f>IFERROR(IF(OR($B14="",BE$3=""),"",_xll.ciqfunctions.udf.CIQ($B14, "IQ_EBT", BE$3,$E$3, $J$3, , $G$3, $H$3)/(_xll.ciqfunctions.udf.CIQ($B14,"IQ_INT_INC_TOTAL",CC$3,$E$3, $J$3, , $G$3, $H$3)+_xll.ciqfunctions.udf.CIQ($B14,"IQ_NON_INT_INC",CC$3,$E$3, $J$3, , $G$3, $H$3))),"")</f>
        <v/>
      </c>
      <c r="BF14" s="72" t="str">
        <f>IFERROR(IF(OR($B14="",BF$3=""),"",_xll.ciqfunctions.udf.CIQ($B14, "IQ_EBT", BF$3,$E$3, $J$3, , $G$3, $H$3)/(_xll.ciqfunctions.udf.CIQ($B14,"IQ_INT_INC_TOTAL",CD$3,$E$3, $J$3, , $G$3, $H$3)+_xll.ciqfunctions.udf.CIQ($B14,"IQ_NON_INT_INC",CD$3,$E$3, $J$3, , $G$3, $H$3))),"")</f>
        <v/>
      </c>
      <c r="BG14" s="72" t="str">
        <f>IFERROR(IF(OR($B14="",BG$3=""),"",_xll.ciqfunctions.udf.CIQ($B14, "IQ_EBT", BG$3,$E$3, $J$3, , $G$3, $H$3)/(_xll.ciqfunctions.udf.CIQ($B14,"IQ_INT_INC_TOTAL",CE$3,$E$3, $J$3, , $G$3, $H$3)+_xll.ciqfunctions.udf.CIQ($B14,"IQ_NON_INT_INC",CE$3,$E$3, $J$3, , $G$3, $H$3))),"")</f>
        <v/>
      </c>
      <c r="BH14" s="72" t="str">
        <f>IFERROR(IF(OR($B14="",BH$3=""),"",_xll.ciqfunctions.udf.CIQ($B14, "IQ_EBT", BH$3,$E$3, $J$3, , $G$3, $H$3)/(_xll.ciqfunctions.udf.CIQ($B14,"IQ_INT_INC_TOTAL",CF$3,$E$3, $J$3, , $G$3, $H$3)+_xll.ciqfunctions.udf.CIQ($B14,"IQ_NON_INT_INC",CF$3,$E$3, $J$3, , $G$3, $H$3))),"")</f>
        <v/>
      </c>
      <c r="BI14" s="72" t="str">
        <f>IFERROR(IF(OR($B14="",BI$3=""),"",_xll.ciqfunctions.udf.CIQ($B14, "IQ_EBT", BI$3,$E$3, $J$3, , $G$3, $H$3)/(_xll.ciqfunctions.udf.CIQ($B14,"IQ_INT_INC_TOTAL",CG$3,$E$3, $J$3, , $G$3, $H$3)+_xll.ciqfunctions.udf.CIQ($B14,"IQ_NON_INT_INC",CG$3,$E$3, $J$3, , $G$3, $H$3))),"")</f>
        <v/>
      </c>
      <c r="BJ14" s="72" t="str">
        <f>IFERROR(IF(OR($B14="",BJ$3=""),"",_xll.ciqfunctions.udf.CIQ($B14, "IQ_EBT", BJ$3,$E$3, $J$3, , $G$3, $H$3)/(_xll.ciqfunctions.udf.CIQ($B14,"IQ_INT_INC_TOTAL",CH$3,$E$3, $J$3, , $G$3, $H$3)+_xll.ciqfunctions.udf.CIQ($B14,"IQ_NON_INT_INC",CH$3,$E$3, $J$3, , $G$3, $H$3))),"")</f>
        <v/>
      </c>
      <c r="BK14" s="72" t="str">
        <f>IFERROR(IF(OR($B14="",BK$3=""),"",_xll.ciqfunctions.udf.CIQ($B14, "IQ_EBT", BK$3,$E$3, $J$3, , $G$3, $H$3)/(_xll.ciqfunctions.udf.CIQ($B14,"IQ_INT_INC_TOTAL",CI$3,$E$3, $J$3, , $G$3, $H$3)+_xll.ciqfunctions.udf.CIQ($B14,"IQ_NON_INT_INC",CI$3,$E$3, $J$3, , $G$3, $H$3))),"")</f>
        <v/>
      </c>
      <c r="BL14" s="72" t="str">
        <f>IFERROR(IF(OR($B14="",BL$3=""),"",_xll.ciqfunctions.udf.CIQ($B14, "IQ_EBT", BL$3,$E$3, $J$3, , $G$3, $H$3)/(_xll.ciqfunctions.udf.CIQ($B14,"IQ_INT_INC_TOTAL",CJ$3,$E$3, $J$3, , $G$3, $H$3)+_xll.ciqfunctions.udf.CIQ($B14,"IQ_NON_INT_INC",CJ$3,$E$3, $J$3, , $G$3, $H$3))),"")</f>
        <v/>
      </c>
      <c r="BM14" s="72" t="str">
        <f>IFERROR(IF(OR($B14="",BM$3=""),"",_xll.ciqfunctions.udf.CIQ($B14, "IQ_EBT", BM$3,$E$3, $J$3, , $G$3, $H$3)/(_xll.ciqfunctions.udf.CIQ($B14,"IQ_INT_INC_TOTAL",CK$3,$E$3, $J$3, , $G$3, $H$3)+_xll.ciqfunctions.udf.CIQ($B14,"IQ_NON_INT_INC",CK$3,$E$3, $J$3, , $G$3, $H$3))),"")</f>
        <v/>
      </c>
      <c r="BN14" s="72" t="str">
        <f>IFERROR(IF(OR($B14="",BN$3=""),"",_xll.ciqfunctions.udf.CIQ($B14, "IQ_EBT", BN$3,$E$3, $J$3, , $G$3, $H$3)/(_xll.ciqfunctions.udf.CIQ($B14,"IQ_INT_INC_TOTAL",CL$3,$E$3, $J$3, , $G$3, $H$3)+_xll.ciqfunctions.udf.CIQ($B14,"IQ_NON_INT_INC",CL$3,$E$3, $J$3, , $G$3, $H$3))),"")</f>
        <v/>
      </c>
      <c r="BO14" s="72" t="str">
        <f>IFERROR(IF(OR($B14="",BO$3=""),"",_xll.ciqfunctions.udf.CIQ($B14, "IQ_EBT", BO$3,$E$3, $J$3, , $G$3, $H$3)/(_xll.ciqfunctions.udf.CIQ($B14,"IQ_INT_INC_TOTAL",CM$3,$E$3, $J$3, , $G$3, $H$3)+_xll.ciqfunctions.udf.CIQ($B14,"IQ_NON_INT_INC",CM$3,$E$3, $J$3, , $G$3, $H$3))),"")</f>
        <v/>
      </c>
      <c r="BP14" s="72" t="str">
        <f>IFERROR(IF(OR($B14="",BP$3=""),"",_xll.ciqfunctions.udf.CIQ($B14, "IQ_EBT", BP$3,$E$3, $J$3, , $G$3, $H$3)/(_xll.ciqfunctions.udf.CIQ($B14,"IQ_INT_INC_TOTAL",CN$3,$E$3, $J$3, , $G$3, $H$3)+_xll.ciqfunctions.udf.CIQ($B14,"IQ_NON_INT_INC",CN$3,$E$3, $J$3, , $G$3, $H$3))),"")</f>
        <v/>
      </c>
      <c r="BQ14" s="72" t="str">
        <f>IFERROR(IF(OR($B14="",BQ$3=""),"",_xll.ciqfunctions.udf.CIQ($B14, "IQ_EBT", BQ$3,$E$3, $J$3, , $G$3, $H$3)/(_xll.ciqfunctions.udf.CIQ($B14,"IQ_INT_INC_TOTAL",CO$3,$E$3, $J$3, , $G$3, $H$3)+_xll.ciqfunctions.udf.CIQ($B14,"IQ_NON_INT_INC",CO$3,$E$3, $J$3, , $G$3, $H$3))),"")</f>
        <v/>
      </c>
      <c r="BR14" s="72" t="str">
        <f>IFERROR(IF(OR($B14="",BR$3=""),"",_xll.ciqfunctions.udf.CIQ($B14, "IQ_EBT", BR$3,$E$3, $J$3, , $G$3, $H$3)/(_xll.ciqfunctions.udf.CIQ($B14,"IQ_INT_INC_TOTAL",CP$3,$E$3, $J$3, , $G$3, $H$3)+_xll.ciqfunctions.udf.CIQ($B14,"IQ_NON_INT_INC",CP$3,$E$3, $J$3, , $G$3, $H$3))),"")</f>
        <v/>
      </c>
      <c r="BS14" s="87" t="str">
        <f>IFERROR(IF(OR($B14="",BS$3=""),"",_xll.ciqfunctions.udf.CIQ($B14,"IQ_NI",BS$3,$E$3, $J$3, , $G$3, $H$3)/(_xll.ciqfunctions.udf.CIQ($B14,"IQ_INT_INC_TOTAL",BS$3,$E$3, $J$3, , $G$3, $H$3)+_xll.ciqfunctions.udf.CIQ($B14,"IQ_NON_INT_INC",BS$3,$E$3, $J$3, , $G$3, $H$3))),"")</f>
        <v/>
      </c>
      <c r="BT14" s="87" t="str">
        <f>IFERROR(IF(OR($B14="",BT$3=""),"",_xll.ciqfunctions.udf.CIQ($B14,"IQ_NI",BT$3,$E$3, $J$3, , $G$3, $H$3)/(_xll.ciqfunctions.udf.CIQ($B14,"IQ_INT_INC_TOTAL",BT$3,$E$3, $J$3, , $G$3, $H$3)+_xll.ciqfunctions.udf.CIQ($B14,"IQ_NON_INT_INC",BT$3,$E$3, $J$3, , $G$3, $H$3))),"")</f>
        <v/>
      </c>
      <c r="BU14" s="87" t="str">
        <f>IFERROR(IF(OR($B14="",BU$3=""),"",_xll.ciqfunctions.udf.CIQ($B14,"IQ_NI",BU$3,$E$3, $J$3, , $G$3, $H$3)/(_xll.ciqfunctions.udf.CIQ($B14,"IQ_INT_INC_TOTAL",BU$3,$E$3, $J$3, , $G$3, $H$3)+_xll.ciqfunctions.udf.CIQ($B14,"IQ_NON_INT_INC",BU$3,$E$3, $J$3, , $G$3, $H$3))),"")</f>
        <v/>
      </c>
      <c r="BV14" s="87" t="str">
        <f>IFERROR(IF(OR($B14="",BV$3=""),"",_xll.ciqfunctions.udf.CIQ($B14,"IQ_NI",BV$3,$E$3, $J$3, , $G$3, $H$3)/(_xll.ciqfunctions.udf.CIQ($B14,"IQ_INT_INC_TOTAL",BV$3,$E$3, $J$3, , $G$3, $H$3)+_xll.ciqfunctions.udf.CIQ($B14,"IQ_NON_INT_INC",BV$3,$E$3, $J$3, , $G$3, $H$3))),"")</f>
        <v/>
      </c>
      <c r="BW14" s="87" t="str">
        <f>IFERROR(IF(OR($B14="",BW$3=""),"",_xll.ciqfunctions.udf.CIQ($B14,"IQ_NI",BW$3,$E$3, $J$3, , $G$3, $H$3)/(_xll.ciqfunctions.udf.CIQ($B14,"IQ_INT_INC_TOTAL",BW$3,$E$3, $J$3, , $G$3, $H$3)+_xll.ciqfunctions.udf.CIQ($B14,"IQ_NON_INT_INC",BW$3,$E$3, $J$3, , $G$3, $H$3))),"")</f>
        <v/>
      </c>
      <c r="BX14" s="87" t="str">
        <f>IFERROR(IF(OR($B14="",BX$3=""),"",_xll.ciqfunctions.udf.CIQ($B14,"IQ_NI",BX$3,$E$3, $J$3, , $G$3, $H$3)/(_xll.ciqfunctions.udf.CIQ($B14,"IQ_INT_INC_TOTAL",BX$3,$E$3, $J$3, , $G$3, $H$3)+_xll.ciqfunctions.udf.CIQ($B14,"IQ_NON_INT_INC",BX$3,$E$3, $J$3, , $G$3, $H$3))),"")</f>
        <v/>
      </c>
      <c r="BY14" s="87" t="str">
        <f>IFERROR(IF(OR($B14="",BY$3=""),"",_xll.ciqfunctions.udf.CIQ($B14,"IQ_NI",BY$3,$E$3, $J$3, , $G$3, $H$3)/(_xll.ciqfunctions.udf.CIQ($B14,"IQ_INT_INC_TOTAL",BY$3,$E$3, $J$3, , $G$3, $H$3)+_xll.ciqfunctions.udf.CIQ($B14,"IQ_NON_INT_INC",BY$3,$E$3, $J$3, , $G$3, $H$3))),"")</f>
        <v/>
      </c>
      <c r="BZ14" s="87" t="str">
        <f>IFERROR(IF(OR($B14="",BZ$3=""),"",_xll.ciqfunctions.udf.CIQ($B14,"IQ_NI",BZ$3,$E$3, $J$3, , $G$3, $H$3)/(_xll.ciqfunctions.udf.CIQ($B14,"IQ_INT_INC_TOTAL",BZ$3,$E$3, $J$3, , $G$3, $H$3)+_xll.ciqfunctions.udf.CIQ($B14,"IQ_NON_INT_INC",BZ$3,$E$3, $J$3, , $G$3, $H$3))),"")</f>
        <v/>
      </c>
      <c r="CA14" s="87" t="str">
        <f>IFERROR(IF(OR($B14="",CA$3=""),"",_xll.ciqfunctions.udf.CIQ($B14,"IQ_NI",CA$3,$E$3, $J$3, , $G$3, $H$3)/(_xll.ciqfunctions.udf.CIQ($B14,"IQ_INT_INC_TOTAL",CA$3,$E$3, $J$3, , $G$3, $H$3)+_xll.ciqfunctions.udf.CIQ($B14,"IQ_NON_INT_INC",CA$3,$E$3, $J$3, , $G$3, $H$3))),"")</f>
        <v/>
      </c>
      <c r="CB14" s="87" t="str">
        <f>IFERROR(IF(OR($B14="",CB$3=""),"",_xll.ciqfunctions.udf.CIQ($B14,"IQ_NI",CB$3,$E$3, $J$3, , $G$3, $H$3)/(_xll.ciqfunctions.udf.CIQ($B14,"IQ_INT_INC_TOTAL",CB$3,$E$3, $J$3, , $G$3, $H$3)+_xll.ciqfunctions.udf.CIQ($B14,"IQ_NON_INT_INC",CB$3,$E$3, $J$3, , $G$3, $H$3))),"")</f>
        <v/>
      </c>
      <c r="CC14" s="87" t="str">
        <f>IFERROR(IF(OR($B14="",CC$3=""),"",_xll.ciqfunctions.udf.CIQ($B14,"IQ_NI",CC$3,$E$3, $J$3, , $G$3, $H$3)/(_xll.ciqfunctions.udf.CIQ($B14,"IQ_INT_INC_TOTAL",CC$3,$E$3, $J$3, , $G$3, $H$3)+_xll.ciqfunctions.udf.CIQ($B14,"IQ_NON_INT_INC",CC$3,$E$3, $J$3, , $G$3, $H$3))),"")</f>
        <v/>
      </c>
      <c r="CD14" s="87" t="str">
        <f>IFERROR(IF(OR($B14="",CD$3=""),"",_xll.ciqfunctions.udf.CIQ($B14,"IQ_NI",CD$3,$E$3, $J$3, , $G$3, $H$3)/(_xll.ciqfunctions.udf.CIQ($B14,"IQ_INT_INC_TOTAL",CD$3,$E$3, $J$3, , $G$3, $H$3)+_xll.ciqfunctions.udf.CIQ($B14,"IQ_NON_INT_INC",CD$3,$E$3, $J$3, , $G$3, $H$3))),"")</f>
        <v/>
      </c>
      <c r="CE14" s="87" t="str">
        <f>IFERROR(IF(OR($B14="",CE$3=""),"",_xll.ciqfunctions.udf.CIQ($B14,"IQ_NI",CE$3,$E$3, $J$3, , $G$3, $H$3)/(_xll.ciqfunctions.udf.CIQ($B14,"IQ_INT_INC_TOTAL",CE$3,$E$3, $J$3, , $G$3, $H$3)+_xll.ciqfunctions.udf.CIQ($B14,"IQ_NON_INT_INC",CE$3,$E$3, $J$3, , $G$3, $H$3))),"")</f>
        <v/>
      </c>
      <c r="CF14" s="87" t="str">
        <f>IFERROR(IF(OR($B14="",CF$3=""),"",_xll.ciqfunctions.udf.CIQ($B14,"IQ_NI",CF$3,$E$3, $J$3, , $G$3, $H$3)/(_xll.ciqfunctions.udf.CIQ($B14,"IQ_INT_INC_TOTAL",CF$3,$E$3, $J$3, , $G$3, $H$3)+_xll.ciqfunctions.udf.CIQ($B14,"IQ_NON_INT_INC",CF$3,$E$3, $J$3, , $G$3, $H$3))),"")</f>
        <v/>
      </c>
      <c r="CG14" s="87" t="str">
        <f>IFERROR(IF(OR($B14="",CG$3=""),"",_xll.ciqfunctions.udf.CIQ($B14,"IQ_NI",CG$3,$E$3, $J$3, , $G$3, $H$3)/(_xll.ciqfunctions.udf.CIQ($B14,"IQ_INT_INC_TOTAL",CG$3,$E$3, $J$3, , $G$3, $H$3)+_xll.ciqfunctions.udf.CIQ($B14,"IQ_NON_INT_INC",CG$3,$E$3, $J$3, , $G$3, $H$3))),"")</f>
        <v/>
      </c>
      <c r="CH14" s="87" t="str">
        <f>IFERROR(IF(OR($B14="",CH$3=""),"",_xll.ciqfunctions.udf.CIQ($B14,"IQ_NI",CH$3,$E$3, $J$3, , $G$3, $H$3)/(_xll.ciqfunctions.udf.CIQ($B14,"IQ_INT_INC_TOTAL",CH$3,$E$3, $J$3, , $G$3, $H$3)+_xll.ciqfunctions.udf.CIQ($B14,"IQ_NON_INT_INC",CH$3,$E$3, $J$3, , $G$3, $H$3))),"")</f>
        <v/>
      </c>
      <c r="CI14" s="87" t="str">
        <f>IFERROR(IF(OR($B14="",CI$3=""),"",_xll.ciqfunctions.udf.CIQ($B14,"IQ_NI",CI$3,$E$3, $J$3, , $G$3, $H$3)/(_xll.ciqfunctions.udf.CIQ($B14,"IQ_INT_INC_TOTAL",CI$3,$E$3, $J$3, , $G$3, $H$3)+_xll.ciqfunctions.udf.CIQ($B14,"IQ_NON_INT_INC",CI$3,$E$3, $J$3, , $G$3, $H$3))),"")</f>
        <v/>
      </c>
      <c r="CJ14" s="87" t="str">
        <f>IFERROR(IF(OR($B14="",CJ$3=""),"",_xll.ciqfunctions.udf.CIQ($B14,"IQ_NI",CJ$3,$E$3, $J$3, , $G$3, $H$3)/(_xll.ciqfunctions.udf.CIQ($B14,"IQ_INT_INC_TOTAL",CJ$3,$E$3, $J$3, , $G$3, $H$3)+_xll.ciqfunctions.udf.CIQ($B14,"IQ_NON_INT_INC",CJ$3,$E$3, $J$3, , $G$3, $H$3))),"")</f>
        <v/>
      </c>
      <c r="CK14" s="87" t="str">
        <f>IFERROR(IF(OR($B14="",CK$3=""),"",_xll.ciqfunctions.udf.CIQ($B14,"IQ_NI",CK$3,$E$3, $J$3, , $G$3, $H$3)/(_xll.ciqfunctions.udf.CIQ($B14,"IQ_INT_INC_TOTAL",CK$3,$E$3, $J$3, , $G$3, $H$3)+_xll.ciqfunctions.udf.CIQ($B14,"IQ_NON_INT_INC",CK$3,$E$3, $J$3, , $G$3, $H$3))),"")</f>
        <v/>
      </c>
      <c r="CL14" s="87" t="str">
        <f>IFERROR(IF(OR($B14="",CL$3=""),"",_xll.ciqfunctions.udf.CIQ($B14,"IQ_NI",CL$3,$E$3, $J$3, , $G$3, $H$3)/(_xll.ciqfunctions.udf.CIQ($B14,"IQ_INT_INC_TOTAL",CL$3,$E$3, $J$3, , $G$3, $H$3)+_xll.ciqfunctions.udf.CIQ($B14,"IQ_NON_INT_INC",CL$3,$E$3, $J$3, , $G$3, $H$3))),"")</f>
        <v/>
      </c>
      <c r="CM14" s="72" t="str">
        <f>IFERROR(IF(OR($B14="",CM$3=""),"",_xll.ciqfunctions.udf.CIQ($B14,"IQ_SGA_SUPPL",CM$3,$E$3, $J$3, , $G$3, $H$3)/(_xll.ciqfunctions.udf.CIQ($B14,"IQ_INT_INC_TOTAL",CM$3,$E$3, $J$3, , $G$3, $H$3)+_xll.ciqfunctions.udf.CIQ($B14,"IQ_NON_INT_INC",CM$3,$E$3, $J$3, , $G$3, $H$3))),"")</f>
        <v/>
      </c>
      <c r="CN14" s="72" t="str">
        <f>IFERROR(IF(OR($B14="",CN$3=""),"",_xll.ciqfunctions.udf.CIQ($B14,"IQ_SGA_SUPPL",CN$3,$E$3, $J$3, , $G$3, $H$3)/(_xll.ciqfunctions.udf.CIQ($B14,"IQ_INT_INC_TOTAL",CN$3,$E$3, $J$3, , $G$3, $H$3)+_xll.ciqfunctions.udf.CIQ($B14,"IQ_NON_INT_INC",CN$3,$E$3, $J$3, , $G$3, $H$3))),"")</f>
        <v/>
      </c>
      <c r="CO14" s="72" t="str">
        <f>IFERROR(IF(OR($B14="",CO$3=""),"",_xll.ciqfunctions.udf.CIQ($B14,"IQ_SGA_SUPPL",CO$3,$E$3, $J$3, , $G$3, $H$3)/(_xll.ciqfunctions.udf.CIQ($B14,"IQ_INT_INC_TOTAL",CO$3,$E$3, $J$3, , $G$3, $H$3)+_xll.ciqfunctions.udf.CIQ($B14,"IQ_NON_INT_INC",CO$3,$E$3, $J$3, , $G$3, $H$3))),"")</f>
        <v/>
      </c>
      <c r="CP14" s="72" t="str">
        <f>IFERROR(IF(OR($B14="",CP$3=""),"",_xll.ciqfunctions.udf.CIQ($B14,"IQ_SGA_SUPPL",CP$3,$E$3, $J$3, , $G$3, $H$3)/(_xll.ciqfunctions.udf.CIQ($B14,"IQ_INT_INC_TOTAL",CP$3,$E$3, $J$3, , $G$3, $H$3)+_xll.ciqfunctions.udf.CIQ($B14,"IQ_NON_INT_INC",CP$3,$E$3, $J$3, , $G$3, $H$3))),"")</f>
        <v/>
      </c>
      <c r="CQ14" s="72" t="str">
        <f>IFERROR(IF(OR($B14="",CQ$3=""),"",_xll.ciqfunctions.udf.CIQ($B14,"IQ_SGA_SUPPL",CQ$3,$E$3, $J$3, , $G$3, $H$3)/(_xll.ciqfunctions.udf.CIQ($B14,"IQ_INT_INC_TOTAL",CQ$3,$E$3, $J$3, , $G$3, $H$3)+_xll.ciqfunctions.udf.CIQ($B14,"IQ_NON_INT_INC",CQ$3,$E$3, $J$3, , $G$3, $H$3))),"")</f>
        <v/>
      </c>
      <c r="CR14" s="72" t="str">
        <f>IFERROR(IF(OR($B14="",CR$3=""),"",_xll.ciqfunctions.udf.CIQ($B14,"IQ_SGA_SUPPL",CR$3,$E$3, $J$3, , $G$3, $H$3)/(_xll.ciqfunctions.udf.CIQ($B14,"IQ_INT_INC_TOTAL",CR$3,$E$3, $J$3, , $G$3, $H$3)+_xll.ciqfunctions.udf.CIQ($B14,"IQ_NON_INT_INC",CR$3,$E$3, $J$3, , $G$3, $H$3))),"")</f>
        <v/>
      </c>
      <c r="CS14" s="72" t="str">
        <f>IFERROR(IF(OR($B14="",CS$3=""),"",_xll.ciqfunctions.udf.CIQ($B14,"IQ_SGA_SUPPL",CS$3,$E$3, $J$3, , $G$3, $H$3)/(_xll.ciqfunctions.udf.CIQ($B14,"IQ_INT_INC_TOTAL",CS$3,$E$3, $J$3, , $G$3, $H$3)+_xll.ciqfunctions.udf.CIQ($B14,"IQ_NON_INT_INC",CS$3,$E$3, $J$3, , $G$3, $H$3))),"")</f>
        <v/>
      </c>
      <c r="CT14" s="72" t="str">
        <f>IFERROR(IF(OR($B14="",CT$3=""),"",_xll.ciqfunctions.udf.CIQ($B14,"IQ_SGA_SUPPL",CT$3,$E$3, $J$3, , $G$3, $H$3)/(_xll.ciqfunctions.udf.CIQ($B14,"IQ_INT_INC_TOTAL",CT$3,$E$3, $J$3, , $G$3, $H$3)+_xll.ciqfunctions.udf.CIQ($B14,"IQ_NON_INT_INC",CT$3,$E$3, $J$3, , $G$3, $H$3))),"")</f>
        <v/>
      </c>
      <c r="CU14" s="72" t="str">
        <f>IFERROR(IF(OR($B14="",CU$3=""),"",_xll.ciqfunctions.udf.CIQ($B14,"IQ_SGA_SUPPL",CU$3,$E$3, $J$3, , $G$3, $H$3)/(_xll.ciqfunctions.udf.CIQ($B14,"IQ_INT_INC_TOTAL",CU$3,$E$3, $J$3, , $G$3, $H$3)+_xll.ciqfunctions.udf.CIQ($B14,"IQ_NON_INT_INC",CU$3,$E$3, $J$3, , $G$3, $H$3))),"")</f>
        <v/>
      </c>
      <c r="CV14" s="72" t="str">
        <f>IFERROR(IF(OR($B14="",CV$3=""),"",_xll.ciqfunctions.udf.CIQ($B14,"IQ_SGA_SUPPL",CV$3,$E$3, $J$3, , $G$3, $H$3)/(_xll.ciqfunctions.udf.CIQ($B14,"IQ_INT_INC_TOTAL",CV$3,$E$3, $J$3, , $G$3, $H$3)+_xll.ciqfunctions.udf.CIQ($B14,"IQ_NON_INT_INC",CV$3,$E$3, $J$3, , $G$3, $H$3))),"")</f>
        <v/>
      </c>
      <c r="CW14" s="72" t="str">
        <f>IFERROR(IF(OR($B14="",CW$3=""),"",_xll.ciqfunctions.udf.CIQ($B14,"IQ_SGA_SUPPL",CW$3,$E$3, $J$3, , $G$3, $H$3)/(_xll.ciqfunctions.udf.CIQ($B14,"IQ_INT_INC_TOTAL",CW$3,$E$3, $J$3, , $G$3, $H$3)+_xll.ciqfunctions.udf.CIQ($B14,"IQ_NON_INT_INC",CW$3,$E$3, $J$3, , $G$3, $H$3))),"")</f>
        <v/>
      </c>
      <c r="CX14" s="72" t="str">
        <f>IFERROR(IF(OR($B14="",CX$3=""),"",_xll.ciqfunctions.udf.CIQ($B14,"IQ_SGA_SUPPL",CX$3,$E$3, $J$3, , $G$3, $H$3)/(_xll.ciqfunctions.udf.CIQ($B14,"IQ_INT_INC_TOTAL",CX$3,$E$3, $J$3, , $G$3, $H$3)+_xll.ciqfunctions.udf.CIQ($B14,"IQ_NON_INT_INC",CX$3,$E$3, $J$3, , $G$3, $H$3))),"")</f>
        <v/>
      </c>
      <c r="CY14" s="72" t="str">
        <f>IFERROR(IF(OR($B14="",CY$3=""),"",_xll.ciqfunctions.udf.CIQ($B14,"IQ_SGA_SUPPL",CY$3,$E$3, $J$3, , $G$3, $H$3)/(_xll.ciqfunctions.udf.CIQ($B14,"IQ_INT_INC_TOTAL",CY$3,$E$3, $J$3, , $G$3, $H$3)+_xll.ciqfunctions.udf.CIQ($B14,"IQ_NON_INT_INC",CY$3,$E$3, $J$3, , $G$3, $H$3))),"")</f>
        <v/>
      </c>
      <c r="CZ14" s="72" t="str">
        <f>IFERROR(IF(OR($B14="",CZ$3=""),"",_xll.ciqfunctions.udf.CIQ($B14,"IQ_SGA_SUPPL",CZ$3,$E$3, $J$3, , $G$3, $H$3)/(_xll.ciqfunctions.udf.CIQ($B14,"IQ_INT_INC_TOTAL",CZ$3,$E$3, $J$3, , $G$3, $H$3)+_xll.ciqfunctions.udf.CIQ($B14,"IQ_NON_INT_INC",CZ$3,$E$3, $J$3, , $G$3, $H$3))),"")</f>
        <v/>
      </c>
      <c r="DA14" s="72" t="str">
        <f>IFERROR(IF(OR($B14="",DA$3=""),"",_xll.ciqfunctions.udf.CIQ($B14,"IQ_SGA_SUPPL",DA$3,$E$3, $J$3, , $G$3, $H$3)/(_xll.ciqfunctions.udf.CIQ($B14,"IQ_INT_INC_TOTAL",DA$3,$E$3, $J$3, , $G$3, $H$3)+_xll.ciqfunctions.udf.CIQ($B14,"IQ_NON_INT_INC",DA$3,$E$3, $J$3, , $G$3, $H$3))),"")</f>
        <v/>
      </c>
      <c r="DB14" s="72" t="str">
        <f>IFERROR(IF(OR($B14="",DB$3=""),"",_xll.ciqfunctions.udf.CIQ($B14,"IQ_SGA_SUPPL",DB$3,$E$3, $J$3, , $G$3, $H$3)/(_xll.ciqfunctions.udf.CIQ($B14,"IQ_INT_INC_TOTAL",DB$3,$E$3, $J$3, , $G$3, $H$3)+_xll.ciqfunctions.udf.CIQ($B14,"IQ_NON_INT_INC",DB$3,$E$3, $J$3, , $G$3, $H$3))),"")</f>
        <v/>
      </c>
      <c r="DC14" s="72" t="str">
        <f>IFERROR(IF(OR($B14="",DC$3=""),"",_xll.ciqfunctions.udf.CIQ($B14,"IQ_SGA_SUPPL",DC$3,$E$3, $J$3, , $G$3, $H$3)/(_xll.ciqfunctions.udf.CIQ($B14,"IQ_INT_INC_TOTAL",DC$3,$E$3, $J$3, , $G$3, $H$3)+_xll.ciqfunctions.udf.CIQ($B14,"IQ_NON_INT_INC",DC$3,$E$3, $J$3, , $G$3, $H$3))),"")</f>
        <v/>
      </c>
      <c r="DD14" s="72" t="str">
        <f>IFERROR(IF(OR($B14="",DD$3=""),"",_xll.ciqfunctions.udf.CIQ($B14,"IQ_SGA_SUPPL",DD$3,$E$3, $J$3, , $G$3, $H$3)/(_xll.ciqfunctions.udf.CIQ($B14,"IQ_INT_INC_TOTAL",DD$3,$E$3, $J$3, , $G$3, $H$3)+_xll.ciqfunctions.udf.CIQ($B14,"IQ_NON_INT_INC",DD$3,$E$3, $J$3, , $G$3, $H$3))),"")</f>
        <v/>
      </c>
      <c r="DE14" s="72" t="str">
        <f>IFERROR(IF(OR($B14="",DE$3=""),"",_xll.ciqfunctions.udf.CIQ($B14,"IQ_SGA_SUPPL",DE$3,$E$3, $J$3, , $G$3, $H$3)/(_xll.ciqfunctions.udf.CIQ($B14,"IQ_INT_INC_TOTAL",DE$3,$E$3, $J$3, , $G$3, $H$3)+_xll.ciqfunctions.udf.CIQ($B14,"IQ_NON_INT_INC",DE$3,$E$3, $J$3, , $G$3, $H$3))),"")</f>
        <v/>
      </c>
      <c r="DF14" s="72" t="str">
        <f>IFERROR(IF(OR($B14="",DF$3=""),"",_xll.ciqfunctions.udf.CIQ($B14,"IQ_SGA_SUPPL",DF$3,$E$3, $J$3, , $G$3, $H$3)/(_xll.ciqfunctions.udf.CIQ($B14,"IQ_INT_INC_TOTAL",DF$3,$E$3, $J$3, , $G$3, $H$3)+_xll.ciqfunctions.udf.CIQ($B14,"IQ_NON_INT_INC",DF$3,$E$3, $J$3, , $G$3, $H$3))),"")</f>
        <v/>
      </c>
      <c r="DG14" s="86" t="str">
        <f>IFERROR(IF(OR($B14="",DG$3=""),"",_xll.ciqfunctions.udf.CIQ($B14,"IQ_TIER_ONE_RATIO",DG$3,$E$3, $J$3, , $G$3, $H$3)/100),"")</f>
        <v/>
      </c>
      <c r="DH14" s="87" t="str">
        <f>IFERROR(IF(OR($B14="",DH$3=""),"",_xll.ciqfunctions.udf.CIQ($B14,"IQ_TIER_ONE_RATIO",DH$3,$E$3, $J$3, , $G$3, $H$3)/100),"")</f>
        <v/>
      </c>
      <c r="DI14" s="87" t="str">
        <f>IFERROR(IF(OR($B14="",DI$3=""),"",_xll.ciqfunctions.udf.CIQ($B14,"IQ_TIER_ONE_RATIO",DI$3,$E$3, $J$3, , $G$3, $H$3)/100),"")</f>
        <v/>
      </c>
      <c r="DJ14" s="87" t="str">
        <f>IFERROR(IF(OR($B14="",DJ$3=""),"",_xll.ciqfunctions.udf.CIQ($B14,"IQ_TIER_ONE_RATIO",DJ$3,$E$3, $J$3, , $G$3, $H$3)/100),"")</f>
        <v/>
      </c>
      <c r="DK14" s="87" t="str">
        <f>IFERROR(IF(OR($B14="",DK$3=""),"",_xll.ciqfunctions.udf.CIQ($B14,"IQ_TIER_ONE_RATIO",DK$3,$E$3, $J$3, , $G$3, $H$3)/100),"")</f>
        <v/>
      </c>
      <c r="DL14" s="87" t="str">
        <f>IFERROR(IF(OR($B14="",DL$3=""),"",_xll.ciqfunctions.udf.CIQ($B14,"IQ_TIER_ONE_RATIO",DL$3,$E$3, $J$3, , $G$3, $H$3)/100),"")</f>
        <v/>
      </c>
      <c r="DM14" s="87" t="str">
        <f>IFERROR(IF(OR($B14="",DM$3=""),"",_xll.ciqfunctions.udf.CIQ($B14,"IQ_TIER_ONE_RATIO",DM$3,$E$3, $J$3, , $G$3, $H$3)/100),"")</f>
        <v/>
      </c>
      <c r="DN14" s="87" t="str">
        <f>IFERROR(IF(OR($B14="",DN$3=""),"",_xll.ciqfunctions.udf.CIQ($B14,"IQ_TIER_ONE_RATIO",DN$3,$E$3, $J$3, , $G$3, $H$3)/100),"")</f>
        <v/>
      </c>
      <c r="DO14" s="87" t="str">
        <f>IFERROR(IF(OR($B14="",DO$3=""),"",_xll.ciqfunctions.udf.CIQ($B14,"IQ_TIER_ONE_RATIO",DO$3,$E$3, $J$3, , $G$3, $H$3)/100),"")</f>
        <v/>
      </c>
      <c r="DP14" s="87" t="str">
        <f>IFERROR(IF(OR($B14="",DP$3=""),"",_xll.ciqfunctions.udf.CIQ($B14,"IQ_TIER_ONE_RATIO",DP$3,$E$3, $J$3, , $G$3, $H$3)/100),"")</f>
        <v/>
      </c>
      <c r="DQ14" s="87" t="str">
        <f>IFERROR(IF(OR($B14="",DQ$3=""),"",_xll.ciqfunctions.udf.CIQ($B14,"IQ_TIER_ONE_RATIO",DQ$3,$E$3, $J$3, , $G$3, $H$3)/100),"")</f>
        <v/>
      </c>
      <c r="DR14" s="87" t="str">
        <f>IFERROR(IF(OR($B14="",DR$3=""),"",_xll.ciqfunctions.udf.CIQ($B14,"IQ_TIER_ONE_RATIO",DR$3,$E$3, $J$3, , $G$3, $H$3)/100),"")</f>
        <v/>
      </c>
      <c r="DS14" s="87" t="str">
        <f>IFERROR(IF(OR($B14="",DS$3=""),"",_xll.ciqfunctions.udf.CIQ($B14,"IQ_TIER_ONE_RATIO",DS$3,$E$3, $J$3, , $G$3, $H$3)/100),"")</f>
        <v/>
      </c>
      <c r="DT14" s="87" t="str">
        <f>IFERROR(IF(OR($B14="",DT$3=""),"",_xll.ciqfunctions.udf.CIQ($B14,"IQ_TIER_ONE_RATIO",DT$3,$E$3, $J$3, , $G$3, $H$3)/100),"")</f>
        <v/>
      </c>
      <c r="DU14" s="87" t="str">
        <f>IFERROR(IF(OR($B14="",DU$3=""),"",_xll.ciqfunctions.udf.CIQ($B14,"IQ_TIER_ONE_RATIO",DU$3,$E$3, $J$3, , $G$3, $H$3)/100),"")</f>
        <v/>
      </c>
      <c r="DV14" s="87" t="str">
        <f>IFERROR(IF(OR($B14="",DV$3=""),"",_xll.ciqfunctions.udf.CIQ($B14,"IQ_TIER_ONE_RATIO",DV$3,$E$3, $J$3, , $G$3, $H$3)/100),"")</f>
        <v/>
      </c>
      <c r="DW14" s="87" t="str">
        <f>IFERROR(IF(OR($B14="",DW$3=""),"",_xll.ciqfunctions.udf.CIQ($B14,"IQ_TIER_ONE_RATIO",DW$3,$E$3, $J$3, , $G$3, $H$3)/100),"")</f>
        <v/>
      </c>
      <c r="DX14" s="87" t="str">
        <f>IFERROR(IF(OR($B14="",DX$3=""),"",_xll.ciqfunctions.udf.CIQ($B14,"IQ_TIER_ONE_RATIO",DX$3,$E$3, $J$3, , $G$3, $H$3)/100),"")</f>
        <v/>
      </c>
      <c r="DY14" s="87" t="str">
        <f>IFERROR(IF(OR($B14="",DY$3=""),"",_xll.ciqfunctions.udf.CIQ($B14,"IQ_TIER_ONE_RATIO",DY$3,$E$3, $J$3, , $G$3, $H$3)/100),"")</f>
        <v/>
      </c>
      <c r="DZ14" s="88" t="str">
        <f>IFERROR(IF(OR($B14="",DZ$3=""),"",_xll.ciqfunctions.udf.CIQ($B14,"IQ_TIER_ONE_RATIO",DZ$3,$E$3, $J$3, , $G$3, $H$3)/100),"")</f>
        <v/>
      </c>
      <c r="EA14" s="86" t="str">
        <f>IFERROR(IF(OR($B14="",EA$3=""),"",_xll.ciqfunctions.udf.CIQ($B14,"IQ_TOTAL_CAPITAL_RATIO",EA$3,$E$3, $J$3, , $G$3, $H$3)/100),"")</f>
        <v/>
      </c>
      <c r="EB14" s="87" t="str">
        <f>IFERROR(IF(OR($B14="",EB$3=""),"",_xll.ciqfunctions.udf.CIQ($B14,"IQ_TOTAL_CAPITAL_RATIO",EB$3,$E$3, $J$3, , $G$3, $H$3)/100),"")</f>
        <v/>
      </c>
      <c r="EC14" s="87" t="str">
        <f>IFERROR(IF(OR($B14="",EC$3=""),"",_xll.ciqfunctions.udf.CIQ($B14,"IQ_TOTAL_CAPITAL_RATIO",EC$3,$E$3, $J$3, , $G$3, $H$3)/100),"")</f>
        <v/>
      </c>
      <c r="ED14" s="87" t="str">
        <f>IFERROR(IF(OR($B14="",ED$3=""),"",_xll.ciqfunctions.udf.CIQ($B14,"IQ_TOTAL_CAPITAL_RATIO",ED$3,$E$3, $J$3, , $G$3, $H$3)/100),"")</f>
        <v/>
      </c>
      <c r="EE14" s="87" t="str">
        <f>IFERROR(IF(OR($B14="",EE$3=""),"",_xll.ciqfunctions.udf.CIQ($B14,"IQ_TOTAL_CAPITAL_RATIO",EE$3,$E$3, $J$3, , $G$3, $H$3)/100),"")</f>
        <v/>
      </c>
      <c r="EF14" s="87" t="str">
        <f>IFERROR(IF(OR($B14="",EF$3=""),"",_xll.ciqfunctions.udf.CIQ($B14,"IQ_TOTAL_CAPITAL_RATIO",EF$3,$E$3, $J$3, , $G$3, $H$3)/100),"")</f>
        <v/>
      </c>
      <c r="EG14" s="87" t="str">
        <f>IFERROR(IF(OR($B14="",EG$3=""),"",_xll.ciqfunctions.udf.CIQ($B14,"IQ_TOTAL_CAPITAL_RATIO",EG$3,$E$3, $J$3, , $G$3, $H$3)/100),"")</f>
        <v/>
      </c>
      <c r="EH14" s="87" t="str">
        <f>IFERROR(IF(OR($B14="",EH$3=""),"",_xll.ciqfunctions.udf.CIQ($B14,"IQ_TOTAL_CAPITAL_RATIO",EH$3,$E$3, $J$3, , $G$3, $H$3)/100),"")</f>
        <v/>
      </c>
      <c r="EI14" s="87" t="str">
        <f>IFERROR(IF(OR($B14="",EI$3=""),"",_xll.ciqfunctions.udf.CIQ($B14,"IQ_TOTAL_CAPITAL_RATIO",EI$3,$E$3, $J$3, , $G$3, $H$3)/100),"")</f>
        <v/>
      </c>
      <c r="EJ14" s="87" t="str">
        <f>IFERROR(IF(OR($B14="",EJ$3=""),"",_xll.ciqfunctions.udf.CIQ($B14,"IQ_TOTAL_CAPITAL_RATIO",EJ$3,$E$3, $J$3, , $G$3, $H$3)/100),"")</f>
        <v/>
      </c>
      <c r="EK14" s="87" t="str">
        <f>IFERROR(IF(OR($B14="",EK$3=""),"",_xll.ciqfunctions.udf.CIQ($B14,"IQ_TOTAL_CAPITAL_RATIO",EK$3,$E$3, $J$3, , $G$3, $H$3)/100),"")</f>
        <v/>
      </c>
      <c r="EL14" s="87" t="str">
        <f>IFERROR(IF(OR($B14="",EL$3=""),"",_xll.ciqfunctions.udf.CIQ($B14,"IQ_TOTAL_CAPITAL_RATIO",EL$3,$E$3, $J$3, , $G$3, $H$3)/100),"")</f>
        <v/>
      </c>
      <c r="EM14" s="87" t="str">
        <f>IFERROR(IF(OR($B14="",EM$3=""),"",_xll.ciqfunctions.udf.CIQ($B14,"IQ_TOTAL_CAPITAL_RATIO",EM$3,$E$3, $J$3, , $G$3, $H$3)/100),"")</f>
        <v/>
      </c>
      <c r="EN14" s="87" t="str">
        <f>IFERROR(IF(OR($B14="",EN$3=""),"",_xll.ciqfunctions.udf.CIQ($B14,"IQ_TOTAL_CAPITAL_RATIO",EN$3,$E$3, $J$3, , $G$3, $H$3)/100),"")</f>
        <v/>
      </c>
      <c r="EO14" s="87" t="str">
        <f>IFERROR(IF(OR($B14="",EO$3=""),"",_xll.ciqfunctions.udf.CIQ($B14,"IQ_TOTAL_CAPITAL_RATIO",EO$3,$E$3, $J$3, , $G$3, $H$3)/100),"")</f>
        <v/>
      </c>
      <c r="EP14" s="87" t="str">
        <f>IFERROR(IF(OR($B14="",EP$3=""),"",_xll.ciqfunctions.udf.CIQ($B14,"IQ_TOTAL_CAPITAL_RATIO",EP$3,$E$3, $J$3, , $G$3, $H$3)/100),"")</f>
        <v/>
      </c>
      <c r="EQ14" s="87" t="str">
        <f>IFERROR(IF(OR($B14="",EQ$3=""),"",_xll.ciqfunctions.udf.CIQ($B14,"IQ_TOTAL_CAPITAL_RATIO",EQ$3,$E$3, $J$3, , $G$3, $H$3)/100),"")</f>
        <v/>
      </c>
      <c r="ER14" s="87" t="str">
        <f>IFERROR(IF(OR($B14="",ER$3=""),"",_xll.ciqfunctions.udf.CIQ($B14,"IQ_TOTAL_CAPITAL_RATIO",ER$3,$E$3, $J$3, , $G$3, $H$3)/100),"")</f>
        <v/>
      </c>
      <c r="ES14" s="87" t="str">
        <f>IFERROR(IF(OR($B14="",ES$3=""),"",_xll.ciqfunctions.udf.CIQ($B14,"IQ_TOTAL_CAPITAL_RATIO",ES$3,$E$3, $J$3, , $G$3, $H$3)/100),"")</f>
        <v/>
      </c>
      <c r="ET14" s="88" t="str">
        <f>IFERROR(IF(OR($B14="",ET$3=""),"",_xll.ciqfunctions.udf.CIQ($B14,"IQ_TOTAL_CAPITAL_RATIO",ET$3,$E$3, $J$3, , $G$3, $H$3)/100),"")</f>
        <v/>
      </c>
      <c r="EU14" s="86" t="str">
        <f>IFERROR(IF(OR($B14="",EU$3=""),"",_xll.ciqfunctions.udf.CIQ($B14,"IQ_GROSS_LOANS",EU$3,$E$3, $J$3, , $G$3, $H$3)/_xll.ciqfunctions.udf.CIQ($B14,"IQ_TOTAL_ASSETS",EU$3,$E$3, $J$3, , $G$3, $H$3)),"")</f>
        <v/>
      </c>
      <c r="EV14" s="87" t="str">
        <f>IFERROR(IF(OR($B14="",EV$3=""),"",_xll.ciqfunctions.udf.CIQ($B14,"IQ_GROSS_LOANS",EV$3,$E$3, $J$3, , $G$3, $H$3)/_xll.ciqfunctions.udf.CIQ($B14,"IQ_TOTAL_ASSETS",EV$3,$E$3, $J$3, , $G$3, $H$3)),"")</f>
        <v/>
      </c>
      <c r="EW14" s="87" t="str">
        <f>IFERROR(IF(OR($B14="",EW$3=""),"",_xll.ciqfunctions.udf.CIQ($B14,"IQ_GROSS_LOANS",EW$3,$E$3, $J$3, , $G$3, $H$3)/_xll.ciqfunctions.udf.CIQ($B14,"IQ_TOTAL_ASSETS",EW$3,$E$3, $J$3, , $G$3, $H$3)),"")</f>
        <v/>
      </c>
      <c r="EX14" s="87" t="str">
        <f>IFERROR(IF(OR($B14="",EX$3=""),"",_xll.ciqfunctions.udf.CIQ($B14,"IQ_GROSS_LOANS",EX$3,$E$3, $J$3, , $G$3, $H$3)/_xll.ciqfunctions.udf.CIQ($B14,"IQ_TOTAL_ASSETS",EX$3,$E$3, $J$3, , $G$3, $H$3)),"")</f>
        <v/>
      </c>
      <c r="EY14" s="87" t="str">
        <f>IFERROR(IF(OR($B14="",EY$3=""),"",_xll.ciqfunctions.udf.CIQ($B14,"IQ_GROSS_LOANS",EY$3,$E$3, $J$3, , $G$3, $H$3)/_xll.ciqfunctions.udf.CIQ($B14,"IQ_TOTAL_ASSETS",EY$3,$E$3, $J$3, , $G$3, $H$3)),"")</f>
        <v/>
      </c>
      <c r="EZ14" s="87" t="str">
        <f>IFERROR(IF(OR($B14="",EZ$3=""),"",_xll.ciqfunctions.udf.CIQ($B14,"IQ_GROSS_LOANS",EZ$3,$E$3, $J$3, , $G$3, $H$3)/_xll.ciqfunctions.udf.CIQ($B14,"IQ_TOTAL_ASSETS",EZ$3,$E$3, $J$3, , $G$3, $H$3)),"")</f>
        <v/>
      </c>
      <c r="FA14" s="87" t="str">
        <f>IFERROR(IF(OR($B14="",FA$3=""),"",_xll.ciqfunctions.udf.CIQ($B14,"IQ_GROSS_LOANS",FA$3,$E$3, $J$3, , $G$3, $H$3)/_xll.ciqfunctions.udf.CIQ($B14,"IQ_TOTAL_ASSETS",FA$3,$E$3, $J$3, , $G$3, $H$3)),"")</f>
        <v/>
      </c>
      <c r="FB14" s="87" t="str">
        <f>IFERROR(IF(OR($B14="",FB$3=""),"",_xll.ciqfunctions.udf.CIQ($B14,"IQ_GROSS_LOANS",FB$3,$E$3, $J$3, , $G$3, $H$3)/_xll.ciqfunctions.udf.CIQ($B14,"IQ_TOTAL_ASSETS",FB$3,$E$3, $J$3, , $G$3, $H$3)),"")</f>
        <v/>
      </c>
      <c r="FC14" s="87" t="str">
        <f>IFERROR(IF(OR($B14="",FC$3=""),"",_xll.ciqfunctions.udf.CIQ($B14,"IQ_GROSS_LOANS",FC$3,$E$3, $J$3, , $G$3, $H$3)/_xll.ciqfunctions.udf.CIQ($B14,"IQ_TOTAL_ASSETS",FC$3,$E$3, $J$3, , $G$3, $H$3)),"")</f>
        <v/>
      </c>
      <c r="FD14" s="87" t="str">
        <f>IFERROR(IF(OR($B14="",FD$3=""),"",_xll.ciqfunctions.udf.CIQ($B14,"IQ_GROSS_LOANS",FD$3,$E$3, $J$3, , $G$3, $H$3)/_xll.ciqfunctions.udf.CIQ($B14,"IQ_TOTAL_ASSETS",FD$3,$E$3, $J$3, , $G$3, $H$3)),"")</f>
        <v/>
      </c>
      <c r="FE14" s="87" t="str">
        <f>IFERROR(IF(OR($B14="",FE$3=""),"",_xll.ciqfunctions.udf.CIQ($B14,"IQ_GROSS_LOANS",FE$3,$E$3, $J$3, , $G$3, $H$3)/_xll.ciqfunctions.udf.CIQ($B14,"IQ_TOTAL_ASSETS",FE$3,$E$3, $J$3, , $G$3, $H$3)),"")</f>
        <v/>
      </c>
      <c r="FF14" s="87" t="str">
        <f>IFERROR(IF(OR($B14="",FF$3=""),"",_xll.ciqfunctions.udf.CIQ($B14,"IQ_GROSS_LOANS",FF$3,$E$3, $J$3, , $G$3, $H$3)/_xll.ciqfunctions.udf.CIQ($B14,"IQ_TOTAL_ASSETS",FF$3,$E$3, $J$3, , $G$3, $H$3)),"")</f>
        <v/>
      </c>
      <c r="FG14" s="87" t="str">
        <f>IFERROR(IF(OR($B14="",FG$3=""),"",_xll.ciqfunctions.udf.CIQ($B14,"IQ_GROSS_LOANS",FG$3,$E$3, $J$3, , $G$3, $H$3)/_xll.ciqfunctions.udf.CIQ($B14,"IQ_TOTAL_ASSETS",FG$3,$E$3, $J$3, , $G$3, $H$3)),"")</f>
        <v/>
      </c>
      <c r="FH14" s="87" t="str">
        <f>IFERROR(IF(OR($B14="",FH$3=""),"",_xll.ciqfunctions.udf.CIQ($B14,"IQ_GROSS_LOANS",FH$3,$E$3, $J$3, , $G$3, $H$3)/_xll.ciqfunctions.udf.CIQ($B14,"IQ_TOTAL_ASSETS",FH$3,$E$3, $J$3, , $G$3, $H$3)),"")</f>
        <v/>
      </c>
      <c r="FI14" s="87" t="str">
        <f>IFERROR(IF(OR($B14="",FI$3=""),"",_xll.ciqfunctions.udf.CIQ($B14,"IQ_GROSS_LOANS",FI$3,$E$3, $J$3, , $G$3, $H$3)/_xll.ciqfunctions.udf.CIQ($B14,"IQ_TOTAL_ASSETS",FI$3,$E$3, $J$3, , $G$3, $H$3)),"")</f>
        <v/>
      </c>
      <c r="FJ14" s="87" t="str">
        <f>IFERROR(IF(OR($B14="",FJ$3=""),"",_xll.ciqfunctions.udf.CIQ($B14,"IQ_GROSS_LOANS",FJ$3,$E$3, $J$3, , $G$3, $H$3)/_xll.ciqfunctions.udf.CIQ($B14,"IQ_TOTAL_ASSETS",FJ$3,$E$3, $J$3, , $G$3, $H$3)),"")</f>
        <v/>
      </c>
      <c r="FK14" s="87" t="str">
        <f>IFERROR(IF(OR($B14="",FK$3=""),"",_xll.ciqfunctions.udf.CIQ($B14,"IQ_GROSS_LOANS",FK$3,$E$3, $J$3, , $G$3, $H$3)/_xll.ciqfunctions.udf.CIQ($B14,"IQ_TOTAL_ASSETS",FK$3,$E$3, $J$3, , $G$3, $H$3)),"")</f>
        <v/>
      </c>
      <c r="FL14" s="87" t="str">
        <f>IFERROR(IF(OR($B14="",FL$3=""),"",_xll.ciqfunctions.udf.CIQ($B14,"IQ_GROSS_LOANS",FL$3,$E$3, $J$3, , $G$3, $H$3)/_xll.ciqfunctions.udf.CIQ($B14,"IQ_TOTAL_ASSETS",FL$3,$E$3, $J$3, , $G$3, $H$3)),"")</f>
        <v/>
      </c>
      <c r="FM14" s="87" t="str">
        <f>IFERROR(IF(OR($B14="",FM$3=""),"",_xll.ciqfunctions.udf.CIQ($B14,"IQ_GROSS_LOANS",FM$3,$E$3, $J$3, , $G$3, $H$3)/_xll.ciqfunctions.udf.CIQ($B14,"IQ_TOTAL_ASSETS",FM$3,$E$3, $J$3, , $G$3, $H$3)),"")</f>
        <v/>
      </c>
      <c r="FN14" s="88" t="str">
        <f>IFERROR(IF(OR($B14="",FN$3=""),"",_xll.ciqfunctions.udf.CIQ($B14,"IQ_GROSS_LOANS",FN$3,$E$3, $J$3, , $G$3, $H$3)/_xll.ciqfunctions.udf.CIQ($B14,"IQ_TOTAL_ASSETS",FN$3,$E$3, $J$3, , $G$3, $H$3)),"")</f>
        <v/>
      </c>
      <c r="FO14" s="86" t="str">
        <f>IFERROR(IF(OR($B14="",FO$3=""),"",_xll.ciqfunctions.udf.CIQ($B14,"IQ_NON_PERFORMING_LOANS",FO$3,$E$3, $J$3, , $G$3, $H$3)/_xll.ciqfunctions.udf.CIQ($B14,"IQ_TOTAL_LOANS",FO$3,$E$3, $J$3, , $G$3, $H$3)),"")</f>
        <v/>
      </c>
      <c r="FP14" s="87" t="str">
        <f>IFERROR(IF(OR($B14="",FP$3=""),"",_xll.ciqfunctions.udf.CIQ($B14,"IQ_NON_PERFORMING_LOANS",FP$3,$E$3, $J$3, , $G$3, $H$3)/_xll.ciqfunctions.udf.CIQ($B14,"IQ_TOTAL_LOANS",FP$3,$E$3, $J$3, , $G$3, $H$3)),"")</f>
        <v/>
      </c>
      <c r="FQ14" s="87" t="str">
        <f>IFERROR(IF(OR($B14="",FQ$3=""),"",_xll.ciqfunctions.udf.CIQ($B14,"IQ_NON_PERFORMING_LOANS",FQ$3,$E$3, $J$3, , $G$3, $H$3)/_xll.ciqfunctions.udf.CIQ($B14,"IQ_TOTAL_LOANS",FQ$3,$E$3, $J$3, , $G$3, $H$3)),"")</f>
        <v/>
      </c>
      <c r="FR14" s="87" t="str">
        <f>IFERROR(IF(OR($B14="",FR$3=""),"",_xll.ciqfunctions.udf.CIQ($B14,"IQ_NON_PERFORMING_LOANS",FR$3,$E$3, $J$3, , $G$3, $H$3)/_xll.ciqfunctions.udf.CIQ($B14,"IQ_TOTAL_LOANS",FR$3,$E$3, $J$3, , $G$3, $H$3)),"")</f>
        <v/>
      </c>
      <c r="FS14" s="87" t="str">
        <f>IFERROR(IF(OR($B14="",FS$3=""),"",_xll.ciqfunctions.udf.CIQ($B14,"IQ_NON_PERFORMING_LOANS",FS$3,$E$3, $J$3, , $G$3, $H$3)/_xll.ciqfunctions.udf.CIQ($B14,"IQ_TOTAL_LOANS",FS$3,$E$3, $J$3, , $G$3, $H$3)),"")</f>
        <v/>
      </c>
      <c r="FT14" s="87" t="str">
        <f>IFERROR(IF(OR($B14="",FT$3=""),"",_xll.ciqfunctions.udf.CIQ($B14,"IQ_NON_PERFORMING_LOANS",FT$3,$E$3, $J$3, , $G$3, $H$3)/_xll.ciqfunctions.udf.CIQ($B14,"IQ_TOTAL_LOANS",FT$3,$E$3, $J$3, , $G$3, $H$3)),"")</f>
        <v/>
      </c>
      <c r="FU14" s="87" t="str">
        <f>IFERROR(IF(OR($B14="",FU$3=""),"",_xll.ciqfunctions.udf.CIQ($B14,"IQ_NON_PERFORMING_LOANS",FU$3,$E$3, $J$3, , $G$3, $H$3)/_xll.ciqfunctions.udf.CIQ($B14,"IQ_TOTAL_LOANS",FU$3,$E$3, $J$3, , $G$3, $H$3)),"")</f>
        <v/>
      </c>
      <c r="FV14" s="87" t="str">
        <f>IFERROR(IF(OR($B14="",FV$3=""),"",_xll.ciqfunctions.udf.CIQ($B14,"IQ_NON_PERFORMING_LOANS",FV$3,$E$3, $J$3, , $G$3, $H$3)/_xll.ciqfunctions.udf.CIQ($B14,"IQ_TOTAL_LOANS",FV$3,$E$3, $J$3, , $G$3, $H$3)),"")</f>
        <v/>
      </c>
      <c r="FW14" s="87" t="str">
        <f>IFERROR(IF(OR($B14="",FW$3=""),"",_xll.ciqfunctions.udf.CIQ($B14,"IQ_NON_PERFORMING_LOANS",FW$3,$E$3, $J$3, , $G$3, $H$3)/_xll.ciqfunctions.udf.CIQ($B14,"IQ_TOTAL_LOANS",FW$3,$E$3, $J$3, , $G$3, $H$3)),"")</f>
        <v/>
      </c>
      <c r="FX14" s="87" t="str">
        <f>IFERROR(IF(OR($B14="",FX$3=""),"",_xll.ciqfunctions.udf.CIQ($B14,"IQ_NON_PERFORMING_LOANS",FX$3,$E$3, $J$3, , $G$3, $H$3)/_xll.ciqfunctions.udf.CIQ($B14,"IQ_TOTAL_LOANS",FX$3,$E$3, $J$3, , $G$3, $H$3)),"")</f>
        <v/>
      </c>
      <c r="FY14" s="87" t="str">
        <f>IFERROR(IF(OR($B14="",FY$3=""),"",_xll.ciqfunctions.udf.CIQ($B14,"IQ_NON_PERFORMING_LOANS",FY$3,$E$3, $J$3, , $G$3, $H$3)/_xll.ciqfunctions.udf.CIQ($B14,"IQ_TOTAL_LOANS",FY$3,$E$3, $J$3, , $G$3, $H$3)),"")</f>
        <v/>
      </c>
      <c r="FZ14" s="87" t="str">
        <f>IFERROR(IF(OR($B14="",FZ$3=""),"",_xll.ciqfunctions.udf.CIQ($B14,"IQ_NON_PERFORMING_LOANS",FZ$3,$E$3, $J$3, , $G$3, $H$3)/_xll.ciqfunctions.udf.CIQ($B14,"IQ_TOTAL_LOANS",FZ$3,$E$3, $J$3, , $G$3, $H$3)),"")</f>
        <v/>
      </c>
      <c r="GA14" s="87" t="str">
        <f>IFERROR(IF(OR($B14="",GA$3=""),"",_xll.ciqfunctions.udf.CIQ($B14,"IQ_NON_PERFORMING_LOANS",GA$3,$E$3, $J$3, , $G$3, $H$3)/_xll.ciqfunctions.udf.CIQ($B14,"IQ_TOTAL_LOANS",GA$3,$E$3, $J$3, , $G$3, $H$3)),"")</f>
        <v/>
      </c>
      <c r="GB14" s="87" t="str">
        <f>IFERROR(IF(OR($B14="",GB$3=""),"",_xll.ciqfunctions.udf.CIQ($B14,"IQ_NON_PERFORMING_LOANS",GB$3,$E$3, $J$3, , $G$3, $H$3)/_xll.ciqfunctions.udf.CIQ($B14,"IQ_TOTAL_LOANS",GB$3,$E$3, $J$3, , $G$3, $H$3)),"")</f>
        <v/>
      </c>
      <c r="GC14" s="87" t="str">
        <f>IFERROR(IF(OR($B14="",GC$3=""),"",_xll.ciqfunctions.udf.CIQ($B14,"IQ_NON_PERFORMING_LOANS",GC$3,$E$3, $J$3, , $G$3, $H$3)/_xll.ciqfunctions.udf.CIQ($B14,"IQ_TOTAL_LOANS",GC$3,$E$3, $J$3, , $G$3, $H$3)),"")</f>
        <v/>
      </c>
      <c r="GD14" s="87" t="str">
        <f>IFERROR(IF(OR($B14="",GD$3=""),"",_xll.ciqfunctions.udf.CIQ($B14,"IQ_NON_PERFORMING_LOANS",GD$3,$E$3, $J$3, , $G$3, $H$3)/_xll.ciqfunctions.udf.CIQ($B14,"IQ_TOTAL_LOANS",GD$3,$E$3, $J$3, , $G$3, $H$3)),"")</f>
        <v/>
      </c>
      <c r="GE14" s="87" t="str">
        <f>IFERROR(IF(OR($B14="",GE$3=""),"",_xll.ciqfunctions.udf.CIQ($B14,"IQ_NON_PERFORMING_LOANS",GE$3,$E$3, $J$3, , $G$3, $H$3)/_xll.ciqfunctions.udf.CIQ($B14,"IQ_TOTAL_LOANS",GE$3,$E$3, $J$3, , $G$3, $H$3)),"")</f>
        <v/>
      </c>
      <c r="GF14" s="87" t="str">
        <f>IFERROR(IF(OR($B14="",GF$3=""),"",_xll.ciqfunctions.udf.CIQ($B14,"IQ_NON_PERFORMING_LOANS",GF$3,$E$3, $J$3, , $G$3, $H$3)/_xll.ciqfunctions.udf.CIQ($B14,"IQ_TOTAL_LOANS",GF$3,$E$3, $J$3, , $G$3, $H$3)),"")</f>
        <v/>
      </c>
      <c r="GG14" s="87" t="str">
        <f>IFERROR(IF(OR($B14="",GG$3=""),"",_xll.ciqfunctions.udf.CIQ($B14,"IQ_NON_PERFORMING_LOANS",GG$3,$E$3, $J$3, , $G$3, $H$3)/_xll.ciqfunctions.udf.CIQ($B14,"IQ_TOTAL_LOANS",GG$3,$E$3, $J$3, , $G$3, $H$3)),"")</f>
        <v/>
      </c>
      <c r="GH14" s="88" t="str">
        <f>IFERROR(IF(OR($B14="",GH$3=""),"",_xll.ciqfunctions.udf.CIQ($B14,"IQ_NON_PERFORMING_LOANS",GH$3,$E$3, $J$3, , $G$3, $H$3)/_xll.ciqfunctions.udf.CIQ($B14,"IQ_TOTAL_LOANS",GH$3,$E$3, $J$3, , $G$3, $H$3)),"")</f>
        <v/>
      </c>
      <c r="GI14" s="86" t="str">
        <f>IFERROR(IF(OR($B14="",GI$3=""),"",_xll.ciqfunctions.udf.CIQ($B14,"IQ_NON_PERFORMING_ASSETS",GI$3,$E$3, $J$3, , $G$3, $H$3)/_xll.ciqfunctions.udf.CIQ($B14,"IQ_TOTAL_ASSETS",GI$3,$E$3, $J$3, , $G$3, $H$3)),"")</f>
        <v/>
      </c>
      <c r="GJ14" s="87" t="str">
        <f>IFERROR(IF(OR($B14="",GJ$3=""),"",_xll.ciqfunctions.udf.CIQ($B14,"IQ_NON_PERFORMING_ASSETS",GJ$3,$E$3, $J$3, , $G$3, $H$3)/_xll.ciqfunctions.udf.CIQ($B14,"IQ_TOTAL_ASSETS",GJ$3,$E$3, $J$3, , $G$3, $H$3)),"")</f>
        <v/>
      </c>
      <c r="GK14" s="87" t="str">
        <f>IFERROR(IF(OR($B14="",GK$3=""),"",_xll.ciqfunctions.udf.CIQ($B14,"IQ_NON_PERFORMING_ASSETS",GK$3,$E$3, $J$3, , $G$3, $H$3)/_xll.ciqfunctions.udf.CIQ($B14,"IQ_TOTAL_ASSETS",GK$3,$E$3, $J$3, , $G$3, $H$3)),"")</f>
        <v/>
      </c>
      <c r="GL14" s="87" t="str">
        <f>IFERROR(IF(OR($B14="",GL$3=""),"",_xll.ciqfunctions.udf.CIQ($B14,"IQ_NON_PERFORMING_ASSETS",GL$3,$E$3, $J$3, , $G$3, $H$3)/_xll.ciqfunctions.udf.CIQ($B14,"IQ_TOTAL_ASSETS",GL$3,$E$3, $J$3, , $G$3, $H$3)),"")</f>
        <v/>
      </c>
      <c r="GM14" s="87" t="str">
        <f>IFERROR(IF(OR($B14="",GM$3=""),"",_xll.ciqfunctions.udf.CIQ($B14,"IQ_NON_PERFORMING_ASSETS",GM$3,$E$3, $J$3, , $G$3, $H$3)/_xll.ciqfunctions.udf.CIQ($B14,"IQ_TOTAL_ASSETS",GM$3,$E$3, $J$3, , $G$3, $H$3)),"")</f>
        <v/>
      </c>
      <c r="GN14" s="87" t="str">
        <f>IFERROR(IF(OR($B14="",GN$3=""),"",_xll.ciqfunctions.udf.CIQ($B14,"IQ_NON_PERFORMING_ASSETS",GN$3,$E$3, $J$3, , $G$3, $H$3)/_xll.ciqfunctions.udf.CIQ($B14,"IQ_TOTAL_ASSETS",GN$3,$E$3, $J$3, , $G$3, $H$3)),"")</f>
        <v/>
      </c>
      <c r="GO14" s="87" t="str">
        <f>IFERROR(IF(OR($B14="",GO$3=""),"",_xll.ciqfunctions.udf.CIQ($B14,"IQ_NON_PERFORMING_ASSETS",GO$3,$E$3, $J$3, , $G$3, $H$3)/_xll.ciqfunctions.udf.CIQ($B14,"IQ_TOTAL_ASSETS",GO$3,$E$3, $J$3, , $G$3, $H$3)),"")</f>
        <v/>
      </c>
      <c r="GP14" s="87" t="str">
        <f>IFERROR(IF(OR($B14="",GP$3=""),"",_xll.ciqfunctions.udf.CIQ($B14,"IQ_NON_PERFORMING_ASSETS",GP$3,$E$3, $J$3, , $G$3, $H$3)/_xll.ciqfunctions.udf.CIQ($B14,"IQ_TOTAL_ASSETS",GP$3,$E$3, $J$3, , $G$3, $H$3)),"")</f>
        <v/>
      </c>
      <c r="GQ14" s="87" t="str">
        <f>IFERROR(IF(OR($B14="",GQ$3=""),"",_xll.ciqfunctions.udf.CIQ($B14,"IQ_NON_PERFORMING_ASSETS",GQ$3,$E$3, $J$3, , $G$3, $H$3)/_xll.ciqfunctions.udf.CIQ($B14,"IQ_TOTAL_ASSETS",GQ$3,$E$3, $J$3, , $G$3, $H$3)),"")</f>
        <v/>
      </c>
      <c r="GR14" s="87" t="str">
        <f>IFERROR(IF(OR($B14="",GR$3=""),"",_xll.ciqfunctions.udf.CIQ($B14,"IQ_NON_PERFORMING_ASSETS",GR$3,$E$3, $J$3, , $G$3, $H$3)/_xll.ciqfunctions.udf.CIQ($B14,"IQ_TOTAL_ASSETS",GR$3,$E$3, $J$3, , $G$3, $H$3)),"")</f>
        <v/>
      </c>
      <c r="GS14" s="87" t="str">
        <f>IFERROR(IF(OR($B14="",GS$3=""),"",_xll.ciqfunctions.udf.CIQ($B14,"IQ_NON_PERFORMING_ASSETS",GS$3,$E$3, $J$3, , $G$3, $H$3)/_xll.ciqfunctions.udf.CIQ($B14,"IQ_TOTAL_ASSETS",GS$3,$E$3, $J$3, , $G$3, $H$3)),"")</f>
        <v/>
      </c>
      <c r="GT14" s="87" t="str">
        <f>IFERROR(IF(OR($B14="",GT$3=""),"",_xll.ciqfunctions.udf.CIQ($B14,"IQ_NON_PERFORMING_ASSETS",GT$3,$E$3, $J$3, , $G$3, $H$3)/_xll.ciqfunctions.udf.CIQ($B14,"IQ_TOTAL_ASSETS",GT$3,$E$3, $J$3, , $G$3, $H$3)),"")</f>
        <v/>
      </c>
      <c r="GU14" s="87" t="str">
        <f>IFERROR(IF(OR($B14="",GU$3=""),"",_xll.ciqfunctions.udf.CIQ($B14,"IQ_NON_PERFORMING_ASSETS",GU$3,$E$3, $J$3, , $G$3, $H$3)/_xll.ciqfunctions.udf.CIQ($B14,"IQ_TOTAL_ASSETS",GU$3,$E$3, $J$3, , $G$3, $H$3)),"")</f>
        <v/>
      </c>
      <c r="GV14" s="87" t="str">
        <f>IFERROR(IF(OR($B14="",GV$3=""),"",_xll.ciqfunctions.udf.CIQ($B14,"IQ_NON_PERFORMING_ASSETS",GV$3,$E$3, $J$3, , $G$3, $H$3)/_xll.ciqfunctions.udf.CIQ($B14,"IQ_TOTAL_ASSETS",GV$3,$E$3, $J$3, , $G$3, $H$3)),"")</f>
        <v/>
      </c>
      <c r="GW14" s="87" t="str">
        <f>IFERROR(IF(OR($B14="",GW$3=""),"",_xll.ciqfunctions.udf.CIQ($B14,"IQ_NON_PERFORMING_ASSETS",GW$3,$E$3, $J$3, , $G$3, $H$3)/_xll.ciqfunctions.udf.CIQ($B14,"IQ_TOTAL_ASSETS",GW$3,$E$3, $J$3, , $G$3, $H$3)),"")</f>
        <v/>
      </c>
      <c r="GX14" s="87" t="str">
        <f>IFERROR(IF(OR($B14="",GX$3=""),"",_xll.ciqfunctions.udf.CIQ($B14,"IQ_NON_PERFORMING_ASSETS",GX$3,$E$3, $J$3, , $G$3, $H$3)/_xll.ciqfunctions.udf.CIQ($B14,"IQ_TOTAL_ASSETS",GX$3,$E$3, $J$3, , $G$3, $H$3)),"")</f>
        <v/>
      </c>
      <c r="GY14" s="87" t="str">
        <f>IFERROR(IF(OR($B14="",GY$3=""),"",_xll.ciqfunctions.udf.CIQ($B14,"IQ_NON_PERFORMING_ASSETS",GY$3,$E$3, $J$3, , $G$3, $H$3)/_xll.ciqfunctions.udf.CIQ($B14,"IQ_TOTAL_ASSETS",GY$3,$E$3, $J$3, , $G$3, $H$3)),"")</f>
        <v/>
      </c>
      <c r="GZ14" s="87" t="str">
        <f>IFERROR(IF(OR($B14="",GZ$3=""),"",_xll.ciqfunctions.udf.CIQ($B14,"IQ_NON_PERFORMING_ASSETS",GZ$3,$E$3, $J$3, , $G$3, $H$3)/_xll.ciqfunctions.udf.CIQ($B14,"IQ_TOTAL_ASSETS",GZ$3,$E$3, $J$3, , $G$3, $H$3)),"")</f>
        <v/>
      </c>
      <c r="HA14" s="87" t="str">
        <f>IFERROR(IF(OR($B14="",HA$3=""),"",_xll.ciqfunctions.udf.CIQ($B14,"IQ_NON_PERFORMING_ASSETS",HA$3,$E$3, $J$3, , $G$3, $H$3)/_xll.ciqfunctions.udf.CIQ($B14,"IQ_TOTAL_ASSETS",HA$3,$E$3, $J$3, , $G$3, $H$3)),"")</f>
        <v/>
      </c>
      <c r="HB14" s="88" t="str">
        <f>IFERROR(IF(OR($B14="",HB$3=""),"",_xll.ciqfunctions.udf.CIQ($B14,"IQ_NON_PERFORMING_ASSETS",HB$3,$E$3, $J$3, , $G$3, $H$3)/_xll.ciqfunctions.udf.CIQ($B14,"IQ_TOTAL_ASSETS",HB$3,$E$3, $J$3, , $G$3, $H$3)),"")</f>
        <v/>
      </c>
      <c r="HC14" s="86" t="str">
        <f>IFERROR(IF(OR($B14="",HC$3=""),"",_xll.ciqfunctions.udf.CIQ($B14, "IQ_NI", $I$3, HC$3,$J$3, ,$G$3,$H$3)*2/(_xll.ciqfunctions.udf.CIQ($B14,"IQ_TOTAL_ASSETS",HC$3,$E$3, $J$3, , $G$3, $H$3)+_xll.ciqfunctions.udf.CIQ($B14,"IQ_TOTAL_ASSETS","IQ_" &amp; LEFT(HC$3,2) &amp; "-1",HC$3, $J$3, , $G$3, $H$3))),"")</f>
        <v/>
      </c>
      <c r="HD14" s="87" t="str">
        <f>IFERROR(IF(OR($B14="",HD$3=""),"",_xll.ciqfunctions.udf.CIQ($B14, "IQ_NI", $I$3, HD$3,$J$3, ,$G$3,$H$3)*2/(_xll.ciqfunctions.udf.CIQ($B14,"IQ_TOTAL_ASSETS",HD$3,$E$3, $J$3, , $G$3, $H$3)+_xll.ciqfunctions.udf.CIQ($B14,"IQ_TOTAL_ASSETS","IQ_" &amp; LEFT(HD$3,2) &amp; "-1",HD$3, $J$3, , $G$3, $H$3))),"")</f>
        <v/>
      </c>
      <c r="HE14" s="87" t="str">
        <f>IFERROR(IF(OR($B14="",HE$3=""),"",_xll.ciqfunctions.udf.CIQ($B14, "IQ_NI", $I$3, HE$3,$J$3, ,$G$3,$H$3)*2/(_xll.ciqfunctions.udf.CIQ($B14,"IQ_TOTAL_ASSETS",HE$3,$E$3, $J$3, , $G$3, $H$3)+_xll.ciqfunctions.udf.CIQ($B14,"IQ_TOTAL_ASSETS","IQ_" &amp; LEFT(HE$3,2) &amp; "-1",HE$3, $J$3, , $G$3, $H$3))),"")</f>
        <v/>
      </c>
      <c r="HF14" s="87" t="str">
        <f>IFERROR(IF(OR($B14="",HF$3=""),"",_xll.ciqfunctions.udf.CIQ($B14, "IQ_NI", $I$3, HF$3,$J$3, ,$G$3,$H$3)*2/(_xll.ciqfunctions.udf.CIQ($B14,"IQ_TOTAL_ASSETS",HF$3,$E$3, $J$3, , $G$3, $H$3)+_xll.ciqfunctions.udf.CIQ($B14,"IQ_TOTAL_ASSETS","IQ_" &amp; LEFT(HF$3,2) &amp; "-1",HF$3, $J$3, , $G$3, $H$3))),"")</f>
        <v/>
      </c>
      <c r="HG14" s="87" t="str">
        <f>IFERROR(IF(OR($B14="",HG$3=""),"",_xll.ciqfunctions.udf.CIQ($B14, "IQ_NI", $I$3, HG$3,$J$3, ,$G$3,$H$3)*2/(_xll.ciqfunctions.udf.CIQ($B14,"IQ_TOTAL_ASSETS",HG$3,$E$3, $J$3, , $G$3, $H$3)+_xll.ciqfunctions.udf.CIQ($B14,"IQ_TOTAL_ASSETS","IQ_" &amp; LEFT(HG$3,2) &amp; "-1",HG$3, $J$3, , $G$3, $H$3))),"")</f>
        <v/>
      </c>
      <c r="HH14" s="87" t="str">
        <f>IFERROR(IF(OR($B14="",HH$3=""),"",_xll.ciqfunctions.udf.CIQ($B14, "IQ_NI", $I$3, HH$3,$J$3, ,$G$3,$H$3)*2/(_xll.ciqfunctions.udf.CIQ($B14,"IQ_TOTAL_ASSETS",HH$3,$E$3, $J$3, , $G$3, $H$3)+_xll.ciqfunctions.udf.CIQ($B14,"IQ_TOTAL_ASSETS","IQ_" &amp; LEFT(HH$3,2) &amp; "-1",HH$3, $J$3, , $G$3, $H$3))),"")</f>
        <v/>
      </c>
      <c r="HI14" s="87" t="str">
        <f>IFERROR(IF(OR($B14="",HI$3=""),"",_xll.ciqfunctions.udf.CIQ($B14, "IQ_NI", $I$3, HI$3,$J$3, ,$G$3,$H$3)*2/(_xll.ciqfunctions.udf.CIQ($B14,"IQ_TOTAL_ASSETS",HI$3,$E$3, $J$3, , $G$3, $H$3)+_xll.ciqfunctions.udf.CIQ($B14,"IQ_TOTAL_ASSETS","IQ_" &amp; LEFT(HI$3,2) &amp; "-1",HI$3, $J$3, , $G$3, $H$3))),"")</f>
        <v/>
      </c>
      <c r="HJ14" s="87" t="str">
        <f>IFERROR(IF(OR($B14="",HJ$3=""),"",_xll.ciqfunctions.udf.CIQ($B14, "IQ_NI", $I$3, HJ$3,$J$3, ,$G$3,$H$3)*2/(_xll.ciqfunctions.udf.CIQ($B14,"IQ_TOTAL_ASSETS",HJ$3,$E$3, $J$3, , $G$3, $H$3)+_xll.ciqfunctions.udf.CIQ($B14,"IQ_TOTAL_ASSETS","IQ_" &amp; LEFT(HJ$3,2) &amp; "-1",HJ$3, $J$3, , $G$3, $H$3))),"")</f>
        <v/>
      </c>
      <c r="HK14" s="87" t="str">
        <f>IFERROR(IF(OR($B14="",HK$3=""),"",_xll.ciqfunctions.udf.CIQ($B14, "IQ_NI", $I$3, HK$3,$J$3, ,$G$3,$H$3)*2/(_xll.ciqfunctions.udf.CIQ($B14,"IQ_TOTAL_ASSETS",HK$3,$E$3, $J$3, , $G$3, $H$3)+_xll.ciqfunctions.udf.CIQ($B14,"IQ_TOTAL_ASSETS","IQ_" &amp; LEFT(HK$3,2) &amp; "-1",HK$3, $J$3, , $G$3, $H$3))),"")</f>
        <v/>
      </c>
      <c r="HL14" s="87" t="str">
        <f>IFERROR(IF(OR($B14="",HL$3=""),"",_xll.ciqfunctions.udf.CIQ($B14, "IQ_NI", $I$3, HL$3,$J$3, ,$G$3,$H$3)*2/(_xll.ciqfunctions.udf.CIQ($B14,"IQ_TOTAL_ASSETS",HL$3,$E$3, $J$3, , $G$3, $H$3)+_xll.ciqfunctions.udf.CIQ($B14,"IQ_TOTAL_ASSETS","IQ_" &amp; LEFT(HL$3,2) &amp; "-1",HL$3, $J$3, , $G$3, $H$3))),"")</f>
        <v/>
      </c>
      <c r="HM14" s="87" t="str">
        <f>IFERROR(IF(OR($B14="",HM$3=""),"",_xll.ciqfunctions.udf.CIQ($B14, "IQ_NI", $I$3, HM$3,$J$3, ,$G$3,$H$3)*2/(_xll.ciqfunctions.udf.CIQ($B14,"IQ_TOTAL_ASSETS",HM$3,$E$3, $J$3, , $G$3, $H$3)+_xll.ciqfunctions.udf.CIQ($B14,"IQ_TOTAL_ASSETS","IQ_" &amp; LEFT(HM$3,2) &amp; "-1",HM$3, $J$3, , $G$3, $H$3))),"")</f>
        <v/>
      </c>
      <c r="HN14" s="87" t="str">
        <f>IFERROR(IF(OR($B14="",HN$3=""),"",_xll.ciqfunctions.udf.CIQ($B14, "IQ_NI", $I$3, HN$3,$J$3, ,$G$3,$H$3)*2/(_xll.ciqfunctions.udf.CIQ($B14,"IQ_TOTAL_ASSETS",HN$3,$E$3, $J$3, , $G$3, $H$3)+_xll.ciqfunctions.udf.CIQ($B14,"IQ_TOTAL_ASSETS","IQ_" &amp; LEFT(HN$3,2) &amp; "-1",HN$3, $J$3, , $G$3, $H$3))),"")</f>
        <v/>
      </c>
      <c r="HO14" s="87" t="str">
        <f>IFERROR(IF(OR($B14="",HO$3=""),"",_xll.ciqfunctions.udf.CIQ($B14, "IQ_NI", $I$3, HO$3,$J$3, ,$G$3,$H$3)*2/(_xll.ciqfunctions.udf.CIQ($B14,"IQ_TOTAL_ASSETS",HO$3,$E$3, $J$3, , $G$3, $H$3)+_xll.ciqfunctions.udf.CIQ($B14,"IQ_TOTAL_ASSETS","IQ_" &amp; LEFT(HO$3,2) &amp; "-1",HO$3, $J$3, , $G$3, $H$3))),"")</f>
        <v/>
      </c>
      <c r="HP14" s="87" t="str">
        <f>IFERROR(IF(OR($B14="",HP$3=""),"",_xll.ciqfunctions.udf.CIQ($B14, "IQ_NI", $I$3, HP$3,$J$3, ,$G$3,$H$3)*2/(_xll.ciqfunctions.udf.CIQ($B14,"IQ_TOTAL_ASSETS",HP$3,$E$3, $J$3, , $G$3, $H$3)+_xll.ciqfunctions.udf.CIQ($B14,"IQ_TOTAL_ASSETS","IQ_" &amp; LEFT(HP$3,2) &amp; "-1",HP$3, $J$3, , $G$3, $H$3))),"")</f>
        <v/>
      </c>
      <c r="HQ14" s="87" t="str">
        <f>IFERROR(IF(OR($B14="",HQ$3=""),"",_xll.ciqfunctions.udf.CIQ($B14, "IQ_NI", $I$3, HQ$3,$J$3, ,$G$3,$H$3)*2/(_xll.ciqfunctions.udf.CIQ($B14,"IQ_TOTAL_ASSETS",HQ$3,$E$3, $J$3, , $G$3, $H$3)+_xll.ciqfunctions.udf.CIQ($B14,"IQ_TOTAL_ASSETS","IQ_" &amp; LEFT(HQ$3,2) &amp; "-1",HQ$3, $J$3, , $G$3, $H$3))),"")</f>
        <v/>
      </c>
      <c r="HR14" s="87" t="str">
        <f>IFERROR(IF(OR($B14="",HR$3=""),"",_xll.ciqfunctions.udf.CIQ($B14, "IQ_NI", $I$3, HR$3,$J$3, ,$G$3,$H$3)*2/(_xll.ciqfunctions.udf.CIQ($B14,"IQ_TOTAL_ASSETS",HR$3,$E$3, $J$3, , $G$3, $H$3)+_xll.ciqfunctions.udf.CIQ($B14,"IQ_TOTAL_ASSETS","IQ_" &amp; LEFT(HR$3,2) &amp; "-1",HR$3, $J$3, , $G$3, $H$3))),"")</f>
        <v/>
      </c>
      <c r="HS14" s="87" t="str">
        <f>IFERROR(IF(OR($B14="",HS$3=""),"",_xll.ciqfunctions.udf.CIQ($B14, "IQ_NI", $I$3, HS$3,$J$3, ,$G$3,$H$3)*2/(_xll.ciqfunctions.udf.CIQ($B14,"IQ_TOTAL_ASSETS",HS$3,$E$3, $J$3, , $G$3, $H$3)+_xll.ciqfunctions.udf.CIQ($B14,"IQ_TOTAL_ASSETS","IQ_" &amp; LEFT(HS$3,2) &amp; "-1",HS$3, $J$3, , $G$3, $H$3))),"")</f>
        <v/>
      </c>
      <c r="HT14" s="87" t="str">
        <f>IFERROR(IF(OR($B14="",HT$3=""),"",_xll.ciqfunctions.udf.CIQ($B14, "IQ_NI", $I$3, HT$3,$J$3, ,$G$3,$H$3)*2/(_xll.ciqfunctions.udf.CIQ($B14,"IQ_TOTAL_ASSETS",HT$3,$E$3, $J$3, , $G$3, $H$3)+_xll.ciqfunctions.udf.CIQ($B14,"IQ_TOTAL_ASSETS","IQ_" &amp; LEFT(HT$3,2) &amp; "-1",HT$3, $J$3, , $G$3, $H$3))),"")</f>
        <v/>
      </c>
      <c r="HU14" s="87" t="str">
        <f>IFERROR(IF(OR($B14="",HU$3=""),"",_xll.ciqfunctions.udf.CIQ($B14, "IQ_NI", $I$3, HU$3,$J$3, ,$G$3,$H$3)*2/(_xll.ciqfunctions.udf.CIQ($B14,"IQ_TOTAL_ASSETS",HU$3,$E$3, $J$3, , $G$3, $H$3)+_xll.ciqfunctions.udf.CIQ($B14,"IQ_TOTAL_ASSETS","IQ_" &amp; LEFT(HU$3,2) &amp; "-1",HU$3, $J$3, , $G$3, $H$3))),"")</f>
        <v/>
      </c>
      <c r="HV14" s="88" t="str">
        <f>IFERROR(IF(OR($B14="",HV$3=""),"",_xll.ciqfunctions.udf.CIQ($B14, "IQ_NI", $I$3, HV$3,$J$3, ,$G$3,$H$3)*2/(_xll.ciqfunctions.udf.CIQ($B14,"IQ_TOTAL_ASSETS",HV$3,$E$3, $J$3, , $G$3, $H$3)+_xll.ciqfunctions.udf.CIQ($B14,"IQ_TOTAL_ASSETS","IQ_" &amp; LEFT(HV$3,2) &amp; "-1",HV$3, $J$3, , $G$3, $H$3))),"")</f>
        <v/>
      </c>
      <c r="HW14" s="86" t="str">
        <f>IFERROR(IF(OR($B14="",HW$3=""),"",_xll.ciqfunctions.udf.CIQ($B14,"IQ_CASH_OPER",HW$3,$E$3, $J$3, , $G$3, $H$3)/_xll.ciqfunctions.udf.CIQ($B14,"IQ_TOTAL_REV",HW$3,$E$3, $J$3, , $G$3, $H$3)),0)</f>
        <v/>
      </c>
      <c r="HX14" s="87" t="str">
        <f>IFERROR(IF(OR($B14="",HX$3=""),"",_xll.ciqfunctions.udf.CIQ($B14,"IQ_CASH_OPER",HX$3,$E$3, $J$3, , $G$3, $H$3)/_xll.ciqfunctions.udf.CIQ($B14,"IQ_TOTAL_REV",HX$3,$E$3, $J$3, , $G$3, $H$3)),0)</f>
        <v/>
      </c>
      <c r="HY14" s="87" t="str">
        <f>IFERROR(IF(OR($B14="",HY$3=""),"",_xll.ciqfunctions.udf.CIQ($B14,"IQ_CASH_OPER",HY$3,$E$3, $J$3, , $G$3, $H$3)/_xll.ciqfunctions.udf.CIQ($B14,"IQ_TOTAL_REV",HY$3,$E$3, $J$3, , $G$3, $H$3)),0)</f>
        <v/>
      </c>
      <c r="HZ14" s="87" t="str">
        <f>IFERROR(IF(OR($B14="",HZ$3=""),"",_xll.ciqfunctions.udf.CIQ($B14,"IQ_CASH_OPER",HZ$3,$E$3, $J$3, , $G$3, $H$3)/_xll.ciqfunctions.udf.CIQ($B14,"IQ_TOTAL_REV",HZ$3,$E$3, $J$3, , $G$3, $H$3)),0)</f>
        <v/>
      </c>
      <c r="IA14" s="87" t="str">
        <f>IFERROR(IF(OR($B14="",IA$3=""),"",_xll.ciqfunctions.udf.CIQ($B14,"IQ_CASH_OPER",IA$3,$E$3, $J$3, , $G$3, $H$3)/_xll.ciqfunctions.udf.CIQ($B14,"IQ_TOTAL_REV",IA$3,$E$3, $J$3, , $G$3, $H$3)),0)</f>
        <v/>
      </c>
      <c r="IB14" s="87" t="str">
        <f>IFERROR(IF(OR($B14="",IB$3=""),"",_xll.ciqfunctions.udf.CIQ($B14,"IQ_CASH_OPER",IB$3,$E$3, $J$3, , $G$3, $H$3)/_xll.ciqfunctions.udf.CIQ($B14,"IQ_TOTAL_REV",IB$3,$E$3, $J$3, , $G$3, $H$3)),0)</f>
        <v/>
      </c>
      <c r="IC14" s="87" t="str">
        <f>IFERROR(IF(OR($B14="",IC$3=""),"",_xll.ciqfunctions.udf.CIQ($B14,"IQ_CASH_OPER",IC$3,$E$3, $J$3, , $G$3, $H$3)/_xll.ciqfunctions.udf.CIQ($B14,"IQ_TOTAL_REV",IC$3,$E$3, $J$3, , $G$3, $H$3)),0)</f>
        <v/>
      </c>
      <c r="ID14" s="87" t="str">
        <f>IFERROR(IF(OR($B14="",ID$3=""),"",_xll.ciqfunctions.udf.CIQ($B14,"IQ_CASH_OPER",ID$3,$E$3, $J$3, , $G$3, $H$3)/_xll.ciqfunctions.udf.CIQ($B14,"IQ_TOTAL_REV",ID$3,$E$3, $J$3, , $G$3, $H$3)),0)</f>
        <v/>
      </c>
      <c r="IE14" s="87" t="str">
        <f>IFERROR(IF(OR($B14="",IE$3=""),"",_xll.ciqfunctions.udf.CIQ($B14,"IQ_CASH_OPER",IE$3,$E$3, $J$3, , $G$3, $H$3)/_xll.ciqfunctions.udf.CIQ($B14,"IQ_TOTAL_REV",IE$3,$E$3, $J$3, , $G$3, $H$3)),0)</f>
        <v/>
      </c>
      <c r="IF14" s="87" t="str">
        <f>IFERROR(IF(OR($B14="",IF$3=""),"",_xll.ciqfunctions.udf.CIQ($B14,"IQ_CASH_OPER",IF$3,$E$3, $J$3, , $G$3, $H$3)/_xll.ciqfunctions.udf.CIQ($B14,"IQ_TOTAL_REV",IF$3,$E$3, $J$3, , $G$3, $H$3)),0)</f>
        <v/>
      </c>
      <c r="IG14" s="87" t="str">
        <f>IFERROR(IF(OR($B14="",IG$3=""),"",_xll.ciqfunctions.udf.CIQ($B14,"IQ_CASH_OPER",IG$3,$E$3, $J$3, , $G$3, $H$3)/_xll.ciqfunctions.udf.CIQ($B14,"IQ_TOTAL_REV",IG$3,$E$3, $J$3, , $G$3, $H$3)),0)</f>
        <v/>
      </c>
      <c r="IH14" s="87" t="str">
        <f>IFERROR(IF(OR($B14="",IH$3=""),"",_xll.ciqfunctions.udf.CIQ($B14,"IQ_CASH_OPER",IH$3,$E$3, $J$3, , $G$3, $H$3)/_xll.ciqfunctions.udf.CIQ($B14,"IQ_TOTAL_REV",IH$3,$E$3, $J$3, , $G$3, $H$3)),0)</f>
        <v/>
      </c>
      <c r="II14" s="87" t="str">
        <f>IFERROR(IF(OR($B14="",II$3=""),"",_xll.ciqfunctions.udf.CIQ($B14,"IQ_CASH_OPER",II$3,$E$3, $J$3, , $G$3, $H$3)/_xll.ciqfunctions.udf.CIQ($B14,"IQ_TOTAL_REV",II$3,$E$3, $J$3, , $G$3, $H$3)),0)</f>
        <v/>
      </c>
      <c r="IJ14" s="87" t="str">
        <f>IFERROR(IF(OR($B14="",IJ$3=""),"",_xll.ciqfunctions.udf.CIQ($B14,"IQ_CASH_OPER",IJ$3,$E$3, $J$3, , $G$3, $H$3)/_xll.ciqfunctions.udf.CIQ($B14,"IQ_TOTAL_REV",IJ$3,$E$3, $J$3, , $G$3, $H$3)),0)</f>
        <v/>
      </c>
      <c r="IK14" s="87" t="str">
        <f>IFERROR(IF(OR($B14="",IK$3=""),"",_xll.ciqfunctions.udf.CIQ($B14,"IQ_CASH_OPER",IK$3,$E$3, $J$3, , $G$3, $H$3)/_xll.ciqfunctions.udf.CIQ($B14,"IQ_TOTAL_REV",IK$3,$E$3, $J$3, , $G$3, $H$3)),0)</f>
        <v/>
      </c>
      <c r="IL14" s="87" t="str">
        <f>IFERROR(IF(OR($B14="",IL$3=""),"",_xll.ciqfunctions.udf.CIQ($B14,"IQ_CASH_OPER",IL$3,$E$3, $J$3, , $G$3, $H$3)/_xll.ciqfunctions.udf.CIQ($B14,"IQ_TOTAL_REV",IL$3,$E$3, $J$3, , $G$3, $H$3)),0)</f>
        <v/>
      </c>
      <c r="IM14" s="87" t="str">
        <f>IFERROR(IF(OR($B14="",IM$3=""),"",_xll.ciqfunctions.udf.CIQ($B14,"IQ_CASH_OPER",IM$3,$E$3, $J$3, , $G$3, $H$3)/_xll.ciqfunctions.udf.CIQ($B14,"IQ_TOTAL_REV",IM$3,$E$3, $J$3, , $G$3, $H$3)),0)</f>
        <v/>
      </c>
      <c r="IN14" s="87" t="str">
        <f>IFERROR(IF(OR($B14="",IN$3=""),"",_xll.ciqfunctions.udf.CIQ($B14,"IQ_CASH_OPER",IN$3,$E$3, $J$3, , $G$3, $H$3)/_xll.ciqfunctions.udf.CIQ($B14,"IQ_TOTAL_REV",IN$3,$E$3, $J$3, , $G$3, $H$3)),0)</f>
        <v/>
      </c>
      <c r="IO14" s="87" t="str">
        <f>IFERROR(IF(OR($B14="",IO$3=""),"",_xll.ciqfunctions.udf.CIQ($B14,"IQ_CASH_OPER",IO$3,$E$3, $J$3, , $G$3, $H$3)/_xll.ciqfunctions.udf.CIQ($B14,"IQ_TOTAL_REV",IO$3,$E$3, $J$3, , $G$3, $H$3)),0)</f>
        <v/>
      </c>
      <c r="IP14" s="88" t="str">
        <f>IFERROR(IF(OR($B14="",IP$3=""),"",_xll.ciqfunctions.udf.CIQ($B14,"IQ_CASH_OPER",IP$3,$E$3, $J$3, , $G$3, $H$3)/_xll.ciqfunctions.udf.CIQ($B14,"IQ_TOTAL_REV",IP$3,$E$3, $J$3, , $G$3, $H$3)),0)</f>
        <v/>
      </c>
      <c r="IQ14" s="348" t="str">
        <f>IFERROR(IF(OR(IQ$3="",$B14=""),"",_xll.ciqfunctions.udf.CIQ($B14,"IQ_TOTAL_ASSETS",IQ$3,$E$3, $J$3, , $G$3, $H$3)/_xll.ciqfunctions.udf.CIQ($B14,"IQ_TOTAL_COMMON_EQUITY",IQ$3,$E$3, $J$3, , $G$3, $H$3)),0)</f>
        <v/>
      </c>
      <c r="IR14" s="349" t="str">
        <f>IFERROR(IF(OR(IR$3="",$B14=""),"",_xll.ciqfunctions.udf.CIQ($B14,"IQ_TOTAL_ASSETS",IR$3,$E$3, $J$3, , $G$3, $H$3)/_xll.ciqfunctions.udf.CIQ($B14,"IQ_TOTAL_COMMON_EQUITY",IR$3,$E$3, $J$3, , $G$3, $H$3)),0)</f>
        <v/>
      </c>
      <c r="IS14" s="349" t="str">
        <f>IFERROR(IF(OR(IS$3="",$B14=""),"",_xll.ciqfunctions.udf.CIQ($B14,"IQ_TOTAL_ASSETS",IS$3,$E$3, $J$3, , $G$3, $H$3)/_xll.ciqfunctions.udf.CIQ($B14,"IQ_TOTAL_COMMON_EQUITY",IS$3,$E$3, $J$3, , $G$3, $H$3)),0)</f>
        <v/>
      </c>
      <c r="IT14" s="349" t="str">
        <f>IFERROR(IF(OR(IT$3="",$B14=""),"",_xll.ciqfunctions.udf.CIQ($B14,"IQ_TOTAL_ASSETS",IT$3,$E$3, $J$3, , $G$3, $H$3)/_xll.ciqfunctions.udf.CIQ($B14,"IQ_TOTAL_COMMON_EQUITY",IT$3,$E$3, $J$3, , $G$3, $H$3)),0)</f>
        <v/>
      </c>
      <c r="IU14" s="349" t="str">
        <f>IFERROR(IF(OR(IU$3="",$B14=""),"",_xll.ciqfunctions.udf.CIQ($B14,"IQ_TOTAL_ASSETS",IU$3,$E$3, $J$3, , $G$3, $H$3)/_xll.ciqfunctions.udf.CIQ($B14,"IQ_TOTAL_COMMON_EQUITY",IU$3,$E$3, $J$3, , $G$3, $H$3)),0)</f>
        <v/>
      </c>
      <c r="IV14" s="349" t="str">
        <f>IFERROR(IF(OR(IV$3="",$B14=""),"",_xll.ciqfunctions.udf.CIQ($B14,"IQ_TOTAL_ASSETS",IV$3,$E$3, $J$3, , $G$3, $H$3)/_xll.ciqfunctions.udf.CIQ($B14,"IQ_TOTAL_COMMON_EQUITY",IV$3,$E$3, $J$3, , $G$3, $H$3)),0)</f>
        <v/>
      </c>
      <c r="IW14" s="349" t="str">
        <f>IFERROR(IF(OR(IW$3="",$B14=""),"",_xll.ciqfunctions.udf.CIQ($B14,"IQ_TOTAL_ASSETS",IW$3,$E$3, $J$3, , $G$3, $H$3)/_xll.ciqfunctions.udf.CIQ($B14,"IQ_TOTAL_COMMON_EQUITY",IW$3,$E$3, $J$3, , $G$3, $H$3)),0)</f>
        <v/>
      </c>
      <c r="IX14" s="349" t="str">
        <f>IFERROR(IF(OR(IX$3="",$B14=""),"",_xll.ciqfunctions.udf.CIQ($B14,"IQ_TOTAL_ASSETS",IX$3,$E$3, $J$3, , $G$3, $H$3)/_xll.ciqfunctions.udf.CIQ($B14,"IQ_TOTAL_COMMON_EQUITY",IX$3,$E$3, $J$3, , $G$3, $H$3)),0)</f>
        <v/>
      </c>
      <c r="IY14" s="349" t="str">
        <f>IFERROR(IF(OR(IY$3="",$B14=""),"",_xll.ciqfunctions.udf.CIQ($B14,"IQ_TOTAL_ASSETS",IY$3,$E$3, $J$3, , $G$3, $H$3)/_xll.ciqfunctions.udf.CIQ($B14,"IQ_TOTAL_COMMON_EQUITY",IY$3,$E$3, $J$3, , $G$3, $H$3)),0)</f>
        <v/>
      </c>
      <c r="IZ14" s="349" t="str">
        <f>IFERROR(IF(OR(IZ$3="",$B14=""),"",_xll.ciqfunctions.udf.CIQ($B14,"IQ_TOTAL_ASSETS",IZ$3,$E$3, $J$3, , $G$3, $H$3)/_xll.ciqfunctions.udf.CIQ($B14,"IQ_TOTAL_COMMON_EQUITY",IZ$3,$E$3, $J$3, , $G$3, $H$3)),0)</f>
        <v/>
      </c>
      <c r="JA14" s="349" t="str">
        <f>IFERROR(IF(OR(JA$3="",$B14=""),"",_xll.ciqfunctions.udf.CIQ($B14,"IQ_TOTAL_ASSETS",JA$3,$E$3, $J$3, , $G$3, $H$3)/_xll.ciqfunctions.udf.CIQ($B14,"IQ_TOTAL_COMMON_EQUITY",JA$3,$E$3, $J$3, , $G$3, $H$3)),0)</f>
        <v/>
      </c>
      <c r="JB14" s="349" t="str">
        <f>IFERROR(IF(OR(JB$3="",$B14=""),"",_xll.ciqfunctions.udf.CIQ($B14,"IQ_TOTAL_ASSETS",JB$3,$E$3, $J$3, , $G$3, $H$3)/_xll.ciqfunctions.udf.CIQ($B14,"IQ_TOTAL_COMMON_EQUITY",JB$3,$E$3, $J$3, , $G$3, $H$3)),0)</f>
        <v/>
      </c>
      <c r="JC14" s="349" t="str">
        <f>IFERROR(IF(OR(JC$3="",$B14=""),"",_xll.ciqfunctions.udf.CIQ($B14,"IQ_TOTAL_ASSETS",JC$3,$E$3, $J$3, , $G$3, $H$3)/_xll.ciqfunctions.udf.CIQ($B14,"IQ_TOTAL_COMMON_EQUITY",JC$3,$E$3, $J$3, , $G$3, $H$3)),0)</f>
        <v/>
      </c>
      <c r="JD14" s="349" t="str">
        <f>IFERROR(IF(OR(JD$3="",$B14=""),"",_xll.ciqfunctions.udf.CIQ($B14,"IQ_TOTAL_ASSETS",JD$3,$E$3, $J$3, , $G$3, $H$3)/_xll.ciqfunctions.udf.CIQ($B14,"IQ_TOTAL_COMMON_EQUITY",JD$3,$E$3, $J$3, , $G$3, $H$3)),0)</f>
        <v/>
      </c>
      <c r="JE14" s="349" t="str">
        <f>IFERROR(IF(OR(JE$3="",$B14=""),"",_xll.ciqfunctions.udf.CIQ($B14,"IQ_TOTAL_ASSETS",JE$3,$E$3, $J$3, , $G$3, $H$3)/_xll.ciqfunctions.udf.CIQ($B14,"IQ_TOTAL_COMMON_EQUITY",JE$3,$E$3, $J$3, , $G$3, $H$3)),0)</f>
        <v/>
      </c>
      <c r="JF14" s="349" t="str">
        <f>IFERROR(IF(OR(JF$3="",$B14=""),"",_xll.ciqfunctions.udf.CIQ($B14,"IQ_TOTAL_ASSETS",JF$3,$E$3, $J$3, , $G$3, $H$3)/_xll.ciqfunctions.udf.CIQ($B14,"IQ_TOTAL_COMMON_EQUITY",JF$3,$E$3, $J$3, , $G$3, $H$3)),0)</f>
        <v/>
      </c>
      <c r="JG14" s="349" t="str">
        <f>IFERROR(IF(OR(JG$3="",$B14=""),"",_xll.ciqfunctions.udf.CIQ($B14,"IQ_TOTAL_ASSETS",JG$3,$E$3, $J$3, , $G$3, $H$3)/_xll.ciqfunctions.udf.CIQ($B14,"IQ_TOTAL_COMMON_EQUITY",JG$3,$E$3, $J$3, , $G$3, $H$3)),0)</f>
        <v/>
      </c>
      <c r="JH14" s="349" t="str">
        <f>IFERROR(IF(OR(JH$3="",$B14=""),"",_xll.ciqfunctions.udf.CIQ($B14,"IQ_TOTAL_ASSETS",JH$3,$E$3, $J$3, , $G$3, $H$3)/_xll.ciqfunctions.udf.CIQ($B14,"IQ_TOTAL_COMMON_EQUITY",JH$3,$E$3, $J$3, , $G$3, $H$3)),0)</f>
        <v/>
      </c>
      <c r="JI14" s="349" t="str">
        <f>IFERROR(IF(OR(JI$3="",$B14=""),"",_xll.ciqfunctions.udf.CIQ($B14,"IQ_TOTAL_ASSETS",JI$3,$E$3, $J$3, , $G$3, $H$3)/_xll.ciqfunctions.udf.CIQ($B14,"IQ_TOTAL_COMMON_EQUITY",JI$3,$E$3, $J$3, , $G$3, $H$3)),0)</f>
        <v/>
      </c>
      <c r="JJ14" s="350" t="str">
        <f>IFERROR(IF(OR(JJ$3="",$B14=""),"",_xll.ciqfunctions.udf.CIQ($B14,"IQ_TOTAL_ASSETS",JJ$3,$E$3, $J$3, , $G$3, $H$3)/_xll.ciqfunctions.udf.CIQ($B14,"IQ_TOTAL_COMMON_EQUITY",JJ$3,$E$3, $J$3, , $G$3, $H$3)),0)</f>
        <v/>
      </c>
      <c r="JK14" s="86" t="str">
        <f>IFERROR(IF(OR($B14="",JK$3=""),"",_xll.ciqfunctions.udf.CIQ($B14, "IQ_NI", $I$3, HC$3,$J$3, ,$G$3,$H$3)*2/(_xll.ciqfunctions.udf.CIQ($B14,"IQ_TOTAL_EQUITY",JK$3,$E$3, $J$3, , $G$3, $H$3)+_xll.ciqfunctions.udf.CIQ($B14,"IQ_TOTAL_EQUITY","IQ_" &amp; LEFT(JK$3,2) &amp; "-1",JK$3, $J$3, , $G$3, $H$3))),"")</f>
        <v/>
      </c>
      <c r="JL14" s="87" t="str">
        <f>IFERROR(IF(OR($B14="",JL$3=""),"",_xll.ciqfunctions.udf.CIQ($B14, "IQ_NI", $I$3, HD$3,$J$3, ,$G$3,$H$3)*2/(_xll.ciqfunctions.udf.CIQ($B14,"IQ_TOTAL_EQUITY",JL$3,$E$3, $J$3, , $G$3, $H$3)+_xll.ciqfunctions.udf.CIQ($B14,"IQ_TOTAL_EQUITY","IQ_" &amp; LEFT(JL$3,2) &amp; "-1",JL$3, $J$3, , $G$3, $H$3))),"")</f>
        <v/>
      </c>
      <c r="JM14" s="87" t="str">
        <f>IFERROR(IF(OR($B14="",JM$3=""),"",_xll.ciqfunctions.udf.CIQ($B14, "IQ_NI", $I$3, HE$3,$J$3, ,$G$3,$H$3)*2/(_xll.ciqfunctions.udf.CIQ($B14,"IQ_TOTAL_EQUITY",JM$3,$E$3, $J$3, , $G$3, $H$3)+_xll.ciqfunctions.udf.CIQ($B14,"IQ_TOTAL_EQUITY","IQ_" &amp; LEFT(JM$3,2) &amp; "-1",JM$3, $J$3, , $G$3, $H$3))),"")</f>
        <v/>
      </c>
      <c r="JN14" s="87" t="str">
        <f>IFERROR(IF(OR($B14="",JN$3=""),"",_xll.ciqfunctions.udf.CIQ($B14, "IQ_NI", $I$3, HF$3,$J$3, ,$G$3,$H$3)*2/(_xll.ciqfunctions.udf.CIQ($B14,"IQ_TOTAL_EQUITY",JN$3,$E$3, $J$3, , $G$3, $H$3)+_xll.ciqfunctions.udf.CIQ($B14,"IQ_TOTAL_EQUITY","IQ_" &amp; LEFT(JN$3,2) &amp; "-1",JN$3, $J$3, , $G$3, $H$3))),"")</f>
        <v/>
      </c>
      <c r="JO14" s="87" t="str">
        <f>IFERROR(IF(OR($B14="",JO$3=""),"",_xll.ciqfunctions.udf.CIQ($B14, "IQ_NI", $I$3, HG$3,$J$3, ,$G$3,$H$3)*2/(_xll.ciqfunctions.udf.CIQ($B14,"IQ_TOTAL_EQUITY",JO$3,$E$3, $J$3, , $G$3, $H$3)+_xll.ciqfunctions.udf.CIQ($B14,"IQ_TOTAL_EQUITY","IQ_" &amp; LEFT(JO$3,2) &amp; "-1",JO$3, $J$3, , $G$3, $H$3))),"")</f>
        <v/>
      </c>
      <c r="JP14" s="87" t="str">
        <f>IFERROR(IF(OR($B14="",JP$3=""),"",_xll.ciqfunctions.udf.CIQ($B14, "IQ_NI", $I$3, HH$3,$J$3, ,$G$3,$H$3)*2/(_xll.ciqfunctions.udf.CIQ($B14,"IQ_TOTAL_EQUITY",JP$3,$E$3, $J$3, , $G$3, $H$3)+_xll.ciqfunctions.udf.CIQ($B14,"IQ_TOTAL_EQUITY","IQ_" &amp; LEFT(JP$3,2) &amp; "-1",JP$3, $J$3, , $G$3, $H$3))),"")</f>
        <v/>
      </c>
      <c r="JQ14" s="87" t="str">
        <f>IFERROR(IF(OR($B14="",JQ$3=""),"",_xll.ciqfunctions.udf.CIQ($B14, "IQ_NI", $I$3, HI$3,$J$3, ,$G$3,$H$3)*2/(_xll.ciqfunctions.udf.CIQ($B14,"IQ_TOTAL_EQUITY",JQ$3,$E$3, $J$3, , $G$3, $H$3)+_xll.ciqfunctions.udf.CIQ($B14,"IQ_TOTAL_EQUITY","IQ_" &amp; LEFT(JQ$3,2) &amp; "-1",JQ$3, $J$3, , $G$3, $H$3))),"")</f>
        <v/>
      </c>
      <c r="JR14" s="87" t="str">
        <f>IFERROR(IF(OR($B14="",JR$3=""),"",_xll.ciqfunctions.udf.CIQ($B14, "IQ_NI", $I$3, HJ$3,$J$3, ,$G$3,$H$3)*2/(_xll.ciqfunctions.udf.CIQ($B14,"IQ_TOTAL_EQUITY",JR$3,$E$3, $J$3, , $G$3, $H$3)+_xll.ciqfunctions.udf.CIQ($B14,"IQ_TOTAL_EQUITY","IQ_" &amp; LEFT(JR$3,2) &amp; "-1",JR$3, $J$3, , $G$3, $H$3))),"")</f>
        <v/>
      </c>
      <c r="JS14" s="87" t="str">
        <f>IFERROR(IF(OR($B14="",JS$3=""),"",_xll.ciqfunctions.udf.CIQ($B14, "IQ_NI", $I$3, HK$3,$J$3, ,$G$3,$H$3)*2/(_xll.ciqfunctions.udf.CIQ($B14,"IQ_TOTAL_EQUITY",JS$3,$E$3, $J$3, , $G$3, $H$3)+_xll.ciqfunctions.udf.CIQ($B14,"IQ_TOTAL_EQUITY","IQ_" &amp; LEFT(JS$3,2) &amp; "-1",JS$3, $J$3, , $G$3, $H$3))),"")</f>
        <v/>
      </c>
      <c r="JT14" s="87" t="str">
        <f>IFERROR(IF(OR($B14="",JT$3=""),"",_xll.ciqfunctions.udf.CIQ($B14, "IQ_NI", $I$3, HL$3,$J$3, ,$G$3,$H$3)*2/(_xll.ciqfunctions.udf.CIQ($B14,"IQ_TOTAL_EQUITY",JT$3,$E$3, $J$3, , $G$3, $H$3)+_xll.ciqfunctions.udf.CIQ($B14,"IQ_TOTAL_EQUITY","IQ_" &amp; LEFT(JT$3,2) &amp; "-1",JT$3, $J$3, , $G$3, $H$3))),"")</f>
        <v/>
      </c>
      <c r="JU14" s="87" t="str">
        <f>IFERROR(IF(OR($B14="",JU$3=""),"",_xll.ciqfunctions.udf.CIQ($B14, "IQ_NI", $I$3, HM$3,$J$3, ,$G$3,$H$3)*2/(_xll.ciqfunctions.udf.CIQ($B14,"IQ_TOTAL_EQUITY",JU$3,$E$3, $J$3, , $G$3, $H$3)+_xll.ciqfunctions.udf.CIQ($B14,"IQ_TOTAL_EQUITY","IQ_" &amp; LEFT(JU$3,2) &amp; "-1",JU$3, $J$3, , $G$3, $H$3))),"")</f>
        <v/>
      </c>
      <c r="JV14" s="87" t="str">
        <f>IFERROR(IF(OR($B14="",JV$3=""),"",_xll.ciqfunctions.udf.CIQ($B14, "IQ_NI", $I$3, HN$3,$J$3, ,$G$3,$H$3)*2/(_xll.ciqfunctions.udf.CIQ($B14,"IQ_TOTAL_EQUITY",JV$3,$E$3, $J$3, , $G$3, $H$3)+_xll.ciqfunctions.udf.CIQ($B14,"IQ_TOTAL_EQUITY","IQ_" &amp; LEFT(JV$3,2) &amp; "-1",JV$3, $J$3, , $G$3, $H$3))),"")</f>
        <v/>
      </c>
      <c r="JW14" s="87" t="str">
        <f>IFERROR(IF(OR($B14="",JW$3=""),"",_xll.ciqfunctions.udf.CIQ($B14, "IQ_NI", $I$3, HO$3,$J$3, ,$G$3,$H$3)*2/(_xll.ciqfunctions.udf.CIQ($B14,"IQ_TOTAL_EQUITY",JW$3,$E$3, $J$3, , $G$3, $H$3)+_xll.ciqfunctions.udf.CIQ($B14,"IQ_TOTAL_EQUITY","IQ_" &amp; LEFT(JW$3,2) &amp; "-1",JW$3, $J$3, , $G$3, $H$3))),"")</f>
        <v/>
      </c>
      <c r="JX14" s="87" t="str">
        <f>IFERROR(IF(OR($B14="",JX$3=""),"",_xll.ciqfunctions.udf.CIQ($B14, "IQ_NI", $I$3, HP$3,$J$3, ,$G$3,$H$3)*2/(_xll.ciqfunctions.udf.CIQ($B14,"IQ_TOTAL_EQUITY",JX$3,$E$3, $J$3, , $G$3, $H$3)+_xll.ciqfunctions.udf.CIQ($B14,"IQ_TOTAL_EQUITY","IQ_" &amp; LEFT(JX$3,2) &amp; "-1",JX$3, $J$3, , $G$3, $H$3))),"")</f>
        <v/>
      </c>
      <c r="JY14" s="87" t="str">
        <f>IFERROR(IF(OR($B14="",JY$3=""),"",_xll.ciqfunctions.udf.CIQ($B14, "IQ_NI", $I$3, HQ$3,$J$3, ,$G$3,$H$3)*2/(_xll.ciqfunctions.udf.CIQ($B14,"IQ_TOTAL_EQUITY",JY$3,$E$3, $J$3, , $G$3, $H$3)+_xll.ciqfunctions.udf.CIQ($B14,"IQ_TOTAL_EQUITY","IQ_" &amp; LEFT(JY$3,2) &amp; "-1",JY$3, $J$3, , $G$3, $H$3))),"")</f>
        <v/>
      </c>
      <c r="JZ14" s="87" t="str">
        <f>IFERROR(IF(OR($B14="",JZ$3=""),"",_xll.ciqfunctions.udf.CIQ($B14, "IQ_NI", $I$3, HR$3,$J$3, ,$G$3,$H$3)*2/(_xll.ciqfunctions.udf.CIQ($B14,"IQ_TOTAL_EQUITY",JZ$3,$E$3, $J$3, , $G$3, $H$3)+_xll.ciqfunctions.udf.CIQ($B14,"IQ_TOTAL_EQUITY","IQ_" &amp; LEFT(JZ$3,2) &amp; "-1",JZ$3, $J$3, , $G$3, $H$3))),"")</f>
        <v/>
      </c>
      <c r="KA14" s="87" t="str">
        <f>IFERROR(IF(OR($B14="",KA$3=""),"",_xll.ciqfunctions.udf.CIQ($B14, "IQ_NI", $I$3, HS$3,$J$3, ,$G$3,$H$3)*2/(_xll.ciqfunctions.udf.CIQ($B14,"IQ_TOTAL_EQUITY",KA$3,$E$3, $J$3, , $G$3, $H$3)+_xll.ciqfunctions.udf.CIQ($B14,"IQ_TOTAL_EQUITY","IQ_" &amp; LEFT(KA$3,2) &amp; "-1",KA$3, $J$3, , $G$3, $H$3))),"")</f>
        <v/>
      </c>
      <c r="KB14" s="87" t="str">
        <f>IFERROR(IF(OR($B14="",KB$3=""),"",_xll.ciqfunctions.udf.CIQ($B14, "IQ_NI", $I$3, HT$3,$J$3, ,$G$3,$H$3)*2/(_xll.ciqfunctions.udf.CIQ($B14,"IQ_TOTAL_EQUITY",KB$3,$E$3, $J$3, , $G$3, $H$3)+_xll.ciqfunctions.udf.CIQ($B14,"IQ_TOTAL_EQUITY","IQ_" &amp; LEFT(KB$3,2) &amp; "-1",KB$3, $J$3, , $G$3, $H$3))),"")</f>
        <v/>
      </c>
      <c r="KC14" s="87" t="str">
        <f>IFERROR(IF(OR($B14="",KC$3=""),"",_xll.ciqfunctions.udf.CIQ($B14, "IQ_NI", $I$3, HU$3,$J$3, ,$G$3,$H$3)*2/(_xll.ciqfunctions.udf.CIQ($B14,"IQ_TOTAL_EQUITY",KC$3,$E$3, $J$3, , $G$3, $H$3)+_xll.ciqfunctions.udf.CIQ($B14,"IQ_TOTAL_EQUITY","IQ_" &amp; LEFT(KC$3,2) &amp; "-1",KC$3, $J$3, , $G$3, $H$3))),"")</f>
        <v/>
      </c>
      <c r="KD14" s="88" t="str">
        <f>IFERROR(IF(OR($B14="",KD$3=""),"",_xll.ciqfunctions.udf.CIQ($B14, "IQ_NI", $I$3, HV$3,$J$3, ,$G$3,$H$3)*2/(_xll.ciqfunctions.udf.CIQ($B14,"IQ_TOTAL_EQUITY",KD$3,$E$3, $J$3, , $G$3, $H$3)+_xll.ciqfunctions.udf.CIQ($B14,"IQ_TOTAL_EQUITY","IQ_" &amp; LEFT(KD$3,2) &amp; "-1",KD$3, $J$3, , $G$3, $H$3))),"")</f>
        <v/>
      </c>
      <c r="KE14" s="86" t="str">
        <f>IFERROR(IF(OR($B14="",KE$3=""),"",_xll.ciqfunctions.udf.CIQ($B14, "IQ_NI", $I$3, KE$3,$J$3, ,$G$3,$H$3)*2/(_xll.ciqfunctions.udf.CIQ($B14, "IQ_TOTAL_ASSETS", $I$3, KE$3,$J$3, ,$G$3,$H$3)+_xll.ciqfunctions.udf.CIQ($B14, "IQ_TOTAL_ASSETS", $I$3 &amp; "-1", KE$3,$J$3, ,$G$3,$H$3)-_xll.ciqfunctions.udf.CIQ($B14, "IQ_TOTAL_CL", $I$3, KE$3,$J$3, ,$G$3,$H$3)-_xll.ciqfunctions.udf.CIQ($B14, "IQ_TOTAL_CL", $I$3 &amp; "-1", KE$3,$J$3, ,$G$3,$H$3))),"")</f>
        <v/>
      </c>
      <c r="KF14" s="87" t="str">
        <f>IFERROR(IF(OR($B14="",KF$3=""),"",_xll.ciqfunctions.udf.CIQ($B14, "IQ_NI", $I$3, KF$3,$J$3, ,$G$3,$H$3)*2/(_xll.ciqfunctions.udf.CIQ($B14, "IQ_TOTAL_ASSETS", $I$3, KF$3,$J$3, ,$G$3,$H$3)+_xll.ciqfunctions.udf.CIQ($B14, "IQ_TOTAL_ASSETS", $I$3 &amp; "-1", KF$3,$J$3, ,$G$3,$H$3)-_xll.ciqfunctions.udf.CIQ($B14, "IQ_TOTAL_CL", $I$3, KF$3,$J$3, ,$G$3,$H$3)-_xll.ciqfunctions.udf.CIQ($B14, "IQ_TOTAL_CL", $I$3 &amp; "-1", KF$3,$J$3, ,$G$3,$H$3))),"")</f>
        <v/>
      </c>
      <c r="KG14" s="87" t="str">
        <f>IFERROR(IF(OR($B14="",KG$3=""),"",_xll.ciqfunctions.udf.CIQ($B14, "IQ_NI", $I$3, KG$3,$J$3, ,$G$3,$H$3)*2/(_xll.ciqfunctions.udf.CIQ($B14, "IQ_TOTAL_ASSETS", $I$3, KG$3,$J$3, ,$G$3,$H$3)+_xll.ciqfunctions.udf.CIQ($B14, "IQ_TOTAL_ASSETS", $I$3 &amp; "-1", KG$3,$J$3, ,$G$3,$H$3)-_xll.ciqfunctions.udf.CIQ($B14, "IQ_TOTAL_CL", $I$3, KG$3,$J$3, ,$G$3,$H$3)-_xll.ciqfunctions.udf.CIQ($B14, "IQ_TOTAL_CL", $I$3 &amp; "-1", KG$3,$J$3, ,$G$3,$H$3))),"")</f>
        <v/>
      </c>
      <c r="KH14" s="87" t="str">
        <f>IFERROR(IF(OR($B14="",KH$3=""),"",_xll.ciqfunctions.udf.CIQ($B14, "IQ_NI", $I$3, KH$3,$J$3, ,$G$3,$H$3)*2/(_xll.ciqfunctions.udf.CIQ($B14, "IQ_TOTAL_ASSETS", $I$3, KH$3,$J$3, ,$G$3,$H$3)+_xll.ciqfunctions.udf.CIQ($B14, "IQ_TOTAL_ASSETS", $I$3 &amp; "-1", KH$3,$J$3, ,$G$3,$H$3)-_xll.ciqfunctions.udf.CIQ($B14, "IQ_TOTAL_CL", $I$3, KH$3,$J$3, ,$G$3,$H$3)-_xll.ciqfunctions.udf.CIQ($B14, "IQ_TOTAL_CL", $I$3 &amp; "-1", KH$3,$J$3, ,$G$3,$H$3))),"")</f>
        <v/>
      </c>
      <c r="KI14" s="87" t="str">
        <f>IFERROR(IF(OR($B14="",KI$3=""),"",_xll.ciqfunctions.udf.CIQ($B14, "IQ_NI", $I$3, KI$3,$J$3, ,$G$3,$H$3)*2/(_xll.ciqfunctions.udf.CIQ($B14, "IQ_TOTAL_ASSETS", $I$3, KI$3,$J$3, ,$G$3,$H$3)+_xll.ciqfunctions.udf.CIQ($B14, "IQ_TOTAL_ASSETS", $I$3 &amp; "-1", KI$3,$J$3, ,$G$3,$H$3)-_xll.ciqfunctions.udf.CIQ($B14, "IQ_TOTAL_CL", $I$3, KI$3,$J$3, ,$G$3,$H$3)-_xll.ciqfunctions.udf.CIQ($B14, "IQ_TOTAL_CL", $I$3 &amp; "-1", KI$3,$J$3, ,$G$3,$H$3))),"")</f>
        <v/>
      </c>
      <c r="KJ14" s="87" t="str">
        <f>IFERROR(IF(OR($B14="",KJ$3=""),"",_xll.ciqfunctions.udf.CIQ($B14, "IQ_NI", $I$3, KJ$3,$J$3, ,$G$3,$H$3)*2/(_xll.ciqfunctions.udf.CIQ($B14, "IQ_TOTAL_ASSETS", $I$3, KJ$3,$J$3, ,$G$3,$H$3)+_xll.ciqfunctions.udf.CIQ($B14, "IQ_TOTAL_ASSETS", $I$3 &amp; "-1", KJ$3,$J$3, ,$G$3,$H$3)-_xll.ciqfunctions.udf.CIQ($B14, "IQ_TOTAL_CL", $I$3, KJ$3,$J$3, ,$G$3,$H$3)-_xll.ciqfunctions.udf.CIQ($B14, "IQ_TOTAL_CL", $I$3 &amp; "-1", KJ$3,$J$3, ,$G$3,$H$3))),"")</f>
        <v/>
      </c>
      <c r="KK14" s="87" t="str">
        <f>IFERROR(IF(OR($B14="",KK$3=""),"",_xll.ciqfunctions.udf.CIQ($B14, "IQ_NI", $I$3, KK$3,$J$3, ,$G$3,$H$3)*2/(_xll.ciqfunctions.udf.CIQ($B14, "IQ_TOTAL_ASSETS", $I$3, KK$3,$J$3, ,$G$3,$H$3)+_xll.ciqfunctions.udf.CIQ($B14, "IQ_TOTAL_ASSETS", $I$3 &amp; "-1", KK$3,$J$3, ,$G$3,$H$3)-_xll.ciqfunctions.udf.CIQ($B14, "IQ_TOTAL_CL", $I$3, KK$3,$J$3, ,$G$3,$H$3)-_xll.ciqfunctions.udf.CIQ($B14, "IQ_TOTAL_CL", $I$3 &amp; "-1", KK$3,$J$3, ,$G$3,$H$3))),"")</f>
        <v/>
      </c>
      <c r="KL14" s="87" t="str">
        <f>IFERROR(IF(OR($B14="",KL$3=""),"",_xll.ciqfunctions.udf.CIQ($B14, "IQ_NI", $I$3, KL$3,$J$3, ,$G$3,$H$3)*2/(_xll.ciqfunctions.udf.CIQ($B14, "IQ_TOTAL_ASSETS", $I$3, KL$3,$J$3, ,$G$3,$H$3)+_xll.ciqfunctions.udf.CIQ($B14, "IQ_TOTAL_ASSETS", $I$3 &amp; "-1", KL$3,$J$3, ,$G$3,$H$3)-_xll.ciqfunctions.udf.CIQ($B14, "IQ_TOTAL_CL", $I$3, KL$3,$J$3, ,$G$3,$H$3)-_xll.ciqfunctions.udf.CIQ($B14, "IQ_TOTAL_CL", $I$3 &amp; "-1", KL$3,$J$3, ,$G$3,$H$3))),"")</f>
        <v/>
      </c>
      <c r="KM14" s="87" t="str">
        <f>IFERROR(IF(OR($B14="",KM$3=""),"",_xll.ciqfunctions.udf.CIQ($B14, "IQ_NI", $I$3, KM$3,$J$3, ,$G$3,$H$3)*2/(_xll.ciqfunctions.udf.CIQ($B14, "IQ_TOTAL_ASSETS", $I$3, KM$3,$J$3, ,$G$3,$H$3)+_xll.ciqfunctions.udf.CIQ($B14, "IQ_TOTAL_ASSETS", $I$3 &amp; "-1", KM$3,$J$3, ,$G$3,$H$3)-_xll.ciqfunctions.udf.CIQ($B14, "IQ_TOTAL_CL", $I$3, KM$3,$J$3, ,$G$3,$H$3)-_xll.ciqfunctions.udf.CIQ($B14, "IQ_TOTAL_CL", $I$3 &amp; "-1", KM$3,$J$3, ,$G$3,$H$3))),"")</f>
        <v/>
      </c>
      <c r="KN14" s="87" t="str">
        <f>IFERROR(IF(OR($B14="",KN$3=""),"",_xll.ciqfunctions.udf.CIQ($B14, "IQ_NI", $I$3, KN$3,$J$3, ,$G$3,$H$3)*2/(_xll.ciqfunctions.udf.CIQ($B14, "IQ_TOTAL_ASSETS", $I$3, KN$3,$J$3, ,$G$3,$H$3)+_xll.ciqfunctions.udf.CIQ($B14, "IQ_TOTAL_ASSETS", $I$3 &amp; "-1", KN$3,$J$3, ,$G$3,$H$3)-_xll.ciqfunctions.udf.CIQ($B14, "IQ_TOTAL_CL", $I$3, KN$3,$J$3, ,$G$3,$H$3)-_xll.ciqfunctions.udf.CIQ($B14, "IQ_TOTAL_CL", $I$3 &amp; "-1", KN$3,$J$3, ,$G$3,$H$3))),"")</f>
        <v/>
      </c>
      <c r="KO14" s="87" t="str">
        <f>IFERROR(IF(OR($B14="",KO$3=""),"",_xll.ciqfunctions.udf.CIQ($B14, "IQ_NI", $I$3, KO$3,$J$3, ,$G$3,$H$3)*2/(_xll.ciqfunctions.udf.CIQ($B14, "IQ_TOTAL_ASSETS", $I$3, KO$3,$J$3, ,$G$3,$H$3)+_xll.ciqfunctions.udf.CIQ($B14, "IQ_TOTAL_ASSETS", $I$3 &amp; "-1", KO$3,$J$3, ,$G$3,$H$3)-_xll.ciqfunctions.udf.CIQ($B14, "IQ_TOTAL_CL", $I$3, KO$3,$J$3, ,$G$3,$H$3)-_xll.ciqfunctions.udf.CIQ($B14, "IQ_TOTAL_CL", $I$3 &amp; "-1", KO$3,$J$3, ,$G$3,$H$3))),"")</f>
        <v/>
      </c>
      <c r="KP14" s="87" t="str">
        <f>IFERROR(IF(OR($B14="",KP$3=""),"",_xll.ciqfunctions.udf.CIQ($B14, "IQ_NI", $I$3, KP$3,$J$3, ,$G$3,$H$3)*2/(_xll.ciqfunctions.udf.CIQ($B14, "IQ_TOTAL_ASSETS", $I$3, KP$3,$J$3, ,$G$3,$H$3)+_xll.ciqfunctions.udf.CIQ($B14, "IQ_TOTAL_ASSETS", $I$3 &amp; "-1", KP$3,$J$3, ,$G$3,$H$3)-_xll.ciqfunctions.udf.CIQ($B14, "IQ_TOTAL_CL", $I$3, KP$3,$J$3, ,$G$3,$H$3)-_xll.ciqfunctions.udf.CIQ($B14, "IQ_TOTAL_CL", $I$3 &amp; "-1", KP$3,$J$3, ,$G$3,$H$3))),"")</f>
        <v/>
      </c>
      <c r="KQ14" s="87" t="str">
        <f>IFERROR(IF(OR($B14="",KQ$3=""),"",_xll.ciqfunctions.udf.CIQ($B14, "IQ_NI", $I$3, KQ$3,$J$3, ,$G$3,$H$3)*2/(_xll.ciqfunctions.udf.CIQ($B14, "IQ_TOTAL_ASSETS", $I$3, KQ$3,$J$3, ,$G$3,$H$3)+_xll.ciqfunctions.udf.CIQ($B14, "IQ_TOTAL_ASSETS", $I$3 &amp; "-1", KQ$3,$J$3, ,$G$3,$H$3)-_xll.ciqfunctions.udf.CIQ($B14, "IQ_TOTAL_CL", $I$3, KQ$3,$J$3, ,$G$3,$H$3)-_xll.ciqfunctions.udf.CIQ($B14, "IQ_TOTAL_CL", $I$3 &amp; "-1", KQ$3,$J$3, ,$G$3,$H$3))),"")</f>
        <v/>
      </c>
      <c r="KR14" s="87" t="str">
        <f>IFERROR(IF(OR($B14="",KR$3=""),"",_xll.ciqfunctions.udf.CIQ($B14, "IQ_NI", $I$3, KR$3,$J$3, ,$G$3,$H$3)*2/(_xll.ciqfunctions.udf.CIQ($B14, "IQ_TOTAL_ASSETS", $I$3, KR$3,$J$3, ,$G$3,$H$3)+_xll.ciqfunctions.udf.CIQ($B14, "IQ_TOTAL_ASSETS", $I$3 &amp; "-1", KR$3,$J$3, ,$G$3,$H$3)-_xll.ciqfunctions.udf.CIQ($B14, "IQ_TOTAL_CL", $I$3, KR$3,$J$3, ,$G$3,$H$3)-_xll.ciqfunctions.udf.CIQ($B14, "IQ_TOTAL_CL", $I$3 &amp; "-1", KR$3,$J$3, ,$G$3,$H$3))),"")</f>
        <v/>
      </c>
      <c r="KS14" s="87" t="str">
        <f>IFERROR(IF(OR($B14="",KS$3=""),"",_xll.ciqfunctions.udf.CIQ($B14, "IQ_NI", $I$3, KS$3,$J$3, ,$G$3,$H$3)*2/(_xll.ciqfunctions.udf.CIQ($B14, "IQ_TOTAL_ASSETS", $I$3, KS$3,$J$3, ,$G$3,$H$3)+_xll.ciqfunctions.udf.CIQ($B14, "IQ_TOTAL_ASSETS", $I$3 &amp; "-1", KS$3,$J$3, ,$G$3,$H$3)-_xll.ciqfunctions.udf.CIQ($B14, "IQ_TOTAL_CL", $I$3, KS$3,$J$3, ,$G$3,$H$3)-_xll.ciqfunctions.udf.CIQ($B14, "IQ_TOTAL_CL", $I$3 &amp; "-1", KS$3,$J$3, ,$G$3,$H$3))),"")</f>
        <v/>
      </c>
      <c r="KT14" s="87" t="str">
        <f>IFERROR(IF(OR($B14="",KT$3=""),"",_xll.ciqfunctions.udf.CIQ($B14, "IQ_NI", $I$3, KT$3,$J$3, ,$G$3,$H$3)*2/(_xll.ciqfunctions.udf.CIQ($B14, "IQ_TOTAL_ASSETS", $I$3, KT$3,$J$3, ,$G$3,$H$3)+_xll.ciqfunctions.udf.CIQ($B14, "IQ_TOTAL_ASSETS", $I$3 &amp; "-1", KT$3,$J$3, ,$G$3,$H$3)-_xll.ciqfunctions.udf.CIQ($B14, "IQ_TOTAL_CL", $I$3, KT$3,$J$3, ,$G$3,$H$3)-_xll.ciqfunctions.udf.CIQ($B14, "IQ_TOTAL_CL", $I$3 &amp; "-1", KT$3,$J$3, ,$G$3,$H$3))),"")</f>
        <v/>
      </c>
      <c r="KU14" s="87" t="str">
        <f>IFERROR(IF(OR($B14="",KU$3=""),"",_xll.ciqfunctions.udf.CIQ($B14, "IQ_NI", $I$3, KU$3,$J$3, ,$G$3,$H$3)*2/(_xll.ciqfunctions.udf.CIQ($B14, "IQ_TOTAL_ASSETS", $I$3, KU$3,$J$3, ,$G$3,$H$3)+_xll.ciqfunctions.udf.CIQ($B14, "IQ_TOTAL_ASSETS", $I$3 &amp; "-1", KU$3,$J$3, ,$G$3,$H$3)-_xll.ciqfunctions.udf.CIQ($B14, "IQ_TOTAL_CL", $I$3, KU$3,$J$3, ,$G$3,$H$3)-_xll.ciqfunctions.udf.CIQ($B14, "IQ_TOTAL_CL", $I$3 &amp; "-1", KU$3,$J$3, ,$G$3,$H$3))),"")</f>
        <v/>
      </c>
      <c r="KV14" s="87" t="str">
        <f>IFERROR(IF(OR($B14="",KV$3=""),"",_xll.ciqfunctions.udf.CIQ($B14, "IQ_NI", $I$3, KV$3,$J$3, ,$G$3,$H$3)*2/(_xll.ciqfunctions.udf.CIQ($B14, "IQ_TOTAL_ASSETS", $I$3, KV$3,$J$3, ,$G$3,$H$3)+_xll.ciqfunctions.udf.CIQ($B14, "IQ_TOTAL_ASSETS", $I$3 &amp; "-1", KV$3,$J$3, ,$G$3,$H$3)-_xll.ciqfunctions.udf.CIQ($B14, "IQ_TOTAL_CL", $I$3, KV$3,$J$3, ,$G$3,$H$3)-_xll.ciqfunctions.udf.CIQ($B14, "IQ_TOTAL_CL", $I$3 &amp; "-1", KV$3,$J$3, ,$G$3,$H$3))),"")</f>
        <v/>
      </c>
      <c r="KW14" s="87" t="str">
        <f>IFERROR(IF(OR($B14="",KW$3=""),"",_xll.ciqfunctions.udf.CIQ($B14, "IQ_NI", $I$3, KW$3,$J$3, ,$G$3,$H$3)*2/(_xll.ciqfunctions.udf.CIQ($B14, "IQ_TOTAL_ASSETS", $I$3, KW$3,$J$3, ,$G$3,$H$3)+_xll.ciqfunctions.udf.CIQ($B14, "IQ_TOTAL_ASSETS", $I$3 &amp; "-1", KW$3,$J$3, ,$G$3,$H$3)-_xll.ciqfunctions.udf.CIQ($B14, "IQ_TOTAL_CL", $I$3, KW$3,$J$3, ,$G$3,$H$3)-_xll.ciqfunctions.udf.CIQ($B14, "IQ_TOTAL_CL", $I$3 &amp; "-1", KW$3,$J$3, ,$G$3,$H$3))),"")</f>
        <v/>
      </c>
      <c r="KX14" s="88" t="str">
        <f>IFERROR(IF(OR($B14="",KX$3=""),"",_xll.ciqfunctions.udf.CIQ($B14, "IQ_NI", $I$3, KX$3,$J$3, ,$G$3,$H$3)*2/(_xll.ciqfunctions.udf.CIQ($B14, "IQ_TOTAL_ASSETS", $I$3, KX$3,$J$3, ,$G$3,$H$3)+_xll.ciqfunctions.udf.CIQ($B14, "IQ_TOTAL_ASSETS", $I$3 &amp; "-1", KX$3,$J$3, ,$G$3,$H$3)-_xll.ciqfunctions.udf.CIQ($B14, "IQ_TOTAL_CL", $I$3, KX$3,$J$3, ,$G$3,$H$3)-_xll.ciqfunctions.udf.CIQ($B14, "IQ_TOTAL_CL", $I$3 &amp; "-1", KX$3,$J$3, ,$G$3,$H$3))),"")</f>
        <v/>
      </c>
      <c r="KY14" s="86" t="str">
        <f>IFERROR(IF(OR($B14="",KY$3=""),"",_xll.ciqfunctions.udf.CIQ($B14,"IQ_CASH_OPER",$I$3, KY$3,$J$3, ,$G$3,$H$3)*2/(_xll.ciqfunctions.udf.CIQ($B14,"IQ_TOTAL_CL",KY$3,$E$3, $J$3, , $G$3, $H$3)+_xll.ciqfunctions.udf.CIQ($B14,"IQ_TOTAL_CL","IQ_" &amp; LEFT(KY$3,2) &amp; "-1",KY$3, $J$3, , $G$3, $H$3))),"")</f>
        <v/>
      </c>
      <c r="KZ14" s="87" t="str">
        <f>IFERROR(IF(OR($B14="",KZ$3=""),"",_xll.ciqfunctions.udf.CIQ($B14,"IQ_CASH_OPER",$I$3, KZ$3,$J$3, ,$G$3,$H$3)*2/(_xll.ciqfunctions.udf.CIQ($B14,"IQ_TOTAL_CL",KZ$3,$E$3, $J$3, , $G$3, $H$3)+_xll.ciqfunctions.udf.CIQ($B14,"IQ_TOTAL_CL","IQ_" &amp; LEFT(KZ$3,2) &amp; "-1",KZ$3, $J$3, , $G$3, $H$3))),"")</f>
        <v/>
      </c>
      <c r="LA14" s="87" t="str">
        <f>IFERROR(IF(OR($B14="",LA$3=""),"",_xll.ciqfunctions.udf.CIQ($B14,"IQ_CASH_OPER",$I$3, LA$3,$J$3, ,$G$3,$H$3)*2/(_xll.ciqfunctions.udf.CIQ($B14,"IQ_TOTAL_CL",LA$3,$E$3, $J$3, , $G$3, $H$3)+_xll.ciqfunctions.udf.CIQ($B14,"IQ_TOTAL_CL","IQ_" &amp; LEFT(LA$3,2) &amp; "-1",LA$3, $J$3, , $G$3, $H$3))),"")</f>
        <v/>
      </c>
      <c r="LB14" s="87" t="str">
        <f>IFERROR(IF(OR($B14="",LB$3=""),"",_xll.ciqfunctions.udf.CIQ($B14,"IQ_CASH_OPER",$I$3, LB$3,$J$3, ,$G$3,$H$3)*2/(_xll.ciqfunctions.udf.CIQ($B14,"IQ_TOTAL_CL",LB$3,$E$3, $J$3, , $G$3, $H$3)+_xll.ciqfunctions.udf.CIQ($B14,"IQ_TOTAL_CL","IQ_" &amp; LEFT(LB$3,2) &amp; "-1",LB$3, $J$3, , $G$3, $H$3))),"")</f>
        <v/>
      </c>
      <c r="LC14" s="87" t="str">
        <f>IFERROR(IF(OR($B14="",LC$3=""),"",_xll.ciqfunctions.udf.CIQ($B14,"IQ_CASH_OPER",$I$3, LC$3,$J$3, ,$G$3,$H$3)*2/(_xll.ciqfunctions.udf.CIQ($B14,"IQ_TOTAL_CL",LC$3,$E$3, $J$3, , $G$3, $H$3)+_xll.ciqfunctions.udf.CIQ($B14,"IQ_TOTAL_CL","IQ_" &amp; LEFT(LC$3,2) &amp; "-1",LC$3, $J$3, , $G$3, $H$3))),"")</f>
        <v/>
      </c>
      <c r="LD14" s="87" t="str">
        <f>IFERROR(IF(OR($B14="",LD$3=""),"",_xll.ciqfunctions.udf.CIQ($B14,"IQ_CASH_OPER",$I$3, LD$3,$J$3, ,$G$3,$H$3)*2/(_xll.ciqfunctions.udf.CIQ($B14,"IQ_TOTAL_CL",LD$3,$E$3, $J$3, , $G$3, $H$3)+_xll.ciqfunctions.udf.CIQ($B14,"IQ_TOTAL_CL","IQ_" &amp; LEFT(LD$3,2) &amp; "-1",LD$3, $J$3, , $G$3, $H$3))),"")</f>
        <v/>
      </c>
      <c r="LE14" s="87" t="str">
        <f>IFERROR(IF(OR($B14="",LE$3=""),"",_xll.ciqfunctions.udf.CIQ($B14,"IQ_CASH_OPER",$I$3, LE$3,$J$3, ,$G$3,$H$3)*2/(_xll.ciqfunctions.udf.CIQ($B14,"IQ_TOTAL_CL",LE$3,$E$3, $J$3, , $G$3, $H$3)+_xll.ciqfunctions.udf.CIQ($B14,"IQ_TOTAL_CL","IQ_" &amp; LEFT(LE$3,2) &amp; "-1",LE$3, $J$3, , $G$3, $H$3))),"")</f>
        <v/>
      </c>
      <c r="LF14" s="87" t="str">
        <f>IFERROR(IF(OR($B14="",LF$3=""),"",_xll.ciqfunctions.udf.CIQ($B14,"IQ_CASH_OPER",$I$3, LF$3,$J$3, ,$G$3,$H$3)*2/(_xll.ciqfunctions.udf.CIQ($B14,"IQ_TOTAL_CL",LF$3,$E$3, $J$3, , $G$3, $H$3)+_xll.ciqfunctions.udf.CIQ($B14,"IQ_TOTAL_CL","IQ_" &amp; LEFT(LF$3,2) &amp; "-1",LF$3, $J$3, , $G$3, $H$3))),"")</f>
        <v/>
      </c>
      <c r="LG14" s="87" t="str">
        <f>IFERROR(IF(OR($B14="",LG$3=""),"",_xll.ciqfunctions.udf.CIQ($B14,"IQ_CASH_OPER",$I$3, LG$3,$J$3, ,$G$3,$H$3)*2/(_xll.ciqfunctions.udf.CIQ($B14,"IQ_TOTAL_CL",LG$3,$E$3, $J$3, , $G$3, $H$3)+_xll.ciqfunctions.udf.CIQ($B14,"IQ_TOTAL_CL","IQ_" &amp; LEFT(LG$3,2) &amp; "-1",LG$3, $J$3, , $G$3, $H$3))),"")</f>
        <v/>
      </c>
      <c r="LH14" s="87" t="str">
        <f>IFERROR(IF(OR($B14="",LH$3=""),"",_xll.ciqfunctions.udf.CIQ($B14,"IQ_CASH_OPER",$I$3, LH$3,$J$3, ,$G$3,$H$3)*2/(_xll.ciqfunctions.udf.CIQ($B14,"IQ_TOTAL_CL",LH$3,$E$3, $J$3, , $G$3, $H$3)+_xll.ciqfunctions.udf.CIQ($B14,"IQ_TOTAL_CL","IQ_" &amp; LEFT(LH$3,2) &amp; "-1",LH$3, $J$3, , $G$3, $H$3))),"")</f>
        <v/>
      </c>
      <c r="LI14" s="87" t="str">
        <f>IFERROR(IF(OR($B14="",LI$3=""),"",_xll.ciqfunctions.udf.CIQ($B14,"IQ_CASH_OPER",$I$3, LI$3,$J$3, ,$G$3,$H$3)*2/(_xll.ciqfunctions.udf.CIQ($B14,"IQ_TOTAL_CL",LI$3,$E$3, $J$3, , $G$3, $H$3)+_xll.ciqfunctions.udf.CIQ($B14,"IQ_TOTAL_CL","IQ_" &amp; LEFT(LI$3,2) &amp; "-1",LI$3, $J$3, , $G$3, $H$3))),"")</f>
        <v/>
      </c>
      <c r="LJ14" s="87" t="str">
        <f>IFERROR(IF(OR($B14="",LJ$3=""),"",_xll.ciqfunctions.udf.CIQ($B14,"IQ_CASH_OPER",$I$3, LJ$3,$J$3, ,$G$3,$H$3)*2/(_xll.ciqfunctions.udf.CIQ($B14,"IQ_TOTAL_CL",LJ$3,$E$3, $J$3, , $G$3, $H$3)+_xll.ciqfunctions.udf.CIQ($B14,"IQ_TOTAL_CL","IQ_" &amp; LEFT(LJ$3,2) &amp; "-1",LJ$3, $J$3, , $G$3, $H$3))),"")</f>
        <v/>
      </c>
      <c r="LK14" s="87" t="str">
        <f>IFERROR(IF(OR($B14="",LK$3=""),"",_xll.ciqfunctions.udf.CIQ($B14,"IQ_CASH_OPER",$I$3, LK$3,$J$3, ,$G$3,$H$3)*2/(_xll.ciqfunctions.udf.CIQ($B14,"IQ_TOTAL_CL",LK$3,$E$3, $J$3, , $G$3, $H$3)+_xll.ciqfunctions.udf.CIQ($B14,"IQ_TOTAL_CL","IQ_" &amp; LEFT(LK$3,2) &amp; "-1",LK$3, $J$3, , $G$3, $H$3))),"")</f>
        <v/>
      </c>
      <c r="LL14" s="87" t="str">
        <f>IFERROR(IF(OR($B14="",LL$3=""),"",_xll.ciqfunctions.udf.CIQ($B14,"IQ_CASH_OPER",$I$3, LL$3,$J$3, ,$G$3,$H$3)*2/(_xll.ciqfunctions.udf.CIQ($B14,"IQ_TOTAL_CL",LL$3,$E$3, $J$3, , $G$3, $H$3)+_xll.ciqfunctions.udf.CIQ($B14,"IQ_TOTAL_CL","IQ_" &amp; LEFT(LL$3,2) &amp; "-1",LL$3, $J$3, , $G$3, $H$3))),"")</f>
        <v/>
      </c>
      <c r="LM14" s="87" t="str">
        <f>IFERROR(IF(OR($B14="",LM$3=""),"",_xll.ciqfunctions.udf.CIQ($B14,"IQ_CASH_OPER",$I$3, LM$3,$J$3, ,$G$3,$H$3)*2/(_xll.ciqfunctions.udf.CIQ($B14,"IQ_TOTAL_CL",LM$3,$E$3, $J$3, , $G$3, $H$3)+_xll.ciqfunctions.udf.CIQ($B14,"IQ_TOTAL_CL","IQ_" &amp; LEFT(LM$3,2) &amp; "-1",LM$3, $J$3, , $G$3, $H$3))),"")</f>
        <v/>
      </c>
      <c r="LN14" s="87" t="str">
        <f>IFERROR(IF(OR($B14="",LN$3=""),"",_xll.ciqfunctions.udf.CIQ($B14,"IQ_CASH_OPER",$I$3, LN$3,$J$3, ,$G$3,$H$3)*2/(_xll.ciqfunctions.udf.CIQ($B14,"IQ_TOTAL_CL",LN$3,$E$3, $J$3, , $G$3, $H$3)+_xll.ciqfunctions.udf.CIQ($B14,"IQ_TOTAL_CL","IQ_" &amp; LEFT(LN$3,2) &amp; "-1",LN$3, $J$3, , $G$3, $H$3))),"")</f>
        <v/>
      </c>
      <c r="LO14" s="87" t="str">
        <f>IFERROR(IF(OR($B14="",LO$3=""),"",_xll.ciqfunctions.udf.CIQ($B14,"IQ_CASH_OPER",$I$3, LO$3,$J$3, ,$G$3,$H$3)*2/(_xll.ciqfunctions.udf.CIQ($B14,"IQ_TOTAL_CL",LO$3,$E$3, $J$3, , $G$3, $H$3)+_xll.ciqfunctions.udf.CIQ($B14,"IQ_TOTAL_CL","IQ_" &amp; LEFT(LO$3,2) &amp; "-1",LO$3, $J$3, , $G$3, $H$3))),"")</f>
        <v/>
      </c>
      <c r="LP14" s="87" t="str">
        <f>IFERROR(IF(OR($B14="",LP$3=""),"",_xll.ciqfunctions.udf.CIQ($B14,"IQ_CASH_OPER",$I$3, LP$3,$J$3, ,$G$3,$H$3)*2/(_xll.ciqfunctions.udf.CIQ($B14,"IQ_TOTAL_CL",LP$3,$E$3, $J$3, , $G$3, $H$3)+_xll.ciqfunctions.udf.CIQ($B14,"IQ_TOTAL_CL","IQ_" &amp; LEFT(LP$3,2) &amp; "-1",LP$3, $J$3, , $G$3, $H$3))),"")</f>
        <v/>
      </c>
      <c r="LQ14" s="87" t="str">
        <f>IFERROR(IF(OR($B14="",LQ$3=""),"",_xll.ciqfunctions.udf.CIQ($B14,"IQ_CASH_OPER",$I$3, LQ$3,$J$3, ,$G$3,$H$3)*2/(_xll.ciqfunctions.udf.CIQ($B14,"IQ_TOTAL_CL",LQ$3,$E$3, $J$3, , $G$3, $H$3)+_xll.ciqfunctions.udf.CIQ($B14,"IQ_TOTAL_CL","IQ_" &amp; LEFT(LQ$3,2) &amp; "-1",LQ$3, $J$3, , $G$3, $H$3))),"")</f>
        <v/>
      </c>
      <c r="LR14" s="88" t="str">
        <f>IFERROR(IF(OR($B14="",LR$3=""),"",_xll.ciqfunctions.udf.CIQ($B14,"IQ_CASH_OPER",$I$3, LR$3,$J$3, ,$G$3,$H$3)*2/(_xll.ciqfunctions.udf.CIQ($B14,"IQ_TOTAL_CL",LR$3,$E$3, $J$3, , $G$3, $H$3)+_xll.ciqfunctions.udf.CIQ($B14,"IQ_TOTAL_CL","IQ_" &amp; LEFT(LR$3,2) &amp; "-1",LR$3, $J$3, , $G$3, $H$3))),"")</f>
        <v/>
      </c>
      <c r="LS14" s="86" t="str">
        <f>IFERROR(IF(OR($B14="",LS$3=""),"",IF(_xll.ciqfunctions.udf.CIQ($B14,"IQ_INC_TAX",LS$3,$E$3, $J$3, , $G$3, $H$3)/ABS(_xll.ciqfunctions.udf.CIQ($B14,"IQ_EBT",IQ_LTM,$E$3, $J$3, , $G$3, $H$3))&lt;0,0,_xll.ciqfunctions.udf.CIQ($B14,"IQ_INC_TAX",LS$3,$E$3, $J$3, , $G$3, $H$3)/ABS(_xll.ciqfunctions.udf.CIQ($B14,"IQ_EBT",LS$3,$E$3, $J$3, , $G$3, $H$3)))),"")</f>
        <v/>
      </c>
      <c r="LT14" s="87" t="str">
        <f>IFERROR(IF(OR($B14="",LT$3=""),"",IF(_xll.ciqfunctions.udf.CIQ($B14,"IQ_INC_TAX",LT$3,$E$3, $J$3, , $G$3, $H$3)/ABS(_xll.ciqfunctions.udf.CIQ($B14,"IQ_EBT",IQ_LTM,$E$3, $J$3, , $G$3, $H$3))&lt;0,0,_xll.ciqfunctions.udf.CIQ($B14,"IQ_INC_TAX",LT$3,$E$3, $J$3, , $G$3, $H$3)/ABS(_xll.ciqfunctions.udf.CIQ($B14,"IQ_EBT",LT$3,$E$3, $J$3, , $G$3, $H$3)))),"")</f>
        <v/>
      </c>
      <c r="LU14" s="87" t="str">
        <f>IFERROR(IF(OR($B14="",LU$3=""),"",IF(_xll.ciqfunctions.udf.CIQ($B14,"IQ_INC_TAX",LU$3,$E$3, $J$3, , $G$3, $H$3)/ABS(_xll.ciqfunctions.udf.CIQ($B14,"IQ_EBT",IQ_LTM,$E$3, $J$3, , $G$3, $H$3))&lt;0,0,_xll.ciqfunctions.udf.CIQ($B14,"IQ_INC_TAX",LU$3,$E$3, $J$3, , $G$3, $H$3)/ABS(_xll.ciqfunctions.udf.CIQ($B14,"IQ_EBT",LU$3,$E$3, $J$3, , $G$3, $H$3)))),"")</f>
        <v/>
      </c>
      <c r="LV14" s="87" t="str">
        <f>IFERROR(IF(OR($B14="",LV$3=""),"",IF(_xll.ciqfunctions.udf.CIQ($B14,"IQ_INC_TAX",LV$3,$E$3, $J$3, , $G$3, $H$3)/ABS(_xll.ciqfunctions.udf.CIQ($B14,"IQ_EBT",IQ_LTM,$E$3, $J$3, , $G$3, $H$3))&lt;0,0,_xll.ciqfunctions.udf.CIQ($B14,"IQ_INC_TAX",LV$3,$E$3, $J$3, , $G$3, $H$3)/ABS(_xll.ciqfunctions.udf.CIQ($B14,"IQ_EBT",LV$3,$E$3, $J$3, , $G$3, $H$3)))),"")</f>
        <v/>
      </c>
      <c r="LW14" s="87" t="str">
        <f>IFERROR(IF(OR($B14="",LW$3=""),"",IF(_xll.ciqfunctions.udf.CIQ($B14,"IQ_INC_TAX",LW$3,$E$3, $J$3, , $G$3, $H$3)/ABS(_xll.ciqfunctions.udf.CIQ($B14,"IQ_EBT",IQ_LTM,$E$3, $J$3, , $G$3, $H$3))&lt;0,0,_xll.ciqfunctions.udf.CIQ($B14,"IQ_INC_TAX",LW$3,$E$3, $J$3, , $G$3, $H$3)/ABS(_xll.ciqfunctions.udf.CIQ($B14,"IQ_EBT",LW$3,$E$3, $J$3, , $G$3, $H$3)))),"")</f>
        <v/>
      </c>
      <c r="LX14" s="87" t="str">
        <f>IFERROR(IF(OR($B14="",LX$3=""),"",IF(_xll.ciqfunctions.udf.CIQ($B14,"IQ_INC_TAX",LX$3,$E$3, $J$3, , $G$3, $H$3)/ABS(_xll.ciqfunctions.udf.CIQ($B14,"IQ_EBT",IQ_LTM,$E$3, $J$3, , $G$3, $H$3))&lt;0,0,_xll.ciqfunctions.udf.CIQ($B14,"IQ_INC_TAX",LX$3,$E$3, $J$3, , $G$3, $H$3)/ABS(_xll.ciqfunctions.udf.CIQ($B14,"IQ_EBT",LX$3,$E$3, $J$3, , $G$3, $H$3)))),"")</f>
        <v/>
      </c>
      <c r="LY14" s="87" t="str">
        <f>IFERROR(IF(OR($B14="",LY$3=""),"",IF(_xll.ciqfunctions.udf.CIQ($B14,"IQ_INC_TAX",LY$3,$E$3, $J$3, , $G$3, $H$3)/ABS(_xll.ciqfunctions.udf.CIQ($B14,"IQ_EBT",IQ_LTM,$E$3, $J$3, , $G$3, $H$3))&lt;0,0,_xll.ciqfunctions.udf.CIQ($B14,"IQ_INC_TAX",LY$3,$E$3, $J$3, , $G$3, $H$3)/ABS(_xll.ciqfunctions.udf.CIQ($B14,"IQ_EBT",LY$3,$E$3, $J$3, , $G$3, $H$3)))),"")</f>
        <v/>
      </c>
      <c r="LZ14" s="87" t="str">
        <f>IFERROR(IF(OR($B14="",LZ$3=""),"",IF(_xll.ciqfunctions.udf.CIQ($B14,"IQ_INC_TAX",LZ$3,$E$3, $J$3, , $G$3, $H$3)/ABS(_xll.ciqfunctions.udf.CIQ($B14,"IQ_EBT",IQ_LTM,$E$3, $J$3, , $G$3, $H$3))&lt;0,0,_xll.ciqfunctions.udf.CIQ($B14,"IQ_INC_TAX",LZ$3,$E$3, $J$3, , $G$3, $H$3)/ABS(_xll.ciqfunctions.udf.CIQ($B14,"IQ_EBT",LZ$3,$E$3, $J$3, , $G$3, $H$3)))),"")</f>
        <v/>
      </c>
      <c r="MA14" s="87" t="str">
        <f>IFERROR(IF(OR($B14="",MA$3=""),"",IF(_xll.ciqfunctions.udf.CIQ($B14,"IQ_INC_TAX",MA$3,$E$3, $J$3, , $G$3, $H$3)/ABS(_xll.ciqfunctions.udf.CIQ($B14,"IQ_EBT",IQ_LTM,$E$3, $J$3, , $G$3, $H$3))&lt;0,0,_xll.ciqfunctions.udf.CIQ($B14,"IQ_INC_TAX",MA$3,$E$3, $J$3, , $G$3, $H$3)/ABS(_xll.ciqfunctions.udf.CIQ($B14,"IQ_EBT",MA$3,$E$3, $J$3, , $G$3, $H$3)))),"")</f>
        <v/>
      </c>
      <c r="MB14" s="87" t="str">
        <f>IFERROR(IF(OR($B14="",MB$3=""),"",IF(_xll.ciqfunctions.udf.CIQ($B14,"IQ_INC_TAX",MB$3,$E$3, $J$3, , $G$3, $H$3)/ABS(_xll.ciqfunctions.udf.CIQ($B14,"IQ_EBT",IQ_LTM,$E$3, $J$3, , $G$3, $H$3))&lt;0,0,_xll.ciqfunctions.udf.CIQ($B14,"IQ_INC_TAX",MB$3,$E$3, $J$3, , $G$3, $H$3)/ABS(_xll.ciqfunctions.udf.CIQ($B14,"IQ_EBT",MB$3,$E$3, $J$3, , $G$3, $H$3)))),"")</f>
        <v/>
      </c>
      <c r="MC14" s="87" t="str">
        <f>IFERROR(IF(OR($B14="",MC$3=""),"",IF(_xll.ciqfunctions.udf.CIQ($B14,"IQ_INC_TAX",MC$3,$E$3, $J$3, , $G$3, $H$3)/ABS(_xll.ciqfunctions.udf.CIQ($B14,"IQ_EBT",IQ_LTM,$E$3, $J$3, , $G$3, $H$3))&lt;0,0,_xll.ciqfunctions.udf.CIQ($B14,"IQ_INC_TAX",MC$3,$E$3, $J$3, , $G$3, $H$3)/ABS(_xll.ciqfunctions.udf.CIQ($B14,"IQ_EBT",MC$3,$E$3, $J$3, , $G$3, $H$3)))),"")</f>
        <v/>
      </c>
      <c r="MD14" s="317" t="str">
        <f>IFERROR(IF(OR($B14="",MD$3=""),"",IF(_xll.ciqfunctions.udf.CIQ($B14,"IQ_INC_TAX",MD$3,$E$3, $J$3, , $G$3, $H$3)/ABS(_xll.ciqfunctions.udf.CIQ($B14,"IQ_EBT",IQ_LTM,$E$3, $J$3, , $G$3, $H$3))&lt;0,0,_xll.ciqfunctions.udf.CIQ($B14,"IQ_INC_TAX",MD$3,$E$3, $J$3, , $G$3, $H$3)/ABS(_xll.ciqfunctions.udf.CIQ($B14,"IQ_EBT",MD$3,$E$3, $J$3, , $G$3, $H$3)))),"")</f>
        <v/>
      </c>
      <c r="ME14" s="314" t="str">
        <f>IFERROR(IF(OR($B14="",ME$3=""),"",IF(_xll.ciqfunctions.udf.CIQ($B14,"IQ_INC_TAX",ME$3,$E$3, $J$3, , $G$3, $H$3)/ABS(_xll.ciqfunctions.udf.CIQ($B14,"IQ_EBT",IQ_LTM,$E$3, $J$3, , $G$3, $H$3))&lt;0,0,_xll.ciqfunctions.udf.CIQ($B14,"IQ_INC_TAX",ME$3,$E$3, $J$3, , $G$3, $H$3)/ABS(_xll.ciqfunctions.udf.CIQ($B14,"IQ_EBT",ME$3,$E$3, $J$3, , $G$3, $H$3)))),"")</f>
        <v/>
      </c>
      <c r="MF14" s="87" t="str">
        <f>IFERROR(IF(OR($B14="",MF$3=""),"",IF(_xll.ciqfunctions.udf.CIQ($B14,"IQ_INC_TAX",MF$3,$E$3, $J$3, , $G$3, $H$3)/ABS(_xll.ciqfunctions.udf.CIQ($B14,"IQ_EBT",IQ_LTM,$E$3, $J$3, , $G$3, $H$3))&lt;0,0,_xll.ciqfunctions.udf.CIQ($B14,"IQ_INC_TAX",MF$3,$E$3, $J$3, , $G$3, $H$3)/ABS(_xll.ciqfunctions.udf.CIQ($B14,"IQ_EBT",MF$3,$E$3, $J$3, , $G$3, $H$3)))),"")</f>
        <v/>
      </c>
      <c r="MG14" s="87" t="str">
        <f>IFERROR(IF(OR($B14="",MG$3=""),"",IF(_xll.ciqfunctions.udf.CIQ($B14,"IQ_INC_TAX",MG$3,$E$3, $J$3, , $G$3, $H$3)/ABS(_xll.ciqfunctions.udf.CIQ($B14,"IQ_EBT",IQ_LTM,$E$3, $J$3, , $G$3, $H$3))&lt;0,0,_xll.ciqfunctions.udf.CIQ($B14,"IQ_INC_TAX",MG$3,$E$3, $J$3, , $G$3, $H$3)/ABS(_xll.ciqfunctions.udf.CIQ($B14,"IQ_EBT",MG$3,$E$3, $J$3, , $G$3, $H$3)))),"")</f>
        <v/>
      </c>
      <c r="MH14" s="87" t="str">
        <f>IFERROR(IF(OR($B14="",MH$3=""),"",IF(_xll.ciqfunctions.udf.CIQ($B14,"IQ_INC_TAX",MH$3,$E$3, $J$3, , $G$3, $H$3)/ABS(_xll.ciqfunctions.udf.CIQ($B14,"IQ_EBT",IQ_LTM,$E$3, $J$3, , $G$3, $H$3))&lt;0,0,_xll.ciqfunctions.udf.CIQ($B14,"IQ_INC_TAX",MH$3,$E$3, $J$3, , $G$3, $H$3)/ABS(_xll.ciqfunctions.udf.CIQ($B14,"IQ_EBT",MH$3,$E$3, $J$3, , $G$3, $H$3)))),"")</f>
        <v/>
      </c>
      <c r="MI14" s="87" t="str">
        <f>IFERROR(IF(OR($B14="",MI$3=""),"",IF(_xll.ciqfunctions.udf.CIQ($B14,"IQ_INC_TAX",MI$3,$E$3, $J$3, , $G$3, $H$3)/ABS(_xll.ciqfunctions.udf.CIQ($B14,"IQ_EBT",IQ_LTM,$E$3, $J$3, , $G$3, $H$3))&lt;0,0,_xll.ciqfunctions.udf.CIQ($B14,"IQ_INC_TAX",MI$3,$E$3, $J$3, , $G$3, $H$3)/ABS(_xll.ciqfunctions.udf.CIQ($B14,"IQ_EBT",MI$3,$E$3, $J$3, , $G$3, $H$3)))),"")</f>
        <v/>
      </c>
      <c r="MJ14" s="87" t="str">
        <f>IFERROR(IF(OR($B14="",MJ$3=""),"",IF(_xll.ciqfunctions.udf.CIQ($B14,"IQ_INC_TAX",MJ$3,$E$3, $J$3, , $G$3, $H$3)/ABS(_xll.ciqfunctions.udf.CIQ($B14,"IQ_EBT",IQ_LTM,$E$3, $J$3, , $G$3, $H$3))&lt;0,0,_xll.ciqfunctions.udf.CIQ($B14,"IQ_INC_TAX",MJ$3,$E$3, $J$3, , $G$3, $H$3)/ABS(_xll.ciqfunctions.udf.CIQ($B14,"IQ_EBT",MJ$3,$E$3, $J$3, , $G$3, $H$3)))),"")</f>
        <v/>
      </c>
      <c r="MK14" s="87" t="str">
        <f>IFERROR(IF(OR($B14="",MK$3=""),"",IF(_xll.ciqfunctions.udf.CIQ($B14,"IQ_INC_TAX",MK$3,$E$3, $J$3, , $G$3, $H$3)/ABS(_xll.ciqfunctions.udf.CIQ($B14,"IQ_EBT",IQ_LTM,$E$3, $J$3, , $G$3, $H$3))&lt;0,0,_xll.ciqfunctions.udf.CIQ($B14,"IQ_INC_TAX",MK$3,$E$3, $J$3, , $G$3, $H$3)/ABS(_xll.ciqfunctions.udf.CIQ($B14,"IQ_EBT",MK$3,$E$3, $J$3, , $G$3, $H$3)))),"")</f>
        <v/>
      </c>
      <c r="ML14" s="88" t="str">
        <f>IFERROR(IF(OR($B14="",ML$3=""),"",IF(_xll.ciqfunctions.udf.CIQ($B14,"IQ_INC_TAX",ML$3,$E$3, $J$3, , $G$3, $H$3)/ABS(_xll.ciqfunctions.udf.CIQ($B14,"IQ_EBT",IQ_LTM,$E$3, $J$3, , $G$3, $H$3))&lt;0,0,_xll.ciqfunctions.udf.CIQ($B14,"IQ_INC_TAX",ML$3,$E$3, $J$3, , $G$3, $H$3)/ABS(_xll.ciqfunctions.udf.CIQ($B14,"IQ_EBT",ML$3,$E$3, $J$3, , $G$3, $H$3)))),"")</f>
        <v/>
      </c>
      <c r="MM14" s="72" t="str">
        <f>IFERROR(IF(OR($B14="",MM$3=""),"",(_xll.ciqfunctions.udf.CIQ($B14,"IQ_TIER_ONE_CAPITAL",MM$3,$E$3, $J$3, , $G$3, $H$3)+_xll.ciqfunctions.udf.CIQ($B14,"IQ_TIER_TWO_CAPITAL",MM$3,$E$3, $J$3, , $G$3, $H$3)-_xll.ciqfunctions.udf.CIQ($B14,"IQ_GW",MM$3,$E$3, $J$3, , $G$3, $H$3))/_xll.ciqfunctions.udf.CIQ($B14,"IQ_RISK_ADJ_BANK_ASSETS",MM$3,$E$3, $J$3, , $G$3, $H$3)),"")</f>
        <v/>
      </c>
      <c r="MN14" s="72" t="str">
        <f>IFERROR(IF(OR($B14="",MN$3=""),"",(_xll.ciqfunctions.udf.CIQ($B14,"IQ_TIER_ONE_CAPITAL",MN$3,$E$3, $J$3, , $G$3, $H$3)+_xll.ciqfunctions.udf.CIQ($B14,"IQ_TIER_TWO_CAPITAL",MN$3,$E$3, $J$3, , $G$3, $H$3)-_xll.ciqfunctions.udf.CIQ($B14,"IQ_GW",MN$3,$E$3, $J$3, , $G$3, $H$3))/_xll.ciqfunctions.udf.CIQ($B14,"IQ_RISK_ADJ_BANK_ASSETS",MN$3,$E$3, $J$3, , $G$3, $H$3)),"")</f>
        <v/>
      </c>
      <c r="MO14" s="72" t="str">
        <f>IFERROR(IF(OR($B14="",MO$3=""),"",(_xll.ciqfunctions.udf.CIQ($B14,"IQ_TIER_ONE_CAPITAL",MO$3,$E$3, $J$3, , $G$3, $H$3)+_xll.ciqfunctions.udf.CIQ($B14,"IQ_TIER_TWO_CAPITAL",MO$3,$E$3, $J$3, , $G$3, $H$3)-_xll.ciqfunctions.udf.CIQ($B14,"IQ_GW",MO$3,$E$3, $J$3, , $G$3, $H$3))/_xll.ciqfunctions.udf.CIQ($B14,"IQ_RISK_ADJ_BANK_ASSETS",MO$3,$E$3, $J$3, , $G$3, $H$3)),"")</f>
        <v/>
      </c>
      <c r="MP14" s="72" t="str">
        <f>IFERROR(IF(OR($B14="",MP$3=""),"",(_xll.ciqfunctions.udf.CIQ($B14,"IQ_TIER_ONE_CAPITAL",MP$3,$E$3, $J$3, , $G$3, $H$3)+_xll.ciqfunctions.udf.CIQ($B14,"IQ_TIER_TWO_CAPITAL",MP$3,$E$3, $J$3, , $G$3, $H$3)-_xll.ciqfunctions.udf.CIQ($B14,"IQ_GW",MP$3,$E$3, $J$3, , $G$3, $H$3))/_xll.ciqfunctions.udf.CIQ($B14,"IQ_RISK_ADJ_BANK_ASSETS",MP$3,$E$3, $J$3, , $G$3, $H$3)),"")</f>
        <v/>
      </c>
      <c r="MQ14" s="72" t="str">
        <f>IFERROR(IF(OR($B14="",MQ$3=""),"",(_xll.ciqfunctions.udf.CIQ($B14,"IQ_TIER_ONE_CAPITAL",MQ$3,$E$3, $J$3, , $G$3, $H$3)+_xll.ciqfunctions.udf.CIQ($B14,"IQ_TIER_TWO_CAPITAL",MQ$3,$E$3, $J$3, , $G$3, $H$3)-_xll.ciqfunctions.udf.CIQ($B14,"IQ_GW",MQ$3,$E$3, $J$3, , $G$3, $H$3))/_xll.ciqfunctions.udf.CIQ($B14,"IQ_RISK_ADJ_BANK_ASSETS",MQ$3,$E$3, $J$3, , $G$3, $H$3)),"")</f>
        <v/>
      </c>
      <c r="MR14" s="72" t="str">
        <f>IFERROR(IF(OR($B14="",MR$3=""),"",(_xll.ciqfunctions.udf.CIQ($B14,"IQ_TIER_ONE_CAPITAL",MR$3,$E$3, $J$3, , $G$3, $H$3)+_xll.ciqfunctions.udf.CIQ($B14,"IQ_TIER_TWO_CAPITAL",MR$3,$E$3, $J$3, , $G$3, $H$3)-_xll.ciqfunctions.udf.CIQ($B14,"IQ_GW",MR$3,$E$3, $J$3, , $G$3, $H$3))/_xll.ciqfunctions.udf.CIQ($B14,"IQ_RISK_ADJ_BANK_ASSETS",MR$3,$E$3, $J$3, , $G$3, $H$3)),"")</f>
        <v/>
      </c>
      <c r="MS14" s="72" t="str">
        <f>IFERROR(IF(OR($B14="",MS$3=""),"",(_xll.ciqfunctions.udf.CIQ($B14,"IQ_TIER_ONE_CAPITAL",MS$3,$E$3, $J$3, , $G$3, $H$3)+_xll.ciqfunctions.udf.CIQ($B14,"IQ_TIER_TWO_CAPITAL",MS$3,$E$3, $J$3, , $G$3, $H$3)-_xll.ciqfunctions.udf.CIQ($B14,"IQ_GW",MS$3,$E$3, $J$3, , $G$3, $H$3))/_xll.ciqfunctions.udf.CIQ($B14,"IQ_RISK_ADJ_BANK_ASSETS",MS$3,$E$3, $J$3, , $G$3, $H$3)),"")</f>
        <v/>
      </c>
      <c r="MT14" s="72" t="str">
        <f>IFERROR(IF(OR($B14="",MT$3=""),"",(_xll.ciqfunctions.udf.CIQ($B14,"IQ_TIER_ONE_CAPITAL",MT$3,$E$3, $J$3, , $G$3, $H$3)+_xll.ciqfunctions.udf.CIQ($B14,"IQ_TIER_TWO_CAPITAL",MT$3,$E$3, $J$3, , $G$3, $H$3)-_xll.ciqfunctions.udf.CIQ($B14,"IQ_GW",MT$3,$E$3, $J$3, , $G$3, $H$3))/_xll.ciqfunctions.udf.CIQ($B14,"IQ_RISK_ADJ_BANK_ASSETS",MT$3,$E$3, $J$3, , $G$3, $H$3)),"")</f>
        <v/>
      </c>
      <c r="MU14" s="72" t="str">
        <f>IFERROR(IF(OR($B14="",MU$3=""),"",(_xll.ciqfunctions.udf.CIQ($B14,"IQ_TIER_ONE_CAPITAL",MU$3,$E$3, $J$3, , $G$3, $H$3)+_xll.ciqfunctions.udf.CIQ($B14,"IQ_TIER_TWO_CAPITAL",MU$3,$E$3, $J$3, , $G$3, $H$3)-_xll.ciqfunctions.udf.CIQ($B14,"IQ_GW",MU$3,$E$3, $J$3, , $G$3, $H$3))/_xll.ciqfunctions.udf.CIQ($B14,"IQ_RISK_ADJ_BANK_ASSETS",MU$3,$E$3, $J$3, , $G$3, $H$3)),"")</f>
        <v/>
      </c>
      <c r="MV14" s="72" t="str">
        <f>IFERROR(IF(OR($B14="",MV$3=""),"",(_xll.ciqfunctions.udf.CIQ($B14,"IQ_TIER_ONE_CAPITAL",MV$3,$E$3, $J$3, , $G$3, $H$3)+_xll.ciqfunctions.udf.CIQ($B14,"IQ_TIER_TWO_CAPITAL",MV$3,$E$3, $J$3, , $G$3, $H$3)-_xll.ciqfunctions.udf.CIQ($B14,"IQ_GW",MV$3,$E$3, $J$3, , $G$3, $H$3))/_xll.ciqfunctions.udf.CIQ($B14,"IQ_RISK_ADJ_BANK_ASSETS",MV$3,$E$3, $J$3, , $G$3, $H$3)),"")</f>
        <v/>
      </c>
      <c r="MW14" s="72" t="str">
        <f>IFERROR(IF(OR($B14="",MW$3=""),"",(_xll.ciqfunctions.udf.CIQ($B14,"IQ_TIER_ONE_CAPITAL",MW$3,$E$3, $J$3, , $G$3, $H$3)+_xll.ciqfunctions.udf.CIQ($B14,"IQ_TIER_TWO_CAPITAL",MW$3,$E$3, $J$3, , $G$3, $H$3)-_xll.ciqfunctions.udf.CIQ($B14,"IQ_GW",MW$3,$E$3, $J$3, , $G$3, $H$3))/_xll.ciqfunctions.udf.CIQ($B14,"IQ_RISK_ADJ_BANK_ASSETS",MW$3,$E$3, $J$3, , $G$3, $H$3)),"")</f>
        <v/>
      </c>
      <c r="MX14" s="72" t="str">
        <f>IFERROR(IF(OR($B14="",MX$3=""),"",(_xll.ciqfunctions.udf.CIQ($B14,"IQ_TIER_ONE_CAPITAL",MX$3,$E$3, $J$3, , $G$3, $H$3)+_xll.ciqfunctions.udf.CIQ($B14,"IQ_TIER_TWO_CAPITAL",MX$3,$E$3, $J$3, , $G$3, $H$3)-_xll.ciqfunctions.udf.CIQ($B14,"IQ_GW",MX$3,$E$3, $J$3, , $G$3, $H$3))/_xll.ciqfunctions.udf.CIQ($B14,"IQ_RISK_ADJ_BANK_ASSETS",MX$3,$E$3, $J$3, , $G$3, $H$3)),"")</f>
        <v/>
      </c>
      <c r="MY14" s="72" t="str">
        <f>IFERROR(IF(OR($B14="",MY$3=""),"",(_xll.ciqfunctions.udf.CIQ($B14,"IQ_TIER_ONE_CAPITAL",MY$3,$E$3, $J$3, , $G$3, $H$3)+_xll.ciqfunctions.udf.CIQ($B14,"IQ_TIER_TWO_CAPITAL",MY$3,$E$3, $J$3, , $G$3, $H$3)-_xll.ciqfunctions.udf.CIQ($B14,"IQ_GW",MY$3,$E$3, $J$3, , $G$3, $H$3))/_xll.ciqfunctions.udf.CIQ($B14,"IQ_RISK_ADJ_BANK_ASSETS",MY$3,$E$3, $J$3, , $G$3, $H$3)),"")</f>
        <v/>
      </c>
      <c r="MZ14" s="72" t="str">
        <f>IFERROR(IF(OR($B14="",MZ$3=""),"",(_xll.ciqfunctions.udf.CIQ($B14,"IQ_TIER_ONE_CAPITAL",MZ$3,$E$3, $J$3, , $G$3, $H$3)+_xll.ciqfunctions.udf.CIQ($B14,"IQ_TIER_TWO_CAPITAL",MZ$3,$E$3, $J$3, , $G$3, $H$3)-_xll.ciqfunctions.udf.CIQ($B14,"IQ_GW",MZ$3,$E$3, $J$3, , $G$3, $H$3))/_xll.ciqfunctions.udf.CIQ($B14,"IQ_RISK_ADJ_BANK_ASSETS",MZ$3,$E$3, $J$3, , $G$3, $H$3)),"")</f>
        <v/>
      </c>
      <c r="NA14" s="72" t="str">
        <f>IFERROR(IF(OR($B14="",NA$3=""),"",(_xll.ciqfunctions.udf.CIQ($B14,"IQ_TIER_ONE_CAPITAL",NA$3,$E$3, $J$3, , $G$3, $H$3)+_xll.ciqfunctions.udf.CIQ($B14,"IQ_TIER_TWO_CAPITAL",NA$3,$E$3, $J$3, , $G$3, $H$3)-_xll.ciqfunctions.udf.CIQ($B14,"IQ_GW",NA$3,$E$3, $J$3, , $G$3, $H$3))/_xll.ciqfunctions.udf.CIQ($B14,"IQ_RISK_ADJ_BANK_ASSETS",NA$3,$E$3, $J$3, , $G$3, $H$3)),"")</f>
        <v/>
      </c>
      <c r="NB14" s="72" t="str">
        <f>IFERROR(IF(OR($B14="",NB$3=""),"",(_xll.ciqfunctions.udf.CIQ($B14,"IQ_TIER_ONE_CAPITAL",NB$3,$E$3, $J$3, , $G$3, $H$3)+_xll.ciqfunctions.udf.CIQ($B14,"IQ_TIER_TWO_CAPITAL",NB$3,$E$3, $J$3, , $G$3, $H$3)-_xll.ciqfunctions.udf.CIQ($B14,"IQ_GW",NB$3,$E$3, $J$3, , $G$3, $H$3))/_xll.ciqfunctions.udf.CIQ($B14,"IQ_RISK_ADJ_BANK_ASSETS",NB$3,$E$3, $J$3, , $G$3, $H$3)),"")</f>
        <v/>
      </c>
      <c r="NC14" s="72" t="str">
        <f>IFERROR(IF(OR($B14="",NC$3=""),"",(_xll.ciqfunctions.udf.CIQ($B14,"IQ_TIER_ONE_CAPITAL",NC$3,$E$3, $J$3, , $G$3, $H$3)+_xll.ciqfunctions.udf.CIQ($B14,"IQ_TIER_TWO_CAPITAL",NC$3,$E$3, $J$3, , $G$3, $H$3)-_xll.ciqfunctions.udf.CIQ($B14,"IQ_GW",NC$3,$E$3, $J$3, , $G$3, $H$3))/_xll.ciqfunctions.udf.CIQ($B14,"IQ_RISK_ADJ_BANK_ASSETS",NC$3,$E$3, $J$3, , $G$3, $H$3)),"")</f>
        <v/>
      </c>
      <c r="ND14" s="72" t="str">
        <f>IFERROR(IF(OR($B14="",ND$3=""),"",(_xll.ciqfunctions.udf.CIQ($B14,"IQ_TIER_ONE_CAPITAL",ND$3,$E$3, $J$3, , $G$3, $H$3)+_xll.ciqfunctions.udf.CIQ($B14,"IQ_TIER_TWO_CAPITAL",ND$3,$E$3, $J$3, , $G$3, $H$3)-_xll.ciqfunctions.udf.CIQ($B14,"IQ_GW",ND$3,$E$3, $J$3, , $G$3, $H$3))/_xll.ciqfunctions.udf.CIQ($B14,"IQ_RISK_ADJ_BANK_ASSETS",ND$3,$E$3, $J$3, , $G$3, $H$3)),"")</f>
        <v/>
      </c>
      <c r="NE14" s="72" t="str">
        <f>IFERROR(IF(OR($B14="",NE$3=""),"",(_xll.ciqfunctions.udf.CIQ($B14,"IQ_TIER_ONE_CAPITAL",NE$3,$E$3, $J$3, , $G$3, $H$3)+_xll.ciqfunctions.udf.CIQ($B14,"IQ_TIER_TWO_CAPITAL",NE$3,$E$3, $J$3, , $G$3, $H$3)-_xll.ciqfunctions.udf.CIQ($B14,"IQ_GW",NE$3,$E$3, $J$3, , $G$3, $H$3))/_xll.ciqfunctions.udf.CIQ($B14,"IQ_RISK_ADJ_BANK_ASSETS",NE$3,$E$3, $J$3, , $G$3, $H$3)),"")</f>
        <v/>
      </c>
      <c r="NF14" s="72" t="str">
        <f>IFERROR(IF(OR($B14="",NF$3=""),"",(_xll.ciqfunctions.udf.CIQ($B14,"IQ_TIER_ONE_CAPITAL",NF$3,$E$3, $J$3, , $G$3, $H$3)+_xll.ciqfunctions.udf.CIQ($B14,"IQ_TIER_TWO_CAPITAL",NF$3,$E$3, $J$3, , $G$3, $H$3)-_xll.ciqfunctions.udf.CIQ($B14,"IQ_GW",NF$3,$E$3, $J$3, , $G$3, $H$3))/_xll.ciqfunctions.udf.CIQ($B14,"IQ_RISK_ADJ_BANK_ASSETS",NF$3,$E$3, $J$3, , $G$3, $H$3)),"")</f>
        <v/>
      </c>
      <c r="NG14" s="72" t="str">
        <f>IFERROR(IF(OR($B14="",NG$3=""),"",-_xll.ciqfunctions.udf.CIQ($B14,"IQ_ALLOW_LL",NG$3,$E$3, $J$3, , $G$3, $H$3)/_xll.ciqfunctions.udf.CIQ($B14,"IQ_TOTAL_LOANS",NG$3,$E$3, $J$3, , $G$3, $H$3)),"")</f>
        <v/>
      </c>
      <c r="NH14" s="72" t="str">
        <f>IFERROR(IF(OR($B14="",NH$3=""),"",-_xll.ciqfunctions.udf.CIQ($B14,"IQ_ALLOW_LL",NH$3,$E$3, $J$3, , $G$3, $H$3)/_xll.ciqfunctions.udf.CIQ($B14,"IQ_TOTAL_LOANS",NH$3,$E$3, $J$3, , $G$3, $H$3)),"")</f>
        <v/>
      </c>
      <c r="NI14" s="72" t="str">
        <f>IFERROR(IF(OR($B14="",NI$3=""),"",-_xll.ciqfunctions.udf.CIQ($B14,"IQ_ALLOW_LL",NI$3,$E$3, $J$3, , $G$3, $H$3)/_xll.ciqfunctions.udf.CIQ($B14,"IQ_TOTAL_LOANS",NI$3,$E$3, $J$3, , $G$3, $H$3)),"")</f>
        <v/>
      </c>
      <c r="NJ14" s="72" t="str">
        <f>IFERROR(IF(OR($B14="",NJ$3=""),"",-_xll.ciqfunctions.udf.CIQ($B14,"IQ_ALLOW_LL",NJ$3,$E$3, $J$3, , $G$3, $H$3)/_xll.ciqfunctions.udf.CIQ($B14,"IQ_TOTAL_LOANS",NJ$3,$E$3, $J$3, , $G$3, $H$3)),"")</f>
        <v/>
      </c>
      <c r="NK14" s="72" t="str">
        <f>IFERROR(IF(OR($B14="",NK$3=""),"",-_xll.ciqfunctions.udf.CIQ($B14,"IQ_ALLOW_LL",NK$3,$E$3, $J$3, , $G$3, $H$3)/_xll.ciqfunctions.udf.CIQ($B14,"IQ_TOTAL_LOANS",NK$3,$E$3, $J$3, , $G$3, $H$3)),"")</f>
        <v/>
      </c>
      <c r="NL14" s="72" t="str">
        <f>IFERROR(IF(OR($B14="",NL$3=""),"",-_xll.ciqfunctions.udf.CIQ($B14,"IQ_ALLOW_LL",NL$3,$E$3, $J$3, , $G$3, $H$3)/_xll.ciqfunctions.udf.CIQ($B14,"IQ_TOTAL_LOANS",NL$3,$E$3, $J$3, , $G$3, $H$3)),"")</f>
        <v/>
      </c>
      <c r="NM14" s="72" t="str">
        <f>IFERROR(IF(OR($B14="",NM$3=""),"",-_xll.ciqfunctions.udf.CIQ($B14,"IQ_ALLOW_LL",NM$3,$E$3, $J$3, , $G$3, $H$3)/_xll.ciqfunctions.udf.CIQ($B14,"IQ_TOTAL_LOANS",NM$3,$E$3, $J$3, , $G$3, $H$3)),"")</f>
        <v/>
      </c>
      <c r="NN14" s="72" t="str">
        <f>IFERROR(IF(OR($B14="",NN$3=""),"",-_xll.ciqfunctions.udf.CIQ($B14,"IQ_ALLOW_LL",NN$3,$E$3, $J$3, , $G$3, $H$3)/_xll.ciqfunctions.udf.CIQ($B14,"IQ_TOTAL_LOANS",NN$3,$E$3, $J$3, , $G$3, $H$3)),"")</f>
        <v/>
      </c>
      <c r="NO14" s="72" t="str">
        <f>IFERROR(IF(OR($B14="",NO$3=""),"",-_xll.ciqfunctions.udf.CIQ($B14,"IQ_ALLOW_LL",NO$3,$E$3, $J$3, , $G$3, $H$3)/_xll.ciqfunctions.udf.CIQ($B14,"IQ_TOTAL_LOANS",NO$3,$E$3, $J$3, , $G$3, $H$3)),"")</f>
        <v/>
      </c>
      <c r="NP14" s="72" t="str">
        <f>IFERROR(IF(OR($B14="",NP$3=""),"",-_xll.ciqfunctions.udf.CIQ($B14,"IQ_ALLOW_LL",NP$3,$E$3, $J$3, , $G$3, $H$3)/_xll.ciqfunctions.udf.CIQ($B14,"IQ_TOTAL_LOANS",NP$3,$E$3, $J$3, , $G$3, $H$3)),"")</f>
        <v/>
      </c>
      <c r="NQ14" s="72" t="str">
        <f>IFERROR(IF(OR($B14="",NQ$3=""),"",-_xll.ciqfunctions.udf.CIQ($B14,"IQ_ALLOW_LL",NQ$3,$E$3, $J$3, , $G$3, $H$3)/_xll.ciqfunctions.udf.CIQ($B14,"IQ_TOTAL_LOANS",NQ$3,$E$3, $J$3, , $G$3, $H$3)),"")</f>
        <v/>
      </c>
      <c r="NR14" s="72" t="str">
        <f>IFERROR(IF(OR($B14="",NR$3=""),"",-_xll.ciqfunctions.udf.CIQ($B14,"IQ_ALLOW_LL",NR$3,$E$3, $J$3, , $G$3, $H$3)/_xll.ciqfunctions.udf.CIQ($B14,"IQ_TOTAL_LOANS",NR$3,$E$3, $J$3, , $G$3, $H$3)),"")</f>
        <v/>
      </c>
      <c r="NS14" s="72" t="str">
        <f>IFERROR(IF(OR($B14="",NS$3=""),"",-_xll.ciqfunctions.udf.CIQ($B14,"IQ_ALLOW_LL",NS$3,$E$3, $J$3, , $G$3, $H$3)/_xll.ciqfunctions.udf.CIQ($B14,"IQ_TOTAL_LOANS",NS$3,$E$3, $J$3, , $G$3, $H$3)),"")</f>
        <v/>
      </c>
      <c r="NT14" s="72" t="str">
        <f>IFERROR(IF(OR($B14="",NT$3=""),"",-_xll.ciqfunctions.udf.CIQ($B14,"IQ_ALLOW_LL",NT$3,$E$3, $J$3, , $G$3, $H$3)/_xll.ciqfunctions.udf.CIQ($B14,"IQ_TOTAL_LOANS",NT$3,$E$3, $J$3, , $G$3, $H$3)),"")</f>
        <v/>
      </c>
      <c r="NU14" s="72" t="str">
        <f>IFERROR(IF(OR($B14="",NU$3=""),"",-_xll.ciqfunctions.udf.CIQ($B14,"IQ_ALLOW_LL",NU$3,$E$3, $J$3, , $G$3, $H$3)/_xll.ciqfunctions.udf.CIQ($B14,"IQ_TOTAL_LOANS",NU$3,$E$3, $J$3, , $G$3, $H$3)),"")</f>
        <v/>
      </c>
      <c r="NV14" s="72" t="str">
        <f>IFERROR(IF(OR($B14="",NV$3=""),"",-_xll.ciqfunctions.udf.CIQ($B14,"IQ_ALLOW_LL",NV$3,$E$3, $J$3, , $G$3, $H$3)/_xll.ciqfunctions.udf.CIQ($B14,"IQ_TOTAL_LOANS",NV$3,$E$3, $J$3, , $G$3, $H$3)),"")</f>
        <v/>
      </c>
      <c r="NW14" s="72" t="str">
        <f>IFERROR(IF(OR($B14="",NW$3=""),"",-_xll.ciqfunctions.udf.CIQ($B14,"IQ_ALLOW_LL",NW$3,$E$3, $J$3, , $G$3, $H$3)/_xll.ciqfunctions.udf.CIQ($B14,"IQ_TOTAL_LOANS",NW$3,$E$3, $J$3, , $G$3, $H$3)),"")</f>
        <v/>
      </c>
      <c r="NX14" s="72" t="str">
        <f>IFERROR(IF(OR($B14="",NX$3=""),"",-_xll.ciqfunctions.udf.CIQ($B14,"IQ_ALLOW_LL",NX$3,$E$3, $J$3, , $G$3, $H$3)/_xll.ciqfunctions.udf.CIQ($B14,"IQ_TOTAL_LOANS",NX$3,$E$3, $J$3, , $G$3, $H$3)),"")</f>
        <v/>
      </c>
      <c r="NY14" s="72" t="str">
        <f>IFERROR(IF(OR($B14="",NY$3=""),"",-_xll.ciqfunctions.udf.CIQ($B14,"IQ_ALLOW_LL",NY$3,$E$3, $J$3, , $G$3, $H$3)/_xll.ciqfunctions.udf.CIQ($B14,"IQ_TOTAL_LOANS",NY$3,$E$3, $J$3, , $G$3, $H$3)),"")</f>
        <v/>
      </c>
      <c r="NZ14" s="72" t="str">
        <f>IFERROR(IF(OR($B14="",NZ$3=""),"",-_xll.ciqfunctions.udf.CIQ($B14,"IQ_ALLOW_LL",NZ$3,$E$3, $J$3, , $G$3, $H$3)/_xll.ciqfunctions.udf.CIQ($B14,"IQ_TOTAL_LOANS",NZ$3,$E$3, $J$3, , $G$3, $H$3)),"")</f>
        <v/>
      </c>
      <c r="OA14" s="72" t="str">
        <f>IFERROR(IF(OR($B14="",OA$3=""),"",_xll.ciqfunctions.udf.CIQ($B14,"IQ_TOTAL_LOANS",OA$3,$E$3, $J$3, , $G$3, $H$3)/_xll.ciqfunctions.udf.CIQ($B14,"IQ_TOTAL_DEPOSITS",OA$3,$E$3, $J$3, , $G$3, $H$3)),"")</f>
        <v/>
      </c>
      <c r="OB14" s="72" t="str">
        <f>IFERROR(IF(OR($B14="",OB$3=""),"",_xll.ciqfunctions.udf.CIQ($B14,"IQ_TOTAL_LOANS",OB$3,$E$3, $J$3, , $G$3, $H$3)/_xll.ciqfunctions.udf.CIQ($B14,"IQ_TOTAL_DEPOSITS",OB$3,$E$3, $J$3, , $G$3, $H$3)),"")</f>
        <v/>
      </c>
      <c r="OC14" s="72" t="str">
        <f>IFERROR(IF(OR($B14="",OC$3=""),"",_xll.ciqfunctions.udf.CIQ($B14,"IQ_TOTAL_LOANS",OC$3,$E$3, $J$3, , $G$3, $H$3)/_xll.ciqfunctions.udf.CIQ($B14,"IQ_TOTAL_DEPOSITS",OC$3,$E$3, $J$3, , $G$3, $H$3)),"")</f>
        <v/>
      </c>
      <c r="OD14" s="72" t="str">
        <f>IFERROR(IF(OR($B14="",OD$3=""),"",_xll.ciqfunctions.udf.CIQ($B14,"IQ_TOTAL_LOANS",OD$3,$E$3, $J$3, , $G$3, $H$3)/_xll.ciqfunctions.udf.CIQ($B14,"IQ_TOTAL_DEPOSITS",OD$3,$E$3, $J$3, , $G$3, $H$3)),"")</f>
        <v/>
      </c>
      <c r="OE14" s="72" t="str">
        <f>IFERROR(IF(OR($B14="",OE$3=""),"",_xll.ciqfunctions.udf.CIQ($B14,"IQ_TOTAL_LOANS",OE$3,$E$3, $J$3, , $G$3, $H$3)/_xll.ciqfunctions.udf.CIQ($B14,"IQ_TOTAL_DEPOSITS",OE$3,$E$3, $J$3, , $G$3, $H$3)),"")</f>
        <v/>
      </c>
      <c r="OF14" s="72" t="str">
        <f>IFERROR(IF(OR($B14="",OF$3=""),"",_xll.ciqfunctions.udf.CIQ($B14,"IQ_TOTAL_LOANS",OF$3,$E$3, $J$3, , $G$3, $H$3)/_xll.ciqfunctions.udf.CIQ($B14,"IQ_TOTAL_DEPOSITS",OF$3,$E$3, $J$3, , $G$3, $H$3)),"")</f>
        <v/>
      </c>
      <c r="OG14" s="72" t="str">
        <f>IFERROR(IF(OR($B14="",OG$3=""),"",_xll.ciqfunctions.udf.CIQ($B14,"IQ_TOTAL_LOANS",OG$3,$E$3, $J$3, , $G$3, $H$3)/_xll.ciqfunctions.udf.CIQ($B14,"IQ_TOTAL_DEPOSITS",OG$3,$E$3, $J$3, , $G$3, $H$3)),"")</f>
        <v/>
      </c>
      <c r="OH14" s="72" t="str">
        <f>IFERROR(IF(OR($B14="",OH$3=""),"",_xll.ciqfunctions.udf.CIQ($B14,"IQ_TOTAL_LOANS",OH$3,$E$3, $J$3, , $G$3, $H$3)/_xll.ciqfunctions.udf.CIQ($B14,"IQ_TOTAL_DEPOSITS",OH$3,$E$3, $J$3, , $G$3, $H$3)),"")</f>
        <v/>
      </c>
      <c r="OI14" s="72" t="str">
        <f>IFERROR(IF(OR($B14="",OI$3=""),"",_xll.ciqfunctions.udf.CIQ($B14,"IQ_TOTAL_LOANS",OI$3,$E$3, $J$3, , $G$3, $H$3)/_xll.ciqfunctions.udf.CIQ($B14,"IQ_TOTAL_DEPOSITS",OI$3,$E$3, $J$3, , $G$3, $H$3)),"")</f>
        <v/>
      </c>
      <c r="OJ14" s="72" t="str">
        <f>IFERROR(IF(OR($B14="",OJ$3=""),"",_xll.ciqfunctions.udf.CIQ($B14,"IQ_TOTAL_LOANS",OJ$3,$E$3, $J$3, , $G$3, $H$3)/_xll.ciqfunctions.udf.CIQ($B14,"IQ_TOTAL_DEPOSITS",OJ$3,$E$3, $J$3, , $G$3, $H$3)),"")</f>
        <v/>
      </c>
      <c r="OK14" s="72" t="str">
        <f>IFERROR(IF(OR($B14="",OK$3=""),"",_xll.ciqfunctions.udf.CIQ($B14,"IQ_TOTAL_LOANS",OK$3,$E$3, $J$3, , $G$3, $H$3)/_xll.ciqfunctions.udf.CIQ($B14,"IQ_TOTAL_DEPOSITS",OK$3,$E$3, $J$3, , $G$3, $H$3)),"")</f>
        <v/>
      </c>
      <c r="OL14" s="72" t="str">
        <f>IFERROR(IF(OR($B14="",OL$3=""),"",_xll.ciqfunctions.udf.CIQ($B14,"IQ_TOTAL_LOANS",OL$3,$E$3, $J$3, , $G$3, $H$3)/_xll.ciqfunctions.udf.CIQ($B14,"IQ_TOTAL_DEPOSITS",OL$3,$E$3, $J$3, , $G$3, $H$3)),"")</f>
        <v/>
      </c>
      <c r="OM14" s="72" t="str">
        <f>IFERROR(IF(OR($B14="",OM$3=""),"",_xll.ciqfunctions.udf.CIQ($B14,"IQ_TOTAL_LOANS",OM$3,$E$3, $J$3, , $G$3, $H$3)/_xll.ciqfunctions.udf.CIQ($B14,"IQ_TOTAL_DEPOSITS",OM$3,$E$3, $J$3, , $G$3, $H$3)),"")</f>
        <v/>
      </c>
      <c r="ON14" s="72" t="str">
        <f>IFERROR(IF(OR($B14="",ON$3=""),"",_xll.ciqfunctions.udf.CIQ($B14,"IQ_TOTAL_LOANS",ON$3,$E$3, $J$3, , $G$3, $H$3)/_xll.ciqfunctions.udf.CIQ($B14,"IQ_TOTAL_DEPOSITS",ON$3,$E$3, $J$3, , $G$3, $H$3)),"")</f>
        <v/>
      </c>
      <c r="OO14" s="72" t="str">
        <f>IFERROR(IF(OR($B14="",OO$3=""),"",_xll.ciqfunctions.udf.CIQ($B14,"IQ_TOTAL_LOANS",OO$3,$E$3, $J$3, , $G$3, $H$3)/_xll.ciqfunctions.udf.CIQ($B14,"IQ_TOTAL_DEPOSITS",OO$3,$E$3, $J$3, , $G$3, $H$3)),"")</f>
        <v/>
      </c>
      <c r="OP14" s="72" t="str">
        <f>IFERROR(IF(OR($B14="",OP$3=""),"",_xll.ciqfunctions.udf.CIQ($B14,"IQ_TOTAL_LOANS",OP$3,$E$3, $J$3, , $G$3, $H$3)/_xll.ciqfunctions.udf.CIQ($B14,"IQ_TOTAL_DEPOSITS",OP$3,$E$3, $J$3, , $G$3, $H$3)),"")</f>
        <v/>
      </c>
      <c r="OQ14" s="72" t="str">
        <f>IFERROR(IF(OR($B14="",OQ$3=""),"",_xll.ciqfunctions.udf.CIQ($B14,"IQ_TOTAL_LOANS",OQ$3,$E$3, $J$3, , $G$3, $H$3)/_xll.ciqfunctions.udf.CIQ($B14,"IQ_TOTAL_DEPOSITS",OQ$3,$E$3, $J$3, , $G$3, $H$3)),"")</f>
        <v/>
      </c>
      <c r="OR14" s="72" t="str">
        <f>IFERROR(IF(OR($B14="",OR$3=""),"",_xll.ciqfunctions.udf.CIQ($B14,"IQ_TOTAL_LOANS",OR$3,$E$3, $J$3, , $G$3, $H$3)/_xll.ciqfunctions.udf.CIQ($B14,"IQ_TOTAL_DEPOSITS",OR$3,$E$3, $J$3, , $G$3, $H$3)),"")</f>
        <v/>
      </c>
      <c r="OS14" s="72" t="str">
        <f>IFERROR(IF(OR($B14="",OS$3=""),"",_xll.ciqfunctions.udf.CIQ($B14,"IQ_TOTAL_LOANS",OS$3,$E$3, $J$3, , $G$3, $H$3)/_xll.ciqfunctions.udf.CIQ($B14,"IQ_TOTAL_DEPOSITS",OS$3,$E$3, $J$3, , $G$3, $H$3)),"")</f>
        <v/>
      </c>
      <c r="OT14" s="72" t="str">
        <f>IFERROR(IF(OR($B14="",OT$3=""),"",_xll.ciqfunctions.udf.CIQ($B14,"IQ_TOTAL_LOANS",OT$3,$E$3, $J$3, , $G$3, $H$3)/_xll.ciqfunctions.udf.CIQ($B14,"IQ_TOTAL_DEPOSITS",OT$3,$E$3, $J$3, , $G$3, $H$3)),"")</f>
        <v/>
      </c>
      <c r="OU14" s="72" t="str">
        <f>IFERROR(IF(OR($B14="",OU$3=""),"",_xll.ciqfunctions.udf.CIQ($B14,"IQ_NON_PERFORMING_LOANS",OU$3,$E$3, $J$3, , $G$3, $H$3)/_xll.ciqfunctions.udf.CIQ($B14,"IQ_TOTAL_EQUITY",OU$3,$E$3, $J$3, , $G$3, $H$3)),"")</f>
        <v/>
      </c>
      <c r="OV14" s="72" t="str">
        <f>IFERROR(IF(OR($B14="",OV$3=""),"",_xll.ciqfunctions.udf.CIQ($B14,"IQ_NON_PERFORMING_LOANS",OV$3,$E$3, $J$3, , $G$3, $H$3)/_xll.ciqfunctions.udf.CIQ($B14,"IQ_TOTAL_EQUITY",OV$3,$E$3, $J$3, , $G$3, $H$3)),"")</f>
        <v/>
      </c>
      <c r="OW14" s="72" t="str">
        <f>IFERROR(IF(OR($B14="",OW$3=""),"",_xll.ciqfunctions.udf.CIQ($B14,"IQ_NON_PERFORMING_LOANS",OW$3,$E$3, $J$3, , $G$3, $H$3)/_xll.ciqfunctions.udf.CIQ($B14,"IQ_TOTAL_EQUITY",OW$3,$E$3, $J$3, , $G$3, $H$3)),"")</f>
        <v/>
      </c>
      <c r="OX14" s="72" t="str">
        <f>IFERROR(IF(OR($B14="",OX$3=""),"",_xll.ciqfunctions.udf.CIQ($B14,"IQ_NON_PERFORMING_LOANS",OX$3,$E$3, $J$3, , $G$3, $H$3)/_xll.ciqfunctions.udf.CIQ($B14,"IQ_TOTAL_EQUITY",OX$3,$E$3, $J$3, , $G$3, $H$3)),"")</f>
        <v/>
      </c>
      <c r="OY14" s="72" t="str">
        <f>IFERROR(IF(OR($B14="",OY$3=""),"",_xll.ciqfunctions.udf.CIQ($B14,"IQ_NON_PERFORMING_LOANS",OY$3,$E$3, $J$3, , $G$3, $H$3)/_xll.ciqfunctions.udf.CIQ($B14,"IQ_TOTAL_EQUITY",OY$3,$E$3, $J$3, , $G$3, $H$3)),"")</f>
        <v/>
      </c>
      <c r="OZ14" s="72" t="str">
        <f>IFERROR(IF(OR($B14="",OZ$3=""),"",_xll.ciqfunctions.udf.CIQ($B14,"IQ_NON_PERFORMING_LOANS",OZ$3,$E$3, $J$3, , $G$3, $H$3)/_xll.ciqfunctions.udf.CIQ($B14,"IQ_TOTAL_EQUITY",OZ$3,$E$3, $J$3, , $G$3, $H$3)),"")</f>
        <v/>
      </c>
      <c r="PA14" s="72" t="str">
        <f>IFERROR(IF(OR($B14="",PA$3=""),"",_xll.ciqfunctions.udf.CIQ($B14,"IQ_NON_PERFORMING_LOANS",PA$3,$E$3, $J$3, , $G$3, $H$3)/_xll.ciqfunctions.udf.CIQ($B14,"IQ_TOTAL_EQUITY",PA$3,$E$3, $J$3, , $G$3, $H$3)),"")</f>
        <v/>
      </c>
      <c r="PB14" s="72" t="str">
        <f>IFERROR(IF(OR($B14="",PB$3=""),"",_xll.ciqfunctions.udf.CIQ($B14,"IQ_NON_PERFORMING_LOANS",PB$3,$E$3, $J$3, , $G$3, $H$3)/_xll.ciqfunctions.udf.CIQ($B14,"IQ_TOTAL_EQUITY",PB$3,$E$3, $J$3, , $G$3, $H$3)),"")</f>
        <v/>
      </c>
      <c r="PC14" s="72" t="str">
        <f>IFERROR(IF(OR($B14="",PC$3=""),"",_xll.ciqfunctions.udf.CIQ($B14,"IQ_NON_PERFORMING_LOANS",PC$3,$E$3, $J$3, , $G$3, $H$3)/_xll.ciqfunctions.udf.CIQ($B14,"IQ_TOTAL_EQUITY",PC$3,$E$3, $J$3, , $G$3, $H$3)),"")</f>
        <v/>
      </c>
      <c r="PD14" s="72" t="str">
        <f>IFERROR(IF(OR($B14="",PD$3=""),"",_xll.ciqfunctions.udf.CIQ($B14,"IQ_NON_PERFORMING_LOANS",PD$3,$E$3, $J$3, , $G$3, $H$3)/_xll.ciqfunctions.udf.CIQ($B14,"IQ_TOTAL_EQUITY",PD$3,$E$3, $J$3, , $G$3, $H$3)),"")</f>
        <v/>
      </c>
      <c r="PE14" s="72" t="str">
        <f>IFERROR(IF(OR($B14="",PE$3=""),"",_xll.ciqfunctions.udf.CIQ($B14,"IQ_NON_PERFORMING_LOANS",PE$3,$E$3, $J$3, , $G$3, $H$3)/_xll.ciqfunctions.udf.CIQ($B14,"IQ_TOTAL_EQUITY",PE$3,$E$3, $J$3, , $G$3, $H$3)),"")</f>
        <v/>
      </c>
      <c r="PF14" s="72" t="str">
        <f>IFERROR(IF(OR($B14="",PF$3=""),"",_xll.ciqfunctions.udf.CIQ($B14,"IQ_NON_PERFORMING_LOANS",PF$3,$E$3, $J$3, , $G$3, $H$3)/_xll.ciqfunctions.udf.CIQ($B14,"IQ_TOTAL_EQUITY",PF$3,$E$3, $J$3, , $G$3, $H$3)),"")</f>
        <v/>
      </c>
      <c r="PG14" s="72" t="str">
        <f>IFERROR(IF(OR($B14="",PG$3=""),"",_xll.ciqfunctions.udf.CIQ($B14,"IQ_NON_PERFORMING_LOANS",PG$3,$E$3, $J$3, , $G$3, $H$3)/_xll.ciqfunctions.udf.CIQ($B14,"IQ_TOTAL_EQUITY",PG$3,$E$3, $J$3, , $G$3, $H$3)),"")</f>
        <v/>
      </c>
      <c r="PH14" s="72" t="str">
        <f>IFERROR(IF(OR($B14="",PH$3=""),"",_xll.ciqfunctions.udf.CIQ($B14,"IQ_NON_PERFORMING_LOANS",PH$3,$E$3, $J$3, , $G$3, $H$3)/_xll.ciqfunctions.udf.CIQ($B14,"IQ_TOTAL_EQUITY",PH$3,$E$3, $J$3, , $G$3, $H$3)),"")</f>
        <v/>
      </c>
      <c r="PI14" s="72" t="str">
        <f>IFERROR(IF(OR($B14="",PI$3=""),"",_xll.ciqfunctions.udf.CIQ($B14,"IQ_NON_PERFORMING_LOANS",PI$3,$E$3, $J$3, , $G$3, $H$3)/_xll.ciqfunctions.udf.CIQ($B14,"IQ_TOTAL_EQUITY",PI$3,$E$3, $J$3, , $G$3, $H$3)),"")</f>
        <v/>
      </c>
      <c r="PJ14" s="72" t="str">
        <f>IFERROR(IF(OR($B14="",PJ$3=""),"",_xll.ciqfunctions.udf.CIQ($B14,"IQ_NON_PERFORMING_LOANS",PJ$3,$E$3, $J$3, , $G$3, $H$3)/_xll.ciqfunctions.udf.CIQ($B14,"IQ_TOTAL_EQUITY",PJ$3,$E$3, $J$3, , $G$3, $H$3)),"")</f>
        <v/>
      </c>
      <c r="PK14" s="72" t="str">
        <f>IFERROR(IF(OR($B14="",PK$3=""),"",_xll.ciqfunctions.udf.CIQ($B14,"IQ_NON_PERFORMING_LOANS",PK$3,$E$3, $J$3, , $G$3, $H$3)/_xll.ciqfunctions.udf.CIQ($B14,"IQ_TOTAL_EQUITY",PK$3,$E$3, $J$3, , $G$3, $H$3)),"")</f>
        <v/>
      </c>
      <c r="PL14" s="72" t="str">
        <f>IFERROR(IF(OR($B14="",PL$3=""),"",_xll.ciqfunctions.udf.CIQ($B14,"IQ_NON_PERFORMING_LOANS",PL$3,$E$3, $J$3, , $G$3, $H$3)/_xll.ciqfunctions.udf.CIQ($B14,"IQ_TOTAL_EQUITY",PL$3,$E$3, $J$3, , $G$3, $H$3)),"")</f>
        <v/>
      </c>
      <c r="PM14" s="72" t="str">
        <f>IFERROR(IF(OR($B14="",PM$3=""),"",_xll.ciqfunctions.udf.CIQ($B14,"IQ_NON_PERFORMING_LOANS",PM$3,$E$3, $J$3, , $G$3, $H$3)/_xll.ciqfunctions.udf.CIQ($B14,"IQ_TOTAL_EQUITY",PM$3,$E$3, $J$3, , $G$3, $H$3)),"")</f>
        <v/>
      </c>
      <c r="PN14" s="72" t="str">
        <f>IFERROR(IF(OR($B14="",PN$3=""),"",_xll.ciqfunctions.udf.CIQ($B14,"IQ_NON_PERFORMING_LOANS",PN$3,$E$3, $J$3, , $G$3, $H$3)/_xll.ciqfunctions.udf.CIQ($B14,"IQ_TOTAL_EQUITY",PN$3,$E$3, $J$3, , $G$3, $H$3)),"")</f>
        <v/>
      </c>
      <c r="PO14" s="72" t="str">
        <f>IFERROR(IF(OR($B14="",PO$3=""),"",(_xll.ciqfunctions.udf.CIQ($B14,"IQ_LASTSALEPRICE",PO$4)/_xll.ciqfunctions.udf.CIQ($B14,"IQ_LASTSALEPRICE",PO$2)-1)+(_xll.ciqfunctions.udf.CIQ($B14, "IQ_DPS_1YR_ANN_GROWTH", "IQ_LTM", PO$4)/100)),"")</f>
        <v/>
      </c>
      <c r="PP14" s="72" t="str">
        <f>IFERROR(IF(OR($B14="",PP$3=""),"",(_xll.ciqfunctions.udf.CIQ($B14,"IQ_LASTSALEPRICE",PP$4)/_xll.ciqfunctions.udf.CIQ($B14,"IQ_LASTSALEPRICE",PP$2)-1)+(_xll.ciqfunctions.udf.CIQ($B14, "IQ_DPS_1YR_ANN_GROWTH", "IQ_LTM", PP$4)/100)),"")</f>
        <v/>
      </c>
      <c r="PQ14" s="72" t="str">
        <f>IFERROR(IF(OR($B14="",PQ$3=""),"",(_xll.ciqfunctions.udf.CIQ($B14,"IQ_LASTSALEPRICE",PQ$4)/_xll.ciqfunctions.udf.CIQ($B14,"IQ_LASTSALEPRICE",PQ$2)-1)+(_xll.ciqfunctions.udf.CIQ($B14, "IQ_DPS_1YR_ANN_GROWTH", "IQ_LTM", PQ$4)/100)),"")</f>
        <v/>
      </c>
      <c r="PR14" s="72" t="str">
        <f>IFERROR(IF(OR($B14="",PR$3=""),"",(_xll.ciqfunctions.udf.CIQ($B14,"IQ_LASTSALEPRICE",PR$4)/_xll.ciqfunctions.udf.CIQ($B14,"IQ_LASTSALEPRICE",PR$2)-1)+(_xll.ciqfunctions.udf.CIQ($B14, "IQ_DPS_1YR_ANN_GROWTH", "IQ_LTM", PR$4)/100)),"")</f>
        <v/>
      </c>
      <c r="PS14" s="72" t="str">
        <f>IFERROR(IF(OR($B14="",PS$3=""),"",(_xll.ciqfunctions.udf.CIQ($B14,"IQ_LASTSALEPRICE",PS$4)/_xll.ciqfunctions.udf.CIQ($B14,"IQ_LASTSALEPRICE",PS$2)-1)+(_xll.ciqfunctions.udf.CIQ($B14, "IQ_DPS_1YR_ANN_GROWTH", "IQ_LTM", PS$4)/100)),"")</f>
        <v/>
      </c>
      <c r="PT14" s="72" t="str">
        <f>IFERROR(IF(OR($B14="",PT$3=""),"",(_xll.ciqfunctions.udf.CIQ($B14,"IQ_LASTSALEPRICE",PT$4)/_xll.ciqfunctions.udf.CIQ($B14,"IQ_LASTSALEPRICE",PT$2)-1)+(_xll.ciqfunctions.udf.CIQ($B14, "IQ_DPS_1YR_ANN_GROWTH", "IQ_LTM", PT$4)/100)),"")</f>
        <v/>
      </c>
      <c r="PU14" s="72" t="str">
        <f>IFERROR(IF(OR($B14="",PU$3=""),"",(_xll.ciqfunctions.udf.CIQ($B14,"IQ_LASTSALEPRICE",PU$4)/_xll.ciqfunctions.udf.CIQ($B14,"IQ_LASTSALEPRICE",PU$2)-1)+(_xll.ciqfunctions.udf.CIQ($B14, "IQ_DPS_1YR_ANN_GROWTH", "IQ_LTM", PU$4)/100)),"")</f>
        <v/>
      </c>
      <c r="PV14" s="72" t="str">
        <f>IFERROR(IF(OR($B14="",PV$3=""),"",(_xll.ciqfunctions.udf.CIQ($B14,"IQ_LASTSALEPRICE",PV$4)/_xll.ciqfunctions.udf.CIQ($B14,"IQ_LASTSALEPRICE",PV$2)-1)+(_xll.ciqfunctions.udf.CIQ($B14, "IQ_DPS_1YR_ANN_GROWTH", "IQ_LTM", PV$4)/100)),"")</f>
        <v/>
      </c>
      <c r="PW14" s="72" t="str">
        <f>IFERROR(IF(OR($B14="",PW$3=""),"",(_xll.ciqfunctions.udf.CIQ($B14,"IQ_LASTSALEPRICE",PW$4)/_xll.ciqfunctions.udf.CIQ($B14,"IQ_LASTSALEPRICE",PW$2)-1)+(_xll.ciqfunctions.udf.CIQ($B14, "IQ_DPS_1YR_ANN_GROWTH", "IQ_LTM", PW$4)/100)),"")</f>
        <v/>
      </c>
      <c r="PX14" s="72" t="str">
        <f>IFERROR(IF(OR($B14="",PX$3=""),"",(_xll.ciqfunctions.udf.CIQ($B14,"IQ_LASTSALEPRICE",PX$4)/_xll.ciqfunctions.udf.CIQ($B14,"IQ_LASTSALEPRICE",PX$2)-1)+(_xll.ciqfunctions.udf.CIQ($B14, "IQ_DPS_1YR_ANN_GROWTH", "IQ_LTM", PX$4)/100)),"")</f>
        <v/>
      </c>
      <c r="PY14" s="72" t="str">
        <f>IFERROR(IF(OR($B14="",PY$3=""),"",(_xll.ciqfunctions.udf.CIQ($B14,"IQ_LASTSALEPRICE",PY$4)/_xll.ciqfunctions.udf.CIQ($B14,"IQ_LASTSALEPRICE",PY$2)-1)+(_xll.ciqfunctions.udf.CIQ($B14, "IQ_DPS_1YR_ANN_GROWTH", "IQ_LTM", PY$4)/100)),"")</f>
        <v/>
      </c>
      <c r="PZ14" s="72" t="str">
        <f>IFERROR(IF(OR($B14="",PZ$3=""),"",(_xll.ciqfunctions.udf.CIQ($B14,"IQ_LASTSALEPRICE",PZ$4)/_xll.ciqfunctions.udf.CIQ($B14,"IQ_LASTSALEPRICE",PZ$2)-1)+(_xll.ciqfunctions.udf.CIQ($B14, "IQ_DPS_1YR_ANN_GROWTH", "IQ_LTM", PZ$4)/100)),"")</f>
        <v/>
      </c>
      <c r="QA14" s="72" t="str">
        <f>IFERROR(IF(OR($B14="",QA$3=""),"",(_xll.ciqfunctions.udf.CIQ($B14,"IQ_LASTSALEPRICE",QA$4)/_xll.ciqfunctions.udf.CIQ($B14,"IQ_LASTSALEPRICE",QA$2)-1)+(_xll.ciqfunctions.udf.CIQ($B14, "IQ_DPS_1YR_ANN_GROWTH", "IQ_LTM", QA$4)/100)),"")</f>
        <v/>
      </c>
      <c r="QB14" s="72" t="str">
        <f>IFERROR(IF(OR($B14="",QB$3=""),"",(_xll.ciqfunctions.udf.CIQ($B14,"IQ_LASTSALEPRICE",QB$4)/_xll.ciqfunctions.udf.CIQ($B14,"IQ_LASTSALEPRICE",QB$2)-1)+(_xll.ciqfunctions.udf.CIQ($B14, "IQ_DPS_1YR_ANN_GROWTH", "IQ_LTM", QB$4)/100)),"")</f>
        <v/>
      </c>
      <c r="QC14" s="72" t="str">
        <f>IFERROR(IF(OR($B14="",QC$3=""),"",(_xll.ciqfunctions.udf.CIQ($B14,"IQ_LASTSALEPRICE",QC$4)/_xll.ciqfunctions.udf.CIQ($B14,"IQ_LASTSALEPRICE",QC$2)-1)+(_xll.ciqfunctions.udf.CIQ($B14, "IQ_DPS_1YR_ANN_GROWTH", "IQ_LTM", QC$4)/100)),"")</f>
        <v/>
      </c>
      <c r="QD14" s="72" t="str">
        <f>IFERROR(IF(OR($B14="",QD$3=""),"",(_xll.ciqfunctions.udf.CIQ($B14,"IQ_LASTSALEPRICE",QD$4)/_xll.ciqfunctions.udf.CIQ($B14,"IQ_LASTSALEPRICE",QD$2)-1)+(_xll.ciqfunctions.udf.CIQ($B14, "IQ_DPS_1YR_ANN_GROWTH", "IQ_LTM", QD$4)/100)),"")</f>
        <v/>
      </c>
      <c r="QE14" s="72" t="str">
        <f>IFERROR(IF(OR($B14="",QE$3=""),"",(_xll.ciqfunctions.udf.CIQ($B14,"IQ_LASTSALEPRICE",QE$4)/_xll.ciqfunctions.udf.CIQ($B14,"IQ_LASTSALEPRICE",QE$2)-1)+(_xll.ciqfunctions.udf.CIQ($B14, "IQ_DPS_1YR_ANN_GROWTH", "IQ_LTM", QE$4)/100)),"")</f>
        <v/>
      </c>
      <c r="QF14" s="72" t="str">
        <f>IFERROR(IF(OR($B14="",QF$3=""),"",(_xll.ciqfunctions.udf.CIQ($B14,"IQ_LASTSALEPRICE",QF$4)/_xll.ciqfunctions.udf.CIQ($B14,"IQ_LASTSALEPRICE",QF$2)-1)+(_xll.ciqfunctions.udf.CIQ($B14, "IQ_DPS_1YR_ANN_GROWTH", "IQ_LTM", QF$4)/100)),"")</f>
        <v/>
      </c>
      <c r="QG14" s="72" t="str">
        <f>IFERROR(IF(OR($B14="",QG$3=""),"",(_xll.ciqfunctions.udf.CIQ($B14,"IQ_LASTSALEPRICE",QG$4)/_xll.ciqfunctions.udf.CIQ($B14,"IQ_LASTSALEPRICE",QG$2)-1)+(_xll.ciqfunctions.udf.CIQ($B14, "IQ_DPS_1YR_ANN_GROWTH", "IQ_LTM", QG$4)/100)),"")</f>
        <v/>
      </c>
      <c r="QH14" s="72" t="str">
        <f>IFERROR(IF(OR($B14="",QH$3=""),"",(_xll.ciqfunctions.udf.CIQ($B14,"IQ_LASTSALEPRICE",QH$4)/_xll.ciqfunctions.udf.CIQ($B14,"IQ_LASTSALEPRICE",QH$2)-1)+(_xll.ciqfunctions.udf.CIQ($B14, "IQ_DPS_1YR_ANN_GROWTH", "IQ_LTM", QH$4)/100)),"")</f>
        <v/>
      </c>
      <c r="QI14" s="72" t="str">
        <f>IFERROR(IF(OR($B14="",QI$3=""),"",_xll.ciqfunctions.udf.CIQ($B14,"IQ_NI",QI$3,$E$3, $J$3, , $G$3, $H$3)*2/(_xll.ciqfunctions.udf.CIQ($B14,"IQ_TOTAL_BANK_CAPITAL",QI$3,$E$3, $J$3, , $G$3, $H$3)+_xll.ciqfunctions.udf.CIQ($B14,"IQ_TOTAL_BANK_CAPITAL","IQ_" &amp; LEFT(QI$3,2) &amp; "-1", QI$3, $J$3, , $G$3, $H$3))),"")</f>
        <v/>
      </c>
      <c r="QJ14" s="72" t="str">
        <f>IFERROR(IF(OR($B14="",QJ$3=""),"",_xll.ciqfunctions.udf.CIQ($B14,"IQ_NI",QJ$3,$E$3, $J$3, , $G$3, $H$3)*2/(_xll.ciqfunctions.udf.CIQ($B14,"IQ_TOTAL_BANK_CAPITAL",QJ$3,$E$3, $J$3, , $G$3, $H$3)+_xll.ciqfunctions.udf.CIQ($B14,"IQ_TOTAL_BANK_CAPITAL","IQ_" &amp; LEFT(QJ$3,2) &amp; "-1", QJ$3, $J$3, , $G$3, $H$3))),"")</f>
        <v/>
      </c>
      <c r="QK14" s="72" t="str">
        <f>IFERROR(IF(OR($B14="",QK$3=""),"",_xll.ciqfunctions.udf.CIQ($B14,"IQ_NI",QK$3,$E$3, $J$3, , $G$3, $H$3)*2/(_xll.ciqfunctions.udf.CIQ($B14,"IQ_TOTAL_BANK_CAPITAL",QK$3,$E$3, $J$3, , $G$3, $H$3)+_xll.ciqfunctions.udf.CIQ($B14,"IQ_TOTAL_BANK_CAPITAL","IQ_" &amp; LEFT(QK$3,2) &amp; "-1", QK$3, $J$3, , $G$3, $H$3))),"")</f>
        <v/>
      </c>
      <c r="QL14" s="72" t="str">
        <f>IFERROR(IF(OR($B14="",QL$3=""),"",_xll.ciqfunctions.udf.CIQ($B14,"IQ_NI",QL$3,$E$3, $J$3, , $G$3, $H$3)*2/(_xll.ciqfunctions.udf.CIQ($B14,"IQ_TOTAL_BANK_CAPITAL",QL$3,$E$3, $J$3, , $G$3, $H$3)+_xll.ciqfunctions.udf.CIQ($B14,"IQ_TOTAL_BANK_CAPITAL","IQ_" &amp; LEFT(QL$3,2) &amp; "-1", QL$3, $J$3, , $G$3, $H$3))),"")</f>
        <v/>
      </c>
      <c r="QM14" s="72" t="str">
        <f>IFERROR(IF(OR($B14="",QM$3=""),"",_xll.ciqfunctions.udf.CIQ($B14,"IQ_NI",QM$3,$E$3, $J$3, , $G$3, $H$3)*2/(_xll.ciqfunctions.udf.CIQ($B14,"IQ_TOTAL_BANK_CAPITAL",QM$3,$E$3, $J$3, , $G$3, $H$3)+_xll.ciqfunctions.udf.CIQ($B14,"IQ_TOTAL_BANK_CAPITAL","IQ_" &amp; LEFT(QM$3,2) &amp; "-1", QM$3, $J$3, , $G$3, $H$3))),"")</f>
        <v/>
      </c>
      <c r="QN14" s="72" t="str">
        <f>IFERROR(IF(OR($B14="",QN$3=""),"",_xll.ciqfunctions.udf.CIQ($B14,"IQ_NI",QN$3,$E$3, $J$3, , $G$3, $H$3)*2/(_xll.ciqfunctions.udf.CIQ($B14,"IQ_TOTAL_BANK_CAPITAL",QN$3,$E$3, $J$3, , $G$3, $H$3)+_xll.ciqfunctions.udf.CIQ($B14,"IQ_TOTAL_BANK_CAPITAL","IQ_" &amp; LEFT(QN$3,2) &amp; "-1", QN$3, $J$3, , $G$3, $H$3))),"")</f>
        <v/>
      </c>
      <c r="QO14" s="72" t="str">
        <f>IFERROR(IF(OR($B14="",QO$3=""),"",_xll.ciqfunctions.udf.CIQ($B14,"IQ_NI",QO$3,$E$3, $J$3, , $G$3, $H$3)*2/(_xll.ciqfunctions.udf.CIQ($B14,"IQ_TOTAL_BANK_CAPITAL",QO$3,$E$3, $J$3, , $G$3, $H$3)+_xll.ciqfunctions.udf.CIQ($B14,"IQ_TOTAL_BANK_CAPITAL","IQ_" &amp; LEFT(QO$3,2) &amp; "-1", QO$3, $J$3, , $G$3, $H$3))),"")</f>
        <v/>
      </c>
      <c r="QP14" s="72" t="str">
        <f>IFERROR(IF(OR($B14="",QP$3=""),"",_xll.ciqfunctions.udf.CIQ($B14,"IQ_NI",QP$3,$E$3, $J$3, , $G$3, $H$3)*2/(_xll.ciqfunctions.udf.CIQ($B14,"IQ_TOTAL_BANK_CAPITAL",QP$3,$E$3, $J$3, , $G$3, $H$3)+_xll.ciqfunctions.udf.CIQ($B14,"IQ_TOTAL_BANK_CAPITAL","IQ_" &amp; LEFT(QP$3,2) &amp; "-1", QP$3, $J$3, , $G$3, $H$3))),"")</f>
        <v/>
      </c>
      <c r="QQ14" s="72" t="str">
        <f>IFERROR(IF(OR($B14="",QQ$3=""),"",_xll.ciqfunctions.udf.CIQ($B14,"IQ_NI",QQ$3,$E$3, $J$3, , $G$3, $H$3)*2/(_xll.ciqfunctions.udf.CIQ($B14,"IQ_TOTAL_BANK_CAPITAL",QQ$3,$E$3, $J$3, , $G$3, $H$3)+_xll.ciqfunctions.udf.CIQ($B14,"IQ_TOTAL_BANK_CAPITAL","IQ_" &amp; LEFT(QQ$3,2) &amp; "-1", QQ$3, $J$3, , $G$3, $H$3))),"")</f>
        <v/>
      </c>
      <c r="QR14" s="72" t="str">
        <f>IFERROR(IF(OR($B14="",QR$3=""),"",_xll.ciqfunctions.udf.CIQ($B14,"IQ_NI",QR$3,$E$3, $J$3, , $G$3, $H$3)*2/(_xll.ciqfunctions.udf.CIQ($B14,"IQ_TOTAL_BANK_CAPITAL",QR$3,$E$3, $J$3, , $G$3, $H$3)+_xll.ciqfunctions.udf.CIQ($B14,"IQ_TOTAL_BANK_CAPITAL","IQ_" &amp; LEFT(QR$3,2) &amp; "-1", QR$3, $J$3, , $G$3, $H$3))),"")</f>
        <v/>
      </c>
      <c r="QS14" s="72" t="str">
        <f>IFERROR(IF(OR($B14="",QS$3=""),"",_xll.ciqfunctions.udf.CIQ($B14,"IQ_NI",QS$3,$E$3, $J$3, , $G$3, $H$3)*2/(_xll.ciqfunctions.udf.CIQ($B14,"IQ_TOTAL_BANK_CAPITAL",QS$3,$E$3, $J$3, , $G$3, $H$3)+_xll.ciqfunctions.udf.CIQ($B14,"IQ_TOTAL_BANK_CAPITAL","IQ_" &amp; LEFT(QS$3,2) &amp; "-1", QS$3, $J$3, , $G$3, $H$3))),"")</f>
        <v/>
      </c>
      <c r="QT14" s="72" t="str">
        <f>IFERROR(IF(OR($B14="",QT$3=""),"",_xll.ciqfunctions.udf.CIQ($B14,"IQ_NI",QT$3,$E$3, $J$3, , $G$3, $H$3)*2/(_xll.ciqfunctions.udf.CIQ($B14,"IQ_TOTAL_BANK_CAPITAL",QT$3,$E$3, $J$3, , $G$3, $H$3)+_xll.ciqfunctions.udf.CIQ($B14,"IQ_TOTAL_BANK_CAPITAL","IQ_" &amp; LEFT(QT$3,2) &amp; "-1", QT$3, $J$3, , $G$3, $H$3))),"")</f>
        <v/>
      </c>
      <c r="QU14" s="72" t="str">
        <f>IFERROR(IF(OR($B14="",QU$3=""),"",_xll.ciqfunctions.udf.CIQ($B14,"IQ_NI",QU$3,$E$3, $J$3, , $G$3, $H$3)*2/(_xll.ciqfunctions.udf.CIQ($B14,"IQ_TOTAL_BANK_CAPITAL",QU$3,$E$3, $J$3, , $G$3, $H$3)+_xll.ciqfunctions.udf.CIQ($B14,"IQ_TOTAL_BANK_CAPITAL","IQ_" &amp; LEFT(QU$3,2) &amp; "-1", QU$3, $J$3, , $G$3, $H$3))),"")</f>
        <v/>
      </c>
      <c r="QV14" s="72" t="str">
        <f>IFERROR(IF(OR($B14="",QV$3=""),"",_xll.ciqfunctions.udf.CIQ($B14,"IQ_NI",QV$3,$E$3, $J$3, , $G$3, $H$3)*2/(_xll.ciqfunctions.udf.CIQ($B14,"IQ_TOTAL_BANK_CAPITAL",QV$3,$E$3, $J$3, , $G$3, $H$3)+_xll.ciqfunctions.udf.CIQ($B14,"IQ_TOTAL_BANK_CAPITAL","IQ_" &amp; LEFT(QV$3,2) &amp; "-1", QV$3, $J$3, , $G$3, $H$3))),"")</f>
        <v/>
      </c>
      <c r="QW14" s="72" t="str">
        <f>IFERROR(IF(OR($B14="",QW$3=""),"",_xll.ciqfunctions.udf.CIQ($B14,"IQ_NI",QW$3,$E$3, $J$3, , $G$3, $H$3)*2/(_xll.ciqfunctions.udf.CIQ($B14,"IQ_TOTAL_BANK_CAPITAL",QW$3,$E$3, $J$3, , $G$3, $H$3)+_xll.ciqfunctions.udf.CIQ($B14,"IQ_TOTAL_BANK_CAPITAL","IQ_" &amp; LEFT(QW$3,2) &amp; "-1", QW$3, $J$3, , $G$3, $H$3))),"")</f>
        <v/>
      </c>
      <c r="QX14" s="72" t="str">
        <f>IFERROR(IF(OR($B14="",QX$3=""),"",_xll.ciqfunctions.udf.CIQ($B14,"IQ_NI",QX$3,$E$3, $J$3, , $G$3, $H$3)*2/(_xll.ciqfunctions.udf.CIQ($B14,"IQ_TOTAL_BANK_CAPITAL",QX$3,$E$3, $J$3, , $G$3, $H$3)+_xll.ciqfunctions.udf.CIQ($B14,"IQ_TOTAL_BANK_CAPITAL","IQ_" &amp; LEFT(QX$3,2) &amp; "-1", QX$3, $J$3, , $G$3, $H$3))),"")</f>
        <v/>
      </c>
      <c r="QY14" s="72" t="str">
        <f>IFERROR(IF(OR($B14="",QY$3=""),"",_xll.ciqfunctions.udf.CIQ($B14,"IQ_NI",QY$3,$E$3, $J$3, , $G$3, $H$3)*2/(_xll.ciqfunctions.udf.CIQ($B14,"IQ_TOTAL_BANK_CAPITAL",QY$3,$E$3, $J$3, , $G$3, $H$3)+_xll.ciqfunctions.udf.CIQ($B14,"IQ_TOTAL_BANK_CAPITAL","IQ_" &amp; LEFT(QY$3,2) &amp; "-1", QY$3, $J$3, , $G$3, $H$3))),"")</f>
        <v/>
      </c>
      <c r="QZ14" s="72" t="str">
        <f>IFERROR(IF(OR($B14="",QZ$3=""),"",_xll.ciqfunctions.udf.CIQ($B14,"IQ_NI",QZ$3,$E$3, $J$3, , $G$3, $H$3)*2/(_xll.ciqfunctions.udf.CIQ($B14,"IQ_TOTAL_BANK_CAPITAL",QZ$3,$E$3, $J$3, , $G$3, $H$3)+_xll.ciqfunctions.udf.CIQ($B14,"IQ_TOTAL_BANK_CAPITAL","IQ_" &amp; LEFT(QZ$3,2) &amp; "-1", QZ$3, $J$3, , $G$3, $H$3))),"")</f>
        <v/>
      </c>
      <c r="RA14" s="72" t="str">
        <f>IFERROR(IF(OR($B14="",RA$3=""),"",_xll.ciqfunctions.udf.CIQ($B14,"IQ_NI",RA$3,$E$3, $J$3, , $G$3, $H$3)*2/(_xll.ciqfunctions.udf.CIQ($B14,"IQ_TOTAL_BANK_CAPITAL",RA$3,$E$3, $J$3, , $G$3, $H$3)+_xll.ciqfunctions.udf.CIQ($B14,"IQ_TOTAL_BANK_CAPITAL","IQ_" &amp; LEFT(RA$3,2) &amp; "-1", RA$3, $J$3, , $G$3, $H$3))),"")</f>
        <v/>
      </c>
      <c r="RB14" s="72" t="str">
        <f>IFERROR(IF(OR($B14="",RB$3=""),"",_xll.ciqfunctions.udf.CIQ($B14,"IQ_NI",RB$3,$E$3, $J$3, , $G$3, $H$3)*2/(_xll.ciqfunctions.udf.CIQ($B14,"IQ_TOTAL_BANK_CAPITAL",RB$3,$E$3, $J$3, , $G$3, $H$3)+_xll.ciqfunctions.udf.CIQ($B14,"IQ_TOTAL_BANK_CAPITAL","IQ_" &amp; LEFT(RB$3,2) &amp; "-1", RB$3, $J$3, , $G$3, $H$3))),"")</f>
        <v/>
      </c>
      <c r="RC14" s="628" t="str">
        <f>IFERROR(IF(OR($B14="",RC$4=""),"",(IFERROR(_xll.ciqfunctions.udf.CIQ($B14,"IQ_MARKETCAP",RC$4),0)+IFERROR(_xll.ciqfunctions.udf.CIQ($B14,"IQ_TOTAL_DEBT",RC$3),0)+IFERROR(_xll.ciqfunctions.udf.CIQ($B14,"IQ_PREF_EQUITY",RC$3),0)+IFERROR(_xll.ciqfunctions.udf.CIQ($B14,"IQ_MINORITY_INTEREST",RC$3),0)-IFERROR(_xll.ciqfunctions.udf.CIQ($B14,"IQ_ST_INVEST",RC$3),0)-IFERROR(_xll.ciqfunctions.udf.CIQ($B14,"IQ_cash_equiv",RC$3),0))/_xll.ciqfunctions.udf.CIQ($B14,"IQ_TOTAL_BANK_CAPITAL",QI$3,$E$3,$J$3,,$G$3,$H$3)),"")</f>
        <v/>
      </c>
      <c r="RD14" s="628" t="str">
        <f>IFERROR(IF(OR($B14="",RD$4=""),"",(IFERROR(_xll.ciqfunctions.udf.CIQ($B14,"IQ_MARKETCAP",RD$4),0)+IFERROR(_xll.ciqfunctions.udf.CIQ($B14,"IQ_TOTAL_DEBT",RD$3),0)+IFERROR(_xll.ciqfunctions.udf.CIQ($B14,"IQ_PREF_EQUITY",RD$3),0)+IFERROR(_xll.ciqfunctions.udf.CIQ($B14,"IQ_MINORITY_INTEREST",RD$3),0)-IFERROR(_xll.ciqfunctions.udf.CIQ($B14,"IQ_ST_INVEST",RD$3),0)-IFERROR(_xll.ciqfunctions.udf.CIQ($B14,"IQ_cash_equiv",RD$3),0))/_xll.ciqfunctions.udf.CIQ($B14,"IQ_TOTAL_BANK_CAPITAL",QJ$3,$E$3,$J$3,,$G$3,$H$3)),"")</f>
        <v/>
      </c>
      <c r="RE14" s="628" t="str">
        <f>IFERROR(IF(OR($B14="",RE$4=""),"",(IFERROR(_xll.ciqfunctions.udf.CIQ($B14,"IQ_MARKETCAP",RE$4),0)+IFERROR(_xll.ciqfunctions.udf.CIQ($B14,"IQ_TOTAL_DEBT",RE$3),0)+IFERROR(_xll.ciqfunctions.udf.CIQ($B14,"IQ_PREF_EQUITY",RE$3),0)+IFERROR(_xll.ciqfunctions.udf.CIQ($B14,"IQ_MINORITY_INTEREST",RE$3),0)-IFERROR(_xll.ciqfunctions.udf.CIQ($B14,"IQ_ST_INVEST",RE$3),0)-IFERROR(_xll.ciqfunctions.udf.CIQ($B14,"IQ_cash_equiv",RE$3),0))/_xll.ciqfunctions.udf.CIQ($B14,"IQ_TOTAL_BANK_CAPITAL",QK$3,$E$3,$J$3,,$G$3,$H$3)),"")</f>
        <v/>
      </c>
      <c r="RF14" s="628" t="str">
        <f>IFERROR(IF(OR($B14="",RF$4=""),"",(IFERROR(_xll.ciqfunctions.udf.CIQ($B14,"IQ_MARKETCAP",RF$4),0)+IFERROR(_xll.ciqfunctions.udf.CIQ($B14,"IQ_TOTAL_DEBT",RF$3),0)+IFERROR(_xll.ciqfunctions.udf.CIQ($B14,"IQ_PREF_EQUITY",RF$3),0)+IFERROR(_xll.ciqfunctions.udf.CIQ($B14,"IQ_MINORITY_INTEREST",RF$3),0)-IFERROR(_xll.ciqfunctions.udf.CIQ($B14,"IQ_ST_INVEST",RF$3),0)-IFERROR(_xll.ciqfunctions.udf.CIQ($B14,"IQ_cash_equiv",RF$3),0))/_xll.ciqfunctions.udf.CIQ($B14,"IQ_TOTAL_BANK_CAPITAL",QL$3,$E$3,$J$3,,$G$3,$H$3)),"")</f>
        <v/>
      </c>
      <c r="RG14" s="628" t="str">
        <f>IFERROR(IF(OR($B14="",RG$4=""),"",(IFERROR(_xll.ciqfunctions.udf.CIQ($B14,"IQ_MARKETCAP",RG$4),0)+IFERROR(_xll.ciqfunctions.udf.CIQ($B14,"IQ_TOTAL_DEBT",RG$3),0)+IFERROR(_xll.ciqfunctions.udf.CIQ($B14,"IQ_PREF_EQUITY",RG$3),0)+IFERROR(_xll.ciqfunctions.udf.CIQ($B14,"IQ_MINORITY_INTEREST",RG$3),0)-IFERROR(_xll.ciqfunctions.udf.CIQ($B14,"IQ_ST_INVEST",RG$3),0)-IFERROR(_xll.ciqfunctions.udf.CIQ($B14,"IQ_cash_equiv",RG$3),0))/_xll.ciqfunctions.udf.CIQ($B14,"IQ_TOTAL_BANK_CAPITAL",QM$3,$E$3,$J$3,,$G$3,$H$3)),"")</f>
        <v/>
      </c>
      <c r="RH14" s="628" t="str">
        <f>IFERROR(IF(OR($B14="",RH$4=""),"",(IFERROR(_xll.ciqfunctions.udf.CIQ($B14,"IQ_MARKETCAP",RH$4),0)+IFERROR(_xll.ciqfunctions.udf.CIQ($B14,"IQ_TOTAL_DEBT",RH$3),0)+IFERROR(_xll.ciqfunctions.udf.CIQ($B14,"IQ_PREF_EQUITY",RH$3),0)+IFERROR(_xll.ciqfunctions.udf.CIQ($B14,"IQ_MINORITY_INTEREST",RH$3),0)-IFERROR(_xll.ciqfunctions.udf.CIQ($B14,"IQ_ST_INVEST",RH$3),0)-IFERROR(_xll.ciqfunctions.udf.CIQ($B14,"IQ_cash_equiv",RH$3),0))/_xll.ciqfunctions.udf.CIQ($B14,"IQ_TOTAL_BANK_CAPITAL",QN$3,$E$3,$J$3,,$G$3,$H$3)),"")</f>
        <v/>
      </c>
      <c r="RI14" s="628" t="str">
        <f>IFERROR(IF(OR($B14="",RI$4=""),"",(IFERROR(_xll.ciqfunctions.udf.CIQ($B14,"IQ_MARKETCAP",RI$4),0)+IFERROR(_xll.ciqfunctions.udf.CIQ($B14,"IQ_TOTAL_DEBT",RI$3),0)+IFERROR(_xll.ciqfunctions.udf.CIQ($B14,"IQ_PREF_EQUITY",RI$3),0)+IFERROR(_xll.ciqfunctions.udf.CIQ($B14,"IQ_MINORITY_INTEREST",RI$3),0)-IFERROR(_xll.ciqfunctions.udf.CIQ($B14,"IQ_ST_INVEST",RI$3),0)-IFERROR(_xll.ciqfunctions.udf.CIQ($B14,"IQ_cash_equiv",RI$3),0))/_xll.ciqfunctions.udf.CIQ($B14,"IQ_TOTAL_BANK_CAPITAL",QO$3,$E$3,$J$3,,$G$3,$H$3)),"")</f>
        <v/>
      </c>
      <c r="RJ14" s="628" t="str">
        <f>IFERROR(IF(OR($B14="",RJ$4=""),"",(IFERROR(_xll.ciqfunctions.udf.CIQ($B14,"IQ_MARKETCAP",RJ$4),0)+IFERROR(_xll.ciqfunctions.udf.CIQ($B14,"IQ_TOTAL_DEBT",RJ$3),0)+IFERROR(_xll.ciqfunctions.udf.CIQ($B14,"IQ_PREF_EQUITY",RJ$3),0)+IFERROR(_xll.ciqfunctions.udf.CIQ($B14,"IQ_MINORITY_INTEREST",RJ$3),0)-IFERROR(_xll.ciqfunctions.udf.CIQ($B14,"IQ_ST_INVEST",RJ$3),0)-IFERROR(_xll.ciqfunctions.udf.CIQ($B14,"IQ_cash_equiv",RJ$3),0))/_xll.ciqfunctions.udf.CIQ($B14,"IQ_TOTAL_BANK_CAPITAL",QP$3,$E$3,$J$3,,$G$3,$H$3)),"")</f>
        <v/>
      </c>
      <c r="RK14" s="628" t="str">
        <f>IFERROR(IF(OR($B14="",RK$4=""),"",(IFERROR(_xll.ciqfunctions.udf.CIQ($B14,"IQ_MARKETCAP",RK$4),0)+IFERROR(_xll.ciqfunctions.udf.CIQ($B14,"IQ_TOTAL_DEBT",RK$3),0)+IFERROR(_xll.ciqfunctions.udf.CIQ($B14,"IQ_PREF_EQUITY",RK$3),0)+IFERROR(_xll.ciqfunctions.udf.CIQ($B14,"IQ_MINORITY_INTEREST",RK$3),0)-IFERROR(_xll.ciqfunctions.udf.CIQ($B14,"IQ_ST_INVEST",RK$3),0)-IFERROR(_xll.ciqfunctions.udf.CIQ($B14,"IQ_cash_equiv",RK$3),0))/_xll.ciqfunctions.udf.CIQ($B14,"IQ_TOTAL_BANK_CAPITAL",QQ$3,$E$3,$J$3,,$G$3,$H$3)),"")</f>
        <v/>
      </c>
      <c r="RL14" s="628" t="str">
        <f>IFERROR(IF(OR($B14="",RL$4=""),"",(IFERROR(_xll.ciqfunctions.udf.CIQ($B14,"IQ_MARKETCAP",RL$4),0)+IFERROR(_xll.ciqfunctions.udf.CIQ($B14,"IQ_TOTAL_DEBT",RL$3),0)+IFERROR(_xll.ciqfunctions.udf.CIQ($B14,"IQ_PREF_EQUITY",RL$3),0)+IFERROR(_xll.ciqfunctions.udf.CIQ($B14,"IQ_MINORITY_INTEREST",RL$3),0)-IFERROR(_xll.ciqfunctions.udf.CIQ($B14,"IQ_ST_INVEST",RL$3),0)-IFERROR(_xll.ciqfunctions.udf.CIQ($B14,"IQ_cash_equiv",RL$3),0))/_xll.ciqfunctions.udf.CIQ($B14,"IQ_TOTAL_BANK_CAPITAL",QR$3,$E$3,$J$3,,$G$3,$H$3)),"")</f>
        <v/>
      </c>
      <c r="RM14" s="628" t="str">
        <f>IFERROR(IF(OR($B14="",RM$4=""),"",(IFERROR(_xll.ciqfunctions.udf.CIQ($B14,"IQ_MARKETCAP",RM$4),0)+IFERROR(_xll.ciqfunctions.udf.CIQ($B14,"IQ_TOTAL_DEBT",RM$3),0)+IFERROR(_xll.ciqfunctions.udf.CIQ($B14,"IQ_PREF_EQUITY",RM$3),0)+IFERROR(_xll.ciqfunctions.udf.CIQ($B14,"IQ_MINORITY_INTEREST",RM$3),0)-IFERROR(_xll.ciqfunctions.udf.CIQ($B14,"IQ_ST_INVEST",RM$3),0)-IFERROR(_xll.ciqfunctions.udf.CIQ($B14,"IQ_cash_equiv",RM$3),0))/_xll.ciqfunctions.udf.CIQ($B14,"IQ_TOTAL_BANK_CAPITAL",QS$3,$E$3,$J$3,,$G$3,$H$3)),"")</f>
        <v/>
      </c>
      <c r="RN14" s="628" t="str">
        <f>IFERROR(IF(OR($B14="",RN$4=""),"",(IFERROR(_xll.ciqfunctions.udf.CIQ($B14,"IQ_MARKETCAP",RN$4),0)+IFERROR(_xll.ciqfunctions.udf.CIQ($B14,"IQ_TOTAL_DEBT",RN$3),0)+IFERROR(_xll.ciqfunctions.udf.CIQ($B14,"IQ_PREF_EQUITY",RN$3),0)+IFERROR(_xll.ciqfunctions.udf.CIQ($B14,"IQ_MINORITY_INTEREST",RN$3),0)-IFERROR(_xll.ciqfunctions.udf.CIQ($B14,"IQ_ST_INVEST",RN$3),0)-IFERROR(_xll.ciqfunctions.udf.CIQ($B14,"IQ_cash_equiv",RN$3),0))/_xll.ciqfunctions.udf.CIQ($B14,"IQ_TOTAL_BANK_CAPITAL",QT$3,$E$3,$J$3,,$G$3,$H$3)),"")</f>
        <v/>
      </c>
      <c r="RO14" s="628" t="str">
        <f>IFERROR(IF(OR($B14="",RO$4=""),"",(IFERROR(_xll.ciqfunctions.udf.CIQ($B14,"IQ_MARKETCAP",RO$4),0)+IFERROR(_xll.ciqfunctions.udf.CIQ($B14,"IQ_TOTAL_DEBT",RO$3),0)+IFERROR(_xll.ciqfunctions.udf.CIQ($B14,"IQ_PREF_EQUITY",RO$3),0)+IFERROR(_xll.ciqfunctions.udf.CIQ($B14,"IQ_MINORITY_INTEREST",RO$3),0)-IFERROR(_xll.ciqfunctions.udf.CIQ($B14,"IQ_ST_INVEST",RO$3),0)-IFERROR(_xll.ciqfunctions.udf.CIQ($B14,"IQ_cash_equiv",RO$3),0))/_xll.ciqfunctions.udf.CIQ($B14,"IQ_TOTAL_BANK_CAPITAL",QU$3,$E$3,$J$3,,$G$3,$H$3)),"")</f>
        <v/>
      </c>
      <c r="RP14" s="628" t="str">
        <f>IFERROR(IF(OR($B14="",RP$4=""),"",(IFERROR(_xll.ciqfunctions.udf.CIQ($B14,"IQ_MARKETCAP",RP$4),0)+IFERROR(_xll.ciqfunctions.udf.CIQ($B14,"IQ_TOTAL_DEBT",RP$3),0)+IFERROR(_xll.ciqfunctions.udf.CIQ($B14,"IQ_PREF_EQUITY",RP$3),0)+IFERROR(_xll.ciqfunctions.udf.CIQ($B14,"IQ_MINORITY_INTEREST",RP$3),0)-IFERROR(_xll.ciqfunctions.udf.CIQ($B14,"IQ_ST_INVEST",RP$3),0)-IFERROR(_xll.ciqfunctions.udf.CIQ($B14,"IQ_cash_equiv",RP$3),0))/_xll.ciqfunctions.udf.CIQ($B14,"IQ_TOTAL_BANK_CAPITAL",QV$3,$E$3,$J$3,,$G$3,$H$3)),"")</f>
        <v/>
      </c>
      <c r="RQ14" s="628" t="str">
        <f>IFERROR(IF(OR($B14="",RQ$4=""),"",(IFERROR(_xll.ciqfunctions.udf.CIQ($B14,"IQ_MARKETCAP",RQ$4),0)+IFERROR(_xll.ciqfunctions.udf.CIQ($B14,"IQ_TOTAL_DEBT",RQ$3),0)+IFERROR(_xll.ciqfunctions.udf.CIQ($B14,"IQ_PREF_EQUITY",RQ$3),0)+IFERROR(_xll.ciqfunctions.udf.CIQ($B14,"IQ_MINORITY_INTEREST",RQ$3),0)-IFERROR(_xll.ciqfunctions.udf.CIQ($B14,"IQ_ST_INVEST",RQ$3),0)-IFERROR(_xll.ciqfunctions.udf.CIQ($B14,"IQ_cash_equiv",RQ$3),0))/_xll.ciqfunctions.udf.CIQ($B14,"IQ_TOTAL_BANK_CAPITAL",QW$3,$E$3,$J$3,,$G$3,$H$3)),"")</f>
        <v/>
      </c>
      <c r="RR14" s="628" t="str">
        <f>IFERROR(IF(OR($B14="",RR$4=""),"",(IFERROR(_xll.ciqfunctions.udf.CIQ($B14,"IQ_MARKETCAP",RR$4),0)+IFERROR(_xll.ciqfunctions.udf.CIQ($B14,"IQ_TOTAL_DEBT",RR$3),0)+IFERROR(_xll.ciqfunctions.udf.CIQ($B14,"IQ_PREF_EQUITY",RR$3),0)+IFERROR(_xll.ciqfunctions.udf.CIQ($B14,"IQ_MINORITY_INTEREST",RR$3),0)-IFERROR(_xll.ciqfunctions.udf.CIQ($B14,"IQ_ST_INVEST",RR$3),0)-IFERROR(_xll.ciqfunctions.udf.CIQ($B14,"IQ_cash_equiv",RR$3),0))/_xll.ciqfunctions.udf.CIQ($B14,"IQ_TOTAL_BANK_CAPITAL",QX$3,$E$3,$J$3,,$G$3,$H$3)),"")</f>
        <v/>
      </c>
      <c r="RS14" s="628" t="str">
        <f>IFERROR(IF(OR($B14="",RS$4=""),"",(IFERROR(_xll.ciqfunctions.udf.CIQ($B14,"IQ_MARKETCAP",RS$4),0)+IFERROR(_xll.ciqfunctions.udf.CIQ($B14,"IQ_TOTAL_DEBT",RS$3),0)+IFERROR(_xll.ciqfunctions.udf.CIQ($B14,"IQ_PREF_EQUITY",RS$3),0)+IFERROR(_xll.ciqfunctions.udf.CIQ($B14,"IQ_MINORITY_INTEREST",RS$3),0)-IFERROR(_xll.ciqfunctions.udf.CIQ($B14,"IQ_ST_INVEST",RS$3),0)-IFERROR(_xll.ciqfunctions.udf.CIQ($B14,"IQ_cash_equiv",RS$3),0))/_xll.ciqfunctions.udf.CIQ($B14,"IQ_TOTAL_BANK_CAPITAL",QY$3,$E$3,$J$3,,$G$3,$H$3)),"")</f>
        <v/>
      </c>
      <c r="RT14" s="628" t="str">
        <f>IFERROR(IF(OR($B14="",RT$4=""),"",(IFERROR(_xll.ciqfunctions.udf.CIQ($B14,"IQ_MARKETCAP",RT$4),0)+IFERROR(_xll.ciqfunctions.udf.CIQ($B14,"IQ_TOTAL_DEBT",RT$3),0)+IFERROR(_xll.ciqfunctions.udf.CIQ($B14,"IQ_PREF_EQUITY",RT$3),0)+IFERROR(_xll.ciqfunctions.udf.CIQ($B14,"IQ_MINORITY_INTEREST",RT$3),0)-IFERROR(_xll.ciqfunctions.udf.CIQ($B14,"IQ_ST_INVEST",RT$3),0)-IFERROR(_xll.ciqfunctions.udf.CIQ($B14,"IQ_cash_equiv",RT$3),0))/_xll.ciqfunctions.udf.CIQ($B14,"IQ_TOTAL_BANK_CAPITAL",QZ$3,$E$3,$J$3,,$G$3,$H$3)),"")</f>
        <v/>
      </c>
      <c r="RU14" s="628" t="str">
        <f>IFERROR(IF(OR($B14="",RU$4=""),"",(IFERROR(_xll.ciqfunctions.udf.CIQ($B14,"IQ_MARKETCAP",RU$4),0)+IFERROR(_xll.ciqfunctions.udf.CIQ($B14,"IQ_TOTAL_DEBT",RU$3),0)+IFERROR(_xll.ciqfunctions.udf.CIQ($B14,"IQ_PREF_EQUITY",RU$3),0)+IFERROR(_xll.ciqfunctions.udf.CIQ($B14,"IQ_MINORITY_INTEREST",RU$3),0)-IFERROR(_xll.ciqfunctions.udf.CIQ($B14,"IQ_ST_INVEST",RU$3),0)-IFERROR(_xll.ciqfunctions.udf.CIQ($B14,"IQ_cash_equiv",RU$3),0))/_xll.ciqfunctions.udf.CIQ($B14,"IQ_TOTAL_BANK_CAPITAL",RA$3,$E$3,$J$3,,$G$3,$H$3)),"")</f>
        <v/>
      </c>
      <c r="RV14" s="628" t="str">
        <f>IFERROR(IF(OR($B14="",RV$4=""),"",(IFERROR(_xll.ciqfunctions.udf.CIQ($B14,"IQ_MARKETCAP",RV$4),0)+IFERROR(_xll.ciqfunctions.udf.CIQ($B14,"IQ_TOTAL_DEBT",RV$3),0)+IFERROR(_xll.ciqfunctions.udf.CIQ($B14,"IQ_PREF_EQUITY",RV$3),0)+IFERROR(_xll.ciqfunctions.udf.CIQ($B14,"IQ_MINORITY_INTEREST",RV$3),0)-IFERROR(_xll.ciqfunctions.udf.CIQ($B14,"IQ_ST_INVEST",RV$3),0)-IFERROR(_xll.ciqfunctions.udf.CIQ($B14,"IQ_cash_equiv",RV$3),0))/_xll.ciqfunctions.udf.CIQ($B14,"IQ_TOTAL_BANK_CAPITAL",RB$3,$E$3,$J$3,,$G$3,$H$3)),"")</f>
        <v/>
      </c>
      <c r="RW14" s="72" t="str">
        <f t="shared" si="331"/>
        <v>0</v>
      </c>
      <c r="RX14" s="72" t="str">
        <f t="shared" si="332"/>
        <v/>
      </c>
      <c r="RY14" s="72" t="str">
        <f t="shared" si="333"/>
        <v/>
      </c>
      <c r="RZ14" s="72" t="str">
        <f t="shared" si="334"/>
        <v/>
      </c>
      <c r="SA14" s="72" t="str">
        <f t="shared" si="335"/>
        <v/>
      </c>
      <c r="SB14" s="72" t="str">
        <f t="shared" si="336"/>
        <v/>
      </c>
      <c r="SC14" s="72" t="str">
        <f t="shared" si="337"/>
        <v/>
      </c>
      <c r="SD14" s="72" t="str">
        <f t="shared" si="338"/>
        <v/>
      </c>
      <c r="SE14" s="72" t="str">
        <f t="shared" si="339"/>
        <v/>
      </c>
      <c r="SF14" s="72" t="str">
        <f t="shared" si="340"/>
        <v/>
      </c>
      <c r="SG14" s="72" t="str">
        <f t="shared" si="341"/>
        <v/>
      </c>
      <c r="SH14" s="72" t="str">
        <f t="shared" si="342"/>
        <v/>
      </c>
      <c r="SI14" s="72" t="str">
        <f t="shared" si="343"/>
        <v/>
      </c>
      <c r="SJ14" s="72" t="str">
        <f t="shared" si="344"/>
        <v/>
      </c>
      <c r="SK14" s="72" t="str">
        <f t="shared" si="345"/>
        <v/>
      </c>
      <c r="SL14" s="72" t="str">
        <f t="shared" si="346"/>
        <v/>
      </c>
      <c r="SM14" s="72" t="str">
        <f t="shared" si="347"/>
        <v/>
      </c>
      <c r="SN14" s="72" t="str">
        <f t="shared" si="348"/>
        <v/>
      </c>
      <c r="SO14" s="72" t="str">
        <f t="shared" si="349"/>
        <v/>
      </c>
      <c r="SP14" s="72" t="str">
        <f t="shared" si="350"/>
        <v/>
      </c>
      <c r="SQ14" s="72" t="str">
        <f>IFERROR(IF(OR($B14="",SQ$3=""),"",_xll.ciqfunctions.udf.CIQ($B14,"IQ_TOTAL_DEPOSITS",SQ$3,$E$3, $J$3, , $G$3, $H$3)/_xll.ciqfunctions.udf.CIQ($B14,"IQ_TOTAL_ASSETS",SQ$3,$E$3, $J$3, , $G$3, $H$3)),"")</f>
        <v/>
      </c>
      <c r="SR14" s="72" t="str">
        <f>IFERROR(IF(OR($B14="",SR$3=""),"",_xll.ciqfunctions.udf.CIQ($B14,"IQ_TOTAL_DEPOSITS",SR$3,$E$3, $J$3, , $G$3, $H$3)/_xll.ciqfunctions.udf.CIQ($B14,"IQ_TOTAL_ASSETS",SR$3,$E$3, $J$3, , $G$3, $H$3)),"")</f>
        <v/>
      </c>
      <c r="SS14" s="72" t="str">
        <f>IFERROR(IF(OR($B14="",SS$3=""),"",_xll.ciqfunctions.udf.CIQ($B14,"IQ_TOTAL_DEPOSITS",SS$3,$E$3, $J$3, , $G$3, $H$3)/_xll.ciqfunctions.udf.CIQ($B14,"IQ_TOTAL_ASSETS",SS$3,$E$3, $J$3, , $G$3, $H$3)),"")</f>
        <v/>
      </c>
      <c r="ST14" s="72" t="str">
        <f>IFERROR(IF(OR($B14="",ST$3=""),"",_xll.ciqfunctions.udf.CIQ($B14,"IQ_TOTAL_DEPOSITS",ST$3,$E$3, $J$3, , $G$3, $H$3)/_xll.ciqfunctions.udf.CIQ($B14,"IQ_TOTAL_ASSETS",ST$3,$E$3, $J$3, , $G$3, $H$3)),"")</f>
        <v/>
      </c>
      <c r="SU14" s="72" t="str">
        <f>IFERROR(IF(OR($B14="",SU$3=""),"",_xll.ciqfunctions.udf.CIQ($B14,"IQ_TOTAL_DEPOSITS",SU$3,$E$3, $J$3, , $G$3, $H$3)/_xll.ciqfunctions.udf.CIQ($B14,"IQ_TOTAL_ASSETS",SU$3,$E$3, $J$3, , $G$3, $H$3)),"")</f>
        <v/>
      </c>
      <c r="SV14" s="72" t="str">
        <f>IFERROR(IF(OR($B14="",SV$3=""),"",_xll.ciqfunctions.udf.CIQ($B14,"IQ_TOTAL_DEPOSITS",SV$3,$E$3, $J$3, , $G$3, $H$3)/_xll.ciqfunctions.udf.CIQ($B14,"IQ_TOTAL_ASSETS",SV$3,$E$3, $J$3, , $G$3, $H$3)),"")</f>
        <v/>
      </c>
      <c r="SW14" s="72" t="str">
        <f>IFERROR(IF(OR($B14="",SW$3=""),"",_xll.ciqfunctions.udf.CIQ($B14,"IQ_TOTAL_DEPOSITS",SW$3,$E$3, $J$3, , $G$3, $H$3)/_xll.ciqfunctions.udf.CIQ($B14,"IQ_TOTAL_ASSETS",SW$3,$E$3, $J$3, , $G$3, $H$3)),"")</f>
        <v/>
      </c>
      <c r="SX14" s="72" t="str">
        <f>IFERROR(IF(OR($B14="",SX$3=""),"",_xll.ciqfunctions.udf.CIQ($B14,"IQ_TOTAL_DEPOSITS",SX$3,$E$3, $J$3, , $G$3, $H$3)/_xll.ciqfunctions.udf.CIQ($B14,"IQ_TOTAL_ASSETS",SX$3,$E$3, $J$3, , $G$3, $H$3)),"")</f>
        <v/>
      </c>
      <c r="SY14" s="72" t="str">
        <f>IFERROR(IF(OR($B14="",SY$3=""),"",_xll.ciqfunctions.udf.CIQ($B14,"IQ_TOTAL_DEPOSITS",SY$3,$E$3, $J$3, , $G$3, $H$3)/_xll.ciqfunctions.udf.CIQ($B14,"IQ_TOTAL_ASSETS",SY$3,$E$3, $J$3, , $G$3, $H$3)),"")</f>
        <v/>
      </c>
      <c r="SZ14" s="72" t="str">
        <f>IFERROR(IF(OR($B14="",SZ$3=""),"",_xll.ciqfunctions.udf.CIQ($B14,"IQ_TOTAL_DEPOSITS",SZ$3,$E$3, $J$3, , $G$3, $H$3)/_xll.ciqfunctions.udf.CIQ($B14,"IQ_TOTAL_ASSETS",SZ$3,$E$3, $J$3, , $G$3, $H$3)),"")</f>
        <v/>
      </c>
      <c r="TA14" s="72" t="str">
        <f>IFERROR(IF(OR($B14="",TA$3=""),"",_xll.ciqfunctions.udf.CIQ($B14,"IQ_TOTAL_DEPOSITS",TA$3,$E$3, $J$3, , $G$3, $H$3)/_xll.ciqfunctions.udf.CIQ($B14,"IQ_TOTAL_ASSETS",TA$3,$E$3, $J$3, , $G$3, $H$3)),"")</f>
        <v/>
      </c>
      <c r="TB14" s="72" t="str">
        <f>IFERROR(IF(OR($B14="",TB$3=""),"",_xll.ciqfunctions.udf.CIQ($B14,"IQ_TOTAL_DEPOSITS",TB$3,$E$3, $J$3, , $G$3, $H$3)/_xll.ciqfunctions.udf.CIQ($B14,"IQ_TOTAL_ASSETS",TB$3,$E$3, $J$3, , $G$3, $H$3)),"")</f>
        <v/>
      </c>
      <c r="TC14" s="72" t="str">
        <f>IFERROR(IF(OR($B14="",TC$3=""),"",_xll.ciqfunctions.udf.CIQ($B14,"IQ_TOTAL_DEPOSITS",TC$3,$E$3, $J$3, , $G$3, $H$3)/_xll.ciqfunctions.udf.CIQ($B14,"IQ_TOTAL_ASSETS",TC$3,$E$3, $J$3, , $G$3, $H$3)),"")</f>
        <v/>
      </c>
      <c r="TD14" s="72" t="str">
        <f>IFERROR(IF(OR($B14="",TD$3=""),"",_xll.ciqfunctions.udf.CIQ($B14,"IQ_TOTAL_DEPOSITS",TD$3,$E$3, $J$3, , $G$3, $H$3)/_xll.ciqfunctions.udf.CIQ($B14,"IQ_TOTAL_ASSETS",TD$3,$E$3, $J$3, , $G$3, $H$3)),"")</f>
        <v/>
      </c>
      <c r="TE14" s="72" t="str">
        <f>IFERROR(IF(OR($B14="",TE$3=""),"",_xll.ciqfunctions.udf.CIQ($B14,"IQ_TOTAL_DEPOSITS",TE$3,$E$3, $J$3, , $G$3, $H$3)/_xll.ciqfunctions.udf.CIQ($B14,"IQ_TOTAL_ASSETS",TE$3,$E$3, $J$3, , $G$3, $H$3)),"")</f>
        <v/>
      </c>
      <c r="TF14" s="72" t="str">
        <f>IFERROR(IF(OR($B14="",TF$3=""),"",_xll.ciqfunctions.udf.CIQ($B14,"IQ_TOTAL_DEPOSITS",TF$3,$E$3, $J$3, , $G$3, $H$3)/_xll.ciqfunctions.udf.CIQ($B14,"IQ_TOTAL_ASSETS",TF$3,$E$3, $J$3, , $G$3, $H$3)),"")</f>
        <v/>
      </c>
      <c r="TG14" s="72" t="str">
        <f>IFERROR(IF(OR($B14="",TG$3=""),"",_xll.ciqfunctions.udf.CIQ($B14,"IQ_TOTAL_DEPOSITS",TG$3,$E$3, $J$3, , $G$3, $H$3)/_xll.ciqfunctions.udf.CIQ($B14,"IQ_TOTAL_ASSETS",TG$3,$E$3, $J$3, , $G$3, $H$3)),"")</f>
        <v/>
      </c>
      <c r="TH14" s="72" t="str">
        <f>IFERROR(IF(OR($B14="",TH$3=""),"",_xll.ciqfunctions.udf.CIQ($B14,"IQ_TOTAL_DEPOSITS",TH$3,$E$3, $J$3, , $G$3, $H$3)/_xll.ciqfunctions.udf.CIQ($B14,"IQ_TOTAL_ASSETS",TH$3,$E$3, $J$3, , $G$3, $H$3)),"")</f>
        <v/>
      </c>
      <c r="TI14" s="72" t="str">
        <f>IFERROR(IF(OR($B14="",TI$3=""),"",_xll.ciqfunctions.udf.CIQ($B14,"IQ_TOTAL_DEPOSITS",TI$3,$E$3, $J$3, , $G$3, $H$3)/_xll.ciqfunctions.udf.CIQ($B14,"IQ_TOTAL_ASSETS",TI$3,$E$3, $J$3, , $G$3, $H$3)),"")</f>
        <v/>
      </c>
      <c r="TJ14" s="72" t="str">
        <f>IFERROR(IF(OR($B14="",TJ$3=""),"",_xll.ciqfunctions.udf.CIQ($B14,"IQ_TOTAL_DEPOSITS",TJ$3,$E$3, $J$3, , $G$3, $H$3)/_xll.ciqfunctions.udf.CIQ($B14,"IQ_TOTAL_ASSETS",TJ$3,$E$3, $J$3, , $G$3, $H$3)),"")</f>
        <v/>
      </c>
      <c r="TK14" s="72" t="str">
        <f>IFERROR(IF(OR($B14="",TK$3="",TK$4=""),"",(_xll.ciqfunctions.udf.CIQ($B14,"IQ_TOTAL_BANK_CAPITAL",TK$3,$E$3, $J$3, , $G$3, $H$3)/_xll.ciqfunctions.udf.CIQ($B14,"IQ_TOTAL_BANK_CAPITAL",TK$4,$E$3, $J$3, , $G$3, $H$3))-1),"")</f>
        <v/>
      </c>
      <c r="TL14" s="72" t="str">
        <f>IFERROR(IF(OR($B14="",TL$3="",TL$4=""),"",(_xll.ciqfunctions.udf.CIQ($B14,"IQ_TOTAL_BANK_CAPITAL",TL$3,$E$3, $J$3, , $G$3, $H$3)/_xll.ciqfunctions.udf.CIQ($B14,"IQ_TOTAL_BANK_CAPITAL",TL$4,$E$3, $J$3, , $G$3, $H$3))-1),"")</f>
        <v/>
      </c>
      <c r="TM14" s="72" t="str">
        <f>IFERROR(IF(OR($B14="",TM$3="",TM$4=""),"",(_xll.ciqfunctions.udf.CIQ($B14,"IQ_TOTAL_BANK_CAPITAL",TM$3,$E$3, $J$3, , $G$3, $H$3)/_xll.ciqfunctions.udf.CIQ($B14,"IQ_TOTAL_BANK_CAPITAL",TM$4,$E$3, $J$3, , $G$3, $H$3))-1),"")</f>
        <v/>
      </c>
      <c r="TN14" s="72" t="str">
        <f>IFERROR(IF(OR($B14="",TN$3="",TN$4=""),"",(_xll.ciqfunctions.udf.CIQ($B14,"IQ_TOTAL_BANK_CAPITAL",TN$3,$E$3, $J$3, , $G$3, $H$3)/_xll.ciqfunctions.udf.CIQ($B14,"IQ_TOTAL_BANK_CAPITAL",TN$4,$E$3, $J$3, , $G$3, $H$3))-1),"")</f>
        <v/>
      </c>
      <c r="TO14" s="72" t="str">
        <f>IFERROR(IF(OR($B14="",TO$3="",TO$4=""),"",(_xll.ciqfunctions.udf.CIQ($B14,"IQ_TOTAL_BANK_CAPITAL",TO$3,$E$3, $J$3, , $G$3, $H$3)/_xll.ciqfunctions.udf.CIQ($B14,"IQ_TOTAL_BANK_CAPITAL",TO$4,$E$3, $J$3, , $G$3, $H$3))-1),"")</f>
        <v/>
      </c>
      <c r="TP14" s="72" t="str">
        <f>IFERROR(IF(OR($B14="",TP$3="",TP$4=""),"",(_xll.ciqfunctions.udf.CIQ($B14,"IQ_TOTAL_BANK_CAPITAL",TP$3,$E$3, $J$3, , $G$3, $H$3)/_xll.ciqfunctions.udf.CIQ($B14,"IQ_TOTAL_BANK_CAPITAL",TP$4,$E$3, $J$3, , $G$3, $H$3))-1),"")</f>
        <v/>
      </c>
      <c r="TQ14" s="72" t="str">
        <f>IFERROR(IF(OR($B14="",TQ$3="",TQ$4=""),"",(_xll.ciqfunctions.udf.CIQ($B14,"IQ_TOTAL_BANK_CAPITAL",TQ$3,$E$3, $J$3, , $G$3, $H$3)/_xll.ciqfunctions.udf.CIQ($B14,"IQ_TOTAL_BANK_CAPITAL",TQ$4,$E$3, $J$3, , $G$3, $H$3))-1),"")</f>
        <v/>
      </c>
      <c r="TR14" s="72" t="str">
        <f>IFERROR(IF(OR($B14="",TR$3="",TR$4=""),"",(_xll.ciqfunctions.udf.CIQ($B14,"IQ_TOTAL_BANK_CAPITAL",TR$3,$E$3, $J$3, , $G$3, $H$3)/_xll.ciqfunctions.udf.CIQ($B14,"IQ_TOTAL_BANK_CAPITAL",TR$4,$E$3, $J$3, , $G$3, $H$3))-1),"")</f>
        <v/>
      </c>
      <c r="TS14" s="72" t="str">
        <f>IFERROR(IF(OR($B14="",TS$3="",TS$4=""),"",(_xll.ciqfunctions.udf.CIQ($B14,"IQ_TOTAL_BANK_CAPITAL",TS$3,$E$3, $J$3, , $G$3, $H$3)/_xll.ciqfunctions.udf.CIQ($B14,"IQ_TOTAL_BANK_CAPITAL",TS$4,$E$3, $J$3, , $G$3, $H$3))-1),"")</f>
        <v/>
      </c>
      <c r="TT14" s="72" t="str">
        <f>IFERROR(IF(OR($B14="",TT$3="",TT$4=""),"",(_xll.ciqfunctions.udf.CIQ($B14,"IQ_TOTAL_BANK_CAPITAL",TT$3,$E$3, $J$3, , $G$3, $H$3)/_xll.ciqfunctions.udf.CIQ($B14,"IQ_TOTAL_BANK_CAPITAL",TT$4,$E$3, $J$3, , $G$3, $H$3))-1),"")</f>
        <v/>
      </c>
      <c r="TU14" s="72" t="str">
        <f>IFERROR(IF(OR($B14="",TU$3="",TU$4=""),"",(_xll.ciqfunctions.udf.CIQ($B14,"IQ_TOTAL_BANK_CAPITAL",TU$3,$E$3, $J$3, , $G$3, $H$3)/_xll.ciqfunctions.udf.CIQ($B14,"IQ_TOTAL_BANK_CAPITAL",TU$4,$E$3, $J$3, , $G$3, $H$3))-1),"")</f>
        <v/>
      </c>
      <c r="TV14" s="72" t="str">
        <f>IFERROR(IF(OR($B14="",TV$3="",TV$4=""),"",(_xll.ciqfunctions.udf.CIQ($B14,"IQ_TOTAL_BANK_CAPITAL",TV$3,$E$3, $J$3, , $G$3, $H$3)/_xll.ciqfunctions.udf.CIQ($B14,"IQ_TOTAL_BANK_CAPITAL",TV$4,$E$3, $J$3, , $G$3, $H$3))-1),"")</f>
        <v/>
      </c>
      <c r="TW14" s="72" t="str">
        <f>IFERROR(IF(OR($B14="",TW$3="",TW$4=""),"",(_xll.ciqfunctions.udf.CIQ($B14,"IQ_TOTAL_BANK_CAPITAL",TW$3,$E$3, $J$3, , $G$3, $H$3)/_xll.ciqfunctions.udf.CIQ($B14,"IQ_TOTAL_BANK_CAPITAL",TW$4,$E$3, $J$3, , $G$3, $H$3))-1),"")</f>
        <v/>
      </c>
      <c r="TX14" s="72" t="str">
        <f>IFERROR(IF(OR($B14="",TX$3="",TX$4=""),"",(_xll.ciqfunctions.udf.CIQ($B14,"IQ_TOTAL_BANK_CAPITAL",TX$3,$E$3, $J$3, , $G$3, $H$3)/_xll.ciqfunctions.udf.CIQ($B14,"IQ_TOTAL_BANK_CAPITAL",TX$4,$E$3, $J$3, , $G$3, $H$3))-1),"")</f>
        <v/>
      </c>
      <c r="TY14" s="72" t="str">
        <f>IFERROR(IF(OR($B14="",TY$3="",TY$4=""),"",(_xll.ciqfunctions.udf.CIQ($B14,"IQ_TOTAL_BANK_CAPITAL",TY$3,$E$3, $J$3, , $G$3, $H$3)/_xll.ciqfunctions.udf.CIQ($B14,"IQ_TOTAL_BANK_CAPITAL",TY$4,$E$3, $J$3, , $G$3, $H$3))-1),"")</f>
        <v/>
      </c>
      <c r="TZ14" s="72" t="str">
        <f>IFERROR(IF(OR($B14="",TZ$3="",TZ$4=""),"",(_xll.ciqfunctions.udf.CIQ($B14,"IQ_TOTAL_BANK_CAPITAL",TZ$3,$E$3, $J$3, , $G$3, $H$3)/_xll.ciqfunctions.udf.CIQ($B14,"IQ_TOTAL_BANK_CAPITAL",TZ$4,$E$3, $J$3, , $G$3, $H$3))-1),"")</f>
        <v/>
      </c>
      <c r="UA14" s="72" t="str">
        <f>IFERROR(IF(OR($B14="",UA$3="",UA$4=""),"",(_xll.ciqfunctions.udf.CIQ($B14,"IQ_TOTAL_BANK_CAPITAL",UA$3,$E$3, $J$3, , $G$3, $H$3)/_xll.ciqfunctions.udf.CIQ($B14,"IQ_TOTAL_BANK_CAPITAL",UA$4,$E$3, $J$3, , $G$3, $H$3))-1),"")</f>
        <v/>
      </c>
      <c r="UB14" s="72" t="str">
        <f>IFERROR(IF(OR($B14="",UB$3="",UB$4=""),"",(_xll.ciqfunctions.udf.CIQ($B14,"IQ_TOTAL_BANK_CAPITAL",UB$3,$E$3, $J$3, , $G$3, $H$3)/_xll.ciqfunctions.udf.CIQ($B14,"IQ_TOTAL_BANK_CAPITAL",UB$4,$E$3, $J$3, , $G$3, $H$3))-1),"")</f>
        <v/>
      </c>
      <c r="UC14" s="72" t="str">
        <f>IFERROR(IF(OR($B14="",UC$3="",UC$4=""),"",(_xll.ciqfunctions.udf.CIQ($B14,"IQ_TOTAL_BANK_CAPITAL",UC$3,$E$3, $J$3, , $G$3, $H$3)/_xll.ciqfunctions.udf.CIQ($B14,"IQ_TOTAL_BANK_CAPITAL",UC$4,$E$3, $J$3, , $G$3, $H$3))-1),"")</f>
        <v/>
      </c>
      <c r="UD14" s="72" t="str">
        <f>IFERROR(IF(OR($B14="",UD$3="",UD$4=""),"",(_xll.ciqfunctions.udf.CIQ($B14,"IQ_TOTAL_BANK_CAPITAL",UD$3,$E$3, $J$3, , $G$3, $H$3)/_xll.ciqfunctions.udf.CIQ($B14,"IQ_TOTAL_BANK_CAPITAL",UD$4,$E$3, $J$3, , $G$3, $H$3))-1),"")</f>
        <v/>
      </c>
      <c r="UE14" s="86" t="str">
        <f>IFERROR(IF(OR($B14="",UE$3=""),"",(_xll.ciqfunctions.udf.CIQ($B14,"IQ_TOTAL_CAPITAL_RATIO",UE$3,$E$3, $J$3, , $G$3, $H$3) - _xll.ciqfunctions.udf.CIQ($B14,"IQ_TIER_ONE_RATIO",UE$3,$E$3, $J$3, , $G$3, $H$3))/100),"")</f>
        <v/>
      </c>
      <c r="UF14" s="87" t="str">
        <f>IFERROR(IF(OR($B14="",UF$3=""),"",(_xll.ciqfunctions.udf.CIQ($B14,"IQ_TOTAL_CAPITAL_RATIO",UF$3,$E$3, $J$3, , $G$3, $H$3) - _xll.ciqfunctions.udf.CIQ($B14,"IQ_TIER_ONE_RATIO",UF$3,$E$3, $J$3, , $G$3, $H$3))/100),"")</f>
        <v/>
      </c>
      <c r="UG14" s="87" t="str">
        <f>IFERROR(IF(OR($B14="",UG$3=""),"",(_xll.ciqfunctions.udf.CIQ($B14,"IQ_TOTAL_CAPITAL_RATIO",UG$3,$E$3, $J$3, , $G$3, $H$3) - _xll.ciqfunctions.udf.CIQ($B14,"IQ_TIER_ONE_RATIO",UG$3,$E$3, $J$3, , $G$3, $H$3))/100),"")</f>
        <v/>
      </c>
      <c r="UH14" s="87" t="str">
        <f>IFERROR(IF(OR($B14="",UH$3=""),"",(_xll.ciqfunctions.udf.CIQ($B14,"IQ_TOTAL_CAPITAL_RATIO",UH$3,$E$3, $J$3, , $G$3, $H$3) - _xll.ciqfunctions.udf.CIQ($B14,"IQ_TIER_ONE_RATIO",UH$3,$E$3, $J$3, , $G$3, $H$3))/100),"")</f>
        <v/>
      </c>
      <c r="UI14" s="87" t="str">
        <f>IFERROR(IF(OR($B14="",UI$3=""),"",(_xll.ciqfunctions.udf.CIQ($B14,"IQ_TOTAL_CAPITAL_RATIO",UI$3,$E$3, $J$3, , $G$3, $H$3) - _xll.ciqfunctions.udf.CIQ($B14,"IQ_TIER_ONE_RATIO",UI$3,$E$3, $J$3, , $G$3, $H$3))/100),"")</f>
        <v/>
      </c>
      <c r="UJ14" s="87" t="str">
        <f>IFERROR(IF(OR($B14="",UJ$3=""),"",(_xll.ciqfunctions.udf.CIQ($B14,"IQ_TOTAL_CAPITAL_RATIO",UJ$3,$E$3, $J$3, , $G$3, $H$3) - _xll.ciqfunctions.udf.CIQ($B14,"IQ_TIER_ONE_RATIO",UJ$3,$E$3, $J$3, , $G$3, $H$3))/100),"")</f>
        <v/>
      </c>
      <c r="UK14" s="87" t="str">
        <f>IFERROR(IF(OR($B14="",UK$3=""),"",(_xll.ciqfunctions.udf.CIQ($B14,"IQ_TOTAL_CAPITAL_RATIO",UK$3,$E$3, $J$3, , $G$3, $H$3) - _xll.ciqfunctions.udf.CIQ($B14,"IQ_TIER_ONE_RATIO",UK$3,$E$3, $J$3, , $G$3, $H$3))/100),"")</f>
        <v/>
      </c>
      <c r="UL14" s="87" t="str">
        <f>IFERROR(IF(OR($B14="",UL$3=""),"",(_xll.ciqfunctions.udf.CIQ($B14,"IQ_TOTAL_CAPITAL_RATIO",UL$3,$E$3, $J$3, , $G$3, $H$3) - _xll.ciqfunctions.udf.CIQ($B14,"IQ_TIER_ONE_RATIO",UL$3,$E$3, $J$3, , $G$3, $H$3))/100),"")</f>
        <v/>
      </c>
      <c r="UM14" s="87" t="str">
        <f>IFERROR(IF(OR($B14="",UM$3=""),"",(_xll.ciqfunctions.udf.CIQ($B14,"IQ_TOTAL_CAPITAL_RATIO",UM$3,$E$3, $J$3, , $G$3, $H$3) - _xll.ciqfunctions.udf.CIQ($B14,"IQ_TIER_ONE_RATIO",UM$3,$E$3, $J$3, , $G$3, $H$3))/100),"")</f>
        <v/>
      </c>
      <c r="UN14" s="87" t="str">
        <f>IFERROR(IF(OR($B14="",UN$3=""),"",(_xll.ciqfunctions.udf.CIQ($B14,"IQ_TOTAL_CAPITAL_RATIO",UN$3,$E$3, $J$3, , $G$3, $H$3) - _xll.ciqfunctions.udf.CIQ($B14,"IQ_TIER_ONE_RATIO",UN$3,$E$3, $J$3, , $G$3, $H$3))/100),"")</f>
        <v/>
      </c>
      <c r="UO14" s="87" t="str">
        <f>IFERROR(IF(OR($B14="",UO$3=""),"",(_xll.ciqfunctions.udf.CIQ($B14,"IQ_TOTAL_CAPITAL_RATIO",UO$3,$E$3, $J$3, , $G$3, $H$3) - _xll.ciqfunctions.udf.CIQ($B14,"IQ_TIER_ONE_RATIO",UO$3,$E$3, $J$3, , $G$3, $H$3))/100),"")</f>
        <v/>
      </c>
      <c r="UP14" s="87" t="str">
        <f>IFERROR(IF(OR($B14="",UP$3=""),"",(_xll.ciqfunctions.udf.CIQ($B14,"IQ_TOTAL_CAPITAL_RATIO",UP$3,$E$3, $J$3, , $G$3, $H$3) - _xll.ciqfunctions.udf.CIQ($B14,"IQ_TIER_ONE_RATIO",UP$3,$E$3, $J$3, , $G$3, $H$3))/100),"")</f>
        <v/>
      </c>
      <c r="UQ14" s="87" t="str">
        <f>IFERROR(IF(OR($B14="",UQ$3=""),"",(_xll.ciqfunctions.udf.CIQ($B14,"IQ_TOTAL_CAPITAL_RATIO",UQ$3,$E$3, $J$3, , $G$3, $H$3) - _xll.ciqfunctions.udf.CIQ($B14,"IQ_TIER_ONE_RATIO",UQ$3,$E$3, $J$3, , $G$3, $H$3))/100),"")</f>
        <v/>
      </c>
      <c r="UR14" s="87" t="str">
        <f>IFERROR(IF(OR($B14="",UR$3=""),"",(_xll.ciqfunctions.udf.CIQ($B14,"IQ_TOTAL_CAPITAL_RATIO",UR$3,$E$3, $J$3, , $G$3, $H$3) - _xll.ciqfunctions.udf.CIQ($B14,"IQ_TIER_ONE_RATIO",UR$3,$E$3, $J$3, , $G$3, $H$3))/100),"")</f>
        <v/>
      </c>
      <c r="US14" s="87" t="str">
        <f>IFERROR(IF(OR($B14="",US$3=""),"",(_xll.ciqfunctions.udf.CIQ($B14,"IQ_TOTAL_CAPITAL_RATIO",US$3,$E$3, $J$3, , $G$3, $H$3) - _xll.ciqfunctions.udf.CIQ($B14,"IQ_TIER_ONE_RATIO",US$3,$E$3, $J$3, , $G$3, $H$3))/100),"")</f>
        <v/>
      </c>
      <c r="UT14" s="87" t="str">
        <f>IFERROR(IF(OR($B14="",UT$3=""),"",(_xll.ciqfunctions.udf.CIQ($B14,"IQ_TOTAL_CAPITAL_RATIO",UT$3,$E$3, $J$3, , $G$3, $H$3) - _xll.ciqfunctions.udf.CIQ($B14,"IQ_TIER_ONE_RATIO",UT$3,$E$3, $J$3, , $G$3, $H$3))/100),"")</f>
        <v/>
      </c>
      <c r="UU14" s="87" t="str">
        <f>IFERROR(IF(OR($B14="",UU$3=""),"",(_xll.ciqfunctions.udf.CIQ($B14,"IQ_TOTAL_CAPITAL_RATIO",UU$3,$E$3, $J$3, , $G$3, $H$3) - _xll.ciqfunctions.udf.CIQ($B14,"IQ_TIER_ONE_RATIO",UU$3,$E$3, $J$3, , $G$3, $H$3))/100),"")</f>
        <v/>
      </c>
      <c r="UV14" s="87" t="str">
        <f>IFERROR(IF(OR($B14="",UV$3=""),"",(_xll.ciqfunctions.udf.CIQ($B14,"IQ_TOTAL_CAPITAL_RATIO",UV$3,$E$3, $J$3, , $G$3, $H$3) - _xll.ciqfunctions.udf.CIQ($B14,"IQ_TIER_ONE_RATIO",UV$3,$E$3, $J$3, , $G$3, $H$3))/100),"")</f>
        <v/>
      </c>
      <c r="UW14" s="87" t="str">
        <f>IFERROR(IF(OR($B14="",UW$3=""),"",(_xll.ciqfunctions.udf.CIQ($B14,"IQ_TOTAL_CAPITAL_RATIO",UW$3,$E$3, $J$3, , $G$3, $H$3) - _xll.ciqfunctions.udf.CIQ($B14,"IQ_TIER_ONE_RATIO",UW$3,$E$3, $J$3, , $G$3, $H$3))/100),"")</f>
        <v/>
      </c>
      <c r="UX14" s="88" t="str">
        <f>IFERROR(IF(OR($B14="",UX$3=""),"",(_xll.ciqfunctions.udf.CIQ($B14,"IQ_TOTAL_CAPITAL_RATIO",UX$3,$E$3, $J$3, , $G$3, $H$3) - _xll.ciqfunctions.udf.CIQ($B14,"IQ_TIER_ONE_RATIO",UX$3,$E$3, $J$3, , $G$3, $H$3))/100),"")</f>
        <v/>
      </c>
    </row>
    <row r="15" spans="1:570" ht="15" customHeight="1" x14ac:dyDescent="0.2">
      <c r="A15" s="218" t="str">
        <f>IF(B15="","",_xll.ciqfunctions.udf.CIQ($B15,"IQ_COMPANY_NAME"))</f>
        <v/>
      </c>
      <c r="B15" s="272" t="str">
        <f>IF(Input!B27="","",Input!B27)</f>
        <v/>
      </c>
      <c r="C15" s="272">
        <f>Input!E27</f>
        <v>0</v>
      </c>
      <c r="D15" s="269" t="str">
        <f>IF(B15="","",_xll.ciqfunctions.udf.CIQ($B15,"IQ_PRIMARY_INDUSTRY"))</f>
        <v/>
      </c>
      <c r="E15" s="219" t="str">
        <f>IF($B15="","",IF(NOT(ISNUMBER(_xll.ciqfunctions.udf.CIQ($B15, "IQ_CLOSEPRICE", $E$3, $G$3, $H$3))),"",_xll.ciqfunctions.udf.CIQ($B15, "IQ_CLOSEPRICE", $E$3, $G$3, $H$3)))</f>
        <v/>
      </c>
      <c r="F15" s="219" t="str">
        <f>IF($B15="","",IF(NOT(ISNUMBER(_xll.ciqfunctions.udf.CIQ($B15, "IQ_CLOSEPRICE", $E$4, $G$3, $H$3))),"",_xll.ciqfunctions.udf.CIQ($B15, "IQ_CLOSEPRICE", $E$4, $G$3, $H$3)))</f>
        <v/>
      </c>
      <c r="G15" s="220" t="str">
        <f t="shared" si="351"/>
        <v/>
      </c>
      <c r="H15" s="220" t="str">
        <f>IFERROR(IF($B15="","",_xll.ciqfunctions.udf.CIQ($B15, "IQ_TOTAL_REV_1YR_ANN_GROWTH", $I$3, $E$3, $J$3)/100),"")</f>
        <v/>
      </c>
      <c r="I15" s="220" t="str">
        <f>IFERROR(IF($B15="","",_xll.ciqfunctions.udf.CIQ($B15,"IQ_NET_INT_INC_BNK",$I$3, $E$3, $J$3, , $G$3, $H$3)/_xll.ciqfunctions.udf.CIQ($B15,"IQ_GROSS_LOANS",$I$3, $E$3, $J$3, , $G$3, $H$3)),"")</f>
        <v/>
      </c>
      <c r="J15" s="220" t="str">
        <f>IFERROR(IF(B15="","",_xll.ciqfunctions.udf.CIQ($B15,"IQ_EBT",$I$3, $E$3, $J$3, , $G$3, $H$3)/_xll.ciqfunctions.udf.CIQ($B15,"IQ_TOTAL_REVENUE",$I$3, $E$3, $J$3, , $G$3, $H$3)),"")</f>
        <v/>
      </c>
      <c r="K15" s="220" t="str">
        <f>IFERROR(IF(B15="","",_xll.ciqfunctions.udf.CIQ($B15,"IQ_NI_MARGIN",$I$3, $E$3, $J$3, , $G$3, $H$3)/100),"")</f>
        <v/>
      </c>
      <c r="L15" s="220" t="str">
        <f>IFERROR(IF($B15="","",_xll.ciqfunctions.udf.CIQ($B15,"IQ_NI",$I$3, $E$3, $J$3, , $G$3, $H$3)/(0.5*(_xll.ciqfunctions.udf.CIQ($B15,"IQ_TOTAL_ASSETS",$I$3, $E$3, $J$3, , $G$3, $H$3)+_xll.ciqfunctions.udf.CIQ($B15,"IQ_TOTAL_ASSETS",$I$3 &amp; "-4", $E$3, $J$3, , $G$3, $H$3)))),"")</f>
        <v/>
      </c>
      <c r="M15" s="220" t="str">
        <f>IFERROR(_xll.ciqfunctions.udf.CIQ($B15,"IQ_NI",$I$3, $E$3, $J$3, , $G$3, $H$3)/(_xll.ciqfunctions.udf.CIQ($B15,"IQ_TOTAL_ASSETS",$I$3, $E$3, $J$3, , $G$3, $H$3)+_xll.ciqfunctions.udf.CIQ($B15,"IQ_TOTAL_ASSETS",$I$3 &amp; "-4", $E$3, $J$3, , $G$3, $H$3)-_xll.ciqfunctions.udf.CIQ($B15,"IQ_TOTAL_CL",$I$3, $E$3, $J$3, , $G$3, $H$3)-_xll.ciqfunctions.udf.CIQ($B15,"IQ_TOTAL_CL",$I$3 &amp; "-4", $E$3, $J$3, , $G$3, $H$3)),"")</f>
        <v/>
      </c>
      <c r="N15" s="220" t="str">
        <f>IFERROR(IF($B15="","",_xll.ciqfunctions.udf.CIQ($B15,"IQ_NI",$I$3, $E$3, $J$3, , $G$3, $H$3)/(0.5*(_xll.ciqfunctions.udf.CIQ($B15,"IQ_TOTAL_EQUITY",$I$3, $E$3, $J$3, , $G$3, $H$3)+_xll.ciqfunctions.udf.CIQ($B15,"IQ_TOTAL_EQUITY",$I$3 &amp; "-4", $E$3, $J$3, , $G$3, $H$3)))),"")</f>
        <v/>
      </c>
      <c r="O15" s="222" t="str">
        <f>IFERROR(IF($B15="","",(_xll.ciqfunctions.udf.CIQ($B15,"IQ_TIER_ONE_CAPITAL",$I$3, $E$3, $J$3, , $G$3, $H$3)+_xll.ciqfunctions.udf.CIQ($B15,"IQ_TIER_TWO_CAPITAL",$I$3, $E$3, $J$3, , $G$3, $H$3)-_xll.ciqfunctions.udf.CIQ($B15,"IQ_GW",$I$3, $E$3, $J$3, , $G$3, $H$3))/_xll.ciqfunctions.udf.CIQ($B15,"IQ_RISK_ADJ_BANK_ASSETS",$I$3, $E$3, $J$3, , $G$3, $H$3)),"")</f>
        <v/>
      </c>
      <c r="P15" s="222" t="str">
        <f>IFERROR(IF($B15="","",(_xll.ciqfunctions.udf.CIQ($B15,"IQ_TIER_ONE_CAPITAL",$I$3, $E$3, $J$3, , $G$3, $H$3)+_xll.ciqfunctions.udf.CIQ($B15,"IQ_TIER_TWO_CAPITAL",$I$3, $E$3, $J$3, , $G$3, $H$3))/_xll.ciqfunctions.udf.CIQ($B15,"IQ_TOTAL_ASSETS",$I$3, $E$3, $J$3, , $G$3, $H$3)),"")</f>
        <v/>
      </c>
      <c r="Q15" s="220" t="str">
        <f>IFERROR(IF(B15="","",_xll.ciqfunctions.udf.CIQ($B15,"IQ_TIER_ONE_RATIO",$I$3, $E$3, $J$3, , $G$3, $H$3)/100),"")</f>
        <v/>
      </c>
      <c r="R15" s="220" t="str">
        <f t="shared" si="330"/>
        <v/>
      </c>
      <c r="S15" s="220" t="str">
        <f>IFERROR(IF(B15="","",_xll.ciqfunctions.udf.CIQ($B15,"IQ_TOTAL_CAPITAL_RATIO",$I$3, $E$3, $J$3, , $G$3, $H$3)/100),"")</f>
        <v/>
      </c>
      <c r="T15" s="220" t="str">
        <f>IFERROR(IF($B15="","",_xll.ciqfunctions.udf.CIQ($B15,"IQ_NON_PERF_LOANS_TOTAL_LOANS",$I$3, $E$3, $J$3, , $G$3, $H$3)/100),"")</f>
        <v/>
      </c>
      <c r="U15" s="222" t="str">
        <f>IFERROR(IF($B15="","",-_xll.ciqfunctions.udf.CIQ($B15,"IQ_ALLOW_LL",$I$3, $E$3, $J$3, , $G$3, $H$3)/_xll.ciqfunctions.udf.CIQ($B15,"IQ_TOTAL_LOANS",$I$3, $E$3, $J$3, , $G$3, $H$3)),"")</f>
        <v/>
      </c>
      <c r="V15" s="220" t="str">
        <f>IFERROR(IF($B15="","",_xll.ciqfunctions.udf.CIQ($B15,"IQ_LL",$I$3, $E$3, $J$3, , $G$3, $H$3)/_xll.ciqfunctions.udf.CIQ($B15,"IQ_NET_LOANS",$I$3, $E$3, $J$3, , $G$3, $H$3)),"")</f>
        <v/>
      </c>
      <c r="W15" s="220" t="str">
        <f>IFERROR(IF(B15="","",_xll.ciqfunctions.udf.CIQ($B15,"IQ_NET_LOANS",$I$3, $E$3, $J$3, , $G$3, $H$3)/_xll.ciqfunctions.udf.CIQ($B15,"IQ_TOTAL_ASSETS",$I$3, $E$3, $J$3, , $G$3, $H$3)),"")</f>
        <v/>
      </c>
      <c r="X15" s="222" t="str">
        <f>IFERROR(IF($B15="","",_xll.ciqfunctions.udf.CIQ($B15,"IQ_TOTAL_LOANS",$I$3, $E$3, $J$3, , $G$3, $H$3)/_xll.ciqfunctions.udf.CIQ($B15,"IQ_TOTAL_DEPOSITS",$I$3, $E$3, $J$3, , $G$3, $H$3)),"")</f>
        <v/>
      </c>
      <c r="Y15" s="220" t="str">
        <f>IFERROR(IF($B15="","",_xll.ciqfunctions.udf.CIQ($B15,"IQ_TOTAL_DEPOSITS",$I$3, $E$3, $J$3, , $G$3, $H$3)/_xll.ciqfunctions.udf.CIQ($B15,"IQ_TOTAL_ASSETS",$I$3, $E$3, $J$3, , $G$3, $H$3)),"")</f>
        <v/>
      </c>
      <c r="Z15" s="221" t="str">
        <f>IFERROR(IF(B15="","",_xll.ciqfunctions.udf.CIQ($B15,"IQ_TOTAL_ASSETS",IQ_LTM)/_xll.ciqfunctions.udf.CIQ($B15,"IQ_TOTAL_COMMON_EQUITY",IQ_LTM)),"")</f>
        <v/>
      </c>
      <c r="AA15" s="222" t="str">
        <f>IFERROR(IF($B15="","",_xll.ciqfunctions.udf.CIQ($B15,"IQ_CASH_OPER",$I$3, $E$3, $J$3, , $G$3, $H$3)*2/(_xll.ciqfunctions.udf.CIQ($B15,"IQ_TOTAL_CL",$I$3, $E$3, $J$3, , $G$3, $H$3)+_xll.ciqfunctions.udf.CIQ($B15,"IQ_TOTAL_CL",$I$3 &amp; "-4", $E$3, $J$3, , $G$3, $H$3))),"")</f>
        <v/>
      </c>
      <c r="AB15" s="222" t="str">
        <f>IFERROR(IF($B15="","",_xll.ciqfunctions.udf.CIQ($B15,"IQ_NON_PERFORMING_LOANS",$I$3, $E$3, $J$3, , $G$3, $H$3)/_xll.ciqfunctions.udf.CIQ($B15,"IQ_TOTAL_EQUITY",$I$3, $E$3, $J$3, , $G$3, $H$3)),"")</f>
        <v/>
      </c>
      <c r="AC15" s="1021" t="str">
        <f>IF(B15="","",IF(NOT(ISNUMBER(_xll.ciqfunctions.udf.CIQ($B15,"IQ_Z_SCORE",$I$3, $E$3, $J$3, , $G$3, $H$3))),"",_xll.ciqfunctions.udf.CIQ($B15,"IQ_Z_SCORE",$I$3, $E$3, $J$3, , $G$3, $H$3)))</f>
        <v/>
      </c>
      <c r="AD15" s="19"/>
      <c r="AE15" s="86" t="str">
        <f>IFERROR(IF(OR($B15="",AE$3=""),"",_xll.ciqfunctions.udf.CIQ($B15,"IQ_NET_INT_INC_BNK",AE$3,$E$3, $J$3, , $G$3, $H$3)*2/(_xll.ciqfunctions.udf.CIQ($B15,"IQ_GROSS_LOANS",AE$3,$E$3, $J$3, , $G$3, $H$3)+_xll.ciqfunctions.udf.CIQ($B15,"IQ_GROSS_LOANS", "IQ_" &amp; LEFT(AE$3,2) &amp; "-1",AE$3, $J$3, , $G$3, $H$3))),"")</f>
        <v/>
      </c>
      <c r="AF15" s="87" t="str">
        <f>IFERROR(IF(OR($B15="",AF$3=""),"",_xll.ciqfunctions.udf.CIQ($B15,"IQ_NET_INT_INC_BNK",AF$3,$E$3, $J$3, , $G$3, $H$3)*2/(_xll.ciqfunctions.udf.CIQ($B15,"IQ_GROSS_LOANS",AF$3,$E$3, $J$3, , $G$3, $H$3)+_xll.ciqfunctions.udf.CIQ($B15,"IQ_GROSS_LOANS", "IQ_" &amp; LEFT(AF$3,2) &amp; "-1",AF$3, $J$3, , $G$3, $H$3))),"")</f>
        <v/>
      </c>
      <c r="AG15" s="87" t="str">
        <f>IFERROR(IF(OR($B15="",AG$3=""),"",_xll.ciqfunctions.udf.CIQ($B15,"IQ_NET_INT_INC_BNK",AG$3,$E$3, $J$3, , $G$3, $H$3)*2/(_xll.ciqfunctions.udf.CIQ($B15,"IQ_GROSS_LOANS",AG$3,$E$3, $J$3, , $G$3, $H$3)+_xll.ciqfunctions.udf.CIQ($B15,"IQ_GROSS_LOANS", "IQ_" &amp; LEFT(AG$3,2) &amp; "-1",AG$3, $J$3, , $G$3, $H$3))),"")</f>
        <v/>
      </c>
      <c r="AH15" s="87" t="str">
        <f>IFERROR(IF(OR($B15="",AH$3=""),"",_xll.ciqfunctions.udf.CIQ($B15,"IQ_NET_INT_INC_BNK",AH$3,$E$3, $J$3, , $G$3, $H$3)*2/(_xll.ciqfunctions.udf.CIQ($B15,"IQ_GROSS_LOANS",AH$3,$E$3, $J$3, , $G$3, $H$3)+_xll.ciqfunctions.udf.CIQ($B15,"IQ_GROSS_LOANS", "IQ_" &amp; LEFT(AH$3,2) &amp; "-1",AH$3, $J$3, , $G$3, $H$3))),"")</f>
        <v/>
      </c>
      <c r="AI15" s="87" t="str">
        <f>IFERROR(IF(OR($B15="",AI$3=""),"",_xll.ciqfunctions.udf.CIQ($B15,"IQ_NET_INT_INC_BNK",AI$3,$E$3, $J$3, , $G$3, $H$3)*2/(_xll.ciqfunctions.udf.CIQ($B15,"IQ_GROSS_LOANS",AI$3,$E$3, $J$3, , $G$3, $H$3)+_xll.ciqfunctions.udf.CIQ($B15,"IQ_GROSS_LOANS", "IQ_" &amp; LEFT(AI$3,2) &amp; "-1",AI$3, $J$3, , $G$3, $H$3))),"")</f>
        <v/>
      </c>
      <c r="AJ15" s="87" t="str">
        <f>IFERROR(IF(OR($B15="",AJ$3=""),"",_xll.ciqfunctions.udf.CIQ($B15,"IQ_NET_INT_INC_BNK",AJ$3,$E$3, $J$3, , $G$3, $H$3)*2/(_xll.ciqfunctions.udf.CIQ($B15,"IQ_GROSS_LOANS",AJ$3,$E$3, $J$3, , $G$3, $H$3)+_xll.ciqfunctions.udf.CIQ($B15,"IQ_GROSS_LOANS", "IQ_" &amp; LEFT(AJ$3,2) &amp; "-1",AJ$3, $J$3, , $G$3, $H$3))),"")</f>
        <v/>
      </c>
      <c r="AK15" s="87" t="str">
        <f>IFERROR(IF(OR($B15="",AK$3=""),"",_xll.ciqfunctions.udf.CIQ($B15,"IQ_NET_INT_INC_BNK",AK$3,$E$3, $J$3, , $G$3, $H$3)*2/(_xll.ciqfunctions.udf.CIQ($B15,"IQ_GROSS_LOANS",AK$3,$E$3, $J$3, , $G$3, $H$3)+_xll.ciqfunctions.udf.CIQ($B15,"IQ_GROSS_LOANS", "IQ_" &amp; LEFT(AK$3,2) &amp; "-1",AK$3, $J$3, , $G$3, $H$3))),"")</f>
        <v/>
      </c>
      <c r="AL15" s="87" t="str">
        <f>IFERROR(IF(OR($B15="",AL$3=""),"",_xll.ciqfunctions.udf.CIQ($B15,"IQ_NET_INT_INC_BNK",AL$3,$E$3, $J$3, , $G$3, $H$3)*2/(_xll.ciqfunctions.udf.CIQ($B15,"IQ_GROSS_LOANS",AL$3,$E$3, $J$3, , $G$3, $H$3)+_xll.ciqfunctions.udf.CIQ($B15,"IQ_GROSS_LOANS", "IQ_" &amp; LEFT(AL$3,2) &amp; "-1",AL$3, $J$3, , $G$3, $H$3))),"")</f>
        <v/>
      </c>
      <c r="AM15" s="87" t="str">
        <f>IFERROR(IF(OR($B15="",AM$3=""),"",_xll.ciqfunctions.udf.CIQ($B15,"IQ_NET_INT_INC_BNK",AM$3,$E$3, $J$3, , $G$3, $H$3)*2/(_xll.ciqfunctions.udf.CIQ($B15,"IQ_GROSS_LOANS",AM$3,$E$3, $J$3, , $G$3, $H$3)+_xll.ciqfunctions.udf.CIQ($B15,"IQ_GROSS_LOANS", "IQ_" &amp; LEFT(AM$3,2) &amp; "-1",AM$3, $J$3, , $G$3, $H$3))),"")</f>
        <v/>
      </c>
      <c r="AN15" s="87" t="str">
        <f>IFERROR(IF(OR($B15="",AN$3=""),"",_xll.ciqfunctions.udf.CIQ($B15,"IQ_NET_INT_INC_BNK",AN$3,$E$3, $J$3, , $G$3, $H$3)*2/(_xll.ciqfunctions.udf.CIQ($B15,"IQ_GROSS_LOANS",AN$3,$E$3, $J$3, , $G$3, $H$3)+_xll.ciqfunctions.udf.CIQ($B15,"IQ_GROSS_LOANS", "IQ_" &amp; LEFT(AN$3,2) &amp; "-1",AN$3, $J$3, , $G$3, $H$3))),"")</f>
        <v/>
      </c>
      <c r="AO15" s="87" t="str">
        <f>IFERROR(IF(OR($B15="",AO$3=""),"",_xll.ciqfunctions.udf.CIQ($B15,"IQ_NET_INT_INC_BNK",AO$3,$E$3, $J$3, , $G$3, $H$3)*2/(_xll.ciqfunctions.udf.CIQ($B15,"IQ_GROSS_LOANS",AO$3,$E$3, $J$3, , $G$3, $H$3)+_xll.ciqfunctions.udf.CIQ($B15,"IQ_GROSS_LOANS", "IQ_" &amp; LEFT(AO$3,2) &amp; "-1",AO$3, $J$3, , $G$3, $H$3))),"")</f>
        <v/>
      </c>
      <c r="AP15" s="87" t="str">
        <f>IFERROR(IF(OR($B15="",AP$3=""),"",_xll.ciqfunctions.udf.CIQ($B15,"IQ_NET_INT_INC_BNK",AP$3,$E$3, $J$3, , $G$3, $H$3)*2/(_xll.ciqfunctions.udf.CIQ($B15,"IQ_GROSS_LOANS",AP$3,$E$3, $J$3, , $G$3, $H$3)+_xll.ciqfunctions.udf.CIQ($B15,"IQ_GROSS_LOANS", "IQ_" &amp; LEFT(AP$3,2) &amp; "-1",AP$3, $J$3, , $G$3, $H$3))),"")</f>
        <v/>
      </c>
      <c r="AQ15" s="87" t="str">
        <f>IFERROR(IF(OR($B15="",AQ$3=""),"",_xll.ciqfunctions.udf.CIQ($B15,"IQ_NET_INT_INC_BNK",AQ$3,$E$3, $J$3, , $G$3, $H$3)*2/(_xll.ciqfunctions.udf.CIQ($B15,"IQ_GROSS_LOANS",AQ$3,$E$3, $J$3, , $G$3, $H$3)+_xll.ciqfunctions.udf.CIQ($B15,"IQ_GROSS_LOANS", "IQ_" &amp; LEFT(AQ$3,2) &amp; "-1",AQ$3, $J$3, , $G$3, $H$3))),"")</f>
        <v/>
      </c>
      <c r="AR15" s="87" t="str">
        <f>IFERROR(IF(OR($B15="",AR$3=""),"",_xll.ciqfunctions.udf.CIQ($B15,"IQ_NET_INT_INC_BNK",AR$3,$E$3, $J$3, , $G$3, $H$3)*2/(_xll.ciqfunctions.udf.CIQ($B15,"IQ_GROSS_LOANS",AR$3,$E$3, $J$3, , $G$3, $H$3)+_xll.ciqfunctions.udf.CIQ($B15,"IQ_GROSS_LOANS", "IQ_" &amp; LEFT(AR$3,2) &amp; "-1",AR$3, $J$3, , $G$3, $H$3))),"")</f>
        <v/>
      </c>
      <c r="AS15" s="87" t="str">
        <f>IFERROR(IF(OR($B15="",AS$3=""),"",_xll.ciqfunctions.udf.CIQ($B15,"IQ_NET_INT_INC_BNK",AS$3,$E$3, $J$3, , $G$3, $H$3)*2/(_xll.ciqfunctions.udf.CIQ($B15,"IQ_GROSS_LOANS",AS$3,$E$3, $J$3, , $G$3, $H$3)+_xll.ciqfunctions.udf.CIQ($B15,"IQ_GROSS_LOANS", "IQ_" &amp; LEFT(AS$3,2) &amp; "-1",AS$3, $J$3, , $G$3, $H$3))),"")</f>
        <v/>
      </c>
      <c r="AT15" s="87" t="str">
        <f>IFERROR(IF(OR($B15="",AT$3=""),"",_xll.ciqfunctions.udf.CIQ($B15,"IQ_NET_INT_INC_BNK",AT$3,$E$3, $J$3, , $G$3, $H$3)*2/(_xll.ciqfunctions.udf.CIQ($B15,"IQ_GROSS_LOANS",AT$3,$E$3, $J$3, , $G$3, $H$3)+_xll.ciqfunctions.udf.CIQ($B15,"IQ_GROSS_LOANS", "IQ_" &amp; LEFT(AT$3,2) &amp; "-1",AT$3, $J$3, , $G$3, $H$3))),"")</f>
        <v/>
      </c>
      <c r="AU15" s="87" t="str">
        <f>IFERROR(IF(OR($B15="",AU$3=""),"",_xll.ciqfunctions.udf.CIQ($B15,"IQ_NET_INT_INC_BNK",AU$3,$E$3, $J$3, , $G$3, $H$3)*2/(_xll.ciqfunctions.udf.CIQ($B15,"IQ_GROSS_LOANS",AU$3,$E$3, $J$3, , $G$3, $H$3)+_xll.ciqfunctions.udf.CIQ($B15,"IQ_GROSS_LOANS", "IQ_" &amp; LEFT(AU$3,2) &amp; "-1",AU$3, $J$3, , $G$3, $H$3))),"")</f>
        <v/>
      </c>
      <c r="AV15" s="87" t="str">
        <f>IFERROR(IF(OR($B15="",AV$3=""),"",_xll.ciqfunctions.udf.CIQ($B15,"IQ_NET_INT_INC_BNK",AV$3,$E$3, $J$3, , $G$3, $H$3)*2/(_xll.ciqfunctions.udf.CIQ($B15,"IQ_GROSS_LOANS",AV$3,$E$3, $J$3, , $G$3, $H$3)+_xll.ciqfunctions.udf.CIQ($B15,"IQ_GROSS_LOANS", "IQ_" &amp; LEFT(AV$3,2) &amp; "-1",AV$3, $J$3, , $G$3, $H$3))),"")</f>
        <v/>
      </c>
      <c r="AW15" s="87" t="str">
        <f>IFERROR(IF(OR($B15="",AW$3=""),"",_xll.ciqfunctions.udf.CIQ($B15,"IQ_NET_INT_INC_BNK",AW$3,$E$3, $J$3, , $G$3, $H$3)*2/(_xll.ciqfunctions.udf.CIQ($B15,"IQ_GROSS_LOANS",AW$3,$E$3, $J$3, , $G$3, $H$3)+_xll.ciqfunctions.udf.CIQ($B15,"IQ_GROSS_LOANS", "IQ_" &amp; LEFT(AW$3,2) &amp; "-1",AW$3, $J$3, , $G$3, $H$3))),"")</f>
        <v/>
      </c>
      <c r="AX15" s="88" t="str">
        <f>IFERROR(IF(OR($B15="",AX$3=""),"",_xll.ciqfunctions.udf.CIQ($B15,"IQ_NET_INT_INC_BNK",AX$3,$E$3, $J$3, , $G$3, $H$3)*2/(_xll.ciqfunctions.udf.CIQ($B15,"IQ_GROSS_LOANS",AX$3,$E$3, $J$3, , $G$3, $H$3)+_xll.ciqfunctions.udf.CIQ($B15,"IQ_GROSS_LOANS", "IQ_" &amp; LEFT(AX$3,2) &amp; "-1",AX$3, $J$3, , $G$3, $H$3))),"")</f>
        <v/>
      </c>
      <c r="AY15" s="72" t="str">
        <f>IFERROR(IF(OR($B15="",AY$3=""),"",_xll.ciqfunctions.udf.CIQ($B15, "IQ_EBT", AY$3,$E$3, $J$3, , $G$3, $H$3)/(_xll.ciqfunctions.udf.CIQ($B15,"IQ_INT_INC_TOTAL",BW$3,$E$3, $J$3, , $G$3, $H$3)+_xll.ciqfunctions.udf.CIQ($B15,"IQ_NON_INT_INC",BW$3,$E$3, $J$3, , $G$3, $H$3))),"")</f>
        <v/>
      </c>
      <c r="AZ15" s="72" t="str">
        <f>IFERROR(IF(OR($B15="",AZ$3=""),"",_xll.ciqfunctions.udf.CIQ($B15, "IQ_EBT", AZ$3,$E$3, $J$3, , $G$3, $H$3)/(_xll.ciqfunctions.udf.CIQ($B15,"IQ_INT_INC_TOTAL",BX$3,$E$3, $J$3, , $G$3, $H$3)+_xll.ciqfunctions.udf.CIQ($B15,"IQ_NON_INT_INC",BX$3,$E$3, $J$3, , $G$3, $H$3))),"")</f>
        <v/>
      </c>
      <c r="BA15" s="72" t="str">
        <f>IFERROR(IF(OR($B15="",BA$3=""),"",_xll.ciqfunctions.udf.CIQ($B15, "IQ_EBT", BA$3,$E$3, $J$3, , $G$3, $H$3)/(_xll.ciqfunctions.udf.CIQ($B15,"IQ_INT_INC_TOTAL",BY$3,$E$3, $J$3, , $G$3, $H$3)+_xll.ciqfunctions.udf.CIQ($B15,"IQ_NON_INT_INC",BY$3,$E$3, $J$3, , $G$3, $H$3))),"")</f>
        <v/>
      </c>
      <c r="BB15" s="72" t="str">
        <f>IFERROR(IF(OR($B15="",BB$3=""),"",_xll.ciqfunctions.udf.CIQ($B15, "IQ_EBT", BB$3,$E$3, $J$3, , $G$3, $H$3)/(_xll.ciqfunctions.udf.CIQ($B15,"IQ_INT_INC_TOTAL",BZ$3,$E$3, $J$3, , $G$3, $H$3)+_xll.ciqfunctions.udf.CIQ($B15,"IQ_NON_INT_INC",BZ$3,$E$3, $J$3, , $G$3, $H$3))),"")</f>
        <v/>
      </c>
      <c r="BC15" s="72" t="str">
        <f>IFERROR(IF(OR($B15="",BC$3=""),"",_xll.ciqfunctions.udf.CIQ($B15, "IQ_EBT", BC$3,$E$3, $J$3, , $G$3, $H$3)/(_xll.ciqfunctions.udf.CIQ($B15,"IQ_INT_INC_TOTAL",CA$3,$E$3, $J$3, , $G$3, $H$3)+_xll.ciqfunctions.udf.CIQ($B15,"IQ_NON_INT_INC",CA$3,$E$3, $J$3, , $G$3, $H$3))),"")</f>
        <v/>
      </c>
      <c r="BD15" s="72" t="str">
        <f>IFERROR(IF(OR($B15="",BD$3=""),"",_xll.ciqfunctions.udf.CIQ($B15, "IQ_EBT", BD$3,$E$3, $J$3, , $G$3, $H$3)/(_xll.ciqfunctions.udf.CIQ($B15,"IQ_INT_INC_TOTAL",CB$3,$E$3, $J$3, , $G$3, $H$3)+_xll.ciqfunctions.udf.CIQ($B15,"IQ_NON_INT_INC",CB$3,$E$3, $J$3, , $G$3, $H$3))),"")</f>
        <v/>
      </c>
      <c r="BE15" s="72" t="str">
        <f>IFERROR(IF(OR($B15="",BE$3=""),"",_xll.ciqfunctions.udf.CIQ($B15, "IQ_EBT", BE$3,$E$3, $J$3, , $G$3, $H$3)/(_xll.ciqfunctions.udf.CIQ($B15,"IQ_INT_INC_TOTAL",CC$3,$E$3, $J$3, , $G$3, $H$3)+_xll.ciqfunctions.udf.CIQ($B15,"IQ_NON_INT_INC",CC$3,$E$3, $J$3, , $G$3, $H$3))),"")</f>
        <v/>
      </c>
      <c r="BF15" s="72" t="str">
        <f>IFERROR(IF(OR($B15="",BF$3=""),"",_xll.ciqfunctions.udf.CIQ($B15, "IQ_EBT", BF$3,$E$3, $J$3, , $G$3, $H$3)/(_xll.ciqfunctions.udf.CIQ($B15,"IQ_INT_INC_TOTAL",CD$3,$E$3, $J$3, , $G$3, $H$3)+_xll.ciqfunctions.udf.CIQ($B15,"IQ_NON_INT_INC",CD$3,$E$3, $J$3, , $G$3, $H$3))),"")</f>
        <v/>
      </c>
      <c r="BG15" s="72" t="str">
        <f>IFERROR(IF(OR($B15="",BG$3=""),"",_xll.ciqfunctions.udf.CIQ($B15, "IQ_EBT", BG$3,$E$3, $J$3, , $G$3, $H$3)/(_xll.ciqfunctions.udf.CIQ($B15,"IQ_INT_INC_TOTAL",CE$3,$E$3, $J$3, , $G$3, $H$3)+_xll.ciqfunctions.udf.CIQ($B15,"IQ_NON_INT_INC",CE$3,$E$3, $J$3, , $G$3, $H$3))),"")</f>
        <v/>
      </c>
      <c r="BH15" s="72" t="str">
        <f>IFERROR(IF(OR($B15="",BH$3=""),"",_xll.ciqfunctions.udf.CIQ($B15, "IQ_EBT", BH$3,$E$3, $J$3, , $G$3, $H$3)/(_xll.ciqfunctions.udf.CIQ($B15,"IQ_INT_INC_TOTAL",CF$3,$E$3, $J$3, , $G$3, $H$3)+_xll.ciqfunctions.udf.CIQ($B15,"IQ_NON_INT_INC",CF$3,$E$3, $J$3, , $G$3, $H$3))),"")</f>
        <v/>
      </c>
      <c r="BI15" s="72" t="str">
        <f>IFERROR(IF(OR($B15="",BI$3=""),"",_xll.ciqfunctions.udf.CIQ($B15, "IQ_EBT", BI$3,$E$3, $J$3, , $G$3, $H$3)/(_xll.ciqfunctions.udf.CIQ($B15,"IQ_INT_INC_TOTAL",CG$3,$E$3, $J$3, , $G$3, $H$3)+_xll.ciqfunctions.udf.CIQ($B15,"IQ_NON_INT_INC",CG$3,$E$3, $J$3, , $G$3, $H$3))),"")</f>
        <v/>
      </c>
      <c r="BJ15" s="72" t="str">
        <f>IFERROR(IF(OR($B15="",BJ$3=""),"",_xll.ciqfunctions.udf.CIQ($B15, "IQ_EBT", BJ$3,$E$3, $J$3, , $G$3, $H$3)/(_xll.ciqfunctions.udf.CIQ($B15,"IQ_INT_INC_TOTAL",CH$3,$E$3, $J$3, , $G$3, $H$3)+_xll.ciqfunctions.udf.CIQ($B15,"IQ_NON_INT_INC",CH$3,$E$3, $J$3, , $G$3, $H$3))),"")</f>
        <v/>
      </c>
      <c r="BK15" s="72" t="str">
        <f>IFERROR(IF(OR($B15="",BK$3=""),"",_xll.ciqfunctions.udf.CIQ($B15, "IQ_EBT", BK$3,$E$3, $J$3, , $G$3, $H$3)/(_xll.ciqfunctions.udf.CIQ($B15,"IQ_INT_INC_TOTAL",CI$3,$E$3, $J$3, , $G$3, $H$3)+_xll.ciqfunctions.udf.CIQ($B15,"IQ_NON_INT_INC",CI$3,$E$3, $J$3, , $G$3, $H$3))),"")</f>
        <v/>
      </c>
      <c r="BL15" s="72" t="str">
        <f>IFERROR(IF(OR($B15="",BL$3=""),"",_xll.ciqfunctions.udf.CIQ($B15, "IQ_EBT", BL$3,$E$3, $J$3, , $G$3, $H$3)/(_xll.ciqfunctions.udf.CIQ($B15,"IQ_INT_INC_TOTAL",CJ$3,$E$3, $J$3, , $G$3, $H$3)+_xll.ciqfunctions.udf.CIQ($B15,"IQ_NON_INT_INC",CJ$3,$E$3, $J$3, , $G$3, $H$3))),"")</f>
        <v/>
      </c>
      <c r="BM15" s="72" t="str">
        <f>IFERROR(IF(OR($B15="",BM$3=""),"",_xll.ciqfunctions.udf.CIQ($B15, "IQ_EBT", BM$3,$E$3, $J$3, , $G$3, $H$3)/(_xll.ciqfunctions.udf.CIQ($B15,"IQ_INT_INC_TOTAL",CK$3,$E$3, $J$3, , $G$3, $H$3)+_xll.ciqfunctions.udf.CIQ($B15,"IQ_NON_INT_INC",CK$3,$E$3, $J$3, , $G$3, $H$3))),"")</f>
        <v/>
      </c>
      <c r="BN15" s="72" t="str">
        <f>IFERROR(IF(OR($B15="",BN$3=""),"",_xll.ciqfunctions.udf.CIQ($B15, "IQ_EBT", BN$3,$E$3, $J$3, , $G$3, $H$3)/(_xll.ciqfunctions.udf.CIQ($B15,"IQ_INT_INC_TOTAL",CL$3,$E$3, $J$3, , $G$3, $H$3)+_xll.ciqfunctions.udf.CIQ($B15,"IQ_NON_INT_INC",CL$3,$E$3, $J$3, , $G$3, $H$3))),"")</f>
        <v/>
      </c>
      <c r="BO15" s="72" t="str">
        <f>IFERROR(IF(OR($B15="",BO$3=""),"",_xll.ciqfunctions.udf.CIQ($B15, "IQ_EBT", BO$3,$E$3, $J$3, , $G$3, $H$3)/(_xll.ciqfunctions.udf.CIQ($B15,"IQ_INT_INC_TOTAL",CM$3,$E$3, $J$3, , $G$3, $H$3)+_xll.ciqfunctions.udf.CIQ($B15,"IQ_NON_INT_INC",CM$3,$E$3, $J$3, , $G$3, $H$3))),"")</f>
        <v/>
      </c>
      <c r="BP15" s="72" t="str">
        <f>IFERROR(IF(OR($B15="",BP$3=""),"",_xll.ciqfunctions.udf.CIQ($B15, "IQ_EBT", BP$3,$E$3, $J$3, , $G$3, $H$3)/(_xll.ciqfunctions.udf.CIQ($B15,"IQ_INT_INC_TOTAL",CN$3,$E$3, $J$3, , $G$3, $H$3)+_xll.ciqfunctions.udf.CIQ($B15,"IQ_NON_INT_INC",CN$3,$E$3, $J$3, , $G$3, $H$3))),"")</f>
        <v/>
      </c>
      <c r="BQ15" s="72" t="str">
        <f>IFERROR(IF(OR($B15="",BQ$3=""),"",_xll.ciqfunctions.udf.CIQ($B15, "IQ_EBT", BQ$3,$E$3, $J$3, , $G$3, $H$3)/(_xll.ciqfunctions.udf.CIQ($B15,"IQ_INT_INC_TOTAL",CO$3,$E$3, $J$3, , $G$3, $H$3)+_xll.ciqfunctions.udf.CIQ($B15,"IQ_NON_INT_INC",CO$3,$E$3, $J$3, , $G$3, $H$3))),"")</f>
        <v/>
      </c>
      <c r="BR15" s="72" t="str">
        <f>IFERROR(IF(OR($B15="",BR$3=""),"",_xll.ciqfunctions.udf.CIQ($B15, "IQ_EBT", BR$3,$E$3, $J$3, , $G$3, $H$3)/(_xll.ciqfunctions.udf.CIQ($B15,"IQ_INT_INC_TOTAL",CP$3,$E$3, $J$3, , $G$3, $H$3)+_xll.ciqfunctions.udf.CIQ($B15,"IQ_NON_INT_INC",CP$3,$E$3, $J$3, , $G$3, $H$3))),"")</f>
        <v/>
      </c>
      <c r="BS15" s="87" t="str">
        <f>IFERROR(IF(OR($B15="",BS$3=""),"",_xll.ciqfunctions.udf.CIQ($B15,"IQ_NI",BS$3,$E$3, $J$3, , $G$3, $H$3)/(_xll.ciqfunctions.udf.CIQ($B15,"IQ_INT_INC_TOTAL",BS$3,$E$3, $J$3, , $G$3, $H$3)+_xll.ciqfunctions.udf.CIQ($B15,"IQ_NON_INT_INC",BS$3,$E$3, $J$3, , $G$3, $H$3))),"")</f>
        <v/>
      </c>
      <c r="BT15" s="87" t="str">
        <f>IFERROR(IF(OR($B15="",BT$3=""),"",_xll.ciqfunctions.udf.CIQ($B15,"IQ_NI",BT$3,$E$3, $J$3, , $G$3, $H$3)/(_xll.ciqfunctions.udf.CIQ($B15,"IQ_INT_INC_TOTAL",BT$3,$E$3, $J$3, , $G$3, $H$3)+_xll.ciqfunctions.udf.CIQ($B15,"IQ_NON_INT_INC",BT$3,$E$3, $J$3, , $G$3, $H$3))),"")</f>
        <v/>
      </c>
      <c r="BU15" s="87" t="str">
        <f>IFERROR(IF(OR($B15="",BU$3=""),"",_xll.ciqfunctions.udf.CIQ($B15,"IQ_NI",BU$3,$E$3, $J$3, , $G$3, $H$3)/(_xll.ciqfunctions.udf.CIQ($B15,"IQ_INT_INC_TOTAL",BU$3,$E$3, $J$3, , $G$3, $H$3)+_xll.ciqfunctions.udf.CIQ($B15,"IQ_NON_INT_INC",BU$3,$E$3, $J$3, , $G$3, $H$3))),"")</f>
        <v/>
      </c>
      <c r="BV15" s="87" t="str">
        <f>IFERROR(IF(OR($B15="",BV$3=""),"",_xll.ciqfunctions.udf.CIQ($B15,"IQ_NI",BV$3,$E$3, $J$3, , $G$3, $H$3)/(_xll.ciqfunctions.udf.CIQ($B15,"IQ_INT_INC_TOTAL",BV$3,$E$3, $J$3, , $G$3, $H$3)+_xll.ciqfunctions.udf.CIQ($B15,"IQ_NON_INT_INC",BV$3,$E$3, $J$3, , $G$3, $H$3))),"")</f>
        <v/>
      </c>
      <c r="BW15" s="87" t="str">
        <f>IFERROR(IF(OR($B15="",BW$3=""),"",_xll.ciqfunctions.udf.CIQ($B15,"IQ_NI",BW$3,$E$3, $J$3, , $G$3, $H$3)/(_xll.ciqfunctions.udf.CIQ($B15,"IQ_INT_INC_TOTAL",BW$3,$E$3, $J$3, , $G$3, $H$3)+_xll.ciqfunctions.udf.CIQ($B15,"IQ_NON_INT_INC",BW$3,$E$3, $J$3, , $G$3, $H$3))),"")</f>
        <v/>
      </c>
      <c r="BX15" s="87" t="str">
        <f>IFERROR(IF(OR($B15="",BX$3=""),"",_xll.ciqfunctions.udf.CIQ($B15,"IQ_NI",BX$3,$E$3, $J$3, , $G$3, $H$3)/(_xll.ciqfunctions.udf.CIQ($B15,"IQ_INT_INC_TOTAL",BX$3,$E$3, $J$3, , $G$3, $H$3)+_xll.ciqfunctions.udf.CIQ($B15,"IQ_NON_INT_INC",BX$3,$E$3, $J$3, , $G$3, $H$3))),"")</f>
        <v/>
      </c>
      <c r="BY15" s="87" t="str">
        <f>IFERROR(IF(OR($B15="",BY$3=""),"",_xll.ciqfunctions.udf.CIQ($B15,"IQ_NI",BY$3,$E$3, $J$3, , $G$3, $H$3)/(_xll.ciqfunctions.udf.CIQ($B15,"IQ_INT_INC_TOTAL",BY$3,$E$3, $J$3, , $G$3, $H$3)+_xll.ciqfunctions.udf.CIQ($B15,"IQ_NON_INT_INC",BY$3,$E$3, $J$3, , $G$3, $H$3))),"")</f>
        <v/>
      </c>
      <c r="BZ15" s="87" t="str">
        <f>IFERROR(IF(OR($B15="",BZ$3=""),"",_xll.ciqfunctions.udf.CIQ($B15,"IQ_NI",BZ$3,$E$3, $J$3, , $G$3, $H$3)/(_xll.ciqfunctions.udf.CIQ($B15,"IQ_INT_INC_TOTAL",BZ$3,$E$3, $J$3, , $G$3, $H$3)+_xll.ciqfunctions.udf.CIQ($B15,"IQ_NON_INT_INC",BZ$3,$E$3, $J$3, , $G$3, $H$3))),"")</f>
        <v/>
      </c>
      <c r="CA15" s="87" t="str">
        <f>IFERROR(IF(OR($B15="",CA$3=""),"",_xll.ciqfunctions.udf.CIQ($B15,"IQ_NI",CA$3,$E$3, $J$3, , $G$3, $H$3)/(_xll.ciqfunctions.udf.CIQ($B15,"IQ_INT_INC_TOTAL",CA$3,$E$3, $J$3, , $G$3, $H$3)+_xll.ciqfunctions.udf.CIQ($B15,"IQ_NON_INT_INC",CA$3,$E$3, $J$3, , $G$3, $H$3))),"")</f>
        <v/>
      </c>
      <c r="CB15" s="87" t="str">
        <f>IFERROR(IF(OR($B15="",CB$3=""),"",_xll.ciqfunctions.udf.CIQ($B15,"IQ_NI",CB$3,$E$3, $J$3, , $G$3, $H$3)/(_xll.ciqfunctions.udf.CIQ($B15,"IQ_INT_INC_TOTAL",CB$3,$E$3, $J$3, , $G$3, $H$3)+_xll.ciqfunctions.udf.CIQ($B15,"IQ_NON_INT_INC",CB$3,$E$3, $J$3, , $G$3, $H$3))),"")</f>
        <v/>
      </c>
      <c r="CC15" s="87" t="str">
        <f>IFERROR(IF(OR($B15="",CC$3=""),"",_xll.ciqfunctions.udf.CIQ($B15,"IQ_NI",CC$3,$E$3, $J$3, , $G$3, $H$3)/(_xll.ciqfunctions.udf.CIQ($B15,"IQ_INT_INC_TOTAL",CC$3,$E$3, $J$3, , $G$3, $H$3)+_xll.ciqfunctions.udf.CIQ($B15,"IQ_NON_INT_INC",CC$3,$E$3, $J$3, , $G$3, $H$3))),"")</f>
        <v/>
      </c>
      <c r="CD15" s="87" t="str">
        <f>IFERROR(IF(OR($B15="",CD$3=""),"",_xll.ciqfunctions.udf.CIQ($B15,"IQ_NI",CD$3,$E$3, $J$3, , $G$3, $H$3)/(_xll.ciqfunctions.udf.CIQ($B15,"IQ_INT_INC_TOTAL",CD$3,$E$3, $J$3, , $G$3, $H$3)+_xll.ciqfunctions.udf.CIQ($B15,"IQ_NON_INT_INC",CD$3,$E$3, $J$3, , $G$3, $H$3))),"")</f>
        <v/>
      </c>
      <c r="CE15" s="87" t="str">
        <f>IFERROR(IF(OR($B15="",CE$3=""),"",_xll.ciqfunctions.udf.CIQ($B15,"IQ_NI",CE$3,$E$3, $J$3, , $G$3, $H$3)/(_xll.ciqfunctions.udf.CIQ($B15,"IQ_INT_INC_TOTAL",CE$3,$E$3, $J$3, , $G$3, $H$3)+_xll.ciqfunctions.udf.CIQ($B15,"IQ_NON_INT_INC",CE$3,$E$3, $J$3, , $G$3, $H$3))),"")</f>
        <v/>
      </c>
      <c r="CF15" s="87" t="str">
        <f>IFERROR(IF(OR($B15="",CF$3=""),"",_xll.ciqfunctions.udf.CIQ($B15,"IQ_NI",CF$3,$E$3, $J$3, , $G$3, $H$3)/(_xll.ciqfunctions.udf.CIQ($B15,"IQ_INT_INC_TOTAL",CF$3,$E$3, $J$3, , $G$3, $H$3)+_xll.ciqfunctions.udf.CIQ($B15,"IQ_NON_INT_INC",CF$3,$E$3, $J$3, , $G$3, $H$3))),"")</f>
        <v/>
      </c>
      <c r="CG15" s="87" t="str">
        <f>IFERROR(IF(OR($B15="",CG$3=""),"",_xll.ciqfunctions.udf.CIQ($B15,"IQ_NI",CG$3,$E$3, $J$3, , $G$3, $H$3)/(_xll.ciqfunctions.udf.CIQ($B15,"IQ_INT_INC_TOTAL",CG$3,$E$3, $J$3, , $G$3, $H$3)+_xll.ciqfunctions.udf.CIQ($B15,"IQ_NON_INT_INC",CG$3,$E$3, $J$3, , $G$3, $H$3))),"")</f>
        <v/>
      </c>
      <c r="CH15" s="87" t="str">
        <f>IFERROR(IF(OR($B15="",CH$3=""),"",_xll.ciqfunctions.udf.CIQ($B15,"IQ_NI",CH$3,$E$3, $J$3, , $G$3, $H$3)/(_xll.ciqfunctions.udf.CIQ($B15,"IQ_INT_INC_TOTAL",CH$3,$E$3, $J$3, , $G$3, $H$3)+_xll.ciqfunctions.udf.CIQ($B15,"IQ_NON_INT_INC",CH$3,$E$3, $J$3, , $G$3, $H$3))),"")</f>
        <v/>
      </c>
      <c r="CI15" s="87" t="str">
        <f>IFERROR(IF(OR($B15="",CI$3=""),"",_xll.ciqfunctions.udf.CIQ($B15,"IQ_NI",CI$3,$E$3, $J$3, , $G$3, $H$3)/(_xll.ciqfunctions.udf.CIQ($B15,"IQ_INT_INC_TOTAL",CI$3,$E$3, $J$3, , $G$3, $H$3)+_xll.ciqfunctions.udf.CIQ($B15,"IQ_NON_INT_INC",CI$3,$E$3, $J$3, , $G$3, $H$3))),"")</f>
        <v/>
      </c>
      <c r="CJ15" s="87" t="str">
        <f>IFERROR(IF(OR($B15="",CJ$3=""),"",_xll.ciqfunctions.udf.CIQ($B15,"IQ_NI",CJ$3,$E$3, $J$3, , $G$3, $H$3)/(_xll.ciqfunctions.udf.CIQ($B15,"IQ_INT_INC_TOTAL",CJ$3,$E$3, $J$3, , $G$3, $H$3)+_xll.ciqfunctions.udf.CIQ($B15,"IQ_NON_INT_INC",CJ$3,$E$3, $J$3, , $G$3, $H$3))),"")</f>
        <v/>
      </c>
      <c r="CK15" s="87" t="str">
        <f>IFERROR(IF(OR($B15="",CK$3=""),"",_xll.ciqfunctions.udf.CIQ($B15,"IQ_NI",CK$3,$E$3, $J$3, , $G$3, $H$3)/(_xll.ciqfunctions.udf.CIQ($B15,"IQ_INT_INC_TOTAL",CK$3,$E$3, $J$3, , $G$3, $H$3)+_xll.ciqfunctions.udf.CIQ($B15,"IQ_NON_INT_INC",CK$3,$E$3, $J$3, , $G$3, $H$3))),"")</f>
        <v/>
      </c>
      <c r="CL15" s="87" t="str">
        <f>IFERROR(IF(OR($B15="",CL$3=""),"",_xll.ciqfunctions.udf.CIQ($B15,"IQ_NI",CL$3,$E$3, $J$3, , $G$3, $H$3)/(_xll.ciqfunctions.udf.CIQ($B15,"IQ_INT_INC_TOTAL",CL$3,$E$3, $J$3, , $G$3, $H$3)+_xll.ciqfunctions.udf.CIQ($B15,"IQ_NON_INT_INC",CL$3,$E$3, $J$3, , $G$3, $H$3))),"")</f>
        <v/>
      </c>
      <c r="CM15" s="72" t="str">
        <f>IFERROR(IF(OR($B15="",CM$3=""),"",_xll.ciqfunctions.udf.CIQ($B15,"IQ_SGA_SUPPL",CM$3,$E$3, $J$3, , $G$3, $H$3)/(_xll.ciqfunctions.udf.CIQ($B15,"IQ_INT_INC_TOTAL",CM$3,$E$3, $J$3, , $G$3, $H$3)+_xll.ciqfunctions.udf.CIQ($B15,"IQ_NON_INT_INC",CM$3,$E$3, $J$3, , $G$3, $H$3))),"")</f>
        <v/>
      </c>
      <c r="CN15" s="72" t="str">
        <f>IFERROR(IF(OR($B15="",CN$3=""),"",_xll.ciqfunctions.udf.CIQ($B15,"IQ_SGA_SUPPL",CN$3,$E$3, $J$3, , $G$3, $H$3)/(_xll.ciqfunctions.udf.CIQ($B15,"IQ_INT_INC_TOTAL",CN$3,$E$3, $J$3, , $G$3, $H$3)+_xll.ciqfunctions.udf.CIQ($B15,"IQ_NON_INT_INC",CN$3,$E$3, $J$3, , $G$3, $H$3))),"")</f>
        <v/>
      </c>
      <c r="CO15" s="72" t="str">
        <f>IFERROR(IF(OR($B15="",CO$3=""),"",_xll.ciqfunctions.udf.CIQ($B15,"IQ_SGA_SUPPL",CO$3,$E$3, $J$3, , $G$3, $H$3)/(_xll.ciqfunctions.udf.CIQ($B15,"IQ_INT_INC_TOTAL",CO$3,$E$3, $J$3, , $G$3, $H$3)+_xll.ciqfunctions.udf.CIQ($B15,"IQ_NON_INT_INC",CO$3,$E$3, $J$3, , $G$3, $H$3))),"")</f>
        <v/>
      </c>
      <c r="CP15" s="72" t="str">
        <f>IFERROR(IF(OR($B15="",CP$3=""),"",_xll.ciqfunctions.udf.CIQ($B15,"IQ_SGA_SUPPL",CP$3,$E$3, $J$3, , $G$3, $H$3)/(_xll.ciqfunctions.udf.CIQ($B15,"IQ_INT_INC_TOTAL",CP$3,$E$3, $J$3, , $G$3, $H$3)+_xll.ciqfunctions.udf.CIQ($B15,"IQ_NON_INT_INC",CP$3,$E$3, $J$3, , $G$3, $H$3))),"")</f>
        <v/>
      </c>
      <c r="CQ15" s="72" t="str">
        <f>IFERROR(IF(OR($B15="",CQ$3=""),"",_xll.ciqfunctions.udf.CIQ($B15,"IQ_SGA_SUPPL",CQ$3,$E$3, $J$3, , $G$3, $H$3)/(_xll.ciqfunctions.udf.CIQ($B15,"IQ_INT_INC_TOTAL",CQ$3,$E$3, $J$3, , $G$3, $H$3)+_xll.ciqfunctions.udf.CIQ($B15,"IQ_NON_INT_INC",CQ$3,$E$3, $J$3, , $G$3, $H$3))),"")</f>
        <v/>
      </c>
      <c r="CR15" s="72" t="str">
        <f>IFERROR(IF(OR($B15="",CR$3=""),"",_xll.ciqfunctions.udf.CIQ($B15,"IQ_SGA_SUPPL",CR$3,$E$3, $J$3, , $G$3, $H$3)/(_xll.ciqfunctions.udf.CIQ($B15,"IQ_INT_INC_TOTAL",CR$3,$E$3, $J$3, , $G$3, $H$3)+_xll.ciqfunctions.udf.CIQ($B15,"IQ_NON_INT_INC",CR$3,$E$3, $J$3, , $G$3, $H$3))),"")</f>
        <v/>
      </c>
      <c r="CS15" s="72" t="str">
        <f>IFERROR(IF(OR($B15="",CS$3=""),"",_xll.ciqfunctions.udf.CIQ($B15,"IQ_SGA_SUPPL",CS$3,$E$3, $J$3, , $G$3, $H$3)/(_xll.ciqfunctions.udf.CIQ($B15,"IQ_INT_INC_TOTAL",CS$3,$E$3, $J$3, , $G$3, $H$3)+_xll.ciqfunctions.udf.CIQ($B15,"IQ_NON_INT_INC",CS$3,$E$3, $J$3, , $G$3, $H$3))),"")</f>
        <v/>
      </c>
      <c r="CT15" s="72" t="str">
        <f>IFERROR(IF(OR($B15="",CT$3=""),"",_xll.ciqfunctions.udf.CIQ($B15,"IQ_SGA_SUPPL",CT$3,$E$3, $J$3, , $G$3, $H$3)/(_xll.ciqfunctions.udf.CIQ($B15,"IQ_INT_INC_TOTAL",CT$3,$E$3, $J$3, , $G$3, $H$3)+_xll.ciqfunctions.udf.CIQ($B15,"IQ_NON_INT_INC",CT$3,$E$3, $J$3, , $G$3, $H$3))),"")</f>
        <v/>
      </c>
      <c r="CU15" s="72" t="str">
        <f>IFERROR(IF(OR($B15="",CU$3=""),"",_xll.ciqfunctions.udf.CIQ($B15,"IQ_SGA_SUPPL",CU$3,$E$3, $J$3, , $G$3, $H$3)/(_xll.ciqfunctions.udf.CIQ($B15,"IQ_INT_INC_TOTAL",CU$3,$E$3, $J$3, , $G$3, $H$3)+_xll.ciqfunctions.udf.CIQ($B15,"IQ_NON_INT_INC",CU$3,$E$3, $J$3, , $G$3, $H$3))),"")</f>
        <v/>
      </c>
      <c r="CV15" s="72" t="str">
        <f>IFERROR(IF(OR($B15="",CV$3=""),"",_xll.ciqfunctions.udf.CIQ($B15,"IQ_SGA_SUPPL",CV$3,$E$3, $J$3, , $G$3, $H$3)/(_xll.ciqfunctions.udf.CIQ($B15,"IQ_INT_INC_TOTAL",CV$3,$E$3, $J$3, , $G$3, $H$3)+_xll.ciqfunctions.udf.CIQ($B15,"IQ_NON_INT_INC",CV$3,$E$3, $J$3, , $G$3, $H$3))),"")</f>
        <v/>
      </c>
      <c r="CW15" s="72" t="str">
        <f>IFERROR(IF(OR($B15="",CW$3=""),"",_xll.ciqfunctions.udf.CIQ($B15,"IQ_SGA_SUPPL",CW$3,$E$3, $J$3, , $G$3, $H$3)/(_xll.ciqfunctions.udf.CIQ($B15,"IQ_INT_INC_TOTAL",CW$3,$E$3, $J$3, , $G$3, $H$3)+_xll.ciqfunctions.udf.CIQ($B15,"IQ_NON_INT_INC",CW$3,$E$3, $J$3, , $G$3, $H$3))),"")</f>
        <v/>
      </c>
      <c r="CX15" s="72" t="str">
        <f>IFERROR(IF(OR($B15="",CX$3=""),"",_xll.ciqfunctions.udf.CIQ($B15,"IQ_SGA_SUPPL",CX$3,$E$3, $J$3, , $G$3, $H$3)/(_xll.ciqfunctions.udf.CIQ($B15,"IQ_INT_INC_TOTAL",CX$3,$E$3, $J$3, , $G$3, $H$3)+_xll.ciqfunctions.udf.CIQ($B15,"IQ_NON_INT_INC",CX$3,$E$3, $J$3, , $G$3, $H$3))),"")</f>
        <v/>
      </c>
      <c r="CY15" s="72" t="str">
        <f>IFERROR(IF(OR($B15="",CY$3=""),"",_xll.ciqfunctions.udf.CIQ($B15,"IQ_SGA_SUPPL",CY$3,$E$3, $J$3, , $G$3, $H$3)/(_xll.ciqfunctions.udf.CIQ($B15,"IQ_INT_INC_TOTAL",CY$3,$E$3, $J$3, , $G$3, $H$3)+_xll.ciqfunctions.udf.CIQ($B15,"IQ_NON_INT_INC",CY$3,$E$3, $J$3, , $G$3, $H$3))),"")</f>
        <v/>
      </c>
      <c r="CZ15" s="72" t="str">
        <f>IFERROR(IF(OR($B15="",CZ$3=""),"",_xll.ciqfunctions.udf.CIQ($B15,"IQ_SGA_SUPPL",CZ$3,$E$3, $J$3, , $G$3, $H$3)/(_xll.ciqfunctions.udf.CIQ($B15,"IQ_INT_INC_TOTAL",CZ$3,$E$3, $J$3, , $G$3, $H$3)+_xll.ciqfunctions.udf.CIQ($B15,"IQ_NON_INT_INC",CZ$3,$E$3, $J$3, , $G$3, $H$3))),"")</f>
        <v/>
      </c>
      <c r="DA15" s="72" t="str">
        <f>IFERROR(IF(OR($B15="",DA$3=""),"",_xll.ciqfunctions.udf.CIQ($B15,"IQ_SGA_SUPPL",DA$3,$E$3, $J$3, , $G$3, $H$3)/(_xll.ciqfunctions.udf.CIQ($B15,"IQ_INT_INC_TOTAL",DA$3,$E$3, $J$3, , $G$3, $H$3)+_xll.ciqfunctions.udf.CIQ($B15,"IQ_NON_INT_INC",DA$3,$E$3, $J$3, , $G$3, $H$3))),"")</f>
        <v/>
      </c>
      <c r="DB15" s="72" t="str">
        <f>IFERROR(IF(OR($B15="",DB$3=""),"",_xll.ciqfunctions.udf.CIQ($B15,"IQ_SGA_SUPPL",DB$3,$E$3, $J$3, , $G$3, $H$3)/(_xll.ciqfunctions.udf.CIQ($B15,"IQ_INT_INC_TOTAL",DB$3,$E$3, $J$3, , $G$3, $H$3)+_xll.ciqfunctions.udf.CIQ($B15,"IQ_NON_INT_INC",DB$3,$E$3, $J$3, , $G$3, $H$3))),"")</f>
        <v/>
      </c>
      <c r="DC15" s="72" t="str">
        <f>IFERROR(IF(OR($B15="",DC$3=""),"",_xll.ciqfunctions.udf.CIQ($B15,"IQ_SGA_SUPPL",DC$3,$E$3, $J$3, , $G$3, $H$3)/(_xll.ciqfunctions.udf.CIQ($B15,"IQ_INT_INC_TOTAL",DC$3,$E$3, $J$3, , $G$3, $H$3)+_xll.ciqfunctions.udf.CIQ($B15,"IQ_NON_INT_INC",DC$3,$E$3, $J$3, , $G$3, $H$3))),"")</f>
        <v/>
      </c>
      <c r="DD15" s="72" t="str">
        <f>IFERROR(IF(OR($B15="",DD$3=""),"",_xll.ciqfunctions.udf.CIQ($B15,"IQ_SGA_SUPPL",DD$3,$E$3, $J$3, , $G$3, $H$3)/(_xll.ciqfunctions.udf.CIQ($B15,"IQ_INT_INC_TOTAL",DD$3,$E$3, $J$3, , $G$3, $H$3)+_xll.ciqfunctions.udf.CIQ($B15,"IQ_NON_INT_INC",DD$3,$E$3, $J$3, , $G$3, $H$3))),"")</f>
        <v/>
      </c>
      <c r="DE15" s="72" t="str">
        <f>IFERROR(IF(OR($B15="",DE$3=""),"",_xll.ciqfunctions.udf.CIQ($B15,"IQ_SGA_SUPPL",DE$3,$E$3, $J$3, , $G$3, $H$3)/(_xll.ciqfunctions.udf.CIQ($B15,"IQ_INT_INC_TOTAL",DE$3,$E$3, $J$3, , $G$3, $H$3)+_xll.ciqfunctions.udf.CIQ($B15,"IQ_NON_INT_INC",DE$3,$E$3, $J$3, , $G$3, $H$3))),"")</f>
        <v/>
      </c>
      <c r="DF15" s="72" t="str">
        <f>IFERROR(IF(OR($B15="",DF$3=""),"",_xll.ciqfunctions.udf.CIQ($B15,"IQ_SGA_SUPPL",DF$3,$E$3, $J$3, , $G$3, $H$3)/(_xll.ciqfunctions.udf.CIQ($B15,"IQ_INT_INC_TOTAL",DF$3,$E$3, $J$3, , $G$3, $H$3)+_xll.ciqfunctions.udf.CIQ($B15,"IQ_NON_INT_INC",DF$3,$E$3, $J$3, , $G$3, $H$3))),"")</f>
        <v/>
      </c>
      <c r="DG15" s="86" t="str">
        <f>IFERROR(IF(OR($B15="",DG$3=""),"",_xll.ciqfunctions.udf.CIQ($B15,"IQ_TIER_ONE_RATIO",DG$3,$E$3, $J$3, , $G$3, $H$3)/100),"")</f>
        <v/>
      </c>
      <c r="DH15" s="87" t="str">
        <f>IFERROR(IF(OR($B15="",DH$3=""),"",_xll.ciqfunctions.udf.CIQ($B15,"IQ_TIER_ONE_RATIO",DH$3,$E$3, $J$3, , $G$3, $H$3)/100),"")</f>
        <v/>
      </c>
      <c r="DI15" s="87" t="str">
        <f>IFERROR(IF(OR($B15="",DI$3=""),"",_xll.ciqfunctions.udf.CIQ($B15,"IQ_TIER_ONE_RATIO",DI$3,$E$3, $J$3, , $G$3, $H$3)/100),"")</f>
        <v/>
      </c>
      <c r="DJ15" s="87" t="str">
        <f>IFERROR(IF(OR($B15="",DJ$3=""),"",_xll.ciqfunctions.udf.CIQ($B15,"IQ_TIER_ONE_RATIO",DJ$3,$E$3, $J$3, , $G$3, $H$3)/100),"")</f>
        <v/>
      </c>
      <c r="DK15" s="87" t="str">
        <f>IFERROR(IF(OR($B15="",DK$3=""),"",_xll.ciqfunctions.udf.CIQ($B15,"IQ_TIER_ONE_RATIO",DK$3,$E$3, $J$3, , $G$3, $H$3)/100),"")</f>
        <v/>
      </c>
      <c r="DL15" s="87" t="str">
        <f>IFERROR(IF(OR($B15="",DL$3=""),"",_xll.ciqfunctions.udf.CIQ($B15,"IQ_TIER_ONE_RATIO",DL$3,$E$3, $J$3, , $G$3, $H$3)/100),"")</f>
        <v/>
      </c>
      <c r="DM15" s="87" t="str">
        <f>IFERROR(IF(OR($B15="",DM$3=""),"",_xll.ciqfunctions.udf.CIQ($B15,"IQ_TIER_ONE_RATIO",DM$3,$E$3, $J$3, , $G$3, $H$3)/100),"")</f>
        <v/>
      </c>
      <c r="DN15" s="87" t="str">
        <f>IFERROR(IF(OR($B15="",DN$3=""),"",_xll.ciqfunctions.udf.CIQ($B15,"IQ_TIER_ONE_RATIO",DN$3,$E$3, $J$3, , $G$3, $H$3)/100),"")</f>
        <v/>
      </c>
      <c r="DO15" s="87" t="str">
        <f>IFERROR(IF(OR($B15="",DO$3=""),"",_xll.ciqfunctions.udf.CIQ($B15,"IQ_TIER_ONE_RATIO",DO$3,$E$3, $J$3, , $G$3, $H$3)/100),"")</f>
        <v/>
      </c>
      <c r="DP15" s="87" t="str">
        <f>IFERROR(IF(OR($B15="",DP$3=""),"",_xll.ciqfunctions.udf.CIQ($B15,"IQ_TIER_ONE_RATIO",DP$3,$E$3, $J$3, , $G$3, $H$3)/100),"")</f>
        <v/>
      </c>
      <c r="DQ15" s="87" t="str">
        <f>IFERROR(IF(OR($B15="",DQ$3=""),"",_xll.ciqfunctions.udf.CIQ($B15,"IQ_TIER_ONE_RATIO",DQ$3,$E$3, $J$3, , $G$3, $H$3)/100),"")</f>
        <v/>
      </c>
      <c r="DR15" s="87" t="str">
        <f>IFERROR(IF(OR($B15="",DR$3=""),"",_xll.ciqfunctions.udf.CIQ($B15,"IQ_TIER_ONE_RATIO",DR$3,$E$3, $J$3, , $G$3, $H$3)/100),"")</f>
        <v/>
      </c>
      <c r="DS15" s="87" t="str">
        <f>IFERROR(IF(OR($B15="",DS$3=""),"",_xll.ciqfunctions.udf.CIQ($B15,"IQ_TIER_ONE_RATIO",DS$3,$E$3, $J$3, , $G$3, $H$3)/100),"")</f>
        <v/>
      </c>
      <c r="DT15" s="87" t="str">
        <f>IFERROR(IF(OR($B15="",DT$3=""),"",_xll.ciqfunctions.udf.CIQ($B15,"IQ_TIER_ONE_RATIO",DT$3,$E$3, $J$3, , $G$3, $H$3)/100),"")</f>
        <v/>
      </c>
      <c r="DU15" s="87" t="str">
        <f>IFERROR(IF(OR($B15="",DU$3=""),"",_xll.ciqfunctions.udf.CIQ($B15,"IQ_TIER_ONE_RATIO",DU$3,$E$3, $J$3, , $G$3, $H$3)/100),"")</f>
        <v/>
      </c>
      <c r="DV15" s="87" t="str">
        <f>IFERROR(IF(OR($B15="",DV$3=""),"",_xll.ciqfunctions.udf.CIQ($B15,"IQ_TIER_ONE_RATIO",DV$3,$E$3, $J$3, , $G$3, $H$3)/100),"")</f>
        <v/>
      </c>
      <c r="DW15" s="87" t="str">
        <f>IFERROR(IF(OR($B15="",DW$3=""),"",_xll.ciqfunctions.udf.CIQ($B15,"IQ_TIER_ONE_RATIO",DW$3,$E$3, $J$3, , $G$3, $H$3)/100),"")</f>
        <v/>
      </c>
      <c r="DX15" s="87" t="str">
        <f>IFERROR(IF(OR($B15="",DX$3=""),"",_xll.ciqfunctions.udf.CIQ($B15,"IQ_TIER_ONE_RATIO",DX$3,$E$3, $J$3, , $G$3, $H$3)/100),"")</f>
        <v/>
      </c>
      <c r="DY15" s="87" t="str">
        <f>IFERROR(IF(OR($B15="",DY$3=""),"",_xll.ciqfunctions.udf.CIQ($B15,"IQ_TIER_ONE_RATIO",DY$3,$E$3, $J$3, , $G$3, $H$3)/100),"")</f>
        <v/>
      </c>
      <c r="DZ15" s="88" t="str">
        <f>IFERROR(IF(OR($B15="",DZ$3=""),"",_xll.ciqfunctions.udf.CIQ($B15,"IQ_TIER_ONE_RATIO",DZ$3,$E$3, $J$3, , $G$3, $H$3)/100),"")</f>
        <v/>
      </c>
      <c r="EA15" s="86" t="str">
        <f>IFERROR(IF(OR($B15="",EA$3=""),"",_xll.ciqfunctions.udf.CIQ($B15,"IQ_TOTAL_CAPITAL_RATIO",EA$3,$E$3, $J$3, , $G$3, $H$3)/100),"")</f>
        <v/>
      </c>
      <c r="EB15" s="87" t="str">
        <f>IFERROR(IF(OR($B15="",EB$3=""),"",_xll.ciqfunctions.udf.CIQ($B15,"IQ_TOTAL_CAPITAL_RATIO",EB$3,$E$3, $J$3, , $G$3, $H$3)/100),"")</f>
        <v/>
      </c>
      <c r="EC15" s="87" t="str">
        <f>IFERROR(IF(OR($B15="",EC$3=""),"",_xll.ciqfunctions.udf.CIQ($B15,"IQ_TOTAL_CAPITAL_RATIO",EC$3,$E$3, $J$3, , $G$3, $H$3)/100),"")</f>
        <v/>
      </c>
      <c r="ED15" s="87" t="str">
        <f>IFERROR(IF(OR($B15="",ED$3=""),"",_xll.ciqfunctions.udf.CIQ($B15,"IQ_TOTAL_CAPITAL_RATIO",ED$3,$E$3, $J$3, , $G$3, $H$3)/100),"")</f>
        <v/>
      </c>
      <c r="EE15" s="87" t="str">
        <f>IFERROR(IF(OR($B15="",EE$3=""),"",_xll.ciqfunctions.udf.CIQ($B15,"IQ_TOTAL_CAPITAL_RATIO",EE$3,$E$3, $J$3, , $G$3, $H$3)/100),"")</f>
        <v/>
      </c>
      <c r="EF15" s="87" t="str">
        <f>IFERROR(IF(OR($B15="",EF$3=""),"",_xll.ciqfunctions.udf.CIQ($B15,"IQ_TOTAL_CAPITAL_RATIO",EF$3,$E$3, $J$3, , $G$3, $H$3)/100),"")</f>
        <v/>
      </c>
      <c r="EG15" s="87" t="str">
        <f>IFERROR(IF(OR($B15="",EG$3=""),"",_xll.ciqfunctions.udf.CIQ($B15,"IQ_TOTAL_CAPITAL_RATIO",EG$3,$E$3, $J$3, , $G$3, $H$3)/100),"")</f>
        <v/>
      </c>
      <c r="EH15" s="87" t="str">
        <f>IFERROR(IF(OR($B15="",EH$3=""),"",_xll.ciqfunctions.udf.CIQ($B15,"IQ_TOTAL_CAPITAL_RATIO",EH$3,$E$3, $J$3, , $G$3, $H$3)/100),"")</f>
        <v/>
      </c>
      <c r="EI15" s="87" t="str">
        <f>IFERROR(IF(OR($B15="",EI$3=""),"",_xll.ciqfunctions.udf.CIQ($B15,"IQ_TOTAL_CAPITAL_RATIO",EI$3,$E$3, $J$3, , $G$3, $H$3)/100),"")</f>
        <v/>
      </c>
      <c r="EJ15" s="87" t="str">
        <f>IFERROR(IF(OR($B15="",EJ$3=""),"",_xll.ciqfunctions.udf.CIQ($B15,"IQ_TOTAL_CAPITAL_RATIO",EJ$3,$E$3, $J$3, , $G$3, $H$3)/100),"")</f>
        <v/>
      </c>
      <c r="EK15" s="87" t="str">
        <f>IFERROR(IF(OR($B15="",EK$3=""),"",_xll.ciqfunctions.udf.CIQ($B15,"IQ_TOTAL_CAPITAL_RATIO",EK$3,$E$3, $J$3, , $G$3, $H$3)/100),"")</f>
        <v/>
      </c>
      <c r="EL15" s="87" t="str">
        <f>IFERROR(IF(OR($B15="",EL$3=""),"",_xll.ciqfunctions.udf.CIQ($B15,"IQ_TOTAL_CAPITAL_RATIO",EL$3,$E$3, $J$3, , $G$3, $H$3)/100),"")</f>
        <v/>
      </c>
      <c r="EM15" s="87" t="str">
        <f>IFERROR(IF(OR($B15="",EM$3=""),"",_xll.ciqfunctions.udf.CIQ($B15,"IQ_TOTAL_CAPITAL_RATIO",EM$3,$E$3, $J$3, , $G$3, $H$3)/100),"")</f>
        <v/>
      </c>
      <c r="EN15" s="87" t="str">
        <f>IFERROR(IF(OR($B15="",EN$3=""),"",_xll.ciqfunctions.udf.CIQ($B15,"IQ_TOTAL_CAPITAL_RATIO",EN$3,$E$3, $J$3, , $G$3, $H$3)/100),"")</f>
        <v/>
      </c>
      <c r="EO15" s="87" t="str">
        <f>IFERROR(IF(OR($B15="",EO$3=""),"",_xll.ciqfunctions.udf.CIQ($B15,"IQ_TOTAL_CAPITAL_RATIO",EO$3,$E$3, $J$3, , $G$3, $H$3)/100),"")</f>
        <v/>
      </c>
      <c r="EP15" s="87" t="str">
        <f>IFERROR(IF(OR($B15="",EP$3=""),"",_xll.ciqfunctions.udf.CIQ($B15,"IQ_TOTAL_CAPITAL_RATIO",EP$3,$E$3, $J$3, , $G$3, $H$3)/100),"")</f>
        <v/>
      </c>
      <c r="EQ15" s="87" t="str">
        <f>IFERROR(IF(OR($B15="",EQ$3=""),"",_xll.ciqfunctions.udf.CIQ($B15,"IQ_TOTAL_CAPITAL_RATIO",EQ$3,$E$3, $J$3, , $G$3, $H$3)/100),"")</f>
        <v/>
      </c>
      <c r="ER15" s="87" t="str">
        <f>IFERROR(IF(OR($B15="",ER$3=""),"",_xll.ciqfunctions.udf.CIQ($B15,"IQ_TOTAL_CAPITAL_RATIO",ER$3,$E$3, $J$3, , $G$3, $H$3)/100),"")</f>
        <v/>
      </c>
      <c r="ES15" s="87" t="str">
        <f>IFERROR(IF(OR($B15="",ES$3=""),"",_xll.ciqfunctions.udf.CIQ($B15,"IQ_TOTAL_CAPITAL_RATIO",ES$3,$E$3, $J$3, , $G$3, $H$3)/100),"")</f>
        <v/>
      </c>
      <c r="ET15" s="88" t="str">
        <f>IFERROR(IF(OR($B15="",ET$3=""),"",_xll.ciqfunctions.udf.CIQ($B15,"IQ_TOTAL_CAPITAL_RATIO",ET$3,$E$3, $J$3, , $G$3, $H$3)/100),"")</f>
        <v/>
      </c>
      <c r="EU15" s="86" t="str">
        <f>IFERROR(IF(OR($B15="",EU$3=""),"",_xll.ciqfunctions.udf.CIQ($B15,"IQ_GROSS_LOANS",EU$3,$E$3, $J$3, , $G$3, $H$3)/_xll.ciqfunctions.udf.CIQ($B15,"IQ_TOTAL_ASSETS",EU$3,$E$3, $J$3, , $G$3, $H$3)),"")</f>
        <v/>
      </c>
      <c r="EV15" s="87" t="str">
        <f>IFERROR(IF(OR($B15="",EV$3=""),"",_xll.ciqfunctions.udf.CIQ($B15,"IQ_GROSS_LOANS",EV$3,$E$3, $J$3, , $G$3, $H$3)/_xll.ciqfunctions.udf.CIQ($B15,"IQ_TOTAL_ASSETS",EV$3,$E$3, $J$3, , $G$3, $H$3)),"")</f>
        <v/>
      </c>
      <c r="EW15" s="87" t="str">
        <f>IFERROR(IF(OR($B15="",EW$3=""),"",_xll.ciqfunctions.udf.CIQ($B15,"IQ_GROSS_LOANS",EW$3,$E$3, $J$3, , $G$3, $H$3)/_xll.ciqfunctions.udf.CIQ($B15,"IQ_TOTAL_ASSETS",EW$3,$E$3, $J$3, , $G$3, $H$3)),"")</f>
        <v/>
      </c>
      <c r="EX15" s="87" t="str">
        <f>IFERROR(IF(OR($B15="",EX$3=""),"",_xll.ciqfunctions.udf.CIQ($B15,"IQ_GROSS_LOANS",EX$3,$E$3, $J$3, , $G$3, $H$3)/_xll.ciqfunctions.udf.CIQ($B15,"IQ_TOTAL_ASSETS",EX$3,$E$3, $J$3, , $G$3, $H$3)),"")</f>
        <v/>
      </c>
      <c r="EY15" s="87" t="str">
        <f>IFERROR(IF(OR($B15="",EY$3=""),"",_xll.ciqfunctions.udf.CIQ($B15,"IQ_GROSS_LOANS",EY$3,$E$3, $J$3, , $G$3, $H$3)/_xll.ciqfunctions.udf.CIQ($B15,"IQ_TOTAL_ASSETS",EY$3,$E$3, $J$3, , $G$3, $H$3)),"")</f>
        <v/>
      </c>
      <c r="EZ15" s="87" t="str">
        <f>IFERROR(IF(OR($B15="",EZ$3=""),"",_xll.ciqfunctions.udf.CIQ($B15,"IQ_GROSS_LOANS",EZ$3,$E$3, $J$3, , $G$3, $H$3)/_xll.ciqfunctions.udf.CIQ($B15,"IQ_TOTAL_ASSETS",EZ$3,$E$3, $J$3, , $G$3, $H$3)),"")</f>
        <v/>
      </c>
      <c r="FA15" s="87" t="str">
        <f>IFERROR(IF(OR($B15="",FA$3=""),"",_xll.ciqfunctions.udf.CIQ($B15,"IQ_GROSS_LOANS",FA$3,$E$3, $J$3, , $G$3, $H$3)/_xll.ciqfunctions.udf.CIQ($B15,"IQ_TOTAL_ASSETS",FA$3,$E$3, $J$3, , $G$3, $H$3)),"")</f>
        <v/>
      </c>
      <c r="FB15" s="87" t="str">
        <f>IFERROR(IF(OR($B15="",FB$3=""),"",_xll.ciqfunctions.udf.CIQ($B15,"IQ_GROSS_LOANS",FB$3,$E$3, $J$3, , $G$3, $H$3)/_xll.ciqfunctions.udf.CIQ($B15,"IQ_TOTAL_ASSETS",FB$3,$E$3, $J$3, , $G$3, $H$3)),"")</f>
        <v/>
      </c>
      <c r="FC15" s="87" t="str">
        <f>IFERROR(IF(OR($B15="",FC$3=""),"",_xll.ciqfunctions.udf.CIQ($B15,"IQ_GROSS_LOANS",FC$3,$E$3, $J$3, , $G$3, $H$3)/_xll.ciqfunctions.udf.CIQ($B15,"IQ_TOTAL_ASSETS",FC$3,$E$3, $J$3, , $G$3, $H$3)),"")</f>
        <v/>
      </c>
      <c r="FD15" s="87" t="str">
        <f>IFERROR(IF(OR($B15="",FD$3=""),"",_xll.ciqfunctions.udf.CIQ($B15,"IQ_GROSS_LOANS",FD$3,$E$3, $J$3, , $G$3, $H$3)/_xll.ciqfunctions.udf.CIQ($B15,"IQ_TOTAL_ASSETS",FD$3,$E$3, $J$3, , $G$3, $H$3)),"")</f>
        <v/>
      </c>
      <c r="FE15" s="87" t="str">
        <f>IFERROR(IF(OR($B15="",FE$3=""),"",_xll.ciqfunctions.udf.CIQ($B15,"IQ_GROSS_LOANS",FE$3,$E$3, $J$3, , $G$3, $H$3)/_xll.ciqfunctions.udf.CIQ($B15,"IQ_TOTAL_ASSETS",FE$3,$E$3, $J$3, , $G$3, $H$3)),"")</f>
        <v/>
      </c>
      <c r="FF15" s="87" t="str">
        <f>IFERROR(IF(OR($B15="",FF$3=""),"",_xll.ciqfunctions.udf.CIQ($B15,"IQ_GROSS_LOANS",FF$3,$E$3, $J$3, , $G$3, $H$3)/_xll.ciqfunctions.udf.CIQ($B15,"IQ_TOTAL_ASSETS",FF$3,$E$3, $J$3, , $G$3, $H$3)),"")</f>
        <v/>
      </c>
      <c r="FG15" s="87" t="str">
        <f>IFERROR(IF(OR($B15="",FG$3=""),"",_xll.ciqfunctions.udf.CIQ($B15,"IQ_GROSS_LOANS",FG$3,$E$3, $J$3, , $G$3, $H$3)/_xll.ciqfunctions.udf.CIQ($B15,"IQ_TOTAL_ASSETS",FG$3,$E$3, $J$3, , $G$3, $H$3)),"")</f>
        <v/>
      </c>
      <c r="FH15" s="87" t="str">
        <f>IFERROR(IF(OR($B15="",FH$3=""),"",_xll.ciqfunctions.udf.CIQ($B15,"IQ_GROSS_LOANS",FH$3,$E$3, $J$3, , $G$3, $H$3)/_xll.ciqfunctions.udf.CIQ($B15,"IQ_TOTAL_ASSETS",FH$3,$E$3, $J$3, , $G$3, $H$3)),"")</f>
        <v/>
      </c>
      <c r="FI15" s="87" t="str">
        <f>IFERROR(IF(OR($B15="",FI$3=""),"",_xll.ciqfunctions.udf.CIQ($B15,"IQ_GROSS_LOANS",FI$3,$E$3, $J$3, , $G$3, $H$3)/_xll.ciqfunctions.udf.CIQ($B15,"IQ_TOTAL_ASSETS",FI$3,$E$3, $J$3, , $G$3, $H$3)),"")</f>
        <v/>
      </c>
      <c r="FJ15" s="87" t="str">
        <f>IFERROR(IF(OR($B15="",FJ$3=""),"",_xll.ciqfunctions.udf.CIQ($B15,"IQ_GROSS_LOANS",FJ$3,$E$3, $J$3, , $G$3, $H$3)/_xll.ciqfunctions.udf.CIQ($B15,"IQ_TOTAL_ASSETS",FJ$3,$E$3, $J$3, , $G$3, $H$3)),"")</f>
        <v/>
      </c>
      <c r="FK15" s="87" t="str">
        <f>IFERROR(IF(OR($B15="",FK$3=""),"",_xll.ciqfunctions.udf.CIQ($B15,"IQ_GROSS_LOANS",FK$3,$E$3, $J$3, , $G$3, $H$3)/_xll.ciqfunctions.udf.CIQ($B15,"IQ_TOTAL_ASSETS",FK$3,$E$3, $J$3, , $G$3, $H$3)),"")</f>
        <v/>
      </c>
      <c r="FL15" s="87" t="str">
        <f>IFERROR(IF(OR($B15="",FL$3=""),"",_xll.ciqfunctions.udf.CIQ($B15,"IQ_GROSS_LOANS",FL$3,$E$3, $J$3, , $G$3, $H$3)/_xll.ciqfunctions.udf.CIQ($B15,"IQ_TOTAL_ASSETS",FL$3,$E$3, $J$3, , $G$3, $H$3)),"")</f>
        <v/>
      </c>
      <c r="FM15" s="87" t="str">
        <f>IFERROR(IF(OR($B15="",FM$3=""),"",_xll.ciqfunctions.udf.CIQ($B15,"IQ_GROSS_LOANS",FM$3,$E$3, $J$3, , $G$3, $H$3)/_xll.ciqfunctions.udf.CIQ($B15,"IQ_TOTAL_ASSETS",FM$3,$E$3, $J$3, , $G$3, $H$3)),"")</f>
        <v/>
      </c>
      <c r="FN15" s="88" t="str">
        <f>IFERROR(IF(OR($B15="",FN$3=""),"",_xll.ciqfunctions.udf.CIQ($B15,"IQ_GROSS_LOANS",FN$3,$E$3, $J$3, , $G$3, $H$3)/_xll.ciqfunctions.udf.CIQ($B15,"IQ_TOTAL_ASSETS",FN$3,$E$3, $J$3, , $G$3, $H$3)),"")</f>
        <v/>
      </c>
      <c r="FO15" s="86" t="str">
        <f>IFERROR(IF(OR($B15="",FO$3=""),"",_xll.ciqfunctions.udf.CIQ($B15,"IQ_NON_PERFORMING_LOANS",FO$3,$E$3, $J$3, , $G$3, $H$3)/_xll.ciqfunctions.udf.CIQ($B15,"IQ_TOTAL_LOANS",FO$3,$E$3, $J$3, , $G$3, $H$3)),"")</f>
        <v/>
      </c>
      <c r="FP15" s="87" t="str">
        <f>IFERROR(IF(OR($B15="",FP$3=""),"",_xll.ciqfunctions.udf.CIQ($B15,"IQ_NON_PERFORMING_LOANS",FP$3,$E$3, $J$3, , $G$3, $H$3)/_xll.ciqfunctions.udf.CIQ($B15,"IQ_TOTAL_LOANS",FP$3,$E$3, $J$3, , $G$3, $H$3)),"")</f>
        <v/>
      </c>
      <c r="FQ15" s="87" t="str">
        <f>IFERROR(IF(OR($B15="",FQ$3=""),"",_xll.ciqfunctions.udf.CIQ($B15,"IQ_NON_PERFORMING_LOANS",FQ$3,$E$3, $J$3, , $G$3, $H$3)/_xll.ciqfunctions.udf.CIQ($B15,"IQ_TOTAL_LOANS",FQ$3,$E$3, $J$3, , $G$3, $H$3)),"")</f>
        <v/>
      </c>
      <c r="FR15" s="87" t="str">
        <f>IFERROR(IF(OR($B15="",FR$3=""),"",_xll.ciqfunctions.udf.CIQ($B15,"IQ_NON_PERFORMING_LOANS",FR$3,$E$3, $J$3, , $G$3, $H$3)/_xll.ciqfunctions.udf.CIQ($B15,"IQ_TOTAL_LOANS",FR$3,$E$3, $J$3, , $G$3, $H$3)),"")</f>
        <v/>
      </c>
      <c r="FS15" s="87" t="str">
        <f>IFERROR(IF(OR($B15="",FS$3=""),"",_xll.ciqfunctions.udf.CIQ($B15,"IQ_NON_PERFORMING_LOANS",FS$3,$E$3, $J$3, , $G$3, $H$3)/_xll.ciqfunctions.udf.CIQ($B15,"IQ_TOTAL_LOANS",FS$3,$E$3, $J$3, , $G$3, $H$3)),"")</f>
        <v/>
      </c>
      <c r="FT15" s="87" t="str">
        <f>IFERROR(IF(OR($B15="",FT$3=""),"",_xll.ciqfunctions.udf.CIQ($B15,"IQ_NON_PERFORMING_LOANS",FT$3,$E$3, $J$3, , $G$3, $H$3)/_xll.ciqfunctions.udf.CIQ($B15,"IQ_TOTAL_LOANS",FT$3,$E$3, $J$3, , $G$3, $H$3)),"")</f>
        <v/>
      </c>
      <c r="FU15" s="87" t="str">
        <f>IFERROR(IF(OR($B15="",FU$3=""),"",_xll.ciqfunctions.udf.CIQ($B15,"IQ_NON_PERFORMING_LOANS",FU$3,$E$3, $J$3, , $G$3, $H$3)/_xll.ciqfunctions.udf.CIQ($B15,"IQ_TOTAL_LOANS",FU$3,$E$3, $J$3, , $G$3, $H$3)),"")</f>
        <v/>
      </c>
      <c r="FV15" s="87" t="str">
        <f>IFERROR(IF(OR($B15="",FV$3=""),"",_xll.ciqfunctions.udf.CIQ($B15,"IQ_NON_PERFORMING_LOANS",FV$3,$E$3, $J$3, , $G$3, $H$3)/_xll.ciqfunctions.udf.CIQ($B15,"IQ_TOTAL_LOANS",FV$3,$E$3, $J$3, , $G$3, $H$3)),"")</f>
        <v/>
      </c>
      <c r="FW15" s="87" t="str">
        <f>IFERROR(IF(OR($B15="",FW$3=""),"",_xll.ciqfunctions.udf.CIQ($B15,"IQ_NON_PERFORMING_LOANS",FW$3,$E$3, $J$3, , $G$3, $H$3)/_xll.ciqfunctions.udf.CIQ($B15,"IQ_TOTAL_LOANS",FW$3,$E$3, $J$3, , $G$3, $H$3)),"")</f>
        <v/>
      </c>
      <c r="FX15" s="87" t="str">
        <f>IFERROR(IF(OR($B15="",FX$3=""),"",_xll.ciqfunctions.udf.CIQ($B15,"IQ_NON_PERFORMING_LOANS",FX$3,$E$3, $J$3, , $G$3, $H$3)/_xll.ciqfunctions.udf.CIQ($B15,"IQ_TOTAL_LOANS",FX$3,$E$3, $J$3, , $G$3, $H$3)),"")</f>
        <v/>
      </c>
      <c r="FY15" s="87" t="str">
        <f>IFERROR(IF(OR($B15="",FY$3=""),"",_xll.ciqfunctions.udf.CIQ($B15,"IQ_NON_PERFORMING_LOANS",FY$3,$E$3, $J$3, , $G$3, $H$3)/_xll.ciqfunctions.udf.CIQ($B15,"IQ_TOTAL_LOANS",FY$3,$E$3, $J$3, , $G$3, $H$3)),"")</f>
        <v/>
      </c>
      <c r="FZ15" s="87" t="str">
        <f>IFERROR(IF(OR($B15="",FZ$3=""),"",_xll.ciqfunctions.udf.CIQ($B15,"IQ_NON_PERFORMING_LOANS",FZ$3,$E$3, $J$3, , $G$3, $H$3)/_xll.ciqfunctions.udf.CIQ($B15,"IQ_TOTAL_LOANS",FZ$3,$E$3, $J$3, , $G$3, $H$3)),"")</f>
        <v/>
      </c>
      <c r="GA15" s="87" t="str">
        <f>IFERROR(IF(OR($B15="",GA$3=""),"",_xll.ciqfunctions.udf.CIQ($B15,"IQ_NON_PERFORMING_LOANS",GA$3,$E$3, $J$3, , $G$3, $H$3)/_xll.ciqfunctions.udf.CIQ($B15,"IQ_TOTAL_LOANS",GA$3,$E$3, $J$3, , $G$3, $H$3)),"")</f>
        <v/>
      </c>
      <c r="GB15" s="87" t="str">
        <f>IFERROR(IF(OR($B15="",GB$3=""),"",_xll.ciqfunctions.udf.CIQ($B15,"IQ_NON_PERFORMING_LOANS",GB$3,$E$3, $J$3, , $G$3, $H$3)/_xll.ciqfunctions.udf.CIQ($B15,"IQ_TOTAL_LOANS",GB$3,$E$3, $J$3, , $G$3, $H$3)),"")</f>
        <v/>
      </c>
      <c r="GC15" s="87" t="str">
        <f>IFERROR(IF(OR($B15="",GC$3=""),"",_xll.ciqfunctions.udf.CIQ($B15,"IQ_NON_PERFORMING_LOANS",GC$3,$E$3, $J$3, , $G$3, $H$3)/_xll.ciqfunctions.udf.CIQ($B15,"IQ_TOTAL_LOANS",GC$3,$E$3, $J$3, , $G$3, $H$3)),"")</f>
        <v/>
      </c>
      <c r="GD15" s="87" t="str">
        <f>IFERROR(IF(OR($B15="",GD$3=""),"",_xll.ciqfunctions.udf.CIQ($B15,"IQ_NON_PERFORMING_LOANS",GD$3,$E$3, $J$3, , $G$3, $H$3)/_xll.ciqfunctions.udf.CIQ($B15,"IQ_TOTAL_LOANS",GD$3,$E$3, $J$3, , $G$3, $H$3)),"")</f>
        <v/>
      </c>
      <c r="GE15" s="87" t="str">
        <f>IFERROR(IF(OR($B15="",GE$3=""),"",_xll.ciqfunctions.udf.CIQ($B15,"IQ_NON_PERFORMING_LOANS",GE$3,$E$3, $J$3, , $G$3, $H$3)/_xll.ciqfunctions.udf.CIQ($B15,"IQ_TOTAL_LOANS",GE$3,$E$3, $J$3, , $G$3, $H$3)),"")</f>
        <v/>
      </c>
      <c r="GF15" s="87" t="str">
        <f>IFERROR(IF(OR($B15="",GF$3=""),"",_xll.ciqfunctions.udf.CIQ($B15,"IQ_NON_PERFORMING_LOANS",GF$3,$E$3, $J$3, , $G$3, $H$3)/_xll.ciqfunctions.udf.CIQ($B15,"IQ_TOTAL_LOANS",GF$3,$E$3, $J$3, , $G$3, $H$3)),"")</f>
        <v/>
      </c>
      <c r="GG15" s="87" t="str">
        <f>IFERROR(IF(OR($B15="",GG$3=""),"",_xll.ciqfunctions.udf.CIQ($B15,"IQ_NON_PERFORMING_LOANS",GG$3,$E$3, $J$3, , $G$3, $H$3)/_xll.ciqfunctions.udf.CIQ($B15,"IQ_TOTAL_LOANS",GG$3,$E$3, $J$3, , $G$3, $H$3)),"")</f>
        <v/>
      </c>
      <c r="GH15" s="88" t="str">
        <f>IFERROR(IF(OR($B15="",GH$3=""),"",_xll.ciqfunctions.udf.CIQ($B15,"IQ_NON_PERFORMING_LOANS",GH$3,$E$3, $J$3, , $G$3, $H$3)/_xll.ciqfunctions.udf.CIQ($B15,"IQ_TOTAL_LOANS",GH$3,$E$3, $J$3, , $G$3, $H$3)),"")</f>
        <v/>
      </c>
      <c r="GI15" s="86" t="str">
        <f>IFERROR(IF(OR($B15="",GI$3=""),"",_xll.ciqfunctions.udf.CIQ($B15,"IQ_NON_PERFORMING_ASSETS",GI$3,$E$3, $J$3, , $G$3, $H$3)/_xll.ciqfunctions.udf.CIQ($B15,"IQ_TOTAL_ASSETS",GI$3,$E$3, $J$3, , $G$3, $H$3)),"")</f>
        <v/>
      </c>
      <c r="GJ15" s="87" t="str">
        <f>IFERROR(IF(OR($B15="",GJ$3=""),"",_xll.ciqfunctions.udf.CIQ($B15,"IQ_NON_PERFORMING_ASSETS",GJ$3,$E$3, $J$3, , $G$3, $H$3)/_xll.ciqfunctions.udf.CIQ($B15,"IQ_TOTAL_ASSETS",GJ$3,$E$3, $J$3, , $G$3, $H$3)),"")</f>
        <v/>
      </c>
      <c r="GK15" s="87" t="str">
        <f>IFERROR(IF(OR($B15="",GK$3=""),"",_xll.ciqfunctions.udf.CIQ($B15,"IQ_NON_PERFORMING_ASSETS",GK$3,$E$3, $J$3, , $G$3, $H$3)/_xll.ciqfunctions.udf.CIQ($B15,"IQ_TOTAL_ASSETS",GK$3,$E$3, $J$3, , $G$3, $H$3)),"")</f>
        <v/>
      </c>
      <c r="GL15" s="87" t="str">
        <f>IFERROR(IF(OR($B15="",GL$3=""),"",_xll.ciqfunctions.udf.CIQ($B15,"IQ_NON_PERFORMING_ASSETS",GL$3,$E$3, $J$3, , $G$3, $H$3)/_xll.ciqfunctions.udf.CIQ($B15,"IQ_TOTAL_ASSETS",GL$3,$E$3, $J$3, , $G$3, $H$3)),"")</f>
        <v/>
      </c>
      <c r="GM15" s="87" t="str">
        <f>IFERROR(IF(OR($B15="",GM$3=""),"",_xll.ciqfunctions.udf.CIQ($B15,"IQ_NON_PERFORMING_ASSETS",GM$3,$E$3, $J$3, , $G$3, $H$3)/_xll.ciqfunctions.udf.CIQ($B15,"IQ_TOTAL_ASSETS",GM$3,$E$3, $J$3, , $G$3, $H$3)),"")</f>
        <v/>
      </c>
      <c r="GN15" s="87" t="str">
        <f>IFERROR(IF(OR($B15="",GN$3=""),"",_xll.ciqfunctions.udf.CIQ($B15,"IQ_NON_PERFORMING_ASSETS",GN$3,$E$3, $J$3, , $G$3, $H$3)/_xll.ciqfunctions.udf.CIQ($B15,"IQ_TOTAL_ASSETS",GN$3,$E$3, $J$3, , $G$3, $H$3)),"")</f>
        <v/>
      </c>
      <c r="GO15" s="87" t="str">
        <f>IFERROR(IF(OR($B15="",GO$3=""),"",_xll.ciqfunctions.udf.CIQ($B15,"IQ_NON_PERFORMING_ASSETS",GO$3,$E$3, $J$3, , $G$3, $H$3)/_xll.ciqfunctions.udf.CIQ($B15,"IQ_TOTAL_ASSETS",GO$3,$E$3, $J$3, , $G$3, $H$3)),"")</f>
        <v/>
      </c>
      <c r="GP15" s="87" t="str">
        <f>IFERROR(IF(OR($B15="",GP$3=""),"",_xll.ciqfunctions.udf.CIQ($B15,"IQ_NON_PERFORMING_ASSETS",GP$3,$E$3, $J$3, , $G$3, $H$3)/_xll.ciqfunctions.udf.CIQ($B15,"IQ_TOTAL_ASSETS",GP$3,$E$3, $J$3, , $G$3, $H$3)),"")</f>
        <v/>
      </c>
      <c r="GQ15" s="87" t="str">
        <f>IFERROR(IF(OR($B15="",GQ$3=""),"",_xll.ciqfunctions.udf.CIQ($B15,"IQ_NON_PERFORMING_ASSETS",GQ$3,$E$3, $J$3, , $G$3, $H$3)/_xll.ciqfunctions.udf.CIQ($B15,"IQ_TOTAL_ASSETS",GQ$3,$E$3, $J$3, , $G$3, $H$3)),"")</f>
        <v/>
      </c>
      <c r="GR15" s="87" t="str">
        <f>IFERROR(IF(OR($B15="",GR$3=""),"",_xll.ciqfunctions.udf.CIQ($B15,"IQ_NON_PERFORMING_ASSETS",GR$3,$E$3, $J$3, , $G$3, $H$3)/_xll.ciqfunctions.udf.CIQ($B15,"IQ_TOTAL_ASSETS",GR$3,$E$3, $J$3, , $G$3, $H$3)),"")</f>
        <v/>
      </c>
      <c r="GS15" s="87" t="str">
        <f>IFERROR(IF(OR($B15="",GS$3=""),"",_xll.ciqfunctions.udf.CIQ($B15,"IQ_NON_PERFORMING_ASSETS",GS$3,$E$3, $J$3, , $G$3, $H$3)/_xll.ciqfunctions.udf.CIQ($B15,"IQ_TOTAL_ASSETS",GS$3,$E$3, $J$3, , $G$3, $H$3)),"")</f>
        <v/>
      </c>
      <c r="GT15" s="87" t="str">
        <f>IFERROR(IF(OR($B15="",GT$3=""),"",_xll.ciqfunctions.udf.CIQ($B15,"IQ_NON_PERFORMING_ASSETS",GT$3,$E$3, $J$3, , $G$3, $H$3)/_xll.ciqfunctions.udf.CIQ($B15,"IQ_TOTAL_ASSETS",GT$3,$E$3, $J$3, , $G$3, $H$3)),"")</f>
        <v/>
      </c>
      <c r="GU15" s="87" t="str">
        <f>IFERROR(IF(OR($B15="",GU$3=""),"",_xll.ciqfunctions.udf.CIQ($B15,"IQ_NON_PERFORMING_ASSETS",GU$3,$E$3, $J$3, , $G$3, $H$3)/_xll.ciqfunctions.udf.CIQ($B15,"IQ_TOTAL_ASSETS",GU$3,$E$3, $J$3, , $G$3, $H$3)),"")</f>
        <v/>
      </c>
      <c r="GV15" s="87" t="str">
        <f>IFERROR(IF(OR($B15="",GV$3=""),"",_xll.ciqfunctions.udf.CIQ($B15,"IQ_NON_PERFORMING_ASSETS",GV$3,$E$3, $J$3, , $G$3, $H$3)/_xll.ciqfunctions.udf.CIQ($B15,"IQ_TOTAL_ASSETS",GV$3,$E$3, $J$3, , $G$3, $H$3)),"")</f>
        <v/>
      </c>
      <c r="GW15" s="87" t="str">
        <f>IFERROR(IF(OR($B15="",GW$3=""),"",_xll.ciqfunctions.udf.CIQ($B15,"IQ_NON_PERFORMING_ASSETS",GW$3,$E$3, $J$3, , $G$3, $H$3)/_xll.ciqfunctions.udf.CIQ($B15,"IQ_TOTAL_ASSETS",GW$3,$E$3, $J$3, , $G$3, $H$3)),"")</f>
        <v/>
      </c>
      <c r="GX15" s="87" t="str">
        <f>IFERROR(IF(OR($B15="",GX$3=""),"",_xll.ciqfunctions.udf.CIQ($B15,"IQ_NON_PERFORMING_ASSETS",GX$3,$E$3, $J$3, , $G$3, $H$3)/_xll.ciqfunctions.udf.CIQ($B15,"IQ_TOTAL_ASSETS",GX$3,$E$3, $J$3, , $G$3, $H$3)),"")</f>
        <v/>
      </c>
      <c r="GY15" s="87" t="str">
        <f>IFERROR(IF(OR($B15="",GY$3=""),"",_xll.ciqfunctions.udf.CIQ($B15,"IQ_NON_PERFORMING_ASSETS",GY$3,$E$3, $J$3, , $G$3, $H$3)/_xll.ciqfunctions.udf.CIQ($B15,"IQ_TOTAL_ASSETS",GY$3,$E$3, $J$3, , $G$3, $H$3)),"")</f>
        <v/>
      </c>
      <c r="GZ15" s="87" t="str">
        <f>IFERROR(IF(OR($B15="",GZ$3=""),"",_xll.ciqfunctions.udf.CIQ($B15,"IQ_NON_PERFORMING_ASSETS",GZ$3,$E$3, $J$3, , $G$3, $H$3)/_xll.ciqfunctions.udf.CIQ($B15,"IQ_TOTAL_ASSETS",GZ$3,$E$3, $J$3, , $G$3, $H$3)),"")</f>
        <v/>
      </c>
      <c r="HA15" s="87" t="str">
        <f>IFERROR(IF(OR($B15="",HA$3=""),"",_xll.ciqfunctions.udf.CIQ($B15,"IQ_NON_PERFORMING_ASSETS",HA$3,$E$3, $J$3, , $G$3, $H$3)/_xll.ciqfunctions.udf.CIQ($B15,"IQ_TOTAL_ASSETS",HA$3,$E$3, $J$3, , $G$3, $H$3)),"")</f>
        <v/>
      </c>
      <c r="HB15" s="88" t="str">
        <f>IFERROR(IF(OR($B15="",HB$3=""),"",_xll.ciqfunctions.udf.CIQ($B15,"IQ_NON_PERFORMING_ASSETS",HB$3,$E$3, $J$3, , $G$3, $H$3)/_xll.ciqfunctions.udf.CIQ($B15,"IQ_TOTAL_ASSETS",HB$3,$E$3, $J$3, , $G$3, $H$3)),"")</f>
        <v/>
      </c>
      <c r="HC15" s="86" t="str">
        <f>IFERROR(IF(OR($B15="",HC$3=""),"",_xll.ciqfunctions.udf.CIQ($B15, "IQ_NI", $I$3, HC$3,$J$3, ,$G$3,$H$3)*2/(_xll.ciqfunctions.udf.CIQ($B15,"IQ_TOTAL_ASSETS",HC$3,$E$3, $J$3, , $G$3, $H$3)+_xll.ciqfunctions.udf.CIQ($B15,"IQ_TOTAL_ASSETS","IQ_" &amp; LEFT(HC$3,2) &amp; "-1",HC$3, $J$3, , $G$3, $H$3))),"")</f>
        <v/>
      </c>
      <c r="HD15" s="87" t="str">
        <f>IFERROR(IF(OR($B15="",HD$3=""),"",_xll.ciqfunctions.udf.CIQ($B15, "IQ_NI", $I$3, HD$3,$J$3, ,$G$3,$H$3)*2/(_xll.ciqfunctions.udf.CIQ($B15,"IQ_TOTAL_ASSETS",HD$3,$E$3, $J$3, , $G$3, $H$3)+_xll.ciqfunctions.udf.CIQ($B15,"IQ_TOTAL_ASSETS","IQ_" &amp; LEFT(HD$3,2) &amp; "-1",HD$3, $J$3, , $G$3, $H$3))),"")</f>
        <v/>
      </c>
      <c r="HE15" s="87" t="str">
        <f>IFERROR(IF(OR($B15="",HE$3=""),"",_xll.ciqfunctions.udf.CIQ($B15, "IQ_NI", $I$3, HE$3,$J$3, ,$G$3,$H$3)*2/(_xll.ciqfunctions.udf.CIQ($B15,"IQ_TOTAL_ASSETS",HE$3,$E$3, $J$3, , $G$3, $H$3)+_xll.ciqfunctions.udf.CIQ($B15,"IQ_TOTAL_ASSETS","IQ_" &amp; LEFT(HE$3,2) &amp; "-1",HE$3, $J$3, , $G$3, $H$3))),"")</f>
        <v/>
      </c>
      <c r="HF15" s="87" t="str">
        <f>IFERROR(IF(OR($B15="",HF$3=""),"",_xll.ciqfunctions.udf.CIQ($B15, "IQ_NI", $I$3, HF$3,$J$3, ,$G$3,$H$3)*2/(_xll.ciqfunctions.udf.CIQ($B15,"IQ_TOTAL_ASSETS",HF$3,$E$3, $J$3, , $G$3, $H$3)+_xll.ciqfunctions.udf.CIQ($B15,"IQ_TOTAL_ASSETS","IQ_" &amp; LEFT(HF$3,2) &amp; "-1",HF$3, $J$3, , $G$3, $H$3))),"")</f>
        <v/>
      </c>
      <c r="HG15" s="87" t="str">
        <f>IFERROR(IF(OR($B15="",HG$3=""),"",_xll.ciqfunctions.udf.CIQ($B15, "IQ_NI", $I$3, HG$3,$J$3, ,$G$3,$H$3)*2/(_xll.ciqfunctions.udf.CIQ($B15,"IQ_TOTAL_ASSETS",HG$3,$E$3, $J$3, , $G$3, $H$3)+_xll.ciqfunctions.udf.CIQ($B15,"IQ_TOTAL_ASSETS","IQ_" &amp; LEFT(HG$3,2) &amp; "-1",HG$3, $J$3, , $G$3, $H$3))),"")</f>
        <v/>
      </c>
      <c r="HH15" s="87" t="str">
        <f>IFERROR(IF(OR($B15="",HH$3=""),"",_xll.ciqfunctions.udf.CIQ($B15, "IQ_NI", $I$3, HH$3,$J$3, ,$G$3,$H$3)*2/(_xll.ciqfunctions.udf.CIQ($B15,"IQ_TOTAL_ASSETS",HH$3,$E$3, $J$3, , $G$3, $H$3)+_xll.ciqfunctions.udf.CIQ($B15,"IQ_TOTAL_ASSETS","IQ_" &amp; LEFT(HH$3,2) &amp; "-1",HH$3, $J$3, , $G$3, $H$3))),"")</f>
        <v/>
      </c>
      <c r="HI15" s="87" t="str">
        <f>IFERROR(IF(OR($B15="",HI$3=""),"",_xll.ciqfunctions.udf.CIQ($B15, "IQ_NI", $I$3, HI$3,$J$3, ,$G$3,$H$3)*2/(_xll.ciqfunctions.udf.CIQ($B15,"IQ_TOTAL_ASSETS",HI$3,$E$3, $J$3, , $G$3, $H$3)+_xll.ciqfunctions.udf.CIQ($B15,"IQ_TOTAL_ASSETS","IQ_" &amp; LEFT(HI$3,2) &amp; "-1",HI$3, $J$3, , $G$3, $H$3))),"")</f>
        <v/>
      </c>
      <c r="HJ15" s="87" t="str">
        <f>IFERROR(IF(OR($B15="",HJ$3=""),"",_xll.ciqfunctions.udf.CIQ($B15, "IQ_NI", $I$3, HJ$3,$J$3, ,$G$3,$H$3)*2/(_xll.ciqfunctions.udf.CIQ($B15,"IQ_TOTAL_ASSETS",HJ$3,$E$3, $J$3, , $G$3, $H$3)+_xll.ciqfunctions.udf.CIQ($B15,"IQ_TOTAL_ASSETS","IQ_" &amp; LEFT(HJ$3,2) &amp; "-1",HJ$3, $J$3, , $G$3, $H$3))),"")</f>
        <v/>
      </c>
      <c r="HK15" s="87" t="str">
        <f>IFERROR(IF(OR($B15="",HK$3=""),"",_xll.ciqfunctions.udf.CIQ($B15, "IQ_NI", $I$3, HK$3,$J$3, ,$G$3,$H$3)*2/(_xll.ciqfunctions.udf.CIQ($B15,"IQ_TOTAL_ASSETS",HK$3,$E$3, $J$3, , $G$3, $H$3)+_xll.ciqfunctions.udf.CIQ($B15,"IQ_TOTAL_ASSETS","IQ_" &amp; LEFT(HK$3,2) &amp; "-1",HK$3, $J$3, , $G$3, $H$3))),"")</f>
        <v/>
      </c>
      <c r="HL15" s="87" t="str">
        <f>IFERROR(IF(OR($B15="",HL$3=""),"",_xll.ciqfunctions.udf.CIQ($B15, "IQ_NI", $I$3, HL$3,$J$3, ,$G$3,$H$3)*2/(_xll.ciqfunctions.udf.CIQ($B15,"IQ_TOTAL_ASSETS",HL$3,$E$3, $J$3, , $G$3, $H$3)+_xll.ciqfunctions.udf.CIQ($B15,"IQ_TOTAL_ASSETS","IQ_" &amp; LEFT(HL$3,2) &amp; "-1",HL$3, $J$3, , $G$3, $H$3))),"")</f>
        <v/>
      </c>
      <c r="HM15" s="87" t="str">
        <f>IFERROR(IF(OR($B15="",HM$3=""),"",_xll.ciqfunctions.udf.CIQ($B15, "IQ_NI", $I$3, HM$3,$J$3, ,$G$3,$H$3)*2/(_xll.ciqfunctions.udf.CIQ($B15,"IQ_TOTAL_ASSETS",HM$3,$E$3, $J$3, , $G$3, $H$3)+_xll.ciqfunctions.udf.CIQ($B15,"IQ_TOTAL_ASSETS","IQ_" &amp; LEFT(HM$3,2) &amp; "-1",HM$3, $J$3, , $G$3, $H$3))),"")</f>
        <v/>
      </c>
      <c r="HN15" s="87" t="str">
        <f>IFERROR(IF(OR($B15="",HN$3=""),"",_xll.ciqfunctions.udf.CIQ($B15, "IQ_NI", $I$3, HN$3,$J$3, ,$G$3,$H$3)*2/(_xll.ciqfunctions.udf.CIQ($B15,"IQ_TOTAL_ASSETS",HN$3,$E$3, $J$3, , $G$3, $H$3)+_xll.ciqfunctions.udf.CIQ($B15,"IQ_TOTAL_ASSETS","IQ_" &amp; LEFT(HN$3,2) &amp; "-1",HN$3, $J$3, , $G$3, $H$3))),"")</f>
        <v/>
      </c>
      <c r="HO15" s="87" t="str">
        <f>IFERROR(IF(OR($B15="",HO$3=""),"",_xll.ciqfunctions.udf.CIQ($B15, "IQ_NI", $I$3, HO$3,$J$3, ,$G$3,$H$3)*2/(_xll.ciqfunctions.udf.CIQ($B15,"IQ_TOTAL_ASSETS",HO$3,$E$3, $J$3, , $G$3, $H$3)+_xll.ciqfunctions.udf.CIQ($B15,"IQ_TOTAL_ASSETS","IQ_" &amp; LEFT(HO$3,2) &amp; "-1",HO$3, $J$3, , $G$3, $H$3))),"")</f>
        <v/>
      </c>
      <c r="HP15" s="87" t="str">
        <f>IFERROR(IF(OR($B15="",HP$3=""),"",_xll.ciqfunctions.udf.CIQ($B15, "IQ_NI", $I$3, HP$3,$J$3, ,$G$3,$H$3)*2/(_xll.ciqfunctions.udf.CIQ($B15,"IQ_TOTAL_ASSETS",HP$3,$E$3, $J$3, , $G$3, $H$3)+_xll.ciqfunctions.udf.CIQ($B15,"IQ_TOTAL_ASSETS","IQ_" &amp; LEFT(HP$3,2) &amp; "-1",HP$3, $J$3, , $G$3, $H$3))),"")</f>
        <v/>
      </c>
      <c r="HQ15" s="87" t="str">
        <f>IFERROR(IF(OR($B15="",HQ$3=""),"",_xll.ciqfunctions.udf.CIQ($B15, "IQ_NI", $I$3, HQ$3,$J$3, ,$G$3,$H$3)*2/(_xll.ciqfunctions.udf.CIQ($B15,"IQ_TOTAL_ASSETS",HQ$3,$E$3, $J$3, , $G$3, $H$3)+_xll.ciqfunctions.udf.CIQ($B15,"IQ_TOTAL_ASSETS","IQ_" &amp; LEFT(HQ$3,2) &amp; "-1",HQ$3, $J$3, , $G$3, $H$3))),"")</f>
        <v/>
      </c>
      <c r="HR15" s="87" t="str">
        <f>IFERROR(IF(OR($B15="",HR$3=""),"",_xll.ciqfunctions.udf.CIQ($B15, "IQ_NI", $I$3, HR$3,$J$3, ,$G$3,$H$3)*2/(_xll.ciqfunctions.udf.CIQ($B15,"IQ_TOTAL_ASSETS",HR$3,$E$3, $J$3, , $G$3, $H$3)+_xll.ciqfunctions.udf.CIQ($B15,"IQ_TOTAL_ASSETS","IQ_" &amp; LEFT(HR$3,2) &amp; "-1",HR$3, $J$3, , $G$3, $H$3))),"")</f>
        <v/>
      </c>
      <c r="HS15" s="87" t="str">
        <f>IFERROR(IF(OR($B15="",HS$3=""),"",_xll.ciqfunctions.udf.CIQ($B15, "IQ_NI", $I$3, HS$3,$J$3, ,$G$3,$H$3)*2/(_xll.ciqfunctions.udf.CIQ($B15,"IQ_TOTAL_ASSETS",HS$3,$E$3, $J$3, , $G$3, $H$3)+_xll.ciqfunctions.udf.CIQ($B15,"IQ_TOTAL_ASSETS","IQ_" &amp; LEFT(HS$3,2) &amp; "-1",HS$3, $J$3, , $G$3, $H$3))),"")</f>
        <v/>
      </c>
      <c r="HT15" s="87" t="str">
        <f>IFERROR(IF(OR($B15="",HT$3=""),"",_xll.ciqfunctions.udf.CIQ($B15, "IQ_NI", $I$3, HT$3,$J$3, ,$G$3,$H$3)*2/(_xll.ciqfunctions.udf.CIQ($B15,"IQ_TOTAL_ASSETS",HT$3,$E$3, $J$3, , $G$3, $H$3)+_xll.ciqfunctions.udf.CIQ($B15,"IQ_TOTAL_ASSETS","IQ_" &amp; LEFT(HT$3,2) &amp; "-1",HT$3, $J$3, , $G$3, $H$3))),"")</f>
        <v/>
      </c>
      <c r="HU15" s="87" t="str">
        <f>IFERROR(IF(OR($B15="",HU$3=""),"",_xll.ciqfunctions.udf.CIQ($B15, "IQ_NI", $I$3, HU$3,$J$3, ,$G$3,$H$3)*2/(_xll.ciqfunctions.udf.CIQ($B15,"IQ_TOTAL_ASSETS",HU$3,$E$3, $J$3, , $G$3, $H$3)+_xll.ciqfunctions.udf.CIQ($B15,"IQ_TOTAL_ASSETS","IQ_" &amp; LEFT(HU$3,2) &amp; "-1",HU$3, $J$3, , $G$3, $H$3))),"")</f>
        <v/>
      </c>
      <c r="HV15" s="88" t="str">
        <f>IFERROR(IF(OR($B15="",HV$3=""),"",_xll.ciqfunctions.udf.CIQ($B15, "IQ_NI", $I$3, HV$3,$J$3, ,$G$3,$H$3)*2/(_xll.ciqfunctions.udf.CIQ($B15,"IQ_TOTAL_ASSETS",HV$3,$E$3, $J$3, , $G$3, $H$3)+_xll.ciqfunctions.udf.CIQ($B15,"IQ_TOTAL_ASSETS","IQ_" &amp; LEFT(HV$3,2) &amp; "-1",HV$3, $J$3, , $G$3, $H$3))),"")</f>
        <v/>
      </c>
      <c r="HW15" s="86" t="str">
        <f>IFERROR(IF(OR($B15="",HW$3=""),"",_xll.ciqfunctions.udf.CIQ($B15,"IQ_CASH_OPER",HW$3,$E$3, $J$3, , $G$3, $H$3)/_xll.ciqfunctions.udf.CIQ($B15,"IQ_TOTAL_REV",HW$3,$E$3, $J$3, , $G$3, $H$3)),0)</f>
        <v/>
      </c>
      <c r="HX15" s="87" t="str">
        <f>IFERROR(IF(OR($B15="",HX$3=""),"",_xll.ciqfunctions.udf.CIQ($B15,"IQ_CASH_OPER",HX$3,$E$3, $J$3, , $G$3, $H$3)/_xll.ciqfunctions.udf.CIQ($B15,"IQ_TOTAL_REV",HX$3,$E$3, $J$3, , $G$3, $H$3)),0)</f>
        <v/>
      </c>
      <c r="HY15" s="87" t="str">
        <f>IFERROR(IF(OR($B15="",HY$3=""),"",_xll.ciqfunctions.udf.CIQ($B15,"IQ_CASH_OPER",HY$3,$E$3, $J$3, , $G$3, $H$3)/_xll.ciqfunctions.udf.CIQ($B15,"IQ_TOTAL_REV",HY$3,$E$3, $J$3, , $G$3, $H$3)),0)</f>
        <v/>
      </c>
      <c r="HZ15" s="87" t="str">
        <f>IFERROR(IF(OR($B15="",HZ$3=""),"",_xll.ciqfunctions.udf.CIQ($B15,"IQ_CASH_OPER",HZ$3,$E$3, $J$3, , $G$3, $H$3)/_xll.ciqfunctions.udf.CIQ($B15,"IQ_TOTAL_REV",HZ$3,$E$3, $J$3, , $G$3, $H$3)),0)</f>
        <v/>
      </c>
      <c r="IA15" s="87" t="str">
        <f>IFERROR(IF(OR($B15="",IA$3=""),"",_xll.ciqfunctions.udf.CIQ($B15,"IQ_CASH_OPER",IA$3,$E$3, $J$3, , $G$3, $H$3)/_xll.ciqfunctions.udf.CIQ($B15,"IQ_TOTAL_REV",IA$3,$E$3, $J$3, , $G$3, $H$3)),0)</f>
        <v/>
      </c>
      <c r="IB15" s="87" t="str">
        <f>IFERROR(IF(OR($B15="",IB$3=""),"",_xll.ciqfunctions.udf.CIQ($B15,"IQ_CASH_OPER",IB$3,$E$3, $J$3, , $G$3, $H$3)/_xll.ciqfunctions.udf.CIQ($B15,"IQ_TOTAL_REV",IB$3,$E$3, $J$3, , $G$3, $H$3)),0)</f>
        <v/>
      </c>
      <c r="IC15" s="87" t="str">
        <f>IFERROR(IF(OR($B15="",IC$3=""),"",_xll.ciqfunctions.udf.CIQ($B15,"IQ_CASH_OPER",IC$3,$E$3, $J$3, , $G$3, $H$3)/_xll.ciqfunctions.udf.CIQ($B15,"IQ_TOTAL_REV",IC$3,$E$3, $J$3, , $G$3, $H$3)),0)</f>
        <v/>
      </c>
      <c r="ID15" s="87" t="str">
        <f>IFERROR(IF(OR($B15="",ID$3=""),"",_xll.ciqfunctions.udf.CIQ($B15,"IQ_CASH_OPER",ID$3,$E$3, $J$3, , $G$3, $H$3)/_xll.ciqfunctions.udf.CIQ($B15,"IQ_TOTAL_REV",ID$3,$E$3, $J$3, , $G$3, $H$3)),0)</f>
        <v/>
      </c>
      <c r="IE15" s="87" t="str">
        <f>IFERROR(IF(OR($B15="",IE$3=""),"",_xll.ciqfunctions.udf.CIQ($B15,"IQ_CASH_OPER",IE$3,$E$3, $J$3, , $G$3, $H$3)/_xll.ciqfunctions.udf.CIQ($B15,"IQ_TOTAL_REV",IE$3,$E$3, $J$3, , $G$3, $H$3)),0)</f>
        <v/>
      </c>
      <c r="IF15" s="87" t="str">
        <f>IFERROR(IF(OR($B15="",IF$3=""),"",_xll.ciqfunctions.udf.CIQ($B15,"IQ_CASH_OPER",IF$3,$E$3, $J$3, , $G$3, $H$3)/_xll.ciqfunctions.udf.CIQ($B15,"IQ_TOTAL_REV",IF$3,$E$3, $J$3, , $G$3, $H$3)),0)</f>
        <v/>
      </c>
      <c r="IG15" s="87" t="str">
        <f>IFERROR(IF(OR($B15="",IG$3=""),"",_xll.ciqfunctions.udf.CIQ($B15,"IQ_CASH_OPER",IG$3,$E$3, $J$3, , $G$3, $H$3)/_xll.ciqfunctions.udf.CIQ($B15,"IQ_TOTAL_REV",IG$3,$E$3, $J$3, , $G$3, $H$3)),0)</f>
        <v/>
      </c>
      <c r="IH15" s="87" t="str">
        <f>IFERROR(IF(OR($B15="",IH$3=""),"",_xll.ciqfunctions.udf.CIQ($B15,"IQ_CASH_OPER",IH$3,$E$3, $J$3, , $G$3, $H$3)/_xll.ciqfunctions.udf.CIQ($B15,"IQ_TOTAL_REV",IH$3,$E$3, $J$3, , $G$3, $H$3)),0)</f>
        <v/>
      </c>
      <c r="II15" s="87" t="str">
        <f>IFERROR(IF(OR($B15="",II$3=""),"",_xll.ciqfunctions.udf.CIQ($B15,"IQ_CASH_OPER",II$3,$E$3, $J$3, , $G$3, $H$3)/_xll.ciqfunctions.udf.CIQ($B15,"IQ_TOTAL_REV",II$3,$E$3, $J$3, , $G$3, $H$3)),0)</f>
        <v/>
      </c>
      <c r="IJ15" s="87" t="str">
        <f>IFERROR(IF(OR($B15="",IJ$3=""),"",_xll.ciqfunctions.udf.CIQ($B15,"IQ_CASH_OPER",IJ$3,$E$3, $J$3, , $G$3, $H$3)/_xll.ciqfunctions.udf.CIQ($B15,"IQ_TOTAL_REV",IJ$3,$E$3, $J$3, , $G$3, $H$3)),0)</f>
        <v/>
      </c>
      <c r="IK15" s="87" t="str">
        <f>IFERROR(IF(OR($B15="",IK$3=""),"",_xll.ciqfunctions.udf.CIQ($B15,"IQ_CASH_OPER",IK$3,$E$3, $J$3, , $G$3, $H$3)/_xll.ciqfunctions.udf.CIQ($B15,"IQ_TOTAL_REV",IK$3,$E$3, $J$3, , $G$3, $H$3)),0)</f>
        <v/>
      </c>
      <c r="IL15" s="87" t="str">
        <f>IFERROR(IF(OR($B15="",IL$3=""),"",_xll.ciqfunctions.udf.CIQ($B15,"IQ_CASH_OPER",IL$3,$E$3, $J$3, , $G$3, $H$3)/_xll.ciqfunctions.udf.CIQ($B15,"IQ_TOTAL_REV",IL$3,$E$3, $J$3, , $G$3, $H$3)),0)</f>
        <v/>
      </c>
      <c r="IM15" s="87" t="str">
        <f>IFERROR(IF(OR($B15="",IM$3=""),"",_xll.ciqfunctions.udf.CIQ($B15,"IQ_CASH_OPER",IM$3,$E$3, $J$3, , $G$3, $H$3)/_xll.ciqfunctions.udf.CIQ($B15,"IQ_TOTAL_REV",IM$3,$E$3, $J$3, , $G$3, $H$3)),0)</f>
        <v/>
      </c>
      <c r="IN15" s="87" t="str">
        <f>IFERROR(IF(OR($B15="",IN$3=""),"",_xll.ciqfunctions.udf.CIQ($B15,"IQ_CASH_OPER",IN$3,$E$3, $J$3, , $G$3, $H$3)/_xll.ciqfunctions.udf.CIQ($B15,"IQ_TOTAL_REV",IN$3,$E$3, $J$3, , $G$3, $H$3)),0)</f>
        <v/>
      </c>
      <c r="IO15" s="87" t="str">
        <f>IFERROR(IF(OR($B15="",IO$3=""),"",_xll.ciqfunctions.udf.CIQ($B15,"IQ_CASH_OPER",IO$3,$E$3, $J$3, , $G$3, $H$3)/_xll.ciqfunctions.udf.CIQ($B15,"IQ_TOTAL_REV",IO$3,$E$3, $J$3, , $G$3, $H$3)),0)</f>
        <v/>
      </c>
      <c r="IP15" s="88" t="str">
        <f>IFERROR(IF(OR($B15="",IP$3=""),"",_xll.ciqfunctions.udf.CIQ($B15,"IQ_CASH_OPER",IP$3,$E$3, $J$3, , $G$3, $H$3)/_xll.ciqfunctions.udf.CIQ($B15,"IQ_TOTAL_REV",IP$3,$E$3, $J$3, , $G$3, $H$3)),0)</f>
        <v/>
      </c>
      <c r="IQ15" s="348" t="str">
        <f>IFERROR(IF(OR(IQ$3="",$B15=""),"",_xll.ciqfunctions.udf.CIQ($B15,"IQ_TOTAL_ASSETS",IQ$3,$E$3, $J$3, , $G$3, $H$3)/_xll.ciqfunctions.udf.CIQ($B15,"IQ_TOTAL_COMMON_EQUITY",IQ$3,$E$3, $J$3, , $G$3, $H$3)),0)</f>
        <v/>
      </c>
      <c r="IR15" s="349" t="str">
        <f>IFERROR(IF(OR(IR$3="",$B15=""),"",_xll.ciqfunctions.udf.CIQ($B15,"IQ_TOTAL_ASSETS",IR$3,$E$3, $J$3, , $G$3, $H$3)/_xll.ciqfunctions.udf.CIQ($B15,"IQ_TOTAL_COMMON_EQUITY",IR$3,$E$3, $J$3, , $G$3, $H$3)),0)</f>
        <v/>
      </c>
      <c r="IS15" s="349" t="str">
        <f>IFERROR(IF(OR(IS$3="",$B15=""),"",_xll.ciqfunctions.udf.CIQ($B15,"IQ_TOTAL_ASSETS",IS$3,$E$3, $J$3, , $G$3, $H$3)/_xll.ciqfunctions.udf.CIQ($B15,"IQ_TOTAL_COMMON_EQUITY",IS$3,$E$3, $J$3, , $G$3, $H$3)),0)</f>
        <v/>
      </c>
      <c r="IT15" s="349" t="str">
        <f>IFERROR(IF(OR(IT$3="",$B15=""),"",_xll.ciqfunctions.udf.CIQ($B15,"IQ_TOTAL_ASSETS",IT$3,$E$3, $J$3, , $G$3, $H$3)/_xll.ciqfunctions.udf.CIQ($B15,"IQ_TOTAL_COMMON_EQUITY",IT$3,$E$3, $J$3, , $G$3, $H$3)),0)</f>
        <v/>
      </c>
      <c r="IU15" s="349" t="str">
        <f>IFERROR(IF(OR(IU$3="",$B15=""),"",_xll.ciqfunctions.udf.CIQ($B15,"IQ_TOTAL_ASSETS",IU$3,$E$3, $J$3, , $G$3, $H$3)/_xll.ciqfunctions.udf.CIQ($B15,"IQ_TOTAL_COMMON_EQUITY",IU$3,$E$3, $J$3, , $G$3, $H$3)),0)</f>
        <v/>
      </c>
      <c r="IV15" s="349" t="str">
        <f>IFERROR(IF(OR(IV$3="",$B15=""),"",_xll.ciqfunctions.udf.CIQ($B15,"IQ_TOTAL_ASSETS",IV$3,$E$3, $J$3, , $G$3, $H$3)/_xll.ciqfunctions.udf.CIQ($B15,"IQ_TOTAL_COMMON_EQUITY",IV$3,$E$3, $J$3, , $G$3, $H$3)),0)</f>
        <v/>
      </c>
      <c r="IW15" s="349" t="str">
        <f>IFERROR(IF(OR(IW$3="",$B15=""),"",_xll.ciqfunctions.udf.CIQ($B15,"IQ_TOTAL_ASSETS",IW$3,$E$3, $J$3, , $G$3, $H$3)/_xll.ciqfunctions.udf.CIQ($B15,"IQ_TOTAL_COMMON_EQUITY",IW$3,$E$3, $J$3, , $G$3, $H$3)),0)</f>
        <v/>
      </c>
      <c r="IX15" s="349" t="str">
        <f>IFERROR(IF(OR(IX$3="",$B15=""),"",_xll.ciqfunctions.udf.CIQ($B15,"IQ_TOTAL_ASSETS",IX$3,$E$3, $J$3, , $G$3, $H$3)/_xll.ciqfunctions.udf.CIQ($B15,"IQ_TOTAL_COMMON_EQUITY",IX$3,$E$3, $J$3, , $G$3, $H$3)),0)</f>
        <v/>
      </c>
      <c r="IY15" s="349" t="str">
        <f>IFERROR(IF(OR(IY$3="",$B15=""),"",_xll.ciqfunctions.udf.CIQ($B15,"IQ_TOTAL_ASSETS",IY$3,$E$3, $J$3, , $G$3, $H$3)/_xll.ciqfunctions.udf.CIQ($B15,"IQ_TOTAL_COMMON_EQUITY",IY$3,$E$3, $J$3, , $G$3, $H$3)),0)</f>
        <v/>
      </c>
      <c r="IZ15" s="349" t="str">
        <f>IFERROR(IF(OR(IZ$3="",$B15=""),"",_xll.ciqfunctions.udf.CIQ($B15,"IQ_TOTAL_ASSETS",IZ$3,$E$3, $J$3, , $G$3, $H$3)/_xll.ciqfunctions.udf.CIQ($B15,"IQ_TOTAL_COMMON_EQUITY",IZ$3,$E$3, $J$3, , $G$3, $H$3)),0)</f>
        <v/>
      </c>
      <c r="JA15" s="349" t="str">
        <f>IFERROR(IF(OR(JA$3="",$B15=""),"",_xll.ciqfunctions.udf.CIQ($B15,"IQ_TOTAL_ASSETS",JA$3,$E$3, $J$3, , $G$3, $H$3)/_xll.ciqfunctions.udf.CIQ($B15,"IQ_TOTAL_COMMON_EQUITY",JA$3,$E$3, $J$3, , $G$3, $H$3)),0)</f>
        <v/>
      </c>
      <c r="JB15" s="349" t="str">
        <f>IFERROR(IF(OR(JB$3="",$B15=""),"",_xll.ciqfunctions.udf.CIQ($B15,"IQ_TOTAL_ASSETS",JB$3,$E$3, $J$3, , $G$3, $H$3)/_xll.ciqfunctions.udf.CIQ($B15,"IQ_TOTAL_COMMON_EQUITY",JB$3,$E$3, $J$3, , $G$3, $H$3)),0)</f>
        <v/>
      </c>
      <c r="JC15" s="349" t="str">
        <f>IFERROR(IF(OR(JC$3="",$B15=""),"",_xll.ciqfunctions.udf.CIQ($B15,"IQ_TOTAL_ASSETS",JC$3,$E$3, $J$3, , $G$3, $H$3)/_xll.ciqfunctions.udf.CIQ($B15,"IQ_TOTAL_COMMON_EQUITY",JC$3,$E$3, $J$3, , $G$3, $H$3)),0)</f>
        <v/>
      </c>
      <c r="JD15" s="349" t="str">
        <f>IFERROR(IF(OR(JD$3="",$B15=""),"",_xll.ciqfunctions.udf.CIQ($B15,"IQ_TOTAL_ASSETS",JD$3,$E$3, $J$3, , $G$3, $H$3)/_xll.ciqfunctions.udf.CIQ($B15,"IQ_TOTAL_COMMON_EQUITY",JD$3,$E$3, $J$3, , $G$3, $H$3)),0)</f>
        <v/>
      </c>
      <c r="JE15" s="349" t="str">
        <f>IFERROR(IF(OR(JE$3="",$B15=""),"",_xll.ciqfunctions.udf.CIQ($B15,"IQ_TOTAL_ASSETS",JE$3,$E$3, $J$3, , $G$3, $H$3)/_xll.ciqfunctions.udf.CIQ($B15,"IQ_TOTAL_COMMON_EQUITY",JE$3,$E$3, $J$3, , $G$3, $H$3)),0)</f>
        <v/>
      </c>
      <c r="JF15" s="349" t="str">
        <f>IFERROR(IF(OR(JF$3="",$B15=""),"",_xll.ciqfunctions.udf.CIQ($B15,"IQ_TOTAL_ASSETS",JF$3,$E$3, $J$3, , $G$3, $H$3)/_xll.ciqfunctions.udf.CIQ($B15,"IQ_TOTAL_COMMON_EQUITY",JF$3,$E$3, $J$3, , $G$3, $H$3)),0)</f>
        <v/>
      </c>
      <c r="JG15" s="349" t="str">
        <f>IFERROR(IF(OR(JG$3="",$B15=""),"",_xll.ciqfunctions.udf.CIQ($B15,"IQ_TOTAL_ASSETS",JG$3,$E$3, $J$3, , $G$3, $H$3)/_xll.ciqfunctions.udf.CIQ($B15,"IQ_TOTAL_COMMON_EQUITY",JG$3,$E$3, $J$3, , $G$3, $H$3)),0)</f>
        <v/>
      </c>
      <c r="JH15" s="349" t="str">
        <f>IFERROR(IF(OR(JH$3="",$B15=""),"",_xll.ciqfunctions.udf.CIQ($B15,"IQ_TOTAL_ASSETS",JH$3,$E$3, $J$3, , $G$3, $H$3)/_xll.ciqfunctions.udf.CIQ($B15,"IQ_TOTAL_COMMON_EQUITY",JH$3,$E$3, $J$3, , $G$3, $H$3)),0)</f>
        <v/>
      </c>
      <c r="JI15" s="349" t="str">
        <f>IFERROR(IF(OR(JI$3="",$B15=""),"",_xll.ciqfunctions.udf.CIQ($B15,"IQ_TOTAL_ASSETS",JI$3,$E$3, $J$3, , $G$3, $H$3)/_xll.ciqfunctions.udf.CIQ($B15,"IQ_TOTAL_COMMON_EQUITY",JI$3,$E$3, $J$3, , $G$3, $H$3)),0)</f>
        <v/>
      </c>
      <c r="JJ15" s="350" t="str">
        <f>IFERROR(IF(OR(JJ$3="",$B15=""),"",_xll.ciqfunctions.udf.CIQ($B15,"IQ_TOTAL_ASSETS",JJ$3,$E$3, $J$3, , $G$3, $H$3)/_xll.ciqfunctions.udf.CIQ($B15,"IQ_TOTAL_COMMON_EQUITY",JJ$3,$E$3, $J$3, , $G$3, $H$3)),0)</f>
        <v/>
      </c>
      <c r="JK15" s="86" t="str">
        <f>IFERROR(IF(OR($B15="",JK$3=""),"",_xll.ciqfunctions.udf.CIQ($B15, "IQ_NI", $I$3, HC$3,$J$3, ,$G$3,$H$3)*2/(_xll.ciqfunctions.udf.CIQ($B15,"IQ_TOTAL_EQUITY",JK$3,$E$3, $J$3, , $G$3, $H$3)+_xll.ciqfunctions.udf.CIQ($B15,"IQ_TOTAL_EQUITY","IQ_" &amp; LEFT(JK$3,2) &amp; "-1",JK$3, $J$3, , $G$3, $H$3))),"")</f>
        <v/>
      </c>
      <c r="JL15" s="87" t="str">
        <f>IFERROR(IF(OR($B15="",JL$3=""),"",_xll.ciqfunctions.udf.CIQ($B15, "IQ_NI", $I$3, HD$3,$J$3, ,$G$3,$H$3)*2/(_xll.ciqfunctions.udf.CIQ($B15,"IQ_TOTAL_EQUITY",JL$3,$E$3, $J$3, , $G$3, $H$3)+_xll.ciqfunctions.udf.CIQ($B15,"IQ_TOTAL_EQUITY","IQ_" &amp; LEFT(JL$3,2) &amp; "-1",JL$3, $J$3, , $G$3, $H$3))),"")</f>
        <v/>
      </c>
      <c r="JM15" s="87" t="str">
        <f>IFERROR(IF(OR($B15="",JM$3=""),"",_xll.ciqfunctions.udf.CIQ($B15, "IQ_NI", $I$3, HE$3,$J$3, ,$G$3,$H$3)*2/(_xll.ciqfunctions.udf.CIQ($B15,"IQ_TOTAL_EQUITY",JM$3,$E$3, $J$3, , $G$3, $H$3)+_xll.ciqfunctions.udf.CIQ($B15,"IQ_TOTAL_EQUITY","IQ_" &amp; LEFT(JM$3,2) &amp; "-1",JM$3, $J$3, , $G$3, $H$3))),"")</f>
        <v/>
      </c>
      <c r="JN15" s="87" t="str">
        <f>IFERROR(IF(OR($B15="",JN$3=""),"",_xll.ciqfunctions.udf.CIQ($B15, "IQ_NI", $I$3, HF$3,$J$3, ,$G$3,$H$3)*2/(_xll.ciqfunctions.udf.CIQ($B15,"IQ_TOTAL_EQUITY",JN$3,$E$3, $J$3, , $G$3, $H$3)+_xll.ciqfunctions.udf.CIQ($B15,"IQ_TOTAL_EQUITY","IQ_" &amp; LEFT(JN$3,2) &amp; "-1",JN$3, $J$3, , $G$3, $H$3))),"")</f>
        <v/>
      </c>
      <c r="JO15" s="87" t="str">
        <f>IFERROR(IF(OR($B15="",JO$3=""),"",_xll.ciqfunctions.udf.CIQ($B15, "IQ_NI", $I$3, HG$3,$J$3, ,$G$3,$H$3)*2/(_xll.ciqfunctions.udf.CIQ($B15,"IQ_TOTAL_EQUITY",JO$3,$E$3, $J$3, , $G$3, $H$3)+_xll.ciqfunctions.udf.CIQ($B15,"IQ_TOTAL_EQUITY","IQ_" &amp; LEFT(JO$3,2) &amp; "-1",JO$3, $J$3, , $G$3, $H$3))),"")</f>
        <v/>
      </c>
      <c r="JP15" s="87" t="str">
        <f>IFERROR(IF(OR($B15="",JP$3=""),"",_xll.ciqfunctions.udf.CIQ($B15, "IQ_NI", $I$3, HH$3,$J$3, ,$G$3,$H$3)*2/(_xll.ciqfunctions.udf.CIQ($B15,"IQ_TOTAL_EQUITY",JP$3,$E$3, $J$3, , $G$3, $H$3)+_xll.ciqfunctions.udf.CIQ($B15,"IQ_TOTAL_EQUITY","IQ_" &amp; LEFT(JP$3,2) &amp; "-1",JP$3, $J$3, , $G$3, $H$3))),"")</f>
        <v/>
      </c>
      <c r="JQ15" s="87" t="str">
        <f>IFERROR(IF(OR($B15="",JQ$3=""),"",_xll.ciqfunctions.udf.CIQ($B15, "IQ_NI", $I$3, HI$3,$J$3, ,$G$3,$H$3)*2/(_xll.ciqfunctions.udf.CIQ($B15,"IQ_TOTAL_EQUITY",JQ$3,$E$3, $J$3, , $G$3, $H$3)+_xll.ciqfunctions.udf.CIQ($B15,"IQ_TOTAL_EQUITY","IQ_" &amp; LEFT(JQ$3,2) &amp; "-1",JQ$3, $J$3, , $G$3, $H$3))),"")</f>
        <v/>
      </c>
      <c r="JR15" s="87" t="str">
        <f>IFERROR(IF(OR($B15="",JR$3=""),"",_xll.ciqfunctions.udf.CIQ($B15, "IQ_NI", $I$3, HJ$3,$J$3, ,$G$3,$H$3)*2/(_xll.ciqfunctions.udf.CIQ($B15,"IQ_TOTAL_EQUITY",JR$3,$E$3, $J$3, , $G$3, $H$3)+_xll.ciqfunctions.udf.CIQ($B15,"IQ_TOTAL_EQUITY","IQ_" &amp; LEFT(JR$3,2) &amp; "-1",JR$3, $J$3, , $G$3, $H$3))),"")</f>
        <v/>
      </c>
      <c r="JS15" s="87" t="str">
        <f>IFERROR(IF(OR($B15="",JS$3=""),"",_xll.ciqfunctions.udf.CIQ($B15, "IQ_NI", $I$3, HK$3,$J$3, ,$G$3,$H$3)*2/(_xll.ciqfunctions.udf.CIQ($B15,"IQ_TOTAL_EQUITY",JS$3,$E$3, $J$3, , $G$3, $H$3)+_xll.ciqfunctions.udf.CIQ($B15,"IQ_TOTAL_EQUITY","IQ_" &amp; LEFT(JS$3,2) &amp; "-1",JS$3, $J$3, , $G$3, $H$3))),"")</f>
        <v/>
      </c>
      <c r="JT15" s="87" t="str">
        <f>IFERROR(IF(OR($B15="",JT$3=""),"",_xll.ciqfunctions.udf.CIQ($B15, "IQ_NI", $I$3, HL$3,$J$3, ,$G$3,$H$3)*2/(_xll.ciqfunctions.udf.CIQ($B15,"IQ_TOTAL_EQUITY",JT$3,$E$3, $J$3, , $G$3, $H$3)+_xll.ciqfunctions.udf.CIQ($B15,"IQ_TOTAL_EQUITY","IQ_" &amp; LEFT(JT$3,2) &amp; "-1",JT$3, $J$3, , $G$3, $H$3))),"")</f>
        <v/>
      </c>
      <c r="JU15" s="87" t="str">
        <f>IFERROR(IF(OR($B15="",JU$3=""),"",_xll.ciqfunctions.udf.CIQ($B15, "IQ_NI", $I$3, HM$3,$J$3, ,$G$3,$H$3)*2/(_xll.ciqfunctions.udf.CIQ($B15,"IQ_TOTAL_EQUITY",JU$3,$E$3, $J$3, , $G$3, $H$3)+_xll.ciqfunctions.udf.CIQ($B15,"IQ_TOTAL_EQUITY","IQ_" &amp; LEFT(JU$3,2) &amp; "-1",JU$3, $J$3, , $G$3, $H$3))),"")</f>
        <v/>
      </c>
      <c r="JV15" s="87" t="str">
        <f>IFERROR(IF(OR($B15="",JV$3=""),"",_xll.ciqfunctions.udf.CIQ($B15, "IQ_NI", $I$3, HN$3,$J$3, ,$G$3,$H$3)*2/(_xll.ciqfunctions.udf.CIQ($B15,"IQ_TOTAL_EQUITY",JV$3,$E$3, $J$3, , $G$3, $H$3)+_xll.ciqfunctions.udf.CIQ($B15,"IQ_TOTAL_EQUITY","IQ_" &amp; LEFT(JV$3,2) &amp; "-1",JV$3, $J$3, , $G$3, $H$3))),"")</f>
        <v/>
      </c>
      <c r="JW15" s="87" t="str">
        <f>IFERROR(IF(OR($B15="",JW$3=""),"",_xll.ciqfunctions.udf.CIQ($B15, "IQ_NI", $I$3, HO$3,$J$3, ,$G$3,$H$3)*2/(_xll.ciqfunctions.udf.CIQ($B15,"IQ_TOTAL_EQUITY",JW$3,$E$3, $J$3, , $G$3, $H$3)+_xll.ciqfunctions.udf.CIQ($B15,"IQ_TOTAL_EQUITY","IQ_" &amp; LEFT(JW$3,2) &amp; "-1",JW$3, $J$3, , $G$3, $H$3))),"")</f>
        <v/>
      </c>
      <c r="JX15" s="87" t="str">
        <f>IFERROR(IF(OR($B15="",JX$3=""),"",_xll.ciqfunctions.udf.CIQ($B15, "IQ_NI", $I$3, HP$3,$J$3, ,$G$3,$H$3)*2/(_xll.ciqfunctions.udf.CIQ($B15,"IQ_TOTAL_EQUITY",JX$3,$E$3, $J$3, , $G$3, $H$3)+_xll.ciqfunctions.udf.CIQ($B15,"IQ_TOTAL_EQUITY","IQ_" &amp; LEFT(JX$3,2) &amp; "-1",JX$3, $J$3, , $G$3, $H$3))),"")</f>
        <v/>
      </c>
      <c r="JY15" s="87" t="str">
        <f>IFERROR(IF(OR($B15="",JY$3=""),"",_xll.ciqfunctions.udf.CIQ($B15, "IQ_NI", $I$3, HQ$3,$J$3, ,$G$3,$H$3)*2/(_xll.ciqfunctions.udf.CIQ($B15,"IQ_TOTAL_EQUITY",JY$3,$E$3, $J$3, , $G$3, $H$3)+_xll.ciqfunctions.udf.CIQ($B15,"IQ_TOTAL_EQUITY","IQ_" &amp; LEFT(JY$3,2) &amp; "-1",JY$3, $J$3, , $G$3, $H$3))),"")</f>
        <v/>
      </c>
      <c r="JZ15" s="87" t="str">
        <f>IFERROR(IF(OR($B15="",JZ$3=""),"",_xll.ciqfunctions.udf.CIQ($B15, "IQ_NI", $I$3, HR$3,$J$3, ,$G$3,$H$3)*2/(_xll.ciqfunctions.udf.CIQ($B15,"IQ_TOTAL_EQUITY",JZ$3,$E$3, $J$3, , $G$3, $H$3)+_xll.ciqfunctions.udf.CIQ($B15,"IQ_TOTAL_EQUITY","IQ_" &amp; LEFT(JZ$3,2) &amp; "-1",JZ$3, $J$3, , $G$3, $H$3))),"")</f>
        <v/>
      </c>
      <c r="KA15" s="87" t="str">
        <f>IFERROR(IF(OR($B15="",KA$3=""),"",_xll.ciqfunctions.udf.CIQ($B15, "IQ_NI", $I$3, HS$3,$J$3, ,$G$3,$H$3)*2/(_xll.ciqfunctions.udf.CIQ($B15,"IQ_TOTAL_EQUITY",KA$3,$E$3, $J$3, , $G$3, $H$3)+_xll.ciqfunctions.udf.CIQ($B15,"IQ_TOTAL_EQUITY","IQ_" &amp; LEFT(KA$3,2) &amp; "-1",KA$3, $J$3, , $G$3, $H$3))),"")</f>
        <v/>
      </c>
      <c r="KB15" s="87" t="str">
        <f>IFERROR(IF(OR($B15="",KB$3=""),"",_xll.ciqfunctions.udf.CIQ($B15, "IQ_NI", $I$3, HT$3,$J$3, ,$G$3,$H$3)*2/(_xll.ciqfunctions.udf.CIQ($B15,"IQ_TOTAL_EQUITY",KB$3,$E$3, $J$3, , $G$3, $H$3)+_xll.ciqfunctions.udf.CIQ($B15,"IQ_TOTAL_EQUITY","IQ_" &amp; LEFT(KB$3,2) &amp; "-1",KB$3, $J$3, , $G$3, $H$3))),"")</f>
        <v/>
      </c>
      <c r="KC15" s="87" t="str">
        <f>IFERROR(IF(OR($B15="",KC$3=""),"",_xll.ciqfunctions.udf.CIQ($B15, "IQ_NI", $I$3, HU$3,$J$3, ,$G$3,$H$3)*2/(_xll.ciqfunctions.udf.CIQ($B15,"IQ_TOTAL_EQUITY",KC$3,$E$3, $J$3, , $G$3, $H$3)+_xll.ciqfunctions.udf.CIQ($B15,"IQ_TOTAL_EQUITY","IQ_" &amp; LEFT(KC$3,2) &amp; "-1",KC$3, $J$3, , $G$3, $H$3))),"")</f>
        <v/>
      </c>
      <c r="KD15" s="88" t="str">
        <f>IFERROR(IF(OR($B15="",KD$3=""),"",_xll.ciqfunctions.udf.CIQ($B15, "IQ_NI", $I$3, HV$3,$J$3, ,$G$3,$H$3)*2/(_xll.ciqfunctions.udf.CIQ($B15,"IQ_TOTAL_EQUITY",KD$3,$E$3, $J$3, , $G$3, $H$3)+_xll.ciqfunctions.udf.CIQ($B15,"IQ_TOTAL_EQUITY","IQ_" &amp; LEFT(KD$3,2) &amp; "-1",KD$3, $J$3, , $G$3, $H$3))),"")</f>
        <v/>
      </c>
      <c r="KE15" s="86" t="str">
        <f>IFERROR(IF(OR($B15="",KE$3=""),"",_xll.ciqfunctions.udf.CIQ($B15, "IQ_NI", $I$3, KE$3,$J$3, ,$G$3,$H$3)*2/(_xll.ciqfunctions.udf.CIQ($B15, "IQ_TOTAL_ASSETS", $I$3, KE$3,$J$3, ,$G$3,$H$3)+_xll.ciqfunctions.udf.CIQ($B15, "IQ_TOTAL_ASSETS", $I$3 &amp; "-1", KE$3,$J$3, ,$G$3,$H$3)-_xll.ciqfunctions.udf.CIQ($B15, "IQ_TOTAL_CL", $I$3, KE$3,$J$3, ,$G$3,$H$3)-_xll.ciqfunctions.udf.CIQ($B15, "IQ_TOTAL_CL", $I$3 &amp; "-1", KE$3,$J$3, ,$G$3,$H$3))),"")</f>
        <v/>
      </c>
      <c r="KF15" s="87" t="str">
        <f>IFERROR(IF(OR($B15="",KF$3=""),"",_xll.ciqfunctions.udf.CIQ($B15, "IQ_NI", $I$3, KF$3,$J$3, ,$G$3,$H$3)*2/(_xll.ciqfunctions.udf.CIQ($B15, "IQ_TOTAL_ASSETS", $I$3, KF$3,$J$3, ,$G$3,$H$3)+_xll.ciqfunctions.udf.CIQ($B15, "IQ_TOTAL_ASSETS", $I$3 &amp; "-1", KF$3,$J$3, ,$G$3,$H$3)-_xll.ciqfunctions.udf.CIQ($B15, "IQ_TOTAL_CL", $I$3, KF$3,$J$3, ,$G$3,$H$3)-_xll.ciqfunctions.udf.CIQ($B15, "IQ_TOTAL_CL", $I$3 &amp; "-1", KF$3,$J$3, ,$G$3,$H$3))),"")</f>
        <v/>
      </c>
      <c r="KG15" s="87" t="str">
        <f>IFERROR(IF(OR($B15="",KG$3=""),"",_xll.ciqfunctions.udf.CIQ($B15, "IQ_NI", $I$3, KG$3,$J$3, ,$G$3,$H$3)*2/(_xll.ciqfunctions.udf.CIQ($B15, "IQ_TOTAL_ASSETS", $I$3, KG$3,$J$3, ,$G$3,$H$3)+_xll.ciqfunctions.udf.CIQ($B15, "IQ_TOTAL_ASSETS", $I$3 &amp; "-1", KG$3,$J$3, ,$G$3,$H$3)-_xll.ciqfunctions.udf.CIQ($B15, "IQ_TOTAL_CL", $I$3, KG$3,$J$3, ,$G$3,$H$3)-_xll.ciqfunctions.udf.CIQ($B15, "IQ_TOTAL_CL", $I$3 &amp; "-1", KG$3,$J$3, ,$G$3,$H$3))),"")</f>
        <v/>
      </c>
      <c r="KH15" s="87" t="str">
        <f>IFERROR(IF(OR($B15="",KH$3=""),"",_xll.ciqfunctions.udf.CIQ($B15, "IQ_NI", $I$3, KH$3,$J$3, ,$G$3,$H$3)*2/(_xll.ciqfunctions.udf.CIQ($B15, "IQ_TOTAL_ASSETS", $I$3, KH$3,$J$3, ,$G$3,$H$3)+_xll.ciqfunctions.udf.CIQ($B15, "IQ_TOTAL_ASSETS", $I$3 &amp; "-1", KH$3,$J$3, ,$G$3,$H$3)-_xll.ciqfunctions.udf.CIQ($B15, "IQ_TOTAL_CL", $I$3, KH$3,$J$3, ,$G$3,$H$3)-_xll.ciqfunctions.udf.CIQ($B15, "IQ_TOTAL_CL", $I$3 &amp; "-1", KH$3,$J$3, ,$G$3,$H$3))),"")</f>
        <v/>
      </c>
      <c r="KI15" s="87" t="str">
        <f>IFERROR(IF(OR($B15="",KI$3=""),"",_xll.ciqfunctions.udf.CIQ($B15, "IQ_NI", $I$3, KI$3,$J$3, ,$G$3,$H$3)*2/(_xll.ciqfunctions.udf.CIQ($B15, "IQ_TOTAL_ASSETS", $I$3, KI$3,$J$3, ,$G$3,$H$3)+_xll.ciqfunctions.udf.CIQ($B15, "IQ_TOTAL_ASSETS", $I$3 &amp; "-1", KI$3,$J$3, ,$G$3,$H$3)-_xll.ciqfunctions.udf.CIQ($B15, "IQ_TOTAL_CL", $I$3, KI$3,$J$3, ,$G$3,$H$3)-_xll.ciqfunctions.udf.CIQ($B15, "IQ_TOTAL_CL", $I$3 &amp; "-1", KI$3,$J$3, ,$G$3,$H$3))),"")</f>
        <v/>
      </c>
      <c r="KJ15" s="87" t="str">
        <f>IFERROR(IF(OR($B15="",KJ$3=""),"",_xll.ciqfunctions.udf.CIQ($B15, "IQ_NI", $I$3, KJ$3,$J$3, ,$G$3,$H$3)*2/(_xll.ciqfunctions.udf.CIQ($B15, "IQ_TOTAL_ASSETS", $I$3, KJ$3,$J$3, ,$G$3,$H$3)+_xll.ciqfunctions.udf.CIQ($B15, "IQ_TOTAL_ASSETS", $I$3 &amp; "-1", KJ$3,$J$3, ,$G$3,$H$3)-_xll.ciqfunctions.udf.CIQ($B15, "IQ_TOTAL_CL", $I$3, KJ$3,$J$3, ,$G$3,$H$3)-_xll.ciqfunctions.udf.CIQ($B15, "IQ_TOTAL_CL", $I$3 &amp; "-1", KJ$3,$J$3, ,$G$3,$H$3))),"")</f>
        <v/>
      </c>
      <c r="KK15" s="87" t="str">
        <f>IFERROR(IF(OR($B15="",KK$3=""),"",_xll.ciqfunctions.udf.CIQ($B15, "IQ_NI", $I$3, KK$3,$J$3, ,$G$3,$H$3)*2/(_xll.ciqfunctions.udf.CIQ($B15, "IQ_TOTAL_ASSETS", $I$3, KK$3,$J$3, ,$G$3,$H$3)+_xll.ciqfunctions.udf.CIQ($B15, "IQ_TOTAL_ASSETS", $I$3 &amp; "-1", KK$3,$J$3, ,$G$3,$H$3)-_xll.ciqfunctions.udf.CIQ($B15, "IQ_TOTAL_CL", $I$3, KK$3,$J$3, ,$G$3,$H$3)-_xll.ciqfunctions.udf.CIQ($B15, "IQ_TOTAL_CL", $I$3 &amp; "-1", KK$3,$J$3, ,$G$3,$H$3))),"")</f>
        <v/>
      </c>
      <c r="KL15" s="87" t="str">
        <f>IFERROR(IF(OR($B15="",KL$3=""),"",_xll.ciqfunctions.udf.CIQ($B15, "IQ_NI", $I$3, KL$3,$J$3, ,$G$3,$H$3)*2/(_xll.ciqfunctions.udf.CIQ($B15, "IQ_TOTAL_ASSETS", $I$3, KL$3,$J$3, ,$G$3,$H$3)+_xll.ciqfunctions.udf.CIQ($B15, "IQ_TOTAL_ASSETS", $I$3 &amp; "-1", KL$3,$J$3, ,$G$3,$H$3)-_xll.ciqfunctions.udf.CIQ($B15, "IQ_TOTAL_CL", $I$3, KL$3,$J$3, ,$G$3,$H$3)-_xll.ciqfunctions.udf.CIQ($B15, "IQ_TOTAL_CL", $I$3 &amp; "-1", KL$3,$J$3, ,$G$3,$H$3))),"")</f>
        <v/>
      </c>
      <c r="KM15" s="87" t="str">
        <f>IFERROR(IF(OR($B15="",KM$3=""),"",_xll.ciqfunctions.udf.CIQ($B15, "IQ_NI", $I$3, KM$3,$J$3, ,$G$3,$H$3)*2/(_xll.ciqfunctions.udf.CIQ($B15, "IQ_TOTAL_ASSETS", $I$3, KM$3,$J$3, ,$G$3,$H$3)+_xll.ciqfunctions.udf.CIQ($B15, "IQ_TOTAL_ASSETS", $I$3 &amp; "-1", KM$3,$J$3, ,$G$3,$H$3)-_xll.ciqfunctions.udf.CIQ($B15, "IQ_TOTAL_CL", $I$3, KM$3,$J$3, ,$G$3,$H$3)-_xll.ciqfunctions.udf.CIQ($B15, "IQ_TOTAL_CL", $I$3 &amp; "-1", KM$3,$J$3, ,$G$3,$H$3))),"")</f>
        <v/>
      </c>
      <c r="KN15" s="87" t="str">
        <f>IFERROR(IF(OR($B15="",KN$3=""),"",_xll.ciqfunctions.udf.CIQ($B15, "IQ_NI", $I$3, KN$3,$J$3, ,$G$3,$H$3)*2/(_xll.ciqfunctions.udf.CIQ($B15, "IQ_TOTAL_ASSETS", $I$3, KN$3,$J$3, ,$G$3,$H$3)+_xll.ciqfunctions.udf.CIQ($B15, "IQ_TOTAL_ASSETS", $I$3 &amp; "-1", KN$3,$J$3, ,$G$3,$H$3)-_xll.ciqfunctions.udf.CIQ($B15, "IQ_TOTAL_CL", $I$3, KN$3,$J$3, ,$G$3,$H$3)-_xll.ciqfunctions.udf.CIQ($B15, "IQ_TOTAL_CL", $I$3 &amp; "-1", KN$3,$J$3, ,$G$3,$H$3))),"")</f>
        <v/>
      </c>
      <c r="KO15" s="87" t="str">
        <f>IFERROR(IF(OR($B15="",KO$3=""),"",_xll.ciqfunctions.udf.CIQ($B15, "IQ_NI", $I$3, KO$3,$J$3, ,$G$3,$H$3)*2/(_xll.ciqfunctions.udf.CIQ($B15, "IQ_TOTAL_ASSETS", $I$3, KO$3,$J$3, ,$G$3,$H$3)+_xll.ciqfunctions.udf.CIQ($B15, "IQ_TOTAL_ASSETS", $I$3 &amp; "-1", KO$3,$J$3, ,$G$3,$H$3)-_xll.ciqfunctions.udf.CIQ($B15, "IQ_TOTAL_CL", $I$3, KO$3,$J$3, ,$G$3,$H$3)-_xll.ciqfunctions.udf.CIQ($B15, "IQ_TOTAL_CL", $I$3 &amp; "-1", KO$3,$J$3, ,$G$3,$H$3))),"")</f>
        <v/>
      </c>
      <c r="KP15" s="87" t="str">
        <f>IFERROR(IF(OR($B15="",KP$3=""),"",_xll.ciqfunctions.udf.CIQ($B15, "IQ_NI", $I$3, KP$3,$J$3, ,$G$3,$H$3)*2/(_xll.ciqfunctions.udf.CIQ($B15, "IQ_TOTAL_ASSETS", $I$3, KP$3,$J$3, ,$G$3,$H$3)+_xll.ciqfunctions.udf.CIQ($B15, "IQ_TOTAL_ASSETS", $I$3 &amp; "-1", KP$3,$J$3, ,$G$3,$H$3)-_xll.ciqfunctions.udf.CIQ($B15, "IQ_TOTAL_CL", $I$3, KP$3,$J$3, ,$G$3,$H$3)-_xll.ciqfunctions.udf.CIQ($B15, "IQ_TOTAL_CL", $I$3 &amp; "-1", KP$3,$J$3, ,$G$3,$H$3))),"")</f>
        <v/>
      </c>
      <c r="KQ15" s="87" t="str">
        <f>IFERROR(IF(OR($B15="",KQ$3=""),"",_xll.ciqfunctions.udf.CIQ($B15, "IQ_NI", $I$3, KQ$3,$J$3, ,$G$3,$H$3)*2/(_xll.ciqfunctions.udf.CIQ($B15, "IQ_TOTAL_ASSETS", $I$3, KQ$3,$J$3, ,$G$3,$H$3)+_xll.ciqfunctions.udf.CIQ($B15, "IQ_TOTAL_ASSETS", $I$3 &amp; "-1", KQ$3,$J$3, ,$G$3,$H$3)-_xll.ciqfunctions.udf.CIQ($B15, "IQ_TOTAL_CL", $I$3, KQ$3,$J$3, ,$G$3,$H$3)-_xll.ciqfunctions.udf.CIQ($B15, "IQ_TOTAL_CL", $I$3 &amp; "-1", KQ$3,$J$3, ,$G$3,$H$3))),"")</f>
        <v/>
      </c>
      <c r="KR15" s="87" t="str">
        <f>IFERROR(IF(OR($B15="",KR$3=""),"",_xll.ciqfunctions.udf.CIQ($B15, "IQ_NI", $I$3, KR$3,$J$3, ,$G$3,$H$3)*2/(_xll.ciqfunctions.udf.CIQ($B15, "IQ_TOTAL_ASSETS", $I$3, KR$3,$J$3, ,$G$3,$H$3)+_xll.ciqfunctions.udf.CIQ($B15, "IQ_TOTAL_ASSETS", $I$3 &amp; "-1", KR$3,$J$3, ,$G$3,$H$3)-_xll.ciqfunctions.udf.CIQ($B15, "IQ_TOTAL_CL", $I$3, KR$3,$J$3, ,$G$3,$H$3)-_xll.ciqfunctions.udf.CIQ($B15, "IQ_TOTAL_CL", $I$3 &amp; "-1", KR$3,$J$3, ,$G$3,$H$3))),"")</f>
        <v/>
      </c>
      <c r="KS15" s="87" t="str">
        <f>IFERROR(IF(OR($B15="",KS$3=""),"",_xll.ciqfunctions.udf.CIQ($B15, "IQ_NI", $I$3, KS$3,$J$3, ,$G$3,$H$3)*2/(_xll.ciqfunctions.udf.CIQ($B15, "IQ_TOTAL_ASSETS", $I$3, KS$3,$J$3, ,$G$3,$H$3)+_xll.ciqfunctions.udf.CIQ($B15, "IQ_TOTAL_ASSETS", $I$3 &amp; "-1", KS$3,$J$3, ,$G$3,$H$3)-_xll.ciqfunctions.udf.CIQ($B15, "IQ_TOTAL_CL", $I$3, KS$3,$J$3, ,$G$3,$H$3)-_xll.ciqfunctions.udf.CIQ($B15, "IQ_TOTAL_CL", $I$3 &amp; "-1", KS$3,$J$3, ,$G$3,$H$3))),"")</f>
        <v/>
      </c>
      <c r="KT15" s="87" t="str">
        <f>IFERROR(IF(OR($B15="",KT$3=""),"",_xll.ciqfunctions.udf.CIQ($B15, "IQ_NI", $I$3, KT$3,$J$3, ,$G$3,$H$3)*2/(_xll.ciqfunctions.udf.CIQ($B15, "IQ_TOTAL_ASSETS", $I$3, KT$3,$J$3, ,$G$3,$H$3)+_xll.ciqfunctions.udf.CIQ($B15, "IQ_TOTAL_ASSETS", $I$3 &amp; "-1", KT$3,$J$3, ,$G$3,$H$3)-_xll.ciqfunctions.udf.CIQ($B15, "IQ_TOTAL_CL", $I$3, KT$3,$J$3, ,$G$3,$H$3)-_xll.ciqfunctions.udf.CIQ($B15, "IQ_TOTAL_CL", $I$3 &amp; "-1", KT$3,$J$3, ,$G$3,$H$3))),"")</f>
        <v/>
      </c>
      <c r="KU15" s="87" t="str">
        <f>IFERROR(IF(OR($B15="",KU$3=""),"",_xll.ciqfunctions.udf.CIQ($B15, "IQ_NI", $I$3, KU$3,$J$3, ,$G$3,$H$3)*2/(_xll.ciqfunctions.udf.CIQ($B15, "IQ_TOTAL_ASSETS", $I$3, KU$3,$J$3, ,$G$3,$H$3)+_xll.ciqfunctions.udf.CIQ($B15, "IQ_TOTAL_ASSETS", $I$3 &amp; "-1", KU$3,$J$3, ,$G$3,$H$3)-_xll.ciqfunctions.udf.CIQ($B15, "IQ_TOTAL_CL", $I$3, KU$3,$J$3, ,$G$3,$H$3)-_xll.ciqfunctions.udf.CIQ($B15, "IQ_TOTAL_CL", $I$3 &amp; "-1", KU$3,$J$3, ,$G$3,$H$3))),"")</f>
        <v/>
      </c>
      <c r="KV15" s="87" t="str">
        <f>IFERROR(IF(OR($B15="",KV$3=""),"",_xll.ciqfunctions.udf.CIQ($B15, "IQ_NI", $I$3, KV$3,$J$3, ,$G$3,$H$3)*2/(_xll.ciqfunctions.udf.CIQ($B15, "IQ_TOTAL_ASSETS", $I$3, KV$3,$J$3, ,$G$3,$H$3)+_xll.ciqfunctions.udf.CIQ($B15, "IQ_TOTAL_ASSETS", $I$3 &amp; "-1", KV$3,$J$3, ,$G$3,$H$3)-_xll.ciqfunctions.udf.CIQ($B15, "IQ_TOTAL_CL", $I$3, KV$3,$J$3, ,$G$3,$H$3)-_xll.ciqfunctions.udf.CIQ($B15, "IQ_TOTAL_CL", $I$3 &amp; "-1", KV$3,$J$3, ,$G$3,$H$3))),"")</f>
        <v/>
      </c>
      <c r="KW15" s="87" t="str">
        <f>IFERROR(IF(OR($B15="",KW$3=""),"",_xll.ciqfunctions.udf.CIQ($B15, "IQ_NI", $I$3, KW$3,$J$3, ,$G$3,$H$3)*2/(_xll.ciqfunctions.udf.CIQ($B15, "IQ_TOTAL_ASSETS", $I$3, KW$3,$J$3, ,$G$3,$H$3)+_xll.ciqfunctions.udf.CIQ($B15, "IQ_TOTAL_ASSETS", $I$3 &amp; "-1", KW$3,$J$3, ,$G$3,$H$3)-_xll.ciqfunctions.udf.CIQ($B15, "IQ_TOTAL_CL", $I$3, KW$3,$J$3, ,$G$3,$H$3)-_xll.ciqfunctions.udf.CIQ($B15, "IQ_TOTAL_CL", $I$3 &amp; "-1", KW$3,$J$3, ,$G$3,$H$3))),"")</f>
        <v/>
      </c>
      <c r="KX15" s="88" t="str">
        <f>IFERROR(IF(OR($B15="",KX$3=""),"",_xll.ciqfunctions.udf.CIQ($B15, "IQ_NI", $I$3, KX$3,$J$3, ,$G$3,$H$3)*2/(_xll.ciqfunctions.udf.CIQ($B15, "IQ_TOTAL_ASSETS", $I$3, KX$3,$J$3, ,$G$3,$H$3)+_xll.ciqfunctions.udf.CIQ($B15, "IQ_TOTAL_ASSETS", $I$3 &amp; "-1", KX$3,$J$3, ,$G$3,$H$3)-_xll.ciqfunctions.udf.CIQ($B15, "IQ_TOTAL_CL", $I$3, KX$3,$J$3, ,$G$3,$H$3)-_xll.ciqfunctions.udf.CIQ($B15, "IQ_TOTAL_CL", $I$3 &amp; "-1", KX$3,$J$3, ,$G$3,$H$3))),"")</f>
        <v/>
      </c>
      <c r="KY15" s="86" t="str">
        <f>IFERROR(IF(OR($B15="",KY$3=""),"",_xll.ciqfunctions.udf.CIQ($B15,"IQ_CASH_OPER",$I$3, KY$3,$J$3, ,$G$3,$H$3)*2/(_xll.ciqfunctions.udf.CIQ($B15,"IQ_TOTAL_CL",KY$3,$E$3, $J$3, , $G$3, $H$3)+_xll.ciqfunctions.udf.CIQ($B15,"IQ_TOTAL_CL","IQ_" &amp; LEFT(KY$3,2) &amp; "-1",KY$3, $J$3, , $G$3, $H$3))),"")</f>
        <v/>
      </c>
      <c r="KZ15" s="87" t="str">
        <f>IFERROR(IF(OR($B15="",KZ$3=""),"",_xll.ciqfunctions.udf.CIQ($B15,"IQ_CASH_OPER",$I$3, KZ$3,$J$3, ,$G$3,$H$3)*2/(_xll.ciqfunctions.udf.CIQ($B15,"IQ_TOTAL_CL",KZ$3,$E$3, $J$3, , $G$3, $H$3)+_xll.ciqfunctions.udf.CIQ($B15,"IQ_TOTAL_CL","IQ_" &amp; LEFT(KZ$3,2) &amp; "-1",KZ$3, $J$3, , $G$3, $H$3))),"")</f>
        <v/>
      </c>
      <c r="LA15" s="87" t="str">
        <f>IFERROR(IF(OR($B15="",LA$3=""),"",_xll.ciqfunctions.udf.CIQ($B15,"IQ_CASH_OPER",$I$3, LA$3,$J$3, ,$G$3,$H$3)*2/(_xll.ciqfunctions.udf.CIQ($B15,"IQ_TOTAL_CL",LA$3,$E$3, $J$3, , $G$3, $H$3)+_xll.ciqfunctions.udf.CIQ($B15,"IQ_TOTAL_CL","IQ_" &amp; LEFT(LA$3,2) &amp; "-1",LA$3, $J$3, , $G$3, $H$3))),"")</f>
        <v/>
      </c>
      <c r="LB15" s="87" t="str">
        <f>IFERROR(IF(OR($B15="",LB$3=""),"",_xll.ciqfunctions.udf.CIQ($B15,"IQ_CASH_OPER",$I$3, LB$3,$J$3, ,$G$3,$H$3)*2/(_xll.ciqfunctions.udf.CIQ($B15,"IQ_TOTAL_CL",LB$3,$E$3, $J$3, , $G$3, $H$3)+_xll.ciqfunctions.udf.CIQ($B15,"IQ_TOTAL_CL","IQ_" &amp; LEFT(LB$3,2) &amp; "-1",LB$3, $J$3, , $G$3, $H$3))),"")</f>
        <v/>
      </c>
      <c r="LC15" s="87" t="str">
        <f>IFERROR(IF(OR($B15="",LC$3=""),"",_xll.ciqfunctions.udf.CIQ($B15,"IQ_CASH_OPER",$I$3, LC$3,$J$3, ,$G$3,$H$3)*2/(_xll.ciqfunctions.udf.CIQ($B15,"IQ_TOTAL_CL",LC$3,$E$3, $J$3, , $G$3, $H$3)+_xll.ciqfunctions.udf.CIQ($B15,"IQ_TOTAL_CL","IQ_" &amp; LEFT(LC$3,2) &amp; "-1",LC$3, $J$3, , $G$3, $H$3))),"")</f>
        <v/>
      </c>
      <c r="LD15" s="87" t="str">
        <f>IFERROR(IF(OR($B15="",LD$3=""),"",_xll.ciqfunctions.udf.CIQ($B15,"IQ_CASH_OPER",$I$3, LD$3,$J$3, ,$G$3,$H$3)*2/(_xll.ciqfunctions.udf.CIQ($B15,"IQ_TOTAL_CL",LD$3,$E$3, $J$3, , $G$3, $H$3)+_xll.ciqfunctions.udf.CIQ($B15,"IQ_TOTAL_CL","IQ_" &amp; LEFT(LD$3,2) &amp; "-1",LD$3, $J$3, , $G$3, $H$3))),"")</f>
        <v/>
      </c>
      <c r="LE15" s="87" t="str">
        <f>IFERROR(IF(OR($B15="",LE$3=""),"",_xll.ciqfunctions.udf.CIQ($B15,"IQ_CASH_OPER",$I$3, LE$3,$J$3, ,$G$3,$H$3)*2/(_xll.ciqfunctions.udf.CIQ($B15,"IQ_TOTAL_CL",LE$3,$E$3, $J$3, , $G$3, $H$3)+_xll.ciqfunctions.udf.CIQ($B15,"IQ_TOTAL_CL","IQ_" &amp; LEFT(LE$3,2) &amp; "-1",LE$3, $J$3, , $G$3, $H$3))),"")</f>
        <v/>
      </c>
      <c r="LF15" s="87" t="str">
        <f>IFERROR(IF(OR($B15="",LF$3=""),"",_xll.ciqfunctions.udf.CIQ($B15,"IQ_CASH_OPER",$I$3, LF$3,$J$3, ,$G$3,$H$3)*2/(_xll.ciqfunctions.udf.CIQ($B15,"IQ_TOTAL_CL",LF$3,$E$3, $J$3, , $G$3, $H$3)+_xll.ciqfunctions.udf.CIQ($B15,"IQ_TOTAL_CL","IQ_" &amp; LEFT(LF$3,2) &amp; "-1",LF$3, $J$3, , $G$3, $H$3))),"")</f>
        <v/>
      </c>
      <c r="LG15" s="87" t="str">
        <f>IFERROR(IF(OR($B15="",LG$3=""),"",_xll.ciqfunctions.udf.CIQ($B15,"IQ_CASH_OPER",$I$3, LG$3,$J$3, ,$G$3,$H$3)*2/(_xll.ciqfunctions.udf.CIQ($B15,"IQ_TOTAL_CL",LG$3,$E$3, $J$3, , $G$3, $H$3)+_xll.ciqfunctions.udf.CIQ($B15,"IQ_TOTAL_CL","IQ_" &amp; LEFT(LG$3,2) &amp; "-1",LG$3, $J$3, , $G$3, $H$3))),"")</f>
        <v/>
      </c>
      <c r="LH15" s="87" t="str">
        <f>IFERROR(IF(OR($B15="",LH$3=""),"",_xll.ciqfunctions.udf.CIQ($B15,"IQ_CASH_OPER",$I$3, LH$3,$J$3, ,$G$3,$H$3)*2/(_xll.ciqfunctions.udf.CIQ($B15,"IQ_TOTAL_CL",LH$3,$E$3, $J$3, , $G$3, $H$3)+_xll.ciqfunctions.udf.CIQ($B15,"IQ_TOTAL_CL","IQ_" &amp; LEFT(LH$3,2) &amp; "-1",LH$3, $J$3, , $G$3, $H$3))),"")</f>
        <v/>
      </c>
      <c r="LI15" s="87" t="str">
        <f>IFERROR(IF(OR($B15="",LI$3=""),"",_xll.ciqfunctions.udf.CIQ($B15,"IQ_CASH_OPER",$I$3, LI$3,$J$3, ,$G$3,$H$3)*2/(_xll.ciqfunctions.udf.CIQ($B15,"IQ_TOTAL_CL",LI$3,$E$3, $J$3, , $G$3, $H$3)+_xll.ciqfunctions.udf.CIQ($B15,"IQ_TOTAL_CL","IQ_" &amp; LEFT(LI$3,2) &amp; "-1",LI$3, $J$3, , $G$3, $H$3))),"")</f>
        <v/>
      </c>
      <c r="LJ15" s="87" t="str">
        <f>IFERROR(IF(OR($B15="",LJ$3=""),"",_xll.ciqfunctions.udf.CIQ($B15,"IQ_CASH_OPER",$I$3, LJ$3,$J$3, ,$G$3,$H$3)*2/(_xll.ciqfunctions.udf.CIQ($B15,"IQ_TOTAL_CL",LJ$3,$E$3, $J$3, , $G$3, $H$3)+_xll.ciqfunctions.udf.CIQ($B15,"IQ_TOTAL_CL","IQ_" &amp; LEFT(LJ$3,2) &amp; "-1",LJ$3, $J$3, , $G$3, $H$3))),"")</f>
        <v/>
      </c>
      <c r="LK15" s="87" t="str">
        <f>IFERROR(IF(OR($B15="",LK$3=""),"",_xll.ciqfunctions.udf.CIQ($B15,"IQ_CASH_OPER",$I$3, LK$3,$J$3, ,$G$3,$H$3)*2/(_xll.ciqfunctions.udf.CIQ($B15,"IQ_TOTAL_CL",LK$3,$E$3, $J$3, , $G$3, $H$3)+_xll.ciqfunctions.udf.CIQ($B15,"IQ_TOTAL_CL","IQ_" &amp; LEFT(LK$3,2) &amp; "-1",LK$3, $J$3, , $G$3, $H$3))),"")</f>
        <v/>
      </c>
      <c r="LL15" s="87" t="str">
        <f>IFERROR(IF(OR($B15="",LL$3=""),"",_xll.ciqfunctions.udf.CIQ($B15,"IQ_CASH_OPER",$I$3, LL$3,$J$3, ,$G$3,$H$3)*2/(_xll.ciqfunctions.udf.CIQ($B15,"IQ_TOTAL_CL",LL$3,$E$3, $J$3, , $G$3, $H$3)+_xll.ciqfunctions.udf.CIQ($B15,"IQ_TOTAL_CL","IQ_" &amp; LEFT(LL$3,2) &amp; "-1",LL$3, $J$3, , $G$3, $H$3))),"")</f>
        <v/>
      </c>
      <c r="LM15" s="87" t="str">
        <f>IFERROR(IF(OR($B15="",LM$3=""),"",_xll.ciqfunctions.udf.CIQ($B15,"IQ_CASH_OPER",$I$3, LM$3,$J$3, ,$G$3,$H$3)*2/(_xll.ciqfunctions.udf.CIQ($B15,"IQ_TOTAL_CL",LM$3,$E$3, $J$3, , $G$3, $H$3)+_xll.ciqfunctions.udf.CIQ($B15,"IQ_TOTAL_CL","IQ_" &amp; LEFT(LM$3,2) &amp; "-1",LM$3, $J$3, , $G$3, $H$3))),"")</f>
        <v/>
      </c>
      <c r="LN15" s="87" t="str">
        <f>IFERROR(IF(OR($B15="",LN$3=""),"",_xll.ciqfunctions.udf.CIQ($B15,"IQ_CASH_OPER",$I$3, LN$3,$J$3, ,$G$3,$H$3)*2/(_xll.ciqfunctions.udf.CIQ($B15,"IQ_TOTAL_CL",LN$3,$E$3, $J$3, , $G$3, $H$3)+_xll.ciqfunctions.udf.CIQ($B15,"IQ_TOTAL_CL","IQ_" &amp; LEFT(LN$3,2) &amp; "-1",LN$3, $J$3, , $G$3, $H$3))),"")</f>
        <v/>
      </c>
      <c r="LO15" s="87" t="str">
        <f>IFERROR(IF(OR($B15="",LO$3=""),"",_xll.ciqfunctions.udf.CIQ($B15,"IQ_CASH_OPER",$I$3, LO$3,$J$3, ,$G$3,$H$3)*2/(_xll.ciqfunctions.udf.CIQ($B15,"IQ_TOTAL_CL",LO$3,$E$3, $J$3, , $G$3, $H$3)+_xll.ciqfunctions.udf.CIQ($B15,"IQ_TOTAL_CL","IQ_" &amp; LEFT(LO$3,2) &amp; "-1",LO$3, $J$3, , $G$3, $H$3))),"")</f>
        <v/>
      </c>
      <c r="LP15" s="87" t="str">
        <f>IFERROR(IF(OR($B15="",LP$3=""),"",_xll.ciqfunctions.udf.CIQ($B15,"IQ_CASH_OPER",$I$3, LP$3,$J$3, ,$G$3,$H$3)*2/(_xll.ciqfunctions.udf.CIQ($B15,"IQ_TOTAL_CL",LP$3,$E$3, $J$3, , $G$3, $H$3)+_xll.ciqfunctions.udf.CIQ($B15,"IQ_TOTAL_CL","IQ_" &amp; LEFT(LP$3,2) &amp; "-1",LP$3, $J$3, , $G$3, $H$3))),"")</f>
        <v/>
      </c>
      <c r="LQ15" s="87" t="str">
        <f>IFERROR(IF(OR($B15="",LQ$3=""),"",_xll.ciqfunctions.udf.CIQ($B15,"IQ_CASH_OPER",$I$3, LQ$3,$J$3, ,$G$3,$H$3)*2/(_xll.ciqfunctions.udf.CIQ($B15,"IQ_TOTAL_CL",LQ$3,$E$3, $J$3, , $G$3, $H$3)+_xll.ciqfunctions.udf.CIQ($B15,"IQ_TOTAL_CL","IQ_" &amp; LEFT(LQ$3,2) &amp; "-1",LQ$3, $J$3, , $G$3, $H$3))),"")</f>
        <v/>
      </c>
      <c r="LR15" s="88" t="str">
        <f>IFERROR(IF(OR($B15="",LR$3=""),"",_xll.ciqfunctions.udf.CIQ($B15,"IQ_CASH_OPER",$I$3, LR$3,$J$3, ,$G$3,$H$3)*2/(_xll.ciqfunctions.udf.CIQ($B15,"IQ_TOTAL_CL",LR$3,$E$3, $J$3, , $G$3, $H$3)+_xll.ciqfunctions.udf.CIQ($B15,"IQ_TOTAL_CL","IQ_" &amp; LEFT(LR$3,2) &amp; "-1",LR$3, $J$3, , $G$3, $H$3))),"")</f>
        <v/>
      </c>
      <c r="LS15" s="86" t="str">
        <f>IFERROR(IF(OR($B15="",LS$3=""),"",IF(_xll.ciqfunctions.udf.CIQ($B15,"IQ_INC_TAX",LS$3,$E$3, $J$3, , $G$3, $H$3)/ABS(_xll.ciqfunctions.udf.CIQ($B15,"IQ_EBT",IQ_LTM,$E$3, $J$3, , $G$3, $H$3))&lt;0,0,_xll.ciqfunctions.udf.CIQ($B15,"IQ_INC_TAX",LS$3,$E$3, $J$3, , $G$3, $H$3)/ABS(_xll.ciqfunctions.udf.CIQ($B15,"IQ_EBT",LS$3,$E$3, $J$3, , $G$3, $H$3)))),"")</f>
        <v/>
      </c>
      <c r="LT15" s="87" t="str">
        <f>IFERROR(IF(OR($B15="",LT$3=""),"",IF(_xll.ciqfunctions.udf.CIQ($B15,"IQ_INC_TAX",LT$3,$E$3, $J$3, , $G$3, $H$3)/ABS(_xll.ciqfunctions.udf.CIQ($B15,"IQ_EBT",IQ_LTM,$E$3, $J$3, , $G$3, $H$3))&lt;0,0,_xll.ciqfunctions.udf.CIQ($B15,"IQ_INC_TAX",LT$3,$E$3, $J$3, , $G$3, $H$3)/ABS(_xll.ciqfunctions.udf.CIQ($B15,"IQ_EBT",LT$3,$E$3, $J$3, , $G$3, $H$3)))),"")</f>
        <v/>
      </c>
      <c r="LU15" s="87" t="str">
        <f>IFERROR(IF(OR($B15="",LU$3=""),"",IF(_xll.ciqfunctions.udf.CIQ($B15,"IQ_INC_TAX",LU$3,$E$3, $J$3, , $G$3, $H$3)/ABS(_xll.ciqfunctions.udf.CIQ($B15,"IQ_EBT",IQ_LTM,$E$3, $J$3, , $G$3, $H$3))&lt;0,0,_xll.ciqfunctions.udf.CIQ($B15,"IQ_INC_TAX",LU$3,$E$3, $J$3, , $G$3, $H$3)/ABS(_xll.ciqfunctions.udf.CIQ($B15,"IQ_EBT",LU$3,$E$3, $J$3, , $G$3, $H$3)))),"")</f>
        <v/>
      </c>
      <c r="LV15" s="87" t="str">
        <f>IFERROR(IF(OR($B15="",LV$3=""),"",IF(_xll.ciqfunctions.udf.CIQ($B15,"IQ_INC_TAX",LV$3,$E$3, $J$3, , $G$3, $H$3)/ABS(_xll.ciqfunctions.udf.CIQ($B15,"IQ_EBT",IQ_LTM,$E$3, $J$3, , $G$3, $H$3))&lt;0,0,_xll.ciqfunctions.udf.CIQ($B15,"IQ_INC_TAX",LV$3,$E$3, $J$3, , $G$3, $H$3)/ABS(_xll.ciqfunctions.udf.CIQ($B15,"IQ_EBT",LV$3,$E$3, $J$3, , $G$3, $H$3)))),"")</f>
        <v/>
      </c>
      <c r="LW15" s="87" t="str">
        <f>IFERROR(IF(OR($B15="",LW$3=""),"",IF(_xll.ciqfunctions.udf.CIQ($B15,"IQ_INC_TAX",LW$3,$E$3, $J$3, , $G$3, $H$3)/ABS(_xll.ciqfunctions.udf.CIQ($B15,"IQ_EBT",IQ_LTM,$E$3, $J$3, , $G$3, $H$3))&lt;0,0,_xll.ciqfunctions.udf.CIQ($B15,"IQ_INC_TAX",LW$3,$E$3, $J$3, , $G$3, $H$3)/ABS(_xll.ciqfunctions.udf.CIQ($B15,"IQ_EBT",LW$3,$E$3, $J$3, , $G$3, $H$3)))),"")</f>
        <v/>
      </c>
      <c r="LX15" s="87" t="str">
        <f>IFERROR(IF(OR($B15="",LX$3=""),"",IF(_xll.ciqfunctions.udf.CIQ($B15,"IQ_INC_TAX",LX$3,$E$3, $J$3, , $G$3, $H$3)/ABS(_xll.ciqfunctions.udf.CIQ($B15,"IQ_EBT",IQ_LTM,$E$3, $J$3, , $G$3, $H$3))&lt;0,0,_xll.ciqfunctions.udf.CIQ($B15,"IQ_INC_TAX",LX$3,$E$3, $J$3, , $G$3, $H$3)/ABS(_xll.ciqfunctions.udf.CIQ($B15,"IQ_EBT",LX$3,$E$3, $J$3, , $G$3, $H$3)))),"")</f>
        <v/>
      </c>
      <c r="LY15" s="87" t="str">
        <f>IFERROR(IF(OR($B15="",LY$3=""),"",IF(_xll.ciqfunctions.udf.CIQ($B15,"IQ_INC_TAX",LY$3,$E$3, $J$3, , $G$3, $H$3)/ABS(_xll.ciqfunctions.udf.CIQ($B15,"IQ_EBT",IQ_LTM,$E$3, $J$3, , $G$3, $H$3))&lt;0,0,_xll.ciqfunctions.udf.CIQ($B15,"IQ_INC_TAX",LY$3,$E$3, $J$3, , $G$3, $H$3)/ABS(_xll.ciqfunctions.udf.CIQ($B15,"IQ_EBT",LY$3,$E$3, $J$3, , $G$3, $H$3)))),"")</f>
        <v/>
      </c>
      <c r="LZ15" s="87" t="str">
        <f>IFERROR(IF(OR($B15="",LZ$3=""),"",IF(_xll.ciqfunctions.udf.CIQ($B15,"IQ_INC_TAX",LZ$3,$E$3, $J$3, , $G$3, $H$3)/ABS(_xll.ciqfunctions.udf.CIQ($B15,"IQ_EBT",IQ_LTM,$E$3, $J$3, , $G$3, $H$3))&lt;0,0,_xll.ciqfunctions.udf.CIQ($B15,"IQ_INC_TAX",LZ$3,$E$3, $J$3, , $G$3, $H$3)/ABS(_xll.ciqfunctions.udf.CIQ($B15,"IQ_EBT",LZ$3,$E$3, $J$3, , $G$3, $H$3)))),"")</f>
        <v/>
      </c>
      <c r="MA15" s="87" t="str">
        <f>IFERROR(IF(OR($B15="",MA$3=""),"",IF(_xll.ciqfunctions.udf.CIQ($B15,"IQ_INC_TAX",MA$3,$E$3, $J$3, , $G$3, $H$3)/ABS(_xll.ciqfunctions.udf.CIQ($B15,"IQ_EBT",IQ_LTM,$E$3, $J$3, , $G$3, $H$3))&lt;0,0,_xll.ciqfunctions.udf.CIQ($B15,"IQ_INC_TAX",MA$3,$E$3, $J$3, , $G$3, $H$3)/ABS(_xll.ciqfunctions.udf.CIQ($B15,"IQ_EBT",MA$3,$E$3, $J$3, , $G$3, $H$3)))),"")</f>
        <v/>
      </c>
      <c r="MB15" s="87" t="str">
        <f>IFERROR(IF(OR($B15="",MB$3=""),"",IF(_xll.ciqfunctions.udf.CIQ($B15,"IQ_INC_TAX",MB$3,$E$3, $J$3, , $G$3, $H$3)/ABS(_xll.ciqfunctions.udf.CIQ($B15,"IQ_EBT",IQ_LTM,$E$3, $J$3, , $G$3, $H$3))&lt;0,0,_xll.ciqfunctions.udf.CIQ($B15,"IQ_INC_TAX",MB$3,$E$3, $J$3, , $G$3, $H$3)/ABS(_xll.ciqfunctions.udf.CIQ($B15,"IQ_EBT",MB$3,$E$3, $J$3, , $G$3, $H$3)))),"")</f>
        <v/>
      </c>
      <c r="MC15" s="87" t="str">
        <f>IFERROR(IF(OR($B15="",MC$3=""),"",IF(_xll.ciqfunctions.udf.CIQ($B15,"IQ_INC_TAX",MC$3,$E$3, $J$3, , $G$3, $H$3)/ABS(_xll.ciqfunctions.udf.CIQ($B15,"IQ_EBT",IQ_LTM,$E$3, $J$3, , $G$3, $H$3))&lt;0,0,_xll.ciqfunctions.udf.CIQ($B15,"IQ_INC_TAX",MC$3,$E$3, $J$3, , $G$3, $H$3)/ABS(_xll.ciqfunctions.udf.CIQ($B15,"IQ_EBT",MC$3,$E$3, $J$3, , $G$3, $H$3)))),"")</f>
        <v/>
      </c>
      <c r="MD15" s="317" t="str">
        <f>IFERROR(IF(OR($B15="",MD$3=""),"",IF(_xll.ciqfunctions.udf.CIQ($B15,"IQ_INC_TAX",MD$3,$E$3, $J$3, , $G$3, $H$3)/ABS(_xll.ciqfunctions.udf.CIQ($B15,"IQ_EBT",IQ_LTM,$E$3, $J$3, , $G$3, $H$3))&lt;0,0,_xll.ciqfunctions.udf.CIQ($B15,"IQ_INC_TAX",MD$3,$E$3, $J$3, , $G$3, $H$3)/ABS(_xll.ciqfunctions.udf.CIQ($B15,"IQ_EBT",MD$3,$E$3, $J$3, , $G$3, $H$3)))),"")</f>
        <v/>
      </c>
      <c r="ME15" s="314" t="str">
        <f>IFERROR(IF(OR($B15="",ME$3=""),"",IF(_xll.ciqfunctions.udf.CIQ($B15,"IQ_INC_TAX",ME$3,$E$3, $J$3, , $G$3, $H$3)/ABS(_xll.ciqfunctions.udf.CIQ($B15,"IQ_EBT",IQ_LTM,$E$3, $J$3, , $G$3, $H$3))&lt;0,0,_xll.ciqfunctions.udf.CIQ($B15,"IQ_INC_TAX",ME$3,$E$3, $J$3, , $G$3, $H$3)/ABS(_xll.ciqfunctions.udf.CIQ($B15,"IQ_EBT",ME$3,$E$3, $J$3, , $G$3, $H$3)))),"")</f>
        <v/>
      </c>
      <c r="MF15" s="87" t="str">
        <f>IFERROR(IF(OR($B15="",MF$3=""),"",IF(_xll.ciqfunctions.udf.CIQ($B15,"IQ_INC_TAX",MF$3,$E$3, $J$3, , $G$3, $H$3)/ABS(_xll.ciqfunctions.udf.CIQ($B15,"IQ_EBT",IQ_LTM,$E$3, $J$3, , $G$3, $H$3))&lt;0,0,_xll.ciqfunctions.udf.CIQ($B15,"IQ_INC_TAX",MF$3,$E$3, $J$3, , $G$3, $H$3)/ABS(_xll.ciqfunctions.udf.CIQ($B15,"IQ_EBT",MF$3,$E$3, $J$3, , $G$3, $H$3)))),"")</f>
        <v/>
      </c>
      <c r="MG15" s="87" t="str">
        <f>IFERROR(IF(OR($B15="",MG$3=""),"",IF(_xll.ciqfunctions.udf.CIQ($B15,"IQ_INC_TAX",MG$3,$E$3, $J$3, , $G$3, $H$3)/ABS(_xll.ciqfunctions.udf.CIQ($B15,"IQ_EBT",IQ_LTM,$E$3, $J$3, , $G$3, $H$3))&lt;0,0,_xll.ciqfunctions.udf.CIQ($B15,"IQ_INC_TAX",MG$3,$E$3, $J$3, , $G$3, $H$3)/ABS(_xll.ciqfunctions.udf.CIQ($B15,"IQ_EBT",MG$3,$E$3, $J$3, , $G$3, $H$3)))),"")</f>
        <v/>
      </c>
      <c r="MH15" s="87" t="str">
        <f>IFERROR(IF(OR($B15="",MH$3=""),"",IF(_xll.ciqfunctions.udf.CIQ($B15,"IQ_INC_TAX",MH$3,$E$3, $J$3, , $G$3, $H$3)/ABS(_xll.ciqfunctions.udf.CIQ($B15,"IQ_EBT",IQ_LTM,$E$3, $J$3, , $G$3, $H$3))&lt;0,0,_xll.ciqfunctions.udf.CIQ($B15,"IQ_INC_TAX",MH$3,$E$3, $J$3, , $G$3, $H$3)/ABS(_xll.ciqfunctions.udf.CIQ($B15,"IQ_EBT",MH$3,$E$3, $J$3, , $G$3, $H$3)))),"")</f>
        <v/>
      </c>
      <c r="MI15" s="87" t="str">
        <f>IFERROR(IF(OR($B15="",MI$3=""),"",IF(_xll.ciqfunctions.udf.CIQ($B15,"IQ_INC_TAX",MI$3,$E$3, $J$3, , $G$3, $H$3)/ABS(_xll.ciqfunctions.udf.CIQ($B15,"IQ_EBT",IQ_LTM,$E$3, $J$3, , $G$3, $H$3))&lt;0,0,_xll.ciqfunctions.udf.CIQ($B15,"IQ_INC_TAX",MI$3,$E$3, $J$3, , $G$3, $H$3)/ABS(_xll.ciqfunctions.udf.CIQ($B15,"IQ_EBT",MI$3,$E$3, $J$3, , $G$3, $H$3)))),"")</f>
        <v/>
      </c>
      <c r="MJ15" s="87" t="str">
        <f>IFERROR(IF(OR($B15="",MJ$3=""),"",IF(_xll.ciqfunctions.udf.CIQ($B15,"IQ_INC_TAX",MJ$3,$E$3, $J$3, , $G$3, $H$3)/ABS(_xll.ciqfunctions.udf.CIQ($B15,"IQ_EBT",IQ_LTM,$E$3, $J$3, , $G$3, $H$3))&lt;0,0,_xll.ciqfunctions.udf.CIQ($B15,"IQ_INC_TAX",MJ$3,$E$3, $J$3, , $G$3, $H$3)/ABS(_xll.ciqfunctions.udf.CIQ($B15,"IQ_EBT",MJ$3,$E$3, $J$3, , $G$3, $H$3)))),"")</f>
        <v/>
      </c>
      <c r="MK15" s="87" t="str">
        <f>IFERROR(IF(OR($B15="",MK$3=""),"",IF(_xll.ciqfunctions.udf.CIQ($B15,"IQ_INC_TAX",MK$3,$E$3, $J$3, , $G$3, $H$3)/ABS(_xll.ciqfunctions.udf.CIQ($B15,"IQ_EBT",IQ_LTM,$E$3, $J$3, , $G$3, $H$3))&lt;0,0,_xll.ciqfunctions.udf.CIQ($B15,"IQ_INC_TAX",MK$3,$E$3, $J$3, , $G$3, $H$3)/ABS(_xll.ciqfunctions.udf.CIQ($B15,"IQ_EBT",MK$3,$E$3, $J$3, , $G$3, $H$3)))),"")</f>
        <v/>
      </c>
      <c r="ML15" s="88" t="str">
        <f>IFERROR(IF(OR($B15="",ML$3=""),"",IF(_xll.ciqfunctions.udf.CIQ($B15,"IQ_INC_TAX",ML$3,$E$3, $J$3, , $G$3, $H$3)/ABS(_xll.ciqfunctions.udf.CIQ($B15,"IQ_EBT",IQ_LTM,$E$3, $J$3, , $G$3, $H$3))&lt;0,0,_xll.ciqfunctions.udf.CIQ($B15,"IQ_INC_TAX",ML$3,$E$3, $J$3, , $G$3, $H$3)/ABS(_xll.ciqfunctions.udf.CIQ($B15,"IQ_EBT",ML$3,$E$3, $J$3, , $G$3, $H$3)))),"")</f>
        <v/>
      </c>
      <c r="MM15" s="72" t="str">
        <f>IFERROR(IF(OR($B15="",MM$3=""),"",(_xll.ciqfunctions.udf.CIQ($B15,"IQ_TIER_ONE_CAPITAL",MM$3,$E$3, $J$3, , $G$3, $H$3)+_xll.ciqfunctions.udf.CIQ($B15,"IQ_TIER_TWO_CAPITAL",MM$3,$E$3, $J$3, , $G$3, $H$3)-_xll.ciqfunctions.udf.CIQ($B15,"IQ_GW",MM$3,$E$3, $J$3, , $G$3, $H$3))/_xll.ciqfunctions.udf.CIQ($B15,"IQ_RISK_ADJ_BANK_ASSETS",MM$3,$E$3, $J$3, , $G$3, $H$3)),"")</f>
        <v/>
      </c>
      <c r="MN15" s="72" t="str">
        <f>IFERROR(IF(OR($B15="",MN$3=""),"",(_xll.ciqfunctions.udf.CIQ($B15,"IQ_TIER_ONE_CAPITAL",MN$3,$E$3, $J$3, , $G$3, $H$3)+_xll.ciqfunctions.udf.CIQ($B15,"IQ_TIER_TWO_CAPITAL",MN$3,$E$3, $J$3, , $G$3, $H$3)-_xll.ciqfunctions.udf.CIQ($B15,"IQ_GW",MN$3,$E$3, $J$3, , $G$3, $H$3))/_xll.ciqfunctions.udf.CIQ($B15,"IQ_RISK_ADJ_BANK_ASSETS",MN$3,$E$3, $J$3, , $G$3, $H$3)),"")</f>
        <v/>
      </c>
      <c r="MO15" s="72" t="str">
        <f>IFERROR(IF(OR($B15="",MO$3=""),"",(_xll.ciqfunctions.udf.CIQ($B15,"IQ_TIER_ONE_CAPITAL",MO$3,$E$3, $J$3, , $G$3, $H$3)+_xll.ciqfunctions.udf.CIQ($B15,"IQ_TIER_TWO_CAPITAL",MO$3,$E$3, $J$3, , $G$3, $H$3)-_xll.ciqfunctions.udf.CIQ($B15,"IQ_GW",MO$3,$E$3, $J$3, , $G$3, $H$3))/_xll.ciqfunctions.udf.CIQ($B15,"IQ_RISK_ADJ_BANK_ASSETS",MO$3,$E$3, $J$3, , $G$3, $H$3)),"")</f>
        <v/>
      </c>
      <c r="MP15" s="72" t="str">
        <f>IFERROR(IF(OR($B15="",MP$3=""),"",(_xll.ciqfunctions.udf.CIQ($B15,"IQ_TIER_ONE_CAPITAL",MP$3,$E$3, $J$3, , $G$3, $H$3)+_xll.ciqfunctions.udf.CIQ($B15,"IQ_TIER_TWO_CAPITAL",MP$3,$E$3, $J$3, , $G$3, $H$3)-_xll.ciqfunctions.udf.CIQ($B15,"IQ_GW",MP$3,$E$3, $J$3, , $G$3, $H$3))/_xll.ciqfunctions.udf.CIQ($B15,"IQ_RISK_ADJ_BANK_ASSETS",MP$3,$E$3, $J$3, , $G$3, $H$3)),"")</f>
        <v/>
      </c>
      <c r="MQ15" s="72" t="str">
        <f>IFERROR(IF(OR($B15="",MQ$3=""),"",(_xll.ciqfunctions.udf.CIQ($B15,"IQ_TIER_ONE_CAPITAL",MQ$3,$E$3, $J$3, , $G$3, $H$3)+_xll.ciqfunctions.udf.CIQ($B15,"IQ_TIER_TWO_CAPITAL",MQ$3,$E$3, $J$3, , $G$3, $H$3)-_xll.ciqfunctions.udf.CIQ($B15,"IQ_GW",MQ$3,$E$3, $J$3, , $G$3, $H$3))/_xll.ciqfunctions.udf.CIQ($B15,"IQ_RISK_ADJ_BANK_ASSETS",MQ$3,$E$3, $J$3, , $G$3, $H$3)),"")</f>
        <v/>
      </c>
      <c r="MR15" s="72" t="str">
        <f>IFERROR(IF(OR($B15="",MR$3=""),"",(_xll.ciqfunctions.udf.CIQ($B15,"IQ_TIER_ONE_CAPITAL",MR$3,$E$3, $J$3, , $G$3, $H$3)+_xll.ciqfunctions.udf.CIQ($B15,"IQ_TIER_TWO_CAPITAL",MR$3,$E$3, $J$3, , $G$3, $H$3)-_xll.ciqfunctions.udf.CIQ($B15,"IQ_GW",MR$3,$E$3, $J$3, , $G$3, $H$3))/_xll.ciqfunctions.udf.CIQ($B15,"IQ_RISK_ADJ_BANK_ASSETS",MR$3,$E$3, $J$3, , $G$3, $H$3)),"")</f>
        <v/>
      </c>
      <c r="MS15" s="72" t="str">
        <f>IFERROR(IF(OR($B15="",MS$3=""),"",(_xll.ciqfunctions.udf.CIQ($B15,"IQ_TIER_ONE_CAPITAL",MS$3,$E$3, $J$3, , $G$3, $H$3)+_xll.ciqfunctions.udf.CIQ($B15,"IQ_TIER_TWO_CAPITAL",MS$3,$E$3, $J$3, , $G$3, $H$3)-_xll.ciqfunctions.udf.CIQ($B15,"IQ_GW",MS$3,$E$3, $J$3, , $G$3, $H$3))/_xll.ciqfunctions.udf.CIQ($B15,"IQ_RISK_ADJ_BANK_ASSETS",MS$3,$E$3, $J$3, , $G$3, $H$3)),"")</f>
        <v/>
      </c>
      <c r="MT15" s="72" t="str">
        <f>IFERROR(IF(OR($B15="",MT$3=""),"",(_xll.ciqfunctions.udf.CIQ($B15,"IQ_TIER_ONE_CAPITAL",MT$3,$E$3, $J$3, , $G$3, $H$3)+_xll.ciqfunctions.udf.CIQ($B15,"IQ_TIER_TWO_CAPITAL",MT$3,$E$3, $J$3, , $G$3, $H$3)-_xll.ciqfunctions.udf.CIQ($B15,"IQ_GW",MT$3,$E$3, $J$3, , $G$3, $H$3))/_xll.ciqfunctions.udf.CIQ($B15,"IQ_RISK_ADJ_BANK_ASSETS",MT$3,$E$3, $J$3, , $G$3, $H$3)),"")</f>
        <v/>
      </c>
      <c r="MU15" s="72" t="str">
        <f>IFERROR(IF(OR($B15="",MU$3=""),"",(_xll.ciqfunctions.udf.CIQ($B15,"IQ_TIER_ONE_CAPITAL",MU$3,$E$3, $J$3, , $G$3, $H$3)+_xll.ciqfunctions.udf.CIQ($B15,"IQ_TIER_TWO_CAPITAL",MU$3,$E$3, $J$3, , $G$3, $H$3)-_xll.ciqfunctions.udf.CIQ($B15,"IQ_GW",MU$3,$E$3, $J$3, , $G$3, $H$3))/_xll.ciqfunctions.udf.CIQ($B15,"IQ_RISK_ADJ_BANK_ASSETS",MU$3,$E$3, $J$3, , $G$3, $H$3)),"")</f>
        <v/>
      </c>
      <c r="MV15" s="72" t="str">
        <f>IFERROR(IF(OR($B15="",MV$3=""),"",(_xll.ciqfunctions.udf.CIQ($B15,"IQ_TIER_ONE_CAPITAL",MV$3,$E$3, $J$3, , $G$3, $H$3)+_xll.ciqfunctions.udf.CIQ($B15,"IQ_TIER_TWO_CAPITAL",MV$3,$E$3, $J$3, , $G$3, $H$3)-_xll.ciqfunctions.udf.CIQ($B15,"IQ_GW",MV$3,$E$3, $J$3, , $G$3, $H$3))/_xll.ciqfunctions.udf.CIQ($B15,"IQ_RISK_ADJ_BANK_ASSETS",MV$3,$E$3, $J$3, , $G$3, $H$3)),"")</f>
        <v/>
      </c>
      <c r="MW15" s="72" t="str">
        <f>IFERROR(IF(OR($B15="",MW$3=""),"",(_xll.ciqfunctions.udf.CIQ($B15,"IQ_TIER_ONE_CAPITAL",MW$3,$E$3, $J$3, , $G$3, $H$3)+_xll.ciqfunctions.udf.CIQ($B15,"IQ_TIER_TWO_CAPITAL",MW$3,$E$3, $J$3, , $G$3, $H$3)-_xll.ciqfunctions.udf.CIQ($B15,"IQ_GW",MW$3,$E$3, $J$3, , $G$3, $H$3))/_xll.ciqfunctions.udf.CIQ($B15,"IQ_RISK_ADJ_BANK_ASSETS",MW$3,$E$3, $J$3, , $G$3, $H$3)),"")</f>
        <v/>
      </c>
      <c r="MX15" s="72" t="str">
        <f>IFERROR(IF(OR($B15="",MX$3=""),"",(_xll.ciqfunctions.udf.CIQ($B15,"IQ_TIER_ONE_CAPITAL",MX$3,$E$3, $J$3, , $G$3, $H$3)+_xll.ciqfunctions.udf.CIQ($B15,"IQ_TIER_TWO_CAPITAL",MX$3,$E$3, $J$3, , $G$3, $H$3)-_xll.ciqfunctions.udf.CIQ($B15,"IQ_GW",MX$3,$E$3, $J$3, , $G$3, $H$3))/_xll.ciqfunctions.udf.CIQ($B15,"IQ_RISK_ADJ_BANK_ASSETS",MX$3,$E$3, $J$3, , $G$3, $H$3)),"")</f>
        <v/>
      </c>
      <c r="MY15" s="72" t="str">
        <f>IFERROR(IF(OR($B15="",MY$3=""),"",(_xll.ciqfunctions.udf.CIQ($B15,"IQ_TIER_ONE_CAPITAL",MY$3,$E$3, $J$3, , $G$3, $H$3)+_xll.ciqfunctions.udf.CIQ($B15,"IQ_TIER_TWO_CAPITAL",MY$3,$E$3, $J$3, , $G$3, $H$3)-_xll.ciqfunctions.udf.CIQ($B15,"IQ_GW",MY$3,$E$3, $J$3, , $G$3, $H$3))/_xll.ciqfunctions.udf.CIQ($B15,"IQ_RISK_ADJ_BANK_ASSETS",MY$3,$E$3, $J$3, , $G$3, $H$3)),"")</f>
        <v/>
      </c>
      <c r="MZ15" s="72" t="str">
        <f>IFERROR(IF(OR($B15="",MZ$3=""),"",(_xll.ciqfunctions.udf.CIQ($B15,"IQ_TIER_ONE_CAPITAL",MZ$3,$E$3, $J$3, , $G$3, $H$3)+_xll.ciqfunctions.udf.CIQ($B15,"IQ_TIER_TWO_CAPITAL",MZ$3,$E$3, $J$3, , $G$3, $H$3)-_xll.ciqfunctions.udf.CIQ($B15,"IQ_GW",MZ$3,$E$3, $J$3, , $G$3, $H$3))/_xll.ciqfunctions.udf.CIQ($B15,"IQ_RISK_ADJ_BANK_ASSETS",MZ$3,$E$3, $J$3, , $G$3, $H$3)),"")</f>
        <v/>
      </c>
      <c r="NA15" s="72" t="str">
        <f>IFERROR(IF(OR($B15="",NA$3=""),"",(_xll.ciqfunctions.udf.CIQ($B15,"IQ_TIER_ONE_CAPITAL",NA$3,$E$3, $J$3, , $G$3, $H$3)+_xll.ciqfunctions.udf.CIQ($B15,"IQ_TIER_TWO_CAPITAL",NA$3,$E$3, $J$3, , $G$3, $H$3)-_xll.ciqfunctions.udf.CIQ($B15,"IQ_GW",NA$3,$E$3, $J$3, , $G$3, $H$3))/_xll.ciqfunctions.udf.CIQ($B15,"IQ_RISK_ADJ_BANK_ASSETS",NA$3,$E$3, $J$3, , $G$3, $H$3)),"")</f>
        <v/>
      </c>
      <c r="NB15" s="72" t="str">
        <f>IFERROR(IF(OR($B15="",NB$3=""),"",(_xll.ciqfunctions.udf.CIQ($B15,"IQ_TIER_ONE_CAPITAL",NB$3,$E$3, $J$3, , $G$3, $H$3)+_xll.ciqfunctions.udf.CIQ($B15,"IQ_TIER_TWO_CAPITAL",NB$3,$E$3, $J$3, , $G$3, $H$3)-_xll.ciqfunctions.udf.CIQ($B15,"IQ_GW",NB$3,$E$3, $J$3, , $G$3, $H$3))/_xll.ciqfunctions.udf.CIQ($B15,"IQ_RISK_ADJ_BANK_ASSETS",NB$3,$E$3, $J$3, , $G$3, $H$3)),"")</f>
        <v/>
      </c>
      <c r="NC15" s="72" t="str">
        <f>IFERROR(IF(OR($B15="",NC$3=""),"",(_xll.ciqfunctions.udf.CIQ($B15,"IQ_TIER_ONE_CAPITAL",NC$3,$E$3, $J$3, , $G$3, $H$3)+_xll.ciqfunctions.udf.CIQ($B15,"IQ_TIER_TWO_CAPITAL",NC$3,$E$3, $J$3, , $G$3, $H$3)-_xll.ciqfunctions.udf.CIQ($B15,"IQ_GW",NC$3,$E$3, $J$3, , $G$3, $H$3))/_xll.ciqfunctions.udf.CIQ($B15,"IQ_RISK_ADJ_BANK_ASSETS",NC$3,$E$3, $J$3, , $G$3, $H$3)),"")</f>
        <v/>
      </c>
      <c r="ND15" s="72" t="str">
        <f>IFERROR(IF(OR($B15="",ND$3=""),"",(_xll.ciqfunctions.udf.CIQ($B15,"IQ_TIER_ONE_CAPITAL",ND$3,$E$3, $J$3, , $G$3, $H$3)+_xll.ciqfunctions.udf.CIQ($B15,"IQ_TIER_TWO_CAPITAL",ND$3,$E$3, $J$3, , $G$3, $H$3)-_xll.ciqfunctions.udf.CIQ($B15,"IQ_GW",ND$3,$E$3, $J$3, , $G$3, $H$3))/_xll.ciqfunctions.udf.CIQ($B15,"IQ_RISK_ADJ_BANK_ASSETS",ND$3,$E$3, $J$3, , $G$3, $H$3)),"")</f>
        <v/>
      </c>
      <c r="NE15" s="72" t="str">
        <f>IFERROR(IF(OR($B15="",NE$3=""),"",(_xll.ciqfunctions.udf.CIQ($B15,"IQ_TIER_ONE_CAPITAL",NE$3,$E$3, $J$3, , $G$3, $H$3)+_xll.ciqfunctions.udf.CIQ($B15,"IQ_TIER_TWO_CAPITAL",NE$3,$E$3, $J$3, , $G$3, $H$3)-_xll.ciqfunctions.udf.CIQ($B15,"IQ_GW",NE$3,$E$3, $J$3, , $G$3, $H$3))/_xll.ciqfunctions.udf.CIQ($B15,"IQ_RISK_ADJ_BANK_ASSETS",NE$3,$E$3, $J$3, , $G$3, $H$3)),"")</f>
        <v/>
      </c>
      <c r="NF15" s="72" t="str">
        <f>IFERROR(IF(OR($B15="",NF$3=""),"",(_xll.ciqfunctions.udf.CIQ($B15,"IQ_TIER_ONE_CAPITAL",NF$3,$E$3, $J$3, , $G$3, $H$3)+_xll.ciqfunctions.udf.CIQ($B15,"IQ_TIER_TWO_CAPITAL",NF$3,$E$3, $J$3, , $G$3, $H$3)-_xll.ciqfunctions.udf.CIQ($B15,"IQ_GW",NF$3,$E$3, $J$3, , $G$3, $H$3))/_xll.ciqfunctions.udf.CIQ($B15,"IQ_RISK_ADJ_BANK_ASSETS",NF$3,$E$3, $J$3, , $G$3, $H$3)),"")</f>
        <v/>
      </c>
      <c r="NG15" s="72" t="str">
        <f>IFERROR(IF(OR($B15="",NG$3=""),"",-_xll.ciqfunctions.udf.CIQ($B15,"IQ_ALLOW_LL",NG$3,$E$3, $J$3, , $G$3, $H$3)/_xll.ciqfunctions.udf.CIQ($B15,"IQ_TOTAL_LOANS",NG$3,$E$3, $J$3, , $G$3, $H$3)),"")</f>
        <v/>
      </c>
      <c r="NH15" s="72" t="str">
        <f>IFERROR(IF(OR($B15="",NH$3=""),"",-_xll.ciqfunctions.udf.CIQ($B15,"IQ_ALLOW_LL",NH$3,$E$3, $J$3, , $G$3, $H$3)/_xll.ciqfunctions.udf.CIQ($B15,"IQ_TOTAL_LOANS",NH$3,$E$3, $J$3, , $G$3, $H$3)),"")</f>
        <v/>
      </c>
      <c r="NI15" s="72" t="str">
        <f>IFERROR(IF(OR($B15="",NI$3=""),"",-_xll.ciqfunctions.udf.CIQ($B15,"IQ_ALLOW_LL",NI$3,$E$3, $J$3, , $G$3, $H$3)/_xll.ciqfunctions.udf.CIQ($B15,"IQ_TOTAL_LOANS",NI$3,$E$3, $J$3, , $G$3, $H$3)),"")</f>
        <v/>
      </c>
      <c r="NJ15" s="72" t="str">
        <f>IFERROR(IF(OR($B15="",NJ$3=""),"",-_xll.ciqfunctions.udf.CIQ($B15,"IQ_ALLOW_LL",NJ$3,$E$3, $J$3, , $G$3, $H$3)/_xll.ciqfunctions.udf.CIQ($B15,"IQ_TOTAL_LOANS",NJ$3,$E$3, $J$3, , $G$3, $H$3)),"")</f>
        <v/>
      </c>
      <c r="NK15" s="72" t="str">
        <f>IFERROR(IF(OR($B15="",NK$3=""),"",-_xll.ciqfunctions.udf.CIQ($B15,"IQ_ALLOW_LL",NK$3,$E$3, $J$3, , $G$3, $H$3)/_xll.ciqfunctions.udf.CIQ($B15,"IQ_TOTAL_LOANS",NK$3,$E$3, $J$3, , $G$3, $H$3)),"")</f>
        <v/>
      </c>
      <c r="NL15" s="72" t="str">
        <f>IFERROR(IF(OR($B15="",NL$3=""),"",-_xll.ciqfunctions.udf.CIQ($B15,"IQ_ALLOW_LL",NL$3,$E$3, $J$3, , $G$3, $H$3)/_xll.ciqfunctions.udf.CIQ($B15,"IQ_TOTAL_LOANS",NL$3,$E$3, $J$3, , $G$3, $H$3)),"")</f>
        <v/>
      </c>
      <c r="NM15" s="72" t="str">
        <f>IFERROR(IF(OR($B15="",NM$3=""),"",-_xll.ciqfunctions.udf.CIQ($B15,"IQ_ALLOW_LL",NM$3,$E$3, $J$3, , $G$3, $H$3)/_xll.ciqfunctions.udf.CIQ($B15,"IQ_TOTAL_LOANS",NM$3,$E$3, $J$3, , $G$3, $H$3)),"")</f>
        <v/>
      </c>
      <c r="NN15" s="72" t="str">
        <f>IFERROR(IF(OR($B15="",NN$3=""),"",-_xll.ciqfunctions.udf.CIQ($B15,"IQ_ALLOW_LL",NN$3,$E$3, $J$3, , $G$3, $H$3)/_xll.ciqfunctions.udf.CIQ($B15,"IQ_TOTAL_LOANS",NN$3,$E$3, $J$3, , $G$3, $H$3)),"")</f>
        <v/>
      </c>
      <c r="NO15" s="72" t="str">
        <f>IFERROR(IF(OR($B15="",NO$3=""),"",-_xll.ciqfunctions.udf.CIQ($B15,"IQ_ALLOW_LL",NO$3,$E$3, $J$3, , $G$3, $H$3)/_xll.ciqfunctions.udf.CIQ($B15,"IQ_TOTAL_LOANS",NO$3,$E$3, $J$3, , $G$3, $H$3)),"")</f>
        <v/>
      </c>
      <c r="NP15" s="72" t="str">
        <f>IFERROR(IF(OR($B15="",NP$3=""),"",-_xll.ciqfunctions.udf.CIQ($B15,"IQ_ALLOW_LL",NP$3,$E$3, $J$3, , $G$3, $H$3)/_xll.ciqfunctions.udf.CIQ($B15,"IQ_TOTAL_LOANS",NP$3,$E$3, $J$3, , $G$3, $H$3)),"")</f>
        <v/>
      </c>
      <c r="NQ15" s="72" t="str">
        <f>IFERROR(IF(OR($B15="",NQ$3=""),"",-_xll.ciqfunctions.udf.CIQ($B15,"IQ_ALLOW_LL",NQ$3,$E$3, $J$3, , $G$3, $H$3)/_xll.ciqfunctions.udf.CIQ($B15,"IQ_TOTAL_LOANS",NQ$3,$E$3, $J$3, , $G$3, $H$3)),"")</f>
        <v/>
      </c>
      <c r="NR15" s="72" t="str">
        <f>IFERROR(IF(OR($B15="",NR$3=""),"",-_xll.ciqfunctions.udf.CIQ($B15,"IQ_ALLOW_LL",NR$3,$E$3, $J$3, , $G$3, $H$3)/_xll.ciqfunctions.udf.CIQ($B15,"IQ_TOTAL_LOANS",NR$3,$E$3, $J$3, , $G$3, $H$3)),"")</f>
        <v/>
      </c>
      <c r="NS15" s="72" t="str">
        <f>IFERROR(IF(OR($B15="",NS$3=""),"",-_xll.ciqfunctions.udf.CIQ($B15,"IQ_ALLOW_LL",NS$3,$E$3, $J$3, , $G$3, $H$3)/_xll.ciqfunctions.udf.CIQ($B15,"IQ_TOTAL_LOANS",NS$3,$E$3, $J$3, , $G$3, $H$3)),"")</f>
        <v/>
      </c>
      <c r="NT15" s="72" t="str">
        <f>IFERROR(IF(OR($B15="",NT$3=""),"",-_xll.ciqfunctions.udf.CIQ($B15,"IQ_ALLOW_LL",NT$3,$E$3, $J$3, , $G$3, $H$3)/_xll.ciqfunctions.udf.CIQ($B15,"IQ_TOTAL_LOANS",NT$3,$E$3, $J$3, , $G$3, $H$3)),"")</f>
        <v/>
      </c>
      <c r="NU15" s="72" t="str">
        <f>IFERROR(IF(OR($B15="",NU$3=""),"",-_xll.ciqfunctions.udf.CIQ($B15,"IQ_ALLOW_LL",NU$3,$E$3, $J$3, , $G$3, $H$3)/_xll.ciqfunctions.udf.CIQ($B15,"IQ_TOTAL_LOANS",NU$3,$E$3, $J$3, , $G$3, $H$3)),"")</f>
        <v/>
      </c>
      <c r="NV15" s="72" t="str">
        <f>IFERROR(IF(OR($B15="",NV$3=""),"",-_xll.ciqfunctions.udf.CIQ($B15,"IQ_ALLOW_LL",NV$3,$E$3, $J$3, , $G$3, $H$3)/_xll.ciqfunctions.udf.CIQ($B15,"IQ_TOTAL_LOANS",NV$3,$E$3, $J$3, , $G$3, $H$3)),"")</f>
        <v/>
      </c>
      <c r="NW15" s="72" t="str">
        <f>IFERROR(IF(OR($B15="",NW$3=""),"",-_xll.ciqfunctions.udf.CIQ($B15,"IQ_ALLOW_LL",NW$3,$E$3, $J$3, , $G$3, $H$3)/_xll.ciqfunctions.udf.CIQ($B15,"IQ_TOTAL_LOANS",NW$3,$E$3, $J$3, , $G$3, $H$3)),"")</f>
        <v/>
      </c>
      <c r="NX15" s="72" t="str">
        <f>IFERROR(IF(OR($B15="",NX$3=""),"",-_xll.ciqfunctions.udf.CIQ($B15,"IQ_ALLOW_LL",NX$3,$E$3, $J$3, , $G$3, $H$3)/_xll.ciqfunctions.udf.CIQ($B15,"IQ_TOTAL_LOANS",NX$3,$E$3, $J$3, , $G$3, $H$3)),"")</f>
        <v/>
      </c>
      <c r="NY15" s="72" t="str">
        <f>IFERROR(IF(OR($B15="",NY$3=""),"",-_xll.ciqfunctions.udf.CIQ($B15,"IQ_ALLOW_LL",NY$3,$E$3, $J$3, , $G$3, $H$3)/_xll.ciqfunctions.udf.CIQ($B15,"IQ_TOTAL_LOANS",NY$3,$E$3, $J$3, , $G$3, $H$3)),"")</f>
        <v/>
      </c>
      <c r="NZ15" s="72" t="str">
        <f>IFERROR(IF(OR($B15="",NZ$3=""),"",-_xll.ciqfunctions.udf.CIQ($B15,"IQ_ALLOW_LL",NZ$3,$E$3, $J$3, , $G$3, $H$3)/_xll.ciqfunctions.udf.CIQ($B15,"IQ_TOTAL_LOANS",NZ$3,$E$3, $J$3, , $G$3, $H$3)),"")</f>
        <v/>
      </c>
      <c r="OA15" s="72" t="str">
        <f>IFERROR(IF(OR($B15="",OA$3=""),"",_xll.ciqfunctions.udf.CIQ($B15,"IQ_TOTAL_LOANS",OA$3,$E$3, $J$3, , $G$3, $H$3)/_xll.ciqfunctions.udf.CIQ($B15,"IQ_TOTAL_DEPOSITS",OA$3,$E$3, $J$3, , $G$3, $H$3)),"")</f>
        <v/>
      </c>
      <c r="OB15" s="72" t="str">
        <f>IFERROR(IF(OR($B15="",OB$3=""),"",_xll.ciqfunctions.udf.CIQ($B15,"IQ_TOTAL_LOANS",OB$3,$E$3, $J$3, , $G$3, $H$3)/_xll.ciqfunctions.udf.CIQ($B15,"IQ_TOTAL_DEPOSITS",OB$3,$E$3, $J$3, , $G$3, $H$3)),"")</f>
        <v/>
      </c>
      <c r="OC15" s="72" t="str">
        <f>IFERROR(IF(OR($B15="",OC$3=""),"",_xll.ciqfunctions.udf.CIQ($B15,"IQ_TOTAL_LOANS",OC$3,$E$3, $J$3, , $G$3, $H$3)/_xll.ciqfunctions.udf.CIQ($B15,"IQ_TOTAL_DEPOSITS",OC$3,$E$3, $J$3, , $G$3, $H$3)),"")</f>
        <v/>
      </c>
      <c r="OD15" s="72" t="str">
        <f>IFERROR(IF(OR($B15="",OD$3=""),"",_xll.ciqfunctions.udf.CIQ($B15,"IQ_TOTAL_LOANS",OD$3,$E$3, $J$3, , $G$3, $H$3)/_xll.ciqfunctions.udf.CIQ($B15,"IQ_TOTAL_DEPOSITS",OD$3,$E$3, $J$3, , $G$3, $H$3)),"")</f>
        <v/>
      </c>
      <c r="OE15" s="72" t="str">
        <f>IFERROR(IF(OR($B15="",OE$3=""),"",_xll.ciqfunctions.udf.CIQ($B15,"IQ_TOTAL_LOANS",OE$3,$E$3, $J$3, , $G$3, $H$3)/_xll.ciqfunctions.udf.CIQ($B15,"IQ_TOTAL_DEPOSITS",OE$3,$E$3, $J$3, , $G$3, $H$3)),"")</f>
        <v/>
      </c>
      <c r="OF15" s="72" t="str">
        <f>IFERROR(IF(OR($B15="",OF$3=""),"",_xll.ciqfunctions.udf.CIQ($B15,"IQ_TOTAL_LOANS",OF$3,$E$3, $J$3, , $G$3, $H$3)/_xll.ciqfunctions.udf.CIQ($B15,"IQ_TOTAL_DEPOSITS",OF$3,$E$3, $J$3, , $G$3, $H$3)),"")</f>
        <v/>
      </c>
      <c r="OG15" s="72" t="str">
        <f>IFERROR(IF(OR($B15="",OG$3=""),"",_xll.ciqfunctions.udf.CIQ($B15,"IQ_TOTAL_LOANS",OG$3,$E$3, $J$3, , $G$3, $H$3)/_xll.ciqfunctions.udf.CIQ($B15,"IQ_TOTAL_DEPOSITS",OG$3,$E$3, $J$3, , $G$3, $H$3)),"")</f>
        <v/>
      </c>
      <c r="OH15" s="72" t="str">
        <f>IFERROR(IF(OR($B15="",OH$3=""),"",_xll.ciqfunctions.udf.CIQ($B15,"IQ_TOTAL_LOANS",OH$3,$E$3, $J$3, , $G$3, $H$3)/_xll.ciqfunctions.udf.CIQ($B15,"IQ_TOTAL_DEPOSITS",OH$3,$E$3, $J$3, , $G$3, $H$3)),"")</f>
        <v/>
      </c>
      <c r="OI15" s="72" t="str">
        <f>IFERROR(IF(OR($B15="",OI$3=""),"",_xll.ciqfunctions.udf.CIQ($B15,"IQ_TOTAL_LOANS",OI$3,$E$3, $J$3, , $G$3, $H$3)/_xll.ciqfunctions.udf.CIQ($B15,"IQ_TOTAL_DEPOSITS",OI$3,$E$3, $J$3, , $G$3, $H$3)),"")</f>
        <v/>
      </c>
      <c r="OJ15" s="72" t="str">
        <f>IFERROR(IF(OR($B15="",OJ$3=""),"",_xll.ciqfunctions.udf.CIQ($B15,"IQ_TOTAL_LOANS",OJ$3,$E$3, $J$3, , $G$3, $H$3)/_xll.ciqfunctions.udf.CIQ($B15,"IQ_TOTAL_DEPOSITS",OJ$3,$E$3, $J$3, , $G$3, $H$3)),"")</f>
        <v/>
      </c>
      <c r="OK15" s="72" t="str">
        <f>IFERROR(IF(OR($B15="",OK$3=""),"",_xll.ciqfunctions.udf.CIQ($B15,"IQ_TOTAL_LOANS",OK$3,$E$3, $J$3, , $G$3, $H$3)/_xll.ciqfunctions.udf.CIQ($B15,"IQ_TOTAL_DEPOSITS",OK$3,$E$3, $J$3, , $G$3, $H$3)),"")</f>
        <v/>
      </c>
      <c r="OL15" s="72" t="str">
        <f>IFERROR(IF(OR($B15="",OL$3=""),"",_xll.ciqfunctions.udf.CIQ($B15,"IQ_TOTAL_LOANS",OL$3,$E$3, $J$3, , $G$3, $H$3)/_xll.ciqfunctions.udf.CIQ($B15,"IQ_TOTAL_DEPOSITS",OL$3,$E$3, $J$3, , $G$3, $H$3)),"")</f>
        <v/>
      </c>
      <c r="OM15" s="72" t="str">
        <f>IFERROR(IF(OR($B15="",OM$3=""),"",_xll.ciqfunctions.udf.CIQ($B15,"IQ_TOTAL_LOANS",OM$3,$E$3, $J$3, , $G$3, $H$3)/_xll.ciqfunctions.udf.CIQ($B15,"IQ_TOTAL_DEPOSITS",OM$3,$E$3, $J$3, , $G$3, $H$3)),"")</f>
        <v/>
      </c>
      <c r="ON15" s="72" t="str">
        <f>IFERROR(IF(OR($B15="",ON$3=""),"",_xll.ciqfunctions.udf.CIQ($B15,"IQ_TOTAL_LOANS",ON$3,$E$3, $J$3, , $G$3, $H$3)/_xll.ciqfunctions.udf.CIQ($B15,"IQ_TOTAL_DEPOSITS",ON$3,$E$3, $J$3, , $G$3, $H$3)),"")</f>
        <v/>
      </c>
      <c r="OO15" s="72" t="str">
        <f>IFERROR(IF(OR($B15="",OO$3=""),"",_xll.ciqfunctions.udf.CIQ($B15,"IQ_TOTAL_LOANS",OO$3,$E$3, $J$3, , $G$3, $H$3)/_xll.ciqfunctions.udf.CIQ($B15,"IQ_TOTAL_DEPOSITS",OO$3,$E$3, $J$3, , $G$3, $H$3)),"")</f>
        <v/>
      </c>
      <c r="OP15" s="72" t="str">
        <f>IFERROR(IF(OR($B15="",OP$3=""),"",_xll.ciqfunctions.udf.CIQ($B15,"IQ_TOTAL_LOANS",OP$3,$E$3, $J$3, , $G$3, $H$3)/_xll.ciqfunctions.udf.CIQ($B15,"IQ_TOTAL_DEPOSITS",OP$3,$E$3, $J$3, , $G$3, $H$3)),"")</f>
        <v/>
      </c>
      <c r="OQ15" s="72" t="str">
        <f>IFERROR(IF(OR($B15="",OQ$3=""),"",_xll.ciqfunctions.udf.CIQ($B15,"IQ_TOTAL_LOANS",OQ$3,$E$3, $J$3, , $G$3, $H$3)/_xll.ciqfunctions.udf.CIQ($B15,"IQ_TOTAL_DEPOSITS",OQ$3,$E$3, $J$3, , $G$3, $H$3)),"")</f>
        <v/>
      </c>
      <c r="OR15" s="72" t="str">
        <f>IFERROR(IF(OR($B15="",OR$3=""),"",_xll.ciqfunctions.udf.CIQ($B15,"IQ_TOTAL_LOANS",OR$3,$E$3, $J$3, , $G$3, $H$3)/_xll.ciqfunctions.udf.CIQ($B15,"IQ_TOTAL_DEPOSITS",OR$3,$E$3, $J$3, , $G$3, $H$3)),"")</f>
        <v/>
      </c>
      <c r="OS15" s="72" t="str">
        <f>IFERROR(IF(OR($B15="",OS$3=""),"",_xll.ciqfunctions.udf.CIQ($B15,"IQ_TOTAL_LOANS",OS$3,$E$3, $J$3, , $G$3, $H$3)/_xll.ciqfunctions.udf.CIQ($B15,"IQ_TOTAL_DEPOSITS",OS$3,$E$3, $J$3, , $G$3, $H$3)),"")</f>
        <v/>
      </c>
      <c r="OT15" s="72" t="str">
        <f>IFERROR(IF(OR($B15="",OT$3=""),"",_xll.ciqfunctions.udf.CIQ($B15,"IQ_TOTAL_LOANS",OT$3,$E$3, $J$3, , $G$3, $H$3)/_xll.ciqfunctions.udf.CIQ($B15,"IQ_TOTAL_DEPOSITS",OT$3,$E$3, $J$3, , $G$3, $H$3)),"")</f>
        <v/>
      </c>
      <c r="OU15" s="72" t="str">
        <f>IFERROR(IF(OR($B15="",OU$3=""),"",_xll.ciqfunctions.udf.CIQ($B15,"IQ_NON_PERFORMING_LOANS",OU$3,$E$3, $J$3, , $G$3, $H$3)/_xll.ciqfunctions.udf.CIQ($B15,"IQ_TOTAL_EQUITY",OU$3,$E$3, $J$3, , $G$3, $H$3)),"")</f>
        <v/>
      </c>
      <c r="OV15" s="72" t="str">
        <f>IFERROR(IF(OR($B15="",OV$3=""),"",_xll.ciqfunctions.udf.CIQ($B15,"IQ_NON_PERFORMING_LOANS",OV$3,$E$3, $J$3, , $G$3, $H$3)/_xll.ciqfunctions.udf.CIQ($B15,"IQ_TOTAL_EQUITY",OV$3,$E$3, $J$3, , $G$3, $H$3)),"")</f>
        <v/>
      </c>
      <c r="OW15" s="72" t="str">
        <f>IFERROR(IF(OR($B15="",OW$3=""),"",_xll.ciqfunctions.udf.CIQ($B15,"IQ_NON_PERFORMING_LOANS",OW$3,$E$3, $J$3, , $G$3, $H$3)/_xll.ciqfunctions.udf.CIQ($B15,"IQ_TOTAL_EQUITY",OW$3,$E$3, $J$3, , $G$3, $H$3)),"")</f>
        <v/>
      </c>
      <c r="OX15" s="72" t="str">
        <f>IFERROR(IF(OR($B15="",OX$3=""),"",_xll.ciqfunctions.udf.CIQ($B15,"IQ_NON_PERFORMING_LOANS",OX$3,$E$3, $J$3, , $G$3, $H$3)/_xll.ciqfunctions.udf.CIQ($B15,"IQ_TOTAL_EQUITY",OX$3,$E$3, $J$3, , $G$3, $H$3)),"")</f>
        <v/>
      </c>
      <c r="OY15" s="72" t="str">
        <f>IFERROR(IF(OR($B15="",OY$3=""),"",_xll.ciqfunctions.udf.CIQ($B15,"IQ_NON_PERFORMING_LOANS",OY$3,$E$3, $J$3, , $G$3, $H$3)/_xll.ciqfunctions.udf.CIQ($B15,"IQ_TOTAL_EQUITY",OY$3,$E$3, $J$3, , $G$3, $H$3)),"")</f>
        <v/>
      </c>
      <c r="OZ15" s="72" t="str">
        <f>IFERROR(IF(OR($B15="",OZ$3=""),"",_xll.ciqfunctions.udf.CIQ($B15,"IQ_NON_PERFORMING_LOANS",OZ$3,$E$3, $J$3, , $G$3, $H$3)/_xll.ciqfunctions.udf.CIQ($B15,"IQ_TOTAL_EQUITY",OZ$3,$E$3, $J$3, , $G$3, $H$3)),"")</f>
        <v/>
      </c>
      <c r="PA15" s="72" t="str">
        <f>IFERROR(IF(OR($B15="",PA$3=""),"",_xll.ciqfunctions.udf.CIQ($B15,"IQ_NON_PERFORMING_LOANS",PA$3,$E$3, $J$3, , $G$3, $H$3)/_xll.ciqfunctions.udf.CIQ($B15,"IQ_TOTAL_EQUITY",PA$3,$E$3, $J$3, , $G$3, $H$3)),"")</f>
        <v/>
      </c>
      <c r="PB15" s="72" t="str">
        <f>IFERROR(IF(OR($B15="",PB$3=""),"",_xll.ciqfunctions.udf.CIQ($B15,"IQ_NON_PERFORMING_LOANS",PB$3,$E$3, $J$3, , $G$3, $H$3)/_xll.ciqfunctions.udf.CIQ($B15,"IQ_TOTAL_EQUITY",PB$3,$E$3, $J$3, , $G$3, $H$3)),"")</f>
        <v/>
      </c>
      <c r="PC15" s="72" t="str">
        <f>IFERROR(IF(OR($B15="",PC$3=""),"",_xll.ciqfunctions.udf.CIQ($B15,"IQ_NON_PERFORMING_LOANS",PC$3,$E$3, $J$3, , $G$3, $H$3)/_xll.ciqfunctions.udf.CIQ($B15,"IQ_TOTAL_EQUITY",PC$3,$E$3, $J$3, , $G$3, $H$3)),"")</f>
        <v/>
      </c>
      <c r="PD15" s="72" t="str">
        <f>IFERROR(IF(OR($B15="",PD$3=""),"",_xll.ciqfunctions.udf.CIQ($B15,"IQ_NON_PERFORMING_LOANS",PD$3,$E$3, $J$3, , $G$3, $H$3)/_xll.ciqfunctions.udf.CIQ($B15,"IQ_TOTAL_EQUITY",PD$3,$E$3, $J$3, , $G$3, $H$3)),"")</f>
        <v/>
      </c>
      <c r="PE15" s="72" t="str">
        <f>IFERROR(IF(OR($B15="",PE$3=""),"",_xll.ciqfunctions.udf.CIQ($B15,"IQ_NON_PERFORMING_LOANS",PE$3,$E$3, $J$3, , $G$3, $H$3)/_xll.ciqfunctions.udf.CIQ($B15,"IQ_TOTAL_EQUITY",PE$3,$E$3, $J$3, , $G$3, $H$3)),"")</f>
        <v/>
      </c>
      <c r="PF15" s="72" t="str">
        <f>IFERROR(IF(OR($B15="",PF$3=""),"",_xll.ciqfunctions.udf.CIQ($B15,"IQ_NON_PERFORMING_LOANS",PF$3,$E$3, $J$3, , $G$3, $H$3)/_xll.ciqfunctions.udf.CIQ($B15,"IQ_TOTAL_EQUITY",PF$3,$E$3, $J$3, , $G$3, $H$3)),"")</f>
        <v/>
      </c>
      <c r="PG15" s="72" t="str">
        <f>IFERROR(IF(OR($B15="",PG$3=""),"",_xll.ciqfunctions.udf.CIQ($B15,"IQ_NON_PERFORMING_LOANS",PG$3,$E$3, $J$3, , $G$3, $H$3)/_xll.ciqfunctions.udf.CIQ($B15,"IQ_TOTAL_EQUITY",PG$3,$E$3, $J$3, , $G$3, $H$3)),"")</f>
        <v/>
      </c>
      <c r="PH15" s="72" t="str">
        <f>IFERROR(IF(OR($B15="",PH$3=""),"",_xll.ciqfunctions.udf.CIQ($B15,"IQ_NON_PERFORMING_LOANS",PH$3,$E$3, $J$3, , $G$3, $H$3)/_xll.ciqfunctions.udf.CIQ($B15,"IQ_TOTAL_EQUITY",PH$3,$E$3, $J$3, , $G$3, $H$3)),"")</f>
        <v/>
      </c>
      <c r="PI15" s="72" t="str">
        <f>IFERROR(IF(OR($B15="",PI$3=""),"",_xll.ciqfunctions.udf.CIQ($B15,"IQ_NON_PERFORMING_LOANS",PI$3,$E$3, $J$3, , $G$3, $H$3)/_xll.ciqfunctions.udf.CIQ($B15,"IQ_TOTAL_EQUITY",PI$3,$E$3, $J$3, , $G$3, $H$3)),"")</f>
        <v/>
      </c>
      <c r="PJ15" s="72" t="str">
        <f>IFERROR(IF(OR($B15="",PJ$3=""),"",_xll.ciqfunctions.udf.CIQ($B15,"IQ_NON_PERFORMING_LOANS",PJ$3,$E$3, $J$3, , $G$3, $H$3)/_xll.ciqfunctions.udf.CIQ($B15,"IQ_TOTAL_EQUITY",PJ$3,$E$3, $J$3, , $G$3, $H$3)),"")</f>
        <v/>
      </c>
      <c r="PK15" s="72" t="str">
        <f>IFERROR(IF(OR($B15="",PK$3=""),"",_xll.ciqfunctions.udf.CIQ($B15,"IQ_NON_PERFORMING_LOANS",PK$3,$E$3, $J$3, , $G$3, $H$3)/_xll.ciqfunctions.udf.CIQ($B15,"IQ_TOTAL_EQUITY",PK$3,$E$3, $J$3, , $G$3, $H$3)),"")</f>
        <v/>
      </c>
      <c r="PL15" s="72" t="str">
        <f>IFERROR(IF(OR($B15="",PL$3=""),"",_xll.ciqfunctions.udf.CIQ($B15,"IQ_NON_PERFORMING_LOANS",PL$3,$E$3, $J$3, , $G$3, $H$3)/_xll.ciqfunctions.udf.CIQ($B15,"IQ_TOTAL_EQUITY",PL$3,$E$3, $J$3, , $G$3, $H$3)),"")</f>
        <v/>
      </c>
      <c r="PM15" s="72" t="str">
        <f>IFERROR(IF(OR($B15="",PM$3=""),"",_xll.ciqfunctions.udf.CIQ($B15,"IQ_NON_PERFORMING_LOANS",PM$3,$E$3, $J$3, , $G$3, $H$3)/_xll.ciqfunctions.udf.CIQ($B15,"IQ_TOTAL_EQUITY",PM$3,$E$3, $J$3, , $G$3, $H$3)),"")</f>
        <v/>
      </c>
      <c r="PN15" s="72" t="str">
        <f>IFERROR(IF(OR($B15="",PN$3=""),"",_xll.ciqfunctions.udf.CIQ($B15,"IQ_NON_PERFORMING_LOANS",PN$3,$E$3, $J$3, , $G$3, $H$3)/_xll.ciqfunctions.udf.CIQ($B15,"IQ_TOTAL_EQUITY",PN$3,$E$3, $J$3, , $G$3, $H$3)),"")</f>
        <v/>
      </c>
      <c r="PO15" s="72" t="str">
        <f>IFERROR(IF(OR($B15="",PO$3=""),"",(_xll.ciqfunctions.udf.CIQ($B15,"IQ_LASTSALEPRICE",PO$4)/_xll.ciqfunctions.udf.CIQ($B15,"IQ_LASTSALEPRICE",PO$2)-1)+(_xll.ciqfunctions.udf.CIQ($B15, "IQ_DPS_1YR_ANN_GROWTH", "IQ_LTM", PO$4)/100)),"")</f>
        <v/>
      </c>
      <c r="PP15" s="72" t="str">
        <f>IFERROR(IF(OR($B15="",PP$3=""),"",(_xll.ciqfunctions.udf.CIQ($B15,"IQ_LASTSALEPRICE",PP$4)/_xll.ciqfunctions.udf.CIQ($B15,"IQ_LASTSALEPRICE",PP$2)-1)+(_xll.ciqfunctions.udf.CIQ($B15, "IQ_DPS_1YR_ANN_GROWTH", "IQ_LTM", PP$4)/100)),"")</f>
        <v/>
      </c>
      <c r="PQ15" s="72" t="str">
        <f>IFERROR(IF(OR($B15="",PQ$3=""),"",(_xll.ciqfunctions.udf.CIQ($B15,"IQ_LASTSALEPRICE",PQ$4)/_xll.ciqfunctions.udf.CIQ($B15,"IQ_LASTSALEPRICE",PQ$2)-1)+(_xll.ciqfunctions.udf.CIQ($B15, "IQ_DPS_1YR_ANN_GROWTH", "IQ_LTM", PQ$4)/100)),"")</f>
        <v/>
      </c>
      <c r="PR15" s="72" t="str">
        <f>IFERROR(IF(OR($B15="",PR$3=""),"",(_xll.ciqfunctions.udf.CIQ($B15,"IQ_LASTSALEPRICE",PR$4)/_xll.ciqfunctions.udf.CIQ($B15,"IQ_LASTSALEPRICE",PR$2)-1)+(_xll.ciqfunctions.udf.CIQ($B15, "IQ_DPS_1YR_ANN_GROWTH", "IQ_LTM", PR$4)/100)),"")</f>
        <v/>
      </c>
      <c r="PS15" s="72" t="str">
        <f>IFERROR(IF(OR($B15="",PS$3=""),"",(_xll.ciqfunctions.udf.CIQ($B15,"IQ_LASTSALEPRICE",PS$4)/_xll.ciqfunctions.udf.CIQ($B15,"IQ_LASTSALEPRICE",PS$2)-1)+(_xll.ciqfunctions.udf.CIQ($B15, "IQ_DPS_1YR_ANN_GROWTH", "IQ_LTM", PS$4)/100)),"")</f>
        <v/>
      </c>
      <c r="PT15" s="72" t="str">
        <f>IFERROR(IF(OR($B15="",PT$3=""),"",(_xll.ciqfunctions.udf.CIQ($B15,"IQ_LASTSALEPRICE",PT$4)/_xll.ciqfunctions.udf.CIQ($B15,"IQ_LASTSALEPRICE",PT$2)-1)+(_xll.ciqfunctions.udf.CIQ($B15, "IQ_DPS_1YR_ANN_GROWTH", "IQ_LTM", PT$4)/100)),"")</f>
        <v/>
      </c>
      <c r="PU15" s="72" t="str">
        <f>IFERROR(IF(OR($B15="",PU$3=""),"",(_xll.ciqfunctions.udf.CIQ($B15,"IQ_LASTSALEPRICE",PU$4)/_xll.ciqfunctions.udf.CIQ($B15,"IQ_LASTSALEPRICE",PU$2)-1)+(_xll.ciqfunctions.udf.CIQ($B15, "IQ_DPS_1YR_ANN_GROWTH", "IQ_LTM", PU$4)/100)),"")</f>
        <v/>
      </c>
      <c r="PV15" s="72" t="str">
        <f>IFERROR(IF(OR($B15="",PV$3=""),"",(_xll.ciqfunctions.udf.CIQ($B15,"IQ_LASTSALEPRICE",PV$4)/_xll.ciqfunctions.udf.CIQ($B15,"IQ_LASTSALEPRICE",PV$2)-1)+(_xll.ciqfunctions.udf.CIQ($B15, "IQ_DPS_1YR_ANN_GROWTH", "IQ_LTM", PV$4)/100)),"")</f>
        <v/>
      </c>
      <c r="PW15" s="72" t="str">
        <f>IFERROR(IF(OR($B15="",PW$3=""),"",(_xll.ciqfunctions.udf.CIQ($B15,"IQ_LASTSALEPRICE",PW$4)/_xll.ciqfunctions.udf.CIQ($B15,"IQ_LASTSALEPRICE",PW$2)-1)+(_xll.ciqfunctions.udf.CIQ($B15, "IQ_DPS_1YR_ANN_GROWTH", "IQ_LTM", PW$4)/100)),"")</f>
        <v/>
      </c>
      <c r="PX15" s="72" t="str">
        <f>IFERROR(IF(OR($B15="",PX$3=""),"",(_xll.ciqfunctions.udf.CIQ($B15,"IQ_LASTSALEPRICE",PX$4)/_xll.ciqfunctions.udf.CIQ($B15,"IQ_LASTSALEPRICE",PX$2)-1)+(_xll.ciqfunctions.udf.CIQ($B15, "IQ_DPS_1YR_ANN_GROWTH", "IQ_LTM", PX$4)/100)),"")</f>
        <v/>
      </c>
      <c r="PY15" s="72" t="str">
        <f>IFERROR(IF(OR($B15="",PY$3=""),"",(_xll.ciqfunctions.udf.CIQ($B15,"IQ_LASTSALEPRICE",PY$4)/_xll.ciqfunctions.udf.CIQ($B15,"IQ_LASTSALEPRICE",PY$2)-1)+(_xll.ciqfunctions.udf.CIQ($B15, "IQ_DPS_1YR_ANN_GROWTH", "IQ_LTM", PY$4)/100)),"")</f>
        <v/>
      </c>
      <c r="PZ15" s="72" t="str">
        <f>IFERROR(IF(OR($B15="",PZ$3=""),"",(_xll.ciqfunctions.udf.CIQ($B15,"IQ_LASTSALEPRICE",PZ$4)/_xll.ciqfunctions.udf.CIQ($B15,"IQ_LASTSALEPRICE",PZ$2)-1)+(_xll.ciqfunctions.udf.CIQ($B15, "IQ_DPS_1YR_ANN_GROWTH", "IQ_LTM", PZ$4)/100)),"")</f>
        <v/>
      </c>
      <c r="QA15" s="72" t="str">
        <f>IFERROR(IF(OR($B15="",QA$3=""),"",(_xll.ciqfunctions.udf.CIQ($B15,"IQ_LASTSALEPRICE",QA$4)/_xll.ciqfunctions.udf.CIQ($B15,"IQ_LASTSALEPRICE",QA$2)-1)+(_xll.ciqfunctions.udf.CIQ($B15, "IQ_DPS_1YR_ANN_GROWTH", "IQ_LTM", QA$4)/100)),"")</f>
        <v/>
      </c>
      <c r="QB15" s="72" t="str">
        <f>IFERROR(IF(OR($B15="",QB$3=""),"",(_xll.ciqfunctions.udf.CIQ($B15,"IQ_LASTSALEPRICE",QB$4)/_xll.ciqfunctions.udf.CIQ($B15,"IQ_LASTSALEPRICE",QB$2)-1)+(_xll.ciqfunctions.udf.CIQ($B15, "IQ_DPS_1YR_ANN_GROWTH", "IQ_LTM", QB$4)/100)),"")</f>
        <v/>
      </c>
      <c r="QC15" s="72" t="str">
        <f>IFERROR(IF(OR($B15="",QC$3=""),"",(_xll.ciqfunctions.udf.CIQ($B15,"IQ_LASTSALEPRICE",QC$4)/_xll.ciqfunctions.udf.CIQ($B15,"IQ_LASTSALEPRICE",QC$2)-1)+(_xll.ciqfunctions.udf.CIQ($B15, "IQ_DPS_1YR_ANN_GROWTH", "IQ_LTM", QC$4)/100)),"")</f>
        <v/>
      </c>
      <c r="QD15" s="72" t="str">
        <f>IFERROR(IF(OR($B15="",QD$3=""),"",(_xll.ciqfunctions.udf.CIQ($B15,"IQ_LASTSALEPRICE",QD$4)/_xll.ciqfunctions.udf.CIQ($B15,"IQ_LASTSALEPRICE",QD$2)-1)+(_xll.ciqfunctions.udf.CIQ($B15, "IQ_DPS_1YR_ANN_GROWTH", "IQ_LTM", QD$4)/100)),"")</f>
        <v/>
      </c>
      <c r="QE15" s="72" t="str">
        <f>IFERROR(IF(OR($B15="",QE$3=""),"",(_xll.ciqfunctions.udf.CIQ($B15,"IQ_LASTSALEPRICE",QE$4)/_xll.ciqfunctions.udf.CIQ($B15,"IQ_LASTSALEPRICE",QE$2)-1)+(_xll.ciqfunctions.udf.CIQ($B15, "IQ_DPS_1YR_ANN_GROWTH", "IQ_LTM", QE$4)/100)),"")</f>
        <v/>
      </c>
      <c r="QF15" s="72" t="str">
        <f>IFERROR(IF(OR($B15="",QF$3=""),"",(_xll.ciqfunctions.udf.CIQ($B15,"IQ_LASTSALEPRICE",QF$4)/_xll.ciqfunctions.udf.CIQ($B15,"IQ_LASTSALEPRICE",QF$2)-1)+(_xll.ciqfunctions.udf.CIQ($B15, "IQ_DPS_1YR_ANN_GROWTH", "IQ_LTM", QF$4)/100)),"")</f>
        <v/>
      </c>
      <c r="QG15" s="72" t="str">
        <f>IFERROR(IF(OR($B15="",QG$3=""),"",(_xll.ciqfunctions.udf.CIQ($B15,"IQ_LASTSALEPRICE",QG$4)/_xll.ciqfunctions.udf.CIQ($B15,"IQ_LASTSALEPRICE",QG$2)-1)+(_xll.ciqfunctions.udf.CIQ($B15, "IQ_DPS_1YR_ANN_GROWTH", "IQ_LTM", QG$4)/100)),"")</f>
        <v/>
      </c>
      <c r="QH15" s="72" t="str">
        <f>IFERROR(IF(OR($B15="",QH$3=""),"",(_xll.ciqfunctions.udf.CIQ($B15,"IQ_LASTSALEPRICE",QH$4)/_xll.ciqfunctions.udf.CIQ($B15,"IQ_LASTSALEPRICE",QH$2)-1)+(_xll.ciqfunctions.udf.CIQ($B15, "IQ_DPS_1YR_ANN_GROWTH", "IQ_LTM", QH$4)/100)),"")</f>
        <v/>
      </c>
      <c r="QI15" s="72" t="str">
        <f>IFERROR(IF(OR($B15="",QI$3=""),"",_xll.ciqfunctions.udf.CIQ($B15,"IQ_NI",QI$3,$E$3, $J$3, , $G$3, $H$3)*2/(_xll.ciqfunctions.udf.CIQ($B15,"IQ_TOTAL_BANK_CAPITAL",QI$3,$E$3, $J$3, , $G$3, $H$3)+_xll.ciqfunctions.udf.CIQ($B15,"IQ_TOTAL_BANK_CAPITAL","IQ_" &amp; LEFT(QI$3,2) &amp; "-1", QI$3, $J$3, , $G$3, $H$3))),"")</f>
        <v/>
      </c>
      <c r="QJ15" s="72" t="str">
        <f>IFERROR(IF(OR($B15="",QJ$3=""),"",_xll.ciqfunctions.udf.CIQ($B15,"IQ_NI",QJ$3,$E$3, $J$3, , $G$3, $H$3)*2/(_xll.ciqfunctions.udf.CIQ($B15,"IQ_TOTAL_BANK_CAPITAL",QJ$3,$E$3, $J$3, , $G$3, $H$3)+_xll.ciqfunctions.udf.CIQ($B15,"IQ_TOTAL_BANK_CAPITAL","IQ_" &amp; LEFT(QJ$3,2) &amp; "-1", QJ$3, $J$3, , $G$3, $H$3))),"")</f>
        <v/>
      </c>
      <c r="QK15" s="72" t="str">
        <f>IFERROR(IF(OR($B15="",QK$3=""),"",_xll.ciqfunctions.udf.CIQ($B15,"IQ_NI",QK$3,$E$3, $J$3, , $G$3, $H$3)*2/(_xll.ciqfunctions.udf.CIQ($B15,"IQ_TOTAL_BANK_CAPITAL",QK$3,$E$3, $J$3, , $G$3, $H$3)+_xll.ciqfunctions.udf.CIQ($B15,"IQ_TOTAL_BANK_CAPITAL","IQ_" &amp; LEFT(QK$3,2) &amp; "-1", QK$3, $J$3, , $G$3, $H$3))),"")</f>
        <v/>
      </c>
      <c r="QL15" s="72" t="str">
        <f>IFERROR(IF(OR($B15="",QL$3=""),"",_xll.ciqfunctions.udf.CIQ($B15,"IQ_NI",QL$3,$E$3, $J$3, , $G$3, $H$3)*2/(_xll.ciqfunctions.udf.CIQ($B15,"IQ_TOTAL_BANK_CAPITAL",QL$3,$E$3, $J$3, , $G$3, $H$3)+_xll.ciqfunctions.udf.CIQ($B15,"IQ_TOTAL_BANK_CAPITAL","IQ_" &amp; LEFT(QL$3,2) &amp; "-1", QL$3, $J$3, , $G$3, $H$3))),"")</f>
        <v/>
      </c>
      <c r="QM15" s="72" t="str">
        <f>IFERROR(IF(OR($B15="",QM$3=""),"",_xll.ciqfunctions.udf.CIQ($B15,"IQ_NI",QM$3,$E$3, $J$3, , $G$3, $H$3)*2/(_xll.ciqfunctions.udf.CIQ($B15,"IQ_TOTAL_BANK_CAPITAL",QM$3,$E$3, $J$3, , $G$3, $H$3)+_xll.ciqfunctions.udf.CIQ($B15,"IQ_TOTAL_BANK_CAPITAL","IQ_" &amp; LEFT(QM$3,2) &amp; "-1", QM$3, $J$3, , $G$3, $H$3))),"")</f>
        <v/>
      </c>
      <c r="QN15" s="72" t="str">
        <f>IFERROR(IF(OR($B15="",QN$3=""),"",_xll.ciqfunctions.udf.CIQ($B15,"IQ_NI",QN$3,$E$3, $J$3, , $G$3, $H$3)*2/(_xll.ciqfunctions.udf.CIQ($B15,"IQ_TOTAL_BANK_CAPITAL",QN$3,$E$3, $J$3, , $G$3, $H$3)+_xll.ciqfunctions.udf.CIQ($B15,"IQ_TOTAL_BANK_CAPITAL","IQ_" &amp; LEFT(QN$3,2) &amp; "-1", QN$3, $J$3, , $G$3, $H$3))),"")</f>
        <v/>
      </c>
      <c r="QO15" s="72" t="str">
        <f>IFERROR(IF(OR($B15="",QO$3=""),"",_xll.ciqfunctions.udf.CIQ($B15,"IQ_NI",QO$3,$E$3, $J$3, , $G$3, $H$3)*2/(_xll.ciqfunctions.udf.CIQ($B15,"IQ_TOTAL_BANK_CAPITAL",QO$3,$E$3, $J$3, , $G$3, $H$3)+_xll.ciqfunctions.udf.CIQ($B15,"IQ_TOTAL_BANK_CAPITAL","IQ_" &amp; LEFT(QO$3,2) &amp; "-1", QO$3, $J$3, , $G$3, $H$3))),"")</f>
        <v/>
      </c>
      <c r="QP15" s="72" t="str">
        <f>IFERROR(IF(OR($B15="",QP$3=""),"",_xll.ciqfunctions.udf.CIQ($B15,"IQ_NI",QP$3,$E$3, $J$3, , $G$3, $H$3)*2/(_xll.ciqfunctions.udf.CIQ($B15,"IQ_TOTAL_BANK_CAPITAL",QP$3,$E$3, $J$3, , $G$3, $H$3)+_xll.ciqfunctions.udf.CIQ($B15,"IQ_TOTAL_BANK_CAPITAL","IQ_" &amp; LEFT(QP$3,2) &amp; "-1", QP$3, $J$3, , $G$3, $H$3))),"")</f>
        <v/>
      </c>
      <c r="QQ15" s="72" t="str">
        <f>IFERROR(IF(OR($B15="",QQ$3=""),"",_xll.ciqfunctions.udf.CIQ($B15,"IQ_NI",QQ$3,$E$3, $J$3, , $G$3, $H$3)*2/(_xll.ciqfunctions.udf.CIQ($B15,"IQ_TOTAL_BANK_CAPITAL",QQ$3,$E$3, $J$3, , $G$3, $H$3)+_xll.ciqfunctions.udf.CIQ($B15,"IQ_TOTAL_BANK_CAPITAL","IQ_" &amp; LEFT(QQ$3,2) &amp; "-1", QQ$3, $J$3, , $G$3, $H$3))),"")</f>
        <v/>
      </c>
      <c r="QR15" s="72" t="str">
        <f>IFERROR(IF(OR($B15="",QR$3=""),"",_xll.ciqfunctions.udf.CIQ($B15,"IQ_NI",QR$3,$E$3, $J$3, , $G$3, $H$3)*2/(_xll.ciqfunctions.udf.CIQ($B15,"IQ_TOTAL_BANK_CAPITAL",QR$3,$E$3, $J$3, , $G$3, $H$3)+_xll.ciqfunctions.udf.CIQ($B15,"IQ_TOTAL_BANK_CAPITAL","IQ_" &amp; LEFT(QR$3,2) &amp; "-1", QR$3, $J$3, , $G$3, $H$3))),"")</f>
        <v/>
      </c>
      <c r="QS15" s="72" t="str">
        <f>IFERROR(IF(OR($B15="",QS$3=""),"",_xll.ciqfunctions.udf.CIQ($B15,"IQ_NI",QS$3,$E$3, $J$3, , $G$3, $H$3)*2/(_xll.ciqfunctions.udf.CIQ($B15,"IQ_TOTAL_BANK_CAPITAL",QS$3,$E$3, $J$3, , $G$3, $H$3)+_xll.ciqfunctions.udf.CIQ($B15,"IQ_TOTAL_BANK_CAPITAL","IQ_" &amp; LEFT(QS$3,2) &amp; "-1", QS$3, $J$3, , $G$3, $H$3))),"")</f>
        <v/>
      </c>
      <c r="QT15" s="72" t="str">
        <f>IFERROR(IF(OR($B15="",QT$3=""),"",_xll.ciqfunctions.udf.CIQ($B15,"IQ_NI",QT$3,$E$3, $J$3, , $G$3, $H$3)*2/(_xll.ciqfunctions.udf.CIQ($B15,"IQ_TOTAL_BANK_CAPITAL",QT$3,$E$3, $J$3, , $G$3, $H$3)+_xll.ciqfunctions.udf.CIQ($B15,"IQ_TOTAL_BANK_CAPITAL","IQ_" &amp; LEFT(QT$3,2) &amp; "-1", QT$3, $J$3, , $G$3, $H$3))),"")</f>
        <v/>
      </c>
      <c r="QU15" s="72" t="str">
        <f>IFERROR(IF(OR($B15="",QU$3=""),"",_xll.ciqfunctions.udf.CIQ($B15,"IQ_NI",QU$3,$E$3, $J$3, , $G$3, $H$3)*2/(_xll.ciqfunctions.udf.CIQ($B15,"IQ_TOTAL_BANK_CAPITAL",QU$3,$E$3, $J$3, , $G$3, $H$3)+_xll.ciqfunctions.udf.CIQ($B15,"IQ_TOTAL_BANK_CAPITAL","IQ_" &amp; LEFT(QU$3,2) &amp; "-1", QU$3, $J$3, , $G$3, $H$3))),"")</f>
        <v/>
      </c>
      <c r="QV15" s="72" t="str">
        <f>IFERROR(IF(OR($B15="",QV$3=""),"",_xll.ciqfunctions.udf.CIQ($B15,"IQ_NI",QV$3,$E$3, $J$3, , $G$3, $H$3)*2/(_xll.ciqfunctions.udf.CIQ($B15,"IQ_TOTAL_BANK_CAPITAL",QV$3,$E$3, $J$3, , $G$3, $H$3)+_xll.ciqfunctions.udf.CIQ($B15,"IQ_TOTAL_BANK_CAPITAL","IQ_" &amp; LEFT(QV$3,2) &amp; "-1", QV$3, $J$3, , $G$3, $H$3))),"")</f>
        <v/>
      </c>
      <c r="QW15" s="72" t="str">
        <f>IFERROR(IF(OR($B15="",QW$3=""),"",_xll.ciqfunctions.udf.CIQ($B15,"IQ_NI",QW$3,$E$3, $J$3, , $G$3, $H$3)*2/(_xll.ciqfunctions.udf.CIQ($B15,"IQ_TOTAL_BANK_CAPITAL",QW$3,$E$3, $J$3, , $G$3, $H$3)+_xll.ciqfunctions.udf.CIQ($B15,"IQ_TOTAL_BANK_CAPITAL","IQ_" &amp; LEFT(QW$3,2) &amp; "-1", QW$3, $J$3, , $G$3, $H$3))),"")</f>
        <v/>
      </c>
      <c r="QX15" s="72" t="str">
        <f>IFERROR(IF(OR($B15="",QX$3=""),"",_xll.ciqfunctions.udf.CIQ($B15,"IQ_NI",QX$3,$E$3, $J$3, , $G$3, $H$3)*2/(_xll.ciqfunctions.udf.CIQ($B15,"IQ_TOTAL_BANK_CAPITAL",QX$3,$E$3, $J$3, , $G$3, $H$3)+_xll.ciqfunctions.udf.CIQ($B15,"IQ_TOTAL_BANK_CAPITAL","IQ_" &amp; LEFT(QX$3,2) &amp; "-1", QX$3, $J$3, , $G$3, $H$3))),"")</f>
        <v/>
      </c>
      <c r="QY15" s="72" t="str">
        <f>IFERROR(IF(OR($B15="",QY$3=""),"",_xll.ciqfunctions.udf.CIQ($B15,"IQ_NI",QY$3,$E$3, $J$3, , $G$3, $H$3)*2/(_xll.ciqfunctions.udf.CIQ($B15,"IQ_TOTAL_BANK_CAPITAL",QY$3,$E$3, $J$3, , $G$3, $H$3)+_xll.ciqfunctions.udf.CIQ($B15,"IQ_TOTAL_BANK_CAPITAL","IQ_" &amp; LEFT(QY$3,2) &amp; "-1", QY$3, $J$3, , $G$3, $H$3))),"")</f>
        <v/>
      </c>
      <c r="QZ15" s="72" t="str">
        <f>IFERROR(IF(OR($B15="",QZ$3=""),"",_xll.ciqfunctions.udf.CIQ($B15,"IQ_NI",QZ$3,$E$3, $J$3, , $G$3, $H$3)*2/(_xll.ciqfunctions.udf.CIQ($B15,"IQ_TOTAL_BANK_CAPITAL",QZ$3,$E$3, $J$3, , $G$3, $H$3)+_xll.ciqfunctions.udf.CIQ($B15,"IQ_TOTAL_BANK_CAPITAL","IQ_" &amp; LEFT(QZ$3,2) &amp; "-1", QZ$3, $J$3, , $G$3, $H$3))),"")</f>
        <v/>
      </c>
      <c r="RA15" s="72" t="str">
        <f>IFERROR(IF(OR($B15="",RA$3=""),"",_xll.ciqfunctions.udf.CIQ($B15,"IQ_NI",RA$3,$E$3, $J$3, , $G$3, $H$3)*2/(_xll.ciqfunctions.udf.CIQ($B15,"IQ_TOTAL_BANK_CAPITAL",RA$3,$E$3, $J$3, , $G$3, $H$3)+_xll.ciqfunctions.udf.CIQ($B15,"IQ_TOTAL_BANK_CAPITAL","IQ_" &amp; LEFT(RA$3,2) &amp; "-1", RA$3, $J$3, , $G$3, $H$3))),"")</f>
        <v/>
      </c>
      <c r="RB15" s="72" t="str">
        <f>IFERROR(IF(OR($B15="",RB$3=""),"",_xll.ciqfunctions.udf.CIQ($B15,"IQ_NI",RB$3,$E$3, $J$3, , $G$3, $H$3)*2/(_xll.ciqfunctions.udf.CIQ($B15,"IQ_TOTAL_BANK_CAPITAL",RB$3,$E$3, $J$3, , $G$3, $H$3)+_xll.ciqfunctions.udf.CIQ($B15,"IQ_TOTAL_BANK_CAPITAL","IQ_" &amp; LEFT(RB$3,2) &amp; "-1", RB$3, $J$3, , $G$3, $H$3))),"")</f>
        <v/>
      </c>
      <c r="RC15" s="628" t="str">
        <f>IFERROR(IF(OR($B15="",RC$4=""),"",(IFERROR(_xll.ciqfunctions.udf.CIQ($B15,"IQ_MARKETCAP",RC$4),0)+IFERROR(_xll.ciqfunctions.udf.CIQ($B15,"IQ_TOTAL_DEBT",RC$3),0)+IFERROR(_xll.ciqfunctions.udf.CIQ($B15,"IQ_PREF_EQUITY",RC$3),0)+IFERROR(_xll.ciqfunctions.udf.CIQ($B15,"IQ_MINORITY_INTEREST",RC$3),0)-IFERROR(_xll.ciqfunctions.udf.CIQ($B15,"IQ_ST_INVEST",RC$3),0)-IFERROR(_xll.ciqfunctions.udf.CIQ($B15,"IQ_cash_equiv",RC$3),0))/_xll.ciqfunctions.udf.CIQ($B15,"IQ_TOTAL_BANK_CAPITAL",QI$3,$E$3,$J$3,,$G$3,$H$3)),"")</f>
        <v/>
      </c>
      <c r="RD15" s="628" t="str">
        <f>IFERROR(IF(OR($B15="",RD$4=""),"",(IFERROR(_xll.ciqfunctions.udf.CIQ($B15,"IQ_MARKETCAP",RD$4),0)+IFERROR(_xll.ciqfunctions.udf.CIQ($B15,"IQ_TOTAL_DEBT",RD$3),0)+IFERROR(_xll.ciqfunctions.udf.CIQ($B15,"IQ_PREF_EQUITY",RD$3),0)+IFERROR(_xll.ciqfunctions.udf.CIQ($B15,"IQ_MINORITY_INTEREST",RD$3),0)-IFERROR(_xll.ciqfunctions.udf.CIQ($B15,"IQ_ST_INVEST",RD$3),0)-IFERROR(_xll.ciqfunctions.udf.CIQ($B15,"IQ_cash_equiv",RD$3),0))/_xll.ciqfunctions.udf.CIQ($B15,"IQ_TOTAL_BANK_CAPITAL",QJ$3,$E$3,$J$3,,$G$3,$H$3)),"")</f>
        <v/>
      </c>
      <c r="RE15" s="628" t="str">
        <f>IFERROR(IF(OR($B15="",RE$4=""),"",(IFERROR(_xll.ciqfunctions.udf.CIQ($B15,"IQ_MARKETCAP",RE$4),0)+IFERROR(_xll.ciqfunctions.udf.CIQ($B15,"IQ_TOTAL_DEBT",RE$3),0)+IFERROR(_xll.ciqfunctions.udf.CIQ($B15,"IQ_PREF_EQUITY",RE$3),0)+IFERROR(_xll.ciqfunctions.udf.CIQ($B15,"IQ_MINORITY_INTEREST",RE$3),0)-IFERROR(_xll.ciqfunctions.udf.CIQ($B15,"IQ_ST_INVEST",RE$3),0)-IFERROR(_xll.ciqfunctions.udf.CIQ($B15,"IQ_cash_equiv",RE$3),0))/_xll.ciqfunctions.udf.CIQ($B15,"IQ_TOTAL_BANK_CAPITAL",QK$3,$E$3,$J$3,,$G$3,$H$3)),"")</f>
        <v/>
      </c>
      <c r="RF15" s="628" t="str">
        <f>IFERROR(IF(OR($B15="",RF$4=""),"",(IFERROR(_xll.ciqfunctions.udf.CIQ($B15,"IQ_MARKETCAP",RF$4),0)+IFERROR(_xll.ciqfunctions.udf.CIQ($B15,"IQ_TOTAL_DEBT",RF$3),0)+IFERROR(_xll.ciqfunctions.udf.CIQ($B15,"IQ_PREF_EQUITY",RF$3),0)+IFERROR(_xll.ciqfunctions.udf.CIQ($B15,"IQ_MINORITY_INTEREST",RF$3),0)-IFERROR(_xll.ciqfunctions.udf.CIQ($B15,"IQ_ST_INVEST",RF$3),0)-IFERROR(_xll.ciqfunctions.udf.CIQ($B15,"IQ_cash_equiv",RF$3),0))/_xll.ciqfunctions.udf.CIQ($B15,"IQ_TOTAL_BANK_CAPITAL",QL$3,$E$3,$J$3,,$G$3,$H$3)),"")</f>
        <v/>
      </c>
      <c r="RG15" s="628" t="str">
        <f>IFERROR(IF(OR($B15="",RG$4=""),"",(IFERROR(_xll.ciqfunctions.udf.CIQ($B15,"IQ_MARKETCAP",RG$4),0)+IFERROR(_xll.ciqfunctions.udf.CIQ($B15,"IQ_TOTAL_DEBT",RG$3),0)+IFERROR(_xll.ciqfunctions.udf.CIQ($B15,"IQ_PREF_EQUITY",RG$3),0)+IFERROR(_xll.ciqfunctions.udf.CIQ($B15,"IQ_MINORITY_INTEREST",RG$3),0)-IFERROR(_xll.ciqfunctions.udf.CIQ($B15,"IQ_ST_INVEST",RG$3),0)-IFERROR(_xll.ciqfunctions.udf.CIQ($B15,"IQ_cash_equiv",RG$3),0))/_xll.ciqfunctions.udf.CIQ($B15,"IQ_TOTAL_BANK_CAPITAL",QM$3,$E$3,$J$3,,$G$3,$H$3)),"")</f>
        <v/>
      </c>
      <c r="RH15" s="628" t="str">
        <f>IFERROR(IF(OR($B15="",RH$4=""),"",(IFERROR(_xll.ciqfunctions.udf.CIQ($B15,"IQ_MARKETCAP",RH$4),0)+IFERROR(_xll.ciqfunctions.udf.CIQ($B15,"IQ_TOTAL_DEBT",RH$3),0)+IFERROR(_xll.ciqfunctions.udf.CIQ($B15,"IQ_PREF_EQUITY",RH$3),0)+IFERROR(_xll.ciqfunctions.udf.CIQ($B15,"IQ_MINORITY_INTEREST",RH$3),0)-IFERROR(_xll.ciqfunctions.udf.CIQ($B15,"IQ_ST_INVEST",RH$3),0)-IFERROR(_xll.ciqfunctions.udf.CIQ($B15,"IQ_cash_equiv",RH$3),0))/_xll.ciqfunctions.udf.CIQ($B15,"IQ_TOTAL_BANK_CAPITAL",QN$3,$E$3,$J$3,,$G$3,$H$3)),"")</f>
        <v/>
      </c>
      <c r="RI15" s="628" t="str">
        <f>IFERROR(IF(OR($B15="",RI$4=""),"",(IFERROR(_xll.ciqfunctions.udf.CIQ($B15,"IQ_MARKETCAP",RI$4),0)+IFERROR(_xll.ciqfunctions.udf.CIQ($B15,"IQ_TOTAL_DEBT",RI$3),0)+IFERROR(_xll.ciqfunctions.udf.CIQ($B15,"IQ_PREF_EQUITY",RI$3),0)+IFERROR(_xll.ciqfunctions.udf.CIQ($B15,"IQ_MINORITY_INTEREST",RI$3),0)-IFERROR(_xll.ciqfunctions.udf.CIQ($B15,"IQ_ST_INVEST",RI$3),0)-IFERROR(_xll.ciqfunctions.udf.CIQ($B15,"IQ_cash_equiv",RI$3),0))/_xll.ciqfunctions.udf.CIQ($B15,"IQ_TOTAL_BANK_CAPITAL",QO$3,$E$3,$J$3,,$G$3,$H$3)),"")</f>
        <v/>
      </c>
      <c r="RJ15" s="628" t="str">
        <f>IFERROR(IF(OR($B15="",RJ$4=""),"",(IFERROR(_xll.ciqfunctions.udf.CIQ($B15,"IQ_MARKETCAP",RJ$4),0)+IFERROR(_xll.ciqfunctions.udf.CIQ($B15,"IQ_TOTAL_DEBT",RJ$3),0)+IFERROR(_xll.ciqfunctions.udf.CIQ($B15,"IQ_PREF_EQUITY",RJ$3),0)+IFERROR(_xll.ciqfunctions.udf.CIQ($B15,"IQ_MINORITY_INTEREST",RJ$3),0)-IFERROR(_xll.ciqfunctions.udf.CIQ($B15,"IQ_ST_INVEST",RJ$3),0)-IFERROR(_xll.ciqfunctions.udf.CIQ($B15,"IQ_cash_equiv",RJ$3),0))/_xll.ciqfunctions.udf.CIQ($B15,"IQ_TOTAL_BANK_CAPITAL",QP$3,$E$3,$J$3,,$G$3,$H$3)),"")</f>
        <v/>
      </c>
      <c r="RK15" s="628" t="str">
        <f>IFERROR(IF(OR($B15="",RK$4=""),"",(IFERROR(_xll.ciqfunctions.udf.CIQ($B15,"IQ_MARKETCAP",RK$4),0)+IFERROR(_xll.ciqfunctions.udf.CIQ($B15,"IQ_TOTAL_DEBT",RK$3),0)+IFERROR(_xll.ciqfunctions.udf.CIQ($B15,"IQ_PREF_EQUITY",RK$3),0)+IFERROR(_xll.ciqfunctions.udf.CIQ($B15,"IQ_MINORITY_INTEREST",RK$3),0)-IFERROR(_xll.ciqfunctions.udf.CIQ($B15,"IQ_ST_INVEST",RK$3),0)-IFERROR(_xll.ciqfunctions.udf.CIQ($B15,"IQ_cash_equiv",RK$3),0))/_xll.ciqfunctions.udf.CIQ($B15,"IQ_TOTAL_BANK_CAPITAL",QQ$3,$E$3,$J$3,,$G$3,$H$3)),"")</f>
        <v/>
      </c>
      <c r="RL15" s="628" t="str">
        <f>IFERROR(IF(OR($B15="",RL$4=""),"",(IFERROR(_xll.ciqfunctions.udf.CIQ($B15,"IQ_MARKETCAP",RL$4),0)+IFERROR(_xll.ciqfunctions.udf.CIQ($B15,"IQ_TOTAL_DEBT",RL$3),0)+IFERROR(_xll.ciqfunctions.udf.CIQ($B15,"IQ_PREF_EQUITY",RL$3),0)+IFERROR(_xll.ciqfunctions.udf.CIQ($B15,"IQ_MINORITY_INTEREST",RL$3),0)-IFERROR(_xll.ciqfunctions.udf.CIQ($B15,"IQ_ST_INVEST",RL$3),0)-IFERROR(_xll.ciqfunctions.udf.CIQ($B15,"IQ_cash_equiv",RL$3),0))/_xll.ciqfunctions.udf.CIQ($B15,"IQ_TOTAL_BANK_CAPITAL",QR$3,$E$3,$J$3,,$G$3,$H$3)),"")</f>
        <v/>
      </c>
      <c r="RM15" s="628" t="str">
        <f>IFERROR(IF(OR($B15="",RM$4=""),"",(IFERROR(_xll.ciqfunctions.udf.CIQ($B15,"IQ_MARKETCAP",RM$4),0)+IFERROR(_xll.ciqfunctions.udf.CIQ($B15,"IQ_TOTAL_DEBT",RM$3),0)+IFERROR(_xll.ciqfunctions.udf.CIQ($B15,"IQ_PREF_EQUITY",RM$3),0)+IFERROR(_xll.ciqfunctions.udf.CIQ($B15,"IQ_MINORITY_INTEREST",RM$3),0)-IFERROR(_xll.ciqfunctions.udf.CIQ($B15,"IQ_ST_INVEST",RM$3),0)-IFERROR(_xll.ciqfunctions.udf.CIQ($B15,"IQ_cash_equiv",RM$3),0))/_xll.ciqfunctions.udf.CIQ($B15,"IQ_TOTAL_BANK_CAPITAL",QS$3,$E$3,$J$3,,$G$3,$H$3)),"")</f>
        <v/>
      </c>
      <c r="RN15" s="628" t="str">
        <f>IFERROR(IF(OR($B15="",RN$4=""),"",(IFERROR(_xll.ciqfunctions.udf.CIQ($B15,"IQ_MARKETCAP",RN$4),0)+IFERROR(_xll.ciqfunctions.udf.CIQ($B15,"IQ_TOTAL_DEBT",RN$3),0)+IFERROR(_xll.ciqfunctions.udf.CIQ($B15,"IQ_PREF_EQUITY",RN$3),0)+IFERROR(_xll.ciqfunctions.udf.CIQ($B15,"IQ_MINORITY_INTEREST",RN$3),0)-IFERROR(_xll.ciqfunctions.udf.CIQ($B15,"IQ_ST_INVEST",RN$3),0)-IFERROR(_xll.ciqfunctions.udf.CIQ($B15,"IQ_cash_equiv",RN$3),0))/_xll.ciqfunctions.udf.CIQ($B15,"IQ_TOTAL_BANK_CAPITAL",QT$3,$E$3,$J$3,,$G$3,$H$3)),"")</f>
        <v/>
      </c>
      <c r="RO15" s="628" t="str">
        <f>IFERROR(IF(OR($B15="",RO$4=""),"",(IFERROR(_xll.ciqfunctions.udf.CIQ($B15,"IQ_MARKETCAP",RO$4),0)+IFERROR(_xll.ciqfunctions.udf.CIQ($B15,"IQ_TOTAL_DEBT",RO$3),0)+IFERROR(_xll.ciqfunctions.udf.CIQ($B15,"IQ_PREF_EQUITY",RO$3),0)+IFERROR(_xll.ciqfunctions.udf.CIQ($B15,"IQ_MINORITY_INTEREST",RO$3),0)-IFERROR(_xll.ciqfunctions.udf.CIQ($B15,"IQ_ST_INVEST",RO$3),0)-IFERROR(_xll.ciqfunctions.udf.CIQ($B15,"IQ_cash_equiv",RO$3),0))/_xll.ciqfunctions.udf.CIQ($B15,"IQ_TOTAL_BANK_CAPITAL",QU$3,$E$3,$J$3,,$G$3,$H$3)),"")</f>
        <v/>
      </c>
      <c r="RP15" s="628" t="str">
        <f>IFERROR(IF(OR($B15="",RP$4=""),"",(IFERROR(_xll.ciqfunctions.udf.CIQ($B15,"IQ_MARKETCAP",RP$4),0)+IFERROR(_xll.ciqfunctions.udf.CIQ($B15,"IQ_TOTAL_DEBT",RP$3),0)+IFERROR(_xll.ciqfunctions.udf.CIQ($B15,"IQ_PREF_EQUITY",RP$3),0)+IFERROR(_xll.ciqfunctions.udf.CIQ($B15,"IQ_MINORITY_INTEREST",RP$3),0)-IFERROR(_xll.ciqfunctions.udf.CIQ($B15,"IQ_ST_INVEST",RP$3),0)-IFERROR(_xll.ciqfunctions.udf.CIQ($B15,"IQ_cash_equiv",RP$3),0))/_xll.ciqfunctions.udf.CIQ($B15,"IQ_TOTAL_BANK_CAPITAL",QV$3,$E$3,$J$3,,$G$3,$H$3)),"")</f>
        <v/>
      </c>
      <c r="RQ15" s="628" t="str">
        <f>IFERROR(IF(OR($B15="",RQ$4=""),"",(IFERROR(_xll.ciqfunctions.udf.CIQ($B15,"IQ_MARKETCAP",RQ$4),0)+IFERROR(_xll.ciqfunctions.udf.CIQ($B15,"IQ_TOTAL_DEBT",RQ$3),0)+IFERROR(_xll.ciqfunctions.udf.CIQ($B15,"IQ_PREF_EQUITY",RQ$3),0)+IFERROR(_xll.ciqfunctions.udf.CIQ($B15,"IQ_MINORITY_INTEREST",RQ$3),0)-IFERROR(_xll.ciqfunctions.udf.CIQ($B15,"IQ_ST_INVEST",RQ$3),0)-IFERROR(_xll.ciqfunctions.udf.CIQ($B15,"IQ_cash_equiv",RQ$3),0))/_xll.ciqfunctions.udf.CIQ($B15,"IQ_TOTAL_BANK_CAPITAL",QW$3,$E$3,$J$3,,$G$3,$H$3)),"")</f>
        <v/>
      </c>
      <c r="RR15" s="628" t="str">
        <f>IFERROR(IF(OR($B15="",RR$4=""),"",(IFERROR(_xll.ciqfunctions.udf.CIQ($B15,"IQ_MARKETCAP",RR$4),0)+IFERROR(_xll.ciqfunctions.udf.CIQ($B15,"IQ_TOTAL_DEBT",RR$3),0)+IFERROR(_xll.ciqfunctions.udf.CIQ($B15,"IQ_PREF_EQUITY",RR$3),0)+IFERROR(_xll.ciqfunctions.udf.CIQ($B15,"IQ_MINORITY_INTEREST",RR$3),0)-IFERROR(_xll.ciqfunctions.udf.CIQ($B15,"IQ_ST_INVEST",RR$3),0)-IFERROR(_xll.ciqfunctions.udf.CIQ($B15,"IQ_cash_equiv",RR$3),0))/_xll.ciqfunctions.udf.CIQ($B15,"IQ_TOTAL_BANK_CAPITAL",QX$3,$E$3,$J$3,,$G$3,$H$3)),"")</f>
        <v/>
      </c>
      <c r="RS15" s="628" t="str">
        <f>IFERROR(IF(OR($B15="",RS$4=""),"",(IFERROR(_xll.ciqfunctions.udf.CIQ($B15,"IQ_MARKETCAP",RS$4),0)+IFERROR(_xll.ciqfunctions.udf.CIQ($B15,"IQ_TOTAL_DEBT",RS$3),0)+IFERROR(_xll.ciqfunctions.udf.CIQ($B15,"IQ_PREF_EQUITY",RS$3),0)+IFERROR(_xll.ciqfunctions.udf.CIQ($B15,"IQ_MINORITY_INTEREST",RS$3),0)-IFERROR(_xll.ciqfunctions.udf.CIQ($B15,"IQ_ST_INVEST",RS$3),0)-IFERROR(_xll.ciqfunctions.udf.CIQ($B15,"IQ_cash_equiv",RS$3),0))/_xll.ciqfunctions.udf.CIQ($B15,"IQ_TOTAL_BANK_CAPITAL",QY$3,$E$3,$J$3,,$G$3,$H$3)),"")</f>
        <v/>
      </c>
      <c r="RT15" s="628" t="str">
        <f>IFERROR(IF(OR($B15="",RT$4=""),"",(IFERROR(_xll.ciqfunctions.udf.CIQ($B15,"IQ_MARKETCAP",RT$4),0)+IFERROR(_xll.ciqfunctions.udf.CIQ($B15,"IQ_TOTAL_DEBT",RT$3),0)+IFERROR(_xll.ciqfunctions.udf.CIQ($B15,"IQ_PREF_EQUITY",RT$3),0)+IFERROR(_xll.ciqfunctions.udf.CIQ($B15,"IQ_MINORITY_INTEREST",RT$3),0)-IFERROR(_xll.ciqfunctions.udf.CIQ($B15,"IQ_ST_INVEST",RT$3),0)-IFERROR(_xll.ciqfunctions.udf.CIQ($B15,"IQ_cash_equiv",RT$3),0))/_xll.ciqfunctions.udf.CIQ($B15,"IQ_TOTAL_BANK_CAPITAL",QZ$3,$E$3,$J$3,,$G$3,$H$3)),"")</f>
        <v/>
      </c>
      <c r="RU15" s="628" t="str">
        <f>IFERROR(IF(OR($B15="",RU$4=""),"",(IFERROR(_xll.ciqfunctions.udf.CIQ($B15,"IQ_MARKETCAP",RU$4),0)+IFERROR(_xll.ciqfunctions.udf.CIQ($B15,"IQ_TOTAL_DEBT",RU$3),0)+IFERROR(_xll.ciqfunctions.udf.CIQ($B15,"IQ_PREF_EQUITY",RU$3),0)+IFERROR(_xll.ciqfunctions.udf.CIQ($B15,"IQ_MINORITY_INTEREST",RU$3),0)-IFERROR(_xll.ciqfunctions.udf.CIQ($B15,"IQ_ST_INVEST",RU$3),0)-IFERROR(_xll.ciqfunctions.udf.CIQ($B15,"IQ_cash_equiv",RU$3),0))/_xll.ciqfunctions.udf.CIQ($B15,"IQ_TOTAL_BANK_CAPITAL",RA$3,$E$3,$J$3,,$G$3,$H$3)),"")</f>
        <v/>
      </c>
      <c r="RV15" s="628" t="str">
        <f>IFERROR(IF(OR($B15="",RV$4=""),"",(IFERROR(_xll.ciqfunctions.udf.CIQ($B15,"IQ_MARKETCAP",RV$4),0)+IFERROR(_xll.ciqfunctions.udf.CIQ($B15,"IQ_TOTAL_DEBT",RV$3),0)+IFERROR(_xll.ciqfunctions.udf.CIQ($B15,"IQ_PREF_EQUITY",RV$3),0)+IFERROR(_xll.ciqfunctions.udf.CIQ($B15,"IQ_MINORITY_INTEREST",RV$3),0)-IFERROR(_xll.ciqfunctions.udf.CIQ($B15,"IQ_ST_INVEST",RV$3),0)-IFERROR(_xll.ciqfunctions.udf.CIQ($B15,"IQ_cash_equiv",RV$3),0))/_xll.ciqfunctions.udf.CIQ($B15,"IQ_TOTAL_BANK_CAPITAL",RB$3,$E$3,$J$3,,$G$3,$H$3)),"")</f>
        <v/>
      </c>
      <c r="RW15" s="72" t="str">
        <f t="shared" si="331"/>
        <v>0</v>
      </c>
      <c r="RX15" s="72" t="str">
        <f t="shared" si="332"/>
        <v/>
      </c>
      <c r="RY15" s="72" t="str">
        <f t="shared" si="333"/>
        <v/>
      </c>
      <c r="RZ15" s="72" t="str">
        <f t="shared" si="334"/>
        <v/>
      </c>
      <c r="SA15" s="72" t="str">
        <f t="shared" si="335"/>
        <v/>
      </c>
      <c r="SB15" s="72" t="str">
        <f t="shared" si="336"/>
        <v/>
      </c>
      <c r="SC15" s="72" t="str">
        <f t="shared" si="337"/>
        <v/>
      </c>
      <c r="SD15" s="72" t="str">
        <f t="shared" si="338"/>
        <v/>
      </c>
      <c r="SE15" s="72" t="str">
        <f t="shared" si="339"/>
        <v/>
      </c>
      <c r="SF15" s="72" t="str">
        <f t="shared" si="340"/>
        <v/>
      </c>
      <c r="SG15" s="72" t="str">
        <f t="shared" si="341"/>
        <v/>
      </c>
      <c r="SH15" s="72" t="str">
        <f t="shared" si="342"/>
        <v/>
      </c>
      <c r="SI15" s="72" t="str">
        <f t="shared" si="343"/>
        <v/>
      </c>
      <c r="SJ15" s="72" t="str">
        <f t="shared" si="344"/>
        <v/>
      </c>
      <c r="SK15" s="72" t="str">
        <f t="shared" si="345"/>
        <v/>
      </c>
      <c r="SL15" s="72" t="str">
        <f t="shared" si="346"/>
        <v/>
      </c>
      <c r="SM15" s="72" t="str">
        <f t="shared" si="347"/>
        <v/>
      </c>
      <c r="SN15" s="72" t="str">
        <f t="shared" si="348"/>
        <v/>
      </c>
      <c r="SO15" s="72" t="str">
        <f t="shared" si="349"/>
        <v/>
      </c>
      <c r="SP15" s="72" t="str">
        <f t="shared" si="350"/>
        <v/>
      </c>
      <c r="SQ15" s="72" t="str">
        <f>IFERROR(IF(OR($B15="",SQ$3=""),"",_xll.ciqfunctions.udf.CIQ($B15,"IQ_TOTAL_DEPOSITS",SQ$3,$E$3, $J$3, , $G$3, $H$3)/_xll.ciqfunctions.udf.CIQ($B15,"IQ_TOTAL_ASSETS",SQ$3,$E$3, $J$3, , $G$3, $H$3)),"")</f>
        <v/>
      </c>
      <c r="SR15" s="72" t="str">
        <f>IFERROR(IF(OR($B15="",SR$3=""),"",_xll.ciqfunctions.udf.CIQ($B15,"IQ_TOTAL_DEPOSITS",SR$3,$E$3, $J$3, , $G$3, $H$3)/_xll.ciqfunctions.udf.CIQ($B15,"IQ_TOTAL_ASSETS",SR$3,$E$3, $J$3, , $G$3, $H$3)),"")</f>
        <v/>
      </c>
      <c r="SS15" s="72" t="str">
        <f>IFERROR(IF(OR($B15="",SS$3=""),"",_xll.ciqfunctions.udf.CIQ($B15,"IQ_TOTAL_DEPOSITS",SS$3,$E$3, $J$3, , $G$3, $H$3)/_xll.ciqfunctions.udf.CIQ($B15,"IQ_TOTAL_ASSETS",SS$3,$E$3, $J$3, , $G$3, $H$3)),"")</f>
        <v/>
      </c>
      <c r="ST15" s="72" t="str">
        <f>IFERROR(IF(OR($B15="",ST$3=""),"",_xll.ciqfunctions.udf.CIQ($B15,"IQ_TOTAL_DEPOSITS",ST$3,$E$3, $J$3, , $G$3, $H$3)/_xll.ciqfunctions.udf.CIQ($B15,"IQ_TOTAL_ASSETS",ST$3,$E$3, $J$3, , $G$3, $H$3)),"")</f>
        <v/>
      </c>
      <c r="SU15" s="72" t="str">
        <f>IFERROR(IF(OR($B15="",SU$3=""),"",_xll.ciqfunctions.udf.CIQ($B15,"IQ_TOTAL_DEPOSITS",SU$3,$E$3, $J$3, , $G$3, $H$3)/_xll.ciqfunctions.udf.CIQ($B15,"IQ_TOTAL_ASSETS",SU$3,$E$3, $J$3, , $G$3, $H$3)),"")</f>
        <v/>
      </c>
      <c r="SV15" s="72" t="str">
        <f>IFERROR(IF(OR($B15="",SV$3=""),"",_xll.ciqfunctions.udf.CIQ($B15,"IQ_TOTAL_DEPOSITS",SV$3,$E$3, $J$3, , $G$3, $H$3)/_xll.ciqfunctions.udf.CIQ($B15,"IQ_TOTAL_ASSETS",SV$3,$E$3, $J$3, , $G$3, $H$3)),"")</f>
        <v/>
      </c>
      <c r="SW15" s="72" t="str">
        <f>IFERROR(IF(OR($B15="",SW$3=""),"",_xll.ciqfunctions.udf.CIQ($B15,"IQ_TOTAL_DEPOSITS",SW$3,$E$3, $J$3, , $G$3, $H$3)/_xll.ciqfunctions.udf.CIQ($B15,"IQ_TOTAL_ASSETS",SW$3,$E$3, $J$3, , $G$3, $H$3)),"")</f>
        <v/>
      </c>
      <c r="SX15" s="72" t="str">
        <f>IFERROR(IF(OR($B15="",SX$3=""),"",_xll.ciqfunctions.udf.CIQ($B15,"IQ_TOTAL_DEPOSITS",SX$3,$E$3, $J$3, , $G$3, $H$3)/_xll.ciqfunctions.udf.CIQ($B15,"IQ_TOTAL_ASSETS",SX$3,$E$3, $J$3, , $G$3, $H$3)),"")</f>
        <v/>
      </c>
      <c r="SY15" s="72" t="str">
        <f>IFERROR(IF(OR($B15="",SY$3=""),"",_xll.ciqfunctions.udf.CIQ($B15,"IQ_TOTAL_DEPOSITS",SY$3,$E$3, $J$3, , $G$3, $H$3)/_xll.ciqfunctions.udf.CIQ($B15,"IQ_TOTAL_ASSETS",SY$3,$E$3, $J$3, , $G$3, $H$3)),"")</f>
        <v/>
      </c>
      <c r="SZ15" s="72" t="str">
        <f>IFERROR(IF(OR($B15="",SZ$3=""),"",_xll.ciqfunctions.udf.CIQ($B15,"IQ_TOTAL_DEPOSITS",SZ$3,$E$3, $J$3, , $G$3, $H$3)/_xll.ciqfunctions.udf.CIQ($B15,"IQ_TOTAL_ASSETS",SZ$3,$E$3, $J$3, , $G$3, $H$3)),"")</f>
        <v/>
      </c>
      <c r="TA15" s="72" t="str">
        <f>IFERROR(IF(OR($B15="",TA$3=""),"",_xll.ciqfunctions.udf.CIQ($B15,"IQ_TOTAL_DEPOSITS",TA$3,$E$3, $J$3, , $G$3, $H$3)/_xll.ciqfunctions.udf.CIQ($B15,"IQ_TOTAL_ASSETS",TA$3,$E$3, $J$3, , $G$3, $H$3)),"")</f>
        <v/>
      </c>
      <c r="TB15" s="72" t="str">
        <f>IFERROR(IF(OR($B15="",TB$3=""),"",_xll.ciqfunctions.udf.CIQ($B15,"IQ_TOTAL_DEPOSITS",TB$3,$E$3, $J$3, , $G$3, $H$3)/_xll.ciqfunctions.udf.CIQ($B15,"IQ_TOTAL_ASSETS",TB$3,$E$3, $J$3, , $G$3, $H$3)),"")</f>
        <v/>
      </c>
      <c r="TC15" s="72" t="str">
        <f>IFERROR(IF(OR($B15="",TC$3=""),"",_xll.ciqfunctions.udf.CIQ($B15,"IQ_TOTAL_DEPOSITS",TC$3,$E$3, $J$3, , $G$3, $H$3)/_xll.ciqfunctions.udf.CIQ($B15,"IQ_TOTAL_ASSETS",TC$3,$E$3, $J$3, , $G$3, $H$3)),"")</f>
        <v/>
      </c>
      <c r="TD15" s="72" t="str">
        <f>IFERROR(IF(OR($B15="",TD$3=""),"",_xll.ciqfunctions.udf.CIQ($B15,"IQ_TOTAL_DEPOSITS",TD$3,$E$3, $J$3, , $G$3, $H$3)/_xll.ciqfunctions.udf.CIQ($B15,"IQ_TOTAL_ASSETS",TD$3,$E$3, $J$3, , $G$3, $H$3)),"")</f>
        <v/>
      </c>
      <c r="TE15" s="72" t="str">
        <f>IFERROR(IF(OR($B15="",TE$3=""),"",_xll.ciqfunctions.udf.CIQ($B15,"IQ_TOTAL_DEPOSITS",TE$3,$E$3, $J$3, , $G$3, $H$3)/_xll.ciqfunctions.udf.CIQ($B15,"IQ_TOTAL_ASSETS",TE$3,$E$3, $J$3, , $G$3, $H$3)),"")</f>
        <v/>
      </c>
      <c r="TF15" s="72" t="str">
        <f>IFERROR(IF(OR($B15="",TF$3=""),"",_xll.ciqfunctions.udf.CIQ($B15,"IQ_TOTAL_DEPOSITS",TF$3,$E$3, $J$3, , $G$3, $H$3)/_xll.ciqfunctions.udf.CIQ($B15,"IQ_TOTAL_ASSETS",TF$3,$E$3, $J$3, , $G$3, $H$3)),"")</f>
        <v/>
      </c>
      <c r="TG15" s="72" t="str">
        <f>IFERROR(IF(OR($B15="",TG$3=""),"",_xll.ciqfunctions.udf.CIQ($B15,"IQ_TOTAL_DEPOSITS",TG$3,$E$3, $J$3, , $G$3, $H$3)/_xll.ciqfunctions.udf.CIQ($B15,"IQ_TOTAL_ASSETS",TG$3,$E$3, $J$3, , $G$3, $H$3)),"")</f>
        <v/>
      </c>
      <c r="TH15" s="72" t="str">
        <f>IFERROR(IF(OR($B15="",TH$3=""),"",_xll.ciqfunctions.udf.CIQ($B15,"IQ_TOTAL_DEPOSITS",TH$3,$E$3, $J$3, , $G$3, $H$3)/_xll.ciqfunctions.udf.CIQ($B15,"IQ_TOTAL_ASSETS",TH$3,$E$3, $J$3, , $G$3, $H$3)),"")</f>
        <v/>
      </c>
      <c r="TI15" s="72" t="str">
        <f>IFERROR(IF(OR($B15="",TI$3=""),"",_xll.ciqfunctions.udf.CIQ($B15,"IQ_TOTAL_DEPOSITS",TI$3,$E$3, $J$3, , $G$3, $H$3)/_xll.ciqfunctions.udf.CIQ($B15,"IQ_TOTAL_ASSETS",TI$3,$E$3, $J$3, , $G$3, $H$3)),"")</f>
        <v/>
      </c>
      <c r="TJ15" s="72" t="str">
        <f>IFERROR(IF(OR($B15="",TJ$3=""),"",_xll.ciqfunctions.udf.CIQ($B15,"IQ_TOTAL_DEPOSITS",TJ$3,$E$3, $J$3, , $G$3, $H$3)/_xll.ciqfunctions.udf.CIQ($B15,"IQ_TOTAL_ASSETS",TJ$3,$E$3, $J$3, , $G$3, $H$3)),"")</f>
        <v/>
      </c>
      <c r="TK15" s="72" t="str">
        <f>IFERROR(IF(OR($B15="",TK$3="",TK$4=""),"",(_xll.ciqfunctions.udf.CIQ($B15,"IQ_TOTAL_BANK_CAPITAL",TK$3,$E$3, $J$3, , $G$3, $H$3)/_xll.ciqfunctions.udf.CIQ($B15,"IQ_TOTAL_BANK_CAPITAL",TK$4,$E$3, $J$3, , $G$3, $H$3))-1),"")</f>
        <v/>
      </c>
      <c r="TL15" s="72" t="str">
        <f>IFERROR(IF(OR($B15="",TL$3="",TL$4=""),"",(_xll.ciqfunctions.udf.CIQ($B15,"IQ_TOTAL_BANK_CAPITAL",TL$3,$E$3, $J$3, , $G$3, $H$3)/_xll.ciqfunctions.udf.CIQ($B15,"IQ_TOTAL_BANK_CAPITAL",TL$4,$E$3, $J$3, , $G$3, $H$3))-1),"")</f>
        <v/>
      </c>
      <c r="TM15" s="72" t="str">
        <f>IFERROR(IF(OR($B15="",TM$3="",TM$4=""),"",(_xll.ciqfunctions.udf.CIQ($B15,"IQ_TOTAL_BANK_CAPITAL",TM$3,$E$3, $J$3, , $G$3, $H$3)/_xll.ciqfunctions.udf.CIQ($B15,"IQ_TOTAL_BANK_CAPITAL",TM$4,$E$3, $J$3, , $G$3, $H$3))-1),"")</f>
        <v/>
      </c>
      <c r="TN15" s="72" t="str">
        <f>IFERROR(IF(OR($B15="",TN$3="",TN$4=""),"",(_xll.ciqfunctions.udf.CIQ($B15,"IQ_TOTAL_BANK_CAPITAL",TN$3,$E$3, $J$3, , $G$3, $H$3)/_xll.ciqfunctions.udf.CIQ($B15,"IQ_TOTAL_BANK_CAPITAL",TN$4,$E$3, $J$3, , $G$3, $H$3))-1),"")</f>
        <v/>
      </c>
      <c r="TO15" s="72" t="str">
        <f>IFERROR(IF(OR($B15="",TO$3="",TO$4=""),"",(_xll.ciqfunctions.udf.CIQ($B15,"IQ_TOTAL_BANK_CAPITAL",TO$3,$E$3, $J$3, , $G$3, $H$3)/_xll.ciqfunctions.udf.CIQ($B15,"IQ_TOTAL_BANK_CAPITAL",TO$4,$E$3, $J$3, , $G$3, $H$3))-1),"")</f>
        <v/>
      </c>
      <c r="TP15" s="72" t="str">
        <f>IFERROR(IF(OR($B15="",TP$3="",TP$4=""),"",(_xll.ciqfunctions.udf.CIQ($B15,"IQ_TOTAL_BANK_CAPITAL",TP$3,$E$3, $J$3, , $G$3, $H$3)/_xll.ciqfunctions.udf.CIQ($B15,"IQ_TOTAL_BANK_CAPITAL",TP$4,$E$3, $J$3, , $G$3, $H$3))-1),"")</f>
        <v/>
      </c>
      <c r="TQ15" s="72" t="str">
        <f>IFERROR(IF(OR($B15="",TQ$3="",TQ$4=""),"",(_xll.ciqfunctions.udf.CIQ($B15,"IQ_TOTAL_BANK_CAPITAL",TQ$3,$E$3, $J$3, , $G$3, $H$3)/_xll.ciqfunctions.udf.CIQ($B15,"IQ_TOTAL_BANK_CAPITAL",TQ$4,$E$3, $J$3, , $G$3, $H$3))-1),"")</f>
        <v/>
      </c>
      <c r="TR15" s="72" t="str">
        <f>IFERROR(IF(OR($B15="",TR$3="",TR$4=""),"",(_xll.ciqfunctions.udf.CIQ($B15,"IQ_TOTAL_BANK_CAPITAL",TR$3,$E$3, $J$3, , $G$3, $H$3)/_xll.ciqfunctions.udf.CIQ($B15,"IQ_TOTAL_BANK_CAPITAL",TR$4,$E$3, $J$3, , $G$3, $H$3))-1),"")</f>
        <v/>
      </c>
      <c r="TS15" s="72" t="str">
        <f>IFERROR(IF(OR($B15="",TS$3="",TS$4=""),"",(_xll.ciqfunctions.udf.CIQ($B15,"IQ_TOTAL_BANK_CAPITAL",TS$3,$E$3, $J$3, , $G$3, $H$3)/_xll.ciqfunctions.udf.CIQ($B15,"IQ_TOTAL_BANK_CAPITAL",TS$4,$E$3, $J$3, , $G$3, $H$3))-1),"")</f>
        <v/>
      </c>
      <c r="TT15" s="72" t="str">
        <f>IFERROR(IF(OR($B15="",TT$3="",TT$4=""),"",(_xll.ciqfunctions.udf.CIQ($B15,"IQ_TOTAL_BANK_CAPITAL",TT$3,$E$3, $J$3, , $G$3, $H$3)/_xll.ciqfunctions.udf.CIQ($B15,"IQ_TOTAL_BANK_CAPITAL",TT$4,$E$3, $J$3, , $G$3, $H$3))-1),"")</f>
        <v/>
      </c>
      <c r="TU15" s="72" t="str">
        <f>IFERROR(IF(OR($B15="",TU$3="",TU$4=""),"",(_xll.ciqfunctions.udf.CIQ($B15,"IQ_TOTAL_BANK_CAPITAL",TU$3,$E$3, $J$3, , $G$3, $H$3)/_xll.ciqfunctions.udf.CIQ($B15,"IQ_TOTAL_BANK_CAPITAL",TU$4,$E$3, $J$3, , $G$3, $H$3))-1),"")</f>
        <v/>
      </c>
      <c r="TV15" s="72" t="str">
        <f>IFERROR(IF(OR($B15="",TV$3="",TV$4=""),"",(_xll.ciqfunctions.udf.CIQ($B15,"IQ_TOTAL_BANK_CAPITAL",TV$3,$E$3, $J$3, , $G$3, $H$3)/_xll.ciqfunctions.udf.CIQ($B15,"IQ_TOTAL_BANK_CAPITAL",TV$4,$E$3, $J$3, , $G$3, $H$3))-1),"")</f>
        <v/>
      </c>
      <c r="TW15" s="72" t="str">
        <f>IFERROR(IF(OR($B15="",TW$3="",TW$4=""),"",(_xll.ciqfunctions.udf.CIQ($B15,"IQ_TOTAL_BANK_CAPITAL",TW$3,$E$3, $J$3, , $G$3, $H$3)/_xll.ciqfunctions.udf.CIQ($B15,"IQ_TOTAL_BANK_CAPITAL",TW$4,$E$3, $J$3, , $G$3, $H$3))-1),"")</f>
        <v/>
      </c>
      <c r="TX15" s="72" t="str">
        <f>IFERROR(IF(OR($B15="",TX$3="",TX$4=""),"",(_xll.ciqfunctions.udf.CIQ($B15,"IQ_TOTAL_BANK_CAPITAL",TX$3,$E$3, $J$3, , $G$3, $H$3)/_xll.ciqfunctions.udf.CIQ($B15,"IQ_TOTAL_BANK_CAPITAL",TX$4,$E$3, $J$3, , $G$3, $H$3))-1),"")</f>
        <v/>
      </c>
      <c r="TY15" s="72" t="str">
        <f>IFERROR(IF(OR($B15="",TY$3="",TY$4=""),"",(_xll.ciqfunctions.udf.CIQ($B15,"IQ_TOTAL_BANK_CAPITAL",TY$3,$E$3, $J$3, , $G$3, $H$3)/_xll.ciqfunctions.udf.CIQ($B15,"IQ_TOTAL_BANK_CAPITAL",TY$4,$E$3, $J$3, , $G$3, $H$3))-1),"")</f>
        <v/>
      </c>
      <c r="TZ15" s="72" t="str">
        <f>IFERROR(IF(OR($B15="",TZ$3="",TZ$4=""),"",(_xll.ciqfunctions.udf.CIQ($B15,"IQ_TOTAL_BANK_CAPITAL",TZ$3,$E$3, $J$3, , $G$3, $H$3)/_xll.ciqfunctions.udf.CIQ($B15,"IQ_TOTAL_BANK_CAPITAL",TZ$4,$E$3, $J$3, , $G$3, $H$3))-1),"")</f>
        <v/>
      </c>
      <c r="UA15" s="72" t="str">
        <f>IFERROR(IF(OR($B15="",UA$3="",UA$4=""),"",(_xll.ciqfunctions.udf.CIQ($B15,"IQ_TOTAL_BANK_CAPITAL",UA$3,$E$3, $J$3, , $G$3, $H$3)/_xll.ciqfunctions.udf.CIQ($B15,"IQ_TOTAL_BANK_CAPITAL",UA$4,$E$3, $J$3, , $G$3, $H$3))-1),"")</f>
        <v/>
      </c>
      <c r="UB15" s="72" t="str">
        <f>IFERROR(IF(OR($B15="",UB$3="",UB$4=""),"",(_xll.ciqfunctions.udf.CIQ($B15,"IQ_TOTAL_BANK_CAPITAL",UB$3,$E$3, $J$3, , $G$3, $H$3)/_xll.ciqfunctions.udf.CIQ($B15,"IQ_TOTAL_BANK_CAPITAL",UB$4,$E$3, $J$3, , $G$3, $H$3))-1),"")</f>
        <v/>
      </c>
      <c r="UC15" s="72" t="str">
        <f>IFERROR(IF(OR($B15="",UC$3="",UC$4=""),"",(_xll.ciqfunctions.udf.CIQ($B15,"IQ_TOTAL_BANK_CAPITAL",UC$3,$E$3, $J$3, , $G$3, $H$3)/_xll.ciqfunctions.udf.CIQ($B15,"IQ_TOTAL_BANK_CAPITAL",UC$4,$E$3, $J$3, , $G$3, $H$3))-1),"")</f>
        <v/>
      </c>
      <c r="UD15" s="72" t="str">
        <f>IFERROR(IF(OR($B15="",UD$3="",UD$4=""),"",(_xll.ciqfunctions.udf.CIQ($B15,"IQ_TOTAL_BANK_CAPITAL",UD$3,$E$3, $J$3, , $G$3, $H$3)/_xll.ciqfunctions.udf.CIQ($B15,"IQ_TOTAL_BANK_CAPITAL",UD$4,$E$3, $J$3, , $G$3, $H$3))-1),"")</f>
        <v/>
      </c>
      <c r="UE15" s="86" t="str">
        <f>IFERROR(IF(OR($B15="",UE$3=""),"",(_xll.ciqfunctions.udf.CIQ($B15,"IQ_TOTAL_CAPITAL_RATIO",UE$3,$E$3, $J$3, , $G$3, $H$3) - _xll.ciqfunctions.udf.CIQ($B15,"IQ_TIER_ONE_RATIO",UE$3,$E$3, $J$3, , $G$3, $H$3))/100),"")</f>
        <v/>
      </c>
      <c r="UF15" s="87" t="str">
        <f>IFERROR(IF(OR($B15="",UF$3=""),"",(_xll.ciqfunctions.udf.CIQ($B15,"IQ_TOTAL_CAPITAL_RATIO",UF$3,$E$3, $J$3, , $G$3, $H$3) - _xll.ciqfunctions.udf.CIQ($B15,"IQ_TIER_ONE_RATIO",UF$3,$E$3, $J$3, , $G$3, $H$3))/100),"")</f>
        <v/>
      </c>
      <c r="UG15" s="87" t="str">
        <f>IFERROR(IF(OR($B15="",UG$3=""),"",(_xll.ciqfunctions.udf.CIQ($B15,"IQ_TOTAL_CAPITAL_RATIO",UG$3,$E$3, $J$3, , $G$3, $H$3) - _xll.ciqfunctions.udf.CIQ($B15,"IQ_TIER_ONE_RATIO",UG$3,$E$3, $J$3, , $G$3, $H$3))/100),"")</f>
        <v/>
      </c>
      <c r="UH15" s="87" t="str">
        <f>IFERROR(IF(OR($B15="",UH$3=""),"",(_xll.ciqfunctions.udf.CIQ($B15,"IQ_TOTAL_CAPITAL_RATIO",UH$3,$E$3, $J$3, , $G$3, $H$3) - _xll.ciqfunctions.udf.CIQ($B15,"IQ_TIER_ONE_RATIO",UH$3,$E$3, $J$3, , $G$3, $H$3))/100),"")</f>
        <v/>
      </c>
      <c r="UI15" s="87" t="str">
        <f>IFERROR(IF(OR($B15="",UI$3=""),"",(_xll.ciqfunctions.udf.CIQ($B15,"IQ_TOTAL_CAPITAL_RATIO",UI$3,$E$3, $J$3, , $G$3, $H$3) - _xll.ciqfunctions.udf.CIQ($B15,"IQ_TIER_ONE_RATIO",UI$3,$E$3, $J$3, , $G$3, $H$3))/100),"")</f>
        <v/>
      </c>
      <c r="UJ15" s="87" t="str">
        <f>IFERROR(IF(OR($B15="",UJ$3=""),"",(_xll.ciqfunctions.udf.CIQ($B15,"IQ_TOTAL_CAPITAL_RATIO",UJ$3,$E$3, $J$3, , $G$3, $H$3) - _xll.ciqfunctions.udf.CIQ($B15,"IQ_TIER_ONE_RATIO",UJ$3,$E$3, $J$3, , $G$3, $H$3))/100),"")</f>
        <v/>
      </c>
      <c r="UK15" s="87" t="str">
        <f>IFERROR(IF(OR($B15="",UK$3=""),"",(_xll.ciqfunctions.udf.CIQ($B15,"IQ_TOTAL_CAPITAL_RATIO",UK$3,$E$3, $J$3, , $G$3, $H$3) - _xll.ciqfunctions.udf.CIQ($B15,"IQ_TIER_ONE_RATIO",UK$3,$E$3, $J$3, , $G$3, $H$3))/100),"")</f>
        <v/>
      </c>
      <c r="UL15" s="87" t="str">
        <f>IFERROR(IF(OR($B15="",UL$3=""),"",(_xll.ciqfunctions.udf.CIQ($B15,"IQ_TOTAL_CAPITAL_RATIO",UL$3,$E$3, $J$3, , $G$3, $H$3) - _xll.ciqfunctions.udf.CIQ($B15,"IQ_TIER_ONE_RATIO",UL$3,$E$3, $J$3, , $G$3, $H$3))/100),"")</f>
        <v/>
      </c>
      <c r="UM15" s="87" t="str">
        <f>IFERROR(IF(OR($B15="",UM$3=""),"",(_xll.ciqfunctions.udf.CIQ($B15,"IQ_TOTAL_CAPITAL_RATIO",UM$3,$E$3, $J$3, , $G$3, $H$3) - _xll.ciqfunctions.udf.CIQ($B15,"IQ_TIER_ONE_RATIO",UM$3,$E$3, $J$3, , $G$3, $H$3))/100),"")</f>
        <v/>
      </c>
      <c r="UN15" s="87" t="str">
        <f>IFERROR(IF(OR($B15="",UN$3=""),"",(_xll.ciqfunctions.udf.CIQ($B15,"IQ_TOTAL_CAPITAL_RATIO",UN$3,$E$3, $J$3, , $G$3, $H$3) - _xll.ciqfunctions.udf.CIQ($B15,"IQ_TIER_ONE_RATIO",UN$3,$E$3, $J$3, , $G$3, $H$3))/100),"")</f>
        <v/>
      </c>
      <c r="UO15" s="87" t="str">
        <f>IFERROR(IF(OR($B15="",UO$3=""),"",(_xll.ciqfunctions.udf.CIQ($B15,"IQ_TOTAL_CAPITAL_RATIO",UO$3,$E$3, $J$3, , $G$3, $H$3) - _xll.ciqfunctions.udf.CIQ($B15,"IQ_TIER_ONE_RATIO",UO$3,$E$3, $J$3, , $G$3, $H$3))/100),"")</f>
        <v/>
      </c>
      <c r="UP15" s="87" t="str">
        <f>IFERROR(IF(OR($B15="",UP$3=""),"",(_xll.ciqfunctions.udf.CIQ($B15,"IQ_TOTAL_CAPITAL_RATIO",UP$3,$E$3, $J$3, , $G$3, $H$3) - _xll.ciqfunctions.udf.CIQ($B15,"IQ_TIER_ONE_RATIO",UP$3,$E$3, $J$3, , $G$3, $H$3))/100),"")</f>
        <v/>
      </c>
      <c r="UQ15" s="87" t="str">
        <f>IFERROR(IF(OR($B15="",UQ$3=""),"",(_xll.ciqfunctions.udf.CIQ($B15,"IQ_TOTAL_CAPITAL_RATIO",UQ$3,$E$3, $J$3, , $G$3, $H$3) - _xll.ciqfunctions.udf.CIQ($B15,"IQ_TIER_ONE_RATIO",UQ$3,$E$3, $J$3, , $G$3, $H$3))/100),"")</f>
        <v/>
      </c>
      <c r="UR15" s="87" t="str">
        <f>IFERROR(IF(OR($B15="",UR$3=""),"",(_xll.ciqfunctions.udf.CIQ($B15,"IQ_TOTAL_CAPITAL_RATIO",UR$3,$E$3, $J$3, , $G$3, $H$3) - _xll.ciqfunctions.udf.CIQ($B15,"IQ_TIER_ONE_RATIO",UR$3,$E$3, $J$3, , $G$3, $H$3))/100),"")</f>
        <v/>
      </c>
      <c r="US15" s="87" t="str">
        <f>IFERROR(IF(OR($B15="",US$3=""),"",(_xll.ciqfunctions.udf.CIQ($B15,"IQ_TOTAL_CAPITAL_RATIO",US$3,$E$3, $J$3, , $G$3, $H$3) - _xll.ciqfunctions.udf.CIQ($B15,"IQ_TIER_ONE_RATIO",US$3,$E$3, $J$3, , $G$3, $H$3))/100),"")</f>
        <v/>
      </c>
      <c r="UT15" s="87" t="str">
        <f>IFERROR(IF(OR($B15="",UT$3=""),"",(_xll.ciqfunctions.udf.CIQ($B15,"IQ_TOTAL_CAPITAL_RATIO",UT$3,$E$3, $J$3, , $G$3, $H$3) - _xll.ciqfunctions.udf.CIQ($B15,"IQ_TIER_ONE_RATIO",UT$3,$E$3, $J$3, , $G$3, $H$3))/100),"")</f>
        <v/>
      </c>
      <c r="UU15" s="87" t="str">
        <f>IFERROR(IF(OR($B15="",UU$3=""),"",(_xll.ciqfunctions.udf.CIQ($B15,"IQ_TOTAL_CAPITAL_RATIO",UU$3,$E$3, $J$3, , $G$3, $H$3) - _xll.ciqfunctions.udf.CIQ($B15,"IQ_TIER_ONE_RATIO",UU$3,$E$3, $J$3, , $G$3, $H$3))/100),"")</f>
        <v/>
      </c>
      <c r="UV15" s="87" t="str">
        <f>IFERROR(IF(OR($B15="",UV$3=""),"",(_xll.ciqfunctions.udf.CIQ($B15,"IQ_TOTAL_CAPITAL_RATIO",UV$3,$E$3, $J$3, , $G$3, $H$3) - _xll.ciqfunctions.udf.CIQ($B15,"IQ_TIER_ONE_RATIO",UV$3,$E$3, $J$3, , $G$3, $H$3))/100),"")</f>
        <v/>
      </c>
      <c r="UW15" s="87" t="str">
        <f>IFERROR(IF(OR($B15="",UW$3=""),"",(_xll.ciqfunctions.udf.CIQ($B15,"IQ_TOTAL_CAPITAL_RATIO",UW$3,$E$3, $J$3, , $G$3, $H$3) - _xll.ciqfunctions.udf.CIQ($B15,"IQ_TIER_ONE_RATIO",UW$3,$E$3, $J$3, , $G$3, $H$3))/100),"")</f>
        <v/>
      </c>
      <c r="UX15" s="88" t="str">
        <f>IFERROR(IF(OR($B15="",UX$3=""),"",(_xll.ciqfunctions.udf.CIQ($B15,"IQ_TOTAL_CAPITAL_RATIO",UX$3,$E$3, $J$3, , $G$3, $H$3) - _xll.ciqfunctions.udf.CIQ($B15,"IQ_TIER_ONE_RATIO",UX$3,$E$3, $J$3, , $G$3, $H$3))/100),"")</f>
        <v/>
      </c>
    </row>
    <row r="16" spans="1:570" ht="15" customHeight="1" x14ac:dyDescent="0.2">
      <c r="A16" s="218" t="str">
        <f>IF(B16="","",_xll.ciqfunctions.udf.CIQ($B16,"IQ_COMPANY_NAME"))</f>
        <v/>
      </c>
      <c r="B16" s="272" t="str">
        <f>IF(Input!B28="","",Input!B28)</f>
        <v/>
      </c>
      <c r="C16" s="272">
        <f>Input!E28</f>
        <v>0</v>
      </c>
      <c r="D16" s="269" t="str">
        <f>IF(B16="","",_xll.ciqfunctions.udf.CIQ($B16,"IQ_PRIMARY_INDUSTRY"))</f>
        <v/>
      </c>
      <c r="E16" s="219" t="str">
        <f>IF($B16="","",IF(NOT(ISNUMBER(_xll.ciqfunctions.udf.CIQ($B16, "IQ_CLOSEPRICE", $E$3, $G$3, $H$3))),"",_xll.ciqfunctions.udf.CIQ($B16, "IQ_CLOSEPRICE", $E$3, $G$3, $H$3)))</f>
        <v/>
      </c>
      <c r="F16" s="219" t="str">
        <f>IF($B16="","",IF(NOT(ISNUMBER(_xll.ciqfunctions.udf.CIQ($B16, "IQ_CLOSEPRICE", $E$4, $G$3, $H$3))),"",_xll.ciqfunctions.udf.CIQ($B16, "IQ_CLOSEPRICE", $E$4, $G$3, $H$3)))</f>
        <v/>
      </c>
      <c r="G16" s="220" t="str">
        <f t="shared" si="351"/>
        <v/>
      </c>
      <c r="H16" s="220" t="str">
        <f>IFERROR(IF($B16="","",_xll.ciqfunctions.udf.CIQ($B16, "IQ_TOTAL_REV_1YR_ANN_GROWTH", $I$3, $E$3, $J$3)/100),"")</f>
        <v/>
      </c>
      <c r="I16" s="220" t="str">
        <f>IFERROR(IF($B16="","",_xll.ciqfunctions.udf.CIQ($B16,"IQ_NET_INT_INC_BNK",$I$3, $E$3, $J$3, , $G$3, $H$3)/_xll.ciqfunctions.udf.CIQ($B16,"IQ_GROSS_LOANS",$I$3, $E$3, $J$3, , $G$3, $H$3)),"")</f>
        <v/>
      </c>
      <c r="J16" s="220" t="str">
        <f>IFERROR(IF(B16="","",_xll.ciqfunctions.udf.CIQ($B16,"IQ_EBT",$I$3, $E$3, $J$3, , $G$3, $H$3)/_xll.ciqfunctions.udf.CIQ($B16,"IQ_TOTAL_REVENUE",$I$3, $E$3, $J$3, , $G$3, $H$3)),"")</f>
        <v/>
      </c>
      <c r="K16" s="220" t="str">
        <f>IFERROR(IF(B16="","",_xll.ciqfunctions.udf.CIQ($B16,"IQ_NI_MARGIN",$I$3, $E$3, $J$3, , $G$3, $H$3)/100),"")</f>
        <v/>
      </c>
      <c r="L16" s="220" t="str">
        <f>IFERROR(IF($B16="","",_xll.ciqfunctions.udf.CIQ($B16,"IQ_NI",$I$3, $E$3, $J$3, , $G$3, $H$3)/(0.5*(_xll.ciqfunctions.udf.CIQ($B16,"IQ_TOTAL_ASSETS",$I$3, $E$3, $J$3, , $G$3, $H$3)+_xll.ciqfunctions.udf.CIQ($B16,"IQ_TOTAL_ASSETS",$I$3 &amp; "-4", $E$3, $J$3, , $G$3, $H$3)))),"")</f>
        <v/>
      </c>
      <c r="M16" s="220" t="str">
        <f>IFERROR(_xll.ciqfunctions.udf.CIQ($B16,"IQ_NI",$I$3, $E$3, $J$3, , $G$3, $H$3)/(_xll.ciqfunctions.udf.CIQ($B16,"IQ_TOTAL_ASSETS",$I$3, $E$3, $J$3, , $G$3, $H$3)+_xll.ciqfunctions.udf.CIQ($B16,"IQ_TOTAL_ASSETS",$I$3 &amp; "-4", $E$3, $J$3, , $G$3, $H$3)-_xll.ciqfunctions.udf.CIQ($B16,"IQ_TOTAL_CL",$I$3, $E$3, $J$3, , $G$3, $H$3)-_xll.ciqfunctions.udf.CIQ($B16,"IQ_TOTAL_CL",$I$3 &amp; "-4", $E$3, $J$3, , $G$3, $H$3)),"")</f>
        <v/>
      </c>
      <c r="N16" s="220" t="str">
        <f>IFERROR(IF($B16="","",_xll.ciqfunctions.udf.CIQ($B16,"IQ_NI",$I$3, $E$3, $J$3, , $G$3, $H$3)/(0.5*(_xll.ciqfunctions.udf.CIQ($B16,"IQ_TOTAL_EQUITY",$I$3, $E$3, $J$3, , $G$3, $H$3)+_xll.ciqfunctions.udf.CIQ($B16,"IQ_TOTAL_EQUITY",$I$3 &amp; "-4", $E$3, $J$3, , $G$3, $H$3)))),"")</f>
        <v/>
      </c>
      <c r="O16" s="222" t="str">
        <f>IFERROR(IF($B16="","",(_xll.ciqfunctions.udf.CIQ($B16,"IQ_TIER_ONE_CAPITAL",$I$3, $E$3, $J$3, , $G$3, $H$3)+_xll.ciqfunctions.udf.CIQ($B16,"IQ_TIER_TWO_CAPITAL",$I$3, $E$3, $J$3, , $G$3, $H$3)-_xll.ciqfunctions.udf.CIQ($B16,"IQ_GW",$I$3, $E$3, $J$3, , $G$3, $H$3))/_xll.ciqfunctions.udf.CIQ($B16,"IQ_RISK_ADJ_BANK_ASSETS",$I$3, $E$3, $J$3, , $G$3, $H$3)),"")</f>
        <v/>
      </c>
      <c r="P16" s="222" t="str">
        <f>IFERROR(IF($B16="","",(_xll.ciqfunctions.udf.CIQ($B16,"IQ_TIER_ONE_CAPITAL",$I$3, $E$3, $J$3, , $G$3, $H$3)+_xll.ciqfunctions.udf.CIQ($B16,"IQ_TIER_TWO_CAPITAL",$I$3, $E$3, $J$3, , $G$3, $H$3))/_xll.ciqfunctions.udf.CIQ($B16,"IQ_TOTAL_ASSETS",$I$3, $E$3, $J$3, , $G$3, $H$3)),"")</f>
        <v/>
      </c>
      <c r="Q16" s="220" t="str">
        <f>IFERROR(IF(B16="","",_xll.ciqfunctions.udf.CIQ($B16,"IQ_TIER_ONE_RATIO",$I$3, $E$3, $J$3, , $G$3, $H$3)/100),"")</f>
        <v/>
      </c>
      <c r="R16" s="220" t="str">
        <f t="shared" si="330"/>
        <v/>
      </c>
      <c r="S16" s="220" t="str">
        <f>IFERROR(IF(B16="","",_xll.ciqfunctions.udf.CIQ($B16,"IQ_TOTAL_CAPITAL_RATIO",$I$3, $E$3, $J$3, , $G$3, $H$3)/100),"")</f>
        <v/>
      </c>
      <c r="T16" s="220" t="str">
        <f>IFERROR(IF($B16="","",_xll.ciqfunctions.udf.CIQ($B16,"IQ_NON_PERF_LOANS_TOTAL_LOANS",$I$3, $E$3, $J$3, , $G$3, $H$3)/100),"")</f>
        <v/>
      </c>
      <c r="U16" s="222" t="str">
        <f>IFERROR(IF($B16="","",-_xll.ciqfunctions.udf.CIQ($B16,"IQ_ALLOW_LL",$I$3, $E$3, $J$3, , $G$3, $H$3)/_xll.ciqfunctions.udf.CIQ($B16,"IQ_TOTAL_LOANS",$I$3, $E$3, $J$3, , $G$3, $H$3)),"")</f>
        <v/>
      </c>
      <c r="V16" s="220" t="str">
        <f>IFERROR(IF($B16="","",_xll.ciqfunctions.udf.CIQ($B16,"IQ_LL",$I$3, $E$3, $J$3, , $G$3, $H$3)/_xll.ciqfunctions.udf.CIQ($B16,"IQ_NET_LOANS",$I$3, $E$3, $J$3, , $G$3, $H$3)),"")</f>
        <v/>
      </c>
      <c r="W16" s="220" t="str">
        <f>IFERROR(IF(B16="","",_xll.ciqfunctions.udf.CIQ($B16,"IQ_NET_LOANS",$I$3, $E$3, $J$3, , $G$3, $H$3)/_xll.ciqfunctions.udf.CIQ($B16,"IQ_TOTAL_ASSETS",$I$3, $E$3, $J$3, , $G$3, $H$3)),"")</f>
        <v/>
      </c>
      <c r="X16" s="222" t="str">
        <f>IFERROR(IF($B16="","",_xll.ciqfunctions.udf.CIQ($B16,"IQ_TOTAL_LOANS",$I$3, $E$3, $J$3, , $G$3, $H$3)/_xll.ciqfunctions.udf.CIQ($B16,"IQ_TOTAL_DEPOSITS",$I$3, $E$3, $J$3, , $G$3, $H$3)),"")</f>
        <v/>
      </c>
      <c r="Y16" s="220" t="str">
        <f>IFERROR(IF($B16="","",_xll.ciqfunctions.udf.CIQ($B16,"IQ_TOTAL_DEPOSITS",$I$3, $E$3, $J$3, , $G$3, $H$3)/_xll.ciqfunctions.udf.CIQ($B16,"IQ_TOTAL_ASSETS",$I$3, $E$3, $J$3, , $G$3, $H$3)),"")</f>
        <v/>
      </c>
      <c r="Z16" s="221" t="str">
        <f>IFERROR(IF(B16="","",_xll.ciqfunctions.udf.CIQ($B16,"IQ_TOTAL_ASSETS",IQ_LTM)/_xll.ciqfunctions.udf.CIQ($B16,"IQ_TOTAL_COMMON_EQUITY",IQ_LTM)),"")</f>
        <v/>
      </c>
      <c r="AA16" s="222" t="str">
        <f>IFERROR(IF($B16="","",_xll.ciqfunctions.udf.CIQ($B16,"IQ_CASH_OPER",$I$3, $E$3, $J$3, , $G$3, $H$3)*2/(_xll.ciqfunctions.udf.CIQ($B16,"IQ_TOTAL_CL",$I$3, $E$3, $J$3, , $G$3, $H$3)+_xll.ciqfunctions.udf.CIQ($B16,"IQ_TOTAL_CL",$I$3 &amp; "-4", $E$3, $J$3, , $G$3, $H$3))),"")</f>
        <v/>
      </c>
      <c r="AB16" s="222" t="str">
        <f>IFERROR(IF($B16="","",_xll.ciqfunctions.udf.CIQ($B16,"IQ_NON_PERFORMING_LOANS",$I$3, $E$3, $J$3, , $G$3, $H$3)/_xll.ciqfunctions.udf.CIQ($B16,"IQ_TOTAL_EQUITY",$I$3, $E$3, $J$3, , $G$3, $H$3)),"")</f>
        <v/>
      </c>
      <c r="AC16" s="1021" t="str">
        <f>IF(B16="","",IF(NOT(ISNUMBER(_xll.ciqfunctions.udf.CIQ($B16,"IQ_Z_SCORE",$I$3, $E$3, $J$3, , $G$3, $H$3))),"",_xll.ciqfunctions.udf.CIQ($B16,"IQ_Z_SCORE",$I$3, $E$3, $J$3, , $G$3, $H$3)))</f>
        <v/>
      </c>
      <c r="AD16" s="19"/>
      <c r="AE16" s="86" t="str">
        <f>IFERROR(IF(OR($B16="",AE$3=""),"",_xll.ciqfunctions.udf.CIQ($B16,"IQ_NET_INT_INC_BNK",AE$3,$E$3, $J$3, , $G$3, $H$3)*2/(_xll.ciqfunctions.udf.CIQ($B16,"IQ_GROSS_LOANS",AE$3,$E$3, $J$3, , $G$3, $H$3)+_xll.ciqfunctions.udf.CIQ($B16,"IQ_GROSS_LOANS", "IQ_" &amp; LEFT(AE$3,2) &amp; "-1",AE$3, $J$3, , $G$3, $H$3))),"")</f>
        <v/>
      </c>
      <c r="AF16" s="87" t="str">
        <f>IFERROR(IF(OR($B16="",AF$3=""),"",_xll.ciqfunctions.udf.CIQ($B16,"IQ_NET_INT_INC_BNK",AF$3,$E$3, $J$3, , $G$3, $H$3)*2/(_xll.ciqfunctions.udf.CIQ($B16,"IQ_GROSS_LOANS",AF$3,$E$3, $J$3, , $G$3, $H$3)+_xll.ciqfunctions.udf.CIQ($B16,"IQ_GROSS_LOANS", "IQ_" &amp; LEFT(AF$3,2) &amp; "-1",AF$3, $J$3, , $G$3, $H$3))),"")</f>
        <v/>
      </c>
      <c r="AG16" s="87" t="str">
        <f>IFERROR(IF(OR($B16="",AG$3=""),"",_xll.ciqfunctions.udf.CIQ($B16,"IQ_NET_INT_INC_BNK",AG$3,$E$3, $J$3, , $G$3, $H$3)*2/(_xll.ciqfunctions.udf.CIQ($B16,"IQ_GROSS_LOANS",AG$3,$E$3, $J$3, , $G$3, $H$3)+_xll.ciqfunctions.udf.CIQ($B16,"IQ_GROSS_LOANS", "IQ_" &amp; LEFT(AG$3,2) &amp; "-1",AG$3, $J$3, , $G$3, $H$3))),"")</f>
        <v/>
      </c>
      <c r="AH16" s="87" t="str">
        <f>IFERROR(IF(OR($B16="",AH$3=""),"",_xll.ciqfunctions.udf.CIQ($B16,"IQ_NET_INT_INC_BNK",AH$3,$E$3, $J$3, , $G$3, $H$3)*2/(_xll.ciqfunctions.udf.CIQ($B16,"IQ_GROSS_LOANS",AH$3,$E$3, $J$3, , $G$3, $H$3)+_xll.ciqfunctions.udf.CIQ($B16,"IQ_GROSS_LOANS", "IQ_" &amp; LEFT(AH$3,2) &amp; "-1",AH$3, $J$3, , $G$3, $H$3))),"")</f>
        <v/>
      </c>
      <c r="AI16" s="87" t="str">
        <f>IFERROR(IF(OR($B16="",AI$3=""),"",_xll.ciqfunctions.udf.CIQ($B16,"IQ_NET_INT_INC_BNK",AI$3,$E$3, $J$3, , $G$3, $H$3)*2/(_xll.ciqfunctions.udf.CIQ($B16,"IQ_GROSS_LOANS",AI$3,$E$3, $J$3, , $G$3, $H$3)+_xll.ciqfunctions.udf.CIQ($B16,"IQ_GROSS_LOANS", "IQ_" &amp; LEFT(AI$3,2) &amp; "-1",AI$3, $J$3, , $G$3, $H$3))),"")</f>
        <v/>
      </c>
      <c r="AJ16" s="87" t="str">
        <f>IFERROR(IF(OR($B16="",AJ$3=""),"",_xll.ciqfunctions.udf.CIQ($B16,"IQ_NET_INT_INC_BNK",AJ$3,$E$3, $J$3, , $G$3, $H$3)*2/(_xll.ciqfunctions.udf.CIQ($B16,"IQ_GROSS_LOANS",AJ$3,$E$3, $J$3, , $G$3, $H$3)+_xll.ciqfunctions.udf.CIQ($B16,"IQ_GROSS_LOANS", "IQ_" &amp; LEFT(AJ$3,2) &amp; "-1",AJ$3, $J$3, , $G$3, $H$3))),"")</f>
        <v/>
      </c>
      <c r="AK16" s="87" t="str">
        <f>IFERROR(IF(OR($B16="",AK$3=""),"",_xll.ciqfunctions.udf.CIQ($B16,"IQ_NET_INT_INC_BNK",AK$3,$E$3, $J$3, , $G$3, $H$3)*2/(_xll.ciqfunctions.udf.CIQ($B16,"IQ_GROSS_LOANS",AK$3,$E$3, $J$3, , $G$3, $H$3)+_xll.ciqfunctions.udf.CIQ($B16,"IQ_GROSS_LOANS", "IQ_" &amp; LEFT(AK$3,2) &amp; "-1",AK$3, $J$3, , $G$3, $H$3))),"")</f>
        <v/>
      </c>
      <c r="AL16" s="87" t="str">
        <f>IFERROR(IF(OR($B16="",AL$3=""),"",_xll.ciqfunctions.udf.CIQ($B16,"IQ_NET_INT_INC_BNK",AL$3,$E$3, $J$3, , $G$3, $H$3)*2/(_xll.ciqfunctions.udf.CIQ($B16,"IQ_GROSS_LOANS",AL$3,$E$3, $J$3, , $G$3, $H$3)+_xll.ciqfunctions.udf.CIQ($B16,"IQ_GROSS_LOANS", "IQ_" &amp; LEFT(AL$3,2) &amp; "-1",AL$3, $J$3, , $G$3, $H$3))),"")</f>
        <v/>
      </c>
      <c r="AM16" s="87" t="str">
        <f>IFERROR(IF(OR($B16="",AM$3=""),"",_xll.ciqfunctions.udf.CIQ($B16,"IQ_NET_INT_INC_BNK",AM$3,$E$3, $J$3, , $G$3, $H$3)*2/(_xll.ciqfunctions.udf.CIQ($B16,"IQ_GROSS_LOANS",AM$3,$E$3, $J$3, , $G$3, $H$3)+_xll.ciqfunctions.udf.CIQ($B16,"IQ_GROSS_LOANS", "IQ_" &amp; LEFT(AM$3,2) &amp; "-1",AM$3, $J$3, , $G$3, $H$3))),"")</f>
        <v/>
      </c>
      <c r="AN16" s="87" t="str">
        <f>IFERROR(IF(OR($B16="",AN$3=""),"",_xll.ciqfunctions.udf.CIQ($B16,"IQ_NET_INT_INC_BNK",AN$3,$E$3, $J$3, , $G$3, $H$3)*2/(_xll.ciqfunctions.udf.CIQ($B16,"IQ_GROSS_LOANS",AN$3,$E$3, $J$3, , $G$3, $H$3)+_xll.ciqfunctions.udf.CIQ($B16,"IQ_GROSS_LOANS", "IQ_" &amp; LEFT(AN$3,2) &amp; "-1",AN$3, $J$3, , $G$3, $H$3))),"")</f>
        <v/>
      </c>
      <c r="AO16" s="87" t="str">
        <f>IFERROR(IF(OR($B16="",AO$3=""),"",_xll.ciqfunctions.udf.CIQ($B16,"IQ_NET_INT_INC_BNK",AO$3,$E$3, $J$3, , $G$3, $H$3)*2/(_xll.ciqfunctions.udf.CIQ($B16,"IQ_GROSS_LOANS",AO$3,$E$3, $J$3, , $G$3, $H$3)+_xll.ciqfunctions.udf.CIQ($B16,"IQ_GROSS_LOANS", "IQ_" &amp; LEFT(AO$3,2) &amp; "-1",AO$3, $J$3, , $G$3, $H$3))),"")</f>
        <v/>
      </c>
      <c r="AP16" s="87" t="str">
        <f>IFERROR(IF(OR($B16="",AP$3=""),"",_xll.ciqfunctions.udf.CIQ($B16,"IQ_NET_INT_INC_BNK",AP$3,$E$3, $J$3, , $G$3, $H$3)*2/(_xll.ciqfunctions.udf.CIQ($B16,"IQ_GROSS_LOANS",AP$3,$E$3, $J$3, , $G$3, $H$3)+_xll.ciqfunctions.udf.CIQ($B16,"IQ_GROSS_LOANS", "IQ_" &amp; LEFT(AP$3,2) &amp; "-1",AP$3, $J$3, , $G$3, $H$3))),"")</f>
        <v/>
      </c>
      <c r="AQ16" s="87" t="str">
        <f>IFERROR(IF(OR($B16="",AQ$3=""),"",_xll.ciqfunctions.udf.CIQ($B16,"IQ_NET_INT_INC_BNK",AQ$3,$E$3, $J$3, , $G$3, $H$3)*2/(_xll.ciqfunctions.udf.CIQ($B16,"IQ_GROSS_LOANS",AQ$3,$E$3, $J$3, , $G$3, $H$3)+_xll.ciqfunctions.udf.CIQ($B16,"IQ_GROSS_LOANS", "IQ_" &amp; LEFT(AQ$3,2) &amp; "-1",AQ$3, $J$3, , $G$3, $H$3))),"")</f>
        <v/>
      </c>
      <c r="AR16" s="87" t="str">
        <f>IFERROR(IF(OR($B16="",AR$3=""),"",_xll.ciqfunctions.udf.CIQ($B16,"IQ_NET_INT_INC_BNK",AR$3,$E$3, $J$3, , $G$3, $H$3)*2/(_xll.ciqfunctions.udf.CIQ($B16,"IQ_GROSS_LOANS",AR$3,$E$3, $J$3, , $G$3, $H$3)+_xll.ciqfunctions.udf.CIQ($B16,"IQ_GROSS_LOANS", "IQ_" &amp; LEFT(AR$3,2) &amp; "-1",AR$3, $J$3, , $G$3, $H$3))),"")</f>
        <v/>
      </c>
      <c r="AS16" s="87" t="str">
        <f>IFERROR(IF(OR($B16="",AS$3=""),"",_xll.ciqfunctions.udf.CIQ($B16,"IQ_NET_INT_INC_BNK",AS$3,$E$3, $J$3, , $G$3, $H$3)*2/(_xll.ciqfunctions.udf.CIQ($B16,"IQ_GROSS_LOANS",AS$3,$E$3, $J$3, , $G$3, $H$3)+_xll.ciqfunctions.udf.CIQ($B16,"IQ_GROSS_LOANS", "IQ_" &amp; LEFT(AS$3,2) &amp; "-1",AS$3, $J$3, , $G$3, $H$3))),"")</f>
        <v/>
      </c>
      <c r="AT16" s="87" t="str">
        <f>IFERROR(IF(OR($B16="",AT$3=""),"",_xll.ciqfunctions.udf.CIQ($B16,"IQ_NET_INT_INC_BNK",AT$3,$E$3, $J$3, , $G$3, $H$3)*2/(_xll.ciqfunctions.udf.CIQ($B16,"IQ_GROSS_LOANS",AT$3,$E$3, $J$3, , $G$3, $H$3)+_xll.ciqfunctions.udf.CIQ($B16,"IQ_GROSS_LOANS", "IQ_" &amp; LEFT(AT$3,2) &amp; "-1",AT$3, $J$3, , $G$3, $H$3))),"")</f>
        <v/>
      </c>
      <c r="AU16" s="87" t="str">
        <f>IFERROR(IF(OR($B16="",AU$3=""),"",_xll.ciqfunctions.udf.CIQ($B16,"IQ_NET_INT_INC_BNK",AU$3,$E$3, $J$3, , $G$3, $H$3)*2/(_xll.ciqfunctions.udf.CIQ($B16,"IQ_GROSS_LOANS",AU$3,$E$3, $J$3, , $G$3, $H$3)+_xll.ciqfunctions.udf.CIQ($B16,"IQ_GROSS_LOANS", "IQ_" &amp; LEFT(AU$3,2) &amp; "-1",AU$3, $J$3, , $G$3, $H$3))),"")</f>
        <v/>
      </c>
      <c r="AV16" s="87" t="str">
        <f>IFERROR(IF(OR($B16="",AV$3=""),"",_xll.ciqfunctions.udf.CIQ($B16,"IQ_NET_INT_INC_BNK",AV$3,$E$3, $J$3, , $G$3, $H$3)*2/(_xll.ciqfunctions.udf.CIQ($B16,"IQ_GROSS_LOANS",AV$3,$E$3, $J$3, , $G$3, $H$3)+_xll.ciqfunctions.udf.CIQ($B16,"IQ_GROSS_LOANS", "IQ_" &amp; LEFT(AV$3,2) &amp; "-1",AV$3, $J$3, , $G$3, $H$3))),"")</f>
        <v/>
      </c>
      <c r="AW16" s="87" t="str">
        <f>IFERROR(IF(OR($B16="",AW$3=""),"",_xll.ciqfunctions.udf.CIQ($B16,"IQ_NET_INT_INC_BNK",AW$3,$E$3, $J$3, , $G$3, $H$3)*2/(_xll.ciqfunctions.udf.CIQ($B16,"IQ_GROSS_LOANS",AW$3,$E$3, $J$3, , $G$3, $H$3)+_xll.ciqfunctions.udf.CIQ($B16,"IQ_GROSS_LOANS", "IQ_" &amp; LEFT(AW$3,2) &amp; "-1",AW$3, $J$3, , $G$3, $H$3))),"")</f>
        <v/>
      </c>
      <c r="AX16" s="88" t="str">
        <f>IFERROR(IF(OR($B16="",AX$3=""),"",_xll.ciqfunctions.udf.CIQ($B16,"IQ_NET_INT_INC_BNK",AX$3,$E$3, $J$3, , $G$3, $H$3)*2/(_xll.ciqfunctions.udf.CIQ($B16,"IQ_GROSS_LOANS",AX$3,$E$3, $J$3, , $G$3, $H$3)+_xll.ciqfunctions.udf.CIQ($B16,"IQ_GROSS_LOANS", "IQ_" &amp; LEFT(AX$3,2) &amp; "-1",AX$3, $J$3, , $G$3, $H$3))),"")</f>
        <v/>
      </c>
      <c r="AY16" s="72" t="str">
        <f>IFERROR(IF(OR($B16="",AY$3=""),"",_xll.ciqfunctions.udf.CIQ($B16, "IQ_EBT", AY$3,$E$3, $J$3, , $G$3, $H$3)/(_xll.ciqfunctions.udf.CIQ($B16,"IQ_INT_INC_TOTAL",BW$3,$E$3, $J$3, , $G$3, $H$3)+_xll.ciqfunctions.udf.CIQ($B16,"IQ_NON_INT_INC",BW$3,$E$3, $J$3, , $G$3, $H$3))),"")</f>
        <v/>
      </c>
      <c r="AZ16" s="72" t="str">
        <f>IFERROR(IF(OR($B16="",AZ$3=""),"",_xll.ciqfunctions.udf.CIQ($B16, "IQ_EBT", AZ$3,$E$3, $J$3, , $G$3, $H$3)/(_xll.ciqfunctions.udf.CIQ($B16,"IQ_INT_INC_TOTAL",BX$3,$E$3, $J$3, , $G$3, $H$3)+_xll.ciqfunctions.udf.CIQ($B16,"IQ_NON_INT_INC",BX$3,$E$3, $J$3, , $G$3, $H$3))),"")</f>
        <v/>
      </c>
      <c r="BA16" s="72" t="str">
        <f>IFERROR(IF(OR($B16="",BA$3=""),"",_xll.ciqfunctions.udf.CIQ($B16, "IQ_EBT", BA$3,$E$3, $J$3, , $G$3, $H$3)/(_xll.ciqfunctions.udf.CIQ($B16,"IQ_INT_INC_TOTAL",BY$3,$E$3, $J$3, , $G$3, $H$3)+_xll.ciqfunctions.udf.CIQ($B16,"IQ_NON_INT_INC",BY$3,$E$3, $J$3, , $G$3, $H$3))),"")</f>
        <v/>
      </c>
      <c r="BB16" s="72" t="str">
        <f>IFERROR(IF(OR($B16="",BB$3=""),"",_xll.ciqfunctions.udf.CIQ($B16, "IQ_EBT", BB$3,$E$3, $J$3, , $G$3, $H$3)/(_xll.ciqfunctions.udf.CIQ($B16,"IQ_INT_INC_TOTAL",BZ$3,$E$3, $J$3, , $G$3, $H$3)+_xll.ciqfunctions.udf.CIQ($B16,"IQ_NON_INT_INC",BZ$3,$E$3, $J$3, , $G$3, $H$3))),"")</f>
        <v/>
      </c>
      <c r="BC16" s="72" t="str">
        <f>IFERROR(IF(OR($B16="",BC$3=""),"",_xll.ciqfunctions.udf.CIQ($B16, "IQ_EBT", BC$3,$E$3, $J$3, , $G$3, $H$3)/(_xll.ciqfunctions.udf.CIQ($B16,"IQ_INT_INC_TOTAL",CA$3,$E$3, $J$3, , $G$3, $H$3)+_xll.ciqfunctions.udf.CIQ($B16,"IQ_NON_INT_INC",CA$3,$E$3, $J$3, , $G$3, $H$3))),"")</f>
        <v/>
      </c>
      <c r="BD16" s="72" t="str">
        <f>IFERROR(IF(OR($B16="",BD$3=""),"",_xll.ciqfunctions.udf.CIQ($B16, "IQ_EBT", BD$3,$E$3, $J$3, , $G$3, $H$3)/(_xll.ciqfunctions.udf.CIQ($B16,"IQ_INT_INC_TOTAL",CB$3,$E$3, $J$3, , $G$3, $H$3)+_xll.ciqfunctions.udf.CIQ($B16,"IQ_NON_INT_INC",CB$3,$E$3, $J$3, , $G$3, $H$3))),"")</f>
        <v/>
      </c>
      <c r="BE16" s="72" t="str">
        <f>IFERROR(IF(OR($B16="",BE$3=""),"",_xll.ciqfunctions.udf.CIQ($B16, "IQ_EBT", BE$3,$E$3, $J$3, , $G$3, $H$3)/(_xll.ciqfunctions.udf.CIQ($B16,"IQ_INT_INC_TOTAL",CC$3,$E$3, $J$3, , $G$3, $H$3)+_xll.ciqfunctions.udf.CIQ($B16,"IQ_NON_INT_INC",CC$3,$E$3, $J$3, , $G$3, $H$3))),"")</f>
        <v/>
      </c>
      <c r="BF16" s="72" t="str">
        <f>IFERROR(IF(OR($B16="",BF$3=""),"",_xll.ciqfunctions.udf.CIQ($B16, "IQ_EBT", BF$3,$E$3, $J$3, , $G$3, $H$3)/(_xll.ciqfunctions.udf.CIQ($B16,"IQ_INT_INC_TOTAL",CD$3,$E$3, $J$3, , $G$3, $H$3)+_xll.ciqfunctions.udf.CIQ($B16,"IQ_NON_INT_INC",CD$3,$E$3, $J$3, , $G$3, $H$3))),"")</f>
        <v/>
      </c>
      <c r="BG16" s="72" t="str">
        <f>IFERROR(IF(OR($B16="",BG$3=""),"",_xll.ciqfunctions.udf.CIQ($B16, "IQ_EBT", BG$3,$E$3, $J$3, , $G$3, $H$3)/(_xll.ciqfunctions.udf.CIQ($B16,"IQ_INT_INC_TOTAL",CE$3,$E$3, $J$3, , $G$3, $H$3)+_xll.ciqfunctions.udf.CIQ($B16,"IQ_NON_INT_INC",CE$3,$E$3, $J$3, , $G$3, $H$3))),"")</f>
        <v/>
      </c>
      <c r="BH16" s="72" t="str">
        <f>IFERROR(IF(OR($B16="",BH$3=""),"",_xll.ciqfunctions.udf.CIQ($B16, "IQ_EBT", BH$3,$E$3, $J$3, , $G$3, $H$3)/(_xll.ciqfunctions.udf.CIQ($B16,"IQ_INT_INC_TOTAL",CF$3,$E$3, $J$3, , $G$3, $H$3)+_xll.ciqfunctions.udf.CIQ($B16,"IQ_NON_INT_INC",CF$3,$E$3, $J$3, , $G$3, $H$3))),"")</f>
        <v/>
      </c>
      <c r="BI16" s="72" t="str">
        <f>IFERROR(IF(OR($B16="",BI$3=""),"",_xll.ciqfunctions.udf.CIQ($B16, "IQ_EBT", BI$3,$E$3, $J$3, , $G$3, $H$3)/(_xll.ciqfunctions.udf.CIQ($B16,"IQ_INT_INC_TOTAL",CG$3,$E$3, $J$3, , $G$3, $H$3)+_xll.ciqfunctions.udf.CIQ($B16,"IQ_NON_INT_INC",CG$3,$E$3, $J$3, , $G$3, $H$3))),"")</f>
        <v/>
      </c>
      <c r="BJ16" s="72" t="str">
        <f>IFERROR(IF(OR($B16="",BJ$3=""),"",_xll.ciqfunctions.udf.CIQ($B16, "IQ_EBT", BJ$3,$E$3, $J$3, , $G$3, $H$3)/(_xll.ciqfunctions.udf.CIQ($B16,"IQ_INT_INC_TOTAL",CH$3,$E$3, $J$3, , $G$3, $H$3)+_xll.ciqfunctions.udf.CIQ($B16,"IQ_NON_INT_INC",CH$3,$E$3, $J$3, , $G$3, $H$3))),"")</f>
        <v/>
      </c>
      <c r="BK16" s="72" t="str">
        <f>IFERROR(IF(OR($B16="",BK$3=""),"",_xll.ciqfunctions.udf.CIQ($B16, "IQ_EBT", BK$3,$E$3, $J$3, , $G$3, $H$3)/(_xll.ciqfunctions.udf.CIQ($B16,"IQ_INT_INC_TOTAL",CI$3,$E$3, $J$3, , $G$3, $H$3)+_xll.ciqfunctions.udf.CIQ($B16,"IQ_NON_INT_INC",CI$3,$E$3, $J$3, , $G$3, $H$3))),"")</f>
        <v/>
      </c>
      <c r="BL16" s="72" t="str">
        <f>IFERROR(IF(OR($B16="",BL$3=""),"",_xll.ciqfunctions.udf.CIQ($B16, "IQ_EBT", BL$3,$E$3, $J$3, , $G$3, $H$3)/(_xll.ciqfunctions.udf.CIQ($B16,"IQ_INT_INC_TOTAL",CJ$3,$E$3, $J$3, , $G$3, $H$3)+_xll.ciqfunctions.udf.CIQ($B16,"IQ_NON_INT_INC",CJ$3,$E$3, $J$3, , $G$3, $H$3))),"")</f>
        <v/>
      </c>
      <c r="BM16" s="72" t="str">
        <f>IFERROR(IF(OR($B16="",BM$3=""),"",_xll.ciqfunctions.udf.CIQ($B16, "IQ_EBT", BM$3,$E$3, $J$3, , $G$3, $H$3)/(_xll.ciqfunctions.udf.CIQ($B16,"IQ_INT_INC_TOTAL",CK$3,$E$3, $J$3, , $G$3, $H$3)+_xll.ciqfunctions.udf.CIQ($B16,"IQ_NON_INT_INC",CK$3,$E$3, $J$3, , $G$3, $H$3))),"")</f>
        <v/>
      </c>
      <c r="BN16" s="72" t="str">
        <f>IFERROR(IF(OR($B16="",BN$3=""),"",_xll.ciqfunctions.udf.CIQ($B16, "IQ_EBT", BN$3,$E$3, $J$3, , $G$3, $H$3)/(_xll.ciqfunctions.udf.CIQ($B16,"IQ_INT_INC_TOTAL",CL$3,$E$3, $J$3, , $G$3, $H$3)+_xll.ciqfunctions.udf.CIQ($B16,"IQ_NON_INT_INC",CL$3,$E$3, $J$3, , $G$3, $H$3))),"")</f>
        <v/>
      </c>
      <c r="BO16" s="72" t="str">
        <f>IFERROR(IF(OR($B16="",BO$3=""),"",_xll.ciqfunctions.udf.CIQ($B16, "IQ_EBT", BO$3,$E$3, $J$3, , $G$3, $H$3)/(_xll.ciqfunctions.udf.CIQ($B16,"IQ_INT_INC_TOTAL",CM$3,$E$3, $J$3, , $G$3, $H$3)+_xll.ciqfunctions.udf.CIQ($B16,"IQ_NON_INT_INC",CM$3,$E$3, $J$3, , $G$3, $H$3))),"")</f>
        <v/>
      </c>
      <c r="BP16" s="72" t="str">
        <f>IFERROR(IF(OR($B16="",BP$3=""),"",_xll.ciqfunctions.udf.CIQ($B16, "IQ_EBT", BP$3,$E$3, $J$3, , $G$3, $H$3)/(_xll.ciqfunctions.udf.CIQ($B16,"IQ_INT_INC_TOTAL",CN$3,$E$3, $J$3, , $G$3, $H$3)+_xll.ciqfunctions.udf.CIQ($B16,"IQ_NON_INT_INC",CN$3,$E$3, $J$3, , $G$3, $H$3))),"")</f>
        <v/>
      </c>
      <c r="BQ16" s="72" t="str">
        <f>IFERROR(IF(OR($B16="",BQ$3=""),"",_xll.ciqfunctions.udf.CIQ($B16, "IQ_EBT", BQ$3,$E$3, $J$3, , $G$3, $H$3)/(_xll.ciqfunctions.udf.CIQ($B16,"IQ_INT_INC_TOTAL",CO$3,$E$3, $J$3, , $G$3, $H$3)+_xll.ciqfunctions.udf.CIQ($B16,"IQ_NON_INT_INC",CO$3,$E$3, $J$3, , $G$3, $H$3))),"")</f>
        <v/>
      </c>
      <c r="BR16" s="72" t="str">
        <f>IFERROR(IF(OR($B16="",BR$3=""),"",_xll.ciqfunctions.udf.CIQ($B16, "IQ_EBT", BR$3,$E$3, $J$3, , $G$3, $H$3)/(_xll.ciqfunctions.udf.CIQ($B16,"IQ_INT_INC_TOTAL",CP$3,$E$3, $J$3, , $G$3, $H$3)+_xll.ciqfunctions.udf.CIQ($B16,"IQ_NON_INT_INC",CP$3,$E$3, $J$3, , $G$3, $H$3))),"")</f>
        <v/>
      </c>
      <c r="BS16" s="87" t="str">
        <f>IFERROR(IF(OR($B16="",BS$3=""),"",_xll.ciqfunctions.udf.CIQ($B16,"IQ_NI",BS$3,$E$3, $J$3, , $G$3, $H$3)/(_xll.ciqfunctions.udf.CIQ($B16,"IQ_INT_INC_TOTAL",BS$3,$E$3, $J$3, , $G$3, $H$3)+_xll.ciqfunctions.udf.CIQ($B16,"IQ_NON_INT_INC",BS$3,$E$3, $J$3, , $G$3, $H$3))),"")</f>
        <v/>
      </c>
      <c r="BT16" s="87" t="str">
        <f>IFERROR(IF(OR($B16="",BT$3=""),"",_xll.ciqfunctions.udf.CIQ($B16,"IQ_NI",BT$3,$E$3, $J$3, , $G$3, $H$3)/(_xll.ciqfunctions.udf.CIQ($B16,"IQ_INT_INC_TOTAL",BT$3,$E$3, $J$3, , $G$3, $H$3)+_xll.ciqfunctions.udf.CIQ($B16,"IQ_NON_INT_INC",BT$3,$E$3, $J$3, , $G$3, $H$3))),"")</f>
        <v/>
      </c>
      <c r="BU16" s="87" t="str">
        <f>IFERROR(IF(OR($B16="",BU$3=""),"",_xll.ciqfunctions.udf.CIQ($B16,"IQ_NI",BU$3,$E$3, $J$3, , $G$3, $H$3)/(_xll.ciqfunctions.udf.CIQ($B16,"IQ_INT_INC_TOTAL",BU$3,$E$3, $J$3, , $G$3, $H$3)+_xll.ciqfunctions.udf.CIQ($B16,"IQ_NON_INT_INC",BU$3,$E$3, $J$3, , $G$3, $H$3))),"")</f>
        <v/>
      </c>
      <c r="BV16" s="87" t="str">
        <f>IFERROR(IF(OR($B16="",BV$3=""),"",_xll.ciqfunctions.udf.CIQ($B16,"IQ_NI",BV$3,$E$3, $J$3, , $G$3, $H$3)/(_xll.ciqfunctions.udf.CIQ($B16,"IQ_INT_INC_TOTAL",BV$3,$E$3, $J$3, , $G$3, $H$3)+_xll.ciqfunctions.udf.CIQ($B16,"IQ_NON_INT_INC",BV$3,$E$3, $J$3, , $G$3, $H$3))),"")</f>
        <v/>
      </c>
      <c r="BW16" s="87" t="str">
        <f>IFERROR(IF(OR($B16="",BW$3=""),"",_xll.ciqfunctions.udf.CIQ($B16,"IQ_NI",BW$3,$E$3, $J$3, , $G$3, $H$3)/(_xll.ciqfunctions.udf.CIQ($B16,"IQ_INT_INC_TOTAL",BW$3,$E$3, $J$3, , $G$3, $H$3)+_xll.ciqfunctions.udf.CIQ($B16,"IQ_NON_INT_INC",BW$3,$E$3, $J$3, , $G$3, $H$3))),"")</f>
        <v/>
      </c>
      <c r="BX16" s="87" t="str">
        <f>IFERROR(IF(OR($B16="",BX$3=""),"",_xll.ciqfunctions.udf.CIQ($B16,"IQ_NI",BX$3,$E$3, $J$3, , $G$3, $H$3)/(_xll.ciqfunctions.udf.CIQ($B16,"IQ_INT_INC_TOTAL",BX$3,$E$3, $J$3, , $G$3, $H$3)+_xll.ciqfunctions.udf.CIQ($B16,"IQ_NON_INT_INC",BX$3,$E$3, $J$3, , $G$3, $H$3))),"")</f>
        <v/>
      </c>
      <c r="BY16" s="87" t="str">
        <f>IFERROR(IF(OR($B16="",BY$3=""),"",_xll.ciqfunctions.udf.CIQ($B16,"IQ_NI",BY$3,$E$3, $J$3, , $G$3, $H$3)/(_xll.ciqfunctions.udf.CIQ($B16,"IQ_INT_INC_TOTAL",BY$3,$E$3, $J$3, , $G$3, $H$3)+_xll.ciqfunctions.udf.CIQ($B16,"IQ_NON_INT_INC",BY$3,$E$3, $J$3, , $G$3, $H$3))),"")</f>
        <v/>
      </c>
      <c r="BZ16" s="87" t="str">
        <f>IFERROR(IF(OR($B16="",BZ$3=""),"",_xll.ciqfunctions.udf.CIQ($B16,"IQ_NI",BZ$3,$E$3, $J$3, , $G$3, $H$3)/(_xll.ciqfunctions.udf.CIQ($B16,"IQ_INT_INC_TOTAL",BZ$3,$E$3, $J$3, , $G$3, $H$3)+_xll.ciqfunctions.udf.CIQ($B16,"IQ_NON_INT_INC",BZ$3,$E$3, $J$3, , $G$3, $H$3))),"")</f>
        <v/>
      </c>
      <c r="CA16" s="87" t="str">
        <f>IFERROR(IF(OR($B16="",CA$3=""),"",_xll.ciqfunctions.udf.CIQ($B16,"IQ_NI",CA$3,$E$3, $J$3, , $G$3, $H$3)/(_xll.ciqfunctions.udf.CIQ($B16,"IQ_INT_INC_TOTAL",CA$3,$E$3, $J$3, , $G$3, $H$3)+_xll.ciqfunctions.udf.CIQ($B16,"IQ_NON_INT_INC",CA$3,$E$3, $J$3, , $G$3, $H$3))),"")</f>
        <v/>
      </c>
      <c r="CB16" s="87" t="str">
        <f>IFERROR(IF(OR($B16="",CB$3=""),"",_xll.ciqfunctions.udf.CIQ($B16,"IQ_NI",CB$3,$E$3, $J$3, , $G$3, $H$3)/(_xll.ciqfunctions.udf.CIQ($B16,"IQ_INT_INC_TOTAL",CB$3,$E$3, $J$3, , $G$3, $H$3)+_xll.ciqfunctions.udf.CIQ($B16,"IQ_NON_INT_INC",CB$3,$E$3, $J$3, , $G$3, $H$3))),"")</f>
        <v/>
      </c>
      <c r="CC16" s="87" t="str">
        <f>IFERROR(IF(OR($B16="",CC$3=""),"",_xll.ciqfunctions.udf.CIQ($B16,"IQ_NI",CC$3,$E$3, $J$3, , $G$3, $H$3)/(_xll.ciqfunctions.udf.CIQ($B16,"IQ_INT_INC_TOTAL",CC$3,$E$3, $J$3, , $G$3, $H$3)+_xll.ciqfunctions.udf.CIQ($B16,"IQ_NON_INT_INC",CC$3,$E$3, $J$3, , $G$3, $H$3))),"")</f>
        <v/>
      </c>
      <c r="CD16" s="87" t="str">
        <f>IFERROR(IF(OR($B16="",CD$3=""),"",_xll.ciqfunctions.udf.CIQ($B16,"IQ_NI",CD$3,$E$3, $J$3, , $G$3, $H$3)/(_xll.ciqfunctions.udf.CIQ($B16,"IQ_INT_INC_TOTAL",CD$3,$E$3, $J$3, , $G$3, $H$3)+_xll.ciqfunctions.udf.CIQ($B16,"IQ_NON_INT_INC",CD$3,$E$3, $J$3, , $G$3, $H$3))),"")</f>
        <v/>
      </c>
      <c r="CE16" s="87" t="str">
        <f>IFERROR(IF(OR($B16="",CE$3=""),"",_xll.ciqfunctions.udf.CIQ($B16,"IQ_NI",CE$3,$E$3, $J$3, , $G$3, $H$3)/(_xll.ciqfunctions.udf.CIQ($B16,"IQ_INT_INC_TOTAL",CE$3,$E$3, $J$3, , $G$3, $H$3)+_xll.ciqfunctions.udf.CIQ($B16,"IQ_NON_INT_INC",CE$3,$E$3, $J$3, , $G$3, $H$3))),"")</f>
        <v/>
      </c>
      <c r="CF16" s="87" t="str">
        <f>IFERROR(IF(OR($B16="",CF$3=""),"",_xll.ciqfunctions.udf.CIQ($B16,"IQ_NI",CF$3,$E$3, $J$3, , $G$3, $H$3)/(_xll.ciqfunctions.udf.CIQ($B16,"IQ_INT_INC_TOTAL",CF$3,$E$3, $J$3, , $G$3, $H$3)+_xll.ciqfunctions.udf.CIQ($B16,"IQ_NON_INT_INC",CF$3,$E$3, $J$3, , $G$3, $H$3))),"")</f>
        <v/>
      </c>
      <c r="CG16" s="87" t="str">
        <f>IFERROR(IF(OR($B16="",CG$3=""),"",_xll.ciqfunctions.udf.CIQ($B16,"IQ_NI",CG$3,$E$3, $J$3, , $G$3, $H$3)/(_xll.ciqfunctions.udf.CIQ($B16,"IQ_INT_INC_TOTAL",CG$3,$E$3, $J$3, , $G$3, $H$3)+_xll.ciqfunctions.udf.CIQ($B16,"IQ_NON_INT_INC",CG$3,$E$3, $J$3, , $G$3, $H$3))),"")</f>
        <v/>
      </c>
      <c r="CH16" s="87" t="str">
        <f>IFERROR(IF(OR($B16="",CH$3=""),"",_xll.ciqfunctions.udf.CIQ($B16,"IQ_NI",CH$3,$E$3, $J$3, , $G$3, $H$3)/(_xll.ciqfunctions.udf.CIQ($B16,"IQ_INT_INC_TOTAL",CH$3,$E$3, $J$3, , $G$3, $H$3)+_xll.ciqfunctions.udf.CIQ($B16,"IQ_NON_INT_INC",CH$3,$E$3, $J$3, , $G$3, $H$3))),"")</f>
        <v/>
      </c>
      <c r="CI16" s="87" t="str">
        <f>IFERROR(IF(OR($B16="",CI$3=""),"",_xll.ciqfunctions.udf.CIQ($B16,"IQ_NI",CI$3,$E$3, $J$3, , $G$3, $H$3)/(_xll.ciqfunctions.udf.CIQ($B16,"IQ_INT_INC_TOTAL",CI$3,$E$3, $J$3, , $G$3, $H$3)+_xll.ciqfunctions.udf.CIQ($B16,"IQ_NON_INT_INC",CI$3,$E$3, $J$3, , $G$3, $H$3))),"")</f>
        <v/>
      </c>
      <c r="CJ16" s="87" t="str">
        <f>IFERROR(IF(OR($B16="",CJ$3=""),"",_xll.ciqfunctions.udf.CIQ($B16,"IQ_NI",CJ$3,$E$3, $J$3, , $G$3, $H$3)/(_xll.ciqfunctions.udf.CIQ($B16,"IQ_INT_INC_TOTAL",CJ$3,$E$3, $J$3, , $G$3, $H$3)+_xll.ciqfunctions.udf.CIQ($B16,"IQ_NON_INT_INC",CJ$3,$E$3, $J$3, , $G$3, $H$3))),"")</f>
        <v/>
      </c>
      <c r="CK16" s="87" t="str">
        <f>IFERROR(IF(OR($B16="",CK$3=""),"",_xll.ciqfunctions.udf.CIQ($B16,"IQ_NI",CK$3,$E$3, $J$3, , $G$3, $H$3)/(_xll.ciqfunctions.udf.CIQ($B16,"IQ_INT_INC_TOTAL",CK$3,$E$3, $J$3, , $G$3, $H$3)+_xll.ciqfunctions.udf.CIQ($B16,"IQ_NON_INT_INC",CK$3,$E$3, $J$3, , $G$3, $H$3))),"")</f>
        <v/>
      </c>
      <c r="CL16" s="87" t="str">
        <f>IFERROR(IF(OR($B16="",CL$3=""),"",_xll.ciqfunctions.udf.CIQ($B16,"IQ_NI",CL$3,$E$3, $J$3, , $G$3, $H$3)/(_xll.ciqfunctions.udf.CIQ($B16,"IQ_INT_INC_TOTAL",CL$3,$E$3, $J$3, , $G$3, $H$3)+_xll.ciqfunctions.udf.CIQ($B16,"IQ_NON_INT_INC",CL$3,$E$3, $J$3, , $G$3, $H$3))),"")</f>
        <v/>
      </c>
      <c r="CM16" s="72" t="str">
        <f>IFERROR(IF(OR($B16="",CM$3=""),"",_xll.ciqfunctions.udf.CIQ($B16,"IQ_SGA_SUPPL",CM$3,$E$3, $J$3, , $G$3, $H$3)/(_xll.ciqfunctions.udf.CIQ($B16,"IQ_INT_INC_TOTAL",CM$3,$E$3, $J$3, , $G$3, $H$3)+_xll.ciqfunctions.udf.CIQ($B16,"IQ_NON_INT_INC",CM$3,$E$3, $J$3, , $G$3, $H$3))),"")</f>
        <v/>
      </c>
      <c r="CN16" s="72" t="str">
        <f>IFERROR(IF(OR($B16="",CN$3=""),"",_xll.ciqfunctions.udf.CIQ($B16,"IQ_SGA_SUPPL",CN$3,$E$3, $J$3, , $G$3, $H$3)/(_xll.ciqfunctions.udf.CIQ($B16,"IQ_INT_INC_TOTAL",CN$3,$E$3, $J$3, , $G$3, $H$3)+_xll.ciqfunctions.udf.CIQ($B16,"IQ_NON_INT_INC",CN$3,$E$3, $J$3, , $G$3, $H$3))),"")</f>
        <v/>
      </c>
      <c r="CO16" s="72" t="str">
        <f>IFERROR(IF(OR($B16="",CO$3=""),"",_xll.ciqfunctions.udf.CIQ($B16,"IQ_SGA_SUPPL",CO$3,$E$3, $J$3, , $G$3, $H$3)/(_xll.ciqfunctions.udf.CIQ($B16,"IQ_INT_INC_TOTAL",CO$3,$E$3, $J$3, , $G$3, $H$3)+_xll.ciqfunctions.udf.CIQ($B16,"IQ_NON_INT_INC",CO$3,$E$3, $J$3, , $G$3, $H$3))),"")</f>
        <v/>
      </c>
      <c r="CP16" s="72" t="str">
        <f>IFERROR(IF(OR($B16="",CP$3=""),"",_xll.ciqfunctions.udf.CIQ($B16,"IQ_SGA_SUPPL",CP$3,$E$3, $J$3, , $G$3, $H$3)/(_xll.ciqfunctions.udf.CIQ($B16,"IQ_INT_INC_TOTAL",CP$3,$E$3, $J$3, , $G$3, $H$3)+_xll.ciqfunctions.udf.CIQ($B16,"IQ_NON_INT_INC",CP$3,$E$3, $J$3, , $G$3, $H$3))),"")</f>
        <v/>
      </c>
      <c r="CQ16" s="72" t="str">
        <f>IFERROR(IF(OR($B16="",CQ$3=""),"",_xll.ciqfunctions.udf.CIQ($B16,"IQ_SGA_SUPPL",CQ$3,$E$3, $J$3, , $G$3, $H$3)/(_xll.ciqfunctions.udf.CIQ($B16,"IQ_INT_INC_TOTAL",CQ$3,$E$3, $J$3, , $G$3, $H$3)+_xll.ciqfunctions.udf.CIQ($B16,"IQ_NON_INT_INC",CQ$3,$E$3, $J$3, , $G$3, $H$3))),"")</f>
        <v/>
      </c>
      <c r="CR16" s="72" t="str">
        <f>IFERROR(IF(OR($B16="",CR$3=""),"",_xll.ciqfunctions.udf.CIQ($B16,"IQ_SGA_SUPPL",CR$3,$E$3, $J$3, , $G$3, $H$3)/(_xll.ciqfunctions.udf.CIQ($B16,"IQ_INT_INC_TOTAL",CR$3,$E$3, $J$3, , $G$3, $H$3)+_xll.ciqfunctions.udf.CIQ($B16,"IQ_NON_INT_INC",CR$3,$E$3, $J$3, , $G$3, $H$3))),"")</f>
        <v/>
      </c>
      <c r="CS16" s="72" t="str">
        <f>IFERROR(IF(OR($B16="",CS$3=""),"",_xll.ciqfunctions.udf.CIQ($B16,"IQ_SGA_SUPPL",CS$3,$E$3, $J$3, , $G$3, $H$3)/(_xll.ciqfunctions.udf.CIQ($B16,"IQ_INT_INC_TOTAL",CS$3,$E$3, $J$3, , $G$3, $H$3)+_xll.ciqfunctions.udf.CIQ($B16,"IQ_NON_INT_INC",CS$3,$E$3, $J$3, , $G$3, $H$3))),"")</f>
        <v/>
      </c>
      <c r="CT16" s="72" t="str">
        <f>IFERROR(IF(OR($B16="",CT$3=""),"",_xll.ciqfunctions.udf.CIQ($B16,"IQ_SGA_SUPPL",CT$3,$E$3, $J$3, , $G$3, $H$3)/(_xll.ciqfunctions.udf.CIQ($B16,"IQ_INT_INC_TOTAL",CT$3,$E$3, $J$3, , $G$3, $H$3)+_xll.ciqfunctions.udf.CIQ($B16,"IQ_NON_INT_INC",CT$3,$E$3, $J$3, , $G$3, $H$3))),"")</f>
        <v/>
      </c>
      <c r="CU16" s="72" t="str">
        <f>IFERROR(IF(OR($B16="",CU$3=""),"",_xll.ciqfunctions.udf.CIQ($B16,"IQ_SGA_SUPPL",CU$3,$E$3, $J$3, , $G$3, $H$3)/(_xll.ciqfunctions.udf.CIQ($B16,"IQ_INT_INC_TOTAL",CU$3,$E$3, $J$3, , $G$3, $H$3)+_xll.ciqfunctions.udf.CIQ($B16,"IQ_NON_INT_INC",CU$3,$E$3, $J$3, , $G$3, $H$3))),"")</f>
        <v/>
      </c>
      <c r="CV16" s="72" t="str">
        <f>IFERROR(IF(OR($B16="",CV$3=""),"",_xll.ciqfunctions.udf.CIQ($B16,"IQ_SGA_SUPPL",CV$3,$E$3, $J$3, , $G$3, $H$3)/(_xll.ciqfunctions.udf.CIQ($B16,"IQ_INT_INC_TOTAL",CV$3,$E$3, $J$3, , $G$3, $H$3)+_xll.ciqfunctions.udf.CIQ($B16,"IQ_NON_INT_INC",CV$3,$E$3, $J$3, , $G$3, $H$3))),"")</f>
        <v/>
      </c>
      <c r="CW16" s="72" t="str">
        <f>IFERROR(IF(OR($B16="",CW$3=""),"",_xll.ciqfunctions.udf.CIQ($B16,"IQ_SGA_SUPPL",CW$3,$E$3, $J$3, , $G$3, $H$3)/(_xll.ciqfunctions.udf.CIQ($B16,"IQ_INT_INC_TOTAL",CW$3,$E$3, $J$3, , $G$3, $H$3)+_xll.ciqfunctions.udf.CIQ($B16,"IQ_NON_INT_INC",CW$3,$E$3, $J$3, , $G$3, $H$3))),"")</f>
        <v/>
      </c>
      <c r="CX16" s="72" t="str">
        <f>IFERROR(IF(OR($B16="",CX$3=""),"",_xll.ciqfunctions.udf.CIQ($B16,"IQ_SGA_SUPPL",CX$3,$E$3, $J$3, , $G$3, $H$3)/(_xll.ciqfunctions.udf.CIQ($B16,"IQ_INT_INC_TOTAL",CX$3,$E$3, $J$3, , $G$3, $H$3)+_xll.ciqfunctions.udf.CIQ($B16,"IQ_NON_INT_INC",CX$3,$E$3, $J$3, , $G$3, $H$3))),"")</f>
        <v/>
      </c>
      <c r="CY16" s="72" t="str">
        <f>IFERROR(IF(OR($B16="",CY$3=""),"",_xll.ciqfunctions.udf.CIQ($B16,"IQ_SGA_SUPPL",CY$3,$E$3, $J$3, , $G$3, $H$3)/(_xll.ciqfunctions.udf.CIQ($B16,"IQ_INT_INC_TOTAL",CY$3,$E$3, $J$3, , $G$3, $H$3)+_xll.ciqfunctions.udf.CIQ($B16,"IQ_NON_INT_INC",CY$3,$E$3, $J$3, , $G$3, $H$3))),"")</f>
        <v/>
      </c>
      <c r="CZ16" s="72" t="str">
        <f>IFERROR(IF(OR($B16="",CZ$3=""),"",_xll.ciqfunctions.udf.CIQ($B16,"IQ_SGA_SUPPL",CZ$3,$E$3, $J$3, , $G$3, $H$3)/(_xll.ciqfunctions.udf.CIQ($B16,"IQ_INT_INC_TOTAL",CZ$3,$E$3, $J$3, , $G$3, $H$3)+_xll.ciqfunctions.udf.CIQ($B16,"IQ_NON_INT_INC",CZ$3,$E$3, $J$3, , $G$3, $H$3))),"")</f>
        <v/>
      </c>
      <c r="DA16" s="72" t="str">
        <f>IFERROR(IF(OR($B16="",DA$3=""),"",_xll.ciqfunctions.udf.CIQ($B16,"IQ_SGA_SUPPL",DA$3,$E$3, $J$3, , $G$3, $H$3)/(_xll.ciqfunctions.udf.CIQ($B16,"IQ_INT_INC_TOTAL",DA$3,$E$3, $J$3, , $G$3, $H$3)+_xll.ciqfunctions.udf.CIQ($B16,"IQ_NON_INT_INC",DA$3,$E$3, $J$3, , $G$3, $H$3))),"")</f>
        <v/>
      </c>
      <c r="DB16" s="72" t="str">
        <f>IFERROR(IF(OR($B16="",DB$3=""),"",_xll.ciqfunctions.udf.CIQ($B16,"IQ_SGA_SUPPL",DB$3,$E$3, $J$3, , $G$3, $H$3)/(_xll.ciqfunctions.udf.CIQ($B16,"IQ_INT_INC_TOTAL",DB$3,$E$3, $J$3, , $G$3, $H$3)+_xll.ciqfunctions.udf.CIQ($B16,"IQ_NON_INT_INC",DB$3,$E$3, $J$3, , $G$3, $H$3))),"")</f>
        <v/>
      </c>
      <c r="DC16" s="72" t="str">
        <f>IFERROR(IF(OR($B16="",DC$3=""),"",_xll.ciqfunctions.udf.CIQ($B16,"IQ_SGA_SUPPL",DC$3,$E$3, $J$3, , $G$3, $H$3)/(_xll.ciqfunctions.udf.CIQ($B16,"IQ_INT_INC_TOTAL",DC$3,$E$3, $J$3, , $G$3, $H$3)+_xll.ciqfunctions.udf.CIQ($B16,"IQ_NON_INT_INC",DC$3,$E$3, $J$3, , $G$3, $H$3))),"")</f>
        <v/>
      </c>
      <c r="DD16" s="72" t="str">
        <f>IFERROR(IF(OR($B16="",DD$3=""),"",_xll.ciqfunctions.udf.CIQ($B16,"IQ_SGA_SUPPL",DD$3,$E$3, $J$3, , $G$3, $H$3)/(_xll.ciqfunctions.udf.CIQ($B16,"IQ_INT_INC_TOTAL",DD$3,$E$3, $J$3, , $G$3, $H$3)+_xll.ciqfunctions.udf.CIQ($B16,"IQ_NON_INT_INC",DD$3,$E$3, $J$3, , $G$3, $H$3))),"")</f>
        <v/>
      </c>
      <c r="DE16" s="72" t="str">
        <f>IFERROR(IF(OR($B16="",DE$3=""),"",_xll.ciqfunctions.udf.CIQ($B16,"IQ_SGA_SUPPL",DE$3,$E$3, $J$3, , $G$3, $H$3)/(_xll.ciqfunctions.udf.CIQ($B16,"IQ_INT_INC_TOTAL",DE$3,$E$3, $J$3, , $G$3, $H$3)+_xll.ciqfunctions.udf.CIQ($B16,"IQ_NON_INT_INC",DE$3,$E$3, $J$3, , $G$3, $H$3))),"")</f>
        <v/>
      </c>
      <c r="DF16" s="72" t="str">
        <f>IFERROR(IF(OR($B16="",DF$3=""),"",_xll.ciqfunctions.udf.CIQ($B16,"IQ_SGA_SUPPL",DF$3,$E$3, $J$3, , $G$3, $H$3)/(_xll.ciqfunctions.udf.CIQ($B16,"IQ_INT_INC_TOTAL",DF$3,$E$3, $J$3, , $G$3, $H$3)+_xll.ciqfunctions.udf.CIQ($B16,"IQ_NON_INT_INC",DF$3,$E$3, $J$3, , $G$3, $H$3))),"")</f>
        <v/>
      </c>
      <c r="DG16" s="86" t="str">
        <f>IFERROR(IF(OR($B16="",DG$3=""),"",_xll.ciqfunctions.udf.CIQ($B16,"IQ_TIER_ONE_RATIO",DG$3,$E$3, $J$3, , $G$3, $H$3)/100),"")</f>
        <v/>
      </c>
      <c r="DH16" s="87" t="str">
        <f>IFERROR(IF(OR($B16="",DH$3=""),"",_xll.ciqfunctions.udf.CIQ($B16,"IQ_TIER_ONE_RATIO",DH$3,$E$3, $J$3, , $G$3, $H$3)/100),"")</f>
        <v/>
      </c>
      <c r="DI16" s="87" t="str">
        <f>IFERROR(IF(OR($B16="",DI$3=""),"",_xll.ciqfunctions.udf.CIQ($B16,"IQ_TIER_ONE_RATIO",DI$3,$E$3, $J$3, , $G$3, $H$3)/100),"")</f>
        <v/>
      </c>
      <c r="DJ16" s="87" t="str">
        <f>IFERROR(IF(OR($B16="",DJ$3=""),"",_xll.ciqfunctions.udf.CIQ($B16,"IQ_TIER_ONE_RATIO",DJ$3,$E$3, $J$3, , $G$3, $H$3)/100),"")</f>
        <v/>
      </c>
      <c r="DK16" s="87" t="str">
        <f>IFERROR(IF(OR($B16="",DK$3=""),"",_xll.ciqfunctions.udf.CIQ($B16,"IQ_TIER_ONE_RATIO",DK$3,$E$3, $J$3, , $G$3, $H$3)/100),"")</f>
        <v/>
      </c>
      <c r="DL16" s="87" t="str">
        <f>IFERROR(IF(OR($B16="",DL$3=""),"",_xll.ciqfunctions.udf.CIQ($B16,"IQ_TIER_ONE_RATIO",DL$3,$E$3, $J$3, , $G$3, $H$3)/100),"")</f>
        <v/>
      </c>
      <c r="DM16" s="87" t="str">
        <f>IFERROR(IF(OR($B16="",DM$3=""),"",_xll.ciqfunctions.udf.CIQ($B16,"IQ_TIER_ONE_RATIO",DM$3,$E$3, $J$3, , $G$3, $H$3)/100),"")</f>
        <v/>
      </c>
      <c r="DN16" s="87" t="str">
        <f>IFERROR(IF(OR($B16="",DN$3=""),"",_xll.ciqfunctions.udf.CIQ($B16,"IQ_TIER_ONE_RATIO",DN$3,$E$3, $J$3, , $G$3, $H$3)/100),"")</f>
        <v/>
      </c>
      <c r="DO16" s="87" t="str">
        <f>IFERROR(IF(OR($B16="",DO$3=""),"",_xll.ciqfunctions.udf.CIQ($B16,"IQ_TIER_ONE_RATIO",DO$3,$E$3, $J$3, , $G$3, $H$3)/100),"")</f>
        <v/>
      </c>
      <c r="DP16" s="87" t="str">
        <f>IFERROR(IF(OR($B16="",DP$3=""),"",_xll.ciqfunctions.udf.CIQ($B16,"IQ_TIER_ONE_RATIO",DP$3,$E$3, $J$3, , $G$3, $H$3)/100),"")</f>
        <v/>
      </c>
      <c r="DQ16" s="87" t="str">
        <f>IFERROR(IF(OR($B16="",DQ$3=""),"",_xll.ciqfunctions.udf.CIQ($B16,"IQ_TIER_ONE_RATIO",DQ$3,$E$3, $J$3, , $G$3, $H$3)/100),"")</f>
        <v/>
      </c>
      <c r="DR16" s="87" t="str">
        <f>IFERROR(IF(OR($B16="",DR$3=""),"",_xll.ciqfunctions.udf.CIQ($B16,"IQ_TIER_ONE_RATIO",DR$3,$E$3, $J$3, , $G$3, $H$3)/100),"")</f>
        <v/>
      </c>
      <c r="DS16" s="87" t="str">
        <f>IFERROR(IF(OR($B16="",DS$3=""),"",_xll.ciqfunctions.udf.CIQ($B16,"IQ_TIER_ONE_RATIO",DS$3,$E$3, $J$3, , $G$3, $H$3)/100),"")</f>
        <v/>
      </c>
      <c r="DT16" s="87" t="str">
        <f>IFERROR(IF(OR($B16="",DT$3=""),"",_xll.ciqfunctions.udf.CIQ($B16,"IQ_TIER_ONE_RATIO",DT$3,$E$3, $J$3, , $G$3, $H$3)/100),"")</f>
        <v/>
      </c>
      <c r="DU16" s="87" t="str">
        <f>IFERROR(IF(OR($B16="",DU$3=""),"",_xll.ciqfunctions.udf.CIQ($B16,"IQ_TIER_ONE_RATIO",DU$3,$E$3, $J$3, , $G$3, $H$3)/100),"")</f>
        <v/>
      </c>
      <c r="DV16" s="87" t="str">
        <f>IFERROR(IF(OR($B16="",DV$3=""),"",_xll.ciqfunctions.udf.CIQ($B16,"IQ_TIER_ONE_RATIO",DV$3,$E$3, $J$3, , $G$3, $H$3)/100),"")</f>
        <v/>
      </c>
      <c r="DW16" s="87" t="str">
        <f>IFERROR(IF(OR($B16="",DW$3=""),"",_xll.ciqfunctions.udf.CIQ($B16,"IQ_TIER_ONE_RATIO",DW$3,$E$3, $J$3, , $G$3, $H$3)/100),"")</f>
        <v/>
      </c>
      <c r="DX16" s="87" t="str">
        <f>IFERROR(IF(OR($B16="",DX$3=""),"",_xll.ciqfunctions.udf.CIQ($B16,"IQ_TIER_ONE_RATIO",DX$3,$E$3, $J$3, , $G$3, $H$3)/100),"")</f>
        <v/>
      </c>
      <c r="DY16" s="87" t="str">
        <f>IFERROR(IF(OR($B16="",DY$3=""),"",_xll.ciqfunctions.udf.CIQ($B16,"IQ_TIER_ONE_RATIO",DY$3,$E$3, $J$3, , $G$3, $H$3)/100),"")</f>
        <v/>
      </c>
      <c r="DZ16" s="88" t="str">
        <f>IFERROR(IF(OR($B16="",DZ$3=""),"",_xll.ciqfunctions.udf.CIQ($B16,"IQ_TIER_ONE_RATIO",DZ$3,$E$3, $J$3, , $G$3, $H$3)/100),"")</f>
        <v/>
      </c>
      <c r="EA16" s="86" t="str">
        <f>IFERROR(IF(OR($B16="",EA$3=""),"",_xll.ciqfunctions.udf.CIQ($B16,"IQ_TOTAL_CAPITAL_RATIO",EA$3,$E$3, $J$3, , $G$3, $H$3)/100),"")</f>
        <v/>
      </c>
      <c r="EB16" s="87" t="str">
        <f>IFERROR(IF(OR($B16="",EB$3=""),"",_xll.ciqfunctions.udf.CIQ($B16,"IQ_TOTAL_CAPITAL_RATIO",EB$3,$E$3, $J$3, , $G$3, $H$3)/100),"")</f>
        <v/>
      </c>
      <c r="EC16" s="87" t="str">
        <f>IFERROR(IF(OR($B16="",EC$3=""),"",_xll.ciqfunctions.udf.CIQ($B16,"IQ_TOTAL_CAPITAL_RATIO",EC$3,$E$3, $J$3, , $G$3, $H$3)/100),"")</f>
        <v/>
      </c>
      <c r="ED16" s="87" t="str">
        <f>IFERROR(IF(OR($B16="",ED$3=""),"",_xll.ciqfunctions.udf.CIQ($B16,"IQ_TOTAL_CAPITAL_RATIO",ED$3,$E$3, $J$3, , $G$3, $H$3)/100),"")</f>
        <v/>
      </c>
      <c r="EE16" s="87" t="str">
        <f>IFERROR(IF(OR($B16="",EE$3=""),"",_xll.ciqfunctions.udf.CIQ($B16,"IQ_TOTAL_CAPITAL_RATIO",EE$3,$E$3, $J$3, , $G$3, $H$3)/100),"")</f>
        <v/>
      </c>
      <c r="EF16" s="87" t="str">
        <f>IFERROR(IF(OR($B16="",EF$3=""),"",_xll.ciqfunctions.udf.CIQ($B16,"IQ_TOTAL_CAPITAL_RATIO",EF$3,$E$3, $J$3, , $G$3, $H$3)/100),"")</f>
        <v/>
      </c>
      <c r="EG16" s="87" t="str">
        <f>IFERROR(IF(OR($B16="",EG$3=""),"",_xll.ciqfunctions.udf.CIQ($B16,"IQ_TOTAL_CAPITAL_RATIO",EG$3,$E$3, $J$3, , $G$3, $H$3)/100),"")</f>
        <v/>
      </c>
      <c r="EH16" s="87" t="str">
        <f>IFERROR(IF(OR($B16="",EH$3=""),"",_xll.ciqfunctions.udf.CIQ($B16,"IQ_TOTAL_CAPITAL_RATIO",EH$3,$E$3, $J$3, , $G$3, $H$3)/100),"")</f>
        <v/>
      </c>
      <c r="EI16" s="87" t="str">
        <f>IFERROR(IF(OR($B16="",EI$3=""),"",_xll.ciqfunctions.udf.CIQ($B16,"IQ_TOTAL_CAPITAL_RATIO",EI$3,$E$3, $J$3, , $G$3, $H$3)/100),"")</f>
        <v/>
      </c>
      <c r="EJ16" s="87" t="str">
        <f>IFERROR(IF(OR($B16="",EJ$3=""),"",_xll.ciqfunctions.udf.CIQ($B16,"IQ_TOTAL_CAPITAL_RATIO",EJ$3,$E$3, $J$3, , $G$3, $H$3)/100),"")</f>
        <v/>
      </c>
      <c r="EK16" s="87" t="str">
        <f>IFERROR(IF(OR($B16="",EK$3=""),"",_xll.ciqfunctions.udf.CIQ($B16,"IQ_TOTAL_CAPITAL_RATIO",EK$3,$E$3, $J$3, , $G$3, $H$3)/100),"")</f>
        <v/>
      </c>
      <c r="EL16" s="87" t="str">
        <f>IFERROR(IF(OR($B16="",EL$3=""),"",_xll.ciqfunctions.udf.CIQ($B16,"IQ_TOTAL_CAPITAL_RATIO",EL$3,$E$3, $J$3, , $G$3, $H$3)/100),"")</f>
        <v/>
      </c>
      <c r="EM16" s="87" t="str">
        <f>IFERROR(IF(OR($B16="",EM$3=""),"",_xll.ciqfunctions.udf.CIQ($B16,"IQ_TOTAL_CAPITAL_RATIO",EM$3,$E$3, $J$3, , $G$3, $H$3)/100),"")</f>
        <v/>
      </c>
      <c r="EN16" s="87" t="str">
        <f>IFERROR(IF(OR($B16="",EN$3=""),"",_xll.ciqfunctions.udf.CIQ($B16,"IQ_TOTAL_CAPITAL_RATIO",EN$3,$E$3, $J$3, , $G$3, $H$3)/100),"")</f>
        <v/>
      </c>
      <c r="EO16" s="87" t="str">
        <f>IFERROR(IF(OR($B16="",EO$3=""),"",_xll.ciqfunctions.udf.CIQ($B16,"IQ_TOTAL_CAPITAL_RATIO",EO$3,$E$3, $J$3, , $G$3, $H$3)/100),"")</f>
        <v/>
      </c>
      <c r="EP16" s="87" t="str">
        <f>IFERROR(IF(OR($B16="",EP$3=""),"",_xll.ciqfunctions.udf.CIQ($B16,"IQ_TOTAL_CAPITAL_RATIO",EP$3,$E$3, $J$3, , $G$3, $H$3)/100),"")</f>
        <v/>
      </c>
      <c r="EQ16" s="87" t="str">
        <f>IFERROR(IF(OR($B16="",EQ$3=""),"",_xll.ciqfunctions.udf.CIQ($B16,"IQ_TOTAL_CAPITAL_RATIO",EQ$3,$E$3, $J$3, , $G$3, $H$3)/100),"")</f>
        <v/>
      </c>
      <c r="ER16" s="87" t="str">
        <f>IFERROR(IF(OR($B16="",ER$3=""),"",_xll.ciqfunctions.udf.CIQ($B16,"IQ_TOTAL_CAPITAL_RATIO",ER$3,$E$3, $J$3, , $G$3, $H$3)/100),"")</f>
        <v/>
      </c>
      <c r="ES16" s="87" t="str">
        <f>IFERROR(IF(OR($B16="",ES$3=""),"",_xll.ciqfunctions.udf.CIQ($B16,"IQ_TOTAL_CAPITAL_RATIO",ES$3,$E$3, $J$3, , $G$3, $H$3)/100),"")</f>
        <v/>
      </c>
      <c r="ET16" s="88" t="str">
        <f>IFERROR(IF(OR($B16="",ET$3=""),"",_xll.ciqfunctions.udf.CIQ($B16,"IQ_TOTAL_CAPITAL_RATIO",ET$3,$E$3, $J$3, , $G$3, $H$3)/100),"")</f>
        <v/>
      </c>
      <c r="EU16" s="86" t="str">
        <f>IFERROR(IF(OR($B16="",EU$3=""),"",_xll.ciqfunctions.udf.CIQ($B16,"IQ_GROSS_LOANS",EU$3,$E$3, $J$3, , $G$3, $H$3)/_xll.ciqfunctions.udf.CIQ($B16,"IQ_TOTAL_ASSETS",EU$3,$E$3, $J$3, , $G$3, $H$3)),"")</f>
        <v/>
      </c>
      <c r="EV16" s="87" t="str">
        <f>IFERROR(IF(OR($B16="",EV$3=""),"",_xll.ciqfunctions.udf.CIQ($B16,"IQ_GROSS_LOANS",EV$3,$E$3, $J$3, , $G$3, $H$3)/_xll.ciqfunctions.udf.CIQ($B16,"IQ_TOTAL_ASSETS",EV$3,$E$3, $J$3, , $G$3, $H$3)),"")</f>
        <v/>
      </c>
      <c r="EW16" s="87" t="str">
        <f>IFERROR(IF(OR($B16="",EW$3=""),"",_xll.ciqfunctions.udf.CIQ($B16,"IQ_GROSS_LOANS",EW$3,$E$3, $J$3, , $G$3, $H$3)/_xll.ciqfunctions.udf.CIQ($B16,"IQ_TOTAL_ASSETS",EW$3,$E$3, $J$3, , $G$3, $H$3)),"")</f>
        <v/>
      </c>
      <c r="EX16" s="87" t="str">
        <f>IFERROR(IF(OR($B16="",EX$3=""),"",_xll.ciqfunctions.udf.CIQ($B16,"IQ_GROSS_LOANS",EX$3,$E$3, $J$3, , $G$3, $H$3)/_xll.ciqfunctions.udf.CIQ($B16,"IQ_TOTAL_ASSETS",EX$3,$E$3, $J$3, , $G$3, $H$3)),"")</f>
        <v/>
      </c>
      <c r="EY16" s="87" t="str">
        <f>IFERROR(IF(OR($B16="",EY$3=""),"",_xll.ciqfunctions.udf.CIQ($B16,"IQ_GROSS_LOANS",EY$3,$E$3, $J$3, , $G$3, $H$3)/_xll.ciqfunctions.udf.CIQ($B16,"IQ_TOTAL_ASSETS",EY$3,$E$3, $J$3, , $G$3, $H$3)),"")</f>
        <v/>
      </c>
      <c r="EZ16" s="87" t="str">
        <f>IFERROR(IF(OR($B16="",EZ$3=""),"",_xll.ciqfunctions.udf.CIQ($B16,"IQ_GROSS_LOANS",EZ$3,$E$3, $J$3, , $G$3, $H$3)/_xll.ciqfunctions.udf.CIQ($B16,"IQ_TOTAL_ASSETS",EZ$3,$E$3, $J$3, , $G$3, $H$3)),"")</f>
        <v/>
      </c>
      <c r="FA16" s="87" t="str">
        <f>IFERROR(IF(OR($B16="",FA$3=""),"",_xll.ciqfunctions.udf.CIQ($B16,"IQ_GROSS_LOANS",FA$3,$E$3, $J$3, , $G$3, $H$3)/_xll.ciqfunctions.udf.CIQ($B16,"IQ_TOTAL_ASSETS",FA$3,$E$3, $J$3, , $G$3, $H$3)),"")</f>
        <v/>
      </c>
      <c r="FB16" s="87" t="str">
        <f>IFERROR(IF(OR($B16="",FB$3=""),"",_xll.ciqfunctions.udf.CIQ($B16,"IQ_GROSS_LOANS",FB$3,$E$3, $J$3, , $G$3, $H$3)/_xll.ciqfunctions.udf.CIQ($B16,"IQ_TOTAL_ASSETS",FB$3,$E$3, $J$3, , $G$3, $H$3)),"")</f>
        <v/>
      </c>
      <c r="FC16" s="87" t="str">
        <f>IFERROR(IF(OR($B16="",FC$3=""),"",_xll.ciqfunctions.udf.CIQ($B16,"IQ_GROSS_LOANS",FC$3,$E$3, $J$3, , $G$3, $H$3)/_xll.ciqfunctions.udf.CIQ($B16,"IQ_TOTAL_ASSETS",FC$3,$E$3, $J$3, , $G$3, $H$3)),"")</f>
        <v/>
      </c>
      <c r="FD16" s="87" t="str">
        <f>IFERROR(IF(OR($B16="",FD$3=""),"",_xll.ciqfunctions.udf.CIQ($B16,"IQ_GROSS_LOANS",FD$3,$E$3, $J$3, , $G$3, $H$3)/_xll.ciqfunctions.udf.CIQ($B16,"IQ_TOTAL_ASSETS",FD$3,$E$3, $J$3, , $G$3, $H$3)),"")</f>
        <v/>
      </c>
      <c r="FE16" s="87" t="str">
        <f>IFERROR(IF(OR($B16="",FE$3=""),"",_xll.ciqfunctions.udf.CIQ($B16,"IQ_GROSS_LOANS",FE$3,$E$3, $J$3, , $G$3, $H$3)/_xll.ciqfunctions.udf.CIQ($B16,"IQ_TOTAL_ASSETS",FE$3,$E$3, $J$3, , $G$3, $H$3)),"")</f>
        <v/>
      </c>
      <c r="FF16" s="87" t="str">
        <f>IFERROR(IF(OR($B16="",FF$3=""),"",_xll.ciqfunctions.udf.CIQ($B16,"IQ_GROSS_LOANS",FF$3,$E$3, $J$3, , $G$3, $H$3)/_xll.ciqfunctions.udf.CIQ($B16,"IQ_TOTAL_ASSETS",FF$3,$E$3, $J$3, , $G$3, $H$3)),"")</f>
        <v/>
      </c>
      <c r="FG16" s="87" t="str">
        <f>IFERROR(IF(OR($B16="",FG$3=""),"",_xll.ciqfunctions.udf.CIQ($B16,"IQ_GROSS_LOANS",FG$3,$E$3, $J$3, , $G$3, $H$3)/_xll.ciqfunctions.udf.CIQ($B16,"IQ_TOTAL_ASSETS",FG$3,$E$3, $J$3, , $G$3, $H$3)),"")</f>
        <v/>
      </c>
      <c r="FH16" s="87" t="str">
        <f>IFERROR(IF(OR($B16="",FH$3=""),"",_xll.ciqfunctions.udf.CIQ($B16,"IQ_GROSS_LOANS",FH$3,$E$3, $J$3, , $G$3, $H$3)/_xll.ciqfunctions.udf.CIQ($B16,"IQ_TOTAL_ASSETS",FH$3,$E$3, $J$3, , $G$3, $H$3)),"")</f>
        <v/>
      </c>
      <c r="FI16" s="87" t="str">
        <f>IFERROR(IF(OR($B16="",FI$3=""),"",_xll.ciqfunctions.udf.CIQ($B16,"IQ_GROSS_LOANS",FI$3,$E$3, $J$3, , $G$3, $H$3)/_xll.ciqfunctions.udf.CIQ($B16,"IQ_TOTAL_ASSETS",FI$3,$E$3, $J$3, , $G$3, $H$3)),"")</f>
        <v/>
      </c>
      <c r="FJ16" s="87" t="str">
        <f>IFERROR(IF(OR($B16="",FJ$3=""),"",_xll.ciqfunctions.udf.CIQ($B16,"IQ_GROSS_LOANS",FJ$3,$E$3, $J$3, , $G$3, $H$3)/_xll.ciqfunctions.udf.CIQ($B16,"IQ_TOTAL_ASSETS",FJ$3,$E$3, $J$3, , $G$3, $H$3)),"")</f>
        <v/>
      </c>
      <c r="FK16" s="87" t="str">
        <f>IFERROR(IF(OR($B16="",FK$3=""),"",_xll.ciqfunctions.udf.CIQ($B16,"IQ_GROSS_LOANS",FK$3,$E$3, $J$3, , $G$3, $H$3)/_xll.ciqfunctions.udf.CIQ($B16,"IQ_TOTAL_ASSETS",FK$3,$E$3, $J$3, , $G$3, $H$3)),"")</f>
        <v/>
      </c>
      <c r="FL16" s="87" t="str">
        <f>IFERROR(IF(OR($B16="",FL$3=""),"",_xll.ciqfunctions.udf.CIQ($B16,"IQ_GROSS_LOANS",FL$3,$E$3, $J$3, , $G$3, $H$3)/_xll.ciqfunctions.udf.CIQ($B16,"IQ_TOTAL_ASSETS",FL$3,$E$3, $J$3, , $G$3, $H$3)),"")</f>
        <v/>
      </c>
      <c r="FM16" s="87" t="str">
        <f>IFERROR(IF(OR($B16="",FM$3=""),"",_xll.ciqfunctions.udf.CIQ($B16,"IQ_GROSS_LOANS",FM$3,$E$3, $J$3, , $G$3, $H$3)/_xll.ciqfunctions.udf.CIQ($B16,"IQ_TOTAL_ASSETS",FM$3,$E$3, $J$3, , $G$3, $H$3)),"")</f>
        <v/>
      </c>
      <c r="FN16" s="88" t="str">
        <f>IFERROR(IF(OR($B16="",FN$3=""),"",_xll.ciqfunctions.udf.CIQ($B16,"IQ_GROSS_LOANS",FN$3,$E$3, $J$3, , $G$3, $H$3)/_xll.ciqfunctions.udf.CIQ($B16,"IQ_TOTAL_ASSETS",FN$3,$E$3, $J$3, , $G$3, $H$3)),"")</f>
        <v/>
      </c>
      <c r="FO16" s="86" t="str">
        <f>IFERROR(IF(OR($B16="",FO$3=""),"",_xll.ciqfunctions.udf.CIQ($B16,"IQ_NON_PERFORMING_LOANS",FO$3,$E$3, $J$3, , $G$3, $H$3)/_xll.ciqfunctions.udf.CIQ($B16,"IQ_TOTAL_LOANS",FO$3,$E$3, $J$3, , $G$3, $H$3)),"")</f>
        <v/>
      </c>
      <c r="FP16" s="87" t="str">
        <f>IFERROR(IF(OR($B16="",FP$3=""),"",_xll.ciqfunctions.udf.CIQ($B16,"IQ_NON_PERFORMING_LOANS",FP$3,$E$3, $J$3, , $G$3, $H$3)/_xll.ciqfunctions.udf.CIQ($B16,"IQ_TOTAL_LOANS",FP$3,$E$3, $J$3, , $G$3, $H$3)),"")</f>
        <v/>
      </c>
      <c r="FQ16" s="87" t="str">
        <f>IFERROR(IF(OR($B16="",FQ$3=""),"",_xll.ciqfunctions.udf.CIQ($B16,"IQ_NON_PERFORMING_LOANS",FQ$3,$E$3, $J$3, , $G$3, $H$3)/_xll.ciqfunctions.udf.CIQ($B16,"IQ_TOTAL_LOANS",FQ$3,$E$3, $J$3, , $G$3, $H$3)),"")</f>
        <v/>
      </c>
      <c r="FR16" s="87" t="str">
        <f>IFERROR(IF(OR($B16="",FR$3=""),"",_xll.ciqfunctions.udf.CIQ($B16,"IQ_NON_PERFORMING_LOANS",FR$3,$E$3, $J$3, , $G$3, $H$3)/_xll.ciqfunctions.udf.CIQ($B16,"IQ_TOTAL_LOANS",FR$3,$E$3, $J$3, , $G$3, $H$3)),"")</f>
        <v/>
      </c>
      <c r="FS16" s="87" t="str">
        <f>IFERROR(IF(OR($B16="",FS$3=""),"",_xll.ciqfunctions.udf.CIQ($B16,"IQ_NON_PERFORMING_LOANS",FS$3,$E$3, $J$3, , $G$3, $H$3)/_xll.ciqfunctions.udf.CIQ($B16,"IQ_TOTAL_LOANS",FS$3,$E$3, $J$3, , $G$3, $H$3)),"")</f>
        <v/>
      </c>
      <c r="FT16" s="87" t="str">
        <f>IFERROR(IF(OR($B16="",FT$3=""),"",_xll.ciqfunctions.udf.CIQ($B16,"IQ_NON_PERFORMING_LOANS",FT$3,$E$3, $J$3, , $G$3, $H$3)/_xll.ciqfunctions.udf.CIQ($B16,"IQ_TOTAL_LOANS",FT$3,$E$3, $J$3, , $G$3, $H$3)),"")</f>
        <v/>
      </c>
      <c r="FU16" s="87" t="str">
        <f>IFERROR(IF(OR($B16="",FU$3=""),"",_xll.ciqfunctions.udf.CIQ($B16,"IQ_NON_PERFORMING_LOANS",FU$3,$E$3, $J$3, , $G$3, $H$3)/_xll.ciqfunctions.udf.CIQ($B16,"IQ_TOTAL_LOANS",FU$3,$E$3, $J$3, , $G$3, $H$3)),"")</f>
        <v/>
      </c>
      <c r="FV16" s="87" t="str">
        <f>IFERROR(IF(OR($B16="",FV$3=""),"",_xll.ciqfunctions.udf.CIQ($B16,"IQ_NON_PERFORMING_LOANS",FV$3,$E$3, $J$3, , $G$3, $H$3)/_xll.ciqfunctions.udf.CIQ($B16,"IQ_TOTAL_LOANS",FV$3,$E$3, $J$3, , $G$3, $H$3)),"")</f>
        <v/>
      </c>
      <c r="FW16" s="87" t="str">
        <f>IFERROR(IF(OR($B16="",FW$3=""),"",_xll.ciqfunctions.udf.CIQ($B16,"IQ_NON_PERFORMING_LOANS",FW$3,$E$3, $J$3, , $G$3, $H$3)/_xll.ciqfunctions.udf.CIQ($B16,"IQ_TOTAL_LOANS",FW$3,$E$3, $J$3, , $G$3, $H$3)),"")</f>
        <v/>
      </c>
      <c r="FX16" s="87" t="str">
        <f>IFERROR(IF(OR($B16="",FX$3=""),"",_xll.ciqfunctions.udf.CIQ($B16,"IQ_NON_PERFORMING_LOANS",FX$3,$E$3, $J$3, , $G$3, $H$3)/_xll.ciqfunctions.udf.CIQ($B16,"IQ_TOTAL_LOANS",FX$3,$E$3, $J$3, , $G$3, $H$3)),"")</f>
        <v/>
      </c>
      <c r="FY16" s="87" t="str">
        <f>IFERROR(IF(OR($B16="",FY$3=""),"",_xll.ciqfunctions.udf.CIQ($B16,"IQ_NON_PERFORMING_LOANS",FY$3,$E$3, $J$3, , $G$3, $H$3)/_xll.ciqfunctions.udf.CIQ($B16,"IQ_TOTAL_LOANS",FY$3,$E$3, $J$3, , $G$3, $H$3)),"")</f>
        <v/>
      </c>
      <c r="FZ16" s="87" t="str">
        <f>IFERROR(IF(OR($B16="",FZ$3=""),"",_xll.ciqfunctions.udf.CIQ($B16,"IQ_NON_PERFORMING_LOANS",FZ$3,$E$3, $J$3, , $G$3, $H$3)/_xll.ciqfunctions.udf.CIQ($B16,"IQ_TOTAL_LOANS",FZ$3,$E$3, $J$3, , $G$3, $H$3)),"")</f>
        <v/>
      </c>
      <c r="GA16" s="87" t="str">
        <f>IFERROR(IF(OR($B16="",GA$3=""),"",_xll.ciqfunctions.udf.CIQ($B16,"IQ_NON_PERFORMING_LOANS",GA$3,$E$3, $J$3, , $G$3, $H$3)/_xll.ciqfunctions.udf.CIQ($B16,"IQ_TOTAL_LOANS",GA$3,$E$3, $J$3, , $G$3, $H$3)),"")</f>
        <v/>
      </c>
      <c r="GB16" s="87" t="str">
        <f>IFERROR(IF(OR($B16="",GB$3=""),"",_xll.ciqfunctions.udf.CIQ($B16,"IQ_NON_PERFORMING_LOANS",GB$3,$E$3, $J$3, , $G$3, $H$3)/_xll.ciqfunctions.udf.CIQ($B16,"IQ_TOTAL_LOANS",GB$3,$E$3, $J$3, , $G$3, $H$3)),"")</f>
        <v/>
      </c>
      <c r="GC16" s="87" t="str">
        <f>IFERROR(IF(OR($B16="",GC$3=""),"",_xll.ciqfunctions.udf.CIQ($B16,"IQ_NON_PERFORMING_LOANS",GC$3,$E$3, $J$3, , $G$3, $H$3)/_xll.ciqfunctions.udf.CIQ($B16,"IQ_TOTAL_LOANS",GC$3,$E$3, $J$3, , $G$3, $H$3)),"")</f>
        <v/>
      </c>
      <c r="GD16" s="87" t="str">
        <f>IFERROR(IF(OR($B16="",GD$3=""),"",_xll.ciqfunctions.udf.CIQ($B16,"IQ_NON_PERFORMING_LOANS",GD$3,$E$3, $J$3, , $G$3, $H$3)/_xll.ciqfunctions.udf.CIQ($B16,"IQ_TOTAL_LOANS",GD$3,$E$3, $J$3, , $G$3, $H$3)),"")</f>
        <v/>
      </c>
      <c r="GE16" s="87" t="str">
        <f>IFERROR(IF(OR($B16="",GE$3=""),"",_xll.ciqfunctions.udf.CIQ($B16,"IQ_NON_PERFORMING_LOANS",GE$3,$E$3, $J$3, , $G$3, $H$3)/_xll.ciqfunctions.udf.CIQ($B16,"IQ_TOTAL_LOANS",GE$3,$E$3, $J$3, , $G$3, $H$3)),"")</f>
        <v/>
      </c>
      <c r="GF16" s="87" t="str">
        <f>IFERROR(IF(OR($B16="",GF$3=""),"",_xll.ciqfunctions.udf.CIQ($B16,"IQ_NON_PERFORMING_LOANS",GF$3,$E$3, $J$3, , $G$3, $H$3)/_xll.ciqfunctions.udf.CIQ($B16,"IQ_TOTAL_LOANS",GF$3,$E$3, $J$3, , $G$3, $H$3)),"")</f>
        <v/>
      </c>
      <c r="GG16" s="87" t="str">
        <f>IFERROR(IF(OR($B16="",GG$3=""),"",_xll.ciqfunctions.udf.CIQ($B16,"IQ_NON_PERFORMING_LOANS",GG$3,$E$3, $J$3, , $G$3, $H$3)/_xll.ciqfunctions.udf.CIQ($B16,"IQ_TOTAL_LOANS",GG$3,$E$3, $J$3, , $G$3, $H$3)),"")</f>
        <v/>
      </c>
      <c r="GH16" s="88" t="str">
        <f>IFERROR(IF(OR($B16="",GH$3=""),"",_xll.ciqfunctions.udf.CIQ($B16,"IQ_NON_PERFORMING_LOANS",GH$3,$E$3, $J$3, , $G$3, $H$3)/_xll.ciqfunctions.udf.CIQ($B16,"IQ_TOTAL_LOANS",GH$3,$E$3, $J$3, , $G$3, $H$3)),"")</f>
        <v/>
      </c>
      <c r="GI16" s="86" t="str">
        <f>IFERROR(IF(OR($B16="",GI$3=""),"",_xll.ciqfunctions.udf.CIQ($B16,"IQ_NON_PERFORMING_ASSETS",GI$3,$E$3, $J$3, , $G$3, $H$3)/_xll.ciqfunctions.udf.CIQ($B16,"IQ_TOTAL_ASSETS",GI$3,$E$3, $J$3, , $G$3, $H$3)),"")</f>
        <v/>
      </c>
      <c r="GJ16" s="87" t="str">
        <f>IFERROR(IF(OR($B16="",GJ$3=""),"",_xll.ciqfunctions.udf.CIQ($B16,"IQ_NON_PERFORMING_ASSETS",GJ$3,$E$3, $J$3, , $G$3, $H$3)/_xll.ciqfunctions.udf.CIQ($B16,"IQ_TOTAL_ASSETS",GJ$3,$E$3, $J$3, , $G$3, $H$3)),"")</f>
        <v/>
      </c>
      <c r="GK16" s="87" t="str">
        <f>IFERROR(IF(OR($B16="",GK$3=""),"",_xll.ciqfunctions.udf.CIQ($B16,"IQ_NON_PERFORMING_ASSETS",GK$3,$E$3, $J$3, , $G$3, $H$3)/_xll.ciqfunctions.udf.CIQ($B16,"IQ_TOTAL_ASSETS",GK$3,$E$3, $J$3, , $G$3, $H$3)),"")</f>
        <v/>
      </c>
      <c r="GL16" s="87" t="str">
        <f>IFERROR(IF(OR($B16="",GL$3=""),"",_xll.ciqfunctions.udf.CIQ($B16,"IQ_NON_PERFORMING_ASSETS",GL$3,$E$3, $J$3, , $G$3, $H$3)/_xll.ciqfunctions.udf.CIQ($B16,"IQ_TOTAL_ASSETS",GL$3,$E$3, $J$3, , $G$3, $H$3)),"")</f>
        <v/>
      </c>
      <c r="GM16" s="87" t="str">
        <f>IFERROR(IF(OR($B16="",GM$3=""),"",_xll.ciqfunctions.udf.CIQ($B16,"IQ_NON_PERFORMING_ASSETS",GM$3,$E$3, $J$3, , $G$3, $H$3)/_xll.ciqfunctions.udf.CIQ($B16,"IQ_TOTAL_ASSETS",GM$3,$E$3, $J$3, , $G$3, $H$3)),"")</f>
        <v/>
      </c>
      <c r="GN16" s="87" t="str">
        <f>IFERROR(IF(OR($B16="",GN$3=""),"",_xll.ciqfunctions.udf.CIQ($B16,"IQ_NON_PERFORMING_ASSETS",GN$3,$E$3, $J$3, , $G$3, $H$3)/_xll.ciqfunctions.udf.CIQ($B16,"IQ_TOTAL_ASSETS",GN$3,$E$3, $J$3, , $G$3, $H$3)),"")</f>
        <v/>
      </c>
      <c r="GO16" s="87" t="str">
        <f>IFERROR(IF(OR($B16="",GO$3=""),"",_xll.ciqfunctions.udf.CIQ($B16,"IQ_NON_PERFORMING_ASSETS",GO$3,$E$3, $J$3, , $G$3, $H$3)/_xll.ciqfunctions.udf.CIQ($B16,"IQ_TOTAL_ASSETS",GO$3,$E$3, $J$3, , $G$3, $H$3)),"")</f>
        <v/>
      </c>
      <c r="GP16" s="87" t="str">
        <f>IFERROR(IF(OR($B16="",GP$3=""),"",_xll.ciqfunctions.udf.CIQ($B16,"IQ_NON_PERFORMING_ASSETS",GP$3,$E$3, $J$3, , $G$3, $H$3)/_xll.ciqfunctions.udf.CIQ($B16,"IQ_TOTAL_ASSETS",GP$3,$E$3, $J$3, , $G$3, $H$3)),"")</f>
        <v/>
      </c>
      <c r="GQ16" s="87" t="str">
        <f>IFERROR(IF(OR($B16="",GQ$3=""),"",_xll.ciqfunctions.udf.CIQ($B16,"IQ_NON_PERFORMING_ASSETS",GQ$3,$E$3, $J$3, , $G$3, $H$3)/_xll.ciqfunctions.udf.CIQ($B16,"IQ_TOTAL_ASSETS",GQ$3,$E$3, $J$3, , $G$3, $H$3)),"")</f>
        <v/>
      </c>
      <c r="GR16" s="87" t="str">
        <f>IFERROR(IF(OR($B16="",GR$3=""),"",_xll.ciqfunctions.udf.CIQ($B16,"IQ_NON_PERFORMING_ASSETS",GR$3,$E$3, $J$3, , $G$3, $H$3)/_xll.ciqfunctions.udf.CIQ($B16,"IQ_TOTAL_ASSETS",GR$3,$E$3, $J$3, , $G$3, $H$3)),"")</f>
        <v/>
      </c>
      <c r="GS16" s="87" t="str">
        <f>IFERROR(IF(OR($B16="",GS$3=""),"",_xll.ciqfunctions.udf.CIQ($B16,"IQ_NON_PERFORMING_ASSETS",GS$3,$E$3, $J$3, , $G$3, $H$3)/_xll.ciqfunctions.udf.CIQ($B16,"IQ_TOTAL_ASSETS",GS$3,$E$3, $J$3, , $G$3, $H$3)),"")</f>
        <v/>
      </c>
      <c r="GT16" s="87" t="str">
        <f>IFERROR(IF(OR($B16="",GT$3=""),"",_xll.ciqfunctions.udf.CIQ($B16,"IQ_NON_PERFORMING_ASSETS",GT$3,$E$3, $J$3, , $G$3, $H$3)/_xll.ciqfunctions.udf.CIQ($B16,"IQ_TOTAL_ASSETS",GT$3,$E$3, $J$3, , $G$3, $H$3)),"")</f>
        <v/>
      </c>
      <c r="GU16" s="87" t="str">
        <f>IFERROR(IF(OR($B16="",GU$3=""),"",_xll.ciqfunctions.udf.CIQ($B16,"IQ_NON_PERFORMING_ASSETS",GU$3,$E$3, $J$3, , $G$3, $H$3)/_xll.ciqfunctions.udf.CIQ($B16,"IQ_TOTAL_ASSETS",GU$3,$E$3, $J$3, , $G$3, $H$3)),"")</f>
        <v/>
      </c>
      <c r="GV16" s="87" t="str">
        <f>IFERROR(IF(OR($B16="",GV$3=""),"",_xll.ciqfunctions.udf.CIQ($B16,"IQ_NON_PERFORMING_ASSETS",GV$3,$E$3, $J$3, , $G$3, $H$3)/_xll.ciqfunctions.udf.CIQ($B16,"IQ_TOTAL_ASSETS",GV$3,$E$3, $J$3, , $G$3, $H$3)),"")</f>
        <v/>
      </c>
      <c r="GW16" s="87" t="str">
        <f>IFERROR(IF(OR($B16="",GW$3=""),"",_xll.ciqfunctions.udf.CIQ($B16,"IQ_NON_PERFORMING_ASSETS",GW$3,$E$3, $J$3, , $G$3, $H$3)/_xll.ciqfunctions.udf.CIQ($B16,"IQ_TOTAL_ASSETS",GW$3,$E$3, $J$3, , $G$3, $H$3)),"")</f>
        <v/>
      </c>
      <c r="GX16" s="87" t="str">
        <f>IFERROR(IF(OR($B16="",GX$3=""),"",_xll.ciqfunctions.udf.CIQ($B16,"IQ_NON_PERFORMING_ASSETS",GX$3,$E$3, $J$3, , $G$3, $H$3)/_xll.ciqfunctions.udf.CIQ($B16,"IQ_TOTAL_ASSETS",GX$3,$E$3, $J$3, , $G$3, $H$3)),"")</f>
        <v/>
      </c>
      <c r="GY16" s="87" t="str">
        <f>IFERROR(IF(OR($B16="",GY$3=""),"",_xll.ciqfunctions.udf.CIQ($B16,"IQ_NON_PERFORMING_ASSETS",GY$3,$E$3, $J$3, , $G$3, $H$3)/_xll.ciqfunctions.udf.CIQ($B16,"IQ_TOTAL_ASSETS",GY$3,$E$3, $J$3, , $G$3, $H$3)),"")</f>
        <v/>
      </c>
      <c r="GZ16" s="87" t="str">
        <f>IFERROR(IF(OR($B16="",GZ$3=""),"",_xll.ciqfunctions.udf.CIQ($B16,"IQ_NON_PERFORMING_ASSETS",GZ$3,$E$3, $J$3, , $G$3, $H$3)/_xll.ciqfunctions.udf.CIQ($B16,"IQ_TOTAL_ASSETS",GZ$3,$E$3, $J$3, , $G$3, $H$3)),"")</f>
        <v/>
      </c>
      <c r="HA16" s="87" t="str">
        <f>IFERROR(IF(OR($B16="",HA$3=""),"",_xll.ciqfunctions.udf.CIQ($B16,"IQ_NON_PERFORMING_ASSETS",HA$3,$E$3, $J$3, , $G$3, $H$3)/_xll.ciqfunctions.udf.CIQ($B16,"IQ_TOTAL_ASSETS",HA$3,$E$3, $J$3, , $G$3, $H$3)),"")</f>
        <v/>
      </c>
      <c r="HB16" s="88" t="str">
        <f>IFERROR(IF(OR($B16="",HB$3=""),"",_xll.ciqfunctions.udf.CIQ($B16,"IQ_NON_PERFORMING_ASSETS",HB$3,$E$3, $J$3, , $G$3, $H$3)/_xll.ciqfunctions.udf.CIQ($B16,"IQ_TOTAL_ASSETS",HB$3,$E$3, $J$3, , $G$3, $H$3)),"")</f>
        <v/>
      </c>
      <c r="HC16" s="86" t="str">
        <f>IFERROR(IF(OR($B16="",HC$3=""),"",_xll.ciqfunctions.udf.CIQ($B16, "IQ_NI", $I$3, HC$3,$J$3, ,$G$3,$H$3)*2/(_xll.ciqfunctions.udf.CIQ($B16,"IQ_TOTAL_ASSETS",HC$3,$E$3, $J$3, , $G$3, $H$3)+_xll.ciqfunctions.udf.CIQ($B16,"IQ_TOTAL_ASSETS","IQ_" &amp; LEFT(HC$3,2) &amp; "-1",HC$3, $J$3, , $G$3, $H$3))),"")</f>
        <v/>
      </c>
      <c r="HD16" s="87" t="str">
        <f>IFERROR(IF(OR($B16="",HD$3=""),"",_xll.ciqfunctions.udf.CIQ($B16, "IQ_NI", $I$3, HD$3,$J$3, ,$G$3,$H$3)*2/(_xll.ciqfunctions.udf.CIQ($B16,"IQ_TOTAL_ASSETS",HD$3,$E$3, $J$3, , $G$3, $H$3)+_xll.ciqfunctions.udf.CIQ($B16,"IQ_TOTAL_ASSETS","IQ_" &amp; LEFT(HD$3,2) &amp; "-1",HD$3, $J$3, , $G$3, $H$3))),"")</f>
        <v/>
      </c>
      <c r="HE16" s="87" t="str">
        <f>IFERROR(IF(OR($B16="",HE$3=""),"",_xll.ciqfunctions.udf.CIQ($B16, "IQ_NI", $I$3, HE$3,$J$3, ,$G$3,$H$3)*2/(_xll.ciqfunctions.udf.CIQ($B16,"IQ_TOTAL_ASSETS",HE$3,$E$3, $J$3, , $G$3, $H$3)+_xll.ciqfunctions.udf.CIQ($B16,"IQ_TOTAL_ASSETS","IQ_" &amp; LEFT(HE$3,2) &amp; "-1",HE$3, $J$3, , $G$3, $H$3))),"")</f>
        <v/>
      </c>
      <c r="HF16" s="87" t="str">
        <f>IFERROR(IF(OR($B16="",HF$3=""),"",_xll.ciqfunctions.udf.CIQ($B16, "IQ_NI", $I$3, HF$3,$J$3, ,$G$3,$H$3)*2/(_xll.ciqfunctions.udf.CIQ($B16,"IQ_TOTAL_ASSETS",HF$3,$E$3, $J$3, , $G$3, $H$3)+_xll.ciqfunctions.udf.CIQ($B16,"IQ_TOTAL_ASSETS","IQ_" &amp; LEFT(HF$3,2) &amp; "-1",HF$3, $J$3, , $G$3, $H$3))),"")</f>
        <v/>
      </c>
      <c r="HG16" s="87" t="str">
        <f>IFERROR(IF(OR($B16="",HG$3=""),"",_xll.ciqfunctions.udf.CIQ($B16, "IQ_NI", $I$3, HG$3,$J$3, ,$G$3,$H$3)*2/(_xll.ciqfunctions.udf.CIQ($B16,"IQ_TOTAL_ASSETS",HG$3,$E$3, $J$3, , $G$3, $H$3)+_xll.ciqfunctions.udf.CIQ($B16,"IQ_TOTAL_ASSETS","IQ_" &amp; LEFT(HG$3,2) &amp; "-1",HG$3, $J$3, , $G$3, $H$3))),"")</f>
        <v/>
      </c>
      <c r="HH16" s="87" t="str">
        <f>IFERROR(IF(OR($B16="",HH$3=""),"",_xll.ciqfunctions.udf.CIQ($B16, "IQ_NI", $I$3, HH$3,$J$3, ,$G$3,$H$3)*2/(_xll.ciqfunctions.udf.CIQ($B16,"IQ_TOTAL_ASSETS",HH$3,$E$3, $J$3, , $G$3, $H$3)+_xll.ciqfunctions.udf.CIQ($B16,"IQ_TOTAL_ASSETS","IQ_" &amp; LEFT(HH$3,2) &amp; "-1",HH$3, $J$3, , $G$3, $H$3))),"")</f>
        <v/>
      </c>
      <c r="HI16" s="87" t="str">
        <f>IFERROR(IF(OR($B16="",HI$3=""),"",_xll.ciqfunctions.udf.CIQ($B16, "IQ_NI", $I$3, HI$3,$J$3, ,$G$3,$H$3)*2/(_xll.ciqfunctions.udf.CIQ($B16,"IQ_TOTAL_ASSETS",HI$3,$E$3, $J$3, , $G$3, $H$3)+_xll.ciqfunctions.udf.CIQ($B16,"IQ_TOTAL_ASSETS","IQ_" &amp; LEFT(HI$3,2) &amp; "-1",HI$3, $J$3, , $G$3, $H$3))),"")</f>
        <v/>
      </c>
      <c r="HJ16" s="87" t="str">
        <f>IFERROR(IF(OR($B16="",HJ$3=""),"",_xll.ciqfunctions.udf.CIQ($B16, "IQ_NI", $I$3, HJ$3,$J$3, ,$G$3,$H$3)*2/(_xll.ciqfunctions.udf.CIQ($B16,"IQ_TOTAL_ASSETS",HJ$3,$E$3, $J$3, , $G$3, $H$3)+_xll.ciqfunctions.udf.CIQ($B16,"IQ_TOTAL_ASSETS","IQ_" &amp; LEFT(HJ$3,2) &amp; "-1",HJ$3, $J$3, , $G$3, $H$3))),"")</f>
        <v/>
      </c>
      <c r="HK16" s="87" t="str">
        <f>IFERROR(IF(OR($B16="",HK$3=""),"",_xll.ciqfunctions.udf.CIQ($B16, "IQ_NI", $I$3, HK$3,$J$3, ,$G$3,$H$3)*2/(_xll.ciqfunctions.udf.CIQ($B16,"IQ_TOTAL_ASSETS",HK$3,$E$3, $J$3, , $G$3, $H$3)+_xll.ciqfunctions.udf.CIQ($B16,"IQ_TOTAL_ASSETS","IQ_" &amp; LEFT(HK$3,2) &amp; "-1",HK$3, $J$3, , $G$3, $H$3))),"")</f>
        <v/>
      </c>
      <c r="HL16" s="87" t="str">
        <f>IFERROR(IF(OR($B16="",HL$3=""),"",_xll.ciqfunctions.udf.CIQ($B16, "IQ_NI", $I$3, HL$3,$J$3, ,$G$3,$H$3)*2/(_xll.ciqfunctions.udf.CIQ($B16,"IQ_TOTAL_ASSETS",HL$3,$E$3, $J$3, , $G$3, $H$3)+_xll.ciqfunctions.udf.CIQ($B16,"IQ_TOTAL_ASSETS","IQ_" &amp; LEFT(HL$3,2) &amp; "-1",HL$3, $J$3, , $G$3, $H$3))),"")</f>
        <v/>
      </c>
      <c r="HM16" s="87" t="str">
        <f>IFERROR(IF(OR($B16="",HM$3=""),"",_xll.ciqfunctions.udf.CIQ($B16, "IQ_NI", $I$3, HM$3,$J$3, ,$G$3,$H$3)*2/(_xll.ciqfunctions.udf.CIQ($B16,"IQ_TOTAL_ASSETS",HM$3,$E$3, $J$3, , $G$3, $H$3)+_xll.ciqfunctions.udf.CIQ($B16,"IQ_TOTAL_ASSETS","IQ_" &amp; LEFT(HM$3,2) &amp; "-1",HM$3, $J$3, , $G$3, $H$3))),"")</f>
        <v/>
      </c>
      <c r="HN16" s="87" t="str">
        <f>IFERROR(IF(OR($B16="",HN$3=""),"",_xll.ciqfunctions.udf.CIQ($B16, "IQ_NI", $I$3, HN$3,$J$3, ,$G$3,$H$3)*2/(_xll.ciqfunctions.udf.CIQ($B16,"IQ_TOTAL_ASSETS",HN$3,$E$3, $J$3, , $G$3, $H$3)+_xll.ciqfunctions.udf.CIQ($B16,"IQ_TOTAL_ASSETS","IQ_" &amp; LEFT(HN$3,2) &amp; "-1",HN$3, $J$3, , $G$3, $H$3))),"")</f>
        <v/>
      </c>
      <c r="HO16" s="87" t="str">
        <f>IFERROR(IF(OR($B16="",HO$3=""),"",_xll.ciqfunctions.udf.CIQ($B16, "IQ_NI", $I$3, HO$3,$J$3, ,$G$3,$H$3)*2/(_xll.ciqfunctions.udf.CIQ($B16,"IQ_TOTAL_ASSETS",HO$3,$E$3, $J$3, , $G$3, $H$3)+_xll.ciqfunctions.udf.CIQ($B16,"IQ_TOTAL_ASSETS","IQ_" &amp; LEFT(HO$3,2) &amp; "-1",HO$3, $J$3, , $G$3, $H$3))),"")</f>
        <v/>
      </c>
      <c r="HP16" s="87" t="str">
        <f>IFERROR(IF(OR($B16="",HP$3=""),"",_xll.ciqfunctions.udf.CIQ($B16, "IQ_NI", $I$3, HP$3,$J$3, ,$G$3,$H$3)*2/(_xll.ciqfunctions.udf.CIQ($B16,"IQ_TOTAL_ASSETS",HP$3,$E$3, $J$3, , $G$3, $H$3)+_xll.ciqfunctions.udf.CIQ($B16,"IQ_TOTAL_ASSETS","IQ_" &amp; LEFT(HP$3,2) &amp; "-1",HP$3, $J$3, , $G$3, $H$3))),"")</f>
        <v/>
      </c>
      <c r="HQ16" s="87" t="str">
        <f>IFERROR(IF(OR($B16="",HQ$3=""),"",_xll.ciqfunctions.udf.CIQ($B16, "IQ_NI", $I$3, HQ$3,$J$3, ,$G$3,$H$3)*2/(_xll.ciqfunctions.udf.CIQ($B16,"IQ_TOTAL_ASSETS",HQ$3,$E$3, $J$3, , $G$3, $H$3)+_xll.ciqfunctions.udf.CIQ($B16,"IQ_TOTAL_ASSETS","IQ_" &amp; LEFT(HQ$3,2) &amp; "-1",HQ$3, $J$3, , $G$3, $H$3))),"")</f>
        <v/>
      </c>
      <c r="HR16" s="87" t="str">
        <f>IFERROR(IF(OR($B16="",HR$3=""),"",_xll.ciqfunctions.udf.CIQ($B16, "IQ_NI", $I$3, HR$3,$J$3, ,$G$3,$H$3)*2/(_xll.ciqfunctions.udf.CIQ($B16,"IQ_TOTAL_ASSETS",HR$3,$E$3, $J$3, , $G$3, $H$3)+_xll.ciqfunctions.udf.CIQ($B16,"IQ_TOTAL_ASSETS","IQ_" &amp; LEFT(HR$3,2) &amp; "-1",HR$3, $J$3, , $G$3, $H$3))),"")</f>
        <v/>
      </c>
      <c r="HS16" s="87" t="str">
        <f>IFERROR(IF(OR($B16="",HS$3=""),"",_xll.ciqfunctions.udf.CIQ($B16, "IQ_NI", $I$3, HS$3,$J$3, ,$G$3,$H$3)*2/(_xll.ciqfunctions.udf.CIQ($B16,"IQ_TOTAL_ASSETS",HS$3,$E$3, $J$3, , $G$3, $H$3)+_xll.ciqfunctions.udf.CIQ($B16,"IQ_TOTAL_ASSETS","IQ_" &amp; LEFT(HS$3,2) &amp; "-1",HS$3, $J$3, , $G$3, $H$3))),"")</f>
        <v/>
      </c>
      <c r="HT16" s="87" t="str">
        <f>IFERROR(IF(OR($B16="",HT$3=""),"",_xll.ciqfunctions.udf.CIQ($B16, "IQ_NI", $I$3, HT$3,$J$3, ,$G$3,$H$3)*2/(_xll.ciqfunctions.udf.CIQ($B16,"IQ_TOTAL_ASSETS",HT$3,$E$3, $J$3, , $G$3, $H$3)+_xll.ciqfunctions.udf.CIQ($B16,"IQ_TOTAL_ASSETS","IQ_" &amp; LEFT(HT$3,2) &amp; "-1",HT$3, $J$3, , $G$3, $H$3))),"")</f>
        <v/>
      </c>
      <c r="HU16" s="87" t="str">
        <f>IFERROR(IF(OR($B16="",HU$3=""),"",_xll.ciqfunctions.udf.CIQ($B16, "IQ_NI", $I$3, HU$3,$J$3, ,$G$3,$H$3)*2/(_xll.ciqfunctions.udf.CIQ($B16,"IQ_TOTAL_ASSETS",HU$3,$E$3, $J$3, , $G$3, $H$3)+_xll.ciqfunctions.udf.CIQ($B16,"IQ_TOTAL_ASSETS","IQ_" &amp; LEFT(HU$3,2) &amp; "-1",HU$3, $J$3, , $G$3, $H$3))),"")</f>
        <v/>
      </c>
      <c r="HV16" s="88" t="str">
        <f>IFERROR(IF(OR($B16="",HV$3=""),"",_xll.ciqfunctions.udf.CIQ($B16, "IQ_NI", $I$3, HV$3,$J$3, ,$G$3,$H$3)*2/(_xll.ciqfunctions.udf.CIQ($B16,"IQ_TOTAL_ASSETS",HV$3,$E$3, $J$3, , $G$3, $H$3)+_xll.ciqfunctions.udf.CIQ($B16,"IQ_TOTAL_ASSETS","IQ_" &amp; LEFT(HV$3,2) &amp; "-1",HV$3, $J$3, , $G$3, $H$3))),"")</f>
        <v/>
      </c>
      <c r="HW16" s="86" t="str">
        <f>IFERROR(IF(OR($B16="",HW$3=""),"",_xll.ciqfunctions.udf.CIQ($B16,"IQ_CASH_OPER",HW$3,$E$3, $J$3, , $G$3, $H$3)/_xll.ciqfunctions.udf.CIQ($B16,"IQ_TOTAL_REV",HW$3,$E$3, $J$3, , $G$3, $H$3)),0)</f>
        <v/>
      </c>
      <c r="HX16" s="87" t="str">
        <f>IFERROR(IF(OR($B16="",HX$3=""),"",_xll.ciqfunctions.udf.CIQ($B16,"IQ_CASH_OPER",HX$3,$E$3, $J$3, , $G$3, $H$3)/_xll.ciqfunctions.udf.CIQ($B16,"IQ_TOTAL_REV",HX$3,$E$3, $J$3, , $G$3, $H$3)),0)</f>
        <v/>
      </c>
      <c r="HY16" s="87" t="str">
        <f>IFERROR(IF(OR($B16="",HY$3=""),"",_xll.ciqfunctions.udf.CIQ($B16,"IQ_CASH_OPER",HY$3,$E$3, $J$3, , $G$3, $H$3)/_xll.ciqfunctions.udf.CIQ($B16,"IQ_TOTAL_REV",HY$3,$E$3, $J$3, , $G$3, $H$3)),0)</f>
        <v/>
      </c>
      <c r="HZ16" s="87" t="str">
        <f>IFERROR(IF(OR($B16="",HZ$3=""),"",_xll.ciqfunctions.udf.CIQ($B16,"IQ_CASH_OPER",HZ$3,$E$3, $J$3, , $G$3, $H$3)/_xll.ciqfunctions.udf.CIQ($B16,"IQ_TOTAL_REV",HZ$3,$E$3, $J$3, , $G$3, $H$3)),0)</f>
        <v/>
      </c>
      <c r="IA16" s="87" t="str">
        <f>IFERROR(IF(OR($B16="",IA$3=""),"",_xll.ciqfunctions.udf.CIQ($B16,"IQ_CASH_OPER",IA$3,$E$3, $J$3, , $G$3, $H$3)/_xll.ciqfunctions.udf.CIQ($B16,"IQ_TOTAL_REV",IA$3,$E$3, $J$3, , $G$3, $H$3)),0)</f>
        <v/>
      </c>
      <c r="IB16" s="87" t="str">
        <f>IFERROR(IF(OR($B16="",IB$3=""),"",_xll.ciqfunctions.udf.CIQ($B16,"IQ_CASH_OPER",IB$3,$E$3, $J$3, , $G$3, $H$3)/_xll.ciqfunctions.udf.CIQ($B16,"IQ_TOTAL_REV",IB$3,$E$3, $J$3, , $G$3, $H$3)),0)</f>
        <v/>
      </c>
      <c r="IC16" s="87" t="str">
        <f>IFERROR(IF(OR($B16="",IC$3=""),"",_xll.ciqfunctions.udf.CIQ($B16,"IQ_CASH_OPER",IC$3,$E$3, $J$3, , $G$3, $H$3)/_xll.ciqfunctions.udf.CIQ($B16,"IQ_TOTAL_REV",IC$3,$E$3, $J$3, , $G$3, $H$3)),0)</f>
        <v/>
      </c>
      <c r="ID16" s="87" t="str">
        <f>IFERROR(IF(OR($B16="",ID$3=""),"",_xll.ciqfunctions.udf.CIQ($B16,"IQ_CASH_OPER",ID$3,$E$3, $J$3, , $G$3, $H$3)/_xll.ciqfunctions.udf.CIQ($B16,"IQ_TOTAL_REV",ID$3,$E$3, $J$3, , $G$3, $H$3)),0)</f>
        <v/>
      </c>
      <c r="IE16" s="87" t="str">
        <f>IFERROR(IF(OR($B16="",IE$3=""),"",_xll.ciqfunctions.udf.CIQ($B16,"IQ_CASH_OPER",IE$3,$E$3, $J$3, , $G$3, $H$3)/_xll.ciqfunctions.udf.CIQ($B16,"IQ_TOTAL_REV",IE$3,$E$3, $J$3, , $G$3, $H$3)),0)</f>
        <v/>
      </c>
      <c r="IF16" s="87" t="str">
        <f>IFERROR(IF(OR($B16="",IF$3=""),"",_xll.ciqfunctions.udf.CIQ($B16,"IQ_CASH_OPER",IF$3,$E$3, $J$3, , $G$3, $H$3)/_xll.ciqfunctions.udf.CIQ($B16,"IQ_TOTAL_REV",IF$3,$E$3, $J$3, , $G$3, $H$3)),0)</f>
        <v/>
      </c>
      <c r="IG16" s="87" t="str">
        <f>IFERROR(IF(OR($B16="",IG$3=""),"",_xll.ciqfunctions.udf.CIQ($B16,"IQ_CASH_OPER",IG$3,$E$3, $J$3, , $G$3, $H$3)/_xll.ciqfunctions.udf.CIQ($B16,"IQ_TOTAL_REV",IG$3,$E$3, $J$3, , $G$3, $H$3)),0)</f>
        <v/>
      </c>
      <c r="IH16" s="87" t="str">
        <f>IFERROR(IF(OR($B16="",IH$3=""),"",_xll.ciqfunctions.udf.CIQ($B16,"IQ_CASH_OPER",IH$3,$E$3, $J$3, , $G$3, $H$3)/_xll.ciqfunctions.udf.CIQ($B16,"IQ_TOTAL_REV",IH$3,$E$3, $J$3, , $G$3, $H$3)),0)</f>
        <v/>
      </c>
      <c r="II16" s="87" t="str">
        <f>IFERROR(IF(OR($B16="",II$3=""),"",_xll.ciqfunctions.udf.CIQ($B16,"IQ_CASH_OPER",II$3,$E$3, $J$3, , $G$3, $H$3)/_xll.ciqfunctions.udf.CIQ($B16,"IQ_TOTAL_REV",II$3,$E$3, $J$3, , $G$3, $H$3)),0)</f>
        <v/>
      </c>
      <c r="IJ16" s="87" t="str">
        <f>IFERROR(IF(OR($B16="",IJ$3=""),"",_xll.ciqfunctions.udf.CIQ($B16,"IQ_CASH_OPER",IJ$3,$E$3, $J$3, , $G$3, $H$3)/_xll.ciqfunctions.udf.CIQ($B16,"IQ_TOTAL_REV",IJ$3,$E$3, $J$3, , $G$3, $H$3)),0)</f>
        <v/>
      </c>
      <c r="IK16" s="87" t="str">
        <f>IFERROR(IF(OR($B16="",IK$3=""),"",_xll.ciqfunctions.udf.CIQ($B16,"IQ_CASH_OPER",IK$3,$E$3, $J$3, , $G$3, $H$3)/_xll.ciqfunctions.udf.CIQ($B16,"IQ_TOTAL_REV",IK$3,$E$3, $J$3, , $G$3, $H$3)),0)</f>
        <v/>
      </c>
      <c r="IL16" s="87" t="str">
        <f>IFERROR(IF(OR($B16="",IL$3=""),"",_xll.ciqfunctions.udf.CIQ($B16,"IQ_CASH_OPER",IL$3,$E$3, $J$3, , $G$3, $H$3)/_xll.ciqfunctions.udf.CIQ($B16,"IQ_TOTAL_REV",IL$3,$E$3, $J$3, , $G$3, $H$3)),0)</f>
        <v/>
      </c>
      <c r="IM16" s="87" t="str">
        <f>IFERROR(IF(OR($B16="",IM$3=""),"",_xll.ciqfunctions.udf.CIQ($B16,"IQ_CASH_OPER",IM$3,$E$3, $J$3, , $G$3, $H$3)/_xll.ciqfunctions.udf.CIQ($B16,"IQ_TOTAL_REV",IM$3,$E$3, $J$3, , $G$3, $H$3)),0)</f>
        <v/>
      </c>
      <c r="IN16" s="87" t="str">
        <f>IFERROR(IF(OR($B16="",IN$3=""),"",_xll.ciqfunctions.udf.CIQ($B16,"IQ_CASH_OPER",IN$3,$E$3, $J$3, , $G$3, $H$3)/_xll.ciqfunctions.udf.CIQ($B16,"IQ_TOTAL_REV",IN$3,$E$3, $J$3, , $G$3, $H$3)),0)</f>
        <v/>
      </c>
      <c r="IO16" s="87" t="str">
        <f>IFERROR(IF(OR($B16="",IO$3=""),"",_xll.ciqfunctions.udf.CIQ($B16,"IQ_CASH_OPER",IO$3,$E$3, $J$3, , $G$3, $H$3)/_xll.ciqfunctions.udf.CIQ($B16,"IQ_TOTAL_REV",IO$3,$E$3, $J$3, , $G$3, $H$3)),0)</f>
        <v/>
      </c>
      <c r="IP16" s="88" t="str">
        <f>IFERROR(IF(OR($B16="",IP$3=""),"",_xll.ciqfunctions.udf.CIQ($B16,"IQ_CASH_OPER",IP$3,$E$3, $J$3, , $G$3, $H$3)/_xll.ciqfunctions.udf.CIQ($B16,"IQ_TOTAL_REV",IP$3,$E$3, $J$3, , $G$3, $H$3)),0)</f>
        <v/>
      </c>
      <c r="IQ16" s="348" t="str">
        <f>IFERROR(IF(OR(IQ$3="",$B16=""),"",_xll.ciqfunctions.udf.CIQ($B16,"IQ_TOTAL_ASSETS",IQ$3,$E$3, $J$3, , $G$3, $H$3)/_xll.ciqfunctions.udf.CIQ($B16,"IQ_TOTAL_COMMON_EQUITY",IQ$3,$E$3, $J$3, , $G$3, $H$3)),0)</f>
        <v/>
      </c>
      <c r="IR16" s="349" t="str">
        <f>IFERROR(IF(OR(IR$3="",$B16=""),"",_xll.ciqfunctions.udf.CIQ($B16,"IQ_TOTAL_ASSETS",IR$3,$E$3, $J$3, , $G$3, $H$3)/_xll.ciqfunctions.udf.CIQ($B16,"IQ_TOTAL_COMMON_EQUITY",IR$3,$E$3, $J$3, , $G$3, $H$3)),0)</f>
        <v/>
      </c>
      <c r="IS16" s="349" t="str">
        <f>IFERROR(IF(OR(IS$3="",$B16=""),"",_xll.ciqfunctions.udf.CIQ($B16,"IQ_TOTAL_ASSETS",IS$3,$E$3, $J$3, , $G$3, $H$3)/_xll.ciqfunctions.udf.CIQ($B16,"IQ_TOTAL_COMMON_EQUITY",IS$3,$E$3, $J$3, , $G$3, $H$3)),0)</f>
        <v/>
      </c>
      <c r="IT16" s="349" t="str">
        <f>IFERROR(IF(OR(IT$3="",$B16=""),"",_xll.ciqfunctions.udf.CIQ($B16,"IQ_TOTAL_ASSETS",IT$3,$E$3, $J$3, , $G$3, $H$3)/_xll.ciqfunctions.udf.CIQ($B16,"IQ_TOTAL_COMMON_EQUITY",IT$3,$E$3, $J$3, , $G$3, $H$3)),0)</f>
        <v/>
      </c>
      <c r="IU16" s="349" t="str">
        <f>IFERROR(IF(OR(IU$3="",$B16=""),"",_xll.ciqfunctions.udf.CIQ($B16,"IQ_TOTAL_ASSETS",IU$3,$E$3, $J$3, , $G$3, $H$3)/_xll.ciqfunctions.udf.CIQ($B16,"IQ_TOTAL_COMMON_EQUITY",IU$3,$E$3, $J$3, , $G$3, $H$3)),0)</f>
        <v/>
      </c>
      <c r="IV16" s="349" t="str">
        <f>IFERROR(IF(OR(IV$3="",$B16=""),"",_xll.ciqfunctions.udf.CIQ($B16,"IQ_TOTAL_ASSETS",IV$3,$E$3, $J$3, , $G$3, $H$3)/_xll.ciqfunctions.udf.CIQ($B16,"IQ_TOTAL_COMMON_EQUITY",IV$3,$E$3, $J$3, , $G$3, $H$3)),0)</f>
        <v/>
      </c>
      <c r="IW16" s="349" t="str">
        <f>IFERROR(IF(OR(IW$3="",$B16=""),"",_xll.ciqfunctions.udf.CIQ($B16,"IQ_TOTAL_ASSETS",IW$3,$E$3, $J$3, , $G$3, $H$3)/_xll.ciqfunctions.udf.CIQ($B16,"IQ_TOTAL_COMMON_EQUITY",IW$3,$E$3, $J$3, , $G$3, $H$3)),0)</f>
        <v/>
      </c>
      <c r="IX16" s="349" t="str">
        <f>IFERROR(IF(OR(IX$3="",$B16=""),"",_xll.ciqfunctions.udf.CIQ($B16,"IQ_TOTAL_ASSETS",IX$3,$E$3, $J$3, , $G$3, $H$3)/_xll.ciqfunctions.udf.CIQ($B16,"IQ_TOTAL_COMMON_EQUITY",IX$3,$E$3, $J$3, , $G$3, $H$3)),0)</f>
        <v/>
      </c>
      <c r="IY16" s="349" t="str">
        <f>IFERROR(IF(OR(IY$3="",$B16=""),"",_xll.ciqfunctions.udf.CIQ($B16,"IQ_TOTAL_ASSETS",IY$3,$E$3, $J$3, , $G$3, $H$3)/_xll.ciqfunctions.udf.CIQ($B16,"IQ_TOTAL_COMMON_EQUITY",IY$3,$E$3, $J$3, , $G$3, $H$3)),0)</f>
        <v/>
      </c>
      <c r="IZ16" s="349" t="str">
        <f>IFERROR(IF(OR(IZ$3="",$B16=""),"",_xll.ciqfunctions.udf.CIQ($B16,"IQ_TOTAL_ASSETS",IZ$3,$E$3, $J$3, , $G$3, $H$3)/_xll.ciqfunctions.udf.CIQ($B16,"IQ_TOTAL_COMMON_EQUITY",IZ$3,$E$3, $J$3, , $G$3, $H$3)),0)</f>
        <v/>
      </c>
      <c r="JA16" s="349" t="str">
        <f>IFERROR(IF(OR(JA$3="",$B16=""),"",_xll.ciqfunctions.udf.CIQ($B16,"IQ_TOTAL_ASSETS",JA$3,$E$3, $J$3, , $G$3, $H$3)/_xll.ciqfunctions.udf.CIQ($B16,"IQ_TOTAL_COMMON_EQUITY",JA$3,$E$3, $J$3, , $G$3, $H$3)),0)</f>
        <v/>
      </c>
      <c r="JB16" s="349" t="str">
        <f>IFERROR(IF(OR(JB$3="",$B16=""),"",_xll.ciqfunctions.udf.CIQ($B16,"IQ_TOTAL_ASSETS",JB$3,$E$3, $J$3, , $G$3, $H$3)/_xll.ciqfunctions.udf.CIQ($B16,"IQ_TOTAL_COMMON_EQUITY",JB$3,$E$3, $J$3, , $G$3, $H$3)),0)</f>
        <v/>
      </c>
      <c r="JC16" s="349" t="str">
        <f>IFERROR(IF(OR(JC$3="",$B16=""),"",_xll.ciqfunctions.udf.CIQ($B16,"IQ_TOTAL_ASSETS",JC$3,$E$3, $J$3, , $G$3, $H$3)/_xll.ciqfunctions.udf.CIQ($B16,"IQ_TOTAL_COMMON_EQUITY",JC$3,$E$3, $J$3, , $G$3, $H$3)),0)</f>
        <v/>
      </c>
      <c r="JD16" s="349" t="str">
        <f>IFERROR(IF(OR(JD$3="",$B16=""),"",_xll.ciqfunctions.udf.CIQ($B16,"IQ_TOTAL_ASSETS",JD$3,$E$3, $J$3, , $G$3, $H$3)/_xll.ciqfunctions.udf.CIQ($B16,"IQ_TOTAL_COMMON_EQUITY",JD$3,$E$3, $J$3, , $G$3, $H$3)),0)</f>
        <v/>
      </c>
      <c r="JE16" s="349" t="str">
        <f>IFERROR(IF(OR(JE$3="",$B16=""),"",_xll.ciqfunctions.udf.CIQ($B16,"IQ_TOTAL_ASSETS",JE$3,$E$3, $J$3, , $G$3, $H$3)/_xll.ciqfunctions.udf.CIQ($B16,"IQ_TOTAL_COMMON_EQUITY",JE$3,$E$3, $J$3, , $G$3, $H$3)),0)</f>
        <v/>
      </c>
      <c r="JF16" s="349" t="str">
        <f>IFERROR(IF(OR(JF$3="",$B16=""),"",_xll.ciqfunctions.udf.CIQ($B16,"IQ_TOTAL_ASSETS",JF$3,$E$3, $J$3, , $G$3, $H$3)/_xll.ciqfunctions.udf.CIQ($B16,"IQ_TOTAL_COMMON_EQUITY",JF$3,$E$3, $J$3, , $G$3, $H$3)),0)</f>
        <v/>
      </c>
      <c r="JG16" s="349" t="str">
        <f>IFERROR(IF(OR(JG$3="",$B16=""),"",_xll.ciqfunctions.udf.CIQ($B16,"IQ_TOTAL_ASSETS",JG$3,$E$3, $J$3, , $G$3, $H$3)/_xll.ciqfunctions.udf.CIQ($B16,"IQ_TOTAL_COMMON_EQUITY",JG$3,$E$3, $J$3, , $G$3, $H$3)),0)</f>
        <v/>
      </c>
      <c r="JH16" s="349" t="str">
        <f>IFERROR(IF(OR(JH$3="",$B16=""),"",_xll.ciqfunctions.udf.CIQ($B16,"IQ_TOTAL_ASSETS",JH$3,$E$3, $J$3, , $G$3, $H$3)/_xll.ciqfunctions.udf.CIQ($B16,"IQ_TOTAL_COMMON_EQUITY",JH$3,$E$3, $J$3, , $G$3, $H$3)),0)</f>
        <v/>
      </c>
      <c r="JI16" s="349" t="str">
        <f>IFERROR(IF(OR(JI$3="",$B16=""),"",_xll.ciqfunctions.udf.CIQ($B16,"IQ_TOTAL_ASSETS",JI$3,$E$3, $J$3, , $G$3, $H$3)/_xll.ciqfunctions.udf.CIQ($B16,"IQ_TOTAL_COMMON_EQUITY",JI$3,$E$3, $J$3, , $G$3, $H$3)),0)</f>
        <v/>
      </c>
      <c r="JJ16" s="350" t="str">
        <f>IFERROR(IF(OR(JJ$3="",$B16=""),"",_xll.ciqfunctions.udf.CIQ($B16,"IQ_TOTAL_ASSETS",JJ$3,$E$3, $J$3, , $G$3, $H$3)/_xll.ciqfunctions.udf.CIQ($B16,"IQ_TOTAL_COMMON_EQUITY",JJ$3,$E$3, $J$3, , $G$3, $H$3)),0)</f>
        <v/>
      </c>
      <c r="JK16" s="86" t="str">
        <f>IFERROR(IF(OR($B16="",JK$3=""),"",_xll.ciqfunctions.udf.CIQ($B16, "IQ_NI", $I$3, HC$3,$J$3, ,$G$3,$H$3)*2/(_xll.ciqfunctions.udf.CIQ($B16,"IQ_TOTAL_EQUITY",JK$3,$E$3, $J$3, , $G$3, $H$3)+_xll.ciqfunctions.udf.CIQ($B16,"IQ_TOTAL_EQUITY","IQ_" &amp; LEFT(JK$3,2) &amp; "-1",JK$3, $J$3, , $G$3, $H$3))),"")</f>
        <v/>
      </c>
      <c r="JL16" s="87" t="str">
        <f>IFERROR(IF(OR($B16="",JL$3=""),"",_xll.ciqfunctions.udf.CIQ($B16, "IQ_NI", $I$3, HD$3,$J$3, ,$G$3,$H$3)*2/(_xll.ciqfunctions.udf.CIQ($B16,"IQ_TOTAL_EQUITY",JL$3,$E$3, $J$3, , $G$3, $H$3)+_xll.ciqfunctions.udf.CIQ($B16,"IQ_TOTAL_EQUITY","IQ_" &amp; LEFT(JL$3,2) &amp; "-1",JL$3, $J$3, , $G$3, $H$3))),"")</f>
        <v/>
      </c>
      <c r="JM16" s="87" t="str">
        <f>IFERROR(IF(OR($B16="",JM$3=""),"",_xll.ciqfunctions.udf.CIQ($B16, "IQ_NI", $I$3, HE$3,$J$3, ,$G$3,$H$3)*2/(_xll.ciqfunctions.udf.CIQ($B16,"IQ_TOTAL_EQUITY",JM$3,$E$3, $J$3, , $G$3, $H$3)+_xll.ciqfunctions.udf.CIQ($B16,"IQ_TOTAL_EQUITY","IQ_" &amp; LEFT(JM$3,2) &amp; "-1",JM$3, $J$3, , $G$3, $H$3))),"")</f>
        <v/>
      </c>
      <c r="JN16" s="87" t="str">
        <f>IFERROR(IF(OR($B16="",JN$3=""),"",_xll.ciqfunctions.udf.CIQ($B16, "IQ_NI", $I$3, HF$3,$J$3, ,$G$3,$H$3)*2/(_xll.ciqfunctions.udf.CIQ($B16,"IQ_TOTAL_EQUITY",JN$3,$E$3, $J$3, , $G$3, $H$3)+_xll.ciqfunctions.udf.CIQ($B16,"IQ_TOTAL_EQUITY","IQ_" &amp; LEFT(JN$3,2) &amp; "-1",JN$3, $J$3, , $G$3, $H$3))),"")</f>
        <v/>
      </c>
      <c r="JO16" s="87" t="str">
        <f>IFERROR(IF(OR($B16="",JO$3=""),"",_xll.ciqfunctions.udf.CIQ($B16, "IQ_NI", $I$3, HG$3,$J$3, ,$G$3,$H$3)*2/(_xll.ciqfunctions.udf.CIQ($B16,"IQ_TOTAL_EQUITY",JO$3,$E$3, $J$3, , $G$3, $H$3)+_xll.ciqfunctions.udf.CIQ($B16,"IQ_TOTAL_EQUITY","IQ_" &amp; LEFT(JO$3,2) &amp; "-1",JO$3, $J$3, , $G$3, $H$3))),"")</f>
        <v/>
      </c>
      <c r="JP16" s="87" t="str">
        <f>IFERROR(IF(OR($B16="",JP$3=""),"",_xll.ciqfunctions.udf.CIQ($B16, "IQ_NI", $I$3, HH$3,$J$3, ,$G$3,$H$3)*2/(_xll.ciqfunctions.udf.CIQ($B16,"IQ_TOTAL_EQUITY",JP$3,$E$3, $J$3, , $G$3, $H$3)+_xll.ciqfunctions.udf.CIQ($B16,"IQ_TOTAL_EQUITY","IQ_" &amp; LEFT(JP$3,2) &amp; "-1",JP$3, $J$3, , $G$3, $H$3))),"")</f>
        <v/>
      </c>
      <c r="JQ16" s="87" t="str">
        <f>IFERROR(IF(OR($B16="",JQ$3=""),"",_xll.ciqfunctions.udf.CIQ($B16, "IQ_NI", $I$3, HI$3,$J$3, ,$G$3,$H$3)*2/(_xll.ciqfunctions.udf.CIQ($B16,"IQ_TOTAL_EQUITY",JQ$3,$E$3, $J$3, , $G$3, $H$3)+_xll.ciqfunctions.udf.CIQ($B16,"IQ_TOTAL_EQUITY","IQ_" &amp; LEFT(JQ$3,2) &amp; "-1",JQ$3, $J$3, , $G$3, $H$3))),"")</f>
        <v/>
      </c>
      <c r="JR16" s="87" t="str">
        <f>IFERROR(IF(OR($B16="",JR$3=""),"",_xll.ciqfunctions.udf.CIQ($B16, "IQ_NI", $I$3, HJ$3,$J$3, ,$G$3,$H$3)*2/(_xll.ciqfunctions.udf.CIQ($B16,"IQ_TOTAL_EQUITY",JR$3,$E$3, $J$3, , $G$3, $H$3)+_xll.ciqfunctions.udf.CIQ($B16,"IQ_TOTAL_EQUITY","IQ_" &amp; LEFT(JR$3,2) &amp; "-1",JR$3, $J$3, , $G$3, $H$3))),"")</f>
        <v/>
      </c>
      <c r="JS16" s="87" t="str">
        <f>IFERROR(IF(OR($B16="",JS$3=""),"",_xll.ciqfunctions.udf.CIQ($B16, "IQ_NI", $I$3, HK$3,$J$3, ,$G$3,$H$3)*2/(_xll.ciqfunctions.udf.CIQ($B16,"IQ_TOTAL_EQUITY",JS$3,$E$3, $J$3, , $G$3, $H$3)+_xll.ciqfunctions.udf.CIQ($B16,"IQ_TOTAL_EQUITY","IQ_" &amp; LEFT(JS$3,2) &amp; "-1",JS$3, $J$3, , $G$3, $H$3))),"")</f>
        <v/>
      </c>
      <c r="JT16" s="87" t="str">
        <f>IFERROR(IF(OR($B16="",JT$3=""),"",_xll.ciqfunctions.udf.CIQ($B16, "IQ_NI", $I$3, HL$3,$J$3, ,$G$3,$H$3)*2/(_xll.ciqfunctions.udf.CIQ($B16,"IQ_TOTAL_EQUITY",JT$3,$E$3, $J$3, , $G$3, $H$3)+_xll.ciqfunctions.udf.CIQ($B16,"IQ_TOTAL_EQUITY","IQ_" &amp; LEFT(JT$3,2) &amp; "-1",JT$3, $J$3, , $G$3, $H$3))),"")</f>
        <v/>
      </c>
      <c r="JU16" s="87" t="str">
        <f>IFERROR(IF(OR($B16="",JU$3=""),"",_xll.ciqfunctions.udf.CIQ($B16, "IQ_NI", $I$3, HM$3,$J$3, ,$G$3,$H$3)*2/(_xll.ciqfunctions.udf.CIQ($B16,"IQ_TOTAL_EQUITY",JU$3,$E$3, $J$3, , $G$3, $H$3)+_xll.ciqfunctions.udf.CIQ($B16,"IQ_TOTAL_EQUITY","IQ_" &amp; LEFT(JU$3,2) &amp; "-1",JU$3, $J$3, , $G$3, $H$3))),"")</f>
        <v/>
      </c>
      <c r="JV16" s="87" t="str">
        <f>IFERROR(IF(OR($B16="",JV$3=""),"",_xll.ciqfunctions.udf.CIQ($B16, "IQ_NI", $I$3, HN$3,$J$3, ,$G$3,$H$3)*2/(_xll.ciqfunctions.udf.CIQ($B16,"IQ_TOTAL_EQUITY",JV$3,$E$3, $J$3, , $G$3, $H$3)+_xll.ciqfunctions.udf.CIQ($B16,"IQ_TOTAL_EQUITY","IQ_" &amp; LEFT(JV$3,2) &amp; "-1",JV$3, $J$3, , $G$3, $H$3))),"")</f>
        <v/>
      </c>
      <c r="JW16" s="87" t="str">
        <f>IFERROR(IF(OR($B16="",JW$3=""),"",_xll.ciqfunctions.udf.CIQ($B16, "IQ_NI", $I$3, HO$3,$J$3, ,$G$3,$H$3)*2/(_xll.ciqfunctions.udf.CIQ($B16,"IQ_TOTAL_EQUITY",JW$3,$E$3, $J$3, , $G$3, $H$3)+_xll.ciqfunctions.udf.CIQ($B16,"IQ_TOTAL_EQUITY","IQ_" &amp; LEFT(JW$3,2) &amp; "-1",JW$3, $J$3, , $G$3, $H$3))),"")</f>
        <v/>
      </c>
      <c r="JX16" s="87" t="str">
        <f>IFERROR(IF(OR($B16="",JX$3=""),"",_xll.ciqfunctions.udf.CIQ($B16, "IQ_NI", $I$3, HP$3,$J$3, ,$G$3,$H$3)*2/(_xll.ciqfunctions.udf.CIQ($B16,"IQ_TOTAL_EQUITY",JX$3,$E$3, $J$3, , $G$3, $H$3)+_xll.ciqfunctions.udf.CIQ($B16,"IQ_TOTAL_EQUITY","IQ_" &amp; LEFT(JX$3,2) &amp; "-1",JX$3, $J$3, , $G$3, $H$3))),"")</f>
        <v/>
      </c>
      <c r="JY16" s="87" t="str">
        <f>IFERROR(IF(OR($B16="",JY$3=""),"",_xll.ciqfunctions.udf.CIQ($B16, "IQ_NI", $I$3, HQ$3,$J$3, ,$G$3,$H$3)*2/(_xll.ciqfunctions.udf.CIQ($B16,"IQ_TOTAL_EQUITY",JY$3,$E$3, $J$3, , $G$3, $H$3)+_xll.ciqfunctions.udf.CIQ($B16,"IQ_TOTAL_EQUITY","IQ_" &amp; LEFT(JY$3,2) &amp; "-1",JY$3, $J$3, , $G$3, $H$3))),"")</f>
        <v/>
      </c>
      <c r="JZ16" s="87" t="str">
        <f>IFERROR(IF(OR($B16="",JZ$3=""),"",_xll.ciqfunctions.udf.CIQ($B16, "IQ_NI", $I$3, HR$3,$J$3, ,$G$3,$H$3)*2/(_xll.ciqfunctions.udf.CIQ($B16,"IQ_TOTAL_EQUITY",JZ$3,$E$3, $J$3, , $G$3, $H$3)+_xll.ciqfunctions.udf.CIQ($B16,"IQ_TOTAL_EQUITY","IQ_" &amp; LEFT(JZ$3,2) &amp; "-1",JZ$3, $J$3, , $G$3, $H$3))),"")</f>
        <v/>
      </c>
      <c r="KA16" s="87" t="str">
        <f>IFERROR(IF(OR($B16="",KA$3=""),"",_xll.ciqfunctions.udf.CIQ($B16, "IQ_NI", $I$3, HS$3,$J$3, ,$G$3,$H$3)*2/(_xll.ciqfunctions.udf.CIQ($B16,"IQ_TOTAL_EQUITY",KA$3,$E$3, $J$3, , $G$3, $H$3)+_xll.ciqfunctions.udf.CIQ($B16,"IQ_TOTAL_EQUITY","IQ_" &amp; LEFT(KA$3,2) &amp; "-1",KA$3, $J$3, , $G$3, $H$3))),"")</f>
        <v/>
      </c>
      <c r="KB16" s="87" t="str">
        <f>IFERROR(IF(OR($B16="",KB$3=""),"",_xll.ciqfunctions.udf.CIQ($B16, "IQ_NI", $I$3, HT$3,$J$3, ,$G$3,$H$3)*2/(_xll.ciqfunctions.udf.CIQ($B16,"IQ_TOTAL_EQUITY",KB$3,$E$3, $J$3, , $G$3, $H$3)+_xll.ciqfunctions.udf.CIQ($B16,"IQ_TOTAL_EQUITY","IQ_" &amp; LEFT(KB$3,2) &amp; "-1",KB$3, $J$3, , $G$3, $H$3))),"")</f>
        <v/>
      </c>
      <c r="KC16" s="87" t="str">
        <f>IFERROR(IF(OR($B16="",KC$3=""),"",_xll.ciqfunctions.udf.CIQ($B16, "IQ_NI", $I$3, HU$3,$J$3, ,$G$3,$H$3)*2/(_xll.ciqfunctions.udf.CIQ($B16,"IQ_TOTAL_EQUITY",KC$3,$E$3, $J$3, , $G$3, $H$3)+_xll.ciqfunctions.udf.CIQ($B16,"IQ_TOTAL_EQUITY","IQ_" &amp; LEFT(KC$3,2) &amp; "-1",KC$3, $J$3, , $G$3, $H$3))),"")</f>
        <v/>
      </c>
      <c r="KD16" s="88" t="str">
        <f>IFERROR(IF(OR($B16="",KD$3=""),"",_xll.ciqfunctions.udf.CIQ($B16, "IQ_NI", $I$3, HV$3,$J$3, ,$G$3,$H$3)*2/(_xll.ciqfunctions.udf.CIQ($B16,"IQ_TOTAL_EQUITY",KD$3,$E$3, $J$3, , $G$3, $H$3)+_xll.ciqfunctions.udf.CIQ($B16,"IQ_TOTAL_EQUITY","IQ_" &amp; LEFT(KD$3,2) &amp; "-1",KD$3, $J$3, , $G$3, $H$3))),"")</f>
        <v/>
      </c>
      <c r="KE16" s="86" t="str">
        <f>IFERROR(IF(OR($B16="",KE$3=""),"",_xll.ciqfunctions.udf.CIQ($B16, "IQ_NI", $I$3, KE$3,$J$3, ,$G$3,$H$3)*2/(_xll.ciqfunctions.udf.CIQ($B16, "IQ_TOTAL_ASSETS", $I$3, KE$3,$J$3, ,$G$3,$H$3)+_xll.ciqfunctions.udf.CIQ($B16, "IQ_TOTAL_ASSETS", $I$3 &amp; "-1", KE$3,$J$3, ,$G$3,$H$3)-_xll.ciqfunctions.udf.CIQ($B16, "IQ_TOTAL_CL", $I$3, KE$3,$J$3, ,$G$3,$H$3)-_xll.ciqfunctions.udf.CIQ($B16, "IQ_TOTAL_CL", $I$3 &amp; "-1", KE$3,$J$3, ,$G$3,$H$3))),"")</f>
        <v/>
      </c>
      <c r="KF16" s="87" t="str">
        <f>IFERROR(IF(OR($B16="",KF$3=""),"",_xll.ciqfunctions.udf.CIQ($B16, "IQ_NI", $I$3, KF$3,$J$3, ,$G$3,$H$3)*2/(_xll.ciqfunctions.udf.CIQ($B16, "IQ_TOTAL_ASSETS", $I$3, KF$3,$J$3, ,$G$3,$H$3)+_xll.ciqfunctions.udf.CIQ($B16, "IQ_TOTAL_ASSETS", $I$3 &amp; "-1", KF$3,$J$3, ,$G$3,$H$3)-_xll.ciqfunctions.udf.CIQ($B16, "IQ_TOTAL_CL", $I$3, KF$3,$J$3, ,$G$3,$H$3)-_xll.ciqfunctions.udf.CIQ($B16, "IQ_TOTAL_CL", $I$3 &amp; "-1", KF$3,$J$3, ,$G$3,$H$3))),"")</f>
        <v/>
      </c>
      <c r="KG16" s="87" t="str">
        <f>IFERROR(IF(OR($B16="",KG$3=""),"",_xll.ciqfunctions.udf.CIQ($B16, "IQ_NI", $I$3, KG$3,$J$3, ,$G$3,$H$3)*2/(_xll.ciqfunctions.udf.CIQ($B16, "IQ_TOTAL_ASSETS", $I$3, KG$3,$J$3, ,$G$3,$H$3)+_xll.ciqfunctions.udf.CIQ($B16, "IQ_TOTAL_ASSETS", $I$3 &amp; "-1", KG$3,$J$3, ,$G$3,$H$3)-_xll.ciqfunctions.udf.CIQ($B16, "IQ_TOTAL_CL", $I$3, KG$3,$J$3, ,$G$3,$H$3)-_xll.ciqfunctions.udf.CIQ($B16, "IQ_TOTAL_CL", $I$3 &amp; "-1", KG$3,$J$3, ,$G$3,$H$3))),"")</f>
        <v/>
      </c>
      <c r="KH16" s="87" t="str">
        <f>IFERROR(IF(OR($B16="",KH$3=""),"",_xll.ciqfunctions.udf.CIQ($B16, "IQ_NI", $I$3, KH$3,$J$3, ,$G$3,$H$3)*2/(_xll.ciqfunctions.udf.CIQ($B16, "IQ_TOTAL_ASSETS", $I$3, KH$3,$J$3, ,$G$3,$H$3)+_xll.ciqfunctions.udf.CIQ($B16, "IQ_TOTAL_ASSETS", $I$3 &amp; "-1", KH$3,$J$3, ,$G$3,$H$3)-_xll.ciqfunctions.udf.CIQ($B16, "IQ_TOTAL_CL", $I$3, KH$3,$J$3, ,$G$3,$H$3)-_xll.ciqfunctions.udf.CIQ($B16, "IQ_TOTAL_CL", $I$3 &amp; "-1", KH$3,$J$3, ,$G$3,$H$3))),"")</f>
        <v/>
      </c>
      <c r="KI16" s="87" t="str">
        <f>IFERROR(IF(OR($B16="",KI$3=""),"",_xll.ciqfunctions.udf.CIQ($B16, "IQ_NI", $I$3, KI$3,$J$3, ,$G$3,$H$3)*2/(_xll.ciqfunctions.udf.CIQ($B16, "IQ_TOTAL_ASSETS", $I$3, KI$3,$J$3, ,$G$3,$H$3)+_xll.ciqfunctions.udf.CIQ($B16, "IQ_TOTAL_ASSETS", $I$3 &amp; "-1", KI$3,$J$3, ,$G$3,$H$3)-_xll.ciqfunctions.udf.CIQ($B16, "IQ_TOTAL_CL", $I$3, KI$3,$J$3, ,$G$3,$H$3)-_xll.ciqfunctions.udf.CIQ($B16, "IQ_TOTAL_CL", $I$3 &amp; "-1", KI$3,$J$3, ,$G$3,$H$3))),"")</f>
        <v/>
      </c>
      <c r="KJ16" s="87" t="str">
        <f>IFERROR(IF(OR($B16="",KJ$3=""),"",_xll.ciqfunctions.udf.CIQ($B16, "IQ_NI", $I$3, KJ$3,$J$3, ,$G$3,$H$3)*2/(_xll.ciqfunctions.udf.CIQ($B16, "IQ_TOTAL_ASSETS", $I$3, KJ$3,$J$3, ,$G$3,$H$3)+_xll.ciqfunctions.udf.CIQ($B16, "IQ_TOTAL_ASSETS", $I$3 &amp; "-1", KJ$3,$J$3, ,$G$3,$H$3)-_xll.ciqfunctions.udf.CIQ($B16, "IQ_TOTAL_CL", $I$3, KJ$3,$J$3, ,$G$3,$H$3)-_xll.ciqfunctions.udf.CIQ($B16, "IQ_TOTAL_CL", $I$3 &amp; "-1", KJ$3,$J$3, ,$G$3,$H$3))),"")</f>
        <v/>
      </c>
      <c r="KK16" s="87" t="str">
        <f>IFERROR(IF(OR($B16="",KK$3=""),"",_xll.ciqfunctions.udf.CIQ($B16, "IQ_NI", $I$3, KK$3,$J$3, ,$G$3,$H$3)*2/(_xll.ciqfunctions.udf.CIQ($B16, "IQ_TOTAL_ASSETS", $I$3, KK$3,$J$3, ,$G$3,$H$3)+_xll.ciqfunctions.udf.CIQ($B16, "IQ_TOTAL_ASSETS", $I$3 &amp; "-1", KK$3,$J$3, ,$G$3,$H$3)-_xll.ciqfunctions.udf.CIQ($B16, "IQ_TOTAL_CL", $I$3, KK$3,$J$3, ,$G$3,$H$3)-_xll.ciqfunctions.udf.CIQ($B16, "IQ_TOTAL_CL", $I$3 &amp; "-1", KK$3,$J$3, ,$G$3,$H$3))),"")</f>
        <v/>
      </c>
      <c r="KL16" s="87" t="str">
        <f>IFERROR(IF(OR($B16="",KL$3=""),"",_xll.ciqfunctions.udf.CIQ($B16, "IQ_NI", $I$3, KL$3,$J$3, ,$G$3,$H$3)*2/(_xll.ciqfunctions.udf.CIQ($B16, "IQ_TOTAL_ASSETS", $I$3, KL$3,$J$3, ,$G$3,$H$3)+_xll.ciqfunctions.udf.CIQ($B16, "IQ_TOTAL_ASSETS", $I$3 &amp; "-1", KL$3,$J$3, ,$G$3,$H$3)-_xll.ciqfunctions.udf.CIQ($B16, "IQ_TOTAL_CL", $I$3, KL$3,$J$3, ,$G$3,$H$3)-_xll.ciqfunctions.udf.CIQ($B16, "IQ_TOTAL_CL", $I$3 &amp; "-1", KL$3,$J$3, ,$G$3,$H$3))),"")</f>
        <v/>
      </c>
      <c r="KM16" s="87" t="str">
        <f>IFERROR(IF(OR($B16="",KM$3=""),"",_xll.ciqfunctions.udf.CIQ($B16, "IQ_NI", $I$3, KM$3,$J$3, ,$G$3,$H$3)*2/(_xll.ciqfunctions.udf.CIQ($B16, "IQ_TOTAL_ASSETS", $I$3, KM$3,$J$3, ,$G$3,$H$3)+_xll.ciqfunctions.udf.CIQ($B16, "IQ_TOTAL_ASSETS", $I$3 &amp; "-1", KM$3,$J$3, ,$G$3,$H$3)-_xll.ciqfunctions.udf.CIQ($B16, "IQ_TOTAL_CL", $I$3, KM$3,$J$3, ,$G$3,$H$3)-_xll.ciqfunctions.udf.CIQ($B16, "IQ_TOTAL_CL", $I$3 &amp; "-1", KM$3,$J$3, ,$G$3,$H$3))),"")</f>
        <v/>
      </c>
      <c r="KN16" s="87" t="str">
        <f>IFERROR(IF(OR($B16="",KN$3=""),"",_xll.ciqfunctions.udf.CIQ($B16, "IQ_NI", $I$3, KN$3,$J$3, ,$G$3,$H$3)*2/(_xll.ciqfunctions.udf.CIQ($B16, "IQ_TOTAL_ASSETS", $I$3, KN$3,$J$3, ,$G$3,$H$3)+_xll.ciqfunctions.udf.CIQ($B16, "IQ_TOTAL_ASSETS", $I$3 &amp; "-1", KN$3,$J$3, ,$G$3,$H$3)-_xll.ciqfunctions.udf.CIQ($B16, "IQ_TOTAL_CL", $I$3, KN$3,$J$3, ,$G$3,$H$3)-_xll.ciqfunctions.udf.CIQ($B16, "IQ_TOTAL_CL", $I$3 &amp; "-1", KN$3,$J$3, ,$G$3,$H$3))),"")</f>
        <v/>
      </c>
      <c r="KO16" s="87" t="str">
        <f>IFERROR(IF(OR($B16="",KO$3=""),"",_xll.ciqfunctions.udf.CIQ($B16, "IQ_NI", $I$3, KO$3,$J$3, ,$G$3,$H$3)*2/(_xll.ciqfunctions.udf.CIQ($B16, "IQ_TOTAL_ASSETS", $I$3, KO$3,$J$3, ,$G$3,$H$3)+_xll.ciqfunctions.udf.CIQ($B16, "IQ_TOTAL_ASSETS", $I$3 &amp; "-1", KO$3,$J$3, ,$G$3,$H$3)-_xll.ciqfunctions.udf.CIQ($B16, "IQ_TOTAL_CL", $I$3, KO$3,$J$3, ,$G$3,$H$3)-_xll.ciqfunctions.udf.CIQ($B16, "IQ_TOTAL_CL", $I$3 &amp; "-1", KO$3,$J$3, ,$G$3,$H$3))),"")</f>
        <v/>
      </c>
      <c r="KP16" s="87" t="str">
        <f>IFERROR(IF(OR($B16="",KP$3=""),"",_xll.ciqfunctions.udf.CIQ($B16, "IQ_NI", $I$3, KP$3,$J$3, ,$G$3,$H$3)*2/(_xll.ciqfunctions.udf.CIQ($B16, "IQ_TOTAL_ASSETS", $I$3, KP$3,$J$3, ,$G$3,$H$3)+_xll.ciqfunctions.udf.CIQ($B16, "IQ_TOTAL_ASSETS", $I$3 &amp; "-1", KP$3,$J$3, ,$G$3,$H$3)-_xll.ciqfunctions.udf.CIQ($B16, "IQ_TOTAL_CL", $I$3, KP$3,$J$3, ,$G$3,$H$3)-_xll.ciqfunctions.udf.CIQ($B16, "IQ_TOTAL_CL", $I$3 &amp; "-1", KP$3,$J$3, ,$G$3,$H$3))),"")</f>
        <v/>
      </c>
      <c r="KQ16" s="87" t="str">
        <f>IFERROR(IF(OR($B16="",KQ$3=""),"",_xll.ciqfunctions.udf.CIQ($B16, "IQ_NI", $I$3, KQ$3,$J$3, ,$G$3,$H$3)*2/(_xll.ciqfunctions.udf.CIQ($B16, "IQ_TOTAL_ASSETS", $I$3, KQ$3,$J$3, ,$G$3,$H$3)+_xll.ciqfunctions.udf.CIQ($B16, "IQ_TOTAL_ASSETS", $I$3 &amp; "-1", KQ$3,$J$3, ,$G$3,$H$3)-_xll.ciqfunctions.udf.CIQ($B16, "IQ_TOTAL_CL", $I$3, KQ$3,$J$3, ,$G$3,$H$3)-_xll.ciqfunctions.udf.CIQ($B16, "IQ_TOTAL_CL", $I$3 &amp; "-1", KQ$3,$J$3, ,$G$3,$H$3))),"")</f>
        <v/>
      </c>
      <c r="KR16" s="87" t="str">
        <f>IFERROR(IF(OR($B16="",KR$3=""),"",_xll.ciqfunctions.udf.CIQ($B16, "IQ_NI", $I$3, KR$3,$J$3, ,$G$3,$H$3)*2/(_xll.ciqfunctions.udf.CIQ($B16, "IQ_TOTAL_ASSETS", $I$3, KR$3,$J$3, ,$G$3,$H$3)+_xll.ciqfunctions.udf.CIQ($B16, "IQ_TOTAL_ASSETS", $I$3 &amp; "-1", KR$3,$J$3, ,$G$3,$H$3)-_xll.ciqfunctions.udf.CIQ($B16, "IQ_TOTAL_CL", $I$3, KR$3,$J$3, ,$G$3,$H$3)-_xll.ciqfunctions.udf.CIQ($B16, "IQ_TOTAL_CL", $I$3 &amp; "-1", KR$3,$J$3, ,$G$3,$H$3))),"")</f>
        <v/>
      </c>
      <c r="KS16" s="87" t="str">
        <f>IFERROR(IF(OR($B16="",KS$3=""),"",_xll.ciqfunctions.udf.CIQ($B16, "IQ_NI", $I$3, KS$3,$J$3, ,$G$3,$H$3)*2/(_xll.ciqfunctions.udf.CIQ($B16, "IQ_TOTAL_ASSETS", $I$3, KS$3,$J$3, ,$G$3,$H$3)+_xll.ciqfunctions.udf.CIQ($B16, "IQ_TOTAL_ASSETS", $I$3 &amp; "-1", KS$3,$J$3, ,$G$3,$H$3)-_xll.ciqfunctions.udf.CIQ($B16, "IQ_TOTAL_CL", $I$3, KS$3,$J$3, ,$G$3,$H$3)-_xll.ciqfunctions.udf.CIQ($B16, "IQ_TOTAL_CL", $I$3 &amp; "-1", KS$3,$J$3, ,$G$3,$H$3))),"")</f>
        <v/>
      </c>
      <c r="KT16" s="87" t="str">
        <f>IFERROR(IF(OR($B16="",KT$3=""),"",_xll.ciqfunctions.udf.CIQ($B16, "IQ_NI", $I$3, KT$3,$J$3, ,$G$3,$H$3)*2/(_xll.ciqfunctions.udf.CIQ($B16, "IQ_TOTAL_ASSETS", $I$3, KT$3,$J$3, ,$G$3,$H$3)+_xll.ciqfunctions.udf.CIQ($B16, "IQ_TOTAL_ASSETS", $I$3 &amp; "-1", KT$3,$J$3, ,$G$3,$H$3)-_xll.ciqfunctions.udf.CIQ($B16, "IQ_TOTAL_CL", $I$3, KT$3,$J$3, ,$G$3,$H$3)-_xll.ciqfunctions.udf.CIQ($B16, "IQ_TOTAL_CL", $I$3 &amp; "-1", KT$3,$J$3, ,$G$3,$H$3))),"")</f>
        <v/>
      </c>
      <c r="KU16" s="87" t="str">
        <f>IFERROR(IF(OR($B16="",KU$3=""),"",_xll.ciqfunctions.udf.CIQ($B16, "IQ_NI", $I$3, KU$3,$J$3, ,$G$3,$H$3)*2/(_xll.ciqfunctions.udf.CIQ($B16, "IQ_TOTAL_ASSETS", $I$3, KU$3,$J$3, ,$G$3,$H$3)+_xll.ciqfunctions.udf.CIQ($B16, "IQ_TOTAL_ASSETS", $I$3 &amp; "-1", KU$3,$J$3, ,$G$3,$H$3)-_xll.ciqfunctions.udf.CIQ($B16, "IQ_TOTAL_CL", $I$3, KU$3,$J$3, ,$G$3,$H$3)-_xll.ciqfunctions.udf.CIQ($B16, "IQ_TOTAL_CL", $I$3 &amp; "-1", KU$3,$J$3, ,$G$3,$H$3))),"")</f>
        <v/>
      </c>
      <c r="KV16" s="87" t="str">
        <f>IFERROR(IF(OR($B16="",KV$3=""),"",_xll.ciqfunctions.udf.CIQ($B16, "IQ_NI", $I$3, KV$3,$J$3, ,$G$3,$H$3)*2/(_xll.ciqfunctions.udf.CIQ($B16, "IQ_TOTAL_ASSETS", $I$3, KV$3,$J$3, ,$G$3,$H$3)+_xll.ciqfunctions.udf.CIQ($B16, "IQ_TOTAL_ASSETS", $I$3 &amp; "-1", KV$3,$J$3, ,$G$3,$H$3)-_xll.ciqfunctions.udf.CIQ($B16, "IQ_TOTAL_CL", $I$3, KV$3,$J$3, ,$G$3,$H$3)-_xll.ciqfunctions.udf.CIQ($B16, "IQ_TOTAL_CL", $I$3 &amp; "-1", KV$3,$J$3, ,$G$3,$H$3))),"")</f>
        <v/>
      </c>
      <c r="KW16" s="87" t="str">
        <f>IFERROR(IF(OR($B16="",KW$3=""),"",_xll.ciqfunctions.udf.CIQ($B16, "IQ_NI", $I$3, KW$3,$J$3, ,$G$3,$H$3)*2/(_xll.ciqfunctions.udf.CIQ($B16, "IQ_TOTAL_ASSETS", $I$3, KW$3,$J$3, ,$G$3,$H$3)+_xll.ciqfunctions.udf.CIQ($B16, "IQ_TOTAL_ASSETS", $I$3 &amp; "-1", KW$3,$J$3, ,$G$3,$H$3)-_xll.ciqfunctions.udf.CIQ($B16, "IQ_TOTAL_CL", $I$3, KW$3,$J$3, ,$G$3,$H$3)-_xll.ciqfunctions.udf.CIQ($B16, "IQ_TOTAL_CL", $I$3 &amp; "-1", KW$3,$J$3, ,$G$3,$H$3))),"")</f>
        <v/>
      </c>
      <c r="KX16" s="88" t="str">
        <f>IFERROR(IF(OR($B16="",KX$3=""),"",_xll.ciqfunctions.udf.CIQ($B16, "IQ_NI", $I$3, KX$3,$J$3, ,$G$3,$H$3)*2/(_xll.ciqfunctions.udf.CIQ($B16, "IQ_TOTAL_ASSETS", $I$3, KX$3,$J$3, ,$G$3,$H$3)+_xll.ciqfunctions.udf.CIQ($B16, "IQ_TOTAL_ASSETS", $I$3 &amp; "-1", KX$3,$J$3, ,$G$3,$H$3)-_xll.ciqfunctions.udf.CIQ($B16, "IQ_TOTAL_CL", $I$3, KX$3,$J$3, ,$G$3,$H$3)-_xll.ciqfunctions.udf.CIQ($B16, "IQ_TOTAL_CL", $I$3 &amp; "-1", KX$3,$J$3, ,$G$3,$H$3))),"")</f>
        <v/>
      </c>
      <c r="KY16" s="86" t="str">
        <f>IFERROR(IF(OR($B16="",KY$3=""),"",_xll.ciqfunctions.udf.CIQ($B16,"IQ_CASH_OPER",$I$3, KY$3,$J$3, ,$G$3,$H$3)*2/(_xll.ciqfunctions.udf.CIQ($B16,"IQ_TOTAL_CL",KY$3,$E$3, $J$3, , $G$3, $H$3)+_xll.ciqfunctions.udf.CIQ($B16,"IQ_TOTAL_CL","IQ_" &amp; LEFT(KY$3,2) &amp; "-1",KY$3, $J$3, , $G$3, $H$3))),"")</f>
        <v/>
      </c>
      <c r="KZ16" s="87" t="str">
        <f>IFERROR(IF(OR($B16="",KZ$3=""),"",_xll.ciqfunctions.udf.CIQ($B16,"IQ_CASH_OPER",$I$3, KZ$3,$J$3, ,$G$3,$H$3)*2/(_xll.ciqfunctions.udf.CIQ($B16,"IQ_TOTAL_CL",KZ$3,$E$3, $J$3, , $G$3, $H$3)+_xll.ciqfunctions.udf.CIQ($B16,"IQ_TOTAL_CL","IQ_" &amp; LEFT(KZ$3,2) &amp; "-1",KZ$3, $J$3, , $G$3, $H$3))),"")</f>
        <v/>
      </c>
      <c r="LA16" s="87" t="str">
        <f>IFERROR(IF(OR($B16="",LA$3=""),"",_xll.ciqfunctions.udf.CIQ($B16,"IQ_CASH_OPER",$I$3, LA$3,$J$3, ,$G$3,$H$3)*2/(_xll.ciqfunctions.udf.CIQ($B16,"IQ_TOTAL_CL",LA$3,$E$3, $J$3, , $G$3, $H$3)+_xll.ciqfunctions.udf.CIQ($B16,"IQ_TOTAL_CL","IQ_" &amp; LEFT(LA$3,2) &amp; "-1",LA$3, $J$3, , $G$3, $H$3))),"")</f>
        <v/>
      </c>
      <c r="LB16" s="87" t="str">
        <f>IFERROR(IF(OR($B16="",LB$3=""),"",_xll.ciqfunctions.udf.CIQ($B16,"IQ_CASH_OPER",$I$3, LB$3,$J$3, ,$G$3,$H$3)*2/(_xll.ciqfunctions.udf.CIQ($B16,"IQ_TOTAL_CL",LB$3,$E$3, $J$3, , $G$3, $H$3)+_xll.ciqfunctions.udf.CIQ($B16,"IQ_TOTAL_CL","IQ_" &amp; LEFT(LB$3,2) &amp; "-1",LB$3, $J$3, , $G$3, $H$3))),"")</f>
        <v/>
      </c>
      <c r="LC16" s="87" t="str">
        <f>IFERROR(IF(OR($B16="",LC$3=""),"",_xll.ciqfunctions.udf.CIQ($B16,"IQ_CASH_OPER",$I$3, LC$3,$J$3, ,$G$3,$H$3)*2/(_xll.ciqfunctions.udf.CIQ($B16,"IQ_TOTAL_CL",LC$3,$E$3, $J$3, , $G$3, $H$3)+_xll.ciqfunctions.udf.CIQ($B16,"IQ_TOTAL_CL","IQ_" &amp; LEFT(LC$3,2) &amp; "-1",LC$3, $J$3, , $G$3, $H$3))),"")</f>
        <v/>
      </c>
      <c r="LD16" s="87" t="str">
        <f>IFERROR(IF(OR($B16="",LD$3=""),"",_xll.ciqfunctions.udf.CIQ($B16,"IQ_CASH_OPER",$I$3, LD$3,$J$3, ,$G$3,$H$3)*2/(_xll.ciqfunctions.udf.CIQ($B16,"IQ_TOTAL_CL",LD$3,$E$3, $J$3, , $G$3, $H$3)+_xll.ciqfunctions.udf.CIQ($B16,"IQ_TOTAL_CL","IQ_" &amp; LEFT(LD$3,2) &amp; "-1",LD$3, $J$3, , $G$3, $H$3))),"")</f>
        <v/>
      </c>
      <c r="LE16" s="87" t="str">
        <f>IFERROR(IF(OR($B16="",LE$3=""),"",_xll.ciqfunctions.udf.CIQ($B16,"IQ_CASH_OPER",$I$3, LE$3,$J$3, ,$G$3,$H$3)*2/(_xll.ciqfunctions.udf.CIQ($B16,"IQ_TOTAL_CL",LE$3,$E$3, $J$3, , $G$3, $H$3)+_xll.ciqfunctions.udf.CIQ($B16,"IQ_TOTAL_CL","IQ_" &amp; LEFT(LE$3,2) &amp; "-1",LE$3, $J$3, , $G$3, $H$3))),"")</f>
        <v/>
      </c>
      <c r="LF16" s="87" t="str">
        <f>IFERROR(IF(OR($B16="",LF$3=""),"",_xll.ciqfunctions.udf.CIQ($B16,"IQ_CASH_OPER",$I$3, LF$3,$J$3, ,$G$3,$H$3)*2/(_xll.ciqfunctions.udf.CIQ($B16,"IQ_TOTAL_CL",LF$3,$E$3, $J$3, , $G$3, $H$3)+_xll.ciqfunctions.udf.CIQ($B16,"IQ_TOTAL_CL","IQ_" &amp; LEFT(LF$3,2) &amp; "-1",LF$3, $J$3, , $G$3, $H$3))),"")</f>
        <v/>
      </c>
      <c r="LG16" s="87" t="str">
        <f>IFERROR(IF(OR($B16="",LG$3=""),"",_xll.ciqfunctions.udf.CIQ($B16,"IQ_CASH_OPER",$I$3, LG$3,$J$3, ,$G$3,$H$3)*2/(_xll.ciqfunctions.udf.CIQ($B16,"IQ_TOTAL_CL",LG$3,$E$3, $J$3, , $G$3, $H$3)+_xll.ciqfunctions.udf.CIQ($B16,"IQ_TOTAL_CL","IQ_" &amp; LEFT(LG$3,2) &amp; "-1",LG$3, $J$3, , $G$3, $H$3))),"")</f>
        <v/>
      </c>
      <c r="LH16" s="87" t="str">
        <f>IFERROR(IF(OR($B16="",LH$3=""),"",_xll.ciqfunctions.udf.CIQ($B16,"IQ_CASH_OPER",$I$3, LH$3,$J$3, ,$G$3,$H$3)*2/(_xll.ciqfunctions.udf.CIQ($B16,"IQ_TOTAL_CL",LH$3,$E$3, $J$3, , $G$3, $H$3)+_xll.ciqfunctions.udf.CIQ($B16,"IQ_TOTAL_CL","IQ_" &amp; LEFT(LH$3,2) &amp; "-1",LH$3, $J$3, , $G$3, $H$3))),"")</f>
        <v/>
      </c>
      <c r="LI16" s="87" t="str">
        <f>IFERROR(IF(OR($B16="",LI$3=""),"",_xll.ciqfunctions.udf.CIQ($B16,"IQ_CASH_OPER",$I$3, LI$3,$J$3, ,$G$3,$H$3)*2/(_xll.ciqfunctions.udf.CIQ($B16,"IQ_TOTAL_CL",LI$3,$E$3, $J$3, , $G$3, $H$3)+_xll.ciqfunctions.udf.CIQ($B16,"IQ_TOTAL_CL","IQ_" &amp; LEFT(LI$3,2) &amp; "-1",LI$3, $J$3, , $G$3, $H$3))),"")</f>
        <v/>
      </c>
      <c r="LJ16" s="87" t="str">
        <f>IFERROR(IF(OR($B16="",LJ$3=""),"",_xll.ciqfunctions.udf.CIQ($B16,"IQ_CASH_OPER",$I$3, LJ$3,$J$3, ,$G$3,$H$3)*2/(_xll.ciqfunctions.udf.CIQ($B16,"IQ_TOTAL_CL",LJ$3,$E$3, $J$3, , $G$3, $H$3)+_xll.ciqfunctions.udf.CIQ($B16,"IQ_TOTAL_CL","IQ_" &amp; LEFT(LJ$3,2) &amp; "-1",LJ$3, $J$3, , $G$3, $H$3))),"")</f>
        <v/>
      </c>
      <c r="LK16" s="87" t="str">
        <f>IFERROR(IF(OR($B16="",LK$3=""),"",_xll.ciqfunctions.udf.CIQ($B16,"IQ_CASH_OPER",$I$3, LK$3,$J$3, ,$G$3,$H$3)*2/(_xll.ciqfunctions.udf.CIQ($B16,"IQ_TOTAL_CL",LK$3,$E$3, $J$3, , $G$3, $H$3)+_xll.ciqfunctions.udf.CIQ($B16,"IQ_TOTAL_CL","IQ_" &amp; LEFT(LK$3,2) &amp; "-1",LK$3, $J$3, , $G$3, $H$3))),"")</f>
        <v/>
      </c>
      <c r="LL16" s="87" t="str">
        <f>IFERROR(IF(OR($B16="",LL$3=""),"",_xll.ciqfunctions.udf.CIQ($B16,"IQ_CASH_OPER",$I$3, LL$3,$J$3, ,$G$3,$H$3)*2/(_xll.ciqfunctions.udf.CIQ($B16,"IQ_TOTAL_CL",LL$3,$E$3, $J$3, , $G$3, $H$3)+_xll.ciqfunctions.udf.CIQ($B16,"IQ_TOTAL_CL","IQ_" &amp; LEFT(LL$3,2) &amp; "-1",LL$3, $J$3, , $G$3, $H$3))),"")</f>
        <v/>
      </c>
      <c r="LM16" s="87" t="str">
        <f>IFERROR(IF(OR($B16="",LM$3=""),"",_xll.ciqfunctions.udf.CIQ($B16,"IQ_CASH_OPER",$I$3, LM$3,$J$3, ,$G$3,$H$3)*2/(_xll.ciqfunctions.udf.CIQ($B16,"IQ_TOTAL_CL",LM$3,$E$3, $J$3, , $G$3, $H$3)+_xll.ciqfunctions.udf.CIQ($B16,"IQ_TOTAL_CL","IQ_" &amp; LEFT(LM$3,2) &amp; "-1",LM$3, $J$3, , $G$3, $H$3))),"")</f>
        <v/>
      </c>
      <c r="LN16" s="87" t="str">
        <f>IFERROR(IF(OR($B16="",LN$3=""),"",_xll.ciqfunctions.udf.CIQ($B16,"IQ_CASH_OPER",$I$3, LN$3,$J$3, ,$G$3,$H$3)*2/(_xll.ciqfunctions.udf.CIQ($B16,"IQ_TOTAL_CL",LN$3,$E$3, $J$3, , $G$3, $H$3)+_xll.ciqfunctions.udf.CIQ($B16,"IQ_TOTAL_CL","IQ_" &amp; LEFT(LN$3,2) &amp; "-1",LN$3, $J$3, , $G$3, $H$3))),"")</f>
        <v/>
      </c>
      <c r="LO16" s="87" t="str">
        <f>IFERROR(IF(OR($B16="",LO$3=""),"",_xll.ciqfunctions.udf.CIQ($B16,"IQ_CASH_OPER",$I$3, LO$3,$J$3, ,$G$3,$H$3)*2/(_xll.ciqfunctions.udf.CIQ($B16,"IQ_TOTAL_CL",LO$3,$E$3, $J$3, , $G$3, $H$3)+_xll.ciqfunctions.udf.CIQ($B16,"IQ_TOTAL_CL","IQ_" &amp; LEFT(LO$3,2) &amp; "-1",LO$3, $J$3, , $G$3, $H$3))),"")</f>
        <v/>
      </c>
      <c r="LP16" s="87" t="str">
        <f>IFERROR(IF(OR($B16="",LP$3=""),"",_xll.ciqfunctions.udf.CIQ($B16,"IQ_CASH_OPER",$I$3, LP$3,$J$3, ,$G$3,$H$3)*2/(_xll.ciqfunctions.udf.CIQ($B16,"IQ_TOTAL_CL",LP$3,$E$3, $J$3, , $G$3, $H$3)+_xll.ciqfunctions.udf.CIQ($B16,"IQ_TOTAL_CL","IQ_" &amp; LEFT(LP$3,2) &amp; "-1",LP$3, $J$3, , $G$3, $H$3))),"")</f>
        <v/>
      </c>
      <c r="LQ16" s="87" t="str">
        <f>IFERROR(IF(OR($B16="",LQ$3=""),"",_xll.ciqfunctions.udf.CIQ($B16,"IQ_CASH_OPER",$I$3, LQ$3,$J$3, ,$G$3,$H$3)*2/(_xll.ciqfunctions.udf.CIQ($B16,"IQ_TOTAL_CL",LQ$3,$E$3, $J$3, , $G$3, $H$3)+_xll.ciqfunctions.udf.CIQ($B16,"IQ_TOTAL_CL","IQ_" &amp; LEFT(LQ$3,2) &amp; "-1",LQ$3, $J$3, , $G$3, $H$3))),"")</f>
        <v/>
      </c>
      <c r="LR16" s="88" t="str">
        <f>IFERROR(IF(OR($B16="",LR$3=""),"",_xll.ciqfunctions.udf.CIQ($B16,"IQ_CASH_OPER",$I$3, LR$3,$J$3, ,$G$3,$H$3)*2/(_xll.ciqfunctions.udf.CIQ($B16,"IQ_TOTAL_CL",LR$3,$E$3, $J$3, , $G$3, $H$3)+_xll.ciqfunctions.udf.CIQ($B16,"IQ_TOTAL_CL","IQ_" &amp; LEFT(LR$3,2) &amp; "-1",LR$3, $J$3, , $G$3, $H$3))),"")</f>
        <v/>
      </c>
      <c r="LS16" s="86" t="str">
        <f>IFERROR(IF(OR($B16="",LS$3=""),"",IF(_xll.ciqfunctions.udf.CIQ($B16,"IQ_INC_TAX",LS$3,$E$3, $J$3, , $G$3, $H$3)/ABS(_xll.ciqfunctions.udf.CIQ($B16,"IQ_EBT",IQ_LTM,$E$3, $J$3, , $G$3, $H$3))&lt;0,0,_xll.ciqfunctions.udf.CIQ($B16,"IQ_INC_TAX",LS$3,$E$3, $J$3, , $G$3, $H$3)/ABS(_xll.ciqfunctions.udf.CIQ($B16,"IQ_EBT",LS$3,$E$3, $J$3, , $G$3, $H$3)))),"")</f>
        <v/>
      </c>
      <c r="LT16" s="87" t="str">
        <f>IFERROR(IF(OR($B16="",LT$3=""),"",IF(_xll.ciqfunctions.udf.CIQ($B16,"IQ_INC_TAX",LT$3,$E$3, $J$3, , $G$3, $H$3)/ABS(_xll.ciqfunctions.udf.CIQ($B16,"IQ_EBT",IQ_LTM,$E$3, $J$3, , $G$3, $H$3))&lt;0,0,_xll.ciqfunctions.udf.CIQ($B16,"IQ_INC_TAX",LT$3,$E$3, $J$3, , $G$3, $H$3)/ABS(_xll.ciqfunctions.udf.CIQ($B16,"IQ_EBT",LT$3,$E$3, $J$3, , $G$3, $H$3)))),"")</f>
        <v/>
      </c>
      <c r="LU16" s="87" t="str">
        <f>IFERROR(IF(OR($B16="",LU$3=""),"",IF(_xll.ciqfunctions.udf.CIQ($B16,"IQ_INC_TAX",LU$3,$E$3, $J$3, , $G$3, $H$3)/ABS(_xll.ciqfunctions.udf.CIQ($B16,"IQ_EBT",IQ_LTM,$E$3, $J$3, , $G$3, $H$3))&lt;0,0,_xll.ciqfunctions.udf.CIQ($B16,"IQ_INC_TAX",LU$3,$E$3, $J$3, , $G$3, $H$3)/ABS(_xll.ciqfunctions.udf.CIQ($B16,"IQ_EBT",LU$3,$E$3, $J$3, , $G$3, $H$3)))),"")</f>
        <v/>
      </c>
      <c r="LV16" s="87" t="str">
        <f>IFERROR(IF(OR($B16="",LV$3=""),"",IF(_xll.ciqfunctions.udf.CIQ($B16,"IQ_INC_TAX",LV$3,$E$3, $J$3, , $G$3, $H$3)/ABS(_xll.ciqfunctions.udf.CIQ($B16,"IQ_EBT",IQ_LTM,$E$3, $J$3, , $G$3, $H$3))&lt;0,0,_xll.ciqfunctions.udf.CIQ($B16,"IQ_INC_TAX",LV$3,$E$3, $J$3, , $G$3, $H$3)/ABS(_xll.ciqfunctions.udf.CIQ($B16,"IQ_EBT",LV$3,$E$3, $J$3, , $G$3, $H$3)))),"")</f>
        <v/>
      </c>
      <c r="LW16" s="87" t="str">
        <f>IFERROR(IF(OR($B16="",LW$3=""),"",IF(_xll.ciqfunctions.udf.CIQ($B16,"IQ_INC_TAX",LW$3,$E$3, $J$3, , $G$3, $H$3)/ABS(_xll.ciqfunctions.udf.CIQ($B16,"IQ_EBT",IQ_LTM,$E$3, $J$3, , $G$3, $H$3))&lt;0,0,_xll.ciqfunctions.udf.CIQ($B16,"IQ_INC_TAX",LW$3,$E$3, $J$3, , $G$3, $H$3)/ABS(_xll.ciqfunctions.udf.CIQ($B16,"IQ_EBT",LW$3,$E$3, $J$3, , $G$3, $H$3)))),"")</f>
        <v/>
      </c>
      <c r="LX16" s="87" t="str">
        <f>IFERROR(IF(OR($B16="",LX$3=""),"",IF(_xll.ciqfunctions.udf.CIQ($B16,"IQ_INC_TAX",LX$3,$E$3, $J$3, , $G$3, $H$3)/ABS(_xll.ciqfunctions.udf.CIQ($B16,"IQ_EBT",IQ_LTM,$E$3, $J$3, , $G$3, $H$3))&lt;0,0,_xll.ciqfunctions.udf.CIQ($B16,"IQ_INC_TAX",LX$3,$E$3, $J$3, , $G$3, $H$3)/ABS(_xll.ciqfunctions.udf.CIQ($B16,"IQ_EBT",LX$3,$E$3, $J$3, , $G$3, $H$3)))),"")</f>
        <v/>
      </c>
      <c r="LY16" s="87" t="str">
        <f>IFERROR(IF(OR($B16="",LY$3=""),"",IF(_xll.ciqfunctions.udf.CIQ($B16,"IQ_INC_TAX",LY$3,$E$3, $J$3, , $G$3, $H$3)/ABS(_xll.ciqfunctions.udf.CIQ($B16,"IQ_EBT",IQ_LTM,$E$3, $J$3, , $G$3, $H$3))&lt;0,0,_xll.ciqfunctions.udf.CIQ($B16,"IQ_INC_TAX",LY$3,$E$3, $J$3, , $G$3, $H$3)/ABS(_xll.ciqfunctions.udf.CIQ($B16,"IQ_EBT",LY$3,$E$3, $J$3, , $G$3, $H$3)))),"")</f>
        <v/>
      </c>
      <c r="LZ16" s="87" t="str">
        <f>IFERROR(IF(OR($B16="",LZ$3=""),"",IF(_xll.ciqfunctions.udf.CIQ($B16,"IQ_INC_TAX",LZ$3,$E$3, $J$3, , $G$3, $H$3)/ABS(_xll.ciqfunctions.udf.CIQ($B16,"IQ_EBT",IQ_LTM,$E$3, $J$3, , $G$3, $H$3))&lt;0,0,_xll.ciqfunctions.udf.CIQ($B16,"IQ_INC_TAX",LZ$3,$E$3, $J$3, , $G$3, $H$3)/ABS(_xll.ciqfunctions.udf.CIQ($B16,"IQ_EBT",LZ$3,$E$3, $J$3, , $G$3, $H$3)))),"")</f>
        <v/>
      </c>
      <c r="MA16" s="87" t="str">
        <f>IFERROR(IF(OR($B16="",MA$3=""),"",IF(_xll.ciqfunctions.udf.CIQ($B16,"IQ_INC_TAX",MA$3,$E$3, $J$3, , $G$3, $H$3)/ABS(_xll.ciqfunctions.udf.CIQ($B16,"IQ_EBT",IQ_LTM,$E$3, $J$3, , $G$3, $H$3))&lt;0,0,_xll.ciqfunctions.udf.CIQ($B16,"IQ_INC_TAX",MA$3,$E$3, $J$3, , $G$3, $H$3)/ABS(_xll.ciqfunctions.udf.CIQ($B16,"IQ_EBT",MA$3,$E$3, $J$3, , $G$3, $H$3)))),"")</f>
        <v/>
      </c>
      <c r="MB16" s="87" t="str">
        <f>IFERROR(IF(OR($B16="",MB$3=""),"",IF(_xll.ciqfunctions.udf.CIQ($B16,"IQ_INC_TAX",MB$3,$E$3, $J$3, , $G$3, $H$3)/ABS(_xll.ciqfunctions.udf.CIQ($B16,"IQ_EBT",IQ_LTM,$E$3, $J$3, , $G$3, $H$3))&lt;0,0,_xll.ciqfunctions.udf.CIQ($B16,"IQ_INC_TAX",MB$3,$E$3, $J$3, , $G$3, $H$3)/ABS(_xll.ciqfunctions.udf.CIQ($B16,"IQ_EBT",MB$3,$E$3, $J$3, , $G$3, $H$3)))),"")</f>
        <v/>
      </c>
      <c r="MC16" s="87" t="str">
        <f>IFERROR(IF(OR($B16="",MC$3=""),"",IF(_xll.ciqfunctions.udf.CIQ($B16,"IQ_INC_TAX",MC$3,$E$3, $J$3, , $G$3, $H$3)/ABS(_xll.ciqfunctions.udf.CIQ($B16,"IQ_EBT",IQ_LTM,$E$3, $J$3, , $G$3, $H$3))&lt;0,0,_xll.ciqfunctions.udf.CIQ($B16,"IQ_INC_TAX",MC$3,$E$3, $J$3, , $G$3, $H$3)/ABS(_xll.ciqfunctions.udf.CIQ($B16,"IQ_EBT",MC$3,$E$3, $J$3, , $G$3, $H$3)))),"")</f>
        <v/>
      </c>
      <c r="MD16" s="317" t="str">
        <f>IFERROR(IF(OR($B16="",MD$3=""),"",IF(_xll.ciqfunctions.udf.CIQ($B16,"IQ_INC_TAX",MD$3,$E$3, $J$3, , $G$3, $H$3)/ABS(_xll.ciqfunctions.udf.CIQ($B16,"IQ_EBT",IQ_LTM,$E$3, $J$3, , $G$3, $H$3))&lt;0,0,_xll.ciqfunctions.udf.CIQ($B16,"IQ_INC_TAX",MD$3,$E$3, $J$3, , $G$3, $H$3)/ABS(_xll.ciqfunctions.udf.CIQ($B16,"IQ_EBT",MD$3,$E$3, $J$3, , $G$3, $H$3)))),"")</f>
        <v/>
      </c>
      <c r="ME16" s="314" t="str">
        <f>IFERROR(IF(OR($B16="",ME$3=""),"",IF(_xll.ciqfunctions.udf.CIQ($B16,"IQ_INC_TAX",ME$3,$E$3, $J$3, , $G$3, $H$3)/ABS(_xll.ciqfunctions.udf.CIQ($B16,"IQ_EBT",IQ_LTM,$E$3, $J$3, , $G$3, $H$3))&lt;0,0,_xll.ciqfunctions.udf.CIQ($B16,"IQ_INC_TAX",ME$3,$E$3, $J$3, , $G$3, $H$3)/ABS(_xll.ciqfunctions.udf.CIQ($B16,"IQ_EBT",ME$3,$E$3, $J$3, , $G$3, $H$3)))),"")</f>
        <v/>
      </c>
      <c r="MF16" s="87" t="str">
        <f>IFERROR(IF(OR($B16="",MF$3=""),"",IF(_xll.ciqfunctions.udf.CIQ($B16,"IQ_INC_TAX",MF$3,$E$3, $J$3, , $G$3, $H$3)/ABS(_xll.ciqfunctions.udf.CIQ($B16,"IQ_EBT",IQ_LTM,$E$3, $J$3, , $G$3, $H$3))&lt;0,0,_xll.ciqfunctions.udf.CIQ($B16,"IQ_INC_TAX",MF$3,$E$3, $J$3, , $G$3, $H$3)/ABS(_xll.ciqfunctions.udf.CIQ($B16,"IQ_EBT",MF$3,$E$3, $J$3, , $G$3, $H$3)))),"")</f>
        <v/>
      </c>
      <c r="MG16" s="87" t="str">
        <f>IFERROR(IF(OR($B16="",MG$3=""),"",IF(_xll.ciqfunctions.udf.CIQ($B16,"IQ_INC_TAX",MG$3,$E$3, $J$3, , $G$3, $H$3)/ABS(_xll.ciqfunctions.udf.CIQ($B16,"IQ_EBT",IQ_LTM,$E$3, $J$3, , $G$3, $H$3))&lt;0,0,_xll.ciqfunctions.udf.CIQ($B16,"IQ_INC_TAX",MG$3,$E$3, $J$3, , $G$3, $H$3)/ABS(_xll.ciqfunctions.udf.CIQ($B16,"IQ_EBT",MG$3,$E$3, $J$3, , $G$3, $H$3)))),"")</f>
        <v/>
      </c>
      <c r="MH16" s="87" t="str">
        <f>IFERROR(IF(OR($B16="",MH$3=""),"",IF(_xll.ciqfunctions.udf.CIQ($B16,"IQ_INC_TAX",MH$3,$E$3, $J$3, , $G$3, $H$3)/ABS(_xll.ciqfunctions.udf.CIQ($B16,"IQ_EBT",IQ_LTM,$E$3, $J$3, , $G$3, $H$3))&lt;0,0,_xll.ciqfunctions.udf.CIQ($B16,"IQ_INC_TAX",MH$3,$E$3, $J$3, , $G$3, $H$3)/ABS(_xll.ciqfunctions.udf.CIQ($B16,"IQ_EBT",MH$3,$E$3, $J$3, , $G$3, $H$3)))),"")</f>
        <v/>
      </c>
      <c r="MI16" s="87" t="str">
        <f>IFERROR(IF(OR($B16="",MI$3=""),"",IF(_xll.ciqfunctions.udf.CIQ($B16,"IQ_INC_TAX",MI$3,$E$3, $J$3, , $G$3, $H$3)/ABS(_xll.ciqfunctions.udf.CIQ($B16,"IQ_EBT",IQ_LTM,$E$3, $J$3, , $G$3, $H$3))&lt;0,0,_xll.ciqfunctions.udf.CIQ($B16,"IQ_INC_TAX",MI$3,$E$3, $J$3, , $G$3, $H$3)/ABS(_xll.ciqfunctions.udf.CIQ($B16,"IQ_EBT",MI$3,$E$3, $J$3, , $G$3, $H$3)))),"")</f>
        <v/>
      </c>
      <c r="MJ16" s="87" t="str">
        <f>IFERROR(IF(OR($B16="",MJ$3=""),"",IF(_xll.ciqfunctions.udf.CIQ($B16,"IQ_INC_TAX",MJ$3,$E$3, $J$3, , $G$3, $H$3)/ABS(_xll.ciqfunctions.udf.CIQ($B16,"IQ_EBT",IQ_LTM,$E$3, $J$3, , $G$3, $H$3))&lt;0,0,_xll.ciqfunctions.udf.CIQ($B16,"IQ_INC_TAX",MJ$3,$E$3, $J$3, , $G$3, $H$3)/ABS(_xll.ciqfunctions.udf.CIQ($B16,"IQ_EBT",MJ$3,$E$3, $J$3, , $G$3, $H$3)))),"")</f>
        <v/>
      </c>
      <c r="MK16" s="87" t="str">
        <f>IFERROR(IF(OR($B16="",MK$3=""),"",IF(_xll.ciqfunctions.udf.CIQ($B16,"IQ_INC_TAX",MK$3,$E$3, $J$3, , $G$3, $H$3)/ABS(_xll.ciqfunctions.udf.CIQ($B16,"IQ_EBT",IQ_LTM,$E$3, $J$3, , $G$3, $H$3))&lt;0,0,_xll.ciqfunctions.udf.CIQ($B16,"IQ_INC_TAX",MK$3,$E$3, $J$3, , $G$3, $H$3)/ABS(_xll.ciqfunctions.udf.CIQ($B16,"IQ_EBT",MK$3,$E$3, $J$3, , $G$3, $H$3)))),"")</f>
        <v/>
      </c>
      <c r="ML16" s="88" t="str">
        <f>IFERROR(IF(OR($B16="",ML$3=""),"",IF(_xll.ciqfunctions.udf.CIQ($B16,"IQ_INC_TAX",ML$3,$E$3, $J$3, , $G$3, $H$3)/ABS(_xll.ciqfunctions.udf.CIQ($B16,"IQ_EBT",IQ_LTM,$E$3, $J$3, , $G$3, $H$3))&lt;0,0,_xll.ciqfunctions.udf.CIQ($B16,"IQ_INC_TAX",ML$3,$E$3, $J$3, , $G$3, $H$3)/ABS(_xll.ciqfunctions.udf.CIQ($B16,"IQ_EBT",ML$3,$E$3, $J$3, , $G$3, $H$3)))),"")</f>
        <v/>
      </c>
      <c r="MM16" s="72" t="str">
        <f>IFERROR(IF(OR($B16="",MM$3=""),"",(_xll.ciqfunctions.udf.CIQ($B16,"IQ_TIER_ONE_CAPITAL",MM$3,$E$3, $J$3, , $G$3, $H$3)+_xll.ciqfunctions.udf.CIQ($B16,"IQ_TIER_TWO_CAPITAL",MM$3,$E$3, $J$3, , $G$3, $H$3)-_xll.ciqfunctions.udf.CIQ($B16,"IQ_GW",MM$3,$E$3, $J$3, , $G$3, $H$3))/_xll.ciqfunctions.udf.CIQ($B16,"IQ_RISK_ADJ_BANK_ASSETS",MM$3,$E$3, $J$3, , $G$3, $H$3)),"")</f>
        <v/>
      </c>
      <c r="MN16" s="72" t="str">
        <f>IFERROR(IF(OR($B16="",MN$3=""),"",(_xll.ciqfunctions.udf.CIQ($B16,"IQ_TIER_ONE_CAPITAL",MN$3,$E$3, $J$3, , $G$3, $H$3)+_xll.ciqfunctions.udf.CIQ($B16,"IQ_TIER_TWO_CAPITAL",MN$3,$E$3, $J$3, , $G$3, $H$3)-_xll.ciqfunctions.udf.CIQ($B16,"IQ_GW",MN$3,$E$3, $J$3, , $G$3, $H$3))/_xll.ciqfunctions.udf.CIQ($B16,"IQ_RISK_ADJ_BANK_ASSETS",MN$3,$E$3, $J$3, , $G$3, $H$3)),"")</f>
        <v/>
      </c>
      <c r="MO16" s="72" t="str">
        <f>IFERROR(IF(OR($B16="",MO$3=""),"",(_xll.ciqfunctions.udf.CIQ($B16,"IQ_TIER_ONE_CAPITAL",MO$3,$E$3, $J$3, , $G$3, $H$3)+_xll.ciqfunctions.udf.CIQ($B16,"IQ_TIER_TWO_CAPITAL",MO$3,$E$3, $J$3, , $G$3, $H$3)-_xll.ciqfunctions.udf.CIQ($B16,"IQ_GW",MO$3,$E$3, $J$3, , $G$3, $H$3))/_xll.ciqfunctions.udf.CIQ($B16,"IQ_RISK_ADJ_BANK_ASSETS",MO$3,$E$3, $J$3, , $G$3, $H$3)),"")</f>
        <v/>
      </c>
      <c r="MP16" s="72" t="str">
        <f>IFERROR(IF(OR($B16="",MP$3=""),"",(_xll.ciqfunctions.udf.CIQ($B16,"IQ_TIER_ONE_CAPITAL",MP$3,$E$3, $J$3, , $G$3, $H$3)+_xll.ciqfunctions.udf.CIQ($B16,"IQ_TIER_TWO_CAPITAL",MP$3,$E$3, $J$3, , $G$3, $H$3)-_xll.ciqfunctions.udf.CIQ($B16,"IQ_GW",MP$3,$E$3, $J$3, , $G$3, $H$3))/_xll.ciqfunctions.udf.CIQ($B16,"IQ_RISK_ADJ_BANK_ASSETS",MP$3,$E$3, $J$3, , $G$3, $H$3)),"")</f>
        <v/>
      </c>
      <c r="MQ16" s="72" t="str">
        <f>IFERROR(IF(OR($B16="",MQ$3=""),"",(_xll.ciqfunctions.udf.CIQ($B16,"IQ_TIER_ONE_CAPITAL",MQ$3,$E$3, $J$3, , $G$3, $H$3)+_xll.ciqfunctions.udf.CIQ($B16,"IQ_TIER_TWO_CAPITAL",MQ$3,$E$3, $J$3, , $G$3, $H$3)-_xll.ciqfunctions.udf.CIQ($B16,"IQ_GW",MQ$3,$E$3, $J$3, , $G$3, $H$3))/_xll.ciqfunctions.udf.CIQ($B16,"IQ_RISK_ADJ_BANK_ASSETS",MQ$3,$E$3, $J$3, , $G$3, $H$3)),"")</f>
        <v/>
      </c>
      <c r="MR16" s="72" t="str">
        <f>IFERROR(IF(OR($B16="",MR$3=""),"",(_xll.ciqfunctions.udf.CIQ($B16,"IQ_TIER_ONE_CAPITAL",MR$3,$E$3, $J$3, , $G$3, $H$3)+_xll.ciqfunctions.udf.CIQ($B16,"IQ_TIER_TWO_CAPITAL",MR$3,$E$3, $J$3, , $G$3, $H$3)-_xll.ciqfunctions.udf.CIQ($B16,"IQ_GW",MR$3,$E$3, $J$3, , $G$3, $H$3))/_xll.ciqfunctions.udf.CIQ($B16,"IQ_RISK_ADJ_BANK_ASSETS",MR$3,$E$3, $J$3, , $G$3, $H$3)),"")</f>
        <v/>
      </c>
      <c r="MS16" s="72" t="str">
        <f>IFERROR(IF(OR($B16="",MS$3=""),"",(_xll.ciqfunctions.udf.CIQ($B16,"IQ_TIER_ONE_CAPITAL",MS$3,$E$3, $J$3, , $G$3, $H$3)+_xll.ciqfunctions.udf.CIQ($B16,"IQ_TIER_TWO_CAPITAL",MS$3,$E$3, $J$3, , $G$3, $H$3)-_xll.ciqfunctions.udf.CIQ($B16,"IQ_GW",MS$3,$E$3, $J$3, , $G$3, $H$3))/_xll.ciqfunctions.udf.CIQ($B16,"IQ_RISK_ADJ_BANK_ASSETS",MS$3,$E$3, $J$3, , $G$3, $H$3)),"")</f>
        <v/>
      </c>
      <c r="MT16" s="72" t="str">
        <f>IFERROR(IF(OR($B16="",MT$3=""),"",(_xll.ciqfunctions.udf.CIQ($B16,"IQ_TIER_ONE_CAPITAL",MT$3,$E$3, $J$3, , $G$3, $H$3)+_xll.ciqfunctions.udf.CIQ($B16,"IQ_TIER_TWO_CAPITAL",MT$3,$E$3, $J$3, , $G$3, $H$3)-_xll.ciqfunctions.udf.CIQ($B16,"IQ_GW",MT$3,$E$3, $J$3, , $G$3, $H$3))/_xll.ciqfunctions.udf.CIQ($B16,"IQ_RISK_ADJ_BANK_ASSETS",MT$3,$E$3, $J$3, , $G$3, $H$3)),"")</f>
        <v/>
      </c>
      <c r="MU16" s="72" t="str">
        <f>IFERROR(IF(OR($B16="",MU$3=""),"",(_xll.ciqfunctions.udf.CIQ($B16,"IQ_TIER_ONE_CAPITAL",MU$3,$E$3, $J$3, , $G$3, $H$3)+_xll.ciqfunctions.udf.CIQ($B16,"IQ_TIER_TWO_CAPITAL",MU$3,$E$3, $J$3, , $G$3, $H$3)-_xll.ciqfunctions.udf.CIQ($B16,"IQ_GW",MU$3,$E$3, $J$3, , $G$3, $H$3))/_xll.ciqfunctions.udf.CIQ($B16,"IQ_RISK_ADJ_BANK_ASSETS",MU$3,$E$3, $J$3, , $G$3, $H$3)),"")</f>
        <v/>
      </c>
      <c r="MV16" s="72" t="str">
        <f>IFERROR(IF(OR($B16="",MV$3=""),"",(_xll.ciqfunctions.udf.CIQ($B16,"IQ_TIER_ONE_CAPITAL",MV$3,$E$3, $J$3, , $G$3, $H$3)+_xll.ciqfunctions.udf.CIQ($B16,"IQ_TIER_TWO_CAPITAL",MV$3,$E$3, $J$3, , $G$3, $H$3)-_xll.ciqfunctions.udf.CIQ($B16,"IQ_GW",MV$3,$E$3, $J$3, , $G$3, $H$3))/_xll.ciqfunctions.udf.CIQ($B16,"IQ_RISK_ADJ_BANK_ASSETS",MV$3,$E$3, $J$3, , $G$3, $H$3)),"")</f>
        <v/>
      </c>
      <c r="MW16" s="72" t="str">
        <f>IFERROR(IF(OR($B16="",MW$3=""),"",(_xll.ciqfunctions.udf.CIQ($B16,"IQ_TIER_ONE_CAPITAL",MW$3,$E$3, $J$3, , $G$3, $H$3)+_xll.ciqfunctions.udf.CIQ($B16,"IQ_TIER_TWO_CAPITAL",MW$3,$E$3, $J$3, , $G$3, $H$3)-_xll.ciqfunctions.udf.CIQ($B16,"IQ_GW",MW$3,$E$3, $J$3, , $G$3, $H$3))/_xll.ciqfunctions.udf.CIQ($B16,"IQ_RISK_ADJ_BANK_ASSETS",MW$3,$E$3, $J$3, , $G$3, $H$3)),"")</f>
        <v/>
      </c>
      <c r="MX16" s="72" t="str">
        <f>IFERROR(IF(OR($B16="",MX$3=""),"",(_xll.ciqfunctions.udf.CIQ($B16,"IQ_TIER_ONE_CAPITAL",MX$3,$E$3, $J$3, , $G$3, $H$3)+_xll.ciqfunctions.udf.CIQ($B16,"IQ_TIER_TWO_CAPITAL",MX$3,$E$3, $J$3, , $G$3, $H$3)-_xll.ciqfunctions.udf.CIQ($B16,"IQ_GW",MX$3,$E$3, $J$3, , $G$3, $H$3))/_xll.ciqfunctions.udf.CIQ($B16,"IQ_RISK_ADJ_BANK_ASSETS",MX$3,$E$3, $J$3, , $G$3, $H$3)),"")</f>
        <v/>
      </c>
      <c r="MY16" s="72" t="str">
        <f>IFERROR(IF(OR($B16="",MY$3=""),"",(_xll.ciqfunctions.udf.CIQ($B16,"IQ_TIER_ONE_CAPITAL",MY$3,$E$3, $J$3, , $G$3, $H$3)+_xll.ciqfunctions.udf.CIQ($B16,"IQ_TIER_TWO_CAPITAL",MY$3,$E$3, $J$3, , $G$3, $H$3)-_xll.ciqfunctions.udf.CIQ($B16,"IQ_GW",MY$3,$E$3, $J$3, , $G$3, $H$3))/_xll.ciqfunctions.udf.CIQ($B16,"IQ_RISK_ADJ_BANK_ASSETS",MY$3,$E$3, $J$3, , $G$3, $H$3)),"")</f>
        <v/>
      </c>
      <c r="MZ16" s="72" t="str">
        <f>IFERROR(IF(OR($B16="",MZ$3=""),"",(_xll.ciqfunctions.udf.CIQ($B16,"IQ_TIER_ONE_CAPITAL",MZ$3,$E$3, $J$3, , $G$3, $H$3)+_xll.ciqfunctions.udf.CIQ($B16,"IQ_TIER_TWO_CAPITAL",MZ$3,$E$3, $J$3, , $G$3, $H$3)-_xll.ciqfunctions.udf.CIQ($B16,"IQ_GW",MZ$3,$E$3, $J$3, , $G$3, $H$3))/_xll.ciqfunctions.udf.CIQ($B16,"IQ_RISK_ADJ_BANK_ASSETS",MZ$3,$E$3, $J$3, , $G$3, $H$3)),"")</f>
        <v/>
      </c>
      <c r="NA16" s="72" t="str">
        <f>IFERROR(IF(OR($B16="",NA$3=""),"",(_xll.ciqfunctions.udf.CIQ($B16,"IQ_TIER_ONE_CAPITAL",NA$3,$E$3, $J$3, , $G$3, $H$3)+_xll.ciqfunctions.udf.CIQ($B16,"IQ_TIER_TWO_CAPITAL",NA$3,$E$3, $J$3, , $G$3, $H$3)-_xll.ciqfunctions.udf.CIQ($B16,"IQ_GW",NA$3,$E$3, $J$3, , $G$3, $H$3))/_xll.ciqfunctions.udf.CIQ($B16,"IQ_RISK_ADJ_BANK_ASSETS",NA$3,$E$3, $J$3, , $G$3, $H$3)),"")</f>
        <v/>
      </c>
      <c r="NB16" s="72" t="str">
        <f>IFERROR(IF(OR($B16="",NB$3=""),"",(_xll.ciqfunctions.udf.CIQ($B16,"IQ_TIER_ONE_CAPITAL",NB$3,$E$3, $J$3, , $G$3, $H$3)+_xll.ciqfunctions.udf.CIQ($B16,"IQ_TIER_TWO_CAPITAL",NB$3,$E$3, $J$3, , $G$3, $H$3)-_xll.ciqfunctions.udf.CIQ($B16,"IQ_GW",NB$3,$E$3, $J$3, , $G$3, $H$3))/_xll.ciqfunctions.udf.CIQ($B16,"IQ_RISK_ADJ_BANK_ASSETS",NB$3,$E$3, $J$3, , $G$3, $H$3)),"")</f>
        <v/>
      </c>
      <c r="NC16" s="72" t="str">
        <f>IFERROR(IF(OR($B16="",NC$3=""),"",(_xll.ciqfunctions.udf.CIQ($B16,"IQ_TIER_ONE_CAPITAL",NC$3,$E$3, $J$3, , $G$3, $H$3)+_xll.ciqfunctions.udf.CIQ($B16,"IQ_TIER_TWO_CAPITAL",NC$3,$E$3, $J$3, , $G$3, $H$3)-_xll.ciqfunctions.udf.CIQ($B16,"IQ_GW",NC$3,$E$3, $J$3, , $G$3, $H$3))/_xll.ciqfunctions.udf.CIQ($B16,"IQ_RISK_ADJ_BANK_ASSETS",NC$3,$E$3, $J$3, , $G$3, $H$3)),"")</f>
        <v/>
      </c>
      <c r="ND16" s="72" t="str">
        <f>IFERROR(IF(OR($B16="",ND$3=""),"",(_xll.ciqfunctions.udf.CIQ($B16,"IQ_TIER_ONE_CAPITAL",ND$3,$E$3, $J$3, , $G$3, $H$3)+_xll.ciqfunctions.udf.CIQ($B16,"IQ_TIER_TWO_CAPITAL",ND$3,$E$3, $J$3, , $G$3, $H$3)-_xll.ciqfunctions.udf.CIQ($B16,"IQ_GW",ND$3,$E$3, $J$3, , $G$3, $H$3))/_xll.ciqfunctions.udf.CIQ($B16,"IQ_RISK_ADJ_BANK_ASSETS",ND$3,$E$3, $J$3, , $G$3, $H$3)),"")</f>
        <v/>
      </c>
      <c r="NE16" s="72" t="str">
        <f>IFERROR(IF(OR($B16="",NE$3=""),"",(_xll.ciqfunctions.udf.CIQ($B16,"IQ_TIER_ONE_CAPITAL",NE$3,$E$3, $J$3, , $G$3, $H$3)+_xll.ciqfunctions.udf.CIQ($B16,"IQ_TIER_TWO_CAPITAL",NE$3,$E$3, $J$3, , $G$3, $H$3)-_xll.ciqfunctions.udf.CIQ($B16,"IQ_GW",NE$3,$E$3, $J$3, , $G$3, $H$3))/_xll.ciqfunctions.udf.CIQ($B16,"IQ_RISK_ADJ_BANK_ASSETS",NE$3,$E$3, $J$3, , $G$3, $H$3)),"")</f>
        <v/>
      </c>
      <c r="NF16" s="72" t="str">
        <f>IFERROR(IF(OR($B16="",NF$3=""),"",(_xll.ciqfunctions.udf.CIQ($B16,"IQ_TIER_ONE_CAPITAL",NF$3,$E$3, $J$3, , $G$3, $H$3)+_xll.ciqfunctions.udf.CIQ($B16,"IQ_TIER_TWO_CAPITAL",NF$3,$E$3, $J$3, , $G$3, $H$3)-_xll.ciqfunctions.udf.CIQ($B16,"IQ_GW",NF$3,$E$3, $J$3, , $G$3, $H$3))/_xll.ciqfunctions.udf.CIQ($B16,"IQ_RISK_ADJ_BANK_ASSETS",NF$3,$E$3, $J$3, , $G$3, $H$3)),"")</f>
        <v/>
      </c>
      <c r="NG16" s="72" t="str">
        <f>IFERROR(IF(OR($B16="",NG$3=""),"",-_xll.ciqfunctions.udf.CIQ($B16,"IQ_ALLOW_LL",NG$3,$E$3, $J$3, , $G$3, $H$3)/_xll.ciqfunctions.udf.CIQ($B16,"IQ_TOTAL_LOANS",NG$3,$E$3, $J$3, , $G$3, $H$3)),"")</f>
        <v/>
      </c>
      <c r="NH16" s="72" t="str">
        <f>IFERROR(IF(OR($B16="",NH$3=""),"",-_xll.ciqfunctions.udf.CIQ($B16,"IQ_ALLOW_LL",NH$3,$E$3, $J$3, , $G$3, $H$3)/_xll.ciqfunctions.udf.CIQ($B16,"IQ_TOTAL_LOANS",NH$3,$E$3, $J$3, , $G$3, $H$3)),"")</f>
        <v/>
      </c>
      <c r="NI16" s="72" t="str">
        <f>IFERROR(IF(OR($B16="",NI$3=""),"",-_xll.ciqfunctions.udf.CIQ($B16,"IQ_ALLOW_LL",NI$3,$E$3, $J$3, , $G$3, $H$3)/_xll.ciqfunctions.udf.CIQ($B16,"IQ_TOTAL_LOANS",NI$3,$E$3, $J$3, , $G$3, $H$3)),"")</f>
        <v/>
      </c>
      <c r="NJ16" s="72" t="str">
        <f>IFERROR(IF(OR($B16="",NJ$3=""),"",-_xll.ciqfunctions.udf.CIQ($B16,"IQ_ALLOW_LL",NJ$3,$E$3, $J$3, , $G$3, $H$3)/_xll.ciqfunctions.udf.CIQ($B16,"IQ_TOTAL_LOANS",NJ$3,$E$3, $J$3, , $G$3, $H$3)),"")</f>
        <v/>
      </c>
      <c r="NK16" s="72" t="str">
        <f>IFERROR(IF(OR($B16="",NK$3=""),"",-_xll.ciqfunctions.udf.CIQ($B16,"IQ_ALLOW_LL",NK$3,$E$3, $J$3, , $G$3, $H$3)/_xll.ciqfunctions.udf.CIQ($B16,"IQ_TOTAL_LOANS",NK$3,$E$3, $J$3, , $G$3, $H$3)),"")</f>
        <v/>
      </c>
      <c r="NL16" s="72" t="str">
        <f>IFERROR(IF(OR($B16="",NL$3=""),"",-_xll.ciqfunctions.udf.CIQ($B16,"IQ_ALLOW_LL",NL$3,$E$3, $J$3, , $G$3, $H$3)/_xll.ciqfunctions.udf.CIQ($B16,"IQ_TOTAL_LOANS",NL$3,$E$3, $J$3, , $G$3, $H$3)),"")</f>
        <v/>
      </c>
      <c r="NM16" s="72" t="str">
        <f>IFERROR(IF(OR($B16="",NM$3=""),"",-_xll.ciqfunctions.udf.CIQ($B16,"IQ_ALLOW_LL",NM$3,$E$3, $J$3, , $G$3, $H$3)/_xll.ciqfunctions.udf.CIQ($B16,"IQ_TOTAL_LOANS",NM$3,$E$3, $J$3, , $G$3, $H$3)),"")</f>
        <v/>
      </c>
      <c r="NN16" s="72" t="str">
        <f>IFERROR(IF(OR($B16="",NN$3=""),"",-_xll.ciqfunctions.udf.CIQ($B16,"IQ_ALLOW_LL",NN$3,$E$3, $J$3, , $G$3, $H$3)/_xll.ciqfunctions.udf.CIQ($B16,"IQ_TOTAL_LOANS",NN$3,$E$3, $J$3, , $G$3, $H$3)),"")</f>
        <v/>
      </c>
      <c r="NO16" s="72" t="str">
        <f>IFERROR(IF(OR($B16="",NO$3=""),"",-_xll.ciqfunctions.udf.CIQ($B16,"IQ_ALLOW_LL",NO$3,$E$3, $J$3, , $G$3, $H$3)/_xll.ciqfunctions.udf.CIQ($B16,"IQ_TOTAL_LOANS",NO$3,$E$3, $J$3, , $G$3, $H$3)),"")</f>
        <v/>
      </c>
      <c r="NP16" s="72" t="str">
        <f>IFERROR(IF(OR($B16="",NP$3=""),"",-_xll.ciqfunctions.udf.CIQ($B16,"IQ_ALLOW_LL",NP$3,$E$3, $J$3, , $G$3, $H$3)/_xll.ciqfunctions.udf.CIQ($B16,"IQ_TOTAL_LOANS",NP$3,$E$3, $J$3, , $G$3, $H$3)),"")</f>
        <v/>
      </c>
      <c r="NQ16" s="72" t="str">
        <f>IFERROR(IF(OR($B16="",NQ$3=""),"",-_xll.ciqfunctions.udf.CIQ($B16,"IQ_ALLOW_LL",NQ$3,$E$3, $J$3, , $G$3, $H$3)/_xll.ciqfunctions.udf.CIQ($B16,"IQ_TOTAL_LOANS",NQ$3,$E$3, $J$3, , $G$3, $H$3)),"")</f>
        <v/>
      </c>
      <c r="NR16" s="72" t="str">
        <f>IFERROR(IF(OR($B16="",NR$3=""),"",-_xll.ciqfunctions.udf.CIQ($B16,"IQ_ALLOW_LL",NR$3,$E$3, $J$3, , $G$3, $H$3)/_xll.ciqfunctions.udf.CIQ($B16,"IQ_TOTAL_LOANS",NR$3,$E$3, $J$3, , $G$3, $H$3)),"")</f>
        <v/>
      </c>
      <c r="NS16" s="72" t="str">
        <f>IFERROR(IF(OR($B16="",NS$3=""),"",-_xll.ciqfunctions.udf.CIQ($B16,"IQ_ALLOW_LL",NS$3,$E$3, $J$3, , $G$3, $H$3)/_xll.ciqfunctions.udf.CIQ($B16,"IQ_TOTAL_LOANS",NS$3,$E$3, $J$3, , $G$3, $H$3)),"")</f>
        <v/>
      </c>
      <c r="NT16" s="72" t="str">
        <f>IFERROR(IF(OR($B16="",NT$3=""),"",-_xll.ciqfunctions.udf.CIQ($B16,"IQ_ALLOW_LL",NT$3,$E$3, $J$3, , $G$3, $H$3)/_xll.ciqfunctions.udf.CIQ($B16,"IQ_TOTAL_LOANS",NT$3,$E$3, $J$3, , $G$3, $H$3)),"")</f>
        <v/>
      </c>
      <c r="NU16" s="72" t="str">
        <f>IFERROR(IF(OR($B16="",NU$3=""),"",-_xll.ciqfunctions.udf.CIQ($B16,"IQ_ALLOW_LL",NU$3,$E$3, $J$3, , $G$3, $H$3)/_xll.ciqfunctions.udf.CIQ($B16,"IQ_TOTAL_LOANS",NU$3,$E$3, $J$3, , $G$3, $H$3)),"")</f>
        <v/>
      </c>
      <c r="NV16" s="72" t="str">
        <f>IFERROR(IF(OR($B16="",NV$3=""),"",-_xll.ciqfunctions.udf.CIQ($B16,"IQ_ALLOW_LL",NV$3,$E$3, $J$3, , $G$3, $H$3)/_xll.ciqfunctions.udf.CIQ($B16,"IQ_TOTAL_LOANS",NV$3,$E$3, $J$3, , $G$3, $H$3)),"")</f>
        <v/>
      </c>
      <c r="NW16" s="72" t="str">
        <f>IFERROR(IF(OR($B16="",NW$3=""),"",-_xll.ciqfunctions.udf.CIQ($B16,"IQ_ALLOW_LL",NW$3,$E$3, $J$3, , $G$3, $H$3)/_xll.ciqfunctions.udf.CIQ($B16,"IQ_TOTAL_LOANS",NW$3,$E$3, $J$3, , $G$3, $H$3)),"")</f>
        <v/>
      </c>
      <c r="NX16" s="72" t="str">
        <f>IFERROR(IF(OR($B16="",NX$3=""),"",-_xll.ciqfunctions.udf.CIQ($B16,"IQ_ALLOW_LL",NX$3,$E$3, $J$3, , $G$3, $H$3)/_xll.ciqfunctions.udf.CIQ($B16,"IQ_TOTAL_LOANS",NX$3,$E$3, $J$3, , $G$3, $H$3)),"")</f>
        <v/>
      </c>
      <c r="NY16" s="72" t="str">
        <f>IFERROR(IF(OR($B16="",NY$3=""),"",-_xll.ciqfunctions.udf.CIQ($B16,"IQ_ALLOW_LL",NY$3,$E$3, $J$3, , $G$3, $H$3)/_xll.ciqfunctions.udf.CIQ($B16,"IQ_TOTAL_LOANS",NY$3,$E$3, $J$3, , $G$3, $H$3)),"")</f>
        <v/>
      </c>
      <c r="NZ16" s="72" t="str">
        <f>IFERROR(IF(OR($B16="",NZ$3=""),"",-_xll.ciqfunctions.udf.CIQ($B16,"IQ_ALLOW_LL",NZ$3,$E$3, $J$3, , $G$3, $H$3)/_xll.ciqfunctions.udf.CIQ($B16,"IQ_TOTAL_LOANS",NZ$3,$E$3, $J$3, , $G$3, $H$3)),"")</f>
        <v/>
      </c>
      <c r="OA16" s="72" t="str">
        <f>IFERROR(IF(OR($B16="",OA$3=""),"",_xll.ciqfunctions.udf.CIQ($B16,"IQ_TOTAL_LOANS",OA$3,$E$3, $J$3, , $G$3, $H$3)/_xll.ciqfunctions.udf.CIQ($B16,"IQ_TOTAL_DEPOSITS",OA$3,$E$3, $J$3, , $G$3, $H$3)),"")</f>
        <v/>
      </c>
      <c r="OB16" s="72" t="str">
        <f>IFERROR(IF(OR($B16="",OB$3=""),"",_xll.ciqfunctions.udf.CIQ($B16,"IQ_TOTAL_LOANS",OB$3,$E$3, $J$3, , $G$3, $H$3)/_xll.ciqfunctions.udf.CIQ($B16,"IQ_TOTAL_DEPOSITS",OB$3,$E$3, $J$3, , $G$3, $H$3)),"")</f>
        <v/>
      </c>
      <c r="OC16" s="72" t="str">
        <f>IFERROR(IF(OR($B16="",OC$3=""),"",_xll.ciqfunctions.udf.CIQ($B16,"IQ_TOTAL_LOANS",OC$3,$E$3, $J$3, , $G$3, $H$3)/_xll.ciqfunctions.udf.CIQ($B16,"IQ_TOTAL_DEPOSITS",OC$3,$E$3, $J$3, , $G$3, $H$3)),"")</f>
        <v/>
      </c>
      <c r="OD16" s="72" t="str">
        <f>IFERROR(IF(OR($B16="",OD$3=""),"",_xll.ciqfunctions.udf.CIQ($B16,"IQ_TOTAL_LOANS",OD$3,$E$3, $J$3, , $G$3, $H$3)/_xll.ciqfunctions.udf.CIQ($B16,"IQ_TOTAL_DEPOSITS",OD$3,$E$3, $J$3, , $G$3, $H$3)),"")</f>
        <v/>
      </c>
      <c r="OE16" s="72" t="str">
        <f>IFERROR(IF(OR($B16="",OE$3=""),"",_xll.ciqfunctions.udf.CIQ($B16,"IQ_TOTAL_LOANS",OE$3,$E$3, $J$3, , $G$3, $H$3)/_xll.ciqfunctions.udf.CIQ($B16,"IQ_TOTAL_DEPOSITS",OE$3,$E$3, $J$3, , $G$3, $H$3)),"")</f>
        <v/>
      </c>
      <c r="OF16" s="72" t="str">
        <f>IFERROR(IF(OR($B16="",OF$3=""),"",_xll.ciqfunctions.udf.CIQ($B16,"IQ_TOTAL_LOANS",OF$3,$E$3, $J$3, , $G$3, $H$3)/_xll.ciqfunctions.udf.CIQ($B16,"IQ_TOTAL_DEPOSITS",OF$3,$E$3, $J$3, , $G$3, $H$3)),"")</f>
        <v/>
      </c>
      <c r="OG16" s="72" t="str">
        <f>IFERROR(IF(OR($B16="",OG$3=""),"",_xll.ciqfunctions.udf.CIQ($B16,"IQ_TOTAL_LOANS",OG$3,$E$3, $J$3, , $G$3, $H$3)/_xll.ciqfunctions.udf.CIQ($B16,"IQ_TOTAL_DEPOSITS",OG$3,$E$3, $J$3, , $G$3, $H$3)),"")</f>
        <v/>
      </c>
      <c r="OH16" s="72" t="str">
        <f>IFERROR(IF(OR($B16="",OH$3=""),"",_xll.ciqfunctions.udf.CIQ($B16,"IQ_TOTAL_LOANS",OH$3,$E$3, $J$3, , $G$3, $H$3)/_xll.ciqfunctions.udf.CIQ($B16,"IQ_TOTAL_DEPOSITS",OH$3,$E$3, $J$3, , $G$3, $H$3)),"")</f>
        <v/>
      </c>
      <c r="OI16" s="72" t="str">
        <f>IFERROR(IF(OR($B16="",OI$3=""),"",_xll.ciqfunctions.udf.CIQ($B16,"IQ_TOTAL_LOANS",OI$3,$E$3, $J$3, , $G$3, $H$3)/_xll.ciqfunctions.udf.CIQ($B16,"IQ_TOTAL_DEPOSITS",OI$3,$E$3, $J$3, , $G$3, $H$3)),"")</f>
        <v/>
      </c>
      <c r="OJ16" s="72" t="str">
        <f>IFERROR(IF(OR($B16="",OJ$3=""),"",_xll.ciqfunctions.udf.CIQ($B16,"IQ_TOTAL_LOANS",OJ$3,$E$3, $J$3, , $G$3, $H$3)/_xll.ciqfunctions.udf.CIQ($B16,"IQ_TOTAL_DEPOSITS",OJ$3,$E$3, $J$3, , $G$3, $H$3)),"")</f>
        <v/>
      </c>
      <c r="OK16" s="72" t="str">
        <f>IFERROR(IF(OR($B16="",OK$3=""),"",_xll.ciqfunctions.udf.CIQ($B16,"IQ_TOTAL_LOANS",OK$3,$E$3, $J$3, , $G$3, $H$3)/_xll.ciqfunctions.udf.CIQ($B16,"IQ_TOTAL_DEPOSITS",OK$3,$E$3, $J$3, , $G$3, $H$3)),"")</f>
        <v/>
      </c>
      <c r="OL16" s="72" t="str">
        <f>IFERROR(IF(OR($B16="",OL$3=""),"",_xll.ciqfunctions.udf.CIQ($B16,"IQ_TOTAL_LOANS",OL$3,$E$3, $J$3, , $G$3, $H$3)/_xll.ciqfunctions.udf.CIQ($B16,"IQ_TOTAL_DEPOSITS",OL$3,$E$3, $J$3, , $G$3, $H$3)),"")</f>
        <v/>
      </c>
      <c r="OM16" s="72" t="str">
        <f>IFERROR(IF(OR($B16="",OM$3=""),"",_xll.ciqfunctions.udf.CIQ($B16,"IQ_TOTAL_LOANS",OM$3,$E$3, $J$3, , $G$3, $H$3)/_xll.ciqfunctions.udf.CIQ($B16,"IQ_TOTAL_DEPOSITS",OM$3,$E$3, $J$3, , $G$3, $H$3)),"")</f>
        <v/>
      </c>
      <c r="ON16" s="72" t="str">
        <f>IFERROR(IF(OR($B16="",ON$3=""),"",_xll.ciqfunctions.udf.CIQ($B16,"IQ_TOTAL_LOANS",ON$3,$E$3, $J$3, , $G$3, $H$3)/_xll.ciqfunctions.udf.CIQ($B16,"IQ_TOTAL_DEPOSITS",ON$3,$E$3, $J$3, , $G$3, $H$3)),"")</f>
        <v/>
      </c>
      <c r="OO16" s="72" t="str">
        <f>IFERROR(IF(OR($B16="",OO$3=""),"",_xll.ciqfunctions.udf.CIQ($B16,"IQ_TOTAL_LOANS",OO$3,$E$3, $J$3, , $G$3, $H$3)/_xll.ciqfunctions.udf.CIQ($B16,"IQ_TOTAL_DEPOSITS",OO$3,$E$3, $J$3, , $G$3, $H$3)),"")</f>
        <v/>
      </c>
      <c r="OP16" s="72" t="str">
        <f>IFERROR(IF(OR($B16="",OP$3=""),"",_xll.ciqfunctions.udf.CIQ($B16,"IQ_TOTAL_LOANS",OP$3,$E$3, $J$3, , $G$3, $H$3)/_xll.ciqfunctions.udf.CIQ($B16,"IQ_TOTAL_DEPOSITS",OP$3,$E$3, $J$3, , $G$3, $H$3)),"")</f>
        <v/>
      </c>
      <c r="OQ16" s="72" t="str">
        <f>IFERROR(IF(OR($B16="",OQ$3=""),"",_xll.ciqfunctions.udf.CIQ($B16,"IQ_TOTAL_LOANS",OQ$3,$E$3, $J$3, , $G$3, $H$3)/_xll.ciqfunctions.udf.CIQ($B16,"IQ_TOTAL_DEPOSITS",OQ$3,$E$3, $J$3, , $G$3, $H$3)),"")</f>
        <v/>
      </c>
      <c r="OR16" s="72" t="str">
        <f>IFERROR(IF(OR($B16="",OR$3=""),"",_xll.ciqfunctions.udf.CIQ($B16,"IQ_TOTAL_LOANS",OR$3,$E$3, $J$3, , $G$3, $H$3)/_xll.ciqfunctions.udf.CIQ($B16,"IQ_TOTAL_DEPOSITS",OR$3,$E$3, $J$3, , $G$3, $H$3)),"")</f>
        <v/>
      </c>
      <c r="OS16" s="72" t="str">
        <f>IFERROR(IF(OR($B16="",OS$3=""),"",_xll.ciqfunctions.udf.CIQ($B16,"IQ_TOTAL_LOANS",OS$3,$E$3, $J$3, , $G$3, $H$3)/_xll.ciqfunctions.udf.CIQ($B16,"IQ_TOTAL_DEPOSITS",OS$3,$E$3, $J$3, , $G$3, $H$3)),"")</f>
        <v/>
      </c>
      <c r="OT16" s="72" t="str">
        <f>IFERROR(IF(OR($B16="",OT$3=""),"",_xll.ciqfunctions.udf.CIQ($B16,"IQ_TOTAL_LOANS",OT$3,$E$3, $J$3, , $G$3, $H$3)/_xll.ciqfunctions.udf.CIQ($B16,"IQ_TOTAL_DEPOSITS",OT$3,$E$3, $J$3, , $G$3, $H$3)),"")</f>
        <v/>
      </c>
      <c r="OU16" s="72" t="str">
        <f>IFERROR(IF(OR($B16="",OU$3=""),"",_xll.ciqfunctions.udf.CIQ($B16,"IQ_NON_PERFORMING_LOANS",OU$3,$E$3, $J$3, , $G$3, $H$3)/_xll.ciqfunctions.udf.CIQ($B16,"IQ_TOTAL_EQUITY",OU$3,$E$3, $J$3, , $G$3, $H$3)),"")</f>
        <v/>
      </c>
      <c r="OV16" s="72" t="str">
        <f>IFERROR(IF(OR($B16="",OV$3=""),"",_xll.ciqfunctions.udf.CIQ($B16,"IQ_NON_PERFORMING_LOANS",OV$3,$E$3, $J$3, , $G$3, $H$3)/_xll.ciqfunctions.udf.CIQ($B16,"IQ_TOTAL_EQUITY",OV$3,$E$3, $J$3, , $G$3, $H$3)),"")</f>
        <v/>
      </c>
      <c r="OW16" s="72" t="str">
        <f>IFERROR(IF(OR($B16="",OW$3=""),"",_xll.ciqfunctions.udf.CIQ($B16,"IQ_NON_PERFORMING_LOANS",OW$3,$E$3, $J$3, , $G$3, $H$3)/_xll.ciqfunctions.udf.CIQ($B16,"IQ_TOTAL_EQUITY",OW$3,$E$3, $J$3, , $G$3, $H$3)),"")</f>
        <v/>
      </c>
      <c r="OX16" s="72" t="str">
        <f>IFERROR(IF(OR($B16="",OX$3=""),"",_xll.ciqfunctions.udf.CIQ($B16,"IQ_NON_PERFORMING_LOANS",OX$3,$E$3, $J$3, , $G$3, $H$3)/_xll.ciqfunctions.udf.CIQ($B16,"IQ_TOTAL_EQUITY",OX$3,$E$3, $J$3, , $G$3, $H$3)),"")</f>
        <v/>
      </c>
      <c r="OY16" s="72" t="str">
        <f>IFERROR(IF(OR($B16="",OY$3=""),"",_xll.ciqfunctions.udf.CIQ($B16,"IQ_NON_PERFORMING_LOANS",OY$3,$E$3, $J$3, , $G$3, $H$3)/_xll.ciqfunctions.udf.CIQ($B16,"IQ_TOTAL_EQUITY",OY$3,$E$3, $J$3, , $G$3, $H$3)),"")</f>
        <v/>
      </c>
      <c r="OZ16" s="72" t="str">
        <f>IFERROR(IF(OR($B16="",OZ$3=""),"",_xll.ciqfunctions.udf.CIQ($B16,"IQ_NON_PERFORMING_LOANS",OZ$3,$E$3, $J$3, , $G$3, $H$3)/_xll.ciqfunctions.udf.CIQ($B16,"IQ_TOTAL_EQUITY",OZ$3,$E$3, $J$3, , $G$3, $H$3)),"")</f>
        <v/>
      </c>
      <c r="PA16" s="72" t="str">
        <f>IFERROR(IF(OR($B16="",PA$3=""),"",_xll.ciqfunctions.udf.CIQ($B16,"IQ_NON_PERFORMING_LOANS",PA$3,$E$3, $J$3, , $G$3, $H$3)/_xll.ciqfunctions.udf.CIQ($B16,"IQ_TOTAL_EQUITY",PA$3,$E$3, $J$3, , $G$3, $H$3)),"")</f>
        <v/>
      </c>
      <c r="PB16" s="72" t="str">
        <f>IFERROR(IF(OR($B16="",PB$3=""),"",_xll.ciqfunctions.udf.CIQ($B16,"IQ_NON_PERFORMING_LOANS",PB$3,$E$3, $J$3, , $G$3, $H$3)/_xll.ciqfunctions.udf.CIQ($B16,"IQ_TOTAL_EQUITY",PB$3,$E$3, $J$3, , $G$3, $H$3)),"")</f>
        <v/>
      </c>
      <c r="PC16" s="72" t="str">
        <f>IFERROR(IF(OR($B16="",PC$3=""),"",_xll.ciqfunctions.udf.CIQ($B16,"IQ_NON_PERFORMING_LOANS",PC$3,$E$3, $J$3, , $G$3, $H$3)/_xll.ciqfunctions.udf.CIQ($B16,"IQ_TOTAL_EQUITY",PC$3,$E$3, $J$3, , $G$3, $H$3)),"")</f>
        <v/>
      </c>
      <c r="PD16" s="72" t="str">
        <f>IFERROR(IF(OR($B16="",PD$3=""),"",_xll.ciqfunctions.udf.CIQ($B16,"IQ_NON_PERFORMING_LOANS",PD$3,$E$3, $J$3, , $G$3, $H$3)/_xll.ciqfunctions.udf.CIQ($B16,"IQ_TOTAL_EQUITY",PD$3,$E$3, $J$3, , $G$3, $H$3)),"")</f>
        <v/>
      </c>
      <c r="PE16" s="72" t="str">
        <f>IFERROR(IF(OR($B16="",PE$3=""),"",_xll.ciqfunctions.udf.CIQ($B16,"IQ_NON_PERFORMING_LOANS",PE$3,$E$3, $J$3, , $G$3, $H$3)/_xll.ciqfunctions.udf.CIQ($B16,"IQ_TOTAL_EQUITY",PE$3,$E$3, $J$3, , $G$3, $H$3)),"")</f>
        <v/>
      </c>
      <c r="PF16" s="72" t="str">
        <f>IFERROR(IF(OR($B16="",PF$3=""),"",_xll.ciqfunctions.udf.CIQ($B16,"IQ_NON_PERFORMING_LOANS",PF$3,$E$3, $J$3, , $G$3, $H$3)/_xll.ciqfunctions.udf.CIQ($B16,"IQ_TOTAL_EQUITY",PF$3,$E$3, $J$3, , $G$3, $H$3)),"")</f>
        <v/>
      </c>
      <c r="PG16" s="72" t="str">
        <f>IFERROR(IF(OR($B16="",PG$3=""),"",_xll.ciqfunctions.udf.CIQ($B16,"IQ_NON_PERFORMING_LOANS",PG$3,$E$3, $J$3, , $G$3, $H$3)/_xll.ciqfunctions.udf.CIQ($B16,"IQ_TOTAL_EQUITY",PG$3,$E$3, $J$3, , $G$3, $H$3)),"")</f>
        <v/>
      </c>
      <c r="PH16" s="72" t="str">
        <f>IFERROR(IF(OR($B16="",PH$3=""),"",_xll.ciqfunctions.udf.CIQ($B16,"IQ_NON_PERFORMING_LOANS",PH$3,$E$3, $J$3, , $G$3, $H$3)/_xll.ciqfunctions.udf.CIQ($B16,"IQ_TOTAL_EQUITY",PH$3,$E$3, $J$3, , $G$3, $H$3)),"")</f>
        <v/>
      </c>
      <c r="PI16" s="72" t="str">
        <f>IFERROR(IF(OR($B16="",PI$3=""),"",_xll.ciqfunctions.udf.CIQ($B16,"IQ_NON_PERFORMING_LOANS",PI$3,$E$3, $J$3, , $G$3, $H$3)/_xll.ciqfunctions.udf.CIQ($B16,"IQ_TOTAL_EQUITY",PI$3,$E$3, $J$3, , $G$3, $H$3)),"")</f>
        <v/>
      </c>
      <c r="PJ16" s="72" t="str">
        <f>IFERROR(IF(OR($B16="",PJ$3=""),"",_xll.ciqfunctions.udf.CIQ($B16,"IQ_NON_PERFORMING_LOANS",PJ$3,$E$3, $J$3, , $G$3, $H$3)/_xll.ciqfunctions.udf.CIQ($B16,"IQ_TOTAL_EQUITY",PJ$3,$E$3, $J$3, , $G$3, $H$3)),"")</f>
        <v/>
      </c>
      <c r="PK16" s="72" t="str">
        <f>IFERROR(IF(OR($B16="",PK$3=""),"",_xll.ciqfunctions.udf.CIQ($B16,"IQ_NON_PERFORMING_LOANS",PK$3,$E$3, $J$3, , $G$3, $H$3)/_xll.ciqfunctions.udf.CIQ($B16,"IQ_TOTAL_EQUITY",PK$3,$E$3, $J$3, , $G$3, $H$3)),"")</f>
        <v/>
      </c>
      <c r="PL16" s="72" t="str">
        <f>IFERROR(IF(OR($B16="",PL$3=""),"",_xll.ciqfunctions.udf.CIQ($B16,"IQ_NON_PERFORMING_LOANS",PL$3,$E$3, $J$3, , $G$3, $H$3)/_xll.ciqfunctions.udf.CIQ($B16,"IQ_TOTAL_EQUITY",PL$3,$E$3, $J$3, , $G$3, $H$3)),"")</f>
        <v/>
      </c>
      <c r="PM16" s="72" t="str">
        <f>IFERROR(IF(OR($B16="",PM$3=""),"",_xll.ciqfunctions.udf.CIQ($B16,"IQ_NON_PERFORMING_LOANS",PM$3,$E$3, $J$3, , $G$3, $H$3)/_xll.ciqfunctions.udf.CIQ($B16,"IQ_TOTAL_EQUITY",PM$3,$E$3, $J$3, , $G$3, $H$3)),"")</f>
        <v/>
      </c>
      <c r="PN16" s="72" t="str">
        <f>IFERROR(IF(OR($B16="",PN$3=""),"",_xll.ciqfunctions.udf.CIQ($B16,"IQ_NON_PERFORMING_LOANS",PN$3,$E$3, $J$3, , $G$3, $H$3)/_xll.ciqfunctions.udf.CIQ($B16,"IQ_TOTAL_EQUITY",PN$3,$E$3, $J$3, , $G$3, $H$3)),"")</f>
        <v/>
      </c>
      <c r="PO16" s="72" t="str">
        <f>IFERROR(IF(OR($B16="",PO$3=""),"",(_xll.ciqfunctions.udf.CIQ($B16,"IQ_LASTSALEPRICE",PO$4)/_xll.ciqfunctions.udf.CIQ($B16,"IQ_LASTSALEPRICE",PO$2)-1)+(_xll.ciqfunctions.udf.CIQ($B16, "IQ_DPS_1YR_ANN_GROWTH", "IQ_LTM", PO$4)/100)),"")</f>
        <v/>
      </c>
      <c r="PP16" s="72" t="str">
        <f>IFERROR(IF(OR($B16="",PP$3=""),"",(_xll.ciqfunctions.udf.CIQ($B16,"IQ_LASTSALEPRICE",PP$4)/_xll.ciqfunctions.udf.CIQ($B16,"IQ_LASTSALEPRICE",PP$2)-1)+(_xll.ciqfunctions.udf.CIQ($B16, "IQ_DPS_1YR_ANN_GROWTH", "IQ_LTM", PP$4)/100)),"")</f>
        <v/>
      </c>
      <c r="PQ16" s="72" t="str">
        <f>IFERROR(IF(OR($B16="",PQ$3=""),"",(_xll.ciqfunctions.udf.CIQ($B16,"IQ_LASTSALEPRICE",PQ$4)/_xll.ciqfunctions.udf.CIQ($B16,"IQ_LASTSALEPRICE",PQ$2)-1)+(_xll.ciqfunctions.udf.CIQ($B16, "IQ_DPS_1YR_ANN_GROWTH", "IQ_LTM", PQ$4)/100)),"")</f>
        <v/>
      </c>
      <c r="PR16" s="72" t="str">
        <f>IFERROR(IF(OR($B16="",PR$3=""),"",(_xll.ciqfunctions.udf.CIQ($B16,"IQ_LASTSALEPRICE",PR$4)/_xll.ciqfunctions.udf.CIQ($B16,"IQ_LASTSALEPRICE",PR$2)-1)+(_xll.ciqfunctions.udf.CIQ($B16, "IQ_DPS_1YR_ANN_GROWTH", "IQ_LTM", PR$4)/100)),"")</f>
        <v/>
      </c>
      <c r="PS16" s="72" t="str">
        <f>IFERROR(IF(OR($B16="",PS$3=""),"",(_xll.ciqfunctions.udf.CIQ($B16,"IQ_LASTSALEPRICE",PS$4)/_xll.ciqfunctions.udf.CIQ($B16,"IQ_LASTSALEPRICE",PS$2)-1)+(_xll.ciqfunctions.udf.CIQ($B16, "IQ_DPS_1YR_ANN_GROWTH", "IQ_LTM", PS$4)/100)),"")</f>
        <v/>
      </c>
      <c r="PT16" s="72" t="str">
        <f>IFERROR(IF(OR($B16="",PT$3=""),"",(_xll.ciqfunctions.udf.CIQ($B16,"IQ_LASTSALEPRICE",PT$4)/_xll.ciqfunctions.udf.CIQ($B16,"IQ_LASTSALEPRICE",PT$2)-1)+(_xll.ciqfunctions.udf.CIQ($B16, "IQ_DPS_1YR_ANN_GROWTH", "IQ_LTM", PT$4)/100)),"")</f>
        <v/>
      </c>
      <c r="PU16" s="72" t="str">
        <f>IFERROR(IF(OR($B16="",PU$3=""),"",(_xll.ciqfunctions.udf.CIQ($B16,"IQ_LASTSALEPRICE",PU$4)/_xll.ciqfunctions.udf.CIQ($B16,"IQ_LASTSALEPRICE",PU$2)-1)+(_xll.ciqfunctions.udf.CIQ($B16, "IQ_DPS_1YR_ANN_GROWTH", "IQ_LTM", PU$4)/100)),"")</f>
        <v/>
      </c>
      <c r="PV16" s="72" t="str">
        <f>IFERROR(IF(OR($B16="",PV$3=""),"",(_xll.ciqfunctions.udf.CIQ($B16,"IQ_LASTSALEPRICE",PV$4)/_xll.ciqfunctions.udf.CIQ($B16,"IQ_LASTSALEPRICE",PV$2)-1)+(_xll.ciqfunctions.udf.CIQ($B16, "IQ_DPS_1YR_ANN_GROWTH", "IQ_LTM", PV$4)/100)),"")</f>
        <v/>
      </c>
      <c r="PW16" s="72" t="str">
        <f>IFERROR(IF(OR($B16="",PW$3=""),"",(_xll.ciqfunctions.udf.CIQ($B16,"IQ_LASTSALEPRICE",PW$4)/_xll.ciqfunctions.udf.CIQ($B16,"IQ_LASTSALEPRICE",PW$2)-1)+(_xll.ciqfunctions.udf.CIQ($B16, "IQ_DPS_1YR_ANN_GROWTH", "IQ_LTM", PW$4)/100)),"")</f>
        <v/>
      </c>
      <c r="PX16" s="72" t="str">
        <f>IFERROR(IF(OR($B16="",PX$3=""),"",(_xll.ciqfunctions.udf.CIQ($B16,"IQ_LASTSALEPRICE",PX$4)/_xll.ciqfunctions.udf.CIQ($B16,"IQ_LASTSALEPRICE",PX$2)-1)+(_xll.ciqfunctions.udf.CIQ($B16, "IQ_DPS_1YR_ANN_GROWTH", "IQ_LTM", PX$4)/100)),"")</f>
        <v/>
      </c>
      <c r="PY16" s="72" t="str">
        <f>IFERROR(IF(OR($B16="",PY$3=""),"",(_xll.ciqfunctions.udf.CIQ($B16,"IQ_LASTSALEPRICE",PY$4)/_xll.ciqfunctions.udf.CIQ($B16,"IQ_LASTSALEPRICE",PY$2)-1)+(_xll.ciqfunctions.udf.CIQ($B16, "IQ_DPS_1YR_ANN_GROWTH", "IQ_LTM", PY$4)/100)),"")</f>
        <v/>
      </c>
      <c r="PZ16" s="72" t="str">
        <f>IFERROR(IF(OR($B16="",PZ$3=""),"",(_xll.ciqfunctions.udf.CIQ($B16,"IQ_LASTSALEPRICE",PZ$4)/_xll.ciqfunctions.udf.CIQ($B16,"IQ_LASTSALEPRICE",PZ$2)-1)+(_xll.ciqfunctions.udf.CIQ($B16, "IQ_DPS_1YR_ANN_GROWTH", "IQ_LTM", PZ$4)/100)),"")</f>
        <v/>
      </c>
      <c r="QA16" s="72" t="str">
        <f>IFERROR(IF(OR($B16="",QA$3=""),"",(_xll.ciqfunctions.udf.CIQ($B16,"IQ_LASTSALEPRICE",QA$4)/_xll.ciqfunctions.udf.CIQ($B16,"IQ_LASTSALEPRICE",QA$2)-1)+(_xll.ciqfunctions.udf.CIQ($B16, "IQ_DPS_1YR_ANN_GROWTH", "IQ_LTM", QA$4)/100)),"")</f>
        <v/>
      </c>
      <c r="QB16" s="72" t="str">
        <f>IFERROR(IF(OR($B16="",QB$3=""),"",(_xll.ciqfunctions.udf.CIQ($B16,"IQ_LASTSALEPRICE",QB$4)/_xll.ciqfunctions.udf.CIQ($B16,"IQ_LASTSALEPRICE",QB$2)-1)+(_xll.ciqfunctions.udf.CIQ($B16, "IQ_DPS_1YR_ANN_GROWTH", "IQ_LTM", QB$4)/100)),"")</f>
        <v/>
      </c>
      <c r="QC16" s="72" t="str">
        <f>IFERROR(IF(OR($B16="",QC$3=""),"",(_xll.ciqfunctions.udf.CIQ($B16,"IQ_LASTSALEPRICE",QC$4)/_xll.ciqfunctions.udf.CIQ($B16,"IQ_LASTSALEPRICE",QC$2)-1)+(_xll.ciqfunctions.udf.CIQ($B16, "IQ_DPS_1YR_ANN_GROWTH", "IQ_LTM", QC$4)/100)),"")</f>
        <v/>
      </c>
      <c r="QD16" s="72" t="str">
        <f>IFERROR(IF(OR($B16="",QD$3=""),"",(_xll.ciqfunctions.udf.CIQ($B16,"IQ_LASTSALEPRICE",QD$4)/_xll.ciqfunctions.udf.CIQ($B16,"IQ_LASTSALEPRICE",QD$2)-1)+(_xll.ciqfunctions.udf.CIQ($B16, "IQ_DPS_1YR_ANN_GROWTH", "IQ_LTM", QD$4)/100)),"")</f>
        <v/>
      </c>
      <c r="QE16" s="72" t="str">
        <f>IFERROR(IF(OR($B16="",QE$3=""),"",(_xll.ciqfunctions.udf.CIQ($B16,"IQ_LASTSALEPRICE",QE$4)/_xll.ciqfunctions.udf.CIQ($B16,"IQ_LASTSALEPRICE",QE$2)-1)+(_xll.ciqfunctions.udf.CIQ($B16, "IQ_DPS_1YR_ANN_GROWTH", "IQ_LTM", QE$4)/100)),"")</f>
        <v/>
      </c>
      <c r="QF16" s="72" t="str">
        <f>IFERROR(IF(OR($B16="",QF$3=""),"",(_xll.ciqfunctions.udf.CIQ($B16,"IQ_LASTSALEPRICE",QF$4)/_xll.ciqfunctions.udf.CIQ($B16,"IQ_LASTSALEPRICE",QF$2)-1)+(_xll.ciqfunctions.udf.CIQ($B16, "IQ_DPS_1YR_ANN_GROWTH", "IQ_LTM", QF$4)/100)),"")</f>
        <v/>
      </c>
      <c r="QG16" s="72" t="str">
        <f>IFERROR(IF(OR($B16="",QG$3=""),"",(_xll.ciqfunctions.udf.CIQ($B16,"IQ_LASTSALEPRICE",QG$4)/_xll.ciqfunctions.udf.CIQ($B16,"IQ_LASTSALEPRICE",QG$2)-1)+(_xll.ciqfunctions.udf.CIQ($B16, "IQ_DPS_1YR_ANN_GROWTH", "IQ_LTM", QG$4)/100)),"")</f>
        <v/>
      </c>
      <c r="QH16" s="72" t="str">
        <f>IFERROR(IF(OR($B16="",QH$3=""),"",(_xll.ciqfunctions.udf.CIQ($B16,"IQ_LASTSALEPRICE",QH$4)/_xll.ciqfunctions.udf.CIQ($B16,"IQ_LASTSALEPRICE",QH$2)-1)+(_xll.ciqfunctions.udf.CIQ($B16, "IQ_DPS_1YR_ANN_GROWTH", "IQ_LTM", QH$4)/100)),"")</f>
        <v/>
      </c>
      <c r="QI16" s="72" t="str">
        <f>IFERROR(IF(OR($B16="",QI$3=""),"",_xll.ciqfunctions.udf.CIQ($B16,"IQ_NI",QI$3,$E$3, $J$3, , $G$3, $H$3)*2/(_xll.ciqfunctions.udf.CIQ($B16,"IQ_TOTAL_BANK_CAPITAL",QI$3,$E$3, $J$3, , $G$3, $H$3)+_xll.ciqfunctions.udf.CIQ($B16,"IQ_TOTAL_BANK_CAPITAL","IQ_" &amp; LEFT(QI$3,2) &amp; "-1", QI$3, $J$3, , $G$3, $H$3))),"")</f>
        <v/>
      </c>
      <c r="QJ16" s="72" t="str">
        <f>IFERROR(IF(OR($B16="",QJ$3=""),"",_xll.ciqfunctions.udf.CIQ($B16,"IQ_NI",QJ$3,$E$3, $J$3, , $G$3, $H$3)*2/(_xll.ciqfunctions.udf.CIQ($B16,"IQ_TOTAL_BANK_CAPITAL",QJ$3,$E$3, $J$3, , $G$3, $H$3)+_xll.ciqfunctions.udf.CIQ($B16,"IQ_TOTAL_BANK_CAPITAL","IQ_" &amp; LEFT(QJ$3,2) &amp; "-1", QJ$3, $J$3, , $G$3, $H$3))),"")</f>
        <v/>
      </c>
      <c r="QK16" s="72" t="str">
        <f>IFERROR(IF(OR($B16="",QK$3=""),"",_xll.ciqfunctions.udf.CIQ($B16,"IQ_NI",QK$3,$E$3, $J$3, , $G$3, $H$3)*2/(_xll.ciqfunctions.udf.CIQ($B16,"IQ_TOTAL_BANK_CAPITAL",QK$3,$E$3, $J$3, , $G$3, $H$3)+_xll.ciqfunctions.udf.CIQ($B16,"IQ_TOTAL_BANK_CAPITAL","IQ_" &amp; LEFT(QK$3,2) &amp; "-1", QK$3, $J$3, , $G$3, $H$3))),"")</f>
        <v/>
      </c>
      <c r="QL16" s="72" t="str">
        <f>IFERROR(IF(OR($B16="",QL$3=""),"",_xll.ciqfunctions.udf.CIQ($B16,"IQ_NI",QL$3,$E$3, $J$3, , $G$3, $H$3)*2/(_xll.ciqfunctions.udf.CIQ($B16,"IQ_TOTAL_BANK_CAPITAL",QL$3,$E$3, $J$3, , $G$3, $H$3)+_xll.ciqfunctions.udf.CIQ($B16,"IQ_TOTAL_BANK_CAPITAL","IQ_" &amp; LEFT(QL$3,2) &amp; "-1", QL$3, $J$3, , $G$3, $H$3))),"")</f>
        <v/>
      </c>
      <c r="QM16" s="72" t="str">
        <f>IFERROR(IF(OR($B16="",QM$3=""),"",_xll.ciqfunctions.udf.CIQ($B16,"IQ_NI",QM$3,$E$3, $J$3, , $G$3, $H$3)*2/(_xll.ciqfunctions.udf.CIQ($B16,"IQ_TOTAL_BANK_CAPITAL",QM$3,$E$3, $J$3, , $G$3, $H$3)+_xll.ciqfunctions.udf.CIQ($B16,"IQ_TOTAL_BANK_CAPITAL","IQ_" &amp; LEFT(QM$3,2) &amp; "-1", QM$3, $J$3, , $G$3, $H$3))),"")</f>
        <v/>
      </c>
      <c r="QN16" s="72" t="str">
        <f>IFERROR(IF(OR($B16="",QN$3=""),"",_xll.ciqfunctions.udf.CIQ($B16,"IQ_NI",QN$3,$E$3, $J$3, , $G$3, $H$3)*2/(_xll.ciqfunctions.udf.CIQ($B16,"IQ_TOTAL_BANK_CAPITAL",QN$3,$E$3, $J$3, , $G$3, $H$3)+_xll.ciqfunctions.udf.CIQ($B16,"IQ_TOTAL_BANK_CAPITAL","IQ_" &amp; LEFT(QN$3,2) &amp; "-1", QN$3, $J$3, , $G$3, $H$3))),"")</f>
        <v/>
      </c>
      <c r="QO16" s="72" t="str">
        <f>IFERROR(IF(OR($B16="",QO$3=""),"",_xll.ciqfunctions.udf.CIQ($B16,"IQ_NI",QO$3,$E$3, $J$3, , $G$3, $H$3)*2/(_xll.ciqfunctions.udf.CIQ($B16,"IQ_TOTAL_BANK_CAPITAL",QO$3,$E$3, $J$3, , $G$3, $H$3)+_xll.ciqfunctions.udf.CIQ($B16,"IQ_TOTAL_BANK_CAPITAL","IQ_" &amp; LEFT(QO$3,2) &amp; "-1", QO$3, $J$3, , $G$3, $H$3))),"")</f>
        <v/>
      </c>
      <c r="QP16" s="72" t="str">
        <f>IFERROR(IF(OR($B16="",QP$3=""),"",_xll.ciqfunctions.udf.CIQ($B16,"IQ_NI",QP$3,$E$3, $J$3, , $G$3, $H$3)*2/(_xll.ciqfunctions.udf.CIQ($B16,"IQ_TOTAL_BANK_CAPITAL",QP$3,$E$3, $J$3, , $G$3, $H$3)+_xll.ciqfunctions.udf.CIQ($B16,"IQ_TOTAL_BANK_CAPITAL","IQ_" &amp; LEFT(QP$3,2) &amp; "-1", QP$3, $J$3, , $G$3, $H$3))),"")</f>
        <v/>
      </c>
      <c r="QQ16" s="72" t="str">
        <f>IFERROR(IF(OR($B16="",QQ$3=""),"",_xll.ciqfunctions.udf.CIQ($B16,"IQ_NI",QQ$3,$E$3, $J$3, , $G$3, $H$3)*2/(_xll.ciqfunctions.udf.CIQ($B16,"IQ_TOTAL_BANK_CAPITAL",QQ$3,$E$3, $J$3, , $G$3, $H$3)+_xll.ciqfunctions.udf.CIQ($B16,"IQ_TOTAL_BANK_CAPITAL","IQ_" &amp; LEFT(QQ$3,2) &amp; "-1", QQ$3, $J$3, , $G$3, $H$3))),"")</f>
        <v/>
      </c>
      <c r="QR16" s="72" t="str">
        <f>IFERROR(IF(OR($B16="",QR$3=""),"",_xll.ciqfunctions.udf.CIQ($B16,"IQ_NI",QR$3,$E$3, $J$3, , $G$3, $H$3)*2/(_xll.ciqfunctions.udf.CIQ($B16,"IQ_TOTAL_BANK_CAPITAL",QR$3,$E$3, $J$3, , $G$3, $H$3)+_xll.ciqfunctions.udf.CIQ($B16,"IQ_TOTAL_BANK_CAPITAL","IQ_" &amp; LEFT(QR$3,2) &amp; "-1", QR$3, $J$3, , $G$3, $H$3))),"")</f>
        <v/>
      </c>
      <c r="QS16" s="72" t="str">
        <f>IFERROR(IF(OR($B16="",QS$3=""),"",_xll.ciqfunctions.udf.CIQ($B16,"IQ_NI",QS$3,$E$3, $J$3, , $G$3, $H$3)*2/(_xll.ciqfunctions.udf.CIQ($B16,"IQ_TOTAL_BANK_CAPITAL",QS$3,$E$3, $J$3, , $G$3, $H$3)+_xll.ciqfunctions.udf.CIQ($B16,"IQ_TOTAL_BANK_CAPITAL","IQ_" &amp; LEFT(QS$3,2) &amp; "-1", QS$3, $J$3, , $G$3, $H$3))),"")</f>
        <v/>
      </c>
      <c r="QT16" s="72" t="str">
        <f>IFERROR(IF(OR($B16="",QT$3=""),"",_xll.ciqfunctions.udf.CIQ($B16,"IQ_NI",QT$3,$E$3, $J$3, , $G$3, $H$3)*2/(_xll.ciqfunctions.udf.CIQ($B16,"IQ_TOTAL_BANK_CAPITAL",QT$3,$E$3, $J$3, , $G$3, $H$3)+_xll.ciqfunctions.udf.CIQ($B16,"IQ_TOTAL_BANK_CAPITAL","IQ_" &amp; LEFT(QT$3,2) &amp; "-1", QT$3, $J$3, , $G$3, $H$3))),"")</f>
        <v/>
      </c>
      <c r="QU16" s="72" t="str">
        <f>IFERROR(IF(OR($B16="",QU$3=""),"",_xll.ciqfunctions.udf.CIQ($B16,"IQ_NI",QU$3,$E$3, $J$3, , $G$3, $H$3)*2/(_xll.ciqfunctions.udf.CIQ($B16,"IQ_TOTAL_BANK_CAPITAL",QU$3,$E$3, $J$3, , $G$3, $H$3)+_xll.ciqfunctions.udf.CIQ($B16,"IQ_TOTAL_BANK_CAPITAL","IQ_" &amp; LEFT(QU$3,2) &amp; "-1", QU$3, $J$3, , $G$3, $H$3))),"")</f>
        <v/>
      </c>
      <c r="QV16" s="72" t="str">
        <f>IFERROR(IF(OR($B16="",QV$3=""),"",_xll.ciqfunctions.udf.CIQ($B16,"IQ_NI",QV$3,$E$3, $J$3, , $G$3, $H$3)*2/(_xll.ciqfunctions.udf.CIQ($B16,"IQ_TOTAL_BANK_CAPITAL",QV$3,$E$3, $J$3, , $G$3, $H$3)+_xll.ciqfunctions.udf.CIQ($B16,"IQ_TOTAL_BANK_CAPITAL","IQ_" &amp; LEFT(QV$3,2) &amp; "-1", QV$3, $J$3, , $G$3, $H$3))),"")</f>
        <v/>
      </c>
      <c r="QW16" s="72" t="str">
        <f>IFERROR(IF(OR($B16="",QW$3=""),"",_xll.ciqfunctions.udf.CIQ($B16,"IQ_NI",QW$3,$E$3, $J$3, , $G$3, $H$3)*2/(_xll.ciqfunctions.udf.CIQ($B16,"IQ_TOTAL_BANK_CAPITAL",QW$3,$E$3, $J$3, , $G$3, $H$3)+_xll.ciqfunctions.udf.CIQ($B16,"IQ_TOTAL_BANK_CAPITAL","IQ_" &amp; LEFT(QW$3,2) &amp; "-1", QW$3, $J$3, , $G$3, $H$3))),"")</f>
        <v/>
      </c>
      <c r="QX16" s="72" t="str">
        <f>IFERROR(IF(OR($B16="",QX$3=""),"",_xll.ciqfunctions.udf.CIQ($B16,"IQ_NI",QX$3,$E$3, $J$3, , $G$3, $H$3)*2/(_xll.ciqfunctions.udf.CIQ($B16,"IQ_TOTAL_BANK_CAPITAL",QX$3,$E$3, $J$3, , $G$3, $H$3)+_xll.ciqfunctions.udf.CIQ($B16,"IQ_TOTAL_BANK_CAPITAL","IQ_" &amp; LEFT(QX$3,2) &amp; "-1", QX$3, $J$3, , $G$3, $H$3))),"")</f>
        <v/>
      </c>
      <c r="QY16" s="72" t="str">
        <f>IFERROR(IF(OR($B16="",QY$3=""),"",_xll.ciqfunctions.udf.CIQ($B16,"IQ_NI",QY$3,$E$3, $J$3, , $G$3, $H$3)*2/(_xll.ciqfunctions.udf.CIQ($B16,"IQ_TOTAL_BANK_CAPITAL",QY$3,$E$3, $J$3, , $G$3, $H$3)+_xll.ciqfunctions.udf.CIQ($B16,"IQ_TOTAL_BANK_CAPITAL","IQ_" &amp; LEFT(QY$3,2) &amp; "-1", QY$3, $J$3, , $G$3, $H$3))),"")</f>
        <v/>
      </c>
      <c r="QZ16" s="72" t="str">
        <f>IFERROR(IF(OR($B16="",QZ$3=""),"",_xll.ciqfunctions.udf.CIQ($B16,"IQ_NI",QZ$3,$E$3, $J$3, , $G$3, $H$3)*2/(_xll.ciqfunctions.udf.CIQ($B16,"IQ_TOTAL_BANK_CAPITAL",QZ$3,$E$3, $J$3, , $G$3, $H$3)+_xll.ciqfunctions.udf.CIQ($B16,"IQ_TOTAL_BANK_CAPITAL","IQ_" &amp; LEFT(QZ$3,2) &amp; "-1", QZ$3, $J$3, , $G$3, $H$3))),"")</f>
        <v/>
      </c>
      <c r="RA16" s="72" t="str">
        <f>IFERROR(IF(OR($B16="",RA$3=""),"",_xll.ciqfunctions.udf.CIQ($B16,"IQ_NI",RA$3,$E$3, $J$3, , $G$3, $H$3)*2/(_xll.ciqfunctions.udf.CIQ($B16,"IQ_TOTAL_BANK_CAPITAL",RA$3,$E$3, $J$3, , $G$3, $H$3)+_xll.ciqfunctions.udf.CIQ($B16,"IQ_TOTAL_BANK_CAPITAL","IQ_" &amp; LEFT(RA$3,2) &amp; "-1", RA$3, $J$3, , $G$3, $H$3))),"")</f>
        <v/>
      </c>
      <c r="RB16" s="72" t="str">
        <f>IFERROR(IF(OR($B16="",RB$3=""),"",_xll.ciqfunctions.udf.CIQ($B16,"IQ_NI",RB$3,$E$3, $J$3, , $G$3, $H$3)*2/(_xll.ciqfunctions.udf.CIQ($B16,"IQ_TOTAL_BANK_CAPITAL",RB$3,$E$3, $J$3, , $G$3, $H$3)+_xll.ciqfunctions.udf.CIQ($B16,"IQ_TOTAL_BANK_CAPITAL","IQ_" &amp; LEFT(RB$3,2) &amp; "-1", RB$3, $J$3, , $G$3, $H$3))),"")</f>
        <v/>
      </c>
      <c r="RC16" s="628" t="str">
        <f>IFERROR(IF(OR($B16="",RC$4=""),"",(IFERROR(_xll.ciqfunctions.udf.CIQ($B16,"IQ_MARKETCAP",RC$4),0)+IFERROR(_xll.ciqfunctions.udf.CIQ($B16,"IQ_TOTAL_DEBT",RC$3),0)+IFERROR(_xll.ciqfunctions.udf.CIQ($B16,"IQ_PREF_EQUITY",RC$3),0)+IFERROR(_xll.ciqfunctions.udf.CIQ($B16,"IQ_MINORITY_INTEREST",RC$3),0)-IFERROR(_xll.ciqfunctions.udf.CIQ($B16,"IQ_ST_INVEST",RC$3),0)-IFERROR(_xll.ciqfunctions.udf.CIQ($B16,"IQ_cash_equiv",RC$3),0))/_xll.ciqfunctions.udf.CIQ($B16,"IQ_TOTAL_BANK_CAPITAL",QI$3,$E$3,$J$3,,$G$3,$H$3)),"")</f>
        <v/>
      </c>
      <c r="RD16" s="628" t="str">
        <f>IFERROR(IF(OR($B16="",RD$4=""),"",(IFERROR(_xll.ciqfunctions.udf.CIQ($B16,"IQ_MARKETCAP",RD$4),0)+IFERROR(_xll.ciqfunctions.udf.CIQ($B16,"IQ_TOTAL_DEBT",RD$3),0)+IFERROR(_xll.ciqfunctions.udf.CIQ($B16,"IQ_PREF_EQUITY",RD$3),0)+IFERROR(_xll.ciqfunctions.udf.CIQ($B16,"IQ_MINORITY_INTEREST",RD$3),0)-IFERROR(_xll.ciqfunctions.udf.CIQ($B16,"IQ_ST_INVEST",RD$3),0)-IFERROR(_xll.ciqfunctions.udf.CIQ($B16,"IQ_cash_equiv",RD$3),0))/_xll.ciqfunctions.udf.CIQ($B16,"IQ_TOTAL_BANK_CAPITAL",QJ$3,$E$3,$J$3,,$G$3,$H$3)),"")</f>
        <v/>
      </c>
      <c r="RE16" s="628" t="str">
        <f>IFERROR(IF(OR($B16="",RE$4=""),"",(IFERROR(_xll.ciqfunctions.udf.CIQ($B16,"IQ_MARKETCAP",RE$4),0)+IFERROR(_xll.ciqfunctions.udf.CIQ($B16,"IQ_TOTAL_DEBT",RE$3),0)+IFERROR(_xll.ciqfunctions.udf.CIQ($B16,"IQ_PREF_EQUITY",RE$3),0)+IFERROR(_xll.ciqfunctions.udf.CIQ($B16,"IQ_MINORITY_INTEREST",RE$3),0)-IFERROR(_xll.ciqfunctions.udf.CIQ($B16,"IQ_ST_INVEST",RE$3),0)-IFERROR(_xll.ciqfunctions.udf.CIQ($B16,"IQ_cash_equiv",RE$3),0))/_xll.ciqfunctions.udf.CIQ($B16,"IQ_TOTAL_BANK_CAPITAL",QK$3,$E$3,$J$3,,$G$3,$H$3)),"")</f>
        <v/>
      </c>
      <c r="RF16" s="628" t="str">
        <f>IFERROR(IF(OR($B16="",RF$4=""),"",(IFERROR(_xll.ciqfunctions.udf.CIQ($B16,"IQ_MARKETCAP",RF$4),0)+IFERROR(_xll.ciqfunctions.udf.CIQ($B16,"IQ_TOTAL_DEBT",RF$3),0)+IFERROR(_xll.ciqfunctions.udf.CIQ($B16,"IQ_PREF_EQUITY",RF$3),0)+IFERROR(_xll.ciqfunctions.udf.CIQ($B16,"IQ_MINORITY_INTEREST",RF$3),0)-IFERROR(_xll.ciqfunctions.udf.CIQ($B16,"IQ_ST_INVEST",RF$3),0)-IFERROR(_xll.ciqfunctions.udf.CIQ($B16,"IQ_cash_equiv",RF$3),0))/_xll.ciqfunctions.udf.CIQ($B16,"IQ_TOTAL_BANK_CAPITAL",QL$3,$E$3,$J$3,,$G$3,$H$3)),"")</f>
        <v/>
      </c>
      <c r="RG16" s="628" t="str">
        <f>IFERROR(IF(OR($B16="",RG$4=""),"",(IFERROR(_xll.ciqfunctions.udf.CIQ($B16,"IQ_MARKETCAP",RG$4),0)+IFERROR(_xll.ciqfunctions.udf.CIQ($B16,"IQ_TOTAL_DEBT",RG$3),0)+IFERROR(_xll.ciqfunctions.udf.CIQ($B16,"IQ_PREF_EQUITY",RG$3),0)+IFERROR(_xll.ciqfunctions.udf.CIQ($B16,"IQ_MINORITY_INTEREST",RG$3),0)-IFERROR(_xll.ciqfunctions.udf.CIQ($B16,"IQ_ST_INVEST",RG$3),0)-IFERROR(_xll.ciqfunctions.udf.CIQ($B16,"IQ_cash_equiv",RG$3),0))/_xll.ciqfunctions.udf.CIQ($B16,"IQ_TOTAL_BANK_CAPITAL",QM$3,$E$3,$J$3,,$G$3,$H$3)),"")</f>
        <v/>
      </c>
      <c r="RH16" s="628" t="str">
        <f>IFERROR(IF(OR($B16="",RH$4=""),"",(IFERROR(_xll.ciqfunctions.udf.CIQ($B16,"IQ_MARKETCAP",RH$4),0)+IFERROR(_xll.ciqfunctions.udf.CIQ($B16,"IQ_TOTAL_DEBT",RH$3),0)+IFERROR(_xll.ciqfunctions.udf.CIQ($B16,"IQ_PREF_EQUITY",RH$3),0)+IFERROR(_xll.ciqfunctions.udf.CIQ($B16,"IQ_MINORITY_INTEREST",RH$3),0)-IFERROR(_xll.ciqfunctions.udf.CIQ($B16,"IQ_ST_INVEST",RH$3),0)-IFERROR(_xll.ciqfunctions.udf.CIQ($B16,"IQ_cash_equiv",RH$3),0))/_xll.ciqfunctions.udf.CIQ($B16,"IQ_TOTAL_BANK_CAPITAL",QN$3,$E$3,$J$3,,$G$3,$H$3)),"")</f>
        <v/>
      </c>
      <c r="RI16" s="628" t="str">
        <f>IFERROR(IF(OR($B16="",RI$4=""),"",(IFERROR(_xll.ciqfunctions.udf.CIQ($B16,"IQ_MARKETCAP",RI$4),0)+IFERROR(_xll.ciqfunctions.udf.CIQ($B16,"IQ_TOTAL_DEBT",RI$3),0)+IFERROR(_xll.ciqfunctions.udf.CIQ($B16,"IQ_PREF_EQUITY",RI$3),0)+IFERROR(_xll.ciqfunctions.udf.CIQ($B16,"IQ_MINORITY_INTEREST",RI$3),0)-IFERROR(_xll.ciqfunctions.udf.CIQ($B16,"IQ_ST_INVEST",RI$3),0)-IFERROR(_xll.ciqfunctions.udf.CIQ($B16,"IQ_cash_equiv",RI$3),0))/_xll.ciqfunctions.udf.CIQ($B16,"IQ_TOTAL_BANK_CAPITAL",QO$3,$E$3,$J$3,,$G$3,$H$3)),"")</f>
        <v/>
      </c>
      <c r="RJ16" s="628" t="str">
        <f>IFERROR(IF(OR($B16="",RJ$4=""),"",(IFERROR(_xll.ciqfunctions.udf.CIQ($B16,"IQ_MARKETCAP",RJ$4),0)+IFERROR(_xll.ciqfunctions.udf.CIQ($B16,"IQ_TOTAL_DEBT",RJ$3),0)+IFERROR(_xll.ciqfunctions.udf.CIQ($B16,"IQ_PREF_EQUITY",RJ$3),0)+IFERROR(_xll.ciqfunctions.udf.CIQ($B16,"IQ_MINORITY_INTEREST",RJ$3),0)-IFERROR(_xll.ciqfunctions.udf.CIQ($B16,"IQ_ST_INVEST",RJ$3),0)-IFERROR(_xll.ciqfunctions.udf.CIQ($B16,"IQ_cash_equiv",RJ$3),0))/_xll.ciqfunctions.udf.CIQ($B16,"IQ_TOTAL_BANK_CAPITAL",QP$3,$E$3,$J$3,,$G$3,$H$3)),"")</f>
        <v/>
      </c>
      <c r="RK16" s="628" t="str">
        <f>IFERROR(IF(OR($B16="",RK$4=""),"",(IFERROR(_xll.ciqfunctions.udf.CIQ($B16,"IQ_MARKETCAP",RK$4),0)+IFERROR(_xll.ciqfunctions.udf.CIQ($B16,"IQ_TOTAL_DEBT",RK$3),0)+IFERROR(_xll.ciqfunctions.udf.CIQ($B16,"IQ_PREF_EQUITY",RK$3),0)+IFERROR(_xll.ciqfunctions.udf.CIQ($B16,"IQ_MINORITY_INTEREST",RK$3),0)-IFERROR(_xll.ciqfunctions.udf.CIQ($B16,"IQ_ST_INVEST",RK$3),0)-IFERROR(_xll.ciqfunctions.udf.CIQ($B16,"IQ_cash_equiv",RK$3),0))/_xll.ciqfunctions.udf.CIQ($B16,"IQ_TOTAL_BANK_CAPITAL",QQ$3,$E$3,$J$3,,$G$3,$H$3)),"")</f>
        <v/>
      </c>
      <c r="RL16" s="628" t="str">
        <f>IFERROR(IF(OR($B16="",RL$4=""),"",(IFERROR(_xll.ciqfunctions.udf.CIQ($B16,"IQ_MARKETCAP",RL$4),0)+IFERROR(_xll.ciqfunctions.udf.CIQ($B16,"IQ_TOTAL_DEBT",RL$3),0)+IFERROR(_xll.ciqfunctions.udf.CIQ($B16,"IQ_PREF_EQUITY",RL$3),0)+IFERROR(_xll.ciqfunctions.udf.CIQ($B16,"IQ_MINORITY_INTEREST",RL$3),0)-IFERROR(_xll.ciqfunctions.udf.CIQ($B16,"IQ_ST_INVEST",RL$3),0)-IFERROR(_xll.ciqfunctions.udf.CIQ($B16,"IQ_cash_equiv",RL$3),0))/_xll.ciqfunctions.udf.CIQ($B16,"IQ_TOTAL_BANK_CAPITAL",QR$3,$E$3,$J$3,,$G$3,$H$3)),"")</f>
        <v/>
      </c>
      <c r="RM16" s="628" t="str">
        <f>IFERROR(IF(OR($B16="",RM$4=""),"",(IFERROR(_xll.ciqfunctions.udf.CIQ($B16,"IQ_MARKETCAP",RM$4),0)+IFERROR(_xll.ciqfunctions.udf.CIQ($B16,"IQ_TOTAL_DEBT",RM$3),0)+IFERROR(_xll.ciqfunctions.udf.CIQ($B16,"IQ_PREF_EQUITY",RM$3),0)+IFERROR(_xll.ciqfunctions.udf.CIQ($B16,"IQ_MINORITY_INTEREST",RM$3),0)-IFERROR(_xll.ciqfunctions.udf.CIQ($B16,"IQ_ST_INVEST",RM$3),0)-IFERROR(_xll.ciqfunctions.udf.CIQ($B16,"IQ_cash_equiv",RM$3),0))/_xll.ciqfunctions.udf.CIQ($B16,"IQ_TOTAL_BANK_CAPITAL",QS$3,$E$3,$J$3,,$G$3,$H$3)),"")</f>
        <v/>
      </c>
      <c r="RN16" s="628" t="str">
        <f>IFERROR(IF(OR($B16="",RN$4=""),"",(IFERROR(_xll.ciqfunctions.udf.CIQ($B16,"IQ_MARKETCAP",RN$4),0)+IFERROR(_xll.ciqfunctions.udf.CIQ($B16,"IQ_TOTAL_DEBT",RN$3),0)+IFERROR(_xll.ciqfunctions.udf.CIQ($B16,"IQ_PREF_EQUITY",RN$3),0)+IFERROR(_xll.ciqfunctions.udf.CIQ($B16,"IQ_MINORITY_INTEREST",RN$3),0)-IFERROR(_xll.ciqfunctions.udf.CIQ($B16,"IQ_ST_INVEST",RN$3),0)-IFERROR(_xll.ciqfunctions.udf.CIQ($B16,"IQ_cash_equiv",RN$3),0))/_xll.ciqfunctions.udf.CIQ($B16,"IQ_TOTAL_BANK_CAPITAL",QT$3,$E$3,$J$3,,$G$3,$H$3)),"")</f>
        <v/>
      </c>
      <c r="RO16" s="628" t="str">
        <f>IFERROR(IF(OR($B16="",RO$4=""),"",(IFERROR(_xll.ciqfunctions.udf.CIQ($B16,"IQ_MARKETCAP",RO$4),0)+IFERROR(_xll.ciqfunctions.udf.CIQ($B16,"IQ_TOTAL_DEBT",RO$3),0)+IFERROR(_xll.ciqfunctions.udf.CIQ($B16,"IQ_PREF_EQUITY",RO$3),0)+IFERROR(_xll.ciqfunctions.udf.CIQ($B16,"IQ_MINORITY_INTEREST",RO$3),0)-IFERROR(_xll.ciqfunctions.udf.CIQ($B16,"IQ_ST_INVEST",RO$3),0)-IFERROR(_xll.ciqfunctions.udf.CIQ($B16,"IQ_cash_equiv",RO$3),0))/_xll.ciqfunctions.udf.CIQ($B16,"IQ_TOTAL_BANK_CAPITAL",QU$3,$E$3,$J$3,,$G$3,$H$3)),"")</f>
        <v/>
      </c>
      <c r="RP16" s="628" t="str">
        <f>IFERROR(IF(OR($B16="",RP$4=""),"",(IFERROR(_xll.ciqfunctions.udf.CIQ($B16,"IQ_MARKETCAP",RP$4),0)+IFERROR(_xll.ciqfunctions.udf.CIQ($B16,"IQ_TOTAL_DEBT",RP$3),0)+IFERROR(_xll.ciqfunctions.udf.CIQ($B16,"IQ_PREF_EQUITY",RP$3),0)+IFERROR(_xll.ciqfunctions.udf.CIQ($B16,"IQ_MINORITY_INTEREST",RP$3),0)-IFERROR(_xll.ciqfunctions.udf.CIQ($B16,"IQ_ST_INVEST",RP$3),0)-IFERROR(_xll.ciqfunctions.udf.CIQ($B16,"IQ_cash_equiv",RP$3),0))/_xll.ciqfunctions.udf.CIQ($B16,"IQ_TOTAL_BANK_CAPITAL",QV$3,$E$3,$J$3,,$G$3,$H$3)),"")</f>
        <v/>
      </c>
      <c r="RQ16" s="628" t="str">
        <f>IFERROR(IF(OR($B16="",RQ$4=""),"",(IFERROR(_xll.ciqfunctions.udf.CIQ($B16,"IQ_MARKETCAP",RQ$4),0)+IFERROR(_xll.ciqfunctions.udf.CIQ($B16,"IQ_TOTAL_DEBT",RQ$3),0)+IFERROR(_xll.ciqfunctions.udf.CIQ($B16,"IQ_PREF_EQUITY",RQ$3),0)+IFERROR(_xll.ciqfunctions.udf.CIQ($B16,"IQ_MINORITY_INTEREST",RQ$3),0)-IFERROR(_xll.ciqfunctions.udf.CIQ($B16,"IQ_ST_INVEST",RQ$3),0)-IFERROR(_xll.ciqfunctions.udf.CIQ($B16,"IQ_cash_equiv",RQ$3),0))/_xll.ciqfunctions.udf.CIQ($B16,"IQ_TOTAL_BANK_CAPITAL",QW$3,$E$3,$J$3,,$G$3,$H$3)),"")</f>
        <v/>
      </c>
      <c r="RR16" s="628" t="str">
        <f>IFERROR(IF(OR($B16="",RR$4=""),"",(IFERROR(_xll.ciqfunctions.udf.CIQ($B16,"IQ_MARKETCAP",RR$4),0)+IFERROR(_xll.ciqfunctions.udf.CIQ($B16,"IQ_TOTAL_DEBT",RR$3),0)+IFERROR(_xll.ciqfunctions.udf.CIQ($B16,"IQ_PREF_EQUITY",RR$3),0)+IFERROR(_xll.ciqfunctions.udf.CIQ($B16,"IQ_MINORITY_INTEREST",RR$3),0)-IFERROR(_xll.ciqfunctions.udf.CIQ($B16,"IQ_ST_INVEST",RR$3),0)-IFERROR(_xll.ciqfunctions.udf.CIQ($B16,"IQ_cash_equiv",RR$3),0))/_xll.ciqfunctions.udf.CIQ($B16,"IQ_TOTAL_BANK_CAPITAL",QX$3,$E$3,$J$3,,$G$3,$H$3)),"")</f>
        <v/>
      </c>
      <c r="RS16" s="628" t="str">
        <f>IFERROR(IF(OR($B16="",RS$4=""),"",(IFERROR(_xll.ciqfunctions.udf.CIQ($B16,"IQ_MARKETCAP",RS$4),0)+IFERROR(_xll.ciqfunctions.udf.CIQ($B16,"IQ_TOTAL_DEBT",RS$3),0)+IFERROR(_xll.ciqfunctions.udf.CIQ($B16,"IQ_PREF_EQUITY",RS$3),0)+IFERROR(_xll.ciqfunctions.udf.CIQ($B16,"IQ_MINORITY_INTEREST",RS$3),0)-IFERROR(_xll.ciqfunctions.udf.CIQ($B16,"IQ_ST_INVEST",RS$3),0)-IFERROR(_xll.ciqfunctions.udf.CIQ($B16,"IQ_cash_equiv",RS$3),0))/_xll.ciqfunctions.udf.CIQ($B16,"IQ_TOTAL_BANK_CAPITAL",QY$3,$E$3,$J$3,,$G$3,$H$3)),"")</f>
        <v/>
      </c>
      <c r="RT16" s="628" t="str">
        <f>IFERROR(IF(OR($B16="",RT$4=""),"",(IFERROR(_xll.ciqfunctions.udf.CIQ($B16,"IQ_MARKETCAP",RT$4),0)+IFERROR(_xll.ciqfunctions.udf.CIQ($B16,"IQ_TOTAL_DEBT",RT$3),0)+IFERROR(_xll.ciqfunctions.udf.CIQ($B16,"IQ_PREF_EQUITY",RT$3),0)+IFERROR(_xll.ciqfunctions.udf.CIQ($B16,"IQ_MINORITY_INTEREST",RT$3),0)-IFERROR(_xll.ciqfunctions.udf.CIQ($B16,"IQ_ST_INVEST",RT$3),0)-IFERROR(_xll.ciqfunctions.udf.CIQ($B16,"IQ_cash_equiv",RT$3),0))/_xll.ciqfunctions.udf.CIQ($B16,"IQ_TOTAL_BANK_CAPITAL",QZ$3,$E$3,$J$3,,$G$3,$H$3)),"")</f>
        <v/>
      </c>
      <c r="RU16" s="628" t="str">
        <f>IFERROR(IF(OR($B16="",RU$4=""),"",(IFERROR(_xll.ciqfunctions.udf.CIQ($B16,"IQ_MARKETCAP",RU$4),0)+IFERROR(_xll.ciqfunctions.udf.CIQ($B16,"IQ_TOTAL_DEBT",RU$3),0)+IFERROR(_xll.ciqfunctions.udf.CIQ($B16,"IQ_PREF_EQUITY",RU$3),0)+IFERROR(_xll.ciqfunctions.udf.CIQ($B16,"IQ_MINORITY_INTEREST",RU$3),0)-IFERROR(_xll.ciqfunctions.udf.CIQ($B16,"IQ_ST_INVEST",RU$3),0)-IFERROR(_xll.ciqfunctions.udf.CIQ($B16,"IQ_cash_equiv",RU$3),0))/_xll.ciqfunctions.udf.CIQ($B16,"IQ_TOTAL_BANK_CAPITAL",RA$3,$E$3,$J$3,,$G$3,$H$3)),"")</f>
        <v/>
      </c>
      <c r="RV16" s="628" t="str">
        <f>IFERROR(IF(OR($B16="",RV$4=""),"",(IFERROR(_xll.ciqfunctions.udf.CIQ($B16,"IQ_MARKETCAP",RV$4),0)+IFERROR(_xll.ciqfunctions.udf.CIQ($B16,"IQ_TOTAL_DEBT",RV$3),0)+IFERROR(_xll.ciqfunctions.udf.CIQ($B16,"IQ_PREF_EQUITY",RV$3),0)+IFERROR(_xll.ciqfunctions.udf.CIQ($B16,"IQ_MINORITY_INTEREST",RV$3),0)-IFERROR(_xll.ciqfunctions.udf.CIQ($B16,"IQ_ST_INVEST",RV$3),0)-IFERROR(_xll.ciqfunctions.udf.CIQ($B16,"IQ_cash_equiv",RV$3),0))/_xll.ciqfunctions.udf.CIQ($B16,"IQ_TOTAL_BANK_CAPITAL",RB$3,$E$3,$J$3,,$G$3,$H$3)),"")</f>
        <v/>
      </c>
      <c r="RW16" s="72" t="str">
        <f t="shared" si="331"/>
        <v>0</v>
      </c>
      <c r="RX16" s="72" t="str">
        <f t="shared" si="332"/>
        <v/>
      </c>
      <c r="RY16" s="72" t="str">
        <f t="shared" si="333"/>
        <v/>
      </c>
      <c r="RZ16" s="72" t="str">
        <f t="shared" si="334"/>
        <v/>
      </c>
      <c r="SA16" s="72" t="str">
        <f t="shared" si="335"/>
        <v/>
      </c>
      <c r="SB16" s="72" t="str">
        <f t="shared" si="336"/>
        <v/>
      </c>
      <c r="SC16" s="72" t="str">
        <f t="shared" si="337"/>
        <v/>
      </c>
      <c r="SD16" s="72" t="str">
        <f t="shared" si="338"/>
        <v/>
      </c>
      <c r="SE16" s="72" t="str">
        <f t="shared" si="339"/>
        <v/>
      </c>
      <c r="SF16" s="72" t="str">
        <f t="shared" si="340"/>
        <v/>
      </c>
      <c r="SG16" s="72" t="str">
        <f t="shared" si="341"/>
        <v/>
      </c>
      <c r="SH16" s="72" t="str">
        <f t="shared" si="342"/>
        <v/>
      </c>
      <c r="SI16" s="72" t="str">
        <f t="shared" si="343"/>
        <v/>
      </c>
      <c r="SJ16" s="72" t="str">
        <f t="shared" si="344"/>
        <v/>
      </c>
      <c r="SK16" s="72" t="str">
        <f t="shared" si="345"/>
        <v/>
      </c>
      <c r="SL16" s="72" t="str">
        <f t="shared" si="346"/>
        <v/>
      </c>
      <c r="SM16" s="72" t="str">
        <f t="shared" si="347"/>
        <v/>
      </c>
      <c r="SN16" s="72" t="str">
        <f t="shared" si="348"/>
        <v/>
      </c>
      <c r="SO16" s="72" t="str">
        <f t="shared" si="349"/>
        <v/>
      </c>
      <c r="SP16" s="72" t="str">
        <f t="shared" si="350"/>
        <v/>
      </c>
      <c r="SQ16" s="72" t="str">
        <f>IFERROR(IF(OR($B16="",SQ$3=""),"",_xll.ciqfunctions.udf.CIQ($B16,"IQ_TOTAL_DEPOSITS",SQ$3,$E$3, $J$3, , $G$3, $H$3)/_xll.ciqfunctions.udf.CIQ($B16,"IQ_TOTAL_ASSETS",SQ$3,$E$3, $J$3, , $G$3, $H$3)),"")</f>
        <v/>
      </c>
      <c r="SR16" s="72" t="str">
        <f>IFERROR(IF(OR($B16="",SR$3=""),"",_xll.ciqfunctions.udf.CIQ($B16,"IQ_TOTAL_DEPOSITS",SR$3,$E$3, $J$3, , $G$3, $H$3)/_xll.ciqfunctions.udf.CIQ($B16,"IQ_TOTAL_ASSETS",SR$3,$E$3, $J$3, , $G$3, $H$3)),"")</f>
        <v/>
      </c>
      <c r="SS16" s="72" t="str">
        <f>IFERROR(IF(OR($B16="",SS$3=""),"",_xll.ciqfunctions.udf.CIQ($B16,"IQ_TOTAL_DEPOSITS",SS$3,$E$3, $J$3, , $G$3, $H$3)/_xll.ciqfunctions.udf.CIQ($B16,"IQ_TOTAL_ASSETS",SS$3,$E$3, $J$3, , $G$3, $H$3)),"")</f>
        <v/>
      </c>
      <c r="ST16" s="72" t="str">
        <f>IFERROR(IF(OR($B16="",ST$3=""),"",_xll.ciqfunctions.udf.CIQ($B16,"IQ_TOTAL_DEPOSITS",ST$3,$E$3, $J$3, , $G$3, $H$3)/_xll.ciqfunctions.udf.CIQ($B16,"IQ_TOTAL_ASSETS",ST$3,$E$3, $J$3, , $G$3, $H$3)),"")</f>
        <v/>
      </c>
      <c r="SU16" s="72" t="str">
        <f>IFERROR(IF(OR($B16="",SU$3=""),"",_xll.ciqfunctions.udf.CIQ($B16,"IQ_TOTAL_DEPOSITS",SU$3,$E$3, $J$3, , $G$3, $H$3)/_xll.ciqfunctions.udf.CIQ($B16,"IQ_TOTAL_ASSETS",SU$3,$E$3, $J$3, , $G$3, $H$3)),"")</f>
        <v/>
      </c>
      <c r="SV16" s="72" t="str">
        <f>IFERROR(IF(OR($B16="",SV$3=""),"",_xll.ciqfunctions.udf.CIQ($B16,"IQ_TOTAL_DEPOSITS",SV$3,$E$3, $J$3, , $G$3, $H$3)/_xll.ciqfunctions.udf.CIQ($B16,"IQ_TOTAL_ASSETS",SV$3,$E$3, $J$3, , $G$3, $H$3)),"")</f>
        <v/>
      </c>
      <c r="SW16" s="72" t="str">
        <f>IFERROR(IF(OR($B16="",SW$3=""),"",_xll.ciqfunctions.udf.CIQ($B16,"IQ_TOTAL_DEPOSITS",SW$3,$E$3, $J$3, , $G$3, $H$3)/_xll.ciqfunctions.udf.CIQ($B16,"IQ_TOTAL_ASSETS",SW$3,$E$3, $J$3, , $G$3, $H$3)),"")</f>
        <v/>
      </c>
      <c r="SX16" s="72" t="str">
        <f>IFERROR(IF(OR($B16="",SX$3=""),"",_xll.ciqfunctions.udf.CIQ($B16,"IQ_TOTAL_DEPOSITS",SX$3,$E$3, $J$3, , $G$3, $H$3)/_xll.ciqfunctions.udf.CIQ($B16,"IQ_TOTAL_ASSETS",SX$3,$E$3, $J$3, , $G$3, $H$3)),"")</f>
        <v/>
      </c>
      <c r="SY16" s="72" t="str">
        <f>IFERROR(IF(OR($B16="",SY$3=""),"",_xll.ciqfunctions.udf.CIQ($B16,"IQ_TOTAL_DEPOSITS",SY$3,$E$3, $J$3, , $G$3, $H$3)/_xll.ciqfunctions.udf.CIQ($B16,"IQ_TOTAL_ASSETS",SY$3,$E$3, $J$3, , $G$3, $H$3)),"")</f>
        <v/>
      </c>
      <c r="SZ16" s="72" t="str">
        <f>IFERROR(IF(OR($B16="",SZ$3=""),"",_xll.ciqfunctions.udf.CIQ($B16,"IQ_TOTAL_DEPOSITS",SZ$3,$E$3, $J$3, , $G$3, $H$3)/_xll.ciqfunctions.udf.CIQ($B16,"IQ_TOTAL_ASSETS",SZ$3,$E$3, $J$3, , $G$3, $H$3)),"")</f>
        <v/>
      </c>
      <c r="TA16" s="72" t="str">
        <f>IFERROR(IF(OR($B16="",TA$3=""),"",_xll.ciqfunctions.udf.CIQ($B16,"IQ_TOTAL_DEPOSITS",TA$3,$E$3, $J$3, , $G$3, $H$3)/_xll.ciqfunctions.udf.CIQ($B16,"IQ_TOTAL_ASSETS",TA$3,$E$3, $J$3, , $G$3, $H$3)),"")</f>
        <v/>
      </c>
      <c r="TB16" s="72" t="str">
        <f>IFERROR(IF(OR($B16="",TB$3=""),"",_xll.ciqfunctions.udf.CIQ($B16,"IQ_TOTAL_DEPOSITS",TB$3,$E$3, $J$3, , $G$3, $H$3)/_xll.ciqfunctions.udf.CIQ($B16,"IQ_TOTAL_ASSETS",TB$3,$E$3, $J$3, , $G$3, $H$3)),"")</f>
        <v/>
      </c>
      <c r="TC16" s="72" t="str">
        <f>IFERROR(IF(OR($B16="",TC$3=""),"",_xll.ciqfunctions.udf.CIQ($B16,"IQ_TOTAL_DEPOSITS",TC$3,$E$3, $J$3, , $G$3, $H$3)/_xll.ciqfunctions.udf.CIQ($B16,"IQ_TOTAL_ASSETS",TC$3,$E$3, $J$3, , $G$3, $H$3)),"")</f>
        <v/>
      </c>
      <c r="TD16" s="72" t="str">
        <f>IFERROR(IF(OR($B16="",TD$3=""),"",_xll.ciqfunctions.udf.CIQ($B16,"IQ_TOTAL_DEPOSITS",TD$3,$E$3, $J$3, , $G$3, $H$3)/_xll.ciqfunctions.udf.CIQ($B16,"IQ_TOTAL_ASSETS",TD$3,$E$3, $J$3, , $G$3, $H$3)),"")</f>
        <v/>
      </c>
      <c r="TE16" s="72" t="str">
        <f>IFERROR(IF(OR($B16="",TE$3=""),"",_xll.ciqfunctions.udf.CIQ($B16,"IQ_TOTAL_DEPOSITS",TE$3,$E$3, $J$3, , $G$3, $H$3)/_xll.ciqfunctions.udf.CIQ($B16,"IQ_TOTAL_ASSETS",TE$3,$E$3, $J$3, , $G$3, $H$3)),"")</f>
        <v/>
      </c>
      <c r="TF16" s="72" t="str">
        <f>IFERROR(IF(OR($B16="",TF$3=""),"",_xll.ciqfunctions.udf.CIQ($B16,"IQ_TOTAL_DEPOSITS",TF$3,$E$3, $J$3, , $G$3, $H$3)/_xll.ciqfunctions.udf.CIQ($B16,"IQ_TOTAL_ASSETS",TF$3,$E$3, $J$3, , $G$3, $H$3)),"")</f>
        <v/>
      </c>
      <c r="TG16" s="72" t="str">
        <f>IFERROR(IF(OR($B16="",TG$3=""),"",_xll.ciqfunctions.udf.CIQ($B16,"IQ_TOTAL_DEPOSITS",TG$3,$E$3, $J$3, , $G$3, $H$3)/_xll.ciqfunctions.udf.CIQ($B16,"IQ_TOTAL_ASSETS",TG$3,$E$3, $J$3, , $G$3, $H$3)),"")</f>
        <v/>
      </c>
      <c r="TH16" s="72" t="str">
        <f>IFERROR(IF(OR($B16="",TH$3=""),"",_xll.ciqfunctions.udf.CIQ($B16,"IQ_TOTAL_DEPOSITS",TH$3,$E$3, $J$3, , $G$3, $H$3)/_xll.ciqfunctions.udf.CIQ($B16,"IQ_TOTAL_ASSETS",TH$3,$E$3, $J$3, , $G$3, $H$3)),"")</f>
        <v/>
      </c>
      <c r="TI16" s="72" t="str">
        <f>IFERROR(IF(OR($B16="",TI$3=""),"",_xll.ciqfunctions.udf.CIQ($B16,"IQ_TOTAL_DEPOSITS",TI$3,$E$3, $J$3, , $G$3, $H$3)/_xll.ciqfunctions.udf.CIQ($B16,"IQ_TOTAL_ASSETS",TI$3,$E$3, $J$3, , $G$3, $H$3)),"")</f>
        <v/>
      </c>
      <c r="TJ16" s="72" t="str">
        <f>IFERROR(IF(OR($B16="",TJ$3=""),"",_xll.ciqfunctions.udf.CIQ($B16,"IQ_TOTAL_DEPOSITS",TJ$3,$E$3, $J$3, , $G$3, $H$3)/_xll.ciqfunctions.udf.CIQ($B16,"IQ_TOTAL_ASSETS",TJ$3,$E$3, $J$3, , $G$3, $H$3)),"")</f>
        <v/>
      </c>
      <c r="TK16" s="72" t="str">
        <f>IFERROR(IF(OR($B16="",TK$3="",TK$4=""),"",(_xll.ciqfunctions.udf.CIQ($B16,"IQ_TOTAL_BANK_CAPITAL",TK$3,$E$3, $J$3, , $G$3, $H$3)/_xll.ciqfunctions.udf.CIQ($B16,"IQ_TOTAL_BANK_CAPITAL",TK$4,$E$3, $J$3, , $G$3, $H$3))-1),"")</f>
        <v/>
      </c>
      <c r="TL16" s="72" t="str">
        <f>IFERROR(IF(OR($B16="",TL$3="",TL$4=""),"",(_xll.ciqfunctions.udf.CIQ($B16,"IQ_TOTAL_BANK_CAPITAL",TL$3,$E$3, $J$3, , $G$3, $H$3)/_xll.ciqfunctions.udf.CIQ($B16,"IQ_TOTAL_BANK_CAPITAL",TL$4,$E$3, $J$3, , $G$3, $H$3))-1),"")</f>
        <v/>
      </c>
      <c r="TM16" s="72" t="str">
        <f>IFERROR(IF(OR($B16="",TM$3="",TM$4=""),"",(_xll.ciqfunctions.udf.CIQ($B16,"IQ_TOTAL_BANK_CAPITAL",TM$3,$E$3, $J$3, , $G$3, $H$3)/_xll.ciqfunctions.udf.CIQ($B16,"IQ_TOTAL_BANK_CAPITAL",TM$4,$E$3, $J$3, , $G$3, $H$3))-1),"")</f>
        <v/>
      </c>
      <c r="TN16" s="72" t="str">
        <f>IFERROR(IF(OR($B16="",TN$3="",TN$4=""),"",(_xll.ciqfunctions.udf.CIQ($B16,"IQ_TOTAL_BANK_CAPITAL",TN$3,$E$3, $J$3, , $G$3, $H$3)/_xll.ciqfunctions.udf.CIQ($B16,"IQ_TOTAL_BANK_CAPITAL",TN$4,$E$3, $J$3, , $G$3, $H$3))-1),"")</f>
        <v/>
      </c>
      <c r="TO16" s="72" t="str">
        <f>IFERROR(IF(OR($B16="",TO$3="",TO$4=""),"",(_xll.ciqfunctions.udf.CIQ($B16,"IQ_TOTAL_BANK_CAPITAL",TO$3,$E$3, $J$3, , $G$3, $H$3)/_xll.ciqfunctions.udf.CIQ($B16,"IQ_TOTAL_BANK_CAPITAL",TO$4,$E$3, $J$3, , $G$3, $H$3))-1),"")</f>
        <v/>
      </c>
      <c r="TP16" s="72" t="str">
        <f>IFERROR(IF(OR($B16="",TP$3="",TP$4=""),"",(_xll.ciqfunctions.udf.CIQ($B16,"IQ_TOTAL_BANK_CAPITAL",TP$3,$E$3, $J$3, , $G$3, $H$3)/_xll.ciqfunctions.udf.CIQ($B16,"IQ_TOTAL_BANK_CAPITAL",TP$4,$E$3, $J$3, , $G$3, $H$3))-1),"")</f>
        <v/>
      </c>
      <c r="TQ16" s="72" t="str">
        <f>IFERROR(IF(OR($B16="",TQ$3="",TQ$4=""),"",(_xll.ciqfunctions.udf.CIQ($B16,"IQ_TOTAL_BANK_CAPITAL",TQ$3,$E$3, $J$3, , $G$3, $H$3)/_xll.ciqfunctions.udf.CIQ($B16,"IQ_TOTAL_BANK_CAPITAL",TQ$4,$E$3, $J$3, , $G$3, $H$3))-1),"")</f>
        <v/>
      </c>
      <c r="TR16" s="72" t="str">
        <f>IFERROR(IF(OR($B16="",TR$3="",TR$4=""),"",(_xll.ciqfunctions.udf.CIQ($B16,"IQ_TOTAL_BANK_CAPITAL",TR$3,$E$3, $J$3, , $G$3, $H$3)/_xll.ciqfunctions.udf.CIQ($B16,"IQ_TOTAL_BANK_CAPITAL",TR$4,$E$3, $J$3, , $G$3, $H$3))-1),"")</f>
        <v/>
      </c>
      <c r="TS16" s="72" t="str">
        <f>IFERROR(IF(OR($B16="",TS$3="",TS$4=""),"",(_xll.ciqfunctions.udf.CIQ($B16,"IQ_TOTAL_BANK_CAPITAL",TS$3,$E$3, $J$3, , $G$3, $H$3)/_xll.ciqfunctions.udf.CIQ($B16,"IQ_TOTAL_BANK_CAPITAL",TS$4,$E$3, $J$3, , $G$3, $H$3))-1),"")</f>
        <v/>
      </c>
      <c r="TT16" s="72" t="str">
        <f>IFERROR(IF(OR($B16="",TT$3="",TT$4=""),"",(_xll.ciqfunctions.udf.CIQ($B16,"IQ_TOTAL_BANK_CAPITAL",TT$3,$E$3, $J$3, , $G$3, $H$3)/_xll.ciqfunctions.udf.CIQ($B16,"IQ_TOTAL_BANK_CAPITAL",TT$4,$E$3, $J$3, , $G$3, $H$3))-1),"")</f>
        <v/>
      </c>
      <c r="TU16" s="72" t="str">
        <f>IFERROR(IF(OR($B16="",TU$3="",TU$4=""),"",(_xll.ciqfunctions.udf.CIQ($B16,"IQ_TOTAL_BANK_CAPITAL",TU$3,$E$3, $J$3, , $G$3, $H$3)/_xll.ciqfunctions.udf.CIQ($B16,"IQ_TOTAL_BANK_CAPITAL",TU$4,$E$3, $J$3, , $G$3, $H$3))-1),"")</f>
        <v/>
      </c>
      <c r="TV16" s="72" t="str">
        <f>IFERROR(IF(OR($B16="",TV$3="",TV$4=""),"",(_xll.ciqfunctions.udf.CIQ($B16,"IQ_TOTAL_BANK_CAPITAL",TV$3,$E$3, $J$3, , $G$3, $H$3)/_xll.ciqfunctions.udf.CIQ($B16,"IQ_TOTAL_BANK_CAPITAL",TV$4,$E$3, $J$3, , $G$3, $H$3))-1),"")</f>
        <v/>
      </c>
      <c r="TW16" s="72" t="str">
        <f>IFERROR(IF(OR($B16="",TW$3="",TW$4=""),"",(_xll.ciqfunctions.udf.CIQ($B16,"IQ_TOTAL_BANK_CAPITAL",TW$3,$E$3, $J$3, , $G$3, $H$3)/_xll.ciqfunctions.udf.CIQ($B16,"IQ_TOTAL_BANK_CAPITAL",TW$4,$E$3, $J$3, , $G$3, $H$3))-1),"")</f>
        <v/>
      </c>
      <c r="TX16" s="72" t="str">
        <f>IFERROR(IF(OR($B16="",TX$3="",TX$4=""),"",(_xll.ciqfunctions.udf.CIQ($B16,"IQ_TOTAL_BANK_CAPITAL",TX$3,$E$3, $J$3, , $G$3, $H$3)/_xll.ciqfunctions.udf.CIQ($B16,"IQ_TOTAL_BANK_CAPITAL",TX$4,$E$3, $J$3, , $G$3, $H$3))-1),"")</f>
        <v/>
      </c>
      <c r="TY16" s="72" t="str">
        <f>IFERROR(IF(OR($B16="",TY$3="",TY$4=""),"",(_xll.ciqfunctions.udf.CIQ($B16,"IQ_TOTAL_BANK_CAPITAL",TY$3,$E$3, $J$3, , $G$3, $H$3)/_xll.ciqfunctions.udf.CIQ($B16,"IQ_TOTAL_BANK_CAPITAL",TY$4,$E$3, $J$3, , $G$3, $H$3))-1),"")</f>
        <v/>
      </c>
      <c r="TZ16" s="72" t="str">
        <f>IFERROR(IF(OR($B16="",TZ$3="",TZ$4=""),"",(_xll.ciqfunctions.udf.CIQ($B16,"IQ_TOTAL_BANK_CAPITAL",TZ$3,$E$3, $J$3, , $G$3, $H$3)/_xll.ciqfunctions.udf.CIQ($B16,"IQ_TOTAL_BANK_CAPITAL",TZ$4,$E$3, $J$3, , $G$3, $H$3))-1),"")</f>
        <v/>
      </c>
      <c r="UA16" s="72" t="str">
        <f>IFERROR(IF(OR($B16="",UA$3="",UA$4=""),"",(_xll.ciqfunctions.udf.CIQ($B16,"IQ_TOTAL_BANK_CAPITAL",UA$3,$E$3, $J$3, , $G$3, $H$3)/_xll.ciqfunctions.udf.CIQ($B16,"IQ_TOTAL_BANK_CAPITAL",UA$4,$E$3, $J$3, , $G$3, $H$3))-1),"")</f>
        <v/>
      </c>
      <c r="UB16" s="72" t="str">
        <f>IFERROR(IF(OR($B16="",UB$3="",UB$4=""),"",(_xll.ciqfunctions.udf.CIQ($B16,"IQ_TOTAL_BANK_CAPITAL",UB$3,$E$3, $J$3, , $G$3, $H$3)/_xll.ciqfunctions.udf.CIQ($B16,"IQ_TOTAL_BANK_CAPITAL",UB$4,$E$3, $J$3, , $G$3, $H$3))-1),"")</f>
        <v/>
      </c>
      <c r="UC16" s="72" t="str">
        <f>IFERROR(IF(OR($B16="",UC$3="",UC$4=""),"",(_xll.ciqfunctions.udf.CIQ($B16,"IQ_TOTAL_BANK_CAPITAL",UC$3,$E$3, $J$3, , $G$3, $H$3)/_xll.ciqfunctions.udf.CIQ($B16,"IQ_TOTAL_BANK_CAPITAL",UC$4,$E$3, $J$3, , $G$3, $H$3))-1),"")</f>
        <v/>
      </c>
      <c r="UD16" s="72" t="str">
        <f>IFERROR(IF(OR($B16="",UD$3="",UD$4=""),"",(_xll.ciqfunctions.udf.CIQ($B16,"IQ_TOTAL_BANK_CAPITAL",UD$3,$E$3, $J$3, , $G$3, $H$3)/_xll.ciqfunctions.udf.CIQ($B16,"IQ_TOTAL_BANK_CAPITAL",UD$4,$E$3, $J$3, , $G$3, $H$3))-1),"")</f>
        <v/>
      </c>
      <c r="UE16" s="86" t="str">
        <f>IFERROR(IF(OR($B16="",UE$3=""),"",(_xll.ciqfunctions.udf.CIQ($B16,"IQ_TOTAL_CAPITAL_RATIO",UE$3,$E$3, $J$3, , $G$3, $H$3) - _xll.ciqfunctions.udf.CIQ($B16,"IQ_TIER_ONE_RATIO",UE$3,$E$3, $J$3, , $G$3, $H$3))/100),"")</f>
        <v/>
      </c>
      <c r="UF16" s="87" t="str">
        <f>IFERROR(IF(OR($B16="",UF$3=""),"",(_xll.ciqfunctions.udf.CIQ($B16,"IQ_TOTAL_CAPITAL_RATIO",UF$3,$E$3, $J$3, , $G$3, $H$3) - _xll.ciqfunctions.udf.CIQ($B16,"IQ_TIER_ONE_RATIO",UF$3,$E$3, $J$3, , $G$3, $H$3))/100),"")</f>
        <v/>
      </c>
      <c r="UG16" s="87" t="str">
        <f>IFERROR(IF(OR($B16="",UG$3=""),"",(_xll.ciqfunctions.udf.CIQ($B16,"IQ_TOTAL_CAPITAL_RATIO",UG$3,$E$3, $J$3, , $G$3, $H$3) - _xll.ciqfunctions.udf.CIQ($B16,"IQ_TIER_ONE_RATIO",UG$3,$E$3, $J$3, , $G$3, $H$3))/100),"")</f>
        <v/>
      </c>
      <c r="UH16" s="87" t="str">
        <f>IFERROR(IF(OR($B16="",UH$3=""),"",(_xll.ciqfunctions.udf.CIQ($B16,"IQ_TOTAL_CAPITAL_RATIO",UH$3,$E$3, $J$3, , $G$3, $H$3) - _xll.ciqfunctions.udf.CIQ($B16,"IQ_TIER_ONE_RATIO",UH$3,$E$3, $J$3, , $G$3, $H$3))/100),"")</f>
        <v/>
      </c>
      <c r="UI16" s="87" t="str">
        <f>IFERROR(IF(OR($B16="",UI$3=""),"",(_xll.ciqfunctions.udf.CIQ($B16,"IQ_TOTAL_CAPITAL_RATIO",UI$3,$E$3, $J$3, , $G$3, $H$3) - _xll.ciqfunctions.udf.CIQ($B16,"IQ_TIER_ONE_RATIO",UI$3,$E$3, $J$3, , $G$3, $H$3))/100),"")</f>
        <v/>
      </c>
      <c r="UJ16" s="87" t="str">
        <f>IFERROR(IF(OR($B16="",UJ$3=""),"",(_xll.ciqfunctions.udf.CIQ($B16,"IQ_TOTAL_CAPITAL_RATIO",UJ$3,$E$3, $J$3, , $G$3, $H$3) - _xll.ciqfunctions.udf.CIQ($B16,"IQ_TIER_ONE_RATIO",UJ$3,$E$3, $J$3, , $G$3, $H$3))/100),"")</f>
        <v/>
      </c>
      <c r="UK16" s="87" t="str">
        <f>IFERROR(IF(OR($B16="",UK$3=""),"",(_xll.ciqfunctions.udf.CIQ($B16,"IQ_TOTAL_CAPITAL_RATIO",UK$3,$E$3, $J$3, , $G$3, $H$3) - _xll.ciqfunctions.udf.CIQ($B16,"IQ_TIER_ONE_RATIO",UK$3,$E$3, $J$3, , $G$3, $H$3))/100),"")</f>
        <v/>
      </c>
      <c r="UL16" s="87" t="str">
        <f>IFERROR(IF(OR($B16="",UL$3=""),"",(_xll.ciqfunctions.udf.CIQ($B16,"IQ_TOTAL_CAPITAL_RATIO",UL$3,$E$3, $J$3, , $G$3, $H$3) - _xll.ciqfunctions.udf.CIQ($B16,"IQ_TIER_ONE_RATIO",UL$3,$E$3, $J$3, , $G$3, $H$3))/100),"")</f>
        <v/>
      </c>
      <c r="UM16" s="87" t="str">
        <f>IFERROR(IF(OR($B16="",UM$3=""),"",(_xll.ciqfunctions.udf.CIQ($B16,"IQ_TOTAL_CAPITAL_RATIO",UM$3,$E$3, $J$3, , $G$3, $H$3) - _xll.ciqfunctions.udf.CIQ($B16,"IQ_TIER_ONE_RATIO",UM$3,$E$3, $J$3, , $G$3, $H$3))/100),"")</f>
        <v/>
      </c>
      <c r="UN16" s="87" t="str">
        <f>IFERROR(IF(OR($B16="",UN$3=""),"",(_xll.ciqfunctions.udf.CIQ($B16,"IQ_TOTAL_CAPITAL_RATIO",UN$3,$E$3, $J$3, , $G$3, $H$3) - _xll.ciqfunctions.udf.CIQ($B16,"IQ_TIER_ONE_RATIO",UN$3,$E$3, $J$3, , $G$3, $H$3))/100),"")</f>
        <v/>
      </c>
      <c r="UO16" s="87" t="str">
        <f>IFERROR(IF(OR($B16="",UO$3=""),"",(_xll.ciqfunctions.udf.CIQ($B16,"IQ_TOTAL_CAPITAL_RATIO",UO$3,$E$3, $J$3, , $G$3, $H$3) - _xll.ciqfunctions.udf.CIQ($B16,"IQ_TIER_ONE_RATIO",UO$3,$E$3, $J$3, , $G$3, $H$3))/100),"")</f>
        <v/>
      </c>
      <c r="UP16" s="87" t="str">
        <f>IFERROR(IF(OR($B16="",UP$3=""),"",(_xll.ciqfunctions.udf.CIQ($B16,"IQ_TOTAL_CAPITAL_RATIO",UP$3,$E$3, $J$3, , $G$3, $H$3) - _xll.ciqfunctions.udf.CIQ($B16,"IQ_TIER_ONE_RATIO",UP$3,$E$3, $J$3, , $G$3, $H$3))/100),"")</f>
        <v/>
      </c>
      <c r="UQ16" s="87" t="str">
        <f>IFERROR(IF(OR($B16="",UQ$3=""),"",(_xll.ciqfunctions.udf.CIQ($B16,"IQ_TOTAL_CAPITAL_RATIO",UQ$3,$E$3, $J$3, , $G$3, $H$3) - _xll.ciqfunctions.udf.CIQ($B16,"IQ_TIER_ONE_RATIO",UQ$3,$E$3, $J$3, , $G$3, $H$3))/100),"")</f>
        <v/>
      </c>
      <c r="UR16" s="87" t="str">
        <f>IFERROR(IF(OR($B16="",UR$3=""),"",(_xll.ciqfunctions.udf.CIQ($B16,"IQ_TOTAL_CAPITAL_RATIO",UR$3,$E$3, $J$3, , $G$3, $H$3) - _xll.ciqfunctions.udf.CIQ($B16,"IQ_TIER_ONE_RATIO",UR$3,$E$3, $J$3, , $G$3, $H$3))/100),"")</f>
        <v/>
      </c>
      <c r="US16" s="87" t="str">
        <f>IFERROR(IF(OR($B16="",US$3=""),"",(_xll.ciqfunctions.udf.CIQ($B16,"IQ_TOTAL_CAPITAL_RATIO",US$3,$E$3, $J$3, , $G$3, $H$3) - _xll.ciqfunctions.udf.CIQ($B16,"IQ_TIER_ONE_RATIO",US$3,$E$3, $J$3, , $G$3, $H$3))/100),"")</f>
        <v/>
      </c>
      <c r="UT16" s="87" t="str">
        <f>IFERROR(IF(OR($B16="",UT$3=""),"",(_xll.ciqfunctions.udf.CIQ($B16,"IQ_TOTAL_CAPITAL_RATIO",UT$3,$E$3, $J$3, , $G$3, $H$3) - _xll.ciqfunctions.udf.CIQ($B16,"IQ_TIER_ONE_RATIO",UT$3,$E$3, $J$3, , $G$3, $H$3))/100),"")</f>
        <v/>
      </c>
      <c r="UU16" s="87" t="str">
        <f>IFERROR(IF(OR($B16="",UU$3=""),"",(_xll.ciqfunctions.udf.CIQ($B16,"IQ_TOTAL_CAPITAL_RATIO",UU$3,$E$3, $J$3, , $G$3, $H$3) - _xll.ciqfunctions.udf.CIQ($B16,"IQ_TIER_ONE_RATIO",UU$3,$E$3, $J$3, , $G$3, $H$3))/100),"")</f>
        <v/>
      </c>
      <c r="UV16" s="87" t="str">
        <f>IFERROR(IF(OR($B16="",UV$3=""),"",(_xll.ciqfunctions.udf.CIQ($B16,"IQ_TOTAL_CAPITAL_RATIO",UV$3,$E$3, $J$3, , $G$3, $H$3) - _xll.ciqfunctions.udf.CIQ($B16,"IQ_TIER_ONE_RATIO",UV$3,$E$3, $J$3, , $G$3, $H$3))/100),"")</f>
        <v/>
      </c>
      <c r="UW16" s="87" t="str">
        <f>IFERROR(IF(OR($B16="",UW$3=""),"",(_xll.ciqfunctions.udf.CIQ($B16,"IQ_TOTAL_CAPITAL_RATIO",UW$3,$E$3, $J$3, , $G$3, $H$3) - _xll.ciqfunctions.udf.CIQ($B16,"IQ_TIER_ONE_RATIO",UW$3,$E$3, $J$3, , $G$3, $H$3))/100),"")</f>
        <v/>
      </c>
      <c r="UX16" s="88" t="str">
        <f>IFERROR(IF(OR($B16="",UX$3=""),"",(_xll.ciqfunctions.udf.CIQ($B16,"IQ_TOTAL_CAPITAL_RATIO",UX$3,$E$3, $J$3, , $G$3, $H$3) - _xll.ciqfunctions.udf.CIQ($B16,"IQ_TIER_ONE_RATIO",UX$3,$E$3, $J$3, , $G$3, $H$3))/100),"")</f>
        <v/>
      </c>
    </row>
    <row r="17" spans="1:16344" ht="15" customHeight="1" x14ac:dyDescent="0.2">
      <c r="A17" s="307" t="str">
        <f>IF(B17="","",_xll.ciqfunctions.udf.CIQ($B17,"IQ_COMPANY_NAME"))</f>
        <v/>
      </c>
      <c r="B17" s="308" t="str">
        <f>IF(Input!B29="","",Input!B29)</f>
        <v/>
      </c>
      <c r="C17" s="308">
        <f>Input!E29</f>
        <v>0</v>
      </c>
      <c r="D17" s="309" t="str">
        <f>IF(B17="","",_xll.ciqfunctions.udf.CIQ($B17,"IQ_PRIMARY_INDUSTRY"))</f>
        <v/>
      </c>
      <c r="E17" s="310" t="str">
        <f>IF($B17="","",IF(NOT(ISNUMBER(_xll.ciqfunctions.udf.CIQ($B17, "IQ_CLOSEPRICE", $E$3, $G$3, $H$3))),"",_xll.ciqfunctions.udf.CIQ($B17, "IQ_CLOSEPRICE", $E$3, $G$3, $H$3)))</f>
        <v/>
      </c>
      <c r="F17" s="310" t="str">
        <f>IF($B17="","",IF(NOT(ISNUMBER(_xll.ciqfunctions.udf.CIQ($B17, "IQ_CLOSEPRICE", $E$4, $G$3, $H$3))),"",_xll.ciqfunctions.udf.CIQ($B17, "IQ_CLOSEPRICE", $E$4, $G$3, $H$3)))</f>
        <v/>
      </c>
      <c r="G17" s="311" t="str">
        <f t="shared" si="351"/>
        <v/>
      </c>
      <c r="H17" s="311" t="str">
        <f>IFERROR(IF($B17="","",_xll.ciqfunctions.udf.CIQ($B17, "IQ_TOTAL_REV_1YR_ANN_GROWTH", $I$3, $E$3, $J$3)/100),"")</f>
        <v/>
      </c>
      <c r="I17" s="311" t="str">
        <f>IFERROR(IF($B17="","",_xll.ciqfunctions.udf.CIQ($B17,"IQ_NET_INT_INC_BNK",$I$3, $E$3, $J$3, , $G$3, $H$3)/_xll.ciqfunctions.udf.CIQ($B17,"IQ_GROSS_LOANS",$I$3, $E$3, $J$3, , $G$3, $H$3)),"")</f>
        <v/>
      </c>
      <c r="J17" s="311" t="str">
        <f>IFERROR(IF(B17="","",_xll.ciqfunctions.udf.CIQ($B17,"IQ_EBT",$I$3, $E$3, $J$3, , $G$3, $H$3)/_xll.ciqfunctions.udf.CIQ($B17,"IQ_TOTAL_REVENUE",$I$3, $E$3, $J$3, , $G$3, $H$3)),"")</f>
        <v/>
      </c>
      <c r="K17" s="311" t="str">
        <f>IFERROR(IF(B17="","",_xll.ciqfunctions.udf.CIQ($B17,"IQ_NI_MARGIN",$I$3, $E$3, $J$3, , $G$3, $H$3)/100),"")</f>
        <v/>
      </c>
      <c r="L17" s="311" t="str">
        <f>IFERROR(IF($B17="","",_xll.ciqfunctions.udf.CIQ($B17,"IQ_NI",$I$3, $E$3, $J$3, , $G$3, $H$3)/(0.5*(_xll.ciqfunctions.udf.CIQ($B17,"IQ_TOTAL_ASSETS",$I$3, $E$3, $J$3, , $G$3, $H$3)+_xll.ciqfunctions.udf.CIQ($B17,"IQ_TOTAL_ASSETS",$I$3 &amp; "-4", $E$3, $J$3, , $G$3, $H$3)))),"")</f>
        <v/>
      </c>
      <c r="M17" s="311" t="str">
        <f>IFERROR(_xll.ciqfunctions.udf.CIQ($B17,"IQ_NI",$I$3, $E$3, $J$3, , $G$3, $H$3)/(_xll.ciqfunctions.udf.CIQ($B17,"IQ_TOTAL_ASSETS",$I$3, $E$3, $J$3, , $G$3, $H$3)+_xll.ciqfunctions.udf.CIQ($B17,"IQ_TOTAL_ASSETS",$I$3 &amp; "-4", $E$3, $J$3, , $G$3, $H$3)-_xll.ciqfunctions.udf.CIQ($B17,"IQ_TOTAL_CL",$I$3, $E$3, $J$3, , $G$3, $H$3)-_xll.ciqfunctions.udf.CIQ($B17,"IQ_TOTAL_CL",$I$3 &amp; "-4", $E$3, $J$3, , $G$3, $H$3)),"")</f>
        <v/>
      </c>
      <c r="N17" s="311" t="str">
        <f>IFERROR(IF($B17="","",_xll.ciqfunctions.udf.CIQ($B17,"IQ_NI",$I$3, $E$3, $J$3, , $G$3, $H$3)/(0.5*(_xll.ciqfunctions.udf.CIQ($B17,"IQ_TOTAL_EQUITY",$I$3, $E$3, $J$3, , $G$3, $H$3)+_xll.ciqfunctions.udf.CIQ($B17,"IQ_TOTAL_EQUITY",$I$3 &amp; "-4", $E$3, $J$3, , $G$3, $H$3)))),"")</f>
        <v/>
      </c>
      <c r="O17" s="222" t="str">
        <f>IFERROR(IF($B17="","",(_xll.ciqfunctions.udf.CIQ($B17,"IQ_TIER_ONE_CAPITAL",$I$3, $E$3, $J$3, , $G$3, $H$3)+_xll.ciqfunctions.udf.CIQ($B17,"IQ_TIER_TWO_CAPITAL",$I$3, $E$3, $J$3, , $G$3, $H$3)-_xll.ciqfunctions.udf.CIQ($B17,"IQ_GW",$I$3, $E$3, $J$3, , $G$3, $H$3))/_xll.ciqfunctions.udf.CIQ($B17,"IQ_RISK_ADJ_BANK_ASSETS",$I$3, $E$3, $J$3, , $G$3, $H$3)),"")</f>
        <v/>
      </c>
      <c r="P17" s="222" t="str">
        <f>IFERROR(IF($B17="","",(_xll.ciqfunctions.udf.CIQ($B17,"IQ_TIER_ONE_CAPITAL",$I$3, $E$3, $J$3, , $G$3, $H$3)+_xll.ciqfunctions.udf.CIQ($B17,"IQ_TIER_TWO_CAPITAL",$I$3, $E$3, $J$3, , $G$3, $H$3))/_xll.ciqfunctions.udf.CIQ($B17,"IQ_TOTAL_ASSETS",$I$3, $E$3, $J$3, , $G$3, $H$3)),"")</f>
        <v/>
      </c>
      <c r="Q17" s="311" t="str">
        <f>IFERROR(IF(B17="","",_xll.ciqfunctions.udf.CIQ($B17,"IQ_TIER_ONE_RATIO",$I$3, $E$3, $J$3, , $G$3, $H$3)/100),"")</f>
        <v/>
      </c>
      <c r="R17" s="220" t="str">
        <f t="shared" si="330"/>
        <v/>
      </c>
      <c r="S17" s="311" t="str">
        <f>IFERROR(IF(B17="","",_xll.ciqfunctions.udf.CIQ($B17,"IQ_TOTAL_CAPITAL_RATIO",$I$3, $E$3, $J$3, , $G$3, $H$3)/100),"")</f>
        <v/>
      </c>
      <c r="T17" s="311" t="str">
        <f>IFERROR(IF($B17="","",_xll.ciqfunctions.udf.CIQ($B17,"IQ_NON_PERF_LOANS_TOTAL_LOANS",$I$3, $E$3, $J$3, , $G$3, $H$3)/100),"")</f>
        <v/>
      </c>
      <c r="U17" s="222" t="str">
        <f>IFERROR(IF($B17="","",-_xll.ciqfunctions.udf.CIQ($B17,"IQ_ALLOW_LL",$I$3, $E$3, $J$3, , $G$3, $H$3)/_xll.ciqfunctions.udf.CIQ($B17,"IQ_TOTAL_LOANS",$I$3, $E$3, $J$3, , $G$3, $H$3)),"")</f>
        <v/>
      </c>
      <c r="V17" s="311" t="str">
        <f>IFERROR(IF($B17="","",_xll.ciqfunctions.udf.CIQ($B17,"IQ_LL",$I$3, $E$3, $J$3, , $G$3, $H$3)/_xll.ciqfunctions.udf.CIQ($B17,"IQ_NET_LOANS",$I$3, $E$3, $J$3, , $G$3, $H$3)),"")</f>
        <v/>
      </c>
      <c r="W17" s="311" t="str">
        <f>IFERROR(IF(B17="","",_xll.ciqfunctions.udf.CIQ($B17,"IQ_NET_LOANS",$I$3, $E$3, $J$3, , $G$3, $H$3)/_xll.ciqfunctions.udf.CIQ($B17,"IQ_TOTAL_ASSETS",$I$3, $E$3, $J$3, , $G$3, $H$3)),"")</f>
        <v/>
      </c>
      <c r="X17" s="222" t="str">
        <f>IFERROR(IF($B17="","",_xll.ciqfunctions.udf.CIQ($B17,"IQ_TOTAL_LOANS",$I$3, $E$3, $J$3, , $G$3, $H$3)/_xll.ciqfunctions.udf.CIQ($B17,"IQ_TOTAL_DEPOSITS",$I$3, $E$3, $J$3, , $G$3, $H$3)),"")</f>
        <v/>
      </c>
      <c r="Y17" s="311" t="str">
        <f>IFERROR(IF($B17="","",_xll.ciqfunctions.udf.CIQ($B17,"IQ_TOTAL_DEPOSITS",$I$3, $E$3, $J$3, , $G$3, $H$3)/_xll.ciqfunctions.udf.CIQ($B17,"IQ_TOTAL_ASSETS",$I$3, $E$3, $J$3, , $G$3, $H$3)),"")</f>
        <v/>
      </c>
      <c r="Z17" s="312" t="str">
        <f>IFERROR(IF(B17="","",_xll.ciqfunctions.udf.CIQ($B17,"IQ_TOTAL_ASSETS",IQ_LTM)/_xll.ciqfunctions.udf.CIQ($B17,"IQ_TOTAL_COMMON_EQUITY",IQ_LTM)),"")</f>
        <v/>
      </c>
      <c r="AA17" s="313" t="str">
        <f>IFERROR(IF($B17="","",_xll.ciqfunctions.udf.CIQ($B17,"IQ_CASH_OPER",$I$3, $E$3, $J$3, , $G$3, $H$3)*2/(_xll.ciqfunctions.udf.CIQ($B17,"IQ_TOTAL_CL",$I$3, $E$3, $J$3, , $G$3, $H$3)+_xll.ciqfunctions.udf.CIQ($B17,"IQ_TOTAL_CL",$I$3 &amp; "-4", $E$3, $J$3, , $G$3, $H$3))),"")</f>
        <v/>
      </c>
      <c r="AB17" s="222" t="str">
        <f>IFERROR(IF($B17="","",_xll.ciqfunctions.udf.CIQ($B17,"IQ_NON_PERFORMING_LOANS",$I$3, $E$3, $J$3, , $G$3, $H$3)/_xll.ciqfunctions.udf.CIQ($B17,"IQ_TOTAL_EQUITY",$I$3, $E$3, $J$3, , $G$3, $H$3)),"")</f>
        <v/>
      </c>
      <c r="AC17" s="1022" t="str">
        <f>IF(B17="","",IF(NOT(ISNUMBER(_xll.ciqfunctions.udf.CIQ($B17,"IQ_Z_SCORE",$I$3, $E$3, $J$3, , $G$3, $H$3))),"",_xll.ciqfunctions.udf.CIQ($B17,"IQ_Z_SCORE",$I$3, $E$3, $J$3, , $G$3, $H$3)))</f>
        <v/>
      </c>
      <c r="AD17" s="19"/>
      <c r="AE17" s="294" t="str">
        <f>IFERROR(IF(OR($B17="",AE$3=""),"",_xll.ciqfunctions.udf.CIQ($B17,"IQ_NET_INT_INC_BNK",AE$3,$E$3, $J$3, , $G$3, $H$3)*2/(_xll.ciqfunctions.udf.CIQ($B17,"IQ_GROSS_LOANS",AE$3,$E$3, $J$3, , $G$3, $H$3)+_xll.ciqfunctions.udf.CIQ($B17,"IQ_GROSS_LOANS", "IQ_" &amp; LEFT(AE$3,2) &amp; "-1",AE$3, $J$3, , $G$3, $H$3))),"")</f>
        <v/>
      </c>
      <c r="AF17" s="292" t="str">
        <f>IFERROR(IF(OR($B17="",AF$3=""),"",_xll.ciqfunctions.udf.CIQ($B17,"IQ_NET_INT_INC_BNK",AF$3,$E$3, $J$3, , $G$3, $H$3)*2/(_xll.ciqfunctions.udf.CIQ($B17,"IQ_GROSS_LOANS",AF$3,$E$3, $J$3, , $G$3, $H$3)+_xll.ciqfunctions.udf.CIQ($B17,"IQ_GROSS_LOANS", "IQ_" &amp; LEFT(AF$3,2) &amp; "-1",AF$3, $J$3, , $G$3, $H$3))),"")</f>
        <v/>
      </c>
      <c r="AG17" s="292" t="str">
        <f>IFERROR(IF(OR($B17="",AG$3=""),"",_xll.ciqfunctions.udf.CIQ($B17,"IQ_NET_INT_INC_BNK",AG$3,$E$3, $J$3, , $G$3, $H$3)*2/(_xll.ciqfunctions.udf.CIQ($B17,"IQ_GROSS_LOANS",AG$3,$E$3, $J$3, , $G$3, $H$3)+_xll.ciqfunctions.udf.CIQ($B17,"IQ_GROSS_LOANS", "IQ_" &amp; LEFT(AG$3,2) &amp; "-1",AG$3, $J$3, , $G$3, $H$3))),"")</f>
        <v/>
      </c>
      <c r="AH17" s="292" t="str">
        <f>IFERROR(IF(OR($B17="",AH$3=""),"",_xll.ciqfunctions.udf.CIQ($B17,"IQ_NET_INT_INC_BNK",AH$3,$E$3, $J$3, , $G$3, $H$3)*2/(_xll.ciqfunctions.udf.CIQ($B17,"IQ_GROSS_LOANS",AH$3,$E$3, $J$3, , $G$3, $H$3)+_xll.ciqfunctions.udf.CIQ($B17,"IQ_GROSS_LOANS", "IQ_" &amp; LEFT(AH$3,2) &amp; "-1",AH$3, $J$3, , $G$3, $H$3))),"")</f>
        <v/>
      </c>
      <c r="AI17" s="292" t="str">
        <f>IFERROR(IF(OR($B17="",AI$3=""),"",_xll.ciqfunctions.udf.CIQ($B17,"IQ_NET_INT_INC_BNK",AI$3,$E$3, $J$3, , $G$3, $H$3)*2/(_xll.ciqfunctions.udf.CIQ($B17,"IQ_GROSS_LOANS",AI$3,$E$3, $J$3, , $G$3, $H$3)+_xll.ciqfunctions.udf.CIQ($B17,"IQ_GROSS_LOANS", "IQ_" &amp; LEFT(AI$3,2) &amp; "-1",AI$3, $J$3, , $G$3, $H$3))),"")</f>
        <v/>
      </c>
      <c r="AJ17" s="292" t="str">
        <f>IFERROR(IF(OR($B17="",AJ$3=""),"",_xll.ciqfunctions.udf.CIQ($B17,"IQ_NET_INT_INC_BNK",AJ$3,$E$3, $J$3, , $G$3, $H$3)*2/(_xll.ciqfunctions.udf.CIQ($B17,"IQ_GROSS_LOANS",AJ$3,$E$3, $J$3, , $G$3, $H$3)+_xll.ciqfunctions.udf.CIQ($B17,"IQ_GROSS_LOANS", "IQ_" &amp; LEFT(AJ$3,2) &amp; "-1",AJ$3, $J$3, , $G$3, $H$3))),"")</f>
        <v/>
      </c>
      <c r="AK17" s="292" t="str">
        <f>IFERROR(IF(OR($B17="",AK$3=""),"",_xll.ciqfunctions.udf.CIQ($B17,"IQ_NET_INT_INC_BNK",AK$3,$E$3, $J$3, , $G$3, $H$3)*2/(_xll.ciqfunctions.udf.CIQ($B17,"IQ_GROSS_LOANS",AK$3,$E$3, $J$3, , $G$3, $H$3)+_xll.ciqfunctions.udf.CIQ($B17,"IQ_GROSS_LOANS", "IQ_" &amp; LEFT(AK$3,2) &amp; "-1",AK$3, $J$3, , $G$3, $H$3))),"")</f>
        <v/>
      </c>
      <c r="AL17" s="292" t="str">
        <f>IFERROR(IF(OR($B17="",AL$3=""),"",_xll.ciqfunctions.udf.CIQ($B17,"IQ_NET_INT_INC_BNK",AL$3,$E$3, $J$3, , $G$3, $H$3)*2/(_xll.ciqfunctions.udf.CIQ($B17,"IQ_GROSS_LOANS",AL$3,$E$3, $J$3, , $G$3, $H$3)+_xll.ciqfunctions.udf.CIQ($B17,"IQ_GROSS_LOANS", "IQ_" &amp; LEFT(AL$3,2) &amp; "-1",AL$3, $J$3, , $G$3, $H$3))),"")</f>
        <v/>
      </c>
      <c r="AM17" s="292" t="str">
        <f>IFERROR(IF(OR($B17="",AM$3=""),"",_xll.ciqfunctions.udf.CIQ($B17,"IQ_NET_INT_INC_BNK",AM$3,$E$3, $J$3, , $G$3, $H$3)*2/(_xll.ciqfunctions.udf.CIQ($B17,"IQ_GROSS_LOANS",AM$3,$E$3, $J$3, , $G$3, $H$3)+_xll.ciqfunctions.udf.CIQ($B17,"IQ_GROSS_LOANS", "IQ_" &amp; LEFT(AM$3,2) &amp; "-1",AM$3, $J$3, , $G$3, $H$3))),"")</f>
        <v/>
      </c>
      <c r="AN17" s="292" t="str">
        <f>IFERROR(IF(OR($B17="",AN$3=""),"",_xll.ciqfunctions.udf.CIQ($B17,"IQ_NET_INT_INC_BNK",AN$3,$E$3, $J$3, , $G$3, $H$3)*2/(_xll.ciqfunctions.udf.CIQ($B17,"IQ_GROSS_LOANS",AN$3,$E$3, $J$3, , $G$3, $H$3)+_xll.ciqfunctions.udf.CIQ($B17,"IQ_GROSS_LOANS", "IQ_" &amp; LEFT(AN$3,2) &amp; "-1",AN$3, $J$3, , $G$3, $H$3))),"")</f>
        <v/>
      </c>
      <c r="AO17" s="292" t="str">
        <f>IFERROR(IF(OR($B17="",AO$3=""),"",_xll.ciqfunctions.udf.CIQ($B17,"IQ_NET_INT_INC_BNK",AO$3,$E$3, $J$3, , $G$3, $H$3)*2/(_xll.ciqfunctions.udf.CIQ($B17,"IQ_GROSS_LOANS",AO$3,$E$3, $J$3, , $G$3, $H$3)+_xll.ciqfunctions.udf.CIQ($B17,"IQ_GROSS_LOANS", "IQ_" &amp; LEFT(AO$3,2) &amp; "-1",AO$3, $J$3, , $G$3, $H$3))),"")</f>
        <v/>
      </c>
      <c r="AP17" s="292" t="str">
        <f>IFERROR(IF(OR($B17="",AP$3=""),"",_xll.ciqfunctions.udf.CIQ($B17,"IQ_NET_INT_INC_BNK",AP$3,$E$3, $J$3, , $G$3, $H$3)*2/(_xll.ciqfunctions.udf.CIQ($B17,"IQ_GROSS_LOANS",AP$3,$E$3, $J$3, , $G$3, $H$3)+_xll.ciqfunctions.udf.CIQ($B17,"IQ_GROSS_LOANS", "IQ_" &amp; LEFT(AP$3,2) &amp; "-1",AP$3, $J$3, , $G$3, $H$3))),"")</f>
        <v/>
      </c>
      <c r="AQ17" s="292" t="str">
        <f>IFERROR(IF(OR($B17="",AQ$3=""),"",_xll.ciqfunctions.udf.CIQ($B17,"IQ_NET_INT_INC_BNK",AQ$3,$E$3, $J$3, , $G$3, $H$3)*2/(_xll.ciqfunctions.udf.CIQ($B17,"IQ_GROSS_LOANS",AQ$3,$E$3, $J$3, , $G$3, $H$3)+_xll.ciqfunctions.udf.CIQ($B17,"IQ_GROSS_LOANS", "IQ_" &amp; LEFT(AQ$3,2) &amp; "-1",AQ$3, $J$3, , $G$3, $H$3))),"")</f>
        <v/>
      </c>
      <c r="AR17" s="292" t="str">
        <f>IFERROR(IF(OR($B17="",AR$3=""),"",_xll.ciqfunctions.udf.CIQ($B17,"IQ_NET_INT_INC_BNK",AR$3,$E$3, $J$3, , $G$3, $H$3)*2/(_xll.ciqfunctions.udf.CIQ($B17,"IQ_GROSS_LOANS",AR$3,$E$3, $J$3, , $G$3, $H$3)+_xll.ciqfunctions.udf.CIQ($B17,"IQ_GROSS_LOANS", "IQ_" &amp; LEFT(AR$3,2) &amp; "-1",AR$3, $J$3, , $G$3, $H$3))),"")</f>
        <v/>
      </c>
      <c r="AS17" s="292" t="str">
        <f>IFERROR(IF(OR($B17="",AS$3=""),"",_xll.ciqfunctions.udf.CIQ($B17,"IQ_NET_INT_INC_BNK",AS$3,$E$3, $J$3, , $G$3, $H$3)*2/(_xll.ciqfunctions.udf.CIQ($B17,"IQ_GROSS_LOANS",AS$3,$E$3, $J$3, , $G$3, $H$3)+_xll.ciqfunctions.udf.CIQ($B17,"IQ_GROSS_LOANS", "IQ_" &amp; LEFT(AS$3,2) &amp; "-1",AS$3, $J$3, , $G$3, $H$3))),"")</f>
        <v/>
      </c>
      <c r="AT17" s="292" t="str">
        <f>IFERROR(IF(OR($B17="",AT$3=""),"",_xll.ciqfunctions.udf.CIQ($B17,"IQ_NET_INT_INC_BNK",AT$3,$E$3, $J$3, , $G$3, $H$3)*2/(_xll.ciqfunctions.udf.CIQ($B17,"IQ_GROSS_LOANS",AT$3,$E$3, $J$3, , $G$3, $H$3)+_xll.ciqfunctions.udf.CIQ($B17,"IQ_GROSS_LOANS", "IQ_" &amp; LEFT(AT$3,2) &amp; "-1",AT$3, $J$3, , $G$3, $H$3))),"")</f>
        <v/>
      </c>
      <c r="AU17" s="292" t="str">
        <f>IFERROR(IF(OR($B17="",AU$3=""),"",_xll.ciqfunctions.udf.CIQ($B17,"IQ_NET_INT_INC_BNK",AU$3,$E$3, $J$3, , $G$3, $H$3)*2/(_xll.ciqfunctions.udf.CIQ($B17,"IQ_GROSS_LOANS",AU$3,$E$3, $J$3, , $G$3, $H$3)+_xll.ciqfunctions.udf.CIQ($B17,"IQ_GROSS_LOANS", "IQ_" &amp; LEFT(AU$3,2) &amp; "-1",AU$3, $J$3, , $G$3, $H$3))),"")</f>
        <v/>
      </c>
      <c r="AV17" s="292" t="str">
        <f>IFERROR(IF(OR($B17="",AV$3=""),"",_xll.ciqfunctions.udf.CIQ($B17,"IQ_NET_INT_INC_BNK",AV$3,$E$3, $J$3, , $G$3, $H$3)*2/(_xll.ciqfunctions.udf.CIQ($B17,"IQ_GROSS_LOANS",AV$3,$E$3, $J$3, , $G$3, $H$3)+_xll.ciqfunctions.udf.CIQ($B17,"IQ_GROSS_LOANS", "IQ_" &amp; LEFT(AV$3,2) &amp; "-1",AV$3, $J$3, , $G$3, $H$3))),"")</f>
        <v/>
      </c>
      <c r="AW17" s="292" t="str">
        <f>IFERROR(IF(OR($B17="",AW$3=""),"",_xll.ciqfunctions.udf.CIQ($B17,"IQ_NET_INT_INC_BNK",AW$3,$E$3, $J$3, , $G$3, $H$3)*2/(_xll.ciqfunctions.udf.CIQ($B17,"IQ_GROSS_LOANS",AW$3,$E$3, $J$3, , $G$3, $H$3)+_xll.ciqfunctions.udf.CIQ($B17,"IQ_GROSS_LOANS", "IQ_" &amp; LEFT(AW$3,2) &amp; "-1",AW$3, $J$3, , $G$3, $H$3))),"")</f>
        <v/>
      </c>
      <c r="AX17" s="293" t="str">
        <f>IFERROR(IF(OR($B17="",AX$3=""),"",_xll.ciqfunctions.udf.CIQ($B17,"IQ_NET_INT_INC_BNK",AX$3,$E$3, $J$3, , $G$3, $H$3)*2/(_xll.ciqfunctions.udf.CIQ($B17,"IQ_GROSS_LOANS",AX$3,$E$3, $J$3, , $G$3, $H$3)+_xll.ciqfunctions.udf.CIQ($B17,"IQ_GROSS_LOANS", "IQ_" &amp; LEFT(AX$3,2) &amp; "-1",AX$3, $J$3, , $G$3, $H$3))),"")</f>
        <v/>
      </c>
      <c r="AY17" s="72" t="str">
        <f>IFERROR(IF(OR($B17="",AY$3=""),"",_xll.ciqfunctions.udf.CIQ($B17, "IQ_EBT", AY$3,$E$3, $J$3, , $G$3, $H$3)/(_xll.ciqfunctions.udf.CIQ($B17,"IQ_INT_INC_TOTAL",BW$3,$E$3, $J$3, , $G$3, $H$3)+_xll.ciqfunctions.udf.CIQ($B17,"IQ_NON_INT_INC",BW$3,$E$3, $J$3, , $G$3, $H$3))),"")</f>
        <v/>
      </c>
      <c r="AZ17" s="72" t="str">
        <f>IFERROR(IF(OR($B17="",AZ$3=""),"",_xll.ciqfunctions.udf.CIQ($B17, "IQ_EBT", AZ$3,$E$3, $J$3, , $G$3, $H$3)/(_xll.ciqfunctions.udf.CIQ($B17,"IQ_INT_INC_TOTAL",BX$3,$E$3, $J$3, , $G$3, $H$3)+_xll.ciqfunctions.udf.CIQ($B17,"IQ_NON_INT_INC",BX$3,$E$3, $J$3, , $G$3, $H$3))),"")</f>
        <v/>
      </c>
      <c r="BA17" s="72" t="str">
        <f>IFERROR(IF(OR($B17="",BA$3=""),"",_xll.ciqfunctions.udf.CIQ($B17, "IQ_EBT", BA$3,$E$3, $J$3, , $G$3, $H$3)/(_xll.ciqfunctions.udf.CIQ($B17,"IQ_INT_INC_TOTAL",BY$3,$E$3, $J$3, , $G$3, $H$3)+_xll.ciqfunctions.udf.CIQ($B17,"IQ_NON_INT_INC",BY$3,$E$3, $J$3, , $G$3, $H$3))),"")</f>
        <v/>
      </c>
      <c r="BB17" s="72" t="str">
        <f>IFERROR(IF(OR($B17="",BB$3=""),"",_xll.ciqfunctions.udf.CIQ($B17, "IQ_EBT", BB$3,$E$3, $J$3, , $G$3, $H$3)/(_xll.ciqfunctions.udf.CIQ($B17,"IQ_INT_INC_TOTAL",BZ$3,$E$3, $J$3, , $G$3, $H$3)+_xll.ciqfunctions.udf.CIQ($B17,"IQ_NON_INT_INC",BZ$3,$E$3, $J$3, , $G$3, $H$3))),"")</f>
        <v/>
      </c>
      <c r="BC17" s="72" t="str">
        <f>IFERROR(IF(OR($B17="",BC$3=""),"",_xll.ciqfunctions.udf.CIQ($B17, "IQ_EBT", BC$3,$E$3, $J$3, , $G$3, $H$3)/(_xll.ciqfunctions.udf.CIQ($B17,"IQ_INT_INC_TOTAL",CA$3,$E$3, $J$3, , $G$3, $H$3)+_xll.ciqfunctions.udf.CIQ($B17,"IQ_NON_INT_INC",CA$3,$E$3, $J$3, , $G$3, $H$3))),"")</f>
        <v/>
      </c>
      <c r="BD17" s="72" t="str">
        <f>IFERROR(IF(OR($B17="",BD$3=""),"",_xll.ciqfunctions.udf.CIQ($B17, "IQ_EBT", BD$3,$E$3, $J$3, , $G$3, $H$3)/(_xll.ciqfunctions.udf.CIQ($B17,"IQ_INT_INC_TOTAL",CB$3,$E$3, $J$3, , $G$3, $H$3)+_xll.ciqfunctions.udf.CIQ($B17,"IQ_NON_INT_INC",CB$3,$E$3, $J$3, , $G$3, $H$3))),"")</f>
        <v/>
      </c>
      <c r="BE17" s="72" t="str">
        <f>IFERROR(IF(OR($B17="",BE$3=""),"",_xll.ciqfunctions.udf.CIQ($B17, "IQ_EBT", BE$3,$E$3, $J$3, , $G$3, $H$3)/(_xll.ciqfunctions.udf.CIQ($B17,"IQ_INT_INC_TOTAL",CC$3,$E$3, $J$3, , $G$3, $H$3)+_xll.ciqfunctions.udf.CIQ($B17,"IQ_NON_INT_INC",CC$3,$E$3, $J$3, , $G$3, $H$3))),"")</f>
        <v/>
      </c>
      <c r="BF17" s="72" t="str">
        <f>IFERROR(IF(OR($B17="",BF$3=""),"",_xll.ciqfunctions.udf.CIQ($B17, "IQ_EBT", BF$3,$E$3, $J$3, , $G$3, $H$3)/(_xll.ciqfunctions.udf.CIQ($B17,"IQ_INT_INC_TOTAL",CD$3,$E$3, $J$3, , $G$3, $H$3)+_xll.ciqfunctions.udf.CIQ($B17,"IQ_NON_INT_INC",CD$3,$E$3, $J$3, , $G$3, $H$3))),"")</f>
        <v/>
      </c>
      <c r="BG17" s="72" t="str">
        <f>IFERROR(IF(OR($B17="",BG$3=""),"",_xll.ciqfunctions.udf.CIQ($B17, "IQ_EBT", BG$3,$E$3, $J$3, , $G$3, $H$3)/(_xll.ciqfunctions.udf.CIQ($B17,"IQ_INT_INC_TOTAL",CE$3,$E$3, $J$3, , $G$3, $H$3)+_xll.ciqfunctions.udf.CIQ($B17,"IQ_NON_INT_INC",CE$3,$E$3, $J$3, , $G$3, $H$3))),"")</f>
        <v/>
      </c>
      <c r="BH17" s="72" t="str">
        <f>IFERROR(IF(OR($B17="",BH$3=""),"",_xll.ciqfunctions.udf.CIQ($B17, "IQ_EBT", BH$3,$E$3, $J$3, , $G$3, $H$3)/(_xll.ciqfunctions.udf.CIQ($B17,"IQ_INT_INC_TOTAL",CF$3,$E$3, $J$3, , $G$3, $H$3)+_xll.ciqfunctions.udf.CIQ($B17,"IQ_NON_INT_INC",CF$3,$E$3, $J$3, , $G$3, $H$3))),"")</f>
        <v/>
      </c>
      <c r="BI17" s="72" t="str">
        <f>IFERROR(IF(OR($B17="",BI$3=""),"",_xll.ciqfunctions.udf.CIQ($B17, "IQ_EBT", BI$3,$E$3, $J$3, , $G$3, $H$3)/(_xll.ciqfunctions.udf.CIQ($B17,"IQ_INT_INC_TOTAL",CG$3,$E$3, $J$3, , $G$3, $H$3)+_xll.ciqfunctions.udf.CIQ($B17,"IQ_NON_INT_INC",CG$3,$E$3, $J$3, , $G$3, $H$3))),"")</f>
        <v/>
      </c>
      <c r="BJ17" s="72" t="str">
        <f>IFERROR(IF(OR($B17="",BJ$3=""),"",_xll.ciqfunctions.udf.CIQ($B17, "IQ_EBT", BJ$3,$E$3, $J$3, , $G$3, $H$3)/(_xll.ciqfunctions.udf.CIQ($B17,"IQ_INT_INC_TOTAL",CH$3,$E$3, $J$3, , $G$3, $H$3)+_xll.ciqfunctions.udf.CIQ($B17,"IQ_NON_INT_INC",CH$3,$E$3, $J$3, , $G$3, $H$3))),"")</f>
        <v/>
      </c>
      <c r="BK17" s="72" t="str">
        <f>IFERROR(IF(OR($B17="",BK$3=""),"",_xll.ciqfunctions.udf.CIQ($B17, "IQ_EBT", BK$3,$E$3, $J$3, , $G$3, $H$3)/(_xll.ciqfunctions.udf.CIQ($B17,"IQ_INT_INC_TOTAL",CI$3,$E$3, $J$3, , $G$3, $H$3)+_xll.ciqfunctions.udf.CIQ($B17,"IQ_NON_INT_INC",CI$3,$E$3, $J$3, , $G$3, $H$3))),"")</f>
        <v/>
      </c>
      <c r="BL17" s="72" t="str">
        <f>IFERROR(IF(OR($B17="",BL$3=""),"",_xll.ciqfunctions.udf.CIQ($B17, "IQ_EBT", BL$3,$E$3, $J$3, , $G$3, $H$3)/(_xll.ciqfunctions.udf.CIQ($B17,"IQ_INT_INC_TOTAL",CJ$3,$E$3, $J$3, , $G$3, $H$3)+_xll.ciqfunctions.udf.CIQ($B17,"IQ_NON_INT_INC",CJ$3,$E$3, $J$3, , $G$3, $H$3))),"")</f>
        <v/>
      </c>
      <c r="BM17" s="72" t="str">
        <f>IFERROR(IF(OR($B17="",BM$3=""),"",_xll.ciqfunctions.udf.CIQ($B17, "IQ_EBT", BM$3,$E$3, $J$3, , $G$3, $H$3)/(_xll.ciqfunctions.udf.CIQ($B17,"IQ_INT_INC_TOTAL",CK$3,$E$3, $J$3, , $G$3, $H$3)+_xll.ciqfunctions.udf.CIQ($B17,"IQ_NON_INT_INC",CK$3,$E$3, $J$3, , $G$3, $H$3))),"")</f>
        <v/>
      </c>
      <c r="BN17" s="72" t="str">
        <f>IFERROR(IF(OR($B17="",BN$3=""),"",_xll.ciqfunctions.udf.CIQ($B17, "IQ_EBT", BN$3,$E$3, $J$3, , $G$3, $H$3)/(_xll.ciqfunctions.udf.CIQ($B17,"IQ_INT_INC_TOTAL",CL$3,$E$3, $J$3, , $G$3, $H$3)+_xll.ciqfunctions.udf.CIQ($B17,"IQ_NON_INT_INC",CL$3,$E$3, $J$3, , $G$3, $H$3))),"")</f>
        <v/>
      </c>
      <c r="BO17" s="72" t="str">
        <f>IFERROR(IF(OR($B17="",BO$3=""),"",_xll.ciqfunctions.udf.CIQ($B17, "IQ_EBT", BO$3,$E$3, $J$3, , $G$3, $H$3)/(_xll.ciqfunctions.udf.CIQ($B17,"IQ_INT_INC_TOTAL",CM$3,$E$3, $J$3, , $G$3, $H$3)+_xll.ciqfunctions.udf.CIQ($B17,"IQ_NON_INT_INC",CM$3,$E$3, $J$3, , $G$3, $H$3))),"")</f>
        <v/>
      </c>
      <c r="BP17" s="72" t="str">
        <f>IFERROR(IF(OR($B17="",BP$3=""),"",_xll.ciqfunctions.udf.CIQ($B17, "IQ_EBT", BP$3,$E$3, $J$3, , $G$3, $H$3)/(_xll.ciqfunctions.udf.CIQ($B17,"IQ_INT_INC_TOTAL",CN$3,$E$3, $J$3, , $G$3, $H$3)+_xll.ciqfunctions.udf.CIQ($B17,"IQ_NON_INT_INC",CN$3,$E$3, $J$3, , $G$3, $H$3))),"")</f>
        <v/>
      </c>
      <c r="BQ17" s="72" t="str">
        <f>IFERROR(IF(OR($B17="",BQ$3=""),"",_xll.ciqfunctions.udf.CIQ($B17, "IQ_EBT", BQ$3,$E$3, $J$3, , $G$3, $H$3)/(_xll.ciqfunctions.udf.CIQ($B17,"IQ_INT_INC_TOTAL",CO$3,$E$3, $J$3, , $G$3, $H$3)+_xll.ciqfunctions.udf.CIQ($B17,"IQ_NON_INT_INC",CO$3,$E$3, $J$3, , $G$3, $H$3))),"")</f>
        <v/>
      </c>
      <c r="BR17" s="72" t="str">
        <f>IFERROR(IF(OR($B17="",BR$3=""),"",_xll.ciqfunctions.udf.CIQ($B17, "IQ_EBT", BR$3,$E$3, $J$3, , $G$3, $H$3)/(_xll.ciqfunctions.udf.CIQ($B17,"IQ_INT_INC_TOTAL",CP$3,$E$3, $J$3, , $G$3, $H$3)+_xll.ciqfunctions.udf.CIQ($B17,"IQ_NON_INT_INC",CP$3,$E$3, $J$3, , $G$3, $H$3))),"")</f>
        <v/>
      </c>
      <c r="BS17" s="292" t="str">
        <f>IFERROR(IF(OR($B17="",BS$3=""),"",_xll.ciqfunctions.udf.CIQ($B17,"IQ_NI",BS$3,$E$3, $J$3, , $G$3, $H$3)/(_xll.ciqfunctions.udf.CIQ($B17,"IQ_INT_INC_TOTAL",BS$3,$E$3, $J$3, , $G$3, $H$3)+_xll.ciqfunctions.udf.CIQ($B17,"IQ_NON_INT_INC",BS$3,$E$3, $J$3, , $G$3, $H$3))),"")</f>
        <v/>
      </c>
      <c r="BT17" s="292" t="str">
        <f>IFERROR(IF(OR($B17="",BT$3=""),"",_xll.ciqfunctions.udf.CIQ($B17,"IQ_NI",BT$3,$E$3, $J$3, , $G$3, $H$3)/(_xll.ciqfunctions.udf.CIQ($B17,"IQ_INT_INC_TOTAL",BT$3,$E$3, $J$3, , $G$3, $H$3)+_xll.ciqfunctions.udf.CIQ($B17,"IQ_NON_INT_INC",BT$3,$E$3, $J$3, , $G$3, $H$3))),"")</f>
        <v/>
      </c>
      <c r="BU17" s="292" t="str">
        <f>IFERROR(IF(OR($B17="",BU$3=""),"",_xll.ciqfunctions.udf.CIQ($B17,"IQ_NI",BU$3,$E$3, $J$3, , $G$3, $H$3)/(_xll.ciqfunctions.udf.CIQ($B17,"IQ_INT_INC_TOTAL",BU$3,$E$3, $J$3, , $G$3, $H$3)+_xll.ciqfunctions.udf.CIQ($B17,"IQ_NON_INT_INC",BU$3,$E$3, $J$3, , $G$3, $H$3))),"")</f>
        <v/>
      </c>
      <c r="BV17" s="292" t="str">
        <f>IFERROR(IF(OR($B17="",BV$3=""),"",_xll.ciqfunctions.udf.CIQ($B17,"IQ_NI",BV$3,$E$3, $J$3, , $G$3, $H$3)/(_xll.ciqfunctions.udf.CIQ($B17,"IQ_INT_INC_TOTAL",BV$3,$E$3, $J$3, , $G$3, $H$3)+_xll.ciqfunctions.udf.CIQ($B17,"IQ_NON_INT_INC",BV$3,$E$3, $J$3, , $G$3, $H$3))),"")</f>
        <v/>
      </c>
      <c r="BW17" s="292" t="str">
        <f>IFERROR(IF(OR($B17="",BW$3=""),"",_xll.ciqfunctions.udf.CIQ($B17,"IQ_NI",BW$3,$E$3, $J$3, , $G$3, $H$3)/(_xll.ciqfunctions.udf.CIQ($B17,"IQ_INT_INC_TOTAL",BW$3,$E$3, $J$3, , $G$3, $H$3)+_xll.ciqfunctions.udf.CIQ($B17,"IQ_NON_INT_INC",BW$3,$E$3, $J$3, , $G$3, $H$3))),"")</f>
        <v/>
      </c>
      <c r="BX17" s="292" t="str">
        <f>IFERROR(IF(OR($B17="",BX$3=""),"",_xll.ciqfunctions.udf.CIQ($B17,"IQ_NI",BX$3,$E$3, $J$3, , $G$3, $H$3)/(_xll.ciqfunctions.udf.CIQ($B17,"IQ_INT_INC_TOTAL",BX$3,$E$3, $J$3, , $G$3, $H$3)+_xll.ciqfunctions.udf.CIQ($B17,"IQ_NON_INT_INC",BX$3,$E$3, $J$3, , $G$3, $H$3))),"")</f>
        <v/>
      </c>
      <c r="BY17" s="292" t="str">
        <f>IFERROR(IF(OR($B17="",BY$3=""),"",_xll.ciqfunctions.udf.CIQ($B17,"IQ_NI",BY$3,$E$3, $J$3, , $G$3, $H$3)/(_xll.ciqfunctions.udf.CIQ($B17,"IQ_INT_INC_TOTAL",BY$3,$E$3, $J$3, , $G$3, $H$3)+_xll.ciqfunctions.udf.CIQ($B17,"IQ_NON_INT_INC",BY$3,$E$3, $J$3, , $G$3, $H$3))),"")</f>
        <v/>
      </c>
      <c r="BZ17" s="292" t="str">
        <f>IFERROR(IF(OR($B17="",BZ$3=""),"",_xll.ciqfunctions.udf.CIQ($B17,"IQ_NI",BZ$3,$E$3, $J$3, , $G$3, $H$3)/(_xll.ciqfunctions.udf.CIQ($B17,"IQ_INT_INC_TOTAL",BZ$3,$E$3, $J$3, , $G$3, $H$3)+_xll.ciqfunctions.udf.CIQ($B17,"IQ_NON_INT_INC",BZ$3,$E$3, $J$3, , $G$3, $H$3))),"")</f>
        <v/>
      </c>
      <c r="CA17" s="292" t="str">
        <f>IFERROR(IF(OR($B17="",CA$3=""),"",_xll.ciqfunctions.udf.CIQ($B17,"IQ_NI",CA$3,$E$3, $J$3, , $G$3, $H$3)/(_xll.ciqfunctions.udf.CIQ($B17,"IQ_INT_INC_TOTAL",CA$3,$E$3, $J$3, , $G$3, $H$3)+_xll.ciqfunctions.udf.CIQ($B17,"IQ_NON_INT_INC",CA$3,$E$3, $J$3, , $G$3, $H$3))),"")</f>
        <v/>
      </c>
      <c r="CB17" s="292" t="str">
        <f>IFERROR(IF(OR($B17="",CB$3=""),"",_xll.ciqfunctions.udf.CIQ($B17,"IQ_NI",CB$3,$E$3, $J$3, , $G$3, $H$3)/(_xll.ciqfunctions.udf.CIQ($B17,"IQ_INT_INC_TOTAL",CB$3,$E$3, $J$3, , $G$3, $H$3)+_xll.ciqfunctions.udf.CIQ($B17,"IQ_NON_INT_INC",CB$3,$E$3, $J$3, , $G$3, $H$3))),"")</f>
        <v/>
      </c>
      <c r="CC17" s="292" t="str">
        <f>IFERROR(IF(OR($B17="",CC$3=""),"",_xll.ciqfunctions.udf.CIQ($B17,"IQ_NI",CC$3,$E$3, $J$3, , $G$3, $H$3)/(_xll.ciqfunctions.udf.CIQ($B17,"IQ_INT_INC_TOTAL",CC$3,$E$3, $J$3, , $G$3, $H$3)+_xll.ciqfunctions.udf.CIQ($B17,"IQ_NON_INT_INC",CC$3,$E$3, $J$3, , $G$3, $H$3))),"")</f>
        <v/>
      </c>
      <c r="CD17" s="292" t="str">
        <f>IFERROR(IF(OR($B17="",CD$3=""),"",_xll.ciqfunctions.udf.CIQ($B17,"IQ_NI",CD$3,$E$3, $J$3, , $G$3, $H$3)/(_xll.ciqfunctions.udf.CIQ($B17,"IQ_INT_INC_TOTAL",CD$3,$E$3, $J$3, , $G$3, $H$3)+_xll.ciqfunctions.udf.CIQ($B17,"IQ_NON_INT_INC",CD$3,$E$3, $J$3, , $G$3, $H$3))),"")</f>
        <v/>
      </c>
      <c r="CE17" s="292" t="str">
        <f>IFERROR(IF(OR($B17="",CE$3=""),"",_xll.ciqfunctions.udf.CIQ($B17,"IQ_NI",CE$3,$E$3, $J$3, , $G$3, $H$3)/(_xll.ciqfunctions.udf.CIQ($B17,"IQ_INT_INC_TOTAL",CE$3,$E$3, $J$3, , $G$3, $H$3)+_xll.ciqfunctions.udf.CIQ($B17,"IQ_NON_INT_INC",CE$3,$E$3, $J$3, , $G$3, $H$3))),"")</f>
        <v/>
      </c>
      <c r="CF17" s="292" t="str">
        <f>IFERROR(IF(OR($B17="",CF$3=""),"",_xll.ciqfunctions.udf.CIQ($B17,"IQ_NI",CF$3,$E$3, $J$3, , $G$3, $H$3)/(_xll.ciqfunctions.udf.CIQ($B17,"IQ_INT_INC_TOTAL",CF$3,$E$3, $J$3, , $G$3, $H$3)+_xll.ciqfunctions.udf.CIQ($B17,"IQ_NON_INT_INC",CF$3,$E$3, $J$3, , $G$3, $H$3))),"")</f>
        <v/>
      </c>
      <c r="CG17" s="292" t="str">
        <f>IFERROR(IF(OR($B17="",CG$3=""),"",_xll.ciqfunctions.udf.CIQ($B17,"IQ_NI",CG$3,$E$3, $J$3, , $G$3, $H$3)/(_xll.ciqfunctions.udf.CIQ($B17,"IQ_INT_INC_TOTAL",CG$3,$E$3, $J$3, , $G$3, $H$3)+_xll.ciqfunctions.udf.CIQ($B17,"IQ_NON_INT_INC",CG$3,$E$3, $J$3, , $G$3, $H$3))),"")</f>
        <v/>
      </c>
      <c r="CH17" s="292" t="str">
        <f>IFERROR(IF(OR($B17="",CH$3=""),"",_xll.ciqfunctions.udf.CIQ($B17,"IQ_NI",CH$3,$E$3, $J$3, , $G$3, $H$3)/(_xll.ciqfunctions.udf.CIQ($B17,"IQ_INT_INC_TOTAL",CH$3,$E$3, $J$3, , $G$3, $H$3)+_xll.ciqfunctions.udf.CIQ($B17,"IQ_NON_INT_INC",CH$3,$E$3, $J$3, , $G$3, $H$3))),"")</f>
        <v/>
      </c>
      <c r="CI17" s="292" t="str">
        <f>IFERROR(IF(OR($B17="",CI$3=""),"",_xll.ciqfunctions.udf.CIQ($B17,"IQ_NI",CI$3,$E$3, $J$3, , $G$3, $H$3)/(_xll.ciqfunctions.udf.CIQ($B17,"IQ_INT_INC_TOTAL",CI$3,$E$3, $J$3, , $G$3, $H$3)+_xll.ciqfunctions.udf.CIQ($B17,"IQ_NON_INT_INC",CI$3,$E$3, $J$3, , $G$3, $H$3))),"")</f>
        <v/>
      </c>
      <c r="CJ17" s="292" t="str">
        <f>IFERROR(IF(OR($B17="",CJ$3=""),"",_xll.ciqfunctions.udf.CIQ($B17,"IQ_NI",CJ$3,$E$3, $J$3, , $G$3, $H$3)/(_xll.ciqfunctions.udf.CIQ($B17,"IQ_INT_INC_TOTAL",CJ$3,$E$3, $J$3, , $G$3, $H$3)+_xll.ciqfunctions.udf.CIQ($B17,"IQ_NON_INT_INC",CJ$3,$E$3, $J$3, , $G$3, $H$3))),"")</f>
        <v/>
      </c>
      <c r="CK17" s="292" t="str">
        <f>IFERROR(IF(OR($B17="",CK$3=""),"",_xll.ciqfunctions.udf.CIQ($B17,"IQ_NI",CK$3,$E$3, $J$3, , $G$3, $H$3)/(_xll.ciqfunctions.udf.CIQ($B17,"IQ_INT_INC_TOTAL",CK$3,$E$3, $J$3, , $G$3, $H$3)+_xll.ciqfunctions.udf.CIQ($B17,"IQ_NON_INT_INC",CK$3,$E$3, $J$3, , $G$3, $H$3))),"")</f>
        <v/>
      </c>
      <c r="CL17" s="292" t="str">
        <f>IFERROR(IF(OR($B17="",CL$3=""),"",_xll.ciqfunctions.udf.CIQ($B17,"IQ_NI",CL$3,$E$3, $J$3, , $G$3, $H$3)/(_xll.ciqfunctions.udf.CIQ($B17,"IQ_INT_INC_TOTAL",CL$3,$E$3, $J$3, , $G$3, $H$3)+_xll.ciqfunctions.udf.CIQ($B17,"IQ_NON_INT_INC",CL$3,$E$3, $J$3, , $G$3, $H$3))),"")</f>
        <v/>
      </c>
      <c r="CM17" s="72" t="str">
        <f>IFERROR(IF(OR($B17="",CM$3=""),"",_xll.ciqfunctions.udf.CIQ($B17,"IQ_SGA_SUPPL",CM$3,$E$3, $J$3, , $G$3, $H$3)/(_xll.ciqfunctions.udf.CIQ($B17,"IQ_INT_INC_TOTAL",CM$3,$E$3, $J$3, , $G$3, $H$3)+_xll.ciqfunctions.udf.CIQ($B17,"IQ_NON_INT_INC",CM$3,$E$3, $J$3, , $G$3, $H$3))),"")</f>
        <v/>
      </c>
      <c r="CN17" s="72" t="str">
        <f>IFERROR(IF(OR($B17="",CN$3=""),"",_xll.ciqfunctions.udf.CIQ($B17,"IQ_SGA_SUPPL",CN$3,$E$3, $J$3, , $G$3, $H$3)/(_xll.ciqfunctions.udf.CIQ($B17,"IQ_INT_INC_TOTAL",CN$3,$E$3, $J$3, , $G$3, $H$3)+_xll.ciqfunctions.udf.CIQ($B17,"IQ_NON_INT_INC",CN$3,$E$3, $J$3, , $G$3, $H$3))),"")</f>
        <v/>
      </c>
      <c r="CO17" s="72" t="str">
        <f>IFERROR(IF(OR($B17="",CO$3=""),"",_xll.ciqfunctions.udf.CIQ($B17,"IQ_SGA_SUPPL",CO$3,$E$3, $J$3, , $G$3, $H$3)/(_xll.ciqfunctions.udf.CIQ($B17,"IQ_INT_INC_TOTAL",CO$3,$E$3, $J$3, , $G$3, $H$3)+_xll.ciqfunctions.udf.CIQ($B17,"IQ_NON_INT_INC",CO$3,$E$3, $J$3, , $G$3, $H$3))),"")</f>
        <v/>
      </c>
      <c r="CP17" s="72" t="str">
        <f>IFERROR(IF(OR($B17="",CP$3=""),"",_xll.ciqfunctions.udf.CIQ($B17,"IQ_SGA_SUPPL",CP$3,$E$3, $J$3, , $G$3, $H$3)/(_xll.ciqfunctions.udf.CIQ($B17,"IQ_INT_INC_TOTAL",CP$3,$E$3, $J$3, , $G$3, $H$3)+_xll.ciqfunctions.udf.CIQ($B17,"IQ_NON_INT_INC",CP$3,$E$3, $J$3, , $G$3, $H$3))),"")</f>
        <v/>
      </c>
      <c r="CQ17" s="72" t="str">
        <f>IFERROR(IF(OR($B17="",CQ$3=""),"",_xll.ciqfunctions.udf.CIQ($B17,"IQ_SGA_SUPPL",CQ$3,$E$3, $J$3, , $G$3, $H$3)/(_xll.ciqfunctions.udf.CIQ($B17,"IQ_INT_INC_TOTAL",CQ$3,$E$3, $J$3, , $G$3, $H$3)+_xll.ciqfunctions.udf.CIQ($B17,"IQ_NON_INT_INC",CQ$3,$E$3, $J$3, , $G$3, $H$3))),"")</f>
        <v/>
      </c>
      <c r="CR17" s="72" t="str">
        <f>IFERROR(IF(OR($B17="",CR$3=""),"",_xll.ciqfunctions.udf.CIQ($B17,"IQ_SGA_SUPPL",CR$3,$E$3, $J$3, , $G$3, $H$3)/(_xll.ciqfunctions.udf.CIQ($B17,"IQ_INT_INC_TOTAL",CR$3,$E$3, $J$3, , $G$3, $H$3)+_xll.ciqfunctions.udf.CIQ($B17,"IQ_NON_INT_INC",CR$3,$E$3, $J$3, , $G$3, $H$3))),"")</f>
        <v/>
      </c>
      <c r="CS17" s="72" t="str">
        <f>IFERROR(IF(OR($B17="",CS$3=""),"",_xll.ciqfunctions.udf.CIQ($B17,"IQ_SGA_SUPPL",CS$3,$E$3, $J$3, , $G$3, $H$3)/(_xll.ciqfunctions.udf.CIQ($B17,"IQ_INT_INC_TOTAL",CS$3,$E$3, $J$3, , $G$3, $H$3)+_xll.ciqfunctions.udf.CIQ($B17,"IQ_NON_INT_INC",CS$3,$E$3, $J$3, , $G$3, $H$3))),"")</f>
        <v/>
      </c>
      <c r="CT17" s="72" t="str">
        <f>IFERROR(IF(OR($B17="",CT$3=""),"",_xll.ciqfunctions.udf.CIQ($B17,"IQ_SGA_SUPPL",CT$3,$E$3, $J$3, , $G$3, $H$3)/(_xll.ciqfunctions.udf.CIQ($B17,"IQ_INT_INC_TOTAL",CT$3,$E$3, $J$3, , $G$3, $H$3)+_xll.ciqfunctions.udf.CIQ($B17,"IQ_NON_INT_INC",CT$3,$E$3, $J$3, , $G$3, $H$3))),"")</f>
        <v/>
      </c>
      <c r="CU17" s="72" t="str">
        <f>IFERROR(IF(OR($B17="",CU$3=""),"",_xll.ciqfunctions.udf.CIQ($B17,"IQ_SGA_SUPPL",CU$3,$E$3, $J$3, , $G$3, $H$3)/(_xll.ciqfunctions.udf.CIQ($B17,"IQ_INT_INC_TOTAL",CU$3,$E$3, $J$3, , $G$3, $H$3)+_xll.ciqfunctions.udf.CIQ($B17,"IQ_NON_INT_INC",CU$3,$E$3, $J$3, , $G$3, $H$3))),"")</f>
        <v/>
      </c>
      <c r="CV17" s="72" t="str">
        <f>IFERROR(IF(OR($B17="",CV$3=""),"",_xll.ciqfunctions.udf.CIQ($B17,"IQ_SGA_SUPPL",CV$3,$E$3, $J$3, , $G$3, $H$3)/(_xll.ciqfunctions.udf.CIQ($B17,"IQ_INT_INC_TOTAL",CV$3,$E$3, $J$3, , $G$3, $H$3)+_xll.ciqfunctions.udf.CIQ($B17,"IQ_NON_INT_INC",CV$3,$E$3, $J$3, , $G$3, $H$3))),"")</f>
        <v/>
      </c>
      <c r="CW17" s="72" t="str">
        <f>IFERROR(IF(OR($B17="",CW$3=""),"",_xll.ciqfunctions.udf.CIQ($B17,"IQ_SGA_SUPPL",CW$3,$E$3, $J$3, , $G$3, $H$3)/(_xll.ciqfunctions.udf.CIQ($B17,"IQ_INT_INC_TOTAL",CW$3,$E$3, $J$3, , $G$3, $H$3)+_xll.ciqfunctions.udf.CIQ($B17,"IQ_NON_INT_INC",CW$3,$E$3, $J$3, , $G$3, $H$3))),"")</f>
        <v/>
      </c>
      <c r="CX17" s="72" t="str">
        <f>IFERROR(IF(OR($B17="",CX$3=""),"",_xll.ciqfunctions.udf.CIQ($B17,"IQ_SGA_SUPPL",CX$3,$E$3, $J$3, , $G$3, $H$3)/(_xll.ciqfunctions.udf.CIQ($B17,"IQ_INT_INC_TOTAL",CX$3,$E$3, $J$3, , $G$3, $H$3)+_xll.ciqfunctions.udf.CIQ($B17,"IQ_NON_INT_INC",CX$3,$E$3, $J$3, , $G$3, $H$3))),"")</f>
        <v/>
      </c>
      <c r="CY17" s="72" t="str">
        <f>IFERROR(IF(OR($B17="",CY$3=""),"",_xll.ciqfunctions.udf.CIQ($B17,"IQ_SGA_SUPPL",CY$3,$E$3, $J$3, , $G$3, $H$3)/(_xll.ciqfunctions.udf.CIQ($B17,"IQ_INT_INC_TOTAL",CY$3,$E$3, $J$3, , $G$3, $H$3)+_xll.ciqfunctions.udf.CIQ($B17,"IQ_NON_INT_INC",CY$3,$E$3, $J$3, , $G$3, $H$3))),"")</f>
        <v/>
      </c>
      <c r="CZ17" s="72" t="str">
        <f>IFERROR(IF(OR($B17="",CZ$3=""),"",_xll.ciqfunctions.udf.CIQ($B17,"IQ_SGA_SUPPL",CZ$3,$E$3, $J$3, , $G$3, $H$3)/(_xll.ciqfunctions.udf.CIQ($B17,"IQ_INT_INC_TOTAL",CZ$3,$E$3, $J$3, , $G$3, $H$3)+_xll.ciqfunctions.udf.CIQ($B17,"IQ_NON_INT_INC",CZ$3,$E$3, $J$3, , $G$3, $H$3))),"")</f>
        <v/>
      </c>
      <c r="DA17" s="72" t="str">
        <f>IFERROR(IF(OR($B17="",DA$3=""),"",_xll.ciqfunctions.udf.CIQ($B17,"IQ_SGA_SUPPL",DA$3,$E$3, $J$3, , $G$3, $H$3)/(_xll.ciqfunctions.udf.CIQ($B17,"IQ_INT_INC_TOTAL",DA$3,$E$3, $J$3, , $G$3, $H$3)+_xll.ciqfunctions.udf.CIQ($B17,"IQ_NON_INT_INC",DA$3,$E$3, $J$3, , $G$3, $H$3))),"")</f>
        <v/>
      </c>
      <c r="DB17" s="72" t="str">
        <f>IFERROR(IF(OR($B17="",DB$3=""),"",_xll.ciqfunctions.udf.CIQ($B17,"IQ_SGA_SUPPL",DB$3,$E$3, $J$3, , $G$3, $H$3)/(_xll.ciqfunctions.udf.CIQ($B17,"IQ_INT_INC_TOTAL",DB$3,$E$3, $J$3, , $G$3, $H$3)+_xll.ciqfunctions.udf.CIQ($B17,"IQ_NON_INT_INC",DB$3,$E$3, $J$3, , $G$3, $H$3))),"")</f>
        <v/>
      </c>
      <c r="DC17" s="72" t="str">
        <f>IFERROR(IF(OR($B17="",DC$3=""),"",_xll.ciqfunctions.udf.CIQ($B17,"IQ_SGA_SUPPL",DC$3,$E$3, $J$3, , $G$3, $H$3)/(_xll.ciqfunctions.udf.CIQ($B17,"IQ_INT_INC_TOTAL",DC$3,$E$3, $J$3, , $G$3, $H$3)+_xll.ciqfunctions.udf.CIQ($B17,"IQ_NON_INT_INC",DC$3,$E$3, $J$3, , $G$3, $H$3))),"")</f>
        <v/>
      </c>
      <c r="DD17" s="72" t="str">
        <f>IFERROR(IF(OR($B17="",DD$3=""),"",_xll.ciqfunctions.udf.CIQ($B17,"IQ_SGA_SUPPL",DD$3,$E$3, $J$3, , $G$3, $H$3)/(_xll.ciqfunctions.udf.CIQ($B17,"IQ_INT_INC_TOTAL",DD$3,$E$3, $J$3, , $G$3, $H$3)+_xll.ciqfunctions.udf.CIQ($B17,"IQ_NON_INT_INC",DD$3,$E$3, $J$3, , $G$3, $H$3))),"")</f>
        <v/>
      </c>
      <c r="DE17" s="72" t="str">
        <f>IFERROR(IF(OR($B17="",DE$3=""),"",_xll.ciqfunctions.udf.CIQ($B17,"IQ_SGA_SUPPL",DE$3,$E$3, $J$3, , $G$3, $H$3)/(_xll.ciqfunctions.udf.CIQ($B17,"IQ_INT_INC_TOTAL",DE$3,$E$3, $J$3, , $G$3, $H$3)+_xll.ciqfunctions.udf.CIQ($B17,"IQ_NON_INT_INC",DE$3,$E$3, $J$3, , $G$3, $H$3))),"")</f>
        <v/>
      </c>
      <c r="DF17" s="72" t="str">
        <f>IFERROR(IF(OR($B17="",DF$3=""),"",_xll.ciqfunctions.udf.CIQ($B17,"IQ_SGA_SUPPL",DF$3,$E$3, $J$3, , $G$3, $H$3)/(_xll.ciqfunctions.udf.CIQ($B17,"IQ_INT_INC_TOTAL",DF$3,$E$3, $J$3, , $G$3, $H$3)+_xll.ciqfunctions.udf.CIQ($B17,"IQ_NON_INT_INC",DF$3,$E$3, $J$3, , $G$3, $H$3))),"")</f>
        <v/>
      </c>
      <c r="DG17" s="294" t="str">
        <f>IFERROR(IF(OR($B17="",DG$3=""),"",_xll.ciqfunctions.udf.CIQ($B17,"IQ_TIER_ONE_RATIO",DG$3,$E$3, $J$3, , $G$3, $H$3)/100),"")</f>
        <v/>
      </c>
      <c r="DH17" s="292" t="str">
        <f>IFERROR(IF(OR($B17="",DH$3=""),"",_xll.ciqfunctions.udf.CIQ($B17,"IQ_TIER_ONE_RATIO",DH$3,$E$3, $J$3, , $G$3, $H$3)/100),"")</f>
        <v/>
      </c>
      <c r="DI17" s="292" t="str">
        <f>IFERROR(IF(OR($B17="",DI$3=""),"",_xll.ciqfunctions.udf.CIQ($B17,"IQ_TIER_ONE_RATIO",DI$3,$E$3, $J$3, , $G$3, $H$3)/100),"")</f>
        <v/>
      </c>
      <c r="DJ17" s="292" t="str">
        <f>IFERROR(IF(OR($B17="",DJ$3=""),"",_xll.ciqfunctions.udf.CIQ($B17,"IQ_TIER_ONE_RATIO",DJ$3,$E$3, $J$3, , $G$3, $H$3)/100),"")</f>
        <v/>
      </c>
      <c r="DK17" s="292" t="str">
        <f>IFERROR(IF(OR($B17="",DK$3=""),"",_xll.ciqfunctions.udf.CIQ($B17,"IQ_TIER_ONE_RATIO",DK$3,$E$3, $J$3, , $G$3, $H$3)/100),"")</f>
        <v/>
      </c>
      <c r="DL17" s="292" t="str">
        <f>IFERROR(IF(OR($B17="",DL$3=""),"",_xll.ciqfunctions.udf.CIQ($B17,"IQ_TIER_ONE_RATIO",DL$3,$E$3, $J$3, , $G$3, $H$3)/100),"")</f>
        <v/>
      </c>
      <c r="DM17" s="292" t="str">
        <f>IFERROR(IF(OR($B17="",DM$3=""),"",_xll.ciqfunctions.udf.CIQ($B17,"IQ_TIER_ONE_RATIO",DM$3,$E$3, $J$3, , $G$3, $H$3)/100),"")</f>
        <v/>
      </c>
      <c r="DN17" s="292" t="str">
        <f>IFERROR(IF(OR($B17="",DN$3=""),"",_xll.ciqfunctions.udf.CIQ($B17,"IQ_TIER_ONE_RATIO",DN$3,$E$3, $J$3, , $G$3, $H$3)/100),"")</f>
        <v/>
      </c>
      <c r="DO17" s="292" t="str">
        <f>IFERROR(IF(OR($B17="",DO$3=""),"",_xll.ciqfunctions.udf.CIQ($B17,"IQ_TIER_ONE_RATIO",DO$3,$E$3, $J$3, , $G$3, $H$3)/100),"")</f>
        <v/>
      </c>
      <c r="DP17" s="292" t="str">
        <f>IFERROR(IF(OR($B17="",DP$3=""),"",_xll.ciqfunctions.udf.CIQ($B17,"IQ_TIER_ONE_RATIO",DP$3,$E$3, $J$3, , $G$3, $H$3)/100),"")</f>
        <v/>
      </c>
      <c r="DQ17" s="292" t="str">
        <f>IFERROR(IF(OR($B17="",DQ$3=""),"",_xll.ciqfunctions.udf.CIQ($B17,"IQ_TIER_ONE_RATIO",DQ$3,$E$3, $J$3, , $G$3, $H$3)/100),"")</f>
        <v/>
      </c>
      <c r="DR17" s="292" t="str">
        <f>IFERROR(IF(OR($B17="",DR$3=""),"",_xll.ciqfunctions.udf.CIQ($B17,"IQ_TIER_ONE_RATIO",DR$3,$E$3, $J$3, , $G$3, $H$3)/100),"")</f>
        <v/>
      </c>
      <c r="DS17" s="292" t="str">
        <f>IFERROR(IF(OR($B17="",DS$3=""),"",_xll.ciqfunctions.udf.CIQ($B17,"IQ_TIER_ONE_RATIO",DS$3,$E$3, $J$3, , $G$3, $H$3)/100),"")</f>
        <v/>
      </c>
      <c r="DT17" s="292" t="str">
        <f>IFERROR(IF(OR($B17="",DT$3=""),"",_xll.ciqfunctions.udf.CIQ($B17,"IQ_TIER_ONE_RATIO",DT$3,$E$3, $J$3, , $G$3, $H$3)/100),"")</f>
        <v/>
      </c>
      <c r="DU17" s="292" t="str">
        <f>IFERROR(IF(OR($B17="",DU$3=""),"",_xll.ciqfunctions.udf.CIQ($B17,"IQ_TIER_ONE_RATIO",DU$3,$E$3, $J$3, , $G$3, $H$3)/100),"")</f>
        <v/>
      </c>
      <c r="DV17" s="292" t="str">
        <f>IFERROR(IF(OR($B17="",DV$3=""),"",_xll.ciqfunctions.udf.CIQ($B17,"IQ_TIER_ONE_RATIO",DV$3,$E$3, $J$3, , $G$3, $H$3)/100),"")</f>
        <v/>
      </c>
      <c r="DW17" s="292" t="str">
        <f>IFERROR(IF(OR($B17="",DW$3=""),"",_xll.ciqfunctions.udf.CIQ($B17,"IQ_TIER_ONE_RATIO",DW$3,$E$3, $J$3, , $G$3, $H$3)/100),"")</f>
        <v/>
      </c>
      <c r="DX17" s="292" t="str">
        <f>IFERROR(IF(OR($B17="",DX$3=""),"",_xll.ciqfunctions.udf.CIQ($B17,"IQ_TIER_ONE_RATIO",DX$3,$E$3, $J$3, , $G$3, $H$3)/100),"")</f>
        <v/>
      </c>
      <c r="DY17" s="292" t="str">
        <f>IFERROR(IF(OR($B17="",DY$3=""),"",_xll.ciqfunctions.udf.CIQ($B17,"IQ_TIER_ONE_RATIO",DY$3,$E$3, $J$3, , $G$3, $H$3)/100),"")</f>
        <v/>
      </c>
      <c r="DZ17" s="293" t="str">
        <f>IFERROR(IF(OR($B17="",DZ$3=""),"",_xll.ciqfunctions.udf.CIQ($B17,"IQ_TIER_ONE_RATIO",DZ$3,$E$3, $J$3, , $G$3, $H$3)/100),"")</f>
        <v/>
      </c>
      <c r="EA17" s="294" t="str">
        <f>IFERROR(IF(OR($B17="",EA$3=""),"",_xll.ciqfunctions.udf.CIQ($B17,"IQ_TOTAL_CAPITAL_RATIO",EA$3,$E$3, $J$3, , $G$3, $H$3)/100),"")</f>
        <v/>
      </c>
      <c r="EB17" s="292" t="str">
        <f>IFERROR(IF(OR($B17="",EB$3=""),"",_xll.ciqfunctions.udf.CIQ($B17,"IQ_TOTAL_CAPITAL_RATIO",EB$3,$E$3, $J$3, , $G$3, $H$3)/100),"")</f>
        <v/>
      </c>
      <c r="EC17" s="292" t="str">
        <f>IFERROR(IF(OR($B17="",EC$3=""),"",_xll.ciqfunctions.udf.CIQ($B17,"IQ_TOTAL_CAPITAL_RATIO",EC$3,$E$3, $J$3, , $G$3, $H$3)/100),"")</f>
        <v/>
      </c>
      <c r="ED17" s="292" t="str">
        <f>IFERROR(IF(OR($B17="",ED$3=""),"",_xll.ciqfunctions.udf.CIQ($B17,"IQ_TOTAL_CAPITAL_RATIO",ED$3,$E$3, $J$3, , $G$3, $H$3)/100),"")</f>
        <v/>
      </c>
      <c r="EE17" s="292" t="str">
        <f>IFERROR(IF(OR($B17="",EE$3=""),"",_xll.ciqfunctions.udf.CIQ($B17,"IQ_TOTAL_CAPITAL_RATIO",EE$3,$E$3, $J$3, , $G$3, $H$3)/100),"")</f>
        <v/>
      </c>
      <c r="EF17" s="292" t="str">
        <f>IFERROR(IF(OR($B17="",EF$3=""),"",_xll.ciqfunctions.udf.CIQ($B17,"IQ_TOTAL_CAPITAL_RATIO",EF$3,$E$3, $J$3, , $G$3, $H$3)/100),"")</f>
        <v/>
      </c>
      <c r="EG17" s="292" t="str">
        <f>IFERROR(IF(OR($B17="",EG$3=""),"",_xll.ciqfunctions.udf.CIQ($B17,"IQ_TOTAL_CAPITAL_RATIO",EG$3,$E$3, $J$3, , $G$3, $H$3)/100),"")</f>
        <v/>
      </c>
      <c r="EH17" s="292" t="str">
        <f>IFERROR(IF(OR($B17="",EH$3=""),"",_xll.ciqfunctions.udf.CIQ($B17,"IQ_TOTAL_CAPITAL_RATIO",EH$3,$E$3, $J$3, , $G$3, $H$3)/100),"")</f>
        <v/>
      </c>
      <c r="EI17" s="292" t="str">
        <f>IFERROR(IF(OR($B17="",EI$3=""),"",_xll.ciqfunctions.udf.CIQ($B17,"IQ_TOTAL_CAPITAL_RATIO",EI$3,$E$3, $J$3, , $G$3, $H$3)/100),"")</f>
        <v/>
      </c>
      <c r="EJ17" s="292" t="str">
        <f>IFERROR(IF(OR($B17="",EJ$3=""),"",_xll.ciqfunctions.udf.CIQ($B17,"IQ_TOTAL_CAPITAL_RATIO",EJ$3,$E$3, $J$3, , $G$3, $H$3)/100),"")</f>
        <v/>
      </c>
      <c r="EK17" s="292" t="str">
        <f>IFERROR(IF(OR($B17="",EK$3=""),"",_xll.ciqfunctions.udf.CIQ($B17,"IQ_TOTAL_CAPITAL_RATIO",EK$3,$E$3, $J$3, , $G$3, $H$3)/100),"")</f>
        <v/>
      </c>
      <c r="EL17" s="292" t="str">
        <f>IFERROR(IF(OR($B17="",EL$3=""),"",_xll.ciqfunctions.udf.CIQ($B17,"IQ_TOTAL_CAPITAL_RATIO",EL$3,$E$3, $J$3, , $G$3, $H$3)/100),"")</f>
        <v/>
      </c>
      <c r="EM17" s="292" t="str">
        <f>IFERROR(IF(OR($B17="",EM$3=""),"",_xll.ciqfunctions.udf.CIQ($B17,"IQ_TOTAL_CAPITAL_RATIO",EM$3,$E$3, $J$3, , $G$3, $H$3)/100),"")</f>
        <v/>
      </c>
      <c r="EN17" s="292" t="str">
        <f>IFERROR(IF(OR($B17="",EN$3=""),"",_xll.ciqfunctions.udf.CIQ($B17,"IQ_TOTAL_CAPITAL_RATIO",EN$3,$E$3, $J$3, , $G$3, $H$3)/100),"")</f>
        <v/>
      </c>
      <c r="EO17" s="292" t="str">
        <f>IFERROR(IF(OR($B17="",EO$3=""),"",_xll.ciqfunctions.udf.CIQ($B17,"IQ_TOTAL_CAPITAL_RATIO",EO$3,$E$3, $J$3, , $G$3, $H$3)/100),"")</f>
        <v/>
      </c>
      <c r="EP17" s="292" t="str">
        <f>IFERROR(IF(OR($B17="",EP$3=""),"",_xll.ciqfunctions.udf.CIQ($B17,"IQ_TOTAL_CAPITAL_RATIO",EP$3,$E$3, $J$3, , $G$3, $H$3)/100),"")</f>
        <v/>
      </c>
      <c r="EQ17" s="292" t="str">
        <f>IFERROR(IF(OR($B17="",EQ$3=""),"",_xll.ciqfunctions.udf.CIQ($B17,"IQ_TOTAL_CAPITAL_RATIO",EQ$3,$E$3, $J$3, , $G$3, $H$3)/100),"")</f>
        <v/>
      </c>
      <c r="ER17" s="292" t="str">
        <f>IFERROR(IF(OR($B17="",ER$3=""),"",_xll.ciqfunctions.udf.CIQ($B17,"IQ_TOTAL_CAPITAL_RATIO",ER$3,$E$3, $J$3, , $G$3, $H$3)/100),"")</f>
        <v/>
      </c>
      <c r="ES17" s="292" t="str">
        <f>IFERROR(IF(OR($B17="",ES$3=""),"",_xll.ciqfunctions.udf.CIQ($B17,"IQ_TOTAL_CAPITAL_RATIO",ES$3,$E$3, $J$3, , $G$3, $H$3)/100),"")</f>
        <v/>
      </c>
      <c r="ET17" s="293" t="str">
        <f>IFERROR(IF(OR($B17="",ET$3=""),"",_xll.ciqfunctions.udf.CIQ($B17,"IQ_TOTAL_CAPITAL_RATIO",ET$3,$E$3, $J$3, , $G$3, $H$3)/100),"")</f>
        <v/>
      </c>
      <c r="EU17" s="294" t="str">
        <f>IFERROR(IF(OR($B17="",EU$3=""),"",_xll.ciqfunctions.udf.CIQ($B17,"IQ_GROSS_LOANS",EU$3,$E$3, $J$3, , $G$3, $H$3)/_xll.ciqfunctions.udf.CIQ($B17,"IQ_TOTAL_ASSETS",EU$3,$E$3, $J$3, , $G$3, $H$3)),"")</f>
        <v/>
      </c>
      <c r="EV17" s="292" t="str">
        <f>IFERROR(IF(OR($B17="",EV$3=""),"",_xll.ciqfunctions.udf.CIQ($B17,"IQ_GROSS_LOANS",EV$3,$E$3, $J$3, , $G$3, $H$3)/_xll.ciqfunctions.udf.CIQ($B17,"IQ_TOTAL_ASSETS",EV$3,$E$3, $J$3, , $G$3, $H$3)),"")</f>
        <v/>
      </c>
      <c r="EW17" s="292" t="str">
        <f>IFERROR(IF(OR($B17="",EW$3=""),"",_xll.ciqfunctions.udf.CIQ($B17,"IQ_GROSS_LOANS",EW$3,$E$3, $J$3, , $G$3, $H$3)/_xll.ciqfunctions.udf.CIQ($B17,"IQ_TOTAL_ASSETS",EW$3,$E$3, $J$3, , $G$3, $H$3)),"")</f>
        <v/>
      </c>
      <c r="EX17" s="292" t="str">
        <f>IFERROR(IF(OR($B17="",EX$3=""),"",_xll.ciqfunctions.udf.CIQ($B17,"IQ_GROSS_LOANS",EX$3,$E$3, $J$3, , $G$3, $H$3)/_xll.ciqfunctions.udf.CIQ($B17,"IQ_TOTAL_ASSETS",EX$3,$E$3, $J$3, , $G$3, $H$3)),"")</f>
        <v/>
      </c>
      <c r="EY17" s="292" t="str">
        <f>IFERROR(IF(OR($B17="",EY$3=""),"",_xll.ciqfunctions.udf.CIQ($B17,"IQ_GROSS_LOANS",EY$3,$E$3, $J$3, , $G$3, $H$3)/_xll.ciqfunctions.udf.CIQ($B17,"IQ_TOTAL_ASSETS",EY$3,$E$3, $J$3, , $G$3, $H$3)),"")</f>
        <v/>
      </c>
      <c r="EZ17" s="292" t="str">
        <f>IFERROR(IF(OR($B17="",EZ$3=""),"",_xll.ciqfunctions.udf.CIQ($B17,"IQ_GROSS_LOANS",EZ$3,$E$3, $J$3, , $G$3, $H$3)/_xll.ciqfunctions.udf.CIQ($B17,"IQ_TOTAL_ASSETS",EZ$3,$E$3, $J$3, , $G$3, $H$3)),"")</f>
        <v/>
      </c>
      <c r="FA17" s="292" t="str">
        <f>IFERROR(IF(OR($B17="",FA$3=""),"",_xll.ciqfunctions.udf.CIQ($B17,"IQ_GROSS_LOANS",FA$3,$E$3, $J$3, , $G$3, $H$3)/_xll.ciqfunctions.udf.CIQ($B17,"IQ_TOTAL_ASSETS",FA$3,$E$3, $J$3, , $G$3, $H$3)),"")</f>
        <v/>
      </c>
      <c r="FB17" s="292" t="str">
        <f>IFERROR(IF(OR($B17="",FB$3=""),"",_xll.ciqfunctions.udf.CIQ($B17,"IQ_GROSS_LOANS",FB$3,$E$3, $J$3, , $G$3, $H$3)/_xll.ciqfunctions.udf.CIQ($B17,"IQ_TOTAL_ASSETS",FB$3,$E$3, $J$3, , $G$3, $H$3)),"")</f>
        <v/>
      </c>
      <c r="FC17" s="292" t="str">
        <f>IFERROR(IF(OR($B17="",FC$3=""),"",_xll.ciqfunctions.udf.CIQ($B17,"IQ_GROSS_LOANS",FC$3,$E$3, $J$3, , $G$3, $H$3)/_xll.ciqfunctions.udf.CIQ($B17,"IQ_TOTAL_ASSETS",FC$3,$E$3, $J$3, , $G$3, $H$3)),"")</f>
        <v/>
      </c>
      <c r="FD17" s="292" t="str">
        <f>IFERROR(IF(OR($B17="",FD$3=""),"",_xll.ciqfunctions.udf.CIQ($B17,"IQ_GROSS_LOANS",FD$3,$E$3, $J$3, , $G$3, $H$3)/_xll.ciqfunctions.udf.CIQ($B17,"IQ_TOTAL_ASSETS",FD$3,$E$3, $J$3, , $G$3, $H$3)),"")</f>
        <v/>
      </c>
      <c r="FE17" s="292" t="str">
        <f>IFERROR(IF(OR($B17="",FE$3=""),"",_xll.ciqfunctions.udf.CIQ($B17,"IQ_GROSS_LOANS",FE$3,$E$3, $J$3, , $G$3, $H$3)/_xll.ciqfunctions.udf.CIQ($B17,"IQ_TOTAL_ASSETS",FE$3,$E$3, $J$3, , $G$3, $H$3)),"")</f>
        <v/>
      </c>
      <c r="FF17" s="292" t="str">
        <f>IFERROR(IF(OR($B17="",FF$3=""),"",_xll.ciqfunctions.udf.CIQ($B17,"IQ_GROSS_LOANS",FF$3,$E$3, $J$3, , $G$3, $H$3)/_xll.ciqfunctions.udf.CIQ($B17,"IQ_TOTAL_ASSETS",FF$3,$E$3, $J$3, , $G$3, $H$3)),"")</f>
        <v/>
      </c>
      <c r="FG17" s="292" t="str">
        <f>IFERROR(IF(OR($B17="",FG$3=""),"",_xll.ciqfunctions.udf.CIQ($B17,"IQ_GROSS_LOANS",FG$3,$E$3, $J$3, , $G$3, $H$3)/_xll.ciqfunctions.udf.CIQ($B17,"IQ_TOTAL_ASSETS",FG$3,$E$3, $J$3, , $G$3, $H$3)),"")</f>
        <v/>
      </c>
      <c r="FH17" s="292" t="str">
        <f>IFERROR(IF(OR($B17="",FH$3=""),"",_xll.ciqfunctions.udf.CIQ($B17,"IQ_GROSS_LOANS",FH$3,$E$3, $J$3, , $G$3, $H$3)/_xll.ciqfunctions.udf.CIQ($B17,"IQ_TOTAL_ASSETS",FH$3,$E$3, $J$3, , $G$3, $H$3)),"")</f>
        <v/>
      </c>
      <c r="FI17" s="292" t="str">
        <f>IFERROR(IF(OR($B17="",FI$3=""),"",_xll.ciqfunctions.udf.CIQ($B17,"IQ_GROSS_LOANS",FI$3,$E$3, $J$3, , $G$3, $H$3)/_xll.ciqfunctions.udf.CIQ($B17,"IQ_TOTAL_ASSETS",FI$3,$E$3, $J$3, , $G$3, $H$3)),"")</f>
        <v/>
      </c>
      <c r="FJ17" s="292" t="str">
        <f>IFERROR(IF(OR($B17="",FJ$3=""),"",_xll.ciqfunctions.udf.CIQ($B17,"IQ_GROSS_LOANS",FJ$3,$E$3, $J$3, , $G$3, $H$3)/_xll.ciqfunctions.udf.CIQ($B17,"IQ_TOTAL_ASSETS",FJ$3,$E$3, $J$3, , $G$3, $H$3)),"")</f>
        <v/>
      </c>
      <c r="FK17" s="292" t="str">
        <f>IFERROR(IF(OR($B17="",FK$3=""),"",_xll.ciqfunctions.udf.CIQ($B17,"IQ_GROSS_LOANS",FK$3,$E$3, $J$3, , $G$3, $H$3)/_xll.ciqfunctions.udf.CIQ($B17,"IQ_TOTAL_ASSETS",FK$3,$E$3, $J$3, , $G$3, $H$3)),"")</f>
        <v/>
      </c>
      <c r="FL17" s="292" t="str">
        <f>IFERROR(IF(OR($B17="",FL$3=""),"",_xll.ciqfunctions.udf.CIQ($B17,"IQ_GROSS_LOANS",FL$3,$E$3, $J$3, , $G$3, $H$3)/_xll.ciqfunctions.udf.CIQ($B17,"IQ_TOTAL_ASSETS",FL$3,$E$3, $J$3, , $G$3, $H$3)),"")</f>
        <v/>
      </c>
      <c r="FM17" s="292" t="str">
        <f>IFERROR(IF(OR($B17="",FM$3=""),"",_xll.ciqfunctions.udf.CIQ($B17,"IQ_GROSS_LOANS",FM$3,$E$3, $J$3, , $G$3, $H$3)/_xll.ciqfunctions.udf.CIQ($B17,"IQ_TOTAL_ASSETS",FM$3,$E$3, $J$3, , $G$3, $H$3)),"")</f>
        <v/>
      </c>
      <c r="FN17" s="293" t="str">
        <f>IFERROR(IF(OR($B17="",FN$3=""),"",_xll.ciqfunctions.udf.CIQ($B17,"IQ_GROSS_LOANS",FN$3,$E$3, $J$3, , $G$3, $H$3)/_xll.ciqfunctions.udf.CIQ($B17,"IQ_TOTAL_ASSETS",FN$3,$E$3, $J$3, , $G$3, $H$3)),"")</f>
        <v/>
      </c>
      <c r="FO17" s="294" t="str">
        <f>IFERROR(IF(OR($B17="",FO$3=""),"",_xll.ciqfunctions.udf.CIQ($B17,"IQ_NON_PERFORMING_LOANS",FO$3,$E$3, $J$3, , $G$3, $H$3)/_xll.ciqfunctions.udf.CIQ($B17,"IQ_TOTAL_LOANS",FO$3,$E$3, $J$3, , $G$3, $H$3)),"")</f>
        <v/>
      </c>
      <c r="FP17" s="292" t="str">
        <f>IFERROR(IF(OR($B17="",FP$3=""),"",_xll.ciqfunctions.udf.CIQ($B17,"IQ_NON_PERFORMING_LOANS",FP$3,$E$3, $J$3, , $G$3, $H$3)/_xll.ciqfunctions.udf.CIQ($B17,"IQ_TOTAL_LOANS",FP$3,$E$3, $J$3, , $G$3, $H$3)),"")</f>
        <v/>
      </c>
      <c r="FQ17" s="292" t="str">
        <f>IFERROR(IF(OR($B17="",FQ$3=""),"",_xll.ciqfunctions.udf.CIQ($B17,"IQ_NON_PERFORMING_LOANS",FQ$3,$E$3, $J$3, , $G$3, $H$3)/_xll.ciqfunctions.udf.CIQ($B17,"IQ_TOTAL_LOANS",FQ$3,$E$3, $J$3, , $G$3, $H$3)),"")</f>
        <v/>
      </c>
      <c r="FR17" s="292" t="str">
        <f>IFERROR(IF(OR($B17="",FR$3=""),"",_xll.ciqfunctions.udf.CIQ($B17,"IQ_NON_PERFORMING_LOANS",FR$3,$E$3, $J$3, , $G$3, $H$3)/_xll.ciqfunctions.udf.CIQ($B17,"IQ_TOTAL_LOANS",FR$3,$E$3, $J$3, , $G$3, $H$3)),"")</f>
        <v/>
      </c>
      <c r="FS17" s="292" t="str">
        <f>IFERROR(IF(OR($B17="",FS$3=""),"",_xll.ciqfunctions.udf.CIQ($B17,"IQ_NON_PERFORMING_LOANS",FS$3,$E$3, $J$3, , $G$3, $H$3)/_xll.ciqfunctions.udf.CIQ($B17,"IQ_TOTAL_LOANS",FS$3,$E$3, $J$3, , $G$3, $H$3)),"")</f>
        <v/>
      </c>
      <c r="FT17" s="292" t="str">
        <f>IFERROR(IF(OR($B17="",FT$3=""),"",_xll.ciqfunctions.udf.CIQ($B17,"IQ_NON_PERFORMING_LOANS",FT$3,$E$3, $J$3, , $G$3, $H$3)/_xll.ciqfunctions.udf.CIQ($B17,"IQ_TOTAL_LOANS",FT$3,$E$3, $J$3, , $G$3, $H$3)),"")</f>
        <v/>
      </c>
      <c r="FU17" s="292" t="str">
        <f>IFERROR(IF(OR($B17="",FU$3=""),"",_xll.ciqfunctions.udf.CIQ($B17,"IQ_NON_PERFORMING_LOANS",FU$3,$E$3, $J$3, , $G$3, $H$3)/_xll.ciqfunctions.udf.CIQ($B17,"IQ_TOTAL_LOANS",FU$3,$E$3, $J$3, , $G$3, $H$3)),"")</f>
        <v/>
      </c>
      <c r="FV17" s="292" t="str">
        <f>IFERROR(IF(OR($B17="",FV$3=""),"",_xll.ciqfunctions.udf.CIQ($B17,"IQ_NON_PERFORMING_LOANS",FV$3,$E$3, $J$3, , $G$3, $H$3)/_xll.ciqfunctions.udf.CIQ($B17,"IQ_TOTAL_LOANS",FV$3,$E$3, $J$3, , $G$3, $H$3)),"")</f>
        <v/>
      </c>
      <c r="FW17" s="292" t="str">
        <f>IFERROR(IF(OR($B17="",FW$3=""),"",_xll.ciqfunctions.udf.CIQ($B17,"IQ_NON_PERFORMING_LOANS",FW$3,$E$3, $J$3, , $G$3, $H$3)/_xll.ciqfunctions.udf.CIQ($B17,"IQ_TOTAL_LOANS",FW$3,$E$3, $J$3, , $G$3, $H$3)),"")</f>
        <v/>
      </c>
      <c r="FX17" s="292" t="str">
        <f>IFERROR(IF(OR($B17="",FX$3=""),"",_xll.ciqfunctions.udf.CIQ($B17,"IQ_NON_PERFORMING_LOANS",FX$3,$E$3, $J$3, , $G$3, $H$3)/_xll.ciqfunctions.udf.CIQ($B17,"IQ_TOTAL_LOANS",FX$3,$E$3, $J$3, , $G$3, $H$3)),"")</f>
        <v/>
      </c>
      <c r="FY17" s="292" t="str">
        <f>IFERROR(IF(OR($B17="",FY$3=""),"",_xll.ciqfunctions.udf.CIQ($B17,"IQ_NON_PERFORMING_LOANS",FY$3,$E$3, $J$3, , $G$3, $H$3)/_xll.ciqfunctions.udf.CIQ($B17,"IQ_TOTAL_LOANS",FY$3,$E$3, $J$3, , $G$3, $H$3)),"")</f>
        <v/>
      </c>
      <c r="FZ17" s="292" t="str">
        <f>IFERROR(IF(OR($B17="",FZ$3=""),"",_xll.ciqfunctions.udf.CIQ($B17,"IQ_NON_PERFORMING_LOANS",FZ$3,$E$3, $J$3, , $G$3, $H$3)/_xll.ciqfunctions.udf.CIQ($B17,"IQ_TOTAL_LOANS",FZ$3,$E$3, $J$3, , $G$3, $H$3)),"")</f>
        <v/>
      </c>
      <c r="GA17" s="292" t="str">
        <f>IFERROR(IF(OR($B17="",GA$3=""),"",_xll.ciqfunctions.udf.CIQ($B17,"IQ_NON_PERFORMING_LOANS",GA$3,$E$3, $J$3, , $G$3, $H$3)/_xll.ciqfunctions.udf.CIQ($B17,"IQ_TOTAL_LOANS",GA$3,$E$3, $J$3, , $G$3, $H$3)),"")</f>
        <v/>
      </c>
      <c r="GB17" s="292" t="str">
        <f>IFERROR(IF(OR($B17="",GB$3=""),"",_xll.ciqfunctions.udf.CIQ($B17,"IQ_NON_PERFORMING_LOANS",GB$3,$E$3, $J$3, , $G$3, $H$3)/_xll.ciqfunctions.udf.CIQ($B17,"IQ_TOTAL_LOANS",GB$3,$E$3, $J$3, , $G$3, $H$3)),"")</f>
        <v/>
      </c>
      <c r="GC17" s="292" t="str">
        <f>IFERROR(IF(OR($B17="",GC$3=""),"",_xll.ciqfunctions.udf.CIQ($B17,"IQ_NON_PERFORMING_LOANS",GC$3,$E$3, $J$3, , $G$3, $H$3)/_xll.ciqfunctions.udf.CIQ($B17,"IQ_TOTAL_LOANS",GC$3,$E$3, $J$3, , $G$3, $H$3)),"")</f>
        <v/>
      </c>
      <c r="GD17" s="292" t="str">
        <f>IFERROR(IF(OR($B17="",GD$3=""),"",_xll.ciqfunctions.udf.CIQ($B17,"IQ_NON_PERFORMING_LOANS",GD$3,$E$3, $J$3, , $G$3, $H$3)/_xll.ciqfunctions.udf.CIQ($B17,"IQ_TOTAL_LOANS",GD$3,$E$3, $J$3, , $G$3, $H$3)),"")</f>
        <v/>
      </c>
      <c r="GE17" s="292" t="str">
        <f>IFERROR(IF(OR($B17="",GE$3=""),"",_xll.ciqfunctions.udf.CIQ($B17,"IQ_NON_PERFORMING_LOANS",GE$3,$E$3, $J$3, , $G$3, $H$3)/_xll.ciqfunctions.udf.CIQ($B17,"IQ_TOTAL_LOANS",GE$3,$E$3, $J$3, , $G$3, $H$3)),"")</f>
        <v/>
      </c>
      <c r="GF17" s="292" t="str">
        <f>IFERROR(IF(OR($B17="",GF$3=""),"",_xll.ciqfunctions.udf.CIQ($B17,"IQ_NON_PERFORMING_LOANS",GF$3,$E$3, $J$3, , $G$3, $H$3)/_xll.ciqfunctions.udf.CIQ($B17,"IQ_TOTAL_LOANS",GF$3,$E$3, $J$3, , $G$3, $H$3)),"")</f>
        <v/>
      </c>
      <c r="GG17" s="292" t="str">
        <f>IFERROR(IF(OR($B17="",GG$3=""),"",_xll.ciqfunctions.udf.CIQ($B17,"IQ_NON_PERFORMING_LOANS",GG$3,$E$3, $J$3, , $G$3, $H$3)/_xll.ciqfunctions.udf.CIQ($B17,"IQ_TOTAL_LOANS",GG$3,$E$3, $J$3, , $G$3, $H$3)),"")</f>
        <v/>
      </c>
      <c r="GH17" s="293" t="str">
        <f>IFERROR(IF(OR($B17="",GH$3=""),"",_xll.ciqfunctions.udf.CIQ($B17,"IQ_NON_PERFORMING_LOANS",GH$3,$E$3, $J$3, , $G$3, $H$3)/_xll.ciqfunctions.udf.CIQ($B17,"IQ_TOTAL_LOANS",GH$3,$E$3, $J$3, , $G$3, $H$3)),"")</f>
        <v/>
      </c>
      <c r="GI17" s="294" t="str">
        <f>IFERROR(IF(OR($B17="",GI$3=""),"",_xll.ciqfunctions.udf.CIQ($B17,"IQ_NON_PERFORMING_ASSETS",GI$3,$E$3, $J$3, , $G$3, $H$3)/_xll.ciqfunctions.udf.CIQ($B17,"IQ_TOTAL_ASSETS",GI$3,$E$3, $J$3, , $G$3, $H$3)),"")</f>
        <v/>
      </c>
      <c r="GJ17" s="292" t="str">
        <f>IFERROR(IF(OR($B17="",GJ$3=""),"",_xll.ciqfunctions.udf.CIQ($B17,"IQ_NON_PERFORMING_ASSETS",GJ$3,$E$3, $J$3, , $G$3, $H$3)/_xll.ciqfunctions.udf.CIQ($B17,"IQ_TOTAL_ASSETS",GJ$3,$E$3, $J$3, , $G$3, $H$3)),"")</f>
        <v/>
      </c>
      <c r="GK17" s="292" t="str">
        <f>IFERROR(IF(OR($B17="",GK$3=""),"",_xll.ciqfunctions.udf.CIQ($B17,"IQ_NON_PERFORMING_ASSETS",GK$3,$E$3, $J$3, , $G$3, $H$3)/_xll.ciqfunctions.udf.CIQ($B17,"IQ_TOTAL_ASSETS",GK$3,$E$3, $J$3, , $G$3, $H$3)),"")</f>
        <v/>
      </c>
      <c r="GL17" s="292" t="str">
        <f>IFERROR(IF(OR($B17="",GL$3=""),"",_xll.ciqfunctions.udf.CIQ($B17,"IQ_NON_PERFORMING_ASSETS",GL$3,$E$3, $J$3, , $G$3, $H$3)/_xll.ciqfunctions.udf.CIQ($B17,"IQ_TOTAL_ASSETS",GL$3,$E$3, $J$3, , $G$3, $H$3)),"")</f>
        <v/>
      </c>
      <c r="GM17" s="292" t="str">
        <f>IFERROR(IF(OR($B17="",GM$3=""),"",_xll.ciqfunctions.udf.CIQ($B17,"IQ_NON_PERFORMING_ASSETS",GM$3,$E$3, $J$3, , $G$3, $H$3)/_xll.ciqfunctions.udf.CIQ($B17,"IQ_TOTAL_ASSETS",GM$3,$E$3, $J$3, , $G$3, $H$3)),"")</f>
        <v/>
      </c>
      <c r="GN17" s="292" t="str">
        <f>IFERROR(IF(OR($B17="",GN$3=""),"",_xll.ciqfunctions.udf.CIQ($B17,"IQ_NON_PERFORMING_ASSETS",GN$3,$E$3, $J$3, , $G$3, $H$3)/_xll.ciqfunctions.udf.CIQ($B17,"IQ_TOTAL_ASSETS",GN$3,$E$3, $J$3, , $G$3, $H$3)),"")</f>
        <v/>
      </c>
      <c r="GO17" s="292" t="str">
        <f>IFERROR(IF(OR($B17="",GO$3=""),"",_xll.ciqfunctions.udf.CIQ($B17,"IQ_NON_PERFORMING_ASSETS",GO$3,$E$3, $J$3, , $G$3, $H$3)/_xll.ciqfunctions.udf.CIQ($B17,"IQ_TOTAL_ASSETS",GO$3,$E$3, $J$3, , $G$3, $H$3)),"")</f>
        <v/>
      </c>
      <c r="GP17" s="292" t="str">
        <f>IFERROR(IF(OR($B17="",GP$3=""),"",_xll.ciqfunctions.udf.CIQ($B17,"IQ_NON_PERFORMING_ASSETS",GP$3,$E$3, $J$3, , $G$3, $H$3)/_xll.ciqfunctions.udf.CIQ($B17,"IQ_TOTAL_ASSETS",GP$3,$E$3, $J$3, , $G$3, $H$3)),"")</f>
        <v/>
      </c>
      <c r="GQ17" s="292" t="str">
        <f>IFERROR(IF(OR($B17="",GQ$3=""),"",_xll.ciqfunctions.udf.CIQ($B17,"IQ_NON_PERFORMING_ASSETS",GQ$3,$E$3, $J$3, , $G$3, $H$3)/_xll.ciqfunctions.udf.CIQ($B17,"IQ_TOTAL_ASSETS",GQ$3,$E$3, $J$3, , $G$3, $H$3)),"")</f>
        <v/>
      </c>
      <c r="GR17" s="292" t="str">
        <f>IFERROR(IF(OR($B17="",GR$3=""),"",_xll.ciqfunctions.udf.CIQ($B17,"IQ_NON_PERFORMING_ASSETS",GR$3,$E$3, $J$3, , $G$3, $H$3)/_xll.ciqfunctions.udf.CIQ($B17,"IQ_TOTAL_ASSETS",GR$3,$E$3, $J$3, , $G$3, $H$3)),"")</f>
        <v/>
      </c>
      <c r="GS17" s="292" t="str">
        <f>IFERROR(IF(OR($B17="",GS$3=""),"",_xll.ciqfunctions.udf.CIQ($B17,"IQ_NON_PERFORMING_ASSETS",GS$3,$E$3, $J$3, , $G$3, $H$3)/_xll.ciqfunctions.udf.CIQ($B17,"IQ_TOTAL_ASSETS",GS$3,$E$3, $J$3, , $G$3, $H$3)),"")</f>
        <v/>
      </c>
      <c r="GT17" s="292" t="str">
        <f>IFERROR(IF(OR($B17="",GT$3=""),"",_xll.ciqfunctions.udf.CIQ($B17,"IQ_NON_PERFORMING_ASSETS",GT$3,$E$3, $J$3, , $G$3, $H$3)/_xll.ciqfunctions.udf.CIQ($B17,"IQ_TOTAL_ASSETS",GT$3,$E$3, $J$3, , $G$3, $H$3)),"")</f>
        <v/>
      </c>
      <c r="GU17" s="292" t="str">
        <f>IFERROR(IF(OR($B17="",GU$3=""),"",_xll.ciqfunctions.udf.CIQ($B17,"IQ_NON_PERFORMING_ASSETS",GU$3,$E$3, $J$3, , $G$3, $H$3)/_xll.ciqfunctions.udf.CIQ($B17,"IQ_TOTAL_ASSETS",GU$3,$E$3, $J$3, , $G$3, $H$3)),"")</f>
        <v/>
      </c>
      <c r="GV17" s="292" t="str">
        <f>IFERROR(IF(OR($B17="",GV$3=""),"",_xll.ciqfunctions.udf.CIQ($B17,"IQ_NON_PERFORMING_ASSETS",GV$3,$E$3, $J$3, , $G$3, $H$3)/_xll.ciqfunctions.udf.CIQ($B17,"IQ_TOTAL_ASSETS",GV$3,$E$3, $J$3, , $G$3, $H$3)),"")</f>
        <v/>
      </c>
      <c r="GW17" s="292" t="str">
        <f>IFERROR(IF(OR($B17="",GW$3=""),"",_xll.ciqfunctions.udf.CIQ($B17,"IQ_NON_PERFORMING_ASSETS",GW$3,$E$3, $J$3, , $G$3, $H$3)/_xll.ciqfunctions.udf.CIQ($B17,"IQ_TOTAL_ASSETS",GW$3,$E$3, $J$3, , $G$3, $H$3)),"")</f>
        <v/>
      </c>
      <c r="GX17" s="292" t="str">
        <f>IFERROR(IF(OR($B17="",GX$3=""),"",_xll.ciqfunctions.udf.CIQ($B17,"IQ_NON_PERFORMING_ASSETS",GX$3,$E$3, $J$3, , $G$3, $H$3)/_xll.ciqfunctions.udf.CIQ($B17,"IQ_TOTAL_ASSETS",GX$3,$E$3, $J$3, , $G$3, $H$3)),"")</f>
        <v/>
      </c>
      <c r="GY17" s="292" t="str">
        <f>IFERROR(IF(OR($B17="",GY$3=""),"",_xll.ciqfunctions.udf.CIQ($B17,"IQ_NON_PERFORMING_ASSETS",GY$3,$E$3, $J$3, , $G$3, $H$3)/_xll.ciqfunctions.udf.CIQ($B17,"IQ_TOTAL_ASSETS",GY$3,$E$3, $J$3, , $G$3, $H$3)),"")</f>
        <v/>
      </c>
      <c r="GZ17" s="292" t="str">
        <f>IFERROR(IF(OR($B17="",GZ$3=""),"",_xll.ciqfunctions.udf.CIQ($B17,"IQ_NON_PERFORMING_ASSETS",GZ$3,$E$3, $J$3, , $G$3, $H$3)/_xll.ciqfunctions.udf.CIQ($B17,"IQ_TOTAL_ASSETS",GZ$3,$E$3, $J$3, , $G$3, $H$3)),"")</f>
        <v/>
      </c>
      <c r="HA17" s="292" t="str">
        <f>IFERROR(IF(OR($B17="",HA$3=""),"",_xll.ciqfunctions.udf.CIQ($B17,"IQ_NON_PERFORMING_ASSETS",HA$3,$E$3, $J$3, , $G$3, $H$3)/_xll.ciqfunctions.udf.CIQ($B17,"IQ_TOTAL_ASSETS",HA$3,$E$3, $J$3, , $G$3, $H$3)),"")</f>
        <v/>
      </c>
      <c r="HB17" s="293" t="str">
        <f>IFERROR(IF(OR($B17="",HB$3=""),"",_xll.ciqfunctions.udf.CIQ($B17,"IQ_NON_PERFORMING_ASSETS",HB$3,$E$3, $J$3, , $G$3, $H$3)/_xll.ciqfunctions.udf.CIQ($B17,"IQ_TOTAL_ASSETS",HB$3,$E$3, $J$3, , $G$3, $H$3)),"")</f>
        <v/>
      </c>
      <c r="HC17" s="294" t="str">
        <f>IFERROR(IF(OR($B17="",HC$3=""),"",_xll.ciqfunctions.udf.CIQ($B17, "IQ_NI", $I$3, HC$3,$J$3, ,$G$3,$H$3)*2/(_xll.ciqfunctions.udf.CIQ($B17,"IQ_TOTAL_ASSETS",HC$3,$E$3, $J$3, , $G$3, $H$3)+_xll.ciqfunctions.udf.CIQ($B17,"IQ_TOTAL_ASSETS","IQ_" &amp; LEFT(HC$3,2) &amp; "-1",HC$3, $J$3, , $G$3, $H$3))),"")</f>
        <v/>
      </c>
      <c r="HD17" s="292" t="str">
        <f>IFERROR(IF(OR($B17="",HD$3=""),"",_xll.ciqfunctions.udf.CIQ($B17, "IQ_NI", $I$3, HD$3,$J$3, ,$G$3,$H$3)*2/(_xll.ciqfunctions.udf.CIQ($B17,"IQ_TOTAL_ASSETS",HD$3,$E$3, $J$3, , $G$3, $H$3)+_xll.ciqfunctions.udf.CIQ($B17,"IQ_TOTAL_ASSETS","IQ_" &amp; LEFT(HD$3,2) &amp; "-1",HD$3, $J$3, , $G$3, $H$3))),"")</f>
        <v/>
      </c>
      <c r="HE17" s="292" t="str">
        <f>IFERROR(IF(OR($B17="",HE$3=""),"",_xll.ciqfunctions.udf.CIQ($B17, "IQ_NI", $I$3, HE$3,$J$3, ,$G$3,$H$3)*2/(_xll.ciqfunctions.udf.CIQ($B17,"IQ_TOTAL_ASSETS",HE$3,$E$3, $J$3, , $G$3, $H$3)+_xll.ciqfunctions.udf.CIQ($B17,"IQ_TOTAL_ASSETS","IQ_" &amp; LEFT(HE$3,2) &amp; "-1",HE$3, $J$3, , $G$3, $H$3))),"")</f>
        <v/>
      </c>
      <c r="HF17" s="292" t="str">
        <f>IFERROR(IF(OR($B17="",HF$3=""),"",_xll.ciqfunctions.udf.CIQ($B17, "IQ_NI", $I$3, HF$3,$J$3, ,$G$3,$H$3)*2/(_xll.ciqfunctions.udf.CIQ($B17,"IQ_TOTAL_ASSETS",HF$3,$E$3, $J$3, , $G$3, $H$3)+_xll.ciqfunctions.udf.CIQ($B17,"IQ_TOTAL_ASSETS","IQ_" &amp; LEFT(HF$3,2) &amp; "-1",HF$3, $J$3, , $G$3, $H$3))),"")</f>
        <v/>
      </c>
      <c r="HG17" s="292" t="str">
        <f>IFERROR(IF(OR($B17="",HG$3=""),"",_xll.ciqfunctions.udf.CIQ($B17, "IQ_NI", $I$3, HG$3,$J$3, ,$G$3,$H$3)*2/(_xll.ciqfunctions.udf.CIQ($B17,"IQ_TOTAL_ASSETS",HG$3,$E$3, $J$3, , $G$3, $H$3)+_xll.ciqfunctions.udf.CIQ($B17,"IQ_TOTAL_ASSETS","IQ_" &amp; LEFT(HG$3,2) &amp; "-1",HG$3, $J$3, , $G$3, $H$3))),"")</f>
        <v/>
      </c>
      <c r="HH17" s="292" t="str">
        <f>IFERROR(IF(OR($B17="",HH$3=""),"",_xll.ciqfunctions.udf.CIQ($B17, "IQ_NI", $I$3, HH$3,$J$3, ,$G$3,$H$3)*2/(_xll.ciqfunctions.udf.CIQ($B17,"IQ_TOTAL_ASSETS",HH$3,$E$3, $J$3, , $G$3, $H$3)+_xll.ciqfunctions.udf.CIQ($B17,"IQ_TOTAL_ASSETS","IQ_" &amp; LEFT(HH$3,2) &amp; "-1",HH$3, $J$3, , $G$3, $H$3))),"")</f>
        <v/>
      </c>
      <c r="HI17" s="292" t="str">
        <f>IFERROR(IF(OR($B17="",HI$3=""),"",_xll.ciqfunctions.udf.CIQ($B17, "IQ_NI", $I$3, HI$3,$J$3, ,$G$3,$H$3)*2/(_xll.ciqfunctions.udf.CIQ($B17,"IQ_TOTAL_ASSETS",HI$3,$E$3, $J$3, , $G$3, $H$3)+_xll.ciqfunctions.udf.CIQ($B17,"IQ_TOTAL_ASSETS","IQ_" &amp; LEFT(HI$3,2) &amp; "-1",HI$3, $J$3, , $G$3, $H$3))),"")</f>
        <v/>
      </c>
      <c r="HJ17" s="292" t="str">
        <f>IFERROR(IF(OR($B17="",HJ$3=""),"",_xll.ciqfunctions.udf.CIQ($B17, "IQ_NI", $I$3, HJ$3,$J$3, ,$G$3,$H$3)*2/(_xll.ciqfunctions.udf.CIQ($B17,"IQ_TOTAL_ASSETS",HJ$3,$E$3, $J$3, , $G$3, $H$3)+_xll.ciqfunctions.udf.CIQ($B17,"IQ_TOTAL_ASSETS","IQ_" &amp; LEFT(HJ$3,2) &amp; "-1",HJ$3, $J$3, , $G$3, $H$3))),"")</f>
        <v/>
      </c>
      <c r="HK17" s="292" t="str">
        <f>IFERROR(IF(OR($B17="",HK$3=""),"",_xll.ciqfunctions.udf.CIQ($B17, "IQ_NI", $I$3, HK$3,$J$3, ,$G$3,$H$3)*2/(_xll.ciqfunctions.udf.CIQ($B17,"IQ_TOTAL_ASSETS",HK$3,$E$3, $J$3, , $G$3, $H$3)+_xll.ciqfunctions.udf.CIQ($B17,"IQ_TOTAL_ASSETS","IQ_" &amp; LEFT(HK$3,2) &amp; "-1",HK$3, $J$3, , $G$3, $H$3))),"")</f>
        <v/>
      </c>
      <c r="HL17" s="292" t="str">
        <f>IFERROR(IF(OR($B17="",HL$3=""),"",_xll.ciqfunctions.udf.CIQ($B17, "IQ_NI", $I$3, HL$3,$J$3, ,$G$3,$H$3)*2/(_xll.ciqfunctions.udf.CIQ($B17,"IQ_TOTAL_ASSETS",HL$3,$E$3, $J$3, , $G$3, $H$3)+_xll.ciqfunctions.udf.CIQ($B17,"IQ_TOTAL_ASSETS","IQ_" &amp; LEFT(HL$3,2) &amp; "-1",HL$3, $J$3, , $G$3, $H$3))),"")</f>
        <v/>
      </c>
      <c r="HM17" s="292" t="str">
        <f>IFERROR(IF(OR($B17="",HM$3=""),"",_xll.ciqfunctions.udf.CIQ($B17, "IQ_NI", $I$3, HM$3,$J$3, ,$G$3,$H$3)*2/(_xll.ciqfunctions.udf.CIQ($B17,"IQ_TOTAL_ASSETS",HM$3,$E$3, $J$3, , $G$3, $H$3)+_xll.ciqfunctions.udf.CIQ($B17,"IQ_TOTAL_ASSETS","IQ_" &amp; LEFT(HM$3,2) &amp; "-1",HM$3, $J$3, , $G$3, $H$3))),"")</f>
        <v/>
      </c>
      <c r="HN17" s="292" t="str">
        <f>IFERROR(IF(OR($B17="",HN$3=""),"",_xll.ciqfunctions.udf.CIQ($B17, "IQ_NI", $I$3, HN$3,$J$3, ,$G$3,$H$3)*2/(_xll.ciqfunctions.udf.CIQ($B17,"IQ_TOTAL_ASSETS",HN$3,$E$3, $J$3, , $G$3, $H$3)+_xll.ciqfunctions.udf.CIQ($B17,"IQ_TOTAL_ASSETS","IQ_" &amp; LEFT(HN$3,2) &amp; "-1",HN$3, $J$3, , $G$3, $H$3))),"")</f>
        <v/>
      </c>
      <c r="HO17" s="292" t="str">
        <f>IFERROR(IF(OR($B17="",HO$3=""),"",_xll.ciqfunctions.udf.CIQ($B17, "IQ_NI", $I$3, HO$3,$J$3, ,$G$3,$H$3)*2/(_xll.ciqfunctions.udf.CIQ($B17,"IQ_TOTAL_ASSETS",HO$3,$E$3, $J$3, , $G$3, $H$3)+_xll.ciqfunctions.udf.CIQ($B17,"IQ_TOTAL_ASSETS","IQ_" &amp; LEFT(HO$3,2) &amp; "-1",HO$3, $J$3, , $G$3, $H$3))),"")</f>
        <v/>
      </c>
      <c r="HP17" s="292" t="str">
        <f>IFERROR(IF(OR($B17="",HP$3=""),"",_xll.ciqfunctions.udf.CIQ($B17, "IQ_NI", $I$3, HP$3,$J$3, ,$G$3,$H$3)*2/(_xll.ciqfunctions.udf.CIQ($B17,"IQ_TOTAL_ASSETS",HP$3,$E$3, $J$3, , $G$3, $H$3)+_xll.ciqfunctions.udf.CIQ($B17,"IQ_TOTAL_ASSETS","IQ_" &amp; LEFT(HP$3,2) &amp; "-1",HP$3, $J$3, , $G$3, $H$3))),"")</f>
        <v/>
      </c>
      <c r="HQ17" s="292" t="str">
        <f>IFERROR(IF(OR($B17="",HQ$3=""),"",_xll.ciqfunctions.udf.CIQ($B17, "IQ_NI", $I$3, HQ$3,$J$3, ,$G$3,$H$3)*2/(_xll.ciqfunctions.udf.CIQ($B17,"IQ_TOTAL_ASSETS",HQ$3,$E$3, $J$3, , $G$3, $H$3)+_xll.ciqfunctions.udf.CIQ($B17,"IQ_TOTAL_ASSETS","IQ_" &amp; LEFT(HQ$3,2) &amp; "-1",HQ$3, $J$3, , $G$3, $H$3))),"")</f>
        <v/>
      </c>
      <c r="HR17" s="292" t="str">
        <f>IFERROR(IF(OR($B17="",HR$3=""),"",_xll.ciqfunctions.udf.CIQ($B17, "IQ_NI", $I$3, HR$3,$J$3, ,$G$3,$H$3)*2/(_xll.ciqfunctions.udf.CIQ($B17,"IQ_TOTAL_ASSETS",HR$3,$E$3, $J$3, , $G$3, $H$3)+_xll.ciqfunctions.udf.CIQ($B17,"IQ_TOTAL_ASSETS","IQ_" &amp; LEFT(HR$3,2) &amp; "-1",HR$3, $J$3, , $G$3, $H$3))),"")</f>
        <v/>
      </c>
      <c r="HS17" s="292" t="str">
        <f>IFERROR(IF(OR($B17="",HS$3=""),"",_xll.ciqfunctions.udf.CIQ($B17, "IQ_NI", $I$3, HS$3,$J$3, ,$G$3,$H$3)*2/(_xll.ciqfunctions.udf.CIQ($B17,"IQ_TOTAL_ASSETS",HS$3,$E$3, $J$3, , $G$3, $H$3)+_xll.ciqfunctions.udf.CIQ($B17,"IQ_TOTAL_ASSETS","IQ_" &amp; LEFT(HS$3,2) &amp; "-1",HS$3, $J$3, , $G$3, $H$3))),"")</f>
        <v/>
      </c>
      <c r="HT17" s="292" t="str">
        <f>IFERROR(IF(OR($B17="",HT$3=""),"",_xll.ciqfunctions.udf.CIQ($B17, "IQ_NI", $I$3, HT$3,$J$3, ,$G$3,$H$3)*2/(_xll.ciqfunctions.udf.CIQ($B17,"IQ_TOTAL_ASSETS",HT$3,$E$3, $J$3, , $G$3, $H$3)+_xll.ciqfunctions.udf.CIQ($B17,"IQ_TOTAL_ASSETS","IQ_" &amp; LEFT(HT$3,2) &amp; "-1",HT$3, $J$3, , $G$3, $H$3))),"")</f>
        <v/>
      </c>
      <c r="HU17" s="292" t="str">
        <f>IFERROR(IF(OR($B17="",HU$3=""),"",_xll.ciqfunctions.udf.CIQ($B17, "IQ_NI", $I$3, HU$3,$J$3, ,$G$3,$H$3)*2/(_xll.ciqfunctions.udf.CIQ($B17,"IQ_TOTAL_ASSETS",HU$3,$E$3, $J$3, , $G$3, $H$3)+_xll.ciqfunctions.udf.CIQ($B17,"IQ_TOTAL_ASSETS","IQ_" &amp; LEFT(HU$3,2) &amp; "-1",HU$3, $J$3, , $G$3, $H$3))),"")</f>
        <v/>
      </c>
      <c r="HV17" s="293" t="str">
        <f>IFERROR(IF(OR($B17="",HV$3=""),"",_xll.ciqfunctions.udf.CIQ($B17, "IQ_NI", $I$3, HV$3,$J$3, ,$G$3,$H$3)*2/(_xll.ciqfunctions.udf.CIQ($B17,"IQ_TOTAL_ASSETS",HV$3,$E$3, $J$3, , $G$3, $H$3)+_xll.ciqfunctions.udf.CIQ($B17,"IQ_TOTAL_ASSETS","IQ_" &amp; LEFT(HV$3,2) &amp; "-1",HV$3, $J$3, , $G$3, $H$3))),"")</f>
        <v/>
      </c>
      <c r="HW17" s="294" t="str">
        <f>IFERROR(IF(OR($B17="",HW$3=""),"",_xll.ciqfunctions.udf.CIQ($B17,"IQ_CASH_OPER",HW$3,$E$3, $J$3, , $G$3, $H$3)/_xll.ciqfunctions.udf.CIQ($B17,"IQ_TOTAL_REV",HW$3,$E$3, $J$3, , $G$3, $H$3)),0)</f>
        <v/>
      </c>
      <c r="HX17" s="292" t="str">
        <f>IFERROR(IF(OR($B17="",HX$3=""),"",_xll.ciqfunctions.udf.CIQ($B17,"IQ_CASH_OPER",HX$3,$E$3, $J$3, , $G$3, $H$3)/_xll.ciqfunctions.udf.CIQ($B17,"IQ_TOTAL_REV",HX$3,$E$3, $J$3, , $G$3, $H$3)),0)</f>
        <v/>
      </c>
      <c r="HY17" s="292" t="str">
        <f>IFERROR(IF(OR($B17="",HY$3=""),"",_xll.ciqfunctions.udf.CIQ($B17,"IQ_CASH_OPER",HY$3,$E$3, $J$3, , $G$3, $H$3)/_xll.ciqfunctions.udf.CIQ($B17,"IQ_TOTAL_REV",HY$3,$E$3, $J$3, , $G$3, $H$3)),0)</f>
        <v/>
      </c>
      <c r="HZ17" s="292" t="str">
        <f>IFERROR(IF(OR($B17="",HZ$3=""),"",_xll.ciqfunctions.udf.CIQ($B17,"IQ_CASH_OPER",HZ$3,$E$3, $J$3, , $G$3, $H$3)/_xll.ciqfunctions.udf.CIQ($B17,"IQ_TOTAL_REV",HZ$3,$E$3, $J$3, , $G$3, $H$3)),0)</f>
        <v/>
      </c>
      <c r="IA17" s="292" t="str">
        <f>IFERROR(IF(OR($B17="",IA$3=""),"",_xll.ciqfunctions.udf.CIQ($B17,"IQ_CASH_OPER",IA$3,$E$3, $J$3, , $G$3, $H$3)/_xll.ciqfunctions.udf.CIQ($B17,"IQ_TOTAL_REV",IA$3,$E$3, $J$3, , $G$3, $H$3)),0)</f>
        <v/>
      </c>
      <c r="IB17" s="292" t="str">
        <f>IFERROR(IF(OR($B17="",IB$3=""),"",_xll.ciqfunctions.udf.CIQ($B17,"IQ_CASH_OPER",IB$3,$E$3, $J$3, , $G$3, $H$3)/_xll.ciqfunctions.udf.CIQ($B17,"IQ_TOTAL_REV",IB$3,$E$3, $J$3, , $G$3, $H$3)),0)</f>
        <v/>
      </c>
      <c r="IC17" s="292" t="str">
        <f>IFERROR(IF(OR($B17="",IC$3=""),"",_xll.ciqfunctions.udf.CIQ($B17,"IQ_CASH_OPER",IC$3,$E$3, $J$3, , $G$3, $H$3)/_xll.ciqfunctions.udf.CIQ($B17,"IQ_TOTAL_REV",IC$3,$E$3, $J$3, , $G$3, $H$3)),0)</f>
        <v/>
      </c>
      <c r="ID17" s="292" t="str">
        <f>IFERROR(IF(OR($B17="",ID$3=""),"",_xll.ciqfunctions.udf.CIQ($B17,"IQ_CASH_OPER",ID$3,$E$3, $J$3, , $G$3, $H$3)/_xll.ciqfunctions.udf.CIQ($B17,"IQ_TOTAL_REV",ID$3,$E$3, $J$3, , $G$3, $H$3)),0)</f>
        <v/>
      </c>
      <c r="IE17" s="292" t="str">
        <f>IFERROR(IF(OR($B17="",IE$3=""),"",_xll.ciqfunctions.udf.CIQ($B17,"IQ_CASH_OPER",IE$3,$E$3, $J$3, , $G$3, $H$3)/_xll.ciqfunctions.udf.CIQ($B17,"IQ_TOTAL_REV",IE$3,$E$3, $J$3, , $G$3, $H$3)),0)</f>
        <v/>
      </c>
      <c r="IF17" s="292" t="str">
        <f>IFERROR(IF(OR($B17="",IF$3=""),"",_xll.ciqfunctions.udf.CIQ($B17,"IQ_CASH_OPER",IF$3,$E$3, $J$3, , $G$3, $H$3)/_xll.ciqfunctions.udf.CIQ($B17,"IQ_TOTAL_REV",IF$3,$E$3, $J$3, , $G$3, $H$3)),0)</f>
        <v/>
      </c>
      <c r="IG17" s="292" t="str">
        <f>IFERROR(IF(OR($B17="",IG$3=""),"",_xll.ciqfunctions.udf.CIQ($B17,"IQ_CASH_OPER",IG$3,$E$3, $J$3, , $G$3, $H$3)/_xll.ciqfunctions.udf.CIQ($B17,"IQ_TOTAL_REV",IG$3,$E$3, $J$3, , $G$3, $H$3)),0)</f>
        <v/>
      </c>
      <c r="IH17" s="292" t="str">
        <f>IFERROR(IF(OR($B17="",IH$3=""),"",_xll.ciqfunctions.udf.CIQ($B17,"IQ_CASH_OPER",IH$3,$E$3, $J$3, , $G$3, $H$3)/_xll.ciqfunctions.udf.CIQ($B17,"IQ_TOTAL_REV",IH$3,$E$3, $J$3, , $G$3, $H$3)),0)</f>
        <v/>
      </c>
      <c r="II17" s="292" t="str">
        <f>IFERROR(IF(OR($B17="",II$3=""),"",_xll.ciqfunctions.udf.CIQ($B17,"IQ_CASH_OPER",II$3,$E$3, $J$3, , $G$3, $H$3)/_xll.ciqfunctions.udf.CIQ($B17,"IQ_TOTAL_REV",II$3,$E$3, $J$3, , $G$3, $H$3)),0)</f>
        <v/>
      </c>
      <c r="IJ17" s="292" t="str">
        <f>IFERROR(IF(OR($B17="",IJ$3=""),"",_xll.ciqfunctions.udf.CIQ($B17,"IQ_CASH_OPER",IJ$3,$E$3, $J$3, , $G$3, $H$3)/_xll.ciqfunctions.udf.CIQ($B17,"IQ_TOTAL_REV",IJ$3,$E$3, $J$3, , $G$3, $H$3)),0)</f>
        <v/>
      </c>
      <c r="IK17" s="292" t="str">
        <f>IFERROR(IF(OR($B17="",IK$3=""),"",_xll.ciqfunctions.udf.CIQ($B17,"IQ_CASH_OPER",IK$3,$E$3, $J$3, , $G$3, $H$3)/_xll.ciqfunctions.udf.CIQ($B17,"IQ_TOTAL_REV",IK$3,$E$3, $J$3, , $G$3, $H$3)),0)</f>
        <v/>
      </c>
      <c r="IL17" s="292" t="str">
        <f>IFERROR(IF(OR($B17="",IL$3=""),"",_xll.ciqfunctions.udf.CIQ($B17,"IQ_CASH_OPER",IL$3,$E$3, $J$3, , $G$3, $H$3)/_xll.ciqfunctions.udf.CIQ($B17,"IQ_TOTAL_REV",IL$3,$E$3, $J$3, , $G$3, $H$3)),0)</f>
        <v/>
      </c>
      <c r="IM17" s="292" t="str">
        <f>IFERROR(IF(OR($B17="",IM$3=""),"",_xll.ciqfunctions.udf.CIQ($B17,"IQ_CASH_OPER",IM$3,$E$3, $J$3, , $G$3, $H$3)/_xll.ciqfunctions.udf.CIQ($B17,"IQ_TOTAL_REV",IM$3,$E$3, $J$3, , $G$3, $H$3)),0)</f>
        <v/>
      </c>
      <c r="IN17" s="292" t="str">
        <f>IFERROR(IF(OR($B17="",IN$3=""),"",_xll.ciqfunctions.udf.CIQ($B17,"IQ_CASH_OPER",IN$3,$E$3, $J$3, , $G$3, $H$3)/_xll.ciqfunctions.udf.CIQ($B17,"IQ_TOTAL_REV",IN$3,$E$3, $J$3, , $G$3, $H$3)),0)</f>
        <v/>
      </c>
      <c r="IO17" s="292" t="str">
        <f>IFERROR(IF(OR($B17="",IO$3=""),"",_xll.ciqfunctions.udf.CIQ($B17,"IQ_CASH_OPER",IO$3,$E$3, $J$3, , $G$3, $H$3)/_xll.ciqfunctions.udf.CIQ($B17,"IQ_TOTAL_REV",IO$3,$E$3, $J$3, , $G$3, $H$3)),0)</f>
        <v/>
      </c>
      <c r="IP17" s="293" t="str">
        <f>IFERROR(IF(OR($B17="",IP$3=""),"",_xll.ciqfunctions.udf.CIQ($B17,"IQ_CASH_OPER",IP$3,$E$3, $J$3, , $G$3, $H$3)/_xll.ciqfunctions.udf.CIQ($B17,"IQ_TOTAL_REV",IP$3,$E$3, $J$3, , $G$3, $H$3)),0)</f>
        <v/>
      </c>
      <c r="IQ17" s="351" t="str">
        <f>IFERROR(IF(OR(IQ$3="",$B17=""),"",_xll.ciqfunctions.udf.CIQ($B17,"IQ_TOTAL_ASSETS",IQ$3,$E$3, $J$3, , $G$3, $H$3)/_xll.ciqfunctions.udf.CIQ($B17,"IQ_TOTAL_COMMON_EQUITY",IQ$3,$E$3, $J$3, , $G$3, $H$3)),0)</f>
        <v/>
      </c>
      <c r="IR17" s="352" t="str">
        <f>IFERROR(IF(OR(IR$3="",$B17=""),"",_xll.ciqfunctions.udf.CIQ($B17,"IQ_TOTAL_ASSETS",IR$3,$E$3, $J$3, , $G$3, $H$3)/_xll.ciqfunctions.udf.CIQ($B17,"IQ_TOTAL_COMMON_EQUITY",IR$3,$E$3, $J$3, , $G$3, $H$3)),0)</f>
        <v/>
      </c>
      <c r="IS17" s="352" t="str">
        <f>IFERROR(IF(OR(IS$3="",$B17=""),"",_xll.ciqfunctions.udf.CIQ($B17,"IQ_TOTAL_ASSETS",IS$3,$E$3, $J$3, , $G$3, $H$3)/_xll.ciqfunctions.udf.CIQ($B17,"IQ_TOTAL_COMMON_EQUITY",IS$3,$E$3, $J$3, , $G$3, $H$3)),0)</f>
        <v/>
      </c>
      <c r="IT17" s="352" t="str">
        <f>IFERROR(IF(OR(IT$3="",$B17=""),"",_xll.ciqfunctions.udf.CIQ($B17,"IQ_TOTAL_ASSETS",IT$3,$E$3, $J$3, , $G$3, $H$3)/_xll.ciqfunctions.udf.CIQ($B17,"IQ_TOTAL_COMMON_EQUITY",IT$3,$E$3, $J$3, , $G$3, $H$3)),0)</f>
        <v/>
      </c>
      <c r="IU17" s="352" t="str">
        <f>IFERROR(IF(OR(IU$3="",$B17=""),"",_xll.ciqfunctions.udf.CIQ($B17,"IQ_TOTAL_ASSETS",IU$3,$E$3, $J$3, , $G$3, $H$3)/_xll.ciqfunctions.udf.CIQ($B17,"IQ_TOTAL_COMMON_EQUITY",IU$3,$E$3, $J$3, , $G$3, $H$3)),0)</f>
        <v/>
      </c>
      <c r="IV17" s="352" t="str">
        <f>IFERROR(IF(OR(IV$3="",$B17=""),"",_xll.ciqfunctions.udf.CIQ($B17,"IQ_TOTAL_ASSETS",IV$3,$E$3, $J$3, , $G$3, $H$3)/_xll.ciqfunctions.udf.CIQ($B17,"IQ_TOTAL_COMMON_EQUITY",IV$3,$E$3, $J$3, , $G$3, $H$3)),0)</f>
        <v/>
      </c>
      <c r="IW17" s="352" t="str">
        <f>IFERROR(IF(OR(IW$3="",$B17=""),"",_xll.ciqfunctions.udf.CIQ($B17,"IQ_TOTAL_ASSETS",IW$3,$E$3, $J$3, , $G$3, $H$3)/_xll.ciqfunctions.udf.CIQ($B17,"IQ_TOTAL_COMMON_EQUITY",IW$3,$E$3, $J$3, , $G$3, $H$3)),0)</f>
        <v/>
      </c>
      <c r="IX17" s="352" t="str">
        <f>IFERROR(IF(OR(IX$3="",$B17=""),"",_xll.ciqfunctions.udf.CIQ($B17,"IQ_TOTAL_ASSETS",IX$3,$E$3, $J$3, , $G$3, $H$3)/_xll.ciqfunctions.udf.CIQ($B17,"IQ_TOTAL_COMMON_EQUITY",IX$3,$E$3, $J$3, , $G$3, $H$3)),0)</f>
        <v/>
      </c>
      <c r="IY17" s="352" t="str">
        <f>IFERROR(IF(OR(IY$3="",$B17=""),"",_xll.ciqfunctions.udf.CIQ($B17,"IQ_TOTAL_ASSETS",IY$3,$E$3, $J$3, , $G$3, $H$3)/_xll.ciqfunctions.udf.CIQ($B17,"IQ_TOTAL_COMMON_EQUITY",IY$3,$E$3, $J$3, , $G$3, $H$3)),0)</f>
        <v/>
      </c>
      <c r="IZ17" s="352" t="str">
        <f>IFERROR(IF(OR(IZ$3="",$B17=""),"",_xll.ciqfunctions.udf.CIQ($B17,"IQ_TOTAL_ASSETS",IZ$3,$E$3, $J$3, , $G$3, $H$3)/_xll.ciqfunctions.udf.CIQ($B17,"IQ_TOTAL_COMMON_EQUITY",IZ$3,$E$3, $J$3, , $G$3, $H$3)),0)</f>
        <v/>
      </c>
      <c r="JA17" s="352" t="str">
        <f>IFERROR(IF(OR(JA$3="",$B17=""),"",_xll.ciqfunctions.udf.CIQ($B17,"IQ_TOTAL_ASSETS",JA$3,$E$3, $J$3, , $G$3, $H$3)/_xll.ciqfunctions.udf.CIQ($B17,"IQ_TOTAL_COMMON_EQUITY",JA$3,$E$3, $J$3, , $G$3, $H$3)),0)</f>
        <v/>
      </c>
      <c r="JB17" s="352" t="str">
        <f>IFERROR(IF(OR(JB$3="",$B17=""),"",_xll.ciqfunctions.udf.CIQ($B17,"IQ_TOTAL_ASSETS",JB$3,$E$3, $J$3, , $G$3, $H$3)/_xll.ciqfunctions.udf.CIQ($B17,"IQ_TOTAL_COMMON_EQUITY",JB$3,$E$3, $J$3, , $G$3, $H$3)),0)</f>
        <v/>
      </c>
      <c r="JC17" s="352" t="str">
        <f>IFERROR(IF(OR(JC$3="",$B17=""),"",_xll.ciqfunctions.udf.CIQ($B17,"IQ_TOTAL_ASSETS",JC$3,$E$3, $J$3, , $G$3, $H$3)/_xll.ciqfunctions.udf.CIQ($B17,"IQ_TOTAL_COMMON_EQUITY",JC$3,$E$3, $J$3, , $G$3, $H$3)),0)</f>
        <v/>
      </c>
      <c r="JD17" s="352" t="str">
        <f>IFERROR(IF(OR(JD$3="",$B17=""),"",_xll.ciqfunctions.udf.CIQ($B17,"IQ_TOTAL_ASSETS",JD$3,$E$3, $J$3, , $G$3, $H$3)/_xll.ciqfunctions.udf.CIQ($B17,"IQ_TOTAL_COMMON_EQUITY",JD$3,$E$3, $J$3, , $G$3, $H$3)),0)</f>
        <v/>
      </c>
      <c r="JE17" s="352" t="str">
        <f>IFERROR(IF(OR(JE$3="",$B17=""),"",_xll.ciqfunctions.udf.CIQ($B17,"IQ_TOTAL_ASSETS",JE$3,$E$3, $J$3, , $G$3, $H$3)/_xll.ciqfunctions.udf.CIQ($B17,"IQ_TOTAL_COMMON_EQUITY",JE$3,$E$3, $J$3, , $G$3, $H$3)),0)</f>
        <v/>
      </c>
      <c r="JF17" s="352" t="str">
        <f>IFERROR(IF(OR(JF$3="",$B17=""),"",_xll.ciqfunctions.udf.CIQ($B17,"IQ_TOTAL_ASSETS",JF$3,$E$3, $J$3, , $G$3, $H$3)/_xll.ciqfunctions.udf.CIQ($B17,"IQ_TOTAL_COMMON_EQUITY",JF$3,$E$3, $J$3, , $G$3, $H$3)),0)</f>
        <v/>
      </c>
      <c r="JG17" s="352" t="str">
        <f>IFERROR(IF(OR(JG$3="",$B17=""),"",_xll.ciqfunctions.udf.CIQ($B17,"IQ_TOTAL_ASSETS",JG$3,$E$3, $J$3, , $G$3, $H$3)/_xll.ciqfunctions.udf.CIQ($B17,"IQ_TOTAL_COMMON_EQUITY",JG$3,$E$3, $J$3, , $G$3, $H$3)),0)</f>
        <v/>
      </c>
      <c r="JH17" s="352" t="str">
        <f>IFERROR(IF(OR(JH$3="",$B17=""),"",_xll.ciqfunctions.udf.CIQ($B17,"IQ_TOTAL_ASSETS",JH$3,$E$3, $J$3, , $G$3, $H$3)/_xll.ciqfunctions.udf.CIQ($B17,"IQ_TOTAL_COMMON_EQUITY",JH$3,$E$3, $J$3, , $G$3, $H$3)),0)</f>
        <v/>
      </c>
      <c r="JI17" s="352" t="str">
        <f>IFERROR(IF(OR(JI$3="",$B17=""),"",_xll.ciqfunctions.udf.CIQ($B17,"IQ_TOTAL_ASSETS",JI$3,$E$3, $J$3, , $G$3, $H$3)/_xll.ciqfunctions.udf.CIQ($B17,"IQ_TOTAL_COMMON_EQUITY",JI$3,$E$3, $J$3, , $G$3, $H$3)),0)</f>
        <v/>
      </c>
      <c r="JJ17" s="353" t="str">
        <f>IFERROR(IF(OR(JJ$3="",$B17=""),"",_xll.ciqfunctions.udf.CIQ($B17,"IQ_TOTAL_ASSETS",JJ$3,$E$3, $J$3, , $G$3, $H$3)/_xll.ciqfunctions.udf.CIQ($B17,"IQ_TOTAL_COMMON_EQUITY",JJ$3,$E$3, $J$3, , $G$3, $H$3)),0)</f>
        <v/>
      </c>
      <c r="JK17" s="294" t="str">
        <f>IFERROR(IF(OR($B17="",JK$3=""),"",_xll.ciqfunctions.udf.CIQ($B17, "IQ_NI", $I$3, HC$3,$J$3, ,$G$3,$H$3)*2/(_xll.ciqfunctions.udf.CIQ($B17,"IQ_TOTAL_EQUITY",JK$3,$E$3, $J$3, , $G$3, $H$3)+_xll.ciqfunctions.udf.CIQ($B17,"IQ_TOTAL_EQUITY","IQ_" &amp; LEFT(JK$3,2) &amp; "-1",JK$3, $J$3, , $G$3, $H$3))),"")</f>
        <v/>
      </c>
      <c r="JL17" s="292" t="str">
        <f>IFERROR(IF(OR($B17="",JL$3=""),"",_xll.ciqfunctions.udf.CIQ($B17, "IQ_NI", $I$3, HD$3,$J$3, ,$G$3,$H$3)*2/(_xll.ciqfunctions.udf.CIQ($B17,"IQ_TOTAL_EQUITY",JL$3,$E$3, $J$3, , $G$3, $H$3)+_xll.ciqfunctions.udf.CIQ($B17,"IQ_TOTAL_EQUITY","IQ_" &amp; LEFT(JL$3,2) &amp; "-1",JL$3, $J$3, , $G$3, $H$3))),"")</f>
        <v/>
      </c>
      <c r="JM17" s="292" t="str">
        <f>IFERROR(IF(OR($B17="",JM$3=""),"",_xll.ciqfunctions.udf.CIQ($B17, "IQ_NI", $I$3, HE$3,$J$3, ,$G$3,$H$3)*2/(_xll.ciqfunctions.udf.CIQ($B17,"IQ_TOTAL_EQUITY",JM$3,$E$3, $J$3, , $G$3, $H$3)+_xll.ciqfunctions.udf.CIQ($B17,"IQ_TOTAL_EQUITY","IQ_" &amp; LEFT(JM$3,2) &amp; "-1",JM$3, $J$3, , $G$3, $H$3))),"")</f>
        <v/>
      </c>
      <c r="JN17" s="292" t="str">
        <f>IFERROR(IF(OR($B17="",JN$3=""),"",_xll.ciqfunctions.udf.CIQ($B17, "IQ_NI", $I$3, HF$3,$J$3, ,$G$3,$H$3)*2/(_xll.ciqfunctions.udf.CIQ($B17,"IQ_TOTAL_EQUITY",JN$3,$E$3, $J$3, , $G$3, $H$3)+_xll.ciqfunctions.udf.CIQ($B17,"IQ_TOTAL_EQUITY","IQ_" &amp; LEFT(JN$3,2) &amp; "-1",JN$3, $J$3, , $G$3, $H$3))),"")</f>
        <v/>
      </c>
      <c r="JO17" s="292" t="str">
        <f>IFERROR(IF(OR($B17="",JO$3=""),"",_xll.ciqfunctions.udf.CIQ($B17, "IQ_NI", $I$3, HG$3,$J$3, ,$G$3,$H$3)*2/(_xll.ciqfunctions.udf.CIQ($B17,"IQ_TOTAL_EQUITY",JO$3,$E$3, $J$3, , $G$3, $H$3)+_xll.ciqfunctions.udf.CIQ($B17,"IQ_TOTAL_EQUITY","IQ_" &amp; LEFT(JO$3,2) &amp; "-1",JO$3, $J$3, , $G$3, $H$3))),"")</f>
        <v/>
      </c>
      <c r="JP17" s="292" t="str">
        <f>IFERROR(IF(OR($B17="",JP$3=""),"",_xll.ciqfunctions.udf.CIQ($B17, "IQ_NI", $I$3, HH$3,$J$3, ,$G$3,$H$3)*2/(_xll.ciqfunctions.udf.CIQ($B17,"IQ_TOTAL_EQUITY",JP$3,$E$3, $J$3, , $G$3, $H$3)+_xll.ciqfunctions.udf.CIQ($B17,"IQ_TOTAL_EQUITY","IQ_" &amp; LEFT(JP$3,2) &amp; "-1",JP$3, $J$3, , $G$3, $H$3))),"")</f>
        <v/>
      </c>
      <c r="JQ17" s="292" t="str">
        <f>IFERROR(IF(OR($B17="",JQ$3=""),"",_xll.ciqfunctions.udf.CIQ($B17, "IQ_NI", $I$3, HI$3,$J$3, ,$G$3,$H$3)*2/(_xll.ciqfunctions.udf.CIQ($B17,"IQ_TOTAL_EQUITY",JQ$3,$E$3, $J$3, , $G$3, $H$3)+_xll.ciqfunctions.udf.CIQ($B17,"IQ_TOTAL_EQUITY","IQ_" &amp; LEFT(JQ$3,2) &amp; "-1",JQ$3, $J$3, , $G$3, $H$3))),"")</f>
        <v/>
      </c>
      <c r="JR17" s="292" t="str">
        <f>IFERROR(IF(OR($B17="",JR$3=""),"",_xll.ciqfunctions.udf.CIQ($B17, "IQ_NI", $I$3, HJ$3,$J$3, ,$G$3,$H$3)*2/(_xll.ciqfunctions.udf.CIQ($B17,"IQ_TOTAL_EQUITY",JR$3,$E$3, $J$3, , $G$3, $H$3)+_xll.ciqfunctions.udf.CIQ($B17,"IQ_TOTAL_EQUITY","IQ_" &amp; LEFT(JR$3,2) &amp; "-1",JR$3, $J$3, , $G$3, $H$3))),"")</f>
        <v/>
      </c>
      <c r="JS17" s="292" t="str">
        <f>IFERROR(IF(OR($B17="",JS$3=""),"",_xll.ciqfunctions.udf.CIQ($B17, "IQ_NI", $I$3, HK$3,$J$3, ,$G$3,$H$3)*2/(_xll.ciqfunctions.udf.CIQ($B17,"IQ_TOTAL_EQUITY",JS$3,$E$3, $J$3, , $G$3, $H$3)+_xll.ciqfunctions.udf.CIQ($B17,"IQ_TOTAL_EQUITY","IQ_" &amp; LEFT(JS$3,2) &amp; "-1",JS$3, $J$3, , $G$3, $H$3))),"")</f>
        <v/>
      </c>
      <c r="JT17" s="292" t="str">
        <f>IFERROR(IF(OR($B17="",JT$3=""),"",_xll.ciqfunctions.udf.CIQ($B17, "IQ_NI", $I$3, HL$3,$J$3, ,$G$3,$H$3)*2/(_xll.ciqfunctions.udf.CIQ($B17,"IQ_TOTAL_EQUITY",JT$3,$E$3, $J$3, , $G$3, $H$3)+_xll.ciqfunctions.udf.CIQ($B17,"IQ_TOTAL_EQUITY","IQ_" &amp; LEFT(JT$3,2) &amp; "-1",JT$3, $J$3, , $G$3, $H$3))),"")</f>
        <v/>
      </c>
      <c r="JU17" s="292" t="str">
        <f>IFERROR(IF(OR($B17="",JU$3=""),"",_xll.ciqfunctions.udf.CIQ($B17, "IQ_NI", $I$3, HM$3,$J$3, ,$G$3,$H$3)*2/(_xll.ciqfunctions.udf.CIQ($B17,"IQ_TOTAL_EQUITY",JU$3,$E$3, $J$3, , $G$3, $H$3)+_xll.ciqfunctions.udf.CIQ($B17,"IQ_TOTAL_EQUITY","IQ_" &amp; LEFT(JU$3,2) &amp; "-1",JU$3, $J$3, , $G$3, $H$3))),"")</f>
        <v/>
      </c>
      <c r="JV17" s="292" t="str">
        <f>IFERROR(IF(OR($B17="",JV$3=""),"",_xll.ciqfunctions.udf.CIQ($B17, "IQ_NI", $I$3, HN$3,$J$3, ,$G$3,$H$3)*2/(_xll.ciqfunctions.udf.CIQ($B17,"IQ_TOTAL_EQUITY",JV$3,$E$3, $J$3, , $G$3, $H$3)+_xll.ciqfunctions.udf.CIQ($B17,"IQ_TOTAL_EQUITY","IQ_" &amp; LEFT(JV$3,2) &amp; "-1",JV$3, $J$3, , $G$3, $H$3))),"")</f>
        <v/>
      </c>
      <c r="JW17" s="292" t="str">
        <f>IFERROR(IF(OR($B17="",JW$3=""),"",_xll.ciqfunctions.udf.CIQ($B17, "IQ_NI", $I$3, HO$3,$J$3, ,$G$3,$H$3)*2/(_xll.ciqfunctions.udf.CIQ($B17,"IQ_TOTAL_EQUITY",JW$3,$E$3, $J$3, , $G$3, $H$3)+_xll.ciqfunctions.udf.CIQ($B17,"IQ_TOTAL_EQUITY","IQ_" &amp; LEFT(JW$3,2) &amp; "-1",JW$3, $J$3, , $G$3, $H$3))),"")</f>
        <v/>
      </c>
      <c r="JX17" s="292" t="str">
        <f>IFERROR(IF(OR($B17="",JX$3=""),"",_xll.ciqfunctions.udf.CIQ($B17, "IQ_NI", $I$3, HP$3,$J$3, ,$G$3,$H$3)*2/(_xll.ciqfunctions.udf.CIQ($B17,"IQ_TOTAL_EQUITY",JX$3,$E$3, $J$3, , $G$3, $H$3)+_xll.ciqfunctions.udf.CIQ($B17,"IQ_TOTAL_EQUITY","IQ_" &amp; LEFT(JX$3,2) &amp; "-1",JX$3, $J$3, , $G$3, $H$3))),"")</f>
        <v/>
      </c>
      <c r="JY17" s="292" t="str">
        <f>IFERROR(IF(OR($B17="",JY$3=""),"",_xll.ciqfunctions.udf.CIQ($B17, "IQ_NI", $I$3, HQ$3,$J$3, ,$G$3,$H$3)*2/(_xll.ciqfunctions.udf.CIQ($B17,"IQ_TOTAL_EQUITY",JY$3,$E$3, $J$3, , $G$3, $H$3)+_xll.ciqfunctions.udf.CIQ($B17,"IQ_TOTAL_EQUITY","IQ_" &amp; LEFT(JY$3,2) &amp; "-1",JY$3, $J$3, , $G$3, $H$3))),"")</f>
        <v/>
      </c>
      <c r="JZ17" s="292" t="str">
        <f>IFERROR(IF(OR($B17="",JZ$3=""),"",_xll.ciqfunctions.udf.CIQ($B17, "IQ_NI", $I$3, HR$3,$J$3, ,$G$3,$H$3)*2/(_xll.ciqfunctions.udf.CIQ($B17,"IQ_TOTAL_EQUITY",JZ$3,$E$3, $J$3, , $G$3, $H$3)+_xll.ciqfunctions.udf.CIQ($B17,"IQ_TOTAL_EQUITY","IQ_" &amp; LEFT(JZ$3,2) &amp; "-1",JZ$3, $J$3, , $G$3, $H$3))),"")</f>
        <v/>
      </c>
      <c r="KA17" s="292" t="str">
        <f>IFERROR(IF(OR($B17="",KA$3=""),"",_xll.ciqfunctions.udf.CIQ($B17, "IQ_NI", $I$3, HS$3,$J$3, ,$G$3,$H$3)*2/(_xll.ciqfunctions.udf.CIQ($B17,"IQ_TOTAL_EQUITY",KA$3,$E$3, $J$3, , $G$3, $H$3)+_xll.ciqfunctions.udf.CIQ($B17,"IQ_TOTAL_EQUITY","IQ_" &amp; LEFT(KA$3,2) &amp; "-1",KA$3, $J$3, , $G$3, $H$3))),"")</f>
        <v/>
      </c>
      <c r="KB17" s="292" t="str">
        <f>IFERROR(IF(OR($B17="",KB$3=""),"",_xll.ciqfunctions.udf.CIQ($B17, "IQ_NI", $I$3, HT$3,$J$3, ,$G$3,$H$3)*2/(_xll.ciqfunctions.udf.CIQ($B17,"IQ_TOTAL_EQUITY",KB$3,$E$3, $J$3, , $G$3, $H$3)+_xll.ciqfunctions.udf.CIQ($B17,"IQ_TOTAL_EQUITY","IQ_" &amp; LEFT(KB$3,2) &amp; "-1",KB$3, $J$3, , $G$3, $H$3))),"")</f>
        <v/>
      </c>
      <c r="KC17" s="292" t="str">
        <f>IFERROR(IF(OR($B17="",KC$3=""),"",_xll.ciqfunctions.udf.CIQ($B17, "IQ_NI", $I$3, HU$3,$J$3, ,$G$3,$H$3)*2/(_xll.ciqfunctions.udf.CIQ($B17,"IQ_TOTAL_EQUITY",KC$3,$E$3, $J$3, , $G$3, $H$3)+_xll.ciqfunctions.udf.CIQ($B17,"IQ_TOTAL_EQUITY","IQ_" &amp; LEFT(KC$3,2) &amp; "-1",KC$3, $J$3, , $G$3, $H$3))),"")</f>
        <v/>
      </c>
      <c r="KD17" s="293" t="str">
        <f>IFERROR(IF(OR($B17="",KD$3=""),"",_xll.ciqfunctions.udf.CIQ($B17, "IQ_NI", $I$3, HV$3,$J$3, ,$G$3,$H$3)*2/(_xll.ciqfunctions.udf.CIQ($B17,"IQ_TOTAL_EQUITY",KD$3,$E$3, $J$3, , $G$3, $H$3)+_xll.ciqfunctions.udf.CIQ($B17,"IQ_TOTAL_EQUITY","IQ_" &amp; LEFT(KD$3,2) &amp; "-1",KD$3, $J$3, , $G$3, $H$3))),"")</f>
        <v/>
      </c>
      <c r="KE17" s="294" t="str">
        <f>IFERROR(IF(OR($B17="",KE$3=""),"",_xll.ciqfunctions.udf.CIQ($B17, "IQ_NI", $I$3, KE$3,$J$3, ,$G$3,$H$3)*2/(_xll.ciqfunctions.udf.CIQ($B17, "IQ_TOTAL_ASSETS", $I$3, KE$3,$J$3, ,$G$3,$H$3)+_xll.ciqfunctions.udf.CIQ($B17, "IQ_TOTAL_ASSETS", $I$3 &amp; "-1", KE$3,$J$3, ,$G$3,$H$3)-_xll.ciqfunctions.udf.CIQ($B17, "IQ_TOTAL_CL", $I$3, KE$3,$J$3, ,$G$3,$H$3)-_xll.ciqfunctions.udf.CIQ($B17, "IQ_TOTAL_CL", $I$3 &amp; "-1", KE$3,$J$3, ,$G$3,$H$3))),"")</f>
        <v/>
      </c>
      <c r="KF17" s="292" t="str">
        <f>IFERROR(IF(OR($B17="",KF$3=""),"",_xll.ciqfunctions.udf.CIQ($B17, "IQ_NI", $I$3, KF$3,$J$3, ,$G$3,$H$3)*2/(_xll.ciqfunctions.udf.CIQ($B17, "IQ_TOTAL_ASSETS", $I$3, KF$3,$J$3, ,$G$3,$H$3)+_xll.ciqfunctions.udf.CIQ($B17, "IQ_TOTAL_ASSETS", $I$3 &amp; "-1", KF$3,$J$3, ,$G$3,$H$3)-_xll.ciqfunctions.udf.CIQ($B17, "IQ_TOTAL_CL", $I$3, KF$3,$J$3, ,$G$3,$H$3)-_xll.ciqfunctions.udf.CIQ($B17, "IQ_TOTAL_CL", $I$3 &amp; "-1", KF$3,$J$3, ,$G$3,$H$3))),"")</f>
        <v/>
      </c>
      <c r="KG17" s="292" t="str">
        <f>IFERROR(IF(OR($B17="",KG$3=""),"",_xll.ciqfunctions.udf.CIQ($B17, "IQ_NI", $I$3, KG$3,$J$3, ,$G$3,$H$3)*2/(_xll.ciqfunctions.udf.CIQ($B17, "IQ_TOTAL_ASSETS", $I$3, KG$3,$J$3, ,$G$3,$H$3)+_xll.ciqfunctions.udf.CIQ($B17, "IQ_TOTAL_ASSETS", $I$3 &amp; "-1", KG$3,$J$3, ,$G$3,$H$3)-_xll.ciqfunctions.udf.CIQ($B17, "IQ_TOTAL_CL", $I$3, KG$3,$J$3, ,$G$3,$H$3)-_xll.ciqfunctions.udf.CIQ($B17, "IQ_TOTAL_CL", $I$3 &amp; "-1", KG$3,$J$3, ,$G$3,$H$3))),"")</f>
        <v/>
      </c>
      <c r="KH17" s="292" t="str">
        <f>IFERROR(IF(OR($B17="",KH$3=""),"",_xll.ciqfunctions.udf.CIQ($B17, "IQ_NI", $I$3, KH$3,$J$3, ,$G$3,$H$3)*2/(_xll.ciqfunctions.udf.CIQ($B17, "IQ_TOTAL_ASSETS", $I$3, KH$3,$J$3, ,$G$3,$H$3)+_xll.ciqfunctions.udf.CIQ($B17, "IQ_TOTAL_ASSETS", $I$3 &amp; "-1", KH$3,$J$3, ,$G$3,$H$3)-_xll.ciqfunctions.udf.CIQ($B17, "IQ_TOTAL_CL", $I$3, KH$3,$J$3, ,$G$3,$H$3)-_xll.ciqfunctions.udf.CIQ($B17, "IQ_TOTAL_CL", $I$3 &amp; "-1", KH$3,$J$3, ,$G$3,$H$3))),"")</f>
        <v/>
      </c>
      <c r="KI17" s="292" t="str">
        <f>IFERROR(IF(OR($B17="",KI$3=""),"",_xll.ciqfunctions.udf.CIQ($B17, "IQ_NI", $I$3, KI$3,$J$3, ,$G$3,$H$3)*2/(_xll.ciqfunctions.udf.CIQ($B17, "IQ_TOTAL_ASSETS", $I$3, KI$3,$J$3, ,$G$3,$H$3)+_xll.ciqfunctions.udf.CIQ($B17, "IQ_TOTAL_ASSETS", $I$3 &amp; "-1", KI$3,$J$3, ,$G$3,$H$3)-_xll.ciqfunctions.udf.CIQ($B17, "IQ_TOTAL_CL", $I$3, KI$3,$J$3, ,$G$3,$H$3)-_xll.ciqfunctions.udf.CIQ($B17, "IQ_TOTAL_CL", $I$3 &amp; "-1", KI$3,$J$3, ,$G$3,$H$3))),"")</f>
        <v/>
      </c>
      <c r="KJ17" s="292" t="str">
        <f>IFERROR(IF(OR($B17="",KJ$3=""),"",_xll.ciqfunctions.udf.CIQ($B17, "IQ_NI", $I$3, KJ$3,$J$3, ,$G$3,$H$3)*2/(_xll.ciqfunctions.udf.CIQ($B17, "IQ_TOTAL_ASSETS", $I$3, KJ$3,$J$3, ,$G$3,$H$3)+_xll.ciqfunctions.udf.CIQ($B17, "IQ_TOTAL_ASSETS", $I$3 &amp; "-1", KJ$3,$J$3, ,$G$3,$H$3)-_xll.ciqfunctions.udf.CIQ($B17, "IQ_TOTAL_CL", $I$3, KJ$3,$J$3, ,$G$3,$H$3)-_xll.ciqfunctions.udf.CIQ($B17, "IQ_TOTAL_CL", $I$3 &amp; "-1", KJ$3,$J$3, ,$G$3,$H$3))),"")</f>
        <v/>
      </c>
      <c r="KK17" s="292" t="str">
        <f>IFERROR(IF(OR($B17="",KK$3=""),"",_xll.ciqfunctions.udf.CIQ($B17, "IQ_NI", $I$3, KK$3,$J$3, ,$G$3,$H$3)*2/(_xll.ciqfunctions.udf.CIQ($B17, "IQ_TOTAL_ASSETS", $I$3, KK$3,$J$3, ,$G$3,$H$3)+_xll.ciqfunctions.udf.CIQ($B17, "IQ_TOTAL_ASSETS", $I$3 &amp; "-1", KK$3,$J$3, ,$G$3,$H$3)-_xll.ciqfunctions.udf.CIQ($B17, "IQ_TOTAL_CL", $I$3, KK$3,$J$3, ,$G$3,$H$3)-_xll.ciqfunctions.udf.CIQ($B17, "IQ_TOTAL_CL", $I$3 &amp; "-1", KK$3,$J$3, ,$G$3,$H$3))),"")</f>
        <v/>
      </c>
      <c r="KL17" s="292" t="str">
        <f>IFERROR(IF(OR($B17="",KL$3=""),"",_xll.ciqfunctions.udf.CIQ($B17, "IQ_NI", $I$3, KL$3,$J$3, ,$G$3,$H$3)*2/(_xll.ciqfunctions.udf.CIQ($B17, "IQ_TOTAL_ASSETS", $I$3, KL$3,$J$3, ,$G$3,$H$3)+_xll.ciqfunctions.udf.CIQ($B17, "IQ_TOTAL_ASSETS", $I$3 &amp; "-1", KL$3,$J$3, ,$G$3,$H$3)-_xll.ciqfunctions.udf.CIQ($B17, "IQ_TOTAL_CL", $I$3, KL$3,$J$3, ,$G$3,$H$3)-_xll.ciqfunctions.udf.CIQ($B17, "IQ_TOTAL_CL", $I$3 &amp; "-1", KL$3,$J$3, ,$G$3,$H$3))),"")</f>
        <v/>
      </c>
      <c r="KM17" s="292" t="str">
        <f>IFERROR(IF(OR($B17="",KM$3=""),"",_xll.ciqfunctions.udf.CIQ($B17, "IQ_NI", $I$3, KM$3,$J$3, ,$G$3,$H$3)*2/(_xll.ciqfunctions.udf.CIQ($B17, "IQ_TOTAL_ASSETS", $I$3, KM$3,$J$3, ,$G$3,$H$3)+_xll.ciqfunctions.udf.CIQ($B17, "IQ_TOTAL_ASSETS", $I$3 &amp; "-1", KM$3,$J$3, ,$G$3,$H$3)-_xll.ciqfunctions.udf.CIQ($B17, "IQ_TOTAL_CL", $I$3, KM$3,$J$3, ,$G$3,$H$3)-_xll.ciqfunctions.udf.CIQ($B17, "IQ_TOTAL_CL", $I$3 &amp; "-1", KM$3,$J$3, ,$G$3,$H$3))),"")</f>
        <v/>
      </c>
      <c r="KN17" s="292" t="str">
        <f>IFERROR(IF(OR($B17="",KN$3=""),"",_xll.ciqfunctions.udf.CIQ($B17, "IQ_NI", $I$3, KN$3,$J$3, ,$G$3,$H$3)*2/(_xll.ciqfunctions.udf.CIQ($B17, "IQ_TOTAL_ASSETS", $I$3, KN$3,$J$3, ,$G$3,$H$3)+_xll.ciqfunctions.udf.CIQ($B17, "IQ_TOTAL_ASSETS", $I$3 &amp; "-1", KN$3,$J$3, ,$G$3,$H$3)-_xll.ciqfunctions.udf.CIQ($B17, "IQ_TOTAL_CL", $I$3, KN$3,$J$3, ,$G$3,$H$3)-_xll.ciqfunctions.udf.CIQ($B17, "IQ_TOTAL_CL", $I$3 &amp; "-1", KN$3,$J$3, ,$G$3,$H$3))),"")</f>
        <v/>
      </c>
      <c r="KO17" s="292" t="str">
        <f>IFERROR(IF(OR($B17="",KO$3=""),"",_xll.ciqfunctions.udf.CIQ($B17, "IQ_NI", $I$3, KO$3,$J$3, ,$G$3,$H$3)*2/(_xll.ciqfunctions.udf.CIQ($B17, "IQ_TOTAL_ASSETS", $I$3, KO$3,$J$3, ,$G$3,$H$3)+_xll.ciqfunctions.udf.CIQ($B17, "IQ_TOTAL_ASSETS", $I$3 &amp; "-1", KO$3,$J$3, ,$G$3,$H$3)-_xll.ciqfunctions.udf.CIQ($B17, "IQ_TOTAL_CL", $I$3, KO$3,$J$3, ,$G$3,$H$3)-_xll.ciqfunctions.udf.CIQ($B17, "IQ_TOTAL_CL", $I$3 &amp; "-1", KO$3,$J$3, ,$G$3,$H$3))),"")</f>
        <v/>
      </c>
      <c r="KP17" s="292" t="str">
        <f>IFERROR(IF(OR($B17="",KP$3=""),"",_xll.ciqfunctions.udf.CIQ($B17, "IQ_NI", $I$3, KP$3,$J$3, ,$G$3,$H$3)*2/(_xll.ciqfunctions.udf.CIQ($B17, "IQ_TOTAL_ASSETS", $I$3, KP$3,$J$3, ,$G$3,$H$3)+_xll.ciqfunctions.udf.CIQ($B17, "IQ_TOTAL_ASSETS", $I$3 &amp; "-1", KP$3,$J$3, ,$G$3,$H$3)-_xll.ciqfunctions.udf.CIQ($B17, "IQ_TOTAL_CL", $I$3, KP$3,$J$3, ,$G$3,$H$3)-_xll.ciqfunctions.udf.CIQ($B17, "IQ_TOTAL_CL", $I$3 &amp; "-1", KP$3,$J$3, ,$G$3,$H$3))),"")</f>
        <v/>
      </c>
      <c r="KQ17" s="292" t="str">
        <f>IFERROR(IF(OR($B17="",KQ$3=""),"",_xll.ciqfunctions.udf.CIQ($B17, "IQ_NI", $I$3, KQ$3,$J$3, ,$G$3,$H$3)*2/(_xll.ciqfunctions.udf.CIQ($B17, "IQ_TOTAL_ASSETS", $I$3, KQ$3,$J$3, ,$G$3,$H$3)+_xll.ciqfunctions.udf.CIQ($B17, "IQ_TOTAL_ASSETS", $I$3 &amp; "-1", KQ$3,$J$3, ,$G$3,$H$3)-_xll.ciqfunctions.udf.CIQ($B17, "IQ_TOTAL_CL", $I$3, KQ$3,$J$3, ,$G$3,$H$3)-_xll.ciqfunctions.udf.CIQ($B17, "IQ_TOTAL_CL", $I$3 &amp; "-1", KQ$3,$J$3, ,$G$3,$H$3))),"")</f>
        <v/>
      </c>
      <c r="KR17" s="292" t="str">
        <f>IFERROR(IF(OR($B17="",KR$3=""),"",_xll.ciqfunctions.udf.CIQ($B17, "IQ_NI", $I$3, KR$3,$J$3, ,$G$3,$H$3)*2/(_xll.ciqfunctions.udf.CIQ($B17, "IQ_TOTAL_ASSETS", $I$3, KR$3,$J$3, ,$G$3,$H$3)+_xll.ciqfunctions.udf.CIQ($B17, "IQ_TOTAL_ASSETS", $I$3 &amp; "-1", KR$3,$J$3, ,$G$3,$H$3)-_xll.ciqfunctions.udf.CIQ($B17, "IQ_TOTAL_CL", $I$3, KR$3,$J$3, ,$G$3,$H$3)-_xll.ciqfunctions.udf.CIQ($B17, "IQ_TOTAL_CL", $I$3 &amp; "-1", KR$3,$J$3, ,$G$3,$H$3))),"")</f>
        <v/>
      </c>
      <c r="KS17" s="292" t="str">
        <f>IFERROR(IF(OR($B17="",KS$3=""),"",_xll.ciqfunctions.udf.CIQ($B17, "IQ_NI", $I$3, KS$3,$J$3, ,$G$3,$H$3)*2/(_xll.ciqfunctions.udf.CIQ($B17, "IQ_TOTAL_ASSETS", $I$3, KS$3,$J$3, ,$G$3,$H$3)+_xll.ciqfunctions.udf.CIQ($B17, "IQ_TOTAL_ASSETS", $I$3 &amp; "-1", KS$3,$J$3, ,$G$3,$H$3)-_xll.ciqfunctions.udf.CIQ($B17, "IQ_TOTAL_CL", $I$3, KS$3,$J$3, ,$G$3,$H$3)-_xll.ciqfunctions.udf.CIQ($B17, "IQ_TOTAL_CL", $I$3 &amp; "-1", KS$3,$J$3, ,$G$3,$H$3))),"")</f>
        <v/>
      </c>
      <c r="KT17" s="292" t="str">
        <f>IFERROR(IF(OR($B17="",KT$3=""),"",_xll.ciqfunctions.udf.CIQ($B17, "IQ_NI", $I$3, KT$3,$J$3, ,$G$3,$H$3)*2/(_xll.ciqfunctions.udf.CIQ($B17, "IQ_TOTAL_ASSETS", $I$3, KT$3,$J$3, ,$G$3,$H$3)+_xll.ciqfunctions.udf.CIQ($B17, "IQ_TOTAL_ASSETS", $I$3 &amp; "-1", KT$3,$J$3, ,$G$3,$H$3)-_xll.ciqfunctions.udf.CIQ($B17, "IQ_TOTAL_CL", $I$3, KT$3,$J$3, ,$G$3,$H$3)-_xll.ciqfunctions.udf.CIQ($B17, "IQ_TOTAL_CL", $I$3 &amp; "-1", KT$3,$J$3, ,$G$3,$H$3))),"")</f>
        <v/>
      </c>
      <c r="KU17" s="292" t="str">
        <f>IFERROR(IF(OR($B17="",KU$3=""),"",_xll.ciqfunctions.udf.CIQ($B17, "IQ_NI", $I$3, KU$3,$J$3, ,$G$3,$H$3)*2/(_xll.ciqfunctions.udf.CIQ($B17, "IQ_TOTAL_ASSETS", $I$3, KU$3,$J$3, ,$G$3,$H$3)+_xll.ciqfunctions.udf.CIQ($B17, "IQ_TOTAL_ASSETS", $I$3 &amp; "-1", KU$3,$J$3, ,$G$3,$H$3)-_xll.ciqfunctions.udf.CIQ($B17, "IQ_TOTAL_CL", $I$3, KU$3,$J$3, ,$G$3,$H$3)-_xll.ciqfunctions.udf.CIQ($B17, "IQ_TOTAL_CL", $I$3 &amp; "-1", KU$3,$J$3, ,$G$3,$H$3))),"")</f>
        <v/>
      </c>
      <c r="KV17" s="292" t="str">
        <f>IFERROR(IF(OR($B17="",KV$3=""),"",_xll.ciqfunctions.udf.CIQ($B17, "IQ_NI", $I$3, KV$3,$J$3, ,$G$3,$H$3)*2/(_xll.ciqfunctions.udf.CIQ($B17, "IQ_TOTAL_ASSETS", $I$3, KV$3,$J$3, ,$G$3,$H$3)+_xll.ciqfunctions.udf.CIQ($B17, "IQ_TOTAL_ASSETS", $I$3 &amp; "-1", KV$3,$J$3, ,$G$3,$H$3)-_xll.ciqfunctions.udf.CIQ($B17, "IQ_TOTAL_CL", $I$3, KV$3,$J$3, ,$G$3,$H$3)-_xll.ciqfunctions.udf.CIQ($B17, "IQ_TOTAL_CL", $I$3 &amp; "-1", KV$3,$J$3, ,$G$3,$H$3))),"")</f>
        <v/>
      </c>
      <c r="KW17" s="292" t="str">
        <f>IFERROR(IF(OR($B17="",KW$3=""),"",_xll.ciqfunctions.udf.CIQ($B17, "IQ_NI", $I$3, KW$3,$J$3, ,$G$3,$H$3)*2/(_xll.ciqfunctions.udf.CIQ($B17, "IQ_TOTAL_ASSETS", $I$3, KW$3,$J$3, ,$G$3,$H$3)+_xll.ciqfunctions.udf.CIQ($B17, "IQ_TOTAL_ASSETS", $I$3 &amp; "-1", KW$3,$J$3, ,$G$3,$H$3)-_xll.ciqfunctions.udf.CIQ($B17, "IQ_TOTAL_CL", $I$3, KW$3,$J$3, ,$G$3,$H$3)-_xll.ciqfunctions.udf.CIQ($B17, "IQ_TOTAL_CL", $I$3 &amp; "-1", KW$3,$J$3, ,$G$3,$H$3))),"")</f>
        <v/>
      </c>
      <c r="KX17" s="293" t="str">
        <f>IFERROR(IF(OR($B17="",KX$3=""),"",_xll.ciqfunctions.udf.CIQ($B17, "IQ_NI", $I$3, KX$3,$J$3, ,$G$3,$H$3)*2/(_xll.ciqfunctions.udf.CIQ($B17, "IQ_TOTAL_ASSETS", $I$3, KX$3,$J$3, ,$G$3,$H$3)+_xll.ciqfunctions.udf.CIQ($B17, "IQ_TOTAL_ASSETS", $I$3 &amp; "-1", KX$3,$J$3, ,$G$3,$H$3)-_xll.ciqfunctions.udf.CIQ($B17, "IQ_TOTAL_CL", $I$3, KX$3,$J$3, ,$G$3,$H$3)-_xll.ciqfunctions.udf.CIQ($B17, "IQ_TOTAL_CL", $I$3 &amp; "-1", KX$3,$J$3, ,$G$3,$H$3))),"")</f>
        <v/>
      </c>
      <c r="KY17" s="294" t="str">
        <f>IFERROR(IF(OR($B17="",KY$3=""),"",_xll.ciqfunctions.udf.CIQ($B17,"IQ_CASH_OPER",$I$3, KY$3,$J$3, ,$G$3,$H$3)*2/(_xll.ciqfunctions.udf.CIQ($B17,"IQ_TOTAL_CL",KY$3,$E$3, $J$3, , $G$3, $H$3)+_xll.ciqfunctions.udf.CIQ($B17,"IQ_TOTAL_CL","IQ_" &amp; LEFT(KY$3,2) &amp; "-1",KY$3, $J$3, , $G$3, $H$3))),"")</f>
        <v/>
      </c>
      <c r="KZ17" s="292" t="str">
        <f>IFERROR(IF(OR($B17="",KZ$3=""),"",_xll.ciqfunctions.udf.CIQ($B17,"IQ_CASH_OPER",$I$3, KZ$3,$J$3, ,$G$3,$H$3)*2/(_xll.ciqfunctions.udf.CIQ($B17,"IQ_TOTAL_CL",KZ$3,$E$3, $J$3, , $G$3, $H$3)+_xll.ciqfunctions.udf.CIQ($B17,"IQ_TOTAL_CL","IQ_" &amp; LEFT(KZ$3,2) &amp; "-1",KZ$3, $J$3, , $G$3, $H$3))),"")</f>
        <v/>
      </c>
      <c r="LA17" s="292" t="str">
        <f>IFERROR(IF(OR($B17="",LA$3=""),"",_xll.ciqfunctions.udf.CIQ($B17,"IQ_CASH_OPER",$I$3, LA$3,$J$3, ,$G$3,$H$3)*2/(_xll.ciqfunctions.udf.CIQ($B17,"IQ_TOTAL_CL",LA$3,$E$3, $J$3, , $G$3, $H$3)+_xll.ciqfunctions.udf.CIQ($B17,"IQ_TOTAL_CL","IQ_" &amp; LEFT(LA$3,2) &amp; "-1",LA$3, $J$3, , $G$3, $H$3))),"")</f>
        <v/>
      </c>
      <c r="LB17" s="292" t="str">
        <f>IFERROR(IF(OR($B17="",LB$3=""),"",_xll.ciqfunctions.udf.CIQ($B17,"IQ_CASH_OPER",$I$3, LB$3,$J$3, ,$G$3,$H$3)*2/(_xll.ciqfunctions.udf.CIQ($B17,"IQ_TOTAL_CL",LB$3,$E$3, $J$3, , $G$3, $H$3)+_xll.ciqfunctions.udf.CIQ($B17,"IQ_TOTAL_CL","IQ_" &amp; LEFT(LB$3,2) &amp; "-1",LB$3, $J$3, , $G$3, $H$3))),"")</f>
        <v/>
      </c>
      <c r="LC17" s="292" t="str">
        <f>IFERROR(IF(OR($B17="",LC$3=""),"",_xll.ciqfunctions.udf.CIQ($B17,"IQ_CASH_OPER",$I$3, LC$3,$J$3, ,$G$3,$H$3)*2/(_xll.ciqfunctions.udf.CIQ($B17,"IQ_TOTAL_CL",LC$3,$E$3, $J$3, , $G$3, $H$3)+_xll.ciqfunctions.udf.CIQ($B17,"IQ_TOTAL_CL","IQ_" &amp; LEFT(LC$3,2) &amp; "-1",LC$3, $J$3, , $G$3, $H$3))),"")</f>
        <v/>
      </c>
      <c r="LD17" s="292" t="str">
        <f>IFERROR(IF(OR($B17="",LD$3=""),"",_xll.ciqfunctions.udf.CIQ($B17,"IQ_CASH_OPER",$I$3, LD$3,$J$3, ,$G$3,$H$3)*2/(_xll.ciqfunctions.udf.CIQ($B17,"IQ_TOTAL_CL",LD$3,$E$3, $J$3, , $G$3, $H$3)+_xll.ciqfunctions.udf.CIQ($B17,"IQ_TOTAL_CL","IQ_" &amp; LEFT(LD$3,2) &amp; "-1",LD$3, $J$3, , $G$3, $H$3))),"")</f>
        <v/>
      </c>
      <c r="LE17" s="292" t="str">
        <f>IFERROR(IF(OR($B17="",LE$3=""),"",_xll.ciqfunctions.udf.CIQ($B17,"IQ_CASH_OPER",$I$3, LE$3,$J$3, ,$G$3,$H$3)*2/(_xll.ciqfunctions.udf.CIQ($B17,"IQ_TOTAL_CL",LE$3,$E$3, $J$3, , $G$3, $H$3)+_xll.ciqfunctions.udf.CIQ($B17,"IQ_TOTAL_CL","IQ_" &amp; LEFT(LE$3,2) &amp; "-1",LE$3, $J$3, , $G$3, $H$3))),"")</f>
        <v/>
      </c>
      <c r="LF17" s="292" t="str">
        <f>IFERROR(IF(OR($B17="",LF$3=""),"",_xll.ciqfunctions.udf.CIQ($B17,"IQ_CASH_OPER",$I$3, LF$3,$J$3, ,$G$3,$H$3)*2/(_xll.ciqfunctions.udf.CIQ($B17,"IQ_TOTAL_CL",LF$3,$E$3, $J$3, , $G$3, $H$3)+_xll.ciqfunctions.udf.CIQ($B17,"IQ_TOTAL_CL","IQ_" &amp; LEFT(LF$3,2) &amp; "-1",LF$3, $J$3, , $G$3, $H$3))),"")</f>
        <v/>
      </c>
      <c r="LG17" s="292" t="str">
        <f>IFERROR(IF(OR($B17="",LG$3=""),"",_xll.ciqfunctions.udf.CIQ($B17,"IQ_CASH_OPER",$I$3, LG$3,$J$3, ,$G$3,$H$3)*2/(_xll.ciqfunctions.udf.CIQ($B17,"IQ_TOTAL_CL",LG$3,$E$3, $J$3, , $G$3, $H$3)+_xll.ciqfunctions.udf.CIQ($B17,"IQ_TOTAL_CL","IQ_" &amp; LEFT(LG$3,2) &amp; "-1",LG$3, $J$3, , $G$3, $H$3))),"")</f>
        <v/>
      </c>
      <c r="LH17" s="292" t="str">
        <f>IFERROR(IF(OR($B17="",LH$3=""),"",_xll.ciqfunctions.udf.CIQ($B17,"IQ_CASH_OPER",$I$3, LH$3,$J$3, ,$G$3,$H$3)*2/(_xll.ciqfunctions.udf.CIQ($B17,"IQ_TOTAL_CL",LH$3,$E$3, $J$3, , $G$3, $H$3)+_xll.ciqfunctions.udf.CIQ($B17,"IQ_TOTAL_CL","IQ_" &amp; LEFT(LH$3,2) &amp; "-1",LH$3, $J$3, , $G$3, $H$3))),"")</f>
        <v/>
      </c>
      <c r="LI17" s="292" t="str">
        <f>IFERROR(IF(OR($B17="",LI$3=""),"",_xll.ciqfunctions.udf.CIQ($B17,"IQ_CASH_OPER",$I$3, LI$3,$J$3, ,$G$3,$H$3)*2/(_xll.ciqfunctions.udf.CIQ($B17,"IQ_TOTAL_CL",LI$3,$E$3, $J$3, , $G$3, $H$3)+_xll.ciqfunctions.udf.CIQ($B17,"IQ_TOTAL_CL","IQ_" &amp; LEFT(LI$3,2) &amp; "-1",LI$3, $J$3, , $G$3, $H$3))),"")</f>
        <v/>
      </c>
      <c r="LJ17" s="292" t="str">
        <f>IFERROR(IF(OR($B17="",LJ$3=""),"",_xll.ciqfunctions.udf.CIQ($B17,"IQ_CASH_OPER",$I$3, LJ$3,$J$3, ,$G$3,$H$3)*2/(_xll.ciqfunctions.udf.CIQ($B17,"IQ_TOTAL_CL",LJ$3,$E$3, $J$3, , $G$3, $H$3)+_xll.ciqfunctions.udf.CIQ($B17,"IQ_TOTAL_CL","IQ_" &amp; LEFT(LJ$3,2) &amp; "-1",LJ$3, $J$3, , $G$3, $H$3))),"")</f>
        <v/>
      </c>
      <c r="LK17" s="292" t="str">
        <f>IFERROR(IF(OR($B17="",LK$3=""),"",_xll.ciqfunctions.udf.CIQ($B17,"IQ_CASH_OPER",$I$3, LK$3,$J$3, ,$G$3,$H$3)*2/(_xll.ciqfunctions.udf.CIQ($B17,"IQ_TOTAL_CL",LK$3,$E$3, $J$3, , $G$3, $H$3)+_xll.ciqfunctions.udf.CIQ($B17,"IQ_TOTAL_CL","IQ_" &amp; LEFT(LK$3,2) &amp; "-1",LK$3, $J$3, , $G$3, $H$3))),"")</f>
        <v/>
      </c>
      <c r="LL17" s="292" t="str">
        <f>IFERROR(IF(OR($B17="",LL$3=""),"",_xll.ciqfunctions.udf.CIQ($B17,"IQ_CASH_OPER",$I$3, LL$3,$J$3, ,$G$3,$H$3)*2/(_xll.ciqfunctions.udf.CIQ($B17,"IQ_TOTAL_CL",LL$3,$E$3, $J$3, , $G$3, $H$3)+_xll.ciqfunctions.udf.CIQ($B17,"IQ_TOTAL_CL","IQ_" &amp; LEFT(LL$3,2) &amp; "-1",LL$3, $J$3, , $G$3, $H$3))),"")</f>
        <v/>
      </c>
      <c r="LM17" s="292" t="str">
        <f>IFERROR(IF(OR($B17="",LM$3=""),"",_xll.ciqfunctions.udf.CIQ($B17,"IQ_CASH_OPER",$I$3, LM$3,$J$3, ,$G$3,$H$3)*2/(_xll.ciqfunctions.udf.CIQ($B17,"IQ_TOTAL_CL",LM$3,$E$3, $J$3, , $G$3, $H$3)+_xll.ciqfunctions.udf.CIQ($B17,"IQ_TOTAL_CL","IQ_" &amp; LEFT(LM$3,2) &amp; "-1",LM$3, $J$3, , $G$3, $H$3))),"")</f>
        <v/>
      </c>
      <c r="LN17" s="292" t="str">
        <f>IFERROR(IF(OR($B17="",LN$3=""),"",_xll.ciqfunctions.udf.CIQ($B17,"IQ_CASH_OPER",$I$3, LN$3,$J$3, ,$G$3,$H$3)*2/(_xll.ciqfunctions.udf.CIQ($B17,"IQ_TOTAL_CL",LN$3,$E$3, $J$3, , $G$3, $H$3)+_xll.ciqfunctions.udf.CIQ($B17,"IQ_TOTAL_CL","IQ_" &amp; LEFT(LN$3,2) &amp; "-1",LN$3, $J$3, , $G$3, $H$3))),"")</f>
        <v/>
      </c>
      <c r="LO17" s="292" t="str">
        <f>IFERROR(IF(OR($B17="",LO$3=""),"",_xll.ciqfunctions.udf.CIQ($B17,"IQ_CASH_OPER",$I$3, LO$3,$J$3, ,$G$3,$H$3)*2/(_xll.ciqfunctions.udf.CIQ($B17,"IQ_TOTAL_CL",LO$3,$E$3, $J$3, , $G$3, $H$3)+_xll.ciqfunctions.udf.CIQ($B17,"IQ_TOTAL_CL","IQ_" &amp; LEFT(LO$3,2) &amp; "-1",LO$3, $J$3, , $G$3, $H$3))),"")</f>
        <v/>
      </c>
      <c r="LP17" s="292" t="str">
        <f>IFERROR(IF(OR($B17="",LP$3=""),"",_xll.ciqfunctions.udf.CIQ($B17,"IQ_CASH_OPER",$I$3, LP$3,$J$3, ,$G$3,$H$3)*2/(_xll.ciqfunctions.udf.CIQ($B17,"IQ_TOTAL_CL",LP$3,$E$3, $J$3, , $G$3, $H$3)+_xll.ciqfunctions.udf.CIQ($B17,"IQ_TOTAL_CL","IQ_" &amp; LEFT(LP$3,2) &amp; "-1",LP$3, $J$3, , $G$3, $H$3))),"")</f>
        <v/>
      </c>
      <c r="LQ17" s="292" t="str">
        <f>IFERROR(IF(OR($B17="",LQ$3=""),"",_xll.ciqfunctions.udf.CIQ($B17,"IQ_CASH_OPER",$I$3, LQ$3,$J$3, ,$G$3,$H$3)*2/(_xll.ciqfunctions.udf.CIQ($B17,"IQ_TOTAL_CL",LQ$3,$E$3, $J$3, , $G$3, $H$3)+_xll.ciqfunctions.udf.CIQ($B17,"IQ_TOTAL_CL","IQ_" &amp; LEFT(LQ$3,2) &amp; "-1",LQ$3, $J$3, , $G$3, $H$3))),"")</f>
        <v/>
      </c>
      <c r="LR17" s="293" t="str">
        <f>IFERROR(IF(OR($B17="",LR$3=""),"",_xll.ciqfunctions.udf.CIQ($B17,"IQ_CASH_OPER",$I$3, LR$3,$J$3, ,$G$3,$H$3)*2/(_xll.ciqfunctions.udf.CIQ($B17,"IQ_TOTAL_CL",LR$3,$E$3, $J$3, , $G$3, $H$3)+_xll.ciqfunctions.udf.CIQ($B17,"IQ_TOTAL_CL","IQ_" &amp; LEFT(LR$3,2) &amp; "-1",LR$3, $J$3, , $G$3, $H$3))),"")</f>
        <v/>
      </c>
      <c r="LS17" s="294" t="str">
        <f>IFERROR(IF(OR($B17="",LS$3=""),"",IF(_xll.ciqfunctions.udf.CIQ($B17,"IQ_INC_TAX",LS$3,$E$3, $J$3, , $G$3, $H$3)/ABS(_xll.ciqfunctions.udf.CIQ($B17,"IQ_EBT",IQ_LTM,$E$3, $J$3, , $G$3, $H$3))&lt;0,0,_xll.ciqfunctions.udf.CIQ($B17,"IQ_INC_TAX",LS$3,$E$3, $J$3, , $G$3, $H$3)/ABS(_xll.ciqfunctions.udf.CIQ($B17,"IQ_EBT",LS$3,$E$3, $J$3, , $G$3, $H$3)))),"")</f>
        <v/>
      </c>
      <c r="LT17" s="292" t="str">
        <f>IFERROR(IF(OR($B17="",LT$3=""),"",IF(_xll.ciqfunctions.udf.CIQ($B17,"IQ_INC_TAX",LT$3,$E$3, $J$3, , $G$3, $H$3)/ABS(_xll.ciqfunctions.udf.CIQ($B17,"IQ_EBT",IQ_LTM,$E$3, $J$3, , $G$3, $H$3))&lt;0,0,_xll.ciqfunctions.udf.CIQ($B17,"IQ_INC_TAX",LT$3,$E$3, $J$3, , $G$3, $H$3)/ABS(_xll.ciqfunctions.udf.CIQ($B17,"IQ_EBT",LT$3,$E$3, $J$3, , $G$3, $H$3)))),"")</f>
        <v/>
      </c>
      <c r="LU17" s="292" t="str">
        <f>IFERROR(IF(OR($B17="",LU$3=""),"",IF(_xll.ciqfunctions.udf.CIQ($B17,"IQ_INC_TAX",LU$3,$E$3, $J$3, , $G$3, $H$3)/ABS(_xll.ciqfunctions.udf.CIQ($B17,"IQ_EBT",IQ_LTM,$E$3, $J$3, , $G$3, $H$3))&lt;0,0,_xll.ciqfunctions.udf.CIQ($B17,"IQ_INC_TAX",LU$3,$E$3, $J$3, , $G$3, $H$3)/ABS(_xll.ciqfunctions.udf.CIQ($B17,"IQ_EBT",LU$3,$E$3, $J$3, , $G$3, $H$3)))),"")</f>
        <v/>
      </c>
      <c r="LV17" s="292" t="str">
        <f>IFERROR(IF(OR($B17="",LV$3=""),"",IF(_xll.ciqfunctions.udf.CIQ($B17,"IQ_INC_TAX",LV$3,$E$3, $J$3, , $G$3, $H$3)/ABS(_xll.ciqfunctions.udf.CIQ($B17,"IQ_EBT",IQ_LTM,$E$3, $J$3, , $G$3, $H$3))&lt;0,0,_xll.ciqfunctions.udf.CIQ($B17,"IQ_INC_TAX",LV$3,$E$3, $J$3, , $G$3, $H$3)/ABS(_xll.ciqfunctions.udf.CIQ($B17,"IQ_EBT",LV$3,$E$3, $J$3, , $G$3, $H$3)))),"")</f>
        <v/>
      </c>
      <c r="LW17" s="292" t="str">
        <f>IFERROR(IF(OR($B17="",LW$3=""),"",IF(_xll.ciqfunctions.udf.CIQ($B17,"IQ_INC_TAX",LW$3,$E$3, $J$3, , $G$3, $H$3)/ABS(_xll.ciqfunctions.udf.CIQ($B17,"IQ_EBT",IQ_LTM,$E$3, $J$3, , $G$3, $H$3))&lt;0,0,_xll.ciqfunctions.udf.CIQ($B17,"IQ_INC_TAX",LW$3,$E$3, $J$3, , $G$3, $H$3)/ABS(_xll.ciqfunctions.udf.CIQ($B17,"IQ_EBT",LW$3,$E$3, $J$3, , $G$3, $H$3)))),"")</f>
        <v/>
      </c>
      <c r="LX17" s="292" t="str">
        <f>IFERROR(IF(OR($B17="",LX$3=""),"",IF(_xll.ciqfunctions.udf.CIQ($B17,"IQ_INC_TAX",LX$3,$E$3, $J$3, , $G$3, $H$3)/ABS(_xll.ciqfunctions.udf.CIQ($B17,"IQ_EBT",IQ_LTM,$E$3, $J$3, , $G$3, $H$3))&lt;0,0,_xll.ciqfunctions.udf.CIQ($B17,"IQ_INC_TAX",LX$3,$E$3, $J$3, , $G$3, $H$3)/ABS(_xll.ciqfunctions.udf.CIQ($B17,"IQ_EBT",LX$3,$E$3, $J$3, , $G$3, $H$3)))),"")</f>
        <v/>
      </c>
      <c r="LY17" s="292" t="str">
        <f>IFERROR(IF(OR($B17="",LY$3=""),"",IF(_xll.ciqfunctions.udf.CIQ($B17,"IQ_INC_TAX",LY$3,$E$3, $J$3, , $G$3, $H$3)/ABS(_xll.ciqfunctions.udf.CIQ($B17,"IQ_EBT",IQ_LTM,$E$3, $J$3, , $G$3, $H$3))&lt;0,0,_xll.ciqfunctions.udf.CIQ($B17,"IQ_INC_TAX",LY$3,$E$3, $J$3, , $G$3, $H$3)/ABS(_xll.ciqfunctions.udf.CIQ($B17,"IQ_EBT",LY$3,$E$3, $J$3, , $G$3, $H$3)))),"")</f>
        <v/>
      </c>
      <c r="LZ17" s="292" t="str">
        <f>IFERROR(IF(OR($B17="",LZ$3=""),"",IF(_xll.ciqfunctions.udf.CIQ($B17,"IQ_INC_TAX",LZ$3,$E$3, $J$3, , $G$3, $H$3)/ABS(_xll.ciqfunctions.udf.CIQ($B17,"IQ_EBT",IQ_LTM,$E$3, $J$3, , $G$3, $H$3))&lt;0,0,_xll.ciqfunctions.udf.CIQ($B17,"IQ_INC_TAX",LZ$3,$E$3, $J$3, , $G$3, $H$3)/ABS(_xll.ciqfunctions.udf.CIQ($B17,"IQ_EBT",LZ$3,$E$3, $J$3, , $G$3, $H$3)))),"")</f>
        <v/>
      </c>
      <c r="MA17" s="292" t="str">
        <f>IFERROR(IF(OR($B17="",MA$3=""),"",IF(_xll.ciqfunctions.udf.CIQ($B17,"IQ_INC_TAX",MA$3,$E$3, $J$3, , $G$3, $H$3)/ABS(_xll.ciqfunctions.udf.CIQ($B17,"IQ_EBT",IQ_LTM,$E$3, $J$3, , $G$3, $H$3))&lt;0,0,_xll.ciqfunctions.udf.CIQ($B17,"IQ_INC_TAX",MA$3,$E$3, $J$3, , $G$3, $H$3)/ABS(_xll.ciqfunctions.udf.CIQ($B17,"IQ_EBT",MA$3,$E$3, $J$3, , $G$3, $H$3)))),"")</f>
        <v/>
      </c>
      <c r="MB17" s="292" t="str">
        <f>IFERROR(IF(OR($B17="",MB$3=""),"",IF(_xll.ciqfunctions.udf.CIQ($B17,"IQ_INC_TAX",MB$3,$E$3, $J$3, , $G$3, $H$3)/ABS(_xll.ciqfunctions.udf.CIQ($B17,"IQ_EBT",IQ_LTM,$E$3, $J$3, , $G$3, $H$3))&lt;0,0,_xll.ciqfunctions.udf.CIQ($B17,"IQ_INC_TAX",MB$3,$E$3, $J$3, , $G$3, $H$3)/ABS(_xll.ciqfunctions.udf.CIQ($B17,"IQ_EBT",MB$3,$E$3, $J$3, , $G$3, $H$3)))),"")</f>
        <v/>
      </c>
      <c r="MC17" s="292" t="str">
        <f>IFERROR(IF(OR($B17="",MC$3=""),"",IF(_xll.ciqfunctions.udf.CIQ($B17,"IQ_INC_TAX",MC$3,$E$3, $J$3, , $G$3, $H$3)/ABS(_xll.ciqfunctions.udf.CIQ($B17,"IQ_EBT",IQ_LTM,$E$3, $J$3, , $G$3, $H$3))&lt;0,0,_xll.ciqfunctions.udf.CIQ($B17,"IQ_INC_TAX",MC$3,$E$3, $J$3, , $G$3, $H$3)/ABS(_xll.ciqfunctions.udf.CIQ($B17,"IQ_EBT",MC$3,$E$3, $J$3, , $G$3, $H$3)))),"")</f>
        <v/>
      </c>
      <c r="MD17" s="318" t="str">
        <f>IFERROR(IF(OR($B17="",MD$3=""),"",IF(_xll.ciqfunctions.udf.CIQ($B17,"IQ_INC_TAX",MD$3,$E$3, $J$3, , $G$3, $H$3)/ABS(_xll.ciqfunctions.udf.CIQ($B17,"IQ_EBT",IQ_LTM,$E$3, $J$3, , $G$3, $H$3))&lt;0,0,_xll.ciqfunctions.udf.CIQ($B17,"IQ_INC_TAX",MD$3,$E$3, $J$3, , $G$3, $H$3)/ABS(_xll.ciqfunctions.udf.CIQ($B17,"IQ_EBT",MD$3,$E$3, $J$3, , $G$3, $H$3)))),"")</f>
        <v/>
      </c>
      <c r="ME17" s="322" t="str">
        <f>IFERROR(IF(OR($B17="",ME$3=""),"",IF(_xll.ciqfunctions.udf.CIQ($B17,"IQ_INC_TAX",ME$3,$E$3, $J$3, , $G$3, $H$3)/ABS(_xll.ciqfunctions.udf.CIQ($B17,"IQ_EBT",IQ_LTM,$E$3, $J$3, , $G$3, $H$3))&lt;0,0,_xll.ciqfunctions.udf.CIQ($B17,"IQ_INC_TAX",ME$3,$E$3, $J$3, , $G$3, $H$3)/ABS(_xll.ciqfunctions.udf.CIQ($B17,"IQ_EBT",ME$3,$E$3, $J$3, , $G$3, $H$3)))),"")</f>
        <v/>
      </c>
      <c r="MF17" s="292" t="str">
        <f>IFERROR(IF(OR($B17="",MF$3=""),"",IF(_xll.ciqfunctions.udf.CIQ($B17,"IQ_INC_TAX",MF$3,$E$3, $J$3, , $G$3, $H$3)/ABS(_xll.ciqfunctions.udf.CIQ($B17,"IQ_EBT",IQ_LTM,$E$3, $J$3, , $G$3, $H$3))&lt;0,0,_xll.ciqfunctions.udf.CIQ($B17,"IQ_INC_TAX",MF$3,$E$3, $J$3, , $G$3, $H$3)/ABS(_xll.ciqfunctions.udf.CIQ($B17,"IQ_EBT",MF$3,$E$3, $J$3, , $G$3, $H$3)))),"")</f>
        <v/>
      </c>
      <c r="MG17" s="292" t="str">
        <f>IFERROR(IF(OR($B17="",MG$3=""),"",IF(_xll.ciqfunctions.udf.CIQ($B17,"IQ_INC_TAX",MG$3,$E$3, $J$3, , $G$3, $H$3)/ABS(_xll.ciqfunctions.udf.CIQ($B17,"IQ_EBT",IQ_LTM,$E$3, $J$3, , $G$3, $H$3))&lt;0,0,_xll.ciqfunctions.udf.CIQ($B17,"IQ_INC_TAX",MG$3,$E$3, $J$3, , $G$3, $H$3)/ABS(_xll.ciqfunctions.udf.CIQ($B17,"IQ_EBT",MG$3,$E$3, $J$3, , $G$3, $H$3)))),"")</f>
        <v/>
      </c>
      <c r="MH17" s="292" t="str">
        <f>IFERROR(IF(OR($B17="",MH$3=""),"",IF(_xll.ciqfunctions.udf.CIQ($B17,"IQ_INC_TAX",MH$3,$E$3, $J$3, , $G$3, $H$3)/ABS(_xll.ciqfunctions.udf.CIQ($B17,"IQ_EBT",IQ_LTM,$E$3, $J$3, , $G$3, $H$3))&lt;0,0,_xll.ciqfunctions.udf.CIQ($B17,"IQ_INC_TAX",MH$3,$E$3, $J$3, , $G$3, $H$3)/ABS(_xll.ciqfunctions.udf.CIQ($B17,"IQ_EBT",MH$3,$E$3, $J$3, , $G$3, $H$3)))),"")</f>
        <v/>
      </c>
      <c r="MI17" s="292" t="str">
        <f>IFERROR(IF(OR($B17="",MI$3=""),"",IF(_xll.ciqfunctions.udf.CIQ($B17,"IQ_INC_TAX",MI$3,$E$3, $J$3, , $G$3, $H$3)/ABS(_xll.ciqfunctions.udf.CIQ($B17,"IQ_EBT",IQ_LTM,$E$3, $J$3, , $G$3, $H$3))&lt;0,0,_xll.ciqfunctions.udf.CIQ($B17,"IQ_INC_TAX",MI$3,$E$3, $J$3, , $G$3, $H$3)/ABS(_xll.ciqfunctions.udf.CIQ($B17,"IQ_EBT",MI$3,$E$3, $J$3, , $G$3, $H$3)))),"")</f>
        <v/>
      </c>
      <c r="MJ17" s="292" t="str">
        <f>IFERROR(IF(OR($B17="",MJ$3=""),"",IF(_xll.ciqfunctions.udf.CIQ($B17,"IQ_INC_TAX",MJ$3,$E$3, $J$3, , $G$3, $H$3)/ABS(_xll.ciqfunctions.udf.CIQ($B17,"IQ_EBT",IQ_LTM,$E$3, $J$3, , $G$3, $H$3))&lt;0,0,_xll.ciqfunctions.udf.CIQ($B17,"IQ_INC_TAX",MJ$3,$E$3, $J$3, , $G$3, $H$3)/ABS(_xll.ciqfunctions.udf.CIQ($B17,"IQ_EBT",MJ$3,$E$3, $J$3, , $G$3, $H$3)))),"")</f>
        <v/>
      </c>
      <c r="MK17" s="292" t="str">
        <f>IFERROR(IF(OR($B17="",MK$3=""),"",IF(_xll.ciqfunctions.udf.CIQ($B17,"IQ_INC_TAX",MK$3,$E$3, $J$3, , $G$3, $H$3)/ABS(_xll.ciqfunctions.udf.CIQ($B17,"IQ_EBT",IQ_LTM,$E$3, $J$3, , $G$3, $H$3))&lt;0,0,_xll.ciqfunctions.udf.CIQ($B17,"IQ_INC_TAX",MK$3,$E$3, $J$3, , $G$3, $H$3)/ABS(_xll.ciqfunctions.udf.CIQ($B17,"IQ_EBT",MK$3,$E$3, $J$3, , $G$3, $H$3)))),"")</f>
        <v/>
      </c>
      <c r="ML17" s="293" t="str">
        <f>IFERROR(IF(OR($B17="",ML$3=""),"",IF(_xll.ciqfunctions.udf.CIQ($B17,"IQ_INC_TAX",ML$3,$E$3, $J$3, , $G$3, $H$3)/ABS(_xll.ciqfunctions.udf.CIQ($B17,"IQ_EBT",IQ_LTM,$E$3, $J$3, , $G$3, $H$3))&lt;0,0,_xll.ciqfunctions.udf.CIQ($B17,"IQ_INC_TAX",ML$3,$E$3, $J$3, , $G$3, $H$3)/ABS(_xll.ciqfunctions.udf.CIQ($B17,"IQ_EBT",ML$3,$E$3, $J$3, , $G$3, $H$3)))),"")</f>
        <v/>
      </c>
      <c r="MM17" s="72" t="str">
        <f>IFERROR(IF(OR($B17="",MM$3=""),"",(_xll.ciqfunctions.udf.CIQ($B17,"IQ_TIER_ONE_CAPITAL",MM$3,$E$3, $J$3, , $G$3, $H$3)+_xll.ciqfunctions.udf.CIQ($B17,"IQ_TIER_TWO_CAPITAL",MM$3,$E$3, $J$3, , $G$3, $H$3)-_xll.ciqfunctions.udf.CIQ($B17,"IQ_GW",MM$3,$E$3, $J$3, , $G$3, $H$3))/_xll.ciqfunctions.udf.CIQ($B17,"IQ_RISK_ADJ_BANK_ASSETS",MM$3,$E$3, $J$3, , $G$3, $H$3)),"")</f>
        <v/>
      </c>
      <c r="MN17" s="72" t="str">
        <f>IFERROR(IF(OR($B17="",MN$3=""),"",(_xll.ciqfunctions.udf.CIQ($B17,"IQ_TIER_ONE_CAPITAL",MN$3,$E$3, $J$3, , $G$3, $H$3)+_xll.ciqfunctions.udf.CIQ($B17,"IQ_TIER_TWO_CAPITAL",MN$3,$E$3, $J$3, , $G$3, $H$3)-_xll.ciqfunctions.udf.CIQ($B17,"IQ_GW",MN$3,$E$3, $J$3, , $G$3, $H$3))/_xll.ciqfunctions.udf.CIQ($B17,"IQ_RISK_ADJ_BANK_ASSETS",MN$3,$E$3, $J$3, , $G$3, $H$3)),"")</f>
        <v/>
      </c>
      <c r="MO17" s="72" t="str">
        <f>IFERROR(IF(OR($B17="",MO$3=""),"",(_xll.ciqfunctions.udf.CIQ($B17,"IQ_TIER_ONE_CAPITAL",MO$3,$E$3, $J$3, , $G$3, $H$3)+_xll.ciqfunctions.udf.CIQ($B17,"IQ_TIER_TWO_CAPITAL",MO$3,$E$3, $J$3, , $G$3, $H$3)-_xll.ciqfunctions.udf.CIQ($B17,"IQ_GW",MO$3,$E$3, $J$3, , $G$3, $H$3))/_xll.ciqfunctions.udf.CIQ($B17,"IQ_RISK_ADJ_BANK_ASSETS",MO$3,$E$3, $J$3, , $G$3, $H$3)),"")</f>
        <v/>
      </c>
      <c r="MP17" s="72" t="str">
        <f>IFERROR(IF(OR($B17="",MP$3=""),"",(_xll.ciqfunctions.udf.CIQ($B17,"IQ_TIER_ONE_CAPITAL",MP$3,$E$3, $J$3, , $G$3, $H$3)+_xll.ciqfunctions.udf.CIQ($B17,"IQ_TIER_TWO_CAPITAL",MP$3,$E$3, $J$3, , $G$3, $H$3)-_xll.ciqfunctions.udf.CIQ($B17,"IQ_GW",MP$3,$E$3, $J$3, , $G$3, $H$3))/_xll.ciqfunctions.udf.CIQ($B17,"IQ_RISK_ADJ_BANK_ASSETS",MP$3,$E$3, $J$3, , $G$3, $H$3)),"")</f>
        <v/>
      </c>
      <c r="MQ17" s="72" t="str">
        <f>IFERROR(IF(OR($B17="",MQ$3=""),"",(_xll.ciqfunctions.udf.CIQ($B17,"IQ_TIER_ONE_CAPITAL",MQ$3,$E$3, $J$3, , $G$3, $H$3)+_xll.ciqfunctions.udf.CIQ($B17,"IQ_TIER_TWO_CAPITAL",MQ$3,$E$3, $J$3, , $G$3, $H$3)-_xll.ciqfunctions.udf.CIQ($B17,"IQ_GW",MQ$3,$E$3, $J$3, , $G$3, $H$3))/_xll.ciqfunctions.udf.CIQ($B17,"IQ_RISK_ADJ_BANK_ASSETS",MQ$3,$E$3, $J$3, , $G$3, $H$3)),"")</f>
        <v/>
      </c>
      <c r="MR17" s="72" t="str">
        <f>IFERROR(IF(OR($B17="",MR$3=""),"",(_xll.ciqfunctions.udf.CIQ($B17,"IQ_TIER_ONE_CAPITAL",MR$3,$E$3, $J$3, , $G$3, $H$3)+_xll.ciqfunctions.udf.CIQ($B17,"IQ_TIER_TWO_CAPITAL",MR$3,$E$3, $J$3, , $G$3, $H$3)-_xll.ciqfunctions.udf.CIQ($B17,"IQ_GW",MR$3,$E$3, $J$3, , $G$3, $H$3))/_xll.ciqfunctions.udf.CIQ($B17,"IQ_RISK_ADJ_BANK_ASSETS",MR$3,$E$3, $J$3, , $G$3, $H$3)),"")</f>
        <v/>
      </c>
      <c r="MS17" s="72" t="str">
        <f>IFERROR(IF(OR($B17="",MS$3=""),"",(_xll.ciqfunctions.udf.CIQ($B17,"IQ_TIER_ONE_CAPITAL",MS$3,$E$3, $J$3, , $G$3, $H$3)+_xll.ciqfunctions.udf.CIQ($B17,"IQ_TIER_TWO_CAPITAL",MS$3,$E$3, $J$3, , $G$3, $H$3)-_xll.ciqfunctions.udf.CIQ($B17,"IQ_GW",MS$3,$E$3, $J$3, , $G$3, $H$3))/_xll.ciqfunctions.udf.CIQ($B17,"IQ_RISK_ADJ_BANK_ASSETS",MS$3,$E$3, $J$3, , $G$3, $H$3)),"")</f>
        <v/>
      </c>
      <c r="MT17" s="72" t="str">
        <f>IFERROR(IF(OR($B17="",MT$3=""),"",(_xll.ciqfunctions.udf.CIQ($B17,"IQ_TIER_ONE_CAPITAL",MT$3,$E$3, $J$3, , $G$3, $H$3)+_xll.ciqfunctions.udf.CIQ($B17,"IQ_TIER_TWO_CAPITAL",MT$3,$E$3, $J$3, , $G$3, $H$3)-_xll.ciqfunctions.udf.CIQ($B17,"IQ_GW",MT$3,$E$3, $J$3, , $G$3, $H$3))/_xll.ciqfunctions.udf.CIQ($B17,"IQ_RISK_ADJ_BANK_ASSETS",MT$3,$E$3, $J$3, , $G$3, $H$3)),"")</f>
        <v/>
      </c>
      <c r="MU17" s="72" t="str">
        <f>IFERROR(IF(OR($B17="",MU$3=""),"",(_xll.ciqfunctions.udf.CIQ($B17,"IQ_TIER_ONE_CAPITAL",MU$3,$E$3, $J$3, , $G$3, $H$3)+_xll.ciqfunctions.udf.CIQ($B17,"IQ_TIER_TWO_CAPITAL",MU$3,$E$3, $J$3, , $G$3, $H$3)-_xll.ciqfunctions.udf.CIQ($B17,"IQ_GW",MU$3,$E$3, $J$3, , $G$3, $H$3))/_xll.ciqfunctions.udf.CIQ($B17,"IQ_RISK_ADJ_BANK_ASSETS",MU$3,$E$3, $J$3, , $G$3, $H$3)),"")</f>
        <v/>
      </c>
      <c r="MV17" s="72" t="str">
        <f>IFERROR(IF(OR($B17="",MV$3=""),"",(_xll.ciqfunctions.udf.CIQ($B17,"IQ_TIER_ONE_CAPITAL",MV$3,$E$3, $J$3, , $G$3, $H$3)+_xll.ciqfunctions.udf.CIQ($B17,"IQ_TIER_TWO_CAPITAL",MV$3,$E$3, $J$3, , $G$3, $H$3)-_xll.ciqfunctions.udf.CIQ($B17,"IQ_GW",MV$3,$E$3, $J$3, , $G$3, $H$3))/_xll.ciqfunctions.udf.CIQ($B17,"IQ_RISK_ADJ_BANK_ASSETS",MV$3,$E$3, $J$3, , $G$3, $H$3)),"")</f>
        <v/>
      </c>
      <c r="MW17" s="72" t="str">
        <f>IFERROR(IF(OR($B17="",MW$3=""),"",(_xll.ciqfunctions.udf.CIQ($B17,"IQ_TIER_ONE_CAPITAL",MW$3,$E$3, $J$3, , $G$3, $H$3)+_xll.ciqfunctions.udf.CIQ($B17,"IQ_TIER_TWO_CAPITAL",MW$3,$E$3, $J$3, , $G$3, $H$3)-_xll.ciqfunctions.udf.CIQ($B17,"IQ_GW",MW$3,$E$3, $J$3, , $G$3, $H$3))/_xll.ciqfunctions.udf.CIQ($B17,"IQ_RISK_ADJ_BANK_ASSETS",MW$3,$E$3, $J$3, , $G$3, $H$3)),"")</f>
        <v/>
      </c>
      <c r="MX17" s="72" t="str">
        <f>IFERROR(IF(OR($B17="",MX$3=""),"",(_xll.ciqfunctions.udf.CIQ($B17,"IQ_TIER_ONE_CAPITAL",MX$3,$E$3, $J$3, , $G$3, $H$3)+_xll.ciqfunctions.udf.CIQ($B17,"IQ_TIER_TWO_CAPITAL",MX$3,$E$3, $J$3, , $G$3, $H$3)-_xll.ciqfunctions.udf.CIQ($B17,"IQ_GW",MX$3,$E$3, $J$3, , $G$3, $H$3))/_xll.ciqfunctions.udf.CIQ($B17,"IQ_RISK_ADJ_BANK_ASSETS",MX$3,$E$3, $J$3, , $G$3, $H$3)),"")</f>
        <v/>
      </c>
      <c r="MY17" s="72" t="str">
        <f>IFERROR(IF(OR($B17="",MY$3=""),"",(_xll.ciqfunctions.udf.CIQ($B17,"IQ_TIER_ONE_CAPITAL",MY$3,$E$3, $J$3, , $G$3, $H$3)+_xll.ciqfunctions.udf.CIQ($B17,"IQ_TIER_TWO_CAPITAL",MY$3,$E$3, $J$3, , $G$3, $H$3)-_xll.ciqfunctions.udf.CIQ($B17,"IQ_GW",MY$3,$E$3, $J$3, , $G$3, $H$3))/_xll.ciqfunctions.udf.CIQ($B17,"IQ_RISK_ADJ_BANK_ASSETS",MY$3,$E$3, $J$3, , $G$3, $H$3)),"")</f>
        <v/>
      </c>
      <c r="MZ17" s="72" t="str">
        <f>IFERROR(IF(OR($B17="",MZ$3=""),"",(_xll.ciqfunctions.udf.CIQ($B17,"IQ_TIER_ONE_CAPITAL",MZ$3,$E$3, $J$3, , $G$3, $H$3)+_xll.ciqfunctions.udf.CIQ($B17,"IQ_TIER_TWO_CAPITAL",MZ$3,$E$3, $J$3, , $G$3, $H$3)-_xll.ciqfunctions.udf.CIQ($B17,"IQ_GW",MZ$3,$E$3, $J$3, , $G$3, $H$3))/_xll.ciqfunctions.udf.CIQ($B17,"IQ_RISK_ADJ_BANK_ASSETS",MZ$3,$E$3, $J$3, , $G$3, $H$3)),"")</f>
        <v/>
      </c>
      <c r="NA17" s="72" t="str">
        <f>IFERROR(IF(OR($B17="",NA$3=""),"",(_xll.ciqfunctions.udf.CIQ($B17,"IQ_TIER_ONE_CAPITAL",NA$3,$E$3, $J$3, , $G$3, $H$3)+_xll.ciqfunctions.udf.CIQ($B17,"IQ_TIER_TWO_CAPITAL",NA$3,$E$3, $J$3, , $G$3, $H$3)-_xll.ciqfunctions.udf.CIQ($B17,"IQ_GW",NA$3,$E$3, $J$3, , $G$3, $H$3))/_xll.ciqfunctions.udf.CIQ($B17,"IQ_RISK_ADJ_BANK_ASSETS",NA$3,$E$3, $J$3, , $G$3, $H$3)),"")</f>
        <v/>
      </c>
      <c r="NB17" s="72" t="str">
        <f>IFERROR(IF(OR($B17="",NB$3=""),"",(_xll.ciqfunctions.udf.CIQ($B17,"IQ_TIER_ONE_CAPITAL",NB$3,$E$3, $J$3, , $G$3, $H$3)+_xll.ciqfunctions.udf.CIQ($B17,"IQ_TIER_TWO_CAPITAL",NB$3,$E$3, $J$3, , $G$3, $H$3)-_xll.ciqfunctions.udf.CIQ($B17,"IQ_GW",NB$3,$E$3, $J$3, , $G$3, $H$3))/_xll.ciqfunctions.udf.CIQ($B17,"IQ_RISK_ADJ_BANK_ASSETS",NB$3,$E$3, $J$3, , $G$3, $H$3)),"")</f>
        <v/>
      </c>
      <c r="NC17" s="72" t="str">
        <f>IFERROR(IF(OR($B17="",NC$3=""),"",(_xll.ciqfunctions.udf.CIQ($B17,"IQ_TIER_ONE_CAPITAL",NC$3,$E$3, $J$3, , $G$3, $H$3)+_xll.ciqfunctions.udf.CIQ($B17,"IQ_TIER_TWO_CAPITAL",NC$3,$E$3, $J$3, , $G$3, $H$3)-_xll.ciqfunctions.udf.CIQ($B17,"IQ_GW",NC$3,$E$3, $J$3, , $G$3, $H$3))/_xll.ciqfunctions.udf.CIQ($B17,"IQ_RISK_ADJ_BANK_ASSETS",NC$3,$E$3, $J$3, , $G$3, $H$3)),"")</f>
        <v/>
      </c>
      <c r="ND17" s="72" t="str">
        <f>IFERROR(IF(OR($B17="",ND$3=""),"",(_xll.ciqfunctions.udf.CIQ($B17,"IQ_TIER_ONE_CAPITAL",ND$3,$E$3, $J$3, , $G$3, $H$3)+_xll.ciqfunctions.udf.CIQ($B17,"IQ_TIER_TWO_CAPITAL",ND$3,$E$3, $J$3, , $G$3, $H$3)-_xll.ciqfunctions.udf.CIQ($B17,"IQ_GW",ND$3,$E$3, $J$3, , $G$3, $H$3))/_xll.ciqfunctions.udf.CIQ($B17,"IQ_RISK_ADJ_BANK_ASSETS",ND$3,$E$3, $J$3, , $G$3, $H$3)),"")</f>
        <v/>
      </c>
      <c r="NE17" s="72" t="str">
        <f>IFERROR(IF(OR($B17="",NE$3=""),"",(_xll.ciqfunctions.udf.CIQ($B17,"IQ_TIER_ONE_CAPITAL",NE$3,$E$3, $J$3, , $G$3, $H$3)+_xll.ciqfunctions.udf.CIQ($B17,"IQ_TIER_TWO_CAPITAL",NE$3,$E$3, $J$3, , $G$3, $H$3)-_xll.ciqfunctions.udf.CIQ($B17,"IQ_GW",NE$3,$E$3, $J$3, , $G$3, $H$3))/_xll.ciqfunctions.udf.CIQ($B17,"IQ_RISK_ADJ_BANK_ASSETS",NE$3,$E$3, $J$3, , $G$3, $H$3)),"")</f>
        <v/>
      </c>
      <c r="NF17" s="72" t="str">
        <f>IFERROR(IF(OR($B17="",NF$3=""),"",(_xll.ciqfunctions.udf.CIQ($B17,"IQ_TIER_ONE_CAPITAL",NF$3,$E$3, $J$3, , $G$3, $H$3)+_xll.ciqfunctions.udf.CIQ($B17,"IQ_TIER_TWO_CAPITAL",NF$3,$E$3, $J$3, , $G$3, $H$3)-_xll.ciqfunctions.udf.CIQ($B17,"IQ_GW",NF$3,$E$3, $J$3, , $G$3, $H$3))/_xll.ciqfunctions.udf.CIQ($B17,"IQ_RISK_ADJ_BANK_ASSETS",NF$3,$E$3, $J$3, , $G$3, $H$3)),"")</f>
        <v/>
      </c>
      <c r="NG17" s="72" t="str">
        <f>IFERROR(IF(OR($B17="",NG$3=""),"",-_xll.ciqfunctions.udf.CIQ($B17,"IQ_ALLOW_LL",NG$3,$E$3, $J$3, , $G$3, $H$3)/_xll.ciqfunctions.udf.CIQ($B17,"IQ_TOTAL_LOANS",NG$3,$E$3, $J$3, , $G$3, $H$3)),"")</f>
        <v/>
      </c>
      <c r="NH17" s="72" t="str">
        <f>IFERROR(IF(OR($B17="",NH$3=""),"",-_xll.ciqfunctions.udf.CIQ($B17,"IQ_ALLOW_LL",NH$3,$E$3, $J$3, , $G$3, $H$3)/_xll.ciqfunctions.udf.CIQ($B17,"IQ_TOTAL_LOANS",NH$3,$E$3, $J$3, , $G$3, $H$3)),"")</f>
        <v/>
      </c>
      <c r="NI17" s="72" t="str">
        <f>IFERROR(IF(OR($B17="",NI$3=""),"",-_xll.ciqfunctions.udf.CIQ($B17,"IQ_ALLOW_LL",NI$3,$E$3, $J$3, , $G$3, $H$3)/_xll.ciqfunctions.udf.CIQ($B17,"IQ_TOTAL_LOANS",NI$3,$E$3, $J$3, , $G$3, $H$3)),"")</f>
        <v/>
      </c>
      <c r="NJ17" s="72" t="str">
        <f>IFERROR(IF(OR($B17="",NJ$3=""),"",-_xll.ciqfunctions.udf.CIQ($B17,"IQ_ALLOW_LL",NJ$3,$E$3, $J$3, , $G$3, $H$3)/_xll.ciqfunctions.udf.CIQ($B17,"IQ_TOTAL_LOANS",NJ$3,$E$3, $J$3, , $G$3, $H$3)),"")</f>
        <v/>
      </c>
      <c r="NK17" s="72" t="str">
        <f>IFERROR(IF(OR($B17="",NK$3=""),"",-_xll.ciqfunctions.udf.CIQ($B17,"IQ_ALLOW_LL",NK$3,$E$3, $J$3, , $G$3, $H$3)/_xll.ciqfunctions.udf.CIQ($B17,"IQ_TOTAL_LOANS",NK$3,$E$3, $J$3, , $G$3, $H$3)),"")</f>
        <v/>
      </c>
      <c r="NL17" s="72" t="str">
        <f>IFERROR(IF(OR($B17="",NL$3=""),"",-_xll.ciqfunctions.udf.CIQ($B17,"IQ_ALLOW_LL",NL$3,$E$3, $J$3, , $G$3, $H$3)/_xll.ciqfunctions.udf.CIQ($B17,"IQ_TOTAL_LOANS",NL$3,$E$3, $J$3, , $G$3, $H$3)),"")</f>
        <v/>
      </c>
      <c r="NM17" s="72" t="str">
        <f>IFERROR(IF(OR($B17="",NM$3=""),"",-_xll.ciqfunctions.udf.CIQ($B17,"IQ_ALLOW_LL",NM$3,$E$3, $J$3, , $G$3, $H$3)/_xll.ciqfunctions.udf.CIQ($B17,"IQ_TOTAL_LOANS",NM$3,$E$3, $J$3, , $G$3, $H$3)),"")</f>
        <v/>
      </c>
      <c r="NN17" s="72" t="str">
        <f>IFERROR(IF(OR($B17="",NN$3=""),"",-_xll.ciqfunctions.udf.CIQ($B17,"IQ_ALLOW_LL",NN$3,$E$3, $J$3, , $G$3, $H$3)/_xll.ciqfunctions.udf.CIQ($B17,"IQ_TOTAL_LOANS",NN$3,$E$3, $J$3, , $G$3, $H$3)),"")</f>
        <v/>
      </c>
      <c r="NO17" s="72" t="str">
        <f>IFERROR(IF(OR($B17="",NO$3=""),"",-_xll.ciqfunctions.udf.CIQ($B17,"IQ_ALLOW_LL",NO$3,$E$3, $J$3, , $G$3, $H$3)/_xll.ciqfunctions.udf.CIQ($B17,"IQ_TOTAL_LOANS",NO$3,$E$3, $J$3, , $G$3, $H$3)),"")</f>
        <v/>
      </c>
      <c r="NP17" s="72" t="str">
        <f>IFERROR(IF(OR($B17="",NP$3=""),"",-_xll.ciqfunctions.udf.CIQ($B17,"IQ_ALLOW_LL",NP$3,$E$3, $J$3, , $G$3, $H$3)/_xll.ciqfunctions.udf.CIQ($B17,"IQ_TOTAL_LOANS",NP$3,$E$3, $J$3, , $G$3, $H$3)),"")</f>
        <v/>
      </c>
      <c r="NQ17" s="72" t="str">
        <f>IFERROR(IF(OR($B17="",NQ$3=""),"",-_xll.ciqfunctions.udf.CIQ($B17,"IQ_ALLOW_LL",NQ$3,$E$3, $J$3, , $G$3, $H$3)/_xll.ciqfunctions.udf.CIQ($B17,"IQ_TOTAL_LOANS",NQ$3,$E$3, $J$3, , $G$3, $H$3)),"")</f>
        <v/>
      </c>
      <c r="NR17" s="72" t="str">
        <f>IFERROR(IF(OR($B17="",NR$3=""),"",-_xll.ciqfunctions.udf.CIQ($B17,"IQ_ALLOW_LL",NR$3,$E$3, $J$3, , $G$3, $H$3)/_xll.ciqfunctions.udf.CIQ($B17,"IQ_TOTAL_LOANS",NR$3,$E$3, $J$3, , $G$3, $H$3)),"")</f>
        <v/>
      </c>
      <c r="NS17" s="72" t="str">
        <f>IFERROR(IF(OR($B17="",NS$3=""),"",-_xll.ciqfunctions.udf.CIQ($B17,"IQ_ALLOW_LL",NS$3,$E$3, $J$3, , $G$3, $H$3)/_xll.ciqfunctions.udf.CIQ($B17,"IQ_TOTAL_LOANS",NS$3,$E$3, $J$3, , $G$3, $H$3)),"")</f>
        <v/>
      </c>
      <c r="NT17" s="72" t="str">
        <f>IFERROR(IF(OR($B17="",NT$3=""),"",-_xll.ciqfunctions.udf.CIQ($B17,"IQ_ALLOW_LL",NT$3,$E$3, $J$3, , $G$3, $H$3)/_xll.ciqfunctions.udf.CIQ($B17,"IQ_TOTAL_LOANS",NT$3,$E$3, $J$3, , $G$3, $H$3)),"")</f>
        <v/>
      </c>
      <c r="NU17" s="72" t="str">
        <f>IFERROR(IF(OR($B17="",NU$3=""),"",-_xll.ciqfunctions.udf.CIQ($B17,"IQ_ALLOW_LL",NU$3,$E$3, $J$3, , $G$3, $H$3)/_xll.ciqfunctions.udf.CIQ($B17,"IQ_TOTAL_LOANS",NU$3,$E$3, $J$3, , $G$3, $H$3)),"")</f>
        <v/>
      </c>
      <c r="NV17" s="72" t="str">
        <f>IFERROR(IF(OR($B17="",NV$3=""),"",-_xll.ciqfunctions.udf.CIQ($B17,"IQ_ALLOW_LL",NV$3,$E$3, $J$3, , $G$3, $H$3)/_xll.ciqfunctions.udf.CIQ($B17,"IQ_TOTAL_LOANS",NV$3,$E$3, $J$3, , $G$3, $H$3)),"")</f>
        <v/>
      </c>
      <c r="NW17" s="72" t="str">
        <f>IFERROR(IF(OR($B17="",NW$3=""),"",-_xll.ciqfunctions.udf.CIQ($B17,"IQ_ALLOW_LL",NW$3,$E$3, $J$3, , $G$3, $H$3)/_xll.ciqfunctions.udf.CIQ($B17,"IQ_TOTAL_LOANS",NW$3,$E$3, $J$3, , $G$3, $H$3)),"")</f>
        <v/>
      </c>
      <c r="NX17" s="72" t="str">
        <f>IFERROR(IF(OR($B17="",NX$3=""),"",-_xll.ciqfunctions.udf.CIQ($B17,"IQ_ALLOW_LL",NX$3,$E$3, $J$3, , $G$3, $H$3)/_xll.ciqfunctions.udf.CIQ($B17,"IQ_TOTAL_LOANS",NX$3,$E$3, $J$3, , $G$3, $H$3)),"")</f>
        <v/>
      </c>
      <c r="NY17" s="72" t="str">
        <f>IFERROR(IF(OR($B17="",NY$3=""),"",-_xll.ciqfunctions.udf.CIQ($B17,"IQ_ALLOW_LL",NY$3,$E$3, $J$3, , $G$3, $H$3)/_xll.ciqfunctions.udf.CIQ($B17,"IQ_TOTAL_LOANS",NY$3,$E$3, $J$3, , $G$3, $H$3)),"")</f>
        <v/>
      </c>
      <c r="NZ17" s="72" t="str">
        <f>IFERROR(IF(OR($B17="",NZ$3=""),"",-_xll.ciqfunctions.udf.CIQ($B17,"IQ_ALLOW_LL",NZ$3,$E$3, $J$3, , $G$3, $H$3)/_xll.ciqfunctions.udf.CIQ($B17,"IQ_TOTAL_LOANS",NZ$3,$E$3, $J$3, , $G$3, $H$3)),"")</f>
        <v/>
      </c>
      <c r="OA17" s="72" t="str">
        <f>IFERROR(IF(OR($B17="",OA$3=""),"",_xll.ciqfunctions.udf.CIQ($B17,"IQ_TOTAL_LOANS",OA$3,$E$3, $J$3, , $G$3, $H$3)/_xll.ciqfunctions.udf.CIQ($B17,"IQ_TOTAL_DEPOSITS",OA$3,$E$3, $J$3, , $G$3, $H$3)),"")</f>
        <v/>
      </c>
      <c r="OB17" s="72" t="str">
        <f>IFERROR(IF(OR($B17="",OB$3=""),"",_xll.ciqfunctions.udf.CIQ($B17,"IQ_TOTAL_LOANS",OB$3,$E$3, $J$3, , $G$3, $H$3)/_xll.ciqfunctions.udf.CIQ($B17,"IQ_TOTAL_DEPOSITS",OB$3,$E$3, $J$3, , $G$3, $H$3)),"")</f>
        <v/>
      </c>
      <c r="OC17" s="72" t="str">
        <f>IFERROR(IF(OR($B17="",OC$3=""),"",_xll.ciqfunctions.udf.CIQ($B17,"IQ_TOTAL_LOANS",OC$3,$E$3, $J$3, , $G$3, $H$3)/_xll.ciqfunctions.udf.CIQ($B17,"IQ_TOTAL_DEPOSITS",OC$3,$E$3, $J$3, , $G$3, $H$3)),"")</f>
        <v/>
      </c>
      <c r="OD17" s="72" t="str">
        <f>IFERROR(IF(OR($B17="",OD$3=""),"",_xll.ciqfunctions.udf.CIQ($B17,"IQ_TOTAL_LOANS",OD$3,$E$3, $J$3, , $G$3, $H$3)/_xll.ciqfunctions.udf.CIQ($B17,"IQ_TOTAL_DEPOSITS",OD$3,$E$3, $J$3, , $G$3, $H$3)),"")</f>
        <v/>
      </c>
      <c r="OE17" s="72" t="str">
        <f>IFERROR(IF(OR($B17="",OE$3=""),"",_xll.ciqfunctions.udf.CIQ($B17,"IQ_TOTAL_LOANS",OE$3,$E$3, $J$3, , $G$3, $H$3)/_xll.ciqfunctions.udf.CIQ($B17,"IQ_TOTAL_DEPOSITS",OE$3,$E$3, $J$3, , $G$3, $H$3)),"")</f>
        <v/>
      </c>
      <c r="OF17" s="72" t="str">
        <f>IFERROR(IF(OR($B17="",OF$3=""),"",_xll.ciqfunctions.udf.CIQ($B17,"IQ_TOTAL_LOANS",OF$3,$E$3, $J$3, , $G$3, $H$3)/_xll.ciqfunctions.udf.CIQ($B17,"IQ_TOTAL_DEPOSITS",OF$3,$E$3, $J$3, , $G$3, $H$3)),"")</f>
        <v/>
      </c>
      <c r="OG17" s="72" t="str">
        <f>IFERROR(IF(OR($B17="",OG$3=""),"",_xll.ciqfunctions.udf.CIQ($B17,"IQ_TOTAL_LOANS",OG$3,$E$3, $J$3, , $G$3, $H$3)/_xll.ciqfunctions.udf.CIQ($B17,"IQ_TOTAL_DEPOSITS",OG$3,$E$3, $J$3, , $G$3, $H$3)),"")</f>
        <v/>
      </c>
      <c r="OH17" s="72" t="str">
        <f>IFERROR(IF(OR($B17="",OH$3=""),"",_xll.ciqfunctions.udf.CIQ($B17,"IQ_TOTAL_LOANS",OH$3,$E$3, $J$3, , $G$3, $H$3)/_xll.ciqfunctions.udf.CIQ($B17,"IQ_TOTAL_DEPOSITS",OH$3,$E$3, $J$3, , $G$3, $H$3)),"")</f>
        <v/>
      </c>
      <c r="OI17" s="72" t="str">
        <f>IFERROR(IF(OR($B17="",OI$3=""),"",_xll.ciqfunctions.udf.CIQ($B17,"IQ_TOTAL_LOANS",OI$3,$E$3, $J$3, , $G$3, $H$3)/_xll.ciqfunctions.udf.CIQ($B17,"IQ_TOTAL_DEPOSITS",OI$3,$E$3, $J$3, , $G$3, $H$3)),"")</f>
        <v/>
      </c>
      <c r="OJ17" s="72" t="str">
        <f>IFERROR(IF(OR($B17="",OJ$3=""),"",_xll.ciqfunctions.udf.CIQ($B17,"IQ_TOTAL_LOANS",OJ$3,$E$3, $J$3, , $G$3, $H$3)/_xll.ciqfunctions.udf.CIQ($B17,"IQ_TOTAL_DEPOSITS",OJ$3,$E$3, $J$3, , $G$3, $H$3)),"")</f>
        <v/>
      </c>
      <c r="OK17" s="72" t="str">
        <f>IFERROR(IF(OR($B17="",OK$3=""),"",_xll.ciqfunctions.udf.CIQ($B17,"IQ_TOTAL_LOANS",OK$3,$E$3, $J$3, , $G$3, $H$3)/_xll.ciqfunctions.udf.CIQ($B17,"IQ_TOTAL_DEPOSITS",OK$3,$E$3, $J$3, , $G$3, $H$3)),"")</f>
        <v/>
      </c>
      <c r="OL17" s="72" t="str">
        <f>IFERROR(IF(OR($B17="",OL$3=""),"",_xll.ciqfunctions.udf.CIQ($B17,"IQ_TOTAL_LOANS",OL$3,$E$3, $J$3, , $G$3, $H$3)/_xll.ciqfunctions.udf.CIQ($B17,"IQ_TOTAL_DEPOSITS",OL$3,$E$3, $J$3, , $G$3, $H$3)),"")</f>
        <v/>
      </c>
      <c r="OM17" s="72" t="str">
        <f>IFERROR(IF(OR($B17="",OM$3=""),"",_xll.ciqfunctions.udf.CIQ($B17,"IQ_TOTAL_LOANS",OM$3,$E$3, $J$3, , $G$3, $H$3)/_xll.ciqfunctions.udf.CIQ($B17,"IQ_TOTAL_DEPOSITS",OM$3,$E$3, $J$3, , $G$3, $H$3)),"")</f>
        <v/>
      </c>
      <c r="ON17" s="72" t="str">
        <f>IFERROR(IF(OR($B17="",ON$3=""),"",_xll.ciqfunctions.udf.CIQ($B17,"IQ_TOTAL_LOANS",ON$3,$E$3, $J$3, , $G$3, $H$3)/_xll.ciqfunctions.udf.CIQ($B17,"IQ_TOTAL_DEPOSITS",ON$3,$E$3, $J$3, , $G$3, $H$3)),"")</f>
        <v/>
      </c>
      <c r="OO17" s="72" t="str">
        <f>IFERROR(IF(OR($B17="",OO$3=""),"",_xll.ciqfunctions.udf.CIQ($B17,"IQ_TOTAL_LOANS",OO$3,$E$3, $J$3, , $G$3, $H$3)/_xll.ciqfunctions.udf.CIQ($B17,"IQ_TOTAL_DEPOSITS",OO$3,$E$3, $J$3, , $G$3, $H$3)),"")</f>
        <v/>
      </c>
      <c r="OP17" s="72" t="str">
        <f>IFERROR(IF(OR($B17="",OP$3=""),"",_xll.ciqfunctions.udf.CIQ($B17,"IQ_TOTAL_LOANS",OP$3,$E$3, $J$3, , $G$3, $H$3)/_xll.ciqfunctions.udf.CIQ($B17,"IQ_TOTAL_DEPOSITS",OP$3,$E$3, $J$3, , $G$3, $H$3)),"")</f>
        <v/>
      </c>
      <c r="OQ17" s="72" t="str">
        <f>IFERROR(IF(OR($B17="",OQ$3=""),"",_xll.ciqfunctions.udf.CIQ($B17,"IQ_TOTAL_LOANS",OQ$3,$E$3, $J$3, , $G$3, $H$3)/_xll.ciqfunctions.udf.CIQ($B17,"IQ_TOTAL_DEPOSITS",OQ$3,$E$3, $J$3, , $G$3, $H$3)),"")</f>
        <v/>
      </c>
      <c r="OR17" s="72" t="str">
        <f>IFERROR(IF(OR($B17="",OR$3=""),"",_xll.ciqfunctions.udf.CIQ($B17,"IQ_TOTAL_LOANS",OR$3,$E$3, $J$3, , $G$3, $H$3)/_xll.ciqfunctions.udf.CIQ($B17,"IQ_TOTAL_DEPOSITS",OR$3,$E$3, $J$3, , $G$3, $H$3)),"")</f>
        <v/>
      </c>
      <c r="OS17" s="72" t="str">
        <f>IFERROR(IF(OR($B17="",OS$3=""),"",_xll.ciqfunctions.udf.CIQ($B17,"IQ_TOTAL_LOANS",OS$3,$E$3, $J$3, , $G$3, $H$3)/_xll.ciqfunctions.udf.CIQ($B17,"IQ_TOTAL_DEPOSITS",OS$3,$E$3, $J$3, , $G$3, $H$3)),"")</f>
        <v/>
      </c>
      <c r="OT17" s="72" t="str">
        <f>IFERROR(IF(OR($B17="",OT$3=""),"",_xll.ciqfunctions.udf.CIQ($B17,"IQ_TOTAL_LOANS",OT$3,$E$3, $J$3, , $G$3, $H$3)/_xll.ciqfunctions.udf.CIQ($B17,"IQ_TOTAL_DEPOSITS",OT$3,$E$3, $J$3, , $G$3, $H$3)),"")</f>
        <v/>
      </c>
      <c r="OU17" s="72" t="str">
        <f>IFERROR(IF(OR($B17="",OU$3=""),"",_xll.ciqfunctions.udf.CIQ($B17,"IQ_NON_PERFORMING_LOANS",OU$3,$E$3, $J$3, , $G$3, $H$3)/_xll.ciqfunctions.udf.CIQ($B17,"IQ_TOTAL_EQUITY",OU$3,$E$3, $J$3, , $G$3, $H$3)),"")</f>
        <v/>
      </c>
      <c r="OV17" s="72" t="str">
        <f>IFERROR(IF(OR($B17="",OV$3=""),"",_xll.ciqfunctions.udf.CIQ($B17,"IQ_NON_PERFORMING_LOANS",OV$3,$E$3, $J$3, , $G$3, $H$3)/_xll.ciqfunctions.udf.CIQ($B17,"IQ_TOTAL_EQUITY",OV$3,$E$3, $J$3, , $G$3, $H$3)),"")</f>
        <v/>
      </c>
      <c r="OW17" s="72" t="str">
        <f>IFERROR(IF(OR($B17="",OW$3=""),"",_xll.ciqfunctions.udf.CIQ($B17,"IQ_NON_PERFORMING_LOANS",OW$3,$E$3, $J$3, , $G$3, $H$3)/_xll.ciqfunctions.udf.CIQ($B17,"IQ_TOTAL_EQUITY",OW$3,$E$3, $J$3, , $G$3, $H$3)),"")</f>
        <v/>
      </c>
      <c r="OX17" s="72" t="str">
        <f>IFERROR(IF(OR($B17="",OX$3=""),"",_xll.ciqfunctions.udf.CIQ($B17,"IQ_NON_PERFORMING_LOANS",OX$3,$E$3, $J$3, , $G$3, $H$3)/_xll.ciqfunctions.udf.CIQ($B17,"IQ_TOTAL_EQUITY",OX$3,$E$3, $J$3, , $G$3, $H$3)),"")</f>
        <v/>
      </c>
      <c r="OY17" s="72" t="str">
        <f>IFERROR(IF(OR($B17="",OY$3=""),"",_xll.ciqfunctions.udf.CIQ($B17,"IQ_NON_PERFORMING_LOANS",OY$3,$E$3, $J$3, , $G$3, $H$3)/_xll.ciqfunctions.udf.CIQ($B17,"IQ_TOTAL_EQUITY",OY$3,$E$3, $J$3, , $G$3, $H$3)),"")</f>
        <v/>
      </c>
      <c r="OZ17" s="72" t="str">
        <f>IFERROR(IF(OR($B17="",OZ$3=""),"",_xll.ciqfunctions.udf.CIQ($B17,"IQ_NON_PERFORMING_LOANS",OZ$3,$E$3, $J$3, , $G$3, $H$3)/_xll.ciqfunctions.udf.CIQ($B17,"IQ_TOTAL_EQUITY",OZ$3,$E$3, $J$3, , $G$3, $H$3)),"")</f>
        <v/>
      </c>
      <c r="PA17" s="72" t="str">
        <f>IFERROR(IF(OR($B17="",PA$3=""),"",_xll.ciqfunctions.udf.CIQ($B17,"IQ_NON_PERFORMING_LOANS",PA$3,$E$3, $J$3, , $G$3, $H$3)/_xll.ciqfunctions.udf.CIQ($B17,"IQ_TOTAL_EQUITY",PA$3,$E$3, $J$3, , $G$3, $H$3)),"")</f>
        <v/>
      </c>
      <c r="PB17" s="72" t="str">
        <f>IFERROR(IF(OR($B17="",PB$3=""),"",_xll.ciqfunctions.udf.CIQ($B17,"IQ_NON_PERFORMING_LOANS",PB$3,$E$3, $J$3, , $G$3, $H$3)/_xll.ciqfunctions.udf.CIQ($B17,"IQ_TOTAL_EQUITY",PB$3,$E$3, $J$3, , $G$3, $H$3)),"")</f>
        <v/>
      </c>
      <c r="PC17" s="72" t="str">
        <f>IFERROR(IF(OR($B17="",PC$3=""),"",_xll.ciqfunctions.udf.CIQ($B17,"IQ_NON_PERFORMING_LOANS",PC$3,$E$3, $J$3, , $G$3, $H$3)/_xll.ciqfunctions.udf.CIQ($B17,"IQ_TOTAL_EQUITY",PC$3,$E$3, $J$3, , $G$3, $H$3)),"")</f>
        <v/>
      </c>
      <c r="PD17" s="72" t="str">
        <f>IFERROR(IF(OR($B17="",PD$3=""),"",_xll.ciqfunctions.udf.CIQ($B17,"IQ_NON_PERFORMING_LOANS",PD$3,$E$3, $J$3, , $G$3, $H$3)/_xll.ciqfunctions.udf.CIQ($B17,"IQ_TOTAL_EQUITY",PD$3,$E$3, $J$3, , $G$3, $H$3)),"")</f>
        <v/>
      </c>
      <c r="PE17" s="72" t="str">
        <f>IFERROR(IF(OR($B17="",PE$3=""),"",_xll.ciqfunctions.udf.CIQ($B17,"IQ_NON_PERFORMING_LOANS",PE$3,$E$3, $J$3, , $G$3, $H$3)/_xll.ciqfunctions.udf.CIQ($B17,"IQ_TOTAL_EQUITY",PE$3,$E$3, $J$3, , $G$3, $H$3)),"")</f>
        <v/>
      </c>
      <c r="PF17" s="72" t="str">
        <f>IFERROR(IF(OR($B17="",PF$3=""),"",_xll.ciqfunctions.udf.CIQ($B17,"IQ_NON_PERFORMING_LOANS",PF$3,$E$3, $J$3, , $G$3, $H$3)/_xll.ciqfunctions.udf.CIQ($B17,"IQ_TOTAL_EQUITY",PF$3,$E$3, $J$3, , $G$3, $H$3)),"")</f>
        <v/>
      </c>
      <c r="PG17" s="72" t="str">
        <f>IFERROR(IF(OR($B17="",PG$3=""),"",_xll.ciqfunctions.udf.CIQ($B17,"IQ_NON_PERFORMING_LOANS",PG$3,$E$3, $J$3, , $G$3, $H$3)/_xll.ciqfunctions.udf.CIQ($B17,"IQ_TOTAL_EQUITY",PG$3,$E$3, $J$3, , $G$3, $H$3)),"")</f>
        <v/>
      </c>
      <c r="PH17" s="72" t="str">
        <f>IFERROR(IF(OR($B17="",PH$3=""),"",_xll.ciqfunctions.udf.CIQ($B17,"IQ_NON_PERFORMING_LOANS",PH$3,$E$3, $J$3, , $G$3, $H$3)/_xll.ciqfunctions.udf.CIQ($B17,"IQ_TOTAL_EQUITY",PH$3,$E$3, $J$3, , $G$3, $H$3)),"")</f>
        <v/>
      </c>
      <c r="PI17" s="72" t="str">
        <f>IFERROR(IF(OR($B17="",PI$3=""),"",_xll.ciqfunctions.udf.CIQ($B17,"IQ_NON_PERFORMING_LOANS",PI$3,$E$3, $J$3, , $G$3, $H$3)/_xll.ciqfunctions.udf.CIQ($B17,"IQ_TOTAL_EQUITY",PI$3,$E$3, $J$3, , $G$3, $H$3)),"")</f>
        <v/>
      </c>
      <c r="PJ17" s="72" t="str">
        <f>IFERROR(IF(OR($B17="",PJ$3=""),"",_xll.ciqfunctions.udf.CIQ($B17,"IQ_NON_PERFORMING_LOANS",PJ$3,$E$3, $J$3, , $G$3, $H$3)/_xll.ciqfunctions.udf.CIQ($B17,"IQ_TOTAL_EQUITY",PJ$3,$E$3, $J$3, , $G$3, $H$3)),"")</f>
        <v/>
      </c>
      <c r="PK17" s="72" t="str">
        <f>IFERROR(IF(OR($B17="",PK$3=""),"",_xll.ciqfunctions.udf.CIQ($B17,"IQ_NON_PERFORMING_LOANS",PK$3,$E$3, $J$3, , $G$3, $H$3)/_xll.ciqfunctions.udf.CIQ($B17,"IQ_TOTAL_EQUITY",PK$3,$E$3, $J$3, , $G$3, $H$3)),"")</f>
        <v/>
      </c>
      <c r="PL17" s="72" t="str">
        <f>IFERROR(IF(OR($B17="",PL$3=""),"",_xll.ciqfunctions.udf.CIQ($B17,"IQ_NON_PERFORMING_LOANS",PL$3,$E$3, $J$3, , $G$3, $H$3)/_xll.ciqfunctions.udf.CIQ($B17,"IQ_TOTAL_EQUITY",PL$3,$E$3, $J$3, , $G$3, $H$3)),"")</f>
        <v/>
      </c>
      <c r="PM17" s="72" t="str">
        <f>IFERROR(IF(OR($B17="",PM$3=""),"",_xll.ciqfunctions.udf.CIQ($B17,"IQ_NON_PERFORMING_LOANS",PM$3,$E$3, $J$3, , $G$3, $H$3)/_xll.ciqfunctions.udf.CIQ($B17,"IQ_TOTAL_EQUITY",PM$3,$E$3, $J$3, , $G$3, $H$3)),"")</f>
        <v/>
      </c>
      <c r="PN17" s="72" t="str">
        <f>IFERROR(IF(OR($B17="",PN$3=""),"",_xll.ciqfunctions.udf.CIQ($B17,"IQ_NON_PERFORMING_LOANS",PN$3,$E$3, $J$3, , $G$3, $H$3)/_xll.ciqfunctions.udf.CIQ($B17,"IQ_TOTAL_EQUITY",PN$3,$E$3, $J$3, , $G$3, $H$3)),"")</f>
        <v/>
      </c>
      <c r="PO17" s="72" t="str">
        <f>IFERROR(IF(OR($B17="",PO$3=""),"",(_xll.ciqfunctions.udf.CIQ($B17,"IQ_LASTSALEPRICE",PO$4)/_xll.ciqfunctions.udf.CIQ($B17,"IQ_LASTSALEPRICE",PO$2)-1)+(_xll.ciqfunctions.udf.CIQ($B17, "IQ_DPS_1YR_ANN_GROWTH", "IQ_LTM", PO$4)/100)),"")</f>
        <v/>
      </c>
      <c r="PP17" s="72" t="str">
        <f>IFERROR(IF(OR($B17="",PP$3=""),"",(_xll.ciqfunctions.udf.CIQ($B17,"IQ_LASTSALEPRICE",PP$4)/_xll.ciqfunctions.udf.CIQ($B17,"IQ_LASTSALEPRICE",PP$2)-1)+(_xll.ciqfunctions.udf.CIQ($B17, "IQ_DPS_1YR_ANN_GROWTH", "IQ_LTM", PP$4)/100)),"")</f>
        <v/>
      </c>
      <c r="PQ17" s="72" t="str">
        <f>IFERROR(IF(OR($B17="",PQ$3=""),"",(_xll.ciqfunctions.udf.CIQ($B17,"IQ_LASTSALEPRICE",PQ$4)/_xll.ciqfunctions.udf.CIQ($B17,"IQ_LASTSALEPRICE",PQ$2)-1)+(_xll.ciqfunctions.udf.CIQ($B17, "IQ_DPS_1YR_ANN_GROWTH", "IQ_LTM", PQ$4)/100)),"")</f>
        <v/>
      </c>
      <c r="PR17" s="72" t="str">
        <f>IFERROR(IF(OR($B17="",PR$3=""),"",(_xll.ciqfunctions.udf.CIQ($B17,"IQ_LASTSALEPRICE",PR$4)/_xll.ciqfunctions.udf.CIQ($B17,"IQ_LASTSALEPRICE",PR$2)-1)+(_xll.ciqfunctions.udf.CIQ($B17, "IQ_DPS_1YR_ANN_GROWTH", "IQ_LTM", PR$4)/100)),"")</f>
        <v/>
      </c>
      <c r="PS17" s="72" t="str">
        <f>IFERROR(IF(OR($B17="",PS$3=""),"",(_xll.ciqfunctions.udf.CIQ($B17,"IQ_LASTSALEPRICE",PS$4)/_xll.ciqfunctions.udf.CIQ($B17,"IQ_LASTSALEPRICE",PS$2)-1)+(_xll.ciqfunctions.udf.CIQ($B17, "IQ_DPS_1YR_ANN_GROWTH", "IQ_LTM", PS$4)/100)),"")</f>
        <v/>
      </c>
      <c r="PT17" s="72" t="str">
        <f>IFERROR(IF(OR($B17="",PT$3=""),"",(_xll.ciqfunctions.udf.CIQ($B17,"IQ_LASTSALEPRICE",PT$4)/_xll.ciqfunctions.udf.CIQ($B17,"IQ_LASTSALEPRICE",PT$2)-1)+(_xll.ciqfunctions.udf.CIQ($B17, "IQ_DPS_1YR_ANN_GROWTH", "IQ_LTM", PT$4)/100)),"")</f>
        <v/>
      </c>
      <c r="PU17" s="72" t="str">
        <f>IFERROR(IF(OR($B17="",PU$3=""),"",(_xll.ciqfunctions.udf.CIQ($B17,"IQ_LASTSALEPRICE",PU$4)/_xll.ciqfunctions.udf.CIQ($B17,"IQ_LASTSALEPRICE",PU$2)-1)+(_xll.ciqfunctions.udf.CIQ($B17, "IQ_DPS_1YR_ANN_GROWTH", "IQ_LTM", PU$4)/100)),"")</f>
        <v/>
      </c>
      <c r="PV17" s="72" t="str">
        <f>IFERROR(IF(OR($B17="",PV$3=""),"",(_xll.ciqfunctions.udf.CIQ($B17,"IQ_LASTSALEPRICE",PV$4)/_xll.ciqfunctions.udf.CIQ($B17,"IQ_LASTSALEPRICE",PV$2)-1)+(_xll.ciqfunctions.udf.CIQ($B17, "IQ_DPS_1YR_ANN_GROWTH", "IQ_LTM", PV$4)/100)),"")</f>
        <v/>
      </c>
      <c r="PW17" s="72" t="str">
        <f>IFERROR(IF(OR($B17="",PW$3=""),"",(_xll.ciqfunctions.udf.CIQ($B17,"IQ_LASTSALEPRICE",PW$4)/_xll.ciqfunctions.udf.CIQ($B17,"IQ_LASTSALEPRICE",PW$2)-1)+(_xll.ciqfunctions.udf.CIQ($B17, "IQ_DPS_1YR_ANN_GROWTH", "IQ_LTM", PW$4)/100)),"")</f>
        <v/>
      </c>
      <c r="PX17" s="72" t="str">
        <f>IFERROR(IF(OR($B17="",PX$3=""),"",(_xll.ciqfunctions.udf.CIQ($B17,"IQ_LASTSALEPRICE",PX$4)/_xll.ciqfunctions.udf.CIQ($B17,"IQ_LASTSALEPRICE",PX$2)-1)+(_xll.ciqfunctions.udf.CIQ($B17, "IQ_DPS_1YR_ANN_GROWTH", "IQ_LTM", PX$4)/100)),"")</f>
        <v/>
      </c>
      <c r="PY17" s="72" t="str">
        <f>IFERROR(IF(OR($B17="",PY$3=""),"",(_xll.ciqfunctions.udf.CIQ($B17,"IQ_LASTSALEPRICE",PY$4)/_xll.ciqfunctions.udf.CIQ($B17,"IQ_LASTSALEPRICE",PY$2)-1)+(_xll.ciqfunctions.udf.CIQ($B17, "IQ_DPS_1YR_ANN_GROWTH", "IQ_LTM", PY$4)/100)),"")</f>
        <v/>
      </c>
      <c r="PZ17" s="72" t="str">
        <f>IFERROR(IF(OR($B17="",PZ$3=""),"",(_xll.ciqfunctions.udf.CIQ($B17,"IQ_LASTSALEPRICE",PZ$4)/_xll.ciqfunctions.udf.CIQ($B17,"IQ_LASTSALEPRICE",PZ$2)-1)+(_xll.ciqfunctions.udf.CIQ($B17, "IQ_DPS_1YR_ANN_GROWTH", "IQ_LTM", PZ$4)/100)),"")</f>
        <v/>
      </c>
      <c r="QA17" s="72" t="str">
        <f>IFERROR(IF(OR($B17="",QA$3=""),"",(_xll.ciqfunctions.udf.CIQ($B17,"IQ_LASTSALEPRICE",QA$4)/_xll.ciqfunctions.udf.CIQ($B17,"IQ_LASTSALEPRICE",QA$2)-1)+(_xll.ciqfunctions.udf.CIQ($B17, "IQ_DPS_1YR_ANN_GROWTH", "IQ_LTM", QA$4)/100)),"")</f>
        <v/>
      </c>
      <c r="QB17" s="72" t="str">
        <f>IFERROR(IF(OR($B17="",QB$3=""),"",(_xll.ciqfunctions.udf.CIQ($B17,"IQ_LASTSALEPRICE",QB$4)/_xll.ciqfunctions.udf.CIQ($B17,"IQ_LASTSALEPRICE",QB$2)-1)+(_xll.ciqfunctions.udf.CIQ($B17, "IQ_DPS_1YR_ANN_GROWTH", "IQ_LTM", QB$4)/100)),"")</f>
        <v/>
      </c>
      <c r="QC17" s="72" t="str">
        <f>IFERROR(IF(OR($B17="",QC$3=""),"",(_xll.ciqfunctions.udf.CIQ($B17,"IQ_LASTSALEPRICE",QC$4)/_xll.ciqfunctions.udf.CIQ($B17,"IQ_LASTSALEPRICE",QC$2)-1)+(_xll.ciqfunctions.udf.CIQ($B17, "IQ_DPS_1YR_ANN_GROWTH", "IQ_LTM", QC$4)/100)),"")</f>
        <v/>
      </c>
      <c r="QD17" s="72" t="str">
        <f>IFERROR(IF(OR($B17="",QD$3=""),"",(_xll.ciqfunctions.udf.CIQ($B17,"IQ_LASTSALEPRICE",QD$4)/_xll.ciqfunctions.udf.CIQ($B17,"IQ_LASTSALEPRICE",QD$2)-1)+(_xll.ciqfunctions.udf.CIQ($B17, "IQ_DPS_1YR_ANN_GROWTH", "IQ_LTM", QD$4)/100)),"")</f>
        <v/>
      </c>
      <c r="QE17" s="72" t="str">
        <f>IFERROR(IF(OR($B17="",QE$3=""),"",(_xll.ciqfunctions.udf.CIQ($B17,"IQ_LASTSALEPRICE",QE$4)/_xll.ciqfunctions.udf.CIQ($B17,"IQ_LASTSALEPRICE",QE$2)-1)+(_xll.ciqfunctions.udf.CIQ($B17, "IQ_DPS_1YR_ANN_GROWTH", "IQ_LTM", QE$4)/100)),"")</f>
        <v/>
      </c>
      <c r="QF17" s="72" t="str">
        <f>IFERROR(IF(OR($B17="",QF$3=""),"",(_xll.ciqfunctions.udf.CIQ($B17,"IQ_LASTSALEPRICE",QF$4)/_xll.ciqfunctions.udf.CIQ($B17,"IQ_LASTSALEPRICE",QF$2)-1)+(_xll.ciqfunctions.udf.CIQ($B17, "IQ_DPS_1YR_ANN_GROWTH", "IQ_LTM", QF$4)/100)),"")</f>
        <v/>
      </c>
      <c r="QG17" s="72" t="str">
        <f>IFERROR(IF(OR($B17="",QG$3=""),"",(_xll.ciqfunctions.udf.CIQ($B17,"IQ_LASTSALEPRICE",QG$4)/_xll.ciqfunctions.udf.CIQ($B17,"IQ_LASTSALEPRICE",QG$2)-1)+(_xll.ciqfunctions.udf.CIQ($B17, "IQ_DPS_1YR_ANN_GROWTH", "IQ_LTM", QG$4)/100)),"")</f>
        <v/>
      </c>
      <c r="QH17" s="72" t="str">
        <f>IFERROR(IF(OR($B17="",QH$3=""),"",(_xll.ciqfunctions.udf.CIQ($B17,"IQ_LASTSALEPRICE",QH$4)/_xll.ciqfunctions.udf.CIQ($B17,"IQ_LASTSALEPRICE",QH$2)-1)+(_xll.ciqfunctions.udf.CIQ($B17, "IQ_DPS_1YR_ANN_GROWTH", "IQ_LTM", QH$4)/100)),"")</f>
        <v/>
      </c>
      <c r="QI17" s="72" t="str">
        <f>IFERROR(IF(OR($B17="",QI$3=""),"",_xll.ciqfunctions.udf.CIQ($B17,"IQ_NI",QI$3,$E$3, $J$3, , $G$3, $H$3)*2/(_xll.ciqfunctions.udf.CIQ($B17,"IQ_TOTAL_BANK_CAPITAL",QI$3,$E$3, $J$3, , $G$3, $H$3)+_xll.ciqfunctions.udf.CIQ($B17,"IQ_TOTAL_BANK_CAPITAL","IQ_" &amp; LEFT(QI$3,2) &amp; "-1", QI$3, $J$3, , $G$3, $H$3))),"")</f>
        <v/>
      </c>
      <c r="QJ17" s="72" t="str">
        <f>IFERROR(IF(OR($B17="",QJ$3=""),"",_xll.ciqfunctions.udf.CIQ($B17,"IQ_NI",QJ$3,$E$3, $J$3, , $G$3, $H$3)*2/(_xll.ciqfunctions.udf.CIQ($B17,"IQ_TOTAL_BANK_CAPITAL",QJ$3,$E$3, $J$3, , $G$3, $H$3)+_xll.ciqfunctions.udf.CIQ($B17,"IQ_TOTAL_BANK_CAPITAL","IQ_" &amp; LEFT(QJ$3,2) &amp; "-1", QJ$3, $J$3, , $G$3, $H$3))),"")</f>
        <v/>
      </c>
      <c r="QK17" s="72" t="str">
        <f>IFERROR(IF(OR($B17="",QK$3=""),"",_xll.ciqfunctions.udf.CIQ($B17,"IQ_NI",QK$3,$E$3, $J$3, , $G$3, $H$3)*2/(_xll.ciqfunctions.udf.CIQ($B17,"IQ_TOTAL_BANK_CAPITAL",QK$3,$E$3, $J$3, , $G$3, $H$3)+_xll.ciqfunctions.udf.CIQ($B17,"IQ_TOTAL_BANK_CAPITAL","IQ_" &amp; LEFT(QK$3,2) &amp; "-1", QK$3, $J$3, , $G$3, $H$3))),"")</f>
        <v/>
      </c>
      <c r="QL17" s="72" t="str">
        <f>IFERROR(IF(OR($B17="",QL$3=""),"",_xll.ciqfunctions.udf.CIQ($B17,"IQ_NI",QL$3,$E$3, $J$3, , $G$3, $H$3)*2/(_xll.ciqfunctions.udf.CIQ($B17,"IQ_TOTAL_BANK_CAPITAL",QL$3,$E$3, $J$3, , $G$3, $H$3)+_xll.ciqfunctions.udf.CIQ($B17,"IQ_TOTAL_BANK_CAPITAL","IQ_" &amp; LEFT(QL$3,2) &amp; "-1", QL$3, $J$3, , $G$3, $H$3))),"")</f>
        <v/>
      </c>
      <c r="QM17" s="72" t="str">
        <f>IFERROR(IF(OR($B17="",QM$3=""),"",_xll.ciqfunctions.udf.CIQ($B17,"IQ_NI",QM$3,$E$3, $J$3, , $G$3, $H$3)*2/(_xll.ciqfunctions.udf.CIQ($B17,"IQ_TOTAL_BANK_CAPITAL",QM$3,$E$3, $J$3, , $G$3, $H$3)+_xll.ciqfunctions.udf.CIQ($B17,"IQ_TOTAL_BANK_CAPITAL","IQ_" &amp; LEFT(QM$3,2) &amp; "-1", QM$3, $J$3, , $G$3, $H$3))),"")</f>
        <v/>
      </c>
      <c r="QN17" s="72" t="str">
        <f>IFERROR(IF(OR($B17="",QN$3=""),"",_xll.ciqfunctions.udf.CIQ($B17,"IQ_NI",QN$3,$E$3, $J$3, , $G$3, $H$3)*2/(_xll.ciqfunctions.udf.CIQ($B17,"IQ_TOTAL_BANK_CAPITAL",QN$3,$E$3, $J$3, , $G$3, $H$3)+_xll.ciqfunctions.udf.CIQ($B17,"IQ_TOTAL_BANK_CAPITAL","IQ_" &amp; LEFT(QN$3,2) &amp; "-1", QN$3, $J$3, , $G$3, $H$3))),"")</f>
        <v/>
      </c>
      <c r="QO17" s="72" t="str">
        <f>IFERROR(IF(OR($B17="",QO$3=""),"",_xll.ciqfunctions.udf.CIQ($B17,"IQ_NI",QO$3,$E$3, $J$3, , $G$3, $H$3)*2/(_xll.ciqfunctions.udf.CIQ($B17,"IQ_TOTAL_BANK_CAPITAL",QO$3,$E$3, $J$3, , $G$3, $H$3)+_xll.ciqfunctions.udf.CIQ($B17,"IQ_TOTAL_BANK_CAPITAL","IQ_" &amp; LEFT(QO$3,2) &amp; "-1", QO$3, $J$3, , $G$3, $H$3))),"")</f>
        <v/>
      </c>
      <c r="QP17" s="72" t="str">
        <f>IFERROR(IF(OR($B17="",QP$3=""),"",_xll.ciqfunctions.udf.CIQ($B17,"IQ_NI",QP$3,$E$3, $J$3, , $G$3, $H$3)*2/(_xll.ciqfunctions.udf.CIQ($B17,"IQ_TOTAL_BANK_CAPITAL",QP$3,$E$3, $J$3, , $G$3, $H$3)+_xll.ciqfunctions.udf.CIQ($B17,"IQ_TOTAL_BANK_CAPITAL","IQ_" &amp; LEFT(QP$3,2) &amp; "-1", QP$3, $J$3, , $G$3, $H$3))),"")</f>
        <v/>
      </c>
      <c r="QQ17" s="72" t="str">
        <f>IFERROR(IF(OR($B17="",QQ$3=""),"",_xll.ciqfunctions.udf.CIQ($B17,"IQ_NI",QQ$3,$E$3, $J$3, , $G$3, $H$3)*2/(_xll.ciqfunctions.udf.CIQ($B17,"IQ_TOTAL_BANK_CAPITAL",QQ$3,$E$3, $J$3, , $G$3, $H$3)+_xll.ciqfunctions.udf.CIQ($B17,"IQ_TOTAL_BANK_CAPITAL","IQ_" &amp; LEFT(QQ$3,2) &amp; "-1", QQ$3, $J$3, , $G$3, $H$3))),"")</f>
        <v/>
      </c>
      <c r="QR17" s="72" t="str">
        <f>IFERROR(IF(OR($B17="",QR$3=""),"",_xll.ciqfunctions.udf.CIQ($B17,"IQ_NI",QR$3,$E$3, $J$3, , $G$3, $H$3)*2/(_xll.ciqfunctions.udf.CIQ($B17,"IQ_TOTAL_BANK_CAPITAL",QR$3,$E$3, $J$3, , $G$3, $H$3)+_xll.ciqfunctions.udf.CIQ($B17,"IQ_TOTAL_BANK_CAPITAL","IQ_" &amp; LEFT(QR$3,2) &amp; "-1", QR$3, $J$3, , $G$3, $H$3))),"")</f>
        <v/>
      </c>
      <c r="QS17" s="72" t="str">
        <f>IFERROR(IF(OR($B17="",QS$3=""),"",_xll.ciqfunctions.udf.CIQ($B17,"IQ_NI",QS$3,$E$3, $J$3, , $G$3, $H$3)*2/(_xll.ciqfunctions.udf.CIQ($B17,"IQ_TOTAL_BANK_CAPITAL",QS$3,$E$3, $J$3, , $G$3, $H$3)+_xll.ciqfunctions.udf.CIQ($B17,"IQ_TOTAL_BANK_CAPITAL","IQ_" &amp; LEFT(QS$3,2) &amp; "-1", QS$3, $J$3, , $G$3, $H$3))),"")</f>
        <v/>
      </c>
      <c r="QT17" s="72" t="str">
        <f>IFERROR(IF(OR($B17="",QT$3=""),"",_xll.ciqfunctions.udf.CIQ($B17,"IQ_NI",QT$3,$E$3, $J$3, , $G$3, $H$3)*2/(_xll.ciqfunctions.udf.CIQ($B17,"IQ_TOTAL_BANK_CAPITAL",QT$3,$E$3, $J$3, , $G$3, $H$3)+_xll.ciqfunctions.udf.CIQ($B17,"IQ_TOTAL_BANK_CAPITAL","IQ_" &amp; LEFT(QT$3,2) &amp; "-1", QT$3, $J$3, , $G$3, $H$3))),"")</f>
        <v/>
      </c>
      <c r="QU17" s="72" t="str">
        <f>IFERROR(IF(OR($B17="",QU$3=""),"",_xll.ciqfunctions.udf.CIQ($B17,"IQ_NI",QU$3,$E$3, $J$3, , $G$3, $H$3)*2/(_xll.ciqfunctions.udf.CIQ($B17,"IQ_TOTAL_BANK_CAPITAL",QU$3,$E$3, $J$3, , $G$3, $H$3)+_xll.ciqfunctions.udf.CIQ($B17,"IQ_TOTAL_BANK_CAPITAL","IQ_" &amp; LEFT(QU$3,2) &amp; "-1", QU$3, $J$3, , $G$3, $H$3))),"")</f>
        <v/>
      </c>
      <c r="QV17" s="72" t="str">
        <f>IFERROR(IF(OR($B17="",QV$3=""),"",_xll.ciqfunctions.udf.CIQ($B17,"IQ_NI",QV$3,$E$3, $J$3, , $G$3, $H$3)*2/(_xll.ciqfunctions.udf.CIQ($B17,"IQ_TOTAL_BANK_CAPITAL",QV$3,$E$3, $J$3, , $G$3, $H$3)+_xll.ciqfunctions.udf.CIQ($B17,"IQ_TOTAL_BANK_CAPITAL","IQ_" &amp; LEFT(QV$3,2) &amp; "-1", QV$3, $J$3, , $G$3, $H$3))),"")</f>
        <v/>
      </c>
      <c r="QW17" s="72" t="str">
        <f>IFERROR(IF(OR($B17="",QW$3=""),"",_xll.ciqfunctions.udf.CIQ($B17,"IQ_NI",QW$3,$E$3, $J$3, , $G$3, $H$3)*2/(_xll.ciqfunctions.udf.CIQ($B17,"IQ_TOTAL_BANK_CAPITAL",QW$3,$E$3, $J$3, , $G$3, $H$3)+_xll.ciqfunctions.udf.CIQ($B17,"IQ_TOTAL_BANK_CAPITAL","IQ_" &amp; LEFT(QW$3,2) &amp; "-1", QW$3, $J$3, , $G$3, $H$3))),"")</f>
        <v/>
      </c>
      <c r="QX17" s="72" t="str">
        <f>IFERROR(IF(OR($B17="",QX$3=""),"",_xll.ciqfunctions.udf.CIQ($B17,"IQ_NI",QX$3,$E$3, $J$3, , $G$3, $H$3)*2/(_xll.ciqfunctions.udf.CIQ($B17,"IQ_TOTAL_BANK_CAPITAL",QX$3,$E$3, $J$3, , $G$3, $H$3)+_xll.ciqfunctions.udf.CIQ($B17,"IQ_TOTAL_BANK_CAPITAL","IQ_" &amp; LEFT(QX$3,2) &amp; "-1", QX$3, $J$3, , $G$3, $H$3))),"")</f>
        <v/>
      </c>
      <c r="QY17" s="72" t="str">
        <f>IFERROR(IF(OR($B17="",QY$3=""),"",_xll.ciqfunctions.udf.CIQ($B17,"IQ_NI",QY$3,$E$3, $J$3, , $G$3, $H$3)*2/(_xll.ciqfunctions.udf.CIQ($B17,"IQ_TOTAL_BANK_CAPITAL",QY$3,$E$3, $J$3, , $G$3, $H$3)+_xll.ciqfunctions.udf.CIQ($B17,"IQ_TOTAL_BANK_CAPITAL","IQ_" &amp; LEFT(QY$3,2) &amp; "-1", QY$3, $J$3, , $G$3, $H$3))),"")</f>
        <v/>
      </c>
      <c r="QZ17" s="72" t="str">
        <f>IFERROR(IF(OR($B17="",QZ$3=""),"",_xll.ciqfunctions.udf.CIQ($B17,"IQ_NI",QZ$3,$E$3, $J$3, , $G$3, $H$3)*2/(_xll.ciqfunctions.udf.CIQ($B17,"IQ_TOTAL_BANK_CAPITAL",QZ$3,$E$3, $J$3, , $G$3, $H$3)+_xll.ciqfunctions.udf.CIQ($B17,"IQ_TOTAL_BANK_CAPITAL","IQ_" &amp; LEFT(QZ$3,2) &amp; "-1", QZ$3, $J$3, , $G$3, $H$3))),"")</f>
        <v/>
      </c>
      <c r="RA17" s="72" t="str">
        <f>IFERROR(IF(OR($B17="",RA$3=""),"",_xll.ciqfunctions.udf.CIQ($B17,"IQ_NI",RA$3,$E$3, $J$3, , $G$3, $H$3)*2/(_xll.ciqfunctions.udf.CIQ($B17,"IQ_TOTAL_BANK_CAPITAL",RA$3,$E$3, $J$3, , $G$3, $H$3)+_xll.ciqfunctions.udf.CIQ($B17,"IQ_TOTAL_BANK_CAPITAL","IQ_" &amp; LEFT(RA$3,2) &amp; "-1", RA$3, $J$3, , $G$3, $H$3))),"")</f>
        <v/>
      </c>
      <c r="RB17" s="72" t="str">
        <f>IFERROR(IF(OR($B17="",RB$3=""),"",_xll.ciqfunctions.udf.CIQ($B17,"IQ_NI",RB$3,$E$3, $J$3, , $G$3, $H$3)*2/(_xll.ciqfunctions.udf.CIQ($B17,"IQ_TOTAL_BANK_CAPITAL",RB$3,$E$3, $J$3, , $G$3, $H$3)+_xll.ciqfunctions.udf.CIQ($B17,"IQ_TOTAL_BANK_CAPITAL","IQ_" &amp; LEFT(RB$3,2) &amp; "-1", RB$3, $J$3, , $G$3, $H$3))),"")</f>
        <v/>
      </c>
      <c r="RC17" s="628" t="str">
        <f>IFERROR(IF(OR($B17="",RC$4=""),"",(IFERROR(_xll.ciqfunctions.udf.CIQ($B17,"IQ_MARKETCAP",RC$4),0)+IFERROR(_xll.ciqfunctions.udf.CIQ($B17,"IQ_TOTAL_DEBT",RC$3),0)+IFERROR(_xll.ciqfunctions.udf.CIQ($B17,"IQ_PREF_EQUITY",RC$3),0)+IFERROR(_xll.ciqfunctions.udf.CIQ($B17,"IQ_MINORITY_INTEREST",RC$3),0)-IFERROR(_xll.ciqfunctions.udf.CIQ($B17,"IQ_ST_INVEST",RC$3),0)-IFERROR(_xll.ciqfunctions.udf.CIQ($B17,"IQ_cash_equiv",RC$3),0))/_xll.ciqfunctions.udf.CIQ($B17,"IQ_TOTAL_BANK_CAPITAL",QI$3,$E$3,$J$3,,$G$3,$H$3)),"")</f>
        <v/>
      </c>
      <c r="RD17" s="628" t="str">
        <f>IFERROR(IF(OR($B17="",RD$4=""),"",(IFERROR(_xll.ciqfunctions.udf.CIQ($B17,"IQ_MARKETCAP",RD$4),0)+IFERROR(_xll.ciqfunctions.udf.CIQ($B17,"IQ_TOTAL_DEBT",RD$3),0)+IFERROR(_xll.ciqfunctions.udf.CIQ($B17,"IQ_PREF_EQUITY",RD$3),0)+IFERROR(_xll.ciqfunctions.udf.CIQ($B17,"IQ_MINORITY_INTEREST",RD$3),0)-IFERROR(_xll.ciqfunctions.udf.CIQ($B17,"IQ_ST_INVEST",RD$3),0)-IFERROR(_xll.ciqfunctions.udf.CIQ($B17,"IQ_cash_equiv",RD$3),0))/_xll.ciqfunctions.udf.CIQ($B17,"IQ_TOTAL_BANK_CAPITAL",QJ$3,$E$3,$J$3,,$G$3,$H$3)),"")</f>
        <v/>
      </c>
      <c r="RE17" s="628" t="str">
        <f>IFERROR(IF(OR($B17="",RE$4=""),"",(IFERROR(_xll.ciqfunctions.udf.CIQ($B17,"IQ_MARKETCAP",RE$4),0)+IFERROR(_xll.ciqfunctions.udf.CIQ($B17,"IQ_TOTAL_DEBT",RE$3),0)+IFERROR(_xll.ciqfunctions.udf.CIQ($B17,"IQ_PREF_EQUITY",RE$3),0)+IFERROR(_xll.ciqfunctions.udf.CIQ($B17,"IQ_MINORITY_INTEREST",RE$3),0)-IFERROR(_xll.ciqfunctions.udf.CIQ($B17,"IQ_ST_INVEST",RE$3),0)-IFERROR(_xll.ciqfunctions.udf.CIQ($B17,"IQ_cash_equiv",RE$3),0))/_xll.ciqfunctions.udf.CIQ($B17,"IQ_TOTAL_BANK_CAPITAL",QK$3,$E$3,$J$3,,$G$3,$H$3)),"")</f>
        <v/>
      </c>
      <c r="RF17" s="628" t="str">
        <f>IFERROR(IF(OR($B17="",RF$4=""),"",(IFERROR(_xll.ciqfunctions.udf.CIQ($B17,"IQ_MARKETCAP",RF$4),0)+IFERROR(_xll.ciqfunctions.udf.CIQ($B17,"IQ_TOTAL_DEBT",RF$3),0)+IFERROR(_xll.ciqfunctions.udf.CIQ($B17,"IQ_PREF_EQUITY",RF$3),0)+IFERROR(_xll.ciqfunctions.udf.CIQ($B17,"IQ_MINORITY_INTEREST",RF$3),0)-IFERROR(_xll.ciqfunctions.udf.CIQ($B17,"IQ_ST_INVEST",RF$3),0)-IFERROR(_xll.ciqfunctions.udf.CIQ($B17,"IQ_cash_equiv",RF$3),0))/_xll.ciqfunctions.udf.CIQ($B17,"IQ_TOTAL_BANK_CAPITAL",QL$3,$E$3,$J$3,,$G$3,$H$3)),"")</f>
        <v/>
      </c>
      <c r="RG17" s="628" t="str">
        <f>IFERROR(IF(OR($B17="",RG$4=""),"",(IFERROR(_xll.ciqfunctions.udf.CIQ($B17,"IQ_MARKETCAP",RG$4),0)+IFERROR(_xll.ciqfunctions.udf.CIQ($B17,"IQ_TOTAL_DEBT",RG$3),0)+IFERROR(_xll.ciqfunctions.udf.CIQ($B17,"IQ_PREF_EQUITY",RG$3),0)+IFERROR(_xll.ciqfunctions.udf.CIQ($B17,"IQ_MINORITY_INTEREST",RG$3),0)-IFERROR(_xll.ciqfunctions.udf.CIQ($B17,"IQ_ST_INVEST",RG$3),0)-IFERROR(_xll.ciqfunctions.udf.CIQ($B17,"IQ_cash_equiv",RG$3),0))/_xll.ciqfunctions.udf.CIQ($B17,"IQ_TOTAL_BANK_CAPITAL",QM$3,$E$3,$J$3,,$G$3,$H$3)),"")</f>
        <v/>
      </c>
      <c r="RH17" s="628" t="str">
        <f>IFERROR(IF(OR($B17="",RH$4=""),"",(IFERROR(_xll.ciqfunctions.udf.CIQ($B17,"IQ_MARKETCAP",RH$4),0)+IFERROR(_xll.ciqfunctions.udf.CIQ($B17,"IQ_TOTAL_DEBT",RH$3),0)+IFERROR(_xll.ciqfunctions.udf.CIQ($B17,"IQ_PREF_EQUITY",RH$3),0)+IFERROR(_xll.ciqfunctions.udf.CIQ($B17,"IQ_MINORITY_INTEREST",RH$3),0)-IFERROR(_xll.ciqfunctions.udf.CIQ($B17,"IQ_ST_INVEST",RH$3),0)-IFERROR(_xll.ciqfunctions.udf.CIQ($B17,"IQ_cash_equiv",RH$3),0))/_xll.ciqfunctions.udf.CIQ($B17,"IQ_TOTAL_BANK_CAPITAL",QN$3,$E$3,$J$3,,$G$3,$H$3)),"")</f>
        <v/>
      </c>
      <c r="RI17" s="628" t="str">
        <f>IFERROR(IF(OR($B17="",RI$4=""),"",(IFERROR(_xll.ciqfunctions.udf.CIQ($B17,"IQ_MARKETCAP",RI$4),0)+IFERROR(_xll.ciqfunctions.udf.CIQ($B17,"IQ_TOTAL_DEBT",RI$3),0)+IFERROR(_xll.ciqfunctions.udf.CIQ($B17,"IQ_PREF_EQUITY",RI$3),0)+IFERROR(_xll.ciqfunctions.udf.CIQ($B17,"IQ_MINORITY_INTEREST",RI$3),0)-IFERROR(_xll.ciqfunctions.udf.CIQ($B17,"IQ_ST_INVEST",RI$3),0)-IFERROR(_xll.ciqfunctions.udf.CIQ($B17,"IQ_cash_equiv",RI$3),0))/_xll.ciqfunctions.udf.CIQ($B17,"IQ_TOTAL_BANK_CAPITAL",QO$3,$E$3,$J$3,,$G$3,$H$3)),"")</f>
        <v/>
      </c>
      <c r="RJ17" s="628" t="str">
        <f>IFERROR(IF(OR($B17="",RJ$4=""),"",(IFERROR(_xll.ciqfunctions.udf.CIQ($B17,"IQ_MARKETCAP",RJ$4),0)+IFERROR(_xll.ciqfunctions.udf.CIQ($B17,"IQ_TOTAL_DEBT",RJ$3),0)+IFERROR(_xll.ciqfunctions.udf.CIQ($B17,"IQ_PREF_EQUITY",RJ$3),0)+IFERROR(_xll.ciqfunctions.udf.CIQ($B17,"IQ_MINORITY_INTEREST",RJ$3),0)-IFERROR(_xll.ciqfunctions.udf.CIQ($B17,"IQ_ST_INVEST",RJ$3),0)-IFERROR(_xll.ciqfunctions.udf.CIQ($B17,"IQ_cash_equiv",RJ$3),0))/_xll.ciqfunctions.udf.CIQ($B17,"IQ_TOTAL_BANK_CAPITAL",QP$3,$E$3,$J$3,,$G$3,$H$3)),"")</f>
        <v/>
      </c>
      <c r="RK17" s="628" t="str">
        <f>IFERROR(IF(OR($B17="",RK$4=""),"",(IFERROR(_xll.ciqfunctions.udf.CIQ($B17,"IQ_MARKETCAP",RK$4),0)+IFERROR(_xll.ciqfunctions.udf.CIQ($B17,"IQ_TOTAL_DEBT",RK$3),0)+IFERROR(_xll.ciqfunctions.udf.CIQ($B17,"IQ_PREF_EQUITY",RK$3),0)+IFERROR(_xll.ciqfunctions.udf.CIQ($B17,"IQ_MINORITY_INTEREST",RK$3),0)-IFERROR(_xll.ciqfunctions.udf.CIQ($B17,"IQ_ST_INVEST",RK$3),0)-IFERROR(_xll.ciqfunctions.udf.CIQ($B17,"IQ_cash_equiv",RK$3),0))/_xll.ciqfunctions.udf.CIQ($B17,"IQ_TOTAL_BANK_CAPITAL",QQ$3,$E$3,$J$3,,$G$3,$H$3)),"")</f>
        <v/>
      </c>
      <c r="RL17" s="628" t="str">
        <f>IFERROR(IF(OR($B17="",RL$4=""),"",(IFERROR(_xll.ciqfunctions.udf.CIQ($B17,"IQ_MARKETCAP",RL$4),0)+IFERROR(_xll.ciqfunctions.udf.CIQ($B17,"IQ_TOTAL_DEBT",RL$3),0)+IFERROR(_xll.ciqfunctions.udf.CIQ($B17,"IQ_PREF_EQUITY",RL$3),0)+IFERROR(_xll.ciqfunctions.udf.CIQ($B17,"IQ_MINORITY_INTEREST",RL$3),0)-IFERROR(_xll.ciqfunctions.udf.CIQ($B17,"IQ_ST_INVEST",RL$3),0)-IFERROR(_xll.ciqfunctions.udf.CIQ($B17,"IQ_cash_equiv",RL$3),0))/_xll.ciqfunctions.udf.CIQ($B17,"IQ_TOTAL_BANK_CAPITAL",QR$3,$E$3,$J$3,,$G$3,$H$3)),"")</f>
        <v/>
      </c>
      <c r="RM17" s="628" t="str">
        <f>IFERROR(IF(OR($B17="",RM$4=""),"",(IFERROR(_xll.ciqfunctions.udf.CIQ($B17,"IQ_MARKETCAP",RM$4),0)+IFERROR(_xll.ciqfunctions.udf.CIQ($B17,"IQ_TOTAL_DEBT",RM$3),0)+IFERROR(_xll.ciqfunctions.udf.CIQ($B17,"IQ_PREF_EQUITY",RM$3),0)+IFERROR(_xll.ciqfunctions.udf.CIQ($B17,"IQ_MINORITY_INTEREST",RM$3),0)-IFERROR(_xll.ciqfunctions.udf.CIQ($B17,"IQ_ST_INVEST",RM$3),0)-IFERROR(_xll.ciqfunctions.udf.CIQ($B17,"IQ_cash_equiv",RM$3),0))/_xll.ciqfunctions.udf.CIQ($B17,"IQ_TOTAL_BANK_CAPITAL",QS$3,$E$3,$J$3,,$G$3,$H$3)),"")</f>
        <v/>
      </c>
      <c r="RN17" s="628" t="str">
        <f>IFERROR(IF(OR($B17="",RN$4=""),"",(IFERROR(_xll.ciqfunctions.udf.CIQ($B17,"IQ_MARKETCAP",RN$4),0)+IFERROR(_xll.ciqfunctions.udf.CIQ($B17,"IQ_TOTAL_DEBT",RN$3),0)+IFERROR(_xll.ciqfunctions.udf.CIQ($B17,"IQ_PREF_EQUITY",RN$3),0)+IFERROR(_xll.ciqfunctions.udf.CIQ($B17,"IQ_MINORITY_INTEREST",RN$3),0)-IFERROR(_xll.ciqfunctions.udf.CIQ($B17,"IQ_ST_INVEST",RN$3),0)-IFERROR(_xll.ciqfunctions.udf.CIQ($B17,"IQ_cash_equiv",RN$3),0))/_xll.ciqfunctions.udf.CIQ($B17,"IQ_TOTAL_BANK_CAPITAL",QT$3,$E$3,$J$3,,$G$3,$H$3)),"")</f>
        <v/>
      </c>
      <c r="RO17" s="628" t="str">
        <f>IFERROR(IF(OR($B17="",RO$4=""),"",(IFERROR(_xll.ciqfunctions.udf.CIQ($B17,"IQ_MARKETCAP",RO$4),0)+IFERROR(_xll.ciqfunctions.udf.CIQ($B17,"IQ_TOTAL_DEBT",RO$3),0)+IFERROR(_xll.ciqfunctions.udf.CIQ($B17,"IQ_PREF_EQUITY",RO$3),0)+IFERROR(_xll.ciqfunctions.udf.CIQ($B17,"IQ_MINORITY_INTEREST",RO$3),0)-IFERROR(_xll.ciqfunctions.udf.CIQ($B17,"IQ_ST_INVEST",RO$3),0)-IFERROR(_xll.ciqfunctions.udf.CIQ($B17,"IQ_cash_equiv",RO$3),0))/_xll.ciqfunctions.udf.CIQ($B17,"IQ_TOTAL_BANK_CAPITAL",QU$3,$E$3,$J$3,,$G$3,$H$3)),"")</f>
        <v/>
      </c>
      <c r="RP17" s="628" t="str">
        <f>IFERROR(IF(OR($B17="",RP$4=""),"",(IFERROR(_xll.ciqfunctions.udf.CIQ($B17,"IQ_MARKETCAP",RP$4),0)+IFERROR(_xll.ciqfunctions.udf.CIQ($B17,"IQ_TOTAL_DEBT",RP$3),0)+IFERROR(_xll.ciqfunctions.udf.CIQ($B17,"IQ_PREF_EQUITY",RP$3),0)+IFERROR(_xll.ciqfunctions.udf.CIQ($B17,"IQ_MINORITY_INTEREST",RP$3),0)-IFERROR(_xll.ciqfunctions.udf.CIQ($B17,"IQ_ST_INVEST",RP$3),0)-IFERROR(_xll.ciqfunctions.udf.CIQ($B17,"IQ_cash_equiv",RP$3),0))/_xll.ciqfunctions.udf.CIQ($B17,"IQ_TOTAL_BANK_CAPITAL",QV$3,$E$3,$J$3,,$G$3,$H$3)),"")</f>
        <v/>
      </c>
      <c r="RQ17" s="628" t="str">
        <f>IFERROR(IF(OR($B17="",RQ$4=""),"",(IFERROR(_xll.ciqfunctions.udf.CIQ($B17,"IQ_MARKETCAP",RQ$4),0)+IFERROR(_xll.ciqfunctions.udf.CIQ($B17,"IQ_TOTAL_DEBT",RQ$3),0)+IFERROR(_xll.ciqfunctions.udf.CIQ($B17,"IQ_PREF_EQUITY",RQ$3),0)+IFERROR(_xll.ciqfunctions.udf.CIQ($B17,"IQ_MINORITY_INTEREST",RQ$3),0)-IFERROR(_xll.ciqfunctions.udf.CIQ($B17,"IQ_ST_INVEST",RQ$3),0)-IFERROR(_xll.ciqfunctions.udf.CIQ($B17,"IQ_cash_equiv",RQ$3),0))/_xll.ciqfunctions.udf.CIQ($B17,"IQ_TOTAL_BANK_CAPITAL",QW$3,$E$3,$J$3,,$G$3,$H$3)),"")</f>
        <v/>
      </c>
      <c r="RR17" s="628" t="str">
        <f>IFERROR(IF(OR($B17="",RR$4=""),"",(IFERROR(_xll.ciqfunctions.udf.CIQ($B17,"IQ_MARKETCAP",RR$4),0)+IFERROR(_xll.ciqfunctions.udf.CIQ($B17,"IQ_TOTAL_DEBT",RR$3),0)+IFERROR(_xll.ciqfunctions.udf.CIQ($B17,"IQ_PREF_EQUITY",RR$3),0)+IFERROR(_xll.ciqfunctions.udf.CIQ($B17,"IQ_MINORITY_INTEREST",RR$3),0)-IFERROR(_xll.ciqfunctions.udf.CIQ($B17,"IQ_ST_INVEST",RR$3),0)-IFERROR(_xll.ciqfunctions.udf.CIQ($B17,"IQ_cash_equiv",RR$3),0))/_xll.ciqfunctions.udf.CIQ($B17,"IQ_TOTAL_BANK_CAPITAL",QX$3,$E$3,$J$3,,$G$3,$H$3)),"")</f>
        <v/>
      </c>
      <c r="RS17" s="628" t="str">
        <f>IFERROR(IF(OR($B17="",RS$4=""),"",(IFERROR(_xll.ciqfunctions.udf.CIQ($B17,"IQ_MARKETCAP",RS$4),0)+IFERROR(_xll.ciqfunctions.udf.CIQ($B17,"IQ_TOTAL_DEBT",RS$3),0)+IFERROR(_xll.ciqfunctions.udf.CIQ($B17,"IQ_PREF_EQUITY",RS$3),0)+IFERROR(_xll.ciqfunctions.udf.CIQ($B17,"IQ_MINORITY_INTEREST",RS$3),0)-IFERROR(_xll.ciqfunctions.udf.CIQ($B17,"IQ_ST_INVEST",RS$3),0)-IFERROR(_xll.ciqfunctions.udf.CIQ($B17,"IQ_cash_equiv",RS$3),0))/_xll.ciqfunctions.udf.CIQ($B17,"IQ_TOTAL_BANK_CAPITAL",QY$3,$E$3,$J$3,,$G$3,$H$3)),"")</f>
        <v/>
      </c>
      <c r="RT17" s="628" t="str">
        <f>IFERROR(IF(OR($B17="",RT$4=""),"",(IFERROR(_xll.ciqfunctions.udf.CIQ($B17,"IQ_MARKETCAP",RT$4),0)+IFERROR(_xll.ciqfunctions.udf.CIQ($B17,"IQ_TOTAL_DEBT",RT$3),0)+IFERROR(_xll.ciqfunctions.udf.CIQ($B17,"IQ_PREF_EQUITY",RT$3),0)+IFERROR(_xll.ciqfunctions.udf.CIQ($B17,"IQ_MINORITY_INTEREST",RT$3),0)-IFERROR(_xll.ciqfunctions.udf.CIQ($B17,"IQ_ST_INVEST",RT$3),0)-IFERROR(_xll.ciqfunctions.udf.CIQ($B17,"IQ_cash_equiv",RT$3),0))/_xll.ciqfunctions.udf.CIQ($B17,"IQ_TOTAL_BANK_CAPITAL",QZ$3,$E$3,$J$3,,$G$3,$H$3)),"")</f>
        <v/>
      </c>
      <c r="RU17" s="628" t="str">
        <f>IFERROR(IF(OR($B17="",RU$4=""),"",(IFERROR(_xll.ciqfunctions.udf.CIQ($B17,"IQ_MARKETCAP",RU$4),0)+IFERROR(_xll.ciqfunctions.udf.CIQ($B17,"IQ_TOTAL_DEBT",RU$3),0)+IFERROR(_xll.ciqfunctions.udf.CIQ($B17,"IQ_PREF_EQUITY",RU$3),0)+IFERROR(_xll.ciqfunctions.udf.CIQ($B17,"IQ_MINORITY_INTEREST",RU$3),0)-IFERROR(_xll.ciqfunctions.udf.CIQ($B17,"IQ_ST_INVEST",RU$3),0)-IFERROR(_xll.ciqfunctions.udf.CIQ($B17,"IQ_cash_equiv",RU$3),0))/_xll.ciqfunctions.udf.CIQ($B17,"IQ_TOTAL_BANK_CAPITAL",RA$3,$E$3,$J$3,,$G$3,$H$3)),"")</f>
        <v/>
      </c>
      <c r="RV17" s="628" t="str">
        <f>IFERROR(IF(OR($B17="",RV$4=""),"",(IFERROR(_xll.ciqfunctions.udf.CIQ($B17,"IQ_MARKETCAP",RV$4),0)+IFERROR(_xll.ciqfunctions.udf.CIQ($B17,"IQ_TOTAL_DEBT",RV$3),0)+IFERROR(_xll.ciqfunctions.udf.CIQ($B17,"IQ_PREF_EQUITY",RV$3),0)+IFERROR(_xll.ciqfunctions.udf.CIQ($B17,"IQ_MINORITY_INTEREST",RV$3),0)-IFERROR(_xll.ciqfunctions.udf.CIQ($B17,"IQ_ST_INVEST",RV$3),0)-IFERROR(_xll.ciqfunctions.udf.CIQ($B17,"IQ_cash_equiv",RV$3),0))/_xll.ciqfunctions.udf.CIQ($B17,"IQ_TOTAL_BANK_CAPITAL",RB$3,$E$3,$J$3,,$G$3,$H$3)),"")</f>
        <v/>
      </c>
      <c r="RW17" s="72" t="str">
        <f t="shared" si="331"/>
        <v>0</v>
      </c>
      <c r="RX17" s="72" t="str">
        <f t="shared" si="332"/>
        <v/>
      </c>
      <c r="RY17" s="72" t="str">
        <f t="shared" si="333"/>
        <v/>
      </c>
      <c r="RZ17" s="72" t="str">
        <f t="shared" si="334"/>
        <v/>
      </c>
      <c r="SA17" s="72" t="str">
        <f t="shared" si="335"/>
        <v/>
      </c>
      <c r="SB17" s="72" t="str">
        <f t="shared" si="336"/>
        <v/>
      </c>
      <c r="SC17" s="72" t="str">
        <f t="shared" si="337"/>
        <v/>
      </c>
      <c r="SD17" s="72" t="str">
        <f t="shared" si="338"/>
        <v/>
      </c>
      <c r="SE17" s="72" t="str">
        <f t="shared" si="339"/>
        <v/>
      </c>
      <c r="SF17" s="72" t="str">
        <f t="shared" si="340"/>
        <v/>
      </c>
      <c r="SG17" s="72" t="str">
        <f t="shared" si="341"/>
        <v/>
      </c>
      <c r="SH17" s="72" t="str">
        <f t="shared" si="342"/>
        <v/>
      </c>
      <c r="SI17" s="72" t="str">
        <f t="shared" si="343"/>
        <v/>
      </c>
      <c r="SJ17" s="72" t="str">
        <f t="shared" si="344"/>
        <v/>
      </c>
      <c r="SK17" s="72" t="str">
        <f t="shared" si="345"/>
        <v/>
      </c>
      <c r="SL17" s="72" t="str">
        <f t="shared" si="346"/>
        <v/>
      </c>
      <c r="SM17" s="72" t="str">
        <f t="shared" si="347"/>
        <v/>
      </c>
      <c r="SN17" s="72" t="str">
        <f t="shared" si="348"/>
        <v/>
      </c>
      <c r="SO17" s="72" t="str">
        <f t="shared" si="349"/>
        <v/>
      </c>
      <c r="SP17" s="72" t="str">
        <f t="shared" si="350"/>
        <v/>
      </c>
      <c r="SQ17" s="72" t="str">
        <f>IFERROR(IF(OR($B17="",SQ$3=""),"",_xll.ciqfunctions.udf.CIQ($B17,"IQ_TOTAL_DEPOSITS",SQ$3,$E$3, $J$3, , $G$3, $H$3)/_xll.ciqfunctions.udf.CIQ($B17,"IQ_TOTAL_ASSETS",SQ$3,$E$3, $J$3, , $G$3, $H$3)),"")</f>
        <v/>
      </c>
      <c r="SR17" s="72" t="str">
        <f>IFERROR(IF(OR($B17="",SR$3=""),"",_xll.ciqfunctions.udf.CIQ($B17,"IQ_TOTAL_DEPOSITS",SR$3,$E$3, $J$3, , $G$3, $H$3)/_xll.ciqfunctions.udf.CIQ($B17,"IQ_TOTAL_ASSETS",SR$3,$E$3, $J$3, , $G$3, $H$3)),"")</f>
        <v/>
      </c>
      <c r="SS17" s="72" t="str">
        <f>IFERROR(IF(OR($B17="",SS$3=""),"",_xll.ciqfunctions.udf.CIQ($B17,"IQ_TOTAL_DEPOSITS",SS$3,$E$3, $J$3, , $G$3, $H$3)/_xll.ciqfunctions.udf.CIQ($B17,"IQ_TOTAL_ASSETS",SS$3,$E$3, $J$3, , $G$3, $H$3)),"")</f>
        <v/>
      </c>
      <c r="ST17" s="72" t="str">
        <f>IFERROR(IF(OR($B17="",ST$3=""),"",_xll.ciqfunctions.udf.CIQ($B17,"IQ_TOTAL_DEPOSITS",ST$3,$E$3, $J$3, , $G$3, $H$3)/_xll.ciqfunctions.udf.CIQ($B17,"IQ_TOTAL_ASSETS",ST$3,$E$3, $J$3, , $G$3, $H$3)),"")</f>
        <v/>
      </c>
      <c r="SU17" s="72" t="str">
        <f>IFERROR(IF(OR($B17="",SU$3=""),"",_xll.ciqfunctions.udf.CIQ($B17,"IQ_TOTAL_DEPOSITS",SU$3,$E$3, $J$3, , $G$3, $H$3)/_xll.ciqfunctions.udf.CIQ($B17,"IQ_TOTAL_ASSETS",SU$3,$E$3, $J$3, , $G$3, $H$3)),"")</f>
        <v/>
      </c>
      <c r="SV17" s="72" t="str">
        <f>IFERROR(IF(OR($B17="",SV$3=""),"",_xll.ciqfunctions.udf.CIQ($B17,"IQ_TOTAL_DEPOSITS",SV$3,$E$3, $J$3, , $G$3, $H$3)/_xll.ciqfunctions.udf.CIQ($B17,"IQ_TOTAL_ASSETS",SV$3,$E$3, $J$3, , $G$3, $H$3)),"")</f>
        <v/>
      </c>
      <c r="SW17" s="72" t="str">
        <f>IFERROR(IF(OR($B17="",SW$3=""),"",_xll.ciqfunctions.udf.CIQ($B17,"IQ_TOTAL_DEPOSITS",SW$3,$E$3, $J$3, , $G$3, $H$3)/_xll.ciqfunctions.udf.CIQ($B17,"IQ_TOTAL_ASSETS",SW$3,$E$3, $J$3, , $G$3, $H$3)),"")</f>
        <v/>
      </c>
      <c r="SX17" s="72" t="str">
        <f>IFERROR(IF(OR($B17="",SX$3=""),"",_xll.ciqfunctions.udf.CIQ($B17,"IQ_TOTAL_DEPOSITS",SX$3,$E$3, $J$3, , $G$3, $H$3)/_xll.ciqfunctions.udf.CIQ($B17,"IQ_TOTAL_ASSETS",SX$3,$E$3, $J$3, , $G$3, $H$3)),"")</f>
        <v/>
      </c>
      <c r="SY17" s="72" t="str">
        <f>IFERROR(IF(OR($B17="",SY$3=""),"",_xll.ciqfunctions.udf.CIQ($B17,"IQ_TOTAL_DEPOSITS",SY$3,$E$3, $J$3, , $G$3, $H$3)/_xll.ciqfunctions.udf.CIQ($B17,"IQ_TOTAL_ASSETS",SY$3,$E$3, $J$3, , $G$3, $H$3)),"")</f>
        <v/>
      </c>
      <c r="SZ17" s="72" t="str">
        <f>IFERROR(IF(OR($B17="",SZ$3=""),"",_xll.ciqfunctions.udf.CIQ($B17,"IQ_TOTAL_DEPOSITS",SZ$3,$E$3, $J$3, , $G$3, $H$3)/_xll.ciqfunctions.udf.CIQ($B17,"IQ_TOTAL_ASSETS",SZ$3,$E$3, $J$3, , $G$3, $H$3)),"")</f>
        <v/>
      </c>
      <c r="TA17" s="72" t="str">
        <f>IFERROR(IF(OR($B17="",TA$3=""),"",_xll.ciqfunctions.udf.CIQ($B17,"IQ_TOTAL_DEPOSITS",TA$3,$E$3, $J$3, , $G$3, $H$3)/_xll.ciqfunctions.udf.CIQ($B17,"IQ_TOTAL_ASSETS",TA$3,$E$3, $J$3, , $G$3, $H$3)),"")</f>
        <v/>
      </c>
      <c r="TB17" s="72" t="str">
        <f>IFERROR(IF(OR($B17="",TB$3=""),"",_xll.ciqfunctions.udf.CIQ($B17,"IQ_TOTAL_DEPOSITS",TB$3,$E$3, $J$3, , $G$3, $H$3)/_xll.ciqfunctions.udf.CIQ($B17,"IQ_TOTAL_ASSETS",TB$3,$E$3, $J$3, , $G$3, $H$3)),"")</f>
        <v/>
      </c>
      <c r="TC17" s="72" t="str">
        <f>IFERROR(IF(OR($B17="",TC$3=""),"",_xll.ciqfunctions.udf.CIQ($B17,"IQ_TOTAL_DEPOSITS",TC$3,$E$3, $J$3, , $G$3, $H$3)/_xll.ciqfunctions.udf.CIQ($B17,"IQ_TOTAL_ASSETS",TC$3,$E$3, $J$3, , $G$3, $H$3)),"")</f>
        <v/>
      </c>
      <c r="TD17" s="72" t="str">
        <f>IFERROR(IF(OR($B17="",TD$3=""),"",_xll.ciqfunctions.udf.CIQ($B17,"IQ_TOTAL_DEPOSITS",TD$3,$E$3, $J$3, , $G$3, $H$3)/_xll.ciqfunctions.udf.CIQ($B17,"IQ_TOTAL_ASSETS",TD$3,$E$3, $J$3, , $G$3, $H$3)),"")</f>
        <v/>
      </c>
      <c r="TE17" s="72" t="str">
        <f>IFERROR(IF(OR($B17="",TE$3=""),"",_xll.ciqfunctions.udf.CIQ($B17,"IQ_TOTAL_DEPOSITS",TE$3,$E$3, $J$3, , $G$3, $H$3)/_xll.ciqfunctions.udf.CIQ($B17,"IQ_TOTAL_ASSETS",TE$3,$E$3, $J$3, , $G$3, $H$3)),"")</f>
        <v/>
      </c>
      <c r="TF17" s="72" t="str">
        <f>IFERROR(IF(OR($B17="",TF$3=""),"",_xll.ciqfunctions.udf.CIQ($B17,"IQ_TOTAL_DEPOSITS",TF$3,$E$3, $J$3, , $G$3, $H$3)/_xll.ciqfunctions.udf.CIQ($B17,"IQ_TOTAL_ASSETS",TF$3,$E$3, $J$3, , $G$3, $H$3)),"")</f>
        <v/>
      </c>
      <c r="TG17" s="72" t="str">
        <f>IFERROR(IF(OR($B17="",TG$3=""),"",_xll.ciqfunctions.udf.CIQ($B17,"IQ_TOTAL_DEPOSITS",TG$3,$E$3, $J$3, , $G$3, $H$3)/_xll.ciqfunctions.udf.CIQ($B17,"IQ_TOTAL_ASSETS",TG$3,$E$3, $J$3, , $G$3, $H$3)),"")</f>
        <v/>
      </c>
      <c r="TH17" s="72" t="str">
        <f>IFERROR(IF(OR($B17="",TH$3=""),"",_xll.ciqfunctions.udf.CIQ($B17,"IQ_TOTAL_DEPOSITS",TH$3,$E$3, $J$3, , $G$3, $H$3)/_xll.ciqfunctions.udf.CIQ($B17,"IQ_TOTAL_ASSETS",TH$3,$E$3, $J$3, , $G$3, $H$3)),"")</f>
        <v/>
      </c>
      <c r="TI17" s="72" t="str">
        <f>IFERROR(IF(OR($B17="",TI$3=""),"",_xll.ciqfunctions.udf.CIQ($B17,"IQ_TOTAL_DEPOSITS",TI$3,$E$3, $J$3, , $G$3, $H$3)/_xll.ciqfunctions.udf.CIQ($B17,"IQ_TOTAL_ASSETS",TI$3,$E$3, $J$3, , $G$3, $H$3)),"")</f>
        <v/>
      </c>
      <c r="TJ17" s="72" t="str">
        <f>IFERROR(IF(OR($B17="",TJ$3=""),"",_xll.ciqfunctions.udf.CIQ($B17,"IQ_TOTAL_DEPOSITS",TJ$3,$E$3, $J$3, , $G$3, $H$3)/_xll.ciqfunctions.udf.CIQ($B17,"IQ_TOTAL_ASSETS",TJ$3,$E$3, $J$3, , $G$3, $H$3)),"")</f>
        <v/>
      </c>
      <c r="TK17" s="72" t="str">
        <f>IFERROR(IF(OR($B17="",TK$3="",TK$4=""),"",(_xll.ciqfunctions.udf.CIQ($B17,"IQ_TOTAL_BANK_CAPITAL",TK$3,$E$3, $J$3, , $G$3, $H$3)/_xll.ciqfunctions.udf.CIQ($B17,"IQ_TOTAL_BANK_CAPITAL",TK$4,$E$3, $J$3, , $G$3, $H$3))-1),"")</f>
        <v/>
      </c>
      <c r="TL17" s="72" t="str">
        <f>IFERROR(IF(OR($B17="",TL$3="",TL$4=""),"",(_xll.ciqfunctions.udf.CIQ($B17,"IQ_TOTAL_BANK_CAPITAL",TL$3,$E$3, $J$3, , $G$3, $H$3)/_xll.ciqfunctions.udf.CIQ($B17,"IQ_TOTAL_BANK_CAPITAL",TL$4,$E$3, $J$3, , $G$3, $H$3))-1),"")</f>
        <v/>
      </c>
      <c r="TM17" s="72" t="str">
        <f>IFERROR(IF(OR($B17="",TM$3="",TM$4=""),"",(_xll.ciqfunctions.udf.CIQ($B17,"IQ_TOTAL_BANK_CAPITAL",TM$3,$E$3, $J$3, , $G$3, $H$3)/_xll.ciqfunctions.udf.CIQ($B17,"IQ_TOTAL_BANK_CAPITAL",TM$4,$E$3, $J$3, , $G$3, $H$3))-1),"")</f>
        <v/>
      </c>
      <c r="TN17" s="72" t="str">
        <f>IFERROR(IF(OR($B17="",TN$3="",TN$4=""),"",(_xll.ciqfunctions.udf.CIQ($B17,"IQ_TOTAL_BANK_CAPITAL",TN$3,$E$3, $J$3, , $G$3, $H$3)/_xll.ciqfunctions.udf.CIQ($B17,"IQ_TOTAL_BANK_CAPITAL",TN$4,$E$3, $J$3, , $G$3, $H$3))-1),"")</f>
        <v/>
      </c>
      <c r="TO17" s="72" t="str">
        <f>IFERROR(IF(OR($B17="",TO$3="",TO$4=""),"",(_xll.ciqfunctions.udf.CIQ($B17,"IQ_TOTAL_BANK_CAPITAL",TO$3,$E$3, $J$3, , $G$3, $H$3)/_xll.ciqfunctions.udf.CIQ($B17,"IQ_TOTAL_BANK_CAPITAL",TO$4,$E$3, $J$3, , $G$3, $H$3))-1),"")</f>
        <v/>
      </c>
      <c r="TP17" s="72" t="str">
        <f>IFERROR(IF(OR($B17="",TP$3="",TP$4=""),"",(_xll.ciqfunctions.udf.CIQ($B17,"IQ_TOTAL_BANK_CAPITAL",TP$3,$E$3, $J$3, , $G$3, $H$3)/_xll.ciqfunctions.udf.CIQ($B17,"IQ_TOTAL_BANK_CAPITAL",TP$4,$E$3, $J$3, , $G$3, $H$3))-1),"")</f>
        <v/>
      </c>
      <c r="TQ17" s="72" t="str">
        <f>IFERROR(IF(OR($B17="",TQ$3="",TQ$4=""),"",(_xll.ciqfunctions.udf.CIQ($B17,"IQ_TOTAL_BANK_CAPITAL",TQ$3,$E$3, $J$3, , $G$3, $H$3)/_xll.ciqfunctions.udf.CIQ($B17,"IQ_TOTAL_BANK_CAPITAL",TQ$4,$E$3, $J$3, , $G$3, $H$3))-1),"")</f>
        <v/>
      </c>
      <c r="TR17" s="72" t="str">
        <f>IFERROR(IF(OR($B17="",TR$3="",TR$4=""),"",(_xll.ciqfunctions.udf.CIQ($B17,"IQ_TOTAL_BANK_CAPITAL",TR$3,$E$3, $J$3, , $G$3, $H$3)/_xll.ciqfunctions.udf.CIQ($B17,"IQ_TOTAL_BANK_CAPITAL",TR$4,$E$3, $J$3, , $G$3, $H$3))-1),"")</f>
        <v/>
      </c>
      <c r="TS17" s="72" t="str">
        <f>IFERROR(IF(OR($B17="",TS$3="",TS$4=""),"",(_xll.ciqfunctions.udf.CIQ($B17,"IQ_TOTAL_BANK_CAPITAL",TS$3,$E$3, $J$3, , $G$3, $H$3)/_xll.ciqfunctions.udf.CIQ($B17,"IQ_TOTAL_BANK_CAPITAL",TS$4,$E$3, $J$3, , $G$3, $H$3))-1),"")</f>
        <v/>
      </c>
      <c r="TT17" s="72" t="str">
        <f>IFERROR(IF(OR($B17="",TT$3="",TT$4=""),"",(_xll.ciqfunctions.udf.CIQ($B17,"IQ_TOTAL_BANK_CAPITAL",TT$3,$E$3, $J$3, , $G$3, $H$3)/_xll.ciqfunctions.udf.CIQ($B17,"IQ_TOTAL_BANK_CAPITAL",TT$4,$E$3, $J$3, , $G$3, $H$3))-1),"")</f>
        <v/>
      </c>
      <c r="TU17" s="72" t="str">
        <f>IFERROR(IF(OR($B17="",TU$3="",TU$4=""),"",(_xll.ciqfunctions.udf.CIQ($B17,"IQ_TOTAL_BANK_CAPITAL",TU$3,$E$3, $J$3, , $G$3, $H$3)/_xll.ciqfunctions.udf.CIQ($B17,"IQ_TOTAL_BANK_CAPITAL",TU$4,$E$3, $J$3, , $G$3, $H$3))-1),"")</f>
        <v/>
      </c>
      <c r="TV17" s="72" t="str">
        <f>IFERROR(IF(OR($B17="",TV$3="",TV$4=""),"",(_xll.ciqfunctions.udf.CIQ($B17,"IQ_TOTAL_BANK_CAPITAL",TV$3,$E$3, $J$3, , $G$3, $H$3)/_xll.ciqfunctions.udf.CIQ($B17,"IQ_TOTAL_BANK_CAPITAL",TV$4,$E$3, $J$3, , $G$3, $H$3))-1),"")</f>
        <v/>
      </c>
      <c r="TW17" s="72" t="str">
        <f>IFERROR(IF(OR($B17="",TW$3="",TW$4=""),"",(_xll.ciqfunctions.udf.CIQ($B17,"IQ_TOTAL_BANK_CAPITAL",TW$3,$E$3, $J$3, , $G$3, $H$3)/_xll.ciqfunctions.udf.CIQ($B17,"IQ_TOTAL_BANK_CAPITAL",TW$4,$E$3, $J$3, , $G$3, $H$3))-1),"")</f>
        <v/>
      </c>
      <c r="TX17" s="72" t="str">
        <f>IFERROR(IF(OR($B17="",TX$3="",TX$4=""),"",(_xll.ciqfunctions.udf.CIQ($B17,"IQ_TOTAL_BANK_CAPITAL",TX$3,$E$3, $J$3, , $G$3, $H$3)/_xll.ciqfunctions.udf.CIQ($B17,"IQ_TOTAL_BANK_CAPITAL",TX$4,$E$3, $J$3, , $G$3, $H$3))-1),"")</f>
        <v/>
      </c>
      <c r="TY17" s="72" t="str">
        <f>IFERROR(IF(OR($B17="",TY$3="",TY$4=""),"",(_xll.ciqfunctions.udf.CIQ($B17,"IQ_TOTAL_BANK_CAPITAL",TY$3,$E$3, $J$3, , $G$3, $H$3)/_xll.ciqfunctions.udf.CIQ($B17,"IQ_TOTAL_BANK_CAPITAL",TY$4,$E$3, $J$3, , $G$3, $H$3))-1),"")</f>
        <v/>
      </c>
      <c r="TZ17" s="72" t="str">
        <f>IFERROR(IF(OR($B17="",TZ$3="",TZ$4=""),"",(_xll.ciqfunctions.udf.CIQ($B17,"IQ_TOTAL_BANK_CAPITAL",TZ$3,$E$3, $J$3, , $G$3, $H$3)/_xll.ciqfunctions.udf.CIQ($B17,"IQ_TOTAL_BANK_CAPITAL",TZ$4,$E$3, $J$3, , $G$3, $H$3))-1),"")</f>
        <v/>
      </c>
      <c r="UA17" s="72" t="str">
        <f>IFERROR(IF(OR($B17="",UA$3="",UA$4=""),"",(_xll.ciqfunctions.udf.CIQ($B17,"IQ_TOTAL_BANK_CAPITAL",UA$3,$E$3, $J$3, , $G$3, $H$3)/_xll.ciqfunctions.udf.CIQ($B17,"IQ_TOTAL_BANK_CAPITAL",UA$4,$E$3, $J$3, , $G$3, $H$3))-1),"")</f>
        <v/>
      </c>
      <c r="UB17" s="72" t="str">
        <f>IFERROR(IF(OR($B17="",UB$3="",UB$4=""),"",(_xll.ciqfunctions.udf.CIQ($B17,"IQ_TOTAL_BANK_CAPITAL",UB$3,$E$3, $J$3, , $G$3, $H$3)/_xll.ciqfunctions.udf.CIQ($B17,"IQ_TOTAL_BANK_CAPITAL",UB$4,$E$3, $J$3, , $G$3, $H$3))-1),"")</f>
        <v/>
      </c>
      <c r="UC17" s="72" t="str">
        <f>IFERROR(IF(OR($B17="",UC$3="",UC$4=""),"",(_xll.ciqfunctions.udf.CIQ($B17,"IQ_TOTAL_BANK_CAPITAL",UC$3,$E$3, $J$3, , $G$3, $H$3)/_xll.ciqfunctions.udf.CIQ($B17,"IQ_TOTAL_BANK_CAPITAL",UC$4,$E$3, $J$3, , $G$3, $H$3))-1),"")</f>
        <v/>
      </c>
      <c r="UD17" s="72" t="str">
        <f>IFERROR(IF(OR($B17="",UD$3="",UD$4=""),"",(_xll.ciqfunctions.udf.CIQ($B17,"IQ_TOTAL_BANK_CAPITAL",UD$3,$E$3, $J$3, , $G$3, $H$3)/_xll.ciqfunctions.udf.CIQ($B17,"IQ_TOTAL_BANK_CAPITAL",UD$4,$E$3, $J$3, , $G$3, $H$3))-1),"")</f>
        <v/>
      </c>
      <c r="UE17" s="294" t="str">
        <f>IFERROR(IF(OR($B17="",UE$3=""),"",(_xll.ciqfunctions.udf.CIQ($B17,"IQ_TOTAL_CAPITAL_RATIO",UE$3,$E$3, $J$3, , $G$3, $H$3) - _xll.ciqfunctions.udf.CIQ($B17,"IQ_TIER_ONE_RATIO",UE$3,$E$3, $J$3, , $G$3, $H$3))/100),"")</f>
        <v/>
      </c>
      <c r="UF17" s="292" t="str">
        <f>IFERROR(IF(OR($B17="",UF$3=""),"",(_xll.ciqfunctions.udf.CIQ($B17,"IQ_TOTAL_CAPITAL_RATIO",UF$3,$E$3, $J$3, , $G$3, $H$3) - _xll.ciqfunctions.udf.CIQ($B17,"IQ_TIER_ONE_RATIO",UF$3,$E$3, $J$3, , $G$3, $H$3))/100),"")</f>
        <v/>
      </c>
      <c r="UG17" s="292" t="str">
        <f>IFERROR(IF(OR($B17="",UG$3=""),"",(_xll.ciqfunctions.udf.CIQ($B17,"IQ_TOTAL_CAPITAL_RATIO",UG$3,$E$3, $J$3, , $G$3, $H$3) - _xll.ciqfunctions.udf.CIQ($B17,"IQ_TIER_ONE_RATIO",UG$3,$E$3, $J$3, , $G$3, $H$3))/100),"")</f>
        <v/>
      </c>
      <c r="UH17" s="292" t="str">
        <f>IFERROR(IF(OR($B17="",UH$3=""),"",(_xll.ciqfunctions.udf.CIQ($B17,"IQ_TOTAL_CAPITAL_RATIO",UH$3,$E$3, $J$3, , $G$3, $H$3) - _xll.ciqfunctions.udf.CIQ($B17,"IQ_TIER_ONE_RATIO",UH$3,$E$3, $J$3, , $G$3, $H$3))/100),"")</f>
        <v/>
      </c>
      <c r="UI17" s="292" t="str">
        <f>IFERROR(IF(OR($B17="",UI$3=""),"",(_xll.ciqfunctions.udf.CIQ($B17,"IQ_TOTAL_CAPITAL_RATIO",UI$3,$E$3, $J$3, , $G$3, $H$3) - _xll.ciqfunctions.udf.CIQ($B17,"IQ_TIER_ONE_RATIO",UI$3,$E$3, $J$3, , $G$3, $H$3))/100),"")</f>
        <v/>
      </c>
      <c r="UJ17" s="292" t="str">
        <f>IFERROR(IF(OR($B17="",UJ$3=""),"",(_xll.ciqfunctions.udf.CIQ($B17,"IQ_TOTAL_CAPITAL_RATIO",UJ$3,$E$3, $J$3, , $G$3, $H$3) - _xll.ciqfunctions.udf.CIQ($B17,"IQ_TIER_ONE_RATIO",UJ$3,$E$3, $J$3, , $G$3, $H$3))/100),"")</f>
        <v/>
      </c>
      <c r="UK17" s="292" t="str">
        <f>IFERROR(IF(OR($B17="",UK$3=""),"",(_xll.ciqfunctions.udf.CIQ($B17,"IQ_TOTAL_CAPITAL_RATIO",UK$3,$E$3, $J$3, , $G$3, $H$3) - _xll.ciqfunctions.udf.CIQ($B17,"IQ_TIER_ONE_RATIO",UK$3,$E$3, $J$3, , $G$3, $H$3))/100),"")</f>
        <v/>
      </c>
      <c r="UL17" s="292" t="str">
        <f>IFERROR(IF(OR($B17="",UL$3=""),"",(_xll.ciqfunctions.udf.CIQ($B17,"IQ_TOTAL_CAPITAL_RATIO",UL$3,$E$3, $J$3, , $G$3, $H$3) - _xll.ciqfunctions.udf.CIQ($B17,"IQ_TIER_ONE_RATIO",UL$3,$E$3, $J$3, , $G$3, $H$3))/100),"")</f>
        <v/>
      </c>
      <c r="UM17" s="292" t="str">
        <f>IFERROR(IF(OR($B17="",UM$3=""),"",(_xll.ciqfunctions.udf.CIQ($B17,"IQ_TOTAL_CAPITAL_RATIO",UM$3,$E$3, $J$3, , $G$3, $H$3) - _xll.ciqfunctions.udf.CIQ($B17,"IQ_TIER_ONE_RATIO",UM$3,$E$3, $J$3, , $G$3, $H$3))/100),"")</f>
        <v/>
      </c>
      <c r="UN17" s="292" t="str">
        <f>IFERROR(IF(OR($B17="",UN$3=""),"",(_xll.ciqfunctions.udf.CIQ($B17,"IQ_TOTAL_CAPITAL_RATIO",UN$3,$E$3, $J$3, , $G$3, $H$3) - _xll.ciqfunctions.udf.CIQ($B17,"IQ_TIER_ONE_RATIO",UN$3,$E$3, $J$3, , $G$3, $H$3))/100),"")</f>
        <v/>
      </c>
      <c r="UO17" s="292" t="str">
        <f>IFERROR(IF(OR($B17="",UO$3=""),"",(_xll.ciqfunctions.udf.CIQ($B17,"IQ_TOTAL_CAPITAL_RATIO",UO$3,$E$3, $J$3, , $G$3, $H$3) - _xll.ciqfunctions.udf.CIQ($B17,"IQ_TIER_ONE_RATIO",UO$3,$E$3, $J$3, , $G$3, $H$3))/100),"")</f>
        <v/>
      </c>
      <c r="UP17" s="292" t="str">
        <f>IFERROR(IF(OR($B17="",UP$3=""),"",(_xll.ciqfunctions.udf.CIQ($B17,"IQ_TOTAL_CAPITAL_RATIO",UP$3,$E$3, $J$3, , $G$3, $H$3) - _xll.ciqfunctions.udf.CIQ($B17,"IQ_TIER_ONE_RATIO",UP$3,$E$3, $J$3, , $G$3, $H$3))/100),"")</f>
        <v/>
      </c>
      <c r="UQ17" s="292" t="str">
        <f>IFERROR(IF(OR($B17="",UQ$3=""),"",(_xll.ciqfunctions.udf.CIQ($B17,"IQ_TOTAL_CAPITAL_RATIO",UQ$3,$E$3, $J$3, , $G$3, $H$3) - _xll.ciqfunctions.udf.CIQ($B17,"IQ_TIER_ONE_RATIO",UQ$3,$E$3, $J$3, , $G$3, $H$3))/100),"")</f>
        <v/>
      </c>
      <c r="UR17" s="292" t="str">
        <f>IFERROR(IF(OR($B17="",UR$3=""),"",(_xll.ciqfunctions.udf.CIQ($B17,"IQ_TOTAL_CAPITAL_RATIO",UR$3,$E$3, $J$3, , $G$3, $H$3) - _xll.ciqfunctions.udf.CIQ($B17,"IQ_TIER_ONE_RATIO",UR$3,$E$3, $J$3, , $G$3, $H$3))/100),"")</f>
        <v/>
      </c>
      <c r="US17" s="292" t="str">
        <f>IFERROR(IF(OR($B17="",US$3=""),"",(_xll.ciqfunctions.udf.CIQ($B17,"IQ_TOTAL_CAPITAL_RATIO",US$3,$E$3, $J$3, , $G$3, $H$3) - _xll.ciqfunctions.udf.CIQ($B17,"IQ_TIER_ONE_RATIO",US$3,$E$3, $J$3, , $G$3, $H$3))/100),"")</f>
        <v/>
      </c>
      <c r="UT17" s="292" t="str">
        <f>IFERROR(IF(OR($B17="",UT$3=""),"",(_xll.ciqfunctions.udf.CIQ($B17,"IQ_TOTAL_CAPITAL_RATIO",UT$3,$E$3, $J$3, , $G$3, $H$3) - _xll.ciqfunctions.udf.CIQ($B17,"IQ_TIER_ONE_RATIO",UT$3,$E$3, $J$3, , $G$3, $H$3))/100),"")</f>
        <v/>
      </c>
      <c r="UU17" s="292" t="str">
        <f>IFERROR(IF(OR($B17="",UU$3=""),"",(_xll.ciqfunctions.udf.CIQ($B17,"IQ_TOTAL_CAPITAL_RATIO",UU$3,$E$3, $J$3, , $G$3, $H$3) - _xll.ciqfunctions.udf.CIQ($B17,"IQ_TIER_ONE_RATIO",UU$3,$E$3, $J$3, , $G$3, $H$3))/100),"")</f>
        <v/>
      </c>
      <c r="UV17" s="292" t="str">
        <f>IFERROR(IF(OR($B17="",UV$3=""),"",(_xll.ciqfunctions.udf.CIQ($B17,"IQ_TOTAL_CAPITAL_RATIO",UV$3,$E$3, $J$3, , $G$3, $H$3) - _xll.ciqfunctions.udf.CIQ($B17,"IQ_TIER_ONE_RATIO",UV$3,$E$3, $J$3, , $G$3, $H$3))/100),"")</f>
        <v/>
      </c>
      <c r="UW17" s="292" t="str">
        <f>IFERROR(IF(OR($B17="",UW$3=""),"",(_xll.ciqfunctions.udf.CIQ($B17,"IQ_TOTAL_CAPITAL_RATIO",UW$3,$E$3, $J$3, , $G$3, $H$3) - _xll.ciqfunctions.udf.CIQ($B17,"IQ_TIER_ONE_RATIO",UW$3,$E$3, $J$3, , $G$3, $H$3))/100),"")</f>
        <v/>
      </c>
      <c r="UX17" s="293" t="str">
        <f>IFERROR(IF(OR($B17="",UX$3=""),"",(_xll.ciqfunctions.udf.CIQ($B17,"IQ_TOTAL_CAPITAL_RATIO",UX$3,$E$3, $J$3, , $G$3, $H$3) - _xll.ciqfunctions.udf.CIQ($B17,"IQ_TIER_ONE_RATIO",UX$3,$E$3, $J$3, , $G$3, $H$3))/100),"")</f>
        <v/>
      </c>
    </row>
    <row r="18" spans="1:16344" x14ac:dyDescent="0.2">
      <c r="A18" s="285" t="s">
        <v>76</v>
      </c>
      <c r="B18" s="287"/>
      <c r="C18" s="287"/>
      <c r="D18" s="287"/>
      <c r="E18" s="288"/>
      <c r="F18" s="288"/>
      <c r="G18" s="289">
        <f t="shared" ref="G18:W18" si="352">IFERROR(MEDIAN(G8:G17),"")</f>
        <v>0.6114511751458106</v>
      </c>
      <c r="H18" s="289">
        <f t="shared" si="352"/>
        <v>0.176866</v>
      </c>
      <c r="I18" s="289" t="str">
        <f t="shared" si="352"/>
        <v/>
      </c>
      <c r="J18" s="289">
        <f t="shared" si="352"/>
        <v>3.5382149092137244E-2</v>
      </c>
      <c r="K18" s="289">
        <f t="shared" si="352"/>
        <v>2.6225000000000002E-2</v>
      </c>
      <c r="L18" s="289">
        <f>IFERROR(MEDIAN(L8:L17),"")</f>
        <v>9.344384555408658E-2</v>
      </c>
      <c r="M18" s="289">
        <f>IFERROR(MEDIAN(M8:M17),"")</f>
        <v>9.2056706797802534E-2</v>
      </c>
      <c r="N18" s="289">
        <f>IFERROR(MEDIAN(N8:N17),"")</f>
        <v>0.3053870655033929</v>
      </c>
      <c r="O18" s="289" t="str">
        <f>IFERROR(MEDIAN(O8:O17),"")</f>
        <v/>
      </c>
      <c r="P18" s="289">
        <f>IFERROR(MEDIAN(P8:P17),"")</f>
        <v>0</v>
      </c>
      <c r="Q18" s="289">
        <f t="shared" si="352"/>
        <v>0</v>
      </c>
      <c r="R18" s="289">
        <f t="shared" ref="R18" si="353">IFERROR(MEDIAN(R8:R17),"")</f>
        <v>0</v>
      </c>
      <c r="S18" s="289">
        <f t="shared" si="352"/>
        <v>0</v>
      </c>
      <c r="T18" s="289">
        <f>IFERROR(MEDIAN(T8:T17),"")</f>
        <v>0</v>
      </c>
      <c r="U18" s="289" t="str">
        <f t="shared" ref="U18" si="354">IFERROR(MEDIAN(U8:U17),"")</f>
        <v/>
      </c>
      <c r="V18" s="289" t="str">
        <f>IFERROR(MEDIAN(V8:V17),"")</f>
        <v/>
      </c>
      <c r="W18" s="289">
        <f t="shared" si="352"/>
        <v>0</v>
      </c>
      <c r="X18" s="289" t="str">
        <f t="shared" ref="X18:AC18" si="355">IFERROR(MEDIAN(X8:X17),"")</f>
        <v/>
      </c>
      <c r="Y18" s="289">
        <f t="shared" si="355"/>
        <v>0</v>
      </c>
      <c r="Z18" s="992">
        <f t="shared" si="355"/>
        <v>3.2484292924091052</v>
      </c>
      <c r="AA18" s="289">
        <f t="shared" si="355"/>
        <v>0.34184033454370233</v>
      </c>
      <c r="AB18" s="289">
        <f t="shared" si="355"/>
        <v>0</v>
      </c>
      <c r="AC18" s="1023">
        <f t="shared" si="355"/>
        <v>6.7716200000000004</v>
      </c>
      <c r="AD18" s="104"/>
      <c r="AE18" s="704" t="str">
        <f t="shared" ref="AE18:CP18" si="356">IFERROR(MEDIAN(AE8:AE17),"")</f>
        <v/>
      </c>
      <c r="AF18" s="705" t="str">
        <f t="shared" si="356"/>
        <v/>
      </c>
      <c r="AG18" s="705" t="str">
        <f t="shared" si="356"/>
        <v/>
      </c>
      <c r="AH18" s="705" t="str">
        <f t="shared" si="356"/>
        <v/>
      </c>
      <c r="AI18" s="705" t="str">
        <f t="shared" si="356"/>
        <v/>
      </c>
      <c r="AJ18" s="705" t="str">
        <f t="shared" si="356"/>
        <v/>
      </c>
      <c r="AK18" s="705" t="str">
        <f t="shared" si="356"/>
        <v/>
      </c>
      <c r="AL18" s="705" t="str">
        <f t="shared" si="356"/>
        <v/>
      </c>
      <c r="AM18" s="705" t="str">
        <f t="shared" si="356"/>
        <v/>
      </c>
      <c r="AN18" s="705" t="str">
        <f t="shared" si="356"/>
        <v/>
      </c>
      <c r="AO18" s="705" t="str">
        <f t="shared" si="356"/>
        <v/>
      </c>
      <c r="AP18" s="705" t="str">
        <f t="shared" si="356"/>
        <v/>
      </c>
      <c r="AQ18" s="705" t="str">
        <f t="shared" si="356"/>
        <v/>
      </c>
      <c r="AR18" s="705" t="str">
        <f t="shared" si="356"/>
        <v/>
      </c>
      <c r="AS18" s="705" t="str">
        <f t="shared" si="356"/>
        <v/>
      </c>
      <c r="AT18" s="705" t="str">
        <f t="shared" si="356"/>
        <v/>
      </c>
      <c r="AU18" s="705" t="str">
        <f t="shared" si="356"/>
        <v/>
      </c>
      <c r="AV18" s="705" t="str">
        <f t="shared" si="356"/>
        <v/>
      </c>
      <c r="AW18" s="705" t="str">
        <f t="shared" si="356"/>
        <v/>
      </c>
      <c r="AX18" s="706" t="str">
        <f t="shared" si="356"/>
        <v/>
      </c>
      <c r="AY18" s="704" t="str">
        <f t="shared" si="356"/>
        <v/>
      </c>
      <c r="AZ18" s="705" t="str">
        <f t="shared" si="356"/>
        <v/>
      </c>
      <c r="BA18" s="705" t="str">
        <f t="shared" si="356"/>
        <v/>
      </c>
      <c r="BB18" s="705" t="str">
        <f t="shared" si="356"/>
        <v/>
      </c>
      <c r="BC18" s="705" t="str">
        <f t="shared" si="356"/>
        <v/>
      </c>
      <c r="BD18" s="705" t="str">
        <f t="shared" si="356"/>
        <v/>
      </c>
      <c r="BE18" s="705" t="str">
        <f t="shared" si="356"/>
        <v/>
      </c>
      <c r="BF18" s="705" t="str">
        <f t="shared" si="356"/>
        <v/>
      </c>
      <c r="BG18" s="705" t="str">
        <f t="shared" si="356"/>
        <v/>
      </c>
      <c r="BH18" s="705" t="str">
        <f t="shared" si="356"/>
        <v/>
      </c>
      <c r="BI18" s="705" t="str">
        <f t="shared" si="356"/>
        <v/>
      </c>
      <c r="BJ18" s="705" t="str">
        <f t="shared" si="356"/>
        <v/>
      </c>
      <c r="BK18" s="705" t="str">
        <f t="shared" si="356"/>
        <v/>
      </c>
      <c r="BL18" s="705" t="str">
        <f t="shared" si="356"/>
        <v/>
      </c>
      <c r="BM18" s="705" t="str">
        <f t="shared" si="356"/>
        <v/>
      </c>
      <c r="BN18" s="705" t="str">
        <f t="shared" si="356"/>
        <v/>
      </c>
      <c r="BO18" s="705" t="str">
        <f t="shared" si="356"/>
        <v/>
      </c>
      <c r="BP18" s="705" t="str">
        <f t="shared" si="356"/>
        <v/>
      </c>
      <c r="BQ18" s="705" t="str">
        <f t="shared" si="356"/>
        <v/>
      </c>
      <c r="BR18" s="706" t="str">
        <f t="shared" si="356"/>
        <v/>
      </c>
      <c r="BS18" s="704" t="str">
        <f t="shared" si="356"/>
        <v/>
      </c>
      <c r="BT18" s="705" t="str">
        <f t="shared" si="356"/>
        <v/>
      </c>
      <c r="BU18" s="705" t="str">
        <f t="shared" si="356"/>
        <v/>
      </c>
      <c r="BV18" s="705" t="str">
        <f t="shared" si="356"/>
        <v/>
      </c>
      <c r="BW18" s="705" t="str">
        <f t="shared" si="356"/>
        <v/>
      </c>
      <c r="BX18" s="705" t="str">
        <f t="shared" si="356"/>
        <v/>
      </c>
      <c r="BY18" s="705" t="str">
        <f t="shared" si="356"/>
        <v/>
      </c>
      <c r="BZ18" s="705" t="str">
        <f t="shared" si="356"/>
        <v/>
      </c>
      <c r="CA18" s="705" t="str">
        <f t="shared" si="356"/>
        <v/>
      </c>
      <c r="CB18" s="705" t="str">
        <f t="shared" si="356"/>
        <v/>
      </c>
      <c r="CC18" s="705" t="str">
        <f t="shared" si="356"/>
        <v/>
      </c>
      <c r="CD18" s="705" t="str">
        <f t="shared" si="356"/>
        <v/>
      </c>
      <c r="CE18" s="705" t="str">
        <f t="shared" si="356"/>
        <v/>
      </c>
      <c r="CF18" s="705" t="str">
        <f t="shared" si="356"/>
        <v/>
      </c>
      <c r="CG18" s="705" t="str">
        <f t="shared" si="356"/>
        <v/>
      </c>
      <c r="CH18" s="705" t="str">
        <f t="shared" si="356"/>
        <v/>
      </c>
      <c r="CI18" s="705" t="str">
        <f t="shared" si="356"/>
        <v/>
      </c>
      <c r="CJ18" s="705" t="str">
        <f t="shared" si="356"/>
        <v/>
      </c>
      <c r="CK18" s="705" t="str">
        <f t="shared" si="356"/>
        <v/>
      </c>
      <c r="CL18" s="706" t="str">
        <f t="shared" si="356"/>
        <v/>
      </c>
      <c r="CM18" s="704" t="str">
        <f t="shared" si="356"/>
        <v/>
      </c>
      <c r="CN18" s="705" t="str">
        <f t="shared" si="356"/>
        <v/>
      </c>
      <c r="CO18" s="705" t="str">
        <f t="shared" si="356"/>
        <v/>
      </c>
      <c r="CP18" s="705" t="str">
        <f t="shared" si="356"/>
        <v/>
      </c>
      <c r="CQ18" s="705" t="str">
        <f t="shared" ref="CQ18:FB18" si="357">IFERROR(MEDIAN(CQ8:CQ17),"")</f>
        <v/>
      </c>
      <c r="CR18" s="705" t="str">
        <f t="shared" si="357"/>
        <v/>
      </c>
      <c r="CS18" s="705" t="str">
        <f t="shared" si="357"/>
        <v/>
      </c>
      <c r="CT18" s="705" t="str">
        <f t="shared" si="357"/>
        <v/>
      </c>
      <c r="CU18" s="705" t="str">
        <f t="shared" si="357"/>
        <v/>
      </c>
      <c r="CV18" s="705" t="str">
        <f t="shared" si="357"/>
        <v/>
      </c>
      <c r="CW18" s="705" t="str">
        <f t="shared" si="357"/>
        <v/>
      </c>
      <c r="CX18" s="705" t="str">
        <f t="shared" si="357"/>
        <v/>
      </c>
      <c r="CY18" s="705" t="str">
        <f t="shared" si="357"/>
        <v/>
      </c>
      <c r="CZ18" s="705" t="str">
        <f t="shared" si="357"/>
        <v/>
      </c>
      <c r="DA18" s="705" t="str">
        <f t="shared" si="357"/>
        <v/>
      </c>
      <c r="DB18" s="705" t="str">
        <f t="shared" si="357"/>
        <v/>
      </c>
      <c r="DC18" s="705" t="str">
        <f t="shared" si="357"/>
        <v/>
      </c>
      <c r="DD18" s="705" t="str">
        <f t="shared" si="357"/>
        <v/>
      </c>
      <c r="DE18" s="705" t="str">
        <f t="shared" si="357"/>
        <v/>
      </c>
      <c r="DF18" s="706" t="str">
        <f t="shared" si="357"/>
        <v/>
      </c>
      <c r="DG18" s="704">
        <f t="shared" si="357"/>
        <v>0</v>
      </c>
      <c r="DH18" s="705" t="str">
        <f t="shared" si="357"/>
        <v/>
      </c>
      <c r="DI18" s="705" t="str">
        <f t="shared" si="357"/>
        <v/>
      </c>
      <c r="DJ18" s="705" t="str">
        <f t="shared" si="357"/>
        <v/>
      </c>
      <c r="DK18" s="705" t="str">
        <f t="shared" si="357"/>
        <v/>
      </c>
      <c r="DL18" s="705" t="str">
        <f t="shared" si="357"/>
        <v/>
      </c>
      <c r="DM18" s="705" t="str">
        <f t="shared" si="357"/>
        <v/>
      </c>
      <c r="DN18" s="705" t="str">
        <f t="shared" si="357"/>
        <v/>
      </c>
      <c r="DO18" s="705" t="str">
        <f t="shared" si="357"/>
        <v/>
      </c>
      <c r="DP18" s="705" t="str">
        <f t="shared" si="357"/>
        <v/>
      </c>
      <c r="DQ18" s="705" t="str">
        <f t="shared" si="357"/>
        <v/>
      </c>
      <c r="DR18" s="705" t="str">
        <f t="shared" si="357"/>
        <v/>
      </c>
      <c r="DS18" s="705" t="str">
        <f t="shared" si="357"/>
        <v/>
      </c>
      <c r="DT18" s="705" t="str">
        <f t="shared" si="357"/>
        <v/>
      </c>
      <c r="DU18" s="705" t="str">
        <f t="shared" si="357"/>
        <v/>
      </c>
      <c r="DV18" s="705" t="str">
        <f t="shared" si="357"/>
        <v/>
      </c>
      <c r="DW18" s="705" t="str">
        <f t="shared" si="357"/>
        <v/>
      </c>
      <c r="DX18" s="705" t="str">
        <f t="shared" si="357"/>
        <v/>
      </c>
      <c r="DY18" s="705" t="str">
        <f t="shared" si="357"/>
        <v/>
      </c>
      <c r="DZ18" s="706" t="str">
        <f t="shared" si="357"/>
        <v/>
      </c>
      <c r="EA18" s="704">
        <f t="shared" si="357"/>
        <v>0</v>
      </c>
      <c r="EB18" s="705" t="str">
        <f t="shared" si="357"/>
        <v/>
      </c>
      <c r="EC18" s="705" t="str">
        <f t="shared" si="357"/>
        <v/>
      </c>
      <c r="ED18" s="705" t="str">
        <f t="shared" si="357"/>
        <v/>
      </c>
      <c r="EE18" s="705" t="str">
        <f t="shared" si="357"/>
        <v/>
      </c>
      <c r="EF18" s="705" t="str">
        <f t="shared" si="357"/>
        <v/>
      </c>
      <c r="EG18" s="705" t="str">
        <f t="shared" si="357"/>
        <v/>
      </c>
      <c r="EH18" s="705" t="str">
        <f t="shared" si="357"/>
        <v/>
      </c>
      <c r="EI18" s="705" t="str">
        <f t="shared" si="357"/>
        <v/>
      </c>
      <c r="EJ18" s="705" t="str">
        <f t="shared" si="357"/>
        <v/>
      </c>
      <c r="EK18" s="705" t="str">
        <f t="shared" si="357"/>
        <v/>
      </c>
      <c r="EL18" s="705" t="str">
        <f t="shared" si="357"/>
        <v/>
      </c>
      <c r="EM18" s="705" t="str">
        <f t="shared" si="357"/>
        <v/>
      </c>
      <c r="EN18" s="705" t="str">
        <f t="shared" si="357"/>
        <v/>
      </c>
      <c r="EO18" s="705" t="str">
        <f t="shared" si="357"/>
        <v/>
      </c>
      <c r="EP18" s="705" t="str">
        <f t="shared" si="357"/>
        <v/>
      </c>
      <c r="EQ18" s="705" t="str">
        <f t="shared" si="357"/>
        <v/>
      </c>
      <c r="ER18" s="705" t="str">
        <f t="shared" si="357"/>
        <v/>
      </c>
      <c r="ES18" s="705" t="str">
        <f t="shared" si="357"/>
        <v/>
      </c>
      <c r="ET18" s="706" t="str">
        <f t="shared" si="357"/>
        <v/>
      </c>
      <c r="EU18" s="704">
        <f t="shared" si="357"/>
        <v>0</v>
      </c>
      <c r="EV18" s="705" t="str">
        <f t="shared" si="357"/>
        <v/>
      </c>
      <c r="EW18" s="705" t="str">
        <f t="shared" si="357"/>
        <v/>
      </c>
      <c r="EX18" s="705" t="str">
        <f t="shared" si="357"/>
        <v/>
      </c>
      <c r="EY18" s="705" t="str">
        <f t="shared" si="357"/>
        <v/>
      </c>
      <c r="EZ18" s="705" t="str">
        <f t="shared" si="357"/>
        <v/>
      </c>
      <c r="FA18" s="705" t="str">
        <f t="shared" si="357"/>
        <v/>
      </c>
      <c r="FB18" s="705" t="str">
        <f t="shared" si="357"/>
        <v/>
      </c>
      <c r="FC18" s="705" t="str">
        <f t="shared" ref="FC18:HN18" si="358">IFERROR(MEDIAN(FC8:FC17),"")</f>
        <v/>
      </c>
      <c r="FD18" s="705" t="str">
        <f t="shared" si="358"/>
        <v/>
      </c>
      <c r="FE18" s="705" t="str">
        <f t="shared" si="358"/>
        <v/>
      </c>
      <c r="FF18" s="705" t="str">
        <f t="shared" si="358"/>
        <v/>
      </c>
      <c r="FG18" s="705" t="str">
        <f t="shared" si="358"/>
        <v/>
      </c>
      <c r="FH18" s="705" t="str">
        <f t="shared" si="358"/>
        <v/>
      </c>
      <c r="FI18" s="705" t="str">
        <f t="shared" si="358"/>
        <v/>
      </c>
      <c r="FJ18" s="705" t="str">
        <f t="shared" si="358"/>
        <v/>
      </c>
      <c r="FK18" s="705" t="str">
        <f t="shared" si="358"/>
        <v/>
      </c>
      <c r="FL18" s="705" t="str">
        <f t="shared" si="358"/>
        <v/>
      </c>
      <c r="FM18" s="705" t="str">
        <f t="shared" si="358"/>
        <v/>
      </c>
      <c r="FN18" s="706" t="str">
        <f t="shared" si="358"/>
        <v/>
      </c>
      <c r="FO18" s="704" t="str">
        <f t="shared" si="358"/>
        <v/>
      </c>
      <c r="FP18" s="705" t="str">
        <f t="shared" si="358"/>
        <v/>
      </c>
      <c r="FQ18" s="705" t="str">
        <f t="shared" si="358"/>
        <v/>
      </c>
      <c r="FR18" s="705" t="str">
        <f t="shared" si="358"/>
        <v/>
      </c>
      <c r="FS18" s="705" t="str">
        <f t="shared" si="358"/>
        <v/>
      </c>
      <c r="FT18" s="705" t="str">
        <f t="shared" si="358"/>
        <v/>
      </c>
      <c r="FU18" s="705" t="str">
        <f t="shared" si="358"/>
        <v/>
      </c>
      <c r="FV18" s="705" t="str">
        <f t="shared" si="358"/>
        <v/>
      </c>
      <c r="FW18" s="705" t="str">
        <f t="shared" si="358"/>
        <v/>
      </c>
      <c r="FX18" s="705" t="str">
        <f t="shared" si="358"/>
        <v/>
      </c>
      <c r="FY18" s="705" t="str">
        <f t="shared" si="358"/>
        <v/>
      </c>
      <c r="FZ18" s="705" t="str">
        <f t="shared" si="358"/>
        <v/>
      </c>
      <c r="GA18" s="705" t="str">
        <f t="shared" si="358"/>
        <v/>
      </c>
      <c r="GB18" s="705" t="str">
        <f t="shared" si="358"/>
        <v/>
      </c>
      <c r="GC18" s="705" t="str">
        <f t="shared" si="358"/>
        <v/>
      </c>
      <c r="GD18" s="705" t="str">
        <f t="shared" si="358"/>
        <v/>
      </c>
      <c r="GE18" s="705" t="str">
        <f t="shared" si="358"/>
        <v/>
      </c>
      <c r="GF18" s="705" t="str">
        <f t="shared" si="358"/>
        <v/>
      </c>
      <c r="GG18" s="705" t="str">
        <f t="shared" si="358"/>
        <v/>
      </c>
      <c r="GH18" s="706" t="str">
        <f t="shared" si="358"/>
        <v/>
      </c>
      <c r="GI18" s="704">
        <f t="shared" si="358"/>
        <v>0</v>
      </c>
      <c r="GJ18" s="705" t="str">
        <f t="shared" si="358"/>
        <v/>
      </c>
      <c r="GK18" s="705" t="str">
        <f t="shared" si="358"/>
        <v/>
      </c>
      <c r="GL18" s="705" t="str">
        <f t="shared" si="358"/>
        <v/>
      </c>
      <c r="GM18" s="705" t="str">
        <f t="shared" si="358"/>
        <v/>
      </c>
      <c r="GN18" s="705" t="str">
        <f t="shared" si="358"/>
        <v/>
      </c>
      <c r="GO18" s="705" t="str">
        <f t="shared" si="358"/>
        <v/>
      </c>
      <c r="GP18" s="705" t="str">
        <f t="shared" si="358"/>
        <v/>
      </c>
      <c r="GQ18" s="705" t="str">
        <f t="shared" si="358"/>
        <v/>
      </c>
      <c r="GR18" s="705" t="str">
        <f t="shared" si="358"/>
        <v/>
      </c>
      <c r="GS18" s="705" t="str">
        <f t="shared" si="358"/>
        <v/>
      </c>
      <c r="GT18" s="705" t="str">
        <f t="shared" si="358"/>
        <v/>
      </c>
      <c r="GU18" s="705" t="str">
        <f t="shared" si="358"/>
        <v/>
      </c>
      <c r="GV18" s="705" t="str">
        <f t="shared" si="358"/>
        <v/>
      </c>
      <c r="GW18" s="705" t="str">
        <f t="shared" si="358"/>
        <v/>
      </c>
      <c r="GX18" s="705" t="str">
        <f t="shared" si="358"/>
        <v/>
      </c>
      <c r="GY18" s="705" t="str">
        <f t="shared" si="358"/>
        <v/>
      </c>
      <c r="GZ18" s="705" t="str">
        <f t="shared" si="358"/>
        <v/>
      </c>
      <c r="HA18" s="705" t="str">
        <f t="shared" si="358"/>
        <v/>
      </c>
      <c r="HB18" s="706" t="str">
        <f t="shared" si="358"/>
        <v/>
      </c>
      <c r="HC18" s="704">
        <f t="shared" si="358"/>
        <v>8.0520399466092019E-2</v>
      </c>
      <c r="HD18" s="705" t="str">
        <f t="shared" si="358"/>
        <v/>
      </c>
      <c r="HE18" s="705" t="str">
        <f t="shared" si="358"/>
        <v/>
      </c>
      <c r="HF18" s="705" t="str">
        <f t="shared" si="358"/>
        <v/>
      </c>
      <c r="HG18" s="705" t="str">
        <f t="shared" si="358"/>
        <v/>
      </c>
      <c r="HH18" s="705" t="str">
        <f t="shared" si="358"/>
        <v/>
      </c>
      <c r="HI18" s="705" t="str">
        <f t="shared" si="358"/>
        <v/>
      </c>
      <c r="HJ18" s="705" t="str">
        <f t="shared" si="358"/>
        <v/>
      </c>
      <c r="HK18" s="705" t="str">
        <f t="shared" si="358"/>
        <v/>
      </c>
      <c r="HL18" s="705" t="str">
        <f t="shared" si="358"/>
        <v/>
      </c>
      <c r="HM18" s="705" t="str">
        <f t="shared" si="358"/>
        <v/>
      </c>
      <c r="HN18" s="705" t="str">
        <f t="shared" si="358"/>
        <v/>
      </c>
      <c r="HO18" s="705" t="str">
        <f t="shared" ref="HO18:JZ18" si="359">IFERROR(MEDIAN(HO8:HO17),"")</f>
        <v/>
      </c>
      <c r="HP18" s="705" t="str">
        <f t="shared" si="359"/>
        <v/>
      </c>
      <c r="HQ18" s="705" t="str">
        <f t="shared" si="359"/>
        <v/>
      </c>
      <c r="HR18" s="705" t="str">
        <f t="shared" si="359"/>
        <v/>
      </c>
      <c r="HS18" s="705" t="str">
        <f t="shared" si="359"/>
        <v/>
      </c>
      <c r="HT18" s="705" t="str">
        <f t="shared" si="359"/>
        <v/>
      </c>
      <c r="HU18" s="705" t="str">
        <f t="shared" si="359"/>
        <v/>
      </c>
      <c r="HV18" s="706" t="str">
        <f t="shared" si="359"/>
        <v/>
      </c>
      <c r="HW18" s="704">
        <f t="shared" si="359"/>
        <v>4.711843375155108E-2</v>
      </c>
      <c r="HX18" s="705" t="str">
        <f t="shared" si="359"/>
        <v/>
      </c>
      <c r="HY18" s="705" t="str">
        <f t="shared" si="359"/>
        <v/>
      </c>
      <c r="HZ18" s="705" t="str">
        <f t="shared" si="359"/>
        <v/>
      </c>
      <c r="IA18" s="705" t="str">
        <f t="shared" si="359"/>
        <v/>
      </c>
      <c r="IB18" s="705" t="str">
        <f t="shared" si="359"/>
        <v/>
      </c>
      <c r="IC18" s="705" t="str">
        <f t="shared" si="359"/>
        <v/>
      </c>
      <c r="ID18" s="705" t="str">
        <f t="shared" si="359"/>
        <v/>
      </c>
      <c r="IE18" s="705" t="str">
        <f t="shared" si="359"/>
        <v/>
      </c>
      <c r="IF18" s="705" t="str">
        <f t="shared" si="359"/>
        <v/>
      </c>
      <c r="IG18" s="705" t="str">
        <f t="shared" si="359"/>
        <v/>
      </c>
      <c r="IH18" s="705" t="str">
        <f t="shared" si="359"/>
        <v/>
      </c>
      <c r="II18" s="705" t="str">
        <f t="shared" si="359"/>
        <v/>
      </c>
      <c r="IJ18" s="705" t="str">
        <f t="shared" si="359"/>
        <v/>
      </c>
      <c r="IK18" s="705" t="str">
        <f t="shared" si="359"/>
        <v/>
      </c>
      <c r="IL18" s="705" t="str">
        <f t="shared" si="359"/>
        <v/>
      </c>
      <c r="IM18" s="705" t="str">
        <f t="shared" si="359"/>
        <v/>
      </c>
      <c r="IN18" s="705" t="str">
        <f t="shared" si="359"/>
        <v/>
      </c>
      <c r="IO18" s="705" t="str">
        <f t="shared" si="359"/>
        <v/>
      </c>
      <c r="IP18" s="706" t="str">
        <f t="shared" si="359"/>
        <v/>
      </c>
      <c r="IQ18" s="354">
        <f t="shared" si="359"/>
        <v>3.4744624383902942</v>
      </c>
      <c r="IR18" s="355" t="str">
        <f t="shared" si="359"/>
        <v/>
      </c>
      <c r="IS18" s="355" t="str">
        <f t="shared" si="359"/>
        <v/>
      </c>
      <c r="IT18" s="355" t="str">
        <f t="shared" si="359"/>
        <v/>
      </c>
      <c r="IU18" s="355" t="str">
        <f t="shared" si="359"/>
        <v/>
      </c>
      <c r="IV18" s="355" t="str">
        <f t="shared" si="359"/>
        <v/>
      </c>
      <c r="IW18" s="355" t="str">
        <f t="shared" si="359"/>
        <v/>
      </c>
      <c r="IX18" s="355" t="str">
        <f t="shared" si="359"/>
        <v/>
      </c>
      <c r="IY18" s="355" t="str">
        <f t="shared" si="359"/>
        <v/>
      </c>
      <c r="IZ18" s="355" t="str">
        <f t="shared" si="359"/>
        <v/>
      </c>
      <c r="JA18" s="355" t="str">
        <f t="shared" si="359"/>
        <v/>
      </c>
      <c r="JB18" s="355" t="str">
        <f t="shared" si="359"/>
        <v/>
      </c>
      <c r="JC18" s="355" t="str">
        <f t="shared" si="359"/>
        <v/>
      </c>
      <c r="JD18" s="355" t="str">
        <f t="shared" si="359"/>
        <v/>
      </c>
      <c r="JE18" s="355" t="str">
        <f t="shared" si="359"/>
        <v/>
      </c>
      <c r="JF18" s="355" t="str">
        <f t="shared" si="359"/>
        <v/>
      </c>
      <c r="JG18" s="355" t="str">
        <f t="shared" si="359"/>
        <v/>
      </c>
      <c r="JH18" s="355" t="str">
        <f t="shared" si="359"/>
        <v/>
      </c>
      <c r="JI18" s="355" t="str">
        <f t="shared" si="359"/>
        <v/>
      </c>
      <c r="JJ18" s="356" t="str">
        <f t="shared" si="359"/>
        <v/>
      </c>
      <c r="JK18" s="704">
        <f t="shared" si="359"/>
        <v>0.2918767670290594</v>
      </c>
      <c r="JL18" s="705" t="str">
        <f t="shared" si="359"/>
        <v/>
      </c>
      <c r="JM18" s="705" t="str">
        <f t="shared" si="359"/>
        <v/>
      </c>
      <c r="JN18" s="705" t="str">
        <f t="shared" si="359"/>
        <v/>
      </c>
      <c r="JO18" s="705" t="str">
        <f t="shared" si="359"/>
        <v/>
      </c>
      <c r="JP18" s="705" t="str">
        <f t="shared" si="359"/>
        <v/>
      </c>
      <c r="JQ18" s="705" t="str">
        <f t="shared" si="359"/>
        <v/>
      </c>
      <c r="JR18" s="705" t="str">
        <f t="shared" si="359"/>
        <v/>
      </c>
      <c r="JS18" s="705" t="str">
        <f t="shared" si="359"/>
        <v/>
      </c>
      <c r="JT18" s="705" t="str">
        <f t="shared" si="359"/>
        <v/>
      </c>
      <c r="JU18" s="705" t="str">
        <f t="shared" si="359"/>
        <v/>
      </c>
      <c r="JV18" s="705" t="str">
        <f t="shared" si="359"/>
        <v/>
      </c>
      <c r="JW18" s="705" t="str">
        <f t="shared" si="359"/>
        <v/>
      </c>
      <c r="JX18" s="705" t="str">
        <f t="shared" si="359"/>
        <v/>
      </c>
      <c r="JY18" s="705" t="str">
        <f t="shared" si="359"/>
        <v/>
      </c>
      <c r="JZ18" s="705" t="str">
        <f t="shared" si="359"/>
        <v/>
      </c>
      <c r="KA18" s="705" t="str">
        <f t="shared" ref="KA18:ML18" si="360">IFERROR(MEDIAN(KA8:KA17),"")</f>
        <v/>
      </c>
      <c r="KB18" s="705" t="str">
        <f t="shared" si="360"/>
        <v/>
      </c>
      <c r="KC18" s="705" t="str">
        <f t="shared" si="360"/>
        <v/>
      </c>
      <c r="KD18" s="706" t="str">
        <f t="shared" si="360"/>
        <v/>
      </c>
      <c r="KE18" s="704">
        <f t="shared" si="360"/>
        <v>0.16938716825386085</v>
      </c>
      <c r="KF18" s="705" t="str">
        <f t="shared" si="360"/>
        <v/>
      </c>
      <c r="KG18" s="705" t="str">
        <f t="shared" si="360"/>
        <v/>
      </c>
      <c r="KH18" s="705" t="str">
        <f t="shared" si="360"/>
        <v/>
      </c>
      <c r="KI18" s="705" t="str">
        <f t="shared" si="360"/>
        <v/>
      </c>
      <c r="KJ18" s="705" t="str">
        <f t="shared" si="360"/>
        <v/>
      </c>
      <c r="KK18" s="705" t="str">
        <f t="shared" si="360"/>
        <v/>
      </c>
      <c r="KL18" s="705" t="str">
        <f t="shared" si="360"/>
        <v/>
      </c>
      <c r="KM18" s="705" t="str">
        <f t="shared" si="360"/>
        <v/>
      </c>
      <c r="KN18" s="705" t="str">
        <f t="shared" si="360"/>
        <v/>
      </c>
      <c r="KO18" s="705" t="str">
        <f t="shared" si="360"/>
        <v/>
      </c>
      <c r="KP18" s="705" t="str">
        <f t="shared" si="360"/>
        <v/>
      </c>
      <c r="KQ18" s="705" t="str">
        <f t="shared" si="360"/>
        <v/>
      </c>
      <c r="KR18" s="705" t="str">
        <f t="shared" si="360"/>
        <v/>
      </c>
      <c r="KS18" s="705" t="str">
        <f t="shared" si="360"/>
        <v/>
      </c>
      <c r="KT18" s="705" t="str">
        <f t="shared" si="360"/>
        <v/>
      </c>
      <c r="KU18" s="705" t="str">
        <f t="shared" si="360"/>
        <v/>
      </c>
      <c r="KV18" s="705" t="str">
        <f t="shared" si="360"/>
        <v/>
      </c>
      <c r="KW18" s="705" t="str">
        <f t="shared" si="360"/>
        <v/>
      </c>
      <c r="KX18" s="706" t="str">
        <f t="shared" si="360"/>
        <v/>
      </c>
      <c r="KY18" s="704">
        <f t="shared" si="360"/>
        <v>0.27141753397264007</v>
      </c>
      <c r="KZ18" s="705" t="str">
        <f t="shared" si="360"/>
        <v/>
      </c>
      <c r="LA18" s="705" t="str">
        <f t="shared" si="360"/>
        <v/>
      </c>
      <c r="LB18" s="705" t="str">
        <f t="shared" si="360"/>
        <v/>
      </c>
      <c r="LC18" s="705" t="str">
        <f t="shared" si="360"/>
        <v/>
      </c>
      <c r="LD18" s="705" t="str">
        <f t="shared" si="360"/>
        <v/>
      </c>
      <c r="LE18" s="705" t="str">
        <f t="shared" si="360"/>
        <v/>
      </c>
      <c r="LF18" s="705" t="str">
        <f t="shared" si="360"/>
        <v/>
      </c>
      <c r="LG18" s="705" t="str">
        <f t="shared" si="360"/>
        <v/>
      </c>
      <c r="LH18" s="705" t="str">
        <f t="shared" si="360"/>
        <v/>
      </c>
      <c r="LI18" s="705" t="str">
        <f t="shared" si="360"/>
        <v/>
      </c>
      <c r="LJ18" s="705" t="str">
        <f t="shared" si="360"/>
        <v/>
      </c>
      <c r="LK18" s="705" t="str">
        <f t="shared" si="360"/>
        <v/>
      </c>
      <c r="LL18" s="705" t="str">
        <f t="shared" si="360"/>
        <v/>
      </c>
      <c r="LM18" s="705" t="str">
        <f t="shared" si="360"/>
        <v/>
      </c>
      <c r="LN18" s="705" t="str">
        <f t="shared" si="360"/>
        <v/>
      </c>
      <c r="LO18" s="705" t="str">
        <f t="shared" si="360"/>
        <v/>
      </c>
      <c r="LP18" s="705" t="str">
        <f t="shared" si="360"/>
        <v/>
      </c>
      <c r="LQ18" s="705" t="str">
        <f t="shared" si="360"/>
        <v/>
      </c>
      <c r="LR18" s="706" t="str">
        <f t="shared" si="360"/>
        <v/>
      </c>
      <c r="LS18" s="704">
        <f t="shared" si="360"/>
        <v>0.24626221966647499</v>
      </c>
      <c r="LT18" s="705" t="str">
        <f t="shared" si="360"/>
        <v/>
      </c>
      <c r="LU18" s="705" t="str">
        <f t="shared" si="360"/>
        <v/>
      </c>
      <c r="LV18" s="705" t="str">
        <f t="shared" si="360"/>
        <v/>
      </c>
      <c r="LW18" s="705" t="str">
        <f t="shared" si="360"/>
        <v/>
      </c>
      <c r="LX18" s="705" t="str">
        <f t="shared" si="360"/>
        <v/>
      </c>
      <c r="LY18" s="705" t="str">
        <f t="shared" si="360"/>
        <v/>
      </c>
      <c r="LZ18" s="705" t="str">
        <f t="shared" si="360"/>
        <v/>
      </c>
      <c r="MA18" s="705" t="str">
        <f t="shared" si="360"/>
        <v/>
      </c>
      <c r="MB18" s="705" t="str">
        <f t="shared" si="360"/>
        <v/>
      </c>
      <c r="MC18" s="705" t="str">
        <f t="shared" si="360"/>
        <v/>
      </c>
      <c r="MD18" s="707" t="str">
        <f t="shared" si="360"/>
        <v/>
      </c>
      <c r="ME18" s="705" t="str">
        <f t="shared" si="360"/>
        <v/>
      </c>
      <c r="MF18" s="705" t="str">
        <f t="shared" si="360"/>
        <v/>
      </c>
      <c r="MG18" s="705" t="str">
        <f t="shared" si="360"/>
        <v/>
      </c>
      <c r="MH18" s="705" t="str">
        <f t="shared" si="360"/>
        <v/>
      </c>
      <c r="MI18" s="705" t="str">
        <f t="shared" si="360"/>
        <v/>
      </c>
      <c r="MJ18" s="705" t="str">
        <f t="shared" si="360"/>
        <v/>
      </c>
      <c r="MK18" s="705" t="str">
        <f t="shared" si="360"/>
        <v/>
      </c>
      <c r="ML18" s="706" t="str">
        <f t="shared" si="360"/>
        <v/>
      </c>
      <c r="MM18" s="704" t="str">
        <f t="shared" ref="MM18:OX18" si="361">IFERROR(MEDIAN(MM8:MM17),"")</f>
        <v/>
      </c>
      <c r="MN18" s="705" t="str">
        <f t="shared" si="361"/>
        <v/>
      </c>
      <c r="MO18" s="705" t="str">
        <f t="shared" si="361"/>
        <v/>
      </c>
      <c r="MP18" s="705" t="str">
        <f t="shared" si="361"/>
        <v/>
      </c>
      <c r="MQ18" s="705" t="str">
        <f t="shared" si="361"/>
        <v/>
      </c>
      <c r="MR18" s="705" t="str">
        <f t="shared" si="361"/>
        <v/>
      </c>
      <c r="MS18" s="705" t="str">
        <f t="shared" si="361"/>
        <v/>
      </c>
      <c r="MT18" s="705" t="str">
        <f t="shared" si="361"/>
        <v/>
      </c>
      <c r="MU18" s="705" t="str">
        <f t="shared" si="361"/>
        <v/>
      </c>
      <c r="MV18" s="705" t="str">
        <f t="shared" si="361"/>
        <v/>
      </c>
      <c r="MW18" s="705" t="str">
        <f t="shared" si="361"/>
        <v/>
      </c>
      <c r="MX18" s="705" t="str">
        <f t="shared" si="361"/>
        <v/>
      </c>
      <c r="MY18" s="705" t="str">
        <f t="shared" si="361"/>
        <v/>
      </c>
      <c r="MZ18" s="705" t="str">
        <f t="shared" si="361"/>
        <v/>
      </c>
      <c r="NA18" s="705" t="str">
        <f t="shared" si="361"/>
        <v/>
      </c>
      <c r="NB18" s="705" t="str">
        <f t="shared" si="361"/>
        <v/>
      </c>
      <c r="NC18" s="705" t="str">
        <f t="shared" si="361"/>
        <v/>
      </c>
      <c r="ND18" s="705" t="str">
        <f t="shared" si="361"/>
        <v/>
      </c>
      <c r="NE18" s="705" t="str">
        <f t="shared" si="361"/>
        <v/>
      </c>
      <c r="NF18" s="706" t="str">
        <f t="shared" si="361"/>
        <v/>
      </c>
      <c r="NG18" s="704" t="str">
        <f t="shared" si="361"/>
        <v/>
      </c>
      <c r="NH18" s="705" t="str">
        <f t="shared" si="361"/>
        <v/>
      </c>
      <c r="NI18" s="705" t="str">
        <f t="shared" si="361"/>
        <v/>
      </c>
      <c r="NJ18" s="705" t="str">
        <f t="shared" si="361"/>
        <v/>
      </c>
      <c r="NK18" s="705" t="str">
        <f t="shared" si="361"/>
        <v/>
      </c>
      <c r="NL18" s="705" t="str">
        <f t="shared" si="361"/>
        <v/>
      </c>
      <c r="NM18" s="705" t="str">
        <f t="shared" si="361"/>
        <v/>
      </c>
      <c r="NN18" s="705" t="str">
        <f t="shared" si="361"/>
        <v/>
      </c>
      <c r="NO18" s="705" t="str">
        <f t="shared" si="361"/>
        <v/>
      </c>
      <c r="NP18" s="705" t="str">
        <f t="shared" si="361"/>
        <v/>
      </c>
      <c r="NQ18" s="705" t="str">
        <f t="shared" si="361"/>
        <v/>
      </c>
      <c r="NR18" s="707" t="str">
        <f t="shared" si="361"/>
        <v/>
      </c>
      <c r="NS18" s="705" t="str">
        <f t="shared" si="361"/>
        <v/>
      </c>
      <c r="NT18" s="705" t="str">
        <f t="shared" si="361"/>
        <v/>
      </c>
      <c r="NU18" s="705" t="str">
        <f t="shared" si="361"/>
        <v/>
      </c>
      <c r="NV18" s="705" t="str">
        <f t="shared" si="361"/>
        <v/>
      </c>
      <c r="NW18" s="705" t="str">
        <f t="shared" si="361"/>
        <v/>
      </c>
      <c r="NX18" s="705" t="str">
        <f t="shared" si="361"/>
        <v/>
      </c>
      <c r="NY18" s="705" t="str">
        <f t="shared" si="361"/>
        <v/>
      </c>
      <c r="NZ18" s="706" t="str">
        <f t="shared" si="361"/>
        <v/>
      </c>
      <c r="OA18" s="704" t="str">
        <f t="shared" si="361"/>
        <v/>
      </c>
      <c r="OB18" s="705" t="str">
        <f t="shared" si="361"/>
        <v/>
      </c>
      <c r="OC18" s="705" t="str">
        <f t="shared" si="361"/>
        <v/>
      </c>
      <c r="OD18" s="705" t="str">
        <f t="shared" si="361"/>
        <v/>
      </c>
      <c r="OE18" s="705" t="str">
        <f t="shared" si="361"/>
        <v/>
      </c>
      <c r="OF18" s="705" t="str">
        <f t="shared" si="361"/>
        <v/>
      </c>
      <c r="OG18" s="705" t="str">
        <f t="shared" si="361"/>
        <v/>
      </c>
      <c r="OH18" s="705" t="str">
        <f t="shared" si="361"/>
        <v/>
      </c>
      <c r="OI18" s="705" t="str">
        <f t="shared" si="361"/>
        <v/>
      </c>
      <c r="OJ18" s="705" t="str">
        <f t="shared" si="361"/>
        <v/>
      </c>
      <c r="OK18" s="705" t="str">
        <f t="shared" si="361"/>
        <v/>
      </c>
      <c r="OL18" s="707" t="str">
        <f t="shared" si="361"/>
        <v/>
      </c>
      <c r="OM18" s="705" t="str">
        <f t="shared" si="361"/>
        <v/>
      </c>
      <c r="ON18" s="705" t="str">
        <f t="shared" si="361"/>
        <v/>
      </c>
      <c r="OO18" s="705" t="str">
        <f t="shared" si="361"/>
        <v/>
      </c>
      <c r="OP18" s="705" t="str">
        <f t="shared" si="361"/>
        <v/>
      </c>
      <c r="OQ18" s="705" t="str">
        <f t="shared" si="361"/>
        <v/>
      </c>
      <c r="OR18" s="705" t="str">
        <f t="shared" si="361"/>
        <v/>
      </c>
      <c r="OS18" s="705" t="str">
        <f t="shared" si="361"/>
        <v/>
      </c>
      <c r="OT18" s="706" t="str">
        <f t="shared" si="361"/>
        <v/>
      </c>
      <c r="OU18" s="704">
        <f t="shared" si="361"/>
        <v>0</v>
      </c>
      <c r="OV18" s="705" t="str">
        <f t="shared" si="361"/>
        <v/>
      </c>
      <c r="OW18" s="705" t="str">
        <f t="shared" si="361"/>
        <v/>
      </c>
      <c r="OX18" s="705" t="str">
        <f t="shared" si="361"/>
        <v/>
      </c>
      <c r="OY18" s="705" t="str">
        <f t="shared" ref="OY18:RJ18" si="362">IFERROR(MEDIAN(OY8:OY17),"")</f>
        <v/>
      </c>
      <c r="OZ18" s="705" t="str">
        <f t="shared" si="362"/>
        <v/>
      </c>
      <c r="PA18" s="705" t="str">
        <f t="shared" si="362"/>
        <v/>
      </c>
      <c r="PB18" s="705" t="str">
        <f t="shared" si="362"/>
        <v/>
      </c>
      <c r="PC18" s="705" t="str">
        <f t="shared" si="362"/>
        <v/>
      </c>
      <c r="PD18" s="705" t="str">
        <f t="shared" si="362"/>
        <v/>
      </c>
      <c r="PE18" s="705" t="str">
        <f t="shared" si="362"/>
        <v/>
      </c>
      <c r="PF18" s="707" t="str">
        <f t="shared" si="362"/>
        <v/>
      </c>
      <c r="PG18" s="705" t="str">
        <f t="shared" si="362"/>
        <v/>
      </c>
      <c r="PH18" s="705" t="str">
        <f t="shared" si="362"/>
        <v/>
      </c>
      <c r="PI18" s="705" t="str">
        <f t="shared" si="362"/>
        <v/>
      </c>
      <c r="PJ18" s="705" t="str">
        <f t="shared" si="362"/>
        <v/>
      </c>
      <c r="PK18" s="705" t="str">
        <f t="shared" si="362"/>
        <v/>
      </c>
      <c r="PL18" s="705" t="str">
        <f t="shared" si="362"/>
        <v/>
      </c>
      <c r="PM18" s="705" t="str">
        <f t="shared" si="362"/>
        <v/>
      </c>
      <c r="PN18" s="706" t="str">
        <f t="shared" si="362"/>
        <v/>
      </c>
      <c r="PO18" s="698">
        <f t="shared" si="362"/>
        <v>0.62307779377886319</v>
      </c>
      <c r="PP18" s="696" t="str">
        <f t="shared" si="362"/>
        <v/>
      </c>
      <c r="PQ18" s="696" t="str">
        <f t="shared" si="362"/>
        <v/>
      </c>
      <c r="PR18" s="696" t="str">
        <f t="shared" si="362"/>
        <v/>
      </c>
      <c r="PS18" s="696" t="str">
        <f t="shared" si="362"/>
        <v/>
      </c>
      <c r="PT18" s="696" t="str">
        <f t="shared" si="362"/>
        <v/>
      </c>
      <c r="PU18" s="696" t="str">
        <f t="shared" si="362"/>
        <v/>
      </c>
      <c r="PV18" s="696" t="str">
        <f t="shared" si="362"/>
        <v/>
      </c>
      <c r="PW18" s="696" t="str">
        <f t="shared" si="362"/>
        <v/>
      </c>
      <c r="PX18" s="696" t="str">
        <f t="shared" si="362"/>
        <v/>
      </c>
      <c r="PY18" s="696" t="str">
        <f t="shared" si="362"/>
        <v/>
      </c>
      <c r="PZ18" s="696" t="str">
        <f t="shared" si="362"/>
        <v/>
      </c>
      <c r="QA18" s="696" t="str">
        <f t="shared" si="362"/>
        <v/>
      </c>
      <c r="QB18" s="696" t="str">
        <f t="shared" si="362"/>
        <v/>
      </c>
      <c r="QC18" s="696" t="str">
        <f t="shared" si="362"/>
        <v/>
      </c>
      <c r="QD18" s="696" t="str">
        <f t="shared" si="362"/>
        <v/>
      </c>
      <c r="QE18" s="696" t="str">
        <f t="shared" si="362"/>
        <v/>
      </c>
      <c r="QF18" s="696" t="str">
        <f t="shared" si="362"/>
        <v/>
      </c>
      <c r="QG18" s="696" t="str">
        <f t="shared" si="362"/>
        <v/>
      </c>
      <c r="QH18" s="697" t="str">
        <f t="shared" si="362"/>
        <v/>
      </c>
      <c r="QI18" s="698" t="str">
        <f t="shared" si="362"/>
        <v/>
      </c>
      <c r="QJ18" s="696" t="str">
        <f t="shared" si="362"/>
        <v/>
      </c>
      <c r="QK18" s="696" t="str">
        <f t="shared" si="362"/>
        <v/>
      </c>
      <c r="QL18" s="696" t="str">
        <f t="shared" si="362"/>
        <v/>
      </c>
      <c r="QM18" s="696" t="str">
        <f t="shared" si="362"/>
        <v/>
      </c>
      <c r="QN18" s="696" t="str">
        <f t="shared" si="362"/>
        <v/>
      </c>
      <c r="QO18" s="696" t="str">
        <f t="shared" si="362"/>
        <v/>
      </c>
      <c r="QP18" s="696" t="str">
        <f t="shared" si="362"/>
        <v/>
      </c>
      <c r="QQ18" s="696" t="str">
        <f t="shared" si="362"/>
        <v/>
      </c>
      <c r="QR18" s="696" t="str">
        <f t="shared" si="362"/>
        <v/>
      </c>
      <c r="QS18" s="696" t="str">
        <f t="shared" si="362"/>
        <v/>
      </c>
      <c r="QT18" s="696" t="str">
        <f t="shared" si="362"/>
        <v/>
      </c>
      <c r="QU18" s="696" t="str">
        <f t="shared" si="362"/>
        <v/>
      </c>
      <c r="QV18" s="696" t="str">
        <f t="shared" si="362"/>
        <v/>
      </c>
      <c r="QW18" s="696" t="str">
        <f t="shared" si="362"/>
        <v/>
      </c>
      <c r="QX18" s="696" t="str">
        <f t="shared" si="362"/>
        <v/>
      </c>
      <c r="QY18" s="696" t="str">
        <f t="shared" si="362"/>
        <v/>
      </c>
      <c r="QZ18" s="696" t="str">
        <f t="shared" si="362"/>
        <v/>
      </c>
      <c r="RA18" s="696" t="str">
        <f t="shared" si="362"/>
        <v/>
      </c>
      <c r="RB18" s="697" t="str">
        <f t="shared" si="362"/>
        <v/>
      </c>
      <c r="RC18" s="621" t="str">
        <f t="shared" si="362"/>
        <v/>
      </c>
      <c r="RD18" s="622" t="str">
        <f t="shared" si="362"/>
        <v/>
      </c>
      <c r="RE18" s="622" t="str">
        <f t="shared" si="362"/>
        <v/>
      </c>
      <c r="RF18" s="622" t="str">
        <f t="shared" si="362"/>
        <v/>
      </c>
      <c r="RG18" s="622" t="str">
        <f t="shared" si="362"/>
        <v/>
      </c>
      <c r="RH18" s="622" t="str">
        <f t="shared" si="362"/>
        <v/>
      </c>
      <c r="RI18" s="622" t="str">
        <f t="shared" si="362"/>
        <v/>
      </c>
      <c r="RJ18" s="622" t="str">
        <f t="shared" si="362"/>
        <v/>
      </c>
      <c r="RK18" s="622" t="str">
        <f t="shared" ref="RK18:TV18" si="363">IFERROR(MEDIAN(RK8:RK17),"")</f>
        <v/>
      </c>
      <c r="RL18" s="622" t="str">
        <f t="shared" si="363"/>
        <v/>
      </c>
      <c r="RM18" s="622" t="str">
        <f t="shared" si="363"/>
        <v/>
      </c>
      <c r="RN18" s="622" t="str">
        <f t="shared" si="363"/>
        <v/>
      </c>
      <c r="RO18" s="622" t="str">
        <f t="shared" si="363"/>
        <v/>
      </c>
      <c r="RP18" s="622" t="str">
        <f t="shared" si="363"/>
        <v/>
      </c>
      <c r="RQ18" s="622" t="str">
        <f t="shared" si="363"/>
        <v/>
      </c>
      <c r="RR18" s="622" t="str">
        <f t="shared" si="363"/>
        <v/>
      </c>
      <c r="RS18" s="622" t="str">
        <f t="shared" si="363"/>
        <v/>
      </c>
      <c r="RT18" s="622" t="str">
        <f t="shared" si="363"/>
        <v/>
      </c>
      <c r="RU18" s="622" t="str">
        <f t="shared" si="363"/>
        <v/>
      </c>
      <c r="RV18" s="623" t="str">
        <f t="shared" si="363"/>
        <v/>
      </c>
      <c r="RW18" s="698" t="str">
        <f t="shared" si="363"/>
        <v/>
      </c>
      <c r="RX18" s="696" t="str">
        <f t="shared" si="363"/>
        <v/>
      </c>
      <c r="RY18" s="696" t="str">
        <f t="shared" si="363"/>
        <v/>
      </c>
      <c r="RZ18" s="696" t="str">
        <f t="shared" si="363"/>
        <v/>
      </c>
      <c r="SA18" s="696" t="str">
        <f t="shared" si="363"/>
        <v/>
      </c>
      <c r="SB18" s="696" t="str">
        <f t="shared" si="363"/>
        <v/>
      </c>
      <c r="SC18" s="696" t="str">
        <f t="shared" si="363"/>
        <v/>
      </c>
      <c r="SD18" s="696" t="str">
        <f t="shared" si="363"/>
        <v/>
      </c>
      <c r="SE18" s="696" t="str">
        <f t="shared" si="363"/>
        <v/>
      </c>
      <c r="SF18" s="696" t="str">
        <f t="shared" si="363"/>
        <v/>
      </c>
      <c r="SG18" s="696" t="str">
        <f t="shared" si="363"/>
        <v/>
      </c>
      <c r="SH18" s="696" t="str">
        <f t="shared" si="363"/>
        <v/>
      </c>
      <c r="SI18" s="696" t="str">
        <f t="shared" si="363"/>
        <v/>
      </c>
      <c r="SJ18" s="696" t="str">
        <f t="shared" si="363"/>
        <v/>
      </c>
      <c r="SK18" s="696" t="str">
        <f t="shared" si="363"/>
        <v/>
      </c>
      <c r="SL18" s="696" t="str">
        <f t="shared" si="363"/>
        <v/>
      </c>
      <c r="SM18" s="696" t="str">
        <f t="shared" si="363"/>
        <v/>
      </c>
      <c r="SN18" s="696" t="str">
        <f t="shared" si="363"/>
        <v/>
      </c>
      <c r="SO18" s="696" t="str">
        <f t="shared" si="363"/>
        <v/>
      </c>
      <c r="SP18" s="697" t="str">
        <f t="shared" si="363"/>
        <v/>
      </c>
      <c r="SQ18" s="698">
        <f t="shared" si="363"/>
        <v>0</v>
      </c>
      <c r="SR18" s="696" t="str">
        <f t="shared" si="363"/>
        <v/>
      </c>
      <c r="SS18" s="696" t="str">
        <f t="shared" si="363"/>
        <v/>
      </c>
      <c r="ST18" s="696" t="str">
        <f t="shared" si="363"/>
        <v/>
      </c>
      <c r="SU18" s="696" t="str">
        <f t="shared" si="363"/>
        <v/>
      </c>
      <c r="SV18" s="696" t="str">
        <f t="shared" si="363"/>
        <v/>
      </c>
      <c r="SW18" s="696" t="str">
        <f t="shared" si="363"/>
        <v/>
      </c>
      <c r="SX18" s="696" t="str">
        <f t="shared" si="363"/>
        <v/>
      </c>
      <c r="SY18" s="696" t="str">
        <f t="shared" si="363"/>
        <v/>
      </c>
      <c r="SZ18" s="696" t="str">
        <f t="shared" si="363"/>
        <v/>
      </c>
      <c r="TA18" s="696" t="str">
        <f t="shared" si="363"/>
        <v/>
      </c>
      <c r="TB18" s="696" t="str">
        <f t="shared" si="363"/>
        <v/>
      </c>
      <c r="TC18" s="696" t="str">
        <f t="shared" si="363"/>
        <v/>
      </c>
      <c r="TD18" s="696" t="str">
        <f t="shared" si="363"/>
        <v/>
      </c>
      <c r="TE18" s="696" t="str">
        <f t="shared" si="363"/>
        <v/>
      </c>
      <c r="TF18" s="696" t="str">
        <f t="shared" si="363"/>
        <v/>
      </c>
      <c r="TG18" s="696" t="str">
        <f t="shared" si="363"/>
        <v/>
      </c>
      <c r="TH18" s="696" t="str">
        <f t="shared" si="363"/>
        <v/>
      </c>
      <c r="TI18" s="696" t="str">
        <f t="shared" si="363"/>
        <v/>
      </c>
      <c r="TJ18" s="697" t="str">
        <f t="shared" si="363"/>
        <v/>
      </c>
      <c r="TK18" s="698" t="str">
        <f t="shared" si="363"/>
        <v/>
      </c>
      <c r="TL18" s="696" t="str">
        <f t="shared" si="363"/>
        <v/>
      </c>
      <c r="TM18" s="696" t="str">
        <f t="shared" si="363"/>
        <v/>
      </c>
      <c r="TN18" s="696" t="str">
        <f t="shared" si="363"/>
        <v/>
      </c>
      <c r="TO18" s="696" t="str">
        <f t="shared" si="363"/>
        <v/>
      </c>
      <c r="TP18" s="696" t="str">
        <f t="shared" si="363"/>
        <v/>
      </c>
      <c r="TQ18" s="696" t="str">
        <f t="shared" si="363"/>
        <v/>
      </c>
      <c r="TR18" s="696" t="str">
        <f t="shared" si="363"/>
        <v/>
      </c>
      <c r="TS18" s="696" t="str">
        <f t="shared" si="363"/>
        <v/>
      </c>
      <c r="TT18" s="696" t="str">
        <f t="shared" si="363"/>
        <v/>
      </c>
      <c r="TU18" s="696" t="str">
        <f t="shared" si="363"/>
        <v/>
      </c>
      <c r="TV18" s="696" t="str">
        <f t="shared" si="363"/>
        <v/>
      </c>
      <c r="TW18" s="696" t="str">
        <f t="shared" ref="TW18:UX18" si="364">IFERROR(MEDIAN(TW8:TW17),"")</f>
        <v/>
      </c>
      <c r="TX18" s="696" t="str">
        <f t="shared" si="364"/>
        <v/>
      </c>
      <c r="TY18" s="696" t="str">
        <f t="shared" si="364"/>
        <v/>
      </c>
      <c r="TZ18" s="696" t="str">
        <f t="shared" si="364"/>
        <v/>
      </c>
      <c r="UA18" s="696" t="str">
        <f t="shared" si="364"/>
        <v/>
      </c>
      <c r="UB18" s="696" t="str">
        <f t="shared" si="364"/>
        <v/>
      </c>
      <c r="UC18" s="696" t="str">
        <f t="shared" si="364"/>
        <v/>
      </c>
      <c r="UD18" s="697" t="str">
        <f t="shared" si="364"/>
        <v/>
      </c>
      <c r="UE18" s="704">
        <f t="shared" si="364"/>
        <v>0</v>
      </c>
      <c r="UF18" s="705" t="str">
        <f t="shared" si="364"/>
        <v/>
      </c>
      <c r="UG18" s="705" t="str">
        <f t="shared" si="364"/>
        <v/>
      </c>
      <c r="UH18" s="705" t="str">
        <f t="shared" si="364"/>
        <v/>
      </c>
      <c r="UI18" s="705" t="str">
        <f t="shared" si="364"/>
        <v/>
      </c>
      <c r="UJ18" s="705" t="str">
        <f t="shared" si="364"/>
        <v/>
      </c>
      <c r="UK18" s="705" t="str">
        <f t="shared" si="364"/>
        <v/>
      </c>
      <c r="UL18" s="705" t="str">
        <f t="shared" si="364"/>
        <v/>
      </c>
      <c r="UM18" s="705" t="str">
        <f t="shared" si="364"/>
        <v/>
      </c>
      <c r="UN18" s="705" t="str">
        <f t="shared" si="364"/>
        <v/>
      </c>
      <c r="UO18" s="705" t="str">
        <f t="shared" si="364"/>
        <v/>
      </c>
      <c r="UP18" s="705" t="str">
        <f t="shared" si="364"/>
        <v/>
      </c>
      <c r="UQ18" s="705" t="str">
        <f t="shared" si="364"/>
        <v/>
      </c>
      <c r="UR18" s="705" t="str">
        <f t="shared" si="364"/>
        <v/>
      </c>
      <c r="US18" s="705" t="str">
        <f t="shared" si="364"/>
        <v/>
      </c>
      <c r="UT18" s="705" t="str">
        <f t="shared" si="364"/>
        <v/>
      </c>
      <c r="UU18" s="705" t="str">
        <f t="shared" si="364"/>
        <v/>
      </c>
      <c r="UV18" s="705" t="str">
        <f t="shared" si="364"/>
        <v/>
      </c>
      <c r="UW18" s="705" t="str">
        <f t="shared" si="364"/>
        <v/>
      </c>
      <c r="UX18" s="706" t="str">
        <f t="shared" si="364"/>
        <v/>
      </c>
    </row>
    <row r="19" spans="1:16344" x14ac:dyDescent="0.2">
      <c r="A19" s="99" t="s">
        <v>77</v>
      </c>
      <c r="B19" s="100"/>
      <c r="C19" s="100"/>
      <c r="D19" s="100"/>
      <c r="E19" s="101"/>
      <c r="F19" s="101"/>
      <c r="G19" s="102">
        <f t="shared" ref="G19:W19" si="365">IFERROR(AVERAGE(G8:G17),"")</f>
        <v>0.6114511751458106</v>
      </c>
      <c r="H19" s="102">
        <f t="shared" si="365"/>
        <v>0.176866</v>
      </c>
      <c r="I19" s="102" t="str">
        <f t="shared" si="365"/>
        <v/>
      </c>
      <c r="J19" s="102">
        <f t="shared" si="365"/>
        <v>3.5382149092137244E-2</v>
      </c>
      <c r="K19" s="102">
        <f t="shared" si="365"/>
        <v>2.6225000000000002E-2</v>
      </c>
      <c r="L19" s="102">
        <f>IFERROR(AVERAGE(L8:L17),"")</f>
        <v>9.344384555408658E-2</v>
      </c>
      <c r="M19" s="102">
        <f>IFERROR(AVERAGE(M8:M17),"")</f>
        <v>9.2056706797802534E-2</v>
      </c>
      <c r="N19" s="102">
        <f>IFERROR(AVERAGE(N8:N17),"")</f>
        <v>0.3053870655033929</v>
      </c>
      <c r="O19" s="102" t="str">
        <f>IFERROR(AVERAGE(O8:O17),"")</f>
        <v/>
      </c>
      <c r="P19" s="102">
        <f>IFERROR(AVERAGE(P8:P17),"")</f>
        <v>0</v>
      </c>
      <c r="Q19" s="102">
        <f t="shared" si="365"/>
        <v>0</v>
      </c>
      <c r="R19" s="102">
        <f t="shared" ref="R19" si="366">IFERROR(AVERAGE(R8:R17),"")</f>
        <v>0</v>
      </c>
      <c r="S19" s="102">
        <f t="shared" si="365"/>
        <v>0</v>
      </c>
      <c r="T19" s="102">
        <f>IFERROR(AVERAGE(T8:T17),"")</f>
        <v>0</v>
      </c>
      <c r="U19" s="102" t="str">
        <f t="shared" ref="U19" si="367">IFERROR(AVERAGE(U8:U17),"")</f>
        <v/>
      </c>
      <c r="V19" s="102" t="str">
        <f>IFERROR(AVERAGE(V8:V17),"")</f>
        <v/>
      </c>
      <c r="W19" s="102">
        <f t="shared" si="365"/>
        <v>0</v>
      </c>
      <c r="X19" s="102" t="str">
        <f t="shared" ref="X19:AC19" si="368">IFERROR(AVERAGE(X8:X17),"")</f>
        <v/>
      </c>
      <c r="Y19" s="102">
        <f t="shared" si="368"/>
        <v>0</v>
      </c>
      <c r="Z19" s="993">
        <f t="shared" si="368"/>
        <v>3.2484292924091052</v>
      </c>
      <c r="AA19" s="102">
        <f t="shared" si="368"/>
        <v>0.34184033454370233</v>
      </c>
      <c r="AB19" s="102">
        <f t="shared" si="368"/>
        <v>0</v>
      </c>
      <c r="AC19" s="1024">
        <f t="shared" si="368"/>
        <v>6.7716200000000004</v>
      </c>
      <c r="AD19" s="104"/>
      <c r="AE19" s="699" t="str">
        <f t="shared" ref="AE19:CP19" si="369">IFERROR(AVERAGE(AE8:AE17),"")</f>
        <v/>
      </c>
      <c r="AF19" s="700" t="str">
        <f t="shared" si="369"/>
        <v/>
      </c>
      <c r="AG19" s="700" t="str">
        <f t="shared" si="369"/>
        <v/>
      </c>
      <c r="AH19" s="700" t="str">
        <f t="shared" si="369"/>
        <v/>
      </c>
      <c r="AI19" s="700" t="str">
        <f t="shared" si="369"/>
        <v/>
      </c>
      <c r="AJ19" s="700" t="str">
        <f t="shared" si="369"/>
        <v/>
      </c>
      <c r="AK19" s="700" t="str">
        <f t="shared" si="369"/>
        <v/>
      </c>
      <c r="AL19" s="700" t="str">
        <f t="shared" si="369"/>
        <v/>
      </c>
      <c r="AM19" s="700" t="str">
        <f t="shared" si="369"/>
        <v/>
      </c>
      <c r="AN19" s="700" t="str">
        <f t="shared" si="369"/>
        <v/>
      </c>
      <c r="AO19" s="700" t="str">
        <f t="shared" si="369"/>
        <v/>
      </c>
      <c r="AP19" s="700" t="str">
        <f t="shared" si="369"/>
        <v/>
      </c>
      <c r="AQ19" s="700" t="str">
        <f t="shared" si="369"/>
        <v/>
      </c>
      <c r="AR19" s="700" t="str">
        <f t="shared" si="369"/>
        <v/>
      </c>
      <c r="AS19" s="700" t="str">
        <f t="shared" si="369"/>
        <v/>
      </c>
      <c r="AT19" s="700" t="str">
        <f t="shared" si="369"/>
        <v/>
      </c>
      <c r="AU19" s="700" t="str">
        <f t="shared" si="369"/>
        <v/>
      </c>
      <c r="AV19" s="700" t="str">
        <f t="shared" si="369"/>
        <v/>
      </c>
      <c r="AW19" s="700" t="str">
        <f t="shared" si="369"/>
        <v/>
      </c>
      <c r="AX19" s="701" t="str">
        <f t="shared" si="369"/>
        <v/>
      </c>
      <c r="AY19" s="699" t="str">
        <f t="shared" si="369"/>
        <v/>
      </c>
      <c r="AZ19" s="700" t="str">
        <f t="shared" si="369"/>
        <v/>
      </c>
      <c r="BA19" s="700" t="str">
        <f t="shared" si="369"/>
        <v/>
      </c>
      <c r="BB19" s="700" t="str">
        <f t="shared" si="369"/>
        <v/>
      </c>
      <c r="BC19" s="700" t="str">
        <f t="shared" si="369"/>
        <v/>
      </c>
      <c r="BD19" s="700" t="str">
        <f t="shared" si="369"/>
        <v/>
      </c>
      <c r="BE19" s="700" t="str">
        <f t="shared" si="369"/>
        <v/>
      </c>
      <c r="BF19" s="700" t="str">
        <f t="shared" si="369"/>
        <v/>
      </c>
      <c r="BG19" s="700" t="str">
        <f t="shared" si="369"/>
        <v/>
      </c>
      <c r="BH19" s="700" t="str">
        <f t="shared" si="369"/>
        <v/>
      </c>
      <c r="BI19" s="700" t="str">
        <f t="shared" si="369"/>
        <v/>
      </c>
      <c r="BJ19" s="700" t="str">
        <f t="shared" si="369"/>
        <v/>
      </c>
      <c r="BK19" s="700" t="str">
        <f t="shared" si="369"/>
        <v/>
      </c>
      <c r="BL19" s="700" t="str">
        <f t="shared" si="369"/>
        <v/>
      </c>
      <c r="BM19" s="700" t="str">
        <f t="shared" si="369"/>
        <v/>
      </c>
      <c r="BN19" s="700" t="str">
        <f t="shared" si="369"/>
        <v/>
      </c>
      <c r="BO19" s="700" t="str">
        <f t="shared" si="369"/>
        <v/>
      </c>
      <c r="BP19" s="700" t="str">
        <f t="shared" si="369"/>
        <v/>
      </c>
      <c r="BQ19" s="700" t="str">
        <f t="shared" si="369"/>
        <v/>
      </c>
      <c r="BR19" s="701" t="str">
        <f t="shared" si="369"/>
        <v/>
      </c>
      <c r="BS19" s="699" t="str">
        <f t="shared" si="369"/>
        <v/>
      </c>
      <c r="BT19" s="700" t="str">
        <f t="shared" si="369"/>
        <v/>
      </c>
      <c r="BU19" s="700" t="str">
        <f t="shared" si="369"/>
        <v/>
      </c>
      <c r="BV19" s="700" t="str">
        <f t="shared" si="369"/>
        <v/>
      </c>
      <c r="BW19" s="700" t="str">
        <f t="shared" si="369"/>
        <v/>
      </c>
      <c r="BX19" s="700" t="str">
        <f t="shared" si="369"/>
        <v/>
      </c>
      <c r="BY19" s="700" t="str">
        <f t="shared" si="369"/>
        <v/>
      </c>
      <c r="BZ19" s="700" t="str">
        <f t="shared" si="369"/>
        <v/>
      </c>
      <c r="CA19" s="700" t="str">
        <f t="shared" si="369"/>
        <v/>
      </c>
      <c r="CB19" s="700" t="str">
        <f t="shared" si="369"/>
        <v/>
      </c>
      <c r="CC19" s="700" t="str">
        <f t="shared" si="369"/>
        <v/>
      </c>
      <c r="CD19" s="700" t="str">
        <f t="shared" si="369"/>
        <v/>
      </c>
      <c r="CE19" s="700" t="str">
        <f t="shared" si="369"/>
        <v/>
      </c>
      <c r="CF19" s="700" t="str">
        <f t="shared" si="369"/>
        <v/>
      </c>
      <c r="CG19" s="700" t="str">
        <f t="shared" si="369"/>
        <v/>
      </c>
      <c r="CH19" s="700" t="str">
        <f t="shared" si="369"/>
        <v/>
      </c>
      <c r="CI19" s="700" t="str">
        <f t="shared" si="369"/>
        <v/>
      </c>
      <c r="CJ19" s="700" t="str">
        <f t="shared" si="369"/>
        <v/>
      </c>
      <c r="CK19" s="700" t="str">
        <f t="shared" si="369"/>
        <v/>
      </c>
      <c r="CL19" s="701" t="str">
        <f t="shared" si="369"/>
        <v/>
      </c>
      <c r="CM19" s="699" t="str">
        <f t="shared" si="369"/>
        <v/>
      </c>
      <c r="CN19" s="700" t="str">
        <f t="shared" si="369"/>
        <v/>
      </c>
      <c r="CO19" s="700" t="str">
        <f t="shared" si="369"/>
        <v/>
      </c>
      <c r="CP19" s="700" t="str">
        <f t="shared" si="369"/>
        <v/>
      </c>
      <c r="CQ19" s="700" t="str">
        <f t="shared" ref="CQ19:FB19" si="370">IFERROR(AVERAGE(CQ8:CQ17),"")</f>
        <v/>
      </c>
      <c r="CR19" s="700" t="str">
        <f t="shared" si="370"/>
        <v/>
      </c>
      <c r="CS19" s="700" t="str">
        <f t="shared" si="370"/>
        <v/>
      </c>
      <c r="CT19" s="700" t="str">
        <f t="shared" si="370"/>
        <v/>
      </c>
      <c r="CU19" s="700" t="str">
        <f t="shared" si="370"/>
        <v/>
      </c>
      <c r="CV19" s="700" t="str">
        <f t="shared" si="370"/>
        <v/>
      </c>
      <c r="CW19" s="700" t="str">
        <f t="shared" si="370"/>
        <v/>
      </c>
      <c r="CX19" s="700" t="str">
        <f t="shared" si="370"/>
        <v/>
      </c>
      <c r="CY19" s="700" t="str">
        <f t="shared" si="370"/>
        <v/>
      </c>
      <c r="CZ19" s="700" t="str">
        <f t="shared" si="370"/>
        <v/>
      </c>
      <c r="DA19" s="700" t="str">
        <f t="shared" si="370"/>
        <v/>
      </c>
      <c r="DB19" s="700" t="str">
        <f t="shared" si="370"/>
        <v/>
      </c>
      <c r="DC19" s="700" t="str">
        <f t="shared" si="370"/>
        <v/>
      </c>
      <c r="DD19" s="700" t="str">
        <f t="shared" si="370"/>
        <v/>
      </c>
      <c r="DE19" s="700" t="str">
        <f t="shared" si="370"/>
        <v/>
      </c>
      <c r="DF19" s="701" t="str">
        <f t="shared" si="370"/>
        <v/>
      </c>
      <c r="DG19" s="699">
        <f t="shared" si="370"/>
        <v>0</v>
      </c>
      <c r="DH19" s="700" t="str">
        <f t="shared" si="370"/>
        <v/>
      </c>
      <c r="DI19" s="700" t="str">
        <f t="shared" si="370"/>
        <v/>
      </c>
      <c r="DJ19" s="700" t="str">
        <f t="shared" si="370"/>
        <v/>
      </c>
      <c r="DK19" s="700" t="str">
        <f t="shared" si="370"/>
        <v/>
      </c>
      <c r="DL19" s="700" t="str">
        <f t="shared" si="370"/>
        <v/>
      </c>
      <c r="DM19" s="700" t="str">
        <f t="shared" si="370"/>
        <v/>
      </c>
      <c r="DN19" s="700" t="str">
        <f t="shared" si="370"/>
        <v/>
      </c>
      <c r="DO19" s="700" t="str">
        <f t="shared" si="370"/>
        <v/>
      </c>
      <c r="DP19" s="700" t="str">
        <f t="shared" si="370"/>
        <v/>
      </c>
      <c r="DQ19" s="700" t="str">
        <f t="shared" si="370"/>
        <v/>
      </c>
      <c r="DR19" s="700" t="str">
        <f t="shared" si="370"/>
        <v/>
      </c>
      <c r="DS19" s="700" t="str">
        <f t="shared" si="370"/>
        <v/>
      </c>
      <c r="DT19" s="700" t="str">
        <f t="shared" si="370"/>
        <v/>
      </c>
      <c r="DU19" s="700" t="str">
        <f t="shared" si="370"/>
        <v/>
      </c>
      <c r="DV19" s="700" t="str">
        <f t="shared" si="370"/>
        <v/>
      </c>
      <c r="DW19" s="700" t="str">
        <f t="shared" si="370"/>
        <v/>
      </c>
      <c r="DX19" s="700" t="str">
        <f t="shared" si="370"/>
        <v/>
      </c>
      <c r="DY19" s="700" t="str">
        <f t="shared" si="370"/>
        <v/>
      </c>
      <c r="DZ19" s="701" t="str">
        <f t="shared" si="370"/>
        <v/>
      </c>
      <c r="EA19" s="699">
        <f t="shared" si="370"/>
        <v>0</v>
      </c>
      <c r="EB19" s="700" t="str">
        <f t="shared" si="370"/>
        <v/>
      </c>
      <c r="EC19" s="700" t="str">
        <f t="shared" si="370"/>
        <v/>
      </c>
      <c r="ED19" s="700" t="str">
        <f t="shared" si="370"/>
        <v/>
      </c>
      <c r="EE19" s="700" t="str">
        <f t="shared" si="370"/>
        <v/>
      </c>
      <c r="EF19" s="700" t="str">
        <f t="shared" si="370"/>
        <v/>
      </c>
      <c r="EG19" s="700" t="str">
        <f t="shared" si="370"/>
        <v/>
      </c>
      <c r="EH19" s="700" t="str">
        <f t="shared" si="370"/>
        <v/>
      </c>
      <c r="EI19" s="700" t="str">
        <f t="shared" si="370"/>
        <v/>
      </c>
      <c r="EJ19" s="700" t="str">
        <f t="shared" si="370"/>
        <v/>
      </c>
      <c r="EK19" s="700" t="str">
        <f t="shared" si="370"/>
        <v/>
      </c>
      <c r="EL19" s="700" t="str">
        <f t="shared" si="370"/>
        <v/>
      </c>
      <c r="EM19" s="700" t="str">
        <f t="shared" si="370"/>
        <v/>
      </c>
      <c r="EN19" s="700" t="str">
        <f t="shared" si="370"/>
        <v/>
      </c>
      <c r="EO19" s="700" t="str">
        <f t="shared" si="370"/>
        <v/>
      </c>
      <c r="EP19" s="700" t="str">
        <f t="shared" si="370"/>
        <v/>
      </c>
      <c r="EQ19" s="700" t="str">
        <f t="shared" si="370"/>
        <v/>
      </c>
      <c r="ER19" s="700" t="str">
        <f t="shared" si="370"/>
        <v/>
      </c>
      <c r="ES19" s="700" t="str">
        <f t="shared" si="370"/>
        <v/>
      </c>
      <c r="ET19" s="701" t="str">
        <f t="shared" si="370"/>
        <v/>
      </c>
      <c r="EU19" s="699">
        <f t="shared" si="370"/>
        <v>0</v>
      </c>
      <c r="EV19" s="700" t="str">
        <f t="shared" si="370"/>
        <v/>
      </c>
      <c r="EW19" s="700" t="str">
        <f t="shared" si="370"/>
        <v/>
      </c>
      <c r="EX19" s="700" t="str">
        <f t="shared" si="370"/>
        <v/>
      </c>
      <c r="EY19" s="700" t="str">
        <f t="shared" si="370"/>
        <v/>
      </c>
      <c r="EZ19" s="700" t="str">
        <f t="shared" si="370"/>
        <v/>
      </c>
      <c r="FA19" s="700" t="str">
        <f t="shared" si="370"/>
        <v/>
      </c>
      <c r="FB19" s="700" t="str">
        <f t="shared" si="370"/>
        <v/>
      </c>
      <c r="FC19" s="700" t="str">
        <f t="shared" ref="FC19:HN19" si="371">IFERROR(AVERAGE(FC8:FC17),"")</f>
        <v/>
      </c>
      <c r="FD19" s="700" t="str">
        <f t="shared" si="371"/>
        <v/>
      </c>
      <c r="FE19" s="700" t="str">
        <f t="shared" si="371"/>
        <v/>
      </c>
      <c r="FF19" s="700" t="str">
        <f t="shared" si="371"/>
        <v/>
      </c>
      <c r="FG19" s="700" t="str">
        <f t="shared" si="371"/>
        <v/>
      </c>
      <c r="FH19" s="700" t="str">
        <f t="shared" si="371"/>
        <v/>
      </c>
      <c r="FI19" s="700" t="str">
        <f t="shared" si="371"/>
        <v/>
      </c>
      <c r="FJ19" s="700" t="str">
        <f t="shared" si="371"/>
        <v/>
      </c>
      <c r="FK19" s="700" t="str">
        <f t="shared" si="371"/>
        <v/>
      </c>
      <c r="FL19" s="700" t="str">
        <f t="shared" si="371"/>
        <v/>
      </c>
      <c r="FM19" s="700" t="str">
        <f t="shared" si="371"/>
        <v/>
      </c>
      <c r="FN19" s="701" t="str">
        <f t="shared" si="371"/>
        <v/>
      </c>
      <c r="FO19" s="699" t="str">
        <f t="shared" si="371"/>
        <v/>
      </c>
      <c r="FP19" s="700" t="str">
        <f t="shared" si="371"/>
        <v/>
      </c>
      <c r="FQ19" s="700" t="str">
        <f t="shared" si="371"/>
        <v/>
      </c>
      <c r="FR19" s="700" t="str">
        <f t="shared" si="371"/>
        <v/>
      </c>
      <c r="FS19" s="700" t="str">
        <f t="shared" si="371"/>
        <v/>
      </c>
      <c r="FT19" s="700" t="str">
        <f t="shared" si="371"/>
        <v/>
      </c>
      <c r="FU19" s="700" t="str">
        <f t="shared" si="371"/>
        <v/>
      </c>
      <c r="FV19" s="700" t="str">
        <f t="shared" si="371"/>
        <v/>
      </c>
      <c r="FW19" s="700" t="str">
        <f t="shared" si="371"/>
        <v/>
      </c>
      <c r="FX19" s="700" t="str">
        <f t="shared" si="371"/>
        <v/>
      </c>
      <c r="FY19" s="700" t="str">
        <f t="shared" si="371"/>
        <v/>
      </c>
      <c r="FZ19" s="700" t="str">
        <f t="shared" si="371"/>
        <v/>
      </c>
      <c r="GA19" s="700" t="str">
        <f t="shared" si="371"/>
        <v/>
      </c>
      <c r="GB19" s="700" t="str">
        <f t="shared" si="371"/>
        <v/>
      </c>
      <c r="GC19" s="700" t="str">
        <f t="shared" si="371"/>
        <v/>
      </c>
      <c r="GD19" s="700" t="str">
        <f t="shared" si="371"/>
        <v/>
      </c>
      <c r="GE19" s="700" t="str">
        <f t="shared" si="371"/>
        <v/>
      </c>
      <c r="GF19" s="700" t="str">
        <f t="shared" si="371"/>
        <v/>
      </c>
      <c r="GG19" s="700" t="str">
        <f t="shared" si="371"/>
        <v/>
      </c>
      <c r="GH19" s="701" t="str">
        <f t="shared" si="371"/>
        <v/>
      </c>
      <c r="GI19" s="699">
        <f t="shared" si="371"/>
        <v>0</v>
      </c>
      <c r="GJ19" s="700" t="str">
        <f t="shared" si="371"/>
        <v/>
      </c>
      <c r="GK19" s="700" t="str">
        <f t="shared" si="371"/>
        <v/>
      </c>
      <c r="GL19" s="700" t="str">
        <f t="shared" si="371"/>
        <v/>
      </c>
      <c r="GM19" s="700" t="str">
        <f t="shared" si="371"/>
        <v/>
      </c>
      <c r="GN19" s="700" t="str">
        <f t="shared" si="371"/>
        <v/>
      </c>
      <c r="GO19" s="700" t="str">
        <f t="shared" si="371"/>
        <v/>
      </c>
      <c r="GP19" s="700" t="str">
        <f t="shared" si="371"/>
        <v/>
      </c>
      <c r="GQ19" s="700" t="str">
        <f t="shared" si="371"/>
        <v/>
      </c>
      <c r="GR19" s="700" t="str">
        <f t="shared" si="371"/>
        <v/>
      </c>
      <c r="GS19" s="700" t="str">
        <f t="shared" si="371"/>
        <v/>
      </c>
      <c r="GT19" s="700" t="str">
        <f t="shared" si="371"/>
        <v/>
      </c>
      <c r="GU19" s="700" t="str">
        <f t="shared" si="371"/>
        <v/>
      </c>
      <c r="GV19" s="700" t="str">
        <f t="shared" si="371"/>
        <v/>
      </c>
      <c r="GW19" s="700" t="str">
        <f t="shared" si="371"/>
        <v/>
      </c>
      <c r="GX19" s="700" t="str">
        <f t="shared" si="371"/>
        <v/>
      </c>
      <c r="GY19" s="700" t="str">
        <f t="shared" si="371"/>
        <v/>
      </c>
      <c r="GZ19" s="700" t="str">
        <f t="shared" si="371"/>
        <v/>
      </c>
      <c r="HA19" s="700" t="str">
        <f t="shared" si="371"/>
        <v/>
      </c>
      <c r="HB19" s="701" t="str">
        <f t="shared" si="371"/>
        <v/>
      </c>
      <c r="HC19" s="699">
        <f t="shared" si="371"/>
        <v>8.0520399466092019E-2</v>
      </c>
      <c r="HD19" s="700" t="str">
        <f t="shared" si="371"/>
        <v/>
      </c>
      <c r="HE19" s="700" t="str">
        <f t="shared" si="371"/>
        <v/>
      </c>
      <c r="HF19" s="700" t="str">
        <f t="shared" si="371"/>
        <v/>
      </c>
      <c r="HG19" s="700" t="str">
        <f t="shared" si="371"/>
        <v/>
      </c>
      <c r="HH19" s="700" t="str">
        <f t="shared" si="371"/>
        <v/>
      </c>
      <c r="HI19" s="700" t="str">
        <f t="shared" si="371"/>
        <v/>
      </c>
      <c r="HJ19" s="700" t="str">
        <f t="shared" si="371"/>
        <v/>
      </c>
      <c r="HK19" s="700" t="str">
        <f t="shared" si="371"/>
        <v/>
      </c>
      <c r="HL19" s="700" t="str">
        <f t="shared" si="371"/>
        <v/>
      </c>
      <c r="HM19" s="700" t="str">
        <f t="shared" si="371"/>
        <v/>
      </c>
      <c r="HN19" s="700" t="str">
        <f t="shared" si="371"/>
        <v/>
      </c>
      <c r="HO19" s="700" t="str">
        <f t="shared" ref="HO19:JZ19" si="372">IFERROR(AVERAGE(HO8:HO17),"")</f>
        <v/>
      </c>
      <c r="HP19" s="700" t="str">
        <f t="shared" si="372"/>
        <v/>
      </c>
      <c r="HQ19" s="700" t="str">
        <f t="shared" si="372"/>
        <v/>
      </c>
      <c r="HR19" s="700" t="str">
        <f t="shared" si="372"/>
        <v/>
      </c>
      <c r="HS19" s="700" t="str">
        <f t="shared" si="372"/>
        <v/>
      </c>
      <c r="HT19" s="700" t="str">
        <f t="shared" si="372"/>
        <v/>
      </c>
      <c r="HU19" s="700" t="str">
        <f t="shared" si="372"/>
        <v/>
      </c>
      <c r="HV19" s="701" t="str">
        <f t="shared" si="372"/>
        <v/>
      </c>
      <c r="HW19" s="699">
        <f t="shared" si="372"/>
        <v>4.711843375155108E-2</v>
      </c>
      <c r="HX19" s="700" t="str">
        <f t="shared" si="372"/>
        <v/>
      </c>
      <c r="HY19" s="700" t="str">
        <f t="shared" si="372"/>
        <v/>
      </c>
      <c r="HZ19" s="700" t="str">
        <f t="shared" si="372"/>
        <v/>
      </c>
      <c r="IA19" s="700" t="str">
        <f t="shared" si="372"/>
        <v/>
      </c>
      <c r="IB19" s="700" t="str">
        <f t="shared" si="372"/>
        <v/>
      </c>
      <c r="IC19" s="700" t="str">
        <f t="shared" si="372"/>
        <v/>
      </c>
      <c r="ID19" s="700" t="str">
        <f t="shared" si="372"/>
        <v/>
      </c>
      <c r="IE19" s="700" t="str">
        <f t="shared" si="372"/>
        <v/>
      </c>
      <c r="IF19" s="700" t="str">
        <f t="shared" si="372"/>
        <v/>
      </c>
      <c r="IG19" s="700" t="str">
        <f t="shared" si="372"/>
        <v/>
      </c>
      <c r="IH19" s="700" t="str">
        <f t="shared" si="372"/>
        <v/>
      </c>
      <c r="II19" s="700" t="str">
        <f t="shared" si="372"/>
        <v/>
      </c>
      <c r="IJ19" s="700" t="str">
        <f t="shared" si="372"/>
        <v/>
      </c>
      <c r="IK19" s="700" t="str">
        <f t="shared" si="372"/>
        <v/>
      </c>
      <c r="IL19" s="700" t="str">
        <f t="shared" si="372"/>
        <v/>
      </c>
      <c r="IM19" s="700" t="str">
        <f t="shared" si="372"/>
        <v/>
      </c>
      <c r="IN19" s="700" t="str">
        <f t="shared" si="372"/>
        <v/>
      </c>
      <c r="IO19" s="700" t="str">
        <f t="shared" si="372"/>
        <v/>
      </c>
      <c r="IP19" s="701" t="str">
        <f t="shared" si="372"/>
        <v/>
      </c>
      <c r="IQ19" s="357">
        <f t="shared" si="372"/>
        <v>3.4744624383902942</v>
      </c>
      <c r="IR19" s="358" t="str">
        <f t="shared" si="372"/>
        <v/>
      </c>
      <c r="IS19" s="358" t="str">
        <f t="shared" si="372"/>
        <v/>
      </c>
      <c r="IT19" s="358" t="str">
        <f t="shared" si="372"/>
        <v/>
      </c>
      <c r="IU19" s="358" t="str">
        <f t="shared" si="372"/>
        <v/>
      </c>
      <c r="IV19" s="358" t="str">
        <f t="shared" si="372"/>
        <v/>
      </c>
      <c r="IW19" s="358" t="str">
        <f t="shared" si="372"/>
        <v/>
      </c>
      <c r="IX19" s="358" t="str">
        <f t="shared" si="372"/>
        <v/>
      </c>
      <c r="IY19" s="358" t="str">
        <f t="shared" si="372"/>
        <v/>
      </c>
      <c r="IZ19" s="358" t="str">
        <f t="shared" si="372"/>
        <v/>
      </c>
      <c r="JA19" s="358" t="str">
        <f t="shared" si="372"/>
        <v/>
      </c>
      <c r="JB19" s="358" t="str">
        <f t="shared" si="372"/>
        <v/>
      </c>
      <c r="JC19" s="358" t="str">
        <f t="shared" si="372"/>
        <v/>
      </c>
      <c r="JD19" s="358" t="str">
        <f t="shared" si="372"/>
        <v/>
      </c>
      <c r="JE19" s="358" t="str">
        <f t="shared" si="372"/>
        <v/>
      </c>
      <c r="JF19" s="358" t="str">
        <f t="shared" si="372"/>
        <v/>
      </c>
      <c r="JG19" s="358" t="str">
        <f t="shared" si="372"/>
        <v/>
      </c>
      <c r="JH19" s="358" t="str">
        <f t="shared" si="372"/>
        <v/>
      </c>
      <c r="JI19" s="358" t="str">
        <f t="shared" si="372"/>
        <v/>
      </c>
      <c r="JJ19" s="359" t="str">
        <f t="shared" si="372"/>
        <v/>
      </c>
      <c r="JK19" s="699">
        <f t="shared" si="372"/>
        <v>0.2918767670290594</v>
      </c>
      <c r="JL19" s="700" t="str">
        <f t="shared" si="372"/>
        <v/>
      </c>
      <c r="JM19" s="700" t="str">
        <f t="shared" si="372"/>
        <v/>
      </c>
      <c r="JN19" s="700" t="str">
        <f t="shared" si="372"/>
        <v/>
      </c>
      <c r="JO19" s="700" t="str">
        <f t="shared" si="372"/>
        <v/>
      </c>
      <c r="JP19" s="700" t="str">
        <f t="shared" si="372"/>
        <v/>
      </c>
      <c r="JQ19" s="700" t="str">
        <f t="shared" si="372"/>
        <v/>
      </c>
      <c r="JR19" s="700" t="str">
        <f t="shared" si="372"/>
        <v/>
      </c>
      <c r="JS19" s="700" t="str">
        <f t="shared" si="372"/>
        <v/>
      </c>
      <c r="JT19" s="700" t="str">
        <f t="shared" si="372"/>
        <v/>
      </c>
      <c r="JU19" s="700" t="str">
        <f t="shared" si="372"/>
        <v/>
      </c>
      <c r="JV19" s="700" t="str">
        <f t="shared" si="372"/>
        <v/>
      </c>
      <c r="JW19" s="700" t="str">
        <f t="shared" si="372"/>
        <v/>
      </c>
      <c r="JX19" s="700" t="str">
        <f t="shared" si="372"/>
        <v/>
      </c>
      <c r="JY19" s="700" t="str">
        <f t="shared" si="372"/>
        <v/>
      </c>
      <c r="JZ19" s="700" t="str">
        <f t="shared" si="372"/>
        <v/>
      </c>
      <c r="KA19" s="700" t="str">
        <f t="shared" ref="KA19:ML19" si="373">IFERROR(AVERAGE(KA8:KA17),"")</f>
        <v/>
      </c>
      <c r="KB19" s="700" t="str">
        <f t="shared" si="373"/>
        <v/>
      </c>
      <c r="KC19" s="700" t="str">
        <f t="shared" si="373"/>
        <v/>
      </c>
      <c r="KD19" s="701" t="str">
        <f t="shared" si="373"/>
        <v/>
      </c>
      <c r="KE19" s="699">
        <f t="shared" si="373"/>
        <v>0.16938716825386085</v>
      </c>
      <c r="KF19" s="700" t="str">
        <f t="shared" si="373"/>
        <v/>
      </c>
      <c r="KG19" s="700" t="str">
        <f t="shared" si="373"/>
        <v/>
      </c>
      <c r="KH19" s="700" t="str">
        <f t="shared" si="373"/>
        <v/>
      </c>
      <c r="KI19" s="700" t="str">
        <f t="shared" si="373"/>
        <v/>
      </c>
      <c r="KJ19" s="700" t="str">
        <f t="shared" si="373"/>
        <v/>
      </c>
      <c r="KK19" s="700" t="str">
        <f t="shared" si="373"/>
        <v/>
      </c>
      <c r="KL19" s="700" t="str">
        <f t="shared" si="373"/>
        <v/>
      </c>
      <c r="KM19" s="700" t="str">
        <f t="shared" si="373"/>
        <v/>
      </c>
      <c r="KN19" s="700" t="str">
        <f t="shared" si="373"/>
        <v/>
      </c>
      <c r="KO19" s="700" t="str">
        <f t="shared" si="373"/>
        <v/>
      </c>
      <c r="KP19" s="700" t="str">
        <f t="shared" si="373"/>
        <v/>
      </c>
      <c r="KQ19" s="700" t="str">
        <f t="shared" si="373"/>
        <v/>
      </c>
      <c r="KR19" s="700" t="str">
        <f t="shared" si="373"/>
        <v/>
      </c>
      <c r="KS19" s="700" t="str">
        <f t="shared" si="373"/>
        <v/>
      </c>
      <c r="KT19" s="700" t="str">
        <f t="shared" si="373"/>
        <v/>
      </c>
      <c r="KU19" s="700" t="str">
        <f t="shared" si="373"/>
        <v/>
      </c>
      <c r="KV19" s="700" t="str">
        <f t="shared" si="373"/>
        <v/>
      </c>
      <c r="KW19" s="700" t="str">
        <f t="shared" si="373"/>
        <v/>
      </c>
      <c r="KX19" s="701" t="str">
        <f t="shared" si="373"/>
        <v/>
      </c>
      <c r="KY19" s="699">
        <f t="shared" si="373"/>
        <v>0.27141753397264007</v>
      </c>
      <c r="KZ19" s="700" t="str">
        <f t="shared" si="373"/>
        <v/>
      </c>
      <c r="LA19" s="700" t="str">
        <f t="shared" si="373"/>
        <v/>
      </c>
      <c r="LB19" s="700" t="str">
        <f t="shared" si="373"/>
        <v/>
      </c>
      <c r="LC19" s="700" t="str">
        <f t="shared" si="373"/>
        <v/>
      </c>
      <c r="LD19" s="700" t="str">
        <f t="shared" si="373"/>
        <v/>
      </c>
      <c r="LE19" s="700" t="str">
        <f t="shared" si="373"/>
        <v/>
      </c>
      <c r="LF19" s="700" t="str">
        <f t="shared" si="373"/>
        <v/>
      </c>
      <c r="LG19" s="700" t="str">
        <f t="shared" si="373"/>
        <v/>
      </c>
      <c r="LH19" s="700" t="str">
        <f t="shared" si="373"/>
        <v/>
      </c>
      <c r="LI19" s="700" t="str">
        <f t="shared" si="373"/>
        <v/>
      </c>
      <c r="LJ19" s="700" t="str">
        <f t="shared" si="373"/>
        <v/>
      </c>
      <c r="LK19" s="700" t="str">
        <f t="shared" si="373"/>
        <v/>
      </c>
      <c r="LL19" s="700" t="str">
        <f t="shared" si="373"/>
        <v/>
      </c>
      <c r="LM19" s="700" t="str">
        <f t="shared" si="373"/>
        <v/>
      </c>
      <c r="LN19" s="700" t="str">
        <f t="shared" si="373"/>
        <v/>
      </c>
      <c r="LO19" s="700" t="str">
        <f t="shared" si="373"/>
        <v/>
      </c>
      <c r="LP19" s="700" t="str">
        <f t="shared" si="373"/>
        <v/>
      </c>
      <c r="LQ19" s="700" t="str">
        <f t="shared" si="373"/>
        <v/>
      </c>
      <c r="LR19" s="701" t="str">
        <f t="shared" si="373"/>
        <v/>
      </c>
      <c r="LS19" s="699">
        <f t="shared" si="373"/>
        <v>0.24626221966647499</v>
      </c>
      <c r="LT19" s="700" t="str">
        <f t="shared" si="373"/>
        <v/>
      </c>
      <c r="LU19" s="700" t="str">
        <f t="shared" si="373"/>
        <v/>
      </c>
      <c r="LV19" s="700" t="str">
        <f t="shared" si="373"/>
        <v/>
      </c>
      <c r="LW19" s="700" t="str">
        <f t="shared" si="373"/>
        <v/>
      </c>
      <c r="LX19" s="700" t="str">
        <f t="shared" si="373"/>
        <v/>
      </c>
      <c r="LY19" s="700" t="str">
        <f t="shared" si="373"/>
        <v/>
      </c>
      <c r="LZ19" s="700" t="str">
        <f t="shared" si="373"/>
        <v/>
      </c>
      <c r="MA19" s="700" t="str">
        <f t="shared" si="373"/>
        <v/>
      </c>
      <c r="MB19" s="700" t="str">
        <f t="shared" si="373"/>
        <v/>
      </c>
      <c r="MC19" s="700" t="str">
        <f t="shared" si="373"/>
        <v/>
      </c>
      <c r="MD19" s="708" t="str">
        <f t="shared" si="373"/>
        <v/>
      </c>
      <c r="ME19" s="700" t="str">
        <f t="shared" si="373"/>
        <v/>
      </c>
      <c r="MF19" s="700" t="str">
        <f t="shared" si="373"/>
        <v/>
      </c>
      <c r="MG19" s="700" t="str">
        <f t="shared" si="373"/>
        <v/>
      </c>
      <c r="MH19" s="700" t="str">
        <f t="shared" si="373"/>
        <v/>
      </c>
      <c r="MI19" s="700" t="str">
        <f t="shared" si="373"/>
        <v/>
      </c>
      <c r="MJ19" s="700" t="str">
        <f t="shared" si="373"/>
        <v/>
      </c>
      <c r="MK19" s="700" t="str">
        <f t="shared" si="373"/>
        <v/>
      </c>
      <c r="ML19" s="701" t="str">
        <f t="shared" si="373"/>
        <v/>
      </c>
      <c r="MM19" s="699" t="str">
        <f t="shared" ref="MM19:OX19" si="374">IFERROR(AVERAGE(MM8:MM17),"")</f>
        <v/>
      </c>
      <c r="MN19" s="700" t="str">
        <f t="shared" si="374"/>
        <v/>
      </c>
      <c r="MO19" s="700" t="str">
        <f t="shared" si="374"/>
        <v/>
      </c>
      <c r="MP19" s="700" t="str">
        <f t="shared" si="374"/>
        <v/>
      </c>
      <c r="MQ19" s="700" t="str">
        <f t="shared" si="374"/>
        <v/>
      </c>
      <c r="MR19" s="700" t="str">
        <f t="shared" si="374"/>
        <v/>
      </c>
      <c r="MS19" s="700" t="str">
        <f t="shared" si="374"/>
        <v/>
      </c>
      <c r="MT19" s="700" t="str">
        <f t="shared" si="374"/>
        <v/>
      </c>
      <c r="MU19" s="700" t="str">
        <f t="shared" si="374"/>
        <v/>
      </c>
      <c r="MV19" s="700" t="str">
        <f t="shared" si="374"/>
        <v/>
      </c>
      <c r="MW19" s="700" t="str">
        <f t="shared" si="374"/>
        <v/>
      </c>
      <c r="MX19" s="700" t="str">
        <f t="shared" si="374"/>
        <v/>
      </c>
      <c r="MY19" s="700" t="str">
        <f t="shared" si="374"/>
        <v/>
      </c>
      <c r="MZ19" s="700" t="str">
        <f t="shared" si="374"/>
        <v/>
      </c>
      <c r="NA19" s="700" t="str">
        <f t="shared" si="374"/>
        <v/>
      </c>
      <c r="NB19" s="700" t="str">
        <f t="shared" si="374"/>
        <v/>
      </c>
      <c r="NC19" s="700" t="str">
        <f t="shared" si="374"/>
        <v/>
      </c>
      <c r="ND19" s="700" t="str">
        <f t="shared" si="374"/>
        <v/>
      </c>
      <c r="NE19" s="700" t="str">
        <f t="shared" si="374"/>
        <v/>
      </c>
      <c r="NF19" s="701" t="str">
        <f t="shared" si="374"/>
        <v/>
      </c>
      <c r="NG19" s="699" t="str">
        <f t="shared" si="374"/>
        <v/>
      </c>
      <c r="NH19" s="700" t="str">
        <f t="shared" si="374"/>
        <v/>
      </c>
      <c r="NI19" s="700" t="str">
        <f t="shared" si="374"/>
        <v/>
      </c>
      <c r="NJ19" s="700" t="str">
        <f t="shared" si="374"/>
        <v/>
      </c>
      <c r="NK19" s="700" t="str">
        <f t="shared" si="374"/>
        <v/>
      </c>
      <c r="NL19" s="700" t="str">
        <f t="shared" si="374"/>
        <v/>
      </c>
      <c r="NM19" s="700" t="str">
        <f t="shared" si="374"/>
        <v/>
      </c>
      <c r="NN19" s="700" t="str">
        <f t="shared" si="374"/>
        <v/>
      </c>
      <c r="NO19" s="700" t="str">
        <f t="shared" si="374"/>
        <v/>
      </c>
      <c r="NP19" s="700" t="str">
        <f t="shared" si="374"/>
        <v/>
      </c>
      <c r="NQ19" s="700" t="str">
        <f t="shared" si="374"/>
        <v/>
      </c>
      <c r="NR19" s="708" t="str">
        <f t="shared" si="374"/>
        <v/>
      </c>
      <c r="NS19" s="700" t="str">
        <f t="shared" si="374"/>
        <v/>
      </c>
      <c r="NT19" s="700" t="str">
        <f t="shared" si="374"/>
        <v/>
      </c>
      <c r="NU19" s="700" t="str">
        <f t="shared" si="374"/>
        <v/>
      </c>
      <c r="NV19" s="700" t="str">
        <f t="shared" si="374"/>
        <v/>
      </c>
      <c r="NW19" s="700" t="str">
        <f t="shared" si="374"/>
        <v/>
      </c>
      <c r="NX19" s="700" t="str">
        <f t="shared" si="374"/>
        <v/>
      </c>
      <c r="NY19" s="700" t="str">
        <f t="shared" si="374"/>
        <v/>
      </c>
      <c r="NZ19" s="701" t="str">
        <f t="shared" si="374"/>
        <v/>
      </c>
      <c r="OA19" s="699" t="str">
        <f t="shared" si="374"/>
        <v/>
      </c>
      <c r="OB19" s="700" t="str">
        <f t="shared" si="374"/>
        <v/>
      </c>
      <c r="OC19" s="700" t="str">
        <f t="shared" si="374"/>
        <v/>
      </c>
      <c r="OD19" s="700" t="str">
        <f t="shared" si="374"/>
        <v/>
      </c>
      <c r="OE19" s="700" t="str">
        <f t="shared" si="374"/>
        <v/>
      </c>
      <c r="OF19" s="700" t="str">
        <f t="shared" si="374"/>
        <v/>
      </c>
      <c r="OG19" s="700" t="str">
        <f t="shared" si="374"/>
        <v/>
      </c>
      <c r="OH19" s="700" t="str">
        <f t="shared" si="374"/>
        <v/>
      </c>
      <c r="OI19" s="700" t="str">
        <f t="shared" si="374"/>
        <v/>
      </c>
      <c r="OJ19" s="700" t="str">
        <f t="shared" si="374"/>
        <v/>
      </c>
      <c r="OK19" s="700" t="str">
        <f t="shared" si="374"/>
        <v/>
      </c>
      <c r="OL19" s="708" t="str">
        <f t="shared" si="374"/>
        <v/>
      </c>
      <c r="OM19" s="700" t="str">
        <f t="shared" si="374"/>
        <v/>
      </c>
      <c r="ON19" s="700" t="str">
        <f t="shared" si="374"/>
        <v/>
      </c>
      <c r="OO19" s="700" t="str">
        <f t="shared" si="374"/>
        <v/>
      </c>
      <c r="OP19" s="700" t="str">
        <f t="shared" si="374"/>
        <v/>
      </c>
      <c r="OQ19" s="700" t="str">
        <f t="shared" si="374"/>
        <v/>
      </c>
      <c r="OR19" s="700" t="str">
        <f t="shared" si="374"/>
        <v/>
      </c>
      <c r="OS19" s="700" t="str">
        <f t="shared" si="374"/>
        <v/>
      </c>
      <c r="OT19" s="701" t="str">
        <f t="shared" si="374"/>
        <v/>
      </c>
      <c r="OU19" s="699">
        <f t="shared" si="374"/>
        <v>0</v>
      </c>
      <c r="OV19" s="700" t="str">
        <f t="shared" si="374"/>
        <v/>
      </c>
      <c r="OW19" s="700" t="str">
        <f t="shared" si="374"/>
        <v/>
      </c>
      <c r="OX19" s="700" t="str">
        <f t="shared" si="374"/>
        <v/>
      </c>
      <c r="OY19" s="700" t="str">
        <f t="shared" ref="OY19:RJ19" si="375">IFERROR(AVERAGE(OY8:OY17),"")</f>
        <v/>
      </c>
      <c r="OZ19" s="700" t="str">
        <f t="shared" si="375"/>
        <v/>
      </c>
      <c r="PA19" s="700" t="str">
        <f t="shared" si="375"/>
        <v/>
      </c>
      <c r="PB19" s="700" t="str">
        <f t="shared" si="375"/>
        <v/>
      </c>
      <c r="PC19" s="700" t="str">
        <f t="shared" si="375"/>
        <v/>
      </c>
      <c r="PD19" s="700" t="str">
        <f t="shared" si="375"/>
        <v/>
      </c>
      <c r="PE19" s="700" t="str">
        <f t="shared" si="375"/>
        <v/>
      </c>
      <c r="PF19" s="708" t="str">
        <f t="shared" si="375"/>
        <v/>
      </c>
      <c r="PG19" s="700" t="str">
        <f t="shared" si="375"/>
        <v/>
      </c>
      <c r="PH19" s="700" t="str">
        <f t="shared" si="375"/>
        <v/>
      </c>
      <c r="PI19" s="700" t="str">
        <f t="shared" si="375"/>
        <v/>
      </c>
      <c r="PJ19" s="700" t="str">
        <f t="shared" si="375"/>
        <v/>
      </c>
      <c r="PK19" s="700" t="str">
        <f t="shared" si="375"/>
        <v/>
      </c>
      <c r="PL19" s="700" t="str">
        <f t="shared" si="375"/>
        <v/>
      </c>
      <c r="PM19" s="700" t="str">
        <f t="shared" si="375"/>
        <v/>
      </c>
      <c r="PN19" s="701" t="str">
        <f t="shared" si="375"/>
        <v/>
      </c>
      <c r="PO19" s="699">
        <f t="shared" si="375"/>
        <v>0.62307779377886319</v>
      </c>
      <c r="PP19" s="700" t="str">
        <f t="shared" si="375"/>
        <v/>
      </c>
      <c r="PQ19" s="700" t="str">
        <f t="shared" si="375"/>
        <v/>
      </c>
      <c r="PR19" s="700" t="str">
        <f t="shared" si="375"/>
        <v/>
      </c>
      <c r="PS19" s="700" t="str">
        <f t="shared" si="375"/>
        <v/>
      </c>
      <c r="PT19" s="700" t="str">
        <f t="shared" si="375"/>
        <v/>
      </c>
      <c r="PU19" s="700" t="str">
        <f t="shared" si="375"/>
        <v/>
      </c>
      <c r="PV19" s="700" t="str">
        <f t="shared" si="375"/>
        <v/>
      </c>
      <c r="PW19" s="700" t="str">
        <f t="shared" si="375"/>
        <v/>
      </c>
      <c r="PX19" s="700" t="str">
        <f t="shared" si="375"/>
        <v/>
      </c>
      <c r="PY19" s="700" t="str">
        <f t="shared" si="375"/>
        <v/>
      </c>
      <c r="PZ19" s="700" t="str">
        <f t="shared" si="375"/>
        <v/>
      </c>
      <c r="QA19" s="700" t="str">
        <f t="shared" si="375"/>
        <v/>
      </c>
      <c r="QB19" s="700" t="str">
        <f t="shared" si="375"/>
        <v/>
      </c>
      <c r="QC19" s="700" t="str">
        <f t="shared" si="375"/>
        <v/>
      </c>
      <c r="QD19" s="700" t="str">
        <f t="shared" si="375"/>
        <v/>
      </c>
      <c r="QE19" s="700" t="str">
        <f t="shared" si="375"/>
        <v/>
      </c>
      <c r="QF19" s="700" t="str">
        <f t="shared" si="375"/>
        <v/>
      </c>
      <c r="QG19" s="700" t="str">
        <f t="shared" si="375"/>
        <v/>
      </c>
      <c r="QH19" s="701" t="str">
        <f t="shared" si="375"/>
        <v/>
      </c>
      <c r="QI19" s="699" t="str">
        <f t="shared" si="375"/>
        <v/>
      </c>
      <c r="QJ19" s="700" t="str">
        <f t="shared" si="375"/>
        <v/>
      </c>
      <c r="QK19" s="700" t="str">
        <f t="shared" si="375"/>
        <v/>
      </c>
      <c r="QL19" s="700" t="str">
        <f t="shared" si="375"/>
        <v/>
      </c>
      <c r="QM19" s="700" t="str">
        <f t="shared" si="375"/>
        <v/>
      </c>
      <c r="QN19" s="700" t="str">
        <f t="shared" si="375"/>
        <v/>
      </c>
      <c r="QO19" s="700" t="str">
        <f t="shared" si="375"/>
        <v/>
      </c>
      <c r="QP19" s="700" t="str">
        <f t="shared" si="375"/>
        <v/>
      </c>
      <c r="QQ19" s="700" t="str">
        <f t="shared" si="375"/>
        <v/>
      </c>
      <c r="QR19" s="700" t="str">
        <f t="shared" si="375"/>
        <v/>
      </c>
      <c r="QS19" s="700" t="str">
        <f t="shared" si="375"/>
        <v/>
      </c>
      <c r="QT19" s="700" t="str">
        <f t="shared" si="375"/>
        <v/>
      </c>
      <c r="QU19" s="700" t="str">
        <f t="shared" si="375"/>
        <v/>
      </c>
      <c r="QV19" s="700" t="str">
        <f t="shared" si="375"/>
        <v/>
      </c>
      <c r="QW19" s="700" t="str">
        <f t="shared" si="375"/>
        <v/>
      </c>
      <c r="QX19" s="700" t="str">
        <f t="shared" si="375"/>
        <v/>
      </c>
      <c r="QY19" s="700" t="str">
        <f t="shared" si="375"/>
        <v/>
      </c>
      <c r="QZ19" s="700" t="str">
        <f t="shared" si="375"/>
        <v/>
      </c>
      <c r="RA19" s="700" t="str">
        <f t="shared" si="375"/>
        <v/>
      </c>
      <c r="RB19" s="701" t="str">
        <f t="shared" si="375"/>
        <v/>
      </c>
      <c r="RC19" s="624" t="str">
        <f t="shared" si="375"/>
        <v/>
      </c>
      <c r="RD19" s="625" t="str">
        <f t="shared" si="375"/>
        <v/>
      </c>
      <c r="RE19" s="625" t="str">
        <f t="shared" si="375"/>
        <v/>
      </c>
      <c r="RF19" s="625" t="str">
        <f t="shared" si="375"/>
        <v/>
      </c>
      <c r="RG19" s="625" t="str">
        <f t="shared" si="375"/>
        <v/>
      </c>
      <c r="RH19" s="625" t="str">
        <f t="shared" si="375"/>
        <v/>
      </c>
      <c r="RI19" s="625" t="str">
        <f t="shared" si="375"/>
        <v/>
      </c>
      <c r="RJ19" s="625" t="str">
        <f t="shared" si="375"/>
        <v/>
      </c>
      <c r="RK19" s="625" t="str">
        <f t="shared" ref="RK19:TV19" si="376">IFERROR(AVERAGE(RK8:RK17),"")</f>
        <v/>
      </c>
      <c r="RL19" s="625" t="str">
        <f t="shared" si="376"/>
        <v/>
      </c>
      <c r="RM19" s="625" t="str">
        <f t="shared" si="376"/>
        <v/>
      </c>
      <c r="RN19" s="625" t="str">
        <f t="shared" si="376"/>
        <v/>
      </c>
      <c r="RO19" s="625" t="str">
        <f t="shared" si="376"/>
        <v/>
      </c>
      <c r="RP19" s="625" t="str">
        <f t="shared" si="376"/>
        <v/>
      </c>
      <c r="RQ19" s="625" t="str">
        <f t="shared" si="376"/>
        <v/>
      </c>
      <c r="RR19" s="625" t="str">
        <f t="shared" si="376"/>
        <v/>
      </c>
      <c r="RS19" s="625" t="str">
        <f t="shared" si="376"/>
        <v/>
      </c>
      <c r="RT19" s="625" t="str">
        <f t="shared" si="376"/>
        <v/>
      </c>
      <c r="RU19" s="625" t="str">
        <f t="shared" si="376"/>
        <v/>
      </c>
      <c r="RV19" s="626" t="str">
        <f t="shared" si="376"/>
        <v/>
      </c>
      <c r="RW19" s="699" t="str">
        <f t="shared" si="376"/>
        <v/>
      </c>
      <c r="RX19" s="700" t="str">
        <f t="shared" si="376"/>
        <v/>
      </c>
      <c r="RY19" s="700" t="str">
        <f t="shared" si="376"/>
        <v/>
      </c>
      <c r="RZ19" s="700" t="str">
        <f t="shared" si="376"/>
        <v/>
      </c>
      <c r="SA19" s="700" t="str">
        <f t="shared" si="376"/>
        <v/>
      </c>
      <c r="SB19" s="700" t="str">
        <f t="shared" si="376"/>
        <v/>
      </c>
      <c r="SC19" s="700" t="str">
        <f t="shared" si="376"/>
        <v/>
      </c>
      <c r="SD19" s="700" t="str">
        <f t="shared" si="376"/>
        <v/>
      </c>
      <c r="SE19" s="700" t="str">
        <f t="shared" si="376"/>
        <v/>
      </c>
      <c r="SF19" s="700" t="str">
        <f t="shared" si="376"/>
        <v/>
      </c>
      <c r="SG19" s="700" t="str">
        <f t="shared" si="376"/>
        <v/>
      </c>
      <c r="SH19" s="700" t="str">
        <f t="shared" si="376"/>
        <v/>
      </c>
      <c r="SI19" s="700" t="str">
        <f t="shared" si="376"/>
        <v/>
      </c>
      <c r="SJ19" s="700" t="str">
        <f t="shared" si="376"/>
        <v/>
      </c>
      <c r="SK19" s="700" t="str">
        <f t="shared" si="376"/>
        <v/>
      </c>
      <c r="SL19" s="700" t="str">
        <f t="shared" si="376"/>
        <v/>
      </c>
      <c r="SM19" s="700" t="str">
        <f t="shared" si="376"/>
        <v/>
      </c>
      <c r="SN19" s="700" t="str">
        <f t="shared" si="376"/>
        <v/>
      </c>
      <c r="SO19" s="700" t="str">
        <f t="shared" si="376"/>
        <v/>
      </c>
      <c r="SP19" s="701" t="str">
        <f t="shared" si="376"/>
        <v/>
      </c>
      <c r="SQ19" s="699">
        <f t="shared" si="376"/>
        <v>0</v>
      </c>
      <c r="SR19" s="700" t="str">
        <f t="shared" si="376"/>
        <v/>
      </c>
      <c r="SS19" s="700" t="str">
        <f t="shared" si="376"/>
        <v/>
      </c>
      <c r="ST19" s="700" t="str">
        <f t="shared" si="376"/>
        <v/>
      </c>
      <c r="SU19" s="700" t="str">
        <f t="shared" si="376"/>
        <v/>
      </c>
      <c r="SV19" s="700" t="str">
        <f t="shared" si="376"/>
        <v/>
      </c>
      <c r="SW19" s="700" t="str">
        <f t="shared" si="376"/>
        <v/>
      </c>
      <c r="SX19" s="700" t="str">
        <f t="shared" si="376"/>
        <v/>
      </c>
      <c r="SY19" s="700" t="str">
        <f t="shared" si="376"/>
        <v/>
      </c>
      <c r="SZ19" s="700" t="str">
        <f t="shared" si="376"/>
        <v/>
      </c>
      <c r="TA19" s="700" t="str">
        <f t="shared" si="376"/>
        <v/>
      </c>
      <c r="TB19" s="700" t="str">
        <f t="shared" si="376"/>
        <v/>
      </c>
      <c r="TC19" s="700" t="str">
        <f t="shared" si="376"/>
        <v/>
      </c>
      <c r="TD19" s="700" t="str">
        <f t="shared" si="376"/>
        <v/>
      </c>
      <c r="TE19" s="700" t="str">
        <f t="shared" si="376"/>
        <v/>
      </c>
      <c r="TF19" s="700" t="str">
        <f t="shared" si="376"/>
        <v/>
      </c>
      <c r="TG19" s="700" t="str">
        <f t="shared" si="376"/>
        <v/>
      </c>
      <c r="TH19" s="700" t="str">
        <f t="shared" si="376"/>
        <v/>
      </c>
      <c r="TI19" s="700" t="str">
        <f t="shared" si="376"/>
        <v/>
      </c>
      <c r="TJ19" s="701" t="str">
        <f t="shared" si="376"/>
        <v/>
      </c>
      <c r="TK19" s="699" t="str">
        <f t="shared" si="376"/>
        <v/>
      </c>
      <c r="TL19" s="700" t="str">
        <f t="shared" si="376"/>
        <v/>
      </c>
      <c r="TM19" s="700" t="str">
        <f t="shared" si="376"/>
        <v/>
      </c>
      <c r="TN19" s="700" t="str">
        <f t="shared" si="376"/>
        <v/>
      </c>
      <c r="TO19" s="700" t="str">
        <f t="shared" si="376"/>
        <v/>
      </c>
      <c r="TP19" s="700" t="str">
        <f t="shared" si="376"/>
        <v/>
      </c>
      <c r="TQ19" s="700" t="str">
        <f t="shared" si="376"/>
        <v/>
      </c>
      <c r="TR19" s="700" t="str">
        <f t="shared" si="376"/>
        <v/>
      </c>
      <c r="TS19" s="700" t="str">
        <f t="shared" si="376"/>
        <v/>
      </c>
      <c r="TT19" s="700" t="str">
        <f t="shared" si="376"/>
        <v/>
      </c>
      <c r="TU19" s="700" t="str">
        <f t="shared" si="376"/>
        <v/>
      </c>
      <c r="TV19" s="700" t="str">
        <f t="shared" si="376"/>
        <v/>
      </c>
      <c r="TW19" s="700" t="str">
        <f t="shared" ref="TW19:UX19" si="377">IFERROR(AVERAGE(TW8:TW17),"")</f>
        <v/>
      </c>
      <c r="TX19" s="700" t="str">
        <f t="shared" si="377"/>
        <v/>
      </c>
      <c r="TY19" s="700" t="str">
        <f t="shared" si="377"/>
        <v/>
      </c>
      <c r="TZ19" s="700" t="str">
        <f t="shared" si="377"/>
        <v/>
      </c>
      <c r="UA19" s="700" t="str">
        <f t="shared" si="377"/>
        <v/>
      </c>
      <c r="UB19" s="700" t="str">
        <f t="shared" si="377"/>
        <v/>
      </c>
      <c r="UC19" s="700" t="str">
        <f t="shared" si="377"/>
        <v/>
      </c>
      <c r="UD19" s="701" t="str">
        <f t="shared" si="377"/>
        <v/>
      </c>
      <c r="UE19" s="699">
        <f t="shared" si="377"/>
        <v>0</v>
      </c>
      <c r="UF19" s="700" t="str">
        <f t="shared" si="377"/>
        <v/>
      </c>
      <c r="UG19" s="700" t="str">
        <f t="shared" si="377"/>
        <v/>
      </c>
      <c r="UH19" s="700" t="str">
        <f t="shared" si="377"/>
        <v/>
      </c>
      <c r="UI19" s="700" t="str">
        <f t="shared" si="377"/>
        <v/>
      </c>
      <c r="UJ19" s="700" t="str">
        <f t="shared" si="377"/>
        <v/>
      </c>
      <c r="UK19" s="700" t="str">
        <f t="shared" si="377"/>
        <v/>
      </c>
      <c r="UL19" s="700" t="str">
        <f t="shared" si="377"/>
        <v/>
      </c>
      <c r="UM19" s="700" t="str">
        <f t="shared" si="377"/>
        <v/>
      </c>
      <c r="UN19" s="700" t="str">
        <f t="shared" si="377"/>
        <v/>
      </c>
      <c r="UO19" s="700" t="str">
        <f t="shared" si="377"/>
        <v/>
      </c>
      <c r="UP19" s="700" t="str">
        <f t="shared" si="377"/>
        <v/>
      </c>
      <c r="UQ19" s="700" t="str">
        <f t="shared" si="377"/>
        <v/>
      </c>
      <c r="UR19" s="700" t="str">
        <f t="shared" si="377"/>
        <v/>
      </c>
      <c r="US19" s="700" t="str">
        <f t="shared" si="377"/>
        <v/>
      </c>
      <c r="UT19" s="700" t="str">
        <f t="shared" si="377"/>
        <v/>
      </c>
      <c r="UU19" s="700" t="str">
        <f t="shared" si="377"/>
        <v/>
      </c>
      <c r="UV19" s="700" t="str">
        <f t="shared" si="377"/>
        <v/>
      </c>
      <c r="UW19" s="700" t="str">
        <f t="shared" si="377"/>
        <v/>
      </c>
      <c r="UX19" s="701" t="str">
        <f t="shared" si="377"/>
        <v/>
      </c>
    </row>
    <row r="20" spans="1:16344" x14ac:dyDescent="0.2">
      <c r="A20" s="99" t="s">
        <v>78</v>
      </c>
      <c r="B20" s="100"/>
      <c r="C20" s="100"/>
      <c r="D20" s="100"/>
      <c r="E20" s="101"/>
      <c r="F20" s="101"/>
      <c r="G20" s="102">
        <f t="shared" ref="G20:W20" si="378">IFERROR(MAX(G8:G17),"")</f>
        <v>0.6114511751458106</v>
      </c>
      <c r="H20" s="102">
        <f t="shared" si="378"/>
        <v>0.176866</v>
      </c>
      <c r="I20" s="102">
        <f t="shared" si="378"/>
        <v>0</v>
      </c>
      <c r="J20" s="102">
        <f t="shared" si="378"/>
        <v>3.5382149092137244E-2</v>
      </c>
      <c r="K20" s="102">
        <f t="shared" si="378"/>
        <v>2.6225000000000002E-2</v>
      </c>
      <c r="L20" s="102">
        <f>IFERROR(MAX(L8:L17),"")</f>
        <v>9.344384555408658E-2</v>
      </c>
      <c r="M20" s="102">
        <f>IFERROR(MAX(M8:M17),"")</f>
        <v>9.2056706797802534E-2</v>
      </c>
      <c r="N20" s="102">
        <f>IFERROR(MAX(N8:N17),"")</f>
        <v>0.3053870655033929</v>
      </c>
      <c r="O20" s="102">
        <f>IFERROR(MAX(O8:O17),"")</f>
        <v>0</v>
      </c>
      <c r="P20" s="102">
        <f>IFERROR(MAX(P8:P17),"")</f>
        <v>0</v>
      </c>
      <c r="Q20" s="102">
        <f t="shared" si="378"/>
        <v>0</v>
      </c>
      <c r="R20" s="102">
        <f t="shared" ref="R20" si="379">IFERROR(MAX(R8:R17),"")</f>
        <v>0</v>
      </c>
      <c r="S20" s="102">
        <f t="shared" si="378"/>
        <v>0</v>
      </c>
      <c r="T20" s="102">
        <f>IFERROR(MAX(T8:T17),"")</f>
        <v>0</v>
      </c>
      <c r="U20" s="102">
        <f t="shared" ref="U20" si="380">IFERROR(MAX(U8:U17),"")</f>
        <v>0</v>
      </c>
      <c r="V20" s="102">
        <f>IFERROR(MAX(V8:V17),"")</f>
        <v>0</v>
      </c>
      <c r="W20" s="102">
        <f t="shared" si="378"/>
        <v>0</v>
      </c>
      <c r="X20" s="102">
        <f t="shared" ref="X20:AC20" si="381">IFERROR(MAX(X8:X17),"")</f>
        <v>0</v>
      </c>
      <c r="Y20" s="102">
        <f t="shared" si="381"/>
        <v>0</v>
      </c>
      <c r="Z20" s="993">
        <f t="shared" si="381"/>
        <v>3.2484292924091052</v>
      </c>
      <c r="AA20" s="102">
        <f t="shared" si="381"/>
        <v>0.34184033454370233</v>
      </c>
      <c r="AB20" s="102">
        <f t="shared" si="381"/>
        <v>0</v>
      </c>
      <c r="AC20" s="1024">
        <f t="shared" si="381"/>
        <v>6.7716200000000004</v>
      </c>
      <c r="AD20" s="104"/>
      <c r="AE20" s="699">
        <f t="shared" ref="AE20:CP20" si="382">IFERROR(MAX(AE8:AE17),"")</f>
        <v>0</v>
      </c>
      <c r="AF20" s="700">
        <f t="shared" si="382"/>
        <v>0</v>
      </c>
      <c r="AG20" s="700">
        <f t="shared" si="382"/>
        <v>0</v>
      </c>
      <c r="AH20" s="700">
        <f t="shared" si="382"/>
        <v>0</v>
      </c>
      <c r="AI20" s="700">
        <f t="shared" si="382"/>
        <v>0</v>
      </c>
      <c r="AJ20" s="700">
        <f t="shared" si="382"/>
        <v>0</v>
      </c>
      <c r="AK20" s="700">
        <f t="shared" si="382"/>
        <v>0</v>
      </c>
      <c r="AL20" s="700">
        <f t="shared" si="382"/>
        <v>0</v>
      </c>
      <c r="AM20" s="700">
        <f t="shared" si="382"/>
        <v>0</v>
      </c>
      <c r="AN20" s="700">
        <f t="shared" si="382"/>
        <v>0</v>
      </c>
      <c r="AO20" s="700">
        <f t="shared" si="382"/>
        <v>0</v>
      </c>
      <c r="AP20" s="700">
        <f t="shared" si="382"/>
        <v>0</v>
      </c>
      <c r="AQ20" s="700">
        <f t="shared" si="382"/>
        <v>0</v>
      </c>
      <c r="AR20" s="700">
        <f t="shared" si="382"/>
        <v>0</v>
      </c>
      <c r="AS20" s="700">
        <f t="shared" si="382"/>
        <v>0</v>
      </c>
      <c r="AT20" s="700">
        <f t="shared" si="382"/>
        <v>0</v>
      </c>
      <c r="AU20" s="700">
        <f t="shared" si="382"/>
        <v>0</v>
      </c>
      <c r="AV20" s="700">
        <f t="shared" si="382"/>
        <v>0</v>
      </c>
      <c r="AW20" s="700">
        <f t="shared" si="382"/>
        <v>0</v>
      </c>
      <c r="AX20" s="701">
        <f t="shared" si="382"/>
        <v>0</v>
      </c>
      <c r="AY20" s="699">
        <f t="shared" si="382"/>
        <v>0</v>
      </c>
      <c r="AZ20" s="700">
        <f t="shared" si="382"/>
        <v>0</v>
      </c>
      <c r="BA20" s="700">
        <f t="shared" si="382"/>
        <v>0</v>
      </c>
      <c r="BB20" s="700">
        <f t="shared" si="382"/>
        <v>0</v>
      </c>
      <c r="BC20" s="700">
        <f t="shared" si="382"/>
        <v>0</v>
      </c>
      <c r="BD20" s="700">
        <f t="shared" si="382"/>
        <v>0</v>
      </c>
      <c r="BE20" s="700">
        <f t="shared" si="382"/>
        <v>0</v>
      </c>
      <c r="BF20" s="700">
        <f t="shared" si="382"/>
        <v>0</v>
      </c>
      <c r="BG20" s="700">
        <f t="shared" si="382"/>
        <v>0</v>
      </c>
      <c r="BH20" s="700">
        <f t="shared" si="382"/>
        <v>0</v>
      </c>
      <c r="BI20" s="700">
        <f t="shared" si="382"/>
        <v>0</v>
      </c>
      <c r="BJ20" s="700">
        <f t="shared" si="382"/>
        <v>0</v>
      </c>
      <c r="BK20" s="700">
        <f t="shared" si="382"/>
        <v>0</v>
      </c>
      <c r="BL20" s="700">
        <f t="shared" si="382"/>
        <v>0</v>
      </c>
      <c r="BM20" s="700">
        <f t="shared" si="382"/>
        <v>0</v>
      </c>
      <c r="BN20" s="700">
        <f t="shared" si="382"/>
        <v>0</v>
      </c>
      <c r="BO20" s="700">
        <f t="shared" si="382"/>
        <v>0</v>
      </c>
      <c r="BP20" s="700">
        <f t="shared" si="382"/>
        <v>0</v>
      </c>
      <c r="BQ20" s="700">
        <f t="shared" si="382"/>
        <v>0</v>
      </c>
      <c r="BR20" s="701">
        <f t="shared" si="382"/>
        <v>0</v>
      </c>
      <c r="BS20" s="699">
        <f t="shared" si="382"/>
        <v>0</v>
      </c>
      <c r="BT20" s="700">
        <f t="shared" si="382"/>
        <v>0</v>
      </c>
      <c r="BU20" s="700">
        <f t="shared" si="382"/>
        <v>0</v>
      </c>
      <c r="BV20" s="700">
        <f t="shared" si="382"/>
        <v>0</v>
      </c>
      <c r="BW20" s="700">
        <f t="shared" si="382"/>
        <v>0</v>
      </c>
      <c r="BX20" s="700">
        <f t="shared" si="382"/>
        <v>0</v>
      </c>
      <c r="BY20" s="700">
        <f t="shared" si="382"/>
        <v>0</v>
      </c>
      <c r="BZ20" s="700">
        <f t="shared" si="382"/>
        <v>0</v>
      </c>
      <c r="CA20" s="700">
        <f t="shared" si="382"/>
        <v>0</v>
      </c>
      <c r="CB20" s="700">
        <f t="shared" si="382"/>
        <v>0</v>
      </c>
      <c r="CC20" s="700">
        <f t="shared" si="382"/>
        <v>0</v>
      </c>
      <c r="CD20" s="700">
        <f t="shared" si="382"/>
        <v>0</v>
      </c>
      <c r="CE20" s="700">
        <f t="shared" si="382"/>
        <v>0</v>
      </c>
      <c r="CF20" s="700">
        <f t="shared" si="382"/>
        <v>0</v>
      </c>
      <c r="CG20" s="700">
        <f t="shared" si="382"/>
        <v>0</v>
      </c>
      <c r="CH20" s="700">
        <f t="shared" si="382"/>
        <v>0</v>
      </c>
      <c r="CI20" s="700">
        <f t="shared" si="382"/>
        <v>0</v>
      </c>
      <c r="CJ20" s="700">
        <f t="shared" si="382"/>
        <v>0</v>
      </c>
      <c r="CK20" s="700">
        <f t="shared" si="382"/>
        <v>0</v>
      </c>
      <c r="CL20" s="701">
        <f t="shared" si="382"/>
        <v>0</v>
      </c>
      <c r="CM20" s="699">
        <f t="shared" si="382"/>
        <v>0</v>
      </c>
      <c r="CN20" s="700">
        <f t="shared" si="382"/>
        <v>0</v>
      </c>
      <c r="CO20" s="700">
        <f t="shared" si="382"/>
        <v>0</v>
      </c>
      <c r="CP20" s="700">
        <f t="shared" si="382"/>
        <v>0</v>
      </c>
      <c r="CQ20" s="700">
        <f t="shared" ref="CQ20:FB20" si="383">IFERROR(MAX(CQ8:CQ17),"")</f>
        <v>0</v>
      </c>
      <c r="CR20" s="700">
        <f t="shared" si="383"/>
        <v>0</v>
      </c>
      <c r="CS20" s="700">
        <f t="shared" si="383"/>
        <v>0</v>
      </c>
      <c r="CT20" s="700">
        <f t="shared" si="383"/>
        <v>0</v>
      </c>
      <c r="CU20" s="700">
        <f t="shared" si="383"/>
        <v>0</v>
      </c>
      <c r="CV20" s="700">
        <f t="shared" si="383"/>
        <v>0</v>
      </c>
      <c r="CW20" s="700">
        <f t="shared" si="383"/>
        <v>0</v>
      </c>
      <c r="CX20" s="700">
        <f t="shared" si="383"/>
        <v>0</v>
      </c>
      <c r="CY20" s="700">
        <f t="shared" si="383"/>
        <v>0</v>
      </c>
      <c r="CZ20" s="700">
        <f t="shared" si="383"/>
        <v>0</v>
      </c>
      <c r="DA20" s="700">
        <f t="shared" si="383"/>
        <v>0</v>
      </c>
      <c r="DB20" s="700">
        <f t="shared" si="383"/>
        <v>0</v>
      </c>
      <c r="DC20" s="700">
        <f t="shared" si="383"/>
        <v>0</v>
      </c>
      <c r="DD20" s="700">
        <f t="shared" si="383"/>
        <v>0</v>
      </c>
      <c r="DE20" s="700">
        <f t="shared" si="383"/>
        <v>0</v>
      </c>
      <c r="DF20" s="701">
        <f t="shared" si="383"/>
        <v>0</v>
      </c>
      <c r="DG20" s="699">
        <f t="shared" si="383"/>
        <v>0</v>
      </c>
      <c r="DH20" s="700">
        <f t="shared" si="383"/>
        <v>0</v>
      </c>
      <c r="DI20" s="700">
        <f t="shared" si="383"/>
        <v>0</v>
      </c>
      <c r="DJ20" s="700">
        <f t="shared" si="383"/>
        <v>0</v>
      </c>
      <c r="DK20" s="700">
        <f t="shared" si="383"/>
        <v>0</v>
      </c>
      <c r="DL20" s="700">
        <f t="shared" si="383"/>
        <v>0</v>
      </c>
      <c r="DM20" s="700">
        <f t="shared" si="383"/>
        <v>0</v>
      </c>
      <c r="DN20" s="700">
        <f t="shared" si="383"/>
        <v>0</v>
      </c>
      <c r="DO20" s="700">
        <f t="shared" si="383"/>
        <v>0</v>
      </c>
      <c r="DP20" s="700">
        <f t="shared" si="383"/>
        <v>0</v>
      </c>
      <c r="DQ20" s="700">
        <f t="shared" si="383"/>
        <v>0</v>
      </c>
      <c r="DR20" s="700">
        <f t="shared" si="383"/>
        <v>0</v>
      </c>
      <c r="DS20" s="700">
        <f t="shared" si="383"/>
        <v>0</v>
      </c>
      <c r="DT20" s="700">
        <f t="shared" si="383"/>
        <v>0</v>
      </c>
      <c r="DU20" s="700">
        <f t="shared" si="383"/>
        <v>0</v>
      </c>
      <c r="DV20" s="700">
        <f t="shared" si="383"/>
        <v>0</v>
      </c>
      <c r="DW20" s="700">
        <f t="shared" si="383"/>
        <v>0</v>
      </c>
      <c r="DX20" s="700">
        <f t="shared" si="383"/>
        <v>0</v>
      </c>
      <c r="DY20" s="700">
        <f t="shared" si="383"/>
        <v>0</v>
      </c>
      <c r="DZ20" s="701">
        <f t="shared" si="383"/>
        <v>0</v>
      </c>
      <c r="EA20" s="699">
        <f t="shared" si="383"/>
        <v>0</v>
      </c>
      <c r="EB20" s="700">
        <f t="shared" si="383"/>
        <v>0</v>
      </c>
      <c r="EC20" s="700">
        <f t="shared" si="383"/>
        <v>0</v>
      </c>
      <c r="ED20" s="700">
        <f t="shared" si="383"/>
        <v>0</v>
      </c>
      <c r="EE20" s="700">
        <f t="shared" si="383"/>
        <v>0</v>
      </c>
      <c r="EF20" s="700">
        <f t="shared" si="383"/>
        <v>0</v>
      </c>
      <c r="EG20" s="700">
        <f t="shared" si="383"/>
        <v>0</v>
      </c>
      <c r="EH20" s="700">
        <f t="shared" si="383"/>
        <v>0</v>
      </c>
      <c r="EI20" s="700">
        <f t="shared" si="383"/>
        <v>0</v>
      </c>
      <c r="EJ20" s="700">
        <f t="shared" si="383"/>
        <v>0</v>
      </c>
      <c r="EK20" s="700">
        <f t="shared" si="383"/>
        <v>0</v>
      </c>
      <c r="EL20" s="700">
        <f t="shared" si="383"/>
        <v>0</v>
      </c>
      <c r="EM20" s="700">
        <f t="shared" si="383"/>
        <v>0</v>
      </c>
      <c r="EN20" s="700">
        <f t="shared" si="383"/>
        <v>0</v>
      </c>
      <c r="EO20" s="700">
        <f t="shared" si="383"/>
        <v>0</v>
      </c>
      <c r="EP20" s="700">
        <f t="shared" si="383"/>
        <v>0</v>
      </c>
      <c r="EQ20" s="700">
        <f t="shared" si="383"/>
        <v>0</v>
      </c>
      <c r="ER20" s="700">
        <f t="shared" si="383"/>
        <v>0</v>
      </c>
      <c r="ES20" s="700">
        <f t="shared" si="383"/>
        <v>0</v>
      </c>
      <c r="ET20" s="701">
        <f t="shared" si="383"/>
        <v>0</v>
      </c>
      <c r="EU20" s="699">
        <f t="shared" si="383"/>
        <v>0</v>
      </c>
      <c r="EV20" s="700">
        <f t="shared" si="383"/>
        <v>0</v>
      </c>
      <c r="EW20" s="700">
        <f t="shared" si="383"/>
        <v>0</v>
      </c>
      <c r="EX20" s="700">
        <f t="shared" si="383"/>
        <v>0</v>
      </c>
      <c r="EY20" s="700">
        <f t="shared" si="383"/>
        <v>0</v>
      </c>
      <c r="EZ20" s="700">
        <f t="shared" si="383"/>
        <v>0</v>
      </c>
      <c r="FA20" s="700">
        <f t="shared" si="383"/>
        <v>0</v>
      </c>
      <c r="FB20" s="700">
        <f t="shared" si="383"/>
        <v>0</v>
      </c>
      <c r="FC20" s="700">
        <f t="shared" ref="FC20:HN20" si="384">IFERROR(MAX(FC8:FC17),"")</f>
        <v>0</v>
      </c>
      <c r="FD20" s="700">
        <f t="shared" si="384"/>
        <v>0</v>
      </c>
      <c r="FE20" s="700">
        <f t="shared" si="384"/>
        <v>0</v>
      </c>
      <c r="FF20" s="700">
        <f t="shared" si="384"/>
        <v>0</v>
      </c>
      <c r="FG20" s="700">
        <f t="shared" si="384"/>
        <v>0</v>
      </c>
      <c r="FH20" s="700">
        <f t="shared" si="384"/>
        <v>0</v>
      </c>
      <c r="FI20" s="700">
        <f t="shared" si="384"/>
        <v>0</v>
      </c>
      <c r="FJ20" s="700">
        <f t="shared" si="384"/>
        <v>0</v>
      </c>
      <c r="FK20" s="700">
        <f t="shared" si="384"/>
        <v>0</v>
      </c>
      <c r="FL20" s="700">
        <f t="shared" si="384"/>
        <v>0</v>
      </c>
      <c r="FM20" s="700">
        <f t="shared" si="384"/>
        <v>0</v>
      </c>
      <c r="FN20" s="701">
        <f t="shared" si="384"/>
        <v>0</v>
      </c>
      <c r="FO20" s="699">
        <f t="shared" si="384"/>
        <v>0</v>
      </c>
      <c r="FP20" s="700">
        <f t="shared" si="384"/>
        <v>0</v>
      </c>
      <c r="FQ20" s="700">
        <f t="shared" si="384"/>
        <v>0</v>
      </c>
      <c r="FR20" s="700">
        <f t="shared" si="384"/>
        <v>0</v>
      </c>
      <c r="FS20" s="700">
        <f t="shared" si="384"/>
        <v>0</v>
      </c>
      <c r="FT20" s="700">
        <f t="shared" si="384"/>
        <v>0</v>
      </c>
      <c r="FU20" s="700">
        <f t="shared" si="384"/>
        <v>0</v>
      </c>
      <c r="FV20" s="700">
        <f t="shared" si="384"/>
        <v>0</v>
      </c>
      <c r="FW20" s="700">
        <f t="shared" si="384"/>
        <v>0</v>
      </c>
      <c r="FX20" s="700">
        <f t="shared" si="384"/>
        <v>0</v>
      </c>
      <c r="FY20" s="700">
        <f t="shared" si="384"/>
        <v>0</v>
      </c>
      <c r="FZ20" s="700">
        <f t="shared" si="384"/>
        <v>0</v>
      </c>
      <c r="GA20" s="700">
        <f t="shared" si="384"/>
        <v>0</v>
      </c>
      <c r="GB20" s="700">
        <f t="shared" si="384"/>
        <v>0</v>
      </c>
      <c r="GC20" s="700">
        <f t="shared" si="384"/>
        <v>0</v>
      </c>
      <c r="GD20" s="700">
        <f t="shared" si="384"/>
        <v>0</v>
      </c>
      <c r="GE20" s="700">
        <f t="shared" si="384"/>
        <v>0</v>
      </c>
      <c r="GF20" s="700">
        <f t="shared" si="384"/>
        <v>0</v>
      </c>
      <c r="GG20" s="700">
        <f t="shared" si="384"/>
        <v>0</v>
      </c>
      <c r="GH20" s="701">
        <f t="shared" si="384"/>
        <v>0</v>
      </c>
      <c r="GI20" s="699">
        <f t="shared" si="384"/>
        <v>0</v>
      </c>
      <c r="GJ20" s="700">
        <f t="shared" si="384"/>
        <v>0</v>
      </c>
      <c r="GK20" s="700">
        <f t="shared" si="384"/>
        <v>0</v>
      </c>
      <c r="GL20" s="700">
        <f t="shared" si="384"/>
        <v>0</v>
      </c>
      <c r="GM20" s="700">
        <f t="shared" si="384"/>
        <v>0</v>
      </c>
      <c r="GN20" s="700">
        <f t="shared" si="384"/>
        <v>0</v>
      </c>
      <c r="GO20" s="700">
        <f t="shared" si="384"/>
        <v>0</v>
      </c>
      <c r="GP20" s="700">
        <f t="shared" si="384"/>
        <v>0</v>
      </c>
      <c r="GQ20" s="700">
        <f t="shared" si="384"/>
        <v>0</v>
      </c>
      <c r="GR20" s="700">
        <f t="shared" si="384"/>
        <v>0</v>
      </c>
      <c r="GS20" s="700">
        <f t="shared" si="384"/>
        <v>0</v>
      </c>
      <c r="GT20" s="700">
        <f t="shared" si="384"/>
        <v>0</v>
      </c>
      <c r="GU20" s="700">
        <f t="shared" si="384"/>
        <v>0</v>
      </c>
      <c r="GV20" s="700">
        <f t="shared" si="384"/>
        <v>0</v>
      </c>
      <c r="GW20" s="700">
        <f t="shared" si="384"/>
        <v>0</v>
      </c>
      <c r="GX20" s="700">
        <f t="shared" si="384"/>
        <v>0</v>
      </c>
      <c r="GY20" s="700">
        <f t="shared" si="384"/>
        <v>0</v>
      </c>
      <c r="GZ20" s="700">
        <f t="shared" si="384"/>
        <v>0</v>
      </c>
      <c r="HA20" s="700">
        <f t="shared" si="384"/>
        <v>0</v>
      </c>
      <c r="HB20" s="701">
        <f t="shared" si="384"/>
        <v>0</v>
      </c>
      <c r="HC20" s="699">
        <f t="shared" si="384"/>
        <v>8.0520399466092019E-2</v>
      </c>
      <c r="HD20" s="700">
        <f t="shared" si="384"/>
        <v>0</v>
      </c>
      <c r="HE20" s="700">
        <f t="shared" si="384"/>
        <v>0</v>
      </c>
      <c r="HF20" s="700">
        <f t="shared" si="384"/>
        <v>0</v>
      </c>
      <c r="HG20" s="700">
        <f t="shared" si="384"/>
        <v>0</v>
      </c>
      <c r="HH20" s="700">
        <f t="shared" si="384"/>
        <v>0</v>
      </c>
      <c r="HI20" s="700">
        <f t="shared" si="384"/>
        <v>0</v>
      </c>
      <c r="HJ20" s="700">
        <f t="shared" si="384"/>
        <v>0</v>
      </c>
      <c r="HK20" s="700">
        <f t="shared" si="384"/>
        <v>0</v>
      </c>
      <c r="HL20" s="700">
        <f t="shared" si="384"/>
        <v>0</v>
      </c>
      <c r="HM20" s="700">
        <f t="shared" si="384"/>
        <v>0</v>
      </c>
      <c r="HN20" s="700">
        <f t="shared" si="384"/>
        <v>0</v>
      </c>
      <c r="HO20" s="700">
        <f t="shared" ref="HO20:JZ20" si="385">IFERROR(MAX(HO8:HO17),"")</f>
        <v>0</v>
      </c>
      <c r="HP20" s="700">
        <f t="shared" si="385"/>
        <v>0</v>
      </c>
      <c r="HQ20" s="700">
        <f t="shared" si="385"/>
        <v>0</v>
      </c>
      <c r="HR20" s="700">
        <f t="shared" si="385"/>
        <v>0</v>
      </c>
      <c r="HS20" s="700">
        <f t="shared" si="385"/>
        <v>0</v>
      </c>
      <c r="HT20" s="700">
        <f t="shared" si="385"/>
        <v>0</v>
      </c>
      <c r="HU20" s="700">
        <f t="shared" si="385"/>
        <v>0</v>
      </c>
      <c r="HV20" s="701">
        <f t="shared" si="385"/>
        <v>0</v>
      </c>
      <c r="HW20" s="699">
        <f t="shared" si="385"/>
        <v>4.711843375155108E-2</v>
      </c>
      <c r="HX20" s="700">
        <f t="shared" si="385"/>
        <v>0</v>
      </c>
      <c r="HY20" s="700">
        <f t="shared" si="385"/>
        <v>0</v>
      </c>
      <c r="HZ20" s="700">
        <f t="shared" si="385"/>
        <v>0</v>
      </c>
      <c r="IA20" s="700">
        <f t="shared" si="385"/>
        <v>0</v>
      </c>
      <c r="IB20" s="700">
        <f t="shared" si="385"/>
        <v>0</v>
      </c>
      <c r="IC20" s="700">
        <f t="shared" si="385"/>
        <v>0</v>
      </c>
      <c r="ID20" s="700">
        <f t="shared" si="385"/>
        <v>0</v>
      </c>
      <c r="IE20" s="700">
        <f t="shared" si="385"/>
        <v>0</v>
      </c>
      <c r="IF20" s="700">
        <f t="shared" si="385"/>
        <v>0</v>
      </c>
      <c r="IG20" s="700">
        <f t="shared" si="385"/>
        <v>0</v>
      </c>
      <c r="IH20" s="700">
        <f t="shared" si="385"/>
        <v>0</v>
      </c>
      <c r="II20" s="700">
        <f t="shared" si="385"/>
        <v>0</v>
      </c>
      <c r="IJ20" s="700">
        <f t="shared" si="385"/>
        <v>0</v>
      </c>
      <c r="IK20" s="700">
        <f t="shared" si="385"/>
        <v>0</v>
      </c>
      <c r="IL20" s="700">
        <f t="shared" si="385"/>
        <v>0</v>
      </c>
      <c r="IM20" s="700">
        <f t="shared" si="385"/>
        <v>0</v>
      </c>
      <c r="IN20" s="700">
        <f t="shared" si="385"/>
        <v>0</v>
      </c>
      <c r="IO20" s="700">
        <f t="shared" si="385"/>
        <v>0</v>
      </c>
      <c r="IP20" s="701">
        <f t="shared" si="385"/>
        <v>0</v>
      </c>
      <c r="IQ20" s="357">
        <f t="shared" si="385"/>
        <v>3.4744624383902942</v>
      </c>
      <c r="IR20" s="358">
        <f t="shared" si="385"/>
        <v>0</v>
      </c>
      <c r="IS20" s="358">
        <f t="shared" si="385"/>
        <v>0</v>
      </c>
      <c r="IT20" s="358">
        <f t="shared" si="385"/>
        <v>0</v>
      </c>
      <c r="IU20" s="358">
        <f t="shared" si="385"/>
        <v>0</v>
      </c>
      <c r="IV20" s="358">
        <f t="shared" si="385"/>
        <v>0</v>
      </c>
      <c r="IW20" s="358">
        <f t="shared" si="385"/>
        <v>0</v>
      </c>
      <c r="IX20" s="358">
        <f t="shared" si="385"/>
        <v>0</v>
      </c>
      <c r="IY20" s="358">
        <f t="shared" si="385"/>
        <v>0</v>
      </c>
      <c r="IZ20" s="358">
        <f t="shared" si="385"/>
        <v>0</v>
      </c>
      <c r="JA20" s="358">
        <f t="shared" si="385"/>
        <v>0</v>
      </c>
      <c r="JB20" s="358">
        <f t="shared" si="385"/>
        <v>0</v>
      </c>
      <c r="JC20" s="358">
        <f t="shared" si="385"/>
        <v>0</v>
      </c>
      <c r="JD20" s="358">
        <f t="shared" si="385"/>
        <v>0</v>
      </c>
      <c r="JE20" s="358">
        <f t="shared" si="385"/>
        <v>0</v>
      </c>
      <c r="JF20" s="358">
        <f t="shared" si="385"/>
        <v>0</v>
      </c>
      <c r="JG20" s="358">
        <f t="shared" si="385"/>
        <v>0</v>
      </c>
      <c r="JH20" s="358">
        <f t="shared" si="385"/>
        <v>0</v>
      </c>
      <c r="JI20" s="358">
        <f t="shared" si="385"/>
        <v>0</v>
      </c>
      <c r="JJ20" s="359">
        <f t="shared" si="385"/>
        <v>0</v>
      </c>
      <c r="JK20" s="699">
        <f t="shared" si="385"/>
        <v>0.2918767670290594</v>
      </c>
      <c r="JL20" s="700">
        <f t="shared" si="385"/>
        <v>0</v>
      </c>
      <c r="JM20" s="700">
        <f t="shared" si="385"/>
        <v>0</v>
      </c>
      <c r="JN20" s="700">
        <f t="shared" si="385"/>
        <v>0</v>
      </c>
      <c r="JO20" s="700">
        <f t="shared" si="385"/>
        <v>0</v>
      </c>
      <c r="JP20" s="700">
        <f t="shared" si="385"/>
        <v>0</v>
      </c>
      <c r="JQ20" s="700">
        <f t="shared" si="385"/>
        <v>0</v>
      </c>
      <c r="JR20" s="700">
        <f t="shared" si="385"/>
        <v>0</v>
      </c>
      <c r="JS20" s="700">
        <f t="shared" si="385"/>
        <v>0</v>
      </c>
      <c r="JT20" s="700">
        <f t="shared" si="385"/>
        <v>0</v>
      </c>
      <c r="JU20" s="700">
        <f t="shared" si="385"/>
        <v>0</v>
      </c>
      <c r="JV20" s="700">
        <f t="shared" si="385"/>
        <v>0</v>
      </c>
      <c r="JW20" s="700">
        <f t="shared" si="385"/>
        <v>0</v>
      </c>
      <c r="JX20" s="700">
        <f t="shared" si="385"/>
        <v>0</v>
      </c>
      <c r="JY20" s="700">
        <f t="shared" si="385"/>
        <v>0</v>
      </c>
      <c r="JZ20" s="700">
        <f t="shared" si="385"/>
        <v>0</v>
      </c>
      <c r="KA20" s="700">
        <f t="shared" ref="KA20:ML20" si="386">IFERROR(MAX(KA8:KA17),"")</f>
        <v>0</v>
      </c>
      <c r="KB20" s="700">
        <f t="shared" si="386"/>
        <v>0</v>
      </c>
      <c r="KC20" s="700">
        <f t="shared" si="386"/>
        <v>0</v>
      </c>
      <c r="KD20" s="701">
        <f t="shared" si="386"/>
        <v>0</v>
      </c>
      <c r="KE20" s="699">
        <f t="shared" si="386"/>
        <v>0.16938716825386085</v>
      </c>
      <c r="KF20" s="700">
        <f t="shared" si="386"/>
        <v>0</v>
      </c>
      <c r="KG20" s="700">
        <f t="shared" si="386"/>
        <v>0</v>
      </c>
      <c r="KH20" s="700">
        <f t="shared" si="386"/>
        <v>0</v>
      </c>
      <c r="KI20" s="700">
        <f t="shared" si="386"/>
        <v>0</v>
      </c>
      <c r="KJ20" s="700">
        <f t="shared" si="386"/>
        <v>0</v>
      </c>
      <c r="KK20" s="700">
        <f t="shared" si="386"/>
        <v>0</v>
      </c>
      <c r="KL20" s="700">
        <f t="shared" si="386"/>
        <v>0</v>
      </c>
      <c r="KM20" s="700">
        <f t="shared" si="386"/>
        <v>0</v>
      </c>
      <c r="KN20" s="700">
        <f t="shared" si="386"/>
        <v>0</v>
      </c>
      <c r="KO20" s="700">
        <f t="shared" si="386"/>
        <v>0</v>
      </c>
      <c r="KP20" s="700">
        <f t="shared" si="386"/>
        <v>0</v>
      </c>
      <c r="KQ20" s="700">
        <f t="shared" si="386"/>
        <v>0</v>
      </c>
      <c r="KR20" s="700">
        <f t="shared" si="386"/>
        <v>0</v>
      </c>
      <c r="KS20" s="700">
        <f t="shared" si="386"/>
        <v>0</v>
      </c>
      <c r="KT20" s="700">
        <f t="shared" si="386"/>
        <v>0</v>
      </c>
      <c r="KU20" s="700">
        <f t="shared" si="386"/>
        <v>0</v>
      </c>
      <c r="KV20" s="700">
        <f t="shared" si="386"/>
        <v>0</v>
      </c>
      <c r="KW20" s="700">
        <f t="shared" si="386"/>
        <v>0</v>
      </c>
      <c r="KX20" s="701">
        <f t="shared" si="386"/>
        <v>0</v>
      </c>
      <c r="KY20" s="699">
        <f t="shared" si="386"/>
        <v>0.27141753397264007</v>
      </c>
      <c r="KZ20" s="700">
        <f t="shared" si="386"/>
        <v>0</v>
      </c>
      <c r="LA20" s="700">
        <f t="shared" si="386"/>
        <v>0</v>
      </c>
      <c r="LB20" s="700">
        <f t="shared" si="386"/>
        <v>0</v>
      </c>
      <c r="LC20" s="700">
        <f t="shared" si="386"/>
        <v>0</v>
      </c>
      <c r="LD20" s="700">
        <f t="shared" si="386"/>
        <v>0</v>
      </c>
      <c r="LE20" s="700">
        <f t="shared" si="386"/>
        <v>0</v>
      </c>
      <c r="LF20" s="700">
        <f t="shared" si="386"/>
        <v>0</v>
      </c>
      <c r="LG20" s="700">
        <f t="shared" si="386"/>
        <v>0</v>
      </c>
      <c r="LH20" s="700">
        <f t="shared" si="386"/>
        <v>0</v>
      </c>
      <c r="LI20" s="700">
        <f t="shared" si="386"/>
        <v>0</v>
      </c>
      <c r="LJ20" s="700">
        <f t="shared" si="386"/>
        <v>0</v>
      </c>
      <c r="LK20" s="700">
        <f t="shared" si="386"/>
        <v>0</v>
      </c>
      <c r="LL20" s="700">
        <f t="shared" si="386"/>
        <v>0</v>
      </c>
      <c r="LM20" s="700">
        <f t="shared" si="386"/>
        <v>0</v>
      </c>
      <c r="LN20" s="700">
        <f t="shared" si="386"/>
        <v>0</v>
      </c>
      <c r="LO20" s="700">
        <f t="shared" si="386"/>
        <v>0</v>
      </c>
      <c r="LP20" s="700">
        <f t="shared" si="386"/>
        <v>0</v>
      </c>
      <c r="LQ20" s="700">
        <f t="shared" si="386"/>
        <v>0</v>
      </c>
      <c r="LR20" s="701">
        <f t="shared" si="386"/>
        <v>0</v>
      </c>
      <c r="LS20" s="699">
        <f t="shared" si="386"/>
        <v>0.24626221966647499</v>
      </c>
      <c r="LT20" s="700">
        <f t="shared" si="386"/>
        <v>0</v>
      </c>
      <c r="LU20" s="700">
        <f t="shared" si="386"/>
        <v>0</v>
      </c>
      <c r="LV20" s="700">
        <f t="shared" si="386"/>
        <v>0</v>
      </c>
      <c r="LW20" s="700">
        <f t="shared" si="386"/>
        <v>0</v>
      </c>
      <c r="LX20" s="700">
        <f t="shared" si="386"/>
        <v>0</v>
      </c>
      <c r="LY20" s="700">
        <f t="shared" si="386"/>
        <v>0</v>
      </c>
      <c r="LZ20" s="700">
        <f t="shared" si="386"/>
        <v>0</v>
      </c>
      <c r="MA20" s="700">
        <f t="shared" si="386"/>
        <v>0</v>
      </c>
      <c r="MB20" s="700">
        <f t="shared" si="386"/>
        <v>0</v>
      </c>
      <c r="MC20" s="700">
        <f t="shared" si="386"/>
        <v>0</v>
      </c>
      <c r="MD20" s="708">
        <f t="shared" si="386"/>
        <v>0</v>
      </c>
      <c r="ME20" s="700">
        <f t="shared" si="386"/>
        <v>0</v>
      </c>
      <c r="MF20" s="700">
        <f t="shared" si="386"/>
        <v>0</v>
      </c>
      <c r="MG20" s="700">
        <f t="shared" si="386"/>
        <v>0</v>
      </c>
      <c r="MH20" s="700">
        <f t="shared" si="386"/>
        <v>0</v>
      </c>
      <c r="MI20" s="700">
        <f t="shared" si="386"/>
        <v>0</v>
      </c>
      <c r="MJ20" s="700">
        <f t="shared" si="386"/>
        <v>0</v>
      </c>
      <c r="MK20" s="700">
        <f t="shared" si="386"/>
        <v>0</v>
      </c>
      <c r="ML20" s="701">
        <f t="shared" si="386"/>
        <v>0</v>
      </c>
      <c r="MM20" s="699">
        <f t="shared" ref="MM20:OX20" si="387">IFERROR(MAX(MM8:MM17),"")</f>
        <v>0</v>
      </c>
      <c r="MN20" s="700">
        <f t="shared" si="387"/>
        <v>0</v>
      </c>
      <c r="MO20" s="700">
        <f t="shared" si="387"/>
        <v>0</v>
      </c>
      <c r="MP20" s="700">
        <f t="shared" si="387"/>
        <v>0</v>
      </c>
      <c r="MQ20" s="700">
        <f t="shared" si="387"/>
        <v>0</v>
      </c>
      <c r="MR20" s="700">
        <f t="shared" si="387"/>
        <v>0</v>
      </c>
      <c r="MS20" s="700">
        <f t="shared" si="387"/>
        <v>0</v>
      </c>
      <c r="MT20" s="700">
        <f t="shared" si="387"/>
        <v>0</v>
      </c>
      <c r="MU20" s="700">
        <f t="shared" si="387"/>
        <v>0</v>
      </c>
      <c r="MV20" s="700">
        <f t="shared" si="387"/>
        <v>0</v>
      </c>
      <c r="MW20" s="700">
        <f t="shared" si="387"/>
        <v>0</v>
      </c>
      <c r="MX20" s="700">
        <f t="shared" si="387"/>
        <v>0</v>
      </c>
      <c r="MY20" s="700">
        <f t="shared" si="387"/>
        <v>0</v>
      </c>
      <c r="MZ20" s="700">
        <f t="shared" si="387"/>
        <v>0</v>
      </c>
      <c r="NA20" s="700">
        <f t="shared" si="387"/>
        <v>0</v>
      </c>
      <c r="NB20" s="700">
        <f t="shared" si="387"/>
        <v>0</v>
      </c>
      <c r="NC20" s="700">
        <f t="shared" si="387"/>
        <v>0</v>
      </c>
      <c r="ND20" s="700">
        <f t="shared" si="387"/>
        <v>0</v>
      </c>
      <c r="NE20" s="700">
        <f t="shared" si="387"/>
        <v>0</v>
      </c>
      <c r="NF20" s="701">
        <f t="shared" si="387"/>
        <v>0</v>
      </c>
      <c r="NG20" s="699">
        <f t="shared" si="387"/>
        <v>0</v>
      </c>
      <c r="NH20" s="700">
        <f t="shared" si="387"/>
        <v>0</v>
      </c>
      <c r="NI20" s="700">
        <f t="shared" si="387"/>
        <v>0</v>
      </c>
      <c r="NJ20" s="700">
        <f t="shared" si="387"/>
        <v>0</v>
      </c>
      <c r="NK20" s="700">
        <f t="shared" si="387"/>
        <v>0</v>
      </c>
      <c r="NL20" s="700">
        <f t="shared" si="387"/>
        <v>0</v>
      </c>
      <c r="NM20" s="700">
        <f t="shared" si="387"/>
        <v>0</v>
      </c>
      <c r="NN20" s="700">
        <f t="shared" si="387"/>
        <v>0</v>
      </c>
      <c r="NO20" s="700">
        <f t="shared" si="387"/>
        <v>0</v>
      </c>
      <c r="NP20" s="700">
        <f t="shared" si="387"/>
        <v>0</v>
      </c>
      <c r="NQ20" s="700">
        <f t="shared" si="387"/>
        <v>0</v>
      </c>
      <c r="NR20" s="708">
        <f t="shared" si="387"/>
        <v>0</v>
      </c>
      <c r="NS20" s="700">
        <f t="shared" si="387"/>
        <v>0</v>
      </c>
      <c r="NT20" s="700">
        <f t="shared" si="387"/>
        <v>0</v>
      </c>
      <c r="NU20" s="700">
        <f t="shared" si="387"/>
        <v>0</v>
      </c>
      <c r="NV20" s="700">
        <f t="shared" si="387"/>
        <v>0</v>
      </c>
      <c r="NW20" s="700">
        <f t="shared" si="387"/>
        <v>0</v>
      </c>
      <c r="NX20" s="700">
        <f t="shared" si="387"/>
        <v>0</v>
      </c>
      <c r="NY20" s="700">
        <f t="shared" si="387"/>
        <v>0</v>
      </c>
      <c r="NZ20" s="701">
        <f t="shared" si="387"/>
        <v>0</v>
      </c>
      <c r="OA20" s="699">
        <f t="shared" si="387"/>
        <v>0</v>
      </c>
      <c r="OB20" s="700">
        <f t="shared" si="387"/>
        <v>0</v>
      </c>
      <c r="OC20" s="700">
        <f t="shared" si="387"/>
        <v>0</v>
      </c>
      <c r="OD20" s="700">
        <f t="shared" si="387"/>
        <v>0</v>
      </c>
      <c r="OE20" s="700">
        <f t="shared" si="387"/>
        <v>0</v>
      </c>
      <c r="OF20" s="700">
        <f t="shared" si="387"/>
        <v>0</v>
      </c>
      <c r="OG20" s="700">
        <f t="shared" si="387"/>
        <v>0</v>
      </c>
      <c r="OH20" s="700">
        <f t="shared" si="387"/>
        <v>0</v>
      </c>
      <c r="OI20" s="700">
        <f t="shared" si="387"/>
        <v>0</v>
      </c>
      <c r="OJ20" s="700">
        <f t="shared" si="387"/>
        <v>0</v>
      </c>
      <c r="OK20" s="700">
        <f t="shared" si="387"/>
        <v>0</v>
      </c>
      <c r="OL20" s="708">
        <f t="shared" si="387"/>
        <v>0</v>
      </c>
      <c r="OM20" s="700">
        <f t="shared" si="387"/>
        <v>0</v>
      </c>
      <c r="ON20" s="700">
        <f t="shared" si="387"/>
        <v>0</v>
      </c>
      <c r="OO20" s="700">
        <f t="shared" si="387"/>
        <v>0</v>
      </c>
      <c r="OP20" s="700">
        <f t="shared" si="387"/>
        <v>0</v>
      </c>
      <c r="OQ20" s="700">
        <f t="shared" si="387"/>
        <v>0</v>
      </c>
      <c r="OR20" s="700">
        <f t="shared" si="387"/>
        <v>0</v>
      </c>
      <c r="OS20" s="700">
        <f t="shared" si="387"/>
        <v>0</v>
      </c>
      <c r="OT20" s="701">
        <f t="shared" si="387"/>
        <v>0</v>
      </c>
      <c r="OU20" s="699">
        <f t="shared" si="387"/>
        <v>0</v>
      </c>
      <c r="OV20" s="700">
        <f t="shared" si="387"/>
        <v>0</v>
      </c>
      <c r="OW20" s="700">
        <f t="shared" si="387"/>
        <v>0</v>
      </c>
      <c r="OX20" s="700">
        <f t="shared" si="387"/>
        <v>0</v>
      </c>
      <c r="OY20" s="700">
        <f t="shared" ref="OY20:RJ20" si="388">IFERROR(MAX(OY8:OY17),"")</f>
        <v>0</v>
      </c>
      <c r="OZ20" s="700">
        <f t="shared" si="388"/>
        <v>0</v>
      </c>
      <c r="PA20" s="700">
        <f t="shared" si="388"/>
        <v>0</v>
      </c>
      <c r="PB20" s="700">
        <f t="shared" si="388"/>
        <v>0</v>
      </c>
      <c r="PC20" s="700">
        <f t="shared" si="388"/>
        <v>0</v>
      </c>
      <c r="PD20" s="700">
        <f t="shared" si="388"/>
        <v>0</v>
      </c>
      <c r="PE20" s="700">
        <f t="shared" si="388"/>
        <v>0</v>
      </c>
      <c r="PF20" s="708">
        <f t="shared" si="388"/>
        <v>0</v>
      </c>
      <c r="PG20" s="700">
        <f t="shared" si="388"/>
        <v>0</v>
      </c>
      <c r="PH20" s="700">
        <f t="shared" si="388"/>
        <v>0</v>
      </c>
      <c r="PI20" s="700">
        <f t="shared" si="388"/>
        <v>0</v>
      </c>
      <c r="PJ20" s="700">
        <f t="shared" si="388"/>
        <v>0</v>
      </c>
      <c r="PK20" s="700">
        <f t="shared" si="388"/>
        <v>0</v>
      </c>
      <c r="PL20" s="700">
        <f t="shared" si="388"/>
        <v>0</v>
      </c>
      <c r="PM20" s="700">
        <f t="shared" si="388"/>
        <v>0</v>
      </c>
      <c r="PN20" s="701">
        <f t="shared" si="388"/>
        <v>0</v>
      </c>
      <c r="PO20" s="699">
        <f t="shared" si="388"/>
        <v>0.62307779377886319</v>
      </c>
      <c r="PP20" s="700">
        <f t="shared" si="388"/>
        <v>0</v>
      </c>
      <c r="PQ20" s="700">
        <f t="shared" si="388"/>
        <v>0</v>
      </c>
      <c r="PR20" s="700">
        <f t="shared" si="388"/>
        <v>0</v>
      </c>
      <c r="PS20" s="700">
        <f t="shared" si="388"/>
        <v>0</v>
      </c>
      <c r="PT20" s="700">
        <f t="shared" si="388"/>
        <v>0</v>
      </c>
      <c r="PU20" s="700">
        <f t="shared" si="388"/>
        <v>0</v>
      </c>
      <c r="PV20" s="700">
        <f t="shared" si="388"/>
        <v>0</v>
      </c>
      <c r="PW20" s="700">
        <f t="shared" si="388"/>
        <v>0</v>
      </c>
      <c r="PX20" s="700">
        <f t="shared" si="388"/>
        <v>0</v>
      </c>
      <c r="PY20" s="700">
        <f t="shared" si="388"/>
        <v>0</v>
      </c>
      <c r="PZ20" s="700">
        <f t="shared" si="388"/>
        <v>0</v>
      </c>
      <c r="QA20" s="700">
        <f t="shared" si="388"/>
        <v>0</v>
      </c>
      <c r="QB20" s="700">
        <f t="shared" si="388"/>
        <v>0</v>
      </c>
      <c r="QC20" s="700">
        <f t="shared" si="388"/>
        <v>0</v>
      </c>
      <c r="QD20" s="700">
        <f t="shared" si="388"/>
        <v>0</v>
      </c>
      <c r="QE20" s="700">
        <f t="shared" si="388"/>
        <v>0</v>
      </c>
      <c r="QF20" s="700">
        <f t="shared" si="388"/>
        <v>0</v>
      </c>
      <c r="QG20" s="700">
        <f t="shared" si="388"/>
        <v>0</v>
      </c>
      <c r="QH20" s="701">
        <f t="shared" si="388"/>
        <v>0</v>
      </c>
      <c r="QI20" s="699">
        <f t="shared" si="388"/>
        <v>0</v>
      </c>
      <c r="QJ20" s="700">
        <f t="shared" si="388"/>
        <v>0</v>
      </c>
      <c r="QK20" s="700">
        <f t="shared" si="388"/>
        <v>0</v>
      </c>
      <c r="QL20" s="700">
        <f t="shared" si="388"/>
        <v>0</v>
      </c>
      <c r="QM20" s="700">
        <f t="shared" si="388"/>
        <v>0</v>
      </c>
      <c r="QN20" s="700">
        <f t="shared" si="388"/>
        <v>0</v>
      </c>
      <c r="QO20" s="700">
        <f t="shared" si="388"/>
        <v>0</v>
      </c>
      <c r="QP20" s="700">
        <f t="shared" si="388"/>
        <v>0</v>
      </c>
      <c r="QQ20" s="700">
        <f t="shared" si="388"/>
        <v>0</v>
      </c>
      <c r="QR20" s="700">
        <f t="shared" si="388"/>
        <v>0</v>
      </c>
      <c r="QS20" s="700">
        <f t="shared" si="388"/>
        <v>0</v>
      </c>
      <c r="QT20" s="700">
        <f t="shared" si="388"/>
        <v>0</v>
      </c>
      <c r="QU20" s="700">
        <f t="shared" si="388"/>
        <v>0</v>
      </c>
      <c r="QV20" s="700">
        <f t="shared" si="388"/>
        <v>0</v>
      </c>
      <c r="QW20" s="700">
        <f t="shared" si="388"/>
        <v>0</v>
      </c>
      <c r="QX20" s="700">
        <f t="shared" si="388"/>
        <v>0</v>
      </c>
      <c r="QY20" s="700">
        <f t="shared" si="388"/>
        <v>0</v>
      </c>
      <c r="QZ20" s="700">
        <f t="shared" si="388"/>
        <v>0</v>
      </c>
      <c r="RA20" s="700">
        <f t="shared" si="388"/>
        <v>0</v>
      </c>
      <c r="RB20" s="701">
        <f t="shared" si="388"/>
        <v>0</v>
      </c>
      <c r="RC20" s="624">
        <f t="shared" si="388"/>
        <v>0</v>
      </c>
      <c r="RD20" s="625">
        <f t="shared" si="388"/>
        <v>0</v>
      </c>
      <c r="RE20" s="625">
        <f t="shared" si="388"/>
        <v>0</v>
      </c>
      <c r="RF20" s="625">
        <f t="shared" si="388"/>
        <v>0</v>
      </c>
      <c r="RG20" s="625">
        <f t="shared" si="388"/>
        <v>0</v>
      </c>
      <c r="RH20" s="625">
        <f t="shared" si="388"/>
        <v>0</v>
      </c>
      <c r="RI20" s="625">
        <f t="shared" si="388"/>
        <v>0</v>
      </c>
      <c r="RJ20" s="625">
        <f t="shared" si="388"/>
        <v>0</v>
      </c>
      <c r="RK20" s="625">
        <f t="shared" ref="RK20:TV20" si="389">IFERROR(MAX(RK8:RK17),"")</f>
        <v>0</v>
      </c>
      <c r="RL20" s="625">
        <f t="shared" si="389"/>
        <v>0</v>
      </c>
      <c r="RM20" s="625">
        <f t="shared" si="389"/>
        <v>0</v>
      </c>
      <c r="RN20" s="625">
        <f t="shared" si="389"/>
        <v>0</v>
      </c>
      <c r="RO20" s="625">
        <f t="shared" si="389"/>
        <v>0</v>
      </c>
      <c r="RP20" s="625">
        <f t="shared" si="389"/>
        <v>0</v>
      </c>
      <c r="RQ20" s="625">
        <f t="shared" si="389"/>
        <v>0</v>
      </c>
      <c r="RR20" s="625">
        <f t="shared" si="389"/>
        <v>0</v>
      </c>
      <c r="RS20" s="625">
        <f t="shared" si="389"/>
        <v>0</v>
      </c>
      <c r="RT20" s="625">
        <f t="shared" si="389"/>
        <v>0</v>
      </c>
      <c r="RU20" s="625">
        <f t="shared" si="389"/>
        <v>0</v>
      </c>
      <c r="RV20" s="626">
        <f t="shared" si="389"/>
        <v>0</v>
      </c>
      <c r="RW20" s="699">
        <f t="shared" si="389"/>
        <v>0</v>
      </c>
      <c r="RX20" s="700">
        <f t="shared" si="389"/>
        <v>0</v>
      </c>
      <c r="RY20" s="700">
        <f t="shared" si="389"/>
        <v>0</v>
      </c>
      <c r="RZ20" s="700">
        <f t="shared" si="389"/>
        <v>0</v>
      </c>
      <c r="SA20" s="700">
        <f t="shared" si="389"/>
        <v>0</v>
      </c>
      <c r="SB20" s="700">
        <f t="shared" si="389"/>
        <v>0</v>
      </c>
      <c r="SC20" s="700">
        <f t="shared" si="389"/>
        <v>0</v>
      </c>
      <c r="SD20" s="700">
        <f t="shared" si="389"/>
        <v>0</v>
      </c>
      <c r="SE20" s="700">
        <f t="shared" si="389"/>
        <v>0</v>
      </c>
      <c r="SF20" s="700">
        <f t="shared" si="389"/>
        <v>0</v>
      </c>
      <c r="SG20" s="700">
        <f t="shared" si="389"/>
        <v>0</v>
      </c>
      <c r="SH20" s="700">
        <f t="shared" si="389"/>
        <v>0</v>
      </c>
      <c r="SI20" s="700">
        <f t="shared" si="389"/>
        <v>0</v>
      </c>
      <c r="SJ20" s="700">
        <f t="shared" si="389"/>
        <v>0</v>
      </c>
      <c r="SK20" s="700">
        <f t="shared" si="389"/>
        <v>0</v>
      </c>
      <c r="SL20" s="700">
        <f t="shared" si="389"/>
        <v>0</v>
      </c>
      <c r="SM20" s="700">
        <f t="shared" si="389"/>
        <v>0</v>
      </c>
      <c r="SN20" s="700">
        <f t="shared" si="389"/>
        <v>0</v>
      </c>
      <c r="SO20" s="700">
        <f t="shared" si="389"/>
        <v>0</v>
      </c>
      <c r="SP20" s="701">
        <f t="shared" si="389"/>
        <v>0</v>
      </c>
      <c r="SQ20" s="699">
        <f t="shared" si="389"/>
        <v>0</v>
      </c>
      <c r="SR20" s="700">
        <f t="shared" si="389"/>
        <v>0</v>
      </c>
      <c r="SS20" s="700">
        <f t="shared" si="389"/>
        <v>0</v>
      </c>
      <c r="ST20" s="700">
        <f t="shared" si="389"/>
        <v>0</v>
      </c>
      <c r="SU20" s="700">
        <f t="shared" si="389"/>
        <v>0</v>
      </c>
      <c r="SV20" s="700">
        <f t="shared" si="389"/>
        <v>0</v>
      </c>
      <c r="SW20" s="700">
        <f t="shared" si="389"/>
        <v>0</v>
      </c>
      <c r="SX20" s="700">
        <f t="shared" si="389"/>
        <v>0</v>
      </c>
      <c r="SY20" s="700">
        <f t="shared" si="389"/>
        <v>0</v>
      </c>
      <c r="SZ20" s="700">
        <f t="shared" si="389"/>
        <v>0</v>
      </c>
      <c r="TA20" s="700">
        <f t="shared" si="389"/>
        <v>0</v>
      </c>
      <c r="TB20" s="700">
        <f t="shared" si="389"/>
        <v>0</v>
      </c>
      <c r="TC20" s="700">
        <f t="shared" si="389"/>
        <v>0</v>
      </c>
      <c r="TD20" s="700">
        <f t="shared" si="389"/>
        <v>0</v>
      </c>
      <c r="TE20" s="700">
        <f t="shared" si="389"/>
        <v>0</v>
      </c>
      <c r="TF20" s="700">
        <f t="shared" si="389"/>
        <v>0</v>
      </c>
      <c r="TG20" s="700">
        <f t="shared" si="389"/>
        <v>0</v>
      </c>
      <c r="TH20" s="700">
        <f t="shared" si="389"/>
        <v>0</v>
      </c>
      <c r="TI20" s="700">
        <f t="shared" si="389"/>
        <v>0</v>
      </c>
      <c r="TJ20" s="701">
        <f t="shared" si="389"/>
        <v>0</v>
      </c>
      <c r="TK20" s="699">
        <f t="shared" si="389"/>
        <v>0</v>
      </c>
      <c r="TL20" s="700">
        <f t="shared" si="389"/>
        <v>0</v>
      </c>
      <c r="TM20" s="700">
        <f t="shared" si="389"/>
        <v>0</v>
      </c>
      <c r="TN20" s="700">
        <f t="shared" si="389"/>
        <v>0</v>
      </c>
      <c r="TO20" s="700">
        <f t="shared" si="389"/>
        <v>0</v>
      </c>
      <c r="TP20" s="700">
        <f t="shared" si="389"/>
        <v>0</v>
      </c>
      <c r="TQ20" s="700">
        <f t="shared" si="389"/>
        <v>0</v>
      </c>
      <c r="TR20" s="700">
        <f t="shared" si="389"/>
        <v>0</v>
      </c>
      <c r="TS20" s="700">
        <f t="shared" si="389"/>
        <v>0</v>
      </c>
      <c r="TT20" s="700">
        <f t="shared" si="389"/>
        <v>0</v>
      </c>
      <c r="TU20" s="700">
        <f t="shared" si="389"/>
        <v>0</v>
      </c>
      <c r="TV20" s="700">
        <f t="shared" si="389"/>
        <v>0</v>
      </c>
      <c r="TW20" s="700">
        <f t="shared" ref="TW20:UX20" si="390">IFERROR(MAX(TW8:TW17),"")</f>
        <v>0</v>
      </c>
      <c r="TX20" s="700">
        <f t="shared" si="390"/>
        <v>0</v>
      </c>
      <c r="TY20" s="700">
        <f t="shared" si="390"/>
        <v>0</v>
      </c>
      <c r="TZ20" s="700">
        <f t="shared" si="390"/>
        <v>0</v>
      </c>
      <c r="UA20" s="700">
        <f t="shared" si="390"/>
        <v>0</v>
      </c>
      <c r="UB20" s="700">
        <f t="shared" si="390"/>
        <v>0</v>
      </c>
      <c r="UC20" s="700">
        <f t="shared" si="390"/>
        <v>0</v>
      </c>
      <c r="UD20" s="701">
        <f t="shared" si="390"/>
        <v>0</v>
      </c>
      <c r="UE20" s="699">
        <f t="shared" si="390"/>
        <v>0</v>
      </c>
      <c r="UF20" s="700">
        <f t="shared" si="390"/>
        <v>0</v>
      </c>
      <c r="UG20" s="700">
        <f t="shared" si="390"/>
        <v>0</v>
      </c>
      <c r="UH20" s="700">
        <f t="shared" si="390"/>
        <v>0</v>
      </c>
      <c r="UI20" s="700">
        <f t="shared" si="390"/>
        <v>0</v>
      </c>
      <c r="UJ20" s="700">
        <f t="shared" si="390"/>
        <v>0</v>
      </c>
      <c r="UK20" s="700">
        <f t="shared" si="390"/>
        <v>0</v>
      </c>
      <c r="UL20" s="700">
        <f t="shared" si="390"/>
        <v>0</v>
      </c>
      <c r="UM20" s="700">
        <f t="shared" si="390"/>
        <v>0</v>
      </c>
      <c r="UN20" s="700">
        <f t="shared" si="390"/>
        <v>0</v>
      </c>
      <c r="UO20" s="700">
        <f t="shared" si="390"/>
        <v>0</v>
      </c>
      <c r="UP20" s="700">
        <f t="shared" si="390"/>
        <v>0</v>
      </c>
      <c r="UQ20" s="700">
        <f t="shared" si="390"/>
        <v>0</v>
      </c>
      <c r="UR20" s="700">
        <f t="shared" si="390"/>
        <v>0</v>
      </c>
      <c r="US20" s="700">
        <f t="shared" si="390"/>
        <v>0</v>
      </c>
      <c r="UT20" s="700">
        <f t="shared" si="390"/>
        <v>0</v>
      </c>
      <c r="UU20" s="700">
        <f t="shared" si="390"/>
        <v>0</v>
      </c>
      <c r="UV20" s="700">
        <f t="shared" si="390"/>
        <v>0</v>
      </c>
      <c r="UW20" s="700">
        <f t="shared" si="390"/>
        <v>0</v>
      </c>
      <c r="UX20" s="701">
        <f t="shared" si="390"/>
        <v>0</v>
      </c>
    </row>
    <row r="21" spans="1:16344" x14ac:dyDescent="0.2">
      <c r="A21" s="99" t="s">
        <v>79</v>
      </c>
      <c r="B21" s="100"/>
      <c r="C21" s="100"/>
      <c r="D21" s="100"/>
      <c r="E21" s="101"/>
      <c r="F21" s="101"/>
      <c r="G21" s="102">
        <f t="shared" ref="G21:W21" si="391">IFERROR(MIN(G8:G17),"")</f>
        <v>0.6114511751458106</v>
      </c>
      <c r="H21" s="102">
        <f t="shared" si="391"/>
        <v>0.176866</v>
      </c>
      <c r="I21" s="102">
        <f t="shared" si="391"/>
        <v>0</v>
      </c>
      <c r="J21" s="102">
        <f t="shared" si="391"/>
        <v>3.5382149092137244E-2</v>
      </c>
      <c r="K21" s="102">
        <f t="shared" si="391"/>
        <v>2.6225000000000002E-2</v>
      </c>
      <c r="L21" s="102">
        <f>IFERROR(MIN(L8:L17),"")</f>
        <v>9.344384555408658E-2</v>
      </c>
      <c r="M21" s="102">
        <f>IFERROR(MIN(M8:M17),"")</f>
        <v>9.2056706797802534E-2</v>
      </c>
      <c r="N21" s="102">
        <f>IFERROR(MIN(N8:N17),"")</f>
        <v>0.3053870655033929</v>
      </c>
      <c r="O21" s="102">
        <f>IFERROR(MIN(O8:O17),"")</f>
        <v>0</v>
      </c>
      <c r="P21" s="102">
        <f>IFERROR(MIN(P8:P17),"")</f>
        <v>0</v>
      </c>
      <c r="Q21" s="102">
        <f t="shared" si="391"/>
        <v>0</v>
      </c>
      <c r="R21" s="102">
        <f t="shared" ref="R21" si="392">IFERROR(MIN(R8:R17),"")</f>
        <v>0</v>
      </c>
      <c r="S21" s="102">
        <f t="shared" si="391"/>
        <v>0</v>
      </c>
      <c r="T21" s="102">
        <f>IFERROR(MIN(T8:T17),"")</f>
        <v>0</v>
      </c>
      <c r="U21" s="102">
        <f t="shared" ref="U21" si="393">IFERROR(MIN(U8:U17),"")</f>
        <v>0</v>
      </c>
      <c r="V21" s="102">
        <f>IFERROR(MIN(V8:V17),"")</f>
        <v>0</v>
      </c>
      <c r="W21" s="102">
        <f t="shared" si="391"/>
        <v>0</v>
      </c>
      <c r="X21" s="102">
        <f t="shared" ref="X21:AC21" si="394">IFERROR(MIN(X8:X17),"")</f>
        <v>0</v>
      </c>
      <c r="Y21" s="102">
        <f t="shared" si="394"/>
        <v>0</v>
      </c>
      <c r="Z21" s="993">
        <f t="shared" si="394"/>
        <v>3.2484292924091052</v>
      </c>
      <c r="AA21" s="102">
        <f t="shared" si="394"/>
        <v>0.34184033454370233</v>
      </c>
      <c r="AB21" s="102">
        <f t="shared" si="394"/>
        <v>0</v>
      </c>
      <c r="AC21" s="1024">
        <f t="shared" si="394"/>
        <v>6.7716200000000004</v>
      </c>
      <c r="AD21" s="104"/>
      <c r="AE21" s="699">
        <f t="shared" ref="AE21:CP21" si="395">IFERROR(MIN(AE8:AE17),"")</f>
        <v>0</v>
      </c>
      <c r="AF21" s="700">
        <f t="shared" si="395"/>
        <v>0</v>
      </c>
      <c r="AG21" s="700">
        <f t="shared" si="395"/>
        <v>0</v>
      </c>
      <c r="AH21" s="700">
        <f t="shared" si="395"/>
        <v>0</v>
      </c>
      <c r="AI21" s="700">
        <f t="shared" si="395"/>
        <v>0</v>
      </c>
      <c r="AJ21" s="700">
        <f t="shared" si="395"/>
        <v>0</v>
      </c>
      <c r="AK21" s="700">
        <f t="shared" si="395"/>
        <v>0</v>
      </c>
      <c r="AL21" s="700">
        <f t="shared" si="395"/>
        <v>0</v>
      </c>
      <c r="AM21" s="700">
        <f t="shared" si="395"/>
        <v>0</v>
      </c>
      <c r="AN21" s="700">
        <f t="shared" si="395"/>
        <v>0</v>
      </c>
      <c r="AO21" s="700">
        <f t="shared" si="395"/>
        <v>0</v>
      </c>
      <c r="AP21" s="700">
        <f t="shared" si="395"/>
        <v>0</v>
      </c>
      <c r="AQ21" s="700">
        <f t="shared" si="395"/>
        <v>0</v>
      </c>
      <c r="AR21" s="700">
        <f t="shared" si="395"/>
        <v>0</v>
      </c>
      <c r="AS21" s="700">
        <f t="shared" si="395"/>
        <v>0</v>
      </c>
      <c r="AT21" s="700">
        <f t="shared" si="395"/>
        <v>0</v>
      </c>
      <c r="AU21" s="700">
        <f t="shared" si="395"/>
        <v>0</v>
      </c>
      <c r="AV21" s="700">
        <f t="shared" si="395"/>
        <v>0</v>
      </c>
      <c r="AW21" s="700">
        <f t="shared" si="395"/>
        <v>0</v>
      </c>
      <c r="AX21" s="701">
        <f t="shared" si="395"/>
        <v>0</v>
      </c>
      <c r="AY21" s="699">
        <f t="shared" si="395"/>
        <v>0</v>
      </c>
      <c r="AZ21" s="700">
        <f t="shared" si="395"/>
        <v>0</v>
      </c>
      <c r="BA21" s="700">
        <f t="shared" si="395"/>
        <v>0</v>
      </c>
      <c r="BB21" s="700">
        <f t="shared" si="395"/>
        <v>0</v>
      </c>
      <c r="BC21" s="700">
        <f t="shared" si="395"/>
        <v>0</v>
      </c>
      <c r="BD21" s="700">
        <f t="shared" si="395"/>
        <v>0</v>
      </c>
      <c r="BE21" s="700">
        <f t="shared" si="395"/>
        <v>0</v>
      </c>
      <c r="BF21" s="700">
        <f t="shared" si="395"/>
        <v>0</v>
      </c>
      <c r="BG21" s="700">
        <f t="shared" si="395"/>
        <v>0</v>
      </c>
      <c r="BH21" s="700">
        <f t="shared" si="395"/>
        <v>0</v>
      </c>
      <c r="BI21" s="700">
        <f t="shared" si="395"/>
        <v>0</v>
      </c>
      <c r="BJ21" s="700">
        <f t="shared" si="395"/>
        <v>0</v>
      </c>
      <c r="BK21" s="700">
        <f t="shared" si="395"/>
        <v>0</v>
      </c>
      <c r="BL21" s="700">
        <f t="shared" si="395"/>
        <v>0</v>
      </c>
      <c r="BM21" s="700">
        <f t="shared" si="395"/>
        <v>0</v>
      </c>
      <c r="BN21" s="700">
        <f t="shared" si="395"/>
        <v>0</v>
      </c>
      <c r="BO21" s="700">
        <f t="shared" si="395"/>
        <v>0</v>
      </c>
      <c r="BP21" s="700">
        <f t="shared" si="395"/>
        <v>0</v>
      </c>
      <c r="BQ21" s="700">
        <f t="shared" si="395"/>
        <v>0</v>
      </c>
      <c r="BR21" s="701">
        <f t="shared" si="395"/>
        <v>0</v>
      </c>
      <c r="BS21" s="699">
        <f t="shared" si="395"/>
        <v>0</v>
      </c>
      <c r="BT21" s="700">
        <f t="shared" si="395"/>
        <v>0</v>
      </c>
      <c r="BU21" s="700">
        <f t="shared" si="395"/>
        <v>0</v>
      </c>
      <c r="BV21" s="700">
        <f t="shared" si="395"/>
        <v>0</v>
      </c>
      <c r="BW21" s="700">
        <f t="shared" si="395"/>
        <v>0</v>
      </c>
      <c r="BX21" s="700">
        <f t="shared" si="395"/>
        <v>0</v>
      </c>
      <c r="BY21" s="700">
        <f t="shared" si="395"/>
        <v>0</v>
      </c>
      <c r="BZ21" s="700">
        <f t="shared" si="395"/>
        <v>0</v>
      </c>
      <c r="CA21" s="700">
        <f t="shared" si="395"/>
        <v>0</v>
      </c>
      <c r="CB21" s="700">
        <f t="shared" si="395"/>
        <v>0</v>
      </c>
      <c r="CC21" s="700">
        <f t="shared" si="395"/>
        <v>0</v>
      </c>
      <c r="CD21" s="700">
        <f t="shared" si="395"/>
        <v>0</v>
      </c>
      <c r="CE21" s="700">
        <f t="shared" si="395"/>
        <v>0</v>
      </c>
      <c r="CF21" s="700">
        <f t="shared" si="395"/>
        <v>0</v>
      </c>
      <c r="CG21" s="700">
        <f t="shared" si="395"/>
        <v>0</v>
      </c>
      <c r="CH21" s="700">
        <f t="shared" si="395"/>
        <v>0</v>
      </c>
      <c r="CI21" s="700">
        <f t="shared" si="395"/>
        <v>0</v>
      </c>
      <c r="CJ21" s="700">
        <f t="shared" si="395"/>
        <v>0</v>
      </c>
      <c r="CK21" s="700">
        <f t="shared" si="395"/>
        <v>0</v>
      </c>
      <c r="CL21" s="701">
        <f t="shared" si="395"/>
        <v>0</v>
      </c>
      <c r="CM21" s="699">
        <f t="shared" si="395"/>
        <v>0</v>
      </c>
      <c r="CN21" s="700">
        <f t="shared" si="395"/>
        <v>0</v>
      </c>
      <c r="CO21" s="700">
        <f t="shared" si="395"/>
        <v>0</v>
      </c>
      <c r="CP21" s="700">
        <f t="shared" si="395"/>
        <v>0</v>
      </c>
      <c r="CQ21" s="700">
        <f t="shared" ref="CQ21:FB21" si="396">IFERROR(MIN(CQ8:CQ17),"")</f>
        <v>0</v>
      </c>
      <c r="CR21" s="700">
        <f t="shared" si="396"/>
        <v>0</v>
      </c>
      <c r="CS21" s="700">
        <f t="shared" si="396"/>
        <v>0</v>
      </c>
      <c r="CT21" s="700">
        <f t="shared" si="396"/>
        <v>0</v>
      </c>
      <c r="CU21" s="700">
        <f t="shared" si="396"/>
        <v>0</v>
      </c>
      <c r="CV21" s="700">
        <f t="shared" si="396"/>
        <v>0</v>
      </c>
      <c r="CW21" s="700">
        <f t="shared" si="396"/>
        <v>0</v>
      </c>
      <c r="CX21" s="700">
        <f t="shared" si="396"/>
        <v>0</v>
      </c>
      <c r="CY21" s="700">
        <f t="shared" si="396"/>
        <v>0</v>
      </c>
      <c r="CZ21" s="700">
        <f t="shared" si="396"/>
        <v>0</v>
      </c>
      <c r="DA21" s="700">
        <f t="shared" si="396"/>
        <v>0</v>
      </c>
      <c r="DB21" s="700">
        <f t="shared" si="396"/>
        <v>0</v>
      </c>
      <c r="DC21" s="700">
        <f t="shared" si="396"/>
        <v>0</v>
      </c>
      <c r="DD21" s="700">
        <f t="shared" si="396"/>
        <v>0</v>
      </c>
      <c r="DE21" s="700">
        <f t="shared" si="396"/>
        <v>0</v>
      </c>
      <c r="DF21" s="701">
        <f t="shared" si="396"/>
        <v>0</v>
      </c>
      <c r="DG21" s="699">
        <f t="shared" si="396"/>
        <v>0</v>
      </c>
      <c r="DH21" s="700">
        <f t="shared" si="396"/>
        <v>0</v>
      </c>
      <c r="DI21" s="700">
        <f t="shared" si="396"/>
        <v>0</v>
      </c>
      <c r="DJ21" s="700">
        <f t="shared" si="396"/>
        <v>0</v>
      </c>
      <c r="DK21" s="700">
        <f t="shared" si="396"/>
        <v>0</v>
      </c>
      <c r="DL21" s="700">
        <f t="shared" si="396"/>
        <v>0</v>
      </c>
      <c r="DM21" s="700">
        <f t="shared" si="396"/>
        <v>0</v>
      </c>
      <c r="DN21" s="700">
        <f t="shared" si="396"/>
        <v>0</v>
      </c>
      <c r="DO21" s="700">
        <f t="shared" si="396"/>
        <v>0</v>
      </c>
      <c r="DP21" s="700">
        <f t="shared" si="396"/>
        <v>0</v>
      </c>
      <c r="DQ21" s="700">
        <f t="shared" si="396"/>
        <v>0</v>
      </c>
      <c r="DR21" s="700">
        <f t="shared" si="396"/>
        <v>0</v>
      </c>
      <c r="DS21" s="700">
        <f t="shared" si="396"/>
        <v>0</v>
      </c>
      <c r="DT21" s="700">
        <f t="shared" si="396"/>
        <v>0</v>
      </c>
      <c r="DU21" s="700">
        <f t="shared" si="396"/>
        <v>0</v>
      </c>
      <c r="DV21" s="700">
        <f t="shared" si="396"/>
        <v>0</v>
      </c>
      <c r="DW21" s="700">
        <f t="shared" si="396"/>
        <v>0</v>
      </c>
      <c r="DX21" s="700">
        <f t="shared" si="396"/>
        <v>0</v>
      </c>
      <c r="DY21" s="700">
        <f t="shared" si="396"/>
        <v>0</v>
      </c>
      <c r="DZ21" s="701">
        <f t="shared" si="396"/>
        <v>0</v>
      </c>
      <c r="EA21" s="699">
        <f t="shared" si="396"/>
        <v>0</v>
      </c>
      <c r="EB21" s="700">
        <f t="shared" si="396"/>
        <v>0</v>
      </c>
      <c r="EC21" s="700">
        <f t="shared" si="396"/>
        <v>0</v>
      </c>
      <c r="ED21" s="700">
        <f t="shared" si="396"/>
        <v>0</v>
      </c>
      <c r="EE21" s="700">
        <f t="shared" si="396"/>
        <v>0</v>
      </c>
      <c r="EF21" s="700">
        <f t="shared" si="396"/>
        <v>0</v>
      </c>
      <c r="EG21" s="700">
        <f t="shared" si="396"/>
        <v>0</v>
      </c>
      <c r="EH21" s="700">
        <f t="shared" si="396"/>
        <v>0</v>
      </c>
      <c r="EI21" s="700">
        <f t="shared" si="396"/>
        <v>0</v>
      </c>
      <c r="EJ21" s="700">
        <f t="shared" si="396"/>
        <v>0</v>
      </c>
      <c r="EK21" s="700">
        <f t="shared" si="396"/>
        <v>0</v>
      </c>
      <c r="EL21" s="700">
        <f t="shared" si="396"/>
        <v>0</v>
      </c>
      <c r="EM21" s="700">
        <f t="shared" si="396"/>
        <v>0</v>
      </c>
      <c r="EN21" s="700">
        <f t="shared" si="396"/>
        <v>0</v>
      </c>
      <c r="EO21" s="700">
        <f t="shared" si="396"/>
        <v>0</v>
      </c>
      <c r="EP21" s="700">
        <f t="shared" si="396"/>
        <v>0</v>
      </c>
      <c r="EQ21" s="700">
        <f t="shared" si="396"/>
        <v>0</v>
      </c>
      <c r="ER21" s="700">
        <f t="shared" si="396"/>
        <v>0</v>
      </c>
      <c r="ES21" s="700">
        <f t="shared" si="396"/>
        <v>0</v>
      </c>
      <c r="ET21" s="701">
        <f t="shared" si="396"/>
        <v>0</v>
      </c>
      <c r="EU21" s="699">
        <f t="shared" si="396"/>
        <v>0</v>
      </c>
      <c r="EV21" s="700">
        <f t="shared" si="396"/>
        <v>0</v>
      </c>
      <c r="EW21" s="700">
        <f t="shared" si="396"/>
        <v>0</v>
      </c>
      <c r="EX21" s="700">
        <f t="shared" si="396"/>
        <v>0</v>
      </c>
      <c r="EY21" s="700">
        <f t="shared" si="396"/>
        <v>0</v>
      </c>
      <c r="EZ21" s="700">
        <f t="shared" si="396"/>
        <v>0</v>
      </c>
      <c r="FA21" s="700">
        <f t="shared" si="396"/>
        <v>0</v>
      </c>
      <c r="FB21" s="700">
        <f t="shared" si="396"/>
        <v>0</v>
      </c>
      <c r="FC21" s="700">
        <f t="shared" ref="FC21:HN21" si="397">IFERROR(MIN(FC8:FC17),"")</f>
        <v>0</v>
      </c>
      <c r="FD21" s="700">
        <f t="shared" si="397"/>
        <v>0</v>
      </c>
      <c r="FE21" s="700">
        <f t="shared" si="397"/>
        <v>0</v>
      </c>
      <c r="FF21" s="700">
        <f t="shared" si="397"/>
        <v>0</v>
      </c>
      <c r="FG21" s="700">
        <f t="shared" si="397"/>
        <v>0</v>
      </c>
      <c r="FH21" s="700">
        <f t="shared" si="397"/>
        <v>0</v>
      </c>
      <c r="FI21" s="700">
        <f t="shared" si="397"/>
        <v>0</v>
      </c>
      <c r="FJ21" s="700">
        <f t="shared" si="397"/>
        <v>0</v>
      </c>
      <c r="FK21" s="700">
        <f t="shared" si="397"/>
        <v>0</v>
      </c>
      <c r="FL21" s="700">
        <f t="shared" si="397"/>
        <v>0</v>
      </c>
      <c r="FM21" s="700">
        <f t="shared" si="397"/>
        <v>0</v>
      </c>
      <c r="FN21" s="701">
        <f t="shared" si="397"/>
        <v>0</v>
      </c>
      <c r="FO21" s="699">
        <f t="shared" si="397"/>
        <v>0</v>
      </c>
      <c r="FP21" s="700">
        <f t="shared" si="397"/>
        <v>0</v>
      </c>
      <c r="FQ21" s="700">
        <f t="shared" si="397"/>
        <v>0</v>
      </c>
      <c r="FR21" s="700">
        <f t="shared" si="397"/>
        <v>0</v>
      </c>
      <c r="FS21" s="700">
        <f t="shared" si="397"/>
        <v>0</v>
      </c>
      <c r="FT21" s="700">
        <f t="shared" si="397"/>
        <v>0</v>
      </c>
      <c r="FU21" s="700">
        <f t="shared" si="397"/>
        <v>0</v>
      </c>
      <c r="FV21" s="700">
        <f t="shared" si="397"/>
        <v>0</v>
      </c>
      <c r="FW21" s="700">
        <f t="shared" si="397"/>
        <v>0</v>
      </c>
      <c r="FX21" s="700">
        <f t="shared" si="397"/>
        <v>0</v>
      </c>
      <c r="FY21" s="700">
        <f t="shared" si="397"/>
        <v>0</v>
      </c>
      <c r="FZ21" s="700">
        <f t="shared" si="397"/>
        <v>0</v>
      </c>
      <c r="GA21" s="700">
        <f t="shared" si="397"/>
        <v>0</v>
      </c>
      <c r="GB21" s="700">
        <f t="shared" si="397"/>
        <v>0</v>
      </c>
      <c r="GC21" s="700">
        <f t="shared" si="397"/>
        <v>0</v>
      </c>
      <c r="GD21" s="700">
        <f t="shared" si="397"/>
        <v>0</v>
      </c>
      <c r="GE21" s="700">
        <f t="shared" si="397"/>
        <v>0</v>
      </c>
      <c r="GF21" s="700">
        <f t="shared" si="397"/>
        <v>0</v>
      </c>
      <c r="GG21" s="700">
        <f t="shared" si="397"/>
        <v>0</v>
      </c>
      <c r="GH21" s="701">
        <f t="shared" si="397"/>
        <v>0</v>
      </c>
      <c r="GI21" s="699">
        <f t="shared" si="397"/>
        <v>0</v>
      </c>
      <c r="GJ21" s="700">
        <f t="shared" si="397"/>
        <v>0</v>
      </c>
      <c r="GK21" s="700">
        <f t="shared" si="397"/>
        <v>0</v>
      </c>
      <c r="GL21" s="700">
        <f t="shared" si="397"/>
        <v>0</v>
      </c>
      <c r="GM21" s="700">
        <f t="shared" si="397"/>
        <v>0</v>
      </c>
      <c r="GN21" s="700">
        <f t="shared" si="397"/>
        <v>0</v>
      </c>
      <c r="GO21" s="700">
        <f t="shared" si="397"/>
        <v>0</v>
      </c>
      <c r="GP21" s="700">
        <f t="shared" si="397"/>
        <v>0</v>
      </c>
      <c r="GQ21" s="700">
        <f t="shared" si="397"/>
        <v>0</v>
      </c>
      <c r="GR21" s="700">
        <f t="shared" si="397"/>
        <v>0</v>
      </c>
      <c r="GS21" s="700">
        <f t="shared" si="397"/>
        <v>0</v>
      </c>
      <c r="GT21" s="700">
        <f t="shared" si="397"/>
        <v>0</v>
      </c>
      <c r="GU21" s="700">
        <f t="shared" si="397"/>
        <v>0</v>
      </c>
      <c r="GV21" s="700">
        <f t="shared" si="397"/>
        <v>0</v>
      </c>
      <c r="GW21" s="700">
        <f t="shared" si="397"/>
        <v>0</v>
      </c>
      <c r="GX21" s="700">
        <f t="shared" si="397"/>
        <v>0</v>
      </c>
      <c r="GY21" s="700">
        <f t="shared" si="397"/>
        <v>0</v>
      </c>
      <c r="GZ21" s="700">
        <f t="shared" si="397"/>
        <v>0</v>
      </c>
      <c r="HA21" s="700">
        <f t="shared" si="397"/>
        <v>0</v>
      </c>
      <c r="HB21" s="701">
        <f t="shared" si="397"/>
        <v>0</v>
      </c>
      <c r="HC21" s="699">
        <f t="shared" si="397"/>
        <v>8.0520399466092019E-2</v>
      </c>
      <c r="HD21" s="700">
        <f t="shared" si="397"/>
        <v>0</v>
      </c>
      <c r="HE21" s="700">
        <f t="shared" si="397"/>
        <v>0</v>
      </c>
      <c r="HF21" s="700">
        <f t="shared" si="397"/>
        <v>0</v>
      </c>
      <c r="HG21" s="700">
        <f t="shared" si="397"/>
        <v>0</v>
      </c>
      <c r="HH21" s="700">
        <f t="shared" si="397"/>
        <v>0</v>
      </c>
      <c r="HI21" s="700">
        <f t="shared" si="397"/>
        <v>0</v>
      </c>
      <c r="HJ21" s="700">
        <f t="shared" si="397"/>
        <v>0</v>
      </c>
      <c r="HK21" s="700">
        <f t="shared" si="397"/>
        <v>0</v>
      </c>
      <c r="HL21" s="700">
        <f t="shared" si="397"/>
        <v>0</v>
      </c>
      <c r="HM21" s="700">
        <f t="shared" si="397"/>
        <v>0</v>
      </c>
      <c r="HN21" s="700">
        <f t="shared" si="397"/>
        <v>0</v>
      </c>
      <c r="HO21" s="700">
        <f t="shared" ref="HO21:JZ21" si="398">IFERROR(MIN(HO8:HO17),"")</f>
        <v>0</v>
      </c>
      <c r="HP21" s="700">
        <f t="shared" si="398"/>
        <v>0</v>
      </c>
      <c r="HQ21" s="700">
        <f t="shared" si="398"/>
        <v>0</v>
      </c>
      <c r="HR21" s="700">
        <f t="shared" si="398"/>
        <v>0</v>
      </c>
      <c r="HS21" s="700">
        <f t="shared" si="398"/>
        <v>0</v>
      </c>
      <c r="HT21" s="700">
        <f t="shared" si="398"/>
        <v>0</v>
      </c>
      <c r="HU21" s="700">
        <f t="shared" si="398"/>
        <v>0</v>
      </c>
      <c r="HV21" s="701">
        <f t="shared" si="398"/>
        <v>0</v>
      </c>
      <c r="HW21" s="699">
        <f t="shared" si="398"/>
        <v>4.711843375155108E-2</v>
      </c>
      <c r="HX21" s="700">
        <f t="shared" si="398"/>
        <v>0</v>
      </c>
      <c r="HY21" s="700">
        <f t="shared" si="398"/>
        <v>0</v>
      </c>
      <c r="HZ21" s="700">
        <f t="shared" si="398"/>
        <v>0</v>
      </c>
      <c r="IA21" s="700">
        <f t="shared" si="398"/>
        <v>0</v>
      </c>
      <c r="IB21" s="700">
        <f t="shared" si="398"/>
        <v>0</v>
      </c>
      <c r="IC21" s="700">
        <f t="shared" si="398"/>
        <v>0</v>
      </c>
      <c r="ID21" s="700">
        <f t="shared" si="398"/>
        <v>0</v>
      </c>
      <c r="IE21" s="700">
        <f t="shared" si="398"/>
        <v>0</v>
      </c>
      <c r="IF21" s="700">
        <f t="shared" si="398"/>
        <v>0</v>
      </c>
      <c r="IG21" s="700">
        <f t="shared" si="398"/>
        <v>0</v>
      </c>
      <c r="IH21" s="700">
        <f t="shared" si="398"/>
        <v>0</v>
      </c>
      <c r="II21" s="700">
        <f t="shared" si="398"/>
        <v>0</v>
      </c>
      <c r="IJ21" s="700">
        <f t="shared" si="398"/>
        <v>0</v>
      </c>
      <c r="IK21" s="700">
        <f t="shared" si="398"/>
        <v>0</v>
      </c>
      <c r="IL21" s="700">
        <f t="shared" si="398"/>
        <v>0</v>
      </c>
      <c r="IM21" s="700">
        <f t="shared" si="398"/>
        <v>0</v>
      </c>
      <c r="IN21" s="700">
        <f t="shared" si="398"/>
        <v>0</v>
      </c>
      <c r="IO21" s="700">
        <f t="shared" si="398"/>
        <v>0</v>
      </c>
      <c r="IP21" s="701">
        <f t="shared" si="398"/>
        <v>0</v>
      </c>
      <c r="IQ21" s="357">
        <f t="shared" si="398"/>
        <v>3.4744624383902942</v>
      </c>
      <c r="IR21" s="358">
        <f t="shared" si="398"/>
        <v>0</v>
      </c>
      <c r="IS21" s="358">
        <f t="shared" si="398"/>
        <v>0</v>
      </c>
      <c r="IT21" s="358">
        <f t="shared" si="398"/>
        <v>0</v>
      </c>
      <c r="IU21" s="358">
        <f t="shared" si="398"/>
        <v>0</v>
      </c>
      <c r="IV21" s="358">
        <f t="shared" si="398"/>
        <v>0</v>
      </c>
      <c r="IW21" s="358">
        <f t="shared" si="398"/>
        <v>0</v>
      </c>
      <c r="IX21" s="358">
        <f t="shared" si="398"/>
        <v>0</v>
      </c>
      <c r="IY21" s="358">
        <f t="shared" si="398"/>
        <v>0</v>
      </c>
      <c r="IZ21" s="358">
        <f t="shared" si="398"/>
        <v>0</v>
      </c>
      <c r="JA21" s="358">
        <f t="shared" si="398"/>
        <v>0</v>
      </c>
      <c r="JB21" s="358">
        <f t="shared" si="398"/>
        <v>0</v>
      </c>
      <c r="JC21" s="358">
        <f t="shared" si="398"/>
        <v>0</v>
      </c>
      <c r="JD21" s="358">
        <f t="shared" si="398"/>
        <v>0</v>
      </c>
      <c r="JE21" s="358">
        <f t="shared" si="398"/>
        <v>0</v>
      </c>
      <c r="JF21" s="358">
        <f t="shared" si="398"/>
        <v>0</v>
      </c>
      <c r="JG21" s="358">
        <f t="shared" si="398"/>
        <v>0</v>
      </c>
      <c r="JH21" s="358">
        <f t="shared" si="398"/>
        <v>0</v>
      </c>
      <c r="JI21" s="358">
        <f t="shared" si="398"/>
        <v>0</v>
      </c>
      <c r="JJ21" s="359">
        <f t="shared" si="398"/>
        <v>0</v>
      </c>
      <c r="JK21" s="699">
        <f t="shared" si="398"/>
        <v>0.2918767670290594</v>
      </c>
      <c r="JL21" s="700">
        <f t="shared" si="398"/>
        <v>0</v>
      </c>
      <c r="JM21" s="700">
        <f t="shared" si="398"/>
        <v>0</v>
      </c>
      <c r="JN21" s="700">
        <f t="shared" si="398"/>
        <v>0</v>
      </c>
      <c r="JO21" s="700">
        <f t="shared" si="398"/>
        <v>0</v>
      </c>
      <c r="JP21" s="700">
        <f t="shared" si="398"/>
        <v>0</v>
      </c>
      <c r="JQ21" s="700">
        <f t="shared" si="398"/>
        <v>0</v>
      </c>
      <c r="JR21" s="700">
        <f t="shared" si="398"/>
        <v>0</v>
      </c>
      <c r="JS21" s="700">
        <f t="shared" si="398"/>
        <v>0</v>
      </c>
      <c r="JT21" s="700">
        <f t="shared" si="398"/>
        <v>0</v>
      </c>
      <c r="JU21" s="700">
        <f t="shared" si="398"/>
        <v>0</v>
      </c>
      <c r="JV21" s="700">
        <f t="shared" si="398"/>
        <v>0</v>
      </c>
      <c r="JW21" s="700">
        <f t="shared" si="398"/>
        <v>0</v>
      </c>
      <c r="JX21" s="700">
        <f t="shared" si="398"/>
        <v>0</v>
      </c>
      <c r="JY21" s="700">
        <f t="shared" si="398"/>
        <v>0</v>
      </c>
      <c r="JZ21" s="700">
        <f t="shared" si="398"/>
        <v>0</v>
      </c>
      <c r="KA21" s="700">
        <f t="shared" ref="KA21:ML21" si="399">IFERROR(MIN(KA8:KA17),"")</f>
        <v>0</v>
      </c>
      <c r="KB21" s="700">
        <f t="shared" si="399"/>
        <v>0</v>
      </c>
      <c r="KC21" s="700">
        <f t="shared" si="399"/>
        <v>0</v>
      </c>
      <c r="KD21" s="701">
        <f t="shared" si="399"/>
        <v>0</v>
      </c>
      <c r="KE21" s="699">
        <f t="shared" si="399"/>
        <v>0.16938716825386085</v>
      </c>
      <c r="KF21" s="700">
        <f t="shared" si="399"/>
        <v>0</v>
      </c>
      <c r="KG21" s="700">
        <f t="shared" si="399"/>
        <v>0</v>
      </c>
      <c r="KH21" s="700">
        <f t="shared" si="399"/>
        <v>0</v>
      </c>
      <c r="KI21" s="700">
        <f t="shared" si="399"/>
        <v>0</v>
      </c>
      <c r="KJ21" s="700">
        <f t="shared" si="399"/>
        <v>0</v>
      </c>
      <c r="KK21" s="700">
        <f t="shared" si="399"/>
        <v>0</v>
      </c>
      <c r="KL21" s="700">
        <f t="shared" si="399"/>
        <v>0</v>
      </c>
      <c r="KM21" s="700">
        <f t="shared" si="399"/>
        <v>0</v>
      </c>
      <c r="KN21" s="700">
        <f t="shared" si="399"/>
        <v>0</v>
      </c>
      <c r="KO21" s="700">
        <f t="shared" si="399"/>
        <v>0</v>
      </c>
      <c r="KP21" s="700">
        <f t="shared" si="399"/>
        <v>0</v>
      </c>
      <c r="KQ21" s="700">
        <f t="shared" si="399"/>
        <v>0</v>
      </c>
      <c r="KR21" s="700">
        <f t="shared" si="399"/>
        <v>0</v>
      </c>
      <c r="KS21" s="700">
        <f t="shared" si="399"/>
        <v>0</v>
      </c>
      <c r="KT21" s="700">
        <f t="shared" si="399"/>
        <v>0</v>
      </c>
      <c r="KU21" s="700">
        <f t="shared" si="399"/>
        <v>0</v>
      </c>
      <c r="KV21" s="700">
        <f t="shared" si="399"/>
        <v>0</v>
      </c>
      <c r="KW21" s="700">
        <f t="shared" si="399"/>
        <v>0</v>
      </c>
      <c r="KX21" s="701">
        <f t="shared" si="399"/>
        <v>0</v>
      </c>
      <c r="KY21" s="699">
        <f t="shared" si="399"/>
        <v>0.27141753397264007</v>
      </c>
      <c r="KZ21" s="700">
        <f t="shared" si="399"/>
        <v>0</v>
      </c>
      <c r="LA21" s="700">
        <f t="shared" si="399"/>
        <v>0</v>
      </c>
      <c r="LB21" s="700">
        <f t="shared" si="399"/>
        <v>0</v>
      </c>
      <c r="LC21" s="700">
        <f t="shared" si="399"/>
        <v>0</v>
      </c>
      <c r="LD21" s="700">
        <f t="shared" si="399"/>
        <v>0</v>
      </c>
      <c r="LE21" s="700">
        <f t="shared" si="399"/>
        <v>0</v>
      </c>
      <c r="LF21" s="700">
        <f t="shared" si="399"/>
        <v>0</v>
      </c>
      <c r="LG21" s="700">
        <f t="shared" si="399"/>
        <v>0</v>
      </c>
      <c r="LH21" s="700">
        <f t="shared" si="399"/>
        <v>0</v>
      </c>
      <c r="LI21" s="700">
        <f t="shared" si="399"/>
        <v>0</v>
      </c>
      <c r="LJ21" s="700">
        <f t="shared" si="399"/>
        <v>0</v>
      </c>
      <c r="LK21" s="700">
        <f t="shared" si="399"/>
        <v>0</v>
      </c>
      <c r="LL21" s="700">
        <f t="shared" si="399"/>
        <v>0</v>
      </c>
      <c r="LM21" s="700">
        <f t="shared" si="399"/>
        <v>0</v>
      </c>
      <c r="LN21" s="700">
        <f t="shared" si="399"/>
        <v>0</v>
      </c>
      <c r="LO21" s="700">
        <f t="shared" si="399"/>
        <v>0</v>
      </c>
      <c r="LP21" s="700">
        <f t="shared" si="399"/>
        <v>0</v>
      </c>
      <c r="LQ21" s="700">
        <f t="shared" si="399"/>
        <v>0</v>
      </c>
      <c r="LR21" s="701">
        <f t="shared" si="399"/>
        <v>0</v>
      </c>
      <c r="LS21" s="699">
        <f t="shared" si="399"/>
        <v>0.24626221966647499</v>
      </c>
      <c r="LT21" s="700">
        <f t="shared" si="399"/>
        <v>0</v>
      </c>
      <c r="LU21" s="700">
        <f t="shared" si="399"/>
        <v>0</v>
      </c>
      <c r="LV21" s="700">
        <f t="shared" si="399"/>
        <v>0</v>
      </c>
      <c r="LW21" s="700">
        <f t="shared" si="399"/>
        <v>0</v>
      </c>
      <c r="LX21" s="700">
        <f t="shared" si="399"/>
        <v>0</v>
      </c>
      <c r="LY21" s="700">
        <f t="shared" si="399"/>
        <v>0</v>
      </c>
      <c r="LZ21" s="700">
        <f t="shared" si="399"/>
        <v>0</v>
      </c>
      <c r="MA21" s="700">
        <f t="shared" si="399"/>
        <v>0</v>
      </c>
      <c r="MB21" s="700">
        <f t="shared" si="399"/>
        <v>0</v>
      </c>
      <c r="MC21" s="700">
        <f t="shared" si="399"/>
        <v>0</v>
      </c>
      <c r="MD21" s="708">
        <f t="shared" si="399"/>
        <v>0</v>
      </c>
      <c r="ME21" s="700">
        <f t="shared" si="399"/>
        <v>0</v>
      </c>
      <c r="MF21" s="700">
        <f t="shared" si="399"/>
        <v>0</v>
      </c>
      <c r="MG21" s="700">
        <f t="shared" si="399"/>
        <v>0</v>
      </c>
      <c r="MH21" s="700">
        <f t="shared" si="399"/>
        <v>0</v>
      </c>
      <c r="MI21" s="700">
        <f t="shared" si="399"/>
        <v>0</v>
      </c>
      <c r="MJ21" s="700">
        <f t="shared" si="399"/>
        <v>0</v>
      </c>
      <c r="MK21" s="700">
        <f t="shared" si="399"/>
        <v>0</v>
      </c>
      <c r="ML21" s="701">
        <f t="shared" si="399"/>
        <v>0</v>
      </c>
      <c r="MM21" s="699">
        <f t="shared" ref="MM21:OX21" si="400">IFERROR(MIN(MM8:MM17),"")</f>
        <v>0</v>
      </c>
      <c r="MN21" s="700">
        <f t="shared" si="400"/>
        <v>0</v>
      </c>
      <c r="MO21" s="700">
        <f t="shared" si="400"/>
        <v>0</v>
      </c>
      <c r="MP21" s="700">
        <f t="shared" si="400"/>
        <v>0</v>
      </c>
      <c r="MQ21" s="700">
        <f t="shared" si="400"/>
        <v>0</v>
      </c>
      <c r="MR21" s="700">
        <f t="shared" si="400"/>
        <v>0</v>
      </c>
      <c r="MS21" s="700">
        <f t="shared" si="400"/>
        <v>0</v>
      </c>
      <c r="MT21" s="700">
        <f t="shared" si="400"/>
        <v>0</v>
      </c>
      <c r="MU21" s="700">
        <f t="shared" si="400"/>
        <v>0</v>
      </c>
      <c r="MV21" s="700">
        <f t="shared" si="400"/>
        <v>0</v>
      </c>
      <c r="MW21" s="700">
        <f t="shared" si="400"/>
        <v>0</v>
      </c>
      <c r="MX21" s="700">
        <f t="shared" si="400"/>
        <v>0</v>
      </c>
      <c r="MY21" s="700">
        <f t="shared" si="400"/>
        <v>0</v>
      </c>
      <c r="MZ21" s="700">
        <f t="shared" si="400"/>
        <v>0</v>
      </c>
      <c r="NA21" s="700">
        <f t="shared" si="400"/>
        <v>0</v>
      </c>
      <c r="NB21" s="700">
        <f t="shared" si="400"/>
        <v>0</v>
      </c>
      <c r="NC21" s="700">
        <f t="shared" si="400"/>
        <v>0</v>
      </c>
      <c r="ND21" s="700">
        <f t="shared" si="400"/>
        <v>0</v>
      </c>
      <c r="NE21" s="700">
        <f t="shared" si="400"/>
        <v>0</v>
      </c>
      <c r="NF21" s="701">
        <f t="shared" si="400"/>
        <v>0</v>
      </c>
      <c r="NG21" s="699">
        <f t="shared" si="400"/>
        <v>0</v>
      </c>
      <c r="NH21" s="700">
        <f t="shared" si="400"/>
        <v>0</v>
      </c>
      <c r="NI21" s="700">
        <f t="shared" si="400"/>
        <v>0</v>
      </c>
      <c r="NJ21" s="700">
        <f t="shared" si="400"/>
        <v>0</v>
      </c>
      <c r="NK21" s="700">
        <f t="shared" si="400"/>
        <v>0</v>
      </c>
      <c r="NL21" s="700">
        <f t="shared" si="400"/>
        <v>0</v>
      </c>
      <c r="NM21" s="700">
        <f t="shared" si="400"/>
        <v>0</v>
      </c>
      <c r="NN21" s="700">
        <f t="shared" si="400"/>
        <v>0</v>
      </c>
      <c r="NO21" s="700">
        <f t="shared" si="400"/>
        <v>0</v>
      </c>
      <c r="NP21" s="700">
        <f t="shared" si="400"/>
        <v>0</v>
      </c>
      <c r="NQ21" s="700">
        <f t="shared" si="400"/>
        <v>0</v>
      </c>
      <c r="NR21" s="708">
        <f t="shared" si="400"/>
        <v>0</v>
      </c>
      <c r="NS21" s="700">
        <f t="shared" si="400"/>
        <v>0</v>
      </c>
      <c r="NT21" s="700">
        <f t="shared" si="400"/>
        <v>0</v>
      </c>
      <c r="NU21" s="700">
        <f t="shared" si="400"/>
        <v>0</v>
      </c>
      <c r="NV21" s="700">
        <f t="shared" si="400"/>
        <v>0</v>
      </c>
      <c r="NW21" s="700">
        <f t="shared" si="400"/>
        <v>0</v>
      </c>
      <c r="NX21" s="700">
        <f t="shared" si="400"/>
        <v>0</v>
      </c>
      <c r="NY21" s="700">
        <f t="shared" si="400"/>
        <v>0</v>
      </c>
      <c r="NZ21" s="701">
        <f t="shared" si="400"/>
        <v>0</v>
      </c>
      <c r="OA21" s="699">
        <f t="shared" si="400"/>
        <v>0</v>
      </c>
      <c r="OB21" s="700">
        <f t="shared" si="400"/>
        <v>0</v>
      </c>
      <c r="OC21" s="700">
        <f t="shared" si="400"/>
        <v>0</v>
      </c>
      <c r="OD21" s="700">
        <f t="shared" si="400"/>
        <v>0</v>
      </c>
      <c r="OE21" s="700">
        <f t="shared" si="400"/>
        <v>0</v>
      </c>
      <c r="OF21" s="700">
        <f t="shared" si="400"/>
        <v>0</v>
      </c>
      <c r="OG21" s="700">
        <f t="shared" si="400"/>
        <v>0</v>
      </c>
      <c r="OH21" s="700">
        <f t="shared" si="400"/>
        <v>0</v>
      </c>
      <c r="OI21" s="700">
        <f t="shared" si="400"/>
        <v>0</v>
      </c>
      <c r="OJ21" s="700">
        <f t="shared" si="400"/>
        <v>0</v>
      </c>
      <c r="OK21" s="700">
        <f t="shared" si="400"/>
        <v>0</v>
      </c>
      <c r="OL21" s="708">
        <f t="shared" si="400"/>
        <v>0</v>
      </c>
      <c r="OM21" s="700">
        <f t="shared" si="400"/>
        <v>0</v>
      </c>
      <c r="ON21" s="700">
        <f t="shared" si="400"/>
        <v>0</v>
      </c>
      <c r="OO21" s="700">
        <f t="shared" si="400"/>
        <v>0</v>
      </c>
      <c r="OP21" s="700">
        <f t="shared" si="400"/>
        <v>0</v>
      </c>
      <c r="OQ21" s="700">
        <f t="shared" si="400"/>
        <v>0</v>
      </c>
      <c r="OR21" s="700">
        <f t="shared" si="400"/>
        <v>0</v>
      </c>
      <c r="OS21" s="700">
        <f t="shared" si="400"/>
        <v>0</v>
      </c>
      <c r="OT21" s="701">
        <f t="shared" si="400"/>
        <v>0</v>
      </c>
      <c r="OU21" s="699">
        <f t="shared" si="400"/>
        <v>0</v>
      </c>
      <c r="OV21" s="700">
        <f t="shared" si="400"/>
        <v>0</v>
      </c>
      <c r="OW21" s="700">
        <f t="shared" si="400"/>
        <v>0</v>
      </c>
      <c r="OX21" s="700">
        <f t="shared" si="400"/>
        <v>0</v>
      </c>
      <c r="OY21" s="700">
        <f t="shared" ref="OY21:RJ21" si="401">IFERROR(MIN(OY8:OY17),"")</f>
        <v>0</v>
      </c>
      <c r="OZ21" s="700">
        <f t="shared" si="401"/>
        <v>0</v>
      </c>
      <c r="PA21" s="700">
        <f t="shared" si="401"/>
        <v>0</v>
      </c>
      <c r="PB21" s="700">
        <f t="shared" si="401"/>
        <v>0</v>
      </c>
      <c r="PC21" s="700">
        <f t="shared" si="401"/>
        <v>0</v>
      </c>
      <c r="PD21" s="700">
        <f t="shared" si="401"/>
        <v>0</v>
      </c>
      <c r="PE21" s="700">
        <f t="shared" si="401"/>
        <v>0</v>
      </c>
      <c r="PF21" s="708">
        <f t="shared" si="401"/>
        <v>0</v>
      </c>
      <c r="PG21" s="700">
        <f t="shared" si="401"/>
        <v>0</v>
      </c>
      <c r="PH21" s="700">
        <f t="shared" si="401"/>
        <v>0</v>
      </c>
      <c r="PI21" s="700">
        <f t="shared" si="401"/>
        <v>0</v>
      </c>
      <c r="PJ21" s="700">
        <f t="shared" si="401"/>
        <v>0</v>
      </c>
      <c r="PK21" s="700">
        <f t="shared" si="401"/>
        <v>0</v>
      </c>
      <c r="PL21" s="700">
        <f t="shared" si="401"/>
        <v>0</v>
      </c>
      <c r="PM21" s="700">
        <f t="shared" si="401"/>
        <v>0</v>
      </c>
      <c r="PN21" s="701">
        <f t="shared" si="401"/>
        <v>0</v>
      </c>
      <c r="PO21" s="699">
        <f t="shared" si="401"/>
        <v>0.62307779377886319</v>
      </c>
      <c r="PP21" s="700">
        <f t="shared" si="401"/>
        <v>0</v>
      </c>
      <c r="PQ21" s="700">
        <f t="shared" si="401"/>
        <v>0</v>
      </c>
      <c r="PR21" s="700">
        <f t="shared" si="401"/>
        <v>0</v>
      </c>
      <c r="PS21" s="700">
        <f t="shared" si="401"/>
        <v>0</v>
      </c>
      <c r="PT21" s="700">
        <f t="shared" si="401"/>
        <v>0</v>
      </c>
      <c r="PU21" s="700">
        <f t="shared" si="401"/>
        <v>0</v>
      </c>
      <c r="PV21" s="700">
        <f t="shared" si="401"/>
        <v>0</v>
      </c>
      <c r="PW21" s="700">
        <f t="shared" si="401"/>
        <v>0</v>
      </c>
      <c r="PX21" s="700">
        <f t="shared" si="401"/>
        <v>0</v>
      </c>
      <c r="PY21" s="700">
        <f t="shared" si="401"/>
        <v>0</v>
      </c>
      <c r="PZ21" s="700">
        <f t="shared" si="401"/>
        <v>0</v>
      </c>
      <c r="QA21" s="700">
        <f t="shared" si="401"/>
        <v>0</v>
      </c>
      <c r="QB21" s="700">
        <f t="shared" si="401"/>
        <v>0</v>
      </c>
      <c r="QC21" s="700">
        <f t="shared" si="401"/>
        <v>0</v>
      </c>
      <c r="QD21" s="700">
        <f t="shared" si="401"/>
        <v>0</v>
      </c>
      <c r="QE21" s="700">
        <f t="shared" si="401"/>
        <v>0</v>
      </c>
      <c r="QF21" s="700">
        <f t="shared" si="401"/>
        <v>0</v>
      </c>
      <c r="QG21" s="700">
        <f t="shared" si="401"/>
        <v>0</v>
      </c>
      <c r="QH21" s="701">
        <f t="shared" si="401"/>
        <v>0</v>
      </c>
      <c r="QI21" s="699">
        <f t="shared" si="401"/>
        <v>0</v>
      </c>
      <c r="QJ21" s="700">
        <f t="shared" si="401"/>
        <v>0</v>
      </c>
      <c r="QK21" s="700">
        <f t="shared" si="401"/>
        <v>0</v>
      </c>
      <c r="QL21" s="700">
        <f t="shared" si="401"/>
        <v>0</v>
      </c>
      <c r="QM21" s="700">
        <f t="shared" si="401"/>
        <v>0</v>
      </c>
      <c r="QN21" s="700">
        <f t="shared" si="401"/>
        <v>0</v>
      </c>
      <c r="QO21" s="700">
        <f t="shared" si="401"/>
        <v>0</v>
      </c>
      <c r="QP21" s="700">
        <f t="shared" si="401"/>
        <v>0</v>
      </c>
      <c r="QQ21" s="700">
        <f t="shared" si="401"/>
        <v>0</v>
      </c>
      <c r="QR21" s="700">
        <f t="shared" si="401"/>
        <v>0</v>
      </c>
      <c r="QS21" s="700">
        <f t="shared" si="401"/>
        <v>0</v>
      </c>
      <c r="QT21" s="700">
        <f t="shared" si="401"/>
        <v>0</v>
      </c>
      <c r="QU21" s="700">
        <f t="shared" si="401"/>
        <v>0</v>
      </c>
      <c r="QV21" s="700">
        <f t="shared" si="401"/>
        <v>0</v>
      </c>
      <c r="QW21" s="700">
        <f t="shared" si="401"/>
        <v>0</v>
      </c>
      <c r="QX21" s="700">
        <f t="shared" si="401"/>
        <v>0</v>
      </c>
      <c r="QY21" s="700">
        <f t="shared" si="401"/>
        <v>0</v>
      </c>
      <c r="QZ21" s="700">
        <f t="shared" si="401"/>
        <v>0</v>
      </c>
      <c r="RA21" s="700">
        <f t="shared" si="401"/>
        <v>0</v>
      </c>
      <c r="RB21" s="701">
        <f t="shared" si="401"/>
        <v>0</v>
      </c>
      <c r="RC21" s="624">
        <f t="shared" si="401"/>
        <v>0</v>
      </c>
      <c r="RD21" s="625">
        <f t="shared" si="401"/>
        <v>0</v>
      </c>
      <c r="RE21" s="625">
        <f t="shared" si="401"/>
        <v>0</v>
      </c>
      <c r="RF21" s="625">
        <f t="shared" si="401"/>
        <v>0</v>
      </c>
      <c r="RG21" s="625">
        <f t="shared" si="401"/>
        <v>0</v>
      </c>
      <c r="RH21" s="625">
        <f t="shared" si="401"/>
        <v>0</v>
      </c>
      <c r="RI21" s="625">
        <f t="shared" si="401"/>
        <v>0</v>
      </c>
      <c r="RJ21" s="625">
        <f t="shared" si="401"/>
        <v>0</v>
      </c>
      <c r="RK21" s="625">
        <f t="shared" ref="RK21:TV21" si="402">IFERROR(MIN(RK8:RK17),"")</f>
        <v>0</v>
      </c>
      <c r="RL21" s="625">
        <f t="shared" si="402"/>
        <v>0</v>
      </c>
      <c r="RM21" s="625">
        <f t="shared" si="402"/>
        <v>0</v>
      </c>
      <c r="RN21" s="625">
        <f t="shared" si="402"/>
        <v>0</v>
      </c>
      <c r="RO21" s="625">
        <f t="shared" si="402"/>
        <v>0</v>
      </c>
      <c r="RP21" s="625">
        <f t="shared" si="402"/>
        <v>0</v>
      </c>
      <c r="RQ21" s="625">
        <f t="shared" si="402"/>
        <v>0</v>
      </c>
      <c r="RR21" s="625">
        <f t="shared" si="402"/>
        <v>0</v>
      </c>
      <c r="RS21" s="625">
        <f t="shared" si="402"/>
        <v>0</v>
      </c>
      <c r="RT21" s="625">
        <f t="shared" si="402"/>
        <v>0</v>
      </c>
      <c r="RU21" s="625">
        <f t="shared" si="402"/>
        <v>0</v>
      </c>
      <c r="RV21" s="626">
        <f t="shared" si="402"/>
        <v>0</v>
      </c>
      <c r="RW21" s="699">
        <f t="shared" si="402"/>
        <v>0</v>
      </c>
      <c r="RX21" s="700">
        <f t="shared" si="402"/>
        <v>0</v>
      </c>
      <c r="RY21" s="700">
        <f t="shared" si="402"/>
        <v>0</v>
      </c>
      <c r="RZ21" s="700">
        <f t="shared" si="402"/>
        <v>0</v>
      </c>
      <c r="SA21" s="700">
        <f t="shared" si="402"/>
        <v>0</v>
      </c>
      <c r="SB21" s="700">
        <f t="shared" si="402"/>
        <v>0</v>
      </c>
      <c r="SC21" s="700">
        <f t="shared" si="402"/>
        <v>0</v>
      </c>
      <c r="SD21" s="700">
        <f t="shared" si="402"/>
        <v>0</v>
      </c>
      <c r="SE21" s="700">
        <f t="shared" si="402"/>
        <v>0</v>
      </c>
      <c r="SF21" s="700">
        <f t="shared" si="402"/>
        <v>0</v>
      </c>
      <c r="SG21" s="700">
        <f t="shared" si="402"/>
        <v>0</v>
      </c>
      <c r="SH21" s="700">
        <f t="shared" si="402"/>
        <v>0</v>
      </c>
      <c r="SI21" s="700">
        <f t="shared" si="402"/>
        <v>0</v>
      </c>
      <c r="SJ21" s="700">
        <f t="shared" si="402"/>
        <v>0</v>
      </c>
      <c r="SK21" s="700">
        <f t="shared" si="402"/>
        <v>0</v>
      </c>
      <c r="SL21" s="700">
        <f t="shared" si="402"/>
        <v>0</v>
      </c>
      <c r="SM21" s="700">
        <f t="shared" si="402"/>
        <v>0</v>
      </c>
      <c r="SN21" s="700">
        <f t="shared" si="402"/>
        <v>0</v>
      </c>
      <c r="SO21" s="700">
        <f t="shared" si="402"/>
        <v>0</v>
      </c>
      <c r="SP21" s="701">
        <f t="shared" si="402"/>
        <v>0</v>
      </c>
      <c r="SQ21" s="699">
        <f t="shared" si="402"/>
        <v>0</v>
      </c>
      <c r="SR21" s="700">
        <f t="shared" si="402"/>
        <v>0</v>
      </c>
      <c r="SS21" s="700">
        <f t="shared" si="402"/>
        <v>0</v>
      </c>
      <c r="ST21" s="700">
        <f t="shared" si="402"/>
        <v>0</v>
      </c>
      <c r="SU21" s="700">
        <f t="shared" si="402"/>
        <v>0</v>
      </c>
      <c r="SV21" s="700">
        <f t="shared" si="402"/>
        <v>0</v>
      </c>
      <c r="SW21" s="700">
        <f t="shared" si="402"/>
        <v>0</v>
      </c>
      <c r="SX21" s="700">
        <f t="shared" si="402"/>
        <v>0</v>
      </c>
      <c r="SY21" s="700">
        <f t="shared" si="402"/>
        <v>0</v>
      </c>
      <c r="SZ21" s="700">
        <f t="shared" si="402"/>
        <v>0</v>
      </c>
      <c r="TA21" s="700">
        <f t="shared" si="402"/>
        <v>0</v>
      </c>
      <c r="TB21" s="700">
        <f t="shared" si="402"/>
        <v>0</v>
      </c>
      <c r="TC21" s="700">
        <f t="shared" si="402"/>
        <v>0</v>
      </c>
      <c r="TD21" s="700">
        <f t="shared" si="402"/>
        <v>0</v>
      </c>
      <c r="TE21" s="700">
        <f t="shared" si="402"/>
        <v>0</v>
      </c>
      <c r="TF21" s="700">
        <f t="shared" si="402"/>
        <v>0</v>
      </c>
      <c r="TG21" s="700">
        <f t="shared" si="402"/>
        <v>0</v>
      </c>
      <c r="TH21" s="700">
        <f t="shared" si="402"/>
        <v>0</v>
      </c>
      <c r="TI21" s="700">
        <f t="shared" si="402"/>
        <v>0</v>
      </c>
      <c r="TJ21" s="701">
        <f t="shared" si="402"/>
        <v>0</v>
      </c>
      <c r="TK21" s="699">
        <f t="shared" si="402"/>
        <v>0</v>
      </c>
      <c r="TL21" s="700">
        <f t="shared" si="402"/>
        <v>0</v>
      </c>
      <c r="TM21" s="700">
        <f t="shared" si="402"/>
        <v>0</v>
      </c>
      <c r="TN21" s="700">
        <f t="shared" si="402"/>
        <v>0</v>
      </c>
      <c r="TO21" s="700">
        <f t="shared" si="402"/>
        <v>0</v>
      </c>
      <c r="TP21" s="700">
        <f t="shared" si="402"/>
        <v>0</v>
      </c>
      <c r="TQ21" s="700">
        <f t="shared" si="402"/>
        <v>0</v>
      </c>
      <c r="TR21" s="700">
        <f t="shared" si="402"/>
        <v>0</v>
      </c>
      <c r="TS21" s="700">
        <f t="shared" si="402"/>
        <v>0</v>
      </c>
      <c r="TT21" s="700">
        <f t="shared" si="402"/>
        <v>0</v>
      </c>
      <c r="TU21" s="700">
        <f t="shared" si="402"/>
        <v>0</v>
      </c>
      <c r="TV21" s="700">
        <f t="shared" si="402"/>
        <v>0</v>
      </c>
      <c r="TW21" s="700">
        <f t="shared" ref="TW21:UX21" si="403">IFERROR(MIN(TW8:TW17),"")</f>
        <v>0</v>
      </c>
      <c r="TX21" s="700">
        <f t="shared" si="403"/>
        <v>0</v>
      </c>
      <c r="TY21" s="700">
        <f t="shared" si="403"/>
        <v>0</v>
      </c>
      <c r="TZ21" s="700">
        <f t="shared" si="403"/>
        <v>0</v>
      </c>
      <c r="UA21" s="700">
        <f t="shared" si="403"/>
        <v>0</v>
      </c>
      <c r="UB21" s="700">
        <f t="shared" si="403"/>
        <v>0</v>
      </c>
      <c r="UC21" s="700">
        <f t="shared" si="403"/>
        <v>0</v>
      </c>
      <c r="UD21" s="701">
        <f t="shared" si="403"/>
        <v>0</v>
      </c>
      <c r="UE21" s="699">
        <f t="shared" si="403"/>
        <v>0</v>
      </c>
      <c r="UF21" s="700">
        <f t="shared" si="403"/>
        <v>0</v>
      </c>
      <c r="UG21" s="700">
        <f t="shared" si="403"/>
        <v>0</v>
      </c>
      <c r="UH21" s="700">
        <f t="shared" si="403"/>
        <v>0</v>
      </c>
      <c r="UI21" s="700">
        <f t="shared" si="403"/>
        <v>0</v>
      </c>
      <c r="UJ21" s="700">
        <f t="shared" si="403"/>
        <v>0</v>
      </c>
      <c r="UK21" s="700">
        <f t="shared" si="403"/>
        <v>0</v>
      </c>
      <c r="UL21" s="700">
        <f t="shared" si="403"/>
        <v>0</v>
      </c>
      <c r="UM21" s="700">
        <f t="shared" si="403"/>
        <v>0</v>
      </c>
      <c r="UN21" s="700">
        <f t="shared" si="403"/>
        <v>0</v>
      </c>
      <c r="UO21" s="700">
        <f t="shared" si="403"/>
        <v>0</v>
      </c>
      <c r="UP21" s="700">
        <f t="shared" si="403"/>
        <v>0</v>
      </c>
      <c r="UQ21" s="700">
        <f t="shared" si="403"/>
        <v>0</v>
      </c>
      <c r="UR21" s="700">
        <f t="shared" si="403"/>
        <v>0</v>
      </c>
      <c r="US21" s="700">
        <f t="shared" si="403"/>
        <v>0</v>
      </c>
      <c r="UT21" s="700">
        <f t="shared" si="403"/>
        <v>0</v>
      </c>
      <c r="UU21" s="700">
        <f t="shared" si="403"/>
        <v>0</v>
      </c>
      <c r="UV21" s="700">
        <f t="shared" si="403"/>
        <v>0</v>
      </c>
      <c r="UW21" s="700">
        <f t="shared" si="403"/>
        <v>0</v>
      </c>
      <c r="UX21" s="701">
        <f t="shared" si="403"/>
        <v>0</v>
      </c>
    </row>
    <row r="22" spans="1:16344" x14ac:dyDescent="0.2">
      <c r="A22" s="99" t="s">
        <v>83</v>
      </c>
      <c r="B22" s="100"/>
      <c r="C22" s="100"/>
      <c r="D22" s="100"/>
      <c r="E22" s="101"/>
      <c r="F22" s="101"/>
      <c r="G22" s="102" t="str">
        <f t="shared" ref="G22:W22" si="404">IFERROR(STDEV(G8:G17),"")</f>
        <v/>
      </c>
      <c r="H22" s="102" t="str">
        <f t="shared" si="404"/>
        <v/>
      </c>
      <c r="I22" s="102" t="str">
        <f t="shared" si="404"/>
        <v/>
      </c>
      <c r="J22" s="102" t="str">
        <f t="shared" si="404"/>
        <v/>
      </c>
      <c r="K22" s="102" t="str">
        <f t="shared" si="404"/>
        <v/>
      </c>
      <c r="L22" s="102" t="str">
        <f>IFERROR(STDEV(L8:L17),"")</f>
        <v/>
      </c>
      <c r="M22" s="102" t="str">
        <f>IFERROR(STDEV(M8:M17),"")</f>
        <v/>
      </c>
      <c r="N22" s="102" t="str">
        <f>IFERROR(STDEV(N8:N17),"")</f>
        <v/>
      </c>
      <c r="O22" s="102" t="str">
        <f>IFERROR(STDEV(O8:O17),"")</f>
        <v/>
      </c>
      <c r="P22" s="102" t="str">
        <f>IFERROR(STDEV(P8:P17),"")</f>
        <v/>
      </c>
      <c r="Q22" s="102" t="str">
        <f t="shared" si="404"/>
        <v/>
      </c>
      <c r="R22" s="102" t="str">
        <f t="shared" ref="R22" si="405">IFERROR(STDEV(R8:R17),"")</f>
        <v/>
      </c>
      <c r="S22" s="102" t="str">
        <f t="shared" si="404"/>
        <v/>
      </c>
      <c r="T22" s="102" t="str">
        <f>IFERROR(STDEV(T8:T17),"")</f>
        <v/>
      </c>
      <c r="U22" s="102" t="str">
        <f t="shared" ref="U22" si="406">IFERROR(STDEV(U8:U17),"")</f>
        <v/>
      </c>
      <c r="V22" s="102" t="str">
        <f>IFERROR(STDEV(V8:V17),"")</f>
        <v/>
      </c>
      <c r="W22" s="102" t="str">
        <f t="shared" si="404"/>
        <v/>
      </c>
      <c r="X22" s="102" t="str">
        <f t="shared" ref="X22:AC22" si="407">IFERROR(STDEV(X8:X17),"")</f>
        <v/>
      </c>
      <c r="Y22" s="102" t="str">
        <f t="shared" si="407"/>
        <v/>
      </c>
      <c r="Z22" s="993" t="str">
        <f t="shared" si="407"/>
        <v/>
      </c>
      <c r="AA22" s="102" t="str">
        <f t="shared" si="407"/>
        <v/>
      </c>
      <c r="AB22" s="102" t="str">
        <f t="shared" si="407"/>
        <v/>
      </c>
      <c r="AC22" s="1024" t="str">
        <f t="shared" si="407"/>
        <v/>
      </c>
      <c r="AD22" s="104"/>
      <c r="AE22" s="699" t="str">
        <f t="shared" ref="AE22:CP22" si="408">IFERROR(STDEV(AE8:AE17),"")</f>
        <v/>
      </c>
      <c r="AF22" s="700" t="str">
        <f t="shared" si="408"/>
        <v/>
      </c>
      <c r="AG22" s="700" t="str">
        <f t="shared" si="408"/>
        <v/>
      </c>
      <c r="AH22" s="700" t="str">
        <f t="shared" si="408"/>
        <v/>
      </c>
      <c r="AI22" s="700" t="str">
        <f t="shared" si="408"/>
        <v/>
      </c>
      <c r="AJ22" s="700" t="str">
        <f t="shared" si="408"/>
        <v/>
      </c>
      <c r="AK22" s="700" t="str">
        <f t="shared" si="408"/>
        <v/>
      </c>
      <c r="AL22" s="700" t="str">
        <f t="shared" si="408"/>
        <v/>
      </c>
      <c r="AM22" s="700" t="str">
        <f t="shared" si="408"/>
        <v/>
      </c>
      <c r="AN22" s="700" t="str">
        <f t="shared" si="408"/>
        <v/>
      </c>
      <c r="AO22" s="700" t="str">
        <f t="shared" si="408"/>
        <v/>
      </c>
      <c r="AP22" s="700" t="str">
        <f t="shared" si="408"/>
        <v/>
      </c>
      <c r="AQ22" s="700" t="str">
        <f t="shared" si="408"/>
        <v/>
      </c>
      <c r="AR22" s="700" t="str">
        <f t="shared" si="408"/>
        <v/>
      </c>
      <c r="AS22" s="700" t="str">
        <f t="shared" si="408"/>
        <v/>
      </c>
      <c r="AT22" s="700" t="str">
        <f t="shared" si="408"/>
        <v/>
      </c>
      <c r="AU22" s="700" t="str">
        <f t="shared" si="408"/>
        <v/>
      </c>
      <c r="AV22" s="700" t="str">
        <f t="shared" si="408"/>
        <v/>
      </c>
      <c r="AW22" s="700" t="str">
        <f t="shared" si="408"/>
        <v/>
      </c>
      <c r="AX22" s="701" t="str">
        <f t="shared" si="408"/>
        <v/>
      </c>
      <c r="AY22" s="699" t="str">
        <f t="shared" si="408"/>
        <v/>
      </c>
      <c r="AZ22" s="700" t="str">
        <f t="shared" si="408"/>
        <v/>
      </c>
      <c r="BA22" s="700" t="str">
        <f t="shared" si="408"/>
        <v/>
      </c>
      <c r="BB22" s="700" t="str">
        <f t="shared" si="408"/>
        <v/>
      </c>
      <c r="BC22" s="700" t="str">
        <f t="shared" si="408"/>
        <v/>
      </c>
      <c r="BD22" s="700" t="str">
        <f t="shared" si="408"/>
        <v/>
      </c>
      <c r="BE22" s="700" t="str">
        <f t="shared" si="408"/>
        <v/>
      </c>
      <c r="BF22" s="700" t="str">
        <f t="shared" si="408"/>
        <v/>
      </c>
      <c r="BG22" s="700" t="str">
        <f t="shared" si="408"/>
        <v/>
      </c>
      <c r="BH22" s="700" t="str">
        <f t="shared" si="408"/>
        <v/>
      </c>
      <c r="BI22" s="700" t="str">
        <f t="shared" si="408"/>
        <v/>
      </c>
      <c r="BJ22" s="700" t="str">
        <f t="shared" si="408"/>
        <v/>
      </c>
      <c r="BK22" s="700" t="str">
        <f t="shared" si="408"/>
        <v/>
      </c>
      <c r="BL22" s="700" t="str">
        <f t="shared" si="408"/>
        <v/>
      </c>
      <c r="BM22" s="700" t="str">
        <f t="shared" si="408"/>
        <v/>
      </c>
      <c r="BN22" s="700" t="str">
        <f t="shared" si="408"/>
        <v/>
      </c>
      <c r="BO22" s="700" t="str">
        <f t="shared" si="408"/>
        <v/>
      </c>
      <c r="BP22" s="700" t="str">
        <f t="shared" si="408"/>
        <v/>
      </c>
      <c r="BQ22" s="700" t="str">
        <f t="shared" si="408"/>
        <v/>
      </c>
      <c r="BR22" s="701" t="str">
        <f t="shared" si="408"/>
        <v/>
      </c>
      <c r="BS22" s="699" t="str">
        <f t="shared" si="408"/>
        <v/>
      </c>
      <c r="BT22" s="700" t="str">
        <f t="shared" si="408"/>
        <v/>
      </c>
      <c r="BU22" s="700" t="str">
        <f t="shared" si="408"/>
        <v/>
      </c>
      <c r="BV22" s="700" t="str">
        <f t="shared" si="408"/>
        <v/>
      </c>
      <c r="BW22" s="700" t="str">
        <f t="shared" si="408"/>
        <v/>
      </c>
      <c r="BX22" s="700" t="str">
        <f t="shared" si="408"/>
        <v/>
      </c>
      <c r="BY22" s="700" t="str">
        <f t="shared" si="408"/>
        <v/>
      </c>
      <c r="BZ22" s="700" t="str">
        <f t="shared" si="408"/>
        <v/>
      </c>
      <c r="CA22" s="700" t="str">
        <f t="shared" si="408"/>
        <v/>
      </c>
      <c r="CB22" s="700" t="str">
        <f t="shared" si="408"/>
        <v/>
      </c>
      <c r="CC22" s="700" t="str">
        <f t="shared" si="408"/>
        <v/>
      </c>
      <c r="CD22" s="700" t="str">
        <f t="shared" si="408"/>
        <v/>
      </c>
      <c r="CE22" s="700" t="str">
        <f t="shared" si="408"/>
        <v/>
      </c>
      <c r="CF22" s="700" t="str">
        <f t="shared" si="408"/>
        <v/>
      </c>
      <c r="CG22" s="700" t="str">
        <f t="shared" si="408"/>
        <v/>
      </c>
      <c r="CH22" s="700" t="str">
        <f t="shared" si="408"/>
        <v/>
      </c>
      <c r="CI22" s="700" t="str">
        <f t="shared" si="408"/>
        <v/>
      </c>
      <c r="CJ22" s="700" t="str">
        <f t="shared" si="408"/>
        <v/>
      </c>
      <c r="CK22" s="700" t="str">
        <f t="shared" si="408"/>
        <v/>
      </c>
      <c r="CL22" s="701" t="str">
        <f t="shared" si="408"/>
        <v/>
      </c>
      <c r="CM22" s="699" t="str">
        <f t="shared" si="408"/>
        <v/>
      </c>
      <c r="CN22" s="700" t="str">
        <f t="shared" si="408"/>
        <v/>
      </c>
      <c r="CO22" s="700" t="str">
        <f t="shared" si="408"/>
        <v/>
      </c>
      <c r="CP22" s="700" t="str">
        <f t="shared" si="408"/>
        <v/>
      </c>
      <c r="CQ22" s="700" t="str">
        <f t="shared" ref="CQ22:FB22" si="409">IFERROR(STDEV(CQ8:CQ17),"")</f>
        <v/>
      </c>
      <c r="CR22" s="700" t="str">
        <f t="shared" si="409"/>
        <v/>
      </c>
      <c r="CS22" s="700" t="str">
        <f t="shared" si="409"/>
        <v/>
      </c>
      <c r="CT22" s="700" t="str">
        <f t="shared" si="409"/>
        <v/>
      </c>
      <c r="CU22" s="700" t="str">
        <f t="shared" si="409"/>
        <v/>
      </c>
      <c r="CV22" s="700" t="str">
        <f t="shared" si="409"/>
        <v/>
      </c>
      <c r="CW22" s="700" t="str">
        <f t="shared" si="409"/>
        <v/>
      </c>
      <c r="CX22" s="700" t="str">
        <f t="shared" si="409"/>
        <v/>
      </c>
      <c r="CY22" s="700" t="str">
        <f t="shared" si="409"/>
        <v/>
      </c>
      <c r="CZ22" s="700" t="str">
        <f t="shared" si="409"/>
        <v/>
      </c>
      <c r="DA22" s="700" t="str">
        <f t="shared" si="409"/>
        <v/>
      </c>
      <c r="DB22" s="700" t="str">
        <f t="shared" si="409"/>
        <v/>
      </c>
      <c r="DC22" s="700" t="str">
        <f t="shared" si="409"/>
        <v/>
      </c>
      <c r="DD22" s="700" t="str">
        <f t="shared" si="409"/>
        <v/>
      </c>
      <c r="DE22" s="700" t="str">
        <f t="shared" si="409"/>
        <v/>
      </c>
      <c r="DF22" s="701" t="str">
        <f t="shared" si="409"/>
        <v/>
      </c>
      <c r="DG22" s="699" t="str">
        <f t="shared" si="409"/>
        <v/>
      </c>
      <c r="DH22" s="700" t="str">
        <f t="shared" si="409"/>
        <v/>
      </c>
      <c r="DI22" s="700" t="str">
        <f t="shared" si="409"/>
        <v/>
      </c>
      <c r="DJ22" s="700" t="str">
        <f t="shared" si="409"/>
        <v/>
      </c>
      <c r="DK22" s="700" t="str">
        <f t="shared" si="409"/>
        <v/>
      </c>
      <c r="DL22" s="700" t="str">
        <f t="shared" si="409"/>
        <v/>
      </c>
      <c r="DM22" s="700" t="str">
        <f t="shared" si="409"/>
        <v/>
      </c>
      <c r="DN22" s="700" t="str">
        <f t="shared" si="409"/>
        <v/>
      </c>
      <c r="DO22" s="700" t="str">
        <f t="shared" si="409"/>
        <v/>
      </c>
      <c r="DP22" s="700" t="str">
        <f t="shared" si="409"/>
        <v/>
      </c>
      <c r="DQ22" s="700" t="str">
        <f t="shared" si="409"/>
        <v/>
      </c>
      <c r="DR22" s="700" t="str">
        <f t="shared" si="409"/>
        <v/>
      </c>
      <c r="DS22" s="700" t="str">
        <f t="shared" si="409"/>
        <v/>
      </c>
      <c r="DT22" s="700" t="str">
        <f t="shared" si="409"/>
        <v/>
      </c>
      <c r="DU22" s="700" t="str">
        <f t="shared" si="409"/>
        <v/>
      </c>
      <c r="DV22" s="700" t="str">
        <f t="shared" si="409"/>
        <v/>
      </c>
      <c r="DW22" s="700" t="str">
        <f t="shared" si="409"/>
        <v/>
      </c>
      <c r="DX22" s="700" t="str">
        <f t="shared" si="409"/>
        <v/>
      </c>
      <c r="DY22" s="700" t="str">
        <f t="shared" si="409"/>
        <v/>
      </c>
      <c r="DZ22" s="701" t="str">
        <f t="shared" si="409"/>
        <v/>
      </c>
      <c r="EA22" s="699" t="str">
        <f t="shared" si="409"/>
        <v/>
      </c>
      <c r="EB22" s="700" t="str">
        <f t="shared" si="409"/>
        <v/>
      </c>
      <c r="EC22" s="700" t="str">
        <f t="shared" si="409"/>
        <v/>
      </c>
      <c r="ED22" s="700" t="str">
        <f t="shared" si="409"/>
        <v/>
      </c>
      <c r="EE22" s="700" t="str">
        <f t="shared" si="409"/>
        <v/>
      </c>
      <c r="EF22" s="700" t="str">
        <f t="shared" si="409"/>
        <v/>
      </c>
      <c r="EG22" s="700" t="str">
        <f t="shared" si="409"/>
        <v/>
      </c>
      <c r="EH22" s="700" t="str">
        <f t="shared" si="409"/>
        <v/>
      </c>
      <c r="EI22" s="700" t="str">
        <f t="shared" si="409"/>
        <v/>
      </c>
      <c r="EJ22" s="700" t="str">
        <f t="shared" si="409"/>
        <v/>
      </c>
      <c r="EK22" s="700" t="str">
        <f t="shared" si="409"/>
        <v/>
      </c>
      <c r="EL22" s="700" t="str">
        <f t="shared" si="409"/>
        <v/>
      </c>
      <c r="EM22" s="700" t="str">
        <f t="shared" si="409"/>
        <v/>
      </c>
      <c r="EN22" s="700" t="str">
        <f t="shared" si="409"/>
        <v/>
      </c>
      <c r="EO22" s="700" t="str">
        <f t="shared" si="409"/>
        <v/>
      </c>
      <c r="EP22" s="700" t="str">
        <f t="shared" si="409"/>
        <v/>
      </c>
      <c r="EQ22" s="700" t="str">
        <f t="shared" si="409"/>
        <v/>
      </c>
      <c r="ER22" s="700" t="str">
        <f t="shared" si="409"/>
        <v/>
      </c>
      <c r="ES22" s="700" t="str">
        <f t="shared" si="409"/>
        <v/>
      </c>
      <c r="ET22" s="701" t="str">
        <f t="shared" si="409"/>
        <v/>
      </c>
      <c r="EU22" s="699" t="str">
        <f t="shared" si="409"/>
        <v/>
      </c>
      <c r="EV22" s="700" t="str">
        <f t="shared" si="409"/>
        <v/>
      </c>
      <c r="EW22" s="700" t="str">
        <f t="shared" si="409"/>
        <v/>
      </c>
      <c r="EX22" s="700" t="str">
        <f t="shared" si="409"/>
        <v/>
      </c>
      <c r="EY22" s="700" t="str">
        <f t="shared" si="409"/>
        <v/>
      </c>
      <c r="EZ22" s="700" t="str">
        <f t="shared" si="409"/>
        <v/>
      </c>
      <c r="FA22" s="700" t="str">
        <f t="shared" si="409"/>
        <v/>
      </c>
      <c r="FB22" s="700" t="str">
        <f t="shared" si="409"/>
        <v/>
      </c>
      <c r="FC22" s="700" t="str">
        <f t="shared" ref="FC22:HN22" si="410">IFERROR(STDEV(FC8:FC17),"")</f>
        <v/>
      </c>
      <c r="FD22" s="700" t="str">
        <f t="shared" si="410"/>
        <v/>
      </c>
      <c r="FE22" s="700" t="str">
        <f t="shared" si="410"/>
        <v/>
      </c>
      <c r="FF22" s="700" t="str">
        <f t="shared" si="410"/>
        <v/>
      </c>
      <c r="FG22" s="700" t="str">
        <f t="shared" si="410"/>
        <v/>
      </c>
      <c r="FH22" s="700" t="str">
        <f t="shared" si="410"/>
        <v/>
      </c>
      <c r="FI22" s="700" t="str">
        <f t="shared" si="410"/>
        <v/>
      </c>
      <c r="FJ22" s="700" t="str">
        <f t="shared" si="410"/>
        <v/>
      </c>
      <c r="FK22" s="700" t="str">
        <f t="shared" si="410"/>
        <v/>
      </c>
      <c r="FL22" s="700" t="str">
        <f t="shared" si="410"/>
        <v/>
      </c>
      <c r="FM22" s="700" t="str">
        <f t="shared" si="410"/>
        <v/>
      </c>
      <c r="FN22" s="701" t="str">
        <f t="shared" si="410"/>
        <v/>
      </c>
      <c r="FO22" s="699" t="str">
        <f t="shared" si="410"/>
        <v/>
      </c>
      <c r="FP22" s="700" t="str">
        <f t="shared" si="410"/>
        <v/>
      </c>
      <c r="FQ22" s="700" t="str">
        <f t="shared" si="410"/>
        <v/>
      </c>
      <c r="FR22" s="700" t="str">
        <f t="shared" si="410"/>
        <v/>
      </c>
      <c r="FS22" s="700" t="str">
        <f t="shared" si="410"/>
        <v/>
      </c>
      <c r="FT22" s="700" t="str">
        <f t="shared" si="410"/>
        <v/>
      </c>
      <c r="FU22" s="700" t="str">
        <f t="shared" si="410"/>
        <v/>
      </c>
      <c r="FV22" s="700" t="str">
        <f t="shared" si="410"/>
        <v/>
      </c>
      <c r="FW22" s="700" t="str">
        <f t="shared" si="410"/>
        <v/>
      </c>
      <c r="FX22" s="700" t="str">
        <f t="shared" si="410"/>
        <v/>
      </c>
      <c r="FY22" s="700" t="str">
        <f t="shared" si="410"/>
        <v/>
      </c>
      <c r="FZ22" s="700" t="str">
        <f t="shared" si="410"/>
        <v/>
      </c>
      <c r="GA22" s="700" t="str">
        <f t="shared" si="410"/>
        <v/>
      </c>
      <c r="GB22" s="700" t="str">
        <f t="shared" si="410"/>
        <v/>
      </c>
      <c r="GC22" s="700" t="str">
        <f t="shared" si="410"/>
        <v/>
      </c>
      <c r="GD22" s="700" t="str">
        <f t="shared" si="410"/>
        <v/>
      </c>
      <c r="GE22" s="700" t="str">
        <f t="shared" si="410"/>
        <v/>
      </c>
      <c r="GF22" s="700" t="str">
        <f t="shared" si="410"/>
        <v/>
      </c>
      <c r="GG22" s="700" t="str">
        <f t="shared" si="410"/>
        <v/>
      </c>
      <c r="GH22" s="701" t="str">
        <f t="shared" si="410"/>
        <v/>
      </c>
      <c r="GI22" s="699" t="str">
        <f t="shared" si="410"/>
        <v/>
      </c>
      <c r="GJ22" s="700" t="str">
        <f t="shared" si="410"/>
        <v/>
      </c>
      <c r="GK22" s="700" t="str">
        <f t="shared" si="410"/>
        <v/>
      </c>
      <c r="GL22" s="700" t="str">
        <f t="shared" si="410"/>
        <v/>
      </c>
      <c r="GM22" s="700" t="str">
        <f t="shared" si="410"/>
        <v/>
      </c>
      <c r="GN22" s="700" t="str">
        <f t="shared" si="410"/>
        <v/>
      </c>
      <c r="GO22" s="700" t="str">
        <f t="shared" si="410"/>
        <v/>
      </c>
      <c r="GP22" s="700" t="str">
        <f t="shared" si="410"/>
        <v/>
      </c>
      <c r="GQ22" s="700" t="str">
        <f t="shared" si="410"/>
        <v/>
      </c>
      <c r="GR22" s="700" t="str">
        <f t="shared" si="410"/>
        <v/>
      </c>
      <c r="GS22" s="700" t="str">
        <f t="shared" si="410"/>
        <v/>
      </c>
      <c r="GT22" s="700" t="str">
        <f t="shared" si="410"/>
        <v/>
      </c>
      <c r="GU22" s="700" t="str">
        <f t="shared" si="410"/>
        <v/>
      </c>
      <c r="GV22" s="700" t="str">
        <f t="shared" si="410"/>
        <v/>
      </c>
      <c r="GW22" s="700" t="str">
        <f t="shared" si="410"/>
        <v/>
      </c>
      <c r="GX22" s="700" t="str">
        <f t="shared" si="410"/>
        <v/>
      </c>
      <c r="GY22" s="700" t="str">
        <f t="shared" si="410"/>
        <v/>
      </c>
      <c r="GZ22" s="700" t="str">
        <f t="shared" si="410"/>
        <v/>
      </c>
      <c r="HA22" s="700" t="str">
        <f t="shared" si="410"/>
        <v/>
      </c>
      <c r="HB22" s="701" t="str">
        <f t="shared" si="410"/>
        <v/>
      </c>
      <c r="HC22" s="699" t="str">
        <f t="shared" si="410"/>
        <v/>
      </c>
      <c r="HD22" s="700" t="str">
        <f t="shared" si="410"/>
        <v/>
      </c>
      <c r="HE22" s="700" t="str">
        <f t="shared" si="410"/>
        <v/>
      </c>
      <c r="HF22" s="700" t="str">
        <f t="shared" si="410"/>
        <v/>
      </c>
      <c r="HG22" s="700" t="str">
        <f t="shared" si="410"/>
        <v/>
      </c>
      <c r="HH22" s="700" t="str">
        <f t="shared" si="410"/>
        <v/>
      </c>
      <c r="HI22" s="700" t="str">
        <f t="shared" si="410"/>
        <v/>
      </c>
      <c r="HJ22" s="700" t="str">
        <f t="shared" si="410"/>
        <v/>
      </c>
      <c r="HK22" s="700" t="str">
        <f t="shared" si="410"/>
        <v/>
      </c>
      <c r="HL22" s="700" t="str">
        <f t="shared" si="410"/>
        <v/>
      </c>
      <c r="HM22" s="700" t="str">
        <f t="shared" si="410"/>
        <v/>
      </c>
      <c r="HN22" s="700" t="str">
        <f t="shared" si="410"/>
        <v/>
      </c>
      <c r="HO22" s="700" t="str">
        <f t="shared" ref="HO22:JZ22" si="411">IFERROR(STDEV(HO8:HO17),"")</f>
        <v/>
      </c>
      <c r="HP22" s="700" t="str">
        <f t="shared" si="411"/>
        <v/>
      </c>
      <c r="HQ22" s="700" t="str">
        <f t="shared" si="411"/>
        <v/>
      </c>
      <c r="HR22" s="700" t="str">
        <f t="shared" si="411"/>
        <v/>
      </c>
      <c r="HS22" s="700" t="str">
        <f t="shared" si="411"/>
        <v/>
      </c>
      <c r="HT22" s="700" t="str">
        <f t="shared" si="411"/>
        <v/>
      </c>
      <c r="HU22" s="700" t="str">
        <f t="shared" si="411"/>
        <v/>
      </c>
      <c r="HV22" s="701" t="str">
        <f t="shared" si="411"/>
        <v/>
      </c>
      <c r="HW22" s="699" t="str">
        <f t="shared" si="411"/>
        <v/>
      </c>
      <c r="HX22" s="700" t="str">
        <f t="shared" si="411"/>
        <v/>
      </c>
      <c r="HY22" s="700" t="str">
        <f t="shared" si="411"/>
        <v/>
      </c>
      <c r="HZ22" s="700" t="str">
        <f t="shared" si="411"/>
        <v/>
      </c>
      <c r="IA22" s="700" t="str">
        <f t="shared" si="411"/>
        <v/>
      </c>
      <c r="IB22" s="700" t="str">
        <f t="shared" si="411"/>
        <v/>
      </c>
      <c r="IC22" s="700" t="str">
        <f t="shared" si="411"/>
        <v/>
      </c>
      <c r="ID22" s="700" t="str">
        <f t="shared" si="411"/>
        <v/>
      </c>
      <c r="IE22" s="700" t="str">
        <f t="shared" si="411"/>
        <v/>
      </c>
      <c r="IF22" s="700" t="str">
        <f t="shared" si="411"/>
        <v/>
      </c>
      <c r="IG22" s="700" t="str">
        <f t="shared" si="411"/>
        <v/>
      </c>
      <c r="IH22" s="700" t="str">
        <f t="shared" si="411"/>
        <v/>
      </c>
      <c r="II22" s="700" t="str">
        <f t="shared" si="411"/>
        <v/>
      </c>
      <c r="IJ22" s="700" t="str">
        <f t="shared" si="411"/>
        <v/>
      </c>
      <c r="IK22" s="700" t="str">
        <f t="shared" si="411"/>
        <v/>
      </c>
      <c r="IL22" s="700" t="str">
        <f t="shared" si="411"/>
        <v/>
      </c>
      <c r="IM22" s="700" t="str">
        <f t="shared" si="411"/>
        <v/>
      </c>
      <c r="IN22" s="700" t="str">
        <f t="shared" si="411"/>
        <v/>
      </c>
      <c r="IO22" s="700" t="str">
        <f t="shared" si="411"/>
        <v/>
      </c>
      <c r="IP22" s="701" t="str">
        <f t="shared" si="411"/>
        <v/>
      </c>
      <c r="IQ22" s="357" t="str">
        <f t="shared" si="411"/>
        <v/>
      </c>
      <c r="IR22" s="358" t="str">
        <f t="shared" si="411"/>
        <v/>
      </c>
      <c r="IS22" s="358" t="str">
        <f t="shared" si="411"/>
        <v/>
      </c>
      <c r="IT22" s="358" t="str">
        <f t="shared" si="411"/>
        <v/>
      </c>
      <c r="IU22" s="358" t="str">
        <f t="shared" si="411"/>
        <v/>
      </c>
      <c r="IV22" s="358" t="str">
        <f t="shared" si="411"/>
        <v/>
      </c>
      <c r="IW22" s="358" t="str">
        <f t="shared" si="411"/>
        <v/>
      </c>
      <c r="IX22" s="358" t="str">
        <f t="shared" si="411"/>
        <v/>
      </c>
      <c r="IY22" s="358" t="str">
        <f t="shared" si="411"/>
        <v/>
      </c>
      <c r="IZ22" s="358" t="str">
        <f t="shared" si="411"/>
        <v/>
      </c>
      <c r="JA22" s="358" t="str">
        <f t="shared" si="411"/>
        <v/>
      </c>
      <c r="JB22" s="358" t="str">
        <f t="shared" si="411"/>
        <v/>
      </c>
      <c r="JC22" s="358" t="str">
        <f t="shared" si="411"/>
        <v/>
      </c>
      <c r="JD22" s="358" t="str">
        <f t="shared" si="411"/>
        <v/>
      </c>
      <c r="JE22" s="358" t="str">
        <f t="shared" si="411"/>
        <v/>
      </c>
      <c r="JF22" s="358" t="str">
        <f t="shared" si="411"/>
        <v/>
      </c>
      <c r="JG22" s="358" t="str">
        <f t="shared" si="411"/>
        <v/>
      </c>
      <c r="JH22" s="358" t="str">
        <f t="shared" si="411"/>
        <v/>
      </c>
      <c r="JI22" s="358" t="str">
        <f t="shared" si="411"/>
        <v/>
      </c>
      <c r="JJ22" s="359" t="str">
        <f t="shared" si="411"/>
        <v/>
      </c>
      <c r="JK22" s="699" t="str">
        <f t="shared" si="411"/>
        <v/>
      </c>
      <c r="JL22" s="700" t="str">
        <f t="shared" si="411"/>
        <v/>
      </c>
      <c r="JM22" s="700" t="str">
        <f t="shared" si="411"/>
        <v/>
      </c>
      <c r="JN22" s="700" t="str">
        <f t="shared" si="411"/>
        <v/>
      </c>
      <c r="JO22" s="700" t="str">
        <f t="shared" si="411"/>
        <v/>
      </c>
      <c r="JP22" s="700" t="str">
        <f t="shared" si="411"/>
        <v/>
      </c>
      <c r="JQ22" s="700" t="str">
        <f t="shared" si="411"/>
        <v/>
      </c>
      <c r="JR22" s="700" t="str">
        <f t="shared" si="411"/>
        <v/>
      </c>
      <c r="JS22" s="700" t="str">
        <f t="shared" si="411"/>
        <v/>
      </c>
      <c r="JT22" s="700" t="str">
        <f t="shared" si="411"/>
        <v/>
      </c>
      <c r="JU22" s="700" t="str">
        <f t="shared" si="411"/>
        <v/>
      </c>
      <c r="JV22" s="700" t="str">
        <f t="shared" si="411"/>
        <v/>
      </c>
      <c r="JW22" s="700" t="str">
        <f t="shared" si="411"/>
        <v/>
      </c>
      <c r="JX22" s="700" t="str">
        <f t="shared" si="411"/>
        <v/>
      </c>
      <c r="JY22" s="700" t="str">
        <f t="shared" si="411"/>
        <v/>
      </c>
      <c r="JZ22" s="700" t="str">
        <f t="shared" si="411"/>
        <v/>
      </c>
      <c r="KA22" s="700" t="str">
        <f t="shared" ref="KA22:ML22" si="412">IFERROR(STDEV(KA8:KA17),"")</f>
        <v/>
      </c>
      <c r="KB22" s="700" t="str">
        <f t="shared" si="412"/>
        <v/>
      </c>
      <c r="KC22" s="700" t="str">
        <f t="shared" si="412"/>
        <v/>
      </c>
      <c r="KD22" s="701" t="str">
        <f t="shared" si="412"/>
        <v/>
      </c>
      <c r="KE22" s="699" t="str">
        <f t="shared" si="412"/>
        <v/>
      </c>
      <c r="KF22" s="700" t="str">
        <f t="shared" si="412"/>
        <v/>
      </c>
      <c r="KG22" s="700" t="str">
        <f t="shared" si="412"/>
        <v/>
      </c>
      <c r="KH22" s="700" t="str">
        <f t="shared" si="412"/>
        <v/>
      </c>
      <c r="KI22" s="700" t="str">
        <f t="shared" si="412"/>
        <v/>
      </c>
      <c r="KJ22" s="700" t="str">
        <f t="shared" si="412"/>
        <v/>
      </c>
      <c r="KK22" s="700" t="str">
        <f t="shared" si="412"/>
        <v/>
      </c>
      <c r="KL22" s="700" t="str">
        <f t="shared" si="412"/>
        <v/>
      </c>
      <c r="KM22" s="700" t="str">
        <f t="shared" si="412"/>
        <v/>
      </c>
      <c r="KN22" s="700" t="str">
        <f t="shared" si="412"/>
        <v/>
      </c>
      <c r="KO22" s="700" t="str">
        <f t="shared" si="412"/>
        <v/>
      </c>
      <c r="KP22" s="700" t="str">
        <f t="shared" si="412"/>
        <v/>
      </c>
      <c r="KQ22" s="700" t="str">
        <f t="shared" si="412"/>
        <v/>
      </c>
      <c r="KR22" s="700" t="str">
        <f t="shared" si="412"/>
        <v/>
      </c>
      <c r="KS22" s="700" t="str">
        <f t="shared" si="412"/>
        <v/>
      </c>
      <c r="KT22" s="700" t="str">
        <f t="shared" si="412"/>
        <v/>
      </c>
      <c r="KU22" s="700" t="str">
        <f t="shared" si="412"/>
        <v/>
      </c>
      <c r="KV22" s="700" t="str">
        <f t="shared" si="412"/>
        <v/>
      </c>
      <c r="KW22" s="700" t="str">
        <f t="shared" si="412"/>
        <v/>
      </c>
      <c r="KX22" s="701" t="str">
        <f t="shared" si="412"/>
        <v/>
      </c>
      <c r="KY22" s="699" t="str">
        <f t="shared" si="412"/>
        <v/>
      </c>
      <c r="KZ22" s="700" t="str">
        <f t="shared" si="412"/>
        <v/>
      </c>
      <c r="LA22" s="700" t="str">
        <f t="shared" si="412"/>
        <v/>
      </c>
      <c r="LB22" s="700" t="str">
        <f t="shared" si="412"/>
        <v/>
      </c>
      <c r="LC22" s="700" t="str">
        <f t="shared" si="412"/>
        <v/>
      </c>
      <c r="LD22" s="700" t="str">
        <f t="shared" si="412"/>
        <v/>
      </c>
      <c r="LE22" s="700" t="str">
        <f t="shared" si="412"/>
        <v/>
      </c>
      <c r="LF22" s="700" t="str">
        <f t="shared" si="412"/>
        <v/>
      </c>
      <c r="LG22" s="700" t="str">
        <f t="shared" si="412"/>
        <v/>
      </c>
      <c r="LH22" s="700" t="str">
        <f t="shared" si="412"/>
        <v/>
      </c>
      <c r="LI22" s="700" t="str">
        <f t="shared" si="412"/>
        <v/>
      </c>
      <c r="LJ22" s="700" t="str">
        <f t="shared" si="412"/>
        <v/>
      </c>
      <c r="LK22" s="700" t="str">
        <f t="shared" si="412"/>
        <v/>
      </c>
      <c r="LL22" s="700" t="str">
        <f t="shared" si="412"/>
        <v/>
      </c>
      <c r="LM22" s="700" t="str">
        <f t="shared" si="412"/>
        <v/>
      </c>
      <c r="LN22" s="700" t="str">
        <f t="shared" si="412"/>
        <v/>
      </c>
      <c r="LO22" s="700" t="str">
        <f t="shared" si="412"/>
        <v/>
      </c>
      <c r="LP22" s="700" t="str">
        <f t="shared" si="412"/>
        <v/>
      </c>
      <c r="LQ22" s="700" t="str">
        <f t="shared" si="412"/>
        <v/>
      </c>
      <c r="LR22" s="701" t="str">
        <f t="shared" si="412"/>
        <v/>
      </c>
      <c r="LS22" s="699" t="str">
        <f t="shared" si="412"/>
        <v/>
      </c>
      <c r="LT22" s="700" t="str">
        <f t="shared" si="412"/>
        <v/>
      </c>
      <c r="LU22" s="700" t="str">
        <f t="shared" si="412"/>
        <v/>
      </c>
      <c r="LV22" s="700" t="str">
        <f t="shared" si="412"/>
        <v/>
      </c>
      <c r="LW22" s="700" t="str">
        <f t="shared" si="412"/>
        <v/>
      </c>
      <c r="LX22" s="700" t="str">
        <f t="shared" si="412"/>
        <v/>
      </c>
      <c r="LY22" s="700" t="str">
        <f t="shared" si="412"/>
        <v/>
      </c>
      <c r="LZ22" s="700" t="str">
        <f t="shared" si="412"/>
        <v/>
      </c>
      <c r="MA22" s="700" t="str">
        <f t="shared" si="412"/>
        <v/>
      </c>
      <c r="MB22" s="700" t="str">
        <f t="shared" si="412"/>
        <v/>
      </c>
      <c r="MC22" s="700" t="str">
        <f t="shared" si="412"/>
        <v/>
      </c>
      <c r="MD22" s="708" t="str">
        <f t="shared" si="412"/>
        <v/>
      </c>
      <c r="ME22" s="700" t="str">
        <f t="shared" si="412"/>
        <v/>
      </c>
      <c r="MF22" s="700" t="str">
        <f t="shared" si="412"/>
        <v/>
      </c>
      <c r="MG22" s="700" t="str">
        <f t="shared" si="412"/>
        <v/>
      </c>
      <c r="MH22" s="700" t="str">
        <f t="shared" si="412"/>
        <v/>
      </c>
      <c r="MI22" s="700" t="str">
        <f t="shared" si="412"/>
        <v/>
      </c>
      <c r="MJ22" s="700" t="str">
        <f t="shared" si="412"/>
        <v/>
      </c>
      <c r="MK22" s="700" t="str">
        <f t="shared" si="412"/>
        <v/>
      </c>
      <c r="ML22" s="701" t="str">
        <f t="shared" si="412"/>
        <v/>
      </c>
      <c r="MM22" s="699" t="str">
        <f t="shared" ref="MM22:OX22" si="413">IFERROR(STDEV(MM8:MM17),"")</f>
        <v/>
      </c>
      <c r="MN22" s="700" t="str">
        <f t="shared" si="413"/>
        <v/>
      </c>
      <c r="MO22" s="700" t="str">
        <f t="shared" si="413"/>
        <v/>
      </c>
      <c r="MP22" s="700" t="str">
        <f t="shared" si="413"/>
        <v/>
      </c>
      <c r="MQ22" s="700" t="str">
        <f t="shared" si="413"/>
        <v/>
      </c>
      <c r="MR22" s="700" t="str">
        <f t="shared" si="413"/>
        <v/>
      </c>
      <c r="MS22" s="700" t="str">
        <f t="shared" si="413"/>
        <v/>
      </c>
      <c r="MT22" s="700" t="str">
        <f t="shared" si="413"/>
        <v/>
      </c>
      <c r="MU22" s="700" t="str">
        <f t="shared" si="413"/>
        <v/>
      </c>
      <c r="MV22" s="700" t="str">
        <f t="shared" si="413"/>
        <v/>
      </c>
      <c r="MW22" s="700" t="str">
        <f t="shared" si="413"/>
        <v/>
      </c>
      <c r="MX22" s="700" t="str">
        <f t="shared" si="413"/>
        <v/>
      </c>
      <c r="MY22" s="700" t="str">
        <f t="shared" si="413"/>
        <v/>
      </c>
      <c r="MZ22" s="700" t="str">
        <f t="shared" si="413"/>
        <v/>
      </c>
      <c r="NA22" s="700" t="str">
        <f t="shared" si="413"/>
        <v/>
      </c>
      <c r="NB22" s="700" t="str">
        <f t="shared" si="413"/>
        <v/>
      </c>
      <c r="NC22" s="700" t="str">
        <f t="shared" si="413"/>
        <v/>
      </c>
      <c r="ND22" s="700" t="str">
        <f t="shared" si="413"/>
        <v/>
      </c>
      <c r="NE22" s="700" t="str">
        <f t="shared" si="413"/>
        <v/>
      </c>
      <c r="NF22" s="701" t="str">
        <f t="shared" si="413"/>
        <v/>
      </c>
      <c r="NG22" s="699" t="str">
        <f t="shared" si="413"/>
        <v/>
      </c>
      <c r="NH22" s="700" t="str">
        <f t="shared" si="413"/>
        <v/>
      </c>
      <c r="NI22" s="700" t="str">
        <f t="shared" si="413"/>
        <v/>
      </c>
      <c r="NJ22" s="700" t="str">
        <f t="shared" si="413"/>
        <v/>
      </c>
      <c r="NK22" s="700" t="str">
        <f t="shared" si="413"/>
        <v/>
      </c>
      <c r="NL22" s="700" t="str">
        <f t="shared" si="413"/>
        <v/>
      </c>
      <c r="NM22" s="700" t="str">
        <f t="shared" si="413"/>
        <v/>
      </c>
      <c r="NN22" s="700" t="str">
        <f t="shared" si="413"/>
        <v/>
      </c>
      <c r="NO22" s="700" t="str">
        <f t="shared" si="413"/>
        <v/>
      </c>
      <c r="NP22" s="700" t="str">
        <f t="shared" si="413"/>
        <v/>
      </c>
      <c r="NQ22" s="700" t="str">
        <f t="shared" si="413"/>
        <v/>
      </c>
      <c r="NR22" s="708" t="str">
        <f t="shared" si="413"/>
        <v/>
      </c>
      <c r="NS22" s="700" t="str">
        <f t="shared" si="413"/>
        <v/>
      </c>
      <c r="NT22" s="700" t="str">
        <f t="shared" si="413"/>
        <v/>
      </c>
      <c r="NU22" s="700" t="str">
        <f t="shared" si="413"/>
        <v/>
      </c>
      <c r="NV22" s="700" t="str">
        <f t="shared" si="413"/>
        <v/>
      </c>
      <c r="NW22" s="700" t="str">
        <f t="shared" si="413"/>
        <v/>
      </c>
      <c r="NX22" s="700" t="str">
        <f t="shared" si="413"/>
        <v/>
      </c>
      <c r="NY22" s="700" t="str">
        <f t="shared" si="413"/>
        <v/>
      </c>
      <c r="NZ22" s="701" t="str">
        <f t="shared" si="413"/>
        <v/>
      </c>
      <c r="OA22" s="699" t="str">
        <f t="shared" si="413"/>
        <v/>
      </c>
      <c r="OB22" s="700" t="str">
        <f t="shared" si="413"/>
        <v/>
      </c>
      <c r="OC22" s="700" t="str">
        <f t="shared" si="413"/>
        <v/>
      </c>
      <c r="OD22" s="700" t="str">
        <f t="shared" si="413"/>
        <v/>
      </c>
      <c r="OE22" s="700" t="str">
        <f t="shared" si="413"/>
        <v/>
      </c>
      <c r="OF22" s="700" t="str">
        <f t="shared" si="413"/>
        <v/>
      </c>
      <c r="OG22" s="700" t="str">
        <f t="shared" si="413"/>
        <v/>
      </c>
      <c r="OH22" s="700" t="str">
        <f t="shared" si="413"/>
        <v/>
      </c>
      <c r="OI22" s="700" t="str">
        <f t="shared" si="413"/>
        <v/>
      </c>
      <c r="OJ22" s="700" t="str">
        <f t="shared" si="413"/>
        <v/>
      </c>
      <c r="OK22" s="700" t="str">
        <f t="shared" si="413"/>
        <v/>
      </c>
      <c r="OL22" s="708" t="str">
        <f t="shared" si="413"/>
        <v/>
      </c>
      <c r="OM22" s="700" t="str">
        <f t="shared" si="413"/>
        <v/>
      </c>
      <c r="ON22" s="700" t="str">
        <f t="shared" si="413"/>
        <v/>
      </c>
      <c r="OO22" s="700" t="str">
        <f t="shared" si="413"/>
        <v/>
      </c>
      <c r="OP22" s="700" t="str">
        <f t="shared" si="413"/>
        <v/>
      </c>
      <c r="OQ22" s="700" t="str">
        <f t="shared" si="413"/>
        <v/>
      </c>
      <c r="OR22" s="700" t="str">
        <f t="shared" si="413"/>
        <v/>
      </c>
      <c r="OS22" s="700" t="str">
        <f t="shared" si="413"/>
        <v/>
      </c>
      <c r="OT22" s="701" t="str">
        <f t="shared" si="413"/>
        <v/>
      </c>
      <c r="OU22" s="699" t="str">
        <f t="shared" si="413"/>
        <v/>
      </c>
      <c r="OV22" s="700" t="str">
        <f t="shared" si="413"/>
        <v/>
      </c>
      <c r="OW22" s="700" t="str">
        <f t="shared" si="413"/>
        <v/>
      </c>
      <c r="OX22" s="700" t="str">
        <f t="shared" si="413"/>
        <v/>
      </c>
      <c r="OY22" s="700" t="str">
        <f t="shared" ref="OY22:RJ22" si="414">IFERROR(STDEV(OY8:OY17),"")</f>
        <v/>
      </c>
      <c r="OZ22" s="700" t="str">
        <f t="shared" si="414"/>
        <v/>
      </c>
      <c r="PA22" s="700" t="str">
        <f t="shared" si="414"/>
        <v/>
      </c>
      <c r="PB22" s="700" t="str">
        <f t="shared" si="414"/>
        <v/>
      </c>
      <c r="PC22" s="700" t="str">
        <f t="shared" si="414"/>
        <v/>
      </c>
      <c r="PD22" s="700" t="str">
        <f t="shared" si="414"/>
        <v/>
      </c>
      <c r="PE22" s="700" t="str">
        <f t="shared" si="414"/>
        <v/>
      </c>
      <c r="PF22" s="708" t="str">
        <f t="shared" si="414"/>
        <v/>
      </c>
      <c r="PG22" s="700" t="str">
        <f t="shared" si="414"/>
        <v/>
      </c>
      <c r="PH22" s="700" t="str">
        <f t="shared" si="414"/>
        <v/>
      </c>
      <c r="PI22" s="700" t="str">
        <f t="shared" si="414"/>
        <v/>
      </c>
      <c r="PJ22" s="700" t="str">
        <f t="shared" si="414"/>
        <v/>
      </c>
      <c r="PK22" s="700" t="str">
        <f t="shared" si="414"/>
        <v/>
      </c>
      <c r="PL22" s="700" t="str">
        <f t="shared" si="414"/>
        <v/>
      </c>
      <c r="PM22" s="700" t="str">
        <f t="shared" si="414"/>
        <v/>
      </c>
      <c r="PN22" s="701" t="str">
        <f t="shared" si="414"/>
        <v/>
      </c>
      <c r="PO22" s="699" t="str">
        <f t="shared" si="414"/>
        <v/>
      </c>
      <c r="PP22" s="700" t="str">
        <f t="shared" si="414"/>
        <v/>
      </c>
      <c r="PQ22" s="700" t="str">
        <f t="shared" si="414"/>
        <v/>
      </c>
      <c r="PR22" s="700" t="str">
        <f t="shared" si="414"/>
        <v/>
      </c>
      <c r="PS22" s="700" t="str">
        <f t="shared" si="414"/>
        <v/>
      </c>
      <c r="PT22" s="700" t="str">
        <f t="shared" si="414"/>
        <v/>
      </c>
      <c r="PU22" s="700" t="str">
        <f t="shared" si="414"/>
        <v/>
      </c>
      <c r="PV22" s="700" t="str">
        <f t="shared" si="414"/>
        <v/>
      </c>
      <c r="PW22" s="700" t="str">
        <f t="shared" si="414"/>
        <v/>
      </c>
      <c r="PX22" s="700" t="str">
        <f t="shared" si="414"/>
        <v/>
      </c>
      <c r="PY22" s="700" t="str">
        <f t="shared" si="414"/>
        <v/>
      </c>
      <c r="PZ22" s="700" t="str">
        <f t="shared" si="414"/>
        <v/>
      </c>
      <c r="QA22" s="700" t="str">
        <f t="shared" si="414"/>
        <v/>
      </c>
      <c r="QB22" s="700" t="str">
        <f t="shared" si="414"/>
        <v/>
      </c>
      <c r="QC22" s="700" t="str">
        <f t="shared" si="414"/>
        <v/>
      </c>
      <c r="QD22" s="700" t="str">
        <f t="shared" si="414"/>
        <v/>
      </c>
      <c r="QE22" s="700" t="str">
        <f t="shared" si="414"/>
        <v/>
      </c>
      <c r="QF22" s="700" t="str">
        <f t="shared" si="414"/>
        <v/>
      </c>
      <c r="QG22" s="700" t="str">
        <f t="shared" si="414"/>
        <v/>
      </c>
      <c r="QH22" s="701" t="str">
        <f t="shared" si="414"/>
        <v/>
      </c>
      <c r="QI22" s="699" t="str">
        <f t="shared" si="414"/>
        <v/>
      </c>
      <c r="QJ22" s="700" t="str">
        <f t="shared" si="414"/>
        <v/>
      </c>
      <c r="QK22" s="700" t="str">
        <f t="shared" si="414"/>
        <v/>
      </c>
      <c r="QL22" s="700" t="str">
        <f t="shared" si="414"/>
        <v/>
      </c>
      <c r="QM22" s="700" t="str">
        <f t="shared" si="414"/>
        <v/>
      </c>
      <c r="QN22" s="700" t="str">
        <f t="shared" si="414"/>
        <v/>
      </c>
      <c r="QO22" s="700" t="str">
        <f t="shared" si="414"/>
        <v/>
      </c>
      <c r="QP22" s="700" t="str">
        <f t="shared" si="414"/>
        <v/>
      </c>
      <c r="QQ22" s="700" t="str">
        <f t="shared" si="414"/>
        <v/>
      </c>
      <c r="QR22" s="700" t="str">
        <f t="shared" si="414"/>
        <v/>
      </c>
      <c r="QS22" s="700" t="str">
        <f t="shared" si="414"/>
        <v/>
      </c>
      <c r="QT22" s="700" t="str">
        <f t="shared" si="414"/>
        <v/>
      </c>
      <c r="QU22" s="700" t="str">
        <f t="shared" si="414"/>
        <v/>
      </c>
      <c r="QV22" s="700" t="str">
        <f t="shared" si="414"/>
        <v/>
      </c>
      <c r="QW22" s="700" t="str">
        <f t="shared" si="414"/>
        <v/>
      </c>
      <c r="QX22" s="700" t="str">
        <f t="shared" si="414"/>
        <v/>
      </c>
      <c r="QY22" s="700" t="str">
        <f t="shared" si="414"/>
        <v/>
      </c>
      <c r="QZ22" s="700" t="str">
        <f t="shared" si="414"/>
        <v/>
      </c>
      <c r="RA22" s="700" t="str">
        <f t="shared" si="414"/>
        <v/>
      </c>
      <c r="RB22" s="701" t="str">
        <f t="shared" si="414"/>
        <v/>
      </c>
      <c r="RC22" s="624" t="str">
        <f t="shared" si="414"/>
        <v/>
      </c>
      <c r="RD22" s="625" t="str">
        <f t="shared" si="414"/>
        <v/>
      </c>
      <c r="RE22" s="625" t="str">
        <f t="shared" si="414"/>
        <v/>
      </c>
      <c r="RF22" s="625" t="str">
        <f t="shared" si="414"/>
        <v/>
      </c>
      <c r="RG22" s="625" t="str">
        <f t="shared" si="414"/>
        <v/>
      </c>
      <c r="RH22" s="625" t="str">
        <f t="shared" si="414"/>
        <v/>
      </c>
      <c r="RI22" s="625" t="str">
        <f t="shared" si="414"/>
        <v/>
      </c>
      <c r="RJ22" s="625" t="str">
        <f t="shared" si="414"/>
        <v/>
      </c>
      <c r="RK22" s="625" t="str">
        <f t="shared" ref="RK22:TV22" si="415">IFERROR(STDEV(RK8:RK17),"")</f>
        <v/>
      </c>
      <c r="RL22" s="625" t="str">
        <f t="shared" si="415"/>
        <v/>
      </c>
      <c r="RM22" s="625" t="str">
        <f t="shared" si="415"/>
        <v/>
      </c>
      <c r="RN22" s="625" t="str">
        <f t="shared" si="415"/>
        <v/>
      </c>
      <c r="RO22" s="625" t="str">
        <f t="shared" si="415"/>
        <v/>
      </c>
      <c r="RP22" s="625" t="str">
        <f t="shared" si="415"/>
        <v/>
      </c>
      <c r="RQ22" s="625" t="str">
        <f t="shared" si="415"/>
        <v/>
      </c>
      <c r="RR22" s="625" t="str">
        <f t="shared" si="415"/>
        <v/>
      </c>
      <c r="RS22" s="625" t="str">
        <f t="shared" si="415"/>
        <v/>
      </c>
      <c r="RT22" s="625" t="str">
        <f t="shared" si="415"/>
        <v/>
      </c>
      <c r="RU22" s="625" t="str">
        <f t="shared" si="415"/>
        <v/>
      </c>
      <c r="RV22" s="626" t="str">
        <f t="shared" si="415"/>
        <v/>
      </c>
      <c r="RW22" s="699" t="str">
        <f t="shared" si="415"/>
        <v/>
      </c>
      <c r="RX22" s="700" t="str">
        <f t="shared" si="415"/>
        <v/>
      </c>
      <c r="RY22" s="700" t="str">
        <f t="shared" si="415"/>
        <v/>
      </c>
      <c r="RZ22" s="700" t="str">
        <f t="shared" si="415"/>
        <v/>
      </c>
      <c r="SA22" s="700" t="str">
        <f t="shared" si="415"/>
        <v/>
      </c>
      <c r="SB22" s="700" t="str">
        <f t="shared" si="415"/>
        <v/>
      </c>
      <c r="SC22" s="700" t="str">
        <f t="shared" si="415"/>
        <v/>
      </c>
      <c r="SD22" s="700" t="str">
        <f t="shared" si="415"/>
        <v/>
      </c>
      <c r="SE22" s="700" t="str">
        <f t="shared" si="415"/>
        <v/>
      </c>
      <c r="SF22" s="700" t="str">
        <f t="shared" si="415"/>
        <v/>
      </c>
      <c r="SG22" s="700" t="str">
        <f t="shared" si="415"/>
        <v/>
      </c>
      <c r="SH22" s="700" t="str">
        <f t="shared" si="415"/>
        <v/>
      </c>
      <c r="SI22" s="700" t="str">
        <f t="shared" si="415"/>
        <v/>
      </c>
      <c r="SJ22" s="700" t="str">
        <f t="shared" si="415"/>
        <v/>
      </c>
      <c r="SK22" s="700" t="str">
        <f t="shared" si="415"/>
        <v/>
      </c>
      <c r="SL22" s="700" t="str">
        <f t="shared" si="415"/>
        <v/>
      </c>
      <c r="SM22" s="700" t="str">
        <f t="shared" si="415"/>
        <v/>
      </c>
      <c r="SN22" s="700" t="str">
        <f t="shared" si="415"/>
        <v/>
      </c>
      <c r="SO22" s="700" t="str">
        <f t="shared" si="415"/>
        <v/>
      </c>
      <c r="SP22" s="701" t="str">
        <f t="shared" si="415"/>
        <v/>
      </c>
      <c r="SQ22" s="699" t="str">
        <f t="shared" si="415"/>
        <v/>
      </c>
      <c r="SR22" s="700" t="str">
        <f t="shared" si="415"/>
        <v/>
      </c>
      <c r="SS22" s="700" t="str">
        <f t="shared" si="415"/>
        <v/>
      </c>
      <c r="ST22" s="700" t="str">
        <f t="shared" si="415"/>
        <v/>
      </c>
      <c r="SU22" s="700" t="str">
        <f t="shared" si="415"/>
        <v/>
      </c>
      <c r="SV22" s="700" t="str">
        <f t="shared" si="415"/>
        <v/>
      </c>
      <c r="SW22" s="700" t="str">
        <f t="shared" si="415"/>
        <v/>
      </c>
      <c r="SX22" s="700" t="str">
        <f t="shared" si="415"/>
        <v/>
      </c>
      <c r="SY22" s="700" t="str">
        <f t="shared" si="415"/>
        <v/>
      </c>
      <c r="SZ22" s="700" t="str">
        <f t="shared" si="415"/>
        <v/>
      </c>
      <c r="TA22" s="700" t="str">
        <f t="shared" si="415"/>
        <v/>
      </c>
      <c r="TB22" s="700" t="str">
        <f t="shared" si="415"/>
        <v/>
      </c>
      <c r="TC22" s="700" t="str">
        <f t="shared" si="415"/>
        <v/>
      </c>
      <c r="TD22" s="700" t="str">
        <f t="shared" si="415"/>
        <v/>
      </c>
      <c r="TE22" s="700" t="str">
        <f t="shared" si="415"/>
        <v/>
      </c>
      <c r="TF22" s="700" t="str">
        <f t="shared" si="415"/>
        <v/>
      </c>
      <c r="TG22" s="700" t="str">
        <f t="shared" si="415"/>
        <v/>
      </c>
      <c r="TH22" s="700" t="str">
        <f t="shared" si="415"/>
        <v/>
      </c>
      <c r="TI22" s="700" t="str">
        <f t="shared" si="415"/>
        <v/>
      </c>
      <c r="TJ22" s="701" t="str">
        <f t="shared" si="415"/>
        <v/>
      </c>
      <c r="TK22" s="699" t="str">
        <f t="shared" si="415"/>
        <v/>
      </c>
      <c r="TL22" s="700" t="str">
        <f t="shared" si="415"/>
        <v/>
      </c>
      <c r="TM22" s="700" t="str">
        <f t="shared" si="415"/>
        <v/>
      </c>
      <c r="TN22" s="700" t="str">
        <f t="shared" si="415"/>
        <v/>
      </c>
      <c r="TO22" s="700" t="str">
        <f t="shared" si="415"/>
        <v/>
      </c>
      <c r="TP22" s="700" t="str">
        <f t="shared" si="415"/>
        <v/>
      </c>
      <c r="TQ22" s="700" t="str">
        <f t="shared" si="415"/>
        <v/>
      </c>
      <c r="TR22" s="700" t="str">
        <f t="shared" si="415"/>
        <v/>
      </c>
      <c r="TS22" s="700" t="str">
        <f t="shared" si="415"/>
        <v/>
      </c>
      <c r="TT22" s="700" t="str">
        <f t="shared" si="415"/>
        <v/>
      </c>
      <c r="TU22" s="700" t="str">
        <f t="shared" si="415"/>
        <v/>
      </c>
      <c r="TV22" s="700" t="str">
        <f t="shared" si="415"/>
        <v/>
      </c>
      <c r="TW22" s="700" t="str">
        <f t="shared" ref="TW22:UX22" si="416">IFERROR(STDEV(TW8:TW17),"")</f>
        <v/>
      </c>
      <c r="TX22" s="700" t="str">
        <f t="shared" si="416"/>
        <v/>
      </c>
      <c r="TY22" s="700" t="str">
        <f t="shared" si="416"/>
        <v/>
      </c>
      <c r="TZ22" s="700" t="str">
        <f t="shared" si="416"/>
        <v/>
      </c>
      <c r="UA22" s="700" t="str">
        <f t="shared" si="416"/>
        <v/>
      </c>
      <c r="UB22" s="700" t="str">
        <f t="shared" si="416"/>
        <v/>
      </c>
      <c r="UC22" s="700" t="str">
        <f t="shared" si="416"/>
        <v/>
      </c>
      <c r="UD22" s="701" t="str">
        <f t="shared" si="416"/>
        <v/>
      </c>
      <c r="UE22" s="699" t="str">
        <f t="shared" si="416"/>
        <v/>
      </c>
      <c r="UF22" s="700" t="str">
        <f t="shared" si="416"/>
        <v/>
      </c>
      <c r="UG22" s="700" t="str">
        <f t="shared" si="416"/>
        <v/>
      </c>
      <c r="UH22" s="700" t="str">
        <f t="shared" si="416"/>
        <v/>
      </c>
      <c r="UI22" s="700" t="str">
        <f t="shared" si="416"/>
        <v/>
      </c>
      <c r="UJ22" s="700" t="str">
        <f t="shared" si="416"/>
        <v/>
      </c>
      <c r="UK22" s="700" t="str">
        <f t="shared" si="416"/>
        <v/>
      </c>
      <c r="UL22" s="700" t="str">
        <f t="shared" si="416"/>
        <v/>
      </c>
      <c r="UM22" s="700" t="str">
        <f t="shared" si="416"/>
        <v/>
      </c>
      <c r="UN22" s="700" t="str">
        <f t="shared" si="416"/>
        <v/>
      </c>
      <c r="UO22" s="700" t="str">
        <f t="shared" si="416"/>
        <v/>
      </c>
      <c r="UP22" s="700" t="str">
        <f t="shared" si="416"/>
        <v/>
      </c>
      <c r="UQ22" s="700" t="str">
        <f t="shared" si="416"/>
        <v/>
      </c>
      <c r="UR22" s="700" t="str">
        <f t="shared" si="416"/>
        <v/>
      </c>
      <c r="US22" s="700" t="str">
        <f t="shared" si="416"/>
        <v/>
      </c>
      <c r="UT22" s="700" t="str">
        <f t="shared" si="416"/>
        <v/>
      </c>
      <c r="UU22" s="700" t="str">
        <f t="shared" si="416"/>
        <v/>
      </c>
      <c r="UV22" s="700" t="str">
        <f t="shared" si="416"/>
        <v/>
      </c>
      <c r="UW22" s="700" t="str">
        <f t="shared" si="416"/>
        <v/>
      </c>
      <c r="UX22" s="701" t="str">
        <f t="shared" si="416"/>
        <v/>
      </c>
    </row>
    <row r="23" spans="1:16344" x14ac:dyDescent="0.2">
      <c r="A23" s="99" t="s">
        <v>84</v>
      </c>
      <c r="B23" s="100"/>
      <c r="C23" s="100"/>
      <c r="D23" s="100"/>
      <c r="E23" s="101"/>
      <c r="F23" s="101"/>
      <c r="G23" s="102">
        <f t="shared" ref="G23:S23" si="417">MAX(G20,G7)</f>
        <v>0.6114511751458106</v>
      </c>
      <c r="H23" s="102">
        <f t="shared" si="417"/>
        <v>0.176866</v>
      </c>
      <c r="I23" s="102">
        <f t="shared" si="417"/>
        <v>0</v>
      </c>
      <c r="J23" s="102">
        <f t="shared" si="417"/>
        <v>3.5382149092137244E-2</v>
      </c>
      <c r="K23" s="102">
        <f t="shared" si="417"/>
        <v>2.6225000000000002E-2</v>
      </c>
      <c r="L23" s="102">
        <f t="shared" si="417"/>
        <v>9.344384555408658E-2</v>
      </c>
      <c r="M23" s="102">
        <f t="shared" si="417"/>
        <v>9.2056706797802534E-2</v>
      </c>
      <c r="N23" s="102">
        <f t="shared" si="417"/>
        <v>0.3053870655033929</v>
      </c>
      <c r="O23" s="102">
        <f t="shared" si="417"/>
        <v>0</v>
      </c>
      <c r="P23" s="102">
        <f t="shared" si="417"/>
        <v>0</v>
      </c>
      <c r="Q23" s="102">
        <f t="shared" si="417"/>
        <v>0</v>
      </c>
      <c r="R23" s="102">
        <f t="shared" si="417"/>
        <v>0</v>
      </c>
      <c r="S23" s="102">
        <f t="shared" si="417"/>
        <v>0</v>
      </c>
      <c r="T23" s="102">
        <f>MIN(T21,T7)</f>
        <v>0</v>
      </c>
      <c r="U23" s="102">
        <f>MIN(U21,U7)</f>
        <v>0</v>
      </c>
      <c r="V23" s="102">
        <f>MIN(V21,V7)</f>
        <v>0</v>
      </c>
      <c r="W23" s="102">
        <f>MIN(W21,W7)</f>
        <v>0</v>
      </c>
      <c r="X23" s="102">
        <f>MIN(X21,X7)</f>
        <v>0</v>
      </c>
      <c r="Y23" s="102">
        <f>MAX(Y20,Y7)</f>
        <v>0</v>
      </c>
      <c r="Z23" s="993">
        <f>MIN(Z21,Z7)</f>
        <v>2.9411552736838313</v>
      </c>
      <c r="AA23" s="102">
        <f>MAX(AA20,AA7)</f>
        <v>0.34184033454370233</v>
      </c>
      <c r="AB23" s="102">
        <f>MIN(AB21,AB7)</f>
        <v>0</v>
      </c>
      <c r="AC23" s="1024">
        <f>MAX(AC20,AC7)</f>
        <v>6.7716200000000004</v>
      </c>
      <c r="AD23" s="104"/>
      <c r="AE23" s="699">
        <f t="shared" ref="AE23:BJ23" si="418">MAX(AE20,AE7)</f>
        <v>0</v>
      </c>
      <c r="AF23" s="700">
        <f t="shared" si="418"/>
        <v>0</v>
      </c>
      <c r="AG23" s="700">
        <f t="shared" si="418"/>
        <v>0</v>
      </c>
      <c r="AH23" s="700">
        <f t="shared" si="418"/>
        <v>0</v>
      </c>
      <c r="AI23" s="700">
        <f t="shared" si="418"/>
        <v>0</v>
      </c>
      <c r="AJ23" s="700">
        <f t="shared" si="418"/>
        <v>0</v>
      </c>
      <c r="AK23" s="700">
        <f t="shared" si="418"/>
        <v>0</v>
      </c>
      <c r="AL23" s="700">
        <f t="shared" si="418"/>
        <v>0</v>
      </c>
      <c r="AM23" s="700">
        <f t="shared" si="418"/>
        <v>0</v>
      </c>
      <c r="AN23" s="700">
        <f t="shared" si="418"/>
        <v>0</v>
      </c>
      <c r="AO23" s="700">
        <f t="shared" si="418"/>
        <v>0</v>
      </c>
      <c r="AP23" s="700">
        <f t="shared" si="418"/>
        <v>0</v>
      </c>
      <c r="AQ23" s="700">
        <f t="shared" si="418"/>
        <v>0</v>
      </c>
      <c r="AR23" s="700">
        <f t="shared" si="418"/>
        <v>0</v>
      </c>
      <c r="AS23" s="700">
        <f t="shared" si="418"/>
        <v>0</v>
      </c>
      <c r="AT23" s="700">
        <f t="shared" si="418"/>
        <v>0</v>
      </c>
      <c r="AU23" s="700">
        <f t="shared" si="418"/>
        <v>0</v>
      </c>
      <c r="AV23" s="700">
        <f t="shared" si="418"/>
        <v>0</v>
      </c>
      <c r="AW23" s="700">
        <f t="shared" si="418"/>
        <v>0</v>
      </c>
      <c r="AX23" s="701">
        <f t="shared" si="418"/>
        <v>0</v>
      </c>
      <c r="AY23" s="699">
        <f t="shared" si="418"/>
        <v>0</v>
      </c>
      <c r="AZ23" s="700">
        <f t="shared" si="418"/>
        <v>0</v>
      </c>
      <c r="BA23" s="700">
        <f t="shared" si="418"/>
        <v>0</v>
      </c>
      <c r="BB23" s="700">
        <f t="shared" si="418"/>
        <v>0</v>
      </c>
      <c r="BC23" s="700">
        <f t="shared" si="418"/>
        <v>0</v>
      </c>
      <c r="BD23" s="700">
        <f t="shared" si="418"/>
        <v>0</v>
      </c>
      <c r="BE23" s="700">
        <f t="shared" si="418"/>
        <v>0</v>
      </c>
      <c r="BF23" s="700">
        <f t="shared" si="418"/>
        <v>0</v>
      </c>
      <c r="BG23" s="700">
        <f t="shared" si="418"/>
        <v>0</v>
      </c>
      <c r="BH23" s="700">
        <f t="shared" si="418"/>
        <v>0</v>
      </c>
      <c r="BI23" s="700">
        <f t="shared" si="418"/>
        <v>0</v>
      </c>
      <c r="BJ23" s="700">
        <f t="shared" si="418"/>
        <v>0</v>
      </c>
      <c r="BK23" s="700">
        <f t="shared" ref="BK23:CL23" si="419">MAX(BK20,BK7)</f>
        <v>0</v>
      </c>
      <c r="BL23" s="700">
        <f t="shared" si="419"/>
        <v>0</v>
      </c>
      <c r="BM23" s="700">
        <f t="shared" si="419"/>
        <v>0</v>
      </c>
      <c r="BN23" s="700">
        <f t="shared" si="419"/>
        <v>0</v>
      </c>
      <c r="BO23" s="700">
        <f t="shared" si="419"/>
        <v>0</v>
      </c>
      <c r="BP23" s="700">
        <f t="shared" si="419"/>
        <v>0</v>
      </c>
      <c r="BQ23" s="700">
        <f t="shared" si="419"/>
        <v>0</v>
      </c>
      <c r="BR23" s="701">
        <f t="shared" si="419"/>
        <v>0</v>
      </c>
      <c r="BS23" s="699">
        <f t="shared" si="419"/>
        <v>0</v>
      </c>
      <c r="BT23" s="700">
        <f t="shared" si="419"/>
        <v>0</v>
      </c>
      <c r="BU23" s="700">
        <f t="shared" si="419"/>
        <v>0</v>
      </c>
      <c r="BV23" s="700">
        <f t="shared" si="419"/>
        <v>0</v>
      </c>
      <c r="BW23" s="700">
        <f t="shared" si="419"/>
        <v>0</v>
      </c>
      <c r="BX23" s="700">
        <f t="shared" si="419"/>
        <v>0</v>
      </c>
      <c r="BY23" s="700">
        <f t="shared" si="419"/>
        <v>0</v>
      </c>
      <c r="BZ23" s="700">
        <f t="shared" si="419"/>
        <v>0</v>
      </c>
      <c r="CA23" s="700">
        <f t="shared" si="419"/>
        <v>0</v>
      </c>
      <c r="CB23" s="700">
        <f t="shared" si="419"/>
        <v>0</v>
      </c>
      <c r="CC23" s="700">
        <f t="shared" si="419"/>
        <v>0</v>
      </c>
      <c r="CD23" s="700">
        <f t="shared" si="419"/>
        <v>0</v>
      </c>
      <c r="CE23" s="700">
        <f t="shared" si="419"/>
        <v>0</v>
      </c>
      <c r="CF23" s="700">
        <f t="shared" si="419"/>
        <v>0</v>
      </c>
      <c r="CG23" s="700">
        <f t="shared" si="419"/>
        <v>0</v>
      </c>
      <c r="CH23" s="700">
        <f t="shared" si="419"/>
        <v>0</v>
      </c>
      <c r="CI23" s="700">
        <f t="shared" si="419"/>
        <v>0</v>
      </c>
      <c r="CJ23" s="700">
        <f t="shared" si="419"/>
        <v>0</v>
      </c>
      <c r="CK23" s="700">
        <f t="shared" si="419"/>
        <v>0</v>
      </c>
      <c r="CL23" s="701">
        <f t="shared" si="419"/>
        <v>0</v>
      </c>
      <c r="CM23" s="699">
        <f t="shared" ref="CM23:DF23" si="420">MIN(CM7:CM17)</f>
        <v>0</v>
      </c>
      <c r="CN23" s="700">
        <f t="shared" si="420"/>
        <v>0</v>
      </c>
      <c r="CO23" s="700">
        <f t="shared" si="420"/>
        <v>0</v>
      </c>
      <c r="CP23" s="700">
        <f t="shared" si="420"/>
        <v>0</v>
      </c>
      <c r="CQ23" s="700">
        <f t="shared" si="420"/>
        <v>0</v>
      </c>
      <c r="CR23" s="700">
        <f t="shared" si="420"/>
        <v>0</v>
      </c>
      <c r="CS23" s="700">
        <f t="shared" si="420"/>
        <v>0</v>
      </c>
      <c r="CT23" s="700">
        <f t="shared" si="420"/>
        <v>0</v>
      </c>
      <c r="CU23" s="700">
        <f t="shared" si="420"/>
        <v>0</v>
      </c>
      <c r="CV23" s="700">
        <f t="shared" si="420"/>
        <v>0</v>
      </c>
      <c r="CW23" s="700">
        <f t="shared" si="420"/>
        <v>0</v>
      </c>
      <c r="CX23" s="700">
        <f t="shared" si="420"/>
        <v>0</v>
      </c>
      <c r="CY23" s="700">
        <f t="shared" si="420"/>
        <v>0</v>
      </c>
      <c r="CZ23" s="700">
        <f t="shared" si="420"/>
        <v>0</v>
      </c>
      <c r="DA23" s="700">
        <f t="shared" si="420"/>
        <v>0</v>
      </c>
      <c r="DB23" s="700">
        <f t="shared" si="420"/>
        <v>0</v>
      </c>
      <c r="DC23" s="700">
        <f t="shared" si="420"/>
        <v>0</v>
      </c>
      <c r="DD23" s="700">
        <f t="shared" si="420"/>
        <v>0</v>
      </c>
      <c r="DE23" s="700">
        <f t="shared" si="420"/>
        <v>0</v>
      </c>
      <c r="DF23" s="701">
        <f t="shared" si="420"/>
        <v>0</v>
      </c>
      <c r="DG23" s="699">
        <f t="shared" ref="DG23:EL23" si="421">MAX(DG20,DG7)</f>
        <v>0</v>
      </c>
      <c r="DH23" s="700">
        <f t="shared" si="421"/>
        <v>0</v>
      </c>
      <c r="DI23" s="700">
        <f t="shared" si="421"/>
        <v>0</v>
      </c>
      <c r="DJ23" s="700">
        <f t="shared" si="421"/>
        <v>0</v>
      </c>
      <c r="DK23" s="700">
        <f t="shared" si="421"/>
        <v>0</v>
      </c>
      <c r="DL23" s="700">
        <f t="shared" si="421"/>
        <v>0</v>
      </c>
      <c r="DM23" s="700">
        <f t="shared" si="421"/>
        <v>0</v>
      </c>
      <c r="DN23" s="700">
        <f t="shared" si="421"/>
        <v>0</v>
      </c>
      <c r="DO23" s="700">
        <f t="shared" si="421"/>
        <v>0</v>
      </c>
      <c r="DP23" s="700">
        <f t="shared" si="421"/>
        <v>0</v>
      </c>
      <c r="DQ23" s="700">
        <f t="shared" si="421"/>
        <v>0</v>
      </c>
      <c r="DR23" s="700">
        <f t="shared" si="421"/>
        <v>0</v>
      </c>
      <c r="DS23" s="700">
        <f t="shared" si="421"/>
        <v>0</v>
      </c>
      <c r="DT23" s="700">
        <f t="shared" si="421"/>
        <v>0</v>
      </c>
      <c r="DU23" s="700">
        <f t="shared" si="421"/>
        <v>0</v>
      </c>
      <c r="DV23" s="700">
        <f t="shared" si="421"/>
        <v>0</v>
      </c>
      <c r="DW23" s="700">
        <f t="shared" si="421"/>
        <v>0</v>
      </c>
      <c r="DX23" s="700">
        <f t="shared" si="421"/>
        <v>0</v>
      </c>
      <c r="DY23" s="700">
        <f t="shared" si="421"/>
        <v>0</v>
      </c>
      <c r="DZ23" s="701">
        <f t="shared" si="421"/>
        <v>0</v>
      </c>
      <c r="EA23" s="699">
        <f t="shared" si="421"/>
        <v>0</v>
      </c>
      <c r="EB23" s="700">
        <f t="shared" si="421"/>
        <v>0</v>
      </c>
      <c r="EC23" s="700">
        <f t="shared" si="421"/>
        <v>0</v>
      </c>
      <c r="ED23" s="700">
        <f t="shared" si="421"/>
        <v>0</v>
      </c>
      <c r="EE23" s="700">
        <f t="shared" si="421"/>
        <v>0</v>
      </c>
      <c r="EF23" s="700">
        <f t="shared" si="421"/>
        <v>0</v>
      </c>
      <c r="EG23" s="700">
        <f t="shared" si="421"/>
        <v>0</v>
      </c>
      <c r="EH23" s="700">
        <f t="shared" si="421"/>
        <v>0</v>
      </c>
      <c r="EI23" s="700">
        <f t="shared" si="421"/>
        <v>0</v>
      </c>
      <c r="EJ23" s="700">
        <f t="shared" si="421"/>
        <v>0</v>
      </c>
      <c r="EK23" s="700">
        <f t="shared" si="421"/>
        <v>0</v>
      </c>
      <c r="EL23" s="700">
        <f t="shared" si="421"/>
        <v>0</v>
      </c>
      <c r="EM23" s="700">
        <f t="shared" ref="EM23:ET23" si="422">MAX(EM20,EM7)</f>
        <v>0</v>
      </c>
      <c r="EN23" s="700">
        <f t="shared" si="422"/>
        <v>0</v>
      </c>
      <c r="EO23" s="700">
        <f t="shared" si="422"/>
        <v>0</v>
      </c>
      <c r="EP23" s="700">
        <f t="shared" si="422"/>
        <v>0</v>
      </c>
      <c r="EQ23" s="700">
        <f t="shared" si="422"/>
        <v>0</v>
      </c>
      <c r="ER23" s="700">
        <f t="shared" si="422"/>
        <v>0</v>
      </c>
      <c r="ES23" s="700">
        <f t="shared" si="422"/>
        <v>0</v>
      </c>
      <c r="ET23" s="701">
        <f t="shared" si="422"/>
        <v>0</v>
      </c>
      <c r="EU23" s="699">
        <f>MIN(EU21,EU7)</f>
        <v>0</v>
      </c>
      <c r="EV23" s="700">
        <f t="shared" ref="EV23:FN23" si="423">MIN(EV21,EV7)</f>
        <v>0</v>
      </c>
      <c r="EW23" s="700">
        <f t="shared" si="423"/>
        <v>0</v>
      </c>
      <c r="EX23" s="700">
        <f t="shared" si="423"/>
        <v>0</v>
      </c>
      <c r="EY23" s="700">
        <f t="shared" si="423"/>
        <v>0</v>
      </c>
      <c r="EZ23" s="700">
        <f t="shared" si="423"/>
        <v>0</v>
      </c>
      <c r="FA23" s="700">
        <f t="shared" si="423"/>
        <v>0</v>
      </c>
      <c r="FB23" s="700">
        <f t="shared" si="423"/>
        <v>0</v>
      </c>
      <c r="FC23" s="700">
        <f t="shared" si="423"/>
        <v>0</v>
      </c>
      <c r="FD23" s="700">
        <f t="shared" si="423"/>
        <v>0</v>
      </c>
      <c r="FE23" s="700">
        <f t="shared" si="423"/>
        <v>0</v>
      </c>
      <c r="FF23" s="700">
        <f t="shared" si="423"/>
        <v>0</v>
      </c>
      <c r="FG23" s="700">
        <f t="shared" si="423"/>
        <v>0</v>
      </c>
      <c r="FH23" s="700">
        <f t="shared" si="423"/>
        <v>0</v>
      </c>
      <c r="FI23" s="700">
        <f t="shared" si="423"/>
        <v>0</v>
      </c>
      <c r="FJ23" s="700">
        <f t="shared" si="423"/>
        <v>0</v>
      </c>
      <c r="FK23" s="700">
        <f t="shared" si="423"/>
        <v>0</v>
      </c>
      <c r="FL23" s="700">
        <f t="shared" si="423"/>
        <v>0</v>
      </c>
      <c r="FM23" s="700">
        <f t="shared" si="423"/>
        <v>0</v>
      </c>
      <c r="FN23" s="701">
        <f t="shared" si="423"/>
        <v>0</v>
      </c>
      <c r="FO23" s="699">
        <f t="shared" ref="FO23:HB23" si="424">MIN(FO7:FO17)</f>
        <v>0</v>
      </c>
      <c r="FP23" s="700">
        <f t="shared" si="424"/>
        <v>0</v>
      </c>
      <c r="FQ23" s="700">
        <f t="shared" si="424"/>
        <v>0</v>
      </c>
      <c r="FR23" s="700">
        <f t="shared" si="424"/>
        <v>0</v>
      </c>
      <c r="FS23" s="700">
        <f t="shared" si="424"/>
        <v>0</v>
      </c>
      <c r="FT23" s="700">
        <f t="shared" si="424"/>
        <v>0</v>
      </c>
      <c r="FU23" s="700">
        <f t="shared" si="424"/>
        <v>0</v>
      </c>
      <c r="FV23" s="700">
        <f t="shared" si="424"/>
        <v>0</v>
      </c>
      <c r="FW23" s="700">
        <f t="shared" si="424"/>
        <v>0</v>
      </c>
      <c r="FX23" s="700">
        <f t="shared" si="424"/>
        <v>0</v>
      </c>
      <c r="FY23" s="700">
        <f t="shared" si="424"/>
        <v>0</v>
      </c>
      <c r="FZ23" s="700">
        <f t="shared" si="424"/>
        <v>0</v>
      </c>
      <c r="GA23" s="700">
        <f t="shared" si="424"/>
        <v>0</v>
      </c>
      <c r="GB23" s="700">
        <f t="shared" si="424"/>
        <v>0</v>
      </c>
      <c r="GC23" s="700">
        <f t="shared" si="424"/>
        <v>0</v>
      </c>
      <c r="GD23" s="700">
        <f t="shared" si="424"/>
        <v>0</v>
      </c>
      <c r="GE23" s="700">
        <f t="shared" si="424"/>
        <v>0</v>
      </c>
      <c r="GF23" s="700">
        <f t="shared" si="424"/>
        <v>0</v>
      </c>
      <c r="GG23" s="700">
        <f t="shared" si="424"/>
        <v>0</v>
      </c>
      <c r="GH23" s="701">
        <f t="shared" si="424"/>
        <v>0</v>
      </c>
      <c r="GI23" s="699">
        <f t="shared" si="424"/>
        <v>0</v>
      </c>
      <c r="GJ23" s="700">
        <f t="shared" si="424"/>
        <v>0</v>
      </c>
      <c r="GK23" s="700">
        <f t="shared" si="424"/>
        <v>0</v>
      </c>
      <c r="GL23" s="700">
        <f t="shared" si="424"/>
        <v>0</v>
      </c>
      <c r="GM23" s="700">
        <f t="shared" si="424"/>
        <v>0</v>
      </c>
      <c r="GN23" s="700">
        <f t="shared" si="424"/>
        <v>0</v>
      </c>
      <c r="GO23" s="700">
        <f t="shared" si="424"/>
        <v>0</v>
      </c>
      <c r="GP23" s="700">
        <f t="shared" si="424"/>
        <v>0</v>
      </c>
      <c r="GQ23" s="700">
        <f t="shared" si="424"/>
        <v>0</v>
      </c>
      <c r="GR23" s="700">
        <f t="shared" si="424"/>
        <v>0</v>
      </c>
      <c r="GS23" s="700">
        <f t="shared" si="424"/>
        <v>0</v>
      </c>
      <c r="GT23" s="700">
        <f t="shared" si="424"/>
        <v>0</v>
      </c>
      <c r="GU23" s="700">
        <f t="shared" si="424"/>
        <v>0</v>
      </c>
      <c r="GV23" s="700">
        <f t="shared" si="424"/>
        <v>0</v>
      </c>
      <c r="GW23" s="700">
        <f t="shared" si="424"/>
        <v>0</v>
      </c>
      <c r="GX23" s="700">
        <f t="shared" si="424"/>
        <v>0</v>
      </c>
      <c r="GY23" s="700">
        <f t="shared" si="424"/>
        <v>0</v>
      </c>
      <c r="GZ23" s="700">
        <f t="shared" si="424"/>
        <v>0</v>
      </c>
      <c r="HA23" s="700">
        <f t="shared" si="424"/>
        <v>0</v>
      </c>
      <c r="HB23" s="701">
        <f t="shared" si="424"/>
        <v>0</v>
      </c>
      <c r="HC23" s="699">
        <f t="shared" ref="HC23:IP23" si="425">MAX(HC20,HC7)</f>
        <v>8.0520399466092019E-2</v>
      </c>
      <c r="HD23" s="700">
        <f t="shared" si="425"/>
        <v>0</v>
      </c>
      <c r="HE23" s="700">
        <f t="shared" si="425"/>
        <v>0</v>
      </c>
      <c r="HF23" s="700">
        <f t="shared" si="425"/>
        <v>0</v>
      </c>
      <c r="HG23" s="700">
        <f t="shared" si="425"/>
        <v>0</v>
      </c>
      <c r="HH23" s="700">
        <f t="shared" si="425"/>
        <v>0</v>
      </c>
      <c r="HI23" s="700">
        <f t="shared" si="425"/>
        <v>0</v>
      </c>
      <c r="HJ23" s="700">
        <f t="shared" si="425"/>
        <v>0</v>
      </c>
      <c r="HK23" s="700">
        <f t="shared" si="425"/>
        <v>0</v>
      </c>
      <c r="HL23" s="700">
        <f t="shared" si="425"/>
        <v>0</v>
      </c>
      <c r="HM23" s="700">
        <f t="shared" si="425"/>
        <v>0</v>
      </c>
      <c r="HN23" s="700">
        <f t="shared" si="425"/>
        <v>0</v>
      </c>
      <c r="HO23" s="700">
        <f t="shared" si="425"/>
        <v>0</v>
      </c>
      <c r="HP23" s="700">
        <f t="shared" si="425"/>
        <v>0</v>
      </c>
      <c r="HQ23" s="700">
        <f t="shared" si="425"/>
        <v>0</v>
      </c>
      <c r="HR23" s="700">
        <f t="shared" si="425"/>
        <v>0</v>
      </c>
      <c r="HS23" s="700">
        <f t="shared" si="425"/>
        <v>0</v>
      </c>
      <c r="HT23" s="700">
        <f t="shared" si="425"/>
        <v>0</v>
      </c>
      <c r="HU23" s="700">
        <f t="shared" si="425"/>
        <v>0</v>
      </c>
      <c r="HV23" s="701">
        <f t="shared" si="425"/>
        <v>0</v>
      </c>
      <c r="HW23" s="699">
        <f t="shared" si="425"/>
        <v>4.711843375155108E-2</v>
      </c>
      <c r="HX23" s="700">
        <f t="shared" si="425"/>
        <v>0</v>
      </c>
      <c r="HY23" s="700">
        <f t="shared" si="425"/>
        <v>0</v>
      </c>
      <c r="HZ23" s="700">
        <f t="shared" si="425"/>
        <v>0</v>
      </c>
      <c r="IA23" s="700">
        <f t="shared" si="425"/>
        <v>0</v>
      </c>
      <c r="IB23" s="700">
        <f t="shared" si="425"/>
        <v>0</v>
      </c>
      <c r="IC23" s="700">
        <f t="shared" si="425"/>
        <v>0</v>
      </c>
      <c r="ID23" s="700">
        <f t="shared" si="425"/>
        <v>0</v>
      </c>
      <c r="IE23" s="700">
        <f t="shared" si="425"/>
        <v>0</v>
      </c>
      <c r="IF23" s="700">
        <f t="shared" si="425"/>
        <v>0</v>
      </c>
      <c r="IG23" s="700">
        <f t="shared" si="425"/>
        <v>0</v>
      </c>
      <c r="IH23" s="700">
        <f t="shared" si="425"/>
        <v>0</v>
      </c>
      <c r="II23" s="700">
        <f t="shared" si="425"/>
        <v>0</v>
      </c>
      <c r="IJ23" s="700">
        <f t="shared" si="425"/>
        <v>0</v>
      </c>
      <c r="IK23" s="700">
        <f t="shared" si="425"/>
        <v>0</v>
      </c>
      <c r="IL23" s="700">
        <f t="shared" si="425"/>
        <v>0</v>
      </c>
      <c r="IM23" s="700">
        <f t="shared" si="425"/>
        <v>0</v>
      </c>
      <c r="IN23" s="700">
        <f t="shared" si="425"/>
        <v>0</v>
      </c>
      <c r="IO23" s="700">
        <f t="shared" si="425"/>
        <v>0</v>
      </c>
      <c r="IP23" s="701">
        <f t="shared" si="425"/>
        <v>0</v>
      </c>
      <c r="IQ23" s="357">
        <f t="shared" ref="IQ23:JJ23" si="426">MIN(IQ21,IQ7)</f>
        <v>2.9411552736838313</v>
      </c>
      <c r="IR23" s="358">
        <f t="shared" si="426"/>
        <v>0</v>
      </c>
      <c r="IS23" s="358">
        <f t="shared" si="426"/>
        <v>0</v>
      </c>
      <c r="IT23" s="358">
        <f t="shared" si="426"/>
        <v>0</v>
      </c>
      <c r="IU23" s="358">
        <f t="shared" si="426"/>
        <v>0</v>
      </c>
      <c r="IV23" s="358">
        <f t="shared" si="426"/>
        <v>0</v>
      </c>
      <c r="IW23" s="358">
        <f t="shared" si="426"/>
        <v>0</v>
      </c>
      <c r="IX23" s="358">
        <f t="shared" si="426"/>
        <v>0</v>
      </c>
      <c r="IY23" s="358">
        <f t="shared" si="426"/>
        <v>0</v>
      </c>
      <c r="IZ23" s="358">
        <f t="shared" si="426"/>
        <v>0</v>
      </c>
      <c r="JA23" s="358">
        <f t="shared" si="426"/>
        <v>0</v>
      </c>
      <c r="JB23" s="358">
        <f t="shared" si="426"/>
        <v>0</v>
      </c>
      <c r="JC23" s="358">
        <f t="shared" si="426"/>
        <v>0</v>
      </c>
      <c r="JD23" s="358">
        <f t="shared" si="426"/>
        <v>0</v>
      </c>
      <c r="JE23" s="358">
        <f t="shared" si="426"/>
        <v>0</v>
      </c>
      <c r="JF23" s="358">
        <f t="shared" si="426"/>
        <v>0</v>
      </c>
      <c r="JG23" s="358">
        <f t="shared" si="426"/>
        <v>0</v>
      </c>
      <c r="JH23" s="358">
        <f t="shared" si="426"/>
        <v>0</v>
      </c>
      <c r="JI23" s="358">
        <f t="shared" si="426"/>
        <v>0</v>
      </c>
      <c r="JJ23" s="359">
        <f t="shared" si="426"/>
        <v>0</v>
      </c>
      <c r="JK23" s="699">
        <f t="shared" ref="JK23:KP23" si="427">MAX(JK20,JK7)</f>
        <v>0.2918767670290594</v>
      </c>
      <c r="JL23" s="700">
        <f t="shared" si="427"/>
        <v>0</v>
      </c>
      <c r="JM23" s="700">
        <f t="shared" si="427"/>
        <v>0</v>
      </c>
      <c r="JN23" s="700">
        <f t="shared" si="427"/>
        <v>0</v>
      </c>
      <c r="JO23" s="700">
        <f t="shared" si="427"/>
        <v>0</v>
      </c>
      <c r="JP23" s="700">
        <f t="shared" si="427"/>
        <v>0</v>
      </c>
      <c r="JQ23" s="700">
        <f t="shared" si="427"/>
        <v>0</v>
      </c>
      <c r="JR23" s="700">
        <f t="shared" si="427"/>
        <v>0</v>
      </c>
      <c r="JS23" s="700">
        <f t="shared" si="427"/>
        <v>0</v>
      </c>
      <c r="JT23" s="700">
        <f t="shared" si="427"/>
        <v>0</v>
      </c>
      <c r="JU23" s="700">
        <f t="shared" si="427"/>
        <v>0</v>
      </c>
      <c r="JV23" s="700">
        <f t="shared" si="427"/>
        <v>0</v>
      </c>
      <c r="JW23" s="700">
        <f t="shared" si="427"/>
        <v>0</v>
      </c>
      <c r="JX23" s="700">
        <f t="shared" si="427"/>
        <v>0</v>
      </c>
      <c r="JY23" s="700">
        <f t="shared" si="427"/>
        <v>0</v>
      </c>
      <c r="JZ23" s="700">
        <f t="shared" si="427"/>
        <v>0</v>
      </c>
      <c r="KA23" s="700">
        <f t="shared" si="427"/>
        <v>0</v>
      </c>
      <c r="KB23" s="700">
        <f t="shared" si="427"/>
        <v>0</v>
      </c>
      <c r="KC23" s="700">
        <f t="shared" si="427"/>
        <v>0</v>
      </c>
      <c r="KD23" s="701">
        <f t="shared" si="427"/>
        <v>0</v>
      </c>
      <c r="KE23" s="699">
        <f t="shared" si="427"/>
        <v>0.16938716825386085</v>
      </c>
      <c r="KF23" s="700">
        <f t="shared" si="427"/>
        <v>0</v>
      </c>
      <c r="KG23" s="700">
        <f t="shared" si="427"/>
        <v>0</v>
      </c>
      <c r="KH23" s="700">
        <f t="shared" si="427"/>
        <v>0</v>
      </c>
      <c r="KI23" s="700">
        <f t="shared" si="427"/>
        <v>0</v>
      </c>
      <c r="KJ23" s="700">
        <f t="shared" si="427"/>
        <v>0</v>
      </c>
      <c r="KK23" s="700">
        <f t="shared" si="427"/>
        <v>0</v>
      </c>
      <c r="KL23" s="700">
        <f t="shared" si="427"/>
        <v>0</v>
      </c>
      <c r="KM23" s="700">
        <f t="shared" si="427"/>
        <v>0</v>
      </c>
      <c r="KN23" s="700">
        <f t="shared" si="427"/>
        <v>0</v>
      </c>
      <c r="KO23" s="700">
        <f t="shared" si="427"/>
        <v>0</v>
      </c>
      <c r="KP23" s="700">
        <f t="shared" si="427"/>
        <v>0</v>
      </c>
      <c r="KQ23" s="700">
        <f t="shared" ref="KQ23:LR23" si="428">MAX(KQ20,KQ7)</f>
        <v>0</v>
      </c>
      <c r="KR23" s="700">
        <f t="shared" si="428"/>
        <v>0</v>
      </c>
      <c r="KS23" s="700">
        <f t="shared" si="428"/>
        <v>0</v>
      </c>
      <c r="KT23" s="700">
        <f t="shared" si="428"/>
        <v>0</v>
      </c>
      <c r="KU23" s="700">
        <f t="shared" si="428"/>
        <v>0</v>
      </c>
      <c r="KV23" s="700">
        <f t="shared" si="428"/>
        <v>0</v>
      </c>
      <c r="KW23" s="700">
        <f t="shared" si="428"/>
        <v>0</v>
      </c>
      <c r="KX23" s="701">
        <f t="shared" si="428"/>
        <v>0</v>
      </c>
      <c r="KY23" s="699">
        <f t="shared" si="428"/>
        <v>0.40076878638403768</v>
      </c>
      <c r="KZ23" s="700">
        <f t="shared" si="428"/>
        <v>0</v>
      </c>
      <c r="LA23" s="700">
        <f t="shared" si="428"/>
        <v>0</v>
      </c>
      <c r="LB23" s="700">
        <f t="shared" si="428"/>
        <v>0</v>
      </c>
      <c r="LC23" s="700">
        <f t="shared" si="428"/>
        <v>0</v>
      </c>
      <c r="LD23" s="700">
        <f t="shared" si="428"/>
        <v>0</v>
      </c>
      <c r="LE23" s="700">
        <f t="shared" si="428"/>
        <v>0</v>
      </c>
      <c r="LF23" s="700">
        <f t="shared" si="428"/>
        <v>0</v>
      </c>
      <c r="LG23" s="700">
        <f t="shared" si="428"/>
        <v>0</v>
      </c>
      <c r="LH23" s="700">
        <f t="shared" si="428"/>
        <v>0</v>
      </c>
      <c r="LI23" s="700">
        <f t="shared" si="428"/>
        <v>0</v>
      </c>
      <c r="LJ23" s="700">
        <f t="shared" si="428"/>
        <v>0</v>
      </c>
      <c r="LK23" s="700">
        <f t="shared" si="428"/>
        <v>0</v>
      </c>
      <c r="LL23" s="700">
        <f t="shared" si="428"/>
        <v>0</v>
      </c>
      <c r="LM23" s="700">
        <f t="shared" si="428"/>
        <v>0</v>
      </c>
      <c r="LN23" s="700">
        <f t="shared" si="428"/>
        <v>0</v>
      </c>
      <c r="LO23" s="700">
        <f t="shared" si="428"/>
        <v>0</v>
      </c>
      <c r="LP23" s="700">
        <f t="shared" si="428"/>
        <v>0</v>
      </c>
      <c r="LQ23" s="700">
        <f t="shared" si="428"/>
        <v>0</v>
      </c>
      <c r="LR23" s="701">
        <f t="shared" si="428"/>
        <v>0</v>
      </c>
      <c r="LS23" s="699">
        <f t="shared" ref="LS23:ML23" si="429">MIN(LS7:LS17)</f>
        <v>0.24626221966647499</v>
      </c>
      <c r="LT23" s="700">
        <f t="shared" si="429"/>
        <v>0</v>
      </c>
      <c r="LU23" s="700">
        <f t="shared" si="429"/>
        <v>0</v>
      </c>
      <c r="LV23" s="700">
        <f t="shared" si="429"/>
        <v>0</v>
      </c>
      <c r="LW23" s="700">
        <f t="shared" si="429"/>
        <v>0</v>
      </c>
      <c r="LX23" s="700">
        <f t="shared" si="429"/>
        <v>0</v>
      </c>
      <c r="LY23" s="700">
        <f t="shared" si="429"/>
        <v>0</v>
      </c>
      <c r="LZ23" s="700">
        <f t="shared" si="429"/>
        <v>0</v>
      </c>
      <c r="MA23" s="700">
        <f t="shared" si="429"/>
        <v>0</v>
      </c>
      <c r="MB23" s="700">
        <f t="shared" si="429"/>
        <v>0</v>
      </c>
      <c r="MC23" s="700">
        <f t="shared" si="429"/>
        <v>0</v>
      </c>
      <c r="MD23" s="708">
        <f t="shared" si="429"/>
        <v>0</v>
      </c>
      <c r="ME23" s="700">
        <f t="shared" si="429"/>
        <v>0</v>
      </c>
      <c r="MF23" s="700">
        <f t="shared" si="429"/>
        <v>0</v>
      </c>
      <c r="MG23" s="700">
        <f t="shared" si="429"/>
        <v>0</v>
      </c>
      <c r="MH23" s="700">
        <f t="shared" si="429"/>
        <v>0</v>
      </c>
      <c r="MI23" s="700">
        <f t="shared" si="429"/>
        <v>0</v>
      </c>
      <c r="MJ23" s="700">
        <f t="shared" si="429"/>
        <v>0</v>
      </c>
      <c r="MK23" s="700">
        <f t="shared" si="429"/>
        <v>0</v>
      </c>
      <c r="ML23" s="701">
        <f t="shared" si="429"/>
        <v>0</v>
      </c>
      <c r="MM23" s="699">
        <f t="shared" ref="MM23:NF23" si="430">MAX(MM20,MM7)</f>
        <v>0</v>
      </c>
      <c r="MN23" s="700">
        <f t="shared" si="430"/>
        <v>0</v>
      </c>
      <c r="MO23" s="700">
        <f t="shared" si="430"/>
        <v>0</v>
      </c>
      <c r="MP23" s="700">
        <f t="shared" si="430"/>
        <v>0</v>
      </c>
      <c r="MQ23" s="700">
        <f t="shared" si="430"/>
        <v>0</v>
      </c>
      <c r="MR23" s="700">
        <f t="shared" si="430"/>
        <v>0</v>
      </c>
      <c r="MS23" s="700">
        <f t="shared" si="430"/>
        <v>0</v>
      </c>
      <c r="MT23" s="700">
        <f t="shared" si="430"/>
        <v>0</v>
      </c>
      <c r="MU23" s="700">
        <f t="shared" si="430"/>
        <v>0</v>
      </c>
      <c r="MV23" s="700">
        <f t="shared" si="430"/>
        <v>0</v>
      </c>
      <c r="MW23" s="700">
        <f t="shared" si="430"/>
        <v>0</v>
      </c>
      <c r="MX23" s="700">
        <f t="shared" si="430"/>
        <v>0</v>
      </c>
      <c r="MY23" s="700">
        <f t="shared" si="430"/>
        <v>0</v>
      </c>
      <c r="MZ23" s="700">
        <f t="shared" si="430"/>
        <v>0</v>
      </c>
      <c r="NA23" s="700">
        <f t="shared" si="430"/>
        <v>0</v>
      </c>
      <c r="NB23" s="700">
        <f t="shared" si="430"/>
        <v>0</v>
      </c>
      <c r="NC23" s="700">
        <f t="shared" si="430"/>
        <v>0</v>
      </c>
      <c r="ND23" s="700">
        <f t="shared" si="430"/>
        <v>0</v>
      </c>
      <c r="NE23" s="700">
        <f t="shared" si="430"/>
        <v>0</v>
      </c>
      <c r="NF23" s="701">
        <f t="shared" si="430"/>
        <v>0</v>
      </c>
      <c r="NG23" s="699">
        <f t="shared" ref="NG23:OL23" si="431">MIN(NG7:NG17)</f>
        <v>0</v>
      </c>
      <c r="NH23" s="700">
        <f t="shared" si="431"/>
        <v>0</v>
      </c>
      <c r="NI23" s="700">
        <f t="shared" si="431"/>
        <v>0</v>
      </c>
      <c r="NJ23" s="700">
        <f t="shared" si="431"/>
        <v>0</v>
      </c>
      <c r="NK23" s="700">
        <f t="shared" si="431"/>
        <v>0</v>
      </c>
      <c r="NL23" s="700">
        <f t="shared" si="431"/>
        <v>0</v>
      </c>
      <c r="NM23" s="700">
        <f t="shared" si="431"/>
        <v>0</v>
      </c>
      <c r="NN23" s="700">
        <f t="shared" si="431"/>
        <v>0</v>
      </c>
      <c r="NO23" s="700">
        <f t="shared" si="431"/>
        <v>0</v>
      </c>
      <c r="NP23" s="700">
        <f t="shared" si="431"/>
        <v>0</v>
      </c>
      <c r="NQ23" s="700">
        <f t="shared" si="431"/>
        <v>0</v>
      </c>
      <c r="NR23" s="708">
        <f t="shared" si="431"/>
        <v>0</v>
      </c>
      <c r="NS23" s="700">
        <f t="shared" si="431"/>
        <v>0</v>
      </c>
      <c r="NT23" s="700">
        <f t="shared" si="431"/>
        <v>0</v>
      </c>
      <c r="NU23" s="700">
        <f t="shared" si="431"/>
        <v>0</v>
      </c>
      <c r="NV23" s="700">
        <f t="shared" si="431"/>
        <v>0</v>
      </c>
      <c r="NW23" s="700">
        <f t="shared" si="431"/>
        <v>0</v>
      </c>
      <c r="NX23" s="700">
        <f t="shared" si="431"/>
        <v>0</v>
      </c>
      <c r="NY23" s="700">
        <f t="shared" si="431"/>
        <v>0</v>
      </c>
      <c r="NZ23" s="701">
        <f t="shared" si="431"/>
        <v>0</v>
      </c>
      <c r="OA23" s="699">
        <f t="shared" si="431"/>
        <v>0</v>
      </c>
      <c r="OB23" s="700">
        <f t="shared" si="431"/>
        <v>0</v>
      </c>
      <c r="OC23" s="700">
        <f t="shared" si="431"/>
        <v>0</v>
      </c>
      <c r="OD23" s="700">
        <f t="shared" si="431"/>
        <v>0</v>
      </c>
      <c r="OE23" s="700">
        <f t="shared" si="431"/>
        <v>0</v>
      </c>
      <c r="OF23" s="700">
        <f t="shared" si="431"/>
        <v>0</v>
      </c>
      <c r="OG23" s="700">
        <f t="shared" si="431"/>
        <v>0</v>
      </c>
      <c r="OH23" s="700">
        <f t="shared" si="431"/>
        <v>0</v>
      </c>
      <c r="OI23" s="700">
        <f t="shared" si="431"/>
        <v>0</v>
      </c>
      <c r="OJ23" s="700">
        <f t="shared" si="431"/>
        <v>0</v>
      </c>
      <c r="OK23" s="700">
        <f t="shared" si="431"/>
        <v>0</v>
      </c>
      <c r="OL23" s="708">
        <f t="shared" si="431"/>
        <v>0</v>
      </c>
      <c r="OM23" s="700">
        <f t="shared" ref="OM23:PN23" si="432">MIN(OM7:OM17)</f>
        <v>0</v>
      </c>
      <c r="ON23" s="700">
        <f t="shared" si="432"/>
        <v>0</v>
      </c>
      <c r="OO23" s="700">
        <f t="shared" si="432"/>
        <v>0</v>
      </c>
      <c r="OP23" s="700">
        <f t="shared" si="432"/>
        <v>0</v>
      </c>
      <c r="OQ23" s="700">
        <f t="shared" si="432"/>
        <v>0</v>
      </c>
      <c r="OR23" s="700">
        <f t="shared" si="432"/>
        <v>0</v>
      </c>
      <c r="OS23" s="700">
        <f t="shared" si="432"/>
        <v>0</v>
      </c>
      <c r="OT23" s="701">
        <f t="shared" si="432"/>
        <v>0</v>
      </c>
      <c r="OU23" s="699">
        <f t="shared" si="432"/>
        <v>0</v>
      </c>
      <c r="OV23" s="700">
        <f t="shared" si="432"/>
        <v>0</v>
      </c>
      <c r="OW23" s="700">
        <f t="shared" si="432"/>
        <v>0</v>
      </c>
      <c r="OX23" s="700">
        <f t="shared" si="432"/>
        <v>0</v>
      </c>
      <c r="OY23" s="700">
        <f t="shared" si="432"/>
        <v>0</v>
      </c>
      <c r="OZ23" s="700">
        <f t="shared" si="432"/>
        <v>0</v>
      </c>
      <c r="PA23" s="700">
        <f t="shared" si="432"/>
        <v>0</v>
      </c>
      <c r="PB23" s="700">
        <f t="shared" si="432"/>
        <v>0</v>
      </c>
      <c r="PC23" s="700">
        <f t="shared" si="432"/>
        <v>0</v>
      </c>
      <c r="PD23" s="700">
        <f t="shared" si="432"/>
        <v>0</v>
      </c>
      <c r="PE23" s="700">
        <f t="shared" si="432"/>
        <v>0</v>
      </c>
      <c r="PF23" s="708">
        <f t="shared" si="432"/>
        <v>0</v>
      </c>
      <c r="PG23" s="700">
        <f t="shared" si="432"/>
        <v>0</v>
      </c>
      <c r="PH23" s="700">
        <f t="shared" si="432"/>
        <v>0</v>
      </c>
      <c r="PI23" s="700">
        <f t="shared" si="432"/>
        <v>0</v>
      </c>
      <c r="PJ23" s="700">
        <f t="shared" si="432"/>
        <v>0</v>
      </c>
      <c r="PK23" s="700">
        <f t="shared" si="432"/>
        <v>0</v>
      </c>
      <c r="PL23" s="700">
        <f t="shared" si="432"/>
        <v>0</v>
      </c>
      <c r="PM23" s="700">
        <f t="shared" si="432"/>
        <v>0</v>
      </c>
      <c r="PN23" s="701">
        <f t="shared" si="432"/>
        <v>0</v>
      </c>
      <c r="PO23" s="699">
        <f t="shared" ref="PO23:QT23" si="433">MAX(PO20,PO7)</f>
        <v>0.62307779377886319</v>
      </c>
      <c r="PP23" s="700">
        <f t="shared" si="433"/>
        <v>0</v>
      </c>
      <c r="PQ23" s="700">
        <f t="shared" si="433"/>
        <v>0</v>
      </c>
      <c r="PR23" s="700">
        <f t="shared" si="433"/>
        <v>0</v>
      </c>
      <c r="PS23" s="700">
        <f t="shared" si="433"/>
        <v>0</v>
      </c>
      <c r="PT23" s="700">
        <f t="shared" si="433"/>
        <v>0</v>
      </c>
      <c r="PU23" s="700">
        <f t="shared" si="433"/>
        <v>0</v>
      </c>
      <c r="PV23" s="700">
        <f t="shared" si="433"/>
        <v>0</v>
      </c>
      <c r="PW23" s="700">
        <f t="shared" si="433"/>
        <v>0</v>
      </c>
      <c r="PX23" s="700">
        <f t="shared" si="433"/>
        <v>0</v>
      </c>
      <c r="PY23" s="700">
        <f t="shared" si="433"/>
        <v>0</v>
      </c>
      <c r="PZ23" s="700">
        <f t="shared" si="433"/>
        <v>0</v>
      </c>
      <c r="QA23" s="700">
        <f t="shared" si="433"/>
        <v>0</v>
      </c>
      <c r="QB23" s="700">
        <f t="shared" si="433"/>
        <v>0</v>
      </c>
      <c r="QC23" s="700">
        <f t="shared" si="433"/>
        <v>0</v>
      </c>
      <c r="QD23" s="700">
        <f t="shared" si="433"/>
        <v>0</v>
      </c>
      <c r="QE23" s="700">
        <f t="shared" si="433"/>
        <v>0</v>
      </c>
      <c r="QF23" s="700">
        <f t="shared" si="433"/>
        <v>0</v>
      </c>
      <c r="QG23" s="700">
        <f t="shared" si="433"/>
        <v>0</v>
      </c>
      <c r="QH23" s="701">
        <f t="shared" si="433"/>
        <v>0</v>
      </c>
      <c r="QI23" s="699">
        <f t="shared" si="433"/>
        <v>0</v>
      </c>
      <c r="QJ23" s="700">
        <f t="shared" si="433"/>
        <v>0</v>
      </c>
      <c r="QK23" s="700">
        <f t="shared" si="433"/>
        <v>0</v>
      </c>
      <c r="QL23" s="700">
        <f t="shared" si="433"/>
        <v>0</v>
      </c>
      <c r="QM23" s="700">
        <f t="shared" si="433"/>
        <v>0</v>
      </c>
      <c r="QN23" s="700">
        <f t="shared" si="433"/>
        <v>0</v>
      </c>
      <c r="QO23" s="700">
        <f t="shared" si="433"/>
        <v>0</v>
      </c>
      <c r="QP23" s="700">
        <f t="shared" si="433"/>
        <v>0</v>
      </c>
      <c r="QQ23" s="700">
        <f t="shared" si="433"/>
        <v>0</v>
      </c>
      <c r="QR23" s="700">
        <f t="shared" si="433"/>
        <v>0</v>
      </c>
      <c r="QS23" s="700">
        <f t="shared" si="433"/>
        <v>0</v>
      </c>
      <c r="QT23" s="700">
        <f t="shared" si="433"/>
        <v>0</v>
      </c>
      <c r="QU23" s="700">
        <f t="shared" ref="QU23:RZ23" si="434">MAX(QU20,QU7)</f>
        <v>0</v>
      </c>
      <c r="QV23" s="700">
        <f t="shared" si="434"/>
        <v>0</v>
      </c>
      <c r="QW23" s="700">
        <f t="shared" si="434"/>
        <v>0</v>
      </c>
      <c r="QX23" s="700">
        <f t="shared" si="434"/>
        <v>0</v>
      </c>
      <c r="QY23" s="700">
        <f t="shared" si="434"/>
        <v>0</v>
      </c>
      <c r="QZ23" s="700">
        <f t="shared" si="434"/>
        <v>0</v>
      </c>
      <c r="RA23" s="700">
        <f t="shared" si="434"/>
        <v>0</v>
      </c>
      <c r="RB23" s="701">
        <f t="shared" si="434"/>
        <v>0</v>
      </c>
      <c r="RC23" s="624">
        <f t="shared" si="434"/>
        <v>0</v>
      </c>
      <c r="RD23" s="625">
        <f t="shared" si="434"/>
        <v>0</v>
      </c>
      <c r="RE23" s="625">
        <f t="shared" si="434"/>
        <v>0</v>
      </c>
      <c r="RF23" s="625">
        <f t="shared" si="434"/>
        <v>0</v>
      </c>
      <c r="RG23" s="625">
        <f t="shared" si="434"/>
        <v>0</v>
      </c>
      <c r="RH23" s="625">
        <f t="shared" si="434"/>
        <v>0</v>
      </c>
      <c r="RI23" s="625">
        <f t="shared" si="434"/>
        <v>0</v>
      </c>
      <c r="RJ23" s="625">
        <f t="shared" si="434"/>
        <v>0</v>
      </c>
      <c r="RK23" s="625">
        <f t="shared" si="434"/>
        <v>0</v>
      </c>
      <c r="RL23" s="625">
        <f t="shared" si="434"/>
        <v>0</v>
      </c>
      <c r="RM23" s="625">
        <f t="shared" si="434"/>
        <v>0</v>
      </c>
      <c r="RN23" s="625">
        <f t="shared" si="434"/>
        <v>0</v>
      </c>
      <c r="RO23" s="625">
        <f t="shared" si="434"/>
        <v>0</v>
      </c>
      <c r="RP23" s="625">
        <f t="shared" si="434"/>
        <v>0</v>
      </c>
      <c r="RQ23" s="625">
        <f t="shared" si="434"/>
        <v>0</v>
      </c>
      <c r="RR23" s="625">
        <f t="shared" si="434"/>
        <v>0</v>
      </c>
      <c r="RS23" s="625">
        <f t="shared" si="434"/>
        <v>0</v>
      </c>
      <c r="RT23" s="625">
        <f t="shared" si="434"/>
        <v>0</v>
      </c>
      <c r="RU23" s="625">
        <f t="shared" si="434"/>
        <v>0</v>
      </c>
      <c r="RV23" s="626">
        <f t="shared" si="434"/>
        <v>0</v>
      </c>
      <c r="RW23" s="699">
        <f t="shared" si="434"/>
        <v>0</v>
      </c>
      <c r="RX23" s="700">
        <f t="shared" si="434"/>
        <v>0</v>
      </c>
      <c r="RY23" s="700">
        <f t="shared" si="434"/>
        <v>0</v>
      </c>
      <c r="RZ23" s="700">
        <f t="shared" si="434"/>
        <v>0</v>
      </c>
      <c r="SA23" s="700">
        <f t="shared" ref="SA23:TF23" si="435">MAX(SA20,SA7)</f>
        <v>0</v>
      </c>
      <c r="SB23" s="700">
        <f t="shared" si="435"/>
        <v>0</v>
      </c>
      <c r="SC23" s="700">
        <f t="shared" si="435"/>
        <v>0</v>
      </c>
      <c r="SD23" s="700">
        <f t="shared" si="435"/>
        <v>0</v>
      </c>
      <c r="SE23" s="700">
        <f t="shared" si="435"/>
        <v>0</v>
      </c>
      <c r="SF23" s="700">
        <f t="shared" si="435"/>
        <v>0</v>
      </c>
      <c r="SG23" s="700">
        <f t="shared" si="435"/>
        <v>0</v>
      </c>
      <c r="SH23" s="700">
        <f t="shared" si="435"/>
        <v>0</v>
      </c>
      <c r="SI23" s="700">
        <f t="shared" si="435"/>
        <v>0</v>
      </c>
      <c r="SJ23" s="700">
        <f t="shared" si="435"/>
        <v>0</v>
      </c>
      <c r="SK23" s="700">
        <f t="shared" si="435"/>
        <v>0</v>
      </c>
      <c r="SL23" s="700">
        <f t="shared" si="435"/>
        <v>0</v>
      </c>
      <c r="SM23" s="700">
        <f t="shared" si="435"/>
        <v>0</v>
      </c>
      <c r="SN23" s="700">
        <f t="shared" si="435"/>
        <v>0</v>
      </c>
      <c r="SO23" s="700">
        <f t="shared" si="435"/>
        <v>0</v>
      </c>
      <c r="SP23" s="701">
        <f t="shared" si="435"/>
        <v>0</v>
      </c>
      <c r="SQ23" s="699">
        <f t="shared" si="435"/>
        <v>0</v>
      </c>
      <c r="SR23" s="700">
        <f t="shared" si="435"/>
        <v>0</v>
      </c>
      <c r="SS23" s="700">
        <f t="shared" si="435"/>
        <v>0</v>
      </c>
      <c r="ST23" s="700">
        <f t="shared" si="435"/>
        <v>0</v>
      </c>
      <c r="SU23" s="700">
        <f t="shared" si="435"/>
        <v>0</v>
      </c>
      <c r="SV23" s="700">
        <f t="shared" si="435"/>
        <v>0</v>
      </c>
      <c r="SW23" s="700">
        <f t="shared" si="435"/>
        <v>0</v>
      </c>
      <c r="SX23" s="700">
        <f t="shared" si="435"/>
        <v>0</v>
      </c>
      <c r="SY23" s="700">
        <f t="shared" si="435"/>
        <v>0</v>
      </c>
      <c r="SZ23" s="700">
        <f t="shared" si="435"/>
        <v>0</v>
      </c>
      <c r="TA23" s="700">
        <f t="shared" si="435"/>
        <v>0</v>
      </c>
      <c r="TB23" s="700">
        <f t="shared" si="435"/>
        <v>0</v>
      </c>
      <c r="TC23" s="700">
        <f t="shared" si="435"/>
        <v>0</v>
      </c>
      <c r="TD23" s="700">
        <f t="shared" si="435"/>
        <v>0</v>
      </c>
      <c r="TE23" s="700">
        <f t="shared" si="435"/>
        <v>0</v>
      </c>
      <c r="TF23" s="700">
        <f t="shared" si="435"/>
        <v>0</v>
      </c>
      <c r="TG23" s="700">
        <f t="shared" ref="TG23:UL23" si="436">MAX(TG20,TG7)</f>
        <v>0</v>
      </c>
      <c r="TH23" s="700">
        <f t="shared" si="436"/>
        <v>0</v>
      </c>
      <c r="TI23" s="700">
        <f t="shared" si="436"/>
        <v>0</v>
      </c>
      <c r="TJ23" s="701">
        <f t="shared" si="436"/>
        <v>0</v>
      </c>
      <c r="TK23" s="699">
        <f t="shared" si="436"/>
        <v>0</v>
      </c>
      <c r="TL23" s="700">
        <f t="shared" si="436"/>
        <v>0</v>
      </c>
      <c r="TM23" s="700">
        <f t="shared" si="436"/>
        <v>0</v>
      </c>
      <c r="TN23" s="700">
        <f t="shared" si="436"/>
        <v>0</v>
      </c>
      <c r="TO23" s="700">
        <f t="shared" si="436"/>
        <v>0</v>
      </c>
      <c r="TP23" s="700">
        <f t="shared" si="436"/>
        <v>0</v>
      </c>
      <c r="TQ23" s="700">
        <f t="shared" si="436"/>
        <v>0</v>
      </c>
      <c r="TR23" s="700">
        <f t="shared" si="436"/>
        <v>0</v>
      </c>
      <c r="TS23" s="700">
        <f t="shared" si="436"/>
        <v>0</v>
      </c>
      <c r="TT23" s="700">
        <f t="shared" si="436"/>
        <v>0</v>
      </c>
      <c r="TU23" s="700">
        <f t="shared" si="436"/>
        <v>0</v>
      </c>
      <c r="TV23" s="700">
        <f t="shared" si="436"/>
        <v>0</v>
      </c>
      <c r="TW23" s="700">
        <f t="shared" si="436"/>
        <v>0</v>
      </c>
      <c r="TX23" s="700">
        <f t="shared" si="436"/>
        <v>0</v>
      </c>
      <c r="TY23" s="700">
        <f t="shared" si="436"/>
        <v>0</v>
      </c>
      <c r="TZ23" s="700">
        <f t="shared" si="436"/>
        <v>0</v>
      </c>
      <c r="UA23" s="700">
        <f t="shared" si="436"/>
        <v>0</v>
      </c>
      <c r="UB23" s="700">
        <f t="shared" si="436"/>
        <v>0</v>
      </c>
      <c r="UC23" s="700">
        <f t="shared" si="436"/>
        <v>0</v>
      </c>
      <c r="UD23" s="701">
        <f t="shared" si="436"/>
        <v>0</v>
      </c>
      <c r="UE23" s="699">
        <f t="shared" si="436"/>
        <v>0</v>
      </c>
      <c r="UF23" s="700">
        <f t="shared" si="436"/>
        <v>0</v>
      </c>
      <c r="UG23" s="700">
        <f t="shared" si="436"/>
        <v>0</v>
      </c>
      <c r="UH23" s="700">
        <f t="shared" si="436"/>
        <v>0</v>
      </c>
      <c r="UI23" s="700">
        <f t="shared" si="436"/>
        <v>0</v>
      </c>
      <c r="UJ23" s="700">
        <f t="shared" si="436"/>
        <v>0</v>
      </c>
      <c r="UK23" s="700">
        <f t="shared" si="436"/>
        <v>0</v>
      </c>
      <c r="UL23" s="700">
        <f t="shared" si="436"/>
        <v>0</v>
      </c>
      <c r="UM23" s="700">
        <f t="shared" ref="UM23:UX23" si="437">MAX(UM20,UM7)</f>
        <v>0</v>
      </c>
      <c r="UN23" s="700">
        <f t="shared" si="437"/>
        <v>0</v>
      </c>
      <c r="UO23" s="700">
        <f t="shared" si="437"/>
        <v>0</v>
      </c>
      <c r="UP23" s="700">
        <f t="shared" si="437"/>
        <v>0</v>
      </c>
      <c r="UQ23" s="700">
        <f t="shared" si="437"/>
        <v>0</v>
      </c>
      <c r="UR23" s="700">
        <f t="shared" si="437"/>
        <v>0</v>
      </c>
      <c r="US23" s="700">
        <f t="shared" si="437"/>
        <v>0</v>
      </c>
      <c r="UT23" s="700">
        <f t="shared" si="437"/>
        <v>0</v>
      </c>
      <c r="UU23" s="700">
        <f t="shared" si="437"/>
        <v>0</v>
      </c>
      <c r="UV23" s="700">
        <f t="shared" si="437"/>
        <v>0</v>
      </c>
      <c r="UW23" s="700">
        <f t="shared" si="437"/>
        <v>0</v>
      </c>
      <c r="UX23" s="701">
        <f t="shared" si="437"/>
        <v>0</v>
      </c>
    </row>
    <row r="24" spans="1:16344" x14ac:dyDescent="0.2">
      <c r="A24" s="99" t="s">
        <v>85</v>
      </c>
      <c r="B24" s="100"/>
      <c r="C24" s="100"/>
      <c r="D24" s="100"/>
      <c r="E24" s="101"/>
      <c r="F24" s="101"/>
      <c r="G24" s="102">
        <f t="shared" ref="G24:S24" si="438">MIN(G21,G7)</f>
        <v>6.581598388180003E-2</v>
      </c>
      <c r="H24" s="102">
        <f t="shared" si="438"/>
        <v>2.4327000000000001E-2</v>
      </c>
      <c r="I24" s="102">
        <f t="shared" si="438"/>
        <v>0</v>
      </c>
      <c r="J24" s="102">
        <f t="shared" si="438"/>
        <v>3.2642286217119391E-2</v>
      </c>
      <c r="K24" s="102">
        <f t="shared" si="438"/>
        <v>2.3872000000000001E-2</v>
      </c>
      <c r="L24" s="102">
        <f t="shared" si="438"/>
        <v>5.4982748775524976E-2</v>
      </c>
      <c r="M24" s="102">
        <f t="shared" si="438"/>
        <v>4.3087365913302159E-2</v>
      </c>
      <c r="N24" s="102">
        <f t="shared" si="438"/>
        <v>0.1524116329101225</v>
      </c>
      <c r="O24" s="102">
        <f t="shared" si="438"/>
        <v>0</v>
      </c>
      <c r="P24" s="102">
        <f t="shared" si="438"/>
        <v>0</v>
      </c>
      <c r="Q24" s="102">
        <f t="shared" si="438"/>
        <v>0</v>
      </c>
      <c r="R24" s="102">
        <f t="shared" si="438"/>
        <v>0</v>
      </c>
      <c r="S24" s="102">
        <f t="shared" si="438"/>
        <v>0</v>
      </c>
      <c r="T24" s="102">
        <f>MAX(T20,T7)</f>
        <v>0</v>
      </c>
      <c r="U24" s="102">
        <f>MAX(U20,U7)</f>
        <v>0</v>
      </c>
      <c r="V24" s="102">
        <f>MAX(V20,V7)</f>
        <v>0</v>
      </c>
      <c r="W24" s="102">
        <f>MAX(W20,W7)</f>
        <v>0</v>
      </c>
      <c r="X24" s="102">
        <f>MAX(X20,X7)</f>
        <v>0</v>
      </c>
      <c r="Y24" s="102">
        <f>MIN(Y21,Y7)</f>
        <v>0</v>
      </c>
      <c r="Z24" s="993">
        <f>MAX(Z20,Z7)</f>
        <v>3.2484292924091052</v>
      </c>
      <c r="AA24" s="102">
        <f>MIN(AA21,AA7)</f>
        <v>0.26864195884993114</v>
      </c>
      <c r="AB24" s="102">
        <f>MAX(AB20,AB7)</f>
        <v>0</v>
      </c>
      <c r="AC24" s="1024">
        <f>MIN(AC21,AC7)</f>
        <v>4.7071899999999998</v>
      </c>
      <c r="AD24" s="104"/>
      <c r="AE24" s="699">
        <f t="shared" ref="AE24:BJ24" si="439">MIN(AE21,AE7)</f>
        <v>0</v>
      </c>
      <c r="AF24" s="700">
        <f t="shared" si="439"/>
        <v>0</v>
      </c>
      <c r="AG24" s="700">
        <f t="shared" si="439"/>
        <v>0</v>
      </c>
      <c r="AH24" s="700">
        <f t="shared" si="439"/>
        <v>0</v>
      </c>
      <c r="AI24" s="700">
        <f t="shared" si="439"/>
        <v>0</v>
      </c>
      <c r="AJ24" s="700">
        <f t="shared" si="439"/>
        <v>0</v>
      </c>
      <c r="AK24" s="700">
        <f t="shared" si="439"/>
        <v>0</v>
      </c>
      <c r="AL24" s="700">
        <f t="shared" si="439"/>
        <v>0</v>
      </c>
      <c r="AM24" s="700">
        <f t="shared" si="439"/>
        <v>0</v>
      </c>
      <c r="AN24" s="700">
        <f t="shared" si="439"/>
        <v>0</v>
      </c>
      <c r="AO24" s="700">
        <f t="shared" si="439"/>
        <v>0</v>
      </c>
      <c r="AP24" s="700">
        <f t="shared" si="439"/>
        <v>0</v>
      </c>
      <c r="AQ24" s="700">
        <f t="shared" si="439"/>
        <v>0</v>
      </c>
      <c r="AR24" s="700">
        <f t="shared" si="439"/>
        <v>0</v>
      </c>
      <c r="AS24" s="700">
        <f t="shared" si="439"/>
        <v>0</v>
      </c>
      <c r="AT24" s="700">
        <f t="shared" si="439"/>
        <v>0</v>
      </c>
      <c r="AU24" s="700">
        <f t="shared" si="439"/>
        <v>0</v>
      </c>
      <c r="AV24" s="700">
        <f t="shared" si="439"/>
        <v>0</v>
      </c>
      <c r="AW24" s="700">
        <f t="shared" si="439"/>
        <v>0</v>
      </c>
      <c r="AX24" s="701">
        <f t="shared" si="439"/>
        <v>0</v>
      </c>
      <c r="AY24" s="699">
        <f t="shared" si="439"/>
        <v>0</v>
      </c>
      <c r="AZ24" s="700">
        <f t="shared" si="439"/>
        <v>0</v>
      </c>
      <c r="BA24" s="700">
        <f t="shared" si="439"/>
        <v>0</v>
      </c>
      <c r="BB24" s="700">
        <f t="shared" si="439"/>
        <v>0</v>
      </c>
      <c r="BC24" s="700">
        <f t="shared" si="439"/>
        <v>0</v>
      </c>
      <c r="BD24" s="700">
        <f t="shared" si="439"/>
        <v>0</v>
      </c>
      <c r="BE24" s="700">
        <f t="shared" si="439"/>
        <v>0</v>
      </c>
      <c r="BF24" s="700">
        <f t="shared" si="439"/>
        <v>0</v>
      </c>
      <c r="BG24" s="700">
        <f t="shared" si="439"/>
        <v>0</v>
      </c>
      <c r="BH24" s="700">
        <f t="shared" si="439"/>
        <v>0</v>
      </c>
      <c r="BI24" s="700">
        <f t="shared" si="439"/>
        <v>0</v>
      </c>
      <c r="BJ24" s="700">
        <f t="shared" si="439"/>
        <v>0</v>
      </c>
      <c r="BK24" s="700">
        <f t="shared" ref="BK24:CL24" si="440">MIN(BK21,BK7)</f>
        <v>0</v>
      </c>
      <c r="BL24" s="700">
        <f t="shared" si="440"/>
        <v>0</v>
      </c>
      <c r="BM24" s="700">
        <f t="shared" si="440"/>
        <v>0</v>
      </c>
      <c r="BN24" s="700">
        <f t="shared" si="440"/>
        <v>0</v>
      </c>
      <c r="BO24" s="700">
        <f t="shared" si="440"/>
        <v>0</v>
      </c>
      <c r="BP24" s="700">
        <f t="shared" si="440"/>
        <v>0</v>
      </c>
      <c r="BQ24" s="700">
        <f t="shared" si="440"/>
        <v>0</v>
      </c>
      <c r="BR24" s="701">
        <f t="shared" si="440"/>
        <v>0</v>
      </c>
      <c r="BS24" s="699">
        <f t="shared" si="440"/>
        <v>0</v>
      </c>
      <c r="BT24" s="700">
        <f t="shared" si="440"/>
        <v>0</v>
      </c>
      <c r="BU24" s="700">
        <f t="shared" si="440"/>
        <v>0</v>
      </c>
      <c r="BV24" s="700">
        <f t="shared" si="440"/>
        <v>0</v>
      </c>
      <c r="BW24" s="700">
        <f t="shared" si="440"/>
        <v>0</v>
      </c>
      <c r="BX24" s="700">
        <f t="shared" si="440"/>
        <v>0</v>
      </c>
      <c r="BY24" s="700">
        <f t="shared" si="440"/>
        <v>0</v>
      </c>
      <c r="BZ24" s="700">
        <f t="shared" si="440"/>
        <v>0</v>
      </c>
      <c r="CA24" s="700">
        <f t="shared" si="440"/>
        <v>0</v>
      </c>
      <c r="CB24" s="700">
        <f t="shared" si="440"/>
        <v>0</v>
      </c>
      <c r="CC24" s="700">
        <f t="shared" si="440"/>
        <v>0</v>
      </c>
      <c r="CD24" s="700">
        <f t="shared" si="440"/>
        <v>0</v>
      </c>
      <c r="CE24" s="700">
        <f t="shared" si="440"/>
        <v>0</v>
      </c>
      <c r="CF24" s="700">
        <f t="shared" si="440"/>
        <v>0</v>
      </c>
      <c r="CG24" s="700">
        <f t="shared" si="440"/>
        <v>0</v>
      </c>
      <c r="CH24" s="700">
        <f t="shared" si="440"/>
        <v>0</v>
      </c>
      <c r="CI24" s="700">
        <f t="shared" si="440"/>
        <v>0</v>
      </c>
      <c r="CJ24" s="700">
        <f t="shared" si="440"/>
        <v>0</v>
      </c>
      <c r="CK24" s="700">
        <f t="shared" si="440"/>
        <v>0</v>
      </c>
      <c r="CL24" s="701">
        <f t="shared" si="440"/>
        <v>0</v>
      </c>
      <c r="CM24" s="699">
        <f t="shared" ref="CM24:DF24" si="441">MAX(CM7:CM17)</f>
        <v>0</v>
      </c>
      <c r="CN24" s="700">
        <f t="shared" si="441"/>
        <v>0</v>
      </c>
      <c r="CO24" s="700">
        <f t="shared" si="441"/>
        <v>0</v>
      </c>
      <c r="CP24" s="700">
        <f t="shared" si="441"/>
        <v>0</v>
      </c>
      <c r="CQ24" s="700">
        <f t="shared" si="441"/>
        <v>0</v>
      </c>
      <c r="CR24" s="700">
        <f t="shared" si="441"/>
        <v>0</v>
      </c>
      <c r="CS24" s="700">
        <f t="shared" si="441"/>
        <v>0</v>
      </c>
      <c r="CT24" s="700">
        <f t="shared" si="441"/>
        <v>0</v>
      </c>
      <c r="CU24" s="700">
        <f t="shared" si="441"/>
        <v>0</v>
      </c>
      <c r="CV24" s="700">
        <f t="shared" si="441"/>
        <v>0</v>
      </c>
      <c r="CW24" s="700">
        <f t="shared" si="441"/>
        <v>0</v>
      </c>
      <c r="CX24" s="700">
        <f t="shared" si="441"/>
        <v>0</v>
      </c>
      <c r="CY24" s="700">
        <f t="shared" si="441"/>
        <v>0</v>
      </c>
      <c r="CZ24" s="700">
        <f t="shared" si="441"/>
        <v>0</v>
      </c>
      <c r="DA24" s="700">
        <f t="shared" si="441"/>
        <v>0</v>
      </c>
      <c r="DB24" s="700">
        <f t="shared" si="441"/>
        <v>0</v>
      </c>
      <c r="DC24" s="700">
        <f t="shared" si="441"/>
        <v>0</v>
      </c>
      <c r="DD24" s="700">
        <f t="shared" si="441"/>
        <v>0</v>
      </c>
      <c r="DE24" s="700">
        <f t="shared" si="441"/>
        <v>0</v>
      </c>
      <c r="DF24" s="701">
        <f t="shared" si="441"/>
        <v>0</v>
      </c>
      <c r="DG24" s="699">
        <f t="shared" ref="DG24:EL24" si="442">MIN(DG21,DG7)</f>
        <v>0</v>
      </c>
      <c r="DH24" s="700">
        <f t="shared" si="442"/>
        <v>0</v>
      </c>
      <c r="DI24" s="700">
        <f t="shared" si="442"/>
        <v>0</v>
      </c>
      <c r="DJ24" s="700">
        <f t="shared" si="442"/>
        <v>0</v>
      </c>
      <c r="DK24" s="700">
        <f t="shared" si="442"/>
        <v>0</v>
      </c>
      <c r="DL24" s="700">
        <f t="shared" si="442"/>
        <v>0</v>
      </c>
      <c r="DM24" s="700">
        <f t="shared" si="442"/>
        <v>0</v>
      </c>
      <c r="DN24" s="700">
        <f t="shared" si="442"/>
        <v>0</v>
      </c>
      <c r="DO24" s="700">
        <f t="shared" si="442"/>
        <v>0</v>
      </c>
      <c r="DP24" s="700">
        <f t="shared" si="442"/>
        <v>0</v>
      </c>
      <c r="DQ24" s="700">
        <f t="shared" si="442"/>
        <v>0</v>
      </c>
      <c r="DR24" s="700">
        <f t="shared" si="442"/>
        <v>0</v>
      </c>
      <c r="DS24" s="700">
        <f t="shared" si="442"/>
        <v>0</v>
      </c>
      <c r="DT24" s="700">
        <f t="shared" si="442"/>
        <v>0</v>
      </c>
      <c r="DU24" s="700">
        <f t="shared" si="442"/>
        <v>0</v>
      </c>
      <c r="DV24" s="700">
        <f t="shared" si="442"/>
        <v>0</v>
      </c>
      <c r="DW24" s="700">
        <f t="shared" si="442"/>
        <v>0</v>
      </c>
      <c r="DX24" s="700">
        <f t="shared" si="442"/>
        <v>0</v>
      </c>
      <c r="DY24" s="700">
        <f t="shared" si="442"/>
        <v>0</v>
      </c>
      <c r="DZ24" s="701">
        <f t="shared" si="442"/>
        <v>0</v>
      </c>
      <c r="EA24" s="699">
        <f t="shared" si="442"/>
        <v>0</v>
      </c>
      <c r="EB24" s="700">
        <f t="shared" si="442"/>
        <v>0</v>
      </c>
      <c r="EC24" s="700">
        <f t="shared" si="442"/>
        <v>0</v>
      </c>
      <c r="ED24" s="700">
        <f t="shared" si="442"/>
        <v>0</v>
      </c>
      <c r="EE24" s="700">
        <f t="shared" si="442"/>
        <v>0</v>
      </c>
      <c r="EF24" s="700">
        <f t="shared" si="442"/>
        <v>0</v>
      </c>
      <c r="EG24" s="700">
        <f t="shared" si="442"/>
        <v>0</v>
      </c>
      <c r="EH24" s="700">
        <f t="shared" si="442"/>
        <v>0</v>
      </c>
      <c r="EI24" s="700">
        <f t="shared" si="442"/>
        <v>0</v>
      </c>
      <c r="EJ24" s="700">
        <f t="shared" si="442"/>
        <v>0</v>
      </c>
      <c r="EK24" s="700">
        <f t="shared" si="442"/>
        <v>0</v>
      </c>
      <c r="EL24" s="700">
        <f t="shared" si="442"/>
        <v>0</v>
      </c>
      <c r="EM24" s="700">
        <f t="shared" ref="EM24:ET24" si="443">MIN(EM21,EM7)</f>
        <v>0</v>
      </c>
      <c r="EN24" s="700">
        <f t="shared" si="443"/>
        <v>0</v>
      </c>
      <c r="EO24" s="700">
        <f t="shared" si="443"/>
        <v>0</v>
      </c>
      <c r="EP24" s="700">
        <f t="shared" si="443"/>
        <v>0</v>
      </c>
      <c r="EQ24" s="700">
        <f t="shared" si="443"/>
        <v>0</v>
      </c>
      <c r="ER24" s="700">
        <f t="shared" si="443"/>
        <v>0</v>
      </c>
      <c r="ES24" s="700">
        <f t="shared" si="443"/>
        <v>0</v>
      </c>
      <c r="ET24" s="701">
        <f t="shared" si="443"/>
        <v>0</v>
      </c>
      <c r="EU24" s="699">
        <f>MAX(EU20,EU7)</f>
        <v>0</v>
      </c>
      <c r="EV24" s="700">
        <f t="shared" ref="EV24:FN24" si="444">MAX(EV20,EV7)</f>
        <v>0</v>
      </c>
      <c r="EW24" s="700">
        <f t="shared" si="444"/>
        <v>0</v>
      </c>
      <c r="EX24" s="700">
        <f t="shared" si="444"/>
        <v>0</v>
      </c>
      <c r="EY24" s="700">
        <f t="shared" si="444"/>
        <v>0</v>
      </c>
      <c r="EZ24" s="700">
        <f t="shared" si="444"/>
        <v>0</v>
      </c>
      <c r="FA24" s="700">
        <f t="shared" si="444"/>
        <v>0</v>
      </c>
      <c r="FB24" s="700">
        <f t="shared" si="444"/>
        <v>0</v>
      </c>
      <c r="FC24" s="700">
        <f t="shared" si="444"/>
        <v>0</v>
      </c>
      <c r="FD24" s="700">
        <f t="shared" si="444"/>
        <v>0</v>
      </c>
      <c r="FE24" s="700">
        <f t="shared" si="444"/>
        <v>0</v>
      </c>
      <c r="FF24" s="700">
        <f t="shared" si="444"/>
        <v>0</v>
      </c>
      <c r="FG24" s="700">
        <f t="shared" si="444"/>
        <v>0</v>
      </c>
      <c r="FH24" s="700">
        <f t="shared" si="444"/>
        <v>0</v>
      </c>
      <c r="FI24" s="700">
        <f t="shared" si="444"/>
        <v>0</v>
      </c>
      <c r="FJ24" s="700">
        <f t="shared" si="444"/>
        <v>0</v>
      </c>
      <c r="FK24" s="700">
        <f t="shared" si="444"/>
        <v>0</v>
      </c>
      <c r="FL24" s="700">
        <f t="shared" si="444"/>
        <v>0</v>
      </c>
      <c r="FM24" s="700">
        <f t="shared" si="444"/>
        <v>0</v>
      </c>
      <c r="FN24" s="701">
        <f t="shared" si="444"/>
        <v>0</v>
      </c>
      <c r="FO24" s="699">
        <f t="shared" ref="FO24:HB24" si="445">MAX(FO7:FO17)</f>
        <v>0</v>
      </c>
      <c r="FP24" s="700">
        <f t="shared" si="445"/>
        <v>0</v>
      </c>
      <c r="FQ24" s="700">
        <f t="shared" si="445"/>
        <v>0</v>
      </c>
      <c r="FR24" s="700">
        <f t="shared" si="445"/>
        <v>0</v>
      </c>
      <c r="FS24" s="700">
        <f t="shared" si="445"/>
        <v>0</v>
      </c>
      <c r="FT24" s="700">
        <f t="shared" si="445"/>
        <v>0</v>
      </c>
      <c r="FU24" s="700">
        <f t="shared" si="445"/>
        <v>0</v>
      </c>
      <c r="FV24" s="700">
        <f t="shared" si="445"/>
        <v>0</v>
      </c>
      <c r="FW24" s="700">
        <f t="shared" si="445"/>
        <v>0</v>
      </c>
      <c r="FX24" s="700">
        <f t="shared" si="445"/>
        <v>0</v>
      </c>
      <c r="FY24" s="700">
        <f t="shared" si="445"/>
        <v>0</v>
      </c>
      <c r="FZ24" s="700">
        <f t="shared" si="445"/>
        <v>0</v>
      </c>
      <c r="GA24" s="700">
        <f t="shared" si="445"/>
        <v>0</v>
      </c>
      <c r="GB24" s="700">
        <f t="shared" si="445"/>
        <v>0</v>
      </c>
      <c r="GC24" s="700">
        <f t="shared" si="445"/>
        <v>0</v>
      </c>
      <c r="GD24" s="700">
        <f t="shared" si="445"/>
        <v>0</v>
      </c>
      <c r="GE24" s="700">
        <f t="shared" si="445"/>
        <v>0</v>
      </c>
      <c r="GF24" s="700">
        <f t="shared" si="445"/>
        <v>0</v>
      </c>
      <c r="GG24" s="700">
        <f t="shared" si="445"/>
        <v>0</v>
      </c>
      <c r="GH24" s="701">
        <f t="shared" si="445"/>
        <v>0</v>
      </c>
      <c r="GI24" s="699">
        <f t="shared" si="445"/>
        <v>0</v>
      </c>
      <c r="GJ24" s="700">
        <f t="shared" si="445"/>
        <v>0</v>
      </c>
      <c r="GK24" s="700">
        <f t="shared" si="445"/>
        <v>0</v>
      </c>
      <c r="GL24" s="700">
        <f t="shared" si="445"/>
        <v>0</v>
      </c>
      <c r="GM24" s="700">
        <f t="shared" si="445"/>
        <v>0</v>
      </c>
      <c r="GN24" s="700">
        <f t="shared" si="445"/>
        <v>0</v>
      </c>
      <c r="GO24" s="700">
        <f t="shared" si="445"/>
        <v>0</v>
      </c>
      <c r="GP24" s="700">
        <f t="shared" si="445"/>
        <v>0</v>
      </c>
      <c r="GQ24" s="700">
        <f t="shared" si="445"/>
        <v>0</v>
      </c>
      <c r="GR24" s="700">
        <f t="shared" si="445"/>
        <v>0</v>
      </c>
      <c r="GS24" s="700">
        <f t="shared" si="445"/>
        <v>0</v>
      </c>
      <c r="GT24" s="700">
        <f t="shared" si="445"/>
        <v>0</v>
      </c>
      <c r="GU24" s="700">
        <f t="shared" si="445"/>
        <v>0</v>
      </c>
      <c r="GV24" s="700">
        <f t="shared" si="445"/>
        <v>0</v>
      </c>
      <c r="GW24" s="700">
        <f t="shared" si="445"/>
        <v>0</v>
      </c>
      <c r="GX24" s="700">
        <f t="shared" si="445"/>
        <v>0</v>
      </c>
      <c r="GY24" s="700">
        <f t="shared" si="445"/>
        <v>0</v>
      </c>
      <c r="GZ24" s="700">
        <f t="shared" si="445"/>
        <v>0</v>
      </c>
      <c r="HA24" s="700">
        <f t="shared" si="445"/>
        <v>0</v>
      </c>
      <c r="HB24" s="701">
        <f t="shared" si="445"/>
        <v>0</v>
      </c>
      <c r="HC24" s="699">
        <f t="shared" ref="HC24:IP24" si="446">MIN(HC21,HC7)</f>
        <v>5.4327282670762991E-2</v>
      </c>
      <c r="HD24" s="700">
        <f t="shared" si="446"/>
        <v>0</v>
      </c>
      <c r="HE24" s="700">
        <f t="shared" si="446"/>
        <v>0</v>
      </c>
      <c r="HF24" s="700">
        <f t="shared" si="446"/>
        <v>0</v>
      </c>
      <c r="HG24" s="700">
        <f t="shared" si="446"/>
        <v>0</v>
      </c>
      <c r="HH24" s="700">
        <f t="shared" si="446"/>
        <v>0</v>
      </c>
      <c r="HI24" s="700">
        <f t="shared" si="446"/>
        <v>0</v>
      </c>
      <c r="HJ24" s="700">
        <f t="shared" si="446"/>
        <v>0</v>
      </c>
      <c r="HK24" s="700">
        <f t="shared" si="446"/>
        <v>0</v>
      </c>
      <c r="HL24" s="700">
        <f t="shared" si="446"/>
        <v>0</v>
      </c>
      <c r="HM24" s="700">
        <f t="shared" si="446"/>
        <v>0</v>
      </c>
      <c r="HN24" s="700">
        <f t="shared" si="446"/>
        <v>0</v>
      </c>
      <c r="HO24" s="700">
        <f t="shared" si="446"/>
        <v>0</v>
      </c>
      <c r="HP24" s="700">
        <f t="shared" si="446"/>
        <v>0</v>
      </c>
      <c r="HQ24" s="700">
        <f t="shared" si="446"/>
        <v>0</v>
      </c>
      <c r="HR24" s="700">
        <f t="shared" si="446"/>
        <v>0</v>
      </c>
      <c r="HS24" s="700">
        <f t="shared" si="446"/>
        <v>0</v>
      </c>
      <c r="HT24" s="700">
        <f t="shared" si="446"/>
        <v>0</v>
      </c>
      <c r="HU24" s="700">
        <f t="shared" si="446"/>
        <v>0</v>
      </c>
      <c r="HV24" s="701">
        <f t="shared" si="446"/>
        <v>0</v>
      </c>
      <c r="HW24" s="699">
        <f t="shared" si="446"/>
        <v>4.221882343903316E-2</v>
      </c>
      <c r="HX24" s="700">
        <f t="shared" si="446"/>
        <v>0</v>
      </c>
      <c r="HY24" s="700">
        <f t="shared" si="446"/>
        <v>0</v>
      </c>
      <c r="HZ24" s="700">
        <f t="shared" si="446"/>
        <v>0</v>
      </c>
      <c r="IA24" s="700">
        <f t="shared" si="446"/>
        <v>0</v>
      </c>
      <c r="IB24" s="700">
        <f t="shared" si="446"/>
        <v>0</v>
      </c>
      <c r="IC24" s="700">
        <f t="shared" si="446"/>
        <v>0</v>
      </c>
      <c r="ID24" s="700">
        <f t="shared" si="446"/>
        <v>0</v>
      </c>
      <c r="IE24" s="700">
        <f t="shared" si="446"/>
        <v>0</v>
      </c>
      <c r="IF24" s="700">
        <f t="shared" si="446"/>
        <v>0</v>
      </c>
      <c r="IG24" s="700">
        <f t="shared" si="446"/>
        <v>0</v>
      </c>
      <c r="IH24" s="700">
        <f t="shared" si="446"/>
        <v>0</v>
      </c>
      <c r="II24" s="700">
        <f t="shared" si="446"/>
        <v>0</v>
      </c>
      <c r="IJ24" s="700">
        <f t="shared" si="446"/>
        <v>0</v>
      </c>
      <c r="IK24" s="700">
        <f t="shared" si="446"/>
        <v>0</v>
      </c>
      <c r="IL24" s="700">
        <f t="shared" si="446"/>
        <v>0</v>
      </c>
      <c r="IM24" s="700">
        <f t="shared" si="446"/>
        <v>0</v>
      </c>
      <c r="IN24" s="700">
        <f t="shared" si="446"/>
        <v>0</v>
      </c>
      <c r="IO24" s="700">
        <f t="shared" si="446"/>
        <v>0</v>
      </c>
      <c r="IP24" s="701">
        <f t="shared" si="446"/>
        <v>0</v>
      </c>
      <c r="IQ24" s="357">
        <f t="shared" ref="IQ24:JJ24" si="447">MAX(IQ20,IQ7)</f>
        <v>3.4744624383902942</v>
      </c>
      <c r="IR24" s="358">
        <f t="shared" si="447"/>
        <v>0</v>
      </c>
      <c r="IS24" s="358">
        <f t="shared" si="447"/>
        <v>0</v>
      </c>
      <c r="IT24" s="358">
        <f t="shared" si="447"/>
        <v>0</v>
      </c>
      <c r="IU24" s="358">
        <f t="shared" si="447"/>
        <v>0</v>
      </c>
      <c r="IV24" s="358">
        <f t="shared" si="447"/>
        <v>0</v>
      </c>
      <c r="IW24" s="358">
        <f t="shared" si="447"/>
        <v>0</v>
      </c>
      <c r="IX24" s="358">
        <f t="shared" si="447"/>
        <v>0</v>
      </c>
      <c r="IY24" s="358">
        <f t="shared" si="447"/>
        <v>0</v>
      </c>
      <c r="IZ24" s="358">
        <f t="shared" si="447"/>
        <v>0</v>
      </c>
      <c r="JA24" s="358">
        <f t="shared" si="447"/>
        <v>0</v>
      </c>
      <c r="JB24" s="358">
        <f t="shared" si="447"/>
        <v>0</v>
      </c>
      <c r="JC24" s="358">
        <f t="shared" si="447"/>
        <v>0</v>
      </c>
      <c r="JD24" s="358">
        <f t="shared" si="447"/>
        <v>0</v>
      </c>
      <c r="JE24" s="358">
        <f t="shared" si="447"/>
        <v>0</v>
      </c>
      <c r="JF24" s="358">
        <f t="shared" si="447"/>
        <v>0</v>
      </c>
      <c r="JG24" s="358">
        <f t="shared" si="447"/>
        <v>0</v>
      </c>
      <c r="JH24" s="358">
        <f t="shared" si="447"/>
        <v>0</v>
      </c>
      <c r="JI24" s="358">
        <f t="shared" si="447"/>
        <v>0</v>
      </c>
      <c r="JJ24" s="359">
        <f t="shared" si="447"/>
        <v>0</v>
      </c>
      <c r="JK24" s="699">
        <f t="shared" ref="JK24:KP24" si="448">MIN(JK21,JK7)</f>
        <v>0.15059468738504755</v>
      </c>
      <c r="JL24" s="700">
        <f t="shared" si="448"/>
        <v>0</v>
      </c>
      <c r="JM24" s="700">
        <f t="shared" si="448"/>
        <v>0</v>
      </c>
      <c r="JN24" s="700">
        <f t="shared" si="448"/>
        <v>0</v>
      </c>
      <c r="JO24" s="700">
        <f t="shared" si="448"/>
        <v>0</v>
      </c>
      <c r="JP24" s="700">
        <f t="shared" si="448"/>
        <v>0</v>
      </c>
      <c r="JQ24" s="700">
        <f t="shared" si="448"/>
        <v>0</v>
      </c>
      <c r="JR24" s="700">
        <f t="shared" si="448"/>
        <v>0</v>
      </c>
      <c r="JS24" s="700">
        <f t="shared" si="448"/>
        <v>0</v>
      </c>
      <c r="JT24" s="700">
        <f t="shared" si="448"/>
        <v>0</v>
      </c>
      <c r="JU24" s="700">
        <f t="shared" si="448"/>
        <v>0</v>
      </c>
      <c r="JV24" s="700">
        <f t="shared" si="448"/>
        <v>0</v>
      </c>
      <c r="JW24" s="700">
        <f t="shared" si="448"/>
        <v>0</v>
      </c>
      <c r="JX24" s="700">
        <f t="shared" si="448"/>
        <v>0</v>
      </c>
      <c r="JY24" s="700">
        <f t="shared" si="448"/>
        <v>0</v>
      </c>
      <c r="JZ24" s="700">
        <f t="shared" si="448"/>
        <v>0</v>
      </c>
      <c r="KA24" s="700">
        <f t="shared" si="448"/>
        <v>0</v>
      </c>
      <c r="KB24" s="700">
        <f t="shared" si="448"/>
        <v>0</v>
      </c>
      <c r="KC24" s="700">
        <f t="shared" si="448"/>
        <v>0</v>
      </c>
      <c r="KD24" s="701">
        <f t="shared" si="448"/>
        <v>0</v>
      </c>
      <c r="KE24" s="699">
        <f t="shared" si="448"/>
        <v>8.3758792038264931E-2</v>
      </c>
      <c r="KF24" s="700">
        <f t="shared" si="448"/>
        <v>0</v>
      </c>
      <c r="KG24" s="700">
        <f t="shared" si="448"/>
        <v>0</v>
      </c>
      <c r="KH24" s="700">
        <f t="shared" si="448"/>
        <v>0</v>
      </c>
      <c r="KI24" s="700">
        <f t="shared" si="448"/>
        <v>0</v>
      </c>
      <c r="KJ24" s="700">
        <f t="shared" si="448"/>
        <v>0</v>
      </c>
      <c r="KK24" s="700">
        <f t="shared" si="448"/>
        <v>0</v>
      </c>
      <c r="KL24" s="700">
        <f t="shared" si="448"/>
        <v>0</v>
      </c>
      <c r="KM24" s="700">
        <f t="shared" si="448"/>
        <v>0</v>
      </c>
      <c r="KN24" s="700">
        <f t="shared" si="448"/>
        <v>0</v>
      </c>
      <c r="KO24" s="700">
        <f t="shared" si="448"/>
        <v>0</v>
      </c>
      <c r="KP24" s="700">
        <f t="shared" si="448"/>
        <v>0</v>
      </c>
      <c r="KQ24" s="700">
        <f t="shared" ref="KQ24:LR24" si="449">MIN(KQ21,KQ7)</f>
        <v>0</v>
      </c>
      <c r="KR24" s="700">
        <f t="shared" si="449"/>
        <v>0</v>
      </c>
      <c r="KS24" s="700">
        <f t="shared" si="449"/>
        <v>0</v>
      </c>
      <c r="KT24" s="700">
        <f t="shared" si="449"/>
        <v>0</v>
      </c>
      <c r="KU24" s="700">
        <f t="shared" si="449"/>
        <v>0</v>
      </c>
      <c r="KV24" s="700">
        <f t="shared" si="449"/>
        <v>0</v>
      </c>
      <c r="KW24" s="700">
        <f t="shared" si="449"/>
        <v>0</v>
      </c>
      <c r="KX24" s="701">
        <f t="shared" si="449"/>
        <v>0</v>
      </c>
      <c r="KY24" s="699">
        <f t="shared" si="449"/>
        <v>0.27141753397264007</v>
      </c>
      <c r="KZ24" s="700">
        <f t="shared" si="449"/>
        <v>0</v>
      </c>
      <c r="LA24" s="700">
        <f t="shared" si="449"/>
        <v>0</v>
      </c>
      <c r="LB24" s="700">
        <f t="shared" si="449"/>
        <v>0</v>
      </c>
      <c r="LC24" s="700">
        <f t="shared" si="449"/>
        <v>0</v>
      </c>
      <c r="LD24" s="700">
        <f t="shared" si="449"/>
        <v>0</v>
      </c>
      <c r="LE24" s="700">
        <f t="shared" si="449"/>
        <v>0</v>
      </c>
      <c r="LF24" s="700">
        <f t="shared" si="449"/>
        <v>0</v>
      </c>
      <c r="LG24" s="700">
        <f t="shared" si="449"/>
        <v>0</v>
      </c>
      <c r="LH24" s="700">
        <f t="shared" si="449"/>
        <v>0</v>
      </c>
      <c r="LI24" s="700">
        <f t="shared" si="449"/>
        <v>0</v>
      </c>
      <c r="LJ24" s="700">
        <f t="shared" si="449"/>
        <v>0</v>
      </c>
      <c r="LK24" s="700">
        <f t="shared" si="449"/>
        <v>0</v>
      </c>
      <c r="LL24" s="700">
        <f t="shared" si="449"/>
        <v>0</v>
      </c>
      <c r="LM24" s="700">
        <f t="shared" si="449"/>
        <v>0</v>
      </c>
      <c r="LN24" s="700">
        <f t="shared" si="449"/>
        <v>0</v>
      </c>
      <c r="LO24" s="700">
        <f t="shared" si="449"/>
        <v>0</v>
      </c>
      <c r="LP24" s="700">
        <f t="shared" si="449"/>
        <v>0</v>
      </c>
      <c r="LQ24" s="700">
        <f t="shared" si="449"/>
        <v>0</v>
      </c>
      <c r="LR24" s="701">
        <f t="shared" si="449"/>
        <v>0</v>
      </c>
      <c r="LS24" s="699">
        <f t="shared" ref="LS24:ML24" si="450">MAX(LS7:LS17)</f>
        <v>0.25438596491228072</v>
      </c>
      <c r="LT24" s="700">
        <f t="shared" si="450"/>
        <v>0</v>
      </c>
      <c r="LU24" s="700">
        <f t="shared" si="450"/>
        <v>0</v>
      </c>
      <c r="LV24" s="700">
        <f t="shared" si="450"/>
        <v>0</v>
      </c>
      <c r="LW24" s="700">
        <f t="shared" si="450"/>
        <v>0</v>
      </c>
      <c r="LX24" s="700">
        <f t="shared" si="450"/>
        <v>0</v>
      </c>
      <c r="LY24" s="700">
        <f t="shared" si="450"/>
        <v>0</v>
      </c>
      <c r="LZ24" s="700">
        <f t="shared" si="450"/>
        <v>0</v>
      </c>
      <c r="MA24" s="700">
        <f t="shared" si="450"/>
        <v>0</v>
      </c>
      <c r="MB24" s="700">
        <f t="shared" si="450"/>
        <v>0</v>
      </c>
      <c r="MC24" s="700">
        <f t="shared" si="450"/>
        <v>0</v>
      </c>
      <c r="MD24" s="708">
        <f t="shared" si="450"/>
        <v>0</v>
      </c>
      <c r="ME24" s="700">
        <f t="shared" si="450"/>
        <v>0</v>
      </c>
      <c r="MF24" s="700">
        <f t="shared" si="450"/>
        <v>0</v>
      </c>
      <c r="MG24" s="700">
        <f t="shared" si="450"/>
        <v>0</v>
      </c>
      <c r="MH24" s="700">
        <f t="shared" si="450"/>
        <v>0</v>
      </c>
      <c r="MI24" s="700">
        <f t="shared" si="450"/>
        <v>0</v>
      </c>
      <c r="MJ24" s="700">
        <f t="shared" si="450"/>
        <v>0</v>
      </c>
      <c r="MK24" s="700">
        <f t="shared" si="450"/>
        <v>0</v>
      </c>
      <c r="ML24" s="701">
        <f t="shared" si="450"/>
        <v>0</v>
      </c>
      <c r="MM24" s="699">
        <f t="shared" ref="MM24:NF24" si="451">MIN(MM21,MM7)</f>
        <v>0</v>
      </c>
      <c r="MN24" s="700">
        <f t="shared" si="451"/>
        <v>0</v>
      </c>
      <c r="MO24" s="700">
        <f t="shared" si="451"/>
        <v>0</v>
      </c>
      <c r="MP24" s="700">
        <f t="shared" si="451"/>
        <v>0</v>
      </c>
      <c r="MQ24" s="700">
        <f t="shared" si="451"/>
        <v>0</v>
      </c>
      <c r="MR24" s="700">
        <f t="shared" si="451"/>
        <v>0</v>
      </c>
      <c r="MS24" s="700">
        <f t="shared" si="451"/>
        <v>0</v>
      </c>
      <c r="MT24" s="700">
        <f t="shared" si="451"/>
        <v>0</v>
      </c>
      <c r="MU24" s="700">
        <f t="shared" si="451"/>
        <v>0</v>
      </c>
      <c r="MV24" s="700">
        <f t="shared" si="451"/>
        <v>0</v>
      </c>
      <c r="MW24" s="700">
        <f t="shared" si="451"/>
        <v>0</v>
      </c>
      <c r="MX24" s="700">
        <f t="shared" si="451"/>
        <v>0</v>
      </c>
      <c r="MY24" s="700">
        <f t="shared" si="451"/>
        <v>0</v>
      </c>
      <c r="MZ24" s="700">
        <f t="shared" si="451"/>
        <v>0</v>
      </c>
      <c r="NA24" s="700">
        <f t="shared" si="451"/>
        <v>0</v>
      </c>
      <c r="NB24" s="700">
        <f t="shared" si="451"/>
        <v>0</v>
      </c>
      <c r="NC24" s="700">
        <f t="shared" si="451"/>
        <v>0</v>
      </c>
      <c r="ND24" s="700">
        <f t="shared" si="451"/>
        <v>0</v>
      </c>
      <c r="NE24" s="700">
        <f t="shared" si="451"/>
        <v>0</v>
      </c>
      <c r="NF24" s="701">
        <f t="shared" si="451"/>
        <v>0</v>
      </c>
      <c r="NG24" s="699">
        <f t="shared" ref="NG24:OL24" si="452">MAX(NG7:NG17)</f>
        <v>0</v>
      </c>
      <c r="NH24" s="700">
        <f t="shared" si="452"/>
        <v>0</v>
      </c>
      <c r="NI24" s="700">
        <f t="shared" si="452"/>
        <v>0</v>
      </c>
      <c r="NJ24" s="700">
        <f t="shared" si="452"/>
        <v>0</v>
      </c>
      <c r="NK24" s="700">
        <f t="shared" si="452"/>
        <v>0</v>
      </c>
      <c r="NL24" s="700">
        <f t="shared" si="452"/>
        <v>0</v>
      </c>
      <c r="NM24" s="700">
        <f t="shared" si="452"/>
        <v>0</v>
      </c>
      <c r="NN24" s="700">
        <f t="shared" si="452"/>
        <v>0</v>
      </c>
      <c r="NO24" s="700">
        <f t="shared" si="452"/>
        <v>0</v>
      </c>
      <c r="NP24" s="700">
        <f t="shared" si="452"/>
        <v>0</v>
      </c>
      <c r="NQ24" s="700">
        <f t="shared" si="452"/>
        <v>0</v>
      </c>
      <c r="NR24" s="708">
        <f t="shared" si="452"/>
        <v>0</v>
      </c>
      <c r="NS24" s="700">
        <f t="shared" si="452"/>
        <v>0</v>
      </c>
      <c r="NT24" s="700">
        <f t="shared" si="452"/>
        <v>0</v>
      </c>
      <c r="NU24" s="700">
        <f t="shared" si="452"/>
        <v>0</v>
      </c>
      <c r="NV24" s="700">
        <f t="shared" si="452"/>
        <v>0</v>
      </c>
      <c r="NW24" s="700">
        <f t="shared" si="452"/>
        <v>0</v>
      </c>
      <c r="NX24" s="700">
        <f t="shared" si="452"/>
        <v>0</v>
      </c>
      <c r="NY24" s="700">
        <f t="shared" si="452"/>
        <v>0</v>
      </c>
      <c r="NZ24" s="701">
        <f t="shared" si="452"/>
        <v>0</v>
      </c>
      <c r="OA24" s="699">
        <f t="shared" si="452"/>
        <v>0</v>
      </c>
      <c r="OB24" s="700">
        <f t="shared" si="452"/>
        <v>0</v>
      </c>
      <c r="OC24" s="700">
        <f t="shared" si="452"/>
        <v>0</v>
      </c>
      <c r="OD24" s="700">
        <f t="shared" si="452"/>
        <v>0</v>
      </c>
      <c r="OE24" s="700">
        <f t="shared" si="452"/>
        <v>0</v>
      </c>
      <c r="OF24" s="700">
        <f t="shared" si="452"/>
        <v>0</v>
      </c>
      <c r="OG24" s="700">
        <f t="shared" si="452"/>
        <v>0</v>
      </c>
      <c r="OH24" s="700">
        <f t="shared" si="452"/>
        <v>0</v>
      </c>
      <c r="OI24" s="700">
        <f t="shared" si="452"/>
        <v>0</v>
      </c>
      <c r="OJ24" s="700">
        <f t="shared" si="452"/>
        <v>0</v>
      </c>
      <c r="OK24" s="700">
        <f t="shared" si="452"/>
        <v>0</v>
      </c>
      <c r="OL24" s="708">
        <f t="shared" si="452"/>
        <v>0</v>
      </c>
      <c r="OM24" s="700">
        <f t="shared" ref="OM24:PN24" si="453">MAX(OM7:OM17)</f>
        <v>0</v>
      </c>
      <c r="ON24" s="700">
        <f t="shared" si="453"/>
        <v>0</v>
      </c>
      <c r="OO24" s="700">
        <f t="shared" si="453"/>
        <v>0</v>
      </c>
      <c r="OP24" s="700">
        <f t="shared" si="453"/>
        <v>0</v>
      </c>
      <c r="OQ24" s="700">
        <f t="shared" si="453"/>
        <v>0</v>
      </c>
      <c r="OR24" s="700">
        <f t="shared" si="453"/>
        <v>0</v>
      </c>
      <c r="OS24" s="700">
        <f t="shared" si="453"/>
        <v>0</v>
      </c>
      <c r="OT24" s="701">
        <f t="shared" si="453"/>
        <v>0</v>
      </c>
      <c r="OU24" s="699">
        <f t="shared" si="453"/>
        <v>0</v>
      </c>
      <c r="OV24" s="700">
        <f t="shared" si="453"/>
        <v>0</v>
      </c>
      <c r="OW24" s="700">
        <f t="shared" si="453"/>
        <v>0</v>
      </c>
      <c r="OX24" s="700">
        <f t="shared" si="453"/>
        <v>0</v>
      </c>
      <c r="OY24" s="700">
        <f t="shared" si="453"/>
        <v>0</v>
      </c>
      <c r="OZ24" s="700">
        <f t="shared" si="453"/>
        <v>0</v>
      </c>
      <c r="PA24" s="700">
        <f t="shared" si="453"/>
        <v>0</v>
      </c>
      <c r="PB24" s="700">
        <f t="shared" si="453"/>
        <v>0</v>
      </c>
      <c r="PC24" s="700">
        <f t="shared" si="453"/>
        <v>0</v>
      </c>
      <c r="PD24" s="700">
        <f t="shared" si="453"/>
        <v>0</v>
      </c>
      <c r="PE24" s="700">
        <f t="shared" si="453"/>
        <v>0</v>
      </c>
      <c r="PF24" s="708">
        <f t="shared" si="453"/>
        <v>0</v>
      </c>
      <c r="PG24" s="700">
        <f t="shared" si="453"/>
        <v>0</v>
      </c>
      <c r="PH24" s="700">
        <f t="shared" si="453"/>
        <v>0</v>
      </c>
      <c r="PI24" s="700">
        <f t="shared" si="453"/>
        <v>0</v>
      </c>
      <c r="PJ24" s="700">
        <f t="shared" si="453"/>
        <v>0</v>
      </c>
      <c r="PK24" s="700">
        <f t="shared" si="453"/>
        <v>0</v>
      </c>
      <c r="PL24" s="700">
        <f t="shared" si="453"/>
        <v>0</v>
      </c>
      <c r="PM24" s="700">
        <f t="shared" si="453"/>
        <v>0</v>
      </c>
      <c r="PN24" s="701">
        <f t="shared" si="453"/>
        <v>0</v>
      </c>
      <c r="PO24" s="699">
        <f t="shared" ref="PO24:QT24" si="454">MIN(PO21,PO7)</f>
        <v>2.2350097814776305E-2</v>
      </c>
      <c r="PP24" s="700">
        <f t="shared" si="454"/>
        <v>0</v>
      </c>
      <c r="PQ24" s="700">
        <f t="shared" si="454"/>
        <v>0</v>
      </c>
      <c r="PR24" s="700">
        <f t="shared" si="454"/>
        <v>0</v>
      </c>
      <c r="PS24" s="700">
        <f t="shared" si="454"/>
        <v>0</v>
      </c>
      <c r="PT24" s="700">
        <f t="shared" si="454"/>
        <v>0</v>
      </c>
      <c r="PU24" s="700">
        <f t="shared" si="454"/>
        <v>0</v>
      </c>
      <c r="PV24" s="700">
        <f t="shared" si="454"/>
        <v>0</v>
      </c>
      <c r="PW24" s="700">
        <f t="shared" si="454"/>
        <v>0</v>
      </c>
      <c r="PX24" s="700">
        <f t="shared" si="454"/>
        <v>0</v>
      </c>
      <c r="PY24" s="700">
        <f t="shared" si="454"/>
        <v>0</v>
      </c>
      <c r="PZ24" s="700">
        <f t="shared" si="454"/>
        <v>0</v>
      </c>
      <c r="QA24" s="700">
        <f t="shared" si="454"/>
        <v>0</v>
      </c>
      <c r="QB24" s="700">
        <f t="shared" si="454"/>
        <v>0</v>
      </c>
      <c r="QC24" s="700">
        <f t="shared" si="454"/>
        <v>0</v>
      </c>
      <c r="QD24" s="700">
        <f t="shared" si="454"/>
        <v>0</v>
      </c>
      <c r="QE24" s="700">
        <f t="shared" si="454"/>
        <v>0</v>
      </c>
      <c r="QF24" s="700">
        <f t="shared" si="454"/>
        <v>0</v>
      </c>
      <c r="QG24" s="700">
        <f t="shared" si="454"/>
        <v>0</v>
      </c>
      <c r="QH24" s="701">
        <f t="shared" si="454"/>
        <v>0</v>
      </c>
      <c r="QI24" s="699">
        <f t="shared" si="454"/>
        <v>0</v>
      </c>
      <c r="QJ24" s="700">
        <f t="shared" si="454"/>
        <v>0</v>
      </c>
      <c r="QK24" s="700">
        <f t="shared" si="454"/>
        <v>0</v>
      </c>
      <c r="QL24" s="700">
        <f t="shared" si="454"/>
        <v>0</v>
      </c>
      <c r="QM24" s="700">
        <f t="shared" si="454"/>
        <v>0</v>
      </c>
      <c r="QN24" s="700">
        <f t="shared" si="454"/>
        <v>0</v>
      </c>
      <c r="QO24" s="700">
        <f t="shared" si="454"/>
        <v>0</v>
      </c>
      <c r="QP24" s="700">
        <f t="shared" si="454"/>
        <v>0</v>
      </c>
      <c r="QQ24" s="700">
        <f t="shared" si="454"/>
        <v>0</v>
      </c>
      <c r="QR24" s="700">
        <f t="shared" si="454"/>
        <v>0</v>
      </c>
      <c r="QS24" s="700">
        <f t="shared" si="454"/>
        <v>0</v>
      </c>
      <c r="QT24" s="700">
        <f t="shared" si="454"/>
        <v>0</v>
      </c>
      <c r="QU24" s="700">
        <f t="shared" ref="QU24:RZ24" si="455">MIN(QU21,QU7)</f>
        <v>0</v>
      </c>
      <c r="QV24" s="700">
        <f t="shared" si="455"/>
        <v>0</v>
      </c>
      <c r="QW24" s="700">
        <f t="shared" si="455"/>
        <v>0</v>
      </c>
      <c r="QX24" s="700">
        <f t="shared" si="455"/>
        <v>0</v>
      </c>
      <c r="QY24" s="700">
        <f t="shared" si="455"/>
        <v>0</v>
      </c>
      <c r="QZ24" s="700">
        <f t="shared" si="455"/>
        <v>0</v>
      </c>
      <c r="RA24" s="700">
        <f t="shared" si="455"/>
        <v>0</v>
      </c>
      <c r="RB24" s="701">
        <f t="shared" si="455"/>
        <v>0</v>
      </c>
      <c r="RC24" s="624">
        <f t="shared" si="455"/>
        <v>0</v>
      </c>
      <c r="RD24" s="625">
        <f t="shared" si="455"/>
        <v>0</v>
      </c>
      <c r="RE24" s="625">
        <f t="shared" si="455"/>
        <v>0</v>
      </c>
      <c r="RF24" s="625">
        <f t="shared" si="455"/>
        <v>0</v>
      </c>
      <c r="RG24" s="625">
        <f t="shared" si="455"/>
        <v>0</v>
      </c>
      <c r="RH24" s="625">
        <f t="shared" si="455"/>
        <v>0</v>
      </c>
      <c r="RI24" s="625">
        <f t="shared" si="455"/>
        <v>0</v>
      </c>
      <c r="RJ24" s="625">
        <f t="shared" si="455"/>
        <v>0</v>
      </c>
      <c r="RK24" s="625">
        <f t="shared" si="455"/>
        <v>0</v>
      </c>
      <c r="RL24" s="625">
        <f t="shared" si="455"/>
        <v>0</v>
      </c>
      <c r="RM24" s="625">
        <f t="shared" si="455"/>
        <v>0</v>
      </c>
      <c r="RN24" s="625">
        <f t="shared" si="455"/>
        <v>0</v>
      </c>
      <c r="RO24" s="625">
        <f t="shared" si="455"/>
        <v>0</v>
      </c>
      <c r="RP24" s="625">
        <f t="shared" si="455"/>
        <v>0</v>
      </c>
      <c r="RQ24" s="625">
        <f t="shared" si="455"/>
        <v>0</v>
      </c>
      <c r="RR24" s="625">
        <f t="shared" si="455"/>
        <v>0</v>
      </c>
      <c r="RS24" s="625">
        <f t="shared" si="455"/>
        <v>0</v>
      </c>
      <c r="RT24" s="625">
        <f t="shared" si="455"/>
        <v>0</v>
      </c>
      <c r="RU24" s="625">
        <f t="shared" si="455"/>
        <v>0</v>
      </c>
      <c r="RV24" s="626">
        <f t="shared" si="455"/>
        <v>0</v>
      </c>
      <c r="RW24" s="699">
        <f t="shared" si="455"/>
        <v>0</v>
      </c>
      <c r="RX24" s="700">
        <f t="shared" si="455"/>
        <v>0</v>
      </c>
      <c r="RY24" s="700">
        <f t="shared" si="455"/>
        <v>0</v>
      </c>
      <c r="RZ24" s="700">
        <f t="shared" si="455"/>
        <v>0</v>
      </c>
      <c r="SA24" s="700">
        <f t="shared" ref="SA24:TF24" si="456">MIN(SA21,SA7)</f>
        <v>0</v>
      </c>
      <c r="SB24" s="700">
        <f t="shared" si="456"/>
        <v>0</v>
      </c>
      <c r="SC24" s="700">
        <f t="shared" si="456"/>
        <v>0</v>
      </c>
      <c r="SD24" s="700">
        <f t="shared" si="456"/>
        <v>0</v>
      </c>
      <c r="SE24" s="700">
        <f t="shared" si="456"/>
        <v>0</v>
      </c>
      <c r="SF24" s="700">
        <f t="shared" si="456"/>
        <v>0</v>
      </c>
      <c r="SG24" s="700">
        <f t="shared" si="456"/>
        <v>0</v>
      </c>
      <c r="SH24" s="700">
        <f t="shared" si="456"/>
        <v>0</v>
      </c>
      <c r="SI24" s="700">
        <f t="shared" si="456"/>
        <v>0</v>
      </c>
      <c r="SJ24" s="700">
        <f t="shared" si="456"/>
        <v>0</v>
      </c>
      <c r="SK24" s="700">
        <f t="shared" si="456"/>
        <v>0</v>
      </c>
      <c r="SL24" s="700">
        <f t="shared" si="456"/>
        <v>0</v>
      </c>
      <c r="SM24" s="700">
        <f t="shared" si="456"/>
        <v>0</v>
      </c>
      <c r="SN24" s="700">
        <f t="shared" si="456"/>
        <v>0</v>
      </c>
      <c r="SO24" s="700">
        <f t="shared" si="456"/>
        <v>0</v>
      </c>
      <c r="SP24" s="701">
        <f t="shared" si="456"/>
        <v>0</v>
      </c>
      <c r="SQ24" s="699">
        <f t="shared" si="456"/>
        <v>0</v>
      </c>
      <c r="SR24" s="700">
        <f t="shared" si="456"/>
        <v>0</v>
      </c>
      <c r="SS24" s="700">
        <f t="shared" si="456"/>
        <v>0</v>
      </c>
      <c r="ST24" s="700">
        <f t="shared" si="456"/>
        <v>0</v>
      </c>
      <c r="SU24" s="700">
        <f t="shared" si="456"/>
        <v>0</v>
      </c>
      <c r="SV24" s="700">
        <f t="shared" si="456"/>
        <v>0</v>
      </c>
      <c r="SW24" s="700">
        <f t="shared" si="456"/>
        <v>0</v>
      </c>
      <c r="SX24" s="700">
        <f t="shared" si="456"/>
        <v>0</v>
      </c>
      <c r="SY24" s="700">
        <f t="shared" si="456"/>
        <v>0</v>
      </c>
      <c r="SZ24" s="700">
        <f t="shared" si="456"/>
        <v>0</v>
      </c>
      <c r="TA24" s="700">
        <f t="shared" si="456"/>
        <v>0</v>
      </c>
      <c r="TB24" s="700">
        <f t="shared" si="456"/>
        <v>0</v>
      </c>
      <c r="TC24" s="700">
        <f t="shared" si="456"/>
        <v>0</v>
      </c>
      <c r="TD24" s="700">
        <f t="shared" si="456"/>
        <v>0</v>
      </c>
      <c r="TE24" s="700">
        <f t="shared" si="456"/>
        <v>0</v>
      </c>
      <c r="TF24" s="700">
        <f t="shared" si="456"/>
        <v>0</v>
      </c>
      <c r="TG24" s="700">
        <f t="shared" ref="TG24:UL24" si="457">MIN(TG21,TG7)</f>
        <v>0</v>
      </c>
      <c r="TH24" s="700">
        <f t="shared" si="457"/>
        <v>0</v>
      </c>
      <c r="TI24" s="700">
        <f t="shared" si="457"/>
        <v>0</v>
      </c>
      <c r="TJ24" s="701">
        <f t="shared" si="457"/>
        <v>0</v>
      </c>
      <c r="TK24" s="699">
        <f t="shared" si="457"/>
        <v>0</v>
      </c>
      <c r="TL24" s="700">
        <f t="shared" si="457"/>
        <v>0</v>
      </c>
      <c r="TM24" s="700">
        <f t="shared" si="457"/>
        <v>0</v>
      </c>
      <c r="TN24" s="700">
        <f t="shared" si="457"/>
        <v>0</v>
      </c>
      <c r="TO24" s="700">
        <f t="shared" si="457"/>
        <v>0</v>
      </c>
      <c r="TP24" s="700">
        <f t="shared" si="457"/>
        <v>0</v>
      </c>
      <c r="TQ24" s="700">
        <f t="shared" si="457"/>
        <v>0</v>
      </c>
      <c r="TR24" s="700">
        <f t="shared" si="457"/>
        <v>0</v>
      </c>
      <c r="TS24" s="700">
        <f t="shared" si="457"/>
        <v>0</v>
      </c>
      <c r="TT24" s="700">
        <f t="shared" si="457"/>
        <v>0</v>
      </c>
      <c r="TU24" s="700">
        <f t="shared" si="457"/>
        <v>0</v>
      </c>
      <c r="TV24" s="700">
        <f t="shared" si="457"/>
        <v>0</v>
      </c>
      <c r="TW24" s="700">
        <f t="shared" si="457"/>
        <v>0</v>
      </c>
      <c r="TX24" s="700">
        <f t="shared" si="457"/>
        <v>0</v>
      </c>
      <c r="TY24" s="700">
        <f t="shared" si="457"/>
        <v>0</v>
      </c>
      <c r="TZ24" s="700">
        <f t="shared" si="457"/>
        <v>0</v>
      </c>
      <c r="UA24" s="700">
        <f t="shared" si="457"/>
        <v>0</v>
      </c>
      <c r="UB24" s="700">
        <f t="shared" si="457"/>
        <v>0</v>
      </c>
      <c r="UC24" s="700">
        <f t="shared" si="457"/>
        <v>0</v>
      </c>
      <c r="UD24" s="701">
        <f t="shared" si="457"/>
        <v>0</v>
      </c>
      <c r="UE24" s="699">
        <f t="shared" si="457"/>
        <v>0</v>
      </c>
      <c r="UF24" s="700">
        <f t="shared" si="457"/>
        <v>0</v>
      </c>
      <c r="UG24" s="700">
        <f t="shared" si="457"/>
        <v>0</v>
      </c>
      <c r="UH24" s="700">
        <f t="shared" si="457"/>
        <v>0</v>
      </c>
      <c r="UI24" s="700">
        <f t="shared" si="457"/>
        <v>0</v>
      </c>
      <c r="UJ24" s="700">
        <f t="shared" si="457"/>
        <v>0</v>
      </c>
      <c r="UK24" s="700">
        <f t="shared" si="457"/>
        <v>0</v>
      </c>
      <c r="UL24" s="700">
        <f t="shared" si="457"/>
        <v>0</v>
      </c>
      <c r="UM24" s="700">
        <f t="shared" ref="UM24:UX24" si="458">MIN(UM21,UM7)</f>
        <v>0</v>
      </c>
      <c r="UN24" s="700">
        <f t="shared" si="458"/>
        <v>0</v>
      </c>
      <c r="UO24" s="700">
        <f t="shared" si="458"/>
        <v>0</v>
      </c>
      <c r="UP24" s="700">
        <f t="shared" si="458"/>
        <v>0</v>
      </c>
      <c r="UQ24" s="700">
        <f t="shared" si="458"/>
        <v>0</v>
      </c>
      <c r="UR24" s="700">
        <f t="shared" si="458"/>
        <v>0</v>
      </c>
      <c r="US24" s="700">
        <f t="shared" si="458"/>
        <v>0</v>
      </c>
      <c r="UT24" s="700">
        <f t="shared" si="458"/>
        <v>0</v>
      </c>
      <c r="UU24" s="700">
        <f t="shared" si="458"/>
        <v>0</v>
      </c>
      <c r="UV24" s="700">
        <f t="shared" si="458"/>
        <v>0</v>
      </c>
      <c r="UW24" s="700">
        <f t="shared" si="458"/>
        <v>0</v>
      </c>
      <c r="UX24" s="701">
        <f t="shared" si="458"/>
        <v>0</v>
      </c>
    </row>
    <row r="25" spans="1:16344" x14ac:dyDescent="0.2">
      <c r="A25" s="99" t="s">
        <v>86</v>
      </c>
      <c r="B25" s="100"/>
      <c r="C25" s="100"/>
      <c r="D25" s="100"/>
      <c r="E25" s="101"/>
      <c r="F25" s="101"/>
      <c r="G25" s="102">
        <f t="shared" ref="G25:N25" si="459">IFERROR((G23-G7)/ABS(G7),"")</f>
        <v>8.2903142835929575</v>
      </c>
      <c r="H25" s="102">
        <f t="shared" si="459"/>
        <v>6.2703580383935531</v>
      </c>
      <c r="I25" s="102" t="str">
        <f t="shared" si="459"/>
        <v/>
      </c>
      <c r="J25" s="102">
        <f t="shared" si="459"/>
        <v>8.3935998134251982E-2</v>
      </c>
      <c r="K25" s="102">
        <f t="shared" si="459"/>
        <v>9.85673592493298E-2</v>
      </c>
      <c r="L25" s="102">
        <f t="shared" si="459"/>
        <v>0.69951207669854043</v>
      </c>
      <c r="M25" s="102">
        <f t="shared" si="459"/>
        <v>1.1365127537161028</v>
      </c>
      <c r="N25" s="102">
        <f t="shared" si="459"/>
        <v>1.0036991906220201</v>
      </c>
      <c r="O25" s="102" t="str">
        <f t="shared" ref="O25" si="460">IFERROR((O23-O7)/ABS(O7),"")</f>
        <v/>
      </c>
      <c r="P25" s="102" t="str">
        <f t="shared" ref="P25" si="461">IFERROR((P23-P7)/ABS(P7),"")</f>
        <v/>
      </c>
      <c r="Q25" s="102" t="str">
        <f>IFERROR((Q23-Q7)/ABS(Q7),"")</f>
        <v/>
      </c>
      <c r="R25" s="102" t="str">
        <f>IFERROR((R23-R7)/ABS(R7),"")</f>
        <v/>
      </c>
      <c r="S25" s="102" t="str">
        <f>IFERROR((S23-S7)/ABS(S7),"")</f>
        <v/>
      </c>
      <c r="T25" s="102" t="str">
        <f>IFERROR(ABS(T23-T7)/ABS(T7),"")</f>
        <v/>
      </c>
      <c r="U25" s="102" t="str">
        <f>IFERROR(ABS(U23-U7)/ABS(U7),"")</f>
        <v/>
      </c>
      <c r="V25" s="102" t="str">
        <f>IFERROR(ABS(V23-V7)/ABS(V7),"")</f>
        <v/>
      </c>
      <c r="W25" s="102" t="str">
        <f>IFERROR(ABS(W23-W7)/ABS(W7),"")</f>
        <v/>
      </c>
      <c r="X25" s="102" t="str">
        <f>IFERROR(ABS(X23-X7)/ABS(X7),"")</f>
        <v/>
      </c>
      <c r="Y25" s="102" t="str">
        <f>IFERROR((Y23-Y7)/ABS(Y7),"")</f>
        <v/>
      </c>
      <c r="Z25" s="993">
        <f>IFERROR(ABS(Z23-Z7)/ABS(Z7),"")</f>
        <v>0</v>
      </c>
      <c r="AA25" s="102">
        <f>IFERROR((AA23-AA7)/ABS(AA7),"")</f>
        <v>0.2724755879801386</v>
      </c>
      <c r="AB25" s="102" t="str">
        <f>IFERROR(ABS(AB23-AB7)/ABS(AB7),"")</f>
        <v/>
      </c>
      <c r="AC25" s="1024">
        <f>IFERROR((AC23-AC7)/ABS(AC7),"")</f>
        <v>0.43856950749810414</v>
      </c>
      <c r="AD25" s="104"/>
      <c r="AE25" s="105" t="str">
        <f t="shared" ref="AE25:CP25" si="462">IFERROR((AE23-AE7)/ABS(AE7),"")</f>
        <v/>
      </c>
      <c r="AF25" s="106" t="str">
        <f t="shared" si="462"/>
        <v/>
      </c>
      <c r="AG25" s="106" t="str">
        <f t="shared" si="462"/>
        <v/>
      </c>
      <c r="AH25" s="106" t="str">
        <f t="shared" si="462"/>
        <v/>
      </c>
      <c r="AI25" s="106" t="str">
        <f t="shared" si="462"/>
        <v/>
      </c>
      <c r="AJ25" s="106" t="str">
        <f t="shared" si="462"/>
        <v/>
      </c>
      <c r="AK25" s="106" t="str">
        <f t="shared" si="462"/>
        <v/>
      </c>
      <c r="AL25" s="106" t="str">
        <f t="shared" si="462"/>
        <v/>
      </c>
      <c r="AM25" s="106" t="str">
        <f t="shared" si="462"/>
        <v/>
      </c>
      <c r="AN25" s="106" t="str">
        <f t="shared" si="462"/>
        <v/>
      </c>
      <c r="AO25" s="106" t="str">
        <f t="shared" si="462"/>
        <v/>
      </c>
      <c r="AP25" s="106" t="str">
        <f t="shared" si="462"/>
        <v/>
      </c>
      <c r="AQ25" s="106" t="str">
        <f t="shared" si="462"/>
        <v/>
      </c>
      <c r="AR25" s="106" t="str">
        <f t="shared" si="462"/>
        <v/>
      </c>
      <c r="AS25" s="106" t="str">
        <f t="shared" si="462"/>
        <v/>
      </c>
      <c r="AT25" s="106" t="str">
        <f t="shared" si="462"/>
        <v/>
      </c>
      <c r="AU25" s="106" t="str">
        <f t="shared" si="462"/>
        <v/>
      </c>
      <c r="AV25" s="106" t="str">
        <f t="shared" si="462"/>
        <v/>
      </c>
      <c r="AW25" s="106" t="str">
        <f t="shared" si="462"/>
        <v/>
      </c>
      <c r="AX25" s="107" t="str">
        <f t="shared" si="462"/>
        <v/>
      </c>
      <c r="AY25" s="105" t="str">
        <f t="shared" si="462"/>
        <v/>
      </c>
      <c r="AZ25" s="106" t="str">
        <f t="shared" si="462"/>
        <v/>
      </c>
      <c r="BA25" s="106" t="str">
        <f t="shared" si="462"/>
        <v/>
      </c>
      <c r="BB25" s="106" t="str">
        <f t="shared" si="462"/>
        <v/>
      </c>
      <c r="BC25" s="106" t="str">
        <f t="shared" si="462"/>
        <v/>
      </c>
      <c r="BD25" s="106" t="str">
        <f t="shared" si="462"/>
        <v/>
      </c>
      <c r="BE25" s="106" t="str">
        <f t="shared" si="462"/>
        <v/>
      </c>
      <c r="BF25" s="106" t="str">
        <f t="shared" si="462"/>
        <v/>
      </c>
      <c r="BG25" s="106" t="str">
        <f t="shared" si="462"/>
        <v/>
      </c>
      <c r="BH25" s="106" t="str">
        <f t="shared" si="462"/>
        <v/>
      </c>
      <c r="BI25" s="106" t="str">
        <f t="shared" si="462"/>
        <v/>
      </c>
      <c r="BJ25" s="106" t="str">
        <f t="shared" si="462"/>
        <v/>
      </c>
      <c r="BK25" s="106" t="str">
        <f t="shared" si="462"/>
        <v/>
      </c>
      <c r="BL25" s="106" t="str">
        <f t="shared" si="462"/>
        <v/>
      </c>
      <c r="BM25" s="106" t="str">
        <f t="shared" si="462"/>
        <v/>
      </c>
      <c r="BN25" s="106" t="str">
        <f t="shared" si="462"/>
        <v/>
      </c>
      <c r="BO25" s="106" t="str">
        <f t="shared" si="462"/>
        <v/>
      </c>
      <c r="BP25" s="106" t="str">
        <f t="shared" si="462"/>
        <v/>
      </c>
      <c r="BQ25" s="106" t="str">
        <f t="shared" si="462"/>
        <v/>
      </c>
      <c r="BR25" s="107" t="str">
        <f t="shared" si="462"/>
        <v/>
      </c>
      <c r="BS25" s="105" t="str">
        <f t="shared" si="462"/>
        <v/>
      </c>
      <c r="BT25" s="106" t="str">
        <f t="shared" si="462"/>
        <v/>
      </c>
      <c r="BU25" s="106" t="str">
        <f t="shared" si="462"/>
        <v/>
      </c>
      <c r="BV25" s="106" t="str">
        <f t="shared" si="462"/>
        <v/>
      </c>
      <c r="BW25" s="106" t="str">
        <f t="shared" si="462"/>
        <v/>
      </c>
      <c r="BX25" s="106" t="str">
        <f t="shared" si="462"/>
        <v/>
      </c>
      <c r="BY25" s="106" t="str">
        <f t="shared" si="462"/>
        <v/>
      </c>
      <c r="BZ25" s="106" t="str">
        <f t="shared" si="462"/>
        <v/>
      </c>
      <c r="CA25" s="106" t="str">
        <f t="shared" si="462"/>
        <v/>
      </c>
      <c r="CB25" s="106" t="str">
        <f t="shared" si="462"/>
        <v/>
      </c>
      <c r="CC25" s="106" t="str">
        <f t="shared" si="462"/>
        <v/>
      </c>
      <c r="CD25" s="106" t="str">
        <f t="shared" si="462"/>
        <v/>
      </c>
      <c r="CE25" s="106" t="str">
        <f t="shared" si="462"/>
        <v/>
      </c>
      <c r="CF25" s="106" t="str">
        <f t="shared" si="462"/>
        <v/>
      </c>
      <c r="CG25" s="106" t="str">
        <f t="shared" si="462"/>
        <v/>
      </c>
      <c r="CH25" s="106" t="str">
        <f t="shared" si="462"/>
        <v/>
      </c>
      <c r="CI25" s="106" t="str">
        <f t="shared" si="462"/>
        <v/>
      </c>
      <c r="CJ25" s="106" t="str">
        <f t="shared" si="462"/>
        <v/>
      </c>
      <c r="CK25" s="106" t="str">
        <f t="shared" si="462"/>
        <v/>
      </c>
      <c r="CL25" s="107" t="str">
        <f t="shared" si="462"/>
        <v/>
      </c>
      <c r="CM25" s="105" t="str">
        <f t="shared" si="462"/>
        <v/>
      </c>
      <c r="CN25" s="106" t="str">
        <f t="shared" si="462"/>
        <v/>
      </c>
      <c r="CO25" s="106" t="str">
        <f t="shared" si="462"/>
        <v/>
      </c>
      <c r="CP25" s="106" t="str">
        <f t="shared" si="462"/>
        <v/>
      </c>
      <c r="CQ25" s="106" t="str">
        <f t="shared" ref="CQ25:FB25" si="463">IFERROR((CQ23-CQ7)/ABS(CQ7),"")</f>
        <v/>
      </c>
      <c r="CR25" s="106" t="str">
        <f t="shared" si="463"/>
        <v/>
      </c>
      <c r="CS25" s="106" t="str">
        <f t="shared" si="463"/>
        <v/>
      </c>
      <c r="CT25" s="106" t="str">
        <f t="shared" si="463"/>
        <v/>
      </c>
      <c r="CU25" s="106" t="str">
        <f t="shared" si="463"/>
        <v/>
      </c>
      <c r="CV25" s="106" t="str">
        <f t="shared" si="463"/>
        <v/>
      </c>
      <c r="CW25" s="106" t="str">
        <f t="shared" si="463"/>
        <v/>
      </c>
      <c r="CX25" s="106" t="str">
        <f t="shared" si="463"/>
        <v/>
      </c>
      <c r="CY25" s="106" t="str">
        <f t="shared" si="463"/>
        <v/>
      </c>
      <c r="CZ25" s="106" t="str">
        <f t="shared" si="463"/>
        <v/>
      </c>
      <c r="DA25" s="106" t="str">
        <f t="shared" si="463"/>
        <v/>
      </c>
      <c r="DB25" s="106" t="str">
        <f t="shared" si="463"/>
        <v/>
      </c>
      <c r="DC25" s="106" t="str">
        <f t="shared" si="463"/>
        <v/>
      </c>
      <c r="DD25" s="106" t="str">
        <f t="shared" si="463"/>
        <v/>
      </c>
      <c r="DE25" s="106" t="str">
        <f t="shared" si="463"/>
        <v/>
      </c>
      <c r="DF25" s="107" t="str">
        <f t="shared" si="463"/>
        <v/>
      </c>
      <c r="DG25" s="105" t="str">
        <f t="shared" si="463"/>
        <v/>
      </c>
      <c r="DH25" s="106" t="str">
        <f t="shared" si="463"/>
        <v/>
      </c>
      <c r="DI25" s="106" t="str">
        <f t="shared" si="463"/>
        <v/>
      </c>
      <c r="DJ25" s="106" t="str">
        <f t="shared" si="463"/>
        <v/>
      </c>
      <c r="DK25" s="106" t="str">
        <f t="shared" si="463"/>
        <v/>
      </c>
      <c r="DL25" s="106" t="str">
        <f t="shared" si="463"/>
        <v/>
      </c>
      <c r="DM25" s="106" t="str">
        <f t="shared" si="463"/>
        <v/>
      </c>
      <c r="DN25" s="106" t="str">
        <f t="shared" si="463"/>
        <v/>
      </c>
      <c r="DO25" s="106" t="str">
        <f t="shared" si="463"/>
        <v/>
      </c>
      <c r="DP25" s="106" t="str">
        <f t="shared" si="463"/>
        <v/>
      </c>
      <c r="DQ25" s="106" t="str">
        <f t="shared" si="463"/>
        <v/>
      </c>
      <c r="DR25" s="106" t="str">
        <f t="shared" si="463"/>
        <v/>
      </c>
      <c r="DS25" s="106" t="str">
        <f t="shared" si="463"/>
        <v/>
      </c>
      <c r="DT25" s="106" t="str">
        <f t="shared" si="463"/>
        <v/>
      </c>
      <c r="DU25" s="106" t="str">
        <f t="shared" si="463"/>
        <v/>
      </c>
      <c r="DV25" s="106" t="str">
        <f t="shared" si="463"/>
        <v/>
      </c>
      <c r="DW25" s="106" t="str">
        <f t="shared" si="463"/>
        <v/>
      </c>
      <c r="DX25" s="106" t="str">
        <f t="shared" si="463"/>
        <v/>
      </c>
      <c r="DY25" s="106" t="str">
        <f t="shared" si="463"/>
        <v/>
      </c>
      <c r="DZ25" s="107" t="str">
        <f t="shared" si="463"/>
        <v/>
      </c>
      <c r="EA25" s="105" t="str">
        <f t="shared" si="463"/>
        <v/>
      </c>
      <c r="EB25" s="106" t="str">
        <f t="shared" si="463"/>
        <v/>
      </c>
      <c r="EC25" s="106" t="str">
        <f t="shared" si="463"/>
        <v/>
      </c>
      <c r="ED25" s="106" t="str">
        <f t="shared" si="463"/>
        <v/>
      </c>
      <c r="EE25" s="106" t="str">
        <f t="shared" si="463"/>
        <v/>
      </c>
      <c r="EF25" s="106" t="str">
        <f t="shared" si="463"/>
        <v/>
      </c>
      <c r="EG25" s="106" t="str">
        <f t="shared" si="463"/>
        <v/>
      </c>
      <c r="EH25" s="106" t="str">
        <f t="shared" si="463"/>
        <v/>
      </c>
      <c r="EI25" s="106" t="str">
        <f t="shared" si="463"/>
        <v/>
      </c>
      <c r="EJ25" s="106" t="str">
        <f t="shared" si="463"/>
        <v/>
      </c>
      <c r="EK25" s="106" t="str">
        <f t="shared" si="463"/>
        <v/>
      </c>
      <c r="EL25" s="106" t="str">
        <f t="shared" si="463"/>
        <v/>
      </c>
      <c r="EM25" s="106" t="str">
        <f t="shared" si="463"/>
        <v/>
      </c>
      <c r="EN25" s="106" t="str">
        <f t="shared" si="463"/>
        <v/>
      </c>
      <c r="EO25" s="106" t="str">
        <f t="shared" si="463"/>
        <v/>
      </c>
      <c r="EP25" s="106" t="str">
        <f t="shared" si="463"/>
        <v/>
      </c>
      <c r="EQ25" s="106" t="str">
        <f t="shared" si="463"/>
        <v/>
      </c>
      <c r="ER25" s="106" t="str">
        <f t="shared" si="463"/>
        <v/>
      </c>
      <c r="ES25" s="106" t="str">
        <f t="shared" si="463"/>
        <v/>
      </c>
      <c r="ET25" s="107" t="str">
        <f t="shared" si="463"/>
        <v/>
      </c>
      <c r="EU25" s="105" t="str">
        <f t="shared" si="463"/>
        <v/>
      </c>
      <c r="EV25" s="106" t="str">
        <f t="shared" si="463"/>
        <v/>
      </c>
      <c r="EW25" s="106" t="str">
        <f t="shared" si="463"/>
        <v/>
      </c>
      <c r="EX25" s="106" t="str">
        <f t="shared" si="463"/>
        <v/>
      </c>
      <c r="EY25" s="106" t="str">
        <f t="shared" si="463"/>
        <v/>
      </c>
      <c r="EZ25" s="106" t="str">
        <f t="shared" si="463"/>
        <v/>
      </c>
      <c r="FA25" s="106" t="str">
        <f t="shared" si="463"/>
        <v/>
      </c>
      <c r="FB25" s="106" t="str">
        <f t="shared" si="463"/>
        <v/>
      </c>
      <c r="FC25" s="106" t="str">
        <f t="shared" ref="FC25:HN25" si="464">IFERROR((FC23-FC7)/ABS(FC7),"")</f>
        <v/>
      </c>
      <c r="FD25" s="106" t="str">
        <f t="shared" si="464"/>
        <v/>
      </c>
      <c r="FE25" s="106" t="str">
        <f t="shared" si="464"/>
        <v/>
      </c>
      <c r="FF25" s="106" t="str">
        <f t="shared" si="464"/>
        <v/>
      </c>
      <c r="FG25" s="106" t="str">
        <f t="shared" si="464"/>
        <v/>
      </c>
      <c r="FH25" s="106" t="str">
        <f t="shared" si="464"/>
        <v/>
      </c>
      <c r="FI25" s="106" t="str">
        <f t="shared" si="464"/>
        <v/>
      </c>
      <c r="FJ25" s="106" t="str">
        <f t="shared" si="464"/>
        <v/>
      </c>
      <c r="FK25" s="106" t="str">
        <f t="shared" si="464"/>
        <v/>
      </c>
      <c r="FL25" s="106" t="str">
        <f t="shared" si="464"/>
        <v/>
      </c>
      <c r="FM25" s="106" t="str">
        <f t="shared" si="464"/>
        <v/>
      </c>
      <c r="FN25" s="107" t="str">
        <f t="shared" si="464"/>
        <v/>
      </c>
      <c r="FO25" s="105" t="str">
        <f t="shared" si="464"/>
        <v/>
      </c>
      <c r="FP25" s="106" t="str">
        <f t="shared" si="464"/>
        <v/>
      </c>
      <c r="FQ25" s="106" t="str">
        <f t="shared" si="464"/>
        <v/>
      </c>
      <c r="FR25" s="106" t="str">
        <f t="shared" si="464"/>
        <v/>
      </c>
      <c r="FS25" s="106" t="str">
        <f t="shared" si="464"/>
        <v/>
      </c>
      <c r="FT25" s="106" t="str">
        <f t="shared" si="464"/>
        <v/>
      </c>
      <c r="FU25" s="106" t="str">
        <f t="shared" si="464"/>
        <v/>
      </c>
      <c r="FV25" s="106" t="str">
        <f t="shared" si="464"/>
        <v/>
      </c>
      <c r="FW25" s="106" t="str">
        <f t="shared" si="464"/>
        <v/>
      </c>
      <c r="FX25" s="106" t="str">
        <f t="shared" si="464"/>
        <v/>
      </c>
      <c r="FY25" s="106" t="str">
        <f t="shared" si="464"/>
        <v/>
      </c>
      <c r="FZ25" s="106" t="str">
        <f t="shared" si="464"/>
        <v/>
      </c>
      <c r="GA25" s="106" t="str">
        <f t="shared" si="464"/>
        <v/>
      </c>
      <c r="GB25" s="106" t="str">
        <f t="shared" si="464"/>
        <v/>
      </c>
      <c r="GC25" s="106" t="str">
        <f t="shared" si="464"/>
        <v/>
      </c>
      <c r="GD25" s="106" t="str">
        <f t="shared" si="464"/>
        <v/>
      </c>
      <c r="GE25" s="106" t="str">
        <f t="shared" si="464"/>
        <v/>
      </c>
      <c r="GF25" s="106" t="str">
        <f t="shared" si="464"/>
        <v/>
      </c>
      <c r="GG25" s="106" t="str">
        <f t="shared" si="464"/>
        <v/>
      </c>
      <c r="GH25" s="107" t="str">
        <f t="shared" si="464"/>
        <v/>
      </c>
      <c r="GI25" s="105" t="str">
        <f t="shared" si="464"/>
        <v/>
      </c>
      <c r="GJ25" s="106" t="str">
        <f t="shared" si="464"/>
        <v/>
      </c>
      <c r="GK25" s="106" t="str">
        <f t="shared" si="464"/>
        <v/>
      </c>
      <c r="GL25" s="106" t="str">
        <f t="shared" si="464"/>
        <v/>
      </c>
      <c r="GM25" s="106" t="str">
        <f t="shared" si="464"/>
        <v/>
      </c>
      <c r="GN25" s="106" t="str">
        <f t="shared" si="464"/>
        <v/>
      </c>
      <c r="GO25" s="106" t="str">
        <f t="shared" si="464"/>
        <v/>
      </c>
      <c r="GP25" s="106" t="str">
        <f t="shared" si="464"/>
        <v/>
      </c>
      <c r="GQ25" s="106" t="str">
        <f t="shared" si="464"/>
        <v/>
      </c>
      <c r="GR25" s="106" t="str">
        <f t="shared" si="464"/>
        <v/>
      </c>
      <c r="GS25" s="106" t="str">
        <f t="shared" si="464"/>
        <v/>
      </c>
      <c r="GT25" s="106" t="str">
        <f t="shared" si="464"/>
        <v/>
      </c>
      <c r="GU25" s="106" t="str">
        <f t="shared" si="464"/>
        <v/>
      </c>
      <c r="GV25" s="106" t="str">
        <f t="shared" si="464"/>
        <v/>
      </c>
      <c r="GW25" s="106" t="str">
        <f t="shared" si="464"/>
        <v/>
      </c>
      <c r="GX25" s="106" t="str">
        <f t="shared" si="464"/>
        <v/>
      </c>
      <c r="GY25" s="106" t="str">
        <f t="shared" si="464"/>
        <v/>
      </c>
      <c r="GZ25" s="106" t="str">
        <f t="shared" si="464"/>
        <v/>
      </c>
      <c r="HA25" s="106" t="str">
        <f t="shared" si="464"/>
        <v/>
      </c>
      <c r="HB25" s="107" t="str">
        <f t="shared" si="464"/>
        <v/>
      </c>
      <c r="HC25" s="105">
        <f t="shared" si="464"/>
        <v>0.48213559573862563</v>
      </c>
      <c r="HD25" s="106" t="str">
        <f t="shared" si="464"/>
        <v/>
      </c>
      <c r="HE25" s="106" t="str">
        <f t="shared" si="464"/>
        <v/>
      </c>
      <c r="HF25" s="106" t="str">
        <f t="shared" si="464"/>
        <v/>
      </c>
      <c r="HG25" s="106" t="str">
        <f t="shared" si="464"/>
        <v/>
      </c>
      <c r="HH25" s="106" t="str">
        <f t="shared" si="464"/>
        <v/>
      </c>
      <c r="HI25" s="106" t="str">
        <f t="shared" si="464"/>
        <v/>
      </c>
      <c r="HJ25" s="106" t="str">
        <f t="shared" si="464"/>
        <v/>
      </c>
      <c r="HK25" s="106" t="str">
        <f t="shared" si="464"/>
        <v/>
      </c>
      <c r="HL25" s="106" t="str">
        <f t="shared" si="464"/>
        <v/>
      </c>
      <c r="HM25" s="106" t="str">
        <f t="shared" si="464"/>
        <v/>
      </c>
      <c r="HN25" s="106" t="str">
        <f t="shared" si="464"/>
        <v/>
      </c>
      <c r="HO25" s="106" t="str">
        <f t="shared" ref="HO25:JZ25" si="465">IFERROR((HO23-HO7)/ABS(HO7),"")</f>
        <v/>
      </c>
      <c r="HP25" s="106" t="str">
        <f t="shared" si="465"/>
        <v/>
      </c>
      <c r="HQ25" s="106" t="str">
        <f t="shared" si="465"/>
        <v/>
      </c>
      <c r="HR25" s="106" t="str">
        <f t="shared" si="465"/>
        <v/>
      </c>
      <c r="HS25" s="106" t="str">
        <f t="shared" si="465"/>
        <v/>
      </c>
      <c r="HT25" s="106" t="str">
        <f t="shared" si="465"/>
        <v/>
      </c>
      <c r="HU25" s="106" t="str">
        <f t="shared" si="465"/>
        <v/>
      </c>
      <c r="HV25" s="107" t="str">
        <f t="shared" si="465"/>
        <v/>
      </c>
      <c r="HW25" s="105">
        <f t="shared" si="465"/>
        <v>0.11605274409395347</v>
      </c>
      <c r="HX25" s="106" t="str">
        <f t="shared" si="465"/>
        <v/>
      </c>
      <c r="HY25" s="106" t="str">
        <f t="shared" si="465"/>
        <v/>
      </c>
      <c r="HZ25" s="106" t="str">
        <f t="shared" si="465"/>
        <v/>
      </c>
      <c r="IA25" s="106" t="str">
        <f t="shared" si="465"/>
        <v/>
      </c>
      <c r="IB25" s="106" t="str">
        <f t="shared" si="465"/>
        <v/>
      </c>
      <c r="IC25" s="106" t="str">
        <f t="shared" si="465"/>
        <v/>
      </c>
      <c r="ID25" s="106" t="str">
        <f t="shared" si="465"/>
        <v/>
      </c>
      <c r="IE25" s="106" t="str">
        <f t="shared" si="465"/>
        <v/>
      </c>
      <c r="IF25" s="106" t="str">
        <f t="shared" si="465"/>
        <v/>
      </c>
      <c r="IG25" s="106" t="str">
        <f t="shared" si="465"/>
        <v/>
      </c>
      <c r="IH25" s="106" t="str">
        <f t="shared" si="465"/>
        <v/>
      </c>
      <c r="II25" s="106" t="str">
        <f t="shared" si="465"/>
        <v/>
      </c>
      <c r="IJ25" s="106" t="str">
        <f t="shared" si="465"/>
        <v/>
      </c>
      <c r="IK25" s="106" t="str">
        <f t="shared" si="465"/>
        <v/>
      </c>
      <c r="IL25" s="106" t="str">
        <f t="shared" si="465"/>
        <v/>
      </c>
      <c r="IM25" s="106" t="str">
        <f t="shared" si="465"/>
        <v/>
      </c>
      <c r="IN25" s="106" t="str">
        <f t="shared" si="465"/>
        <v/>
      </c>
      <c r="IO25" s="106" t="str">
        <f t="shared" si="465"/>
        <v/>
      </c>
      <c r="IP25" s="107" t="str">
        <f t="shared" si="465"/>
        <v/>
      </c>
      <c r="IQ25" s="105">
        <f t="shared" si="465"/>
        <v>0</v>
      </c>
      <c r="IR25" s="106" t="str">
        <f t="shared" si="465"/>
        <v/>
      </c>
      <c r="IS25" s="106" t="str">
        <f t="shared" si="465"/>
        <v/>
      </c>
      <c r="IT25" s="106" t="str">
        <f t="shared" si="465"/>
        <v/>
      </c>
      <c r="IU25" s="106" t="str">
        <f t="shared" si="465"/>
        <v/>
      </c>
      <c r="IV25" s="106" t="str">
        <f t="shared" si="465"/>
        <v/>
      </c>
      <c r="IW25" s="106" t="str">
        <f t="shared" si="465"/>
        <v/>
      </c>
      <c r="IX25" s="106" t="str">
        <f t="shared" si="465"/>
        <v/>
      </c>
      <c r="IY25" s="106" t="str">
        <f t="shared" si="465"/>
        <v/>
      </c>
      <c r="IZ25" s="106" t="str">
        <f t="shared" si="465"/>
        <v/>
      </c>
      <c r="JA25" s="106" t="str">
        <f t="shared" si="465"/>
        <v/>
      </c>
      <c r="JB25" s="106" t="str">
        <f t="shared" si="465"/>
        <v/>
      </c>
      <c r="JC25" s="106" t="str">
        <f t="shared" si="465"/>
        <v/>
      </c>
      <c r="JD25" s="106" t="str">
        <f t="shared" si="465"/>
        <v/>
      </c>
      <c r="JE25" s="106" t="str">
        <f t="shared" si="465"/>
        <v/>
      </c>
      <c r="JF25" s="106" t="str">
        <f t="shared" si="465"/>
        <v/>
      </c>
      <c r="JG25" s="106" t="str">
        <f t="shared" si="465"/>
        <v/>
      </c>
      <c r="JH25" s="106" t="str">
        <f t="shared" si="465"/>
        <v/>
      </c>
      <c r="JI25" s="106" t="str">
        <f t="shared" si="465"/>
        <v/>
      </c>
      <c r="JJ25" s="107" t="str">
        <f t="shared" si="465"/>
        <v/>
      </c>
      <c r="JK25" s="105">
        <f t="shared" si="465"/>
        <v>0.93816111376343048</v>
      </c>
      <c r="JL25" s="106" t="str">
        <f t="shared" si="465"/>
        <v/>
      </c>
      <c r="JM25" s="106" t="str">
        <f t="shared" si="465"/>
        <v/>
      </c>
      <c r="JN25" s="106" t="str">
        <f t="shared" si="465"/>
        <v/>
      </c>
      <c r="JO25" s="106" t="str">
        <f t="shared" si="465"/>
        <v/>
      </c>
      <c r="JP25" s="106" t="str">
        <f t="shared" si="465"/>
        <v/>
      </c>
      <c r="JQ25" s="106" t="str">
        <f t="shared" si="465"/>
        <v/>
      </c>
      <c r="JR25" s="106" t="str">
        <f t="shared" si="465"/>
        <v/>
      </c>
      <c r="JS25" s="106" t="str">
        <f t="shared" si="465"/>
        <v/>
      </c>
      <c r="JT25" s="106" t="str">
        <f t="shared" si="465"/>
        <v/>
      </c>
      <c r="JU25" s="106" t="str">
        <f t="shared" si="465"/>
        <v/>
      </c>
      <c r="JV25" s="106" t="str">
        <f t="shared" si="465"/>
        <v/>
      </c>
      <c r="JW25" s="106" t="str">
        <f t="shared" si="465"/>
        <v/>
      </c>
      <c r="JX25" s="106" t="str">
        <f t="shared" si="465"/>
        <v/>
      </c>
      <c r="JY25" s="106" t="str">
        <f t="shared" si="465"/>
        <v/>
      </c>
      <c r="JZ25" s="106" t="str">
        <f t="shared" si="465"/>
        <v/>
      </c>
      <c r="KA25" s="106" t="str">
        <f t="shared" ref="KA25:ML25" si="466">IFERROR((KA23-KA7)/ABS(KA7),"")</f>
        <v/>
      </c>
      <c r="KB25" s="106" t="str">
        <f t="shared" si="466"/>
        <v/>
      </c>
      <c r="KC25" s="106" t="str">
        <f t="shared" si="466"/>
        <v/>
      </c>
      <c r="KD25" s="107" t="str">
        <f t="shared" si="466"/>
        <v/>
      </c>
      <c r="KE25" s="105">
        <f t="shared" si="466"/>
        <v>1.0223210499081323</v>
      </c>
      <c r="KF25" s="106" t="str">
        <f t="shared" si="466"/>
        <v/>
      </c>
      <c r="KG25" s="106" t="str">
        <f t="shared" si="466"/>
        <v/>
      </c>
      <c r="KH25" s="106" t="str">
        <f t="shared" si="466"/>
        <v/>
      </c>
      <c r="KI25" s="106" t="str">
        <f t="shared" si="466"/>
        <v/>
      </c>
      <c r="KJ25" s="106" t="str">
        <f t="shared" si="466"/>
        <v/>
      </c>
      <c r="KK25" s="106" t="str">
        <f t="shared" si="466"/>
        <v/>
      </c>
      <c r="KL25" s="106" t="str">
        <f t="shared" si="466"/>
        <v/>
      </c>
      <c r="KM25" s="106" t="str">
        <f t="shared" si="466"/>
        <v/>
      </c>
      <c r="KN25" s="106" t="str">
        <f t="shared" si="466"/>
        <v/>
      </c>
      <c r="KO25" s="106" t="str">
        <f t="shared" si="466"/>
        <v/>
      </c>
      <c r="KP25" s="106" t="str">
        <f t="shared" si="466"/>
        <v/>
      </c>
      <c r="KQ25" s="106" t="str">
        <f t="shared" si="466"/>
        <v/>
      </c>
      <c r="KR25" s="106" t="str">
        <f t="shared" si="466"/>
        <v/>
      </c>
      <c r="KS25" s="106" t="str">
        <f t="shared" si="466"/>
        <v/>
      </c>
      <c r="KT25" s="106" t="str">
        <f t="shared" si="466"/>
        <v/>
      </c>
      <c r="KU25" s="106" t="str">
        <f t="shared" si="466"/>
        <v/>
      </c>
      <c r="KV25" s="106" t="str">
        <f t="shared" si="466"/>
        <v/>
      </c>
      <c r="KW25" s="106" t="str">
        <f t="shared" si="466"/>
        <v/>
      </c>
      <c r="KX25" s="107" t="str">
        <f t="shared" si="466"/>
        <v/>
      </c>
      <c r="KY25" s="105">
        <f t="shared" si="466"/>
        <v>0</v>
      </c>
      <c r="KZ25" s="106" t="str">
        <f t="shared" si="466"/>
        <v/>
      </c>
      <c r="LA25" s="106" t="str">
        <f t="shared" si="466"/>
        <v/>
      </c>
      <c r="LB25" s="106" t="str">
        <f t="shared" si="466"/>
        <v/>
      </c>
      <c r="LC25" s="106" t="str">
        <f t="shared" si="466"/>
        <v/>
      </c>
      <c r="LD25" s="106" t="str">
        <f t="shared" si="466"/>
        <v/>
      </c>
      <c r="LE25" s="106" t="str">
        <f t="shared" si="466"/>
        <v/>
      </c>
      <c r="LF25" s="106" t="str">
        <f t="shared" si="466"/>
        <v/>
      </c>
      <c r="LG25" s="106" t="str">
        <f t="shared" si="466"/>
        <v/>
      </c>
      <c r="LH25" s="106" t="str">
        <f t="shared" si="466"/>
        <v/>
      </c>
      <c r="LI25" s="106" t="str">
        <f t="shared" si="466"/>
        <v/>
      </c>
      <c r="LJ25" s="106" t="str">
        <f t="shared" si="466"/>
        <v/>
      </c>
      <c r="LK25" s="106" t="str">
        <f t="shared" si="466"/>
        <v/>
      </c>
      <c r="LL25" s="106" t="str">
        <f t="shared" si="466"/>
        <v/>
      </c>
      <c r="LM25" s="106" t="str">
        <f t="shared" si="466"/>
        <v/>
      </c>
      <c r="LN25" s="106" t="str">
        <f t="shared" si="466"/>
        <v/>
      </c>
      <c r="LO25" s="106" t="str">
        <f t="shared" si="466"/>
        <v/>
      </c>
      <c r="LP25" s="106" t="str">
        <f t="shared" si="466"/>
        <v/>
      </c>
      <c r="LQ25" s="106" t="str">
        <f t="shared" si="466"/>
        <v/>
      </c>
      <c r="LR25" s="107" t="str">
        <f t="shared" si="466"/>
        <v/>
      </c>
      <c r="LS25" s="105">
        <f t="shared" si="466"/>
        <v>-3.1934722690408708E-2</v>
      </c>
      <c r="LT25" s="106" t="str">
        <f t="shared" si="466"/>
        <v/>
      </c>
      <c r="LU25" s="106" t="str">
        <f t="shared" si="466"/>
        <v/>
      </c>
      <c r="LV25" s="106" t="str">
        <f t="shared" si="466"/>
        <v/>
      </c>
      <c r="LW25" s="106" t="str">
        <f t="shared" si="466"/>
        <v/>
      </c>
      <c r="LX25" s="106" t="str">
        <f t="shared" si="466"/>
        <v/>
      </c>
      <c r="LY25" s="106" t="str">
        <f t="shared" si="466"/>
        <v/>
      </c>
      <c r="LZ25" s="106" t="str">
        <f t="shared" si="466"/>
        <v/>
      </c>
      <c r="MA25" s="106" t="str">
        <f t="shared" si="466"/>
        <v/>
      </c>
      <c r="MB25" s="106" t="str">
        <f t="shared" si="466"/>
        <v/>
      </c>
      <c r="MC25" s="106" t="str">
        <f t="shared" si="466"/>
        <v/>
      </c>
      <c r="MD25" s="319" t="str">
        <f t="shared" si="466"/>
        <v/>
      </c>
      <c r="ME25" s="106" t="str">
        <f t="shared" si="466"/>
        <v/>
      </c>
      <c r="MF25" s="106" t="str">
        <f t="shared" si="466"/>
        <v/>
      </c>
      <c r="MG25" s="106" t="str">
        <f t="shared" si="466"/>
        <v/>
      </c>
      <c r="MH25" s="106" t="str">
        <f t="shared" si="466"/>
        <v/>
      </c>
      <c r="MI25" s="106" t="str">
        <f t="shared" si="466"/>
        <v/>
      </c>
      <c r="MJ25" s="106" t="str">
        <f t="shared" si="466"/>
        <v/>
      </c>
      <c r="MK25" s="106" t="str">
        <f t="shared" si="466"/>
        <v/>
      </c>
      <c r="ML25" s="107" t="str">
        <f t="shared" si="466"/>
        <v/>
      </c>
      <c r="MM25" s="105" t="str">
        <f t="shared" ref="MM25:OX25" si="467">IFERROR((MM23-MM7)/ABS(MM7),"")</f>
        <v/>
      </c>
      <c r="MN25" s="106" t="str">
        <f t="shared" si="467"/>
        <v/>
      </c>
      <c r="MO25" s="106" t="str">
        <f t="shared" si="467"/>
        <v/>
      </c>
      <c r="MP25" s="106" t="str">
        <f t="shared" si="467"/>
        <v/>
      </c>
      <c r="MQ25" s="106" t="str">
        <f t="shared" si="467"/>
        <v/>
      </c>
      <c r="MR25" s="106" t="str">
        <f t="shared" si="467"/>
        <v/>
      </c>
      <c r="MS25" s="106" t="str">
        <f t="shared" si="467"/>
        <v/>
      </c>
      <c r="MT25" s="106" t="str">
        <f t="shared" si="467"/>
        <v/>
      </c>
      <c r="MU25" s="106" t="str">
        <f t="shared" si="467"/>
        <v/>
      </c>
      <c r="MV25" s="106" t="str">
        <f t="shared" si="467"/>
        <v/>
      </c>
      <c r="MW25" s="106" t="str">
        <f t="shared" si="467"/>
        <v/>
      </c>
      <c r="MX25" s="106" t="str">
        <f t="shared" si="467"/>
        <v/>
      </c>
      <c r="MY25" s="106" t="str">
        <f t="shared" si="467"/>
        <v/>
      </c>
      <c r="MZ25" s="106" t="str">
        <f t="shared" si="467"/>
        <v/>
      </c>
      <c r="NA25" s="106" t="str">
        <f t="shared" si="467"/>
        <v/>
      </c>
      <c r="NB25" s="106" t="str">
        <f t="shared" si="467"/>
        <v/>
      </c>
      <c r="NC25" s="106" t="str">
        <f t="shared" si="467"/>
        <v/>
      </c>
      <c r="ND25" s="106" t="str">
        <f t="shared" si="467"/>
        <v/>
      </c>
      <c r="NE25" s="106" t="str">
        <f t="shared" si="467"/>
        <v/>
      </c>
      <c r="NF25" s="107" t="str">
        <f t="shared" si="467"/>
        <v/>
      </c>
      <c r="NG25" s="105" t="str">
        <f t="shared" si="467"/>
        <v/>
      </c>
      <c r="NH25" s="106" t="str">
        <f t="shared" si="467"/>
        <v/>
      </c>
      <c r="NI25" s="106" t="str">
        <f t="shared" si="467"/>
        <v/>
      </c>
      <c r="NJ25" s="106" t="str">
        <f t="shared" si="467"/>
        <v/>
      </c>
      <c r="NK25" s="106" t="str">
        <f t="shared" si="467"/>
        <v/>
      </c>
      <c r="NL25" s="106" t="str">
        <f t="shared" si="467"/>
        <v/>
      </c>
      <c r="NM25" s="106" t="str">
        <f t="shared" si="467"/>
        <v/>
      </c>
      <c r="NN25" s="106" t="str">
        <f t="shared" si="467"/>
        <v/>
      </c>
      <c r="NO25" s="106" t="str">
        <f t="shared" si="467"/>
        <v/>
      </c>
      <c r="NP25" s="106" t="str">
        <f t="shared" si="467"/>
        <v/>
      </c>
      <c r="NQ25" s="106" t="str">
        <f t="shared" si="467"/>
        <v/>
      </c>
      <c r="NR25" s="319" t="str">
        <f t="shared" si="467"/>
        <v/>
      </c>
      <c r="NS25" s="106" t="str">
        <f t="shared" si="467"/>
        <v/>
      </c>
      <c r="NT25" s="106" t="str">
        <f t="shared" si="467"/>
        <v/>
      </c>
      <c r="NU25" s="106" t="str">
        <f t="shared" si="467"/>
        <v/>
      </c>
      <c r="NV25" s="106" t="str">
        <f t="shared" si="467"/>
        <v/>
      </c>
      <c r="NW25" s="106" t="str">
        <f t="shared" si="467"/>
        <v/>
      </c>
      <c r="NX25" s="106" t="str">
        <f t="shared" si="467"/>
        <v/>
      </c>
      <c r="NY25" s="106" t="str">
        <f t="shared" si="467"/>
        <v/>
      </c>
      <c r="NZ25" s="107" t="str">
        <f t="shared" si="467"/>
        <v/>
      </c>
      <c r="OA25" s="105" t="str">
        <f t="shared" si="467"/>
        <v/>
      </c>
      <c r="OB25" s="106" t="str">
        <f t="shared" si="467"/>
        <v/>
      </c>
      <c r="OC25" s="106" t="str">
        <f t="shared" si="467"/>
        <v/>
      </c>
      <c r="OD25" s="106" t="str">
        <f t="shared" si="467"/>
        <v/>
      </c>
      <c r="OE25" s="106" t="str">
        <f t="shared" si="467"/>
        <v/>
      </c>
      <c r="OF25" s="106" t="str">
        <f t="shared" si="467"/>
        <v/>
      </c>
      <c r="OG25" s="106" t="str">
        <f t="shared" si="467"/>
        <v/>
      </c>
      <c r="OH25" s="106" t="str">
        <f t="shared" si="467"/>
        <v/>
      </c>
      <c r="OI25" s="106" t="str">
        <f t="shared" si="467"/>
        <v/>
      </c>
      <c r="OJ25" s="106" t="str">
        <f t="shared" si="467"/>
        <v/>
      </c>
      <c r="OK25" s="106" t="str">
        <f t="shared" si="467"/>
        <v/>
      </c>
      <c r="OL25" s="319" t="str">
        <f t="shared" si="467"/>
        <v/>
      </c>
      <c r="OM25" s="106" t="str">
        <f t="shared" si="467"/>
        <v/>
      </c>
      <c r="ON25" s="106" t="str">
        <f t="shared" si="467"/>
        <v/>
      </c>
      <c r="OO25" s="106" t="str">
        <f t="shared" si="467"/>
        <v/>
      </c>
      <c r="OP25" s="106" t="str">
        <f t="shared" si="467"/>
        <v/>
      </c>
      <c r="OQ25" s="106" t="str">
        <f t="shared" si="467"/>
        <v/>
      </c>
      <c r="OR25" s="106" t="str">
        <f t="shared" si="467"/>
        <v/>
      </c>
      <c r="OS25" s="106" t="str">
        <f t="shared" si="467"/>
        <v/>
      </c>
      <c r="OT25" s="107" t="str">
        <f t="shared" si="467"/>
        <v/>
      </c>
      <c r="OU25" s="105" t="str">
        <f t="shared" si="467"/>
        <v/>
      </c>
      <c r="OV25" s="106" t="str">
        <f t="shared" si="467"/>
        <v/>
      </c>
      <c r="OW25" s="106" t="str">
        <f t="shared" si="467"/>
        <v/>
      </c>
      <c r="OX25" s="106" t="str">
        <f t="shared" si="467"/>
        <v/>
      </c>
      <c r="OY25" s="106" t="str">
        <f t="shared" ref="OY25:QF25" si="468">IFERROR((OY23-OY7)/ABS(OY7),"")</f>
        <v/>
      </c>
      <c r="OZ25" s="106" t="str">
        <f t="shared" si="468"/>
        <v/>
      </c>
      <c r="PA25" s="106" t="str">
        <f t="shared" si="468"/>
        <v/>
      </c>
      <c r="PB25" s="106" t="str">
        <f t="shared" si="468"/>
        <v/>
      </c>
      <c r="PC25" s="106" t="str">
        <f t="shared" si="468"/>
        <v/>
      </c>
      <c r="PD25" s="106" t="str">
        <f t="shared" si="468"/>
        <v/>
      </c>
      <c r="PE25" s="106" t="str">
        <f t="shared" si="468"/>
        <v/>
      </c>
      <c r="PF25" s="319" t="str">
        <f t="shared" si="468"/>
        <v/>
      </c>
      <c r="PG25" s="106" t="str">
        <f t="shared" si="468"/>
        <v/>
      </c>
      <c r="PH25" s="106" t="str">
        <f t="shared" si="468"/>
        <v/>
      </c>
      <c r="PI25" s="106" t="str">
        <f t="shared" si="468"/>
        <v/>
      </c>
      <c r="PJ25" s="106" t="str">
        <f t="shared" si="468"/>
        <v/>
      </c>
      <c r="PK25" s="106" t="str">
        <f t="shared" si="468"/>
        <v/>
      </c>
      <c r="PL25" s="106" t="str">
        <f t="shared" si="468"/>
        <v/>
      </c>
      <c r="PM25" s="106" t="str">
        <f t="shared" si="468"/>
        <v/>
      </c>
      <c r="PN25" s="107" t="str">
        <f t="shared" si="468"/>
        <v/>
      </c>
      <c r="PO25" s="323">
        <f t="shared" si="468"/>
        <v>26.878079055516626</v>
      </c>
      <c r="PP25" s="324" t="str">
        <f t="shared" si="468"/>
        <v/>
      </c>
      <c r="PQ25" s="324" t="str">
        <f t="shared" si="468"/>
        <v/>
      </c>
      <c r="PR25" s="324" t="str">
        <f t="shared" si="468"/>
        <v/>
      </c>
      <c r="PS25" s="324" t="str">
        <f t="shared" si="468"/>
        <v/>
      </c>
      <c r="PT25" s="324" t="str">
        <f t="shared" si="468"/>
        <v/>
      </c>
      <c r="PU25" s="324" t="str">
        <f t="shared" si="468"/>
        <v/>
      </c>
      <c r="PV25" s="324" t="str">
        <f t="shared" si="468"/>
        <v/>
      </c>
      <c r="PW25" s="324" t="str">
        <f t="shared" si="468"/>
        <v/>
      </c>
      <c r="PX25" s="324" t="str">
        <f t="shared" si="468"/>
        <v/>
      </c>
      <c r="PY25" s="324" t="str">
        <f t="shared" si="468"/>
        <v/>
      </c>
      <c r="PZ25" s="324" t="str">
        <f t="shared" si="468"/>
        <v/>
      </c>
      <c r="QA25" s="324" t="str">
        <f t="shared" si="468"/>
        <v/>
      </c>
      <c r="QB25" s="324" t="str">
        <f t="shared" si="468"/>
        <v/>
      </c>
      <c r="QC25" s="324" t="str">
        <f t="shared" si="468"/>
        <v/>
      </c>
      <c r="QD25" s="324" t="str">
        <f t="shared" si="468"/>
        <v/>
      </c>
      <c r="QE25" s="324" t="str">
        <f t="shared" si="468"/>
        <v/>
      </c>
      <c r="QF25" s="324" t="str">
        <f t="shared" si="468"/>
        <v/>
      </c>
      <c r="QG25" s="324" t="str">
        <f>IFERROR(ABS(QG23-QG7)/ABS(QG7),"")</f>
        <v/>
      </c>
      <c r="QH25" s="325" t="str">
        <f>IFERROR(ABS(QH23-QH7)/ABS(QH7),"")</f>
        <v/>
      </c>
      <c r="QI25" s="323" t="str">
        <f t="shared" ref="QI25:QZ25" si="469">IFERROR((QI23-QI7)/ABS(QI7),"")</f>
        <v/>
      </c>
      <c r="QJ25" s="324" t="str">
        <f t="shared" si="469"/>
        <v/>
      </c>
      <c r="QK25" s="324" t="str">
        <f t="shared" si="469"/>
        <v/>
      </c>
      <c r="QL25" s="324" t="str">
        <f t="shared" si="469"/>
        <v/>
      </c>
      <c r="QM25" s="324" t="str">
        <f t="shared" si="469"/>
        <v/>
      </c>
      <c r="QN25" s="324" t="str">
        <f t="shared" si="469"/>
        <v/>
      </c>
      <c r="QO25" s="324" t="str">
        <f t="shared" si="469"/>
        <v/>
      </c>
      <c r="QP25" s="324" t="str">
        <f t="shared" si="469"/>
        <v/>
      </c>
      <c r="QQ25" s="324" t="str">
        <f t="shared" si="469"/>
        <v/>
      </c>
      <c r="QR25" s="324" t="str">
        <f t="shared" si="469"/>
        <v/>
      </c>
      <c r="QS25" s="324" t="str">
        <f t="shared" si="469"/>
        <v/>
      </c>
      <c r="QT25" s="324" t="str">
        <f t="shared" si="469"/>
        <v/>
      </c>
      <c r="QU25" s="324" t="str">
        <f t="shared" si="469"/>
        <v/>
      </c>
      <c r="QV25" s="324" t="str">
        <f t="shared" si="469"/>
        <v/>
      </c>
      <c r="QW25" s="324" t="str">
        <f t="shared" si="469"/>
        <v/>
      </c>
      <c r="QX25" s="324" t="str">
        <f t="shared" si="469"/>
        <v/>
      </c>
      <c r="QY25" s="324" t="str">
        <f t="shared" si="469"/>
        <v/>
      </c>
      <c r="QZ25" s="324" t="str">
        <f t="shared" si="469"/>
        <v/>
      </c>
      <c r="RA25" s="324" t="str">
        <f>IFERROR(ABS(RA23-RA7)/ABS(RA7),"")</f>
        <v/>
      </c>
      <c r="RB25" s="325" t="str">
        <f>IFERROR(ABS(RB23-RB7)/ABS(RB7),"")</f>
        <v/>
      </c>
      <c r="RC25" s="323" t="str">
        <f t="shared" ref="RC25:RT25" si="470">IFERROR((RC23-RC7)/ABS(RC7),"")</f>
        <v/>
      </c>
      <c r="RD25" s="324" t="str">
        <f t="shared" si="470"/>
        <v/>
      </c>
      <c r="RE25" s="324" t="str">
        <f t="shared" si="470"/>
        <v/>
      </c>
      <c r="RF25" s="324" t="str">
        <f t="shared" si="470"/>
        <v/>
      </c>
      <c r="RG25" s="324" t="str">
        <f t="shared" si="470"/>
        <v/>
      </c>
      <c r="RH25" s="324" t="str">
        <f t="shared" si="470"/>
        <v/>
      </c>
      <c r="RI25" s="324" t="str">
        <f t="shared" si="470"/>
        <v/>
      </c>
      <c r="RJ25" s="324" t="str">
        <f t="shared" si="470"/>
        <v/>
      </c>
      <c r="RK25" s="324" t="str">
        <f t="shared" si="470"/>
        <v/>
      </c>
      <c r="RL25" s="324" t="str">
        <f t="shared" si="470"/>
        <v/>
      </c>
      <c r="RM25" s="324" t="str">
        <f t="shared" si="470"/>
        <v/>
      </c>
      <c r="RN25" s="324" t="str">
        <f t="shared" si="470"/>
        <v/>
      </c>
      <c r="RO25" s="324" t="str">
        <f t="shared" si="470"/>
        <v/>
      </c>
      <c r="RP25" s="324" t="str">
        <f t="shared" si="470"/>
        <v/>
      </c>
      <c r="RQ25" s="324" t="str">
        <f t="shared" si="470"/>
        <v/>
      </c>
      <c r="RR25" s="324" t="str">
        <f t="shared" si="470"/>
        <v/>
      </c>
      <c r="RS25" s="324" t="str">
        <f t="shared" si="470"/>
        <v/>
      </c>
      <c r="RT25" s="324" t="str">
        <f t="shared" si="470"/>
        <v/>
      </c>
      <c r="RU25" s="324" t="str">
        <f>IFERROR(ABS(RU23-RU7)/ABS(RU7),"")</f>
        <v/>
      </c>
      <c r="RV25" s="325" t="str">
        <f>IFERROR(ABS(RV23-RV7)/ABS(RV7),"")</f>
        <v/>
      </c>
      <c r="RW25" s="323" t="str">
        <f t="shared" ref="RW25:SN25" si="471">IFERROR((RW23-RW7)/ABS(RW7),"")</f>
        <v/>
      </c>
      <c r="RX25" s="324" t="str">
        <f t="shared" si="471"/>
        <v/>
      </c>
      <c r="RY25" s="324" t="str">
        <f t="shared" si="471"/>
        <v/>
      </c>
      <c r="RZ25" s="324" t="str">
        <f t="shared" si="471"/>
        <v/>
      </c>
      <c r="SA25" s="324" t="str">
        <f t="shared" si="471"/>
        <v/>
      </c>
      <c r="SB25" s="324" t="str">
        <f t="shared" si="471"/>
        <v/>
      </c>
      <c r="SC25" s="324" t="str">
        <f t="shared" si="471"/>
        <v/>
      </c>
      <c r="SD25" s="324" t="str">
        <f t="shared" si="471"/>
        <v/>
      </c>
      <c r="SE25" s="324" t="str">
        <f t="shared" si="471"/>
        <v/>
      </c>
      <c r="SF25" s="324" t="str">
        <f t="shared" si="471"/>
        <v/>
      </c>
      <c r="SG25" s="324" t="str">
        <f t="shared" si="471"/>
        <v/>
      </c>
      <c r="SH25" s="324" t="str">
        <f t="shared" si="471"/>
        <v/>
      </c>
      <c r="SI25" s="324" t="str">
        <f t="shared" si="471"/>
        <v/>
      </c>
      <c r="SJ25" s="324" t="str">
        <f t="shared" si="471"/>
        <v/>
      </c>
      <c r="SK25" s="324" t="str">
        <f t="shared" si="471"/>
        <v/>
      </c>
      <c r="SL25" s="324" t="str">
        <f t="shared" si="471"/>
        <v/>
      </c>
      <c r="SM25" s="324" t="str">
        <f t="shared" si="471"/>
        <v/>
      </c>
      <c r="SN25" s="324" t="str">
        <f t="shared" si="471"/>
        <v/>
      </c>
      <c r="SO25" s="324" t="str">
        <f>IFERROR(ABS(SO23-SO7)/ABS(SO7),"")</f>
        <v/>
      </c>
      <c r="SP25" s="325" t="str">
        <f>IFERROR(ABS(SP23-SP7)/ABS(SP7),"")</f>
        <v/>
      </c>
      <c r="SQ25" s="323" t="str">
        <f t="shared" ref="SQ25:TH25" si="472">IFERROR((SQ23-SQ7)/ABS(SQ7),"")</f>
        <v/>
      </c>
      <c r="SR25" s="324" t="str">
        <f t="shared" si="472"/>
        <v/>
      </c>
      <c r="SS25" s="324" t="str">
        <f t="shared" si="472"/>
        <v/>
      </c>
      <c r="ST25" s="324" t="str">
        <f t="shared" si="472"/>
        <v/>
      </c>
      <c r="SU25" s="324" t="str">
        <f t="shared" si="472"/>
        <v/>
      </c>
      <c r="SV25" s="324" t="str">
        <f t="shared" si="472"/>
        <v/>
      </c>
      <c r="SW25" s="324" t="str">
        <f t="shared" si="472"/>
        <v/>
      </c>
      <c r="SX25" s="324" t="str">
        <f t="shared" si="472"/>
        <v/>
      </c>
      <c r="SY25" s="324" t="str">
        <f t="shared" si="472"/>
        <v/>
      </c>
      <c r="SZ25" s="324" t="str">
        <f t="shared" si="472"/>
        <v/>
      </c>
      <c r="TA25" s="324" t="str">
        <f t="shared" si="472"/>
        <v/>
      </c>
      <c r="TB25" s="324" t="str">
        <f t="shared" si="472"/>
        <v/>
      </c>
      <c r="TC25" s="324" t="str">
        <f t="shared" si="472"/>
        <v/>
      </c>
      <c r="TD25" s="324" t="str">
        <f t="shared" si="472"/>
        <v/>
      </c>
      <c r="TE25" s="324" t="str">
        <f t="shared" si="472"/>
        <v/>
      </c>
      <c r="TF25" s="324" t="str">
        <f t="shared" si="472"/>
        <v/>
      </c>
      <c r="TG25" s="324" t="str">
        <f t="shared" si="472"/>
        <v/>
      </c>
      <c r="TH25" s="324" t="str">
        <f t="shared" si="472"/>
        <v/>
      </c>
      <c r="TI25" s="324" t="str">
        <f>IFERROR(ABS(TI23-TI7)/ABS(TI7),"")</f>
        <v/>
      </c>
      <c r="TJ25" s="325" t="str">
        <f>IFERROR(ABS(TJ23-TJ7)/ABS(TJ7),"")</f>
        <v/>
      </c>
      <c r="TK25" s="323" t="str">
        <f t="shared" ref="TK25:UB25" si="473">IFERROR((TK23-TK7)/ABS(TK7),"")</f>
        <v/>
      </c>
      <c r="TL25" s="324" t="str">
        <f t="shared" si="473"/>
        <v/>
      </c>
      <c r="TM25" s="324" t="str">
        <f t="shared" si="473"/>
        <v/>
      </c>
      <c r="TN25" s="324" t="str">
        <f t="shared" si="473"/>
        <v/>
      </c>
      <c r="TO25" s="324" t="str">
        <f t="shared" si="473"/>
        <v/>
      </c>
      <c r="TP25" s="324" t="str">
        <f t="shared" si="473"/>
        <v/>
      </c>
      <c r="TQ25" s="324" t="str">
        <f t="shared" si="473"/>
        <v/>
      </c>
      <c r="TR25" s="324" t="str">
        <f t="shared" si="473"/>
        <v/>
      </c>
      <c r="TS25" s="324" t="str">
        <f t="shared" si="473"/>
        <v/>
      </c>
      <c r="TT25" s="324" t="str">
        <f t="shared" si="473"/>
        <v/>
      </c>
      <c r="TU25" s="324" t="str">
        <f t="shared" si="473"/>
        <v/>
      </c>
      <c r="TV25" s="324" t="str">
        <f t="shared" si="473"/>
        <v/>
      </c>
      <c r="TW25" s="324" t="str">
        <f t="shared" si="473"/>
        <v/>
      </c>
      <c r="TX25" s="324" t="str">
        <f t="shared" si="473"/>
        <v/>
      </c>
      <c r="TY25" s="324" t="str">
        <f t="shared" si="473"/>
        <v/>
      </c>
      <c r="TZ25" s="324" t="str">
        <f t="shared" si="473"/>
        <v/>
      </c>
      <c r="UA25" s="324" t="str">
        <f t="shared" si="473"/>
        <v/>
      </c>
      <c r="UB25" s="324" t="str">
        <f t="shared" si="473"/>
        <v/>
      </c>
      <c r="UC25" s="324" t="str">
        <f>IFERROR(ABS(UC23-UC7)/ABS(UC7),"")</f>
        <v/>
      </c>
      <c r="UD25" s="325" t="str">
        <f>IFERROR(ABS(UD23-UD7)/ABS(UD7),"")</f>
        <v/>
      </c>
      <c r="UE25" s="105" t="str">
        <f t="shared" ref="UE25:UX25" si="474">IFERROR((UE23-UE7)/ABS(UE7),"")</f>
        <v/>
      </c>
      <c r="UF25" s="106" t="str">
        <f t="shared" si="474"/>
        <v/>
      </c>
      <c r="UG25" s="106" t="str">
        <f t="shared" si="474"/>
        <v/>
      </c>
      <c r="UH25" s="106" t="str">
        <f t="shared" si="474"/>
        <v/>
      </c>
      <c r="UI25" s="106" t="str">
        <f t="shared" si="474"/>
        <v/>
      </c>
      <c r="UJ25" s="106" t="str">
        <f t="shared" si="474"/>
        <v/>
      </c>
      <c r="UK25" s="106" t="str">
        <f t="shared" si="474"/>
        <v/>
      </c>
      <c r="UL25" s="106" t="str">
        <f t="shared" si="474"/>
        <v/>
      </c>
      <c r="UM25" s="106" t="str">
        <f t="shared" si="474"/>
        <v/>
      </c>
      <c r="UN25" s="106" t="str">
        <f t="shared" si="474"/>
        <v/>
      </c>
      <c r="UO25" s="106" t="str">
        <f t="shared" si="474"/>
        <v/>
      </c>
      <c r="UP25" s="106" t="str">
        <f t="shared" si="474"/>
        <v/>
      </c>
      <c r="UQ25" s="106" t="str">
        <f t="shared" si="474"/>
        <v/>
      </c>
      <c r="UR25" s="106" t="str">
        <f t="shared" si="474"/>
        <v/>
      </c>
      <c r="US25" s="106" t="str">
        <f t="shared" si="474"/>
        <v/>
      </c>
      <c r="UT25" s="106" t="str">
        <f t="shared" si="474"/>
        <v/>
      </c>
      <c r="UU25" s="106" t="str">
        <f t="shared" si="474"/>
        <v/>
      </c>
      <c r="UV25" s="106" t="str">
        <f t="shared" si="474"/>
        <v/>
      </c>
      <c r="UW25" s="106" t="str">
        <f t="shared" si="474"/>
        <v/>
      </c>
      <c r="UX25" s="107" t="str">
        <f t="shared" si="474"/>
        <v/>
      </c>
    </row>
    <row r="26" spans="1:16344" x14ac:dyDescent="0.2">
      <c r="A26" s="99" t="s">
        <v>87</v>
      </c>
      <c r="B26" s="100"/>
      <c r="C26" s="100"/>
      <c r="D26" s="100"/>
      <c r="E26" s="101"/>
      <c r="F26" s="101"/>
      <c r="G26" s="102">
        <f t="shared" ref="G26:W26" si="475">IFERROR(-ABS(G24-G7)/ABS(G7),"")</f>
        <v>0</v>
      </c>
      <c r="H26" s="102">
        <f t="shared" si="475"/>
        <v>0</v>
      </c>
      <c r="I26" s="102" t="str">
        <f t="shared" si="475"/>
        <v/>
      </c>
      <c r="J26" s="102">
        <f t="shared" si="475"/>
        <v>0</v>
      </c>
      <c r="K26" s="102">
        <f t="shared" si="475"/>
        <v>0</v>
      </c>
      <c r="L26" s="102">
        <f>IFERROR(-ABS(L24-L7)/ABS(L7),"")</f>
        <v>0</v>
      </c>
      <c r="M26" s="102">
        <f>IFERROR(-ABS(M24-M7)/ABS(M7),"")</f>
        <v>0</v>
      </c>
      <c r="N26" s="102">
        <f>IFERROR(-ABS(N24-N7)/ABS(N7),"")</f>
        <v>0</v>
      </c>
      <c r="O26" s="102" t="str">
        <f>IFERROR(-ABS(O24-O7)/ABS(O7),"")</f>
        <v/>
      </c>
      <c r="P26" s="102" t="str">
        <f>IFERROR(-ABS(P24-P7)/ABS(P7),"")</f>
        <v/>
      </c>
      <c r="Q26" s="102" t="str">
        <f t="shared" si="475"/>
        <v/>
      </c>
      <c r="R26" s="102" t="str">
        <f t="shared" ref="R26" si="476">IFERROR(-ABS(R24-R7)/ABS(R7),"")</f>
        <v/>
      </c>
      <c r="S26" s="102" t="str">
        <f t="shared" si="475"/>
        <v/>
      </c>
      <c r="T26" s="102" t="str">
        <f>IFERROR(-ABS(T24-T7)/ABS(T7),"")</f>
        <v/>
      </c>
      <c r="U26" s="102" t="str">
        <f t="shared" ref="U26" si="477">IFERROR(-ABS(U24-U7)/ABS(U7),"")</f>
        <v/>
      </c>
      <c r="V26" s="102" t="str">
        <f>IFERROR(-ABS(V24-V7)/ABS(V7),"")</f>
        <v/>
      </c>
      <c r="W26" s="102" t="str">
        <f t="shared" si="475"/>
        <v/>
      </c>
      <c r="X26" s="102" t="str">
        <f t="shared" ref="X26:AC26" si="478">IFERROR(-ABS(X24-X7)/ABS(X7),"")</f>
        <v/>
      </c>
      <c r="Y26" s="102" t="str">
        <f t="shared" si="478"/>
        <v/>
      </c>
      <c r="Z26" s="993">
        <f t="shared" si="478"/>
        <v>-0.10447391930464436</v>
      </c>
      <c r="AA26" s="102">
        <f t="shared" si="478"/>
        <v>0</v>
      </c>
      <c r="AB26" s="102" t="str">
        <f t="shared" si="478"/>
        <v/>
      </c>
      <c r="AC26" s="1024">
        <f t="shared" si="478"/>
        <v>0</v>
      </c>
      <c r="AD26" s="104"/>
      <c r="AE26" s="105" t="str">
        <f t="shared" ref="AE26:CP26" si="479">IFERROR(-ABS(AE24-AE7)/ABS(AE7),"")</f>
        <v/>
      </c>
      <c r="AF26" s="106" t="str">
        <f t="shared" si="479"/>
        <v/>
      </c>
      <c r="AG26" s="106" t="str">
        <f t="shared" si="479"/>
        <v/>
      </c>
      <c r="AH26" s="106" t="str">
        <f t="shared" si="479"/>
        <v/>
      </c>
      <c r="AI26" s="106" t="str">
        <f t="shared" si="479"/>
        <v/>
      </c>
      <c r="AJ26" s="106" t="str">
        <f t="shared" si="479"/>
        <v/>
      </c>
      <c r="AK26" s="106" t="str">
        <f t="shared" si="479"/>
        <v/>
      </c>
      <c r="AL26" s="106" t="str">
        <f t="shared" si="479"/>
        <v/>
      </c>
      <c r="AM26" s="106" t="str">
        <f t="shared" si="479"/>
        <v/>
      </c>
      <c r="AN26" s="106" t="str">
        <f t="shared" si="479"/>
        <v/>
      </c>
      <c r="AO26" s="106" t="str">
        <f t="shared" si="479"/>
        <v/>
      </c>
      <c r="AP26" s="106" t="str">
        <f t="shared" si="479"/>
        <v/>
      </c>
      <c r="AQ26" s="106" t="str">
        <f t="shared" si="479"/>
        <v/>
      </c>
      <c r="AR26" s="106" t="str">
        <f t="shared" si="479"/>
        <v/>
      </c>
      <c r="AS26" s="106" t="str">
        <f t="shared" si="479"/>
        <v/>
      </c>
      <c r="AT26" s="106" t="str">
        <f t="shared" si="479"/>
        <v/>
      </c>
      <c r="AU26" s="106" t="str">
        <f t="shared" si="479"/>
        <v/>
      </c>
      <c r="AV26" s="106" t="str">
        <f t="shared" si="479"/>
        <v/>
      </c>
      <c r="AW26" s="106" t="str">
        <f t="shared" si="479"/>
        <v/>
      </c>
      <c r="AX26" s="107" t="str">
        <f t="shared" si="479"/>
        <v/>
      </c>
      <c r="AY26" s="105" t="str">
        <f t="shared" si="479"/>
        <v/>
      </c>
      <c r="AZ26" s="106" t="str">
        <f t="shared" si="479"/>
        <v/>
      </c>
      <c r="BA26" s="106" t="str">
        <f t="shared" si="479"/>
        <v/>
      </c>
      <c r="BB26" s="106" t="str">
        <f t="shared" si="479"/>
        <v/>
      </c>
      <c r="BC26" s="106" t="str">
        <f t="shared" si="479"/>
        <v/>
      </c>
      <c r="BD26" s="106" t="str">
        <f t="shared" si="479"/>
        <v/>
      </c>
      <c r="BE26" s="106" t="str">
        <f t="shared" si="479"/>
        <v/>
      </c>
      <c r="BF26" s="106" t="str">
        <f t="shared" si="479"/>
        <v/>
      </c>
      <c r="BG26" s="106" t="str">
        <f t="shared" si="479"/>
        <v/>
      </c>
      <c r="BH26" s="106" t="str">
        <f t="shared" si="479"/>
        <v/>
      </c>
      <c r="BI26" s="106" t="str">
        <f t="shared" si="479"/>
        <v/>
      </c>
      <c r="BJ26" s="106" t="str">
        <f t="shared" si="479"/>
        <v/>
      </c>
      <c r="BK26" s="106" t="str">
        <f t="shared" si="479"/>
        <v/>
      </c>
      <c r="BL26" s="106" t="str">
        <f t="shared" si="479"/>
        <v/>
      </c>
      <c r="BM26" s="106" t="str">
        <f t="shared" si="479"/>
        <v/>
      </c>
      <c r="BN26" s="106" t="str">
        <f t="shared" si="479"/>
        <v/>
      </c>
      <c r="BO26" s="106" t="str">
        <f t="shared" si="479"/>
        <v/>
      </c>
      <c r="BP26" s="106" t="str">
        <f t="shared" si="479"/>
        <v/>
      </c>
      <c r="BQ26" s="106" t="str">
        <f t="shared" si="479"/>
        <v/>
      </c>
      <c r="BR26" s="107" t="str">
        <f t="shared" si="479"/>
        <v/>
      </c>
      <c r="BS26" s="105" t="str">
        <f t="shared" si="479"/>
        <v/>
      </c>
      <c r="BT26" s="106" t="str">
        <f t="shared" si="479"/>
        <v/>
      </c>
      <c r="BU26" s="106" t="str">
        <f t="shared" si="479"/>
        <v/>
      </c>
      <c r="BV26" s="106" t="str">
        <f t="shared" si="479"/>
        <v/>
      </c>
      <c r="BW26" s="106" t="str">
        <f t="shared" si="479"/>
        <v/>
      </c>
      <c r="BX26" s="106" t="str">
        <f t="shared" si="479"/>
        <v/>
      </c>
      <c r="BY26" s="106" t="str">
        <f t="shared" si="479"/>
        <v/>
      </c>
      <c r="BZ26" s="106" t="str">
        <f t="shared" si="479"/>
        <v/>
      </c>
      <c r="CA26" s="106" t="str">
        <f t="shared" si="479"/>
        <v/>
      </c>
      <c r="CB26" s="106" t="str">
        <f t="shared" si="479"/>
        <v/>
      </c>
      <c r="CC26" s="106" t="str">
        <f t="shared" si="479"/>
        <v/>
      </c>
      <c r="CD26" s="106" t="str">
        <f t="shared" si="479"/>
        <v/>
      </c>
      <c r="CE26" s="106" t="str">
        <f t="shared" si="479"/>
        <v/>
      </c>
      <c r="CF26" s="106" t="str">
        <f t="shared" si="479"/>
        <v/>
      </c>
      <c r="CG26" s="106" t="str">
        <f t="shared" si="479"/>
        <v/>
      </c>
      <c r="CH26" s="106" t="str">
        <f t="shared" si="479"/>
        <v/>
      </c>
      <c r="CI26" s="106" t="str">
        <f t="shared" si="479"/>
        <v/>
      </c>
      <c r="CJ26" s="106" t="str">
        <f t="shared" si="479"/>
        <v/>
      </c>
      <c r="CK26" s="106" t="str">
        <f t="shared" si="479"/>
        <v/>
      </c>
      <c r="CL26" s="107" t="str">
        <f t="shared" si="479"/>
        <v/>
      </c>
      <c r="CM26" s="105" t="str">
        <f t="shared" si="479"/>
        <v/>
      </c>
      <c r="CN26" s="106" t="str">
        <f t="shared" si="479"/>
        <v/>
      </c>
      <c r="CO26" s="106" t="str">
        <f t="shared" si="479"/>
        <v/>
      </c>
      <c r="CP26" s="106" t="str">
        <f t="shared" si="479"/>
        <v/>
      </c>
      <c r="CQ26" s="106" t="str">
        <f t="shared" ref="CQ26:FB26" si="480">IFERROR(-ABS(CQ24-CQ7)/ABS(CQ7),"")</f>
        <v/>
      </c>
      <c r="CR26" s="106" t="str">
        <f t="shared" si="480"/>
        <v/>
      </c>
      <c r="CS26" s="106" t="str">
        <f t="shared" si="480"/>
        <v/>
      </c>
      <c r="CT26" s="106" t="str">
        <f t="shared" si="480"/>
        <v/>
      </c>
      <c r="CU26" s="106" t="str">
        <f t="shared" si="480"/>
        <v/>
      </c>
      <c r="CV26" s="106" t="str">
        <f t="shared" si="480"/>
        <v/>
      </c>
      <c r="CW26" s="106" t="str">
        <f t="shared" si="480"/>
        <v/>
      </c>
      <c r="CX26" s="106" t="str">
        <f t="shared" si="480"/>
        <v/>
      </c>
      <c r="CY26" s="106" t="str">
        <f t="shared" si="480"/>
        <v/>
      </c>
      <c r="CZ26" s="106" t="str">
        <f t="shared" si="480"/>
        <v/>
      </c>
      <c r="DA26" s="106" t="str">
        <f t="shared" si="480"/>
        <v/>
      </c>
      <c r="DB26" s="106" t="str">
        <f t="shared" si="480"/>
        <v/>
      </c>
      <c r="DC26" s="106" t="str">
        <f t="shared" si="480"/>
        <v/>
      </c>
      <c r="DD26" s="106" t="str">
        <f t="shared" si="480"/>
        <v/>
      </c>
      <c r="DE26" s="106" t="str">
        <f t="shared" si="480"/>
        <v/>
      </c>
      <c r="DF26" s="107" t="str">
        <f t="shared" si="480"/>
        <v/>
      </c>
      <c r="DG26" s="105" t="str">
        <f t="shared" si="480"/>
        <v/>
      </c>
      <c r="DH26" s="106" t="str">
        <f t="shared" si="480"/>
        <v/>
      </c>
      <c r="DI26" s="106" t="str">
        <f t="shared" si="480"/>
        <v/>
      </c>
      <c r="DJ26" s="106" t="str">
        <f t="shared" si="480"/>
        <v/>
      </c>
      <c r="DK26" s="106" t="str">
        <f t="shared" si="480"/>
        <v/>
      </c>
      <c r="DL26" s="106" t="str">
        <f t="shared" si="480"/>
        <v/>
      </c>
      <c r="DM26" s="106" t="str">
        <f t="shared" si="480"/>
        <v/>
      </c>
      <c r="DN26" s="106" t="str">
        <f t="shared" si="480"/>
        <v/>
      </c>
      <c r="DO26" s="106" t="str">
        <f t="shared" si="480"/>
        <v/>
      </c>
      <c r="DP26" s="106" t="str">
        <f t="shared" si="480"/>
        <v/>
      </c>
      <c r="DQ26" s="106" t="str">
        <f t="shared" si="480"/>
        <v/>
      </c>
      <c r="DR26" s="106" t="str">
        <f t="shared" si="480"/>
        <v/>
      </c>
      <c r="DS26" s="106" t="str">
        <f t="shared" si="480"/>
        <v/>
      </c>
      <c r="DT26" s="106" t="str">
        <f t="shared" si="480"/>
        <v/>
      </c>
      <c r="DU26" s="106" t="str">
        <f t="shared" si="480"/>
        <v/>
      </c>
      <c r="DV26" s="106" t="str">
        <f t="shared" si="480"/>
        <v/>
      </c>
      <c r="DW26" s="106" t="str">
        <f t="shared" si="480"/>
        <v/>
      </c>
      <c r="DX26" s="106" t="str">
        <f t="shared" si="480"/>
        <v/>
      </c>
      <c r="DY26" s="106" t="str">
        <f t="shared" si="480"/>
        <v/>
      </c>
      <c r="DZ26" s="107" t="str">
        <f t="shared" si="480"/>
        <v/>
      </c>
      <c r="EA26" s="105" t="str">
        <f t="shared" si="480"/>
        <v/>
      </c>
      <c r="EB26" s="106" t="str">
        <f t="shared" si="480"/>
        <v/>
      </c>
      <c r="EC26" s="106" t="str">
        <f t="shared" si="480"/>
        <v/>
      </c>
      <c r="ED26" s="106" t="str">
        <f t="shared" si="480"/>
        <v/>
      </c>
      <c r="EE26" s="106" t="str">
        <f t="shared" si="480"/>
        <v/>
      </c>
      <c r="EF26" s="106" t="str">
        <f t="shared" si="480"/>
        <v/>
      </c>
      <c r="EG26" s="106" t="str">
        <f t="shared" si="480"/>
        <v/>
      </c>
      <c r="EH26" s="106" t="str">
        <f t="shared" si="480"/>
        <v/>
      </c>
      <c r="EI26" s="106" t="str">
        <f t="shared" si="480"/>
        <v/>
      </c>
      <c r="EJ26" s="106" t="str">
        <f t="shared" si="480"/>
        <v/>
      </c>
      <c r="EK26" s="106" t="str">
        <f t="shared" si="480"/>
        <v/>
      </c>
      <c r="EL26" s="106" t="str">
        <f t="shared" si="480"/>
        <v/>
      </c>
      <c r="EM26" s="106" t="str">
        <f t="shared" si="480"/>
        <v/>
      </c>
      <c r="EN26" s="106" t="str">
        <f t="shared" si="480"/>
        <v/>
      </c>
      <c r="EO26" s="106" t="str">
        <f t="shared" si="480"/>
        <v/>
      </c>
      <c r="EP26" s="106" t="str">
        <f t="shared" si="480"/>
        <v/>
      </c>
      <c r="EQ26" s="106" t="str">
        <f t="shared" si="480"/>
        <v/>
      </c>
      <c r="ER26" s="106" t="str">
        <f t="shared" si="480"/>
        <v/>
      </c>
      <c r="ES26" s="106" t="str">
        <f t="shared" si="480"/>
        <v/>
      </c>
      <c r="ET26" s="107" t="str">
        <f t="shared" si="480"/>
        <v/>
      </c>
      <c r="EU26" s="105" t="str">
        <f t="shared" si="480"/>
        <v/>
      </c>
      <c r="EV26" s="106" t="str">
        <f t="shared" si="480"/>
        <v/>
      </c>
      <c r="EW26" s="106" t="str">
        <f t="shared" si="480"/>
        <v/>
      </c>
      <c r="EX26" s="106" t="str">
        <f t="shared" si="480"/>
        <v/>
      </c>
      <c r="EY26" s="106" t="str">
        <f t="shared" si="480"/>
        <v/>
      </c>
      <c r="EZ26" s="106" t="str">
        <f t="shared" si="480"/>
        <v/>
      </c>
      <c r="FA26" s="106" t="str">
        <f t="shared" si="480"/>
        <v/>
      </c>
      <c r="FB26" s="106" t="str">
        <f t="shared" si="480"/>
        <v/>
      </c>
      <c r="FC26" s="106" t="str">
        <f t="shared" ref="FC26:HN26" si="481">IFERROR(-ABS(FC24-FC7)/ABS(FC7),"")</f>
        <v/>
      </c>
      <c r="FD26" s="106" t="str">
        <f t="shared" si="481"/>
        <v/>
      </c>
      <c r="FE26" s="106" t="str">
        <f t="shared" si="481"/>
        <v/>
      </c>
      <c r="FF26" s="106" t="str">
        <f t="shared" si="481"/>
        <v/>
      </c>
      <c r="FG26" s="106" t="str">
        <f t="shared" si="481"/>
        <v/>
      </c>
      <c r="FH26" s="106" t="str">
        <f t="shared" si="481"/>
        <v/>
      </c>
      <c r="FI26" s="106" t="str">
        <f t="shared" si="481"/>
        <v/>
      </c>
      <c r="FJ26" s="106" t="str">
        <f t="shared" si="481"/>
        <v/>
      </c>
      <c r="FK26" s="106" t="str">
        <f t="shared" si="481"/>
        <v/>
      </c>
      <c r="FL26" s="106" t="str">
        <f t="shared" si="481"/>
        <v/>
      </c>
      <c r="FM26" s="106" t="str">
        <f t="shared" si="481"/>
        <v/>
      </c>
      <c r="FN26" s="107" t="str">
        <f t="shared" si="481"/>
        <v/>
      </c>
      <c r="FO26" s="105" t="str">
        <f t="shared" si="481"/>
        <v/>
      </c>
      <c r="FP26" s="106" t="str">
        <f t="shared" si="481"/>
        <v/>
      </c>
      <c r="FQ26" s="106" t="str">
        <f t="shared" si="481"/>
        <v/>
      </c>
      <c r="FR26" s="106" t="str">
        <f t="shared" si="481"/>
        <v/>
      </c>
      <c r="FS26" s="106" t="str">
        <f t="shared" si="481"/>
        <v/>
      </c>
      <c r="FT26" s="106" t="str">
        <f t="shared" si="481"/>
        <v/>
      </c>
      <c r="FU26" s="106" t="str">
        <f t="shared" si="481"/>
        <v/>
      </c>
      <c r="FV26" s="106" t="str">
        <f t="shared" si="481"/>
        <v/>
      </c>
      <c r="FW26" s="106" t="str">
        <f t="shared" si="481"/>
        <v/>
      </c>
      <c r="FX26" s="106" t="str">
        <f t="shared" si="481"/>
        <v/>
      </c>
      <c r="FY26" s="106" t="str">
        <f t="shared" si="481"/>
        <v/>
      </c>
      <c r="FZ26" s="106" t="str">
        <f t="shared" si="481"/>
        <v/>
      </c>
      <c r="GA26" s="106" t="str">
        <f t="shared" si="481"/>
        <v/>
      </c>
      <c r="GB26" s="106" t="str">
        <f t="shared" si="481"/>
        <v/>
      </c>
      <c r="GC26" s="106" t="str">
        <f t="shared" si="481"/>
        <v/>
      </c>
      <c r="GD26" s="106" t="str">
        <f t="shared" si="481"/>
        <v/>
      </c>
      <c r="GE26" s="106" t="str">
        <f t="shared" si="481"/>
        <v/>
      </c>
      <c r="GF26" s="106" t="str">
        <f t="shared" si="481"/>
        <v/>
      </c>
      <c r="GG26" s="106" t="str">
        <f t="shared" si="481"/>
        <v/>
      </c>
      <c r="GH26" s="107" t="str">
        <f t="shared" si="481"/>
        <v/>
      </c>
      <c r="GI26" s="105" t="str">
        <f t="shared" si="481"/>
        <v/>
      </c>
      <c r="GJ26" s="106" t="str">
        <f t="shared" si="481"/>
        <v/>
      </c>
      <c r="GK26" s="106" t="str">
        <f t="shared" si="481"/>
        <v/>
      </c>
      <c r="GL26" s="106" t="str">
        <f t="shared" si="481"/>
        <v/>
      </c>
      <c r="GM26" s="106" t="str">
        <f t="shared" si="481"/>
        <v/>
      </c>
      <c r="GN26" s="106" t="str">
        <f t="shared" si="481"/>
        <v/>
      </c>
      <c r="GO26" s="106" t="str">
        <f t="shared" si="481"/>
        <v/>
      </c>
      <c r="GP26" s="106" t="str">
        <f t="shared" si="481"/>
        <v/>
      </c>
      <c r="GQ26" s="106" t="str">
        <f t="shared" si="481"/>
        <v/>
      </c>
      <c r="GR26" s="106" t="str">
        <f t="shared" si="481"/>
        <v/>
      </c>
      <c r="GS26" s="106" t="str">
        <f t="shared" si="481"/>
        <v/>
      </c>
      <c r="GT26" s="106" t="str">
        <f t="shared" si="481"/>
        <v/>
      </c>
      <c r="GU26" s="106" t="str">
        <f t="shared" si="481"/>
        <v/>
      </c>
      <c r="GV26" s="106" t="str">
        <f t="shared" si="481"/>
        <v/>
      </c>
      <c r="GW26" s="106" t="str">
        <f t="shared" si="481"/>
        <v/>
      </c>
      <c r="GX26" s="106" t="str">
        <f t="shared" si="481"/>
        <v/>
      </c>
      <c r="GY26" s="106" t="str">
        <f t="shared" si="481"/>
        <v/>
      </c>
      <c r="GZ26" s="106" t="str">
        <f t="shared" si="481"/>
        <v/>
      </c>
      <c r="HA26" s="106" t="str">
        <f t="shared" si="481"/>
        <v/>
      </c>
      <c r="HB26" s="107" t="str">
        <f t="shared" si="481"/>
        <v/>
      </c>
      <c r="HC26" s="105">
        <f t="shared" si="481"/>
        <v>0</v>
      </c>
      <c r="HD26" s="106" t="str">
        <f t="shared" si="481"/>
        <v/>
      </c>
      <c r="HE26" s="106" t="str">
        <f t="shared" si="481"/>
        <v/>
      </c>
      <c r="HF26" s="106" t="str">
        <f t="shared" si="481"/>
        <v/>
      </c>
      <c r="HG26" s="106" t="str">
        <f t="shared" si="481"/>
        <v/>
      </c>
      <c r="HH26" s="106" t="str">
        <f t="shared" si="481"/>
        <v/>
      </c>
      <c r="HI26" s="106" t="str">
        <f t="shared" si="481"/>
        <v/>
      </c>
      <c r="HJ26" s="106" t="str">
        <f t="shared" si="481"/>
        <v/>
      </c>
      <c r="HK26" s="106" t="str">
        <f t="shared" si="481"/>
        <v/>
      </c>
      <c r="HL26" s="106" t="str">
        <f t="shared" si="481"/>
        <v/>
      </c>
      <c r="HM26" s="106" t="str">
        <f t="shared" si="481"/>
        <v/>
      </c>
      <c r="HN26" s="106" t="str">
        <f t="shared" si="481"/>
        <v/>
      </c>
      <c r="HO26" s="106" t="str">
        <f t="shared" ref="HO26:JZ26" si="482">IFERROR(-ABS(HO24-HO7)/ABS(HO7),"")</f>
        <v/>
      </c>
      <c r="HP26" s="106" t="str">
        <f t="shared" si="482"/>
        <v/>
      </c>
      <c r="HQ26" s="106" t="str">
        <f t="shared" si="482"/>
        <v/>
      </c>
      <c r="HR26" s="106" t="str">
        <f t="shared" si="482"/>
        <v/>
      </c>
      <c r="HS26" s="106" t="str">
        <f t="shared" si="482"/>
        <v/>
      </c>
      <c r="HT26" s="106" t="str">
        <f t="shared" si="482"/>
        <v/>
      </c>
      <c r="HU26" s="106" t="str">
        <f t="shared" si="482"/>
        <v/>
      </c>
      <c r="HV26" s="107" t="str">
        <f t="shared" si="482"/>
        <v/>
      </c>
      <c r="HW26" s="105">
        <f t="shared" si="482"/>
        <v>0</v>
      </c>
      <c r="HX26" s="106" t="str">
        <f t="shared" si="482"/>
        <v/>
      </c>
      <c r="HY26" s="106" t="str">
        <f t="shared" si="482"/>
        <v/>
      </c>
      <c r="HZ26" s="106" t="str">
        <f t="shared" si="482"/>
        <v/>
      </c>
      <c r="IA26" s="106" t="str">
        <f t="shared" si="482"/>
        <v/>
      </c>
      <c r="IB26" s="106" t="str">
        <f t="shared" si="482"/>
        <v/>
      </c>
      <c r="IC26" s="106" t="str">
        <f t="shared" si="482"/>
        <v/>
      </c>
      <c r="ID26" s="106" t="str">
        <f t="shared" si="482"/>
        <v/>
      </c>
      <c r="IE26" s="106" t="str">
        <f t="shared" si="482"/>
        <v/>
      </c>
      <c r="IF26" s="106" t="str">
        <f t="shared" si="482"/>
        <v/>
      </c>
      <c r="IG26" s="106" t="str">
        <f t="shared" si="482"/>
        <v/>
      </c>
      <c r="IH26" s="106" t="str">
        <f t="shared" si="482"/>
        <v/>
      </c>
      <c r="II26" s="106" t="str">
        <f t="shared" si="482"/>
        <v/>
      </c>
      <c r="IJ26" s="106" t="str">
        <f t="shared" si="482"/>
        <v/>
      </c>
      <c r="IK26" s="106" t="str">
        <f t="shared" si="482"/>
        <v/>
      </c>
      <c r="IL26" s="106" t="str">
        <f t="shared" si="482"/>
        <v/>
      </c>
      <c r="IM26" s="106" t="str">
        <f t="shared" si="482"/>
        <v/>
      </c>
      <c r="IN26" s="106" t="str">
        <f t="shared" si="482"/>
        <v/>
      </c>
      <c r="IO26" s="106" t="str">
        <f t="shared" si="482"/>
        <v/>
      </c>
      <c r="IP26" s="107" t="str">
        <f t="shared" si="482"/>
        <v/>
      </c>
      <c r="IQ26" s="105">
        <f t="shared" si="482"/>
        <v>-0.1813257428053057</v>
      </c>
      <c r="IR26" s="106" t="str">
        <f t="shared" si="482"/>
        <v/>
      </c>
      <c r="IS26" s="106" t="str">
        <f t="shared" si="482"/>
        <v/>
      </c>
      <c r="IT26" s="106" t="str">
        <f t="shared" si="482"/>
        <v/>
      </c>
      <c r="IU26" s="106" t="str">
        <f t="shared" si="482"/>
        <v/>
      </c>
      <c r="IV26" s="106" t="str">
        <f t="shared" si="482"/>
        <v/>
      </c>
      <c r="IW26" s="106" t="str">
        <f t="shared" si="482"/>
        <v/>
      </c>
      <c r="IX26" s="106" t="str">
        <f t="shared" si="482"/>
        <v/>
      </c>
      <c r="IY26" s="106" t="str">
        <f t="shared" si="482"/>
        <v/>
      </c>
      <c r="IZ26" s="106" t="str">
        <f t="shared" si="482"/>
        <v/>
      </c>
      <c r="JA26" s="106" t="str">
        <f t="shared" si="482"/>
        <v/>
      </c>
      <c r="JB26" s="106" t="str">
        <f t="shared" si="482"/>
        <v/>
      </c>
      <c r="JC26" s="106" t="str">
        <f t="shared" si="482"/>
        <v/>
      </c>
      <c r="JD26" s="106" t="str">
        <f t="shared" si="482"/>
        <v/>
      </c>
      <c r="JE26" s="106" t="str">
        <f t="shared" si="482"/>
        <v/>
      </c>
      <c r="JF26" s="106" t="str">
        <f t="shared" si="482"/>
        <v/>
      </c>
      <c r="JG26" s="106" t="str">
        <f t="shared" si="482"/>
        <v/>
      </c>
      <c r="JH26" s="106" t="str">
        <f t="shared" si="482"/>
        <v/>
      </c>
      <c r="JI26" s="106" t="str">
        <f t="shared" si="482"/>
        <v/>
      </c>
      <c r="JJ26" s="107" t="str">
        <f t="shared" si="482"/>
        <v/>
      </c>
      <c r="JK26" s="105">
        <f t="shared" si="482"/>
        <v>0</v>
      </c>
      <c r="JL26" s="106" t="str">
        <f t="shared" si="482"/>
        <v/>
      </c>
      <c r="JM26" s="106" t="str">
        <f t="shared" si="482"/>
        <v/>
      </c>
      <c r="JN26" s="106" t="str">
        <f t="shared" si="482"/>
        <v/>
      </c>
      <c r="JO26" s="106" t="str">
        <f t="shared" si="482"/>
        <v/>
      </c>
      <c r="JP26" s="106" t="str">
        <f t="shared" si="482"/>
        <v/>
      </c>
      <c r="JQ26" s="106" t="str">
        <f t="shared" si="482"/>
        <v/>
      </c>
      <c r="JR26" s="106" t="str">
        <f t="shared" si="482"/>
        <v/>
      </c>
      <c r="JS26" s="106" t="str">
        <f t="shared" si="482"/>
        <v/>
      </c>
      <c r="JT26" s="106" t="str">
        <f t="shared" si="482"/>
        <v/>
      </c>
      <c r="JU26" s="106" t="str">
        <f t="shared" si="482"/>
        <v/>
      </c>
      <c r="JV26" s="106" t="str">
        <f t="shared" si="482"/>
        <v/>
      </c>
      <c r="JW26" s="106" t="str">
        <f t="shared" si="482"/>
        <v/>
      </c>
      <c r="JX26" s="106" t="str">
        <f t="shared" si="482"/>
        <v/>
      </c>
      <c r="JY26" s="106" t="str">
        <f t="shared" si="482"/>
        <v/>
      </c>
      <c r="JZ26" s="106" t="str">
        <f t="shared" si="482"/>
        <v/>
      </c>
      <c r="KA26" s="106" t="str">
        <f t="shared" ref="KA26:ML26" si="483">IFERROR(-ABS(KA24-KA7)/ABS(KA7),"")</f>
        <v/>
      </c>
      <c r="KB26" s="106" t="str">
        <f t="shared" si="483"/>
        <v/>
      </c>
      <c r="KC26" s="106" t="str">
        <f t="shared" si="483"/>
        <v/>
      </c>
      <c r="KD26" s="107" t="str">
        <f t="shared" si="483"/>
        <v/>
      </c>
      <c r="KE26" s="105">
        <f t="shared" si="483"/>
        <v>0</v>
      </c>
      <c r="KF26" s="106" t="str">
        <f t="shared" si="483"/>
        <v/>
      </c>
      <c r="KG26" s="106" t="str">
        <f t="shared" si="483"/>
        <v/>
      </c>
      <c r="KH26" s="106" t="str">
        <f t="shared" si="483"/>
        <v/>
      </c>
      <c r="KI26" s="106" t="str">
        <f t="shared" si="483"/>
        <v/>
      </c>
      <c r="KJ26" s="106" t="str">
        <f t="shared" si="483"/>
        <v/>
      </c>
      <c r="KK26" s="106" t="str">
        <f t="shared" si="483"/>
        <v/>
      </c>
      <c r="KL26" s="106" t="str">
        <f t="shared" si="483"/>
        <v/>
      </c>
      <c r="KM26" s="106" t="str">
        <f t="shared" si="483"/>
        <v/>
      </c>
      <c r="KN26" s="106" t="str">
        <f t="shared" si="483"/>
        <v/>
      </c>
      <c r="KO26" s="106" t="str">
        <f t="shared" si="483"/>
        <v/>
      </c>
      <c r="KP26" s="106" t="str">
        <f t="shared" si="483"/>
        <v/>
      </c>
      <c r="KQ26" s="106" t="str">
        <f t="shared" si="483"/>
        <v/>
      </c>
      <c r="KR26" s="106" t="str">
        <f t="shared" si="483"/>
        <v/>
      </c>
      <c r="KS26" s="106" t="str">
        <f t="shared" si="483"/>
        <v/>
      </c>
      <c r="KT26" s="106" t="str">
        <f t="shared" si="483"/>
        <v/>
      </c>
      <c r="KU26" s="106" t="str">
        <f t="shared" si="483"/>
        <v/>
      </c>
      <c r="KV26" s="106" t="str">
        <f t="shared" si="483"/>
        <v/>
      </c>
      <c r="KW26" s="106" t="str">
        <f t="shared" si="483"/>
        <v/>
      </c>
      <c r="KX26" s="107" t="str">
        <f t="shared" si="483"/>
        <v/>
      </c>
      <c r="KY26" s="105">
        <f t="shared" si="483"/>
        <v>-0.32275780152061656</v>
      </c>
      <c r="KZ26" s="106" t="str">
        <f t="shared" si="483"/>
        <v/>
      </c>
      <c r="LA26" s="106" t="str">
        <f t="shared" si="483"/>
        <v/>
      </c>
      <c r="LB26" s="106" t="str">
        <f t="shared" si="483"/>
        <v/>
      </c>
      <c r="LC26" s="106" t="str">
        <f t="shared" si="483"/>
        <v/>
      </c>
      <c r="LD26" s="106" t="str">
        <f t="shared" si="483"/>
        <v/>
      </c>
      <c r="LE26" s="106" t="str">
        <f t="shared" si="483"/>
        <v/>
      </c>
      <c r="LF26" s="106" t="str">
        <f t="shared" si="483"/>
        <v/>
      </c>
      <c r="LG26" s="106" t="str">
        <f t="shared" si="483"/>
        <v/>
      </c>
      <c r="LH26" s="106" t="str">
        <f t="shared" si="483"/>
        <v/>
      </c>
      <c r="LI26" s="106" t="str">
        <f t="shared" si="483"/>
        <v/>
      </c>
      <c r="LJ26" s="106" t="str">
        <f t="shared" si="483"/>
        <v/>
      </c>
      <c r="LK26" s="106" t="str">
        <f t="shared" si="483"/>
        <v/>
      </c>
      <c r="LL26" s="106" t="str">
        <f t="shared" si="483"/>
        <v/>
      </c>
      <c r="LM26" s="106" t="str">
        <f t="shared" si="483"/>
        <v/>
      </c>
      <c r="LN26" s="106" t="str">
        <f t="shared" si="483"/>
        <v/>
      </c>
      <c r="LO26" s="106" t="str">
        <f t="shared" si="483"/>
        <v/>
      </c>
      <c r="LP26" s="106" t="str">
        <f t="shared" si="483"/>
        <v/>
      </c>
      <c r="LQ26" s="106" t="str">
        <f t="shared" si="483"/>
        <v/>
      </c>
      <c r="LR26" s="107" t="str">
        <f t="shared" si="483"/>
        <v/>
      </c>
      <c r="LS26" s="105">
        <f t="shared" si="483"/>
        <v>0</v>
      </c>
      <c r="LT26" s="106" t="str">
        <f t="shared" si="483"/>
        <v/>
      </c>
      <c r="LU26" s="106" t="str">
        <f t="shared" si="483"/>
        <v/>
      </c>
      <c r="LV26" s="106" t="str">
        <f t="shared" si="483"/>
        <v/>
      </c>
      <c r="LW26" s="106" t="str">
        <f t="shared" si="483"/>
        <v/>
      </c>
      <c r="LX26" s="106" t="str">
        <f t="shared" si="483"/>
        <v/>
      </c>
      <c r="LY26" s="106" t="str">
        <f t="shared" si="483"/>
        <v/>
      </c>
      <c r="LZ26" s="106" t="str">
        <f t="shared" si="483"/>
        <v/>
      </c>
      <c r="MA26" s="106" t="str">
        <f t="shared" si="483"/>
        <v/>
      </c>
      <c r="MB26" s="106" t="str">
        <f t="shared" si="483"/>
        <v/>
      </c>
      <c r="MC26" s="106" t="str">
        <f t="shared" si="483"/>
        <v/>
      </c>
      <c r="MD26" s="319" t="str">
        <f t="shared" si="483"/>
        <v/>
      </c>
      <c r="ME26" s="106" t="str">
        <f t="shared" si="483"/>
        <v/>
      </c>
      <c r="MF26" s="106" t="str">
        <f t="shared" si="483"/>
        <v/>
      </c>
      <c r="MG26" s="106" t="str">
        <f t="shared" si="483"/>
        <v/>
      </c>
      <c r="MH26" s="106" t="str">
        <f t="shared" si="483"/>
        <v/>
      </c>
      <c r="MI26" s="106" t="str">
        <f t="shared" si="483"/>
        <v/>
      </c>
      <c r="MJ26" s="106" t="str">
        <f t="shared" si="483"/>
        <v/>
      </c>
      <c r="MK26" s="106" t="str">
        <f t="shared" si="483"/>
        <v/>
      </c>
      <c r="ML26" s="107" t="str">
        <f t="shared" si="483"/>
        <v/>
      </c>
      <c r="MM26" s="105" t="str">
        <f t="shared" ref="MM26:OX26" si="484">IFERROR(-ABS(MM24-MM7)/ABS(MM7),"")</f>
        <v/>
      </c>
      <c r="MN26" s="106" t="str">
        <f t="shared" si="484"/>
        <v/>
      </c>
      <c r="MO26" s="106" t="str">
        <f t="shared" si="484"/>
        <v/>
      </c>
      <c r="MP26" s="106" t="str">
        <f t="shared" si="484"/>
        <v/>
      </c>
      <c r="MQ26" s="106" t="str">
        <f t="shared" si="484"/>
        <v/>
      </c>
      <c r="MR26" s="106" t="str">
        <f t="shared" si="484"/>
        <v/>
      </c>
      <c r="MS26" s="106" t="str">
        <f t="shared" si="484"/>
        <v/>
      </c>
      <c r="MT26" s="106" t="str">
        <f t="shared" si="484"/>
        <v/>
      </c>
      <c r="MU26" s="106" t="str">
        <f t="shared" si="484"/>
        <v/>
      </c>
      <c r="MV26" s="106" t="str">
        <f t="shared" si="484"/>
        <v/>
      </c>
      <c r="MW26" s="106" t="str">
        <f t="shared" si="484"/>
        <v/>
      </c>
      <c r="MX26" s="106" t="str">
        <f t="shared" si="484"/>
        <v/>
      </c>
      <c r="MY26" s="106" t="str">
        <f t="shared" si="484"/>
        <v/>
      </c>
      <c r="MZ26" s="106" t="str">
        <f t="shared" si="484"/>
        <v/>
      </c>
      <c r="NA26" s="106" t="str">
        <f t="shared" si="484"/>
        <v/>
      </c>
      <c r="NB26" s="106" t="str">
        <f t="shared" si="484"/>
        <v/>
      </c>
      <c r="NC26" s="106" t="str">
        <f t="shared" si="484"/>
        <v/>
      </c>
      <c r="ND26" s="106" t="str">
        <f t="shared" si="484"/>
        <v/>
      </c>
      <c r="NE26" s="106" t="str">
        <f t="shared" si="484"/>
        <v/>
      </c>
      <c r="NF26" s="107" t="str">
        <f t="shared" si="484"/>
        <v/>
      </c>
      <c r="NG26" s="105" t="str">
        <f t="shared" si="484"/>
        <v/>
      </c>
      <c r="NH26" s="106" t="str">
        <f t="shared" si="484"/>
        <v/>
      </c>
      <c r="NI26" s="106" t="str">
        <f t="shared" si="484"/>
        <v/>
      </c>
      <c r="NJ26" s="106" t="str">
        <f t="shared" si="484"/>
        <v/>
      </c>
      <c r="NK26" s="106" t="str">
        <f t="shared" si="484"/>
        <v/>
      </c>
      <c r="NL26" s="106" t="str">
        <f t="shared" si="484"/>
        <v/>
      </c>
      <c r="NM26" s="106" t="str">
        <f t="shared" si="484"/>
        <v/>
      </c>
      <c r="NN26" s="106" t="str">
        <f t="shared" si="484"/>
        <v/>
      </c>
      <c r="NO26" s="106" t="str">
        <f t="shared" si="484"/>
        <v/>
      </c>
      <c r="NP26" s="106" t="str">
        <f t="shared" si="484"/>
        <v/>
      </c>
      <c r="NQ26" s="106" t="str">
        <f t="shared" si="484"/>
        <v/>
      </c>
      <c r="NR26" s="319" t="str">
        <f t="shared" si="484"/>
        <v/>
      </c>
      <c r="NS26" s="106" t="str">
        <f t="shared" si="484"/>
        <v/>
      </c>
      <c r="NT26" s="106" t="str">
        <f t="shared" si="484"/>
        <v/>
      </c>
      <c r="NU26" s="106" t="str">
        <f t="shared" si="484"/>
        <v/>
      </c>
      <c r="NV26" s="106" t="str">
        <f t="shared" si="484"/>
        <v/>
      </c>
      <c r="NW26" s="106" t="str">
        <f t="shared" si="484"/>
        <v/>
      </c>
      <c r="NX26" s="106" t="str">
        <f t="shared" si="484"/>
        <v/>
      </c>
      <c r="NY26" s="106" t="str">
        <f t="shared" si="484"/>
        <v/>
      </c>
      <c r="NZ26" s="107" t="str">
        <f t="shared" si="484"/>
        <v/>
      </c>
      <c r="OA26" s="105" t="str">
        <f t="shared" si="484"/>
        <v/>
      </c>
      <c r="OB26" s="106" t="str">
        <f t="shared" si="484"/>
        <v/>
      </c>
      <c r="OC26" s="106" t="str">
        <f t="shared" si="484"/>
        <v/>
      </c>
      <c r="OD26" s="106" t="str">
        <f t="shared" si="484"/>
        <v/>
      </c>
      <c r="OE26" s="106" t="str">
        <f t="shared" si="484"/>
        <v/>
      </c>
      <c r="OF26" s="106" t="str">
        <f t="shared" si="484"/>
        <v/>
      </c>
      <c r="OG26" s="106" t="str">
        <f t="shared" si="484"/>
        <v/>
      </c>
      <c r="OH26" s="106" t="str">
        <f t="shared" si="484"/>
        <v/>
      </c>
      <c r="OI26" s="106" t="str">
        <f t="shared" si="484"/>
        <v/>
      </c>
      <c r="OJ26" s="106" t="str">
        <f t="shared" si="484"/>
        <v/>
      </c>
      <c r="OK26" s="106" t="str">
        <f t="shared" si="484"/>
        <v/>
      </c>
      <c r="OL26" s="319" t="str">
        <f t="shared" si="484"/>
        <v/>
      </c>
      <c r="OM26" s="106" t="str">
        <f t="shared" si="484"/>
        <v/>
      </c>
      <c r="ON26" s="106" t="str">
        <f t="shared" si="484"/>
        <v/>
      </c>
      <c r="OO26" s="106" t="str">
        <f t="shared" si="484"/>
        <v/>
      </c>
      <c r="OP26" s="106" t="str">
        <f t="shared" si="484"/>
        <v/>
      </c>
      <c r="OQ26" s="106" t="str">
        <f t="shared" si="484"/>
        <v/>
      </c>
      <c r="OR26" s="106" t="str">
        <f t="shared" si="484"/>
        <v/>
      </c>
      <c r="OS26" s="106" t="str">
        <f t="shared" si="484"/>
        <v/>
      </c>
      <c r="OT26" s="107" t="str">
        <f t="shared" si="484"/>
        <v/>
      </c>
      <c r="OU26" s="105" t="str">
        <f t="shared" si="484"/>
        <v/>
      </c>
      <c r="OV26" s="106" t="str">
        <f t="shared" si="484"/>
        <v/>
      </c>
      <c r="OW26" s="106" t="str">
        <f t="shared" si="484"/>
        <v/>
      </c>
      <c r="OX26" s="106" t="str">
        <f t="shared" si="484"/>
        <v/>
      </c>
      <c r="OY26" s="106" t="str">
        <f t="shared" ref="OY26:RJ26" si="485">IFERROR(-ABS(OY24-OY7)/ABS(OY7),"")</f>
        <v/>
      </c>
      <c r="OZ26" s="106" t="str">
        <f t="shared" si="485"/>
        <v/>
      </c>
      <c r="PA26" s="106" t="str">
        <f t="shared" si="485"/>
        <v/>
      </c>
      <c r="PB26" s="106" t="str">
        <f t="shared" si="485"/>
        <v/>
      </c>
      <c r="PC26" s="106" t="str">
        <f t="shared" si="485"/>
        <v/>
      </c>
      <c r="PD26" s="106" t="str">
        <f t="shared" si="485"/>
        <v/>
      </c>
      <c r="PE26" s="106" t="str">
        <f t="shared" si="485"/>
        <v/>
      </c>
      <c r="PF26" s="319" t="str">
        <f t="shared" si="485"/>
        <v/>
      </c>
      <c r="PG26" s="106" t="str">
        <f t="shared" si="485"/>
        <v/>
      </c>
      <c r="PH26" s="106" t="str">
        <f t="shared" si="485"/>
        <v/>
      </c>
      <c r="PI26" s="106" t="str">
        <f t="shared" si="485"/>
        <v/>
      </c>
      <c r="PJ26" s="106" t="str">
        <f t="shared" si="485"/>
        <v/>
      </c>
      <c r="PK26" s="106" t="str">
        <f t="shared" si="485"/>
        <v/>
      </c>
      <c r="PL26" s="106" t="str">
        <f t="shared" si="485"/>
        <v/>
      </c>
      <c r="PM26" s="106" t="str">
        <f t="shared" si="485"/>
        <v/>
      </c>
      <c r="PN26" s="107" t="str">
        <f t="shared" si="485"/>
        <v/>
      </c>
      <c r="PO26" s="323">
        <f t="shared" si="485"/>
        <v>0</v>
      </c>
      <c r="PP26" s="324" t="str">
        <f t="shared" si="485"/>
        <v/>
      </c>
      <c r="PQ26" s="324" t="str">
        <f t="shared" si="485"/>
        <v/>
      </c>
      <c r="PR26" s="324" t="str">
        <f t="shared" si="485"/>
        <v/>
      </c>
      <c r="PS26" s="324" t="str">
        <f t="shared" si="485"/>
        <v/>
      </c>
      <c r="PT26" s="324" t="str">
        <f t="shared" si="485"/>
        <v/>
      </c>
      <c r="PU26" s="324" t="str">
        <f t="shared" si="485"/>
        <v/>
      </c>
      <c r="PV26" s="324" t="str">
        <f t="shared" si="485"/>
        <v/>
      </c>
      <c r="PW26" s="324" t="str">
        <f t="shared" si="485"/>
        <v/>
      </c>
      <c r="PX26" s="324" t="str">
        <f t="shared" si="485"/>
        <v/>
      </c>
      <c r="PY26" s="324" t="str">
        <f t="shared" si="485"/>
        <v/>
      </c>
      <c r="PZ26" s="324" t="str">
        <f t="shared" si="485"/>
        <v/>
      </c>
      <c r="QA26" s="324" t="str">
        <f t="shared" si="485"/>
        <v/>
      </c>
      <c r="QB26" s="324" t="str">
        <f t="shared" si="485"/>
        <v/>
      </c>
      <c r="QC26" s="324" t="str">
        <f t="shared" si="485"/>
        <v/>
      </c>
      <c r="QD26" s="324" t="str">
        <f t="shared" si="485"/>
        <v/>
      </c>
      <c r="QE26" s="324" t="str">
        <f t="shared" si="485"/>
        <v/>
      </c>
      <c r="QF26" s="324" t="str">
        <f t="shared" si="485"/>
        <v/>
      </c>
      <c r="QG26" s="324" t="str">
        <f t="shared" si="485"/>
        <v/>
      </c>
      <c r="QH26" s="325" t="str">
        <f t="shared" si="485"/>
        <v/>
      </c>
      <c r="QI26" s="323" t="str">
        <f t="shared" si="485"/>
        <v/>
      </c>
      <c r="QJ26" s="324" t="str">
        <f t="shared" si="485"/>
        <v/>
      </c>
      <c r="QK26" s="324" t="str">
        <f t="shared" si="485"/>
        <v/>
      </c>
      <c r="QL26" s="324" t="str">
        <f t="shared" si="485"/>
        <v/>
      </c>
      <c r="QM26" s="324" t="str">
        <f t="shared" si="485"/>
        <v/>
      </c>
      <c r="QN26" s="324" t="str">
        <f t="shared" si="485"/>
        <v/>
      </c>
      <c r="QO26" s="324" t="str">
        <f t="shared" si="485"/>
        <v/>
      </c>
      <c r="QP26" s="324" t="str">
        <f t="shared" si="485"/>
        <v/>
      </c>
      <c r="QQ26" s="324" t="str">
        <f t="shared" si="485"/>
        <v/>
      </c>
      <c r="QR26" s="324" t="str">
        <f t="shared" si="485"/>
        <v/>
      </c>
      <c r="QS26" s="324" t="str">
        <f t="shared" si="485"/>
        <v/>
      </c>
      <c r="QT26" s="324" t="str">
        <f t="shared" si="485"/>
        <v/>
      </c>
      <c r="QU26" s="324" t="str">
        <f t="shared" si="485"/>
        <v/>
      </c>
      <c r="QV26" s="324" t="str">
        <f t="shared" si="485"/>
        <v/>
      </c>
      <c r="QW26" s="324" t="str">
        <f t="shared" si="485"/>
        <v/>
      </c>
      <c r="QX26" s="324" t="str">
        <f t="shared" si="485"/>
        <v/>
      </c>
      <c r="QY26" s="324" t="str">
        <f t="shared" si="485"/>
        <v/>
      </c>
      <c r="QZ26" s="324" t="str">
        <f t="shared" si="485"/>
        <v/>
      </c>
      <c r="RA26" s="324" t="str">
        <f t="shared" si="485"/>
        <v/>
      </c>
      <c r="RB26" s="325" t="str">
        <f t="shared" si="485"/>
        <v/>
      </c>
      <c r="RC26" s="323" t="str">
        <f t="shared" si="485"/>
        <v/>
      </c>
      <c r="RD26" s="324" t="str">
        <f t="shared" si="485"/>
        <v/>
      </c>
      <c r="RE26" s="324" t="str">
        <f t="shared" si="485"/>
        <v/>
      </c>
      <c r="RF26" s="324" t="str">
        <f t="shared" si="485"/>
        <v/>
      </c>
      <c r="RG26" s="324" t="str">
        <f t="shared" si="485"/>
        <v/>
      </c>
      <c r="RH26" s="324" t="str">
        <f t="shared" si="485"/>
        <v/>
      </c>
      <c r="RI26" s="324" t="str">
        <f t="shared" si="485"/>
        <v/>
      </c>
      <c r="RJ26" s="324" t="str">
        <f t="shared" si="485"/>
        <v/>
      </c>
      <c r="RK26" s="324" t="str">
        <f t="shared" ref="RK26:TV26" si="486">IFERROR(-ABS(RK24-RK7)/ABS(RK7),"")</f>
        <v/>
      </c>
      <c r="RL26" s="324" t="str">
        <f t="shared" si="486"/>
        <v/>
      </c>
      <c r="RM26" s="324" t="str">
        <f t="shared" si="486"/>
        <v/>
      </c>
      <c r="RN26" s="324" t="str">
        <f t="shared" si="486"/>
        <v/>
      </c>
      <c r="RO26" s="324" t="str">
        <f t="shared" si="486"/>
        <v/>
      </c>
      <c r="RP26" s="324" t="str">
        <f t="shared" si="486"/>
        <v/>
      </c>
      <c r="RQ26" s="324" t="str">
        <f t="shared" si="486"/>
        <v/>
      </c>
      <c r="RR26" s="324" t="str">
        <f t="shared" si="486"/>
        <v/>
      </c>
      <c r="RS26" s="324" t="str">
        <f t="shared" si="486"/>
        <v/>
      </c>
      <c r="RT26" s="324" t="str">
        <f t="shared" si="486"/>
        <v/>
      </c>
      <c r="RU26" s="324" t="str">
        <f t="shared" si="486"/>
        <v/>
      </c>
      <c r="RV26" s="325" t="str">
        <f t="shared" si="486"/>
        <v/>
      </c>
      <c r="RW26" s="323" t="str">
        <f t="shared" si="486"/>
        <v/>
      </c>
      <c r="RX26" s="324" t="str">
        <f t="shared" si="486"/>
        <v/>
      </c>
      <c r="RY26" s="324" t="str">
        <f t="shared" si="486"/>
        <v/>
      </c>
      <c r="RZ26" s="324" t="str">
        <f t="shared" si="486"/>
        <v/>
      </c>
      <c r="SA26" s="324" t="str">
        <f t="shared" si="486"/>
        <v/>
      </c>
      <c r="SB26" s="324" t="str">
        <f t="shared" si="486"/>
        <v/>
      </c>
      <c r="SC26" s="324" t="str">
        <f t="shared" si="486"/>
        <v/>
      </c>
      <c r="SD26" s="324" t="str">
        <f t="shared" si="486"/>
        <v/>
      </c>
      <c r="SE26" s="324" t="str">
        <f t="shared" si="486"/>
        <v/>
      </c>
      <c r="SF26" s="324" t="str">
        <f t="shared" si="486"/>
        <v/>
      </c>
      <c r="SG26" s="324" t="str">
        <f t="shared" si="486"/>
        <v/>
      </c>
      <c r="SH26" s="324" t="str">
        <f t="shared" si="486"/>
        <v/>
      </c>
      <c r="SI26" s="324" t="str">
        <f t="shared" si="486"/>
        <v/>
      </c>
      <c r="SJ26" s="324" t="str">
        <f t="shared" si="486"/>
        <v/>
      </c>
      <c r="SK26" s="324" t="str">
        <f t="shared" si="486"/>
        <v/>
      </c>
      <c r="SL26" s="324" t="str">
        <f t="shared" si="486"/>
        <v/>
      </c>
      <c r="SM26" s="324" t="str">
        <f t="shared" si="486"/>
        <v/>
      </c>
      <c r="SN26" s="324" t="str">
        <f t="shared" si="486"/>
        <v/>
      </c>
      <c r="SO26" s="324" t="str">
        <f t="shared" si="486"/>
        <v/>
      </c>
      <c r="SP26" s="325" t="str">
        <f t="shared" si="486"/>
        <v/>
      </c>
      <c r="SQ26" s="323" t="str">
        <f t="shared" si="486"/>
        <v/>
      </c>
      <c r="SR26" s="324" t="str">
        <f t="shared" si="486"/>
        <v/>
      </c>
      <c r="SS26" s="324" t="str">
        <f t="shared" si="486"/>
        <v/>
      </c>
      <c r="ST26" s="324" t="str">
        <f t="shared" si="486"/>
        <v/>
      </c>
      <c r="SU26" s="324" t="str">
        <f t="shared" si="486"/>
        <v/>
      </c>
      <c r="SV26" s="324" t="str">
        <f t="shared" si="486"/>
        <v/>
      </c>
      <c r="SW26" s="324" t="str">
        <f t="shared" si="486"/>
        <v/>
      </c>
      <c r="SX26" s="324" t="str">
        <f t="shared" si="486"/>
        <v/>
      </c>
      <c r="SY26" s="324" t="str">
        <f t="shared" si="486"/>
        <v/>
      </c>
      <c r="SZ26" s="324" t="str">
        <f t="shared" si="486"/>
        <v/>
      </c>
      <c r="TA26" s="324" t="str">
        <f t="shared" si="486"/>
        <v/>
      </c>
      <c r="TB26" s="324" t="str">
        <f t="shared" si="486"/>
        <v/>
      </c>
      <c r="TC26" s="324" t="str">
        <f t="shared" si="486"/>
        <v/>
      </c>
      <c r="TD26" s="324" t="str">
        <f t="shared" si="486"/>
        <v/>
      </c>
      <c r="TE26" s="324" t="str">
        <f t="shared" si="486"/>
        <v/>
      </c>
      <c r="TF26" s="324" t="str">
        <f t="shared" si="486"/>
        <v/>
      </c>
      <c r="TG26" s="324" t="str">
        <f t="shared" si="486"/>
        <v/>
      </c>
      <c r="TH26" s="324" t="str">
        <f t="shared" si="486"/>
        <v/>
      </c>
      <c r="TI26" s="324" t="str">
        <f t="shared" si="486"/>
        <v/>
      </c>
      <c r="TJ26" s="325" t="str">
        <f t="shared" si="486"/>
        <v/>
      </c>
      <c r="TK26" s="323" t="str">
        <f t="shared" si="486"/>
        <v/>
      </c>
      <c r="TL26" s="324" t="str">
        <f t="shared" si="486"/>
        <v/>
      </c>
      <c r="TM26" s="324" t="str">
        <f t="shared" si="486"/>
        <v/>
      </c>
      <c r="TN26" s="324" t="str">
        <f t="shared" si="486"/>
        <v/>
      </c>
      <c r="TO26" s="324" t="str">
        <f t="shared" si="486"/>
        <v/>
      </c>
      <c r="TP26" s="324" t="str">
        <f t="shared" si="486"/>
        <v/>
      </c>
      <c r="TQ26" s="324" t="str">
        <f t="shared" si="486"/>
        <v/>
      </c>
      <c r="TR26" s="324" t="str">
        <f t="shared" si="486"/>
        <v/>
      </c>
      <c r="TS26" s="324" t="str">
        <f t="shared" si="486"/>
        <v/>
      </c>
      <c r="TT26" s="324" t="str">
        <f t="shared" si="486"/>
        <v/>
      </c>
      <c r="TU26" s="324" t="str">
        <f t="shared" si="486"/>
        <v/>
      </c>
      <c r="TV26" s="324" t="str">
        <f t="shared" si="486"/>
        <v/>
      </c>
      <c r="TW26" s="324" t="str">
        <f t="shared" ref="TW26:UX26" si="487">IFERROR(-ABS(TW24-TW7)/ABS(TW7),"")</f>
        <v/>
      </c>
      <c r="TX26" s="324" t="str">
        <f t="shared" si="487"/>
        <v/>
      </c>
      <c r="TY26" s="324" t="str">
        <f t="shared" si="487"/>
        <v/>
      </c>
      <c r="TZ26" s="324" t="str">
        <f t="shared" si="487"/>
        <v/>
      </c>
      <c r="UA26" s="324" t="str">
        <f t="shared" si="487"/>
        <v/>
      </c>
      <c r="UB26" s="324" t="str">
        <f t="shared" si="487"/>
        <v/>
      </c>
      <c r="UC26" s="324" t="str">
        <f t="shared" si="487"/>
        <v/>
      </c>
      <c r="UD26" s="325" t="str">
        <f t="shared" si="487"/>
        <v/>
      </c>
      <c r="UE26" s="105" t="str">
        <f t="shared" si="487"/>
        <v/>
      </c>
      <c r="UF26" s="106" t="str">
        <f t="shared" si="487"/>
        <v/>
      </c>
      <c r="UG26" s="106" t="str">
        <f t="shared" si="487"/>
        <v/>
      </c>
      <c r="UH26" s="106" t="str">
        <f t="shared" si="487"/>
        <v/>
      </c>
      <c r="UI26" s="106" t="str">
        <f t="shared" si="487"/>
        <v/>
      </c>
      <c r="UJ26" s="106" t="str">
        <f t="shared" si="487"/>
        <v/>
      </c>
      <c r="UK26" s="106" t="str">
        <f t="shared" si="487"/>
        <v/>
      </c>
      <c r="UL26" s="106" t="str">
        <f t="shared" si="487"/>
        <v/>
      </c>
      <c r="UM26" s="106" t="str">
        <f t="shared" si="487"/>
        <v/>
      </c>
      <c r="UN26" s="106" t="str">
        <f t="shared" si="487"/>
        <v/>
      </c>
      <c r="UO26" s="106" t="str">
        <f t="shared" si="487"/>
        <v/>
      </c>
      <c r="UP26" s="106" t="str">
        <f t="shared" si="487"/>
        <v/>
      </c>
      <c r="UQ26" s="106" t="str">
        <f t="shared" si="487"/>
        <v/>
      </c>
      <c r="UR26" s="106" t="str">
        <f t="shared" si="487"/>
        <v/>
      </c>
      <c r="US26" s="106" t="str">
        <f t="shared" si="487"/>
        <v/>
      </c>
      <c r="UT26" s="106" t="str">
        <f t="shared" si="487"/>
        <v/>
      </c>
      <c r="UU26" s="106" t="str">
        <f t="shared" si="487"/>
        <v/>
      </c>
      <c r="UV26" s="106" t="str">
        <f t="shared" si="487"/>
        <v/>
      </c>
      <c r="UW26" s="106" t="str">
        <f t="shared" si="487"/>
        <v/>
      </c>
      <c r="UX26" s="107" t="str">
        <f t="shared" si="487"/>
        <v/>
      </c>
    </row>
    <row r="27" spans="1:16344" x14ac:dyDescent="0.2">
      <c r="A27" s="99" t="s">
        <v>88</v>
      </c>
      <c r="B27" s="100"/>
      <c r="C27" s="100"/>
      <c r="D27" s="100"/>
      <c r="E27" s="101"/>
      <c r="F27" s="101"/>
      <c r="G27" s="102">
        <f t="shared" ref="G27:N27" si="488">IFERROR(IF(G19&gt;G7,ABS(G19-G7)/ABS(G7),-ABS(G19-G7)/ABS(G7)),"")</f>
        <v>8.2903142835929575</v>
      </c>
      <c r="H27" s="102">
        <f t="shared" si="488"/>
        <v>6.2703580383935531</v>
      </c>
      <c r="I27" s="102" t="str">
        <f t="shared" si="488"/>
        <v/>
      </c>
      <c r="J27" s="102">
        <f t="shared" si="488"/>
        <v>8.3935998134251982E-2</v>
      </c>
      <c r="K27" s="102">
        <f t="shared" si="488"/>
        <v>9.85673592493298E-2</v>
      </c>
      <c r="L27" s="102">
        <f t="shared" si="488"/>
        <v>0.69951207669854043</v>
      </c>
      <c r="M27" s="102">
        <f t="shared" si="488"/>
        <v>1.1365127537161028</v>
      </c>
      <c r="N27" s="102">
        <f t="shared" si="488"/>
        <v>1.0036991906220201</v>
      </c>
      <c r="O27" s="102" t="str">
        <f t="shared" ref="O27" si="489">IFERROR(IF(O19&gt;O7,ABS(O19-O7)/ABS(O7),-ABS(O19-O7)/ABS(O7)),"")</f>
        <v/>
      </c>
      <c r="P27" s="102" t="str">
        <f t="shared" ref="P27" si="490">IFERROR(IF(P19&gt;P7,ABS(P19-P7)/ABS(P7),-ABS(P19-P7)/ABS(P7)),"")</f>
        <v/>
      </c>
      <c r="Q27" s="102" t="str">
        <f>IFERROR(IF(Q19&gt;Q7,ABS(Q19-Q7)/ABS(Q7),-ABS(Q19-Q7)/ABS(Q7)),"")</f>
        <v/>
      </c>
      <c r="R27" s="102" t="str">
        <f>IFERROR(IF(R19&gt;R7,ABS(R19-R7)/ABS(R7),-ABS(R19-R7)/ABS(R7)),"")</f>
        <v/>
      </c>
      <c r="S27" s="102" t="str">
        <f>IFERROR(IF(S19&gt;S7,ABS(S19-S7)/ABS(S7),-ABS(S19-S7)/ABS(S7)),"")</f>
        <v/>
      </c>
      <c r="T27" s="102" t="str">
        <f>IFERROR(IF(T19&gt;T7,-ABS(T19-T7)/ABS(T7),ABS(T19-T7)/ABS(T7)),"")</f>
        <v/>
      </c>
      <c r="U27" s="102" t="str">
        <f>IFERROR(IF(U19&gt;U7,-ABS(U19-U7)/ABS(U7),ABS(U19-U7)/ABS(U7)),"")</f>
        <v/>
      </c>
      <c r="V27" s="102" t="str">
        <f>IFERROR(IF(V19&gt;V7,-ABS(V19-V7)/ABS(V7),ABS(V19-V7)/ABS(V7)),"")</f>
        <v/>
      </c>
      <c r="W27" s="102" t="str">
        <f>IFERROR(IF(W19&gt;W7,-ABS(W19-W7)/ABS(W7),ABS(W19-W7)/ABS(W7)),"")</f>
        <v/>
      </c>
      <c r="X27" s="102" t="str">
        <f>IFERROR(IF(X19&gt;X7,-ABS(X19-X7)/ABS(X7),ABS(X19-X7)/ABS(X7)),"")</f>
        <v/>
      </c>
      <c r="Y27" s="102" t="str">
        <f>IFERROR(IF(Y19&gt;Y7,ABS(Y19-Y7)/ABS(Y7),-ABS(Y19-Y7)/ABS(Y7)),"")</f>
        <v/>
      </c>
      <c r="Z27" s="993">
        <f>IFERROR(IF(Z19&gt;Z7,-ABS(Z19-Z7)/ABS(Z7),ABS(Z19-Z7)/ABS(Z7)),"")</f>
        <v>-0.10447391930464436</v>
      </c>
      <c r="AA27" s="102">
        <f>IFERROR(IF(AA19&gt;AA7,ABS(AA19-AA7)/ABS(AA7),-ABS(AA19-AA7)/ABS(AA7)),"")</f>
        <v>0.2724755879801386</v>
      </c>
      <c r="AB27" s="102" t="str">
        <f>IFERROR(IF(AB19&gt;AB7,-ABS(AB19-AB7)/ABS(AB7),ABS(AB19-AB7)/ABS(AB7)),"")</f>
        <v/>
      </c>
      <c r="AC27" s="1024">
        <f>IFERROR(IF(AC19&gt;AC7,ABS(AC19-AC7)/ABS(AC7),-ABS(AC19-AC7)/ABS(AC7)),"")</f>
        <v>0.43856950749810414</v>
      </c>
      <c r="AD27" s="104"/>
      <c r="AE27" s="105" t="str">
        <f t="shared" ref="AE27:CP27" si="491">IFERROR(IF(AE19&gt;AE7,ABS(AE19-AE7)/ABS(AE7),-ABS(AE19-AE7)/ABS(AE7)),"")</f>
        <v/>
      </c>
      <c r="AF27" s="106" t="str">
        <f t="shared" si="491"/>
        <v/>
      </c>
      <c r="AG27" s="106" t="str">
        <f t="shared" si="491"/>
        <v/>
      </c>
      <c r="AH27" s="106" t="str">
        <f t="shared" si="491"/>
        <v/>
      </c>
      <c r="AI27" s="106" t="str">
        <f t="shared" si="491"/>
        <v/>
      </c>
      <c r="AJ27" s="106" t="str">
        <f t="shared" si="491"/>
        <v/>
      </c>
      <c r="AK27" s="106" t="str">
        <f t="shared" si="491"/>
        <v/>
      </c>
      <c r="AL27" s="106" t="str">
        <f t="shared" si="491"/>
        <v/>
      </c>
      <c r="AM27" s="106" t="str">
        <f t="shared" si="491"/>
        <v/>
      </c>
      <c r="AN27" s="106" t="str">
        <f t="shared" si="491"/>
        <v/>
      </c>
      <c r="AO27" s="106" t="str">
        <f t="shared" si="491"/>
        <v/>
      </c>
      <c r="AP27" s="106" t="str">
        <f t="shared" si="491"/>
        <v/>
      </c>
      <c r="AQ27" s="106" t="str">
        <f t="shared" si="491"/>
        <v/>
      </c>
      <c r="AR27" s="106" t="str">
        <f t="shared" si="491"/>
        <v/>
      </c>
      <c r="AS27" s="106" t="str">
        <f t="shared" si="491"/>
        <v/>
      </c>
      <c r="AT27" s="106" t="str">
        <f t="shared" si="491"/>
        <v/>
      </c>
      <c r="AU27" s="106" t="str">
        <f t="shared" si="491"/>
        <v/>
      </c>
      <c r="AV27" s="106" t="str">
        <f t="shared" si="491"/>
        <v/>
      </c>
      <c r="AW27" s="106" t="str">
        <f t="shared" si="491"/>
        <v/>
      </c>
      <c r="AX27" s="107" t="str">
        <f t="shared" si="491"/>
        <v/>
      </c>
      <c r="AY27" s="105" t="str">
        <f t="shared" si="491"/>
        <v/>
      </c>
      <c r="AZ27" s="106" t="str">
        <f t="shared" si="491"/>
        <v/>
      </c>
      <c r="BA27" s="106" t="str">
        <f t="shared" si="491"/>
        <v/>
      </c>
      <c r="BB27" s="106" t="str">
        <f t="shared" si="491"/>
        <v/>
      </c>
      <c r="BC27" s="106" t="str">
        <f t="shared" si="491"/>
        <v/>
      </c>
      <c r="BD27" s="106" t="str">
        <f t="shared" si="491"/>
        <v/>
      </c>
      <c r="BE27" s="106" t="str">
        <f t="shared" si="491"/>
        <v/>
      </c>
      <c r="BF27" s="106" t="str">
        <f t="shared" si="491"/>
        <v/>
      </c>
      <c r="BG27" s="106" t="str">
        <f t="shared" si="491"/>
        <v/>
      </c>
      <c r="BH27" s="106" t="str">
        <f t="shared" si="491"/>
        <v/>
      </c>
      <c r="BI27" s="106" t="str">
        <f t="shared" si="491"/>
        <v/>
      </c>
      <c r="BJ27" s="106" t="str">
        <f t="shared" si="491"/>
        <v/>
      </c>
      <c r="BK27" s="106" t="str">
        <f t="shared" si="491"/>
        <v/>
      </c>
      <c r="BL27" s="106" t="str">
        <f t="shared" si="491"/>
        <v/>
      </c>
      <c r="BM27" s="106" t="str">
        <f t="shared" si="491"/>
        <v/>
      </c>
      <c r="BN27" s="106" t="str">
        <f t="shared" si="491"/>
        <v/>
      </c>
      <c r="BO27" s="106" t="str">
        <f t="shared" si="491"/>
        <v/>
      </c>
      <c r="BP27" s="106" t="str">
        <f t="shared" si="491"/>
        <v/>
      </c>
      <c r="BQ27" s="106" t="str">
        <f t="shared" si="491"/>
        <v/>
      </c>
      <c r="BR27" s="107" t="str">
        <f t="shared" si="491"/>
        <v/>
      </c>
      <c r="BS27" s="105" t="str">
        <f t="shared" si="491"/>
        <v/>
      </c>
      <c r="BT27" s="106" t="str">
        <f t="shared" si="491"/>
        <v/>
      </c>
      <c r="BU27" s="106" t="str">
        <f t="shared" si="491"/>
        <v/>
      </c>
      <c r="BV27" s="106" t="str">
        <f t="shared" si="491"/>
        <v/>
      </c>
      <c r="BW27" s="106" t="str">
        <f t="shared" si="491"/>
        <v/>
      </c>
      <c r="BX27" s="106" t="str">
        <f t="shared" si="491"/>
        <v/>
      </c>
      <c r="BY27" s="106" t="str">
        <f t="shared" si="491"/>
        <v/>
      </c>
      <c r="BZ27" s="106" t="str">
        <f t="shared" si="491"/>
        <v/>
      </c>
      <c r="CA27" s="106" t="str">
        <f t="shared" si="491"/>
        <v/>
      </c>
      <c r="CB27" s="106" t="str">
        <f t="shared" si="491"/>
        <v/>
      </c>
      <c r="CC27" s="106" t="str">
        <f t="shared" si="491"/>
        <v/>
      </c>
      <c r="CD27" s="106" t="str">
        <f t="shared" si="491"/>
        <v/>
      </c>
      <c r="CE27" s="106" t="str">
        <f t="shared" si="491"/>
        <v/>
      </c>
      <c r="CF27" s="106" t="str">
        <f t="shared" si="491"/>
        <v/>
      </c>
      <c r="CG27" s="106" t="str">
        <f t="shared" si="491"/>
        <v/>
      </c>
      <c r="CH27" s="106" t="str">
        <f t="shared" si="491"/>
        <v/>
      </c>
      <c r="CI27" s="106" t="str">
        <f t="shared" si="491"/>
        <v/>
      </c>
      <c r="CJ27" s="106" t="str">
        <f t="shared" si="491"/>
        <v/>
      </c>
      <c r="CK27" s="106" t="str">
        <f t="shared" si="491"/>
        <v/>
      </c>
      <c r="CL27" s="107" t="str">
        <f t="shared" si="491"/>
        <v/>
      </c>
      <c r="CM27" s="105" t="str">
        <f t="shared" si="491"/>
        <v/>
      </c>
      <c r="CN27" s="106" t="str">
        <f t="shared" si="491"/>
        <v/>
      </c>
      <c r="CO27" s="106" t="str">
        <f t="shared" si="491"/>
        <v/>
      </c>
      <c r="CP27" s="106" t="str">
        <f t="shared" si="491"/>
        <v/>
      </c>
      <c r="CQ27" s="106" t="str">
        <f t="shared" ref="CQ27:FB27" si="492">IFERROR(IF(CQ19&gt;CQ7,ABS(CQ19-CQ7)/ABS(CQ7),-ABS(CQ19-CQ7)/ABS(CQ7)),"")</f>
        <v/>
      </c>
      <c r="CR27" s="106" t="str">
        <f t="shared" si="492"/>
        <v/>
      </c>
      <c r="CS27" s="106" t="str">
        <f t="shared" si="492"/>
        <v/>
      </c>
      <c r="CT27" s="106" t="str">
        <f t="shared" si="492"/>
        <v/>
      </c>
      <c r="CU27" s="106" t="str">
        <f t="shared" si="492"/>
        <v/>
      </c>
      <c r="CV27" s="106" t="str">
        <f t="shared" si="492"/>
        <v/>
      </c>
      <c r="CW27" s="106" t="str">
        <f t="shared" si="492"/>
        <v/>
      </c>
      <c r="CX27" s="106" t="str">
        <f t="shared" si="492"/>
        <v/>
      </c>
      <c r="CY27" s="106" t="str">
        <f t="shared" si="492"/>
        <v/>
      </c>
      <c r="CZ27" s="106" t="str">
        <f t="shared" si="492"/>
        <v/>
      </c>
      <c r="DA27" s="106" t="str">
        <f t="shared" si="492"/>
        <v/>
      </c>
      <c r="DB27" s="106" t="str">
        <f t="shared" si="492"/>
        <v/>
      </c>
      <c r="DC27" s="106" t="str">
        <f t="shared" si="492"/>
        <v/>
      </c>
      <c r="DD27" s="106" t="str">
        <f t="shared" si="492"/>
        <v/>
      </c>
      <c r="DE27" s="106" t="str">
        <f t="shared" si="492"/>
        <v/>
      </c>
      <c r="DF27" s="107" t="str">
        <f t="shared" si="492"/>
        <v/>
      </c>
      <c r="DG27" s="105" t="str">
        <f t="shared" si="492"/>
        <v/>
      </c>
      <c r="DH27" s="106" t="str">
        <f t="shared" si="492"/>
        <v/>
      </c>
      <c r="DI27" s="106" t="str">
        <f t="shared" si="492"/>
        <v/>
      </c>
      <c r="DJ27" s="106" t="str">
        <f t="shared" si="492"/>
        <v/>
      </c>
      <c r="DK27" s="106" t="str">
        <f t="shared" si="492"/>
        <v/>
      </c>
      <c r="DL27" s="106" t="str">
        <f t="shared" si="492"/>
        <v/>
      </c>
      <c r="DM27" s="106" t="str">
        <f t="shared" si="492"/>
        <v/>
      </c>
      <c r="DN27" s="106" t="str">
        <f t="shared" si="492"/>
        <v/>
      </c>
      <c r="DO27" s="106" t="str">
        <f t="shared" si="492"/>
        <v/>
      </c>
      <c r="DP27" s="106" t="str">
        <f t="shared" si="492"/>
        <v/>
      </c>
      <c r="DQ27" s="106" t="str">
        <f t="shared" si="492"/>
        <v/>
      </c>
      <c r="DR27" s="106" t="str">
        <f t="shared" si="492"/>
        <v/>
      </c>
      <c r="DS27" s="106" t="str">
        <f t="shared" si="492"/>
        <v/>
      </c>
      <c r="DT27" s="106" t="str">
        <f t="shared" si="492"/>
        <v/>
      </c>
      <c r="DU27" s="106" t="str">
        <f t="shared" si="492"/>
        <v/>
      </c>
      <c r="DV27" s="106" t="str">
        <f t="shared" si="492"/>
        <v/>
      </c>
      <c r="DW27" s="106" t="str">
        <f t="shared" si="492"/>
        <v/>
      </c>
      <c r="DX27" s="106" t="str">
        <f t="shared" si="492"/>
        <v/>
      </c>
      <c r="DY27" s="106" t="str">
        <f t="shared" si="492"/>
        <v/>
      </c>
      <c r="DZ27" s="107" t="str">
        <f t="shared" si="492"/>
        <v/>
      </c>
      <c r="EA27" s="105" t="str">
        <f t="shared" si="492"/>
        <v/>
      </c>
      <c r="EB27" s="106" t="str">
        <f t="shared" si="492"/>
        <v/>
      </c>
      <c r="EC27" s="106" t="str">
        <f t="shared" si="492"/>
        <v/>
      </c>
      <c r="ED27" s="106" t="str">
        <f t="shared" si="492"/>
        <v/>
      </c>
      <c r="EE27" s="106" t="str">
        <f t="shared" si="492"/>
        <v/>
      </c>
      <c r="EF27" s="106" t="str">
        <f t="shared" si="492"/>
        <v/>
      </c>
      <c r="EG27" s="106" t="str">
        <f t="shared" si="492"/>
        <v/>
      </c>
      <c r="EH27" s="106" t="str">
        <f t="shared" si="492"/>
        <v/>
      </c>
      <c r="EI27" s="106" t="str">
        <f t="shared" si="492"/>
        <v/>
      </c>
      <c r="EJ27" s="106" t="str">
        <f t="shared" si="492"/>
        <v/>
      </c>
      <c r="EK27" s="106" t="str">
        <f t="shared" si="492"/>
        <v/>
      </c>
      <c r="EL27" s="106" t="str">
        <f t="shared" si="492"/>
        <v/>
      </c>
      <c r="EM27" s="106" t="str">
        <f t="shared" si="492"/>
        <v/>
      </c>
      <c r="EN27" s="106" t="str">
        <f t="shared" si="492"/>
        <v/>
      </c>
      <c r="EO27" s="106" t="str">
        <f t="shared" si="492"/>
        <v/>
      </c>
      <c r="EP27" s="106" t="str">
        <f t="shared" si="492"/>
        <v/>
      </c>
      <c r="EQ27" s="106" t="str">
        <f t="shared" si="492"/>
        <v/>
      </c>
      <c r="ER27" s="106" t="str">
        <f t="shared" si="492"/>
        <v/>
      </c>
      <c r="ES27" s="106" t="str">
        <f t="shared" si="492"/>
        <v/>
      </c>
      <c r="ET27" s="107" t="str">
        <f t="shared" si="492"/>
        <v/>
      </c>
      <c r="EU27" s="105" t="str">
        <f t="shared" si="492"/>
        <v/>
      </c>
      <c r="EV27" s="106" t="str">
        <f t="shared" si="492"/>
        <v/>
      </c>
      <c r="EW27" s="106" t="str">
        <f t="shared" si="492"/>
        <v/>
      </c>
      <c r="EX27" s="106" t="str">
        <f t="shared" si="492"/>
        <v/>
      </c>
      <c r="EY27" s="106" t="str">
        <f t="shared" si="492"/>
        <v/>
      </c>
      <c r="EZ27" s="106" t="str">
        <f t="shared" si="492"/>
        <v/>
      </c>
      <c r="FA27" s="106" t="str">
        <f t="shared" si="492"/>
        <v/>
      </c>
      <c r="FB27" s="106" t="str">
        <f t="shared" si="492"/>
        <v/>
      </c>
      <c r="FC27" s="106" t="str">
        <f t="shared" ref="FC27:HN27" si="493">IFERROR(IF(FC19&gt;FC7,ABS(FC19-FC7)/ABS(FC7),-ABS(FC19-FC7)/ABS(FC7)),"")</f>
        <v/>
      </c>
      <c r="FD27" s="106" t="str">
        <f t="shared" si="493"/>
        <v/>
      </c>
      <c r="FE27" s="106" t="str">
        <f t="shared" si="493"/>
        <v/>
      </c>
      <c r="FF27" s="106" t="str">
        <f t="shared" si="493"/>
        <v/>
      </c>
      <c r="FG27" s="106" t="str">
        <f t="shared" si="493"/>
        <v/>
      </c>
      <c r="FH27" s="106" t="str">
        <f t="shared" si="493"/>
        <v/>
      </c>
      <c r="FI27" s="106" t="str">
        <f t="shared" si="493"/>
        <v/>
      </c>
      <c r="FJ27" s="106" t="str">
        <f t="shared" si="493"/>
        <v/>
      </c>
      <c r="FK27" s="106" t="str">
        <f t="shared" si="493"/>
        <v/>
      </c>
      <c r="FL27" s="106" t="str">
        <f t="shared" si="493"/>
        <v/>
      </c>
      <c r="FM27" s="106" t="str">
        <f t="shared" si="493"/>
        <v/>
      </c>
      <c r="FN27" s="107" t="str">
        <f t="shared" si="493"/>
        <v/>
      </c>
      <c r="FO27" s="105" t="str">
        <f t="shared" si="493"/>
        <v/>
      </c>
      <c r="FP27" s="106" t="str">
        <f t="shared" si="493"/>
        <v/>
      </c>
      <c r="FQ27" s="106" t="str">
        <f t="shared" si="493"/>
        <v/>
      </c>
      <c r="FR27" s="106" t="str">
        <f t="shared" si="493"/>
        <v/>
      </c>
      <c r="FS27" s="106" t="str">
        <f t="shared" si="493"/>
        <v/>
      </c>
      <c r="FT27" s="106" t="str">
        <f t="shared" si="493"/>
        <v/>
      </c>
      <c r="FU27" s="106" t="str">
        <f t="shared" si="493"/>
        <v/>
      </c>
      <c r="FV27" s="106" t="str">
        <f t="shared" si="493"/>
        <v/>
      </c>
      <c r="FW27" s="106" t="str">
        <f t="shared" si="493"/>
        <v/>
      </c>
      <c r="FX27" s="106" t="str">
        <f t="shared" si="493"/>
        <v/>
      </c>
      <c r="FY27" s="106" t="str">
        <f t="shared" si="493"/>
        <v/>
      </c>
      <c r="FZ27" s="106" t="str">
        <f t="shared" si="493"/>
        <v/>
      </c>
      <c r="GA27" s="106" t="str">
        <f t="shared" si="493"/>
        <v/>
      </c>
      <c r="GB27" s="106" t="str">
        <f t="shared" si="493"/>
        <v/>
      </c>
      <c r="GC27" s="106" t="str">
        <f t="shared" si="493"/>
        <v/>
      </c>
      <c r="GD27" s="106" t="str">
        <f t="shared" si="493"/>
        <v/>
      </c>
      <c r="GE27" s="106" t="str">
        <f t="shared" si="493"/>
        <v/>
      </c>
      <c r="GF27" s="106" t="str">
        <f t="shared" si="493"/>
        <v/>
      </c>
      <c r="GG27" s="106" t="str">
        <f t="shared" si="493"/>
        <v/>
      </c>
      <c r="GH27" s="107" t="str">
        <f t="shared" si="493"/>
        <v/>
      </c>
      <c r="GI27" s="105" t="str">
        <f t="shared" si="493"/>
        <v/>
      </c>
      <c r="GJ27" s="106" t="str">
        <f t="shared" si="493"/>
        <v/>
      </c>
      <c r="GK27" s="106" t="str">
        <f t="shared" si="493"/>
        <v/>
      </c>
      <c r="GL27" s="106" t="str">
        <f t="shared" si="493"/>
        <v/>
      </c>
      <c r="GM27" s="106" t="str">
        <f t="shared" si="493"/>
        <v/>
      </c>
      <c r="GN27" s="106" t="str">
        <f t="shared" si="493"/>
        <v/>
      </c>
      <c r="GO27" s="106" t="str">
        <f t="shared" si="493"/>
        <v/>
      </c>
      <c r="GP27" s="106" t="str">
        <f t="shared" si="493"/>
        <v/>
      </c>
      <c r="GQ27" s="106" t="str">
        <f t="shared" si="493"/>
        <v/>
      </c>
      <c r="GR27" s="106" t="str">
        <f t="shared" si="493"/>
        <v/>
      </c>
      <c r="GS27" s="106" t="str">
        <f t="shared" si="493"/>
        <v/>
      </c>
      <c r="GT27" s="106" t="str">
        <f t="shared" si="493"/>
        <v/>
      </c>
      <c r="GU27" s="106" t="str">
        <f t="shared" si="493"/>
        <v/>
      </c>
      <c r="GV27" s="106" t="str">
        <f t="shared" si="493"/>
        <v/>
      </c>
      <c r="GW27" s="106" t="str">
        <f t="shared" si="493"/>
        <v/>
      </c>
      <c r="GX27" s="106" t="str">
        <f t="shared" si="493"/>
        <v/>
      </c>
      <c r="GY27" s="106" t="str">
        <f t="shared" si="493"/>
        <v/>
      </c>
      <c r="GZ27" s="106" t="str">
        <f t="shared" si="493"/>
        <v/>
      </c>
      <c r="HA27" s="106" t="str">
        <f t="shared" si="493"/>
        <v/>
      </c>
      <c r="HB27" s="107" t="str">
        <f t="shared" si="493"/>
        <v/>
      </c>
      <c r="HC27" s="105">
        <f t="shared" si="493"/>
        <v>0.48213559573862563</v>
      </c>
      <c r="HD27" s="106" t="str">
        <f t="shared" si="493"/>
        <v/>
      </c>
      <c r="HE27" s="106" t="str">
        <f t="shared" si="493"/>
        <v/>
      </c>
      <c r="HF27" s="106" t="str">
        <f t="shared" si="493"/>
        <v/>
      </c>
      <c r="HG27" s="106" t="str">
        <f t="shared" si="493"/>
        <v/>
      </c>
      <c r="HH27" s="106" t="str">
        <f t="shared" si="493"/>
        <v/>
      </c>
      <c r="HI27" s="106" t="str">
        <f t="shared" si="493"/>
        <v/>
      </c>
      <c r="HJ27" s="106" t="str">
        <f t="shared" si="493"/>
        <v/>
      </c>
      <c r="HK27" s="106" t="str">
        <f t="shared" si="493"/>
        <v/>
      </c>
      <c r="HL27" s="106" t="str">
        <f t="shared" si="493"/>
        <v/>
      </c>
      <c r="HM27" s="106" t="str">
        <f t="shared" si="493"/>
        <v/>
      </c>
      <c r="HN27" s="106" t="str">
        <f t="shared" si="493"/>
        <v/>
      </c>
      <c r="HO27" s="106" t="str">
        <f t="shared" ref="HO27:JZ27" si="494">IFERROR(IF(HO19&gt;HO7,ABS(HO19-HO7)/ABS(HO7),-ABS(HO19-HO7)/ABS(HO7)),"")</f>
        <v/>
      </c>
      <c r="HP27" s="106" t="str">
        <f t="shared" si="494"/>
        <v/>
      </c>
      <c r="HQ27" s="106" t="str">
        <f t="shared" si="494"/>
        <v/>
      </c>
      <c r="HR27" s="106" t="str">
        <f t="shared" si="494"/>
        <v/>
      </c>
      <c r="HS27" s="106" t="str">
        <f t="shared" si="494"/>
        <v/>
      </c>
      <c r="HT27" s="106" t="str">
        <f t="shared" si="494"/>
        <v/>
      </c>
      <c r="HU27" s="106" t="str">
        <f t="shared" si="494"/>
        <v/>
      </c>
      <c r="HV27" s="107" t="str">
        <f t="shared" si="494"/>
        <v/>
      </c>
      <c r="HW27" s="105">
        <f t="shared" si="494"/>
        <v>0.11605274409395347</v>
      </c>
      <c r="HX27" s="106" t="str">
        <f t="shared" si="494"/>
        <v/>
      </c>
      <c r="HY27" s="106" t="str">
        <f t="shared" si="494"/>
        <v/>
      </c>
      <c r="HZ27" s="106" t="str">
        <f t="shared" si="494"/>
        <v/>
      </c>
      <c r="IA27" s="106" t="str">
        <f t="shared" si="494"/>
        <v/>
      </c>
      <c r="IB27" s="106" t="str">
        <f t="shared" si="494"/>
        <v/>
      </c>
      <c r="IC27" s="106" t="str">
        <f t="shared" si="494"/>
        <v/>
      </c>
      <c r="ID27" s="106" t="str">
        <f t="shared" si="494"/>
        <v/>
      </c>
      <c r="IE27" s="106" t="str">
        <f t="shared" si="494"/>
        <v/>
      </c>
      <c r="IF27" s="106" t="str">
        <f t="shared" si="494"/>
        <v/>
      </c>
      <c r="IG27" s="106" t="str">
        <f t="shared" si="494"/>
        <v/>
      </c>
      <c r="IH27" s="106" t="str">
        <f t="shared" si="494"/>
        <v/>
      </c>
      <c r="II27" s="106" t="str">
        <f t="shared" si="494"/>
        <v/>
      </c>
      <c r="IJ27" s="106" t="str">
        <f t="shared" si="494"/>
        <v/>
      </c>
      <c r="IK27" s="106" t="str">
        <f t="shared" si="494"/>
        <v/>
      </c>
      <c r="IL27" s="106" t="str">
        <f t="shared" si="494"/>
        <v/>
      </c>
      <c r="IM27" s="106" t="str">
        <f t="shared" si="494"/>
        <v/>
      </c>
      <c r="IN27" s="106" t="str">
        <f t="shared" si="494"/>
        <v/>
      </c>
      <c r="IO27" s="106" t="str">
        <f t="shared" si="494"/>
        <v/>
      </c>
      <c r="IP27" s="107" t="str">
        <f t="shared" si="494"/>
        <v/>
      </c>
      <c r="IQ27" s="105">
        <f t="shared" si="494"/>
        <v>0.1813257428053057</v>
      </c>
      <c r="IR27" s="106" t="str">
        <f t="shared" si="494"/>
        <v/>
      </c>
      <c r="IS27" s="106" t="str">
        <f t="shared" si="494"/>
        <v/>
      </c>
      <c r="IT27" s="106" t="str">
        <f t="shared" si="494"/>
        <v/>
      </c>
      <c r="IU27" s="106" t="str">
        <f t="shared" si="494"/>
        <v/>
      </c>
      <c r="IV27" s="106" t="str">
        <f t="shared" si="494"/>
        <v/>
      </c>
      <c r="IW27" s="106" t="str">
        <f t="shared" si="494"/>
        <v/>
      </c>
      <c r="IX27" s="106" t="str">
        <f t="shared" si="494"/>
        <v/>
      </c>
      <c r="IY27" s="106" t="str">
        <f t="shared" si="494"/>
        <v/>
      </c>
      <c r="IZ27" s="106" t="str">
        <f t="shared" si="494"/>
        <v/>
      </c>
      <c r="JA27" s="106" t="str">
        <f t="shared" si="494"/>
        <v/>
      </c>
      <c r="JB27" s="106" t="str">
        <f t="shared" si="494"/>
        <v/>
      </c>
      <c r="JC27" s="106" t="str">
        <f t="shared" si="494"/>
        <v/>
      </c>
      <c r="JD27" s="106" t="str">
        <f t="shared" si="494"/>
        <v/>
      </c>
      <c r="JE27" s="106" t="str">
        <f t="shared" si="494"/>
        <v/>
      </c>
      <c r="JF27" s="106" t="str">
        <f t="shared" si="494"/>
        <v/>
      </c>
      <c r="JG27" s="106" t="str">
        <f t="shared" si="494"/>
        <v/>
      </c>
      <c r="JH27" s="106" t="str">
        <f t="shared" si="494"/>
        <v/>
      </c>
      <c r="JI27" s="106" t="str">
        <f t="shared" si="494"/>
        <v/>
      </c>
      <c r="JJ27" s="107" t="str">
        <f t="shared" si="494"/>
        <v/>
      </c>
      <c r="JK27" s="105">
        <f t="shared" si="494"/>
        <v>0.93816111376343048</v>
      </c>
      <c r="JL27" s="106" t="str">
        <f t="shared" si="494"/>
        <v/>
      </c>
      <c r="JM27" s="106" t="str">
        <f t="shared" si="494"/>
        <v/>
      </c>
      <c r="JN27" s="106" t="str">
        <f t="shared" si="494"/>
        <v/>
      </c>
      <c r="JO27" s="106" t="str">
        <f t="shared" si="494"/>
        <v/>
      </c>
      <c r="JP27" s="106" t="str">
        <f t="shared" si="494"/>
        <v/>
      </c>
      <c r="JQ27" s="106" t="str">
        <f t="shared" si="494"/>
        <v/>
      </c>
      <c r="JR27" s="106" t="str">
        <f t="shared" si="494"/>
        <v/>
      </c>
      <c r="JS27" s="106" t="str">
        <f t="shared" si="494"/>
        <v/>
      </c>
      <c r="JT27" s="106" t="str">
        <f t="shared" si="494"/>
        <v/>
      </c>
      <c r="JU27" s="106" t="str">
        <f t="shared" si="494"/>
        <v/>
      </c>
      <c r="JV27" s="106" t="str">
        <f t="shared" si="494"/>
        <v/>
      </c>
      <c r="JW27" s="106" t="str">
        <f t="shared" si="494"/>
        <v/>
      </c>
      <c r="JX27" s="106" t="str">
        <f t="shared" si="494"/>
        <v/>
      </c>
      <c r="JY27" s="106" t="str">
        <f t="shared" si="494"/>
        <v/>
      </c>
      <c r="JZ27" s="106" t="str">
        <f t="shared" si="494"/>
        <v/>
      </c>
      <c r="KA27" s="106" t="str">
        <f t="shared" ref="KA27:ML27" si="495">IFERROR(IF(KA19&gt;KA7,ABS(KA19-KA7)/ABS(KA7),-ABS(KA19-KA7)/ABS(KA7)),"")</f>
        <v/>
      </c>
      <c r="KB27" s="106" t="str">
        <f t="shared" si="495"/>
        <v/>
      </c>
      <c r="KC27" s="106" t="str">
        <f t="shared" si="495"/>
        <v/>
      </c>
      <c r="KD27" s="107" t="str">
        <f t="shared" si="495"/>
        <v/>
      </c>
      <c r="KE27" s="105">
        <f t="shared" si="495"/>
        <v>1.0223210499081323</v>
      </c>
      <c r="KF27" s="106" t="str">
        <f t="shared" si="495"/>
        <v/>
      </c>
      <c r="KG27" s="106" t="str">
        <f t="shared" si="495"/>
        <v/>
      </c>
      <c r="KH27" s="106" t="str">
        <f t="shared" si="495"/>
        <v/>
      </c>
      <c r="KI27" s="106" t="str">
        <f t="shared" si="495"/>
        <v/>
      </c>
      <c r="KJ27" s="106" t="str">
        <f t="shared" si="495"/>
        <v/>
      </c>
      <c r="KK27" s="106" t="str">
        <f t="shared" si="495"/>
        <v/>
      </c>
      <c r="KL27" s="106" t="str">
        <f t="shared" si="495"/>
        <v/>
      </c>
      <c r="KM27" s="106" t="str">
        <f t="shared" si="495"/>
        <v/>
      </c>
      <c r="KN27" s="106" t="str">
        <f t="shared" si="495"/>
        <v/>
      </c>
      <c r="KO27" s="106" t="str">
        <f t="shared" si="495"/>
        <v/>
      </c>
      <c r="KP27" s="106" t="str">
        <f t="shared" si="495"/>
        <v/>
      </c>
      <c r="KQ27" s="106" t="str">
        <f t="shared" si="495"/>
        <v/>
      </c>
      <c r="KR27" s="106" t="str">
        <f t="shared" si="495"/>
        <v/>
      </c>
      <c r="KS27" s="106" t="str">
        <f t="shared" si="495"/>
        <v/>
      </c>
      <c r="KT27" s="106" t="str">
        <f t="shared" si="495"/>
        <v/>
      </c>
      <c r="KU27" s="106" t="str">
        <f t="shared" si="495"/>
        <v/>
      </c>
      <c r="KV27" s="106" t="str">
        <f t="shared" si="495"/>
        <v/>
      </c>
      <c r="KW27" s="106" t="str">
        <f t="shared" si="495"/>
        <v/>
      </c>
      <c r="KX27" s="107" t="str">
        <f t="shared" si="495"/>
        <v/>
      </c>
      <c r="KY27" s="105">
        <f t="shared" si="495"/>
        <v>-0.32275780152061656</v>
      </c>
      <c r="KZ27" s="106" t="str">
        <f t="shared" si="495"/>
        <v/>
      </c>
      <c r="LA27" s="106" t="str">
        <f t="shared" si="495"/>
        <v/>
      </c>
      <c r="LB27" s="106" t="str">
        <f t="shared" si="495"/>
        <v/>
      </c>
      <c r="LC27" s="106" t="str">
        <f t="shared" si="495"/>
        <v/>
      </c>
      <c r="LD27" s="106" t="str">
        <f t="shared" si="495"/>
        <v/>
      </c>
      <c r="LE27" s="106" t="str">
        <f t="shared" si="495"/>
        <v/>
      </c>
      <c r="LF27" s="106" t="str">
        <f t="shared" si="495"/>
        <v/>
      </c>
      <c r="LG27" s="106" t="str">
        <f t="shared" si="495"/>
        <v/>
      </c>
      <c r="LH27" s="106" t="str">
        <f t="shared" si="495"/>
        <v/>
      </c>
      <c r="LI27" s="106" t="str">
        <f t="shared" si="495"/>
        <v/>
      </c>
      <c r="LJ27" s="106" t="str">
        <f t="shared" si="495"/>
        <v/>
      </c>
      <c r="LK27" s="106" t="str">
        <f t="shared" si="495"/>
        <v/>
      </c>
      <c r="LL27" s="106" t="str">
        <f t="shared" si="495"/>
        <v/>
      </c>
      <c r="LM27" s="106" t="str">
        <f t="shared" si="495"/>
        <v/>
      </c>
      <c r="LN27" s="106" t="str">
        <f t="shared" si="495"/>
        <v/>
      </c>
      <c r="LO27" s="106" t="str">
        <f t="shared" si="495"/>
        <v/>
      </c>
      <c r="LP27" s="106" t="str">
        <f t="shared" si="495"/>
        <v/>
      </c>
      <c r="LQ27" s="106" t="str">
        <f t="shared" si="495"/>
        <v/>
      </c>
      <c r="LR27" s="107" t="str">
        <f t="shared" si="495"/>
        <v/>
      </c>
      <c r="LS27" s="105">
        <f t="shared" si="495"/>
        <v>-3.1934722690408708E-2</v>
      </c>
      <c r="LT27" s="106" t="str">
        <f t="shared" si="495"/>
        <v/>
      </c>
      <c r="LU27" s="106" t="str">
        <f t="shared" si="495"/>
        <v/>
      </c>
      <c r="LV27" s="106" t="str">
        <f t="shared" si="495"/>
        <v/>
      </c>
      <c r="LW27" s="106" t="str">
        <f t="shared" si="495"/>
        <v/>
      </c>
      <c r="LX27" s="106" t="str">
        <f t="shared" si="495"/>
        <v/>
      </c>
      <c r="LY27" s="106" t="str">
        <f t="shared" si="495"/>
        <v/>
      </c>
      <c r="LZ27" s="106" t="str">
        <f t="shared" si="495"/>
        <v/>
      </c>
      <c r="MA27" s="106" t="str">
        <f t="shared" si="495"/>
        <v/>
      </c>
      <c r="MB27" s="106" t="str">
        <f t="shared" si="495"/>
        <v/>
      </c>
      <c r="MC27" s="106" t="str">
        <f t="shared" si="495"/>
        <v/>
      </c>
      <c r="MD27" s="319" t="str">
        <f t="shared" si="495"/>
        <v/>
      </c>
      <c r="ME27" s="106" t="str">
        <f t="shared" si="495"/>
        <v/>
      </c>
      <c r="MF27" s="106" t="str">
        <f t="shared" si="495"/>
        <v/>
      </c>
      <c r="MG27" s="106" t="str">
        <f t="shared" si="495"/>
        <v/>
      </c>
      <c r="MH27" s="106" t="str">
        <f t="shared" si="495"/>
        <v/>
      </c>
      <c r="MI27" s="106" t="str">
        <f t="shared" si="495"/>
        <v/>
      </c>
      <c r="MJ27" s="106" t="str">
        <f t="shared" si="495"/>
        <v/>
      </c>
      <c r="MK27" s="106" t="str">
        <f t="shared" si="495"/>
        <v/>
      </c>
      <c r="ML27" s="107" t="str">
        <f t="shared" si="495"/>
        <v/>
      </c>
      <c r="MM27" s="105" t="str">
        <f t="shared" ref="MM27:OX27" si="496">IFERROR(IF(MM19&gt;MM7,ABS(MM19-MM7)/ABS(MM7),-ABS(MM19-MM7)/ABS(MM7)),"")</f>
        <v/>
      </c>
      <c r="MN27" s="106" t="str">
        <f t="shared" si="496"/>
        <v/>
      </c>
      <c r="MO27" s="106" t="str">
        <f t="shared" si="496"/>
        <v/>
      </c>
      <c r="MP27" s="106" t="str">
        <f t="shared" si="496"/>
        <v/>
      </c>
      <c r="MQ27" s="106" t="str">
        <f t="shared" si="496"/>
        <v/>
      </c>
      <c r="MR27" s="106" t="str">
        <f t="shared" si="496"/>
        <v/>
      </c>
      <c r="MS27" s="106" t="str">
        <f t="shared" si="496"/>
        <v/>
      </c>
      <c r="MT27" s="106" t="str">
        <f t="shared" si="496"/>
        <v/>
      </c>
      <c r="MU27" s="106" t="str">
        <f t="shared" si="496"/>
        <v/>
      </c>
      <c r="MV27" s="106" t="str">
        <f t="shared" si="496"/>
        <v/>
      </c>
      <c r="MW27" s="106" t="str">
        <f t="shared" si="496"/>
        <v/>
      </c>
      <c r="MX27" s="106" t="str">
        <f t="shared" si="496"/>
        <v/>
      </c>
      <c r="MY27" s="106" t="str">
        <f t="shared" si="496"/>
        <v/>
      </c>
      <c r="MZ27" s="106" t="str">
        <f t="shared" si="496"/>
        <v/>
      </c>
      <c r="NA27" s="106" t="str">
        <f t="shared" si="496"/>
        <v/>
      </c>
      <c r="NB27" s="106" t="str">
        <f t="shared" si="496"/>
        <v/>
      </c>
      <c r="NC27" s="106" t="str">
        <f t="shared" si="496"/>
        <v/>
      </c>
      <c r="ND27" s="106" t="str">
        <f t="shared" si="496"/>
        <v/>
      </c>
      <c r="NE27" s="106" t="str">
        <f t="shared" si="496"/>
        <v/>
      </c>
      <c r="NF27" s="107" t="str">
        <f t="shared" si="496"/>
        <v/>
      </c>
      <c r="NG27" s="105" t="str">
        <f t="shared" si="496"/>
        <v/>
      </c>
      <c r="NH27" s="106" t="str">
        <f t="shared" si="496"/>
        <v/>
      </c>
      <c r="NI27" s="106" t="str">
        <f t="shared" si="496"/>
        <v/>
      </c>
      <c r="NJ27" s="106" t="str">
        <f t="shared" si="496"/>
        <v/>
      </c>
      <c r="NK27" s="106" t="str">
        <f t="shared" si="496"/>
        <v/>
      </c>
      <c r="NL27" s="106" t="str">
        <f t="shared" si="496"/>
        <v/>
      </c>
      <c r="NM27" s="106" t="str">
        <f t="shared" si="496"/>
        <v/>
      </c>
      <c r="NN27" s="106" t="str">
        <f t="shared" si="496"/>
        <v/>
      </c>
      <c r="NO27" s="106" t="str">
        <f t="shared" si="496"/>
        <v/>
      </c>
      <c r="NP27" s="106" t="str">
        <f t="shared" si="496"/>
        <v/>
      </c>
      <c r="NQ27" s="106" t="str">
        <f t="shared" si="496"/>
        <v/>
      </c>
      <c r="NR27" s="319" t="str">
        <f t="shared" si="496"/>
        <v/>
      </c>
      <c r="NS27" s="106" t="str">
        <f t="shared" si="496"/>
        <v/>
      </c>
      <c r="NT27" s="106" t="str">
        <f t="shared" si="496"/>
        <v/>
      </c>
      <c r="NU27" s="106" t="str">
        <f t="shared" si="496"/>
        <v/>
      </c>
      <c r="NV27" s="106" t="str">
        <f t="shared" si="496"/>
        <v/>
      </c>
      <c r="NW27" s="106" t="str">
        <f t="shared" si="496"/>
        <v/>
      </c>
      <c r="NX27" s="106" t="str">
        <f t="shared" si="496"/>
        <v/>
      </c>
      <c r="NY27" s="106" t="str">
        <f t="shared" si="496"/>
        <v/>
      </c>
      <c r="NZ27" s="107" t="str">
        <f t="shared" si="496"/>
        <v/>
      </c>
      <c r="OA27" s="105" t="str">
        <f t="shared" si="496"/>
        <v/>
      </c>
      <c r="OB27" s="106" t="str">
        <f t="shared" si="496"/>
        <v/>
      </c>
      <c r="OC27" s="106" t="str">
        <f t="shared" si="496"/>
        <v/>
      </c>
      <c r="OD27" s="106" t="str">
        <f t="shared" si="496"/>
        <v/>
      </c>
      <c r="OE27" s="106" t="str">
        <f t="shared" si="496"/>
        <v/>
      </c>
      <c r="OF27" s="106" t="str">
        <f t="shared" si="496"/>
        <v/>
      </c>
      <c r="OG27" s="106" t="str">
        <f t="shared" si="496"/>
        <v/>
      </c>
      <c r="OH27" s="106" t="str">
        <f t="shared" si="496"/>
        <v/>
      </c>
      <c r="OI27" s="106" t="str">
        <f t="shared" si="496"/>
        <v/>
      </c>
      <c r="OJ27" s="106" t="str">
        <f t="shared" si="496"/>
        <v/>
      </c>
      <c r="OK27" s="106" t="str">
        <f t="shared" si="496"/>
        <v/>
      </c>
      <c r="OL27" s="319" t="str">
        <f t="shared" si="496"/>
        <v/>
      </c>
      <c r="OM27" s="106" t="str">
        <f t="shared" si="496"/>
        <v/>
      </c>
      <c r="ON27" s="106" t="str">
        <f t="shared" si="496"/>
        <v/>
      </c>
      <c r="OO27" s="106" t="str">
        <f t="shared" si="496"/>
        <v/>
      </c>
      <c r="OP27" s="106" t="str">
        <f t="shared" si="496"/>
        <v/>
      </c>
      <c r="OQ27" s="106" t="str">
        <f t="shared" si="496"/>
        <v/>
      </c>
      <c r="OR27" s="106" t="str">
        <f t="shared" si="496"/>
        <v/>
      </c>
      <c r="OS27" s="106" t="str">
        <f t="shared" si="496"/>
        <v/>
      </c>
      <c r="OT27" s="107" t="str">
        <f t="shared" si="496"/>
        <v/>
      </c>
      <c r="OU27" s="105" t="str">
        <f t="shared" si="496"/>
        <v/>
      </c>
      <c r="OV27" s="106" t="str">
        <f t="shared" si="496"/>
        <v/>
      </c>
      <c r="OW27" s="106" t="str">
        <f t="shared" si="496"/>
        <v/>
      </c>
      <c r="OX27" s="106" t="str">
        <f t="shared" si="496"/>
        <v/>
      </c>
      <c r="OY27" s="106" t="str">
        <f t="shared" ref="OY27:RJ27" si="497">IFERROR(IF(OY19&gt;OY7,ABS(OY19-OY7)/ABS(OY7),-ABS(OY19-OY7)/ABS(OY7)),"")</f>
        <v/>
      </c>
      <c r="OZ27" s="106" t="str">
        <f t="shared" si="497"/>
        <v/>
      </c>
      <c r="PA27" s="106" t="str">
        <f t="shared" si="497"/>
        <v/>
      </c>
      <c r="PB27" s="106" t="str">
        <f t="shared" si="497"/>
        <v/>
      </c>
      <c r="PC27" s="106" t="str">
        <f t="shared" si="497"/>
        <v/>
      </c>
      <c r="PD27" s="106" t="str">
        <f t="shared" si="497"/>
        <v/>
      </c>
      <c r="PE27" s="106" t="str">
        <f t="shared" si="497"/>
        <v/>
      </c>
      <c r="PF27" s="319" t="str">
        <f t="shared" si="497"/>
        <v/>
      </c>
      <c r="PG27" s="106" t="str">
        <f t="shared" si="497"/>
        <v/>
      </c>
      <c r="PH27" s="106" t="str">
        <f t="shared" si="497"/>
        <v/>
      </c>
      <c r="PI27" s="106" t="str">
        <f t="shared" si="497"/>
        <v/>
      </c>
      <c r="PJ27" s="106" t="str">
        <f t="shared" si="497"/>
        <v/>
      </c>
      <c r="PK27" s="106" t="str">
        <f t="shared" si="497"/>
        <v/>
      </c>
      <c r="PL27" s="106" t="str">
        <f t="shared" si="497"/>
        <v/>
      </c>
      <c r="PM27" s="106" t="str">
        <f t="shared" si="497"/>
        <v/>
      </c>
      <c r="PN27" s="107" t="str">
        <f t="shared" si="497"/>
        <v/>
      </c>
      <c r="PO27" s="105">
        <f t="shared" si="497"/>
        <v>26.878079055516626</v>
      </c>
      <c r="PP27" s="106" t="str">
        <f t="shared" si="497"/>
        <v/>
      </c>
      <c r="PQ27" s="106" t="str">
        <f t="shared" si="497"/>
        <v/>
      </c>
      <c r="PR27" s="106" t="str">
        <f t="shared" si="497"/>
        <v/>
      </c>
      <c r="PS27" s="106" t="str">
        <f t="shared" si="497"/>
        <v/>
      </c>
      <c r="PT27" s="106" t="str">
        <f t="shared" si="497"/>
        <v/>
      </c>
      <c r="PU27" s="106" t="str">
        <f t="shared" si="497"/>
        <v/>
      </c>
      <c r="PV27" s="106" t="str">
        <f t="shared" si="497"/>
        <v/>
      </c>
      <c r="PW27" s="106" t="str">
        <f t="shared" si="497"/>
        <v/>
      </c>
      <c r="PX27" s="106" t="str">
        <f t="shared" si="497"/>
        <v/>
      </c>
      <c r="PY27" s="106" t="str">
        <f t="shared" si="497"/>
        <v/>
      </c>
      <c r="PZ27" s="106" t="str">
        <f t="shared" si="497"/>
        <v/>
      </c>
      <c r="QA27" s="106" t="str">
        <f t="shared" si="497"/>
        <v/>
      </c>
      <c r="QB27" s="106" t="str">
        <f t="shared" si="497"/>
        <v/>
      </c>
      <c r="QC27" s="106" t="str">
        <f t="shared" si="497"/>
        <v/>
      </c>
      <c r="QD27" s="106" t="str">
        <f t="shared" si="497"/>
        <v/>
      </c>
      <c r="QE27" s="106" t="str">
        <f t="shared" si="497"/>
        <v/>
      </c>
      <c r="QF27" s="106" t="str">
        <f t="shared" si="497"/>
        <v/>
      </c>
      <c r="QG27" s="106" t="str">
        <f t="shared" si="497"/>
        <v/>
      </c>
      <c r="QH27" s="107" t="str">
        <f t="shared" si="497"/>
        <v/>
      </c>
      <c r="QI27" s="105" t="str">
        <f t="shared" si="497"/>
        <v/>
      </c>
      <c r="QJ27" s="106" t="str">
        <f t="shared" si="497"/>
        <v/>
      </c>
      <c r="QK27" s="106" t="str">
        <f t="shared" si="497"/>
        <v/>
      </c>
      <c r="QL27" s="106" t="str">
        <f t="shared" si="497"/>
        <v/>
      </c>
      <c r="QM27" s="106" t="str">
        <f t="shared" si="497"/>
        <v/>
      </c>
      <c r="QN27" s="106" t="str">
        <f t="shared" si="497"/>
        <v/>
      </c>
      <c r="QO27" s="106" t="str">
        <f t="shared" si="497"/>
        <v/>
      </c>
      <c r="QP27" s="106" t="str">
        <f t="shared" si="497"/>
        <v/>
      </c>
      <c r="QQ27" s="106" t="str">
        <f t="shared" si="497"/>
        <v/>
      </c>
      <c r="QR27" s="106" t="str">
        <f t="shared" si="497"/>
        <v/>
      </c>
      <c r="QS27" s="106" t="str">
        <f t="shared" si="497"/>
        <v/>
      </c>
      <c r="QT27" s="106" t="str">
        <f t="shared" si="497"/>
        <v/>
      </c>
      <c r="QU27" s="106" t="str">
        <f t="shared" si="497"/>
        <v/>
      </c>
      <c r="QV27" s="106" t="str">
        <f t="shared" si="497"/>
        <v/>
      </c>
      <c r="QW27" s="106" t="str">
        <f t="shared" si="497"/>
        <v/>
      </c>
      <c r="QX27" s="106" t="str">
        <f t="shared" si="497"/>
        <v/>
      </c>
      <c r="QY27" s="106" t="str">
        <f t="shared" si="497"/>
        <v/>
      </c>
      <c r="QZ27" s="106" t="str">
        <f t="shared" si="497"/>
        <v/>
      </c>
      <c r="RA27" s="106" t="str">
        <f t="shared" si="497"/>
        <v/>
      </c>
      <c r="RB27" s="107" t="str">
        <f t="shared" si="497"/>
        <v/>
      </c>
      <c r="RC27" s="105" t="str">
        <f t="shared" si="497"/>
        <v/>
      </c>
      <c r="RD27" s="106" t="str">
        <f t="shared" si="497"/>
        <v/>
      </c>
      <c r="RE27" s="106" t="str">
        <f t="shared" si="497"/>
        <v/>
      </c>
      <c r="RF27" s="106" t="str">
        <f t="shared" si="497"/>
        <v/>
      </c>
      <c r="RG27" s="106" t="str">
        <f t="shared" si="497"/>
        <v/>
      </c>
      <c r="RH27" s="106" t="str">
        <f t="shared" si="497"/>
        <v/>
      </c>
      <c r="RI27" s="106" t="str">
        <f t="shared" si="497"/>
        <v/>
      </c>
      <c r="RJ27" s="106" t="str">
        <f t="shared" si="497"/>
        <v/>
      </c>
      <c r="RK27" s="106" t="str">
        <f t="shared" ref="RK27:TV27" si="498">IFERROR(IF(RK19&gt;RK7,ABS(RK19-RK7)/ABS(RK7),-ABS(RK19-RK7)/ABS(RK7)),"")</f>
        <v/>
      </c>
      <c r="RL27" s="106" t="str">
        <f t="shared" si="498"/>
        <v/>
      </c>
      <c r="RM27" s="106" t="str">
        <f t="shared" si="498"/>
        <v/>
      </c>
      <c r="RN27" s="106" t="str">
        <f t="shared" si="498"/>
        <v/>
      </c>
      <c r="RO27" s="106" t="str">
        <f t="shared" si="498"/>
        <v/>
      </c>
      <c r="RP27" s="106" t="str">
        <f t="shared" si="498"/>
        <v/>
      </c>
      <c r="RQ27" s="106" t="str">
        <f t="shared" si="498"/>
        <v/>
      </c>
      <c r="RR27" s="106" t="str">
        <f t="shared" si="498"/>
        <v/>
      </c>
      <c r="RS27" s="106" t="str">
        <f t="shared" si="498"/>
        <v/>
      </c>
      <c r="RT27" s="106" t="str">
        <f t="shared" si="498"/>
        <v/>
      </c>
      <c r="RU27" s="106" t="str">
        <f t="shared" si="498"/>
        <v/>
      </c>
      <c r="RV27" s="107" t="str">
        <f t="shared" si="498"/>
        <v/>
      </c>
      <c r="RW27" s="105" t="str">
        <f t="shared" si="498"/>
        <v/>
      </c>
      <c r="RX27" s="106" t="str">
        <f t="shared" si="498"/>
        <v/>
      </c>
      <c r="RY27" s="106" t="str">
        <f t="shared" si="498"/>
        <v/>
      </c>
      <c r="RZ27" s="106" t="str">
        <f t="shared" si="498"/>
        <v/>
      </c>
      <c r="SA27" s="106" t="str">
        <f t="shared" si="498"/>
        <v/>
      </c>
      <c r="SB27" s="106" t="str">
        <f t="shared" si="498"/>
        <v/>
      </c>
      <c r="SC27" s="106" t="str">
        <f t="shared" si="498"/>
        <v/>
      </c>
      <c r="SD27" s="106" t="str">
        <f t="shared" si="498"/>
        <v/>
      </c>
      <c r="SE27" s="106" t="str">
        <f t="shared" si="498"/>
        <v/>
      </c>
      <c r="SF27" s="106" t="str">
        <f t="shared" si="498"/>
        <v/>
      </c>
      <c r="SG27" s="106" t="str">
        <f t="shared" si="498"/>
        <v/>
      </c>
      <c r="SH27" s="106" t="str">
        <f t="shared" si="498"/>
        <v/>
      </c>
      <c r="SI27" s="106" t="str">
        <f t="shared" si="498"/>
        <v/>
      </c>
      <c r="SJ27" s="106" t="str">
        <f t="shared" si="498"/>
        <v/>
      </c>
      <c r="SK27" s="106" t="str">
        <f t="shared" si="498"/>
        <v/>
      </c>
      <c r="SL27" s="106" t="str">
        <f t="shared" si="498"/>
        <v/>
      </c>
      <c r="SM27" s="106" t="str">
        <f t="shared" si="498"/>
        <v/>
      </c>
      <c r="SN27" s="106" t="str">
        <f t="shared" si="498"/>
        <v/>
      </c>
      <c r="SO27" s="106" t="str">
        <f t="shared" si="498"/>
        <v/>
      </c>
      <c r="SP27" s="107" t="str">
        <f t="shared" si="498"/>
        <v/>
      </c>
      <c r="SQ27" s="105" t="str">
        <f t="shared" si="498"/>
        <v/>
      </c>
      <c r="SR27" s="106" t="str">
        <f t="shared" si="498"/>
        <v/>
      </c>
      <c r="SS27" s="106" t="str">
        <f t="shared" si="498"/>
        <v/>
      </c>
      <c r="ST27" s="106" t="str">
        <f t="shared" si="498"/>
        <v/>
      </c>
      <c r="SU27" s="106" t="str">
        <f t="shared" si="498"/>
        <v/>
      </c>
      <c r="SV27" s="106" t="str">
        <f t="shared" si="498"/>
        <v/>
      </c>
      <c r="SW27" s="106" t="str">
        <f t="shared" si="498"/>
        <v/>
      </c>
      <c r="SX27" s="106" t="str">
        <f t="shared" si="498"/>
        <v/>
      </c>
      <c r="SY27" s="106" t="str">
        <f t="shared" si="498"/>
        <v/>
      </c>
      <c r="SZ27" s="106" t="str">
        <f t="shared" si="498"/>
        <v/>
      </c>
      <c r="TA27" s="106" t="str">
        <f t="shared" si="498"/>
        <v/>
      </c>
      <c r="TB27" s="106" t="str">
        <f t="shared" si="498"/>
        <v/>
      </c>
      <c r="TC27" s="106" t="str">
        <f t="shared" si="498"/>
        <v/>
      </c>
      <c r="TD27" s="106" t="str">
        <f t="shared" si="498"/>
        <v/>
      </c>
      <c r="TE27" s="106" t="str">
        <f t="shared" si="498"/>
        <v/>
      </c>
      <c r="TF27" s="106" t="str">
        <f t="shared" si="498"/>
        <v/>
      </c>
      <c r="TG27" s="106" t="str">
        <f t="shared" si="498"/>
        <v/>
      </c>
      <c r="TH27" s="106" t="str">
        <f t="shared" si="498"/>
        <v/>
      </c>
      <c r="TI27" s="106" t="str">
        <f t="shared" si="498"/>
        <v/>
      </c>
      <c r="TJ27" s="107" t="str">
        <f t="shared" si="498"/>
        <v/>
      </c>
      <c r="TK27" s="105" t="str">
        <f t="shared" si="498"/>
        <v/>
      </c>
      <c r="TL27" s="106" t="str">
        <f t="shared" si="498"/>
        <v/>
      </c>
      <c r="TM27" s="106" t="str">
        <f t="shared" si="498"/>
        <v/>
      </c>
      <c r="TN27" s="106" t="str">
        <f t="shared" si="498"/>
        <v/>
      </c>
      <c r="TO27" s="106" t="str">
        <f t="shared" si="498"/>
        <v/>
      </c>
      <c r="TP27" s="106" t="str">
        <f t="shared" si="498"/>
        <v/>
      </c>
      <c r="TQ27" s="106" t="str">
        <f t="shared" si="498"/>
        <v/>
      </c>
      <c r="TR27" s="106" t="str">
        <f t="shared" si="498"/>
        <v/>
      </c>
      <c r="TS27" s="106" t="str">
        <f t="shared" si="498"/>
        <v/>
      </c>
      <c r="TT27" s="106" t="str">
        <f t="shared" si="498"/>
        <v/>
      </c>
      <c r="TU27" s="106" t="str">
        <f t="shared" si="498"/>
        <v/>
      </c>
      <c r="TV27" s="106" t="str">
        <f t="shared" si="498"/>
        <v/>
      </c>
      <c r="TW27" s="106" t="str">
        <f t="shared" ref="TW27:UX27" si="499">IFERROR(IF(TW19&gt;TW7,ABS(TW19-TW7)/ABS(TW7),-ABS(TW19-TW7)/ABS(TW7)),"")</f>
        <v/>
      </c>
      <c r="TX27" s="106" t="str">
        <f t="shared" si="499"/>
        <v/>
      </c>
      <c r="TY27" s="106" t="str">
        <f t="shared" si="499"/>
        <v/>
      </c>
      <c r="TZ27" s="106" t="str">
        <f t="shared" si="499"/>
        <v/>
      </c>
      <c r="UA27" s="106" t="str">
        <f t="shared" si="499"/>
        <v/>
      </c>
      <c r="UB27" s="106" t="str">
        <f t="shared" si="499"/>
        <v/>
      </c>
      <c r="UC27" s="106" t="str">
        <f t="shared" si="499"/>
        <v/>
      </c>
      <c r="UD27" s="107" t="str">
        <f t="shared" si="499"/>
        <v/>
      </c>
      <c r="UE27" s="105" t="str">
        <f t="shared" si="499"/>
        <v/>
      </c>
      <c r="UF27" s="106" t="str">
        <f t="shared" si="499"/>
        <v/>
      </c>
      <c r="UG27" s="106" t="str">
        <f t="shared" si="499"/>
        <v/>
      </c>
      <c r="UH27" s="106" t="str">
        <f t="shared" si="499"/>
        <v/>
      </c>
      <c r="UI27" s="106" t="str">
        <f t="shared" si="499"/>
        <v/>
      </c>
      <c r="UJ27" s="106" t="str">
        <f t="shared" si="499"/>
        <v/>
      </c>
      <c r="UK27" s="106" t="str">
        <f t="shared" si="499"/>
        <v/>
      </c>
      <c r="UL27" s="106" t="str">
        <f t="shared" si="499"/>
        <v/>
      </c>
      <c r="UM27" s="106" t="str">
        <f t="shared" si="499"/>
        <v/>
      </c>
      <c r="UN27" s="106" t="str">
        <f t="shared" si="499"/>
        <v/>
      </c>
      <c r="UO27" s="106" t="str">
        <f t="shared" si="499"/>
        <v/>
      </c>
      <c r="UP27" s="106" t="str">
        <f t="shared" si="499"/>
        <v/>
      </c>
      <c r="UQ27" s="106" t="str">
        <f t="shared" si="499"/>
        <v/>
      </c>
      <c r="UR27" s="106" t="str">
        <f t="shared" si="499"/>
        <v/>
      </c>
      <c r="US27" s="106" t="str">
        <f t="shared" si="499"/>
        <v/>
      </c>
      <c r="UT27" s="106" t="str">
        <f t="shared" si="499"/>
        <v/>
      </c>
      <c r="UU27" s="106" t="str">
        <f t="shared" si="499"/>
        <v/>
      </c>
      <c r="UV27" s="106" t="str">
        <f t="shared" si="499"/>
        <v/>
      </c>
      <c r="UW27" s="106" t="str">
        <f t="shared" si="499"/>
        <v/>
      </c>
      <c r="UX27" s="107" t="str">
        <f t="shared" si="499"/>
        <v/>
      </c>
    </row>
    <row r="28" spans="1:16344" x14ac:dyDescent="0.2">
      <c r="A28" s="99" t="s">
        <v>80</v>
      </c>
      <c r="B28" s="100"/>
      <c r="C28" s="100"/>
      <c r="D28" s="100"/>
      <c r="E28" s="100"/>
      <c r="F28" s="100"/>
      <c r="G28" s="100">
        <f t="shared" ref="G28:N28" si="500">IFERROR(RANK(G7,G7:G17,0),"")</f>
        <v>2</v>
      </c>
      <c r="H28" s="100">
        <f t="shared" si="500"/>
        <v>2</v>
      </c>
      <c r="I28" s="100" t="str">
        <f t="shared" si="500"/>
        <v/>
      </c>
      <c r="J28" s="100">
        <f t="shared" si="500"/>
        <v>2</v>
      </c>
      <c r="K28" s="100">
        <f t="shared" si="500"/>
        <v>2</v>
      </c>
      <c r="L28" s="100">
        <f t="shared" si="500"/>
        <v>2</v>
      </c>
      <c r="M28" s="100">
        <f t="shared" si="500"/>
        <v>2</v>
      </c>
      <c r="N28" s="100">
        <f t="shared" si="500"/>
        <v>2</v>
      </c>
      <c r="O28" s="100" t="str">
        <f t="shared" ref="O28" si="501">IFERROR(RANK(O7,O7:O17,0),"")</f>
        <v/>
      </c>
      <c r="P28" s="100">
        <f t="shared" ref="P28" si="502">IFERROR(RANK(P7,P7:P17,0),"")</f>
        <v>1</v>
      </c>
      <c r="Q28" s="100">
        <f>IFERROR(RANK(Q7,Q7:Q17,0),"")</f>
        <v>1</v>
      </c>
      <c r="R28" s="100">
        <f>IFERROR(RANK(R7,R7:R17,0),"")</f>
        <v>1</v>
      </c>
      <c r="S28" s="100">
        <f>IFERROR(RANK(S7,S7:S17,0),"")</f>
        <v>1</v>
      </c>
      <c r="T28" s="100">
        <f>IFERROR(RANK(T7,T7:T17,1),"")</f>
        <v>1</v>
      </c>
      <c r="U28" s="100" t="str">
        <f>IFERROR(RANK(U7,U7:U17,1),"")</f>
        <v/>
      </c>
      <c r="V28" s="100" t="str">
        <f>IFERROR(RANK(V7,V7:V17,1),"")</f>
        <v/>
      </c>
      <c r="W28" s="100">
        <f>IFERROR(RANK(W7,W7:W17,1),"")</f>
        <v>1</v>
      </c>
      <c r="X28" s="100" t="str">
        <f>IFERROR(RANK(X7,X7:X17,1),"")</f>
        <v/>
      </c>
      <c r="Y28" s="100">
        <f>IFERROR(RANK(Y7,Y7:Y17,0),"")</f>
        <v>1</v>
      </c>
      <c r="Z28" s="100">
        <f>IFERROR(RANK(Z7,Z7:Z17,1),"")</f>
        <v>1</v>
      </c>
      <c r="AA28" s="100">
        <f>IFERROR(RANK(AA7,AA7:AA17,0),"")</f>
        <v>2</v>
      </c>
      <c r="AB28" s="100">
        <f>IFERROR(RANK(AB7,AB7:AB17,1),"")</f>
        <v>1</v>
      </c>
      <c r="AC28" s="337">
        <f>IFERROR(RANK(AC7,AC7:AC17,0),"")</f>
        <v>2</v>
      </c>
      <c r="AD28" s="334"/>
      <c r="AE28" s="119" t="str">
        <f t="shared" ref="AE28:BJ28" si="503">IFERROR(RANK(AE7,AE7:AE17,0),"")</f>
        <v/>
      </c>
      <c r="AF28" s="120" t="str">
        <f t="shared" si="503"/>
        <v/>
      </c>
      <c r="AG28" s="120" t="str">
        <f t="shared" si="503"/>
        <v/>
      </c>
      <c r="AH28" s="120" t="str">
        <f t="shared" si="503"/>
        <v/>
      </c>
      <c r="AI28" s="120" t="str">
        <f t="shared" si="503"/>
        <v/>
      </c>
      <c r="AJ28" s="120" t="str">
        <f t="shared" si="503"/>
        <v/>
      </c>
      <c r="AK28" s="120" t="str">
        <f t="shared" si="503"/>
        <v/>
      </c>
      <c r="AL28" s="120" t="str">
        <f t="shared" si="503"/>
        <v/>
      </c>
      <c r="AM28" s="120" t="str">
        <f t="shared" si="503"/>
        <v/>
      </c>
      <c r="AN28" s="120" t="str">
        <f t="shared" si="503"/>
        <v/>
      </c>
      <c r="AO28" s="120" t="str">
        <f t="shared" si="503"/>
        <v/>
      </c>
      <c r="AP28" s="120" t="str">
        <f t="shared" si="503"/>
        <v/>
      </c>
      <c r="AQ28" s="120" t="str">
        <f t="shared" si="503"/>
        <v/>
      </c>
      <c r="AR28" s="120" t="str">
        <f t="shared" si="503"/>
        <v/>
      </c>
      <c r="AS28" s="120" t="str">
        <f t="shared" si="503"/>
        <v/>
      </c>
      <c r="AT28" s="120" t="str">
        <f t="shared" si="503"/>
        <v/>
      </c>
      <c r="AU28" s="120" t="str">
        <f t="shared" si="503"/>
        <v/>
      </c>
      <c r="AV28" s="120" t="str">
        <f t="shared" si="503"/>
        <v/>
      </c>
      <c r="AW28" s="120" t="str">
        <f t="shared" si="503"/>
        <v/>
      </c>
      <c r="AX28" s="121" t="str">
        <f t="shared" si="503"/>
        <v/>
      </c>
      <c r="AY28" s="119" t="str">
        <f t="shared" si="503"/>
        <v/>
      </c>
      <c r="AZ28" s="120" t="str">
        <f t="shared" si="503"/>
        <v/>
      </c>
      <c r="BA28" s="120" t="str">
        <f t="shared" si="503"/>
        <v/>
      </c>
      <c r="BB28" s="120" t="str">
        <f t="shared" si="503"/>
        <v/>
      </c>
      <c r="BC28" s="120" t="str">
        <f t="shared" si="503"/>
        <v/>
      </c>
      <c r="BD28" s="120" t="str">
        <f t="shared" si="503"/>
        <v/>
      </c>
      <c r="BE28" s="120" t="str">
        <f t="shared" si="503"/>
        <v/>
      </c>
      <c r="BF28" s="120" t="str">
        <f t="shared" si="503"/>
        <v/>
      </c>
      <c r="BG28" s="120" t="str">
        <f t="shared" si="503"/>
        <v/>
      </c>
      <c r="BH28" s="120" t="str">
        <f t="shared" si="503"/>
        <v/>
      </c>
      <c r="BI28" s="120" t="str">
        <f t="shared" si="503"/>
        <v/>
      </c>
      <c r="BJ28" s="120" t="str">
        <f t="shared" si="503"/>
        <v/>
      </c>
      <c r="BK28" s="120" t="str">
        <f t="shared" ref="BK28:CL28" si="504">IFERROR(RANK(BK7,BK7:BK17,0),"")</f>
        <v/>
      </c>
      <c r="BL28" s="120" t="str">
        <f t="shared" si="504"/>
        <v/>
      </c>
      <c r="BM28" s="120" t="str">
        <f t="shared" si="504"/>
        <v/>
      </c>
      <c r="BN28" s="120" t="str">
        <f t="shared" si="504"/>
        <v/>
      </c>
      <c r="BO28" s="120" t="str">
        <f t="shared" si="504"/>
        <v/>
      </c>
      <c r="BP28" s="120" t="str">
        <f t="shared" si="504"/>
        <v/>
      </c>
      <c r="BQ28" s="120" t="str">
        <f t="shared" si="504"/>
        <v/>
      </c>
      <c r="BR28" s="121" t="str">
        <f t="shared" si="504"/>
        <v/>
      </c>
      <c r="BS28" s="119" t="str">
        <f t="shared" si="504"/>
        <v/>
      </c>
      <c r="BT28" s="120" t="str">
        <f t="shared" si="504"/>
        <v/>
      </c>
      <c r="BU28" s="120" t="str">
        <f t="shared" si="504"/>
        <v/>
      </c>
      <c r="BV28" s="120" t="str">
        <f t="shared" si="504"/>
        <v/>
      </c>
      <c r="BW28" s="120" t="str">
        <f t="shared" si="504"/>
        <v/>
      </c>
      <c r="BX28" s="120" t="str">
        <f t="shared" si="504"/>
        <v/>
      </c>
      <c r="BY28" s="120" t="str">
        <f t="shared" si="504"/>
        <v/>
      </c>
      <c r="BZ28" s="120" t="str">
        <f t="shared" si="504"/>
        <v/>
      </c>
      <c r="CA28" s="120" t="str">
        <f t="shared" si="504"/>
        <v/>
      </c>
      <c r="CB28" s="120" t="str">
        <f t="shared" si="504"/>
        <v/>
      </c>
      <c r="CC28" s="120" t="str">
        <f t="shared" si="504"/>
        <v/>
      </c>
      <c r="CD28" s="120" t="str">
        <f t="shared" si="504"/>
        <v/>
      </c>
      <c r="CE28" s="120" t="str">
        <f t="shared" si="504"/>
        <v/>
      </c>
      <c r="CF28" s="120" t="str">
        <f t="shared" si="504"/>
        <v/>
      </c>
      <c r="CG28" s="120" t="str">
        <f t="shared" si="504"/>
        <v/>
      </c>
      <c r="CH28" s="120" t="str">
        <f t="shared" si="504"/>
        <v/>
      </c>
      <c r="CI28" s="120" t="str">
        <f t="shared" si="504"/>
        <v/>
      </c>
      <c r="CJ28" s="120" t="str">
        <f t="shared" si="504"/>
        <v/>
      </c>
      <c r="CK28" s="120" t="str">
        <f t="shared" si="504"/>
        <v/>
      </c>
      <c r="CL28" s="121" t="str">
        <f t="shared" si="504"/>
        <v/>
      </c>
      <c r="CM28" s="119" t="str">
        <f t="shared" ref="CM28:DF28" si="505">IFERROR(RANK(CM7,CM7:CM17,1),"")</f>
        <v/>
      </c>
      <c r="CN28" s="120" t="str">
        <f t="shared" si="505"/>
        <v/>
      </c>
      <c r="CO28" s="120" t="str">
        <f t="shared" si="505"/>
        <v/>
      </c>
      <c r="CP28" s="120" t="str">
        <f t="shared" si="505"/>
        <v/>
      </c>
      <c r="CQ28" s="120" t="str">
        <f t="shared" si="505"/>
        <v/>
      </c>
      <c r="CR28" s="120" t="str">
        <f t="shared" si="505"/>
        <v/>
      </c>
      <c r="CS28" s="120" t="str">
        <f t="shared" si="505"/>
        <v/>
      </c>
      <c r="CT28" s="120" t="str">
        <f t="shared" si="505"/>
        <v/>
      </c>
      <c r="CU28" s="120" t="str">
        <f t="shared" si="505"/>
        <v/>
      </c>
      <c r="CV28" s="120" t="str">
        <f t="shared" si="505"/>
        <v/>
      </c>
      <c r="CW28" s="120" t="str">
        <f t="shared" si="505"/>
        <v/>
      </c>
      <c r="CX28" s="120" t="str">
        <f t="shared" si="505"/>
        <v/>
      </c>
      <c r="CY28" s="120" t="str">
        <f t="shared" si="505"/>
        <v/>
      </c>
      <c r="CZ28" s="120" t="str">
        <f t="shared" si="505"/>
        <v/>
      </c>
      <c r="DA28" s="120" t="str">
        <f t="shared" si="505"/>
        <v/>
      </c>
      <c r="DB28" s="120" t="str">
        <f t="shared" si="505"/>
        <v/>
      </c>
      <c r="DC28" s="120" t="str">
        <f t="shared" si="505"/>
        <v/>
      </c>
      <c r="DD28" s="120" t="str">
        <f t="shared" si="505"/>
        <v/>
      </c>
      <c r="DE28" s="120" t="str">
        <f t="shared" si="505"/>
        <v/>
      </c>
      <c r="DF28" s="121" t="str">
        <f t="shared" si="505"/>
        <v/>
      </c>
      <c r="DG28" s="119">
        <f t="shared" ref="DG28:EL28" si="506">IFERROR(RANK(DG7,DG7:DG17,0),"")</f>
        <v>1</v>
      </c>
      <c r="DH28" s="120" t="str">
        <f t="shared" si="506"/>
        <v/>
      </c>
      <c r="DI28" s="120" t="str">
        <f t="shared" si="506"/>
        <v/>
      </c>
      <c r="DJ28" s="120" t="str">
        <f t="shared" si="506"/>
        <v/>
      </c>
      <c r="DK28" s="120" t="str">
        <f t="shared" si="506"/>
        <v/>
      </c>
      <c r="DL28" s="120" t="str">
        <f t="shared" si="506"/>
        <v/>
      </c>
      <c r="DM28" s="120" t="str">
        <f t="shared" si="506"/>
        <v/>
      </c>
      <c r="DN28" s="120" t="str">
        <f t="shared" si="506"/>
        <v/>
      </c>
      <c r="DO28" s="120" t="str">
        <f t="shared" si="506"/>
        <v/>
      </c>
      <c r="DP28" s="120" t="str">
        <f t="shared" si="506"/>
        <v/>
      </c>
      <c r="DQ28" s="120" t="str">
        <f t="shared" si="506"/>
        <v/>
      </c>
      <c r="DR28" s="120" t="str">
        <f t="shared" si="506"/>
        <v/>
      </c>
      <c r="DS28" s="120" t="str">
        <f t="shared" si="506"/>
        <v/>
      </c>
      <c r="DT28" s="120" t="str">
        <f t="shared" si="506"/>
        <v/>
      </c>
      <c r="DU28" s="120" t="str">
        <f t="shared" si="506"/>
        <v/>
      </c>
      <c r="DV28" s="120" t="str">
        <f t="shared" si="506"/>
        <v/>
      </c>
      <c r="DW28" s="120" t="str">
        <f t="shared" si="506"/>
        <v/>
      </c>
      <c r="DX28" s="120" t="str">
        <f t="shared" si="506"/>
        <v/>
      </c>
      <c r="DY28" s="120" t="str">
        <f t="shared" si="506"/>
        <v/>
      </c>
      <c r="DZ28" s="121" t="str">
        <f t="shared" si="506"/>
        <v/>
      </c>
      <c r="EA28" s="119">
        <f t="shared" si="506"/>
        <v>1</v>
      </c>
      <c r="EB28" s="120" t="str">
        <f t="shared" si="506"/>
        <v/>
      </c>
      <c r="EC28" s="120" t="str">
        <f t="shared" si="506"/>
        <v/>
      </c>
      <c r="ED28" s="120" t="str">
        <f t="shared" si="506"/>
        <v/>
      </c>
      <c r="EE28" s="120" t="str">
        <f t="shared" si="506"/>
        <v/>
      </c>
      <c r="EF28" s="120" t="str">
        <f t="shared" si="506"/>
        <v/>
      </c>
      <c r="EG28" s="120" t="str">
        <f t="shared" si="506"/>
        <v/>
      </c>
      <c r="EH28" s="120" t="str">
        <f t="shared" si="506"/>
        <v/>
      </c>
      <c r="EI28" s="120" t="str">
        <f t="shared" si="506"/>
        <v/>
      </c>
      <c r="EJ28" s="120" t="str">
        <f t="shared" si="506"/>
        <v/>
      </c>
      <c r="EK28" s="120" t="str">
        <f t="shared" si="506"/>
        <v/>
      </c>
      <c r="EL28" s="120" t="str">
        <f t="shared" si="506"/>
        <v/>
      </c>
      <c r="EM28" s="120" t="str">
        <f t="shared" ref="EM28:FN28" si="507">IFERROR(RANK(EM7,EM7:EM17,0),"")</f>
        <v/>
      </c>
      <c r="EN28" s="120" t="str">
        <f t="shared" si="507"/>
        <v/>
      </c>
      <c r="EO28" s="120" t="str">
        <f t="shared" si="507"/>
        <v/>
      </c>
      <c r="EP28" s="120" t="str">
        <f t="shared" si="507"/>
        <v/>
      </c>
      <c r="EQ28" s="120" t="str">
        <f t="shared" si="507"/>
        <v/>
      </c>
      <c r="ER28" s="120" t="str">
        <f t="shared" si="507"/>
        <v/>
      </c>
      <c r="ES28" s="120" t="str">
        <f t="shared" si="507"/>
        <v/>
      </c>
      <c r="ET28" s="121" t="str">
        <f t="shared" si="507"/>
        <v/>
      </c>
      <c r="EU28" s="119">
        <f t="shared" si="507"/>
        <v>1</v>
      </c>
      <c r="EV28" s="120" t="str">
        <f t="shared" si="507"/>
        <v/>
      </c>
      <c r="EW28" s="120" t="str">
        <f t="shared" si="507"/>
        <v/>
      </c>
      <c r="EX28" s="120" t="str">
        <f t="shared" si="507"/>
        <v/>
      </c>
      <c r="EY28" s="120" t="str">
        <f t="shared" si="507"/>
        <v/>
      </c>
      <c r="EZ28" s="120" t="str">
        <f t="shared" si="507"/>
        <v/>
      </c>
      <c r="FA28" s="120" t="str">
        <f t="shared" si="507"/>
        <v/>
      </c>
      <c r="FB28" s="120" t="str">
        <f t="shared" si="507"/>
        <v/>
      </c>
      <c r="FC28" s="120" t="str">
        <f t="shared" si="507"/>
        <v/>
      </c>
      <c r="FD28" s="120" t="str">
        <f t="shared" si="507"/>
        <v/>
      </c>
      <c r="FE28" s="120" t="str">
        <f t="shared" si="507"/>
        <v/>
      </c>
      <c r="FF28" s="120" t="str">
        <f t="shared" si="507"/>
        <v/>
      </c>
      <c r="FG28" s="120" t="str">
        <f t="shared" si="507"/>
        <v/>
      </c>
      <c r="FH28" s="120" t="str">
        <f t="shared" si="507"/>
        <v/>
      </c>
      <c r="FI28" s="120" t="str">
        <f t="shared" si="507"/>
        <v/>
      </c>
      <c r="FJ28" s="120" t="str">
        <f t="shared" si="507"/>
        <v/>
      </c>
      <c r="FK28" s="120" t="str">
        <f t="shared" si="507"/>
        <v/>
      </c>
      <c r="FL28" s="120" t="str">
        <f t="shared" si="507"/>
        <v/>
      </c>
      <c r="FM28" s="120" t="str">
        <f t="shared" si="507"/>
        <v/>
      </c>
      <c r="FN28" s="121" t="str">
        <f t="shared" si="507"/>
        <v/>
      </c>
      <c r="FO28" s="119" t="str">
        <f t="shared" ref="FO28:HB28" si="508">IFERROR(RANK(FO7,FO7:FO17,1),"")</f>
        <v/>
      </c>
      <c r="FP28" s="120" t="str">
        <f t="shared" si="508"/>
        <v/>
      </c>
      <c r="FQ28" s="120" t="str">
        <f t="shared" si="508"/>
        <v/>
      </c>
      <c r="FR28" s="120" t="str">
        <f t="shared" si="508"/>
        <v/>
      </c>
      <c r="FS28" s="120" t="str">
        <f t="shared" si="508"/>
        <v/>
      </c>
      <c r="FT28" s="120" t="str">
        <f t="shared" si="508"/>
        <v/>
      </c>
      <c r="FU28" s="120" t="str">
        <f t="shared" si="508"/>
        <v/>
      </c>
      <c r="FV28" s="120" t="str">
        <f t="shared" si="508"/>
        <v/>
      </c>
      <c r="FW28" s="120" t="str">
        <f t="shared" si="508"/>
        <v/>
      </c>
      <c r="FX28" s="120" t="str">
        <f t="shared" si="508"/>
        <v/>
      </c>
      <c r="FY28" s="120" t="str">
        <f t="shared" si="508"/>
        <v/>
      </c>
      <c r="FZ28" s="120" t="str">
        <f t="shared" si="508"/>
        <v/>
      </c>
      <c r="GA28" s="120" t="str">
        <f t="shared" si="508"/>
        <v/>
      </c>
      <c r="GB28" s="120" t="str">
        <f t="shared" si="508"/>
        <v/>
      </c>
      <c r="GC28" s="120" t="str">
        <f t="shared" si="508"/>
        <v/>
      </c>
      <c r="GD28" s="120" t="str">
        <f t="shared" si="508"/>
        <v/>
      </c>
      <c r="GE28" s="120" t="str">
        <f t="shared" si="508"/>
        <v/>
      </c>
      <c r="GF28" s="120" t="str">
        <f t="shared" si="508"/>
        <v/>
      </c>
      <c r="GG28" s="120" t="str">
        <f t="shared" si="508"/>
        <v/>
      </c>
      <c r="GH28" s="121" t="str">
        <f t="shared" si="508"/>
        <v/>
      </c>
      <c r="GI28" s="119">
        <f t="shared" si="508"/>
        <v>1</v>
      </c>
      <c r="GJ28" s="120" t="str">
        <f t="shared" si="508"/>
        <v/>
      </c>
      <c r="GK28" s="120" t="str">
        <f t="shared" si="508"/>
        <v/>
      </c>
      <c r="GL28" s="120" t="str">
        <f t="shared" si="508"/>
        <v/>
      </c>
      <c r="GM28" s="120" t="str">
        <f t="shared" si="508"/>
        <v/>
      </c>
      <c r="GN28" s="120" t="str">
        <f t="shared" si="508"/>
        <v/>
      </c>
      <c r="GO28" s="120" t="str">
        <f t="shared" si="508"/>
        <v/>
      </c>
      <c r="GP28" s="120" t="str">
        <f t="shared" si="508"/>
        <v/>
      </c>
      <c r="GQ28" s="120" t="str">
        <f t="shared" si="508"/>
        <v/>
      </c>
      <c r="GR28" s="120" t="str">
        <f t="shared" si="508"/>
        <v/>
      </c>
      <c r="GS28" s="120" t="str">
        <f t="shared" si="508"/>
        <v/>
      </c>
      <c r="GT28" s="120" t="str">
        <f t="shared" si="508"/>
        <v/>
      </c>
      <c r="GU28" s="120" t="str">
        <f t="shared" si="508"/>
        <v/>
      </c>
      <c r="GV28" s="120" t="str">
        <f t="shared" si="508"/>
        <v/>
      </c>
      <c r="GW28" s="120" t="str">
        <f t="shared" si="508"/>
        <v/>
      </c>
      <c r="GX28" s="120" t="str">
        <f t="shared" si="508"/>
        <v/>
      </c>
      <c r="GY28" s="120" t="str">
        <f t="shared" si="508"/>
        <v/>
      </c>
      <c r="GZ28" s="120" t="str">
        <f t="shared" si="508"/>
        <v/>
      </c>
      <c r="HA28" s="120" t="str">
        <f t="shared" si="508"/>
        <v/>
      </c>
      <c r="HB28" s="121" t="str">
        <f t="shared" si="508"/>
        <v/>
      </c>
      <c r="HC28" s="119">
        <f t="shared" ref="HC28:IH28" si="509">IFERROR(RANK(HC7,HC7:HC17,0),"")</f>
        <v>2</v>
      </c>
      <c r="HD28" s="120" t="str">
        <f t="shared" si="509"/>
        <v/>
      </c>
      <c r="HE28" s="120" t="str">
        <f t="shared" si="509"/>
        <v/>
      </c>
      <c r="HF28" s="120" t="str">
        <f t="shared" si="509"/>
        <v/>
      </c>
      <c r="HG28" s="120" t="str">
        <f t="shared" si="509"/>
        <v/>
      </c>
      <c r="HH28" s="120" t="str">
        <f t="shared" si="509"/>
        <v/>
      </c>
      <c r="HI28" s="120" t="str">
        <f t="shared" si="509"/>
        <v/>
      </c>
      <c r="HJ28" s="120" t="str">
        <f t="shared" si="509"/>
        <v/>
      </c>
      <c r="HK28" s="120" t="str">
        <f t="shared" si="509"/>
        <v/>
      </c>
      <c r="HL28" s="120" t="str">
        <f t="shared" si="509"/>
        <v/>
      </c>
      <c r="HM28" s="120" t="str">
        <f t="shared" si="509"/>
        <v/>
      </c>
      <c r="HN28" s="120" t="str">
        <f t="shared" si="509"/>
        <v/>
      </c>
      <c r="HO28" s="120" t="str">
        <f t="shared" si="509"/>
        <v/>
      </c>
      <c r="HP28" s="120" t="str">
        <f t="shared" si="509"/>
        <v/>
      </c>
      <c r="HQ28" s="120" t="str">
        <f t="shared" si="509"/>
        <v/>
      </c>
      <c r="HR28" s="120" t="str">
        <f t="shared" si="509"/>
        <v/>
      </c>
      <c r="HS28" s="120" t="str">
        <f t="shared" si="509"/>
        <v/>
      </c>
      <c r="HT28" s="120" t="str">
        <f t="shared" si="509"/>
        <v/>
      </c>
      <c r="HU28" s="120" t="str">
        <f t="shared" si="509"/>
        <v/>
      </c>
      <c r="HV28" s="121" t="str">
        <f t="shared" si="509"/>
        <v/>
      </c>
      <c r="HW28" s="119">
        <f t="shared" si="509"/>
        <v>2</v>
      </c>
      <c r="HX28" s="120" t="str">
        <f t="shared" si="509"/>
        <v/>
      </c>
      <c r="HY28" s="120" t="str">
        <f t="shared" si="509"/>
        <v/>
      </c>
      <c r="HZ28" s="120" t="str">
        <f t="shared" si="509"/>
        <v/>
      </c>
      <c r="IA28" s="120" t="str">
        <f t="shared" si="509"/>
        <v/>
      </c>
      <c r="IB28" s="120" t="str">
        <f t="shared" si="509"/>
        <v/>
      </c>
      <c r="IC28" s="120" t="str">
        <f t="shared" si="509"/>
        <v/>
      </c>
      <c r="ID28" s="120" t="str">
        <f t="shared" si="509"/>
        <v/>
      </c>
      <c r="IE28" s="120" t="str">
        <f t="shared" si="509"/>
        <v/>
      </c>
      <c r="IF28" s="120" t="str">
        <f t="shared" si="509"/>
        <v/>
      </c>
      <c r="IG28" s="120" t="str">
        <f t="shared" si="509"/>
        <v/>
      </c>
      <c r="IH28" s="120" t="str">
        <f t="shared" si="509"/>
        <v/>
      </c>
      <c r="II28" s="120" t="str">
        <f t="shared" ref="II28:JN28" si="510">IFERROR(RANK(II7,II7:II17,0),"")</f>
        <v/>
      </c>
      <c r="IJ28" s="120" t="str">
        <f t="shared" si="510"/>
        <v/>
      </c>
      <c r="IK28" s="120" t="str">
        <f t="shared" si="510"/>
        <v/>
      </c>
      <c r="IL28" s="120" t="str">
        <f t="shared" si="510"/>
        <v/>
      </c>
      <c r="IM28" s="120" t="str">
        <f t="shared" si="510"/>
        <v/>
      </c>
      <c r="IN28" s="120" t="str">
        <f t="shared" si="510"/>
        <v/>
      </c>
      <c r="IO28" s="120" t="str">
        <f t="shared" si="510"/>
        <v/>
      </c>
      <c r="IP28" s="121" t="str">
        <f t="shared" si="510"/>
        <v/>
      </c>
      <c r="IQ28" s="119">
        <f t="shared" si="510"/>
        <v>2</v>
      </c>
      <c r="IR28" s="120" t="str">
        <f t="shared" si="510"/>
        <v/>
      </c>
      <c r="IS28" s="120" t="str">
        <f t="shared" si="510"/>
        <v/>
      </c>
      <c r="IT28" s="120" t="str">
        <f t="shared" si="510"/>
        <v/>
      </c>
      <c r="IU28" s="120" t="str">
        <f t="shared" si="510"/>
        <v/>
      </c>
      <c r="IV28" s="120" t="str">
        <f t="shared" si="510"/>
        <v/>
      </c>
      <c r="IW28" s="120" t="str">
        <f t="shared" si="510"/>
        <v/>
      </c>
      <c r="IX28" s="120" t="str">
        <f t="shared" si="510"/>
        <v/>
      </c>
      <c r="IY28" s="120" t="str">
        <f t="shared" si="510"/>
        <v/>
      </c>
      <c r="IZ28" s="120" t="str">
        <f t="shared" si="510"/>
        <v/>
      </c>
      <c r="JA28" s="120" t="str">
        <f t="shared" si="510"/>
        <v/>
      </c>
      <c r="JB28" s="120" t="str">
        <f t="shared" si="510"/>
        <v/>
      </c>
      <c r="JC28" s="120" t="str">
        <f t="shared" si="510"/>
        <v/>
      </c>
      <c r="JD28" s="120" t="str">
        <f t="shared" si="510"/>
        <v/>
      </c>
      <c r="JE28" s="120" t="str">
        <f t="shared" si="510"/>
        <v/>
      </c>
      <c r="JF28" s="120" t="str">
        <f t="shared" si="510"/>
        <v/>
      </c>
      <c r="JG28" s="120" t="str">
        <f t="shared" si="510"/>
        <v/>
      </c>
      <c r="JH28" s="120" t="str">
        <f t="shared" si="510"/>
        <v/>
      </c>
      <c r="JI28" s="120" t="str">
        <f t="shared" si="510"/>
        <v/>
      </c>
      <c r="JJ28" s="121" t="str">
        <f t="shared" si="510"/>
        <v/>
      </c>
      <c r="JK28" s="119">
        <f t="shared" si="510"/>
        <v>2</v>
      </c>
      <c r="JL28" s="120" t="str">
        <f t="shared" si="510"/>
        <v/>
      </c>
      <c r="JM28" s="120" t="str">
        <f t="shared" si="510"/>
        <v/>
      </c>
      <c r="JN28" s="120" t="str">
        <f t="shared" si="510"/>
        <v/>
      </c>
      <c r="JO28" s="120" t="str">
        <f t="shared" ref="JO28:KT28" si="511">IFERROR(RANK(JO7,JO7:JO17,0),"")</f>
        <v/>
      </c>
      <c r="JP28" s="120" t="str">
        <f t="shared" si="511"/>
        <v/>
      </c>
      <c r="JQ28" s="120" t="str">
        <f t="shared" si="511"/>
        <v/>
      </c>
      <c r="JR28" s="120" t="str">
        <f t="shared" si="511"/>
        <v/>
      </c>
      <c r="JS28" s="120" t="str">
        <f t="shared" si="511"/>
        <v/>
      </c>
      <c r="JT28" s="120" t="str">
        <f t="shared" si="511"/>
        <v/>
      </c>
      <c r="JU28" s="120" t="str">
        <f t="shared" si="511"/>
        <v/>
      </c>
      <c r="JV28" s="120" t="str">
        <f t="shared" si="511"/>
        <v/>
      </c>
      <c r="JW28" s="120" t="str">
        <f t="shared" si="511"/>
        <v/>
      </c>
      <c r="JX28" s="120" t="str">
        <f t="shared" si="511"/>
        <v/>
      </c>
      <c r="JY28" s="120" t="str">
        <f t="shared" si="511"/>
        <v/>
      </c>
      <c r="JZ28" s="120" t="str">
        <f t="shared" si="511"/>
        <v/>
      </c>
      <c r="KA28" s="120" t="str">
        <f t="shared" si="511"/>
        <v/>
      </c>
      <c r="KB28" s="120" t="str">
        <f t="shared" si="511"/>
        <v/>
      </c>
      <c r="KC28" s="120" t="str">
        <f t="shared" si="511"/>
        <v/>
      </c>
      <c r="KD28" s="121" t="str">
        <f t="shared" si="511"/>
        <v/>
      </c>
      <c r="KE28" s="119">
        <f t="shared" si="511"/>
        <v>2</v>
      </c>
      <c r="KF28" s="120" t="str">
        <f t="shared" si="511"/>
        <v/>
      </c>
      <c r="KG28" s="120" t="str">
        <f t="shared" si="511"/>
        <v/>
      </c>
      <c r="KH28" s="120" t="str">
        <f t="shared" si="511"/>
        <v/>
      </c>
      <c r="KI28" s="120" t="str">
        <f t="shared" si="511"/>
        <v/>
      </c>
      <c r="KJ28" s="120" t="str">
        <f t="shared" si="511"/>
        <v/>
      </c>
      <c r="KK28" s="120" t="str">
        <f t="shared" si="511"/>
        <v/>
      </c>
      <c r="KL28" s="120" t="str">
        <f t="shared" si="511"/>
        <v/>
      </c>
      <c r="KM28" s="120" t="str">
        <f t="shared" si="511"/>
        <v/>
      </c>
      <c r="KN28" s="120" t="str">
        <f t="shared" si="511"/>
        <v/>
      </c>
      <c r="KO28" s="120" t="str">
        <f t="shared" si="511"/>
        <v/>
      </c>
      <c r="KP28" s="120" t="str">
        <f t="shared" si="511"/>
        <v/>
      </c>
      <c r="KQ28" s="120" t="str">
        <f t="shared" si="511"/>
        <v/>
      </c>
      <c r="KR28" s="120" t="str">
        <f t="shared" si="511"/>
        <v/>
      </c>
      <c r="KS28" s="120" t="str">
        <f t="shared" si="511"/>
        <v/>
      </c>
      <c r="KT28" s="120" t="str">
        <f t="shared" si="511"/>
        <v/>
      </c>
      <c r="KU28" s="120" t="str">
        <f t="shared" ref="KU28:LR28" si="512">IFERROR(RANK(KU7,KU7:KU17,0),"")</f>
        <v/>
      </c>
      <c r="KV28" s="120" t="str">
        <f t="shared" si="512"/>
        <v/>
      </c>
      <c r="KW28" s="120" t="str">
        <f t="shared" si="512"/>
        <v/>
      </c>
      <c r="KX28" s="121" t="str">
        <f t="shared" si="512"/>
        <v/>
      </c>
      <c r="KY28" s="119">
        <f t="shared" si="512"/>
        <v>1</v>
      </c>
      <c r="KZ28" s="120" t="str">
        <f t="shared" si="512"/>
        <v/>
      </c>
      <c r="LA28" s="120" t="str">
        <f t="shared" si="512"/>
        <v/>
      </c>
      <c r="LB28" s="120" t="str">
        <f t="shared" si="512"/>
        <v/>
      </c>
      <c r="LC28" s="120" t="str">
        <f t="shared" si="512"/>
        <v/>
      </c>
      <c r="LD28" s="120" t="str">
        <f t="shared" si="512"/>
        <v/>
      </c>
      <c r="LE28" s="120" t="str">
        <f t="shared" si="512"/>
        <v/>
      </c>
      <c r="LF28" s="120" t="str">
        <f t="shared" si="512"/>
        <v/>
      </c>
      <c r="LG28" s="120" t="str">
        <f t="shared" si="512"/>
        <v/>
      </c>
      <c r="LH28" s="120" t="str">
        <f t="shared" si="512"/>
        <v/>
      </c>
      <c r="LI28" s="120" t="str">
        <f t="shared" si="512"/>
        <v/>
      </c>
      <c r="LJ28" s="120" t="str">
        <f t="shared" si="512"/>
        <v/>
      </c>
      <c r="LK28" s="120" t="str">
        <f t="shared" si="512"/>
        <v/>
      </c>
      <c r="LL28" s="120" t="str">
        <f t="shared" si="512"/>
        <v/>
      </c>
      <c r="LM28" s="120" t="str">
        <f t="shared" si="512"/>
        <v/>
      </c>
      <c r="LN28" s="120" t="str">
        <f t="shared" si="512"/>
        <v/>
      </c>
      <c r="LO28" s="120" t="str">
        <f t="shared" si="512"/>
        <v/>
      </c>
      <c r="LP28" s="120" t="str">
        <f t="shared" si="512"/>
        <v/>
      </c>
      <c r="LQ28" s="120" t="str">
        <f t="shared" si="512"/>
        <v/>
      </c>
      <c r="LR28" s="121" t="str">
        <f t="shared" si="512"/>
        <v/>
      </c>
      <c r="LS28" s="119">
        <f t="shared" ref="LS28:ML28" si="513">IFERROR(RANK(LS7,LS7:LS17,1),"")</f>
        <v>2</v>
      </c>
      <c r="LT28" s="120" t="str">
        <f t="shared" si="513"/>
        <v/>
      </c>
      <c r="LU28" s="120" t="str">
        <f t="shared" si="513"/>
        <v/>
      </c>
      <c r="LV28" s="120" t="str">
        <f t="shared" si="513"/>
        <v/>
      </c>
      <c r="LW28" s="120" t="str">
        <f t="shared" si="513"/>
        <v/>
      </c>
      <c r="LX28" s="120" t="str">
        <f t="shared" si="513"/>
        <v/>
      </c>
      <c r="LY28" s="120" t="str">
        <f t="shared" si="513"/>
        <v/>
      </c>
      <c r="LZ28" s="120" t="str">
        <f t="shared" si="513"/>
        <v/>
      </c>
      <c r="MA28" s="120" t="str">
        <f t="shared" si="513"/>
        <v/>
      </c>
      <c r="MB28" s="120" t="str">
        <f t="shared" si="513"/>
        <v/>
      </c>
      <c r="MC28" s="120" t="str">
        <f t="shared" si="513"/>
        <v/>
      </c>
      <c r="MD28" s="320" t="str">
        <f t="shared" si="513"/>
        <v/>
      </c>
      <c r="ME28" s="120" t="str">
        <f t="shared" si="513"/>
        <v/>
      </c>
      <c r="MF28" s="120" t="str">
        <f t="shared" si="513"/>
        <v/>
      </c>
      <c r="MG28" s="120" t="str">
        <f t="shared" si="513"/>
        <v/>
      </c>
      <c r="MH28" s="120" t="str">
        <f t="shared" si="513"/>
        <v/>
      </c>
      <c r="MI28" s="120" t="str">
        <f t="shared" si="513"/>
        <v/>
      </c>
      <c r="MJ28" s="120" t="str">
        <f t="shared" si="513"/>
        <v/>
      </c>
      <c r="MK28" s="120" t="str">
        <f t="shared" si="513"/>
        <v/>
      </c>
      <c r="ML28" s="121" t="str">
        <f t="shared" si="513"/>
        <v/>
      </c>
      <c r="MM28" s="119" t="str">
        <f t="shared" ref="MM28:NF28" si="514">IFERROR(RANK(MM7,MM7:MM17,0),"")</f>
        <v/>
      </c>
      <c r="MN28" s="120" t="str">
        <f t="shared" si="514"/>
        <v/>
      </c>
      <c r="MO28" s="120" t="str">
        <f t="shared" si="514"/>
        <v/>
      </c>
      <c r="MP28" s="120" t="str">
        <f t="shared" si="514"/>
        <v/>
      </c>
      <c r="MQ28" s="120" t="str">
        <f t="shared" si="514"/>
        <v/>
      </c>
      <c r="MR28" s="120" t="str">
        <f t="shared" si="514"/>
        <v/>
      </c>
      <c r="MS28" s="120" t="str">
        <f t="shared" si="514"/>
        <v/>
      </c>
      <c r="MT28" s="120" t="str">
        <f t="shared" si="514"/>
        <v/>
      </c>
      <c r="MU28" s="120" t="str">
        <f t="shared" si="514"/>
        <v/>
      </c>
      <c r="MV28" s="120" t="str">
        <f t="shared" si="514"/>
        <v/>
      </c>
      <c r="MW28" s="120" t="str">
        <f t="shared" si="514"/>
        <v/>
      </c>
      <c r="MX28" s="120" t="str">
        <f t="shared" si="514"/>
        <v/>
      </c>
      <c r="MY28" s="120" t="str">
        <f t="shared" si="514"/>
        <v/>
      </c>
      <c r="MZ28" s="120" t="str">
        <f t="shared" si="514"/>
        <v/>
      </c>
      <c r="NA28" s="120" t="str">
        <f t="shared" si="514"/>
        <v/>
      </c>
      <c r="NB28" s="120" t="str">
        <f t="shared" si="514"/>
        <v/>
      </c>
      <c r="NC28" s="120" t="str">
        <f t="shared" si="514"/>
        <v/>
      </c>
      <c r="ND28" s="120" t="str">
        <f t="shared" si="514"/>
        <v/>
      </c>
      <c r="NE28" s="120" t="str">
        <f t="shared" si="514"/>
        <v/>
      </c>
      <c r="NF28" s="121" t="str">
        <f t="shared" si="514"/>
        <v/>
      </c>
      <c r="NG28" s="119" t="str">
        <f t="shared" ref="NG28:OL28" si="515">IFERROR(RANK(NG7,NG7:NG17,1),"")</f>
        <v/>
      </c>
      <c r="NH28" s="120" t="str">
        <f t="shared" si="515"/>
        <v/>
      </c>
      <c r="NI28" s="120" t="str">
        <f t="shared" si="515"/>
        <v/>
      </c>
      <c r="NJ28" s="120" t="str">
        <f t="shared" si="515"/>
        <v/>
      </c>
      <c r="NK28" s="120" t="str">
        <f t="shared" si="515"/>
        <v/>
      </c>
      <c r="NL28" s="120" t="str">
        <f t="shared" si="515"/>
        <v/>
      </c>
      <c r="NM28" s="120" t="str">
        <f t="shared" si="515"/>
        <v/>
      </c>
      <c r="NN28" s="120" t="str">
        <f t="shared" si="515"/>
        <v/>
      </c>
      <c r="NO28" s="120" t="str">
        <f t="shared" si="515"/>
        <v/>
      </c>
      <c r="NP28" s="120" t="str">
        <f t="shared" si="515"/>
        <v/>
      </c>
      <c r="NQ28" s="120" t="str">
        <f t="shared" si="515"/>
        <v/>
      </c>
      <c r="NR28" s="320" t="str">
        <f t="shared" si="515"/>
        <v/>
      </c>
      <c r="NS28" s="120" t="str">
        <f t="shared" si="515"/>
        <v/>
      </c>
      <c r="NT28" s="120" t="str">
        <f t="shared" si="515"/>
        <v/>
      </c>
      <c r="NU28" s="120" t="str">
        <f t="shared" si="515"/>
        <v/>
      </c>
      <c r="NV28" s="120" t="str">
        <f t="shared" si="515"/>
        <v/>
      </c>
      <c r="NW28" s="120" t="str">
        <f t="shared" si="515"/>
        <v/>
      </c>
      <c r="NX28" s="120" t="str">
        <f t="shared" si="515"/>
        <v/>
      </c>
      <c r="NY28" s="120" t="str">
        <f t="shared" si="515"/>
        <v/>
      </c>
      <c r="NZ28" s="121" t="str">
        <f t="shared" si="515"/>
        <v/>
      </c>
      <c r="OA28" s="119" t="str">
        <f t="shared" si="515"/>
        <v/>
      </c>
      <c r="OB28" s="120" t="str">
        <f t="shared" si="515"/>
        <v/>
      </c>
      <c r="OC28" s="120" t="str">
        <f t="shared" si="515"/>
        <v/>
      </c>
      <c r="OD28" s="120" t="str">
        <f t="shared" si="515"/>
        <v/>
      </c>
      <c r="OE28" s="120" t="str">
        <f t="shared" si="515"/>
        <v/>
      </c>
      <c r="OF28" s="120" t="str">
        <f t="shared" si="515"/>
        <v/>
      </c>
      <c r="OG28" s="120" t="str">
        <f t="shared" si="515"/>
        <v/>
      </c>
      <c r="OH28" s="120" t="str">
        <f t="shared" si="515"/>
        <v/>
      </c>
      <c r="OI28" s="120" t="str">
        <f t="shared" si="515"/>
        <v/>
      </c>
      <c r="OJ28" s="120" t="str">
        <f t="shared" si="515"/>
        <v/>
      </c>
      <c r="OK28" s="120" t="str">
        <f t="shared" si="515"/>
        <v/>
      </c>
      <c r="OL28" s="320" t="str">
        <f t="shared" si="515"/>
        <v/>
      </c>
      <c r="OM28" s="120" t="str">
        <f t="shared" ref="OM28:PN28" si="516">IFERROR(RANK(OM7,OM7:OM17,1),"")</f>
        <v/>
      </c>
      <c r="ON28" s="120" t="str">
        <f t="shared" si="516"/>
        <v/>
      </c>
      <c r="OO28" s="120" t="str">
        <f t="shared" si="516"/>
        <v/>
      </c>
      <c r="OP28" s="120" t="str">
        <f t="shared" si="516"/>
        <v/>
      </c>
      <c r="OQ28" s="120" t="str">
        <f t="shared" si="516"/>
        <v/>
      </c>
      <c r="OR28" s="120" t="str">
        <f t="shared" si="516"/>
        <v/>
      </c>
      <c r="OS28" s="120" t="str">
        <f t="shared" si="516"/>
        <v/>
      </c>
      <c r="OT28" s="121" t="str">
        <f t="shared" si="516"/>
        <v/>
      </c>
      <c r="OU28" s="119">
        <f t="shared" si="516"/>
        <v>1</v>
      </c>
      <c r="OV28" s="120" t="str">
        <f t="shared" si="516"/>
        <v/>
      </c>
      <c r="OW28" s="120" t="str">
        <f t="shared" si="516"/>
        <v/>
      </c>
      <c r="OX28" s="120" t="str">
        <f t="shared" si="516"/>
        <v/>
      </c>
      <c r="OY28" s="120" t="str">
        <f t="shared" si="516"/>
        <v/>
      </c>
      <c r="OZ28" s="120" t="str">
        <f t="shared" si="516"/>
        <v/>
      </c>
      <c r="PA28" s="120" t="str">
        <f t="shared" si="516"/>
        <v/>
      </c>
      <c r="PB28" s="120" t="str">
        <f t="shared" si="516"/>
        <v/>
      </c>
      <c r="PC28" s="120" t="str">
        <f t="shared" si="516"/>
        <v/>
      </c>
      <c r="PD28" s="120" t="str">
        <f t="shared" si="516"/>
        <v/>
      </c>
      <c r="PE28" s="120" t="str">
        <f t="shared" si="516"/>
        <v/>
      </c>
      <c r="PF28" s="320" t="str">
        <f t="shared" si="516"/>
        <v/>
      </c>
      <c r="PG28" s="120" t="str">
        <f t="shared" si="516"/>
        <v/>
      </c>
      <c r="PH28" s="120" t="str">
        <f t="shared" si="516"/>
        <v/>
      </c>
      <c r="PI28" s="120" t="str">
        <f t="shared" si="516"/>
        <v/>
      </c>
      <c r="PJ28" s="120" t="str">
        <f t="shared" si="516"/>
        <v/>
      </c>
      <c r="PK28" s="120" t="str">
        <f t="shared" si="516"/>
        <v/>
      </c>
      <c r="PL28" s="120" t="str">
        <f t="shared" si="516"/>
        <v/>
      </c>
      <c r="PM28" s="120" t="str">
        <f t="shared" si="516"/>
        <v/>
      </c>
      <c r="PN28" s="121" t="str">
        <f t="shared" si="516"/>
        <v/>
      </c>
      <c r="PO28" s="122">
        <f t="shared" ref="PO28:QT28" si="517">IFERROR(RANK(PO7,PO7:PO17,0),"")</f>
        <v>2</v>
      </c>
      <c r="PP28" s="123" t="str">
        <f t="shared" si="517"/>
        <v/>
      </c>
      <c r="PQ28" s="123" t="str">
        <f t="shared" si="517"/>
        <v/>
      </c>
      <c r="PR28" s="123" t="str">
        <f t="shared" si="517"/>
        <v/>
      </c>
      <c r="PS28" s="123" t="str">
        <f t="shared" si="517"/>
        <v/>
      </c>
      <c r="PT28" s="123" t="str">
        <f t="shared" si="517"/>
        <v/>
      </c>
      <c r="PU28" s="123" t="str">
        <f t="shared" si="517"/>
        <v/>
      </c>
      <c r="PV28" s="123" t="str">
        <f t="shared" si="517"/>
        <v/>
      </c>
      <c r="PW28" s="123" t="str">
        <f t="shared" si="517"/>
        <v/>
      </c>
      <c r="PX28" s="123" t="str">
        <f t="shared" si="517"/>
        <v/>
      </c>
      <c r="PY28" s="123" t="str">
        <f t="shared" si="517"/>
        <v/>
      </c>
      <c r="PZ28" s="123" t="str">
        <f t="shared" si="517"/>
        <v/>
      </c>
      <c r="QA28" s="123" t="str">
        <f t="shared" si="517"/>
        <v/>
      </c>
      <c r="QB28" s="123" t="str">
        <f t="shared" si="517"/>
        <v/>
      </c>
      <c r="QC28" s="123" t="str">
        <f t="shared" si="517"/>
        <v/>
      </c>
      <c r="QD28" s="123" t="str">
        <f t="shared" si="517"/>
        <v/>
      </c>
      <c r="QE28" s="123" t="str">
        <f t="shared" si="517"/>
        <v/>
      </c>
      <c r="QF28" s="123" t="str">
        <f t="shared" si="517"/>
        <v/>
      </c>
      <c r="QG28" s="123" t="str">
        <f t="shared" si="517"/>
        <v/>
      </c>
      <c r="QH28" s="124" t="str">
        <f t="shared" si="517"/>
        <v/>
      </c>
      <c r="QI28" s="122" t="str">
        <f t="shared" si="517"/>
        <v/>
      </c>
      <c r="QJ28" s="123" t="str">
        <f t="shared" si="517"/>
        <v/>
      </c>
      <c r="QK28" s="123" t="str">
        <f t="shared" si="517"/>
        <v/>
      </c>
      <c r="QL28" s="123" t="str">
        <f t="shared" si="517"/>
        <v/>
      </c>
      <c r="QM28" s="123" t="str">
        <f t="shared" si="517"/>
        <v/>
      </c>
      <c r="QN28" s="123" t="str">
        <f t="shared" si="517"/>
        <v/>
      </c>
      <c r="QO28" s="123" t="str">
        <f t="shared" si="517"/>
        <v/>
      </c>
      <c r="QP28" s="123" t="str">
        <f t="shared" si="517"/>
        <v/>
      </c>
      <c r="QQ28" s="123" t="str">
        <f t="shared" si="517"/>
        <v/>
      </c>
      <c r="QR28" s="123" t="str">
        <f t="shared" si="517"/>
        <v/>
      </c>
      <c r="QS28" s="123" t="str">
        <f t="shared" si="517"/>
        <v/>
      </c>
      <c r="QT28" s="123" t="str">
        <f t="shared" si="517"/>
        <v/>
      </c>
      <c r="QU28" s="123" t="str">
        <f t="shared" ref="QU28:RZ28" si="518">IFERROR(RANK(QU7,QU7:QU17,0),"")</f>
        <v/>
      </c>
      <c r="QV28" s="123" t="str">
        <f t="shared" si="518"/>
        <v/>
      </c>
      <c r="QW28" s="123" t="str">
        <f t="shared" si="518"/>
        <v/>
      </c>
      <c r="QX28" s="123" t="str">
        <f t="shared" si="518"/>
        <v/>
      </c>
      <c r="QY28" s="123" t="str">
        <f t="shared" si="518"/>
        <v/>
      </c>
      <c r="QZ28" s="123" t="str">
        <f t="shared" si="518"/>
        <v/>
      </c>
      <c r="RA28" s="123" t="str">
        <f t="shared" si="518"/>
        <v/>
      </c>
      <c r="RB28" s="124" t="str">
        <f t="shared" si="518"/>
        <v/>
      </c>
      <c r="RC28" s="122" t="str">
        <f t="shared" si="518"/>
        <v/>
      </c>
      <c r="RD28" s="123" t="str">
        <f t="shared" si="518"/>
        <v/>
      </c>
      <c r="RE28" s="123" t="str">
        <f t="shared" si="518"/>
        <v/>
      </c>
      <c r="RF28" s="123" t="str">
        <f t="shared" si="518"/>
        <v/>
      </c>
      <c r="RG28" s="123" t="str">
        <f t="shared" si="518"/>
        <v/>
      </c>
      <c r="RH28" s="123" t="str">
        <f t="shared" si="518"/>
        <v/>
      </c>
      <c r="RI28" s="123" t="str">
        <f t="shared" si="518"/>
        <v/>
      </c>
      <c r="RJ28" s="123" t="str">
        <f t="shared" si="518"/>
        <v/>
      </c>
      <c r="RK28" s="123" t="str">
        <f t="shared" si="518"/>
        <v/>
      </c>
      <c r="RL28" s="123" t="str">
        <f t="shared" si="518"/>
        <v/>
      </c>
      <c r="RM28" s="123" t="str">
        <f t="shared" si="518"/>
        <v/>
      </c>
      <c r="RN28" s="123" t="str">
        <f t="shared" si="518"/>
        <v/>
      </c>
      <c r="RO28" s="123" t="str">
        <f t="shared" si="518"/>
        <v/>
      </c>
      <c r="RP28" s="123" t="str">
        <f t="shared" si="518"/>
        <v/>
      </c>
      <c r="RQ28" s="123" t="str">
        <f t="shared" si="518"/>
        <v/>
      </c>
      <c r="RR28" s="123" t="str">
        <f t="shared" si="518"/>
        <v/>
      </c>
      <c r="RS28" s="123" t="str">
        <f t="shared" si="518"/>
        <v/>
      </c>
      <c r="RT28" s="123" t="str">
        <f t="shared" si="518"/>
        <v/>
      </c>
      <c r="RU28" s="123" t="str">
        <f t="shared" si="518"/>
        <v/>
      </c>
      <c r="RV28" s="124" t="str">
        <f t="shared" si="518"/>
        <v/>
      </c>
      <c r="RW28" s="122" t="str">
        <f t="shared" si="518"/>
        <v/>
      </c>
      <c r="RX28" s="123" t="str">
        <f t="shared" si="518"/>
        <v/>
      </c>
      <c r="RY28" s="123" t="str">
        <f t="shared" si="518"/>
        <v/>
      </c>
      <c r="RZ28" s="123" t="str">
        <f t="shared" si="518"/>
        <v/>
      </c>
      <c r="SA28" s="123" t="str">
        <f t="shared" ref="SA28:TF28" si="519">IFERROR(RANK(SA7,SA7:SA17,0),"")</f>
        <v/>
      </c>
      <c r="SB28" s="123" t="str">
        <f t="shared" si="519"/>
        <v/>
      </c>
      <c r="SC28" s="123" t="str">
        <f t="shared" si="519"/>
        <v/>
      </c>
      <c r="SD28" s="123" t="str">
        <f t="shared" si="519"/>
        <v/>
      </c>
      <c r="SE28" s="123" t="str">
        <f t="shared" si="519"/>
        <v/>
      </c>
      <c r="SF28" s="123" t="str">
        <f t="shared" si="519"/>
        <v/>
      </c>
      <c r="SG28" s="123" t="str">
        <f t="shared" si="519"/>
        <v/>
      </c>
      <c r="SH28" s="123" t="str">
        <f t="shared" si="519"/>
        <v/>
      </c>
      <c r="SI28" s="123" t="str">
        <f t="shared" si="519"/>
        <v/>
      </c>
      <c r="SJ28" s="123" t="str">
        <f t="shared" si="519"/>
        <v/>
      </c>
      <c r="SK28" s="123" t="str">
        <f t="shared" si="519"/>
        <v/>
      </c>
      <c r="SL28" s="123" t="str">
        <f t="shared" si="519"/>
        <v/>
      </c>
      <c r="SM28" s="123" t="str">
        <f t="shared" si="519"/>
        <v/>
      </c>
      <c r="SN28" s="123" t="str">
        <f t="shared" si="519"/>
        <v/>
      </c>
      <c r="SO28" s="123" t="str">
        <f t="shared" si="519"/>
        <v/>
      </c>
      <c r="SP28" s="124" t="str">
        <f t="shared" si="519"/>
        <v/>
      </c>
      <c r="SQ28" s="122">
        <f t="shared" si="519"/>
        <v>1</v>
      </c>
      <c r="SR28" s="123" t="str">
        <f t="shared" si="519"/>
        <v/>
      </c>
      <c r="SS28" s="123" t="str">
        <f t="shared" si="519"/>
        <v/>
      </c>
      <c r="ST28" s="123" t="str">
        <f t="shared" si="519"/>
        <v/>
      </c>
      <c r="SU28" s="123" t="str">
        <f t="shared" si="519"/>
        <v/>
      </c>
      <c r="SV28" s="123" t="str">
        <f t="shared" si="519"/>
        <v/>
      </c>
      <c r="SW28" s="123" t="str">
        <f t="shared" si="519"/>
        <v/>
      </c>
      <c r="SX28" s="123" t="str">
        <f t="shared" si="519"/>
        <v/>
      </c>
      <c r="SY28" s="123" t="str">
        <f t="shared" si="519"/>
        <v/>
      </c>
      <c r="SZ28" s="123" t="str">
        <f t="shared" si="519"/>
        <v/>
      </c>
      <c r="TA28" s="123" t="str">
        <f t="shared" si="519"/>
        <v/>
      </c>
      <c r="TB28" s="123" t="str">
        <f t="shared" si="519"/>
        <v/>
      </c>
      <c r="TC28" s="123" t="str">
        <f t="shared" si="519"/>
        <v/>
      </c>
      <c r="TD28" s="123" t="str">
        <f t="shared" si="519"/>
        <v/>
      </c>
      <c r="TE28" s="123" t="str">
        <f t="shared" si="519"/>
        <v/>
      </c>
      <c r="TF28" s="123" t="str">
        <f t="shared" si="519"/>
        <v/>
      </c>
      <c r="TG28" s="123" t="str">
        <f t="shared" ref="TG28:UL28" si="520">IFERROR(RANK(TG7,TG7:TG17,0),"")</f>
        <v/>
      </c>
      <c r="TH28" s="123" t="str">
        <f t="shared" si="520"/>
        <v/>
      </c>
      <c r="TI28" s="123" t="str">
        <f t="shared" si="520"/>
        <v/>
      </c>
      <c r="TJ28" s="124" t="str">
        <f t="shared" si="520"/>
        <v/>
      </c>
      <c r="TK28" s="122" t="str">
        <f t="shared" si="520"/>
        <v/>
      </c>
      <c r="TL28" s="123" t="str">
        <f t="shared" si="520"/>
        <v/>
      </c>
      <c r="TM28" s="123" t="str">
        <f t="shared" si="520"/>
        <v/>
      </c>
      <c r="TN28" s="123" t="str">
        <f t="shared" si="520"/>
        <v/>
      </c>
      <c r="TO28" s="123" t="str">
        <f t="shared" si="520"/>
        <v/>
      </c>
      <c r="TP28" s="123" t="str">
        <f t="shared" si="520"/>
        <v/>
      </c>
      <c r="TQ28" s="123" t="str">
        <f t="shared" si="520"/>
        <v/>
      </c>
      <c r="TR28" s="123" t="str">
        <f t="shared" si="520"/>
        <v/>
      </c>
      <c r="TS28" s="123" t="str">
        <f t="shared" si="520"/>
        <v/>
      </c>
      <c r="TT28" s="123" t="str">
        <f t="shared" si="520"/>
        <v/>
      </c>
      <c r="TU28" s="123" t="str">
        <f t="shared" si="520"/>
        <v/>
      </c>
      <c r="TV28" s="123" t="str">
        <f t="shared" si="520"/>
        <v/>
      </c>
      <c r="TW28" s="123" t="str">
        <f t="shared" si="520"/>
        <v/>
      </c>
      <c r="TX28" s="123" t="str">
        <f t="shared" si="520"/>
        <v/>
      </c>
      <c r="TY28" s="123" t="str">
        <f t="shared" si="520"/>
        <v/>
      </c>
      <c r="TZ28" s="123" t="str">
        <f t="shared" si="520"/>
        <v/>
      </c>
      <c r="UA28" s="123" t="str">
        <f t="shared" si="520"/>
        <v/>
      </c>
      <c r="UB28" s="123" t="str">
        <f t="shared" si="520"/>
        <v/>
      </c>
      <c r="UC28" s="123" t="str">
        <f t="shared" si="520"/>
        <v/>
      </c>
      <c r="UD28" s="124" t="str">
        <f t="shared" si="520"/>
        <v/>
      </c>
      <c r="UE28" s="119">
        <f t="shared" si="520"/>
        <v>1</v>
      </c>
      <c r="UF28" s="120" t="str">
        <f t="shared" si="520"/>
        <v/>
      </c>
      <c r="UG28" s="120" t="str">
        <f t="shared" si="520"/>
        <v/>
      </c>
      <c r="UH28" s="120" t="str">
        <f t="shared" si="520"/>
        <v/>
      </c>
      <c r="UI28" s="120" t="str">
        <f t="shared" si="520"/>
        <v/>
      </c>
      <c r="UJ28" s="120" t="str">
        <f t="shared" si="520"/>
        <v/>
      </c>
      <c r="UK28" s="120" t="str">
        <f t="shared" si="520"/>
        <v/>
      </c>
      <c r="UL28" s="120" t="str">
        <f t="shared" si="520"/>
        <v/>
      </c>
      <c r="UM28" s="120" t="str">
        <f t="shared" ref="UM28:UX28" si="521">IFERROR(RANK(UM7,UM7:UM17,0),"")</f>
        <v/>
      </c>
      <c r="UN28" s="120" t="str">
        <f t="shared" si="521"/>
        <v/>
      </c>
      <c r="UO28" s="120" t="str">
        <f t="shared" si="521"/>
        <v/>
      </c>
      <c r="UP28" s="120" t="str">
        <f t="shared" si="521"/>
        <v/>
      </c>
      <c r="UQ28" s="120" t="str">
        <f t="shared" si="521"/>
        <v/>
      </c>
      <c r="UR28" s="120" t="str">
        <f t="shared" si="521"/>
        <v/>
      </c>
      <c r="US28" s="120" t="str">
        <f t="shared" si="521"/>
        <v/>
      </c>
      <c r="UT28" s="120" t="str">
        <f t="shared" si="521"/>
        <v/>
      </c>
      <c r="UU28" s="120" t="str">
        <f t="shared" si="521"/>
        <v/>
      </c>
      <c r="UV28" s="120" t="str">
        <f t="shared" si="521"/>
        <v/>
      </c>
      <c r="UW28" s="120" t="str">
        <f t="shared" si="521"/>
        <v/>
      </c>
      <c r="UX28" s="121" t="str">
        <f t="shared" si="521"/>
        <v/>
      </c>
      <c r="UY28" s="97"/>
      <c r="UZ28" s="97"/>
      <c r="VA28" s="97"/>
      <c r="VB28" s="97"/>
      <c r="VC28" s="97"/>
      <c r="VD28" s="97"/>
      <c r="VE28" s="97"/>
      <c r="VF28" s="97"/>
      <c r="VG28" s="97"/>
      <c r="VH28" s="97"/>
      <c r="VI28" s="97"/>
      <c r="VJ28" s="97"/>
      <c r="VK28" s="97"/>
      <c r="VL28" s="97"/>
      <c r="VM28" s="97"/>
      <c r="VN28" s="97"/>
      <c r="VO28" s="97"/>
      <c r="VP28" s="97"/>
      <c r="VQ28" s="97"/>
      <c r="VR28" s="97"/>
      <c r="VS28" s="97"/>
      <c r="VT28" s="97"/>
      <c r="VU28" s="97"/>
      <c r="VV28" s="97"/>
      <c r="VW28" s="97"/>
      <c r="VX28" s="97"/>
      <c r="VY28" s="97"/>
      <c r="VZ28" s="97"/>
      <c r="WA28" s="97"/>
      <c r="WB28" s="97"/>
      <c r="WC28" s="97"/>
      <c r="WD28" s="97"/>
      <c r="WE28" s="97"/>
      <c r="WF28" s="97"/>
      <c r="WG28" s="97"/>
      <c r="WH28" s="97"/>
      <c r="WI28" s="97"/>
      <c r="WJ28" s="97"/>
      <c r="WK28" s="97"/>
      <c r="WL28" s="97"/>
      <c r="WM28" s="97"/>
      <c r="WN28" s="97"/>
      <c r="WO28" s="97"/>
      <c r="WP28" s="97"/>
      <c r="WQ28" s="97"/>
      <c r="WR28" s="97"/>
      <c r="WS28" s="97"/>
      <c r="WT28" s="97"/>
      <c r="WU28" s="97"/>
      <c r="WV28" s="97"/>
      <c r="WW28" s="97"/>
      <c r="WX28" s="97"/>
      <c r="WY28" s="97"/>
      <c r="WZ28" s="97"/>
      <c r="XA28" s="97"/>
      <c r="XB28" s="97"/>
      <c r="XC28" s="97"/>
      <c r="XD28" s="97"/>
      <c r="XE28" s="97"/>
      <c r="XF28" s="97"/>
      <c r="XG28" s="97"/>
      <c r="XH28" s="97"/>
      <c r="XI28" s="97"/>
      <c r="XJ28" s="97"/>
      <c r="XK28" s="97"/>
      <c r="XL28" s="97"/>
      <c r="XM28" s="97"/>
      <c r="XN28" s="97"/>
      <c r="XO28" s="97"/>
      <c r="XP28" s="97"/>
      <c r="XQ28" s="97"/>
      <c r="XR28" s="97"/>
      <c r="XS28" s="97"/>
      <c r="XT28" s="97"/>
      <c r="XU28" s="97"/>
      <c r="XV28" s="97"/>
      <c r="XW28" s="97"/>
      <c r="XX28" s="97"/>
      <c r="XY28" s="97"/>
      <c r="XZ28" s="97"/>
      <c r="YA28" s="97"/>
      <c r="YB28" s="97"/>
      <c r="YC28" s="97"/>
      <c r="YD28" s="97"/>
      <c r="YE28" s="97"/>
      <c r="YF28" s="97"/>
      <c r="YG28" s="97"/>
      <c r="YH28" s="97"/>
      <c r="YI28" s="97"/>
      <c r="YJ28" s="97"/>
      <c r="YK28" s="97"/>
      <c r="YL28" s="97"/>
      <c r="YM28" s="97"/>
      <c r="YN28" s="97"/>
      <c r="YO28" s="97"/>
      <c r="YP28" s="97"/>
      <c r="YQ28" s="97"/>
      <c r="YR28" s="97"/>
      <c r="YS28" s="97"/>
      <c r="YT28" s="97"/>
      <c r="YU28" s="97"/>
      <c r="YV28" s="97"/>
      <c r="YW28" s="97"/>
      <c r="YX28" s="97"/>
      <c r="YY28" s="97"/>
      <c r="YZ28" s="97"/>
      <c r="ZA28" s="97"/>
      <c r="ZB28" s="97"/>
      <c r="ZC28" s="97"/>
      <c r="ZD28" s="97"/>
      <c r="ZE28" s="97"/>
      <c r="ZF28" s="97"/>
      <c r="ZG28" s="97"/>
      <c r="ZH28" s="97"/>
      <c r="ZI28" s="97"/>
      <c r="ZJ28" s="97"/>
      <c r="ZK28" s="97"/>
      <c r="ZL28" s="97"/>
      <c r="ZM28" s="97"/>
      <c r="ZN28" s="97"/>
      <c r="ZO28" s="97"/>
      <c r="ZP28" s="97"/>
      <c r="ZQ28" s="97"/>
      <c r="ZR28" s="97"/>
      <c r="ZS28" s="97"/>
      <c r="ZT28" s="97"/>
      <c r="ZU28" s="97"/>
      <c r="ZV28" s="97"/>
      <c r="ZW28" s="97"/>
      <c r="ZX28" s="97"/>
      <c r="ZY28" s="97"/>
      <c r="ZZ28" s="97"/>
      <c r="AAA28" s="97"/>
      <c r="AAB28" s="97"/>
      <c r="AAC28" s="97"/>
      <c r="AAD28" s="97"/>
      <c r="AAE28" s="97"/>
      <c r="AAF28" s="97"/>
      <c r="AAG28" s="97"/>
      <c r="AAH28" s="97"/>
      <c r="AAI28" s="97"/>
      <c r="AAJ28" s="97"/>
      <c r="AAK28" s="97"/>
      <c r="AAL28" s="97"/>
      <c r="AAM28" s="97"/>
      <c r="AAN28" s="97"/>
      <c r="AAO28" s="97"/>
      <c r="AAP28" s="97"/>
      <c r="AAQ28" s="97"/>
      <c r="AAR28" s="97"/>
      <c r="AAS28" s="97"/>
      <c r="AAT28" s="97"/>
      <c r="AAU28" s="97"/>
      <c r="AAV28" s="97"/>
      <c r="AAW28" s="97"/>
      <c r="AAX28" s="97"/>
      <c r="AAY28" s="97"/>
      <c r="AAZ28" s="97"/>
      <c r="ABA28" s="97"/>
      <c r="ABB28" s="97"/>
      <c r="ABC28" s="97"/>
      <c r="ABD28" s="97"/>
      <c r="ABE28" s="97"/>
      <c r="ABF28" s="97"/>
      <c r="ABG28" s="97"/>
      <c r="ABH28" s="97"/>
      <c r="ABI28" s="97"/>
      <c r="ABJ28" s="97"/>
      <c r="ABK28" s="97"/>
      <c r="ABL28" s="97"/>
      <c r="ABM28" s="97"/>
      <c r="ABN28" s="97"/>
      <c r="ABO28" s="97"/>
      <c r="ABP28" s="97"/>
      <c r="ABQ28" s="97"/>
      <c r="ABR28" s="97"/>
      <c r="ABS28" s="97"/>
      <c r="ABT28" s="97"/>
      <c r="ABU28" s="97"/>
      <c r="ABV28" s="97"/>
      <c r="ABW28" s="97"/>
      <c r="ABX28" s="97"/>
      <c r="ABY28" s="97"/>
      <c r="ABZ28" s="97"/>
      <c r="ACA28" s="97"/>
      <c r="ACB28" s="97"/>
      <c r="ACC28" s="97"/>
      <c r="ACD28" s="97"/>
      <c r="ACE28" s="97"/>
      <c r="ACF28" s="97"/>
      <c r="ACG28" s="97"/>
      <c r="ACH28" s="97"/>
      <c r="ACI28" s="97"/>
      <c r="ACJ28" s="97"/>
      <c r="ACK28" s="97"/>
      <c r="ACL28" s="97"/>
      <c r="ACM28" s="97"/>
      <c r="ACN28" s="97"/>
      <c r="ACO28" s="97"/>
      <c r="ACP28" s="97"/>
      <c r="ACQ28" s="97"/>
      <c r="ACR28" s="97"/>
      <c r="ACS28" s="97"/>
      <c r="ACT28" s="97"/>
      <c r="ACU28" s="97"/>
      <c r="ACV28" s="97"/>
      <c r="ACW28" s="97"/>
      <c r="ACX28" s="97"/>
      <c r="ACY28" s="97"/>
      <c r="ACZ28" s="97"/>
      <c r="ADA28" s="97"/>
      <c r="ADB28" s="97"/>
      <c r="ADC28" s="97"/>
      <c r="ADD28" s="97"/>
      <c r="ADE28" s="97"/>
      <c r="ADF28" s="97"/>
      <c r="ADG28" s="97"/>
      <c r="ADH28" s="97"/>
      <c r="ADI28" s="97"/>
      <c r="ADJ28" s="97"/>
      <c r="ADK28" s="97"/>
      <c r="ADL28" s="97"/>
      <c r="ADM28" s="97"/>
      <c r="ADN28" s="97"/>
      <c r="ADO28" s="97"/>
      <c r="ADP28" s="97"/>
      <c r="ADQ28" s="97"/>
      <c r="ADR28" s="97"/>
      <c r="ADS28" s="97"/>
      <c r="ADT28" s="97"/>
      <c r="ADU28" s="97"/>
      <c r="ADV28" s="97"/>
      <c r="ADW28" s="97"/>
      <c r="ADX28" s="97"/>
      <c r="ADY28" s="97"/>
      <c r="ADZ28" s="97"/>
      <c r="AEA28" s="97"/>
      <c r="AEB28" s="97"/>
      <c r="AEC28" s="97"/>
      <c r="AED28" s="97"/>
      <c r="AEE28" s="97"/>
      <c r="AEF28" s="97"/>
      <c r="AEG28" s="97"/>
      <c r="AEH28" s="97"/>
      <c r="AEI28" s="97"/>
      <c r="AEJ28" s="97"/>
      <c r="AEK28" s="97"/>
      <c r="AEL28" s="97"/>
      <c r="AEM28" s="97"/>
      <c r="AEN28" s="97"/>
      <c r="AEO28" s="97"/>
      <c r="AEP28" s="97"/>
      <c r="AEQ28" s="97"/>
      <c r="AER28" s="97"/>
      <c r="AES28" s="97"/>
      <c r="AET28" s="97"/>
      <c r="AEU28" s="97"/>
      <c r="AEV28" s="97"/>
      <c r="AEW28" s="97"/>
      <c r="AEX28" s="97"/>
      <c r="AEY28" s="97"/>
      <c r="AEZ28" s="97"/>
      <c r="AFA28" s="97"/>
      <c r="AFB28" s="97"/>
      <c r="AFC28" s="97"/>
      <c r="AFD28" s="97"/>
      <c r="AFE28" s="97"/>
      <c r="AFF28" s="97"/>
      <c r="AFG28" s="97"/>
      <c r="AFH28" s="97"/>
      <c r="AFI28" s="97"/>
      <c r="AFJ28" s="97"/>
      <c r="AFK28" s="97"/>
      <c r="AFL28" s="97"/>
      <c r="AFM28" s="97"/>
      <c r="AFN28" s="97"/>
      <c r="AFO28" s="97"/>
      <c r="AFP28" s="97"/>
      <c r="AFQ28" s="97"/>
      <c r="AFR28" s="97"/>
      <c r="AFS28" s="97"/>
      <c r="AFT28" s="97"/>
      <c r="AFU28" s="97"/>
      <c r="AFV28" s="97"/>
      <c r="AFW28" s="97"/>
      <c r="AFX28" s="97"/>
      <c r="AFY28" s="97"/>
      <c r="AFZ28" s="97"/>
      <c r="AGA28" s="97"/>
      <c r="AGB28" s="97"/>
      <c r="AGC28" s="97"/>
      <c r="AGD28" s="97"/>
      <c r="AGE28" s="97"/>
      <c r="AGF28" s="97"/>
      <c r="AGG28" s="97"/>
      <c r="AGH28" s="97"/>
      <c r="AGI28" s="97"/>
      <c r="AGJ28" s="97"/>
      <c r="AGK28" s="97"/>
      <c r="AGL28" s="97"/>
      <c r="AGM28" s="97"/>
      <c r="AGN28" s="97"/>
      <c r="AGO28" s="97"/>
      <c r="AGP28" s="97"/>
      <c r="AGQ28" s="97"/>
      <c r="AGR28" s="97"/>
      <c r="AGS28" s="97"/>
      <c r="AGT28" s="97"/>
      <c r="AGU28" s="97"/>
      <c r="AGV28" s="97"/>
      <c r="AGW28" s="97"/>
      <c r="AGX28" s="97"/>
      <c r="AGY28" s="97"/>
      <c r="AGZ28" s="97"/>
      <c r="AHA28" s="97"/>
      <c r="AHB28" s="97"/>
      <c r="AHC28" s="97"/>
      <c r="AHD28" s="97"/>
      <c r="AHE28" s="97"/>
      <c r="AHF28" s="97"/>
      <c r="AHG28" s="97"/>
      <c r="AHH28" s="97"/>
      <c r="AHI28" s="97"/>
      <c r="AHJ28" s="97"/>
      <c r="AHK28" s="97"/>
      <c r="AHL28" s="97"/>
      <c r="AHM28" s="97"/>
      <c r="AHN28" s="97"/>
      <c r="AHO28" s="97"/>
      <c r="AHP28" s="97"/>
      <c r="AHQ28" s="97"/>
      <c r="AHR28" s="97"/>
      <c r="AHS28" s="97"/>
      <c r="AHT28" s="97"/>
      <c r="AHU28" s="97"/>
      <c r="AHV28" s="97"/>
      <c r="AHW28" s="97"/>
      <c r="AHX28" s="97"/>
      <c r="AHY28" s="97"/>
      <c r="AHZ28" s="97"/>
      <c r="AIA28" s="97"/>
      <c r="AIB28" s="97"/>
      <c r="AIC28" s="97"/>
      <c r="AID28" s="97"/>
      <c r="AIE28" s="97"/>
      <c r="AIF28" s="97"/>
      <c r="AIG28" s="97"/>
      <c r="AIH28" s="97"/>
      <c r="AII28" s="97"/>
      <c r="AIJ28" s="97"/>
      <c r="AIK28" s="97"/>
      <c r="AIL28" s="97"/>
      <c r="AIM28" s="97"/>
      <c r="AIN28" s="97"/>
      <c r="AIO28" s="97"/>
      <c r="AIP28" s="97"/>
      <c r="AIQ28" s="97"/>
      <c r="AIR28" s="97"/>
      <c r="AIS28" s="97"/>
      <c r="AIT28" s="97"/>
      <c r="AIU28" s="97"/>
      <c r="AIV28" s="97"/>
      <c r="AIW28" s="97"/>
      <c r="AIX28" s="97"/>
      <c r="AIY28" s="97"/>
      <c r="AIZ28" s="97"/>
      <c r="AJA28" s="97"/>
      <c r="AJB28" s="97"/>
      <c r="AJC28" s="97"/>
      <c r="AJD28" s="97"/>
      <c r="AJE28" s="97"/>
      <c r="AJF28" s="97"/>
      <c r="AJG28" s="97"/>
      <c r="AJH28" s="97"/>
      <c r="AJI28" s="97"/>
      <c r="AJJ28" s="97"/>
      <c r="AJK28" s="97"/>
      <c r="AJL28" s="97"/>
      <c r="AJM28" s="97"/>
      <c r="AJN28" s="97"/>
      <c r="AJO28" s="97"/>
      <c r="AJP28" s="97"/>
      <c r="AJQ28" s="97"/>
      <c r="AJR28" s="97"/>
      <c r="AJS28" s="97"/>
      <c r="AJT28" s="97"/>
      <c r="AJU28" s="97"/>
      <c r="AJV28" s="97"/>
      <c r="AJW28" s="97"/>
      <c r="AJX28" s="97"/>
      <c r="AJY28" s="97"/>
      <c r="AJZ28" s="97"/>
      <c r="AKA28" s="97"/>
      <c r="AKB28" s="97"/>
      <c r="AKC28" s="97"/>
      <c r="AKD28" s="97"/>
      <c r="AKE28" s="97"/>
      <c r="AKF28" s="97"/>
      <c r="AKG28" s="97"/>
      <c r="AKH28" s="97"/>
      <c r="AKI28" s="97"/>
      <c r="AKJ28" s="97"/>
      <c r="AKK28" s="97"/>
      <c r="AKL28" s="97"/>
      <c r="AKM28" s="97"/>
      <c r="AKN28" s="97"/>
      <c r="AKO28" s="97"/>
      <c r="AKP28" s="97"/>
      <c r="AKQ28" s="97"/>
      <c r="AKR28" s="97"/>
      <c r="AKS28" s="97"/>
      <c r="AKT28" s="97"/>
      <c r="AKU28" s="97"/>
      <c r="AKV28" s="97"/>
      <c r="AKW28" s="97"/>
      <c r="AKX28" s="97"/>
      <c r="AKY28" s="97"/>
      <c r="AKZ28" s="97"/>
      <c r="ALA28" s="97"/>
      <c r="ALB28" s="97"/>
      <c r="ALC28" s="97"/>
      <c r="ALD28" s="97"/>
      <c r="ALE28" s="97"/>
      <c r="ALF28" s="97"/>
      <c r="ALG28" s="97"/>
      <c r="ALH28" s="97"/>
      <c r="ALI28" s="97"/>
      <c r="ALJ28" s="97"/>
      <c r="ALK28" s="97"/>
      <c r="ALL28" s="97"/>
      <c r="ALM28" s="97"/>
      <c r="ALN28" s="97"/>
      <c r="ALO28" s="97"/>
      <c r="ALP28" s="97"/>
      <c r="ALQ28" s="97"/>
      <c r="ALR28" s="97"/>
      <c r="ALS28" s="97"/>
      <c r="ALT28" s="97"/>
      <c r="ALU28" s="97"/>
      <c r="ALV28" s="97"/>
      <c r="ALW28" s="97"/>
      <c r="ALX28" s="97"/>
      <c r="ALY28" s="97"/>
      <c r="ALZ28" s="97"/>
      <c r="AMA28" s="97"/>
      <c r="AMB28" s="97"/>
      <c r="AMC28" s="97"/>
      <c r="AMD28" s="97"/>
      <c r="AME28" s="97"/>
      <c r="AMF28" s="97"/>
      <c r="AMG28" s="97"/>
      <c r="AMH28" s="97"/>
      <c r="AMI28" s="97"/>
      <c r="AMJ28" s="97"/>
      <c r="AMK28" s="97"/>
      <c r="AML28" s="97"/>
      <c r="AMM28" s="97"/>
      <c r="AMN28" s="97"/>
      <c r="AMO28" s="97"/>
      <c r="AMP28" s="97"/>
      <c r="AMQ28" s="97"/>
      <c r="AMR28" s="97"/>
      <c r="AMS28" s="97"/>
      <c r="AMT28" s="97"/>
      <c r="AMU28" s="97"/>
      <c r="AMV28" s="97"/>
      <c r="AMW28" s="97"/>
      <c r="AMX28" s="97"/>
      <c r="AMY28" s="97"/>
      <c r="AMZ28" s="97"/>
      <c r="ANA28" s="97"/>
      <c r="ANB28" s="97"/>
      <c r="ANC28" s="97"/>
      <c r="AND28" s="97"/>
      <c r="ANE28" s="97"/>
      <c r="ANF28" s="97"/>
      <c r="ANG28" s="97"/>
      <c r="ANH28" s="97"/>
      <c r="ANI28" s="97"/>
      <c r="ANJ28" s="97"/>
      <c r="ANK28" s="97"/>
      <c r="ANL28" s="97"/>
      <c r="ANM28" s="97"/>
      <c r="ANN28" s="97"/>
      <c r="ANO28" s="97"/>
      <c r="ANP28" s="97"/>
      <c r="ANQ28" s="97"/>
      <c r="ANR28" s="97"/>
      <c r="ANS28" s="97"/>
      <c r="ANT28" s="97"/>
      <c r="ANU28" s="97"/>
      <c r="ANV28" s="97"/>
      <c r="ANW28" s="97"/>
      <c r="ANX28" s="97"/>
      <c r="ANY28" s="97"/>
      <c r="ANZ28" s="97"/>
      <c r="AOA28" s="97"/>
      <c r="AOB28" s="97"/>
      <c r="AOC28" s="97"/>
      <c r="AOD28" s="97"/>
      <c r="AOE28" s="97"/>
      <c r="AOF28" s="97"/>
      <c r="AOG28" s="97"/>
      <c r="AOH28" s="97"/>
      <c r="AOI28" s="97"/>
      <c r="AOJ28" s="97"/>
      <c r="AOK28" s="97"/>
      <c r="AOL28" s="97"/>
      <c r="AOM28" s="97"/>
      <c r="AON28" s="97"/>
      <c r="AOO28" s="97"/>
      <c r="AOP28" s="97"/>
      <c r="AOQ28" s="97"/>
      <c r="AOR28" s="97"/>
      <c r="AOS28" s="97"/>
      <c r="AOT28" s="97"/>
      <c r="AOU28" s="97"/>
      <c r="AOV28" s="97"/>
      <c r="AOW28" s="97"/>
      <c r="AOX28" s="97"/>
      <c r="AOY28" s="97"/>
      <c r="AOZ28" s="97"/>
      <c r="APA28" s="97"/>
      <c r="APB28" s="97"/>
      <c r="APC28" s="97"/>
      <c r="APD28" s="97"/>
      <c r="APE28" s="97"/>
      <c r="APF28" s="97"/>
      <c r="APG28" s="97"/>
      <c r="APH28" s="97"/>
      <c r="API28" s="97"/>
      <c r="APJ28" s="97"/>
      <c r="APK28" s="97"/>
      <c r="APL28" s="97"/>
      <c r="APM28" s="97"/>
      <c r="APN28" s="97"/>
      <c r="APO28" s="97"/>
      <c r="APP28" s="97"/>
      <c r="APQ28" s="97"/>
      <c r="APR28" s="97"/>
      <c r="APS28" s="97"/>
      <c r="APT28" s="97"/>
      <c r="APU28" s="97"/>
      <c r="APV28" s="97"/>
      <c r="APW28" s="97"/>
      <c r="APX28" s="97"/>
      <c r="APY28" s="97"/>
      <c r="APZ28" s="97"/>
      <c r="AQA28" s="97"/>
      <c r="AQB28" s="97"/>
      <c r="AQC28" s="97"/>
      <c r="AQD28" s="97"/>
      <c r="AQE28" s="97"/>
      <c r="AQF28" s="97"/>
      <c r="AQG28" s="97"/>
      <c r="AQH28" s="97"/>
      <c r="AQI28" s="97"/>
      <c r="AQJ28" s="97"/>
      <c r="AQK28" s="97"/>
      <c r="AQL28" s="97"/>
      <c r="AQM28" s="97"/>
      <c r="AQN28" s="97"/>
      <c r="AQO28" s="97"/>
      <c r="AQP28" s="97"/>
      <c r="AQQ28" s="97"/>
      <c r="AQR28" s="97"/>
      <c r="AQS28" s="97"/>
      <c r="AQT28" s="97"/>
      <c r="AQU28" s="97"/>
      <c r="AQV28" s="97"/>
      <c r="AQW28" s="97"/>
      <c r="AQX28" s="97"/>
      <c r="AQY28" s="97"/>
      <c r="AQZ28" s="97"/>
      <c r="ARA28" s="97"/>
      <c r="ARB28" s="97"/>
      <c r="ARC28" s="97"/>
      <c r="ARD28" s="97"/>
      <c r="ARE28" s="97"/>
      <c r="ARF28" s="97"/>
      <c r="ARG28" s="97"/>
      <c r="ARH28" s="97"/>
      <c r="ARI28" s="97"/>
      <c r="ARJ28" s="97"/>
      <c r="ARK28" s="97"/>
      <c r="ARL28" s="97"/>
      <c r="ARM28" s="97"/>
      <c r="ARN28" s="97"/>
      <c r="ARO28" s="97"/>
      <c r="ARP28" s="97"/>
      <c r="ARQ28" s="97"/>
      <c r="ARR28" s="97"/>
      <c r="ARS28" s="97"/>
      <c r="ART28" s="97"/>
      <c r="ARU28" s="97"/>
      <c r="ARV28" s="97"/>
      <c r="ARW28" s="97"/>
      <c r="ARX28" s="97"/>
      <c r="ARY28" s="97"/>
      <c r="ARZ28" s="97"/>
      <c r="ASA28" s="97"/>
      <c r="ASB28" s="97"/>
      <c r="ASC28" s="97"/>
      <c r="ASD28" s="97"/>
      <c r="ASE28" s="97"/>
      <c r="ASF28" s="97"/>
      <c r="ASG28" s="97"/>
      <c r="ASH28" s="97"/>
      <c r="ASI28" s="97"/>
      <c r="ASJ28" s="97"/>
      <c r="ASK28" s="97"/>
      <c r="ASL28" s="97"/>
      <c r="ASM28" s="97"/>
      <c r="ASN28" s="97"/>
      <c r="ASO28" s="97"/>
      <c r="ASP28" s="97"/>
      <c r="ASQ28" s="97"/>
      <c r="ASR28" s="97"/>
      <c r="ASS28" s="97"/>
      <c r="AST28" s="97"/>
      <c r="ASU28" s="97"/>
      <c r="ASV28" s="97"/>
      <c r="ASW28" s="97"/>
      <c r="ASX28" s="97"/>
      <c r="ASY28" s="97"/>
      <c r="ASZ28" s="97"/>
      <c r="ATA28" s="97"/>
      <c r="ATB28" s="97"/>
      <c r="ATC28" s="97"/>
      <c r="ATD28" s="97"/>
      <c r="ATE28" s="97"/>
      <c r="ATF28" s="97"/>
      <c r="ATG28" s="97"/>
      <c r="ATH28" s="97"/>
      <c r="ATI28" s="97"/>
      <c r="ATJ28" s="97"/>
      <c r="ATK28" s="97"/>
      <c r="ATL28" s="97"/>
      <c r="ATM28" s="97"/>
      <c r="ATN28" s="97"/>
      <c r="ATO28" s="97"/>
      <c r="ATP28" s="97"/>
      <c r="ATQ28" s="97"/>
      <c r="ATR28" s="97"/>
      <c r="ATS28" s="97"/>
      <c r="ATT28" s="97"/>
      <c r="ATU28" s="97"/>
      <c r="ATV28" s="97"/>
      <c r="ATW28" s="97"/>
      <c r="ATX28" s="97"/>
      <c r="ATY28" s="97"/>
      <c r="ATZ28" s="97"/>
      <c r="AUA28" s="97"/>
      <c r="AUB28" s="97"/>
      <c r="AUC28" s="97"/>
      <c r="AUD28" s="97"/>
      <c r="AUE28" s="97"/>
      <c r="AUF28" s="97"/>
      <c r="AUG28" s="97"/>
      <c r="AUH28" s="97"/>
      <c r="AUI28" s="97"/>
      <c r="AUJ28" s="97"/>
      <c r="AUK28" s="97"/>
      <c r="AUL28" s="97"/>
      <c r="AUM28" s="97"/>
      <c r="AUN28" s="97"/>
      <c r="AUO28" s="97"/>
      <c r="AUP28" s="97"/>
      <c r="AUQ28" s="97"/>
      <c r="AUR28" s="97"/>
      <c r="AUS28" s="97"/>
      <c r="AUT28" s="97"/>
      <c r="AUU28" s="97"/>
      <c r="AUV28" s="97"/>
      <c r="AUW28" s="97"/>
      <c r="AUX28" s="97"/>
      <c r="AUY28" s="97"/>
      <c r="AUZ28" s="97"/>
      <c r="AVA28" s="97"/>
      <c r="AVB28" s="97"/>
      <c r="AVC28" s="97"/>
      <c r="AVD28" s="97"/>
      <c r="AVE28" s="97"/>
      <c r="AVF28" s="97"/>
      <c r="AVG28" s="97"/>
      <c r="AVH28" s="97"/>
      <c r="AVI28" s="97"/>
      <c r="AVJ28" s="97"/>
      <c r="AVK28" s="97"/>
      <c r="AVL28" s="97"/>
      <c r="AVM28" s="97"/>
      <c r="AVN28" s="97"/>
      <c r="AVO28" s="97"/>
      <c r="AVP28" s="97"/>
      <c r="AVQ28" s="97"/>
      <c r="AVR28" s="97"/>
      <c r="AVS28" s="97"/>
      <c r="AVT28" s="97"/>
      <c r="AVU28" s="97"/>
      <c r="AVV28" s="97"/>
      <c r="AVW28" s="97"/>
      <c r="AVX28" s="97"/>
      <c r="AVY28" s="97"/>
      <c r="AVZ28" s="97"/>
      <c r="AWA28" s="97"/>
      <c r="AWB28" s="97"/>
      <c r="AWC28" s="97"/>
      <c r="AWD28" s="97"/>
      <c r="AWE28" s="97"/>
      <c r="AWF28" s="97"/>
      <c r="AWG28" s="97"/>
      <c r="AWH28" s="97"/>
      <c r="AWI28" s="97"/>
      <c r="AWJ28" s="97"/>
      <c r="AWK28" s="97"/>
      <c r="AWL28" s="97"/>
      <c r="AWM28" s="97"/>
      <c r="AWN28" s="97"/>
      <c r="AWO28" s="97"/>
      <c r="AWP28" s="97"/>
      <c r="AWQ28" s="97"/>
      <c r="AWR28" s="97"/>
      <c r="AWS28" s="97"/>
      <c r="AWT28" s="97"/>
      <c r="AWU28" s="97"/>
      <c r="AWV28" s="97"/>
      <c r="AWW28" s="97"/>
      <c r="AWX28" s="97"/>
      <c r="AWY28" s="97"/>
      <c r="AWZ28" s="97"/>
      <c r="AXA28" s="97"/>
      <c r="AXB28" s="97"/>
      <c r="AXC28" s="97"/>
      <c r="AXD28" s="97"/>
      <c r="AXE28" s="97"/>
      <c r="AXF28" s="97"/>
      <c r="AXG28" s="97"/>
      <c r="AXH28" s="97"/>
      <c r="AXI28" s="97"/>
      <c r="AXJ28" s="97"/>
      <c r="AXK28" s="97"/>
      <c r="AXL28" s="97"/>
      <c r="AXM28" s="97"/>
      <c r="AXN28" s="97"/>
      <c r="AXO28" s="97"/>
      <c r="AXP28" s="97"/>
      <c r="AXQ28" s="97"/>
      <c r="AXR28" s="97"/>
      <c r="AXS28" s="97"/>
      <c r="AXT28" s="97"/>
      <c r="AXU28" s="97"/>
      <c r="AXV28" s="97"/>
      <c r="AXW28" s="97"/>
      <c r="AXX28" s="97"/>
      <c r="AXY28" s="97"/>
      <c r="AXZ28" s="97"/>
      <c r="AYA28" s="97"/>
      <c r="AYB28" s="97"/>
      <c r="AYC28" s="97"/>
      <c r="AYD28" s="97"/>
      <c r="AYE28" s="97"/>
      <c r="AYF28" s="97"/>
      <c r="AYG28" s="97"/>
      <c r="AYH28" s="97"/>
      <c r="AYI28" s="97"/>
      <c r="AYJ28" s="97"/>
      <c r="AYK28" s="97"/>
      <c r="AYL28" s="97"/>
      <c r="AYM28" s="97"/>
      <c r="AYN28" s="97"/>
      <c r="AYO28" s="97"/>
      <c r="AYP28" s="97"/>
      <c r="AYQ28" s="97"/>
      <c r="AYR28" s="97"/>
      <c r="AYS28" s="97"/>
      <c r="AYT28" s="97"/>
      <c r="AYU28" s="97"/>
      <c r="AYV28" s="97"/>
      <c r="AYW28" s="97"/>
      <c r="AYX28" s="97"/>
      <c r="AYY28" s="97"/>
      <c r="AYZ28" s="97"/>
      <c r="AZA28" s="97"/>
      <c r="AZB28" s="97"/>
      <c r="AZC28" s="97"/>
      <c r="AZD28" s="97"/>
      <c r="AZE28" s="97"/>
      <c r="AZF28" s="97"/>
      <c r="AZG28" s="97"/>
      <c r="AZH28" s="97"/>
      <c r="AZI28" s="97"/>
      <c r="AZJ28" s="97"/>
      <c r="AZK28" s="97"/>
      <c r="AZL28" s="97"/>
      <c r="AZM28" s="97"/>
      <c r="AZN28" s="97"/>
      <c r="AZO28" s="97"/>
      <c r="AZP28" s="97"/>
      <c r="AZQ28" s="97"/>
      <c r="AZR28" s="97"/>
      <c r="AZS28" s="97"/>
      <c r="AZT28" s="97"/>
      <c r="AZU28" s="97"/>
      <c r="AZV28" s="97"/>
      <c r="AZW28" s="97"/>
      <c r="AZX28" s="97"/>
      <c r="AZY28" s="97"/>
      <c r="AZZ28" s="97"/>
      <c r="BAA28" s="97"/>
      <c r="BAB28" s="97"/>
      <c r="BAC28" s="97"/>
      <c r="BAD28" s="97"/>
      <c r="BAE28" s="97"/>
      <c r="BAF28" s="97"/>
      <c r="BAG28" s="97"/>
      <c r="BAH28" s="97"/>
      <c r="BAI28" s="97"/>
      <c r="BAJ28" s="97"/>
      <c r="BAK28" s="97"/>
      <c r="BAL28" s="97"/>
      <c r="BAM28" s="97"/>
      <c r="BAN28" s="97"/>
      <c r="BAO28" s="97"/>
      <c r="BAP28" s="97"/>
      <c r="BAQ28" s="97"/>
      <c r="BAR28" s="97"/>
      <c r="BAS28" s="97"/>
      <c r="BAT28" s="97"/>
      <c r="BAU28" s="97"/>
      <c r="BAV28" s="97"/>
      <c r="BAW28" s="97"/>
      <c r="BAX28" s="97"/>
      <c r="BAY28" s="97"/>
      <c r="BAZ28" s="97"/>
      <c r="BBA28" s="97"/>
      <c r="BBB28" s="97"/>
      <c r="BBC28" s="97"/>
      <c r="BBD28" s="97"/>
      <c r="BBE28" s="97"/>
      <c r="BBF28" s="97"/>
      <c r="BBG28" s="97"/>
      <c r="BBH28" s="97"/>
      <c r="BBI28" s="97"/>
      <c r="BBJ28" s="97"/>
      <c r="BBK28" s="97"/>
      <c r="BBL28" s="97"/>
      <c r="BBM28" s="97"/>
      <c r="BBN28" s="97"/>
      <c r="BBO28" s="97"/>
      <c r="BBP28" s="97"/>
      <c r="BBQ28" s="97"/>
      <c r="BBR28" s="97"/>
      <c r="BBS28" s="97"/>
      <c r="BBT28" s="97"/>
      <c r="BBU28" s="97"/>
      <c r="BBV28" s="97"/>
      <c r="BBW28" s="97"/>
      <c r="BBX28" s="97"/>
      <c r="BBY28" s="97"/>
      <c r="BBZ28" s="97"/>
      <c r="BCA28" s="97"/>
      <c r="BCB28" s="97"/>
      <c r="BCC28" s="97"/>
      <c r="BCD28" s="97"/>
      <c r="BCE28" s="97"/>
      <c r="BCF28" s="97"/>
      <c r="BCG28" s="97"/>
      <c r="BCH28" s="97"/>
      <c r="BCI28" s="97"/>
      <c r="BCJ28" s="97"/>
      <c r="BCK28" s="97"/>
      <c r="BCL28" s="97"/>
      <c r="BCM28" s="97"/>
      <c r="BCN28" s="97"/>
      <c r="BCO28" s="97"/>
      <c r="BCP28" s="97"/>
      <c r="BCQ28" s="97"/>
      <c r="BCR28" s="97"/>
      <c r="BCS28" s="97"/>
      <c r="BCT28" s="97"/>
      <c r="BCU28" s="97"/>
      <c r="BCV28" s="97"/>
      <c r="BCW28" s="97"/>
      <c r="BCX28" s="97"/>
      <c r="BCY28" s="97"/>
      <c r="BCZ28" s="97"/>
      <c r="BDA28" s="97"/>
      <c r="BDB28" s="97"/>
      <c r="BDC28" s="97"/>
      <c r="BDD28" s="97"/>
      <c r="BDE28" s="97"/>
      <c r="BDF28" s="97"/>
      <c r="BDG28" s="97"/>
      <c r="BDH28" s="97"/>
      <c r="BDI28" s="97"/>
      <c r="BDJ28" s="97"/>
      <c r="BDK28" s="97"/>
      <c r="BDL28" s="97"/>
      <c r="BDM28" s="97"/>
      <c r="BDN28" s="97"/>
      <c r="BDO28" s="97"/>
      <c r="BDP28" s="97"/>
      <c r="BDQ28" s="97"/>
      <c r="BDR28" s="97"/>
      <c r="BDS28" s="97"/>
      <c r="BDT28" s="97"/>
      <c r="BDU28" s="97"/>
      <c r="BDV28" s="97"/>
      <c r="BDW28" s="97"/>
      <c r="BDX28" s="97"/>
      <c r="BDY28" s="97"/>
      <c r="BDZ28" s="97"/>
      <c r="BEA28" s="97"/>
      <c r="BEB28" s="97"/>
      <c r="BEC28" s="97"/>
      <c r="BED28" s="97"/>
      <c r="BEE28" s="97"/>
      <c r="BEF28" s="97"/>
      <c r="BEG28" s="97"/>
      <c r="BEH28" s="97"/>
      <c r="BEI28" s="97"/>
      <c r="BEJ28" s="97"/>
      <c r="BEK28" s="97"/>
      <c r="BEL28" s="97"/>
      <c r="BEM28" s="97"/>
      <c r="BEN28" s="97"/>
      <c r="BEO28" s="97"/>
      <c r="BEP28" s="97"/>
      <c r="BEQ28" s="97"/>
      <c r="BER28" s="97"/>
      <c r="BES28" s="97"/>
      <c r="BET28" s="97"/>
      <c r="BEU28" s="97"/>
      <c r="BEV28" s="97"/>
      <c r="BEW28" s="97"/>
      <c r="BEX28" s="97"/>
      <c r="BEY28" s="97"/>
      <c r="BEZ28" s="97"/>
      <c r="BFA28" s="97"/>
      <c r="BFB28" s="97"/>
      <c r="BFC28" s="97"/>
      <c r="BFD28" s="97"/>
      <c r="BFE28" s="97"/>
      <c r="BFF28" s="97"/>
      <c r="BFG28" s="97"/>
      <c r="BFH28" s="97"/>
      <c r="BFI28" s="97"/>
      <c r="BFJ28" s="97"/>
      <c r="BFK28" s="97"/>
      <c r="BFL28" s="97"/>
      <c r="BFM28" s="97"/>
      <c r="BFN28" s="97"/>
      <c r="BFO28" s="97"/>
      <c r="BFP28" s="97"/>
      <c r="BFQ28" s="97"/>
      <c r="BFR28" s="97"/>
      <c r="BFS28" s="97"/>
      <c r="BFT28" s="97"/>
      <c r="BFU28" s="97"/>
      <c r="BFV28" s="97"/>
      <c r="BFW28" s="97"/>
      <c r="BFX28" s="97"/>
      <c r="BFY28" s="97"/>
      <c r="BFZ28" s="97"/>
      <c r="BGA28" s="97"/>
      <c r="BGB28" s="97"/>
      <c r="BGC28" s="97"/>
      <c r="BGD28" s="97"/>
      <c r="BGE28" s="97"/>
      <c r="BGF28" s="97"/>
      <c r="BGG28" s="97"/>
      <c r="BGH28" s="97"/>
      <c r="BGI28" s="97"/>
      <c r="BGJ28" s="97"/>
      <c r="BGK28" s="97"/>
      <c r="BGL28" s="97"/>
      <c r="BGM28" s="97"/>
      <c r="BGN28" s="97"/>
      <c r="BGO28" s="97"/>
      <c r="BGP28" s="97"/>
      <c r="BGQ28" s="97"/>
      <c r="BGR28" s="97"/>
      <c r="BGS28" s="97"/>
      <c r="BGT28" s="97"/>
      <c r="BGU28" s="97"/>
      <c r="BGV28" s="97"/>
      <c r="BGW28" s="97"/>
      <c r="BGX28" s="97"/>
      <c r="BGY28" s="97"/>
      <c r="BGZ28" s="97"/>
      <c r="BHA28" s="97"/>
      <c r="BHB28" s="97"/>
      <c r="BHC28" s="97"/>
      <c r="BHD28" s="97"/>
      <c r="BHE28" s="97"/>
      <c r="BHF28" s="97"/>
      <c r="BHG28" s="97"/>
      <c r="BHH28" s="97"/>
      <c r="BHI28" s="97"/>
      <c r="BHJ28" s="97"/>
      <c r="BHK28" s="97"/>
      <c r="BHL28" s="97"/>
      <c r="BHM28" s="97"/>
      <c r="BHN28" s="97"/>
      <c r="BHO28" s="97"/>
      <c r="BHP28" s="97"/>
      <c r="BHQ28" s="97"/>
      <c r="BHR28" s="97"/>
      <c r="BHS28" s="97"/>
      <c r="BHT28" s="97"/>
      <c r="BHU28" s="97"/>
      <c r="BHV28" s="97"/>
      <c r="BHW28" s="97"/>
      <c r="BHX28" s="97"/>
      <c r="BHY28" s="97"/>
      <c r="BHZ28" s="97"/>
      <c r="BIA28" s="97"/>
      <c r="BIB28" s="97"/>
      <c r="BIC28" s="97"/>
      <c r="BID28" s="97"/>
      <c r="BIE28" s="97"/>
      <c r="BIF28" s="97"/>
      <c r="BIG28" s="97"/>
      <c r="BIH28" s="97"/>
      <c r="BII28" s="97"/>
      <c r="BIJ28" s="97"/>
      <c r="BIK28" s="97"/>
      <c r="BIL28" s="97"/>
      <c r="BIM28" s="97"/>
      <c r="BIN28" s="97"/>
      <c r="BIO28" s="97"/>
      <c r="BIP28" s="97"/>
      <c r="BIQ28" s="97"/>
      <c r="BIR28" s="97"/>
      <c r="BIS28" s="97"/>
      <c r="BIT28" s="97"/>
      <c r="BIU28" s="97"/>
      <c r="BIV28" s="97"/>
      <c r="BIW28" s="97"/>
      <c r="BIX28" s="97"/>
      <c r="BIY28" s="97"/>
      <c r="BIZ28" s="97"/>
      <c r="BJA28" s="97"/>
      <c r="BJB28" s="97"/>
      <c r="BJC28" s="97"/>
      <c r="BJD28" s="97"/>
      <c r="BJE28" s="97"/>
      <c r="BJF28" s="97"/>
      <c r="BJG28" s="97"/>
      <c r="BJH28" s="97"/>
      <c r="BJI28" s="97"/>
      <c r="BJJ28" s="97"/>
      <c r="BJK28" s="97"/>
      <c r="BJL28" s="97"/>
      <c r="BJM28" s="97"/>
      <c r="BJN28" s="97"/>
      <c r="BJO28" s="97"/>
      <c r="BJP28" s="97"/>
      <c r="BJQ28" s="97"/>
      <c r="BJR28" s="97"/>
      <c r="BJS28" s="97"/>
      <c r="BJT28" s="97"/>
      <c r="BJU28" s="97"/>
      <c r="BJV28" s="97"/>
      <c r="BJW28" s="97"/>
      <c r="BJX28" s="97"/>
      <c r="BJY28" s="97"/>
      <c r="BJZ28" s="97"/>
      <c r="BKA28" s="97"/>
      <c r="BKB28" s="97"/>
      <c r="BKC28" s="97"/>
      <c r="BKD28" s="97"/>
      <c r="BKE28" s="97"/>
      <c r="BKF28" s="97"/>
      <c r="BKG28" s="97"/>
      <c r="BKH28" s="97"/>
      <c r="BKI28" s="97"/>
      <c r="BKJ28" s="97"/>
      <c r="BKK28" s="97"/>
      <c r="BKL28" s="97"/>
      <c r="BKM28" s="97"/>
      <c r="BKN28" s="97"/>
      <c r="BKO28" s="97"/>
      <c r="BKP28" s="97"/>
      <c r="BKQ28" s="97"/>
      <c r="BKR28" s="97"/>
      <c r="BKS28" s="97"/>
      <c r="BKT28" s="97"/>
      <c r="BKU28" s="97"/>
      <c r="BKV28" s="97"/>
      <c r="BKW28" s="97"/>
      <c r="BKX28" s="97"/>
      <c r="BKY28" s="97"/>
      <c r="BKZ28" s="97"/>
      <c r="BLA28" s="97"/>
      <c r="BLB28" s="97"/>
      <c r="BLC28" s="97"/>
      <c r="BLD28" s="97"/>
      <c r="BLE28" s="97"/>
      <c r="BLF28" s="97"/>
      <c r="BLG28" s="97"/>
      <c r="BLH28" s="97"/>
      <c r="BLI28" s="97"/>
      <c r="BLJ28" s="97"/>
      <c r="BLK28" s="97"/>
      <c r="BLL28" s="97"/>
      <c r="BLM28" s="97"/>
      <c r="BLN28" s="97"/>
      <c r="BLO28" s="97"/>
      <c r="BLP28" s="97"/>
      <c r="BLQ28" s="97"/>
      <c r="BLR28" s="97"/>
      <c r="BLS28" s="97"/>
      <c r="BLT28" s="97"/>
      <c r="BLU28" s="97"/>
      <c r="BLV28" s="97"/>
      <c r="BLW28" s="97"/>
      <c r="BLX28" s="97"/>
      <c r="BLY28" s="97"/>
      <c r="BLZ28" s="97"/>
      <c r="BMA28" s="97"/>
      <c r="BMB28" s="97"/>
      <c r="BMC28" s="97"/>
      <c r="BMD28" s="97"/>
      <c r="BME28" s="97"/>
      <c r="BMF28" s="97"/>
      <c r="BMG28" s="97"/>
      <c r="BMH28" s="97"/>
      <c r="BMI28" s="97"/>
      <c r="BMJ28" s="97"/>
      <c r="BMK28" s="97"/>
      <c r="BML28" s="97"/>
      <c r="BMM28" s="97"/>
      <c r="BMN28" s="97"/>
      <c r="BMO28" s="97"/>
      <c r="BMP28" s="97"/>
      <c r="BMQ28" s="97"/>
      <c r="BMR28" s="97"/>
      <c r="BMS28" s="97"/>
      <c r="BMT28" s="97"/>
      <c r="BMU28" s="97"/>
      <c r="BMV28" s="97"/>
      <c r="BMW28" s="97"/>
      <c r="BMX28" s="97"/>
      <c r="BMY28" s="97"/>
      <c r="BMZ28" s="97"/>
      <c r="BNA28" s="97"/>
      <c r="BNB28" s="97"/>
      <c r="BNC28" s="97"/>
      <c r="BND28" s="97"/>
      <c r="BNE28" s="97"/>
      <c r="BNF28" s="97"/>
      <c r="BNG28" s="97"/>
      <c r="BNH28" s="97"/>
      <c r="BNI28" s="97"/>
      <c r="BNJ28" s="97"/>
      <c r="BNK28" s="97"/>
      <c r="BNL28" s="97"/>
      <c r="BNM28" s="97"/>
      <c r="BNN28" s="97"/>
      <c r="BNO28" s="97"/>
      <c r="BNP28" s="97"/>
      <c r="BNQ28" s="97"/>
      <c r="BNR28" s="97"/>
      <c r="BNS28" s="97"/>
      <c r="BNT28" s="97"/>
      <c r="BNU28" s="97"/>
      <c r="BNV28" s="97"/>
      <c r="BNW28" s="97"/>
      <c r="BNX28" s="97"/>
      <c r="BNY28" s="97"/>
      <c r="BNZ28" s="97"/>
      <c r="BOA28" s="97"/>
      <c r="BOB28" s="97"/>
      <c r="BOC28" s="97"/>
      <c r="BOD28" s="97"/>
      <c r="BOE28" s="97"/>
      <c r="BOF28" s="97"/>
      <c r="BOG28" s="97"/>
      <c r="BOH28" s="97"/>
      <c r="BOI28" s="97"/>
      <c r="BOJ28" s="97"/>
      <c r="BOK28" s="97"/>
      <c r="BOL28" s="97"/>
      <c r="BOM28" s="97"/>
      <c r="BON28" s="97"/>
      <c r="BOO28" s="97"/>
      <c r="BOP28" s="97"/>
      <c r="BOQ28" s="97"/>
      <c r="BOR28" s="97"/>
      <c r="BOS28" s="97"/>
      <c r="BOT28" s="97"/>
      <c r="BOU28" s="97"/>
      <c r="BOV28" s="97"/>
      <c r="BOW28" s="97"/>
      <c r="BOX28" s="97"/>
      <c r="BOY28" s="97"/>
      <c r="BOZ28" s="97"/>
      <c r="BPA28" s="97"/>
      <c r="BPB28" s="97"/>
      <c r="BPC28" s="97"/>
      <c r="BPD28" s="97"/>
      <c r="BPE28" s="97"/>
      <c r="BPF28" s="97"/>
      <c r="BPG28" s="97"/>
      <c r="BPH28" s="97"/>
      <c r="BPI28" s="97"/>
      <c r="BPJ28" s="97"/>
      <c r="BPK28" s="97"/>
      <c r="BPL28" s="97"/>
      <c r="BPM28" s="97"/>
      <c r="BPN28" s="97"/>
      <c r="BPO28" s="97"/>
      <c r="BPP28" s="97"/>
      <c r="BPQ28" s="97"/>
      <c r="BPR28" s="97"/>
      <c r="BPS28" s="97"/>
      <c r="BPT28" s="97"/>
      <c r="BPU28" s="97"/>
      <c r="BPV28" s="97"/>
      <c r="BPW28" s="97"/>
      <c r="BPX28" s="97"/>
      <c r="BPY28" s="97"/>
      <c r="BPZ28" s="97"/>
      <c r="BQA28" s="97"/>
      <c r="BQB28" s="97"/>
      <c r="BQC28" s="97"/>
      <c r="BQD28" s="97"/>
      <c r="BQE28" s="97"/>
      <c r="BQF28" s="97"/>
      <c r="BQG28" s="97"/>
      <c r="BQH28" s="97"/>
      <c r="BQI28" s="97"/>
      <c r="BQJ28" s="97"/>
      <c r="BQK28" s="97"/>
      <c r="BQL28" s="97"/>
      <c r="BQM28" s="97"/>
      <c r="BQN28" s="97"/>
      <c r="BQO28" s="97"/>
      <c r="BQP28" s="97"/>
      <c r="BQQ28" s="97"/>
      <c r="BQR28" s="97"/>
      <c r="BQS28" s="97"/>
      <c r="BQT28" s="97"/>
      <c r="BQU28" s="97"/>
      <c r="BQV28" s="97"/>
      <c r="BQW28" s="97"/>
      <c r="BQX28" s="97"/>
      <c r="BQY28" s="97"/>
      <c r="BQZ28" s="97"/>
      <c r="BRA28" s="97"/>
      <c r="BRB28" s="97"/>
      <c r="BRC28" s="97"/>
      <c r="BRD28" s="97"/>
      <c r="BRE28" s="97"/>
      <c r="BRF28" s="97"/>
      <c r="BRG28" s="97"/>
      <c r="BRH28" s="97"/>
      <c r="BRI28" s="97"/>
      <c r="BRJ28" s="97"/>
      <c r="BRK28" s="97"/>
      <c r="BRL28" s="97"/>
      <c r="BRM28" s="97"/>
      <c r="BRN28" s="97"/>
      <c r="BRO28" s="97"/>
      <c r="BRP28" s="97"/>
      <c r="BRQ28" s="97"/>
      <c r="BRR28" s="97"/>
      <c r="BRS28" s="97"/>
      <c r="BRT28" s="97"/>
      <c r="BRU28" s="97"/>
      <c r="BRV28" s="97"/>
      <c r="BRW28" s="97"/>
      <c r="BRX28" s="97"/>
      <c r="BRY28" s="97"/>
      <c r="BRZ28" s="97"/>
      <c r="BSA28" s="97"/>
      <c r="BSB28" s="97"/>
      <c r="BSC28" s="97"/>
      <c r="BSD28" s="97"/>
      <c r="BSE28" s="97"/>
      <c r="BSF28" s="97"/>
      <c r="BSG28" s="97"/>
      <c r="BSH28" s="97"/>
      <c r="BSI28" s="97"/>
      <c r="BSJ28" s="97"/>
      <c r="BSK28" s="97"/>
      <c r="BSL28" s="97"/>
      <c r="BSM28" s="97"/>
      <c r="BSN28" s="97"/>
      <c r="BSO28" s="97"/>
      <c r="BSP28" s="97"/>
      <c r="BSQ28" s="97"/>
      <c r="BSR28" s="97"/>
      <c r="BSS28" s="97"/>
      <c r="BST28" s="97"/>
      <c r="BSU28" s="97"/>
      <c r="BSV28" s="97"/>
      <c r="BSW28" s="97"/>
      <c r="BSX28" s="97"/>
      <c r="BSY28" s="97"/>
      <c r="BSZ28" s="97"/>
      <c r="BTA28" s="97"/>
      <c r="BTB28" s="97"/>
      <c r="BTC28" s="97"/>
      <c r="BTD28" s="97"/>
      <c r="BTE28" s="97"/>
      <c r="BTF28" s="97"/>
      <c r="BTG28" s="97"/>
      <c r="BTH28" s="97"/>
      <c r="BTI28" s="97"/>
      <c r="BTJ28" s="97"/>
      <c r="BTK28" s="97"/>
      <c r="BTL28" s="97"/>
      <c r="BTM28" s="97"/>
      <c r="BTN28" s="97"/>
      <c r="BTO28" s="97"/>
      <c r="BTP28" s="97"/>
      <c r="BTQ28" s="97"/>
      <c r="BTR28" s="97"/>
      <c r="BTS28" s="97"/>
      <c r="BTT28" s="97"/>
      <c r="BTU28" s="97"/>
      <c r="BTV28" s="97"/>
      <c r="BTW28" s="97"/>
      <c r="BTX28" s="97"/>
      <c r="BTY28" s="97"/>
      <c r="BTZ28" s="97"/>
      <c r="BUA28" s="97"/>
      <c r="BUB28" s="97"/>
      <c r="BUC28" s="97"/>
      <c r="BUD28" s="97"/>
      <c r="BUE28" s="97"/>
      <c r="BUF28" s="97"/>
      <c r="BUG28" s="97"/>
      <c r="BUH28" s="97"/>
      <c r="BUI28" s="97"/>
      <c r="BUJ28" s="97"/>
      <c r="BUK28" s="97"/>
      <c r="BUL28" s="97"/>
      <c r="BUM28" s="97"/>
      <c r="BUN28" s="97"/>
      <c r="BUO28" s="97"/>
      <c r="BUP28" s="97"/>
      <c r="BUQ28" s="97"/>
      <c r="BUR28" s="97"/>
      <c r="BUS28" s="97"/>
      <c r="BUT28" s="97"/>
      <c r="BUU28" s="97"/>
      <c r="BUV28" s="97"/>
      <c r="BUW28" s="97"/>
      <c r="BUX28" s="97"/>
      <c r="BUY28" s="97"/>
      <c r="BUZ28" s="97"/>
      <c r="BVA28" s="97"/>
      <c r="BVB28" s="97"/>
      <c r="BVC28" s="97"/>
      <c r="BVD28" s="97"/>
      <c r="BVE28" s="97"/>
      <c r="BVF28" s="97"/>
      <c r="BVG28" s="97"/>
      <c r="BVH28" s="97"/>
      <c r="BVI28" s="97"/>
      <c r="BVJ28" s="97"/>
      <c r="BVK28" s="97"/>
      <c r="BVL28" s="97"/>
      <c r="BVM28" s="97"/>
      <c r="BVN28" s="97"/>
      <c r="BVO28" s="97"/>
      <c r="BVP28" s="97"/>
      <c r="BVQ28" s="97"/>
      <c r="BVR28" s="97"/>
      <c r="BVS28" s="97"/>
      <c r="BVT28" s="97"/>
      <c r="BVU28" s="97"/>
      <c r="BVV28" s="97"/>
      <c r="BVW28" s="97"/>
      <c r="BVX28" s="97"/>
      <c r="BVY28" s="97"/>
      <c r="BVZ28" s="97"/>
      <c r="BWA28" s="97"/>
      <c r="BWB28" s="97"/>
      <c r="BWC28" s="97"/>
      <c r="BWD28" s="97"/>
      <c r="BWE28" s="97"/>
      <c r="BWF28" s="97"/>
      <c r="BWG28" s="97"/>
      <c r="BWH28" s="97"/>
      <c r="BWI28" s="97"/>
      <c r="BWJ28" s="97"/>
      <c r="BWK28" s="97"/>
      <c r="BWL28" s="97"/>
      <c r="BWM28" s="97"/>
      <c r="BWN28" s="97"/>
      <c r="BWO28" s="97"/>
      <c r="BWP28" s="97"/>
      <c r="BWQ28" s="97"/>
      <c r="BWR28" s="97"/>
      <c r="BWS28" s="97"/>
      <c r="BWT28" s="97"/>
      <c r="BWU28" s="97"/>
      <c r="BWV28" s="97"/>
      <c r="BWW28" s="97"/>
      <c r="BWX28" s="97"/>
      <c r="BWY28" s="97"/>
      <c r="BWZ28" s="97"/>
      <c r="BXA28" s="97"/>
      <c r="BXB28" s="97"/>
      <c r="BXC28" s="97"/>
      <c r="BXD28" s="97"/>
      <c r="BXE28" s="97"/>
      <c r="BXF28" s="97"/>
      <c r="BXG28" s="97"/>
      <c r="BXH28" s="97"/>
      <c r="BXI28" s="97"/>
      <c r="BXJ28" s="97"/>
      <c r="BXK28" s="97"/>
      <c r="BXL28" s="97"/>
      <c r="BXM28" s="97"/>
      <c r="BXN28" s="97"/>
      <c r="BXO28" s="97"/>
      <c r="BXP28" s="97"/>
      <c r="BXQ28" s="97"/>
      <c r="BXR28" s="97"/>
      <c r="BXS28" s="97"/>
      <c r="BXT28" s="97"/>
      <c r="BXU28" s="97"/>
      <c r="BXV28" s="97"/>
      <c r="BXW28" s="97"/>
      <c r="BXX28" s="97"/>
      <c r="BXY28" s="97"/>
      <c r="BXZ28" s="97"/>
      <c r="BYA28" s="97"/>
      <c r="BYB28" s="97"/>
      <c r="BYC28" s="97"/>
      <c r="BYD28" s="97"/>
      <c r="BYE28" s="97"/>
      <c r="BYF28" s="97"/>
      <c r="BYG28" s="97"/>
      <c r="BYH28" s="97"/>
      <c r="BYI28" s="97"/>
      <c r="BYJ28" s="97"/>
      <c r="BYK28" s="97"/>
      <c r="BYL28" s="97"/>
      <c r="BYM28" s="97"/>
      <c r="BYN28" s="97"/>
      <c r="BYO28" s="97"/>
      <c r="BYP28" s="97"/>
      <c r="BYQ28" s="97"/>
      <c r="BYR28" s="97"/>
      <c r="BYS28" s="97"/>
      <c r="BYT28" s="97"/>
      <c r="BYU28" s="97"/>
      <c r="BYV28" s="97"/>
      <c r="BYW28" s="97"/>
      <c r="BYX28" s="97"/>
      <c r="BYY28" s="97"/>
      <c r="BYZ28" s="97"/>
      <c r="BZA28" s="97"/>
      <c r="BZB28" s="97"/>
      <c r="BZC28" s="97"/>
      <c r="BZD28" s="97"/>
      <c r="BZE28" s="97"/>
      <c r="BZF28" s="97"/>
      <c r="BZG28" s="97"/>
      <c r="BZH28" s="97"/>
      <c r="BZI28" s="97"/>
      <c r="BZJ28" s="97"/>
      <c r="BZK28" s="97"/>
      <c r="BZL28" s="97"/>
      <c r="BZM28" s="97"/>
      <c r="BZN28" s="97"/>
      <c r="BZO28" s="97"/>
      <c r="BZP28" s="97"/>
      <c r="BZQ28" s="97"/>
      <c r="BZR28" s="97"/>
      <c r="BZS28" s="97"/>
      <c r="BZT28" s="97"/>
      <c r="BZU28" s="97"/>
      <c r="BZV28" s="97"/>
      <c r="BZW28" s="97"/>
      <c r="BZX28" s="97"/>
      <c r="BZY28" s="97"/>
      <c r="BZZ28" s="97"/>
      <c r="CAA28" s="97"/>
      <c r="CAB28" s="97"/>
      <c r="CAC28" s="97"/>
      <c r="CAD28" s="97"/>
      <c r="CAE28" s="97"/>
      <c r="CAF28" s="97"/>
      <c r="CAG28" s="97"/>
      <c r="CAH28" s="97"/>
      <c r="CAI28" s="97"/>
      <c r="CAJ28" s="97"/>
      <c r="CAK28" s="97"/>
      <c r="CAL28" s="97"/>
      <c r="CAM28" s="97"/>
      <c r="CAN28" s="97"/>
      <c r="CAO28" s="97"/>
      <c r="CAP28" s="97"/>
      <c r="CAQ28" s="97"/>
      <c r="CAR28" s="97"/>
      <c r="CAS28" s="97"/>
      <c r="CAT28" s="97"/>
      <c r="CAU28" s="97"/>
      <c r="CAV28" s="97"/>
      <c r="CAW28" s="97"/>
      <c r="CAX28" s="97"/>
      <c r="CAY28" s="97"/>
      <c r="CAZ28" s="97"/>
      <c r="CBA28" s="97"/>
      <c r="CBB28" s="97"/>
      <c r="CBC28" s="97"/>
      <c r="CBD28" s="97"/>
      <c r="CBE28" s="97"/>
      <c r="CBF28" s="97"/>
      <c r="CBG28" s="97"/>
      <c r="CBH28" s="97"/>
      <c r="CBI28" s="97"/>
      <c r="CBJ28" s="97"/>
      <c r="CBK28" s="97"/>
      <c r="CBL28" s="97"/>
      <c r="CBM28" s="97"/>
      <c r="CBN28" s="97"/>
      <c r="CBO28" s="97"/>
      <c r="CBP28" s="97"/>
      <c r="CBQ28" s="97"/>
      <c r="CBR28" s="97"/>
      <c r="CBS28" s="97"/>
      <c r="CBT28" s="97"/>
      <c r="CBU28" s="97"/>
      <c r="CBV28" s="97"/>
      <c r="CBW28" s="97"/>
      <c r="CBX28" s="97"/>
      <c r="CBY28" s="97"/>
      <c r="CBZ28" s="97"/>
      <c r="CCA28" s="97"/>
      <c r="CCB28" s="97"/>
      <c r="CCC28" s="97"/>
      <c r="CCD28" s="97"/>
      <c r="CCE28" s="97"/>
      <c r="CCF28" s="97"/>
      <c r="CCG28" s="97"/>
      <c r="CCH28" s="97"/>
      <c r="CCI28" s="97"/>
      <c r="CCJ28" s="97"/>
      <c r="CCK28" s="97"/>
      <c r="CCL28" s="97"/>
      <c r="CCM28" s="97"/>
      <c r="CCN28" s="97"/>
      <c r="CCO28" s="97"/>
      <c r="CCP28" s="97"/>
      <c r="CCQ28" s="97"/>
      <c r="CCR28" s="97"/>
      <c r="CCS28" s="97"/>
      <c r="CCT28" s="97"/>
      <c r="CCU28" s="97"/>
      <c r="CCV28" s="97"/>
      <c r="CCW28" s="97"/>
      <c r="CCX28" s="97"/>
      <c r="CCY28" s="97"/>
      <c r="CCZ28" s="97"/>
      <c r="CDA28" s="97"/>
      <c r="CDB28" s="97"/>
      <c r="CDC28" s="97"/>
      <c r="CDD28" s="97"/>
      <c r="CDE28" s="97"/>
      <c r="CDF28" s="97"/>
      <c r="CDG28" s="97"/>
      <c r="CDH28" s="97"/>
      <c r="CDI28" s="97"/>
      <c r="CDJ28" s="97"/>
      <c r="CDK28" s="97"/>
      <c r="CDL28" s="97"/>
      <c r="CDM28" s="97"/>
      <c r="CDN28" s="97"/>
      <c r="CDO28" s="97"/>
      <c r="CDP28" s="97"/>
      <c r="CDQ28" s="97"/>
      <c r="CDR28" s="97"/>
      <c r="CDS28" s="97"/>
      <c r="CDT28" s="97"/>
      <c r="CDU28" s="97"/>
      <c r="CDV28" s="97"/>
      <c r="CDW28" s="97"/>
      <c r="CDX28" s="97"/>
      <c r="CDY28" s="97"/>
      <c r="CDZ28" s="97"/>
      <c r="CEA28" s="97"/>
      <c r="CEB28" s="97"/>
      <c r="CEC28" s="97"/>
      <c r="CED28" s="97"/>
      <c r="CEE28" s="97"/>
      <c r="CEF28" s="97"/>
      <c r="CEG28" s="97"/>
      <c r="CEH28" s="97"/>
      <c r="CEI28" s="97"/>
      <c r="CEJ28" s="97"/>
      <c r="CEK28" s="97"/>
      <c r="CEL28" s="97"/>
      <c r="CEM28" s="97"/>
      <c r="CEN28" s="97"/>
      <c r="CEO28" s="97"/>
      <c r="CEP28" s="97"/>
      <c r="CEQ28" s="97"/>
      <c r="CER28" s="97"/>
      <c r="CES28" s="97"/>
      <c r="CET28" s="97"/>
      <c r="CEU28" s="97"/>
      <c r="CEV28" s="97"/>
      <c r="CEW28" s="97"/>
      <c r="CEX28" s="97"/>
      <c r="CEY28" s="97"/>
      <c r="CEZ28" s="97"/>
      <c r="CFA28" s="97"/>
      <c r="CFB28" s="97"/>
      <c r="CFC28" s="97"/>
      <c r="CFD28" s="97"/>
      <c r="CFE28" s="97"/>
      <c r="CFF28" s="97"/>
      <c r="CFG28" s="97"/>
      <c r="CFH28" s="97"/>
      <c r="CFI28" s="97"/>
      <c r="CFJ28" s="97"/>
      <c r="CFK28" s="97"/>
      <c r="CFL28" s="97"/>
      <c r="CFM28" s="97"/>
      <c r="CFN28" s="97"/>
      <c r="CFO28" s="97"/>
      <c r="CFP28" s="97"/>
      <c r="CFQ28" s="97"/>
      <c r="CFR28" s="97"/>
      <c r="CFS28" s="97"/>
      <c r="CFT28" s="97"/>
      <c r="CFU28" s="97"/>
      <c r="CFV28" s="97"/>
      <c r="CFW28" s="97"/>
      <c r="CFX28" s="97"/>
      <c r="CFY28" s="97"/>
      <c r="CFZ28" s="97"/>
      <c r="CGA28" s="97"/>
      <c r="CGB28" s="97"/>
      <c r="CGC28" s="97"/>
      <c r="CGD28" s="97"/>
      <c r="CGE28" s="97"/>
      <c r="CGF28" s="97"/>
      <c r="CGG28" s="97"/>
      <c r="CGH28" s="97"/>
      <c r="CGI28" s="97"/>
      <c r="CGJ28" s="97"/>
      <c r="CGK28" s="97"/>
      <c r="CGL28" s="97"/>
      <c r="CGM28" s="97"/>
      <c r="CGN28" s="97"/>
      <c r="CGO28" s="97"/>
      <c r="CGP28" s="97"/>
      <c r="CGQ28" s="97"/>
      <c r="CGR28" s="97"/>
      <c r="CGS28" s="97"/>
      <c r="CGT28" s="97"/>
      <c r="CGU28" s="97"/>
      <c r="CGV28" s="97"/>
      <c r="CGW28" s="97"/>
      <c r="CGX28" s="97"/>
      <c r="CGY28" s="97"/>
      <c r="CGZ28" s="97"/>
      <c r="CHA28" s="97"/>
      <c r="CHB28" s="97"/>
      <c r="CHC28" s="97"/>
      <c r="CHD28" s="97"/>
      <c r="CHE28" s="97"/>
      <c r="CHF28" s="97"/>
      <c r="CHG28" s="97"/>
      <c r="CHH28" s="97"/>
      <c r="CHI28" s="97"/>
      <c r="CHJ28" s="97"/>
      <c r="CHK28" s="97"/>
      <c r="CHL28" s="97"/>
      <c r="CHM28" s="97"/>
      <c r="CHN28" s="97"/>
      <c r="CHO28" s="97"/>
      <c r="CHP28" s="97"/>
      <c r="CHQ28" s="97"/>
      <c r="CHR28" s="97"/>
      <c r="CHS28" s="97"/>
      <c r="CHT28" s="97"/>
      <c r="CHU28" s="97"/>
      <c r="CHV28" s="97"/>
      <c r="CHW28" s="97"/>
      <c r="CHX28" s="97"/>
      <c r="CHY28" s="97"/>
      <c r="CHZ28" s="97"/>
      <c r="CIA28" s="97"/>
      <c r="CIB28" s="97"/>
      <c r="CIC28" s="97"/>
      <c r="CID28" s="97"/>
      <c r="CIE28" s="97"/>
      <c r="CIF28" s="97"/>
      <c r="CIG28" s="97"/>
      <c r="CIH28" s="97"/>
      <c r="CII28" s="97"/>
      <c r="CIJ28" s="97"/>
      <c r="CIK28" s="97"/>
      <c r="CIL28" s="97"/>
      <c r="CIM28" s="97"/>
      <c r="CIN28" s="97"/>
      <c r="CIO28" s="97"/>
      <c r="CIP28" s="97"/>
      <c r="CIQ28" s="97"/>
      <c r="CIR28" s="97"/>
      <c r="CIS28" s="97"/>
      <c r="CIT28" s="97"/>
      <c r="CIU28" s="97"/>
      <c r="CIV28" s="97"/>
      <c r="CIW28" s="97"/>
      <c r="CIX28" s="97"/>
      <c r="CIY28" s="97"/>
      <c r="CIZ28" s="97"/>
      <c r="CJA28" s="97"/>
      <c r="CJB28" s="97"/>
      <c r="CJC28" s="97"/>
      <c r="CJD28" s="97"/>
      <c r="CJE28" s="97"/>
      <c r="CJF28" s="97"/>
      <c r="CJG28" s="97"/>
      <c r="CJH28" s="97"/>
      <c r="CJI28" s="97"/>
      <c r="CJJ28" s="97"/>
      <c r="CJK28" s="97"/>
      <c r="CJL28" s="97"/>
      <c r="CJM28" s="97"/>
      <c r="CJN28" s="97"/>
      <c r="CJO28" s="97"/>
      <c r="CJP28" s="97"/>
      <c r="CJQ28" s="97"/>
      <c r="CJR28" s="97"/>
      <c r="CJS28" s="97"/>
      <c r="CJT28" s="97"/>
      <c r="CJU28" s="97"/>
      <c r="CJV28" s="97"/>
      <c r="CJW28" s="97"/>
      <c r="CJX28" s="97"/>
      <c r="CJY28" s="97"/>
      <c r="CJZ28" s="97"/>
      <c r="CKA28" s="97"/>
      <c r="CKB28" s="97"/>
      <c r="CKC28" s="97"/>
      <c r="CKD28" s="97"/>
      <c r="CKE28" s="97"/>
      <c r="CKF28" s="97"/>
      <c r="CKG28" s="97"/>
      <c r="CKH28" s="97"/>
      <c r="CKI28" s="97"/>
      <c r="CKJ28" s="97"/>
      <c r="CKK28" s="97"/>
      <c r="CKL28" s="97"/>
      <c r="CKM28" s="97"/>
      <c r="CKN28" s="97"/>
      <c r="CKO28" s="97"/>
      <c r="CKP28" s="97"/>
      <c r="CKQ28" s="97"/>
      <c r="CKR28" s="97"/>
      <c r="CKS28" s="97"/>
      <c r="CKT28" s="97"/>
      <c r="CKU28" s="97"/>
      <c r="CKV28" s="97"/>
      <c r="CKW28" s="97"/>
      <c r="CKX28" s="97"/>
      <c r="CKY28" s="97"/>
      <c r="CKZ28" s="97"/>
      <c r="CLA28" s="97"/>
      <c r="CLB28" s="97"/>
      <c r="CLC28" s="97"/>
      <c r="CLD28" s="97"/>
      <c r="CLE28" s="97"/>
      <c r="CLF28" s="97"/>
      <c r="CLG28" s="97"/>
      <c r="CLH28" s="97"/>
      <c r="CLI28" s="97"/>
      <c r="CLJ28" s="97"/>
      <c r="CLK28" s="97"/>
      <c r="CLL28" s="97"/>
      <c r="CLM28" s="97"/>
      <c r="CLN28" s="97"/>
      <c r="CLO28" s="97"/>
      <c r="CLP28" s="97"/>
      <c r="CLQ28" s="97"/>
      <c r="CLR28" s="97"/>
      <c r="CLS28" s="97"/>
      <c r="CLT28" s="97"/>
      <c r="CLU28" s="97"/>
      <c r="CLV28" s="97"/>
      <c r="CLW28" s="97"/>
      <c r="CLX28" s="97"/>
      <c r="CLY28" s="97"/>
      <c r="CLZ28" s="97"/>
      <c r="CMA28" s="97"/>
      <c r="CMB28" s="97"/>
      <c r="CMC28" s="97"/>
      <c r="CMD28" s="97"/>
      <c r="CME28" s="97"/>
      <c r="CMF28" s="97"/>
      <c r="CMG28" s="97"/>
      <c r="CMH28" s="97"/>
      <c r="CMI28" s="97"/>
      <c r="CMJ28" s="97"/>
      <c r="CMK28" s="97"/>
      <c r="CML28" s="97"/>
      <c r="CMM28" s="97"/>
      <c r="CMN28" s="97"/>
      <c r="CMO28" s="97"/>
      <c r="CMP28" s="97"/>
      <c r="CMQ28" s="97"/>
      <c r="CMR28" s="97"/>
      <c r="CMS28" s="97"/>
      <c r="CMT28" s="97"/>
      <c r="CMU28" s="97"/>
      <c r="CMV28" s="97"/>
      <c r="CMW28" s="97"/>
      <c r="CMX28" s="97"/>
      <c r="CMY28" s="97"/>
      <c r="CMZ28" s="97"/>
      <c r="CNA28" s="97"/>
      <c r="CNB28" s="97"/>
      <c r="CNC28" s="97"/>
      <c r="CND28" s="97"/>
      <c r="CNE28" s="97"/>
      <c r="CNF28" s="97"/>
      <c r="CNG28" s="97"/>
      <c r="CNH28" s="97"/>
      <c r="CNI28" s="97"/>
      <c r="CNJ28" s="97"/>
      <c r="CNK28" s="97"/>
      <c r="CNL28" s="97"/>
      <c r="CNM28" s="97"/>
      <c r="CNN28" s="97"/>
      <c r="CNO28" s="97"/>
      <c r="CNP28" s="97"/>
      <c r="CNQ28" s="97"/>
      <c r="CNR28" s="97"/>
      <c r="CNS28" s="97"/>
      <c r="CNT28" s="97"/>
      <c r="CNU28" s="97"/>
      <c r="CNV28" s="97"/>
      <c r="CNW28" s="97"/>
      <c r="CNX28" s="97"/>
      <c r="CNY28" s="97"/>
      <c r="CNZ28" s="97"/>
      <c r="COA28" s="97"/>
      <c r="COB28" s="97"/>
      <c r="COC28" s="97"/>
      <c r="COD28" s="97"/>
      <c r="COE28" s="97"/>
      <c r="COF28" s="97"/>
      <c r="COG28" s="97"/>
      <c r="COH28" s="97"/>
      <c r="COI28" s="97"/>
      <c r="COJ28" s="97"/>
      <c r="COK28" s="97"/>
      <c r="COL28" s="97"/>
      <c r="COM28" s="97"/>
      <c r="CON28" s="97"/>
      <c r="COO28" s="97"/>
      <c r="COP28" s="97"/>
      <c r="COQ28" s="97"/>
      <c r="COR28" s="97"/>
      <c r="COS28" s="97"/>
      <c r="COT28" s="97"/>
      <c r="COU28" s="97"/>
      <c r="COV28" s="97"/>
      <c r="COW28" s="97"/>
      <c r="COX28" s="97"/>
      <c r="COY28" s="97"/>
      <c r="COZ28" s="97"/>
      <c r="CPA28" s="97"/>
      <c r="CPB28" s="97"/>
      <c r="CPC28" s="97"/>
      <c r="CPD28" s="97"/>
      <c r="CPE28" s="97"/>
      <c r="CPF28" s="97"/>
      <c r="CPG28" s="97"/>
      <c r="CPH28" s="97"/>
      <c r="CPI28" s="97"/>
      <c r="CPJ28" s="97"/>
      <c r="CPK28" s="97"/>
      <c r="CPL28" s="97"/>
      <c r="CPM28" s="97"/>
      <c r="CPN28" s="97"/>
      <c r="CPO28" s="97"/>
      <c r="CPP28" s="97"/>
      <c r="CPQ28" s="97"/>
      <c r="CPR28" s="97"/>
      <c r="CPS28" s="97"/>
      <c r="CPT28" s="97"/>
      <c r="CPU28" s="97"/>
      <c r="CPV28" s="97"/>
      <c r="CPW28" s="97"/>
      <c r="CPX28" s="97"/>
      <c r="CPY28" s="97"/>
      <c r="CPZ28" s="97"/>
      <c r="CQA28" s="97"/>
      <c r="CQB28" s="97"/>
      <c r="CQC28" s="97"/>
      <c r="CQD28" s="97"/>
      <c r="CQE28" s="97"/>
      <c r="CQF28" s="97"/>
      <c r="CQG28" s="97"/>
      <c r="CQH28" s="97"/>
      <c r="CQI28" s="97"/>
      <c r="CQJ28" s="97"/>
      <c r="CQK28" s="97"/>
      <c r="CQL28" s="97"/>
      <c r="CQM28" s="97"/>
      <c r="CQN28" s="97"/>
      <c r="CQO28" s="97"/>
      <c r="CQP28" s="97"/>
      <c r="CQQ28" s="97"/>
      <c r="CQR28" s="97"/>
      <c r="CQS28" s="97"/>
      <c r="CQT28" s="97"/>
      <c r="CQU28" s="97"/>
      <c r="CQV28" s="97"/>
      <c r="CQW28" s="97"/>
      <c r="CQX28" s="97"/>
      <c r="CQY28" s="97"/>
      <c r="CQZ28" s="97"/>
      <c r="CRA28" s="97"/>
      <c r="CRB28" s="97"/>
      <c r="CRC28" s="97"/>
      <c r="CRD28" s="97"/>
      <c r="CRE28" s="97"/>
      <c r="CRF28" s="97"/>
      <c r="CRG28" s="97"/>
      <c r="CRH28" s="97"/>
      <c r="CRI28" s="97"/>
      <c r="CRJ28" s="97"/>
      <c r="CRK28" s="97"/>
      <c r="CRL28" s="97"/>
      <c r="CRM28" s="97"/>
      <c r="CRN28" s="97"/>
      <c r="CRO28" s="97"/>
      <c r="CRP28" s="97"/>
      <c r="CRQ28" s="97"/>
      <c r="CRR28" s="97"/>
      <c r="CRS28" s="97"/>
      <c r="CRT28" s="97"/>
      <c r="CRU28" s="97"/>
      <c r="CRV28" s="97"/>
      <c r="CRW28" s="97"/>
      <c r="CRX28" s="97"/>
      <c r="CRY28" s="97"/>
      <c r="CRZ28" s="97"/>
      <c r="CSA28" s="97"/>
      <c r="CSB28" s="97"/>
      <c r="CSC28" s="97"/>
      <c r="CSD28" s="97"/>
      <c r="CSE28" s="97"/>
      <c r="CSF28" s="97"/>
      <c r="CSG28" s="97"/>
      <c r="CSH28" s="97"/>
      <c r="CSI28" s="97"/>
      <c r="CSJ28" s="97"/>
      <c r="CSK28" s="97"/>
      <c r="CSL28" s="97"/>
      <c r="CSM28" s="97"/>
      <c r="CSN28" s="97"/>
      <c r="CSO28" s="97"/>
      <c r="CSP28" s="97"/>
      <c r="CSQ28" s="97"/>
      <c r="CSR28" s="97"/>
      <c r="CSS28" s="97"/>
      <c r="CST28" s="97"/>
      <c r="CSU28" s="97"/>
      <c r="CSV28" s="97"/>
      <c r="CSW28" s="97"/>
      <c r="CSX28" s="97"/>
      <c r="CSY28" s="97"/>
      <c r="CSZ28" s="97"/>
      <c r="CTA28" s="97"/>
      <c r="CTB28" s="97"/>
      <c r="CTC28" s="97"/>
      <c r="CTD28" s="97"/>
      <c r="CTE28" s="97"/>
      <c r="CTF28" s="97"/>
      <c r="CTG28" s="97"/>
      <c r="CTH28" s="97"/>
      <c r="CTI28" s="97"/>
      <c r="CTJ28" s="97"/>
      <c r="CTK28" s="97"/>
      <c r="CTL28" s="97"/>
      <c r="CTM28" s="97"/>
      <c r="CTN28" s="97"/>
      <c r="CTO28" s="97"/>
      <c r="CTP28" s="97"/>
      <c r="CTQ28" s="97"/>
      <c r="CTR28" s="97"/>
      <c r="CTS28" s="97"/>
      <c r="CTT28" s="97"/>
      <c r="CTU28" s="97"/>
      <c r="CTV28" s="97"/>
      <c r="CTW28" s="97"/>
      <c r="CTX28" s="97"/>
      <c r="CTY28" s="97"/>
      <c r="CTZ28" s="97"/>
      <c r="CUA28" s="97"/>
      <c r="CUB28" s="97"/>
      <c r="CUC28" s="97"/>
      <c r="CUD28" s="97"/>
      <c r="CUE28" s="97"/>
      <c r="CUF28" s="97"/>
      <c r="CUG28" s="97"/>
      <c r="CUH28" s="97"/>
      <c r="CUI28" s="97"/>
      <c r="CUJ28" s="97"/>
      <c r="CUK28" s="97"/>
      <c r="CUL28" s="97"/>
      <c r="CUM28" s="97"/>
      <c r="CUN28" s="97"/>
      <c r="CUO28" s="97"/>
      <c r="CUP28" s="97"/>
      <c r="CUQ28" s="97"/>
      <c r="CUR28" s="97"/>
      <c r="CUS28" s="97"/>
      <c r="CUT28" s="97"/>
      <c r="CUU28" s="97"/>
      <c r="CUV28" s="97"/>
      <c r="CUW28" s="97"/>
      <c r="CUX28" s="97"/>
      <c r="CUY28" s="97"/>
      <c r="CUZ28" s="97"/>
      <c r="CVA28" s="97"/>
      <c r="CVB28" s="97"/>
      <c r="CVC28" s="97"/>
      <c r="CVD28" s="97"/>
      <c r="CVE28" s="97"/>
      <c r="CVF28" s="97"/>
      <c r="CVG28" s="97"/>
      <c r="CVH28" s="97"/>
      <c r="CVI28" s="97"/>
      <c r="CVJ28" s="97"/>
      <c r="CVK28" s="97"/>
      <c r="CVL28" s="97"/>
      <c r="CVM28" s="97"/>
      <c r="CVN28" s="97"/>
      <c r="CVO28" s="97"/>
      <c r="CVP28" s="97"/>
      <c r="CVQ28" s="97"/>
      <c r="CVR28" s="97"/>
      <c r="CVS28" s="97"/>
      <c r="CVT28" s="97"/>
      <c r="CVU28" s="97"/>
      <c r="CVV28" s="97"/>
      <c r="CVW28" s="97"/>
      <c r="CVX28" s="97"/>
      <c r="CVY28" s="97"/>
      <c r="CVZ28" s="97"/>
      <c r="CWA28" s="97"/>
      <c r="CWB28" s="97"/>
      <c r="CWC28" s="97"/>
      <c r="CWD28" s="97"/>
      <c r="CWE28" s="97"/>
      <c r="CWF28" s="97"/>
      <c r="CWG28" s="97"/>
      <c r="CWH28" s="97"/>
      <c r="CWI28" s="97"/>
      <c r="CWJ28" s="97"/>
      <c r="CWK28" s="97"/>
      <c r="CWL28" s="97"/>
      <c r="CWM28" s="97"/>
      <c r="CWN28" s="97"/>
      <c r="CWO28" s="97"/>
      <c r="CWP28" s="97"/>
      <c r="CWQ28" s="97"/>
      <c r="CWR28" s="97"/>
      <c r="CWS28" s="97"/>
      <c r="CWT28" s="97"/>
      <c r="CWU28" s="97"/>
      <c r="CWV28" s="97"/>
      <c r="CWW28" s="97"/>
      <c r="CWX28" s="97"/>
      <c r="CWY28" s="97"/>
      <c r="CWZ28" s="97"/>
      <c r="CXA28" s="97"/>
      <c r="CXB28" s="97"/>
      <c r="CXC28" s="97"/>
      <c r="CXD28" s="97"/>
      <c r="CXE28" s="97"/>
      <c r="CXF28" s="97"/>
      <c r="CXG28" s="97"/>
      <c r="CXH28" s="97"/>
      <c r="CXI28" s="97"/>
      <c r="CXJ28" s="97"/>
      <c r="CXK28" s="97"/>
      <c r="CXL28" s="97"/>
      <c r="CXM28" s="97"/>
      <c r="CXN28" s="97"/>
      <c r="CXO28" s="97"/>
      <c r="CXP28" s="97"/>
      <c r="CXQ28" s="97"/>
      <c r="CXR28" s="97"/>
      <c r="CXS28" s="97"/>
      <c r="CXT28" s="97"/>
      <c r="CXU28" s="97"/>
      <c r="CXV28" s="97"/>
      <c r="CXW28" s="97"/>
      <c r="CXX28" s="97"/>
      <c r="CXY28" s="97"/>
      <c r="CXZ28" s="97"/>
      <c r="CYA28" s="97"/>
      <c r="CYB28" s="97"/>
      <c r="CYC28" s="97"/>
      <c r="CYD28" s="97"/>
      <c r="CYE28" s="97"/>
      <c r="CYF28" s="97"/>
      <c r="CYG28" s="97"/>
      <c r="CYH28" s="97"/>
      <c r="CYI28" s="97"/>
      <c r="CYJ28" s="97"/>
      <c r="CYK28" s="97"/>
      <c r="CYL28" s="97"/>
      <c r="CYM28" s="97"/>
      <c r="CYN28" s="97"/>
      <c r="CYO28" s="97"/>
      <c r="CYP28" s="97"/>
      <c r="CYQ28" s="97"/>
      <c r="CYR28" s="97"/>
      <c r="CYS28" s="97"/>
      <c r="CYT28" s="97"/>
      <c r="CYU28" s="97"/>
      <c r="CYV28" s="97"/>
      <c r="CYW28" s="97"/>
      <c r="CYX28" s="97"/>
      <c r="CYY28" s="97"/>
      <c r="CYZ28" s="97"/>
      <c r="CZA28" s="97"/>
      <c r="CZB28" s="97"/>
      <c r="CZC28" s="97"/>
      <c r="CZD28" s="97"/>
      <c r="CZE28" s="97"/>
      <c r="CZF28" s="97"/>
      <c r="CZG28" s="97"/>
      <c r="CZH28" s="97"/>
      <c r="CZI28" s="97"/>
      <c r="CZJ28" s="97"/>
      <c r="CZK28" s="97"/>
      <c r="CZL28" s="97"/>
      <c r="CZM28" s="97"/>
      <c r="CZN28" s="97"/>
      <c r="CZO28" s="97"/>
      <c r="CZP28" s="97"/>
      <c r="CZQ28" s="97"/>
      <c r="CZR28" s="97"/>
      <c r="CZS28" s="97"/>
      <c r="CZT28" s="97"/>
      <c r="CZU28" s="97"/>
      <c r="CZV28" s="97"/>
      <c r="CZW28" s="97"/>
      <c r="CZX28" s="97"/>
      <c r="CZY28" s="97"/>
      <c r="CZZ28" s="97"/>
      <c r="DAA28" s="97"/>
      <c r="DAB28" s="97"/>
      <c r="DAC28" s="97"/>
      <c r="DAD28" s="97"/>
      <c r="DAE28" s="97"/>
      <c r="DAF28" s="97"/>
      <c r="DAG28" s="97"/>
      <c r="DAH28" s="97"/>
      <c r="DAI28" s="97"/>
      <c r="DAJ28" s="97"/>
      <c r="DAK28" s="97"/>
      <c r="DAL28" s="97"/>
      <c r="DAM28" s="97"/>
      <c r="DAN28" s="97"/>
      <c r="DAO28" s="97"/>
      <c r="DAP28" s="97"/>
      <c r="DAQ28" s="97"/>
      <c r="DAR28" s="97"/>
      <c r="DAS28" s="97"/>
      <c r="DAT28" s="97"/>
      <c r="DAU28" s="97"/>
      <c r="DAV28" s="97"/>
      <c r="DAW28" s="97"/>
      <c r="DAX28" s="97"/>
      <c r="DAY28" s="97"/>
      <c r="DAZ28" s="97"/>
      <c r="DBA28" s="97"/>
      <c r="DBB28" s="97"/>
      <c r="DBC28" s="97"/>
      <c r="DBD28" s="97"/>
      <c r="DBE28" s="97"/>
      <c r="DBF28" s="97"/>
      <c r="DBG28" s="97"/>
      <c r="DBH28" s="97"/>
      <c r="DBI28" s="97"/>
      <c r="DBJ28" s="97"/>
      <c r="DBK28" s="97"/>
      <c r="DBL28" s="97"/>
      <c r="DBM28" s="97"/>
      <c r="DBN28" s="97"/>
      <c r="DBO28" s="97"/>
      <c r="DBP28" s="97"/>
      <c r="DBQ28" s="97"/>
      <c r="DBR28" s="97"/>
      <c r="DBS28" s="97"/>
      <c r="DBT28" s="97"/>
      <c r="DBU28" s="97"/>
      <c r="DBV28" s="97"/>
      <c r="DBW28" s="97"/>
      <c r="DBX28" s="97"/>
      <c r="DBY28" s="97"/>
      <c r="DBZ28" s="97"/>
      <c r="DCA28" s="97"/>
      <c r="DCB28" s="97"/>
      <c r="DCC28" s="97"/>
      <c r="DCD28" s="97"/>
      <c r="DCE28" s="97"/>
      <c r="DCF28" s="97"/>
      <c r="DCG28" s="97"/>
      <c r="DCH28" s="97"/>
      <c r="DCI28" s="97"/>
      <c r="DCJ28" s="97"/>
      <c r="DCK28" s="97"/>
      <c r="DCL28" s="97"/>
      <c r="DCM28" s="97"/>
      <c r="DCN28" s="97"/>
      <c r="DCO28" s="97"/>
      <c r="DCP28" s="97"/>
      <c r="DCQ28" s="97"/>
      <c r="DCR28" s="97"/>
      <c r="DCS28" s="97"/>
      <c r="DCT28" s="97"/>
      <c r="DCU28" s="97"/>
      <c r="DCV28" s="97"/>
      <c r="DCW28" s="97"/>
      <c r="DCX28" s="97"/>
      <c r="DCY28" s="97"/>
      <c r="DCZ28" s="97"/>
      <c r="DDA28" s="97"/>
      <c r="DDB28" s="97"/>
      <c r="DDC28" s="97"/>
      <c r="DDD28" s="97"/>
      <c r="DDE28" s="97"/>
      <c r="DDF28" s="97"/>
      <c r="DDG28" s="97"/>
      <c r="DDH28" s="97"/>
      <c r="DDI28" s="97"/>
      <c r="DDJ28" s="97"/>
      <c r="DDK28" s="97"/>
      <c r="DDL28" s="97"/>
      <c r="DDM28" s="97"/>
      <c r="DDN28" s="97"/>
      <c r="DDO28" s="97"/>
      <c r="DDP28" s="97"/>
      <c r="DDQ28" s="97"/>
      <c r="DDR28" s="97"/>
      <c r="DDS28" s="97"/>
      <c r="DDT28" s="97"/>
      <c r="DDU28" s="97"/>
      <c r="DDV28" s="97"/>
      <c r="DDW28" s="97"/>
      <c r="DDX28" s="97"/>
      <c r="DDY28" s="97"/>
      <c r="DDZ28" s="97"/>
      <c r="DEA28" s="97"/>
      <c r="DEB28" s="97"/>
      <c r="DEC28" s="97"/>
      <c r="DED28" s="97"/>
      <c r="DEE28" s="97"/>
      <c r="DEF28" s="97"/>
      <c r="DEG28" s="97"/>
      <c r="DEH28" s="97"/>
      <c r="DEI28" s="97"/>
      <c r="DEJ28" s="97"/>
      <c r="DEK28" s="97"/>
      <c r="DEL28" s="97"/>
      <c r="DEM28" s="97"/>
      <c r="DEN28" s="97"/>
      <c r="DEO28" s="97"/>
      <c r="DEP28" s="97"/>
      <c r="DEQ28" s="97"/>
      <c r="DER28" s="97"/>
      <c r="DES28" s="97"/>
      <c r="DET28" s="97"/>
      <c r="DEU28" s="97"/>
      <c r="DEV28" s="97"/>
      <c r="DEW28" s="97"/>
      <c r="DEX28" s="97"/>
      <c r="DEY28" s="97"/>
      <c r="DEZ28" s="97"/>
      <c r="DFA28" s="97"/>
      <c r="DFB28" s="97"/>
      <c r="DFC28" s="97"/>
      <c r="DFD28" s="97"/>
      <c r="DFE28" s="97"/>
      <c r="DFF28" s="97"/>
      <c r="DFG28" s="97"/>
      <c r="DFH28" s="97"/>
      <c r="DFI28" s="97"/>
      <c r="DFJ28" s="97"/>
      <c r="DFK28" s="97"/>
      <c r="DFL28" s="97"/>
      <c r="DFM28" s="97"/>
      <c r="DFN28" s="97"/>
      <c r="DFO28" s="97"/>
      <c r="DFP28" s="97"/>
      <c r="DFQ28" s="97"/>
      <c r="DFR28" s="97"/>
      <c r="DFS28" s="97"/>
      <c r="DFT28" s="97"/>
      <c r="DFU28" s="97"/>
      <c r="DFV28" s="97"/>
      <c r="DFW28" s="97"/>
      <c r="DFX28" s="97"/>
      <c r="DFY28" s="97"/>
      <c r="DFZ28" s="97"/>
      <c r="DGA28" s="97"/>
      <c r="DGB28" s="97"/>
      <c r="DGC28" s="97"/>
      <c r="DGD28" s="97"/>
      <c r="DGE28" s="97"/>
      <c r="DGF28" s="97"/>
      <c r="DGG28" s="97"/>
      <c r="DGH28" s="97"/>
      <c r="DGI28" s="97"/>
      <c r="DGJ28" s="97"/>
      <c r="DGK28" s="97"/>
      <c r="DGL28" s="97"/>
      <c r="DGM28" s="97"/>
      <c r="DGN28" s="97"/>
      <c r="DGO28" s="97"/>
      <c r="DGP28" s="97"/>
      <c r="DGQ28" s="97"/>
      <c r="DGR28" s="97"/>
      <c r="DGS28" s="97"/>
      <c r="DGT28" s="97"/>
      <c r="DGU28" s="97"/>
      <c r="DGV28" s="97"/>
      <c r="DGW28" s="97"/>
      <c r="DGX28" s="97"/>
      <c r="DGY28" s="97"/>
      <c r="DGZ28" s="97"/>
      <c r="DHA28" s="97"/>
      <c r="DHB28" s="97"/>
      <c r="DHC28" s="97"/>
      <c r="DHD28" s="97"/>
      <c r="DHE28" s="97"/>
      <c r="DHF28" s="97"/>
      <c r="DHG28" s="97"/>
      <c r="DHH28" s="97"/>
      <c r="DHI28" s="97"/>
      <c r="DHJ28" s="97"/>
      <c r="DHK28" s="97"/>
      <c r="DHL28" s="97"/>
      <c r="DHM28" s="97"/>
      <c r="DHN28" s="97"/>
      <c r="DHO28" s="97"/>
      <c r="DHP28" s="97"/>
      <c r="DHQ28" s="97"/>
      <c r="DHR28" s="97"/>
      <c r="DHS28" s="97"/>
      <c r="DHT28" s="97"/>
      <c r="DHU28" s="97"/>
      <c r="DHV28" s="97"/>
      <c r="DHW28" s="97"/>
      <c r="DHX28" s="97"/>
      <c r="DHY28" s="97"/>
      <c r="DHZ28" s="97"/>
      <c r="DIA28" s="97"/>
      <c r="DIB28" s="97"/>
      <c r="DIC28" s="97"/>
      <c r="DID28" s="97"/>
      <c r="DIE28" s="97"/>
      <c r="DIF28" s="97"/>
      <c r="DIG28" s="97"/>
      <c r="DIH28" s="97"/>
      <c r="DII28" s="97"/>
      <c r="DIJ28" s="97"/>
      <c r="DIK28" s="97"/>
      <c r="DIL28" s="97"/>
      <c r="DIM28" s="97"/>
      <c r="DIN28" s="97"/>
      <c r="DIO28" s="97"/>
      <c r="DIP28" s="97"/>
      <c r="DIQ28" s="97"/>
      <c r="DIR28" s="97"/>
      <c r="DIS28" s="97"/>
      <c r="DIT28" s="97"/>
      <c r="DIU28" s="97"/>
      <c r="DIV28" s="97"/>
      <c r="DIW28" s="97"/>
      <c r="DIX28" s="97"/>
      <c r="DIY28" s="97"/>
      <c r="DIZ28" s="97"/>
      <c r="DJA28" s="97"/>
      <c r="DJB28" s="97"/>
      <c r="DJC28" s="97"/>
      <c r="DJD28" s="97"/>
      <c r="DJE28" s="97"/>
      <c r="DJF28" s="97"/>
      <c r="DJG28" s="97"/>
      <c r="DJH28" s="97"/>
      <c r="DJI28" s="97"/>
      <c r="DJJ28" s="97"/>
      <c r="DJK28" s="97"/>
      <c r="DJL28" s="97"/>
      <c r="DJM28" s="97"/>
      <c r="DJN28" s="97"/>
      <c r="DJO28" s="97"/>
      <c r="DJP28" s="97"/>
      <c r="DJQ28" s="97"/>
      <c r="DJR28" s="97"/>
      <c r="DJS28" s="97"/>
      <c r="DJT28" s="97"/>
      <c r="DJU28" s="97"/>
      <c r="DJV28" s="97"/>
      <c r="DJW28" s="97"/>
      <c r="DJX28" s="97"/>
      <c r="DJY28" s="97"/>
      <c r="DJZ28" s="97"/>
      <c r="DKA28" s="97"/>
      <c r="DKB28" s="97"/>
      <c r="DKC28" s="97"/>
      <c r="DKD28" s="97"/>
      <c r="DKE28" s="97"/>
      <c r="DKF28" s="97"/>
      <c r="DKG28" s="97"/>
      <c r="DKH28" s="97"/>
      <c r="DKI28" s="97"/>
      <c r="DKJ28" s="97"/>
      <c r="DKK28" s="97"/>
      <c r="DKL28" s="97"/>
      <c r="DKM28" s="97"/>
      <c r="DKN28" s="97"/>
      <c r="DKO28" s="97"/>
      <c r="DKP28" s="97"/>
      <c r="DKQ28" s="97"/>
      <c r="DKR28" s="97"/>
      <c r="DKS28" s="97"/>
      <c r="DKT28" s="97"/>
      <c r="DKU28" s="97"/>
      <c r="DKV28" s="97"/>
      <c r="DKW28" s="97"/>
      <c r="DKX28" s="97"/>
      <c r="DKY28" s="97"/>
      <c r="DKZ28" s="97"/>
      <c r="DLA28" s="97"/>
      <c r="DLB28" s="97"/>
      <c r="DLC28" s="97"/>
      <c r="DLD28" s="97"/>
      <c r="DLE28" s="97"/>
      <c r="DLF28" s="97"/>
      <c r="DLG28" s="97"/>
      <c r="DLH28" s="97"/>
      <c r="DLI28" s="97"/>
      <c r="DLJ28" s="97"/>
      <c r="DLK28" s="97"/>
      <c r="DLL28" s="97"/>
      <c r="DLM28" s="97"/>
      <c r="DLN28" s="97"/>
      <c r="DLO28" s="97"/>
      <c r="DLP28" s="97"/>
      <c r="DLQ28" s="97"/>
      <c r="DLR28" s="97"/>
      <c r="DLS28" s="97"/>
      <c r="DLT28" s="97"/>
      <c r="DLU28" s="97"/>
      <c r="DLV28" s="97"/>
      <c r="DLW28" s="97"/>
      <c r="DLX28" s="97"/>
      <c r="DLY28" s="97"/>
      <c r="DLZ28" s="97"/>
      <c r="DMA28" s="97"/>
      <c r="DMB28" s="97"/>
      <c r="DMC28" s="97"/>
      <c r="DMD28" s="97"/>
      <c r="DME28" s="97"/>
      <c r="DMF28" s="97"/>
      <c r="DMG28" s="97"/>
      <c r="DMH28" s="97"/>
      <c r="DMI28" s="97"/>
      <c r="DMJ28" s="97"/>
      <c r="DMK28" s="97"/>
      <c r="DML28" s="97"/>
      <c r="DMM28" s="97"/>
      <c r="DMN28" s="97"/>
      <c r="DMO28" s="97"/>
      <c r="DMP28" s="97"/>
      <c r="DMQ28" s="97"/>
      <c r="DMR28" s="97"/>
      <c r="DMS28" s="97"/>
      <c r="DMT28" s="97"/>
      <c r="DMU28" s="97"/>
      <c r="DMV28" s="97"/>
      <c r="DMW28" s="97"/>
      <c r="DMX28" s="97"/>
      <c r="DMY28" s="97"/>
      <c r="DMZ28" s="97"/>
      <c r="DNA28" s="97"/>
      <c r="DNB28" s="97"/>
      <c r="DNC28" s="97"/>
      <c r="DND28" s="97"/>
      <c r="DNE28" s="97"/>
      <c r="DNF28" s="97"/>
      <c r="DNG28" s="97"/>
      <c r="DNH28" s="97"/>
      <c r="DNI28" s="97"/>
      <c r="DNJ28" s="97"/>
      <c r="DNK28" s="97"/>
      <c r="DNL28" s="97"/>
      <c r="DNM28" s="97"/>
      <c r="DNN28" s="97"/>
      <c r="DNO28" s="97"/>
      <c r="DNP28" s="97"/>
      <c r="DNQ28" s="97"/>
      <c r="DNR28" s="97"/>
      <c r="DNS28" s="97"/>
      <c r="DNT28" s="97"/>
      <c r="DNU28" s="97"/>
      <c r="DNV28" s="97"/>
      <c r="DNW28" s="97"/>
      <c r="DNX28" s="97"/>
      <c r="DNY28" s="97"/>
      <c r="DNZ28" s="97"/>
      <c r="DOA28" s="97"/>
      <c r="DOB28" s="97"/>
      <c r="DOC28" s="97"/>
      <c r="DOD28" s="97"/>
      <c r="DOE28" s="97"/>
      <c r="DOF28" s="97"/>
      <c r="DOG28" s="97"/>
      <c r="DOH28" s="97"/>
      <c r="DOI28" s="97"/>
      <c r="DOJ28" s="97"/>
      <c r="DOK28" s="97"/>
      <c r="DOL28" s="97"/>
      <c r="DOM28" s="97"/>
      <c r="DON28" s="97"/>
      <c r="DOO28" s="97"/>
      <c r="DOP28" s="97"/>
      <c r="DOQ28" s="97"/>
      <c r="DOR28" s="97"/>
      <c r="DOS28" s="97"/>
      <c r="DOT28" s="97"/>
      <c r="DOU28" s="97"/>
      <c r="DOV28" s="97"/>
      <c r="DOW28" s="97"/>
      <c r="DOX28" s="97"/>
      <c r="DOY28" s="97"/>
      <c r="DOZ28" s="97"/>
      <c r="DPA28" s="97"/>
      <c r="DPB28" s="97"/>
      <c r="DPC28" s="97"/>
      <c r="DPD28" s="97"/>
      <c r="DPE28" s="97"/>
      <c r="DPF28" s="97"/>
      <c r="DPG28" s="97"/>
      <c r="DPH28" s="97"/>
      <c r="DPI28" s="97"/>
      <c r="DPJ28" s="97"/>
      <c r="DPK28" s="97"/>
      <c r="DPL28" s="97"/>
      <c r="DPM28" s="97"/>
      <c r="DPN28" s="97"/>
      <c r="DPO28" s="97"/>
      <c r="DPP28" s="97"/>
      <c r="DPQ28" s="97"/>
      <c r="DPR28" s="97"/>
      <c r="DPS28" s="97"/>
      <c r="DPT28" s="97"/>
      <c r="DPU28" s="97"/>
      <c r="DPV28" s="97"/>
      <c r="DPW28" s="97"/>
      <c r="DPX28" s="97"/>
      <c r="DPY28" s="97"/>
      <c r="DPZ28" s="97"/>
      <c r="DQA28" s="97"/>
      <c r="DQB28" s="97"/>
      <c r="DQC28" s="97"/>
      <c r="DQD28" s="97"/>
      <c r="DQE28" s="97"/>
      <c r="DQF28" s="97"/>
      <c r="DQG28" s="97"/>
      <c r="DQH28" s="97"/>
      <c r="DQI28" s="97"/>
      <c r="DQJ28" s="97"/>
      <c r="DQK28" s="97"/>
      <c r="DQL28" s="97"/>
      <c r="DQM28" s="97"/>
      <c r="DQN28" s="97"/>
      <c r="DQO28" s="97"/>
      <c r="DQP28" s="97"/>
      <c r="DQQ28" s="97"/>
      <c r="DQR28" s="97"/>
      <c r="DQS28" s="97"/>
      <c r="DQT28" s="97"/>
      <c r="DQU28" s="97"/>
      <c r="DQV28" s="97"/>
      <c r="DQW28" s="97"/>
      <c r="DQX28" s="97"/>
      <c r="DQY28" s="97"/>
      <c r="DQZ28" s="97"/>
      <c r="DRA28" s="97"/>
      <c r="DRB28" s="97"/>
      <c r="DRC28" s="97"/>
      <c r="DRD28" s="97"/>
      <c r="DRE28" s="97"/>
      <c r="DRF28" s="97"/>
      <c r="DRG28" s="97"/>
      <c r="DRH28" s="97"/>
      <c r="DRI28" s="97"/>
      <c r="DRJ28" s="97"/>
      <c r="DRK28" s="97"/>
      <c r="DRL28" s="97"/>
      <c r="DRM28" s="97"/>
      <c r="DRN28" s="97"/>
      <c r="DRO28" s="97"/>
      <c r="DRP28" s="97"/>
      <c r="DRQ28" s="97"/>
      <c r="DRR28" s="97"/>
      <c r="DRS28" s="97"/>
      <c r="DRT28" s="97"/>
      <c r="DRU28" s="97"/>
      <c r="DRV28" s="97"/>
      <c r="DRW28" s="97"/>
      <c r="DRX28" s="97"/>
      <c r="DRY28" s="97"/>
      <c r="DRZ28" s="97"/>
      <c r="DSA28" s="97"/>
      <c r="DSB28" s="97"/>
      <c r="DSC28" s="97"/>
      <c r="DSD28" s="97"/>
      <c r="DSE28" s="97"/>
      <c r="DSF28" s="97"/>
      <c r="DSG28" s="97"/>
      <c r="DSH28" s="97"/>
      <c r="DSI28" s="97"/>
      <c r="DSJ28" s="97"/>
      <c r="DSK28" s="97"/>
      <c r="DSL28" s="97"/>
      <c r="DSM28" s="97"/>
      <c r="DSN28" s="97"/>
      <c r="DSO28" s="97"/>
      <c r="DSP28" s="97"/>
      <c r="DSQ28" s="97"/>
      <c r="DSR28" s="97"/>
      <c r="DSS28" s="97"/>
      <c r="DST28" s="97"/>
      <c r="DSU28" s="97"/>
      <c r="DSV28" s="97"/>
      <c r="DSW28" s="97"/>
      <c r="DSX28" s="97"/>
      <c r="DSY28" s="97"/>
      <c r="DSZ28" s="97"/>
      <c r="DTA28" s="97"/>
      <c r="DTB28" s="97"/>
      <c r="DTC28" s="97"/>
      <c r="DTD28" s="97"/>
      <c r="DTE28" s="97"/>
      <c r="DTF28" s="97"/>
      <c r="DTG28" s="97"/>
      <c r="DTH28" s="97"/>
      <c r="DTI28" s="97"/>
      <c r="DTJ28" s="97"/>
      <c r="DTK28" s="97"/>
      <c r="DTL28" s="97"/>
      <c r="DTM28" s="97"/>
      <c r="DTN28" s="97"/>
      <c r="DTO28" s="97"/>
      <c r="DTP28" s="97"/>
      <c r="DTQ28" s="97"/>
      <c r="DTR28" s="97"/>
      <c r="DTS28" s="97"/>
      <c r="DTT28" s="97"/>
      <c r="DTU28" s="97"/>
      <c r="DTV28" s="97"/>
      <c r="DTW28" s="97"/>
      <c r="DTX28" s="97"/>
      <c r="DTY28" s="97"/>
      <c r="DTZ28" s="97"/>
      <c r="DUA28" s="97"/>
      <c r="DUB28" s="97"/>
      <c r="DUC28" s="97"/>
      <c r="DUD28" s="97"/>
      <c r="DUE28" s="97"/>
      <c r="DUF28" s="97"/>
      <c r="DUG28" s="97"/>
      <c r="DUH28" s="97"/>
      <c r="DUI28" s="97"/>
      <c r="DUJ28" s="97"/>
      <c r="DUK28" s="97"/>
      <c r="DUL28" s="97"/>
      <c r="DUM28" s="97"/>
      <c r="DUN28" s="97"/>
      <c r="DUO28" s="97"/>
      <c r="DUP28" s="97"/>
      <c r="DUQ28" s="97"/>
      <c r="DUR28" s="97"/>
      <c r="DUS28" s="97"/>
      <c r="DUT28" s="97"/>
      <c r="DUU28" s="97"/>
      <c r="DUV28" s="97"/>
      <c r="DUW28" s="97"/>
      <c r="DUX28" s="97"/>
      <c r="DUY28" s="97"/>
      <c r="DUZ28" s="97"/>
      <c r="DVA28" s="97"/>
      <c r="DVB28" s="97"/>
      <c r="DVC28" s="97"/>
      <c r="DVD28" s="97"/>
      <c r="DVE28" s="97"/>
      <c r="DVF28" s="97"/>
      <c r="DVG28" s="97"/>
      <c r="DVH28" s="97"/>
      <c r="DVI28" s="97"/>
      <c r="DVJ28" s="97"/>
      <c r="DVK28" s="97"/>
      <c r="DVL28" s="97"/>
      <c r="DVM28" s="97"/>
      <c r="DVN28" s="97"/>
      <c r="DVO28" s="97"/>
      <c r="DVP28" s="97"/>
      <c r="DVQ28" s="97"/>
      <c r="DVR28" s="97"/>
      <c r="DVS28" s="97"/>
      <c r="DVT28" s="97"/>
      <c r="DVU28" s="97"/>
      <c r="DVV28" s="97"/>
      <c r="DVW28" s="97"/>
      <c r="DVX28" s="97"/>
      <c r="DVY28" s="97"/>
      <c r="DVZ28" s="97"/>
      <c r="DWA28" s="97"/>
      <c r="DWB28" s="97"/>
      <c r="DWC28" s="97"/>
      <c r="DWD28" s="97"/>
      <c r="DWE28" s="97"/>
      <c r="DWF28" s="97"/>
      <c r="DWG28" s="97"/>
      <c r="DWH28" s="97"/>
      <c r="DWI28" s="97"/>
      <c r="DWJ28" s="97"/>
      <c r="DWK28" s="97"/>
      <c r="DWL28" s="97"/>
      <c r="DWM28" s="97"/>
      <c r="DWN28" s="97"/>
      <c r="DWO28" s="97"/>
      <c r="DWP28" s="97"/>
      <c r="DWQ28" s="97"/>
      <c r="DWR28" s="97"/>
      <c r="DWS28" s="97"/>
      <c r="DWT28" s="97"/>
      <c r="DWU28" s="97"/>
      <c r="DWV28" s="97"/>
      <c r="DWW28" s="97"/>
      <c r="DWX28" s="97"/>
      <c r="DWY28" s="97"/>
      <c r="DWZ28" s="97"/>
      <c r="DXA28" s="97"/>
      <c r="DXB28" s="97"/>
      <c r="DXC28" s="97"/>
      <c r="DXD28" s="97"/>
      <c r="DXE28" s="97"/>
      <c r="DXF28" s="97"/>
      <c r="DXG28" s="97"/>
      <c r="DXH28" s="97"/>
      <c r="DXI28" s="97"/>
      <c r="DXJ28" s="97"/>
      <c r="DXK28" s="97"/>
      <c r="DXL28" s="97"/>
      <c r="DXM28" s="97"/>
      <c r="DXN28" s="97"/>
      <c r="DXO28" s="97"/>
      <c r="DXP28" s="97"/>
      <c r="DXQ28" s="97"/>
      <c r="DXR28" s="97"/>
      <c r="DXS28" s="97"/>
      <c r="DXT28" s="97"/>
      <c r="DXU28" s="97"/>
      <c r="DXV28" s="97"/>
      <c r="DXW28" s="97"/>
      <c r="DXX28" s="97"/>
      <c r="DXY28" s="97"/>
      <c r="DXZ28" s="97"/>
      <c r="DYA28" s="97"/>
      <c r="DYB28" s="97"/>
      <c r="DYC28" s="97"/>
      <c r="DYD28" s="97"/>
      <c r="DYE28" s="97"/>
      <c r="DYF28" s="97"/>
      <c r="DYG28" s="97"/>
      <c r="DYH28" s="97"/>
      <c r="DYI28" s="97"/>
      <c r="DYJ28" s="97"/>
      <c r="DYK28" s="97"/>
      <c r="DYL28" s="97"/>
      <c r="DYM28" s="97"/>
      <c r="DYN28" s="97"/>
      <c r="DYO28" s="97"/>
      <c r="DYP28" s="97"/>
      <c r="DYQ28" s="97"/>
      <c r="DYR28" s="97"/>
      <c r="DYS28" s="97"/>
      <c r="DYT28" s="97"/>
      <c r="DYU28" s="97"/>
      <c r="DYV28" s="97"/>
      <c r="DYW28" s="97"/>
      <c r="DYX28" s="97"/>
      <c r="DYY28" s="97"/>
      <c r="DYZ28" s="97"/>
      <c r="DZA28" s="97"/>
      <c r="DZB28" s="97"/>
      <c r="DZC28" s="97"/>
      <c r="DZD28" s="97"/>
      <c r="DZE28" s="97"/>
      <c r="DZF28" s="97"/>
      <c r="DZG28" s="97"/>
      <c r="DZH28" s="97"/>
      <c r="DZI28" s="97"/>
      <c r="DZJ28" s="97"/>
      <c r="DZK28" s="97"/>
      <c r="DZL28" s="97"/>
      <c r="DZM28" s="97"/>
      <c r="DZN28" s="97"/>
      <c r="DZO28" s="97"/>
      <c r="DZP28" s="97"/>
      <c r="DZQ28" s="97"/>
      <c r="DZR28" s="97"/>
      <c r="DZS28" s="97"/>
      <c r="DZT28" s="97"/>
      <c r="DZU28" s="97"/>
      <c r="DZV28" s="97"/>
      <c r="DZW28" s="97"/>
      <c r="DZX28" s="97"/>
      <c r="DZY28" s="97"/>
      <c r="DZZ28" s="97"/>
      <c r="EAA28" s="97"/>
      <c r="EAB28" s="97"/>
      <c r="EAC28" s="97"/>
      <c r="EAD28" s="97"/>
      <c r="EAE28" s="97"/>
      <c r="EAF28" s="97"/>
      <c r="EAG28" s="97"/>
      <c r="EAH28" s="97"/>
      <c r="EAI28" s="97"/>
      <c r="EAJ28" s="97"/>
      <c r="EAK28" s="97"/>
      <c r="EAL28" s="97"/>
      <c r="EAM28" s="97"/>
      <c r="EAN28" s="97"/>
      <c r="EAO28" s="97"/>
      <c r="EAP28" s="97"/>
      <c r="EAQ28" s="97"/>
      <c r="EAR28" s="97"/>
      <c r="EAS28" s="97"/>
      <c r="EAT28" s="97"/>
      <c r="EAU28" s="97"/>
      <c r="EAV28" s="97"/>
      <c r="EAW28" s="97"/>
      <c r="EAX28" s="97"/>
      <c r="EAY28" s="97"/>
      <c r="EAZ28" s="97"/>
      <c r="EBA28" s="97"/>
      <c r="EBB28" s="97"/>
      <c r="EBC28" s="97"/>
      <c r="EBD28" s="97"/>
      <c r="EBE28" s="97"/>
      <c r="EBF28" s="97"/>
      <c r="EBG28" s="97"/>
      <c r="EBH28" s="97"/>
      <c r="EBI28" s="97"/>
      <c r="EBJ28" s="97"/>
      <c r="EBK28" s="97"/>
      <c r="EBL28" s="97"/>
      <c r="EBM28" s="97"/>
      <c r="EBN28" s="97"/>
      <c r="EBO28" s="97"/>
      <c r="EBP28" s="97"/>
      <c r="EBQ28" s="97"/>
      <c r="EBR28" s="97"/>
      <c r="EBS28" s="97"/>
      <c r="EBT28" s="97"/>
      <c r="EBU28" s="97"/>
      <c r="EBV28" s="97"/>
      <c r="EBW28" s="97"/>
      <c r="EBX28" s="97"/>
      <c r="EBY28" s="97"/>
      <c r="EBZ28" s="97"/>
      <c r="ECA28" s="97"/>
      <c r="ECB28" s="97"/>
      <c r="ECC28" s="97"/>
      <c r="ECD28" s="97"/>
      <c r="ECE28" s="97"/>
      <c r="ECF28" s="97"/>
      <c r="ECG28" s="97"/>
      <c r="ECH28" s="97"/>
      <c r="ECI28" s="97"/>
      <c r="ECJ28" s="97"/>
      <c r="ECK28" s="97"/>
      <c r="ECL28" s="97"/>
      <c r="ECM28" s="97"/>
      <c r="ECN28" s="97"/>
      <c r="ECO28" s="97"/>
      <c r="ECP28" s="97"/>
      <c r="ECQ28" s="97"/>
      <c r="ECR28" s="97"/>
      <c r="ECS28" s="97"/>
      <c r="ECT28" s="97"/>
      <c r="ECU28" s="97"/>
      <c r="ECV28" s="97"/>
      <c r="ECW28" s="97"/>
      <c r="ECX28" s="97"/>
      <c r="ECY28" s="97"/>
      <c r="ECZ28" s="97"/>
      <c r="EDA28" s="97"/>
      <c r="EDB28" s="97"/>
      <c r="EDC28" s="97"/>
      <c r="EDD28" s="97"/>
      <c r="EDE28" s="97"/>
      <c r="EDF28" s="97"/>
      <c r="EDG28" s="97"/>
      <c r="EDH28" s="97"/>
      <c r="EDI28" s="97"/>
      <c r="EDJ28" s="97"/>
      <c r="EDK28" s="97"/>
      <c r="EDL28" s="97"/>
      <c r="EDM28" s="97"/>
      <c r="EDN28" s="97"/>
      <c r="EDO28" s="97"/>
      <c r="EDP28" s="97"/>
      <c r="EDQ28" s="97"/>
      <c r="EDR28" s="97"/>
      <c r="EDS28" s="97"/>
      <c r="EDT28" s="97"/>
      <c r="EDU28" s="97"/>
      <c r="EDV28" s="97"/>
      <c r="EDW28" s="97"/>
      <c r="EDX28" s="97"/>
      <c r="EDY28" s="97"/>
      <c r="EDZ28" s="97"/>
      <c r="EEA28" s="97"/>
      <c r="EEB28" s="97"/>
      <c r="EEC28" s="97"/>
      <c r="EED28" s="97"/>
      <c r="EEE28" s="97"/>
      <c r="EEF28" s="97"/>
      <c r="EEG28" s="97"/>
      <c r="EEH28" s="97"/>
      <c r="EEI28" s="97"/>
      <c r="EEJ28" s="97"/>
      <c r="EEK28" s="97"/>
      <c r="EEL28" s="97"/>
      <c r="EEM28" s="97"/>
      <c r="EEN28" s="97"/>
      <c r="EEO28" s="97"/>
      <c r="EEP28" s="97"/>
      <c r="EEQ28" s="97"/>
      <c r="EER28" s="97"/>
      <c r="EES28" s="97"/>
      <c r="EET28" s="97"/>
      <c r="EEU28" s="97"/>
      <c r="EEV28" s="97"/>
      <c r="EEW28" s="97"/>
      <c r="EEX28" s="97"/>
      <c r="EEY28" s="97"/>
      <c r="EEZ28" s="97"/>
      <c r="EFA28" s="97"/>
      <c r="EFB28" s="97"/>
      <c r="EFC28" s="97"/>
      <c r="EFD28" s="97"/>
      <c r="EFE28" s="97"/>
      <c r="EFF28" s="97"/>
      <c r="EFG28" s="97"/>
      <c r="EFH28" s="97"/>
      <c r="EFI28" s="97"/>
      <c r="EFJ28" s="97"/>
      <c r="EFK28" s="97"/>
      <c r="EFL28" s="97"/>
      <c r="EFM28" s="97"/>
      <c r="EFN28" s="97"/>
      <c r="EFO28" s="97"/>
      <c r="EFP28" s="97"/>
      <c r="EFQ28" s="97"/>
      <c r="EFR28" s="97"/>
      <c r="EFS28" s="97"/>
      <c r="EFT28" s="97"/>
      <c r="EFU28" s="97"/>
      <c r="EFV28" s="97"/>
      <c r="EFW28" s="97"/>
      <c r="EFX28" s="97"/>
      <c r="EFY28" s="97"/>
      <c r="EFZ28" s="97"/>
      <c r="EGA28" s="97"/>
      <c r="EGB28" s="97"/>
      <c r="EGC28" s="97"/>
      <c r="EGD28" s="97"/>
      <c r="EGE28" s="97"/>
      <c r="EGF28" s="97"/>
      <c r="EGG28" s="97"/>
      <c r="EGH28" s="97"/>
      <c r="EGI28" s="97"/>
      <c r="EGJ28" s="97"/>
      <c r="EGK28" s="97"/>
      <c r="EGL28" s="97"/>
      <c r="EGM28" s="97"/>
      <c r="EGN28" s="97"/>
      <c r="EGO28" s="97"/>
      <c r="EGP28" s="97"/>
      <c r="EGQ28" s="97"/>
      <c r="EGR28" s="97"/>
      <c r="EGS28" s="97"/>
      <c r="EGT28" s="97"/>
      <c r="EGU28" s="97"/>
      <c r="EGV28" s="97"/>
      <c r="EGW28" s="97"/>
      <c r="EGX28" s="97"/>
      <c r="EGY28" s="97"/>
      <c r="EGZ28" s="97"/>
      <c r="EHA28" s="97"/>
      <c r="EHB28" s="97"/>
      <c r="EHC28" s="97"/>
      <c r="EHD28" s="97"/>
      <c r="EHE28" s="97"/>
      <c r="EHF28" s="97"/>
      <c r="EHG28" s="97"/>
      <c r="EHH28" s="97"/>
      <c r="EHI28" s="97"/>
      <c r="EHJ28" s="97"/>
      <c r="EHK28" s="97"/>
      <c r="EHL28" s="97"/>
      <c r="EHM28" s="97"/>
      <c r="EHN28" s="97"/>
      <c r="EHO28" s="97"/>
      <c r="EHP28" s="97"/>
      <c r="EHQ28" s="97"/>
      <c r="EHR28" s="97"/>
      <c r="EHS28" s="97"/>
      <c r="EHT28" s="97"/>
      <c r="EHU28" s="97"/>
      <c r="EHV28" s="97"/>
      <c r="EHW28" s="97"/>
      <c r="EHX28" s="97"/>
      <c r="EHY28" s="97"/>
      <c r="EHZ28" s="97"/>
      <c r="EIA28" s="97"/>
      <c r="EIB28" s="97"/>
      <c r="EIC28" s="97"/>
      <c r="EID28" s="97"/>
      <c r="EIE28" s="97"/>
      <c r="EIF28" s="97"/>
      <c r="EIG28" s="97"/>
      <c r="EIH28" s="97"/>
      <c r="EII28" s="97"/>
      <c r="EIJ28" s="97"/>
      <c r="EIK28" s="97"/>
      <c r="EIL28" s="97"/>
      <c r="EIM28" s="97"/>
      <c r="EIN28" s="97"/>
      <c r="EIO28" s="97"/>
      <c r="EIP28" s="97"/>
      <c r="EIQ28" s="97"/>
      <c r="EIR28" s="97"/>
      <c r="EIS28" s="97"/>
      <c r="EIT28" s="97"/>
      <c r="EIU28" s="97"/>
      <c r="EIV28" s="97"/>
      <c r="EIW28" s="97"/>
      <c r="EIX28" s="97"/>
      <c r="EIY28" s="97"/>
      <c r="EIZ28" s="97"/>
      <c r="EJA28" s="97"/>
      <c r="EJB28" s="97"/>
      <c r="EJC28" s="97"/>
      <c r="EJD28" s="97"/>
      <c r="EJE28" s="97"/>
      <c r="EJF28" s="97"/>
      <c r="EJG28" s="97"/>
      <c r="EJH28" s="97"/>
      <c r="EJI28" s="97"/>
      <c r="EJJ28" s="97"/>
      <c r="EJK28" s="97"/>
      <c r="EJL28" s="97"/>
      <c r="EJM28" s="97"/>
      <c r="EJN28" s="97"/>
      <c r="EJO28" s="97"/>
      <c r="EJP28" s="97"/>
      <c r="EJQ28" s="97"/>
      <c r="EJR28" s="97"/>
      <c r="EJS28" s="97"/>
      <c r="EJT28" s="97"/>
      <c r="EJU28" s="97"/>
      <c r="EJV28" s="97"/>
      <c r="EJW28" s="97"/>
      <c r="EJX28" s="97"/>
      <c r="EJY28" s="97"/>
      <c r="EJZ28" s="97"/>
      <c r="EKA28" s="97"/>
      <c r="EKB28" s="97"/>
      <c r="EKC28" s="97"/>
      <c r="EKD28" s="97"/>
      <c r="EKE28" s="97"/>
      <c r="EKF28" s="97"/>
      <c r="EKG28" s="97"/>
      <c r="EKH28" s="97"/>
      <c r="EKI28" s="97"/>
      <c r="EKJ28" s="97"/>
      <c r="EKK28" s="97"/>
      <c r="EKL28" s="97"/>
      <c r="EKM28" s="97"/>
      <c r="EKN28" s="97"/>
      <c r="EKO28" s="97"/>
      <c r="EKP28" s="97"/>
      <c r="EKQ28" s="97"/>
      <c r="EKR28" s="97"/>
      <c r="EKS28" s="97"/>
      <c r="EKT28" s="97"/>
      <c r="EKU28" s="97"/>
      <c r="EKV28" s="97"/>
      <c r="EKW28" s="97"/>
      <c r="EKX28" s="97"/>
      <c r="EKY28" s="97"/>
      <c r="EKZ28" s="97"/>
      <c r="ELA28" s="97"/>
      <c r="ELB28" s="97"/>
      <c r="ELC28" s="97"/>
      <c r="ELD28" s="97"/>
      <c r="ELE28" s="97"/>
      <c r="ELF28" s="97"/>
      <c r="ELG28" s="97"/>
      <c r="ELH28" s="97"/>
      <c r="ELI28" s="97"/>
      <c r="ELJ28" s="97"/>
      <c r="ELK28" s="97"/>
      <c r="ELL28" s="97"/>
      <c r="ELM28" s="97"/>
      <c r="ELN28" s="97"/>
      <c r="ELO28" s="97"/>
      <c r="ELP28" s="97"/>
      <c r="ELQ28" s="97"/>
      <c r="ELR28" s="97"/>
      <c r="ELS28" s="97"/>
      <c r="ELT28" s="97"/>
      <c r="ELU28" s="97"/>
      <c r="ELV28" s="97"/>
      <c r="ELW28" s="97"/>
      <c r="ELX28" s="97"/>
      <c r="ELY28" s="97"/>
      <c r="ELZ28" s="97"/>
      <c r="EMA28" s="97"/>
      <c r="EMB28" s="97"/>
      <c r="EMC28" s="97"/>
      <c r="EMD28" s="97"/>
      <c r="EME28" s="97"/>
      <c r="EMF28" s="97"/>
      <c r="EMG28" s="97"/>
      <c r="EMH28" s="97"/>
      <c r="EMI28" s="97"/>
      <c r="EMJ28" s="97"/>
      <c r="EMK28" s="97"/>
      <c r="EML28" s="97"/>
      <c r="EMM28" s="97"/>
      <c r="EMN28" s="97"/>
      <c r="EMO28" s="97"/>
      <c r="EMP28" s="97"/>
      <c r="EMQ28" s="97"/>
      <c r="EMR28" s="97"/>
      <c r="EMS28" s="97"/>
      <c r="EMT28" s="97"/>
      <c r="EMU28" s="97"/>
      <c r="EMV28" s="97"/>
      <c r="EMW28" s="97"/>
      <c r="EMX28" s="97"/>
      <c r="EMY28" s="97"/>
      <c r="EMZ28" s="97"/>
      <c r="ENA28" s="97"/>
      <c r="ENB28" s="97"/>
      <c r="ENC28" s="97"/>
      <c r="END28" s="97"/>
      <c r="ENE28" s="97"/>
      <c r="ENF28" s="97"/>
      <c r="ENG28" s="97"/>
      <c r="ENH28" s="97"/>
      <c r="ENI28" s="97"/>
      <c r="ENJ28" s="97"/>
      <c r="ENK28" s="97"/>
      <c r="ENL28" s="97"/>
      <c r="ENM28" s="97"/>
      <c r="ENN28" s="97"/>
      <c r="ENO28" s="97"/>
      <c r="ENP28" s="97"/>
      <c r="ENQ28" s="97"/>
      <c r="ENR28" s="97"/>
      <c r="ENS28" s="97"/>
      <c r="ENT28" s="97"/>
      <c r="ENU28" s="97"/>
      <c r="ENV28" s="97"/>
      <c r="ENW28" s="97"/>
      <c r="ENX28" s="97"/>
      <c r="ENY28" s="97"/>
      <c r="ENZ28" s="97"/>
      <c r="EOA28" s="97"/>
      <c r="EOB28" s="97"/>
      <c r="EOC28" s="97"/>
      <c r="EOD28" s="97"/>
      <c r="EOE28" s="97"/>
      <c r="EOF28" s="97"/>
      <c r="EOG28" s="97"/>
      <c r="EOH28" s="97"/>
      <c r="EOI28" s="97"/>
      <c r="EOJ28" s="97"/>
      <c r="EOK28" s="97"/>
      <c r="EOL28" s="97"/>
      <c r="EOM28" s="97"/>
      <c r="EON28" s="97"/>
      <c r="EOO28" s="97"/>
      <c r="EOP28" s="97"/>
      <c r="EOQ28" s="97"/>
      <c r="EOR28" s="97"/>
      <c r="EOS28" s="97"/>
      <c r="EOT28" s="97"/>
      <c r="EOU28" s="97"/>
      <c r="EOV28" s="97"/>
      <c r="EOW28" s="97"/>
      <c r="EOX28" s="97"/>
      <c r="EOY28" s="97"/>
      <c r="EOZ28" s="97"/>
      <c r="EPA28" s="97"/>
      <c r="EPB28" s="97"/>
      <c r="EPC28" s="97"/>
      <c r="EPD28" s="97"/>
      <c r="EPE28" s="97"/>
      <c r="EPF28" s="97"/>
      <c r="EPG28" s="97"/>
      <c r="EPH28" s="97"/>
      <c r="EPI28" s="97"/>
      <c r="EPJ28" s="97"/>
      <c r="EPK28" s="97"/>
      <c r="EPL28" s="97"/>
      <c r="EPM28" s="97"/>
      <c r="EPN28" s="97"/>
      <c r="EPO28" s="97"/>
      <c r="EPP28" s="97"/>
      <c r="EPQ28" s="97"/>
      <c r="EPR28" s="97"/>
      <c r="EPS28" s="97"/>
      <c r="EPT28" s="97"/>
      <c r="EPU28" s="97"/>
      <c r="EPV28" s="97"/>
      <c r="EPW28" s="97"/>
      <c r="EPX28" s="97"/>
      <c r="EPY28" s="97"/>
      <c r="EPZ28" s="97"/>
      <c r="EQA28" s="97"/>
      <c r="EQB28" s="97"/>
      <c r="EQC28" s="97"/>
      <c r="EQD28" s="97"/>
      <c r="EQE28" s="97"/>
      <c r="EQF28" s="97"/>
      <c r="EQG28" s="97"/>
      <c r="EQH28" s="97"/>
      <c r="EQI28" s="97"/>
      <c r="EQJ28" s="97"/>
      <c r="EQK28" s="97"/>
      <c r="EQL28" s="97"/>
      <c r="EQM28" s="97"/>
      <c r="EQN28" s="97"/>
      <c r="EQO28" s="97"/>
      <c r="EQP28" s="97"/>
      <c r="EQQ28" s="97"/>
      <c r="EQR28" s="97"/>
      <c r="EQS28" s="97"/>
      <c r="EQT28" s="97"/>
      <c r="EQU28" s="97"/>
      <c r="EQV28" s="97"/>
      <c r="EQW28" s="97"/>
      <c r="EQX28" s="97"/>
      <c r="EQY28" s="97"/>
      <c r="EQZ28" s="97"/>
      <c r="ERA28" s="97"/>
      <c r="ERB28" s="97"/>
      <c r="ERC28" s="97"/>
      <c r="ERD28" s="97"/>
      <c r="ERE28" s="97"/>
      <c r="ERF28" s="97"/>
      <c r="ERG28" s="97"/>
      <c r="ERH28" s="97"/>
      <c r="ERI28" s="97"/>
      <c r="ERJ28" s="97"/>
      <c r="ERK28" s="97"/>
      <c r="ERL28" s="97"/>
      <c r="ERM28" s="97"/>
      <c r="ERN28" s="97"/>
      <c r="ERO28" s="97"/>
      <c r="ERP28" s="97"/>
      <c r="ERQ28" s="97"/>
      <c r="ERR28" s="97"/>
      <c r="ERS28" s="97"/>
      <c r="ERT28" s="97"/>
      <c r="ERU28" s="97"/>
      <c r="ERV28" s="97"/>
      <c r="ERW28" s="97"/>
      <c r="ERX28" s="97"/>
      <c r="ERY28" s="97"/>
      <c r="ERZ28" s="97"/>
      <c r="ESA28" s="97"/>
      <c r="ESB28" s="97"/>
      <c r="ESC28" s="97"/>
      <c r="ESD28" s="97"/>
      <c r="ESE28" s="97"/>
      <c r="ESF28" s="97"/>
      <c r="ESG28" s="97"/>
      <c r="ESH28" s="97"/>
      <c r="ESI28" s="97"/>
      <c r="ESJ28" s="97"/>
      <c r="ESK28" s="97"/>
      <c r="ESL28" s="97"/>
      <c r="ESM28" s="97"/>
      <c r="ESN28" s="97"/>
      <c r="ESO28" s="97"/>
      <c r="ESP28" s="97"/>
      <c r="ESQ28" s="97"/>
      <c r="ESR28" s="97"/>
      <c r="ESS28" s="97"/>
      <c r="EST28" s="97"/>
      <c r="ESU28" s="97"/>
      <c r="ESV28" s="97"/>
      <c r="ESW28" s="97"/>
      <c r="ESX28" s="97"/>
      <c r="ESY28" s="97"/>
      <c r="ESZ28" s="97"/>
      <c r="ETA28" s="97"/>
      <c r="ETB28" s="97"/>
      <c r="ETC28" s="97"/>
      <c r="ETD28" s="97"/>
      <c r="ETE28" s="97"/>
      <c r="ETF28" s="97"/>
      <c r="ETG28" s="97"/>
      <c r="ETH28" s="97"/>
      <c r="ETI28" s="97"/>
      <c r="ETJ28" s="97"/>
      <c r="ETK28" s="97"/>
      <c r="ETL28" s="97"/>
      <c r="ETM28" s="97"/>
      <c r="ETN28" s="97"/>
      <c r="ETO28" s="97"/>
      <c r="ETP28" s="97"/>
      <c r="ETQ28" s="97"/>
      <c r="ETR28" s="97"/>
      <c r="ETS28" s="97"/>
      <c r="ETT28" s="97"/>
      <c r="ETU28" s="97"/>
      <c r="ETV28" s="97"/>
      <c r="ETW28" s="97"/>
      <c r="ETX28" s="97"/>
      <c r="ETY28" s="97"/>
      <c r="ETZ28" s="97"/>
      <c r="EUA28" s="97"/>
      <c r="EUB28" s="97"/>
      <c r="EUC28" s="97"/>
      <c r="EUD28" s="97"/>
      <c r="EUE28" s="97"/>
      <c r="EUF28" s="97"/>
      <c r="EUG28" s="97"/>
      <c r="EUH28" s="97"/>
      <c r="EUI28" s="97"/>
      <c r="EUJ28" s="97"/>
      <c r="EUK28" s="97"/>
      <c r="EUL28" s="97"/>
      <c r="EUM28" s="97"/>
      <c r="EUN28" s="97"/>
      <c r="EUO28" s="97"/>
      <c r="EUP28" s="97"/>
      <c r="EUQ28" s="97"/>
      <c r="EUR28" s="97"/>
      <c r="EUS28" s="97"/>
      <c r="EUT28" s="97"/>
      <c r="EUU28" s="97"/>
      <c r="EUV28" s="97"/>
      <c r="EUW28" s="97"/>
      <c r="EUX28" s="97"/>
      <c r="EUY28" s="97"/>
      <c r="EUZ28" s="97"/>
      <c r="EVA28" s="97"/>
      <c r="EVB28" s="97"/>
      <c r="EVC28" s="97"/>
      <c r="EVD28" s="97"/>
      <c r="EVE28" s="97"/>
      <c r="EVF28" s="97"/>
      <c r="EVG28" s="97"/>
      <c r="EVH28" s="97"/>
      <c r="EVI28" s="97"/>
      <c r="EVJ28" s="97"/>
      <c r="EVK28" s="97"/>
      <c r="EVL28" s="97"/>
      <c r="EVM28" s="97"/>
      <c r="EVN28" s="97"/>
      <c r="EVO28" s="97"/>
      <c r="EVP28" s="97"/>
      <c r="EVQ28" s="97"/>
      <c r="EVR28" s="97"/>
      <c r="EVS28" s="97"/>
      <c r="EVT28" s="97"/>
      <c r="EVU28" s="97"/>
      <c r="EVV28" s="97"/>
      <c r="EVW28" s="97"/>
      <c r="EVX28" s="97"/>
      <c r="EVY28" s="97"/>
      <c r="EVZ28" s="97"/>
      <c r="EWA28" s="97"/>
      <c r="EWB28" s="97"/>
      <c r="EWC28" s="97"/>
      <c r="EWD28" s="97"/>
      <c r="EWE28" s="97"/>
      <c r="EWF28" s="97"/>
      <c r="EWG28" s="97"/>
      <c r="EWH28" s="97"/>
      <c r="EWI28" s="97"/>
      <c r="EWJ28" s="97"/>
      <c r="EWK28" s="97"/>
      <c r="EWL28" s="97"/>
      <c r="EWM28" s="97"/>
      <c r="EWN28" s="97"/>
      <c r="EWO28" s="97"/>
      <c r="EWP28" s="97"/>
      <c r="EWQ28" s="97"/>
      <c r="EWR28" s="97"/>
      <c r="EWS28" s="97"/>
      <c r="EWT28" s="97"/>
      <c r="EWU28" s="97"/>
      <c r="EWV28" s="97"/>
      <c r="EWW28" s="97"/>
      <c r="EWX28" s="97"/>
      <c r="EWY28" s="97"/>
      <c r="EWZ28" s="97"/>
      <c r="EXA28" s="97"/>
      <c r="EXB28" s="97"/>
      <c r="EXC28" s="97"/>
      <c r="EXD28" s="97"/>
      <c r="EXE28" s="97"/>
      <c r="EXF28" s="97"/>
      <c r="EXG28" s="97"/>
      <c r="EXH28" s="97"/>
      <c r="EXI28" s="97"/>
      <c r="EXJ28" s="97"/>
      <c r="EXK28" s="97"/>
      <c r="EXL28" s="97"/>
      <c r="EXM28" s="97"/>
      <c r="EXN28" s="97"/>
      <c r="EXO28" s="97"/>
      <c r="EXP28" s="97"/>
      <c r="EXQ28" s="97"/>
      <c r="EXR28" s="97"/>
      <c r="EXS28" s="97"/>
      <c r="EXT28" s="97"/>
      <c r="EXU28" s="97"/>
      <c r="EXV28" s="97"/>
      <c r="EXW28" s="97"/>
      <c r="EXX28" s="97"/>
      <c r="EXY28" s="97"/>
      <c r="EXZ28" s="97"/>
      <c r="EYA28" s="97"/>
      <c r="EYB28" s="97"/>
      <c r="EYC28" s="97"/>
      <c r="EYD28" s="97"/>
      <c r="EYE28" s="97"/>
      <c r="EYF28" s="97"/>
      <c r="EYG28" s="97"/>
      <c r="EYH28" s="97"/>
      <c r="EYI28" s="97"/>
      <c r="EYJ28" s="97"/>
      <c r="EYK28" s="97"/>
      <c r="EYL28" s="97"/>
      <c r="EYM28" s="97"/>
      <c r="EYN28" s="97"/>
      <c r="EYO28" s="97"/>
      <c r="EYP28" s="97"/>
      <c r="EYQ28" s="97"/>
      <c r="EYR28" s="97"/>
      <c r="EYS28" s="97"/>
      <c r="EYT28" s="97"/>
      <c r="EYU28" s="97"/>
      <c r="EYV28" s="97"/>
      <c r="EYW28" s="97"/>
      <c r="EYX28" s="97"/>
      <c r="EYY28" s="97"/>
      <c r="EYZ28" s="97"/>
      <c r="EZA28" s="97"/>
      <c r="EZB28" s="97"/>
      <c r="EZC28" s="97"/>
      <c r="EZD28" s="97"/>
      <c r="EZE28" s="97"/>
      <c r="EZF28" s="97"/>
      <c r="EZG28" s="97"/>
      <c r="EZH28" s="97"/>
      <c r="EZI28" s="97"/>
      <c r="EZJ28" s="97"/>
      <c r="EZK28" s="97"/>
      <c r="EZL28" s="97"/>
      <c r="EZM28" s="97"/>
      <c r="EZN28" s="97"/>
      <c r="EZO28" s="97"/>
      <c r="EZP28" s="97"/>
      <c r="EZQ28" s="97"/>
      <c r="EZR28" s="97"/>
      <c r="EZS28" s="97"/>
      <c r="EZT28" s="97"/>
      <c r="EZU28" s="97"/>
      <c r="EZV28" s="97"/>
      <c r="EZW28" s="97"/>
      <c r="EZX28" s="97"/>
      <c r="EZY28" s="97"/>
      <c r="EZZ28" s="97"/>
      <c r="FAA28" s="97"/>
      <c r="FAB28" s="97"/>
      <c r="FAC28" s="97"/>
      <c r="FAD28" s="97"/>
      <c r="FAE28" s="97"/>
      <c r="FAF28" s="97"/>
      <c r="FAG28" s="97"/>
      <c r="FAH28" s="97"/>
      <c r="FAI28" s="97"/>
      <c r="FAJ28" s="97"/>
      <c r="FAK28" s="97"/>
      <c r="FAL28" s="97"/>
      <c r="FAM28" s="97"/>
      <c r="FAN28" s="97"/>
      <c r="FAO28" s="97"/>
      <c r="FAP28" s="97"/>
      <c r="FAQ28" s="97"/>
      <c r="FAR28" s="97"/>
      <c r="FAS28" s="97"/>
      <c r="FAT28" s="97"/>
      <c r="FAU28" s="97"/>
      <c r="FAV28" s="97"/>
      <c r="FAW28" s="97"/>
      <c r="FAX28" s="97"/>
      <c r="FAY28" s="97"/>
      <c r="FAZ28" s="97"/>
      <c r="FBA28" s="97"/>
      <c r="FBB28" s="97"/>
      <c r="FBC28" s="97"/>
      <c r="FBD28" s="97"/>
      <c r="FBE28" s="97"/>
      <c r="FBF28" s="97"/>
      <c r="FBG28" s="97"/>
      <c r="FBH28" s="97"/>
      <c r="FBI28" s="97"/>
      <c r="FBJ28" s="97"/>
      <c r="FBK28" s="97"/>
      <c r="FBL28" s="97"/>
      <c r="FBM28" s="97"/>
      <c r="FBN28" s="97"/>
      <c r="FBO28" s="97"/>
      <c r="FBP28" s="97"/>
      <c r="FBQ28" s="97"/>
      <c r="FBR28" s="97"/>
      <c r="FBS28" s="97"/>
      <c r="FBT28" s="97"/>
      <c r="FBU28" s="97"/>
      <c r="FBV28" s="97"/>
      <c r="FBW28" s="97"/>
      <c r="FBX28" s="97"/>
      <c r="FBY28" s="97"/>
      <c r="FBZ28" s="97"/>
      <c r="FCA28" s="97"/>
      <c r="FCB28" s="97"/>
      <c r="FCC28" s="97"/>
      <c r="FCD28" s="97"/>
      <c r="FCE28" s="97"/>
      <c r="FCF28" s="97"/>
      <c r="FCG28" s="97"/>
      <c r="FCH28" s="97"/>
      <c r="FCI28" s="97"/>
      <c r="FCJ28" s="97"/>
      <c r="FCK28" s="97"/>
      <c r="FCL28" s="97"/>
      <c r="FCM28" s="97"/>
      <c r="FCN28" s="97"/>
      <c r="FCO28" s="97"/>
      <c r="FCP28" s="97"/>
      <c r="FCQ28" s="97"/>
      <c r="FCR28" s="97"/>
      <c r="FCS28" s="97"/>
      <c r="FCT28" s="97"/>
      <c r="FCU28" s="97"/>
      <c r="FCV28" s="97"/>
      <c r="FCW28" s="97"/>
      <c r="FCX28" s="97"/>
      <c r="FCY28" s="97"/>
      <c r="FCZ28" s="97"/>
      <c r="FDA28" s="97"/>
      <c r="FDB28" s="97"/>
      <c r="FDC28" s="97"/>
      <c r="FDD28" s="97"/>
      <c r="FDE28" s="97"/>
      <c r="FDF28" s="97"/>
      <c r="FDG28" s="97"/>
      <c r="FDH28" s="97"/>
      <c r="FDI28" s="97"/>
      <c r="FDJ28" s="97"/>
      <c r="FDK28" s="97"/>
      <c r="FDL28" s="97"/>
      <c r="FDM28" s="97"/>
      <c r="FDN28" s="97"/>
      <c r="FDO28" s="97"/>
      <c r="FDP28" s="97"/>
      <c r="FDQ28" s="97"/>
      <c r="FDR28" s="97"/>
      <c r="FDS28" s="97"/>
      <c r="FDT28" s="97"/>
      <c r="FDU28" s="97"/>
      <c r="FDV28" s="97"/>
      <c r="FDW28" s="97"/>
      <c r="FDX28" s="97"/>
      <c r="FDY28" s="97"/>
      <c r="FDZ28" s="97"/>
      <c r="FEA28" s="97"/>
      <c r="FEB28" s="97"/>
      <c r="FEC28" s="97"/>
      <c r="FED28" s="97"/>
      <c r="FEE28" s="97"/>
      <c r="FEF28" s="97"/>
      <c r="FEG28" s="97"/>
      <c r="FEH28" s="97"/>
      <c r="FEI28" s="97"/>
      <c r="FEJ28" s="97"/>
      <c r="FEK28" s="97"/>
      <c r="FEL28" s="97"/>
      <c r="FEM28" s="97"/>
      <c r="FEN28" s="97"/>
      <c r="FEO28" s="97"/>
      <c r="FEP28" s="97"/>
      <c r="FEQ28" s="97"/>
      <c r="FER28" s="97"/>
      <c r="FES28" s="97"/>
      <c r="FET28" s="97"/>
      <c r="FEU28" s="97"/>
      <c r="FEV28" s="97"/>
      <c r="FEW28" s="97"/>
      <c r="FEX28" s="97"/>
      <c r="FEY28" s="97"/>
      <c r="FEZ28" s="97"/>
      <c r="FFA28" s="97"/>
      <c r="FFB28" s="97"/>
      <c r="FFC28" s="97"/>
      <c r="FFD28" s="97"/>
      <c r="FFE28" s="97"/>
      <c r="FFF28" s="97"/>
      <c r="FFG28" s="97"/>
      <c r="FFH28" s="97"/>
      <c r="FFI28" s="97"/>
      <c r="FFJ28" s="97"/>
      <c r="FFK28" s="97"/>
      <c r="FFL28" s="97"/>
      <c r="FFM28" s="97"/>
      <c r="FFN28" s="97"/>
      <c r="FFO28" s="97"/>
      <c r="FFP28" s="97"/>
      <c r="FFQ28" s="97"/>
      <c r="FFR28" s="97"/>
      <c r="FFS28" s="97"/>
      <c r="FFT28" s="97"/>
      <c r="FFU28" s="97"/>
      <c r="FFV28" s="97"/>
      <c r="FFW28" s="97"/>
      <c r="FFX28" s="97"/>
      <c r="FFY28" s="97"/>
      <c r="FFZ28" s="97"/>
      <c r="FGA28" s="97"/>
      <c r="FGB28" s="97"/>
      <c r="FGC28" s="97"/>
      <c r="FGD28" s="97"/>
      <c r="FGE28" s="97"/>
      <c r="FGF28" s="97"/>
      <c r="FGG28" s="97"/>
      <c r="FGH28" s="97"/>
      <c r="FGI28" s="97"/>
      <c r="FGJ28" s="97"/>
      <c r="FGK28" s="97"/>
      <c r="FGL28" s="97"/>
      <c r="FGM28" s="97"/>
      <c r="FGN28" s="97"/>
      <c r="FGO28" s="97"/>
      <c r="FGP28" s="97"/>
      <c r="FGQ28" s="97"/>
      <c r="FGR28" s="97"/>
      <c r="FGS28" s="97"/>
      <c r="FGT28" s="97"/>
      <c r="FGU28" s="97"/>
      <c r="FGV28" s="97"/>
      <c r="FGW28" s="97"/>
      <c r="FGX28" s="97"/>
      <c r="FGY28" s="97"/>
      <c r="FGZ28" s="97"/>
      <c r="FHA28" s="97"/>
      <c r="FHB28" s="97"/>
      <c r="FHC28" s="97"/>
      <c r="FHD28" s="97"/>
      <c r="FHE28" s="97"/>
      <c r="FHF28" s="97"/>
      <c r="FHG28" s="97"/>
      <c r="FHH28" s="97"/>
      <c r="FHI28" s="97"/>
      <c r="FHJ28" s="97"/>
      <c r="FHK28" s="97"/>
      <c r="FHL28" s="97"/>
      <c r="FHM28" s="97"/>
      <c r="FHN28" s="97"/>
      <c r="FHO28" s="97"/>
      <c r="FHP28" s="97"/>
      <c r="FHQ28" s="97"/>
      <c r="FHR28" s="97"/>
      <c r="FHS28" s="97"/>
      <c r="FHT28" s="97"/>
      <c r="FHU28" s="97"/>
      <c r="FHV28" s="97"/>
      <c r="FHW28" s="97"/>
      <c r="FHX28" s="97"/>
      <c r="FHY28" s="97"/>
      <c r="FHZ28" s="97"/>
      <c r="FIA28" s="97"/>
      <c r="FIB28" s="97"/>
      <c r="FIC28" s="97"/>
      <c r="FID28" s="97"/>
      <c r="FIE28" s="97"/>
      <c r="FIF28" s="97"/>
      <c r="FIG28" s="97"/>
      <c r="FIH28" s="97"/>
      <c r="FII28" s="97"/>
      <c r="FIJ28" s="97"/>
      <c r="FIK28" s="97"/>
      <c r="FIL28" s="97"/>
      <c r="FIM28" s="97"/>
      <c r="FIN28" s="97"/>
      <c r="FIO28" s="97"/>
      <c r="FIP28" s="97"/>
      <c r="FIQ28" s="97"/>
      <c r="FIR28" s="97"/>
      <c r="FIS28" s="97"/>
      <c r="FIT28" s="97"/>
      <c r="FIU28" s="97"/>
      <c r="FIV28" s="97"/>
      <c r="FIW28" s="97"/>
      <c r="FIX28" s="97"/>
      <c r="FIY28" s="97"/>
      <c r="FIZ28" s="97"/>
      <c r="FJA28" s="97"/>
      <c r="FJB28" s="97"/>
      <c r="FJC28" s="97"/>
      <c r="FJD28" s="97"/>
      <c r="FJE28" s="97"/>
      <c r="FJF28" s="97"/>
      <c r="FJG28" s="97"/>
      <c r="FJH28" s="97"/>
      <c r="FJI28" s="97"/>
      <c r="FJJ28" s="97"/>
      <c r="FJK28" s="97"/>
      <c r="FJL28" s="97"/>
      <c r="FJM28" s="97"/>
      <c r="FJN28" s="97"/>
      <c r="FJO28" s="97"/>
      <c r="FJP28" s="97"/>
      <c r="FJQ28" s="97"/>
      <c r="FJR28" s="97"/>
      <c r="FJS28" s="97"/>
      <c r="FJT28" s="97"/>
      <c r="FJU28" s="97"/>
      <c r="FJV28" s="97"/>
      <c r="FJW28" s="97"/>
      <c r="FJX28" s="97"/>
      <c r="FJY28" s="97"/>
      <c r="FJZ28" s="97"/>
      <c r="FKA28" s="97"/>
      <c r="FKB28" s="97"/>
      <c r="FKC28" s="97"/>
      <c r="FKD28" s="97"/>
      <c r="FKE28" s="97"/>
      <c r="FKF28" s="97"/>
      <c r="FKG28" s="97"/>
      <c r="FKH28" s="97"/>
      <c r="FKI28" s="97"/>
      <c r="FKJ28" s="97"/>
      <c r="FKK28" s="97"/>
      <c r="FKL28" s="97"/>
      <c r="FKM28" s="97"/>
      <c r="FKN28" s="97"/>
      <c r="FKO28" s="97"/>
      <c r="FKP28" s="97"/>
      <c r="FKQ28" s="97"/>
      <c r="FKR28" s="97"/>
      <c r="FKS28" s="97"/>
      <c r="FKT28" s="97"/>
      <c r="FKU28" s="97"/>
      <c r="FKV28" s="97"/>
      <c r="FKW28" s="97"/>
      <c r="FKX28" s="97"/>
      <c r="FKY28" s="97"/>
      <c r="FKZ28" s="97"/>
      <c r="FLA28" s="97"/>
      <c r="FLB28" s="97"/>
      <c r="FLC28" s="97"/>
      <c r="FLD28" s="97"/>
      <c r="FLE28" s="97"/>
      <c r="FLF28" s="97"/>
      <c r="FLG28" s="97"/>
      <c r="FLH28" s="97"/>
      <c r="FLI28" s="97"/>
      <c r="FLJ28" s="97"/>
      <c r="FLK28" s="97"/>
      <c r="FLL28" s="97"/>
      <c r="FLM28" s="97"/>
      <c r="FLN28" s="97"/>
      <c r="FLO28" s="97"/>
      <c r="FLP28" s="97"/>
      <c r="FLQ28" s="97"/>
      <c r="FLR28" s="97"/>
      <c r="FLS28" s="97"/>
      <c r="FLT28" s="97"/>
      <c r="FLU28" s="97"/>
      <c r="FLV28" s="97"/>
      <c r="FLW28" s="97"/>
      <c r="FLX28" s="97"/>
      <c r="FLY28" s="97"/>
      <c r="FLZ28" s="97"/>
      <c r="FMA28" s="97"/>
      <c r="FMB28" s="97"/>
      <c r="FMC28" s="97"/>
      <c r="FMD28" s="97"/>
      <c r="FME28" s="97"/>
      <c r="FMF28" s="97"/>
      <c r="FMG28" s="97"/>
      <c r="FMH28" s="97"/>
      <c r="FMI28" s="97"/>
      <c r="FMJ28" s="97"/>
      <c r="FMK28" s="97"/>
      <c r="FML28" s="97"/>
      <c r="FMM28" s="97"/>
      <c r="FMN28" s="97"/>
      <c r="FMO28" s="97"/>
      <c r="FMP28" s="97"/>
      <c r="FMQ28" s="97"/>
      <c r="FMR28" s="97"/>
      <c r="FMS28" s="97"/>
      <c r="FMT28" s="97"/>
      <c r="FMU28" s="97"/>
      <c r="FMV28" s="97"/>
      <c r="FMW28" s="97"/>
      <c r="FMX28" s="97"/>
      <c r="FMY28" s="97"/>
      <c r="FMZ28" s="97"/>
      <c r="FNA28" s="97"/>
      <c r="FNB28" s="97"/>
      <c r="FNC28" s="97"/>
      <c r="FND28" s="97"/>
      <c r="FNE28" s="97"/>
      <c r="FNF28" s="97"/>
      <c r="FNG28" s="97"/>
      <c r="FNH28" s="97"/>
      <c r="FNI28" s="97"/>
      <c r="FNJ28" s="97"/>
      <c r="FNK28" s="97"/>
      <c r="FNL28" s="97"/>
      <c r="FNM28" s="97"/>
      <c r="FNN28" s="97"/>
      <c r="FNO28" s="97"/>
      <c r="FNP28" s="97"/>
      <c r="FNQ28" s="97"/>
      <c r="FNR28" s="97"/>
      <c r="FNS28" s="97"/>
      <c r="FNT28" s="97"/>
      <c r="FNU28" s="97"/>
      <c r="FNV28" s="97"/>
      <c r="FNW28" s="97"/>
      <c r="FNX28" s="97"/>
      <c r="FNY28" s="97"/>
      <c r="FNZ28" s="97"/>
      <c r="FOA28" s="97"/>
      <c r="FOB28" s="97"/>
      <c r="FOC28" s="97"/>
      <c r="FOD28" s="97"/>
      <c r="FOE28" s="97"/>
      <c r="FOF28" s="97"/>
      <c r="FOG28" s="97"/>
      <c r="FOH28" s="97"/>
      <c r="FOI28" s="97"/>
      <c r="FOJ28" s="97"/>
      <c r="FOK28" s="97"/>
      <c r="FOL28" s="97"/>
      <c r="FOM28" s="97"/>
      <c r="FON28" s="97"/>
      <c r="FOO28" s="97"/>
      <c r="FOP28" s="97"/>
      <c r="FOQ28" s="97"/>
      <c r="FOR28" s="97"/>
      <c r="FOS28" s="97"/>
      <c r="FOT28" s="97"/>
      <c r="FOU28" s="97"/>
      <c r="FOV28" s="97"/>
      <c r="FOW28" s="97"/>
      <c r="FOX28" s="97"/>
      <c r="FOY28" s="97"/>
      <c r="FOZ28" s="97"/>
      <c r="FPA28" s="97"/>
      <c r="FPB28" s="97"/>
      <c r="FPC28" s="97"/>
      <c r="FPD28" s="97"/>
      <c r="FPE28" s="97"/>
      <c r="FPF28" s="97"/>
      <c r="FPG28" s="97"/>
      <c r="FPH28" s="97"/>
      <c r="FPI28" s="97"/>
      <c r="FPJ28" s="97"/>
      <c r="FPK28" s="97"/>
      <c r="FPL28" s="97"/>
      <c r="FPM28" s="97"/>
      <c r="FPN28" s="97"/>
      <c r="FPO28" s="97"/>
      <c r="FPP28" s="97"/>
      <c r="FPQ28" s="97"/>
      <c r="FPR28" s="97"/>
      <c r="FPS28" s="97"/>
      <c r="FPT28" s="97"/>
      <c r="FPU28" s="97"/>
      <c r="FPV28" s="97"/>
      <c r="FPW28" s="97"/>
      <c r="FPX28" s="97"/>
      <c r="FPY28" s="97"/>
      <c r="FPZ28" s="97"/>
      <c r="FQA28" s="97"/>
      <c r="FQB28" s="97"/>
      <c r="FQC28" s="97"/>
      <c r="FQD28" s="97"/>
      <c r="FQE28" s="97"/>
      <c r="FQF28" s="97"/>
      <c r="FQG28" s="97"/>
      <c r="FQH28" s="97"/>
      <c r="FQI28" s="97"/>
      <c r="FQJ28" s="97"/>
      <c r="FQK28" s="97"/>
      <c r="FQL28" s="97"/>
      <c r="FQM28" s="97"/>
      <c r="FQN28" s="97"/>
      <c r="FQO28" s="97"/>
      <c r="FQP28" s="97"/>
      <c r="FQQ28" s="97"/>
      <c r="FQR28" s="97"/>
      <c r="FQS28" s="97"/>
      <c r="FQT28" s="97"/>
      <c r="FQU28" s="97"/>
      <c r="FQV28" s="97"/>
      <c r="FQW28" s="97"/>
      <c r="FQX28" s="97"/>
      <c r="FQY28" s="97"/>
      <c r="FQZ28" s="97"/>
      <c r="FRA28" s="97"/>
      <c r="FRB28" s="97"/>
      <c r="FRC28" s="97"/>
      <c r="FRD28" s="97"/>
      <c r="FRE28" s="97"/>
      <c r="FRF28" s="97"/>
      <c r="FRG28" s="97"/>
      <c r="FRH28" s="97"/>
      <c r="FRI28" s="97"/>
      <c r="FRJ28" s="97"/>
      <c r="FRK28" s="97"/>
      <c r="FRL28" s="97"/>
      <c r="FRM28" s="97"/>
      <c r="FRN28" s="97"/>
      <c r="FRO28" s="97"/>
      <c r="FRP28" s="97"/>
      <c r="FRQ28" s="97"/>
      <c r="FRR28" s="97"/>
      <c r="FRS28" s="97"/>
      <c r="FRT28" s="97"/>
      <c r="FRU28" s="97"/>
      <c r="FRV28" s="97"/>
      <c r="FRW28" s="97"/>
      <c r="FRX28" s="97"/>
      <c r="FRY28" s="97"/>
      <c r="FRZ28" s="97"/>
      <c r="FSA28" s="97"/>
      <c r="FSB28" s="97"/>
      <c r="FSC28" s="97"/>
      <c r="FSD28" s="97"/>
      <c r="FSE28" s="97"/>
      <c r="FSF28" s="97"/>
      <c r="FSG28" s="97"/>
      <c r="FSH28" s="97"/>
      <c r="FSI28" s="97"/>
      <c r="FSJ28" s="97"/>
      <c r="FSK28" s="97"/>
      <c r="FSL28" s="97"/>
      <c r="FSM28" s="97"/>
      <c r="FSN28" s="97"/>
      <c r="FSO28" s="97"/>
      <c r="FSP28" s="97"/>
      <c r="FSQ28" s="97"/>
      <c r="FSR28" s="97"/>
      <c r="FSS28" s="97"/>
      <c r="FST28" s="97"/>
      <c r="FSU28" s="97"/>
      <c r="FSV28" s="97"/>
      <c r="FSW28" s="97"/>
      <c r="FSX28" s="97"/>
      <c r="FSY28" s="97"/>
      <c r="FSZ28" s="97"/>
      <c r="FTA28" s="97"/>
      <c r="FTB28" s="97"/>
      <c r="FTC28" s="97"/>
      <c r="FTD28" s="97"/>
      <c r="FTE28" s="97"/>
      <c r="FTF28" s="97"/>
      <c r="FTG28" s="97"/>
      <c r="FTH28" s="97"/>
      <c r="FTI28" s="97"/>
      <c r="FTJ28" s="97"/>
      <c r="FTK28" s="97"/>
      <c r="FTL28" s="97"/>
      <c r="FTM28" s="97"/>
      <c r="FTN28" s="97"/>
      <c r="FTO28" s="97"/>
      <c r="FTP28" s="97"/>
      <c r="FTQ28" s="97"/>
      <c r="FTR28" s="97"/>
      <c r="FTS28" s="97"/>
      <c r="FTT28" s="97"/>
      <c r="FTU28" s="97"/>
      <c r="FTV28" s="97"/>
      <c r="FTW28" s="97"/>
      <c r="FTX28" s="97"/>
      <c r="FTY28" s="97"/>
      <c r="FTZ28" s="97"/>
      <c r="FUA28" s="97"/>
      <c r="FUB28" s="97"/>
      <c r="FUC28" s="97"/>
      <c r="FUD28" s="97"/>
      <c r="FUE28" s="97"/>
      <c r="FUF28" s="97"/>
      <c r="FUG28" s="97"/>
      <c r="FUH28" s="97"/>
      <c r="FUI28" s="97"/>
      <c r="FUJ28" s="97"/>
      <c r="FUK28" s="97"/>
      <c r="FUL28" s="97"/>
      <c r="FUM28" s="97"/>
      <c r="FUN28" s="97"/>
      <c r="FUO28" s="97"/>
      <c r="FUP28" s="97"/>
      <c r="FUQ28" s="97"/>
      <c r="FUR28" s="97"/>
      <c r="FUS28" s="97"/>
      <c r="FUT28" s="97"/>
      <c r="FUU28" s="97"/>
      <c r="FUV28" s="97"/>
      <c r="FUW28" s="97"/>
      <c r="FUX28" s="97"/>
      <c r="FUY28" s="97"/>
      <c r="FUZ28" s="97"/>
      <c r="FVA28" s="97"/>
      <c r="FVB28" s="97"/>
      <c r="FVC28" s="97"/>
      <c r="FVD28" s="97"/>
      <c r="FVE28" s="97"/>
      <c r="FVF28" s="97"/>
      <c r="FVG28" s="97"/>
      <c r="FVH28" s="97"/>
      <c r="FVI28" s="97"/>
      <c r="FVJ28" s="97"/>
      <c r="FVK28" s="97"/>
      <c r="FVL28" s="97"/>
      <c r="FVM28" s="97"/>
      <c r="FVN28" s="97"/>
      <c r="FVO28" s="97"/>
      <c r="FVP28" s="97"/>
      <c r="FVQ28" s="97"/>
      <c r="FVR28" s="97"/>
      <c r="FVS28" s="97"/>
      <c r="FVT28" s="97"/>
      <c r="FVU28" s="97"/>
      <c r="FVV28" s="97"/>
      <c r="FVW28" s="97"/>
      <c r="FVX28" s="97"/>
      <c r="FVY28" s="97"/>
      <c r="FVZ28" s="97"/>
      <c r="FWA28" s="97"/>
      <c r="FWB28" s="97"/>
      <c r="FWC28" s="97"/>
      <c r="FWD28" s="97"/>
      <c r="FWE28" s="97"/>
      <c r="FWF28" s="97"/>
      <c r="FWG28" s="97"/>
      <c r="FWH28" s="97"/>
      <c r="FWI28" s="97"/>
      <c r="FWJ28" s="97"/>
      <c r="FWK28" s="97"/>
      <c r="FWL28" s="97"/>
      <c r="FWM28" s="97"/>
      <c r="FWN28" s="97"/>
      <c r="FWO28" s="97"/>
      <c r="FWP28" s="97"/>
      <c r="FWQ28" s="97"/>
      <c r="FWR28" s="97"/>
      <c r="FWS28" s="97"/>
      <c r="FWT28" s="97"/>
      <c r="FWU28" s="97"/>
      <c r="FWV28" s="97"/>
      <c r="FWW28" s="97"/>
      <c r="FWX28" s="97"/>
      <c r="FWY28" s="97"/>
      <c r="FWZ28" s="97"/>
      <c r="FXA28" s="97"/>
      <c r="FXB28" s="97"/>
      <c r="FXC28" s="97"/>
      <c r="FXD28" s="97"/>
      <c r="FXE28" s="97"/>
      <c r="FXF28" s="97"/>
      <c r="FXG28" s="97"/>
      <c r="FXH28" s="97"/>
      <c r="FXI28" s="97"/>
      <c r="FXJ28" s="97"/>
      <c r="FXK28" s="97"/>
      <c r="FXL28" s="97"/>
      <c r="FXM28" s="97"/>
      <c r="FXN28" s="97"/>
      <c r="FXO28" s="97"/>
      <c r="FXP28" s="97"/>
      <c r="FXQ28" s="97"/>
      <c r="FXR28" s="97"/>
      <c r="FXS28" s="97"/>
      <c r="FXT28" s="97"/>
      <c r="FXU28" s="97"/>
      <c r="FXV28" s="97"/>
      <c r="FXW28" s="97"/>
      <c r="FXX28" s="97"/>
      <c r="FXY28" s="97"/>
      <c r="FXZ28" s="97"/>
      <c r="FYA28" s="97"/>
      <c r="FYB28" s="97"/>
      <c r="FYC28" s="97"/>
      <c r="FYD28" s="97"/>
      <c r="FYE28" s="97"/>
      <c r="FYF28" s="97"/>
      <c r="FYG28" s="97"/>
      <c r="FYH28" s="97"/>
      <c r="FYI28" s="97"/>
      <c r="FYJ28" s="97"/>
      <c r="FYK28" s="97"/>
      <c r="FYL28" s="97"/>
      <c r="FYM28" s="97"/>
      <c r="FYN28" s="97"/>
      <c r="FYO28" s="97"/>
      <c r="FYP28" s="97"/>
      <c r="FYQ28" s="97"/>
      <c r="FYR28" s="97"/>
      <c r="FYS28" s="97"/>
      <c r="FYT28" s="97"/>
      <c r="FYU28" s="97"/>
      <c r="FYV28" s="97"/>
      <c r="FYW28" s="97"/>
      <c r="FYX28" s="97"/>
      <c r="FYY28" s="97"/>
      <c r="FYZ28" s="97"/>
      <c r="FZA28" s="97"/>
      <c r="FZB28" s="97"/>
      <c r="FZC28" s="97"/>
      <c r="FZD28" s="97"/>
      <c r="FZE28" s="97"/>
      <c r="FZF28" s="97"/>
      <c r="FZG28" s="97"/>
      <c r="FZH28" s="97"/>
      <c r="FZI28" s="97"/>
      <c r="FZJ28" s="97"/>
      <c r="FZK28" s="97"/>
      <c r="FZL28" s="97"/>
      <c r="FZM28" s="97"/>
      <c r="FZN28" s="97"/>
      <c r="FZO28" s="97"/>
      <c r="FZP28" s="97"/>
      <c r="FZQ28" s="97"/>
      <c r="FZR28" s="97"/>
      <c r="FZS28" s="97"/>
      <c r="FZT28" s="97"/>
      <c r="FZU28" s="97"/>
      <c r="FZV28" s="97"/>
      <c r="FZW28" s="97"/>
      <c r="FZX28" s="97"/>
      <c r="FZY28" s="97"/>
      <c r="FZZ28" s="97"/>
      <c r="GAA28" s="97"/>
      <c r="GAB28" s="97"/>
      <c r="GAC28" s="97"/>
      <c r="GAD28" s="97"/>
      <c r="GAE28" s="97"/>
      <c r="GAF28" s="97"/>
      <c r="GAG28" s="97"/>
      <c r="GAH28" s="97"/>
      <c r="GAI28" s="97"/>
      <c r="GAJ28" s="97"/>
      <c r="GAK28" s="97"/>
      <c r="GAL28" s="97"/>
      <c r="GAM28" s="97"/>
      <c r="GAN28" s="97"/>
      <c r="GAO28" s="97"/>
      <c r="GAP28" s="97"/>
      <c r="GAQ28" s="97"/>
      <c r="GAR28" s="97"/>
      <c r="GAS28" s="97"/>
      <c r="GAT28" s="97"/>
      <c r="GAU28" s="97"/>
      <c r="GAV28" s="97"/>
      <c r="GAW28" s="97"/>
      <c r="GAX28" s="97"/>
      <c r="GAY28" s="97"/>
      <c r="GAZ28" s="97"/>
      <c r="GBA28" s="97"/>
      <c r="GBB28" s="97"/>
      <c r="GBC28" s="97"/>
      <c r="GBD28" s="97"/>
      <c r="GBE28" s="97"/>
      <c r="GBF28" s="97"/>
      <c r="GBG28" s="97"/>
      <c r="GBH28" s="97"/>
      <c r="GBI28" s="97"/>
      <c r="GBJ28" s="97"/>
      <c r="GBK28" s="97"/>
      <c r="GBL28" s="97"/>
      <c r="GBM28" s="97"/>
      <c r="GBN28" s="97"/>
      <c r="GBO28" s="97"/>
      <c r="GBP28" s="97"/>
      <c r="GBQ28" s="97"/>
      <c r="GBR28" s="97"/>
      <c r="GBS28" s="97"/>
      <c r="GBT28" s="97"/>
      <c r="GBU28" s="97"/>
      <c r="GBV28" s="97"/>
      <c r="GBW28" s="97"/>
      <c r="GBX28" s="97"/>
      <c r="GBY28" s="97"/>
      <c r="GBZ28" s="97"/>
      <c r="GCA28" s="97"/>
      <c r="GCB28" s="97"/>
      <c r="GCC28" s="97"/>
      <c r="GCD28" s="97"/>
      <c r="GCE28" s="97"/>
      <c r="GCF28" s="97"/>
      <c r="GCG28" s="97"/>
      <c r="GCH28" s="97"/>
      <c r="GCI28" s="97"/>
      <c r="GCJ28" s="97"/>
      <c r="GCK28" s="97"/>
      <c r="GCL28" s="97"/>
      <c r="GCM28" s="97"/>
      <c r="GCN28" s="97"/>
      <c r="GCO28" s="97"/>
      <c r="GCP28" s="97"/>
      <c r="GCQ28" s="97"/>
      <c r="GCR28" s="97"/>
      <c r="GCS28" s="97"/>
      <c r="GCT28" s="97"/>
      <c r="GCU28" s="97"/>
      <c r="GCV28" s="97"/>
      <c r="GCW28" s="97"/>
      <c r="GCX28" s="97"/>
      <c r="GCY28" s="97"/>
      <c r="GCZ28" s="97"/>
      <c r="GDA28" s="97"/>
      <c r="GDB28" s="97"/>
      <c r="GDC28" s="97"/>
      <c r="GDD28" s="97"/>
      <c r="GDE28" s="97"/>
      <c r="GDF28" s="97"/>
      <c r="GDG28" s="97"/>
      <c r="GDH28" s="97"/>
      <c r="GDI28" s="97"/>
      <c r="GDJ28" s="97"/>
      <c r="GDK28" s="97"/>
      <c r="GDL28" s="97"/>
      <c r="GDM28" s="97"/>
      <c r="GDN28" s="97"/>
      <c r="GDO28" s="97"/>
      <c r="GDP28" s="97"/>
      <c r="GDQ28" s="97"/>
      <c r="GDR28" s="97"/>
      <c r="GDS28" s="97"/>
      <c r="GDT28" s="97"/>
      <c r="GDU28" s="97"/>
      <c r="GDV28" s="97"/>
      <c r="GDW28" s="97"/>
      <c r="GDX28" s="97"/>
      <c r="GDY28" s="97"/>
      <c r="GDZ28" s="97"/>
      <c r="GEA28" s="97"/>
      <c r="GEB28" s="97"/>
      <c r="GEC28" s="97"/>
      <c r="GED28" s="97"/>
      <c r="GEE28" s="97"/>
      <c r="GEF28" s="97"/>
      <c r="GEG28" s="97"/>
      <c r="GEH28" s="97"/>
      <c r="GEI28" s="97"/>
      <c r="GEJ28" s="97"/>
      <c r="GEK28" s="97"/>
      <c r="GEL28" s="97"/>
      <c r="GEM28" s="97"/>
      <c r="GEN28" s="97"/>
      <c r="GEO28" s="97"/>
      <c r="GEP28" s="97"/>
      <c r="GEQ28" s="97"/>
      <c r="GER28" s="97"/>
      <c r="GES28" s="97"/>
      <c r="GET28" s="97"/>
      <c r="GEU28" s="97"/>
      <c r="GEV28" s="97"/>
      <c r="GEW28" s="97"/>
      <c r="GEX28" s="97"/>
      <c r="GEY28" s="97"/>
      <c r="GEZ28" s="97"/>
      <c r="GFA28" s="97"/>
      <c r="GFB28" s="97"/>
      <c r="GFC28" s="97"/>
      <c r="GFD28" s="97"/>
      <c r="GFE28" s="97"/>
      <c r="GFF28" s="97"/>
      <c r="GFG28" s="97"/>
      <c r="GFH28" s="97"/>
      <c r="GFI28" s="97"/>
      <c r="GFJ28" s="97"/>
      <c r="GFK28" s="97"/>
      <c r="GFL28" s="97"/>
      <c r="GFM28" s="97"/>
      <c r="GFN28" s="97"/>
      <c r="GFO28" s="97"/>
      <c r="GFP28" s="97"/>
      <c r="GFQ28" s="97"/>
      <c r="GFR28" s="97"/>
      <c r="GFS28" s="97"/>
      <c r="GFT28" s="97"/>
      <c r="GFU28" s="97"/>
      <c r="GFV28" s="97"/>
      <c r="GFW28" s="97"/>
      <c r="GFX28" s="97"/>
      <c r="GFY28" s="97"/>
      <c r="GFZ28" s="97"/>
      <c r="GGA28" s="97"/>
      <c r="GGB28" s="97"/>
      <c r="GGC28" s="97"/>
      <c r="GGD28" s="97"/>
      <c r="GGE28" s="97"/>
      <c r="GGF28" s="97"/>
      <c r="GGG28" s="97"/>
      <c r="GGH28" s="97"/>
      <c r="GGI28" s="97"/>
      <c r="GGJ28" s="97"/>
      <c r="GGK28" s="97"/>
      <c r="GGL28" s="97"/>
      <c r="GGM28" s="97"/>
      <c r="GGN28" s="97"/>
      <c r="GGO28" s="97"/>
      <c r="GGP28" s="97"/>
      <c r="GGQ28" s="97"/>
      <c r="GGR28" s="97"/>
      <c r="GGS28" s="97"/>
      <c r="GGT28" s="97"/>
      <c r="GGU28" s="97"/>
      <c r="GGV28" s="97"/>
      <c r="GGW28" s="97"/>
      <c r="GGX28" s="97"/>
      <c r="GGY28" s="97"/>
      <c r="GGZ28" s="97"/>
      <c r="GHA28" s="97"/>
      <c r="GHB28" s="97"/>
      <c r="GHC28" s="97"/>
      <c r="GHD28" s="97"/>
      <c r="GHE28" s="97"/>
      <c r="GHF28" s="97"/>
      <c r="GHG28" s="97"/>
      <c r="GHH28" s="97"/>
      <c r="GHI28" s="97"/>
      <c r="GHJ28" s="97"/>
      <c r="GHK28" s="97"/>
      <c r="GHL28" s="97"/>
      <c r="GHM28" s="97"/>
      <c r="GHN28" s="97"/>
      <c r="GHO28" s="97"/>
      <c r="GHP28" s="97"/>
      <c r="GHQ28" s="97"/>
      <c r="GHR28" s="97"/>
      <c r="GHS28" s="97"/>
      <c r="GHT28" s="97"/>
      <c r="GHU28" s="97"/>
      <c r="GHV28" s="97"/>
      <c r="GHW28" s="97"/>
      <c r="GHX28" s="97"/>
      <c r="GHY28" s="97"/>
      <c r="GHZ28" s="97"/>
      <c r="GIA28" s="97"/>
      <c r="GIB28" s="97"/>
      <c r="GIC28" s="97"/>
      <c r="GID28" s="97"/>
      <c r="GIE28" s="97"/>
      <c r="GIF28" s="97"/>
      <c r="GIG28" s="97"/>
      <c r="GIH28" s="97"/>
      <c r="GII28" s="97"/>
      <c r="GIJ28" s="97"/>
      <c r="GIK28" s="97"/>
      <c r="GIL28" s="97"/>
      <c r="GIM28" s="97"/>
      <c r="GIN28" s="97"/>
      <c r="GIO28" s="97"/>
      <c r="GIP28" s="97"/>
      <c r="GIQ28" s="97"/>
      <c r="GIR28" s="97"/>
      <c r="GIS28" s="97"/>
      <c r="GIT28" s="97"/>
      <c r="GIU28" s="97"/>
      <c r="GIV28" s="97"/>
      <c r="GIW28" s="97"/>
      <c r="GIX28" s="97"/>
      <c r="GIY28" s="97"/>
      <c r="GIZ28" s="97"/>
      <c r="GJA28" s="97"/>
      <c r="GJB28" s="97"/>
      <c r="GJC28" s="97"/>
      <c r="GJD28" s="97"/>
      <c r="GJE28" s="97"/>
      <c r="GJF28" s="97"/>
      <c r="GJG28" s="97"/>
      <c r="GJH28" s="97"/>
      <c r="GJI28" s="97"/>
      <c r="GJJ28" s="97"/>
      <c r="GJK28" s="97"/>
      <c r="GJL28" s="97"/>
      <c r="GJM28" s="97"/>
      <c r="GJN28" s="97"/>
      <c r="GJO28" s="97"/>
      <c r="GJP28" s="97"/>
      <c r="GJQ28" s="97"/>
      <c r="GJR28" s="97"/>
      <c r="GJS28" s="97"/>
      <c r="GJT28" s="97"/>
      <c r="GJU28" s="97"/>
      <c r="GJV28" s="97"/>
      <c r="GJW28" s="97"/>
      <c r="GJX28" s="97"/>
      <c r="GJY28" s="97"/>
      <c r="GJZ28" s="97"/>
      <c r="GKA28" s="97"/>
      <c r="GKB28" s="97"/>
      <c r="GKC28" s="97"/>
      <c r="GKD28" s="97"/>
      <c r="GKE28" s="97"/>
      <c r="GKF28" s="97"/>
      <c r="GKG28" s="97"/>
      <c r="GKH28" s="97"/>
      <c r="GKI28" s="97"/>
      <c r="GKJ28" s="97"/>
      <c r="GKK28" s="97"/>
      <c r="GKL28" s="97"/>
      <c r="GKM28" s="97"/>
      <c r="GKN28" s="97"/>
      <c r="GKO28" s="97"/>
      <c r="GKP28" s="97"/>
      <c r="GKQ28" s="97"/>
      <c r="GKR28" s="97"/>
      <c r="GKS28" s="97"/>
      <c r="GKT28" s="97"/>
      <c r="GKU28" s="97"/>
      <c r="GKV28" s="97"/>
      <c r="GKW28" s="97"/>
      <c r="GKX28" s="97"/>
      <c r="GKY28" s="97"/>
      <c r="GKZ28" s="97"/>
      <c r="GLA28" s="97"/>
      <c r="GLB28" s="97"/>
      <c r="GLC28" s="97"/>
      <c r="GLD28" s="97"/>
      <c r="GLE28" s="97"/>
      <c r="GLF28" s="97"/>
      <c r="GLG28" s="97"/>
      <c r="GLH28" s="97"/>
      <c r="GLI28" s="97"/>
      <c r="GLJ28" s="97"/>
      <c r="GLK28" s="97"/>
      <c r="GLL28" s="97"/>
      <c r="GLM28" s="97"/>
      <c r="GLN28" s="97"/>
      <c r="GLO28" s="97"/>
      <c r="GLP28" s="97"/>
      <c r="GLQ28" s="97"/>
      <c r="GLR28" s="97"/>
      <c r="GLS28" s="97"/>
      <c r="GLT28" s="97"/>
      <c r="GLU28" s="97"/>
      <c r="GLV28" s="97"/>
      <c r="GLW28" s="97"/>
      <c r="GLX28" s="97"/>
      <c r="GLY28" s="97"/>
      <c r="GLZ28" s="97"/>
      <c r="GMA28" s="97"/>
      <c r="GMB28" s="97"/>
      <c r="GMC28" s="97"/>
      <c r="GMD28" s="97"/>
      <c r="GME28" s="97"/>
      <c r="GMF28" s="97"/>
      <c r="GMG28" s="97"/>
      <c r="GMH28" s="97"/>
      <c r="GMI28" s="97"/>
      <c r="GMJ28" s="97"/>
      <c r="GMK28" s="97"/>
      <c r="GML28" s="97"/>
      <c r="GMM28" s="97"/>
      <c r="GMN28" s="97"/>
      <c r="GMO28" s="97"/>
      <c r="GMP28" s="97"/>
      <c r="GMQ28" s="97"/>
      <c r="GMR28" s="97"/>
      <c r="GMS28" s="97"/>
      <c r="GMT28" s="97"/>
      <c r="GMU28" s="97"/>
      <c r="GMV28" s="97"/>
      <c r="GMW28" s="97"/>
      <c r="GMX28" s="97"/>
      <c r="GMY28" s="97"/>
      <c r="GMZ28" s="97"/>
      <c r="GNA28" s="97"/>
      <c r="GNB28" s="97"/>
      <c r="GNC28" s="97"/>
      <c r="GND28" s="97"/>
      <c r="GNE28" s="97"/>
      <c r="GNF28" s="97"/>
      <c r="GNG28" s="97"/>
      <c r="GNH28" s="97"/>
      <c r="GNI28" s="97"/>
      <c r="GNJ28" s="97"/>
      <c r="GNK28" s="97"/>
      <c r="GNL28" s="97"/>
      <c r="GNM28" s="97"/>
      <c r="GNN28" s="97"/>
      <c r="GNO28" s="97"/>
      <c r="GNP28" s="97"/>
      <c r="GNQ28" s="97"/>
      <c r="GNR28" s="97"/>
      <c r="GNS28" s="97"/>
      <c r="GNT28" s="97"/>
      <c r="GNU28" s="97"/>
      <c r="GNV28" s="97"/>
      <c r="GNW28" s="97"/>
      <c r="GNX28" s="97"/>
      <c r="GNY28" s="97"/>
      <c r="GNZ28" s="97"/>
      <c r="GOA28" s="97"/>
      <c r="GOB28" s="97"/>
      <c r="GOC28" s="97"/>
      <c r="GOD28" s="97"/>
      <c r="GOE28" s="97"/>
      <c r="GOF28" s="97"/>
      <c r="GOG28" s="97"/>
      <c r="GOH28" s="97"/>
      <c r="GOI28" s="97"/>
      <c r="GOJ28" s="97"/>
      <c r="GOK28" s="97"/>
      <c r="GOL28" s="97"/>
      <c r="GOM28" s="97"/>
      <c r="GON28" s="97"/>
      <c r="GOO28" s="97"/>
      <c r="GOP28" s="97"/>
      <c r="GOQ28" s="97"/>
      <c r="GOR28" s="97"/>
      <c r="GOS28" s="97"/>
      <c r="GOT28" s="97"/>
      <c r="GOU28" s="97"/>
      <c r="GOV28" s="97"/>
      <c r="GOW28" s="97"/>
      <c r="GOX28" s="97"/>
      <c r="GOY28" s="97"/>
      <c r="GOZ28" s="97"/>
      <c r="GPA28" s="97"/>
      <c r="GPB28" s="97"/>
      <c r="GPC28" s="97"/>
      <c r="GPD28" s="97"/>
      <c r="GPE28" s="97"/>
      <c r="GPF28" s="97"/>
      <c r="GPG28" s="97"/>
      <c r="GPH28" s="97"/>
      <c r="GPI28" s="97"/>
      <c r="GPJ28" s="97"/>
      <c r="GPK28" s="97"/>
      <c r="GPL28" s="97"/>
      <c r="GPM28" s="97"/>
      <c r="GPN28" s="97"/>
      <c r="GPO28" s="97"/>
      <c r="GPP28" s="97"/>
      <c r="GPQ28" s="97"/>
      <c r="GPR28" s="97"/>
      <c r="GPS28" s="97"/>
      <c r="GPT28" s="97"/>
      <c r="GPU28" s="97"/>
      <c r="GPV28" s="97"/>
      <c r="GPW28" s="97"/>
      <c r="GPX28" s="97"/>
      <c r="GPY28" s="97"/>
      <c r="GPZ28" s="97"/>
      <c r="GQA28" s="97"/>
      <c r="GQB28" s="97"/>
      <c r="GQC28" s="97"/>
      <c r="GQD28" s="97"/>
      <c r="GQE28" s="97"/>
      <c r="GQF28" s="97"/>
      <c r="GQG28" s="97"/>
      <c r="GQH28" s="97"/>
      <c r="GQI28" s="97"/>
      <c r="GQJ28" s="97"/>
      <c r="GQK28" s="97"/>
      <c r="GQL28" s="97"/>
      <c r="GQM28" s="97"/>
      <c r="GQN28" s="97"/>
      <c r="GQO28" s="97"/>
      <c r="GQP28" s="97"/>
      <c r="GQQ28" s="97"/>
      <c r="GQR28" s="97"/>
      <c r="GQS28" s="97"/>
      <c r="GQT28" s="97"/>
      <c r="GQU28" s="97"/>
      <c r="GQV28" s="97"/>
      <c r="GQW28" s="97"/>
      <c r="GQX28" s="97"/>
      <c r="GQY28" s="97"/>
      <c r="GQZ28" s="97"/>
      <c r="GRA28" s="97"/>
      <c r="GRB28" s="97"/>
      <c r="GRC28" s="97"/>
      <c r="GRD28" s="97"/>
      <c r="GRE28" s="97"/>
      <c r="GRF28" s="97"/>
      <c r="GRG28" s="97"/>
      <c r="GRH28" s="97"/>
      <c r="GRI28" s="97"/>
      <c r="GRJ28" s="97"/>
      <c r="GRK28" s="97"/>
      <c r="GRL28" s="97"/>
      <c r="GRM28" s="97"/>
      <c r="GRN28" s="97"/>
      <c r="GRO28" s="97"/>
      <c r="GRP28" s="97"/>
      <c r="GRQ28" s="97"/>
      <c r="GRR28" s="97"/>
      <c r="GRS28" s="97"/>
      <c r="GRT28" s="97"/>
      <c r="GRU28" s="97"/>
      <c r="GRV28" s="97"/>
      <c r="GRW28" s="97"/>
      <c r="GRX28" s="97"/>
      <c r="GRY28" s="97"/>
      <c r="GRZ28" s="97"/>
      <c r="GSA28" s="97"/>
      <c r="GSB28" s="97"/>
      <c r="GSC28" s="97"/>
      <c r="GSD28" s="97"/>
      <c r="GSE28" s="97"/>
      <c r="GSF28" s="97"/>
      <c r="GSG28" s="97"/>
      <c r="GSH28" s="97"/>
      <c r="GSI28" s="97"/>
      <c r="GSJ28" s="97"/>
      <c r="GSK28" s="97"/>
      <c r="GSL28" s="97"/>
      <c r="GSM28" s="97"/>
      <c r="GSN28" s="97"/>
      <c r="GSO28" s="97"/>
      <c r="GSP28" s="97"/>
      <c r="GSQ28" s="97"/>
      <c r="GSR28" s="97"/>
      <c r="GSS28" s="97"/>
      <c r="GST28" s="97"/>
      <c r="GSU28" s="97"/>
      <c r="GSV28" s="97"/>
      <c r="GSW28" s="97"/>
      <c r="GSX28" s="97"/>
      <c r="GSY28" s="97"/>
      <c r="GSZ28" s="97"/>
      <c r="GTA28" s="97"/>
      <c r="GTB28" s="97"/>
      <c r="GTC28" s="97"/>
      <c r="GTD28" s="97"/>
      <c r="GTE28" s="97"/>
      <c r="GTF28" s="97"/>
      <c r="GTG28" s="97"/>
      <c r="GTH28" s="97"/>
      <c r="GTI28" s="97"/>
      <c r="GTJ28" s="97"/>
      <c r="GTK28" s="97"/>
      <c r="GTL28" s="97"/>
      <c r="GTM28" s="97"/>
      <c r="GTN28" s="97"/>
      <c r="GTO28" s="97"/>
      <c r="GTP28" s="97"/>
      <c r="GTQ28" s="97"/>
      <c r="GTR28" s="97"/>
      <c r="GTS28" s="97"/>
      <c r="GTT28" s="97"/>
      <c r="GTU28" s="97"/>
      <c r="GTV28" s="97"/>
      <c r="GTW28" s="97"/>
      <c r="GTX28" s="97"/>
      <c r="GTY28" s="97"/>
      <c r="GTZ28" s="97"/>
      <c r="GUA28" s="97"/>
      <c r="GUB28" s="97"/>
      <c r="GUC28" s="97"/>
      <c r="GUD28" s="97"/>
      <c r="GUE28" s="97"/>
      <c r="GUF28" s="97"/>
      <c r="GUG28" s="97"/>
      <c r="GUH28" s="97"/>
      <c r="GUI28" s="97"/>
      <c r="GUJ28" s="97"/>
      <c r="GUK28" s="97"/>
      <c r="GUL28" s="97"/>
      <c r="GUM28" s="97"/>
      <c r="GUN28" s="97"/>
      <c r="GUO28" s="97"/>
      <c r="GUP28" s="97"/>
      <c r="GUQ28" s="97"/>
      <c r="GUR28" s="97"/>
      <c r="GUS28" s="97"/>
      <c r="GUT28" s="97"/>
      <c r="GUU28" s="97"/>
      <c r="GUV28" s="97"/>
      <c r="GUW28" s="97"/>
      <c r="GUX28" s="97"/>
      <c r="GUY28" s="97"/>
      <c r="GUZ28" s="97"/>
      <c r="GVA28" s="97"/>
      <c r="GVB28" s="97"/>
      <c r="GVC28" s="97"/>
      <c r="GVD28" s="97"/>
      <c r="GVE28" s="97"/>
      <c r="GVF28" s="97"/>
      <c r="GVG28" s="97"/>
      <c r="GVH28" s="97"/>
      <c r="GVI28" s="97"/>
      <c r="GVJ28" s="97"/>
      <c r="GVK28" s="97"/>
      <c r="GVL28" s="97"/>
      <c r="GVM28" s="97"/>
      <c r="GVN28" s="97"/>
      <c r="GVO28" s="97"/>
      <c r="GVP28" s="97"/>
      <c r="GVQ28" s="97"/>
      <c r="GVR28" s="97"/>
      <c r="GVS28" s="97"/>
      <c r="GVT28" s="97"/>
      <c r="GVU28" s="97"/>
      <c r="GVV28" s="97"/>
      <c r="GVW28" s="97"/>
      <c r="GVX28" s="97"/>
      <c r="GVY28" s="97"/>
      <c r="GVZ28" s="97"/>
      <c r="GWA28" s="97"/>
      <c r="GWB28" s="97"/>
      <c r="GWC28" s="97"/>
      <c r="GWD28" s="97"/>
      <c r="GWE28" s="97"/>
      <c r="GWF28" s="97"/>
      <c r="GWG28" s="97"/>
      <c r="GWH28" s="97"/>
      <c r="GWI28" s="97"/>
      <c r="GWJ28" s="97"/>
      <c r="GWK28" s="97"/>
      <c r="GWL28" s="97"/>
      <c r="GWM28" s="97"/>
      <c r="GWN28" s="97"/>
      <c r="GWO28" s="97"/>
      <c r="GWP28" s="97"/>
      <c r="GWQ28" s="97"/>
      <c r="GWR28" s="97"/>
      <c r="GWS28" s="97"/>
      <c r="GWT28" s="97"/>
      <c r="GWU28" s="97"/>
      <c r="GWV28" s="97"/>
      <c r="GWW28" s="97"/>
      <c r="GWX28" s="97"/>
      <c r="GWY28" s="97"/>
      <c r="GWZ28" s="97"/>
      <c r="GXA28" s="97"/>
      <c r="GXB28" s="97"/>
      <c r="GXC28" s="97"/>
      <c r="GXD28" s="97"/>
      <c r="GXE28" s="97"/>
      <c r="GXF28" s="97"/>
      <c r="GXG28" s="97"/>
      <c r="GXH28" s="97"/>
      <c r="GXI28" s="97"/>
      <c r="GXJ28" s="97"/>
      <c r="GXK28" s="97"/>
      <c r="GXL28" s="97"/>
      <c r="GXM28" s="97"/>
      <c r="GXN28" s="97"/>
      <c r="GXO28" s="97"/>
      <c r="GXP28" s="97"/>
      <c r="GXQ28" s="97"/>
      <c r="GXR28" s="97"/>
      <c r="GXS28" s="97"/>
      <c r="GXT28" s="97"/>
      <c r="GXU28" s="97"/>
      <c r="GXV28" s="97"/>
      <c r="GXW28" s="97"/>
      <c r="GXX28" s="97"/>
      <c r="GXY28" s="97"/>
      <c r="GXZ28" s="97"/>
      <c r="GYA28" s="97"/>
      <c r="GYB28" s="97"/>
      <c r="GYC28" s="97"/>
      <c r="GYD28" s="97"/>
      <c r="GYE28" s="97"/>
      <c r="GYF28" s="97"/>
      <c r="GYG28" s="97"/>
      <c r="GYH28" s="97"/>
      <c r="GYI28" s="97"/>
      <c r="GYJ28" s="97"/>
      <c r="GYK28" s="97"/>
      <c r="GYL28" s="97"/>
      <c r="GYM28" s="97"/>
      <c r="GYN28" s="97"/>
      <c r="GYO28" s="97"/>
      <c r="GYP28" s="97"/>
      <c r="GYQ28" s="97"/>
      <c r="GYR28" s="97"/>
      <c r="GYS28" s="97"/>
      <c r="GYT28" s="97"/>
      <c r="GYU28" s="97"/>
      <c r="GYV28" s="97"/>
      <c r="GYW28" s="97"/>
      <c r="GYX28" s="97"/>
      <c r="GYY28" s="97"/>
      <c r="GYZ28" s="97"/>
      <c r="GZA28" s="97"/>
      <c r="GZB28" s="97"/>
      <c r="GZC28" s="97"/>
      <c r="GZD28" s="97"/>
      <c r="GZE28" s="97"/>
      <c r="GZF28" s="97"/>
      <c r="GZG28" s="97"/>
      <c r="GZH28" s="97"/>
      <c r="GZI28" s="97"/>
      <c r="GZJ28" s="97"/>
      <c r="GZK28" s="97"/>
      <c r="GZL28" s="97"/>
      <c r="GZM28" s="97"/>
      <c r="GZN28" s="97"/>
      <c r="GZO28" s="97"/>
      <c r="GZP28" s="97"/>
      <c r="GZQ28" s="97"/>
      <c r="GZR28" s="97"/>
      <c r="GZS28" s="97"/>
      <c r="GZT28" s="97"/>
      <c r="GZU28" s="97"/>
      <c r="GZV28" s="97"/>
      <c r="GZW28" s="97"/>
      <c r="GZX28" s="97"/>
      <c r="GZY28" s="97"/>
      <c r="GZZ28" s="97"/>
      <c r="HAA28" s="97"/>
      <c r="HAB28" s="97"/>
      <c r="HAC28" s="97"/>
      <c r="HAD28" s="97"/>
      <c r="HAE28" s="97"/>
      <c r="HAF28" s="97"/>
      <c r="HAG28" s="97"/>
      <c r="HAH28" s="97"/>
      <c r="HAI28" s="97"/>
      <c r="HAJ28" s="97"/>
      <c r="HAK28" s="97"/>
      <c r="HAL28" s="97"/>
      <c r="HAM28" s="97"/>
      <c r="HAN28" s="97"/>
      <c r="HAO28" s="97"/>
      <c r="HAP28" s="97"/>
      <c r="HAQ28" s="97"/>
      <c r="HAR28" s="97"/>
      <c r="HAS28" s="97"/>
      <c r="HAT28" s="97"/>
      <c r="HAU28" s="97"/>
      <c r="HAV28" s="97"/>
      <c r="HAW28" s="97"/>
      <c r="HAX28" s="97"/>
      <c r="HAY28" s="97"/>
      <c r="HAZ28" s="97"/>
      <c r="HBA28" s="97"/>
      <c r="HBB28" s="97"/>
      <c r="HBC28" s="97"/>
      <c r="HBD28" s="97"/>
      <c r="HBE28" s="97"/>
      <c r="HBF28" s="97"/>
      <c r="HBG28" s="97"/>
      <c r="HBH28" s="97"/>
      <c r="HBI28" s="97"/>
      <c r="HBJ28" s="97"/>
      <c r="HBK28" s="97"/>
      <c r="HBL28" s="97"/>
      <c r="HBM28" s="97"/>
      <c r="HBN28" s="97"/>
      <c r="HBO28" s="97"/>
      <c r="HBP28" s="97"/>
      <c r="HBQ28" s="97"/>
      <c r="HBR28" s="97"/>
      <c r="HBS28" s="97"/>
      <c r="HBT28" s="97"/>
      <c r="HBU28" s="97"/>
      <c r="HBV28" s="97"/>
      <c r="HBW28" s="97"/>
      <c r="HBX28" s="97"/>
      <c r="HBY28" s="97"/>
      <c r="HBZ28" s="97"/>
      <c r="HCA28" s="97"/>
      <c r="HCB28" s="97"/>
      <c r="HCC28" s="97"/>
      <c r="HCD28" s="97"/>
      <c r="HCE28" s="97"/>
      <c r="HCF28" s="97"/>
      <c r="HCG28" s="97"/>
      <c r="HCH28" s="97"/>
      <c r="HCI28" s="97"/>
      <c r="HCJ28" s="97"/>
      <c r="HCK28" s="97"/>
      <c r="HCL28" s="97"/>
      <c r="HCM28" s="97"/>
      <c r="HCN28" s="97"/>
      <c r="HCO28" s="97"/>
      <c r="HCP28" s="97"/>
      <c r="HCQ28" s="97"/>
      <c r="HCR28" s="97"/>
      <c r="HCS28" s="97"/>
      <c r="HCT28" s="97"/>
      <c r="HCU28" s="97"/>
      <c r="HCV28" s="97"/>
      <c r="HCW28" s="97"/>
      <c r="HCX28" s="97"/>
      <c r="HCY28" s="97"/>
      <c r="HCZ28" s="97"/>
      <c r="HDA28" s="97"/>
      <c r="HDB28" s="97"/>
      <c r="HDC28" s="97"/>
      <c r="HDD28" s="97"/>
      <c r="HDE28" s="97"/>
      <c r="HDF28" s="97"/>
      <c r="HDG28" s="97"/>
      <c r="HDH28" s="97"/>
      <c r="HDI28" s="97"/>
      <c r="HDJ28" s="97"/>
      <c r="HDK28" s="97"/>
      <c r="HDL28" s="97"/>
      <c r="HDM28" s="97"/>
      <c r="HDN28" s="97"/>
      <c r="HDO28" s="97"/>
      <c r="HDP28" s="97"/>
      <c r="HDQ28" s="97"/>
      <c r="HDR28" s="97"/>
      <c r="HDS28" s="97"/>
      <c r="HDT28" s="97"/>
      <c r="HDU28" s="97"/>
      <c r="HDV28" s="97"/>
      <c r="HDW28" s="97"/>
      <c r="HDX28" s="97"/>
      <c r="HDY28" s="97"/>
      <c r="HDZ28" s="97"/>
      <c r="HEA28" s="97"/>
      <c r="HEB28" s="97"/>
      <c r="HEC28" s="97"/>
      <c r="HED28" s="97"/>
      <c r="HEE28" s="97"/>
      <c r="HEF28" s="97"/>
      <c r="HEG28" s="97"/>
      <c r="HEH28" s="97"/>
      <c r="HEI28" s="97"/>
      <c r="HEJ28" s="97"/>
      <c r="HEK28" s="97"/>
      <c r="HEL28" s="97"/>
      <c r="HEM28" s="97"/>
      <c r="HEN28" s="97"/>
      <c r="HEO28" s="97"/>
      <c r="HEP28" s="97"/>
      <c r="HEQ28" s="97"/>
      <c r="HER28" s="97"/>
      <c r="HES28" s="97"/>
      <c r="HET28" s="97"/>
      <c r="HEU28" s="97"/>
      <c r="HEV28" s="97"/>
      <c r="HEW28" s="97"/>
      <c r="HEX28" s="97"/>
      <c r="HEY28" s="97"/>
      <c r="HEZ28" s="97"/>
      <c r="HFA28" s="97"/>
      <c r="HFB28" s="97"/>
      <c r="HFC28" s="97"/>
      <c r="HFD28" s="97"/>
      <c r="HFE28" s="97"/>
      <c r="HFF28" s="97"/>
      <c r="HFG28" s="97"/>
      <c r="HFH28" s="97"/>
      <c r="HFI28" s="97"/>
      <c r="HFJ28" s="97"/>
      <c r="HFK28" s="97"/>
      <c r="HFL28" s="97"/>
      <c r="HFM28" s="97"/>
      <c r="HFN28" s="97"/>
      <c r="HFO28" s="97"/>
      <c r="HFP28" s="97"/>
      <c r="HFQ28" s="97"/>
      <c r="HFR28" s="97"/>
      <c r="HFS28" s="97"/>
      <c r="HFT28" s="97"/>
      <c r="HFU28" s="97"/>
      <c r="HFV28" s="97"/>
      <c r="HFW28" s="97"/>
      <c r="HFX28" s="97"/>
      <c r="HFY28" s="97"/>
      <c r="HFZ28" s="97"/>
      <c r="HGA28" s="97"/>
      <c r="HGB28" s="97"/>
      <c r="HGC28" s="97"/>
      <c r="HGD28" s="97"/>
      <c r="HGE28" s="97"/>
      <c r="HGF28" s="97"/>
      <c r="HGG28" s="97"/>
      <c r="HGH28" s="97"/>
      <c r="HGI28" s="97"/>
      <c r="HGJ28" s="97"/>
      <c r="HGK28" s="97"/>
      <c r="HGL28" s="97"/>
      <c r="HGM28" s="97"/>
      <c r="HGN28" s="97"/>
      <c r="HGO28" s="97"/>
      <c r="HGP28" s="97"/>
      <c r="HGQ28" s="97"/>
      <c r="HGR28" s="97"/>
      <c r="HGS28" s="97"/>
      <c r="HGT28" s="97"/>
      <c r="HGU28" s="97"/>
      <c r="HGV28" s="97"/>
      <c r="HGW28" s="97"/>
      <c r="HGX28" s="97"/>
      <c r="HGY28" s="97"/>
      <c r="HGZ28" s="97"/>
      <c r="HHA28" s="97"/>
      <c r="HHB28" s="97"/>
      <c r="HHC28" s="97"/>
      <c r="HHD28" s="97"/>
      <c r="HHE28" s="97"/>
      <c r="HHF28" s="97"/>
      <c r="HHG28" s="97"/>
      <c r="HHH28" s="97"/>
      <c r="HHI28" s="97"/>
      <c r="HHJ28" s="97"/>
      <c r="HHK28" s="97"/>
      <c r="HHL28" s="97"/>
      <c r="HHM28" s="97"/>
      <c r="HHN28" s="97"/>
      <c r="HHO28" s="97"/>
      <c r="HHP28" s="97"/>
      <c r="HHQ28" s="97"/>
      <c r="HHR28" s="97"/>
      <c r="HHS28" s="97"/>
      <c r="HHT28" s="97"/>
      <c r="HHU28" s="97"/>
      <c r="HHV28" s="97"/>
      <c r="HHW28" s="97"/>
      <c r="HHX28" s="97"/>
      <c r="HHY28" s="97"/>
      <c r="HHZ28" s="97"/>
      <c r="HIA28" s="97"/>
      <c r="HIB28" s="97"/>
      <c r="HIC28" s="97"/>
      <c r="HID28" s="97"/>
      <c r="HIE28" s="97"/>
      <c r="HIF28" s="97"/>
      <c r="HIG28" s="97"/>
      <c r="HIH28" s="97"/>
      <c r="HII28" s="97"/>
      <c r="HIJ28" s="97"/>
      <c r="HIK28" s="97"/>
      <c r="HIL28" s="97"/>
      <c r="HIM28" s="97"/>
      <c r="HIN28" s="97"/>
      <c r="HIO28" s="97"/>
      <c r="HIP28" s="97"/>
      <c r="HIQ28" s="97"/>
      <c r="HIR28" s="97"/>
      <c r="HIS28" s="97"/>
      <c r="HIT28" s="97"/>
      <c r="HIU28" s="97"/>
      <c r="HIV28" s="97"/>
      <c r="HIW28" s="97"/>
      <c r="HIX28" s="97"/>
      <c r="HIY28" s="97"/>
      <c r="HIZ28" s="97"/>
      <c r="HJA28" s="97"/>
      <c r="HJB28" s="97"/>
      <c r="HJC28" s="97"/>
      <c r="HJD28" s="97"/>
      <c r="HJE28" s="97"/>
      <c r="HJF28" s="97"/>
      <c r="HJG28" s="97"/>
      <c r="HJH28" s="97"/>
      <c r="HJI28" s="97"/>
      <c r="HJJ28" s="97"/>
      <c r="HJK28" s="97"/>
      <c r="HJL28" s="97"/>
      <c r="HJM28" s="97"/>
      <c r="HJN28" s="97"/>
      <c r="HJO28" s="97"/>
      <c r="HJP28" s="97"/>
      <c r="HJQ28" s="97"/>
      <c r="HJR28" s="97"/>
      <c r="HJS28" s="97"/>
      <c r="HJT28" s="97"/>
      <c r="HJU28" s="97"/>
      <c r="HJV28" s="97"/>
      <c r="HJW28" s="97"/>
      <c r="HJX28" s="97"/>
      <c r="HJY28" s="97"/>
      <c r="HJZ28" s="97"/>
      <c r="HKA28" s="97"/>
      <c r="HKB28" s="97"/>
      <c r="HKC28" s="97"/>
      <c r="HKD28" s="97"/>
      <c r="HKE28" s="97"/>
      <c r="HKF28" s="97"/>
      <c r="HKG28" s="97"/>
      <c r="HKH28" s="97"/>
      <c r="HKI28" s="97"/>
      <c r="HKJ28" s="97"/>
      <c r="HKK28" s="97"/>
      <c r="HKL28" s="97"/>
      <c r="HKM28" s="97"/>
      <c r="HKN28" s="97"/>
      <c r="HKO28" s="97"/>
      <c r="HKP28" s="97"/>
      <c r="HKQ28" s="97"/>
      <c r="HKR28" s="97"/>
      <c r="HKS28" s="97"/>
      <c r="HKT28" s="97"/>
      <c r="HKU28" s="97"/>
      <c r="HKV28" s="97"/>
      <c r="HKW28" s="97"/>
      <c r="HKX28" s="97"/>
      <c r="HKY28" s="97"/>
      <c r="HKZ28" s="97"/>
      <c r="HLA28" s="97"/>
      <c r="HLB28" s="97"/>
      <c r="HLC28" s="97"/>
      <c r="HLD28" s="97"/>
      <c r="HLE28" s="97"/>
      <c r="HLF28" s="97"/>
      <c r="HLG28" s="97"/>
      <c r="HLH28" s="97"/>
      <c r="HLI28" s="97"/>
      <c r="HLJ28" s="97"/>
      <c r="HLK28" s="97"/>
      <c r="HLL28" s="97"/>
      <c r="HLM28" s="97"/>
      <c r="HLN28" s="97"/>
      <c r="HLO28" s="97"/>
      <c r="HLP28" s="97"/>
      <c r="HLQ28" s="97"/>
      <c r="HLR28" s="97"/>
      <c r="HLS28" s="97"/>
      <c r="HLT28" s="97"/>
      <c r="HLU28" s="97"/>
      <c r="HLV28" s="97"/>
      <c r="HLW28" s="97"/>
      <c r="HLX28" s="97"/>
      <c r="HLY28" s="97"/>
      <c r="HLZ28" s="97"/>
      <c r="HMA28" s="97"/>
      <c r="HMB28" s="97"/>
      <c r="HMC28" s="97"/>
      <c r="HMD28" s="97"/>
      <c r="HME28" s="97"/>
      <c r="HMF28" s="97"/>
      <c r="HMG28" s="97"/>
      <c r="HMH28" s="97"/>
      <c r="HMI28" s="97"/>
      <c r="HMJ28" s="97"/>
      <c r="HMK28" s="97"/>
      <c r="HML28" s="97"/>
      <c r="HMM28" s="97"/>
      <c r="HMN28" s="97"/>
      <c r="HMO28" s="97"/>
      <c r="HMP28" s="97"/>
      <c r="HMQ28" s="97"/>
      <c r="HMR28" s="97"/>
      <c r="HMS28" s="97"/>
      <c r="HMT28" s="97"/>
      <c r="HMU28" s="97"/>
      <c r="HMV28" s="97"/>
      <c r="HMW28" s="97"/>
      <c r="HMX28" s="97"/>
      <c r="HMY28" s="97"/>
      <c r="HMZ28" s="97"/>
      <c r="HNA28" s="97"/>
      <c r="HNB28" s="97"/>
      <c r="HNC28" s="97"/>
      <c r="HND28" s="97"/>
      <c r="HNE28" s="97"/>
      <c r="HNF28" s="97"/>
      <c r="HNG28" s="97"/>
      <c r="HNH28" s="97"/>
      <c r="HNI28" s="97"/>
      <c r="HNJ28" s="97"/>
      <c r="HNK28" s="97"/>
      <c r="HNL28" s="97"/>
      <c r="HNM28" s="97"/>
      <c r="HNN28" s="97"/>
      <c r="HNO28" s="97"/>
      <c r="HNP28" s="97"/>
      <c r="HNQ28" s="97"/>
      <c r="HNR28" s="97"/>
      <c r="HNS28" s="97"/>
      <c r="HNT28" s="97"/>
      <c r="HNU28" s="97"/>
      <c r="HNV28" s="97"/>
      <c r="HNW28" s="97"/>
      <c r="HNX28" s="97"/>
      <c r="HNY28" s="97"/>
      <c r="HNZ28" s="97"/>
      <c r="HOA28" s="97"/>
      <c r="HOB28" s="97"/>
      <c r="HOC28" s="97"/>
      <c r="HOD28" s="97"/>
      <c r="HOE28" s="97"/>
      <c r="HOF28" s="97"/>
      <c r="HOG28" s="97"/>
      <c r="HOH28" s="97"/>
      <c r="HOI28" s="97"/>
      <c r="HOJ28" s="97"/>
      <c r="HOK28" s="97"/>
      <c r="HOL28" s="97"/>
      <c r="HOM28" s="97"/>
      <c r="HON28" s="97"/>
      <c r="HOO28" s="97"/>
      <c r="HOP28" s="97"/>
      <c r="HOQ28" s="97"/>
      <c r="HOR28" s="97"/>
      <c r="HOS28" s="97"/>
      <c r="HOT28" s="97"/>
      <c r="HOU28" s="97"/>
      <c r="HOV28" s="97"/>
      <c r="HOW28" s="97"/>
      <c r="HOX28" s="97"/>
      <c r="HOY28" s="97"/>
      <c r="HOZ28" s="97"/>
      <c r="HPA28" s="97"/>
      <c r="HPB28" s="97"/>
      <c r="HPC28" s="97"/>
      <c r="HPD28" s="97"/>
      <c r="HPE28" s="97"/>
      <c r="HPF28" s="97"/>
      <c r="HPG28" s="97"/>
      <c r="HPH28" s="97"/>
      <c r="HPI28" s="97"/>
      <c r="HPJ28" s="97"/>
      <c r="HPK28" s="97"/>
      <c r="HPL28" s="97"/>
      <c r="HPM28" s="97"/>
      <c r="HPN28" s="97"/>
      <c r="HPO28" s="97"/>
      <c r="HPP28" s="97"/>
      <c r="HPQ28" s="97"/>
      <c r="HPR28" s="97"/>
      <c r="HPS28" s="97"/>
      <c r="HPT28" s="97"/>
      <c r="HPU28" s="97"/>
      <c r="HPV28" s="97"/>
      <c r="HPW28" s="97"/>
      <c r="HPX28" s="97"/>
      <c r="HPY28" s="97"/>
      <c r="HPZ28" s="97"/>
      <c r="HQA28" s="97"/>
      <c r="HQB28" s="97"/>
      <c r="HQC28" s="97"/>
      <c r="HQD28" s="97"/>
      <c r="HQE28" s="97"/>
      <c r="HQF28" s="97"/>
      <c r="HQG28" s="97"/>
      <c r="HQH28" s="97"/>
      <c r="HQI28" s="97"/>
      <c r="HQJ28" s="97"/>
      <c r="HQK28" s="97"/>
      <c r="HQL28" s="97"/>
      <c r="HQM28" s="97"/>
      <c r="HQN28" s="97"/>
      <c r="HQO28" s="97"/>
      <c r="HQP28" s="97"/>
      <c r="HQQ28" s="97"/>
      <c r="HQR28" s="97"/>
      <c r="HQS28" s="97"/>
      <c r="HQT28" s="97"/>
      <c r="HQU28" s="97"/>
      <c r="HQV28" s="97"/>
      <c r="HQW28" s="97"/>
      <c r="HQX28" s="97"/>
      <c r="HQY28" s="97"/>
      <c r="HQZ28" s="97"/>
      <c r="HRA28" s="97"/>
      <c r="HRB28" s="97"/>
      <c r="HRC28" s="97"/>
      <c r="HRD28" s="97"/>
      <c r="HRE28" s="97"/>
      <c r="HRF28" s="97"/>
      <c r="HRG28" s="97"/>
      <c r="HRH28" s="97"/>
      <c r="HRI28" s="97"/>
      <c r="HRJ28" s="97"/>
      <c r="HRK28" s="97"/>
      <c r="HRL28" s="97"/>
      <c r="HRM28" s="97"/>
      <c r="HRN28" s="97"/>
      <c r="HRO28" s="97"/>
      <c r="HRP28" s="97"/>
      <c r="HRQ28" s="97"/>
      <c r="HRR28" s="97"/>
      <c r="HRS28" s="97"/>
      <c r="HRT28" s="97"/>
      <c r="HRU28" s="97"/>
      <c r="HRV28" s="97"/>
      <c r="HRW28" s="97"/>
      <c r="HRX28" s="97"/>
      <c r="HRY28" s="97"/>
      <c r="HRZ28" s="97"/>
      <c r="HSA28" s="97"/>
      <c r="HSB28" s="97"/>
      <c r="HSC28" s="97"/>
      <c r="HSD28" s="97"/>
      <c r="HSE28" s="97"/>
      <c r="HSF28" s="97"/>
      <c r="HSG28" s="97"/>
      <c r="HSH28" s="97"/>
      <c r="HSI28" s="97"/>
      <c r="HSJ28" s="97"/>
      <c r="HSK28" s="97"/>
      <c r="HSL28" s="97"/>
      <c r="HSM28" s="97"/>
      <c r="HSN28" s="97"/>
      <c r="HSO28" s="97"/>
      <c r="HSP28" s="97"/>
      <c r="HSQ28" s="97"/>
      <c r="HSR28" s="97"/>
      <c r="HSS28" s="97"/>
      <c r="HST28" s="97"/>
      <c r="HSU28" s="97"/>
      <c r="HSV28" s="97"/>
      <c r="HSW28" s="97"/>
      <c r="HSX28" s="97"/>
      <c r="HSY28" s="97"/>
      <c r="HSZ28" s="97"/>
      <c r="HTA28" s="97"/>
      <c r="HTB28" s="97"/>
      <c r="HTC28" s="97"/>
      <c r="HTD28" s="97"/>
      <c r="HTE28" s="97"/>
      <c r="HTF28" s="97"/>
      <c r="HTG28" s="97"/>
      <c r="HTH28" s="97"/>
      <c r="HTI28" s="97"/>
      <c r="HTJ28" s="97"/>
      <c r="HTK28" s="97"/>
      <c r="HTL28" s="97"/>
      <c r="HTM28" s="97"/>
      <c r="HTN28" s="97"/>
      <c r="HTO28" s="97"/>
      <c r="HTP28" s="97"/>
      <c r="HTQ28" s="97"/>
      <c r="HTR28" s="97"/>
      <c r="HTS28" s="97"/>
      <c r="HTT28" s="97"/>
      <c r="HTU28" s="97"/>
      <c r="HTV28" s="97"/>
      <c r="HTW28" s="97"/>
      <c r="HTX28" s="97"/>
      <c r="HTY28" s="97"/>
      <c r="HTZ28" s="97"/>
      <c r="HUA28" s="97"/>
      <c r="HUB28" s="97"/>
      <c r="HUC28" s="97"/>
      <c r="HUD28" s="97"/>
      <c r="HUE28" s="97"/>
      <c r="HUF28" s="97"/>
      <c r="HUG28" s="97"/>
      <c r="HUH28" s="97"/>
      <c r="HUI28" s="97"/>
      <c r="HUJ28" s="97"/>
      <c r="HUK28" s="97"/>
      <c r="HUL28" s="97"/>
      <c r="HUM28" s="97"/>
      <c r="HUN28" s="97"/>
      <c r="HUO28" s="97"/>
      <c r="HUP28" s="97"/>
      <c r="HUQ28" s="97"/>
      <c r="HUR28" s="97"/>
      <c r="HUS28" s="97"/>
      <c r="HUT28" s="97"/>
      <c r="HUU28" s="97"/>
      <c r="HUV28" s="97"/>
      <c r="HUW28" s="97"/>
      <c r="HUX28" s="97"/>
      <c r="HUY28" s="97"/>
      <c r="HUZ28" s="97"/>
      <c r="HVA28" s="97"/>
      <c r="HVB28" s="97"/>
      <c r="HVC28" s="97"/>
      <c r="HVD28" s="97"/>
      <c r="HVE28" s="97"/>
      <c r="HVF28" s="97"/>
      <c r="HVG28" s="97"/>
      <c r="HVH28" s="97"/>
      <c r="HVI28" s="97"/>
      <c r="HVJ28" s="97"/>
      <c r="HVK28" s="97"/>
      <c r="HVL28" s="97"/>
      <c r="HVM28" s="97"/>
      <c r="HVN28" s="97"/>
      <c r="HVO28" s="97"/>
      <c r="HVP28" s="97"/>
      <c r="HVQ28" s="97"/>
      <c r="HVR28" s="97"/>
      <c r="HVS28" s="97"/>
      <c r="HVT28" s="97"/>
      <c r="HVU28" s="97"/>
      <c r="HVV28" s="97"/>
      <c r="HVW28" s="97"/>
      <c r="HVX28" s="97"/>
      <c r="HVY28" s="97"/>
      <c r="HVZ28" s="97"/>
      <c r="HWA28" s="97"/>
      <c r="HWB28" s="97"/>
      <c r="HWC28" s="97"/>
      <c r="HWD28" s="97"/>
      <c r="HWE28" s="97"/>
      <c r="HWF28" s="97"/>
      <c r="HWG28" s="97"/>
      <c r="HWH28" s="97"/>
      <c r="HWI28" s="97"/>
      <c r="HWJ28" s="97"/>
      <c r="HWK28" s="97"/>
      <c r="HWL28" s="97"/>
      <c r="HWM28" s="97"/>
      <c r="HWN28" s="97"/>
      <c r="HWO28" s="97"/>
      <c r="HWP28" s="97"/>
      <c r="HWQ28" s="97"/>
      <c r="HWR28" s="97"/>
      <c r="HWS28" s="97"/>
      <c r="HWT28" s="97"/>
      <c r="HWU28" s="97"/>
      <c r="HWV28" s="97"/>
      <c r="HWW28" s="97"/>
      <c r="HWX28" s="97"/>
      <c r="HWY28" s="97"/>
      <c r="HWZ28" s="97"/>
      <c r="HXA28" s="97"/>
      <c r="HXB28" s="97"/>
      <c r="HXC28" s="97"/>
      <c r="HXD28" s="97"/>
      <c r="HXE28" s="97"/>
      <c r="HXF28" s="97"/>
      <c r="HXG28" s="97"/>
      <c r="HXH28" s="97"/>
      <c r="HXI28" s="97"/>
      <c r="HXJ28" s="97"/>
      <c r="HXK28" s="97"/>
      <c r="HXL28" s="97"/>
      <c r="HXM28" s="97"/>
      <c r="HXN28" s="97"/>
      <c r="HXO28" s="97"/>
      <c r="HXP28" s="97"/>
      <c r="HXQ28" s="97"/>
      <c r="HXR28" s="97"/>
      <c r="HXS28" s="97"/>
      <c r="HXT28" s="97"/>
      <c r="HXU28" s="97"/>
      <c r="HXV28" s="97"/>
      <c r="HXW28" s="97"/>
      <c r="HXX28" s="97"/>
      <c r="HXY28" s="97"/>
      <c r="HXZ28" s="97"/>
      <c r="HYA28" s="97"/>
      <c r="HYB28" s="97"/>
      <c r="HYC28" s="97"/>
      <c r="HYD28" s="97"/>
      <c r="HYE28" s="97"/>
      <c r="HYF28" s="97"/>
      <c r="HYG28" s="97"/>
      <c r="HYH28" s="97"/>
      <c r="HYI28" s="97"/>
      <c r="HYJ28" s="97"/>
      <c r="HYK28" s="97"/>
      <c r="HYL28" s="97"/>
      <c r="HYM28" s="97"/>
      <c r="HYN28" s="97"/>
      <c r="HYO28" s="97"/>
      <c r="HYP28" s="97"/>
      <c r="HYQ28" s="97"/>
      <c r="HYR28" s="97"/>
      <c r="HYS28" s="97"/>
      <c r="HYT28" s="97"/>
      <c r="HYU28" s="97"/>
      <c r="HYV28" s="97"/>
      <c r="HYW28" s="97"/>
      <c r="HYX28" s="97"/>
      <c r="HYY28" s="97"/>
      <c r="HYZ28" s="97"/>
      <c r="HZA28" s="97"/>
      <c r="HZB28" s="97"/>
      <c r="HZC28" s="97"/>
      <c r="HZD28" s="97"/>
      <c r="HZE28" s="97"/>
      <c r="HZF28" s="97"/>
      <c r="HZG28" s="97"/>
      <c r="HZH28" s="97"/>
      <c r="HZI28" s="97"/>
      <c r="HZJ28" s="97"/>
      <c r="HZK28" s="97"/>
      <c r="HZL28" s="97"/>
      <c r="HZM28" s="97"/>
      <c r="HZN28" s="97"/>
      <c r="HZO28" s="97"/>
      <c r="HZP28" s="97"/>
      <c r="HZQ28" s="97"/>
      <c r="HZR28" s="97"/>
      <c r="HZS28" s="97"/>
      <c r="HZT28" s="97"/>
      <c r="HZU28" s="97"/>
      <c r="HZV28" s="97"/>
      <c r="HZW28" s="97"/>
      <c r="HZX28" s="97"/>
      <c r="HZY28" s="97"/>
      <c r="HZZ28" s="97"/>
      <c r="IAA28" s="97"/>
      <c r="IAB28" s="97"/>
      <c r="IAC28" s="97"/>
      <c r="IAD28" s="97"/>
      <c r="IAE28" s="97"/>
      <c r="IAF28" s="97"/>
      <c r="IAG28" s="97"/>
      <c r="IAH28" s="97"/>
      <c r="IAI28" s="97"/>
      <c r="IAJ28" s="97"/>
      <c r="IAK28" s="97"/>
      <c r="IAL28" s="97"/>
      <c r="IAM28" s="97"/>
      <c r="IAN28" s="97"/>
      <c r="IAO28" s="97"/>
      <c r="IAP28" s="97"/>
      <c r="IAQ28" s="97"/>
      <c r="IAR28" s="97"/>
      <c r="IAS28" s="97"/>
      <c r="IAT28" s="97"/>
      <c r="IAU28" s="97"/>
      <c r="IAV28" s="97"/>
      <c r="IAW28" s="97"/>
      <c r="IAX28" s="97"/>
      <c r="IAY28" s="97"/>
      <c r="IAZ28" s="97"/>
      <c r="IBA28" s="97"/>
      <c r="IBB28" s="97"/>
      <c r="IBC28" s="97"/>
      <c r="IBD28" s="97"/>
      <c r="IBE28" s="97"/>
      <c r="IBF28" s="97"/>
      <c r="IBG28" s="97"/>
      <c r="IBH28" s="97"/>
      <c r="IBI28" s="97"/>
      <c r="IBJ28" s="97"/>
      <c r="IBK28" s="97"/>
      <c r="IBL28" s="97"/>
      <c r="IBM28" s="97"/>
      <c r="IBN28" s="97"/>
      <c r="IBO28" s="97"/>
      <c r="IBP28" s="97"/>
      <c r="IBQ28" s="97"/>
      <c r="IBR28" s="97"/>
      <c r="IBS28" s="97"/>
      <c r="IBT28" s="97"/>
      <c r="IBU28" s="97"/>
      <c r="IBV28" s="97"/>
      <c r="IBW28" s="97"/>
      <c r="IBX28" s="97"/>
      <c r="IBY28" s="97"/>
      <c r="IBZ28" s="97"/>
      <c r="ICA28" s="97"/>
      <c r="ICB28" s="97"/>
      <c r="ICC28" s="97"/>
      <c r="ICD28" s="97"/>
      <c r="ICE28" s="97"/>
      <c r="ICF28" s="97"/>
      <c r="ICG28" s="97"/>
      <c r="ICH28" s="97"/>
      <c r="ICI28" s="97"/>
      <c r="ICJ28" s="97"/>
      <c r="ICK28" s="97"/>
      <c r="ICL28" s="97"/>
      <c r="ICM28" s="97"/>
      <c r="ICN28" s="97"/>
      <c r="ICO28" s="97"/>
      <c r="ICP28" s="97"/>
      <c r="ICQ28" s="97"/>
      <c r="ICR28" s="97"/>
      <c r="ICS28" s="97"/>
      <c r="ICT28" s="97"/>
      <c r="ICU28" s="97"/>
      <c r="ICV28" s="97"/>
      <c r="ICW28" s="97"/>
      <c r="ICX28" s="97"/>
      <c r="ICY28" s="97"/>
      <c r="ICZ28" s="97"/>
      <c r="IDA28" s="97"/>
      <c r="IDB28" s="97"/>
      <c r="IDC28" s="97"/>
      <c r="IDD28" s="97"/>
      <c r="IDE28" s="97"/>
      <c r="IDF28" s="97"/>
      <c r="IDG28" s="97"/>
      <c r="IDH28" s="97"/>
      <c r="IDI28" s="97"/>
      <c r="IDJ28" s="97"/>
      <c r="IDK28" s="97"/>
      <c r="IDL28" s="97"/>
      <c r="IDM28" s="97"/>
      <c r="IDN28" s="97"/>
      <c r="IDO28" s="97"/>
      <c r="IDP28" s="97"/>
      <c r="IDQ28" s="97"/>
      <c r="IDR28" s="97"/>
      <c r="IDS28" s="97"/>
      <c r="IDT28" s="97"/>
      <c r="IDU28" s="97"/>
      <c r="IDV28" s="97"/>
      <c r="IDW28" s="97"/>
      <c r="IDX28" s="97"/>
      <c r="IDY28" s="97"/>
      <c r="IDZ28" s="97"/>
      <c r="IEA28" s="97"/>
      <c r="IEB28" s="97"/>
      <c r="IEC28" s="97"/>
      <c r="IED28" s="97"/>
      <c r="IEE28" s="97"/>
      <c r="IEF28" s="97"/>
      <c r="IEG28" s="97"/>
      <c r="IEH28" s="97"/>
      <c r="IEI28" s="97"/>
      <c r="IEJ28" s="97"/>
      <c r="IEK28" s="97"/>
      <c r="IEL28" s="97"/>
      <c r="IEM28" s="97"/>
      <c r="IEN28" s="97"/>
      <c r="IEO28" s="97"/>
      <c r="IEP28" s="97"/>
      <c r="IEQ28" s="97"/>
      <c r="IER28" s="97"/>
      <c r="IES28" s="97"/>
      <c r="IET28" s="97"/>
      <c r="IEU28" s="97"/>
      <c r="IEV28" s="97"/>
      <c r="IEW28" s="97"/>
      <c r="IEX28" s="97"/>
      <c r="IEY28" s="97"/>
      <c r="IEZ28" s="97"/>
      <c r="IFA28" s="97"/>
      <c r="IFB28" s="97"/>
      <c r="IFC28" s="97"/>
      <c r="IFD28" s="97"/>
      <c r="IFE28" s="97"/>
      <c r="IFF28" s="97"/>
      <c r="IFG28" s="97"/>
      <c r="IFH28" s="97"/>
      <c r="IFI28" s="97"/>
      <c r="IFJ28" s="97"/>
      <c r="IFK28" s="97"/>
      <c r="IFL28" s="97"/>
      <c r="IFM28" s="97"/>
      <c r="IFN28" s="97"/>
      <c r="IFO28" s="97"/>
      <c r="IFP28" s="97"/>
      <c r="IFQ28" s="97"/>
      <c r="IFR28" s="97"/>
      <c r="IFS28" s="97"/>
      <c r="IFT28" s="97"/>
      <c r="IFU28" s="97"/>
      <c r="IFV28" s="97"/>
      <c r="IFW28" s="97"/>
      <c r="IFX28" s="97"/>
      <c r="IFY28" s="97"/>
      <c r="IFZ28" s="97"/>
      <c r="IGA28" s="97"/>
      <c r="IGB28" s="97"/>
      <c r="IGC28" s="97"/>
      <c r="IGD28" s="97"/>
      <c r="IGE28" s="97"/>
      <c r="IGF28" s="97"/>
      <c r="IGG28" s="97"/>
      <c r="IGH28" s="97"/>
      <c r="IGI28" s="97"/>
      <c r="IGJ28" s="97"/>
      <c r="IGK28" s="97"/>
      <c r="IGL28" s="97"/>
      <c r="IGM28" s="97"/>
      <c r="IGN28" s="97"/>
      <c r="IGO28" s="97"/>
      <c r="IGP28" s="97"/>
      <c r="IGQ28" s="97"/>
      <c r="IGR28" s="97"/>
      <c r="IGS28" s="97"/>
      <c r="IGT28" s="97"/>
      <c r="IGU28" s="97"/>
      <c r="IGV28" s="97"/>
      <c r="IGW28" s="97"/>
      <c r="IGX28" s="97"/>
      <c r="IGY28" s="97"/>
      <c r="IGZ28" s="97"/>
      <c r="IHA28" s="97"/>
      <c r="IHB28" s="97"/>
      <c r="IHC28" s="97"/>
      <c r="IHD28" s="97"/>
      <c r="IHE28" s="97"/>
      <c r="IHF28" s="97"/>
      <c r="IHG28" s="97"/>
      <c r="IHH28" s="97"/>
      <c r="IHI28" s="97"/>
      <c r="IHJ28" s="97"/>
      <c r="IHK28" s="97"/>
      <c r="IHL28" s="97"/>
      <c r="IHM28" s="97"/>
      <c r="IHN28" s="97"/>
      <c r="IHO28" s="97"/>
      <c r="IHP28" s="97"/>
      <c r="IHQ28" s="97"/>
      <c r="IHR28" s="97"/>
      <c r="IHS28" s="97"/>
      <c r="IHT28" s="97"/>
      <c r="IHU28" s="97"/>
      <c r="IHV28" s="97"/>
      <c r="IHW28" s="97"/>
      <c r="IHX28" s="97"/>
      <c r="IHY28" s="97"/>
      <c r="IHZ28" s="97"/>
      <c r="IIA28" s="97"/>
      <c r="IIB28" s="97"/>
      <c r="IIC28" s="97"/>
      <c r="IID28" s="97"/>
      <c r="IIE28" s="97"/>
      <c r="IIF28" s="97"/>
      <c r="IIG28" s="97"/>
      <c r="IIH28" s="97"/>
      <c r="III28" s="97"/>
      <c r="IIJ28" s="97"/>
      <c r="IIK28" s="97"/>
      <c r="IIL28" s="97"/>
      <c r="IIM28" s="97"/>
      <c r="IIN28" s="97"/>
      <c r="IIO28" s="97"/>
      <c r="IIP28" s="97"/>
      <c r="IIQ28" s="97"/>
      <c r="IIR28" s="97"/>
      <c r="IIS28" s="97"/>
      <c r="IIT28" s="97"/>
      <c r="IIU28" s="97"/>
      <c r="IIV28" s="97"/>
      <c r="IIW28" s="97"/>
      <c r="IIX28" s="97"/>
      <c r="IIY28" s="97"/>
      <c r="IIZ28" s="97"/>
      <c r="IJA28" s="97"/>
      <c r="IJB28" s="97"/>
      <c r="IJC28" s="97"/>
      <c r="IJD28" s="97"/>
      <c r="IJE28" s="97"/>
      <c r="IJF28" s="97"/>
      <c r="IJG28" s="97"/>
      <c r="IJH28" s="97"/>
      <c r="IJI28" s="97"/>
      <c r="IJJ28" s="97"/>
      <c r="IJK28" s="97"/>
      <c r="IJL28" s="97"/>
      <c r="IJM28" s="97"/>
      <c r="IJN28" s="97"/>
      <c r="IJO28" s="97"/>
      <c r="IJP28" s="97"/>
      <c r="IJQ28" s="97"/>
      <c r="IJR28" s="97"/>
      <c r="IJS28" s="97"/>
      <c r="IJT28" s="97"/>
      <c r="IJU28" s="97"/>
      <c r="IJV28" s="97"/>
      <c r="IJW28" s="97"/>
      <c r="IJX28" s="97"/>
      <c r="IJY28" s="97"/>
      <c r="IJZ28" s="97"/>
      <c r="IKA28" s="97"/>
      <c r="IKB28" s="97"/>
      <c r="IKC28" s="97"/>
      <c r="IKD28" s="97"/>
      <c r="IKE28" s="97"/>
      <c r="IKF28" s="97"/>
      <c r="IKG28" s="97"/>
      <c r="IKH28" s="97"/>
      <c r="IKI28" s="97"/>
      <c r="IKJ28" s="97"/>
      <c r="IKK28" s="97"/>
      <c r="IKL28" s="97"/>
      <c r="IKM28" s="97"/>
      <c r="IKN28" s="97"/>
      <c r="IKO28" s="97"/>
      <c r="IKP28" s="97"/>
      <c r="IKQ28" s="97"/>
      <c r="IKR28" s="97"/>
      <c r="IKS28" s="97"/>
      <c r="IKT28" s="97"/>
      <c r="IKU28" s="97"/>
      <c r="IKV28" s="97"/>
      <c r="IKW28" s="97"/>
      <c r="IKX28" s="97"/>
      <c r="IKY28" s="97"/>
      <c r="IKZ28" s="97"/>
      <c r="ILA28" s="97"/>
      <c r="ILB28" s="97"/>
      <c r="ILC28" s="97"/>
      <c r="ILD28" s="97"/>
      <c r="ILE28" s="97"/>
      <c r="ILF28" s="97"/>
      <c r="ILG28" s="97"/>
      <c r="ILH28" s="97"/>
      <c r="ILI28" s="97"/>
      <c r="ILJ28" s="97"/>
      <c r="ILK28" s="97"/>
      <c r="ILL28" s="97"/>
      <c r="ILM28" s="97"/>
      <c r="ILN28" s="97"/>
      <c r="ILO28" s="97"/>
      <c r="ILP28" s="97"/>
      <c r="ILQ28" s="97"/>
      <c r="ILR28" s="97"/>
      <c r="ILS28" s="97"/>
      <c r="ILT28" s="97"/>
      <c r="ILU28" s="97"/>
      <c r="ILV28" s="97"/>
      <c r="ILW28" s="97"/>
      <c r="ILX28" s="97"/>
      <c r="ILY28" s="97"/>
      <c r="ILZ28" s="97"/>
      <c r="IMA28" s="97"/>
      <c r="IMB28" s="97"/>
      <c r="IMC28" s="97"/>
      <c r="IMD28" s="97"/>
      <c r="IME28" s="97"/>
      <c r="IMF28" s="97"/>
      <c r="IMG28" s="97"/>
      <c r="IMH28" s="97"/>
      <c r="IMI28" s="97"/>
      <c r="IMJ28" s="97"/>
      <c r="IMK28" s="97"/>
      <c r="IML28" s="97"/>
      <c r="IMM28" s="97"/>
      <c r="IMN28" s="97"/>
      <c r="IMO28" s="97"/>
      <c r="IMP28" s="97"/>
      <c r="IMQ28" s="97"/>
      <c r="IMR28" s="97"/>
      <c r="IMS28" s="97"/>
      <c r="IMT28" s="97"/>
      <c r="IMU28" s="97"/>
      <c r="IMV28" s="97"/>
      <c r="IMW28" s="97"/>
      <c r="IMX28" s="97"/>
      <c r="IMY28" s="97"/>
      <c r="IMZ28" s="97"/>
      <c r="INA28" s="97"/>
      <c r="INB28" s="97"/>
      <c r="INC28" s="97"/>
      <c r="IND28" s="97"/>
      <c r="INE28" s="97"/>
      <c r="INF28" s="97"/>
      <c r="ING28" s="97"/>
      <c r="INH28" s="97"/>
      <c r="INI28" s="97"/>
      <c r="INJ28" s="97"/>
      <c r="INK28" s="97"/>
      <c r="INL28" s="97"/>
      <c r="INM28" s="97"/>
      <c r="INN28" s="97"/>
      <c r="INO28" s="97"/>
      <c r="INP28" s="97"/>
      <c r="INQ28" s="97"/>
      <c r="INR28" s="97"/>
      <c r="INS28" s="97"/>
      <c r="INT28" s="97"/>
      <c r="INU28" s="97"/>
      <c r="INV28" s="97"/>
      <c r="INW28" s="97"/>
      <c r="INX28" s="97"/>
      <c r="INY28" s="97"/>
      <c r="INZ28" s="97"/>
      <c r="IOA28" s="97"/>
      <c r="IOB28" s="97"/>
      <c r="IOC28" s="97"/>
      <c r="IOD28" s="97"/>
      <c r="IOE28" s="97"/>
      <c r="IOF28" s="97"/>
      <c r="IOG28" s="97"/>
      <c r="IOH28" s="97"/>
      <c r="IOI28" s="97"/>
      <c r="IOJ28" s="97"/>
      <c r="IOK28" s="97"/>
      <c r="IOL28" s="97"/>
      <c r="IOM28" s="97"/>
      <c r="ION28" s="97"/>
      <c r="IOO28" s="97"/>
      <c r="IOP28" s="97"/>
      <c r="IOQ28" s="97"/>
      <c r="IOR28" s="97"/>
      <c r="IOS28" s="97"/>
      <c r="IOT28" s="97"/>
      <c r="IOU28" s="97"/>
      <c r="IOV28" s="97"/>
      <c r="IOW28" s="97"/>
      <c r="IOX28" s="97"/>
      <c r="IOY28" s="97"/>
      <c r="IOZ28" s="97"/>
      <c r="IPA28" s="97"/>
      <c r="IPB28" s="97"/>
      <c r="IPC28" s="97"/>
      <c r="IPD28" s="97"/>
      <c r="IPE28" s="97"/>
      <c r="IPF28" s="97"/>
      <c r="IPG28" s="97"/>
      <c r="IPH28" s="97"/>
      <c r="IPI28" s="97"/>
      <c r="IPJ28" s="97"/>
      <c r="IPK28" s="97"/>
      <c r="IPL28" s="97"/>
      <c r="IPM28" s="97"/>
      <c r="IPN28" s="97"/>
      <c r="IPO28" s="97"/>
      <c r="IPP28" s="97"/>
      <c r="IPQ28" s="97"/>
      <c r="IPR28" s="97"/>
      <c r="IPS28" s="97"/>
      <c r="IPT28" s="97"/>
      <c r="IPU28" s="97"/>
      <c r="IPV28" s="97"/>
      <c r="IPW28" s="97"/>
      <c r="IPX28" s="97"/>
      <c r="IPY28" s="97"/>
      <c r="IPZ28" s="97"/>
      <c r="IQA28" s="97"/>
      <c r="IQB28" s="97"/>
      <c r="IQC28" s="97"/>
      <c r="IQD28" s="97"/>
      <c r="IQE28" s="97"/>
      <c r="IQF28" s="97"/>
      <c r="IQG28" s="97"/>
      <c r="IQH28" s="97"/>
      <c r="IQI28" s="97"/>
      <c r="IQJ28" s="97"/>
      <c r="IQK28" s="97"/>
      <c r="IQL28" s="97"/>
      <c r="IQM28" s="97"/>
      <c r="IQN28" s="97"/>
      <c r="IQO28" s="97"/>
      <c r="IQP28" s="97"/>
      <c r="IQQ28" s="97"/>
      <c r="IQR28" s="97"/>
      <c r="IQS28" s="97"/>
      <c r="IQT28" s="97"/>
      <c r="IQU28" s="97"/>
      <c r="IQV28" s="97"/>
      <c r="IQW28" s="97"/>
      <c r="IQX28" s="97"/>
      <c r="IQY28" s="97"/>
      <c r="IQZ28" s="97"/>
      <c r="IRA28" s="97"/>
      <c r="IRB28" s="97"/>
      <c r="IRC28" s="97"/>
      <c r="IRD28" s="97"/>
      <c r="IRE28" s="97"/>
      <c r="IRF28" s="97"/>
      <c r="IRG28" s="97"/>
      <c r="IRH28" s="97"/>
      <c r="IRI28" s="97"/>
      <c r="IRJ28" s="97"/>
      <c r="IRK28" s="97"/>
      <c r="IRL28" s="97"/>
      <c r="IRM28" s="97"/>
      <c r="IRN28" s="97"/>
      <c r="IRO28" s="97"/>
      <c r="IRP28" s="97"/>
      <c r="IRQ28" s="97"/>
      <c r="IRR28" s="97"/>
      <c r="IRS28" s="97"/>
      <c r="IRT28" s="97"/>
      <c r="IRU28" s="97"/>
      <c r="IRV28" s="97"/>
      <c r="IRW28" s="97"/>
      <c r="IRX28" s="97"/>
      <c r="IRY28" s="97"/>
      <c r="IRZ28" s="97"/>
      <c r="ISA28" s="97"/>
      <c r="ISB28" s="97"/>
      <c r="ISC28" s="97"/>
      <c r="ISD28" s="97"/>
      <c r="ISE28" s="97"/>
      <c r="ISF28" s="97"/>
      <c r="ISG28" s="97"/>
      <c r="ISH28" s="97"/>
      <c r="ISI28" s="97"/>
      <c r="ISJ28" s="97"/>
      <c r="ISK28" s="97"/>
      <c r="ISL28" s="97"/>
      <c r="ISM28" s="97"/>
      <c r="ISN28" s="97"/>
      <c r="ISO28" s="97"/>
      <c r="ISP28" s="97"/>
      <c r="ISQ28" s="97"/>
      <c r="ISR28" s="97"/>
      <c r="ISS28" s="97"/>
      <c r="IST28" s="97"/>
      <c r="ISU28" s="97"/>
      <c r="ISV28" s="97"/>
      <c r="ISW28" s="97"/>
      <c r="ISX28" s="97"/>
      <c r="ISY28" s="97"/>
      <c r="ISZ28" s="97"/>
      <c r="ITA28" s="97"/>
      <c r="ITB28" s="97"/>
      <c r="ITC28" s="97"/>
      <c r="ITD28" s="97"/>
      <c r="ITE28" s="97"/>
      <c r="ITF28" s="97"/>
      <c r="ITG28" s="97"/>
      <c r="ITH28" s="97"/>
      <c r="ITI28" s="97"/>
      <c r="ITJ28" s="97"/>
      <c r="ITK28" s="97"/>
      <c r="ITL28" s="97"/>
      <c r="ITM28" s="97"/>
      <c r="ITN28" s="97"/>
      <c r="ITO28" s="97"/>
      <c r="ITP28" s="97"/>
      <c r="ITQ28" s="97"/>
      <c r="ITR28" s="97"/>
      <c r="ITS28" s="97"/>
      <c r="ITT28" s="97"/>
      <c r="ITU28" s="97"/>
      <c r="ITV28" s="97"/>
      <c r="ITW28" s="97"/>
      <c r="ITX28" s="97"/>
      <c r="ITY28" s="97"/>
      <c r="ITZ28" s="97"/>
      <c r="IUA28" s="97"/>
      <c r="IUB28" s="97"/>
      <c r="IUC28" s="97"/>
      <c r="IUD28" s="97"/>
      <c r="IUE28" s="97"/>
      <c r="IUF28" s="97"/>
      <c r="IUG28" s="97"/>
      <c r="IUH28" s="97"/>
      <c r="IUI28" s="97"/>
      <c r="IUJ28" s="97"/>
      <c r="IUK28" s="97"/>
      <c r="IUL28" s="97"/>
      <c r="IUM28" s="97"/>
      <c r="IUN28" s="97"/>
      <c r="IUO28" s="97"/>
      <c r="IUP28" s="97"/>
      <c r="IUQ28" s="97"/>
      <c r="IUR28" s="97"/>
      <c r="IUS28" s="97"/>
      <c r="IUT28" s="97"/>
      <c r="IUU28" s="97"/>
      <c r="IUV28" s="97"/>
      <c r="IUW28" s="97"/>
      <c r="IUX28" s="97"/>
      <c r="IUY28" s="97"/>
      <c r="IUZ28" s="97"/>
      <c r="IVA28" s="97"/>
      <c r="IVB28" s="97"/>
      <c r="IVC28" s="97"/>
      <c r="IVD28" s="97"/>
      <c r="IVE28" s="97"/>
      <c r="IVF28" s="97"/>
      <c r="IVG28" s="97"/>
      <c r="IVH28" s="97"/>
      <c r="IVI28" s="97"/>
      <c r="IVJ28" s="97"/>
      <c r="IVK28" s="97"/>
      <c r="IVL28" s="97"/>
      <c r="IVM28" s="97"/>
      <c r="IVN28" s="97"/>
      <c r="IVO28" s="97"/>
      <c r="IVP28" s="97"/>
      <c r="IVQ28" s="97"/>
      <c r="IVR28" s="97"/>
      <c r="IVS28" s="97"/>
      <c r="IVT28" s="97"/>
      <c r="IVU28" s="97"/>
      <c r="IVV28" s="97"/>
      <c r="IVW28" s="97"/>
      <c r="IVX28" s="97"/>
      <c r="IVY28" s="97"/>
      <c r="IVZ28" s="97"/>
      <c r="IWA28" s="97"/>
      <c r="IWB28" s="97"/>
      <c r="IWC28" s="97"/>
      <c r="IWD28" s="97"/>
      <c r="IWE28" s="97"/>
      <c r="IWF28" s="97"/>
      <c r="IWG28" s="97"/>
      <c r="IWH28" s="97"/>
      <c r="IWI28" s="97"/>
      <c r="IWJ28" s="97"/>
      <c r="IWK28" s="97"/>
      <c r="IWL28" s="97"/>
      <c r="IWM28" s="97"/>
      <c r="IWN28" s="97"/>
      <c r="IWO28" s="97"/>
      <c r="IWP28" s="97"/>
      <c r="IWQ28" s="97"/>
      <c r="IWR28" s="97"/>
      <c r="IWS28" s="97"/>
      <c r="IWT28" s="97"/>
      <c r="IWU28" s="97"/>
      <c r="IWV28" s="97"/>
      <c r="IWW28" s="97"/>
      <c r="IWX28" s="97"/>
      <c r="IWY28" s="97"/>
      <c r="IWZ28" s="97"/>
      <c r="IXA28" s="97"/>
      <c r="IXB28" s="97"/>
      <c r="IXC28" s="97"/>
      <c r="IXD28" s="97"/>
      <c r="IXE28" s="97"/>
      <c r="IXF28" s="97"/>
      <c r="IXG28" s="97"/>
      <c r="IXH28" s="97"/>
      <c r="IXI28" s="97"/>
      <c r="IXJ28" s="97"/>
      <c r="IXK28" s="97"/>
      <c r="IXL28" s="97"/>
      <c r="IXM28" s="97"/>
      <c r="IXN28" s="97"/>
      <c r="IXO28" s="97"/>
      <c r="IXP28" s="97"/>
      <c r="IXQ28" s="97"/>
      <c r="IXR28" s="97"/>
      <c r="IXS28" s="97"/>
      <c r="IXT28" s="97"/>
      <c r="IXU28" s="97"/>
      <c r="IXV28" s="97"/>
      <c r="IXW28" s="97"/>
      <c r="IXX28" s="97"/>
      <c r="IXY28" s="97"/>
      <c r="IXZ28" s="97"/>
      <c r="IYA28" s="97"/>
      <c r="IYB28" s="97"/>
      <c r="IYC28" s="97"/>
      <c r="IYD28" s="97"/>
      <c r="IYE28" s="97"/>
      <c r="IYF28" s="97"/>
      <c r="IYG28" s="97"/>
      <c r="IYH28" s="97"/>
      <c r="IYI28" s="97"/>
      <c r="IYJ28" s="97"/>
      <c r="IYK28" s="97"/>
      <c r="IYL28" s="97"/>
      <c r="IYM28" s="97"/>
      <c r="IYN28" s="97"/>
      <c r="IYO28" s="97"/>
      <c r="IYP28" s="97"/>
      <c r="IYQ28" s="97"/>
      <c r="IYR28" s="97"/>
      <c r="IYS28" s="97"/>
      <c r="IYT28" s="97"/>
      <c r="IYU28" s="97"/>
      <c r="IYV28" s="97"/>
      <c r="IYW28" s="97"/>
      <c r="IYX28" s="97"/>
      <c r="IYY28" s="97"/>
      <c r="IYZ28" s="97"/>
      <c r="IZA28" s="97"/>
      <c r="IZB28" s="97"/>
      <c r="IZC28" s="97"/>
      <c r="IZD28" s="97"/>
      <c r="IZE28" s="97"/>
      <c r="IZF28" s="97"/>
      <c r="IZG28" s="97"/>
      <c r="IZH28" s="97"/>
      <c r="IZI28" s="97"/>
      <c r="IZJ28" s="97"/>
      <c r="IZK28" s="97"/>
      <c r="IZL28" s="97"/>
      <c r="IZM28" s="97"/>
      <c r="IZN28" s="97"/>
      <c r="IZO28" s="97"/>
      <c r="IZP28" s="97"/>
      <c r="IZQ28" s="97"/>
      <c r="IZR28" s="97"/>
      <c r="IZS28" s="97"/>
      <c r="IZT28" s="97"/>
      <c r="IZU28" s="97"/>
      <c r="IZV28" s="97"/>
      <c r="IZW28" s="97"/>
      <c r="IZX28" s="97"/>
      <c r="IZY28" s="97"/>
      <c r="IZZ28" s="97"/>
      <c r="JAA28" s="97"/>
      <c r="JAB28" s="97"/>
      <c r="JAC28" s="97"/>
      <c r="JAD28" s="97"/>
      <c r="JAE28" s="97"/>
      <c r="JAF28" s="97"/>
      <c r="JAG28" s="97"/>
      <c r="JAH28" s="97"/>
      <c r="JAI28" s="97"/>
      <c r="JAJ28" s="97"/>
      <c r="JAK28" s="97"/>
      <c r="JAL28" s="97"/>
      <c r="JAM28" s="97"/>
      <c r="JAN28" s="97"/>
      <c r="JAO28" s="97"/>
      <c r="JAP28" s="97"/>
      <c r="JAQ28" s="97"/>
      <c r="JAR28" s="97"/>
      <c r="JAS28" s="97"/>
      <c r="JAT28" s="97"/>
      <c r="JAU28" s="97"/>
      <c r="JAV28" s="97"/>
      <c r="JAW28" s="97"/>
      <c r="JAX28" s="97"/>
      <c r="JAY28" s="97"/>
      <c r="JAZ28" s="97"/>
      <c r="JBA28" s="97"/>
      <c r="JBB28" s="97"/>
      <c r="JBC28" s="97"/>
      <c r="JBD28" s="97"/>
      <c r="JBE28" s="97"/>
      <c r="JBF28" s="97"/>
      <c r="JBG28" s="97"/>
      <c r="JBH28" s="97"/>
      <c r="JBI28" s="97"/>
      <c r="JBJ28" s="97"/>
      <c r="JBK28" s="97"/>
      <c r="JBL28" s="97"/>
      <c r="JBM28" s="97"/>
      <c r="JBN28" s="97"/>
      <c r="JBO28" s="97"/>
      <c r="JBP28" s="97"/>
      <c r="JBQ28" s="97"/>
      <c r="JBR28" s="97"/>
      <c r="JBS28" s="97"/>
      <c r="JBT28" s="97"/>
      <c r="JBU28" s="97"/>
      <c r="JBV28" s="97"/>
      <c r="JBW28" s="97"/>
      <c r="JBX28" s="97"/>
      <c r="JBY28" s="97"/>
      <c r="JBZ28" s="97"/>
      <c r="JCA28" s="97"/>
      <c r="JCB28" s="97"/>
      <c r="JCC28" s="97"/>
      <c r="JCD28" s="97"/>
      <c r="JCE28" s="97"/>
      <c r="JCF28" s="97"/>
      <c r="JCG28" s="97"/>
      <c r="JCH28" s="97"/>
      <c r="JCI28" s="97"/>
      <c r="JCJ28" s="97"/>
      <c r="JCK28" s="97"/>
      <c r="JCL28" s="97"/>
      <c r="JCM28" s="97"/>
      <c r="JCN28" s="97"/>
      <c r="JCO28" s="97"/>
      <c r="JCP28" s="97"/>
      <c r="JCQ28" s="97"/>
      <c r="JCR28" s="97"/>
      <c r="JCS28" s="97"/>
      <c r="JCT28" s="97"/>
      <c r="JCU28" s="97"/>
      <c r="JCV28" s="97"/>
      <c r="JCW28" s="97"/>
      <c r="JCX28" s="97"/>
      <c r="JCY28" s="97"/>
      <c r="JCZ28" s="97"/>
      <c r="JDA28" s="97"/>
      <c r="JDB28" s="97"/>
      <c r="JDC28" s="97"/>
      <c r="JDD28" s="97"/>
      <c r="JDE28" s="97"/>
      <c r="JDF28" s="97"/>
      <c r="JDG28" s="97"/>
      <c r="JDH28" s="97"/>
      <c r="JDI28" s="97"/>
      <c r="JDJ28" s="97"/>
      <c r="JDK28" s="97"/>
      <c r="JDL28" s="97"/>
      <c r="JDM28" s="97"/>
      <c r="JDN28" s="97"/>
      <c r="JDO28" s="97"/>
      <c r="JDP28" s="97"/>
      <c r="JDQ28" s="97"/>
      <c r="JDR28" s="97"/>
      <c r="JDS28" s="97"/>
      <c r="JDT28" s="97"/>
      <c r="JDU28" s="97"/>
      <c r="JDV28" s="97"/>
      <c r="JDW28" s="97"/>
      <c r="JDX28" s="97"/>
      <c r="JDY28" s="97"/>
      <c r="JDZ28" s="97"/>
      <c r="JEA28" s="97"/>
      <c r="JEB28" s="97"/>
      <c r="JEC28" s="97"/>
      <c r="JED28" s="97"/>
      <c r="JEE28" s="97"/>
      <c r="JEF28" s="97"/>
      <c r="JEG28" s="97"/>
      <c r="JEH28" s="97"/>
      <c r="JEI28" s="97"/>
      <c r="JEJ28" s="97"/>
      <c r="JEK28" s="97"/>
      <c r="JEL28" s="97"/>
      <c r="JEM28" s="97"/>
      <c r="JEN28" s="97"/>
      <c r="JEO28" s="97"/>
      <c r="JEP28" s="97"/>
      <c r="JEQ28" s="97"/>
      <c r="JER28" s="97"/>
      <c r="JES28" s="97"/>
      <c r="JET28" s="97"/>
      <c r="JEU28" s="97"/>
      <c r="JEV28" s="97"/>
      <c r="JEW28" s="97"/>
      <c r="JEX28" s="97"/>
      <c r="JEY28" s="97"/>
      <c r="JEZ28" s="97"/>
      <c r="JFA28" s="97"/>
      <c r="JFB28" s="97"/>
      <c r="JFC28" s="97"/>
      <c r="JFD28" s="97"/>
      <c r="JFE28" s="97"/>
      <c r="JFF28" s="97"/>
      <c r="JFG28" s="97"/>
      <c r="JFH28" s="97"/>
      <c r="JFI28" s="97"/>
      <c r="JFJ28" s="97"/>
      <c r="JFK28" s="97"/>
      <c r="JFL28" s="97"/>
      <c r="JFM28" s="97"/>
      <c r="JFN28" s="97"/>
      <c r="JFO28" s="97"/>
      <c r="JFP28" s="97"/>
      <c r="JFQ28" s="97"/>
      <c r="JFR28" s="97"/>
      <c r="JFS28" s="97"/>
      <c r="JFT28" s="97"/>
      <c r="JFU28" s="97"/>
      <c r="JFV28" s="97"/>
      <c r="JFW28" s="97"/>
      <c r="JFX28" s="97"/>
      <c r="JFY28" s="97"/>
      <c r="JFZ28" s="97"/>
      <c r="JGA28" s="97"/>
      <c r="JGB28" s="97"/>
      <c r="JGC28" s="97"/>
      <c r="JGD28" s="97"/>
      <c r="JGE28" s="97"/>
      <c r="JGF28" s="97"/>
      <c r="JGG28" s="97"/>
      <c r="JGH28" s="97"/>
      <c r="JGI28" s="97"/>
      <c r="JGJ28" s="97"/>
      <c r="JGK28" s="97"/>
      <c r="JGL28" s="97"/>
      <c r="JGM28" s="97"/>
      <c r="JGN28" s="97"/>
      <c r="JGO28" s="97"/>
      <c r="JGP28" s="97"/>
      <c r="JGQ28" s="97"/>
      <c r="JGR28" s="97"/>
      <c r="JGS28" s="97"/>
      <c r="JGT28" s="97"/>
      <c r="JGU28" s="97"/>
      <c r="JGV28" s="97"/>
      <c r="JGW28" s="97"/>
      <c r="JGX28" s="97"/>
      <c r="JGY28" s="97"/>
      <c r="JGZ28" s="97"/>
      <c r="JHA28" s="97"/>
      <c r="JHB28" s="97"/>
      <c r="JHC28" s="97"/>
      <c r="JHD28" s="97"/>
      <c r="JHE28" s="97"/>
      <c r="JHF28" s="97"/>
      <c r="JHG28" s="97"/>
      <c r="JHH28" s="97"/>
      <c r="JHI28" s="97"/>
      <c r="JHJ28" s="97"/>
      <c r="JHK28" s="97"/>
      <c r="JHL28" s="97"/>
      <c r="JHM28" s="97"/>
      <c r="JHN28" s="97"/>
      <c r="JHO28" s="97"/>
      <c r="JHP28" s="97"/>
      <c r="JHQ28" s="97"/>
      <c r="JHR28" s="97"/>
      <c r="JHS28" s="97"/>
      <c r="JHT28" s="97"/>
      <c r="JHU28" s="97"/>
      <c r="JHV28" s="97"/>
      <c r="JHW28" s="97"/>
      <c r="JHX28" s="97"/>
      <c r="JHY28" s="97"/>
      <c r="JHZ28" s="97"/>
      <c r="JIA28" s="97"/>
      <c r="JIB28" s="97"/>
      <c r="JIC28" s="97"/>
      <c r="JID28" s="97"/>
      <c r="JIE28" s="97"/>
      <c r="JIF28" s="97"/>
      <c r="JIG28" s="97"/>
      <c r="JIH28" s="97"/>
      <c r="JII28" s="97"/>
      <c r="JIJ28" s="97"/>
      <c r="JIK28" s="97"/>
      <c r="JIL28" s="97"/>
      <c r="JIM28" s="97"/>
      <c r="JIN28" s="97"/>
      <c r="JIO28" s="97"/>
      <c r="JIP28" s="97"/>
      <c r="JIQ28" s="97"/>
      <c r="JIR28" s="97"/>
      <c r="JIS28" s="97"/>
      <c r="JIT28" s="97"/>
      <c r="JIU28" s="97"/>
      <c r="JIV28" s="97"/>
      <c r="JIW28" s="97"/>
      <c r="JIX28" s="97"/>
      <c r="JIY28" s="97"/>
      <c r="JIZ28" s="97"/>
      <c r="JJA28" s="97"/>
      <c r="JJB28" s="97"/>
      <c r="JJC28" s="97"/>
      <c r="JJD28" s="97"/>
      <c r="JJE28" s="97"/>
      <c r="JJF28" s="97"/>
      <c r="JJG28" s="97"/>
      <c r="JJH28" s="97"/>
      <c r="JJI28" s="97"/>
      <c r="JJJ28" s="97"/>
      <c r="JJK28" s="97"/>
      <c r="JJL28" s="97"/>
      <c r="JJM28" s="97"/>
      <c r="JJN28" s="97"/>
      <c r="JJO28" s="97"/>
      <c r="JJP28" s="97"/>
      <c r="JJQ28" s="97"/>
      <c r="JJR28" s="97"/>
      <c r="JJS28" s="97"/>
      <c r="JJT28" s="97"/>
      <c r="JJU28" s="97"/>
      <c r="JJV28" s="97"/>
      <c r="JJW28" s="97"/>
      <c r="JJX28" s="97"/>
      <c r="JJY28" s="97"/>
      <c r="JJZ28" s="97"/>
      <c r="JKA28" s="97"/>
      <c r="JKB28" s="97"/>
      <c r="JKC28" s="97"/>
      <c r="JKD28" s="97"/>
      <c r="JKE28" s="97"/>
      <c r="JKF28" s="97"/>
      <c r="JKG28" s="97"/>
      <c r="JKH28" s="97"/>
      <c r="JKI28" s="97"/>
      <c r="JKJ28" s="97"/>
      <c r="JKK28" s="97"/>
      <c r="JKL28" s="97"/>
      <c r="JKM28" s="97"/>
      <c r="JKN28" s="97"/>
      <c r="JKO28" s="97"/>
      <c r="JKP28" s="97"/>
      <c r="JKQ28" s="97"/>
      <c r="JKR28" s="97"/>
      <c r="JKS28" s="97"/>
      <c r="JKT28" s="97"/>
      <c r="JKU28" s="97"/>
      <c r="JKV28" s="97"/>
      <c r="JKW28" s="97"/>
      <c r="JKX28" s="97"/>
      <c r="JKY28" s="97"/>
      <c r="JKZ28" s="97"/>
      <c r="JLA28" s="97"/>
      <c r="JLB28" s="97"/>
      <c r="JLC28" s="97"/>
      <c r="JLD28" s="97"/>
      <c r="JLE28" s="97"/>
      <c r="JLF28" s="97"/>
      <c r="JLG28" s="97"/>
      <c r="JLH28" s="97"/>
      <c r="JLI28" s="97"/>
      <c r="JLJ28" s="97"/>
      <c r="JLK28" s="97"/>
      <c r="JLL28" s="97"/>
      <c r="JLM28" s="97"/>
      <c r="JLN28" s="97"/>
      <c r="JLO28" s="97"/>
      <c r="JLP28" s="97"/>
      <c r="JLQ28" s="97"/>
      <c r="JLR28" s="97"/>
      <c r="JLS28" s="97"/>
      <c r="JLT28" s="97"/>
      <c r="JLU28" s="97"/>
      <c r="JLV28" s="97"/>
      <c r="JLW28" s="97"/>
      <c r="JLX28" s="97"/>
      <c r="JLY28" s="97"/>
      <c r="JLZ28" s="97"/>
      <c r="JMA28" s="97"/>
      <c r="JMB28" s="97"/>
      <c r="JMC28" s="97"/>
      <c r="JMD28" s="97"/>
      <c r="JME28" s="97"/>
      <c r="JMF28" s="97"/>
      <c r="JMG28" s="97"/>
      <c r="JMH28" s="97"/>
      <c r="JMI28" s="97"/>
      <c r="JMJ28" s="97"/>
      <c r="JMK28" s="97"/>
      <c r="JML28" s="97"/>
      <c r="JMM28" s="97"/>
      <c r="JMN28" s="97"/>
      <c r="JMO28" s="97"/>
      <c r="JMP28" s="97"/>
      <c r="JMQ28" s="97"/>
      <c r="JMR28" s="97"/>
      <c r="JMS28" s="97"/>
      <c r="JMT28" s="97"/>
      <c r="JMU28" s="97"/>
      <c r="JMV28" s="97"/>
      <c r="JMW28" s="97"/>
      <c r="JMX28" s="97"/>
      <c r="JMY28" s="97"/>
      <c r="JMZ28" s="97"/>
      <c r="JNA28" s="97"/>
      <c r="JNB28" s="97"/>
      <c r="JNC28" s="97"/>
      <c r="JND28" s="97"/>
      <c r="JNE28" s="97"/>
      <c r="JNF28" s="97"/>
      <c r="JNG28" s="97"/>
      <c r="JNH28" s="97"/>
      <c r="JNI28" s="97"/>
      <c r="JNJ28" s="97"/>
      <c r="JNK28" s="97"/>
      <c r="JNL28" s="97"/>
      <c r="JNM28" s="97"/>
      <c r="JNN28" s="97"/>
      <c r="JNO28" s="97"/>
      <c r="JNP28" s="97"/>
      <c r="JNQ28" s="97"/>
      <c r="JNR28" s="97"/>
      <c r="JNS28" s="97"/>
      <c r="JNT28" s="97"/>
      <c r="JNU28" s="97"/>
      <c r="JNV28" s="97"/>
      <c r="JNW28" s="97"/>
      <c r="JNX28" s="97"/>
      <c r="JNY28" s="97"/>
      <c r="JNZ28" s="97"/>
      <c r="JOA28" s="97"/>
      <c r="JOB28" s="97"/>
      <c r="JOC28" s="97"/>
      <c r="JOD28" s="97"/>
      <c r="JOE28" s="97"/>
      <c r="JOF28" s="97"/>
      <c r="JOG28" s="97"/>
      <c r="JOH28" s="97"/>
      <c r="JOI28" s="97"/>
      <c r="JOJ28" s="97"/>
      <c r="JOK28" s="97"/>
      <c r="JOL28" s="97"/>
      <c r="JOM28" s="97"/>
      <c r="JON28" s="97"/>
      <c r="JOO28" s="97"/>
      <c r="JOP28" s="97"/>
      <c r="JOQ28" s="97"/>
      <c r="JOR28" s="97"/>
      <c r="JOS28" s="97"/>
      <c r="JOT28" s="97"/>
      <c r="JOU28" s="97"/>
      <c r="JOV28" s="97"/>
      <c r="JOW28" s="97"/>
      <c r="JOX28" s="97"/>
      <c r="JOY28" s="97"/>
      <c r="JOZ28" s="97"/>
      <c r="JPA28" s="97"/>
      <c r="JPB28" s="97"/>
      <c r="JPC28" s="97"/>
      <c r="JPD28" s="97"/>
      <c r="JPE28" s="97"/>
      <c r="JPF28" s="97"/>
      <c r="JPG28" s="97"/>
      <c r="JPH28" s="97"/>
      <c r="JPI28" s="97"/>
      <c r="JPJ28" s="97"/>
      <c r="JPK28" s="97"/>
      <c r="JPL28" s="97"/>
      <c r="JPM28" s="97"/>
      <c r="JPN28" s="97"/>
      <c r="JPO28" s="97"/>
      <c r="JPP28" s="97"/>
      <c r="JPQ28" s="97"/>
      <c r="JPR28" s="97"/>
      <c r="JPS28" s="97"/>
      <c r="JPT28" s="97"/>
      <c r="JPU28" s="97"/>
      <c r="JPV28" s="97"/>
      <c r="JPW28" s="97"/>
      <c r="JPX28" s="97"/>
      <c r="JPY28" s="97"/>
      <c r="JPZ28" s="97"/>
      <c r="JQA28" s="97"/>
      <c r="JQB28" s="97"/>
      <c r="JQC28" s="97"/>
      <c r="JQD28" s="97"/>
      <c r="JQE28" s="97"/>
      <c r="JQF28" s="97"/>
      <c r="JQG28" s="97"/>
      <c r="JQH28" s="97"/>
      <c r="JQI28" s="97"/>
      <c r="JQJ28" s="97"/>
      <c r="JQK28" s="97"/>
      <c r="JQL28" s="97"/>
      <c r="JQM28" s="97"/>
      <c r="JQN28" s="97"/>
      <c r="JQO28" s="97"/>
      <c r="JQP28" s="97"/>
      <c r="JQQ28" s="97"/>
      <c r="JQR28" s="97"/>
      <c r="JQS28" s="97"/>
      <c r="JQT28" s="97"/>
      <c r="JQU28" s="97"/>
      <c r="JQV28" s="97"/>
      <c r="JQW28" s="97"/>
      <c r="JQX28" s="97"/>
      <c r="JQY28" s="97"/>
      <c r="JQZ28" s="97"/>
      <c r="JRA28" s="97"/>
      <c r="JRB28" s="97"/>
      <c r="JRC28" s="97"/>
      <c r="JRD28" s="97"/>
      <c r="JRE28" s="97"/>
      <c r="JRF28" s="97"/>
      <c r="JRG28" s="97"/>
      <c r="JRH28" s="97"/>
      <c r="JRI28" s="97"/>
      <c r="JRJ28" s="97"/>
      <c r="JRK28" s="97"/>
      <c r="JRL28" s="97"/>
      <c r="JRM28" s="97"/>
      <c r="JRN28" s="97"/>
      <c r="JRO28" s="97"/>
      <c r="JRP28" s="97"/>
      <c r="JRQ28" s="97"/>
      <c r="JRR28" s="97"/>
      <c r="JRS28" s="97"/>
      <c r="JRT28" s="97"/>
      <c r="JRU28" s="97"/>
      <c r="JRV28" s="97"/>
      <c r="JRW28" s="97"/>
      <c r="JRX28" s="97"/>
      <c r="JRY28" s="97"/>
      <c r="JRZ28" s="97"/>
      <c r="JSA28" s="97"/>
      <c r="JSB28" s="97"/>
      <c r="JSC28" s="97"/>
      <c r="JSD28" s="97"/>
      <c r="JSE28" s="97"/>
      <c r="JSF28" s="97"/>
      <c r="JSG28" s="97"/>
      <c r="JSH28" s="97"/>
      <c r="JSI28" s="97"/>
      <c r="JSJ28" s="97"/>
      <c r="JSK28" s="97"/>
      <c r="JSL28" s="97"/>
      <c r="JSM28" s="97"/>
      <c r="JSN28" s="97"/>
      <c r="JSO28" s="97"/>
      <c r="JSP28" s="97"/>
      <c r="JSQ28" s="97"/>
      <c r="JSR28" s="97"/>
      <c r="JSS28" s="97"/>
      <c r="JST28" s="97"/>
      <c r="JSU28" s="97"/>
      <c r="JSV28" s="97"/>
      <c r="JSW28" s="97"/>
      <c r="JSX28" s="97"/>
      <c r="JSY28" s="97"/>
      <c r="JSZ28" s="97"/>
      <c r="JTA28" s="97"/>
      <c r="JTB28" s="97"/>
      <c r="JTC28" s="97"/>
      <c r="JTD28" s="97"/>
      <c r="JTE28" s="97"/>
      <c r="JTF28" s="97"/>
      <c r="JTG28" s="97"/>
      <c r="JTH28" s="97"/>
      <c r="JTI28" s="97"/>
      <c r="JTJ28" s="97"/>
      <c r="JTK28" s="97"/>
      <c r="JTL28" s="97"/>
      <c r="JTM28" s="97"/>
      <c r="JTN28" s="97"/>
      <c r="JTO28" s="97"/>
      <c r="JTP28" s="97"/>
      <c r="JTQ28" s="97"/>
      <c r="JTR28" s="97"/>
      <c r="JTS28" s="97"/>
      <c r="JTT28" s="97"/>
      <c r="JTU28" s="97"/>
      <c r="JTV28" s="97"/>
      <c r="JTW28" s="97"/>
      <c r="JTX28" s="97"/>
      <c r="JTY28" s="97"/>
      <c r="JTZ28" s="97"/>
      <c r="JUA28" s="97"/>
      <c r="JUB28" s="97"/>
      <c r="JUC28" s="97"/>
      <c r="JUD28" s="97"/>
      <c r="JUE28" s="97"/>
      <c r="JUF28" s="97"/>
      <c r="JUG28" s="97"/>
      <c r="JUH28" s="97"/>
      <c r="JUI28" s="97"/>
      <c r="JUJ28" s="97"/>
      <c r="JUK28" s="97"/>
      <c r="JUL28" s="97"/>
      <c r="JUM28" s="97"/>
      <c r="JUN28" s="97"/>
      <c r="JUO28" s="97"/>
      <c r="JUP28" s="97"/>
      <c r="JUQ28" s="97"/>
      <c r="JUR28" s="97"/>
      <c r="JUS28" s="97"/>
      <c r="JUT28" s="97"/>
      <c r="JUU28" s="97"/>
      <c r="JUV28" s="97"/>
      <c r="JUW28" s="97"/>
      <c r="JUX28" s="97"/>
      <c r="JUY28" s="97"/>
      <c r="JUZ28" s="97"/>
      <c r="JVA28" s="97"/>
      <c r="JVB28" s="97"/>
      <c r="JVC28" s="97"/>
      <c r="JVD28" s="97"/>
      <c r="JVE28" s="97"/>
      <c r="JVF28" s="97"/>
      <c r="JVG28" s="97"/>
      <c r="JVH28" s="97"/>
      <c r="JVI28" s="97"/>
      <c r="JVJ28" s="97"/>
      <c r="JVK28" s="97"/>
      <c r="JVL28" s="97"/>
      <c r="JVM28" s="97"/>
      <c r="JVN28" s="97"/>
      <c r="JVO28" s="97"/>
      <c r="JVP28" s="97"/>
      <c r="JVQ28" s="97"/>
      <c r="JVR28" s="97"/>
      <c r="JVS28" s="97"/>
      <c r="JVT28" s="97"/>
      <c r="JVU28" s="97"/>
      <c r="JVV28" s="97"/>
      <c r="JVW28" s="97"/>
      <c r="JVX28" s="97"/>
      <c r="JVY28" s="97"/>
      <c r="JVZ28" s="97"/>
      <c r="JWA28" s="97"/>
      <c r="JWB28" s="97"/>
      <c r="JWC28" s="97"/>
      <c r="JWD28" s="97"/>
      <c r="JWE28" s="97"/>
      <c r="JWF28" s="97"/>
      <c r="JWG28" s="97"/>
      <c r="JWH28" s="97"/>
      <c r="JWI28" s="97"/>
      <c r="JWJ28" s="97"/>
      <c r="JWK28" s="97"/>
      <c r="JWL28" s="97"/>
      <c r="JWM28" s="97"/>
      <c r="JWN28" s="97"/>
      <c r="JWO28" s="97"/>
      <c r="JWP28" s="97"/>
      <c r="JWQ28" s="97"/>
      <c r="JWR28" s="97"/>
      <c r="JWS28" s="97"/>
      <c r="JWT28" s="97"/>
      <c r="JWU28" s="97"/>
      <c r="JWV28" s="97"/>
      <c r="JWW28" s="97"/>
      <c r="JWX28" s="97"/>
      <c r="JWY28" s="97"/>
      <c r="JWZ28" s="97"/>
      <c r="JXA28" s="97"/>
      <c r="JXB28" s="97"/>
      <c r="JXC28" s="97"/>
      <c r="JXD28" s="97"/>
      <c r="JXE28" s="97"/>
      <c r="JXF28" s="97"/>
      <c r="JXG28" s="97"/>
      <c r="JXH28" s="97"/>
      <c r="JXI28" s="97"/>
      <c r="JXJ28" s="97"/>
      <c r="JXK28" s="97"/>
      <c r="JXL28" s="97"/>
      <c r="JXM28" s="97"/>
      <c r="JXN28" s="97"/>
      <c r="JXO28" s="97"/>
      <c r="JXP28" s="97"/>
      <c r="JXQ28" s="97"/>
      <c r="JXR28" s="97"/>
      <c r="JXS28" s="97"/>
      <c r="JXT28" s="97"/>
      <c r="JXU28" s="97"/>
      <c r="JXV28" s="97"/>
      <c r="JXW28" s="97"/>
      <c r="JXX28" s="97"/>
      <c r="JXY28" s="97"/>
      <c r="JXZ28" s="97"/>
      <c r="JYA28" s="97"/>
      <c r="JYB28" s="97"/>
      <c r="JYC28" s="97"/>
      <c r="JYD28" s="97"/>
      <c r="JYE28" s="97"/>
      <c r="JYF28" s="97"/>
      <c r="JYG28" s="97"/>
      <c r="JYH28" s="97"/>
      <c r="JYI28" s="97"/>
      <c r="JYJ28" s="97"/>
      <c r="JYK28" s="97"/>
      <c r="JYL28" s="97"/>
      <c r="JYM28" s="97"/>
      <c r="JYN28" s="97"/>
      <c r="JYO28" s="97"/>
      <c r="JYP28" s="97"/>
      <c r="JYQ28" s="97"/>
      <c r="JYR28" s="97"/>
      <c r="JYS28" s="97"/>
      <c r="JYT28" s="97"/>
      <c r="JYU28" s="97"/>
      <c r="JYV28" s="97"/>
      <c r="JYW28" s="97"/>
      <c r="JYX28" s="97"/>
      <c r="JYY28" s="97"/>
      <c r="JYZ28" s="97"/>
      <c r="JZA28" s="97"/>
      <c r="JZB28" s="97"/>
      <c r="JZC28" s="97"/>
      <c r="JZD28" s="97"/>
      <c r="JZE28" s="97"/>
      <c r="JZF28" s="97"/>
      <c r="JZG28" s="97"/>
      <c r="JZH28" s="97"/>
      <c r="JZI28" s="97"/>
      <c r="JZJ28" s="97"/>
      <c r="JZK28" s="97"/>
      <c r="JZL28" s="97"/>
      <c r="JZM28" s="97"/>
      <c r="JZN28" s="97"/>
      <c r="JZO28" s="97"/>
      <c r="JZP28" s="97"/>
      <c r="JZQ28" s="97"/>
      <c r="JZR28" s="97"/>
      <c r="JZS28" s="97"/>
      <c r="JZT28" s="97"/>
      <c r="JZU28" s="97"/>
      <c r="JZV28" s="97"/>
      <c r="JZW28" s="97"/>
      <c r="JZX28" s="97"/>
      <c r="JZY28" s="97"/>
      <c r="JZZ28" s="97"/>
      <c r="KAA28" s="97"/>
      <c r="KAB28" s="97"/>
      <c r="KAC28" s="97"/>
      <c r="KAD28" s="97"/>
      <c r="KAE28" s="97"/>
      <c r="KAF28" s="97"/>
      <c r="KAG28" s="97"/>
      <c r="KAH28" s="97"/>
      <c r="KAI28" s="97"/>
      <c r="KAJ28" s="97"/>
      <c r="KAK28" s="97"/>
      <c r="KAL28" s="97"/>
      <c r="KAM28" s="97"/>
      <c r="KAN28" s="97"/>
      <c r="KAO28" s="97"/>
      <c r="KAP28" s="97"/>
      <c r="KAQ28" s="97"/>
      <c r="KAR28" s="97"/>
      <c r="KAS28" s="97"/>
      <c r="KAT28" s="97"/>
      <c r="KAU28" s="97"/>
      <c r="KAV28" s="97"/>
      <c r="KAW28" s="97"/>
      <c r="KAX28" s="97"/>
      <c r="KAY28" s="97"/>
      <c r="KAZ28" s="97"/>
      <c r="KBA28" s="97"/>
      <c r="KBB28" s="97"/>
      <c r="KBC28" s="97"/>
      <c r="KBD28" s="97"/>
      <c r="KBE28" s="97"/>
      <c r="KBF28" s="97"/>
      <c r="KBG28" s="97"/>
      <c r="KBH28" s="97"/>
      <c r="KBI28" s="97"/>
      <c r="KBJ28" s="97"/>
      <c r="KBK28" s="97"/>
      <c r="KBL28" s="97"/>
      <c r="KBM28" s="97"/>
      <c r="KBN28" s="97"/>
      <c r="KBO28" s="97"/>
      <c r="KBP28" s="97"/>
      <c r="KBQ28" s="97"/>
      <c r="KBR28" s="97"/>
      <c r="KBS28" s="97"/>
      <c r="KBT28" s="97"/>
      <c r="KBU28" s="97"/>
      <c r="KBV28" s="97"/>
      <c r="KBW28" s="97"/>
      <c r="KBX28" s="97"/>
      <c r="KBY28" s="97"/>
      <c r="KBZ28" s="97"/>
      <c r="KCA28" s="97"/>
      <c r="KCB28" s="97"/>
      <c r="KCC28" s="97"/>
      <c r="KCD28" s="97"/>
      <c r="KCE28" s="97"/>
      <c r="KCF28" s="97"/>
      <c r="KCG28" s="97"/>
      <c r="KCH28" s="97"/>
      <c r="KCI28" s="97"/>
      <c r="KCJ28" s="97"/>
      <c r="KCK28" s="97"/>
      <c r="KCL28" s="97"/>
      <c r="KCM28" s="97"/>
      <c r="KCN28" s="97"/>
      <c r="KCO28" s="97"/>
      <c r="KCP28" s="97"/>
      <c r="KCQ28" s="97"/>
      <c r="KCR28" s="97"/>
      <c r="KCS28" s="97"/>
      <c r="KCT28" s="97"/>
      <c r="KCU28" s="97"/>
      <c r="KCV28" s="97"/>
      <c r="KCW28" s="97"/>
      <c r="KCX28" s="97"/>
      <c r="KCY28" s="97"/>
      <c r="KCZ28" s="97"/>
      <c r="KDA28" s="97"/>
      <c r="KDB28" s="97"/>
      <c r="KDC28" s="97"/>
      <c r="KDD28" s="97"/>
      <c r="KDE28" s="97"/>
      <c r="KDF28" s="97"/>
      <c r="KDG28" s="97"/>
      <c r="KDH28" s="97"/>
      <c r="KDI28" s="97"/>
      <c r="KDJ28" s="97"/>
      <c r="KDK28" s="97"/>
      <c r="KDL28" s="97"/>
      <c r="KDM28" s="97"/>
      <c r="KDN28" s="97"/>
      <c r="KDO28" s="97"/>
      <c r="KDP28" s="97"/>
      <c r="KDQ28" s="97"/>
      <c r="KDR28" s="97"/>
      <c r="KDS28" s="97"/>
      <c r="KDT28" s="97"/>
      <c r="KDU28" s="97"/>
      <c r="KDV28" s="97"/>
      <c r="KDW28" s="97"/>
      <c r="KDX28" s="97"/>
      <c r="KDY28" s="97"/>
      <c r="KDZ28" s="97"/>
      <c r="KEA28" s="97"/>
      <c r="KEB28" s="97"/>
      <c r="KEC28" s="97"/>
      <c r="KED28" s="97"/>
      <c r="KEE28" s="97"/>
      <c r="KEF28" s="97"/>
      <c r="KEG28" s="97"/>
      <c r="KEH28" s="97"/>
      <c r="KEI28" s="97"/>
      <c r="KEJ28" s="97"/>
      <c r="KEK28" s="97"/>
      <c r="KEL28" s="97"/>
      <c r="KEM28" s="97"/>
      <c r="KEN28" s="97"/>
      <c r="KEO28" s="97"/>
      <c r="KEP28" s="97"/>
      <c r="KEQ28" s="97"/>
      <c r="KER28" s="97"/>
      <c r="KES28" s="97"/>
      <c r="KET28" s="97"/>
      <c r="KEU28" s="97"/>
      <c r="KEV28" s="97"/>
      <c r="KEW28" s="97"/>
      <c r="KEX28" s="97"/>
      <c r="KEY28" s="97"/>
      <c r="KEZ28" s="97"/>
      <c r="KFA28" s="97"/>
      <c r="KFB28" s="97"/>
      <c r="KFC28" s="97"/>
      <c r="KFD28" s="97"/>
      <c r="KFE28" s="97"/>
      <c r="KFF28" s="97"/>
      <c r="KFG28" s="97"/>
      <c r="KFH28" s="97"/>
      <c r="KFI28" s="97"/>
      <c r="KFJ28" s="97"/>
      <c r="KFK28" s="97"/>
      <c r="KFL28" s="97"/>
      <c r="KFM28" s="97"/>
      <c r="KFN28" s="97"/>
      <c r="KFO28" s="97"/>
      <c r="KFP28" s="97"/>
      <c r="KFQ28" s="97"/>
      <c r="KFR28" s="97"/>
      <c r="KFS28" s="97"/>
      <c r="KFT28" s="97"/>
      <c r="KFU28" s="97"/>
      <c r="KFV28" s="97"/>
      <c r="KFW28" s="97"/>
      <c r="KFX28" s="97"/>
      <c r="KFY28" s="97"/>
      <c r="KFZ28" s="97"/>
      <c r="KGA28" s="97"/>
      <c r="KGB28" s="97"/>
      <c r="KGC28" s="97"/>
      <c r="KGD28" s="97"/>
      <c r="KGE28" s="97"/>
      <c r="KGF28" s="97"/>
      <c r="KGG28" s="97"/>
      <c r="KGH28" s="97"/>
      <c r="KGI28" s="97"/>
      <c r="KGJ28" s="97"/>
      <c r="KGK28" s="97"/>
      <c r="KGL28" s="97"/>
      <c r="KGM28" s="97"/>
      <c r="KGN28" s="97"/>
      <c r="KGO28" s="97"/>
      <c r="KGP28" s="97"/>
      <c r="KGQ28" s="97"/>
      <c r="KGR28" s="97"/>
      <c r="KGS28" s="97"/>
      <c r="KGT28" s="97"/>
      <c r="KGU28" s="97"/>
      <c r="KGV28" s="97"/>
      <c r="KGW28" s="97"/>
      <c r="KGX28" s="97"/>
      <c r="KGY28" s="97"/>
      <c r="KGZ28" s="97"/>
      <c r="KHA28" s="97"/>
      <c r="KHB28" s="97"/>
      <c r="KHC28" s="97"/>
      <c r="KHD28" s="97"/>
      <c r="KHE28" s="97"/>
      <c r="KHF28" s="97"/>
      <c r="KHG28" s="97"/>
      <c r="KHH28" s="97"/>
      <c r="KHI28" s="97"/>
      <c r="KHJ28" s="97"/>
      <c r="KHK28" s="97"/>
      <c r="KHL28" s="97"/>
      <c r="KHM28" s="97"/>
      <c r="KHN28" s="97"/>
      <c r="KHO28" s="97"/>
      <c r="KHP28" s="97"/>
      <c r="KHQ28" s="97"/>
      <c r="KHR28" s="97"/>
      <c r="KHS28" s="97"/>
      <c r="KHT28" s="97"/>
      <c r="KHU28" s="97"/>
      <c r="KHV28" s="97"/>
      <c r="KHW28" s="97"/>
      <c r="KHX28" s="97"/>
      <c r="KHY28" s="97"/>
      <c r="KHZ28" s="97"/>
      <c r="KIA28" s="97"/>
      <c r="KIB28" s="97"/>
      <c r="KIC28" s="97"/>
      <c r="KID28" s="97"/>
      <c r="KIE28" s="97"/>
      <c r="KIF28" s="97"/>
      <c r="KIG28" s="97"/>
      <c r="KIH28" s="97"/>
      <c r="KII28" s="97"/>
      <c r="KIJ28" s="97"/>
      <c r="KIK28" s="97"/>
      <c r="KIL28" s="97"/>
      <c r="KIM28" s="97"/>
      <c r="KIN28" s="97"/>
      <c r="KIO28" s="97"/>
      <c r="KIP28" s="97"/>
      <c r="KIQ28" s="97"/>
      <c r="KIR28" s="97"/>
      <c r="KIS28" s="97"/>
      <c r="KIT28" s="97"/>
      <c r="KIU28" s="97"/>
      <c r="KIV28" s="97"/>
      <c r="KIW28" s="97"/>
      <c r="KIX28" s="97"/>
      <c r="KIY28" s="97"/>
      <c r="KIZ28" s="97"/>
      <c r="KJA28" s="97"/>
      <c r="KJB28" s="97"/>
      <c r="KJC28" s="97"/>
      <c r="KJD28" s="97"/>
      <c r="KJE28" s="97"/>
      <c r="KJF28" s="97"/>
      <c r="KJG28" s="97"/>
      <c r="KJH28" s="97"/>
      <c r="KJI28" s="97"/>
      <c r="KJJ28" s="97"/>
      <c r="KJK28" s="97"/>
      <c r="KJL28" s="97"/>
      <c r="KJM28" s="97"/>
      <c r="KJN28" s="97"/>
      <c r="KJO28" s="97"/>
      <c r="KJP28" s="97"/>
      <c r="KJQ28" s="97"/>
      <c r="KJR28" s="97"/>
      <c r="KJS28" s="97"/>
      <c r="KJT28" s="97"/>
      <c r="KJU28" s="97"/>
      <c r="KJV28" s="97"/>
      <c r="KJW28" s="97"/>
      <c r="KJX28" s="97"/>
      <c r="KJY28" s="97"/>
      <c r="KJZ28" s="97"/>
      <c r="KKA28" s="97"/>
      <c r="KKB28" s="97"/>
      <c r="KKC28" s="97"/>
      <c r="KKD28" s="97"/>
      <c r="KKE28" s="97"/>
      <c r="KKF28" s="97"/>
      <c r="KKG28" s="97"/>
      <c r="KKH28" s="97"/>
      <c r="KKI28" s="97"/>
      <c r="KKJ28" s="97"/>
      <c r="KKK28" s="97"/>
      <c r="KKL28" s="97"/>
      <c r="KKM28" s="97"/>
      <c r="KKN28" s="97"/>
      <c r="KKO28" s="97"/>
      <c r="KKP28" s="97"/>
      <c r="KKQ28" s="97"/>
      <c r="KKR28" s="97"/>
      <c r="KKS28" s="97"/>
      <c r="KKT28" s="97"/>
      <c r="KKU28" s="97"/>
      <c r="KKV28" s="97"/>
      <c r="KKW28" s="97"/>
      <c r="KKX28" s="97"/>
      <c r="KKY28" s="97"/>
      <c r="KKZ28" s="97"/>
      <c r="KLA28" s="97"/>
      <c r="KLB28" s="97"/>
      <c r="KLC28" s="97"/>
      <c r="KLD28" s="97"/>
      <c r="KLE28" s="97"/>
      <c r="KLF28" s="97"/>
      <c r="KLG28" s="97"/>
      <c r="KLH28" s="97"/>
      <c r="KLI28" s="97"/>
      <c r="KLJ28" s="97"/>
      <c r="KLK28" s="97"/>
      <c r="KLL28" s="97"/>
      <c r="KLM28" s="97"/>
      <c r="KLN28" s="97"/>
      <c r="KLO28" s="97"/>
      <c r="KLP28" s="97"/>
      <c r="KLQ28" s="97"/>
      <c r="KLR28" s="97"/>
      <c r="KLS28" s="97"/>
      <c r="KLT28" s="97"/>
      <c r="KLU28" s="97"/>
      <c r="KLV28" s="97"/>
      <c r="KLW28" s="97"/>
      <c r="KLX28" s="97"/>
      <c r="KLY28" s="97"/>
      <c r="KLZ28" s="97"/>
      <c r="KMA28" s="97"/>
      <c r="KMB28" s="97"/>
      <c r="KMC28" s="97"/>
      <c r="KMD28" s="97"/>
      <c r="KME28" s="97"/>
      <c r="KMF28" s="97"/>
      <c r="KMG28" s="97"/>
      <c r="KMH28" s="97"/>
      <c r="KMI28" s="97"/>
      <c r="KMJ28" s="97"/>
      <c r="KMK28" s="97"/>
      <c r="KML28" s="97"/>
      <c r="KMM28" s="97"/>
      <c r="KMN28" s="97"/>
      <c r="KMO28" s="97"/>
      <c r="KMP28" s="97"/>
      <c r="KMQ28" s="97"/>
      <c r="KMR28" s="97"/>
      <c r="KMS28" s="97"/>
      <c r="KMT28" s="97"/>
      <c r="KMU28" s="97"/>
      <c r="KMV28" s="97"/>
      <c r="KMW28" s="97"/>
      <c r="KMX28" s="97"/>
      <c r="KMY28" s="97"/>
      <c r="KMZ28" s="97"/>
      <c r="KNA28" s="97"/>
      <c r="KNB28" s="97"/>
      <c r="KNC28" s="97"/>
      <c r="KND28" s="97"/>
      <c r="KNE28" s="97"/>
      <c r="KNF28" s="97"/>
      <c r="KNG28" s="97"/>
      <c r="KNH28" s="97"/>
      <c r="KNI28" s="97"/>
      <c r="KNJ28" s="97"/>
      <c r="KNK28" s="97"/>
      <c r="KNL28" s="97"/>
      <c r="KNM28" s="97"/>
      <c r="KNN28" s="97"/>
      <c r="KNO28" s="97"/>
      <c r="KNP28" s="97"/>
      <c r="KNQ28" s="97"/>
      <c r="KNR28" s="97"/>
      <c r="KNS28" s="97"/>
      <c r="KNT28" s="97"/>
      <c r="KNU28" s="97"/>
      <c r="KNV28" s="97"/>
      <c r="KNW28" s="97"/>
      <c r="KNX28" s="97"/>
      <c r="KNY28" s="97"/>
      <c r="KNZ28" s="97"/>
      <c r="KOA28" s="97"/>
      <c r="KOB28" s="97"/>
      <c r="KOC28" s="97"/>
      <c r="KOD28" s="97"/>
      <c r="KOE28" s="97"/>
      <c r="KOF28" s="97"/>
      <c r="KOG28" s="97"/>
      <c r="KOH28" s="97"/>
      <c r="KOI28" s="97"/>
      <c r="KOJ28" s="97"/>
      <c r="KOK28" s="97"/>
      <c r="KOL28" s="97"/>
      <c r="KOM28" s="97"/>
      <c r="KON28" s="97"/>
      <c r="KOO28" s="97"/>
      <c r="KOP28" s="97"/>
      <c r="KOQ28" s="97"/>
      <c r="KOR28" s="97"/>
      <c r="KOS28" s="97"/>
      <c r="KOT28" s="97"/>
      <c r="KOU28" s="97"/>
      <c r="KOV28" s="97"/>
      <c r="KOW28" s="97"/>
      <c r="KOX28" s="97"/>
      <c r="KOY28" s="97"/>
      <c r="KOZ28" s="97"/>
      <c r="KPA28" s="97"/>
      <c r="KPB28" s="97"/>
      <c r="KPC28" s="97"/>
      <c r="KPD28" s="97"/>
      <c r="KPE28" s="97"/>
      <c r="KPF28" s="97"/>
      <c r="KPG28" s="97"/>
      <c r="KPH28" s="97"/>
      <c r="KPI28" s="97"/>
      <c r="KPJ28" s="97"/>
      <c r="KPK28" s="97"/>
      <c r="KPL28" s="97"/>
      <c r="KPM28" s="97"/>
      <c r="KPN28" s="97"/>
      <c r="KPO28" s="97"/>
      <c r="KPP28" s="97"/>
      <c r="KPQ28" s="97"/>
      <c r="KPR28" s="97"/>
      <c r="KPS28" s="97"/>
      <c r="KPT28" s="97"/>
      <c r="KPU28" s="97"/>
      <c r="KPV28" s="97"/>
      <c r="KPW28" s="97"/>
      <c r="KPX28" s="97"/>
      <c r="KPY28" s="97"/>
      <c r="KPZ28" s="97"/>
      <c r="KQA28" s="97"/>
      <c r="KQB28" s="97"/>
      <c r="KQC28" s="97"/>
      <c r="KQD28" s="97"/>
      <c r="KQE28" s="97"/>
      <c r="KQF28" s="97"/>
      <c r="KQG28" s="97"/>
      <c r="KQH28" s="97"/>
      <c r="KQI28" s="97"/>
      <c r="KQJ28" s="97"/>
      <c r="KQK28" s="97"/>
      <c r="KQL28" s="97"/>
      <c r="KQM28" s="97"/>
      <c r="KQN28" s="97"/>
      <c r="KQO28" s="97"/>
      <c r="KQP28" s="97"/>
      <c r="KQQ28" s="97"/>
      <c r="KQR28" s="97"/>
      <c r="KQS28" s="97"/>
      <c r="KQT28" s="97"/>
      <c r="KQU28" s="97"/>
      <c r="KQV28" s="97"/>
      <c r="KQW28" s="97"/>
      <c r="KQX28" s="97"/>
      <c r="KQY28" s="97"/>
      <c r="KQZ28" s="97"/>
      <c r="KRA28" s="97"/>
      <c r="KRB28" s="97"/>
      <c r="KRC28" s="97"/>
      <c r="KRD28" s="97"/>
      <c r="KRE28" s="97"/>
      <c r="KRF28" s="97"/>
      <c r="KRG28" s="97"/>
      <c r="KRH28" s="97"/>
      <c r="KRI28" s="97"/>
      <c r="KRJ28" s="97"/>
      <c r="KRK28" s="97"/>
      <c r="KRL28" s="97"/>
      <c r="KRM28" s="97"/>
      <c r="KRN28" s="97"/>
      <c r="KRO28" s="97"/>
      <c r="KRP28" s="97"/>
      <c r="KRQ28" s="97"/>
      <c r="KRR28" s="97"/>
      <c r="KRS28" s="97"/>
      <c r="KRT28" s="97"/>
      <c r="KRU28" s="97"/>
      <c r="KRV28" s="97"/>
      <c r="KRW28" s="97"/>
      <c r="KRX28" s="97"/>
      <c r="KRY28" s="97"/>
      <c r="KRZ28" s="97"/>
      <c r="KSA28" s="97"/>
      <c r="KSB28" s="97"/>
      <c r="KSC28" s="97"/>
      <c r="KSD28" s="97"/>
      <c r="KSE28" s="97"/>
      <c r="KSF28" s="97"/>
      <c r="KSG28" s="97"/>
      <c r="KSH28" s="97"/>
      <c r="KSI28" s="97"/>
      <c r="KSJ28" s="97"/>
      <c r="KSK28" s="97"/>
      <c r="KSL28" s="97"/>
      <c r="KSM28" s="97"/>
      <c r="KSN28" s="97"/>
      <c r="KSO28" s="97"/>
      <c r="KSP28" s="97"/>
      <c r="KSQ28" s="97"/>
      <c r="KSR28" s="97"/>
      <c r="KSS28" s="97"/>
      <c r="KST28" s="97"/>
      <c r="KSU28" s="97"/>
      <c r="KSV28" s="97"/>
      <c r="KSW28" s="97"/>
      <c r="KSX28" s="97"/>
      <c r="KSY28" s="97"/>
      <c r="KSZ28" s="97"/>
      <c r="KTA28" s="97"/>
      <c r="KTB28" s="97"/>
      <c r="KTC28" s="97"/>
      <c r="KTD28" s="97"/>
      <c r="KTE28" s="97"/>
      <c r="KTF28" s="97"/>
      <c r="KTG28" s="97"/>
      <c r="KTH28" s="97"/>
      <c r="KTI28" s="97"/>
      <c r="KTJ28" s="97"/>
      <c r="KTK28" s="97"/>
      <c r="KTL28" s="97"/>
      <c r="KTM28" s="97"/>
      <c r="KTN28" s="97"/>
      <c r="KTO28" s="97"/>
      <c r="KTP28" s="97"/>
      <c r="KTQ28" s="97"/>
      <c r="KTR28" s="97"/>
      <c r="KTS28" s="97"/>
      <c r="KTT28" s="97"/>
      <c r="KTU28" s="97"/>
      <c r="KTV28" s="97"/>
      <c r="KTW28" s="97"/>
      <c r="KTX28" s="97"/>
      <c r="KTY28" s="97"/>
      <c r="KTZ28" s="97"/>
      <c r="KUA28" s="97"/>
      <c r="KUB28" s="97"/>
      <c r="KUC28" s="97"/>
      <c r="KUD28" s="97"/>
      <c r="KUE28" s="97"/>
      <c r="KUF28" s="97"/>
      <c r="KUG28" s="97"/>
      <c r="KUH28" s="97"/>
      <c r="KUI28" s="97"/>
      <c r="KUJ28" s="97"/>
      <c r="KUK28" s="97"/>
      <c r="KUL28" s="97"/>
      <c r="KUM28" s="97"/>
      <c r="KUN28" s="97"/>
      <c r="KUO28" s="97"/>
      <c r="KUP28" s="97"/>
      <c r="KUQ28" s="97"/>
      <c r="KUR28" s="97"/>
      <c r="KUS28" s="97"/>
      <c r="KUT28" s="97"/>
      <c r="KUU28" s="97"/>
      <c r="KUV28" s="97"/>
      <c r="KUW28" s="97"/>
      <c r="KUX28" s="97"/>
      <c r="KUY28" s="97"/>
      <c r="KUZ28" s="97"/>
      <c r="KVA28" s="97"/>
      <c r="KVB28" s="97"/>
      <c r="KVC28" s="97"/>
      <c r="KVD28" s="97"/>
      <c r="KVE28" s="97"/>
      <c r="KVF28" s="97"/>
      <c r="KVG28" s="97"/>
      <c r="KVH28" s="97"/>
      <c r="KVI28" s="97"/>
      <c r="KVJ28" s="97"/>
      <c r="KVK28" s="97"/>
      <c r="KVL28" s="97"/>
      <c r="KVM28" s="97"/>
      <c r="KVN28" s="97"/>
      <c r="KVO28" s="97"/>
      <c r="KVP28" s="97"/>
      <c r="KVQ28" s="97"/>
      <c r="KVR28" s="97"/>
      <c r="KVS28" s="97"/>
      <c r="KVT28" s="97"/>
      <c r="KVU28" s="97"/>
      <c r="KVV28" s="97"/>
      <c r="KVW28" s="97"/>
      <c r="KVX28" s="97"/>
      <c r="KVY28" s="97"/>
      <c r="KVZ28" s="97"/>
      <c r="KWA28" s="97"/>
      <c r="KWB28" s="97"/>
      <c r="KWC28" s="97"/>
      <c r="KWD28" s="97"/>
      <c r="KWE28" s="97"/>
      <c r="KWF28" s="97"/>
      <c r="KWG28" s="97"/>
      <c r="KWH28" s="97"/>
      <c r="KWI28" s="97"/>
      <c r="KWJ28" s="97"/>
      <c r="KWK28" s="97"/>
      <c r="KWL28" s="97"/>
      <c r="KWM28" s="97"/>
      <c r="KWN28" s="97"/>
      <c r="KWO28" s="97"/>
      <c r="KWP28" s="97"/>
      <c r="KWQ28" s="97"/>
      <c r="KWR28" s="97"/>
      <c r="KWS28" s="97"/>
      <c r="KWT28" s="97"/>
      <c r="KWU28" s="97"/>
      <c r="KWV28" s="97"/>
      <c r="KWW28" s="97"/>
      <c r="KWX28" s="97"/>
      <c r="KWY28" s="97"/>
      <c r="KWZ28" s="97"/>
      <c r="KXA28" s="97"/>
      <c r="KXB28" s="97"/>
      <c r="KXC28" s="97"/>
      <c r="KXD28" s="97"/>
      <c r="KXE28" s="97"/>
      <c r="KXF28" s="97"/>
      <c r="KXG28" s="97"/>
      <c r="KXH28" s="97"/>
      <c r="KXI28" s="97"/>
      <c r="KXJ28" s="97"/>
      <c r="KXK28" s="97"/>
      <c r="KXL28" s="97"/>
      <c r="KXM28" s="97"/>
      <c r="KXN28" s="97"/>
      <c r="KXO28" s="97"/>
      <c r="KXP28" s="97"/>
      <c r="KXQ28" s="97"/>
      <c r="KXR28" s="97"/>
      <c r="KXS28" s="97"/>
      <c r="KXT28" s="97"/>
      <c r="KXU28" s="97"/>
      <c r="KXV28" s="97"/>
      <c r="KXW28" s="97"/>
      <c r="KXX28" s="97"/>
      <c r="KXY28" s="97"/>
      <c r="KXZ28" s="97"/>
      <c r="KYA28" s="97"/>
      <c r="KYB28" s="97"/>
      <c r="KYC28" s="97"/>
      <c r="KYD28" s="97"/>
      <c r="KYE28" s="97"/>
      <c r="KYF28" s="97"/>
      <c r="KYG28" s="97"/>
      <c r="KYH28" s="97"/>
      <c r="KYI28" s="97"/>
      <c r="KYJ28" s="97"/>
      <c r="KYK28" s="97"/>
      <c r="KYL28" s="97"/>
      <c r="KYM28" s="97"/>
      <c r="KYN28" s="97"/>
      <c r="KYO28" s="97"/>
      <c r="KYP28" s="97"/>
      <c r="KYQ28" s="97"/>
      <c r="KYR28" s="97"/>
      <c r="KYS28" s="97"/>
      <c r="KYT28" s="97"/>
      <c r="KYU28" s="97"/>
      <c r="KYV28" s="97"/>
      <c r="KYW28" s="97"/>
      <c r="KYX28" s="97"/>
      <c r="KYY28" s="97"/>
      <c r="KYZ28" s="97"/>
      <c r="KZA28" s="97"/>
      <c r="KZB28" s="97"/>
      <c r="KZC28" s="97"/>
      <c r="KZD28" s="97"/>
      <c r="KZE28" s="97"/>
      <c r="KZF28" s="97"/>
      <c r="KZG28" s="97"/>
      <c r="KZH28" s="97"/>
      <c r="KZI28" s="97"/>
      <c r="KZJ28" s="97"/>
      <c r="KZK28" s="97"/>
      <c r="KZL28" s="97"/>
      <c r="KZM28" s="97"/>
      <c r="KZN28" s="97"/>
      <c r="KZO28" s="97"/>
      <c r="KZP28" s="97"/>
      <c r="KZQ28" s="97"/>
      <c r="KZR28" s="97"/>
      <c r="KZS28" s="97"/>
      <c r="KZT28" s="97"/>
      <c r="KZU28" s="97"/>
      <c r="KZV28" s="97"/>
      <c r="KZW28" s="97"/>
      <c r="KZX28" s="97"/>
      <c r="KZY28" s="97"/>
      <c r="KZZ28" s="97"/>
      <c r="LAA28" s="97"/>
      <c r="LAB28" s="97"/>
      <c r="LAC28" s="97"/>
      <c r="LAD28" s="97"/>
      <c r="LAE28" s="97"/>
      <c r="LAF28" s="97"/>
      <c r="LAG28" s="97"/>
      <c r="LAH28" s="97"/>
      <c r="LAI28" s="97"/>
      <c r="LAJ28" s="97"/>
      <c r="LAK28" s="97"/>
      <c r="LAL28" s="97"/>
      <c r="LAM28" s="97"/>
      <c r="LAN28" s="97"/>
      <c r="LAO28" s="97"/>
      <c r="LAP28" s="97"/>
      <c r="LAQ28" s="97"/>
      <c r="LAR28" s="97"/>
      <c r="LAS28" s="97"/>
      <c r="LAT28" s="97"/>
      <c r="LAU28" s="97"/>
      <c r="LAV28" s="97"/>
      <c r="LAW28" s="97"/>
      <c r="LAX28" s="97"/>
      <c r="LAY28" s="97"/>
      <c r="LAZ28" s="97"/>
      <c r="LBA28" s="97"/>
      <c r="LBB28" s="97"/>
      <c r="LBC28" s="97"/>
      <c r="LBD28" s="97"/>
      <c r="LBE28" s="97"/>
      <c r="LBF28" s="97"/>
      <c r="LBG28" s="97"/>
      <c r="LBH28" s="97"/>
      <c r="LBI28" s="97"/>
      <c r="LBJ28" s="97"/>
      <c r="LBK28" s="97"/>
      <c r="LBL28" s="97"/>
      <c r="LBM28" s="97"/>
      <c r="LBN28" s="97"/>
      <c r="LBO28" s="97"/>
      <c r="LBP28" s="97"/>
      <c r="LBQ28" s="97"/>
      <c r="LBR28" s="97"/>
      <c r="LBS28" s="97"/>
      <c r="LBT28" s="97"/>
      <c r="LBU28" s="97"/>
      <c r="LBV28" s="97"/>
      <c r="LBW28" s="97"/>
      <c r="LBX28" s="97"/>
      <c r="LBY28" s="97"/>
      <c r="LBZ28" s="97"/>
      <c r="LCA28" s="97"/>
      <c r="LCB28" s="97"/>
      <c r="LCC28" s="97"/>
      <c r="LCD28" s="97"/>
      <c r="LCE28" s="97"/>
      <c r="LCF28" s="97"/>
      <c r="LCG28" s="97"/>
      <c r="LCH28" s="97"/>
      <c r="LCI28" s="97"/>
      <c r="LCJ28" s="97"/>
      <c r="LCK28" s="97"/>
      <c r="LCL28" s="97"/>
      <c r="LCM28" s="97"/>
      <c r="LCN28" s="97"/>
      <c r="LCO28" s="97"/>
      <c r="LCP28" s="97"/>
      <c r="LCQ28" s="97"/>
      <c r="LCR28" s="97"/>
      <c r="LCS28" s="97"/>
      <c r="LCT28" s="97"/>
      <c r="LCU28" s="97"/>
      <c r="LCV28" s="97"/>
      <c r="LCW28" s="97"/>
      <c r="LCX28" s="97"/>
      <c r="LCY28" s="97"/>
      <c r="LCZ28" s="97"/>
      <c r="LDA28" s="97"/>
      <c r="LDB28" s="97"/>
      <c r="LDC28" s="97"/>
      <c r="LDD28" s="97"/>
      <c r="LDE28" s="97"/>
      <c r="LDF28" s="97"/>
      <c r="LDG28" s="97"/>
      <c r="LDH28" s="97"/>
      <c r="LDI28" s="97"/>
      <c r="LDJ28" s="97"/>
      <c r="LDK28" s="97"/>
      <c r="LDL28" s="97"/>
      <c r="LDM28" s="97"/>
      <c r="LDN28" s="97"/>
      <c r="LDO28" s="97"/>
      <c r="LDP28" s="97"/>
      <c r="LDQ28" s="97"/>
      <c r="LDR28" s="97"/>
      <c r="LDS28" s="97"/>
      <c r="LDT28" s="97"/>
      <c r="LDU28" s="97"/>
      <c r="LDV28" s="97"/>
      <c r="LDW28" s="97"/>
      <c r="LDX28" s="97"/>
      <c r="LDY28" s="97"/>
      <c r="LDZ28" s="97"/>
      <c r="LEA28" s="97"/>
      <c r="LEB28" s="97"/>
      <c r="LEC28" s="97"/>
      <c r="LED28" s="97"/>
      <c r="LEE28" s="97"/>
      <c r="LEF28" s="97"/>
      <c r="LEG28" s="97"/>
      <c r="LEH28" s="97"/>
      <c r="LEI28" s="97"/>
      <c r="LEJ28" s="97"/>
      <c r="LEK28" s="97"/>
      <c r="LEL28" s="97"/>
      <c r="LEM28" s="97"/>
      <c r="LEN28" s="97"/>
      <c r="LEO28" s="97"/>
      <c r="LEP28" s="97"/>
      <c r="LEQ28" s="97"/>
      <c r="LER28" s="97"/>
      <c r="LES28" s="97"/>
      <c r="LET28" s="97"/>
      <c r="LEU28" s="97"/>
      <c r="LEV28" s="97"/>
      <c r="LEW28" s="97"/>
      <c r="LEX28" s="97"/>
      <c r="LEY28" s="97"/>
      <c r="LEZ28" s="97"/>
      <c r="LFA28" s="97"/>
      <c r="LFB28" s="97"/>
      <c r="LFC28" s="97"/>
      <c r="LFD28" s="97"/>
      <c r="LFE28" s="97"/>
      <c r="LFF28" s="97"/>
      <c r="LFG28" s="97"/>
      <c r="LFH28" s="97"/>
      <c r="LFI28" s="97"/>
      <c r="LFJ28" s="97"/>
      <c r="LFK28" s="97"/>
      <c r="LFL28" s="97"/>
      <c r="LFM28" s="97"/>
      <c r="LFN28" s="97"/>
      <c r="LFO28" s="97"/>
      <c r="LFP28" s="97"/>
      <c r="LFQ28" s="97"/>
      <c r="LFR28" s="97"/>
      <c r="LFS28" s="97"/>
      <c r="LFT28" s="97"/>
      <c r="LFU28" s="97"/>
      <c r="LFV28" s="97"/>
      <c r="LFW28" s="97"/>
      <c r="LFX28" s="97"/>
      <c r="LFY28" s="97"/>
      <c r="LFZ28" s="97"/>
      <c r="LGA28" s="97"/>
      <c r="LGB28" s="97"/>
      <c r="LGC28" s="97"/>
      <c r="LGD28" s="97"/>
      <c r="LGE28" s="97"/>
      <c r="LGF28" s="97"/>
      <c r="LGG28" s="97"/>
      <c r="LGH28" s="97"/>
      <c r="LGI28" s="97"/>
      <c r="LGJ28" s="97"/>
      <c r="LGK28" s="97"/>
      <c r="LGL28" s="97"/>
      <c r="LGM28" s="97"/>
      <c r="LGN28" s="97"/>
      <c r="LGO28" s="97"/>
      <c r="LGP28" s="97"/>
      <c r="LGQ28" s="97"/>
      <c r="LGR28" s="97"/>
      <c r="LGS28" s="97"/>
      <c r="LGT28" s="97"/>
      <c r="LGU28" s="97"/>
      <c r="LGV28" s="97"/>
      <c r="LGW28" s="97"/>
      <c r="LGX28" s="97"/>
      <c r="LGY28" s="97"/>
      <c r="LGZ28" s="97"/>
      <c r="LHA28" s="97"/>
      <c r="LHB28" s="97"/>
      <c r="LHC28" s="97"/>
      <c r="LHD28" s="97"/>
      <c r="LHE28" s="97"/>
      <c r="LHF28" s="97"/>
      <c r="LHG28" s="97"/>
      <c r="LHH28" s="97"/>
      <c r="LHI28" s="97"/>
      <c r="LHJ28" s="97"/>
      <c r="LHK28" s="97"/>
      <c r="LHL28" s="97"/>
      <c r="LHM28" s="97"/>
      <c r="LHN28" s="97"/>
      <c r="LHO28" s="97"/>
      <c r="LHP28" s="97"/>
      <c r="LHQ28" s="97"/>
      <c r="LHR28" s="97"/>
      <c r="LHS28" s="97"/>
      <c r="LHT28" s="97"/>
      <c r="LHU28" s="97"/>
      <c r="LHV28" s="97"/>
      <c r="LHW28" s="97"/>
      <c r="LHX28" s="97"/>
      <c r="LHY28" s="97"/>
      <c r="LHZ28" s="97"/>
      <c r="LIA28" s="97"/>
      <c r="LIB28" s="97"/>
      <c r="LIC28" s="97"/>
      <c r="LID28" s="97"/>
      <c r="LIE28" s="97"/>
      <c r="LIF28" s="97"/>
      <c r="LIG28" s="97"/>
      <c r="LIH28" s="97"/>
      <c r="LII28" s="97"/>
      <c r="LIJ28" s="97"/>
      <c r="LIK28" s="97"/>
      <c r="LIL28" s="97"/>
      <c r="LIM28" s="97"/>
      <c r="LIN28" s="97"/>
      <c r="LIO28" s="97"/>
      <c r="LIP28" s="97"/>
      <c r="LIQ28" s="97"/>
      <c r="LIR28" s="97"/>
      <c r="LIS28" s="97"/>
      <c r="LIT28" s="97"/>
      <c r="LIU28" s="97"/>
      <c r="LIV28" s="97"/>
      <c r="LIW28" s="97"/>
      <c r="LIX28" s="97"/>
      <c r="LIY28" s="97"/>
      <c r="LIZ28" s="97"/>
      <c r="LJA28" s="97"/>
      <c r="LJB28" s="97"/>
      <c r="LJC28" s="97"/>
      <c r="LJD28" s="97"/>
      <c r="LJE28" s="97"/>
      <c r="LJF28" s="97"/>
      <c r="LJG28" s="97"/>
      <c r="LJH28" s="97"/>
      <c r="LJI28" s="97"/>
      <c r="LJJ28" s="97"/>
      <c r="LJK28" s="97"/>
      <c r="LJL28" s="97"/>
      <c r="LJM28" s="97"/>
      <c r="LJN28" s="97"/>
      <c r="LJO28" s="97"/>
      <c r="LJP28" s="97"/>
      <c r="LJQ28" s="97"/>
      <c r="LJR28" s="97"/>
      <c r="LJS28" s="97"/>
      <c r="LJT28" s="97"/>
      <c r="LJU28" s="97"/>
      <c r="LJV28" s="97"/>
      <c r="LJW28" s="97"/>
      <c r="LJX28" s="97"/>
      <c r="LJY28" s="97"/>
      <c r="LJZ28" s="97"/>
      <c r="LKA28" s="97"/>
      <c r="LKB28" s="97"/>
      <c r="LKC28" s="97"/>
      <c r="LKD28" s="97"/>
      <c r="LKE28" s="97"/>
      <c r="LKF28" s="97"/>
      <c r="LKG28" s="97"/>
      <c r="LKH28" s="97"/>
      <c r="LKI28" s="97"/>
      <c r="LKJ28" s="97"/>
      <c r="LKK28" s="97"/>
      <c r="LKL28" s="97"/>
      <c r="LKM28" s="97"/>
      <c r="LKN28" s="97"/>
      <c r="LKO28" s="97"/>
      <c r="LKP28" s="97"/>
      <c r="LKQ28" s="97"/>
      <c r="LKR28" s="97"/>
      <c r="LKS28" s="97"/>
      <c r="LKT28" s="97"/>
      <c r="LKU28" s="97"/>
      <c r="LKV28" s="97"/>
      <c r="LKW28" s="97"/>
      <c r="LKX28" s="97"/>
      <c r="LKY28" s="97"/>
      <c r="LKZ28" s="97"/>
      <c r="LLA28" s="97"/>
      <c r="LLB28" s="97"/>
      <c r="LLC28" s="97"/>
      <c r="LLD28" s="97"/>
      <c r="LLE28" s="97"/>
      <c r="LLF28" s="97"/>
      <c r="LLG28" s="97"/>
      <c r="LLH28" s="97"/>
      <c r="LLI28" s="97"/>
      <c r="LLJ28" s="97"/>
      <c r="LLK28" s="97"/>
      <c r="LLL28" s="97"/>
      <c r="LLM28" s="97"/>
      <c r="LLN28" s="97"/>
      <c r="LLO28" s="97"/>
      <c r="LLP28" s="97"/>
      <c r="LLQ28" s="97"/>
      <c r="LLR28" s="97"/>
      <c r="LLS28" s="97"/>
      <c r="LLT28" s="97"/>
      <c r="LLU28" s="97"/>
      <c r="LLV28" s="97"/>
      <c r="LLW28" s="97"/>
      <c r="LLX28" s="97"/>
      <c r="LLY28" s="97"/>
      <c r="LLZ28" s="97"/>
      <c r="LMA28" s="97"/>
      <c r="LMB28" s="97"/>
      <c r="LMC28" s="97"/>
      <c r="LMD28" s="97"/>
      <c r="LME28" s="97"/>
      <c r="LMF28" s="97"/>
      <c r="LMG28" s="97"/>
      <c r="LMH28" s="97"/>
      <c r="LMI28" s="97"/>
      <c r="LMJ28" s="97"/>
      <c r="LMK28" s="97"/>
      <c r="LML28" s="97"/>
      <c r="LMM28" s="97"/>
      <c r="LMN28" s="97"/>
      <c r="LMO28" s="97"/>
      <c r="LMP28" s="97"/>
      <c r="LMQ28" s="97"/>
      <c r="LMR28" s="97"/>
      <c r="LMS28" s="97"/>
      <c r="LMT28" s="97"/>
      <c r="LMU28" s="97"/>
      <c r="LMV28" s="97"/>
      <c r="LMW28" s="97"/>
      <c r="LMX28" s="97"/>
      <c r="LMY28" s="97"/>
      <c r="LMZ28" s="97"/>
      <c r="LNA28" s="97"/>
      <c r="LNB28" s="97"/>
      <c r="LNC28" s="97"/>
      <c r="LND28" s="97"/>
      <c r="LNE28" s="97"/>
      <c r="LNF28" s="97"/>
      <c r="LNG28" s="97"/>
      <c r="LNH28" s="97"/>
      <c r="LNI28" s="97"/>
      <c r="LNJ28" s="97"/>
      <c r="LNK28" s="97"/>
      <c r="LNL28" s="97"/>
      <c r="LNM28" s="97"/>
      <c r="LNN28" s="97"/>
      <c r="LNO28" s="97"/>
      <c r="LNP28" s="97"/>
      <c r="LNQ28" s="97"/>
      <c r="LNR28" s="97"/>
      <c r="LNS28" s="97"/>
      <c r="LNT28" s="97"/>
      <c r="LNU28" s="97"/>
      <c r="LNV28" s="97"/>
      <c r="LNW28" s="97"/>
      <c r="LNX28" s="97"/>
      <c r="LNY28" s="97"/>
      <c r="LNZ28" s="97"/>
      <c r="LOA28" s="97"/>
      <c r="LOB28" s="97"/>
      <c r="LOC28" s="97"/>
      <c r="LOD28" s="97"/>
      <c r="LOE28" s="97"/>
      <c r="LOF28" s="97"/>
      <c r="LOG28" s="97"/>
      <c r="LOH28" s="97"/>
      <c r="LOI28" s="97"/>
      <c r="LOJ28" s="97"/>
      <c r="LOK28" s="97"/>
      <c r="LOL28" s="97"/>
      <c r="LOM28" s="97"/>
      <c r="LON28" s="97"/>
      <c r="LOO28" s="97"/>
      <c r="LOP28" s="97"/>
      <c r="LOQ28" s="97"/>
      <c r="LOR28" s="97"/>
      <c r="LOS28" s="97"/>
      <c r="LOT28" s="97"/>
      <c r="LOU28" s="97"/>
      <c r="LOV28" s="97"/>
      <c r="LOW28" s="97"/>
      <c r="LOX28" s="97"/>
      <c r="LOY28" s="97"/>
      <c r="LOZ28" s="97"/>
      <c r="LPA28" s="97"/>
      <c r="LPB28" s="97"/>
      <c r="LPC28" s="97"/>
      <c r="LPD28" s="97"/>
      <c r="LPE28" s="97"/>
      <c r="LPF28" s="97"/>
      <c r="LPG28" s="97"/>
      <c r="LPH28" s="97"/>
      <c r="LPI28" s="97"/>
      <c r="LPJ28" s="97"/>
      <c r="LPK28" s="97"/>
      <c r="LPL28" s="97"/>
      <c r="LPM28" s="97"/>
      <c r="LPN28" s="97"/>
      <c r="LPO28" s="97"/>
      <c r="LPP28" s="97"/>
      <c r="LPQ28" s="97"/>
      <c r="LPR28" s="97"/>
      <c r="LPS28" s="97"/>
      <c r="LPT28" s="97"/>
      <c r="LPU28" s="97"/>
      <c r="LPV28" s="97"/>
      <c r="LPW28" s="97"/>
      <c r="LPX28" s="97"/>
      <c r="LPY28" s="97"/>
      <c r="LPZ28" s="97"/>
      <c r="LQA28" s="97"/>
      <c r="LQB28" s="97"/>
      <c r="LQC28" s="97"/>
      <c r="LQD28" s="97"/>
      <c r="LQE28" s="97"/>
      <c r="LQF28" s="97"/>
      <c r="LQG28" s="97"/>
      <c r="LQH28" s="97"/>
      <c r="LQI28" s="97"/>
      <c r="LQJ28" s="97"/>
      <c r="LQK28" s="97"/>
      <c r="LQL28" s="97"/>
      <c r="LQM28" s="97"/>
      <c r="LQN28" s="97"/>
      <c r="LQO28" s="97"/>
      <c r="LQP28" s="97"/>
      <c r="LQQ28" s="97"/>
      <c r="LQR28" s="97"/>
      <c r="LQS28" s="97"/>
      <c r="LQT28" s="97"/>
      <c r="LQU28" s="97"/>
      <c r="LQV28" s="97"/>
      <c r="LQW28" s="97"/>
      <c r="LQX28" s="97"/>
      <c r="LQY28" s="97"/>
      <c r="LQZ28" s="97"/>
      <c r="LRA28" s="97"/>
      <c r="LRB28" s="97"/>
      <c r="LRC28" s="97"/>
      <c r="LRD28" s="97"/>
      <c r="LRE28" s="97"/>
      <c r="LRF28" s="97"/>
      <c r="LRG28" s="97"/>
      <c r="LRH28" s="97"/>
      <c r="LRI28" s="97"/>
      <c r="LRJ28" s="97"/>
      <c r="LRK28" s="97"/>
      <c r="LRL28" s="97"/>
      <c r="LRM28" s="97"/>
      <c r="LRN28" s="97"/>
      <c r="LRO28" s="97"/>
      <c r="LRP28" s="97"/>
      <c r="LRQ28" s="97"/>
      <c r="LRR28" s="97"/>
      <c r="LRS28" s="97"/>
      <c r="LRT28" s="97"/>
      <c r="LRU28" s="97"/>
      <c r="LRV28" s="97"/>
      <c r="LRW28" s="97"/>
      <c r="LRX28" s="97"/>
      <c r="LRY28" s="97"/>
      <c r="LRZ28" s="97"/>
      <c r="LSA28" s="97"/>
      <c r="LSB28" s="97"/>
      <c r="LSC28" s="97"/>
      <c r="LSD28" s="97"/>
      <c r="LSE28" s="97"/>
      <c r="LSF28" s="97"/>
      <c r="LSG28" s="97"/>
      <c r="LSH28" s="97"/>
      <c r="LSI28" s="97"/>
      <c r="LSJ28" s="97"/>
      <c r="LSK28" s="97"/>
      <c r="LSL28" s="97"/>
      <c r="LSM28" s="97"/>
      <c r="LSN28" s="97"/>
      <c r="LSO28" s="97"/>
      <c r="LSP28" s="97"/>
      <c r="LSQ28" s="97"/>
      <c r="LSR28" s="97"/>
      <c r="LSS28" s="97"/>
      <c r="LST28" s="97"/>
      <c r="LSU28" s="97"/>
      <c r="LSV28" s="97"/>
      <c r="LSW28" s="97"/>
      <c r="LSX28" s="97"/>
      <c r="LSY28" s="97"/>
      <c r="LSZ28" s="97"/>
      <c r="LTA28" s="97"/>
      <c r="LTB28" s="97"/>
      <c r="LTC28" s="97"/>
      <c r="LTD28" s="97"/>
      <c r="LTE28" s="97"/>
      <c r="LTF28" s="97"/>
      <c r="LTG28" s="97"/>
      <c r="LTH28" s="97"/>
      <c r="LTI28" s="97"/>
      <c r="LTJ28" s="97"/>
      <c r="LTK28" s="97"/>
      <c r="LTL28" s="97"/>
      <c r="LTM28" s="97"/>
      <c r="LTN28" s="97"/>
      <c r="LTO28" s="97"/>
      <c r="LTP28" s="97"/>
      <c r="LTQ28" s="97"/>
      <c r="LTR28" s="97"/>
      <c r="LTS28" s="97"/>
      <c r="LTT28" s="97"/>
      <c r="LTU28" s="97"/>
      <c r="LTV28" s="97"/>
      <c r="LTW28" s="97"/>
      <c r="LTX28" s="97"/>
      <c r="LTY28" s="97"/>
      <c r="LTZ28" s="97"/>
      <c r="LUA28" s="97"/>
      <c r="LUB28" s="97"/>
      <c r="LUC28" s="97"/>
      <c r="LUD28" s="97"/>
      <c r="LUE28" s="97"/>
      <c r="LUF28" s="97"/>
      <c r="LUG28" s="97"/>
      <c r="LUH28" s="97"/>
      <c r="LUI28" s="97"/>
      <c r="LUJ28" s="97"/>
      <c r="LUK28" s="97"/>
      <c r="LUL28" s="97"/>
      <c r="LUM28" s="97"/>
      <c r="LUN28" s="97"/>
      <c r="LUO28" s="97"/>
      <c r="LUP28" s="97"/>
      <c r="LUQ28" s="97"/>
      <c r="LUR28" s="97"/>
      <c r="LUS28" s="97"/>
      <c r="LUT28" s="97"/>
      <c r="LUU28" s="97"/>
      <c r="LUV28" s="97"/>
      <c r="LUW28" s="97"/>
      <c r="LUX28" s="97"/>
      <c r="LUY28" s="97"/>
      <c r="LUZ28" s="97"/>
      <c r="LVA28" s="97"/>
      <c r="LVB28" s="97"/>
      <c r="LVC28" s="97"/>
      <c r="LVD28" s="97"/>
      <c r="LVE28" s="97"/>
      <c r="LVF28" s="97"/>
      <c r="LVG28" s="97"/>
      <c r="LVH28" s="97"/>
      <c r="LVI28" s="97"/>
      <c r="LVJ28" s="97"/>
      <c r="LVK28" s="97"/>
      <c r="LVL28" s="97"/>
      <c r="LVM28" s="97"/>
      <c r="LVN28" s="97"/>
      <c r="LVO28" s="97"/>
      <c r="LVP28" s="97"/>
      <c r="LVQ28" s="97"/>
      <c r="LVR28" s="97"/>
      <c r="LVS28" s="97"/>
      <c r="LVT28" s="97"/>
      <c r="LVU28" s="97"/>
      <c r="LVV28" s="97"/>
      <c r="LVW28" s="97"/>
      <c r="LVX28" s="97"/>
      <c r="LVY28" s="97"/>
      <c r="LVZ28" s="97"/>
      <c r="LWA28" s="97"/>
      <c r="LWB28" s="97"/>
      <c r="LWC28" s="97"/>
      <c r="LWD28" s="97"/>
      <c r="LWE28" s="97"/>
      <c r="LWF28" s="97"/>
      <c r="LWG28" s="97"/>
      <c r="LWH28" s="97"/>
      <c r="LWI28" s="97"/>
      <c r="LWJ28" s="97"/>
      <c r="LWK28" s="97"/>
      <c r="LWL28" s="97"/>
      <c r="LWM28" s="97"/>
      <c r="LWN28" s="97"/>
      <c r="LWO28" s="97"/>
      <c r="LWP28" s="97"/>
      <c r="LWQ28" s="97"/>
      <c r="LWR28" s="97"/>
      <c r="LWS28" s="97"/>
      <c r="LWT28" s="97"/>
      <c r="LWU28" s="97"/>
      <c r="LWV28" s="97"/>
      <c r="LWW28" s="97"/>
      <c r="LWX28" s="97"/>
      <c r="LWY28" s="97"/>
      <c r="LWZ28" s="97"/>
      <c r="LXA28" s="97"/>
      <c r="LXB28" s="97"/>
      <c r="LXC28" s="97"/>
      <c r="LXD28" s="97"/>
      <c r="LXE28" s="97"/>
      <c r="LXF28" s="97"/>
      <c r="LXG28" s="97"/>
      <c r="LXH28" s="97"/>
      <c r="LXI28" s="97"/>
      <c r="LXJ28" s="97"/>
      <c r="LXK28" s="97"/>
      <c r="LXL28" s="97"/>
      <c r="LXM28" s="97"/>
      <c r="LXN28" s="97"/>
      <c r="LXO28" s="97"/>
      <c r="LXP28" s="97"/>
      <c r="LXQ28" s="97"/>
      <c r="LXR28" s="97"/>
      <c r="LXS28" s="97"/>
      <c r="LXT28" s="97"/>
      <c r="LXU28" s="97"/>
      <c r="LXV28" s="97"/>
      <c r="LXW28" s="97"/>
      <c r="LXX28" s="97"/>
      <c r="LXY28" s="97"/>
      <c r="LXZ28" s="97"/>
      <c r="LYA28" s="97"/>
      <c r="LYB28" s="97"/>
      <c r="LYC28" s="97"/>
      <c r="LYD28" s="97"/>
      <c r="LYE28" s="97"/>
      <c r="LYF28" s="97"/>
      <c r="LYG28" s="97"/>
      <c r="LYH28" s="97"/>
      <c r="LYI28" s="97"/>
      <c r="LYJ28" s="97"/>
      <c r="LYK28" s="97"/>
      <c r="LYL28" s="97"/>
      <c r="LYM28" s="97"/>
      <c r="LYN28" s="97"/>
      <c r="LYO28" s="97"/>
      <c r="LYP28" s="97"/>
      <c r="LYQ28" s="97"/>
      <c r="LYR28" s="97"/>
      <c r="LYS28" s="97"/>
      <c r="LYT28" s="97"/>
      <c r="LYU28" s="97"/>
      <c r="LYV28" s="97"/>
      <c r="LYW28" s="97"/>
      <c r="LYX28" s="97"/>
      <c r="LYY28" s="97"/>
      <c r="LYZ28" s="97"/>
      <c r="LZA28" s="97"/>
      <c r="LZB28" s="97"/>
      <c r="LZC28" s="97"/>
      <c r="LZD28" s="97"/>
      <c r="LZE28" s="97"/>
      <c r="LZF28" s="97"/>
      <c r="LZG28" s="97"/>
      <c r="LZH28" s="97"/>
      <c r="LZI28" s="97"/>
      <c r="LZJ28" s="97"/>
      <c r="LZK28" s="97"/>
      <c r="LZL28" s="97"/>
      <c r="LZM28" s="97"/>
      <c r="LZN28" s="97"/>
      <c r="LZO28" s="97"/>
      <c r="LZP28" s="97"/>
      <c r="LZQ28" s="97"/>
      <c r="LZR28" s="97"/>
      <c r="LZS28" s="97"/>
      <c r="LZT28" s="97"/>
      <c r="LZU28" s="97"/>
      <c r="LZV28" s="97"/>
      <c r="LZW28" s="97"/>
      <c r="LZX28" s="97"/>
      <c r="LZY28" s="97"/>
      <c r="LZZ28" s="97"/>
      <c r="MAA28" s="97"/>
      <c r="MAB28" s="97"/>
      <c r="MAC28" s="97"/>
      <c r="MAD28" s="97"/>
      <c r="MAE28" s="97"/>
      <c r="MAF28" s="97"/>
      <c r="MAG28" s="97"/>
      <c r="MAH28" s="97"/>
      <c r="MAI28" s="97"/>
      <c r="MAJ28" s="97"/>
      <c r="MAK28" s="97"/>
      <c r="MAL28" s="97"/>
      <c r="MAM28" s="97"/>
      <c r="MAN28" s="97"/>
      <c r="MAO28" s="97"/>
      <c r="MAP28" s="97"/>
      <c r="MAQ28" s="97"/>
      <c r="MAR28" s="97"/>
      <c r="MAS28" s="97"/>
      <c r="MAT28" s="97"/>
      <c r="MAU28" s="97"/>
      <c r="MAV28" s="97"/>
      <c r="MAW28" s="97"/>
      <c r="MAX28" s="97"/>
      <c r="MAY28" s="97"/>
      <c r="MAZ28" s="97"/>
      <c r="MBA28" s="97"/>
      <c r="MBB28" s="97"/>
      <c r="MBC28" s="97"/>
      <c r="MBD28" s="97"/>
      <c r="MBE28" s="97"/>
      <c r="MBF28" s="97"/>
      <c r="MBG28" s="97"/>
      <c r="MBH28" s="97"/>
      <c r="MBI28" s="97"/>
      <c r="MBJ28" s="97"/>
      <c r="MBK28" s="97"/>
      <c r="MBL28" s="97"/>
      <c r="MBM28" s="97"/>
      <c r="MBN28" s="97"/>
      <c r="MBO28" s="97"/>
      <c r="MBP28" s="97"/>
      <c r="MBQ28" s="97"/>
      <c r="MBR28" s="97"/>
      <c r="MBS28" s="97"/>
      <c r="MBT28" s="97"/>
      <c r="MBU28" s="97"/>
      <c r="MBV28" s="97"/>
      <c r="MBW28" s="97"/>
      <c r="MBX28" s="97"/>
      <c r="MBY28" s="97"/>
      <c r="MBZ28" s="97"/>
      <c r="MCA28" s="97"/>
      <c r="MCB28" s="97"/>
      <c r="MCC28" s="97"/>
      <c r="MCD28" s="97"/>
      <c r="MCE28" s="97"/>
      <c r="MCF28" s="97"/>
      <c r="MCG28" s="97"/>
      <c r="MCH28" s="97"/>
      <c r="MCI28" s="97"/>
      <c r="MCJ28" s="97"/>
      <c r="MCK28" s="97"/>
      <c r="MCL28" s="97"/>
      <c r="MCM28" s="97"/>
      <c r="MCN28" s="97"/>
      <c r="MCO28" s="97"/>
      <c r="MCP28" s="97"/>
      <c r="MCQ28" s="97"/>
      <c r="MCR28" s="97"/>
      <c r="MCS28" s="97"/>
      <c r="MCT28" s="97"/>
      <c r="MCU28" s="97"/>
      <c r="MCV28" s="97"/>
      <c r="MCW28" s="97"/>
      <c r="MCX28" s="97"/>
      <c r="MCY28" s="97"/>
      <c r="MCZ28" s="97"/>
      <c r="MDA28" s="97"/>
      <c r="MDB28" s="97"/>
      <c r="MDC28" s="97"/>
      <c r="MDD28" s="97"/>
      <c r="MDE28" s="97"/>
      <c r="MDF28" s="97"/>
      <c r="MDG28" s="97"/>
      <c r="MDH28" s="97"/>
      <c r="MDI28" s="97"/>
      <c r="MDJ28" s="97"/>
      <c r="MDK28" s="97"/>
      <c r="MDL28" s="97"/>
      <c r="MDM28" s="97"/>
      <c r="MDN28" s="97"/>
      <c r="MDO28" s="97"/>
      <c r="MDP28" s="97"/>
      <c r="MDQ28" s="97"/>
      <c r="MDR28" s="97"/>
      <c r="MDS28" s="97"/>
      <c r="MDT28" s="97"/>
      <c r="MDU28" s="97"/>
      <c r="MDV28" s="97"/>
      <c r="MDW28" s="97"/>
      <c r="MDX28" s="97"/>
      <c r="MDY28" s="97"/>
      <c r="MDZ28" s="97"/>
      <c r="MEA28" s="97"/>
      <c r="MEB28" s="97"/>
      <c r="MEC28" s="97"/>
      <c r="MED28" s="97"/>
      <c r="MEE28" s="97"/>
      <c r="MEF28" s="97"/>
      <c r="MEG28" s="97"/>
      <c r="MEH28" s="97"/>
      <c r="MEI28" s="97"/>
      <c r="MEJ28" s="97"/>
      <c r="MEK28" s="97"/>
      <c r="MEL28" s="97"/>
      <c r="MEM28" s="97"/>
      <c r="MEN28" s="97"/>
      <c r="MEO28" s="97"/>
      <c r="MEP28" s="97"/>
      <c r="MEQ28" s="97"/>
      <c r="MER28" s="97"/>
      <c r="MES28" s="97"/>
      <c r="MET28" s="97"/>
      <c r="MEU28" s="97"/>
      <c r="MEV28" s="97"/>
      <c r="MEW28" s="97"/>
      <c r="MEX28" s="97"/>
      <c r="MEY28" s="97"/>
      <c r="MEZ28" s="97"/>
      <c r="MFA28" s="97"/>
      <c r="MFB28" s="97"/>
      <c r="MFC28" s="97"/>
      <c r="MFD28" s="97"/>
      <c r="MFE28" s="97"/>
      <c r="MFF28" s="97"/>
      <c r="MFG28" s="97"/>
      <c r="MFH28" s="97"/>
      <c r="MFI28" s="97"/>
      <c r="MFJ28" s="97"/>
      <c r="MFK28" s="97"/>
      <c r="MFL28" s="97"/>
      <c r="MFM28" s="97"/>
      <c r="MFN28" s="97"/>
      <c r="MFO28" s="97"/>
      <c r="MFP28" s="97"/>
      <c r="MFQ28" s="97"/>
      <c r="MFR28" s="97"/>
      <c r="MFS28" s="97"/>
      <c r="MFT28" s="97"/>
      <c r="MFU28" s="97"/>
      <c r="MFV28" s="97"/>
      <c r="MFW28" s="97"/>
      <c r="MFX28" s="97"/>
      <c r="MFY28" s="97"/>
      <c r="MFZ28" s="97"/>
      <c r="MGA28" s="97"/>
      <c r="MGB28" s="97"/>
      <c r="MGC28" s="97"/>
      <c r="MGD28" s="97"/>
      <c r="MGE28" s="97"/>
      <c r="MGF28" s="97"/>
      <c r="MGG28" s="97"/>
      <c r="MGH28" s="97"/>
      <c r="MGI28" s="97"/>
      <c r="MGJ28" s="97"/>
      <c r="MGK28" s="97"/>
      <c r="MGL28" s="97"/>
      <c r="MGM28" s="97"/>
      <c r="MGN28" s="97"/>
      <c r="MGO28" s="97"/>
      <c r="MGP28" s="97"/>
      <c r="MGQ28" s="97"/>
      <c r="MGR28" s="97"/>
      <c r="MGS28" s="97"/>
      <c r="MGT28" s="97"/>
      <c r="MGU28" s="97"/>
      <c r="MGV28" s="97"/>
      <c r="MGW28" s="97"/>
      <c r="MGX28" s="97"/>
      <c r="MGY28" s="97"/>
      <c r="MGZ28" s="97"/>
      <c r="MHA28" s="97"/>
      <c r="MHB28" s="97"/>
      <c r="MHC28" s="97"/>
      <c r="MHD28" s="97"/>
      <c r="MHE28" s="97"/>
      <c r="MHF28" s="97"/>
      <c r="MHG28" s="97"/>
      <c r="MHH28" s="97"/>
      <c r="MHI28" s="97"/>
      <c r="MHJ28" s="97"/>
      <c r="MHK28" s="97"/>
      <c r="MHL28" s="97"/>
      <c r="MHM28" s="97"/>
      <c r="MHN28" s="97"/>
      <c r="MHO28" s="97"/>
      <c r="MHP28" s="97"/>
      <c r="MHQ28" s="97"/>
      <c r="MHR28" s="97"/>
      <c r="MHS28" s="97"/>
      <c r="MHT28" s="97"/>
      <c r="MHU28" s="97"/>
      <c r="MHV28" s="97"/>
      <c r="MHW28" s="97"/>
      <c r="MHX28" s="97"/>
      <c r="MHY28" s="97"/>
      <c r="MHZ28" s="97"/>
      <c r="MIA28" s="97"/>
      <c r="MIB28" s="97"/>
      <c r="MIC28" s="97"/>
      <c r="MID28" s="97"/>
      <c r="MIE28" s="97"/>
      <c r="MIF28" s="97"/>
      <c r="MIG28" s="97"/>
      <c r="MIH28" s="97"/>
      <c r="MII28" s="97"/>
      <c r="MIJ28" s="97"/>
      <c r="MIK28" s="97"/>
      <c r="MIL28" s="97"/>
      <c r="MIM28" s="97"/>
      <c r="MIN28" s="97"/>
      <c r="MIO28" s="97"/>
      <c r="MIP28" s="97"/>
      <c r="MIQ28" s="97"/>
      <c r="MIR28" s="97"/>
      <c r="MIS28" s="97"/>
      <c r="MIT28" s="97"/>
      <c r="MIU28" s="97"/>
      <c r="MIV28" s="97"/>
      <c r="MIW28" s="97"/>
      <c r="MIX28" s="97"/>
      <c r="MIY28" s="97"/>
      <c r="MIZ28" s="97"/>
      <c r="MJA28" s="97"/>
      <c r="MJB28" s="97"/>
      <c r="MJC28" s="97"/>
      <c r="MJD28" s="97"/>
      <c r="MJE28" s="97"/>
      <c r="MJF28" s="97"/>
      <c r="MJG28" s="97"/>
      <c r="MJH28" s="97"/>
      <c r="MJI28" s="97"/>
      <c r="MJJ28" s="97"/>
      <c r="MJK28" s="97"/>
      <c r="MJL28" s="97"/>
      <c r="MJM28" s="97"/>
      <c r="MJN28" s="97"/>
      <c r="MJO28" s="97"/>
      <c r="MJP28" s="97"/>
      <c r="MJQ28" s="97"/>
      <c r="MJR28" s="97"/>
      <c r="MJS28" s="97"/>
      <c r="MJT28" s="97"/>
      <c r="MJU28" s="97"/>
      <c r="MJV28" s="97"/>
      <c r="MJW28" s="97"/>
      <c r="MJX28" s="97"/>
      <c r="MJY28" s="97"/>
      <c r="MJZ28" s="97"/>
      <c r="MKA28" s="97"/>
      <c r="MKB28" s="97"/>
      <c r="MKC28" s="97"/>
      <c r="MKD28" s="97"/>
      <c r="MKE28" s="97"/>
      <c r="MKF28" s="97"/>
      <c r="MKG28" s="97"/>
      <c r="MKH28" s="97"/>
      <c r="MKI28" s="97"/>
      <c r="MKJ28" s="97"/>
      <c r="MKK28" s="97"/>
      <c r="MKL28" s="97"/>
      <c r="MKM28" s="97"/>
      <c r="MKN28" s="97"/>
      <c r="MKO28" s="97"/>
      <c r="MKP28" s="97"/>
      <c r="MKQ28" s="97"/>
      <c r="MKR28" s="97"/>
      <c r="MKS28" s="97"/>
      <c r="MKT28" s="97"/>
      <c r="MKU28" s="97"/>
      <c r="MKV28" s="97"/>
      <c r="MKW28" s="97"/>
      <c r="MKX28" s="97"/>
      <c r="MKY28" s="97"/>
      <c r="MKZ28" s="97"/>
      <c r="MLA28" s="97"/>
      <c r="MLB28" s="97"/>
      <c r="MLC28" s="97"/>
      <c r="MLD28" s="97"/>
      <c r="MLE28" s="97"/>
      <c r="MLF28" s="97"/>
      <c r="MLG28" s="97"/>
      <c r="MLH28" s="97"/>
      <c r="MLI28" s="97"/>
      <c r="MLJ28" s="97"/>
      <c r="MLK28" s="97"/>
      <c r="MLL28" s="97"/>
      <c r="MLM28" s="97"/>
      <c r="MLN28" s="97"/>
      <c r="MLO28" s="97"/>
      <c r="MLP28" s="97"/>
      <c r="MLQ28" s="97"/>
      <c r="MLR28" s="97"/>
      <c r="MLS28" s="97"/>
      <c r="MLT28" s="97"/>
      <c r="MLU28" s="97"/>
      <c r="MLV28" s="97"/>
      <c r="MLW28" s="97"/>
      <c r="MLX28" s="97"/>
      <c r="MLY28" s="97"/>
      <c r="MLZ28" s="97"/>
      <c r="MMA28" s="97"/>
      <c r="MMB28" s="97"/>
      <c r="MMC28" s="97"/>
      <c r="MMD28" s="97"/>
      <c r="MME28" s="97"/>
      <c r="MMF28" s="97"/>
      <c r="MMG28" s="97"/>
      <c r="MMH28" s="97"/>
      <c r="MMI28" s="97"/>
      <c r="MMJ28" s="97"/>
      <c r="MMK28" s="97"/>
      <c r="MML28" s="97"/>
      <c r="MMM28" s="97"/>
      <c r="MMN28" s="97"/>
      <c r="MMO28" s="97"/>
      <c r="MMP28" s="97"/>
      <c r="MMQ28" s="97"/>
      <c r="MMR28" s="97"/>
      <c r="MMS28" s="97"/>
      <c r="MMT28" s="97"/>
      <c r="MMU28" s="97"/>
      <c r="MMV28" s="97"/>
      <c r="MMW28" s="97"/>
      <c r="MMX28" s="97"/>
      <c r="MMY28" s="97"/>
      <c r="MMZ28" s="97"/>
      <c r="MNA28" s="97"/>
      <c r="MNB28" s="97"/>
      <c r="MNC28" s="97"/>
      <c r="MND28" s="97"/>
      <c r="MNE28" s="97"/>
      <c r="MNF28" s="97"/>
      <c r="MNG28" s="97"/>
      <c r="MNH28" s="97"/>
      <c r="MNI28" s="97"/>
      <c r="MNJ28" s="97"/>
      <c r="MNK28" s="97"/>
      <c r="MNL28" s="97"/>
      <c r="MNM28" s="97"/>
      <c r="MNN28" s="97"/>
      <c r="MNO28" s="97"/>
      <c r="MNP28" s="97"/>
      <c r="MNQ28" s="97"/>
      <c r="MNR28" s="97"/>
      <c r="MNS28" s="97"/>
      <c r="MNT28" s="97"/>
      <c r="MNU28" s="97"/>
      <c r="MNV28" s="97"/>
      <c r="MNW28" s="97"/>
      <c r="MNX28" s="97"/>
      <c r="MNY28" s="97"/>
      <c r="MNZ28" s="97"/>
      <c r="MOA28" s="97"/>
      <c r="MOB28" s="97"/>
      <c r="MOC28" s="97"/>
      <c r="MOD28" s="97"/>
      <c r="MOE28" s="97"/>
      <c r="MOF28" s="97"/>
      <c r="MOG28" s="97"/>
      <c r="MOH28" s="97"/>
      <c r="MOI28" s="97"/>
      <c r="MOJ28" s="97"/>
      <c r="MOK28" s="97"/>
      <c r="MOL28" s="97"/>
      <c r="MOM28" s="97"/>
      <c r="MON28" s="97"/>
      <c r="MOO28" s="97"/>
      <c r="MOP28" s="97"/>
      <c r="MOQ28" s="97"/>
      <c r="MOR28" s="97"/>
      <c r="MOS28" s="97"/>
      <c r="MOT28" s="97"/>
      <c r="MOU28" s="97"/>
      <c r="MOV28" s="97"/>
      <c r="MOW28" s="97"/>
      <c r="MOX28" s="97"/>
      <c r="MOY28" s="97"/>
      <c r="MOZ28" s="97"/>
      <c r="MPA28" s="97"/>
      <c r="MPB28" s="97"/>
      <c r="MPC28" s="97"/>
      <c r="MPD28" s="97"/>
      <c r="MPE28" s="97"/>
      <c r="MPF28" s="97"/>
      <c r="MPG28" s="97"/>
      <c r="MPH28" s="97"/>
      <c r="MPI28" s="97"/>
      <c r="MPJ28" s="97"/>
      <c r="MPK28" s="97"/>
      <c r="MPL28" s="97"/>
      <c r="MPM28" s="97"/>
      <c r="MPN28" s="97"/>
      <c r="MPO28" s="97"/>
      <c r="MPP28" s="97"/>
      <c r="MPQ28" s="97"/>
      <c r="MPR28" s="97"/>
      <c r="MPS28" s="97"/>
      <c r="MPT28" s="97"/>
      <c r="MPU28" s="97"/>
      <c r="MPV28" s="97"/>
      <c r="MPW28" s="97"/>
      <c r="MPX28" s="97"/>
      <c r="MPY28" s="97"/>
      <c r="MPZ28" s="97"/>
      <c r="MQA28" s="97"/>
      <c r="MQB28" s="97"/>
      <c r="MQC28" s="97"/>
      <c r="MQD28" s="97"/>
      <c r="MQE28" s="97"/>
      <c r="MQF28" s="97"/>
      <c r="MQG28" s="97"/>
      <c r="MQH28" s="97"/>
      <c r="MQI28" s="97"/>
      <c r="MQJ28" s="97"/>
      <c r="MQK28" s="97"/>
      <c r="MQL28" s="97"/>
      <c r="MQM28" s="97"/>
      <c r="MQN28" s="97"/>
      <c r="MQO28" s="97"/>
      <c r="MQP28" s="97"/>
      <c r="MQQ28" s="97"/>
      <c r="MQR28" s="97"/>
      <c r="MQS28" s="97"/>
      <c r="MQT28" s="97"/>
      <c r="MQU28" s="97"/>
      <c r="MQV28" s="97"/>
      <c r="MQW28" s="97"/>
      <c r="MQX28" s="97"/>
      <c r="MQY28" s="97"/>
      <c r="MQZ28" s="97"/>
      <c r="MRA28" s="97"/>
      <c r="MRB28" s="97"/>
      <c r="MRC28" s="97"/>
      <c r="MRD28" s="97"/>
      <c r="MRE28" s="97"/>
      <c r="MRF28" s="97"/>
      <c r="MRG28" s="97"/>
      <c r="MRH28" s="97"/>
      <c r="MRI28" s="97"/>
      <c r="MRJ28" s="97"/>
      <c r="MRK28" s="97"/>
      <c r="MRL28" s="97"/>
      <c r="MRM28" s="97"/>
      <c r="MRN28" s="97"/>
      <c r="MRO28" s="97"/>
      <c r="MRP28" s="97"/>
      <c r="MRQ28" s="97"/>
      <c r="MRR28" s="97"/>
      <c r="MRS28" s="97"/>
      <c r="MRT28" s="97"/>
      <c r="MRU28" s="97"/>
      <c r="MRV28" s="97"/>
      <c r="MRW28" s="97"/>
      <c r="MRX28" s="97"/>
      <c r="MRY28" s="97"/>
      <c r="MRZ28" s="97"/>
      <c r="MSA28" s="97"/>
      <c r="MSB28" s="97"/>
      <c r="MSC28" s="97"/>
      <c r="MSD28" s="97"/>
      <c r="MSE28" s="97"/>
      <c r="MSF28" s="97"/>
      <c r="MSG28" s="97"/>
      <c r="MSH28" s="97"/>
      <c r="MSI28" s="97"/>
      <c r="MSJ28" s="97"/>
      <c r="MSK28" s="97"/>
      <c r="MSL28" s="97"/>
      <c r="MSM28" s="97"/>
      <c r="MSN28" s="97"/>
      <c r="MSO28" s="97"/>
      <c r="MSP28" s="97"/>
      <c r="MSQ28" s="97"/>
      <c r="MSR28" s="97"/>
      <c r="MSS28" s="97"/>
      <c r="MST28" s="97"/>
      <c r="MSU28" s="97"/>
      <c r="MSV28" s="97"/>
      <c r="MSW28" s="97"/>
      <c r="MSX28" s="97"/>
      <c r="MSY28" s="97"/>
      <c r="MSZ28" s="97"/>
      <c r="MTA28" s="97"/>
      <c r="MTB28" s="97"/>
      <c r="MTC28" s="97"/>
      <c r="MTD28" s="97"/>
      <c r="MTE28" s="97"/>
      <c r="MTF28" s="97"/>
      <c r="MTG28" s="97"/>
      <c r="MTH28" s="97"/>
      <c r="MTI28" s="97"/>
      <c r="MTJ28" s="97"/>
      <c r="MTK28" s="97"/>
      <c r="MTL28" s="97"/>
      <c r="MTM28" s="97"/>
      <c r="MTN28" s="97"/>
      <c r="MTO28" s="97"/>
      <c r="MTP28" s="97"/>
      <c r="MTQ28" s="97"/>
      <c r="MTR28" s="97"/>
      <c r="MTS28" s="97"/>
      <c r="MTT28" s="97"/>
      <c r="MTU28" s="97"/>
      <c r="MTV28" s="97"/>
      <c r="MTW28" s="97"/>
      <c r="MTX28" s="97"/>
      <c r="MTY28" s="97"/>
      <c r="MTZ28" s="97"/>
      <c r="MUA28" s="97"/>
      <c r="MUB28" s="97"/>
      <c r="MUC28" s="97"/>
      <c r="MUD28" s="97"/>
      <c r="MUE28" s="97"/>
      <c r="MUF28" s="97"/>
      <c r="MUG28" s="97"/>
      <c r="MUH28" s="97"/>
      <c r="MUI28" s="97"/>
      <c r="MUJ28" s="97"/>
      <c r="MUK28" s="97"/>
      <c r="MUL28" s="97"/>
      <c r="MUM28" s="97"/>
      <c r="MUN28" s="97"/>
      <c r="MUO28" s="97"/>
      <c r="MUP28" s="97"/>
      <c r="MUQ28" s="97"/>
      <c r="MUR28" s="97"/>
      <c r="MUS28" s="97"/>
      <c r="MUT28" s="97"/>
      <c r="MUU28" s="97"/>
      <c r="MUV28" s="97"/>
      <c r="MUW28" s="97"/>
      <c r="MUX28" s="97"/>
      <c r="MUY28" s="97"/>
      <c r="MUZ28" s="97"/>
      <c r="MVA28" s="97"/>
      <c r="MVB28" s="97"/>
      <c r="MVC28" s="97"/>
      <c r="MVD28" s="97"/>
      <c r="MVE28" s="97"/>
      <c r="MVF28" s="97"/>
      <c r="MVG28" s="97"/>
      <c r="MVH28" s="97"/>
      <c r="MVI28" s="97"/>
      <c r="MVJ28" s="97"/>
      <c r="MVK28" s="97"/>
      <c r="MVL28" s="97"/>
      <c r="MVM28" s="97"/>
      <c r="MVN28" s="97"/>
      <c r="MVO28" s="97"/>
      <c r="MVP28" s="97"/>
      <c r="MVQ28" s="97"/>
      <c r="MVR28" s="97"/>
      <c r="MVS28" s="97"/>
      <c r="MVT28" s="97"/>
      <c r="MVU28" s="97"/>
      <c r="MVV28" s="97"/>
      <c r="MVW28" s="97"/>
      <c r="MVX28" s="97"/>
      <c r="MVY28" s="97"/>
      <c r="MVZ28" s="97"/>
      <c r="MWA28" s="97"/>
      <c r="MWB28" s="97"/>
      <c r="MWC28" s="97"/>
      <c r="MWD28" s="97"/>
      <c r="MWE28" s="97"/>
      <c r="MWF28" s="97"/>
      <c r="MWG28" s="97"/>
      <c r="MWH28" s="97"/>
      <c r="MWI28" s="97"/>
      <c r="MWJ28" s="97"/>
      <c r="MWK28" s="97"/>
      <c r="MWL28" s="97"/>
      <c r="MWM28" s="97"/>
      <c r="MWN28" s="97"/>
      <c r="MWO28" s="97"/>
      <c r="MWP28" s="97"/>
      <c r="MWQ28" s="97"/>
      <c r="MWR28" s="97"/>
      <c r="MWS28" s="97"/>
      <c r="MWT28" s="97"/>
      <c r="MWU28" s="97"/>
      <c r="MWV28" s="97"/>
      <c r="MWW28" s="97"/>
      <c r="MWX28" s="97"/>
      <c r="MWY28" s="97"/>
      <c r="MWZ28" s="97"/>
      <c r="MXA28" s="97"/>
      <c r="MXB28" s="97"/>
      <c r="MXC28" s="97"/>
      <c r="MXD28" s="97"/>
      <c r="MXE28" s="97"/>
      <c r="MXF28" s="97"/>
      <c r="MXG28" s="97"/>
      <c r="MXH28" s="97"/>
      <c r="MXI28" s="97"/>
      <c r="MXJ28" s="97"/>
      <c r="MXK28" s="97"/>
      <c r="MXL28" s="97"/>
      <c r="MXM28" s="97"/>
      <c r="MXN28" s="97"/>
      <c r="MXO28" s="97"/>
      <c r="MXP28" s="97"/>
      <c r="MXQ28" s="97"/>
      <c r="MXR28" s="97"/>
      <c r="MXS28" s="97"/>
      <c r="MXT28" s="97"/>
      <c r="MXU28" s="97"/>
      <c r="MXV28" s="97"/>
      <c r="MXW28" s="97"/>
      <c r="MXX28" s="97"/>
      <c r="MXY28" s="97"/>
      <c r="MXZ28" s="97"/>
      <c r="MYA28" s="97"/>
      <c r="MYB28" s="97"/>
      <c r="MYC28" s="97"/>
      <c r="MYD28" s="97"/>
      <c r="MYE28" s="97"/>
      <c r="MYF28" s="97"/>
      <c r="MYG28" s="97"/>
      <c r="MYH28" s="97"/>
      <c r="MYI28" s="97"/>
      <c r="MYJ28" s="97"/>
      <c r="MYK28" s="97"/>
      <c r="MYL28" s="97"/>
      <c r="MYM28" s="97"/>
      <c r="MYN28" s="97"/>
      <c r="MYO28" s="97"/>
      <c r="MYP28" s="97"/>
      <c r="MYQ28" s="97"/>
      <c r="MYR28" s="97"/>
      <c r="MYS28" s="97"/>
      <c r="MYT28" s="97"/>
      <c r="MYU28" s="97"/>
      <c r="MYV28" s="97"/>
      <c r="MYW28" s="97"/>
      <c r="MYX28" s="97"/>
      <c r="MYY28" s="97"/>
      <c r="MYZ28" s="97"/>
      <c r="MZA28" s="97"/>
      <c r="MZB28" s="97"/>
      <c r="MZC28" s="97"/>
      <c r="MZD28" s="97"/>
      <c r="MZE28" s="97"/>
      <c r="MZF28" s="97"/>
      <c r="MZG28" s="97"/>
      <c r="MZH28" s="97"/>
      <c r="MZI28" s="97"/>
      <c r="MZJ28" s="97"/>
      <c r="MZK28" s="97"/>
      <c r="MZL28" s="97"/>
      <c r="MZM28" s="97"/>
      <c r="MZN28" s="97"/>
      <c r="MZO28" s="97"/>
      <c r="MZP28" s="97"/>
      <c r="MZQ28" s="97"/>
      <c r="MZR28" s="97"/>
      <c r="MZS28" s="97"/>
      <c r="MZT28" s="97"/>
      <c r="MZU28" s="97"/>
      <c r="MZV28" s="97"/>
      <c r="MZW28" s="97"/>
      <c r="MZX28" s="97"/>
      <c r="MZY28" s="97"/>
      <c r="MZZ28" s="97"/>
      <c r="NAA28" s="97"/>
      <c r="NAB28" s="97"/>
      <c r="NAC28" s="97"/>
      <c r="NAD28" s="97"/>
      <c r="NAE28" s="97"/>
      <c r="NAF28" s="97"/>
      <c r="NAG28" s="97"/>
      <c r="NAH28" s="97"/>
      <c r="NAI28" s="97"/>
      <c r="NAJ28" s="97"/>
      <c r="NAK28" s="97"/>
      <c r="NAL28" s="97"/>
      <c r="NAM28" s="97"/>
      <c r="NAN28" s="97"/>
      <c r="NAO28" s="97"/>
      <c r="NAP28" s="97"/>
      <c r="NAQ28" s="97"/>
      <c r="NAR28" s="97"/>
      <c r="NAS28" s="97"/>
      <c r="NAT28" s="97"/>
      <c r="NAU28" s="97"/>
      <c r="NAV28" s="97"/>
      <c r="NAW28" s="97"/>
      <c r="NAX28" s="97"/>
      <c r="NAY28" s="97"/>
      <c r="NAZ28" s="97"/>
      <c r="NBA28" s="97"/>
      <c r="NBB28" s="97"/>
      <c r="NBC28" s="97"/>
      <c r="NBD28" s="97"/>
      <c r="NBE28" s="97"/>
      <c r="NBF28" s="97"/>
      <c r="NBG28" s="97"/>
      <c r="NBH28" s="97"/>
      <c r="NBI28" s="97"/>
      <c r="NBJ28" s="97"/>
      <c r="NBK28" s="97"/>
      <c r="NBL28" s="97"/>
      <c r="NBM28" s="97"/>
      <c r="NBN28" s="97"/>
      <c r="NBO28" s="97"/>
      <c r="NBP28" s="97"/>
      <c r="NBQ28" s="97"/>
      <c r="NBR28" s="97"/>
      <c r="NBS28" s="97"/>
      <c r="NBT28" s="97"/>
      <c r="NBU28" s="97"/>
      <c r="NBV28" s="97"/>
      <c r="NBW28" s="97"/>
      <c r="NBX28" s="97"/>
      <c r="NBY28" s="97"/>
      <c r="NBZ28" s="97"/>
      <c r="NCA28" s="97"/>
      <c r="NCB28" s="97"/>
      <c r="NCC28" s="97"/>
      <c r="NCD28" s="97"/>
      <c r="NCE28" s="97"/>
      <c r="NCF28" s="97"/>
      <c r="NCG28" s="97"/>
      <c r="NCH28" s="97"/>
      <c r="NCI28" s="97"/>
      <c r="NCJ28" s="97"/>
      <c r="NCK28" s="97"/>
      <c r="NCL28" s="97"/>
      <c r="NCM28" s="97"/>
      <c r="NCN28" s="97"/>
      <c r="NCO28" s="97"/>
      <c r="NCP28" s="97"/>
      <c r="NCQ28" s="97"/>
      <c r="NCR28" s="97"/>
      <c r="NCS28" s="97"/>
      <c r="NCT28" s="97"/>
      <c r="NCU28" s="97"/>
      <c r="NCV28" s="97"/>
      <c r="NCW28" s="97"/>
      <c r="NCX28" s="97"/>
      <c r="NCY28" s="97"/>
      <c r="NCZ28" s="97"/>
      <c r="NDA28" s="97"/>
      <c r="NDB28" s="97"/>
      <c r="NDC28" s="97"/>
      <c r="NDD28" s="97"/>
      <c r="NDE28" s="97"/>
      <c r="NDF28" s="97"/>
      <c r="NDG28" s="97"/>
      <c r="NDH28" s="97"/>
      <c r="NDI28" s="97"/>
      <c r="NDJ28" s="97"/>
      <c r="NDK28" s="97"/>
      <c r="NDL28" s="97"/>
      <c r="NDM28" s="97"/>
      <c r="NDN28" s="97"/>
      <c r="NDO28" s="97"/>
      <c r="NDP28" s="97"/>
      <c r="NDQ28" s="97"/>
      <c r="NDR28" s="97"/>
      <c r="NDS28" s="97"/>
      <c r="NDT28" s="97"/>
      <c r="NDU28" s="97"/>
      <c r="NDV28" s="97"/>
      <c r="NDW28" s="97"/>
      <c r="NDX28" s="97"/>
      <c r="NDY28" s="97"/>
      <c r="NDZ28" s="97"/>
      <c r="NEA28" s="97"/>
      <c r="NEB28" s="97"/>
      <c r="NEC28" s="97"/>
      <c r="NED28" s="97"/>
      <c r="NEE28" s="97"/>
      <c r="NEF28" s="97"/>
      <c r="NEG28" s="97"/>
      <c r="NEH28" s="97"/>
      <c r="NEI28" s="97"/>
      <c r="NEJ28" s="97"/>
      <c r="NEK28" s="97"/>
      <c r="NEL28" s="97"/>
      <c r="NEM28" s="97"/>
      <c r="NEN28" s="97"/>
      <c r="NEO28" s="97"/>
      <c r="NEP28" s="97"/>
      <c r="NEQ28" s="97"/>
      <c r="NER28" s="97"/>
      <c r="NES28" s="97"/>
      <c r="NET28" s="97"/>
      <c r="NEU28" s="97"/>
      <c r="NEV28" s="97"/>
      <c r="NEW28" s="97"/>
      <c r="NEX28" s="97"/>
      <c r="NEY28" s="97"/>
      <c r="NEZ28" s="97"/>
      <c r="NFA28" s="97"/>
      <c r="NFB28" s="97"/>
      <c r="NFC28" s="97"/>
      <c r="NFD28" s="97"/>
      <c r="NFE28" s="97"/>
      <c r="NFF28" s="97"/>
      <c r="NFG28" s="97"/>
      <c r="NFH28" s="97"/>
      <c r="NFI28" s="97"/>
      <c r="NFJ28" s="97"/>
      <c r="NFK28" s="97"/>
      <c r="NFL28" s="97"/>
      <c r="NFM28" s="97"/>
      <c r="NFN28" s="97"/>
      <c r="NFO28" s="97"/>
      <c r="NFP28" s="97"/>
      <c r="NFQ28" s="97"/>
      <c r="NFR28" s="97"/>
      <c r="NFS28" s="97"/>
      <c r="NFT28" s="97"/>
      <c r="NFU28" s="97"/>
      <c r="NFV28" s="97"/>
      <c r="NFW28" s="97"/>
      <c r="NFX28" s="97"/>
      <c r="NFY28" s="97"/>
      <c r="NFZ28" s="97"/>
      <c r="NGA28" s="97"/>
      <c r="NGB28" s="97"/>
      <c r="NGC28" s="97"/>
      <c r="NGD28" s="97"/>
      <c r="NGE28" s="97"/>
      <c r="NGF28" s="97"/>
      <c r="NGG28" s="97"/>
      <c r="NGH28" s="97"/>
      <c r="NGI28" s="97"/>
      <c r="NGJ28" s="97"/>
      <c r="NGK28" s="97"/>
      <c r="NGL28" s="97"/>
      <c r="NGM28" s="97"/>
      <c r="NGN28" s="97"/>
      <c r="NGO28" s="97"/>
      <c r="NGP28" s="97"/>
      <c r="NGQ28" s="97"/>
      <c r="NGR28" s="97"/>
      <c r="NGS28" s="97"/>
      <c r="NGT28" s="97"/>
      <c r="NGU28" s="97"/>
      <c r="NGV28" s="97"/>
      <c r="NGW28" s="97"/>
      <c r="NGX28" s="97"/>
      <c r="NGY28" s="97"/>
      <c r="NGZ28" s="97"/>
      <c r="NHA28" s="97"/>
      <c r="NHB28" s="97"/>
      <c r="NHC28" s="97"/>
      <c r="NHD28" s="97"/>
      <c r="NHE28" s="97"/>
      <c r="NHF28" s="97"/>
      <c r="NHG28" s="97"/>
      <c r="NHH28" s="97"/>
      <c r="NHI28" s="97"/>
      <c r="NHJ28" s="97"/>
      <c r="NHK28" s="97"/>
      <c r="NHL28" s="97"/>
      <c r="NHM28" s="97"/>
      <c r="NHN28" s="97"/>
      <c r="NHO28" s="97"/>
      <c r="NHP28" s="97"/>
      <c r="NHQ28" s="97"/>
      <c r="NHR28" s="97"/>
      <c r="NHS28" s="97"/>
      <c r="NHT28" s="97"/>
      <c r="NHU28" s="97"/>
      <c r="NHV28" s="97"/>
      <c r="NHW28" s="97"/>
      <c r="NHX28" s="97"/>
      <c r="NHY28" s="97"/>
      <c r="NHZ28" s="97"/>
      <c r="NIA28" s="97"/>
      <c r="NIB28" s="97"/>
      <c r="NIC28" s="97"/>
      <c r="NID28" s="97"/>
      <c r="NIE28" s="97"/>
      <c r="NIF28" s="97"/>
      <c r="NIG28" s="97"/>
      <c r="NIH28" s="97"/>
      <c r="NII28" s="97"/>
      <c r="NIJ28" s="97"/>
      <c r="NIK28" s="97"/>
      <c r="NIL28" s="97"/>
      <c r="NIM28" s="97"/>
      <c r="NIN28" s="97"/>
      <c r="NIO28" s="97"/>
      <c r="NIP28" s="97"/>
      <c r="NIQ28" s="97"/>
      <c r="NIR28" s="97"/>
      <c r="NIS28" s="97"/>
      <c r="NIT28" s="97"/>
      <c r="NIU28" s="97"/>
      <c r="NIV28" s="97"/>
      <c r="NIW28" s="97"/>
      <c r="NIX28" s="97"/>
      <c r="NIY28" s="97"/>
      <c r="NIZ28" s="97"/>
      <c r="NJA28" s="97"/>
      <c r="NJB28" s="97"/>
      <c r="NJC28" s="97"/>
      <c r="NJD28" s="97"/>
      <c r="NJE28" s="97"/>
      <c r="NJF28" s="97"/>
      <c r="NJG28" s="97"/>
      <c r="NJH28" s="97"/>
      <c r="NJI28" s="97"/>
      <c r="NJJ28" s="97"/>
      <c r="NJK28" s="97"/>
      <c r="NJL28" s="97"/>
      <c r="NJM28" s="97"/>
      <c r="NJN28" s="97"/>
      <c r="NJO28" s="97"/>
      <c r="NJP28" s="97"/>
      <c r="NJQ28" s="97"/>
      <c r="NJR28" s="97"/>
      <c r="NJS28" s="97"/>
      <c r="NJT28" s="97"/>
      <c r="NJU28" s="97"/>
      <c r="NJV28" s="97"/>
      <c r="NJW28" s="97"/>
      <c r="NJX28" s="97"/>
      <c r="NJY28" s="97"/>
      <c r="NJZ28" s="97"/>
      <c r="NKA28" s="97"/>
      <c r="NKB28" s="97"/>
      <c r="NKC28" s="97"/>
      <c r="NKD28" s="97"/>
      <c r="NKE28" s="97"/>
      <c r="NKF28" s="97"/>
      <c r="NKG28" s="97"/>
      <c r="NKH28" s="97"/>
      <c r="NKI28" s="97"/>
      <c r="NKJ28" s="97"/>
      <c r="NKK28" s="97"/>
      <c r="NKL28" s="97"/>
      <c r="NKM28" s="97"/>
      <c r="NKN28" s="97"/>
      <c r="NKO28" s="97"/>
      <c r="NKP28" s="97"/>
      <c r="NKQ28" s="97"/>
      <c r="NKR28" s="97"/>
      <c r="NKS28" s="97"/>
      <c r="NKT28" s="97"/>
      <c r="NKU28" s="97"/>
      <c r="NKV28" s="97"/>
      <c r="NKW28" s="97"/>
      <c r="NKX28" s="97"/>
      <c r="NKY28" s="97"/>
      <c r="NKZ28" s="97"/>
      <c r="NLA28" s="97"/>
      <c r="NLB28" s="97"/>
      <c r="NLC28" s="97"/>
      <c r="NLD28" s="97"/>
      <c r="NLE28" s="97"/>
      <c r="NLF28" s="97"/>
      <c r="NLG28" s="97"/>
      <c r="NLH28" s="97"/>
      <c r="NLI28" s="97"/>
      <c r="NLJ28" s="97"/>
      <c r="NLK28" s="97"/>
      <c r="NLL28" s="97"/>
      <c r="NLM28" s="97"/>
      <c r="NLN28" s="97"/>
      <c r="NLO28" s="97"/>
      <c r="NLP28" s="97"/>
      <c r="NLQ28" s="97"/>
      <c r="NLR28" s="97"/>
      <c r="NLS28" s="97"/>
      <c r="NLT28" s="97"/>
      <c r="NLU28" s="97"/>
      <c r="NLV28" s="97"/>
      <c r="NLW28" s="97"/>
      <c r="NLX28" s="97"/>
      <c r="NLY28" s="97"/>
      <c r="NLZ28" s="97"/>
      <c r="NMA28" s="97"/>
      <c r="NMB28" s="97"/>
      <c r="NMC28" s="97"/>
      <c r="NMD28" s="97"/>
      <c r="NME28" s="97"/>
      <c r="NMF28" s="97"/>
      <c r="NMG28" s="97"/>
      <c r="NMH28" s="97"/>
      <c r="NMI28" s="97"/>
      <c r="NMJ28" s="97"/>
      <c r="NMK28" s="97"/>
      <c r="NML28" s="97"/>
      <c r="NMM28" s="97"/>
      <c r="NMN28" s="97"/>
      <c r="NMO28" s="97"/>
      <c r="NMP28" s="97"/>
      <c r="NMQ28" s="97"/>
      <c r="NMR28" s="97"/>
      <c r="NMS28" s="97"/>
      <c r="NMT28" s="97"/>
      <c r="NMU28" s="97"/>
      <c r="NMV28" s="97"/>
      <c r="NMW28" s="97"/>
      <c r="NMX28" s="97"/>
      <c r="NMY28" s="97"/>
      <c r="NMZ28" s="97"/>
      <c r="NNA28" s="97"/>
      <c r="NNB28" s="97"/>
      <c r="NNC28" s="97"/>
      <c r="NND28" s="97"/>
      <c r="NNE28" s="97"/>
      <c r="NNF28" s="97"/>
      <c r="NNG28" s="97"/>
      <c r="NNH28" s="97"/>
      <c r="NNI28" s="97"/>
      <c r="NNJ28" s="97"/>
      <c r="NNK28" s="97"/>
      <c r="NNL28" s="97"/>
      <c r="NNM28" s="97"/>
      <c r="NNN28" s="97"/>
      <c r="NNO28" s="97"/>
      <c r="NNP28" s="97"/>
      <c r="NNQ28" s="97"/>
      <c r="NNR28" s="97"/>
      <c r="NNS28" s="97"/>
      <c r="NNT28" s="97"/>
      <c r="NNU28" s="97"/>
      <c r="NNV28" s="97"/>
      <c r="NNW28" s="97"/>
      <c r="NNX28" s="97"/>
      <c r="NNY28" s="97"/>
      <c r="NNZ28" s="97"/>
      <c r="NOA28" s="97"/>
      <c r="NOB28" s="97"/>
      <c r="NOC28" s="97"/>
      <c r="NOD28" s="97"/>
      <c r="NOE28" s="97"/>
      <c r="NOF28" s="97"/>
      <c r="NOG28" s="97"/>
      <c r="NOH28" s="97"/>
      <c r="NOI28" s="97"/>
      <c r="NOJ28" s="97"/>
      <c r="NOK28" s="97"/>
      <c r="NOL28" s="97"/>
      <c r="NOM28" s="97"/>
      <c r="NON28" s="97"/>
      <c r="NOO28" s="97"/>
      <c r="NOP28" s="97"/>
      <c r="NOQ28" s="97"/>
      <c r="NOR28" s="97"/>
      <c r="NOS28" s="97"/>
      <c r="NOT28" s="97"/>
      <c r="NOU28" s="97"/>
      <c r="NOV28" s="97"/>
      <c r="NOW28" s="97"/>
      <c r="NOX28" s="97"/>
      <c r="NOY28" s="97"/>
      <c r="NOZ28" s="97"/>
      <c r="NPA28" s="97"/>
      <c r="NPB28" s="97"/>
      <c r="NPC28" s="97"/>
      <c r="NPD28" s="97"/>
      <c r="NPE28" s="97"/>
      <c r="NPF28" s="97"/>
      <c r="NPG28" s="97"/>
      <c r="NPH28" s="97"/>
      <c r="NPI28" s="97"/>
      <c r="NPJ28" s="97"/>
      <c r="NPK28" s="97"/>
      <c r="NPL28" s="97"/>
      <c r="NPM28" s="97"/>
      <c r="NPN28" s="97"/>
      <c r="NPO28" s="97"/>
      <c r="NPP28" s="97"/>
      <c r="NPQ28" s="97"/>
      <c r="NPR28" s="97"/>
      <c r="NPS28" s="97"/>
      <c r="NPT28" s="97"/>
      <c r="NPU28" s="97"/>
      <c r="NPV28" s="97"/>
      <c r="NPW28" s="97"/>
      <c r="NPX28" s="97"/>
      <c r="NPY28" s="97"/>
      <c r="NPZ28" s="97"/>
      <c r="NQA28" s="97"/>
      <c r="NQB28" s="97"/>
      <c r="NQC28" s="97"/>
      <c r="NQD28" s="97"/>
      <c r="NQE28" s="97"/>
      <c r="NQF28" s="97"/>
      <c r="NQG28" s="97"/>
      <c r="NQH28" s="97"/>
      <c r="NQI28" s="97"/>
      <c r="NQJ28" s="97"/>
      <c r="NQK28" s="97"/>
      <c r="NQL28" s="97"/>
      <c r="NQM28" s="97"/>
      <c r="NQN28" s="97"/>
      <c r="NQO28" s="97"/>
      <c r="NQP28" s="97"/>
      <c r="NQQ28" s="97"/>
      <c r="NQR28" s="97"/>
      <c r="NQS28" s="97"/>
      <c r="NQT28" s="97"/>
      <c r="NQU28" s="97"/>
      <c r="NQV28" s="97"/>
      <c r="NQW28" s="97"/>
      <c r="NQX28" s="97"/>
      <c r="NQY28" s="97"/>
      <c r="NQZ28" s="97"/>
      <c r="NRA28" s="97"/>
      <c r="NRB28" s="97"/>
      <c r="NRC28" s="97"/>
      <c r="NRD28" s="97"/>
      <c r="NRE28" s="97"/>
      <c r="NRF28" s="97"/>
      <c r="NRG28" s="97"/>
      <c r="NRH28" s="97"/>
      <c r="NRI28" s="97"/>
      <c r="NRJ28" s="97"/>
      <c r="NRK28" s="97"/>
      <c r="NRL28" s="97"/>
      <c r="NRM28" s="97"/>
      <c r="NRN28" s="97"/>
      <c r="NRO28" s="97"/>
      <c r="NRP28" s="97"/>
      <c r="NRQ28" s="97"/>
      <c r="NRR28" s="97"/>
      <c r="NRS28" s="97"/>
      <c r="NRT28" s="97"/>
      <c r="NRU28" s="97"/>
      <c r="NRV28" s="97"/>
      <c r="NRW28" s="97"/>
      <c r="NRX28" s="97"/>
      <c r="NRY28" s="97"/>
      <c r="NRZ28" s="97"/>
      <c r="NSA28" s="97"/>
      <c r="NSB28" s="97"/>
      <c r="NSC28" s="97"/>
      <c r="NSD28" s="97"/>
      <c r="NSE28" s="97"/>
      <c r="NSF28" s="97"/>
      <c r="NSG28" s="97"/>
      <c r="NSH28" s="97"/>
      <c r="NSI28" s="97"/>
      <c r="NSJ28" s="97"/>
      <c r="NSK28" s="97"/>
      <c r="NSL28" s="97"/>
      <c r="NSM28" s="97"/>
      <c r="NSN28" s="97"/>
      <c r="NSO28" s="97"/>
      <c r="NSP28" s="97"/>
      <c r="NSQ28" s="97"/>
      <c r="NSR28" s="97"/>
      <c r="NSS28" s="97"/>
      <c r="NST28" s="97"/>
      <c r="NSU28" s="97"/>
      <c r="NSV28" s="97"/>
      <c r="NSW28" s="97"/>
      <c r="NSX28" s="97"/>
      <c r="NSY28" s="97"/>
      <c r="NSZ28" s="97"/>
      <c r="NTA28" s="97"/>
      <c r="NTB28" s="97"/>
      <c r="NTC28" s="97"/>
      <c r="NTD28" s="97"/>
      <c r="NTE28" s="97"/>
      <c r="NTF28" s="97"/>
      <c r="NTG28" s="97"/>
      <c r="NTH28" s="97"/>
      <c r="NTI28" s="97"/>
      <c r="NTJ28" s="97"/>
      <c r="NTK28" s="97"/>
      <c r="NTL28" s="97"/>
      <c r="NTM28" s="97"/>
      <c r="NTN28" s="97"/>
      <c r="NTO28" s="97"/>
      <c r="NTP28" s="97"/>
      <c r="NTQ28" s="97"/>
      <c r="NTR28" s="97"/>
      <c r="NTS28" s="97"/>
      <c r="NTT28" s="97"/>
      <c r="NTU28" s="97"/>
      <c r="NTV28" s="97"/>
      <c r="NTW28" s="97"/>
      <c r="NTX28" s="97"/>
      <c r="NTY28" s="97"/>
      <c r="NTZ28" s="97"/>
      <c r="NUA28" s="97"/>
      <c r="NUB28" s="97"/>
      <c r="NUC28" s="97"/>
      <c r="NUD28" s="97"/>
      <c r="NUE28" s="97"/>
      <c r="NUF28" s="97"/>
      <c r="NUG28" s="97"/>
      <c r="NUH28" s="97"/>
      <c r="NUI28" s="97"/>
      <c r="NUJ28" s="97"/>
      <c r="NUK28" s="97"/>
      <c r="NUL28" s="97"/>
      <c r="NUM28" s="97"/>
      <c r="NUN28" s="97"/>
      <c r="NUO28" s="97"/>
      <c r="NUP28" s="97"/>
      <c r="NUQ28" s="97"/>
      <c r="NUR28" s="97"/>
      <c r="NUS28" s="97"/>
      <c r="NUT28" s="97"/>
      <c r="NUU28" s="97"/>
      <c r="NUV28" s="97"/>
      <c r="NUW28" s="97"/>
      <c r="NUX28" s="97"/>
      <c r="NUY28" s="97"/>
      <c r="NUZ28" s="97"/>
      <c r="NVA28" s="97"/>
      <c r="NVB28" s="97"/>
      <c r="NVC28" s="97"/>
      <c r="NVD28" s="97"/>
      <c r="NVE28" s="97"/>
      <c r="NVF28" s="97"/>
      <c r="NVG28" s="97"/>
      <c r="NVH28" s="97"/>
      <c r="NVI28" s="97"/>
      <c r="NVJ28" s="97"/>
      <c r="NVK28" s="97"/>
      <c r="NVL28" s="97"/>
      <c r="NVM28" s="97"/>
      <c r="NVN28" s="97"/>
      <c r="NVO28" s="97"/>
      <c r="NVP28" s="97"/>
      <c r="NVQ28" s="97"/>
      <c r="NVR28" s="97"/>
      <c r="NVS28" s="97"/>
      <c r="NVT28" s="97"/>
      <c r="NVU28" s="97"/>
      <c r="NVV28" s="97"/>
      <c r="NVW28" s="97"/>
      <c r="NVX28" s="97"/>
      <c r="NVY28" s="97"/>
      <c r="NVZ28" s="97"/>
      <c r="NWA28" s="97"/>
      <c r="NWB28" s="97"/>
      <c r="NWC28" s="97"/>
      <c r="NWD28" s="97"/>
      <c r="NWE28" s="97"/>
      <c r="NWF28" s="97"/>
      <c r="NWG28" s="97"/>
      <c r="NWH28" s="97"/>
      <c r="NWI28" s="97"/>
      <c r="NWJ28" s="97"/>
      <c r="NWK28" s="97"/>
      <c r="NWL28" s="97"/>
      <c r="NWM28" s="97"/>
      <c r="NWN28" s="97"/>
      <c r="NWO28" s="97"/>
      <c r="NWP28" s="97"/>
      <c r="NWQ28" s="97"/>
      <c r="NWR28" s="97"/>
      <c r="NWS28" s="97"/>
      <c r="NWT28" s="97"/>
      <c r="NWU28" s="97"/>
      <c r="NWV28" s="97"/>
      <c r="NWW28" s="97"/>
      <c r="NWX28" s="97"/>
      <c r="NWY28" s="97"/>
      <c r="NWZ28" s="97"/>
      <c r="NXA28" s="97"/>
      <c r="NXB28" s="97"/>
      <c r="NXC28" s="97"/>
      <c r="NXD28" s="97"/>
      <c r="NXE28" s="97"/>
      <c r="NXF28" s="97"/>
      <c r="NXG28" s="97"/>
      <c r="NXH28" s="97"/>
      <c r="NXI28" s="97"/>
      <c r="NXJ28" s="97"/>
      <c r="NXK28" s="97"/>
      <c r="NXL28" s="97"/>
      <c r="NXM28" s="97"/>
      <c r="NXN28" s="97"/>
      <c r="NXO28" s="97"/>
      <c r="NXP28" s="97"/>
      <c r="NXQ28" s="97"/>
      <c r="NXR28" s="97"/>
      <c r="NXS28" s="97"/>
      <c r="NXT28" s="97"/>
      <c r="NXU28" s="97"/>
      <c r="NXV28" s="97"/>
      <c r="NXW28" s="97"/>
      <c r="NXX28" s="97"/>
      <c r="NXY28" s="97"/>
      <c r="NXZ28" s="97"/>
      <c r="NYA28" s="97"/>
      <c r="NYB28" s="97"/>
      <c r="NYC28" s="97"/>
      <c r="NYD28" s="97"/>
      <c r="NYE28" s="97"/>
      <c r="NYF28" s="97"/>
      <c r="NYG28" s="97"/>
      <c r="NYH28" s="97"/>
      <c r="NYI28" s="97"/>
      <c r="NYJ28" s="97"/>
      <c r="NYK28" s="97"/>
      <c r="NYL28" s="97"/>
      <c r="NYM28" s="97"/>
      <c r="NYN28" s="97"/>
      <c r="NYO28" s="97"/>
      <c r="NYP28" s="97"/>
      <c r="NYQ28" s="97"/>
      <c r="NYR28" s="97"/>
      <c r="NYS28" s="97"/>
      <c r="NYT28" s="97"/>
      <c r="NYU28" s="97"/>
      <c r="NYV28" s="97"/>
      <c r="NYW28" s="97"/>
      <c r="NYX28" s="97"/>
      <c r="NYY28" s="97"/>
      <c r="NYZ28" s="97"/>
      <c r="NZA28" s="97"/>
      <c r="NZB28" s="97"/>
      <c r="NZC28" s="97"/>
      <c r="NZD28" s="97"/>
      <c r="NZE28" s="97"/>
      <c r="NZF28" s="97"/>
      <c r="NZG28" s="97"/>
      <c r="NZH28" s="97"/>
      <c r="NZI28" s="97"/>
      <c r="NZJ28" s="97"/>
      <c r="NZK28" s="97"/>
      <c r="NZL28" s="97"/>
      <c r="NZM28" s="97"/>
      <c r="NZN28" s="97"/>
      <c r="NZO28" s="97"/>
      <c r="NZP28" s="97"/>
      <c r="NZQ28" s="97"/>
      <c r="NZR28" s="97"/>
      <c r="NZS28" s="97"/>
      <c r="NZT28" s="97"/>
      <c r="NZU28" s="97"/>
      <c r="NZV28" s="97"/>
      <c r="NZW28" s="97"/>
      <c r="NZX28" s="97"/>
      <c r="NZY28" s="97"/>
      <c r="NZZ28" s="97"/>
      <c r="OAA28" s="97"/>
      <c r="OAB28" s="97"/>
      <c r="OAC28" s="97"/>
      <c r="OAD28" s="97"/>
      <c r="OAE28" s="97"/>
      <c r="OAF28" s="97"/>
      <c r="OAG28" s="97"/>
      <c r="OAH28" s="97"/>
      <c r="OAI28" s="97"/>
      <c r="OAJ28" s="97"/>
      <c r="OAK28" s="97"/>
      <c r="OAL28" s="97"/>
      <c r="OAM28" s="97"/>
      <c r="OAN28" s="97"/>
      <c r="OAO28" s="97"/>
      <c r="OAP28" s="97"/>
      <c r="OAQ28" s="97"/>
      <c r="OAR28" s="97"/>
      <c r="OAS28" s="97"/>
      <c r="OAT28" s="97"/>
      <c r="OAU28" s="97"/>
      <c r="OAV28" s="97"/>
      <c r="OAW28" s="97"/>
      <c r="OAX28" s="97"/>
      <c r="OAY28" s="97"/>
      <c r="OAZ28" s="97"/>
      <c r="OBA28" s="97"/>
      <c r="OBB28" s="97"/>
      <c r="OBC28" s="97"/>
      <c r="OBD28" s="97"/>
      <c r="OBE28" s="97"/>
      <c r="OBF28" s="97"/>
      <c r="OBG28" s="97"/>
      <c r="OBH28" s="97"/>
      <c r="OBI28" s="97"/>
      <c r="OBJ28" s="97"/>
      <c r="OBK28" s="97"/>
      <c r="OBL28" s="97"/>
      <c r="OBM28" s="97"/>
      <c r="OBN28" s="97"/>
      <c r="OBO28" s="97"/>
      <c r="OBP28" s="97"/>
      <c r="OBQ28" s="97"/>
      <c r="OBR28" s="97"/>
      <c r="OBS28" s="97"/>
      <c r="OBT28" s="97"/>
      <c r="OBU28" s="97"/>
      <c r="OBV28" s="97"/>
      <c r="OBW28" s="97"/>
      <c r="OBX28" s="97"/>
      <c r="OBY28" s="97"/>
      <c r="OBZ28" s="97"/>
      <c r="OCA28" s="97"/>
      <c r="OCB28" s="97"/>
      <c r="OCC28" s="97"/>
      <c r="OCD28" s="97"/>
      <c r="OCE28" s="97"/>
      <c r="OCF28" s="97"/>
      <c r="OCG28" s="97"/>
      <c r="OCH28" s="97"/>
      <c r="OCI28" s="97"/>
      <c r="OCJ28" s="97"/>
      <c r="OCK28" s="97"/>
      <c r="OCL28" s="97"/>
      <c r="OCM28" s="97"/>
      <c r="OCN28" s="97"/>
      <c r="OCO28" s="97"/>
      <c r="OCP28" s="97"/>
      <c r="OCQ28" s="97"/>
      <c r="OCR28" s="97"/>
      <c r="OCS28" s="97"/>
      <c r="OCT28" s="97"/>
      <c r="OCU28" s="97"/>
      <c r="OCV28" s="97"/>
      <c r="OCW28" s="97"/>
      <c r="OCX28" s="97"/>
      <c r="OCY28" s="97"/>
      <c r="OCZ28" s="97"/>
      <c r="ODA28" s="97"/>
      <c r="ODB28" s="97"/>
      <c r="ODC28" s="97"/>
      <c r="ODD28" s="97"/>
      <c r="ODE28" s="97"/>
      <c r="ODF28" s="97"/>
      <c r="ODG28" s="97"/>
      <c r="ODH28" s="97"/>
      <c r="ODI28" s="97"/>
      <c r="ODJ28" s="97"/>
      <c r="ODK28" s="97"/>
      <c r="ODL28" s="97"/>
      <c r="ODM28" s="97"/>
      <c r="ODN28" s="97"/>
      <c r="ODO28" s="97"/>
      <c r="ODP28" s="97"/>
      <c r="ODQ28" s="97"/>
      <c r="ODR28" s="97"/>
      <c r="ODS28" s="97"/>
      <c r="ODT28" s="97"/>
      <c r="ODU28" s="97"/>
      <c r="ODV28" s="97"/>
      <c r="ODW28" s="97"/>
      <c r="ODX28" s="97"/>
      <c r="ODY28" s="97"/>
      <c r="ODZ28" s="97"/>
      <c r="OEA28" s="97"/>
      <c r="OEB28" s="97"/>
      <c r="OEC28" s="97"/>
      <c r="OED28" s="97"/>
      <c r="OEE28" s="97"/>
      <c r="OEF28" s="97"/>
      <c r="OEG28" s="97"/>
      <c r="OEH28" s="97"/>
      <c r="OEI28" s="97"/>
      <c r="OEJ28" s="97"/>
      <c r="OEK28" s="97"/>
      <c r="OEL28" s="97"/>
      <c r="OEM28" s="97"/>
      <c r="OEN28" s="97"/>
      <c r="OEO28" s="97"/>
      <c r="OEP28" s="97"/>
      <c r="OEQ28" s="97"/>
      <c r="OER28" s="97"/>
      <c r="OES28" s="97"/>
      <c r="OET28" s="97"/>
      <c r="OEU28" s="97"/>
      <c r="OEV28" s="97"/>
      <c r="OEW28" s="97"/>
      <c r="OEX28" s="97"/>
      <c r="OEY28" s="97"/>
      <c r="OEZ28" s="97"/>
      <c r="OFA28" s="97"/>
      <c r="OFB28" s="97"/>
      <c r="OFC28" s="97"/>
      <c r="OFD28" s="97"/>
      <c r="OFE28" s="97"/>
      <c r="OFF28" s="97"/>
      <c r="OFG28" s="97"/>
      <c r="OFH28" s="97"/>
      <c r="OFI28" s="97"/>
      <c r="OFJ28" s="97"/>
      <c r="OFK28" s="97"/>
      <c r="OFL28" s="97"/>
      <c r="OFM28" s="97"/>
      <c r="OFN28" s="97"/>
      <c r="OFO28" s="97"/>
      <c r="OFP28" s="97"/>
      <c r="OFQ28" s="97"/>
      <c r="OFR28" s="97"/>
      <c r="OFS28" s="97"/>
      <c r="OFT28" s="97"/>
      <c r="OFU28" s="97"/>
      <c r="OFV28" s="97"/>
      <c r="OFW28" s="97"/>
      <c r="OFX28" s="97"/>
      <c r="OFY28" s="97"/>
      <c r="OFZ28" s="97"/>
      <c r="OGA28" s="97"/>
      <c r="OGB28" s="97"/>
      <c r="OGC28" s="97"/>
      <c r="OGD28" s="97"/>
      <c r="OGE28" s="97"/>
      <c r="OGF28" s="97"/>
      <c r="OGG28" s="97"/>
      <c r="OGH28" s="97"/>
      <c r="OGI28" s="97"/>
      <c r="OGJ28" s="97"/>
      <c r="OGK28" s="97"/>
      <c r="OGL28" s="97"/>
      <c r="OGM28" s="97"/>
      <c r="OGN28" s="97"/>
      <c r="OGO28" s="97"/>
      <c r="OGP28" s="97"/>
      <c r="OGQ28" s="97"/>
      <c r="OGR28" s="97"/>
      <c r="OGS28" s="97"/>
      <c r="OGT28" s="97"/>
      <c r="OGU28" s="97"/>
      <c r="OGV28" s="97"/>
      <c r="OGW28" s="97"/>
      <c r="OGX28" s="97"/>
      <c r="OGY28" s="97"/>
      <c r="OGZ28" s="97"/>
      <c r="OHA28" s="97"/>
      <c r="OHB28" s="97"/>
      <c r="OHC28" s="97"/>
      <c r="OHD28" s="97"/>
      <c r="OHE28" s="97"/>
      <c r="OHF28" s="97"/>
      <c r="OHG28" s="97"/>
      <c r="OHH28" s="97"/>
      <c r="OHI28" s="97"/>
      <c r="OHJ28" s="97"/>
      <c r="OHK28" s="97"/>
      <c r="OHL28" s="97"/>
      <c r="OHM28" s="97"/>
      <c r="OHN28" s="97"/>
      <c r="OHO28" s="97"/>
      <c r="OHP28" s="97"/>
      <c r="OHQ28" s="97"/>
      <c r="OHR28" s="97"/>
      <c r="OHS28" s="97"/>
      <c r="OHT28" s="97"/>
      <c r="OHU28" s="97"/>
      <c r="OHV28" s="97"/>
      <c r="OHW28" s="97"/>
      <c r="OHX28" s="97"/>
      <c r="OHY28" s="97"/>
      <c r="OHZ28" s="97"/>
      <c r="OIA28" s="97"/>
      <c r="OIB28" s="97"/>
      <c r="OIC28" s="97"/>
      <c r="OID28" s="97"/>
      <c r="OIE28" s="97"/>
      <c r="OIF28" s="97"/>
      <c r="OIG28" s="97"/>
      <c r="OIH28" s="97"/>
      <c r="OII28" s="97"/>
      <c r="OIJ28" s="97"/>
      <c r="OIK28" s="97"/>
      <c r="OIL28" s="97"/>
      <c r="OIM28" s="97"/>
      <c r="OIN28" s="97"/>
      <c r="OIO28" s="97"/>
      <c r="OIP28" s="97"/>
      <c r="OIQ28" s="97"/>
      <c r="OIR28" s="97"/>
      <c r="OIS28" s="97"/>
      <c r="OIT28" s="97"/>
      <c r="OIU28" s="97"/>
      <c r="OIV28" s="97"/>
      <c r="OIW28" s="97"/>
      <c r="OIX28" s="97"/>
      <c r="OIY28" s="97"/>
      <c r="OIZ28" s="97"/>
      <c r="OJA28" s="97"/>
      <c r="OJB28" s="97"/>
      <c r="OJC28" s="97"/>
      <c r="OJD28" s="97"/>
      <c r="OJE28" s="97"/>
      <c r="OJF28" s="97"/>
      <c r="OJG28" s="97"/>
      <c r="OJH28" s="97"/>
      <c r="OJI28" s="97"/>
      <c r="OJJ28" s="97"/>
      <c r="OJK28" s="97"/>
      <c r="OJL28" s="97"/>
      <c r="OJM28" s="97"/>
      <c r="OJN28" s="97"/>
      <c r="OJO28" s="97"/>
      <c r="OJP28" s="97"/>
      <c r="OJQ28" s="97"/>
      <c r="OJR28" s="97"/>
      <c r="OJS28" s="97"/>
      <c r="OJT28" s="97"/>
      <c r="OJU28" s="97"/>
      <c r="OJV28" s="97"/>
      <c r="OJW28" s="97"/>
      <c r="OJX28" s="97"/>
      <c r="OJY28" s="97"/>
      <c r="OJZ28" s="97"/>
      <c r="OKA28" s="97"/>
      <c r="OKB28" s="97"/>
      <c r="OKC28" s="97"/>
      <c r="OKD28" s="97"/>
      <c r="OKE28" s="97"/>
      <c r="OKF28" s="97"/>
      <c r="OKG28" s="97"/>
      <c r="OKH28" s="97"/>
      <c r="OKI28" s="97"/>
      <c r="OKJ28" s="97"/>
      <c r="OKK28" s="97"/>
      <c r="OKL28" s="97"/>
      <c r="OKM28" s="97"/>
      <c r="OKN28" s="97"/>
      <c r="OKO28" s="97"/>
      <c r="OKP28" s="97"/>
      <c r="OKQ28" s="97"/>
      <c r="OKR28" s="97"/>
      <c r="OKS28" s="97"/>
      <c r="OKT28" s="97"/>
      <c r="OKU28" s="97"/>
      <c r="OKV28" s="97"/>
      <c r="OKW28" s="97"/>
      <c r="OKX28" s="97"/>
      <c r="OKY28" s="97"/>
      <c r="OKZ28" s="97"/>
      <c r="OLA28" s="97"/>
      <c r="OLB28" s="97"/>
      <c r="OLC28" s="97"/>
      <c r="OLD28" s="97"/>
      <c r="OLE28" s="97"/>
      <c r="OLF28" s="97"/>
      <c r="OLG28" s="97"/>
      <c r="OLH28" s="97"/>
      <c r="OLI28" s="97"/>
      <c r="OLJ28" s="97"/>
      <c r="OLK28" s="97"/>
      <c r="OLL28" s="97"/>
      <c r="OLM28" s="97"/>
      <c r="OLN28" s="97"/>
      <c r="OLO28" s="97"/>
      <c r="OLP28" s="97"/>
      <c r="OLQ28" s="97"/>
      <c r="OLR28" s="97"/>
      <c r="OLS28" s="97"/>
      <c r="OLT28" s="97"/>
      <c r="OLU28" s="97"/>
      <c r="OLV28" s="97"/>
      <c r="OLW28" s="97"/>
      <c r="OLX28" s="97"/>
      <c r="OLY28" s="97"/>
      <c r="OLZ28" s="97"/>
      <c r="OMA28" s="97"/>
      <c r="OMB28" s="97"/>
      <c r="OMC28" s="97"/>
      <c r="OMD28" s="97"/>
      <c r="OME28" s="97"/>
      <c r="OMF28" s="97"/>
      <c r="OMG28" s="97"/>
      <c r="OMH28" s="97"/>
      <c r="OMI28" s="97"/>
      <c r="OMJ28" s="97"/>
      <c r="OMK28" s="97"/>
      <c r="OML28" s="97"/>
      <c r="OMM28" s="97"/>
      <c r="OMN28" s="97"/>
      <c r="OMO28" s="97"/>
      <c r="OMP28" s="97"/>
      <c r="OMQ28" s="97"/>
      <c r="OMR28" s="97"/>
      <c r="OMS28" s="97"/>
      <c r="OMT28" s="97"/>
      <c r="OMU28" s="97"/>
      <c r="OMV28" s="97"/>
      <c r="OMW28" s="97"/>
      <c r="OMX28" s="97"/>
      <c r="OMY28" s="97"/>
      <c r="OMZ28" s="97"/>
      <c r="ONA28" s="97"/>
      <c r="ONB28" s="97"/>
      <c r="ONC28" s="97"/>
      <c r="OND28" s="97"/>
      <c r="ONE28" s="97"/>
      <c r="ONF28" s="97"/>
      <c r="ONG28" s="97"/>
      <c r="ONH28" s="97"/>
      <c r="ONI28" s="97"/>
      <c r="ONJ28" s="97"/>
      <c r="ONK28" s="97"/>
      <c r="ONL28" s="97"/>
      <c r="ONM28" s="97"/>
      <c r="ONN28" s="97"/>
      <c r="ONO28" s="97"/>
      <c r="ONP28" s="97"/>
      <c r="ONQ28" s="97"/>
      <c r="ONR28" s="97"/>
      <c r="ONS28" s="97"/>
      <c r="ONT28" s="97"/>
      <c r="ONU28" s="97"/>
      <c r="ONV28" s="97"/>
      <c r="ONW28" s="97"/>
      <c r="ONX28" s="97"/>
      <c r="ONY28" s="97"/>
      <c r="ONZ28" s="97"/>
      <c r="OOA28" s="97"/>
      <c r="OOB28" s="97"/>
      <c r="OOC28" s="97"/>
      <c r="OOD28" s="97"/>
      <c r="OOE28" s="97"/>
      <c r="OOF28" s="97"/>
      <c r="OOG28" s="97"/>
      <c r="OOH28" s="97"/>
      <c r="OOI28" s="97"/>
      <c r="OOJ28" s="97"/>
      <c r="OOK28" s="97"/>
      <c r="OOL28" s="97"/>
      <c r="OOM28" s="97"/>
      <c r="OON28" s="97"/>
      <c r="OOO28" s="97"/>
      <c r="OOP28" s="97"/>
      <c r="OOQ28" s="97"/>
      <c r="OOR28" s="97"/>
      <c r="OOS28" s="97"/>
      <c r="OOT28" s="97"/>
      <c r="OOU28" s="97"/>
      <c r="OOV28" s="97"/>
      <c r="OOW28" s="97"/>
      <c r="OOX28" s="97"/>
      <c r="OOY28" s="97"/>
      <c r="OOZ28" s="97"/>
      <c r="OPA28" s="97"/>
      <c r="OPB28" s="97"/>
      <c r="OPC28" s="97"/>
      <c r="OPD28" s="97"/>
      <c r="OPE28" s="97"/>
      <c r="OPF28" s="97"/>
      <c r="OPG28" s="97"/>
      <c r="OPH28" s="97"/>
      <c r="OPI28" s="97"/>
      <c r="OPJ28" s="97"/>
      <c r="OPK28" s="97"/>
      <c r="OPL28" s="97"/>
      <c r="OPM28" s="97"/>
      <c r="OPN28" s="97"/>
      <c r="OPO28" s="97"/>
      <c r="OPP28" s="97"/>
      <c r="OPQ28" s="97"/>
      <c r="OPR28" s="97"/>
      <c r="OPS28" s="97"/>
      <c r="OPT28" s="97"/>
      <c r="OPU28" s="97"/>
      <c r="OPV28" s="97"/>
      <c r="OPW28" s="97"/>
      <c r="OPX28" s="97"/>
      <c r="OPY28" s="97"/>
      <c r="OPZ28" s="97"/>
      <c r="OQA28" s="97"/>
      <c r="OQB28" s="97"/>
      <c r="OQC28" s="97"/>
      <c r="OQD28" s="97"/>
      <c r="OQE28" s="97"/>
      <c r="OQF28" s="97"/>
      <c r="OQG28" s="97"/>
      <c r="OQH28" s="97"/>
      <c r="OQI28" s="97"/>
      <c r="OQJ28" s="97"/>
      <c r="OQK28" s="97"/>
      <c r="OQL28" s="97"/>
      <c r="OQM28" s="97"/>
      <c r="OQN28" s="97"/>
      <c r="OQO28" s="97"/>
      <c r="OQP28" s="97"/>
      <c r="OQQ28" s="97"/>
      <c r="OQR28" s="97"/>
      <c r="OQS28" s="97"/>
      <c r="OQT28" s="97"/>
      <c r="OQU28" s="97"/>
      <c r="OQV28" s="97"/>
      <c r="OQW28" s="97"/>
      <c r="OQX28" s="97"/>
      <c r="OQY28" s="97"/>
      <c r="OQZ28" s="97"/>
      <c r="ORA28" s="97"/>
      <c r="ORB28" s="97"/>
      <c r="ORC28" s="97"/>
      <c r="ORD28" s="97"/>
      <c r="ORE28" s="97"/>
      <c r="ORF28" s="97"/>
      <c r="ORG28" s="97"/>
      <c r="ORH28" s="97"/>
      <c r="ORI28" s="97"/>
      <c r="ORJ28" s="97"/>
      <c r="ORK28" s="97"/>
      <c r="ORL28" s="97"/>
      <c r="ORM28" s="97"/>
      <c r="ORN28" s="97"/>
      <c r="ORO28" s="97"/>
      <c r="ORP28" s="97"/>
      <c r="ORQ28" s="97"/>
      <c r="ORR28" s="97"/>
      <c r="ORS28" s="97"/>
      <c r="ORT28" s="97"/>
      <c r="ORU28" s="97"/>
      <c r="ORV28" s="97"/>
      <c r="ORW28" s="97"/>
      <c r="ORX28" s="97"/>
      <c r="ORY28" s="97"/>
      <c r="ORZ28" s="97"/>
      <c r="OSA28" s="97"/>
      <c r="OSB28" s="97"/>
      <c r="OSC28" s="97"/>
      <c r="OSD28" s="97"/>
      <c r="OSE28" s="97"/>
      <c r="OSF28" s="97"/>
      <c r="OSG28" s="97"/>
      <c r="OSH28" s="97"/>
      <c r="OSI28" s="97"/>
      <c r="OSJ28" s="97"/>
      <c r="OSK28" s="97"/>
      <c r="OSL28" s="97"/>
      <c r="OSM28" s="97"/>
      <c r="OSN28" s="97"/>
      <c r="OSO28" s="97"/>
      <c r="OSP28" s="97"/>
      <c r="OSQ28" s="97"/>
      <c r="OSR28" s="97"/>
      <c r="OSS28" s="97"/>
      <c r="OST28" s="97"/>
      <c r="OSU28" s="97"/>
      <c r="OSV28" s="97"/>
      <c r="OSW28" s="97"/>
      <c r="OSX28" s="97"/>
      <c r="OSY28" s="97"/>
      <c r="OSZ28" s="97"/>
      <c r="OTA28" s="97"/>
      <c r="OTB28" s="97"/>
      <c r="OTC28" s="97"/>
      <c r="OTD28" s="97"/>
      <c r="OTE28" s="97"/>
      <c r="OTF28" s="97"/>
      <c r="OTG28" s="97"/>
      <c r="OTH28" s="97"/>
      <c r="OTI28" s="97"/>
      <c r="OTJ28" s="97"/>
      <c r="OTK28" s="97"/>
      <c r="OTL28" s="97"/>
      <c r="OTM28" s="97"/>
      <c r="OTN28" s="97"/>
      <c r="OTO28" s="97"/>
      <c r="OTP28" s="97"/>
      <c r="OTQ28" s="97"/>
      <c r="OTR28" s="97"/>
      <c r="OTS28" s="97"/>
      <c r="OTT28" s="97"/>
      <c r="OTU28" s="97"/>
      <c r="OTV28" s="97"/>
      <c r="OTW28" s="97"/>
      <c r="OTX28" s="97"/>
      <c r="OTY28" s="97"/>
      <c r="OTZ28" s="97"/>
      <c r="OUA28" s="97"/>
      <c r="OUB28" s="97"/>
      <c r="OUC28" s="97"/>
      <c r="OUD28" s="97"/>
      <c r="OUE28" s="97"/>
      <c r="OUF28" s="97"/>
      <c r="OUG28" s="97"/>
      <c r="OUH28" s="97"/>
      <c r="OUI28" s="97"/>
      <c r="OUJ28" s="97"/>
      <c r="OUK28" s="97"/>
      <c r="OUL28" s="97"/>
      <c r="OUM28" s="97"/>
      <c r="OUN28" s="97"/>
      <c r="OUO28" s="97"/>
      <c r="OUP28" s="97"/>
      <c r="OUQ28" s="97"/>
      <c r="OUR28" s="97"/>
      <c r="OUS28" s="97"/>
      <c r="OUT28" s="97"/>
      <c r="OUU28" s="97"/>
      <c r="OUV28" s="97"/>
      <c r="OUW28" s="97"/>
      <c r="OUX28" s="97"/>
      <c r="OUY28" s="97"/>
      <c r="OUZ28" s="97"/>
      <c r="OVA28" s="97"/>
      <c r="OVB28" s="97"/>
      <c r="OVC28" s="97"/>
      <c r="OVD28" s="97"/>
      <c r="OVE28" s="97"/>
      <c r="OVF28" s="97"/>
      <c r="OVG28" s="97"/>
      <c r="OVH28" s="97"/>
      <c r="OVI28" s="97"/>
      <c r="OVJ28" s="97"/>
      <c r="OVK28" s="97"/>
      <c r="OVL28" s="97"/>
      <c r="OVM28" s="97"/>
      <c r="OVN28" s="97"/>
      <c r="OVO28" s="97"/>
      <c r="OVP28" s="97"/>
      <c r="OVQ28" s="97"/>
      <c r="OVR28" s="97"/>
      <c r="OVS28" s="97"/>
      <c r="OVT28" s="97"/>
      <c r="OVU28" s="97"/>
      <c r="OVV28" s="97"/>
      <c r="OVW28" s="97"/>
      <c r="OVX28" s="97"/>
      <c r="OVY28" s="97"/>
      <c r="OVZ28" s="97"/>
      <c r="OWA28" s="97"/>
      <c r="OWB28" s="97"/>
      <c r="OWC28" s="97"/>
      <c r="OWD28" s="97"/>
      <c r="OWE28" s="97"/>
      <c r="OWF28" s="97"/>
      <c r="OWG28" s="97"/>
      <c r="OWH28" s="97"/>
      <c r="OWI28" s="97"/>
      <c r="OWJ28" s="97"/>
      <c r="OWK28" s="97"/>
      <c r="OWL28" s="97"/>
      <c r="OWM28" s="97"/>
      <c r="OWN28" s="97"/>
      <c r="OWO28" s="97"/>
      <c r="OWP28" s="97"/>
      <c r="OWQ28" s="97"/>
      <c r="OWR28" s="97"/>
      <c r="OWS28" s="97"/>
      <c r="OWT28" s="97"/>
      <c r="OWU28" s="97"/>
      <c r="OWV28" s="97"/>
      <c r="OWW28" s="97"/>
      <c r="OWX28" s="97"/>
      <c r="OWY28" s="97"/>
      <c r="OWZ28" s="97"/>
      <c r="OXA28" s="97"/>
      <c r="OXB28" s="97"/>
      <c r="OXC28" s="97"/>
      <c r="OXD28" s="97"/>
      <c r="OXE28" s="97"/>
      <c r="OXF28" s="97"/>
      <c r="OXG28" s="97"/>
      <c r="OXH28" s="97"/>
      <c r="OXI28" s="97"/>
      <c r="OXJ28" s="97"/>
      <c r="OXK28" s="97"/>
      <c r="OXL28" s="97"/>
      <c r="OXM28" s="97"/>
      <c r="OXN28" s="97"/>
      <c r="OXO28" s="97"/>
      <c r="OXP28" s="97"/>
      <c r="OXQ28" s="97"/>
      <c r="OXR28" s="97"/>
      <c r="OXS28" s="97"/>
      <c r="OXT28" s="97"/>
      <c r="OXU28" s="97"/>
      <c r="OXV28" s="97"/>
      <c r="OXW28" s="97"/>
      <c r="OXX28" s="97"/>
      <c r="OXY28" s="97"/>
      <c r="OXZ28" s="97"/>
      <c r="OYA28" s="97"/>
      <c r="OYB28" s="97"/>
      <c r="OYC28" s="97"/>
      <c r="OYD28" s="97"/>
      <c r="OYE28" s="97"/>
      <c r="OYF28" s="97"/>
      <c r="OYG28" s="97"/>
      <c r="OYH28" s="97"/>
      <c r="OYI28" s="97"/>
      <c r="OYJ28" s="97"/>
      <c r="OYK28" s="97"/>
      <c r="OYL28" s="97"/>
      <c r="OYM28" s="97"/>
      <c r="OYN28" s="97"/>
      <c r="OYO28" s="97"/>
      <c r="OYP28" s="97"/>
      <c r="OYQ28" s="97"/>
      <c r="OYR28" s="97"/>
      <c r="OYS28" s="97"/>
      <c r="OYT28" s="97"/>
      <c r="OYU28" s="97"/>
      <c r="OYV28" s="97"/>
      <c r="OYW28" s="97"/>
      <c r="OYX28" s="97"/>
      <c r="OYY28" s="97"/>
      <c r="OYZ28" s="97"/>
      <c r="OZA28" s="97"/>
      <c r="OZB28" s="97"/>
      <c r="OZC28" s="97"/>
      <c r="OZD28" s="97"/>
      <c r="OZE28" s="97"/>
      <c r="OZF28" s="97"/>
      <c r="OZG28" s="97"/>
      <c r="OZH28" s="97"/>
      <c r="OZI28" s="97"/>
      <c r="OZJ28" s="97"/>
      <c r="OZK28" s="97"/>
      <c r="OZL28" s="97"/>
      <c r="OZM28" s="97"/>
      <c r="OZN28" s="97"/>
      <c r="OZO28" s="97"/>
      <c r="OZP28" s="97"/>
      <c r="OZQ28" s="97"/>
      <c r="OZR28" s="97"/>
      <c r="OZS28" s="97"/>
      <c r="OZT28" s="97"/>
      <c r="OZU28" s="97"/>
      <c r="OZV28" s="97"/>
      <c r="OZW28" s="97"/>
      <c r="OZX28" s="97"/>
      <c r="OZY28" s="97"/>
      <c r="OZZ28" s="97"/>
      <c r="PAA28" s="97"/>
      <c r="PAB28" s="97"/>
      <c r="PAC28" s="97"/>
      <c r="PAD28" s="97"/>
      <c r="PAE28" s="97"/>
      <c r="PAF28" s="97"/>
      <c r="PAG28" s="97"/>
      <c r="PAH28" s="97"/>
      <c r="PAI28" s="97"/>
      <c r="PAJ28" s="97"/>
      <c r="PAK28" s="97"/>
      <c r="PAL28" s="97"/>
      <c r="PAM28" s="97"/>
      <c r="PAN28" s="97"/>
      <c r="PAO28" s="97"/>
      <c r="PAP28" s="97"/>
      <c r="PAQ28" s="97"/>
      <c r="PAR28" s="97"/>
      <c r="PAS28" s="97"/>
      <c r="PAT28" s="97"/>
      <c r="PAU28" s="97"/>
      <c r="PAV28" s="97"/>
      <c r="PAW28" s="97"/>
      <c r="PAX28" s="97"/>
      <c r="PAY28" s="97"/>
      <c r="PAZ28" s="97"/>
      <c r="PBA28" s="97"/>
      <c r="PBB28" s="97"/>
      <c r="PBC28" s="97"/>
      <c r="PBD28" s="97"/>
      <c r="PBE28" s="97"/>
      <c r="PBF28" s="97"/>
      <c r="PBG28" s="97"/>
      <c r="PBH28" s="97"/>
      <c r="PBI28" s="97"/>
      <c r="PBJ28" s="97"/>
      <c r="PBK28" s="97"/>
      <c r="PBL28" s="97"/>
      <c r="PBM28" s="97"/>
      <c r="PBN28" s="97"/>
      <c r="PBO28" s="97"/>
      <c r="PBP28" s="97"/>
      <c r="PBQ28" s="97"/>
      <c r="PBR28" s="97"/>
      <c r="PBS28" s="97"/>
      <c r="PBT28" s="97"/>
      <c r="PBU28" s="97"/>
      <c r="PBV28" s="97"/>
      <c r="PBW28" s="97"/>
      <c r="PBX28" s="97"/>
      <c r="PBY28" s="97"/>
      <c r="PBZ28" s="97"/>
      <c r="PCA28" s="97"/>
      <c r="PCB28" s="97"/>
      <c r="PCC28" s="97"/>
      <c r="PCD28" s="97"/>
      <c r="PCE28" s="97"/>
      <c r="PCF28" s="97"/>
      <c r="PCG28" s="97"/>
      <c r="PCH28" s="97"/>
      <c r="PCI28" s="97"/>
      <c r="PCJ28" s="97"/>
      <c r="PCK28" s="97"/>
      <c r="PCL28" s="97"/>
      <c r="PCM28" s="97"/>
      <c r="PCN28" s="97"/>
      <c r="PCO28" s="97"/>
      <c r="PCP28" s="97"/>
      <c r="PCQ28" s="97"/>
      <c r="PCR28" s="97"/>
      <c r="PCS28" s="97"/>
      <c r="PCT28" s="97"/>
      <c r="PCU28" s="97"/>
      <c r="PCV28" s="97"/>
      <c r="PCW28" s="97"/>
      <c r="PCX28" s="97"/>
      <c r="PCY28" s="97"/>
      <c r="PCZ28" s="97"/>
      <c r="PDA28" s="97"/>
      <c r="PDB28" s="97"/>
      <c r="PDC28" s="97"/>
      <c r="PDD28" s="97"/>
      <c r="PDE28" s="97"/>
      <c r="PDF28" s="97"/>
      <c r="PDG28" s="97"/>
      <c r="PDH28" s="97"/>
      <c r="PDI28" s="97"/>
      <c r="PDJ28" s="97"/>
      <c r="PDK28" s="97"/>
      <c r="PDL28" s="97"/>
      <c r="PDM28" s="97"/>
      <c r="PDN28" s="97"/>
      <c r="PDO28" s="97"/>
      <c r="PDP28" s="97"/>
      <c r="PDQ28" s="97"/>
      <c r="PDR28" s="97"/>
      <c r="PDS28" s="97"/>
      <c r="PDT28" s="97"/>
      <c r="PDU28" s="97"/>
      <c r="PDV28" s="97"/>
      <c r="PDW28" s="97"/>
      <c r="PDX28" s="97"/>
      <c r="PDY28" s="97"/>
      <c r="PDZ28" s="97"/>
      <c r="PEA28" s="97"/>
      <c r="PEB28" s="97"/>
      <c r="PEC28" s="97"/>
      <c r="PED28" s="97"/>
      <c r="PEE28" s="97"/>
      <c r="PEF28" s="97"/>
      <c r="PEG28" s="97"/>
      <c r="PEH28" s="97"/>
      <c r="PEI28" s="97"/>
      <c r="PEJ28" s="97"/>
      <c r="PEK28" s="97"/>
      <c r="PEL28" s="97"/>
      <c r="PEM28" s="97"/>
      <c r="PEN28" s="97"/>
      <c r="PEO28" s="97"/>
      <c r="PEP28" s="97"/>
      <c r="PEQ28" s="97"/>
      <c r="PER28" s="97"/>
      <c r="PES28" s="97"/>
      <c r="PET28" s="97"/>
      <c r="PEU28" s="97"/>
      <c r="PEV28" s="97"/>
      <c r="PEW28" s="97"/>
      <c r="PEX28" s="97"/>
      <c r="PEY28" s="97"/>
      <c r="PEZ28" s="97"/>
      <c r="PFA28" s="97"/>
      <c r="PFB28" s="97"/>
      <c r="PFC28" s="97"/>
      <c r="PFD28" s="97"/>
      <c r="PFE28" s="97"/>
      <c r="PFF28" s="97"/>
      <c r="PFG28" s="97"/>
      <c r="PFH28" s="97"/>
      <c r="PFI28" s="97"/>
      <c r="PFJ28" s="97"/>
      <c r="PFK28" s="97"/>
      <c r="PFL28" s="97"/>
      <c r="PFM28" s="97"/>
      <c r="PFN28" s="97"/>
      <c r="PFO28" s="97"/>
      <c r="PFP28" s="97"/>
      <c r="PFQ28" s="97"/>
      <c r="PFR28" s="97"/>
      <c r="PFS28" s="97"/>
      <c r="PFT28" s="97"/>
      <c r="PFU28" s="97"/>
      <c r="PFV28" s="97"/>
      <c r="PFW28" s="97"/>
      <c r="PFX28" s="97"/>
      <c r="PFY28" s="97"/>
      <c r="PFZ28" s="97"/>
      <c r="PGA28" s="97"/>
      <c r="PGB28" s="97"/>
      <c r="PGC28" s="97"/>
      <c r="PGD28" s="97"/>
      <c r="PGE28" s="97"/>
      <c r="PGF28" s="97"/>
      <c r="PGG28" s="97"/>
      <c r="PGH28" s="97"/>
      <c r="PGI28" s="97"/>
      <c r="PGJ28" s="97"/>
      <c r="PGK28" s="97"/>
      <c r="PGL28" s="97"/>
      <c r="PGM28" s="97"/>
      <c r="PGN28" s="97"/>
      <c r="PGO28" s="97"/>
      <c r="PGP28" s="97"/>
      <c r="PGQ28" s="97"/>
      <c r="PGR28" s="97"/>
      <c r="PGS28" s="97"/>
      <c r="PGT28" s="97"/>
      <c r="PGU28" s="97"/>
      <c r="PGV28" s="97"/>
      <c r="PGW28" s="97"/>
      <c r="PGX28" s="97"/>
      <c r="PGY28" s="97"/>
      <c r="PGZ28" s="97"/>
      <c r="PHA28" s="97"/>
      <c r="PHB28" s="97"/>
      <c r="PHC28" s="97"/>
      <c r="PHD28" s="97"/>
      <c r="PHE28" s="97"/>
      <c r="PHF28" s="97"/>
      <c r="PHG28" s="97"/>
      <c r="PHH28" s="97"/>
      <c r="PHI28" s="97"/>
      <c r="PHJ28" s="97"/>
      <c r="PHK28" s="97"/>
      <c r="PHL28" s="97"/>
      <c r="PHM28" s="97"/>
      <c r="PHN28" s="97"/>
      <c r="PHO28" s="97"/>
      <c r="PHP28" s="97"/>
      <c r="PHQ28" s="97"/>
      <c r="PHR28" s="97"/>
      <c r="PHS28" s="97"/>
      <c r="PHT28" s="97"/>
      <c r="PHU28" s="97"/>
      <c r="PHV28" s="97"/>
      <c r="PHW28" s="97"/>
      <c r="PHX28" s="97"/>
      <c r="PHY28" s="97"/>
      <c r="PHZ28" s="97"/>
      <c r="PIA28" s="97"/>
      <c r="PIB28" s="97"/>
      <c r="PIC28" s="97"/>
      <c r="PID28" s="97"/>
      <c r="PIE28" s="97"/>
      <c r="PIF28" s="97"/>
      <c r="PIG28" s="97"/>
      <c r="PIH28" s="97"/>
      <c r="PII28" s="97"/>
      <c r="PIJ28" s="97"/>
      <c r="PIK28" s="97"/>
      <c r="PIL28" s="97"/>
      <c r="PIM28" s="97"/>
      <c r="PIN28" s="97"/>
      <c r="PIO28" s="97"/>
      <c r="PIP28" s="97"/>
      <c r="PIQ28" s="97"/>
      <c r="PIR28" s="97"/>
      <c r="PIS28" s="97"/>
      <c r="PIT28" s="97"/>
      <c r="PIU28" s="97"/>
      <c r="PIV28" s="97"/>
      <c r="PIW28" s="97"/>
      <c r="PIX28" s="97"/>
      <c r="PIY28" s="97"/>
      <c r="PIZ28" s="97"/>
      <c r="PJA28" s="97"/>
      <c r="PJB28" s="97"/>
      <c r="PJC28" s="97"/>
      <c r="PJD28" s="97"/>
      <c r="PJE28" s="97"/>
      <c r="PJF28" s="97"/>
      <c r="PJG28" s="97"/>
      <c r="PJH28" s="97"/>
      <c r="PJI28" s="97"/>
      <c r="PJJ28" s="97"/>
      <c r="PJK28" s="97"/>
      <c r="PJL28" s="97"/>
      <c r="PJM28" s="97"/>
      <c r="PJN28" s="97"/>
      <c r="PJO28" s="97"/>
      <c r="PJP28" s="97"/>
      <c r="PJQ28" s="97"/>
      <c r="PJR28" s="97"/>
      <c r="PJS28" s="97"/>
      <c r="PJT28" s="97"/>
      <c r="PJU28" s="97"/>
      <c r="PJV28" s="97"/>
      <c r="PJW28" s="97"/>
      <c r="PJX28" s="97"/>
      <c r="PJY28" s="97"/>
      <c r="PJZ28" s="97"/>
      <c r="PKA28" s="97"/>
      <c r="PKB28" s="97"/>
      <c r="PKC28" s="97"/>
      <c r="PKD28" s="97"/>
      <c r="PKE28" s="97"/>
      <c r="PKF28" s="97"/>
      <c r="PKG28" s="97"/>
      <c r="PKH28" s="97"/>
      <c r="PKI28" s="97"/>
      <c r="PKJ28" s="97"/>
      <c r="PKK28" s="97"/>
      <c r="PKL28" s="97"/>
      <c r="PKM28" s="97"/>
      <c r="PKN28" s="97"/>
      <c r="PKO28" s="97"/>
      <c r="PKP28" s="97"/>
      <c r="PKQ28" s="97"/>
      <c r="PKR28" s="97"/>
      <c r="PKS28" s="97"/>
      <c r="PKT28" s="97"/>
      <c r="PKU28" s="97"/>
      <c r="PKV28" s="97"/>
      <c r="PKW28" s="97"/>
      <c r="PKX28" s="97"/>
      <c r="PKY28" s="97"/>
      <c r="PKZ28" s="97"/>
      <c r="PLA28" s="97"/>
      <c r="PLB28" s="97"/>
      <c r="PLC28" s="97"/>
      <c r="PLD28" s="97"/>
      <c r="PLE28" s="97"/>
      <c r="PLF28" s="97"/>
      <c r="PLG28" s="97"/>
      <c r="PLH28" s="97"/>
      <c r="PLI28" s="97"/>
      <c r="PLJ28" s="97"/>
      <c r="PLK28" s="97"/>
      <c r="PLL28" s="97"/>
      <c r="PLM28" s="97"/>
      <c r="PLN28" s="97"/>
      <c r="PLO28" s="97"/>
      <c r="PLP28" s="97"/>
      <c r="PLQ28" s="97"/>
      <c r="PLR28" s="97"/>
      <c r="PLS28" s="97"/>
      <c r="PLT28" s="97"/>
      <c r="PLU28" s="97"/>
      <c r="PLV28" s="97"/>
      <c r="PLW28" s="97"/>
      <c r="PLX28" s="97"/>
      <c r="PLY28" s="97"/>
      <c r="PLZ28" s="97"/>
      <c r="PMA28" s="97"/>
      <c r="PMB28" s="97"/>
      <c r="PMC28" s="97"/>
      <c r="PMD28" s="97"/>
      <c r="PME28" s="97"/>
      <c r="PMF28" s="97"/>
      <c r="PMG28" s="97"/>
      <c r="PMH28" s="97"/>
      <c r="PMI28" s="97"/>
      <c r="PMJ28" s="97"/>
      <c r="PMK28" s="97"/>
      <c r="PML28" s="97"/>
      <c r="PMM28" s="97"/>
      <c r="PMN28" s="97"/>
      <c r="PMO28" s="97"/>
      <c r="PMP28" s="97"/>
      <c r="PMQ28" s="97"/>
      <c r="PMR28" s="97"/>
      <c r="PMS28" s="97"/>
      <c r="PMT28" s="97"/>
      <c r="PMU28" s="97"/>
      <c r="PMV28" s="97"/>
      <c r="PMW28" s="97"/>
      <c r="PMX28" s="97"/>
      <c r="PMY28" s="97"/>
      <c r="PMZ28" s="97"/>
      <c r="PNA28" s="97"/>
      <c r="PNB28" s="97"/>
      <c r="PNC28" s="97"/>
      <c r="PND28" s="97"/>
      <c r="PNE28" s="97"/>
      <c r="PNF28" s="97"/>
      <c r="PNG28" s="97"/>
      <c r="PNH28" s="97"/>
      <c r="PNI28" s="97"/>
      <c r="PNJ28" s="97"/>
      <c r="PNK28" s="97"/>
      <c r="PNL28" s="97"/>
      <c r="PNM28" s="97"/>
      <c r="PNN28" s="97"/>
      <c r="PNO28" s="97"/>
      <c r="PNP28" s="97"/>
      <c r="PNQ28" s="97"/>
      <c r="PNR28" s="97"/>
      <c r="PNS28" s="97"/>
      <c r="PNT28" s="97"/>
      <c r="PNU28" s="97"/>
      <c r="PNV28" s="97"/>
      <c r="PNW28" s="97"/>
      <c r="PNX28" s="97"/>
      <c r="PNY28" s="97"/>
      <c r="PNZ28" s="97"/>
      <c r="POA28" s="97"/>
      <c r="POB28" s="97"/>
      <c r="POC28" s="97"/>
      <c r="POD28" s="97"/>
      <c r="POE28" s="97"/>
      <c r="POF28" s="97"/>
      <c r="POG28" s="97"/>
      <c r="POH28" s="97"/>
      <c r="POI28" s="97"/>
      <c r="POJ28" s="97"/>
      <c r="POK28" s="97"/>
      <c r="POL28" s="97"/>
      <c r="POM28" s="97"/>
      <c r="PON28" s="97"/>
      <c r="POO28" s="97"/>
      <c r="POP28" s="97"/>
      <c r="POQ28" s="97"/>
      <c r="POR28" s="97"/>
      <c r="POS28" s="97"/>
      <c r="POT28" s="97"/>
      <c r="POU28" s="97"/>
      <c r="POV28" s="97"/>
      <c r="POW28" s="97"/>
      <c r="POX28" s="97"/>
      <c r="POY28" s="97"/>
      <c r="POZ28" s="97"/>
      <c r="PPA28" s="97"/>
      <c r="PPB28" s="97"/>
      <c r="PPC28" s="97"/>
      <c r="PPD28" s="97"/>
      <c r="PPE28" s="97"/>
      <c r="PPF28" s="97"/>
      <c r="PPG28" s="97"/>
      <c r="PPH28" s="97"/>
      <c r="PPI28" s="97"/>
      <c r="PPJ28" s="97"/>
      <c r="PPK28" s="97"/>
      <c r="PPL28" s="97"/>
      <c r="PPM28" s="97"/>
      <c r="PPN28" s="97"/>
      <c r="PPO28" s="97"/>
      <c r="PPP28" s="97"/>
      <c r="PPQ28" s="97"/>
      <c r="PPR28" s="97"/>
      <c r="PPS28" s="97"/>
      <c r="PPT28" s="97"/>
      <c r="PPU28" s="97"/>
      <c r="PPV28" s="97"/>
      <c r="PPW28" s="97"/>
      <c r="PPX28" s="97"/>
      <c r="PPY28" s="97"/>
      <c r="PPZ28" s="97"/>
      <c r="PQA28" s="97"/>
      <c r="PQB28" s="97"/>
      <c r="PQC28" s="97"/>
      <c r="PQD28" s="97"/>
      <c r="PQE28" s="97"/>
      <c r="PQF28" s="97"/>
      <c r="PQG28" s="97"/>
      <c r="PQH28" s="97"/>
      <c r="PQI28" s="97"/>
      <c r="PQJ28" s="97"/>
      <c r="PQK28" s="97"/>
      <c r="PQL28" s="97"/>
      <c r="PQM28" s="97"/>
      <c r="PQN28" s="97"/>
      <c r="PQO28" s="97"/>
      <c r="PQP28" s="97"/>
      <c r="PQQ28" s="97"/>
      <c r="PQR28" s="97"/>
      <c r="PQS28" s="97"/>
      <c r="PQT28" s="97"/>
      <c r="PQU28" s="97"/>
      <c r="PQV28" s="97"/>
      <c r="PQW28" s="97"/>
      <c r="PQX28" s="97"/>
      <c r="PQY28" s="97"/>
      <c r="PQZ28" s="97"/>
      <c r="PRA28" s="97"/>
      <c r="PRB28" s="97"/>
      <c r="PRC28" s="97"/>
      <c r="PRD28" s="97"/>
      <c r="PRE28" s="97"/>
      <c r="PRF28" s="97"/>
      <c r="PRG28" s="97"/>
      <c r="PRH28" s="97"/>
      <c r="PRI28" s="97"/>
      <c r="PRJ28" s="97"/>
      <c r="PRK28" s="97"/>
      <c r="PRL28" s="97"/>
      <c r="PRM28" s="97"/>
      <c r="PRN28" s="97"/>
      <c r="PRO28" s="97"/>
      <c r="PRP28" s="97"/>
      <c r="PRQ28" s="97"/>
      <c r="PRR28" s="97"/>
      <c r="PRS28" s="97"/>
      <c r="PRT28" s="97"/>
      <c r="PRU28" s="97"/>
      <c r="PRV28" s="97"/>
      <c r="PRW28" s="97"/>
      <c r="PRX28" s="97"/>
      <c r="PRY28" s="97"/>
      <c r="PRZ28" s="97"/>
      <c r="PSA28" s="97"/>
      <c r="PSB28" s="97"/>
      <c r="PSC28" s="97"/>
      <c r="PSD28" s="97"/>
      <c r="PSE28" s="97"/>
      <c r="PSF28" s="97"/>
      <c r="PSG28" s="97"/>
      <c r="PSH28" s="97"/>
      <c r="PSI28" s="97"/>
      <c r="PSJ28" s="97"/>
      <c r="PSK28" s="97"/>
      <c r="PSL28" s="97"/>
      <c r="PSM28" s="97"/>
      <c r="PSN28" s="97"/>
      <c r="PSO28" s="97"/>
      <c r="PSP28" s="97"/>
      <c r="PSQ28" s="97"/>
      <c r="PSR28" s="97"/>
      <c r="PSS28" s="97"/>
      <c r="PST28" s="97"/>
      <c r="PSU28" s="97"/>
      <c r="PSV28" s="97"/>
      <c r="PSW28" s="97"/>
      <c r="PSX28" s="97"/>
      <c r="PSY28" s="97"/>
      <c r="PSZ28" s="97"/>
      <c r="PTA28" s="97"/>
      <c r="PTB28" s="97"/>
      <c r="PTC28" s="97"/>
      <c r="PTD28" s="97"/>
      <c r="PTE28" s="97"/>
      <c r="PTF28" s="97"/>
      <c r="PTG28" s="97"/>
      <c r="PTH28" s="97"/>
      <c r="PTI28" s="97"/>
      <c r="PTJ28" s="97"/>
      <c r="PTK28" s="97"/>
      <c r="PTL28" s="97"/>
      <c r="PTM28" s="97"/>
      <c r="PTN28" s="97"/>
      <c r="PTO28" s="97"/>
      <c r="PTP28" s="97"/>
      <c r="PTQ28" s="97"/>
      <c r="PTR28" s="97"/>
      <c r="PTS28" s="97"/>
      <c r="PTT28" s="97"/>
      <c r="PTU28" s="97"/>
      <c r="PTV28" s="97"/>
      <c r="PTW28" s="97"/>
      <c r="PTX28" s="97"/>
      <c r="PTY28" s="97"/>
      <c r="PTZ28" s="97"/>
      <c r="PUA28" s="97"/>
      <c r="PUB28" s="97"/>
      <c r="PUC28" s="97"/>
      <c r="PUD28" s="97"/>
      <c r="PUE28" s="97"/>
      <c r="PUF28" s="97"/>
      <c r="PUG28" s="97"/>
      <c r="PUH28" s="97"/>
      <c r="PUI28" s="97"/>
      <c r="PUJ28" s="97"/>
      <c r="PUK28" s="97"/>
      <c r="PUL28" s="97"/>
      <c r="PUM28" s="97"/>
      <c r="PUN28" s="97"/>
      <c r="PUO28" s="97"/>
      <c r="PUP28" s="97"/>
      <c r="PUQ28" s="97"/>
      <c r="PUR28" s="97"/>
      <c r="PUS28" s="97"/>
      <c r="PUT28" s="97"/>
      <c r="PUU28" s="97"/>
      <c r="PUV28" s="97"/>
      <c r="PUW28" s="97"/>
      <c r="PUX28" s="97"/>
      <c r="PUY28" s="97"/>
      <c r="PUZ28" s="97"/>
      <c r="PVA28" s="97"/>
      <c r="PVB28" s="97"/>
      <c r="PVC28" s="97"/>
      <c r="PVD28" s="97"/>
      <c r="PVE28" s="97"/>
      <c r="PVF28" s="97"/>
      <c r="PVG28" s="97"/>
      <c r="PVH28" s="97"/>
      <c r="PVI28" s="97"/>
      <c r="PVJ28" s="97"/>
      <c r="PVK28" s="97"/>
      <c r="PVL28" s="97"/>
      <c r="PVM28" s="97"/>
      <c r="PVN28" s="97"/>
      <c r="PVO28" s="97"/>
      <c r="PVP28" s="97"/>
      <c r="PVQ28" s="97"/>
      <c r="PVR28" s="97"/>
      <c r="PVS28" s="97"/>
      <c r="PVT28" s="97"/>
      <c r="PVU28" s="97"/>
      <c r="PVV28" s="97"/>
      <c r="PVW28" s="97"/>
      <c r="PVX28" s="97"/>
      <c r="PVY28" s="97"/>
      <c r="PVZ28" s="97"/>
      <c r="PWA28" s="97"/>
      <c r="PWB28" s="97"/>
      <c r="PWC28" s="97"/>
      <c r="PWD28" s="97"/>
      <c r="PWE28" s="97"/>
      <c r="PWF28" s="97"/>
      <c r="PWG28" s="97"/>
      <c r="PWH28" s="97"/>
      <c r="PWI28" s="97"/>
      <c r="PWJ28" s="97"/>
      <c r="PWK28" s="97"/>
      <c r="PWL28" s="97"/>
      <c r="PWM28" s="97"/>
      <c r="PWN28" s="97"/>
      <c r="PWO28" s="97"/>
      <c r="PWP28" s="97"/>
      <c r="PWQ28" s="97"/>
      <c r="PWR28" s="97"/>
      <c r="PWS28" s="97"/>
      <c r="PWT28" s="97"/>
      <c r="PWU28" s="97"/>
      <c r="PWV28" s="97"/>
      <c r="PWW28" s="97"/>
      <c r="PWX28" s="97"/>
      <c r="PWY28" s="97"/>
      <c r="PWZ28" s="97"/>
      <c r="PXA28" s="97"/>
      <c r="PXB28" s="97"/>
      <c r="PXC28" s="97"/>
      <c r="PXD28" s="97"/>
      <c r="PXE28" s="97"/>
      <c r="PXF28" s="97"/>
      <c r="PXG28" s="97"/>
      <c r="PXH28" s="97"/>
      <c r="PXI28" s="97"/>
      <c r="PXJ28" s="97"/>
      <c r="PXK28" s="97"/>
      <c r="PXL28" s="97"/>
      <c r="PXM28" s="97"/>
      <c r="PXN28" s="97"/>
      <c r="PXO28" s="97"/>
      <c r="PXP28" s="97"/>
      <c r="PXQ28" s="97"/>
      <c r="PXR28" s="97"/>
      <c r="PXS28" s="97"/>
      <c r="PXT28" s="97"/>
      <c r="PXU28" s="97"/>
      <c r="PXV28" s="97"/>
      <c r="PXW28" s="97"/>
      <c r="PXX28" s="97"/>
      <c r="PXY28" s="97"/>
      <c r="PXZ28" s="97"/>
      <c r="PYA28" s="97"/>
      <c r="PYB28" s="97"/>
      <c r="PYC28" s="97"/>
      <c r="PYD28" s="97"/>
      <c r="PYE28" s="97"/>
      <c r="PYF28" s="97"/>
      <c r="PYG28" s="97"/>
      <c r="PYH28" s="97"/>
      <c r="PYI28" s="97"/>
      <c r="PYJ28" s="97"/>
      <c r="PYK28" s="97"/>
      <c r="PYL28" s="97"/>
      <c r="PYM28" s="97"/>
      <c r="PYN28" s="97"/>
      <c r="PYO28" s="97"/>
      <c r="PYP28" s="97"/>
      <c r="PYQ28" s="97"/>
      <c r="PYR28" s="97"/>
      <c r="PYS28" s="97"/>
      <c r="PYT28" s="97"/>
      <c r="PYU28" s="97"/>
      <c r="PYV28" s="97"/>
      <c r="PYW28" s="97"/>
      <c r="PYX28" s="97"/>
      <c r="PYY28" s="97"/>
      <c r="PYZ28" s="97"/>
      <c r="PZA28" s="97"/>
      <c r="PZB28" s="97"/>
      <c r="PZC28" s="97"/>
      <c r="PZD28" s="97"/>
      <c r="PZE28" s="97"/>
      <c r="PZF28" s="97"/>
      <c r="PZG28" s="97"/>
      <c r="PZH28" s="97"/>
      <c r="PZI28" s="97"/>
      <c r="PZJ28" s="97"/>
      <c r="PZK28" s="97"/>
      <c r="PZL28" s="97"/>
      <c r="PZM28" s="97"/>
      <c r="PZN28" s="97"/>
      <c r="PZO28" s="97"/>
      <c r="PZP28" s="97"/>
      <c r="PZQ28" s="97"/>
      <c r="PZR28" s="97"/>
      <c r="PZS28" s="97"/>
      <c r="PZT28" s="97"/>
      <c r="PZU28" s="97"/>
      <c r="PZV28" s="97"/>
      <c r="PZW28" s="97"/>
      <c r="PZX28" s="97"/>
      <c r="PZY28" s="97"/>
      <c r="PZZ28" s="97"/>
      <c r="QAA28" s="97"/>
      <c r="QAB28" s="97"/>
      <c r="QAC28" s="97"/>
      <c r="QAD28" s="97"/>
      <c r="QAE28" s="97"/>
      <c r="QAF28" s="97"/>
      <c r="QAG28" s="97"/>
      <c r="QAH28" s="97"/>
      <c r="QAI28" s="97"/>
      <c r="QAJ28" s="97"/>
      <c r="QAK28" s="97"/>
      <c r="QAL28" s="97"/>
      <c r="QAM28" s="97"/>
      <c r="QAN28" s="97"/>
      <c r="QAO28" s="97"/>
      <c r="QAP28" s="97"/>
      <c r="QAQ28" s="97"/>
      <c r="QAR28" s="97"/>
      <c r="QAS28" s="97"/>
      <c r="QAT28" s="97"/>
      <c r="QAU28" s="97"/>
      <c r="QAV28" s="97"/>
      <c r="QAW28" s="97"/>
      <c r="QAX28" s="97"/>
      <c r="QAY28" s="97"/>
      <c r="QAZ28" s="97"/>
      <c r="QBA28" s="97"/>
      <c r="QBB28" s="97"/>
      <c r="QBC28" s="97"/>
      <c r="QBD28" s="97"/>
      <c r="QBE28" s="97"/>
      <c r="QBF28" s="97"/>
      <c r="QBG28" s="97"/>
      <c r="QBH28" s="97"/>
      <c r="QBI28" s="97"/>
      <c r="QBJ28" s="97"/>
      <c r="QBK28" s="97"/>
      <c r="QBL28" s="97"/>
      <c r="QBM28" s="97"/>
      <c r="QBN28" s="97"/>
      <c r="QBO28" s="97"/>
      <c r="QBP28" s="97"/>
      <c r="QBQ28" s="97"/>
      <c r="QBR28" s="97"/>
      <c r="QBS28" s="97"/>
      <c r="QBT28" s="97"/>
      <c r="QBU28" s="97"/>
      <c r="QBV28" s="97"/>
      <c r="QBW28" s="97"/>
      <c r="QBX28" s="97"/>
      <c r="QBY28" s="97"/>
      <c r="QBZ28" s="97"/>
      <c r="QCA28" s="97"/>
      <c r="QCB28" s="97"/>
      <c r="QCC28" s="97"/>
      <c r="QCD28" s="97"/>
      <c r="QCE28" s="97"/>
      <c r="QCF28" s="97"/>
      <c r="QCG28" s="97"/>
      <c r="QCH28" s="97"/>
      <c r="QCI28" s="97"/>
      <c r="QCJ28" s="97"/>
      <c r="QCK28" s="97"/>
      <c r="QCL28" s="97"/>
      <c r="QCM28" s="97"/>
      <c r="QCN28" s="97"/>
      <c r="QCO28" s="97"/>
      <c r="QCP28" s="97"/>
      <c r="QCQ28" s="97"/>
      <c r="QCR28" s="97"/>
      <c r="QCS28" s="97"/>
      <c r="QCT28" s="97"/>
      <c r="QCU28" s="97"/>
      <c r="QCV28" s="97"/>
      <c r="QCW28" s="97"/>
      <c r="QCX28" s="97"/>
      <c r="QCY28" s="97"/>
      <c r="QCZ28" s="97"/>
      <c r="QDA28" s="97"/>
      <c r="QDB28" s="97"/>
      <c r="QDC28" s="97"/>
      <c r="QDD28" s="97"/>
      <c r="QDE28" s="97"/>
      <c r="QDF28" s="97"/>
      <c r="QDG28" s="97"/>
      <c r="QDH28" s="97"/>
      <c r="QDI28" s="97"/>
      <c r="QDJ28" s="97"/>
      <c r="QDK28" s="97"/>
      <c r="QDL28" s="97"/>
      <c r="QDM28" s="97"/>
      <c r="QDN28" s="97"/>
      <c r="QDO28" s="97"/>
      <c r="QDP28" s="97"/>
      <c r="QDQ28" s="97"/>
      <c r="QDR28" s="97"/>
      <c r="QDS28" s="97"/>
      <c r="QDT28" s="97"/>
      <c r="QDU28" s="97"/>
      <c r="QDV28" s="97"/>
      <c r="QDW28" s="97"/>
      <c r="QDX28" s="97"/>
      <c r="QDY28" s="97"/>
      <c r="QDZ28" s="97"/>
      <c r="QEA28" s="97"/>
      <c r="QEB28" s="97"/>
      <c r="QEC28" s="97"/>
      <c r="QED28" s="97"/>
      <c r="QEE28" s="97"/>
      <c r="QEF28" s="97"/>
      <c r="QEG28" s="97"/>
      <c r="QEH28" s="97"/>
      <c r="QEI28" s="97"/>
      <c r="QEJ28" s="97"/>
      <c r="QEK28" s="97"/>
      <c r="QEL28" s="97"/>
      <c r="QEM28" s="97"/>
      <c r="QEN28" s="97"/>
      <c r="QEO28" s="97"/>
      <c r="QEP28" s="97"/>
      <c r="QEQ28" s="97"/>
      <c r="QER28" s="97"/>
      <c r="QES28" s="97"/>
      <c r="QET28" s="97"/>
      <c r="QEU28" s="97"/>
      <c r="QEV28" s="97"/>
      <c r="QEW28" s="97"/>
      <c r="QEX28" s="97"/>
      <c r="QEY28" s="97"/>
      <c r="QEZ28" s="97"/>
      <c r="QFA28" s="97"/>
      <c r="QFB28" s="97"/>
      <c r="QFC28" s="97"/>
      <c r="QFD28" s="97"/>
      <c r="QFE28" s="97"/>
      <c r="QFF28" s="97"/>
      <c r="QFG28" s="97"/>
      <c r="QFH28" s="97"/>
      <c r="QFI28" s="97"/>
      <c r="QFJ28" s="97"/>
      <c r="QFK28" s="97"/>
      <c r="QFL28" s="97"/>
      <c r="QFM28" s="97"/>
      <c r="QFN28" s="97"/>
      <c r="QFO28" s="97"/>
      <c r="QFP28" s="97"/>
      <c r="QFQ28" s="97"/>
      <c r="QFR28" s="97"/>
      <c r="QFS28" s="97"/>
      <c r="QFT28" s="97"/>
      <c r="QFU28" s="97"/>
      <c r="QFV28" s="97"/>
      <c r="QFW28" s="97"/>
      <c r="QFX28" s="97"/>
      <c r="QFY28" s="97"/>
      <c r="QFZ28" s="97"/>
      <c r="QGA28" s="97"/>
      <c r="QGB28" s="97"/>
      <c r="QGC28" s="97"/>
      <c r="QGD28" s="97"/>
      <c r="QGE28" s="97"/>
      <c r="QGF28" s="97"/>
      <c r="QGG28" s="97"/>
      <c r="QGH28" s="97"/>
      <c r="QGI28" s="97"/>
      <c r="QGJ28" s="97"/>
      <c r="QGK28" s="97"/>
      <c r="QGL28" s="97"/>
      <c r="QGM28" s="97"/>
      <c r="QGN28" s="97"/>
      <c r="QGO28" s="97"/>
      <c r="QGP28" s="97"/>
      <c r="QGQ28" s="97"/>
      <c r="QGR28" s="97"/>
      <c r="QGS28" s="97"/>
      <c r="QGT28" s="97"/>
      <c r="QGU28" s="97"/>
      <c r="QGV28" s="97"/>
      <c r="QGW28" s="97"/>
      <c r="QGX28" s="97"/>
      <c r="QGY28" s="97"/>
      <c r="QGZ28" s="97"/>
      <c r="QHA28" s="97"/>
      <c r="QHB28" s="97"/>
      <c r="QHC28" s="97"/>
      <c r="QHD28" s="97"/>
      <c r="QHE28" s="97"/>
      <c r="QHF28" s="97"/>
      <c r="QHG28" s="97"/>
      <c r="QHH28" s="97"/>
      <c r="QHI28" s="97"/>
      <c r="QHJ28" s="97"/>
      <c r="QHK28" s="97"/>
      <c r="QHL28" s="97"/>
      <c r="QHM28" s="97"/>
      <c r="QHN28" s="97"/>
      <c r="QHO28" s="97"/>
      <c r="QHP28" s="97"/>
      <c r="QHQ28" s="97"/>
      <c r="QHR28" s="97"/>
      <c r="QHS28" s="97"/>
      <c r="QHT28" s="97"/>
      <c r="QHU28" s="97"/>
      <c r="QHV28" s="97"/>
      <c r="QHW28" s="97"/>
      <c r="QHX28" s="97"/>
      <c r="QHY28" s="97"/>
      <c r="QHZ28" s="97"/>
      <c r="QIA28" s="97"/>
      <c r="QIB28" s="97"/>
      <c r="QIC28" s="97"/>
      <c r="QID28" s="97"/>
      <c r="QIE28" s="97"/>
      <c r="QIF28" s="97"/>
      <c r="QIG28" s="97"/>
      <c r="QIH28" s="97"/>
      <c r="QII28" s="97"/>
      <c r="QIJ28" s="97"/>
      <c r="QIK28" s="97"/>
      <c r="QIL28" s="97"/>
      <c r="QIM28" s="97"/>
      <c r="QIN28" s="97"/>
      <c r="QIO28" s="97"/>
      <c r="QIP28" s="97"/>
      <c r="QIQ28" s="97"/>
      <c r="QIR28" s="97"/>
      <c r="QIS28" s="97"/>
      <c r="QIT28" s="97"/>
      <c r="QIU28" s="97"/>
      <c r="QIV28" s="97"/>
      <c r="QIW28" s="97"/>
      <c r="QIX28" s="97"/>
      <c r="QIY28" s="97"/>
      <c r="QIZ28" s="97"/>
      <c r="QJA28" s="97"/>
      <c r="QJB28" s="97"/>
      <c r="QJC28" s="97"/>
      <c r="QJD28" s="97"/>
      <c r="QJE28" s="97"/>
      <c r="QJF28" s="97"/>
      <c r="QJG28" s="97"/>
      <c r="QJH28" s="97"/>
      <c r="QJI28" s="97"/>
      <c r="QJJ28" s="97"/>
      <c r="QJK28" s="97"/>
      <c r="QJL28" s="97"/>
      <c r="QJM28" s="97"/>
      <c r="QJN28" s="97"/>
      <c r="QJO28" s="97"/>
      <c r="QJP28" s="97"/>
      <c r="QJQ28" s="97"/>
      <c r="QJR28" s="97"/>
      <c r="QJS28" s="97"/>
      <c r="QJT28" s="97"/>
      <c r="QJU28" s="97"/>
      <c r="QJV28" s="97"/>
      <c r="QJW28" s="97"/>
      <c r="QJX28" s="97"/>
      <c r="QJY28" s="97"/>
      <c r="QJZ28" s="97"/>
      <c r="QKA28" s="97"/>
      <c r="QKB28" s="97"/>
      <c r="QKC28" s="97"/>
      <c r="QKD28" s="97"/>
      <c r="QKE28" s="97"/>
      <c r="QKF28" s="97"/>
      <c r="QKG28" s="97"/>
      <c r="QKH28" s="97"/>
      <c r="QKI28" s="97"/>
      <c r="QKJ28" s="97"/>
      <c r="QKK28" s="97"/>
      <c r="QKL28" s="97"/>
      <c r="QKM28" s="97"/>
      <c r="QKN28" s="97"/>
      <c r="QKO28" s="97"/>
      <c r="QKP28" s="97"/>
      <c r="QKQ28" s="97"/>
      <c r="QKR28" s="97"/>
      <c r="QKS28" s="97"/>
      <c r="QKT28" s="97"/>
      <c r="QKU28" s="97"/>
      <c r="QKV28" s="97"/>
      <c r="QKW28" s="97"/>
      <c r="QKX28" s="97"/>
      <c r="QKY28" s="97"/>
      <c r="QKZ28" s="97"/>
      <c r="QLA28" s="97"/>
      <c r="QLB28" s="97"/>
      <c r="QLC28" s="97"/>
      <c r="QLD28" s="97"/>
      <c r="QLE28" s="97"/>
      <c r="QLF28" s="97"/>
      <c r="QLG28" s="97"/>
      <c r="QLH28" s="97"/>
      <c r="QLI28" s="97"/>
      <c r="QLJ28" s="97"/>
      <c r="QLK28" s="97"/>
      <c r="QLL28" s="97"/>
      <c r="QLM28" s="97"/>
      <c r="QLN28" s="97"/>
      <c r="QLO28" s="97"/>
      <c r="QLP28" s="97"/>
      <c r="QLQ28" s="97"/>
      <c r="QLR28" s="97"/>
      <c r="QLS28" s="97"/>
      <c r="QLT28" s="97"/>
      <c r="QLU28" s="97"/>
      <c r="QLV28" s="97"/>
      <c r="QLW28" s="97"/>
      <c r="QLX28" s="97"/>
      <c r="QLY28" s="97"/>
      <c r="QLZ28" s="97"/>
      <c r="QMA28" s="97"/>
      <c r="QMB28" s="97"/>
      <c r="QMC28" s="97"/>
      <c r="QMD28" s="97"/>
      <c r="QME28" s="97"/>
      <c r="QMF28" s="97"/>
      <c r="QMG28" s="97"/>
      <c r="QMH28" s="97"/>
      <c r="QMI28" s="97"/>
      <c r="QMJ28" s="97"/>
      <c r="QMK28" s="97"/>
      <c r="QML28" s="97"/>
      <c r="QMM28" s="97"/>
      <c r="QMN28" s="97"/>
      <c r="QMO28" s="97"/>
      <c r="QMP28" s="97"/>
      <c r="QMQ28" s="97"/>
      <c r="QMR28" s="97"/>
      <c r="QMS28" s="97"/>
      <c r="QMT28" s="97"/>
      <c r="QMU28" s="97"/>
      <c r="QMV28" s="97"/>
      <c r="QMW28" s="97"/>
      <c r="QMX28" s="97"/>
      <c r="QMY28" s="97"/>
      <c r="QMZ28" s="97"/>
      <c r="QNA28" s="97"/>
      <c r="QNB28" s="97"/>
      <c r="QNC28" s="97"/>
      <c r="QND28" s="97"/>
      <c r="QNE28" s="97"/>
      <c r="QNF28" s="97"/>
      <c r="QNG28" s="97"/>
      <c r="QNH28" s="97"/>
      <c r="QNI28" s="97"/>
      <c r="QNJ28" s="97"/>
      <c r="QNK28" s="97"/>
      <c r="QNL28" s="97"/>
      <c r="QNM28" s="97"/>
      <c r="QNN28" s="97"/>
      <c r="QNO28" s="97"/>
      <c r="QNP28" s="97"/>
      <c r="QNQ28" s="97"/>
      <c r="QNR28" s="97"/>
      <c r="QNS28" s="97"/>
      <c r="QNT28" s="97"/>
      <c r="QNU28" s="97"/>
      <c r="QNV28" s="97"/>
      <c r="QNW28" s="97"/>
      <c r="QNX28" s="97"/>
      <c r="QNY28" s="97"/>
      <c r="QNZ28" s="97"/>
      <c r="QOA28" s="97"/>
      <c r="QOB28" s="97"/>
      <c r="QOC28" s="97"/>
      <c r="QOD28" s="97"/>
      <c r="QOE28" s="97"/>
      <c r="QOF28" s="97"/>
      <c r="QOG28" s="97"/>
      <c r="QOH28" s="97"/>
      <c r="QOI28" s="97"/>
      <c r="QOJ28" s="97"/>
      <c r="QOK28" s="97"/>
      <c r="QOL28" s="97"/>
      <c r="QOM28" s="97"/>
      <c r="QON28" s="97"/>
      <c r="QOO28" s="97"/>
      <c r="QOP28" s="97"/>
      <c r="QOQ28" s="97"/>
      <c r="QOR28" s="97"/>
      <c r="QOS28" s="97"/>
      <c r="QOT28" s="97"/>
      <c r="QOU28" s="97"/>
      <c r="QOV28" s="97"/>
      <c r="QOW28" s="97"/>
      <c r="QOX28" s="97"/>
      <c r="QOY28" s="97"/>
      <c r="QOZ28" s="97"/>
      <c r="QPA28" s="97"/>
      <c r="QPB28" s="97"/>
      <c r="QPC28" s="97"/>
      <c r="QPD28" s="97"/>
      <c r="QPE28" s="97"/>
      <c r="QPF28" s="97"/>
      <c r="QPG28" s="97"/>
      <c r="QPH28" s="97"/>
      <c r="QPI28" s="97"/>
      <c r="QPJ28" s="97"/>
      <c r="QPK28" s="97"/>
      <c r="QPL28" s="97"/>
      <c r="QPM28" s="97"/>
      <c r="QPN28" s="97"/>
      <c r="QPO28" s="97"/>
      <c r="QPP28" s="97"/>
      <c r="QPQ28" s="97"/>
      <c r="QPR28" s="97"/>
      <c r="QPS28" s="97"/>
      <c r="QPT28" s="97"/>
      <c r="QPU28" s="97"/>
      <c r="QPV28" s="97"/>
      <c r="QPW28" s="97"/>
      <c r="QPX28" s="97"/>
      <c r="QPY28" s="97"/>
      <c r="QPZ28" s="97"/>
      <c r="QQA28" s="97"/>
      <c r="QQB28" s="97"/>
      <c r="QQC28" s="97"/>
      <c r="QQD28" s="97"/>
      <c r="QQE28" s="97"/>
      <c r="QQF28" s="97"/>
      <c r="QQG28" s="97"/>
      <c r="QQH28" s="97"/>
      <c r="QQI28" s="97"/>
      <c r="QQJ28" s="97"/>
      <c r="QQK28" s="97"/>
      <c r="QQL28" s="97"/>
      <c r="QQM28" s="97"/>
      <c r="QQN28" s="97"/>
      <c r="QQO28" s="97"/>
      <c r="QQP28" s="97"/>
      <c r="QQQ28" s="97"/>
      <c r="QQR28" s="97"/>
      <c r="QQS28" s="97"/>
      <c r="QQT28" s="97"/>
      <c r="QQU28" s="97"/>
      <c r="QQV28" s="97"/>
      <c r="QQW28" s="97"/>
      <c r="QQX28" s="97"/>
      <c r="QQY28" s="97"/>
      <c r="QQZ28" s="97"/>
      <c r="QRA28" s="97"/>
      <c r="QRB28" s="97"/>
      <c r="QRC28" s="97"/>
      <c r="QRD28" s="97"/>
      <c r="QRE28" s="97"/>
      <c r="QRF28" s="97"/>
      <c r="QRG28" s="97"/>
      <c r="QRH28" s="97"/>
      <c r="QRI28" s="97"/>
      <c r="QRJ28" s="97"/>
      <c r="QRK28" s="97"/>
      <c r="QRL28" s="97"/>
      <c r="QRM28" s="97"/>
      <c r="QRN28" s="97"/>
      <c r="QRO28" s="97"/>
      <c r="QRP28" s="97"/>
      <c r="QRQ28" s="97"/>
      <c r="QRR28" s="97"/>
      <c r="QRS28" s="97"/>
      <c r="QRT28" s="97"/>
      <c r="QRU28" s="97"/>
      <c r="QRV28" s="97"/>
      <c r="QRW28" s="97"/>
      <c r="QRX28" s="97"/>
      <c r="QRY28" s="97"/>
      <c r="QRZ28" s="97"/>
      <c r="QSA28" s="97"/>
      <c r="QSB28" s="97"/>
      <c r="QSC28" s="97"/>
      <c r="QSD28" s="97"/>
      <c r="QSE28" s="97"/>
      <c r="QSF28" s="97"/>
      <c r="QSG28" s="97"/>
      <c r="QSH28" s="97"/>
      <c r="QSI28" s="97"/>
      <c r="QSJ28" s="97"/>
      <c r="QSK28" s="97"/>
      <c r="QSL28" s="97"/>
      <c r="QSM28" s="97"/>
      <c r="QSN28" s="97"/>
      <c r="QSO28" s="97"/>
      <c r="QSP28" s="97"/>
      <c r="QSQ28" s="97"/>
      <c r="QSR28" s="97"/>
      <c r="QSS28" s="97"/>
      <c r="QST28" s="97"/>
      <c r="QSU28" s="97"/>
      <c r="QSV28" s="97"/>
      <c r="QSW28" s="97"/>
      <c r="QSX28" s="97"/>
      <c r="QSY28" s="97"/>
      <c r="QSZ28" s="97"/>
      <c r="QTA28" s="97"/>
      <c r="QTB28" s="97"/>
      <c r="QTC28" s="97"/>
      <c r="QTD28" s="97"/>
      <c r="QTE28" s="97"/>
      <c r="QTF28" s="97"/>
      <c r="QTG28" s="97"/>
      <c r="QTH28" s="97"/>
      <c r="QTI28" s="97"/>
      <c r="QTJ28" s="97"/>
      <c r="QTK28" s="97"/>
      <c r="QTL28" s="97"/>
      <c r="QTM28" s="97"/>
      <c r="QTN28" s="97"/>
      <c r="QTO28" s="97"/>
      <c r="QTP28" s="97"/>
      <c r="QTQ28" s="97"/>
      <c r="QTR28" s="97"/>
      <c r="QTS28" s="97"/>
      <c r="QTT28" s="97"/>
      <c r="QTU28" s="97"/>
      <c r="QTV28" s="97"/>
      <c r="QTW28" s="97"/>
      <c r="QTX28" s="97"/>
      <c r="QTY28" s="97"/>
      <c r="QTZ28" s="97"/>
      <c r="QUA28" s="97"/>
      <c r="QUB28" s="97"/>
      <c r="QUC28" s="97"/>
      <c r="QUD28" s="97"/>
      <c r="QUE28" s="97"/>
      <c r="QUF28" s="97"/>
      <c r="QUG28" s="97"/>
      <c r="QUH28" s="97"/>
      <c r="QUI28" s="97"/>
      <c r="QUJ28" s="97"/>
      <c r="QUK28" s="97"/>
      <c r="QUL28" s="97"/>
      <c r="QUM28" s="97"/>
      <c r="QUN28" s="97"/>
      <c r="QUO28" s="97"/>
      <c r="QUP28" s="97"/>
      <c r="QUQ28" s="97"/>
      <c r="QUR28" s="97"/>
      <c r="QUS28" s="97"/>
      <c r="QUT28" s="97"/>
      <c r="QUU28" s="97"/>
      <c r="QUV28" s="97"/>
      <c r="QUW28" s="97"/>
      <c r="QUX28" s="97"/>
      <c r="QUY28" s="97"/>
      <c r="QUZ28" s="97"/>
      <c r="QVA28" s="97"/>
      <c r="QVB28" s="97"/>
      <c r="QVC28" s="97"/>
      <c r="QVD28" s="97"/>
      <c r="QVE28" s="97"/>
      <c r="QVF28" s="97"/>
      <c r="QVG28" s="97"/>
      <c r="QVH28" s="97"/>
      <c r="QVI28" s="97"/>
      <c r="QVJ28" s="97"/>
      <c r="QVK28" s="97"/>
      <c r="QVL28" s="97"/>
      <c r="QVM28" s="97"/>
      <c r="QVN28" s="97"/>
      <c r="QVO28" s="97"/>
      <c r="QVP28" s="97"/>
      <c r="QVQ28" s="97"/>
      <c r="QVR28" s="97"/>
      <c r="QVS28" s="97"/>
      <c r="QVT28" s="97"/>
      <c r="QVU28" s="97"/>
      <c r="QVV28" s="97"/>
      <c r="QVW28" s="97"/>
      <c r="QVX28" s="97"/>
      <c r="QVY28" s="97"/>
      <c r="QVZ28" s="97"/>
      <c r="QWA28" s="97"/>
      <c r="QWB28" s="97"/>
      <c r="QWC28" s="97"/>
      <c r="QWD28" s="97"/>
      <c r="QWE28" s="97"/>
      <c r="QWF28" s="97"/>
      <c r="QWG28" s="97"/>
      <c r="QWH28" s="97"/>
      <c r="QWI28" s="97"/>
      <c r="QWJ28" s="97"/>
      <c r="QWK28" s="97"/>
      <c r="QWL28" s="97"/>
      <c r="QWM28" s="97"/>
      <c r="QWN28" s="97"/>
      <c r="QWO28" s="97"/>
      <c r="QWP28" s="97"/>
      <c r="QWQ28" s="97"/>
      <c r="QWR28" s="97"/>
      <c r="QWS28" s="97"/>
      <c r="QWT28" s="97"/>
      <c r="QWU28" s="97"/>
      <c r="QWV28" s="97"/>
      <c r="QWW28" s="97"/>
      <c r="QWX28" s="97"/>
      <c r="QWY28" s="97"/>
      <c r="QWZ28" s="97"/>
      <c r="QXA28" s="97"/>
      <c r="QXB28" s="97"/>
      <c r="QXC28" s="97"/>
      <c r="QXD28" s="97"/>
      <c r="QXE28" s="97"/>
      <c r="QXF28" s="97"/>
      <c r="QXG28" s="97"/>
      <c r="QXH28" s="97"/>
      <c r="QXI28" s="97"/>
      <c r="QXJ28" s="97"/>
      <c r="QXK28" s="97"/>
      <c r="QXL28" s="97"/>
      <c r="QXM28" s="97"/>
      <c r="QXN28" s="97"/>
      <c r="QXO28" s="97"/>
      <c r="QXP28" s="97"/>
      <c r="QXQ28" s="97"/>
      <c r="QXR28" s="97"/>
      <c r="QXS28" s="97"/>
      <c r="QXT28" s="97"/>
      <c r="QXU28" s="97"/>
      <c r="QXV28" s="97"/>
      <c r="QXW28" s="97"/>
      <c r="QXX28" s="97"/>
      <c r="QXY28" s="97"/>
      <c r="QXZ28" s="97"/>
      <c r="QYA28" s="97"/>
      <c r="QYB28" s="97"/>
      <c r="QYC28" s="97"/>
      <c r="QYD28" s="97"/>
      <c r="QYE28" s="97"/>
      <c r="QYF28" s="97"/>
      <c r="QYG28" s="97"/>
      <c r="QYH28" s="97"/>
      <c r="QYI28" s="97"/>
      <c r="QYJ28" s="97"/>
      <c r="QYK28" s="97"/>
      <c r="QYL28" s="97"/>
      <c r="QYM28" s="97"/>
      <c r="QYN28" s="97"/>
      <c r="QYO28" s="97"/>
      <c r="QYP28" s="97"/>
      <c r="QYQ28" s="97"/>
      <c r="QYR28" s="97"/>
      <c r="QYS28" s="97"/>
      <c r="QYT28" s="97"/>
      <c r="QYU28" s="97"/>
      <c r="QYV28" s="97"/>
      <c r="QYW28" s="97"/>
      <c r="QYX28" s="97"/>
      <c r="QYY28" s="97"/>
      <c r="QYZ28" s="97"/>
      <c r="QZA28" s="97"/>
      <c r="QZB28" s="97"/>
      <c r="QZC28" s="97"/>
      <c r="QZD28" s="97"/>
      <c r="QZE28" s="97"/>
      <c r="QZF28" s="97"/>
      <c r="QZG28" s="97"/>
      <c r="QZH28" s="97"/>
      <c r="QZI28" s="97"/>
      <c r="QZJ28" s="97"/>
      <c r="QZK28" s="97"/>
      <c r="QZL28" s="97"/>
      <c r="QZM28" s="97"/>
      <c r="QZN28" s="97"/>
      <c r="QZO28" s="97"/>
      <c r="QZP28" s="97"/>
      <c r="QZQ28" s="97"/>
      <c r="QZR28" s="97"/>
      <c r="QZS28" s="97"/>
      <c r="QZT28" s="97"/>
      <c r="QZU28" s="97"/>
      <c r="QZV28" s="97"/>
      <c r="QZW28" s="97"/>
      <c r="QZX28" s="97"/>
      <c r="QZY28" s="97"/>
      <c r="QZZ28" s="97"/>
      <c r="RAA28" s="97"/>
      <c r="RAB28" s="97"/>
      <c r="RAC28" s="97"/>
      <c r="RAD28" s="97"/>
      <c r="RAE28" s="97"/>
      <c r="RAF28" s="97"/>
      <c r="RAG28" s="97"/>
      <c r="RAH28" s="97"/>
      <c r="RAI28" s="97"/>
      <c r="RAJ28" s="97"/>
      <c r="RAK28" s="97"/>
      <c r="RAL28" s="97"/>
      <c r="RAM28" s="97"/>
      <c r="RAN28" s="97"/>
      <c r="RAO28" s="97"/>
      <c r="RAP28" s="97"/>
      <c r="RAQ28" s="97"/>
      <c r="RAR28" s="97"/>
      <c r="RAS28" s="97"/>
      <c r="RAT28" s="97"/>
      <c r="RAU28" s="97"/>
      <c r="RAV28" s="97"/>
      <c r="RAW28" s="97"/>
      <c r="RAX28" s="97"/>
      <c r="RAY28" s="97"/>
      <c r="RAZ28" s="97"/>
      <c r="RBA28" s="97"/>
      <c r="RBB28" s="97"/>
      <c r="RBC28" s="97"/>
      <c r="RBD28" s="97"/>
      <c r="RBE28" s="97"/>
      <c r="RBF28" s="97"/>
      <c r="RBG28" s="97"/>
      <c r="RBH28" s="97"/>
      <c r="RBI28" s="97"/>
      <c r="RBJ28" s="97"/>
      <c r="RBK28" s="97"/>
      <c r="RBL28" s="97"/>
      <c r="RBM28" s="97"/>
      <c r="RBN28" s="97"/>
      <c r="RBO28" s="97"/>
      <c r="RBP28" s="97"/>
      <c r="RBQ28" s="97"/>
      <c r="RBR28" s="97"/>
      <c r="RBS28" s="97"/>
      <c r="RBT28" s="97"/>
      <c r="RBU28" s="97"/>
      <c r="RBV28" s="97"/>
      <c r="RBW28" s="97"/>
      <c r="RBX28" s="97"/>
      <c r="RBY28" s="97"/>
      <c r="RBZ28" s="97"/>
      <c r="RCA28" s="97"/>
      <c r="RCB28" s="97"/>
      <c r="RCC28" s="97"/>
      <c r="RCD28" s="97"/>
      <c r="RCE28" s="97"/>
      <c r="RCF28" s="97"/>
      <c r="RCG28" s="97"/>
      <c r="RCH28" s="97"/>
      <c r="RCI28" s="97"/>
      <c r="RCJ28" s="97"/>
      <c r="RCK28" s="97"/>
      <c r="RCL28" s="97"/>
      <c r="RCM28" s="97"/>
      <c r="RCN28" s="97"/>
      <c r="RCO28" s="97"/>
      <c r="RCP28" s="97"/>
      <c r="RCQ28" s="97"/>
      <c r="RCR28" s="97"/>
      <c r="RCS28" s="97"/>
      <c r="RCT28" s="97"/>
      <c r="RCU28" s="97"/>
      <c r="RCV28" s="97"/>
      <c r="RCW28" s="97"/>
      <c r="RCX28" s="97"/>
      <c r="RCY28" s="97"/>
      <c r="RCZ28" s="97"/>
      <c r="RDA28" s="97"/>
      <c r="RDB28" s="97"/>
      <c r="RDC28" s="97"/>
      <c r="RDD28" s="97"/>
      <c r="RDE28" s="97"/>
      <c r="RDF28" s="97"/>
      <c r="RDG28" s="97"/>
      <c r="RDH28" s="97"/>
      <c r="RDI28" s="97"/>
      <c r="RDJ28" s="97"/>
      <c r="RDK28" s="97"/>
      <c r="RDL28" s="97"/>
      <c r="RDM28" s="97"/>
      <c r="RDN28" s="97"/>
      <c r="RDO28" s="97"/>
      <c r="RDP28" s="97"/>
      <c r="RDQ28" s="97"/>
      <c r="RDR28" s="97"/>
      <c r="RDS28" s="97"/>
      <c r="RDT28" s="97"/>
      <c r="RDU28" s="97"/>
      <c r="RDV28" s="97"/>
      <c r="RDW28" s="97"/>
      <c r="RDX28" s="97"/>
      <c r="RDY28" s="97"/>
      <c r="RDZ28" s="97"/>
      <c r="REA28" s="97"/>
      <c r="REB28" s="97"/>
      <c r="REC28" s="97"/>
      <c r="RED28" s="97"/>
      <c r="REE28" s="97"/>
      <c r="REF28" s="97"/>
      <c r="REG28" s="97"/>
      <c r="REH28" s="97"/>
      <c r="REI28" s="97"/>
      <c r="REJ28" s="97"/>
      <c r="REK28" s="97"/>
      <c r="REL28" s="97"/>
      <c r="REM28" s="97"/>
      <c r="REN28" s="97"/>
      <c r="REO28" s="97"/>
      <c r="REP28" s="97"/>
      <c r="REQ28" s="97"/>
      <c r="RER28" s="97"/>
      <c r="RES28" s="97"/>
      <c r="RET28" s="97"/>
      <c r="REU28" s="97"/>
      <c r="REV28" s="97"/>
      <c r="REW28" s="97"/>
      <c r="REX28" s="97"/>
      <c r="REY28" s="97"/>
      <c r="REZ28" s="97"/>
      <c r="RFA28" s="97"/>
      <c r="RFB28" s="97"/>
      <c r="RFC28" s="97"/>
      <c r="RFD28" s="97"/>
      <c r="RFE28" s="97"/>
      <c r="RFF28" s="97"/>
      <c r="RFG28" s="97"/>
      <c r="RFH28" s="97"/>
      <c r="RFI28" s="97"/>
      <c r="RFJ28" s="97"/>
      <c r="RFK28" s="97"/>
      <c r="RFL28" s="97"/>
      <c r="RFM28" s="97"/>
      <c r="RFN28" s="97"/>
      <c r="RFO28" s="97"/>
      <c r="RFP28" s="97"/>
      <c r="RFQ28" s="97"/>
      <c r="RFR28" s="97"/>
      <c r="RFS28" s="97"/>
      <c r="RFT28" s="97"/>
      <c r="RFU28" s="97"/>
      <c r="RFV28" s="97"/>
      <c r="RFW28" s="97"/>
      <c r="RFX28" s="97"/>
      <c r="RFY28" s="97"/>
      <c r="RFZ28" s="97"/>
      <c r="RGA28" s="97"/>
      <c r="RGB28" s="97"/>
      <c r="RGC28" s="97"/>
      <c r="RGD28" s="97"/>
      <c r="RGE28" s="97"/>
      <c r="RGF28" s="97"/>
      <c r="RGG28" s="97"/>
      <c r="RGH28" s="97"/>
      <c r="RGI28" s="97"/>
      <c r="RGJ28" s="97"/>
      <c r="RGK28" s="97"/>
      <c r="RGL28" s="97"/>
      <c r="RGM28" s="97"/>
      <c r="RGN28" s="97"/>
      <c r="RGO28" s="97"/>
      <c r="RGP28" s="97"/>
      <c r="RGQ28" s="97"/>
      <c r="RGR28" s="97"/>
      <c r="RGS28" s="97"/>
      <c r="RGT28" s="97"/>
      <c r="RGU28" s="97"/>
      <c r="RGV28" s="97"/>
      <c r="RGW28" s="97"/>
      <c r="RGX28" s="97"/>
      <c r="RGY28" s="97"/>
      <c r="RGZ28" s="97"/>
      <c r="RHA28" s="97"/>
      <c r="RHB28" s="97"/>
      <c r="RHC28" s="97"/>
      <c r="RHD28" s="97"/>
      <c r="RHE28" s="97"/>
      <c r="RHF28" s="97"/>
      <c r="RHG28" s="97"/>
      <c r="RHH28" s="97"/>
      <c r="RHI28" s="97"/>
      <c r="RHJ28" s="97"/>
      <c r="RHK28" s="97"/>
      <c r="RHL28" s="97"/>
      <c r="RHM28" s="97"/>
      <c r="RHN28" s="97"/>
      <c r="RHO28" s="97"/>
      <c r="RHP28" s="97"/>
      <c r="RHQ28" s="97"/>
      <c r="RHR28" s="97"/>
      <c r="RHS28" s="97"/>
      <c r="RHT28" s="97"/>
      <c r="RHU28" s="97"/>
      <c r="RHV28" s="97"/>
      <c r="RHW28" s="97"/>
      <c r="RHX28" s="97"/>
      <c r="RHY28" s="97"/>
      <c r="RHZ28" s="97"/>
      <c r="RIA28" s="97"/>
      <c r="RIB28" s="97"/>
      <c r="RIC28" s="97"/>
      <c r="RID28" s="97"/>
      <c r="RIE28" s="97"/>
      <c r="RIF28" s="97"/>
      <c r="RIG28" s="97"/>
      <c r="RIH28" s="97"/>
      <c r="RII28" s="97"/>
      <c r="RIJ28" s="97"/>
      <c r="RIK28" s="97"/>
      <c r="RIL28" s="97"/>
      <c r="RIM28" s="97"/>
      <c r="RIN28" s="97"/>
      <c r="RIO28" s="97"/>
      <c r="RIP28" s="97"/>
      <c r="RIQ28" s="97"/>
      <c r="RIR28" s="97"/>
      <c r="RIS28" s="97"/>
      <c r="RIT28" s="97"/>
      <c r="RIU28" s="97"/>
      <c r="RIV28" s="97"/>
      <c r="RIW28" s="97"/>
      <c r="RIX28" s="97"/>
      <c r="RIY28" s="97"/>
      <c r="RIZ28" s="97"/>
      <c r="RJA28" s="97"/>
      <c r="RJB28" s="97"/>
      <c r="RJC28" s="97"/>
      <c r="RJD28" s="97"/>
      <c r="RJE28" s="97"/>
      <c r="RJF28" s="97"/>
      <c r="RJG28" s="97"/>
      <c r="RJH28" s="97"/>
      <c r="RJI28" s="97"/>
      <c r="RJJ28" s="97"/>
      <c r="RJK28" s="97"/>
      <c r="RJL28" s="97"/>
      <c r="RJM28" s="97"/>
      <c r="RJN28" s="97"/>
      <c r="RJO28" s="97"/>
      <c r="RJP28" s="97"/>
      <c r="RJQ28" s="97"/>
      <c r="RJR28" s="97"/>
      <c r="RJS28" s="97"/>
      <c r="RJT28" s="97"/>
      <c r="RJU28" s="97"/>
      <c r="RJV28" s="97"/>
      <c r="RJW28" s="97"/>
      <c r="RJX28" s="97"/>
      <c r="RJY28" s="97"/>
      <c r="RJZ28" s="97"/>
      <c r="RKA28" s="97"/>
      <c r="RKB28" s="97"/>
      <c r="RKC28" s="97"/>
      <c r="RKD28" s="97"/>
      <c r="RKE28" s="97"/>
      <c r="RKF28" s="97"/>
      <c r="RKG28" s="97"/>
      <c r="RKH28" s="97"/>
      <c r="RKI28" s="97"/>
      <c r="RKJ28" s="97"/>
      <c r="RKK28" s="97"/>
      <c r="RKL28" s="97"/>
      <c r="RKM28" s="97"/>
      <c r="RKN28" s="97"/>
      <c r="RKO28" s="97"/>
      <c r="RKP28" s="97"/>
      <c r="RKQ28" s="97"/>
      <c r="RKR28" s="97"/>
      <c r="RKS28" s="97"/>
      <c r="RKT28" s="97"/>
      <c r="RKU28" s="97"/>
      <c r="RKV28" s="97"/>
      <c r="RKW28" s="97"/>
      <c r="RKX28" s="97"/>
      <c r="RKY28" s="97"/>
      <c r="RKZ28" s="97"/>
      <c r="RLA28" s="97"/>
      <c r="RLB28" s="97"/>
      <c r="RLC28" s="97"/>
      <c r="RLD28" s="97"/>
      <c r="RLE28" s="97"/>
      <c r="RLF28" s="97"/>
      <c r="RLG28" s="97"/>
      <c r="RLH28" s="97"/>
      <c r="RLI28" s="97"/>
      <c r="RLJ28" s="97"/>
      <c r="RLK28" s="97"/>
      <c r="RLL28" s="97"/>
      <c r="RLM28" s="97"/>
      <c r="RLN28" s="97"/>
      <c r="RLO28" s="97"/>
      <c r="RLP28" s="97"/>
      <c r="RLQ28" s="97"/>
      <c r="RLR28" s="97"/>
      <c r="RLS28" s="97"/>
      <c r="RLT28" s="97"/>
      <c r="RLU28" s="97"/>
      <c r="RLV28" s="97"/>
      <c r="RLW28" s="97"/>
      <c r="RLX28" s="97"/>
      <c r="RLY28" s="97"/>
      <c r="RLZ28" s="97"/>
      <c r="RMA28" s="97"/>
      <c r="RMB28" s="97"/>
      <c r="RMC28" s="97"/>
      <c r="RMD28" s="97"/>
      <c r="RME28" s="97"/>
      <c r="RMF28" s="97"/>
      <c r="RMG28" s="97"/>
      <c r="RMH28" s="97"/>
      <c r="RMI28" s="97"/>
      <c r="RMJ28" s="97"/>
      <c r="RMK28" s="97"/>
      <c r="RML28" s="97"/>
      <c r="RMM28" s="97"/>
      <c r="RMN28" s="97"/>
      <c r="RMO28" s="97"/>
      <c r="RMP28" s="97"/>
      <c r="RMQ28" s="97"/>
      <c r="RMR28" s="97"/>
      <c r="RMS28" s="97"/>
      <c r="RMT28" s="97"/>
      <c r="RMU28" s="97"/>
      <c r="RMV28" s="97"/>
      <c r="RMW28" s="97"/>
      <c r="RMX28" s="97"/>
      <c r="RMY28" s="97"/>
      <c r="RMZ28" s="97"/>
      <c r="RNA28" s="97"/>
      <c r="RNB28" s="97"/>
      <c r="RNC28" s="97"/>
      <c r="RND28" s="97"/>
      <c r="RNE28" s="97"/>
      <c r="RNF28" s="97"/>
      <c r="RNG28" s="97"/>
      <c r="RNH28" s="97"/>
      <c r="RNI28" s="97"/>
      <c r="RNJ28" s="97"/>
      <c r="RNK28" s="97"/>
      <c r="RNL28" s="97"/>
      <c r="RNM28" s="97"/>
      <c r="RNN28" s="97"/>
      <c r="RNO28" s="97"/>
      <c r="RNP28" s="97"/>
      <c r="RNQ28" s="97"/>
      <c r="RNR28" s="97"/>
      <c r="RNS28" s="97"/>
      <c r="RNT28" s="97"/>
      <c r="RNU28" s="97"/>
      <c r="RNV28" s="97"/>
      <c r="RNW28" s="97"/>
      <c r="RNX28" s="97"/>
      <c r="RNY28" s="97"/>
      <c r="RNZ28" s="97"/>
      <c r="ROA28" s="97"/>
      <c r="ROB28" s="97"/>
      <c r="ROC28" s="97"/>
      <c r="ROD28" s="97"/>
      <c r="ROE28" s="97"/>
      <c r="ROF28" s="97"/>
      <c r="ROG28" s="97"/>
      <c r="ROH28" s="97"/>
      <c r="ROI28" s="97"/>
      <c r="ROJ28" s="97"/>
      <c r="ROK28" s="97"/>
      <c r="ROL28" s="97"/>
      <c r="ROM28" s="97"/>
      <c r="RON28" s="97"/>
      <c r="ROO28" s="97"/>
      <c r="ROP28" s="97"/>
      <c r="ROQ28" s="97"/>
      <c r="ROR28" s="97"/>
      <c r="ROS28" s="97"/>
      <c r="ROT28" s="97"/>
      <c r="ROU28" s="97"/>
      <c r="ROV28" s="97"/>
      <c r="ROW28" s="97"/>
      <c r="ROX28" s="97"/>
      <c r="ROY28" s="97"/>
      <c r="ROZ28" s="97"/>
      <c r="RPA28" s="97"/>
      <c r="RPB28" s="97"/>
      <c r="RPC28" s="97"/>
      <c r="RPD28" s="97"/>
      <c r="RPE28" s="97"/>
      <c r="RPF28" s="97"/>
      <c r="RPG28" s="97"/>
      <c r="RPH28" s="97"/>
      <c r="RPI28" s="97"/>
      <c r="RPJ28" s="97"/>
      <c r="RPK28" s="97"/>
      <c r="RPL28" s="97"/>
      <c r="RPM28" s="97"/>
      <c r="RPN28" s="97"/>
      <c r="RPO28" s="97"/>
      <c r="RPP28" s="97"/>
      <c r="RPQ28" s="97"/>
      <c r="RPR28" s="97"/>
      <c r="RPS28" s="97"/>
      <c r="RPT28" s="97"/>
      <c r="RPU28" s="97"/>
      <c r="RPV28" s="97"/>
      <c r="RPW28" s="97"/>
      <c r="RPX28" s="97"/>
      <c r="RPY28" s="97"/>
      <c r="RPZ28" s="97"/>
      <c r="RQA28" s="97"/>
      <c r="RQB28" s="97"/>
      <c r="RQC28" s="97"/>
      <c r="RQD28" s="97"/>
      <c r="RQE28" s="97"/>
      <c r="RQF28" s="97"/>
      <c r="RQG28" s="97"/>
      <c r="RQH28" s="97"/>
      <c r="RQI28" s="97"/>
      <c r="RQJ28" s="97"/>
      <c r="RQK28" s="97"/>
      <c r="RQL28" s="97"/>
      <c r="RQM28" s="97"/>
      <c r="RQN28" s="97"/>
      <c r="RQO28" s="97"/>
      <c r="RQP28" s="97"/>
      <c r="RQQ28" s="97"/>
      <c r="RQR28" s="97"/>
      <c r="RQS28" s="97"/>
      <c r="RQT28" s="97"/>
      <c r="RQU28" s="97"/>
      <c r="RQV28" s="97"/>
      <c r="RQW28" s="97"/>
      <c r="RQX28" s="97"/>
      <c r="RQY28" s="97"/>
      <c r="RQZ28" s="97"/>
      <c r="RRA28" s="97"/>
      <c r="RRB28" s="97"/>
      <c r="RRC28" s="97"/>
      <c r="RRD28" s="97"/>
      <c r="RRE28" s="97"/>
      <c r="RRF28" s="97"/>
      <c r="RRG28" s="97"/>
      <c r="RRH28" s="97"/>
      <c r="RRI28" s="97"/>
      <c r="RRJ28" s="97"/>
      <c r="RRK28" s="97"/>
      <c r="RRL28" s="97"/>
      <c r="RRM28" s="97"/>
      <c r="RRN28" s="97"/>
      <c r="RRO28" s="97"/>
      <c r="RRP28" s="97"/>
      <c r="RRQ28" s="97"/>
      <c r="RRR28" s="97"/>
      <c r="RRS28" s="97"/>
      <c r="RRT28" s="97"/>
      <c r="RRU28" s="97"/>
      <c r="RRV28" s="97"/>
      <c r="RRW28" s="97"/>
      <c r="RRX28" s="97"/>
      <c r="RRY28" s="97"/>
      <c r="RRZ28" s="97"/>
      <c r="RSA28" s="97"/>
      <c r="RSB28" s="97"/>
      <c r="RSC28" s="97"/>
      <c r="RSD28" s="97"/>
      <c r="RSE28" s="97"/>
      <c r="RSF28" s="97"/>
      <c r="RSG28" s="97"/>
      <c r="RSH28" s="97"/>
      <c r="RSI28" s="97"/>
      <c r="RSJ28" s="97"/>
      <c r="RSK28" s="97"/>
      <c r="RSL28" s="97"/>
      <c r="RSM28" s="97"/>
      <c r="RSN28" s="97"/>
      <c r="RSO28" s="97"/>
      <c r="RSP28" s="97"/>
      <c r="RSQ28" s="97"/>
      <c r="RSR28" s="97"/>
      <c r="RSS28" s="97"/>
      <c r="RST28" s="97"/>
      <c r="RSU28" s="97"/>
      <c r="RSV28" s="97"/>
      <c r="RSW28" s="97"/>
      <c r="RSX28" s="97"/>
      <c r="RSY28" s="97"/>
      <c r="RSZ28" s="97"/>
      <c r="RTA28" s="97"/>
      <c r="RTB28" s="97"/>
      <c r="RTC28" s="97"/>
      <c r="RTD28" s="97"/>
      <c r="RTE28" s="97"/>
      <c r="RTF28" s="97"/>
      <c r="RTG28" s="97"/>
      <c r="RTH28" s="97"/>
      <c r="RTI28" s="97"/>
      <c r="RTJ28" s="97"/>
      <c r="RTK28" s="97"/>
      <c r="RTL28" s="97"/>
      <c r="RTM28" s="97"/>
      <c r="RTN28" s="97"/>
      <c r="RTO28" s="97"/>
      <c r="RTP28" s="97"/>
      <c r="RTQ28" s="97"/>
      <c r="RTR28" s="97"/>
      <c r="RTS28" s="97"/>
      <c r="RTT28" s="97"/>
      <c r="RTU28" s="97"/>
      <c r="RTV28" s="97"/>
      <c r="RTW28" s="97"/>
      <c r="RTX28" s="97"/>
      <c r="RTY28" s="97"/>
      <c r="RTZ28" s="97"/>
      <c r="RUA28" s="97"/>
      <c r="RUB28" s="97"/>
      <c r="RUC28" s="97"/>
      <c r="RUD28" s="97"/>
      <c r="RUE28" s="97"/>
      <c r="RUF28" s="97"/>
      <c r="RUG28" s="97"/>
      <c r="RUH28" s="97"/>
      <c r="RUI28" s="97"/>
      <c r="RUJ28" s="97"/>
      <c r="RUK28" s="97"/>
      <c r="RUL28" s="97"/>
      <c r="RUM28" s="97"/>
      <c r="RUN28" s="97"/>
      <c r="RUO28" s="97"/>
      <c r="RUP28" s="97"/>
      <c r="RUQ28" s="97"/>
      <c r="RUR28" s="97"/>
      <c r="RUS28" s="97"/>
      <c r="RUT28" s="97"/>
      <c r="RUU28" s="97"/>
      <c r="RUV28" s="97"/>
      <c r="RUW28" s="97"/>
      <c r="RUX28" s="97"/>
      <c r="RUY28" s="97"/>
      <c r="RUZ28" s="97"/>
      <c r="RVA28" s="97"/>
      <c r="RVB28" s="97"/>
      <c r="RVC28" s="97"/>
      <c r="RVD28" s="97"/>
      <c r="RVE28" s="97"/>
      <c r="RVF28" s="97"/>
      <c r="RVG28" s="97"/>
      <c r="RVH28" s="97"/>
      <c r="RVI28" s="97"/>
      <c r="RVJ28" s="97"/>
      <c r="RVK28" s="97"/>
      <c r="RVL28" s="97"/>
      <c r="RVM28" s="97"/>
      <c r="RVN28" s="97"/>
      <c r="RVO28" s="97"/>
      <c r="RVP28" s="97"/>
      <c r="RVQ28" s="97"/>
      <c r="RVR28" s="97"/>
      <c r="RVS28" s="97"/>
      <c r="RVT28" s="97"/>
      <c r="RVU28" s="97"/>
      <c r="RVV28" s="97"/>
      <c r="RVW28" s="97"/>
      <c r="RVX28" s="97"/>
      <c r="RVY28" s="97"/>
      <c r="RVZ28" s="97"/>
      <c r="RWA28" s="97"/>
      <c r="RWB28" s="97"/>
      <c r="RWC28" s="97"/>
      <c r="RWD28" s="97"/>
      <c r="RWE28" s="97"/>
      <c r="RWF28" s="97"/>
      <c r="RWG28" s="97"/>
      <c r="RWH28" s="97"/>
      <c r="RWI28" s="97"/>
      <c r="RWJ28" s="97"/>
      <c r="RWK28" s="97"/>
      <c r="RWL28" s="97"/>
      <c r="RWM28" s="97"/>
      <c r="RWN28" s="97"/>
      <c r="RWO28" s="97"/>
      <c r="RWP28" s="97"/>
      <c r="RWQ28" s="97"/>
      <c r="RWR28" s="97"/>
      <c r="RWS28" s="97"/>
      <c r="RWT28" s="97"/>
      <c r="RWU28" s="97"/>
      <c r="RWV28" s="97"/>
      <c r="RWW28" s="97"/>
      <c r="RWX28" s="97"/>
      <c r="RWY28" s="97"/>
      <c r="RWZ28" s="97"/>
      <c r="RXA28" s="97"/>
      <c r="RXB28" s="97"/>
      <c r="RXC28" s="97"/>
      <c r="RXD28" s="97"/>
      <c r="RXE28" s="97"/>
      <c r="RXF28" s="97"/>
      <c r="RXG28" s="97"/>
      <c r="RXH28" s="97"/>
      <c r="RXI28" s="97"/>
      <c r="RXJ28" s="97"/>
      <c r="RXK28" s="97"/>
      <c r="RXL28" s="97"/>
      <c r="RXM28" s="97"/>
      <c r="RXN28" s="97"/>
      <c r="RXO28" s="97"/>
      <c r="RXP28" s="97"/>
      <c r="RXQ28" s="97"/>
      <c r="RXR28" s="97"/>
      <c r="RXS28" s="97"/>
      <c r="RXT28" s="97"/>
      <c r="RXU28" s="97"/>
      <c r="RXV28" s="97"/>
      <c r="RXW28" s="97"/>
      <c r="RXX28" s="97"/>
      <c r="RXY28" s="97"/>
      <c r="RXZ28" s="97"/>
      <c r="RYA28" s="97"/>
      <c r="RYB28" s="97"/>
      <c r="RYC28" s="97"/>
      <c r="RYD28" s="97"/>
      <c r="RYE28" s="97"/>
      <c r="RYF28" s="97"/>
      <c r="RYG28" s="97"/>
      <c r="RYH28" s="97"/>
      <c r="RYI28" s="97"/>
      <c r="RYJ28" s="97"/>
      <c r="RYK28" s="97"/>
      <c r="RYL28" s="97"/>
      <c r="RYM28" s="97"/>
      <c r="RYN28" s="97"/>
      <c r="RYO28" s="97"/>
      <c r="RYP28" s="97"/>
      <c r="RYQ28" s="97"/>
      <c r="RYR28" s="97"/>
      <c r="RYS28" s="97"/>
      <c r="RYT28" s="97"/>
      <c r="RYU28" s="97"/>
      <c r="RYV28" s="97"/>
      <c r="RYW28" s="97"/>
      <c r="RYX28" s="97"/>
      <c r="RYY28" s="97"/>
      <c r="RYZ28" s="97"/>
      <c r="RZA28" s="97"/>
      <c r="RZB28" s="97"/>
      <c r="RZC28" s="97"/>
      <c r="RZD28" s="97"/>
      <c r="RZE28" s="97"/>
      <c r="RZF28" s="97"/>
      <c r="RZG28" s="97"/>
      <c r="RZH28" s="97"/>
      <c r="RZI28" s="97"/>
      <c r="RZJ28" s="97"/>
      <c r="RZK28" s="97"/>
      <c r="RZL28" s="97"/>
      <c r="RZM28" s="97"/>
      <c r="RZN28" s="97"/>
      <c r="RZO28" s="97"/>
      <c r="RZP28" s="97"/>
      <c r="RZQ28" s="97"/>
      <c r="RZR28" s="97"/>
      <c r="RZS28" s="97"/>
      <c r="RZT28" s="97"/>
      <c r="RZU28" s="97"/>
      <c r="RZV28" s="97"/>
      <c r="RZW28" s="97"/>
      <c r="RZX28" s="97"/>
      <c r="RZY28" s="97"/>
      <c r="RZZ28" s="97"/>
      <c r="SAA28" s="97"/>
      <c r="SAB28" s="97"/>
      <c r="SAC28" s="97"/>
      <c r="SAD28" s="97"/>
      <c r="SAE28" s="97"/>
      <c r="SAF28" s="97"/>
      <c r="SAG28" s="97"/>
      <c r="SAH28" s="97"/>
      <c r="SAI28" s="97"/>
      <c r="SAJ28" s="97"/>
      <c r="SAK28" s="97"/>
      <c r="SAL28" s="97"/>
      <c r="SAM28" s="97"/>
      <c r="SAN28" s="97"/>
      <c r="SAO28" s="97"/>
      <c r="SAP28" s="97"/>
      <c r="SAQ28" s="97"/>
      <c r="SAR28" s="97"/>
      <c r="SAS28" s="97"/>
      <c r="SAT28" s="97"/>
      <c r="SAU28" s="97"/>
      <c r="SAV28" s="97"/>
      <c r="SAW28" s="97"/>
      <c r="SAX28" s="97"/>
      <c r="SAY28" s="97"/>
      <c r="SAZ28" s="97"/>
      <c r="SBA28" s="97"/>
      <c r="SBB28" s="97"/>
      <c r="SBC28" s="97"/>
      <c r="SBD28" s="97"/>
      <c r="SBE28" s="97"/>
      <c r="SBF28" s="97"/>
      <c r="SBG28" s="97"/>
      <c r="SBH28" s="97"/>
      <c r="SBI28" s="97"/>
      <c r="SBJ28" s="97"/>
      <c r="SBK28" s="97"/>
      <c r="SBL28" s="97"/>
      <c r="SBM28" s="97"/>
      <c r="SBN28" s="97"/>
      <c r="SBO28" s="97"/>
      <c r="SBP28" s="97"/>
      <c r="SBQ28" s="97"/>
      <c r="SBR28" s="97"/>
      <c r="SBS28" s="97"/>
      <c r="SBT28" s="97"/>
      <c r="SBU28" s="97"/>
      <c r="SBV28" s="97"/>
      <c r="SBW28" s="97"/>
      <c r="SBX28" s="97"/>
      <c r="SBY28" s="97"/>
      <c r="SBZ28" s="97"/>
      <c r="SCA28" s="97"/>
      <c r="SCB28" s="97"/>
      <c r="SCC28" s="97"/>
      <c r="SCD28" s="97"/>
      <c r="SCE28" s="97"/>
      <c r="SCF28" s="97"/>
      <c r="SCG28" s="97"/>
      <c r="SCH28" s="97"/>
      <c r="SCI28" s="97"/>
      <c r="SCJ28" s="97"/>
      <c r="SCK28" s="97"/>
      <c r="SCL28" s="97"/>
      <c r="SCM28" s="97"/>
      <c r="SCN28" s="97"/>
      <c r="SCO28" s="97"/>
      <c r="SCP28" s="97"/>
      <c r="SCQ28" s="97"/>
      <c r="SCR28" s="97"/>
      <c r="SCS28" s="97"/>
      <c r="SCT28" s="97"/>
      <c r="SCU28" s="97"/>
      <c r="SCV28" s="97"/>
      <c r="SCW28" s="97"/>
      <c r="SCX28" s="97"/>
      <c r="SCY28" s="97"/>
      <c r="SCZ28" s="97"/>
      <c r="SDA28" s="97"/>
      <c r="SDB28" s="97"/>
      <c r="SDC28" s="97"/>
      <c r="SDD28" s="97"/>
      <c r="SDE28" s="97"/>
      <c r="SDF28" s="97"/>
      <c r="SDG28" s="97"/>
      <c r="SDH28" s="97"/>
      <c r="SDI28" s="97"/>
      <c r="SDJ28" s="97"/>
      <c r="SDK28" s="97"/>
      <c r="SDL28" s="97"/>
      <c r="SDM28" s="97"/>
      <c r="SDN28" s="97"/>
      <c r="SDO28" s="97"/>
      <c r="SDP28" s="97"/>
      <c r="SDQ28" s="97"/>
      <c r="SDR28" s="97"/>
      <c r="SDS28" s="97"/>
      <c r="SDT28" s="97"/>
      <c r="SDU28" s="97"/>
      <c r="SDV28" s="97"/>
      <c r="SDW28" s="97"/>
      <c r="SDX28" s="97"/>
      <c r="SDY28" s="97"/>
      <c r="SDZ28" s="97"/>
      <c r="SEA28" s="97"/>
      <c r="SEB28" s="97"/>
      <c r="SEC28" s="97"/>
      <c r="SED28" s="97"/>
      <c r="SEE28" s="97"/>
      <c r="SEF28" s="97"/>
      <c r="SEG28" s="97"/>
      <c r="SEH28" s="97"/>
      <c r="SEI28" s="97"/>
      <c r="SEJ28" s="97"/>
      <c r="SEK28" s="97"/>
      <c r="SEL28" s="97"/>
      <c r="SEM28" s="97"/>
      <c r="SEN28" s="97"/>
      <c r="SEO28" s="97"/>
      <c r="SEP28" s="97"/>
      <c r="SEQ28" s="97"/>
      <c r="SER28" s="97"/>
      <c r="SES28" s="97"/>
      <c r="SET28" s="97"/>
      <c r="SEU28" s="97"/>
      <c r="SEV28" s="97"/>
      <c r="SEW28" s="97"/>
      <c r="SEX28" s="97"/>
      <c r="SEY28" s="97"/>
      <c r="SEZ28" s="97"/>
      <c r="SFA28" s="97"/>
      <c r="SFB28" s="97"/>
      <c r="SFC28" s="97"/>
      <c r="SFD28" s="97"/>
      <c r="SFE28" s="97"/>
      <c r="SFF28" s="97"/>
      <c r="SFG28" s="97"/>
      <c r="SFH28" s="97"/>
      <c r="SFI28" s="97"/>
      <c r="SFJ28" s="97"/>
      <c r="SFK28" s="97"/>
      <c r="SFL28" s="97"/>
      <c r="SFM28" s="97"/>
      <c r="SFN28" s="97"/>
      <c r="SFO28" s="97"/>
      <c r="SFP28" s="97"/>
      <c r="SFQ28" s="97"/>
      <c r="SFR28" s="97"/>
      <c r="SFS28" s="97"/>
      <c r="SFT28" s="97"/>
      <c r="SFU28" s="97"/>
      <c r="SFV28" s="97"/>
      <c r="SFW28" s="97"/>
      <c r="SFX28" s="97"/>
      <c r="SFY28" s="97"/>
      <c r="SFZ28" s="97"/>
      <c r="SGA28" s="97"/>
      <c r="SGB28" s="97"/>
      <c r="SGC28" s="97"/>
      <c r="SGD28" s="97"/>
      <c r="SGE28" s="97"/>
      <c r="SGF28" s="97"/>
      <c r="SGG28" s="97"/>
      <c r="SGH28" s="97"/>
      <c r="SGI28" s="97"/>
      <c r="SGJ28" s="97"/>
      <c r="SGK28" s="97"/>
      <c r="SGL28" s="97"/>
      <c r="SGM28" s="97"/>
      <c r="SGN28" s="97"/>
      <c r="SGO28" s="97"/>
      <c r="SGP28" s="97"/>
      <c r="SGQ28" s="97"/>
      <c r="SGR28" s="97"/>
      <c r="SGS28" s="97"/>
      <c r="SGT28" s="97"/>
      <c r="SGU28" s="97"/>
      <c r="SGV28" s="97"/>
      <c r="SGW28" s="97"/>
      <c r="SGX28" s="97"/>
      <c r="SGY28" s="97"/>
      <c r="SGZ28" s="97"/>
      <c r="SHA28" s="97"/>
      <c r="SHB28" s="97"/>
      <c r="SHC28" s="97"/>
      <c r="SHD28" s="97"/>
      <c r="SHE28" s="97"/>
      <c r="SHF28" s="97"/>
      <c r="SHG28" s="97"/>
      <c r="SHH28" s="97"/>
      <c r="SHI28" s="97"/>
      <c r="SHJ28" s="97"/>
      <c r="SHK28" s="97"/>
      <c r="SHL28" s="97"/>
      <c r="SHM28" s="97"/>
      <c r="SHN28" s="97"/>
      <c r="SHO28" s="97"/>
      <c r="SHP28" s="97"/>
      <c r="SHQ28" s="97"/>
      <c r="SHR28" s="97"/>
      <c r="SHS28" s="97"/>
      <c r="SHT28" s="97"/>
      <c r="SHU28" s="97"/>
      <c r="SHV28" s="97"/>
      <c r="SHW28" s="97"/>
      <c r="SHX28" s="97"/>
      <c r="SHY28" s="97"/>
      <c r="SHZ28" s="97"/>
      <c r="SIA28" s="97"/>
      <c r="SIB28" s="97"/>
      <c r="SIC28" s="97"/>
      <c r="SID28" s="97"/>
      <c r="SIE28" s="97"/>
      <c r="SIF28" s="97"/>
      <c r="SIG28" s="97"/>
      <c r="SIH28" s="97"/>
      <c r="SII28" s="97"/>
      <c r="SIJ28" s="97"/>
      <c r="SIK28" s="97"/>
      <c r="SIL28" s="97"/>
      <c r="SIM28" s="97"/>
      <c r="SIN28" s="97"/>
      <c r="SIO28" s="97"/>
      <c r="SIP28" s="97"/>
      <c r="SIQ28" s="97"/>
      <c r="SIR28" s="97"/>
      <c r="SIS28" s="97"/>
      <c r="SIT28" s="97"/>
      <c r="SIU28" s="97"/>
      <c r="SIV28" s="97"/>
      <c r="SIW28" s="97"/>
      <c r="SIX28" s="97"/>
      <c r="SIY28" s="97"/>
      <c r="SIZ28" s="97"/>
      <c r="SJA28" s="97"/>
      <c r="SJB28" s="97"/>
      <c r="SJC28" s="97"/>
      <c r="SJD28" s="97"/>
      <c r="SJE28" s="97"/>
      <c r="SJF28" s="97"/>
      <c r="SJG28" s="97"/>
      <c r="SJH28" s="97"/>
      <c r="SJI28" s="97"/>
      <c r="SJJ28" s="97"/>
      <c r="SJK28" s="97"/>
      <c r="SJL28" s="97"/>
      <c r="SJM28" s="97"/>
      <c r="SJN28" s="97"/>
      <c r="SJO28" s="97"/>
      <c r="SJP28" s="97"/>
      <c r="SJQ28" s="97"/>
      <c r="SJR28" s="97"/>
      <c r="SJS28" s="97"/>
      <c r="SJT28" s="97"/>
      <c r="SJU28" s="97"/>
      <c r="SJV28" s="97"/>
      <c r="SJW28" s="97"/>
      <c r="SJX28" s="97"/>
      <c r="SJY28" s="97"/>
      <c r="SJZ28" s="97"/>
      <c r="SKA28" s="97"/>
      <c r="SKB28" s="97"/>
      <c r="SKC28" s="97"/>
      <c r="SKD28" s="97"/>
      <c r="SKE28" s="97"/>
      <c r="SKF28" s="97"/>
      <c r="SKG28" s="97"/>
      <c r="SKH28" s="97"/>
      <c r="SKI28" s="97"/>
      <c r="SKJ28" s="97"/>
      <c r="SKK28" s="97"/>
      <c r="SKL28" s="97"/>
      <c r="SKM28" s="97"/>
      <c r="SKN28" s="97"/>
      <c r="SKO28" s="97"/>
      <c r="SKP28" s="97"/>
      <c r="SKQ28" s="97"/>
      <c r="SKR28" s="97"/>
      <c r="SKS28" s="97"/>
      <c r="SKT28" s="97"/>
      <c r="SKU28" s="97"/>
      <c r="SKV28" s="97"/>
      <c r="SKW28" s="97"/>
      <c r="SKX28" s="97"/>
      <c r="SKY28" s="97"/>
      <c r="SKZ28" s="97"/>
      <c r="SLA28" s="97"/>
      <c r="SLB28" s="97"/>
      <c r="SLC28" s="97"/>
      <c r="SLD28" s="97"/>
      <c r="SLE28" s="97"/>
      <c r="SLF28" s="97"/>
      <c r="SLG28" s="97"/>
      <c r="SLH28" s="97"/>
      <c r="SLI28" s="97"/>
      <c r="SLJ28" s="97"/>
      <c r="SLK28" s="97"/>
      <c r="SLL28" s="97"/>
      <c r="SLM28" s="97"/>
      <c r="SLN28" s="97"/>
      <c r="SLO28" s="97"/>
      <c r="SLP28" s="97"/>
      <c r="SLQ28" s="97"/>
      <c r="SLR28" s="97"/>
      <c r="SLS28" s="97"/>
      <c r="SLT28" s="97"/>
      <c r="SLU28" s="97"/>
      <c r="SLV28" s="97"/>
      <c r="SLW28" s="97"/>
      <c r="SLX28" s="97"/>
      <c r="SLY28" s="97"/>
      <c r="SLZ28" s="97"/>
      <c r="SMA28" s="97"/>
      <c r="SMB28" s="97"/>
      <c r="SMC28" s="97"/>
      <c r="SMD28" s="97"/>
      <c r="SME28" s="97"/>
      <c r="SMF28" s="97"/>
      <c r="SMG28" s="97"/>
      <c r="SMH28" s="97"/>
      <c r="SMI28" s="97"/>
      <c r="SMJ28" s="97"/>
      <c r="SMK28" s="97"/>
      <c r="SML28" s="97"/>
      <c r="SMM28" s="97"/>
      <c r="SMN28" s="97"/>
      <c r="SMO28" s="97"/>
      <c r="SMP28" s="97"/>
      <c r="SMQ28" s="97"/>
      <c r="SMR28" s="97"/>
      <c r="SMS28" s="97"/>
      <c r="SMT28" s="97"/>
      <c r="SMU28" s="97"/>
      <c r="SMV28" s="97"/>
      <c r="SMW28" s="97"/>
      <c r="SMX28" s="97"/>
      <c r="SMY28" s="97"/>
      <c r="SMZ28" s="97"/>
      <c r="SNA28" s="97"/>
      <c r="SNB28" s="97"/>
      <c r="SNC28" s="97"/>
      <c r="SND28" s="97"/>
      <c r="SNE28" s="97"/>
      <c r="SNF28" s="97"/>
      <c r="SNG28" s="97"/>
      <c r="SNH28" s="97"/>
      <c r="SNI28" s="97"/>
      <c r="SNJ28" s="97"/>
      <c r="SNK28" s="97"/>
      <c r="SNL28" s="97"/>
      <c r="SNM28" s="97"/>
      <c r="SNN28" s="97"/>
      <c r="SNO28" s="97"/>
      <c r="SNP28" s="97"/>
      <c r="SNQ28" s="97"/>
      <c r="SNR28" s="97"/>
      <c r="SNS28" s="97"/>
      <c r="SNT28" s="97"/>
      <c r="SNU28" s="97"/>
      <c r="SNV28" s="97"/>
      <c r="SNW28" s="97"/>
      <c r="SNX28" s="97"/>
      <c r="SNY28" s="97"/>
      <c r="SNZ28" s="97"/>
      <c r="SOA28" s="97"/>
      <c r="SOB28" s="97"/>
      <c r="SOC28" s="97"/>
      <c r="SOD28" s="97"/>
      <c r="SOE28" s="97"/>
      <c r="SOF28" s="97"/>
      <c r="SOG28" s="97"/>
      <c r="SOH28" s="97"/>
      <c r="SOI28" s="97"/>
      <c r="SOJ28" s="97"/>
      <c r="SOK28" s="97"/>
      <c r="SOL28" s="97"/>
      <c r="SOM28" s="97"/>
      <c r="SON28" s="97"/>
      <c r="SOO28" s="97"/>
      <c r="SOP28" s="97"/>
      <c r="SOQ28" s="97"/>
      <c r="SOR28" s="97"/>
      <c r="SOS28" s="97"/>
      <c r="SOT28" s="97"/>
      <c r="SOU28" s="97"/>
      <c r="SOV28" s="97"/>
      <c r="SOW28" s="97"/>
      <c r="SOX28" s="97"/>
      <c r="SOY28" s="97"/>
      <c r="SOZ28" s="97"/>
      <c r="SPA28" s="97"/>
      <c r="SPB28" s="97"/>
      <c r="SPC28" s="97"/>
      <c r="SPD28" s="97"/>
      <c r="SPE28" s="97"/>
      <c r="SPF28" s="97"/>
      <c r="SPG28" s="97"/>
      <c r="SPH28" s="97"/>
      <c r="SPI28" s="97"/>
      <c r="SPJ28" s="97"/>
      <c r="SPK28" s="97"/>
      <c r="SPL28" s="97"/>
      <c r="SPM28" s="97"/>
      <c r="SPN28" s="97"/>
      <c r="SPO28" s="97"/>
      <c r="SPP28" s="97"/>
      <c r="SPQ28" s="97"/>
      <c r="SPR28" s="97"/>
      <c r="SPS28" s="97"/>
      <c r="SPT28" s="97"/>
      <c r="SPU28" s="97"/>
      <c r="SPV28" s="97"/>
      <c r="SPW28" s="97"/>
      <c r="SPX28" s="97"/>
      <c r="SPY28" s="97"/>
      <c r="SPZ28" s="97"/>
      <c r="SQA28" s="97"/>
      <c r="SQB28" s="97"/>
      <c r="SQC28" s="97"/>
      <c r="SQD28" s="97"/>
      <c r="SQE28" s="97"/>
      <c r="SQF28" s="97"/>
      <c r="SQG28" s="97"/>
      <c r="SQH28" s="97"/>
      <c r="SQI28" s="97"/>
      <c r="SQJ28" s="97"/>
      <c r="SQK28" s="97"/>
      <c r="SQL28" s="97"/>
      <c r="SQM28" s="97"/>
      <c r="SQN28" s="97"/>
      <c r="SQO28" s="97"/>
      <c r="SQP28" s="97"/>
      <c r="SQQ28" s="97"/>
      <c r="SQR28" s="97"/>
      <c r="SQS28" s="97"/>
      <c r="SQT28" s="97"/>
      <c r="SQU28" s="97"/>
      <c r="SQV28" s="97"/>
      <c r="SQW28" s="97"/>
      <c r="SQX28" s="97"/>
      <c r="SQY28" s="97"/>
      <c r="SQZ28" s="97"/>
      <c r="SRA28" s="97"/>
      <c r="SRB28" s="97"/>
      <c r="SRC28" s="97"/>
      <c r="SRD28" s="97"/>
      <c r="SRE28" s="97"/>
      <c r="SRF28" s="97"/>
      <c r="SRG28" s="97"/>
      <c r="SRH28" s="97"/>
      <c r="SRI28" s="97"/>
      <c r="SRJ28" s="97"/>
      <c r="SRK28" s="97"/>
      <c r="SRL28" s="97"/>
      <c r="SRM28" s="97"/>
      <c r="SRN28" s="97"/>
      <c r="SRO28" s="97"/>
      <c r="SRP28" s="97"/>
      <c r="SRQ28" s="97"/>
      <c r="SRR28" s="97"/>
      <c r="SRS28" s="97"/>
      <c r="SRT28" s="97"/>
      <c r="SRU28" s="97"/>
      <c r="SRV28" s="97"/>
      <c r="SRW28" s="97"/>
      <c r="SRX28" s="97"/>
      <c r="SRY28" s="97"/>
      <c r="SRZ28" s="97"/>
      <c r="SSA28" s="97"/>
      <c r="SSB28" s="97"/>
      <c r="SSC28" s="97"/>
      <c r="SSD28" s="97"/>
      <c r="SSE28" s="97"/>
      <c r="SSF28" s="97"/>
      <c r="SSG28" s="97"/>
      <c r="SSH28" s="97"/>
      <c r="SSI28" s="97"/>
      <c r="SSJ28" s="97"/>
      <c r="SSK28" s="97"/>
      <c r="SSL28" s="97"/>
      <c r="SSM28" s="97"/>
      <c r="SSN28" s="97"/>
      <c r="SSO28" s="97"/>
      <c r="SSP28" s="97"/>
      <c r="SSQ28" s="97"/>
      <c r="SSR28" s="97"/>
      <c r="SSS28" s="97"/>
      <c r="SST28" s="97"/>
      <c r="SSU28" s="97"/>
      <c r="SSV28" s="97"/>
      <c r="SSW28" s="97"/>
      <c r="SSX28" s="97"/>
      <c r="SSY28" s="97"/>
      <c r="SSZ28" s="97"/>
      <c r="STA28" s="97"/>
      <c r="STB28" s="97"/>
      <c r="STC28" s="97"/>
      <c r="STD28" s="97"/>
      <c r="STE28" s="97"/>
      <c r="STF28" s="97"/>
      <c r="STG28" s="97"/>
      <c r="STH28" s="97"/>
      <c r="STI28" s="97"/>
      <c r="STJ28" s="97"/>
      <c r="STK28" s="97"/>
      <c r="STL28" s="97"/>
      <c r="STM28" s="97"/>
      <c r="STN28" s="97"/>
      <c r="STO28" s="97"/>
      <c r="STP28" s="97"/>
      <c r="STQ28" s="97"/>
      <c r="STR28" s="97"/>
      <c r="STS28" s="97"/>
      <c r="STT28" s="97"/>
      <c r="STU28" s="97"/>
      <c r="STV28" s="97"/>
      <c r="STW28" s="97"/>
      <c r="STX28" s="97"/>
      <c r="STY28" s="97"/>
      <c r="STZ28" s="97"/>
      <c r="SUA28" s="97"/>
      <c r="SUB28" s="97"/>
      <c r="SUC28" s="97"/>
      <c r="SUD28" s="97"/>
      <c r="SUE28" s="97"/>
      <c r="SUF28" s="97"/>
      <c r="SUG28" s="97"/>
      <c r="SUH28" s="97"/>
      <c r="SUI28" s="97"/>
      <c r="SUJ28" s="97"/>
      <c r="SUK28" s="97"/>
      <c r="SUL28" s="97"/>
      <c r="SUM28" s="97"/>
      <c r="SUN28" s="97"/>
      <c r="SUO28" s="97"/>
      <c r="SUP28" s="97"/>
      <c r="SUQ28" s="97"/>
      <c r="SUR28" s="97"/>
      <c r="SUS28" s="97"/>
      <c r="SUT28" s="97"/>
      <c r="SUU28" s="97"/>
      <c r="SUV28" s="97"/>
      <c r="SUW28" s="97"/>
      <c r="SUX28" s="97"/>
      <c r="SUY28" s="97"/>
      <c r="SUZ28" s="97"/>
      <c r="SVA28" s="97"/>
      <c r="SVB28" s="97"/>
      <c r="SVC28" s="97"/>
      <c r="SVD28" s="97"/>
      <c r="SVE28" s="97"/>
      <c r="SVF28" s="97"/>
      <c r="SVG28" s="97"/>
      <c r="SVH28" s="97"/>
      <c r="SVI28" s="97"/>
      <c r="SVJ28" s="97"/>
      <c r="SVK28" s="97"/>
      <c r="SVL28" s="97"/>
      <c r="SVM28" s="97"/>
      <c r="SVN28" s="97"/>
      <c r="SVO28" s="97"/>
      <c r="SVP28" s="97"/>
      <c r="SVQ28" s="97"/>
      <c r="SVR28" s="97"/>
      <c r="SVS28" s="97"/>
      <c r="SVT28" s="97"/>
      <c r="SVU28" s="97"/>
      <c r="SVV28" s="97"/>
      <c r="SVW28" s="97"/>
      <c r="SVX28" s="97"/>
      <c r="SVY28" s="97"/>
      <c r="SVZ28" s="97"/>
      <c r="SWA28" s="97"/>
      <c r="SWB28" s="97"/>
      <c r="SWC28" s="97"/>
      <c r="SWD28" s="97"/>
      <c r="SWE28" s="97"/>
      <c r="SWF28" s="97"/>
      <c r="SWG28" s="97"/>
      <c r="SWH28" s="97"/>
      <c r="SWI28" s="97"/>
      <c r="SWJ28" s="97"/>
      <c r="SWK28" s="97"/>
      <c r="SWL28" s="97"/>
      <c r="SWM28" s="97"/>
      <c r="SWN28" s="97"/>
      <c r="SWO28" s="97"/>
      <c r="SWP28" s="97"/>
      <c r="SWQ28" s="97"/>
      <c r="SWR28" s="97"/>
      <c r="SWS28" s="97"/>
      <c r="SWT28" s="97"/>
      <c r="SWU28" s="97"/>
      <c r="SWV28" s="97"/>
      <c r="SWW28" s="97"/>
      <c r="SWX28" s="97"/>
      <c r="SWY28" s="97"/>
      <c r="SWZ28" s="97"/>
      <c r="SXA28" s="97"/>
      <c r="SXB28" s="97"/>
      <c r="SXC28" s="97"/>
      <c r="SXD28" s="97"/>
      <c r="SXE28" s="97"/>
      <c r="SXF28" s="97"/>
      <c r="SXG28" s="97"/>
      <c r="SXH28" s="97"/>
      <c r="SXI28" s="97"/>
      <c r="SXJ28" s="97"/>
      <c r="SXK28" s="97"/>
      <c r="SXL28" s="97"/>
      <c r="SXM28" s="97"/>
      <c r="SXN28" s="97"/>
      <c r="SXO28" s="97"/>
      <c r="SXP28" s="97"/>
      <c r="SXQ28" s="97"/>
      <c r="SXR28" s="97"/>
      <c r="SXS28" s="97"/>
      <c r="SXT28" s="97"/>
      <c r="SXU28" s="97"/>
      <c r="SXV28" s="97"/>
      <c r="SXW28" s="97"/>
      <c r="SXX28" s="97"/>
      <c r="SXY28" s="97"/>
      <c r="SXZ28" s="97"/>
      <c r="SYA28" s="97"/>
      <c r="SYB28" s="97"/>
      <c r="SYC28" s="97"/>
      <c r="SYD28" s="97"/>
      <c r="SYE28" s="97"/>
      <c r="SYF28" s="97"/>
      <c r="SYG28" s="97"/>
      <c r="SYH28" s="97"/>
      <c r="SYI28" s="97"/>
      <c r="SYJ28" s="97"/>
      <c r="SYK28" s="97"/>
      <c r="SYL28" s="97"/>
      <c r="SYM28" s="97"/>
      <c r="SYN28" s="97"/>
      <c r="SYO28" s="97"/>
      <c r="SYP28" s="97"/>
      <c r="SYQ28" s="97"/>
      <c r="SYR28" s="97"/>
      <c r="SYS28" s="97"/>
      <c r="SYT28" s="97"/>
      <c r="SYU28" s="97"/>
      <c r="SYV28" s="97"/>
      <c r="SYW28" s="97"/>
      <c r="SYX28" s="97"/>
      <c r="SYY28" s="97"/>
      <c r="SYZ28" s="97"/>
      <c r="SZA28" s="97"/>
      <c r="SZB28" s="97"/>
      <c r="SZC28" s="97"/>
      <c r="SZD28" s="97"/>
      <c r="SZE28" s="97"/>
      <c r="SZF28" s="97"/>
      <c r="SZG28" s="97"/>
      <c r="SZH28" s="97"/>
      <c r="SZI28" s="97"/>
      <c r="SZJ28" s="97"/>
      <c r="SZK28" s="97"/>
      <c r="SZL28" s="97"/>
      <c r="SZM28" s="97"/>
      <c r="SZN28" s="97"/>
      <c r="SZO28" s="97"/>
      <c r="SZP28" s="97"/>
      <c r="SZQ28" s="97"/>
      <c r="SZR28" s="97"/>
      <c r="SZS28" s="97"/>
      <c r="SZT28" s="97"/>
      <c r="SZU28" s="97"/>
      <c r="SZV28" s="97"/>
      <c r="SZW28" s="97"/>
      <c r="SZX28" s="97"/>
      <c r="SZY28" s="97"/>
      <c r="SZZ28" s="97"/>
      <c r="TAA28" s="97"/>
      <c r="TAB28" s="97"/>
      <c r="TAC28" s="97"/>
      <c r="TAD28" s="97"/>
      <c r="TAE28" s="97"/>
      <c r="TAF28" s="97"/>
      <c r="TAG28" s="97"/>
      <c r="TAH28" s="97"/>
      <c r="TAI28" s="97"/>
      <c r="TAJ28" s="97"/>
      <c r="TAK28" s="97"/>
      <c r="TAL28" s="97"/>
      <c r="TAM28" s="97"/>
      <c r="TAN28" s="97"/>
      <c r="TAO28" s="97"/>
      <c r="TAP28" s="97"/>
      <c r="TAQ28" s="97"/>
      <c r="TAR28" s="97"/>
      <c r="TAS28" s="97"/>
      <c r="TAT28" s="97"/>
      <c r="TAU28" s="97"/>
      <c r="TAV28" s="97"/>
      <c r="TAW28" s="97"/>
      <c r="TAX28" s="97"/>
      <c r="TAY28" s="97"/>
      <c r="TAZ28" s="97"/>
      <c r="TBA28" s="97"/>
      <c r="TBB28" s="97"/>
      <c r="TBC28" s="97"/>
      <c r="TBD28" s="97"/>
      <c r="TBE28" s="97"/>
      <c r="TBF28" s="97"/>
      <c r="TBG28" s="97"/>
      <c r="TBH28" s="97"/>
      <c r="TBI28" s="97"/>
      <c r="TBJ28" s="97"/>
      <c r="TBK28" s="97"/>
      <c r="TBL28" s="97"/>
      <c r="TBM28" s="97"/>
      <c r="TBN28" s="97"/>
      <c r="TBO28" s="97"/>
      <c r="TBP28" s="97"/>
      <c r="TBQ28" s="97"/>
      <c r="TBR28" s="97"/>
      <c r="TBS28" s="97"/>
      <c r="TBT28" s="97"/>
      <c r="TBU28" s="97"/>
      <c r="TBV28" s="97"/>
      <c r="TBW28" s="97"/>
      <c r="TBX28" s="97"/>
      <c r="TBY28" s="97"/>
      <c r="TBZ28" s="97"/>
      <c r="TCA28" s="97"/>
      <c r="TCB28" s="97"/>
      <c r="TCC28" s="97"/>
      <c r="TCD28" s="97"/>
      <c r="TCE28" s="97"/>
      <c r="TCF28" s="97"/>
      <c r="TCG28" s="97"/>
      <c r="TCH28" s="97"/>
      <c r="TCI28" s="97"/>
      <c r="TCJ28" s="97"/>
      <c r="TCK28" s="97"/>
      <c r="TCL28" s="97"/>
      <c r="TCM28" s="97"/>
      <c r="TCN28" s="97"/>
      <c r="TCO28" s="97"/>
      <c r="TCP28" s="97"/>
      <c r="TCQ28" s="97"/>
      <c r="TCR28" s="97"/>
      <c r="TCS28" s="97"/>
      <c r="TCT28" s="97"/>
      <c r="TCU28" s="97"/>
      <c r="TCV28" s="97"/>
      <c r="TCW28" s="97"/>
      <c r="TCX28" s="97"/>
      <c r="TCY28" s="97"/>
      <c r="TCZ28" s="97"/>
      <c r="TDA28" s="97"/>
      <c r="TDB28" s="97"/>
      <c r="TDC28" s="97"/>
      <c r="TDD28" s="97"/>
      <c r="TDE28" s="97"/>
      <c r="TDF28" s="97"/>
      <c r="TDG28" s="97"/>
      <c r="TDH28" s="97"/>
      <c r="TDI28" s="97"/>
      <c r="TDJ28" s="97"/>
      <c r="TDK28" s="97"/>
      <c r="TDL28" s="97"/>
      <c r="TDM28" s="97"/>
      <c r="TDN28" s="97"/>
      <c r="TDO28" s="97"/>
      <c r="TDP28" s="97"/>
      <c r="TDQ28" s="97"/>
      <c r="TDR28" s="97"/>
      <c r="TDS28" s="97"/>
      <c r="TDT28" s="97"/>
      <c r="TDU28" s="97"/>
      <c r="TDV28" s="97"/>
      <c r="TDW28" s="97"/>
      <c r="TDX28" s="97"/>
      <c r="TDY28" s="97"/>
      <c r="TDZ28" s="97"/>
      <c r="TEA28" s="97"/>
      <c r="TEB28" s="97"/>
      <c r="TEC28" s="97"/>
      <c r="TED28" s="97"/>
      <c r="TEE28" s="97"/>
      <c r="TEF28" s="97"/>
      <c r="TEG28" s="97"/>
      <c r="TEH28" s="97"/>
      <c r="TEI28" s="97"/>
      <c r="TEJ28" s="97"/>
      <c r="TEK28" s="97"/>
      <c r="TEL28" s="97"/>
      <c r="TEM28" s="97"/>
      <c r="TEN28" s="97"/>
      <c r="TEO28" s="97"/>
      <c r="TEP28" s="97"/>
      <c r="TEQ28" s="97"/>
      <c r="TER28" s="97"/>
      <c r="TES28" s="97"/>
      <c r="TET28" s="97"/>
      <c r="TEU28" s="97"/>
      <c r="TEV28" s="97"/>
      <c r="TEW28" s="97"/>
      <c r="TEX28" s="97"/>
      <c r="TEY28" s="97"/>
      <c r="TEZ28" s="97"/>
      <c r="TFA28" s="97"/>
      <c r="TFB28" s="97"/>
      <c r="TFC28" s="97"/>
      <c r="TFD28" s="97"/>
      <c r="TFE28" s="97"/>
      <c r="TFF28" s="97"/>
      <c r="TFG28" s="97"/>
      <c r="TFH28" s="97"/>
      <c r="TFI28" s="97"/>
      <c r="TFJ28" s="97"/>
      <c r="TFK28" s="97"/>
      <c r="TFL28" s="97"/>
      <c r="TFM28" s="97"/>
      <c r="TFN28" s="97"/>
      <c r="TFO28" s="97"/>
      <c r="TFP28" s="97"/>
      <c r="TFQ28" s="97"/>
      <c r="TFR28" s="97"/>
      <c r="TFS28" s="97"/>
      <c r="TFT28" s="97"/>
      <c r="TFU28" s="97"/>
      <c r="TFV28" s="97"/>
      <c r="TFW28" s="97"/>
      <c r="TFX28" s="97"/>
      <c r="TFY28" s="97"/>
      <c r="TFZ28" s="97"/>
      <c r="TGA28" s="97"/>
      <c r="TGB28" s="97"/>
      <c r="TGC28" s="97"/>
      <c r="TGD28" s="97"/>
      <c r="TGE28" s="97"/>
      <c r="TGF28" s="97"/>
      <c r="TGG28" s="97"/>
      <c r="TGH28" s="97"/>
      <c r="TGI28" s="97"/>
      <c r="TGJ28" s="97"/>
      <c r="TGK28" s="97"/>
      <c r="TGL28" s="97"/>
      <c r="TGM28" s="97"/>
      <c r="TGN28" s="97"/>
      <c r="TGO28" s="97"/>
      <c r="TGP28" s="97"/>
      <c r="TGQ28" s="97"/>
      <c r="TGR28" s="97"/>
      <c r="TGS28" s="97"/>
      <c r="TGT28" s="97"/>
      <c r="TGU28" s="97"/>
      <c r="TGV28" s="97"/>
      <c r="TGW28" s="97"/>
      <c r="TGX28" s="97"/>
      <c r="TGY28" s="97"/>
      <c r="TGZ28" s="97"/>
      <c r="THA28" s="97"/>
      <c r="THB28" s="97"/>
      <c r="THC28" s="97"/>
      <c r="THD28" s="97"/>
      <c r="THE28" s="97"/>
      <c r="THF28" s="97"/>
      <c r="THG28" s="97"/>
      <c r="THH28" s="97"/>
      <c r="THI28" s="97"/>
      <c r="THJ28" s="97"/>
      <c r="THK28" s="97"/>
      <c r="THL28" s="97"/>
      <c r="THM28" s="97"/>
      <c r="THN28" s="97"/>
      <c r="THO28" s="97"/>
      <c r="THP28" s="97"/>
      <c r="THQ28" s="97"/>
      <c r="THR28" s="97"/>
      <c r="THS28" s="97"/>
      <c r="THT28" s="97"/>
      <c r="THU28" s="97"/>
      <c r="THV28" s="97"/>
      <c r="THW28" s="97"/>
      <c r="THX28" s="97"/>
      <c r="THY28" s="97"/>
      <c r="THZ28" s="97"/>
      <c r="TIA28" s="97"/>
      <c r="TIB28" s="97"/>
      <c r="TIC28" s="97"/>
      <c r="TID28" s="97"/>
      <c r="TIE28" s="97"/>
      <c r="TIF28" s="97"/>
      <c r="TIG28" s="97"/>
      <c r="TIH28" s="97"/>
      <c r="TII28" s="97"/>
      <c r="TIJ28" s="97"/>
      <c r="TIK28" s="97"/>
      <c r="TIL28" s="97"/>
      <c r="TIM28" s="97"/>
      <c r="TIN28" s="97"/>
      <c r="TIO28" s="97"/>
      <c r="TIP28" s="97"/>
      <c r="TIQ28" s="97"/>
      <c r="TIR28" s="97"/>
      <c r="TIS28" s="97"/>
      <c r="TIT28" s="97"/>
      <c r="TIU28" s="97"/>
      <c r="TIV28" s="97"/>
      <c r="TIW28" s="97"/>
      <c r="TIX28" s="97"/>
      <c r="TIY28" s="97"/>
      <c r="TIZ28" s="97"/>
      <c r="TJA28" s="97"/>
      <c r="TJB28" s="97"/>
      <c r="TJC28" s="97"/>
      <c r="TJD28" s="97"/>
      <c r="TJE28" s="97"/>
      <c r="TJF28" s="97"/>
      <c r="TJG28" s="97"/>
      <c r="TJH28" s="97"/>
      <c r="TJI28" s="97"/>
      <c r="TJJ28" s="97"/>
      <c r="TJK28" s="97"/>
      <c r="TJL28" s="97"/>
      <c r="TJM28" s="97"/>
      <c r="TJN28" s="97"/>
      <c r="TJO28" s="97"/>
      <c r="TJP28" s="97"/>
      <c r="TJQ28" s="97"/>
      <c r="TJR28" s="97"/>
      <c r="TJS28" s="97"/>
      <c r="TJT28" s="97"/>
      <c r="TJU28" s="97"/>
      <c r="TJV28" s="97"/>
      <c r="TJW28" s="97"/>
      <c r="TJX28" s="97"/>
      <c r="TJY28" s="97"/>
      <c r="TJZ28" s="97"/>
      <c r="TKA28" s="97"/>
      <c r="TKB28" s="97"/>
      <c r="TKC28" s="97"/>
      <c r="TKD28" s="97"/>
      <c r="TKE28" s="97"/>
      <c r="TKF28" s="97"/>
      <c r="TKG28" s="97"/>
      <c r="TKH28" s="97"/>
      <c r="TKI28" s="97"/>
      <c r="TKJ28" s="97"/>
      <c r="TKK28" s="97"/>
      <c r="TKL28" s="97"/>
      <c r="TKM28" s="97"/>
      <c r="TKN28" s="97"/>
      <c r="TKO28" s="97"/>
      <c r="TKP28" s="97"/>
      <c r="TKQ28" s="97"/>
      <c r="TKR28" s="97"/>
      <c r="TKS28" s="97"/>
      <c r="TKT28" s="97"/>
      <c r="TKU28" s="97"/>
      <c r="TKV28" s="97"/>
      <c r="TKW28" s="97"/>
      <c r="TKX28" s="97"/>
      <c r="TKY28" s="97"/>
      <c r="TKZ28" s="97"/>
      <c r="TLA28" s="97"/>
      <c r="TLB28" s="97"/>
      <c r="TLC28" s="97"/>
      <c r="TLD28" s="97"/>
      <c r="TLE28" s="97"/>
      <c r="TLF28" s="97"/>
      <c r="TLG28" s="97"/>
      <c r="TLH28" s="97"/>
      <c r="TLI28" s="97"/>
      <c r="TLJ28" s="97"/>
      <c r="TLK28" s="97"/>
      <c r="TLL28" s="97"/>
      <c r="TLM28" s="97"/>
      <c r="TLN28" s="97"/>
      <c r="TLO28" s="97"/>
      <c r="TLP28" s="97"/>
      <c r="TLQ28" s="97"/>
      <c r="TLR28" s="97"/>
      <c r="TLS28" s="97"/>
      <c r="TLT28" s="97"/>
      <c r="TLU28" s="97"/>
      <c r="TLV28" s="97"/>
      <c r="TLW28" s="97"/>
      <c r="TLX28" s="97"/>
      <c r="TLY28" s="97"/>
      <c r="TLZ28" s="97"/>
      <c r="TMA28" s="97"/>
      <c r="TMB28" s="97"/>
      <c r="TMC28" s="97"/>
      <c r="TMD28" s="97"/>
      <c r="TME28" s="97"/>
      <c r="TMF28" s="97"/>
      <c r="TMG28" s="97"/>
      <c r="TMH28" s="97"/>
      <c r="TMI28" s="97"/>
      <c r="TMJ28" s="97"/>
      <c r="TMK28" s="97"/>
      <c r="TML28" s="97"/>
      <c r="TMM28" s="97"/>
      <c r="TMN28" s="97"/>
      <c r="TMO28" s="97"/>
      <c r="TMP28" s="97"/>
      <c r="TMQ28" s="97"/>
      <c r="TMR28" s="97"/>
      <c r="TMS28" s="97"/>
      <c r="TMT28" s="97"/>
      <c r="TMU28" s="97"/>
      <c r="TMV28" s="97"/>
      <c r="TMW28" s="97"/>
      <c r="TMX28" s="97"/>
      <c r="TMY28" s="97"/>
      <c r="TMZ28" s="97"/>
      <c r="TNA28" s="97"/>
      <c r="TNB28" s="97"/>
      <c r="TNC28" s="97"/>
      <c r="TND28" s="97"/>
      <c r="TNE28" s="97"/>
      <c r="TNF28" s="97"/>
      <c r="TNG28" s="97"/>
      <c r="TNH28" s="97"/>
      <c r="TNI28" s="97"/>
      <c r="TNJ28" s="97"/>
      <c r="TNK28" s="97"/>
      <c r="TNL28" s="97"/>
      <c r="TNM28" s="97"/>
      <c r="TNN28" s="97"/>
      <c r="TNO28" s="97"/>
      <c r="TNP28" s="97"/>
      <c r="TNQ28" s="97"/>
      <c r="TNR28" s="97"/>
      <c r="TNS28" s="97"/>
      <c r="TNT28" s="97"/>
      <c r="TNU28" s="97"/>
      <c r="TNV28" s="97"/>
      <c r="TNW28" s="97"/>
      <c r="TNX28" s="97"/>
      <c r="TNY28" s="97"/>
      <c r="TNZ28" s="97"/>
      <c r="TOA28" s="97"/>
      <c r="TOB28" s="97"/>
      <c r="TOC28" s="97"/>
      <c r="TOD28" s="97"/>
      <c r="TOE28" s="97"/>
      <c r="TOF28" s="97"/>
      <c r="TOG28" s="97"/>
      <c r="TOH28" s="97"/>
      <c r="TOI28" s="97"/>
      <c r="TOJ28" s="97"/>
      <c r="TOK28" s="97"/>
      <c r="TOL28" s="97"/>
      <c r="TOM28" s="97"/>
      <c r="TON28" s="97"/>
      <c r="TOO28" s="97"/>
      <c r="TOP28" s="97"/>
      <c r="TOQ28" s="97"/>
      <c r="TOR28" s="97"/>
      <c r="TOS28" s="97"/>
      <c r="TOT28" s="97"/>
      <c r="TOU28" s="97"/>
      <c r="TOV28" s="97"/>
      <c r="TOW28" s="97"/>
      <c r="TOX28" s="97"/>
      <c r="TOY28" s="97"/>
      <c r="TOZ28" s="97"/>
      <c r="TPA28" s="97"/>
      <c r="TPB28" s="97"/>
      <c r="TPC28" s="97"/>
      <c r="TPD28" s="97"/>
      <c r="TPE28" s="97"/>
      <c r="TPF28" s="97"/>
      <c r="TPG28" s="97"/>
      <c r="TPH28" s="97"/>
      <c r="TPI28" s="97"/>
      <c r="TPJ28" s="97"/>
      <c r="TPK28" s="97"/>
      <c r="TPL28" s="97"/>
      <c r="TPM28" s="97"/>
      <c r="TPN28" s="97"/>
      <c r="TPO28" s="97"/>
      <c r="TPP28" s="97"/>
      <c r="TPQ28" s="97"/>
      <c r="TPR28" s="97"/>
      <c r="TPS28" s="97"/>
      <c r="TPT28" s="97"/>
      <c r="TPU28" s="97"/>
      <c r="TPV28" s="97"/>
      <c r="TPW28" s="97"/>
      <c r="TPX28" s="97"/>
      <c r="TPY28" s="97"/>
      <c r="TPZ28" s="97"/>
      <c r="TQA28" s="97"/>
      <c r="TQB28" s="97"/>
      <c r="TQC28" s="97"/>
      <c r="TQD28" s="97"/>
      <c r="TQE28" s="97"/>
      <c r="TQF28" s="97"/>
      <c r="TQG28" s="97"/>
      <c r="TQH28" s="97"/>
      <c r="TQI28" s="97"/>
      <c r="TQJ28" s="97"/>
      <c r="TQK28" s="97"/>
      <c r="TQL28" s="97"/>
      <c r="TQM28" s="97"/>
      <c r="TQN28" s="97"/>
      <c r="TQO28" s="97"/>
      <c r="TQP28" s="97"/>
      <c r="TQQ28" s="97"/>
      <c r="TQR28" s="97"/>
      <c r="TQS28" s="97"/>
      <c r="TQT28" s="97"/>
      <c r="TQU28" s="97"/>
      <c r="TQV28" s="97"/>
      <c r="TQW28" s="97"/>
      <c r="TQX28" s="97"/>
      <c r="TQY28" s="97"/>
      <c r="TQZ28" s="97"/>
      <c r="TRA28" s="97"/>
      <c r="TRB28" s="97"/>
      <c r="TRC28" s="97"/>
      <c r="TRD28" s="97"/>
      <c r="TRE28" s="97"/>
      <c r="TRF28" s="97"/>
      <c r="TRG28" s="97"/>
      <c r="TRH28" s="97"/>
      <c r="TRI28" s="97"/>
      <c r="TRJ28" s="97"/>
      <c r="TRK28" s="97"/>
      <c r="TRL28" s="97"/>
      <c r="TRM28" s="97"/>
      <c r="TRN28" s="97"/>
      <c r="TRO28" s="97"/>
      <c r="TRP28" s="97"/>
      <c r="TRQ28" s="97"/>
      <c r="TRR28" s="97"/>
      <c r="TRS28" s="97"/>
      <c r="TRT28" s="97"/>
      <c r="TRU28" s="97"/>
      <c r="TRV28" s="97"/>
      <c r="TRW28" s="97"/>
      <c r="TRX28" s="97"/>
      <c r="TRY28" s="97"/>
      <c r="TRZ28" s="97"/>
      <c r="TSA28" s="97"/>
      <c r="TSB28" s="97"/>
      <c r="TSC28" s="97"/>
      <c r="TSD28" s="97"/>
      <c r="TSE28" s="97"/>
      <c r="TSF28" s="97"/>
      <c r="TSG28" s="97"/>
      <c r="TSH28" s="97"/>
      <c r="TSI28" s="97"/>
      <c r="TSJ28" s="97"/>
      <c r="TSK28" s="97"/>
      <c r="TSL28" s="97"/>
      <c r="TSM28" s="97"/>
      <c r="TSN28" s="97"/>
      <c r="TSO28" s="97"/>
      <c r="TSP28" s="97"/>
      <c r="TSQ28" s="97"/>
      <c r="TSR28" s="97"/>
      <c r="TSS28" s="97"/>
      <c r="TST28" s="97"/>
      <c r="TSU28" s="97"/>
      <c r="TSV28" s="97"/>
      <c r="TSW28" s="97"/>
      <c r="TSX28" s="97"/>
      <c r="TSY28" s="97"/>
      <c r="TSZ28" s="97"/>
      <c r="TTA28" s="97"/>
      <c r="TTB28" s="97"/>
      <c r="TTC28" s="97"/>
      <c r="TTD28" s="97"/>
      <c r="TTE28" s="97"/>
      <c r="TTF28" s="97"/>
      <c r="TTG28" s="97"/>
      <c r="TTH28" s="97"/>
      <c r="TTI28" s="97"/>
      <c r="TTJ28" s="97"/>
      <c r="TTK28" s="97"/>
      <c r="TTL28" s="97"/>
      <c r="TTM28" s="97"/>
      <c r="TTN28" s="97"/>
      <c r="TTO28" s="97"/>
      <c r="TTP28" s="97"/>
      <c r="TTQ28" s="97"/>
      <c r="TTR28" s="97"/>
      <c r="TTS28" s="97"/>
      <c r="TTT28" s="97"/>
      <c r="TTU28" s="97"/>
      <c r="TTV28" s="97"/>
      <c r="TTW28" s="97"/>
      <c r="TTX28" s="97"/>
      <c r="TTY28" s="97"/>
      <c r="TTZ28" s="97"/>
      <c r="TUA28" s="97"/>
      <c r="TUB28" s="97"/>
      <c r="TUC28" s="97"/>
      <c r="TUD28" s="97"/>
      <c r="TUE28" s="97"/>
      <c r="TUF28" s="97"/>
      <c r="TUG28" s="97"/>
      <c r="TUH28" s="97"/>
      <c r="TUI28" s="97"/>
      <c r="TUJ28" s="97"/>
      <c r="TUK28" s="97"/>
      <c r="TUL28" s="97"/>
      <c r="TUM28" s="97"/>
      <c r="TUN28" s="97"/>
      <c r="TUO28" s="97"/>
      <c r="TUP28" s="97"/>
      <c r="TUQ28" s="97"/>
      <c r="TUR28" s="97"/>
      <c r="TUS28" s="97"/>
      <c r="TUT28" s="97"/>
      <c r="TUU28" s="97"/>
      <c r="TUV28" s="97"/>
      <c r="TUW28" s="97"/>
      <c r="TUX28" s="97"/>
      <c r="TUY28" s="97"/>
      <c r="TUZ28" s="97"/>
      <c r="TVA28" s="97"/>
      <c r="TVB28" s="97"/>
      <c r="TVC28" s="97"/>
      <c r="TVD28" s="97"/>
      <c r="TVE28" s="97"/>
      <c r="TVF28" s="97"/>
      <c r="TVG28" s="97"/>
      <c r="TVH28" s="97"/>
      <c r="TVI28" s="97"/>
      <c r="TVJ28" s="97"/>
      <c r="TVK28" s="97"/>
      <c r="TVL28" s="97"/>
      <c r="TVM28" s="97"/>
      <c r="TVN28" s="97"/>
      <c r="TVO28" s="97"/>
      <c r="TVP28" s="97"/>
      <c r="TVQ28" s="97"/>
      <c r="TVR28" s="97"/>
      <c r="TVS28" s="97"/>
      <c r="TVT28" s="97"/>
      <c r="TVU28" s="97"/>
      <c r="TVV28" s="97"/>
      <c r="TVW28" s="97"/>
      <c r="TVX28" s="97"/>
      <c r="TVY28" s="97"/>
      <c r="TVZ28" s="97"/>
      <c r="TWA28" s="97"/>
      <c r="TWB28" s="97"/>
      <c r="TWC28" s="97"/>
      <c r="TWD28" s="97"/>
      <c r="TWE28" s="97"/>
      <c r="TWF28" s="97"/>
      <c r="TWG28" s="97"/>
      <c r="TWH28" s="97"/>
      <c r="TWI28" s="97"/>
      <c r="TWJ28" s="97"/>
      <c r="TWK28" s="97"/>
      <c r="TWL28" s="97"/>
      <c r="TWM28" s="97"/>
      <c r="TWN28" s="97"/>
      <c r="TWO28" s="97"/>
      <c r="TWP28" s="97"/>
      <c r="TWQ28" s="97"/>
      <c r="TWR28" s="97"/>
      <c r="TWS28" s="97"/>
      <c r="TWT28" s="97"/>
      <c r="TWU28" s="97"/>
      <c r="TWV28" s="97"/>
      <c r="TWW28" s="97"/>
      <c r="TWX28" s="97"/>
      <c r="TWY28" s="97"/>
      <c r="TWZ28" s="97"/>
      <c r="TXA28" s="97"/>
      <c r="TXB28" s="97"/>
      <c r="TXC28" s="97"/>
      <c r="TXD28" s="97"/>
      <c r="TXE28" s="97"/>
      <c r="TXF28" s="97"/>
      <c r="TXG28" s="97"/>
      <c r="TXH28" s="97"/>
      <c r="TXI28" s="97"/>
      <c r="TXJ28" s="97"/>
      <c r="TXK28" s="97"/>
      <c r="TXL28" s="97"/>
      <c r="TXM28" s="97"/>
      <c r="TXN28" s="97"/>
      <c r="TXO28" s="97"/>
      <c r="TXP28" s="97"/>
      <c r="TXQ28" s="97"/>
      <c r="TXR28" s="97"/>
      <c r="TXS28" s="97"/>
      <c r="TXT28" s="97"/>
      <c r="TXU28" s="97"/>
      <c r="TXV28" s="97"/>
      <c r="TXW28" s="97"/>
      <c r="TXX28" s="97"/>
      <c r="TXY28" s="97"/>
      <c r="TXZ28" s="97"/>
      <c r="TYA28" s="97"/>
      <c r="TYB28" s="97"/>
      <c r="TYC28" s="97"/>
      <c r="TYD28" s="97"/>
      <c r="TYE28" s="97"/>
      <c r="TYF28" s="97"/>
      <c r="TYG28" s="97"/>
      <c r="TYH28" s="97"/>
      <c r="TYI28" s="97"/>
      <c r="TYJ28" s="97"/>
      <c r="TYK28" s="97"/>
      <c r="TYL28" s="97"/>
      <c r="TYM28" s="97"/>
      <c r="TYN28" s="97"/>
      <c r="TYO28" s="97"/>
      <c r="TYP28" s="97"/>
      <c r="TYQ28" s="97"/>
      <c r="TYR28" s="97"/>
      <c r="TYS28" s="97"/>
      <c r="TYT28" s="97"/>
      <c r="TYU28" s="97"/>
      <c r="TYV28" s="97"/>
      <c r="TYW28" s="97"/>
      <c r="TYX28" s="97"/>
      <c r="TYY28" s="97"/>
      <c r="TYZ28" s="97"/>
      <c r="TZA28" s="97"/>
      <c r="TZB28" s="97"/>
      <c r="TZC28" s="97"/>
      <c r="TZD28" s="97"/>
      <c r="TZE28" s="97"/>
      <c r="TZF28" s="97"/>
      <c r="TZG28" s="97"/>
      <c r="TZH28" s="97"/>
      <c r="TZI28" s="97"/>
      <c r="TZJ28" s="97"/>
      <c r="TZK28" s="97"/>
      <c r="TZL28" s="97"/>
      <c r="TZM28" s="97"/>
      <c r="TZN28" s="97"/>
      <c r="TZO28" s="97"/>
      <c r="TZP28" s="97"/>
      <c r="TZQ28" s="97"/>
      <c r="TZR28" s="97"/>
      <c r="TZS28" s="97"/>
      <c r="TZT28" s="97"/>
      <c r="TZU28" s="97"/>
      <c r="TZV28" s="97"/>
      <c r="TZW28" s="97"/>
      <c r="TZX28" s="97"/>
      <c r="TZY28" s="97"/>
      <c r="TZZ28" s="97"/>
      <c r="UAA28" s="97"/>
      <c r="UAB28" s="97"/>
      <c r="UAC28" s="97"/>
      <c r="UAD28" s="97"/>
      <c r="UAE28" s="97"/>
      <c r="UAF28" s="97"/>
      <c r="UAG28" s="97"/>
      <c r="UAH28" s="97"/>
      <c r="UAI28" s="97"/>
      <c r="UAJ28" s="97"/>
      <c r="UAK28" s="97"/>
      <c r="UAL28" s="97"/>
      <c r="UAM28" s="97"/>
      <c r="UAN28" s="97"/>
      <c r="UAO28" s="97"/>
      <c r="UAP28" s="97"/>
      <c r="UAQ28" s="97"/>
      <c r="UAR28" s="97"/>
      <c r="UAS28" s="97"/>
      <c r="UAT28" s="97"/>
      <c r="UAU28" s="97"/>
      <c r="UAV28" s="97"/>
      <c r="UAW28" s="97"/>
      <c r="UAX28" s="97"/>
      <c r="UAY28" s="97"/>
      <c r="UAZ28" s="97"/>
      <c r="UBA28" s="97"/>
      <c r="UBB28" s="97"/>
      <c r="UBC28" s="97"/>
      <c r="UBD28" s="97"/>
      <c r="UBE28" s="97"/>
      <c r="UBF28" s="97"/>
      <c r="UBG28" s="97"/>
      <c r="UBH28" s="97"/>
      <c r="UBI28" s="97"/>
      <c r="UBJ28" s="97"/>
      <c r="UBK28" s="97"/>
      <c r="UBL28" s="97"/>
      <c r="UBM28" s="97"/>
      <c r="UBN28" s="97"/>
      <c r="UBO28" s="97"/>
      <c r="UBP28" s="97"/>
      <c r="UBQ28" s="97"/>
      <c r="UBR28" s="97"/>
      <c r="UBS28" s="97"/>
      <c r="UBT28" s="97"/>
      <c r="UBU28" s="97"/>
      <c r="UBV28" s="97"/>
      <c r="UBW28" s="97"/>
      <c r="UBX28" s="97"/>
      <c r="UBY28" s="97"/>
      <c r="UBZ28" s="97"/>
      <c r="UCA28" s="97"/>
      <c r="UCB28" s="97"/>
      <c r="UCC28" s="97"/>
      <c r="UCD28" s="97"/>
      <c r="UCE28" s="97"/>
      <c r="UCF28" s="97"/>
      <c r="UCG28" s="97"/>
      <c r="UCH28" s="97"/>
      <c r="UCI28" s="97"/>
      <c r="UCJ28" s="97"/>
      <c r="UCK28" s="97"/>
      <c r="UCL28" s="97"/>
      <c r="UCM28" s="97"/>
      <c r="UCN28" s="97"/>
      <c r="UCO28" s="97"/>
      <c r="UCP28" s="97"/>
      <c r="UCQ28" s="97"/>
      <c r="UCR28" s="97"/>
      <c r="UCS28" s="97"/>
      <c r="UCT28" s="97"/>
      <c r="UCU28" s="97"/>
      <c r="UCV28" s="97"/>
      <c r="UCW28" s="97"/>
      <c r="UCX28" s="97"/>
      <c r="UCY28" s="97"/>
      <c r="UCZ28" s="97"/>
      <c r="UDA28" s="97"/>
      <c r="UDB28" s="97"/>
      <c r="UDC28" s="97"/>
      <c r="UDD28" s="97"/>
      <c r="UDE28" s="97"/>
      <c r="UDF28" s="97"/>
      <c r="UDG28" s="97"/>
      <c r="UDH28" s="97"/>
      <c r="UDI28" s="97"/>
      <c r="UDJ28" s="97"/>
      <c r="UDK28" s="97"/>
      <c r="UDL28" s="97"/>
      <c r="UDM28" s="97"/>
      <c r="UDN28" s="97"/>
      <c r="UDO28" s="97"/>
      <c r="UDP28" s="97"/>
      <c r="UDQ28" s="97"/>
      <c r="UDR28" s="97"/>
      <c r="UDS28" s="97"/>
      <c r="UDT28" s="97"/>
      <c r="UDU28" s="97"/>
      <c r="UDV28" s="97"/>
      <c r="UDW28" s="97"/>
      <c r="UDX28" s="97"/>
      <c r="UDY28" s="97"/>
      <c r="UDZ28" s="97"/>
      <c r="UEA28" s="97"/>
      <c r="UEB28" s="97"/>
      <c r="UEC28" s="97"/>
      <c r="UED28" s="97"/>
      <c r="UEE28" s="97"/>
      <c r="UEF28" s="97"/>
      <c r="UEG28" s="97"/>
      <c r="UEH28" s="97"/>
      <c r="UEI28" s="97"/>
      <c r="UEJ28" s="97"/>
      <c r="UEK28" s="97"/>
      <c r="UEL28" s="97"/>
      <c r="UEM28" s="97"/>
      <c r="UEN28" s="97"/>
      <c r="UEO28" s="97"/>
      <c r="UEP28" s="97"/>
      <c r="UEQ28" s="97"/>
      <c r="UER28" s="97"/>
      <c r="UES28" s="97"/>
      <c r="UET28" s="97"/>
      <c r="UEU28" s="97"/>
      <c r="UEV28" s="97"/>
      <c r="UEW28" s="97"/>
      <c r="UEX28" s="97"/>
      <c r="UEY28" s="97"/>
      <c r="UEZ28" s="97"/>
      <c r="UFA28" s="97"/>
      <c r="UFB28" s="97"/>
      <c r="UFC28" s="97"/>
      <c r="UFD28" s="97"/>
      <c r="UFE28" s="97"/>
      <c r="UFF28" s="97"/>
      <c r="UFG28" s="97"/>
      <c r="UFH28" s="97"/>
      <c r="UFI28" s="97"/>
      <c r="UFJ28" s="97"/>
      <c r="UFK28" s="97"/>
      <c r="UFL28" s="97"/>
      <c r="UFM28" s="97"/>
      <c r="UFN28" s="97"/>
      <c r="UFO28" s="97"/>
      <c r="UFP28" s="97"/>
      <c r="UFQ28" s="97"/>
      <c r="UFR28" s="97"/>
      <c r="UFS28" s="97"/>
      <c r="UFT28" s="97"/>
      <c r="UFU28" s="97"/>
      <c r="UFV28" s="97"/>
      <c r="UFW28" s="97"/>
      <c r="UFX28" s="97"/>
      <c r="UFY28" s="97"/>
      <c r="UFZ28" s="97"/>
      <c r="UGA28" s="97"/>
      <c r="UGB28" s="97"/>
      <c r="UGC28" s="97"/>
      <c r="UGD28" s="97"/>
      <c r="UGE28" s="97"/>
      <c r="UGF28" s="97"/>
      <c r="UGG28" s="97"/>
      <c r="UGH28" s="97"/>
      <c r="UGI28" s="97"/>
      <c r="UGJ28" s="97"/>
      <c r="UGK28" s="97"/>
      <c r="UGL28" s="97"/>
      <c r="UGM28" s="97"/>
      <c r="UGN28" s="97"/>
      <c r="UGO28" s="97"/>
      <c r="UGP28" s="97"/>
      <c r="UGQ28" s="97"/>
      <c r="UGR28" s="97"/>
      <c r="UGS28" s="97"/>
      <c r="UGT28" s="97"/>
      <c r="UGU28" s="97"/>
      <c r="UGV28" s="97"/>
      <c r="UGW28" s="97"/>
      <c r="UGX28" s="97"/>
      <c r="UGY28" s="97"/>
      <c r="UGZ28" s="97"/>
      <c r="UHA28" s="97"/>
      <c r="UHB28" s="97"/>
      <c r="UHC28" s="97"/>
      <c r="UHD28" s="97"/>
      <c r="UHE28" s="97"/>
      <c r="UHF28" s="97"/>
      <c r="UHG28" s="97"/>
      <c r="UHH28" s="97"/>
      <c r="UHI28" s="97"/>
      <c r="UHJ28" s="97"/>
      <c r="UHK28" s="97"/>
      <c r="UHL28" s="97"/>
      <c r="UHM28" s="97"/>
      <c r="UHN28" s="97"/>
      <c r="UHO28" s="97"/>
      <c r="UHP28" s="97"/>
      <c r="UHQ28" s="97"/>
      <c r="UHR28" s="97"/>
      <c r="UHS28" s="97"/>
      <c r="UHT28" s="97"/>
      <c r="UHU28" s="97"/>
      <c r="UHV28" s="97"/>
      <c r="UHW28" s="97"/>
      <c r="UHX28" s="97"/>
      <c r="UHY28" s="97"/>
      <c r="UHZ28" s="97"/>
      <c r="UIA28" s="97"/>
      <c r="UIB28" s="97"/>
      <c r="UIC28" s="97"/>
      <c r="UID28" s="97"/>
      <c r="UIE28" s="97"/>
      <c r="UIF28" s="97"/>
      <c r="UIG28" s="97"/>
      <c r="UIH28" s="97"/>
      <c r="UII28" s="97"/>
      <c r="UIJ28" s="97"/>
      <c r="UIK28" s="97"/>
      <c r="UIL28" s="97"/>
      <c r="UIM28" s="97"/>
      <c r="UIN28" s="97"/>
      <c r="UIO28" s="97"/>
      <c r="UIP28" s="97"/>
      <c r="UIQ28" s="97"/>
      <c r="UIR28" s="97"/>
      <c r="UIS28" s="97"/>
      <c r="UIT28" s="97"/>
      <c r="UIU28" s="97"/>
      <c r="UIV28" s="97"/>
      <c r="UIW28" s="97"/>
      <c r="UIX28" s="97"/>
      <c r="UIY28" s="97"/>
      <c r="UIZ28" s="97"/>
      <c r="UJA28" s="97"/>
      <c r="UJB28" s="97"/>
      <c r="UJC28" s="97"/>
      <c r="UJD28" s="97"/>
      <c r="UJE28" s="97"/>
      <c r="UJF28" s="97"/>
      <c r="UJG28" s="97"/>
      <c r="UJH28" s="97"/>
      <c r="UJI28" s="97"/>
      <c r="UJJ28" s="97"/>
      <c r="UJK28" s="97"/>
      <c r="UJL28" s="97"/>
      <c r="UJM28" s="97"/>
      <c r="UJN28" s="97"/>
      <c r="UJO28" s="97"/>
      <c r="UJP28" s="97"/>
      <c r="UJQ28" s="97"/>
      <c r="UJR28" s="97"/>
      <c r="UJS28" s="97"/>
      <c r="UJT28" s="97"/>
      <c r="UJU28" s="97"/>
      <c r="UJV28" s="97"/>
      <c r="UJW28" s="97"/>
      <c r="UJX28" s="97"/>
      <c r="UJY28" s="97"/>
      <c r="UJZ28" s="97"/>
      <c r="UKA28" s="97"/>
      <c r="UKB28" s="97"/>
      <c r="UKC28" s="97"/>
      <c r="UKD28" s="97"/>
      <c r="UKE28" s="97"/>
      <c r="UKF28" s="97"/>
      <c r="UKG28" s="97"/>
      <c r="UKH28" s="97"/>
      <c r="UKI28" s="97"/>
      <c r="UKJ28" s="97"/>
      <c r="UKK28" s="97"/>
      <c r="UKL28" s="97"/>
      <c r="UKM28" s="97"/>
      <c r="UKN28" s="97"/>
      <c r="UKO28" s="97"/>
      <c r="UKP28" s="97"/>
      <c r="UKQ28" s="97"/>
      <c r="UKR28" s="97"/>
      <c r="UKS28" s="97"/>
      <c r="UKT28" s="97"/>
      <c r="UKU28" s="97"/>
      <c r="UKV28" s="97"/>
      <c r="UKW28" s="97"/>
      <c r="UKX28" s="97"/>
      <c r="UKY28" s="97"/>
      <c r="UKZ28" s="97"/>
      <c r="ULA28" s="97"/>
      <c r="ULB28" s="97"/>
      <c r="ULC28" s="97"/>
      <c r="ULD28" s="97"/>
      <c r="ULE28" s="97"/>
      <c r="ULF28" s="97"/>
      <c r="ULG28" s="97"/>
      <c r="ULH28" s="97"/>
      <c r="ULI28" s="97"/>
      <c r="ULJ28" s="97"/>
      <c r="ULK28" s="97"/>
      <c r="ULL28" s="97"/>
      <c r="ULM28" s="97"/>
      <c r="ULN28" s="97"/>
      <c r="ULO28" s="97"/>
      <c r="ULP28" s="97"/>
      <c r="ULQ28" s="97"/>
      <c r="ULR28" s="97"/>
      <c r="ULS28" s="97"/>
      <c r="ULT28" s="97"/>
      <c r="ULU28" s="97"/>
      <c r="ULV28" s="97"/>
      <c r="ULW28" s="97"/>
      <c r="ULX28" s="97"/>
      <c r="ULY28" s="97"/>
      <c r="ULZ28" s="97"/>
      <c r="UMA28" s="97"/>
      <c r="UMB28" s="97"/>
      <c r="UMC28" s="97"/>
      <c r="UMD28" s="97"/>
      <c r="UME28" s="97"/>
      <c r="UMF28" s="97"/>
      <c r="UMG28" s="97"/>
      <c r="UMH28" s="97"/>
      <c r="UMI28" s="97"/>
      <c r="UMJ28" s="97"/>
      <c r="UMK28" s="97"/>
      <c r="UML28" s="97"/>
      <c r="UMM28" s="97"/>
      <c r="UMN28" s="97"/>
      <c r="UMO28" s="97"/>
      <c r="UMP28" s="97"/>
      <c r="UMQ28" s="97"/>
      <c r="UMR28" s="97"/>
      <c r="UMS28" s="97"/>
      <c r="UMT28" s="97"/>
      <c r="UMU28" s="97"/>
      <c r="UMV28" s="97"/>
      <c r="UMW28" s="97"/>
      <c r="UMX28" s="97"/>
      <c r="UMY28" s="97"/>
      <c r="UMZ28" s="97"/>
      <c r="UNA28" s="97"/>
      <c r="UNB28" s="97"/>
      <c r="UNC28" s="97"/>
      <c r="UND28" s="97"/>
      <c r="UNE28" s="97"/>
      <c r="UNF28" s="97"/>
      <c r="UNG28" s="97"/>
      <c r="UNH28" s="97"/>
      <c r="UNI28" s="97"/>
      <c r="UNJ28" s="97"/>
      <c r="UNK28" s="97"/>
      <c r="UNL28" s="97"/>
      <c r="UNM28" s="97"/>
      <c r="UNN28" s="97"/>
      <c r="UNO28" s="97"/>
      <c r="UNP28" s="97"/>
      <c r="UNQ28" s="97"/>
      <c r="UNR28" s="97"/>
      <c r="UNS28" s="97"/>
      <c r="UNT28" s="97"/>
      <c r="UNU28" s="97"/>
      <c r="UNV28" s="97"/>
      <c r="UNW28" s="97"/>
      <c r="UNX28" s="97"/>
      <c r="UNY28" s="97"/>
      <c r="UNZ28" s="97"/>
      <c r="UOA28" s="97"/>
      <c r="UOB28" s="97"/>
      <c r="UOC28" s="97"/>
      <c r="UOD28" s="97"/>
      <c r="UOE28" s="97"/>
      <c r="UOF28" s="97"/>
      <c r="UOG28" s="97"/>
      <c r="UOH28" s="97"/>
      <c r="UOI28" s="97"/>
      <c r="UOJ28" s="97"/>
      <c r="UOK28" s="97"/>
      <c r="UOL28" s="97"/>
      <c r="UOM28" s="97"/>
      <c r="UON28" s="97"/>
      <c r="UOO28" s="97"/>
      <c r="UOP28" s="97"/>
      <c r="UOQ28" s="97"/>
      <c r="UOR28" s="97"/>
      <c r="UOS28" s="97"/>
      <c r="UOT28" s="97"/>
      <c r="UOU28" s="97"/>
      <c r="UOV28" s="97"/>
      <c r="UOW28" s="97"/>
      <c r="UOX28" s="97"/>
      <c r="UOY28" s="97"/>
      <c r="UOZ28" s="97"/>
      <c r="UPA28" s="97"/>
      <c r="UPB28" s="97"/>
      <c r="UPC28" s="97"/>
      <c r="UPD28" s="97"/>
      <c r="UPE28" s="97"/>
      <c r="UPF28" s="97"/>
      <c r="UPG28" s="97"/>
      <c r="UPH28" s="97"/>
      <c r="UPI28" s="97"/>
      <c r="UPJ28" s="97"/>
      <c r="UPK28" s="97"/>
      <c r="UPL28" s="97"/>
      <c r="UPM28" s="97"/>
      <c r="UPN28" s="97"/>
      <c r="UPO28" s="97"/>
      <c r="UPP28" s="97"/>
      <c r="UPQ28" s="97"/>
      <c r="UPR28" s="97"/>
      <c r="UPS28" s="97"/>
      <c r="UPT28" s="97"/>
      <c r="UPU28" s="97"/>
      <c r="UPV28" s="97"/>
      <c r="UPW28" s="97"/>
      <c r="UPX28" s="97"/>
      <c r="UPY28" s="97"/>
      <c r="UPZ28" s="97"/>
      <c r="UQA28" s="97"/>
      <c r="UQB28" s="97"/>
      <c r="UQC28" s="97"/>
      <c r="UQD28" s="97"/>
      <c r="UQE28" s="97"/>
      <c r="UQF28" s="97"/>
      <c r="UQG28" s="97"/>
      <c r="UQH28" s="97"/>
      <c r="UQI28" s="97"/>
      <c r="UQJ28" s="97"/>
      <c r="UQK28" s="97"/>
      <c r="UQL28" s="97"/>
      <c r="UQM28" s="97"/>
      <c r="UQN28" s="97"/>
      <c r="UQO28" s="97"/>
      <c r="UQP28" s="97"/>
      <c r="UQQ28" s="97"/>
      <c r="UQR28" s="97"/>
      <c r="UQS28" s="97"/>
      <c r="UQT28" s="97"/>
      <c r="UQU28" s="97"/>
      <c r="UQV28" s="97"/>
      <c r="UQW28" s="97"/>
      <c r="UQX28" s="97"/>
      <c r="UQY28" s="97"/>
      <c r="UQZ28" s="97"/>
      <c r="URA28" s="97"/>
      <c r="URB28" s="97"/>
      <c r="URC28" s="97"/>
      <c r="URD28" s="97"/>
      <c r="URE28" s="97"/>
      <c r="URF28" s="97"/>
      <c r="URG28" s="97"/>
      <c r="URH28" s="97"/>
      <c r="URI28" s="97"/>
      <c r="URJ28" s="97"/>
      <c r="URK28" s="97"/>
      <c r="URL28" s="97"/>
      <c r="URM28" s="97"/>
      <c r="URN28" s="97"/>
      <c r="URO28" s="97"/>
      <c r="URP28" s="97"/>
      <c r="URQ28" s="97"/>
      <c r="URR28" s="97"/>
      <c r="URS28" s="97"/>
      <c r="URT28" s="97"/>
      <c r="URU28" s="97"/>
      <c r="URV28" s="97"/>
      <c r="URW28" s="97"/>
      <c r="URX28" s="97"/>
      <c r="URY28" s="97"/>
      <c r="URZ28" s="97"/>
      <c r="USA28" s="97"/>
      <c r="USB28" s="97"/>
      <c r="USC28" s="97"/>
      <c r="USD28" s="97"/>
      <c r="USE28" s="97"/>
      <c r="USF28" s="97"/>
      <c r="USG28" s="97"/>
      <c r="USH28" s="97"/>
      <c r="USI28" s="97"/>
      <c r="USJ28" s="97"/>
      <c r="USK28" s="97"/>
      <c r="USL28" s="97"/>
      <c r="USM28" s="97"/>
      <c r="USN28" s="97"/>
      <c r="USO28" s="97"/>
      <c r="USP28" s="97"/>
      <c r="USQ28" s="97"/>
      <c r="USR28" s="97"/>
      <c r="USS28" s="97"/>
      <c r="UST28" s="97"/>
      <c r="USU28" s="97"/>
      <c r="USV28" s="97"/>
      <c r="USW28" s="97"/>
      <c r="USX28" s="97"/>
      <c r="USY28" s="97"/>
      <c r="USZ28" s="97"/>
      <c r="UTA28" s="97"/>
      <c r="UTB28" s="97"/>
      <c r="UTC28" s="97"/>
      <c r="UTD28" s="97"/>
      <c r="UTE28" s="97"/>
      <c r="UTF28" s="97"/>
      <c r="UTG28" s="97"/>
      <c r="UTH28" s="97"/>
      <c r="UTI28" s="97"/>
      <c r="UTJ28" s="97"/>
      <c r="UTK28" s="97"/>
      <c r="UTL28" s="97"/>
      <c r="UTM28" s="97"/>
      <c r="UTN28" s="97"/>
      <c r="UTO28" s="97"/>
      <c r="UTP28" s="97"/>
      <c r="UTQ28" s="97"/>
      <c r="UTR28" s="97"/>
      <c r="UTS28" s="97"/>
      <c r="UTT28" s="97"/>
      <c r="UTU28" s="97"/>
      <c r="UTV28" s="97"/>
      <c r="UTW28" s="97"/>
      <c r="UTX28" s="97"/>
      <c r="UTY28" s="97"/>
      <c r="UTZ28" s="97"/>
      <c r="UUA28" s="97"/>
      <c r="UUB28" s="97"/>
      <c r="UUC28" s="97"/>
      <c r="UUD28" s="97"/>
      <c r="UUE28" s="97"/>
      <c r="UUF28" s="97"/>
      <c r="UUG28" s="97"/>
      <c r="UUH28" s="97"/>
      <c r="UUI28" s="97"/>
      <c r="UUJ28" s="97"/>
      <c r="UUK28" s="97"/>
      <c r="UUL28" s="97"/>
      <c r="UUM28" s="97"/>
      <c r="UUN28" s="97"/>
      <c r="UUO28" s="97"/>
      <c r="UUP28" s="97"/>
      <c r="UUQ28" s="97"/>
      <c r="UUR28" s="97"/>
      <c r="UUS28" s="97"/>
      <c r="UUT28" s="97"/>
      <c r="UUU28" s="97"/>
      <c r="UUV28" s="97"/>
      <c r="UUW28" s="97"/>
      <c r="UUX28" s="97"/>
      <c r="UUY28" s="97"/>
      <c r="UUZ28" s="97"/>
      <c r="UVA28" s="97"/>
      <c r="UVB28" s="97"/>
      <c r="UVC28" s="97"/>
      <c r="UVD28" s="97"/>
      <c r="UVE28" s="97"/>
      <c r="UVF28" s="97"/>
      <c r="UVG28" s="97"/>
      <c r="UVH28" s="97"/>
      <c r="UVI28" s="97"/>
      <c r="UVJ28" s="97"/>
      <c r="UVK28" s="97"/>
      <c r="UVL28" s="97"/>
      <c r="UVM28" s="97"/>
      <c r="UVN28" s="97"/>
      <c r="UVO28" s="97"/>
      <c r="UVP28" s="97"/>
      <c r="UVQ28" s="97"/>
      <c r="UVR28" s="97"/>
      <c r="UVS28" s="97"/>
      <c r="UVT28" s="97"/>
      <c r="UVU28" s="97"/>
      <c r="UVV28" s="97"/>
      <c r="UVW28" s="97"/>
      <c r="UVX28" s="97"/>
      <c r="UVY28" s="97"/>
      <c r="UVZ28" s="97"/>
      <c r="UWA28" s="97"/>
      <c r="UWB28" s="97"/>
      <c r="UWC28" s="97"/>
      <c r="UWD28" s="97"/>
      <c r="UWE28" s="97"/>
      <c r="UWF28" s="97"/>
      <c r="UWG28" s="97"/>
      <c r="UWH28" s="97"/>
      <c r="UWI28" s="97"/>
      <c r="UWJ28" s="97"/>
      <c r="UWK28" s="97"/>
      <c r="UWL28" s="97"/>
      <c r="UWM28" s="97"/>
      <c r="UWN28" s="97"/>
      <c r="UWO28" s="97"/>
      <c r="UWP28" s="97"/>
      <c r="UWQ28" s="97"/>
      <c r="UWR28" s="97"/>
      <c r="UWS28" s="97"/>
      <c r="UWT28" s="97"/>
      <c r="UWU28" s="97"/>
      <c r="UWV28" s="97"/>
      <c r="UWW28" s="97"/>
      <c r="UWX28" s="97"/>
      <c r="UWY28" s="97"/>
      <c r="UWZ28" s="97"/>
      <c r="UXA28" s="97"/>
      <c r="UXB28" s="97"/>
      <c r="UXC28" s="97"/>
      <c r="UXD28" s="97"/>
      <c r="UXE28" s="97"/>
      <c r="UXF28" s="97"/>
      <c r="UXG28" s="97"/>
      <c r="UXH28" s="97"/>
      <c r="UXI28" s="97"/>
      <c r="UXJ28" s="97"/>
      <c r="UXK28" s="97"/>
      <c r="UXL28" s="97"/>
      <c r="UXM28" s="97"/>
      <c r="UXN28" s="97"/>
      <c r="UXO28" s="97"/>
      <c r="UXP28" s="97"/>
      <c r="UXQ28" s="97"/>
      <c r="UXR28" s="97"/>
      <c r="UXS28" s="97"/>
      <c r="UXT28" s="97"/>
      <c r="UXU28" s="97"/>
      <c r="UXV28" s="97"/>
      <c r="UXW28" s="97"/>
      <c r="UXX28" s="97"/>
      <c r="UXY28" s="97"/>
      <c r="UXZ28" s="97"/>
      <c r="UYA28" s="97"/>
      <c r="UYB28" s="97"/>
      <c r="UYC28" s="97"/>
      <c r="UYD28" s="97"/>
      <c r="UYE28" s="97"/>
      <c r="UYF28" s="97"/>
      <c r="UYG28" s="97"/>
      <c r="UYH28" s="97"/>
      <c r="UYI28" s="97"/>
      <c r="UYJ28" s="97"/>
      <c r="UYK28" s="97"/>
      <c r="UYL28" s="97"/>
      <c r="UYM28" s="97"/>
      <c r="UYN28" s="97"/>
      <c r="UYO28" s="97"/>
      <c r="UYP28" s="97"/>
      <c r="UYQ28" s="97"/>
      <c r="UYR28" s="97"/>
      <c r="UYS28" s="97"/>
      <c r="UYT28" s="97"/>
      <c r="UYU28" s="97"/>
      <c r="UYV28" s="97"/>
      <c r="UYW28" s="97"/>
      <c r="UYX28" s="97"/>
      <c r="UYY28" s="97"/>
      <c r="UYZ28" s="97"/>
      <c r="UZA28" s="97"/>
      <c r="UZB28" s="97"/>
      <c r="UZC28" s="97"/>
      <c r="UZD28" s="97"/>
      <c r="UZE28" s="97"/>
      <c r="UZF28" s="97"/>
      <c r="UZG28" s="97"/>
      <c r="UZH28" s="97"/>
      <c r="UZI28" s="97"/>
      <c r="UZJ28" s="97"/>
      <c r="UZK28" s="97"/>
      <c r="UZL28" s="97"/>
      <c r="UZM28" s="97"/>
      <c r="UZN28" s="97"/>
      <c r="UZO28" s="97"/>
      <c r="UZP28" s="97"/>
      <c r="UZQ28" s="97"/>
      <c r="UZR28" s="97"/>
      <c r="UZS28" s="97"/>
      <c r="UZT28" s="97"/>
      <c r="UZU28" s="97"/>
      <c r="UZV28" s="97"/>
      <c r="UZW28" s="97"/>
      <c r="UZX28" s="97"/>
      <c r="UZY28" s="97"/>
      <c r="UZZ28" s="97"/>
      <c r="VAA28" s="97"/>
      <c r="VAB28" s="97"/>
      <c r="VAC28" s="97"/>
      <c r="VAD28" s="97"/>
      <c r="VAE28" s="97"/>
      <c r="VAF28" s="97"/>
      <c r="VAG28" s="97"/>
      <c r="VAH28" s="97"/>
      <c r="VAI28" s="97"/>
      <c r="VAJ28" s="97"/>
      <c r="VAK28" s="97"/>
      <c r="VAL28" s="97"/>
      <c r="VAM28" s="97"/>
      <c r="VAN28" s="97"/>
      <c r="VAO28" s="97"/>
      <c r="VAP28" s="97"/>
      <c r="VAQ28" s="97"/>
      <c r="VAR28" s="97"/>
      <c r="VAS28" s="97"/>
      <c r="VAT28" s="97"/>
      <c r="VAU28" s="97"/>
      <c r="VAV28" s="97"/>
      <c r="VAW28" s="97"/>
      <c r="VAX28" s="97"/>
      <c r="VAY28" s="97"/>
      <c r="VAZ28" s="97"/>
      <c r="VBA28" s="97"/>
      <c r="VBB28" s="97"/>
      <c r="VBC28" s="97"/>
      <c r="VBD28" s="97"/>
      <c r="VBE28" s="97"/>
      <c r="VBF28" s="97"/>
      <c r="VBG28" s="97"/>
      <c r="VBH28" s="97"/>
      <c r="VBI28" s="97"/>
      <c r="VBJ28" s="97"/>
      <c r="VBK28" s="97"/>
      <c r="VBL28" s="97"/>
      <c r="VBM28" s="97"/>
      <c r="VBN28" s="97"/>
      <c r="VBO28" s="97"/>
      <c r="VBP28" s="97"/>
      <c r="VBQ28" s="97"/>
      <c r="VBR28" s="97"/>
      <c r="VBS28" s="97"/>
      <c r="VBT28" s="97"/>
      <c r="VBU28" s="97"/>
      <c r="VBV28" s="97"/>
      <c r="VBW28" s="97"/>
      <c r="VBX28" s="97"/>
      <c r="VBY28" s="97"/>
      <c r="VBZ28" s="97"/>
      <c r="VCA28" s="97"/>
      <c r="VCB28" s="97"/>
      <c r="VCC28" s="97"/>
      <c r="VCD28" s="97"/>
      <c r="VCE28" s="97"/>
      <c r="VCF28" s="97"/>
      <c r="VCG28" s="97"/>
      <c r="VCH28" s="97"/>
      <c r="VCI28" s="97"/>
      <c r="VCJ28" s="97"/>
      <c r="VCK28" s="97"/>
      <c r="VCL28" s="97"/>
      <c r="VCM28" s="97"/>
      <c r="VCN28" s="97"/>
      <c r="VCO28" s="97"/>
      <c r="VCP28" s="97"/>
      <c r="VCQ28" s="97"/>
      <c r="VCR28" s="97"/>
      <c r="VCS28" s="97"/>
      <c r="VCT28" s="97"/>
      <c r="VCU28" s="97"/>
      <c r="VCV28" s="97"/>
      <c r="VCW28" s="97"/>
      <c r="VCX28" s="97"/>
      <c r="VCY28" s="97"/>
      <c r="VCZ28" s="97"/>
      <c r="VDA28" s="97"/>
      <c r="VDB28" s="97"/>
      <c r="VDC28" s="97"/>
      <c r="VDD28" s="97"/>
      <c r="VDE28" s="97"/>
      <c r="VDF28" s="97"/>
      <c r="VDG28" s="97"/>
      <c r="VDH28" s="97"/>
      <c r="VDI28" s="97"/>
      <c r="VDJ28" s="97"/>
      <c r="VDK28" s="97"/>
      <c r="VDL28" s="97"/>
      <c r="VDM28" s="97"/>
      <c r="VDN28" s="97"/>
      <c r="VDO28" s="97"/>
      <c r="VDP28" s="97"/>
      <c r="VDQ28" s="97"/>
      <c r="VDR28" s="97"/>
      <c r="VDS28" s="97"/>
      <c r="VDT28" s="97"/>
      <c r="VDU28" s="97"/>
      <c r="VDV28" s="97"/>
      <c r="VDW28" s="97"/>
      <c r="VDX28" s="97"/>
      <c r="VDY28" s="97"/>
      <c r="VDZ28" s="97"/>
      <c r="VEA28" s="97"/>
      <c r="VEB28" s="97"/>
      <c r="VEC28" s="97"/>
      <c r="VED28" s="97"/>
      <c r="VEE28" s="97"/>
      <c r="VEF28" s="97"/>
      <c r="VEG28" s="97"/>
      <c r="VEH28" s="97"/>
      <c r="VEI28" s="97"/>
      <c r="VEJ28" s="97"/>
      <c r="VEK28" s="97"/>
      <c r="VEL28" s="97"/>
      <c r="VEM28" s="97"/>
      <c r="VEN28" s="97"/>
      <c r="VEO28" s="97"/>
      <c r="VEP28" s="97"/>
      <c r="VEQ28" s="97"/>
      <c r="VER28" s="97"/>
      <c r="VES28" s="97"/>
      <c r="VET28" s="97"/>
      <c r="VEU28" s="97"/>
      <c r="VEV28" s="97"/>
      <c r="VEW28" s="97"/>
      <c r="VEX28" s="97"/>
      <c r="VEY28" s="97"/>
      <c r="VEZ28" s="97"/>
      <c r="VFA28" s="97"/>
      <c r="VFB28" s="97"/>
      <c r="VFC28" s="97"/>
      <c r="VFD28" s="97"/>
      <c r="VFE28" s="97"/>
      <c r="VFF28" s="97"/>
      <c r="VFG28" s="97"/>
      <c r="VFH28" s="97"/>
      <c r="VFI28" s="97"/>
      <c r="VFJ28" s="97"/>
      <c r="VFK28" s="97"/>
      <c r="VFL28" s="97"/>
      <c r="VFM28" s="97"/>
      <c r="VFN28" s="97"/>
      <c r="VFO28" s="97"/>
      <c r="VFP28" s="97"/>
      <c r="VFQ28" s="97"/>
      <c r="VFR28" s="97"/>
      <c r="VFS28" s="97"/>
      <c r="VFT28" s="97"/>
      <c r="VFU28" s="97"/>
      <c r="VFV28" s="97"/>
      <c r="VFW28" s="97"/>
      <c r="VFX28" s="97"/>
      <c r="VFY28" s="97"/>
      <c r="VFZ28" s="97"/>
      <c r="VGA28" s="97"/>
      <c r="VGB28" s="97"/>
      <c r="VGC28" s="97"/>
      <c r="VGD28" s="97"/>
      <c r="VGE28" s="97"/>
      <c r="VGF28" s="97"/>
      <c r="VGG28" s="97"/>
      <c r="VGH28" s="97"/>
      <c r="VGI28" s="97"/>
      <c r="VGJ28" s="97"/>
      <c r="VGK28" s="97"/>
      <c r="VGL28" s="97"/>
      <c r="VGM28" s="97"/>
      <c r="VGN28" s="97"/>
      <c r="VGO28" s="97"/>
      <c r="VGP28" s="97"/>
      <c r="VGQ28" s="97"/>
      <c r="VGR28" s="97"/>
      <c r="VGS28" s="97"/>
      <c r="VGT28" s="97"/>
      <c r="VGU28" s="97"/>
      <c r="VGV28" s="97"/>
      <c r="VGW28" s="97"/>
      <c r="VGX28" s="97"/>
      <c r="VGY28" s="97"/>
      <c r="VGZ28" s="97"/>
      <c r="VHA28" s="97"/>
      <c r="VHB28" s="97"/>
      <c r="VHC28" s="97"/>
      <c r="VHD28" s="97"/>
      <c r="VHE28" s="97"/>
      <c r="VHF28" s="97"/>
      <c r="VHG28" s="97"/>
      <c r="VHH28" s="97"/>
      <c r="VHI28" s="97"/>
      <c r="VHJ28" s="97"/>
      <c r="VHK28" s="97"/>
      <c r="VHL28" s="97"/>
      <c r="VHM28" s="97"/>
      <c r="VHN28" s="97"/>
      <c r="VHO28" s="97"/>
      <c r="VHP28" s="97"/>
      <c r="VHQ28" s="97"/>
      <c r="VHR28" s="97"/>
      <c r="VHS28" s="97"/>
      <c r="VHT28" s="97"/>
      <c r="VHU28" s="97"/>
      <c r="VHV28" s="97"/>
      <c r="VHW28" s="97"/>
      <c r="VHX28" s="97"/>
      <c r="VHY28" s="97"/>
      <c r="VHZ28" s="97"/>
      <c r="VIA28" s="97"/>
      <c r="VIB28" s="97"/>
      <c r="VIC28" s="97"/>
      <c r="VID28" s="97"/>
      <c r="VIE28" s="97"/>
      <c r="VIF28" s="97"/>
      <c r="VIG28" s="97"/>
      <c r="VIH28" s="97"/>
      <c r="VII28" s="97"/>
      <c r="VIJ28" s="97"/>
      <c r="VIK28" s="97"/>
      <c r="VIL28" s="97"/>
      <c r="VIM28" s="97"/>
      <c r="VIN28" s="97"/>
      <c r="VIO28" s="97"/>
      <c r="VIP28" s="97"/>
      <c r="VIQ28" s="97"/>
      <c r="VIR28" s="97"/>
      <c r="VIS28" s="97"/>
      <c r="VIT28" s="97"/>
      <c r="VIU28" s="97"/>
      <c r="VIV28" s="97"/>
      <c r="VIW28" s="97"/>
      <c r="VIX28" s="97"/>
      <c r="VIY28" s="97"/>
      <c r="VIZ28" s="97"/>
      <c r="VJA28" s="97"/>
      <c r="VJB28" s="97"/>
      <c r="VJC28" s="97"/>
      <c r="VJD28" s="97"/>
      <c r="VJE28" s="97"/>
      <c r="VJF28" s="97"/>
      <c r="VJG28" s="97"/>
      <c r="VJH28" s="97"/>
      <c r="VJI28" s="97"/>
      <c r="VJJ28" s="97"/>
      <c r="VJK28" s="97"/>
      <c r="VJL28" s="97"/>
      <c r="VJM28" s="97"/>
      <c r="VJN28" s="97"/>
      <c r="VJO28" s="97"/>
      <c r="VJP28" s="97"/>
      <c r="VJQ28" s="97"/>
      <c r="VJR28" s="97"/>
      <c r="VJS28" s="97"/>
      <c r="VJT28" s="97"/>
      <c r="VJU28" s="97"/>
      <c r="VJV28" s="97"/>
      <c r="VJW28" s="97"/>
      <c r="VJX28" s="97"/>
      <c r="VJY28" s="97"/>
      <c r="VJZ28" s="97"/>
      <c r="VKA28" s="97"/>
      <c r="VKB28" s="97"/>
      <c r="VKC28" s="97"/>
      <c r="VKD28" s="97"/>
      <c r="VKE28" s="97"/>
      <c r="VKF28" s="97"/>
      <c r="VKG28" s="97"/>
      <c r="VKH28" s="97"/>
      <c r="VKI28" s="97"/>
      <c r="VKJ28" s="97"/>
      <c r="VKK28" s="97"/>
      <c r="VKL28" s="97"/>
      <c r="VKM28" s="97"/>
      <c r="VKN28" s="97"/>
      <c r="VKO28" s="97"/>
      <c r="VKP28" s="97"/>
      <c r="VKQ28" s="97"/>
      <c r="VKR28" s="97"/>
      <c r="VKS28" s="97"/>
      <c r="VKT28" s="97"/>
      <c r="VKU28" s="97"/>
      <c r="VKV28" s="97"/>
      <c r="VKW28" s="97"/>
      <c r="VKX28" s="97"/>
      <c r="VKY28" s="97"/>
      <c r="VKZ28" s="97"/>
      <c r="VLA28" s="97"/>
      <c r="VLB28" s="97"/>
      <c r="VLC28" s="97"/>
      <c r="VLD28" s="97"/>
      <c r="VLE28" s="97"/>
      <c r="VLF28" s="97"/>
      <c r="VLG28" s="97"/>
      <c r="VLH28" s="97"/>
      <c r="VLI28" s="97"/>
      <c r="VLJ28" s="97"/>
      <c r="VLK28" s="97"/>
      <c r="VLL28" s="97"/>
      <c r="VLM28" s="97"/>
      <c r="VLN28" s="97"/>
      <c r="VLO28" s="97"/>
      <c r="VLP28" s="97"/>
      <c r="VLQ28" s="97"/>
      <c r="VLR28" s="97"/>
      <c r="VLS28" s="97"/>
      <c r="VLT28" s="97"/>
      <c r="VLU28" s="97"/>
      <c r="VLV28" s="97"/>
      <c r="VLW28" s="97"/>
      <c r="VLX28" s="97"/>
      <c r="VLY28" s="97"/>
      <c r="VLZ28" s="97"/>
      <c r="VMA28" s="97"/>
      <c r="VMB28" s="97"/>
      <c r="VMC28" s="97"/>
      <c r="VMD28" s="97"/>
      <c r="VME28" s="97"/>
      <c r="VMF28" s="97"/>
      <c r="VMG28" s="97"/>
      <c r="VMH28" s="97"/>
      <c r="VMI28" s="97"/>
      <c r="VMJ28" s="97"/>
      <c r="VMK28" s="97"/>
      <c r="VML28" s="97"/>
      <c r="VMM28" s="97"/>
      <c r="VMN28" s="97"/>
      <c r="VMO28" s="97"/>
      <c r="VMP28" s="97"/>
      <c r="VMQ28" s="97"/>
      <c r="VMR28" s="97"/>
      <c r="VMS28" s="97"/>
      <c r="VMT28" s="97"/>
      <c r="VMU28" s="97"/>
      <c r="VMV28" s="97"/>
      <c r="VMW28" s="97"/>
      <c r="VMX28" s="97"/>
      <c r="VMY28" s="97"/>
      <c r="VMZ28" s="97"/>
      <c r="VNA28" s="97"/>
      <c r="VNB28" s="97"/>
      <c r="VNC28" s="97"/>
      <c r="VND28" s="97"/>
      <c r="VNE28" s="97"/>
      <c r="VNF28" s="97"/>
      <c r="VNG28" s="97"/>
      <c r="VNH28" s="97"/>
      <c r="VNI28" s="97"/>
      <c r="VNJ28" s="97"/>
      <c r="VNK28" s="97"/>
      <c r="VNL28" s="97"/>
      <c r="VNM28" s="97"/>
      <c r="VNN28" s="97"/>
      <c r="VNO28" s="97"/>
      <c r="VNP28" s="97"/>
      <c r="VNQ28" s="97"/>
      <c r="VNR28" s="97"/>
      <c r="VNS28" s="97"/>
      <c r="VNT28" s="97"/>
      <c r="VNU28" s="97"/>
      <c r="VNV28" s="97"/>
      <c r="VNW28" s="97"/>
      <c r="VNX28" s="97"/>
      <c r="VNY28" s="97"/>
      <c r="VNZ28" s="97"/>
      <c r="VOA28" s="97"/>
      <c r="VOB28" s="97"/>
      <c r="VOC28" s="97"/>
      <c r="VOD28" s="97"/>
      <c r="VOE28" s="97"/>
      <c r="VOF28" s="97"/>
      <c r="VOG28" s="97"/>
      <c r="VOH28" s="97"/>
      <c r="VOI28" s="97"/>
      <c r="VOJ28" s="97"/>
      <c r="VOK28" s="97"/>
      <c r="VOL28" s="97"/>
      <c r="VOM28" s="97"/>
      <c r="VON28" s="97"/>
      <c r="VOO28" s="97"/>
      <c r="VOP28" s="97"/>
      <c r="VOQ28" s="97"/>
      <c r="VOR28" s="97"/>
      <c r="VOS28" s="97"/>
      <c r="VOT28" s="97"/>
      <c r="VOU28" s="97"/>
      <c r="VOV28" s="97"/>
      <c r="VOW28" s="97"/>
      <c r="VOX28" s="97"/>
      <c r="VOY28" s="97"/>
      <c r="VOZ28" s="97"/>
      <c r="VPA28" s="97"/>
      <c r="VPB28" s="97"/>
      <c r="VPC28" s="97"/>
      <c r="VPD28" s="97"/>
      <c r="VPE28" s="97"/>
      <c r="VPF28" s="97"/>
      <c r="VPG28" s="97"/>
      <c r="VPH28" s="97"/>
      <c r="VPI28" s="97"/>
      <c r="VPJ28" s="97"/>
      <c r="VPK28" s="97"/>
      <c r="VPL28" s="97"/>
      <c r="VPM28" s="97"/>
      <c r="VPN28" s="97"/>
      <c r="VPO28" s="97"/>
      <c r="VPP28" s="97"/>
      <c r="VPQ28" s="97"/>
      <c r="VPR28" s="97"/>
      <c r="VPS28" s="97"/>
      <c r="VPT28" s="97"/>
      <c r="VPU28" s="97"/>
      <c r="VPV28" s="97"/>
      <c r="VPW28" s="97"/>
      <c r="VPX28" s="97"/>
      <c r="VPY28" s="97"/>
      <c r="VPZ28" s="97"/>
      <c r="VQA28" s="97"/>
      <c r="VQB28" s="97"/>
      <c r="VQC28" s="97"/>
      <c r="VQD28" s="97"/>
      <c r="VQE28" s="97"/>
      <c r="VQF28" s="97"/>
      <c r="VQG28" s="97"/>
      <c r="VQH28" s="97"/>
      <c r="VQI28" s="97"/>
      <c r="VQJ28" s="97"/>
      <c r="VQK28" s="97"/>
      <c r="VQL28" s="97"/>
      <c r="VQM28" s="97"/>
      <c r="VQN28" s="97"/>
      <c r="VQO28" s="97"/>
      <c r="VQP28" s="97"/>
      <c r="VQQ28" s="97"/>
      <c r="VQR28" s="97"/>
      <c r="VQS28" s="97"/>
      <c r="VQT28" s="97"/>
      <c r="VQU28" s="97"/>
      <c r="VQV28" s="97"/>
      <c r="VQW28" s="97"/>
      <c r="VQX28" s="97"/>
      <c r="VQY28" s="97"/>
      <c r="VQZ28" s="97"/>
      <c r="VRA28" s="97"/>
      <c r="VRB28" s="97"/>
      <c r="VRC28" s="97"/>
      <c r="VRD28" s="97"/>
      <c r="VRE28" s="97"/>
      <c r="VRF28" s="97"/>
      <c r="VRG28" s="97"/>
      <c r="VRH28" s="97"/>
      <c r="VRI28" s="97"/>
      <c r="VRJ28" s="97"/>
      <c r="VRK28" s="97"/>
      <c r="VRL28" s="97"/>
      <c r="VRM28" s="97"/>
      <c r="VRN28" s="97"/>
      <c r="VRO28" s="97"/>
      <c r="VRP28" s="97"/>
      <c r="VRQ28" s="97"/>
      <c r="VRR28" s="97"/>
      <c r="VRS28" s="97"/>
      <c r="VRT28" s="97"/>
      <c r="VRU28" s="97"/>
      <c r="VRV28" s="97"/>
      <c r="VRW28" s="97"/>
      <c r="VRX28" s="97"/>
      <c r="VRY28" s="97"/>
      <c r="VRZ28" s="97"/>
      <c r="VSA28" s="97"/>
      <c r="VSB28" s="97"/>
      <c r="VSC28" s="97"/>
      <c r="VSD28" s="97"/>
      <c r="VSE28" s="97"/>
      <c r="VSF28" s="97"/>
      <c r="VSG28" s="97"/>
      <c r="VSH28" s="97"/>
      <c r="VSI28" s="97"/>
      <c r="VSJ28" s="97"/>
      <c r="VSK28" s="97"/>
      <c r="VSL28" s="97"/>
      <c r="VSM28" s="97"/>
      <c r="VSN28" s="97"/>
      <c r="VSO28" s="97"/>
      <c r="VSP28" s="97"/>
      <c r="VSQ28" s="97"/>
      <c r="VSR28" s="97"/>
      <c r="VSS28" s="97"/>
      <c r="VST28" s="97"/>
      <c r="VSU28" s="97"/>
      <c r="VSV28" s="97"/>
      <c r="VSW28" s="97"/>
      <c r="VSX28" s="97"/>
      <c r="VSY28" s="97"/>
      <c r="VSZ28" s="97"/>
      <c r="VTA28" s="97"/>
      <c r="VTB28" s="97"/>
      <c r="VTC28" s="97"/>
      <c r="VTD28" s="97"/>
      <c r="VTE28" s="97"/>
      <c r="VTF28" s="97"/>
      <c r="VTG28" s="97"/>
      <c r="VTH28" s="97"/>
      <c r="VTI28" s="97"/>
      <c r="VTJ28" s="97"/>
      <c r="VTK28" s="97"/>
      <c r="VTL28" s="97"/>
      <c r="VTM28" s="97"/>
      <c r="VTN28" s="97"/>
      <c r="VTO28" s="97"/>
      <c r="VTP28" s="97"/>
      <c r="VTQ28" s="97"/>
      <c r="VTR28" s="97"/>
      <c r="VTS28" s="97"/>
      <c r="VTT28" s="97"/>
      <c r="VTU28" s="97"/>
      <c r="VTV28" s="97"/>
      <c r="VTW28" s="97"/>
      <c r="VTX28" s="97"/>
      <c r="VTY28" s="97"/>
      <c r="VTZ28" s="97"/>
      <c r="VUA28" s="97"/>
      <c r="VUB28" s="97"/>
      <c r="VUC28" s="97"/>
      <c r="VUD28" s="97"/>
      <c r="VUE28" s="97"/>
      <c r="VUF28" s="97"/>
      <c r="VUG28" s="97"/>
      <c r="VUH28" s="97"/>
      <c r="VUI28" s="97"/>
      <c r="VUJ28" s="97"/>
      <c r="VUK28" s="97"/>
      <c r="VUL28" s="97"/>
      <c r="VUM28" s="97"/>
      <c r="VUN28" s="97"/>
      <c r="VUO28" s="97"/>
      <c r="VUP28" s="97"/>
      <c r="VUQ28" s="97"/>
      <c r="VUR28" s="97"/>
      <c r="VUS28" s="97"/>
      <c r="VUT28" s="97"/>
      <c r="VUU28" s="97"/>
      <c r="VUV28" s="97"/>
      <c r="VUW28" s="97"/>
      <c r="VUX28" s="97"/>
      <c r="VUY28" s="97"/>
      <c r="VUZ28" s="97"/>
      <c r="VVA28" s="97"/>
      <c r="VVB28" s="97"/>
      <c r="VVC28" s="97"/>
      <c r="VVD28" s="97"/>
      <c r="VVE28" s="97"/>
      <c r="VVF28" s="97"/>
      <c r="VVG28" s="97"/>
      <c r="VVH28" s="97"/>
      <c r="VVI28" s="97"/>
      <c r="VVJ28" s="97"/>
      <c r="VVK28" s="97"/>
      <c r="VVL28" s="97"/>
      <c r="VVM28" s="97"/>
      <c r="VVN28" s="97"/>
      <c r="VVO28" s="97"/>
      <c r="VVP28" s="97"/>
      <c r="VVQ28" s="97"/>
      <c r="VVR28" s="97"/>
      <c r="VVS28" s="97"/>
      <c r="VVT28" s="97"/>
      <c r="VVU28" s="97"/>
      <c r="VVV28" s="97"/>
      <c r="VVW28" s="97"/>
      <c r="VVX28" s="97"/>
      <c r="VVY28" s="97"/>
      <c r="VVZ28" s="97"/>
      <c r="VWA28" s="97"/>
      <c r="VWB28" s="97"/>
      <c r="VWC28" s="97"/>
      <c r="VWD28" s="97"/>
      <c r="VWE28" s="97"/>
      <c r="VWF28" s="97"/>
      <c r="VWG28" s="97"/>
      <c r="VWH28" s="97"/>
      <c r="VWI28" s="97"/>
      <c r="VWJ28" s="97"/>
      <c r="VWK28" s="97"/>
      <c r="VWL28" s="97"/>
      <c r="VWM28" s="97"/>
      <c r="VWN28" s="97"/>
      <c r="VWO28" s="97"/>
      <c r="VWP28" s="97"/>
      <c r="VWQ28" s="97"/>
      <c r="VWR28" s="97"/>
      <c r="VWS28" s="97"/>
      <c r="VWT28" s="97"/>
      <c r="VWU28" s="97"/>
      <c r="VWV28" s="97"/>
      <c r="VWW28" s="97"/>
      <c r="VWX28" s="97"/>
      <c r="VWY28" s="97"/>
      <c r="VWZ28" s="97"/>
      <c r="VXA28" s="97"/>
      <c r="VXB28" s="97"/>
      <c r="VXC28" s="97"/>
      <c r="VXD28" s="97"/>
      <c r="VXE28" s="97"/>
      <c r="VXF28" s="97"/>
      <c r="VXG28" s="97"/>
      <c r="VXH28" s="97"/>
      <c r="VXI28" s="97"/>
      <c r="VXJ28" s="97"/>
      <c r="VXK28" s="97"/>
      <c r="VXL28" s="97"/>
      <c r="VXM28" s="97"/>
      <c r="VXN28" s="97"/>
      <c r="VXO28" s="97"/>
      <c r="VXP28" s="97"/>
      <c r="VXQ28" s="97"/>
      <c r="VXR28" s="97"/>
      <c r="VXS28" s="97"/>
      <c r="VXT28" s="97"/>
      <c r="VXU28" s="97"/>
      <c r="VXV28" s="97"/>
      <c r="VXW28" s="97"/>
      <c r="VXX28" s="97"/>
      <c r="VXY28" s="97"/>
      <c r="VXZ28" s="97"/>
      <c r="VYA28" s="97"/>
      <c r="VYB28" s="97"/>
      <c r="VYC28" s="97"/>
      <c r="VYD28" s="97"/>
      <c r="VYE28" s="97"/>
      <c r="VYF28" s="97"/>
      <c r="VYG28" s="97"/>
      <c r="VYH28" s="97"/>
      <c r="VYI28" s="97"/>
      <c r="VYJ28" s="97"/>
      <c r="VYK28" s="97"/>
      <c r="VYL28" s="97"/>
      <c r="VYM28" s="97"/>
      <c r="VYN28" s="97"/>
      <c r="VYO28" s="97"/>
      <c r="VYP28" s="97"/>
      <c r="VYQ28" s="97"/>
      <c r="VYR28" s="97"/>
      <c r="VYS28" s="97"/>
      <c r="VYT28" s="97"/>
      <c r="VYU28" s="97"/>
      <c r="VYV28" s="97"/>
      <c r="VYW28" s="97"/>
      <c r="VYX28" s="97"/>
      <c r="VYY28" s="97"/>
      <c r="VYZ28" s="97"/>
      <c r="VZA28" s="97"/>
      <c r="VZB28" s="97"/>
      <c r="VZC28" s="97"/>
      <c r="VZD28" s="97"/>
      <c r="VZE28" s="97"/>
      <c r="VZF28" s="97"/>
      <c r="VZG28" s="97"/>
      <c r="VZH28" s="97"/>
      <c r="VZI28" s="97"/>
      <c r="VZJ28" s="97"/>
      <c r="VZK28" s="97"/>
      <c r="VZL28" s="97"/>
      <c r="VZM28" s="97"/>
      <c r="VZN28" s="97"/>
      <c r="VZO28" s="97"/>
      <c r="VZP28" s="97"/>
      <c r="VZQ28" s="97"/>
      <c r="VZR28" s="97"/>
      <c r="VZS28" s="97"/>
      <c r="VZT28" s="97"/>
      <c r="VZU28" s="97"/>
      <c r="VZV28" s="97"/>
      <c r="VZW28" s="97"/>
      <c r="VZX28" s="97"/>
      <c r="VZY28" s="97"/>
      <c r="VZZ28" s="97"/>
      <c r="WAA28" s="97"/>
      <c r="WAB28" s="97"/>
      <c r="WAC28" s="97"/>
      <c r="WAD28" s="97"/>
      <c r="WAE28" s="97"/>
      <c r="WAF28" s="97"/>
      <c r="WAG28" s="97"/>
      <c r="WAH28" s="97"/>
      <c r="WAI28" s="97"/>
      <c r="WAJ28" s="97"/>
      <c r="WAK28" s="97"/>
      <c r="WAL28" s="97"/>
      <c r="WAM28" s="97"/>
      <c r="WAN28" s="97"/>
      <c r="WAO28" s="97"/>
      <c r="WAP28" s="97"/>
      <c r="WAQ28" s="97"/>
      <c r="WAR28" s="97"/>
      <c r="WAS28" s="97"/>
      <c r="WAT28" s="97"/>
      <c r="WAU28" s="97"/>
      <c r="WAV28" s="97"/>
      <c r="WAW28" s="97"/>
      <c r="WAX28" s="97"/>
      <c r="WAY28" s="97"/>
      <c r="WAZ28" s="97"/>
      <c r="WBA28" s="97"/>
      <c r="WBB28" s="97"/>
      <c r="WBC28" s="97"/>
      <c r="WBD28" s="97"/>
      <c r="WBE28" s="97"/>
      <c r="WBF28" s="97"/>
      <c r="WBG28" s="97"/>
      <c r="WBH28" s="97"/>
      <c r="WBI28" s="97"/>
      <c r="WBJ28" s="97"/>
      <c r="WBK28" s="97"/>
      <c r="WBL28" s="97"/>
      <c r="WBM28" s="97"/>
      <c r="WBN28" s="97"/>
      <c r="WBO28" s="97"/>
      <c r="WBP28" s="97"/>
      <c r="WBQ28" s="97"/>
      <c r="WBR28" s="97"/>
      <c r="WBS28" s="97"/>
      <c r="WBT28" s="97"/>
      <c r="WBU28" s="97"/>
      <c r="WBV28" s="97"/>
      <c r="WBW28" s="97"/>
      <c r="WBX28" s="97"/>
      <c r="WBY28" s="97"/>
      <c r="WBZ28" s="97"/>
      <c r="WCA28" s="97"/>
      <c r="WCB28" s="97"/>
      <c r="WCC28" s="97"/>
      <c r="WCD28" s="97"/>
      <c r="WCE28" s="97"/>
      <c r="WCF28" s="97"/>
      <c r="WCG28" s="97"/>
      <c r="WCH28" s="97"/>
      <c r="WCI28" s="97"/>
      <c r="WCJ28" s="97"/>
      <c r="WCK28" s="97"/>
      <c r="WCL28" s="97"/>
      <c r="WCM28" s="97"/>
      <c r="WCN28" s="97"/>
      <c r="WCO28" s="97"/>
      <c r="WCP28" s="97"/>
      <c r="WCQ28" s="97"/>
      <c r="WCR28" s="97"/>
      <c r="WCS28" s="97"/>
      <c r="WCT28" s="97"/>
      <c r="WCU28" s="97"/>
      <c r="WCV28" s="97"/>
      <c r="WCW28" s="97"/>
      <c r="WCX28" s="97"/>
      <c r="WCY28" s="97"/>
      <c r="WCZ28" s="97"/>
      <c r="WDA28" s="97"/>
      <c r="WDB28" s="97"/>
      <c r="WDC28" s="97"/>
      <c r="WDD28" s="97"/>
      <c r="WDE28" s="97"/>
      <c r="WDF28" s="97"/>
      <c r="WDG28" s="97"/>
      <c r="WDH28" s="97"/>
      <c r="WDI28" s="97"/>
      <c r="WDJ28" s="97"/>
      <c r="WDK28" s="97"/>
      <c r="WDL28" s="97"/>
      <c r="WDM28" s="97"/>
      <c r="WDN28" s="97"/>
      <c r="WDO28" s="97"/>
      <c r="WDP28" s="97"/>
      <c r="WDQ28" s="97"/>
      <c r="WDR28" s="97"/>
      <c r="WDS28" s="97"/>
      <c r="WDT28" s="97"/>
      <c r="WDU28" s="97"/>
      <c r="WDV28" s="97"/>
      <c r="WDW28" s="97"/>
      <c r="WDX28" s="97"/>
      <c r="WDY28" s="97"/>
      <c r="WDZ28" s="97"/>
      <c r="WEA28" s="97"/>
      <c r="WEB28" s="97"/>
      <c r="WEC28" s="97"/>
      <c r="WED28" s="97"/>
      <c r="WEE28" s="97"/>
      <c r="WEF28" s="97"/>
      <c r="WEG28" s="97"/>
      <c r="WEH28" s="97"/>
      <c r="WEI28" s="97"/>
      <c r="WEJ28" s="97"/>
      <c r="WEK28" s="97"/>
      <c r="WEL28" s="97"/>
      <c r="WEM28" s="97"/>
      <c r="WEN28" s="97"/>
      <c r="WEO28" s="97"/>
      <c r="WEP28" s="97"/>
      <c r="WEQ28" s="97"/>
      <c r="WER28" s="97"/>
      <c r="WES28" s="97"/>
      <c r="WET28" s="97"/>
      <c r="WEU28" s="97"/>
      <c r="WEV28" s="97"/>
      <c r="WEW28" s="97"/>
      <c r="WEX28" s="97"/>
      <c r="WEY28" s="97"/>
      <c r="WEZ28" s="97"/>
      <c r="WFA28" s="97"/>
      <c r="WFB28" s="97"/>
      <c r="WFC28" s="97"/>
      <c r="WFD28" s="97"/>
      <c r="WFE28" s="97"/>
      <c r="WFF28" s="97"/>
      <c r="WFG28" s="97"/>
      <c r="WFH28" s="97"/>
      <c r="WFI28" s="97"/>
      <c r="WFJ28" s="97"/>
      <c r="WFK28" s="97"/>
      <c r="WFL28" s="97"/>
      <c r="WFM28" s="97"/>
      <c r="WFN28" s="97"/>
      <c r="WFO28" s="97"/>
      <c r="WFP28" s="97"/>
      <c r="WFQ28" s="97"/>
      <c r="WFR28" s="97"/>
      <c r="WFS28" s="97"/>
      <c r="WFT28" s="97"/>
      <c r="WFU28" s="97"/>
      <c r="WFV28" s="97"/>
      <c r="WFW28" s="97"/>
      <c r="WFX28" s="97"/>
      <c r="WFY28" s="97"/>
      <c r="WFZ28" s="97"/>
      <c r="WGA28" s="97"/>
      <c r="WGB28" s="97"/>
      <c r="WGC28" s="97"/>
      <c r="WGD28" s="97"/>
      <c r="WGE28" s="97"/>
      <c r="WGF28" s="97"/>
      <c r="WGG28" s="97"/>
      <c r="WGH28" s="97"/>
      <c r="WGI28" s="97"/>
      <c r="WGJ28" s="97"/>
      <c r="WGK28" s="97"/>
      <c r="WGL28" s="97"/>
      <c r="WGM28" s="97"/>
      <c r="WGN28" s="97"/>
      <c r="WGO28" s="97"/>
      <c r="WGP28" s="97"/>
      <c r="WGQ28" s="97"/>
      <c r="WGR28" s="97"/>
      <c r="WGS28" s="97"/>
      <c r="WGT28" s="97"/>
      <c r="WGU28" s="97"/>
      <c r="WGV28" s="97"/>
      <c r="WGW28" s="97"/>
      <c r="WGX28" s="97"/>
      <c r="WGY28" s="97"/>
      <c r="WGZ28" s="97"/>
      <c r="WHA28" s="97"/>
      <c r="WHB28" s="97"/>
      <c r="WHC28" s="97"/>
      <c r="WHD28" s="97"/>
      <c r="WHE28" s="97"/>
      <c r="WHF28" s="97"/>
      <c r="WHG28" s="97"/>
      <c r="WHH28" s="97"/>
      <c r="WHI28" s="97"/>
      <c r="WHJ28" s="97"/>
      <c r="WHK28" s="97"/>
      <c r="WHL28" s="97"/>
      <c r="WHM28" s="97"/>
      <c r="WHN28" s="97"/>
      <c r="WHO28" s="97"/>
      <c r="WHP28" s="97"/>
      <c r="WHQ28" s="97"/>
      <c r="WHR28" s="97"/>
      <c r="WHS28" s="97"/>
      <c r="WHT28" s="97"/>
      <c r="WHU28" s="97"/>
      <c r="WHV28" s="97"/>
      <c r="WHW28" s="97"/>
      <c r="WHX28" s="97"/>
      <c r="WHY28" s="97"/>
      <c r="WHZ28" s="97"/>
      <c r="WIA28" s="97"/>
      <c r="WIB28" s="97"/>
      <c r="WIC28" s="97"/>
      <c r="WID28" s="97"/>
      <c r="WIE28" s="97"/>
      <c r="WIF28" s="97"/>
      <c r="WIG28" s="97"/>
      <c r="WIH28" s="97"/>
      <c r="WII28" s="97"/>
      <c r="WIJ28" s="97"/>
      <c r="WIK28" s="97"/>
      <c r="WIL28" s="97"/>
      <c r="WIM28" s="97"/>
      <c r="WIN28" s="97"/>
      <c r="WIO28" s="97"/>
      <c r="WIP28" s="97"/>
      <c r="WIQ28" s="97"/>
      <c r="WIR28" s="97"/>
      <c r="WIS28" s="97"/>
      <c r="WIT28" s="97"/>
      <c r="WIU28" s="97"/>
      <c r="WIV28" s="97"/>
      <c r="WIW28" s="97"/>
      <c r="WIX28" s="97"/>
      <c r="WIY28" s="97"/>
      <c r="WIZ28" s="97"/>
      <c r="WJA28" s="97"/>
      <c r="WJB28" s="97"/>
      <c r="WJC28" s="97"/>
      <c r="WJD28" s="97"/>
      <c r="WJE28" s="97"/>
      <c r="WJF28" s="97"/>
      <c r="WJG28" s="97"/>
      <c r="WJH28" s="97"/>
      <c r="WJI28" s="97"/>
      <c r="WJJ28" s="97"/>
      <c r="WJK28" s="97"/>
      <c r="WJL28" s="97"/>
      <c r="WJM28" s="97"/>
      <c r="WJN28" s="97"/>
      <c r="WJO28" s="97"/>
      <c r="WJP28" s="97"/>
      <c r="WJQ28" s="97"/>
      <c r="WJR28" s="97"/>
      <c r="WJS28" s="97"/>
      <c r="WJT28" s="97"/>
      <c r="WJU28" s="97"/>
      <c r="WJV28" s="97"/>
      <c r="WJW28" s="97"/>
      <c r="WJX28" s="97"/>
      <c r="WJY28" s="97"/>
      <c r="WJZ28" s="97"/>
      <c r="WKA28" s="97"/>
      <c r="WKB28" s="97"/>
      <c r="WKC28" s="97"/>
      <c r="WKD28" s="97"/>
      <c r="WKE28" s="97"/>
      <c r="WKF28" s="97"/>
      <c r="WKG28" s="97"/>
      <c r="WKH28" s="97"/>
      <c r="WKI28" s="97"/>
      <c r="WKJ28" s="97"/>
      <c r="WKK28" s="97"/>
      <c r="WKL28" s="97"/>
      <c r="WKM28" s="97"/>
      <c r="WKN28" s="97"/>
      <c r="WKO28" s="97"/>
      <c r="WKP28" s="97"/>
      <c r="WKQ28" s="97"/>
      <c r="WKR28" s="97"/>
      <c r="WKS28" s="97"/>
      <c r="WKT28" s="97"/>
      <c r="WKU28" s="97"/>
      <c r="WKV28" s="97"/>
      <c r="WKW28" s="97"/>
      <c r="WKX28" s="97"/>
      <c r="WKY28" s="97"/>
      <c r="WKZ28" s="97"/>
      <c r="WLA28" s="97"/>
      <c r="WLB28" s="97"/>
      <c r="WLC28" s="97"/>
      <c r="WLD28" s="97"/>
      <c r="WLE28" s="97"/>
      <c r="WLF28" s="97"/>
      <c r="WLG28" s="97"/>
      <c r="WLH28" s="97"/>
      <c r="WLI28" s="97"/>
      <c r="WLJ28" s="97"/>
      <c r="WLK28" s="97"/>
      <c r="WLL28" s="97"/>
      <c r="WLM28" s="97"/>
      <c r="WLN28" s="97"/>
      <c r="WLO28" s="97"/>
      <c r="WLP28" s="97"/>
      <c r="WLQ28" s="97"/>
      <c r="WLR28" s="97"/>
      <c r="WLS28" s="97"/>
      <c r="WLT28" s="97"/>
      <c r="WLU28" s="97"/>
      <c r="WLV28" s="97"/>
      <c r="WLW28" s="97"/>
      <c r="WLX28" s="97"/>
      <c r="WLY28" s="97"/>
      <c r="WLZ28" s="97"/>
      <c r="WMA28" s="97"/>
      <c r="WMB28" s="97"/>
      <c r="WMC28" s="97"/>
      <c r="WMD28" s="97"/>
      <c r="WME28" s="97"/>
      <c r="WMF28" s="97"/>
      <c r="WMG28" s="97"/>
      <c r="WMH28" s="97"/>
      <c r="WMI28" s="97"/>
      <c r="WMJ28" s="97"/>
      <c r="WMK28" s="97"/>
      <c r="WML28" s="97"/>
      <c r="WMM28" s="97"/>
      <c r="WMN28" s="97"/>
      <c r="WMO28" s="97"/>
      <c r="WMP28" s="97"/>
      <c r="WMQ28" s="97"/>
      <c r="WMR28" s="97"/>
      <c r="WMS28" s="97"/>
      <c r="WMT28" s="97"/>
      <c r="WMU28" s="97"/>
      <c r="WMV28" s="97"/>
      <c r="WMW28" s="97"/>
      <c r="WMX28" s="97"/>
      <c r="WMY28" s="97"/>
      <c r="WMZ28" s="97"/>
      <c r="WNA28" s="97"/>
      <c r="WNB28" s="97"/>
      <c r="WNC28" s="97"/>
      <c r="WND28" s="97"/>
      <c r="WNE28" s="97"/>
      <c r="WNF28" s="97"/>
      <c r="WNG28" s="97"/>
      <c r="WNH28" s="97"/>
      <c r="WNI28" s="97"/>
      <c r="WNJ28" s="97"/>
      <c r="WNK28" s="97"/>
      <c r="WNL28" s="97"/>
      <c r="WNM28" s="97"/>
      <c r="WNN28" s="97"/>
      <c r="WNO28" s="97"/>
      <c r="WNP28" s="97"/>
      <c r="WNQ28" s="97"/>
      <c r="WNR28" s="97"/>
      <c r="WNS28" s="97"/>
      <c r="WNT28" s="97"/>
      <c r="WNU28" s="97"/>
      <c r="WNV28" s="97"/>
      <c r="WNW28" s="97"/>
      <c r="WNX28" s="97"/>
      <c r="WNY28" s="97"/>
      <c r="WNZ28" s="97"/>
      <c r="WOA28" s="97"/>
      <c r="WOB28" s="97"/>
      <c r="WOC28" s="97"/>
      <c r="WOD28" s="97"/>
      <c r="WOE28" s="97"/>
      <c r="WOF28" s="97"/>
      <c r="WOG28" s="97"/>
      <c r="WOH28" s="97"/>
      <c r="WOI28" s="97"/>
      <c r="WOJ28" s="97"/>
      <c r="WOK28" s="97"/>
      <c r="WOL28" s="97"/>
      <c r="WOM28" s="97"/>
      <c r="WON28" s="97"/>
      <c r="WOO28" s="97"/>
      <c r="WOP28" s="97"/>
      <c r="WOQ28" s="97"/>
      <c r="WOR28" s="97"/>
      <c r="WOS28" s="97"/>
      <c r="WOT28" s="97"/>
      <c r="WOU28" s="97"/>
      <c r="WOV28" s="97"/>
      <c r="WOW28" s="97"/>
      <c r="WOX28" s="97"/>
      <c r="WOY28" s="97"/>
      <c r="WOZ28" s="97"/>
      <c r="WPA28" s="97"/>
      <c r="WPB28" s="97"/>
      <c r="WPC28" s="97"/>
      <c r="WPD28" s="97"/>
      <c r="WPE28" s="97"/>
      <c r="WPF28" s="97"/>
      <c r="WPG28" s="97"/>
      <c r="WPH28" s="97"/>
      <c r="WPI28" s="97"/>
      <c r="WPJ28" s="97"/>
      <c r="WPK28" s="97"/>
      <c r="WPL28" s="97"/>
      <c r="WPM28" s="97"/>
      <c r="WPN28" s="97"/>
      <c r="WPO28" s="97"/>
      <c r="WPP28" s="97"/>
      <c r="WPQ28" s="97"/>
      <c r="WPR28" s="97"/>
      <c r="WPS28" s="97"/>
      <c r="WPT28" s="97"/>
      <c r="WPU28" s="97"/>
      <c r="WPV28" s="97"/>
      <c r="WPW28" s="97"/>
      <c r="WPX28" s="97"/>
      <c r="WPY28" s="97"/>
      <c r="WPZ28" s="97"/>
      <c r="WQA28" s="97"/>
      <c r="WQB28" s="97"/>
      <c r="WQC28" s="97"/>
      <c r="WQD28" s="97"/>
      <c r="WQE28" s="97"/>
      <c r="WQF28" s="97"/>
      <c r="WQG28" s="97"/>
      <c r="WQH28" s="97"/>
      <c r="WQI28" s="97"/>
      <c r="WQJ28" s="97"/>
      <c r="WQK28" s="97"/>
      <c r="WQL28" s="97"/>
      <c r="WQM28" s="97"/>
      <c r="WQN28" s="97"/>
      <c r="WQO28" s="97"/>
      <c r="WQP28" s="97"/>
      <c r="WQQ28" s="97"/>
      <c r="WQR28" s="97"/>
      <c r="WQS28" s="97"/>
      <c r="WQT28" s="97"/>
      <c r="WQU28" s="97"/>
      <c r="WQV28" s="97"/>
      <c r="WQW28" s="97"/>
      <c r="WQX28" s="97"/>
      <c r="WQY28" s="97"/>
      <c r="WQZ28" s="97"/>
      <c r="WRA28" s="97"/>
      <c r="WRB28" s="97"/>
      <c r="WRC28" s="97"/>
      <c r="WRD28" s="97"/>
      <c r="WRE28" s="97"/>
      <c r="WRF28" s="97"/>
      <c r="WRG28" s="97"/>
      <c r="WRH28" s="97"/>
      <c r="WRI28" s="97"/>
      <c r="WRJ28" s="97"/>
      <c r="WRK28" s="97"/>
      <c r="WRL28" s="97"/>
      <c r="WRM28" s="97"/>
      <c r="WRN28" s="97"/>
      <c r="WRO28" s="97"/>
      <c r="WRP28" s="97"/>
      <c r="WRQ28" s="97"/>
      <c r="WRR28" s="97"/>
      <c r="WRS28" s="97"/>
      <c r="WRT28" s="97"/>
      <c r="WRU28" s="97"/>
      <c r="WRV28" s="97"/>
      <c r="WRW28" s="97"/>
      <c r="WRX28" s="97"/>
      <c r="WRY28" s="97"/>
      <c r="WRZ28" s="97"/>
      <c r="WSA28" s="97"/>
      <c r="WSB28" s="97"/>
      <c r="WSC28" s="97"/>
      <c r="WSD28" s="97"/>
      <c r="WSE28" s="97"/>
      <c r="WSF28" s="97"/>
      <c r="WSG28" s="97"/>
      <c r="WSH28" s="97"/>
      <c r="WSI28" s="97"/>
      <c r="WSJ28" s="97"/>
      <c r="WSK28" s="97"/>
      <c r="WSL28" s="97"/>
      <c r="WSM28" s="97"/>
      <c r="WSN28" s="97"/>
      <c r="WSO28" s="97"/>
      <c r="WSP28" s="97"/>
      <c r="WSQ28" s="97"/>
      <c r="WSR28" s="97"/>
      <c r="WSS28" s="97"/>
      <c r="WST28" s="97"/>
      <c r="WSU28" s="97"/>
      <c r="WSV28" s="97"/>
      <c r="WSW28" s="97"/>
      <c r="WSX28" s="97"/>
      <c r="WSY28" s="97"/>
      <c r="WSZ28" s="97"/>
      <c r="WTA28" s="97"/>
      <c r="WTB28" s="97"/>
      <c r="WTC28" s="97"/>
      <c r="WTD28" s="97"/>
      <c r="WTE28" s="97"/>
      <c r="WTF28" s="97"/>
      <c r="WTG28" s="97"/>
      <c r="WTH28" s="97"/>
      <c r="WTI28" s="97"/>
      <c r="WTJ28" s="97"/>
      <c r="WTK28" s="97"/>
      <c r="WTL28" s="97"/>
      <c r="WTM28" s="97"/>
      <c r="WTN28" s="97"/>
      <c r="WTO28" s="97"/>
      <c r="WTP28" s="97"/>
      <c r="WTQ28" s="97"/>
      <c r="WTR28" s="97"/>
      <c r="WTS28" s="97"/>
      <c r="WTT28" s="97"/>
      <c r="WTU28" s="97"/>
      <c r="WTV28" s="97"/>
      <c r="WTW28" s="97"/>
      <c r="WTX28" s="97"/>
      <c r="WTY28" s="97"/>
      <c r="WTZ28" s="97"/>
      <c r="WUA28" s="97"/>
      <c r="WUB28" s="97"/>
      <c r="WUC28" s="97"/>
      <c r="WUD28" s="97"/>
      <c r="WUE28" s="97"/>
      <c r="WUF28" s="97"/>
      <c r="WUG28" s="97"/>
      <c r="WUH28" s="97"/>
      <c r="WUI28" s="97"/>
      <c r="WUJ28" s="97"/>
      <c r="WUK28" s="97"/>
      <c r="WUL28" s="97"/>
      <c r="WUM28" s="97"/>
      <c r="WUN28" s="97"/>
      <c r="WUO28" s="97"/>
      <c r="WUP28" s="97"/>
      <c r="WUQ28" s="97"/>
      <c r="WUR28" s="97"/>
      <c r="WUS28" s="97"/>
      <c r="WUT28" s="97"/>
      <c r="WUU28" s="97"/>
      <c r="WUV28" s="97"/>
      <c r="WUW28" s="97"/>
      <c r="WUX28" s="97"/>
      <c r="WUY28" s="97"/>
      <c r="WUZ28" s="97"/>
      <c r="WVA28" s="97"/>
      <c r="WVB28" s="97"/>
      <c r="WVC28" s="97"/>
      <c r="WVD28" s="97"/>
      <c r="WVE28" s="97"/>
      <c r="WVF28" s="97"/>
      <c r="WVG28" s="97"/>
      <c r="WVH28" s="97"/>
      <c r="WVI28" s="97"/>
      <c r="WVJ28" s="97"/>
      <c r="WVK28" s="97"/>
      <c r="WVL28" s="97"/>
      <c r="WVM28" s="97"/>
      <c r="WVN28" s="97"/>
      <c r="WVO28" s="97"/>
      <c r="WVP28" s="97"/>
      <c r="WVQ28" s="97"/>
      <c r="WVR28" s="97"/>
      <c r="WVS28" s="97"/>
      <c r="WVT28" s="97"/>
      <c r="WVU28" s="97"/>
      <c r="WVV28" s="97"/>
      <c r="WVW28" s="97"/>
      <c r="WVX28" s="97"/>
      <c r="WVY28" s="97"/>
      <c r="WVZ28" s="97"/>
      <c r="WWA28" s="97"/>
      <c r="WWB28" s="97"/>
      <c r="WWC28" s="97"/>
      <c r="WWD28" s="97"/>
      <c r="WWE28" s="97"/>
      <c r="WWF28" s="97"/>
      <c r="WWG28" s="97"/>
      <c r="WWH28" s="97"/>
      <c r="WWI28" s="97"/>
      <c r="WWJ28" s="97"/>
      <c r="WWK28" s="97"/>
      <c r="WWL28" s="97"/>
      <c r="WWM28" s="97"/>
      <c r="WWN28" s="97"/>
      <c r="WWO28" s="97"/>
      <c r="WWP28" s="97"/>
      <c r="WWQ28" s="97"/>
      <c r="WWR28" s="97"/>
      <c r="WWS28" s="97"/>
      <c r="WWT28" s="97"/>
      <c r="WWU28" s="97"/>
      <c r="WWV28" s="97"/>
      <c r="WWW28" s="97"/>
      <c r="WWX28" s="97"/>
      <c r="WWY28" s="97"/>
      <c r="WWZ28" s="97"/>
      <c r="WXA28" s="97"/>
      <c r="WXB28" s="97"/>
      <c r="WXC28" s="97"/>
      <c r="WXD28" s="97"/>
      <c r="WXE28" s="97"/>
      <c r="WXF28" s="97"/>
      <c r="WXG28" s="97"/>
      <c r="WXH28" s="97"/>
      <c r="WXI28" s="97"/>
      <c r="WXJ28" s="97"/>
      <c r="WXK28" s="97"/>
      <c r="WXL28" s="97"/>
      <c r="WXM28" s="97"/>
      <c r="WXN28" s="97"/>
      <c r="WXO28" s="97"/>
      <c r="WXP28" s="97"/>
      <c r="WXQ28" s="97"/>
      <c r="WXR28" s="97"/>
      <c r="WXS28" s="97"/>
      <c r="WXT28" s="97"/>
      <c r="WXU28" s="97"/>
      <c r="WXV28" s="97"/>
      <c r="WXW28" s="97"/>
      <c r="WXX28" s="97"/>
      <c r="WXY28" s="97"/>
      <c r="WXZ28" s="97"/>
      <c r="WYA28" s="97"/>
      <c r="WYB28" s="97"/>
      <c r="WYC28" s="97"/>
      <c r="WYD28" s="97"/>
      <c r="WYE28" s="97"/>
      <c r="WYF28" s="97"/>
      <c r="WYG28" s="97"/>
      <c r="WYH28" s="97"/>
      <c r="WYI28" s="97"/>
      <c r="WYJ28" s="97"/>
      <c r="WYK28" s="97"/>
      <c r="WYL28" s="97"/>
      <c r="WYM28" s="97"/>
      <c r="WYN28" s="97"/>
      <c r="WYO28" s="97"/>
      <c r="WYP28" s="97"/>
      <c r="WYQ28" s="97"/>
      <c r="WYR28" s="97"/>
      <c r="WYS28" s="97"/>
      <c r="WYT28" s="97"/>
      <c r="WYU28" s="97"/>
      <c r="WYV28" s="97"/>
      <c r="WYW28" s="97"/>
      <c r="WYX28" s="97"/>
      <c r="WYY28" s="97"/>
      <c r="WYZ28" s="97"/>
      <c r="WZA28" s="97"/>
      <c r="WZB28" s="97"/>
      <c r="WZC28" s="97"/>
      <c r="WZD28" s="97"/>
      <c r="WZE28" s="97"/>
      <c r="WZF28" s="97"/>
      <c r="WZG28" s="97"/>
      <c r="WZH28" s="97"/>
      <c r="WZI28" s="97"/>
      <c r="WZJ28" s="97"/>
      <c r="WZK28" s="97"/>
      <c r="WZL28" s="97"/>
      <c r="WZM28" s="97"/>
      <c r="WZN28" s="97"/>
      <c r="WZO28" s="97"/>
      <c r="WZP28" s="97"/>
      <c r="WZQ28" s="97"/>
      <c r="WZR28" s="97"/>
      <c r="WZS28" s="97"/>
      <c r="WZT28" s="97"/>
      <c r="WZU28" s="97"/>
      <c r="WZV28" s="97"/>
      <c r="WZW28" s="97"/>
      <c r="WZX28" s="97"/>
      <c r="WZY28" s="97"/>
      <c r="WZZ28" s="97"/>
      <c r="XAA28" s="97"/>
      <c r="XAB28" s="97"/>
      <c r="XAC28" s="97"/>
      <c r="XAD28" s="97"/>
      <c r="XAE28" s="97"/>
      <c r="XAF28" s="97"/>
      <c r="XAG28" s="97"/>
      <c r="XAH28" s="97"/>
      <c r="XAI28" s="97"/>
      <c r="XAJ28" s="97"/>
      <c r="XAK28" s="97"/>
      <c r="XAL28" s="97"/>
      <c r="XAM28" s="97"/>
      <c r="XAN28" s="97"/>
      <c r="XAO28" s="97"/>
      <c r="XAP28" s="97"/>
      <c r="XAQ28" s="97"/>
      <c r="XAR28" s="97"/>
      <c r="XAS28" s="97"/>
      <c r="XAT28" s="97"/>
      <c r="XAU28" s="97"/>
      <c r="XAV28" s="97"/>
      <c r="XAW28" s="97"/>
      <c r="XAX28" s="97"/>
      <c r="XAY28" s="97"/>
      <c r="XAZ28" s="97"/>
      <c r="XBA28" s="97"/>
      <c r="XBB28" s="97"/>
      <c r="XBC28" s="97"/>
      <c r="XBD28" s="97"/>
      <c r="XBE28" s="97"/>
      <c r="XBF28" s="97"/>
      <c r="XBG28" s="97"/>
      <c r="XBH28" s="97"/>
      <c r="XBI28" s="97"/>
      <c r="XBJ28" s="97"/>
      <c r="XBK28" s="97"/>
      <c r="XBL28" s="97"/>
      <c r="XBM28" s="97"/>
      <c r="XBN28" s="97"/>
      <c r="XBO28" s="97"/>
      <c r="XBP28" s="97"/>
      <c r="XBQ28" s="97"/>
      <c r="XBR28" s="97"/>
      <c r="XBS28" s="97"/>
      <c r="XBT28" s="97"/>
      <c r="XBU28" s="97"/>
      <c r="XBV28" s="97"/>
      <c r="XBW28" s="97"/>
      <c r="XBX28" s="97"/>
      <c r="XBY28" s="97"/>
      <c r="XBZ28" s="97"/>
      <c r="XCA28" s="97"/>
      <c r="XCB28" s="97"/>
      <c r="XCC28" s="97"/>
      <c r="XCD28" s="97"/>
      <c r="XCE28" s="97"/>
      <c r="XCF28" s="97"/>
      <c r="XCG28" s="97"/>
      <c r="XCH28" s="97"/>
      <c r="XCI28" s="97"/>
      <c r="XCJ28" s="97"/>
      <c r="XCK28" s="97"/>
      <c r="XCL28" s="97"/>
      <c r="XCM28" s="97"/>
      <c r="XCN28" s="97"/>
      <c r="XCO28" s="97"/>
      <c r="XCP28" s="97"/>
      <c r="XCQ28" s="97"/>
      <c r="XCR28" s="97"/>
      <c r="XCS28" s="97"/>
      <c r="XCT28" s="97"/>
      <c r="XCU28" s="97"/>
      <c r="XCV28" s="97"/>
      <c r="XCW28" s="97"/>
      <c r="XCX28" s="97"/>
      <c r="XCY28" s="97"/>
      <c r="XCZ28" s="97"/>
      <c r="XDA28" s="97"/>
      <c r="XDB28" s="97"/>
      <c r="XDC28" s="97"/>
      <c r="XDD28" s="97"/>
      <c r="XDE28" s="97"/>
      <c r="XDF28" s="97"/>
      <c r="XDG28" s="97"/>
      <c r="XDH28" s="97"/>
      <c r="XDI28" s="97"/>
      <c r="XDJ28" s="97"/>
      <c r="XDK28" s="97"/>
      <c r="XDL28" s="97"/>
      <c r="XDM28" s="97"/>
      <c r="XDN28" s="97"/>
      <c r="XDO28" s="97"/>
      <c r="XDP28" s="97"/>
    </row>
    <row r="29" spans="1:16344" s="97" customFormat="1" ht="15" customHeight="1" x14ac:dyDescent="0.2">
      <c r="A29" s="125" t="s">
        <v>81</v>
      </c>
      <c r="B29" s="126"/>
      <c r="C29" s="126"/>
      <c r="D29" s="126"/>
      <c r="E29" s="127"/>
      <c r="F29" s="127"/>
      <c r="G29" s="227" t="str">
        <f>IFERROR(INDEX($C$7:$C$17,MATCH(G23,G7:G17,0),1),"")</f>
        <v>Costco</v>
      </c>
      <c r="H29" s="227" t="str">
        <f>IFERROR(INDEX($C$7:$C$17,MATCH(H23,H7:H17,0),1),"")</f>
        <v>Costco</v>
      </c>
      <c r="I29" s="227" t="str">
        <f t="shared" ref="I29:W29" si="522">IFERROR(INDEX($C$7:$C$17,MATCH(I23,I7:I17,0),1),"")</f>
        <v/>
      </c>
      <c r="J29" s="227" t="str">
        <f t="shared" si="522"/>
        <v>Costco</v>
      </c>
      <c r="K29" s="227" t="str">
        <f t="shared" si="522"/>
        <v>Costco</v>
      </c>
      <c r="L29" s="227" t="str">
        <f>IFERROR(INDEX($C$7:$C$17,MATCH(L23,L7:L17,0),1),"")</f>
        <v>Costco</v>
      </c>
      <c r="M29" s="227" t="str">
        <f>IFERROR(INDEX($C$7:$C$17,MATCH(M23,M7:M17,0),1),"")</f>
        <v>Costco</v>
      </c>
      <c r="N29" s="227" t="str">
        <f>IFERROR(INDEX($C$7:$C$17,MATCH(N23,N7:N17,0),1),"")</f>
        <v>Costco</v>
      </c>
      <c r="O29" s="227" t="str">
        <f>IFERROR(INDEX($C$7:$C$17,MATCH(O23,O7:O17,0),1),"")</f>
        <v/>
      </c>
      <c r="P29" s="227" t="str">
        <f>IFERROR(INDEX($C$7:$C$17,MATCH(P23,P7:P17,0),1),"")</f>
        <v>Walmart</v>
      </c>
      <c r="Q29" s="227" t="str">
        <f t="shared" si="522"/>
        <v>Walmart</v>
      </c>
      <c r="R29" s="227" t="str">
        <f t="shared" ref="R29" si="523">IFERROR(INDEX($C$7:$C$17,MATCH(R23,R7:R17,0),1),"")</f>
        <v>Walmart</v>
      </c>
      <c r="S29" s="227" t="str">
        <f t="shared" si="522"/>
        <v>Walmart</v>
      </c>
      <c r="T29" s="227" t="str">
        <f>IFERROR(INDEX($C$7:$C$17,MATCH(T23,T7:T17,0),1),"")</f>
        <v>Walmart</v>
      </c>
      <c r="U29" s="227" t="str">
        <f t="shared" ref="U29" si="524">IFERROR(INDEX($C$7:$C$17,MATCH(U23,U7:U17,0),1),"")</f>
        <v/>
      </c>
      <c r="V29" s="227" t="str">
        <f>IFERROR(INDEX($C$7:$C$17,MATCH(V23,V7:V17,0),1),"")</f>
        <v/>
      </c>
      <c r="W29" s="227" t="str">
        <f t="shared" si="522"/>
        <v>Walmart</v>
      </c>
      <c r="X29" s="227" t="str">
        <f t="shared" ref="X29:AC29" si="525">IFERROR(INDEX($C$7:$C$17,MATCH(X23,X7:X17,0),1),"")</f>
        <v/>
      </c>
      <c r="Y29" s="227" t="str">
        <f t="shared" si="525"/>
        <v>Walmart</v>
      </c>
      <c r="Z29" s="227" t="str">
        <f t="shared" si="525"/>
        <v>Walmart</v>
      </c>
      <c r="AA29" s="227" t="str">
        <f t="shared" si="525"/>
        <v>Costco</v>
      </c>
      <c r="AB29" s="227" t="str">
        <f t="shared" si="525"/>
        <v>Walmart</v>
      </c>
      <c r="AC29" s="338" t="str">
        <f t="shared" si="525"/>
        <v>Costco</v>
      </c>
      <c r="AD29" s="335"/>
      <c r="AE29" s="339" t="str">
        <f t="shared" ref="AE29:CP29" si="526">IFERROR(INDEX($C$7:$C$17,MATCH(AE23,AE7:AE17,0),1),"")</f>
        <v/>
      </c>
      <c r="AF29" s="340" t="str">
        <f t="shared" si="526"/>
        <v/>
      </c>
      <c r="AG29" s="340" t="str">
        <f t="shared" si="526"/>
        <v/>
      </c>
      <c r="AH29" s="340" t="str">
        <f t="shared" si="526"/>
        <v/>
      </c>
      <c r="AI29" s="340" t="str">
        <f t="shared" si="526"/>
        <v/>
      </c>
      <c r="AJ29" s="340" t="str">
        <f t="shared" si="526"/>
        <v/>
      </c>
      <c r="AK29" s="340" t="str">
        <f t="shared" si="526"/>
        <v/>
      </c>
      <c r="AL29" s="340" t="str">
        <f t="shared" si="526"/>
        <v/>
      </c>
      <c r="AM29" s="340" t="str">
        <f t="shared" si="526"/>
        <v/>
      </c>
      <c r="AN29" s="340" t="str">
        <f t="shared" si="526"/>
        <v/>
      </c>
      <c r="AO29" s="340" t="str">
        <f t="shared" si="526"/>
        <v/>
      </c>
      <c r="AP29" s="340" t="str">
        <f t="shared" si="526"/>
        <v/>
      </c>
      <c r="AQ29" s="340" t="str">
        <f t="shared" si="526"/>
        <v/>
      </c>
      <c r="AR29" s="340" t="str">
        <f t="shared" si="526"/>
        <v/>
      </c>
      <c r="AS29" s="340" t="str">
        <f t="shared" si="526"/>
        <v/>
      </c>
      <c r="AT29" s="340" t="str">
        <f t="shared" si="526"/>
        <v/>
      </c>
      <c r="AU29" s="340" t="str">
        <f t="shared" si="526"/>
        <v/>
      </c>
      <c r="AV29" s="340" t="str">
        <f t="shared" si="526"/>
        <v/>
      </c>
      <c r="AW29" s="340" t="str">
        <f t="shared" si="526"/>
        <v/>
      </c>
      <c r="AX29" s="341" t="str">
        <f t="shared" si="526"/>
        <v/>
      </c>
      <c r="AY29" s="339" t="str">
        <f t="shared" si="526"/>
        <v/>
      </c>
      <c r="AZ29" s="340" t="str">
        <f t="shared" si="526"/>
        <v/>
      </c>
      <c r="BA29" s="340" t="str">
        <f t="shared" si="526"/>
        <v/>
      </c>
      <c r="BB29" s="340" t="str">
        <f t="shared" si="526"/>
        <v/>
      </c>
      <c r="BC29" s="340" t="str">
        <f t="shared" si="526"/>
        <v/>
      </c>
      <c r="BD29" s="340" t="str">
        <f t="shared" si="526"/>
        <v/>
      </c>
      <c r="BE29" s="340" t="str">
        <f t="shared" si="526"/>
        <v/>
      </c>
      <c r="BF29" s="340" t="str">
        <f t="shared" si="526"/>
        <v/>
      </c>
      <c r="BG29" s="340" t="str">
        <f t="shared" si="526"/>
        <v/>
      </c>
      <c r="BH29" s="340" t="str">
        <f t="shared" si="526"/>
        <v/>
      </c>
      <c r="BI29" s="340" t="str">
        <f t="shared" si="526"/>
        <v/>
      </c>
      <c r="BJ29" s="340" t="str">
        <f t="shared" si="526"/>
        <v/>
      </c>
      <c r="BK29" s="340" t="str">
        <f t="shared" si="526"/>
        <v/>
      </c>
      <c r="BL29" s="340" t="str">
        <f t="shared" si="526"/>
        <v/>
      </c>
      <c r="BM29" s="340" t="str">
        <f t="shared" si="526"/>
        <v/>
      </c>
      <c r="BN29" s="340" t="str">
        <f t="shared" si="526"/>
        <v/>
      </c>
      <c r="BO29" s="340" t="str">
        <f t="shared" si="526"/>
        <v/>
      </c>
      <c r="BP29" s="340" t="str">
        <f t="shared" si="526"/>
        <v/>
      </c>
      <c r="BQ29" s="340" t="str">
        <f t="shared" si="526"/>
        <v/>
      </c>
      <c r="BR29" s="341" t="str">
        <f t="shared" si="526"/>
        <v/>
      </c>
      <c r="BS29" s="339" t="str">
        <f t="shared" si="526"/>
        <v/>
      </c>
      <c r="BT29" s="340" t="str">
        <f t="shared" si="526"/>
        <v/>
      </c>
      <c r="BU29" s="340" t="str">
        <f t="shared" si="526"/>
        <v/>
      </c>
      <c r="BV29" s="340" t="str">
        <f t="shared" si="526"/>
        <v/>
      </c>
      <c r="BW29" s="340" t="str">
        <f t="shared" si="526"/>
        <v/>
      </c>
      <c r="BX29" s="340" t="str">
        <f t="shared" si="526"/>
        <v/>
      </c>
      <c r="BY29" s="340" t="str">
        <f t="shared" si="526"/>
        <v/>
      </c>
      <c r="BZ29" s="340" t="str">
        <f t="shared" si="526"/>
        <v/>
      </c>
      <c r="CA29" s="340" t="str">
        <f t="shared" si="526"/>
        <v/>
      </c>
      <c r="CB29" s="340" t="str">
        <f t="shared" si="526"/>
        <v/>
      </c>
      <c r="CC29" s="340" t="str">
        <f t="shared" si="526"/>
        <v/>
      </c>
      <c r="CD29" s="340" t="str">
        <f t="shared" si="526"/>
        <v/>
      </c>
      <c r="CE29" s="340" t="str">
        <f t="shared" si="526"/>
        <v/>
      </c>
      <c r="CF29" s="340" t="str">
        <f t="shared" si="526"/>
        <v/>
      </c>
      <c r="CG29" s="340" t="str">
        <f t="shared" si="526"/>
        <v/>
      </c>
      <c r="CH29" s="340" t="str">
        <f t="shared" si="526"/>
        <v/>
      </c>
      <c r="CI29" s="340" t="str">
        <f t="shared" si="526"/>
        <v/>
      </c>
      <c r="CJ29" s="340" t="str">
        <f t="shared" si="526"/>
        <v/>
      </c>
      <c r="CK29" s="340" t="str">
        <f t="shared" si="526"/>
        <v/>
      </c>
      <c r="CL29" s="341" t="str">
        <f t="shared" si="526"/>
        <v/>
      </c>
      <c r="CM29" s="339" t="str">
        <f t="shared" si="526"/>
        <v/>
      </c>
      <c r="CN29" s="340" t="str">
        <f t="shared" si="526"/>
        <v/>
      </c>
      <c r="CO29" s="340" t="str">
        <f t="shared" si="526"/>
        <v/>
      </c>
      <c r="CP29" s="340" t="str">
        <f t="shared" si="526"/>
        <v/>
      </c>
      <c r="CQ29" s="340" t="str">
        <f t="shared" ref="CQ29:FB29" si="527">IFERROR(INDEX($C$7:$C$17,MATCH(CQ23,CQ7:CQ17,0),1),"")</f>
        <v/>
      </c>
      <c r="CR29" s="340" t="str">
        <f t="shared" si="527"/>
        <v/>
      </c>
      <c r="CS29" s="340" t="str">
        <f t="shared" si="527"/>
        <v/>
      </c>
      <c r="CT29" s="340" t="str">
        <f t="shared" si="527"/>
        <v/>
      </c>
      <c r="CU29" s="340" t="str">
        <f t="shared" si="527"/>
        <v/>
      </c>
      <c r="CV29" s="340" t="str">
        <f t="shared" si="527"/>
        <v/>
      </c>
      <c r="CW29" s="340" t="str">
        <f t="shared" si="527"/>
        <v/>
      </c>
      <c r="CX29" s="340" t="str">
        <f t="shared" si="527"/>
        <v/>
      </c>
      <c r="CY29" s="340" t="str">
        <f t="shared" si="527"/>
        <v/>
      </c>
      <c r="CZ29" s="340" t="str">
        <f t="shared" si="527"/>
        <v/>
      </c>
      <c r="DA29" s="340" t="str">
        <f t="shared" si="527"/>
        <v/>
      </c>
      <c r="DB29" s="340" t="str">
        <f t="shared" si="527"/>
        <v/>
      </c>
      <c r="DC29" s="340" t="str">
        <f t="shared" si="527"/>
        <v/>
      </c>
      <c r="DD29" s="340" t="str">
        <f t="shared" si="527"/>
        <v/>
      </c>
      <c r="DE29" s="340" t="str">
        <f t="shared" si="527"/>
        <v/>
      </c>
      <c r="DF29" s="341" t="str">
        <f t="shared" si="527"/>
        <v/>
      </c>
      <c r="DG29" s="339" t="str">
        <f t="shared" si="527"/>
        <v>Walmart</v>
      </c>
      <c r="DH29" s="340" t="str">
        <f t="shared" si="527"/>
        <v/>
      </c>
      <c r="DI29" s="340" t="str">
        <f t="shared" si="527"/>
        <v/>
      </c>
      <c r="DJ29" s="340" t="str">
        <f t="shared" si="527"/>
        <v/>
      </c>
      <c r="DK29" s="340" t="str">
        <f t="shared" si="527"/>
        <v/>
      </c>
      <c r="DL29" s="340" t="str">
        <f t="shared" si="527"/>
        <v/>
      </c>
      <c r="DM29" s="340" t="str">
        <f t="shared" si="527"/>
        <v/>
      </c>
      <c r="DN29" s="340" t="str">
        <f t="shared" si="527"/>
        <v/>
      </c>
      <c r="DO29" s="340" t="str">
        <f t="shared" si="527"/>
        <v/>
      </c>
      <c r="DP29" s="340" t="str">
        <f t="shared" si="527"/>
        <v/>
      </c>
      <c r="DQ29" s="340" t="str">
        <f t="shared" si="527"/>
        <v/>
      </c>
      <c r="DR29" s="340" t="str">
        <f t="shared" si="527"/>
        <v/>
      </c>
      <c r="DS29" s="340" t="str">
        <f t="shared" si="527"/>
        <v/>
      </c>
      <c r="DT29" s="340" t="str">
        <f t="shared" si="527"/>
        <v/>
      </c>
      <c r="DU29" s="340" t="str">
        <f t="shared" si="527"/>
        <v/>
      </c>
      <c r="DV29" s="340" t="str">
        <f t="shared" si="527"/>
        <v/>
      </c>
      <c r="DW29" s="340" t="str">
        <f t="shared" si="527"/>
        <v/>
      </c>
      <c r="DX29" s="340" t="str">
        <f t="shared" si="527"/>
        <v/>
      </c>
      <c r="DY29" s="340" t="str">
        <f t="shared" si="527"/>
        <v/>
      </c>
      <c r="DZ29" s="341" t="str">
        <f t="shared" si="527"/>
        <v/>
      </c>
      <c r="EA29" s="339" t="str">
        <f t="shared" si="527"/>
        <v>Walmart</v>
      </c>
      <c r="EB29" s="340" t="str">
        <f t="shared" si="527"/>
        <v/>
      </c>
      <c r="EC29" s="340" t="str">
        <f t="shared" si="527"/>
        <v/>
      </c>
      <c r="ED29" s="340" t="str">
        <f t="shared" si="527"/>
        <v/>
      </c>
      <c r="EE29" s="340" t="str">
        <f t="shared" si="527"/>
        <v/>
      </c>
      <c r="EF29" s="340" t="str">
        <f t="shared" si="527"/>
        <v/>
      </c>
      <c r="EG29" s="340" t="str">
        <f t="shared" si="527"/>
        <v/>
      </c>
      <c r="EH29" s="340" t="str">
        <f t="shared" si="527"/>
        <v/>
      </c>
      <c r="EI29" s="340" t="str">
        <f t="shared" si="527"/>
        <v/>
      </c>
      <c r="EJ29" s="340" t="str">
        <f t="shared" si="527"/>
        <v/>
      </c>
      <c r="EK29" s="340" t="str">
        <f t="shared" si="527"/>
        <v/>
      </c>
      <c r="EL29" s="340" t="str">
        <f t="shared" si="527"/>
        <v/>
      </c>
      <c r="EM29" s="340" t="str">
        <f t="shared" si="527"/>
        <v/>
      </c>
      <c r="EN29" s="340" t="str">
        <f t="shared" si="527"/>
        <v/>
      </c>
      <c r="EO29" s="340" t="str">
        <f t="shared" si="527"/>
        <v/>
      </c>
      <c r="EP29" s="340" t="str">
        <f t="shared" si="527"/>
        <v/>
      </c>
      <c r="EQ29" s="340" t="str">
        <f t="shared" si="527"/>
        <v/>
      </c>
      <c r="ER29" s="340" t="str">
        <f t="shared" si="527"/>
        <v/>
      </c>
      <c r="ES29" s="340" t="str">
        <f t="shared" si="527"/>
        <v/>
      </c>
      <c r="ET29" s="341" t="str">
        <f t="shared" si="527"/>
        <v/>
      </c>
      <c r="EU29" s="339" t="str">
        <f t="shared" si="527"/>
        <v>Walmart</v>
      </c>
      <c r="EV29" s="340" t="str">
        <f t="shared" si="527"/>
        <v/>
      </c>
      <c r="EW29" s="340" t="str">
        <f t="shared" si="527"/>
        <v/>
      </c>
      <c r="EX29" s="340" t="str">
        <f t="shared" si="527"/>
        <v/>
      </c>
      <c r="EY29" s="340" t="str">
        <f t="shared" si="527"/>
        <v/>
      </c>
      <c r="EZ29" s="340" t="str">
        <f t="shared" si="527"/>
        <v/>
      </c>
      <c r="FA29" s="340" t="str">
        <f t="shared" si="527"/>
        <v/>
      </c>
      <c r="FB29" s="340" t="str">
        <f t="shared" si="527"/>
        <v/>
      </c>
      <c r="FC29" s="340" t="str">
        <f t="shared" ref="FC29:HN29" si="528">IFERROR(INDEX($C$7:$C$17,MATCH(FC23,FC7:FC17,0),1),"")</f>
        <v/>
      </c>
      <c r="FD29" s="340" t="str">
        <f t="shared" si="528"/>
        <v/>
      </c>
      <c r="FE29" s="340" t="str">
        <f t="shared" si="528"/>
        <v/>
      </c>
      <c r="FF29" s="340" t="str">
        <f t="shared" si="528"/>
        <v/>
      </c>
      <c r="FG29" s="340" t="str">
        <f t="shared" si="528"/>
        <v/>
      </c>
      <c r="FH29" s="340" t="str">
        <f t="shared" si="528"/>
        <v/>
      </c>
      <c r="FI29" s="340" t="str">
        <f t="shared" si="528"/>
        <v/>
      </c>
      <c r="FJ29" s="340" t="str">
        <f t="shared" si="528"/>
        <v/>
      </c>
      <c r="FK29" s="340" t="str">
        <f t="shared" si="528"/>
        <v/>
      </c>
      <c r="FL29" s="340" t="str">
        <f t="shared" si="528"/>
        <v/>
      </c>
      <c r="FM29" s="340" t="str">
        <f t="shared" si="528"/>
        <v/>
      </c>
      <c r="FN29" s="341" t="str">
        <f t="shared" si="528"/>
        <v/>
      </c>
      <c r="FO29" s="339" t="str">
        <f t="shared" si="528"/>
        <v/>
      </c>
      <c r="FP29" s="340" t="str">
        <f t="shared" si="528"/>
        <v/>
      </c>
      <c r="FQ29" s="340" t="str">
        <f t="shared" si="528"/>
        <v/>
      </c>
      <c r="FR29" s="340" t="str">
        <f t="shared" si="528"/>
        <v/>
      </c>
      <c r="FS29" s="340" t="str">
        <f t="shared" si="528"/>
        <v/>
      </c>
      <c r="FT29" s="340" t="str">
        <f t="shared" si="528"/>
        <v/>
      </c>
      <c r="FU29" s="340" t="str">
        <f t="shared" si="528"/>
        <v/>
      </c>
      <c r="FV29" s="340" t="str">
        <f t="shared" si="528"/>
        <v/>
      </c>
      <c r="FW29" s="340" t="str">
        <f t="shared" si="528"/>
        <v/>
      </c>
      <c r="FX29" s="340" t="str">
        <f t="shared" si="528"/>
        <v/>
      </c>
      <c r="FY29" s="340" t="str">
        <f t="shared" si="528"/>
        <v/>
      </c>
      <c r="FZ29" s="340" t="str">
        <f t="shared" si="528"/>
        <v/>
      </c>
      <c r="GA29" s="340" t="str">
        <f t="shared" si="528"/>
        <v/>
      </c>
      <c r="GB29" s="340" t="str">
        <f t="shared" si="528"/>
        <v/>
      </c>
      <c r="GC29" s="340" t="str">
        <f t="shared" si="528"/>
        <v/>
      </c>
      <c r="GD29" s="340" t="str">
        <f t="shared" si="528"/>
        <v/>
      </c>
      <c r="GE29" s="340" t="str">
        <f t="shared" si="528"/>
        <v/>
      </c>
      <c r="GF29" s="340" t="str">
        <f t="shared" si="528"/>
        <v/>
      </c>
      <c r="GG29" s="340" t="str">
        <f t="shared" si="528"/>
        <v/>
      </c>
      <c r="GH29" s="341" t="str">
        <f t="shared" si="528"/>
        <v/>
      </c>
      <c r="GI29" s="339" t="str">
        <f t="shared" si="528"/>
        <v>Walmart</v>
      </c>
      <c r="GJ29" s="340" t="str">
        <f t="shared" si="528"/>
        <v/>
      </c>
      <c r="GK29" s="340" t="str">
        <f t="shared" si="528"/>
        <v/>
      </c>
      <c r="GL29" s="340" t="str">
        <f t="shared" si="528"/>
        <v/>
      </c>
      <c r="GM29" s="340" t="str">
        <f t="shared" si="528"/>
        <v/>
      </c>
      <c r="GN29" s="340" t="str">
        <f t="shared" si="528"/>
        <v/>
      </c>
      <c r="GO29" s="340" t="str">
        <f t="shared" si="528"/>
        <v/>
      </c>
      <c r="GP29" s="340" t="str">
        <f t="shared" si="528"/>
        <v/>
      </c>
      <c r="GQ29" s="340" t="str">
        <f t="shared" si="528"/>
        <v/>
      </c>
      <c r="GR29" s="340" t="str">
        <f t="shared" si="528"/>
        <v/>
      </c>
      <c r="GS29" s="340" t="str">
        <f t="shared" si="528"/>
        <v/>
      </c>
      <c r="GT29" s="340" t="str">
        <f t="shared" si="528"/>
        <v/>
      </c>
      <c r="GU29" s="340" t="str">
        <f t="shared" si="528"/>
        <v/>
      </c>
      <c r="GV29" s="340" t="str">
        <f t="shared" si="528"/>
        <v/>
      </c>
      <c r="GW29" s="340" t="str">
        <f t="shared" si="528"/>
        <v/>
      </c>
      <c r="GX29" s="340" t="str">
        <f t="shared" si="528"/>
        <v/>
      </c>
      <c r="GY29" s="340" t="str">
        <f t="shared" si="528"/>
        <v/>
      </c>
      <c r="GZ29" s="340" t="str">
        <f t="shared" si="528"/>
        <v/>
      </c>
      <c r="HA29" s="340" t="str">
        <f t="shared" si="528"/>
        <v/>
      </c>
      <c r="HB29" s="341" t="str">
        <f t="shared" si="528"/>
        <v/>
      </c>
      <c r="HC29" s="339" t="str">
        <f t="shared" si="528"/>
        <v>Costco</v>
      </c>
      <c r="HD29" s="340" t="str">
        <f t="shared" si="528"/>
        <v/>
      </c>
      <c r="HE29" s="340" t="str">
        <f t="shared" si="528"/>
        <v/>
      </c>
      <c r="HF29" s="340" t="str">
        <f t="shared" si="528"/>
        <v/>
      </c>
      <c r="HG29" s="340" t="str">
        <f t="shared" si="528"/>
        <v/>
      </c>
      <c r="HH29" s="340" t="str">
        <f t="shared" si="528"/>
        <v/>
      </c>
      <c r="HI29" s="340" t="str">
        <f t="shared" si="528"/>
        <v/>
      </c>
      <c r="HJ29" s="340" t="str">
        <f t="shared" si="528"/>
        <v/>
      </c>
      <c r="HK29" s="340" t="str">
        <f t="shared" si="528"/>
        <v/>
      </c>
      <c r="HL29" s="340" t="str">
        <f t="shared" si="528"/>
        <v/>
      </c>
      <c r="HM29" s="340" t="str">
        <f t="shared" si="528"/>
        <v/>
      </c>
      <c r="HN29" s="340" t="str">
        <f t="shared" si="528"/>
        <v/>
      </c>
      <c r="HO29" s="340" t="str">
        <f t="shared" ref="HO29:JZ29" si="529">IFERROR(INDEX($C$7:$C$17,MATCH(HO23,HO7:HO17,0),1),"")</f>
        <v/>
      </c>
      <c r="HP29" s="340" t="str">
        <f t="shared" si="529"/>
        <v/>
      </c>
      <c r="HQ29" s="340" t="str">
        <f t="shared" si="529"/>
        <v/>
      </c>
      <c r="HR29" s="340" t="str">
        <f t="shared" si="529"/>
        <v/>
      </c>
      <c r="HS29" s="340" t="str">
        <f t="shared" si="529"/>
        <v/>
      </c>
      <c r="HT29" s="340" t="str">
        <f t="shared" si="529"/>
        <v/>
      </c>
      <c r="HU29" s="340" t="str">
        <f t="shared" si="529"/>
        <v/>
      </c>
      <c r="HV29" s="341" t="str">
        <f t="shared" si="529"/>
        <v/>
      </c>
      <c r="HW29" s="339" t="str">
        <f t="shared" si="529"/>
        <v>Costco</v>
      </c>
      <c r="HX29" s="340" t="str">
        <f t="shared" si="529"/>
        <v/>
      </c>
      <c r="HY29" s="340" t="str">
        <f t="shared" si="529"/>
        <v/>
      </c>
      <c r="HZ29" s="340" t="str">
        <f t="shared" si="529"/>
        <v/>
      </c>
      <c r="IA29" s="340" t="str">
        <f t="shared" si="529"/>
        <v/>
      </c>
      <c r="IB29" s="340" t="str">
        <f t="shared" si="529"/>
        <v/>
      </c>
      <c r="IC29" s="340" t="str">
        <f t="shared" si="529"/>
        <v/>
      </c>
      <c r="ID29" s="340" t="str">
        <f t="shared" si="529"/>
        <v/>
      </c>
      <c r="IE29" s="340" t="str">
        <f t="shared" si="529"/>
        <v/>
      </c>
      <c r="IF29" s="340" t="str">
        <f t="shared" si="529"/>
        <v/>
      </c>
      <c r="IG29" s="340" t="str">
        <f t="shared" si="529"/>
        <v/>
      </c>
      <c r="IH29" s="340" t="str">
        <f t="shared" si="529"/>
        <v/>
      </c>
      <c r="II29" s="340" t="str">
        <f t="shared" si="529"/>
        <v/>
      </c>
      <c r="IJ29" s="340" t="str">
        <f t="shared" si="529"/>
        <v/>
      </c>
      <c r="IK29" s="340" t="str">
        <f t="shared" si="529"/>
        <v/>
      </c>
      <c r="IL29" s="340" t="str">
        <f t="shared" si="529"/>
        <v/>
      </c>
      <c r="IM29" s="340" t="str">
        <f t="shared" si="529"/>
        <v/>
      </c>
      <c r="IN29" s="340" t="str">
        <f t="shared" si="529"/>
        <v/>
      </c>
      <c r="IO29" s="340" t="str">
        <f t="shared" si="529"/>
        <v/>
      </c>
      <c r="IP29" s="341" t="str">
        <f t="shared" si="529"/>
        <v/>
      </c>
      <c r="IQ29" s="339" t="str">
        <f t="shared" si="529"/>
        <v>Walmart</v>
      </c>
      <c r="IR29" s="340" t="str">
        <f t="shared" si="529"/>
        <v/>
      </c>
      <c r="IS29" s="340" t="str">
        <f t="shared" si="529"/>
        <v/>
      </c>
      <c r="IT29" s="340" t="str">
        <f t="shared" si="529"/>
        <v/>
      </c>
      <c r="IU29" s="340" t="str">
        <f t="shared" si="529"/>
        <v/>
      </c>
      <c r="IV29" s="340" t="str">
        <f t="shared" si="529"/>
        <v/>
      </c>
      <c r="IW29" s="340" t="str">
        <f t="shared" si="529"/>
        <v/>
      </c>
      <c r="IX29" s="340" t="str">
        <f t="shared" si="529"/>
        <v/>
      </c>
      <c r="IY29" s="340" t="str">
        <f t="shared" si="529"/>
        <v/>
      </c>
      <c r="IZ29" s="340" t="str">
        <f t="shared" si="529"/>
        <v/>
      </c>
      <c r="JA29" s="340" t="str">
        <f t="shared" si="529"/>
        <v/>
      </c>
      <c r="JB29" s="340" t="str">
        <f t="shared" si="529"/>
        <v/>
      </c>
      <c r="JC29" s="340" t="str">
        <f t="shared" si="529"/>
        <v/>
      </c>
      <c r="JD29" s="340" t="str">
        <f t="shared" si="529"/>
        <v/>
      </c>
      <c r="JE29" s="340" t="str">
        <f t="shared" si="529"/>
        <v/>
      </c>
      <c r="JF29" s="340" t="str">
        <f t="shared" si="529"/>
        <v/>
      </c>
      <c r="JG29" s="340" t="str">
        <f t="shared" si="529"/>
        <v/>
      </c>
      <c r="JH29" s="340" t="str">
        <f t="shared" si="529"/>
        <v/>
      </c>
      <c r="JI29" s="340" t="str">
        <f t="shared" si="529"/>
        <v/>
      </c>
      <c r="JJ29" s="341" t="str">
        <f t="shared" si="529"/>
        <v/>
      </c>
      <c r="JK29" s="339" t="str">
        <f t="shared" si="529"/>
        <v>Costco</v>
      </c>
      <c r="JL29" s="340" t="str">
        <f t="shared" si="529"/>
        <v/>
      </c>
      <c r="JM29" s="340" t="str">
        <f t="shared" si="529"/>
        <v/>
      </c>
      <c r="JN29" s="340" t="str">
        <f t="shared" si="529"/>
        <v/>
      </c>
      <c r="JO29" s="340" t="str">
        <f t="shared" si="529"/>
        <v/>
      </c>
      <c r="JP29" s="340" t="str">
        <f t="shared" si="529"/>
        <v/>
      </c>
      <c r="JQ29" s="340" t="str">
        <f t="shared" si="529"/>
        <v/>
      </c>
      <c r="JR29" s="340" t="str">
        <f t="shared" si="529"/>
        <v/>
      </c>
      <c r="JS29" s="340" t="str">
        <f t="shared" si="529"/>
        <v/>
      </c>
      <c r="JT29" s="340" t="str">
        <f t="shared" si="529"/>
        <v/>
      </c>
      <c r="JU29" s="340" t="str">
        <f t="shared" si="529"/>
        <v/>
      </c>
      <c r="JV29" s="340" t="str">
        <f t="shared" si="529"/>
        <v/>
      </c>
      <c r="JW29" s="340" t="str">
        <f t="shared" si="529"/>
        <v/>
      </c>
      <c r="JX29" s="340" t="str">
        <f t="shared" si="529"/>
        <v/>
      </c>
      <c r="JY29" s="340" t="str">
        <f t="shared" si="529"/>
        <v/>
      </c>
      <c r="JZ29" s="340" t="str">
        <f t="shared" si="529"/>
        <v/>
      </c>
      <c r="KA29" s="340" t="str">
        <f t="shared" ref="KA29:ML29" si="530">IFERROR(INDEX($C$7:$C$17,MATCH(KA23,KA7:KA17,0),1),"")</f>
        <v/>
      </c>
      <c r="KB29" s="340" t="str">
        <f t="shared" si="530"/>
        <v/>
      </c>
      <c r="KC29" s="340" t="str">
        <f t="shared" si="530"/>
        <v/>
      </c>
      <c r="KD29" s="341" t="str">
        <f t="shared" si="530"/>
        <v/>
      </c>
      <c r="KE29" s="339" t="str">
        <f t="shared" si="530"/>
        <v>Costco</v>
      </c>
      <c r="KF29" s="340" t="str">
        <f t="shared" si="530"/>
        <v/>
      </c>
      <c r="KG29" s="340" t="str">
        <f t="shared" si="530"/>
        <v/>
      </c>
      <c r="KH29" s="340" t="str">
        <f t="shared" si="530"/>
        <v/>
      </c>
      <c r="KI29" s="340" t="str">
        <f t="shared" si="530"/>
        <v/>
      </c>
      <c r="KJ29" s="340" t="str">
        <f t="shared" si="530"/>
        <v/>
      </c>
      <c r="KK29" s="340" t="str">
        <f t="shared" si="530"/>
        <v/>
      </c>
      <c r="KL29" s="340" t="str">
        <f t="shared" si="530"/>
        <v/>
      </c>
      <c r="KM29" s="340" t="str">
        <f t="shared" si="530"/>
        <v/>
      </c>
      <c r="KN29" s="340" t="str">
        <f t="shared" si="530"/>
        <v/>
      </c>
      <c r="KO29" s="340" t="str">
        <f t="shared" si="530"/>
        <v/>
      </c>
      <c r="KP29" s="340" t="str">
        <f t="shared" si="530"/>
        <v/>
      </c>
      <c r="KQ29" s="340" t="str">
        <f t="shared" si="530"/>
        <v/>
      </c>
      <c r="KR29" s="340" t="str">
        <f t="shared" si="530"/>
        <v/>
      </c>
      <c r="KS29" s="340" t="str">
        <f t="shared" si="530"/>
        <v/>
      </c>
      <c r="KT29" s="340" t="str">
        <f t="shared" si="530"/>
        <v/>
      </c>
      <c r="KU29" s="340" t="str">
        <f t="shared" si="530"/>
        <v/>
      </c>
      <c r="KV29" s="340" t="str">
        <f t="shared" si="530"/>
        <v/>
      </c>
      <c r="KW29" s="340" t="str">
        <f t="shared" si="530"/>
        <v/>
      </c>
      <c r="KX29" s="341" t="str">
        <f t="shared" si="530"/>
        <v/>
      </c>
      <c r="KY29" s="339" t="str">
        <f t="shared" si="530"/>
        <v>Walmart</v>
      </c>
      <c r="KZ29" s="340" t="str">
        <f t="shared" si="530"/>
        <v/>
      </c>
      <c r="LA29" s="340" t="str">
        <f t="shared" si="530"/>
        <v/>
      </c>
      <c r="LB29" s="340" t="str">
        <f t="shared" si="530"/>
        <v/>
      </c>
      <c r="LC29" s="340" t="str">
        <f t="shared" si="530"/>
        <v/>
      </c>
      <c r="LD29" s="340" t="str">
        <f t="shared" si="530"/>
        <v/>
      </c>
      <c r="LE29" s="340" t="str">
        <f t="shared" si="530"/>
        <v/>
      </c>
      <c r="LF29" s="340" t="str">
        <f t="shared" si="530"/>
        <v/>
      </c>
      <c r="LG29" s="340" t="str">
        <f t="shared" si="530"/>
        <v/>
      </c>
      <c r="LH29" s="340" t="str">
        <f t="shared" si="530"/>
        <v/>
      </c>
      <c r="LI29" s="340" t="str">
        <f t="shared" si="530"/>
        <v/>
      </c>
      <c r="LJ29" s="340" t="str">
        <f t="shared" si="530"/>
        <v/>
      </c>
      <c r="LK29" s="340" t="str">
        <f t="shared" si="530"/>
        <v/>
      </c>
      <c r="LL29" s="340" t="str">
        <f t="shared" si="530"/>
        <v/>
      </c>
      <c r="LM29" s="340" t="str">
        <f t="shared" si="530"/>
        <v/>
      </c>
      <c r="LN29" s="340" t="str">
        <f t="shared" si="530"/>
        <v/>
      </c>
      <c r="LO29" s="340" t="str">
        <f t="shared" si="530"/>
        <v/>
      </c>
      <c r="LP29" s="340" t="str">
        <f t="shared" si="530"/>
        <v/>
      </c>
      <c r="LQ29" s="340" t="str">
        <f t="shared" si="530"/>
        <v/>
      </c>
      <c r="LR29" s="341" t="str">
        <f t="shared" si="530"/>
        <v/>
      </c>
      <c r="LS29" s="339" t="str">
        <f t="shared" si="530"/>
        <v>Costco</v>
      </c>
      <c r="LT29" s="340" t="str">
        <f t="shared" si="530"/>
        <v/>
      </c>
      <c r="LU29" s="340" t="str">
        <f t="shared" si="530"/>
        <v/>
      </c>
      <c r="LV29" s="340" t="str">
        <f t="shared" si="530"/>
        <v/>
      </c>
      <c r="LW29" s="340" t="str">
        <f t="shared" si="530"/>
        <v/>
      </c>
      <c r="LX29" s="340" t="str">
        <f t="shared" si="530"/>
        <v/>
      </c>
      <c r="LY29" s="340" t="str">
        <f t="shared" si="530"/>
        <v/>
      </c>
      <c r="LZ29" s="340" t="str">
        <f t="shared" si="530"/>
        <v/>
      </c>
      <c r="MA29" s="340" t="str">
        <f t="shared" si="530"/>
        <v/>
      </c>
      <c r="MB29" s="340" t="str">
        <f t="shared" si="530"/>
        <v/>
      </c>
      <c r="MC29" s="127" t="str">
        <f t="shared" si="530"/>
        <v/>
      </c>
      <c r="MD29" s="321" t="str">
        <f t="shared" si="530"/>
        <v/>
      </c>
      <c r="ME29" s="127" t="str">
        <f t="shared" si="530"/>
        <v/>
      </c>
      <c r="MF29" s="127" t="str">
        <f t="shared" si="530"/>
        <v/>
      </c>
      <c r="MG29" s="127" t="str">
        <f t="shared" si="530"/>
        <v/>
      </c>
      <c r="MH29" s="127" t="str">
        <f t="shared" si="530"/>
        <v/>
      </c>
      <c r="MI29" s="127" t="str">
        <f t="shared" si="530"/>
        <v/>
      </c>
      <c r="MJ29" s="127" t="str">
        <f t="shared" si="530"/>
        <v/>
      </c>
      <c r="MK29" s="127" t="str">
        <f t="shared" si="530"/>
        <v/>
      </c>
      <c r="ML29" s="128" t="str">
        <f t="shared" si="530"/>
        <v/>
      </c>
      <c r="MM29" s="339" t="str">
        <f t="shared" ref="MM29:OX29" si="531">IFERROR(INDEX($C$7:$C$17,MATCH(MM23,MM7:MM17,0),1),"")</f>
        <v/>
      </c>
      <c r="MN29" s="340" t="str">
        <f t="shared" si="531"/>
        <v/>
      </c>
      <c r="MO29" s="340" t="str">
        <f t="shared" si="531"/>
        <v/>
      </c>
      <c r="MP29" s="340" t="str">
        <f t="shared" si="531"/>
        <v/>
      </c>
      <c r="MQ29" s="340" t="str">
        <f t="shared" si="531"/>
        <v/>
      </c>
      <c r="MR29" s="340" t="str">
        <f t="shared" si="531"/>
        <v/>
      </c>
      <c r="MS29" s="340" t="str">
        <f t="shared" si="531"/>
        <v/>
      </c>
      <c r="MT29" s="340" t="str">
        <f t="shared" si="531"/>
        <v/>
      </c>
      <c r="MU29" s="340" t="str">
        <f t="shared" si="531"/>
        <v/>
      </c>
      <c r="MV29" s="340" t="str">
        <f t="shared" si="531"/>
        <v/>
      </c>
      <c r="MW29" s="340" t="str">
        <f t="shared" si="531"/>
        <v/>
      </c>
      <c r="MX29" s="340" t="str">
        <f t="shared" si="531"/>
        <v/>
      </c>
      <c r="MY29" s="340" t="str">
        <f t="shared" si="531"/>
        <v/>
      </c>
      <c r="MZ29" s="340" t="str">
        <f t="shared" si="531"/>
        <v/>
      </c>
      <c r="NA29" s="340" t="str">
        <f t="shared" si="531"/>
        <v/>
      </c>
      <c r="NB29" s="340" t="str">
        <f t="shared" si="531"/>
        <v/>
      </c>
      <c r="NC29" s="340" t="str">
        <f t="shared" si="531"/>
        <v/>
      </c>
      <c r="ND29" s="340" t="str">
        <f t="shared" si="531"/>
        <v/>
      </c>
      <c r="NE29" s="340" t="str">
        <f t="shared" si="531"/>
        <v/>
      </c>
      <c r="NF29" s="341" t="str">
        <f t="shared" si="531"/>
        <v/>
      </c>
      <c r="NG29" s="339" t="str">
        <f t="shared" si="531"/>
        <v/>
      </c>
      <c r="NH29" s="340" t="str">
        <f t="shared" si="531"/>
        <v/>
      </c>
      <c r="NI29" s="340" t="str">
        <f t="shared" si="531"/>
        <v/>
      </c>
      <c r="NJ29" s="340" t="str">
        <f t="shared" si="531"/>
        <v/>
      </c>
      <c r="NK29" s="340" t="str">
        <f t="shared" si="531"/>
        <v/>
      </c>
      <c r="NL29" s="340" t="str">
        <f t="shared" si="531"/>
        <v/>
      </c>
      <c r="NM29" s="340" t="str">
        <f t="shared" si="531"/>
        <v/>
      </c>
      <c r="NN29" s="340" t="str">
        <f t="shared" si="531"/>
        <v/>
      </c>
      <c r="NO29" s="340" t="str">
        <f t="shared" si="531"/>
        <v/>
      </c>
      <c r="NP29" s="340" t="str">
        <f t="shared" si="531"/>
        <v/>
      </c>
      <c r="NQ29" s="127" t="str">
        <f t="shared" si="531"/>
        <v/>
      </c>
      <c r="NR29" s="321" t="str">
        <f t="shared" si="531"/>
        <v/>
      </c>
      <c r="NS29" s="127" t="str">
        <f t="shared" si="531"/>
        <v/>
      </c>
      <c r="NT29" s="127" t="str">
        <f t="shared" si="531"/>
        <v/>
      </c>
      <c r="NU29" s="127" t="str">
        <f t="shared" si="531"/>
        <v/>
      </c>
      <c r="NV29" s="127" t="str">
        <f t="shared" si="531"/>
        <v/>
      </c>
      <c r="NW29" s="127" t="str">
        <f t="shared" si="531"/>
        <v/>
      </c>
      <c r="NX29" s="127" t="str">
        <f t="shared" si="531"/>
        <v/>
      </c>
      <c r="NY29" s="127" t="str">
        <f t="shared" si="531"/>
        <v/>
      </c>
      <c r="NZ29" s="128" t="str">
        <f t="shared" si="531"/>
        <v/>
      </c>
      <c r="OA29" s="339" t="str">
        <f t="shared" si="531"/>
        <v/>
      </c>
      <c r="OB29" s="340" t="str">
        <f t="shared" si="531"/>
        <v/>
      </c>
      <c r="OC29" s="340" t="str">
        <f t="shared" si="531"/>
        <v/>
      </c>
      <c r="OD29" s="340" t="str">
        <f t="shared" si="531"/>
        <v/>
      </c>
      <c r="OE29" s="340" t="str">
        <f t="shared" si="531"/>
        <v/>
      </c>
      <c r="OF29" s="340" t="str">
        <f t="shared" si="531"/>
        <v/>
      </c>
      <c r="OG29" s="340" t="str">
        <f t="shared" si="531"/>
        <v/>
      </c>
      <c r="OH29" s="340" t="str">
        <f t="shared" si="531"/>
        <v/>
      </c>
      <c r="OI29" s="340" t="str">
        <f t="shared" si="531"/>
        <v/>
      </c>
      <c r="OJ29" s="340" t="str">
        <f t="shared" si="531"/>
        <v/>
      </c>
      <c r="OK29" s="127" t="str">
        <f t="shared" si="531"/>
        <v/>
      </c>
      <c r="OL29" s="321" t="str">
        <f t="shared" si="531"/>
        <v/>
      </c>
      <c r="OM29" s="127" t="str">
        <f t="shared" si="531"/>
        <v/>
      </c>
      <c r="ON29" s="127" t="str">
        <f t="shared" si="531"/>
        <v/>
      </c>
      <c r="OO29" s="127" t="str">
        <f t="shared" si="531"/>
        <v/>
      </c>
      <c r="OP29" s="127" t="str">
        <f t="shared" si="531"/>
        <v/>
      </c>
      <c r="OQ29" s="127" t="str">
        <f t="shared" si="531"/>
        <v/>
      </c>
      <c r="OR29" s="127" t="str">
        <f t="shared" si="531"/>
        <v/>
      </c>
      <c r="OS29" s="127" t="str">
        <f t="shared" si="531"/>
        <v/>
      </c>
      <c r="OT29" s="128" t="str">
        <f t="shared" si="531"/>
        <v/>
      </c>
      <c r="OU29" s="339" t="str">
        <f t="shared" si="531"/>
        <v>Walmart</v>
      </c>
      <c r="OV29" s="340" t="str">
        <f t="shared" si="531"/>
        <v/>
      </c>
      <c r="OW29" s="340" t="str">
        <f t="shared" si="531"/>
        <v/>
      </c>
      <c r="OX29" s="340" t="str">
        <f t="shared" si="531"/>
        <v/>
      </c>
      <c r="OY29" s="340" t="str">
        <f t="shared" ref="OY29:RJ29" si="532">IFERROR(INDEX($C$7:$C$17,MATCH(OY23,OY7:OY17,0),1),"")</f>
        <v/>
      </c>
      <c r="OZ29" s="340" t="str">
        <f t="shared" si="532"/>
        <v/>
      </c>
      <c r="PA29" s="340" t="str">
        <f t="shared" si="532"/>
        <v/>
      </c>
      <c r="PB29" s="340" t="str">
        <f t="shared" si="532"/>
        <v/>
      </c>
      <c r="PC29" s="340" t="str">
        <f t="shared" si="532"/>
        <v/>
      </c>
      <c r="PD29" s="340" t="str">
        <f t="shared" si="532"/>
        <v/>
      </c>
      <c r="PE29" s="127" t="str">
        <f t="shared" si="532"/>
        <v/>
      </c>
      <c r="PF29" s="321" t="str">
        <f t="shared" si="532"/>
        <v/>
      </c>
      <c r="PG29" s="127" t="str">
        <f t="shared" si="532"/>
        <v/>
      </c>
      <c r="PH29" s="127" t="str">
        <f t="shared" si="532"/>
        <v/>
      </c>
      <c r="PI29" s="127" t="str">
        <f t="shared" si="532"/>
        <v/>
      </c>
      <c r="PJ29" s="127" t="str">
        <f t="shared" si="532"/>
        <v/>
      </c>
      <c r="PK29" s="127" t="str">
        <f t="shared" si="532"/>
        <v/>
      </c>
      <c r="PL29" s="127" t="str">
        <f t="shared" si="532"/>
        <v/>
      </c>
      <c r="PM29" s="127" t="str">
        <f t="shared" si="532"/>
        <v/>
      </c>
      <c r="PN29" s="128" t="str">
        <f t="shared" si="532"/>
        <v/>
      </c>
      <c r="PO29" s="330" t="str">
        <f t="shared" si="532"/>
        <v>Costco</v>
      </c>
      <c r="PP29" s="331" t="str">
        <f t="shared" si="532"/>
        <v/>
      </c>
      <c r="PQ29" s="331" t="str">
        <f t="shared" si="532"/>
        <v/>
      </c>
      <c r="PR29" s="331" t="str">
        <f t="shared" si="532"/>
        <v/>
      </c>
      <c r="PS29" s="331" t="str">
        <f t="shared" si="532"/>
        <v/>
      </c>
      <c r="PT29" s="331" t="str">
        <f t="shared" si="532"/>
        <v/>
      </c>
      <c r="PU29" s="331" t="str">
        <f t="shared" si="532"/>
        <v/>
      </c>
      <c r="PV29" s="331" t="str">
        <f t="shared" si="532"/>
        <v/>
      </c>
      <c r="PW29" s="331" t="str">
        <f t="shared" si="532"/>
        <v/>
      </c>
      <c r="PX29" s="331" t="str">
        <f t="shared" si="532"/>
        <v/>
      </c>
      <c r="PY29" s="331" t="str">
        <f t="shared" si="532"/>
        <v/>
      </c>
      <c r="PZ29" s="331" t="str">
        <f t="shared" si="532"/>
        <v/>
      </c>
      <c r="QA29" s="331" t="str">
        <f t="shared" si="532"/>
        <v/>
      </c>
      <c r="QB29" s="331" t="str">
        <f t="shared" si="532"/>
        <v/>
      </c>
      <c r="QC29" s="331" t="str">
        <f t="shared" si="532"/>
        <v/>
      </c>
      <c r="QD29" s="331" t="str">
        <f t="shared" si="532"/>
        <v/>
      </c>
      <c r="QE29" s="331" t="str">
        <f t="shared" si="532"/>
        <v/>
      </c>
      <c r="QF29" s="331" t="str">
        <f t="shared" si="532"/>
        <v/>
      </c>
      <c r="QG29" s="331" t="str">
        <f t="shared" si="532"/>
        <v/>
      </c>
      <c r="QH29" s="332" t="str">
        <f t="shared" si="532"/>
        <v/>
      </c>
      <c r="QI29" s="709" t="str">
        <f t="shared" si="532"/>
        <v/>
      </c>
      <c r="QJ29" s="710" t="str">
        <f t="shared" si="532"/>
        <v/>
      </c>
      <c r="QK29" s="710" t="str">
        <f t="shared" si="532"/>
        <v/>
      </c>
      <c r="QL29" s="710" t="str">
        <f t="shared" si="532"/>
        <v/>
      </c>
      <c r="QM29" s="710" t="str">
        <f t="shared" si="532"/>
        <v/>
      </c>
      <c r="QN29" s="710" t="str">
        <f t="shared" si="532"/>
        <v/>
      </c>
      <c r="QO29" s="710" t="str">
        <f t="shared" si="532"/>
        <v/>
      </c>
      <c r="QP29" s="710" t="str">
        <f t="shared" si="532"/>
        <v/>
      </c>
      <c r="QQ29" s="710" t="str">
        <f t="shared" si="532"/>
        <v/>
      </c>
      <c r="QR29" s="710" t="str">
        <f t="shared" si="532"/>
        <v/>
      </c>
      <c r="QS29" s="710" t="str">
        <f t="shared" si="532"/>
        <v/>
      </c>
      <c r="QT29" s="710" t="str">
        <f t="shared" si="532"/>
        <v/>
      </c>
      <c r="QU29" s="710" t="str">
        <f t="shared" si="532"/>
        <v/>
      </c>
      <c r="QV29" s="710" t="str">
        <f t="shared" si="532"/>
        <v/>
      </c>
      <c r="QW29" s="710" t="str">
        <f t="shared" si="532"/>
        <v/>
      </c>
      <c r="QX29" s="710" t="str">
        <f t="shared" si="532"/>
        <v/>
      </c>
      <c r="QY29" s="710" t="str">
        <f t="shared" si="532"/>
        <v/>
      </c>
      <c r="QZ29" s="710" t="str">
        <f t="shared" si="532"/>
        <v/>
      </c>
      <c r="RA29" s="710" t="str">
        <f t="shared" si="532"/>
        <v/>
      </c>
      <c r="RB29" s="711" t="str">
        <f t="shared" si="532"/>
        <v/>
      </c>
      <c r="RC29" s="330" t="str">
        <f t="shared" si="532"/>
        <v/>
      </c>
      <c r="RD29" s="331" t="str">
        <f t="shared" si="532"/>
        <v/>
      </c>
      <c r="RE29" s="331" t="str">
        <f t="shared" si="532"/>
        <v/>
      </c>
      <c r="RF29" s="331" t="str">
        <f t="shared" si="532"/>
        <v/>
      </c>
      <c r="RG29" s="331" t="str">
        <f t="shared" si="532"/>
        <v/>
      </c>
      <c r="RH29" s="331" t="str">
        <f t="shared" si="532"/>
        <v/>
      </c>
      <c r="RI29" s="331" t="str">
        <f t="shared" si="532"/>
        <v/>
      </c>
      <c r="RJ29" s="331" t="str">
        <f t="shared" si="532"/>
        <v/>
      </c>
      <c r="RK29" s="331" t="str">
        <f t="shared" ref="RK29:TV29" si="533">IFERROR(INDEX($C$7:$C$17,MATCH(RK23,RK7:RK17,0),1),"")</f>
        <v/>
      </c>
      <c r="RL29" s="331" t="str">
        <f t="shared" si="533"/>
        <v/>
      </c>
      <c r="RM29" s="331" t="str">
        <f t="shared" si="533"/>
        <v/>
      </c>
      <c r="RN29" s="331" t="str">
        <f t="shared" si="533"/>
        <v/>
      </c>
      <c r="RO29" s="331" t="str">
        <f t="shared" si="533"/>
        <v/>
      </c>
      <c r="RP29" s="331" t="str">
        <f t="shared" si="533"/>
        <v/>
      </c>
      <c r="RQ29" s="331" t="str">
        <f t="shared" si="533"/>
        <v/>
      </c>
      <c r="RR29" s="331" t="str">
        <f t="shared" si="533"/>
        <v/>
      </c>
      <c r="RS29" s="331" t="str">
        <f t="shared" si="533"/>
        <v/>
      </c>
      <c r="RT29" s="331" t="str">
        <f t="shared" si="533"/>
        <v/>
      </c>
      <c r="RU29" s="331" t="str">
        <f t="shared" si="533"/>
        <v/>
      </c>
      <c r="RV29" s="332" t="str">
        <f t="shared" si="533"/>
        <v/>
      </c>
      <c r="RW29" s="330" t="str">
        <f t="shared" si="533"/>
        <v/>
      </c>
      <c r="RX29" s="331" t="str">
        <f t="shared" si="533"/>
        <v/>
      </c>
      <c r="RY29" s="331" t="str">
        <f t="shared" si="533"/>
        <v/>
      </c>
      <c r="RZ29" s="331" t="str">
        <f t="shared" si="533"/>
        <v/>
      </c>
      <c r="SA29" s="331" t="str">
        <f t="shared" si="533"/>
        <v/>
      </c>
      <c r="SB29" s="331" t="str">
        <f t="shared" si="533"/>
        <v/>
      </c>
      <c r="SC29" s="331" t="str">
        <f t="shared" si="533"/>
        <v/>
      </c>
      <c r="SD29" s="331" t="str">
        <f t="shared" si="533"/>
        <v/>
      </c>
      <c r="SE29" s="331" t="str">
        <f t="shared" si="533"/>
        <v/>
      </c>
      <c r="SF29" s="331" t="str">
        <f t="shared" si="533"/>
        <v/>
      </c>
      <c r="SG29" s="331" t="str">
        <f t="shared" si="533"/>
        <v/>
      </c>
      <c r="SH29" s="331" t="str">
        <f t="shared" si="533"/>
        <v/>
      </c>
      <c r="SI29" s="331" t="str">
        <f t="shared" si="533"/>
        <v/>
      </c>
      <c r="SJ29" s="331" t="str">
        <f t="shared" si="533"/>
        <v/>
      </c>
      <c r="SK29" s="331" t="str">
        <f t="shared" si="533"/>
        <v/>
      </c>
      <c r="SL29" s="331" t="str">
        <f t="shared" si="533"/>
        <v/>
      </c>
      <c r="SM29" s="331" t="str">
        <f t="shared" si="533"/>
        <v/>
      </c>
      <c r="SN29" s="331" t="str">
        <f t="shared" si="533"/>
        <v/>
      </c>
      <c r="SO29" s="331" t="str">
        <f t="shared" si="533"/>
        <v/>
      </c>
      <c r="SP29" s="332" t="str">
        <f t="shared" si="533"/>
        <v/>
      </c>
      <c r="SQ29" s="330" t="str">
        <f t="shared" si="533"/>
        <v>Walmart</v>
      </c>
      <c r="SR29" s="331" t="str">
        <f t="shared" si="533"/>
        <v/>
      </c>
      <c r="SS29" s="331" t="str">
        <f t="shared" si="533"/>
        <v/>
      </c>
      <c r="ST29" s="331" t="str">
        <f t="shared" si="533"/>
        <v/>
      </c>
      <c r="SU29" s="331" t="str">
        <f t="shared" si="533"/>
        <v/>
      </c>
      <c r="SV29" s="331" t="str">
        <f t="shared" si="533"/>
        <v/>
      </c>
      <c r="SW29" s="331" t="str">
        <f t="shared" si="533"/>
        <v/>
      </c>
      <c r="SX29" s="331" t="str">
        <f t="shared" si="533"/>
        <v/>
      </c>
      <c r="SY29" s="331" t="str">
        <f t="shared" si="533"/>
        <v/>
      </c>
      <c r="SZ29" s="331" t="str">
        <f t="shared" si="533"/>
        <v/>
      </c>
      <c r="TA29" s="331" t="str">
        <f t="shared" si="533"/>
        <v/>
      </c>
      <c r="TB29" s="331" t="str">
        <f t="shared" si="533"/>
        <v/>
      </c>
      <c r="TC29" s="331" t="str">
        <f t="shared" si="533"/>
        <v/>
      </c>
      <c r="TD29" s="331" t="str">
        <f t="shared" si="533"/>
        <v/>
      </c>
      <c r="TE29" s="331" t="str">
        <f t="shared" si="533"/>
        <v/>
      </c>
      <c r="TF29" s="331" t="str">
        <f t="shared" si="533"/>
        <v/>
      </c>
      <c r="TG29" s="331" t="str">
        <f t="shared" si="533"/>
        <v/>
      </c>
      <c r="TH29" s="331" t="str">
        <f t="shared" si="533"/>
        <v/>
      </c>
      <c r="TI29" s="331" t="str">
        <f t="shared" si="533"/>
        <v/>
      </c>
      <c r="TJ29" s="332" t="str">
        <f t="shared" si="533"/>
        <v/>
      </c>
      <c r="TK29" s="330" t="str">
        <f t="shared" si="533"/>
        <v/>
      </c>
      <c r="TL29" s="331" t="str">
        <f t="shared" si="533"/>
        <v/>
      </c>
      <c r="TM29" s="331" t="str">
        <f t="shared" si="533"/>
        <v/>
      </c>
      <c r="TN29" s="331" t="str">
        <f t="shared" si="533"/>
        <v/>
      </c>
      <c r="TO29" s="331" t="str">
        <f t="shared" si="533"/>
        <v/>
      </c>
      <c r="TP29" s="331" t="str">
        <f t="shared" si="533"/>
        <v/>
      </c>
      <c r="TQ29" s="331" t="str">
        <f t="shared" si="533"/>
        <v/>
      </c>
      <c r="TR29" s="331" t="str">
        <f t="shared" si="533"/>
        <v/>
      </c>
      <c r="TS29" s="331" t="str">
        <f t="shared" si="533"/>
        <v/>
      </c>
      <c r="TT29" s="331" t="str">
        <f t="shared" si="533"/>
        <v/>
      </c>
      <c r="TU29" s="331" t="str">
        <f t="shared" si="533"/>
        <v/>
      </c>
      <c r="TV29" s="331" t="str">
        <f t="shared" si="533"/>
        <v/>
      </c>
      <c r="TW29" s="331" t="str">
        <f t="shared" ref="TW29:UX29" si="534">IFERROR(INDEX($C$7:$C$17,MATCH(TW23,TW7:TW17,0),1),"")</f>
        <v/>
      </c>
      <c r="TX29" s="331" t="str">
        <f t="shared" si="534"/>
        <v/>
      </c>
      <c r="TY29" s="331" t="str">
        <f t="shared" si="534"/>
        <v/>
      </c>
      <c r="TZ29" s="331" t="str">
        <f t="shared" si="534"/>
        <v/>
      </c>
      <c r="UA29" s="331" t="str">
        <f t="shared" si="534"/>
        <v/>
      </c>
      <c r="UB29" s="331" t="str">
        <f t="shared" si="534"/>
        <v/>
      </c>
      <c r="UC29" s="331" t="str">
        <f t="shared" si="534"/>
        <v/>
      </c>
      <c r="UD29" s="332" t="str">
        <f t="shared" si="534"/>
        <v/>
      </c>
      <c r="UE29" s="339" t="str">
        <f t="shared" si="534"/>
        <v>Walmart</v>
      </c>
      <c r="UF29" s="340" t="str">
        <f t="shared" si="534"/>
        <v/>
      </c>
      <c r="UG29" s="340" t="str">
        <f t="shared" si="534"/>
        <v/>
      </c>
      <c r="UH29" s="340" t="str">
        <f t="shared" si="534"/>
        <v/>
      </c>
      <c r="UI29" s="340" t="str">
        <f t="shared" si="534"/>
        <v/>
      </c>
      <c r="UJ29" s="340" t="str">
        <f t="shared" si="534"/>
        <v/>
      </c>
      <c r="UK29" s="340" t="str">
        <f t="shared" si="534"/>
        <v/>
      </c>
      <c r="UL29" s="340" t="str">
        <f t="shared" si="534"/>
        <v/>
      </c>
      <c r="UM29" s="340" t="str">
        <f t="shared" si="534"/>
        <v/>
      </c>
      <c r="UN29" s="340" t="str">
        <f t="shared" si="534"/>
        <v/>
      </c>
      <c r="UO29" s="340" t="str">
        <f t="shared" si="534"/>
        <v/>
      </c>
      <c r="UP29" s="340" t="str">
        <f t="shared" si="534"/>
        <v/>
      </c>
      <c r="UQ29" s="340" t="str">
        <f t="shared" si="534"/>
        <v/>
      </c>
      <c r="UR29" s="340" t="str">
        <f t="shared" si="534"/>
        <v/>
      </c>
      <c r="US29" s="340" t="str">
        <f t="shared" si="534"/>
        <v/>
      </c>
      <c r="UT29" s="340" t="str">
        <f t="shared" si="534"/>
        <v/>
      </c>
      <c r="UU29" s="340" t="str">
        <f t="shared" si="534"/>
        <v/>
      </c>
      <c r="UV29" s="340" t="str">
        <f t="shared" si="534"/>
        <v/>
      </c>
      <c r="UW29" s="340" t="str">
        <f t="shared" si="534"/>
        <v/>
      </c>
      <c r="UX29" s="341" t="str">
        <f t="shared" si="534"/>
        <v/>
      </c>
      <c r="UY29" s="25"/>
      <c r="UZ29" s="25"/>
      <c r="VA29" s="25"/>
      <c r="VB29" s="25"/>
      <c r="VC29" s="25"/>
      <c r="VD29" s="25"/>
      <c r="VE29" s="25"/>
      <c r="VF29" s="25"/>
      <c r="VG29" s="25"/>
      <c r="VH29" s="25"/>
      <c r="VI29" s="25"/>
      <c r="VJ29" s="25"/>
      <c r="VK29" s="25"/>
      <c r="VL29" s="25"/>
      <c r="VM29" s="25"/>
      <c r="VN29" s="25"/>
      <c r="VO29" s="25"/>
      <c r="VP29" s="25"/>
      <c r="VQ29" s="25"/>
      <c r="VR29" s="25"/>
      <c r="VS29" s="25"/>
      <c r="VT29" s="25"/>
      <c r="VU29" s="25"/>
      <c r="VV29" s="25"/>
      <c r="VW29" s="25"/>
      <c r="VX29" s="25"/>
      <c r="VY29" s="25"/>
      <c r="VZ29" s="25"/>
      <c r="WA29" s="25"/>
      <c r="WB29" s="25"/>
      <c r="WC29" s="25"/>
      <c r="WD29" s="25"/>
      <c r="WE29" s="25"/>
      <c r="WF29" s="25"/>
      <c r="WG29" s="25"/>
      <c r="WH29" s="25"/>
      <c r="WI29" s="25"/>
      <c r="WJ29" s="25"/>
      <c r="WK29" s="25"/>
      <c r="WL29" s="25"/>
      <c r="WM29" s="25"/>
      <c r="WN29" s="25"/>
      <c r="WO29" s="25"/>
      <c r="WP29" s="25"/>
      <c r="WQ29" s="25"/>
      <c r="WR29" s="25"/>
      <c r="WS29" s="25"/>
      <c r="WT29" s="25"/>
      <c r="WU29" s="25"/>
      <c r="WV29" s="25"/>
      <c r="WW29" s="25"/>
      <c r="WX29" s="25"/>
      <c r="WY29" s="25"/>
      <c r="WZ29" s="25"/>
      <c r="XA29" s="25"/>
      <c r="XB29" s="25"/>
      <c r="XC29" s="25"/>
      <c r="XD29" s="25"/>
      <c r="XE29" s="25"/>
      <c r="XF29" s="25"/>
      <c r="XG29" s="25"/>
      <c r="XH29" s="25"/>
      <c r="XI29" s="25"/>
      <c r="XJ29" s="25"/>
      <c r="XK29" s="25"/>
      <c r="XL29" s="25"/>
      <c r="XM29" s="25"/>
      <c r="XN29" s="25"/>
      <c r="XO29" s="25"/>
      <c r="XP29" s="25"/>
      <c r="XQ29" s="25"/>
      <c r="XR29" s="25"/>
      <c r="XS29" s="25"/>
      <c r="XT29" s="25"/>
      <c r="XU29" s="25"/>
      <c r="XV29" s="25"/>
      <c r="XW29" s="25"/>
      <c r="XX29" s="25"/>
      <c r="XY29" s="25"/>
      <c r="XZ29" s="25"/>
      <c r="YA29" s="25"/>
      <c r="YB29" s="25"/>
      <c r="YC29" s="25"/>
      <c r="YD29" s="25"/>
      <c r="YE29" s="25"/>
      <c r="YF29" s="25"/>
      <c r="YG29" s="25"/>
      <c r="YH29" s="25"/>
      <c r="YI29" s="25"/>
      <c r="YJ29" s="25"/>
      <c r="YK29" s="25"/>
      <c r="YL29" s="25"/>
      <c r="YM29" s="25"/>
      <c r="YN29" s="25"/>
      <c r="YO29" s="25"/>
      <c r="YP29" s="25"/>
      <c r="YQ29" s="25"/>
      <c r="YR29" s="25"/>
      <c r="YS29" s="25"/>
      <c r="YT29" s="25"/>
      <c r="YU29" s="25"/>
      <c r="YV29" s="25"/>
      <c r="YW29" s="25"/>
      <c r="YX29" s="25"/>
      <c r="YY29" s="25"/>
      <c r="YZ29" s="25"/>
      <c r="ZA29" s="25"/>
      <c r="ZB29" s="25"/>
      <c r="ZC29" s="25"/>
      <c r="ZD29" s="25"/>
      <c r="ZE29" s="25"/>
      <c r="ZF29" s="25"/>
      <c r="ZG29" s="25"/>
      <c r="ZH29" s="25"/>
      <c r="ZI29" s="25"/>
      <c r="ZJ29" s="25"/>
      <c r="ZK29" s="25"/>
      <c r="ZL29" s="25"/>
      <c r="ZM29" s="25"/>
      <c r="ZN29" s="25"/>
      <c r="ZO29" s="25"/>
      <c r="ZP29" s="25"/>
      <c r="ZQ29" s="25"/>
      <c r="ZR29" s="25"/>
      <c r="ZS29" s="25"/>
      <c r="ZT29" s="25"/>
      <c r="ZU29" s="25"/>
      <c r="ZV29" s="25"/>
      <c r="ZW29" s="25"/>
      <c r="ZX29" s="25"/>
      <c r="ZY29" s="25"/>
      <c r="ZZ29" s="25"/>
      <c r="AAA29" s="25"/>
      <c r="AAB29" s="25"/>
      <c r="AAC29" s="25"/>
      <c r="AAD29" s="25"/>
      <c r="AAE29" s="25"/>
      <c r="AAF29" s="25"/>
      <c r="AAG29" s="25"/>
      <c r="AAH29" s="25"/>
      <c r="AAI29" s="25"/>
      <c r="AAJ29" s="25"/>
      <c r="AAK29" s="25"/>
      <c r="AAL29" s="25"/>
      <c r="AAM29" s="25"/>
      <c r="AAN29" s="25"/>
      <c r="AAO29" s="25"/>
      <c r="AAP29" s="25"/>
      <c r="AAQ29" s="25"/>
      <c r="AAR29" s="25"/>
      <c r="AAS29" s="25"/>
      <c r="AAT29" s="25"/>
      <c r="AAU29" s="25"/>
      <c r="AAV29" s="25"/>
      <c r="AAW29" s="25"/>
      <c r="AAX29" s="25"/>
      <c r="AAY29" s="25"/>
      <c r="AAZ29" s="25"/>
      <c r="ABA29" s="25"/>
      <c r="ABB29" s="25"/>
      <c r="ABC29" s="25"/>
      <c r="ABD29" s="25"/>
      <c r="ABE29" s="25"/>
      <c r="ABF29" s="25"/>
      <c r="ABG29" s="25"/>
      <c r="ABH29" s="25"/>
      <c r="ABI29" s="25"/>
      <c r="ABJ29" s="25"/>
      <c r="ABK29" s="25"/>
      <c r="ABL29" s="25"/>
      <c r="ABM29" s="25"/>
      <c r="ABN29" s="25"/>
      <c r="ABO29" s="25"/>
      <c r="ABP29" s="25"/>
      <c r="ABQ29" s="25"/>
      <c r="ABR29" s="25"/>
      <c r="ABS29" s="25"/>
      <c r="ABT29" s="25"/>
      <c r="ABU29" s="25"/>
      <c r="ABV29" s="25"/>
      <c r="ABW29" s="25"/>
      <c r="ABX29" s="25"/>
      <c r="ABY29" s="25"/>
      <c r="ABZ29" s="25"/>
      <c r="ACA29" s="25"/>
      <c r="ACB29" s="25"/>
      <c r="ACC29" s="25"/>
      <c r="ACD29" s="25"/>
      <c r="ACE29" s="25"/>
      <c r="ACF29" s="25"/>
      <c r="ACG29" s="25"/>
      <c r="ACH29" s="25"/>
      <c r="ACI29" s="25"/>
      <c r="ACJ29" s="25"/>
      <c r="ACK29" s="25"/>
      <c r="ACL29" s="25"/>
      <c r="ACM29" s="25"/>
      <c r="ACN29" s="25"/>
      <c r="ACO29" s="25"/>
      <c r="ACP29" s="25"/>
      <c r="ACQ29" s="25"/>
      <c r="ACR29" s="25"/>
      <c r="ACS29" s="25"/>
      <c r="ACT29" s="25"/>
      <c r="ACU29" s="25"/>
      <c r="ACV29" s="25"/>
      <c r="ACW29" s="25"/>
      <c r="ACX29" s="25"/>
      <c r="ACY29" s="25"/>
      <c r="ACZ29" s="25"/>
      <c r="ADA29" s="25"/>
      <c r="ADB29" s="25"/>
      <c r="ADC29" s="25"/>
      <c r="ADD29" s="25"/>
      <c r="ADE29" s="25"/>
      <c r="ADF29" s="25"/>
      <c r="ADG29" s="25"/>
      <c r="ADH29" s="25"/>
      <c r="ADI29" s="25"/>
      <c r="ADJ29" s="25"/>
      <c r="ADK29" s="25"/>
      <c r="ADL29" s="25"/>
      <c r="ADM29" s="25"/>
      <c r="ADN29" s="25"/>
      <c r="ADO29" s="25"/>
      <c r="ADP29" s="25"/>
      <c r="ADQ29" s="25"/>
      <c r="ADR29" s="25"/>
      <c r="ADS29" s="25"/>
      <c r="ADT29" s="25"/>
      <c r="ADU29" s="25"/>
      <c r="ADV29" s="25"/>
      <c r="ADW29" s="25"/>
      <c r="ADX29" s="25"/>
      <c r="ADY29" s="25"/>
      <c r="ADZ29" s="25"/>
      <c r="AEA29" s="25"/>
      <c r="AEB29" s="25"/>
      <c r="AEC29" s="25"/>
      <c r="AED29" s="25"/>
      <c r="AEE29" s="25"/>
      <c r="AEF29" s="25"/>
      <c r="AEG29" s="25"/>
      <c r="AEH29" s="25"/>
      <c r="AEI29" s="25"/>
      <c r="AEJ29" s="25"/>
      <c r="AEK29" s="25"/>
      <c r="AEL29" s="25"/>
      <c r="AEM29" s="25"/>
      <c r="AEN29" s="25"/>
      <c r="AEO29" s="25"/>
      <c r="AEP29" s="25"/>
      <c r="AEQ29" s="25"/>
      <c r="AER29" s="25"/>
      <c r="AES29" s="25"/>
      <c r="AET29" s="25"/>
      <c r="AEU29" s="25"/>
      <c r="AEV29" s="25"/>
      <c r="AEW29" s="25"/>
      <c r="AEX29" s="25"/>
      <c r="AEY29" s="25"/>
      <c r="AEZ29" s="25"/>
      <c r="AFA29" s="25"/>
      <c r="AFB29" s="25"/>
      <c r="AFC29" s="25"/>
      <c r="AFD29" s="25"/>
      <c r="AFE29" s="25"/>
      <c r="AFF29" s="25"/>
      <c r="AFG29" s="25"/>
      <c r="AFH29" s="25"/>
      <c r="AFI29" s="25"/>
      <c r="AFJ29" s="25"/>
      <c r="AFK29" s="25"/>
      <c r="AFL29" s="25"/>
      <c r="AFM29" s="25"/>
      <c r="AFN29" s="25"/>
      <c r="AFO29" s="25"/>
      <c r="AFP29" s="25"/>
      <c r="AFQ29" s="25"/>
      <c r="AFR29" s="25"/>
      <c r="AFS29" s="25"/>
      <c r="AFT29" s="25"/>
      <c r="AFU29" s="25"/>
      <c r="AFV29" s="25"/>
      <c r="AFW29" s="25"/>
      <c r="AFX29" s="25"/>
      <c r="AFY29" s="25"/>
      <c r="AFZ29" s="25"/>
      <c r="AGA29" s="25"/>
      <c r="AGB29" s="25"/>
      <c r="AGC29" s="25"/>
      <c r="AGD29" s="25"/>
      <c r="AGE29" s="25"/>
      <c r="AGF29" s="25"/>
      <c r="AGG29" s="25"/>
      <c r="AGH29" s="25"/>
      <c r="AGI29" s="25"/>
      <c r="AGJ29" s="25"/>
      <c r="AGK29" s="25"/>
      <c r="AGL29" s="25"/>
      <c r="AGM29" s="25"/>
      <c r="AGN29" s="25"/>
      <c r="AGO29" s="25"/>
      <c r="AGP29" s="25"/>
      <c r="AGQ29" s="25"/>
      <c r="AGR29" s="25"/>
      <c r="AGS29" s="25"/>
      <c r="AGT29" s="25"/>
      <c r="AGU29" s="25"/>
      <c r="AGV29" s="25"/>
      <c r="AGW29" s="25"/>
      <c r="AGX29" s="25"/>
      <c r="AGY29" s="25"/>
      <c r="AGZ29" s="25"/>
      <c r="AHA29" s="25"/>
      <c r="AHB29" s="25"/>
      <c r="AHC29" s="25"/>
      <c r="AHD29" s="25"/>
      <c r="AHE29" s="25"/>
      <c r="AHF29" s="25"/>
      <c r="AHG29" s="25"/>
      <c r="AHH29" s="25"/>
      <c r="AHI29" s="25"/>
      <c r="AHJ29" s="25"/>
      <c r="AHK29" s="25"/>
      <c r="AHL29" s="25"/>
      <c r="AHM29" s="25"/>
      <c r="AHN29" s="25"/>
      <c r="AHO29" s="25"/>
      <c r="AHP29" s="25"/>
      <c r="AHQ29" s="25"/>
      <c r="AHR29" s="25"/>
      <c r="AHS29" s="25"/>
      <c r="AHT29" s="25"/>
      <c r="AHU29" s="25"/>
      <c r="AHV29" s="25"/>
      <c r="AHW29" s="25"/>
      <c r="AHX29" s="25"/>
      <c r="AHY29" s="25"/>
      <c r="AHZ29" s="25"/>
      <c r="AIA29" s="25"/>
      <c r="AIB29" s="25"/>
      <c r="AIC29" s="25"/>
      <c r="AID29" s="25"/>
      <c r="AIE29" s="25"/>
      <c r="AIF29" s="25"/>
      <c r="AIG29" s="25"/>
      <c r="AIH29" s="25"/>
      <c r="AII29" s="25"/>
      <c r="AIJ29" s="25"/>
      <c r="AIK29" s="25"/>
      <c r="AIL29" s="25"/>
      <c r="AIM29" s="25"/>
      <c r="AIN29" s="25"/>
      <c r="AIO29" s="25"/>
      <c r="AIP29" s="25"/>
      <c r="AIQ29" s="25"/>
      <c r="AIR29" s="25"/>
      <c r="AIS29" s="25"/>
      <c r="AIT29" s="25"/>
      <c r="AIU29" s="25"/>
      <c r="AIV29" s="25"/>
      <c r="AIW29" s="25"/>
      <c r="AIX29" s="25"/>
      <c r="AIY29" s="25"/>
      <c r="AIZ29" s="25"/>
      <c r="AJA29" s="25"/>
      <c r="AJB29" s="25"/>
      <c r="AJC29" s="25"/>
      <c r="AJD29" s="25"/>
      <c r="AJE29" s="25"/>
      <c r="AJF29" s="25"/>
      <c r="AJG29" s="25"/>
      <c r="AJH29" s="25"/>
      <c r="AJI29" s="25"/>
      <c r="AJJ29" s="25"/>
      <c r="AJK29" s="25"/>
      <c r="AJL29" s="25"/>
      <c r="AJM29" s="25"/>
      <c r="AJN29" s="25"/>
      <c r="AJO29" s="25"/>
      <c r="AJP29" s="25"/>
      <c r="AJQ29" s="25"/>
      <c r="AJR29" s="25"/>
      <c r="AJS29" s="25"/>
      <c r="AJT29" s="25"/>
      <c r="AJU29" s="25"/>
      <c r="AJV29" s="25"/>
      <c r="AJW29" s="25"/>
      <c r="AJX29" s="25"/>
      <c r="AJY29" s="25"/>
      <c r="AJZ29" s="25"/>
      <c r="AKA29" s="25"/>
      <c r="AKB29" s="25"/>
      <c r="AKC29" s="25"/>
      <c r="AKD29" s="25"/>
      <c r="AKE29" s="25"/>
      <c r="AKF29" s="25"/>
      <c r="AKG29" s="25"/>
      <c r="AKH29" s="25"/>
      <c r="AKI29" s="25"/>
      <c r="AKJ29" s="25"/>
      <c r="AKK29" s="25"/>
      <c r="AKL29" s="25"/>
      <c r="AKM29" s="25"/>
      <c r="AKN29" s="25"/>
      <c r="AKO29" s="25"/>
      <c r="AKP29" s="25"/>
      <c r="AKQ29" s="25"/>
      <c r="AKR29" s="25"/>
      <c r="AKS29" s="25"/>
      <c r="AKT29" s="25"/>
      <c r="AKU29" s="25"/>
      <c r="AKV29" s="25"/>
      <c r="AKW29" s="25"/>
      <c r="AKX29" s="25"/>
      <c r="AKY29" s="25"/>
      <c r="AKZ29" s="25"/>
      <c r="ALA29" s="25"/>
      <c r="ALB29" s="25"/>
      <c r="ALC29" s="25"/>
      <c r="ALD29" s="25"/>
      <c r="ALE29" s="25"/>
      <c r="ALF29" s="25"/>
      <c r="ALG29" s="25"/>
      <c r="ALH29" s="25"/>
      <c r="ALI29" s="25"/>
      <c r="ALJ29" s="25"/>
      <c r="ALK29" s="25"/>
      <c r="ALL29" s="25"/>
      <c r="ALM29" s="25"/>
      <c r="ALN29" s="25"/>
      <c r="ALO29" s="25"/>
      <c r="ALP29" s="25"/>
      <c r="ALQ29" s="25"/>
      <c r="ALR29" s="25"/>
      <c r="ALS29" s="25"/>
      <c r="ALT29" s="25"/>
      <c r="ALU29" s="25"/>
      <c r="ALV29" s="25"/>
      <c r="ALW29" s="25"/>
      <c r="ALX29" s="25"/>
      <c r="ALY29" s="25"/>
      <c r="ALZ29" s="25"/>
      <c r="AMA29" s="25"/>
      <c r="AMB29" s="25"/>
      <c r="AMC29" s="25"/>
      <c r="AMD29" s="25"/>
      <c r="AME29" s="25"/>
      <c r="AMF29" s="25"/>
      <c r="AMG29" s="25"/>
      <c r="AMH29" s="25"/>
      <c r="AMI29" s="25"/>
      <c r="AMJ29" s="25"/>
      <c r="AMK29" s="25"/>
      <c r="AML29" s="25"/>
      <c r="AMM29" s="25"/>
      <c r="AMN29" s="25"/>
      <c r="AMO29" s="25"/>
      <c r="AMP29" s="25"/>
      <c r="AMQ29" s="25"/>
      <c r="AMR29" s="25"/>
      <c r="AMS29" s="25"/>
      <c r="AMT29" s="25"/>
      <c r="AMU29" s="25"/>
      <c r="AMV29" s="25"/>
      <c r="AMW29" s="25"/>
      <c r="AMX29" s="25"/>
      <c r="AMY29" s="25"/>
      <c r="AMZ29" s="25"/>
      <c r="ANA29" s="25"/>
      <c r="ANB29" s="25"/>
      <c r="ANC29" s="25"/>
      <c r="AND29" s="25"/>
      <c r="ANE29" s="25"/>
      <c r="ANF29" s="25"/>
      <c r="ANG29" s="25"/>
      <c r="ANH29" s="25"/>
      <c r="ANI29" s="25"/>
      <c r="ANJ29" s="25"/>
      <c r="ANK29" s="25"/>
      <c r="ANL29" s="25"/>
      <c r="ANM29" s="25"/>
      <c r="ANN29" s="25"/>
      <c r="ANO29" s="25"/>
      <c r="ANP29" s="25"/>
      <c r="ANQ29" s="25"/>
      <c r="ANR29" s="25"/>
      <c r="ANS29" s="25"/>
      <c r="ANT29" s="25"/>
      <c r="ANU29" s="25"/>
      <c r="ANV29" s="25"/>
      <c r="ANW29" s="25"/>
      <c r="ANX29" s="25"/>
      <c r="ANY29" s="25"/>
      <c r="ANZ29" s="25"/>
      <c r="AOA29" s="25"/>
      <c r="AOB29" s="25"/>
      <c r="AOC29" s="25"/>
      <c r="AOD29" s="25"/>
      <c r="AOE29" s="25"/>
      <c r="AOF29" s="25"/>
      <c r="AOG29" s="25"/>
      <c r="AOH29" s="25"/>
      <c r="AOI29" s="25"/>
      <c r="AOJ29" s="25"/>
      <c r="AOK29" s="25"/>
      <c r="AOL29" s="25"/>
      <c r="AOM29" s="25"/>
      <c r="AON29" s="25"/>
      <c r="AOO29" s="25"/>
      <c r="AOP29" s="25"/>
      <c r="AOQ29" s="25"/>
      <c r="AOR29" s="25"/>
      <c r="AOS29" s="25"/>
      <c r="AOT29" s="25"/>
      <c r="AOU29" s="25"/>
      <c r="AOV29" s="25"/>
      <c r="AOW29" s="25"/>
      <c r="AOX29" s="25"/>
      <c r="AOY29" s="25"/>
      <c r="AOZ29" s="25"/>
      <c r="APA29" s="25"/>
      <c r="APB29" s="25"/>
      <c r="APC29" s="25"/>
      <c r="APD29" s="25"/>
      <c r="APE29" s="25"/>
      <c r="APF29" s="25"/>
      <c r="APG29" s="25"/>
      <c r="APH29" s="25"/>
      <c r="API29" s="25"/>
      <c r="APJ29" s="25"/>
      <c r="APK29" s="25"/>
      <c r="APL29" s="25"/>
      <c r="APM29" s="25"/>
      <c r="APN29" s="25"/>
      <c r="APO29" s="25"/>
      <c r="APP29" s="25"/>
      <c r="APQ29" s="25"/>
      <c r="APR29" s="25"/>
      <c r="APS29" s="25"/>
      <c r="APT29" s="25"/>
      <c r="APU29" s="25"/>
      <c r="APV29" s="25"/>
      <c r="APW29" s="25"/>
      <c r="APX29" s="25"/>
      <c r="APY29" s="25"/>
      <c r="APZ29" s="25"/>
      <c r="AQA29" s="25"/>
      <c r="AQB29" s="25"/>
      <c r="AQC29" s="25"/>
      <c r="AQD29" s="25"/>
      <c r="AQE29" s="25"/>
      <c r="AQF29" s="25"/>
      <c r="AQG29" s="25"/>
      <c r="AQH29" s="25"/>
      <c r="AQI29" s="25"/>
      <c r="AQJ29" s="25"/>
      <c r="AQK29" s="25"/>
      <c r="AQL29" s="25"/>
      <c r="AQM29" s="25"/>
      <c r="AQN29" s="25"/>
      <c r="AQO29" s="25"/>
      <c r="AQP29" s="25"/>
      <c r="AQQ29" s="25"/>
      <c r="AQR29" s="25"/>
      <c r="AQS29" s="25"/>
      <c r="AQT29" s="25"/>
      <c r="AQU29" s="25"/>
      <c r="AQV29" s="25"/>
      <c r="AQW29" s="25"/>
      <c r="AQX29" s="25"/>
      <c r="AQY29" s="25"/>
      <c r="AQZ29" s="25"/>
      <c r="ARA29" s="25"/>
      <c r="ARB29" s="25"/>
      <c r="ARC29" s="25"/>
      <c r="ARD29" s="25"/>
      <c r="ARE29" s="25"/>
      <c r="ARF29" s="25"/>
      <c r="ARG29" s="25"/>
      <c r="ARH29" s="25"/>
      <c r="ARI29" s="25"/>
      <c r="ARJ29" s="25"/>
      <c r="ARK29" s="25"/>
      <c r="ARL29" s="25"/>
      <c r="ARM29" s="25"/>
      <c r="ARN29" s="25"/>
      <c r="ARO29" s="25"/>
      <c r="ARP29" s="25"/>
      <c r="ARQ29" s="25"/>
      <c r="ARR29" s="25"/>
      <c r="ARS29" s="25"/>
      <c r="ART29" s="25"/>
      <c r="ARU29" s="25"/>
      <c r="ARV29" s="25"/>
      <c r="ARW29" s="25"/>
      <c r="ARX29" s="25"/>
      <c r="ARY29" s="25"/>
      <c r="ARZ29" s="25"/>
      <c r="ASA29" s="25"/>
      <c r="ASB29" s="25"/>
      <c r="ASC29" s="25"/>
      <c r="ASD29" s="25"/>
      <c r="ASE29" s="25"/>
      <c r="ASF29" s="25"/>
      <c r="ASG29" s="25"/>
      <c r="ASH29" s="25"/>
      <c r="ASI29" s="25"/>
      <c r="ASJ29" s="25"/>
      <c r="ASK29" s="25"/>
      <c r="ASL29" s="25"/>
      <c r="ASM29" s="25"/>
      <c r="ASN29" s="25"/>
      <c r="ASO29" s="25"/>
      <c r="ASP29" s="25"/>
      <c r="ASQ29" s="25"/>
      <c r="ASR29" s="25"/>
      <c r="ASS29" s="25"/>
      <c r="AST29" s="25"/>
      <c r="ASU29" s="25"/>
      <c r="ASV29" s="25"/>
      <c r="ASW29" s="25"/>
      <c r="ASX29" s="25"/>
      <c r="ASY29" s="25"/>
      <c r="ASZ29" s="25"/>
      <c r="ATA29" s="25"/>
      <c r="ATB29" s="25"/>
      <c r="ATC29" s="25"/>
      <c r="ATD29" s="25"/>
      <c r="ATE29" s="25"/>
      <c r="ATF29" s="25"/>
      <c r="ATG29" s="25"/>
      <c r="ATH29" s="25"/>
      <c r="ATI29" s="25"/>
      <c r="ATJ29" s="25"/>
      <c r="ATK29" s="25"/>
      <c r="ATL29" s="25"/>
      <c r="ATM29" s="25"/>
      <c r="ATN29" s="25"/>
      <c r="ATO29" s="25"/>
      <c r="ATP29" s="25"/>
      <c r="ATQ29" s="25"/>
      <c r="ATR29" s="25"/>
      <c r="ATS29" s="25"/>
      <c r="ATT29" s="25"/>
      <c r="ATU29" s="25"/>
      <c r="ATV29" s="25"/>
      <c r="ATW29" s="25"/>
      <c r="ATX29" s="25"/>
      <c r="ATY29" s="25"/>
      <c r="ATZ29" s="25"/>
      <c r="AUA29" s="25"/>
      <c r="AUB29" s="25"/>
      <c r="AUC29" s="25"/>
      <c r="AUD29" s="25"/>
      <c r="AUE29" s="25"/>
      <c r="AUF29" s="25"/>
      <c r="AUG29" s="25"/>
      <c r="AUH29" s="25"/>
      <c r="AUI29" s="25"/>
      <c r="AUJ29" s="25"/>
      <c r="AUK29" s="25"/>
      <c r="AUL29" s="25"/>
      <c r="AUM29" s="25"/>
      <c r="AUN29" s="25"/>
      <c r="AUO29" s="25"/>
      <c r="AUP29" s="25"/>
      <c r="AUQ29" s="25"/>
      <c r="AUR29" s="25"/>
      <c r="AUS29" s="25"/>
      <c r="AUT29" s="25"/>
      <c r="AUU29" s="25"/>
      <c r="AUV29" s="25"/>
      <c r="AUW29" s="25"/>
      <c r="AUX29" s="25"/>
      <c r="AUY29" s="25"/>
      <c r="AUZ29" s="25"/>
      <c r="AVA29" s="25"/>
      <c r="AVB29" s="25"/>
      <c r="AVC29" s="25"/>
      <c r="AVD29" s="25"/>
      <c r="AVE29" s="25"/>
      <c r="AVF29" s="25"/>
      <c r="AVG29" s="25"/>
      <c r="AVH29" s="25"/>
      <c r="AVI29" s="25"/>
      <c r="AVJ29" s="25"/>
      <c r="AVK29" s="25"/>
      <c r="AVL29" s="25"/>
      <c r="AVM29" s="25"/>
      <c r="AVN29" s="25"/>
      <c r="AVO29" s="25"/>
      <c r="AVP29" s="25"/>
      <c r="AVQ29" s="25"/>
      <c r="AVR29" s="25"/>
      <c r="AVS29" s="25"/>
      <c r="AVT29" s="25"/>
      <c r="AVU29" s="25"/>
      <c r="AVV29" s="25"/>
      <c r="AVW29" s="25"/>
      <c r="AVX29" s="25"/>
      <c r="AVY29" s="25"/>
      <c r="AVZ29" s="25"/>
      <c r="AWA29" s="25"/>
      <c r="AWB29" s="25"/>
      <c r="AWC29" s="25"/>
      <c r="AWD29" s="25"/>
      <c r="AWE29" s="25"/>
      <c r="AWF29" s="25"/>
      <c r="AWG29" s="25"/>
      <c r="AWH29" s="25"/>
      <c r="AWI29" s="25"/>
      <c r="AWJ29" s="25"/>
      <c r="AWK29" s="25"/>
      <c r="AWL29" s="25"/>
      <c r="AWM29" s="25"/>
      <c r="AWN29" s="25"/>
      <c r="AWO29" s="25"/>
      <c r="AWP29" s="25"/>
      <c r="AWQ29" s="25"/>
      <c r="AWR29" s="25"/>
      <c r="AWS29" s="25"/>
      <c r="AWT29" s="25"/>
      <c r="AWU29" s="25"/>
      <c r="AWV29" s="25"/>
      <c r="AWW29" s="25"/>
      <c r="AWX29" s="25"/>
      <c r="AWY29" s="25"/>
      <c r="AWZ29" s="25"/>
      <c r="AXA29" s="25"/>
      <c r="AXB29" s="25"/>
      <c r="AXC29" s="25"/>
      <c r="AXD29" s="25"/>
      <c r="AXE29" s="25"/>
      <c r="AXF29" s="25"/>
      <c r="AXG29" s="25"/>
      <c r="AXH29" s="25"/>
      <c r="AXI29" s="25"/>
      <c r="AXJ29" s="25"/>
      <c r="AXK29" s="25"/>
      <c r="AXL29" s="25"/>
      <c r="AXM29" s="25"/>
      <c r="AXN29" s="25"/>
      <c r="AXO29" s="25"/>
      <c r="AXP29" s="25"/>
      <c r="AXQ29" s="25"/>
      <c r="AXR29" s="25"/>
      <c r="AXS29" s="25"/>
      <c r="AXT29" s="25"/>
      <c r="AXU29" s="25"/>
      <c r="AXV29" s="25"/>
      <c r="AXW29" s="25"/>
      <c r="AXX29" s="25"/>
      <c r="AXY29" s="25"/>
      <c r="AXZ29" s="25"/>
      <c r="AYA29" s="25"/>
      <c r="AYB29" s="25"/>
      <c r="AYC29" s="25"/>
      <c r="AYD29" s="25"/>
      <c r="AYE29" s="25"/>
      <c r="AYF29" s="25"/>
      <c r="AYG29" s="25"/>
      <c r="AYH29" s="25"/>
      <c r="AYI29" s="25"/>
      <c r="AYJ29" s="25"/>
      <c r="AYK29" s="25"/>
      <c r="AYL29" s="25"/>
      <c r="AYM29" s="25"/>
      <c r="AYN29" s="25"/>
      <c r="AYO29" s="25"/>
      <c r="AYP29" s="25"/>
      <c r="AYQ29" s="25"/>
      <c r="AYR29" s="25"/>
      <c r="AYS29" s="25"/>
      <c r="AYT29" s="25"/>
      <c r="AYU29" s="25"/>
      <c r="AYV29" s="25"/>
      <c r="AYW29" s="25"/>
      <c r="AYX29" s="25"/>
      <c r="AYY29" s="25"/>
      <c r="AYZ29" s="25"/>
      <c r="AZA29" s="25"/>
      <c r="AZB29" s="25"/>
      <c r="AZC29" s="25"/>
      <c r="AZD29" s="25"/>
      <c r="AZE29" s="25"/>
      <c r="AZF29" s="25"/>
      <c r="AZG29" s="25"/>
      <c r="AZH29" s="25"/>
      <c r="AZI29" s="25"/>
      <c r="AZJ29" s="25"/>
      <c r="AZK29" s="25"/>
      <c r="AZL29" s="25"/>
      <c r="AZM29" s="25"/>
      <c r="AZN29" s="25"/>
      <c r="AZO29" s="25"/>
      <c r="AZP29" s="25"/>
      <c r="AZQ29" s="25"/>
      <c r="AZR29" s="25"/>
      <c r="AZS29" s="25"/>
      <c r="AZT29" s="25"/>
      <c r="AZU29" s="25"/>
      <c r="AZV29" s="25"/>
      <c r="AZW29" s="25"/>
      <c r="AZX29" s="25"/>
      <c r="AZY29" s="25"/>
      <c r="AZZ29" s="25"/>
      <c r="BAA29" s="25"/>
      <c r="BAB29" s="25"/>
      <c r="BAC29" s="25"/>
      <c r="BAD29" s="25"/>
      <c r="BAE29" s="25"/>
      <c r="BAF29" s="25"/>
      <c r="BAG29" s="25"/>
      <c r="BAH29" s="25"/>
      <c r="BAI29" s="25"/>
      <c r="BAJ29" s="25"/>
      <c r="BAK29" s="25"/>
      <c r="BAL29" s="25"/>
      <c r="BAM29" s="25"/>
      <c r="BAN29" s="25"/>
      <c r="BAO29" s="25"/>
      <c r="BAP29" s="25"/>
      <c r="BAQ29" s="25"/>
      <c r="BAR29" s="25"/>
      <c r="BAS29" s="25"/>
      <c r="BAT29" s="25"/>
      <c r="BAU29" s="25"/>
      <c r="BAV29" s="25"/>
      <c r="BAW29" s="25"/>
      <c r="BAX29" s="25"/>
      <c r="BAY29" s="25"/>
      <c r="BAZ29" s="25"/>
      <c r="BBA29" s="25"/>
      <c r="BBB29" s="25"/>
      <c r="BBC29" s="25"/>
      <c r="BBD29" s="25"/>
      <c r="BBE29" s="25"/>
      <c r="BBF29" s="25"/>
      <c r="BBG29" s="25"/>
      <c r="BBH29" s="25"/>
      <c r="BBI29" s="25"/>
      <c r="BBJ29" s="25"/>
      <c r="BBK29" s="25"/>
      <c r="BBL29" s="25"/>
      <c r="BBM29" s="25"/>
      <c r="BBN29" s="25"/>
      <c r="BBO29" s="25"/>
      <c r="BBP29" s="25"/>
      <c r="BBQ29" s="25"/>
      <c r="BBR29" s="25"/>
      <c r="BBS29" s="25"/>
      <c r="BBT29" s="25"/>
      <c r="BBU29" s="25"/>
      <c r="BBV29" s="25"/>
      <c r="BBW29" s="25"/>
      <c r="BBX29" s="25"/>
      <c r="BBY29" s="25"/>
      <c r="BBZ29" s="25"/>
      <c r="BCA29" s="25"/>
      <c r="BCB29" s="25"/>
      <c r="BCC29" s="25"/>
      <c r="BCD29" s="25"/>
      <c r="BCE29" s="25"/>
      <c r="BCF29" s="25"/>
      <c r="BCG29" s="25"/>
      <c r="BCH29" s="25"/>
      <c r="BCI29" s="25"/>
      <c r="BCJ29" s="25"/>
      <c r="BCK29" s="25"/>
      <c r="BCL29" s="25"/>
      <c r="BCM29" s="25"/>
      <c r="BCN29" s="25"/>
      <c r="BCO29" s="25"/>
      <c r="BCP29" s="25"/>
      <c r="BCQ29" s="25"/>
      <c r="BCR29" s="25"/>
      <c r="BCS29" s="25"/>
      <c r="BCT29" s="25"/>
      <c r="BCU29" s="25"/>
      <c r="BCV29" s="25"/>
      <c r="BCW29" s="25"/>
      <c r="BCX29" s="25"/>
      <c r="BCY29" s="25"/>
      <c r="BCZ29" s="25"/>
      <c r="BDA29" s="25"/>
      <c r="BDB29" s="25"/>
      <c r="BDC29" s="25"/>
      <c r="BDD29" s="25"/>
      <c r="BDE29" s="25"/>
      <c r="BDF29" s="25"/>
      <c r="BDG29" s="25"/>
      <c r="BDH29" s="25"/>
      <c r="BDI29" s="25"/>
      <c r="BDJ29" s="25"/>
      <c r="BDK29" s="25"/>
      <c r="BDL29" s="25"/>
      <c r="BDM29" s="25"/>
      <c r="BDN29" s="25"/>
      <c r="BDO29" s="25"/>
      <c r="BDP29" s="25"/>
      <c r="BDQ29" s="25"/>
      <c r="BDR29" s="25"/>
      <c r="BDS29" s="25"/>
      <c r="BDT29" s="25"/>
      <c r="BDU29" s="25"/>
      <c r="BDV29" s="25"/>
      <c r="BDW29" s="25"/>
      <c r="BDX29" s="25"/>
      <c r="BDY29" s="25"/>
      <c r="BDZ29" s="25"/>
      <c r="BEA29" s="25"/>
      <c r="BEB29" s="25"/>
      <c r="BEC29" s="25"/>
      <c r="BED29" s="25"/>
      <c r="BEE29" s="25"/>
      <c r="BEF29" s="25"/>
      <c r="BEG29" s="25"/>
      <c r="BEH29" s="25"/>
      <c r="BEI29" s="25"/>
      <c r="BEJ29" s="25"/>
      <c r="BEK29" s="25"/>
      <c r="BEL29" s="25"/>
      <c r="BEM29" s="25"/>
      <c r="BEN29" s="25"/>
      <c r="BEO29" s="25"/>
      <c r="BEP29" s="25"/>
      <c r="BEQ29" s="25"/>
      <c r="BER29" s="25"/>
      <c r="BES29" s="25"/>
      <c r="BET29" s="25"/>
      <c r="BEU29" s="25"/>
      <c r="BEV29" s="25"/>
      <c r="BEW29" s="25"/>
      <c r="BEX29" s="25"/>
      <c r="BEY29" s="25"/>
      <c r="BEZ29" s="25"/>
      <c r="BFA29" s="25"/>
      <c r="BFB29" s="25"/>
      <c r="BFC29" s="25"/>
      <c r="BFD29" s="25"/>
      <c r="BFE29" s="25"/>
      <c r="BFF29" s="25"/>
      <c r="BFG29" s="25"/>
      <c r="BFH29" s="25"/>
      <c r="BFI29" s="25"/>
      <c r="BFJ29" s="25"/>
      <c r="BFK29" s="25"/>
      <c r="BFL29" s="25"/>
      <c r="BFM29" s="25"/>
      <c r="BFN29" s="25"/>
      <c r="BFO29" s="25"/>
      <c r="BFP29" s="25"/>
      <c r="BFQ29" s="25"/>
      <c r="BFR29" s="25"/>
      <c r="BFS29" s="25"/>
      <c r="BFT29" s="25"/>
      <c r="BFU29" s="25"/>
      <c r="BFV29" s="25"/>
      <c r="BFW29" s="25"/>
      <c r="BFX29" s="25"/>
      <c r="BFY29" s="25"/>
      <c r="BFZ29" s="25"/>
      <c r="BGA29" s="25"/>
      <c r="BGB29" s="25"/>
      <c r="BGC29" s="25"/>
      <c r="BGD29" s="25"/>
      <c r="BGE29" s="25"/>
      <c r="BGF29" s="25"/>
      <c r="BGG29" s="25"/>
      <c r="BGH29" s="25"/>
      <c r="BGI29" s="25"/>
      <c r="BGJ29" s="25"/>
      <c r="BGK29" s="25"/>
      <c r="BGL29" s="25"/>
      <c r="BGM29" s="25"/>
      <c r="BGN29" s="25"/>
      <c r="BGO29" s="25"/>
      <c r="BGP29" s="25"/>
      <c r="BGQ29" s="25"/>
      <c r="BGR29" s="25"/>
      <c r="BGS29" s="25"/>
      <c r="BGT29" s="25"/>
      <c r="BGU29" s="25"/>
      <c r="BGV29" s="25"/>
      <c r="BGW29" s="25"/>
      <c r="BGX29" s="25"/>
      <c r="BGY29" s="25"/>
      <c r="BGZ29" s="25"/>
      <c r="BHA29" s="25"/>
      <c r="BHB29" s="25"/>
      <c r="BHC29" s="25"/>
      <c r="BHD29" s="25"/>
      <c r="BHE29" s="25"/>
      <c r="BHF29" s="25"/>
      <c r="BHG29" s="25"/>
      <c r="BHH29" s="25"/>
      <c r="BHI29" s="25"/>
      <c r="BHJ29" s="25"/>
      <c r="BHK29" s="25"/>
      <c r="BHL29" s="25"/>
      <c r="BHM29" s="25"/>
      <c r="BHN29" s="25"/>
      <c r="BHO29" s="25"/>
      <c r="BHP29" s="25"/>
      <c r="BHQ29" s="25"/>
      <c r="BHR29" s="25"/>
      <c r="BHS29" s="25"/>
      <c r="BHT29" s="25"/>
      <c r="BHU29" s="25"/>
      <c r="BHV29" s="25"/>
      <c r="BHW29" s="25"/>
      <c r="BHX29" s="25"/>
      <c r="BHY29" s="25"/>
      <c r="BHZ29" s="25"/>
      <c r="BIA29" s="25"/>
      <c r="BIB29" s="25"/>
      <c r="BIC29" s="25"/>
      <c r="BID29" s="25"/>
      <c r="BIE29" s="25"/>
      <c r="BIF29" s="25"/>
      <c r="BIG29" s="25"/>
      <c r="BIH29" s="25"/>
      <c r="BII29" s="25"/>
      <c r="BIJ29" s="25"/>
      <c r="BIK29" s="25"/>
      <c r="BIL29" s="25"/>
      <c r="BIM29" s="25"/>
      <c r="BIN29" s="25"/>
      <c r="BIO29" s="25"/>
      <c r="BIP29" s="25"/>
      <c r="BIQ29" s="25"/>
      <c r="BIR29" s="25"/>
      <c r="BIS29" s="25"/>
      <c r="BIT29" s="25"/>
      <c r="BIU29" s="25"/>
      <c r="BIV29" s="25"/>
      <c r="BIW29" s="25"/>
      <c r="BIX29" s="25"/>
      <c r="BIY29" s="25"/>
      <c r="BIZ29" s="25"/>
      <c r="BJA29" s="25"/>
      <c r="BJB29" s="25"/>
      <c r="BJC29" s="25"/>
      <c r="BJD29" s="25"/>
      <c r="BJE29" s="25"/>
      <c r="BJF29" s="25"/>
      <c r="BJG29" s="25"/>
      <c r="BJH29" s="25"/>
      <c r="BJI29" s="25"/>
      <c r="BJJ29" s="25"/>
      <c r="BJK29" s="25"/>
      <c r="BJL29" s="25"/>
      <c r="BJM29" s="25"/>
      <c r="BJN29" s="25"/>
      <c r="BJO29" s="25"/>
      <c r="BJP29" s="25"/>
      <c r="BJQ29" s="25"/>
      <c r="BJR29" s="25"/>
      <c r="BJS29" s="25"/>
      <c r="BJT29" s="25"/>
      <c r="BJU29" s="25"/>
      <c r="BJV29" s="25"/>
      <c r="BJW29" s="25"/>
      <c r="BJX29" s="25"/>
      <c r="BJY29" s="25"/>
      <c r="BJZ29" s="25"/>
      <c r="BKA29" s="25"/>
      <c r="BKB29" s="25"/>
      <c r="BKC29" s="25"/>
      <c r="BKD29" s="25"/>
      <c r="BKE29" s="25"/>
      <c r="BKF29" s="25"/>
      <c r="BKG29" s="25"/>
      <c r="BKH29" s="25"/>
      <c r="BKI29" s="25"/>
      <c r="BKJ29" s="25"/>
      <c r="BKK29" s="25"/>
      <c r="BKL29" s="25"/>
      <c r="BKM29" s="25"/>
      <c r="BKN29" s="25"/>
      <c r="BKO29" s="25"/>
      <c r="BKP29" s="25"/>
      <c r="BKQ29" s="25"/>
      <c r="BKR29" s="25"/>
      <c r="BKS29" s="25"/>
      <c r="BKT29" s="25"/>
      <c r="BKU29" s="25"/>
      <c r="BKV29" s="25"/>
      <c r="BKW29" s="25"/>
      <c r="BKX29" s="25"/>
      <c r="BKY29" s="25"/>
      <c r="BKZ29" s="25"/>
      <c r="BLA29" s="25"/>
      <c r="BLB29" s="25"/>
      <c r="BLC29" s="25"/>
      <c r="BLD29" s="25"/>
      <c r="BLE29" s="25"/>
      <c r="BLF29" s="25"/>
      <c r="BLG29" s="25"/>
      <c r="BLH29" s="25"/>
      <c r="BLI29" s="25"/>
      <c r="BLJ29" s="25"/>
      <c r="BLK29" s="25"/>
      <c r="BLL29" s="25"/>
      <c r="BLM29" s="25"/>
      <c r="BLN29" s="25"/>
      <c r="BLO29" s="25"/>
      <c r="BLP29" s="25"/>
      <c r="BLQ29" s="25"/>
      <c r="BLR29" s="25"/>
      <c r="BLS29" s="25"/>
      <c r="BLT29" s="25"/>
      <c r="BLU29" s="25"/>
      <c r="BLV29" s="25"/>
      <c r="BLW29" s="25"/>
      <c r="BLX29" s="25"/>
      <c r="BLY29" s="25"/>
      <c r="BLZ29" s="25"/>
      <c r="BMA29" s="25"/>
      <c r="BMB29" s="25"/>
      <c r="BMC29" s="25"/>
      <c r="BMD29" s="25"/>
      <c r="BME29" s="25"/>
      <c r="BMF29" s="25"/>
      <c r="BMG29" s="25"/>
      <c r="BMH29" s="25"/>
      <c r="BMI29" s="25"/>
      <c r="BMJ29" s="25"/>
      <c r="BMK29" s="25"/>
      <c r="BML29" s="25"/>
      <c r="BMM29" s="25"/>
      <c r="BMN29" s="25"/>
      <c r="BMO29" s="25"/>
      <c r="BMP29" s="25"/>
      <c r="BMQ29" s="25"/>
      <c r="BMR29" s="25"/>
      <c r="BMS29" s="25"/>
      <c r="BMT29" s="25"/>
      <c r="BMU29" s="25"/>
      <c r="BMV29" s="25"/>
      <c r="BMW29" s="25"/>
      <c r="BMX29" s="25"/>
      <c r="BMY29" s="25"/>
      <c r="BMZ29" s="25"/>
      <c r="BNA29" s="25"/>
      <c r="BNB29" s="25"/>
      <c r="BNC29" s="25"/>
      <c r="BND29" s="25"/>
      <c r="BNE29" s="25"/>
      <c r="BNF29" s="25"/>
      <c r="BNG29" s="25"/>
      <c r="BNH29" s="25"/>
      <c r="BNI29" s="25"/>
      <c r="BNJ29" s="25"/>
      <c r="BNK29" s="25"/>
      <c r="BNL29" s="25"/>
      <c r="BNM29" s="25"/>
      <c r="BNN29" s="25"/>
      <c r="BNO29" s="25"/>
      <c r="BNP29" s="25"/>
      <c r="BNQ29" s="25"/>
      <c r="BNR29" s="25"/>
      <c r="BNS29" s="25"/>
      <c r="BNT29" s="25"/>
      <c r="BNU29" s="25"/>
      <c r="BNV29" s="25"/>
      <c r="BNW29" s="25"/>
      <c r="BNX29" s="25"/>
      <c r="BNY29" s="25"/>
      <c r="BNZ29" s="25"/>
      <c r="BOA29" s="25"/>
      <c r="BOB29" s="25"/>
      <c r="BOC29" s="25"/>
      <c r="BOD29" s="25"/>
      <c r="BOE29" s="25"/>
      <c r="BOF29" s="25"/>
      <c r="BOG29" s="25"/>
      <c r="BOH29" s="25"/>
      <c r="BOI29" s="25"/>
      <c r="BOJ29" s="25"/>
      <c r="BOK29" s="25"/>
      <c r="BOL29" s="25"/>
      <c r="BOM29" s="25"/>
      <c r="BON29" s="25"/>
      <c r="BOO29" s="25"/>
      <c r="BOP29" s="25"/>
      <c r="BOQ29" s="25"/>
      <c r="BOR29" s="25"/>
      <c r="BOS29" s="25"/>
      <c r="BOT29" s="25"/>
      <c r="BOU29" s="25"/>
      <c r="BOV29" s="25"/>
      <c r="BOW29" s="25"/>
      <c r="BOX29" s="25"/>
      <c r="BOY29" s="25"/>
      <c r="BOZ29" s="25"/>
      <c r="BPA29" s="25"/>
      <c r="BPB29" s="25"/>
      <c r="BPC29" s="25"/>
      <c r="BPD29" s="25"/>
      <c r="BPE29" s="25"/>
      <c r="BPF29" s="25"/>
      <c r="BPG29" s="25"/>
      <c r="BPH29" s="25"/>
      <c r="BPI29" s="25"/>
      <c r="BPJ29" s="25"/>
      <c r="BPK29" s="25"/>
      <c r="BPL29" s="25"/>
      <c r="BPM29" s="25"/>
      <c r="BPN29" s="25"/>
      <c r="BPO29" s="25"/>
      <c r="BPP29" s="25"/>
      <c r="BPQ29" s="25"/>
      <c r="BPR29" s="25"/>
      <c r="BPS29" s="25"/>
      <c r="BPT29" s="25"/>
      <c r="BPU29" s="25"/>
      <c r="BPV29" s="25"/>
      <c r="BPW29" s="25"/>
      <c r="BPX29" s="25"/>
      <c r="BPY29" s="25"/>
      <c r="BPZ29" s="25"/>
      <c r="BQA29" s="25"/>
      <c r="BQB29" s="25"/>
      <c r="BQC29" s="25"/>
      <c r="BQD29" s="25"/>
      <c r="BQE29" s="25"/>
      <c r="BQF29" s="25"/>
      <c r="BQG29" s="25"/>
      <c r="BQH29" s="25"/>
      <c r="BQI29" s="25"/>
      <c r="BQJ29" s="25"/>
      <c r="BQK29" s="25"/>
      <c r="BQL29" s="25"/>
      <c r="BQM29" s="25"/>
      <c r="BQN29" s="25"/>
      <c r="BQO29" s="25"/>
      <c r="BQP29" s="25"/>
      <c r="BQQ29" s="25"/>
      <c r="BQR29" s="25"/>
      <c r="BQS29" s="25"/>
      <c r="BQT29" s="25"/>
      <c r="BQU29" s="25"/>
      <c r="BQV29" s="25"/>
      <c r="BQW29" s="25"/>
      <c r="BQX29" s="25"/>
      <c r="BQY29" s="25"/>
      <c r="BQZ29" s="25"/>
      <c r="BRA29" s="25"/>
      <c r="BRB29" s="25"/>
      <c r="BRC29" s="25"/>
      <c r="BRD29" s="25"/>
      <c r="BRE29" s="25"/>
      <c r="BRF29" s="25"/>
      <c r="BRG29" s="25"/>
      <c r="BRH29" s="25"/>
      <c r="BRI29" s="25"/>
      <c r="BRJ29" s="25"/>
      <c r="BRK29" s="25"/>
      <c r="BRL29" s="25"/>
      <c r="BRM29" s="25"/>
      <c r="BRN29" s="25"/>
      <c r="BRO29" s="25"/>
      <c r="BRP29" s="25"/>
      <c r="BRQ29" s="25"/>
      <c r="BRR29" s="25"/>
      <c r="BRS29" s="25"/>
      <c r="BRT29" s="25"/>
      <c r="BRU29" s="25"/>
      <c r="BRV29" s="25"/>
      <c r="BRW29" s="25"/>
      <c r="BRX29" s="25"/>
      <c r="BRY29" s="25"/>
      <c r="BRZ29" s="25"/>
      <c r="BSA29" s="25"/>
      <c r="BSB29" s="25"/>
      <c r="BSC29" s="25"/>
      <c r="BSD29" s="25"/>
      <c r="BSE29" s="25"/>
      <c r="BSF29" s="25"/>
      <c r="BSG29" s="25"/>
      <c r="BSH29" s="25"/>
      <c r="BSI29" s="25"/>
      <c r="BSJ29" s="25"/>
      <c r="BSK29" s="25"/>
      <c r="BSL29" s="25"/>
      <c r="BSM29" s="25"/>
      <c r="BSN29" s="25"/>
      <c r="BSO29" s="25"/>
      <c r="BSP29" s="25"/>
      <c r="BSQ29" s="25"/>
      <c r="BSR29" s="25"/>
      <c r="BSS29" s="25"/>
      <c r="BST29" s="25"/>
      <c r="BSU29" s="25"/>
      <c r="BSV29" s="25"/>
      <c r="BSW29" s="25"/>
      <c r="BSX29" s="25"/>
      <c r="BSY29" s="25"/>
      <c r="BSZ29" s="25"/>
      <c r="BTA29" s="25"/>
      <c r="BTB29" s="25"/>
      <c r="BTC29" s="25"/>
      <c r="BTD29" s="25"/>
      <c r="BTE29" s="25"/>
      <c r="BTF29" s="25"/>
      <c r="BTG29" s="25"/>
      <c r="BTH29" s="25"/>
      <c r="BTI29" s="25"/>
      <c r="BTJ29" s="25"/>
      <c r="BTK29" s="25"/>
      <c r="BTL29" s="25"/>
      <c r="BTM29" s="25"/>
      <c r="BTN29" s="25"/>
      <c r="BTO29" s="25"/>
      <c r="BTP29" s="25"/>
      <c r="BTQ29" s="25"/>
      <c r="BTR29" s="25"/>
      <c r="BTS29" s="25"/>
      <c r="BTT29" s="25"/>
      <c r="BTU29" s="25"/>
      <c r="BTV29" s="25"/>
      <c r="BTW29" s="25"/>
      <c r="BTX29" s="25"/>
      <c r="BTY29" s="25"/>
      <c r="BTZ29" s="25"/>
      <c r="BUA29" s="25"/>
      <c r="BUB29" s="25"/>
      <c r="BUC29" s="25"/>
      <c r="BUD29" s="25"/>
      <c r="BUE29" s="25"/>
      <c r="BUF29" s="25"/>
      <c r="BUG29" s="25"/>
      <c r="BUH29" s="25"/>
      <c r="BUI29" s="25"/>
      <c r="BUJ29" s="25"/>
      <c r="BUK29" s="25"/>
      <c r="BUL29" s="25"/>
      <c r="BUM29" s="25"/>
      <c r="BUN29" s="25"/>
      <c r="BUO29" s="25"/>
      <c r="BUP29" s="25"/>
      <c r="BUQ29" s="25"/>
      <c r="BUR29" s="25"/>
      <c r="BUS29" s="25"/>
      <c r="BUT29" s="25"/>
      <c r="BUU29" s="25"/>
      <c r="BUV29" s="25"/>
      <c r="BUW29" s="25"/>
      <c r="BUX29" s="25"/>
      <c r="BUY29" s="25"/>
      <c r="BUZ29" s="25"/>
      <c r="BVA29" s="25"/>
      <c r="BVB29" s="25"/>
      <c r="BVC29" s="25"/>
      <c r="BVD29" s="25"/>
      <c r="BVE29" s="25"/>
      <c r="BVF29" s="25"/>
      <c r="BVG29" s="25"/>
      <c r="BVH29" s="25"/>
      <c r="BVI29" s="25"/>
      <c r="BVJ29" s="25"/>
      <c r="BVK29" s="25"/>
      <c r="BVL29" s="25"/>
      <c r="BVM29" s="25"/>
      <c r="BVN29" s="25"/>
      <c r="BVO29" s="25"/>
      <c r="BVP29" s="25"/>
      <c r="BVQ29" s="25"/>
      <c r="BVR29" s="25"/>
      <c r="BVS29" s="25"/>
      <c r="BVT29" s="25"/>
      <c r="BVU29" s="25"/>
      <c r="BVV29" s="25"/>
      <c r="BVW29" s="25"/>
      <c r="BVX29" s="25"/>
      <c r="BVY29" s="25"/>
      <c r="BVZ29" s="25"/>
      <c r="BWA29" s="25"/>
      <c r="BWB29" s="25"/>
      <c r="BWC29" s="25"/>
      <c r="BWD29" s="25"/>
      <c r="BWE29" s="25"/>
      <c r="BWF29" s="25"/>
      <c r="BWG29" s="25"/>
      <c r="BWH29" s="25"/>
      <c r="BWI29" s="25"/>
      <c r="BWJ29" s="25"/>
      <c r="BWK29" s="25"/>
      <c r="BWL29" s="25"/>
      <c r="BWM29" s="25"/>
      <c r="BWN29" s="25"/>
      <c r="BWO29" s="25"/>
      <c r="BWP29" s="25"/>
      <c r="BWQ29" s="25"/>
      <c r="BWR29" s="25"/>
      <c r="BWS29" s="25"/>
      <c r="BWT29" s="25"/>
      <c r="BWU29" s="25"/>
      <c r="BWV29" s="25"/>
      <c r="BWW29" s="25"/>
      <c r="BWX29" s="25"/>
      <c r="BWY29" s="25"/>
      <c r="BWZ29" s="25"/>
      <c r="BXA29" s="25"/>
      <c r="BXB29" s="25"/>
      <c r="BXC29" s="25"/>
      <c r="BXD29" s="25"/>
      <c r="BXE29" s="25"/>
      <c r="BXF29" s="25"/>
      <c r="BXG29" s="25"/>
      <c r="BXH29" s="25"/>
      <c r="BXI29" s="25"/>
      <c r="BXJ29" s="25"/>
      <c r="BXK29" s="25"/>
      <c r="BXL29" s="25"/>
      <c r="BXM29" s="25"/>
      <c r="BXN29" s="25"/>
      <c r="BXO29" s="25"/>
      <c r="BXP29" s="25"/>
      <c r="BXQ29" s="25"/>
      <c r="BXR29" s="25"/>
      <c r="BXS29" s="25"/>
      <c r="BXT29" s="25"/>
      <c r="BXU29" s="25"/>
      <c r="BXV29" s="25"/>
      <c r="BXW29" s="25"/>
      <c r="BXX29" s="25"/>
      <c r="BXY29" s="25"/>
      <c r="BXZ29" s="25"/>
      <c r="BYA29" s="25"/>
      <c r="BYB29" s="25"/>
      <c r="BYC29" s="25"/>
      <c r="BYD29" s="25"/>
      <c r="BYE29" s="25"/>
      <c r="BYF29" s="25"/>
      <c r="BYG29" s="25"/>
      <c r="BYH29" s="25"/>
      <c r="BYI29" s="25"/>
      <c r="BYJ29" s="25"/>
      <c r="BYK29" s="25"/>
      <c r="BYL29" s="25"/>
      <c r="BYM29" s="25"/>
      <c r="BYN29" s="25"/>
      <c r="BYO29" s="25"/>
      <c r="BYP29" s="25"/>
      <c r="BYQ29" s="25"/>
      <c r="BYR29" s="25"/>
      <c r="BYS29" s="25"/>
      <c r="BYT29" s="25"/>
      <c r="BYU29" s="25"/>
      <c r="BYV29" s="25"/>
      <c r="BYW29" s="25"/>
      <c r="BYX29" s="25"/>
      <c r="BYY29" s="25"/>
      <c r="BYZ29" s="25"/>
      <c r="BZA29" s="25"/>
      <c r="BZB29" s="25"/>
      <c r="BZC29" s="25"/>
      <c r="BZD29" s="25"/>
      <c r="BZE29" s="25"/>
      <c r="BZF29" s="25"/>
      <c r="BZG29" s="25"/>
      <c r="BZH29" s="25"/>
      <c r="BZI29" s="25"/>
      <c r="BZJ29" s="25"/>
      <c r="BZK29" s="25"/>
      <c r="BZL29" s="25"/>
      <c r="BZM29" s="25"/>
      <c r="BZN29" s="25"/>
      <c r="BZO29" s="25"/>
      <c r="BZP29" s="25"/>
      <c r="BZQ29" s="25"/>
      <c r="BZR29" s="25"/>
      <c r="BZS29" s="25"/>
      <c r="BZT29" s="25"/>
      <c r="BZU29" s="25"/>
      <c r="BZV29" s="25"/>
      <c r="BZW29" s="25"/>
      <c r="BZX29" s="25"/>
      <c r="BZY29" s="25"/>
      <c r="BZZ29" s="25"/>
      <c r="CAA29" s="25"/>
      <c r="CAB29" s="25"/>
      <c r="CAC29" s="25"/>
      <c r="CAD29" s="25"/>
      <c r="CAE29" s="25"/>
      <c r="CAF29" s="25"/>
      <c r="CAG29" s="25"/>
      <c r="CAH29" s="25"/>
      <c r="CAI29" s="25"/>
      <c r="CAJ29" s="25"/>
      <c r="CAK29" s="25"/>
      <c r="CAL29" s="25"/>
      <c r="CAM29" s="25"/>
      <c r="CAN29" s="25"/>
      <c r="CAO29" s="25"/>
      <c r="CAP29" s="25"/>
      <c r="CAQ29" s="25"/>
      <c r="CAR29" s="25"/>
      <c r="CAS29" s="25"/>
      <c r="CAT29" s="25"/>
      <c r="CAU29" s="25"/>
      <c r="CAV29" s="25"/>
      <c r="CAW29" s="25"/>
      <c r="CAX29" s="25"/>
      <c r="CAY29" s="25"/>
      <c r="CAZ29" s="25"/>
      <c r="CBA29" s="25"/>
      <c r="CBB29" s="25"/>
      <c r="CBC29" s="25"/>
      <c r="CBD29" s="25"/>
      <c r="CBE29" s="25"/>
      <c r="CBF29" s="25"/>
      <c r="CBG29" s="25"/>
      <c r="CBH29" s="25"/>
      <c r="CBI29" s="25"/>
      <c r="CBJ29" s="25"/>
      <c r="CBK29" s="25"/>
      <c r="CBL29" s="25"/>
      <c r="CBM29" s="25"/>
      <c r="CBN29" s="25"/>
      <c r="CBO29" s="25"/>
      <c r="CBP29" s="25"/>
      <c r="CBQ29" s="25"/>
      <c r="CBR29" s="25"/>
      <c r="CBS29" s="25"/>
      <c r="CBT29" s="25"/>
      <c r="CBU29" s="25"/>
      <c r="CBV29" s="25"/>
      <c r="CBW29" s="25"/>
      <c r="CBX29" s="25"/>
      <c r="CBY29" s="25"/>
      <c r="CBZ29" s="25"/>
      <c r="CCA29" s="25"/>
      <c r="CCB29" s="25"/>
      <c r="CCC29" s="25"/>
      <c r="CCD29" s="25"/>
      <c r="CCE29" s="25"/>
      <c r="CCF29" s="25"/>
      <c r="CCG29" s="25"/>
      <c r="CCH29" s="25"/>
      <c r="CCI29" s="25"/>
      <c r="CCJ29" s="25"/>
      <c r="CCK29" s="25"/>
      <c r="CCL29" s="25"/>
      <c r="CCM29" s="25"/>
      <c r="CCN29" s="25"/>
      <c r="CCO29" s="25"/>
      <c r="CCP29" s="25"/>
      <c r="CCQ29" s="25"/>
      <c r="CCR29" s="25"/>
      <c r="CCS29" s="25"/>
      <c r="CCT29" s="25"/>
      <c r="CCU29" s="25"/>
      <c r="CCV29" s="25"/>
      <c r="CCW29" s="25"/>
      <c r="CCX29" s="25"/>
      <c r="CCY29" s="25"/>
      <c r="CCZ29" s="25"/>
      <c r="CDA29" s="25"/>
      <c r="CDB29" s="25"/>
      <c r="CDC29" s="25"/>
      <c r="CDD29" s="25"/>
      <c r="CDE29" s="25"/>
      <c r="CDF29" s="25"/>
      <c r="CDG29" s="25"/>
      <c r="CDH29" s="25"/>
      <c r="CDI29" s="25"/>
      <c r="CDJ29" s="25"/>
      <c r="CDK29" s="25"/>
      <c r="CDL29" s="25"/>
      <c r="CDM29" s="25"/>
      <c r="CDN29" s="25"/>
      <c r="CDO29" s="25"/>
      <c r="CDP29" s="25"/>
      <c r="CDQ29" s="25"/>
      <c r="CDR29" s="25"/>
      <c r="CDS29" s="25"/>
      <c r="CDT29" s="25"/>
      <c r="CDU29" s="25"/>
      <c r="CDV29" s="25"/>
      <c r="CDW29" s="25"/>
      <c r="CDX29" s="25"/>
      <c r="CDY29" s="25"/>
      <c r="CDZ29" s="25"/>
      <c r="CEA29" s="25"/>
      <c r="CEB29" s="25"/>
      <c r="CEC29" s="25"/>
      <c r="CED29" s="25"/>
      <c r="CEE29" s="25"/>
      <c r="CEF29" s="25"/>
      <c r="CEG29" s="25"/>
      <c r="CEH29" s="25"/>
      <c r="CEI29" s="25"/>
      <c r="CEJ29" s="25"/>
      <c r="CEK29" s="25"/>
      <c r="CEL29" s="25"/>
      <c r="CEM29" s="25"/>
      <c r="CEN29" s="25"/>
      <c r="CEO29" s="25"/>
      <c r="CEP29" s="25"/>
      <c r="CEQ29" s="25"/>
      <c r="CER29" s="25"/>
      <c r="CES29" s="25"/>
      <c r="CET29" s="25"/>
      <c r="CEU29" s="25"/>
      <c r="CEV29" s="25"/>
      <c r="CEW29" s="25"/>
      <c r="CEX29" s="25"/>
      <c r="CEY29" s="25"/>
      <c r="CEZ29" s="25"/>
      <c r="CFA29" s="25"/>
      <c r="CFB29" s="25"/>
      <c r="CFC29" s="25"/>
      <c r="CFD29" s="25"/>
      <c r="CFE29" s="25"/>
      <c r="CFF29" s="25"/>
      <c r="CFG29" s="25"/>
      <c r="CFH29" s="25"/>
      <c r="CFI29" s="25"/>
      <c r="CFJ29" s="25"/>
      <c r="CFK29" s="25"/>
      <c r="CFL29" s="25"/>
      <c r="CFM29" s="25"/>
      <c r="CFN29" s="25"/>
      <c r="CFO29" s="25"/>
      <c r="CFP29" s="25"/>
      <c r="CFQ29" s="25"/>
      <c r="CFR29" s="25"/>
      <c r="CFS29" s="25"/>
      <c r="CFT29" s="25"/>
      <c r="CFU29" s="25"/>
      <c r="CFV29" s="25"/>
      <c r="CFW29" s="25"/>
      <c r="CFX29" s="25"/>
      <c r="CFY29" s="25"/>
      <c r="CFZ29" s="25"/>
      <c r="CGA29" s="25"/>
      <c r="CGB29" s="25"/>
      <c r="CGC29" s="25"/>
      <c r="CGD29" s="25"/>
      <c r="CGE29" s="25"/>
      <c r="CGF29" s="25"/>
      <c r="CGG29" s="25"/>
      <c r="CGH29" s="25"/>
      <c r="CGI29" s="25"/>
      <c r="CGJ29" s="25"/>
      <c r="CGK29" s="25"/>
      <c r="CGL29" s="25"/>
      <c r="CGM29" s="25"/>
      <c r="CGN29" s="25"/>
      <c r="CGO29" s="25"/>
      <c r="CGP29" s="25"/>
      <c r="CGQ29" s="25"/>
      <c r="CGR29" s="25"/>
      <c r="CGS29" s="25"/>
      <c r="CGT29" s="25"/>
      <c r="CGU29" s="25"/>
      <c r="CGV29" s="25"/>
      <c r="CGW29" s="25"/>
      <c r="CGX29" s="25"/>
      <c r="CGY29" s="25"/>
      <c r="CGZ29" s="25"/>
      <c r="CHA29" s="25"/>
      <c r="CHB29" s="25"/>
      <c r="CHC29" s="25"/>
      <c r="CHD29" s="25"/>
      <c r="CHE29" s="25"/>
      <c r="CHF29" s="25"/>
      <c r="CHG29" s="25"/>
      <c r="CHH29" s="25"/>
      <c r="CHI29" s="25"/>
      <c r="CHJ29" s="25"/>
      <c r="CHK29" s="25"/>
      <c r="CHL29" s="25"/>
      <c r="CHM29" s="25"/>
      <c r="CHN29" s="25"/>
      <c r="CHO29" s="25"/>
      <c r="CHP29" s="25"/>
      <c r="CHQ29" s="25"/>
      <c r="CHR29" s="25"/>
      <c r="CHS29" s="25"/>
      <c r="CHT29" s="25"/>
      <c r="CHU29" s="25"/>
      <c r="CHV29" s="25"/>
      <c r="CHW29" s="25"/>
      <c r="CHX29" s="25"/>
      <c r="CHY29" s="25"/>
      <c r="CHZ29" s="25"/>
      <c r="CIA29" s="25"/>
      <c r="CIB29" s="25"/>
      <c r="CIC29" s="25"/>
      <c r="CID29" s="25"/>
      <c r="CIE29" s="25"/>
      <c r="CIF29" s="25"/>
      <c r="CIG29" s="25"/>
      <c r="CIH29" s="25"/>
      <c r="CII29" s="25"/>
      <c r="CIJ29" s="25"/>
      <c r="CIK29" s="25"/>
      <c r="CIL29" s="25"/>
      <c r="CIM29" s="25"/>
      <c r="CIN29" s="25"/>
      <c r="CIO29" s="25"/>
      <c r="CIP29" s="25"/>
      <c r="CIQ29" s="25"/>
      <c r="CIR29" s="25"/>
      <c r="CIS29" s="25"/>
      <c r="CIT29" s="25"/>
      <c r="CIU29" s="25"/>
      <c r="CIV29" s="25"/>
      <c r="CIW29" s="25"/>
      <c r="CIX29" s="25"/>
      <c r="CIY29" s="25"/>
      <c r="CIZ29" s="25"/>
      <c r="CJA29" s="25"/>
      <c r="CJB29" s="25"/>
      <c r="CJC29" s="25"/>
      <c r="CJD29" s="25"/>
      <c r="CJE29" s="25"/>
      <c r="CJF29" s="25"/>
      <c r="CJG29" s="25"/>
      <c r="CJH29" s="25"/>
      <c r="CJI29" s="25"/>
      <c r="CJJ29" s="25"/>
      <c r="CJK29" s="25"/>
      <c r="CJL29" s="25"/>
      <c r="CJM29" s="25"/>
      <c r="CJN29" s="25"/>
      <c r="CJO29" s="25"/>
      <c r="CJP29" s="25"/>
      <c r="CJQ29" s="25"/>
      <c r="CJR29" s="25"/>
      <c r="CJS29" s="25"/>
      <c r="CJT29" s="25"/>
      <c r="CJU29" s="25"/>
      <c r="CJV29" s="25"/>
      <c r="CJW29" s="25"/>
      <c r="CJX29" s="25"/>
      <c r="CJY29" s="25"/>
      <c r="CJZ29" s="25"/>
      <c r="CKA29" s="25"/>
      <c r="CKB29" s="25"/>
      <c r="CKC29" s="25"/>
      <c r="CKD29" s="25"/>
      <c r="CKE29" s="25"/>
      <c r="CKF29" s="25"/>
      <c r="CKG29" s="25"/>
      <c r="CKH29" s="25"/>
      <c r="CKI29" s="25"/>
      <c r="CKJ29" s="25"/>
      <c r="CKK29" s="25"/>
      <c r="CKL29" s="25"/>
      <c r="CKM29" s="25"/>
      <c r="CKN29" s="25"/>
      <c r="CKO29" s="25"/>
      <c r="CKP29" s="25"/>
      <c r="CKQ29" s="25"/>
      <c r="CKR29" s="25"/>
      <c r="CKS29" s="25"/>
      <c r="CKT29" s="25"/>
      <c r="CKU29" s="25"/>
      <c r="CKV29" s="25"/>
      <c r="CKW29" s="25"/>
      <c r="CKX29" s="25"/>
      <c r="CKY29" s="25"/>
      <c r="CKZ29" s="25"/>
      <c r="CLA29" s="25"/>
      <c r="CLB29" s="25"/>
      <c r="CLC29" s="25"/>
      <c r="CLD29" s="25"/>
      <c r="CLE29" s="25"/>
      <c r="CLF29" s="25"/>
      <c r="CLG29" s="25"/>
      <c r="CLH29" s="25"/>
      <c r="CLI29" s="25"/>
      <c r="CLJ29" s="25"/>
      <c r="CLK29" s="25"/>
      <c r="CLL29" s="25"/>
      <c r="CLM29" s="25"/>
      <c r="CLN29" s="25"/>
      <c r="CLO29" s="25"/>
      <c r="CLP29" s="25"/>
      <c r="CLQ29" s="25"/>
      <c r="CLR29" s="25"/>
      <c r="CLS29" s="25"/>
      <c r="CLT29" s="25"/>
      <c r="CLU29" s="25"/>
      <c r="CLV29" s="25"/>
      <c r="CLW29" s="25"/>
      <c r="CLX29" s="25"/>
      <c r="CLY29" s="25"/>
      <c r="CLZ29" s="25"/>
      <c r="CMA29" s="25"/>
      <c r="CMB29" s="25"/>
      <c r="CMC29" s="25"/>
      <c r="CMD29" s="25"/>
      <c r="CME29" s="25"/>
      <c r="CMF29" s="25"/>
      <c r="CMG29" s="25"/>
      <c r="CMH29" s="25"/>
      <c r="CMI29" s="25"/>
      <c r="CMJ29" s="25"/>
      <c r="CMK29" s="25"/>
      <c r="CML29" s="25"/>
      <c r="CMM29" s="25"/>
      <c r="CMN29" s="25"/>
      <c r="CMO29" s="25"/>
      <c r="CMP29" s="25"/>
      <c r="CMQ29" s="25"/>
      <c r="CMR29" s="25"/>
      <c r="CMS29" s="25"/>
      <c r="CMT29" s="25"/>
      <c r="CMU29" s="25"/>
      <c r="CMV29" s="25"/>
      <c r="CMW29" s="25"/>
      <c r="CMX29" s="25"/>
      <c r="CMY29" s="25"/>
      <c r="CMZ29" s="25"/>
      <c r="CNA29" s="25"/>
      <c r="CNB29" s="25"/>
      <c r="CNC29" s="25"/>
      <c r="CND29" s="25"/>
      <c r="CNE29" s="25"/>
      <c r="CNF29" s="25"/>
      <c r="CNG29" s="25"/>
      <c r="CNH29" s="25"/>
      <c r="CNI29" s="25"/>
      <c r="CNJ29" s="25"/>
      <c r="CNK29" s="25"/>
      <c r="CNL29" s="25"/>
      <c r="CNM29" s="25"/>
      <c r="CNN29" s="25"/>
      <c r="CNO29" s="25"/>
      <c r="CNP29" s="25"/>
      <c r="CNQ29" s="25"/>
      <c r="CNR29" s="25"/>
      <c r="CNS29" s="25"/>
      <c r="CNT29" s="25"/>
      <c r="CNU29" s="25"/>
      <c r="CNV29" s="25"/>
      <c r="CNW29" s="25"/>
      <c r="CNX29" s="25"/>
      <c r="CNY29" s="25"/>
      <c r="CNZ29" s="25"/>
      <c r="COA29" s="25"/>
      <c r="COB29" s="25"/>
      <c r="COC29" s="25"/>
      <c r="COD29" s="25"/>
      <c r="COE29" s="25"/>
      <c r="COF29" s="25"/>
      <c r="COG29" s="25"/>
      <c r="COH29" s="25"/>
      <c r="COI29" s="25"/>
      <c r="COJ29" s="25"/>
      <c r="COK29" s="25"/>
      <c r="COL29" s="25"/>
      <c r="COM29" s="25"/>
      <c r="CON29" s="25"/>
      <c r="COO29" s="25"/>
      <c r="COP29" s="25"/>
      <c r="COQ29" s="25"/>
      <c r="COR29" s="25"/>
      <c r="COS29" s="25"/>
      <c r="COT29" s="25"/>
      <c r="COU29" s="25"/>
      <c r="COV29" s="25"/>
      <c r="COW29" s="25"/>
      <c r="COX29" s="25"/>
      <c r="COY29" s="25"/>
      <c r="COZ29" s="25"/>
      <c r="CPA29" s="25"/>
      <c r="CPB29" s="25"/>
      <c r="CPC29" s="25"/>
      <c r="CPD29" s="25"/>
      <c r="CPE29" s="25"/>
      <c r="CPF29" s="25"/>
      <c r="CPG29" s="25"/>
      <c r="CPH29" s="25"/>
      <c r="CPI29" s="25"/>
      <c r="CPJ29" s="25"/>
      <c r="CPK29" s="25"/>
      <c r="CPL29" s="25"/>
      <c r="CPM29" s="25"/>
      <c r="CPN29" s="25"/>
      <c r="CPO29" s="25"/>
      <c r="CPP29" s="25"/>
      <c r="CPQ29" s="25"/>
      <c r="CPR29" s="25"/>
      <c r="CPS29" s="25"/>
      <c r="CPT29" s="25"/>
      <c r="CPU29" s="25"/>
      <c r="CPV29" s="25"/>
      <c r="CPW29" s="25"/>
      <c r="CPX29" s="25"/>
      <c r="CPY29" s="25"/>
      <c r="CPZ29" s="25"/>
      <c r="CQA29" s="25"/>
      <c r="CQB29" s="25"/>
      <c r="CQC29" s="25"/>
      <c r="CQD29" s="25"/>
      <c r="CQE29" s="25"/>
      <c r="CQF29" s="25"/>
      <c r="CQG29" s="25"/>
      <c r="CQH29" s="25"/>
      <c r="CQI29" s="25"/>
      <c r="CQJ29" s="25"/>
      <c r="CQK29" s="25"/>
      <c r="CQL29" s="25"/>
      <c r="CQM29" s="25"/>
      <c r="CQN29" s="25"/>
      <c r="CQO29" s="25"/>
      <c r="CQP29" s="25"/>
      <c r="CQQ29" s="25"/>
      <c r="CQR29" s="25"/>
      <c r="CQS29" s="25"/>
      <c r="CQT29" s="25"/>
      <c r="CQU29" s="25"/>
      <c r="CQV29" s="25"/>
      <c r="CQW29" s="25"/>
      <c r="CQX29" s="25"/>
      <c r="CQY29" s="25"/>
      <c r="CQZ29" s="25"/>
      <c r="CRA29" s="25"/>
      <c r="CRB29" s="25"/>
      <c r="CRC29" s="25"/>
      <c r="CRD29" s="25"/>
      <c r="CRE29" s="25"/>
      <c r="CRF29" s="25"/>
      <c r="CRG29" s="25"/>
      <c r="CRH29" s="25"/>
      <c r="CRI29" s="25"/>
      <c r="CRJ29" s="25"/>
      <c r="CRK29" s="25"/>
      <c r="CRL29" s="25"/>
      <c r="CRM29" s="25"/>
      <c r="CRN29" s="25"/>
      <c r="CRO29" s="25"/>
      <c r="CRP29" s="25"/>
      <c r="CRQ29" s="25"/>
      <c r="CRR29" s="25"/>
      <c r="CRS29" s="25"/>
      <c r="CRT29" s="25"/>
      <c r="CRU29" s="25"/>
      <c r="CRV29" s="25"/>
      <c r="CRW29" s="25"/>
      <c r="CRX29" s="25"/>
      <c r="CRY29" s="25"/>
      <c r="CRZ29" s="25"/>
      <c r="CSA29" s="25"/>
      <c r="CSB29" s="25"/>
      <c r="CSC29" s="25"/>
      <c r="CSD29" s="25"/>
      <c r="CSE29" s="25"/>
      <c r="CSF29" s="25"/>
      <c r="CSG29" s="25"/>
      <c r="CSH29" s="25"/>
      <c r="CSI29" s="25"/>
      <c r="CSJ29" s="25"/>
      <c r="CSK29" s="25"/>
      <c r="CSL29" s="25"/>
      <c r="CSM29" s="25"/>
      <c r="CSN29" s="25"/>
      <c r="CSO29" s="25"/>
      <c r="CSP29" s="25"/>
      <c r="CSQ29" s="25"/>
      <c r="CSR29" s="25"/>
      <c r="CSS29" s="25"/>
      <c r="CST29" s="25"/>
      <c r="CSU29" s="25"/>
      <c r="CSV29" s="25"/>
      <c r="CSW29" s="25"/>
      <c r="CSX29" s="25"/>
      <c r="CSY29" s="25"/>
      <c r="CSZ29" s="25"/>
      <c r="CTA29" s="25"/>
      <c r="CTB29" s="25"/>
      <c r="CTC29" s="25"/>
      <c r="CTD29" s="25"/>
      <c r="CTE29" s="25"/>
      <c r="CTF29" s="25"/>
      <c r="CTG29" s="25"/>
      <c r="CTH29" s="25"/>
      <c r="CTI29" s="25"/>
      <c r="CTJ29" s="25"/>
      <c r="CTK29" s="25"/>
      <c r="CTL29" s="25"/>
      <c r="CTM29" s="25"/>
      <c r="CTN29" s="25"/>
      <c r="CTO29" s="25"/>
      <c r="CTP29" s="25"/>
      <c r="CTQ29" s="25"/>
      <c r="CTR29" s="25"/>
      <c r="CTS29" s="25"/>
      <c r="CTT29" s="25"/>
      <c r="CTU29" s="25"/>
      <c r="CTV29" s="25"/>
      <c r="CTW29" s="25"/>
      <c r="CTX29" s="25"/>
      <c r="CTY29" s="25"/>
      <c r="CTZ29" s="25"/>
      <c r="CUA29" s="25"/>
      <c r="CUB29" s="25"/>
      <c r="CUC29" s="25"/>
      <c r="CUD29" s="25"/>
      <c r="CUE29" s="25"/>
      <c r="CUF29" s="25"/>
      <c r="CUG29" s="25"/>
      <c r="CUH29" s="25"/>
      <c r="CUI29" s="25"/>
      <c r="CUJ29" s="25"/>
      <c r="CUK29" s="25"/>
      <c r="CUL29" s="25"/>
      <c r="CUM29" s="25"/>
      <c r="CUN29" s="25"/>
      <c r="CUO29" s="25"/>
      <c r="CUP29" s="25"/>
      <c r="CUQ29" s="25"/>
      <c r="CUR29" s="25"/>
      <c r="CUS29" s="25"/>
      <c r="CUT29" s="25"/>
      <c r="CUU29" s="25"/>
      <c r="CUV29" s="25"/>
      <c r="CUW29" s="25"/>
      <c r="CUX29" s="25"/>
      <c r="CUY29" s="25"/>
      <c r="CUZ29" s="25"/>
      <c r="CVA29" s="25"/>
      <c r="CVB29" s="25"/>
      <c r="CVC29" s="25"/>
      <c r="CVD29" s="25"/>
      <c r="CVE29" s="25"/>
      <c r="CVF29" s="25"/>
      <c r="CVG29" s="25"/>
      <c r="CVH29" s="25"/>
      <c r="CVI29" s="25"/>
      <c r="CVJ29" s="25"/>
      <c r="CVK29" s="25"/>
      <c r="CVL29" s="25"/>
      <c r="CVM29" s="25"/>
      <c r="CVN29" s="25"/>
      <c r="CVO29" s="25"/>
      <c r="CVP29" s="25"/>
      <c r="CVQ29" s="25"/>
      <c r="CVR29" s="25"/>
      <c r="CVS29" s="25"/>
      <c r="CVT29" s="25"/>
      <c r="CVU29" s="25"/>
      <c r="CVV29" s="25"/>
      <c r="CVW29" s="25"/>
      <c r="CVX29" s="25"/>
      <c r="CVY29" s="25"/>
      <c r="CVZ29" s="25"/>
      <c r="CWA29" s="25"/>
      <c r="CWB29" s="25"/>
      <c r="CWC29" s="25"/>
      <c r="CWD29" s="25"/>
      <c r="CWE29" s="25"/>
      <c r="CWF29" s="25"/>
      <c r="CWG29" s="25"/>
      <c r="CWH29" s="25"/>
      <c r="CWI29" s="25"/>
      <c r="CWJ29" s="25"/>
      <c r="CWK29" s="25"/>
      <c r="CWL29" s="25"/>
      <c r="CWM29" s="25"/>
      <c r="CWN29" s="25"/>
      <c r="CWO29" s="25"/>
      <c r="CWP29" s="25"/>
      <c r="CWQ29" s="25"/>
      <c r="CWR29" s="25"/>
      <c r="CWS29" s="25"/>
      <c r="CWT29" s="25"/>
      <c r="CWU29" s="25"/>
      <c r="CWV29" s="25"/>
      <c r="CWW29" s="25"/>
      <c r="CWX29" s="25"/>
      <c r="CWY29" s="25"/>
      <c r="CWZ29" s="25"/>
      <c r="CXA29" s="25"/>
      <c r="CXB29" s="25"/>
      <c r="CXC29" s="25"/>
      <c r="CXD29" s="25"/>
      <c r="CXE29" s="25"/>
      <c r="CXF29" s="25"/>
      <c r="CXG29" s="25"/>
      <c r="CXH29" s="25"/>
      <c r="CXI29" s="25"/>
      <c r="CXJ29" s="25"/>
      <c r="CXK29" s="25"/>
      <c r="CXL29" s="25"/>
      <c r="CXM29" s="25"/>
      <c r="CXN29" s="25"/>
      <c r="CXO29" s="25"/>
      <c r="CXP29" s="25"/>
      <c r="CXQ29" s="25"/>
      <c r="CXR29" s="25"/>
      <c r="CXS29" s="25"/>
      <c r="CXT29" s="25"/>
      <c r="CXU29" s="25"/>
      <c r="CXV29" s="25"/>
      <c r="CXW29" s="25"/>
      <c r="CXX29" s="25"/>
      <c r="CXY29" s="25"/>
      <c r="CXZ29" s="25"/>
      <c r="CYA29" s="25"/>
      <c r="CYB29" s="25"/>
      <c r="CYC29" s="25"/>
      <c r="CYD29" s="25"/>
      <c r="CYE29" s="25"/>
      <c r="CYF29" s="25"/>
      <c r="CYG29" s="25"/>
      <c r="CYH29" s="25"/>
      <c r="CYI29" s="25"/>
      <c r="CYJ29" s="25"/>
      <c r="CYK29" s="25"/>
      <c r="CYL29" s="25"/>
      <c r="CYM29" s="25"/>
      <c r="CYN29" s="25"/>
      <c r="CYO29" s="25"/>
      <c r="CYP29" s="25"/>
      <c r="CYQ29" s="25"/>
      <c r="CYR29" s="25"/>
      <c r="CYS29" s="25"/>
      <c r="CYT29" s="25"/>
      <c r="CYU29" s="25"/>
      <c r="CYV29" s="25"/>
      <c r="CYW29" s="25"/>
      <c r="CYX29" s="25"/>
      <c r="CYY29" s="25"/>
      <c r="CYZ29" s="25"/>
      <c r="CZA29" s="25"/>
      <c r="CZB29" s="25"/>
      <c r="CZC29" s="25"/>
      <c r="CZD29" s="25"/>
      <c r="CZE29" s="25"/>
      <c r="CZF29" s="25"/>
      <c r="CZG29" s="25"/>
      <c r="CZH29" s="25"/>
      <c r="CZI29" s="25"/>
      <c r="CZJ29" s="25"/>
      <c r="CZK29" s="25"/>
      <c r="CZL29" s="25"/>
      <c r="CZM29" s="25"/>
      <c r="CZN29" s="25"/>
      <c r="CZO29" s="25"/>
      <c r="CZP29" s="25"/>
      <c r="CZQ29" s="25"/>
      <c r="CZR29" s="25"/>
      <c r="CZS29" s="25"/>
      <c r="CZT29" s="25"/>
      <c r="CZU29" s="25"/>
      <c r="CZV29" s="25"/>
      <c r="CZW29" s="25"/>
      <c r="CZX29" s="25"/>
      <c r="CZY29" s="25"/>
      <c r="CZZ29" s="25"/>
      <c r="DAA29" s="25"/>
      <c r="DAB29" s="25"/>
      <c r="DAC29" s="25"/>
      <c r="DAD29" s="25"/>
      <c r="DAE29" s="25"/>
      <c r="DAF29" s="25"/>
      <c r="DAG29" s="25"/>
      <c r="DAH29" s="25"/>
      <c r="DAI29" s="25"/>
      <c r="DAJ29" s="25"/>
      <c r="DAK29" s="25"/>
      <c r="DAL29" s="25"/>
      <c r="DAM29" s="25"/>
      <c r="DAN29" s="25"/>
      <c r="DAO29" s="25"/>
      <c r="DAP29" s="25"/>
      <c r="DAQ29" s="25"/>
      <c r="DAR29" s="25"/>
      <c r="DAS29" s="25"/>
      <c r="DAT29" s="25"/>
      <c r="DAU29" s="25"/>
      <c r="DAV29" s="25"/>
      <c r="DAW29" s="25"/>
      <c r="DAX29" s="25"/>
      <c r="DAY29" s="25"/>
      <c r="DAZ29" s="25"/>
      <c r="DBA29" s="25"/>
      <c r="DBB29" s="25"/>
      <c r="DBC29" s="25"/>
      <c r="DBD29" s="25"/>
      <c r="DBE29" s="25"/>
      <c r="DBF29" s="25"/>
      <c r="DBG29" s="25"/>
      <c r="DBH29" s="25"/>
      <c r="DBI29" s="25"/>
      <c r="DBJ29" s="25"/>
      <c r="DBK29" s="25"/>
      <c r="DBL29" s="25"/>
      <c r="DBM29" s="25"/>
      <c r="DBN29" s="25"/>
      <c r="DBO29" s="25"/>
      <c r="DBP29" s="25"/>
      <c r="DBQ29" s="25"/>
      <c r="DBR29" s="25"/>
      <c r="DBS29" s="25"/>
      <c r="DBT29" s="25"/>
      <c r="DBU29" s="25"/>
      <c r="DBV29" s="25"/>
      <c r="DBW29" s="25"/>
      <c r="DBX29" s="25"/>
      <c r="DBY29" s="25"/>
      <c r="DBZ29" s="25"/>
      <c r="DCA29" s="25"/>
      <c r="DCB29" s="25"/>
      <c r="DCC29" s="25"/>
      <c r="DCD29" s="25"/>
      <c r="DCE29" s="25"/>
      <c r="DCF29" s="25"/>
      <c r="DCG29" s="25"/>
      <c r="DCH29" s="25"/>
      <c r="DCI29" s="25"/>
      <c r="DCJ29" s="25"/>
      <c r="DCK29" s="25"/>
      <c r="DCL29" s="25"/>
      <c r="DCM29" s="25"/>
      <c r="DCN29" s="25"/>
      <c r="DCO29" s="25"/>
      <c r="DCP29" s="25"/>
      <c r="DCQ29" s="25"/>
      <c r="DCR29" s="25"/>
      <c r="DCS29" s="25"/>
      <c r="DCT29" s="25"/>
      <c r="DCU29" s="25"/>
      <c r="DCV29" s="25"/>
      <c r="DCW29" s="25"/>
      <c r="DCX29" s="25"/>
      <c r="DCY29" s="25"/>
      <c r="DCZ29" s="25"/>
      <c r="DDA29" s="25"/>
      <c r="DDB29" s="25"/>
      <c r="DDC29" s="25"/>
      <c r="DDD29" s="25"/>
      <c r="DDE29" s="25"/>
      <c r="DDF29" s="25"/>
      <c r="DDG29" s="25"/>
      <c r="DDH29" s="25"/>
      <c r="DDI29" s="25"/>
      <c r="DDJ29" s="25"/>
      <c r="DDK29" s="25"/>
      <c r="DDL29" s="25"/>
      <c r="DDM29" s="25"/>
      <c r="DDN29" s="25"/>
      <c r="DDO29" s="25"/>
      <c r="DDP29" s="25"/>
      <c r="DDQ29" s="25"/>
      <c r="DDR29" s="25"/>
      <c r="DDS29" s="25"/>
      <c r="DDT29" s="25"/>
      <c r="DDU29" s="25"/>
      <c r="DDV29" s="25"/>
      <c r="DDW29" s="25"/>
      <c r="DDX29" s="25"/>
      <c r="DDY29" s="25"/>
      <c r="DDZ29" s="25"/>
      <c r="DEA29" s="25"/>
      <c r="DEB29" s="25"/>
      <c r="DEC29" s="25"/>
      <c r="DED29" s="25"/>
      <c r="DEE29" s="25"/>
      <c r="DEF29" s="25"/>
      <c r="DEG29" s="25"/>
      <c r="DEH29" s="25"/>
      <c r="DEI29" s="25"/>
      <c r="DEJ29" s="25"/>
      <c r="DEK29" s="25"/>
      <c r="DEL29" s="25"/>
      <c r="DEM29" s="25"/>
      <c r="DEN29" s="25"/>
      <c r="DEO29" s="25"/>
      <c r="DEP29" s="25"/>
      <c r="DEQ29" s="25"/>
      <c r="DER29" s="25"/>
      <c r="DES29" s="25"/>
      <c r="DET29" s="25"/>
      <c r="DEU29" s="25"/>
      <c r="DEV29" s="25"/>
      <c r="DEW29" s="25"/>
      <c r="DEX29" s="25"/>
      <c r="DEY29" s="25"/>
      <c r="DEZ29" s="25"/>
      <c r="DFA29" s="25"/>
      <c r="DFB29" s="25"/>
      <c r="DFC29" s="25"/>
      <c r="DFD29" s="25"/>
      <c r="DFE29" s="25"/>
      <c r="DFF29" s="25"/>
      <c r="DFG29" s="25"/>
      <c r="DFH29" s="25"/>
      <c r="DFI29" s="25"/>
      <c r="DFJ29" s="25"/>
      <c r="DFK29" s="25"/>
      <c r="DFL29" s="25"/>
      <c r="DFM29" s="25"/>
      <c r="DFN29" s="25"/>
      <c r="DFO29" s="25"/>
      <c r="DFP29" s="25"/>
      <c r="DFQ29" s="25"/>
      <c r="DFR29" s="25"/>
      <c r="DFS29" s="25"/>
      <c r="DFT29" s="25"/>
      <c r="DFU29" s="25"/>
      <c r="DFV29" s="25"/>
      <c r="DFW29" s="25"/>
      <c r="DFX29" s="25"/>
      <c r="DFY29" s="25"/>
      <c r="DFZ29" s="25"/>
      <c r="DGA29" s="25"/>
      <c r="DGB29" s="25"/>
      <c r="DGC29" s="25"/>
      <c r="DGD29" s="25"/>
      <c r="DGE29" s="25"/>
      <c r="DGF29" s="25"/>
      <c r="DGG29" s="25"/>
      <c r="DGH29" s="25"/>
      <c r="DGI29" s="25"/>
      <c r="DGJ29" s="25"/>
      <c r="DGK29" s="25"/>
      <c r="DGL29" s="25"/>
      <c r="DGM29" s="25"/>
      <c r="DGN29" s="25"/>
      <c r="DGO29" s="25"/>
      <c r="DGP29" s="25"/>
      <c r="DGQ29" s="25"/>
      <c r="DGR29" s="25"/>
      <c r="DGS29" s="25"/>
      <c r="DGT29" s="25"/>
      <c r="DGU29" s="25"/>
      <c r="DGV29" s="25"/>
      <c r="DGW29" s="25"/>
      <c r="DGX29" s="25"/>
      <c r="DGY29" s="25"/>
      <c r="DGZ29" s="25"/>
      <c r="DHA29" s="25"/>
      <c r="DHB29" s="25"/>
      <c r="DHC29" s="25"/>
      <c r="DHD29" s="25"/>
      <c r="DHE29" s="25"/>
      <c r="DHF29" s="25"/>
      <c r="DHG29" s="25"/>
      <c r="DHH29" s="25"/>
      <c r="DHI29" s="25"/>
      <c r="DHJ29" s="25"/>
      <c r="DHK29" s="25"/>
      <c r="DHL29" s="25"/>
      <c r="DHM29" s="25"/>
      <c r="DHN29" s="25"/>
      <c r="DHO29" s="25"/>
      <c r="DHP29" s="25"/>
      <c r="DHQ29" s="25"/>
      <c r="DHR29" s="25"/>
      <c r="DHS29" s="25"/>
      <c r="DHT29" s="25"/>
      <c r="DHU29" s="25"/>
      <c r="DHV29" s="25"/>
      <c r="DHW29" s="25"/>
      <c r="DHX29" s="25"/>
      <c r="DHY29" s="25"/>
      <c r="DHZ29" s="25"/>
      <c r="DIA29" s="25"/>
      <c r="DIB29" s="25"/>
      <c r="DIC29" s="25"/>
      <c r="DID29" s="25"/>
      <c r="DIE29" s="25"/>
      <c r="DIF29" s="25"/>
      <c r="DIG29" s="25"/>
      <c r="DIH29" s="25"/>
      <c r="DII29" s="25"/>
      <c r="DIJ29" s="25"/>
      <c r="DIK29" s="25"/>
      <c r="DIL29" s="25"/>
      <c r="DIM29" s="25"/>
      <c r="DIN29" s="25"/>
      <c r="DIO29" s="25"/>
      <c r="DIP29" s="25"/>
      <c r="DIQ29" s="25"/>
      <c r="DIR29" s="25"/>
      <c r="DIS29" s="25"/>
      <c r="DIT29" s="25"/>
      <c r="DIU29" s="25"/>
      <c r="DIV29" s="25"/>
      <c r="DIW29" s="25"/>
      <c r="DIX29" s="25"/>
      <c r="DIY29" s="25"/>
      <c r="DIZ29" s="25"/>
      <c r="DJA29" s="25"/>
      <c r="DJB29" s="25"/>
      <c r="DJC29" s="25"/>
      <c r="DJD29" s="25"/>
      <c r="DJE29" s="25"/>
      <c r="DJF29" s="25"/>
      <c r="DJG29" s="25"/>
      <c r="DJH29" s="25"/>
      <c r="DJI29" s="25"/>
      <c r="DJJ29" s="25"/>
      <c r="DJK29" s="25"/>
      <c r="DJL29" s="25"/>
      <c r="DJM29" s="25"/>
      <c r="DJN29" s="25"/>
      <c r="DJO29" s="25"/>
      <c r="DJP29" s="25"/>
      <c r="DJQ29" s="25"/>
      <c r="DJR29" s="25"/>
      <c r="DJS29" s="25"/>
      <c r="DJT29" s="25"/>
      <c r="DJU29" s="25"/>
      <c r="DJV29" s="25"/>
      <c r="DJW29" s="25"/>
      <c r="DJX29" s="25"/>
      <c r="DJY29" s="25"/>
      <c r="DJZ29" s="25"/>
      <c r="DKA29" s="25"/>
      <c r="DKB29" s="25"/>
      <c r="DKC29" s="25"/>
      <c r="DKD29" s="25"/>
      <c r="DKE29" s="25"/>
      <c r="DKF29" s="25"/>
      <c r="DKG29" s="25"/>
      <c r="DKH29" s="25"/>
      <c r="DKI29" s="25"/>
      <c r="DKJ29" s="25"/>
      <c r="DKK29" s="25"/>
      <c r="DKL29" s="25"/>
      <c r="DKM29" s="25"/>
      <c r="DKN29" s="25"/>
      <c r="DKO29" s="25"/>
      <c r="DKP29" s="25"/>
      <c r="DKQ29" s="25"/>
      <c r="DKR29" s="25"/>
      <c r="DKS29" s="25"/>
      <c r="DKT29" s="25"/>
      <c r="DKU29" s="25"/>
      <c r="DKV29" s="25"/>
      <c r="DKW29" s="25"/>
      <c r="DKX29" s="25"/>
      <c r="DKY29" s="25"/>
      <c r="DKZ29" s="25"/>
      <c r="DLA29" s="25"/>
      <c r="DLB29" s="25"/>
      <c r="DLC29" s="25"/>
      <c r="DLD29" s="25"/>
      <c r="DLE29" s="25"/>
      <c r="DLF29" s="25"/>
      <c r="DLG29" s="25"/>
      <c r="DLH29" s="25"/>
      <c r="DLI29" s="25"/>
      <c r="DLJ29" s="25"/>
      <c r="DLK29" s="25"/>
      <c r="DLL29" s="25"/>
      <c r="DLM29" s="25"/>
      <c r="DLN29" s="25"/>
      <c r="DLO29" s="25"/>
      <c r="DLP29" s="25"/>
      <c r="DLQ29" s="25"/>
      <c r="DLR29" s="25"/>
      <c r="DLS29" s="25"/>
      <c r="DLT29" s="25"/>
      <c r="DLU29" s="25"/>
      <c r="DLV29" s="25"/>
      <c r="DLW29" s="25"/>
      <c r="DLX29" s="25"/>
      <c r="DLY29" s="25"/>
      <c r="DLZ29" s="25"/>
      <c r="DMA29" s="25"/>
      <c r="DMB29" s="25"/>
      <c r="DMC29" s="25"/>
      <c r="DMD29" s="25"/>
      <c r="DME29" s="25"/>
      <c r="DMF29" s="25"/>
      <c r="DMG29" s="25"/>
      <c r="DMH29" s="25"/>
      <c r="DMI29" s="25"/>
      <c r="DMJ29" s="25"/>
      <c r="DMK29" s="25"/>
      <c r="DML29" s="25"/>
      <c r="DMM29" s="25"/>
      <c r="DMN29" s="25"/>
      <c r="DMO29" s="25"/>
      <c r="DMP29" s="25"/>
      <c r="DMQ29" s="25"/>
      <c r="DMR29" s="25"/>
      <c r="DMS29" s="25"/>
      <c r="DMT29" s="25"/>
      <c r="DMU29" s="25"/>
      <c r="DMV29" s="25"/>
      <c r="DMW29" s="25"/>
      <c r="DMX29" s="25"/>
      <c r="DMY29" s="25"/>
      <c r="DMZ29" s="25"/>
      <c r="DNA29" s="25"/>
      <c r="DNB29" s="25"/>
      <c r="DNC29" s="25"/>
      <c r="DND29" s="25"/>
      <c r="DNE29" s="25"/>
      <c r="DNF29" s="25"/>
      <c r="DNG29" s="25"/>
      <c r="DNH29" s="25"/>
      <c r="DNI29" s="25"/>
      <c r="DNJ29" s="25"/>
      <c r="DNK29" s="25"/>
      <c r="DNL29" s="25"/>
      <c r="DNM29" s="25"/>
      <c r="DNN29" s="25"/>
      <c r="DNO29" s="25"/>
      <c r="DNP29" s="25"/>
      <c r="DNQ29" s="25"/>
      <c r="DNR29" s="25"/>
      <c r="DNS29" s="25"/>
      <c r="DNT29" s="25"/>
      <c r="DNU29" s="25"/>
      <c r="DNV29" s="25"/>
      <c r="DNW29" s="25"/>
      <c r="DNX29" s="25"/>
      <c r="DNY29" s="25"/>
      <c r="DNZ29" s="25"/>
      <c r="DOA29" s="25"/>
      <c r="DOB29" s="25"/>
      <c r="DOC29" s="25"/>
      <c r="DOD29" s="25"/>
      <c r="DOE29" s="25"/>
      <c r="DOF29" s="25"/>
      <c r="DOG29" s="25"/>
      <c r="DOH29" s="25"/>
      <c r="DOI29" s="25"/>
      <c r="DOJ29" s="25"/>
      <c r="DOK29" s="25"/>
      <c r="DOL29" s="25"/>
      <c r="DOM29" s="25"/>
      <c r="DON29" s="25"/>
      <c r="DOO29" s="25"/>
      <c r="DOP29" s="25"/>
      <c r="DOQ29" s="25"/>
      <c r="DOR29" s="25"/>
      <c r="DOS29" s="25"/>
      <c r="DOT29" s="25"/>
      <c r="DOU29" s="25"/>
      <c r="DOV29" s="25"/>
      <c r="DOW29" s="25"/>
      <c r="DOX29" s="25"/>
      <c r="DOY29" s="25"/>
      <c r="DOZ29" s="25"/>
      <c r="DPA29" s="25"/>
      <c r="DPB29" s="25"/>
      <c r="DPC29" s="25"/>
      <c r="DPD29" s="25"/>
      <c r="DPE29" s="25"/>
      <c r="DPF29" s="25"/>
      <c r="DPG29" s="25"/>
      <c r="DPH29" s="25"/>
      <c r="DPI29" s="25"/>
      <c r="DPJ29" s="25"/>
      <c r="DPK29" s="25"/>
      <c r="DPL29" s="25"/>
      <c r="DPM29" s="25"/>
      <c r="DPN29" s="25"/>
      <c r="DPO29" s="25"/>
      <c r="DPP29" s="25"/>
      <c r="DPQ29" s="25"/>
      <c r="DPR29" s="25"/>
      <c r="DPS29" s="25"/>
      <c r="DPT29" s="25"/>
      <c r="DPU29" s="25"/>
      <c r="DPV29" s="25"/>
      <c r="DPW29" s="25"/>
      <c r="DPX29" s="25"/>
      <c r="DPY29" s="25"/>
      <c r="DPZ29" s="25"/>
      <c r="DQA29" s="25"/>
      <c r="DQB29" s="25"/>
      <c r="DQC29" s="25"/>
      <c r="DQD29" s="25"/>
      <c r="DQE29" s="25"/>
      <c r="DQF29" s="25"/>
      <c r="DQG29" s="25"/>
      <c r="DQH29" s="25"/>
      <c r="DQI29" s="25"/>
      <c r="DQJ29" s="25"/>
      <c r="DQK29" s="25"/>
      <c r="DQL29" s="25"/>
      <c r="DQM29" s="25"/>
      <c r="DQN29" s="25"/>
      <c r="DQO29" s="25"/>
      <c r="DQP29" s="25"/>
      <c r="DQQ29" s="25"/>
      <c r="DQR29" s="25"/>
      <c r="DQS29" s="25"/>
      <c r="DQT29" s="25"/>
      <c r="DQU29" s="25"/>
      <c r="DQV29" s="25"/>
      <c r="DQW29" s="25"/>
      <c r="DQX29" s="25"/>
      <c r="DQY29" s="25"/>
      <c r="DQZ29" s="25"/>
      <c r="DRA29" s="25"/>
      <c r="DRB29" s="25"/>
      <c r="DRC29" s="25"/>
      <c r="DRD29" s="25"/>
      <c r="DRE29" s="25"/>
      <c r="DRF29" s="25"/>
      <c r="DRG29" s="25"/>
      <c r="DRH29" s="25"/>
      <c r="DRI29" s="25"/>
      <c r="DRJ29" s="25"/>
      <c r="DRK29" s="25"/>
      <c r="DRL29" s="25"/>
      <c r="DRM29" s="25"/>
      <c r="DRN29" s="25"/>
      <c r="DRO29" s="25"/>
      <c r="DRP29" s="25"/>
      <c r="DRQ29" s="25"/>
      <c r="DRR29" s="25"/>
      <c r="DRS29" s="25"/>
      <c r="DRT29" s="25"/>
      <c r="DRU29" s="25"/>
      <c r="DRV29" s="25"/>
      <c r="DRW29" s="25"/>
      <c r="DRX29" s="25"/>
      <c r="DRY29" s="25"/>
      <c r="DRZ29" s="25"/>
      <c r="DSA29" s="25"/>
      <c r="DSB29" s="25"/>
      <c r="DSC29" s="25"/>
      <c r="DSD29" s="25"/>
      <c r="DSE29" s="25"/>
      <c r="DSF29" s="25"/>
      <c r="DSG29" s="25"/>
      <c r="DSH29" s="25"/>
      <c r="DSI29" s="25"/>
      <c r="DSJ29" s="25"/>
      <c r="DSK29" s="25"/>
      <c r="DSL29" s="25"/>
      <c r="DSM29" s="25"/>
      <c r="DSN29" s="25"/>
      <c r="DSO29" s="25"/>
      <c r="DSP29" s="25"/>
      <c r="DSQ29" s="25"/>
      <c r="DSR29" s="25"/>
      <c r="DSS29" s="25"/>
      <c r="DST29" s="25"/>
      <c r="DSU29" s="25"/>
      <c r="DSV29" s="25"/>
      <c r="DSW29" s="25"/>
      <c r="DSX29" s="25"/>
      <c r="DSY29" s="25"/>
      <c r="DSZ29" s="25"/>
      <c r="DTA29" s="25"/>
      <c r="DTB29" s="25"/>
      <c r="DTC29" s="25"/>
      <c r="DTD29" s="25"/>
      <c r="DTE29" s="25"/>
      <c r="DTF29" s="25"/>
      <c r="DTG29" s="25"/>
      <c r="DTH29" s="25"/>
      <c r="DTI29" s="25"/>
      <c r="DTJ29" s="25"/>
      <c r="DTK29" s="25"/>
      <c r="DTL29" s="25"/>
      <c r="DTM29" s="25"/>
      <c r="DTN29" s="25"/>
      <c r="DTO29" s="25"/>
      <c r="DTP29" s="25"/>
      <c r="DTQ29" s="25"/>
      <c r="DTR29" s="25"/>
      <c r="DTS29" s="25"/>
      <c r="DTT29" s="25"/>
      <c r="DTU29" s="25"/>
      <c r="DTV29" s="25"/>
      <c r="DTW29" s="25"/>
      <c r="DTX29" s="25"/>
      <c r="DTY29" s="25"/>
      <c r="DTZ29" s="25"/>
      <c r="DUA29" s="25"/>
      <c r="DUB29" s="25"/>
      <c r="DUC29" s="25"/>
      <c r="DUD29" s="25"/>
      <c r="DUE29" s="25"/>
      <c r="DUF29" s="25"/>
      <c r="DUG29" s="25"/>
      <c r="DUH29" s="25"/>
      <c r="DUI29" s="25"/>
      <c r="DUJ29" s="25"/>
      <c r="DUK29" s="25"/>
      <c r="DUL29" s="25"/>
      <c r="DUM29" s="25"/>
      <c r="DUN29" s="25"/>
      <c r="DUO29" s="25"/>
      <c r="DUP29" s="25"/>
      <c r="DUQ29" s="25"/>
      <c r="DUR29" s="25"/>
      <c r="DUS29" s="25"/>
      <c r="DUT29" s="25"/>
      <c r="DUU29" s="25"/>
      <c r="DUV29" s="25"/>
      <c r="DUW29" s="25"/>
      <c r="DUX29" s="25"/>
      <c r="DUY29" s="25"/>
      <c r="DUZ29" s="25"/>
      <c r="DVA29" s="25"/>
      <c r="DVB29" s="25"/>
      <c r="DVC29" s="25"/>
      <c r="DVD29" s="25"/>
      <c r="DVE29" s="25"/>
      <c r="DVF29" s="25"/>
      <c r="DVG29" s="25"/>
      <c r="DVH29" s="25"/>
      <c r="DVI29" s="25"/>
      <c r="DVJ29" s="25"/>
      <c r="DVK29" s="25"/>
      <c r="DVL29" s="25"/>
      <c r="DVM29" s="25"/>
      <c r="DVN29" s="25"/>
      <c r="DVO29" s="25"/>
      <c r="DVP29" s="25"/>
      <c r="DVQ29" s="25"/>
      <c r="DVR29" s="25"/>
      <c r="DVS29" s="25"/>
      <c r="DVT29" s="25"/>
      <c r="DVU29" s="25"/>
      <c r="DVV29" s="25"/>
      <c r="DVW29" s="25"/>
      <c r="DVX29" s="25"/>
      <c r="DVY29" s="25"/>
      <c r="DVZ29" s="25"/>
      <c r="DWA29" s="25"/>
      <c r="DWB29" s="25"/>
      <c r="DWC29" s="25"/>
      <c r="DWD29" s="25"/>
      <c r="DWE29" s="25"/>
      <c r="DWF29" s="25"/>
      <c r="DWG29" s="25"/>
      <c r="DWH29" s="25"/>
      <c r="DWI29" s="25"/>
      <c r="DWJ29" s="25"/>
      <c r="DWK29" s="25"/>
      <c r="DWL29" s="25"/>
      <c r="DWM29" s="25"/>
      <c r="DWN29" s="25"/>
      <c r="DWO29" s="25"/>
      <c r="DWP29" s="25"/>
      <c r="DWQ29" s="25"/>
      <c r="DWR29" s="25"/>
      <c r="DWS29" s="25"/>
      <c r="DWT29" s="25"/>
      <c r="DWU29" s="25"/>
      <c r="DWV29" s="25"/>
      <c r="DWW29" s="25"/>
      <c r="DWX29" s="25"/>
      <c r="DWY29" s="25"/>
      <c r="DWZ29" s="25"/>
      <c r="DXA29" s="25"/>
      <c r="DXB29" s="25"/>
      <c r="DXC29" s="25"/>
      <c r="DXD29" s="25"/>
      <c r="DXE29" s="25"/>
      <c r="DXF29" s="25"/>
      <c r="DXG29" s="25"/>
      <c r="DXH29" s="25"/>
      <c r="DXI29" s="25"/>
      <c r="DXJ29" s="25"/>
      <c r="DXK29" s="25"/>
      <c r="DXL29" s="25"/>
      <c r="DXM29" s="25"/>
      <c r="DXN29" s="25"/>
      <c r="DXO29" s="25"/>
      <c r="DXP29" s="25"/>
      <c r="DXQ29" s="25"/>
      <c r="DXR29" s="25"/>
      <c r="DXS29" s="25"/>
      <c r="DXT29" s="25"/>
      <c r="DXU29" s="25"/>
      <c r="DXV29" s="25"/>
      <c r="DXW29" s="25"/>
      <c r="DXX29" s="25"/>
      <c r="DXY29" s="25"/>
      <c r="DXZ29" s="25"/>
      <c r="DYA29" s="25"/>
      <c r="DYB29" s="25"/>
      <c r="DYC29" s="25"/>
      <c r="DYD29" s="25"/>
      <c r="DYE29" s="25"/>
      <c r="DYF29" s="25"/>
      <c r="DYG29" s="25"/>
      <c r="DYH29" s="25"/>
      <c r="DYI29" s="25"/>
      <c r="DYJ29" s="25"/>
      <c r="DYK29" s="25"/>
      <c r="DYL29" s="25"/>
      <c r="DYM29" s="25"/>
      <c r="DYN29" s="25"/>
      <c r="DYO29" s="25"/>
      <c r="DYP29" s="25"/>
      <c r="DYQ29" s="25"/>
      <c r="DYR29" s="25"/>
      <c r="DYS29" s="25"/>
      <c r="DYT29" s="25"/>
      <c r="DYU29" s="25"/>
      <c r="DYV29" s="25"/>
      <c r="DYW29" s="25"/>
      <c r="DYX29" s="25"/>
      <c r="DYY29" s="25"/>
      <c r="DYZ29" s="25"/>
      <c r="DZA29" s="25"/>
      <c r="DZB29" s="25"/>
      <c r="DZC29" s="25"/>
      <c r="DZD29" s="25"/>
      <c r="DZE29" s="25"/>
      <c r="DZF29" s="25"/>
      <c r="DZG29" s="25"/>
      <c r="DZH29" s="25"/>
      <c r="DZI29" s="25"/>
      <c r="DZJ29" s="25"/>
      <c r="DZK29" s="25"/>
      <c r="DZL29" s="25"/>
      <c r="DZM29" s="25"/>
      <c r="DZN29" s="25"/>
      <c r="DZO29" s="25"/>
      <c r="DZP29" s="25"/>
      <c r="DZQ29" s="25"/>
      <c r="DZR29" s="25"/>
      <c r="DZS29" s="25"/>
      <c r="DZT29" s="25"/>
      <c r="DZU29" s="25"/>
      <c r="DZV29" s="25"/>
      <c r="DZW29" s="25"/>
      <c r="DZX29" s="25"/>
      <c r="DZY29" s="25"/>
      <c r="DZZ29" s="25"/>
      <c r="EAA29" s="25"/>
      <c r="EAB29" s="25"/>
      <c r="EAC29" s="25"/>
      <c r="EAD29" s="25"/>
      <c r="EAE29" s="25"/>
      <c r="EAF29" s="25"/>
      <c r="EAG29" s="25"/>
      <c r="EAH29" s="25"/>
      <c r="EAI29" s="25"/>
      <c r="EAJ29" s="25"/>
      <c r="EAK29" s="25"/>
      <c r="EAL29" s="25"/>
      <c r="EAM29" s="25"/>
      <c r="EAN29" s="25"/>
      <c r="EAO29" s="25"/>
      <c r="EAP29" s="25"/>
      <c r="EAQ29" s="25"/>
      <c r="EAR29" s="25"/>
      <c r="EAS29" s="25"/>
      <c r="EAT29" s="25"/>
      <c r="EAU29" s="25"/>
      <c r="EAV29" s="25"/>
      <c r="EAW29" s="25"/>
      <c r="EAX29" s="25"/>
      <c r="EAY29" s="25"/>
      <c r="EAZ29" s="25"/>
      <c r="EBA29" s="25"/>
      <c r="EBB29" s="25"/>
      <c r="EBC29" s="25"/>
      <c r="EBD29" s="25"/>
      <c r="EBE29" s="25"/>
      <c r="EBF29" s="25"/>
      <c r="EBG29" s="25"/>
      <c r="EBH29" s="25"/>
      <c r="EBI29" s="25"/>
      <c r="EBJ29" s="25"/>
      <c r="EBK29" s="25"/>
      <c r="EBL29" s="25"/>
      <c r="EBM29" s="25"/>
      <c r="EBN29" s="25"/>
      <c r="EBO29" s="25"/>
      <c r="EBP29" s="25"/>
      <c r="EBQ29" s="25"/>
      <c r="EBR29" s="25"/>
      <c r="EBS29" s="25"/>
      <c r="EBT29" s="25"/>
      <c r="EBU29" s="25"/>
      <c r="EBV29" s="25"/>
      <c r="EBW29" s="25"/>
      <c r="EBX29" s="25"/>
      <c r="EBY29" s="25"/>
      <c r="EBZ29" s="25"/>
      <c r="ECA29" s="25"/>
      <c r="ECB29" s="25"/>
      <c r="ECC29" s="25"/>
      <c r="ECD29" s="25"/>
      <c r="ECE29" s="25"/>
      <c r="ECF29" s="25"/>
      <c r="ECG29" s="25"/>
      <c r="ECH29" s="25"/>
      <c r="ECI29" s="25"/>
      <c r="ECJ29" s="25"/>
      <c r="ECK29" s="25"/>
      <c r="ECL29" s="25"/>
      <c r="ECM29" s="25"/>
      <c r="ECN29" s="25"/>
      <c r="ECO29" s="25"/>
      <c r="ECP29" s="25"/>
      <c r="ECQ29" s="25"/>
      <c r="ECR29" s="25"/>
      <c r="ECS29" s="25"/>
      <c r="ECT29" s="25"/>
      <c r="ECU29" s="25"/>
      <c r="ECV29" s="25"/>
      <c r="ECW29" s="25"/>
      <c r="ECX29" s="25"/>
      <c r="ECY29" s="25"/>
      <c r="ECZ29" s="25"/>
      <c r="EDA29" s="25"/>
      <c r="EDB29" s="25"/>
      <c r="EDC29" s="25"/>
      <c r="EDD29" s="25"/>
      <c r="EDE29" s="25"/>
      <c r="EDF29" s="25"/>
      <c r="EDG29" s="25"/>
      <c r="EDH29" s="25"/>
      <c r="EDI29" s="25"/>
      <c r="EDJ29" s="25"/>
      <c r="EDK29" s="25"/>
      <c r="EDL29" s="25"/>
      <c r="EDM29" s="25"/>
      <c r="EDN29" s="25"/>
      <c r="EDO29" s="25"/>
      <c r="EDP29" s="25"/>
      <c r="EDQ29" s="25"/>
      <c r="EDR29" s="25"/>
      <c r="EDS29" s="25"/>
      <c r="EDT29" s="25"/>
      <c r="EDU29" s="25"/>
      <c r="EDV29" s="25"/>
      <c r="EDW29" s="25"/>
      <c r="EDX29" s="25"/>
      <c r="EDY29" s="25"/>
      <c r="EDZ29" s="25"/>
      <c r="EEA29" s="25"/>
      <c r="EEB29" s="25"/>
      <c r="EEC29" s="25"/>
      <c r="EED29" s="25"/>
      <c r="EEE29" s="25"/>
      <c r="EEF29" s="25"/>
      <c r="EEG29" s="25"/>
      <c r="EEH29" s="25"/>
      <c r="EEI29" s="25"/>
      <c r="EEJ29" s="25"/>
      <c r="EEK29" s="25"/>
      <c r="EEL29" s="25"/>
      <c r="EEM29" s="25"/>
      <c r="EEN29" s="25"/>
      <c r="EEO29" s="25"/>
      <c r="EEP29" s="25"/>
      <c r="EEQ29" s="25"/>
      <c r="EER29" s="25"/>
      <c r="EES29" s="25"/>
      <c r="EET29" s="25"/>
      <c r="EEU29" s="25"/>
      <c r="EEV29" s="25"/>
      <c r="EEW29" s="25"/>
      <c r="EEX29" s="25"/>
      <c r="EEY29" s="25"/>
      <c r="EEZ29" s="25"/>
      <c r="EFA29" s="25"/>
      <c r="EFB29" s="25"/>
      <c r="EFC29" s="25"/>
      <c r="EFD29" s="25"/>
      <c r="EFE29" s="25"/>
      <c r="EFF29" s="25"/>
      <c r="EFG29" s="25"/>
      <c r="EFH29" s="25"/>
      <c r="EFI29" s="25"/>
      <c r="EFJ29" s="25"/>
      <c r="EFK29" s="25"/>
      <c r="EFL29" s="25"/>
      <c r="EFM29" s="25"/>
      <c r="EFN29" s="25"/>
      <c r="EFO29" s="25"/>
      <c r="EFP29" s="25"/>
      <c r="EFQ29" s="25"/>
      <c r="EFR29" s="25"/>
      <c r="EFS29" s="25"/>
      <c r="EFT29" s="25"/>
      <c r="EFU29" s="25"/>
      <c r="EFV29" s="25"/>
      <c r="EFW29" s="25"/>
      <c r="EFX29" s="25"/>
      <c r="EFY29" s="25"/>
      <c r="EFZ29" s="25"/>
      <c r="EGA29" s="25"/>
      <c r="EGB29" s="25"/>
      <c r="EGC29" s="25"/>
      <c r="EGD29" s="25"/>
      <c r="EGE29" s="25"/>
      <c r="EGF29" s="25"/>
      <c r="EGG29" s="25"/>
      <c r="EGH29" s="25"/>
      <c r="EGI29" s="25"/>
      <c r="EGJ29" s="25"/>
      <c r="EGK29" s="25"/>
      <c r="EGL29" s="25"/>
      <c r="EGM29" s="25"/>
      <c r="EGN29" s="25"/>
      <c r="EGO29" s="25"/>
      <c r="EGP29" s="25"/>
      <c r="EGQ29" s="25"/>
      <c r="EGR29" s="25"/>
      <c r="EGS29" s="25"/>
      <c r="EGT29" s="25"/>
      <c r="EGU29" s="25"/>
      <c r="EGV29" s="25"/>
      <c r="EGW29" s="25"/>
      <c r="EGX29" s="25"/>
      <c r="EGY29" s="25"/>
      <c r="EGZ29" s="25"/>
      <c r="EHA29" s="25"/>
      <c r="EHB29" s="25"/>
      <c r="EHC29" s="25"/>
      <c r="EHD29" s="25"/>
      <c r="EHE29" s="25"/>
      <c r="EHF29" s="25"/>
      <c r="EHG29" s="25"/>
      <c r="EHH29" s="25"/>
      <c r="EHI29" s="25"/>
      <c r="EHJ29" s="25"/>
      <c r="EHK29" s="25"/>
      <c r="EHL29" s="25"/>
      <c r="EHM29" s="25"/>
      <c r="EHN29" s="25"/>
      <c r="EHO29" s="25"/>
      <c r="EHP29" s="25"/>
      <c r="EHQ29" s="25"/>
      <c r="EHR29" s="25"/>
      <c r="EHS29" s="25"/>
      <c r="EHT29" s="25"/>
      <c r="EHU29" s="25"/>
      <c r="EHV29" s="25"/>
      <c r="EHW29" s="25"/>
      <c r="EHX29" s="25"/>
      <c r="EHY29" s="25"/>
      <c r="EHZ29" s="25"/>
      <c r="EIA29" s="25"/>
      <c r="EIB29" s="25"/>
      <c r="EIC29" s="25"/>
      <c r="EID29" s="25"/>
      <c r="EIE29" s="25"/>
      <c r="EIF29" s="25"/>
      <c r="EIG29" s="25"/>
      <c r="EIH29" s="25"/>
      <c r="EII29" s="25"/>
      <c r="EIJ29" s="25"/>
      <c r="EIK29" s="25"/>
      <c r="EIL29" s="25"/>
      <c r="EIM29" s="25"/>
      <c r="EIN29" s="25"/>
      <c r="EIO29" s="25"/>
      <c r="EIP29" s="25"/>
      <c r="EIQ29" s="25"/>
      <c r="EIR29" s="25"/>
      <c r="EIS29" s="25"/>
      <c r="EIT29" s="25"/>
      <c r="EIU29" s="25"/>
      <c r="EIV29" s="25"/>
      <c r="EIW29" s="25"/>
      <c r="EIX29" s="25"/>
      <c r="EIY29" s="25"/>
      <c r="EIZ29" s="25"/>
      <c r="EJA29" s="25"/>
      <c r="EJB29" s="25"/>
      <c r="EJC29" s="25"/>
      <c r="EJD29" s="25"/>
      <c r="EJE29" s="25"/>
      <c r="EJF29" s="25"/>
      <c r="EJG29" s="25"/>
      <c r="EJH29" s="25"/>
      <c r="EJI29" s="25"/>
      <c r="EJJ29" s="25"/>
      <c r="EJK29" s="25"/>
      <c r="EJL29" s="25"/>
      <c r="EJM29" s="25"/>
      <c r="EJN29" s="25"/>
      <c r="EJO29" s="25"/>
      <c r="EJP29" s="25"/>
      <c r="EJQ29" s="25"/>
      <c r="EJR29" s="25"/>
      <c r="EJS29" s="25"/>
      <c r="EJT29" s="25"/>
      <c r="EJU29" s="25"/>
      <c r="EJV29" s="25"/>
      <c r="EJW29" s="25"/>
      <c r="EJX29" s="25"/>
      <c r="EJY29" s="25"/>
      <c r="EJZ29" s="25"/>
      <c r="EKA29" s="25"/>
      <c r="EKB29" s="25"/>
      <c r="EKC29" s="25"/>
      <c r="EKD29" s="25"/>
      <c r="EKE29" s="25"/>
      <c r="EKF29" s="25"/>
      <c r="EKG29" s="25"/>
      <c r="EKH29" s="25"/>
      <c r="EKI29" s="25"/>
      <c r="EKJ29" s="25"/>
      <c r="EKK29" s="25"/>
      <c r="EKL29" s="25"/>
      <c r="EKM29" s="25"/>
      <c r="EKN29" s="25"/>
      <c r="EKO29" s="25"/>
      <c r="EKP29" s="25"/>
      <c r="EKQ29" s="25"/>
      <c r="EKR29" s="25"/>
      <c r="EKS29" s="25"/>
      <c r="EKT29" s="25"/>
      <c r="EKU29" s="25"/>
      <c r="EKV29" s="25"/>
      <c r="EKW29" s="25"/>
      <c r="EKX29" s="25"/>
      <c r="EKY29" s="25"/>
      <c r="EKZ29" s="25"/>
      <c r="ELA29" s="25"/>
      <c r="ELB29" s="25"/>
      <c r="ELC29" s="25"/>
      <c r="ELD29" s="25"/>
      <c r="ELE29" s="25"/>
      <c r="ELF29" s="25"/>
      <c r="ELG29" s="25"/>
      <c r="ELH29" s="25"/>
      <c r="ELI29" s="25"/>
      <c r="ELJ29" s="25"/>
      <c r="ELK29" s="25"/>
      <c r="ELL29" s="25"/>
      <c r="ELM29" s="25"/>
      <c r="ELN29" s="25"/>
      <c r="ELO29" s="25"/>
      <c r="ELP29" s="25"/>
      <c r="ELQ29" s="25"/>
      <c r="ELR29" s="25"/>
      <c r="ELS29" s="25"/>
      <c r="ELT29" s="25"/>
      <c r="ELU29" s="25"/>
      <c r="ELV29" s="25"/>
      <c r="ELW29" s="25"/>
      <c r="ELX29" s="25"/>
      <c r="ELY29" s="25"/>
      <c r="ELZ29" s="25"/>
      <c r="EMA29" s="25"/>
      <c r="EMB29" s="25"/>
      <c r="EMC29" s="25"/>
      <c r="EMD29" s="25"/>
      <c r="EME29" s="25"/>
      <c r="EMF29" s="25"/>
      <c r="EMG29" s="25"/>
      <c r="EMH29" s="25"/>
      <c r="EMI29" s="25"/>
      <c r="EMJ29" s="25"/>
      <c r="EMK29" s="25"/>
      <c r="EML29" s="25"/>
      <c r="EMM29" s="25"/>
      <c r="EMN29" s="25"/>
      <c r="EMO29" s="25"/>
      <c r="EMP29" s="25"/>
      <c r="EMQ29" s="25"/>
      <c r="EMR29" s="25"/>
      <c r="EMS29" s="25"/>
      <c r="EMT29" s="25"/>
      <c r="EMU29" s="25"/>
      <c r="EMV29" s="25"/>
      <c r="EMW29" s="25"/>
      <c r="EMX29" s="25"/>
      <c r="EMY29" s="25"/>
      <c r="EMZ29" s="25"/>
      <c r="ENA29" s="25"/>
      <c r="ENB29" s="25"/>
      <c r="ENC29" s="25"/>
      <c r="END29" s="25"/>
      <c r="ENE29" s="25"/>
      <c r="ENF29" s="25"/>
      <c r="ENG29" s="25"/>
      <c r="ENH29" s="25"/>
      <c r="ENI29" s="25"/>
      <c r="ENJ29" s="25"/>
      <c r="ENK29" s="25"/>
      <c r="ENL29" s="25"/>
      <c r="ENM29" s="25"/>
      <c r="ENN29" s="25"/>
      <c r="ENO29" s="25"/>
      <c r="ENP29" s="25"/>
      <c r="ENQ29" s="25"/>
      <c r="ENR29" s="25"/>
      <c r="ENS29" s="25"/>
      <c r="ENT29" s="25"/>
      <c r="ENU29" s="25"/>
      <c r="ENV29" s="25"/>
      <c r="ENW29" s="25"/>
      <c r="ENX29" s="25"/>
      <c r="ENY29" s="25"/>
      <c r="ENZ29" s="25"/>
      <c r="EOA29" s="25"/>
      <c r="EOB29" s="25"/>
      <c r="EOC29" s="25"/>
      <c r="EOD29" s="25"/>
      <c r="EOE29" s="25"/>
      <c r="EOF29" s="25"/>
      <c r="EOG29" s="25"/>
      <c r="EOH29" s="25"/>
      <c r="EOI29" s="25"/>
      <c r="EOJ29" s="25"/>
      <c r="EOK29" s="25"/>
      <c r="EOL29" s="25"/>
      <c r="EOM29" s="25"/>
      <c r="EON29" s="25"/>
      <c r="EOO29" s="25"/>
      <c r="EOP29" s="25"/>
      <c r="EOQ29" s="25"/>
      <c r="EOR29" s="25"/>
      <c r="EOS29" s="25"/>
      <c r="EOT29" s="25"/>
      <c r="EOU29" s="25"/>
      <c r="EOV29" s="25"/>
      <c r="EOW29" s="25"/>
      <c r="EOX29" s="25"/>
      <c r="EOY29" s="25"/>
      <c r="EOZ29" s="25"/>
      <c r="EPA29" s="25"/>
      <c r="EPB29" s="25"/>
      <c r="EPC29" s="25"/>
      <c r="EPD29" s="25"/>
      <c r="EPE29" s="25"/>
      <c r="EPF29" s="25"/>
      <c r="EPG29" s="25"/>
      <c r="EPH29" s="25"/>
      <c r="EPI29" s="25"/>
      <c r="EPJ29" s="25"/>
      <c r="EPK29" s="25"/>
      <c r="EPL29" s="25"/>
      <c r="EPM29" s="25"/>
      <c r="EPN29" s="25"/>
      <c r="EPO29" s="25"/>
      <c r="EPP29" s="25"/>
      <c r="EPQ29" s="25"/>
      <c r="EPR29" s="25"/>
      <c r="EPS29" s="25"/>
      <c r="EPT29" s="25"/>
      <c r="EPU29" s="25"/>
      <c r="EPV29" s="25"/>
      <c r="EPW29" s="25"/>
      <c r="EPX29" s="25"/>
      <c r="EPY29" s="25"/>
      <c r="EPZ29" s="25"/>
      <c r="EQA29" s="25"/>
      <c r="EQB29" s="25"/>
      <c r="EQC29" s="25"/>
      <c r="EQD29" s="25"/>
      <c r="EQE29" s="25"/>
      <c r="EQF29" s="25"/>
      <c r="EQG29" s="25"/>
      <c r="EQH29" s="25"/>
      <c r="EQI29" s="25"/>
      <c r="EQJ29" s="25"/>
      <c r="EQK29" s="25"/>
      <c r="EQL29" s="25"/>
      <c r="EQM29" s="25"/>
      <c r="EQN29" s="25"/>
      <c r="EQO29" s="25"/>
      <c r="EQP29" s="25"/>
      <c r="EQQ29" s="25"/>
      <c r="EQR29" s="25"/>
      <c r="EQS29" s="25"/>
      <c r="EQT29" s="25"/>
      <c r="EQU29" s="25"/>
      <c r="EQV29" s="25"/>
      <c r="EQW29" s="25"/>
      <c r="EQX29" s="25"/>
      <c r="EQY29" s="25"/>
      <c r="EQZ29" s="25"/>
      <c r="ERA29" s="25"/>
      <c r="ERB29" s="25"/>
      <c r="ERC29" s="25"/>
      <c r="ERD29" s="25"/>
      <c r="ERE29" s="25"/>
      <c r="ERF29" s="25"/>
      <c r="ERG29" s="25"/>
      <c r="ERH29" s="25"/>
      <c r="ERI29" s="25"/>
      <c r="ERJ29" s="25"/>
      <c r="ERK29" s="25"/>
      <c r="ERL29" s="25"/>
      <c r="ERM29" s="25"/>
      <c r="ERN29" s="25"/>
      <c r="ERO29" s="25"/>
      <c r="ERP29" s="25"/>
      <c r="ERQ29" s="25"/>
      <c r="ERR29" s="25"/>
      <c r="ERS29" s="25"/>
      <c r="ERT29" s="25"/>
      <c r="ERU29" s="25"/>
      <c r="ERV29" s="25"/>
      <c r="ERW29" s="25"/>
      <c r="ERX29" s="25"/>
      <c r="ERY29" s="25"/>
      <c r="ERZ29" s="25"/>
      <c r="ESA29" s="25"/>
      <c r="ESB29" s="25"/>
      <c r="ESC29" s="25"/>
      <c r="ESD29" s="25"/>
      <c r="ESE29" s="25"/>
      <c r="ESF29" s="25"/>
      <c r="ESG29" s="25"/>
      <c r="ESH29" s="25"/>
      <c r="ESI29" s="25"/>
      <c r="ESJ29" s="25"/>
      <c r="ESK29" s="25"/>
      <c r="ESL29" s="25"/>
      <c r="ESM29" s="25"/>
      <c r="ESN29" s="25"/>
      <c r="ESO29" s="25"/>
      <c r="ESP29" s="25"/>
      <c r="ESQ29" s="25"/>
      <c r="ESR29" s="25"/>
      <c r="ESS29" s="25"/>
      <c r="EST29" s="25"/>
      <c r="ESU29" s="25"/>
      <c r="ESV29" s="25"/>
      <c r="ESW29" s="25"/>
      <c r="ESX29" s="25"/>
      <c r="ESY29" s="25"/>
      <c r="ESZ29" s="25"/>
      <c r="ETA29" s="25"/>
      <c r="ETB29" s="25"/>
      <c r="ETC29" s="25"/>
      <c r="ETD29" s="25"/>
      <c r="ETE29" s="25"/>
      <c r="ETF29" s="25"/>
      <c r="ETG29" s="25"/>
      <c r="ETH29" s="25"/>
      <c r="ETI29" s="25"/>
      <c r="ETJ29" s="25"/>
      <c r="ETK29" s="25"/>
      <c r="ETL29" s="25"/>
      <c r="ETM29" s="25"/>
      <c r="ETN29" s="25"/>
      <c r="ETO29" s="25"/>
      <c r="ETP29" s="25"/>
      <c r="ETQ29" s="25"/>
      <c r="ETR29" s="25"/>
      <c r="ETS29" s="25"/>
      <c r="ETT29" s="25"/>
      <c r="ETU29" s="25"/>
      <c r="ETV29" s="25"/>
      <c r="ETW29" s="25"/>
      <c r="ETX29" s="25"/>
      <c r="ETY29" s="25"/>
      <c r="ETZ29" s="25"/>
      <c r="EUA29" s="25"/>
      <c r="EUB29" s="25"/>
      <c r="EUC29" s="25"/>
      <c r="EUD29" s="25"/>
      <c r="EUE29" s="25"/>
      <c r="EUF29" s="25"/>
      <c r="EUG29" s="25"/>
      <c r="EUH29" s="25"/>
      <c r="EUI29" s="25"/>
      <c r="EUJ29" s="25"/>
      <c r="EUK29" s="25"/>
      <c r="EUL29" s="25"/>
      <c r="EUM29" s="25"/>
      <c r="EUN29" s="25"/>
      <c r="EUO29" s="25"/>
      <c r="EUP29" s="25"/>
      <c r="EUQ29" s="25"/>
      <c r="EUR29" s="25"/>
      <c r="EUS29" s="25"/>
      <c r="EUT29" s="25"/>
      <c r="EUU29" s="25"/>
      <c r="EUV29" s="25"/>
      <c r="EUW29" s="25"/>
      <c r="EUX29" s="25"/>
      <c r="EUY29" s="25"/>
      <c r="EUZ29" s="25"/>
      <c r="EVA29" s="25"/>
      <c r="EVB29" s="25"/>
      <c r="EVC29" s="25"/>
      <c r="EVD29" s="25"/>
      <c r="EVE29" s="25"/>
      <c r="EVF29" s="25"/>
      <c r="EVG29" s="25"/>
      <c r="EVH29" s="25"/>
      <c r="EVI29" s="25"/>
      <c r="EVJ29" s="25"/>
      <c r="EVK29" s="25"/>
      <c r="EVL29" s="25"/>
      <c r="EVM29" s="25"/>
      <c r="EVN29" s="25"/>
      <c r="EVO29" s="25"/>
      <c r="EVP29" s="25"/>
      <c r="EVQ29" s="25"/>
      <c r="EVR29" s="25"/>
      <c r="EVS29" s="25"/>
      <c r="EVT29" s="25"/>
      <c r="EVU29" s="25"/>
      <c r="EVV29" s="25"/>
      <c r="EVW29" s="25"/>
      <c r="EVX29" s="25"/>
      <c r="EVY29" s="25"/>
      <c r="EVZ29" s="25"/>
      <c r="EWA29" s="25"/>
      <c r="EWB29" s="25"/>
      <c r="EWC29" s="25"/>
      <c r="EWD29" s="25"/>
      <c r="EWE29" s="25"/>
      <c r="EWF29" s="25"/>
      <c r="EWG29" s="25"/>
      <c r="EWH29" s="25"/>
      <c r="EWI29" s="25"/>
      <c r="EWJ29" s="25"/>
      <c r="EWK29" s="25"/>
      <c r="EWL29" s="25"/>
      <c r="EWM29" s="25"/>
      <c r="EWN29" s="25"/>
      <c r="EWO29" s="25"/>
      <c r="EWP29" s="25"/>
      <c r="EWQ29" s="25"/>
      <c r="EWR29" s="25"/>
      <c r="EWS29" s="25"/>
      <c r="EWT29" s="25"/>
      <c r="EWU29" s="25"/>
      <c r="EWV29" s="25"/>
      <c r="EWW29" s="25"/>
      <c r="EWX29" s="25"/>
      <c r="EWY29" s="25"/>
      <c r="EWZ29" s="25"/>
      <c r="EXA29" s="25"/>
      <c r="EXB29" s="25"/>
      <c r="EXC29" s="25"/>
      <c r="EXD29" s="25"/>
      <c r="EXE29" s="25"/>
      <c r="EXF29" s="25"/>
      <c r="EXG29" s="25"/>
      <c r="EXH29" s="25"/>
      <c r="EXI29" s="25"/>
      <c r="EXJ29" s="25"/>
      <c r="EXK29" s="25"/>
      <c r="EXL29" s="25"/>
      <c r="EXM29" s="25"/>
      <c r="EXN29" s="25"/>
      <c r="EXO29" s="25"/>
      <c r="EXP29" s="25"/>
      <c r="EXQ29" s="25"/>
      <c r="EXR29" s="25"/>
      <c r="EXS29" s="25"/>
      <c r="EXT29" s="25"/>
      <c r="EXU29" s="25"/>
      <c r="EXV29" s="25"/>
      <c r="EXW29" s="25"/>
      <c r="EXX29" s="25"/>
      <c r="EXY29" s="25"/>
      <c r="EXZ29" s="25"/>
      <c r="EYA29" s="25"/>
      <c r="EYB29" s="25"/>
      <c r="EYC29" s="25"/>
      <c r="EYD29" s="25"/>
      <c r="EYE29" s="25"/>
      <c r="EYF29" s="25"/>
      <c r="EYG29" s="25"/>
      <c r="EYH29" s="25"/>
      <c r="EYI29" s="25"/>
      <c r="EYJ29" s="25"/>
      <c r="EYK29" s="25"/>
      <c r="EYL29" s="25"/>
      <c r="EYM29" s="25"/>
      <c r="EYN29" s="25"/>
      <c r="EYO29" s="25"/>
      <c r="EYP29" s="25"/>
      <c r="EYQ29" s="25"/>
      <c r="EYR29" s="25"/>
      <c r="EYS29" s="25"/>
      <c r="EYT29" s="25"/>
      <c r="EYU29" s="25"/>
      <c r="EYV29" s="25"/>
      <c r="EYW29" s="25"/>
      <c r="EYX29" s="25"/>
      <c r="EYY29" s="25"/>
      <c r="EYZ29" s="25"/>
      <c r="EZA29" s="25"/>
      <c r="EZB29" s="25"/>
      <c r="EZC29" s="25"/>
      <c r="EZD29" s="25"/>
      <c r="EZE29" s="25"/>
      <c r="EZF29" s="25"/>
      <c r="EZG29" s="25"/>
      <c r="EZH29" s="25"/>
      <c r="EZI29" s="25"/>
      <c r="EZJ29" s="25"/>
      <c r="EZK29" s="25"/>
      <c r="EZL29" s="25"/>
      <c r="EZM29" s="25"/>
      <c r="EZN29" s="25"/>
      <c r="EZO29" s="25"/>
      <c r="EZP29" s="25"/>
      <c r="EZQ29" s="25"/>
      <c r="EZR29" s="25"/>
      <c r="EZS29" s="25"/>
      <c r="EZT29" s="25"/>
      <c r="EZU29" s="25"/>
      <c r="EZV29" s="25"/>
      <c r="EZW29" s="25"/>
      <c r="EZX29" s="25"/>
      <c r="EZY29" s="25"/>
      <c r="EZZ29" s="25"/>
      <c r="FAA29" s="25"/>
      <c r="FAB29" s="25"/>
      <c r="FAC29" s="25"/>
      <c r="FAD29" s="25"/>
      <c r="FAE29" s="25"/>
      <c r="FAF29" s="25"/>
      <c r="FAG29" s="25"/>
      <c r="FAH29" s="25"/>
      <c r="FAI29" s="25"/>
      <c r="FAJ29" s="25"/>
      <c r="FAK29" s="25"/>
      <c r="FAL29" s="25"/>
      <c r="FAM29" s="25"/>
      <c r="FAN29" s="25"/>
      <c r="FAO29" s="25"/>
      <c r="FAP29" s="25"/>
      <c r="FAQ29" s="25"/>
      <c r="FAR29" s="25"/>
      <c r="FAS29" s="25"/>
      <c r="FAT29" s="25"/>
      <c r="FAU29" s="25"/>
      <c r="FAV29" s="25"/>
      <c r="FAW29" s="25"/>
      <c r="FAX29" s="25"/>
      <c r="FAY29" s="25"/>
      <c r="FAZ29" s="25"/>
      <c r="FBA29" s="25"/>
      <c r="FBB29" s="25"/>
      <c r="FBC29" s="25"/>
      <c r="FBD29" s="25"/>
      <c r="FBE29" s="25"/>
      <c r="FBF29" s="25"/>
      <c r="FBG29" s="25"/>
      <c r="FBH29" s="25"/>
      <c r="FBI29" s="25"/>
      <c r="FBJ29" s="25"/>
      <c r="FBK29" s="25"/>
      <c r="FBL29" s="25"/>
      <c r="FBM29" s="25"/>
      <c r="FBN29" s="25"/>
      <c r="FBO29" s="25"/>
      <c r="FBP29" s="25"/>
      <c r="FBQ29" s="25"/>
      <c r="FBR29" s="25"/>
      <c r="FBS29" s="25"/>
      <c r="FBT29" s="25"/>
      <c r="FBU29" s="25"/>
      <c r="FBV29" s="25"/>
      <c r="FBW29" s="25"/>
      <c r="FBX29" s="25"/>
      <c r="FBY29" s="25"/>
      <c r="FBZ29" s="25"/>
      <c r="FCA29" s="25"/>
      <c r="FCB29" s="25"/>
      <c r="FCC29" s="25"/>
      <c r="FCD29" s="25"/>
      <c r="FCE29" s="25"/>
      <c r="FCF29" s="25"/>
      <c r="FCG29" s="25"/>
      <c r="FCH29" s="25"/>
      <c r="FCI29" s="25"/>
      <c r="FCJ29" s="25"/>
      <c r="FCK29" s="25"/>
      <c r="FCL29" s="25"/>
      <c r="FCM29" s="25"/>
      <c r="FCN29" s="25"/>
      <c r="FCO29" s="25"/>
      <c r="FCP29" s="25"/>
      <c r="FCQ29" s="25"/>
      <c r="FCR29" s="25"/>
      <c r="FCS29" s="25"/>
      <c r="FCT29" s="25"/>
      <c r="FCU29" s="25"/>
      <c r="FCV29" s="25"/>
      <c r="FCW29" s="25"/>
      <c r="FCX29" s="25"/>
      <c r="FCY29" s="25"/>
      <c r="FCZ29" s="25"/>
      <c r="FDA29" s="25"/>
      <c r="FDB29" s="25"/>
      <c r="FDC29" s="25"/>
      <c r="FDD29" s="25"/>
      <c r="FDE29" s="25"/>
      <c r="FDF29" s="25"/>
      <c r="FDG29" s="25"/>
      <c r="FDH29" s="25"/>
      <c r="FDI29" s="25"/>
      <c r="FDJ29" s="25"/>
      <c r="FDK29" s="25"/>
      <c r="FDL29" s="25"/>
      <c r="FDM29" s="25"/>
      <c r="FDN29" s="25"/>
      <c r="FDO29" s="25"/>
      <c r="FDP29" s="25"/>
      <c r="FDQ29" s="25"/>
      <c r="FDR29" s="25"/>
      <c r="FDS29" s="25"/>
      <c r="FDT29" s="25"/>
      <c r="FDU29" s="25"/>
      <c r="FDV29" s="25"/>
      <c r="FDW29" s="25"/>
      <c r="FDX29" s="25"/>
      <c r="FDY29" s="25"/>
      <c r="FDZ29" s="25"/>
      <c r="FEA29" s="25"/>
      <c r="FEB29" s="25"/>
      <c r="FEC29" s="25"/>
      <c r="FED29" s="25"/>
      <c r="FEE29" s="25"/>
      <c r="FEF29" s="25"/>
      <c r="FEG29" s="25"/>
      <c r="FEH29" s="25"/>
      <c r="FEI29" s="25"/>
      <c r="FEJ29" s="25"/>
      <c r="FEK29" s="25"/>
      <c r="FEL29" s="25"/>
      <c r="FEM29" s="25"/>
      <c r="FEN29" s="25"/>
      <c r="FEO29" s="25"/>
      <c r="FEP29" s="25"/>
      <c r="FEQ29" s="25"/>
      <c r="FER29" s="25"/>
      <c r="FES29" s="25"/>
      <c r="FET29" s="25"/>
      <c r="FEU29" s="25"/>
      <c r="FEV29" s="25"/>
      <c r="FEW29" s="25"/>
      <c r="FEX29" s="25"/>
      <c r="FEY29" s="25"/>
      <c r="FEZ29" s="25"/>
      <c r="FFA29" s="25"/>
      <c r="FFB29" s="25"/>
      <c r="FFC29" s="25"/>
      <c r="FFD29" s="25"/>
      <c r="FFE29" s="25"/>
      <c r="FFF29" s="25"/>
      <c r="FFG29" s="25"/>
      <c r="FFH29" s="25"/>
      <c r="FFI29" s="25"/>
      <c r="FFJ29" s="25"/>
      <c r="FFK29" s="25"/>
      <c r="FFL29" s="25"/>
      <c r="FFM29" s="25"/>
      <c r="FFN29" s="25"/>
      <c r="FFO29" s="25"/>
      <c r="FFP29" s="25"/>
      <c r="FFQ29" s="25"/>
      <c r="FFR29" s="25"/>
      <c r="FFS29" s="25"/>
      <c r="FFT29" s="25"/>
      <c r="FFU29" s="25"/>
      <c r="FFV29" s="25"/>
      <c r="FFW29" s="25"/>
      <c r="FFX29" s="25"/>
      <c r="FFY29" s="25"/>
      <c r="FFZ29" s="25"/>
      <c r="FGA29" s="25"/>
      <c r="FGB29" s="25"/>
      <c r="FGC29" s="25"/>
      <c r="FGD29" s="25"/>
      <c r="FGE29" s="25"/>
      <c r="FGF29" s="25"/>
      <c r="FGG29" s="25"/>
      <c r="FGH29" s="25"/>
      <c r="FGI29" s="25"/>
      <c r="FGJ29" s="25"/>
      <c r="FGK29" s="25"/>
      <c r="FGL29" s="25"/>
      <c r="FGM29" s="25"/>
      <c r="FGN29" s="25"/>
      <c r="FGO29" s="25"/>
      <c r="FGP29" s="25"/>
      <c r="FGQ29" s="25"/>
      <c r="FGR29" s="25"/>
      <c r="FGS29" s="25"/>
      <c r="FGT29" s="25"/>
      <c r="FGU29" s="25"/>
      <c r="FGV29" s="25"/>
      <c r="FGW29" s="25"/>
      <c r="FGX29" s="25"/>
      <c r="FGY29" s="25"/>
      <c r="FGZ29" s="25"/>
      <c r="FHA29" s="25"/>
      <c r="FHB29" s="25"/>
      <c r="FHC29" s="25"/>
      <c r="FHD29" s="25"/>
      <c r="FHE29" s="25"/>
      <c r="FHF29" s="25"/>
      <c r="FHG29" s="25"/>
      <c r="FHH29" s="25"/>
      <c r="FHI29" s="25"/>
      <c r="FHJ29" s="25"/>
      <c r="FHK29" s="25"/>
      <c r="FHL29" s="25"/>
      <c r="FHM29" s="25"/>
      <c r="FHN29" s="25"/>
      <c r="FHO29" s="25"/>
      <c r="FHP29" s="25"/>
      <c r="FHQ29" s="25"/>
      <c r="FHR29" s="25"/>
      <c r="FHS29" s="25"/>
      <c r="FHT29" s="25"/>
      <c r="FHU29" s="25"/>
      <c r="FHV29" s="25"/>
      <c r="FHW29" s="25"/>
      <c r="FHX29" s="25"/>
      <c r="FHY29" s="25"/>
      <c r="FHZ29" s="25"/>
      <c r="FIA29" s="25"/>
      <c r="FIB29" s="25"/>
      <c r="FIC29" s="25"/>
      <c r="FID29" s="25"/>
      <c r="FIE29" s="25"/>
      <c r="FIF29" s="25"/>
      <c r="FIG29" s="25"/>
      <c r="FIH29" s="25"/>
      <c r="FII29" s="25"/>
      <c r="FIJ29" s="25"/>
      <c r="FIK29" s="25"/>
      <c r="FIL29" s="25"/>
      <c r="FIM29" s="25"/>
      <c r="FIN29" s="25"/>
      <c r="FIO29" s="25"/>
      <c r="FIP29" s="25"/>
      <c r="FIQ29" s="25"/>
      <c r="FIR29" s="25"/>
      <c r="FIS29" s="25"/>
      <c r="FIT29" s="25"/>
      <c r="FIU29" s="25"/>
      <c r="FIV29" s="25"/>
      <c r="FIW29" s="25"/>
      <c r="FIX29" s="25"/>
      <c r="FIY29" s="25"/>
      <c r="FIZ29" s="25"/>
      <c r="FJA29" s="25"/>
      <c r="FJB29" s="25"/>
      <c r="FJC29" s="25"/>
      <c r="FJD29" s="25"/>
      <c r="FJE29" s="25"/>
      <c r="FJF29" s="25"/>
      <c r="FJG29" s="25"/>
      <c r="FJH29" s="25"/>
      <c r="FJI29" s="25"/>
      <c r="FJJ29" s="25"/>
      <c r="FJK29" s="25"/>
      <c r="FJL29" s="25"/>
      <c r="FJM29" s="25"/>
      <c r="FJN29" s="25"/>
      <c r="FJO29" s="25"/>
      <c r="FJP29" s="25"/>
      <c r="FJQ29" s="25"/>
      <c r="FJR29" s="25"/>
      <c r="FJS29" s="25"/>
      <c r="FJT29" s="25"/>
      <c r="FJU29" s="25"/>
      <c r="FJV29" s="25"/>
      <c r="FJW29" s="25"/>
      <c r="FJX29" s="25"/>
      <c r="FJY29" s="25"/>
      <c r="FJZ29" s="25"/>
      <c r="FKA29" s="25"/>
      <c r="FKB29" s="25"/>
      <c r="FKC29" s="25"/>
      <c r="FKD29" s="25"/>
      <c r="FKE29" s="25"/>
      <c r="FKF29" s="25"/>
      <c r="FKG29" s="25"/>
      <c r="FKH29" s="25"/>
      <c r="FKI29" s="25"/>
      <c r="FKJ29" s="25"/>
      <c r="FKK29" s="25"/>
      <c r="FKL29" s="25"/>
      <c r="FKM29" s="25"/>
      <c r="FKN29" s="25"/>
      <c r="FKO29" s="25"/>
      <c r="FKP29" s="25"/>
      <c r="FKQ29" s="25"/>
      <c r="FKR29" s="25"/>
      <c r="FKS29" s="25"/>
      <c r="FKT29" s="25"/>
      <c r="FKU29" s="25"/>
      <c r="FKV29" s="25"/>
      <c r="FKW29" s="25"/>
      <c r="FKX29" s="25"/>
      <c r="FKY29" s="25"/>
      <c r="FKZ29" s="25"/>
      <c r="FLA29" s="25"/>
      <c r="FLB29" s="25"/>
      <c r="FLC29" s="25"/>
      <c r="FLD29" s="25"/>
      <c r="FLE29" s="25"/>
      <c r="FLF29" s="25"/>
      <c r="FLG29" s="25"/>
      <c r="FLH29" s="25"/>
      <c r="FLI29" s="25"/>
      <c r="FLJ29" s="25"/>
      <c r="FLK29" s="25"/>
      <c r="FLL29" s="25"/>
      <c r="FLM29" s="25"/>
      <c r="FLN29" s="25"/>
      <c r="FLO29" s="25"/>
      <c r="FLP29" s="25"/>
      <c r="FLQ29" s="25"/>
      <c r="FLR29" s="25"/>
      <c r="FLS29" s="25"/>
      <c r="FLT29" s="25"/>
      <c r="FLU29" s="25"/>
      <c r="FLV29" s="25"/>
      <c r="FLW29" s="25"/>
      <c r="FLX29" s="25"/>
      <c r="FLY29" s="25"/>
      <c r="FLZ29" s="25"/>
      <c r="FMA29" s="25"/>
      <c r="FMB29" s="25"/>
      <c r="FMC29" s="25"/>
      <c r="FMD29" s="25"/>
      <c r="FME29" s="25"/>
      <c r="FMF29" s="25"/>
      <c r="FMG29" s="25"/>
      <c r="FMH29" s="25"/>
      <c r="FMI29" s="25"/>
      <c r="FMJ29" s="25"/>
      <c r="FMK29" s="25"/>
      <c r="FML29" s="25"/>
      <c r="FMM29" s="25"/>
      <c r="FMN29" s="25"/>
      <c r="FMO29" s="25"/>
      <c r="FMP29" s="25"/>
      <c r="FMQ29" s="25"/>
      <c r="FMR29" s="25"/>
      <c r="FMS29" s="25"/>
      <c r="FMT29" s="25"/>
      <c r="FMU29" s="25"/>
      <c r="FMV29" s="25"/>
      <c r="FMW29" s="25"/>
      <c r="FMX29" s="25"/>
      <c r="FMY29" s="25"/>
      <c r="FMZ29" s="25"/>
      <c r="FNA29" s="25"/>
      <c r="FNB29" s="25"/>
      <c r="FNC29" s="25"/>
      <c r="FND29" s="25"/>
      <c r="FNE29" s="25"/>
      <c r="FNF29" s="25"/>
      <c r="FNG29" s="25"/>
      <c r="FNH29" s="25"/>
      <c r="FNI29" s="25"/>
      <c r="FNJ29" s="25"/>
      <c r="FNK29" s="25"/>
      <c r="FNL29" s="25"/>
      <c r="FNM29" s="25"/>
      <c r="FNN29" s="25"/>
      <c r="FNO29" s="25"/>
      <c r="FNP29" s="25"/>
      <c r="FNQ29" s="25"/>
      <c r="FNR29" s="25"/>
      <c r="FNS29" s="25"/>
      <c r="FNT29" s="25"/>
      <c r="FNU29" s="25"/>
      <c r="FNV29" s="25"/>
      <c r="FNW29" s="25"/>
      <c r="FNX29" s="25"/>
      <c r="FNY29" s="25"/>
      <c r="FNZ29" s="25"/>
      <c r="FOA29" s="25"/>
      <c r="FOB29" s="25"/>
      <c r="FOC29" s="25"/>
      <c r="FOD29" s="25"/>
      <c r="FOE29" s="25"/>
      <c r="FOF29" s="25"/>
      <c r="FOG29" s="25"/>
      <c r="FOH29" s="25"/>
      <c r="FOI29" s="25"/>
      <c r="FOJ29" s="25"/>
      <c r="FOK29" s="25"/>
      <c r="FOL29" s="25"/>
      <c r="FOM29" s="25"/>
      <c r="FON29" s="25"/>
      <c r="FOO29" s="25"/>
      <c r="FOP29" s="25"/>
      <c r="FOQ29" s="25"/>
      <c r="FOR29" s="25"/>
      <c r="FOS29" s="25"/>
      <c r="FOT29" s="25"/>
      <c r="FOU29" s="25"/>
      <c r="FOV29" s="25"/>
      <c r="FOW29" s="25"/>
      <c r="FOX29" s="25"/>
      <c r="FOY29" s="25"/>
      <c r="FOZ29" s="25"/>
      <c r="FPA29" s="25"/>
      <c r="FPB29" s="25"/>
      <c r="FPC29" s="25"/>
      <c r="FPD29" s="25"/>
      <c r="FPE29" s="25"/>
      <c r="FPF29" s="25"/>
      <c r="FPG29" s="25"/>
      <c r="FPH29" s="25"/>
      <c r="FPI29" s="25"/>
      <c r="FPJ29" s="25"/>
      <c r="FPK29" s="25"/>
      <c r="FPL29" s="25"/>
      <c r="FPM29" s="25"/>
      <c r="FPN29" s="25"/>
      <c r="FPO29" s="25"/>
      <c r="FPP29" s="25"/>
      <c r="FPQ29" s="25"/>
      <c r="FPR29" s="25"/>
      <c r="FPS29" s="25"/>
      <c r="FPT29" s="25"/>
      <c r="FPU29" s="25"/>
      <c r="FPV29" s="25"/>
      <c r="FPW29" s="25"/>
      <c r="FPX29" s="25"/>
      <c r="FPY29" s="25"/>
      <c r="FPZ29" s="25"/>
      <c r="FQA29" s="25"/>
      <c r="FQB29" s="25"/>
      <c r="FQC29" s="25"/>
      <c r="FQD29" s="25"/>
      <c r="FQE29" s="25"/>
      <c r="FQF29" s="25"/>
      <c r="FQG29" s="25"/>
      <c r="FQH29" s="25"/>
      <c r="FQI29" s="25"/>
      <c r="FQJ29" s="25"/>
      <c r="FQK29" s="25"/>
      <c r="FQL29" s="25"/>
      <c r="FQM29" s="25"/>
      <c r="FQN29" s="25"/>
      <c r="FQO29" s="25"/>
      <c r="FQP29" s="25"/>
      <c r="FQQ29" s="25"/>
      <c r="FQR29" s="25"/>
      <c r="FQS29" s="25"/>
      <c r="FQT29" s="25"/>
      <c r="FQU29" s="25"/>
      <c r="FQV29" s="25"/>
      <c r="FQW29" s="25"/>
      <c r="FQX29" s="25"/>
      <c r="FQY29" s="25"/>
      <c r="FQZ29" s="25"/>
      <c r="FRA29" s="25"/>
      <c r="FRB29" s="25"/>
      <c r="FRC29" s="25"/>
      <c r="FRD29" s="25"/>
      <c r="FRE29" s="25"/>
      <c r="FRF29" s="25"/>
      <c r="FRG29" s="25"/>
      <c r="FRH29" s="25"/>
      <c r="FRI29" s="25"/>
      <c r="FRJ29" s="25"/>
      <c r="FRK29" s="25"/>
      <c r="FRL29" s="25"/>
      <c r="FRM29" s="25"/>
      <c r="FRN29" s="25"/>
      <c r="FRO29" s="25"/>
      <c r="FRP29" s="25"/>
      <c r="FRQ29" s="25"/>
      <c r="FRR29" s="25"/>
      <c r="FRS29" s="25"/>
      <c r="FRT29" s="25"/>
      <c r="FRU29" s="25"/>
      <c r="FRV29" s="25"/>
      <c r="FRW29" s="25"/>
      <c r="FRX29" s="25"/>
      <c r="FRY29" s="25"/>
      <c r="FRZ29" s="25"/>
      <c r="FSA29" s="25"/>
      <c r="FSB29" s="25"/>
      <c r="FSC29" s="25"/>
      <c r="FSD29" s="25"/>
      <c r="FSE29" s="25"/>
      <c r="FSF29" s="25"/>
      <c r="FSG29" s="25"/>
      <c r="FSH29" s="25"/>
      <c r="FSI29" s="25"/>
      <c r="FSJ29" s="25"/>
      <c r="FSK29" s="25"/>
      <c r="FSL29" s="25"/>
      <c r="FSM29" s="25"/>
      <c r="FSN29" s="25"/>
      <c r="FSO29" s="25"/>
      <c r="FSP29" s="25"/>
      <c r="FSQ29" s="25"/>
      <c r="FSR29" s="25"/>
      <c r="FSS29" s="25"/>
      <c r="FST29" s="25"/>
      <c r="FSU29" s="25"/>
      <c r="FSV29" s="25"/>
      <c r="FSW29" s="25"/>
      <c r="FSX29" s="25"/>
      <c r="FSY29" s="25"/>
      <c r="FSZ29" s="25"/>
      <c r="FTA29" s="25"/>
      <c r="FTB29" s="25"/>
      <c r="FTC29" s="25"/>
      <c r="FTD29" s="25"/>
      <c r="FTE29" s="25"/>
      <c r="FTF29" s="25"/>
      <c r="FTG29" s="25"/>
      <c r="FTH29" s="25"/>
      <c r="FTI29" s="25"/>
      <c r="FTJ29" s="25"/>
      <c r="FTK29" s="25"/>
      <c r="FTL29" s="25"/>
      <c r="FTM29" s="25"/>
      <c r="FTN29" s="25"/>
      <c r="FTO29" s="25"/>
      <c r="FTP29" s="25"/>
      <c r="FTQ29" s="25"/>
      <c r="FTR29" s="25"/>
      <c r="FTS29" s="25"/>
      <c r="FTT29" s="25"/>
      <c r="FTU29" s="25"/>
      <c r="FTV29" s="25"/>
      <c r="FTW29" s="25"/>
      <c r="FTX29" s="25"/>
      <c r="FTY29" s="25"/>
      <c r="FTZ29" s="25"/>
      <c r="FUA29" s="25"/>
      <c r="FUB29" s="25"/>
      <c r="FUC29" s="25"/>
      <c r="FUD29" s="25"/>
      <c r="FUE29" s="25"/>
      <c r="FUF29" s="25"/>
      <c r="FUG29" s="25"/>
      <c r="FUH29" s="25"/>
      <c r="FUI29" s="25"/>
      <c r="FUJ29" s="25"/>
      <c r="FUK29" s="25"/>
      <c r="FUL29" s="25"/>
      <c r="FUM29" s="25"/>
      <c r="FUN29" s="25"/>
      <c r="FUO29" s="25"/>
      <c r="FUP29" s="25"/>
      <c r="FUQ29" s="25"/>
      <c r="FUR29" s="25"/>
      <c r="FUS29" s="25"/>
      <c r="FUT29" s="25"/>
      <c r="FUU29" s="25"/>
      <c r="FUV29" s="25"/>
      <c r="FUW29" s="25"/>
      <c r="FUX29" s="25"/>
      <c r="FUY29" s="25"/>
      <c r="FUZ29" s="25"/>
      <c r="FVA29" s="25"/>
      <c r="FVB29" s="25"/>
      <c r="FVC29" s="25"/>
      <c r="FVD29" s="25"/>
      <c r="FVE29" s="25"/>
      <c r="FVF29" s="25"/>
      <c r="FVG29" s="25"/>
      <c r="FVH29" s="25"/>
      <c r="FVI29" s="25"/>
      <c r="FVJ29" s="25"/>
      <c r="FVK29" s="25"/>
      <c r="FVL29" s="25"/>
      <c r="FVM29" s="25"/>
      <c r="FVN29" s="25"/>
      <c r="FVO29" s="25"/>
      <c r="FVP29" s="25"/>
      <c r="FVQ29" s="25"/>
      <c r="FVR29" s="25"/>
      <c r="FVS29" s="25"/>
      <c r="FVT29" s="25"/>
      <c r="FVU29" s="25"/>
      <c r="FVV29" s="25"/>
      <c r="FVW29" s="25"/>
      <c r="FVX29" s="25"/>
      <c r="FVY29" s="25"/>
      <c r="FVZ29" s="25"/>
      <c r="FWA29" s="25"/>
      <c r="FWB29" s="25"/>
      <c r="FWC29" s="25"/>
      <c r="FWD29" s="25"/>
      <c r="FWE29" s="25"/>
      <c r="FWF29" s="25"/>
      <c r="FWG29" s="25"/>
      <c r="FWH29" s="25"/>
      <c r="FWI29" s="25"/>
      <c r="FWJ29" s="25"/>
      <c r="FWK29" s="25"/>
      <c r="FWL29" s="25"/>
      <c r="FWM29" s="25"/>
      <c r="FWN29" s="25"/>
      <c r="FWO29" s="25"/>
      <c r="FWP29" s="25"/>
      <c r="FWQ29" s="25"/>
      <c r="FWR29" s="25"/>
      <c r="FWS29" s="25"/>
      <c r="FWT29" s="25"/>
      <c r="FWU29" s="25"/>
      <c r="FWV29" s="25"/>
      <c r="FWW29" s="25"/>
      <c r="FWX29" s="25"/>
      <c r="FWY29" s="25"/>
      <c r="FWZ29" s="25"/>
      <c r="FXA29" s="25"/>
      <c r="FXB29" s="25"/>
      <c r="FXC29" s="25"/>
      <c r="FXD29" s="25"/>
      <c r="FXE29" s="25"/>
      <c r="FXF29" s="25"/>
      <c r="FXG29" s="25"/>
      <c r="FXH29" s="25"/>
      <c r="FXI29" s="25"/>
      <c r="FXJ29" s="25"/>
      <c r="FXK29" s="25"/>
      <c r="FXL29" s="25"/>
      <c r="FXM29" s="25"/>
      <c r="FXN29" s="25"/>
      <c r="FXO29" s="25"/>
      <c r="FXP29" s="25"/>
      <c r="FXQ29" s="25"/>
      <c r="FXR29" s="25"/>
      <c r="FXS29" s="25"/>
      <c r="FXT29" s="25"/>
      <c r="FXU29" s="25"/>
      <c r="FXV29" s="25"/>
      <c r="FXW29" s="25"/>
      <c r="FXX29" s="25"/>
      <c r="FXY29" s="25"/>
      <c r="FXZ29" s="25"/>
      <c r="FYA29" s="25"/>
      <c r="FYB29" s="25"/>
      <c r="FYC29" s="25"/>
      <c r="FYD29" s="25"/>
      <c r="FYE29" s="25"/>
      <c r="FYF29" s="25"/>
      <c r="FYG29" s="25"/>
      <c r="FYH29" s="25"/>
      <c r="FYI29" s="25"/>
      <c r="FYJ29" s="25"/>
      <c r="FYK29" s="25"/>
      <c r="FYL29" s="25"/>
      <c r="FYM29" s="25"/>
      <c r="FYN29" s="25"/>
      <c r="FYO29" s="25"/>
      <c r="FYP29" s="25"/>
      <c r="FYQ29" s="25"/>
      <c r="FYR29" s="25"/>
      <c r="FYS29" s="25"/>
      <c r="FYT29" s="25"/>
      <c r="FYU29" s="25"/>
      <c r="FYV29" s="25"/>
      <c r="FYW29" s="25"/>
      <c r="FYX29" s="25"/>
      <c r="FYY29" s="25"/>
      <c r="FYZ29" s="25"/>
      <c r="FZA29" s="25"/>
      <c r="FZB29" s="25"/>
      <c r="FZC29" s="25"/>
      <c r="FZD29" s="25"/>
      <c r="FZE29" s="25"/>
      <c r="FZF29" s="25"/>
      <c r="FZG29" s="25"/>
      <c r="FZH29" s="25"/>
      <c r="FZI29" s="25"/>
      <c r="FZJ29" s="25"/>
      <c r="FZK29" s="25"/>
      <c r="FZL29" s="25"/>
      <c r="FZM29" s="25"/>
      <c r="FZN29" s="25"/>
      <c r="FZO29" s="25"/>
      <c r="FZP29" s="25"/>
      <c r="FZQ29" s="25"/>
      <c r="FZR29" s="25"/>
      <c r="FZS29" s="25"/>
      <c r="FZT29" s="25"/>
      <c r="FZU29" s="25"/>
      <c r="FZV29" s="25"/>
      <c r="FZW29" s="25"/>
      <c r="FZX29" s="25"/>
      <c r="FZY29" s="25"/>
      <c r="FZZ29" s="25"/>
      <c r="GAA29" s="25"/>
      <c r="GAB29" s="25"/>
      <c r="GAC29" s="25"/>
      <c r="GAD29" s="25"/>
      <c r="GAE29" s="25"/>
      <c r="GAF29" s="25"/>
      <c r="GAG29" s="25"/>
      <c r="GAH29" s="25"/>
      <c r="GAI29" s="25"/>
      <c r="GAJ29" s="25"/>
      <c r="GAK29" s="25"/>
      <c r="GAL29" s="25"/>
      <c r="GAM29" s="25"/>
      <c r="GAN29" s="25"/>
      <c r="GAO29" s="25"/>
      <c r="GAP29" s="25"/>
      <c r="GAQ29" s="25"/>
      <c r="GAR29" s="25"/>
      <c r="GAS29" s="25"/>
      <c r="GAT29" s="25"/>
      <c r="GAU29" s="25"/>
      <c r="GAV29" s="25"/>
      <c r="GAW29" s="25"/>
      <c r="GAX29" s="25"/>
      <c r="GAY29" s="25"/>
      <c r="GAZ29" s="25"/>
      <c r="GBA29" s="25"/>
      <c r="GBB29" s="25"/>
      <c r="GBC29" s="25"/>
      <c r="GBD29" s="25"/>
      <c r="GBE29" s="25"/>
      <c r="GBF29" s="25"/>
      <c r="GBG29" s="25"/>
      <c r="GBH29" s="25"/>
      <c r="GBI29" s="25"/>
      <c r="GBJ29" s="25"/>
      <c r="GBK29" s="25"/>
      <c r="GBL29" s="25"/>
      <c r="GBM29" s="25"/>
      <c r="GBN29" s="25"/>
      <c r="GBO29" s="25"/>
      <c r="GBP29" s="25"/>
      <c r="GBQ29" s="25"/>
      <c r="GBR29" s="25"/>
      <c r="GBS29" s="25"/>
      <c r="GBT29" s="25"/>
      <c r="GBU29" s="25"/>
      <c r="GBV29" s="25"/>
      <c r="GBW29" s="25"/>
      <c r="GBX29" s="25"/>
      <c r="GBY29" s="25"/>
      <c r="GBZ29" s="25"/>
      <c r="GCA29" s="25"/>
      <c r="GCB29" s="25"/>
      <c r="GCC29" s="25"/>
      <c r="GCD29" s="25"/>
      <c r="GCE29" s="25"/>
      <c r="GCF29" s="25"/>
      <c r="GCG29" s="25"/>
      <c r="GCH29" s="25"/>
      <c r="GCI29" s="25"/>
      <c r="GCJ29" s="25"/>
      <c r="GCK29" s="25"/>
      <c r="GCL29" s="25"/>
      <c r="GCM29" s="25"/>
      <c r="GCN29" s="25"/>
      <c r="GCO29" s="25"/>
      <c r="GCP29" s="25"/>
      <c r="GCQ29" s="25"/>
      <c r="GCR29" s="25"/>
      <c r="GCS29" s="25"/>
      <c r="GCT29" s="25"/>
      <c r="GCU29" s="25"/>
      <c r="GCV29" s="25"/>
      <c r="GCW29" s="25"/>
      <c r="GCX29" s="25"/>
      <c r="GCY29" s="25"/>
      <c r="GCZ29" s="25"/>
      <c r="GDA29" s="25"/>
      <c r="GDB29" s="25"/>
      <c r="GDC29" s="25"/>
      <c r="GDD29" s="25"/>
      <c r="GDE29" s="25"/>
      <c r="GDF29" s="25"/>
      <c r="GDG29" s="25"/>
      <c r="GDH29" s="25"/>
      <c r="GDI29" s="25"/>
      <c r="GDJ29" s="25"/>
      <c r="GDK29" s="25"/>
      <c r="GDL29" s="25"/>
      <c r="GDM29" s="25"/>
      <c r="GDN29" s="25"/>
      <c r="GDO29" s="25"/>
      <c r="GDP29" s="25"/>
      <c r="GDQ29" s="25"/>
      <c r="GDR29" s="25"/>
      <c r="GDS29" s="25"/>
      <c r="GDT29" s="25"/>
      <c r="GDU29" s="25"/>
      <c r="GDV29" s="25"/>
      <c r="GDW29" s="25"/>
      <c r="GDX29" s="25"/>
      <c r="GDY29" s="25"/>
      <c r="GDZ29" s="25"/>
      <c r="GEA29" s="25"/>
      <c r="GEB29" s="25"/>
      <c r="GEC29" s="25"/>
      <c r="GED29" s="25"/>
      <c r="GEE29" s="25"/>
      <c r="GEF29" s="25"/>
      <c r="GEG29" s="25"/>
      <c r="GEH29" s="25"/>
      <c r="GEI29" s="25"/>
      <c r="GEJ29" s="25"/>
      <c r="GEK29" s="25"/>
      <c r="GEL29" s="25"/>
      <c r="GEM29" s="25"/>
      <c r="GEN29" s="25"/>
      <c r="GEO29" s="25"/>
      <c r="GEP29" s="25"/>
      <c r="GEQ29" s="25"/>
      <c r="GER29" s="25"/>
      <c r="GES29" s="25"/>
      <c r="GET29" s="25"/>
      <c r="GEU29" s="25"/>
      <c r="GEV29" s="25"/>
      <c r="GEW29" s="25"/>
      <c r="GEX29" s="25"/>
      <c r="GEY29" s="25"/>
      <c r="GEZ29" s="25"/>
      <c r="GFA29" s="25"/>
      <c r="GFB29" s="25"/>
      <c r="GFC29" s="25"/>
      <c r="GFD29" s="25"/>
      <c r="GFE29" s="25"/>
      <c r="GFF29" s="25"/>
      <c r="GFG29" s="25"/>
      <c r="GFH29" s="25"/>
      <c r="GFI29" s="25"/>
      <c r="GFJ29" s="25"/>
      <c r="GFK29" s="25"/>
      <c r="GFL29" s="25"/>
      <c r="GFM29" s="25"/>
      <c r="GFN29" s="25"/>
      <c r="GFO29" s="25"/>
      <c r="GFP29" s="25"/>
      <c r="GFQ29" s="25"/>
      <c r="GFR29" s="25"/>
      <c r="GFS29" s="25"/>
      <c r="GFT29" s="25"/>
      <c r="GFU29" s="25"/>
      <c r="GFV29" s="25"/>
      <c r="GFW29" s="25"/>
      <c r="GFX29" s="25"/>
      <c r="GFY29" s="25"/>
      <c r="GFZ29" s="25"/>
      <c r="GGA29" s="25"/>
      <c r="GGB29" s="25"/>
      <c r="GGC29" s="25"/>
      <c r="GGD29" s="25"/>
      <c r="GGE29" s="25"/>
      <c r="GGF29" s="25"/>
      <c r="GGG29" s="25"/>
      <c r="GGH29" s="25"/>
      <c r="GGI29" s="25"/>
      <c r="GGJ29" s="25"/>
      <c r="GGK29" s="25"/>
      <c r="GGL29" s="25"/>
      <c r="GGM29" s="25"/>
      <c r="GGN29" s="25"/>
      <c r="GGO29" s="25"/>
      <c r="GGP29" s="25"/>
      <c r="GGQ29" s="25"/>
      <c r="GGR29" s="25"/>
      <c r="GGS29" s="25"/>
      <c r="GGT29" s="25"/>
      <c r="GGU29" s="25"/>
      <c r="GGV29" s="25"/>
      <c r="GGW29" s="25"/>
      <c r="GGX29" s="25"/>
      <c r="GGY29" s="25"/>
      <c r="GGZ29" s="25"/>
      <c r="GHA29" s="25"/>
      <c r="GHB29" s="25"/>
      <c r="GHC29" s="25"/>
      <c r="GHD29" s="25"/>
      <c r="GHE29" s="25"/>
      <c r="GHF29" s="25"/>
      <c r="GHG29" s="25"/>
      <c r="GHH29" s="25"/>
      <c r="GHI29" s="25"/>
      <c r="GHJ29" s="25"/>
      <c r="GHK29" s="25"/>
      <c r="GHL29" s="25"/>
      <c r="GHM29" s="25"/>
      <c r="GHN29" s="25"/>
      <c r="GHO29" s="25"/>
      <c r="GHP29" s="25"/>
      <c r="GHQ29" s="25"/>
      <c r="GHR29" s="25"/>
      <c r="GHS29" s="25"/>
      <c r="GHT29" s="25"/>
      <c r="GHU29" s="25"/>
      <c r="GHV29" s="25"/>
      <c r="GHW29" s="25"/>
      <c r="GHX29" s="25"/>
      <c r="GHY29" s="25"/>
      <c r="GHZ29" s="25"/>
      <c r="GIA29" s="25"/>
      <c r="GIB29" s="25"/>
      <c r="GIC29" s="25"/>
      <c r="GID29" s="25"/>
      <c r="GIE29" s="25"/>
      <c r="GIF29" s="25"/>
      <c r="GIG29" s="25"/>
      <c r="GIH29" s="25"/>
      <c r="GII29" s="25"/>
      <c r="GIJ29" s="25"/>
      <c r="GIK29" s="25"/>
      <c r="GIL29" s="25"/>
      <c r="GIM29" s="25"/>
      <c r="GIN29" s="25"/>
      <c r="GIO29" s="25"/>
      <c r="GIP29" s="25"/>
      <c r="GIQ29" s="25"/>
      <c r="GIR29" s="25"/>
      <c r="GIS29" s="25"/>
      <c r="GIT29" s="25"/>
      <c r="GIU29" s="25"/>
      <c r="GIV29" s="25"/>
      <c r="GIW29" s="25"/>
      <c r="GIX29" s="25"/>
      <c r="GIY29" s="25"/>
      <c r="GIZ29" s="25"/>
      <c r="GJA29" s="25"/>
      <c r="GJB29" s="25"/>
      <c r="GJC29" s="25"/>
      <c r="GJD29" s="25"/>
      <c r="GJE29" s="25"/>
      <c r="GJF29" s="25"/>
      <c r="GJG29" s="25"/>
      <c r="GJH29" s="25"/>
      <c r="GJI29" s="25"/>
      <c r="GJJ29" s="25"/>
      <c r="GJK29" s="25"/>
      <c r="GJL29" s="25"/>
      <c r="GJM29" s="25"/>
      <c r="GJN29" s="25"/>
      <c r="GJO29" s="25"/>
      <c r="GJP29" s="25"/>
      <c r="GJQ29" s="25"/>
      <c r="GJR29" s="25"/>
      <c r="GJS29" s="25"/>
      <c r="GJT29" s="25"/>
      <c r="GJU29" s="25"/>
      <c r="GJV29" s="25"/>
      <c r="GJW29" s="25"/>
      <c r="GJX29" s="25"/>
      <c r="GJY29" s="25"/>
      <c r="GJZ29" s="25"/>
      <c r="GKA29" s="25"/>
      <c r="GKB29" s="25"/>
      <c r="GKC29" s="25"/>
      <c r="GKD29" s="25"/>
      <c r="GKE29" s="25"/>
      <c r="GKF29" s="25"/>
      <c r="GKG29" s="25"/>
      <c r="GKH29" s="25"/>
      <c r="GKI29" s="25"/>
      <c r="GKJ29" s="25"/>
      <c r="GKK29" s="25"/>
      <c r="GKL29" s="25"/>
      <c r="GKM29" s="25"/>
      <c r="GKN29" s="25"/>
      <c r="GKO29" s="25"/>
      <c r="GKP29" s="25"/>
      <c r="GKQ29" s="25"/>
      <c r="GKR29" s="25"/>
      <c r="GKS29" s="25"/>
      <c r="GKT29" s="25"/>
      <c r="GKU29" s="25"/>
      <c r="GKV29" s="25"/>
      <c r="GKW29" s="25"/>
      <c r="GKX29" s="25"/>
      <c r="GKY29" s="25"/>
      <c r="GKZ29" s="25"/>
      <c r="GLA29" s="25"/>
      <c r="GLB29" s="25"/>
      <c r="GLC29" s="25"/>
      <c r="GLD29" s="25"/>
      <c r="GLE29" s="25"/>
      <c r="GLF29" s="25"/>
      <c r="GLG29" s="25"/>
      <c r="GLH29" s="25"/>
      <c r="GLI29" s="25"/>
      <c r="GLJ29" s="25"/>
      <c r="GLK29" s="25"/>
      <c r="GLL29" s="25"/>
      <c r="GLM29" s="25"/>
      <c r="GLN29" s="25"/>
      <c r="GLO29" s="25"/>
      <c r="GLP29" s="25"/>
      <c r="GLQ29" s="25"/>
      <c r="GLR29" s="25"/>
      <c r="GLS29" s="25"/>
      <c r="GLT29" s="25"/>
      <c r="GLU29" s="25"/>
      <c r="GLV29" s="25"/>
      <c r="GLW29" s="25"/>
      <c r="GLX29" s="25"/>
      <c r="GLY29" s="25"/>
      <c r="GLZ29" s="25"/>
      <c r="GMA29" s="25"/>
      <c r="GMB29" s="25"/>
      <c r="GMC29" s="25"/>
      <c r="GMD29" s="25"/>
      <c r="GME29" s="25"/>
      <c r="GMF29" s="25"/>
      <c r="GMG29" s="25"/>
      <c r="GMH29" s="25"/>
      <c r="GMI29" s="25"/>
      <c r="GMJ29" s="25"/>
      <c r="GMK29" s="25"/>
      <c r="GML29" s="25"/>
      <c r="GMM29" s="25"/>
      <c r="GMN29" s="25"/>
      <c r="GMO29" s="25"/>
      <c r="GMP29" s="25"/>
      <c r="GMQ29" s="25"/>
      <c r="GMR29" s="25"/>
      <c r="GMS29" s="25"/>
      <c r="GMT29" s="25"/>
      <c r="GMU29" s="25"/>
      <c r="GMV29" s="25"/>
      <c r="GMW29" s="25"/>
      <c r="GMX29" s="25"/>
      <c r="GMY29" s="25"/>
      <c r="GMZ29" s="25"/>
      <c r="GNA29" s="25"/>
      <c r="GNB29" s="25"/>
      <c r="GNC29" s="25"/>
      <c r="GND29" s="25"/>
      <c r="GNE29" s="25"/>
      <c r="GNF29" s="25"/>
      <c r="GNG29" s="25"/>
      <c r="GNH29" s="25"/>
      <c r="GNI29" s="25"/>
      <c r="GNJ29" s="25"/>
      <c r="GNK29" s="25"/>
      <c r="GNL29" s="25"/>
      <c r="GNM29" s="25"/>
      <c r="GNN29" s="25"/>
      <c r="GNO29" s="25"/>
      <c r="GNP29" s="25"/>
      <c r="GNQ29" s="25"/>
      <c r="GNR29" s="25"/>
      <c r="GNS29" s="25"/>
      <c r="GNT29" s="25"/>
      <c r="GNU29" s="25"/>
      <c r="GNV29" s="25"/>
      <c r="GNW29" s="25"/>
      <c r="GNX29" s="25"/>
      <c r="GNY29" s="25"/>
      <c r="GNZ29" s="25"/>
      <c r="GOA29" s="25"/>
      <c r="GOB29" s="25"/>
      <c r="GOC29" s="25"/>
      <c r="GOD29" s="25"/>
      <c r="GOE29" s="25"/>
      <c r="GOF29" s="25"/>
      <c r="GOG29" s="25"/>
      <c r="GOH29" s="25"/>
      <c r="GOI29" s="25"/>
      <c r="GOJ29" s="25"/>
      <c r="GOK29" s="25"/>
      <c r="GOL29" s="25"/>
      <c r="GOM29" s="25"/>
      <c r="GON29" s="25"/>
      <c r="GOO29" s="25"/>
      <c r="GOP29" s="25"/>
      <c r="GOQ29" s="25"/>
      <c r="GOR29" s="25"/>
      <c r="GOS29" s="25"/>
      <c r="GOT29" s="25"/>
      <c r="GOU29" s="25"/>
      <c r="GOV29" s="25"/>
      <c r="GOW29" s="25"/>
      <c r="GOX29" s="25"/>
      <c r="GOY29" s="25"/>
      <c r="GOZ29" s="25"/>
      <c r="GPA29" s="25"/>
      <c r="GPB29" s="25"/>
      <c r="GPC29" s="25"/>
      <c r="GPD29" s="25"/>
      <c r="GPE29" s="25"/>
      <c r="GPF29" s="25"/>
      <c r="GPG29" s="25"/>
      <c r="GPH29" s="25"/>
      <c r="GPI29" s="25"/>
      <c r="GPJ29" s="25"/>
      <c r="GPK29" s="25"/>
      <c r="GPL29" s="25"/>
      <c r="GPM29" s="25"/>
      <c r="GPN29" s="25"/>
      <c r="GPO29" s="25"/>
      <c r="GPP29" s="25"/>
      <c r="GPQ29" s="25"/>
      <c r="GPR29" s="25"/>
      <c r="GPS29" s="25"/>
      <c r="GPT29" s="25"/>
      <c r="GPU29" s="25"/>
      <c r="GPV29" s="25"/>
      <c r="GPW29" s="25"/>
      <c r="GPX29" s="25"/>
      <c r="GPY29" s="25"/>
      <c r="GPZ29" s="25"/>
      <c r="GQA29" s="25"/>
      <c r="GQB29" s="25"/>
      <c r="GQC29" s="25"/>
      <c r="GQD29" s="25"/>
      <c r="GQE29" s="25"/>
      <c r="GQF29" s="25"/>
      <c r="GQG29" s="25"/>
      <c r="GQH29" s="25"/>
      <c r="GQI29" s="25"/>
      <c r="GQJ29" s="25"/>
      <c r="GQK29" s="25"/>
      <c r="GQL29" s="25"/>
      <c r="GQM29" s="25"/>
      <c r="GQN29" s="25"/>
      <c r="GQO29" s="25"/>
      <c r="GQP29" s="25"/>
      <c r="GQQ29" s="25"/>
      <c r="GQR29" s="25"/>
      <c r="GQS29" s="25"/>
      <c r="GQT29" s="25"/>
      <c r="GQU29" s="25"/>
      <c r="GQV29" s="25"/>
      <c r="GQW29" s="25"/>
      <c r="GQX29" s="25"/>
      <c r="GQY29" s="25"/>
      <c r="GQZ29" s="25"/>
      <c r="GRA29" s="25"/>
      <c r="GRB29" s="25"/>
      <c r="GRC29" s="25"/>
      <c r="GRD29" s="25"/>
      <c r="GRE29" s="25"/>
      <c r="GRF29" s="25"/>
      <c r="GRG29" s="25"/>
      <c r="GRH29" s="25"/>
      <c r="GRI29" s="25"/>
      <c r="GRJ29" s="25"/>
      <c r="GRK29" s="25"/>
      <c r="GRL29" s="25"/>
      <c r="GRM29" s="25"/>
      <c r="GRN29" s="25"/>
      <c r="GRO29" s="25"/>
      <c r="GRP29" s="25"/>
      <c r="GRQ29" s="25"/>
      <c r="GRR29" s="25"/>
      <c r="GRS29" s="25"/>
      <c r="GRT29" s="25"/>
      <c r="GRU29" s="25"/>
      <c r="GRV29" s="25"/>
      <c r="GRW29" s="25"/>
      <c r="GRX29" s="25"/>
      <c r="GRY29" s="25"/>
      <c r="GRZ29" s="25"/>
      <c r="GSA29" s="25"/>
      <c r="GSB29" s="25"/>
      <c r="GSC29" s="25"/>
      <c r="GSD29" s="25"/>
      <c r="GSE29" s="25"/>
      <c r="GSF29" s="25"/>
      <c r="GSG29" s="25"/>
      <c r="GSH29" s="25"/>
      <c r="GSI29" s="25"/>
      <c r="GSJ29" s="25"/>
      <c r="GSK29" s="25"/>
      <c r="GSL29" s="25"/>
      <c r="GSM29" s="25"/>
      <c r="GSN29" s="25"/>
      <c r="GSO29" s="25"/>
      <c r="GSP29" s="25"/>
      <c r="GSQ29" s="25"/>
      <c r="GSR29" s="25"/>
      <c r="GSS29" s="25"/>
      <c r="GST29" s="25"/>
      <c r="GSU29" s="25"/>
      <c r="GSV29" s="25"/>
      <c r="GSW29" s="25"/>
      <c r="GSX29" s="25"/>
      <c r="GSY29" s="25"/>
      <c r="GSZ29" s="25"/>
      <c r="GTA29" s="25"/>
      <c r="GTB29" s="25"/>
      <c r="GTC29" s="25"/>
      <c r="GTD29" s="25"/>
      <c r="GTE29" s="25"/>
      <c r="GTF29" s="25"/>
      <c r="GTG29" s="25"/>
      <c r="GTH29" s="25"/>
      <c r="GTI29" s="25"/>
      <c r="GTJ29" s="25"/>
      <c r="GTK29" s="25"/>
      <c r="GTL29" s="25"/>
      <c r="GTM29" s="25"/>
      <c r="GTN29" s="25"/>
      <c r="GTO29" s="25"/>
      <c r="GTP29" s="25"/>
      <c r="GTQ29" s="25"/>
      <c r="GTR29" s="25"/>
      <c r="GTS29" s="25"/>
      <c r="GTT29" s="25"/>
      <c r="GTU29" s="25"/>
      <c r="GTV29" s="25"/>
      <c r="GTW29" s="25"/>
      <c r="GTX29" s="25"/>
      <c r="GTY29" s="25"/>
      <c r="GTZ29" s="25"/>
      <c r="GUA29" s="25"/>
      <c r="GUB29" s="25"/>
      <c r="GUC29" s="25"/>
      <c r="GUD29" s="25"/>
      <c r="GUE29" s="25"/>
      <c r="GUF29" s="25"/>
      <c r="GUG29" s="25"/>
      <c r="GUH29" s="25"/>
      <c r="GUI29" s="25"/>
      <c r="GUJ29" s="25"/>
      <c r="GUK29" s="25"/>
      <c r="GUL29" s="25"/>
      <c r="GUM29" s="25"/>
      <c r="GUN29" s="25"/>
      <c r="GUO29" s="25"/>
      <c r="GUP29" s="25"/>
      <c r="GUQ29" s="25"/>
      <c r="GUR29" s="25"/>
      <c r="GUS29" s="25"/>
      <c r="GUT29" s="25"/>
      <c r="GUU29" s="25"/>
      <c r="GUV29" s="25"/>
      <c r="GUW29" s="25"/>
      <c r="GUX29" s="25"/>
      <c r="GUY29" s="25"/>
      <c r="GUZ29" s="25"/>
      <c r="GVA29" s="25"/>
      <c r="GVB29" s="25"/>
      <c r="GVC29" s="25"/>
      <c r="GVD29" s="25"/>
      <c r="GVE29" s="25"/>
      <c r="GVF29" s="25"/>
      <c r="GVG29" s="25"/>
      <c r="GVH29" s="25"/>
      <c r="GVI29" s="25"/>
      <c r="GVJ29" s="25"/>
      <c r="GVK29" s="25"/>
      <c r="GVL29" s="25"/>
      <c r="GVM29" s="25"/>
      <c r="GVN29" s="25"/>
      <c r="GVO29" s="25"/>
      <c r="GVP29" s="25"/>
      <c r="GVQ29" s="25"/>
      <c r="GVR29" s="25"/>
      <c r="GVS29" s="25"/>
      <c r="GVT29" s="25"/>
      <c r="GVU29" s="25"/>
      <c r="GVV29" s="25"/>
      <c r="GVW29" s="25"/>
      <c r="GVX29" s="25"/>
      <c r="GVY29" s="25"/>
      <c r="GVZ29" s="25"/>
      <c r="GWA29" s="25"/>
      <c r="GWB29" s="25"/>
      <c r="GWC29" s="25"/>
      <c r="GWD29" s="25"/>
      <c r="GWE29" s="25"/>
      <c r="GWF29" s="25"/>
      <c r="GWG29" s="25"/>
      <c r="GWH29" s="25"/>
      <c r="GWI29" s="25"/>
      <c r="GWJ29" s="25"/>
      <c r="GWK29" s="25"/>
      <c r="GWL29" s="25"/>
      <c r="GWM29" s="25"/>
      <c r="GWN29" s="25"/>
      <c r="GWO29" s="25"/>
      <c r="GWP29" s="25"/>
      <c r="GWQ29" s="25"/>
      <c r="GWR29" s="25"/>
      <c r="GWS29" s="25"/>
      <c r="GWT29" s="25"/>
      <c r="GWU29" s="25"/>
      <c r="GWV29" s="25"/>
      <c r="GWW29" s="25"/>
      <c r="GWX29" s="25"/>
      <c r="GWY29" s="25"/>
      <c r="GWZ29" s="25"/>
      <c r="GXA29" s="25"/>
      <c r="GXB29" s="25"/>
      <c r="GXC29" s="25"/>
      <c r="GXD29" s="25"/>
      <c r="GXE29" s="25"/>
      <c r="GXF29" s="25"/>
      <c r="GXG29" s="25"/>
      <c r="GXH29" s="25"/>
      <c r="GXI29" s="25"/>
      <c r="GXJ29" s="25"/>
      <c r="GXK29" s="25"/>
      <c r="GXL29" s="25"/>
      <c r="GXM29" s="25"/>
      <c r="GXN29" s="25"/>
      <c r="GXO29" s="25"/>
      <c r="GXP29" s="25"/>
      <c r="GXQ29" s="25"/>
      <c r="GXR29" s="25"/>
      <c r="GXS29" s="25"/>
      <c r="GXT29" s="25"/>
      <c r="GXU29" s="25"/>
      <c r="GXV29" s="25"/>
      <c r="GXW29" s="25"/>
      <c r="GXX29" s="25"/>
      <c r="GXY29" s="25"/>
      <c r="GXZ29" s="25"/>
      <c r="GYA29" s="25"/>
      <c r="GYB29" s="25"/>
      <c r="GYC29" s="25"/>
      <c r="GYD29" s="25"/>
      <c r="GYE29" s="25"/>
      <c r="GYF29" s="25"/>
      <c r="GYG29" s="25"/>
      <c r="GYH29" s="25"/>
      <c r="GYI29" s="25"/>
      <c r="GYJ29" s="25"/>
      <c r="GYK29" s="25"/>
      <c r="GYL29" s="25"/>
      <c r="GYM29" s="25"/>
      <c r="GYN29" s="25"/>
      <c r="GYO29" s="25"/>
      <c r="GYP29" s="25"/>
      <c r="GYQ29" s="25"/>
      <c r="GYR29" s="25"/>
      <c r="GYS29" s="25"/>
      <c r="GYT29" s="25"/>
      <c r="GYU29" s="25"/>
      <c r="GYV29" s="25"/>
      <c r="GYW29" s="25"/>
      <c r="GYX29" s="25"/>
      <c r="GYY29" s="25"/>
      <c r="GYZ29" s="25"/>
      <c r="GZA29" s="25"/>
      <c r="GZB29" s="25"/>
      <c r="GZC29" s="25"/>
      <c r="GZD29" s="25"/>
      <c r="GZE29" s="25"/>
      <c r="GZF29" s="25"/>
      <c r="GZG29" s="25"/>
      <c r="GZH29" s="25"/>
      <c r="GZI29" s="25"/>
      <c r="GZJ29" s="25"/>
      <c r="GZK29" s="25"/>
      <c r="GZL29" s="25"/>
      <c r="GZM29" s="25"/>
      <c r="GZN29" s="25"/>
      <c r="GZO29" s="25"/>
      <c r="GZP29" s="25"/>
      <c r="GZQ29" s="25"/>
      <c r="GZR29" s="25"/>
      <c r="GZS29" s="25"/>
      <c r="GZT29" s="25"/>
      <c r="GZU29" s="25"/>
      <c r="GZV29" s="25"/>
      <c r="GZW29" s="25"/>
      <c r="GZX29" s="25"/>
      <c r="GZY29" s="25"/>
      <c r="GZZ29" s="25"/>
      <c r="HAA29" s="25"/>
      <c r="HAB29" s="25"/>
      <c r="HAC29" s="25"/>
      <c r="HAD29" s="25"/>
      <c r="HAE29" s="25"/>
      <c r="HAF29" s="25"/>
      <c r="HAG29" s="25"/>
      <c r="HAH29" s="25"/>
      <c r="HAI29" s="25"/>
      <c r="HAJ29" s="25"/>
      <c r="HAK29" s="25"/>
      <c r="HAL29" s="25"/>
      <c r="HAM29" s="25"/>
      <c r="HAN29" s="25"/>
      <c r="HAO29" s="25"/>
      <c r="HAP29" s="25"/>
      <c r="HAQ29" s="25"/>
      <c r="HAR29" s="25"/>
      <c r="HAS29" s="25"/>
      <c r="HAT29" s="25"/>
      <c r="HAU29" s="25"/>
      <c r="HAV29" s="25"/>
      <c r="HAW29" s="25"/>
      <c r="HAX29" s="25"/>
      <c r="HAY29" s="25"/>
      <c r="HAZ29" s="25"/>
      <c r="HBA29" s="25"/>
      <c r="HBB29" s="25"/>
      <c r="HBC29" s="25"/>
      <c r="HBD29" s="25"/>
      <c r="HBE29" s="25"/>
      <c r="HBF29" s="25"/>
      <c r="HBG29" s="25"/>
      <c r="HBH29" s="25"/>
      <c r="HBI29" s="25"/>
      <c r="HBJ29" s="25"/>
      <c r="HBK29" s="25"/>
      <c r="HBL29" s="25"/>
      <c r="HBM29" s="25"/>
      <c r="HBN29" s="25"/>
      <c r="HBO29" s="25"/>
      <c r="HBP29" s="25"/>
      <c r="HBQ29" s="25"/>
      <c r="HBR29" s="25"/>
      <c r="HBS29" s="25"/>
      <c r="HBT29" s="25"/>
      <c r="HBU29" s="25"/>
      <c r="HBV29" s="25"/>
      <c r="HBW29" s="25"/>
      <c r="HBX29" s="25"/>
      <c r="HBY29" s="25"/>
      <c r="HBZ29" s="25"/>
      <c r="HCA29" s="25"/>
      <c r="HCB29" s="25"/>
      <c r="HCC29" s="25"/>
      <c r="HCD29" s="25"/>
      <c r="HCE29" s="25"/>
      <c r="HCF29" s="25"/>
      <c r="HCG29" s="25"/>
      <c r="HCH29" s="25"/>
      <c r="HCI29" s="25"/>
      <c r="HCJ29" s="25"/>
      <c r="HCK29" s="25"/>
      <c r="HCL29" s="25"/>
      <c r="HCM29" s="25"/>
      <c r="HCN29" s="25"/>
      <c r="HCO29" s="25"/>
      <c r="HCP29" s="25"/>
      <c r="HCQ29" s="25"/>
      <c r="HCR29" s="25"/>
      <c r="HCS29" s="25"/>
      <c r="HCT29" s="25"/>
      <c r="HCU29" s="25"/>
      <c r="HCV29" s="25"/>
      <c r="HCW29" s="25"/>
      <c r="HCX29" s="25"/>
      <c r="HCY29" s="25"/>
      <c r="HCZ29" s="25"/>
      <c r="HDA29" s="25"/>
      <c r="HDB29" s="25"/>
      <c r="HDC29" s="25"/>
      <c r="HDD29" s="25"/>
      <c r="HDE29" s="25"/>
      <c r="HDF29" s="25"/>
      <c r="HDG29" s="25"/>
      <c r="HDH29" s="25"/>
      <c r="HDI29" s="25"/>
      <c r="HDJ29" s="25"/>
      <c r="HDK29" s="25"/>
      <c r="HDL29" s="25"/>
      <c r="HDM29" s="25"/>
      <c r="HDN29" s="25"/>
      <c r="HDO29" s="25"/>
      <c r="HDP29" s="25"/>
      <c r="HDQ29" s="25"/>
      <c r="HDR29" s="25"/>
      <c r="HDS29" s="25"/>
      <c r="HDT29" s="25"/>
      <c r="HDU29" s="25"/>
      <c r="HDV29" s="25"/>
      <c r="HDW29" s="25"/>
      <c r="HDX29" s="25"/>
      <c r="HDY29" s="25"/>
      <c r="HDZ29" s="25"/>
      <c r="HEA29" s="25"/>
      <c r="HEB29" s="25"/>
      <c r="HEC29" s="25"/>
      <c r="HED29" s="25"/>
      <c r="HEE29" s="25"/>
      <c r="HEF29" s="25"/>
      <c r="HEG29" s="25"/>
      <c r="HEH29" s="25"/>
      <c r="HEI29" s="25"/>
      <c r="HEJ29" s="25"/>
      <c r="HEK29" s="25"/>
      <c r="HEL29" s="25"/>
      <c r="HEM29" s="25"/>
      <c r="HEN29" s="25"/>
      <c r="HEO29" s="25"/>
      <c r="HEP29" s="25"/>
      <c r="HEQ29" s="25"/>
      <c r="HER29" s="25"/>
      <c r="HES29" s="25"/>
      <c r="HET29" s="25"/>
      <c r="HEU29" s="25"/>
      <c r="HEV29" s="25"/>
      <c r="HEW29" s="25"/>
      <c r="HEX29" s="25"/>
      <c r="HEY29" s="25"/>
      <c r="HEZ29" s="25"/>
      <c r="HFA29" s="25"/>
      <c r="HFB29" s="25"/>
      <c r="HFC29" s="25"/>
      <c r="HFD29" s="25"/>
      <c r="HFE29" s="25"/>
      <c r="HFF29" s="25"/>
      <c r="HFG29" s="25"/>
      <c r="HFH29" s="25"/>
      <c r="HFI29" s="25"/>
      <c r="HFJ29" s="25"/>
      <c r="HFK29" s="25"/>
      <c r="HFL29" s="25"/>
      <c r="HFM29" s="25"/>
      <c r="HFN29" s="25"/>
      <c r="HFO29" s="25"/>
      <c r="HFP29" s="25"/>
      <c r="HFQ29" s="25"/>
      <c r="HFR29" s="25"/>
      <c r="HFS29" s="25"/>
      <c r="HFT29" s="25"/>
      <c r="HFU29" s="25"/>
      <c r="HFV29" s="25"/>
      <c r="HFW29" s="25"/>
      <c r="HFX29" s="25"/>
      <c r="HFY29" s="25"/>
      <c r="HFZ29" s="25"/>
      <c r="HGA29" s="25"/>
      <c r="HGB29" s="25"/>
      <c r="HGC29" s="25"/>
      <c r="HGD29" s="25"/>
      <c r="HGE29" s="25"/>
      <c r="HGF29" s="25"/>
      <c r="HGG29" s="25"/>
      <c r="HGH29" s="25"/>
      <c r="HGI29" s="25"/>
      <c r="HGJ29" s="25"/>
      <c r="HGK29" s="25"/>
      <c r="HGL29" s="25"/>
      <c r="HGM29" s="25"/>
      <c r="HGN29" s="25"/>
      <c r="HGO29" s="25"/>
      <c r="HGP29" s="25"/>
      <c r="HGQ29" s="25"/>
      <c r="HGR29" s="25"/>
      <c r="HGS29" s="25"/>
      <c r="HGT29" s="25"/>
      <c r="HGU29" s="25"/>
      <c r="HGV29" s="25"/>
      <c r="HGW29" s="25"/>
      <c r="HGX29" s="25"/>
      <c r="HGY29" s="25"/>
      <c r="HGZ29" s="25"/>
      <c r="HHA29" s="25"/>
      <c r="HHB29" s="25"/>
      <c r="HHC29" s="25"/>
      <c r="HHD29" s="25"/>
      <c r="HHE29" s="25"/>
      <c r="HHF29" s="25"/>
      <c r="HHG29" s="25"/>
      <c r="HHH29" s="25"/>
      <c r="HHI29" s="25"/>
      <c r="HHJ29" s="25"/>
      <c r="HHK29" s="25"/>
      <c r="HHL29" s="25"/>
      <c r="HHM29" s="25"/>
      <c r="HHN29" s="25"/>
      <c r="HHO29" s="25"/>
      <c r="HHP29" s="25"/>
      <c r="HHQ29" s="25"/>
      <c r="HHR29" s="25"/>
      <c r="HHS29" s="25"/>
      <c r="HHT29" s="25"/>
      <c r="HHU29" s="25"/>
      <c r="HHV29" s="25"/>
      <c r="HHW29" s="25"/>
      <c r="HHX29" s="25"/>
      <c r="HHY29" s="25"/>
      <c r="HHZ29" s="25"/>
      <c r="HIA29" s="25"/>
      <c r="HIB29" s="25"/>
      <c r="HIC29" s="25"/>
      <c r="HID29" s="25"/>
      <c r="HIE29" s="25"/>
      <c r="HIF29" s="25"/>
      <c r="HIG29" s="25"/>
      <c r="HIH29" s="25"/>
      <c r="HII29" s="25"/>
      <c r="HIJ29" s="25"/>
      <c r="HIK29" s="25"/>
      <c r="HIL29" s="25"/>
      <c r="HIM29" s="25"/>
      <c r="HIN29" s="25"/>
      <c r="HIO29" s="25"/>
      <c r="HIP29" s="25"/>
      <c r="HIQ29" s="25"/>
      <c r="HIR29" s="25"/>
      <c r="HIS29" s="25"/>
      <c r="HIT29" s="25"/>
      <c r="HIU29" s="25"/>
      <c r="HIV29" s="25"/>
      <c r="HIW29" s="25"/>
      <c r="HIX29" s="25"/>
      <c r="HIY29" s="25"/>
      <c r="HIZ29" s="25"/>
      <c r="HJA29" s="25"/>
      <c r="HJB29" s="25"/>
      <c r="HJC29" s="25"/>
      <c r="HJD29" s="25"/>
      <c r="HJE29" s="25"/>
      <c r="HJF29" s="25"/>
      <c r="HJG29" s="25"/>
      <c r="HJH29" s="25"/>
      <c r="HJI29" s="25"/>
      <c r="HJJ29" s="25"/>
      <c r="HJK29" s="25"/>
      <c r="HJL29" s="25"/>
      <c r="HJM29" s="25"/>
      <c r="HJN29" s="25"/>
      <c r="HJO29" s="25"/>
      <c r="HJP29" s="25"/>
      <c r="HJQ29" s="25"/>
      <c r="HJR29" s="25"/>
      <c r="HJS29" s="25"/>
      <c r="HJT29" s="25"/>
      <c r="HJU29" s="25"/>
      <c r="HJV29" s="25"/>
      <c r="HJW29" s="25"/>
      <c r="HJX29" s="25"/>
      <c r="HJY29" s="25"/>
      <c r="HJZ29" s="25"/>
      <c r="HKA29" s="25"/>
      <c r="HKB29" s="25"/>
      <c r="HKC29" s="25"/>
      <c r="HKD29" s="25"/>
      <c r="HKE29" s="25"/>
      <c r="HKF29" s="25"/>
      <c r="HKG29" s="25"/>
      <c r="HKH29" s="25"/>
      <c r="HKI29" s="25"/>
      <c r="HKJ29" s="25"/>
      <c r="HKK29" s="25"/>
      <c r="HKL29" s="25"/>
      <c r="HKM29" s="25"/>
      <c r="HKN29" s="25"/>
      <c r="HKO29" s="25"/>
      <c r="HKP29" s="25"/>
      <c r="HKQ29" s="25"/>
      <c r="HKR29" s="25"/>
      <c r="HKS29" s="25"/>
      <c r="HKT29" s="25"/>
      <c r="HKU29" s="25"/>
      <c r="HKV29" s="25"/>
      <c r="HKW29" s="25"/>
      <c r="HKX29" s="25"/>
      <c r="HKY29" s="25"/>
      <c r="HKZ29" s="25"/>
      <c r="HLA29" s="25"/>
      <c r="HLB29" s="25"/>
      <c r="HLC29" s="25"/>
      <c r="HLD29" s="25"/>
      <c r="HLE29" s="25"/>
      <c r="HLF29" s="25"/>
      <c r="HLG29" s="25"/>
      <c r="HLH29" s="25"/>
      <c r="HLI29" s="25"/>
      <c r="HLJ29" s="25"/>
      <c r="HLK29" s="25"/>
      <c r="HLL29" s="25"/>
      <c r="HLM29" s="25"/>
      <c r="HLN29" s="25"/>
      <c r="HLO29" s="25"/>
      <c r="HLP29" s="25"/>
      <c r="HLQ29" s="25"/>
      <c r="HLR29" s="25"/>
      <c r="HLS29" s="25"/>
      <c r="HLT29" s="25"/>
      <c r="HLU29" s="25"/>
      <c r="HLV29" s="25"/>
      <c r="HLW29" s="25"/>
      <c r="HLX29" s="25"/>
      <c r="HLY29" s="25"/>
      <c r="HLZ29" s="25"/>
      <c r="HMA29" s="25"/>
      <c r="HMB29" s="25"/>
      <c r="HMC29" s="25"/>
      <c r="HMD29" s="25"/>
      <c r="HME29" s="25"/>
      <c r="HMF29" s="25"/>
      <c r="HMG29" s="25"/>
      <c r="HMH29" s="25"/>
      <c r="HMI29" s="25"/>
      <c r="HMJ29" s="25"/>
      <c r="HMK29" s="25"/>
      <c r="HML29" s="25"/>
      <c r="HMM29" s="25"/>
      <c r="HMN29" s="25"/>
      <c r="HMO29" s="25"/>
      <c r="HMP29" s="25"/>
      <c r="HMQ29" s="25"/>
      <c r="HMR29" s="25"/>
      <c r="HMS29" s="25"/>
      <c r="HMT29" s="25"/>
      <c r="HMU29" s="25"/>
      <c r="HMV29" s="25"/>
      <c r="HMW29" s="25"/>
      <c r="HMX29" s="25"/>
      <c r="HMY29" s="25"/>
      <c r="HMZ29" s="25"/>
      <c r="HNA29" s="25"/>
      <c r="HNB29" s="25"/>
      <c r="HNC29" s="25"/>
      <c r="HND29" s="25"/>
      <c r="HNE29" s="25"/>
      <c r="HNF29" s="25"/>
      <c r="HNG29" s="25"/>
      <c r="HNH29" s="25"/>
      <c r="HNI29" s="25"/>
      <c r="HNJ29" s="25"/>
      <c r="HNK29" s="25"/>
      <c r="HNL29" s="25"/>
      <c r="HNM29" s="25"/>
      <c r="HNN29" s="25"/>
      <c r="HNO29" s="25"/>
      <c r="HNP29" s="25"/>
      <c r="HNQ29" s="25"/>
      <c r="HNR29" s="25"/>
      <c r="HNS29" s="25"/>
      <c r="HNT29" s="25"/>
      <c r="HNU29" s="25"/>
      <c r="HNV29" s="25"/>
      <c r="HNW29" s="25"/>
      <c r="HNX29" s="25"/>
      <c r="HNY29" s="25"/>
      <c r="HNZ29" s="25"/>
      <c r="HOA29" s="25"/>
      <c r="HOB29" s="25"/>
      <c r="HOC29" s="25"/>
      <c r="HOD29" s="25"/>
      <c r="HOE29" s="25"/>
      <c r="HOF29" s="25"/>
      <c r="HOG29" s="25"/>
      <c r="HOH29" s="25"/>
      <c r="HOI29" s="25"/>
      <c r="HOJ29" s="25"/>
      <c r="HOK29" s="25"/>
      <c r="HOL29" s="25"/>
      <c r="HOM29" s="25"/>
      <c r="HON29" s="25"/>
      <c r="HOO29" s="25"/>
      <c r="HOP29" s="25"/>
      <c r="HOQ29" s="25"/>
      <c r="HOR29" s="25"/>
      <c r="HOS29" s="25"/>
      <c r="HOT29" s="25"/>
      <c r="HOU29" s="25"/>
      <c r="HOV29" s="25"/>
      <c r="HOW29" s="25"/>
      <c r="HOX29" s="25"/>
      <c r="HOY29" s="25"/>
      <c r="HOZ29" s="25"/>
      <c r="HPA29" s="25"/>
      <c r="HPB29" s="25"/>
      <c r="HPC29" s="25"/>
      <c r="HPD29" s="25"/>
      <c r="HPE29" s="25"/>
      <c r="HPF29" s="25"/>
      <c r="HPG29" s="25"/>
      <c r="HPH29" s="25"/>
      <c r="HPI29" s="25"/>
      <c r="HPJ29" s="25"/>
      <c r="HPK29" s="25"/>
      <c r="HPL29" s="25"/>
      <c r="HPM29" s="25"/>
      <c r="HPN29" s="25"/>
      <c r="HPO29" s="25"/>
      <c r="HPP29" s="25"/>
      <c r="HPQ29" s="25"/>
      <c r="HPR29" s="25"/>
      <c r="HPS29" s="25"/>
      <c r="HPT29" s="25"/>
      <c r="HPU29" s="25"/>
      <c r="HPV29" s="25"/>
      <c r="HPW29" s="25"/>
      <c r="HPX29" s="25"/>
      <c r="HPY29" s="25"/>
      <c r="HPZ29" s="25"/>
      <c r="HQA29" s="25"/>
      <c r="HQB29" s="25"/>
      <c r="HQC29" s="25"/>
      <c r="HQD29" s="25"/>
      <c r="HQE29" s="25"/>
      <c r="HQF29" s="25"/>
      <c r="HQG29" s="25"/>
      <c r="HQH29" s="25"/>
      <c r="HQI29" s="25"/>
      <c r="HQJ29" s="25"/>
      <c r="HQK29" s="25"/>
      <c r="HQL29" s="25"/>
      <c r="HQM29" s="25"/>
      <c r="HQN29" s="25"/>
      <c r="HQO29" s="25"/>
      <c r="HQP29" s="25"/>
      <c r="HQQ29" s="25"/>
      <c r="HQR29" s="25"/>
      <c r="HQS29" s="25"/>
      <c r="HQT29" s="25"/>
      <c r="HQU29" s="25"/>
      <c r="HQV29" s="25"/>
      <c r="HQW29" s="25"/>
      <c r="HQX29" s="25"/>
      <c r="HQY29" s="25"/>
      <c r="HQZ29" s="25"/>
      <c r="HRA29" s="25"/>
      <c r="HRB29" s="25"/>
      <c r="HRC29" s="25"/>
      <c r="HRD29" s="25"/>
      <c r="HRE29" s="25"/>
      <c r="HRF29" s="25"/>
      <c r="HRG29" s="25"/>
      <c r="HRH29" s="25"/>
      <c r="HRI29" s="25"/>
      <c r="HRJ29" s="25"/>
      <c r="HRK29" s="25"/>
      <c r="HRL29" s="25"/>
      <c r="HRM29" s="25"/>
      <c r="HRN29" s="25"/>
      <c r="HRO29" s="25"/>
      <c r="HRP29" s="25"/>
      <c r="HRQ29" s="25"/>
      <c r="HRR29" s="25"/>
      <c r="HRS29" s="25"/>
      <c r="HRT29" s="25"/>
      <c r="HRU29" s="25"/>
      <c r="HRV29" s="25"/>
      <c r="HRW29" s="25"/>
      <c r="HRX29" s="25"/>
      <c r="HRY29" s="25"/>
      <c r="HRZ29" s="25"/>
      <c r="HSA29" s="25"/>
      <c r="HSB29" s="25"/>
      <c r="HSC29" s="25"/>
      <c r="HSD29" s="25"/>
      <c r="HSE29" s="25"/>
      <c r="HSF29" s="25"/>
      <c r="HSG29" s="25"/>
      <c r="HSH29" s="25"/>
      <c r="HSI29" s="25"/>
      <c r="HSJ29" s="25"/>
      <c r="HSK29" s="25"/>
      <c r="HSL29" s="25"/>
      <c r="HSM29" s="25"/>
      <c r="HSN29" s="25"/>
      <c r="HSO29" s="25"/>
      <c r="HSP29" s="25"/>
      <c r="HSQ29" s="25"/>
      <c r="HSR29" s="25"/>
      <c r="HSS29" s="25"/>
      <c r="HST29" s="25"/>
      <c r="HSU29" s="25"/>
      <c r="HSV29" s="25"/>
      <c r="HSW29" s="25"/>
      <c r="HSX29" s="25"/>
      <c r="HSY29" s="25"/>
      <c r="HSZ29" s="25"/>
      <c r="HTA29" s="25"/>
      <c r="HTB29" s="25"/>
      <c r="HTC29" s="25"/>
      <c r="HTD29" s="25"/>
      <c r="HTE29" s="25"/>
      <c r="HTF29" s="25"/>
      <c r="HTG29" s="25"/>
      <c r="HTH29" s="25"/>
      <c r="HTI29" s="25"/>
      <c r="HTJ29" s="25"/>
      <c r="HTK29" s="25"/>
      <c r="HTL29" s="25"/>
      <c r="HTM29" s="25"/>
      <c r="HTN29" s="25"/>
      <c r="HTO29" s="25"/>
      <c r="HTP29" s="25"/>
      <c r="HTQ29" s="25"/>
      <c r="HTR29" s="25"/>
      <c r="HTS29" s="25"/>
      <c r="HTT29" s="25"/>
      <c r="HTU29" s="25"/>
      <c r="HTV29" s="25"/>
      <c r="HTW29" s="25"/>
      <c r="HTX29" s="25"/>
      <c r="HTY29" s="25"/>
      <c r="HTZ29" s="25"/>
      <c r="HUA29" s="25"/>
      <c r="HUB29" s="25"/>
      <c r="HUC29" s="25"/>
      <c r="HUD29" s="25"/>
      <c r="HUE29" s="25"/>
      <c r="HUF29" s="25"/>
      <c r="HUG29" s="25"/>
      <c r="HUH29" s="25"/>
      <c r="HUI29" s="25"/>
      <c r="HUJ29" s="25"/>
      <c r="HUK29" s="25"/>
      <c r="HUL29" s="25"/>
      <c r="HUM29" s="25"/>
      <c r="HUN29" s="25"/>
      <c r="HUO29" s="25"/>
      <c r="HUP29" s="25"/>
      <c r="HUQ29" s="25"/>
      <c r="HUR29" s="25"/>
      <c r="HUS29" s="25"/>
      <c r="HUT29" s="25"/>
      <c r="HUU29" s="25"/>
      <c r="HUV29" s="25"/>
      <c r="HUW29" s="25"/>
      <c r="HUX29" s="25"/>
      <c r="HUY29" s="25"/>
      <c r="HUZ29" s="25"/>
      <c r="HVA29" s="25"/>
      <c r="HVB29" s="25"/>
      <c r="HVC29" s="25"/>
      <c r="HVD29" s="25"/>
      <c r="HVE29" s="25"/>
      <c r="HVF29" s="25"/>
      <c r="HVG29" s="25"/>
      <c r="HVH29" s="25"/>
      <c r="HVI29" s="25"/>
      <c r="HVJ29" s="25"/>
      <c r="HVK29" s="25"/>
      <c r="HVL29" s="25"/>
      <c r="HVM29" s="25"/>
      <c r="HVN29" s="25"/>
      <c r="HVO29" s="25"/>
      <c r="HVP29" s="25"/>
      <c r="HVQ29" s="25"/>
      <c r="HVR29" s="25"/>
      <c r="HVS29" s="25"/>
      <c r="HVT29" s="25"/>
      <c r="HVU29" s="25"/>
      <c r="HVV29" s="25"/>
      <c r="HVW29" s="25"/>
      <c r="HVX29" s="25"/>
      <c r="HVY29" s="25"/>
      <c r="HVZ29" s="25"/>
      <c r="HWA29" s="25"/>
      <c r="HWB29" s="25"/>
      <c r="HWC29" s="25"/>
      <c r="HWD29" s="25"/>
      <c r="HWE29" s="25"/>
      <c r="HWF29" s="25"/>
      <c r="HWG29" s="25"/>
      <c r="HWH29" s="25"/>
      <c r="HWI29" s="25"/>
      <c r="HWJ29" s="25"/>
      <c r="HWK29" s="25"/>
      <c r="HWL29" s="25"/>
      <c r="HWM29" s="25"/>
      <c r="HWN29" s="25"/>
      <c r="HWO29" s="25"/>
      <c r="HWP29" s="25"/>
      <c r="HWQ29" s="25"/>
      <c r="HWR29" s="25"/>
      <c r="HWS29" s="25"/>
      <c r="HWT29" s="25"/>
      <c r="HWU29" s="25"/>
      <c r="HWV29" s="25"/>
      <c r="HWW29" s="25"/>
      <c r="HWX29" s="25"/>
      <c r="HWY29" s="25"/>
      <c r="HWZ29" s="25"/>
      <c r="HXA29" s="25"/>
      <c r="HXB29" s="25"/>
      <c r="HXC29" s="25"/>
      <c r="HXD29" s="25"/>
      <c r="HXE29" s="25"/>
      <c r="HXF29" s="25"/>
      <c r="HXG29" s="25"/>
      <c r="HXH29" s="25"/>
      <c r="HXI29" s="25"/>
      <c r="HXJ29" s="25"/>
      <c r="HXK29" s="25"/>
      <c r="HXL29" s="25"/>
      <c r="HXM29" s="25"/>
      <c r="HXN29" s="25"/>
      <c r="HXO29" s="25"/>
      <c r="HXP29" s="25"/>
      <c r="HXQ29" s="25"/>
      <c r="HXR29" s="25"/>
      <c r="HXS29" s="25"/>
      <c r="HXT29" s="25"/>
      <c r="HXU29" s="25"/>
      <c r="HXV29" s="25"/>
      <c r="HXW29" s="25"/>
      <c r="HXX29" s="25"/>
      <c r="HXY29" s="25"/>
      <c r="HXZ29" s="25"/>
      <c r="HYA29" s="25"/>
      <c r="HYB29" s="25"/>
      <c r="HYC29" s="25"/>
      <c r="HYD29" s="25"/>
      <c r="HYE29" s="25"/>
      <c r="HYF29" s="25"/>
      <c r="HYG29" s="25"/>
      <c r="HYH29" s="25"/>
      <c r="HYI29" s="25"/>
      <c r="HYJ29" s="25"/>
      <c r="HYK29" s="25"/>
      <c r="HYL29" s="25"/>
      <c r="HYM29" s="25"/>
      <c r="HYN29" s="25"/>
      <c r="HYO29" s="25"/>
      <c r="HYP29" s="25"/>
      <c r="HYQ29" s="25"/>
      <c r="HYR29" s="25"/>
      <c r="HYS29" s="25"/>
      <c r="HYT29" s="25"/>
      <c r="HYU29" s="25"/>
      <c r="HYV29" s="25"/>
      <c r="HYW29" s="25"/>
      <c r="HYX29" s="25"/>
      <c r="HYY29" s="25"/>
      <c r="HYZ29" s="25"/>
      <c r="HZA29" s="25"/>
      <c r="HZB29" s="25"/>
      <c r="HZC29" s="25"/>
      <c r="HZD29" s="25"/>
      <c r="HZE29" s="25"/>
      <c r="HZF29" s="25"/>
      <c r="HZG29" s="25"/>
      <c r="HZH29" s="25"/>
      <c r="HZI29" s="25"/>
      <c r="HZJ29" s="25"/>
      <c r="HZK29" s="25"/>
      <c r="HZL29" s="25"/>
      <c r="HZM29" s="25"/>
      <c r="HZN29" s="25"/>
      <c r="HZO29" s="25"/>
      <c r="HZP29" s="25"/>
      <c r="HZQ29" s="25"/>
      <c r="HZR29" s="25"/>
      <c r="HZS29" s="25"/>
      <c r="HZT29" s="25"/>
      <c r="HZU29" s="25"/>
      <c r="HZV29" s="25"/>
      <c r="HZW29" s="25"/>
      <c r="HZX29" s="25"/>
      <c r="HZY29" s="25"/>
      <c r="HZZ29" s="25"/>
      <c r="IAA29" s="25"/>
      <c r="IAB29" s="25"/>
      <c r="IAC29" s="25"/>
      <c r="IAD29" s="25"/>
      <c r="IAE29" s="25"/>
      <c r="IAF29" s="25"/>
      <c r="IAG29" s="25"/>
      <c r="IAH29" s="25"/>
      <c r="IAI29" s="25"/>
      <c r="IAJ29" s="25"/>
      <c r="IAK29" s="25"/>
      <c r="IAL29" s="25"/>
      <c r="IAM29" s="25"/>
      <c r="IAN29" s="25"/>
      <c r="IAO29" s="25"/>
      <c r="IAP29" s="25"/>
      <c r="IAQ29" s="25"/>
      <c r="IAR29" s="25"/>
      <c r="IAS29" s="25"/>
      <c r="IAT29" s="25"/>
      <c r="IAU29" s="25"/>
      <c r="IAV29" s="25"/>
      <c r="IAW29" s="25"/>
      <c r="IAX29" s="25"/>
      <c r="IAY29" s="25"/>
      <c r="IAZ29" s="25"/>
      <c r="IBA29" s="25"/>
      <c r="IBB29" s="25"/>
      <c r="IBC29" s="25"/>
      <c r="IBD29" s="25"/>
      <c r="IBE29" s="25"/>
      <c r="IBF29" s="25"/>
      <c r="IBG29" s="25"/>
      <c r="IBH29" s="25"/>
      <c r="IBI29" s="25"/>
      <c r="IBJ29" s="25"/>
      <c r="IBK29" s="25"/>
      <c r="IBL29" s="25"/>
      <c r="IBM29" s="25"/>
      <c r="IBN29" s="25"/>
      <c r="IBO29" s="25"/>
      <c r="IBP29" s="25"/>
      <c r="IBQ29" s="25"/>
      <c r="IBR29" s="25"/>
      <c r="IBS29" s="25"/>
      <c r="IBT29" s="25"/>
      <c r="IBU29" s="25"/>
      <c r="IBV29" s="25"/>
      <c r="IBW29" s="25"/>
      <c r="IBX29" s="25"/>
      <c r="IBY29" s="25"/>
      <c r="IBZ29" s="25"/>
      <c r="ICA29" s="25"/>
      <c r="ICB29" s="25"/>
      <c r="ICC29" s="25"/>
      <c r="ICD29" s="25"/>
      <c r="ICE29" s="25"/>
      <c r="ICF29" s="25"/>
      <c r="ICG29" s="25"/>
      <c r="ICH29" s="25"/>
      <c r="ICI29" s="25"/>
      <c r="ICJ29" s="25"/>
      <c r="ICK29" s="25"/>
      <c r="ICL29" s="25"/>
      <c r="ICM29" s="25"/>
      <c r="ICN29" s="25"/>
      <c r="ICO29" s="25"/>
      <c r="ICP29" s="25"/>
      <c r="ICQ29" s="25"/>
      <c r="ICR29" s="25"/>
      <c r="ICS29" s="25"/>
      <c r="ICT29" s="25"/>
      <c r="ICU29" s="25"/>
      <c r="ICV29" s="25"/>
      <c r="ICW29" s="25"/>
      <c r="ICX29" s="25"/>
      <c r="ICY29" s="25"/>
      <c r="ICZ29" s="25"/>
      <c r="IDA29" s="25"/>
      <c r="IDB29" s="25"/>
      <c r="IDC29" s="25"/>
      <c r="IDD29" s="25"/>
      <c r="IDE29" s="25"/>
      <c r="IDF29" s="25"/>
      <c r="IDG29" s="25"/>
      <c r="IDH29" s="25"/>
      <c r="IDI29" s="25"/>
      <c r="IDJ29" s="25"/>
      <c r="IDK29" s="25"/>
      <c r="IDL29" s="25"/>
      <c r="IDM29" s="25"/>
      <c r="IDN29" s="25"/>
      <c r="IDO29" s="25"/>
      <c r="IDP29" s="25"/>
      <c r="IDQ29" s="25"/>
      <c r="IDR29" s="25"/>
      <c r="IDS29" s="25"/>
      <c r="IDT29" s="25"/>
      <c r="IDU29" s="25"/>
      <c r="IDV29" s="25"/>
      <c r="IDW29" s="25"/>
      <c r="IDX29" s="25"/>
      <c r="IDY29" s="25"/>
      <c r="IDZ29" s="25"/>
      <c r="IEA29" s="25"/>
      <c r="IEB29" s="25"/>
      <c r="IEC29" s="25"/>
      <c r="IED29" s="25"/>
      <c r="IEE29" s="25"/>
      <c r="IEF29" s="25"/>
      <c r="IEG29" s="25"/>
      <c r="IEH29" s="25"/>
      <c r="IEI29" s="25"/>
      <c r="IEJ29" s="25"/>
      <c r="IEK29" s="25"/>
      <c r="IEL29" s="25"/>
      <c r="IEM29" s="25"/>
      <c r="IEN29" s="25"/>
      <c r="IEO29" s="25"/>
      <c r="IEP29" s="25"/>
      <c r="IEQ29" s="25"/>
      <c r="IER29" s="25"/>
      <c r="IES29" s="25"/>
      <c r="IET29" s="25"/>
      <c r="IEU29" s="25"/>
      <c r="IEV29" s="25"/>
      <c r="IEW29" s="25"/>
      <c r="IEX29" s="25"/>
      <c r="IEY29" s="25"/>
      <c r="IEZ29" s="25"/>
      <c r="IFA29" s="25"/>
      <c r="IFB29" s="25"/>
      <c r="IFC29" s="25"/>
      <c r="IFD29" s="25"/>
      <c r="IFE29" s="25"/>
      <c r="IFF29" s="25"/>
      <c r="IFG29" s="25"/>
      <c r="IFH29" s="25"/>
      <c r="IFI29" s="25"/>
      <c r="IFJ29" s="25"/>
      <c r="IFK29" s="25"/>
      <c r="IFL29" s="25"/>
      <c r="IFM29" s="25"/>
      <c r="IFN29" s="25"/>
      <c r="IFO29" s="25"/>
      <c r="IFP29" s="25"/>
      <c r="IFQ29" s="25"/>
      <c r="IFR29" s="25"/>
      <c r="IFS29" s="25"/>
      <c r="IFT29" s="25"/>
      <c r="IFU29" s="25"/>
      <c r="IFV29" s="25"/>
      <c r="IFW29" s="25"/>
      <c r="IFX29" s="25"/>
      <c r="IFY29" s="25"/>
      <c r="IFZ29" s="25"/>
      <c r="IGA29" s="25"/>
      <c r="IGB29" s="25"/>
      <c r="IGC29" s="25"/>
      <c r="IGD29" s="25"/>
      <c r="IGE29" s="25"/>
      <c r="IGF29" s="25"/>
      <c r="IGG29" s="25"/>
      <c r="IGH29" s="25"/>
      <c r="IGI29" s="25"/>
      <c r="IGJ29" s="25"/>
      <c r="IGK29" s="25"/>
      <c r="IGL29" s="25"/>
      <c r="IGM29" s="25"/>
      <c r="IGN29" s="25"/>
      <c r="IGO29" s="25"/>
      <c r="IGP29" s="25"/>
      <c r="IGQ29" s="25"/>
      <c r="IGR29" s="25"/>
      <c r="IGS29" s="25"/>
      <c r="IGT29" s="25"/>
      <c r="IGU29" s="25"/>
      <c r="IGV29" s="25"/>
      <c r="IGW29" s="25"/>
      <c r="IGX29" s="25"/>
      <c r="IGY29" s="25"/>
      <c r="IGZ29" s="25"/>
      <c r="IHA29" s="25"/>
      <c r="IHB29" s="25"/>
      <c r="IHC29" s="25"/>
      <c r="IHD29" s="25"/>
      <c r="IHE29" s="25"/>
      <c r="IHF29" s="25"/>
      <c r="IHG29" s="25"/>
      <c r="IHH29" s="25"/>
      <c r="IHI29" s="25"/>
      <c r="IHJ29" s="25"/>
      <c r="IHK29" s="25"/>
      <c r="IHL29" s="25"/>
      <c r="IHM29" s="25"/>
      <c r="IHN29" s="25"/>
      <c r="IHO29" s="25"/>
      <c r="IHP29" s="25"/>
      <c r="IHQ29" s="25"/>
      <c r="IHR29" s="25"/>
      <c r="IHS29" s="25"/>
      <c r="IHT29" s="25"/>
      <c r="IHU29" s="25"/>
      <c r="IHV29" s="25"/>
      <c r="IHW29" s="25"/>
      <c r="IHX29" s="25"/>
      <c r="IHY29" s="25"/>
      <c r="IHZ29" s="25"/>
      <c r="IIA29" s="25"/>
      <c r="IIB29" s="25"/>
      <c r="IIC29" s="25"/>
      <c r="IID29" s="25"/>
      <c r="IIE29" s="25"/>
      <c r="IIF29" s="25"/>
      <c r="IIG29" s="25"/>
      <c r="IIH29" s="25"/>
      <c r="III29" s="25"/>
      <c r="IIJ29" s="25"/>
      <c r="IIK29" s="25"/>
      <c r="IIL29" s="25"/>
      <c r="IIM29" s="25"/>
      <c r="IIN29" s="25"/>
      <c r="IIO29" s="25"/>
      <c r="IIP29" s="25"/>
      <c r="IIQ29" s="25"/>
      <c r="IIR29" s="25"/>
      <c r="IIS29" s="25"/>
      <c r="IIT29" s="25"/>
      <c r="IIU29" s="25"/>
      <c r="IIV29" s="25"/>
      <c r="IIW29" s="25"/>
      <c r="IIX29" s="25"/>
      <c r="IIY29" s="25"/>
      <c r="IIZ29" s="25"/>
      <c r="IJA29" s="25"/>
      <c r="IJB29" s="25"/>
      <c r="IJC29" s="25"/>
      <c r="IJD29" s="25"/>
      <c r="IJE29" s="25"/>
      <c r="IJF29" s="25"/>
      <c r="IJG29" s="25"/>
      <c r="IJH29" s="25"/>
      <c r="IJI29" s="25"/>
      <c r="IJJ29" s="25"/>
      <c r="IJK29" s="25"/>
      <c r="IJL29" s="25"/>
      <c r="IJM29" s="25"/>
      <c r="IJN29" s="25"/>
      <c r="IJO29" s="25"/>
      <c r="IJP29" s="25"/>
      <c r="IJQ29" s="25"/>
      <c r="IJR29" s="25"/>
      <c r="IJS29" s="25"/>
      <c r="IJT29" s="25"/>
      <c r="IJU29" s="25"/>
      <c r="IJV29" s="25"/>
      <c r="IJW29" s="25"/>
      <c r="IJX29" s="25"/>
      <c r="IJY29" s="25"/>
      <c r="IJZ29" s="25"/>
      <c r="IKA29" s="25"/>
      <c r="IKB29" s="25"/>
      <c r="IKC29" s="25"/>
      <c r="IKD29" s="25"/>
      <c r="IKE29" s="25"/>
      <c r="IKF29" s="25"/>
      <c r="IKG29" s="25"/>
      <c r="IKH29" s="25"/>
      <c r="IKI29" s="25"/>
      <c r="IKJ29" s="25"/>
      <c r="IKK29" s="25"/>
      <c r="IKL29" s="25"/>
      <c r="IKM29" s="25"/>
      <c r="IKN29" s="25"/>
      <c r="IKO29" s="25"/>
      <c r="IKP29" s="25"/>
      <c r="IKQ29" s="25"/>
      <c r="IKR29" s="25"/>
      <c r="IKS29" s="25"/>
      <c r="IKT29" s="25"/>
      <c r="IKU29" s="25"/>
      <c r="IKV29" s="25"/>
      <c r="IKW29" s="25"/>
      <c r="IKX29" s="25"/>
      <c r="IKY29" s="25"/>
      <c r="IKZ29" s="25"/>
      <c r="ILA29" s="25"/>
      <c r="ILB29" s="25"/>
      <c r="ILC29" s="25"/>
      <c r="ILD29" s="25"/>
      <c r="ILE29" s="25"/>
      <c r="ILF29" s="25"/>
      <c r="ILG29" s="25"/>
      <c r="ILH29" s="25"/>
      <c r="ILI29" s="25"/>
      <c r="ILJ29" s="25"/>
      <c r="ILK29" s="25"/>
      <c r="ILL29" s="25"/>
      <c r="ILM29" s="25"/>
      <c r="ILN29" s="25"/>
      <c r="ILO29" s="25"/>
      <c r="ILP29" s="25"/>
      <c r="ILQ29" s="25"/>
      <c r="ILR29" s="25"/>
      <c r="ILS29" s="25"/>
      <c r="ILT29" s="25"/>
      <c r="ILU29" s="25"/>
      <c r="ILV29" s="25"/>
      <c r="ILW29" s="25"/>
      <c r="ILX29" s="25"/>
      <c r="ILY29" s="25"/>
      <c r="ILZ29" s="25"/>
      <c r="IMA29" s="25"/>
      <c r="IMB29" s="25"/>
      <c r="IMC29" s="25"/>
      <c r="IMD29" s="25"/>
      <c r="IME29" s="25"/>
      <c r="IMF29" s="25"/>
      <c r="IMG29" s="25"/>
      <c r="IMH29" s="25"/>
      <c r="IMI29" s="25"/>
      <c r="IMJ29" s="25"/>
      <c r="IMK29" s="25"/>
      <c r="IML29" s="25"/>
      <c r="IMM29" s="25"/>
      <c r="IMN29" s="25"/>
      <c r="IMO29" s="25"/>
      <c r="IMP29" s="25"/>
      <c r="IMQ29" s="25"/>
      <c r="IMR29" s="25"/>
      <c r="IMS29" s="25"/>
      <c r="IMT29" s="25"/>
      <c r="IMU29" s="25"/>
      <c r="IMV29" s="25"/>
      <c r="IMW29" s="25"/>
      <c r="IMX29" s="25"/>
      <c r="IMY29" s="25"/>
      <c r="IMZ29" s="25"/>
      <c r="INA29" s="25"/>
      <c r="INB29" s="25"/>
      <c r="INC29" s="25"/>
      <c r="IND29" s="25"/>
      <c r="INE29" s="25"/>
      <c r="INF29" s="25"/>
      <c r="ING29" s="25"/>
      <c r="INH29" s="25"/>
      <c r="INI29" s="25"/>
      <c r="INJ29" s="25"/>
      <c r="INK29" s="25"/>
      <c r="INL29" s="25"/>
      <c r="INM29" s="25"/>
      <c r="INN29" s="25"/>
      <c r="INO29" s="25"/>
      <c r="INP29" s="25"/>
      <c r="INQ29" s="25"/>
      <c r="INR29" s="25"/>
      <c r="INS29" s="25"/>
      <c r="INT29" s="25"/>
      <c r="INU29" s="25"/>
      <c r="INV29" s="25"/>
      <c r="INW29" s="25"/>
      <c r="INX29" s="25"/>
      <c r="INY29" s="25"/>
      <c r="INZ29" s="25"/>
      <c r="IOA29" s="25"/>
      <c r="IOB29" s="25"/>
      <c r="IOC29" s="25"/>
      <c r="IOD29" s="25"/>
      <c r="IOE29" s="25"/>
      <c r="IOF29" s="25"/>
      <c r="IOG29" s="25"/>
      <c r="IOH29" s="25"/>
      <c r="IOI29" s="25"/>
      <c r="IOJ29" s="25"/>
      <c r="IOK29" s="25"/>
      <c r="IOL29" s="25"/>
      <c r="IOM29" s="25"/>
      <c r="ION29" s="25"/>
      <c r="IOO29" s="25"/>
      <c r="IOP29" s="25"/>
      <c r="IOQ29" s="25"/>
      <c r="IOR29" s="25"/>
      <c r="IOS29" s="25"/>
      <c r="IOT29" s="25"/>
      <c r="IOU29" s="25"/>
      <c r="IOV29" s="25"/>
      <c r="IOW29" s="25"/>
      <c r="IOX29" s="25"/>
      <c r="IOY29" s="25"/>
      <c r="IOZ29" s="25"/>
      <c r="IPA29" s="25"/>
      <c r="IPB29" s="25"/>
      <c r="IPC29" s="25"/>
      <c r="IPD29" s="25"/>
      <c r="IPE29" s="25"/>
      <c r="IPF29" s="25"/>
      <c r="IPG29" s="25"/>
      <c r="IPH29" s="25"/>
      <c r="IPI29" s="25"/>
      <c r="IPJ29" s="25"/>
      <c r="IPK29" s="25"/>
      <c r="IPL29" s="25"/>
      <c r="IPM29" s="25"/>
      <c r="IPN29" s="25"/>
      <c r="IPO29" s="25"/>
      <c r="IPP29" s="25"/>
      <c r="IPQ29" s="25"/>
      <c r="IPR29" s="25"/>
      <c r="IPS29" s="25"/>
      <c r="IPT29" s="25"/>
      <c r="IPU29" s="25"/>
      <c r="IPV29" s="25"/>
      <c r="IPW29" s="25"/>
      <c r="IPX29" s="25"/>
      <c r="IPY29" s="25"/>
      <c r="IPZ29" s="25"/>
      <c r="IQA29" s="25"/>
      <c r="IQB29" s="25"/>
      <c r="IQC29" s="25"/>
      <c r="IQD29" s="25"/>
      <c r="IQE29" s="25"/>
      <c r="IQF29" s="25"/>
      <c r="IQG29" s="25"/>
      <c r="IQH29" s="25"/>
      <c r="IQI29" s="25"/>
      <c r="IQJ29" s="25"/>
      <c r="IQK29" s="25"/>
      <c r="IQL29" s="25"/>
      <c r="IQM29" s="25"/>
      <c r="IQN29" s="25"/>
      <c r="IQO29" s="25"/>
      <c r="IQP29" s="25"/>
      <c r="IQQ29" s="25"/>
      <c r="IQR29" s="25"/>
      <c r="IQS29" s="25"/>
      <c r="IQT29" s="25"/>
      <c r="IQU29" s="25"/>
      <c r="IQV29" s="25"/>
      <c r="IQW29" s="25"/>
      <c r="IQX29" s="25"/>
      <c r="IQY29" s="25"/>
      <c r="IQZ29" s="25"/>
      <c r="IRA29" s="25"/>
      <c r="IRB29" s="25"/>
      <c r="IRC29" s="25"/>
      <c r="IRD29" s="25"/>
      <c r="IRE29" s="25"/>
      <c r="IRF29" s="25"/>
      <c r="IRG29" s="25"/>
      <c r="IRH29" s="25"/>
      <c r="IRI29" s="25"/>
      <c r="IRJ29" s="25"/>
      <c r="IRK29" s="25"/>
      <c r="IRL29" s="25"/>
      <c r="IRM29" s="25"/>
      <c r="IRN29" s="25"/>
      <c r="IRO29" s="25"/>
      <c r="IRP29" s="25"/>
      <c r="IRQ29" s="25"/>
      <c r="IRR29" s="25"/>
      <c r="IRS29" s="25"/>
      <c r="IRT29" s="25"/>
      <c r="IRU29" s="25"/>
      <c r="IRV29" s="25"/>
      <c r="IRW29" s="25"/>
      <c r="IRX29" s="25"/>
      <c r="IRY29" s="25"/>
      <c r="IRZ29" s="25"/>
      <c r="ISA29" s="25"/>
      <c r="ISB29" s="25"/>
      <c r="ISC29" s="25"/>
      <c r="ISD29" s="25"/>
      <c r="ISE29" s="25"/>
      <c r="ISF29" s="25"/>
      <c r="ISG29" s="25"/>
      <c r="ISH29" s="25"/>
      <c r="ISI29" s="25"/>
      <c r="ISJ29" s="25"/>
      <c r="ISK29" s="25"/>
      <c r="ISL29" s="25"/>
      <c r="ISM29" s="25"/>
      <c r="ISN29" s="25"/>
      <c r="ISO29" s="25"/>
      <c r="ISP29" s="25"/>
      <c r="ISQ29" s="25"/>
      <c r="ISR29" s="25"/>
      <c r="ISS29" s="25"/>
      <c r="IST29" s="25"/>
      <c r="ISU29" s="25"/>
      <c r="ISV29" s="25"/>
      <c r="ISW29" s="25"/>
      <c r="ISX29" s="25"/>
      <c r="ISY29" s="25"/>
      <c r="ISZ29" s="25"/>
      <c r="ITA29" s="25"/>
      <c r="ITB29" s="25"/>
      <c r="ITC29" s="25"/>
      <c r="ITD29" s="25"/>
      <c r="ITE29" s="25"/>
      <c r="ITF29" s="25"/>
      <c r="ITG29" s="25"/>
      <c r="ITH29" s="25"/>
      <c r="ITI29" s="25"/>
      <c r="ITJ29" s="25"/>
      <c r="ITK29" s="25"/>
      <c r="ITL29" s="25"/>
      <c r="ITM29" s="25"/>
      <c r="ITN29" s="25"/>
      <c r="ITO29" s="25"/>
      <c r="ITP29" s="25"/>
      <c r="ITQ29" s="25"/>
      <c r="ITR29" s="25"/>
      <c r="ITS29" s="25"/>
      <c r="ITT29" s="25"/>
      <c r="ITU29" s="25"/>
      <c r="ITV29" s="25"/>
      <c r="ITW29" s="25"/>
      <c r="ITX29" s="25"/>
      <c r="ITY29" s="25"/>
      <c r="ITZ29" s="25"/>
      <c r="IUA29" s="25"/>
      <c r="IUB29" s="25"/>
      <c r="IUC29" s="25"/>
      <c r="IUD29" s="25"/>
      <c r="IUE29" s="25"/>
      <c r="IUF29" s="25"/>
      <c r="IUG29" s="25"/>
      <c r="IUH29" s="25"/>
      <c r="IUI29" s="25"/>
      <c r="IUJ29" s="25"/>
      <c r="IUK29" s="25"/>
      <c r="IUL29" s="25"/>
      <c r="IUM29" s="25"/>
      <c r="IUN29" s="25"/>
      <c r="IUO29" s="25"/>
      <c r="IUP29" s="25"/>
      <c r="IUQ29" s="25"/>
      <c r="IUR29" s="25"/>
      <c r="IUS29" s="25"/>
      <c r="IUT29" s="25"/>
      <c r="IUU29" s="25"/>
      <c r="IUV29" s="25"/>
      <c r="IUW29" s="25"/>
      <c r="IUX29" s="25"/>
      <c r="IUY29" s="25"/>
      <c r="IUZ29" s="25"/>
      <c r="IVA29" s="25"/>
      <c r="IVB29" s="25"/>
      <c r="IVC29" s="25"/>
      <c r="IVD29" s="25"/>
      <c r="IVE29" s="25"/>
      <c r="IVF29" s="25"/>
      <c r="IVG29" s="25"/>
      <c r="IVH29" s="25"/>
      <c r="IVI29" s="25"/>
      <c r="IVJ29" s="25"/>
      <c r="IVK29" s="25"/>
      <c r="IVL29" s="25"/>
      <c r="IVM29" s="25"/>
      <c r="IVN29" s="25"/>
      <c r="IVO29" s="25"/>
      <c r="IVP29" s="25"/>
      <c r="IVQ29" s="25"/>
      <c r="IVR29" s="25"/>
      <c r="IVS29" s="25"/>
      <c r="IVT29" s="25"/>
      <c r="IVU29" s="25"/>
      <c r="IVV29" s="25"/>
      <c r="IVW29" s="25"/>
      <c r="IVX29" s="25"/>
      <c r="IVY29" s="25"/>
      <c r="IVZ29" s="25"/>
      <c r="IWA29" s="25"/>
      <c r="IWB29" s="25"/>
      <c r="IWC29" s="25"/>
      <c r="IWD29" s="25"/>
      <c r="IWE29" s="25"/>
      <c r="IWF29" s="25"/>
      <c r="IWG29" s="25"/>
      <c r="IWH29" s="25"/>
      <c r="IWI29" s="25"/>
      <c r="IWJ29" s="25"/>
      <c r="IWK29" s="25"/>
      <c r="IWL29" s="25"/>
      <c r="IWM29" s="25"/>
      <c r="IWN29" s="25"/>
      <c r="IWO29" s="25"/>
      <c r="IWP29" s="25"/>
      <c r="IWQ29" s="25"/>
      <c r="IWR29" s="25"/>
      <c r="IWS29" s="25"/>
      <c r="IWT29" s="25"/>
      <c r="IWU29" s="25"/>
      <c r="IWV29" s="25"/>
      <c r="IWW29" s="25"/>
      <c r="IWX29" s="25"/>
      <c r="IWY29" s="25"/>
      <c r="IWZ29" s="25"/>
      <c r="IXA29" s="25"/>
      <c r="IXB29" s="25"/>
      <c r="IXC29" s="25"/>
      <c r="IXD29" s="25"/>
      <c r="IXE29" s="25"/>
      <c r="IXF29" s="25"/>
      <c r="IXG29" s="25"/>
      <c r="IXH29" s="25"/>
      <c r="IXI29" s="25"/>
      <c r="IXJ29" s="25"/>
      <c r="IXK29" s="25"/>
      <c r="IXL29" s="25"/>
      <c r="IXM29" s="25"/>
      <c r="IXN29" s="25"/>
      <c r="IXO29" s="25"/>
      <c r="IXP29" s="25"/>
      <c r="IXQ29" s="25"/>
      <c r="IXR29" s="25"/>
      <c r="IXS29" s="25"/>
      <c r="IXT29" s="25"/>
      <c r="IXU29" s="25"/>
      <c r="IXV29" s="25"/>
      <c r="IXW29" s="25"/>
      <c r="IXX29" s="25"/>
      <c r="IXY29" s="25"/>
      <c r="IXZ29" s="25"/>
      <c r="IYA29" s="25"/>
      <c r="IYB29" s="25"/>
      <c r="IYC29" s="25"/>
      <c r="IYD29" s="25"/>
      <c r="IYE29" s="25"/>
      <c r="IYF29" s="25"/>
      <c r="IYG29" s="25"/>
      <c r="IYH29" s="25"/>
      <c r="IYI29" s="25"/>
      <c r="IYJ29" s="25"/>
      <c r="IYK29" s="25"/>
      <c r="IYL29" s="25"/>
      <c r="IYM29" s="25"/>
      <c r="IYN29" s="25"/>
      <c r="IYO29" s="25"/>
      <c r="IYP29" s="25"/>
      <c r="IYQ29" s="25"/>
      <c r="IYR29" s="25"/>
      <c r="IYS29" s="25"/>
      <c r="IYT29" s="25"/>
      <c r="IYU29" s="25"/>
      <c r="IYV29" s="25"/>
      <c r="IYW29" s="25"/>
      <c r="IYX29" s="25"/>
      <c r="IYY29" s="25"/>
      <c r="IYZ29" s="25"/>
      <c r="IZA29" s="25"/>
      <c r="IZB29" s="25"/>
      <c r="IZC29" s="25"/>
      <c r="IZD29" s="25"/>
      <c r="IZE29" s="25"/>
      <c r="IZF29" s="25"/>
      <c r="IZG29" s="25"/>
      <c r="IZH29" s="25"/>
      <c r="IZI29" s="25"/>
      <c r="IZJ29" s="25"/>
      <c r="IZK29" s="25"/>
      <c r="IZL29" s="25"/>
      <c r="IZM29" s="25"/>
      <c r="IZN29" s="25"/>
      <c r="IZO29" s="25"/>
      <c r="IZP29" s="25"/>
      <c r="IZQ29" s="25"/>
      <c r="IZR29" s="25"/>
      <c r="IZS29" s="25"/>
      <c r="IZT29" s="25"/>
      <c r="IZU29" s="25"/>
      <c r="IZV29" s="25"/>
      <c r="IZW29" s="25"/>
      <c r="IZX29" s="25"/>
      <c r="IZY29" s="25"/>
      <c r="IZZ29" s="25"/>
      <c r="JAA29" s="25"/>
      <c r="JAB29" s="25"/>
      <c r="JAC29" s="25"/>
      <c r="JAD29" s="25"/>
      <c r="JAE29" s="25"/>
      <c r="JAF29" s="25"/>
      <c r="JAG29" s="25"/>
      <c r="JAH29" s="25"/>
      <c r="JAI29" s="25"/>
      <c r="JAJ29" s="25"/>
      <c r="JAK29" s="25"/>
      <c r="JAL29" s="25"/>
      <c r="JAM29" s="25"/>
      <c r="JAN29" s="25"/>
      <c r="JAO29" s="25"/>
      <c r="JAP29" s="25"/>
      <c r="JAQ29" s="25"/>
      <c r="JAR29" s="25"/>
      <c r="JAS29" s="25"/>
      <c r="JAT29" s="25"/>
      <c r="JAU29" s="25"/>
      <c r="JAV29" s="25"/>
      <c r="JAW29" s="25"/>
      <c r="JAX29" s="25"/>
      <c r="JAY29" s="25"/>
      <c r="JAZ29" s="25"/>
      <c r="JBA29" s="25"/>
      <c r="JBB29" s="25"/>
      <c r="JBC29" s="25"/>
      <c r="JBD29" s="25"/>
      <c r="JBE29" s="25"/>
      <c r="JBF29" s="25"/>
      <c r="JBG29" s="25"/>
      <c r="JBH29" s="25"/>
      <c r="JBI29" s="25"/>
      <c r="JBJ29" s="25"/>
      <c r="JBK29" s="25"/>
      <c r="JBL29" s="25"/>
      <c r="JBM29" s="25"/>
      <c r="JBN29" s="25"/>
      <c r="JBO29" s="25"/>
      <c r="JBP29" s="25"/>
      <c r="JBQ29" s="25"/>
      <c r="JBR29" s="25"/>
      <c r="JBS29" s="25"/>
      <c r="JBT29" s="25"/>
      <c r="JBU29" s="25"/>
      <c r="JBV29" s="25"/>
      <c r="JBW29" s="25"/>
      <c r="JBX29" s="25"/>
      <c r="JBY29" s="25"/>
      <c r="JBZ29" s="25"/>
      <c r="JCA29" s="25"/>
      <c r="JCB29" s="25"/>
      <c r="JCC29" s="25"/>
      <c r="JCD29" s="25"/>
      <c r="JCE29" s="25"/>
      <c r="JCF29" s="25"/>
      <c r="JCG29" s="25"/>
      <c r="JCH29" s="25"/>
      <c r="JCI29" s="25"/>
      <c r="JCJ29" s="25"/>
      <c r="JCK29" s="25"/>
      <c r="JCL29" s="25"/>
      <c r="JCM29" s="25"/>
      <c r="JCN29" s="25"/>
      <c r="JCO29" s="25"/>
      <c r="JCP29" s="25"/>
      <c r="JCQ29" s="25"/>
      <c r="JCR29" s="25"/>
      <c r="JCS29" s="25"/>
      <c r="JCT29" s="25"/>
      <c r="JCU29" s="25"/>
      <c r="JCV29" s="25"/>
      <c r="JCW29" s="25"/>
      <c r="JCX29" s="25"/>
      <c r="JCY29" s="25"/>
      <c r="JCZ29" s="25"/>
      <c r="JDA29" s="25"/>
      <c r="JDB29" s="25"/>
      <c r="JDC29" s="25"/>
      <c r="JDD29" s="25"/>
      <c r="JDE29" s="25"/>
      <c r="JDF29" s="25"/>
      <c r="JDG29" s="25"/>
      <c r="JDH29" s="25"/>
      <c r="JDI29" s="25"/>
      <c r="JDJ29" s="25"/>
      <c r="JDK29" s="25"/>
      <c r="JDL29" s="25"/>
      <c r="JDM29" s="25"/>
      <c r="JDN29" s="25"/>
      <c r="JDO29" s="25"/>
      <c r="JDP29" s="25"/>
      <c r="JDQ29" s="25"/>
      <c r="JDR29" s="25"/>
      <c r="JDS29" s="25"/>
      <c r="JDT29" s="25"/>
      <c r="JDU29" s="25"/>
      <c r="JDV29" s="25"/>
      <c r="JDW29" s="25"/>
      <c r="JDX29" s="25"/>
      <c r="JDY29" s="25"/>
      <c r="JDZ29" s="25"/>
      <c r="JEA29" s="25"/>
      <c r="JEB29" s="25"/>
      <c r="JEC29" s="25"/>
      <c r="JED29" s="25"/>
      <c r="JEE29" s="25"/>
      <c r="JEF29" s="25"/>
      <c r="JEG29" s="25"/>
      <c r="JEH29" s="25"/>
      <c r="JEI29" s="25"/>
      <c r="JEJ29" s="25"/>
      <c r="JEK29" s="25"/>
      <c r="JEL29" s="25"/>
      <c r="JEM29" s="25"/>
      <c r="JEN29" s="25"/>
      <c r="JEO29" s="25"/>
      <c r="JEP29" s="25"/>
      <c r="JEQ29" s="25"/>
      <c r="JER29" s="25"/>
      <c r="JES29" s="25"/>
      <c r="JET29" s="25"/>
      <c r="JEU29" s="25"/>
      <c r="JEV29" s="25"/>
      <c r="JEW29" s="25"/>
      <c r="JEX29" s="25"/>
      <c r="JEY29" s="25"/>
      <c r="JEZ29" s="25"/>
      <c r="JFA29" s="25"/>
      <c r="JFB29" s="25"/>
      <c r="JFC29" s="25"/>
      <c r="JFD29" s="25"/>
      <c r="JFE29" s="25"/>
      <c r="JFF29" s="25"/>
      <c r="JFG29" s="25"/>
      <c r="JFH29" s="25"/>
      <c r="JFI29" s="25"/>
      <c r="JFJ29" s="25"/>
      <c r="JFK29" s="25"/>
      <c r="JFL29" s="25"/>
      <c r="JFM29" s="25"/>
      <c r="JFN29" s="25"/>
      <c r="JFO29" s="25"/>
      <c r="JFP29" s="25"/>
      <c r="JFQ29" s="25"/>
      <c r="JFR29" s="25"/>
      <c r="JFS29" s="25"/>
      <c r="JFT29" s="25"/>
      <c r="JFU29" s="25"/>
      <c r="JFV29" s="25"/>
      <c r="JFW29" s="25"/>
      <c r="JFX29" s="25"/>
      <c r="JFY29" s="25"/>
      <c r="JFZ29" s="25"/>
      <c r="JGA29" s="25"/>
      <c r="JGB29" s="25"/>
      <c r="JGC29" s="25"/>
      <c r="JGD29" s="25"/>
      <c r="JGE29" s="25"/>
      <c r="JGF29" s="25"/>
      <c r="JGG29" s="25"/>
      <c r="JGH29" s="25"/>
      <c r="JGI29" s="25"/>
      <c r="JGJ29" s="25"/>
      <c r="JGK29" s="25"/>
      <c r="JGL29" s="25"/>
      <c r="JGM29" s="25"/>
      <c r="JGN29" s="25"/>
      <c r="JGO29" s="25"/>
      <c r="JGP29" s="25"/>
      <c r="JGQ29" s="25"/>
      <c r="JGR29" s="25"/>
      <c r="JGS29" s="25"/>
      <c r="JGT29" s="25"/>
      <c r="JGU29" s="25"/>
      <c r="JGV29" s="25"/>
      <c r="JGW29" s="25"/>
      <c r="JGX29" s="25"/>
      <c r="JGY29" s="25"/>
      <c r="JGZ29" s="25"/>
      <c r="JHA29" s="25"/>
      <c r="JHB29" s="25"/>
      <c r="JHC29" s="25"/>
      <c r="JHD29" s="25"/>
      <c r="JHE29" s="25"/>
      <c r="JHF29" s="25"/>
      <c r="JHG29" s="25"/>
      <c r="JHH29" s="25"/>
      <c r="JHI29" s="25"/>
      <c r="JHJ29" s="25"/>
      <c r="JHK29" s="25"/>
      <c r="JHL29" s="25"/>
      <c r="JHM29" s="25"/>
      <c r="JHN29" s="25"/>
      <c r="JHO29" s="25"/>
      <c r="JHP29" s="25"/>
      <c r="JHQ29" s="25"/>
      <c r="JHR29" s="25"/>
      <c r="JHS29" s="25"/>
      <c r="JHT29" s="25"/>
      <c r="JHU29" s="25"/>
      <c r="JHV29" s="25"/>
      <c r="JHW29" s="25"/>
      <c r="JHX29" s="25"/>
      <c r="JHY29" s="25"/>
      <c r="JHZ29" s="25"/>
      <c r="JIA29" s="25"/>
      <c r="JIB29" s="25"/>
      <c r="JIC29" s="25"/>
      <c r="JID29" s="25"/>
      <c r="JIE29" s="25"/>
      <c r="JIF29" s="25"/>
      <c r="JIG29" s="25"/>
      <c r="JIH29" s="25"/>
      <c r="JII29" s="25"/>
      <c r="JIJ29" s="25"/>
      <c r="JIK29" s="25"/>
      <c r="JIL29" s="25"/>
      <c r="JIM29" s="25"/>
      <c r="JIN29" s="25"/>
      <c r="JIO29" s="25"/>
      <c r="JIP29" s="25"/>
      <c r="JIQ29" s="25"/>
      <c r="JIR29" s="25"/>
      <c r="JIS29" s="25"/>
      <c r="JIT29" s="25"/>
      <c r="JIU29" s="25"/>
      <c r="JIV29" s="25"/>
      <c r="JIW29" s="25"/>
      <c r="JIX29" s="25"/>
      <c r="JIY29" s="25"/>
      <c r="JIZ29" s="25"/>
      <c r="JJA29" s="25"/>
      <c r="JJB29" s="25"/>
      <c r="JJC29" s="25"/>
      <c r="JJD29" s="25"/>
      <c r="JJE29" s="25"/>
      <c r="JJF29" s="25"/>
      <c r="JJG29" s="25"/>
      <c r="JJH29" s="25"/>
      <c r="JJI29" s="25"/>
      <c r="JJJ29" s="25"/>
      <c r="JJK29" s="25"/>
      <c r="JJL29" s="25"/>
      <c r="JJM29" s="25"/>
      <c r="JJN29" s="25"/>
      <c r="JJO29" s="25"/>
      <c r="JJP29" s="25"/>
      <c r="JJQ29" s="25"/>
      <c r="JJR29" s="25"/>
      <c r="JJS29" s="25"/>
      <c r="JJT29" s="25"/>
      <c r="JJU29" s="25"/>
      <c r="JJV29" s="25"/>
      <c r="JJW29" s="25"/>
      <c r="JJX29" s="25"/>
      <c r="JJY29" s="25"/>
      <c r="JJZ29" s="25"/>
      <c r="JKA29" s="25"/>
      <c r="JKB29" s="25"/>
      <c r="JKC29" s="25"/>
      <c r="JKD29" s="25"/>
      <c r="JKE29" s="25"/>
      <c r="JKF29" s="25"/>
      <c r="JKG29" s="25"/>
      <c r="JKH29" s="25"/>
      <c r="JKI29" s="25"/>
      <c r="JKJ29" s="25"/>
      <c r="JKK29" s="25"/>
      <c r="JKL29" s="25"/>
      <c r="JKM29" s="25"/>
      <c r="JKN29" s="25"/>
      <c r="JKO29" s="25"/>
      <c r="JKP29" s="25"/>
      <c r="JKQ29" s="25"/>
      <c r="JKR29" s="25"/>
      <c r="JKS29" s="25"/>
      <c r="JKT29" s="25"/>
      <c r="JKU29" s="25"/>
      <c r="JKV29" s="25"/>
      <c r="JKW29" s="25"/>
      <c r="JKX29" s="25"/>
      <c r="JKY29" s="25"/>
      <c r="JKZ29" s="25"/>
      <c r="JLA29" s="25"/>
      <c r="JLB29" s="25"/>
      <c r="JLC29" s="25"/>
      <c r="JLD29" s="25"/>
      <c r="JLE29" s="25"/>
      <c r="JLF29" s="25"/>
      <c r="JLG29" s="25"/>
      <c r="JLH29" s="25"/>
      <c r="JLI29" s="25"/>
      <c r="JLJ29" s="25"/>
      <c r="JLK29" s="25"/>
      <c r="JLL29" s="25"/>
      <c r="JLM29" s="25"/>
      <c r="JLN29" s="25"/>
      <c r="JLO29" s="25"/>
      <c r="JLP29" s="25"/>
      <c r="JLQ29" s="25"/>
      <c r="JLR29" s="25"/>
      <c r="JLS29" s="25"/>
      <c r="JLT29" s="25"/>
      <c r="JLU29" s="25"/>
      <c r="JLV29" s="25"/>
      <c r="JLW29" s="25"/>
      <c r="JLX29" s="25"/>
      <c r="JLY29" s="25"/>
      <c r="JLZ29" s="25"/>
      <c r="JMA29" s="25"/>
      <c r="JMB29" s="25"/>
      <c r="JMC29" s="25"/>
      <c r="JMD29" s="25"/>
      <c r="JME29" s="25"/>
      <c r="JMF29" s="25"/>
      <c r="JMG29" s="25"/>
      <c r="JMH29" s="25"/>
      <c r="JMI29" s="25"/>
      <c r="JMJ29" s="25"/>
      <c r="JMK29" s="25"/>
      <c r="JML29" s="25"/>
      <c r="JMM29" s="25"/>
      <c r="JMN29" s="25"/>
      <c r="JMO29" s="25"/>
      <c r="JMP29" s="25"/>
      <c r="JMQ29" s="25"/>
      <c r="JMR29" s="25"/>
      <c r="JMS29" s="25"/>
      <c r="JMT29" s="25"/>
      <c r="JMU29" s="25"/>
      <c r="JMV29" s="25"/>
      <c r="JMW29" s="25"/>
      <c r="JMX29" s="25"/>
      <c r="JMY29" s="25"/>
      <c r="JMZ29" s="25"/>
      <c r="JNA29" s="25"/>
      <c r="JNB29" s="25"/>
      <c r="JNC29" s="25"/>
      <c r="JND29" s="25"/>
      <c r="JNE29" s="25"/>
      <c r="JNF29" s="25"/>
      <c r="JNG29" s="25"/>
      <c r="JNH29" s="25"/>
      <c r="JNI29" s="25"/>
      <c r="JNJ29" s="25"/>
      <c r="JNK29" s="25"/>
      <c r="JNL29" s="25"/>
      <c r="JNM29" s="25"/>
      <c r="JNN29" s="25"/>
      <c r="JNO29" s="25"/>
      <c r="JNP29" s="25"/>
      <c r="JNQ29" s="25"/>
      <c r="JNR29" s="25"/>
      <c r="JNS29" s="25"/>
      <c r="JNT29" s="25"/>
      <c r="JNU29" s="25"/>
      <c r="JNV29" s="25"/>
      <c r="JNW29" s="25"/>
      <c r="JNX29" s="25"/>
      <c r="JNY29" s="25"/>
      <c r="JNZ29" s="25"/>
      <c r="JOA29" s="25"/>
      <c r="JOB29" s="25"/>
      <c r="JOC29" s="25"/>
      <c r="JOD29" s="25"/>
      <c r="JOE29" s="25"/>
      <c r="JOF29" s="25"/>
      <c r="JOG29" s="25"/>
      <c r="JOH29" s="25"/>
      <c r="JOI29" s="25"/>
      <c r="JOJ29" s="25"/>
      <c r="JOK29" s="25"/>
      <c r="JOL29" s="25"/>
      <c r="JOM29" s="25"/>
      <c r="JON29" s="25"/>
      <c r="JOO29" s="25"/>
      <c r="JOP29" s="25"/>
      <c r="JOQ29" s="25"/>
      <c r="JOR29" s="25"/>
      <c r="JOS29" s="25"/>
      <c r="JOT29" s="25"/>
      <c r="JOU29" s="25"/>
      <c r="JOV29" s="25"/>
      <c r="JOW29" s="25"/>
      <c r="JOX29" s="25"/>
      <c r="JOY29" s="25"/>
      <c r="JOZ29" s="25"/>
      <c r="JPA29" s="25"/>
      <c r="JPB29" s="25"/>
      <c r="JPC29" s="25"/>
      <c r="JPD29" s="25"/>
      <c r="JPE29" s="25"/>
      <c r="JPF29" s="25"/>
      <c r="JPG29" s="25"/>
      <c r="JPH29" s="25"/>
      <c r="JPI29" s="25"/>
      <c r="JPJ29" s="25"/>
      <c r="JPK29" s="25"/>
      <c r="JPL29" s="25"/>
      <c r="JPM29" s="25"/>
      <c r="JPN29" s="25"/>
      <c r="JPO29" s="25"/>
      <c r="JPP29" s="25"/>
      <c r="JPQ29" s="25"/>
      <c r="JPR29" s="25"/>
      <c r="JPS29" s="25"/>
      <c r="JPT29" s="25"/>
      <c r="JPU29" s="25"/>
      <c r="JPV29" s="25"/>
      <c r="JPW29" s="25"/>
      <c r="JPX29" s="25"/>
      <c r="JPY29" s="25"/>
      <c r="JPZ29" s="25"/>
      <c r="JQA29" s="25"/>
      <c r="JQB29" s="25"/>
      <c r="JQC29" s="25"/>
      <c r="JQD29" s="25"/>
      <c r="JQE29" s="25"/>
      <c r="JQF29" s="25"/>
      <c r="JQG29" s="25"/>
      <c r="JQH29" s="25"/>
      <c r="JQI29" s="25"/>
      <c r="JQJ29" s="25"/>
      <c r="JQK29" s="25"/>
      <c r="JQL29" s="25"/>
      <c r="JQM29" s="25"/>
      <c r="JQN29" s="25"/>
      <c r="JQO29" s="25"/>
      <c r="JQP29" s="25"/>
      <c r="JQQ29" s="25"/>
      <c r="JQR29" s="25"/>
      <c r="JQS29" s="25"/>
      <c r="JQT29" s="25"/>
      <c r="JQU29" s="25"/>
      <c r="JQV29" s="25"/>
      <c r="JQW29" s="25"/>
      <c r="JQX29" s="25"/>
      <c r="JQY29" s="25"/>
      <c r="JQZ29" s="25"/>
      <c r="JRA29" s="25"/>
      <c r="JRB29" s="25"/>
      <c r="JRC29" s="25"/>
      <c r="JRD29" s="25"/>
      <c r="JRE29" s="25"/>
      <c r="JRF29" s="25"/>
      <c r="JRG29" s="25"/>
      <c r="JRH29" s="25"/>
      <c r="JRI29" s="25"/>
      <c r="JRJ29" s="25"/>
      <c r="JRK29" s="25"/>
      <c r="JRL29" s="25"/>
      <c r="JRM29" s="25"/>
      <c r="JRN29" s="25"/>
      <c r="JRO29" s="25"/>
      <c r="JRP29" s="25"/>
      <c r="JRQ29" s="25"/>
      <c r="JRR29" s="25"/>
      <c r="JRS29" s="25"/>
      <c r="JRT29" s="25"/>
      <c r="JRU29" s="25"/>
      <c r="JRV29" s="25"/>
      <c r="JRW29" s="25"/>
      <c r="JRX29" s="25"/>
      <c r="JRY29" s="25"/>
      <c r="JRZ29" s="25"/>
      <c r="JSA29" s="25"/>
      <c r="JSB29" s="25"/>
      <c r="JSC29" s="25"/>
      <c r="JSD29" s="25"/>
      <c r="JSE29" s="25"/>
      <c r="JSF29" s="25"/>
      <c r="JSG29" s="25"/>
      <c r="JSH29" s="25"/>
      <c r="JSI29" s="25"/>
      <c r="JSJ29" s="25"/>
      <c r="JSK29" s="25"/>
      <c r="JSL29" s="25"/>
      <c r="JSM29" s="25"/>
      <c r="JSN29" s="25"/>
      <c r="JSO29" s="25"/>
      <c r="JSP29" s="25"/>
      <c r="JSQ29" s="25"/>
      <c r="JSR29" s="25"/>
      <c r="JSS29" s="25"/>
      <c r="JST29" s="25"/>
      <c r="JSU29" s="25"/>
      <c r="JSV29" s="25"/>
      <c r="JSW29" s="25"/>
      <c r="JSX29" s="25"/>
      <c r="JSY29" s="25"/>
      <c r="JSZ29" s="25"/>
      <c r="JTA29" s="25"/>
      <c r="JTB29" s="25"/>
      <c r="JTC29" s="25"/>
      <c r="JTD29" s="25"/>
      <c r="JTE29" s="25"/>
      <c r="JTF29" s="25"/>
      <c r="JTG29" s="25"/>
      <c r="JTH29" s="25"/>
      <c r="JTI29" s="25"/>
      <c r="JTJ29" s="25"/>
      <c r="JTK29" s="25"/>
      <c r="JTL29" s="25"/>
      <c r="JTM29" s="25"/>
      <c r="JTN29" s="25"/>
      <c r="JTO29" s="25"/>
      <c r="JTP29" s="25"/>
      <c r="JTQ29" s="25"/>
      <c r="JTR29" s="25"/>
      <c r="JTS29" s="25"/>
      <c r="JTT29" s="25"/>
      <c r="JTU29" s="25"/>
      <c r="JTV29" s="25"/>
      <c r="JTW29" s="25"/>
      <c r="JTX29" s="25"/>
      <c r="JTY29" s="25"/>
      <c r="JTZ29" s="25"/>
      <c r="JUA29" s="25"/>
      <c r="JUB29" s="25"/>
      <c r="JUC29" s="25"/>
      <c r="JUD29" s="25"/>
      <c r="JUE29" s="25"/>
      <c r="JUF29" s="25"/>
      <c r="JUG29" s="25"/>
      <c r="JUH29" s="25"/>
      <c r="JUI29" s="25"/>
      <c r="JUJ29" s="25"/>
      <c r="JUK29" s="25"/>
      <c r="JUL29" s="25"/>
      <c r="JUM29" s="25"/>
      <c r="JUN29" s="25"/>
      <c r="JUO29" s="25"/>
      <c r="JUP29" s="25"/>
      <c r="JUQ29" s="25"/>
      <c r="JUR29" s="25"/>
      <c r="JUS29" s="25"/>
      <c r="JUT29" s="25"/>
      <c r="JUU29" s="25"/>
      <c r="JUV29" s="25"/>
      <c r="JUW29" s="25"/>
      <c r="JUX29" s="25"/>
      <c r="JUY29" s="25"/>
      <c r="JUZ29" s="25"/>
      <c r="JVA29" s="25"/>
      <c r="JVB29" s="25"/>
      <c r="JVC29" s="25"/>
      <c r="JVD29" s="25"/>
      <c r="JVE29" s="25"/>
      <c r="JVF29" s="25"/>
      <c r="JVG29" s="25"/>
      <c r="JVH29" s="25"/>
      <c r="JVI29" s="25"/>
      <c r="JVJ29" s="25"/>
      <c r="JVK29" s="25"/>
      <c r="JVL29" s="25"/>
      <c r="JVM29" s="25"/>
      <c r="JVN29" s="25"/>
      <c r="JVO29" s="25"/>
      <c r="JVP29" s="25"/>
      <c r="JVQ29" s="25"/>
      <c r="JVR29" s="25"/>
      <c r="JVS29" s="25"/>
      <c r="JVT29" s="25"/>
      <c r="JVU29" s="25"/>
      <c r="JVV29" s="25"/>
      <c r="JVW29" s="25"/>
      <c r="JVX29" s="25"/>
      <c r="JVY29" s="25"/>
      <c r="JVZ29" s="25"/>
      <c r="JWA29" s="25"/>
      <c r="JWB29" s="25"/>
      <c r="JWC29" s="25"/>
      <c r="JWD29" s="25"/>
      <c r="JWE29" s="25"/>
      <c r="JWF29" s="25"/>
      <c r="JWG29" s="25"/>
      <c r="JWH29" s="25"/>
      <c r="JWI29" s="25"/>
      <c r="JWJ29" s="25"/>
      <c r="JWK29" s="25"/>
      <c r="JWL29" s="25"/>
      <c r="JWM29" s="25"/>
      <c r="JWN29" s="25"/>
      <c r="JWO29" s="25"/>
      <c r="JWP29" s="25"/>
      <c r="JWQ29" s="25"/>
      <c r="JWR29" s="25"/>
      <c r="JWS29" s="25"/>
      <c r="JWT29" s="25"/>
      <c r="JWU29" s="25"/>
      <c r="JWV29" s="25"/>
      <c r="JWW29" s="25"/>
      <c r="JWX29" s="25"/>
      <c r="JWY29" s="25"/>
      <c r="JWZ29" s="25"/>
      <c r="JXA29" s="25"/>
      <c r="JXB29" s="25"/>
      <c r="JXC29" s="25"/>
      <c r="JXD29" s="25"/>
      <c r="JXE29" s="25"/>
      <c r="JXF29" s="25"/>
      <c r="JXG29" s="25"/>
      <c r="JXH29" s="25"/>
      <c r="JXI29" s="25"/>
      <c r="JXJ29" s="25"/>
      <c r="JXK29" s="25"/>
      <c r="JXL29" s="25"/>
      <c r="JXM29" s="25"/>
      <c r="JXN29" s="25"/>
      <c r="JXO29" s="25"/>
      <c r="JXP29" s="25"/>
      <c r="JXQ29" s="25"/>
      <c r="JXR29" s="25"/>
      <c r="JXS29" s="25"/>
      <c r="JXT29" s="25"/>
      <c r="JXU29" s="25"/>
      <c r="JXV29" s="25"/>
      <c r="JXW29" s="25"/>
      <c r="JXX29" s="25"/>
      <c r="JXY29" s="25"/>
      <c r="JXZ29" s="25"/>
      <c r="JYA29" s="25"/>
      <c r="JYB29" s="25"/>
      <c r="JYC29" s="25"/>
      <c r="JYD29" s="25"/>
      <c r="JYE29" s="25"/>
      <c r="JYF29" s="25"/>
      <c r="JYG29" s="25"/>
      <c r="JYH29" s="25"/>
      <c r="JYI29" s="25"/>
      <c r="JYJ29" s="25"/>
      <c r="JYK29" s="25"/>
      <c r="JYL29" s="25"/>
      <c r="JYM29" s="25"/>
      <c r="JYN29" s="25"/>
      <c r="JYO29" s="25"/>
      <c r="JYP29" s="25"/>
      <c r="JYQ29" s="25"/>
      <c r="JYR29" s="25"/>
      <c r="JYS29" s="25"/>
      <c r="JYT29" s="25"/>
      <c r="JYU29" s="25"/>
      <c r="JYV29" s="25"/>
      <c r="JYW29" s="25"/>
      <c r="JYX29" s="25"/>
      <c r="JYY29" s="25"/>
      <c r="JYZ29" s="25"/>
      <c r="JZA29" s="25"/>
      <c r="JZB29" s="25"/>
      <c r="JZC29" s="25"/>
      <c r="JZD29" s="25"/>
      <c r="JZE29" s="25"/>
      <c r="JZF29" s="25"/>
      <c r="JZG29" s="25"/>
      <c r="JZH29" s="25"/>
      <c r="JZI29" s="25"/>
      <c r="JZJ29" s="25"/>
      <c r="JZK29" s="25"/>
      <c r="JZL29" s="25"/>
      <c r="JZM29" s="25"/>
      <c r="JZN29" s="25"/>
      <c r="JZO29" s="25"/>
      <c r="JZP29" s="25"/>
      <c r="JZQ29" s="25"/>
      <c r="JZR29" s="25"/>
      <c r="JZS29" s="25"/>
      <c r="JZT29" s="25"/>
      <c r="JZU29" s="25"/>
      <c r="JZV29" s="25"/>
      <c r="JZW29" s="25"/>
      <c r="JZX29" s="25"/>
      <c r="JZY29" s="25"/>
      <c r="JZZ29" s="25"/>
      <c r="KAA29" s="25"/>
      <c r="KAB29" s="25"/>
      <c r="KAC29" s="25"/>
      <c r="KAD29" s="25"/>
      <c r="KAE29" s="25"/>
      <c r="KAF29" s="25"/>
      <c r="KAG29" s="25"/>
      <c r="KAH29" s="25"/>
      <c r="KAI29" s="25"/>
      <c r="KAJ29" s="25"/>
      <c r="KAK29" s="25"/>
      <c r="KAL29" s="25"/>
      <c r="KAM29" s="25"/>
      <c r="KAN29" s="25"/>
      <c r="KAO29" s="25"/>
      <c r="KAP29" s="25"/>
      <c r="KAQ29" s="25"/>
      <c r="KAR29" s="25"/>
      <c r="KAS29" s="25"/>
      <c r="KAT29" s="25"/>
      <c r="KAU29" s="25"/>
      <c r="KAV29" s="25"/>
      <c r="KAW29" s="25"/>
      <c r="KAX29" s="25"/>
      <c r="KAY29" s="25"/>
      <c r="KAZ29" s="25"/>
      <c r="KBA29" s="25"/>
      <c r="KBB29" s="25"/>
      <c r="KBC29" s="25"/>
      <c r="KBD29" s="25"/>
      <c r="KBE29" s="25"/>
      <c r="KBF29" s="25"/>
      <c r="KBG29" s="25"/>
      <c r="KBH29" s="25"/>
      <c r="KBI29" s="25"/>
      <c r="KBJ29" s="25"/>
      <c r="KBK29" s="25"/>
      <c r="KBL29" s="25"/>
      <c r="KBM29" s="25"/>
      <c r="KBN29" s="25"/>
      <c r="KBO29" s="25"/>
      <c r="KBP29" s="25"/>
      <c r="KBQ29" s="25"/>
      <c r="KBR29" s="25"/>
      <c r="KBS29" s="25"/>
      <c r="KBT29" s="25"/>
      <c r="KBU29" s="25"/>
      <c r="KBV29" s="25"/>
      <c r="KBW29" s="25"/>
      <c r="KBX29" s="25"/>
      <c r="KBY29" s="25"/>
      <c r="KBZ29" s="25"/>
      <c r="KCA29" s="25"/>
      <c r="KCB29" s="25"/>
      <c r="KCC29" s="25"/>
      <c r="KCD29" s="25"/>
      <c r="KCE29" s="25"/>
      <c r="KCF29" s="25"/>
      <c r="KCG29" s="25"/>
      <c r="KCH29" s="25"/>
      <c r="KCI29" s="25"/>
      <c r="KCJ29" s="25"/>
      <c r="KCK29" s="25"/>
      <c r="KCL29" s="25"/>
      <c r="KCM29" s="25"/>
      <c r="KCN29" s="25"/>
      <c r="KCO29" s="25"/>
      <c r="KCP29" s="25"/>
      <c r="KCQ29" s="25"/>
      <c r="KCR29" s="25"/>
      <c r="KCS29" s="25"/>
      <c r="KCT29" s="25"/>
      <c r="KCU29" s="25"/>
      <c r="KCV29" s="25"/>
      <c r="KCW29" s="25"/>
      <c r="KCX29" s="25"/>
      <c r="KCY29" s="25"/>
      <c r="KCZ29" s="25"/>
      <c r="KDA29" s="25"/>
      <c r="KDB29" s="25"/>
      <c r="KDC29" s="25"/>
      <c r="KDD29" s="25"/>
      <c r="KDE29" s="25"/>
      <c r="KDF29" s="25"/>
      <c r="KDG29" s="25"/>
      <c r="KDH29" s="25"/>
      <c r="KDI29" s="25"/>
      <c r="KDJ29" s="25"/>
      <c r="KDK29" s="25"/>
      <c r="KDL29" s="25"/>
      <c r="KDM29" s="25"/>
      <c r="KDN29" s="25"/>
      <c r="KDO29" s="25"/>
      <c r="KDP29" s="25"/>
      <c r="KDQ29" s="25"/>
      <c r="KDR29" s="25"/>
      <c r="KDS29" s="25"/>
      <c r="KDT29" s="25"/>
      <c r="KDU29" s="25"/>
      <c r="KDV29" s="25"/>
      <c r="KDW29" s="25"/>
      <c r="KDX29" s="25"/>
      <c r="KDY29" s="25"/>
      <c r="KDZ29" s="25"/>
      <c r="KEA29" s="25"/>
      <c r="KEB29" s="25"/>
      <c r="KEC29" s="25"/>
      <c r="KED29" s="25"/>
      <c r="KEE29" s="25"/>
      <c r="KEF29" s="25"/>
      <c r="KEG29" s="25"/>
      <c r="KEH29" s="25"/>
      <c r="KEI29" s="25"/>
      <c r="KEJ29" s="25"/>
      <c r="KEK29" s="25"/>
      <c r="KEL29" s="25"/>
      <c r="KEM29" s="25"/>
      <c r="KEN29" s="25"/>
      <c r="KEO29" s="25"/>
      <c r="KEP29" s="25"/>
      <c r="KEQ29" s="25"/>
      <c r="KER29" s="25"/>
      <c r="KES29" s="25"/>
      <c r="KET29" s="25"/>
      <c r="KEU29" s="25"/>
      <c r="KEV29" s="25"/>
      <c r="KEW29" s="25"/>
      <c r="KEX29" s="25"/>
      <c r="KEY29" s="25"/>
      <c r="KEZ29" s="25"/>
      <c r="KFA29" s="25"/>
      <c r="KFB29" s="25"/>
      <c r="KFC29" s="25"/>
      <c r="KFD29" s="25"/>
      <c r="KFE29" s="25"/>
      <c r="KFF29" s="25"/>
      <c r="KFG29" s="25"/>
      <c r="KFH29" s="25"/>
      <c r="KFI29" s="25"/>
      <c r="KFJ29" s="25"/>
      <c r="KFK29" s="25"/>
      <c r="KFL29" s="25"/>
      <c r="KFM29" s="25"/>
      <c r="KFN29" s="25"/>
      <c r="KFO29" s="25"/>
      <c r="KFP29" s="25"/>
      <c r="KFQ29" s="25"/>
      <c r="KFR29" s="25"/>
      <c r="KFS29" s="25"/>
      <c r="KFT29" s="25"/>
      <c r="KFU29" s="25"/>
      <c r="KFV29" s="25"/>
      <c r="KFW29" s="25"/>
      <c r="KFX29" s="25"/>
      <c r="KFY29" s="25"/>
      <c r="KFZ29" s="25"/>
      <c r="KGA29" s="25"/>
      <c r="KGB29" s="25"/>
      <c r="KGC29" s="25"/>
      <c r="KGD29" s="25"/>
      <c r="KGE29" s="25"/>
      <c r="KGF29" s="25"/>
      <c r="KGG29" s="25"/>
      <c r="KGH29" s="25"/>
      <c r="KGI29" s="25"/>
      <c r="KGJ29" s="25"/>
      <c r="KGK29" s="25"/>
      <c r="KGL29" s="25"/>
      <c r="KGM29" s="25"/>
      <c r="KGN29" s="25"/>
      <c r="KGO29" s="25"/>
      <c r="KGP29" s="25"/>
      <c r="KGQ29" s="25"/>
      <c r="KGR29" s="25"/>
      <c r="KGS29" s="25"/>
      <c r="KGT29" s="25"/>
      <c r="KGU29" s="25"/>
      <c r="KGV29" s="25"/>
      <c r="KGW29" s="25"/>
      <c r="KGX29" s="25"/>
      <c r="KGY29" s="25"/>
      <c r="KGZ29" s="25"/>
      <c r="KHA29" s="25"/>
      <c r="KHB29" s="25"/>
      <c r="KHC29" s="25"/>
      <c r="KHD29" s="25"/>
      <c r="KHE29" s="25"/>
      <c r="KHF29" s="25"/>
      <c r="KHG29" s="25"/>
      <c r="KHH29" s="25"/>
      <c r="KHI29" s="25"/>
      <c r="KHJ29" s="25"/>
      <c r="KHK29" s="25"/>
      <c r="KHL29" s="25"/>
      <c r="KHM29" s="25"/>
      <c r="KHN29" s="25"/>
      <c r="KHO29" s="25"/>
      <c r="KHP29" s="25"/>
      <c r="KHQ29" s="25"/>
      <c r="KHR29" s="25"/>
      <c r="KHS29" s="25"/>
      <c r="KHT29" s="25"/>
      <c r="KHU29" s="25"/>
      <c r="KHV29" s="25"/>
      <c r="KHW29" s="25"/>
      <c r="KHX29" s="25"/>
      <c r="KHY29" s="25"/>
      <c r="KHZ29" s="25"/>
      <c r="KIA29" s="25"/>
      <c r="KIB29" s="25"/>
      <c r="KIC29" s="25"/>
      <c r="KID29" s="25"/>
      <c r="KIE29" s="25"/>
      <c r="KIF29" s="25"/>
      <c r="KIG29" s="25"/>
      <c r="KIH29" s="25"/>
      <c r="KII29" s="25"/>
      <c r="KIJ29" s="25"/>
      <c r="KIK29" s="25"/>
      <c r="KIL29" s="25"/>
      <c r="KIM29" s="25"/>
      <c r="KIN29" s="25"/>
      <c r="KIO29" s="25"/>
      <c r="KIP29" s="25"/>
      <c r="KIQ29" s="25"/>
      <c r="KIR29" s="25"/>
      <c r="KIS29" s="25"/>
      <c r="KIT29" s="25"/>
      <c r="KIU29" s="25"/>
      <c r="KIV29" s="25"/>
      <c r="KIW29" s="25"/>
      <c r="KIX29" s="25"/>
      <c r="KIY29" s="25"/>
      <c r="KIZ29" s="25"/>
      <c r="KJA29" s="25"/>
      <c r="KJB29" s="25"/>
      <c r="KJC29" s="25"/>
      <c r="KJD29" s="25"/>
      <c r="KJE29" s="25"/>
      <c r="KJF29" s="25"/>
      <c r="KJG29" s="25"/>
      <c r="KJH29" s="25"/>
      <c r="KJI29" s="25"/>
      <c r="KJJ29" s="25"/>
      <c r="KJK29" s="25"/>
      <c r="KJL29" s="25"/>
      <c r="KJM29" s="25"/>
      <c r="KJN29" s="25"/>
      <c r="KJO29" s="25"/>
      <c r="KJP29" s="25"/>
      <c r="KJQ29" s="25"/>
      <c r="KJR29" s="25"/>
      <c r="KJS29" s="25"/>
      <c r="KJT29" s="25"/>
      <c r="KJU29" s="25"/>
      <c r="KJV29" s="25"/>
      <c r="KJW29" s="25"/>
      <c r="KJX29" s="25"/>
      <c r="KJY29" s="25"/>
      <c r="KJZ29" s="25"/>
      <c r="KKA29" s="25"/>
      <c r="KKB29" s="25"/>
      <c r="KKC29" s="25"/>
      <c r="KKD29" s="25"/>
      <c r="KKE29" s="25"/>
      <c r="KKF29" s="25"/>
      <c r="KKG29" s="25"/>
      <c r="KKH29" s="25"/>
      <c r="KKI29" s="25"/>
      <c r="KKJ29" s="25"/>
      <c r="KKK29" s="25"/>
      <c r="KKL29" s="25"/>
      <c r="KKM29" s="25"/>
      <c r="KKN29" s="25"/>
      <c r="KKO29" s="25"/>
      <c r="KKP29" s="25"/>
      <c r="KKQ29" s="25"/>
      <c r="KKR29" s="25"/>
      <c r="KKS29" s="25"/>
      <c r="KKT29" s="25"/>
      <c r="KKU29" s="25"/>
      <c r="KKV29" s="25"/>
      <c r="KKW29" s="25"/>
      <c r="KKX29" s="25"/>
      <c r="KKY29" s="25"/>
      <c r="KKZ29" s="25"/>
      <c r="KLA29" s="25"/>
      <c r="KLB29" s="25"/>
      <c r="KLC29" s="25"/>
      <c r="KLD29" s="25"/>
      <c r="KLE29" s="25"/>
      <c r="KLF29" s="25"/>
      <c r="KLG29" s="25"/>
      <c r="KLH29" s="25"/>
      <c r="KLI29" s="25"/>
      <c r="KLJ29" s="25"/>
      <c r="KLK29" s="25"/>
      <c r="KLL29" s="25"/>
      <c r="KLM29" s="25"/>
      <c r="KLN29" s="25"/>
      <c r="KLO29" s="25"/>
      <c r="KLP29" s="25"/>
      <c r="KLQ29" s="25"/>
      <c r="KLR29" s="25"/>
      <c r="KLS29" s="25"/>
      <c r="KLT29" s="25"/>
      <c r="KLU29" s="25"/>
      <c r="KLV29" s="25"/>
      <c r="KLW29" s="25"/>
      <c r="KLX29" s="25"/>
      <c r="KLY29" s="25"/>
      <c r="KLZ29" s="25"/>
      <c r="KMA29" s="25"/>
      <c r="KMB29" s="25"/>
      <c r="KMC29" s="25"/>
      <c r="KMD29" s="25"/>
      <c r="KME29" s="25"/>
      <c r="KMF29" s="25"/>
      <c r="KMG29" s="25"/>
      <c r="KMH29" s="25"/>
      <c r="KMI29" s="25"/>
      <c r="KMJ29" s="25"/>
      <c r="KMK29" s="25"/>
      <c r="KML29" s="25"/>
      <c r="KMM29" s="25"/>
      <c r="KMN29" s="25"/>
      <c r="KMO29" s="25"/>
      <c r="KMP29" s="25"/>
      <c r="KMQ29" s="25"/>
      <c r="KMR29" s="25"/>
      <c r="KMS29" s="25"/>
      <c r="KMT29" s="25"/>
      <c r="KMU29" s="25"/>
      <c r="KMV29" s="25"/>
      <c r="KMW29" s="25"/>
      <c r="KMX29" s="25"/>
      <c r="KMY29" s="25"/>
      <c r="KMZ29" s="25"/>
      <c r="KNA29" s="25"/>
      <c r="KNB29" s="25"/>
      <c r="KNC29" s="25"/>
      <c r="KND29" s="25"/>
      <c r="KNE29" s="25"/>
      <c r="KNF29" s="25"/>
      <c r="KNG29" s="25"/>
      <c r="KNH29" s="25"/>
      <c r="KNI29" s="25"/>
      <c r="KNJ29" s="25"/>
      <c r="KNK29" s="25"/>
      <c r="KNL29" s="25"/>
      <c r="KNM29" s="25"/>
      <c r="KNN29" s="25"/>
      <c r="KNO29" s="25"/>
      <c r="KNP29" s="25"/>
      <c r="KNQ29" s="25"/>
      <c r="KNR29" s="25"/>
      <c r="KNS29" s="25"/>
      <c r="KNT29" s="25"/>
      <c r="KNU29" s="25"/>
      <c r="KNV29" s="25"/>
      <c r="KNW29" s="25"/>
      <c r="KNX29" s="25"/>
      <c r="KNY29" s="25"/>
      <c r="KNZ29" s="25"/>
      <c r="KOA29" s="25"/>
      <c r="KOB29" s="25"/>
      <c r="KOC29" s="25"/>
      <c r="KOD29" s="25"/>
      <c r="KOE29" s="25"/>
      <c r="KOF29" s="25"/>
      <c r="KOG29" s="25"/>
      <c r="KOH29" s="25"/>
      <c r="KOI29" s="25"/>
      <c r="KOJ29" s="25"/>
      <c r="KOK29" s="25"/>
      <c r="KOL29" s="25"/>
      <c r="KOM29" s="25"/>
      <c r="KON29" s="25"/>
      <c r="KOO29" s="25"/>
      <c r="KOP29" s="25"/>
      <c r="KOQ29" s="25"/>
      <c r="KOR29" s="25"/>
      <c r="KOS29" s="25"/>
      <c r="KOT29" s="25"/>
      <c r="KOU29" s="25"/>
      <c r="KOV29" s="25"/>
      <c r="KOW29" s="25"/>
      <c r="KOX29" s="25"/>
      <c r="KOY29" s="25"/>
      <c r="KOZ29" s="25"/>
      <c r="KPA29" s="25"/>
      <c r="KPB29" s="25"/>
      <c r="KPC29" s="25"/>
      <c r="KPD29" s="25"/>
      <c r="KPE29" s="25"/>
      <c r="KPF29" s="25"/>
      <c r="KPG29" s="25"/>
      <c r="KPH29" s="25"/>
      <c r="KPI29" s="25"/>
      <c r="KPJ29" s="25"/>
      <c r="KPK29" s="25"/>
      <c r="KPL29" s="25"/>
      <c r="KPM29" s="25"/>
      <c r="KPN29" s="25"/>
      <c r="KPO29" s="25"/>
      <c r="KPP29" s="25"/>
      <c r="KPQ29" s="25"/>
      <c r="KPR29" s="25"/>
      <c r="KPS29" s="25"/>
      <c r="KPT29" s="25"/>
      <c r="KPU29" s="25"/>
      <c r="KPV29" s="25"/>
      <c r="KPW29" s="25"/>
      <c r="KPX29" s="25"/>
      <c r="KPY29" s="25"/>
      <c r="KPZ29" s="25"/>
      <c r="KQA29" s="25"/>
      <c r="KQB29" s="25"/>
      <c r="KQC29" s="25"/>
      <c r="KQD29" s="25"/>
      <c r="KQE29" s="25"/>
      <c r="KQF29" s="25"/>
      <c r="KQG29" s="25"/>
      <c r="KQH29" s="25"/>
      <c r="KQI29" s="25"/>
      <c r="KQJ29" s="25"/>
      <c r="KQK29" s="25"/>
      <c r="KQL29" s="25"/>
      <c r="KQM29" s="25"/>
      <c r="KQN29" s="25"/>
      <c r="KQO29" s="25"/>
      <c r="KQP29" s="25"/>
      <c r="KQQ29" s="25"/>
      <c r="KQR29" s="25"/>
      <c r="KQS29" s="25"/>
      <c r="KQT29" s="25"/>
      <c r="KQU29" s="25"/>
      <c r="KQV29" s="25"/>
      <c r="KQW29" s="25"/>
      <c r="KQX29" s="25"/>
      <c r="KQY29" s="25"/>
      <c r="KQZ29" s="25"/>
      <c r="KRA29" s="25"/>
      <c r="KRB29" s="25"/>
      <c r="KRC29" s="25"/>
      <c r="KRD29" s="25"/>
      <c r="KRE29" s="25"/>
      <c r="KRF29" s="25"/>
      <c r="KRG29" s="25"/>
      <c r="KRH29" s="25"/>
      <c r="KRI29" s="25"/>
      <c r="KRJ29" s="25"/>
      <c r="KRK29" s="25"/>
      <c r="KRL29" s="25"/>
      <c r="KRM29" s="25"/>
      <c r="KRN29" s="25"/>
      <c r="KRO29" s="25"/>
      <c r="KRP29" s="25"/>
      <c r="KRQ29" s="25"/>
      <c r="KRR29" s="25"/>
      <c r="KRS29" s="25"/>
      <c r="KRT29" s="25"/>
      <c r="KRU29" s="25"/>
      <c r="KRV29" s="25"/>
      <c r="KRW29" s="25"/>
      <c r="KRX29" s="25"/>
      <c r="KRY29" s="25"/>
      <c r="KRZ29" s="25"/>
      <c r="KSA29" s="25"/>
      <c r="KSB29" s="25"/>
      <c r="KSC29" s="25"/>
      <c r="KSD29" s="25"/>
      <c r="KSE29" s="25"/>
      <c r="KSF29" s="25"/>
      <c r="KSG29" s="25"/>
      <c r="KSH29" s="25"/>
      <c r="KSI29" s="25"/>
      <c r="KSJ29" s="25"/>
      <c r="KSK29" s="25"/>
      <c r="KSL29" s="25"/>
      <c r="KSM29" s="25"/>
      <c r="KSN29" s="25"/>
      <c r="KSO29" s="25"/>
      <c r="KSP29" s="25"/>
      <c r="KSQ29" s="25"/>
      <c r="KSR29" s="25"/>
      <c r="KSS29" s="25"/>
      <c r="KST29" s="25"/>
      <c r="KSU29" s="25"/>
      <c r="KSV29" s="25"/>
      <c r="KSW29" s="25"/>
      <c r="KSX29" s="25"/>
      <c r="KSY29" s="25"/>
      <c r="KSZ29" s="25"/>
      <c r="KTA29" s="25"/>
      <c r="KTB29" s="25"/>
      <c r="KTC29" s="25"/>
      <c r="KTD29" s="25"/>
      <c r="KTE29" s="25"/>
      <c r="KTF29" s="25"/>
      <c r="KTG29" s="25"/>
      <c r="KTH29" s="25"/>
      <c r="KTI29" s="25"/>
      <c r="KTJ29" s="25"/>
      <c r="KTK29" s="25"/>
      <c r="KTL29" s="25"/>
      <c r="KTM29" s="25"/>
      <c r="KTN29" s="25"/>
      <c r="KTO29" s="25"/>
      <c r="KTP29" s="25"/>
      <c r="KTQ29" s="25"/>
      <c r="KTR29" s="25"/>
      <c r="KTS29" s="25"/>
      <c r="KTT29" s="25"/>
      <c r="KTU29" s="25"/>
      <c r="KTV29" s="25"/>
      <c r="KTW29" s="25"/>
      <c r="KTX29" s="25"/>
      <c r="KTY29" s="25"/>
      <c r="KTZ29" s="25"/>
      <c r="KUA29" s="25"/>
      <c r="KUB29" s="25"/>
      <c r="KUC29" s="25"/>
      <c r="KUD29" s="25"/>
      <c r="KUE29" s="25"/>
      <c r="KUF29" s="25"/>
      <c r="KUG29" s="25"/>
      <c r="KUH29" s="25"/>
      <c r="KUI29" s="25"/>
      <c r="KUJ29" s="25"/>
      <c r="KUK29" s="25"/>
      <c r="KUL29" s="25"/>
      <c r="KUM29" s="25"/>
      <c r="KUN29" s="25"/>
      <c r="KUO29" s="25"/>
      <c r="KUP29" s="25"/>
      <c r="KUQ29" s="25"/>
      <c r="KUR29" s="25"/>
      <c r="KUS29" s="25"/>
      <c r="KUT29" s="25"/>
      <c r="KUU29" s="25"/>
      <c r="KUV29" s="25"/>
      <c r="KUW29" s="25"/>
      <c r="KUX29" s="25"/>
      <c r="KUY29" s="25"/>
      <c r="KUZ29" s="25"/>
      <c r="KVA29" s="25"/>
      <c r="KVB29" s="25"/>
      <c r="KVC29" s="25"/>
      <c r="KVD29" s="25"/>
      <c r="KVE29" s="25"/>
      <c r="KVF29" s="25"/>
      <c r="KVG29" s="25"/>
      <c r="KVH29" s="25"/>
      <c r="KVI29" s="25"/>
      <c r="KVJ29" s="25"/>
      <c r="KVK29" s="25"/>
      <c r="KVL29" s="25"/>
      <c r="KVM29" s="25"/>
      <c r="KVN29" s="25"/>
      <c r="KVO29" s="25"/>
      <c r="KVP29" s="25"/>
      <c r="KVQ29" s="25"/>
      <c r="KVR29" s="25"/>
      <c r="KVS29" s="25"/>
      <c r="KVT29" s="25"/>
      <c r="KVU29" s="25"/>
      <c r="KVV29" s="25"/>
      <c r="KVW29" s="25"/>
      <c r="KVX29" s="25"/>
      <c r="KVY29" s="25"/>
      <c r="KVZ29" s="25"/>
      <c r="KWA29" s="25"/>
      <c r="KWB29" s="25"/>
      <c r="KWC29" s="25"/>
      <c r="KWD29" s="25"/>
      <c r="KWE29" s="25"/>
      <c r="KWF29" s="25"/>
      <c r="KWG29" s="25"/>
      <c r="KWH29" s="25"/>
      <c r="KWI29" s="25"/>
      <c r="KWJ29" s="25"/>
      <c r="KWK29" s="25"/>
      <c r="KWL29" s="25"/>
      <c r="KWM29" s="25"/>
      <c r="KWN29" s="25"/>
      <c r="KWO29" s="25"/>
      <c r="KWP29" s="25"/>
      <c r="KWQ29" s="25"/>
      <c r="KWR29" s="25"/>
      <c r="KWS29" s="25"/>
      <c r="KWT29" s="25"/>
      <c r="KWU29" s="25"/>
      <c r="KWV29" s="25"/>
      <c r="KWW29" s="25"/>
      <c r="KWX29" s="25"/>
      <c r="KWY29" s="25"/>
      <c r="KWZ29" s="25"/>
      <c r="KXA29" s="25"/>
      <c r="KXB29" s="25"/>
      <c r="KXC29" s="25"/>
      <c r="KXD29" s="25"/>
      <c r="KXE29" s="25"/>
      <c r="KXF29" s="25"/>
      <c r="KXG29" s="25"/>
      <c r="KXH29" s="25"/>
      <c r="KXI29" s="25"/>
      <c r="KXJ29" s="25"/>
      <c r="KXK29" s="25"/>
      <c r="KXL29" s="25"/>
      <c r="KXM29" s="25"/>
      <c r="KXN29" s="25"/>
      <c r="KXO29" s="25"/>
      <c r="KXP29" s="25"/>
      <c r="KXQ29" s="25"/>
      <c r="KXR29" s="25"/>
      <c r="KXS29" s="25"/>
      <c r="KXT29" s="25"/>
      <c r="KXU29" s="25"/>
      <c r="KXV29" s="25"/>
      <c r="KXW29" s="25"/>
      <c r="KXX29" s="25"/>
      <c r="KXY29" s="25"/>
      <c r="KXZ29" s="25"/>
      <c r="KYA29" s="25"/>
      <c r="KYB29" s="25"/>
      <c r="KYC29" s="25"/>
      <c r="KYD29" s="25"/>
      <c r="KYE29" s="25"/>
      <c r="KYF29" s="25"/>
      <c r="KYG29" s="25"/>
      <c r="KYH29" s="25"/>
      <c r="KYI29" s="25"/>
      <c r="KYJ29" s="25"/>
      <c r="KYK29" s="25"/>
      <c r="KYL29" s="25"/>
      <c r="KYM29" s="25"/>
      <c r="KYN29" s="25"/>
      <c r="KYO29" s="25"/>
      <c r="KYP29" s="25"/>
      <c r="KYQ29" s="25"/>
      <c r="KYR29" s="25"/>
      <c r="KYS29" s="25"/>
      <c r="KYT29" s="25"/>
      <c r="KYU29" s="25"/>
      <c r="KYV29" s="25"/>
      <c r="KYW29" s="25"/>
      <c r="KYX29" s="25"/>
      <c r="KYY29" s="25"/>
      <c r="KYZ29" s="25"/>
      <c r="KZA29" s="25"/>
      <c r="KZB29" s="25"/>
      <c r="KZC29" s="25"/>
      <c r="KZD29" s="25"/>
      <c r="KZE29" s="25"/>
      <c r="KZF29" s="25"/>
      <c r="KZG29" s="25"/>
      <c r="KZH29" s="25"/>
      <c r="KZI29" s="25"/>
      <c r="KZJ29" s="25"/>
      <c r="KZK29" s="25"/>
      <c r="KZL29" s="25"/>
      <c r="KZM29" s="25"/>
      <c r="KZN29" s="25"/>
      <c r="KZO29" s="25"/>
      <c r="KZP29" s="25"/>
      <c r="KZQ29" s="25"/>
      <c r="KZR29" s="25"/>
      <c r="KZS29" s="25"/>
      <c r="KZT29" s="25"/>
      <c r="KZU29" s="25"/>
      <c r="KZV29" s="25"/>
      <c r="KZW29" s="25"/>
      <c r="KZX29" s="25"/>
      <c r="KZY29" s="25"/>
      <c r="KZZ29" s="25"/>
      <c r="LAA29" s="25"/>
      <c r="LAB29" s="25"/>
      <c r="LAC29" s="25"/>
      <c r="LAD29" s="25"/>
      <c r="LAE29" s="25"/>
      <c r="LAF29" s="25"/>
      <c r="LAG29" s="25"/>
      <c r="LAH29" s="25"/>
      <c r="LAI29" s="25"/>
      <c r="LAJ29" s="25"/>
      <c r="LAK29" s="25"/>
      <c r="LAL29" s="25"/>
      <c r="LAM29" s="25"/>
      <c r="LAN29" s="25"/>
      <c r="LAO29" s="25"/>
      <c r="LAP29" s="25"/>
      <c r="LAQ29" s="25"/>
      <c r="LAR29" s="25"/>
      <c r="LAS29" s="25"/>
      <c r="LAT29" s="25"/>
      <c r="LAU29" s="25"/>
      <c r="LAV29" s="25"/>
      <c r="LAW29" s="25"/>
      <c r="LAX29" s="25"/>
      <c r="LAY29" s="25"/>
      <c r="LAZ29" s="25"/>
      <c r="LBA29" s="25"/>
      <c r="LBB29" s="25"/>
      <c r="LBC29" s="25"/>
      <c r="LBD29" s="25"/>
      <c r="LBE29" s="25"/>
      <c r="LBF29" s="25"/>
      <c r="LBG29" s="25"/>
      <c r="LBH29" s="25"/>
      <c r="LBI29" s="25"/>
      <c r="LBJ29" s="25"/>
      <c r="LBK29" s="25"/>
      <c r="LBL29" s="25"/>
      <c r="LBM29" s="25"/>
      <c r="LBN29" s="25"/>
      <c r="LBO29" s="25"/>
      <c r="LBP29" s="25"/>
      <c r="LBQ29" s="25"/>
      <c r="LBR29" s="25"/>
      <c r="LBS29" s="25"/>
      <c r="LBT29" s="25"/>
      <c r="LBU29" s="25"/>
      <c r="LBV29" s="25"/>
      <c r="LBW29" s="25"/>
      <c r="LBX29" s="25"/>
      <c r="LBY29" s="25"/>
      <c r="LBZ29" s="25"/>
      <c r="LCA29" s="25"/>
      <c r="LCB29" s="25"/>
      <c r="LCC29" s="25"/>
      <c r="LCD29" s="25"/>
      <c r="LCE29" s="25"/>
      <c r="LCF29" s="25"/>
      <c r="LCG29" s="25"/>
      <c r="LCH29" s="25"/>
      <c r="LCI29" s="25"/>
      <c r="LCJ29" s="25"/>
      <c r="LCK29" s="25"/>
      <c r="LCL29" s="25"/>
      <c r="LCM29" s="25"/>
      <c r="LCN29" s="25"/>
      <c r="LCO29" s="25"/>
      <c r="LCP29" s="25"/>
      <c r="LCQ29" s="25"/>
      <c r="LCR29" s="25"/>
      <c r="LCS29" s="25"/>
      <c r="LCT29" s="25"/>
      <c r="LCU29" s="25"/>
      <c r="LCV29" s="25"/>
      <c r="LCW29" s="25"/>
      <c r="LCX29" s="25"/>
      <c r="LCY29" s="25"/>
      <c r="LCZ29" s="25"/>
      <c r="LDA29" s="25"/>
      <c r="LDB29" s="25"/>
      <c r="LDC29" s="25"/>
      <c r="LDD29" s="25"/>
      <c r="LDE29" s="25"/>
      <c r="LDF29" s="25"/>
      <c r="LDG29" s="25"/>
      <c r="LDH29" s="25"/>
      <c r="LDI29" s="25"/>
      <c r="LDJ29" s="25"/>
      <c r="LDK29" s="25"/>
      <c r="LDL29" s="25"/>
      <c r="LDM29" s="25"/>
      <c r="LDN29" s="25"/>
      <c r="LDO29" s="25"/>
      <c r="LDP29" s="25"/>
      <c r="LDQ29" s="25"/>
      <c r="LDR29" s="25"/>
      <c r="LDS29" s="25"/>
      <c r="LDT29" s="25"/>
      <c r="LDU29" s="25"/>
      <c r="LDV29" s="25"/>
      <c r="LDW29" s="25"/>
      <c r="LDX29" s="25"/>
      <c r="LDY29" s="25"/>
      <c r="LDZ29" s="25"/>
      <c r="LEA29" s="25"/>
      <c r="LEB29" s="25"/>
      <c r="LEC29" s="25"/>
      <c r="LED29" s="25"/>
      <c r="LEE29" s="25"/>
      <c r="LEF29" s="25"/>
      <c r="LEG29" s="25"/>
      <c r="LEH29" s="25"/>
      <c r="LEI29" s="25"/>
      <c r="LEJ29" s="25"/>
      <c r="LEK29" s="25"/>
      <c r="LEL29" s="25"/>
      <c r="LEM29" s="25"/>
      <c r="LEN29" s="25"/>
      <c r="LEO29" s="25"/>
      <c r="LEP29" s="25"/>
      <c r="LEQ29" s="25"/>
      <c r="LER29" s="25"/>
      <c r="LES29" s="25"/>
      <c r="LET29" s="25"/>
      <c r="LEU29" s="25"/>
      <c r="LEV29" s="25"/>
      <c r="LEW29" s="25"/>
      <c r="LEX29" s="25"/>
      <c r="LEY29" s="25"/>
      <c r="LEZ29" s="25"/>
      <c r="LFA29" s="25"/>
      <c r="LFB29" s="25"/>
      <c r="LFC29" s="25"/>
      <c r="LFD29" s="25"/>
      <c r="LFE29" s="25"/>
      <c r="LFF29" s="25"/>
      <c r="LFG29" s="25"/>
      <c r="LFH29" s="25"/>
      <c r="LFI29" s="25"/>
      <c r="LFJ29" s="25"/>
      <c r="LFK29" s="25"/>
      <c r="LFL29" s="25"/>
      <c r="LFM29" s="25"/>
      <c r="LFN29" s="25"/>
      <c r="LFO29" s="25"/>
      <c r="LFP29" s="25"/>
      <c r="LFQ29" s="25"/>
      <c r="LFR29" s="25"/>
      <c r="LFS29" s="25"/>
      <c r="LFT29" s="25"/>
      <c r="LFU29" s="25"/>
      <c r="LFV29" s="25"/>
      <c r="LFW29" s="25"/>
      <c r="LFX29" s="25"/>
      <c r="LFY29" s="25"/>
      <c r="LFZ29" s="25"/>
      <c r="LGA29" s="25"/>
      <c r="LGB29" s="25"/>
      <c r="LGC29" s="25"/>
      <c r="LGD29" s="25"/>
      <c r="LGE29" s="25"/>
      <c r="LGF29" s="25"/>
      <c r="LGG29" s="25"/>
      <c r="LGH29" s="25"/>
      <c r="LGI29" s="25"/>
      <c r="LGJ29" s="25"/>
      <c r="LGK29" s="25"/>
      <c r="LGL29" s="25"/>
      <c r="LGM29" s="25"/>
      <c r="LGN29" s="25"/>
      <c r="LGO29" s="25"/>
      <c r="LGP29" s="25"/>
      <c r="LGQ29" s="25"/>
      <c r="LGR29" s="25"/>
      <c r="LGS29" s="25"/>
      <c r="LGT29" s="25"/>
      <c r="LGU29" s="25"/>
      <c r="LGV29" s="25"/>
      <c r="LGW29" s="25"/>
      <c r="LGX29" s="25"/>
      <c r="LGY29" s="25"/>
      <c r="LGZ29" s="25"/>
      <c r="LHA29" s="25"/>
      <c r="LHB29" s="25"/>
      <c r="LHC29" s="25"/>
      <c r="LHD29" s="25"/>
      <c r="LHE29" s="25"/>
      <c r="LHF29" s="25"/>
      <c r="LHG29" s="25"/>
      <c r="LHH29" s="25"/>
      <c r="LHI29" s="25"/>
      <c r="LHJ29" s="25"/>
      <c r="LHK29" s="25"/>
      <c r="LHL29" s="25"/>
      <c r="LHM29" s="25"/>
      <c r="LHN29" s="25"/>
      <c r="LHO29" s="25"/>
      <c r="LHP29" s="25"/>
      <c r="LHQ29" s="25"/>
      <c r="LHR29" s="25"/>
      <c r="LHS29" s="25"/>
      <c r="LHT29" s="25"/>
      <c r="LHU29" s="25"/>
      <c r="LHV29" s="25"/>
      <c r="LHW29" s="25"/>
      <c r="LHX29" s="25"/>
      <c r="LHY29" s="25"/>
      <c r="LHZ29" s="25"/>
      <c r="LIA29" s="25"/>
      <c r="LIB29" s="25"/>
      <c r="LIC29" s="25"/>
      <c r="LID29" s="25"/>
      <c r="LIE29" s="25"/>
      <c r="LIF29" s="25"/>
      <c r="LIG29" s="25"/>
      <c r="LIH29" s="25"/>
      <c r="LII29" s="25"/>
      <c r="LIJ29" s="25"/>
      <c r="LIK29" s="25"/>
      <c r="LIL29" s="25"/>
      <c r="LIM29" s="25"/>
      <c r="LIN29" s="25"/>
      <c r="LIO29" s="25"/>
      <c r="LIP29" s="25"/>
      <c r="LIQ29" s="25"/>
      <c r="LIR29" s="25"/>
      <c r="LIS29" s="25"/>
      <c r="LIT29" s="25"/>
      <c r="LIU29" s="25"/>
      <c r="LIV29" s="25"/>
      <c r="LIW29" s="25"/>
      <c r="LIX29" s="25"/>
      <c r="LIY29" s="25"/>
      <c r="LIZ29" s="25"/>
      <c r="LJA29" s="25"/>
      <c r="LJB29" s="25"/>
      <c r="LJC29" s="25"/>
      <c r="LJD29" s="25"/>
      <c r="LJE29" s="25"/>
      <c r="LJF29" s="25"/>
      <c r="LJG29" s="25"/>
      <c r="LJH29" s="25"/>
      <c r="LJI29" s="25"/>
      <c r="LJJ29" s="25"/>
      <c r="LJK29" s="25"/>
      <c r="LJL29" s="25"/>
      <c r="LJM29" s="25"/>
      <c r="LJN29" s="25"/>
      <c r="LJO29" s="25"/>
      <c r="LJP29" s="25"/>
      <c r="LJQ29" s="25"/>
      <c r="LJR29" s="25"/>
      <c r="LJS29" s="25"/>
      <c r="LJT29" s="25"/>
      <c r="LJU29" s="25"/>
      <c r="LJV29" s="25"/>
      <c r="LJW29" s="25"/>
      <c r="LJX29" s="25"/>
      <c r="LJY29" s="25"/>
      <c r="LJZ29" s="25"/>
      <c r="LKA29" s="25"/>
      <c r="LKB29" s="25"/>
      <c r="LKC29" s="25"/>
      <c r="LKD29" s="25"/>
      <c r="LKE29" s="25"/>
      <c r="LKF29" s="25"/>
      <c r="LKG29" s="25"/>
      <c r="LKH29" s="25"/>
      <c r="LKI29" s="25"/>
      <c r="LKJ29" s="25"/>
      <c r="LKK29" s="25"/>
      <c r="LKL29" s="25"/>
      <c r="LKM29" s="25"/>
      <c r="LKN29" s="25"/>
      <c r="LKO29" s="25"/>
      <c r="LKP29" s="25"/>
      <c r="LKQ29" s="25"/>
      <c r="LKR29" s="25"/>
      <c r="LKS29" s="25"/>
      <c r="LKT29" s="25"/>
      <c r="LKU29" s="25"/>
      <c r="LKV29" s="25"/>
      <c r="LKW29" s="25"/>
      <c r="LKX29" s="25"/>
      <c r="LKY29" s="25"/>
      <c r="LKZ29" s="25"/>
      <c r="LLA29" s="25"/>
      <c r="LLB29" s="25"/>
      <c r="LLC29" s="25"/>
      <c r="LLD29" s="25"/>
      <c r="LLE29" s="25"/>
      <c r="LLF29" s="25"/>
      <c r="LLG29" s="25"/>
      <c r="LLH29" s="25"/>
      <c r="LLI29" s="25"/>
      <c r="LLJ29" s="25"/>
      <c r="LLK29" s="25"/>
      <c r="LLL29" s="25"/>
      <c r="LLM29" s="25"/>
      <c r="LLN29" s="25"/>
      <c r="LLO29" s="25"/>
      <c r="LLP29" s="25"/>
      <c r="LLQ29" s="25"/>
      <c r="LLR29" s="25"/>
      <c r="LLS29" s="25"/>
      <c r="LLT29" s="25"/>
      <c r="LLU29" s="25"/>
      <c r="LLV29" s="25"/>
      <c r="LLW29" s="25"/>
      <c r="LLX29" s="25"/>
      <c r="LLY29" s="25"/>
      <c r="LLZ29" s="25"/>
      <c r="LMA29" s="25"/>
      <c r="LMB29" s="25"/>
      <c r="LMC29" s="25"/>
      <c r="LMD29" s="25"/>
      <c r="LME29" s="25"/>
      <c r="LMF29" s="25"/>
      <c r="LMG29" s="25"/>
      <c r="LMH29" s="25"/>
      <c r="LMI29" s="25"/>
      <c r="LMJ29" s="25"/>
      <c r="LMK29" s="25"/>
      <c r="LML29" s="25"/>
      <c r="LMM29" s="25"/>
      <c r="LMN29" s="25"/>
      <c r="LMO29" s="25"/>
      <c r="LMP29" s="25"/>
      <c r="LMQ29" s="25"/>
      <c r="LMR29" s="25"/>
      <c r="LMS29" s="25"/>
      <c r="LMT29" s="25"/>
      <c r="LMU29" s="25"/>
      <c r="LMV29" s="25"/>
      <c r="LMW29" s="25"/>
      <c r="LMX29" s="25"/>
      <c r="LMY29" s="25"/>
      <c r="LMZ29" s="25"/>
      <c r="LNA29" s="25"/>
      <c r="LNB29" s="25"/>
      <c r="LNC29" s="25"/>
      <c r="LND29" s="25"/>
      <c r="LNE29" s="25"/>
      <c r="LNF29" s="25"/>
      <c r="LNG29" s="25"/>
      <c r="LNH29" s="25"/>
      <c r="LNI29" s="25"/>
      <c r="LNJ29" s="25"/>
      <c r="LNK29" s="25"/>
      <c r="LNL29" s="25"/>
      <c r="LNM29" s="25"/>
      <c r="LNN29" s="25"/>
      <c r="LNO29" s="25"/>
      <c r="LNP29" s="25"/>
      <c r="LNQ29" s="25"/>
      <c r="LNR29" s="25"/>
      <c r="LNS29" s="25"/>
      <c r="LNT29" s="25"/>
      <c r="LNU29" s="25"/>
      <c r="LNV29" s="25"/>
      <c r="LNW29" s="25"/>
      <c r="LNX29" s="25"/>
      <c r="LNY29" s="25"/>
      <c r="LNZ29" s="25"/>
      <c r="LOA29" s="25"/>
      <c r="LOB29" s="25"/>
      <c r="LOC29" s="25"/>
      <c r="LOD29" s="25"/>
      <c r="LOE29" s="25"/>
      <c r="LOF29" s="25"/>
      <c r="LOG29" s="25"/>
      <c r="LOH29" s="25"/>
      <c r="LOI29" s="25"/>
      <c r="LOJ29" s="25"/>
      <c r="LOK29" s="25"/>
      <c r="LOL29" s="25"/>
      <c r="LOM29" s="25"/>
      <c r="LON29" s="25"/>
      <c r="LOO29" s="25"/>
      <c r="LOP29" s="25"/>
      <c r="LOQ29" s="25"/>
      <c r="LOR29" s="25"/>
      <c r="LOS29" s="25"/>
      <c r="LOT29" s="25"/>
      <c r="LOU29" s="25"/>
      <c r="LOV29" s="25"/>
      <c r="LOW29" s="25"/>
      <c r="LOX29" s="25"/>
      <c r="LOY29" s="25"/>
      <c r="LOZ29" s="25"/>
      <c r="LPA29" s="25"/>
      <c r="LPB29" s="25"/>
      <c r="LPC29" s="25"/>
      <c r="LPD29" s="25"/>
      <c r="LPE29" s="25"/>
      <c r="LPF29" s="25"/>
      <c r="LPG29" s="25"/>
      <c r="LPH29" s="25"/>
      <c r="LPI29" s="25"/>
      <c r="LPJ29" s="25"/>
      <c r="LPK29" s="25"/>
      <c r="LPL29" s="25"/>
      <c r="LPM29" s="25"/>
      <c r="LPN29" s="25"/>
      <c r="LPO29" s="25"/>
      <c r="LPP29" s="25"/>
      <c r="LPQ29" s="25"/>
      <c r="LPR29" s="25"/>
      <c r="LPS29" s="25"/>
      <c r="LPT29" s="25"/>
      <c r="LPU29" s="25"/>
      <c r="LPV29" s="25"/>
      <c r="LPW29" s="25"/>
      <c r="LPX29" s="25"/>
      <c r="LPY29" s="25"/>
      <c r="LPZ29" s="25"/>
      <c r="LQA29" s="25"/>
      <c r="LQB29" s="25"/>
      <c r="LQC29" s="25"/>
      <c r="LQD29" s="25"/>
      <c r="LQE29" s="25"/>
      <c r="LQF29" s="25"/>
      <c r="LQG29" s="25"/>
      <c r="LQH29" s="25"/>
      <c r="LQI29" s="25"/>
      <c r="LQJ29" s="25"/>
      <c r="LQK29" s="25"/>
      <c r="LQL29" s="25"/>
      <c r="LQM29" s="25"/>
      <c r="LQN29" s="25"/>
      <c r="LQO29" s="25"/>
      <c r="LQP29" s="25"/>
      <c r="LQQ29" s="25"/>
      <c r="LQR29" s="25"/>
      <c r="LQS29" s="25"/>
      <c r="LQT29" s="25"/>
      <c r="LQU29" s="25"/>
      <c r="LQV29" s="25"/>
      <c r="LQW29" s="25"/>
      <c r="LQX29" s="25"/>
      <c r="LQY29" s="25"/>
      <c r="LQZ29" s="25"/>
      <c r="LRA29" s="25"/>
      <c r="LRB29" s="25"/>
      <c r="LRC29" s="25"/>
      <c r="LRD29" s="25"/>
      <c r="LRE29" s="25"/>
      <c r="LRF29" s="25"/>
      <c r="LRG29" s="25"/>
      <c r="LRH29" s="25"/>
      <c r="LRI29" s="25"/>
      <c r="LRJ29" s="25"/>
      <c r="LRK29" s="25"/>
      <c r="LRL29" s="25"/>
      <c r="LRM29" s="25"/>
      <c r="LRN29" s="25"/>
      <c r="LRO29" s="25"/>
      <c r="LRP29" s="25"/>
      <c r="LRQ29" s="25"/>
      <c r="LRR29" s="25"/>
      <c r="LRS29" s="25"/>
      <c r="LRT29" s="25"/>
      <c r="LRU29" s="25"/>
      <c r="LRV29" s="25"/>
      <c r="LRW29" s="25"/>
      <c r="LRX29" s="25"/>
      <c r="LRY29" s="25"/>
      <c r="LRZ29" s="25"/>
      <c r="LSA29" s="25"/>
      <c r="LSB29" s="25"/>
      <c r="LSC29" s="25"/>
      <c r="LSD29" s="25"/>
      <c r="LSE29" s="25"/>
      <c r="LSF29" s="25"/>
      <c r="LSG29" s="25"/>
      <c r="LSH29" s="25"/>
      <c r="LSI29" s="25"/>
      <c r="LSJ29" s="25"/>
      <c r="LSK29" s="25"/>
      <c r="LSL29" s="25"/>
      <c r="LSM29" s="25"/>
      <c r="LSN29" s="25"/>
      <c r="LSO29" s="25"/>
      <c r="LSP29" s="25"/>
      <c r="LSQ29" s="25"/>
      <c r="LSR29" s="25"/>
      <c r="LSS29" s="25"/>
      <c r="LST29" s="25"/>
      <c r="LSU29" s="25"/>
      <c r="LSV29" s="25"/>
      <c r="LSW29" s="25"/>
      <c r="LSX29" s="25"/>
      <c r="LSY29" s="25"/>
      <c r="LSZ29" s="25"/>
      <c r="LTA29" s="25"/>
      <c r="LTB29" s="25"/>
      <c r="LTC29" s="25"/>
      <c r="LTD29" s="25"/>
      <c r="LTE29" s="25"/>
      <c r="LTF29" s="25"/>
      <c r="LTG29" s="25"/>
      <c r="LTH29" s="25"/>
      <c r="LTI29" s="25"/>
      <c r="LTJ29" s="25"/>
      <c r="LTK29" s="25"/>
      <c r="LTL29" s="25"/>
      <c r="LTM29" s="25"/>
      <c r="LTN29" s="25"/>
      <c r="LTO29" s="25"/>
      <c r="LTP29" s="25"/>
      <c r="LTQ29" s="25"/>
      <c r="LTR29" s="25"/>
      <c r="LTS29" s="25"/>
      <c r="LTT29" s="25"/>
      <c r="LTU29" s="25"/>
      <c r="LTV29" s="25"/>
      <c r="LTW29" s="25"/>
      <c r="LTX29" s="25"/>
      <c r="LTY29" s="25"/>
      <c r="LTZ29" s="25"/>
      <c r="LUA29" s="25"/>
      <c r="LUB29" s="25"/>
      <c r="LUC29" s="25"/>
      <c r="LUD29" s="25"/>
      <c r="LUE29" s="25"/>
      <c r="LUF29" s="25"/>
      <c r="LUG29" s="25"/>
      <c r="LUH29" s="25"/>
      <c r="LUI29" s="25"/>
      <c r="LUJ29" s="25"/>
      <c r="LUK29" s="25"/>
      <c r="LUL29" s="25"/>
      <c r="LUM29" s="25"/>
      <c r="LUN29" s="25"/>
      <c r="LUO29" s="25"/>
      <c r="LUP29" s="25"/>
      <c r="LUQ29" s="25"/>
      <c r="LUR29" s="25"/>
      <c r="LUS29" s="25"/>
      <c r="LUT29" s="25"/>
      <c r="LUU29" s="25"/>
      <c r="LUV29" s="25"/>
      <c r="LUW29" s="25"/>
      <c r="LUX29" s="25"/>
      <c r="LUY29" s="25"/>
      <c r="LUZ29" s="25"/>
      <c r="LVA29" s="25"/>
      <c r="LVB29" s="25"/>
      <c r="LVC29" s="25"/>
      <c r="LVD29" s="25"/>
      <c r="LVE29" s="25"/>
      <c r="LVF29" s="25"/>
      <c r="LVG29" s="25"/>
      <c r="LVH29" s="25"/>
      <c r="LVI29" s="25"/>
      <c r="LVJ29" s="25"/>
      <c r="LVK29" s="25"/>
      <c r="LVL29" s="25"/>
      <c r="LVM29" s="25"/>
      <c r="LVN29" s="25"/>
      <c r="LVO29" s="25"/>
      <c r="LVP29" s="25"/>
      <c r="LVQ29" s="25"/>
      <c r="LVR29" s="25"/>
      <c r="LVS29" s="25"/>
      <c r="LVT29" s="25"/>
      <c r="LVU29" s="25"/>
      <c r="LVV29" s="25"/>
      <c r="LVW29" s="25"/>
      <c r="LVX29" s="25"/>
      <c r="LVY29" s="25"/>
      <c r="LVZ29" s="25"/>
      <c r="LWA29" s="25"/>
      <c r="LWB29" s="25"/>
      <c r="LWC29" s="25"/>
      <c r="LWD29" s="25"/>
      <c r="LWE29" s="25"/>
      <c r="LWF29" s="25"/>
      <c r="LWG29" s="25"/>
      <c r="LWH29" s="25"/>
      <c r="LWI29" s="25"/>
      <c r="LWJ29" s="25"/>
      <c r="LWK29" s="25"/>
      <c r="LWL29" s="25"/>
      <c r="LWM29" s="25"/>
      <c r="LWN29" s="25"/>
      <c r="LWO29" s="25"/>
      <c r="LWP29" s="25"/>
      <c r="LWQ29" s="25"/>
      <c r="LWR29" s="25"/>
      <c r="LWS29" s="25"/>
      <c r="LWT29" s="25"/>
      <c r="LWU29" s="25"/>
      <c r="LWV29" s="25"/>
      <c r="LWW29" s="25"/>
      <c r="LWX29" s="25"/>
      <c r="LWY29" s="25"/>
      <c r="LWZ29" s="25"/>
      <c r="LXA29" s="25"/>
      <c r="LXB29" s="25"/>
      <c r="LXC29" s="25"/>
      <c r="LXD29" s="25"/>
      <c r="LXE29" s="25"/>
      <c r="LXF29" s="25"/>
      <c r="LXG29" s="25"/>
      <c r="LXH29" s="25"/>
      <c r="LXI29" s="25"/>
      <c r="LXJ29" s="25"/>
      <c r="LXK29" s="25"/>
      <c r="LXL29" s="25"/>
      <c r="LXM29" s="25"/>
      <c r="LXN29" s="25"/>
      <c r="LXO29" s="25"/>
      <c r="LXP29" s="25"/>
      <c r="LXQ29" s="25"/>
      <c r="LXR29" s="25"/>
      <c r="LXS29" s="25"/>
      <c r="LXT29" s="25"/>
      <c r="LXU29" s="25"/>
      <c r="LXV29" s="25"/>
      <c r="LXW29" s="25"/>
      <c r="LXX29" s="25"/>
      <c r="LXY29" s="25"/>
      <c r="LXZ29" s="25"/>
      <c r="LYA29" s="25"/>
      <c r="LYB29" s="25"/>
      <c r="LYC29" s="25"/>
      <c r="LYD29" s="25"/>
      <c r="LYE29" s="25"/>
      <c r="LYF29" s="25"/>
      <c r="LYG29" s="25"/>
      <c r="LYH29" s="25"/>
      <c r="LYI29" s="25"/>
      <c r="LYJ29" s="25"/>
      <c r="LYK29" s="25"/>
      <c r="LYL29" s="25"/>
      <c r="LYM29" s="25"/>
      <c r="LYN29" s="25"/>
      <c r="LYO29" s="25"/>
      <c r="LYP29" s="25"/>
      <c r="LYQ29" s="25"/>
      <c r="LYR29" s="25"/>
      <c r="LYS29" s="25"/>
      <c r="LYT29" s="25"/>
      <c r="LYU29" s="25"/>
      <c r="LYV29" s="25"/>
      <c r="LYW29" s="25"/>
      <c r="LYX29" s="25"/>
      <c r="LYY29" s="25"/>
      <c r="LYZ29" s="25"/>
      <c r="LZA29" s="25"/>
      <c r="LZB29" s="25"/>
      <c r="LZC29" s="25"/>
      <c r="LZD29" s="25"/>
      <c r="LZE29" s="25"/>
      <c r="LZF29" s="25"/>
      <c r="LZG29" s="25"/>
      <c r="LZH29" s="25"/>
      <c r="LZI29" s="25"/>
      <c r="LZJ29" s="25"/>
      <c r="LZK29" s="25"/>
      <c r="LZL29" s="25"/>
      <c r="LZM29" s="25"/>
      <c r="LZN29" s="25"/>
      <c r="LZO29" s="25"/>
      <c r="LZP29" s="25"/>
      <c r="LZQ29" s="25"/>
      <c r="LZR29" s="25"/>
      <c r="LZS29" s="25"/>
      <c r="LZT29" s="25"/>
      <c r="LZU29" s="25"/>
      <c r="LZV29" s="25"/>
      <c r="LZW29" s="25"/>
      <c r="LZX29" s="25"/>
      <c r="LZY29" s="25"/>
      <c r="LZZ29" s="25"/>
      <c r="MAA29" s="25"/>
      <c r="MAB29" s="25"/>
      <c r="MAC29" s="25"/>
      <c r="MAD29" s="25"/>
      <c r="MAE29" s="25"/>
      <c r="MAF29" s="25"/>
      <c r="MAG29" s="25"/>
      <c r="MAH29" s="25"/>
      <c r="MAI29" s="25"/>
      <c r="MAJ29" s="25"/>
      <c r="MAK29" s="25"/>
      <c r="MAL29" s="25"/>
      <c r="MAM29" s="25"/>
      <c r="MAN29" s="25"/>
      <c r="MAO29" s="25"/>
      <c r="MAP29" s="25"/>
      <c r="MAQ29" s="25"/>
      <c r="MAR29" s="25"/>
      <c r="MAS29" s="25"/>
      <c r="MAT29" s="25"/>
      <c r="MAU29" s="25"/>
      <c r="MAV29" s="25"/>
      <c r="MAW29" s="25"/>
      <c r="MAX29" s="25"/>
      <c r="MAY29" s="25"/>
      <c r="MAZ29" s="25"/>
      <c r="MBA29" s="25"/>
      <c r="MBB29" s="25"/>
      <c r="MBC29" s="25"/>
      <c r="MBD29" s="25"/>
      <c r="MBE29" s="25"/>
      <c r="MBF29" s="25"/>
      <c r="MBG29" s="25"/>
      <c r="MBH29" s="25"/>
      <c r="MBI29" s="25"/>
      <c r="MBJ29" s="25"/>
      <c r="MBK29" s="25"/>
      <c r="MBL29" s="25"/>
      <c r="MBM29" s="25"/>
      <c r="MBN29" s="25"/>
      <c r="MBO29" s="25"/>
      <c r="MBP29" s="25"/>
      <c r="MBQ29" s="25"/>
      <c r="MBR29" s="25"/>
      <c r="MBS29" s="25"/>
      <c r="MBT29" s="25"/>
      <c r="MBU29" s="25"/>
      <c r="MBV29" s="25"/>
      <c r="MBW29" s="25"/>
      <c r="MBX29" s="25"/>
      <c r="MBY29" s="25"/>
      <c r="MBZ29" s="25"/>
      <c r="MCA29" s="25"/>
      <c r="MCB29" s="25"/>
      <c r="MCC29" s="25"/>
      <c r="MCD29" s="25"/>
      <c r="MCE29" s="25"/>
      <c r="MCF29" s="25"/>
      <c r="MCG29" s="25"/>
      <c r="MCH29" s="25"/>
      <c r="MCI29" s="25"/>
      <c r="MCJ29" s="25"/>
      <c r="MCK29" s="25"/>
      <c r="MCL29" s="25"/>
      <c r="MCM29" s="25"/>
      <c r="MCN29" s="25"/>
      <c r="MCO29" s="25"/>
      <c r="MCP29" s="25"/>
      <c r="MCQ29" s="25"/>
      <c r="MCR29" s="25"/>
      <c r="MCS29" s="25"/>
      <c r="MCT29" s="25"/>
      <c r="MCU29" s="25"/>
      <c r="MCV29" s="25"/>
      <c r="MCW29" s="25"/>
      <c r="MCX29" s="25"/>
      <c r="MCY29" s="25"/>
      <c r="MCZ29" s="25"/>
      <c r="MDA29" s="25"/>
      <c r="MDB29" s="25"/>
      <c r="MDC29" s="25"/>
      <c r="MDD29" s="25"/>
      <c r="MDE29" s="25"/>
      <c r="MDF29" s="25"/>
      <c r="MDG29" s="25"/>
      <c r="MDH29" s="25"/>
      <c r="MDI29" s="25"/>
      <c r="MDJ29" s="25"/>
      <c r="MDK29" s="25"/>
      <c r="MDL29" s="25"/>
      <c r="MDM29" s="25"/>
      <c r="MDN29" s="25"/>
      <c r="MDO29" s="25"/>
      <c r="MDP29" s="25"/>
      <c r="MDQ29" s="25"/>
      <c r="MDR29" s="25"/>
      <c r="MDS29" s="25"/>
      <c r="MDT29" s="25"/>
      <c r="MDU29" s="25"/>
      <c r="MDV29" s="25"/>
      <c r="MDW29" s="25"/>
      <c r="MDX29" s="25"/>
      <c r="MDY29" s="25"/>
      <c r="MDZ29" s="25"/>
      <c r="MEA29" s="25"/>
      <c r="MEB29" s="25"/>
      <c r="MEC29" s="25"/>
      <c r="MED29" s="25"/>
      <c r="MEE29" s="25"/>
      <c r="MEF29" s="25"/>
      <c r="MEG29" s="25"/>
      <c r="MEH29" s="25"/>
      <c r="MEI29" s="25"/>
      <c r="MEJ29" s="25"/>
      <c r="MEK29" s="25"/>
      <c r="MEL29" s="25"/>
      <c r="MEM29" s="25"/>
      <c r="MEN29" s="25"/>
      <c r="MEO29" s="25"/>
      <c r="MEP29" s="25"/>
      <c r="MEQ29" s="25"/>
      <c r="MER29" s="25"/>
      <c r="MES29" s="25"/>
      <c r="MET29" s="25"/>
      <c r="MEU29" s="25"/>
      <c r="MEV29" s="25"/>
      <c r="MEW29" s="25"/>
      <c r="MEX29" s="25"/>
      <c r="MEY29" s="25"/>
      <c r="MEZ29" s="25"/>
      <c r="MFA29" s="25"/>
      <c r="MFB29" s="25"/>
      <c r="MFC29" s="25"/>
      <c r="MFD29" s="25"/>
      <c r="MFE29" s="25"/>
      <c r="MFF29" s="25"/>
      <c r="MFG29" s="25"/>
      <c r="MFH29" s="25"/>
      <c r="MFI29" s="25"/>
      <c r="MFJ29" s="25"/>
      <c r="MFK29" s="25"/>
      <c r="MFL29" s="25"/>
      <c r="MFM29" s="25"/>
      <c r="MFN29" s="25"/>
      <c r="MFO29" s="25"/>
      <c r="MFP29" s="25"/>
      <c r="MFQ29" s="25"/>
      <c r="MFR29" s="25"/>
      <c r="MFS29" s="25"/>
      <c r="MFT29" s="25"/>
      <c r="MFU29" s="25"/>
      <c r="MFV29" s="25"/>
      <c r="MFW29" s="25"/>
      <c r="MFX29" s="25"/>
      <c r="MFY29" s="25"/>
      <c r="MFZ29" s="25"/>
      <c r="MGA29" s="25"/>
      <c r="MGB29" s="25"/>
      <c r="MGC29" s="25"/>
      <c r="MGD29" s="25"/>
      <c r="MGE29" s="25"/>
      <c r="MGF29" s="25"/>
      <c r="MGG29" s="25"/>
      <c r="MGH29" s="25"/>
      <c r="MGI29" s="25"/>
      <c r="MGJ29" s="25"/>
      <c r="MGK29" s="25"/>
      <c r="MGL29" s="25"/>
      <c r="MGM29" s="25"/>
      <c r="MGN29" s="25"/>
      <c r="MGO29" s="25"/>
      <c r="MGP29" s="25"/>
      <c r="MGQ29" s="25"/>
      <c r="MGR29" s="25"/>
      <c r="MGS29" s="25"/>
      <c r="MGT29" s="25"/>
      <c r="MGU29" s="25"/>
      <c r="MGV29" s="25"/>
      <c r="MGW29" s="25"/>
      <c r="MGX29" s="25"/>
      <c r="MGY29" s="25"/>
      <c r="MGZ29" s="25"/>
      <c r="MHA29" s="25"/>
      <c r="MHB29" s="25"/>
      <c r="MHC29" s="25"/>
      <c r="MHD29" s="25"/>
      <c r="MHE29" s="25"/>
      <c r="MHF29" s="25"/>
      <c r="MHG29" s="25"/>
      <c r="MHH29" s="25"/>
      <c r="MHI29" s="25"/>
      <c r="MHJ29" s="25"/>
      <c r="MHK29" s="25"/>
      <c r="MHL29" s="25"/>
      <c r="MHM29" s="25"/>
      <c r="MHN29" s="25"/>
      <c r="MHO29" s="25"/>
      <c r="MHP29" s="25"/>
      <c r="MHQ29" s="25"/>
      <c r="MHR29" s="25"/>
      <c r="MHS29" s="25"/>
      <c r="MHT29" s="25"/>
      <c r="MHU29" s="25"/>
      <c r="MHV29" s="25"/>
      <c r="MHW29" s="25"/>
      <c r="MHX29" s="25"/>
      <c r="MHY29" s="25"/>
      <c r="MHZ29" s="25"/>
      <c r="MIA29" s="25"/>
      <c r="MIB29" s="25"/>
      <c r="MIC29" s="25"/>
      <c r="MID29" s="25"/>
      <c r="MIE29" s="25"/>
      <c r="MIF29" s="25"/>
      <c r="MIG29" s="25"/>
      <c r="MIH29" s="25"/>
      <c r="MII29" s="25"/>
      <c r="MIJ29" s="25"/>
      <c r="MIK29" s="25"/>
      <c r="MIL29" s="25"/>
      <c r="MIM29" s="25"/>
      <c r="MIN29" s="25"/>
      <c r="MIO29" s="25"/>
      <c r="MIP29" s="25"/>
      <c r="MIQ29" s="25"/>
      <c r="MIR29" s="25"/>
      <c r="MIS29" s="25"/>
      <c r="MIT29" s="25"/>
      <c r="MIU29" s="25"/>
      <c r="MIV29" s="25"/>
      <c r="MIW29" s="25"/>
      <c r="MIX29" s="25"/>
      <c r="MIY29" s="25"/>
      <c r="MIZ29" s="25"/>
      <c r="MJA29" s="25"/>
      <c r="MJB29" s="25"/>
      <c r="MJC29" s="25"/>
      <c r="MJD29" s="25"/>
      <c r="MJE29" s="25"/>
      <c r="MJF29" s="25"/>
      <c r="MJG29" s="25"/>
      <c r="MJH29" s="25"/>
      <c r="MJI29" s="25"/>
      <c r="MJJ29" s="25"/>
      <c r="MJK29" s="25"/>
      <c r="MJL29" s="25"/>
      <c r="MJM29" s="25"/>
      <c r="MJN29" s="25"/>
      <c r="MJO29" s="25"/>
      <c r="MJP29" s="25"/>
      <c r="MJQ29" s="25"/>
      <c r="MJR29" s="25"/>
      <c r="MJS29" s="25"/>
      <c r="MJT29" s="25"/>
      <c r="MJU29" s="25"/>
      <c r="MJV29" s="25"/>
      <c r="MJW29" s="25"/>
      <c r="MJX29" s="25"/>
      <c r="MJY29" s="25"/>
      <c r="MJZ29" s="25"/>
      <c r="MKA29" s="25"/>
      <c r="MKB29" s="25"/>
      <c r="MKC29" s="25"/>
      <c r="MKD29" s="25"/>
      <c r="MKE29" s="25"/>
      <c r="MKF29" s="25"/>
      <c r="MKG29" s="25"/>
      <c r="MKH29" s="25"/>
      <c r="MKI29" s="25"/>
      <c r="MKJ29" s="25"/>
      <c r="MKK29" s="25"/>
      <c r="MKL29" s="25"/>
      <c r="MKM29" s="25"/>
      <c r="MKN29" s="25"/>
      <c r="MKO29" s="25"/>
      <c r="MKP29" s="25"/>
      <c r="MKQ29" s="25"/>
      <c r="MKR29" s="25"/>
      <c r="MKS29" s="25"/>
      <c r="MKT29" s="25"/>
      <c r="MKU29" s="25"/>
      <c r="MKV29" s="25"/>
      <c r="MKW29" s="25"/>
      <c r="MKX29" s="25"/>
      <c r="MKY29" s="25"/>
      <c r="MKZ29" s="25"/>
      <c r="MLA29" s="25"/>
      <c r="MLB29" s="25"/>
      <c r="MLC29" s="25"/>
      <c r="MLD29" s="25"/>
      <c r="MLE29" s="25"/>
      <c r="MLF29" s="25"/>
      <c r="MLG29" s="25"/>
      <c r="MLH29" s="25"/>
      <c r="MLI29" s="25"/>
      <c r="MLJ29" s="25"/>
      <c r="MLK29" s="25"/>
      <c r="MLL29" s="25"/>
      <c r="MLM29" s="25"/>
      <c r="MLN29" s="25"/>
      <c r="MLO29" s="25"/>
      <c r="MLP29" s="25"/>
      <c r="MLQ29" s="25"/>
      <c r="MLR29" s="25"/>
      <c r="MLS29" s="25"/>
      <c r="MLT29" s="25"/>
      <c r="MLU29" s="25"/>
      <c r="MLV29" s="25"/>
      <c r="MLW29" s="25"/>
      <c r="MLX29" s="25"/>
      <c r="MLY29" s="25"/>
      <c r="MLZ29" s="25"/>
      <c r="MMA29" s="25"/>
      <c r="MMB29" s="25"/>
      <c r="MMC29" s="25"/>
      <c r="MMD29" s="25"/>
      <c r="MME29" s="25"/>
      <c r="MMF29" s="25"/>
      <c r="MMG29" s="25"/>
      <c r="MMH29" s="25"/>
      <c r="MMI29" s="25"/>
      <c r="MMJ29" s="25"/>
      <c r="MMK29" s="25"/>
      <c r="MML29" s="25"/>
      <c r="MMM29" s="25"/>
      <c r="MMN29" s="25"/>
      <c r="MMO29" s="25"/>
      <c r="MMP29" s="25"/>
      <c r="MMQ29" s="25"/>
      <c r="MMR29" s="25"/>
      <c r="MMS29" s="25"/>
      <c r="MMT29" s="25"/>
      <c r="MMU29" s="25"/>
      <c r="MMV29" s="25"/>
      <c r="MMW29" s="25"/>
      <c r="MMX29" s="25"/>
      <c r="MMY29" s="25"/>
      <c r="MMZ29" s="25"/>
      <c r="MNA29" s="25"/>
      <c r="MNB29" s="25"/>
      <c r="MNC29" s="25"/>
      <c r="MND29" s="25"/>
      <c r="MNE29" s="25"/>
      <c r="MNF29" s="25"/>
      <c r="MNG29" s="25"/>
      <c r="MNH29" s="25"/>
      <c r="MNI29" s="25"/>
      <c r="MNJ29" s="25"/>
      <c r="MNK29" s="25"/>
      <c r="MNL29" s="25"/>
      <c r="MNM29" s="25"/>
      <c r="MNN29" s="25"/>
      <c r="MNO29" s="25"/>
      <c r="MNP29" s="25"/>
      <c r="MNQ29" s="25"/>
      <c r="MNR29" s="25"/>
      <c r="MNS29" s="25"/>
      <c r="MNT29" s="25"/>
      <c r="MNU29" s="25"/>
      <c r="MNV29" s="25"/>
      <c r="MNW29" s="25"/>
      <c r="MNX29" s="25"/>
      <c r="MNY29" s="25"/>
      <c r="MNZ29" s="25"/>
      <c r="MOA29" s="25"/>
      <c r="MOB29" s="25"/>
      <c r="MOC29" s="25"/>
      <c r="MOD29" s="25"/>
      <c r="MOE29" s="25"/>
      <c r="MOF29" s="25"/>
      <c r="MOG29" s="25"/>
      <c r="MOH29" s="25"/>
      <c r="MOI29" s="25"/>
      <c r="MOJ29" s="25"/>
      <c r="MOK29" s="25"/>
      <c r="MOL29" s="25"/>
      <c r="MOM29" s="25"/>
      <c r="MON29" s="25"/>
      <c r="MOO29" s="25"/>
      <c r="MOP29" s="25"/>
      <c r="MOQ29" s="25"/>
      <c r="MOR29" s="25"/>
      <c r="MOS29" s="25"/>
      <c r="MOT29" s="25"/>
      <c r="MOU29" s="25"/>
      <c r="MOV29" s="25"/>
      <c r="MOW29" s="25"/>
      <c r="MOX29" s="25"/>
      <c r="MOY29" s="25"/>
      <c r="MOZ29" s="25"/>
      <c r="MPA29" s="25"/>
      <c r="MPB29" s="25"/>
      <c r="MPC29" s="25"/>
      <c r="MPD29" s="25"/>
      <c r="MPE29" s="25"/>
      <c r="MPF29" s="25"/>
      <c r="MPG29" s="25"/>
      <c r="MPH29" s="25"/>
      <c r="MPI29" s="25"/>
      <c r="MPJ29" s="25"/>
      <c r="MPK29" s="25"/>
      <c r="MPL29" s="25"/>
      <c r="MPM29" s="25"/>
      <c r="MPN29" s="25"/>
      <c r="MPO29" s="25"/>
      <c r="MPP29" s="25"/>
      <c r="MPQ29" s="25"/>
      <c r="MPR29" s="25"/>
      <c r="MPS29" s="25"/>
      <c r="MPT29" s="25"/>
      <c r="MPU29" s="25"/>
      <c r="MPV29" s="25"/>
      <c r="MPW29" s="25"/>
      <c r="MPX29" s="25"/>
      <c r="MPY29" s="25"/>
      <c r="MPZ29" s="25"/>
      <c r="MQA29" s="25"/>
      <c r="MQB29" s="25"/>
      <c r="MQC29" s="25"/>
      <c r="MQD29" s="25"/>
      <c r="MQE29" s="25"/>
      <c r="MQF29" s="25"/>
      <c r="MQG29" s="25"/>
      <c r="MQH29" s="25"/>
      <c r="MQI29" s="25"/>
      <c r="MQJ29" s="25"/>
      <c r="MQK29" s="25"/>
      <c r="MQL29" s="25"/>
      <c r="MQM29" s="25"/>
      <c r="MQN29" s="25"/>
      <c r="MQO29" s="25"/>
      <c r="MQP29" s="25"/>
      <c r="MQQ29" s="25"/>
      <c r="MQR29" s="25"/>
      <c r="MQS29" s="25"/>
      <c r="MQT29" s="25"/>
      <c r="MQU29" s="25"/>
      <c r="MQV29" s="25"/>
      <c r="MQW29" s="25"/>
      <c r="MQX29" s="25"/>
      <c r="MQY29" s="25"/>
      <c r="MQZ29" s="25"/>
      <c r="MRA29" s="25"/>
      <c r="MRB29" s="25"/>
      <c r="MRC29" s="25"/>
      <c r="MRD29" s="25"/>
      <c r="MRE29" s="25"/>
      <c r="MRF29" s="25"/>
      <c r="MRG29" s="25"/>
      <c r="MRH29" s="25"/>
      <c r="MRI29" s="25"/>
      <c r="MRJ29" s="25"/>
      <c r="MRK29" s="25"/>
      <c r="MRL29" s="25"/>
      <c r="MRM29" s="25"/>
      <c r="MRN29" s="25"/>
      <c r="MRO29" s="25"/>
      <c r="MRP29" s="25"/>
      <c r="MRQ29" s="25"/>
      <c r="MRR29" s="25"/>
      <c r="MRS29" s="25"/>
      <c r="MRT29" s="25"/>
      <c r="MRU29" s="25"/>
      <c r="MRV29" s="25"/>
      <c r="MRW29" s="25"/>
      <c r="MRX29" s="25"/>
      <c r="MRY29" s="25"/>
      <c r="MRZ29" s="25"/>
      <c r="MSA29" s="25"/>
      <c r="MSB29" s="25"/>
      <c r="MSC29" s="25"/>
      <c r="MSD29" s="25"/>
      <c r="MSE29" s="25"/>
      <c r="MSF29" s="25"/>
      <c r="MSG29" s="25"/>
      <c r="MSH29" s="25"/>
      <c r="MSI29" s="25"/>
      <c r="MSJ29" s="25"/>
      <c r="MSK29" s="25"/>
      <c r="MSL29" s="25"/>
      <c r="MSM29" s="25"/>
      <c r="MSN29" s="25"/>
      <c r="MSO29" s="25"/>
      <c r="MSP29" s="25"/>
      <c r="MSQ29" s="25"/>
      <c r="MSR29" s="25"/>
      <c r="MSS29" s="25"/>
      <c r="MST29" s="25"/>
      <c r="MSU29" s="25"/>
      <c r="MSV29" s="25"/>
      <c r="MSW29" s="25"/>
      <c r="MSX29" s="25"/>
      <c r="MSY29" s="25"/>
      <c r="MSZ29" s="25"/>
      <c r="MTA29" s="25"/>
      <c r="MTB29" s="25"/>
      <c r="MTC29" s="25"/>
      <c r="MTD29" s="25"/>
      <c r="MTE29" s="25"/>
      <c r="MTF29" s="25"/>
      <c r="MTG29" s="25"/>
      <c r="MTH29" s="25"/>
      <c r="MTI29" s="25"/>
      <c r="MTJ29" s="25"/>
      <c r="MTK29" s="25"/>
      <c r="MTL29" s="25"/>
      <c r="MTM29" s="25"/>
      <c r="MTN29" s="25"/>
      <c r="MTO29" s="25"/>
      <c r="MTP29" s="25"/>
      <c r="MTQ29" s="25"/>
      <c r="MTR29" s="25"/>
      <c r="MTS29" s="25"/>
      <c r="MTT29" s="25"/>
      <c r="MTU29" s="25"/>
      <c r="MTV29" s="25"/>
      <c r="MTW29" s="25"/>
      <c r="MTX29" s="25"/>
      <c r="MTY29" s="25"/>
      <c r="MTZ29" s="25"/>
      <c r="MUA29" s="25"/>
      <c r="MUB29" s="25"/>
      <c r="MUC29" s="25"/>
      <c r="MUD29" s="25"/>
      <c r="MUE29" s="25"/>
      <c r="MUF29" s="25"/>
      <c r="MUG29" s="25"/>
      <c r="MUH29" s="25"/>
      <c r="MUI29" s="25"/>
      <c r="MUJ29" s="25"/>
      <c r="MUK29" s="25"/>
      <c r="MUL29" s="25"/>
      <c r="MUM29" s="25"/>
      <c r="MUN29" s="25"/>
      <c r="MUO29" s="25"/>
      <c r="MUP29" s="25"/>
      <c r="MUQ29" s="25"/>
      <c r="MUR29" s="25"/>
      <c r="MUS29" s="25"/>
      <c r="MUT29" s="25"/>
      <c r="MUU29" s="25"/>
      <c r="MUV29" s="25"/>
      <c r="MUW29" s="25"/>
      <c r="MUX29" s="25"/>
      <c r="MUY29" s="25"/>
      <c r="MUZ29" s="25"/>
      <c r="MVA29" s="25"/>
      <c r="MVB29" s="25"/>
      <c r="MVC29" s="25"/>
      <c r="MVD29" s="25"/>
      <c r="MVE29" s="25"/>
      <c r="MVF29" s="25"/>
      <c r="MVG29" s="25"/>
      <c r="MVH29" s="25"/>
      <c r="MVI29" s="25"/>
      <c r="MVJ29" s="25"/>
      <c r="MVK29" s="25"/>
      <c r="MVL29" s="25"/>
      <c r="MVM29" s="25"/>
      <c r="MVN29" s="25"/>
      <c r="MVO29" s="25"/>
      <c r="MVP29" s="25"/>
      <c r="MVQ29" s="25"/>
      <c r="MVR29" s="25"/>
      <c r="MVS29" s="25"/>
      <c r="MVT29" s="25"/>
      <c r="MVU29" s="25"/>
      <c r="MVV29" s="25"/>
      <c r="MVW29" s="25"/>
      <c r="MVX29" s="25"/>
      <c r="MVY29" s="25"/>
      <c r="MVZ29" s="25"/>
      <c r="MWA29" s="25"/>
      <c r="MWB29" s="25"/>
      <c r="MWC29" s="25"/>
      <c r="MWD29" s="25"/>
      <c r="MWE29" s="25"/>
      <c r="MWF29" s="25"/>
      <c r="MWG29" s="25"/>
      <c r="MWH29" s="25"/>
      <c r="MWI29" s="25"/>
      <c r="MWJ29" s="25"/>
      <c r="MWK29" s="25"/>
      <c r="MWL29" s="25"/>
      <c r="MWM29" s="25"/>
      <c r="MWN29" s="25"/>
      <c r="MWO29" s="25"/>
      <c r="MWP29" s="25"/>
      <c r="MWQ29" s="25"/>
      <c r="MWR29" s="25"/>
      <c r="MWS29" s="25"/>
      <c r="MWT29" s="25"/>
      <c r="MWU29" s="25"/>
      <c r="MWV29" s="25"/>
      <c r="MWW29" s="25"/>
      <c r="MWX29" s="25"/>
      <c r="MWY29" s="25"/>
      <c r="MWZ29" s="25"/>
      <c r="MXA29" s="25"/>
      <c r="MXB29" s="25"/>
      <c r="MXC29" s="25"/>
      <c r="MXD29" s="25"/>
      <c r="MXE29" s="25"/>
      <c r="MXF29" s="25"/>
      <c r="MXG29" s="25"/>
      <c r="MXH29" s="25"/>
      <c r="MXI29" s="25"/>
      <c r="MXJ29" s="25"/>
      <c r="MXK29" s="25"/>
      <c r="MXL29" s="25"/>
      <c r="MXM29" s="25"/>
      <c r="MXN29" s="25"/>
      <c r="MXO29" s="25"/>
      <c r="MXP29" s="25"/>
      <c r="MXQ29" s="25"/>
      <c r="MXR29" s="25"/>
      <c r="MXS29" s="25"/>
      <c r="MXT29" s="25"/>
      <c r="MXU29" s="25"/>
      <c r="MXV29" s="25"/>
      <c r="MXW29" s="25"/>
      <c r="MXX29" s="25"/>
      <c r="MXY29" s="25"/>
      <c r="MXZ29" s="25"/>
      <c r="MYA29" s="25"/>
      <c r="MYB29" s="25"/>
      <c r="MYC29" s="25"/>
      <c r="MYD29" s="25"/>
      <c r="MYE29" s="25"/>
      <c r="MYF29" s="25"/>
      <c r="MYG29" s="25"/>
      <c r="MYH29" s="25"/>
      <c r="MYI29" s="25"/>
      <c r="MYJ29" s="25"/>
      <c r="MYK29" s="25"/>
      <c r="MYL29" s="25"/>
      <c r="MYM29" s="25"/>
      <c r="MYN29" s="25"/>
      <c r="MYO29" s="25"/>
      <c r="MYP29" s="25"/>
      <c r="MYQ29" s="25"/>
      <c r="MYR29" s="25"/>
      <c r="MYS29" s="25"/>
      <c r="MYT29" s="25"/>
      <c r="MYU29" s="25"/>
      <c r="MYV29" s="25"/>
      <c r="MYW29" s="25"/>
      <c r="MYX29" s="25"/>
      <c r="MYY29" s="25"/>
      <c r="MYZ29" s="25"/>
      <c r="MZA29" s="25"/>
      <c r="MZB29" s="25"/>
      <c r="MZC29" s="25"/>
      <c r="MZD29" s="25"/>
      <c r="MZE29" s="25"/>
      <c r="MZF29" s="25"/>
      <c r="MZG29" s="25"/>
      <c r="MZH29" s="25"/>
      <c r="MZI29" s="25"/>
      <c r="MZJ29" s="25"/>
      <c r="MZK29" s="25"/>
      <c r="MZL29" s="25"/>
      <c r="MZM29" s="25"/>
      <c r="MZN29" s="25"/>
      <c r="MZO29" s="25"/>
      <c r="MZP29" s="25"/>
      <c r="MZQ29" s="25"/>
      <c r="MZR29" s="25"/>
      <c r="MZS29" s="25"/>
      <c r="MZT29" s="25"/>
      <c r="MZU29" s="25"/>
      <c r="MZV29" s="25"/>
      <c r="MZW29" s="25"/>
      <c r="MZX29" s="25"/>
      <c r="MZY29" s="25"/>
      <c r="MZZ29" s="25"/>
      <c r="NAA29" s="25"/>
      <c r="NAB29" s="25"/>
      <c r="NAC29" s="25"/>
      <c r="NAD29" s="25"/>
      <c r="NAE29" s="25"/>
      <c r="NAF29" s="25"/>
      <c r="NAG29" s="25"/>
      <c r="NAH29" s="25"/>
      <c r="NAI29" s="25"/>
      <c r="NAJ29" s="25"/>
      <c r="NAK29" s="25"/>
      <c r="NAL29" s="25"/>
      <c r="NAM29" s="25"/>
      <c r="NAN29" s="25"/>
      <c r="NAO29" s="25"/>
      <c r="NAP29" s="25"/>
      <c r="NAQ29" s="25"/>
      <c r="NAR29" s="25"/>
      <c r="NAS29" s="25"/>
      <c r="NAT29" s="25"/>
      <c r="NAU29" s="25"/>
      <c r="NAV29" s="25"/>
      <c r="NAW29" s="25"/>
      <c r="NAX29" s="25"/>
      <c r="NAY29" s="25"/>
      <c r="NAZ29" s="25"/>
      <c r="NBA29" s="25"/>
      <c r="NBB29" s="25"/>
      <c r="NBC29" s="25"/>
      <c r="NBD29" s="25"/>
      <c r="NBE29" s="25"/>
      <c r="NBF29" s="25"/>
      <c r="NBG29" s="25"/>
      <c r="NBH29" s="25"/>
      <c r="NBI29" s="25"/>
      <c r="NBJ29" s="25"/>
      <c r="NBK29" s="25"/>
      <c r="NBL29" s="25"/>
      <c r="NBM29" s="25"/>
      <c r="NBN29" s="25"/>
      <c r="NBO29" s="25"/>
      <c r="NBP29" s="25"/>
      <c r="NBQ29" s="25"/>
      <c r="NBR29" s="25"/>
      <c r="NBS29" s="25"/>
      <c r="NBT29" s="25"/>
      <c r="NBU29" s="25"/>
      <c r="NBV29" s="25"/>
      <c r="NBW29" s="25"/>
      <c r="NBX29" s="25"/>
      <c r="NBY29" s="25"/>
      <c r="NBZ29" s="25"/>
      <c r="NCA29" s="25"/>
      <c r="NCB29" s="25"/>
      <c r="NCC29" s="25"/>
      <c r="NCD29" s="25"/>
      <c r="NCE29" s="25"/>
      <c r="NCF29" s="25"/>
      <c r="NCG29" s="25"/>
      <c r="NCH29" s="25"/>
      <c r="NCI29" s="25"/>
      <c r="NCJ29" s="25"/>
      <c r="NCK29" s="25"/>
      <c r="NCL29" s="25"/>
      <c r="NCM29" s="25"/>
      <c r="NCN29" s="25"/>
      <c r="NCO29" s="25"/>
      <c r="NCP29" s="25"/>
      <c r="NCQ29" s="25"/>
      <c r="NCR29" s="25"/>
      <c r="NCS29" s="25"/>
      <c r="NCT29" s="25"/>
      <c r="NCU29" s="25"/>
      <c r="NCV29" s="25"/>
      <c r="NCW29" s="25"/>
      <c r="NCX29" s="25"/>
      <c r="NCY29" s="25"/>
      <c r="NCZ29" s="25"/>
      <c r="NDA29" s="25"/>
      <c r="NDB29" s="25"/>
      <c r="NDC29" s="25"/>
      <c r="NDD29" s="25"/>
      <c r="NDE29" s="25"/>
      <c r="NDF29" s="25"/>
      <c r="NDG29" s="25"/>
      <c r="NDH29" s="25"/>
      <c r="NDI29" s="25"/>
      <c r="NDJ29" s="25"/>
      <c r="NDK29" s="25"/>
      <c r="NDL29" s="25"/>
      <c r="NDM29" s="25"/>
      <c r="NDN29" s="25"/>
      <c r="NDO29" s="25"/>
      <c r="NDP29" s="25"/>
      <c r="NDQ29" s="25"/>
      <c r="NDR29" s="25"/>
      <c r="NDS29" s="25"/>
      <c r="NDT29" s="25"/>
      <c r="NDU29" s="25"/>
      <c r="NDV29" s="25"/>
      <c r="NDW29" s="25"/>
      <c r="NDX29" s="25"/>
      <c r="NDY29" s="25"/>
      <c r="NDZ29" s="25"/>
      <c r="NEA29" s="25"/>
      <c r="NEB29" s="25"/>
      <c r="NEC29" s="25"/>
      <c r="NED29" s="25"/>
      <c r="NEE29" s="25"/>
      <c r="NEF29" s="25"/>
      <c r="NEG29" s="25"/>
      <c r="NEH29" s="25"/>
      <c r="NEI29" s="25"/>
      <c r="NEJ29" s="25"/>
      <c r="NEK29" s="25"/>
      <c r="NEL29" s="25"/>
      <c r="NEM29" s="25"/>
      <c r="NEN29" s="25"/>
      <c r="NEO29" s="25"/>
      <c r="NEP29" s="25"/>
      <c r="NEQ29" s="25"/>
      <c r="NER29" s="25"/>
      <c r="NES29" s="25"/>
      <c r="NET29" s="25"/>
      <c r="NEU29" s="25"/>
      <c r="NEV29" s="25"/>
      <c r="NEW29" s="25"/>
      <c r="NEX29" s="25"/>
      <c r="NEY29" s="25"/>
      <c r="NEZ29" s="25"/>
      <c r="NFA29" s="25"/>
      <c r="NFB29" s="25"/>
      <c r="NFC29" s="25"/>
      <c r="NFD29" s="25"/>
      <c r="NFE29" s="25"/>
      <c r="NFF29" s="25"/>
      <c r="NFG29" s="25"/>
      <c r="NFH29" s="25"/>
      <c r="NFI29" s="25"/>
      <c r="NFJ29" s="25"/>
      <c r="NFK29" s="25"/>
      <c r="NFL29" s="25"/>
      <c r="NFM29" s="25"/>
      <c r="NFN29" s="25"/>
      <c r="NFO29" s="25"/>
      <c r="NFP29" s="25"/>
      <c r="NFQ29" s="25"/>
      <c r="NFR29" s="25"/>
      <c r="NFS29" s="25"/>
      <c r="NFT29" s="25"/>
      <c r="NFU29" s="25"/>
      <c r="NFV29" s="25"/>
      <c r="NFW29" s="25"/>
      <c r="NFX29" s="25"/>
      <c r="NFY29" s="25"/>
      <c r="NFZ29" s="25"/>
      <c r="NGA29" s="25"/>
      <c r="NGB29" s="25"/>
      <c r="NGC29" s="25"/>
      <c r="NGD29" s="25"/>
      <c r="NGE29" s="25"/>
      <c r="NGF29" s="25"/>
      <c r="NGG29" s="25"/>
      <c r="NGH29" s="25"/>
      <c r="NGI29" s="25"/>
      <c r="NGJ29" s="25"/>
      <c r="NGK29" s="25"/>
      <c r="NGL29" s="25"/>
      <c r="NGM29" s="25"/>
      <c r="NGN29" s="25"/>
      <c r="NGO29" s="25"/>
      <c r="NGP29" s="25"/>
      <c r="NGQ29" s="25"/>
      <c r="NGR29" s="25"/>
      <c r="NGS29" s="25"/>
      <c r="NGT29" s="25"/>
      <c r="NGU29" s="25"/>
      <c r="NGV29" s="25"/>
      <c r="NGW29" s="25"/>
      <c r="NGX29" s="25"/>
      <c r="NGY29" s="25"/>
      <c r="NGZ29" s="25"/>
      <c r="NHA29" s="25"/>
      <c r="NHB29" s="25"/>
      <c r="NHC29" s="25"/>
      <c r="NHD29" s="25"/>
      <c r="NHE29" s="25"/>
      <c r="NHF29" s="25"/>
      <c r="NHG29" s="25"/>
      <c r="NHH29" s="25"/>
      <c r="NHI29" s="25"/>
      <c r="NHJ29" s="25"/>
      <c r="NHK29" s="25"/>
      <c r="NHL29" s="25"/>
      <c r="NHM29" s="25"/>
      <c r="NHN29" s="25"/>
      <c r="NHO29" s="25"/>
      <c r="NHP29" s="25"/>
      <c r="NHQ29" s="25"/>
      <c r="NHR29" s="25"/>
      <c r="NHS29" s="25"/>
      <c r="NHT29" s="25"/>
      <c r="NHU29" s="25"/>
      <c r="NHV29" s="25"/>
      <c r="NHW29" s="25"/>
      <c r="NHX29" s="25"/>
      <c r="NHY29" s="25"/>
      <c r="NHZ29" s="25"/>
      <c r="NIA29" s="25"/>
      <c r="NIB29" s="25"/>
      <c r="NIC29" s="25"/>
      <c r="NID29" s="25"/>
      <c r="NIE29" s="25"/>
      <c r="NIF29" s="25"/>
      <c r="NIG29" s="25"/>
      <c r="NIH29" s="25"/>
      <c r="NII29" s="25"/>
      <c r="NIJ29" s="25"/>
      <c r="NIK29" s="25"/>
      <c r="NIL29" s="25"/>
      <c r="NIM29" s="25"/>
      <c r="NIN29" s="25"/>
      <c r="NIO29" s="25"/>
      <c r="NIP29" s="25"/>
      <c r="NIQ29" s="25"/>
      <c r="NIR29" s="25"/>
      <c r="NIS29" s="25"/>
      <c r="NIT29" s="25"/>
      <c r="NIU29" s="25"/>
      <c r="NIV29" s="25"/>
      <c r="NIW29" s="25"/>
      <c r="NIX29" s="25"/>
      <c r="NIY29" s="25"/>
      <c r="NIZ29" s="25"/>
      <c r="NJA29" s="25"/>
      <c r="NJB29" s="25"/>
      <c r="NJC29" s="25"/>
      <c r="NJD29" s="25"/>
      <c r="NJE29" s="25"/>
      <c r="NJF29" s="25"/>
      <c r="NJG29" s="25"/>
      <c r="NJH29" s="25"/>
      <c r="NJI29" s="25"/>
      <c r="NJJ29" s="25"/>
      <c r="NJK29" s="25"/>
      <c r="NJL29" s="25"/>
      <c r="NJM29" s="25"/>
      <c r="NJN29" s="25"/>
      <c r="NJO29" s="25"/>
      <c r="NJP29" s="25"/>
      <c r="NJQ29" s="25"/>
      <c r="NJR29" s="25"/>
      <c r="NJS29" s="25"/>
      <c r="NJT29" s="25"/>
      <c r="NJU29" s="25"/>
      <c r="NJV29" s="25"/>
      <c r="NJW29" s="25"/>
      <c r="NJX29" s="25"/>
      <c r="NJY29" s="25"/>
      <c r="NJZ29" s="25"/>
      <c r="NKA29" s="25"/>
      <c r="NKB29" s="25"/>
      <c r="NKC29" s="25"/>
      <c r="NKD29" s="25"/>
      <c r="NKE29" s="25"/>
      <c r="NKF29" s="25"/>
      <c r="NKG29" s="25"/>
      <c r="NKH29" s="25"/>
      <c r="NKI29" s="25"/>
      <c r="NKJ29" s="25"/>
      <c r="NKK29" s="25"/>
      <c r="NKL29" s="25"/>
      <c r="NKM29" s="25"/>
      <c r="NKN29" s="25"/>
      <c r="NKO29" s="25"/>
      <c r="NKP29" s="25"/>
      <c r="NKQ29" s="25"/>
      <c r="NKR29" s="25"/>
      <c r="NKS29" s="25"/>
      <c r="NKT29" s="25"/>
      <c r="NKU29" s="25"/>
      <c r="NKV29" s="25"/>
      <c r="NKW29" s="25"/>
      <c r="NKX29" s="25"/>
      <c r="NKY29" s="25"/>
      <c r="NKZ29" s="25"/>
      <c r="NLA29" s="25"/>
      <c r="NLB29" s="25"/>
      <c r="NLC29" s="25"/>
      <c r="NLD29" s="25"/>
      <c r="NLE29" s="25"/>
      <c r="NLF29" s="25"/>
      <c r="NLG29" s="25"/>
      <c r="NLH29" s="25"/>
      <c r="NLI29" s="25"/>
      <c r="NLJ29" s="25"/>
      <c r="NLK29" s="25"/>
      <c r="NLL29" s="25"/>
      <c r="NLM29" s="25"/>
      <c r="NLN29" s="25"/>
      <c r="NLO29" s="25"/>
      <c r="NLP29" s="25"/>
      <c r="NLQ29" s="25"/>
      <c r="NLR29" s="25"/>
      <c r="NLS29" s="25"/>
      <c r="NLT29" s="25"/>
      <c r="NLU29" s="25"/>
      <c r="NLV29" s="25"/>
      <c r="NLW29" s="25"/>
      <c r="NLX29" s="25"/>
      <c r="NLY29" s="25"/>
      <c r="NLZ29" s="25"/>
      <c r="NMA29" s="25"/>
      <c r="NMB29" s="25"/>
      <c r="NMC29" s="25"/>
      <c r="NMD29" s="25"/>
      <c r="NME29" s="25"/>
      <c r="NMF29" s="25"/>
      <c r="NMG29" s="25"/>
      <c r="NMH29" s="25"/>
      <c r="NMI29" s="25"/>
      <c r="NMJ29" s="25"/>
      <c r="NMK29" s="25"/>
      <c r="NML29" s="25"/>
      <c r="NMM29" s="25"/>
      <c r="NMN29" s="25"/>
      <c r="NMO29" s="25"/>
      <c r="NMP29" s="25"/>
      <c r="NMQ29" s="25"/>
      <c r="NMR29" s="25"/>
      <c r="NMS29" s="25"/>
      <c r="NMT29" s="25"/>
      <c r="NMU29" s="25"/>
      <c r="NMV29" s="25"/>
      <c r="NMW29" s="25"/>
      <c r="NMX29" s="25"/>
      <c r="NMY29" s="25"/>
      <c r="NMZ29" s="25"/>
      <c r="NNA29" s="25"/>
      <c r="NNB29" s="25"/>
      <c r="NNC29" s="25"/>
      <c r="NND29" s="25"/>
      <c r="NNE29" s="25"/>
      <c r="NNF29" s="25"/>
      <c r="NNG29" s="25"/>
      <c r="NNH29" s="25"/>
      <c r="NNI29" s="25"/>
      <c r="NNJ29" s="25"/>
      <c r="NNK29" s="25"/>
      <c r="NNL29" s="25"/>
      <c r="NNM29" s="25"/>
      <c r="NNN29" s="25"/>
      <c r="NNO29" s="25"/>
      <c r="NNP29" s="25"/>
      <c r="NNQ29" s="25"/>
      <c r="NNR29" s="25"/>
      <c r="NNS29" s="25"/>
      <c r="NNT29" s="25"/>
      <c r="NNU29" s="25"/>
      <c r="NNV29" s="25"/>
      <c r="NNW29" s="25"/>
      <c r="NNX29" s="25"/>
      <c r="NNY29" s="25"/>
      <c r="NNZ29" s="25"/>
      <c r="NOA29" s="25"/>
      <c r="NOB29" s="25"/>
      <c r="NOC29" s="25"/>
      <c r="NOD29" s="25"/>
      <c r="NOE29" s="25"/>
      <c r="NOF29" s="25"/>
      <c r="NOG29" s="25"/>
      <c r="NOH29" s="25"/>
      <c r="NOI29" s="25"/>
      <c r="NOJ29" s="25"/>
      <c r="NOK29" s="25"/>
      <c r="NOL29" s="25"/>
      <c r="NOM29" s="25"/>
      <c r="NON29" s="25"/>
      <c r="NOO29" s="25"/>
      <c r="NOP29" s="25"/>
      <c r="NOQ29" s="25"/>
      <c r="NOR29" s="25"/>
      <c r="NOS29" s="25"/>
      <c r="NOT29" s="25"/>
      <c r="NOU29" s="25"/>
      <c r="NOV29" s="25"/>
      <c r="NOW29" s="25"/>
      <c r="NOX29" s="25"/>
      <c r="NOY29" s="25"/>
      <c r="NOZ29" s="25"/>
      <c r="NPA29" s="25"/>
      <c r="NPB29" s="25"/>
      <c r="NPC29" s="25"/>
      <c r="NPD29" s="25"/>
      <c r="NPE29" s="25"/>
      <c r="NPF29" s="25"/>
      <c r="NPG29" s="25"/>
      <c r="NPH29" s="25"/>
      <c r="NPI29" s="25"/>
      <c r="NPJ29" s="25"/>
      <c r="NPK29" s="25"/>
      <c r="NPL29" s="25"/>
      <c r="NPM29" s="25"/>
      <c r="NPN29" s="25"/>
      <c r="NPO29" s="25"/>
      <c r="NPP29" s="25"/>
      <c r="NPQ29" s="25"/>
      <c r="NPR29" s="25"/>
      <c r="NPS29" s="25"/>
      <c r="NPT29" s="25"/>
      <c r="NPU29" s="25"/>
      <c r="NPV29" s="25"/>
      <c r="NPW29" s="25"/>
      <c r="NPX29" s="25"/>
      <c r="NPY29" s="25"/>
      <c r="NPZ29" s="25"/>
      <c r="NQA29" s="25"/>
      <c r="NQB29" s="25"/>
      <c r="NQC29" s="25"/>
      <c r="NQD29" s="25"/>
      <c r="NQE29" s="25"/>
      <c r="NQF29" s="25"/>
      <c r="NQG29" s="25"/>
      <c r="NQH29" s="25"/>
      <c r="NQI29" s="25"/>
      <c r="NQJ29" s="25"/>
      <c r="NQK29" s="25"/>
      <c r="NQL29" s="25"/>
      <c r="NQM29" s="25"/>
      <c r="NQN29" s="25"/>
      <c r="NQO29" s="25"/>
      <c r="NQP29" s="25"/>
      <c r="NQQ29" s="25"/>
      <c r="NQR29" s="25"/>
      <c r="NQS29" s="25"/>
      <c r="NQT29" s="25"/>
      <c r="NQU29" s="25"/>
      <c r="NQV29" s="25"/>
      <c r="NQW29" s="25"/>
      <c r="NQX29" s="25"/>
      <c r="NQY29" s="25"/>
      <c r="NQZ29" s="25"/>
      <c r="NRA29" s="25"/>
      <c r="NRB29" s="25"/>
      <c r="NRC29" s="25"/>
      <c r="NRD29" s="25"/>
      <c r="NRE29" s="25"/>
      <c r="NRF29" s="25"/>
      <c r="NRG29" s="25"/>
      <c r="NRH29" s="25"/>
      <c r="NRI29" s="25"/>
      <c r="NRJ29" s="25"/>
      <c r="NRK29" s="25"/>
      <c r="NRL29" s="25"/>
      <c r="NRM29" s="25"/>
      <c r="NRN29" s="25"/>
      <c r="NRO29" s="25"/>
      <c r="NRP29" s="25"/>
      <c r="NRQ29" s="25"/>
      <c r="NRR29" s="25"/>
      <c r="NRS29" s="25"/>
      <c r="NRT29" s="25"/>
      <c r="NRU29" s="25"/>
      <c r="NRV29" s="25"/>
      <c r="NRW29" s="25"/>
      <c r="NRX29" s="25"/>
      <c r="NRY29" s="25"/>
      <c r="NRZ29" s="25"/>
      <c r="NSA29" s="25"/>
      <c r="NSB29" s="25"/>
      <c r="NSC29" s="25"/>
      <c r="NSD29" s="25"/>
      <c r="NSE29" s="25"/>
      <c r="NSF29" s="25"/>
      <c r="NSG29" s="25"/>
      <c r="NSH29" s="25"/>
      <c r="NSI29" s="25"/>
      <c r="NSJ29" s="25"/>
      <c r="NSK29" s="25"/>
      <c r="NSL29" s="25"/>
      <c r="NSM29" s="25"/>
      <c r="NSN29" s="25"/>
      <c r="NSO29" s="25"/>
      <c r="NSP29" s="25"/>
      <c r="NSQ29" s="25"/>
      <c r="NSR29" s="25"/>
      <c r="NSS29" s="25"/>
      <c r="NST29" s="25"/>
      <c r="NSU29" s="25"/>
      <c r="NSV29" s="25"/>
      <c r="NSW29" s="25"/>
      <c r="NSX29" s="25"/>
      <c r="NSY29" s="25"/>
      <c r="NSZ29" s="25"/>
      <c r="NTA29" s="25"/>
      <c r="NTB29" s="25"/>
      <c r="NTC29" s="25"/>
      <c r="NTD29" s="25"/>
      <c r="NTE29" s="25"/>
      <c r="NTF29" s="25"/>
      <c r="NTG29" s="25"/>
      <c r="NTH29" s="25"/>
      <c r="NTI29" s="25"/>
      <c r="NTJ29" s="25"/>
      <c r="NTK29" s="25"/>
      <c r="NTL29" s="25"/>
      <c r="NTM29" s="25"/>
      <c r="NTN29" s="25"/>
      <c r="NTO29" s="25"/>
      <c r="NTP29" s="25"/>
      <c r="NTQ29" s="25"/>
      <c r="NTR29" s="25"/>
      <c r="NTS29" s="25"/>
      <c r="NTT29" s="25"/>
      <c r="NTU29" s="25"/>
      <c r="NTV29" s="25"/>
      <c r="NTW29" s="25"/>
      <c r="NTX29" s="25"/>
      <c r="NTY29" s="25"/>
      <c r="NTZ29" s="25"/>
      <c r="NUA29" s="25"/>
      <c r="NUB29" s="25"/>
      <c r="NUC29" s="25"/>
      <c r="NUD29" s="25"/>
      <c r="NUE29" s="25"/>
      <c r="NUF29" s="25"/>
      <c r="NUG29" s="25"/>
      <c r="NUH29" s="25"/>
      <c r="NUI29" s="25"/>
      <c r="NUJ29" s="25"/>
      <c r="NUK29" s="25"/>
      <c r="NUL29" s="25"/>
      <c r="NUM29" s="25"/>
      <c r="NUN29" s="25"/>
      <c r="NUO29" s="25"/>
      <c r="NUP29" s="25"/>
      <c r="NUQ29" s="25"/>
      <c r="NUR29" s="25"/>
      <c r="NUS29" s="25"/>
      <c r="NUT29" s="25"/>
      <c r="NUU29" s="25"/>
      <c r="NUV29" s="25"/>
      <c r="NUW29" s="25"/>
      <c r="NUX29" s="25"/>
      <c r="NUY29" s="25"/>
      <c r="NUZ29" s="25"/>
      <c r="NVA29" s="25"/>
      <c r="NVB29" s="25"/>
      <c r="NVC29" s="25"/>
      <c r="NVD29" s="25"/>
      <c r="NVE29" s="25"/>
      <c r="NVF29" s="25"/>
      <c r="NVG29" s="25"/>
      <c r="NVH29" s="25"/>
      <c r="NVI29" s="25"/>
      <c r="NVJ29" s="25"/>
      <c r="NVK29" s="25"/>
      <c r="NVL29" s="25"/>
      <c r="NVM29" s="25"/>
      <c r="NVN29" s="25"/>
      <c r="NVO29" s="25"/>
      <c r="NVP29" s="25"/>
      <c r="NVQ29" s="25"/>
      <c r="NVR29" s="25"/>
      <c r="NVS29" s="25"/>
      <c r="NVT29" s="25"/>
      <c r="NVU29" s="25"/>
      <c r="NVV29" s="25"/>
      <c r="NVW29" s="25"/>
      <c r="NVX29" s="25"/>
      <c r="NVY29" s="25"/>
      <c r="NVZ29" s="25"/>
      <c r="NWA29" s="25"/>
      <c r="NWB29" s="25"/>
      <c r="NWC29" s="25"/>
      <c r="NWD29" s="25"/>
      <c r="NWE29" s="25"/>
      <c r="NWF29" s="25"/>
      <c r="NWG29" s="25"/>
      <c r="NWH29" s="25"/>
      <c r="NWI29" s="25"/>
      <c r="NWJ29" s="25"/>
      <c r="NWK29" s="25"/>
      <c r="NWL29" s="25"/>
      <c r="NWM29" s="25"/>
      <c r="NWN29" s="25"/>
      <c r="NWO29" s="25"/>
      <c r="NWP29" s="25"/>
      <c r="NWQ29" s="25"/>
      <c r="NWR29" s="25"/>
      <c r="NWS29" s="25"/>
      <c r="NWT29" s="25"/>
      <c r="NWU29" s="25"/>
      <c r="NWV29" s="25"/>
      <c r="NWW29" s="25"/>
      <c r="NWX29" s="25"/>
      <c r="NWY29" s="25"/>
      <c r="NWZ29" s="25"/>
      <c r="NXA29" s="25"/>
      <c r="NXB29" s="25"/>
      <c r="NXC29" s="25"/>
      <c r="NXD29" s="25"/>
      <c r="NXE29" s="25"/>
      <c r="NXF29" s="25"/>
      <c r="NXG29" s="25"/>
      <c r="NXH29" s="25"/>
      <c r="NXI29" s="25"/>
      <c r="NXJ29" s="25"/>
      <c r="NXK29" s="25"/>
      <c r="NXL29" s="25"/>
      <c r="NXM29" s="25"/>
      <c r="NXN29" s="25"/>
      <c r="NXO29" s="25"/>
      <c r="NXP29" s="25"/>
      <c r="NXQ29" s="25"/>
      <c r="NXR29" s="25"/>
      <c r="NXS29" s="25"/>
      <c r="NXT29" s="25"/>
      <c r="NXU29" s="25"/>
      <c r="NXV29" s="25"/>
      <c r="NXW29" s="25"/>
      <c r="NXX29" s="25"/>
      <c r="NXY29" s="25"/>
      <c r="NXZ29" s="25"/>
      <c r="NYA29" s="25"/>
      <c r="NYB29" s="25"/>
      <c r="NYC29" s="25"/>
      <c r="NYD29" s="25"/>
      <c r="NYE29" s="25"/>
      <c r="NYF29" s="25"/>
      <c r="NYG29" s="25"/>
      <c r="NYH29" s="25"/>
      <c r="NYI29" s="25"/>
      <c r="NYJ29" s="25"/>
      <c r="NYK29" s="25"/>
      <c r="NYL29" s="25"/>
      <c r="NYM29" s="25"/>
      <c r="NYN29" s="25"/>
      <c r="NYO29" s="25"/>
      <c r="NYP29" s="25"/>
      <c r="NYQ29" s="25"/>
      <c r="NYR29" s="25"/>
      <c r="NYS29" s="25"/>
      <c r="NYT29" s="25"/>
      <c r="NYU29" s="25"/>
      <c r="NYV29" s="25"/>
      <c r="NYW29" s="25"/>
      <c r="NYX29" s="25"/>
      <c r="NYY29" s="25"/>
      <c r="NYZ29" s="25"/>
      <c r="NZA29" s="25"/>
      <c r="NZB29" s="25"/>
      <c r="NZC29" s="25"/>
      <c r="NZD29" s="25"/>
      <c r="NZE29" s="25"/>
      <c r="NZF29" s="25"/>
      <c r="NZG29" s="25"/>
      <c r="NZH29" s="25"/>
      <c r="NZI29" s="25"/>
      <c r="NZJ29" s="25"/>
      <c r="NZK29" s="25"/>
      <c r="NZL29" s="25"/>
      <c r="NZM29" s="25"/>
      <c r="NZN29" s="25"/>
      <c r="NZO29" s="25"/>
      <c r="NZP29" s="25"/>
      <c r="NZQ29" s="25"/>
      <c r="NZR29" s="25"/>
      <c r="NZS29" s="25"/>
      <c r="NZT29" s="25"/>
      <c r="NZU29" s="25"/>
      <c r="NZV29" s="25"/>
      <c r="NZW29" s="25"/>
      <c r="NZX29" s="25"/>
      <c r="NZY29" s="25"/>
      <c r="NZZ29" s="25"/>
      <c r="OAA29" s="25"/>
      <c r="OAB29" s="25"/>
      <c r="OAC29" s="25"/>
      <c r="OAD29" s="25"/>
      <c r="OAE29" s="25"/>
      <c r="OAF29" s="25"/>
      <c r="OAG29" s="25"/>
      <c r="OAH29" s="25"/>
      <c r="OAI29" s="25"/>
      <c r="OAJ29" s="25"/>
      <c r="OAK29" s="25"/>
      <c r="OAL29" s="25"/>
      <c r="OAM29" s="25"/>
      <c r="OAN29" s="25"/>
      <c r="OAO29" s="25"/>
      <c r="OAP29" s="25"/>
      <c r="OAQ29" s="25"/>
      <c r="OAR29" s="25"/>
      <c r="OAS29" s="25"/>
      <c r="OAT29" s="25"/>
      <c r="OAU29" s="25"/>
      <c r="OAV29" s="25"/>
      <c r="OAW29" s="25"/>
      <c r="OAX29" s="25"/>
      <c r="OAY29" s="25"/>
      <c r="OAZ29" s="25"/>
      <c r="OBA29" s="25"/>
      <c r="OBB29" s="25"/>
      <c r="OBC29" s="25"/>
      <c r="OBD29" s="25"/>
      <c r="OBE29" s="25"/>
      <c r="OBF29" s="25"/>
      <c r="OBG29" s="25"/>
      <c r="OBH29" s="25"/>
      <c r="OBI29" s="25"/>
      <c r="OBJ29" s="25"/>
      <c r="OBK29" s="25"/>
      <c r="OBL29" s="25"/>
      <c r="OBM29" s="25"/>
      <c r="OBN29" s="25"/>
      <c r="OBO29" s="25"/>
      <c r="OBP29" s="25"/>
      <c r="OBQ29" s="25"/>
      <c r="OBR29" s="25"/>
      <c r="OBS29" s="25"/>
      <c r="OBT29" s="25"/>
      <c r="OBU29" s="25"/>
      <c r="OBV29" s="25"/>
      <c r="OBW29" s="25"/>
      <c r="OBX29" s="25"/>
      <c r="OBY29" s="25"/>
      <c r="OBZ29" s="25"/>
      <c r="OCA29" s="25"/>
      <c r="OCB29" s="25"/>
      <c r="OCC29" s="25"/>
      <c r="OCD29" s="25"/>
      <c r="OCE29" s="25"/>
      <c r="OCF29" s="25"/>
      <c r="OCG29" s="25"/>
      <c r="OCH29" s="25"/>
      <c r="OCI29" s="25"/>
      <c r="OCJ29" s="25"/>
      <c r="OCK29" s="25"/>
      <c r="OCL29" s="25"/>
      <c r="OCM29" s="25"/>
      <c r="OCN29" s="25"/>
      <c r="OCO29" s="25"/>
      <c r="OCP29" s="25"/>
      <c r="OCQ29" s="25"/>
      <c r="OCR29" s="25"/>
      <c r="OCS29" s="25"/>
      <c r="OCT29" s="25"/>
      <c r="OCU29" s="25"/>
      <c r="OCV29" s="25"/>
      <c r="OCW29" s="25"/>
      <c r="OCX29" s="25"/>
      <c r="OCY29" s="25"/>
      <c r="OCZ29" s="25"/>
      <c r="ODA29" s="25"/>
      <c r="ODB29" s="25"/>
      <c r="ODC29" s="25"/>
      <c r="ODD29" s="25"/>
      <c r="ODE29" s="25"/>
      <c r="ODF29" s="25"/>
      <c r="ODG29" s="25"/>
      <c r="ODH29" s="25"/>
      <c r="ODI29" s="25"/>
      <c r="ODJ29" s="25"/>
      <c r="ODK29" s="25"/>
      <c r="ODL29" s="25"/>
      <c r="ODM29" s="25"/>
      <c r="ODN29" s="25"/>
      <c r="ODO29" s="25"/>
      <c r="ODP29" s="25"/>
      <c r="ODQ29" s="25"/>
      <c r="ODR29" s="25"/>
      <c r="ODS29" s="25"/>
      <c r="ODT29" s="25"/>
      <c r="ODU29" s="25"/>
      <c r="ODV29" s="25"/>
      <c r="ODW29" s="25"/>
      <c r="ODX29" s="25"/>
      <c r="ODY29" s="25"/>
      <c r="ODZ29" s="25"/>
      <c r="OEA29" s="25"/>
      <c r="OEB29" s="25"/>
      <c r="OEC29" s="25"/>
      <c r="OED29" s="25"/>
      <c r="OEE29" s="25"/>
      <c r="OEF29" s="25"/>
      <c r="OEG29" s="25"/>
      <c r="OEH29" s="25"/>
      <c r="OEI29" s="25"/>
      <c r="OEJ29" s="25"/>
      <c r="OEK29" s="25"/>
      <c r="OEL29" s="25"/>
      <c r="OEM29" s="25"/>
      <c r="OEN29" s="25"/>
      <c r="OEO29" s="25"/>
      <c r="OEP29" s="25"/>
      <c r="OEQ29" s="25"/>
      <c r="OER29" s="25"/>
      <c r="OES29" s="25"/>
      <c r="OET29" s="25"/>
      <c r="OEU29" s="25"/>
      <c r="OEV29" s="25"/>
      <c r="OEW29" s="25"/>
      <c r="OEX29" s="25"/>
      <c r="OEY29" s="25"/>
      <c r="OEZ29" s="25"/>
      <c r="OFA29" s="25"/>
      <c r="OFB29" s="25"/>
      <c r="OFC29" s="25"/>
      <c r="OFD29" s="25"/>
      <c r="OFE29" s="25"/>
      <c r="OFF29" s="25"/>
      <c r="OFG29" s="25"/>
      <c r="OFH29" s="25"/>
      <c r="OFI29" s="25"/>
      <c r="OFJ29" s="25"/>
      <c r="OFK29" s="25"/>
      <c r="OFL29" s="25"/>
      <c r="OFM29" s="25"/>
      <c r="OFN29" s="25"/>
      <c r="OFO29" s="25"/>
      <c r="OFP29" s="25"/>
      <c r="OFQ29" s="25"/>
      <c r="OFR29" s="25"/>
      <c r="OFS29" s="25"/>
      <c r="OFT29" s="25"/>
      <c r="OFU29" s="25"/>
      <c r="OFV29" s="25"/>
      <c r="OFW29" s="25"/>
      <c r="OFX29" s="25"/>
      <c r="OFY29" s="25"/>
      <c r="OFZ29" s="25"/>
      <c r="OGA29" s="25"/>
      <c r="OGB29" s="25"/>
      <c r="OGC29" s="25"/>
      <c r="OGD29" s="25"/>
      <c r="OGE29" s="25"/>
      <c r="OGF29" s="25"/>
      <c r="OGG29" s="25"/>
      <c r="OGH29" s="25"/>
      <c r="OGI29" s="25"/>
      <c r="OGJ29" s="25"/>
      <c r="OGK29" s="25"/>
      <c r="OGL29" s="25"/>
      <c r="OGM29" s="25"/>
      <c r="OGN29" s="25"/>
      <c r="OGO29" s="25"/>
      <c r="OGP29" s="25"/>
      <c r="OGQ29" s="25"/>
      <c r="OGR29" s="25"/>
      <c r="OGS29" s="25"/>
      <c r="OGT29" s="25"/>
      <c r="OGU29" s="25"/>
      <c r="OGV29" s="25"/>
      <c r="OGW29" s="25"/>
      <c r="OGX29" s="25"/>
      <c r="OGY29" s="25"/>
      <c r="OGZ29" s="25"/>
      <c r="OHA29" s="25"/>
      <c r="OHB29" s="25"/>
      <c r="OHC29" s="25"/>
      <c r="OHD29" s="25"/>
      <c r="OHE29" s="25"/>
      <c r="OHF29" s="25"/>
      <c r="OHG29" s="25"/>
      <c r="OHH29" s="25"/>
      <c r="OHI29" s="25"/>
      <c r="OHJ29" s="25"/>
      <c r="OHK29" s="25"/>
      <c r="OHL29" s="25"/>
      <c r="OHM29" s="25"/>
      <c r="OHN29" s="25"/>
      <c r="OHO29" s="25"/>
      <c r="OHP29" s="25"/>
      <c r="OHQ29" s="25"/>
      <c r="OHR29" s="25"/>
      <c r="OHS29" s="25"/>
      <c r="OHT29" s="25"/>
      <c r="OHU29" s="25"/>
      <c r="OHV29" s="25"/>
      <c r="OHW29" s="25"/>
      <c r="OHX29" s="25"/>
      <c r="OHY29" s="25"/>
      <c r="OHZ29" s="25"/>
      <c r="OIA29" s="25"/>
      <c r="OIB29" s="25"/>
      <c r="OIC29" s="25"/>
      <c r="OID29" s="25"/>
      <c r="OIE29" s="25"/>
      <c r="OIF29" s="25"/>
      <c r="OIG29" s="25"/>
      <c r="OIH29" s="25"/>
      <c r="OII29" s="25"/>
      <c r="OIJ29" s="25"/>
      <c r="OIK29" s="25"/>
      <c r="OIL29" s="25"/>
      <c r="OIM29" s="25"/>
      <c r="OIN29" s="25"/>
      <c r="OIO29" s="25"/>
      <c r="OIP29" s="25"/>
      <c r="OIQ29" s="25"/>
      <c r="OIR29" s="25"/>
      <c r="OIS29" s="25"/>
      <c r="OIT29" s="25"/>
      <c r="OIU29" s="25"/>
      <c r="OIV29" s="25"/>
      <c r="OIW29" s="25"/>
      <c r="OIX29" s="25"/>
      <c r="OIY29" s="25"/>
      <c r="OIZ29" s="25"/>
      <c r="OJA29" s="25"/>
      <c r="OJB29" s="25"/>
      <c r="OJC29" s="25"/>
      <c r="OJD29" s="25"/>
      <c r="OJE29" s="25"/>
      <c r="OJF29" s="25"/>
      <c r="OJG29" s="25"/>
      <c r="OJH29" s="25"/>
      <c r="OJI29" s="25"/>
      <c r="OJJ29" s="25"/>
      <c r="OJK29" s="25"/>
      <c r="OJL29" s="25"/>
      <c r="OJM29" s="25"/>
      <c r="OJN29" s="25"/>
      <c r="OJO29" s="25"/>
      <c r="OJP29" s="25"/>
      <c r="OJQ29" s="25"/>
      <c r="OJR29" s="25"/>
      <c r="OJS29" s="25"/>
      <c r="OJT29" s="25"/>
      <c r="OJU29" s="25"/>
      <c r="OJV29" s="25"/>
      <c r="OJW29" s="25"/>
      <c r="OJX29" s="25"/>
      <c r="OJY29" s="25"/>
      <c r="OJZ29" s="25"/>
      <c r="OKA29" s="25"/>
      <c r="OKB29" s="25"/>
      <c r="OKC29" s="25"/>
      <c r="OKD29" s="25"/>
      <c r="OKE29" s="25"/>
      <c r="OKF29" s="25"/>
      <c r="OKG29" s="25"/>
      <c r="OKH29" s="25"/>
      <c r="OKI29" s="25"/>
      <c r="OKJ29" s="25"/>
      <c r="OKK29" s="25"/>
      <c r="OKL29" s="25"/>
      <c r="OKM29" s="25"/>
      <c r="OKN29" s="25"/>
      <c r="OKO29" s="25"/>
      <c r="OKP29" s="25"/>
      <c r="OKQ29" s="25"/>
      <c r="OKR29" s="25"/>
      <c r="OKS29" s="25"/>
      <c r="OKT29" s="25"/>
      <c r="OKU29" s="25"/>
      <c r="OKV29" s="25"/>
      <c r="OKW29" s="25"/>
      <c r="OKX29" s="25"/>
      <c r="OKY29" s="25"/>
      <c r="OKZ29" s="25"/>
      <c r="OLA29" s="25"/>
      <c r="OLB29" s="25"/>
      <c r="OLC29" s="25"/>
      <c r="OLD29" s="25"/>
      <c r="OLE29" s="25"/>
      <c r="OLF29" s="25"/>
      <c r="OLG29" s="25"/>
      <c r="OLH29" s="25"/>
      <c r="OLI29" s="25"/>
      <c r="OLJ29" s="25"/>
      <c r="OLK29" s="25"/>
      <c r="OLL29" s="25"/>
      <c r="OLM29" s="25"/>
      <c r="OLN29" s="25"/>
      <c r="OLO29" s="25"/>
      <c r="OLP29" s="25"/>
      <c r="OLQ29" s="25"/>
      <c r="OLR29" s="25"/>
      <c r="OLS29" s="25"/>
      <c r="OLT29" s="25"/>
      <c r="OLU29" s="25"/>
      <c r="OLV29" s="25"/>
      <c r="OLW29" s="25"/>
      <c r="OLX29" s="25"/>
      <c r="OLY29" s="25"/>
      <c r="OLZ29" s="25"/>
      <c r="OMA29" s="25"/>
      <c r="OMB29" s="25"/>
      <c r="OMC29" s="25"/>
      <c r="OMD29" s="25"/>
      <c r="OME29" s="25"/>
      <c r="OMF29" s="25"/>
      <c r="OMG29" s="25"/>
      <c r="OMH29" s="25"/>
      <c r="OMI29" s="25"/>
      <c r="OMJ29" s="25"/>
      <c r="OMK29" s="25"/>
      <c r="OML29" s="25"/>
      <c r="OMM29" s="25"/>
      <c r="OMN29" s="25"/>
      <c r="OMO29" s="25"/>
      <c r="OMP29" s="25"/>
      <c r="OMQ29" s="25"/>
      <c r="OMR29" s="25"/>
      <c r="OMS29" s="25"/>
      <c r="OMT29" s="25"/>
      <c r="OMU29" s="25"/>
      <c r="OMV29" s="25"/>
      <c r="OMW29" s="25"/>
      <c r="OMX29" s="25"/>
      <c r="OMY29" s="25"/>
      <c r="OMZ29" s="25"/>
      <c r="ONA29" s="25"/>
      <c r="ONB29" s="25"/>
      <c r="ONC29" s="25"/>
      <c r="OND29" s="25"/>
      <c r="ONE29" s="25"/>
      <c r="ONF29" s="25"/>
      <c r="ONG29" s="25"/>
      <c r="ONH29" s="25"/>
      <c r="ONI29" s="25"/>
      <c r="ONJ29" s="25"/>
      <c r="ONK29" s="25"/>
      <c r="ONL29" s="25"/>
      <c r="ONM29" s="25"/>
      <c r="ONN29" s="25"/>
      <c r="ONO29" s="25"/>
      <c r="ONP29" s="25"/>
      <c r="ONQ29" s="25"/>
      <c r="ONR29" s="25"/>
      <c r="ONS29" s="25"/>
      <c r="ONT29" s="25"/>
      <c r="ONU29" s="25"/>
      <c r="ONV29" s="25"/>
      <c r="ONW29" s="25"/>
      <c r="ONX29" s="25"/>
      <c r="ONY29" s="25"/>
      <c r="ONZ29" s="25"/>
      <c r="OOA29" s="25"/>
      <c r="OOB29" s="25"/>
      <c r="OOC29" s="25"/>
      <c r="OOD29" s="25"/>
      <c r="OOE29" s="25"/>
      <c r="OOF29" s="25"/>
      <c r="OOG29" s="25"/>
      <c r="OOH29" s="25"/>
      <c r="OOI29" s="25"/>
      <c r="OOJ29" s="25"/>
      <c r="OOK29" s="25"/>
      <c r="OOL29" s="25"/>
      <c r="OOM29" s="25"/>
      <c r="OON29" s="25"/>
      <c r="OOO29" s="25"/>
      <c r="OOP29" s="25"/>
      <c r="OOQ29" s="25"/>
      <c r="OOR29" s="25"/>
      <c r="OOS29" s="25"/>
      <c r="OOT29" s="25"/>
      <c r="OOU29" s="25"/>
      <c r="OOV29" s="25"/>
      <c r="OOW29" s="25"/>
      <c r="OOX29" s="25"/>
      <c r="OOY29" s="25"/>
      <c r="OOZ29" s="25"/>
      <c r="OPA29" s="25"/>
      <c r="OPB29" s="25"/>
      <c r="OPC29" s="25"/>
      <c r="OPD29" s="25"/>
      <c r="OPE29" s="25"/>
      <c r="OPF29" s="25"/>
      <c r="OPG29" s="25"/>
      <c r="OPH29" s="25"/>
      <c r="OPI29" s="25"/>
      <c r="OPJ29" s="25"/>
      <c r="OPK29" s="25"/>
      <c r="OPL29" s="25"/>
      <c r="OPM29" s="25"/>
      <c r="OPN29" s="25"/>
      <c r="OPO29" s="25"/>
      <c r="OPP29" s="25"/>
      <c r="OPQ29" s="25"/>
      <c r="OPR29" s="25"/>
      <c r="OPS29" s="25"/>
      <c r="OPT29" s="25"/>
      <c r="OPU29" s="25"/>
      <c r="OPV29" s="25"/>
      <c r="OPW29" s="25"/>
      <c r="OPX29" s="25"/>
      <c r="OPY29" s="25"/>
      <c r="OPZ29" s="25"/>
      <c r="OQA29" s="25"/>
      <c r="OQB29" s="25"/>
      <c r="OQC29" s="25"/>
      <c r="OQD29" s="25"/>
      <c r="OQE29" s="25"/>
      <c r="OQF29" s="25"/>
      <c r="OQG29" s="25"/>
      <c r="OQH29" s="25"/>
      <c r="OQI29" s="25"/>
      <c r="OQJ29" s="25"/>
      <c r="OQK29" s="25"/>
      <c r="OQL29" s="25"/>
      <c r="OQM29" s="25"/>
      <c r="OQN29" s="25"/>
      <c r="OQO29" s="25"/>
      <c r="OQP29" s="25"/>
      <c r="OQQ29" s="25"/>
      <c r="OQR29" s="25"/>
      <c r="OQS29" s="25"/>
      <c r="OQT29" s="25"/>
      <c r="OQU29" s="25"/>
      <c r="OQV29" s="25"/>
      <c r="OQW29" s="25"/>
      <c r="OQX29" s="25"/>
      <c r="OQY29" s="25"/>
      <c r="OQZ29" s="25"/>
      <c r="ORA29" s="25"/>
      <c r="ORB29" s="25"/>
      <c r="ORC29" s="25"/>
      <c r="ORD29" s="25"/>
      <c r="ORE29" s="25"/>
      <c r="ORF29" s="25"/>
      <c r="ORG29" s="25"/>
      <c r="ORH29" s="25"/>
      <c r="ORI29" s="25"/>
      <c r="ORJ29" s="25"/>
      <c r="ORK29" s="25"/>
      <c r="ORL29" s="25"/>
      <c r="ORM29" s="25"/>
      <c r="ORN29" s="25"/>
      <c r="ORO29" s="25"/>
      <c r="ORP29" s="25"/>
      <c r="ORQ29" s="25"/>
      <c r="ORR29" s="25"/>
      <c r="ORS29" s="25"/>
      <c r="ORT29" s="25"/>
      <c r="ORU29" s="25"/>
      <c r="ORV29" s="25"/>
      <c r="ORW29" s="25"/>
      <c r="ORX29" s="25"/>
      <c r="ORY29" s="25"/>
      <c r="ORZ29" s="25"/>
      <c r="OSA29" s="25"/>
      <c r="OSB29" s="25"/>
      <c r="OSC29" s="25"/>
      <c r="OSD29" s="25"/>
      <c r="OSE29" s="25"/>
      <c r="OSF29" s="25"/>
      <c r="OSG29" s="25"/>
      <c r="OSH29" s="25"/>
      <c r="OSI29" s="25"/>
      <c r="OSJ29" s="25"/>
      <c r="OSK29" s="25"/>
      <c r="OSL29" s="25"/>
      <c r="OSM29" s="25"/>
      <c r="OSN29" s="25"/>
      <c r="OSO29" s="25"/>
      <c r="OSP29" s="25"/>
      <c r="OSQ29" s="25"/>
      <c r="OSR29" s="25"/>
      <c r="OSS29" s="25"/>
      <c r="OST29" s="25"/>
      <c r="OSU29" s="25"/>
      <c r="OSV29" s="25"/>
      <c r="OSW29" s="25"/>
      <c r="OSX29" s="25"/>
      <c r="OSY29" s="25"/>
      <c r="OSZ29" s="25"/>
      <c r="OTA29" s="25"/>
      <c r="OTB29" s="25"/>
      <c r="OTC29" s="25"/>
      <c r="OTD29" s="25"/>
      <c r="OTE29" s="25"/>
      <c r="OTF29" s="25"/>
      <c r="OTG29" s="25"/>
      <c r="OTH29" s="25"/>
      <c r="OTI29" s="25"/>
      <c r="OTJ29" s="25"/>
      <c r="OTK29" s="25"/>
      <c r="OTL29" s="25"/>
      <c r="OTM29" s="25"/>
      <c r="OTN29" s="25"/>
      <c r="OTO29" s="25"/>
      <c r="OTP29" s="25"/>
      <c r="OTQ29" s="25"/>
      <c r="OTR29" s="25"/>
      <c r="OTS29" s="25"/>
      <c r="OTT29" s="25"/>
      <c r="OTU29" s="25"/>
      <c r="OTV29" s="25"/>
      <c r="OTW29" s="25"/>
      <c r="OTX29" s="25"/>
      <c r="OTY29" s="25"/>
      <c r="OTZ29" s="25"/>
      <c r="OUA29" s="25"/>
      <c r="OUB29" s="25"/>
      <c r="OUC29" s="25"/>
      <c r="OUD29" s="25"/>
      <c r="OUE29" s="25"/>
      <c r="OUF29" s="25"/>
      <c r="OUG29" s="25"/>
      <c r="OUH29" s="25"/>
      <c r="OUI29" s="25"/>
      <c r="OUJ29" s="25"/>
      <c r="OUK29" s="25"/>
      <c r="OUL29" s="25"/>
      <c r="OUM29" s="25"/>
      <c r="OUN29" s="25"/>
      <c r="OUO29" s="25"/>
      <c r="OUP29" s="25"/>
      <c r="OUQ29" s="25"/>
      <c r="OUR29" s="25"/>
      <c r="OUS29" s="25"/>
      <c r="OUT29" s="25"/>
      <c r="OUU29" s="25"/>
      <c r="OUV29" s="25"/>
      <c r="OUW29" s="25"/>
      <c r="OUX29" s="25"/>
      <c r="OUY29" s="25"/>
      <c r="OUZ29" s="25"/>
      <c r="OVA29" s="25"/>
      <c r="OVB29" s="25"/>
      <c r="OVC29" s="25"/>
      <c r="OVD29" s="25"/>
      <c r="OVE29" s="25"/>
      <c r="OVF29" s="25"/>
      <c r="OVG29" s="25"/>
      <c r="OVH29" s="25"/>
      <c r="OVI29" s="25"/>
      <c r="OVJ29" s="25"/>
      <c r="OVK29" s="25"/>
      <c r="OVL29" s="25"/>
      <c r="OVM29" s="25"/>
      <c r="OVN29" s="25"/>
      <c r="OVO29" s="25"/>
      <c r="OVP29" s="25"/>
      <c r="OVQ29" s="25"/>
      <c r="OVR29" s="25"/>
      <c r="OVS29" s="25"/>
      <c r="OVT29" s="25"/>
      <c r="OVU29" s="25"/>
      <c r="OVV29" s="25"/>
      <c r="OVW29" s="25"/>
      <c r="OVX29" s="25"/>
      <c r="OVY29" s="25"/>
      <c r="OVZ29" s="25"/>
      <c r="OWA29" s="25"/>
      <c r="OWB29" s="25"/>
      <c r="OWC29" s="25"/>
      <c r="OWD29" s="25"/>
      <c r="OWE29" s="25"/>
      <c r="OWF29" s="25"/>
      <c r="OWG29" s="25"/>
      <c r="OWH29" s="25"/>
      <c r="OWI29" s="25"/>
      <c r="OWJ29" s="25"/>
      <c r="OWK29" s="25"/>
      <c r="OWL29" s="25"/>
      <c r="OWM29" s="25"/>
      <c r="OWN29" s="25"/>
      <c r="OWO29" s="25"/>
      <c r="OWP29" s="25"/>
      <c r="OWQ29" s="25"/>
      <c r="OWR29" s="25"/>
      <c r="OWS29" s="25"/>
      <c r="OWT29" s="25"/>
      <c r="OWU29" s="25"/>
      <c r="OWV29" s="25"/>
      <c r="OWW29" s="25"/>
      <c r="OWX29" s="25"/>
      <c r="OWY29" s="25"/>
      <c r="OWZ29" s="25"/>
      <c r="OXA29" s="25"/>
      <c r="OXB29" s="25"/>
      <c r="OXC29" s="25"/>
      <c r="OXD29" s="25"/>
      <c r="OXE29" s="25"/>
      <c r="OXF29" s="25"/>
      <c r="OXG29" s="25"/>
      <c r="OXH29" s="25"/>
      <c r="OXI29" s="25"/>
      <c r="OXJ29" s="25"/>
      <c r="OXK29" s="25"/>
      <c r="OXL29" s="25"/>
      <c r="OXM29" s="25"/>
      <c r="OXN29" s="25"/>
      <c r="OXO29" s="25"/>
      <c r="OXP29" s="25"/>
      <c r="OXQ29" s="25"/>
      <c r="OXR29" s="25"/>
      <c r="OXS29" s="25"/>
      <c r="OXT29" s="25"/>
      <c r="OXU29" s="25"/>
      <c r="OXV29" s="25"/>
      <c r="OXW29" s="25"/>
      <c r="OXX29" s="25"/>
      <c r="OXY29" s="25"/>
      <c r="OXZ29" s="25"/>
      <c r="OYA29" s="25"/>
      <c r="OYB29" s="25"/>
      <c r="OYC29" s="25"/>
      <c r="OYD29" s="25"/>
      <c r="OYE29" s="25"/>
      <c r="OYF29" s="25"/>
      <c r="OYG29" s="25"/>
      <c r="OYH29" s="25"/>
      <c r="OYI29" s="25"/>
      <c r="OYJ29" s="25"/>
      <c r="OYK29" s="25"/>
      <c r="OYL29" s="25"/>
      <c r="OYM29" s="25"/>
      <c r="OYN29" s="25"/>
      <c r="OYO29" s="25"/>
      <c r="OYP29" s="25"/>
      <c r="OYQ29" s="25"/>
      <c r="OYR29" s="25"/>
      <c r="OYS29" s="25"/>
      <c r="OYT29" s="25"/>
      <c r="OYU29" s="25"/>
      <c r="OYV29" s="25"/>
      <c r="OYW29" s="25"/>
      <c r="OYX29" s="25"/>
      <c r="OYY29" s="25"/>
      <c r="OYZ29" s="25"/>
      <c r="OZA29" s="25"/>
      <c r="OZB29" s="25"/>
      <c r="OZC29" s="25"/>
      <c r="OZD29" s="25"/>
      <c r="OZE29" s="25"/>
      <c r="OZF29" s="25"/>
      <c r="OZG29" s="25"/>
      <c r="OZH29" s="25"/>
      <c r="OZI29" s="25"/>
      <c r="OZJ29" s="25"/>
      <c r="OZK29" s="25"/>
      <c r="OZL29" s="25"/>
      <c r="OZM29" s="25"/>
      <c r="OZN29" s="25"/>
      <c r="OZO29" s="25"/>
      <c r="OZP29" s="25"/>
      <c r="OZQ29" s="25"/>
      <c r="OZR29" s="25"/>
      <c r="OZS29" s="25"/>
      <c r="OZT29" s="25"/>
      <c r="OZU29" s="25"/>
      <c r="OZV29" s="25"/>
      <c r="OZW29" s="25"/>
      <c r="OZX29" s="25"/>
      <c r="OZY29" s="25"/>
      <c r="OZZ29" s="25"/>
      <c r="PAA29" s="25"/>
      <c r="PAB29" s="25"/>
      <c r="PAC29" s="25"/>
      <c r="PAD29" s="25"/>
      <c r="PAE29" s="25"/>
      <c r="PAF29" s="25"/>
      <c r="PAG29" s="25"/>
      <c r="PAH29" s="25"/>
      <c r="PAI29" s="25"/>
      <c r="PAJ29" s="25"/>
      <c r="PAK29" s="25"/>
      <c r="PAL29" s="25"/>
      <c r="PAM29" s="25"/>
      <c r="PAN29" s="25"/>
      <c r="PAO29" s="25"/>
      <c r="PAP29" s="25"/>
      <c r="PAQ29" s="25"/>
      <c r="PAR29" s="25"/>
      <c r="PAS29" s="25"/>
      <c r="PAT29" s="25"/>
      <c r="PAU29" s="25"/>
      <c r="PAV29" s="25"/>
      <c r="PAW29" s="25"/>
      <c r="PAX29" s="25"/>
      <c r="PAY29" s="25"/>
      <c r="PAZ29" s="25"/>
      <c r="PBA29" s="25"/>
      <c r="PBB29" s="25"/>
      <c r="PBC29" s="25"/>
      <c r="PBD29" s="25"/>
      <c r="PBE29" s="25"/>
      <c r="PBF29" s="25"/>
      <c r="PBG29" s="25"/>
      <c r="PBH29" s="25"/>
      <c r="PBI29" s="25"/>
      <c r="PBJ29" s="25"/>
      <c r="PBK29" s="25"/>
      <c r="PBL29" s="25"/>
      <c r="PBM29" s="25"/>
      <c r="PBN29" s="25"/>
      <c r="PBO29" s="25"/>
      <c r="PBP29" s="25"/>
      <c r="PBQ29" s="25"/>
      <c r="PBR29" s="25"/>
      <c r="PBS29" s="25"/>
      <c r="PBT29" s="25"/>
      <c r="PBU29" s="25"/>
      <c r="PBV29" s="25"/>
      <c r="PBW29" s="25"/>
      <c r="PBX29" s="25"/>
      <c r="PBY29" s="25"/>
      <c r="PBZ29" s="25"/>
      <c r="PCA29" s="25"/>
      <c r="PCB29" s="25"/>
      <c r="PCC29" s="25"/>
      <c r="PCD29" s="25"/>
      <c r="PCE29" s="25"/>
      <c r="PCF29" s="25"/>
      <c r="PCG29" s="25"/>
      <c r="PCH29" s="25"/>
      <c r="PCI29" s="25"/>
      <c r="PCJ29" s="25"/>
      <c r="PCK29" s="25"/>
      <c r="PCL29" s="25"/>
      <c r="PCM29" s="25"/>
      <c r="PCN29" s="25"/>
      <c r="PCO29" s="25"/>
      <c r="PCP29" s="25"/>
      <c r="PCQ29" s="25"/>
      <c r="PCR29" s="25"/>
      <c r="PCS29" s="25"/>
      <c r="PCT29" s="25"/>
      <c r="PCU29" s="25"/>
      <c r="PCV29" s="25"/>
      <c r="PCW29" s="25"/>
      <c r="PCX29" s="25"/>
      <c r="PCY29" s="25"/>
      <c r="PCZ29" s="25"/>
      <c r="PDA29" s="25"/>
      <c r="PDB29" s="25"/>
      <c r="PDC29" s="25"/>
      <c r="PDD29" s="25"/>
      <c r="PDE29" s="25"/>
      <c r="PDF29" s="25"/>
      <c r="PDG29" s="25"/>
      <c r="PDH29" s="25"/>
      <c r="PDI29" s="25"/>
      <c r="PDJ29" s="25"/>
      <c r="PDK29" s="25"/>
      <c r="PDL29" s="25"/>
      <c r="PDM29" s="25"/>
      <c r="PDN29" s="25"/>
      <c r="PDO29" s="25"/>
      <c r="PDP29" s="25"/>
      <c r="PDQ29" s="25"/>
      <c r="PDR29" s="25"/>
      <c r="PDS29" s="25"/>
      <c r="PDT29" s="25"/>
      <c r="PDU29" s="25"/>
      <c r="PDV29" s="25"/>
      <c r="PDW29" s="25"/>
      <c r="PDX29" s="25"/>
      <c r="PDY29" s="25"/>
      <c r="PDZ29" s="25"/>
      <c r="PEA29" s="25"/>
      <c r="PEB29" s="25"/>
      <c r="PEC29" s="25"/>
      <c r="PED29" s="25"/>
      <c r="PEE29" s="25"/>
      <c r="PEF29" s="25"/>
      <c r="PEG29" s="25"/>
      <c r="PEH29" s="25"/>
      <c r="PEI29" s="25"/>
      <c r="PEJ29" s="25"/>
      <c r="PEK29" s="25"/>
      <c r="PEL29" s="25"/>
      <c r="PEM29" s="25"/>
      <c r="PEN29" s="25"/>
      <c r="PEO29" s="25"/>
      <c r="PEP29" s="25"/>
      <c r="PEQ29" s="25"/>
      <c r="PER29" s="25"/>
      <c r="PES29" s="25"/>
      <c r="PET29" s="25"/>
      <c r="PEU29" s="25"/>
      <c r="PEV29" s="25"/>
      <c r="PEW29" s="25"/>
      <c r="PEX29" s="25"/>
      <c r="PEY29" s="25"/>
      <c r="PEZ29" s="25"/>
      <c r="PFA29" s="25"/>
      <c r="PFB29" s="25"/>
      <c r="PFC29" s="25"/>
      <c r="PFD29" s="25"/>
      <c r="PFE29" s="25"/>
      <c r="PFF29" s="25"/>
      <c r="PFG29" s="25"/>
      <c r="PFH29" s="25"/>
      <c r="PFI29" s="25"/>
      <c r="PFJ29" s="25"/>
      <c r="PFK29" s="25"/>
      <c r="PFL29" s="25"/>
      <c r="PFM29" s="25"/>
      <c r="PFN29" s="25"/>
      <c r="PFO29" s="25"/>
      <c r="PFP29" s="25"/>
      <c r="PFQ29" s="25"/>
      <c r="PFR29" s="25"/>
      <c r="PFS29" s="25"/>
      <c r="PFT29" s="25"/>
      <c r="PFU29" s="25"/>
      <c r="PFV29" s="25"/>
      <c r="PFW29" s="25"/>
      <c r="PFX29" s="25"/>
      <c r="PFY29" s="25"/>
      <c r="PFZ29" s="25"/>
      <c r="PGA29" s="25"/>
      <c r="PGB29" s="25"/>
      <c r="PGC29" s="25"/>
      <c r="PGD29" s="25"/>
      <c r="PGE29" s="25"/>
      <c r="PGF29" s="25"/>
      <c r="PGG29" s="25"/>
      <c r="PGH29" s="25"/>
      <c r="PGI29" s="25"/>
      <c r="PGJ29" s="25"/>
      <c r="PGK29" s="25"/>
      <c r="PGL29" s="25"/>
      <c r="PGM29" s="25"/>
      <c r="PGN29" s="25"/>
      <c r="PGO29" s="25"/>
      <c r="PGP29" s="25"/>
      <c r="PGQ29" s="25"/>
      <c r="PGR29" s="25"/>
      <c r="PGS29" s="25"/>
      <c r="PGT29" s="25"/>
      <c r="PGU29" s="25"/>
      <c r="PGV29" s="25"/>
      <c r="PGW29" s="25"/>
      <c r="PGX29" s="25"/>
      <c r="PGY29" s="25"/>
      <c r="PGZ29" s="25"/>
      <c r="PHA29" s="25"/>
      <c r="PHB29" s="25"/>
      <c r="PHC29" s="25"/>
      <c r="PHD29" s="25"/>
      <c r="PHE29" s="25"/>
      <c r="PHF29" s="25"/>
      <c r="PHG29" s="25"/>
      <c r="PHH29" s="25"/>
      <c r="PHI29" s="25"/>
      <c r="PHJ29" s="25"/>
      <c r="PHK29" s="25"/>
      <c r="PHL29" s="25"/>
      <c r="PHM29" s="25"/>
      <c r="PHN29" s="25"/>
      <c r="PHO29" s="25"/>
      <c r="PHP29" s="25"/>
      <c r="PHQ29" s="25"/>
      <c r="PHR29" s="25"/>
      <c r="PHS29" s="25"/>
      <c r="PHT29" s="25"/>
      <c r="PHU29" s="25"/>
      <c r="PHV29" s="25"/>
      <c r="PHW29" s="25"/>
      <c r="PHX29" s="25"/>
      <c r="PHY29" s="25"/>
      <c r="PHZ29" s="25"/>
      <c r="PIA29" s="25"/>
      <c r="PIB29" s="25"/>
      <c r="PIC29" s="25"/>
      <c r="PID29" s="25"/>
      <c r="PIE29" s="25"/>
      <c r="PIF29" s="25"/>
      <c r="PIG29" s="25"/>
      <c r="PIH29" s="25"/>
      <c r="PII29" s="25"/>
      <c r="PIJ29" s="25"/>
      <c r="PIK29" s="25"/>
      <c r="PIL29" s="25"/>
      <c r="PIM29" s="25"/>
      <c r="PIN29" s="25"/>
      <c r="PIO29" s="25"/>
      <c r="PIP29" s="25"/>
      <c r="PIQ29" s="25"/>
      <c r="PIR29" s="25"/>
      <c r="PIS29" s="25"/>
      <c r="PIT29" s="25"/>
      <c r="PIU29" s="25"/>
      <c r="PIV29" s="25"/>
      <c r="PIW29" s="25"/>
      <c r="PIX29" s="25"/>
      <c r="PIY29" s="25"/>
      <c r="PIZ29" s="25"/>
      <c r="PJA29" s="25"/>
      <c r="PJB29" s="25"/>
      <c r="PJC29" s="25"/>
      <c r="PJD29" s="25"/>
      <c r="PJE29" s="25"/>
      <c r="PJF29" s="25"/>
      <c r="PJG29" s="25"/>
      <c r="PJH29" s="25"/>
      <c r="PJI29" s="25"/>
      <c r="PJJ29" s="25"/>
      <c r="PJK29" s="25"/>
      <c r="PJL29" s="25"/>
      <c r="PJM29" s="25"/>
      <c r="PJN29" s="25"/>
      <c r="PJO29" s="25"/>
      <c r="PJP29" s="25"/>
      <c r="PJQ29" s="25"/>
      <c r="PJR29" s="25"/>
      <c r="PJS29" s="25"/>
      <c r="PJT29" s="25"/>
      <c r="PJU29" s="25"/>
      <c r="PJV29" s="25"/>
      <c r="PJW29" s="25"/>
      <c r="PJX29" s="25"/>
      <c r="PJY29" s="25"/>
      <c r="PJZ29" s="25"/>
      <c r="PKA29" s="25"/>
      <c r="PKB29" s="25"/>
      <c r="PKC29" s="25"/>
      <c r="PKD29" s="25"/>
      <c r="PKE29" s="25"/>
      <c r="PKF29" s="25"/>
      <c r="PKG29" s="25"/>
      <c r="PKH29" s="25"/>
      <c r="PKI29" s="25"/>
      <c r="PKJ29" s="25"/>
      <c r="PKK29" s="25"/>
      <c r="PKL29" s="25"/>
      <c r="PKM29" s="25"/>
      <c r="PKN29" s="25"/>
      <c r="PKO29" s="25"/>
      <c r="PKP29" s="25"/>
      <c r="PKQ29" s="25"/>
      <c r="PKR29" s="25"/>
      <c r="PKS29" s="25"/>
      <c r="PKT29" s="25"/>
      <c r="PKU29" s="25"/>
      <c r="PKV29" s="25"/>
      <c r="PKW29" s="25"/>
      <c r="PKX29" s="25"/>
      <c r="PKY29" s="25"/>
      <c r="PKZ29" s="25"/>
      <c r="PLA29" s="25"/>
      <c r="PLB29" s="25"/>
      <c r="PLC29" s="25"/>
      <c r="PLD29" s="25"/>
      <c r="PLE29" s="25"/>
      <c r="PLF29" s="25"/>
      <c r="PLG29" s="25"/>
      <c r="PLH29" s="25"/>
      <c r="PLI29" s="25"/>
      <c r="PLJ29" s="25"/>
      <c r="PLK29" s="25"/>
      <c r="PLL29" s="25"/>
      <c r="PLM29" s="25"/>
      <c r="PLN29" s="25"/>
      <c r="PLO29" s="25"/>
      <c r="PLP29" s="25"/>
      <c r="PLQ29" s="25"/>
      <c r="PLR29" s="25"/>
      <c r="PLS29" s="25"/>
      <c r="PLT29" s="25"/>
      <c r="PLU29" s="25"/>
      <c r="PLV29" s="25"/>
      <c r="PLW29" s="25"/>
      <c r="PLX29" s="25"/>
      <c r="PLY29" s="25"/>
      <c r="PLZ29" s="25"/>
      <c r="PMA29" s="25"/>
      <c r="PMB29" s="25"/>
      <c r="PMC29" s="25"/>
      <c r="PMD29" s="25"/>
      <c r="PME29" s="25"/>
      <c r="PMF29" s="25"/>
      <c r="PMG29" s="25"/>
      <c r="PMH29" s="25"/>
      <c r="PMI29" s="25"/>
      <c r="PMJ29" s="25"/>
      <c r="PMK29" s="25"/>
      <c r="PML29" s="25"/>
      <c r="PMM29" s="25"/>
      <c r="PMN29" s="25"/>
      <c r="PMO29" s="25"/>
      <c r="PMP29" s="25"/>
      <c r="PMQ29" s="25"/>
      <c r="PMR29" s="25"/>
      <c r="PMS29" s="25"/>
      <c r="PMT29" s="25"/>
      <c r="PMU29" s="25"/>
      <c r="PMV29" s="25"/>
      <c r="PMW29" s="25"/>
      <c r="PMX29" s="25"/>
      <c r="PMY29" s="25"/>
      <c r="PMZ29" s="25"/>
      <c r="PNA29" s="25"/>
      <c r="PNB29" s="25"/>
      <c r="PNC29" s="25"/>
      <c r="PND29" s="25"/>
      <c r="PNE29" s="25"/>
      <c r="PNF29" s="25"/>
      <c r="PNG29" s="25"/>
      <c r="PNH29" s="25"/>
      <c r="PNI29" s="25"/>
      <c r="PNJ29" s="25"/>
      <c r="PNK29" s="25"/>
      <c r="PNL29" s="25"/>
      <c r="PNM29" s="25"/>
      <c r="PNN29" s="25"/>
      <c r="PNO29" s="25"/>
      <c r="PNP29" s="25"/>
      <c r="PNQ29" s="25"/>
      <c r="PNR29" s="25"/>
      <c r="PNS29" s="25"/>
      <c r="PNT29" s="25"/>
      <c r="PNU29" s="25"/>
      <c r="PNV29" s="25"/>
      <c r="PNW29" s="25"/>
      <c r="PNX29" s="25"/>
      <c r="PNY29" s="25"/>
      <c r="PNZ29" s="25"/>
      <c r="POA29" s="25"/>
      <c r="POB29" s="25"/>
      <c r="POC29" s="25"/>
      <c r="POD29" s="25"/>
      <c r="POE29" s="25"/>
      <c r="POF29" s="25"/>
      <c r="POG29" s="25"/>
      <c r="POH29" s="25"/>
      <c r="POI29" s="25"/>
      <c r="POJ29" s="25"/>
      <c r="POK29" s="25"/>
      <c r="POL29" s="25"/>
      <c r="POM29" s="25"/>
      <c r="PON29" s="25"/>
      <c r="POO29" s="25"/>
      <c r="POP29" s="25"/>
      <c r="POQ29" s="25"/>
      <c r="POR29" s="25"/>
      <c r="POS29" s="25"/>
      <c r="POT29" s="25"/>
      <c r="POU29" s="25"/>
      <c r="POV29" s="25"/>
      <c r="POW29" s="25"/>
      <c r="POX29" s="25"/>
      <c r="POY29" s="25"/>
      <c r="POZ29" s="25"/>
      <c r="PPA29" s="25"/>
      <c r="PPB29" s="25"/>
      <c r="PPC29" s="25"/>
      <c r="PPD29" s="25"/>
      <c r="PPE29" s="25"/>
      <c r="PPF29" s="25"/>
      <c r="PPG29" s="25"/>
      <c r="PPH29" s="25"/>
      <c r="PPI29" s="25"/>
      <c r="PPJ29" s="25"/>
      <c r="PPK29" s="25"/>
      <c r="PPL29" s="25"/>
      <c r="PPM29" s="25"/>
      <c r="PPN29" s="25"/>
      <c r="PPO29" s="25"/>
      <c r="PPP29" s="25"/>
      <c r="PPQ29" s="25"/>
      <c r="PPR29" s="25"/>
      <c r="PPS29" s="25"/>
      <c r="PPT29" s="25"/>
      <c r="PPU29" s="25"/>
      <c r="PPV29" s="25"/>
      <c r="PPW29" s="25"/>
      <c r="PPX29" s="25"/>
      <c r="PPY29" s="25"/>
      <c r="PPZ29" s="25"/>
      <c r="PQA29" s="25"/>
      <c r="PQB29" s="25"/>
      <c r="PQC29" s="25"/>
      <c r="PQD29" s="25"/>
      <c r="PQE29" s="25"/>
      <c r="PQF29" s="25"/>
      <c r="PQG29" s="25"/>
      <c r="PQH29" s="25"/>
      <c r="PQI29" s="25"/>
      <c r="PQJ29" s="25"/>
      <c r="PQK29" s="25"/>
      <c r="PQL29" s="25"/>
      <c r="PQM29" s="25"/>
      <c r="PQN29" s="25"/>
      <c r="PQO29" s="25"/>
      <c r="PQP29" s="25"/>
      <c r="PQQ29" s="25"/>
      <c r="PQR29" s="25"/>
      <c r="PQS29" s="25"/>
      <c r="PQT29" s="25"/>
      <c r="PQU29" s="25"/>
      <c r="PQV29" s="25"/>
      <c r="PQW29" s="25"/>
      <c r="PQX29" s="25"/>
      <c r="PQY29" s="25"/>
      <c r="PQZ29" s="25"/>
      <c r="PRA29" s="25"/>
      <c r="PRB29" s="25"/>
      <c r="PRC29" s="25"/>
      <c r="PRD29" s="25"/>
      <c r="PRE29" s="25"/>
      <c r="PRF29" s="25"/>
      <c r="PRG29" s="25"/>
      <c r="PRH29" s="25"/>
      <c r="PRI29" s="25"/>
      <c r="PRJ29" s="25"/>
      <c r="PRK29" s="25"/>
      <c r="PRL29" s="25"/>
      <c r="PRM29" s="25"/>
      <c r="PRN29" s="25"/>
      <c r="PRO29" s="25"/>
      <c r="PRP29" s="25"/>
      <c r="PRQ29" s="25"/>
      <c r="PRR29" s="25"/>
      <c r="PRS29" s="25"/>
      <c r="PRT29" s="25"/>
      <c r="PRU29" s="25"/>
      <c r="PRV29" s="25"/>
      <c r="PRW29" s="25"/>
      <c r="PRX29" s="25"/>
      <c r="PRY29" s="25"/>
      <c r="PRZ29" s="25"/>
      <c r="PSA29" s="25"/>
      <c r="PSB29" s="25"/>
      <c r="PSC29" s="25"/>
      <c r="PSD29" s="25"/>
      <c r="PSE29" s="25"/>
      <c r="PSF29" s="25"/>
      <c r="PSG29" s="25"/>
      <c r="PSH29" s="25"/>
      <c r="PSI29" s="25"/>
      <c r="PSJ29" s="25"/>
      <c r="PSK29" s="25"/>
      <c r="PSL29" s="25"/>
      <c r="PSM29" s="25"/>
      <c r="PSN29" s="25"/>
      <c r="PSO29" s="25"/>
      <c r="PSP29" s="25"/>
      <c r="PSQ29" s="25"/>
      <c r="PSR29" s="25"/>
      <c r="PSS29" s="25"/>
      <c r="PST29" s="25"/>
      <c r="PSU29" s="25"/>
      <c r="PSV29" s="25"/>
      <c r="PSW29" s="25"/>
      <c r="PSX29" s="25"/>
      <c r="PSY29" s="25"/>
      <c r="PSZ29" s="25"/>
      <c r="PTA29" s="25"/>
      <c r="PTB29" s="25"/>
      <c r="PTC29" s="25"/>
      <c r="PTD29" s="25"/>
      <c r="PTE29" s="25"/>
      <c r="PTF29" s="25"/>
      <c r="PTG29" s="25"/>
      <c r="PTH29" s="25"/>
      <c r="PTI29" s="25"/>
      <c r="PTJ29" s="25"/>
      <c r="PTK29" s="25"/>
      <c r="PTL29" s="25"/>
      <c r="PTM29" s="25"/>
      <c r="PTN29" s="25"/>
      <c r="PTO29" s="25"/>
      <c r="PTP29" s="25"/>
      <c r="PTQ29" s="25"/>
      <c r="PTR29" s="25"/>
      <c r="PTS29" s="25"/>
      <c r="PTT29" s="25"/>
      <c r="PTU29" s="25"/>
      <c r="PTV29" s="25"/>
      <c r="PTW29" s="25"/>
      <c r="PTX29" s="25"/>
      <c r="PTY29" s="25"/>
      <c r="PTZ29" s="25"/>
      <c r="PUA29" s="25"/>
      <c r="PUB29" s="25"/>
      <c r="PUC29" s="25"/>
      <c r="PUD29" s="25"/>
      <c r="PUE29" s="25"/>
      <c r="PUF29" s="25"/>
      <c r="PUG29" s="25"/>
      <c r="PUH29" s="25"/>
      <c r="PUI29" s="25"/>
      <c r="PUJ29" s="25"/>
      <c r="PUK29" s="25"/>
      <c r="PUL29" s="25"/>
      <c r="PUM29" s="25"/>
      <c r="PUN29" s="25"/>
      <c r="PUO29" s="25"/>
      <c r="PUP29" s="25"/>
      <c r="PUQ29" s="25"/>
      <c r="PUR29" s="25"/>
      <c r="PUS29" s="25"/>
      <c r="PUT29" s="25"/>
      <c r="PUU29" s="25"/>
      <c r="PUV29" s="25"/>
      <c r="PUW29" s="25"/>
      <c r="PUX29" s="25"/>
      <c r="PUY29" s="25"/>
      <c r="PUZ29" s="25"/>
      <c r="PVA29" s="25"/>
      <c r="PVB29" s="25"/>
      <c r="PVC29" s="25"/>
      <c r="PVD29" s="25"/>
      <c r="PVE29" s="25"/>
      <c r="PVF29" s="25"/>
      <c r="PVG29" s="25"/>
      <c r="PVH29" s="25"/>
      <c r="PVI29" s="25"/>
      <c r="PVJ29" s="25"/>
      <c r="PVK29" s="25"/>
      <c r="PVL29" s="25"/>
      <c r="PVM29" s="25"/>
      <c r="PVN29" s="25"/>
      <c r="PVO29" s="25"/>
      <c r="PVP29" s="25"/>
      <c r="PVQ29" s="25"/>
      <c r="PVR29" s="25"/>
      <c r="PVS29" s="25"/>
      <c r="PVT29" s="25"/>
      <c r="PVU29" s="25"/>
      <c r="PVV29" s="25"/>
      <c r="PVW29" s="25"/>
      <c r="PVX29" s="25"/>
      <c r="PVY29" s="25"/>
      <c r="PVZ29" s="25"/>
      <c r="PWA29" s="25"/>
      <c r="PWB29" s="25"/>
      <c r="PWC29" s="25"/>
      <c r="PWD29" s="25"/>
      <c r="PWE29" s="25"/>
      <c r="PWF29" s="25"/>
      <c r="PWG29" s="25"/>
      <c r="PWH29" s="25"/>
      <c r="PWI29" s="25"/>
      <c r="PWJ29" s="25"/>
      <c r="PWK29" s="25"/>
      <c r="PWL29" s="25"/>
      <c r="PWM29" s="25"/>
      <c r="PWN29" s="25"/>
      <c r="PWO29" s="25"/>
      <c r="PWP29" s="25"/>
      <c r="PWQ29" s="25"/>
      <c r="PWR29" s="25"/>
      <c r="PWS29" s="25"/>
      <c r="PWT29" s="25"/>
      <c r="PWU29" s="25"/>
      <c r="PWV29" s="25"/>
      <c r="PWW29" s="25"/>
      <c r="PWX29" s="25"/>
      <c r="PWY29" s="25"/>
      <c r="PWZ29" s="25"/>
      <c r="PXA29" s="25"/>
      <c r="PXB29" s="25"/>
      <c r="PXC29" s="25"/>
      <c r="PXD29" s="25"/>
      <c r="PXE29" s="25"/>
      <c r="PXF29" s="25"/>
      <c r="PXG29" s="25"/>
      <c r="PXH29" s="25"/>
      <c r="PXI29" s="25"/>
      <c r="PXJ29" s="25"/>
      <c r="PXK29" s="25"/>
      <c r="PXL29" s="25"/>
      <c r="PXM29" s="25"/>
      <c r="PXN29" s="25"/>
      <c r="PXO29" s="25"/>
      <c r="PXP29" s="25"/>
      <c r="PXQ29" s="25"/>
      <c r="PXR29" s="25"/>
      <c r="PXS29" s="25"/>
      <c r="PXT29" s="25"/>
      <c r="PXU29" s="25"/>
      <c r="PXV29" s="25"/>
      <c r="PXW29" s="25"/>
      <c r="PXX29" s="25"/>
      <c r="PXY29" s="25"/>
      <c r="PXZ29" s="25"/>
      <c r="PYA29" s="25"/>
      <c r="PYB29" s="25"/>
      <c r="PYC29" s="25"/>
      <c r="PYD29" s="25"/>
      <c r="PYE29" s="25"/>
      <c r="PYF29" s="25"/>
      <c r="PYG29" s="25"/>
      <c r="PYH29" s="25"/>
      <c r="PYI29" s="25"/>
      <c r="PYJ29" s="25"/>
      <c r="PYK29" s="25"/>
      <c r="PYL29" s="25"/>
      <c r="PYM29" s="25"/>
      <c r="PYN29" s="25"/>
      <c r="PYO29" s="25"/>
      <c r="PYP29" s="25"/>
      <c r="PYQ29" s="25"/>
      <c r="PYR29" s="25"/>
      <c r="PYS29" s="25"/>
      <c r="PYT29" s="25"/>
      <c r="PYU29" s="25"/>
      <c r="PYV29" s="25"/>
      <c r="PYW29" s="25"/>
      <c r="PYX29" s="25"/>
      <c r="PYY29" s="25"/>
      <c r="PYZ29" s="25"/>
      <c r="PZA29" s="25"/>
      <c r="PZB29" s="25"/>
      <c r="PZC29" s="25"/>
      <c r="PZD29" s="25"/>
      <c r="PZE29" s="25"/>
      <c r="PZF29" s="25"/>
      <c r="PZG29" s="25"/>
      <c r="PZH29" s="25"/>
      <c r="PZI29" s="25"/>
      <c r="PZJ29" s="25"/>
      <c r="PZK29" s="25"/>
      <c r="PZL29" s="25"/>
      <c r="PZM29" s="25"/>
      <c r="PZN29" s="25"/>
      <c r="PZO29" s="25"/>
      <c r="PZP29" s="25"/>
      <c r="PZQ29" s="25"/>
      <c r="PZR29" s="25"/>
      <c r="PZS29" s="25"/>
      <c r="PZT29" s="25"/>
      <c r="PZU29" s="25"/>
      <c r="PZV29" s="25"/>
      <c r="PZW29" s="25"/>
      <c r="PZX29" s="25"/>
      <c r="PZY29" s="25"/>
      <c r="PZZ29" s="25"/>
      <c r="QAA29" s="25"/>
      <c r="QAB29" s="25"/>
      <c r="QAC29" s="25"/>
      <c r="QAD29" s="25"/>
      <c r="QAE29" s="25"/>
      <c r="QAF29" s="25"/>
      <c r="QAG29" s="25"/>
      <c r="QAH29" s="25"/>
      <c r="QAI29" s="25"/>
      <c r="QAJ29" s="25"/>
      <c r="QAK29" s="25"/>
      <c r="QAL29" s="25"/>
      <c r="QAM29" s="25"/>
      <c r="QAN29" s="25"/>
      <c r="QAO29" s="25"/>
      <c r="QAP29" s="25"/>
      <c r="QAQ29" s="25"/>
      <c r="QAR29" s="25"/>
      <c r="QAS29" s="25"/>
      <c r="QAT29" s="25"/>
      <c r="QAU29" s="25"/>
      <c r="QAV29" s="25"/>
      <c r="QAW29" s="25"/>
      <c r="QAX29" s="25"/>
      <c r="QAY29" s="25"/>
      <c r="QAZ29" s="25"/>
      <c r="QBA29" s="25"/>
      <c r="QBB29" s="25"/>
      <c r="QBC29" s="25"/>
      <c r="QBD29" s="25"/>
      <c r="QBE29" s="25"/>
      <c r="QBF29" s="25"/>
      <c r="QBG29" s="25"/>
      <c r="QBH29" s="25"/>
      <c r="QBI29" s="25"/>
      <c r="QBJ29" s="25"/>
      <c r="QBK29" s="25"/>
      <c r="QBL29" s="25"/>
      <c r="QBM29" s="25"/>
      <c r="QBN29" s="25"/>
      <c r="QBO29" s="25"/>
      <c r="QBP29" s="25"/>
      <c r="QBQ29" s="25"/>
      <c r="QBR29" s="25"/>
      <c r="QBS29" s="25"/>
      <c r="QBT29" s="25"/>
      <c r="QBU29" s="25"/>
      <c r="QBV29" s="25"/>
      <c r="QBW29" s="25"/>
      <c r="QBX29" s="25"/>
      <c r="QBY29" s="25"/>
      <c r="QBZ29" s="25"/>
      <c r="QCA29" s="25"/>
      <c r="QCB29" s="25"/>
      <c r="QCC29" s="25"/>
      <c r="QCD29" s="25"/>
      <c r="QCE29" s="25"/>
      <c r="QCF29" s="25"/>
      <c r="QCG29" s="25"/>
      <c r="QCH29" s="25"/>
      <c r="QCI29" s="25"/>
      <c r="QCJ29" s="25"/>
      <c r="QCK29" s="25"/>
      <c r="QCL29" s="25"/>
      <c r="QCM29" s="25"/>
      <c r="QCN29" s="25"/>
      <c r="QCO29" s="25"/>
      <c r="QCP29" s="25"/>
      <c r="QCQ29" s="25"/>
      <c r="QCR29" s="25"/>
      <c r="QCS29" s="25"/>
      <c r="QCT29" s="25"/>
      <c r="QCU29" s="25"/>
      <c r="QCV29" s="25"/>
      <c r="QCW29" s="25"/>
      <c r="QCX29" s="25"/>
      <c r="QCY29" s="25"/>
      <c r="QCZ29" s="25"/>
      <c r="QDA29" s="25"/>
      <c r="QDB29" s="25"/>
      <c r="QDC29" s="25"/>
      <c r="QDD29" s="25"/>
      <c r="QDE29" s="25"/>
      <c r="QDF29" s="25"/>
      <c r="QDG29" s="25"/>
      <c r="QDH29" s="25"/>
      <c r="QDI29" s="25"/>
      <c r="QDJ29" s="25"/>
      <c r="QDK29" s="25"/>
      <c r="QDL29" s="25"/>
      <c r="QDM29" s="25"/>
      <c r="QDN29" s="25"/>
      <c r="QDO29" s="25"/>
      <c r="QDP29" s="25"/>
      <c r="QDQ29" s="25"/>
      <c r="QDR29" s="25"/>
      <c r="QDS29" s="25"/>
      <c r="QDT29" s="25"/>
      <c r="QDU29" s="25"/>
      <c r="QDV29" s="25"/>
      <c r="QDW29" s="25"/>
      <c r="QDX29" s="25"/>
      <c r="QDY29" s="25"/>
      <c r="QDZ29" s="25"/>
      <c r="QEA29" s="25"/>
      <c r="QEB29" s="25"/>
      <c r="QEC29" s="25"/>
      <c r="QED29" s="25"/>
      <c r="QEE29" s="25"/>
      <c r="QEF29" s="25"/>
      <c r="QEG29" s="25"/>
      <c r="QEH29" s="25"/>
      <c r="QEI29" s="25"/>
      <c r="QEJ29" s="25"/>
      <c r="QEK29" s="25"/>
      <c r="QEL29" s="25"/>
      <c r="QEM29" s="25"/>
      <c r="QEN29" s="25"/>
      <c r="QEO29" s="25"/>
      <c r="QEP29" s="25"/>
      <c r="QEQ29" s="25"/>
      <c r="QER29" s="25"/>
      <c r="QES29" s="25"/>
      <c r="QET29" s="25"/>
      <c r="QEU29" s="25"/>
      <c r="QEV29" s="25"/>
      <c r="QEW29" s="25"/>
      <c r="QEX29" s="25"/>
      <c r="QEY29" s="25"/>
      <c r="QEZ29" s="25"/>
      <c r="QFA29" s="25"/>
      <c r="QFB29" s="25"/>
      <c r="QFC29" s="25"/>
      <c r="QFD29" s="25"/>
      <c r="QFE29" s="25"/>
      <c r="QFF29" s="25"/>
      <c r="QFG29" s="25"/>
      <c r="QFH29" s="25"/>
      <c r="QFI29" s="25"/>
      <c r="QFJ29" s="25"/>
      <c r="QFK29" s="25"/>
      <c r="QFL29" s="25"/>
      <c r="QFM29" s="25"/>
      <c r="QFN29" s="25"/>
      <c r="QFO29" s="25"/>
      <c r="QFP29" s="25"/>
      <c r="QFQ29" s="25"/>
      <c r="QFR29" s="25"/>
      <c r="QFS29" s="25"/>
      <c r="QFT29" s="25"/>
      <c r="QFU29" s="25"/>
      <c r="QFV29" s="25"/>
      <c r="QFW29" s="25"/>
      <c r="QFX29" s="25"/>
      <c r="QFY29" s="25"/>
      <c r="QFZ29" s="25"/>
      <c r="QGA29" s="25"/>
      <c r="QGB29" s="25"/>
      <c r="QGC29" s="25"/>
      <c r="QGD29" s="25"/>
      <c r="QGE29" s="25"/>
      <c r="QGF29" s="25"/>
      <c r="QGG29" s="25"/>
      <c r="QGH29" s="25"/>
      <c r="QGI29" s="25"/>
      <c r="QGJ29" s="25"/>
      <c r="QGK29" s="25"/>
      <c r="QGL29" s="25"/>
      <c r="QGM29" s="25"/>
      <c r="QGN29" s="25"/>
      <c r="QGO29" s="25"/>
      <c r="QGP29" s="25"/>
      <c r="QGQ29" s="25"/>
      <c r="QGR29" s="25"/>
      <c r="QGS29" s="25"/>
      <c r="QGT29" s="25"/>
      <c r="QGU29" s="25"/>
      <c r="QGV29" s="25"/>
      <c r="QGW29" s="25"/>
      <c r="QGX29" s="25"/>
      <c r="QGY29" s="25"/>
      <c r="QGZ29" s="25"/>
      <c r="QHA29" s="25"/>
      <c r="QHB29" s="25"/>
      <c r="QHC29" s="25"/>
      <c r="QHD29" s="25"/>
      <c r="QHE29" s="25"/>
      <c r="QHF29" s="25"/>
      <c r="QHG29" s="25"/>
      <c r="QHH29" s="25"/>
      <c r="QHI29" s="25"/>
      <c r="QHJ29" s="25"/>
      <c r="QHK29" s="25"/>
      <c r="QHL29" s="25"/>
      <c r="QHM29" s="25"/>
      <c r="QHN29" s="25"/>
      <c r="QHO29" s="25"/>
      <c r="QHP29" s="25"/>
      <c r="QHQ29" s="25"/>
      <c r="QHR29" s="25"/>
      <c r="QHS29" s="25"/>
      <c r="QHT29" s="25"/>
      <c r="QHU29" s="25"/>
      <c r="QHV29" s="25"/>
      <c r="QHW29" s="25"/>
      <c r="QHX29" s="25"/>
      <c r="QHY29" s="25"/>
      <c r="QHZ29" s="25"/>
      <c r="QIA29" s="25"/>
      <c r="QIB29" s="25"/>
      <c r="QIC29" s="25"/>
      <c r="QID29" s="25"/>
      <c r="QIE29" s="25"/>
      <c r="QIF29" s="25"/>
      <c r="QIG29" s="25"/>
      <c r="QIH29" s="25"/>
      <c r="QII29" s="25"/>
      <c r="QIJ29" s="25"/>
      <c r="QIK29" s="25"/>
      <c r="QIL29" s="25"/>
      <c r="QIM29" s="25"/>
      <c r="QIN29" s="25"/>
      <c r="QIO29" s="25"/>
      <c r="QIP29" s="25"/>
      <c r="QIQ29" s="25"/>
      <c r="QIR29" s="25"/>
      <c r="QIS29" s="25"/>
      <c r="QIT29" s="25"/>
      <c r="QIU29" s="25"/>
      <c r="QIV29" s="25"/>
      <c r="QIW29" s="25"/>
      <c r="QIX29" s="25"/>
      <c r="QIY29" s="25"/>
      <c r="QIZ29" s="25"/>
      <c r="QJA29" s="25"/>
      <c r="QJB29" s="25"/>
      <c r="QJC29" s="25"/>
      <c r="QJD29" s="25"/>
      <c r="QJE29" s="25"/>
      <c r="QJF29" s="25"/>
      <c r="QJG29" s="25"/>
      <c r="QJH29" s="25"/>
      <c r="QJI29" s="25"/>
      <c r="QJJ29" s="25"/>
      <c r="QJK29" s="25"/>
      <c r="QJL29" s="25"/>
      <c r="QJM29" s="25"/>
      <c r="QJN29" s="25"/>
      <c r="QJO29" s="25"/>
      <c r="QJP29" s="25"/>
      <c r="QJQ29" s="25"/>
      <c r="QJR29" s="25"/>
      <c r="QJS29" s="25"/>
      <c r="QJT29" s="25"/>
      <c r="QJU29" s="25"/>
      <c r="QJV29" s="25"/>
      <c r="QJW29" s="25"/>
      <c r="QJX29" s="25"/>
      <c r="QJY29" s="25"/>
      <c r="QJZ29" s="25"/>
      <c r="QKA29" s="25"/>
      <c r="QKB29" s="25"/>
      <c r="QKC29" s="25"/>
      <c r="QKD29" s="25"/>
      <c r="QKE29" s="25"/>
      <c r="QKF29" s="25"/>
      <c r="QKG29" s="25"/>
      <c r="QKH29" s="25"/>
      <c r="QKI29" s="25"/>
      <c r="QKJ29" s="25"/>
      <c r="QKK29" s="25"/>
      <c r="QKL29" s="25"/>
      <c r="QKM29" s="25"/>
      <c r="QKN29" s="25"/>
      <c r="QKO29" s="25"/>
      <c r="QKP29" s="25"/>
      <c r="QKQ29" s="25"/>
      <c r="QKR29" s="25"/>
      <c r="QKS29" s="25"/>
      <c r="QKT29" s="25"/>
      <c r="QKU29" s="25"/>
      <c r="QKV29" s="25"/>
      <c r="QKW29" s="25"/>
      <c r="QKX29" s="25"/>
      <c r="QKY29" s="25"/>
      <c r="QKZ29" s="25"/>
      <c r="QLA29" s="25"/>
      <c r="QLB29" s="25"/>
      <c r="QLC29" s="25"/>
      <c r="QLD29" s="25"/>
      <c r="QLE29" s="25"/>
      <c r="QLF29" s="25"/>
      <c r="QLG29" s="25"/>
      <c r="QLH29" s="25"/>
      <c r="QLI29" s="25"/>
      <c r="QLJ29" s="25"/>
      <c r="QLK29" s="25"/>
      <c r="QLL29" s="25"/>
      <c r="QLM29" s="25"/>
      <c r="QLN29" s="25"/>
      <c r="QLO29" s="25"/>
      <c r="QLP29" s="25"/>
      <c r="QLQ29" s="25"/>
      <c r="QLR29" s="25"/>
      <c r="QLS29" s="25"/>
      <c r="QLT29" s="25"/>
      <c r="QLU29" s="25"/>
      <c r="QLV29" s="25"/>
      <c r="QLW29" s="25"/>
      <c r="QLX29" s="25"/>
      <c r="QLY29" s="25"/>
      <c r="QLZ29" s="25"/>
      <c r="QMA29" s="25"/>
      <c r="QMB29" s="25"/>
      <c r="QMC29" s="25"/>
      <c r="QMD29" s="25"/>
      <c r="QME29" s="25"/>
      <c r="QMF29" s="25"/>
      <c r="QMG29" s="25"/>
      <c r="QMH29" s="25"/>
      <c r="QMI29" s="25"/>
      <c r="QMJ29" s="25"/>
      <c r="QMK29" s="25"/>
      <c r="QML29" s="25"/>
      <c r="QMM29" s="25"/>
      <c r="QMN29" s="25"/>
      <c r="QMO29" s="25"/>
      <c r="QMP29" s="25"/>
      <c r="QMQ29" s="25"/>
      <c r="QMR29" s="25"/>
      <c r="QMS29" s="25"/>
      <c r="QMT29" s="25"/>
      <c r="QMU29" s="25"/>
      <c r="QMV29" s="25"/>
      <c r="QMW29" s="25"/>
      <c r="QMX29" s="25"/>
      <c r="QMY29" s="25"/>
      <c r="QMZ29" s="25"/>
      <c r="QNA29" s="25"/>
      <c r="QNB29" s="25"/>
      <c r="QNC29" s="25"/>
      <c r="QND29" s="25"/>
      <c r="QNE29" s="25"/>
      <c r="QNF29" s="25"/>
      <c r="QNG29" s="25"/>
      <c r="QNH29" s="25"/>
      <c r="QNI29" s="25"/>
      <c r="QNJ29" s="25"/>
      <c r="QNK29" s="25"/>
      <c r="QNL29" s="25"/>
      <c r="QNM29" s="25"/>
      <c r="QNN29" s="25"/>
      <c r="QNO29" s="25"/>
      <c r="QNP29" s="25"/>
      <c r="QNQ29" s="25"/>
      <c r="QNR29" s="25"/>
      <c r="QNS29" s="25"/>
      <c r="QNT29" s="25"/>
      <c r="QNU29" s="25"/>
      <c r="QNV29" s="25"/>
      <c r="QNW29" s="25"/>
      <c r="QNX29" s="25"/>
      <c r="QNY29" s="25"/>
      <c r="QNZ29" s="25"/>
      <c r="QOA29" s="25"/>
      <c r="QOB29" s="25"/>
      <c r="QOC29" s="25"/>
      <c r="QOD29" s="25"/>
      <c r="QOE29" s="25"/>
      <c r="QOF29" s="25"/>
      <c r="QOG29" s="25"/>
      <c r="QOH29" s="25"/>
      <c r="QOI29" s="25"/>
      <c r="QOJ29" s="25"/>
      <c r="QOK29" s="25"/>
      <c r="QOL29" s="25"/>
      <c r="QOM29" s="25"/>
      <c r="QON29" s="25"/>
      <c r="QOO29" s="25"/>
      <c r="QOP29" s="25"/>
      <c r="QOQ29" s="25"/>
      <c r="QOR29" s="25"/>
      <c r="QOS29" s="25"/>
      <c r="QOT29" s="25"/>
      <c r="QOU29" s="25"/>
      <c r="QOV29" s="25"/>
      <c r="QOW29" s="25"/>
      <c r="QOX29" s="25"/>
      <c r="QOY29" s="25"/>
      <c r="QOZ29" s="25"/>
      <c r="QPA29" s="25"/>
      <c r="QPB29" s="25"/>
      <c r="QPC29" s="25"/>
      <c r="QPD29" s="25"/>
      <c r="QPE29" s="25"/>
      <c r="QPF29" s="25"/>
      <c r="QPG29" s="25"/>
      <c r="QPH29" s="25"/>
      <c r="QPI29" s="25"/>
      <c r="QPJ29" s="25"/>
      <c r="QPK29" s="25"/>
      <c r="QPL29" s="25"/>
      <c r="QPM29" s="25"/>
      <c r="QPN29" s="25"/>
      <c r="QPO29" s="25"/>
      <c r="QPP29" s="25"/>
      <c r="QPQ29" s="25"/>
      <c r="QPR29" s="25"/>
      <c r="QPS29" s="25"/>
      <c r="QPT29" s="25"/>
      <c r="QPU29" s="25"/>
      <c r="QPV29" s="25"/>
      <c r="QPW29" s="25"/>
      <c r="QPX29" s="25"/>
      <c r="QPY29" s="25"/>
      <c r="QPZ29" s="25"/>
      <c r="QQA29" s="25"/>
      <c r="QQB29" s="25"/>
      <c r="QQC29" s="25"/>
      <c r="QQD29" s="25"/>
      <c r="QQE29" s="25"/>
      <c r="QQF29" s="25"/>
      <c r="QQG29" s="25"/>
      <c r="QQH29" s="25"/>
      <c r="QQI29" s="25"/>
      <c r="QQJ29" s="25"/>
      <c r="QQK29" s="25"/>
      <c r="QQL29" s="25"/>
      <c r="QQM29" s="25"/>
      <c r="QQN29" s="25"/>
      <c r="QQO29" s="25"/>
      <c r="QQP29" s="25"/>
      <c r="QQQ29" s="25"/>
      <c r="QQR29" s="25"/>
      <c r="QQS29" s="25"/>
      <c r="QQT29" s="25"/>
      <c r="QQU29" s="25"/>
      <c r="QQV29" s="25"/>
      <c r="QQW29" s="25"/>
      <c r="QQX29" s="25"/>
      <c r="QQY29" s="25"/>
      <c r="QQZ29" s="25"/>
      <c r="QRA29" s="25"/>
      <c r="QRB29" s="25"/>
      <c r="QRC29" s="25"/>
      <c r="QRD29" s="25"/>
      <c r="QRE29" s="25"/>
      <c r="QRF29" s="25"/>
      <c r="QRG29" s="25"/>
      <c r="QRH29" s="25"/>
      <c r="QRI29" s="25"/>
      <c r="QRJ29" s="25"/>
      <c r="QRK29" s="25"/>
      <c r="QRL29" s="25"/>
      <c r="QRM29" s="25"/>
      <c r="QRN29" s="25"/>
      <c r="QRO29" s="25"/>
      <c r="QRP29" s="25"/>
      <c r="QRQ29" s="25"/>
      <c r="QRR29" s="25"/>
      <c r="QRS29" s="25"/>
      <c r="QRT29" s="25"/>
      <c r="QRU29" s="25"/>
      <c r="QRV29" s="25"/>
      <c r="QRW29" s="25"/>
      <c r="QRX29" s="25"/>
      <c r="QRY29" s="25"/>
      <c r="QRZ29" s="25"/>
      <c r="QSA29" s="25"/>
      <c r="QSB29" s="25"/>
      <c r="QSC29" s="25"/>
      <c r="QSD29" s="25"/>
      <c r="QSE29" s="25"/>
      <c r="QSF29" s="25"/>
      <c r="QSG29" s="25"/>
      <c r="QSH29" s="25"/>
      <c r="QSI29" s="25"/>
      <c r="QSJ29" s="25"/>
      <c r="QSK29" s="25"/>
      <c r="QSL29" s="25"/>
      <c r="QSM29" s="25"/>
      <c r="QSN29" s="25"/>
      <c r="QSO29" s="25"/>
      <c r="QSP29" s="25"/>
      <c r="QSQ29" s="25"/>
      <c r="QSR29" s="25"/>
      <c r="QSS29" s="25"/>
      <c r="QST29" s="25"/>
      <c r="QSU29" s="25"/>
      <c r="QSV29" s="25"/>
      <c r="QSW29" s="25"/>
      <c r="QSX29" s="25"/>
      <c r="QSY29" s="25"/>
      <c r="QSZ29" s="25"/>
      <c r="QTA29" s="25"/>
      <c r="QTB29" s="25"/>
      <c r="QTC29" s="25"/>
      <c r="QTD29" s="25"/>
      <c r="QTE29" s="25"/>
      <c r="QTF29" s="25"/>
      <c r="QTG29" s="25"/>
      <c r="QTH29" s="25"/>
      <c r="QTI29" s="25"/>
      <c r="QTJ29" s="25"/>
      <c r="QTK29" s="25"/>
      <c r="QTL29" s="25"/>
      <c r="QTM29" s="25"/>
      <c r="QTN29" s="25"/>
      <c r="QTO29" s="25"/>
      <c r="QTP29" s="25"/>
      <c r="QTQ29" s="25"/>
      <c r="QTR29" s="25"/>
      <c r="QTS29" s="25"/>
      <c r="QTT29" s="25"/>
      <c r="QTU29" s="25"/>
      <c r="QTV29" s="25"/>
      <c r="QTW29" s="25"/>
      <c r="QTX29" s="25"/>
      <c r="QTY29" s="25"/>
      <c r="QTZ29" s="25"/>
      <c r="QUA29" s="25"/>
      <c r="QUB29" s="25"/>
      <c r="QUC29" s="25"/>
      <c r="QUD29" s="25"/>
      <c r="QUE29" s="25"/>
      <c r="QUF29" s="25"/>
      <c r="QUG29" s="25"/>
      <c r="QUH29" s="25"/>
      <c r="QUI29" s="25"/>
      <c r="QUJ29" s="25"/>
      <c r="QUK29" s="25"/>
      <c r="QUL29" s="25"/>
      <c r="QUM29" s="25"/>
      <c r="QUN29" s="25"/>
      <c r="QUO29" s="25"/>
      <c r="QUP29" s="25"/>
      <c r="QUQ29" s="25"/>
      <c r="QUR29" s="25"/>
      <c r="QUS29" s="25"/>
      <c r="QUT29" s="25"/>
      <c r="QUU29" s="25"/>
      <c r="QUV29" s="25"/>
      <c r="QUW29" s="25"/>
      <c r="QUX29" s="25"/>
      <c r="QUY29" s="25"/>
      <c r="QUZ29" s="25"/>
      <c r="QVA29" s="25"/>
      <c r="QVB29" s="25"/>
      <c r="QVC29" s="25"/>
      <c r="QVD29" s="25"/>
      <c r="QVE29" s="25"/>
      <c r="QVF29" s="25"/>
      <c r="QVG29" s="25"/>
      <c r="QVH29" s="25"/>
      <c r="QVI29" s="25"/>
      <c r="QVJ29" s="25"/>
      <c r="QVK29" s="25"/>
      <c r="QVL29" s="25"/>
      <c r="QVM29" s="25"/>
      <c r="QVN29" s="25"/>
      <c r="QVO29" s="25"/>
      <c r="QVP29" s="25"/>
      <c r="QVQ29" s="25"/>
      <c r="QVR29" s="25"/>
      <c r="QVS29" s="25"/>
      <c r="QVT29" s="25"/>
      <c r="QVU29" s="25"/>
      <c r="QVV29" s="25"/>
      <c r="QVW29" s="25"/>
      <c r="QVX29" s="25"/>
      <c r="QVY29" s="25"/>
      <c r="QVZ29" s="25"/>
      <c r="QWA29" s="25"/>
      <c r="QWB29" s="25"/>
      <c r="QWC29" s="25"/>
      <c r="QWD29" s="25"/>
      <c r="QWE29" s="25"/>
      <c r="QWF29" s="25"/>
      <c r="QWG29" s="25"/>
      <c r="QWH29" s="25"/>
      <c r="QWI29" s="25"/>
      <c r="QWJ29" s="25"/>
      <c r="QWK29" s="25"/>
      <c r="QWL29" s="25"/>
      <c r="QWM29" s="25"/>
      <c r="QWN29" s="25"/>
      <c r="QWO29" s="25"/>
      <c r="QWP29" s="25"/>
      <c r="QWQ29" s="25"/>
      <c r="QWR29" s="25"/>
      <c r="QWS29" s="25"/>
      <c r="QWT29" s="25"/>
      <c r="QWU29" s="25"/>
      <c r="QWV29" s="25"/>
      <c r="QWW29" s="25"/>
      <c r="QWX29" s="25"/>
      <c r="QWY29" s="25"/>
      <c r="QWZ29" s="25"/>
      <c r="QXA29" s="25"/>
      <c r="QXB29" s="25"/>
      <c r="QXC29" s="25"/>
      <c r="QXD29" s="25"/>
      <c r="QXE29" s="25"/>
      <c r="QXF29" s="25"/>
      <c r="QXG29" s="25"/>
      <c r="QXH29" s="25"/>
      <c r="QXI29" s="25"/>
      <c r="QXJ29" s="25"/>
      <c r="QXK29" s="25"/>
      <c r="QXL29" s="25"/>
      <c r="QXM29" s="25"/>
      <c r="QXN29" s="25"/>
      <c r="QXO29" s="25"/>
      <c r="QXP29" s="25"/>
      <c r="QXQ29" s="25"/>
      <c r="QXR29" s="25"/>
      <c r="QXS29" s="25"/>
      <c r="QXT29" s="25"/>
      <c r="QXU29" s="25"/>
      <c r="QXV29" s="25"/>
      <c r="QXW29" s="25"/>
      <c r="QXX29" s="25"/>
      <c r="QXY29" s="25"/>
      <c r="QXZ29" s="25"/>
      <c r="QYA29" s="25"/>
      <c r="QYB29" s="25"/>
      <c r="QYC29" s="25"/>
      <c r="QYD29" s="25"/>
      <c r="QYE29" s="25"/>
      <c r="QYF29" s="25"/>
      <c r="QYG29" s="25"/>
      <c r="QYH29" s="25"/>
      <c r="QYI29" s="25"/>
      <c r="QYJ29" s="25"/>
      <c r="QYK29" s="25"/>
      <c r="QYL29" s="25"/>
      <c r="QYM29" s="25"/>
      <c r="QYN29" s="25"/>
      <c r="QYO29" s="25"/>
      <c r="QYP29" s="25"/>
      <c r="QYQ29" s="25"/>
      <c r="QYR29" s="25"/>
      <c r="QYS29" s="25"/>
      <c r="QYT29" s="25"/>
      <c r="QYU29" s="25"/>
      <c r="QYV29" s="25"/>
      <c r="QYW29" s="25"/>
      <c r="QYX29" s="25"/>
      <c r="QYY29" s="25"/>
      <c r="QYZ29" s="25"/>
      <c r="QZA29" s="25"/>
      <c r="QZB29" s="25"/>
      <c r="QZC29" s="25"/>
      <c r="QZD29" s="25"/>
      <c r="QZE29" s="25"/>
      <c r="QZF29" s="25"/>
      <c r="QZG29" s="25"/>
      <c r="QZH29" s="25"/>
      <c r="QZI29" s="25"/>
      <c r="QZJ29" s="25"/>
      <c r="QZK29" s="25"/>
      <c r="QZL29" s="25"/>
      <c r="QZM29" s="25"/>
      <c r="QZN29" s="25"/>
      <c r="QZO29" s="25"/>
      <c r="QZP29" s="25"/>
      <c r="QZQ29" s="25"/>
      <c r="QZR29" s="25"/>
      <c r="QZS29" s="25"/>
      <c r="QZT29" s="25"/>
      <c r="QZU29" s="25"/>
      <c r="QZV29" s="25"/>
      <c r="QZW29" s="25"/>
      <c r="QZX29" s="25"/>
      <c r="QZY29" s="25"/>
      <c r="QZZ29" s="25"/>
      <c r="RAA29" s="25"/>
      <c r="RAB29" s="25"/>
      <c r="RAC29" s="25"/>
      <c r="RAD29" s="25"/>
      <c r="RAE29" s="25"/>
      <c r="RAF29" s="25"/>
      <c r="RAG29" s="25"/>
      <c r="RAH29" s="25"/>
      <c r="RAI29" s="25"/>
      <c r="RAJ29" s="25"/>
      <c r="RAK29" s="25"/>
      <c r="RAL29" s="25"/>
      <c r="RAM29" s="25"/>
      <c r="RAN29" s="25"/>
      <c r="RAO29" s="25"/>
      <c r="RAP29" s="25"/>
      <c r="RAQ29" s="25"/>
      <c r="RAR29" s="25"/>
      <c r="RAS29" s="25"/>
      <c r="RAT29" s="25"/>
      <c r="RAU29" s="25"/>
      <c r="RAV29" s="25"/>
      <c r="RAW29" s="25"/>
      <c r="RAX29" s="25"/>
      <c r="RAY29" s="25"/>
      <c r="RAZ29" s="25"/>
      <c r="RBA29" s="25"/>
      <c r="RBB29" s="25"/>
      <c r="RBC29" s="25"/>
      <c r="RBD29" s="25"/>
      <c r="RBE29" s="25"/>
      <c r="RBF29" s="25"/>
      <c r="RBG29" s="25"/>
      <c r="RBH29" s="25"/>
      <c r="RBI29" s="25"/>
      <c r="RBJ29" s="25"/>
      <c r="RBK29" s="25"/>
      <c r="RBL29" s="25"/>
      <c r="RBM29" s="25"/>
      <c r="RBN29" s="25"/>
      <c r="RBO29" s="25"/>
      <c r="RBP29" s="25"/>
      <c r="RBQ29" s="25"/>
      <c r="RBR29" s="25"/>
      <c r="RBS29" s="25"/>
      <c r="RBT29" s="25"/>
      <c r="RBU29" s="25"/>
      <c r="RBV29" s="25"/>
      <c r="RBW29" s="25"/>
      <c r="RBX29" s="25"/>
      <c r="RBY29" s="25"/>
      <c r="RBZ29" s="25"/>
      <c r="RCA29" s="25"/>
      <c r="RCB29" s="25"/>
      <c r="RCC29" s="25"/>
      <c r="RCD29" s="25"/>
      <c r="RCE29" s="25"/>
      <c r="RCF29" s="25"/>
      <c r="RCG29" s="25"/>
      <c r="RCH29" s="25"/>
      <c r="RCI29" s="25"/>
      <c r="RCJ29" s="25"/>
      <c r="RCK29" s="25"/>
      <c r="RCL29" s="25"/>
      <c r="RCM29" s="25"/>
      <c r="RCN29" s="25"/>
      <c r="RCO29" s="25"/>
      <c r="RCP29" s="25"/>
      <c r="RCQ29" s="25"/>
      <c r="RCR29" s="25"/>
      <c r="RCS29" s="25"/>
      <c r="RCT29" s="25"/>
      <c r="RCU29" s="25"/>
      <c r="RCV29" s="25"/>
      <c r="RCW29" s="25"/>
      <c r="RCX29" s="25"/>
      <c r="RCY29" s="25"/>
      <c r="RCZ29" s="25"/>
      <c r="RDA29" s="25"/>
      <c r="RDB29" s="25"/>
      <c r="RDC29" s="25"/>
      <c r="RDD29" s="25"/>
      <c r="RDE29" s="25"/>
      <c r="RDF29" s="25"/>
      <c r="RDG29" s="25"/>
      <c r="RDH29" s="25"/>
      <c r="RDI29" s="25"/>
      <c r="RDJ29" s="25"/>
      <c r="RDK29" s="25"/>
      <c r="RDL29" s="25"/>
      <c r="RDM29" s="25"/>
      <c r="RDN29" s="25"/>
      <c r="RDO29" s="25"/>
      <c r="RDP29" s="25"/>
      <c r="RDQ29" s="25"/>
      <c r="RDR29" s="25"/>
      <c r="RDS29" s="25"/>
      <c r="RDT29" s="25"/>
      <c r="RDU29" s="25"/>
      <c r="RDV29" s="25"/>
      <c r="RDW29" s="25"/>
      <c r="RDX29" s="25"/>
      <c r="RDY29" s="25"/>
      <c r="RDZ29" s="25"/>
      <c r="REA29" s="25"/>
      <c r="REB29" s="25"/>
      <c r="REC29" s="25"/>
      <c r="RED29" s="25"/>
      <c r="REE29" s="25"/>
      <c r="REF29" s="25"/>
      <c r="REG29" s="25"/>
      <c r="REH29" s="25"/>
      <c r="REI29" s="25"/>
      <c r="REJ29" s="25"/>
      <c r="REK29" s="25"/>
      <c r="REL29" s="25"/>
      <c r="REM29" s="25"/>
      <c r="REN29" s="25"/>
      <c r="REO29" s="25"/>
      <c r="REP29" s="25"/>
      <c r="REQ29" s="25"/>
      <c r="RER29" s="25"/>
      <c r="RES29" s="25"/>
      <c r="RET29" s="25"/>
      <c r="REU29" s="25"/>
      <c r="REV29" s="25"/>
      <c r="REW29" s="25"/>
      <c r="REX29" s="25"/>
      <c r="REY29" s="25"/>
      <c r="REZ29" s="25"/>
      <c r="RFA29" s="25"/>
      <c r="RFB29" s="25"/>
      <c r="RFC29" s="25"/>
      <c r="RFD29" s="25"/>
      <c r="RFE29" s="25"/>
      <c r="RFF29" s="25"/>
      <c r="RFG29" s="25"/>
      <c r="RFH29" s="25"/>
      <c r="RFI29" s="25"/>
      <c r="RFJ29" s="25"/>
      <c r="RFK29" s="25"/>
      <c r="RFL29" s="25"/>
      <c r="RFM29" s="25"/>
      <c r="RFN29" s="25"/>
      <c r="RFO29" s="25"/>
      <c r="RFP29" s="25"/>
      <c r="RFQ29" s="25"/>
      <c r="RFR29" s="25"/>
      <c r="RFS29" s="25"/>
      <c r="RFT29" s="25"/>
      <c r="RFU29" s="25"/>
      <c r="RFV29" s="25"/>
      <c r="RFW29" s="25"/>
      <c r="RFX29" s="25"/>
      <c r="RFY29" s="25"/>
      <c r="RFZ29" s="25"/>
      <c r="RGA29" s="25"/>
      <c r="RGB29" s="25"/>
      <c r="RGC29" s="25"/>
      <c r="RGD29" s="25"/>
      <c r="RGE29" s="25"/>
      <c r="RGF29" s="25"/>
      <c r="RGG29" s="25"/>
      <c r="RGH29" s="25"/>
      <c r="RGI29" s="25"/>
      <c r="RGJ29" s="25"/>
      <c r="RGK29" s="25"/>
      <c r="RGL29" s="25"/>
      <c r="RGM29" s="25"/>
      <c r="RGN29" s="25"/>
      <c r="RGO29" s="25"/>
      <c r="RGP29" s="25"/>
      <c r="RGQ29" s="25"/>
      <c r="RGR29" s="25"/>
      <c r="RGS29" s="25"/>
      <c r="RGT29" s="25"/>
      <c r="RGU29" s="25"/>
      <c r="RGV29" s="25"/>
      <c r="RGW29" s="25"/>
      <c r="RGX29" s="25"/>
      <c r="RGY29" s="25"/>
      <c r="RGZ29" s="25"/>
      <c r="RHA29" s="25"/>
      <c r="RHB29" s="25"/>
      <c r="RHC29" s="25"/>
      <c r="RHD29" s="25"/>
      <c r="RHE29" s="25"/>
      <c r="RHF29" s="25"/>
      <c r="RHG29" s="25"/>
      <c r="RHH29" s="25"/>
      <c r="RHI29" s="25"/>
      <c r="RHJ29" s="25"/>
      <c r="RHK29" s="25"/>
      <c r="RHL29" s="25"/>
      <c r="RHM29" s="25"/>
      <c r="RHN29" s="25"/>
      <c r="RHO29" s="25"/>
      <c r="RHP29" s="25"/>
      <c r="RHQ29" s="25"/>
      <c r="RHR29" s="25"/>
      <c r="RHS29" s="25"/>
      <c r="RHT29" s="25"/>
      <c r="RHU29" s="25"/>
      <c r="RHV29" s="25"/>
      <c r="RHW29" s="25"/>
      <c r="RHX29" s="25"/>
      <c r="RHY29" s="25"/>
      <c r="RHZ29" s="25"/>
      <c r="RIA29" s="25"/>
      <c r="RIB29" s="25"/>
      <c r="RIC29" s="25"/>
      <c r="RID29" s="25"/>
      <c r="RIE29" s="25"/>
      <c r="RIF29" s="25"/>
      <c r="RIG29" s="25"/>
      <c r="RIH29" s="25"/>
      <c r="RII29" s="25"/>
      <c r="RIJ29" s="25"/>
      <c r="RIK29" s="25"/>
      <c r="RIL29" s="25"/>
      <c r="RIM29" s="25"/>
      <c r="RIN29" s="25"/>
      <c r="RIO29" s="25"/>
      <c r="RIP29" s="25"/>
      <c r="RIQ29" s="25"/>
      <c r="RIR29" s="25"/>
      <c r="RIS29" s="25"/>
      <c r="RIT29" s="25"/>
      <c r="RIU29" s="25"/>
      <c r="RIV29" s="25"/>
      <c r="RIW29" s="25"/>
      <c r="RIX29" s="25"/>
      <c r="RIY29" s="25"/>
      <c r="RIZ29" s="25"/>
      <c r="RJA29" s="25"/>
      <c r="RJB29" s="25"/>
      <c r="RJC29" s="25"/>
      <c r="RJD29" s="25"/>
      <c r="RJE29" s="25"/>
      <c r="RJF29" s="25"/>
      <c r="RJG29" s="25"/>
      <c r="RJH29" s="25"/>
      <c r="RJI29" s="25"/>
      <c r="RJJ29" s="25"/>
      <c r="RJK29" s="25"/>
      <c r="RJL29" s="25"/>
      <c r="RJM29" s="25"/>
      <c r="RJN29" s="25"/>
      <c r="RJO29" s="25"/>
      <c r="RJP29" s="25"/>
      <c r="RJQ29" s="25"/>
      <c r="RJR29" s="25"/>
      <c r="RJS29" s="25"/>
      <c r="RJT29" s="25"/>
      <c r="RJU29" s="25"/>
      <c r="RJV29" s="25"/>
      <c r="RJW29" s="25"/>
      <c r="RJX29" s="25"/>
      <c r="RJY29" s="25"/>
      <c r="RJZ29" s="25"/>
      <c r="RKA29" s="25"/>
      <c r="RKB29" s="25"/>
      <c r="RKC29" s="25"/>
      <c r="RKD29" s="25"/>
      <c r="RKE29" s="25"/>
      <c r="RKF29" s="25"/>
      <c r="RKG29" s="25"/>
      <c r="RKH29" s="25"/>
      <c r="RKI29" s="25"/>
      <c r="RKJ29" s="25"/>
      <c r="RKK29" s="25"/>
      <c r="RKL29" s="25"/>
      <c r="RKM29" s="25"/>
      <c r="RKN29" s="25"/>
      <c r="RKO29" s="25"/>
      <c r="RKP29" s="25"/>
      <c r="RKQ29" s="25"/>
      <c r="RKR29" s="25"/>
      <c r="RKS29" s="25"/>
      <c r="RKT29" s="25"/>
      <c r="RKU29" s="25"/>
      <c r="RKV29" s="25"/>
      <c r="RKW29" s="25"/>
      <c r="RKX29" s="25"/>
      <c r="RKY29" s="25"/>
      <c r="RKZ29" s="25"/>
      <c r="RLA29" s="25"/>
      <c r="RLB29" s="25"/>
      <c r="RLC29" s="25"/>
      <c r="RLD29" s="25"/>
      <c r="RLE29" s="25"/>
      <c r="RLF29" s="25"/>
      <c r="RLG29" s="25"/>
      <c r="RLH29" s="25"/>
      <c r="RLI29" s="25"/>
      <c r="RLJ29" s="25"/>
      <c r="RLK29" s="25"/>
      <c r="RLL29" s="25"/>
      <c r="RLM29" s="25"/>
      <c r="RLN29" s="25"/>
      <c r="RLO29" s="25"/>
      <c r="RLP29" s="25"/>
      <c r="RLQ29" s="25"/>
      <c r="RLR29" s="25"/>
      <c r="RLS29" s="25"/>
      <c r="RLT29" s="25"/>
      <c r="RLU29" s="25"/>
      <c r="RLV29" s="25"/>
      <c r="RLW29" s="25"/>
      <c r="RLX29" s="25"/>
      <c r="RLY29" s="25"/>
      <c r="RLZ29" s="25"/>
      <c r="RMA29" s="25"/>
      <c r="RMB29" s="25"/>
      <c r="RMC29" s="25"/>
      <c r="RMD29" s="25"/>
      <c r="RME29" s="25"/>
      <c r="RMF29" s="25"/>
      <c r="RMG29" s="25"/>
      <c r="RMH29" s="25"/>
      <c r="RMI29" s="25"/>
      <c r="RMJ29" s="25"/>
      <c r="RMK29" s="25"/>
      <c r="RML29" s="25"/>
      <c r="RMM29" s="25"/>
      <c r="RMN29" s="25"/>
      <c r="RMO29" s="25"/>
      <c r="RMP29" s="25"/>
      <c r="RMQ29" s="25"/>
      <c r="RMR29" s="25"/>
      <c r="RMS29" s="25"/>
      <c r="RMT29" s="25"/>
      <c r="RMU29" s="25"/>
      <c r="RMV29" s="25"/>
      <c r="RMW29" s="25"/>
      <c r="RMX29" s="25"/>
      <c r="RMY29" s="25"/>
      <c r="RMZ29" s="25"/>
      <c r="RNA29" s="25"/>
      <c r="RNB29" s="25"/>
      <c r="RNC29" s="25"/>
      <c r="RND29" s="25"/>
      <c r="RNE29" s="25"/>
      <c r="RNF29" s="25"/>
      <c r="RNG29" s="25"/>
      <c r="RNH29" s="25"/>
      <c r="RNI29" s="25"/>
      <c r="RNJ29" s="25"/>
      <c r="RNK29" s="25"/>
      <c r="RNL29" s="25"/>
      <c r="RNM29" s="25"/>
      <c r="RNN29" s="25"/>
      <c r="RNO29" s="25"/>
      <c r="RNP29" s="25"/>
      <c r="RNQ29" s="25"/>
      <c r="RNR29" s="25"/>
      <c r="RNS29" s="25"/>
      <c r="RNT29" s="25"/>
      <c r="RNU29" s="25"/>
      <c r="RNV29" s="25"/>
      <c r="RNW29" s="25"/>
      <c r="RNX29" s="25"/>
      <c r="RNY29" s="25"/>
      <c r="RNZ29" s="25"/>
      <c r="ROA29" s="25"/>
      <c r="ROB29" s="25"/>
      <c r="ROC29" s="25"/>
      <c r="ROD29" s="25"/>
      <c r="ROE29" s="25"/>
      <c r="ROF29" s="25"/>
      <c r="ROG29" s="25"/>
      <c r="ROH29" s="25"/>
      <c r="ROI29" s="25"/>
      <c r="ROJ29" s="25"/>
      <c r="ROK29" s="25"/>
      <c r="ROL29" s="25"/>
      <c r="ROM29" s="25"/>
      <c r="RON29" s="25"/>
      <c r="ROO29" s="25"/>
      <c r="ROP29" s="25"/>
      <c r="ROQ29" s="25"/>
      <c r="ROR29" s="25"/>
      <c r="ROS29" s="25"/>
      <c r="ROT29" s="25"/>
      <c r="ROU29" s="25"/>
      <c r="ROV29" s="25"/>
      <c r="ROW29" s="25"/>
      <c r="ROX29" s="25"/>
      <c r="ROY29" s="25"/>
      <c r="ROZ29" s="25"/>
      <c r="RPA29" s="25"/>
      <c r="RPB29" s="25"/>
      <c r="RPC29" s="25"/>
      <c r="RPD29" s="25"/>
      <c r="RPE29" s="25"/>
      <c r="RPF29" s="25"/>
      <c r="RPG29" s="25"/>
      <c r="RPH29" s="25"/>
      <c r="RPI29" s="25"/>
      <c r="RPJ29" s="25"/>
      <c r="RPK29" s="25"/>
      <c r="RPL29" s="25"/>
      <c r="RPM29" s="25"/>
      <c r="RPN29" s="25"/>
      <c r="RPO29" s="25"/>
      <c r="RPP29" s="25"/>
      <c r="RPQ29" s="25"/>
      <c r="RPR29" s="25"/>
      <c r="RPS29" s="25"/>
      <c r="RPT29" s="25"/>
      <c r="RPU29" s="25"/>
      <c r="RPV29" s="25"/>
      <c r="RPW29" s="25"/>
      <c r="RPX29" s="25"/>
      <c r="RPY29" s="25"/>
      <c r="RPZ29" s="25"/>
      <c r="RQA29" s="25"/>
      <c r="RQB29" s="25"/>
      <c r="RQC29" s="25"/>
      <c r="RQD29" s="25"/>
      <c r="RQE29" s="25"/>
      <c r="RQF29" s="25"/>
      <c r="RQG29" s="25"/>
      <c r="RQH29" s="25"/>
      <c r="RQI29" s="25"/>
      <c r="RQJ29" s="25"/>
      <c r="RQK29" s="25"/>
      <c r="RQL29" s="25"/>
      <c r="RQM29" s="25"/>
      <c r="RQN29" s="25"/>
      <c r="RQO29" s="25"/>
      <c r="RQP29" s="25"/>
      <c r="RQQ29" s="25"/>
      <c r="RQR29" s="25"/>
      <c r="RQS29" s="25"/>
      <c r="RQT29" s="25"/>
      <c r="RQU29" s="25"/>
      <c r="RQV29" s="25"/>
      <c r="RQW29" s="25"/>
      <c r="RQX29" s="25"/>
      <c r="RQY29" s="25"/>
      <c r="RQZ29" s="25"/>
      <c r="RRA29" s="25"/>
      <c r="RRB29" s="25"/>
      <c r="RRC29" s="25"/>
      <c r="RRD29" s="25"/>
      <c r="RRE29" s="25"/>
      <c r="RRF29" s="25"/>
      <c r="RRG29" s="25"/>
      <c r="RRH29" s="25"/>
      <c r="RRI29" s="25"/>
      <c r="RRJ29" s="25"/>
      <c r="RRK29" s="25"/>
      <c r="RRL29" s="25"/>
      <c r="RRM29" s="25"/>
      <c r="RRN29" s="25"/>
      <c r="RRO29" s="25"/>
      <c r="RRP29" s="25"/>
      <c r="RRQ29" s="25"/>
      <c r="RRR29" s="25"/>
      <c r="RRS29" s="25"/>
      <c r="RRT29" s="25"/>
      <c r="RRU29" s="25"/>
      <c r="RRV29" s="25"/>
      <c r="RRW29" s="25"/>
      <c r="RRX29" s="25"/>
      <c r="RRY29" s="25"/>
      <c r="RRZ29" s="25"/>
      <c r="RSA29" s="25"/>
      <c r="RSB29" s="25"/>
      <c r="RSC29" s="25"/>
      <c r="RSD29" s="25"/>
      <c r="RSE29" s="25"/>
      <c r="RSF29" s="25"/>
      <c r="RSG29" s="25"/>
      <c r="RSH29" s="25"/>
      <c r="RSI29" s="25"/>
      <c r="RSJ29" s="25"/>
      <c r="RSK29" s="25"/>
      <c r="RSL29" s="25"/>
      <c r="RSM29" s="25"/>
      <c r="RSN29" s="25"/>
      <c r="RSO29" s="25"/>
      <c r="RSP29" s="25"/>
      <c r="RSQ29" s="25"/>
      <c r="RSR29" s="25"/>
      <c r="RSS29" s="25"/>
      <c r="RST29" s="25"/>
      <c r="RSU29" s="25"/>
      <c r="RSV29" s="25"/>
      <c r="RSW29" s="25"/>
      <c r="RSX29" s="25"/>
      <c r="RSY29" s="25"/>
      <c r="RSZ29" s="25"/>
      <c r="RTA29" s="25"/>
      <c r="RTB29" s="25"/>
      <c r="RTC29" s="25"/>
      <c r="RTD29" s="25"/>
      <c r="RTE29" s="25"/>
      <c r="RTF29" s="25"/>
      <c r="RTG29" s="25"/>
      <c r="RTH29" s="25"/>
      <c r="RTI29" s="25"/>
      <c r="RTJ29" s="25"/>
      <c r="RTK29" s="25"/>
      <c r="RTL29" s="25"/>
      <c r="RTM29" s="25"/>
      <c r="RTN29" s="25"/>
      <c r="RTO29" s="25"/>
      <c r="RTP29" s="25"/>
      <c r="RTQ29" s="25"/>
      <c r="RTR29" s="25"/>
      <c r="RTS29" s="25"/>
      <c r="RTT29" s="25"/>
      <c r="RTU29" s="25"/>
      <c r="RTV29" s="25"/>
      <c r="RTW29" s="25"/>
      <c r="RTX29" s="25"/>
      <c r="RTY29" s="25"/>
      <c r="RTZ29" s="25"/>
      <c r="RUA29" s="25"/>
      <c r="RUB29" s="25"/>
      <c r="RUC29" s="25"/>
      <c r="RUD29" s="25"/>
      <c r="RUE29" s="25"/>
      <c r="RUF29" s="25"/>
      <c r="RUG29" s="25"/>
      <c r="RUH29" s="25"/>
      <c r="RUI29" s="25"/>
      <c r="RUJ29" s="25"/>
      <c r="RUK29" s="25"/>
      <c r="RUL29" s="25"/>
      <c r="RUM29" s="25"/>
      <c r="RUN29" s="25"/>
      <c r="RUO29" s="25"/>
      <c r="RUP29" s="25"/>
      <c r="RUQ29" s="25"/>
      <c r="RUR29" s="25"/>
      <c r="RUS29" s="25"/>
      <c r="RUT29" s="25"/>
      <c r="RUU29" s="25"/>
      <c r="RUV29" s="25"/>
      <c r="RUW29" s="25"/>
      <c r="RUX29" s="25"/>
      <c r="RUY29" s="25"/>
      <c r="RUZ29" s="25"/>
      <c r="RVA29" s="25"/>
      <c r="RVB29" s="25"/>
      <c r="RVC29" s="25"/>
      <c r="RVD29" s="25"/>
      <c r="RVE29" s="25"/>
      <c r="RVF29" s="25"/>
      <c r="RVG29" s="25"/>
      <c r="RVH29" s="25"/>
      <c r="RVI29" s="25"/>
      <c r="RVJ29" s="25"/>
      <c r="RVK29" s="25"/>
      <c r="RVL29" s="25"/>
      <c r="RVM29" s="25"/>
      <c r="RVN29" s="25"/>
      <c r="RVO29" s="25"/>
      <c r="RVP29" s="25"/>
      <c r="RVQ29" s="25"/>
      <c r="RVR29" s="25"/>
      <c r="RVS29" s="25"/>
      <c r="RVT29" s="25"/>
      <c r="RVU29" s="25"/>
      <c r="RVV29" s="25"/>
      <c r="RVW29" s="25"/>
      <c r="RVX29" s="25"/>
      <c r="RVY29" s="25"/>
      <c r="RVZ29" s="25"/>
      <c r="RWA29" s="25"/>
      <c r="RWB29" s="25"/>
      <c r="RWC29" s="25"/>
      <c r="RWD29" s="25"/>
      <c r="RWE29" s="25"/>
      <c r="RWF29" s="25"/>
      <c r="RWG29" s="25"/>
      <c r="RWH29" s="25"/>
      <c r="RWI29" s="25"/>
      <c r="RWJ29" s="25"/>
      <c r="RWK29" s="25"/>
      <c r="RWL29" s="25"/>
      <c r="RWM29" s="25"/>
      <c r="RWN29" s="25"/>
      <c r="RWO29" s="25"/>
      <c r="RWP29" s="25"/>
      <c r="RWQ29" s="25"/>
      <c r="RWR29" s="25"/>
      <c r="RWS29" s="25"/>
      <c r="RWT29" s="25"/>
      <c r="RWU29" s="25"/>
      <c r="RWV29" s="25"/>
      <c r="RWW29" s="25"/>
      <c r="RWX29" s="25"/>
      <c r="RWY29" s="25"/>
      <c r="RWZ29" s="25"/>
      <c r="RXA29" s="25"/>
      <c r="RXB29" s="25"/>
      <c r="RXC29" s="25"/>
      <c r="RXD29" s="25"/>
      <c r="RXE29" s="25"/>
      <c r="RXF29" s="25"/>
      <c r="RXG29" s="25"/>
      <c r="RXH29" s="25"/>
      <c r="RXI29" s="25"/>
      <c r="RXJ29" s="25"/>
      <c r="RXK29" s="25"/>
      <c r="RXL29" s="25"/>
      <c r="RXM29" s="25"/>
      <c r="RXN29" s="25"/>
      <c r="RXO29" s="25"/>
      <c r="RXP29" s="25"/>
      <c r="RXQ29" s="25"/>
      <c r="RXR29" s="25"/>
      <c r="RXS29" s="25"/>
      <c r="RXT29" s="25"/>
      <c r="RXU29" s="25"/>
      <c r="RXV29" s="25"/>
      <c r="RXW29" s="25"/>
      <c r="RXX29" s="25"/>
      <c r="RXY29" s="25"/>
      <c r="RXZ29" s="25"/>
      <c r="RYA29" s="25"/>
      <c r="RYB29" s="25"/>
      <c r="RYC29" s="25"/>
      <c r="RYD29" s="25"/>
      <c r="RYE29" s="25"/>
      <c r="RYF29" s="25"/>
      <c r="RYG29" s="25"/>
      <c r="RYH29" s="25"/>
      <c r="RYI29" s="25"/>
      <c r="RYJ29" s="25"/>
      <c r="RYK29" s="25"/>
      <c r="RYL29" s="25"/>
      <c r="RYM29" s="25"/>
      <c r="RYN29" s="25"/>
      <c r="RYO29" s="25"/>
      <c r="RYP29" s="25"/>
      <c r="RYQ29" s="25"/>
      <c r="RYR29" s="25"/>
      <c r="RYS29" s="25"/>
      <c r="RYT29" s="25"/>
      <c r="RYU29" s="25"/>
      <c r="RYV29" s="25"/>
      <c r="RYW29" s="25"/>
      <c r="RYX29" s="25"/>
      <c r="RYY29" s="25"/>
      <c r="RYZ29" s="25"/>
      <c r="RZA29" s="25"/>
      <c r="RZB29" s="25"/>
      <c r="RZC29" s="25"/>
      <c r="RZD29" s="25"/>
      <c r="RZE29" s="25"/>
      <c r="RZF29" s="25"/>
      <c r="RZG29" s="25"/>
      <c r="RZH29" s="25"/>
      <c r="RZI29" s="25"/>
      <c r="RZJ29" s="25"/>
      <c r="RZK29" s="25"/>
      <c r="RZL29" s="25"/>
      <c r="RZM29" s="25"/>
      <c r="RZN29" s="25"/>
      <c r="RZO29" s="25"/>
      <c r="RZP29" s="25"/>
      <c r="RZQ29" s="25"/>
      <c r="RZR29" s="25"/>
      <c r="RZS29" s="25"/>
      <c r="RZT29" s="25"/>
      <c r="RZU29" s="25"/>
      <c r="RZV29" s="25"/>
      <c r="RZW29" s="25"/>
      <c r="RZX29" s="25"/>
      <c r="RZY29" s="25"/>
      <c r="RZZ29" s="25"/>
      <c r="SAA29" s="25"/>
      <c r="SAB29" s="25"/>
      <c r="SAC29" s="25"/>
      <c r="SAD29" s="25"/>
      <c r="SAE29" s="25"/>
      <c r="SAF29" s="25"/>
      <c r="SAG29" s="25"/>
      <c r="SAH29" s="25"/>
      <c r="SAI29" s="25"/>
      <c r="SAJ29" s="25"/>
      <c r="SAK29" s="25"/>
      <c r="SAL29" s="25"/>
      <c r="SAM29" s="25"/>
      <c r="SAN29" s="25"/>
      <c r="SAO29" s="25"/>
      <c r="SAP29" s="25"/>
      <c r="SAQ29" s="25"/>
      <c r="SAR29" s="25"/>
      <c r="SAS29" s="25"/>
      <c r="SAT29" s="25"/>
      <c r="SAU29" s="25"/>
      <c r="SAV29" s="25"/>
      <c r="SAW29" s="25"/>
      <c r="SAX29" s="25"/>
      <c r="SAY29" s="25"/>
      <c r="SAZ29" s="25"/>
      <c r="SBA29" s="25"/>
      <c r="SBB29" s="25"/>
      <c r="SBC29" s="25"/>
      <c r="SBD29" s="25"/>
      <c r="SBE29" s="25"/>
      <c r="SBF29" s="25"/>
      <c r="SBG29" s="25"/>
      <c r="SBH29" s="25"/>
      <c r="SBI29" s="25"/>
      <c r="SBJ29" s="25"/>
      <c r="SBK29" s="25"/>
      <c r="SBL29" s="25"/>
      <c r="SBM29" s="25"/>
      <c r="SBN29" s="25"/>
      <c r="SBO29" s="25"/>
      <c r="SBP29" s="25"/>
      <c r="SBQ29" s="25"/>
      <c r="SBR29" s="25"/>
      <c r="SBS29" s="25"/>
      <c r="SBT29" s="25"/>
      <c r="SBU29" s="25"/>
      <c r="SBV29" s="25"/>
      <c r="SBW29" s="25"/>
      <c r="SBX29" s="25"/>
      <c r="SBY29" s="25"/>
      <c r="SBZ29" s="25"/>
      <c r="SCA29" s="25"/>
      <c r="SCB29" s="25"/>
      <c r="SCC29" s="25"/>
      <c r="SCD29" s="25"/>
      <c r="SCE29" s="25"/>
      <c r="SCF29" s="25"/>
      <c r="SCG29" s="25"/>
      <c r="SCH29" s="25"/>
      <c r="SCI29" s="25"/>
      <c r="SCJ29" s="25"/>
      <c r="SCK29" s="25"/>
      <c r="SCL29" s="25"/>
      <c r="SCM29" s="25"/>
      <c r="SCN29" s="25"/>
      <c r="SCO29" s="25"/>
      <c r="SCP29" s="25"/>
      <c r="SCQ29" s="25"/>
      <c r="SCR29" s="25"/>
      <c r="SCS29" s="25"/>
      <c r="SCT29" s="25"/>
      <c r="SCU29" s="25"/>
      <c r="SCV29" s="25"/>
      <c r="SCW29" s="25"/>
      <c r="SCX29" s="25"/>
      <c r="SCY29" s="25"/>
      <c r="SCZ29" s="25"/>
      <c r="SDA29" s="25"/>
      <c r="SDB29" s="25"/>
      <c r="SDC29" s="25"/>
      <c r="SDD29" s="25"/>
      <c r="SDE29" s="25"/>
      <c r="SDF29" s="25"/>
      <c r="SDG29" s="25"/>
      <c r="SDH29" s="25"/>
      <c r="SDI29" s="25"/>
      <c r="SDJ29" s="25"/>
      <c r="SDK29" s="25"/>
      <c r="SDL29" s="25"/>
      <c r="SDM29" s="25"/>
      <c r="SDN29" s="25"/>
      <c r="SDO29" s="25"/>
      <c r="SDP29" s="25"/>
      <c r="SDQ29" s="25"/>
      <c r="SDR29" s="25"/>
      <c r="SDS29" s="25"/>
      <c r="SDT29" s="25"/>
      <c r="SDU29" s="25"/>
      <c r="SDV29" s="25"/>
      <c r="SDW29" s="25"/>
      <c r="SDX29" s="25"/>
      <c r="SDY29" s="25"/>
      <c r="SDZ29" s="25"/>
      <c r="SEA29" s="25"/>
      <c r="SEB29" s="25"/>
      <c r="SEC29" s="25"/>
      <c r="SED29" s="25"/>
      <c r="SEE29" s="25"/>
      <c r="SEF29" s="25"/>
      <c r="SEG29" s="25"/>
      <c r="SEH29" s="25"/>
      <c r="SEI29" s="25"/>
      <c r="SEJ29" s="25"/>
      <c r="SEK29" s="25"/>
      <c r="SEL29" s="25"/>
      <c r="SEM29" s="25"/>
      <c r="SEN29" s="25"/>
      <c r="SEO29" s="25"/>
      <c r="SEP29" s="25"/>
      <c r="SEQ29" s="25"/>
      <c r="SER29" s="25"/>
      <c r="SES29" s="25"/>
      <c r="SET29" s="25"/>
      <c r="SEU29" s="25"/>
      <c r="SEV29" s="25"/>
      <c r="SEW29" s="25"/>
      <c r="SEX29" s="25"/>
      <c r="SEY29" s="25"/>
      <c r="SEZ29" s="25"/>
      <c r="SFA29" s="25"/>
      <c r="SFB29" s="25"/>
      <c r="SFC29" s="25"/>
      <c r="SFD29" s="25"/>
      <c r="SFE29" s="25"/>
      <c r="SFF29" s="25"/>
      <c r="SFG29" s="25"/>
      <c r="SFH29" s="25"/>
      <c r="SFI29" s="25"/>
      <c r="SFJ29" s="25"/>
      <c r="SFK29" s="25"/>
      <c r="SFL29" s="25"/>
      <c r="SFM29" s="25"/>
      <c r="SFN29" s="25"/>
      <c r="SFO29" s="25"/>
      <c r="SFP29" s="25"/>
      <c r="SFQ29" s="25"/>
      <c r="SFR29" s="25"/>
      <c r="SFS29" s="25"/>
      <c r="SFT29" s="25"/>
      <c r="SFU29" s="25"/>
      <c r="SFV29" s="25"/>
      <c r="SFW29" s="25"/>
      <c r="SFX29" s="25"/>
      <c r="SFY29" s="25"/>
      <c r="SFZ29" s="25"/>
      <c r="SGA29" s="25"/>
      <c r="SGB29" s="25"/>
      <c r="SGC29" s="25"/>
      <c r="SGD29" s="25"/>
      <c r="SGE29" s="25"/>
      <c r="SGF29" s="25"/>
      <c r="SGG29" s="25"/>
      <c r="SGH29" s="25"/>
      <c r="SGI29" s="25"/>
      <c r="SGJ29" s="25"/>
      <c r="SGK29" s="25"/>
      <c r="SGL29" s="25"/>
      <c r="SGM29" s="25"/>
      <c r="SGN29" s="25"/>
      <c r="SGO29" s="25"/>
      <c r="SGP29" s="25"/>
      <c r="SGQ29" s="25"/>
      <c r="SGR29" s="25"/>
      <c r="SGS29" s="25"/>
      <c r="SGT29" s="25"/>
      <c r="SGU29" s="25"/>
      <c r="SGV29" s="25"/>
      <c r="SGW29" s="25"/>
      <c r="SGX29" s="25"/>
      <c r="SGY29" s="25"/>
      <c r="SGZ29" s="25"/>
      <c r="SHA29" s="25"/>
      <c r="SHB29" s="25"/>
      <c r="SHC29" s="25"/>
      <c r="SHD29" s="25"/>
      <c r="SHE29" s="25"/>
      <c r="SHF29" s="25"/>
      <c r="SHG29" s="25"/>
      <c r="SHH29" s="25"/>
      <c r="SHI29" s="25"/>
      <c r="SHJ29" s="25"/>
      <c r="SHK29" s="25"/>
      <c r="SHL29" s="25"/>
      <c r="SHM29" s="25"/>
      <c r="SHN29" s="25"/>
      <c r="SHO29" s="25"/>
      <c r="SHP29" s="25"/>
      <c r="SHQ29" s="25"/>
      <c r="SHR29" s="25"/>
      <c r="SHS29" s="25"/>
      <c r="SHT29" s="25"/>
      <c r="SHU29" s="25"/>
      <c r="SHV29" s="25"/>
      <c r="SHW29" s="25"/>
      <c r="SHX29" s="25"/>
      <c r="SHY29" s="25"/>
      <c r="SHZ29" s="25"/>
      <c r="SIA29" s="25"/>
      <c r="SIB29" s="25"/>
      <c r="SIC29" s="25"/>
      <c r="SID29" s="25"/>
      <c r="SIE29" s="25"/>
      <c r="SIF29" s="25"/>
      <c r="SIG29" s="25"/>
      <c r="SIH29" s="25"/>
      <c r="SII29" s="25"/>
      <c r="SIJ29" s="25"/>
      <c r="SIK29" s="25"/>
      <c r="SIL29" s="25"/>
      <c r="SIM29" s="25"/>
      <c r="SIN29" s="25"/>
      <c r="SIO29" s="25"/>
      <c r="SIP29" s="25"/>
      <c r="SIQ29" s="25"/>
      <c r="SIR29" s="25"/>
      <c r="SIS29" s="25"/>
      <c r="SIT29" s="25"/>
      <c r="SIU29" s="25"/>
      <c r="SIV29" s="25"/>
      <c r="SIW29" s="25"/>
      <c r="SIX29" s="25"/>
      <c r="SIY29" s="25"/>
      <c r="SIZ29" s="25"/>
      <c r="SJA29" s="25"/>
      <c r="SJB29" s="25"/>
      <c r="SJC29" s="25"/>
      <c r="SJD29" s="25"/>
      <c r="SJE29" s="25"/>
      <c r="SJF29" s="25"/>
      <c r="SJG29" s="25"/>
      <c r="SJH29" s="25"/>
      <c r="SJI29" s="25"/>
      <c r="SJJ29" s="25"/>
      <c r="SJK29" s="25"/>
      <c r="SJL29" s="25"/>
      <c r="SJM29" s="25"/>
      <c r="SJN29" s="25"/>
      <c r="SJO29" s="25"/>
      <c r="SJP29" s="25"/>
      <c r="SJQ29" s="25"/>
      <c r="SJR29" s="25"/>
      <c r="SJS29" s="25"/>
      <c r="SJT29" s="25"/>
      <c r="SJU29" s="25"/>
      <c r="SJV29" s="25"/>
      <c r="SJW29" s="25"/>
      <c r="SJX29" s="25"/>
      <c r="SJY29" s="25"/>
      <c r="SJZ29" s="25"/>
      <c r="SKA29" s="25"/>
      <c r="SKB29" s="25"/>
      <c r="SKC29" s="25"/>
      <c r="SKD29" s="25"/>
      <c r="SKE29" s="25"/>
      <c r="SKF29" s="25"/>
      <c r="SKG29" s="25"/>
      <c r="SKH29" s="25"/>
      <c r="SKI29" s="25"/>
      <c r="SKJ29" s="25"/>
      <c r="SKK29" s="25"/>
      <c r="SKL29" s="25"/>
      <c r="SKM29" s="25"/>
      <c r="SKN29" s="25"/>
      <c r="SKO29" s="25"/>
      <c r="SKP29" s="25"/>
      <c r="SKQ29" s="25"/>
      <c r="SKR29" s="25"/>
      <c r="SKS29" s="25"/>
      <c r="SKT29" s="25"/>
      <c r="SKU29" s="25"/>
      <c r="SKV29" s="25"/>
      <c r="SKW29" s="25"/>
      <c r="SKX29" s="25"/>
      <c r="SKY29" s="25"/>
      <c r="SKZ29" s="25"/>
      <c r="SLA29" s="25"/>
      <c r="SLB29" s="25"/>
      <c r="SLC29" s="25"/>
      <c r="SLD29" s="25"/>
      <c r="SLE29" s="25"/>
      <c r="SLF29" s="25"/>
      <c r="SLG29" s="25"/>
      <c r="SLH29" s="25"/>
      <c r="SLI29" s="25"/>
      <c r="SLJ29" s="25"/>
      <c r="SLK29" s="25"/>
      <c r="SLL29" s="25"/>
      <c r="SLM29" s="25"/>
      <c r="SLN29" s="25"/>
      <c r="SLO29" s="25"/>
      <c r="SLP29" s="25"/>
      <c r="SLQ29" s="25"/>
      <c r="SLR29" s="25"/>
      <c r="SLS29" s="25"/>
      <c r="SLT29" s="25"/>
      <c r="SLU29" s="25"/>
      <c r="SLV29" s="25"/>
      <c r="SLW29" s="25"/>
      <c r="SLX29" s="25"/>
      <c r="SLY29" s="25"/>
      <c r="SLZ29" s="25"/>
      <c r="SMA29" s="25"/>
      <c r="SMB29" s="25"/>
      <c r="SMC29" s="25"/>
      <c r="SMD29" s="25"/>
      <c r="SME29" s="25"/>
      <c r="SMF29" s="25"/>
      <c r="SMG29" s="25"/>
      <c r="SMH29" s="25"/>
      <c r="SMI29" s="25"/>
      <c r="SMJ29" s="25"/>
      <c r="SMK29" s="25"/>
      <c r="SML29" s="25"/>
      <c r="SMM29" s="25"/>
      <c r="SMN29" s="25"/>
      <c r="SMO29" s="25"/>
      <c r="SMP29" s="25"/>
      <c r="SMQ29" s="25"/>
      <c r="SMR29" s="25"/>
      <c r="SMS29" s="25"/>
      <c r="SMT29" s="25"/>
      <c r="SMU29" s="25"/>
      <c r="SMV29" s="25"/>
      <c r="SMW29" s="25"/>
      <c r="SMX29" s="25"/>
      <c r="SMY29" s="25"/>
      <c r="SMZ29" s="25"/>
      <c r="SNA29" s="25"/>
      <c r="SNB29" s="25"/>
      <c r="SNC29" s="25"/>
      <c r="SND29" s="25"/>
      <c r="SNE29" s="25"/>
      <c r="SNF29" s="25"/>
      <c r="SNG29" s="25"/>
      <c r="SNH29" s="25"/>
      <c r="SNI29" s="25"/>
      <c r="SNJ29" s="25"/>
      <c r="SNK29" s="25"/>
      <c r="SNL29" s="25"/>
      <c r="SNM29" s="25"/>
      <c r="SNN29" s="25"/>
      <c r="SNO29" s="25"/>
      <c r="SNP29" s="25"/>
      <c r="SNQ29" s="25"/>
      <c r="SNR29" s="25"/>
      <c r="SNS29" s="25"/>
      <c r="SNT29" s="25"/>
      <c r="SNU29" s="25"/>
      <c r="SNV29" s="25"/>
      <c r="SNW29" s="25"/>
      <c r="SNX29" s="25"/>
      <c r="SNY29" s="25"/>
      <c r="SNZ29" s="25"/>
      <c r="SOA29" s="25"/>
      <c r="SOB29" s="25"/>
      <c r="SOC29" s="25"/>
      <c r="SOD29" s="25"/>
      <c r="SOE29" s="25"/>
      <c r="SOF29" s="25"/>
      <c r="SOG29" s="25"/>
      <c r="SOH29" s="25"/>
      <c r="SOI29" s="25"/>
      <c r="SOJ29" s="25"/>
      <c r="SOK29" s="25"/>
      <c r="SOL29" s="25"/>
      <c r="SOM29" s="25"/>
      <c r="SON29" s="25"/>
      <c r="SOO29" s="25"/>
      <c r="SOP29" s="25"/>
      <c r="SOQ29" s="25"/>
      <c r="SOR29" s="25"/>
      <c r="SOS29" s="25"/>
      <c r="SOT29" s="25"/>
      <c r="SOU29" s="25"/>
      <c r="SOV29" s="25"/>
      <c r="SOW29" s="25"/>
      <c r="SOX29" s="25"/>
      <c r="SOY29" s="25"/>
      <c r="SOZ29" s="25"/>
      <c r="SPA29" s="25"/>
      <c r="SPB29" s="25"/>
      <c r="SPC29" s="25"/>
      <c r="SPD29" s="25"/>
      <c r="SPE29" s="25"/>
      <c r="SPF29" s="25"/>
      <c r="SPG29" s="25"/>
      <c r="SPH29" s="25"/>
      <c r="SPI29" s="25"/>
      <c r="SPJ29" s="25"/>
      <c r="SPK29" s="25"/>
      <c r="SPL29" s="25"/>
      <c r="SPM29" s="25"/>
      <c r="SPN29" s="25"/>
      <c r="SPO29" s="25"/>
      <c r="SPP29" s="25"/>
      <c r="SPQ29" s="25"/>
      <c r="SPR29" s="25"/>
      <c r="SPS29" s="25"/>
      <c r="SPT29" s="25"/>
      <c r="SPU29" s="25"/>
      <c r="SPV29" s="25"/>
      <c r="SPW29" s="25"/>
      <c r="SPX29" s="25"/>
      <c r="SPY29" s="25"/>
      <c r="SPZ29" s="25"/>
      <c r="SQA29" s="25"/>
      <c r="SQB29" s="25"/>
      <c r="SQC29" s="25"/>
      <c r="SQD29" s="25"/>
      <c r="SQE29" s="25"/>
      <c r="SQF29" s="25"/>
      <c r="SQG29" s="25"/>
      <c r="SQH29" s="25"/>
      <c r="SQI29" s="25"/>
      <c r="SQJ29" s="25"/>
      <c r="SQK29" s="25"/>
      <c r="SQL29" s="25"/>
      <c r="SQM29" s="25"/>
      <c r="SQN29" s="25"/>
      <c r="SQO29" s="25"/>
      <c r="SQP29" s="25"/>
      <c r="SQQ29" s="25"/>
      <c r="SQR29" s="25"/>
      <c r="SQS29" s="25"/>
      <c r="SQT29" s="25"/>
      <c r="SQU29" s="25"/>
      <c r="SQV29" s="25"/>
      <c r="SQW29" s="25"/>
      <c r="SQX29" s="25"/>
      <c r="SQY29" s="25"/>
      <c r="SQZ29" s="25"/>
      <c r="SRA29" s="25"/>
      <c r="SRB29" s="25"/>
      <c r="SRC29" s="25"/>
      <c r="SRD29" s="25"/>
      <c r="SRE29" s="25"/>
      <c r="SRF29" s="25"/>
      <c r="SRG29" s="25"/>
      <c r="SRH29" s="25"/>
      <c r="SRI29" s="25"/>
      <c r="SRJ29" s="25"/>
      <c r="SRK29" s="25"/>
      <c r="SRL29" s="25"/>
      <c r="SRM29" s="25"/>
      <c r="SRN29" s="25"/>
      <c r="SRO29" s="25"/>
      <c r="SRP29" s="25"/>
      <c r="SRQ29" s="25"/>
      <c r="SRR29" s="25"/>
      <c r="SRS29" s="25"/>
      <c r="SRT29" s="25"/>
      <c r="SRU29" s="25"/>
      <c r="SRV29" s="25"/>
      <c r="SRW29" s="25"/>
      <c r="SRX29" s="25"/>
      <c r="SRY29" s="25"/>
      <c r="SRZ29" s="25"/>
      <c r="SSA29" s="25"/>
      <c r="SSB29" s="25"/>
      <c r="SSC29" s="25"/>
      <c r="SSD29" s="25"/>
      <c r="SSE29" s="25"/>
      <c r="SSF29" s="25"/>
      <c r="SSG29" s="25"/>
      <c r="SSH29" s="25"/>
      <c r="SSI29" s="25"/>
      <c r="SSJ29" s="25"/>
      <c r="SSK29" s="25"/>
      <c r="SSL29" s="25"/>
      <c r="SSM29" s="25"/>
      <c r="SSN29" s="25"/>
      <c r="SSO29" s="25"/>
      <c r="SSP29" s="25"/>
      <c r="SSQ29" s="25"/>
      <c r="SSR29" s="25"/>
      <c r="SSS29" s="25"/>
      <c r="SST29" s="25"/>
      <c r="SSU29" s="25"/>
      <c r="SSV29" s="25"/>
      <c r="SSW29" s="25"/>
      <c r="SSX29" s="25"/>
      <c r="SSY29" s="25"/>
      <c r="SSZ29" s="25"/>
      <c r="STA29" s="25"/>
      <c r="STB29" s="25"/>
      <c r="STC29" s="25"/>
      <c r="STD29" s="25"/>
      <c r="STE29" s="25"/>
      <c r="STF29" s="25"/>
      <c r="STG29" s="25"/>
      <c r="STH29" s="25"/>
      <c r="STI29" s="25"/>
      <c r="STJ29" s="25"/>
      <c r="STK29" s="25"/>
      <c r="STL29" s="25"/>
      <c r="STM29" s="25"/>
      <c r="STN29" s="25"/>
      <c r="STO29" s="25"/>
      <c r="STP29" s="25"/>
      <c r="STQ29" s="25"/>
      <c r="STR29" s="25"/>
      <c r="STS29" s="25"/>
      <c r="STT29" s="25"/>
      <c r="STU29" s="25"/>
      <c r="STV29" s="25"/>
      <c r="STW29" s="25"/>
      <c r="STX29" s="25"/>
      <c r="STY29" s="25"/>
      <c r="STZ29" s="25"/>
      <c r="SUA29" s="25"/>
      <c r="SUB29" s="25"/>
      <c r="SUC29" s="25"/>
      <c r="SUD29" s="25"/>
      <c r="SUE29" s="25"/>
      <c r="SUF29" s="25"/>
      <c r="SUG29" s="25"/>
      <c r="SUH29" s="25"/>
      <c r="SUI29" s="25"/>
      <c r="SUJ29" s="25"/>
      <c r="SUK29" s="25"/>
      <c r="SUL29" s="25"/>
      <c r="SUM29" s="25"/>
      <c r="SUN29" s="25"/>
      <c r="SUO29" s="25"/>
      <c r="SUP29" s="25"/>
      <c r="SUQ29" s="25"/>
      <c r="SUR29" s="25"/>
      <c r="SUS29" s="25"/>
      <c r="SUT29" s="25"/>
      <c r="SUU29" s="25"/>
      <c r="SUV29" s="25"/>
      <c r="SUW29" s="25"/>
      <c r="SUX29" s="25"/>
      <c r="SUY29" s="25"/>
      <c r="SUZ29" s="25"/>
      <c r="SVA29" s="25"/>
      <c r="SVB29" s="25"/>
      <c r="SVC29" s="25"/>
      <c r="SVD29" s="25"/>
      <c r="SVE29" s="25"/>
      <c r="SVF29" s="25"/>
      <c r="SVG29" s="25"/>
      <c r="SVH29" s="25"/>
      <c r="SVI29" s="25"/>
      <c r="SVJ29" s="25"/>
      <c r="SVK29" s="25"/>
      <c r="SVL29" s="25"/>
      <c r="SVM29" s="25"/>
      <c r="SVN29" s="25"/>
      <c r="SVO29" s="25"/>
      <c r="SVP29" s="25"/>
      <c r="SVQ29" s="25"/>
      <c r="SVR29" s="25"/>
      <c r="SVS29" s="25"/>
      <c r="SVT29" s="25"/>
      <c r="SVU29" s="25"/>
      <c r="SVV29" s="25"/>
      <c r="SVW29" s="25"/>
      <c r="SVX29" s="25"/>
      <c r="SVY29" s="25"/>
      <c r="SVZ29" s="25"/>
      <c r="SWA29" s="25"/>
      <c r="SWB29" s="25"/>
      <c r="SWC29" s="25"/>
      <c r="SWD29" s="25"/>
      <c r="SWE29" s="25"/>
      <c r="SWF29" s="25"/>
      <c r="SWG29" s="25"/>
      <c r="SWH29" s="25"/>
      <c r="SWI29" s="25"/>
      <c r="SWJ29" s="25"/>
      <c r="SWK29" s="25"/>
      <c r="SWL29" s="25"/>
      <c r="SWM29" s="25"/>
      <c r="SWN29" s="25"/>
      <c r="SWO29" s="25"/>
      <c r="SWP29" s="25"/>
      <c r="SWQ29" s="25"/>
      <c r="SWR29" s="25"/>
      <c r="SWS29" s="25"/>
      <c r="SWT29" s="25"/>
      <c r="SWU29" s="25"/>
      <c r="SWV29" s="25"/>
      <c r="SWW29" s="25"/>
      <c r="SWX29" s="25"/>
      <c r="SWY29" s="25"/>
      <c r="SWZ29" s="25"/>
      <c r="SXA29" s="25"/>
      <c r="SXB29" s="25"/>
      <c r="SXC29" s="25"/>
      <c r="SXD29" s="25"/>
      <c r="SXE29" s="25"/>
      <c r="SXF29" s="25"/>
      <c r="SXG29" s="25"/>
      <c r="SXH29" s="25"/>
      <c r="SXI29" s="25"/>
      <c r="SXJ29" s="25"/>
      <c r="SXK29" s="25"/>
      <c r="SXL29" s="25"/>
      <c r="SXM29" s="25"/>
      <c r="SXN29" s="25"/>
      <c r="SXO29" s="25"/>
      <c r="SXP29" s="25"/>
      <c r="SXQ29" s="25"/>
      <c r="SXR29" s="25"/>
      <c r="SXS29" s="25"/>
      <c r="SXT29" s="25"/>
      <c r="SXU29" s="25"/>
      <c r="SXV29" s="25"/>
      <c r="SXW29" s="25"/>
      <c r="SXX29" s="25"/>
      <c r="SXY29" s="25"/>
      <c r="SXZ29" s="25"/>
      <c r="SYA29" s="25"/>
      <c r="SYB29" s="25"/>
      <c r="SYC29" s="25"/>
      <c r="SYD29" s="25"/>
      <c r="SYE29" s="25"/>
      <c r="SYF29" s="25"/>
      <c r="SYG29" s="25"/>
      <c r="SYH29" s="25"/>
      <c r="SYI29" s="25"/>
      <c r="SYJ29" s="25"/>
      <c r="SYK29" s="25"/>
      <c r="SYL29" s="25"/>
      <c r="SYM29" s="25"/>
      <c r="SYN29" s="25"/>
      <c r="SYO29" s="25"/>
      <c r="SYP29" s="25"/>
      <c r="SYQ29" s="25"/>
      <c r="SYR29" s="25"/>
      <c r="SYS29" s="25"/>
      <c r="SYT29" s="25"/>
      <c r="SYU29" s="25"/>
      <c r="SYV29" s="25"/>
      <c r="SYW29" s="25"/>
      <c r="SYX29" s="25"/>
      <c r="SYY29" s="25"/>
      <c r="SYZ29" s="25"/>
      <c r="SZA29" s="25"/>
      <c r="SZB29" s="25"/>
      <c r="SZC29" s="25"/>
      <c r="SZD29" s="25"/>
      <c r="SZE29" s="25"/>
      <c r="SZF29" s="25"/>
      <c r="SZG29" s="25"/>
      <c r="SZH29" s="25"/>
      <c r="SZI29" s="25"/>
      <c r="SZJ29" s="25"/>
      <c r="SZK29" s="25"/>
      <c r="SZL29" s="25"/>
      <c r="SZM29" s="25"/>
      <c r="SZN29" s="25"/>
      <c r="SZO29" s="25"/>
      <c r="SZP29" s="25"/>
      <c r="SZQ29" s="25"/>
      <c r="SZR29" s="25"/>
      <c r="SZS29" s="25"/>
      <c r="SZT29" s="25"/>
      <c r="SZU29" s="25"/>
      <c r="SZV29" s="25"/>
      <c r="SZW29" s="25"/>
      <c r="SZX29" s="25"/>
      <c r="SZY29" s="25"/>
      <c r="SZZ29" s="25"/>
      <c r="TAA29" s="25"/>
      <c r="TAB29" s="25"/>
      <c r="TAC29" s="25"/>
      <c r="TAD29" s="25"/>
      <c r="TAE29" s="25"/>
      <c r="TAF29" s="25"/>
      <c r="TAG29" s="25"/>
      <c r="TAH29" s="25"/>
      <c r="TAI29" s="25"/>
      <c r="TAJ29" s="25"/>
      <c r="TAK29" s="25"/>
      <c r="TAL29" s="25"/>
      <c r="TAM29" s="25"/>
      <c r="TAN29" s="25"/>
      <c r="TAO29" s="25"/>
      <c r="TAP29" s="25"/>
      <c r="TAQ29" s="25"/>
      <c r="TAR29" s="25"/>
      <c r="TAS29" s="25"/>
      <c r="TAT29" s="25"/>
      <c r="TAU29" s="25"/>
      <c r="TAV29" s="25"/>
      <c r="TAW29" s="25"/>
      <c r="TAX29" s="25"/>
      <c r="TAY29" s="25"/>
      <c r="TAZ29" s="25"/>
      <c r="TBA29" s="25"/>
      <c r="TBB29" s="25"/>
      <c r="TBC29" s="25"/>
      <c r="TBD29" s="25"/>
      <c r="TBE29" s="25"/>
      <c r="TBF29" s="25"/>
      <c r="TBG29" s="25"/>
      <c r="TBH29" s="25"/>
      <c r="TBI29" s="25"/>
      <c r="TBJ29" s="25"/>
      <c r="TBK29" s="25"/>
      <c r="TBL29" s="25"/>
      <c r="TBM29" s="25"/>
      <c r="TBN29" s="25"/>
      <c r="TBO29" s="25"/>
      <c r="TBP29" s="25"/>
      <c r="TBQ29" s="25"/>
      <c r="TBR29" s="25"/>
      <c r="TBS29" s="25"/>
      <c r="TBT29" s="25"/>
      <c r="TBU29" s="25"/>
      <c r="TBV29" s="25"/>
      <c r="TBW29" s="25"/>
      <c r="TBX29" s="25"/>
      <c r="TBY29" s="25"/>
      <c r="TBZ29" s="25"/>
      <c r="TCA29" s="25"/>
      <c r="TCB29" s="25"/>
      <c r="TCC29" s="25"/>
      <c r="TCD29" s="25"/>
      <c r="TCE29" s="25"/>
      <c r="TCF29" s="25"/>
      <c r="TCG29" s="25"/>
      <c r="TCH29" s="25"/>
      <c r="TCI29" s="25"/>
      <c r="TCJ29" s="25"/>
      <c r="TCK29" s="25"/>
      <c r="TCL29" s="25"/>
      <c r="TCM29" s="25"/>
      <c r="TCN29" s="25"/>
      <c r="TCO29" s="25"/>
      <c r="TCP29" s="25"/>
      <c r="TCQ29" s="25"/>
      <c r="TCR29" s="25"/>
      <c r="TCS29" s="25"/>
      <c r="TCT29" s="25"/>
      <c r="TCU29" s="25"/>
      <c r="TCV29" s="25"/>
      <c r="TCW29" s="25"/>
      <c r="TCX29" s="25"/>
      <c r="TCY29" s="25"/>
      <c r="TCZ29" s="25"/>
      <c r="TDA29" s="25"/>
      <c r="TDB29" s="25"/>
      <c r="TDC29" s="25"/>
      <c r="TDD29" s="25"/>
      <c r="TDE29" s="25"/>
      <c r="TDF29" s="25"/>
      <c r="TDG29" s="25"/>
      <c r="TDH29" s="25"/>
      <c r="TDI29" s="25"/>
      <c r="TDJ29" s="25"/>
      <c r="TDK29" s="25"/>
      <c r="TDL29" s="25"/>
      <c r="TDM29" s="25"/>
      <c r="TDN29" s="25"/>
      <c r="TDO29" s="25"/>
      <c r="TDP29" s="25"/>
      <c r="TDQ29" s="25"/>
      <c r="TDR29" s="25"/>
      <c r="TDS29" s="25"/>
      <c r="TDT29" s="25"/>
      <c r="TDU29" s="25"/>
      <c r="TDV29" s="25"/>
      <c r="TDW29" s="25"/>
      <c r="TDX29" s="25"/>
      <c r="TDY29" s="25"/>
      <c r="TDZ29" s="25"/>
      <c r="TEA29" s="25"/>
      <c r="TEB29" s="25"/>
      <c r="TEC29" s="25"/>
      <c r="TED29" s="25"/>
      <c r="TEE29" s="25"/>
      <c r="TEF29" s="25"/>
      <c r="TEG29" s="25"/>
      <c r="TEH29" s="25"/>
      <c r="TEI29" s="25"/>
      <c r="TEJ29" s="25"/>
      <c r="TEK29" s="25"/>
      <c r="TEL29" s="25"/>
      <c r="TEM29" s="25"/>
      <c r="TEN29" s="25"/>
      <c r="TEO29" s="25"/>
      <c r="TEP29" s="25"/>
      <c r="TEQ29" s="25"/>
      <c r="TER29" s="25"/>
      <c r="TES29" s="25"/>
      <c r="TET29" s="25"/>
      <c r="TEU29" s="25"/>
      <c r="TEV29" s="25"/>
      <c r="TEW29" s="25"/>
      <c r="TEX29" s="25"/>
      <c r="TEY29" s="25"/>
      <c r="TEZ29" s="25"/>
      <c r="TFA29" s="25"/>
      <c r="TFB29" s="25"/>
      <c r="TFC29" s="25"/>
      <c r="TFD29" s="25"/>
      <c r="TFE29" s="25"/>
      <c r="TFF29" s="25"/>
      <c r="TFG29" s="25"/>
      <c r="TFH29" s="25"/>
      <c r="TFI29" s="25"/>
      <c r="TFJ29" s="25"/>
      <c r="TFK29" s="25"/>
      <c r="TFL29" s="25"/>
      <c r="TFM29" s="25"/>
      <c r="TFN29" s="25"/>
      <c r="TFO29" s="25"/>
      <c r="TFP29" s="25"/>
      <c r="TFQ29" s="25"/>
      <c r="TFR29" s="25"/>
      <c r="TFS29" s="25"/>
      <c r="TFT29" s="25"/>
      <c r="TFU29" s="25"/>
      <c r="TFV29" s="25"/>
      <c r="TFW29" s="25"/>
      <c r="TFX29" s="25"/>
      <c r="TFY29" s="25"/>
      <c r="TFZ29" s="25"/>
      <c r="TGA29" s="25"/>
      <c r="TGB29" s="25"/>
      <c r="TGC29" s="25"/>
      <c r="TGD29" s="25"/>
      <c r="TGE29" s="25"/>
      <c r="TGF29" s="25"/>
      <c r="TGG29" s="25"/>
      <c r="TGH29" s="25"/>
      <c r="TGI29" s="25"/>
      <c r="TGJ29" s="25"/>
      <c r="TGK29" s="25"/>
      <c r="TGL29" s="25"/>
      <c r="TGM29" s="25"/>
      <c r="TGN29" s="25"/>
      <c r="TGO29" s="25"/>
      <c r="TGP29" s="25"/>
      <c r="TGQ29" s="25"/>
      <c r="TGR29" s="25"/>
      <c r="TGS29" s="25"/>
      <c r="TGT29" s="25"/>
      <c r="TGU29" s="25"/>
      <c r="TGV29" s="25"/>
      <c r="TGW29" s="25"/>
      <c r="TGX29" s="25"/>
      <c r="TGY29" s="25"/>
      <c r="TGZ29" s="25"/>
      <c r="THA29" s="25"/>
      <c r="THB29" s="25"/>
      <c r="THC29" s="25"/>
      <c r="THD29" s="25"/>
      <c r="THE29" s="25"/>
      <c r="THF29" s="25"/>
      <c r="THG29" s="25"/>
      <c r="THH29" s="25"/>
      <c r="THI29" s="25"/>
      <c r="THJ29" s="25"/>
      <c r="THK29" s="25"/>
      <c r="THL29" s="25"/>
      <c r="THM29" s="25"/>
      <c r="THN29" s="25"/>
      <c r="THO29" s="25"/>
      <c r="THP29" s="25"/>
      <c r="THQ29" s="25"/>
      <c r="THR29" s="25"/>
      <c r="THS29" s="25"/>
      <c r="THT29" s="25"/>
      <c r="THU29" s="25"/>
      <c r="THV29" s="25"/>
      <c r="THW29" s="25"/>
      <c r="THX29" s="25"/>
      <c r="THY29" s="25"/>
      <c r="THZ29" s="25"/>
      <c r="TIA29" s="25"/>
      <c r="TIB29" s="25"/>
      <c r="TIC29" s="25"/>
      <c r="TID29" s="25"/>
      <c r="TIE29" s="25"/>
      <c r="TIF29" s="25"/>
      <c r="TIG29" s="25"/>
      <c r="TIH29" s="25"/>
      <c r="TII29" s="25"/>
      <c r="TIJ29" s="25"/>
      <c r="TIK29" s="25"/>
      <c r="TIL29" s="25"/>
      <c r="TIM29" s="25"/>
      <c r="TIN29" s="25"/>
      <c r="TIO29" s="25"/>
      <c r="TIP29" s="25"/>
      <c r="TIQ29" s="25"/>
      <c r="TIR29" s="25"/>
      <c r="TIS29" s="25"/>
      <c r="TIT29" s="25"/>
      <c r="TIU29" s="25"/>
      <c r="TIV29" s="25"/>
      <c r="TIW29" s="25"/>
      <c r="TIX29" s="25"/>
      <c r="TIY29" s="25"/>
      <c r="TIZ29" s="25"/>
      <c r="TJA29" s="25"/>
      <c r="TJB29" s="25"/>
      <c r="TJC29" s="25"/>
      <c r="TJD29" s="25"/>
      <c r="TJE29" s="25"/>
      <c r="TJF29" s="25"/>
      <c r="TJG29" s="25"/>
      <c r="TJH29" s="25"/>
      <c r="TJI29" s="25"/>
      <c r="TJJ29" s="25"/>
      <c r="TJK29" s="25"/>
      <c r="TJL29" s="25"/>
      <c r="TJM29" s="25"/>
      <c r="TJN29" s="25"/>
      <c r="TJO29" s="25"/>
      <c r="TJP29" s="25"/>
      <c r="TJQ29" s="25"/>
      <c r="TJR29" s="25"/>
      <c r="TJS29" s="25"/>
      <c r="TJT29" s="25"/>
      <c r="TJU29" s="25"/>
      <c r="TJV29" s="25"/>
      <c r="TJW29" s="25"/>
      <c r="TJX29" s="25"/>
      <c r="TJY29" s="25"/>
      <c r="TJZ29" s="25"/>
      <c r="TKA29" s="25"/>
      <c r="TKB29" s="25"/>
      <c r="TKC29" s="25"/>
      <c r="TKD29" s="25"/>
      <c r="TKE29" s="25"/>
      <c r="TKF29" s="25"/>
      <c r="TKG29" s="25"/>
      <c r="TKH29" s="25"/>
      <c r="TKI29" s="25"/>
      <c r="TKJ29" s="25"/>
      <c r="TKK29" s="25"/>
      <c r="TKL29" s="25"/>
      <c r="TKM29" s="25"/>
      <c r="TKN29" s="25"/>
      <c r="TKO29" s="25"/>
      <c r="TKP29" s="25"/>
      <c r="TKQ29" s="25"/>
      <c r="TKR29" s="25"/>
      <c r="TKS29" s="25"/>
      <c r="TKT29" s="25"/>
      <c r="TKU29" s="25"/>
      <c r="TKV29" s="25"/>
      <c r="TKW29" s="25"/>
      <c r="TKX29" s="25"/>
      <c r="TKY29" s="25"/>
      <c r="TKZ29" s="25"/>
      <c r="TLA29" s="25"/>
      <c r="TLB29" s="25"/>
      <c r="TLC29" s="25"/>
      <c r="TLD29" s="25"/>
      <c r="TLE29" s="25"/>
      <c r="TLF29" s="25"/>
      <c r="TLG29" s="25"/>
      <c r="TLH29" s="25"/>
      <c r="TLI29" s="25"/>
      <c r="TLJ29" s="25"/>
      <c r="TLK29" s="25"/>
      <c r="TLL29" s="25"/>
      <c r="TLM29" s="25"/>
      <c r="TLN29" s="25"/>
      <c r="TLO29" s="25"/>
      <c r="TLP29" s="25"/>
      <c r="TLQ29" s="25"/>
      <c r="TLR29" s="25"/>
      <c r="TLS29" s="25"/>
      <c r="TLT29" s="25"/>
      <c r="TLU29" s="25"/>
      <c r="TLV29" s="25"/>
      <c r="TLW29" s="25"/>
      <c r="TLX29" s="25"/>
      <c r="TLY29" s="25"/>
      <c r="TLZ29" s="25"/>
      <c r="TMA29" s="25"/>
      <c r="TMB29" s="25"/>
      <c r="TMC29" s="25"/>
      <c r="TMD29" s="25"/>
      <c r="TME29" s="25"/>
      <c r="TMF29" s="25"/>
      <c r="TMG29" s="25"/>
      <c r="TMH29" s="25"/>
      <c r="TMI29" s="25"/>
      <c r="TMJ29" s="25"/>
      <c r="TMK29" s="25"/>
      <c r="TML29" s="25"/>
      <c r="TMM29" s="25"/>
      <c r="TMN29" s="25"/>
      <c r="TMO29" s="25"/>
      <c r="TMP29" s="25"/>
      <c r="TMQ29" s="25"/>
      <c r="TMR29" s="25"/>
      <c r="TMS29" s="25"/>
      <c r="TMT29" s="25"/>
      <c r="TMU29" s="25"/>
      <c r="TMV29" s="25"/>
      <c r="TMW29" s="25"/>
      <c r="TMX29" s="25"/>
      <c r="TMY29" s="25"/>
      <c r="TMZ29" s="25"/>
      <c r="TNA29" s="25"/>
      <c r="TNB29" s="25"/>
      <c r="TNC29" s="25"/>
      <c r="TND29" s="25"/>
      <c r="TNE29" s="25"/>
      <c r="TNF29" s="25"/>
      <c r="TNG29" s="25"/>
      <c r="TNH29" s="25"/>
      <c r="TNI29" s="25"/>
      <c r="TNJ29" s="25"/>
      <c r="TNK29" s="25"/>
      <c r="TNL29" s="25"/>
      <c r="TNM29" s="25"/>
      <c r="TNN29" s="25"/>
      <c r="TNO29" s="25"/>
      <c r="TNP29" s="25"/>
      <c r="TNQ29" s="25"/>
      <c r="TNR29" s="25"/>
      <c r="TNS29" s="25"/>
      <c r="TNT29" s="25"/>
      <c r="TNU29" s="25"/>
      <c r="TNV29" s="25"/>
      <c r="TNW29" s="25"/>
      <c r="TNX29" s="25"/>
      <c r="TNY29" s="25"/>
      <c r="TNZ29" s="25"/>
      <c r="TOA29" s="25"/>
      <c r="TOB29" s="25"/>
      <c r="TOC29" s="25"/>
      <c r="TOD29" s="25"/>
      <c r="TOE29" s="25"/>
      <c r="TOF29" s="25"/>
      <c r="TOG29" s="25"/>
      <c r="TOH29" s="25"/>
      <c r="TOI29" s="25"/>
      <c r="TOJ29" s="25"/>
      <c r="TOK29" s="25"/>
      <c r="TOL29" s="25"/>
      <c r="TOM29" s="25"/>
      <c r="TON29" s="25"/>
      <c r="TOO29" s="25"/>
      <c r="TOP29" s="25"/>
      <c r="TOQ29" s="25"/>
      <c r="TOR29" s="25"/>
      <c r="TOS29" s="25"/>
      <c r="TOT29" s="25"/>
      <c r="TOU29" s="25"/>
      <c r="TOV29" s="25"/>
      <c r="TOW29" s="25"/>
      <c r="TOX29" s="25"/>
      <c r="TOY29" s="25"/>
      <c r="TOZ29" s="25"/>
      <c r="TPA29" s="25"/>
      <c r="TPB29" s="25"/>
      <c r="TPC29" s="25"/>
      <c r="TPD29" s="25"/>
      <c r="TPE29" s="25"/>
      <c r="TPF29" s="25"/>
      <c r="TPG29" s="25"/>
      <c r="TPH29" s="25"/>
      <c r="TPI29" s="25"/>
      <c r="TPJ29" s="25"/>
      <c r="TPK29" s="25"/>
      <c r="TPL29" s="25"/>
      <c r="TPM29" s="25"/>
      <c r="TPN29" s="25"/>
      <c r="TPO29" s="25"/>
      <c r="TPP29" s="25"/>
      <c r="TPQ29" s="25"/>
      <c r="TPR29" s="25"/>
      <c r="TPS29" s="25"/>
      <c r="TPT29" s="25"/>
      <c r="TPU29" s="25"/>
      <c r="TPV29" s="25"/>
      <c r="TPW29" s="25"/>
      <c r="TPX29" s="25"/>
      <c r="TPY29" s="25"/>
      <c r="TPZ29" s="25"/>
      <c r="TQA29" s="25"/>
      <c r="TQB29" s="25"/>
      <c r="TQC29" s="25"/>
      <c r="TQD29" s="25"/>
      <c r="TQE29" s="25"/>
      <c r="TQF29" s="25"/>
      <c r="TQG29" s="25"/>
      <c r="TQH29" s="25"/>
      <c r="TQI29" s="25"/>
      <c r="TQJ29" s="25"/>
      <c r="TQK29" s="25"/>
      <c r="TQL29" s="25"/>
      <c r="TQM29" s="25"/>
      <c r="TQN29" s="25"/>
      <c r="TQO29" s="25"/>
      <c r="TQP29" s="25"/>
      <c r="TQQ29" s="25"/>
      <c r="TQR29" s="25"/>
      <c r="TQS29" s="25"/>
      <c r="TQT29" s="25"/>
      <c r="TQU29" s="25"/>
      <c r="TQV29" s="25"/>
      <c r="TQW29" s="25"/>
      <c r="TQX29" s="25"/>
      <c r="TQY29" s="25"/>
      <c r="TQZ29" s="25"/>
      <c r="TRA29" s="25"/>
      <c r="TRB29" s="25"/>
      <c r="TRC29" s="25"/>
      <c r="TRD29" s="25"/>
      <c r="TRE29" s="25"/>
      <c r="TRF29" s="25"/>
      <c r="TRG29" s="25"/>
      <c r="TRH29" s="25"/>
      <c r="TRI29" s="25"/>
      <c r="TRJ29" s="25"/>
      <c r="TRK29" s="25"/>
      <c r="TRL29" s="25"/>
      <c r="TRM29" s="25"/>
      <c r="TRN29" s="25"/>
      <c r="TRO29" s="25"/>
      <c r="TRP29" s="25"/>
      <c r="TRQ29" s="25"/>
      <c r="TRR29" s="25"/>
      <c r="TRS29" s="25"/>
      <c r="TRT29" s="25"/>
      <c r="TRU29" s="25"/>
      <c r="TRV29" s="25"/>
      <c r="TRW29" s="25"/>
      <c r="TRX29" s="25"/>
      <c r="TRY29" s="25"/>
      <c r="TRZ29" s="25"/>
      <c r="TSA29" s="25"/>
      <c r="TSB29" s="25"/>
      <c r="TSC29" s="25"/>
      <c r="TSD29" s="25"/>
      <c r="TSE29" s="25"/>
      <c r="TSF29" s="25"/>
      <c r="TSG29" s="25"/>
      <c r="TSH29" s="25"/>
      <c r="TSI29" s="25"/>
      <c r="TSJ29" s="25"/>
      <c r="TSK29" s="25"/>
      <c r="TSL29" s="25"/>
      <c r="TSM29" s="25"/>
      <c r="TSN29" s="25"/>
      <c r="TSO29" s="25"/>
      <c r="TSP29" s="25"/>
      <c r="TSQ29" s="25"/>
      <c r="TSR29" s="25"/>
      <c r="TSS29" s="25"/>
      <c r="TST29" s="25"/>
      <c r="TSU29" s="25"/>
      <c r="TSV29" s="25"/>
      <c r="TSW29" s="25"/>
      <c r="TSX29" s="25"/>
      <c r="TSY29" s="25"/>
      <c r="TSZ29" s="25"/>
      <c r="TTA29" s="25"/>
      <c r="TTB29" s="25"/>
      <c r="TTC29" s="25"/>
      <c r="TTD29" s="25"/>
      <c r="TTE29" s="25"/>
      <c r="TTF29" s="25"/>
      <c r="TTG29" s="25"/>
      <c r="TTH29" s="25"/>
      <c r="TTI29" s="25"/>
      <c r="TTJ29" s="25"/>
      <c r="TTK29" s="25"/>
      <c r="TTL29" s="25"/>
      <c r="TTM29" s="25"/>
      <c r="TTN29" s="25"/>
      <c r="TTO29" s="25"/>
      <c r="TTP29" s="25"/>
      <c r="TTQ29" s="25"/>
      <c r="TTR29" s="25"/>
      <c r="TTS29" s="25"/>
      <c r="TTT29" s="25"/>
      <c r="TTU29" s="25"/>
      <c r="TTV29" s="25"/>
      <c r="TTW29" s="25"/>
      <c r="TTX29" s="25"/>
      <c r="TTY29" s="25"/>
      <c r="TTZ29" s="25"/>
      <c r="TUA29" s="25"/>
      <c r="TUB29" s="25"/>
      <c r="TUC29" s="25"/>
      <c r="TUD29" s="25"/>
      <c r="TUE29" s="25"/>
      <c r="TUF29" s="25"/>
      <c r="TUG29" s="25"/>
      <c r="TUH29" s="25"/>
      <c r="TUI29" s="25"/>
      <c r="TUJ29" s="25"/>
      <c r="TUK29" s="25"/>
      <c r="TUL29" s="25"/>
      <c r="TUM29" s="25"/>
      <c r="TUN29" s="25"/>
      <c r="TUO29" s="25"/>
      <c r="TUP29" s="25"/>
      <c r="TUQ29" s="25"/>
      <c r="TUR29" s="25"/>
      <c r="TUS29" s="25"/>
      <c r="TUT29" s="25"/>
      <c r="TUU29" s="25"/>
      <c r="TUV29" s="25"/>
      <c r="TUW29" s="25"/>
      <c r="TUX29" s="25"/>
      <c r="TUY29" s="25"/>
      <c r="TUZ29" s="25"/>
      <c r="TVA29" s="25"/>
      <c r="TVB29" s="25"/>
      <c r="TVC29" s="25"/>
      <c r="TVD29" s="25"/>
      <c r="TVE29" s="25"/>
      <c r="TVF29" s="25"/>
      <c r="TVG29" s="25"/>
      <c r="TVH29" s="25"/>
      <c r="TVI29" s="25"/>
      <c r="TVJ29" s="25"/>
      <c r="TVK29" s="25"/>
      <c r="TVL29" s="25"/>
      <c r="TVM29" s="25"/>
      <c r="TVN29" s="25"/>
      <c r="TVO29" s="25"/>
      <c r="TVP29" s="25"/>
      <c r="TVQ29" s="25"/>
      <c r="TVR29" s="25"/>
      <c r="TVS29" s="25"/>
      <c r="TVT29" s="25"/>
      <c r="TVU29" s="25"/>
      <c r="TVV29" s="25"/>
      <c r="TVW29" s="25"/>
      <c r="TVX29" s="25"/>
      <c r="TVY29" s="25"/>
      <c r="TVZ29" s="25"/>
      <c r="TWA29" s="25"/>
      <c r="TWB29" s="25"/>
      <c r="TWC29" s="25"/>
      <c r="TWD29" s="25"/>
      <c r="TWE29" s="25"/>
      <c r="TWF29" s="25"/>
      <c r="TWG29" s="25"/>
      <c r="TWH29" s="25"/>
      <c r="TWI29" s="25"/>
      <c r="TWJ29" s="25"/>
      <c r="TWK29" s="25"/>
      <c r="TWL29" s="25"/>
      <c r="TWM29" s="25"/>
      <c r="TWN29" s="25"/>
      <c r="TWO29" s="25"/>
      <c r="TWP29" s="25"/>
      <c r="TWQ29" s="25"/>
      <c r="TWR29" s="25"/>
      <c r="TWS29" s="25"/>
      <c r="TWT29" s="25"/>
      <c r="TWU29" s="25"/>
      <c r="TWV29" s="25"/>
      <c r="TWW29" s="25"/>
      <c r="TWX29" s="25"/>
      <c r="TWY29" s="25"/>
      <c r="TWZ29" s="25"/>
      <c r="TXA29" s="25"/>
      <c r="TXB29" s="25"/>
      <c r="TXC29" s="25"/>
      <c r="TXD29" s="25"/>
      <c r="TXE29" s="25"/>
      <c r="TXF29" s="25"/>
      <c r="TXG29" s="25"/>
      <c r="TXH29" s="25"/>
      <c r="TXI29" s="25"/>
      <c r="TXJ29" s="25"/>
      <c r="TXK29" s="25"/>
      <c r="TXL29" s="25"/>
      <c r="TXM29" s="25"/>
      <c r="TXN29" s="25"/>
      <c r="TXO29" s="25"/>
      <c r="TXP29" s="25"/>
      <c r="TXQ29" s="25"/>
      <c r="TXR29" s="25"/>
      <c r="TXS29" s="25"/>
      <c r="TXT29" s="25"/>
      <c r="TXU29" s="25"/>
      <c r="TXV29" s="25"/>
      <c r="TXW29" s="25"/>
      <c r="TXX29" s="25"/>
      <c r="TXY29" s="25"/>
      <c r="TXZ29" s="25"/>
      <c r="TYA29" s="25"/>
      <c r="TYB29" s="25"/>
      <c r="TYC29" s="25"/>
      <c r="TYD29" s="25"/>
      <c r="TYE29" s="25"/>
      <c r="TYF29" s="25"/>
      <c r="TYG29" s="25"/>
      <c r="TYH29" s="25"/>
      <c r="TYI29" s="25"/>
      <c r="TYJ29" s="25"/>
      <c r="TYK29" s="25"/>
      <c r="TYL29" s="25"/>
      <c r="TYM29" s="25"/>
      <c r="TYN29" s="25"/>
      <c r="TYO29" s="25"/>
      <c r="TYP29" s="25"/>
      <c r="TYQ29" s="25"/>
      <c r="TYR29" s="25"/>
      <c r="TYS29" s="25"/>
      <c r="TYT29" s="25"/>
      <c r="TYU29" s="25"/>
      <c r="TYV29" s="25"/>
      <c r="TYW29" s="25"/>
      <c r="TYX29" s="25"/>
      <c r="TYY29" s="25"/>
      <c r="TYZ29" s="25"/>
      <c r="TZA29" s="25"/>
      <c r="TZB29" s="25"/>
      <c r="TZC29" s="25"/>
      <c r="TZD29" s="25"/>
      <c r="TZE29" s="25"/>
      <c r="TZF29" s="25"/>
      <c r="TZG29" s="25"/>
      <c r="TZH29" s="25"/>
      <c r="TZI29" s="25"/>
      <c r="TZJ29" s="25"/>
      <c r="TZK29" s="25"/>
      <c r="TZL29" s="25"/>
      <c r="TZM29" s="25"/>
      <c r="TZN29" s="25"/>
      <c r="TZO29" s="25"/>
      <c r="TZP29" s="25"/>
      <c r="TZQ29" s="25"/>
      <c r="TZR29" s="25"/>
      <c r="TZS29" s="25"/>
      <c r="TZT29" s="25"/>
      <c r="TZU29" s="25"/>
      <c r="TZV29" s="25"/>
      <c r="TZW29" s="25"/>
      <c r="TZX29" s="25"/>
      <c r="TZY29" s="25"/>
      <c r="TZZ29" s="25"/>
      <c r="UAA29" s="25"/>
      <c r="UAB29" s="25"/>
      <c r="UAC29" s="25"/>
      <c r="UAD29" s="25"/>
      <c r="UAE29" s="25"/>
      <c r="UAF29" s="25"/>
      <c r="UAG29" s="25"/>
      <c r="UAH29" s="25"/>
      <c r="UAI29" s="25"/>
      <c r="UAJ29" s="25"/>
      <c r="UAK29" s="25"/>
      <c r="UAL29" s="25"/>
      <c r="UAM29" s="25"/>
      <c r="UAN29" s="25"/>
      <c r="UAO29" s="25"/>
      <c r="UAP29" s="25"/>
      <c r="UAQ29" s="25"/>
      <c r="UAR29" s="25"/>
      <c r="UAS29" s="25"/>
      <c r="UAT29" s="25"/>
      <c r="UAU29" s="25"/>
      <c r="UAV29" s="25"/>
      <c r="UAW29" s="25"/>
      <c r="UAX29" s="25"/>
      <c r="UAY29" s="25"/>
      <c r="UAZ29" s="25"/>
      <c r="UBA29" s="25"/>
      <c r="UBB29" s="25"/>
      <c r="UBC29" s="25"/>
      <c r="UBD29" s="25"/>
      <c r="UBE29" s="25"/>
      <c r="UBF29" s="25"/>
      <c r="UBG29" s="25"/>
      <c r="UBH29" s="25"/>
      <c r="UBI29" s="25"/>
      <c r="UBJ29" s="25"/>
      <c r="UBK29" s="25"/>
      <c r="UBL29" s="25"/>
      <c r="UBM29" s="25"/>
      <c r="UBN29" s="25"/>
      <c r="UBO29" s="25"/>
      <c r="UBP29" s="25"/>
      <c r="UBQ29" s="25"/>
      <c r="UBR29" s="25"/>
      <c r="UBS29" s="25"/>
      <c r="UBT29" s="25"/>
      <c r="UBU29" s="25"/>
      <c r="UBV29" s="25"/>
      <c r="UBW29" s="25"/>
      <c r="UBX29" s="25"/>
      <c r="UBY29" s="25"/>
      <c r="UBZ29" s="25"/>
      <c r="UCA29" s="25"/>
      <c r="UCB29" s="25"/>
      <c r="UCC29" s="25"/>
      <c r="UCD29" s="25"/>
      <c r="UCE29" s="25"/>
      <c r="UCF29" s="25"/>
      <c r="UCG29" s="25"/>
      <c r="UCH29" s="25"/>
      <c r="UCI29" s="25"/>
      <c r="UCJ29" s="25"/>
      <c r="UCK29" s="25"/>
      <c r="UCL29" s="25"/>
      <c r="UCM29" s="25"/>
      <c r="UCN29" s="25"/>
      <c r="UCO29" s="25"/>
      <c r="UCP29" s="25"/>
      <c r="UCQ29" s="25"/>
      <c r="UCR29" s="25"/>
      <c r="UCS29" s="25"/>
      <c r="UCT29" s="25"/>
      <c r="UCU29" s="25"/>
      <c r="UCV29" s="25"/>
      <c r="UCW29" s="25"/>
      <c r="UCX29" s="25"/>
      <c r="UCY29" s="25"/>
      <c r="UCZ29" s="25"/>
      <c r="UDA29" s="25"/>
      <c r="UDB29" s="25"/>
      <c r="UDC29" s="25"/>
      <c r="UDD29" s="25"/>
      <c r="UDE29" s="25"/>
      <c r="UDF29" s="25"/>
      <c r="UDG29" s="25"/>
      <c r="UDH29" s="25"/>
      <c r="UDI29" s="25"/>
      <c r="UDJ29" s="25"/>
      <c r="UDK29" s="25"/>
      <c r="UDL29" s="25"/>
      <c r="UDM29" s="25"/>
      <c r="UDN29" s="25"/>
      <c r="UDO29" s="25"/>
      <c r="UDP29" s="25"/>
      <c r="UDQ29" s="25"/>
      <c r="UDR29" s="25"/>
      <c r="UDS29" s="25"/>
      <c r="UDT29" s="25"/>
      <c r="UDU29" s="25"/>
      <c r="UDV29" s="25"/>
      <c r="UDW29" s="25"/>
      <c r="UDX29" s="25"/>
      <c r="UDY29" s="25"/>
      <c r="UDZ29" s="25"/>
      <c r="UEA29" s="25"/>
      <c r="UEB29" s="25"/>
      <c r="UEC29" s="25"/>
      <c r="UED29" s="25"/>
      <c r="UEE29" s="25"/>
      <c r="UEF29" s="25"/>
      <c r="UEG29" s="25"/>
      <c r="UEH29" s="25"/>
      <c r="UEI29" s="25"/>
      <c r="UEJ29" s="25"/>
      <c r="UEK29" s="25"/>
      <c r="UEL29" s="25"/>
      <c r="UEM29" s="25"/>
      <c r="UEN29" s="25"/>
      <c r="UEO29" s="25"/>
      <c r="UEP29" s="25"/>
      <c r="UEQ29" s="25"/>
      <c r="UER29" s="25"/>
      <c r="UES29" s="25"/>
      <c r="UET29" s="25"/>
      <c r="UEU29" s="25"/>
      <c r="UEV29" s="25"/>
      <c r="UEW29" s="25"/>
      <c r="UEX29" s="25"/>
      <c r="UEY29" s="25"/>
      <c r="UEZ29" s="25"/>
      <c r="UFA29" s="25"/>
      <c r="UFB29" s="25"/>
      <c r="UFC29" s="25"/>
      <c r="UFD29" s="25"/>
      <c r="UFE29" s="25"/>
      <c r="UFF29" s="25"/>
      <c r="UFG29" s="25"/>
      <c r="UFH29" s="25"/>
      <c r="UFI29" s="25"/>
      <c r="UFJ29" s="25"/>
      <c r="UFK29" s="25"/>
      <c r="UFL29" s="25"/>
      <c r="UFM29" s="25"/>
      <c r="UFN29" s="25"/>
      <c r="UFO29" s="25"/>
      <c r="UFP29" s="25"/>
      <c r="UFQ29" s="25"/>
      <c r="UFR29" s="25"/>
      <c r="UFS29" s="25"/>
      <c r="UFT29" s="25"/>
      <c r="UFU29" s="25"/>
      <c r="UFV29" s="25"/>
      <c r="UFW29" s="25"/>
      <c r="UFX29" s="25"/>
      <c r="UFY29" s="25"/>
      <c r="UFZ29" s="25"/>
      <c r="UGA29" s="25"/>
      <c r="UGB29" s="25"/>
      <c r="UGC29" s="25"/>
      <c r="UGD29" s="25"/>
      <c r="UGE29" s="25"/>
      <c r="UGF29" s="25"/>
      <c r="UGG29" s="25"/>
      <c r="UGH29" s="25"/>
      <c r="UGI29" s="25"/>
      <c r="UGJ29" s="25"/>
      <c r="UGK29" s="25"/>
      <c r="UGL29" s="25"/>
      <c r="UGM29" s="25"/>
      <c r="UGN29" s="25"/>
      <c r="UGO29" s="25"/>
      <c r="UGP29" s="25"/>
      <c r="UGQ29" s="25"/>
      <c r="UGR29" s="25"/>
      <c r="UGS29" s="25"/>
      <c r="UGT29" s="25"/>
      <c r="UGU29" s="25"/>
      <c r="UGV29" s="25"/>
      <c r="UGW29" s="25"/>
      <c r="UGX29" s="25"/>
      <c r="UGY29" s="25"/>
      <c r="UGZ29" s="25"/>
      <c r="UHA29" s="25"/>
      <c r="UHB29" s="25"/>
      <c r="UHC29" s="25"/>
      <c r="UHD29" s="25"/>
      <c r="UHE29" s="25"/>
      <c r="UHF29" s="25"/>
      <c r="UHG29" s="25"/>
      <c r="UHH29" s="25"/>
      <c r="UHI29" s="25"/>
      <c r="UHJ29" s="25"/>
      <c r="UHK29" s="25"/>
      <c r="UHL29" s="25"/>
      <c r="UHM29" s="25"/>
      <c r="UHN29" s="25"/>
      <c r="UHO29" s="25"/>
      <c r="UHP29" s="25"/>
      <c r="UHQ29" s="25"/>
      <c r="UHR29" s="25"/>
      <c r="UHS29" s="25"/>
      <c r="UHT29" s="25"/>
      <c r="UHU29" s="25"/>
      <c r="UHV29" s="25"/>
      <c r="UHW29" s="25"/>
      <c r="UHX29" s="25"/>
      <c r="UHY29" s="25"/>
      <c r="UHZ29" s="25"/>
      <c r="UIA29" s="25"/>
      <c r="UIB29" s="25"/>
      <c r="UIC29" s="25"/>
      <c r="UID29" s="25"/>
      <c r="UIE29" s="25"/>
      <c r="UIF29" s="25"/>
      <c r="UIG29" s="25"/>
      <c r="UIH29" s="25"/>
      <c r="UII29" s="25"/>
      <c r="UIJ29" s="25"/>
      <c r="UIK29" s="25"/>
      <c r="UIL29" s="25"/>
      <c r="UIM29" s="25"/>
      <c r="UIN29" s="25"/>
      <c r="UIO29" s="25"/>
      <c r="UIP29" s="25"/>
      <c r="UIQ29" s="25"/>
      <c r="UIR29" s="25"/>
      <c r="UIS29" s="25"/>
      <c r="UIT29" s="25"/>
      <c r="UIU29" s="25"/>
      <c r="UIV29" s="25"/>
      <c r="UIW29" s="25"/>
      <c r="UIX29" s="25"/>
      <c r="UIY29" s="25"/>
      <c r="UIZ29" s="25"/>
      <c r="UJA29" s="25"/>
      <c r="UJB29" s="25"/>
      <c r="UJC29" s="25"/>
      <c r="UJD29" s="25"/>
      <c r="UJE29" s="25"/>
      <c r="UJF29" s="25"/>
      <c r="UJG29" s="25"/>
      <c r="UJH29" s="25"/>
      <c r="UJI29" s="25"/>
      <c r="UJJ29" s="25"/>
      <c r="UJK29" s="25"/>
      <c r="UJL29" s="25"/>
      <c r="UJM29" s="25"/>
      <c r="UJN29" s="25"/>
      <c r="UJO29" s="25"/>
      <c r="UJP29" s="25"/>
      <c r="UJQ29" s="25"/>
      <c r="UJR29" s="25"/>
      <c r="UJS29" s="25"/>
      <c r="UJT29" s="25"/>
      <c r="UJU29" s="25"/>
      <c r="UJV29" s="25"/>
      <c r="UJW29" s="25"/>
      <c r="UJX29" s="25"/>
      <c r="UJY29" s="25"/>
      <c r="UJZ29" s="25"/>
      <c r="UKA29" s="25"/>
      <c r="UKB29" s="25"/>
      <c r="UKC29" s="25"/>
      <c r="UKD29" s="25"/>
      <c r="UKE29" s="25"/>
      <c r="UKF29" s="25"/>
      <c r="UKG29" s="25"/>
      <c r="UKH29" s="25"/>
      <c r="UKI29" s="25"/>
      <c r="UKJ29" s="25"/>
      <c r="UKK29" s="25"/>
      <c r="UKL29" s="25"/>
      <c r="UKM29" s="25"/>
      <c r="UKN29" s="25"/>
      <c r="UKO29" s="25"/>
      <c r="UKP29" s="25"/>
      <c r="UKQ29" s="25"/>
      <c r="UKR29" s="25"/>
      <c r="UKS29" s="25"/>
      <c r="UKT29" s="25"/>
      <c r="UKU29" s="25"/>
      <c r="UKV29" s="25"/>
      <c r="UKW29" s="25"/>
      <c r="UKX29" s="25"/>
      <c r="UKY29" s="25"/>
      <c r="UKZ29" s="25"/>
      <c r="ULA29" s="25"/>
      <c r="ULB29" s="25"/>
      <c r="ULC29" s="25"/>
      <c r="ULD29" s="25"/>
      <c r="ULE29" s="25"/>
      <c r="ULF29" s="25"/>
      <c r="ULG29" s="25"/>
      <c r="ULH29" s="25"/>
      <c r="ULI29" s="25"/>
      <c r="ULJ29" s="25"/>
      <c r="ULK29" s="25"/>
      <c r="ULL29" s="25"/>
      <c r="ULM29" s="25"/>
      <c r="ULN29" s="25"/>
      <c r="ULO29" s="25"/>
      <c r="ULP29" s="25"/>
      <c r="ULQ29" s="25"/>
      <c r="ULR29" s="25"/>
      <c r="ULS29" s="25"/>
      <c r="ULT29" s="25"/>
      <c r="ULU29" s="25"/>
      <c r="ULV29" s="25"/>
      <c r="ULW29" s="25"/>
      <c r="ULX29" s="25"/>
      <c r="ULY29" s="25"/>
      <c r="ULZ29" s="25"/>
      <c r="UMA29" s="25"/>
      <c r="UMB29" s="25"/>
      <c r="UMC29" s="25"/>
      <c r="UMD29" s="25"/>
      <c r="UME29" s="25"/>
      <c r="UMF29" s="25"/>
      <c r="UMG29" s="25"/>
      <c r="UMH29" s="25"/>
      <c r="UMI29" s="25"/>
      <c r="UMJ29" s="25"/>
      <c r="UMK29" s="25"/>
      <c r="UML29" s="25"/>
      <c r="UMM29" s="25"/>
      <c r="UMN29" s="25"/>
      <c r="UMO29" s="25"/>
      <c r="UMP29" s="25"/>
      <c r="UMQ29" s="25"/>
      <c r="UMR29" s="25"/>
      <c r="UMS29" s="25"/>
      <c r="UMT29" s="25"/>
      <c r="UMU29" s="25"/>
      <c r="UMV29" s="25"/>
      <c r="UMW29" s="25"/>
      <c r="UMX29" s="25"/>
      <c r="UMY29" s="25"/>
      <c r="UMZ29" s="25"/>
      <c r="UNA29" s="25"/>
      <c r="UNB29" s="25"/>
      <c r="UNC29" s="25"/>
      <c r="UND29" s="25"/>
      <c r="UNE29" s="25"/>
      <c r="UNF29" s="25"/>
      <c r="UNG29" s="25"/>
      <c r="UNH29" s="25"/>
      <c r="UNI29" s="25"/>
      <c r="UNJ29" s="25"/>
      <c r="UNK29" s="25"/>
      <c r="UNL29" s="25"/>
      <c r="UNM29" s="25"/>
      <c r="UNN29" s="25"/>
      <c r="UNO29" s="25"/>
      <c r="UNP29" s="25"/>
      <c r="UNQ29" s="25"/>
      <c r="UNR29" s="25"/>
      <c r="UNS29" s="25"/>
      <c r="UNT29" s="25"/>
      <c r="UNU29" s="25"/>
      <c r="UNV29" s="25"/>
      <c r="UNW29" s="25"/>
      <c r="UNX29" s="25"/>
      <c r="UNY29" s="25"/>
      <c r="UNZ29" s="25"/>
      <c r="UOA29" s="25"/>
      <c r="UOB29" s="25"/>
      <c r="UOC29" s="25"/>
      <c r="UOD29" s="25"/>
      <c r="UOE29" s="25"/>
      <c r="UOF29" s="25"/>
      <c r="UOG29" s="25"/>
      <c r="UOH29" s="25"/>
      <c r="UOI29" s="25"/>
      <c r="UOJ29" s="25"/>
      <c r="UOK29" s="25"/>
      <c r="UOL29" s="25"/>
      <c r="UOM29" s="25"/>
      <c r="UON29" s="25"/>
      <c r="UOO29" s="25"/>
      <c r="UOP29" s="25"/>
      <c r="UOQ29" s="25"/>
      <c r="UOR29" s="25"/>
      <c r="UOS29" s="25"/>
      <c r="UOT29" s="25"/>
      <c r="UOU29" s="25"/>
      <c r="UOV29" s="25"/>
      <c r="UOW29" s="25"/>
      <c r="UOX29" s="25"/>
      <c r="UOY29" s="25"/>
      <c r="UOZ29" s="25"/>
      <c r="UPA29" s="25"/>
      <c r="UPB29" s="25"/>
      <c r="UPC29" s="25"/>
      <c r="UPD29" s="25"/>
      <c r="UPE29" s="25"/>
      <c r="UPF29" s="25"/>
      <c r="UPG29" s="25"/>
      <c r="UPH29" s="25"/>
      <c r="UPI29" s="25"/>
      <c r="UPJ29" s="25"/>
      <c r="UPK29" s="25"/>
      <c r="UPL29" s="25"/>
      <c r="UPM29" s="25"/>
      <c r="UPN29" s="25"/>
      <c r="UPO29" s="25"/>
      <c r="UPP29" s="25"/>
      <c r="UPQ29" s="25"/>
      <c r="UPR29" s="25"/>
      <c r="UPS29" s="25"/>
      <c r="UPT29" s="25"/>
      <c r="UPU29" s="25"/>
      <c r="UPV29" s="25"/>
      <c r="UPW29" s="25"/>
      <c r="UPX29" s="25"/>
      <c r="UPY29" s="25"/>
      <c r="UPZ29" s="25"/>
      <c r="UQA29" s="25"/>
      <c r="UQB29" s="25"/>
      <c r="UQC29" s="25"/>
      <c r="UQD29" s="25"/>
      <c r="UQE29" s="25"/>
      <c r="UQF29" s="25"/>
      <c r="UQG29" s="25"/>
      <c r="UQH29" s="25"/>
      <c r="UQI29" s="25"/>
      <c r="UQJ29" s="25"/>
      <c r="UQK29" s="25"/>
      <c r="UQL29" s="25"/>
      <c r="UQM29" s="25"/>
      <c r="UQN29" s="25"/>
      <c r="UQO29" s="25"/>
      <c r="UQP29" s="25"/>
      <c r="UQQ29" s="25"/>
      <c r="UQR29" s="25"/>
      <c r="UQS29" s="25"/>
      <c r="UQT29" s="25"/>
      <c r="UQU29" s="25"/>
      <c r="UQV29" s="25"/>
      <c r="UQW29" s="25"/>
      <c r="UQX29" s="25"/>
      <c r="UQY29" s="25"/>
      <c r="UQZ29" s="25"/>
      <c r="URA29" s="25"/>
      <c r="URB29" s="25"/>
      <c r="URC29" s="25"/>
      <c r="URD29" s="25"/>
      <c r="URE29" s="25"/>
      <c r="URF29" s="25"/>
      <c r="URG29" s="25"/>
      <c r="URH29" s="25"/>
      <c r="URI29" s="25"/>
      <c r="URJ29" s="25"/>
      <c r="URK29" s="25"/>
      <c r="URL29" s="25"/>
      <c r="URM29" s="25"/>
      <c r="URN29" s="25"/>
      <c r="URO29" s="25"/>
      <c r="URP29" s="25"/>
      <c r="URQ29" s="25"/>
      <c r="URR29" s="25"/>
      <c r="URS29" s="25"/>
      <c r="URT29" s="25"/>
      <c r="URU29" s="25"/>
      <c r="URV29" s="25"/>
      <c r="URW29" s="25"/>
      <c r="URX29" s="25"/>
      <c r="URY29" s="25"/>
      <c r="URZ29" s="25"/>
      <c r="USA29" s="25"/>
      <c r="USB29" s="25"/>
      <c r="USC29" s="25"/>
      <c r="USD29" s="25"/>
      <c r="USE29" s="25"/>
      <c r="USF29" s="25"/>
      <c r="USG29" s="25"/>
      <c r="USH29" s="25"/>
      <c r="USI29" s="25"/>
      <c r="USJ29" s="25"/>
      <c r="USK29" s="25"/>
      <c r="USL29" s="25"/>
      <c r="USM29" s="25"/>
      <c r="USN29" s="25"/>
      <c r="USO29" s="25"/>
      <c r="USP29" s="25"/>
      <c r="USQ29" s="25"/>
      <c r="USR29" s="25"/>
      <c r="USS29" s="25"/>
      <c r="UST29" s="25"/>
      <c r="USU29" s="25"/>
      <c r="USV29" s="25"/>
      <c r="USW29" s="25"/>
      <c r="USX29" s="25"/>
      <c r="USY29" s="25"/>
      <c r="USZ29" s="25"/>
      <c r="UTA29" s="25"/>
      <c r="UTB29" s="25"/>
      <c r="UTC29" s="25"/>
      <c r="UTD29" s="25"/>
      <c r="UTE29" s="25"/>
      <c r="UTF29" s="25"/>
      <c r="UTG29" s="25"/>
      <c r="UTH29" s="25"/>
      <c r="UTI29" s="25"/>
      <c r="UTJ29" s="25"/>
      <c r="UTK29" s="25"/>
      <c r="UTL29" s="25"/>
      <c r="UTM29" s="25"/>
      <c r="UTN29" s="25"/>
      <c r="UTO29" s="25"/>
      <c r="UTP29" s="25"/>
      <c r="UTQ29" s="25"/>
      <c r="UTR29" s="25"/>
      <c r="UTS29" s="25"/>
      <c r="UTT29" s="25"/>
      <c r="UTU29" s="25"/>
      <c r="UTV29" s="25"/>
      <c r="UTW29" s="25"/>
      <c r="UTX29" s="25"/>
      <c r="UTY29" s="25"/>
      <c r="UTZ29" s="25"/>
      <c r="UUA29" s="25"/>
      <c r="UUB29" s="25"/>
      <c r="UUC29" s="25"/>
      <c r="UUD29" s="25"/>
      <c r="UUE29" s="25"/>
      <c r="UUF29" s="25"/>
      <c r="UUG29" s="25"/>
      <c r="UUH29" s="25"/>
      <c r="UUI29" s="25"/>
      <c r="UUJ29" s="25"/>
      <c r="UUK29" s="25"/>
      <c r="UUL29" s="25"/>
      <c r="UUM29" s="25"/>
      <c r="UUN29" s="25"/>
      <c r="UUO29" s="25"/>
      <c r="UUP29" s="25"/>
      <c r="UUQ29" s="25"/>
      <c r="UUR29" s="25"/>
      <c r="UUS29" s="25"/>
      <c r="UUT29" s="25"/>
      <c r="UUU29" s="25"/>
      <c r="UUV29" s="25"/>
      <c r="UUW29" s="25"/>
      <c r="UUX29" s="25"/>
      <c r="UUY29" s="25"/>
      <c r="UUZ29" s="25"/>
      <c r="UVA29" s="25"/>
      <c r="UVB29" s="25"/>
      <c r="UVC29" s="25"/>
      <c r="UVD29" s="25"/>
      <c r="UVE29" s="25"/>
      <c r="UVF29" s="25"/>
      <c r="UVG29" s="25"/>
      <c r="UVH29" s="25"/>
      <c r="UVI29" s="25"/>
      <c r="UVJ29" s="25"/>
      <c r="UVK29" s="25"/>
      <c r="UVL29" s="25"/>
      <c r="UVM29" s="25"/>
      <c r="UVN29" s="25"/>
      <c r="UVO29" s="25"/>
      <c r="UVP29" s="25"/>
      <c r="UVQ29" s="25"/>
      <c r="UVR29" s="25"/>
      <c r="UVS29" s="25"/>
      <c r="UVT29" s="25"/>
      <c r="UVU29" s="25"/>
      <c r="UVV29" s="25"/>
      <c r="UVW29" s="25"/>
      <c r="UVX29" s="25"/>
      <c r="UVY29" s="25"/>
      <c r="UVZ29" s="25"/>
      <c r="UWA29" s="25"/>
      <c r="UWB29" s="25"/>
      <c r="UWC29" s="25"/>
      <c r="UWD29" s="25"/>
      <c r="UWE29" s="25"/>
      <c r="UWF29" s="25"/>
      <c r="UWG29" s="25"/>
      <c r="UWH29" s="25"/>
      <c r="UWI29" s="25"/>
      <c r="UWJ29" s="25"/>
      <c r="UWK29" s="25"/>
      <c r="UWL29" s="25"/>
      <c r="UWM29" s="25"/>
      <c r="UWN29" s="25"/>
      <c r="UWO29" s="25"/>
      <c r="UWP29" s="25"/>
      <c r="UWQ29" s="25"/>
      <c r="UWR29" s="25"/>
      <c r="UWS29" s="25"/>
      <c r="UWT29" s="25"/>
      <c r="UWU29" s="25"/>
      <c r="UWV29" s="25"/>
      <c r="UWW29" s="25"/>
      <c r="UWX29" s="25"/>
      <c r="UWY29" s="25"/>
      <c r="UWZ29" s="25"/>
      <c r="UXA29" s="25"/>
      <c r="UXB29" s="25"/>
      <c r="UXC29" s="25"/>
      <c r="UXD29" s="25"/>
      <c r="UXE29" s="25"/>
      <c r="UXF29" s="25"/>
      <c r="UXG29" s="25"/>
      <c r="UXH29" s="25"/>
      <c r="UXI29" s="25"/>
      <c r="UXJ29" s="25"/>
      <c r="UXK29" s="25"/>
      <c r="UXL29" s="25"/>
      <c r="UXM29" s="25"/>
      <c r="UXN29" s="25"/>
      <c r="UXO29" s="25"/>
      <c r="UXP29" s="25"/>
      <c r="UXQ29" s="25"/>
      <c r="UXR29" s="25"/>
      <c r="UXS29" s="25"/>
      <c r="UXT29" s="25"/>
      <c r="UXU29" s="25"/>
      <c r="UXV29" s="25"/>
      <c r="UXW29" s="25"/>
      <c r="UXX29" s="25"/>
      <c r="UXY29" s="25"/>
      <c r="UXZ29" s="25"/>
      <c r="UYA29" s="25"/>
      <c r="UYB29" s="25"/>
      <c r="UYC29" s="25"/>
      <c r="UYD29" s="25"/>
      <c r="UYE29" s="25"/>
      <c r="UYF29" s="25"/>
      <c r="UYG29" s="25"/>
      <c r="UYH29" s="25"/>
      <c r="UYI29" s="25"/>
      <c r="UYJ29" s="25"/>
      <c r="UYK29" s="25"/>
      <c r="UYL29" s="25"/>
      <c r="UYM29" s="25"/>
      <c r="UYN29" s="25"/>
      <c r="UYO29" s="25"/>
      <c r="UYP29" s="25"/>
      <c r="UYQ29" s="25"/>
      <c r="UYR29" s="25"/>
      <c r="UYS29" s="25"/>
      <c r="UYT29" s="25"/>
      <c r="UYU29" s="25"/>
      <c r="UYV29" s="25"/>
      <c r="UYW29" s="25"/>
      <c r="UYX29" s="25"/>
      <c r="UYY29" s="25"/>
      <c r="UYZ29" s="25"/>
      <c r="UZA29" s="25"/>
      <c r="UZB29" s="25"/>
      <c r="UZC29" s="25"/>
      <c r="UZD29" s="25"/>
      <c r="UZE29" s="25"/>
      <c r="UZF29" s="25"/>
      <c r="UZG29" s="25"/>
      <c r="UZH29" s="25"/>
      <c r="UZI29" s="25"/>
      <c r="UZJ29" s="25"/>
      <c r="UZK29" s="25"/>
      <c r="UZL29" s="25"/>
      <c r="UZM29" s="25"/>
      <c r="UZN29" s="25"/>
      <c r="UZO29" s="25"/>
      <c r="UZP29" s="25"/>
      <c r="UZQ29" s="25"/>
      <c r="UZR29" s="25"/>
      <c r="UZS29" s="25"/>
      <c r="UZT29" s="25"/>
      <c r="UZU29" s="25"/>
      <c r="UZV29" s="25"/>
      <c r="UZW29" s="25"/>
      <c r="UZX29" s="25"/>
      <c r="UZY29" s="25"/>
      <c r="UZZ29" s="25"/>
      <c r="VAA29" s="25"/>
      <c r="VAB29" s="25"/>
      <c r="VAC29" s="25"/>
      <c r="VAD29" s="25"/>
      <c r="VAE29" s="25"/>
      <c r="VAF29" s="25"/>
      <c r="VAG29" s="25"/>
      <c r="VAH29" s="25"/>
      <c r="VAI29" s="25"/>
      <c r="VAJ29" s="25"/>
      <c r="VAK29" s="25"/>
      <c r="VAL29" s="25"/>
      <c r="VAM29" s="25"/>
      <c r="VAN29" s="25"/>
      <c r="VAO29" s="25"/>
      <c r="VAP29" s="25"/>
      <c r="VAQ29" s="25"/>
      <c r="VAR29" s="25"/>
      <c r="VAS29" s="25"/>
      <c r="VAT29" s="25"/>
      <c r="VAU29" s="25"/>
      <c r="VAV29" s="25"/>
      <c r="VAW29" s="25"/>
      <c r="VAX29" s="25"/>
      <c r="VAY29" s="25"/>
      <c r="VAZ29" s="25"/>
      <c r="VBA29" s="25"/>
      <c r="VBB29" s="25"/>
      <c r="VBC29" s="25"/>
      <c r="VBD29" s="25"/>
      <c r="VBE29" s="25"/>
      <c r="VBF29" s="25"/>
      <c r="VBG29" s="25"/>
      <c r="VBH29" s="25"/>
      <c r="VBI29" s="25"/>
      <c r="VBJ29" s="25"/>
      <c r="VBK29" s="25"/>
      <c r="VBL29" s="25"/>
      <c r="VBM29" s="25"/>
      <c r="VBN29" s="25"/>
      <c r="VBO29" s="25"/>
      <c r="VBP29" s="25"/>
      <c r="VBQ29" s="25"/>
      <c r="VBR29" s="25"/>
      <c r="VBS29" s="25"/>
      <c r="VBT29" s="25"/>
      <c r="VBU29" s="25"/>
      <c r="VBV29" s="25"/>
      <c r="VBW29" s="25"/>
      <c r="VBX29" s="25"/>
      <c r="VBY29" s="25"/>
      <c r="VBZ29" s="25"/>
      <c r="VCA29" s="25"/>
      <c r="VCB29" s="25"/>
      <c r="VCC29" s="25"/>
      <c r="VCD29" s="25"/>
      <c r="VCE29" s="25"/>
      <c r="VCF29" s="25"/>
      <c r="VCG29" s="25"/>
      <c r="VCH29" s="25"/>
      <c r="VCI29" s="25"/>
      <c r="VCJ29" s="25"/>
      <c r="VCK29" s="25"/>
      <c r="VCL29" s="25"/>
      <c r="VCM29" s="25"/>
      <c r="VCN29" s="25"/>
      <c r="VCO29" s="25"/>
      <c r="VCP29" s="25"/>
      <c r="VCQ29" s="25"/>
      <c r="VCR29" s="25"/>
      <c r="VCS29" s="25"/>
      <c r="VCT29" s="25"/>
      <c r="VCU29" s="25"/>
      <c r="VCV29" s="25"/>
      <c r="VCW29" s="25"/>
      <c r="VCX29" s="25"/>
      <c r="VCY29" s="25"/>
      <c r="VCZ29" s="25"/>
      <c r="VDA29" s="25"/>
      <c r="VDB29" s="25"/>
      <c r="VDC29" s="25"/>
      <c r="VDD29" s="25"/>
      <c r="VDE29" s="25"/>
      <c r="VDF29" s="25"/>
      <c r="VDG29" s="25"/>
      <c r="VDH29" s="25"/>
      <c r="VDI29" s="25"/>
      <c r="VDJ29" s="25"/>
      <c r="VDK29" s="25"/>
      <c r="VDL29" s="25"/>
      <c r="VDM29" s="25"/>
      <c r="VDN29" s="25"/>
      <c r="VDO29" s="25"/>
      <c r="VDP29" s="25"/>
      <c r="VDQ29" s="25"/>
      <c r="VDR29" s="25"/>
      <c r="VDS29" s="25"/>
      <c r="VDT29" s="25"/>
      <c r="VDU29" s="25"/>
      <c r="VDV29" s="25"/>
      <c r="VDW29" s="25"/>
      <c r="VDX29" s="25"/>
      <c r="VDY29" s="25"/>
      <c r="VDZ29" s="25"/>
      <c r="VEA29" s="25"/>
      <c r="VEB29" s="25"/>
      <c r="VEC29" s="25"/>
      <c r="VED29" s="25"/>
      <c r="VEE29" s="25"/>
      <c r="VEF29" s="25"/>
      <c r="VEG29" s="25"/>
      <c r="VEH29" s="25"/>
      <c r="VEI29" s="25"/>
      <c r="VEJ29" s="25"/>
      <c r="VEK29" s="25"/>
      <c r="VEL29" s="25"/>
      <c r="VEM29" s="25"/>
      <c r="VEN29" s="25"/>
      <c r="VEO29" s="25"/>
      <c r="VEP29" s="25"/>
      <c r="VEQ29" s="25"/>
      <c r="VER29" s="25"/>
      <c r="VES29" s="25"/>
      <c r="VET29" s="25"/>
      <c r="VEU29" s="25"/>
      <c r="VEV29" s="25"/>
      <c r="VEW29" s="25"/>
      <c r="VEX29" s="25"/>
      <c r="VEY29" s="25"/>
      <c r="VEZ29" s="25"/>
      <c r="VFA29" s="25"/>
      <c r="VFB29" s="25"/>
      <c r="VFC29" s="25"/>
      <c r="VFD29" s="25"/>
      <c r="VFE29" s="25"/>
      <c r="VFF29" s="25"/>
      <c r="VFG29" s="25"/>
      <c r="VFH29" s="25"/>
      <c r="VFI29" s="25"/>
      <c r="VFJ29" s="25"/>
      <c r="VFK29" s="25"/>
      <c r="VFL29" s="25"/>
      <c r="VFM29" s="25"/>
      <c r="VFN29" s="25"/>
      <c r="VFO29" s="25"/>
      <c r="VFP29" s="25"/>
      <c r="VFQ29" s="25"/>
      <c r="VFR29" s="25"/>
      <c r="VFS29" s="25"/>
      <c r="VFT29" s="25"/>
      <c r="VFU29" s="25"/>
      <c r="VFV29" s="25"/>
      <c r="VFW29" s="25"/>
      <c r="VFX29" s="25"/>
      <c r="VFY29" s="25"/>
      <c r="VFZ29" s="25"/>
      <c r="VGA29" s="25"/>
      <c r="VGB29" s="25"/>
      <c r="VGC29" s="25"/>
      <c r="VGD29" s="25"/>
      <c r="VGE29" s="25"/>
      <c r="VGF29" s="25"/>
      <c r="VGG29" s="25"/>
      <c r="VGH29" s="25"/>
      <c r="VGI29" s="25"/>
      <c r="VGJ29" s="25"/>
      <c r="VGK29" s="25"/>
      <c r="VGL29" s="25"/>
      <c r="VGM29" s="25"/>
      <c r="VGN29" s="25"/>
      <c r="VGO29" s="25"/>
      <c r="VGP29" s="25"/>
      <c r="VGQ29" s="25"/>
      <c r="VGR29" s="25"/>
      <c r="VGS29" s="25"/>
      <c r="VGT29" s="25"/>
      <c r="VGU29" s="25"/>
      <c r="VGV29" s="25"/>
      <c r="VGW29" s="25"/>
      <c r="VGX29" s="25"/>
      <c r="VGY29" s="25"/>
      <c r="VGZ29" s="25"/>
      <c r="VHA29" s="25"/>
      <c r="VHB29" s="25"/>
      <c r="VHC29" s="25"/>
      <c r="VHD29" s="25"/>
      <c r="VHE29" s="25"/>
      <c r="VHF29" s="25"/>
      <c r="VHG29" s="25"/>
      <c r="VHH29" s="25"/>
      <c r="VHI29" s="25"/>
      <c r="VHJ29" s="25"/>
      <c r="VHK29" s="25"/>
      <c r="VHL29" s="25"/>
      <c r="VHM29" s="25"/>
      <c r="VHN29" s="25"/>
      <c r="VHO29" s="25"/>
      <c r="VHP29" s="25"/>
      <c r="VHQ29" s="25"/>
      <c r="VHR29" s="25"/>
      <c r="VHS29" s="25"/>
      <c r="VHT29" s="25"/>
      <c r="VHU29" s="25"/>
      <c r="VHV29" s="25"/>
      <c r="VHW29" s="25"/>
      <c r="VHX29" s="25"/>
      <c r="VHY29" s="25"/>
      <c r="VHZ29" s="25"/>
      <c r="VIA29" s="25"/>
      <c r="VIB29" s="25"/>
      <c r="VIC29" s="25"/>
      <c r="VID29" s="25"/>
      <c r="VIE29" s="25"/>
      <c r="VIF29" s="25"/>
      <c r="VIG29" s="25"/>
      <c r="VIH29" s="25"/>
      <c r="VII29" s="25"/>
      <c r="VIJ29" s="25"/>
      <c r="VIK29" s="25"/>
      <c r="VIL29" s="25"/>
      <c r="VIM29" s="25"/>
      <c r="VIN29" s="25"/>
      <c r="VIO29" s="25"/>
      <c r="VIP29" s="25"/>
      <c r="VIQ29" s="25"/>
      <c r="VIR29" s="25"/>
      <c r="VIS29" s="25"/>
      <c r="VIT29" s="25"/>
      <c r="VIU29" s="25"/>
      <c r="VIV29" s="25"/>
      <c r="VIW29" s="25"/>
      <c r="VIX29" s="25"/>
      <c r="VIY29" s="25"/>
      <c r="VIZ29" s="25"/>
      <c r="VJA29" s="25"/>
      <c r="VJB29" s="25"/>
      <c r="VJC29" s="25"/>
      <c r="VJD29" s="25"/>
      <c r="VJE29" s="25"/>
      <c r="VJF29" s="25"/>
      <c r="VJG29" s="25"/>
      <c r="VJH29" s="25"/>
      <c r="VJI29" s="25"/>
      <c r="VJJ29" s="25"/>
      <c r="VJK29" s="25"/>
      <c r="VJL29" s="25"/>
      <c r="VJM29" s="25"/>
      <c r="VJN29" s="25"/>
      <c r="VJO29" s="25"/>
      <c r="VJP29" s="25"/>
      <c r="VJQ29" s="25"/>
      <c r="VJR29" s="25"/>
      <c r="VJS29" s="25"/>
      <c r="VJT29" s="25"/>
      <c r="VJU29" s="25"/>
      <c r="VJV29" s="25"/>
      <c r="VJW29" s="25"/>
      <c r="VJX29" s="25"/>
      <c r="VJY29" s="25"/>
      <c r="VJZ29" s="25"/>
      <c r="VKA29" s="25"/>
      <c r="VKB29" s="25"/>
      <c r="VKC29" s="25"/>
      <c r="VKD29" s="25"/>
      <c r="VKE29" s="25"/>
      <c r="VKF29" s="25"/>
      <c r="VKG29" s="25"/>
      <c r="VKH29" s="25"/>
      <c r="VKI29" s="25"/>
      <c r="VKJ29" s="25"/>
      <c r="VKK29" s="25"/>
      <c r="VKL29" s="25"/>
      <c r="VKM29" s="25"/>
      <c r="VKN29" s="25"/>
      <c r="VKO29" s="25"/>
      <c r="VKP29" s="25"/>
      <c r="VKQ29" s="25"/>
      <c r="VKR29" s="25"/>
      <c r="VKS29" s="25"/>
      <c r="VKT29" s="25"/>
      <c r="VKU29" s="25"/>
      <c r="VKV29" s="25"/>
      <c r="VKW29" s="25"/>
      <c r="VKX29" s="25"/>
      <c r="VKY29" s="25"/>
      <c r="VKZ29" s="25"/>
      <c r="VLA29" s="25"/>
      <c r="VLB29" s="25"/>
      <c r="VLC29" s="25"/>
      <c r="VLD29" s="25"/>
      <c r="VLE29" s="25"/>
      <c r="VLF29" s="25"/>
      <c r="VLG29" s="25"/>
      <c r="VLH29" s="25"/>
      <c r="VLI29" s="25"/>
      <c r="VLJ29" s="25"/>
      <c r="VLK29" s="25"/>
      <c r="VLL29" s="25"/>
      <c r="VLM29" s="25"/>
      <c r="VLN29" s="25"/>
      <c r="VLO29" s="25"/>
      <c r="VLP29" s="25"/>
      <c r="VLQ29" s="25"/>
      <c r="VLR29" s="25"/>
      <c r="VLS29" s="25"/>
      <c r="VLT29" s="25"/>
      <c r="VLU29" s="25"/>
      <c r="VLV29" s="25"/>
      <c r="VLW29" s="25"/>
      <c r="VLX29" s="25"/>
      <c r="VLY29" s="25"/>
      <c r="VLZ29" s="25"/>
      <c r="VMA29" s="25"/>
      <c r="VMB29" s="25"/>
      <c r="VMC29" s="25"/>
      <c r="VMD29" s="25"/>
      <c r="VME29" s="25"/>
      <c r="VMF29" s="25"/>
      <c r="VMG29" s="25"/>
      <c r="VMH29" s="25"/>
      <c r="VMI29" s="25"/>
      <c r="VMJ29" s="25"/>
      <c r="VMK29" s="25"/>
      <c r="VML29" s="25"/>
      <c r="VMM29" s="25"/>
      <c r="VMN29" s="25"/>
      <c r="VMO29" s="25"/>
      <c r="VMP29" s="25"/>
      <c r="VMQ29" s="25"/>
      <c r="VMR29" s="25"/>
      <c r="VMS29" s="25"/>
      <c r="VMT29" s="25"/>
      <c r="VMU29" s="25"/>
      <c r="VMV29" s="25"/>
      <c r="VMW29" s="25"/>
      <c r="VMX29" s="25"/>
      <c r="VMY29" s="25"/>
      <c r="VMZ29" s="25"/>
      <c r="VNA29" s="25"/>
      <c r="VNB29" s="25"/>
      <c r="VNC29" s="25"/>
      <c r="VND29" s="25"/>
      <c r="VNE29" s="25"/>
      <c r="VNF29" s="25"/>
      <c r="VNG29" s="25"/>
      <c r="VNH29" s="25"/>
      <c r="VNI29" s="25"/>
      <c r="VNJ29" s="25"/>
      <c r="VNK29" s="25"/>
      <c r="VNL29" s="25"/>
      <c r="VNM29" s="25"/>
      <c r="VNN29" s="25"/>
      <c r="VNO29" s="25"/>
      <c r="VNP29" s="25"/>
      <c r="VNQ29" s="25"/>
      <c r="VNR29" s="25"/>
      <c r="VNS29" s="25"/>
      <c r="VNT29" s="25"/>
      <c r="VNU29" s="25"/>
      <c r="VNV29" s="25"/>
      <c r="VNW29" s="25"/>
      <c r="VNX29" s="25"/>
      <c r="VNY29" s="25"/>
      <c r="VNZ29" s="25"/>
      <c r="VOA29" s="25"/>
      <c r="VOB29" s="25"/>
      <c r="VOC29" s="25"/>
      <c r="VOD29" s="25"/>
      <c r="VOE29" s="25"/>
      <c r="VOF29" s="25"/>
      <c r="VOG29" s="25"/>
      <c r="VOH29" s="25"/>
      <c r="VOI29" s="25"/>
      <c r="VOJ29" s="25"/>
      <c r="VOK29" s="25"/>
      <c r="VOL29" s="25"/>
      <c r="VOM29" s="25"/>
      <c r="VON29" s="25"/>
      <c r="VOO29" s="25"/>
      <c r="VOP29" s="25"/>
      <c r="VOQ29" s="25"/>
      <c r="VOR29" s="25"/>
      <c r="VOS29" s="25"/>
      <c r="VOT29" s="25"/>
      <c r="VOU29" s="25"/>
      <c r="VOV29" s="25"/>
      <c r="VOW29" s="25"/>
      <c r="VOX29" s="25"/>
      <c r="VOY29" s="25"/>
      <c r="VOZ29" s="25"/>
      <c r="VPA29" s="25"/>
      <c r="VPB29" s="25"/>
      <c r="VPC29" s="25"/>
      <c r="VPD29" s="25"/>
      <c r="VPE29" s="25"/>
      <c r="VPF29" s="25"/>
      <c r="VPG29" s="25"/>
      <c r="VPH29" s="25"/>
      <c r="VPI29" s="25"/>
      <c r="VPJ29" s="25"/>
      <c r="VPK29" s="25"/>
      <c r="VPL29" s="25"/>
      <c r="VPM29" s="25"/>
      <c r="VPN29" s="25"/>
      <c r="VPO29" s="25"/>
      <c r="VPP29" s="25"/>
      <c r="VPQ29" s="25"/>
      <c r="VPR29" s="25"/>
      <c r="VPS29" s="25"/>
      <c r="VPT29" s="25"/>
      <c r="VPU29" s="25"/>
      <c r="VPV29" s="25"/>
      <c r="VPW29" s="25"/>
      <c r="VPX29" s="25"/>
      <c r="VPY29" s="25"/>
      <c r="VPZ29" s="25"/>
      <c r="VQA29" s="25"/>
      <c r="VQB29" s="25"/>
      <c r="VQC29" s="25"/>
      <c r="VQD29" s="25"/>
      <c r="VQE29" s="25"/>
      <c r="VQF29" s="25"/>
      <c r="VQG29" s="25"/>
      <c r="VQH29" s="25"/>
      <c r="VQI29" s="25"/>
      <c r="VQJ29" s="25"/>
      <c r="VQK29" s="25"/>
      <c r="VQL29" s="25"/>
      <c r="VQM29" s="25"/>
      <c r="VQN29" s="25"/>
      <c r="VQO29" s="25"/>
      <c r="VQP29" s="25"/>
      <c r="VQQ29" s="25"/>
      <c r="VQR29" s="25"/>
      <c r="VQS29" s="25"/>
      <c r="VQT29" s="25"/>
      <c r="VQU29" s="25"/>
      <c r="VQV29" s="25"/>
      <c r="VQW29" s="25"/>
      <c r="VQX29" s="25"/>
      <c r="VQY29" s="25"/>
      <c r="VQZ29" s="25"/>
      <c r="VRA29" s="25"/>
      <c r="VRB29" s="25"/>
      <c r="VRC29" s="25"/>
      <c r="VRD29" s="25"/>
      <c r="VRE29" s="25"/>
      <c r="VRF29" s="25"/>
      <c r="VRG29" s="25"/>
      <c r="VRH29" s="25"/>
      <c r="VRI29" s="25"/>
      <c r="VRJ29" s="25"/>
      <c r="VRK29" s="25"/>
      <c r="VRL29" s="25"/>
      <c r="VRM29" s="25"/>
      <c r="VRN29" s="25"/>
      <c r="VRO29" s="25"/>
      <c r="VRP29" s="25"/>
      <c r="VRQ29" s="25"/>
      <c r="VRR29" s="25"/>
      <c r="VRS29" s="25"/>
      <c r="VRT29" s="25"/>
      <c r="VRU29" s="25"/>
      <c r="VRV29" s="25"/>
      <c r="VRW29" s="25"/>
      <c r="VRX29" s="25"/>
      <c r="VRY29" s="25"/>
      <c r="VRZ29" s="25"/>
      <c r="VSA29" s="25"/>
      <c r="VSB29" s="25"/>
      <c r="VSC29" s="25"/>
      <c r="VSD29" s="25"/>
      <c r="VSE29" s="25"/>
      <c r="VSF29" s="25"/>
      <c r="VSG29" s="25"/>
      <c r="VSH29" s="25"/>
      <c r="VSI29" s="25"/>
      <c r="VSJ29" s="25"/>
      <c r="VSK29" s="25"/>
      <c r="VSL29" s="25"/>
      <c r="VSM29" s="25"/>
      <c r="VSN29" s="25"/>
      <c r="VSO29" s="25"/>
      <c r="VSP29" s="25"/>
      <c r="VSQ29" s="25"/>
      <c r="VSR29" s="25"/>
      <c r="VSS29" s="25"/>
      <c r="VST29" s="25"/>
      <c r="VSU29" s="25"/>
      <c r="VSV29" s="25"/>
      <c r="VSW29" s="25"/>
      <c r="VSX29" s="25"/>
      <c r="VSY29" s="25"/>
      <c r="VSZ29" s="25"/>
      <c r="VTA29" s="25"/>
      <c r="VTB29" s="25"/>
      <c r="VTC29" s="25"/>
      <c r="VTD29" s="25"/>
      <c r="VTE29" s="25"/>
      <c r="VTF29" s="25"/>
      <c r="VTG29" s="25"/>
      <c r="VTH29" s="25"/>
      <c r="VTI29" s="25"/>
      <c r="VTJ29" s="25"/>
      <c r="VTK29" s="25"/>
      <c r="VTL29" s="25"/>
      <c r="VTM29" s="25"/>
      <c r="VTN29" s="25"/>
      <c r="VTO29" s="25"/>
      <c r="VTP29" s="25"/>
      <c r="VTQ29" s="25"/>
      <c r="VTR29" s="25"/>
      <c r="VTS29" s="25"/>
      <c r="VTT29" s="25"/>
      <c r="VTU29" s="25"/>
      <c r="VTV29" s="25"/>
      <c r="VTW29" s="25"/>
      <c r="VTX29" s="25"/>
      <c r="VTY29" s="25"/>
      <c r="VTZ29" s="25"/>
      <c r="VUA29" s="25"/>
      <c r="VUB29" s="25"/>
      <c r="VUC29" s="25"/>
      <c r="VUD29" s="25"/>
      <c r="VUE29" s="25"/>
      <c r="VUF29" s="25"/>
      <c r="VUG29" s="25"/>
      <c r="VUH29" s="25"/>
      <c r="VUI29" s="25"/>
      <c r="VUJ29" s="25"/>
      <c r="VUK29" s="25"/>
      <c r="VUL29" s="25"/>
      <c r="VUM29" s="25"/>
      <c r="VUN29" s="25"/>
      <c r="VUO29" s="25"/>
      <c r="VUP29" s="25"/>
      <c r="VUQ29" s="25"/>
      <c r="VUR29" s="25"/>
      <c r="VUS29" s="25"/>
      <c r="VUT29" s="25"/>
      <c r="VUU29" s="25"/>
      <c r="VUV29" s="25"/>
      <c r="VUW29" s="25"/>
      <c r="VUX29" s="25"/>
      <c r="VUY29" s="25"/>
      <c r="VUZ29" s="25"/>
      <c r="VVA29" s="25"/>
      <c r="VVB29" s="25"/>
      <c r="VVC29" s="25"/>
      <c r="VVD29" s="25"/>
      <c r="VVE29" s="25"/>
      <c r="VVF29" s="25"/>
      <c r="VVG29" s="25"/>
      <c r="VVH29" s="25"/>
      <c r="VVI29" s="25"/>
      <c r="VVJ29" s="25"/>
      <c r="VVK29" s="25"/>
      <c r="VVL29" s="25"/>
      <c r="VVM29" s="25"/>
      <c r="VVN29" s="25"/>
      <c r="VVO29" s="25"/>
      <c r="VVP29" s="25"/>
      <c r="VVQ29" s="25"/>
      <c r="VVR29" s="25"/>
      <c r="VVS29" s="25"/>
      <c r="VVT29" s="25"/>
      <c r="VVU29" s="25"/>
      <c r="VVV29" s="25"/>
      <c r="VVW29" s="25"/>
      <c r="VVX29" s="25"/>
      <c r="VVY29" s="25"/>
      <c r="VVZ29" s="25"/>
      <c r="VWA29" s="25"/>
      <c r="VWB29" s="25"/>
      <c r="VWC29" s="25"/>
      <c r="VWD29" s="25"/>
      <c r="VWE29" s="25"/>
      <c r="VWF29" s="25"/>
      <c r="VWG29" s="25"/>
      <c r="VWH29" s="25"/>
      <c r="VWI29" s="25"/>
      <c r="VWJ29" s="25"/>
      <c r="VWK29" s="25"/>
      <c r="VWL29" s="25"/>
      <c r="VWM29" s="25"/>
      <c r="VWN29" s="25"/>
      <c r="VWO29" s="25"/>
      <c r="VWP29" s="25"/>
      <c r="VWQ29" s="25"/>
      <c r="VWR29" s="25"/>
      <c r="VWS29" s="25"/>
      <c r="VWT29" s="25"/>
      <c r="VWU29" s="25"/>
      <c r="VWV29" s="25"/>
      <c r="VWW29" s="25"/>
      <c r="VWX29" s="25"/>
      <c r="VWY29" s="25"/>
      <c r="VWZ29" s="25"/>
      <c r="VXA29" s="25"/>
      <c r="VXB29" s="25"/>
      <c r="VXC29" s="25"/>
      <c r="VXD29" s="25"/>
      <c r="VXE29" s="25"/>
      <c r="VXF29" s="25"/>
      <c r="VXG29" s="25"/>
      <c r="VXH29" s="25"/>
      <c r="VXI29" s="25"/>
      <c r="VXJ29" s="25"/>
      <c r="VXK29" s="25"/>
      <c r="VXL29" s="25"/>
      <c r="VXM29" s="25"/>
      <c r="VXN29" s="25"/>
      <c r="VXO29" s="25"/>
      <c r="VXP29" s="25"/>
      <c r="VXQ29" s="25"/>
      <c r="VXR29" s="25"/>
      <c r="VXS29" s="25"/>
      <c r="VXT29" s="25"/>
      <c r="VXU29" s="25"/>
      <c r="VXV29" s="25"/>
      <c r="VXW29" s="25"/>
      <c r="VXX29" s="25"/>
      <c r="VXY29" s="25"/>
      <c r="VXZ29" s="25"/>
      <c r="VYA29" s="25"/>
      <c r="VYB29" s="25"/>
      <c r="VYC29" s="25"/>
      <c r="VYD29" s="25"/>
      <c r="VYE29" s="25"/>
      <c r="VYF29" s="25"/>
      <c r="VYG29" s="25"/>
      <c r="VYH29" s="25"/>
      <c r="VYI29" s="25"/>
      <c r="VYJ29" s="25"/>
      <c r="VYK29" s="25"/>
      <c r="VYL29" s="25"/>
      <c r="VYM29" s="25"/>
      <c r="VYN29" s="25"/>
      <c r="VYO29" s="25"/>
      <c r="VYP29" s="25"/>
      <c r="VYQ29" s="25"/>
      <c r="VYR29" s="25"/>
      <c r="VYS29" s="25"/>
      <c r="VYT29" s="25"/>
      <c r="VYU29" s="25"/>
      <c r="VYV29" s="25"/>
      <c r="VYW29" s="25"/>
      <c r="VYX29" s="25"/>
      <c r="VYY29" s="25"/>
      <c r="VYZ29" s="25"/>
      <c r="VZA29" s="25"/>
      <c r="VZB29" s="25"/>
      <c r="VZC29" s="25"/>
      <c r="VZD29" s="25"/>
      <c r="VZE29" s="25"/>
      <c r="VZF29" s="25"/>
      <c r="VZG29" s="25"/>
      <c r="VZH29" s="25"/>
      <c r="VZI29" s="25"/>
      <c r="VZJ29" s="25"/>
      <c r="VZK29" s="25"/>
      <c r="VZL29" s="25"/>
      <c r="VZM29" s="25"/>
      <c r="VZN29" s="25"/>
      <c r="VZO29" s="25"/>
      <c r="VZP29" s="25"/>
      <c r="VZQ29" s="25"/>
      <c r="VZR29" s="25"/>
      <c r="VZS29" s="25"/>
      <c r="VZT29" s="25"/>
      <c r="VZU29" s="25"/>
      <c r="VZV29" s="25"/>
      <c r="VZW29" s="25"/>
      <c r="VZX29" s="25"/>
      <c r="VZY29" s="25"/>
      <c r="VZZ29" s="25"/>
      <c r="WAA29" s="25"/>
      <c r="WAB29" s="25"/>
      <c r="WAC29" s="25"/>
      <c r="WAD29" s="25"/>
      <c r="WAE29" s="25"/>
      <c r="WAF29" s="25"/>
      <c r="WAG29" s="25"/>
      <c r="WAH29" s="25"/>
      <c r="WAI29" s="25"/>
      <c r="WAJ29" s="25"/>
      <c r="WAK29" s="25"/>
      <c r="WAL29" s="25"/>
      <c r="WAM29" s="25"/>
      <c r="WAN29" s="25"/>
      <c r="WAO29" s="25"/>
      <c r="WAP29" s="25"/>
      <c r="WAQ29" s="25"/>
      <c r="WAR29" s="25"/>
      <c r="WAS29" s="25"/>
      <c r="WAT29" s="25"/>
      <c r="WAU29" s="25"/>
      <c r="WAV29" s="25"/>
      <c r="WAW29" s="25"/>
      <c r="WAX29" s="25"/>
      <c r="WAY29" s="25"/>
      <c r="WAZ29" s="25"/>
      <c r="WBA29" s="25"/>
      <c r="WBB29" s="25"/>
      <c r="WBC29" s="25"/>
      <c r="WBD29" s="25"/>
      <c r="WBE29" s="25"/>
      <c r="WBF29" s="25"/>
      <c r="WBG29" s="25"/>
      <c r="WBH29" s="25"/>
      <c r="WBI29" s="25"/>
      <c r="WBJ29" s="25"/>
      <c r="WBK29" s="25"/>
      <c r="WBL29" s="25"/>
      <c r="WBM29" s="25"/>
      <c r="WBN29" s="25"/>
      <c r="WBO29" s="25"/>
      <c r="WBP29" s="25"/>
      <c r="WBQ29" s="25"/>
      <c r="WBR29" s="25"/>
      <c r="WBS29" s="25"/>
      <c r="WBT29" s="25"/>
      <c r="WBU29" s="25"/>
      <c r="WBV29" s="25"/>
      <c r="WBW29" s="25"/>
      <c r="WBX29" s="25"/>
      <c r="WBY29" s="25"/>
      <c r="WBZ29" s="25"/>
      <c r="WCA29" s="25"/>
      <c r="WCB29" s="25"/>
      <c r="WCC29" s="25"/>
      <c r="WCD29" s="25"/>
      <c r="WCE29" s="25"/>
      <c r="WCF29" s="25"/>
      <c r="WCG29" s="25"/>
      <c r="WCH29" s="25"/>
      <c r="WCI29" s="25"/>
      <c r="WCJ29" s="25"/>
      <c r="WCK29" s="25"/>
      <c r="WCL29" s="25"/>
      <c r="WCM29" s="25"/>
      <c r="WCN29" s="25"/>
      <c r="WCO29" s="25"/>
      <c r="WCP29" s="25"/>
      <c r="WCQ29" s="25"/>
      <c r="WCR29" s="25"/>
      <c r="WCS29" s="25"/>
      <c r="WCT29" s="25"/>
      <c r="WCU29" s="25"/>
      <c r="WCV29" s="25"/>
      <c r="WCW29" s="25"/>
      <c r="WCX29" s="25"/>
      <c r="WCY29" s="25"/>
      <c r="WCZ29" s="25"/>
      <c r="WDA29" s="25"/>
      <c r="WDB29" s="25"/>
      <c r="WDC29" s="25"/>
      <c r="WDD29" s="25"/>
      <c r="WDE29" s="25"/>
      <c r="WDF29" s="25"/>
      <c r="WDG29" s="25"/>
      <c r="WDH29" s="25"/>
      <c r="WDI29" s="25"/>
      <c r="WDJ29" s="25"/>
      <c r="WDK29" s="25"/>
      <c r="WDL29" s="25"/>
      <c r="WDM29" s="25"/>
      <c r="WDN29" s="25"/>
      <c r="WDO29" s="25"/>
      <c r="WDP29" s="25"/>
      <c r="WDQ29" s="25"/>
      <c r="WDR29" s="25"/>
      <c r="WDS29" s="25"/>
      <c r="WDT29" s="25"/>
      <c r="WDU29" s="25"/>
      <c r="WDV29" s="25"/>
      <c r="WDW29" s="25"/>
      <c r="WDX29" s="25"/>
      <c r="WDY29" s="25"/>
      <c r="WDZ29" s="25"/>
      <c r="WEA29" s="25"/>
      <c r="WEB29" s="25"/>
      <c r="WEC29" s="25"/>
      <c r="WED29" s="25"/>
      <c r="WEE29" s="25"/>
      <c r="WEF29" s="25"/>
      <c r="WEG29" s="25"/>
      <c r="WEH29" s="25"/>
      <c r="WEI29" s="25"/>
      <c r="WEJ29" s="25"/>
      <c r="WEK29" s="25"/>
      <c r="WEL29" s="25"/>
      <c r="WEM29" s="25"/>
      <c r="WEN29" s="25"/>
      <c r="WEO29" s="25"/>
      <c r="WEP29" s="25"/>
      <c r="WEQ29" s="25"/>
      <c r="WER29" s="25"/>
      <c r="WES29" s="25"/>
      <c r="WET29" s="25"/>
      <c r="WEU29" s="25"/>
      <c r="WEV29" s="25"/>
      <c r="WEW29" s="25"/>
      <c r="WEX29" s="25"/>
      <c r="WEY29" s="25"/>
      <c r="WEZ29" s="25"/>
      <c r="WFA29" s="25"/>
      <c r="WFB29" s="25"/>
      <c r="WFC29" s="25"/>
      <c r="WFD29" s="25"/>
      <c r="WFE29" s="25"/>
      <c r="WFF29" s="25"/>
      <c r="WFG29" s="25"/>
      <c r="WFH29" s="25"/>
      <c r="WFI29" s="25"/>
      <c r="WFJ29" s="25"/>
      <c r="WFK29" s="25"/>
      <c r="WFL29" s="25"/>
      <c r="WFM29" s="25"/>
      <c r="WFN29" s="25"/>
      <c r="WFO29" s="25"/>
      <c r="WFP29" s="25"/>
      <c r="WFQ29" s="25"/>
      <c r="WFR29" s="25"/>
      <c r="WFS29" s="25"/>
      <c r="WFT29" s="25"/>
      <c r="WFU29" s="25"/>
      <c r="WFV29" s="25"/>
      <c r="WFW29" s="25"/>
      <c r="WFX29" s="25"/>
      <c r="WFY29" s="25"/>
      <c r="WFZ29" s="25"/>
      <c r="WGA29" s="25"/>
      <c r="WGB29" s="25"/>
      <c r="WGC29" s="25"/>
      <c r="WGD29" s="25"/>
      <c r="WGE29" s="25"/>
      <c r="WGF29" s="25"/>
      <c r="WGG29" s="25"/>
      <c r="WGH29" s="25"/>
      <c r="WGI29" s="25"/>
      <c r="WGJ29" s="25"/>
      <c r="WGK29" s="25"/>
      <c r="WGL29" s="25"/>
      <c r="WGM29" s="25"/>
      <c r="WGN29" s="25"/>
      <c r="WGO29" s="25"/>
      <c r="WGP29" s="25"/>
      <c r="WGQ29" s="25"/>
      <c r="WGR29" s="25"/>
      <c r="WGS29" s="25"/>
      <c r="WGT29" s="25"/>
      <c r="WGU29" s="25"/>
      <c r="WGV29" s="25"/>
      <c r="WGW29" s="25"/>
      <c r="WGX29" s="25"/>
      <c r="WGY29" s="25"/>
      <c r="WGZ29" s="25"/>
      <c r="WHA29" s="25"/>
      <c r="WHB29" s="25"/>
      <c r="WHC29" s="25"/>
      <c r="WHD29" s="25"/>
      <c r="WHE29" s="25"/>
      <c r="WHF29" s="25"/>
      <c r="WHG29" s="25"/>
      <c r="WHH29" s="25"/>
      <c r="WHI29" s="25"/>
      <c r="WHJ29" s="25"/>
      <c r="WHK29" s="25"/>
      <c r="WHL29" s="25"/>
      <c r="WHM29" s="25"/>
      <c r="WHN29" s="25"/>
      <c r="WHO29" s="25"/>
      <c r="WHP29" s="25"/>
      <c r="WHQ29" s="25"/>
      <c r="WHR29" s="25"/>
      <c r="WHS29" s="25"/>
      <c r="WHT29" s="25"/>
      <c r="WHU29" s="25"/>
      <c r="WHV29" s="25"/>
      <c r="WHW29" s="25"/>
      <c r="WHX29" s="25"/>
      <c r="WHY29" s="25"/>
      <c r="WHZ29" s="25"/>
      <c r="WIA29" s="25"/>
      <c r="WIB29" s="25"/>
      <c r="WIC29" s="25"/>
      <c r="WID29" s="25"/>
      <c r="WIE29" s="25"/>
      <c r="WIF29" s="25"/>
      <c r="WIG29" s="25"/>
      <c r="WIH29" s="25"/>
      <c r="WII29" s="25"/>
      <c r="WIJ29" s="25"/>
      <c r="WIK29" s="25"/>
      <c r="WIL29" s="25"/>
      <c r="WIM29" s="25"/>
      <c r="WIN29" s="25"/>
      <c r="WIO29" s="25"/>
      <c r="WIP29" s="25"/>
      <c r="WIQ29" s="25"/>
      <c r="WIR29" s="25"/>
      <c r="WIS29" s="25"/>
      <c r="WIT29" s="25"/>
      <c r="WIU29" s="25"/>
      <c r="WIV29" s="25"/>
      <c r="WIW29" s="25"/>
      <c r="WIX29" s="25"/>
      <c r="WIY29" s="25"/>
      <c r="WIZ29" s="25"/>
      <c r="WJA29" s="25"/>
      <c r="WJB29" s="25"/>
      <c r="WJC29" s="25"/>
      <c r="WJD29" s="25"/>
      <c r="WJE29" s="25"/>
      <c r="WJF29" s="25"/>
      <c r="WJG29" s="25"/>
      <c r="WJH29" s="25"/>
      <c r="WJI29" s="25"/>
      <c r="WJJ29" s="25"/>
      <c r="WJK29" s="25"/>
      <c r="WJL29" s="25"/>
      <c r="WJM29" s="25"/>
      <c r="WJN29" s="25"/>
      <c r="WJO29" s="25"/>
      <c r="WJP29" s="25"/>
      <c r="WJQ29" s="25"/>
      <c r="WJR29" s="25"/>
      <c r="WJS29" s="25"/>
      <c r="WJT29" s="25"/>
      <c r="WJU29" s="25"/>
      <c r="WJV29" s="25"/>
      <c r="WJW29" s="25"/>
      <c r="WJX29" s="25"/>
      <c r="WJY29" s="25"/>
      <c r="WJZ29" s="25"/>
      <c r="WKA29" s="25"/>
      <c r="WKB29" s="25"/>
      <c r="WKC29" s="25"/>
      <c r="WKD29" s="25"/>
      <c r="WKE29" s="25"/>
      <c r="WKF29" s="25"/>
      <c r="WKG29" s="25"/>
      <c r="WKH29" s="25"/>
      <c r="WKI29" s="25"/>
      <c r="WKJ29" s="25"/>
      <c r="WKK29" s="25"/>
      <c r="WKL29" s="25"/>
      <c r="WKM29" s="25"/>
      <c r="WKN29" s="25"/>
      <c r="WKO29" s="25"/>
      <c r="WKP29" s="25"/>
      <c r="WKQ29" s="25"/>
      <c r="WKR29" s="25"/>
      <c r="WKS29" s="25"/>
      <c r="WKT29" s="25"/>
      <c r="WKU29" s="25"/>
      <c r="WKV29" s="25"/>
      <c r="WKW29" s="25"/>
      <c r="WKX29" s="25"/>
      <c r="WKY29" s="25"/>
      <c r="WKZ29" s="25"/>
      <c r="WLA29" s="25"/>
      <c r="WLB29" s="25"/>
      <c r="WLC29" s="25"/>
      <c r="WLD29" s="25"/>
      <c r="WLE29" s="25"/>
      <c r="WLF29" s="25"/>
      <c r="WLG29" s="25"/>
      <c r="WLH29" s="25"/>
      <c r="WLI29" s="25"/>
      <c r="WLJ29" s="25"/>
      <c r="WLK29" s="25"/>
      <c r="WLL29" s="25"/>
      <c r="WLM29" s="25"/>
      <c r="WLN29" s="25"/>
      <c r="WLO29" s="25"/>
      <c r="WLP29" s="25"/>
      <c r="WLQ29" s="25"/>
      <c r="WLR29" s="25"/>
      <c r="WLS29" s="25"/>
      <c r="WLT29" s="25"/>
      <c r="WLU29" s="25"/>
      <c r="WLV29" s="25"/>
      <c r="WLW29" s="25"/>
      <c r="WLX29" s="25"/>
      <c r="WLY29" s="25"/>
      <c r="WLZ29" s="25"/>
      <c r="WMA29" s="25"/>
      <c r="WMB29" s="25"/>
      <c r="WMC29" s="25"/>
      <c r="WMD29" s="25"/>
      <c r="WME29" s="25"/>
      <c r="WMF29" s="25"/>
      <c r="WMG29" s="25"/>
      <c r="WMH29" s="25"/>
      <c r="WMI29" s="25"/>
      <c r="WMJ29" s="25"/>
      <c r="WMK29" s="25"/>
      <c r="WML29" s="25"/>
      <c r="WMM29" s="25"/>
      <c r="WMN29" s="25"/>
      <c r="WMO29" s="25"/>
      <c r="WMP29" s="25"/>
      <c r="WMQ29" s="25"/>
      <c r="WMR29" s="25"/>
      <c r="WMS29" s="25"/>
      <c r="WMT29" s="25"/>
      <c r="WMU29" s="25"/>
      <c r="WMV29" s="25"/>
      <c r="WMW29" s="25"/>
      <c r="WMX29" s="25"/>
      <c r="WMY29" s="25"/>
      <c r="WMZ29" s="25"/>
      <c r="WNA29" s="25"/>
      <c r="WNB29" s="25"/>
      <c r="WNC29" s="25"/>
      <c r="WND29" s="25"/>
      <c r="WNE29" s="25"/>
      <c r="WNF29" s="25"/>
      <c r="WNG29" s="25"/>
      <c r="WNH29" s="25"/>
      <c r="WNI29" s="25"/>
      <c r="WNJ29" s="25"/>
      <c r="WNK29" s="25"/>
      <c r="WNL29" s="25"/>
      <c r="WNM29" s="25"/>
      <c r="WNN29" s="25"/>
      <c r="WNO29" s="25"/>
      <c r="WNP29" s="25"/>
      <c r="WNQ29" s="25"/>
      <c r="WNR29" s="25"/>
      <c r="WNS29" s="25"/>
      <c r="WNT29" s="25"/>
      <c r="WNU29" s="25"/>
      <c r="WNV29" s="25"/>
      <c r="WNW29" s="25"/>
      <c r="WNX29" s="25"/>
      <c r="WNY29" s="25"/>
      <c r="WNZ29" s="25"/>
      <c r="WOA29" s="25"/>
      <c r="WOB29" s="25"/>
      <c r="WOC29" s="25"/>
      <c r="WOD29" s="25"/>
      <c r="WOE29" s="25"/>
      <c r="WOF29" s="25"/>
      <c r="WOG29" s="25"/>
      <c r="WOH29" s="25"/>
      <c r="WOI29" s="25"/>
      <c r="WOJ29" s="25"/>
      <c r="WOK29" s="25"/>
      <c r="WOL29" s="25"/>
      <c r="WOM29" s="25"/>
      <c r="WON29" s="25"/>
      <c r="WOO29" s="25"/>
      <c r="WOP29" s="25"/>
      <c r="WOQ29" s="25"/>
      <c r="WOR29" s="25"/>
      <c r="WOS29" s="25"/>
      <c r="WOT29" s="25"/>
      <c r="WOU29" s="25"/>
      <c r="WOV29" s="25"/>
      <c r="WOW29" s="25"/>
      <c r="WOX29" s="25"/>
      <c r="WOY29" s="25"/>
      <c r="WOZ29" s="25"/>
      <c r="WPA29" s="25"/>
      <c r="WPB29" s="25"/>
      <c r="WPC29" s="25"/>
      <c r="WPD29" s="25"/>
      <c r="WPE29" s="25"/>
      <c r="WPF29" s="25"/>
      <c r="WPG29" s="25"/>
      <c r="WPH29" s="25"/>
      <c r="WPI29" s="25"/>
      <c r="WPJ29" s="25"/>
      <c r="WPK29" s="25"/>
      <c r="WPL29" s="25"/>
      <c r="WPM29" s="25"/>
      <c r="WPN29" s="25"/>
      <c r="WPO29" s="25"/>
      <c r="WPP29" s="25"/>
      <c r="WPQ29" s="25"/>
      <c r="WPR29" s="25"/>
      <c r="WPS29" s="25"/>
      <c r="WPT29" s="25"/>
      <c r="WPU29" s="25"/>
      <c r="WPV29" s="25"/>
      <c r="WPW29" s="25"/>
      <c r="WPX29" s="25"/>
      <c r="WPY29" s="25"/>
      <c r="WPZ29" s="25"/>
      <c r="WQA29" s="25"/>
      <c r="WQB29" s="25"/>
      <c r="WQC29" s="25"/>
      <c r="WQD29" s="25"/>
      <c r="WQE29" s="25"/>
      <c r="WQF29" s="25"/>
      <c r="WQG29" s="25"/>
      <c r="WQH29" s="25"/>
      <c r="WQI29" s="25"/>
      <c r="WQJ29" s="25"/>
      <c r="WQK29" s="25"/>
      <c r="WQL29" s="25"/>
      <c r="WQM29" s="25"/>
      <c r="WQN29" s="25"/>
      <c r="WQO29" s="25"/>
      <c r="WQP29" s="25"/>
      <c r="WQQ29" s="25"/>
      <c r="WQR29" s="25"/>
      <c r="WQS29" s="25"/>
      <c r="WQT29" s="25"/>
      <c r="WQU29" s="25"/>
      <c r="WQV29" s="25"/>
      <c r="WQW29" s="25"/>
      <c r="WQX29" s="25"/>
      <c r="WQY29" s="25"/>
      <c r="WQZ29" s="25"/>
      <c r="WRA29" s="25"/>
      <c r="WRB29" s="25"/>
      <c r="WRC29" s="25"/>
      <c r="WRD29" s="25"/>
      <c r="WRE29" s="25"/>
      <c r="WRF29" s="25"/>
      <c r="WRG29" s="25"/>
      <c r="WRH29" s="25"/>
      <c r="WRI29" s="25"/>
      <c r="WRJ29" s="25"/>
      <c r="WRK29" s="25"/>
      <c r="WRL29" s="25"/>
      <c r="WRM29" s="25"/>
      <c r="WRN29" s="25"/>
      <c r="WRO29" s="25"/>
      <c r="WRP29" s="25"/>
      <c r="WRQ29" s="25"/>
      <c r="WRR29" s="25"/>
      <c r="WRS29" s="25"/>
      <c r="WRT29" s="25"/>
      <c r="WRU29" s="25"/>
      <c r="WRV29" s="25"/>
      <c r="WRW29" s="25"/>
      <c r="WRX29" s="25"/>
      <c r="WRY29" s="25"/>
      <c r="WRZ29" s="25"/>
      <c r="WSA29" s="25"/>
      <c r="WSB29" s="25"/>
      <c r="WSC29" s="25"/>
      <c r="WSD29" s="25"/>
      <c r="WSE29" s="25"/>
      <c r="WSF29" s="25"/>
      <c r="WSG29" s="25"/>
      <c r="WSH29" s="25"/>
      <c r="WSI29" s="25"/>
      <c r="WSJ29" s="25"/>
      <c r="WSK29" s="25"/>
      <c r="WSL29" s="25"/>
      <c r="WSM29" s="25"/>
      <c r="WSN29" s="25"/>
      <c r="WSO29" s="25"/>
      <c r="WSP29" s="25"/>
      <c r="WSQ29" s="25"/>
      <c r="WSR29" s="25"/>
      <c r="WSS29" s="25"/>
      <c r="WST29" s="25"/>
      <c r="WSU29" s="25"/>
      <c r="WSV29" s="25"/>
      <c r="WSW29" s="25"/>
      <c r="WSX29" s="25"/>
      <c r="WSY29" s="25"/>
      <c r="WSZ29" s="25"/>
      <c r="WTA29" s="25"/>
      <c r="WTB29" s="25"/>
      <c r="WTC29" s="25"/>
      <c r="WTD29" s="25"/>
      <c r="WTE29" s="25"/>
      <c r="WTF29" s="25"/>
      <c r="WTG29" s="25"/>
      <c r="WTH29" s="25"/>
      <c r="WTI29" s="25"/>
      <c r="WTJ29" s="25"/>
      <c r="WTK29" s="25"/>
      <c r="WTL29" s="25"/>
      <c r="WTM29" s="25"/>
      <c r="WTN29" s="25"/>
      <c r="WTO29" s="25"/>
      <c r="WTP29" s="25"/>
      <c r="WTQ29" s="25"/>
      <c r="WTR29" s="25"/>
      <c r="WTS29" s="25"/>
      <c r="WTT29" s="25"/>
      <c r="WTU29" s="25"/>
      <c r="WTV29" s="25"/>
      <c r="WTW29" s="25"/>
      <c r="WTX29" s="25"/>
      <c r="WTY29" s="25"/>
      <c r="WTZ29" s="25"/>
      <c r="WUA29" s="25"/>
      <c r="WUB29" s="25"/>
      <c r="WUC29" s="25"/>
      <c r="WUD29" s="25"/>
      <c r="WUE29" s="25"/>
      <c r="WUF29" s="25"/>
      <c r="WUG29" s="25"/>
      <c r="WUH29" s="25"/>
      <c r="WUI29" s="25"/>
      <c r="WUJ29" s="25"/>
      <c r="WUK29" s="25"/>
      <c r="WUL29" s="25"/>
      <c r="WUM29" s="25"/>
      <c r="WUN29" s="25"/>
      <c r="WUO29" s="25"/>
      <c r="WUP29" s="25"/>
      <c r="WUQ29" s="25"/>
      <c r="WUR29" s="25"/>
      <c r="WUS29" s="25"/>
      <c r="WUT29" s="25"/>
      <c r="WUU29" s="25"/>
      <c r="WUV29" s="25"/>
      <c r="WUW29" s="25"/>
      <c r="WUX29" s="25"/>
      <c r="WUY29" s="25"/>
      <c r="WUZ29" s="25"/>
      <c r="WVA29" s="25"/>
      <c r="WVB29" s="25"/>
      <c r="WVC29" s="25"/>
      <c r="WVD29" s="25"/>
      <c r="WVE29" s="25"/>
      <c r="WVF29" s="25"/>
      <c r="WVG29" s="25"/>
      <c r="WVH29" s="25"/>
      <c r="WVI29" s="25"/>
      <c r="WVJ29" s="25"/>
      <c r="WVK29" s="25"/>
      <c r="WVL29" s="25"/>
      <c r="WVM29" s="25"/>
      <c r="WVN29" s="25"/>
      <c r="WVO29" s="25"/>
      <c r="WVP29" s="25"/>
      <c r="WVQ29" s="25"/>
      <c r="WVR29" s="25"/>
      <c r="WVS29" s="25"/>
      <c r="WVT29" s="25"/>
      <c r="WVU29" s="25"/>
      <c r="WVV29" s="25"/>
      <c r="WVW29" s="25"/>
      <c r="WVX29" s="25"/>
      <c r="WVY29" s="25"/>
      <c r="WVZ29" s="25"/>
      <c r="WWA29" s="25"/>
      <c r="WWB29" s="25"/>
      <c r="WWC29" s="25"/>
      <c r="WWD29" s="25"/>
      <c r="WWE29" s="25"/>
      <c r="WWF29" s="25"/>
      <c r="WWG29" s="25"/>
      <c r="WWH29" s="25"/>
      <c r="WWI29" s="25"/>
      <c r="WWJ29" s="25"/>
      <c r="WWK29" s="25"/>
      <c r="WWL29" s="25"/>
      <c r="WWM29" s="25"/>
      <c r="WWN29" s="25"/>
      <c r="WWO29" s="25"/>
      <c r="WWP29" s="25"/>
      <c r="WWQ29" s="25"/>
      <c r="WWR29" s="25"/>
      <c r="WWS29" s="25"/>
      <c r="WWT29" s="25"/>
      <c r="WWU29" s="25"/>
      <c r="WWV29" s="25"/>
      <c r="WWW29" s="25"/>
      <c r="WWX29" s="25"/>
      <c r="WWY29" s="25"/>
      <c r="WWZ29" s="25"/>
      <c r="WXA29" s="25"/>
      <c r="WXB29" s="25"/>
      <c r="WXC29" s="25"/>
      <c r="WXD29" s="25"/>
      <c r="WXE29" s="25"/>
      <c r="WXF29" s="25"/>
      <c r="WXG29" s="25"/>
      <c r="WXH29" s="25"/>
      <c r="WXI29" s="25"/>
      <c r="WXJ29" s="25"/>
      <c r="WXK29" s="25"/>
      <c r="WXL29" s="25"/>
      <c r="WXM29" s="25"/>
      <c r="WXN29" s="25"/>
      <c r="WXO29" s="25"/>
      <c r="WXP29" s="25"/>
      <c r="WXQ29" s="25"/>
      <c r="WXR29" s="25"/>
      <c r="WXS29" s="25"/>
      <c r="WXT29" s="25"/>
      <c r="WXU29" s="25"/>
      <c r="WXV29" s="25"/>
      <c r="WXW29" s="25"/>
      <c r="WXX29" s="25"/>
      <c r="WXY29" s="25"/>
      <c r="WXZ29" s="25"/>
      <c r="WYA29" s="25"/>
      <c r="WYB29" s="25"/>
      <c r="WYC29" s="25"/>
      <c r="WYD29" s="25"/>
      <c r="WYE29" s="25"/>
      <c r="WYF29" s="25"/>
      <c r="WYG29" s="25"/>
      <c r="WYH29" s="25"/>
      <c r="WYI29" s="25"/>
      <c r="WYJ29" s="25"/>
      <c r="WYK29" s="25"/>
      <c r="WYL29" s="25"/>
      <c r="WYM29" s="25"/>
      <c r="WYN29" s="25"/>
      <c r="WYO29" s="25"/>
      <c r="WYP29" s="25"/>
      <c r="WYQ29" s="25"/>
      <c r="WYR29" s="25"/>
      <c r="WYS29" s="25"/>
      <c r="WYT29" s="25"/>
      <c r="WYU29" s="25"/>
      <c r="WYV29" s="25"/>
      <c r="WYW29" s="25"/>
      <c r="WYX29" s="25"/>
      <c r="WYY29" s="25"/>
      <c r="WYZ29" s="25"/>
      <c r="WZA29" s="25"/>
      <c r="WZB29" s="25"/>
      <c r="WZC29" s="25"/>
      <c r="WZD29" s="25"/>
      <c r="WZE29" s="25"/>
      <c r="WZF29" s="25"/>
      <c r="WZG29" s="25"/>
      <c r="WZH29" s="25"/>
      <c r="WZI29" s="25"/>
      <c r="WZJ29" s="25"/>
      <c r="WZK29" s="25"/>
      <c r="WZL29" s="25"/>
      <c r="WZM29" s="25"/>
      <c r="WZN29" s="25"/>
      <c r="WZO29" s="25"/>
      <c r="WZP29" s="25"/>
      <c r="WZQ29" s="25"/>
      <c r="WZR29" s="25"/>
      <c r="WZS29" s="25"/>
      <c r="WZT29" s="25"/>
      <c r="WZU29" s="25"/>
      <c r="WZV29" s="25"/>
      <c r="WZW29" s="25"/>
      <c r="WZX29" s="25"/>
      <c r="WZY29" s="25"/>
      <c r="WZZ29" s="25"/>
      <c r="XAA29" s="25"/>
      <c r="XAB29" s="25"/>
      <c r="XAC29" s="25"/>
      <c r="XAD29" s="25"/>
      <c r="XAE29" s="25"/>
      <c r="XAF29" s="25"/>
      <c r="XAG29" s="25"/>
      <c r="XAH29" s="25"/>
      <c r="XAI29" s="25"/>
      <c r="XAJ29" s="25"/>
      <c r="XAK29" s="25"/>
      <c r="XAL29" s="25"/>
      <c r="XAM29" s="25"/>
      <c r="XAN29" s="25"/>
      <c r="XAO29" s="25"/>
      <c r="XAP29" s="25"/>
      <c r="XAQ29" s="25"/>
      <c r="XAR29" s="25"/>
      <c r="XAS29" s="25"/>
      <c r="XAT29" s="25"/>
      <c r="XAU29" s="25"/>
      <c r="XAV29" s="25"/>
      <c r="XAW29" s="25"/>
      <c r="XAX29" s="25"/>
      <c r="XAY29" s="25"/>
      <c r="XAZ29" s="25"/>
      <c r="XBA29" s="25"/>
      <c r="XBB29" s="25"/>
      <c r="XBC29" s="25"/>
      <c r="XBD29" s="25"/>
      <c r="XBE29" s="25"/>
      <c r="XBF29" s="25"/>
      <c r="XBG29" s="25"/>
      <c r="XBH29" s="25"/>
      <c r="XBI29" s="25"/>
      <c r="XBJ29" s="25"/>
      <c r="XBK29" s="25"/>
      <c r="XBL29" s="25"/>
      <c r="XBM29" s="25"/>
      <c r="XBN29" s="25"/>
      <c r="XBO29" s="25"/>
      <c r="XBP29" s="25"/>
      <c r="XBQ29" s="25"/>
      <c r="XBR29" s="25"/>
      <c r="XBS29" s="25"/>
      <c r="XBT29" s="25"/>
      <c r="XBU29" s="25"/>
      <c r="XBV29" s="25"/>
      <c r="XBW29" s="25"/>
      <c r="XBX29" s="25"/>
      <c r="XBY29" s="25"/>
      <c r="XBZ29" s="25"/>
      <c r="XCA29" s="25"/>
      <c r="XCB29" s="25"/>
      <c r="XCC29" s="25"/>
      <c r="XCD29" s="25"/>
      <c r="XCE29" s="25"/>
      <c r="XCF29" s="25"/>
      <c r="XCG29" s="25"/>
      <c r="XCH29" s="25"/>
      <c r="XCI29" s="25"/>
      <c r="XCJ29" s="25"/>
      <c r="XCK29" s="25"/>
      <c r="XCL29" s="25"/>
      <c r="XCM29" s="25"/>
      <c r="XCN29" s="25"/>
      <c r="XCO29" s="25"/>
      <c r="XCP29" s="25"/>
      <c r="XCQ29" s="25"/>
      <c r="XCR29" s="25"/>
      <c r="XCS29" s="25"/>
      <c r="XCT29" s="25"/>
      <c r="XCU29" s="25"/>
      <c r="XCV29" s="25"/>
      <c r="XCW29" s="25"/>
      <c r="XCX29" s="25"/>
      <c r="XCY29" s="25"/>
      <c r="XCZ29" s="25"/>
      <c r="XDA29" s="25"/>
      <c r="XDB29" s="25"/>
      <c r="XDC29" s="25"/>
      <c r="XDD29" s="25"/>
      <c r="XDE29" s="25"/>
      <c r="XDF29" s="25"/>
      <c r="XDG29" s="25"/>
      <c r="XDH29" s="25"/>
      <c r="XDI29" s="25"/>
      <c r="XDJ29" s="25"/>
      <c r="XDK29" s="25"/>
      <c r="XDL29" s="25"/>
      <c r="XDM29" s="25"/>
      <c r="XDN29" s="25"/>
      <c r="XDO29" s="25"/>
      <c r="XDP29" s="25"/>
    </row>
    <row r="30" spans="1:16344" x14ac:dyDescent="0.2">
      <c r="A30" s="99" t="s">
        <v>1039</v>
      </c>
      <c r="O30" s="48"/>
      <c r="P30" s="48"/>
      <c r="R30" s="48"/>
      <c r="U30" s="48"/>
      <c r="X30" s="48"/>
      <c r="AA30" s="25"/>
      <c r="AE30" s="704" t="str">
        <f>IF(PeerAnalysisChartType_Fin="Absolute",AE$7,100)</f>
        <v/>
      </c>
      <c r="AF30" s="705" t="str">
        <f t="shared" ref="AF30:AX30" si="535">IF(PeerAnalysisChartType_Fin="Absolute",AF$7,IFERROR((AE$30/AE$7)*AF$7,""))</f>
        <v/>
      </c>
      <c r="AG30" s="705" t="str">
        <f t="shared" si="535"/>
        <v/>
      </c>
      <c r="AH30" s="705" t="str">
        <f t="shared" si="535"/>
        <v/>
      </c>
      <c r="AI30" s="705" t="str">
        <f t="shared" si="535"/>
        <v/>
      </c>
      <c r="AJ30" s="705" t="str">
        <f t="shared" si="535"/>
        <v/>
      </c>
      <c r="AK30" s="705" t="str">
        <f t="shared" si="535"/>
        <v/>
      </c>
      <c r="AL30" s="705" t="str">
        <f t="shared" si="535"/>
        <v/>
      </c>
      <c r="AM30" s="705" t="str">
        <f t="shared" si="535"/>
        <v/>
      </c>
      <c r="AN30" s="705" t="str">
        <f t="shared" si="535"/>
        <v/>
      </c>
      <c r="AO30" s="705" t="str">
        <f t="shared" si="535"/>
        <v/>
      </c>
      <c r="AP30" s="705" t="str">
        <f t="shared" si="535"/>
        <v/>
      </c>
      <c r="AQ30" s="705" t="str">
        <f t="shared" si="535"/>
        <v/>
      </c>
      <c r="AR30" s="705" t="str">
        <f t="shared" si="535"/>
        <v/>
      </c>
      <c r="AS30" s="705" t="str">
        <f t="shared" si="535"/>
        <v/>
      </c>
      <c r="AT30" s="705" t="str">
        <f t="shared" si="535"/>
        <v/>
      </c>
      <c r="AU30" s="705" t="str">
        <f t="shared" si="535"/>
        <v/>
      </c>
      <c r="AV30" s="705" t="str">
        <f t="shared" si="535"/>
        <v/>
      </c>
      <c r="AW30" s="705" t="str">
        <f t="shared" si="535"/>
        <v/>
      </c>
      <c r="AX30" s="706" t="str">
        <f t="shared" si="535"/>
        <v/>
      </c>
      <c r="AY30" s="704" t="str">
        <f>IF(PeerAnalysisChartType_Fin="Absolute",AY$7,100)</f>
        <v/>
      </c>
      <c r="AZ30" s="705" t="str">
        <f t="shared" ref="AZ30:BR30" si="536">IF(PeerAnalysisChartType_Fin="Absolute",AZ$7,IFERROR((AY$30/AY$7)*AZ$7,""))</f>
        <v/>
      </c>
      <c r="BA30" s="705" t="str">
        <f t="shared" si="536"/>
        <v/>
      </c>
      <c r="BB30" s="705" t="str">
        <f t="shared" si="536"/>
        <v/>
      </c>
      <c r="BC30" s="705" t="str">
        <f t="shared" si="536"/>
        <v/>
      </c>
      <c r="BD30" s="705" t="str">
        <f t="shared" si="536"/>
        <v/>
      </c>
      <c r="BE30" s="705" t="str">
        <f t="shared" si="536"/>
        <v/>
      </c>
      <c r="BF30" s="705" t="str">
        <f t="shared" si="536"/>
        <v/>
      </c>
      <c r="BG30" s="705" t="str">
        <f t="shared" si="536"/>
        <v/>
      </c>
      <c r="BH30" s="705" t="str">
        <f t="shared" si="536"/>
        <v/>
      </c>
      <c r="BI30" s="705" t="str">
        <f t="shared" si="536"/>
        <v/>
      </c>
      <c r="BJ30" s="705" t="str">
        <f t="shared" si="536"/>
        <v/>
      </c>
      <c r="BK30" s="705" t="str">
        <f t="shared" si="536"/>
        <v/>
      </c>
      <c r="BL30" s="705" t="str">
        <f t="shared" si="536"/>
        <v/>
      </c>
      <c r="BM30" s="705" t="str">
        <f t="shared" si="536"/>
        <v/>
      </c>
      <c r="BN30" s="705" t="str">
        <f t="shared" si="536"/>
        <v/>
      </c>
      <c r="BO30" s="705" t="str">
        <f t="shared" si="536"/>
        <v/>
      </c>
      <c r="BP30" s="705" t="str">
        <f t="shared" si="536"/>
        <v/>
      </c>
      <c r="BQ30" s="705" t="str">
        <f t="shared" si="536"/>
        <v/>
      </c>
      <c r="BR30" s="706" t="str">
        <f t="shared" si="536"/>
        <v/>
      </c>
      <c r="BS30" s="704" t="str">
        <f>IF(PeerAnalysisChartType_Fin="Absolute",BS$7,100)</f>
        <v/>
      </c>
      <c r="BT30" s="705" t="str">
        <f t="shared" ref="BT30:CL30" si="537">IF(PeerAnalysisChartType_Fin="Absolute",BT$7,IFERROR((BS$30/BS$7)*BT$7,""))</f>
        <v/>
      </c>
      <c r="BU30" s="705" t="str">
        <f t="shared" si="537"/>
        <v/>
      </c>
      <c r="BV30" s="705" t="str">
        <f t="shared" si="537"/>
        <v/>
      </c>
      <c r="BW30" s="705" t="str">
        <f t="shared" si="537"/>
        <v/>
      </c>
      <c r="BX30" s="705" t="str">
        <f t="shared" si="537"/>
        <v/>
      </c>
      <c r="BY30" s="705" t="str">
        <f t="shared" si="537"/>
        <v/>
      </c>
      <c r="BZ30" s="705" t="str">
        <f t="shared" si="537"/>
        <v/>
      </c>
      <c r="CA30" s="705" t="str">
        <f t="shared" si="537"/>
        <v/>
      </c>
      <c r="CB30" s="705" t="str">
        <f t="shared" si="537"/>
        <v/>
      </c>
      <c r="CC30" s="705" t="str">
        <f t="shared" si="537"/>
        <v/>
      </c>
      <c r="CD30" s="705" t="str">
        <f t="shared" si="537"/>
        <v/>
      </c>
      <c r="CE30" s="705" t="str">
        <f t="shared" si="537"/>
        <v/>
      </c>
      <c r="CF30" s="705" t="str">
        <f t="shared" si="537"/>
        <v/>
      </c>
      <c r="CG30" s="705" t="str">
        <f t="shared" si="537"/>
        <v/>
      </c>
      <c r="CH30" s="705" t="str">
        <f t="shared" si="537"/>
        <v/>
      </c>
      <c r="CI30" s="705" t="str">
        <f t="shared" si="537"/>
        <v/>
      </c>
      <c r="CJ30" s="705" t="str">
        <f t="shared" si="537"/>
        <v/>
      </c>
      <c r="CK30" s="705" t="str">
        <f t="shared" si="537"/>
        <v/>
      </c>
      <c r="CL30" s="706" t="str">
        <f t="shared" si="537"/>
        <v/>
      </c>
      <c r="CM30" s="704" t="str">
        <f>IF(PeerAnalysisChartType_Fin="Absolute",CM$7,100)</f>
        <v/>
      </c>
      <c r="CN30" s="705" t="str">
        <f t="shared" ref="CN30:DF30" si="538">IF(PeerAnalysisChartType_Fin="Absolute",CN$7,IFERROR((CM$30/CM$7)*CN$7,""))</f>
        <v/>
      </c>
      <c r="CO30" s="705" t="str">
        <f t="shared" si="538"/>
        <v/>
      </c>
      <c r="CP30" s="705" t="str">
        <f t="shared" si="538"/>
        <v/>
      </c>
      <c r="CQ30" s="705" t="str">
        <f t="shared" si="538"/>
        <v/>
      </c>
      <c r="CR30" s="705" t="str">
        <f t="shared" si="538"/>
        <v/>
      </c>
      <c r="CS30" s="705" t="str">
        <f t="shared" si="538"/>
        <v/>
      </c>
      <c r="CT30" s="705" t="str">
        <f t="shared" si="538"/>
        <v/>
      </c>
      <c r="CU30" s="705" t="str">
        <f t="shared" si="538"/>
        <v/>
      </c>
      <c r="CV30" s="705" t="str">
        <f t="shared" si="538"/>
        <v/>
      </c>
      <c r="CW30" s="705" t="str">
        <f t="shared" si="538"/>
        <v/>
      </c>
      <c r="CX30" s="705" t="str">
        <f t="shared" si="538"/>
        <v/>
      </c>
      <c r="CY30" s="705" t="str">
        <f t="shared" si="538"/>
        <v/>
      </c>
      <c r="CZ30" s="705" t="str">
        <f t="shared" si="538"/>
        <v/>
      </c>
      <c r="DA30" s="705" t="str">
        <f t="shared" si="538"/>
        <v/>
      </c>
      <c r="DB30" s="705" t="str">
        <f t="shared" si="538"/>
        <v/>
      </c>
      <c r="DC30" s="705" t="str">
        <f t="shared" si="538"/>
        <v/>
      </c>
      <c r="DD30" s="705" t="str">
        <f t="shared" si="538"/>
        <v/>
      </c>
      <c r="DE30" s="705" t="str">
        <f t="shared" si="538"/>
        <v/>
      </c>
      <c r="DF30" s="706" t="str">
        <f t="shared" si="538"/>
        <v/>
      </c>
      <c r="DG30" s="704">
        <f>IF(PeerAnalysisChartType_Fin="Absolute",DG$7,100)</f>
        <v>0</v>
      </c>
      <c r="DH30" s="705" t="str">
        <f t="shared" ref="DH30:DZ30" si="539">IF(PeerAnalysisChartType_Fin="Absolute",DH$7,IFERROR((DG$30/DG$7)*DH$7,""))</f>
        <v/>
      </c>
      <c r="DI30" s="705" t="str">
        <f t="shared" si="539"/>
        <v/>
      </c>
      <c r="DJ30" s="705" t="str">
        <f t="shared" si="539"/>
        <v/>
      </c>
      <c r="DK30" s="705" t="str">
        <f t="shared" si="539"/>
        <v/>
      </c>
      <c r="DL30" s="705" t="str">
        <f t="shared" si="539"/>
        <v/>
      </c>
      <c r="DM30" s="705" t="str">
        <f t="shared" si="539"/>
        <v/>
      </c>
      <c r="DN30" s="705" t="str">
        <f t="shared" si="539"/>
        <v/>
      </c>
      <c r="DO30" s="705" t="str">
        <f t="shared" si="539"/>
        <v/>
      </c>
      <c r="DP30" s="705" t="str">
        <f t="shared" si="539"/>
        <v/>
      </c>
      <c r="DQ30" s="705" t="str">
        <f t="shared" si="539"/>
        <v/>
      </c>
      <c r="DR30" s="705" t="str">
        <f t="shared" si="539"/>
        <v/>
      </c>
      <c r="DS30" s="705" t="str">
        <f t="shared" si="539"/>
        <v/>
      </c>
      <c r="DT30" s="705" t="str">
        <f t="shared" si="539"/>
        <v/>
      </c>
      <c r="DU30" s="705" t="str">
        <f t="shared" si="539"/>
        <v/>
      </c>
      <c r="DV30" s="705" t="str">
        <f t="shared" si="539"/>
        <v/>
      </c>
      <c r="DW30" s="705" t="str">
        <f t="shared" si="539"/>
        <v/>
      </c>
      <c r="DX30" s="705" t="str">
        <f t="shared" si="539"/>
        <v/>
      </c>
      <c r="DY30" s="705" t="str">
        <f t="shared" si="539"/>
        <v/>
      </c>
      <c r="DZ30" s="706" t="str">
        <f t="shared" si="539"/>
        <v/>
      </c>
      <c r="EA30" s="704">
        <f>IF(PeerAnalysisChartType_Fin="Absolute",EA$7,100)</f>
        <v>0</v>
      </c>
      <c r="EB30" s="705" t="str">
        <f t="shared" ref="EB30:ET30" si="540">IF(PeerAnalysisChartType_Fin="Absolute",EB$7,IFERROR((EA$30/EA$7)*EB$7,""))</f>
        <v/>
      </c>
      <c r="EC30" s="705" t="str">
        <f t="shared" si="540"/>
        <v/>
      </c>
      <c r="ED30" s="705" t="str">
        <f t="shared" si="540"/>
        <v/>
      </c>
      <c r="EE30" s="705" t="str">
        <f t="shared" si="540"/>
        <v/>
      </c>
      <c r="EF30" s="705" t="str">
        <f t="shared" si="540"/>
        <v/>
      </c>
      <c r="EG30" s="705" t="str">
        <f t="shared" si="540"/>
        <v/>
      </c>
      <c r="EH30" s="705" t="str">
        <f t="shared" si="540"/>
        <v/>
      </c>
      <c r="EI30" s="705" t="str">
        <f t="shared" si="540"/>
        <v/>
      </c>
      <c r="EJ30" s="705" t="str">
        <f t="shared" si="540"/>
        <v/>
      </c>
      <c r="EK30" s="705" t="str">
        <f t="shared" si="540"/>
        <v/>
      </c>
      <c r="EL30" s="705" t="str">
        <f t="shared" si="540"/>
        <v/>
      </c>
      <c r="EM30" s="705" t="str">
        <f t="shared" si="540"/>
        <v/>
      </c>
      <c r="EN30" s="705" t="str">
        <f t="shared" si="540"/>
        <v/>
      </c>
      <c r="EO30" s="705" t="str">
        <f t="shared" si="540"/>
        <v/>
      </c>
      <c r="EP30" s="705" t="str">
        <f t="shared" si="540"/>
        <v/>
      </c>
      <c r="EQ30" s="705" t="str">
        <f t="shared" si="540"/>
        <v/>
      </c>
      <c r="ER30" s="705" t="str">
        <f t="shared" si="540"/>
        <v/>
      </c>
      <c r="ES30" s="705" t="str">
        <f t="shared" si="540"/>
        <v/>
      </c>
      <c r="ET30" s="706" t="str">
        <f t="shared" si="540"/>
        <v/>
      </c>
      <c r="EU30" s="704">
        <f>IF(PeerAnalysisChartType_Fin="Absolute",EU$7,100)</f>
        <v>0</v>
      </c>
      <c r="EV30" s="705" t="str">
        <f t="shared" ref="EV30:FN30" si="541">IF(PeerAnalysisChartType_Fin="Absolute",EV$7,IFERROR((EU$30/EU$7)*EV$7,""))</f>
        <v/>
      </c>
      <c r="EW30" s="705" t="str">
        <f t="shared" si="541"/>
        <v/>
      </c>
      <c r="EX30" s="705" t="str">
        <f t="shared" si="541"/>
        <v/>
      </c>
      <c r="EY30" s="705" t="str">
        <f t="shared" si="541"/>
        <v/>
      </c>
      <c r="EZ30" s="705" t="str">
        <f t="shared" si="541"/>
        <v/>
      </c>
      <c r="FA30" s="705" t="str">
        <f t="shared" si="541"/>
        <v/>
      </c>
      <c r="FB30" s="705" t="str">
        <f t="shared" si="541"/>
        <v/>
      </c>
      <c r="FC30" s="705" t="str">
        <f t="shared" si="541"/>
        <v/>
      </c>
      <c r="FD30" s="705" t="str">
        <f t="shared" si="541"/>
        <v/>
      </c>
      <c r="FE30" s="705" t="str">
        <f t="shared" si="541"/>
        <v/>
      </c>
      <c r="FF30" s="705" t="str">
        <f t="shared" si="541"/>
        <v/>
      </c>
      <c r="FG30" s="705" t="str">
        <f t="shared" si="541"/>
        <v/>
      </c>
      <c r="FH30" s="705" t="str">
        <f t="shared" si="541"/>
        <v/>
      </c>
      <c r="FI30" s="705" t="str">
        <f t="shared" si="541"/>
        <v/>
      </c>
      <c r="FJ30" s="705" t="str">
        <f t="shared" si="541"/>
        <v/>
      </c>
      <c r="FK30" s="705" t="str">
        <f t="shared" si="541"/>
        <v/>
      </c>
      <c r="FL30" s="705" t="str">
        <f t="shared" si="541"/>
        <v/>
      </c>
      <c r="FM30" s="705" t="str">
        <f t="shared" si="541"/>
        <v/>
      </c>
      <c r="FN30" s="706" t="str">
        <f t="shared" si="541"/>
        <v/>
      </c>
      <c r="FO30" s="704" t="str">
        <f>IF(PeerAnalysisChartType_Fin="Absolute",FO$7,100)</f>
        <v/>
      </c>
      <c r="FP30" s="705" t="str">
        <f t="shared" ref="FP30:GH30" si="542">IF(PeerAnalysisChartType_Fin="Absolute",FP$7,IFERROR((FO$30/FO$7)*FP$7,""))</f>
        <v/>
      </c>
      <c r="FQ30" s="705" t="str">
        <f t="shared" si="542"/>
        <v/>
      </c>
      <c r="FR30" s="705" t="str">
        <f t="shared" si="542"/>
        <v/>
      </c>
      <c r="FS30" s="705" t="str">
        <f t="shared" si="542"/>
        <v/>
      </c>
      <c r="FT30" s="705" t="str">
        <f t="shared" si="542"/>
        <v/>
      </c>
      <c r="FU30" s="705" t="str">
        <f t="shared" si="542"/>
        <v/>
      </c>
      <c r="FV30" s="705" t="str">
        <f t="shared" si="542"/>
        <v/>
      </c>
      <c r="FW30" s="705" t="str">
        <f t="shared" si="542"/>
        <v/>
      </c>
      <c r="FX30" s="705" t="str">
        <f t="shared" si="542"/>
        <v/>
      </c>
      <c r="FY30" s="705" t="str">
        <f t="shared" si="542"/>
        <v/>
      </c>
      <c r="FZ30" s="705" t="str">
        <f t="shared" si="542"/>
        <v/>
      </c>
      <c r="GA30" s="705" t="str">
        <f t="shared" si="542"/>
        <v/>
      </c>
      <c r="GB30" s="705" t="str">
        <f t="shared" si="542"/>
        <v/>
      </c>
      <c r="GC30" s="705" t="str">
        <f t="shared" si="542"/>
        <v/>
      </c>
      <c r="GD30" s="705" t="str">
        <f t="shared" si="542"/>
        <v/>
      </c>
      <c r="GE30" s="705" t="str">
        <f t="shared" si="542"/>
        <v/>
      </c>
      <c r="GF30" s="705" t="str">
        <f t="shared" si="542"/>
        <v/>
      </c>
      <c r="GG30" s="705" t="str">
        <f t="shared" si="542"/>
        <v/>
      </c>
      <c r="GH30" s="706" t="str">
        <f t="shared" si="542"/>
        <v/>
      </c>
      <c r="GI30" s="704">
        <f>IF(PeerAnalysisChartType_Fin="Absolute",GI$7,100)</f>
        <v>0</v>
      </c>
      <c r="GJ30" s="705" t="str">
        <f t="shared" ref="GJ30:HB30" si="543">IF(PeerAnalysisChartType_Fin="Absolute",GJ$7,IFERROR((GI$30/GI$7)*GJ$7,""))</f>
        <v/>
      </c>
      <c r="GK30" s="705" t="str">
        <f t="shared" si="543"/>
        <v/>
      </c>
      <c r="GL30" s="705" t="str">
        <f t="shared" si="543"/>
        <v/>
      </c>
      <c r="GM30" s="705" t="str">
        <f t="shared" si="543"/>
        <v/>
      </c>
      <c r="GN30" s="705" t="str">
        <f t="shared" si="543"/>
        <v/>
      </c>
      <c r="GO30" s="705" t="str">
        <f t="shared" si="543"/>
        <v/>
      </c>
      <c r="GP30" s="705" t="str">
        <f t="shared" si="543"/>
        <v/>
      </c>
      <c r="GQ30" s="705" t="str">
        <f t="shared" si="543"/>
        <v/>
      </c>
      <c r="GR30" s="705" t="str">
        <f t="shared" si="543"/>
        <v/>
      </c>
      <c r="GS30" s="705" t="str">
        <f t="shared" si="543"/>
        <v/>
      </c>
      <c r="GT30" s="705" t="str">
        <f t="shared" si="543"/>
        <v/>
      </c>
      <c r="GU30" s="705" t="str">
        <f t="shared" si="543"/>
        <v/>
      </c>
      <c r="GV30" s="705" t="str">
        <f t="shared" si="543"/>
        <v/>
      </c>
      <c r="GW30" s="705" t="str">
        <f t="shared" si="543"/>
        <v/>
      </c>
      <c r="GX30" s="705" t="str">
        <f t="shared" si="543"/>
        <v/>
      </c>
      <c r="GY30" s="705" t="str">
        <f t="shared" si="543"/>
        <v/>
      </c>
      <c r="GZ30" s="705" t="str">
        <f t="shared" si="543"/>
        <v/>
      </c>
      <c r="HA30" s="705" t="str">
        <f t="shared" si="543"/>
        <v/>
      </c>
      <c r="HB30" s="706" t="str">
        <f t="shared" si="543"/>
        <v/>
      </c>
      <c r="HC30" s="704">
        <f>IF(PeerAnalysisChartType_Fin="Absolute",HC$7,100)</f>
        <v>5.4327282670762991E-2</v>
      </c>
      <c r="HD30" s="705" t="str">
        <f t="shared" ref="HD30:HV30" si="544">IF(PeerAnalysisChartType_Fin="Absolute",HD$7,IFERROR((HC$30/HC$7)*HD$7,""))</f>
        <v/>
      </c>
      <c r="HE30" s="705" t="str">
        <f t="shared" si="544"/>
        <v/>
      </c>
      <c r="HF30" s="705" t="str">
        <f t="shared" si="544"/>
        <v/>
      </c>
      <c r="HG30" s="705" t="str">
        <f t="shared" si="544"/>
        <v/>
      </c>
      <c r="HH30" s="705" t="str">
        <f t="shared" si="544"/>
        <v/>
      </c>
      <c r="HI30" s="705" t="str">
        <f t="shared" si="544"/>
        <v/>
      </c>
      <c r="HJ30" s="705" t="str">
        <f t="shared" si="544"/>
        <v/>
      </c>
      <c r="HK30" s="705" t="str">
        <f t="shared" si="544"/>
        <v/>
      </c>
      <c r="HL30" s="705" t="str">
        <f t="shared" si="544"/>
        <v/>
      </c>
      <c r="HM30" s="705" t="str">
        <f t="shared" si="544"/>
        <v/>
      </c>
      <c r="HN30" s="705" t="str">
        <f t="shared" si="544"/>
        <v/>
      </c>
      <c r="HO30" s="705" t="str">
        <f t="shared" si="544"/>
        <v/>
      </c>
      <c r="HP30" s="705" t="str">
        <f t="shared" si="544"/>
        <v/>
      </c>
      <c r="HQ30" s="705" t="str">
        <f t="shared" si="544"/>
        <v/>
      </c>
      <c r="HR30" s="705" t="str">
        <f t="shared" si="544"/>
        <v/>
      </c>
      <c r="HS30" s="705" t="str">
        <f t="shared" si="544"/>
        <v/>
      </c>
      <c r="HT30" s="705" t="str">
        <f t="shared" si="544"/>
        <v/>
      </c>
      <c r="HU30" s="705" t="str">
        <f t="shared" si="544"/>
        <v/>
      </c>
      <c r="HV30" s="706" t="str">
        <f t="shared" si="544"/>
        <v/>
      </c>
      <c r="HW30" s="704">
        <f>IF(PeerAnalysisChartType_Fin="Absolute",HW$7,100)</f>
        <v>4.221882343903316E-2</v>
      </c>
      <c r="HX30" s="705" t="str">
        <f t="shared" ref="HX30:IP30" si="545">IF(PeerAnalysisChartType_Fin="Absolute",HX$7,IFERROR((HW$30/HW$7)*HX$7,""))</f>
        <v/>
      </c>
      <c r="HY30" s="705" t="str">
        <f t="shared" si="545"/>
        <v/>
      </c>
      <c r="HZ30" s="705" t="str">
        <f t="shared" si="545"/>
        <v/>
      </c>
      <c r="IA30" s="705" t="str">
        <f t="shared" si="545"/>
        <v/>
      </c>
      <c r="IB30" s="705" t="str">
        <f t="shared" si="545"/>
        <v/>
      </c>
      <c r="IC30" s="705" t="str">
        <f t="shared" si="545"/>
        <v/>
      </c>
      <c r="ID30" s="705" t="str">
        <f t="shared" si="545"/>
        <v/>
      </c>
      <c r="IE30" s="705" t="str">
        <f t="shared" si="545"/>
        <v/>
      </c>
      <c r="IF30" s="705" t="str">
        <f t="shared" si="545"/>
        <v/>
      </c>
      <c r="IG30" s="705" t="str">
        <f t="shared" si="545"/>
        <v/>
      </c>
      <c r="IH30" s="705" t="str">
        <f t="shared" si="545"/>
        <v/>
      </c>
      <c r="II30" s="705" t="str">
        <f t="shared" si="545"/>
        <v/>
      </c>
      <c r="IJ30" s="705" t="str">
        <f t="shared" si="545"/>
        <v/>
      </c>
      <c r="IK30" s="705" t="str">
        <f t="shared" si="545"/>
        <v/>
      </c>
      <c r="IL30" s="705" t="str">
        <f t="shared" si="545"/>
        <v/>
      </c>
      <c r="IM30" s="705" t="str">
        <f t="shared" si="545"/>
        <v/>
      </c>
      <c r="IN30" s="705" t="str">
        <f t="shared" si="545"/>
        <v/>
      </c>
      <c r="IO30" s="705" t="str">
        <f t="shared" si="545"/>
        <v/>
      </c>
      <c r="IP30" s="706" t="str">
        <f t="shared" si="545"/>
        <v/>
      </c>
      <c r="IQ30" s="354">
        <f>IF(PeerAnalysisChartType_Fin="Absolute",IQ$7,100)</f>
        <v>2.9411552736838313</v>
      </c>
      <c r="IR30" s="355" t="str">
        <f t="shared" ref="IR30:JJ30" si="546">IF(PeerAnalysisChartType_Fin="Absolute",IR$7,IFERROR((IQ$30/IQ$7)*IR$7,""))</f>
        <v/>
      </c>
      <c r="IS30" s="355" t="str">
        <f t="shared" si="546"/>
        <v/>
      </c>
      <c r="IT30" s="355" t="str">
        <f t="shared" si="546"/>
        <v/>
      </c>
      <c r="IU30" s="355" t="str">
        <f t="shared" si="546"/>
        <v/>
      </c>
      <c r="IV30" s="355" t="str">
        <f t="shared" si="546"/>
        <v/>
      </c>
      <c r="IW30" s="355" t="str">
        <f t="shared" si="546"/>
        <v/>
      </c>
      <c r="IX30" s="355" t="str">
        <f t="shared" si="546"/>
        <v/>
      </c>
      <c r="IY30" s="355" t="str">
        <f t="shared" si="546"/>
        <v/>
      </c>
      <c r="IZ30" s="355" t="str">
        <f t="shared" si="546"/>
        <v/>
      </c>
      <c r="JA30" s="355" t="str">
        <f t="shared" si="546"/>
        <v/>
      </c>
      <c r="JB30" s="355" t="str">
        <f t="shared" si="546"/>
        <v/>
      </c>
      <c r="JC30" s="355" t="str">
        <f t="shared" si="546"/>
        <v/>
      </c>
      <c r="JD30" s="355" t="str">
        <f t="shared" si="546"/>
        <v/>
      </c>
      <c r="JE30" s="355" t="str">
        <f t="shared" si="546"/>
        <v/>
      </c>
      <c r="JF30" s="355" t="str">
        <f t="shared" si="546"/>
        <v/>
      </c>
      <c r="JG30" s="355" t="str">
        <f t="shared" si="546"/>
        <v/>
      </c>
      <c r="JH30" s="355" t="str">
        <f t="shared" si="546"/>
        <v/>
      </c>
      <c r="JI30" s="355" t="str">
        <f t="shared" si="546"/>
        <v/>
      </c>
      <c r="JJ30" s="356" t="str">
        <f t="shared" si="546"/>
        <v/>
      </c>
      <c r="JK30" s="704">
        <f>IF(PeerAnalysisChartType_Fin="Absolute",JK$7,100)</f>
        <v>0.15059468738504755</v>
      </c>
      <c r="JL30" s="705" t="str">
        <f t="shared" ref="JL30:KD30" si="547">IF(PeerAnalysisChartType_Fin="Absolute",JL$7,IFERROR((JK$30/JK$7)*JL$7,""))</f>
        <v/>
      </c>
      <c r="JM30" s="705" t="str">
        <f t="shared" si="547"/>
        <v/>
      </c>
      <c r="JN30" s="705" t="str">
        <f t="shared" si="547"/>
        <v/>
      </c>
      <c r="JO30" s="705" t="str">
        <f t="shared" si="547"/>
        <v/>
      </c>
      <c r="JP30" s="705" t="str">
        <f t="shared" si="547"/>
        <v/>
      </c>
      <c r="JQ30" s="705" t="str">
        <f t="shared" si="547"/>
        <v/>
      </c>
      <c r="JR30" s="705" t="str">
        <f t="shared" si="547"/>
        <v/>
      </c>
      <c r="JS30" s="705" t="str">
        <f t="shared" si="547"/>
        <v/>
      </c>
      <c r="JT30" s="705" t="str">
        <f t="shared" si="547"/>
        <v/>
      </c>
      <c r="JU30" s="705" t="str">
        <f t="shared" si="547"/>
        <v/>
      </c>
      <c r="JV30" s="705" t="str">
        <f t="shared" si="547"/>
        <v/>
      </c>
      <c r="JW30" s="705" t="str">
        <f t="shared" si="547"/>
        <v/>
      </c>
      <c r="JX30" s="705" t="str">
        <f t="shared" si="547"/>
        <v/>
      </c>
      <c r="JY30" s="705" t="str">
        <f t="shared" si="547"/>
        <v/>
      </c>
      <c r="JZ30" s="705" t="str">
        <f t="shared" si="547"/>
        <v/>
      </c>
      <c r="KA30" s="705" t="str">
        <f t="shared" si="547"/>
        <v/>
      </c>
      <c r="KB30" s="705" t="str">
        <f t="shared" si="547"/>
        <v/>
      </c>
      <c r="KC30" s="705" t="str">
        <f t="shared" si="547"/>
        <v/>
      </c>
      <c r="KD30" s="706" t="str">
        <f t="shared" si="547"/>
        <v/>
      </c>
      <c r="KE30" s="704">
        <f>IF(PeerAnalysisChartType_Fin="Absolute",KE$7,100)</f>
        <v>8.3758792038264931E-2</v>
      </c>
      <c r="KF30" s="705" t="str">
        <f t="shared" ref="KF30:KX30" si="548">IF(PeerAnalysisChartType_Fin="Absolute",KF$7,IFERROR((KE$30/KE$7)*KF$7,""))</f>
        <v/>
      </c>
      <c r="KG30" s="705" t="str">
        <f t="shared" si="548"/>
        <v/>
      </c>
      <c r="KH30" s="705" t="str">
        <f t="shared" si="548"/>
        <v/>
      </c>
      <c r="KI30" s="705" t="str">
        <f t="shared" si="548"/>
        <v/>
      </c>
      <c r="KJ30" s="705" t="str">
        <f t="shared" si="548"/>
        <v/>
      </c>
      <c r="KK30" s="705" t="str">
        <f t="shared" si="548"/>
        <v/>
      </c>
      <c r="KL30" s="705" t="str">
        <f t="shared" si="548"/>
        <v/>
      </c>
      <c r="KM30" s="705" t="str">
        <f t="shared" si="548"/>
        <v/>
      </c>
      <c r="KN30" s="705" t="str">
        <f t="shared" si="548"/>
        <v/>
      </c>
      <c r="KO30" s="705" t="str">
        <f t="shared" si="548"/>
        <v/>
      </c>
      <c r="KP30" s="705" t="str">
        <f t="shared" si="548"/>
        <v/>
      </c>
      <c r="KQ30" s="705" t="str">
        <f t="shared" si="548"/>
        <v/>
      </c>
      <c r="KR30" s="705" t="str">
        <f t="shared" si="548"/>
        <v/>
      </c>
      <c r="KS30" s="705" t="str">
        <f t="shared" si="548"/>
        <v/>
      </c>
      <c r="KT30" s="705" t="str">
        <f t="shared" si="548"/>
        <v/>
      </c>
      <c r="KU30" s="705" t="str">
        <f t="shared" si="548"/>
        <v/>
      </c>
      <c r="KV30" s="705" t="str">
        <f t="shared" si="548"/>
        <v/>
      </c>
      <c r="KW30" s="705" t="str">
        <f t="shared" si="548"/>
        <v/>
      </c>
      <c r="KX30" s="706" t="str">
        <f t="shared" si="548"/>
        <v/>
      </c>
      <c r="KY30" s="704">
        <f>IF(PeerAnalysisChartType_Fin="Absolute",KY$7,100)</f>
        <v>0.40076878638403768</v>
      </c>
      <c r="KZ30" s="705" t="str">
        <f t="shared" ref="KZ30:LR30" si="549">IF(PeerAnalysisChartType_Fin="Absolute",KZ$7,IFERROR((KY$30/KY$7)*KZ$7,""))</f>
        <v/>
      </c>
      <c r="LA30" s="705" t="str">
        <f t="shared" si="549"/>
        <v/>
      </c>
      <c r="LB30" s="705" t="str">
        <f t="shared" si="549"/>
        <v/>
      </c>
      <c r="LC30" s="705" t="str">
        <f t="shared" si="549"/>
        <v/>
      </c>
      <c r="LD30" s="705" t="str">
        <f t="shared" si="549"/>
        <v/>
      </c>
      <c r="LE30" s="705" t="str">
        <f t="shared" si="549"/>
        <v/>
      </c>
      <c r="LF30" s="705" t="str">
        <f t="shared" si="549"/>
        <v/>
      </c>
      <c r="LG30" s="705" t="str">
        <f t="shared" si="549"/>
        <v/>
      </c>
      <c r="LH30" s="705" t="str">
        <f t="shared" si="549"/>
        <v/>
      </c>
      <c r="LI30" s="705" t="str">
        <f t="shared" si="549"/>
        <v/>
      </c>
      <c r="LJ30" s="705" t="str">
        <f t="shared" si="549"/>
        <v/>
      </c>
      <c r="LK30" s="705" t="str">
        <f t="shared" si="549"/>
        <v/>
      </c>
      <c r="LL30" s="705" t="str">
        <f t="shared" si="549"/>
        <v/>
      </c>
      <c r="LM30" s="705" t="str">
        <f t="shared" si="549"/>
        <v/>
      </c>
      <c r="LN30" s="705" t="str">
        <f t="shared" si="549"/>
        <v/>
      </c>
      <c r="LO30" s="705" t="str">
        <f t="shared" si="549"/>
        <v/>
      </c>
      <c r="LP30" s="705" t="str">
        <f t="shared" si="549"/>
        <v/>
      </c>
      <c r="LQ30" s="705" t="str">
        <f t="shared" si="549"/>
        <v/>
      </c>
      <c r="LR30" s="706" t="str">
        <f t="shared" si="549"/>
        <v/>
      </c>
      <c r="LS30" s="704">
        <f>IF(PeerAnalysisChartType_Fin="Absolute",LS$7,100)</f>
        <v>0.25438596491228072</v>
      </c>
      <c r="LT30" s="705" t="str">
        <f t="shared" ref="LT30:ML30" si="550">IF(PeerAnalysisChartType_Fin="Absolute",LT$7,IFERROR((LS$30/LS$7)*LT$7,""))</f>
        <v/>
      </c>
      <c r="LU30" s="705" t="str">
        <f t="shared" si="550"/>
        <v/>
      </c>
      <c r="LV30" s="705" t="str">
        <f t="shared" si="550"/>
        <v/>
      </c>
      <c r="LW30" s="705" t="str">
        <f t="shared" si="550"/>
        <v/>
      </c>
      <c r="LX30" s="705" t="str">
        <f t="shared" si="550"/>
        <v/>
      </c>
      <c r="LY30" s="705" t="str">
        <f t="shared" si="550"/>
        <v/>
      </c>
      <c r="LZ30" s="705" t="str">
        <f t="shared" si="550"/>
        <v/>
      </c>
      <c r="MA30" s="705" t="str">
        <f t="shared" si="550"/>
        <v/>
      </c>
      <c r="MB30" s="705" t="str">
        <f t="shared" si="550"/>
        <v/>
      </c>
      <c r="MC30" s="705" t="str">
        <f t="shared" si="550"/>
        <v/>
      </c>
      <c r="MD30" s="707" t="str">
        <f t="shared" si="550"/>
        <v/>
      </c>
      <c r="ME30" s="705" t="str">
        <f t="shared" si="550"/>
        <v/>
      </c>
      <c r="MF30" s="705" t="str">
        <f t="shared" si="550"/>
        <v/>
      </c>
      <c r="MG30" s="705" t="str">
        <f t="shared" si="550"/>
        <v/>
      </c>
      <c r="MH30" s="705" t="str">
        <f t="shared" si="550"/>
        <v/>
      </c>
      <c r="MI30" s="705" t="str">
        <f t="shared" si="550"/>
        <v/>
      </c>
      <c r="MJ30" s="705" t="str">
        <f t="shared" si="550"/>
        <v/>
      </c>
      <c r="MK30" s="705" t="str">
        <f t="shared" si="550"/>
        <v/>
      </c>
      <c r="ML30" s="706" t="str">
        <f t="shared" si="550"/>
        <v/>
      </c>
      <c r="MM30" s="704" t="str">
        <f>IF(PeerAnalysisChartType_Fin="Absolute",MM$7,100)</f>
        <v/>
      </c>
      <c r="MN30" s="705" t="str">
        <f t="shared" ref="MN30:NF30" si="551">IF(PeerAnalysisChartType_Fin="Absolute",MN$7,IFERROR((MM$30/MM$7)*MN$7,""))</f>
        <v/>
      </c>
      <c r="MO30" s="705" t="str">
        <f t="shared" si="551"/>
        <v/>
      </c>
      <c r="MP30" s="705" t="str">
        <f t="shared" si="551"/>
        <v/>
      </c>
      <c r="MQ30" s="705" t="str">
        <f t="shared" si="551"/>
        <v/>
      </c>
      <c r="MR30" s="705" t="str">
        <f t="shared" si="551"/>
        <v/>
      </c>
      <c r="MS30" s="705" t="str">
        <f t="shared" si="551"/>
        <v/>
      </c>
      <c r="MT30" s="705" t="str">
        <f t="shared" si="551"/>
        <v/>
      </c>
      <c r="MU30" s="705" t="str">
        <f t="shared" si="551"/>
        <v/>
      </c>
      <c r="MV30" s="705" t="str">
        <f t="shared" si="551"/>
        <v/>
      </c>
      <c r="MW30" s="705" t="str">
        <f t="shared" si="551"/>
        <v/>
      </c>
      <c r="MX30" s="705" t="str">
        <f t="shared" si="551"/>
        <v/>
      </c>
      <c r="MY30" s="705" t="str">
        <f t="shared" si="551"/>
        <v/>
      </c>
      <c r="MZ30" s="705" t="str">
        <f t="shared" si="551"/>
        <v/>
      </c>
      <c r="NA30" s="705" t="str">
        <f t="shared" si="551"/>
        <v/>
      </c>
      <c r="NB30" s="705" t="str">
        <f t="shared" si="551"/>
        <v/>
      </c>
      <c r="NC30" s="705" t="str">
        <f t="shared" si="551"/>
        <v/>
      </c>
      <c r="ND30" s="705" t="str">
        <f t="shared" si="551"/>
        <v/>
      </c>
      <c r="NE30" s="705" t="str">
        <f t="shared" si="551"/>
        <v/>
      </c>
      <c r="NF30" s="706" t="str">
        <f t="shared" si="551"/>
        <v/>
      </c>
      <c r="NG30" s="704" t="str">
        <f>IF(PeerAnalysisChartType_Fin="Absolute",NG$7,100)</f>
        <v/>
      </c>
      <c r="NH30" s="705" t="str">
        <f t="shared" ref="NH30:NZ30" si="552">IF(PeerAnalysisChartType_Fin="Absolute",NH$7,IFERROR((NG$30/NG$7)*NH$7,""))</f>
        <v/>
      </c>
      <c r="NI30" s="705" t="str">
        <f t="shared" si="552"/>
        <v/>
      </c>
      <c r="NJ30" s="705" t="str">
        <f t="shared" si="552"/>
        <v/>
      </c>
      <c r="NK30" s="705" t="str">
        <f t="shared" si="552"/>
        <v/>
      </c>
      <c r="NL30" s="705" t="str">
        <f t="shared" si="552"/>
        <v/>
      </c>
      <c r="NM30" s="705" t="str">
        <f t="shared" si="552"/>
        <v/>
      </c>
      <c r="NN30" s="705" t="str">
        <f t="shared" si="552"/>
        <v/>
      </c>
      <c r="NO30" s="705" t="str">
        <f t="shared" si="552"/>
        <v/>
      </c>
      <c r="NP30" s="705" t="str">
        <f t="shared" si="552"/>
        <v/>
      </c>
      <c r="NQ30" s="705" t="str">
        <f t="shared" si="552"/>
        <v/>
      </c>
      <c r="NR30" s="707" t="str">
        <f t="shared" si="552"/>
        <v/>
      </c>
      <c r="NS30" s="705" t="str">
        <f t="shared" si="552"/>
        <v/>
      </c>
      <c r="NT30" s="705" t="str">
        <f t="shared" si="552"/>
        <v/>
      </c>
      <c r="NU30" s="705" t="str">
        <f t="shared" si="552"/>
        <v/>
      </c>
      <c r="NV30" s="705" t="str">
        <f t="shared" si="552"/>
        <v/>
      </c>
      <c r="NW30" s="705" t="str">
        <f t="shared" si="552"/>
        <v/>
      </c>
      <c r="NX30" s="705" t="str">
        <f t="shared" si="552"/>
        <v/>
      </c>
      <c r="NY30" s="705" t="str">
        <f t="shared" si="552"/>
        <v/>
      </c>
      <c r="NZ30" s="706" t="str">
        <f t="shared" si="552"/>
        <v/>
      </c>
      <c r="OA30" s="704" t="str">
        <f>IF(PeerAnalysisChartType_Fin="Absolute",OA$7,100)</f>
        <v/>
      </c>
      <c r="OB30" s="705" t="str">
        <f t="shared" ref="OB30:OT30" si="553">IF(PeerAnalysisChartType_Fin="Absolute",OB$7,IFERROR((OA$30/OA$7)*OB$7,""))</f>
        <v/>
      </c>
      <c r="OC30" s="705" t="str">
        <f t="shared" si="553"/>
        <v/>
      </c>
      <c r="OD30" s="705" t="str">
        <f t="shared" si="553"/>
        <v/>
      </c>
      <c r="OE30" s="705" t="str">
        <f t="shared" si="553"/>
        <v/>
      </c>
      <c r="OF30" s="705" t="str">
        <f t="shared" si="553"/>
        <v/>
      </c>
      <c r="OG30" s="705" t="str">
        <f t="shared" si="553"/>
        <v/>
      </c>
      <c r="OH30" s="705" t="str">
        <f t="shared" si="553"/>
        <v/>
      </c>
      <c r="OI30" s="705" t="str">
        <f t="shared" si="553"/>
        <v/>
      </c>
      <c r="OJ30" s="705" t="str">
        <f t="shared" si="553"/>
        <v/>
      </c>
      <c r="OK30" s="705" t="str">
        <f t="shared" si="553"/>
        <v/>
      </c>
      <c r="OL30" s="707" t="str">
        <f t="shared" si="553"/>
        <v/>
      </c>
      <c r="OM30" s="705" t="str">
        <f t="shared" si="553"/>
        <v/>
      </c>
      <c r="ON30" s="705" t="str">
        <f t="shared" si="553"/>
        <v/>
      </c>
      <c r="OO30" s="705" t="str">
        <f t="shared" si="553"/>
        <v/>
      </c>
      <c r="OP30" s="705" t="str">
        <f t="shared" si="553"/>
        <v/>
      </c>
      <c r="OQ30" s="705" t="str">
        <f t="shared" si="553"/>
        <v/>
      </c>
      <c r="OR30" s="705" t="str">
        <f t="shared" si="553"/>
        <v/>
      </c>
      <c r="OS30" s="705" t="str">
        <f t="shared" si="553"/>
        <v/>
      </c>
      <c r="OT30" s="706" t="str">
        <f t="shared" si="553"/>
        <v/>
      </c>
      <c r="OU30" s="704">
        <f>IF(PeerAnalysisChartType_Fin="Absolute",OU$7,100)</f>
        <v>0</v>
      </c>
      <c r="OV30" s="705" t="str">
        <f t="shared" ref="OV30:PN30" si="554">IF(PeerAnalysisChartType_Fin="Absolute",OV$7,IFERROR((OU$30/OU$7)*OV$7,""))</f>
        <v/>
      </c>
      <c r="OW30" s="705" t="str">
        <f t="shared" si="554"/>
        <v/>
      </c>
      <c r="OX30" s="705" t="str">
        <f t="shared" si="554"/>
        <v/>
      </c>
      <c r="OY30" s="705" t="str">
        <f t="shared" si="554"/>
        <v/>
      </c>
      <c r="OZ30" s="705" t="str">
        <f t="shared" si="554"/>
        <v/>
      </c>
      <c r="PA30" s="705" t="str">
        <f t="shared" si="554"/>
        <v/>
      </c>
      <c r="PB30" s="705" t="str">
        <f t="shared" si="554"/>
        <v/>
      </c>
      <c r="PC30" s="705" t="str">
        <f t="shared" si="554"/>
        <v/>
      </c>
      <c r="PD30" s="705" t="str">
        <f t="shared" si="554"/>
        <v/>
      </c>
      <c r="PE30" s="705" t="str">
        <f t="shared" si="554"/>
        <v/>
      </c>
      <c r="PF30" s="707" t="str">
        <f t="shared" si="554"/>
        <v/>
      </c>
      <c r="PG30" s="705" t="str">
        <f t="shared" si="554"/>
        <v/>
      </c>
      <c r="PH30" s="705" t="str">
        <f t="shared" si="554"/>
        <v/>
      </c>
      <c r="PI30" s="705" t="str">
        <f t="shared" si="554"/>
        <v/>
      </c>
      <c r="PJ30" s="705" t="str">
        <f t="shared" si="554"/>
        <v/>
      </c>
      <c r="PK30" s="705" t="str">
        <f t="shared" si="554"/>
        <v/>
      </c>
      <c r="PL30" s="705" t="str">
        <f t="shared" si="554"/>
        <v/>
      </c>
      <c r="PM30" s="705" t="str">
        <f t="shared" si="554"/>
        <v/>
      </c>
      <c r="PN30" s="706" t="str">
        <f t="shared" si="554"/>
        <v/>
      </c>
      <c r="PO30" s="704">
        <f>IF(PeerAnalysisChartType_Fin="Absolute",PO$7,100)</f>
        <v>2.2350097814776305E-2</v>
      </c>
      <c r="PP30" s="705" t="str">
        <f t="shared" ref="PP30:QH30" si="555">IF(PeerAnalysisChartType_Fin="Absolute",PP$7,IFERROR((PO$30/PO$7)*PP$7,""))</f>
        <v/>
      </c>
      <c r="PQ30" s="705" t="str">
        <f t="shared" si="555"/>
        <v/>
      </c>
      <c r="PR30" s="705" t="str">
        <f t="shared" si="555"/>
        <v/>
      </c>
      <c r="PS30" s="705" t="str">
        <f t="shared" si="555"/>
        <v/>
      </c>
      <c r="PT30" s="705" t="str">
        <f t="shared" si="555"/>
        <v/>
      </c>
      <c r="PU30" s="705" t="str">
        <f t="shared" si="555"/>
        <v/>
      </c>
      <c r="PV30" s="705" t="str">
        <f t="shared" si="555"/>
        <v/>
      </c>
      <c r="PW30" s="705" t="str">
        <f t="shared" si="555"/>
        <v/>
      </c>
      <c r="PX30" s="705" t="str">
        <f t="shared" si="555"/>
        <v/>
      </c>
      <c r="PY30" s="705" t="str">
        <f t="shared" si="555"/>
        <v/>
      </c>
      <c r="PZ30" s="707" t="str">
        <f t="shared" si="555"/>
        <v/>
      </c>
      <c r="QA30" s="705" t="str">
        <f t="shared" si="555"/>
        <v/>
      </c>
      <c r="QB30" s="705" t="str">
        <f t="shared" si="555"/>
        <v/>
      </c>
      <c r="QC30" s="705" t="str">
        <f t="shared" si="555"/>
        <v/>
      </c>
      <c r="QD30" s="705" t="str">
        <f t="shared" si="555"/>
        <v/>
      </c>
      <c r="QE30" s="705" t="str">
        <f t="shared" si="555"/>
        <v/>
      </c>
      <c r="QF30" s="705" t="str">
        <f t="shared" si="555"/>
        <v/>
      </c>
      <c r="QG30" s="705" t="str">
        <f t="shared" si="555"/>
        <v/>
      </c>
      <c r="QH30" s="706" t="str">
        <f t="shared" si="555"/>
        <v/>
      </c>
      <c r="QI30" s="704" t="str">
        <f>IF(PeerAnalysisChartType_Fin="Absolute",QI$7,100)</f>
        <v/>
      </c>
      <c r="QJ30" s="705" t="str">
        <f t="shared" ref="QJ30:RB30" si="556">IF(PeerAnalysisChartType_Fin="Absolute",QJ$7,IFERROR((QI$30/QI$7)*QJ$7,""))</f>
        <v/>
      </c>
      <c r="QK30" s="705" t="str">
        <f t="shared" si="556"/>
        <v/>
      </c>
      <c r="QL30" s="705" t="str">
        <f t="shared" si="556"/>
        <v/>
      </c>
      <c r="QM30" s="705" t="str">
        <f t="shared" si="556"/>
        <v/>
      </c>
      <c r="QN30" s="705" t="str">
        <f t="shared" si="556"/>
        <v/>
      </c>
      <c r="QO30" s="705" t="str">
        <f t="shared" si="556"/>
        <v/>
      </c>
      <c r="QP30" s="705" t="str">
        <f t="shared" si="556"/>
        <v/>
      </c>
      <c r="QQ30" s="705" t="str">
        <f t="shared" si="556"/>
        <v/>
      </c>
      <c r="QR30" s="705" t="str">
        <f t="shared" si="556"/>
        <v/>
      </c>
      <c r="QS30" s="705" t="str">
        <f t="shared" si="556"/>
        <v/>
      </c>
      <c r="QT30" s="707" t="str">
        <f t="shared" si="556"/>
        <v/>
      </c>
      <c r="QU30" s="705" t="str">
        <f t="shared" si="556"/>
        <v/>
      </c>
      <c r="QV30" s="705" t="str">
        <f t="shared" si="556"/>
        <v/>
      </c>
      <c r="QW30" s="705" t="str">
        <f t="shared" si="556"/>
        <v/>
      </c>
      <c r="QX30" s="705" t="str">
        <f t="shared" si="556"/>
        <v/>
      </c>
      <c r="QY30" s="705" t="str">
        <f t="shared" si="556"/>
        <v/>
      </c>
      <c r="QZ30" s="705" t="str">
        <f t="shared" si="556"/>
        <v/>
      </c>
      <c r="RA30" s="705" t="str">
        <f t="shared" si="556"/>
        <v/>
      </c>
      <c r="RB30" s="706" t="str">
        <f t="shared" si="556"/>
        <v/>
      </c>
      <c r="RC30" s="713" t="str">
        <f>IF(PeerAnalysisChartType_Fin="Absolute",RC$7,100)</f>
        <v/>
      </c>
      <c r="RD30" s="714" t="str">
        <f t="shared" ref="RD30:RV30" si="557">IF(PeerAnalysisChartType_Fin="Absolute",RD$7,IFERROR((RC$30/RC$7)*RD$7,""))</f>
        <v/>
      </c>
      <c r="RE30" s="714" t="str">
        <f t="shared" si="557"/>
        <v/>
      </c>
      <c r="RF30" s="714" t="str">
        <f t="shared" si="557"/>
        <v/>
      </c>
      <c r="RG30" s="714" t="str">
        <f t="shared" si="557"/>
        <v/>
      </c>
      <c r="RH30" s="714" t="str">
        <f t="shared" si="557"/>
        <v/>
      </c>
      <c r="RI30" s="714" t="str">
        <f t="shared" si="557"/>
        <v/>
      </c>
      <c r="RJ30" s="714" t="str">
        <f t="shared" si="557"/>
        <v/>
      </c>
      <c r="RK30" s="714" t="str">
        <f t="shared" si="557"/>
        <v/>
      </c>
      <c r="RL30" s="714" t="str">
        <f t="shared" si="557"/>
        <v/>
      </c>
      <c r="RM30" s="714" t="str">
        <f t="shared" si="557"/>
        <v/>
      </c>
      <c r="RN30" s="715" t="str">
        <f t="shared" si="557"/>
        <v/>
      </c>
      <c r="RO30" s="714" t="str">
        <f t="shared" si="557"/>
        <v/>
      </c>
      <c r="RP30" s="714" t="str">
        <f t="shared" si="557"/>
        <v/>
      </c>
      <c r="RQ30" s="714" t="str">
        <f t="shared" si="557"/>
        <v/>
      </c>
      <c r="RR30" s="714" t="str">
        <f t="shared" si="557"/>
        <v/>
      </c>
      <c r="RS30" s="714" t="str">
        <f t="shared" si="557"/>
        <v/>
      </c>
      <c r="RT30" s="714" t="str">
        <f t="shared" si="557"/>
        <v/>
      </c>
      <c r="RU30" s="714" t="str">
        <f t="shared" si="557"/>
        <v/>
      </c>
      <c r="RV30" s="716" t="str">
        <f t="shared" si="557"/>
        <v/>
      </c>
      <c r="RW30" s="704" t="str">
        <f>IF(PeerAnalysisChartType_Fin="Absolute",RW$7,100)</f>
        <v>0</v>
      </c>
      <c r="RX30" s="705" t="str">
        <f t="shared" ref="RX30:SP30" si="558">IF(PeerAnalysisChartType_Fin="Absolute",RX$7,IFERROR((RW$30/RW$7)*RX$7,""))</f>
        <v/>
      </c>
      <c r="RY30" s="705" t="str">
        <f t="shared" si="558"/>
        <v/>
      </c>
      <c r="RZ30" s="705" t="str">
        <f t="shared" si="558"/>
        <v/>
      </c>
      <c r="SA30" s="705" t="str">
        <f t="shared" si="558"/>
        <v/>
      </c>
      <c r="SB30" s="705" t="str">
        <f t="shared" si="558"/>
        <v/>
      </c>
      <c r="SC30" s="705" t="str">
        <f t="shared" si="558"/>
        <v/>
      </c>
      <c r="SD30" s="705" t="str">
        <f t="shared" si="558"/>
        <v/>
      </c>
      <c r="SE30" s="705" t="str">
        <f t="shared" si="558"/>
        <v/>
      </c>
      <c r="SF30" s="705" t="str">
        <f t="shared" si="558"/>
        <v/>
      </c>
      <c r="SG30" s="705" t="str">
        <f t="shared" si="558"/>
        <v/>
      </c>
      <c r="SH30" s="707" t="str">
        <f t="shared" si="558"/>
        <v/>
      </c>
      <c r="SI30" s="705" t="str">
        <f t="shared" si="558"/>
        <v/>
      </c>
      <c r="SJ30" s="705" t="str">
        <f t="shared" si="558"/>
        <v/>
      </c>
      <c r="SK30" s="705" t="str">
        <f t="shared" si="558"/>
        <v/>
      </c>
      <c r="SL30" s="705" t="str">
        <f t="shared" si="558"/>
        <v/>
      </c>
      <c r="SM30" s="705" t="str">
        <f t="shared" si="558"/>
        <v/>
      </c>
      <c r="SN30" s="705" t="str">
        <f t="shared" si="558"/>
        <v/>
      </c>
      <c r="SO30" s="705" t="str">
        <f t="shared" si="558"/>
        <v/>
      </c>
      <c r="SP30" s="706" t="str">
        <f t="shared" si="558"/>
        <v/>
      </c>
      <c r="SQ30" s="704">
        <f>IF(PeerAnalysisChartType_Fin="Absolute",SQ$7,100)</f>
        <v>0</v>
      </c>
      <c r="SR30" s="705" t="str">
        <f t="shared" ref="SR30:TJ30" si="559">IF(PeerAnalysisChartType_Fin="Absolute",SR$7,IFERROR((SQ$30/SQ$7)*SR$7,""))</f>
        <v/>
      </c>
      <c r="SS30" s="705" t="str">
        <f t="shared" si="559"/>
        <v/>
      </c>
      <c r="ST30" s="705" t="str">
        <f t="shared" si="559"/>
        <v/>
      </c>
      <c r="SU30" s="705" t="str">
        <f t="shared" si="559"/>
        <v/>
      </c>
      <c r="SV30" s="705" t="str">
        <f t="shared" si="559"/>
        <v/>
      </c>
      <c r="SW30" s="705" t="str">
        <f t="shared" si="559"/>
        <v/>
      </c>
      <c r="SX30" s="705" t="str">
        <f t="shared" si="559"/>
        <v/>
      </c>
      <c r="SY30" s="705" t="str">
        <f t="shared" si="559"/>
        <v/>
      </c>
      <c r="SZ30" s="705" t="str">
        <f t="shared" si="559"/>
        <v/>
      </c>
      <c r="TA30" s="705" t="str">
        <f t="shared" si="559"/>
        <v/>
      </c>
      <c r="TB30" s="707" t="str">
        <f t="shared" si="559"/>
        <v/>
      </c>
      <c r="TC30" s="705" t="str">
        <f t="shared" si="559"/>
        <v/>
      </c>
      <c r="TD30" s="705" t="str">
        <f t="shared" si="559"/>
        <v/>
      </c>
      <c r="TE30" s="705" t="str">
        <f t="shared" si="559"/>
        <v/>
      </c>
      <c r="TF30" s="705" t="str">
        <f t="shared" si="559"/>
        <v/>
      </c>
      <c r="TG30" s="705" t="str">
        <f t="shared" si="559"/>
        <v/>
      </c>
      <c r="TH30" s="705" t="str">
        <f t="shared" si="559"/>
        <v/>
      </c>
      <c r="TI30" s="705" t="str">
        <f t="shared" si="559"/>
        <v/>
      </c>
      <c r="TJ30" s="706" t="str">
        <f t="shared" si="559"/>
        <v/>
      </c>
      <c r="TK30" s="704" t="str">
        <f>IF(PeerAnalysisChartType_Fin="Absolute",TK$7,100)</f>
        <v/>
      </c>
      <c r="TL30" s="705" t="str">
        <f t="shared" ref="TL30:UD30" si="560">IF(PeerAnalysisChartType_Fin="Absolute",TL$7,IFERROR((TK$30/TK$7)*TL$7,""))</f>
        <v/>
      </c>
      <c r="TM30" s="705" t="str">
        <f t="shared" si="560"/>
        <v/>
      </c>
      <c r="TN30" s="705" t="str">
        <f t="shared" si="560"/>
        <v/>
      </c>
      <c r="TO30" s="705" t="str">
        <f t="shared" si="560"/>
        <v/>
      </c>
      <c r="TP30" s="705" t="str">
        <f t="shared" si="560"/>
        <v/>
      </c>
      <c r="TQ30" s="705" t="str">
        <f t="shared" si="560"/>
        <v/>
      </c>
      <c r="TR30" s="705" t="str">
        <f t="shared" si="560"/>
        <v/>
      </c>
      <c r="TS30" s="705" t="str">
        <f t="shared" si="560"/>
        <v/>
      </c>
      <c r="TT30" s="705" t="str">
        <f t="shared" si="560"/>
        <v/>
      </c>
      <c r="TU30" s="705" t="str">
        <f t="shared" si="560"/>
        <v/>
      </c>
      <c r="TV30" s="707" t="str">
        <f t="shared" si="560"/>
        <v/>
      </c>
      <c r="TW30" s="705" t="str">
        <f t="shared" si="560"/>
        <v/>
      </c>
      <c r="TX30" s="705" t="str">
        <f t="shared" si="560"/>
        <v/>
      </c>
      <c r="TY30" s="705" t="str">
        <f t="shared" si="560"/>
        <v/>
      </c>
      <c r="TZ30" s="705" t="str">
        <f t="shared" si="560"/>
        <v/>
      </c>
      <c r="UA30" s="705" t="str">
        <f t="shared" si="560"/>
        <v/>
      </c>
      <c r="UB30" s="705" t="str">
        <f t="shared" si="560"/>
        <v/>
      </c>
      <c r="UC30" s="705" t="str">
        <f t="shared" si="560"/>
        <v/>
      </c>
      <c r="UD30" s="706" t="str">
        <f t="shared" si="560"/>
        <v/>
      </c>
      <c r="UE30" s="704">
        <f>IF(PeerAnalysisChartType_Fin="Absolute",UE$7,100)</f>
        <v>0</v>
      </c>
      <c r="UF30" s="705" t="str">
        <f t="shared" ref="UF30:UX30" si="561">IF(PeerAnalysisChartType_Fin="Absolute",UF$7,IFERROR((UE$30/UE$7)*UF$7,""))</f>
        <v/>
      </c>
      <c r="UG30" s="705" t="str">
        <f t="shared" si="561"/>
        <v/>
      </c>
      <c r="UH30" s="705" t="str">
        <f t="shared" si="561"/>
        <v/>
      </c>
      <c r="UI30" s="705" t="str">
        <f t="shared" si="561"/>
        <v/>
      </c>
      <c r="UJ30" s="705" t="str">
        <f t="shared" si="561"/>
        <v/>
      </c>
      <c r="UK30" s="705" t="str">
        <f t="shared" si="561"/>
        <v/>
      </c>
      <c r="UL30" s="705" t="str">
        <f t="shared" si="561"/>
        <v/>
      </c>
      <c r="UM30" s="705" t="str">
        <f t="shared" si="561"/>
        <v/>
      </c>
      <c r="UN30" s="705" t="str">
        <f t="shared" si="561"/>
        <v/>
      </c>
      <c r="UO30" s="705" t="str">
        <f t="shared" si="561"/>
        <v/>
      </c>
      <c r="UP30" s="705" t="str">
        <f t="shared" si="561"/>
        <v/>
      </c>
      <c r="UQ30" s="705" t="str">
        <f t="shared" si="561"/>
        <v/>
      </c>
      <c r="UR30" s="705" t="str">
        <f t="shared" si="561"/>
        <v/>
      </c>
      <c r="US30" s="705" t="str">
        <f t="shared" si="561"/>
        <v/>
      </c>
      <c r="UT30" s="705" t="str">
        <f t="shared" si="561"/>
        <v/>
      </c>
      <c r="UU30" s="705" t="str">
        <f t="shared" si="561"/>
        <v/>
      </c>
      <c r="UV30" s="705" t="str">
        <f t="shared" si="561"/>
        <v/>
      </c>
      <c r="UW30" s="705" t="str">
        <f t="shared" si="561"/>
        <v/>
      </c>
      <c r="UX30" s="706" t="str">
        <f t="shared" si="561"/>
        <v/>
      </c>
    </row>
    <row r="31" spans="1:16344" x14ac:dyDescent="0.2">
      <c r="A31" s="99" t="s">
        <v>1040</v>
      </c>
      <c r="O31" s="48"/>
      <c r="P31" s="48"/>
      <c r="R31" s="48"/>
      <c r="U31" s="48"/>
      <c r="X31" s="48"/>
      <c r="AA31" s="25"/>
      <c r="AE31" s="704" t="str">
        <f>IF(PeerAnalysisChartType_Fin="Absolute",AE$18,100)</f>
        <v/>
      </c>
      <c r="AF31" s="705" t="str">
        <f t="shared" ref="AF31:AX31" si="562">IF(PeerAnalysisChartType_Fin="Absolute",AF$18,IFERROR((AE$31/AE$18)*AF$18,""))</f>
        <v/>
      </c>
      <c r="AG31" s="705" t="str">
        <f t="shared" si="562"/>
        <v/>
      </c>
      <c r="AH31" s="705" t="str">
        <f t="shared" si="562"/>
        <v/>
      </c>
      <c r="AI31" s="705" t="str">
        <f t="shared" si="562"/>
        <v/>
      </c>
      <c r="AJ31" s="705" t="str">
        <f t="shared" si="562"/>
        <v/>
      </c>
      <c r="AK31" s="705" t="str">
        <f t="shared" si="562"/>
        <v/>
      </c>
      <c r="AL31" s="705" t="str">
        <f t="shared" si="562"/>
        <v/>
      </c>
      <c r="AM31" s="705" t="str">
        <f t="shared" si="562"/>
        <v/>
      </c>
      <c r="AN31" s="705" t="str">
        <f t="shared" si="562"/>
        <v/>
      </c>
      <c r="AO31" s="705" t="str">
        <f t="shared" si="562"/>
        <v/>
      </c>
      <c r="AP31" s="705" t="str">
        <f t="shared" si="562"/>
        <v/>
      </c>
      <c r="AQ31" s="705" t="str">
        <f t="shared" si="562"/>
        <v/>
      </c>
      <c r="AR31" s="705" t="str">
        <f t="shared" si="562"/>
        <v/>
      </c>
      <c r="AS31" s="705" t="str">
        <f t="shared" si="562"/>
        <v/>
      </c>
      <c r="AT31" s="705" t="str">
        <f t="shared" si="562"/>
        <v/>
      </c>
      <c r="AU31" s="705" t="str">
        <f t="shared" si="562"/>
        <v/>
      </c>
      <c r="AV31" s="705" t="str">
        <f t="shared" si="562"/>
        <v/>
      </c>
      <c r="AW31" s="705" t="str">
        <f t="shared" si="562"/>
        <v/>
      </c>
      <c r="AX31" s="706" t="str">
        <f t="shared" si="562"/>
        <v/>
      </c>
      <c r="AY31" s="704" t="str">
        <f>IF(PeerAnalysisChartType_Fin="Absolute",AY$18,100)</f>
        <v/>
      </c>
      <c r="AZ31" s="705" t="str">
        <f t="shared" ref="AZ31:BR31" si="563">IF(PeerAnalysisChartType_Fin="Absolute",AZ$18,IFERROR((AY$31/AY$18)*AZ$18,""))</f>
        <v/>
      </c>
      <c r="BA31" s="705" t="str">
        <f t="shared" si="563"/>
        <v/>
      </c>
      <c r="BB31" s="705" t="str">
        <f t="shared" si="563"/>
        <v/>
      </c>
      <c r="BC31" s="705" t="str">
        <f t="shared" si="563"/>
        <v/>
      </c>
      <c r="BD31" s="705" t="str">
        <f t="shared" si="563"/>
        <v/>
      </c>
      <c r="BE31" s="705" t="str">
        <f t="shared" si="563"/>
        <v/>
      </c>
      <c r="BF31" s="705" t="str">
        <f t="shared" si="563"/>
        <v/>
      </c>
      <c r="BG31" s="705" t="str">
        <f t="shared" si="563"/>
        <v/>
      </c>
      <c r="BH31" s="705" t="str">
        <f t="shared" si="563"/>
        <v/>
      </c>
      <c r="BI31" s="705" t="str">
        <f t="shared" si="563"/>
        <v/>
      </c>
      <c r="BJ31" s="705" t="str">
        <f t="shared" si="563"/>
        <v/>
      </c>
      <c r="BK31" s="705" t="str">
        <f t="shared" si="563"/>
        <v/>
      </c>
      <c r="BL31" s="705" t="str">
        <f t="shared" si="563"/>
        <v/>
      </c>
      <c r="BM31" s="705" t="str">
        <f t="shared" si="563"/>
        <v/>
      </c>
      <c r="BN31" s="705" t="str">
        <f t="shared" si="563"/>
        <v/>
      </c>
      <c r="BO31" s="705" t="str">
        <f t="shared" si="563"/>
        <v/>
      </c>
      <c r="BP31" s="705" t="str">
        <f t="shared" si="563"/>
        <v/>
      </c>
      <c r="BQ31" s="705" t="str">
        <f t="shared" si="563"/>
        <v/>
      </c>
      <c r="BR31" s="706" t="str">
        <f t="shared" si="563"/>
        <v/>
      </c>
      <c r="BS31" s="704" t="str">
        <f>IF(PeerAnalysisChartType_Fin="Absolute",BS$18,100)</f>
        <v/>
      </c>
      <c r="BT31" s="705" t="str">
        <f t="shared" ref="BT31:CL31" si="564">IF(PeerAnalysisChartType_Fin="Absolute",BT$18,IFERROR((BS$31/BS$18)*BT$18,""))</f>
        <v/>
      </c>
      <c r="BU31" s="705" t="str">
        <f t="shared" si="564"/>
        <v/>
      </c>
      <c r="BV31" s="705" t="str">
        <f t="shared" si="564"/>
        <v/>
      </c>
      <c r="BW31" s="705" t="str">
        <f t="shared" si="564"/>
        <v/>
      </c>
      <c r="BX31" s="705" t="str">
        <f t="shared" si="564"/>
        <v/>
      </c>
      <c r="BY31" s="705" t="str">
        <f t="shared" si="564"/>
        <v/>
      </c>
      <c r="BZ31" s="705" t="str">
        <f t="shared" si="564"/>
        <v/>
      </c>
      <c r="CA31" s="705" t="str">
        <f t="shared" si="564"/>
        <v/>
      </c>
      <c r="CB31" s="705" t="str">
        <f t="shared" si="564"/>
        <v/>
      </c>
      <c r="CC31" s="705" t="str">
        <f t="shared" si="564"/>
        <v/>
      </c>
      <c r="CD31" s="705" t="str">
        <f t="shared" si="564"/>
        <v/>
      </c>
      <c r="CE31" s="705" t="str">
        <f t="shared" si="564"/>
        <v/>
      </c>
      <c r="CF31" s="705" t="str">
        <f t="shared" si="564"/>
        <v/>
      </c>
      <c r="CG31" s="705" t="str">
        <f t="shared" si="564"/>
        <v/>
      </c>
      <c r="CH31" s="705" t="str">
        <f t="shared" si="564"/>
        <v/>
      </c>
      <c r="CI31" s="705" t="str">
        <f t="shared" si="564"/>
        <v/>
      </c>
      <c r="CJ31" s="705" t="str">
        <f t="shared" si="564"/>
        <v/>
      </c>
      <c r="CK31" s="705" t="str">
        <f t="shared" si="564"/>
        <v/>
      </c>
      <c r="CL31" s="706" t="str">
        <f t="shared" si="564"/>
        <v/>
      </c>
      <c r="CM31" s="704" t="str">
        <f>IF(PeerAnalysisChartType_Fin="Absolute",CM$18,100)</f>
        <v/>
      </c>
      <c r="CN31" s="705" t="str">
        <f t="shared" ref="CN31:DF31" si="565">IF(PeerAnalysisChartType_Fin="Absolute",CN$18,IFERROR((CM$31/CM$18)*CN$18,""))</f>
        <v/>
      </c>
      <c r="CO31" s="705" t="str">
        <f t="shared" si="565"/>
        <v/>
      </c>
      <c r="CP31" s="705" t="str">
        <f t="shared" si="565"/>
        <v/>
      </c>
      <c r="CQ31" s="705" t="str">
        <f t="shared" si="565"/>
        <v/>
      </c>
      <c r="CR31" s="705" t="str">
        <f t="shared" si="565"/>
        <v/>
      </c>
      <c r="CS31" s="705" t="str">
        <f t="shared" si="565"/>
        <v/>
      </c>
      <c r="CT31" s="705" t="str">
        <f t="shared" si="565"/>
        <v/>
      </c>
      <c r="CU31" s="705" t="str">
        <f t="shared" si="565"/>
        <v/>
      </c>
      <c r="CV31" s="705" t="str">
        <f t="shared" si="565"/>
        <v/>
      </c>
      <c r="CW31" s="705" t="str">
        <f t="shared" si="565"/>
        <v/>
      </c>
      <c r="CX31" s="705" t="str">
        <f t="shared" si="565"/>
        <v/>
      </c>
      <c r="CY31" s="705" t="str">
        <f t="shared" si="565"/>
        <v/>
      </c>
      <c r="CZ31" s="705" t="str">
        <f t="shared" si="565"/>
        <v/>
      </c>
      <c r="DA31" s="705" t="str">
        <f t="shared" si="565"/>
        <v/>
      </c>
      <c r="DB31" s="705" t="str">
        <f t="shared" si="565"/>
        <v/>
      </c>
      <c r="DC31" s="705" t="str">
        <f t="shared" si="565"/>
        <v/>
      </c>
      <c r="DD31" s="705" t="str">
        <f t="shared" si="565"/>
        <v/>
      </c>
      <c r="DE31" s="705" t="str">
        <f t="shared" si="565"/>
        <v/>
      </c>
      <c r="DF31" s="706" t="str">
        <f t="shared" si="565"/>
        <v/>
      </c>
      <c r="DG31" s="704">
        <f>IF(PeerAnalysisChartType_Fin="Absolute",DG$18,100)</f>
        <v>0</v>
      </c>
      <c r="DH31" s="705" t="str">
        <f t="shared" ref="DH31:DZ31" si="566">IF(PeerAnalysisChartType_Fin="Absolute",DH$18,IFERROR((DG$31/DG$18)*DH$18,""))</f>
        <v/>
      </c>
      <c r="DI31" s="705" t="str">
        <f t="shared" si="566"/>
        <v/>
      </c>
      <c r="DJ31" s="705" t="str">
        <f t="shared" si="566"/>
        <v/>
      </c>
      <c r="DK31" s="705" t="str">
        <f t="shared" si="566"/>
        <v/>
      </c>
      <c r="DL31" s="705" t="str">
        <f t="shared" si="566"/>
        <v/>
      </c>
      <c r="DM31" s="705" t="str">
        <f t="shared" si="566"/>
        <v/>
      </c>
      <c r="DN31" s="705" t="str">
        <f t="shared" si="566"/>
        <v/>
      </c>
      <c r="DO31" s="705" t="str">
        <f t="shared" si="566"/>
        <v/>
      </c>
      <c r="DP31" s="705" t="str">
        <f t="shared" si="566"/>
        <v/>
      </c>
      <c r="DQ31" s="705" t="str">
        <f t="shared" si="566"/>
        <v/>
      </c>
      <c r="DR31" s="705" t="str">
        <f t="shared" si="566"/>
        <v/>
      </c>
      <c r="DS31" s="705" t="str">
        <f t="shared" si="566"/>
        <v/>
      </c>
      <c r="DT31" s="705" t="str">
        <f t="shared" si="566"/>
        <v/>
      </c>
      <c r="DU31" s="705" t="str">
        <f t="shared" si="566"/>
        <v/>
      </c>
      <c r="DV31" s="705" t="str">
        <f t="shared" si="566"/>
        <v/>
      </c>
      <c r="DW31" s="705" t="str">
        <f t="shared" si="566"/>
        <v/>
      </c>
      <c r="DX31" s="705" t="str">
        <f t="shared" si="566"/>
        <v/>
      </c>
      <c r="DY31" s="705" t="str">
        <f t="shared" si="566"/>
        <v/>
      </c>
      <c r="DZ31" s="706" t="str">
        <f t="shared" si="566"/>
        <v/>
      </c>
      <c r="EA31" s="704">
        <f>IF(PeerAnalysisChartType_Fin="Absolute",EA$18,100)</f>
        <v>0</v>
      </c>
      <c r="EB31" s="705" t="str">
        <f t="shared" ref="EB31:ET31" si="567">IF(PeerAnalysisChartType_Fin="Absolute",EB$18,IFERROR((EA$31/EA$18)*EB$18,""))</f>
        <v/>
      </c>
      <c r="EC31" s="705" t="str">
        <f t="shared" si="567"/>
        <v/>
      </c>
      <c r="ED31" s="705" t="str">
        <f t="shared" si="567"/>
        <v/>
      </c>
      <c r="EE31" s="705" t="str">
        <f t="shared" si="567"/>
        <v/>
      </c>
      <c r="EF31" s="705" t="str">
        <f t="shared" si="567"/>
        <v/>
      </c>
      <c r="EG31" s="705" t="str">
        <f t="shared" si="567"/>
        <v/>
      </c>
      <c r="EH31" s="705" t="str">
        <f t="shared" si="567"/>
        <v/>
      </c>
      <c r="EI31" s="705" t="str">
        <f t="shared" si="567"/>
        <v/>
      </c>
      <c r="EJ31" s="705" t="str">
        <f t="shared" si="567"/>
        <v/>
      </c>
      <c r="EK31" s="705" t="str">
        <f t="shared" si="567"/>
        <v/>
      </c>
      <c r="EL31" s="705" t="str">
        <f t="shared" si="567"/>
        <v/>
      </c>
      <c r="EM31" s="705" t="str">
        <f t="shared" si="567"/>
        <v/>
      </c>
      <c r="EN31" s="705" t="str">
        <f t="shared" si="567"/>
        <v/>
      </c>
      <c r="EO31" s="705" t="str">
        <f t="shared" si="567"/>
        <v/>
      </c>
      <c r="EP31" s="705" t="str">
        <f t="shared" si="567"/>
        <v/>
      </c>
      <c r="EQ31" s="705" t="str">
        <f t="shared" si="567"/>
        <v/>
      </c>
      <c r="ER31" s="705" t="str">
        <f t="shared" si="567"/>
        <v/>
      </c>
      <c r="ES31" s="705" t="str">
        <f t="shared" si="567"/>
        <v/>
      </c>
      <c r="ET31" s="706" t="str">
        <f t="shared" si="567"/>
        <v/>
      </c>
      <c r="EU31" s="704">
        <f>IF(PeerAnalysisChartType_Fin="Absolute",EU$18,100)</f>
        <v>0</v>
      </c>
      <c r="EV31" s="705" t="str">
        <f t="shared" ref="EV31" si="568">IF(PeerAnalysisChartType_Fin="Absolute",EV$18,IFERROR((EU$31/EU$18)*EV$18,""))</f>
        <v/>
      </c>
      <c r="EW31" s="705" t="str">
        <f t="shared" ref="EW31" si="569">IF(PeerAnalysisChartType_Fin="Absolute",EW$18,IFERROR((EV$31/EV$18)*EW$18,""))</f>
        <v/>
      </c>
      <c r="EX31" s="705" t="str">
        <f t="shared" ref="EX31" si="570">IF(PeerAnalysisChartType_Fin="Absolute",EX$18,IFERROR((EW$31/EW$18)*EX$18,""))</f>
        <v/>
      </c>
      <c r="EY31" s="705" t="str">
        <f t="shared" ref="EY31" si="571">IF(PeerAnalysisChartType_Fin="Absolute",EY$18,IFERROR((EX$31/EX$18)*EY$18,""))</f>
        <v/>
      </c>
      <c r="EZ31" s="705" t="str">
        <f t="shared" ref="EZ31" si="572">IF(PeerAnalysisChartType_Fin="Absolute",EZ$18,IFERROR((EY$31/EY$18)*EZ$18,""))</f>
        <v/>
      </c>
      <c r="FA31" s="705" t="str">
        <f t="shared" ref="FA31" si="573">IF(PeerAnalysisChartType_Fin="Absolute",FA$18,IFERROR((EZ$31/EZ$18)*FA$18,""))</f>
        <v/>
      </c>
      <c r="FB31" s="705" t="str">
        <f t="shared" ref="FB31" si="574">IF(PeerAnalysisChartType_Fin="Absolute",FB$18,IFERROR((FA$31/FA$18)*FB$18,""))</f>
        <v/>
      </c>
      <c r="FC31" s="705" t="str">
        <f t="shared" ref="FC31" si="575">IF(PeerAnalysisChartType_Fin="Absolute",FC$18,IFERROR((FB$31/FB$18)*FC$18,""))</f>
        <v/>
      </c>
      <c r="FD31" s="705" t="str">
        <f t="shared" ref="FD31" si="576">IF(PeerAnalysisChartType_Fin="Absolute",FD$18,IFERROR((FC$31/FC$18)*FD$18,""))</f>
        <v/>
      </c>
      <c r="FE31" s="705" t="str">
        <f t="shared" ref="FE31" si="577">IF(PeerAnalysisChartType_Fin="Absolute",FE$18,IFERROR((FD$31/FD$18)*FE$18,""))</f>
        <v/>
      </c>
      <c r="FF31" s="705" t="str">
        <f t="shared" ref="FF31" si="578">IF(PeerAnalysisChartType_Fin="Absolute",FF$18,IFERROR((FE$31/FE$18)*FF$18,""))</f>
        <v/>
      </c>
      <c r="FG31" s="705" t="str">
        <f t="shared" ref="FG31" si="579">IF(PeerAnalysisChartType_Fin="Absolute",FG$18,IFERROR((FF$31/FF$18)*FG$18,""))</f>
        <v/>
      </c>
      <c r="FH31" s="705" t="str">
        <f t="shared" ref="FH31" si="580">IF(PeerAnalysisChartType_Fin="Absolute",FH$18,IFERROR((FG$31/FG$18)*FH$18,""))</f>
        <v/>
      </c>
      <c r="FI31" s="705" t="str">
        <f t="shared" ref="FI31" si="581">IF(PeerAnalysisChartType_Fin="Absolute",FI$18,IFERROR((FH$31/FH$18)*FI$18,""))</f>
        <v/>
      </c>
      <c r="FJ31" s="705" t="str">
        <f t="shared" ref="FJ31" si="582">IF(PeerAnalysisChartType_Fin="Absolute",FJ$18,IFERROR((FI$31/FI$18)*FJ$18,""))</f>
        <v/>
      </c>
      <c r="FK31" s="705" t="str">
        <f t="shared" ref="FK31" si="583">IF(PeerAnalysisChartType_Fin="Absolute",FK$18,IFERROR((FJ$31/FJ$18)*FK$18,""))</f>
        <v/>
      </c>
      <c r="FL31" s="705" t="str">
        <f t="shared" ref="FL31" si="584">IF(PeerAnalysisChartType_Fin="Absolute",FL$18,IFERROR((FK$31/FK$18)*FL$18,""))</f>
        <v/>
      </c>
      <c r="FM31" s="705" t="str">
        <f t="shared" ref="FM31" si="585">IF(PeerAnalysisChartType_Fin="Absolute",FM$18,IFERROR((FL$31/FL$18)*FM$18,""))</f>
        <v/>
      </c>
      <c r="FN31" s="706" t="str">
        <f t="shared" ref="FN31" si="586">IF(PeerAnalysisChartType_Fin="Absolute",FN$18,IFERROR((FM$31/FM$18)*FN$18,""))</f>
        <v/>
      </c>
      <c r="FO31" s="704" t="str">
        <f>IF(PeerAnalysisChartType_Fin="Absolute",FO$18,100)</f>
        <v/>
      </c>
      <c r="FP31" s="705" t="str">
        <f t="shared" ref="FP31:GH31" si="587">IF(PeerAnalysisChartType_Fin="Absolute",FP$18,IFERROR((FO$31/FO$18)*FP$18,""))</f>
        <v/>
      </c>
      <c r="FQ31" s="705" t="str">
        <f t="shared" si="587"/>
        <v/>
      </c>
      <c r="FR31" s="705" t="str">
        <f t="shared" si="587"/>
        <v/>
      </c>
      <c r="FS31" s="705" t="str">
        <f t="shared" si="587"/>
        <v/>
      </c>
      <c r="FT31" s="705" t="str">
        <f t="shared" si="587"/>
        <v/>
      </c>
      <c r="FU31" s="705" t="str">
        <f t="shared" si="587"/>
        <v/>
      </c>
      <c r="FV31" s="705" t="str">
        <f t="shared" si="587"/>
        <v/>
      </c>
      <c r="FW31" s="705" t="str">
        <f t="shared" si="587"/>
        <v/>
      </c>
      <c r="FX31" s="705" t="str">
        <f t="shared" si="587"/>
        <v/>
      </c>
      <c r="FY31" s="705" t="str">
        <f t="shared" si="587"/>
        <v/>
      </c>
      <c r="FZ31" s="705" t="str">
        <f t="shared" si="587"/>
        <v/>
      </c>
      <c r="GA31" s="705" t="str">
        <f t="shared" si="587"/>
        <v/>
      </c>
      <c r="GB31" s="705" t="str">
        <f t="shared" si="587"/>
        <v/>
      </c>
      <c r="GC31" s="705" t="str">
        <f t="shared" si="587"/>
        <v/>
      </c>
      <c r="GD31" s="705" t="str">
        <f t="shared" si="587"/>
        <v/>
      </c>
      <c r="GE31" s="705" t="str">
        <f t="shared" si="587"/>
        <v/>
      </c>
      <c r="GF31" s="705" t="str">
        <f t="shared" si="587"/>
        <v/>
      </c>
      <c r="GG31" s="705" t="str">
        <f t="shared" si="587"/>
        <v/>
      </c>
      <c r="GH31" s="706" t="str">
        <f t="shared" si="587"/>
        <v/>
      </c>
      <c r="GI31" s="704">
        <f>IF(PeerAnalysisChartType_Fin="Absolute",GI$18,100)</f>
        <v>0</v>
      </c>
      <c r="GJ31" s="705" t="str">
        <f t="shared" ref="GJ31:HB31" si="588">IF(PeerAnalysisChartType_Fin="Absolute",GJ$18,IFERROR((GI$31/GI$18)*GJ$18,""))</f>
        <v/>
      </c>
      <c r="GK31" s="705" t="str">
        <f t="shared" si="588"/>
        <v/>
      </c>
      <c r="GL31" s="705" t="str">
        <f t="shared" si="588"/>
        <v/>
      </c>
      <c r="GM31" s="705" t="str">
        <f t="shared" si="588"/>
        <v/>
      </c>
      <c r="GN31" s="705" t="str">
        <f t="shared" si="588"/>
        <v/>
      </c>
      <c r="GO31" s="705" t="str">
        <f t="shared" si="588"/>
        <v/>
      </c>
      <c r="GP31" s="705" t="str">
        <f t="shared" si="588"/>
        <v/>
      </c>
      <c r="GQ31" s="705" t="str">
        <f t="shared" si="588"/>
        <v/>
      </c>
      <c r="GR31" s="705" t="str">
        <f t="shared" si="588"/>
        <v/>
      </c>
      <c r="GS31" s="705" t="str">
        <f t="shared" si="588"/>
        <v/>
      </c>
      <c r="GT31" s="705" t="str">
        <f t="shared" si="588"/>
        <v/>
      </c>
      <c r="GU31" s="705" t="str">
        <f t="shared" si="588"/>
        <v/>
      </c>
      <c r="GV31" s="705" t="str">
        <f t="shared" si="588"/>
        <v/>
      </c>
      <c r="GW31" s="705" t="str">
        <f t="shared" si="588"/>
        <v/>
      </c>
      <c r="GX31" s="705" t="str">
        <f t="shared" si="588"/>
        <v/>
      </c>
      <c r="GY31" s="705" t="str">
        <f t="shared" si="588"/>
        <v/>
      </c>
      <c r="GZ31" s="705" t="str">
        <f t="shared" si="588"/>
        <v/>
      </c>
      <c r="HA31" s="705" t="str">
        <f t="shared" si="588"/>
        <v/>
      </c>
      <c r="HB31" s="706" t="str">
        <f t="shared" si="588"/>
        <v/>
      </c>
      <c r="HC31" s="704">
        <f>IF(PeerAnalysisChartType_Fin="Absolute",HC$18,100)</f>
        <v>8.0520399466092019E-2</v>
      </c>
      <c r="HD31" s="705" t="str">
        <f t="shared" ref="HD31:HV31" si="589">IF(PeerAnalysisChartType_Fin="Absolute",HD$18,IFERROR((HC$31/HC$18)*HD$18,""))</f>
        <v/>
      </c>
      <c r="HE31" s="705" t="str">
        <f t="shared" si="589"/>
        <v/>
      </c>
      <c r="HF31" s="705" t="str">
        <f t="shared" si="589"/>
        <v/>
      </c>
      <c r="HG31" s="705" t="str">
        <f t="shared" si="589"/>
        <v/>
      </c>
      <c r="HH31" s="705" t="str">
        <f t="shared" si="589"/>
        <v/>
      </c>
      <c r="HI31" s="705" t="str">
        <f t="shared" si="589"/>
        <v/>
      </c>
      <c r="HJ31" s="705" t="str">
        <f t="shared" si="589"/>
        <v/>
      </c>
      <c r="HK31" s="705" t="str">
        <f t="shared" si="589"/>
        <v/>
      </c>
      <c r="HL31" s="705" t="str">
        <f t="shared" si="589"/>
        <v/>
      </c>
      <c r="HM31" s="705" t="str">
        <f t="shared" si="589"/>
        <v/>
      </c>
      <c r="HN31" s="705" t="str">
        <f t="shared" si="589"/>
        <v/>
      </c>
      <c r="HO31" s="705" t="str">
        <f t="shared" si="589"/>
        <v/>
      </c>
      <c r="HP31" s="705" t="str">
        <f t="shared" si="589"/>
        <v/>
      </c>
      <c r="HQ31" s="705" t="str">
        <f t="shared" si="589"/>
        <v/>
      </c>
      <c r="HR31" s="705" t="str">
        <f t="shared" si="589"/>
        <v/>
      </c>
      <c r="HS31" s="705" t="str">
        <f t="shared" si="589"/>
        <v/>
      </c>
      <c r="HT31" s="705" t="str">
        <f t="shared" si="589"/>
        <v/>
      </c>
      <c r="HU31" s="705" t="str">
        <f t="shared" si="589"/>
        <v/>
      </c>
      <c r="HV31" s="706" t="str">
        <f t="shared" si="589"/>
        <v/>
      </c>
      <c r="HW31" s="704">
        <f>IF(PeerAnalysisChartType_Fin="Absolute",HW$18,100)</f>
        <v>4.711843375155108E-2</v>
      </c>
      <c r="HX31" s="705" t="str">
        <f t="shared" ref="HX31:IP31" si="590">IF(PeerAnalysisChartType_Fin="Absolute",HX$18,IFERROR((HW$31/HW$18)*HX$18,""))</f>
        <v/>
      </c>
      <c r="HY31" s="705" t="str">
        <f t="shared" si="590"/>
        <v/>
      </c>
      <c r="HZ31" s="705" t="str">
        <f t="shared" si="590"/>
        <v/>
      </c>
      <c r="IA31" s="705" t="str">
        <f t="shared" si="590"/>
        <v/>
      </c>
      <c r="IB31" s="705" t="str">
        <f t="shared" si="590"/>
        <v/>
      </c>
      <c r="IC31" s="705" t="str">
        <f t="shared" si="590"/>
        <v/>
      </c>
      <c r="ID31" s="705" t="str">
        <f t="shared" si="590"/>
        <v/>
      </c>
      <c r="IE31" s="705" t="str">
        <f t="shared" si="590"/>
        <v/>
      </c>
      <c r="IF31" s="705" t="str">
        <f t="shared" si="590"/>
        <v/>
      </c>
      <c r="IG31" s="705" t="str">
        <f t="shared" si="590"/>
        <v/>
      </c>
      <c r="IH31" s="705" t="str">
        <f t="shared" si="590"/>
        <v/>
      </c>
      <c r="II31" s="705" t="str">
        <f t="shared" si="590"/>
        <v/>
      </c>
      <c r="IJ31" s="705" t="str">
        <f t="shared" si="590"/>
        <v/>
      </c>
      <c r="IK31" s="705" t="str">
        <f t="shared" si="590"/>
        <v/>
      </c>
      <c r="IL31" s="705" t="str">
        <f t="shared" si="590"/>
        <v/>
      </c>
      <c r="IM31" s="705" t="str">
        <f t="shared" si="590"/>
        <v/>
      </c>
      <c r="IN31" s="705" t="str">
        <f t="shared" si="590"/>
        <v/>
      </c>
      <c r="IO31" s="705" t="str">
        <f t="shared" si="590"/>
        <v/>
      </c>
      <c r="IP31" s="706" t="str">
        <f t="shared" si="590"/>
        <v/>
      </c>
      <c r="IQ31" s="354">
        <f>IF(PeerAnalysisChartType_Fin="Absolute",IQ$18,100)</f>
        <v>3.4744624383902942</v>
      </c>
      <c r="IR31" s="355" t="str">
        <f t="shared" ref="IR31:JJ31" si="591">IF(PeerAnalysisChartType_Fin="Absolute",IR$18,IFERROR((IQ$31/IQ$18)*IR$18,""))</f>
        <v/>
      </c>
      <c r="IS31" s="355" t="str">
        <f t="shared" si="591"/>
        <v/>
      </c>
      <c r="IT31" s="355" t="str">
        <f t="shared" si="591"/>
        <v/>
      </c>
      <c r="IU31" s="355" t="str">
        <f t="shared" si="591"/>
        <v/>
      </c>
      <c r="IV31" s="355" t="str">
        <f t="shared" si="591"/>
        <v/>
      </c>
      <c r="IW31" s="355" t="str">
        <f t="shared" si="591"/>
        <v/>
      </c>
      <c r="IX31" s="355" t="str">
        <f t="shared" si="591"/>
        <v/>
      </c>
      <c r="IY31" s="355" t="str">
        <f t="shared" si="591"/>
        <v/>
      </c>
      <c r="IZ31" s="355" t="str">
        <f t="shared" si="591"/>
        <v/>
      </c>
      <c r="JA31" s="355" t="str">
        <f t="shared" si="591"/>
        <v/>
      </c>
      <c r="JB31" s="355" t="str">
        <f t="shared" si="591"/>
        <v/>
      </c>
      <c r="JC31" s="355" t="str">
        <f t="shared" si="591"/>
        <v/>
      </c>
      <c r="JD31" s="355" t="str">
        <f t="shared" si="591"/>
        <v/>
      </c>
      <c r="JE31" s="355" t="str">
        <f t="shared" si="591"/>
        <v/>
      </c>
      <c r="JF31" s="355" t="str">
        <f t="shared" si="591"/>
        <v/>
      </c>
      <c r="JG31" s="355" t="str">
        <f t="shared" si="591"/>
        <v/>
      </c>
      <c r="JH31" s="355" t="str">
        <f t="shared" si="591"/>
        <v/>
      </c>
      <c r="JI31" s="355" t="str">
        <f t="shared" si="591"/>
        <v/>
      </c>
      <c r="JJ31" s="356" t="str">
        <f t="shared" si="591"/>
        <v/>
      </c>
      <c r="JK31" s="704">
        <f>IF(PeerAnalysisChartType_Fin="Absolute",JK$18,100)</f>
        <v>0.2918767670290594</v>
      </c>
      <c r="JL31" s="705" t="str">
        <f t="shared" ref="JL31:KD31" si="592">IF(PeerAnalysisChartType_Fin="Absolute",JL$18,IFERROR((JK$31/JK$18)*JL$18,""))</f>
        <v/>
      </c>
      <c r="JM31" s="705" t="str">
        <f t="shared" si="592"/>
        <v/>
      </c>
      <c r="JN31" s="705" t="str">
        <f t="shared" si="592"/>
        <v/>
      </c>
      <c r="JO31" s="705" t="str">
        <f t="shared" si="592"/>
        <v/>
      </c>
      <c r="JP31" s="705" t="str">
        <f t="shared" si="592"/>
        <v/>
      </c>
      <c r="JQ31" s="705" t="str">
        <f t="shared" si="592"/>
        <v/>
      </c>
      <c r="JR31" s="705" t="str">
        <f t="shared" si="592"/>
        <v/>
      </c>
      <c r="JS31" s="705" t="str">
        <f t="shared" si="592"/>
        <v/>
      </c>
      <c r="JT31" s="705" t="str">
        <f t="shared" si="592"/>
        <v/>
      </c>
      <c r="JU31" s="705" t="str">
        <f t="shared" si="592"/>
        <v/>
      </c>
      <c r="JV31" s="705" t="str">
        <f t="shared" si="592"/>
        <v/>
      </c>
      <c r="JW31" s="705" t="str">
        <f t="shared" si="592"/>
        <v/>
      </c>
      <c r="JX31" s="705" t="str">
        <f t="shared" si="592"/>
        <v/>
      </c>
      <c r="JY31" s="705" t="str">
        <f t="shared" si="592"/>
        <v/>
      </c>
      <c r="JZ31" s="705" t="str">
        <f t="shared" si="592"/>
        <v/>
      </c>
      <c r="KA31" s="705" t="str">
        <f t="shared" si="592"/>
        <v/>
      </c>
      <c r="KB31" s="705" t="str">
        <f t="shared" si="592"/>
        <v/>
      </c>
      <c r="KC31" s="705" t="str">
        <f t="shared" si="592"/>
        <v/>
      </c>
      <c r="KD31" s="706" t="str">
        <f t="shared" si="592"/>
        <v/>
      </c>
      <c r="KE31" s="704">
        <f>IF(PeerAnalysisChartType_Fin="Absolute",KE$18,100)</f>
        <v>0.16938716825386085</v>
      </c>
      <c r="KF31" s="705" t="str">
        <f t="shared" ref="KF31:KX31" si="593">IF(PeerAnalysisChartType_Fin="Absolute",KF$18,IFERROR((KE$31/KE$18)*KF$18,""))</f>
        <v/>
      </c>
      <c r="KG31" s="705" t="str">
        <f t="shared" si="593"/>
        <v/>
      </c>
      <c r="KH31" s="705" t="str">
        <f t="shared" si="593"/>
        <v/>
      </c>
      <c r="KI31" s="705" t="str">
        <f t="shared" si="593"/>
        <v/>
      </c>
      <c r="KJ31" s="705" t="str">
        <f t="shared" si="593"/>
        <v/>
      </c>
      <c r="KK31" s="705" t="str">
        <f t="shared" si="593"/>
        <v/>
      </c>
      <c r="KL31" s="705" t="str">
        <f t="shared" si="593"/>
        <v/>
      </c>
      <c r="KM31" s="705" t="str">
        <f t="shared" si="593"/>
        <v/>
      </c>
      <c r="KN31" s="705" t="str">
        <f t="shared" si="593"/>
        <v/>
      </c>
      <c r="KO31" s="705" t="str">
        <f t="shared" si="593"/>
        <v/>
      </c>
      <c r="KP31" s="705" t="str">
        <f t="shared" si="593"/>
        <v/>
      </c>
      <c r="KQ31" s="705" t="str">
        <f t="shared" si="593"/>
        <v/>
      </c>
      <c r="KR31" s="705" t="str">
        <f t="shared" si="593"/>
        <v/>
      </c>
      <c r="KS31" s="705" t="str">
        <f t="shared" si="593"/>
        <v/>
      </c>
      <c r="KT31" s="705" t="str">
        <f t="shared" si="593"/>
        <v/>
      </c>
      <c r="KU31" s="705" t="str">
        <f t="shared" si="593"/>
        <v/>
      </c>
      <c r="KV31" s="705" t="str">
        <f t="shared" si="593"/>
        <v/>
      </c>
      <c r="KW31" s="705" t="str">
        <f t="shared" si="593"/>
        <v/>
      </c>
      <c r="KX31" s="706" t="str">
        <f t="shared" si="593"/>
        <v/>
      </c>
      <c r="KY31" s="704">
        <f>IF(PeerAnalysisChartType_Fin="Absolute",KY$18,100)</f>
        <v>0.27141753397264007</v>
      </c>
      <c r="KZ31" s="705" t="str">
        <f t="shared" ref="KZ31:LR31" si="594">IF(PeerAnalysisChartType_Fin="Absolute",KZ$18,IFERROR((KY$31/KY$18)*KZ$18,""))</f>
        <v/>
      </c>
      <c r="LA31" s="705" t="str">
        <f t="shared" si="594"/>
        <v/>
      </c>
      <c r="LB31" s="705" t="str">
        <f t="shared" si="594"/>
        <v/>
      </c>
      <c r="LC31" s="705" t="str">
        <f t="shared" si="594"/>
        <v/>
      </c>
      <c r="LD31" s="705" t="str">
        <f t="shared" si="594"/>
        <v/>
      </c>
      <c r="LE31" s="705" t="str">
        <f t="shared" si="594"/>
        <v/>
      </c>
      <c r="LF31" s="705" t="str">
        <f t="shared" si="594"/>
        <v/>
      </c>
      <c r="LG31" s="705" t="str">
        <f t="shared" si="594"/>
        <v/>
      </c>
      <c r="LH31" s="705" t="str">
        <f t="shared" si="594"/>
        <v/>
      </c>
      <c r="LI31" s="705" t="str">
        <f t="shared" si="594"/>
        <v/>
      </c>
      <c r="LJ31" s="705" t="str">
        <f t="shared" si="594"/>
        <v/>
      </c>
      <c r="LK31" s="705" t="str">
        <f t="shared" si="594"/>
        <v/>
      </c>
      <c r="LL31" s="705" t="str">
        <f t="shared" si="594"/>
        <v/>
      </c>
      <c r="LM31" s="705" t="str">
        <f t="shared" si="594"/>
        <v/>
      </c>
      <c r="LN31" s="705" t="str">
        <f t="shared" si="594"/>
        <v/>
      </c>
      <c r="LO31" s="705" t="str">
        <f t="shared" si="594"/>
        <v/>
      </c>
      <c r="LP31" s="705" t="str">
        <f t="shared" si="594"/>
        <v/>
      </c>
      <c r="LQ31" s="705" t="str">
        <f t="shared" si="594"/>
        <v/>
      </c>
      <c r="LR31" s="706" t="str">
        <f t="shared" si="594"/>
        <v/>
      </c>
      <c r="LS31" s="704">
        <f>IF(PeerAnalysisChartType_Fin="Absolute",LS$18,100)</f>
        <v>0.24626221966647499</v>
      </c>
      <c r="LT31" s="705" t="str">
        <f t="shared" ref="LT31:ML31" si="595">IF(PeerAnalysisChartType_Fin="Absolute",LT$18,IFERROR((LS$31/LS$18)*LT$18,""))</f>
        <v/>
      </c>
      <c r="LU31" s="705" t="str">
        <f t="shared" si="595"/>
        <v/>
      </c>
      <c r="LV31" s="705" t="str">
        <f t="shared" si="595"/>
        <v/>
      </c>
      <c r="LW31" s="705" t="str">
        <f t="shared" si="595"/>
        <v/>
      </c>
      <c r="LX31" s="705" t="str">
        <f t="shared" si="595"/>
        <v/>
      </c>
      <c r="LY31" s="705" t="str">
        <f t="shared" si="595"/>
        <v/>
      </c>
      <c r="LZ31" s="705" t="str">
        <f t="shared" si="595"/>
        <v/>
      </c>
      <c r="MA31" s="705" t="str">
        <f t="shared" si="595"/>
        <v/>
      </c>
      <c r="MB31" s="705" t="str">
        <f t="shared" si="595"/>
        <v/>
      </c>
      <c r="MC31" s="705" t="str">
        <f t="shared" si="595"/>
        <v/>
      </c>
      <c r="MD31" s="707" t="str">
        <f t="shared" si="595"/>
        <v/>
      </c>
      <c r="ME31" s="705" t="str">
        <f t="shared" si="595"/>
        <v/>
      </c>
      <c r="MF31" s="705" t="str">
        <f t="shared" si="595"/>
        <v/>
      </c>
      <c r="MG31" s="705" t="str">
        <f t="shared" si="595"/>
        <v/>
      </c>
      <c r="MH31" s="705" t="str">
        <f t="shared" si="595"/>
        <v/>
      </c>
      <c r="MI31" s="705" t="str">
        <f t="shared" si="595"/>
        <v/>
      </c>
      <c r="MJ31" s="705" t="str">
        <f t="shared" si="595"/>
        <v/>
      </c>
      <c r="MK31" s="705" t="str">
        <f t="shared" si="595"/>
        <v/>
      </c>
      <c r="ML31" s="706" t="str">
        <f t="shared" si="595"/>
        <v/>
      </c>
      <c r="MM31" s="704" t="str">
        <f>IF(PeerAnalysisChartType_Fin="Absolute",MM$18,100)</f>
        <v/>
      </c>
      <c r="MN31" s="705" t="str">
        <f t="shared" ref="MN31" si="596">IF(PeerAnalysisChartType_Fin="Absolute",MN$18,IFERROR((MM$31/MM$18)*MN$18,""))</f>
        <v/>
      </c>
      <c r="MO31" s="705" t="str">
        <f t="shared" ref="MO31" si="597">IF(PeerAnalysisChartType_Fin="Absolute",MO$18,IFERROR((MN$31/MN$18)*MO$18,""))</f>
        <v/>
      </c>
      <c r="MP31" s="705" t="str">
        <f t="shared" ref="MP31" si="598">IF(PeerAnalysisChartType_Fin="Absolute",MP$18,IFERROR((MO$31/MO$18)*MP$18,""))</f>
        <v/>
      </c>
      <c r="MQ31" s="705" t="str">
        <f t="shared" ref="MQ31" si="599">IF(PeerAnalysisChartType_Fin="Absolute",MQ$18,IFERROR((MP$31/MP$18)*MQ$18,""))</f>
        <v/>
      </c>
      <c r="MR31" s="705" t="str">
        <f t="shared" ref="MR31" si="600">IF(PeerAnalysisChartType_Fin="Absolute",MR$18,IFERROR((MQ$31/MQ$18)*MR$18,""))</f>
        <v/>
      </c>
      <c r="MS31" s="705" t="str">
        <f t="shared" ref="MS31" si="601">IF(PeerAnalysisChartType_Fin="Absolute",MS$18,IFERROR((MR$31/MR$18)*MS$18,""))</f>
        <v/>
      </c>
      <c r="MT31" s="705" t="str">
        <f t="shared" ref="MT31" si="602">IF(PeerAnalysisChartType_Fin="Absolute",MT$18,IFERROR((MS$31/MS$18)*MT$18,""))</f>
        <v/>
      </c>
      <c r="MU31" s="705" t="str">
        <f t="shared" ref="MU31" si="603">IF(PeerAnalysisChartType_Fin="Absolute",MU$18,IFERROR((MT$31/MT$18)*MU$18,""))</f>
        <v/>
      </c>
      <c r="MV31" s="705" t="str">
        <f t="shared" ref="MV31" si="604">IF(PeerAnalysisChartType_Fin="Absolute",MV$18,IFERROR((MU$31/MU$18)*MV$18,""))</f>
        <v/>
      </c>
      <c r="MW31" s="705" t="str">
        <f t="shared" ref="MW31" si="605">IF(PeerAnalysisChartType_Fin="Absolute",MW$18,IFERROR((MV$31/MV$18)*MW$18,""))</f>
        <v/>
      </c>
      <c r="MX31" s="705" t="str">
        <f t="shared" ref="MX31" si="606">IF(PeerAnalysisChartType_Fin="Absolute",MX$18,IFERROR((MW$31/MW$18)*MX$18,""))</f>
        <v/>
      </c>
      <c r="MY31" s="705" t="str">
        <f t="shared" ref="MY31" si="607">IF(PeerAnalysisChartType_Fin="Absolute",MY$18,IFERROR((MX$31/MX$18)*MY$18,""))</f>
        <v/>
      </c>
      <c r="MZ31" s="705" t="str">
        <f t="shared" ref="MZ31" si="608">IF(PeerAnalysisChartType_Fin="Absolute",MZ$18,IFERROR((MY$31/MY$18)*MZ$18,""))</f>
        <v/>
      </c>
      <c r="NA31" s="705" t="str">
        <f t="shared" ref="NA31" si="609">IF(PeerAnalysisChartType_Fin="Absolute",NA$18,IFERROR((MZ$31/MZ$18)*NA$18,""))</f>
        <v/>
      </c>
      <c r="NB31" s="705" t="str">
        <f t="shared" ref="NB31" si="610">IF(PeerAnalysisChartType_Fin="Absolute",NB$18,IFERROR((NA$31/NA$18)*NB$18,""))</f>
        <v/>
      </c>
      <c r="NC31" s="705" t="str">
        <f t="shared" ref="NC31" si="611">IF(PeerAnalysisChartType_Fin="Absolute",NC$18,IFERROR((NB$31/NB$18)*NC$18,""))</f>
        <v/>
      </c>
      <c r="ND31" s="705" t="str">
        <f t="shared" ref="ND31" si="612">IF(PeerAnalysisChartType_Fin="Absolute",ND$18,IFERROR((NC$31/NC$18)*ND$18,""))</f>
        <v/>
      </c>
      <c r="NE31" s="705" t="str">
        <f t="shared" ref="NE31" si="613">IF(PeerAnalysisChartType_Fin="Absolute",NE$18,IFERROR((ND$31/ND$18)*NE$18,""))</f>
        <v/>
      </c>
      <c r="NF31" s="706" t="str">
        <f t="shared" ref="NF31" si="614">IF(PeerAnalysisChartType_Fin="Absolute",NF$18,IFERROR((NE$31/NE$18)*NF$18,""))</f>
        <v/>
      </c>
      <c r="NG31" s="704" t="str">
        <f>IF(PeerAnalysisChartType_Fin="Absolute",NG$18,100)</f>
        <v/>
      </c>
      <c r="NH31" s="705" t="str">
        <f t="shared" ref="NH31" si="615">IF(PeerAnalysisChartType_Fin="Absolute",NH$18,IFERROR((NG$31/NG$18)*NH$18,""))</f>
        <v/>
      </c>
      <c r="NI31" s="705" t="str">
        <f t="shared" ref="NI31" si="616">IF(PeerAnalysisChartType_Fin="Absolute",NI$18,IFERROR((NH$31/NH$18)*NI$18,""))</f>
        <v/>
      </c>
      <c r="NJ31" s="705" t="str">
        <f t="shared" ref="NJ31" si="617">IF(PeerAnalysisChartType_Fin="Absolute",NJ$18,IFERROR((NI$31/NI$18)*NJ$18,""))</f>
        <v/>
      </c>
      <c r="NK31" s="705" t="str">
        <f t="shared" ref="NK31" si="618">IF(PeerAnalysisChartType_Fin="Absolute",NK$18,IFERROR((NJ$31/NJ$18)*NK$18,""))</f>
        <v/>
      </c>
      <c r="NL31" s="705" t="str">
        <f t="shared" ref="NL31" si="619">IF(PeerAnalysisChartType_Fin="Absolute",NL$18,IFERROR((NK$31/NK$18)*NL$18,""))</f>
        <v/>
      </c>
      <c r="NM31" s="705" t="str">
        <f t="shared" ref="NM31" si="620">IF(PeerAnalysisChartType_Fin="Absolute",NM$18,IFERROR((NL$31/NL$18)*NM$18,""))</f>
        <v/>
      </c>
      <c r="NN31" s="705" t="str">
        <f t="shared" ref="NN31" si="621">IF(PeerAnalysisChartType_Fin="Absolute",NN$18,IFERROR((NM$31/NM$18)*NN$18,""))</f>
        <v/>
      </c>
      <c r="NO31" s="705" t="str">
        <f t="shared" ref="NO31" si="622">IF(PeerAnalysisChartType_Fin="Absolute",NO$18,IFERROR((NN$31/NN$18)*NO$18,""))</f>
        <v/>
      </c>
      <c r="NP31" s="705" t="str">
        <f t="shared" ref="NP31" si="623">IF(PeerAnalysisChartType_Fin="Absolute",NP$18,IFERROR((NO$31/NO$18)*NP$18,""))</f>
        <v/>
      </c>
      <c r="NQ31" s="705" t="str">
        <f t="shared" ref="NQ31" si="624">IF(PeerAnalysisChartType_Fin="Absolute",NQ$18,IFERROR((NP$31/NP$18)*NQ$18,""))</f>
        <v/>
      </c>
      <c r="NR31" s="707" t="str">
        <f t="shared" ref="NR31" si="625">IF(PeerAnalysisChartType_Fin="Absolute",NR$18,IFERROR((NQ$31/NQ$18)*NR$18,""))</f>
        <v/>
      </c>
      <c r="NS31" s="705" t="str">
        <f t="shared" ref="NS31" si="626">IF(PeerAnalysisChartType_Fin="Absolute",NS$18,IFERROR((NR$31/NR$18)*NS$18,""))</f>
        <v/>
      </c>
      <c r="NT31" s="705" t="str">
        <f t="shared" ref="NT31" si="627">IF(PeerAnalysisChartType_Fin="Absolute",NT$18,IFERROR((NS$31/NS$18)*NT$18,""))</f>
        <v/>
      </c>
      <c r="NU31" s="705" t="str">
        <f t="shared" ref="NU31" si="628">IF(PeerAnalysisChartType_Fin="Absolute",NU$18,IFERROR((NT$31/NT$18)*NU$18,""))</f>
        <v/>
      </c>
      <c r="NV31" s="705" t="str">
        <f t="shared" ref="NV31" si="629">IF(PeerAnalysisChartType_Fin="Absolute",NV$18,IFERROR((NU$31/NU$18)*NV$18,""))</f>
        <v/>
      </c>
      <c r="NW31" s="705" t="str">
        <f t="shared" ref="NW31" si="630">IF(PeerAnalysisChartType_Fin="Absolute",NW$18,IFERROR((NV$31/NV$18)*NW$18,""))</f>
        <v/>
      </c>
      <c r="NX31" s="705" t="str">
        <f t="shared" ref="NX31" si="631">IF(PeerAnalysisChartType_Fin="Absolute",NX$18,IFERROR((NW$31/NW$18)*NX$18,""))</f>
        <v/>
      </c>
      <c r="NY31" s="705" t="str">
        <f t="shared" ref="NY31" si="632">IF(PeerAnalysisChartType_Fin="Absolute",NY$18,IFERROR((NX$31/NX$18)*NY$18,""))</f>
        <v/>
      </c>
      <c r="NZ31" s="706" t="str">
        <f t="shared" ref="NZ31" si="633">IF(PeerAnalysisChartType_Fin="Absolute",NZ$18,IFERROR((NY$31/NY$18)*NZ$18,""))</f>
        <v/>
      </c>
      <c r="OA31" s="704" t="str">
        <f>IF(PeerAnalysisChartType_Fin="Absolute",OA$18,100)</f>
        <v/>
      </c>
      <c r="OB31" s="705" t="str">
        <f t="shared" ref="OB31" si="634">IF(PeerAnalysisChartType_Fin="Absolute",OB$18,IFERROR((OA$31/OA$18)*OB$18,""))</f>
        <v/>
      </c>
      <c r="OC31" s="705" t="str">
        <f t="shared" ref="OC31" si="635">IF(PeerAnalysisChartType_Fin="Absolute",OC$18,IFERROR((OB$31/OB$18)*OC$18,""))</f>
        <v/>
      </c>
      <c r="OD31" s="705" t="str">
        <f t="shared" ref="OD31" si="636">IF(PeerAnalysisChartType_Fin="Absolute",OD$18,IFERROR((OC$31/OC$18)*OD$18,""))</f>
        <v/>
      </c>
      <c r="OE31" s="705" t="str">
        <f t="shared" ref="OE31" si="637">IF(PeerAnalysisChartType_Fin="Absolute",OE$18,IFERROR((OD$31/OD$18)*OE$18,""))</f>
        <v/>
      </c>
      <c r="OF31" s="705" t="str">
        <f t="shared" ref="OF31" si="638">IF(PeerAnalysisChartType_Fin="Absolute",OF$18,IFERROR((OE$31/OE$18)*OF$18,""))</f>
        <v/>
      </c>
      <c r="OG31" s="705" t="str">
        <f t="shared" ref="OG31" si="639">IF(PeerAnalysisChartType_Fin="Absolute",OG$18,IFERROR((OF$31/OF$18)*OG$18,""))</f>
        <v/>
      </c>
      <c r="OH31" s="705" t="str">
        <f t="shared" ref="OH31" si="640">IF(PeerAnalysisChartType_Fin="Absolute",OH$18,IFERROR((OG$31/OG$18)*OH$18,""))</f>
        <v/>
      </c>
      <c r="OI31" s="705" t="str">
        <f t="shared" ref="OI31" si="641">IF(PeerAnalysisChartType_Fin="Absolute",OI$18,IFERROR((OH$31/OH$18)*OI$18,""))</f>
        <v/>
      </c>
      <c r="OJ31" s="705" t="str">
        <f t="shared" ref="OJ31" si="642">IF(PeerAnalysisChartType_Fin="Absolute",OJ$18,IFERROR((OI$31/OI$18)*OJ$18,""))</f>
        <v/>
      </c>
      <c r="OK31" s="705" t="str">
        <f t="shared" ref="OK31" si="643">IF(PeerAnalysisChartType_Fin="Absolute",OK$18,IFERROR((OJ$31/OJ$18)*OK$18,""))</f>
        <v/>
      </c>
      <c r="OL31" s="707" t="str">
        <f t="shared" ref="OL31" si="644">IF(PeerAnalysisChartType_Fin="Absolute",OL$18,IFERROR((OK$31/OK$18)*OL$18,""))</f>
        <v/>
      </c>
      <c r="OM31" s="705" t="str">
        <f t="shared" ref="OM31" si="645">IF(PeerAnalysisChartType_Fin="Absolute",OM$18,IFERROR((OL$31/OL$18)*OM$18,""))</f>
        <v/>
      </c>
      <c r="ON31" s="705" t="str">
        <f t="shared" ref="ON31" si="646">IF(PeerAnalysisChartType_Fin="Absolute",ON$18,IFERROR((OM$31/OM$18)*ON$18,""))</f>
        <v/>
      </c>
      <c r="OO31" s="705" t="str">
        <f t="shared" ref="OO31" si="647">IF(PeerAnalysisChartType_Fin="Absolute",OO$18,IFERROR((ON$31/ON$18)*OO$18,""))</f>
        <v/>
      </c>
      <c r="OP31" s="705" t="str">
        <f t="shared" ref="OP31" si="648">IF(PeerAnalysisChartType_Fin="Absolute",OP$18,IFERROR((OO$31/OO$18)*OP$18,""))</f>
        <v/>
      </c>
      <c r="OQ31" s="705" t="str">
        <f t="shared" ref="OQ31" si="649">IF(PeerAnalysisChartType_Fin="Absolute",OQ$18,IFERROR((OP$31/OP$18)*OQ$18,""))</f>
        <v/>
      </c>
      <c r="OR31" s="705" t="str">
        <f t="shared" ref="OR31" si="650">IF(PeerAnalysisChartType_Fin="Absolute",OR$18,IFERROR((OQ$31/OQ$18)*OR$18,""))</f>
        <v/>
      </c>
      <c r="OS31" s="705" t="str">
        <f t="shared" ref="OS31" si="651">IF(PeerAnalysisChartType_Fin="Absolute",OS$18,IFERROR((OR$31/OR$18)*OS$18,""))</f>
        <v/>
      </c>
      <c r="OT31" s="706" t="str">
        <f t="shared" ref="OT31" si="652">IF(PeerAnalysisChartType_Fin="Absolute",OT$18,IFERROR((OS$31/OS$18)*OT$18,""))</f>
        <v/>
      </c>
      <c r="OU31" s="704">
        <f>IF(PeerAnalysisChartType_Fin="Absolute",OU$18,100)</f>
        <v>0</v>
      </c>
      <c r="OV31" s="705" t="str">
        <f t="shared" ref="OV31" si="653">IF(PeerAnalysisChartType_Fin="Absolute",OV$18,IFERROR((OU$31/OU$18)*OV$18,""))</f>
        <v/>
      </c>
      <c r="OW31" s="705" t="str">
        <f t="shared" ref="OW31" si="654">IF(PeerAnalysisChartType_Fin="Absolute",OW$18,IFERROR((OV$31/OV$18)*OW$18,""))</f>
        <v/>
      </c>
      <c r="OX31" s="705" t="str">
        <f t="shared" ref="OX31" si="655">IF(PeerAnalysisChartType_Fin="Absolute",OX$18,IFERROR((OW$31/OW$18)*OX$18,""))</f>
        <v/>
      </c>
      <c r="OY31" s="705" t="str">
        <f t="shared" ref="OY31" si="656">IF(PeerAnalysisChartType_Fin="Absolute",OY$18,IFERROR((OX$31/OX$18)*OY$18,""))</f>
        <v/>
      </c>
      <c r="OZ31" s="705" t="str">
        <f t="shared" ref="OZ31" si="657">IF(PeerAnalysisChartType_Fin="Absolute",OZ$18,IFERROR((OY$31/OY$18)*OZ$18,""))</f>
        <v/>
      </c>
      <c r="PA31" s="705" t="str">
        <f t="shared" ref="PA31" si="658">IF(PeerAnalysisChartType_Fin="Absolute",PA$18,IFERROR((OZ$31/OZ$18)*PA$18,""))</f>
        <v/>
      </c>
      <c r="PB31" s="705" t="str">
        <f t="shared" ref="PB31" si="659">IF(PeerAnalysisChartType_Fin="Absolute",PB$18,IFERROR((PA$31/PA$18)*PB$18,""))</f>
        <v/>
      </c>
      <c r="PC31" s="705" t="str">
        <f t="shared" ref="PC31" si="660">IF(PeerAnalysisChartType_Fin="Absolute",PC$18,IFERROR((PB$31/PB$18)*PC$18,""))</f>
        <v/>
      </c>
      <c r="PD31" s="705" t="str">
        <f t="shared" ref="PD31" si="661">IF(PeerAnalysisChartType_Fin="Absolute",PD$18,IFERROR((PC$31/PC$18)*PD$18,""))</f>
        <v/>
      </c>
      <c r="PE31" s="705" t="str">
        <f t="shared" ref="PE31" si="662">IF(PeerAnalysisChartType_Fin="Absolute",PE$18,IFERROR((PD$31/PD$18)*PE$18,""))</f>
        <v/>
      </c>
      <c r="PF31" s="707" t="str">
        <f t="shared" ref="PF31" si="663">IF(PeerAnalysisChartType_Fin="Absolute",PF$18,IFERROR((PE$31/PE$18)*PF$18,""))</f>
        <v/>
      </c>
      <c r="PG31" s="705" t="str">
        <f t="shared" ref="PG31" si="664">IF(PeerAnalysisChartType_Fin="Absolute",PG$18,IFERROR((PF$31/PF$18)*PG$18,""))</f>
        <v/>
      </c>
      <c r="PH31" s="705" t="str">
        <f t="shared" ref="PH31" si="665">IF(PeerAnalysisChartType_Fin="Absolute",PH$18,IFERROR((PG$31/PG$18)*PH$18,""))</f>
        <v/>
      </c>
      <c r="PI31" s="705" t="str">
        <f t="shared" ref="PI31" si="666">IF(PeerAnalysisChartType_Fin="Absolute",PI$18,IFERROR((PH$31/PH$18)*PI$18,""))</f>
        <v/>
      </c>
      <c r="PJ31" s="705" t="str">
        <f t="shared" ref="PJ31" si="667">IF(PeerAnalysisChartType_Fin="Absolute",PJ$18,IFERROR((PI$31/PI$18)*PJ$18,""))</f>
        <v/>
      </c>
      <c r="PK31" s="705" t="str">
        <f t="shared" ref="PK31" si="668">IF(PeerAnalysisChartType_Fin="Absolute",PK$18,IFERROR((PJ$31/PJ$18)*PK$18,""))</f>
        <v/>
      </c>
      <c r="PL31" s="705" t="str">
        <f t="shared" ref="PL31" si="669">IF(PeerAnalysisChartType_Fin="Absolute",PL$18,IFERROR((PK$31/PK$18)*PL$18,""))</f>
        <v/>
      </c>
      <c r="PM31" s="705" t="str">
        <f t="shared" ref="PM31" si="670">IF(PeerAnalysisChartType_Fin="Absolute",PM$18,IFERROR((PL$31/PL$18)*PM$18,""))</f>
        <v/>
      </c>
      <c r="PN31" s="706" t="str">
        <f t="shared" ref="PN31" si="671">IF(PeerAnalysisChartType_Fin="Absolute",PN$18,IFERROR((PM$31/PM$18)*PN$18,""))</f>
        <v/>
      </c>
      <c r="PO31" s="704">
        <f>IF(PeerAnalysisChartType_Fin="Absolute",PO$18,100)</f>
        <v>0.62307779377886319</v>
      </c>
      <c r="PP31" s="705" t="str">
        <f t="shared" ref="PP31" si="672">IF(PeerAnalysisChartType_Fin="Absolute",PP$18,IFERROR((PO$31/PO$18)*PP$18,""))</f>
        <v/>
      </c>
      <c r="PQ31" s="705" t="str">
        <f t="shared" ref="PQ31" si="673">IF(PeerAnalysisChartType_Fin="Absolute",PQ$18,IFERROR((PP$31/PP$18)*PQ$18,""))</f>
        <v/>
      </c>
      <c r="PR31" s="705" t="str">
        <f t="shared" ref="PR31" si="674">IF(PeerAnalysisChartType_Fin="Absolute",PR$18,IFERROR((PQ$31/PQ$18)*PR$18,""))</f>
        <v/>
      </c>
      <c r="PS31" s="705" t="str">
        <f t="shared" ref="PS31" si="675">IF(PeerAnalysisChartType_Fin="Absolute",PS$18,IFERROR((PR$31/PR$18)*PS$18,""))</f>
        <v/>
      </c>
      <c r="PT31" s="705" t="str">
        <f t="shared" ref="PT31" si="676">IF(PeerAnalysisChartType_Fin="Absolute",PT$18,IFERROR((PS$31/PS$18)*PT$18,""))</f>
        <v/>
      </c>
      <c r="PU31" s="705" t="str">
        <f t="shared" ref="PU31" si="677">IF(PeerAnalysisChartType_Fin="Absolute",PU$18,IFERROR((PT$31/PT$18)*PU$18,""))</f>
        <v/>
      </c>
      <c r="PV31" s="705" t="str">
        <f t="shared" ref="PV31" si="678">IF(PeerAnalysisChartType_Fin="Absolute",PV$18,IFERROR((PU$31/PU$18)*PV$18,""))</f>
        <v/>
      </c>
      <c r="PW31" s="705" t="str">
        <f t="shared" ref="PW31" si="679">IF(PeerAnalysisChartType_Fin="Absolute",PW$18,IFERROR((PV$31/PV$18)*PW$18,""))</f>
        <v/>
      </c>
      <c r="PX31" s="705" t="str">
        <f t="shared" ref="PX31" si="680">IF(PeerAnalysisChartType_Fin="Absolute",PX$18,IFERROR((PW$31/PW$18)*PX$18,""))</f>
        <v/>
      </c>
      <c r="PY31" s="705" t="str">
        <f t="shared" ref="PY31" si="681">IF(PeerAnalysisChartType_Fin="Absolute",PY$18,IFERROR((PX$31/PX$18)*PY$18,""))</f>
        <v/>
      </c>
      <c r="PZ31" s="707" t="str">
        <f t="shared" ref="PZ31" si="682">IF(PeerAnalysisChartType_Fin="Absolute",PZ$18,IFERROR((PY$31/PY$18)*PZ$18,""))</f>
        <v/>
      </c>
      <c r="QA31" s="705" t="str">
        <f t="shared" ref="QA31" si="683">IF(PeerAnalysisChartType_Fin="Absolute",QA$18,IFERROR((PZ$31/PZ$18)*QA$18,""))</f>
        <v/>
      </c>
      <c r="QB31" s="705" t="str">
        <f t="shared" ref="QB31" si="684">IF(PeerAnalysisChartType_Fin="Absolute",QB$18,IFERROR((QA$31/QA$18)*QB$18,""))</f>
        <v/>
      </c>
      <c r="QC31" s="705" t="str">
        <f t="shared" ref="QC31" si="685">IF(PeerAnalysisChartType_Fin="Absolute",QC$18,IFERROR((QB$31/QB$18)*QC$18,""))</f>
        <v/>
      </c>
      <c r="QD31" s="705" t="str">
        <f t="shared" ref="QD31" si="686">IF(PeerAnalysisChartType_Fin="Absolute",QD$18,IFERROR((QC$31/QC$18)*QD$18,""))</f>
        <v/>
      </c>
      <c r="QE31" s="705" t="str">
        <f t="shared" ref="QE31" si="687">IF(PeerAnalysisChartType_Fin="Absolute",QE$18,IFERROR((QD$31/QD$18)*QE$18,""))</f>
        <v/>
      </c>
      <c r="QF31" s="705" t="str">
        <f t="shared" ref="QF31" si="688">IF(PeerAnalysisChartType_Fin="Absolute",QF$18,IFERROR((QE$31/QE$18)*QF$18,""))</f>
        <v/>
      </c>
      <c r="QG31" s="705" t="str">
        <f t="shared" ref="QG31" si="689">IF(PeerAnalysisChartType_Fin="Absolute",QG$18,IFERROR((QF$31/QF$18)*QG$18,""))</f>
        <v/>
      </c>
      <c r="QH31" s="706" t="str">
        <f t="shared" ref="QH31" si="690">IF(PeerAnalysisChartType_Fin="Absolute",QH$18,IFERROR((QG$31/QG$18)*QH$18,""))</f>
        <v/>
      </c>
      <c r="QI31" s="704" t="str">
        <f>IF(PeerAnalysisChartType_Fin="Absolute",QI$18,100)</f>
        <v/>
      </c>
      <c r="QJ31" s="705" t="str">
        <f t="shared" ref="QJ31" si="691">IF(PeerAnalysisChartType_Fin="Absolute",QJ$18,IFERROR((QI$31/QI$18)*QJ$18,""))</f>
        <v/>
      </c>
      <c r="QK31" s="705" t="str">
        <f t="shared" ref="QK31" si="692">IF(PeerAnalysisChartType_Fin="Absolute",QK$18,IFERROR((QJ$31/QJ$18)*QK$18,""))</f>
        <v/>
      </c>
      <c r="QL31" s="705" t="str">
        <f t="shared" ref="QL31" si="693">IF(PeerAnalysisChartType_Fin="Absolute",QL$18,IFERROR((QK$31/QK$18)*QL$18,""))</f>
        <v/>
      </c>
      <c r="QM31" s="705" t="str">
        <f t="shared" ref="QM31" si="694">IF(PeerAnalysisChartType_Fin="Absolute",QM$18,IFERROR((QL$31/QL$18)*QM$18,""))</f>
        <v/>
      </c>
      <c r="QN31" s="705" t="str">
        <f t="shared" ref="QN31" si="695">IF(PeerAnalysisChartType_Fin="Absolute",QN$18,IFERROR((QM$31/QM$18)*QN$18,""))</f>
        <v/>
      </c>
      <c r="QO31" s="705" t="str">
        <f t="shared" ref="QO31" si="696">IF(PeerAnalysisChartType_Fin="Absolute",QO$18,IFERROR((QN$31/QN$18)*QO$18,""))</f>
        <v/>
      </c>
      <c r="QP31" s="705" t="str">
        <f t="shared" ref="QP31" si="697">IF(PeerAnalysisChartType_Fin="Absolute",QP$18,IFERROR((QO$31/QO$18)*QP$18,""))</f>
        <v/>
      </c>
      <c r="QQ31" s="705" t="str">
        <f t="shared" ref="QQ31" si="698">IF(PeerAnalysisChartType_Fin="Absolute",QQ$18,IFERROR((QP$31/QP$18)*QQ$18,""))</f>
        <v/>
      </c>
      <c r="QR31" s="705" t="str">
        <f t="shared" ref="QR31" si="699">IF(PeerAnalysisChartType_Fin="Absolute",QR$18,IFERROR((QQ$31/QQ$18)*QR$18,""))</f>
        <v/>
      </c>
      <c r="QS31" s="705" t="str">
        <f t="shared" ref="QS31" si="700">IF(PeerAnalysisChartType_Fin="Absolute",QS$18,IFERROR((QR$31/QR$18)*QS$18,""))</f>
        <v/>
      </c>
      <c r="QT31" s="707" t="str">
        <f t="shared" ref="QT31" si="701">IF(PeerAnalysisChartType_Fin="Absolute",QT$18,IFERROR((QS$31/QS$18)*QT$18,""))</f>
        <v/>
      </c>
      <c r="QU31" s="705" t="str">
        <f t="shared" ref="QU31" si="702">IF(PeerAnalysisChartType_Fin="Absolute",QU$18,IFERROR((QT$31/QT$18)*QU$18,""))</f>
        <v/>
      </c>
      <c r="QV31" s="705" t="str">
        <f t="shared" ref="QV31" si="703">IF(PeerAnalysisChartType_Fin="Absolute",QV$18,IFERROR((QU$31/QU$18)*QV$18,""))</f>
        <v/>
      </c>
      <c r="QW31" s="705" t="str">
        <f t="shared" ref="QW31" si="704">IF(PeerAnalysisChartType_Fin="Absolute",QW$18,IFERROR((QV$31/QV$18)*QW$18,""))</f>
        <v/>
      </c>
      <c r="QX31" s="705" t="str">
        <f t="shared" ref="QX31" si="705">IF(PeerAnalysisChartType_Fin="Absolute",QX$18,IFERROR((QW$31/QW$18)*QX$18,""))</f>
        <v/>
      </c>
      <c r="QY31" s="705" t="str">
        <f t="shared" ref="QY31" si="706">IF(PeerAnalysisChartType_Fin="Absolute",QY$18,IFERROR((QX$31/QX$18)*QY$18,""))</f>
        <v/>
      </c>
      <c r="QZ31" s="705" t="str">
        <f t="shared" ref="QZ31" si="707">IF(PeerAnalysisChartType_Fin="Absolute",QZ$18,IFERROR((QY$31/QY$18)*QZ$18,""))</f>
        <v/>
      </c>
      <c r="RA31" s="705" t="str">
        <f t="shared" ref="RA31" si="708">IF(PeerAnalysisChartType_Fin="Absolute",RA$18,IFERROR((QZ$31/QZ$18)*RA$18,""))</f>
        <v/>
      </c>
      <c r="RB31" s="706" t="str">
        <f t="shared" ref="RB31" si="709">IF(PeerAnalysisChartType_Fin="Absolute",RB$18,IFERROR((RA$31/RA$18)*RB$18,""))</f>
        <v/>
      </c>
      <c r="RC31" s="713" t="str">
        <f>IF(PeerAnalysisChartType_Fin="Absolute",RC$18,100)</f>
        <v/>
      </c>
      <c r="RD31" s="714" t="str">
        <f t="shared" ref="RD31" si="710">IF(PeerAnalysisChartType_Fin="Absolute",RD$18,IFERROR((RC$31/RC$18)*RD$18,""))</f>
        <v/>
      </c>
      <c r="RE31" s="714" t="str">
        <f t="shared" ref="RE31" si="711">IF(PeerAnalysisChartType_Fin="Absolute",RE$18,IFERROR((RD$31/RD$18)*RE$18,""))</f>
        <v/>
      </c>
      <c r="RF31" s="714" t="str">
        <f t="shared" ref="RF31" si="712">IF(PeerAnalysisChartType_Fin="Absolute",RF$18,IFERROR((RE$31/RE$18)*RF$18,""))</f>
        <v/>
      </c>
      <c r="RG31" s="714" t="str">
        <f t="shared" ref="RG31" si="713">IF(PeerAnalysisChartType_Fin="Absolute",RG$18,IFERROR((RF$31/RF$18)*RG$18,""))</f>
        <v/>
      </c>
      <c r="RH31" s="714" t="str">
        <f t="shared" ref="RH31" si="714">IF(PeerAnalysisChartType_Fin="Absolute",RH$18,IFERROR((RG$31/RG$18)*RH$18,""))</f>
        <v/>
      </c>
      <c r="RI31" s="714" t="str">
        <f t="shared" ref="RI31" si="715">IF(PeerAnalysisChartType_Fin="Absolute",RI$18,IFERROR((RH$31/RH$18)*RI$18,""))</f>
        <v/>
      </c>
      <c r="RJ31" s="714" t="str">
        <f t="shared" ref="RJ31" si="716">IF(PeerAnalysisChartType_Fin="Absolute",RJ$18,IFERROR((RI$31/RI$18)*RJ$18,""))</f>
        <v/>
      </c>
      <c r="RK31" s="714" t="str">
        <f t="shared" ref="RK31" si="717">IF(PeerAnalysisChartType_Fin="Absolute",RK$18,IFERROR((RJ$31/RJ$18)*RK$18,""))</f>
        <v/>
      </c>
      <c r="RL31" s="714" t="str">
        <f t="shared" ref="RL31" si="718">IF(PeerAnalysisChartType_Fin="Absolute",RL$18,IFERROR((RK$31/RK$18)*RL$18,""))</f>
        <v/>
      </c>
      <c r="RM31" s="714" t="str">
        <f t="shared" ref="RM31" si="719">IF(PeerAnalysisChartType_Fin="Absolute",RM$18,IFERROR((RL$31/RL$18)*RM$18,""))</f>
        <v/>
      </c>
      <c r="RN31" s="715" t="str">
        <f t="shared" ref="RN31" si="720">IF(PeerAnalysisChartType_Fin="Absolute",RN$18,IFERROR((RM$31/RM$18)*RN$18,""))</f>
        <v/>
      </c>
      <c r="RO31" s="714" t="str">
        <f t="shared" ref="RO31" si="721">IF(PeerAnalysisChartType_Fin="Absolute",RO$18,IFERROR((RN$31/RN$18)*RO$18,""))</f>
        <v/>
      </c>
      <c r="RP31" s="714" t="str">
        <f t="shared" ref="RP31" si="722">IF(PeerAnalysisChartType_Fin="Absolute",RP$18,IFERROR((RO$31/RO$18)*RP$18,""))</f>
        <v/>
      </c>
      <c r="RQ31" s="714" t="str">
        <f t="shared" ref="RQ31" si="723">IF(PeerAnalysisChartType_Fin="Absolute",RQ$18,IFERROR((RP$31/RP$18)*RQ$18,""))</f>
        <v/>
      </c>
      <c r="RR31" s="714" t="str">
        <f t="shared" ref="RR31" si="724">IF(PeerAnalysisChartType_Fin="Absolute",RR$18,IFERROR((RQ$31/RQ$18)*RR$18,""))</f>
        <v/>
      </c>
      <c r="RS31" s="714" t="str">
        <f t="shared" ref="RS31" si="725">IF(PeerAnalysisChartType_Fin="Absolute",RS$18,IFERROR((RR$31/RR$18)*RS$18,""))</f>
        <v/>
      </c>
      <c r="RT31" s="714" t="str">
        <f t="shared" ref="RT31" si="726">IF(PeerAnalysisChartType_Fin="Absolute",RT$18,IFERROR((RS$31/RS$18)*RT$18,""))</f>
        <v/>
      </c>
      <c r="RU31" s="714" t="str">
        <f t="shared" ref="RU31" si="727">IF(PeerAnalysisChartType_Fin="Absolute",RU$18,IFERROR((RT$31/RT$18)*RU$18,""))</f>
        <v/>
      </c>
      <c r="RV31" s="716" t="str">
        <f t="shared" ref="RV31" si="728">IF(PeerAnalysisChartType_Fin="Absolute",RV$18,IFERROR((RU$31/RU$18)*RV$18,""))</f>
        <v/>
      </c>
      <c r="RW31" s="704" t="str">
        <f>IF(PeerAnalysisChartType_Fin="Absolute",RW$18,100)</f>
        <v/>
      </c>
      <c r="RX31" s="705" t="str">
        <f t="shared" ref="RX31" si="729">IF(PeerAnalysisChartType_Fin="Absolute",RX$18,IFERROR((RW$31/RW$18)*RX$18,""))</f>
        <v/>
      </c>
      <c r="RY31" s="705" t="str">
        <f t="shared" ref="RY31" si="730">IF(PeerAnalysisChartType_Fin="Absolute",RY$18,IFERROR((RX$31/RX$18)*RY$18,""))</f>
        <v/>
      </c>
      <c r="RZ31" s="705" t="str">
        <f t="shared" ref="RZ31" si="731">IF(PeerAnalysisChartType_Fin="Absolute",RZ$18,IFERROR((RY$31/RY$18)*RZ$18,""))</f>
        <v/>
      </c>
      <c r="SA31" s="705" t="str">
        <f t="shared" ref="SA31" si="732">IF(PeerAnalysisChartType_Fin="Absolute",SA$18,IFERROR((RZ$31/RZ$18)*SA$18,""))</f>
        <v/>
      </c>
      <c r="SB31" s="705" t="str">
        <f t="shared" ref="SB31" si="733">IF(PeerAnalysisChartType_Fin="Absolute",SB$18,IFERROR((SA$31/SA$18)*SB$18,""))</f>
        <v/>
      </c>
      <c r="SC31" s="705" t="str">
        <f t="shared" ref="SC31" si="734">IF(PeerAnalysisChartType_Fin="Absolute",SC$18,IFERROR((SB$31/SB$18)*SC$18,""))</f>
        <v/>
      </c>
      <c r="SD31" s="705" t="str">
        <f t="shared" ref="SD31" si="735">IF(PeerAnalysisChartType_Fin="Absolute",SD$18,IFERROR((SC$31/SC$18)*SD$18,""))</f>
        <v/>
      </c>
      <c r="SE31" s="705" t="str">
        <f t="shared" ref="SE31" si="736">IF(PeerAnalysisChartType_Fin="Absolute",SE$18,IFERROR((SD$31/SD$18)*SE$18,""))</f>
        <v/>
      </c>
      <c r="SF31" s="705" t="str">
        <f t="shared" ref="SF31" si="737">IF(PeerAnalysisChartType_Fin="Absolute",SF$18,IFERROR((SE$31/SE$18)*SF$18,""))</f>
        <v/>
      </c>
      <c r="SG31" s="705" t="str">
        <f t="shared" ref="SG31" si="738">IF(PeerAnalysisChartType_Fin="Absolute",SG$18,IFERROR((SF$31/SF$18)*SG$18,""))</f>
        <v/>
      </c>
      <c r="SH31" s="707" t="str">
        <f t="shared" ref="SH31" si="739">IF(PeerAnalysisChartType_Fin="Absolute",SH$18,IFERROR((SG$31/SG$18)*SH$18,""))</f>
        <v/>
      </c>
      <c r="SI31" s="705" t="str">
        <f t="shared" ref="SI31" si="740">IF(PeerAnalysisChartType_Fin="Absolute",SI$18,IFERROR((SH$31/SH$18)*SI$18,""))</f>
        <v/>
      </c>
      <c r="SJ31" s="705" t="str">
        <f t="shared" ref="SJ31" si="741">IF(PeerAnalysisChartType_Fin="Absolute",SJ$18,IFERROR((SI$31/SI$18)*SJ$18,""))</f>
        <v/>
      </c>
      <c r="SK31" s="705" t="str">
        <f t="shared" ref="SK31" si="742">IF(PeerAnalysisChartType_Fin="Absolute",SK$18,IFERROR((SJ$31/SJ$18)*SK$18,""))</f>
        <v/>
      </c>
      <c r="SL31" s="705" t="str">
        <f t="shared" ref="SL31" si="743">IF(PeerAnalysisChartType_Fin="Absolute",SL$18,IFERROR((SK$31/SK$18)*SL$18,""))</f>
        <v/>
      </c>
      <c r="SM31" s="705" t="str">
        <f t="shared" ref="SM31" si="744">IF(PeerAnalysisChartType_Fin="Absolute",SM$18,IFERROR((SL$31/SL$18)*SM$18,""))</f>
        <v/>
      </c>
      <c r="SN31" s="705" t="str">
        <f t="shared" ref="SN31" si="745">IF(PeerAnalysisChartType_Fin="Absolute",SN$18,IFERROR((SM$31/SM$18)*SN$18,""))</f>
        <v/>
      </c>
      <c r="SO31" s="705" t="str">
        <f t="shared" ref="SO31" si="746">IF(PeerAnalysisChartType_Fin="Absolute",SO$18,IFERROR((SN$31/SN$18)*SO$18,""))</f>
        <v/>
      </c>
      <c r="SP31" s="706" t="str">
        <f t="shared" ref="SP31" si="747">IF(PeerAnalysisChartType_Fin="Absolute",SP$18,IFERROR((SO$31/SO$18)*SP$18,""))</f>
        <v/>
      </c>
      <c r="SQ31" s="704">
        <f>IF(PeerAnalysisChartType_Fin="Absolute",SQ$18,100)</f>
        <v>0</v>
      </c>
      <c r="SR31" s="705" t="str">
        <f t="shared" ref="SR31" si="748">IF(PeerAnalysisChartType_Fin="Absolute",SR$18,IFERROR((SQ$31/SQ$18)*SR$18,""))</f>
        <v/>
      </c>
      <c r="SS31" s="705" t="str">
        <f t="shared" ref="SS31" si="749">IF(PeerAnalysisChartType_Fin="Absolute",SS$18,IFERROR((SR$31/SR$18)*SS$18,""))</f>
        <v/>
      </c>
      <c r="ST31" s="705" t="str">
        <f t="shared" ref="ST31" si="750">IF(PeerAnalysisChartType_Fin="Absolute",ST$18,IFERROR((SS$31/SS$18)*ST$18,""))</f>
        <v/>
      </c>
      <c r="SU31" s="705" t="str">
        <f t="shared" ref="SU31" si="751">IF(PeerAnalysisChartType_Fin="Absolute",SU$18,IFERROR((ST$31/ST$18)*SU$18,""))</f>
        <v/>
      </c>
      <c r="SV31" s="705" t="str">
        <f t="shared" ref="SV31" si="752">IF(PeerAnalysisChartType_Fin="Absolute",SV$18,IFERROR((SU$31/SU$18)*SV$18,""))</f>
        <v/>
      </c>
      <c r="SW31" s="705" t="str">
        <f t="shared" ref="SW31" si="753">IF(PeerAnalysisChartType_Fin="Absolute",SW$18,IFERROR((SV$31/SV$18)*SW$18,""))</f>
        <v/>
      </c>
      <c r="SX31" s="705" t="str">
        <f t="shared" ref="SX31" si="754">IF(PeerAnalysisChartType_Fin="Absolute",SX$18,IFERROR((SW$31/SW$18)*SX$18,""))</f>
        <v/>
      </c>
      <c r="SY31" s="705" t="str">
        <f t="shared" ref="SY31" si="755">IF(PeerAnalysisChartType_Fin="Absolute",SY$18,IFERROR((SX$31/SX$18)*SY$18,""))</f>
        <v/>
      </c>
      <c r="SZ31" s="705" t="str">
        <f t="shared" ref="SZ31" si="756">IF(PeerAnalysisChartType_Fin="Absolute",SZ$18,IFERROR((SY$31/SY$18)*SZ$18,""))</f>
        <v/>
      </c>
      <c r="TA31" s="705" t="str">
        <f t="shared" ref="TA31" si="757">IF(PeerAnalysisChartType_Fin="Absolute",TA$18,IFERROR((SZ$31/SZ$18)*TA$18,""))</f>
        <v/>
      </c>
      <c r="TB31" s="707" t="str">
        <f t="shared" ref="TB31" si="758">IF(PeerAnalysisChartType_Fin="Absolute",TB$18,IFERROR((TA$31/TA$18)*TB$18,""))</f>
        <v/>
      </c>
      <c r="TC31" s="705" t="str">
        <f t="shared" ref="TC31" si="759">IF(PeerAnalysisChartType_Fin="Absolute",TC$18,IFERROR((TB$31/TB$18)*TC$18,""))</f>
        <v/>
      </c>
      <c r="TD31" s="705" t="str">
        <f t="shared" ref="TD31" si="760">IF(PeerAnalysisChartType_Fin="Absolute",TD$18,IFERROR((TC$31/TC$18)*TD$18,""))</f>
        <v/>
      </c>
      <c r="TE31" s="705" t="str">
        <f t="shared" ref="TE31" si="761">IF(PeerAnalysisChartType_Fin="Absolute",TE$18,IFERROR((TD$31/TD$18)*TE$18,""))</f>
        <v/>
      </c>
      <c r="TF31" s="705" t="str">
        <f t="shared" ref="TF31" si="762">IF(PeerAnalysisChartType_Fin="Absolute",TF$18,IFERROR((TE$31/TE$18)*TF$18,""))</f>
        <v/>
      </c>
      <c r="TG31" s="705" t="str">
        <f t="shared" ref="TG31" si="763">IF(PeerAnalysisChartType_Fin="Absolute",TG$18,IFERROR((TF$31/TF$18)*TG$18,""))</f>
        <v/>
      </c>
      <c r="TH31" s="705" t="str">
        <f t="shared" ref="TH31" si="764">IF(PeerAnalysisChartType_Fin="Absolute",TH$18,IFERROR((TG$31/TG$18)*TH$18,""))</f>
        <v/>
      </c>
      <c r="TI31" s="705" t="str">
        <f t="shared" ref="TI31" si="765">IF(PeerAnalysisChartType_Fin="Absolute",TI$18,IFERROR((TH$31/TH$18)*TI$18,""))</f>
        <v/>
      </c>
      <c r="TJ31" s="706" t="str">
        <f t="shared" ref="TJ31" si="766">IF(PeerAnalysisChartType_Fin="Absolute",TJ$18,IFERROR((TI$31/TI$18)*TJ$18,""))</f>
        <v/>
      </c>
      <c r="TK31" s="704" t="str">
        <f>IF(PeerAnalysisChartType_Fin="Absolute",TK$18,100)</f>
        <v/>
      </c>
      <c r="TL31" s="705" t="str">
        <f t="shared" ref="TL31" si="767">IF(PeerAnalysisChartType_Fin="Absolute",TL$18,IFERROR((TK$31/TK$18)*TL$18,""))</f>
        <v/>
      </c>
      <c r="TM31" s="705" t="str">
        <f t="shared" ref="TM31" si="768">IF(PeerAnalysisChartType_Fin="Absolute",TM$18,IFERROR((TL$31/TL$18)*TM$18,""))</f>
        <v/>
      </c>
      <c r="TN31" s="705" t="str">
        <f t="shared" ref="TN31" si="769">IF(PeerAnalysisChartType_Fin="Absolute",TN$18,IFERROR((TM$31/TM$18)*TN$18,""))</f>
        <v/>
      </c>
      <c r="TO31" s="705" t="str">
        <f t="shared" ref="TO31" si="770">IF(PeerAnalysisChartType_Fin="Absolute",TO$18,IFERROR((TN$31/TN$18)*TO$18,""))</f>
        <v/>
      </c>
      <c r="TP31" s="705" t="str">
        <f t="shared" ref="TP31" si="771">IF(PeerAnalysisChartType_Fin="Absolute",TP$18,IFERROR((TO$31/TO$18)*TP$18,""))</f>
        <v/>
      </c>
      <c r="TQ31" s="705" t="str">
        <f t="shared" ref="TQ31" si="772">IF(PeerAnalysisChartType_Fin="Absolute",TQ$18,IFERROR((TP$31/TP$18)*TQ$18,""))</f>
        <v/>
      </c>
      <c r="TR31" s="705" t="str">
        <f t="shared" ref="TR31" si="773">IF(PeerAnalysisChartType_Fin="Absolute",TR$18,IFERROR((TQ$31/TQ$18)*TR$18,""))</f>
        <v/>
      </c>
      <c r="TS31" s="705" t="str">
        <f t="shared" ref="TS31" si="774">IF(PeerAnalysisChartType_Fin="Absolute",TS$18,IFERROR((TR$31/TR$18)*TS$18,""))</f>
        <v/>
      </c>
      <c r="TT31" s="705" t="str">
        <f t="shared" ref="TT31" si="775">IF(PeerAnalysisChartType_Fin="Absolute",TT$18,IFERROR((TS$31/TS$18)*TT$18,""))</f>
        <v/>
      </c>
      <c r="TU31" s="705" t="str">
        <f t="shared" ref="TU31" si="776">IF(PeerAnalysisChartType_Fin="Absolute",TU$18,IFERROR((TT$31/TT$18)*TU$18,""))</f>
        <v/>
      </c>
      <c r="TV31" s="707" t="str">
        <f t="shared" ref="TV31" si="777">IF(PeerAnalysisChartType_Fin="Absolute",TV$18,IFERROR((TU$31/TU$18)*TV$18,""))</f>
        <v/>
      </c>
      <c r="TW31" s="705" t="str">
        <f t="shared" ref="TW31" si="778">IF(PeerAnalysisChartType_Fin="Absolute",TW$18,IFERROR((TV$31/TV$18)*TW$18,""))</f>
        <v/>
      </c>
      <c r="TX31" s="705" t="str">
        <f t="shared" ref="TX31" si="779">IF(PeerAnalysisChartType_Fin="Absolute",TX$18,IFERROR((TW$31/TW$18)*TX$18,""))</f>
        <v/>
      </c>
      <c r="TY31" s="705" t="str">
        <f t="shared" ref="TY31" si="780">IF(PeerAnalysisChartType_Fin="Absolute",TY$18,IFERROR((TX$31/TX$18)*TY$18,""))</f>
        <v/>
      </c>
      <c r="TZ31" s="705" t="str">
        <f t="shared" ref="TZ31" si="781">IF(PeerAnalysisChartType_Fin="Absolute",TZ$18,IFERROR((TY$31/TY$18)*TZ$18,""))</f>
        <v/>
      </c>
      <c r="UA31" s="705" t="str">
        <f t="shared" ref="UA31" si="782">IF(PeerAnalysisChartType_Fin="Absolute",UA$18,IFERROR((TZ$31/TZ$18)*UA$18,""))</f>
        <v/>
      </c>
      <c r="UB31" s="705" t="str">
        <f t="shared" ref="UB31" si="783">IF(PeerAnalysisChartType_Fin="Absolute",UB$18,IFERROR((UA$31/UA$18)*UB$18,""))</f>
        <v/>
      </c>
      <c r="UC31" s="705" t="str">
        <f t="shared" ref="UC31" si="784">IF(PeerAnalysisChartType_Fin="Absolute",UC$18,IFERROR((UB$31/UB$18)*UC$18,""))</f>
        <v/>
      </c>
      <c r="UD31" s="706" t="str">
        <f t="shared" ref="UD31" si="785">IF(PeerAnalysisChartType_Fin="Absolute",UD$18,IFERROR((UC$31/UC$18)*UD$18,""))</f>
        <v/>
      </c>
      <c r="UE31" s="704">
        <f>IF(PeerAnalysisChartType_Fin="Absolute",UE$18,100)</f>
        <v>0</v>
      </c>
      <c r="UF31" s="705" t="str">
        <f t="shared" ref="UF31" si="786">IF(PeerAnalysisChartType_Fin="Absolute",UF$18,IFERROR((UE$31/UE$18)*UF$18,""))</f>
        <v/>
      </c>
      <c r="UG31" s="705" t="str">
        <f t="shared" ref="UG31" si="787">IF(PeerAnalysisChartType_Fin="Absolute",UG$18,IFERROR((UF$31/UF$18)*UG$18,""))</f>
        <v/>
      </c>
      <c r="UH31" s="705" t="str">
        <f t="shared" ref="UH31" si="788">IF(PeerAnalysisChartType_Fin="Absolute",UH$18,IFERROR((UG$31/UG$18)*UH$18,""))</f>
        <v/>
      </c>
      <c r="UI31" s="705" t="str">
        <f t="shared" ref="UI31" si="789">IF(PeerAnalysisChartType_Fin="Absolute",UI$18,IFERROR((UH$31/UH$18)*UI$18,""))</f>
        <v/>
      </c>
      <c r="UJ31" s="705" t="str">
        <f t="shared" ref="UJ31" si="790">IF(PeerAnalysisChartType_Fin="Absolute",UJ$18,IFERROR((UI$31/UI$18)*UJ$18,""))</f>
        <v/>
      </c>
      <c r="UK31" s="705" t="str">
        <f t="shared" ref="UK31" si="791">IF(PeerAnalysisChartType_Fin="Absolute",UK$18,IFERROR((UJ$31/UJ$18)*UK$18,""))</f>
        <v/>
      </c>
      <c r="UL31" s="705" t="str">
        <f t="shared" ref="UL31" si="792">IF(PeerAnalysisChartType_Fin="Absolute",UL$18,IFERROR((UK$31/UK$18)*UL$18,""))</f>
        <v/>
      </c>
      <c r="UM31" s="705" t="str">
        <f t="shared" ref="UM31" si="793">IF(PeerAnalysisChartType_Fin="Absolute",UM$18,IFERROR((UL$31/UL$18)*UM$18,""))</f>
        <v/>
      </c>
      <c r="UN31" s="705" t="str">
        <f t="shared" ref="UN31" si="794">IF(PeerAnalysisChartType_Fin="Absolute",UN$18,IFERROR((UM$31/UM$18)*UN$18,""))</f>
        <v/>
      </c>
      <c r="UO31" s="705" t="str">
        <f t="shared" ref="UO31" si="795">IF(PeerAnalysisChartType_Fin="Absolute",UO$18,IFERROR((UN$31/UN$18)*UO$18,""))</f>
        <v/>
      </c>
      <c r="UP31" s="705" t="str">
        <f t="shared" ref="UP31" si="796">IF(PeerAnalysisChartType_Fin="Absolute",UP$18,IFERROR((UO$31/UO$18)*UP$18,""))</f>
        <v/>
      </c>
      <c r="UQ31" s="705" t="str">
        <f t="shared" ref="UQ31" si="797">IF(PeerAnalysisChartType_Fin="Absolute",UQ$18,IFERROR((UP$31/UP$18)*UQ$18,""))</f>
        <v/>
      </c>
      <c r="UR31" s="705" t="str">
        <f t="shared" ref="UR31" si="798">IF(PeerAnalysisChartType_Fin="Absolute",UR$18,IFERROR((UQ$31/UQ$18)*UR$18,""))</f>
        <v/>
      </c>
      <c r="US31" s="705" t="str">
        <f t="shared" ref="US31" si="799">IF(PeerAnalysisChartType_Fin="Absolute",US$18,IFERROR((UR$31/UR$18)*US$18,""))</f>
        <v/>
      </c>
      <c r="UT31" s="705" t="str">
        <f t="shared" ref="UT31" si="800">IF(PeerAnalysisChartType_Fin="Absolute",UT$18,IFERROR((US$31/US$18)*UT$18,""))</f>
        <v/>
      </c>
      <c r="UU31" s="705" t="str">
        <f t="shared" ref="UU31" si="801">IF(PeerAnalysisChartType_Fin="Absolute",UU$18,IFERROR((UT$31/UT$18)*UU$18,""))</f>
        <v/>
      </c>
      <c r="UV31" s="705" t="str">
        <f t="shared" ref="UV31" si="802">IF(PeerAnalysisChartType_Fin="Absolute",UV$18,IFERROR((UU$31/UU$18)*UV$18,""))</f>
        <v/>
      </c>
      <c r="UW31" s="705" t="str">
        <f t="shared" ref="UW31" si="803">IF(PeerAnalysisChartType_Fin="Absolute",UW$18,IFERROR((UV$31/UV$18)*UW$18,""))</f>
        <v/>
      </c>
      <c r="UX31" s="706" t="str">
        <f t="shared" ref="UX31" si="804">IF(PeerAnalysisChartType_Fin="Absolute",UX$18,IFERROR((UW$31/UW$18)*UX$18,""))</f>
        <v/>
      </c>
    </row>
    <row r="32" spans="1:16344" x14ac:dyDescent="0.2">
      <c r="A32" s="99" t="s">
        <v>1041</v>
      </c>
      <c r="O32" s="48"/>
      <c r="P32" s="48"/>
      <c r="R32" s="48"/>
      <c r="U32" s="48"/>
      <c r="X32" s="48"/>
      <c r="AA32" s="25"/>
      <c r="AE32" s="704">
        <f>IF(PeerAnalysisChartType_Fin="Absolute",AE$23,100)</f>
        <v>0</v>
      </c>
      <c r="AF32" s="705">
        <f t="shared" ref="AF32:AX32" si="805">IF(PeerAnalysisChartType_Fin="Absolute",AF$23,IFERROR((AE$32/AE$23)*AF$23,""))</f>
        <v>0</v>
      </c>
      <c r="AG32" s="705">
        <f t="shared" si="805"/>
        <v>0</v>
      </c>
      <c r="AH32" s="705">
        <f t="shared" si="805"/>
        <v>0</v>
      </c>
      <c r="AI32" s="705">
        <f t="shared" si="805"/>
        <v>0</v>
      </c>
      <c r="AJ32" s="705">
        <f t="shared" si="805"/>
        <v>0</v>
      </c>
      <c r="AK32" s="705">
        <f t="shared" si="805"/>
        <v>0</v>
      </c>
      <c r="AL32" s="705">
        <f t="shared" si="805"/>
        <v>0</v>
      </c>
      <c r="AM32" s="705">
        <f t="shared" si="805"/>
        <v>0</v>
      </c>
      <c r="AN32" s="705">
        <f t="shared" si="805"/>
        <v>0</v>
      </c>
      <c r="AO32" s="705">
        <f t="shared" si="805"/>
        <v>0</v>
      </c>
      <c r="AP32" s="705">
        <f t="shared" si="805"/>
        <v>0</v>
      </c>
      <c r="AQ32" s="705">
        <f t="shared" si="805"/>
        <v>0</v>
      </c>
      <c r="AR32" s="705">
        <f t="shared" si="805"/>
        <v>0</v>
      </c>
      <c r="AS32" s="705">
        <f t="shared" si="805"/>
        <v>0</v>
      </c>
      <c r="AT32" s="705">
        <f t="shared" si="805"/>
        <v>0</v>
      </c>
      <c r="AU32" s="705">
        <f t="shared" si="805"/>
        <v>0</v>
      </c>
      <c r="AV32" s="705">
        <f t="shared" si="805"/>
        <v>0</v>
      </c>
      <c r="AW32" s="705">
        <f t="shared" si="805"/>
        <v>0</v>
      </c>
      <c r="AX32" s="706">
        <f t="shared" si="805"/>
        <v>0</v>
      </c>
      <c r="AY32" s="704">
        <f>IF(PeerAnalysisChartType_Fin="Absolute",AY$23,100)</f>
        <v>0</v>
      </c>
      <c r="AZ32" s="705">
        <f t="shared" ref="AZ32:BR32" si="806">IF(PeerAnalysisChartType_Fin="Absolute",AZ$23,IFERROR((AY$32/AY$23)*AZ$23,""))</f>
        <v>0</v>
      </c>
      <c r="BA32" s="705">
        <f t="shared" si="806"/>
        <v>0</v>
      </c>
      <c r="BB32" s="705">
        <f t="shared" si="806"/>
        <v>0</v>
      </c>
      <c r="BC32" s="705">
        <f t="shared" si="806"/>
        <v>0</v>
      </c>
      <c r="BD32" s="705">
        <f t="shared" si="806"/>
        <v>0</v>
      </c>
      <c r="BE32" s="705">
        <f t="shared" si="806"/>
        <v>0</v>
      </c>
      <c r="BF32" s="705">
        <f t="shared" si="806"/>
        <v>0</v>
      </c>
      <c r="BG32" s="705">
        <f t="shared" si="806"/>
        <v>0</v>
      </c>
      <c r="BH32" s="705">
        <f t="shared" si="806"/>
        <v>0</v>
      </c>
      <c r="BI32" s="705">
        <f t="shared" si="806"/>
        <v>0</v>
      </c>
      <c r="BJ32" s="705">
        <f t="shared" si="806"/>
        <v>0</v>
      </c>
      <c r="BK32" s="705">
        <f t="shared" si="806"/>
        <v>0</v>
      </c>
      <c r="BL32" s="705">
        <f t="shared" si="806"/>
        <v>0</v>
      </c>
      <c r="BM32" s="705">
        <f t="shared" si="806"/>
        <v>0</v>
      </c>
      <c r="BN32" s="705">
        <f t="shared" si="806"/>
        <v>0</v>
      </c>
      <c r="BO32" s="705">
        <f t="shared" si="806"/>
        <v>0</v>
      </c>
      <c r="BP32" s="705">
        <f t="shared" si="806"/>
        <v>0</v>
      </c>
      <c r="BQ32" s="705">
        <f t="shared" si="806"/>
        <v>0</v>
      </c>
      <c r="BR32" s="706">
        <f t="shared" si="806"/>
        <v>0</v>
      </c>
      <c r="BS32" s="704">
        <f>IF(PeerAnalysisChartType_Fin="Absolute",BS$23,100)</f>
        <v>0</v>
      </c>
      <c r="BT32" s="705">
        <f t="shared" ref="BT32:CL32" si="807">IF(PeerAnalysisChartType_Fin="Absolute",BT$23,IFERROR((BS$32/BS$23)*BT$23,""))</f>
        <v>0</v>
      </c>
      <c r="BU32" s="705">
        <f t="shared" si="807"/>
        <v>0</v>
      </c>
      <c r="BV32" s="705">
        <f t="shared" si="807"/>
        <v>0</v>
      </c>
      <c r="BW32" s="705">
        <f t="shared" si="807"/>
        <v>0</v>
      </c>
      <c r="BX32" s="705">
        <f t="shared" si="807"/>
        <v>0</v>
      </c>
      <c r="BY32" s="705">
        <f t="shared" si="807"/>
        <v>0</v>
      </c>
      <c r="BZ32" s="705">
        <f t="shared" si="807"/>
        <v>0</v>
      </c>
      <c r="CA32" s="705">
        <f t="shared" si="807"/>
        <v>0</v>
      </c>
      <c r="CB32" s="705">
        <f t="shared" si="807"/>
        <v>0</v>
      </c>
      <c r="CC32" s="705">
        <f t="shared" si="807"/>
        <v>0</v>
      </c>
      <c r="CD32" s="705">
        <f t="shared" si="807"/>
        <v>0</v>
      </c>
      <c r="CE32" s="705">
        <f t="shared" si="807"/>
        <v>0</v>
      </c>
      <c r="CF32" s="705">
        <f t="shared" si="807"/>
        <v>0</v>
      </c>
      <c r="CG32" s="705">
        <f t="shared" si="807"/>
        <v>0</v>
      </c>
      <c r="CH32" s="705">
        <f t="shared" si="807"/>
        <v>0</v>
      </c>
      <c r="CI32" s="705">
        <f t="shared" si="807"/>
        <v>0</v>
      </c>
      <c r="CJ32" s="705">
        <f t="shared" si="807"/>
        <v>0</v>
      </c>
      <c r="CK32" s="705">
        <f t="shared" si="807"/>
        <v>0</v>
      </c>
      <c r="CL32" s="706">
        <f t="shared" si="807"/>
        <v>0</v>
      </c>
      <c r="CM32" s="704">
        <f>IF(PeerAnalysisChartType_Fin="Absolute",CM$23,100)</f>
        <v>0</v>
      </c>
      <c r="CN32" s="705">
        <f t="shared" ref="CN32:DF32" si="808">IF(PeerAnalysisChartType_Fin="Absolute",CN$23,IFERROR((CM$32/CM$23)*CN$23,""))</f>
        <v>0</v>
      </c>
      <c r="CO32" s="705">
        <f t="shared" si="808"/>
        <v>0</v>
      </c>
      <c r="CP32" s="705">
        <f t="shared" si="808"/>
        <v>0</v>
      </c>
      <c r="CQ32" s="705">
        <f t="shared" si="808"/>
        <v>0</v>
      </c>
      <c r="CR32" s="705">
        <f t="shared" si="808"/>
        <v>0</v>
      </c>
      <c r="CS32" s="705">
        <f t="shared" si="808"/>
        <v>0</v>
      </c>
      <c r="CT32" s="705">
        <f t="shared" si="808"/>
        <v>0</v>
      </c>
      <c r="CU32" s="705">
        <f t="shared" si="808"/>
        <v>0</v>
      </c>
      <c r="CV32" s="705">
        <f t="shared" si="808"/>
        <v>0</v>
      </c>
      <c r="CW32" s="705">
        <f t="shared" si="808"/>
        <v>0</v>
      </c>
      <c r="CX32" s="705">
        <f t="shared" si="808"/>
        <v>0</v>
      </c>
      <c r="CY32" s="705">
        <f t="shared" si="808"/>
        <v>0</v>
      </c>
      <c r="CZ32" s="705">
        <f t="shared" si="808"/>
        <v>0</v>
      </c>
      <c r="DA32" s="705">
        <f t="shared" si="808"/>
        <v>0</v>
      </c>
      <c r="DB32" s="705">
        <f t="shared" si="808"/>
        <v>0</v>
      </c>
      <c r="DC32" s="705">
        <f t="shared" si="808"/>
        <v>0</v>
      </c>
      <c r="DD32" s="705">
        <f t="shared" si="808"/>
        <v>0</v>
      </c>
      <c r="DE32" s="705">
        <f t="shared" si="808"/>
        <v>0</v>
      </c>
      <c r="DF32" s="706">
        <f t="shared" si="808"/>
        <v>0</v>
      </c>
      <c r="DG32" s="704">
        <f>IF(PeerAnalysisChartType_Fin="Absolute",DG$23,100)</f>
        <v>0</v>
      </c>
      <c r="DH32" s="705">
        <f t="shared" ref="DH32:DZ32" si="809">IF(PeerAnalysisChartType_Fin="Absolute",DH$23,IFERROR((DG$32/DG$23)*DH$23,""))</f>
        <v>0</v>
      </c>
      <c r="DI32" s="705">
        <f t="shared" si="809"/>
        <v>0</v>
      </c>
      <c r="DJ32" s="705">
        <f t="shared" si="809"/>
        <v>0</v>
      </c>
      <c r="DK32" s="705">
        <f t="shared" si="809"/>
        <v>0</v>
      </c>
      <c r="DL32" s="705">
        <f t="shared" si="809"/>
        <v>0</v>
      </c>
      <c r="DM32" s="705">
        <f t="shared" si="809"/>
        <v>0</v>
      </c>
      <c r="DN32" s="705">
        <f t="shared" si="809"/>
        <v>0</v>
      </c>
      <c r="DO32" s="705">
        <f t="shared" si="809"/>
        <v>0</v>
      </c>
      <c r="DP32" s="705">
        <f t="shared" si="809"/>
        <v>0</v>
      </c>
      <c r="DQ32" s="705">
        <f t="shared" si="809"/>
        <v>0</v>
      </c>
      <c r="DR32" s="705">
        <f t="shared" si="809"/>
        <v>0</v>
      </c>
      <c r="DS32" s="705">
        <f t="shared" si="809"/>
        <v>0</v>
      </c>
      <c r="DT32" s="705">
        <f t="shared" si="809"/>
        <v>0</v>
      </c>
      <c r="DU32" s="705">
        <f t="shared" si="809"/>
        <v>0</v>
      </c>
      <c r="DV32" s="705">
        <f t="shared" si="809"/>
        <v>0</v>
      </c>
      <c r="DW32" s="705">
        <f t="shared" si="809"/>
        <v>0</v>
      </c>
      <c r="DX32" s="705">
        <f t="shared" si="809"/>
        <v>0</v>
      </c>
      <c r="DY32" s="705">
        <f t="shared" si="809"/>
        <v>0</v>
      </c>
      <c r="DZ32" s="706">
        <f t="shared" si="809"/>
        <v>0</v>
      </c>
      <c r="EA32" s="704">
        <f>IF(PeerAnalysisChartType_Fin="Absolute",EA$23,100)</f>
        <v>0</v>
      </c>
      <c r="EB32" s="705">
        <f t="shared" ref="EB32:ET32" si="810">IF(PeerAnalysisChartType_Fin="Absolute",EB$23,IFERROR((EA$32/EA$23)*EB$23,""))</f>
        <v>0</v>
      </c>
      <c r="EC32" s="705">
        <f t="shared" si="810"/>
        <v>0</v>
      </c>
      <c r="ED32" s="705">
        <f t="shared" si="810"/>
        <v>0</v>
      </c>
      <c r="EE32" s="705">
        <f t="shared" si="810"/>
        <v>0</v>
      </c>
      <c r="EF32" s="705">
        <f t="shared" si="810"/>
        <v>0</v>
      </c>
      <c r="EG32" s="705">
        <f t="shared" si="810"/>
        <v>0</v>
      </c>
      <c r="EH32" s="705">
        <f t="shared" si="810"/>
        <v>0</v>
      </c>
      <c r="EI32" s="705">
        <f t="shared" si="810"/>
        <v>0</v>
      </c>
      <c r="EJ32" s="705">
        <f t="shared" si="810"/>
        <v>0</v>
      </c>
      <c r="EK32" s="705">
        <f t="shared" si="810"/>
        <v>0</v>
      </c>
      <c r="EL32" s="705">
        <f t="shared" si="810"/>
        <v>0</v>
      </c>
      <c r="EM32" s="705">
        <f t="shared" si="810"/>
        <v>0</v>
      </c>
      <c r="EN32" s="705">
        <f t="shared" si="810"/>
        <v>0</v>
      </c>
      <c r="EO32" s="705">
        <f t="shared" si="810"/>
        <v>0</v>
      </c>
      <c r="EP32" s="705">
        <f t="shared" si="810"/>
        <v>0</v>
      </c>
      <c r="EQ32" s="705">
        <f t="shared" si="810"/>
        <v>0</v>
      </c>
      <c r="ER32" s="705">
        <f t="shared" si="810"/>
        <v>0</v>
      </c>
      <c r="ES32" s="705">
        <f t="shared" si="810"/>
        <v>0</v>
      </c>
      <c r="ET32" s="706">
        <f t="shared" si="810"/>
        <v>0</v>
      </c>
      <c r="EU32" s="704">
        <f>IF(PeerAnalysisChartType_Fin="Absolute",EU$23,100)</f>
        <v>0</v>
      </c>
      <c r="EV32" s="705">
        <f t="shared" ref="EV32" si="811">IF(PeerAnalysisChartType_Fin="Absolute",EV$23,IFERROR((EU$32/EU$23)*EV$23,""))</f>
        <v>0</v>
      </c>
      <c r="EW32" s="705">
        <f t="shared" ref="EW32" si="812">IF(PeerAnalysisChartType_Fin="Absolute",EW$23,IFERROR((EV$32/EV$23)*EW$23,""))</f>
        <v>0</v>
      </c>
      <c r="EX32" s="705">
        <f t="shared" ref="EX32" si="813">IF(PeerAnalysisChartType_Fin="Absolute",EX$23,IFERROR((EW$32/EW$23)*EX$23,""))</f>
        <v>0</v>
      </c>
      <c r="EY32" s="705">
        <f t="shared" ref="EY32" si="814">IF(PeerAnalysisChartType_Fin="Absolute",EY$23,IFERROR((EX$32/EX$23)*EY$23,""))</f>
        <v>0</v>
      </c>
      <c r="EZ32" s="705">
        <f t="shared" ref="EZ32" si="815">IF(PeerAnalysisChartType_Fin="Absolute",EZ$23,IFERROR((EY$32/EY$23)*EZ$23,""))</f>
        <v>0</v>
      </c>
      <c r="FA32" s="705">
        <f t="shared" ref="FA32" si="816">IF(PeerAnalysisChartType_Fin="Absolute",FA$23,IFERROR((EZ$32/EZ$23)*FA$23,""))</f>
        <v>0</v>
      </c>
      <c r="FB32" s="705">
        <f t="shared" ref="FB32" si="817">IF(PeerAnalysisChartType_Fin="Absolute",FB$23,IFERROR((FA$32/FA$23)*FB$23,""))</f>
        <v>0</v>
      </c>
      <c r="FC32" s="705">
        <f t="shared" ref="FC32" si="818">IF(PeerAnalysisChartType_Fin="Absolute",FC$23,IFERROR((FB$32/FB$23)*FC$23,""))</f>
        <v>0</v>
      </c>
      <c r="FD32" s="705">
        <f t="shared" ref="FD32" si="819">IF(PeerAnalysisChartType_Fin="Absolute",FD$23,IFERROR((FC$32/FC$23)*FD$23,""))</f>
        <v>0</v>
      </c>
      <c r="FE32" s="705">
        <f t="shared" ref="FE32" si="820">IF(PeerAnalysisChartType_Fin="Absolute",FE$23,IFERROR((FD$32/FD$23)*FE$23,""))</f>
        <v>0</v>
      </c>
      <c r="FF32" s="705">
        <f t="shared" ref="FF32" si="821">IF(PeerAnalysisChartType_Fin="Absolute",FF$23,IFERROR((FE$32/FE$23)*FF$23,""))</f>
        <v>0</v>
      </c>
      <c r="FG32" s="705">
        <f t="shared" ref="FG32" si="822">IF(PeerAnalysisChartType_Fin="Absolute",FG$23,IFERROR((FF$32/FF$23)*FG$23,""))</f>
        <v>0</v>
      </c>
      <c r="FH32" s="705">
        <f t="shared" ref="FH32" si="823">IF(PeerAnalysisChartType_Fin="Absolute",FH$23,IFERROR((FG$32/FG$23)*FH$23,""))</f>
        <v>0</v>
      </c>
      <c r="FI32" s="705">
        <f t="shared" ref="FI32" si="824">IF(PeerAnalysisChartType_Fin="Absolute",FI$23,IFERROR((FH$32/FH$23)*FI$23,""))</f>
        <v>0</v>
      </c>
      <c r="FJ32" s="705">
        <f t="shared" ref="FJ32" si="825">IF(PeerAnalysisChartType_Fin="Absolute",FJ$23,IFERROR((FI$32/FI$23)*FJ$23,""))</f>
        <v>0</v>
      </c>
      <c r="FK32" s="705">
        <f t="shared" ref="FK32" si="826">IF(PeerAnalysisChartType_Fin="Absolute",FK$23,IFERROR((FJ$32/FJ$23)*FK$23,""))</f>
        <v>0</v>
      </c>
      <c r="FL32" s="705">
        <f t="shared" ref="FL32" si="827">IF(PeerAnalysisChartType_Fin="Absolute",FL$23,IFERROR((FK$32/FK$23)*FL$23,""))</f>
        <v>0</v>
      </c>
      <c r="FM32" s="705">
        <f t="shared" ref="FM32" si="828">IF(PeerAnalysisChartType_Fin="Absolute",FM$23,IFERROR((FL$32/FL$23)*FM$23,""))</f>
        <v>0</v>
      </c>
      <c r="FN32" s="706">
        <f t="shared" ref="FN32" si="829">IF(PeerAnalysisChartType_Fin="Absolute",FN$23,IFERROR((FM$32/FM$23)*FN$23,""))</f>
        <v>0</v>
      </c>
      <c r="FO32" s="704">
        <f>IF(PeerAnalysisChartType_Fin="Absolute",FO$23,100)</f>
        <v>0</v>
      </c>
      <c r="FP32" s="705">
        <f t="shared" ref="FP32:GH32" si="830">IF(PeerAnalysisChartType_Fin="Absolute",FP$23,IFERROR((FO$32/FO$23)*FP$23,""))</f>
        <v>0</v>
      </c>
      <c r="FQ32" s="705">
        <f t="shared" si="830"/>
        <v>0</v>
      </c>
      <c r="FR32" s="705">
        <f t="shared" si="830"/>
        <v>0</v>
      </c>
      <c r="FS32" s="705">
        <f t="shared" si="830"/>
        <v>0</v>
      </c>
      <c r="FT32" s="705">
        <f t="shared" si="830"/>
        <v>0</v>
      </c>
      <c r="FU32" s="705">
        <f t="shared" si="830"/>
        <v>0</v>
      </c>
      <c r="FV32" s="705">
        <f t="shared" si="830"/>
        <v>0</v>
      </c>
      <c r="FW32" s="705">
        <f t="shared" si="830"/>
        <v>0</v>
      </c>
      <c r="FX32" s="705">
        <f t="shared" si="830"/>
        <v>0</v>
      </c>
      <c r="FY32" s="705">
        <f t="shared" si="830"/>
        <v>0</v>
      </c>
      <c r="FZ32" s="705">
        <f t="shared" si="830"/>
        <v>0</v>
      </c>
      <c r="GA32" s="705">
        <f t="shared" si="830"/>
        <v>0</v>
      </c>
      <c r="GB32" s="705">
        <f t="shared" si="830"/>
        <v>0</v>
      </c>
      <c r="GC32" s="705">
        <f t="shared" si="830"/>
        <v>0</v>
      </c>
      <c r="GD32" s="705">
        <f t="shared" si="830"/>
        <v>0</v>
      </c>
      <c r="GE32" s="705">
        <f t="shared" si="830"/>
        <v>0</v>
      </c>
      <c r="GF32" s="705">
        <f t="shared" si="830"/>
        <v>0</v>
      </c>
      <c r="GG32" s="705">
        <f t="shared" si="830"/>
        <v>0</v>
      </c>
      <c r="GH32" s="706">
        <f t="shared" si="830"/>
        <v>0</v>
      </c>
      <c r="GI32" s="704">
        <f>IF(PeerAnalysisChartType_Fin="Absolute",GI$23,100)</f>
        <v>0</v>
      </c>
      <c r="GJ32" s="705">
        <f t="shared" ref="GJ32:HB32" si="831">IF(PeerAnalysisChartType_Fin="Absolute",GJ$23,IFERROR((GI$32/GI$23)*GJ$23,""))</f>
        <v>0</v>
      </c>
      <c r="GK32" s="705">
        <f t="shared" si="831"/>
        <v>0</v>
      </c>
      <c r="GL32" s="705">
        <f t="shared" si="831"/>
        <v>0</v>
      </c>
      <c r="GM32" s="705">
        <f t="shared" si="831"/>
        <v>0</v>
      </c>
      <c r="GN32" s="705">
        <f t="shared" si="831"/>
        <v>0</v>
      </c>
      <c r="GO32" s="705">
        <f t="shared" si="831"/>
        <v>0</v>
      </c>
      <c r="GP32" s="705">
        <f t="shared" si="831"/>
        <v>0</v>
      </c>
      <c r="GQ32" s="705">
        <f t="shared" si="831"/>
        <v>0</v>
      </c>
      <c r="GR32" s="705">
        <f t="shared" si="831"/>
        <v>0</v>
      </c>
      <c r="GS32" s="705">
        <f t="shared" si="831"/>
        <v>0</v>
      </c>
      <c r="GT32" s="705">
        <f t="shared" si="831"/>
        <v>0</v>
      </c>
      <c r="GU32" s="705">
        <f t="shared" si="831"/>
        <v>0</v>
      </c>
      <c r="GV32" s="705">
        <f t="shared" si="831"/>
        <v>0</v>
      </c>
      <c r="GW32" s="705">
        <f t="shared" si="831"/>
        <v>0</v>
      </c>
      <c r="GX32" s="705">
        <f t="shared" si="831"/>
        <v>0</v>
      </c>
      <c r="GY32" s="705">
        <f t="shared" si="831"/>
        <v>0</v>
      </c>
      <c r="GZ32" s="705">
        <f t="shared" si="831"/>
        <v>0</v>
      </c>
      <c r="HA32" s="705">
        <f t="shared" si="831"/>
        <v>0</v>
      </c>
      <c r="HB32" s="706">
        <f t="shared" si="831"/>
        <v>0</v>
      </c>
      <c r="HC32" s="704">
        <f>IF(PeerAnalysisChartType_Fin="Absolute",HC$23,100)</f>
        <v>8.0520399466092019E-2</v>
      </c>
      <c r="HD32" s="705">
        <f t="shared" ref="HD32:HV32" si="832">IF(PeerAnalysisChartType_Fin="Absolute",HD$23,IFERROR((HC$32/HC$23)*HD$23,""))</f>
        <v>0</v>
      </c>
      <c r="HE32" s="705">
        <f t="shared" si="832"/>
        <v>0</v>
      </c>
      <c r="HF32" s="705">
        <f t="shared" si="832"/>
        <v>0</v>
      </c>
      <c r="HG32" s="705">
        <f t="shared" si="832"/>
        <v>0</v>
      </c>
      <c r="HH32" s="705">
        <f t="shared" si="832"/>
        <v>0</v>
      </c>
      <c r="HI32" s="705">
        <f t="shared" si="832"/>
        <v>0</v>
      </c>
      <c r="HJ32" s="705">
        <f t="shared" si="832"/>
        <v>0</v>
      </c>
      <c r="HK32" s="705">
        <f t="shared" si="832"/>
        <v>0</v>
      </c>
      <c r="HL32" s="705">
        <f t="shared" si="832"/>
        <v>0</v>
      </c>
      <c r="HM32" s="705">
        <f t="shared" si="832"/>
        <v>0</v>
      </c>
      <c r="HN32" s="705">
        <f t="shared" si="832"/>
        <v>0</v>
      </c>
      <c r="HO32" s="705">
        <f t="shared" si="832"/>
        <v>0</v>
      </c>
      <c r="HP32" s="705">
        <f t="shared" si="832"/>
        <v>0</v>
      </c>
      <c r="HQ32" s="705">
        <f t="shared" si="832"/>
        <v>0</v>
      </c>
      <c r="HR32" s="705">
        <f t="shared" si="832"/>
        <v>0</v>
      </c>
      <c r="HS32" s="705">
        <f t="shared" si="832"/>
        <v>0</v>
      </c>
      <c r="HT32" s="705">
        <f t="shared" si="832"/>
        <v>0</v>
      </c>
      <c r="HU32" s="705">
        <f t="shared" si="832"/>
        <v>0</v>
      </c>
      <c r="HV32" s="706">
        <f t="shared" si="832"/>
        <v>0</v>
      </c>
      <c r="HW32" s="704">
        <f>IF(PeerAnalysisChartType_Fin="Absolute",HW$23,100)</f>
        <v>4.711843375155108E-2</v>
      </c>
      <c r="HX32" s="705">
        <f t="shared" ref="HX32:IP32" si="833">IF(PeerAnalysisChartType_Fin="Absolute",HX$23,IFERROR((HW$32/HW$23)*HX$23,""))</f>
        <v>0</v>
      </c>
      <c r="HY32" s="705">
        <f t="shared" si="833"/>
        <v>0</v>
      </c>
      <c r="HZ32" s="705">
        <f t="shared" si="833"/>
        <v>0</v>
      </c>
      <c r="IA32" s="705">
        <f t="shared" si="833"/>
        <v>0</v>
      </c>
      <c r="IB32" s="705">
        <f t="shared" si="833"/>
        <v>0</v>
      </c>
      <c r="IC32" s="705">
        <f t="shared" si="833"/>
        <v>0</v>
      </c>
      <c r="ID32" s="705">
        <f t="shared" si="833"/>
        <v>0</v>
      </c>
      <c r="IE32" s="705">
        <f t="shared" si="833"/>
        <v>0</v>
      </c>
      <c r="IF32" s="705">
        <f t="shared" si="833"/>
        <v>0</v>
      </c>
      <c r="IG32" s="705">
        <f t="shared" si="833"/>
        <v>0</v>
      </c>
      <c r="IH32" s="705">
        <f t="shared" si="833"/>
        <v>0</v>
      </c>
      <c r="II32" s="705">
        <f t="shared" si="833"/>
        <v>0</v>
      </c>
      <c r="IJ32" s="705">
        <f t="shared" si="833"/>
        <v>0</v>
      </c>
      <c r="IK32" s="705">
        <f t="shared" si="833"/>
        <v>0</v>
      </c>
      <c r="IL32" s="705">
        <f t="shared" si="833"/>
        <v>0</v>
      </c>
      <c r="IM32" s="705">
        <f t="shared" si="833"/>
        <v>0</v>
      </c>
      <c r="IN32" s="705">
        <f t="shared" si="833"/>
        <v>0</v>
      </c>
      <c r="IO32" s="705">
        <f t="shared" si="833"/>
        <v>0</v>
      </c>
      <c r="IP32" s="706">
        <f t="shared" si="833"/>
        <v>0</v>
      </c>
      <c r="IQ32" s="354">
        <f>IF(PeerAnalysisChartType_Fin="Absolute",IQ$23,100)</f>
        <v>2.9411552736838313</v>
      </c>
      <c r="IR32" s="355">
        <f t="shared" ref="IR32:JJ32" si="834">IF(PeerAnalysisChartType_Fin="Absolute",IR$23,IFERROR((IQ$32/IQ$23)*IR$23,""))</f>
        <v>0</v>
      </c>
      <c r="IS32" s="355">
        <f t="shared" si="834"/>
        <v>0</v>
      </c>
      <c r="IT32" s="355">
        <f t="shared" si="834"/>
        <v>0</v>
      </c>
      <c r="IU32" s="355">
        <f t="shared" si="834"/>
        <v>0</v>
      </c>
      <c r="IV32" s="355">
        <f t="shared" si="834"/>
        <v>0</v>
      </c>
      <c r="IW32" s="355">
        <f t="shared" si="834"/>
        <v>0</v>
      </c>
      <c r="IX32" s="355">
        <f t="shared" si="834"/>
        <v>0</v>
      </c>
      <c r="IY32" s="355">
        <f t="shared" si="834"/>
        <v>0</v>
      </c>
      <c r="IZ32" s="355">
        <f t="shared" si="834"/>
        <v>0</v>
      </c>
      <c r="JA32" s="355">
        <f t="shared" si="834"/>
        <v>0</v>
      </c>
      <c r="JB32" s="355">
        <f t="shared" si="834"/>
        <v>0</v>
      </c>
      <c r="JC32" s="355">
        <f t="shared" si="834"/>
        <v>0</v>
      </c>
      <c r="JD32" s="355">
        <f t="shared" si="834"/>
        <v>0</v>
      </c>
      <c r="JE32" s="355">
        <f t="shared" si="834"/>
        <v>0</v>
      </c>
      <c r="JF32" s="355">
        <f t="shared" si="834"/>
        <v>0</v>
      </c>
      <c r="JG32" s="355">
        <f t="shared" si="834"/>
        <v>0</v>
      </c>
      <c r="JH32" s="355">
        <f t="shared" si="834"/>
        <v>0</v>
      </c>
      <c r="JI32" s="355">
        <f t="shared" si="834"/>
        <v>0</v>
      </c>
      <c r="JJ32" s="356">
        <f t="shared" si="834"/>
        <v>0</v>
      </c>
      <c r="JK32" s="704">
        <f>IF(PeerAnalysisChartType_Fin="Absolute",JK$23,100)</f>
        <v>0.2918767670290594</v>
      </c>
      <c r="JL32" s="705">
        <f t="shared" ref="JL32:KD32" si="835">IF(PeerAnalysisChartType_Fin="Absolute",JL$23,IFERROR((JK$32/JK$23)*JL$23,""))</f>
        <v>0</v>
      </c>
      <c r="JM32" s="705">
        <f t="shared" si="835"/>
        <v>0</v>
      </c>
      <c r="JN32" s="705">
        <f t="shared" si="835"/>
        <v>0</v>
      </c>
      <c r="JO32" s="705">
        <f t="shared" si="835"/>
        <v>0</v>
      </c>
      <c r="JP32" s="705">
        <f t="shared" si="835"/>
        <v>0</v>
      </c>
      <c r="JQ32" s="705">
        <f t="shared" si="835"/>
        <v>0</v>
      </c>
      <c r="JR32" s="705">
        <f t="shared" si="835"/>
        <v>0</v>
      </c>
      <c r="JS32" s="705">
        <f t="shared" si="835"/>
        <v>0</v>
      </c>
      <c r="JT32" s="705">
        <f t="shared" si="835"/>
        <v>0</v>
      </c>
      <c r="JU32" s="705">
        <f t="shared" si="835"/>
        <v>0</v>
      </c>
      <c r="JV32" s="705">
        <f t="shared" si="835"/>
        <v>0</v>
      </c>
      <c r="JW32" s="705">
        <f t="shared" si="835"/>
        <v>0</v>
      </c>
      <c r="JX32" s="705">
        <f t="shared" si="835"/>
        <v>0</v>
      </c>
      <c r="JY32" s="705">
        <f t="shared" si="835"/>
        <v>0</v>
      </c>
      <c r="JZ32" s="705">
        <f t="shared" si="835"/>
        <v>0</v>
      </c>
      <c r="KA32" s="705">
        <f t="shared" si="835"/>
        <v>0</v>
      </c>
      <c r="KB32" s="705">
        <f t="shared" si="835"/>
        <v>0</v>
      </c>
      <c r="KC32" s="705">
        <f t="shared" si="835"/>
        <v>0</v>
      </c>
      <c r="KD32" s="706">
        <f t="shared" si="835"/>
        <v>0</v>
      </c>
      <c r="KE32" s="704">
        <f>IF(PeerAnalysisChartType_Fin="Absolute",KE$23,100)</f>
        <v>0.16938716825386085</v>
      </c>
      <c r="KF32" s="705">
        <f t="shared" ref="KF32:KX32" si="836">IF(PeerAnalysisChartType_Fin="Absolute",KF$23,IFERROR((KE$32/KE$23)*KF$23,""))</f>
        <v>0</v>
      </c>
      <c r="KG32" s="705">
        <f t="shared" si="836"/>
        <v>0</v>
      </c>
      <c r="KH32" s="705">
        <f t="shared" si="836"/>
        <v>0</v>
      </c>
      <c r="KI32" s="705">
        <f t="shared" si="836"/>
        <v>0</v>
      </c>
      <c r="KJ32" s="705">
        <f t="shared" si="836"/>
        <v>0</v>
      </c>
      <c r="KK32" s="705">
        <f t="shared" si="836"/>
        <v>0</v>
      </c>
      <c r="KL32" s="705">
        <f t="shared" si="836"/>
        <v>0</v>
      </c>
      <c r="KM32" s="705">
        <f t="shared" si="836"/>
        <v>0</v>
      </c>
      <c r="KN32" s="705">
        <f t="shared" si="836"/>
        <v>0</v>
      </c>
      <c r="KO32" s="705">
        <f t="shared" si="836"/>
        <v>0</v>
      </c>
      <c r="KP32" s="705">
        <f t="shared" si="836"/>
        <v>0</v>
      </c>
      <c r="KQ32" s="705">
        <f t="shared" si="836"/>
        <v>0</v>
      </c>
      <c r="KR32" s="705">
        <f t="shared" si="836"/>
        <v>0</v>
      </c>
      <c r="KS32" s="705">
        <f t="shared" si="836"/>
        <v>0</v>
      </c>
      <c r="KT32" s="705">
        <f t="shared" si="836"/>
        <v>0</v>
      </c>
      <c r="KU32" s="705">
        <f t="shared" si="836"/>
        <v>0</v>
      </c>
      <c r="KV32" s="705">
        <f t="shared" si="836"/>
        <v>0</v>
      </c>
      <c r="KW32" s="705">
        <f t="shared" si="836"/>
        <v>0</v>
      </c>
      <c r="KX32" s="706">
        <f t="shared" si="836"/>
        <v>0</v>
      </c>
      <c r="KY32" s="704">
        <f>IF(PeerAnalysisChartType_Fin="Absolute",KY$23,100)</f>
        <v>0.40076878638403768</v>
      </c>
      <c r="KZ32" s="705">
        <f t="shared" ref="KZ32:LR32" si="837">IF(PeerAnalysisChartType_Fin="Absolute",KZ$23,IFERROR((KY$32/KY$23)*KZ$23,""))</f>
        <v>0</v>
      </c>
      <c r="LA32" s="705">
        <f t="shared" si="837"/>
        <v>0</v>
      </c>
      <c r="LB32" s="705">
        <f t="shared" si="837"/>
        <v>0</v>
      </c>
      <c r="LC32" s="705">
        <f t="shared" si="837"/>
        <v>0</v>
      </c>
      <c r="LD32" s="705">
        <f t="shared" si="837"/>
        <v>0</v>
      </c>
      <c r="LE32" s="705">
        <f t="shared" si="837"/>
        <v>0</v>
      </c>
      <c r="LF32" s="705">
        <f t="shared" si="837"/>
        <v>0</v>
      </c>
      <c r="LG32" s="705">
        <f t="shared" si="837"/>
        <v>0</v>
      </c>
      <c r="LH32" s="705">
        <f t="shared" si="837"/>
        <v>0</v>
      </c>
      <c r="LI32" s="705">
        <f t="shared" si="837"/>
        <v>0</v>
      </c>
      <c r="LJ32" s="705">
        <f t="shared" si="837"/>
        <v>0</v>
      </c>
      <c r="LK32" s="705">
        <f t="shared" si="837"/>
        <v>0</v>
      </c>
      <c r="LL32" s="705">
        <f t="shared" si="837"/>
        <v>0</v>
      </c>
      <c r="LM32" s="705">
        <f t="shared" si="837"/>
        <v>0</v>
      </c>
      <c r="LN32" s="705">
        <f t="shared" si="837"/>
        <v>0</v>
      </c>
      <c r="LO32" s="705">
        <f t="shared" si="837"/>
        <v>0</v>
      </c>
      <c r="LP32" s="705">
        <f t="shared" si="837"/>
        <v>0</v>
      </c>
      <c r="LQ32" s="705">
        <f t="shared" si="837"/>
        <v>0</v>
      </c>
      <c r="LR32" s="706">
        <f t="shared" si="837"/>
        <v>0</v>
      </c>
      <c r="LS32" s="704">
        <f>IF(PeerAnalysisChartType_Fin="Absolute",LS$23,100)</f>
        <v>0.24626221966647499</v>
      </c>
      <c r="LT32" s="705">
        <f t="shared" ref="LT32:ML32" si="838">IF(PeerAnalysisChartType_Fin="Absolute",LT$23,IFERROR((LS$32/LS$23)*LT$23,""))</f>
        <v>0</v>
      </c>
      <c r="LU32" s="705">
        <f t="shared" si="838"/>
        <v>0</v>
      </c>
      <c r="LV32" s="705">
        <f t="shared" si="838"/>
        <v>0</v>
      </c>
      <c r="LW32" s="705">
        <f t="shared" si="838"/>
        <v>0</v>
      </c>
      <c r="LX32" s="705">
        <f t="shared" si="838"/>
        <v>0</v>
      </c>
      <c r="LY32" s="705">
        <f t="shared" si="838"/>
        <v>0</v>
      </c>
      <c r="LZ32" s="705">
        <f t="shared" si="838"/>
        <v>0</v>
      </c>
      <c r="MA32" s="705">
        <f t="shared" si="838"/>
        <v>0</v>
      </c>
      <c r="MB32" s="705">
        <f t="shared" si="838"/>
        <v>0</v>
      </c>
      <c r="MC32" s="705">
        <f t="shared" si="838"/>
        <v>0</v>
      </c>
      <c r="MD32" s="707">
        <f t="shared" si="838"/>
        <v>0</v>
      </c>
      <c r="ME32" s="705">
        <f t="shared" si="838"/>
        <v>0</v>
      </c>
      <c r="MF32" s="705">
        <f t="shared" si="838"/>
        <v>0</v>
      </c>
      <c r="MG32" s="705">
        <f t="shared" si="838"/>
        <v>0</v>
      </c>
      <c r="MH32" s="705">
        <f t="shared" si="838"/>
        <v>0</v>
      </c>
      <c r="MI32" s="705">
        <f t="shared" si="838"/>
        <v>0</v>
      </c>
      <c r="MJ32" s="705">
        <f t="shared" si="838"/>
        <v>0</v>
      </c>
      <c r="MK32" s="705">
        <f t="shared" si="838"/>
        <v>0</v>
      </c>
      <c r="ML32" s="706">
        <f t="shared" si="838"/>
        <v>0</v>
      </c>
      <c r="MM32" s="704">
        <f>IF(PeerAnalysisChartType_Fin="Absolute",MM$23,100)</f>
        <v>0</v>
      </c>
      <c r="MN32" s="705">
        <f t="shared" ref="MN32" si="839">IF(PeerAnalysisChartType_Fin="Absolute",MN$23,IFERROR((MM$32/MM$23)*MN$23,""))</f>
        <v>0</v>
      </c>
      <c r="MO32" s="705">
        <f t="shared" ref="MO32" si="840">IF(PeerAnalysisChartType_Fin="Absolute",MO$23,IFERROR((MN$32/MN$23)*MO$23,""))</f>
        <v>0</v>
      </c>
      <c r="MP32" s="705">
        <f t="shared" ref="MP32" si="841">IF(PeerAnalysisChartType_Fin="Absolute",MP$23,IFERROR((MO$32/MO$23)*MP$23,""))</f>
        <v>0</v>
      </c>
      <c r="MQ32" s="705">
        <f t="shared" ref="MQ32" si="842">IF(PeerAnalysisChartType_Fin="Absolute",MQ$23,IFERROR((MP$32/MP$23)*MQ$23,""))</f>
        <v>0</v>
      </c>
      <c r="MR32" s="705">
        <f t="shared" ref="MR32" si="843">IF(PeerAnalysisChartType_Fin="Absolute",MR$23,IFERROR((MQ$32/MQ$23)*MR$23,""))</f>
        <v>0</v>
      </c>
      <c r="MS32" s="705">
        <f t="shared" ref="MS32" si="844">IF(PeerAnalysisChartType_Fin="Absolute",MS$23,IFERROR((MR$32/MR$23)*MS$23,""))</f>
        <v>0</v>
      </c>
      <c r="MT32" s="705">
        <f t="shared" ref="MT32" si="845">IF(PeerAnalysisChartType_Fin="Absolute",MT$23,IFERROR((MS$32/MS$23)*MT$23,""))</f>
        <v>0</v>
      </c>
      <c r="MU32" s="705">
        <f t="shared" ref="MU32" si="846">IF(PeerAnalysisChartType_Fin="Absolute",MU$23,IFERROR((MT$32/MT$23)*MU$23,""))</f>
        <v>0</v>
      </c>
      <c r="MV32" s="705">
        <f t="shared" ref="MV32" si="847">IF(PeerAnalysisChartType_Fin="Absolute",MV$23,IFERROR((MU$32/MU$23)*MV$23,""))</f>
        <v>0</v>
      </c>
      <c r="MW32" s="705">
        <f t="shared" ref="MW32" si="848">IF(PeerAnalysisChartType_Fin="Absolute",MW$23,IFERROR((MV$32/MV$23)*MW$23,""))</f>
        <v>0</v>
      </c>
      <c r="MX32" s="705">
        <f t="shared" ref="MX32" si="849">IF(PeerAnalysisChartType_Fin="Absolute",MX$23,IFERROR((MW$32/MW$23)*MX$23,""))</f>
        <v>0</v>
      </c>
      <c r="MY32" s="705">
        <f t="shared" ref="MY32" si="850">IF(PeerAnalysisChartType_Fin="Absolute",MY$23,IFERROR((MX$32/MX$23)*MY$23,""))</f>
        <v>0</v>
      </c>
      <c r="MZ32" s="705">
        <f t="shared" ref="MZ32" si="851">IF(PeerAnalysisChartType_Fin="Absolute",MZ$23,IFERROR((MY$32/MY$23)*MZ$23,""))</f>
        <v>0</v>
      </c>
      <c r="NA32" s="705">
        <f t="shared" ref="NA32" si="852">IF(PeerAnalysisChartType_Fin="Absolute",NA$23,IFERROR((MZ$32/MZ$23)*NA$23,""))</f>
        <v>0</v>
      </c>
      <c r="NB32" s="705">
        <f t="shared" ref="NB32" si="853">IF(PeerAnalysisChartType_Fin="Absolute",NB$23,IFERROR((NA$32/NA$23)*NB$23,""))</f>
        <v>0</v>
      </c>
      <c r="NC32" s="705">
        <f t="shared" ref="NC32" si="854">IF(PeerAnalysisChartType_Fin="Absolute",NC$23,IFERROR((NB$32/NB$23)*NC$23,""))</f>
        <v>0</v>
      </c>
      <c r="ND32" s="705">
        <f t="shared" ref="ND32" si="855">IF(PeerAnalysisChartType_Fin="Absolute",ND$23,IFERROR((NC$32/NC$23)*ND$23,""))</f>
        <v>0</v>
      </c>
      <c r="NE32" s="705">
        <f t="shared" ref="NE32" si="856">IF(PeerAnalysisChartType_Fin="Absolute",NE$23,IFERROR((ND$32/ND$23)*NE$23,""))</f>
        <v>0</v>
      </c>
      <c r="NF32" s="706">
        <f t="shared" ref="NF32" si="857">IF(PeerAnalysisChartType_Fin="Absolute",NF$23,IFERROR((NE$32/NE$23)*NF$23,""))</f>
        <v>0</v>
      </c>
      <c r="NG32" s="704">
        <f>IF(PeerAnalysisChartType_Fin="Absolute",NG$23,100)</f>
        <v>0</v>
      </c>
      <c r="NH32" s="705">
        <f t="shared" ref="NH32" si="858">IF(PeerAnalysisChartType_Fin="Absolute",NH$23,IFERROR((NG$32/NG$23)*NH$23,""))</f>
        <v>0</v>
      </c>
      <c r="NI32" s="705">
        <f t="shared" ref="NI32" si="859">IF(PeerAnalysisChartType_Fin="Absolute",NI$23,IFERROR((NH$32/NH$23)*NI$23,""))</f>
        <v>0</v>
      </c>
      <c r="NJ32" s="705">
        <f t="shared" ref="NJ32" si="860">IF(PeerAnalysisChartType_Fin="Absolute",NJ$23,IFERROR((NI$32/NI$23)*NJ$23,""))</f>
        <v>0</v>
      </c>
      <c r="NK32" s="705">
        <f t="shared" ref="NK32" si="861">IF(PeerAnalysisChartType_Fin="Absolute",NK$23,IFERROR((NJ$32/NJ$23)*NK$23,""))</f>
        <v>0</v>
      </c>
      <c r="NL32" s="705">
        <f t="shared" ref="NL32" si="862">IF(PeerAnalysisChartType_Fin="Absolute",NL$23,IFERROR((NK$32/NK$23)*NL$23,""))</f>
        <v>0</v>
      </c>
      <c r="NM32" s="705">
        <f t="shared" ref="NM32" si="863">IF(PeerAnalysisChartType_Fin="Absolute",NM$23,IFERROR((NL$32/NL$23)*NM$23,""))</f>
        <v>0</v>
      </c>
      <c r="NN32" s="705">
        <f t="shared" ref="NN32" si="864">IF(PeerAnalysisChartType_Fin="Absolute",NN$23,IFERROR((NM$32/NM$23)*NN$23,""))</f>
        <v>0</v>
      </c>
      <c r="NO32" s="705">
        <f t="shared" ref="NO32" si="865">IF(PeerAnalysisChartType_Fin="Absolute",NO$23,IFERROR((NN$32/NN$23)*NO$23,""))</f>
        <v>0</v>
      </c>
      <c r="NP32" s="705">
        <f t="shared" ref="NP32" si="866">IF(PeerAnalysisChartType_Fin="Absolute",NP$23,IFERROR((NO$32/NO$23)*NP$23,""))</f>
        <v>0</v>
      </c>
      <c r="NQ32" s="705">
        <f t="shared" ref="NQ32" si="867">IF(PeerAnalysisChartType_Fin="Absolute",NQ$23,IFERROR((NP$32/NP$23)*NQ$23,""))</f>
        <v>0</v>
      </c>
      <c r="NR32" s="707">
        <f t="shared" ref="NR32" si="868">IF(PeerAnalysisChartType_Fin="Absolute",NR$23,IFERROR((NQ$32/NQ$23)*NR$23,""))</f>
        <v>0</v>
      </c>
      <c r="NS32" s="705">
        <f t="shared" ref="NS32" si="869">IF(PeerAnalysisChartType_Fin="Absolute",NS$23,IFERROR((NR$32/NR$23)*NS$23,""))</f>
        <v>0</v>
      </c>
      <c r="NT32" s="705">
        <f t="shared" ref="NT32" si="870">IF(PeerAnalysisChartType_Fin="Absolute",NT$23,IFERROR((NS$32/NS$23)*NT$23,""))</f>
        <v>0</v>
      </c>
      <c r="NU32" s="705">
        <f t="shared" ref="NU32" si="871">IF(PeerAnalysisChartType_Fin="Absolute",NU$23,IFERROR((NT$32/NT$23)*NU$23,""))</f>
        <v>0</v>
      </c>
      <c r="NV32" s="705">
        <f t="shared" ref="NV32" si="872">IF(PeerAnalysisChartType_Fin="Absolute",NV$23,IFERROR((NU$32/NU$23)*NV$23,""))</f>
        <v>0</v>
      </c>
      <c r="NW32" s="705">
        <f t="shared" ref="NW32" si="873">IF(PeerAnalysisChartType_Fin="Absolute",NW$23,IFERROR((NV$32/NV$23)*NW$23,""))</f>
        <v>0</v>
      </c>
      <c r="NX32" s="705">
        <f t="shared" ref="NX32" si="874">IF(PeerAnalysisChartType_Fin="Absolute",NX$23,IFERROR((NW$32/NW$23)*NX$23,""))</f>
        <v>0</v>
      </c>
      <c r="NY32" s="705">
        <f t="shared" ref="NY32" si="875">IF(PeerAnalysisChartType_Fin="Absolute",NY$23,IFERROR((NX$32/NX$23)*NY$23,""))</f>
        <v>0</v>
      </c>
      <c r="NZ32" s="706">
        <f t="shared" ref="NZ32" si="876">IF(PeerAnalysisChartType_Fin="Absolute",NZ$23,IFERROR((NY$32/NY$23)*NZ$23,""))</f>
        <v>0</v>
      </c>
      <c r="OA32" s="704">
        <f>IF(PeerAnalysisChartType_Fin="Absolute",OA$23,100)</f>
        <v>0</v>
      </c>
      <c r="OB32" s="705">
        <f t="shared" ref="OB32" si="877">IF(PeerAnalysisChartType_Fin="Absolute",OB$23,IFERROR((OA$32/OA$23)*OB$23,""))</f>
        <v>0</v>
      </c>
      <c r="OC32" s="705">
        <f t="shared" ref="OC32" si="878">IF(PeerAnalysisChartType_Fin="Absolute",OC$23,IFERROR((OB$32/OB$23)*OC$23,""))</f>
        <v>0</v>
      </c>
      <c r="OD32" s="705">
        <f t="shared" ref="OD32" si="879">IF(PeerAnalysisChartType_Fin="Absolute",OD$23,IFERROR((OC$32/OC$23)*OD$23,""))</f>
        <v>0</v>
      </c>
      <c r="OE32" s="705">
        <f t="shared" ref="OE32" si="880">IF(PeerAnalysisChartType_Fin="Absolute",OE$23,IFERROR((OD$32/OD$23)*OE$23,""))</f>
        <v>0</v>
      </c>
      <c r="OF32" s="705">
        <f t="shared" ref="OF32" si="881">IF(PeerAnalysisChartType_Fin="Absolute",OF$23,IFERROR((OE$32/OE$23)*OF$23,""))</f>
        <v>0</v>
      </c>
      <c r="OG32" s="705">
        <f t="shared" ref="OG32" si="882">IF(PeerAnalysisChartType_Fin="Absolute",OG$23,IFERROR((OF$32/OF$23)*OG$23,""))</f>
        <v>0</v>
      </c>
      <c r="OH32" s="705">
        <f t="shared" ref="OH32" si="883">IF(PeerAnalysisChartType_Fin="Absolute",OH$23,IFERROR((OG$32/OG$23)*OH$23,""))</f>
        <v>0</v>
      </c>
      <c r="OI32" s="705">
        <f t="shared" ref="OI32" si="884">IF(PeerAnalysisChartType_Fin="Absolute",OI$23,IFERROR((OH$32/OH$23)*OI$23,""))</f>
        <v>0</v>
      </c>
      <c r="OJ32" s="705">
        <f t="shared" ref="OJ32" si="885">IF(PeerAnalysisChartType_Fin="Absolute",OJ$23,IFERROR((OI$32/OI$23)*OJ$23,""))</f>
        <v>0</v>
      </c>
      <c r="OK32" s="705">
        <f t="shared" ref="OK32" si="886">IF(PeerAnalysisChartType_Fin="Absolute",OK$23,IFERROR((OJ$32/OJ$23)*OK$23,""))</f>
        <v>0</v>
      </c>
      <c r="OL32" s="707">
        <f t="shared" ref="OL32" si="887">IF(PeerAnalysisChartType_Fin="Absolute",OL$23,IFERROR((OK$32/OK$23)*OL$23,""))</f>
        <v>0</v>
      </c>
      <c r="OM32" s="705">
        <f t="shared" ref="OM32" si="888">IF(PeerAnalysisChartType_Fin="Absolute",OM$23,IFERROR((OL$32/OL$23)*OM$23,""))</f>
        <v>0</v>
      </c>
      <c r="ON32" s="705">
        <f t="shared" ref="ON32" si="889">IF(PeerAnalysisChartType_Fin="Absolute",ON$23,IFERROR((OM$32/OM$23)*ON$23,""))</f>
        <v>0</v>
      </c>
      <c r="OO32" s="705">
        <f t="shared" ref="OO32" si="890">IF(PeerAnalysisChartType_Fin="Absolute",OO$23,IFERROR((ON$32/ON$23)*OO$23,""))</f>
        <v>0</v>
      </c>
      <c r="OP32" s="705">
        <f t="shared" ref="OP32" si="891">IF(PeerAnalysisChartType_Fin="Absolute",OP$23,IFERROR((OO$32/OO$23)*OP$23,""))</f>
        <v>0</v>
      </c>
      <c r="OQ32" s="705">
        <f t="shared" ref="OQ32" si="892">IF(PeerAnalysisChartType_Fin="Absolute",OQ$23,IFERROR((OP$32/OP$23)*OQ$23,""))</f>
        <v>0</v>
      </c>
      <c r="OR32" s="705">
        <f t="shared" ref="OR32" si="893">IF(PeerAnalysisChartType_Fin="Absolute",OR$23,IFERROR((OQ$32/OQ$23)*OR$23,""))</f>
        <v>0</v>
      </c>
      <c r="OS32" s="705">
        <f t="shared" ref="OS32" si="894">IF(PeerAnalysisChartType_Fin="Absolute",OS$23,IFERROR((OR$32/OR$23)*OS$23,""))</f>
        <v>0</v>
      </c>
      <c r="OT32" s="706">
        <f t="shared" ref="OT32" si="895">IF(PeerAnalysisChartType_Fin="Absolute",OT$23,IFERROR((OS$32/OS$23)*OT$23,""))</f>
        <v>0</v>
      </c>
      <c r="OU32" s="704">
        <f>IF(PeerAnalysisChartType_Fin="Absolute",OU$23,100)</f>
        <v>0</v>
      </c>
      <c r="OV32" s="705">
        <f t="shared" ref="OV32" si="896">IF(PeerAnalysisChartType_Fin="Absolute",OV$23,IFERROR((OU$32/OU$23)*OV$23,""))</f>
        <v>0</v>
      </c>
      <c r="OW32" s="705">
        <f t="shared" ref="OW32" si="897">IF(PeerAnalysisChartType_Fin="Absolute",OW$23,IFERROR((OV$32/OV$23)*OW$23,""))</f>
        <v>0</v>
      </c>
      <c r="OX32" s="705">
        <f t="shared" ref="OX32" si="898">IF(PeerAnalysisChartType_Fin="Absolute",OX$23,IFERROR((OW$32/OW$23)*OX$23,""))</f>
        <v>0</v>
      </c>
      <c r="OY32" s="705">
        <f t="shared" ref="OY32" si="899">IF(PeerAnalysisChartType_Fin="Absolute",OY$23,IFERROR((OX$32/OX$23)*OY$23,""))</f>
        <v>0</v>
      </c>
      <c r="OZ32" s="705">
        <f t="shared" ref="OZ32" si="900">IF(PeerAnalysisChartType_Fin="Absolute",OZ$23,IFERROR((OY$32/OY$23)*OZ$23,""))</f>
        <v>0</v>
      </c>
      <c r="PA32" s="705">
        <f t="shared" ref="PA32" si="901">IF(PeerAnalysisChartType_Fin="Absolute",PA$23,IFERROR((OZ$32/OZ$23)*PA$23,""))</f>
        <v>0</v>
      </c>
      <c r="PB32" s="705">
        <f t="shared" ref="PB32" si="902">IF(PeerAnalysisChartType_Fin="Absolute",PB$23,IFERROR((PA$32/PA$23)*PB$23,""))</f>
        <v>0</v>
      </c>
      <c r="PC32" s="705">
        <f t="shared" ref="PC32" si="903">IF(PeerAnalysisChartType_Fin="Absolute",PC$23,IFERROR((PB$32/PB$23)*PC$23,""))</f>
        <v>0</v>
      </c>
      <c r="PD32" s="705">
        <f t="shared" ref="PD32" si="904">IF(PeerAnalysisChartType_Fin="Absolute",PD$23,IFERROR((PC$32/PC$23)*PD$23,""))</f>
        <v>0</v>
      </c>
      <c r="PE32" s="705">
        <f t="shared" ref="PE32" si="905">IF(PeerAnalysisChartType_Fin="Absolute",PE$23,IFERROR((PD$32/PD$23)*PE$23,""))</f>
        <v>0</v>
      </c>
      <c r="PF32" s="707">
        <f t="shared" ref="PF32" si="906">IF(PeerAnalysisChartType_Fin="Absolute",PF$23,IFERROR((PE$32/PE$23)*PF$23,""))</f>
        <v>0</v>
      </c>
      <c r="PG32" s="705">
        <f t="shared" ref="PG32" si="907">IF(PeerAnalysisChartType_Fin="Absolute",PG$23,IFERROR((PF$32/PF$23)*PG$23,""))</f>
        <v>0</v>
      </c>
      <c r="PH32" s="705">
        <f t="shared" ref="PH32" si="908">IF(PeerAnalysisChartType_Fin="Absolute",PH$23,IFERROR((PG$32/PG$23)*PH$23,""))</f>
        <v>0</v>
      </c>
      <c r="PI32" s="705">
        <f t="shared" ref="PI32" si="909">IF(PeerAnalysisChartType_Fin="Absolute",PI$23,IFERROR((PH$32/PH$23)*PI$23,""))</f>
        <v>0</v>
      </c>
      <c r="PJ32" s="705">
        <f t="shared" ref="PJ32" si="910">IF(PeerAnalysisChartType_Fin="Absolute",PJ$23,IFERROR((PI$32/PI$23)*PJ$23,""))</f>
        <v>0</v>
      </c>
      <c r="PK32" s="705">
        <f t="shared" ref="PK32" si="911">IF(PeerAnalysisChartType_Fin="Absolute",PK$23,IFERROR((PJ$32/PJ$23)*PK$23,""))</f>
        <v>0</v>
      </c>
      <c r="PL32" s="705">
        <f t="shared" ref="PL32" si="912">IF(PeerAnalysisChartType_Fin="Absolute",PL$23,IFERROR((PK$32/PK$23)*PL$23,""))</f>
        <v>0</v>
      </c>
      <c r="PM32" s="705">
        <f t="shared" ref="PM32" si="913">IF(PeerAnalysisChartType_Fin="Absolute",PM$23,IFERROR((PL$32/PL$23)*PM$23,""))</f>
        <v>0</v>
      </c>
      <c r="PN32" s="706">
        <f t="shared" ref="PN32" si="914">IF(PeerAnalysisChartType_Fin="Absolute",PN$23,IFERROR((PM$32/PM$23)*PN$23,""))</f>
        <v>0</v>
      </c>
      <c r="PO32" s="704">
        <f>IF(PeerAnalysisChartType_Fin="Absolute",PO$23,100)</f>
        <v>0.62307779377886319</v>
      </c>
      <c r="PP32" s="705">
        <f t="shared" ref="PP32" si="915">IF(PeerAnalysisChartType_Fin="Absolute",PP$23,IFERROR((PO$32/PO$23)*PP$23,""))</f>
        <v>0</v>
      </c>
      <c r="PQ32" s="705">
        <f t="shared" ref="PQ32" si="916">IF(PeerAnalysisChartType_Fin="Absolute",PQ$23,IFERROR((PP$32/PP$23)*PQ$23,""))</f>
        <v>0</v>
      </c>
      <c r="PR32" s="705">
        <f t="shared" ref="PR32" si="917">IF(PeerAnalysisChartType_Fin="Absolute",PR$23,IFERROR((PQ$32/PQ$23)*PR$23,""))</f>
        <v>0</v>
      </c>
      <c r="PS32" s="705">
        <f t="shared" ref="PS32" si="918">IF(PeerAnalysisChartType_Fin="Absolute",PS$23,IFERROR((PR$32/PR$23)*PS$23,""))</f>
        <v>0</v>
      </c>
      <c r="PT32" s="705">
        <f t="shared" ref="PT32" si="919">IF(PeerAnalysisChartType_Fin="Absolute",PT$23,IFERROR((PS$32/PS$23)*PT$23,""))</f>
        <v>0</v>
      </c>
      <c r="PU32" s="705">
        <f t="shared" ref="PU32" si="920">IF(PeerAnalysisChartType_Fin="Absolute",PU$23,IFERROR((PT$32/PT$23)*PU$23,""))</f>
        <v>0</v>
      </c>
      <c r="PV32" s="705">
        <f t="shared" ref="PV32" si="921">IF(PeerAnalysisChartType_Fin="Absolute",PV$23,IFERROR((PU$32/PU$23)*PV$23,""))</f>
        <v>0</v>
      </c>
      <c r="PW32" s="705">
        <f t="shared" ref="PW32" si="922">IF(PeerAnalysisChartType_Fin="Absolute",PW$23,IFERROR((PV$32/PV$23)*PW$23,""))</f>
        <v>0</v>
      </c>
      <c r="PX32" s="705">
        <f t="shared" ref="PX32" si="923">IF(PeerAnalysisChartType_Fin="Absolute",PX$23,IFERROR((PW$32/PW$23)*PX$23,""))</f>
        <v>0</v>
      </c>
      <c r="PY32" s="705">
        <f t="shared" ref="PY32" si="924">IF(PeerAnalysisChartType_Fin="Absolute",PY$23,IFERROR((PX$32/PX$23)*PY$23,""))</f>
        <v>0</v>
      </c>
      <c r="PZ32" s="707">
        <f t="shared" ref="PZ32" si="925">IF(PeerAnalysisChartType_Fin="Absolute",PZ$23,IFERROR((PY$32/PY$23)*PZ$23,""))</f>
        <v>0</v>
      </c>
      <c r="QA32" s="705">
        <f t="shared" ref="QA32" si="926">IF(PeerAnalysisChartType_Fin="Absolute",QA$23,IFERROR((PZ$32/PZ$23)*QA$23,""))</f>
        <v>0</v>
      </c>
      <c r="QB32" s="705">
        <f t="shared" ref="QB32" si="927">IF(PeerAnalysisChartType_Fin="Absolute",QB$23,IFERROR((QA$32/QA$23)*QB$23,""))</f>
        <v>0</v>
      </c>
      <c r="QC32" s="705">
        <f t="shared" ref="QC32" si="928">IF(PeerAnalysisChartType_Fin="Absolute",QC$23,IFERROR((QB$32/QB$23)*QC$23,""))</f>
        <v>0</v>
      </c>
      <c r="QD32" s="705">
        <f t="shared" ref="QD32" si="929">IF(PeerAnalysisChartType_Fin="Absolute",QD$23,IFERROR((QC$32/QC$23)*QD$23,""))</f>
        <v>0</v>
      </c>
      <c r="QE32" s="705">
        <f t="shared" ref="QE32" si="930">IF(PeerAnalysisChartType_Fin="Absolute",QE$23,IFERROR((QD$32/QD$23)*QE$23,""))</f>
        <v>0</v>
      </c>
      <c r="QF32" s="705">
        <f t="shared" ref="QF32" si="931">IF(PeerAnalysisChartType_Fin="Absolute",QF$23,IFERROR((QE$32/QE$23)*QF$23,""))</f>
        <v>0</v>
      </c>
      <c r="QG32" s="705">
        <f t="shared" ref="QG32" si="932">IF(PeerAnalysisChartType_Fin="Absolute",QG$23,IFERROR((QF$32/QF$23)*QG$23,""))</f>
        <v>0</v>
      </c>
      <c r="QH32" s="706">
        <f t="shared" ref="QH32" si="933">IF(PeerAnalysisChartType_Fin="Absolute",QH$23,IFERROR((QG$32/QG$23)*QH$23,""))</f>
        <v>0</v>
      </c>
      <c r="QI32" s="704">
        <f>IF(PeerAnalysisChartType_Fin="Absolute",QI$23,100)</f>
        <v>0</v>
      </c>
      <c r="QJ32" s="705">
        <f t="shared" ref="QJ32" si="934">IF(PeerAnalysisChartType_Fin="Absolute",QJ$23,IFERROR((QI$32/QI$23)*QJ$23,""))</f>
        <v>0</v>
      </c>
      <c r="QK32" s="705">
        <f t="shared" ref="QK32" si="935">IF(PeerAnalysisChartType_Fin="Absolute",QK$23,IFERROR((QJ$32/QJ$23)*QK$23,""))</f>
        <v>0</v>
      </c>
      <c r="QL32" s="705">
        <f t="shared" ref="QL32" si="936">IF(PeerAnalysisChartType_Fin="Absolute",QL$23,IFERROR((QK$32/QK$23)*QL$23,""))</f>
        <v>0</v>
      </c>
      <c r="QM32" s="705">
        <f t="shared" ref="QM32" si="937">IF(PeerAnalysisChartType_Fin="Absolute",QM$23,IFERROR((QL$32/QL$23)*QM$23,""))</f>
        <v>0</v>
      </c>
      <c r="QN32" s="705">
        <f t="shared" ref="QN32" si="938">IF(PeerAnalysisChartType_Fin="Absolute",QN$23,IFERROR((QM$32/QM$23)*QN$23,""))</f>
        <v>0</v>
      </c>
      <c r="QO32" s="705">
        <f t="shared" ref="QO32" si="939">IF(PeerAnalysisChartType_Fin="Absolute",QO$23,IFERROR((QN$32/QN$23)*QO$23,""))</f>
        <v>0</v>
      </c>
      <c r="QP32" s="705">
        <f t="shared" ref="QP32" si="940">IF(PeerAnalysisChartType_Fin="Absolute",QP$23,IFERROR((QO$32/QO$23)*QP$23,""))</f>
        <v>0</v>
      </c>
      <c r="QQ32" s="705">
        <f t="shared" ref="QQ32" si="941">IF(PeerAnalysisChartType_Fin="Absolute",QQ$23,IFERROR((QP$32/QP$23)*QQ$23,""))</f>
        <v>0</v>
      </c>
      <c r="QR32" s="705">
        <f t="shared" ref="QR32" si="942">IF(PeerAnalysisChartType_Fin="Absolute",QR$23,IFERROR((QQ$32/QQ$23)*QR$23,""))</f>
        <v>0</v>
      </c>
      <c r="QS32" s="705">
        <f t="shared" ref="QS32" si="943">IF(PeerAnalysisChartType_Fin="Absolute",QS$23,IFERROR((QR$32/QR$23)*QS$23,""))</f>
        <v>0</v>
      </c>
      <c r="QT32" s="707">
        <f t="shared" ref="QT32" si="944">IF(PeerAnalysisChartType_Fin="Absolute",QT$23,IFERROR((QS$32/QS$23)*QT$23,""))</f>
        <v>0</v>
      </c>
      <c r="QU32" s="705">
        <f t="shared" ref="QU32" si="945">IF(PeerAnalysisChartType_Fin="Absolute",QU$23,IFERROR((QT$32/QT$23)*QU$23,""))</f>
        <v>0</v>
      </c>
      <c r="QV32" s="705">
        <f t="shared" ref="QV32" si="946">IF(PeerAnalysisChartType_Fin="Absolute",QV$23,IFERROR((QU$32/QU$23)*QV$23,""))</f>
        <v>0</v>
      </c>
      <c r="QW32" s="705">
        <f t="shared" ref="QW32" si="947">IF(PeerAnalysisChartType_Fin="Absolute",QW$23,IFERROR((QV$32/QV$23)*QW$23,""))</f>
        <v>0</v>
      </c>
      <c r="QX32" s="705">
        <f t="shared" ref="QX32" si="948">IF(PeerAnalysisChartType_Fin="Absolute",QX$23,IFERROR((QW$32/QW$23)*QX$23,""))</f>
        <v>0</v>
      </c>
      <c r="QY32" s="705">
        <f t="shared" ref="QY32" si="949">IF(PeerAnalysisChartType_Fin="Absolute",QY$23,IFERROR((QX$32/QX$23)*QY$23,""))</f>
        <v>0</v>
      </c>
      <c r="QZ32" s="705">
        <f t="shared" ref="QZ32" si="950">IF(PeerAnalysisChartType_Fin="Absolute",QZ$23,IFERROR((QY$32/QY$23)*QZ$23,""))</f>
        <v>0</v>
      </c>
      <c r="RA32" s="705">
        <f t="shared" ref="RA32" si="951">IF(PeerAnalysisChartType_Fin="Absolute",RA$23,IFERROR((QZ$32/QZ$23)*RA$23,""))</f>
        <v>0</v>
      </c>
      <c r="RB32" s="706">
        <f t="shared" ref="RB32" si="952">IF(PeerAnalysisChartType_Fin="Absolute",RB$23,IFERROR((RA$32/RA$23)*RB$23,""))</f>
        <v>0</v>
      </c>
      <c r="RC32" s="713">
        <f>IF(PeerAnalysisChartType_Fin="Absolute",RC$23,100)</f>
        <v>0</v>
      </c>
      <c r="RD32" s="714">
        <f t="shared" ref="RD32" si="953">IF(PeerAnalysisChartType_Fin="Absolute",RD$23,IFERROR((RC$32/RC$23)*RD$23,""))</f>
        <v>0</v>
      </c>
      <c r="RE32" s="714">
        <f t="shared" ref="RE32" si="954">IF(PeerAnalysisChartType_Fin="Absolute",RE$23,IFERROR((RD$32/RD$23)*RE$23,""))</f>
        <v>0</v>
      </c>
      <c r="RF32" s="714">
        <f t="shared" ref="RF32" si="955">IF(PeerAnalysisChartType_Fin="Absolute",RF$23,IFERROR((RE$32/RE$23)*RF$23,""))</f>
        <v>0</v>
      </c>
      <c r="RG32" s="714">
        <f t="shared" ref="RG32" si="956">IF(PeerAnalysisChartType_Fin="Absolute",RG$23,IFERROR((RF$32/RF$23)*RG$23,""))</f>
        <v>0</v>
      </c>
      <c r="RH32" s="714">
        <f t="shared" ref="RH32" si="957">IF(PeerAnalysisChartType_Fin="Absolute",RH$23,IFERROR((RG$32/RG$23)*RH$23,""))</f>
        <v>0</v>
      </c>
      <c r="RI32" s="714">
        <f t="shared" ref="RI32" si="958">IF(PeerAnalysisChartType_Fin="Absolute",RI$23,IFERROR((RH$32/RH$23)*RI$23,""))</f>
        <v>0</v>
      </c>
      <c r="RJ32" s="714">
        <f t="shared" ref="RJ32" si="959">IF(PeerAnalysisChartType_Fin="Absolute",RJ$23,IFERROR((RI$32/RI$23)*RJ$23,""))</f>
        <v>0</v>
      </c>
      <c r="RK32" s="714">
        <f t="shared" ref="RK32" si="960">IF(PeerAnalysisChartType_Fin="Absolute",RK$23,IFERROR((RJ$32/RJ$23)*RK$23,""))</f>
        <v>0</v>
      </c>
      <c r="RL32" s="714">
        <f t="shared" ref="RL32" si="961">IF(PeerAnalysisChartType_Fin="Absolute",RL$23,IFERROR((RK$32/RK$23)*RL$23,""))</f>
        <v>0</v>
      </c>
      <c r="RM32" s="714">
        <f t="shared" ref="RM32" si="962">IF(PeerAnalysisChartType_Fin="Absolute",RM$23,IFERROR((RL$32/RL$23)*RM$23,""))</f>
        <v>0</v>
      </c>
      <c r="RN32" s="715">
        <f t="shared" ref="RN32" si="963">IF(PeerAnalysisChartType_Fin="Absolute",RN$23,IFERROR((RM$32/RM$23)*RN$23,""))</f>
        <v>0</v>
      </c>
      <c r="RO32" s="714">
        <f t="shared" ref="RO32" si="964">IF(PeerAnalysisChartType_Fin="Absolute",RO$23,IFERROR((RN$32/RN$23)*RO$23,""))</f>
        <v>0</v>
      </c>
      <c r="RP32" s="714">
        <f t="shared" ref="RP32" si="965">IF(PeerAnalysisChartType_Fin="Absolute",RP$23,IFERROR((RO$32/RO$23)*RP$23,""))</f>
        <v>0</v>
      </c>
      <c r="RQ32" s="714">
        <f t="shared" ref="RQ32" si="966">IF(PeerAnalysisChartType_Fin="Absolute",RQ$23,IFERROR((RP$32/RP$23)*RQ$23,""))</f>
        <v>0</v>
      </c>
      <c r="RR32" s="714">
        <f t="shared" ref="RR32" si="967">IF(PeerAnalysisChartType_Fin="Absolute",RR$23,IFERROR((RQ$32/RQ$23)*RR$23,""))</f>
        <v>0</v>
      </c>
      <c r="RS32" s="714">
        <f t="shared" ref="RS32" si="968">IF(PeerAnalysisChartType_Fin="Absolute",RS$23,IFERROR((RR$32/RR$23)*RS$23,""))</f>
        <v>0</v>
      </c>
      <c r="RT32" s="714">
        <f t="shared" ref="RT32" si="969">IF(PeerAnalysisChartType_Fin="Absolute",RT$23,IFERROR((RS$32/RS$23)*RT$23,""))</f>
        <v>0</v>
      </c>
      <c r="RU32" s="714">
        <f t="shared" ref="RU32" si="970">IF(PeerAnalysisChartType_Fin="Absolute",RU$23,IFERROR((RT$32/RT$23)*RU$23,""))</f>
        <v>0</v>
      </c>
      <c r="RV32" s="716">
        <f t="shared" ref="RV32" si="971">IF(PeerAnalysisChartType_Fin="Absolute",RV$23,IFERROR((RU$32/RU$23)*RV$23,""))</f>
        <v>0</v>
      </c>
      <c r="RW32" s="704">
        <f>IF(PeerAnalysisChartType_Fin="Absolute",RW$23,100)</f>
        <v>0</v>
      </c>
      <c r="RX32" s="705">
        <f t="shared" ref="RX32" si="972">IF(PeerAnalysisChartType_Fin="Absolute",RX$23,IFERROR((RW$32/RW$23)*RX$23,""))</f>
        <v>0</v>
      </c>
      <c r="RY32" s="705">
        <f t="shared" ref="RY32" si="973">IF(PeerAnalysisChartType_Fin="Absolute",RY$23,IFERROR((RX$32/RX$23)*RY$23,""))</f>
        <v>0</v>
      </c>
      <c r="RZ32" s="705">
        <f t="shared" ref="RZ32" si="974">IF(PeerAnalysisChartType_Fin="Absolute",RZ$23,IFERROR((RY$32/RY$23)*RZ$23,""))</f>
        <v>0</v>
      </c>
      <c r="SA32" s="705">
        <f t="shared" ref="SA32" si="975">IF(PeerAnalysisChartType_Fin="Absolute",SA$23,IFERROR((RZ$32/RZ$23)*SA$23,""))</f>
        <v>0</v>
      </c>
      <c r="SB32" s="705">
        <f t="shared" ref="SB32" si="976">IF(PeerAnalysisChartType_Fin="Absolute",SB$23,IFERROR((SA$32/SA$23)*SB$23,""))</f>
        <v>0</v>
      </c>
      <c r="SC32" s="705">
        <f t="shared" ref="SC32" si="977">IF(PeerAnalysisChartType_Fin="Absolute",SC$23,IFERROR((SB$32/SB$23)*SC$23,""))</f>
        <v>0</v>
      </c>
      <c r="SD32" s="705">
        <f t="shared" ref="SD32" si="978">IF(PeerAnalysisChartType_Fin="Absolute",SD$23,IFERROR((SC$32/SC$23)*SD$23,""))</f>
        <v>0</v>
      </c>
      <c r="SE32" s="705">
        <f t="shared" ref="SE32" si="979">IF(PeerAnalysisChartType_Fin="Absolute",SE$23,IFERROR((SD$32/SD$23)*SE$23,""))</f>
        <v>0</v>
      </c>
      <c r="SF32" s="705">
        <f t="shared" ref="SF32" si="980">IF(PeerAnalysisChartType_Fin="Absolute",SF$23,IFERROR((SE$32/SE$23)*SF$23,""))</f>
        <v>0</v>
      </c>
      <c r="SG32" s="705">
        <f t="shared" ref="SG32" si="981">IF(PeerAnalysisChartType_Fin="Absolute",SG$23,IFERROR((SF$32/SF$23)*SG$23,""))</f>
        <v>0</v>
      </c>
      <c r="SH32" s="707">
        <f t="shared" ref="SH32" si="982">IF(PeerAnalysisChartType_Fin="Absolute",SH$23,IFERROR((SG$32/SG$23)*SH$23,""))</f>
        <v>0</v>
      </c>
      <c r="SI32" s="705">
        <f t="shared" ref="SI32" si="983">IF(PeerAnalysisChartType_Fin="Absolute",SI$23,IFERROR((SH$32/SH$23)*SI$23,""))</f>
        <v>0</v>
      </c>
      <c r="SJ32" s="705">
        <f t="shared" ref="SJ32" si="984">IF(PeerAnalysisChartType_Fin="Absolute",SJ$23,IFERROR((SI$32/SI$23)*SJ$23,""))</f>
        <v>0</v>
      </c>
      <c r="SK32" s="705">
        <f t="shared" ref="SK32" si="985">IF(PeerAnalysisChartType_Fin="Absolute",SK$23,IFERROR((SJ$32/SJ$23)*SK$23,""))</f>
        <v>0</v>
      </c>
      <c r="SL32" s="705">
        <f t="shared" ref="SL32" si="986">IF(PeerAnalysisChartType_Fin="Absolute",SL$23,IFERROR((SK$32/SK$23)*SL$23,""))</f>
        <v>0</v>
      </c>
      <c r="SM32" s="705">
        <f t="shared" ref="SM32" si="987">IF(PeerAnalysisChartType_Fin="Absolute",SM$23,IFERROR((SL$32/SL$23)*SM$23,""))</f>
        <v>0</v>
      </c>
      <c r="SN32" s="705">
        <f t="shared" ref="SN32" si="988">IF(PeerAnalysisChartType_Fin="Absolute",SN$23,IFERROR((SM$32/SM$23)*SN$23,""))</f>
        <v>0</v>
      </c>
      <c r="SO32" s="705">
        <f t="shared" ref="SO32" si="989">IF(PeerAnalysisChartType_Fin="Absolute",SO$23,IFERROR((SN$32/SN$23)*SO$23,""))</f>
        <v>0</v>
      </c>
      <c r="SP32" s="706">
        <f t="shared" ref="SP32" si="990">IF(PeerAnalysisChartType_Fin="Absolute",SP$23,IFERROR((SO$32/SO$23)*SP$23,""))</f>
        <v>0</v>
      </c>
      <c r="SQ32" s="704">
        <f>IF(PeerAnalysisChartType_Fin="Absolute",SQ$23,100)</f>
        <v>0</v>
      </c>
      <c r="SR32" s="705">
        <f t="shared" ref="SR32" si="991">IF(PeerAnalysisChartType_Fin="Absolute",SR$23,IFERROR((SQ$32/SQ$23)*SR$23,""))</f>
        <v>0</v>
      </c>
      <c r="SS32" s="705">
        <f t="shared" ref="SS32" si="992">IF(PeerAnalysisChartType_Fin="Absolute",SS$23,IFERROR((SR$32/SR$23)*SS$23,""))</f>
        <v>0</v>
      </c>
      <c r="ST32" s="705">
        <f t="shared" ref="ST32" si="993">IF(PeerAnalysisChartType_Fin="Absolute",ST$23,IFERROR((SS$32/SS$23)*ST$23,""))</f>
        <v>0</v>
      </c>
      <c r="SU32" s="705">
        <f t="shared" ref="SU32" si="994">IF(PeerAnalysisChartType_Fin="Absolute",SU$23,IFERROR((ST$32/ST$23)*SU$23,""))</f>
        <v>0</v>
      </c>
      <c r="SV32" s="705">
        <f t="shared" ref="SV32" si="995">IF(PeerAnalysisChartType_Fin="Absolute",SV$23,IFERROR((SU$32/SU$23)*SV$23,""))</f>
        <v>0</v>
      </c>
      <c r="SW32" s="705">
        <f t="shared" ref="SW32" si="996">IF(PeerAnalysisChartType_Fin="Absolute",SW$23,IFERROR((SV$32/SV$23)*SW$23,""))</f>
        <v>0</v>
      </c>
      <c r="SX32" s="705">
        <f t="shared" ref="SX32" si="997">IF(PeerAnalysisChartType_Fin="Absolute",SX$23,IFERROR((SW$32/SW$23)*SX$23,""))</f>
        <v>0</v>
      </c>
      <c r="SY32" s="705">
        <f t="shared" ref="SY32" si="998">IF(PeerAnalysisChartType_Fin="Absolute",SY$23,IFERROR((SX$32/SX$23)*SY$23,""))</f>
        <v>0</v>
      </c>
      <c r="SZ32" s="705">
        <f t="shared" ref="SZ32" si="999">IF(PeerAnalysisChartType_Fin="Absolute",SZ$23,IFERROR((SY$32/SY$23)*SZ$23,""))</f>
        <v>0</v>
      </c>
      <c r="TA32" s="705">
        <f t="shared" ref="TA32" si="1000">IF(PeerAnalysisChartType_Fin="Absolute",TA$23,IFERROR((SZ$32/SZ$23)*TA$23,""))</f>
        <v>0</v>
      </c>
      <c r="TB32" s="707">
        <f t="shared" ref="TB32" si="1001">IF(PeerAnalysisChartType_Fin="Absolute",TB$23,IFERROR((TA$32/TA$23)*TB$23,""))</f>
        <v>0</v>
      </c>
      <c r="TC32" s="705">
        <f t="shared" ref="TC32" si="1002">IF(PeerAnalysisChartType_Fin="Absolute",TC$23,IFERROR((TB$32/TB$23)*TC$23,""))</f>
        <v>0</v>
      </c>
      <c r="TD32" s="705">
        <f t="shared" ref="TD32" si="1003">IF(PeerAnalysisChartType_Fin="Absolute",TD$23,IFERROR((TC$32/TC$23)*TD$23,""))</f>
        <v>0</v>
      </c>
      <c r="TE32" s="705">
        <f t="shared" ref="TE32" si="1004">IF(PeerAnalysisChartType_Fin="Absolute",TE$23,IFERROR((TD$32/TD$23)*TE$23,""))</f>
        <v>0</v>
      </c>
      <c r="TF32" s="705">
        <f t="shared" ref="TF32" si="1005">IF(PeerAnalysisChartType_Fin="Absolute",TF$23,IFERROR((TE$32/TE$23)*TF$23,""))</f>
        <v>0</v>
      </c>
      <c r="TG32" s="705">
        <f t="shared" ref="TG32" si="1006">IF(PeerAnalysisChartType_Fin="Absolute",TG$23,IFERROR((TF$32/TF$23)*TG$23,""))</f>
        <v>0</v>
      </c>
      <c r="TH32" s="705">
        <f t="shared" ref="TH32" si="1007">IF(PeerAnalysisChartType_Fin="Absolute",TH$23,IFERROR((TG$32/TG$23)*TH$23,""))</f>
        <v>0</v>
      </c>
      <c r="TI32" s="705">
        <f t="shared" ref="TI32" si="1008">IF(PeerAnalysisChartType_Fin="Absolute",TI$23,IFERROR((TH$32/TH$23)*TI$23,""))</f>
        <v>0</v>
      </c>
      <c r="TJ32" s="706">
        <f t="shared" ref="TJ32" si="1009">IF(PeerAnalysisChartType_Fin="Absolute",TJ$23,IFERROR((TI$32/TI$23)*TJ$23,""))</f>
        <v>0</v>
      </c>
      <c r="TK32" s="704">
        <f>IF(PeerAnalysisChartType_Fin="Absolute",TK$23,100)</f>
        <v>0</v>
      </c>
      <c r="TL32" s="705">
        <f t="shared" ref="TL32" si="1010">IF(PeerAnalysisChartType_Fin="Absolute",TL$23,IFERROR((TK$32/TK$23)*TL$23,""))</f>
        <v>0</v>
      </c>
      <c r="TM32" s="705">
        <f t="shared" ref="TM32" si="1011">IF(PeerAnalysisChartType_Fin="Absolute",TM$23,IFERROR((TL$32/TL$23)*TM$23,""))</f>
        <v>0</v>
      </c>
      <c r="TN32" s="705">
        <f t="shared" ref="TN32" si="1012">IF(PeerAnalysisChartType_Fin="Absolute",TN$23,IFERROR((TM$32/TM$23)*TN$23,""))</f>
        <v>0</v>
      </c>
      <c r="TO32" s="705">
        <f t="shared" ref="TO32" si="1013">IF(PeerAnalysisChartType_Fin="Absolute",TO$23,IFERROR((TN$32/TN$23)*TO$23,""))</f>
        <v>0</v>
      </c>
      <c r="TP32" s="705">
        <f t="shared" ref="TP32" si="1014">IF(PeerAnalysisChartType_Fin="Absolute",TP$23,IFERROR((TO$32/TO$23)*TP$23,""))</f>
        <v>0</v>
      </c>
      <c r="TQ32" s="705">
        <f t="shared" ref="TQ32" si="1015">IF(PeerAnalysisChartType_Fin="Absolute",TQ$23,IFERROR((TP$32/TP$23)*TQ$23,""))</f>
        <v>0</v>
      </c>
      <c r="TR32" s="705">
        <f t="shared" ref="TR32" si="1016">IF(PeerAnalysisChartType_Fin="Absolute",TR$23,IFERROR((TQ$32/TQ$23)*TR$23,""))</f>
        <v>0</v>
      </c>
      <c r="TS32" s="705">
        <f t="shared" ref="TS32" si="1017">IF(PeerAnalysisChartType_Fin="Absolute",TS$23,IFERROR((TR$32/TR$23)*TS$23,""))</f>
        <v>0</v>
      </c>
      <c r="TT32" s="705">
        <f t="shared" ref="TT32" si="1018">IF(PeerAnalysisChartType_Fin="Absolute",TT$23,IFERROR((TS$32/TS$23)*TT$23,""))</f>
        <v>0</v>
      </c>
      <c r="TU32" s="705">
        <f t="shared" ref="TU32" si="1019">IF(PeerAnalysisChartType_Fin="Absolute",TU$23,IFERROR((TT$32/TT$23)*TU$23,""))</f>
        <v>0</v>
      </c>
      <c r="TV32" s="707">
        <f t="shared" ref="TV32" si="1020">IF(PeerAnalysisChartType_Fin="Absolute",TV$23,IFERROR((TU$32/TU$23)*TV$23,""))</f>
        <v>0</v>
      </c>
      <c r="TW32" s="705">
        <f t="shared" ref="TW32" si="1021">IF(PeerAnalysisChartType_Fin="Absolute",TW$23,IFERROR((TV$32/TV$23)*TW$23,""))</f>
        <v>0</v>
      </c>
      <c r="TX32" s="705">
        <f t="shared" ref="TX32" si="1022">IF(PeerAnalysisChartType_Fin="Absolute",TX$23,IFERROR((TW$32/TW$23)*TX$23,""))</f>
        <v>0</v>
      </c>
      <c r="TY32" s="705">
        <f t="shared" ref="TY32" si="1023">IF(PeerAnalysisChartType_Fin="Absolute",TY$23,IFERROR((TX$32/TX$23)*TY$23,""))</f>
        <v>0</v>
      </c>
      <c r="TZ32" s="705">
        <f t="shared" ref="TZ32" si="1024">IF(PeerAnalysisChartType_Fin="Absolute",TZ$23,IFERROR((TY$32/TY$23)*TZ$23,""))</f>
        <v>0</v>
      </c>
      <c r="UA32" s="705">
        <f t="shared" ref="UA32" si="1025">IF(PeerAnalysisChartType_Fin="Absolute",UA$23,IFERROR((TZ$32/TZ$23)*UA$23,""))</f>
        <v>0</v>
      </c>
      <c r="UB32" s="705">
        <f t="shared" ref="UB32" si="1026">IF(PeerAnalysisChartType_Fin="Absolute",UB$23,IFERROR((UA$32/UA$23)*UB$23,""))</f>
        <v>0</v>
      </c>
      <c r="UC32" s="705">
        <f t="shared" ref="UC32" si="1027">IF(PeerAnalysisChartType_Fin="Absolute",UC$23,IFERROR((UB$32/UB$23)*UC$23,""))</f>
        <v>0</v>
      </c>
      <c r="UD32" s="706">
        <f t="shared" ref="UD32" si="1028">IF(PeerAnalysisChartType_Fin="Absolute",UD$23,IFERROR((UC$32/UC$23)*UD$23,""))</f>
        <v>0</v>
      </c>
      <c r="UE32" s="704">
        <f>IF(PeerAnalysisChartType_Fin="Absolute",UE$23,100)</f>
        <v>0</v>
      </c>
      <c r="UF32" s="705">
        <f t="shared" ref="UF32" si="1029">IF(PeerAnalysisChartType_Fin="Absolute",UF$23,IFERROR((UE$32/UE$23)*UF$23,""))</f>
        <v>0</v>
      </c>
      <c r="UG32" s="705">
        <f t="shared" ref="UG32" si="1030">IF(PeerAnalysisChartType_Fin="Absolute",UG$23,IFERROR((UF$32/UF$23)*UG$23,""))</f>
        <v>0</v>
      </c>
      <c r="UH32" s="705">
        <f t="shared" ref="UH32" si="1031">IF(PeerAnalysisChartType_Fin="Absolute",UH$23,IFERROR((UG$32/UG$23)*UH$23,""))</f>
        <v>0</v>
      </c>
      <c r="UI32" s="705">
        <f t="shared" ref="UI32" si="1032">IF(PeerAnalysisChartType_Fin="Absolute",UI$23,IFERROR((UH$32/UH$23)*UI$23,""))</f>
        <v>0</v>
      </c>
      <c r="UJ32" s="705">
        <f t="shared" ref="UJ32" si="1033">IF(PeerAnalysisChartType_Fin="Absolute",UJ$23,IFERROR((UI$32/UI$23)*UJ$23,""))</f>
        <v>0</v>
      </c>
      <c r="UK32" s="705">
        <f t="shared" ref="UK32" si="1034">IF(PeerAnalysisChartType_Fin="Absolute",UK$23,IFERROR((UJ$32/UJ$23)*UK$23,""))</f>
        <v>0</v>
      </c>
      <c r="UL32" s="705">
        <f t="shared" ref="UL32" si="1035">IF(PeerAnalysisChartType_Fin="Absolute",UL$23,IFERROR((UK$32/UK$23)*UL$23,""))</f>
        <v>0</v>
      </c>
      <c r="UM32" s="705">
        <f t="shared" ref="UM32" si="1036">IF(PeerAnalysisChartType_Fin="Absolute",UM$23,IFERROR((UL$32/UL$23)*UM$23,""))</f>
        <v>0</v>
      </c>
      <c r="UN32" s="705">
        <f t="shared" ref="UN32" si="1037">IF(PeerAnalysisChartType_Fin="Absolute",UN$23,IFERROR((UM$32/UM$23)*UN$23,""))</f>
        <v>0</v>
      </c>
      <c r="UO32" s="705">
        <f t="shared" ref="UO32" si="1038">IF(PeerAnalysisChartType_Fin="Absolute",UO$23,IFERROR((UN$32/UN$23)*UO$23,""))</f>
        <v>0</v>
      </c>
      <c r="UP32" s="705">
        <f t="shared" ref="UP32" si="1039">IF(PeerAnalysisChartType_Fin="Absolute",UP$23,IFERROR((UO$32/UO$23)*UP$23,""))</f>
        <v>0</v>
      </c>
      <c r="UQ32" s="705">
        <f t="shared" ref="UQ32" si="1040">IF(PeerAnalysisChartType_Fin="Absolute",UQ$23,IFERROR((UP$32/UP$23)*UQ$23,""))</f>
        <v>0</v>
      </c>
      <c r="UR32" s="705">
        <f t="shared" ref="UR32" si="1041">IF(PeerAnalysisChartType_Fin="Absolute",UR$23,IFERROR((UQ$32/UQ$23)*UR$23,""))</f>
        <v>0</v>
      </c>
      <c r="US32" s="705">
        <f t="shared" ref="US32" si="1042">IF(PeerAnalysisChartType_Fin="Absolute",US$23,IFERROR((UR$32/UR$23)*US$23,""))</f>
        <v>0</v>
      </c>
      <c r="UT32" s="705">
        <f t="shared" ref="UT32" si="1043">IF(PeerAnalysisChartType_Fin="Absolute",UT$23,IFERROR((US$32/US$23)*UT$23,""))</f>
        <v>0</v>
      </c>
      <c r="UU32" s="705">
        <f t="shared" ref="UU32" si="1044">IF(PeerAnalysisChartType_Fin="Absolute",UU$23,IFERROR((UT$32/UT$23)*UU$23,""))</f>
        <v>0</v>
      </c>
      <c r="UV32" s="705">
        <f t="shared" ref="UV32" si="1045">IF(PeerAnalysisChartType_Fin="Absolute",UV$23,IFERROR((UU$32/UU$23)*UV$23,""))</f>
        <v>0</v>
      </c>
      <c r="UW32" s="705">
        <f t="shared" ref="UW32" si="1046">IF(PeerAnalysisChartType_Fin="Absolute",UW$23,IFERROR((UV$32/UV$23)*UW$23,""))</f>
        <v>0</v>
      </c>
      <c r="UX32" s="706">
        <f t="shared" ref="UX32" si="1047">IF(PeerAnalysisChartType_Fin="Absolute",UX$23,IFERROR((UW$32/UW$23)*UX$23,""))</f>
        <v>0</v>
      </c>
    </row>
    <row r="33" spans="1:471" x14ac:dyDescent="0.2">
      <c r="A33" s="689" t="s">
        <v>1088</v>
      </c>
      <c r="B33" s="690"/>
      <c r="C33" s="690"/>
      <c r="D33" s="690"/>
      <c r="E33" s="690"/>
      <c r="F33" s="690"/>
      <c r="G33" s="289">
        <f>IFERROR(QUARTILE(G$7:G$17,1),"")</f>
        <v>0.20222478169780267</v>
      </c>
      <c r="H33" s="289">
        <f>IFERROR(QUARTILE(H$7:H$17,1),"")</f>
        <v>6.2461749999999996E-2</v>
      </c>
      <c r="I33" s="289" t="str">
        <f t="shared" ref="I33:K33" si="1048">IFERROR(QUARTILE(I$7:I$17,1),"")</f>
        <v/>
      </c>
      <c r="J33" s="289">
        <f t="shared" si="1048"/>
        <v>3.3327251935873853E-2</v>
      </c>
      <c r="K33" s="289">
        <f t="shared" si="1048"/>
        <v>2.4460250000000003E-2</v>
      </c>
      <c r="L33" s="289">
        <f t="shared" ref="L33:S33" si="1049">IFERROR(QUARTILE(L$7:L$17,1),"")</f>
        <v>6.459802297016537E-2</v>
      </c>
      <c r="M33" s="289">
        <f t="shared" si="1049"/>
        <v>5.5329701134427256E-2</v>
      </c>
      <c r="N33" s="289">
        <f t="shared" si="1049"/>
        <v>0.1906554910584401</v>
      </c>
      <c r="O33" s="289" t="str">
        <f t="shared" si="1049"/>
        <v/>
      </c>
      <c r="P33" s="289">
        <f t="shared" si="1049"/>
        <v>0</v>
      </c>
      <c r="Q33" s="289">
        <f t="shared" si="1049"/>
        <v>0</v>
      </c>
      <c r="R33" s="289">
        <f t="shared" si="1049"/>
        <v>0</v>
      </c>
      <c r="S33" s="289">
        <f t="shared" si="1049"/>
        <v>0</v>
      </c>
      <c r="T33" s="289">
        <f>IFERROR(QUARTILE(T$7:T$17,3),"")</f>
        <v>0</v>
      </c>
      <c r="U33" s="289" t="str">
        <f>IFERROR(QUARTILE(U$7:U$17,3),"")</f>
        <v/>
      </c>
      <c r="V33" s="289" t="str">
        <f>IFERROR(QUARTILE(V$7:V$17,3),"")</f>
        <v/>
      </c>
      <c r="W33" s="289">
        <f>IFERROR(QUARTILE(W$7:W$17,3),"")</f>
        <v>0</v>
      </c>
      <c r="X33" s="289" t="str">
        <f>IFERROR(QUARTILE(X$7:X$17,3),"")</f>
        <v/>
      </c>
      <c r="Y33" s="289">
        <f>IFERROR(QUARTILE(Y$7:Y$17,1),"")</f>
        <v>0</v>
      </c>
      <c r="Z33" s="992">
        <f>IFERROR(QUARTILE(Z$7:Z$17,3),"")</f>
        <v>3.1716107877277868</v>
      </c>
      <c r="AA33" s="289">
        <f>IFERROR(QUARTILE(AA$7:AA$17,1),"")</f>
        <v>0.28694155277337396</v>
      </c>
      <c r="AB33" s="289">
        <f>IFERROR(QUARTILE(AB$7:AB$17,3),"")</f>
        <v>0</v>
      </c>
      <c r="AC33" s="336">
        <f>IFERROR(QUARTILE(AC$7:AC$17,1),"")</f>
        <v>5.2232975000000001</v>
      </c>
    </row>
    <row r="34" spans="1:471" x14ac:dyDescent="0.2">
      <c r="A34" s="691" t="s">
        <v>1089</v>
      </c>
      <c r="B34" s="692"/>
      <c r="C34" s="692"/>
      <c r="D34" s="692"/>
      <c r="E34" s="692"/>
      <c r="F34" s="692"/>
      <c r="G34" s="687">
        <f>IFERROR(QUARTILE(G$7:G$17,3),"")</f>
        <v>0.47504237732980797</v>
      </c>
      <c r="H34" s="687">
        <f>IFERROR(QUARTILE(H$7:H$17,3),"")</f>
        <v>0.13873124999999997</v>
      </c>
      <c r="I34" s="687" t="str">
        <f t="shared" ref="I34:K34" si="1050">IFERROR(QUARTILE(I$7:I$17,3),"")</f>
        <v/>
      </c>
      <c r="J34" s="687">
        <f t="shared" si="1050"/>
        <v>3.4697183373382783E-2</v>
      </c>
      <c r="K34" s="687">
        <f t="shared" si="1050"/>
        <v>2.563675E-2</v>
      </c>
      <c r="L34" s="687">
        <f t="shared" ref="L34:S34" si="1051">IFERROR(QUARTILE(L$7:L$17,3),"")</f>
        <v>8.3828571359446186E-2</v>
      </c>
      <c r="M34" s="687">
        <f t="shared" si="1051"/>
        <v>7.9814371576677437E-2</v>
      </c>
      <c r="N34" s="687">
        <f t="shared" si="1051"/>
        <v>0.2671432073550753</v>
      </c>
      <c r="O34" s="687" t="str">
        <f t="shared" si="1051"/>
        <v/>
      </c>
      <c r="P34" s="687">
        <f t="shared" si="1051"/>
        <v>0</v>
      </c>
      <c r="Q34" s="687">
        <f t="shared" si="1051"/>
        <v>0</v>
      </c>
      <c r="R34" s="687">
        <f t="shared" si="1051"/>
        <v>0</v>
      </c>
      <c r="S34" s="687">
        <f t="shared" si="1051"/>
        <v>0</v>
      </c>
      <c r="T34" s="687">
        <f>IFERROR(QUARTILE(T$7:T$17,1),"")</f>
        <v>0</v>
      </c>
      <c r="U34" s="687" t="str">
        <f>IFERROR(QUARTILE(U$7:U$17,1),"")</f>
        <v/>
      </c>
      <c r="V34" s="687" t="str">
        <f>IFERROR(QUARTILE(V$7:V$17,1),"")</f>
        <v/>
      </c>
      <c r="W34" s="687">
        <f>IFERROR(QUARTILE(W$7:W$17,1),"")</f>
        <v>0</v>
      </c>
      <c r="X34" s="687" t="str">
        <f>IFERROR(QUARTILE(X$7:X$17,1),"")</f>
        <v/>
      </c>
      <c r="Y34" s="687">
        <f>IFERROR(QUARTILE(Y$7:Y$17,3),"")</f>
        <v>0</v>
      </c>
      <c r="Z34" s="994">
        <f>IFERROR(QUARTILE(Z$7:Z$17,1),"")</f>
        <v>3.0179737783651497</v>
      </c>
      <c r="AA34" s="687">
        <f>IFERROR(QUARTILE(AA$7:AA$17,3),"")</f>
        <v>0.3235407406202595</v>
      </c>
      <c r="AB34" s="687">
        <f>IFERROR(QUARTILE(AB$7:AB$17,1),"")</f>
        <v>0</v>
      </c>
      <c r="AC34" s="688">
        <f>IFERROR(QUARTILE(AC$7:AC$17,3),"")</f>
        <v>6.2555125</v>
      </c>
    </row>
    <row r="35" spans="1:471" x14ac:dyDescent="0.2">
      <c r="RC35" s="712"/>
    </row>
    <row r="39" spans="1:471" x14ac:dyDescent="0.2">
      <c r="B39" s="233"/>
    </row>
    <row r="40" spans="1:471" x14ac:dyDescent="0.2">
      <c r="C40" s="233"/>
    </row>
    <row r="42" spans="1:471" x14ac:dyDescent="0.2">
      <c r="A42" s="727" t="s">
        <v>1106</v>
      </c>
      <c r="B42" s="728"/>
      <c r="C42" s="728"/>
      <c r="D42" s="728"/>
      <c r="E42" s="729"/>
    </row>
    <row r="43" spans="1:471" x14ac:dyDescent="0.2">
      <c r="A43" s="725" t="s">
        <v>1108</v>
      </c>
      <c r="B43" s="726" t="s">
        <v>260</v>
      </c>
      <c r="C43" s="726" t="s">
        <v>1190</v>
      </c>
      <c r="D43" s="726" t="s">
        <v>1192</v>
      </c>
      <c r="E43" s="726" t="s">
        <v>1055</v>
      </c>
    </row>
    <row r="44" spans="1:471" x14ac:dyDescent="0.2">
      <c r="A44" s="723">
        <v>1</v>
      </c>
      <c r="B44" s="724" t="e">
        <f t="shared" ref="B44:B54" si="1052">IFERROR(IF(A44="","",IF(OR(INDEX($EU$7:$FB$24,A44,NumberOfPeriods)="",INDEX($FO$7:$FV$24,A44,NumberOfPeriods)=""),NA(),INDEX($EU$7:$FB$24,A44,NumberOfPeriods))),NA())</f>
        <v>#N/A</v>
      </c>
      <c r="C44" s="724" t="e">
        <f t="shared" ref="C44:C54" si="1053">IFERROR(IF(A44="","",IF(OR(INDEX($FO$7:$FV$24,A44,NumberOfPeriods)="", INDEX($EU$7:$FB$24,A44,NumberOfPeriods)=""),NA(),INDEX($FO$7:$FV$24,A44,NumberOfPeriods))),NA())</f>
        <v>#N/A</v>
      </c>
      <c r="D44" s="724" t="e">
        <f t="shared" ref="D44:D54" si="1054">IFERROR(IF(A44="","",IF(OR(INDEX($TK$7:$TR$24,A44,NumberOfPeriods)="", INDEX($QI$7:$QP$24,A44,NumberOfPeriods)=""), NA(),INDEX($TK$7:$TR$24,A44,NumberOfPeriods))),NA())</f>
        <v>#N/A</v>
      </c>
      <c r="E44" s="724" t="e">
        <f t="shared" ref="E44:E54" si="1055">IFERROR(IF(A44="","",IF(OR(INDEX($QI$7:$QP$24,A44,NumberOfPeriods)="",INDEX($TK$7:$TR$24,A44,NumberOfPeriods)=""), NA(),INDEX($QI$7:$QP$24,A44,NumberOfPeriods))),NA())</f>
        <v>#N/A</v>
      </c>
    </row>
    <row r="45" spans="1:471" x14ac:dyDescent="0.2">
      <c r="A45" s="723">
        <f t="shared" ref="A45:A54" si="1056">IF(A44="","",IF(A44&lt;=NumberOfPeers,A44+1, ""))</f>
        <v>2</v>
      </c>
      <c r="B45" s="724" t="e">
        <f t="shared" si="1052"/>
        <v>#N/A</v>
      </c>
      <c r="C45" s="724" t="e">
        <f t="shared" si="1053"/>
        <v>#N/A</v>
      </c>
      <c r="D45" s="724" t="e">
        <f t="shared" si="1054"/>
        <v>#N/A</v>
      </c>
      <c r="E45" s="724" t="e">
        <f t="shared" si="1055"/>
        <v>#N/A</v>
      </c>
    </row>
    <row r="46" spans="1:471" x14ac:dyDescent="0.2">
      <c r="A46" s="723" t="str">
        <f t="shared" si="1056"/>
        <v/>
      </c>
      <c r="B46" s="724" t="str">
        <f t="shared" si="1052"/>
        <v/>
      </c>
      <c r="C46" s="724" t="str">
        <f t="shared" si="1053"/>
        <v/>
      </c>
      <c r="D46" s="724" t="str">
        <f t="shared" si="1054"/>
        <v/>
      </c>
      <c r="E46" s="724" t="str">
        <f t="shared" si="1055"/>
        <v/>
      </c>
    </row>
    <row r="47" spans="1:471" x14ac:dyDescent="0.2">
      <c r="A47" s="723" t="str">
        <f t="shared" si="1056"/>
        <v/>
      </c>
      <c r="B47" s="724" t="str">
        <f t="shared" si="1052"/>
        <v/>
      </c>
      <c r="C47" s="724" t="str">
        <f t="shared" si="1053"/>
        <v/>
      </c>
      <c r="D47" s="724" t="str">
        <f t="shared" si="1054"/>
        <v/>
      </c>
      <c r="E47" s="724" t="str">
        <f t="shared" si="1055"/>
        <v/>
      </c>
    </row>
    <row r="48" spans="1:471" x14ac:dyDescent="0.2">
      <c r="A48" s="723" t="str">
        <f t="shared" si="1056"/>
        <v/>
      </c>
      <c r="B48" s="724" t="str">
        <f t="shared" si="1052"/>
        <v/>
      </c>
      <c r="C48" s="724" t="str">
        <f t="shared" si="1053"/>
        <v/>
      </c>
      <c r="D48" s="724" t="str">
        <f t="shared" si="1054"/>
        <v/>
      </c>
      <c r="E48" s="724" t="str">
        <f t="shared" si="1055"/>
        <v/>
      </c>
    </row>
    <row r="49" spans="1:7" x14ac:dyDescent="0.2">
      <c r="A49" s="723" t="str">
        <f t="shared" si="1056"/>
        <v/>
      </c>
      <c r="B49" s="724" t="str">
        <f t="shared" si="1052"/>
        <v/>
      </c>
      <c r="C49" s="724" t="str">
        <f t="shared" si="1053"/>
        <v/>
      </c>
      <c r="D49" s="724" t="str">
        <f t="shared" si="1054"/>
        <v/>
      </c>
      <c r="E49" s="724" t="str">
        <f t="shared" si="1055"/>
        <v/>
      </c>
    </row>
    <row r="50" spans="1:7" x14ac:dyDescent="0.2">
      <c r="A50" s="723" t="str">
        <f t="shared" si="1056"/>
        <v/>
      </c>
      <c r="B50" s="724" t="str">
        <f t="shared" si="1052"/>
        <v/>
      </c>
      <c r="C50" s="724" t="str">
        <f t="shared" si="1053"/>
        <v/>
      </c>
      <c r="D50" s="724" t="str">
        <f t="shared" si="1054"/>
        <v/>
      </c>
      <c r="E50" s="724" t="str">
        <f t="shared" si="1055"/>
        <v/>
      </c>
    </row>
    <row r="51" spans="1:7" x14ac:dyDescent="0.2">
      <c r="A51" s="723" t="str">
        <f t="shared" si="1056"/>
        <v/>
      </c>
      <c r="B51" s="724" t="str">
        <f t="shared" si="1052"/>
        <v/>
      </c>
      <c r="C51" s="724" t="str">
        <f t="shared" si="1053"/>
        <v/>
      </c>
      <c r="D51" s="724" t="str">
        <f t="shared" si="1054"/>
        <v/>
      </c>
      <c r="E51" s="724" t="str">
        <f t="shared" si="1055"/>
        <v/>
      </c>
    </row>
    <row r="52" spans="1:7" x14ac:dyDescent="0.2">
      <c r="A52" s="723" t="str">
        <f t="shared" si="1056"/>
        <v/>
      </c>
      <c r="B52" s="724" t="str">
        <f t="shared" si="1052"/>
        <v/>
      </c>
      <c r="C52" s="724" t="str">
        <f t="shared" si="1053"/>
        <v/>
      </c>
      <c r="D52" s="724" t="str">
        <f t="shared" si="1054"/>
        <v/>
      </c>
      <c r="E52" s="724" t="str">
        <f t="shared" si="1055"/>
        <v/>
      </c>
    </row>
    <row r="53" spans="1:7" x14ac:dyDescent="0.2">
      <c r="A53" s="723" t="str">
        <f t="shared" si="1056"/>
        <v/>
      </c>
      <c r="B53" s="724" t="str">
        <f t="shared" si="1052"/>
        <v/>
      </c>
      <c r="C53" s="724" t="str">
        <f t="shared" si="1053"/>
        <v/>
      </c>
      <c r="D53" s="724" t="str">
        <f t="shared" si="1054"/>
        <v/>
      </c>
      <c r="E53" s="724" t="str">
        <f t="shared" si="1055"/>
        <v/>
      </c>
    </row>
    <row r="54" spans="1:7" s="48" customFormat="1" x14ac:dyDescent="0.2">
      <c r="A54" s="723" t="str">
        <f t="shared" si="1056"/>
        <v/>
      </c>
      <c r="B54" s="724" t="str">
        <f t="shared" si="1052"/>
        <v/>
      </c>
      <c r="C54" s="724" t="str">
        <f t="shared" si="1053"/>
        <v/>
      </c>
      <c r="D54" s="724" t="str">
        <f t="shared" si="1054"/>
        <v/>
      </c>
      <c r="E54" s="724" t="str">
        <f t="shared" si="1055"/>
        <v/>
      </c>
      <c r="F54" s="244"/>
    </row>
    <row r="55" spans="1:7" x14ac:dyDescent="0.2">
      <c r="A55" s="723">
        <v>12</v>
      </c>
      <c r="B55" s="724">
        <f t="array" ref="B55">MEDIAN(IF(NOT(ISNA(B42:B52)),B42:B52))</f>
        <v>0</v>
      </c>
      <c r="C55" s="724">
        <f t="array" ref="C55">MEDIAN(IF(NOT(ISNA(C42:C52)),C42:C52))</f>
        <v>0</v>
      </c>
      <c r="D55" s="724">
        <f t="array" ref="D55">MEDIAN(IF(NOT(ISNA(D42:D52)),D42:D52))</f>
        <v>0</v>
      </c>
      <c r="E55" s="724">
        <f t="array" ref="E55">MEDIAN(IF(NOT(ISNA(E42:E52)),E42:E52))</f>
        <v>0</v>
      </c>
      <c r="F55" s="50" t="s">
        <v>1123</v>
      </c>
    </row>
    <row r="56" spans="1:7" x14ac:dyDescent="0.2">
      <c r="A56" s="723">
        <v>17</v>
      </c>
      <c r="B56" s="724">
        <f t="array" ref="B56">MAX(IF(NOT(ISNA(B43:B53)),B43:B53))</f>
        <v>0</v>
      </c>
      <c r="C56" s="724">
        <f t="array" ref="C56">MAX(IF(NOT(ISNA(C43:C53)),C43:C53))</f>
        <v>0</v>
      </c>
      <c r="D56" s="724">
        <f t="array" ref="D56">MAX(IF(NOT(ISNA(D43:D53)),D43:D53))</f>
        <v>0</v>
      </c>
      <c r="E56" s="724">
        <f t="array" ref="E56">MAX(IF(NOT(ISNA(E43:E53)),E43:E53))</f>
        <v>0</v>
      </c>
      <c r="F56" s="50" t="s">
        <v>1215</v>
      </c>
      <c r="G56" s="233"/>
    </row>
    <row r="57" spans="1:7" x14ac:dyDescent="0.2">
      <c r="A57" s="723">
        <v>18</v>
      </c>
      <c r="B57" s="724">
        <f t="array" ref="B57">MIN(IF(NOT(ISNA(B44:B54)),B44:B54))</f>
        <v>0</v>
      </c>
      <c r="C57" s="724">
        <f t="array" ref="C57">MIN(IF(NOT(ISNA(C44:C54)),C44:C54))</f>
        <v>0</v>
      </c>
      <c r="D57" s="724">
        <f t="array" ref="D57">MIN(IF(NOT(ISNA(D44:D54)),D44:D54))</f>
        <v>0</v>
      </c>
      <c r="E57" s="724">
        <f t="array" ref="E57">MIN(IF(NOT(ISNA(E44:E54)),E44:E54))</f>
        <v>0</v>
      </c>
      <c r="F57" s="50" t="s">
        <v>1216</v>
      </c>
    </row>
  </sheetData>
  <mergeCells count="27">
    <mergeCell ref="UE5:UX5"/>
    <mergeCell ref="EA5:ET5"/>
    <mergeCell ref="JK5:KD5"/>
    <mergeCell ref="KE5:KX5"/>
    <mergeCell ref="KY5:LR5"/>
    <mergeCell ref="LS5:ML5"/>
    <mergeCell ref="EU5:FN5"/>
    <mergeCell ref="FO5:GH5"/>
    <mergeCell ref="GI5:HB5"/>
    <mergeCell ref="HC5:HV5"/>
    <mergeCell ref="HW5:IP5"/>
    <mergeCell ref="IQ5:JJ5"/>
    <mergeCell ref="TK5:UD5"/>
    <mergeCell ref="MM5:NF5"/>
    <mergeCell ref="NG5:NZ5"/>
    <mergeCell ref="OA5:OT5"/>
    <mergeCell ref="AE5:AX5"/>
    <mergeCell ref="AY5:BR5"/>
    <mergeCell ref="BS5:CL5"/>
    <mergeCell ref="CM5:DF5"/>
    <mergeCell ref="DG5:DZ5"/>
    <mergeCell ref="OU5:PN5"/>
    <mergeCell ref="SQ5:TJ5"/>
    <mergeCell ref="RW5:SP5"/>
    <mergeCell ref="QI5:RB5"/>
    <mergeCell ref="RC5:RV5"/>
    <mergeCell ref="PO5:QH5"/>
  </mergeCells>
  <conditionalFormatting sqref="G8:G17 BS8:BS17 AC7:AC17 AA8:AA17 I7:X17">
    <cfRule type="expression" dxfId="264" priority="345">
      <formula>IF(G7=G$24,TRUE,FALSE)</formula>
    </cfRule>
    <cfRule type="expression" dxfId="263" priority="346">
      <formula>IF(G7=G$23,TRUE,FALSE)</formula>
    </cfRule>
  </conditionalFormatting>
  <conditionalFormatting sqref="G7">
    <cfRule type="expression" dxfId="262" priority="343">
      <formula>IF(G7=G$24,TRUE,FALSE)</formula>
    </cfRule>
    <cfRule type="expression" dxfId="261" priority="344">
      <formula>IF(G7=G$23,TRUE,FALSE)</formula>
    </cfRule>
  </conditionalFormatting>
  <conditionalFormatting sqref="H8:H17">
    <cfRule type="expression" dxfId="260" priority="341">
      <formula>IF(H8=H$24,TRUE,FALSE)</formula>
    </cfRule>
    <cfRule type="expression" dxfId="259" priority="342">
      <formula>IF(H8=H$23,TRUE,FALSE)</formula>
    </cfRule>
  </conditionalFormatting>
  <conditionalFormatting sqref="H7">
    <cfRule type="expression" dxfId="258" priority="339">
      <formula>IF(H7=H$24,TRUE,FALSE)</formula>
    </cfRule>
    <cfRule type="expression" dxfId="257" priority="340">
      <formula>IF(H7=H$23,TRUE,FALSE)</formula>
    </cfRule>
  </conditionalFormatting>
  <conditionalFormatting sqref="AA7">
    <cfRule type="expression" dxfId="256" priority="335">
      <formula>IF(AA7=AA$24,TRUE,FALSE)</formula>
    </cfRule>
    <cfRule type="expression" dxfId="255" priority="336">
      <formula>IF(AA7=AA$23,TRUE,FALSE)</formula>
    </cfRule>
  </conditionalFormatting>
  <conditionalFormatting sqref="AE8:AX17">
    <cfRule type="expression" dxfId="254" priority="219">
      <formula>IF(AE8=AE$24,TRUE,FALSE)</formula>
    </cfRule>
    <cfRule type="expression" dxfId="253" priority="220">
      <formula>IF(AE8=AE$23,TRUE,FALSE)</formula>
    </cfRule>
  </conditionalFormatting>
  <conditionalFormatting sqref="AE7:AX7">
    <cfRule type="expression" dxfId="252" priority="217">
      <formula>IF(AE7=AE$24,TRUE,FALSE)</formula>
    </cfRule>
    <cfRule type="expression" dxfId="251" priority="218">
      <formula>IF(AE7=AE$23,TRUE,FALSE)</formula>
    </cfRule>
  </conditionalFormatting>
  <conditionalFormatting sqref="LS7:ML7">
    <cfRule type="expression" dxfId="250" priority="149">
      <formula>IF(LS7=LS$24,TRUE,FALSE)</formula>
    </cfRule>
    <cfRule type="expression" dxfId="249" priority="150">
      <formula>IF(LS7=LS$23,TRUE,FALSE)</formula>
    </cfRule>
  </conditionalFormatting>
  <conditionalFormatting sqref="LS8:ML17">
    <cfRule type="expression" dxfId="248" priority="151">
      <formula>IF(LS8=LS$24,TRUE,FALSE)</formula>
    </cfRule>
    <cfRule type="expression" dxfId="247" priority="152">
      <formula>IF(LS8=LS$23,TRUE,FALSE)</formula>
    </cfRule>
  </conditionalFormatting>
  <conditionalFormatting sqref="AY7:BR17">
    <cfRule type="expression" dxfId="246" priority="209">
      <formula>IF(AY7=AY$24,TRUE,FALSE)</formula>
    </cfRule>
    <cfRule type="expression" dxfId="245" priority="210">
      <formula>IF(AY7=AY$23,TRUE,FALSE)</formula>
    </cfRule>
  </conditionalFormatting>
  <conditionalFormatting sqref="BS8:BS17">
    <cfRule type="expression" dxfId="244" priority="207">
      <formula>IF(BS8=BS$24,TRUE,FALSE)</formula>
    </cfRule>
    <cfRule type="expression" dxfId="243" priority="208">
      <formula>IF(BS8=BS$23,TRUE,FALSE)</formula>
    </cfRule>
  </conditionalFormatting>
  <conditionalFormatting sqref="BS7:CL7">
    <cfRule type="expression" dxfId="242" priority="205">
      <formula>IF(BS7=BS$24,TRUE,FALSE)</formula>
    </cfRule>
    <cfRule type="expression" dxfId="241" priority="206">
      <formula>IF(BS7=BS$23,TRUE,FALSE)</formula>
    </cfRule>
  </conditionalFormatting>
  <conditionalFormatting sqref="CM7:DF17">
    <cfRule type="expression" dxfId="240" priority="201">
      <formula>IF(CM7=CM$24,TRUE,FALSE)</formula>
    </cfRule>
    <cfRule type="expression" dxfId="239" priority="202">
      <formula>IF(CM7=CM$23,TRUE,FALSE)</formula>
    </cfRule>
  </conditionalFormatting>
  <conditionalFormatting sqref="DG8:DZ17">
    <cfRule type="expression" dxfId="238" priority="199">
      <formula>IF(DG8=DG$24,TRUE,FALSE)</formula>
    </cfRule>
    <cfRule type="expression" dxfId="237" priority="200">
      <formula>IF(DG8=DG$23,TRUE,FALSE)</formula>
    </cfRule>
  </conditionalFormatting>
  <conditionalFormatting sqref="DG7:DZ7">
    <cfRule type="expression" dxfId="236" priority="197">
      <formula>IF(DG7=DG$24,TRUE,FALSE)</formula>
    </cfRule>
    <cfRule type="expression" dxfId="235" priority="198">
      <formula>IF(DG7=DG$23,TRUE,FALSE)</formula>
    </cfRule>
  </conditionalFormatting>
  <conditionalFormatting sqref="EA8:ET17">
    <cfRule type="expression" dxfId="234" priority="191">
      <formula>IF(EA8=EA$24,TRUE,FALSE)</formula>
    </cfRule>
    <cfRule type="expression" dxfId="233" priority="192">
      <formula>IF(EA8=EA$23,TRUE,FALSE)</formula>
    </cfRule>
  </conditionalFormatting>
  <conditionalFormatting sqref="EA7:ET7">
    <cfRule type="expression" dxfId="232" priority="189">
      <formula>IF(EA7=EA$24,TRUE,FALSE)</formula>
    </cfRule>
    <cfRule type="expression" dxfId="231" priority="190">
      <formula>IF(EA7=EA$23,TRUE,FALSE)</formula>
    </cfRule>
  </conditionalFormatting>
  <conditionalFormatting sqref="EU8:FN17">
    <cfRule type="expression" dxfId="230" priority="187">
      <formula>IF(EU8=EU$24,TRUE,FALSE)</formula>
    </cfRule>
    <cfRule type="expression" dxfId="229" priority="188">
      <formula>IF(EU8=EU$23,TRUE,FALSE)</formula>
    </cfRule>
  </conditionalFormatting>
  <conditionalFormatting sqref="EU7:FN7">
    <cfRule type="expression" dxfId="228" priority="185">
      <formula>IF(EU7=EU$24,TRUE,FALSE)</formula>
    </cfRule>
    <cfRule type="expression" dxfId="227" priority="186">
      <formula>IF(EU7=EU$23,TRUE,FALSE)</formula>
    </cfRule>
  </conditionalFormatting>
  <conditionalFormatting sqref="FO8:GH17">
    <cfRule type="expression" dxfId="226" priority="183">
      <formula>IF(FO8=FO$24,TRUE,FALSE)</formula>
    </cfRule>
    <cfRule type="expression" dxfId="225" priority="184">
      <formula>IF(FO8=FO$23,TRUE,FALSE)</formula>
    </cfRule>
  </conditionalFormatting>
  <conditionalFormatting sqref="FO7:GH7">
    <cfRule type="expression" dxfId="224" priority="181">
      <formula>IF(FO7=FO$24,TRUE,FALSE)</formula>
    </cfRule>
    <cfRule type="expression" dxfId="223" priority="182">
      <formula>IF(FO7=FO$23,TRUE,FALSE)</formula>
    </cfRule>
  </conditionalFormatting>
  <conditionalFormatting sqref="GI8:HB17">
    <cfRule type="expression" dxfId="222" priority="179">
      <formula>IF(GI8=GI$24,TRUE,FALSE)</formula>
    </cfRule>
    <cfRule type="expression" dxfId="221" priority="180">
      <formula>IF(GI8=GI$23,TRUE,FALSE)</formula>
    </cfRule>
  </conditionalFormatting>
  <conditionalFormatting sqref="GI7:HB7">
    <cfRule type="expression" dxfId="220" priority="177">
      <formula>IF(GI7=GI$24,TRUE,FALSE)</formula>
    </cfRule>
    <cfRule type="expression" dxfId="219" priority="178">
      <formula>IF(GI7=GI$23,TRUE,FALSE)</formula>
    </cfRule>
  </conditionalFormatting>
  <conditionalFormatting sqref="HC8:HV17">
    <cfRule type="expression" dxfId="218" priority="175">
      <formula>IF(HC8=HC$24,TRUE,FALSE)</formula>
    </cfRule>
    <cfRule type="expression" dxfId="217" priority="176">
      <formula>IF(HC8=HC$23,TRUE,FALSE)</formula>
    </cfRule>
  </conditionalFormatting>
  <conditionalFormatting sqref="HC7:HV17">
    <cfRule type="expression" dxfId="216" priority="173">
      <formula>IF(HC7=HC$24,TRUE,FALSE)</formula>
    </cfRule>
    <cfRule type="expression" dxfId="215" priority="174">
      <formula>IF(HC7=HC$23,TRUE,FALSE)</formula>
    </cfRule>
  </conditionalFormatting>
  <conditionalFormatting sqref="HW8:IP17">
    <cfRule type="expression" dxfId="214" priority="171">
      <formula>IF(HW8=HW$24,TRUE,FALSE)</formula>
    </cfRule>
    <cfRule type="expression" dxfId="213" priority="172">
      <formula>IF(HW8=HW$23,TRUE,FALSE)</formula>
    </cfRule>
  </conditionalFormatting>
  <conditionalFormatting sqref="HW7:IP17">
    <cfRule type="expression" dxfId="212" priority="169">
      <formula>IF(HW7=HW$24,TRUE,FALSE)</formula>
    </cfRule>
    <cfRule type="expression" dxfId="211" priority="170">
      <formula>IF(HW7=HW$23,TRUE,FALSE)</formula>
    </cfRule>
  </conditionalFormatting>
  <conditionalFormatting sqref="IQ8:JJ17">
    <cfRule type="expression" dxfId="210" priority="167">
      <formula>IF(IQ8=IQ$24,TRUE,FALSE)</formula>
    </cfRule>
    <cfRule type="expression" dxfId="209" priority="168">
      <formula>IF(IQ8=IQ$23,TRUE,FALSE)</formula>
    </cfRule>
  </conditionalFormatting>
  <conditionalFormatting sqref="IQ7:JJ17">
    <cfRule type="expression" dxfId="208" priority="165">
      <formula>IF(IQ7=IQ$24,TRUE,FALSE)</formula>
    </cfRule>
    <cfRule type="expression" dxfId="207" priority="166">
      <formula>IF(IQ7=IQ$23,TRUE,FALSE)</formula>
    </cfRule>
  </conditionalFormatting>
  <conditionalFormatting sqref="JK8:KD17">
    <cfRule type="expression" dxfId="206" priority="163">
      <formula>IF(JK8=JK$24,TRUE,FALSE)</formula>
    </cfRule>
    <cfRule type="expression" dxfId="205" priority="164">
      <formula>IF(JK8=JK$23,TRUE,FALSE)</formula>
    </cfRule>
  </conditionalFormatting>
  <conditionalFormatting sqref="JK7:KD17">
    <cfRule type="expression" dxfId="204" priority="161">
      <formula>IF(JK7=JK$24,TRUE,FALSE)</formula>
    </cfRule>
    <cfRule type="expression" dxfId="203" priority="162">
      <formula>IF(JK7=JK$23,TRUE,FALSE)</formula>
    </cfRule>
  </conditionalFormatting>
  <conditionalFormatting sqref="KE8:KX17">
    <cfRule type="expression" dxfId="202" priority="159">
      <formula>IF(KE8=KE$24,TRUE,FALSE)</formula>
    </cfRule>
    <cfRule type="expression" dxfId="201" priority="160">
      <formula>IF(KE8=KE$23,TRUE,FALSE)</formula>
    </cfRule>
  </conditionalFormatting>
  <conditionalFormatting sqref="KE7:KX17">
    <cfRule type="expression" dxfId="200" priority="157">
      <formula>IF(KE7=KE$24,TRUE,FALSE)</formula>
    </cfRule>
    <cfRule type="expression" dxfId="199" priority="158">
      <formula>IF(KE7=KE$23,TRUE,FALSE)</formula>
    </cfRule>
  </conditionalFormatting>
  <conditionalFormatting sqref="KY8:LR17">
    <cfRule type="expression" dxfId="198" priority="155">
      <formula>IF(KY8=KY$24,TRUE,FALSE)</formula>
    </cfRule>
    <cfRule type="expression" dxfId="197" priority="156">
      <formula>IF(KY8=KY$23,TRUE,FALSE)</formula>
    </cfRule>
  </conditionalFormatting>
  <conditionalFormatting sqref="KY7:LR17">
    <cfRule type="expression" dxfId="196" priority="153">
      <formula>IF(KY7=KY$24,TRUE,FALSE)</formula>
    </cfRule>
    <cfRule type="expression" dxfId="195" priority="154">
      <formula>IF(KY7=KY$23,TRUE,FALSE)</formula>
    </cfRule>
  </conditionalFormatting>
  <conditionalFormatting sqref="BS8:CK17">
    <cfRule type="expression" dxfId="194" priority="67">
      <formula>IF(BS8=BS$24,TRUE,FALSE)</formula>
    </cfRule>
    <cfRule type="expression" dxfId="193" priority="68">
      <formula>IF(BS8=BS$23,TRUE,FALSE)</formula>
    </cfRule>
  </conditionalFormatting>
  <conditionalFormatting sqref="CL8:CL17">
    <cfRule type="expression" dxfId="192" priority="65">
      <formula>IF(CL8=CL$24,TRUE,FALSE)</formula>
    </cfRule>
    <cfRule type="expression" dxfId="191" priority="66">
      <formula>IF(CL8=CL$23,TRUE,FALSE)</formula>
    </cfRule>
  </conditionalFormatting>
  <conditionalFormatting sqref="MM7:NF17">
    <cfRule type="expression" dxfId="190" priority="59">
      <formula>IF(MM7=MM$24,TRUE,FALSE)</formula>
    </cfRule>
    <cfRule type="expression" dxfId="189" priority="60">
      <formula>IF(MM7=MM$23,TRUE,FALSE)</formula>
    </cfRule>
  </conditionalFormatting>
  <conditionalFormatting sqref="OA8:OT17">
    <cfRule type="expression" dxfId="188" priority="39">
      <formula>IF(OA8=OA$24,TRUE,FALSE)</formula>
    </cfRule>
    <cfRule type="expression" dxfId="187" priority="40">
      <formula>IF(OA8=OA$23,TRUE,FALSE)</formula>
    </cfRule>
  </conditionalFormatting>
  <conditionalFormatting sqref="OA7:OT17">
    <cfRule type="expression" dxfId="186" priority="37">
      <formula>IF(OA7=OA$24,TRUE,FALSE)</formula>
    </cfRule>
    <cfRule type="expression" dxfId="185" priority="38">
      <formula>IF(OA7=OA$23,TRUE,FALSE)</formula>
    </cfRule>
  </conditionalFormatting>
  <conditionalFormatting sqref="OU8:PN17">
    <cfRule type="expression" dxfId="184" priority="35">
      <formula>IF(OU8=OU$24,TRUE,FALSE)</formula>
    </cfRule>
    <cfRule type="expression" dxfId="183" priority="36">
      <formula>IF(OU8=OU$23,TRUE,FALSE)</formula>
    </cfRule>
  </conditionalFormatting>
  <conditionalFormatting sqref="OU7:PN17">
    <cfRule type="expression" dxfId="182" priority="33">
      <formula>IF(OU7=OU$24,TRUE,FALSE)</formula>
    </cfRule>
    <cfRule type="expression" dxfId="181" priority="34">
      <formula>IF(OU7=OU$23,TRUE,FALSE)</formula>
    </cfRule>
  </conditionalFormatting>
  <conditionalFormatting sqref="AB7:AB17">
    <cfRule type="expression" dxfId="180" priority="31">
      <formula>IF(AB7=AB$24,TRUE,FALSE)</formula>
    </cfRule>
    <cfRule type="expression" dxfId="179" priority="32">
      <formula>IF(AB7=AB$23,TRUE,FALSE)</formula>
    </cfRule>
  </conditionalFormatting>
  <conditionalFormatting sqref="NG8:NZ17">
    <cfRule type="expression" dxfId="178" priority="43">
      <formula>IF(NG8=NG$24,TRUE,FALSE)</formula>
    </cfRule>
    <cfRule type="expression" dxfId="177" priority="44">
      <formula>IF(NG8=NG$23,TRUE,FALSE)</formula>
    </cfRule>
  </conditionalFormatting>
  <conditionalFormatting sqref="NG7:NZ17">
    <cfRule type="expression" dxfId="176" priority="41">
      <formula>IF(NG7=NG$24,TRUE,FALSE)</formula>
    </cfRule>
    <cfRule type="expression" dxfId="175" priority="42">
      <formula>IF(NG7=NG$23,TRUE,FALSE)</formula>
    </cfRule>
  </conditionalFormatting>
  <conditionalFormatting sqref="PO7:QH17">
    <cfRule type="expression" dxfId="174" priority="29">
      <formula>IF(PO7=PO$24,TRUE,FALSE)</formula>
    </cfRule>
    <cfRule type="expression" dxfId="173" priority="30">
      <formula>IF(PO7=PO$23,TRUE,FALSE)</formula>
    </cfRule>
  </conditionalFormatting>
  <conditionalFormatting sqref="QI7:RB17">
    <cfRule type="expression" dxfId="172" priority="27">
      <formula>IF(QI7=QI$24,TRUE,FALSE)</formula>
    </cfRule>
    <cfRule type="expression" dxfId="171" priority="28">
      <formula>IF(QI7=QI$23,TRUE,FALSE)</formula>
    </cfRule>
  </conditionalFormatting>
  <conditionalFormatting sqref="RC7:RV17">
    <cfRule type="expression" dxfId="170" priority="25">
      <formula>IF(RC7=RC$24,TRUE,FALSE)</formula>
    </cfRule>
    <cfRule type="expression" dxfId="169" priority="26">
      <formula>IF(RC7=RC$23,TRUE,FALSE)</formula>
    </cfRule>
  </conditionalFormatting>
  <conditionalFormatting sqref="RW7:SP17">
    <cfRule type="expression" dxfId="168" priority="23">
      <formula>IF(RW7=RW$24,TRUE,FALSE)</formula>
    </cfRule>
    <cfRule type="expression" dxfId="167" priority="24">
      <formula>IF(RW7=RW$23,TRUE,FALSE)</formula>
    </cfRule>
  </conditionalFormatting>
  <conditionalFormatting sqref="SQ7:TJ17">
    <cfRule type="expression" dxfId="166" priority="15">
      <formula>IF(SQ7=SQ$24,TRUE,FALSE)</formula>
    </cfRule>
    <cfRule type="expression" dxfId="165" priority="16">
      <formula>IF(SQ7=SQ$23,TRUE,FALSE)</formula>
    </cfRule>
  </conditionalFormatting>
  <conditionalFormatting sqref="TK7:UD17">
    <cfRule type="expression" dxfId="164" priority="13">
      <formula>IF(TK7=TK$24,TRUE,FALSE)</formula>
    </cfRule>
    <cfRule type="expression" dxfId="163" priority="14">
      <formula>IF(TK7=TK$23,TRUE,FALSE)</formula>
    </cfRule>
  </conditionalFormatting>
  <conditionalFormatting sqref="UE8:UX17">
    <cfRule type="expression" dxfId="162" priority="9">
      <formula>IF(UE8=UE$24,TRUE,FALSE)</formula>
    </cfRule>
    <cfRule type="expression" dxfId="161" priority="10">
      <formula>IF(UE8=UE$23,TRUE,FALSE)</formula>
    </cfRule>
  </conditionalFormatting>
  <conditionalFormatting sqref="UE7:UX7">
    <cfRule type="expression" dxfId="160" priority="7">
      <formula>IF(UE7=UE$24,TRUE,FALSE)</formula>
    </cfRule>
    <cfRule type="expression" dxfId="159" priority="8">
      <formula>IF(UE7=UE$23,TRUE,FALSE)</formula>
    </cfRule>
  </conditionalFormatting>
  <conditionalFormatting sqref="Y7:Y17">
    <cfRule type="expression" dxfId="158" priority="3">
      <formula>IF(Y7=Y$24,TRUE,FALSE)</formula>
    </cfRule>
    <cfRule type="expression" dxfId="157" priority="4">
      <formula>IF(Y7=Y$23,TRUE,FALSE)</formula>
    </cfRule>
  </conditionalFormatting>
  <conditionalFormatting sqref="Z7:Z17">
    <cfRule type="expression" dxfId="156" priority="553">
      <formula>IF(Z7=P$24,TRUE,FALSE)</formula>
    </cfRule>
    <cfRule type="expression" dxfId="155" priority="554">
      <formula>IF(Z7=P$23,TRUE,FALSE)</formula>
    </cfRule>
  </conditionalFormatting>
  <pageMargins left="0.7" right="0.7" top="0.75" bottom="0.75" header="0.3" footer="0.3"/>
  <pageSetup orientation="portrait" r:id="rId1"/>
  <ignoredErrors>
    <ignoredError sqref="AC33:AC34 K30 K23:K28 W33:W34 Q33:Q34 S33:S34 AA33:AA34 AA23:AA28 Y23:Y34 AB33:AB34" formula="1"/>
  </ignoredError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
    <tabColor theme="0" tint="-0.499984740745262"/>
  </sheetPr>
  <dimension ref="A1:ACR57"/>
  <sheetViews>
    <sheetView showGridLines="0" workbookViewId="0">
      <selection activeCell="C3" sqref="C3"/>
    </sheetView>
  </sheetViews>
  <sheetFormatPr defaultColWidth="9" defaultRowHeight="12.75" outlineLevelRow="1" x14ac:dyDescent="0.2"/>
  <cols>
    <col min="1" max="1" width="36.625" style="25" customWidth="1"/>
    <col min="2" max="3" width="15.25" style="25" customWidth="1"/>
    <col min="4" max="4" width="25.5" style="25" customWidth="1"/>
    <col min="5" max="16" width="10.625" style="25" customWidth="1"/>
    <col min="17" max="17" width="9.25" style="25" customWidth="1"/>
    <col min="18" max="26" width="10.625" style="25" customWidth="1"/>
    <col min="27" max="32" width="10.25" style="25" customWidth="1"/>
    <col min="33" max="33" width="9.5" style="25" customWidth="1"/>
    <col min="34" max="34" width="11.75" style="25" customWidth="1"/>
    <col min="35" max="36" width="9.5" style="25" customWidth="1"/>
    <col min="37" max="42" width="9" style="25" customWidth="1"/>
    <col min="43" max="52" width="9" style="25" hidden="1" customWidth="1"/>
    <col min="53" max="56" width="9.5" style="25" customWidth="1"/>
    <col min="57" max="62" width="9" style="25" customWidth="1"/>
    <col min="63" max="72" width="9" style="25" hidden="1" customWidth="1"/>
    <col min="73" max="76" width="9.5" style="25" customWidth="1"/>
    <col min="77" max="82" width="9" style="25" customWidth="1"/>
    <col min="83" max="92" width="9" style="25" hidden="1" customWidth="1"/>
    <col min="93" max="93" width="9" style="25" customWidth="1"/>
    <col min="94" max="96" width="9.5" style="25" customWidth="1"/>
    <col min="97" max="102" width="9" style="25" customWidth="1"/>
    <col min="103" max="112" width="9" style="25" hidden="1" customWidth="1"/>
    <col min="113" max="116" width="9.5" style="25" customWidth="1"/>
    <col min="117" max="122" width="9" style="25" customWidth="1"/>
    <col min="123" max="132" width="9" style="25" hidden="1" customWidth="1"/>
    <col min="133" max="136" width="9.5" style="25" customWidth="1"/>
    <col min="137" max="142" width="9" style="25" customWidth="1"/>
    <col min="143" max="152" width="9" style="25" hidden="1" customWidth="1"/>
    <col min="153" max="156" width="9.5" style="25" customWidth="1"/>
    <col min="157" max="162" width="9" style="25" customWidth="1"/>
    <col min="163" max="172" width="9" style="25" hidden="1" customWidth="1"/>
    <col min="173" max="176" width="9.5" style="25" customWidth="1"/>
    <col min="177" max="182" width="9" style="25" customWidth="1"/>
    <col min="183" max="192" width="9" style="25" hidden="1" customWidth="1"/>
    <col min="193" max="193" width="9.75" style="25" customWidth="1"/>
    <col min="194" max="196" width="9.5" style="25" customWidth="1"/>
    <col min="197" max="202" width="9" style="25" customWidth="1"/>
    <col min="203" max="212" width="9" style="25" hidden="1" customWidth="1"/>
    <col min="213" max="216" width="9.5" style="25" customWidth="1"/>
    <col min="217" max="222" width="9" style="25" customWidth="1"/>
    <col min="223" max="232" width="9" style="25" hidden="1" customWidth="1"/>
    <col min="233" max="236" width="9.5" style="25" customWidth="1"/>
    <col min="237" max="242" width="9" style="25" customWidth="1"/>
    <col min="243" max="252" width="9" style="25" hidden="1" customWidth="1"/>
    <col min="253" max="256" width="9.5" style="25" customWidth="1"/>
    <col min="257" max="262" width="9" style="25" customWidth="1"/>
    <col min="263" max="272" width="9" style="25" hidden="1" customWidth="1"/>
    <col min="273" max="276" width="9.5" style="25" customWidth="1"/>
    <col min="277" max="282" width="9" style="25" customWidth="1"/>
    <col min="283" max="292" width="9" style="25" hidden="1" customWidth="1"/>
    <col min="293" max="296" width="9.5" style="25" customWidth="1"/>
    <col min="297" max="302" width="9" style="25" customWidth="1"/>
    <col min="303" max="312" width="9" style="25" hidden="1" customWidth="1"/>
    <col min="313" max="322" width="9" style="25" customWidth="1"/>
    <col min="323" max="332" width="9" style="25" hidden="1" customWidth="1"/>
    <col min="333" max="342" width="9" style="25" customWidth="1"/>
    <col min="343" max="352" width="9" style="25" hidden="1" customWidth="1"/>
    <col min="353" max="362" width="9" style="25" customWidth="1"/>
    <col min="363" max="372" width="9" style="25" hidden="1" customWidth="1"/>
    <col min="373" max="382" width="9" style="25" customWidth="1"/>
    <col min="383" max="392" width="9" style="25" hidden="1" customWidth="1"/>
    <col min="393" max="396" width="9.5" style="25" customWidth="1"/>
    <col min="397" max="402" width="9" style="25" customWidth="1"/>
    <col min="403" max="412" width="9" style="25" hidden="1" customWidth="1"/>
    <col min="413" max="416" width="9.5" style="25" customWidth="1"/>
    <col min="417" max="422" width="9" style="25" customWidth="1"/>
    <col min="423" max="432" width="9" style="25" hidden="1" customWidth="1"/>
    <col min="433" max="436" width="9.5" style="25" customWidth="1"/>
    <col min="437" max="442" width="9" style="25" customWidth="1"/>
    <col min="443" max="452" width="9" style="25" hidden="1" customWidth="1"/>
    <col min="453" max="456" width="9.5" style="25" customWidth="1"/>
    <col min="457" max="462" width="9" style="25" customWidth="1"/>
    <col min="463" max="472" width="9" style="25" hidden="1" customWidth="1"/>
    <col min="473" max="476" width="9.5" style="25" customWidth="1"/>
    <col min="477" max="482" width="9" style="25" customWidth="1"/>
    <col min="483" max="492" width="9" style="25" hidden="1" customWidth="1"/>
    <col min="493" max="496" width="9.5" style="25" customWidth="1"/>
    <col min="497" max="502" width="9" style="25" customWidth="1"/>
    <col min="503" max="512" width="9" style="25" hidden="1" customWidth="1"/>
    <col min="513" max="516" width="9.5" style="25" customWidth="1"/>
    <col min="517" max="522" width="9" style="25" customWidth="1"/>
    <col min="523" max="532" width="9" style="25" hidden="1" customWidth="1"/>
    <col min="533" max="533" width="10.25" style="25" customWidth="1"/>
    <col min="534" max="536" width="11.75" style="25" customWidth="1"/>
    <col min="537" max="542" width="11.25" style="25" customWidth="1"/>
    <col min="543" max="550" width="11.25" style="25" hidden="1" customWidth="1"/>
    <col min="551" max="552" width="9.25" style="25" hidden="1" customWidth="1"/>
    <col min="553" max="553" width="11.25" style="25" customWidth="1"/>
    <col min="554" max="556" width="10.75" style="25" customWidth="1"/>
    <col min="557" max="562" width="10.25" style="25" customWidth="1"/>
    <col min="563" max="570" width="10.25" style="25" hidden="1" customWidth="1"/>
    <col min="571" max="572" width="9" style="25" hidden="1" customWidth="1"/>
    <col min="573" max="573" width="11.25" style="25" customWidth="1"/>
    <col min="574" max="576" width="10.75" style="25" customWidth="1"/>
    <col min="577" max="582" width="9" style="25" customWidth="1"/>
    <col min="583" max="592" width="9" style="25" hidden="1" customWidth="1"/>
    <col min="593" max="593" width="10.25" style="25" customWidth="1"/>
    <col min="594" max="596" width="10.75" style="25" customWidth="1"/>
    <col min="597" max="602" width="9" style="25" customWidth="1"/>
    <col min="603" max="612" width="9" style="25" hidden="1" customWidth="1"/>
    <col min="613" max="613" width="10.25" style="48" customWidth="1"/>
    <col min="614" max="616" width="10.75" style="48" customWidth="1"/>
    <col min="617" max="622" width="9" style="48" customWidth="1"/>
    <col min="623" max="632" width="9" style="48" hidden="1" customWidth="1"/>
    <col min="633" max="633" width="10.25" style="48" customWidth="1"/>
    <col min="634" max="636" width="10.75" style="48" customWidth="1"/>
    <col min="637" max="642" width="9" style="48" customWidth="1"/>
    <col min="643" max="652" width="9" style="48" hidden="1" customWidth="1"/>
    <col min="653" max="656" width="11" style="48" customWidth="1"/>
    <col min="657" max="660" width="10" style="48" customWidth="1"/>
    <col min="661" max="662" width="9" style="48" customWidth="1"/>
    <col min="663" max="672" width="9" style="48" hidden="1" customWidth="1"/>
    <col min="673" max="673" width="10.25" style="48" customWidth="1"/>
    <col min="674" max="676" width="10.75" style="48" customWidth="1"/>
    <col min="677" max="682" width="10" style="48" customWidth="1"/>
    <col min="683" max="684" width="10" style="48" hidden="1" customWidth="1"/>
    <col min="685" max="692" width="9" style="48" hidden="1" customWidth="1"/>
    <col min="693" max="693" width="10.25" style="48" customWidth="1"/>
    <col min="694" max="696" width="10.75" style="48" customWidth="1"/>
    <col min="697" max="700" width="10" style="48" customWidth="1"/>
    <col min="701" max="702" width="9" style="48" customWidth="1"/>
    <col min="703" max="712" width="9" style="48" hidden="1" customWidth="1"/>
    <col min="713" max="716" width="11" style="48" customWidth="1"/>
    <col min="717" max="720" width="10" style="48" customWidth="1"/>
    <col min="721" max="722" width="9" style="48" customWidth="1"/>
    <col min="723" max="732" width="9" style="48" hidden="1" customWidth="1"/>
    <col min="733" max="733" width="10.25" style="48" customWidth="1"/>
    <col min="734" max="736" width="10.75" style="48" customWidth="1"/>
    <col min="737" max="740" width="10" style="48" customWidth="1"/>
    <col min="741" max="742" width="9" style="48" customWidth="1"/>
    <col min="743" max="752" width="9" style="48" hidden="1" customWidth="1"/>
    <col min="753" max="762" width="9" style="25" customWidth="1"/>
    <col min="763" max="772" width="9" style="25" hidden="1" customWidth="1"/>
    <col min="773" max="16384" width="9" style="25"/>
  </cols>
  <sheetData>
    <row r="1" spans="1:772" ht="20.100000000000001" customHeight="1" x14ac:dyDescent="0.2">
      <c r="A1" s="18" t="s">
        <v>411</v>
      </c>
      <c r="B1" s="30"/>
      <c r="C1" s="30"/>
      <c r="D1" s="30"/>
      <c r="E1" s="30"/>
      <c r="F1" s="20"/>
      <c r="G1" s="31"/>
      <c r="H1" s="30"/>
      <c r="I1" s="98"/>
      <c r="J1" s="98"/>
      <c r="K1" s="98"/>
      <c r="L1" s="98"/>
      <c r="M1" s="98"/>
      <c r="N1" s="98"/>
      <c r="O1" s="98"/>
      <c r="P1" s="98"/>
      <c r="Q1" s="98"/>
      <c r="R1" s="98"/>
      <c r="S1" s="98"/>
      <c r="T1" s="98"/>
      <c r="U1" s="98"/>
      <c r="V1" s="98"/>
      <c r="W1" s="98"/>
      <c r="X1" s="98"/>
      <c r="Y1" s="98"/>
      <c r="Z1" s="98"/>
      <c r="AA1" s="98"/>
      <c r="AB1" s="98"/>
      <c r="AC1" s="98"/>
      <c r="AD1" s="98"/>
      <c r="AE1" s="98"/>
      <c r="AG1" s="244" t="s">
        <v>189</v>
      </c>
    </row>
    <row r="2" spans="1:772" s="46" customFormat="1" ht="12.75" customHeight="1" outlineLevel="1" x14ac:dyDescent="0.2">
      <c r="A2" s="44"/>
      <c r="B2" s="45"/>
      <c r="C2" s="45"/>
      <c r="H2" s="47"/>
      <c r="I2" s="47" t="s">
        <v>59</v>
      </c>
      <c r="J2" s="47" t="s">
        <v>367</v>
      </c>
      <c r="K2" s="47" t="s">
        <v>370</v>
      </c>
      <c r="L2" s="47"/>
      <c r="M2" s="47"/>
      <c r="N2" s="47" t="s">
        <v>404</v>
      </c>
      <c r="O2" s="47" t="s">
        <v>405</v>
      </c>
      <c r="P2" s="47" t="s">
        <v>407</v>
      </c>
      <c r="Q2" s="47"/>
      <c r="R2" s="47"/>
      <c r="S2" s="47"/>
      <c r="T2" s="47"/>
      <c r="U2" s="47"/>
      <c r="W2" s="47"/>
      <c r="X2" s="47"/>
      <c r="Y2" s="47"/>
      <c r="Z2" s="47"/>
      <c r="AF2" s="19"/>
      <c r="AG2" s="46">
        <v>0</v>
      </c>
      <c r="AH2" s="46">
        <f t="shared" ref="AH2:AZ2" si="0">AG2+1</f>
        <v>1</v>
      </c>
      <c r="AI2" s="46">
        <f t="shared" si="0"/>
        <v>2</v>
      </c>
      <c r="AJ2" s="46">
        <f t="shared" si="0"/>
        <v>3</v>
      </c>
      <c r="AK2" s="46">
        <f t="shared" si="0"/>
        <v>4</v>
      </c>
      <c r="AL2" s="46">
        <f t="shared" si="0"/>
        <v>5</v>
      </c>
      <c r="AM2" s="46">
        <f t="shared" si="0"/>
        <v>6</v>
      </c>
      <c r="AN2" s="46">
        <f t="shared" si="0"/>
        <v>7</v>
      </c>
      <c r="AO2" s="46">
        <f t="shared" si="0"/>
        <v>8</v>
      </c>
      <c r="AP2" s="46">
        <f t="shared" si="0"/>
        <v>9</v>
      </c>
      <c r="AQ2" s="46">
        <f t="shared" si="0"/>
        <v>10</v>
      </c>
      <c r="AR2" s="46">
        <f t="shared" si="0"/>
        <v>11</v>
      </c>
      <c r="AS2" s="46">
        <f t="shared" si="0"/>
        <v>12</v>
      </c>
      <c r="AT2" s="46">
        <f t="shared" si="0"/>
        <v>13</v>
      </c>
      <c r="AU2" s="46">
        <f t="shared" si="0"/>
        <v>14</v>
      </c>
      <c r="AV2" s="46">
        <f t="shared" si="0"/>
        <v>15</v>
      </c>
      <c r="AW2" s="46">
        <f t="shared" si="0"/>
        <v>16</v>
      </c>
      <c r="AX2" s="46">
        <f t="shared" si="0"/>
        <v>17</v>
      </c>
      <c r="AY2" s="46">
        <f t="shared" si="0"/>
        <v>18</v>
      </c>
      <c r="AZ2" s="46">
        <f t="shared" si="0"/>
        <v>19</v>
      </c>
      <c r="GK2" s="46">
        <f>IF(ImpData!$B$3="Quarter",90,365)</f>
        <v>365</v>
      </c>
      <c r="GM2" s="47"/>
      <c r="HE2" s="46">
        <f>IF(ImpData!$B$3="Quarter",90,365)</f>
        <v>365</v>
      </c>
      <c r="HY2" s="46">
        <f>IF(ImpData!$B$3="Quarter",90,365)</f>
        <v>365</v>
      </c>
      <c r="KF2" s="48"/>
      <c r="OW2" s="237"/>
      <c r="OX2" s="237"/>
      <c r="OY2" s="237"/>
      <c r="OZ2" s="237"/>
      <c r="PA2" s="237"/>
      <c r="PR2" s="237"/>
      <c r="PS2" s="237"/>
      <c r="PT2" s="237"/>
      <c r="PU2" s="237"/>
      <c r="QK2" s="237"/>
      <c r="QL2" s="237"/>
      <c r="QM2" s="237"/>
      <c r="QW2" s="49"/>
      <c r="RQ2" s="49"/>
      <c r="WO2" s="650"/>
      <c r="YW2" s="235">
        <f>IFERROR(IF(YW3="","",EDATE(IF(TimePeriodType="Annual",DATE(MID(YW3,3,4),12,31),YW4),-12)),"")</f>
        <v>44196</v>
      </c>
      <c r="YX2" s="235" t="str">
        <f t="shared" ref="YX2:ZP2" si="1">IFERROR(IF(YX3="","",EDATE(IF(TimePeriodType="Annual",DATE(MID(YX3,3,4),12,31),YX4),-12)),"")</f>
        <v/>
      </c>
      <c r="YY2" s="235" t="str">
        <f t="shared" si="1"/>
        <v/>
      </c>
      <c r="YZ2" s="235" t="str">
        <f t="shared" si="1"/>
        <v/>
      </c>
      <c r="ZA2" s="235" t="str">
        <f t="shared" si="1"/>
        <v/>
      </c>
      <c r="ZB2" s="235" t="str">
        <f t="shared" si="1"/>
        <v/>
      </c>
      <c r="ZC2" s="235" t="str">
        <f t="shared" si="1"/>
        <v/>
      </c>
      <c r="ZD2" s="235" t="str">
        <f t="shared" si="1"/>
        <v/>
      </c>
      <c r="ZE2" s="235" t="str">
        <f t="shared" si="1"/>
        <v/>
      </c>
      <c r="ZF2" s="235" t="str">
        <f t="shared" si="1"/>
        <v/>
      </c>
      <c r="ZG2" s="235" t="str">
        <f t="shared" si="1"/>
        <v/>
      </c>
      <c r="ZH2" s="235" t="str">
        <f t="shared" si="1"/>
        <v/>
      </c>
      <c r="ZI2" s="235" t="str">
        <f t="shared" si="1"/>
        <v/>
      </c>
      <c r="ZJ2" s="235" t="str">
        <f t="shared" si="1"/>
        <v/>
      </c>
      <c r="ZK2" s="235" t="str">
        <f t="shared" si="1"/>
        <v/>
      </c>
      <c r="ZL2" s="235" t="str">
        <f t="shared" si="1"/>
        <v/>
      </c>
      <c r="ZM2" s="235" t="str">
        <f t="shared" si="1"/>
        <v/>
      </c>
      <c r="ZN2" s="235" t="str">
        <f t="shared" si="1"/>
        <v/>
      </c>
      <c r="ZO2" s="235" t="str">
        <f t="shared" si="1"/>
        <v/>
      </c>
      <c r="ZP2" s="235" t="str">
        <f t="shared" si="1"/>
        <v/>
      </c>
      <c r="ZQ2" s="235"/>
      <c r="ZR2" s="235"/>
      <c r="ZS2" s="235"/>
      <c r="ZT2" s="235"/>
      <c r="ZU2" s="235"/>
      <c r="ZV2" s="235"/>
      <c r="ZW2" s="235"/>
      <c r="ZX2" s="235"/>
      <c r="ZY2" s="235"/>
      <c r="ZZ2" s="235"/>
      <c r="AAA2" s="235"/>
      <c r="AAB2" s="235"/>
      <c r="AAC2" s="235"/>
      <c r="AAD2" s="235"/>
      <c r="AAE2" s="235"/>
      <c r="AAF2" s="235"/>
      <c r="AAG2" s="235"/>
      <c r="AAH2" s="235"/>
      <c r="AAI2" s="235"/>
      <c r="AAJ2" s="235"/>
      <c r="ABE2" s="235"/>
      <c r="ABF2" s="235"/>
      <c r="ABG2" s="235"/>
      <c r="ABH2" s="235"/>
      <c r="ABI2" s="235"/>
      <c r="ABJ2" s="235"/>
      <c r="ABK2" s="235"/>
      <c r="ABL2" s="235"/>
      <c r="ABM2" s="235"/>
      <c r="ABN2" s="235"/>
      <c r="ABO2" s="235"/>
      <c r="ABP2" s="235"/>
      <c r="ABQ2" s="235"/>
      <c r="ABR2" s="235"/>
      <c r="ABS2" s="235"/>
      <c r="ABT2" s="235"/>
      <c r="ABU2" s="235"/>
      <c r="ABV2" s="235"/>
      <c r="ABW2" s="235"/>
      <c r="ABX2" s="235"/>
    </row>
    <row r="3" spans="1:772" s="46" customFormat="1" ht="12.75" customHeight="1" outlineLevel="1" x14ac:dyDescent="0.2">
      <c r="A3" s="48" t="s">
        <v>82</v>
      </c>
      <c r="B3" s="50">
        <f>COUNTA(B7:B17)-COUNTIF($B$7:$B$17,"")</f>
        <v>2</v>
      </c>
      <c r="C3" s="50" t="str">
        <f>ADDRESS(ROW(SummaryPeers),COLUMN(SummaryPeers))&amp;":"&amp;ADDRESS(ROW(SummaryPeers)+NumberOfPeers+1,COLUMN(L5))</f>
        <v>$B$5:$L$7</v>
      </c>
      <c r="D3" s="51" t="s">
        <v>74</v>
      </c>
      <c r="E3" s="44">
        <f>Input!C8</f>
        <v>44645</v>
      </c>
      <c r="H3" s="47"/>
      <c r="I3" s="235">
        <f>Input!C8</f>
        <v>44645</v>
      </c>
      <c r="J3" s="47" t="str">
        <f>Input!$C$6</f>
        <v>USD</v>
      </c>
      <c r="K3" s="47" t="s">
        <v>372</v>
      </c>
      <c r="L3" s="47" t="s">
        <v>1256</v>
      </c>
      <c r="M3" s="47"/>
      <c r="N3" s="47" t="s">
        <v>371</v>
      </c>
      <c r="O3" s="47" t="s">
        <v>406</v>
      </c>
      <c r="P3" s="47">
        <v>1</v>
      </c>
      <c r="Q3" s="47"/>
      <c r="T3" s="47"/>
      <c r="W3" s="47"/>
      <c r="X3" s="47"/>
      <c r="Y3" s="47"/>
      <c r="Z3" s="47"/>
      <c r="AA3" s="237"/>
      <c r="AB3" s="237"/>
      <c r="AC3" s="237"/>
      <c r="AD3" s="237"/>
      <c r="AE3" s="237"/>
      <c r="AF3" s="19"/>
      <c r="AG3" s="238" t="str">
        <f>IF('Peer Data'!AG2+'Peer Data'!$AG$4&lt;=$AH$4,IF(TimePeriodType="Quarter",REPLACE(INDEX(ImpData!$J$4:$J$15,'Peer Data'!AG2+'Peer Data'!$AG$4),4,1,""),INDEX(ImpData!$J$4:$J$15,'Peer Data'!AG2+'Peer Data'!$AG$4)),"")</f>
        <v>CY2021</v>
      </c>
      <c r="AH3" s="238" t="str">
        <f>IF('Peer Data'!AH2+'Peer Data'!$AG$4&lt;=$AH$4,IF(TimePeriodType="Quarter",REPLACE(INDEX(ImpData!$J$4:$J$15,'Peer Data'!AH2+'Peer Data'!$AG$4),4,1,""),INDEX(ImpData!$J$4:$J$15,'Peer Data'!AH2+'Peer Data'!$AG$4)),"")</f>
        <v/>
      </c>
      <c r="AI3" s="238" t="str">
        <f>IF('Peer Data'!AI2+'Peer Data'!$AG$4&lt;=$AH$4,IF(TimePeriodType="Quarter",REPLACE(INDEX(ImpData!$J$4:$J$15,'Peer Data'!AI2+'Peer Data'!$AG$4),4,1,""),INDEX(ImpData!$J$4:$J$15,'Peer Data'!AI2+'Peer Data'!$AG$4)),"")</f>
        <v/>
      </c>
      <c r="AJ3" s="238" t="str">
        <f>IF('Peer Data'!AJ2+'Peer Data'!$AG$4&lt;=$AH$4,IF(TimePeriodType="Quarter",REPLACE(INDEX(ImpData!$J$4:$J$15,'Peer Data'!AJ2+'Peer Data'!$AG$4),4,1,""),INDEX(ImpData!$J$4:$J$15,'Peer Data'!AJ2+'Peer Data'!$AG$4)),"")</f>
        <v/>
      </c>
      <c r="AK3" s="238" t="str">
        <f>IF('Peer Data'!AK2+'Peer Data'!$AG$4&lt;=$AH$4,IF(TimePeriodType="Quarter",REPLACE(INDEX(ImpData!$J$4:$J$15,'Peer Data'!AK2+'Peer Data'!$AG$4),4,1,""),INDEX(ImpData!$J$4:$J$15,'Peer Data'!AK2+'Peer Data'!$AG$4)),"")</f>
        <v/>
      </c>
      <c r="AL3" s="238" t="str">
        <f>IF('Peer Data'!AL2+'Peer Data'!$AG$4&lt;=$AH$4,IF(TimePeriodType="Quarter",REPLACE(INDEX(ImpData!$J$4:$J$15,'Peer Data'!AL2+'Peer Data'!$AG$4),4,1,""),INDEX(ImpData!$J$4:$J$15,'Peer Data'!AL2+'Peer Data'!$AG$4)),"")</f>
        <v/>
      </c>
      <c r="AM3" s="238" t="str">
        <f>IF('Peer Data'!AM2+'Peer Data'!$AG$4&lt;=$AH$4,IF(TimePeriodType="Quarter",REPLACE(INDEX(ImpData!$J$4:$J$15,'Peer Data'!AM2+'Peer Data'!$AG$4),4,1,""),INDEX(ImpData!$J$4:$J$15,'Peer Data'!AM2+'Peer Data'!$AG$4)),"")</f>
        <v/>
      </c>
      <c r="AN3" s="238" t="str">
        <f>IF('Peer Data'!AN2+'Peer Data'!$AG$4&lt;=$AH$4,IF(TimePeriodType="Quarter",REPLACE(INDEX(ImpData!$J$4:$J$15,'Peer Data'!AN2+'Peer Data'!$AG$4),4,1,""),INDEX(ImpData!$J$4:$J$15,'Peer Data'!AN2+'Peer Data'!$AG$4)),"")</f>
        <v/>
      </c>
      <c r="AO3" s="238" t="str">
        <f>IF('Peer Data'!AO2+'Peer Data'!$AG$4&lt;=$AH$4,IF(TimePeriodType="Quarter",REPLACE(INDEX(ImpData!$J$4:$J$15,'Peer Data'!AO2+'Peer Data'!$AG$4),4,1,""),INDEX(ImpData!$J$4:$J$15,'Peer Data'!AO2+'Peer Data'!$AG$4)),"")</f>
        <v/>
      </c>
      <c r="AP3" s="238" t="str">
        <f>IF('Peer Data'!AP2+'Peer Data'!$AG$4&lt;=$AH$4,IF(TimePeriodType="Quarter",REPLACE(INDEX(ImpData!$J$4:$J$15,'Peer Data'!AP2+'Peer Data'!$AG$4),4,1,""),INDEX(ImpData!$J$4:$J$15,'Peer Data'!AP2+'Peer Data'!$AG$4)),"")</f>
        <v/>
      </c>
      <c r="AQ3" s="238" t="str">
        <f>IF('Peer Data'!AQ2+'Peer Data'!$AG$4&lt;=$AH$4,IF(TimePeriodType="Quarter",REPLACE(INDEX(ImpData!$J$4:$J$15,'Peer Data'!AQ2+'Peer Data'!$AG$4),4,1,""),INDEX(ImpData!$J$4:$J$15,'Peer Data'!AQ2+'Peer Data'!$AG$4)),"")</f>
        <v/>
      </c>
      <c r="AR3" s="238" t="str">
        <f>IF('Peer Data'!AR2+'Peer Data'!$AG$4&lt;=$AH$4,IF(TimePeriodType="Quarter",REPLACE(INDEX(ImpData!$J$4:$J$15,'Peer Data'!AR2+'Peer Data'!$AG$4),4,1,""),INDEX(ImpData!$J$4:$J$15,'Peer Data'!AR2+'Peer Data'!$AG$4)),"")</f>
        <v/>
      </c>
      <c r="AS3" s="238" t="str">
        <f>IF('Peer Data'!AS2+'Peer Data'!$AG$4&lt;=$AH$4,IF(TimePeriodType="Quarter",REPLACE(INDEX(ImpData!$J$4:$J$15,'Peer Data'!AS2+'Peer Data'!$AG$4),4,1,""),INDEX(ImpData!$J$4:$J$15,'Peer Data'!AS2+'Peer Data'!$AG$4)),"")</f>
        <v/>
      </c>
      <c r="AT3" s="238" t="str">
        <f>IF('Peer Data'!AT2+'Peer Data'!$AG$4&lt;=$AH$4,IF(TimePeriodType="Quarter",REPLACE(INDEX(ImpData!$J$4:$J$15,'Peer Data'!AT2+'Peer Data'!$AG$4),4,1,""),INDEX(ImpData!$J$4:$J$15,'Peer Data'!AT2+'Peer Data'!$AG$4)),"")</f>
        <v/>
      </c>
      <c r="AU3" s="238" t="str">
        <f>IF('Peer Data'!AU2+'Peer Data'!$AG$4&lt;=$AH$4,IF(TimePeriodType="Quarter",REPLACE(INDEX(ImpData!$J$4:$J$15,'Peer Data'!AU2+'Peer Data'!$AG$4),4,1,""),INDEX(ImpData!$J$4:$J$15,'Peer Data'!AU2+'Peer Data'!$AG$4)),"")</f>
        <v/>
      </c>
      <c r="AV3" s="238" t="str">
        <f>IF('Peer Data'!AV2+'Peer Data'!$AG$4&lt;=$AH$4,IF(TimePeriodType="Quarter",REPLACE(INDEX(ImpData!$J$4:$J$15,'Peer Data'!AV2+'Peer Data'!$AG$4),4,1,""),INDEX(ImpData!$J$4:$J$15,'Peer Data'!AV2+'Peer Data'!$AG$4)),"")</f>
        <v/>
      </c>
      <c r="AW3" s="238" t="str">
        <f>IF('Peer Data'!AW2+'Peer Data'!$AG$4&lt;=$AH$4,IF(TimePeriodType="Quarter",REPLACE(INDEX(ImpData!$J$4:$J$15,'Peer Data'!AW2+'Peer Data'!$AG$4),4,1,""),INDEX(ImpData!$J$4:$J$15,'Peer Data'!AW2+'Peer Data'!$AG$4)),"")</f>
        <v/>
      </c>
      <c r="AX3" s="238" t="str">
        <f>IF('Peer Data'!AX2+'Peer Data'!$AG$4&lt;=$AH$4,IF(TimePeriodType="Quarter",REPLACE(INDEX(ImpData!$J$4:$J$15,'Peer Data'!AX2+'Peer Data'!$AG$4),4,1,""),INDEX(ImpData!$J$4:$J$15,'Peer Data'!AX2+'Peer Data'!$AG$4)),"")</f>
        <v/>
      </c>
      <c r="AY3" s="238" t="str">
        <f>IF('Peer Data'!AY2+'Peer Data'!$AG$4&lt;=$AH$4,IF(TimePeriodType="Quarter",REPLACE(INDEX(ImpData!$J$4:$J$15,'Peer Data'!AY2+'Peer Data'!$AG$4),4,1,""),INDEX(ImpData!$J$4:$J$15,'Peer Data'!AY2+'Peer Data'!$AG$4)),"")</f>
        <v/>
      </c>
      <c r="AZ3" s="238" t="str">
        <f>IF('Peer Data'!AZ2+'Peer Data'!$AG$4&lt;=$AH$4,IF(TimePeriodType="Quarter",REPLACE(INDEX(ImpData!$J$4:$J$15,'Peer Data'!AZ2+'Peer Data'!$AG$4),4,1,""),INDEX(ImpData!$J$4:$J$15,'Peer Data'!AZ2+'Peer Data'!$AG$4)),"")</f>
        <v/>
      </c>
      <c r="BA3" s="238" t="str">
        <f t="shared" ref="BA3:BH3" si="2">AG3</f>
        <v>CY2021</v>
      </c>
      <c r="BB3" s="237" t="str">
        <f t="shared" si="2"/>
        <v/>
      </c>
      <c r="BC3" s="237" t="str">
        <f t="shared" si="2"/>
        <v/>
      </c>
      <c r="BD3" s="237" t="str">
        <f t="shared" si="2"/>
        <v/>
      </c>
      <c r="BE3" s="237" t="str">
        <f t="shared" si="2"/>
        <v/>
      </c>
      <c r="BF3" s="237" t="str">
        <f t="shared" si="2"/>
        <v/>
      </c>
      <c r="BG3" s="237" t="str">
        <f t="shared" si="2"/>
        <v/>
      </c>
      <c r="BH3" s="237" t="str">
        <f t="shared" si="2"/>
        <v/>
      </c>
      <c r="BI3" s="237" t="str">
        <f t="shared" ref="BI3:DL3" si="3">AO3</f>
        <v/>
      </c>
      <c r="BJ3" s="237" t="str">
        <f t="shared" si="3"/>
        <v/>
      </c>
      <c r="BK3" s="237" t="str">
        <f t="shared" si="3"/>
        <v/>
      </c>
      <c r="BL3" s="237" t="str">
        <f t="shared" si="3"/>
        <v/>
      </c>
      <c r="BM3" s="237" t="str">
        <f t="shared" si="3"/>
        <v/>
      </c>
      <c r="BN3" s="237" t="str">
        <f t="shared" si="3"/>
        <v/>
      </c>
      <c r="BO3" s="237" t="str">
        <f t="shared" si="3"/>
        <v/>
      </c>
      <c r="BP3" s="237" t="str">
        <f t="shared" si="3"/>
        <v/>
      </c>
      <c r="BQ3" s="237" t="str">
        <f t="shared" si="3"/>
        <v/>
      </c>
      <c r="BR3" s="237" t="str">
        <f t="shared" si="3"/>
        <v/>
      </c>
      <c r="BS3" s="237" t="str">
        <f t="shared" si="3"/>
        <v/>
      </c>
      <c r="BT3" s="237" t="str">
        <f t="shared" si="3"/>
        <v/>
      </c>
      <c r="BU3" s="238" t="str">
        <f>BA3</f>
        <v>CY2021</v>
      </c>
      <c r="BV3" s="237" t="str">
        <f>BB3</f>
        <v/>
      </c>
      <c r="BW3" s="237" t="str">
        <f>BC3</f>
        <v/>
      </c>
      <c r="BX3" s="237" t="str">
        <f>BD3</f>
        <v/>
      </c>
      <c r="BY3" s="237" t="str">
        <f>BE3</f>
        <v/>
      </c>
      <c r="BZ3" s="237" t="str">
        <f t="shared" si="3"/>
        <v/>
      </c>
      <c r="CA3" s="237" t="str">
        <f t="shared" si="3"/>
        <v/>
      </c>
      <c r="CB3" s="237" t="str">
        <f t="shared" si="3"/>
        <v/>
      </c>
      <c r="CC3" s="237" t="str">
        <f t="shared" si="3"/>
        <v/>
      </c>
      <c r="CD3" s="237" t="str">
        <f t="shared" si="3"/>
        <v/>
      </c>
      <c r="CE3" s="237" t="str">
        <f t="shared" si="3"/>
        <v/>
      </c>
      <c r="CF3" s="237" t="str">
        <f t="shared" si="3"/>
        <v/>
      </c>
      <c r="CG3" s="237" t="str">
        <f t="shared" si="3"/>
        <v/>
      </c>
      <c r="CH3" s="237" t="str">
        <f t="shared" si="3"/>
        <v/>
      </c>
      <c r="CI3" s="237" t="str">
        <f t="shared" si="3"/>
        <v/>
      </c>
      <c r="CJ3" s="237" t="str">
        <f t="shared" si="3"/>
        <v/>
      </c>
      <c r="CK3" s="237" t="str">
        <f t="shared" si="3"/>
        <v/>
      </c>
      <c r="CL3" s="237" t="str">
        <f t="shared" si="3"/>
        <v/>
      </c>
      <c r="CM3" s="237" t="str">
        <f t="shared" si="3"/>
        <v/>
      </c>
      <c r="CN3" s="237" t="str">
        <f t="shared" si="3"/>
        <v/>
      </c>
      <c r="CO3" s="238" t="str">
        <f t="shared" si="3"/>
        <v>CY2021</v>
      </c>
      <c r="CP3" s="237" t="str">
        <f t="shared" si="3"/>
        <v/>
      </c>
      <c r="CQ3" s="237" t="str">
        <f t="shared" si="3"/>
        <v/>
      </c>
      <c r="CR3" s="237" t="str">
        <f t="shared" si="3"/>
        <v/>
      </c>
      <c r="CS3" s="237" t="str">
        <f t="shared" si="3"/>
        <v/>
      </c>
      <c r="CT3" s="237" t="str">
        <f t="shared" si="3"/>
        <v/>
      </c>
      <c r="CU3" s="237" t="str">
        <f t="shared" si="3"/>
        <v/>
      </c>
      <c r="CV3" s="237" t="str">
        <f t="shared" si="3"/>
        <v/>
      </c>
      <c r="CW3" s="237" t="str">
        <f t="shared" si="3"/>
        <v/>
      </c>
      <c r="CX3" s="237" t="str">
        <f t="shared" si="3"/>
        <v/>
      </c>
      <c r="CY3" s="237" t="str">
        <f t="shared" si="3"/>
        <v/>
      </c>
      <c r="CZ3" s="237" t="str">
        <f t="shared" si="3"/>
        <v/>
      </c>
      <c r="DA3" s="237" t="str">
        <f t="shared" si="3"/>
        <v/>
      </c>
      <c r="DB3" s="237" t="str">
        <f t="shared" si="3"/>
        <v/>
      </c>
      <c r="DC3" s="237" t="str">
        <f t="shared" si="3"/>
        <v/>
      </c>
      <c r="DD3" s="237" t="str">
        <f t="shared" si="3"/>
        <v/>
      </c>
      <c r="DE3" s="237" t="str">
        <f t="shared" si="3"/>
        <v/>
      </c>
      <c r="DF3" s="237" t="str">
        <f t="shared" si="3"/>
        <v/>
      </c>
      <c r="DG3" s="237" t="str">
        <f t="shared" si="3"/>
        <v/>
      </c>
      <c r="DH3" s="237" t="str">
        <f t="shared" si="3"/>
        <v/>
      </c>
      <c r="DI3" s="238" t="str">
        <f t="shared" si="3"/>
        <v>CY2021</v>
      </c>
      <c r="DJ3" s="237" t="str">
        <f t="shared" si="3"/>
        <v/>
      </c>
      <c r="DK3" s="237" t="str">
        <f t="shared" si="3"/>
        <v/>
      </c>
      <c r="DL3" s="237" t="str">
        <f t="shared" si="3"/>
        <v/>
      </c>
      <c r="DM3" s="237" t="str">
        <f t="shared" ref="DM3:FX3" si="4">CS3</f>
        <v/>
      </c>
      <c r="DN3" s="237" t="str">
        <f t="shared" si="4"/>
        <v/>
      </c>
      <c r="DO3" s="237" t="str">
        <f t="shared" si="4"/>
        <v/>
      </c>
      <c r="DP3" s="237" t="str">
        <f t="shared" si="4"/>
        <v/>
      </c>
      <c r="DQ3" s="237" t="str">
        <f t="shared" si="4"/>
        <v/>
      </c>
      <c r="DR3" s="237" t="str">
        <f t="shared" si="4"/>
        <v/>
      </c>
      <c r="DS3" s="237" t="str">
        <f t="shared" si="4"/>
        <v/>
      </c>
      <c r="DT3" s="237" t="str">
        <f t="shared" si="4"/>
        <v/>
      </c>
      <c r="DU3" s="237" t="str">
        <f t="shared" si="4"/>
        <v/>
      </c>
      <c r="DV3" s="237" t="str">
        <f t="shared" si="4"/>
        <v/>
      </c>
      <c r="DW3" s="237" t="str">
        <f t="shared" si="4"/>
        <v/>
      </c>
      <c r="DX3" s="237" t="str">
        <f t="shared" si="4"/>
        <v/>
      </c>
      <c r="DY3" s="237" t="str">
        <f t="shared" si="4"/>
        <v/>
      </c>
      <c r="DZ3" s="237" t="str">
        <f t="shared" si="4"/>
        <v/>
      </c>
      <c r="EA3" s="237" t="str">
        <f t="shared" si="4"/>
        <v/>
      </c>
      <c r="EB3" s="237" t="str">
        <f t="shared" si="4"/>
        <v/>
      </c>
      <c r="EC3" s="238" t="str">
        <f t="shared" si="4"/>
        <v>CY2021</v>
      </c>
      <c r="ED3" s="237" t="str">
        <f t="shared" si="4"/>
        <v/>
      </c>
      <c r="EE3" s="237" t="str">
        <f t="shared" si="4"/>
        <v/>
      </c>
      <c r="EF3" s="237" t="str">
        <f t="shared" si="4"/>
        <v/>
      </c>
      <c r="EG3" s="237" t="str">
        <f t="shared" si="4"/>
        <v/>
      </c>
      <c r="EH3" s="237" t="str">
        <f t="shared" si="4"/>
        <v/>
      </c>
      <c r="EI3" s="237" t="str">
        <f t="shared" si="4"/>
        <v/>
      </c>
      <c r="EJ3" s="237" t="str">
        <f t="shared" si="4"/>
        <v/>
      </c>
      <c r="EK3" s="237" t="str">
        <f t="shared" si="4"/>
        <v/>
      </c>
      <c r="EL3" s="237" t="str">
        <f t="shared" si="4"/>
        <v/>
      </c>
      <c r="EM3" s="237" t="str">
        <f t="shared" si="4"/>
        <v/>
      </c>
      <c r="EN3" s="237" t="str">
        <f t="shared" si="4"/>
        <v/>
      </c>
      <c r="EO3" s="237" t="str">
        <f t="shared" si="4"/>
        <v/>
      </c>
      <c r="EP3" s="237" t="str">
        <f t="shared" si="4"/>
        <v/>
      </c>
      <c r="EQ3" s="237" t="str">
        <f t="shared" si="4"/>
        <v/>
      </c>
      <c r="ER3" s="237" t="str">
        <f t="shared" si="4"/>
        <v/>
      </c>
      <c r="ES3" s="237" t="str">
        <f t="shared" si="4"/>
        <v/>
      </c>
      <c r="ET3" s="237" t="str">
        <f t="shared" si="4"/>
        <v/>
      </c>
      <c r="EU3" s="237" t="str">
        <f t="shared" si="4"/>
        <v/>
      </c>
      <c r="EV3" s="237" t="str">
        <f t="shared" si="4"/>
        <v/>
      </c>
      <c r="EW3" s="238" t="str">
        <f t="shared" si="4"/>
        <v>CY2021</v>
      </c>
      <c r="EX3" s="237" t="str">
        <f t="shared" si="4"/>
        <v/>
      </c>
      <c r="EY3" s="237" t="str">
        <f t="shared" si="4"/>
        <v/>
      </c>
      <c r="EZ3" s="237" t="str">
        <f t="shared" si="4"/>
        <v/>
      </c>
      <c r="FA3" s="237" t="str">
        <f t="shared" si="4"/>
        <v/>
      </c>
      <c r="FB3" s="237" t="str">
        <f t="shared" si="4"/>
        <v/>
      </c>
      <c r="FC3" s="237" t="str">
        <f t="shared" si="4"/>
        <v/>
      </c>
      <c r="FD3" s="237" t="str">
        <f t="shared" si="4"/>
        <v/>
      </c>
      <c r="FE3" s="237" t="str">
        <f t="shared" si="4"/>
        <v/>
      </c>
      <c r="FF3" s="237" t="str">
        <f t="shared" si="4"/>
        <v/>
      </c>
      <c r="FG3" s="237" t="str">
        <f t="shared" si="4"/>
        <v/>
      </c>
      <c r="FH3" s="237" t="str">
        <f t="shared" si="4"/>
        <v/>
      </c>
      <c r="FI3" s="237" t="str">
        <f t="shared" si="4"/>
        <v/>
      </c>
      <c r="FJ3" s="237" t="str">
        <f t="shared" si="4"/>
        <v/>
      </c>
      <c r="FK3" s="237" t="str">
        <f t="shared" si="4"/>
        <v/>
      </c>
      <c r="FL3" s="237" t="str">
        <f t="shared" si="4"/>
        <v/>
      </c>
      <c r="FM3" s="237" t="str">
        <f t="shared" si="4"/>
        <v/>
      </c>
      <c r="FN3" s="237" t="str">
        <f t="shared" si="4"/>
        <v/>
      </c>
      <c r="FO3" s="237" t="str">
        <f t="shared" si="4"/>
        <v/>
      </c>
      <c r="FP3" s="237" t="str">
        <f t="shared" si="4"/>
        <v/>
      </c>
      <c r="FQ3" s="238" t="str">
        <f t="shared" si="4"/>
        <v>CY2021</v>
      </c>
      <c r="FR3" s="237" t="str">
        <f t="shared" si="4"/>
        <v/>
      </c>
      <c r="FS3" s="237" t="str">
        <f t="shared" si="4"/>
        <v/>
      </c>
      <c r="FT3" s="237" t="str">
        <f t="shared" si="4"/>
        <v/>
      </c>
      <c r="FU3" s="237" t="str">
        <f t="shared" si="4"/>
        <v/>
      </c>
      <c r="FV3" s="237" t="str">
        <f t="shared" si="4"/>
        <v/>
      </c>
      <c r="FW3" s="237" t="str">
        <f t="shared" si="4"/>
        <v/>
      </c>
      <c r="FX3" s="237" t="str">
        <f t="shared" si="4"/>
        <v/>
      </c>
      <c r="FY3" s="237" t="str">
        <f t="shared" ref="FY3:IJ3" si="5">FE3</f>
        <v/>
      </c>
      <c r="FZ3" s="237" t="str">
        <f t="shared" si="5"/>
        <v/>
      </c>
      <c r="GA3" s="237" t="str">
        <f t="shared" si="5"/>
        <v/>
      </c>
      <c r="GB3" s="237" t="str">
        <f t="shared" si="5"/>
        <v/>
      </c>
      <c r="GC3" s="237" t="str">
        <f t="shared" si="5"/>
        <v/>
      </c>
      <c r="GD3" s="237" t="str">
        <f t="shared" si="5"/>
        <v/>
      </c>
      <c r="GE3" s="237" t="str">
        <f t="shared" si="5"/>
        <v/>
      </c>
      <c r="GF3" s="237" t="str">
        <f t="shared" si="5"/>
        <v/>
      </c>
      <c r="GG3" s="237" t="str">
        <f t="shared" si="5"/>
        <v/>
      </c>
      <c r="GH3" s="237" t="str">
        <f t="shared" si="5"/>
        <v/>
      </c>
      <c r="GI3" s="237" t="str">
        <f t="shared" si="5"/>
        <v/>
      </c>
      <c r="GJ3" s="237" t="str">
        <f t="shared" si="5"/>
        <v/>
      </c>
      <c r="GK3" s="238" t="str">
        <f t="shared" si="5"/>
        <v>CY2021</v>
      </c>
      <c r="GL3" s="238" t="str">
        <f>FR3</f>
        <v/>
      </c>
      <c r="GM3" s="238" t="str">
        <f>FS3</f>
        <v/>
      </c>
      <c r="GN3" s="237" t="str">
        <f t="shared" si="5"/>
        <v/>
      </c>
      <c r="GO3" s="237" t="str">
        <f t="shared" si="5"/>
        <v/>
      </c>
      <c r="GP3" s="237" t="str">
        <f t="shared" si="5"/>
        <v/>
      </c>
      <c r="GQ3" s="237" t="str">
        <f t="shared" si="5"/>
        <v/>
      </c>
      <c r="GR3" s="237" t="str">
        <f t="shared" si="5"/>
        <v/>
      </c>
      <c r="GS3" s="237" t="str">
        <f t="shared" si="5"/>
        <v/>
      </c>
      <c r="GT3" s="237" t="str">
        <f t="shared" si="5"/>
        <v/>
      </c>
      <c r="GU3" s="237" t="str">
        <f t="shared" si="5"/>
        <v/>
      </c>
      <c r="GV3" s="237" t="str">
        <f t="shared" si="5"/>
        <v/>
      </c>
      <c r="GW3" s="237" t="str">
        <f t="shared" si="5"/>
        <v/>
      </c>
      <c r="GX3" s="237" t="str">
        <f t="shared" si="5"/>
        <v/>
      </c>
      <c r="GY3" s="237" t="str">
        <f t="shared" si="5"/>
        <v/>
      </c>
      <c r="GZ3" s="237" t="str">
        <f t="shared" si="5"/>
        <v/>
      </c>
      <c r="HA3" s="237" t="str">
        <f t="shared" si="5"/>
        <v/>
      </c>
      <c r="HB3" s="237" t="str">
        <f t="shared" si="5"/>
        <v/>
      </c>
      <c r="HC3" s="237" t="str">
        <f t="shared" si="5"/>
        <v/>
      </c>
      <c r="HD3" s="237" t="str">
        <f t="shared" si="5"/>
        <v/>
      </c>
      <c r="HE3" s="238" t="str">
        <f t="shared" si="5"/>
        <v>CY2021</v>
      </c>
      <c r="HF3" s="237" t="str">
        <f t="shared" si="5"/>
        <v/>
      </c>
      <c r="HG3" s="237" t="str">
        <f t="shared" si="5"/>
        <v/>
      </c>
      <c r="HH3" s="237" t="str">
        <f t="shared" si="5"/>
        <v/>
      </c>
      <c r="HI3" s="237" t="str">
        <f t="shared" si="5"/>
        <v/>
      </c>
      <c r="HJ3" s="237" t="str">
        <f t="shared" si="5"/>
        <v/>
      </c>
      <c r="HK3" s="237" t="str">
        <f t="shared" si="5"/>
        <v/>
      </c>
      <c r="HL3" s="237" t="str">
        <f t="shared" si="5"/>
        <v/>
      </c>
      <c r="HM3" s="237" t="str">
        <f t="shared" si="5"/>
        <v/>
      </c>
      <c r="HN3" s="237" t="str">
        <f t="shared" si="5"/>
        <v/>
      </c>
      <c r="HO3" s="237" t="str">
        <f t="shared" si="5"/>
        <v/>
      </c>
      <c r="HP3" s="237" t="str">
        <f t="shared" si="5"/>
        <v/>
      </c>
      <c r="HQ3" s="237" t="str">
        <f t="shared" si="5"/>
        <v/>
      </c>
      <c r="HR3" s="237" t="str">
        <f t="shared" si="5"/>
        <v/>
      </c>
      <c r="HS3" s="237" t="str">
        <f t="shared" si="5"/>
        <v/>
      </c>
      <c r="HT3" s="237" t="str">
        <f t="shared" si="5"/>
        <v/>
      </c>
      <c r="HU3" s="237" t="str">
        <f t="shared" si="5"/>
        <v/>
      </c>
      <c r="HV3" s="237" t="str">
        <f t="shared" si="5"/>
        <v/>
      </c>
      <c r="HW3" s="237" t="str">
        <f t="shared" si="5"/>
        <v/>
      </c>
      <c r="HX3" s="237" t="str">
        <f t="shared" si="5"/>
        <v/>
      </c>
      <c r="HY3" s="238" t="str">
        <f t="shared" si="5"/>
        <v>CY2021</v>
      </c>
      <c r="HZ3" s="237" t="str">
        <f t="shared" si="5"/>
        <v/>
      </c>
      <c r="IA3" s="237" t="str">
        <f t="shared" si="5"/>
        <v/>
      </c>
      <c r="IB3" s="237" t="str">
        <f t="shared" si="5"/>
        <v/>
      </c>
      <c r="IC3" s="237" t="str">
        <f t="shared" si="5"/>
        <v/>
      </c>
      <c r="ID3" s="237" t="str">
        <f t="shared" si="5"/>
        <v/>
      </c>
      <c r="IE3" s="237" t="str">
        <f t="shared" si="5"/>
        <v/>
      </c>
      <c r="IF3" s="237" t="str">
        <f t="shared" si="5"/>
        <v/>
      </c>
      <c r="IG3" s="237" t="str">
        <f t="shared" si="5"/>
        <v/>
      </c>
      <c r="IH3" s="237" t="str">
        <f t="shared" si="5"/>
        <v/>
      </c>
      <c r="II3" s="237" t="str">
        <f t="shared" si="5"/>
        <v/>
      </c>
      <c r="IJ3" s="237" t="str">
        <f t="shared" si="5"/>
        <v/>
      </c>
      <c r="IK3" s="237" t="str">
        <f t="shared" ref="IK3:KV3" si="6">HQ3</f>
        <v/>
      </c>
      <c r="IL3" s="237" t="str">
        <f t="shared" si="6"/>
        <v/>
      </c>
      <c r="IM3" s="237" t="str">
        <f t="shared" si="6"/>
        <v/>
      </c>
      <c r="IN3" s="237" t="str">
        <f t="shared" si="6"/>
        <v/>
      </c>
      <c r="IO3" s="237" t="str">
        <f t="shared" si="6"/>
        <v/>
      </c>
      <c r="IP3" s="237" t="str">
        <f t="shared" si="6"/>
        <v/>
      </c>
      <c r="IQ3" s="237" t="str">
        <f t="shared" si="6"/>
        <v/>
      </c>
      <c r="IR3" s="237" t="str">
        <f t="shared" si="6"/>
        <v/>
      </c>
      <c r="IS3" s="238" t="str">
        <f t="shared" si="6"/>
        <v>CY2021</v>
      </c>
      <c r="IT3" s="237" t="str">
        <f t="shared" si="6"/>
        <v/>
      </c>
      <c r="IU3" s="237" t="str">
        <f t="shared" si="6"/>
        <v/>
      </c>
      <c r="IV3" s="237" t="str">
        <f t="shared" si="6"/>
        <v/>
      </c>
      <c r="IW3" s="237" t="str">
        <f t="shared" si="6"/>
        <v/>
      </c>
      <c r="IX3" s="237" t="str">
        <f t="shared" si="6"/>
        <v/>
      </c>
      <c r="IY3" s="237" t="str">
        <f t="shared" si="6"/>
        <v/>
      </c>
      <c r="IZ3" s="237" t="str">
        <f t="shared" si="6"/>
        <v/>
      </c>
      <c r="JA3" s="237" t="str">
        <f t="shared" si="6"/>
        <v/>
      </c>
      <c r="JB3" s="237" t="str">
        <f t="shared" si="6"/>
        <v/>
      </c>
      <c r="JC3" s="237" t="str">
        <f t="shared" si="6"/>
        <v/>
      </c>
      <c r="JD3" s="237" t="str">
        <f t="shared" si="6"/>
        <v/>
      </c>
      <c r="JE3" s="237" t="str">
        <f t="shared" si="6"/>
        <v/>
      </c>
      <c r="JF3" s="237" t="str">
        <f t="shared" si="6"/>
        <v/>
      </c>
      <c r="JG3" s="237" t="str">
        <f t="shared" si="6"/>
        <v/>
      </c>
      <c r="JH3" s="237" t="str">
        <f t="shared" si="6"/>
        <v/>
      </c>
      <c r="JI3" s="237" t="str">
        <f t="shared" si="6"/>
        <v/>
      </c>
      <c r="JJ3" s="237" t="str">
        <f t="shared" si="6"/>
        <v/>
      </c>
      <c r="JK3" s="237" t="str">
        <f t="shared" si="6"/>
        <v/>
      </c>
      <c r="JL3" s="237" t="str">
        <f t="shared" si="6"/>
        <v/>
      </c>
      <c r="JM3" s="238" t="str">
        <f t="shared" si="6"/>
        <v>CY2021</v>
      </c>
      <c r="JN3" s="237" t="str">
        <f t="shared" si="6"/>
        <v/>
      </c>
      <c r="JO3" s="237" t="str">
        <f t="shared" si="6"/>
        <v/>
      </c>
      <c r="JP3" s="237" t="str">
        <f t="shared" si="6"/>
        <v/>
      </c>
      <c r="JQ3" s="237" t="str">
        <f t="shared" si="6"/>
        <v/>
      </c>
      <c r="JR3" s="237" t="str">
        <f t="shared" si="6"/>
        <v/>
      </c>
      <c r="JS3" s="237" t="str">
        <f t="shared" si="6"/>
        <v/>
      </c>
      <c r="JT3" s="237" t="str">
        <f t="shared" si="6"/>
        <v/>
      </c>
      <c r="JU3" s="237" t="str">
        <f t="shared" si="6"/>
        <v/>
      </c>
      <c r="JV3" s="237" t="str">
        <f t="shared" si="6"/>
        <v/>
      </c>
      <c r="JW3" s="237" t="str">
        <f t="shared" si="6"/>
        <v/>
      </c>
      <c r="JX3" s="237" t="str">
        <f t="shared" si="6"/>
        <v/>
      </c>
      <c r="JY3" s="237" t="str">
        <f t="shared" si="6"/>
        <v/>
      </c>
      <c r="JZ3" s="237" t="str">
        <f t="shared" si="6"/>
        <v/>
      </c>
      <c r="KA3" s="237" t="str">
        <f t="shared" si="6"/>
        <v/>
      </c>
      <c r="KB3" s="237" t="str">
        <f t="shared" si="6"/>
        <v/>
      </c>
      <c r="KC3" s="237" t="str">
        <f t="shared" si="6"/>
        <v/>
      </c>
      <c r="KD3" s="237" t="str">
        <f t="shared" si="6"/>
        <v/>
      </c>
      <c r="KE3" s="237" t="str">
        <f t="shared" si="6"/>
        <v/>
      </c>
      <c r="KF3" s="237" t="str">
        <f t="shared" si="6"/>
        <v/>
      </c>
      <c r="KG3" s="237" t="str">
        <f t="shared" si="6"/>
        <v>CY2021</v>
      </c>
      <c r="KH3" s="237" t="str">
        <f t="shared" si="6"/>
        <v/>
      </c>
      <c r="KI3" s="237" t="str">
        <f t="shared" si="6"/>
        <v/>
      </c>
      <c r="KJ3" s="237" t="str">
        <f t="shared" si="6"/>
        <v/>
      </c>
      <c r="KK3" s="237" t="str">
        <f t="shared" si="6"/>
        <v/>
      </c>
      <c r="KL3" s="237" t="str">
        <f t="shared" si="6"/>
        <v/>
      </c>
      <c r="KM3" s="237" t="str">
        <f t="shared" si="6"/>
        <v/>
      </c>
      <c r="KN3" s="237" t="str">
        <f t="shared" si="6"/>
        <v/>
      </c>
      <c r="KO3" s="237" t="str">
        <f t="shared" si="6"/>
        <v/>
      </c>
      <c r="KP3" s="237" t="str">
        <f t="shared" si="6"/>
        <v/>
      </c>
      <c r="KQ3" s="237" t="str">
        <f t="shared" si="6"/>
        <v/>
      </c>
      <c r="KR3" s="237" t="str">
        <f t="shared" si="6"/>
        <v/>
      </c>
      <c r="KS3" s="237" t="str">
        <f t="shared" si="6"/>
        <v/>
      </c>
      <c r="KT3" s="237" t="str">
        <f t="shared" si="6"/>
        <v/>
      </c>
      <c r="KU3" s="237" t="str">
        <f t="shared" si="6"/>
        <v/>
      </c>
      <c r="KV3" s="237" t="str">
        <f t="shared" si="6"/>
        <v/>
      </c>
      <c r="KW3" s="237" t="str">
        <f t="shared" ref="KW3:MB3" si="7">KC3</f>
        <v/>
      </c>
      <c r="KX3" s="237" t="str">
        <f t="shared" si="7"/>
        <v/>
      </c>
      <c r="KY3" s="237" t="str">
        <f t="shared" si="7"/>
        <v/>
      </c>
      <c r="KZ3" s="237" t="str">
        <f t="shared" si="7"/>
        <v/>
      </c>
      <c r="LA3" s="237" t="str">
        <f t="shared" si="7"/>
        <v>CY2021</v>
      </c>
      <c r="LB3" s="237" t="str">
        <f t="shared" si="7"/>
        <v/>
      </c>
      <c r="LC3" s="237" t="str">
        <f t="shared" si="7"/>
        <v/>
      </c>
      <c r="LD3" s="237" t="str">
        <f t="shared" si="7"/>
        <v/>
      </c>
      <c r="LE3" s="237" t="str">
        <f t="shared" si="7"/>
        <v/>
      </c>
      <c r="LF3" s="237" t="str">
        <f t="shared" si="7"/>
        <v/>
      </c>
      <c r="LG3" s="237" t="str">
        <f t="shared" si="7"/>
        <v/>
      </c>
      <c r="LH3" s="237" t="str">
        <f t="shared" si="7"/>
        <v/>
      </c>
      <c r="LI3" s="579" t="str">
        <f t="shared" si="7"/>
        <v/>
      </c>
      <c r="LJ3" s="579" t="str">
        <f t="shared" si="7"/>
        <v/>
      </c>
      <c r="LK3" s="579" t="str">
        <f t="shared" si="7"/>
        <v/>
      </c>
      <c r="LL3" s="579" t="str">
        <f t="shared" si="7"/>
        <v/>
      </c>
      <c r="LM3" s="579" t="str">
        <f t="shared" si="7"/>
        <v/>
      </c>
      <c r="LN3" s="579" t="str">
        <f t="shared" si="7"/>
        <v/>
      </c>
      <c r="LO3" s="579" t="str">
        <f t="shared" si="7"/>
        <v/>
      </c>
      <c r="LP3" s="579" t="str">
        <f t="shared" si="7"/>
        <v/>
      </c>
      <c r="LQ3" s="579" t="str">
        <f t="shared" si="7"/>
        <v/>
      </c>
      <c r="LR3" s="579" t="str">
        <f t="shared" si="7"/>
        <v/>
      </c>
      <c r="LS3" s="579" t="str">
        <f t="shared" si="7"/>
        <v/>
      </c>
      <c r="LT3" s="579" t="str">
        <f t="shared" si="7"/>
        <v/>
      </c>
      <c r="LU3" s="237" t="str">
        <f t="shared" si="7"/>
        <v>CY2021</v>
      </c>
      <c r="LV3" s="237" t="str">
        <f t="shared" si="7"/>
        <v/>
      </c>
      <c r="LW3" s="237" t="str">
        <f t="shared" si="7"/>
        <v/>
      </c>
      <c r="LX3" s="237" t="str">
        <f t="shared" si="7"/>
        <v/>
      </c>
      <c r="LY3" s="237" t="str">
        <f t="shared" si="7"/>
        <v/>
      </c>
      <c r="LZ3" s="237" t="str">
        <f t="shared" si="7"/>
        <v/>
      </c>
      <c r="MA3" s="237" t="str">
        <f t="shared" si="7"/>
        <v/>
      </c>
      <c r="MB3" s="237" t="str">
        <f t="shared" si="7"/>
        <v/>
      </c>
      <c r="MC3" s="579" t="str">
        <f t="shared" ref="MC3:NH3" si="8">LI3</f>
        <v/>
      </c>
      <c r="MD3" s="579" t="str">
        <f t="shared" si="8"/>
        <v/>
      </c>
      <c r="ME3" s="579" t="str">
        <f t="shared" si="8"/>
        <v/>
      </c>
      <c r="MF3" s="579" t="str">
        <f t="shared" si="8"/>
        <v/>
      </c>
      <c r="MG3" s="579" t="str">
        <f t="shared" si="8"/>
        <v/>
      </c>
      <c r="MH3" s="579" t="str">
        <f t="shared" si="8"/>
        <v/>
      </c>
      <c r="MI3" s="579" t="str">
        <f t="shared" si="8"/>
        <v/>
      </c>
      <c r="MJ3" s="579" t="str">
        <f t="shared" si="8"/>
        <v/>
      </c>
      <c r="MK3" s="579" t="str">
        <f t="shared" si="8"/>
        <v/>
      </c>
      <c r="ML3" s="579" t="str">
        <f t="shared" si="8"/>
        <v/>
      </c>
      <c r="MM3" s="579" t="str">
        <f t="shared" si="8"/>
        <v/>
      </c>
      <c r="MN3" s="579" t="str">
        <f t="shared" si="8"/>
        <v/>
      </c>
      <c r="MO3" s="237" t="str">
        <f t="shared" si="8"/>
        <v>CY2021</v>
      </c>
      <c r="MP3" s="237" t="str">
        <f t="shared" si="8"/>
        <v/>
      </c>
      <c r="MQ3" s="237" t="str">
        <f t="shared" si="8"/>
        <v/>
      </c>
      <c r="MR3" s="237" t="str">
        <f t="shared" si="8"/>
        <v/>
      </c>
      <c r="MS3" s="237" t="str">
        <f t="shared" si="8"/>
        <v/>
      </c>
      <c r="MT3" s="237" t="str">
        <f t="shared" si="8"/>
        <v/>
      </c>
      <c r="MU3" s="237" t="str">
        <f t="shared" si="8"/>
        <v/>
      </c>
      <c r="MV3" s="237" t="str">
        <f t="shared" si="8"/>
        <v/>
      </c>
      <c r="MW3" s="579" t="str">
        <f t="shared" si="8"/>
        <v/>
      </c>
      <c r="MX3" s="579" t="str">
        <f t="shared" si="8"/>
        <v/>
      </c>
      <c r="MY3" s="579" t="str">
        <f t="shared" si="8"/>
        <v/>
      </c>
      <c r="MZ3" s="579" t="str">
        <f t="shared" si="8"/>
        <v/>
      </c>
      <c r="NA3" s="579" t="str">
        <f t="shared" si="8"/>
        <v/>
      </c>
      <c r="NB3" s="579" t="str">
        <f t="shared" si="8"/>
        <v/>
      </c>
      <c r="NC3" s="579" t="str">
        <f t="shared" si="8"/>
        <v/>
      </c>
      <c r="ND3" s="579" t="str">
        <f t="shared" si="8"/>
        <v/>
      </c>
      <c r="NE3" s="579" t="str">
        <f t="shared" si="8"/>
        <v/>
      </c>
      <c r="NF3" s="579" t="str">
        <f t="shared" si="8"/>
        <v/>
      </c>
      <c r="NG3" s="579" t="str">
        <f t="shared" si="8"/>
        <v/>
      </c>
      <c r="NH3" s="579" t="str">
        <f t="shared" si="8"/>
        <v/>
      </c>
      <c r="NI3" s="238" t="str">
        <f t="shared" ref="NI3:OV3" si="9">JM3</f>
        <v>CY2021</v>
      </c>
      <c r="NJ3" s="237" t="str">
        <f t="shared" si="9"/>
        <v/>
      </c>
      <c r="NK3" s="237" t="str">
        <f t="shared" si="9"/>
        <v/>
      </c>
      <c r="NL3" s="237" t="str">
        <f t="shared" si="9"/>
        <v/>
      </c>
      <c r="NM3" s="237" t="str">
        <f t="shared" si="9"/>
        <v/>
      </c>
      <c r="NN3" s="237" t="str">
        <f t="shared" si="9"/>
        <v/>
      </c>
      <c r="NO3" s="237" t="str">
        <f t="shared" si="9"/>
        <v/>
      </c>
      <c r="NP3" s="237" t="str">
        <f t="shared" si="9"/>
        <v/>
      </c>
      <c r="NQ3" s="237" t="str">
        <f t="shared" si="9"/>
        <v/>
      </c>
      <c r="NR3" s="237" t="str">
        <f t="shared" si="9"/>
        <v/>
      </c>
      <c r="NS3" s="237" t="str">
        <f t="shared" si="9"/>
        <v/>
      </c>
      <c r="NT3" s="237" t="str">
        <f t="shared" si="9"/>
        <v/>
      </c>
      <c r="NU3" s="237" t="str">
        <f t="shared" si="9"/>
        <v/>
      </c>
      <c r="NV3" s="237" t="str">
        <f t="shared" si="9"/>
        <v/>
      </c>
      <c r="NW3" s="237" t="str">
        <f t="shared" si="9"/>
        <v/>
      </c>
      <c r="NX3" s="237" t="str">
        <f t="shared" si="9"/>
        <v/>
      </c>
      <c r="NY3" s="237" t="str">
        <f t="shared" si="9"/>
        <v/>
      </c>
      <c r="NZ3" s="237" t="str">
        <f t="shared" si="9"/>
        <v/>
      </c>
      <c r="OA3" s="237" t="str">
        <f t="shared" si="9"/>
        <v/>
      </c>
      <c r="OB3" s="237" t="str">
        <f t="shared" si="9"/>
        <v/>
      </c>
      <c r="OC3" s="238" t="str">
        <f t="shared" si="9"/>
        <v>CY2021</v>
      </c>
      <c r="OD3" s="237" t="str">
        <f t="shared" si="9"/>
        <v/>
      </c>
      <c r="OE3" s="237" t="str">
        <f t="shared" si="9"/>
        <v/>
      </c>
      <c r="OF3" s="237" t="str">
        <f t="shared" si="9"/>
        <v/>
      </c>
      <c r="OG3" s="237" t="str">
        <f t="shared" si="9"/>
        <v/>
      </c>
      <c r="OH3" s="237" t="str">
        <f t="shared" si="9"/>
        <v/>
      </c>
      <c r="OI3" s="237" t="str">
        <f t="shared" si="9"/>
        <v/>
      </c>
      <c r="OJ3" s="237" t="str">
        <f t="shared" si="9"/>
        <v/>
      </c>
      <c r="OK3" s="237" t="str">
        <f t="shared" si="9"/>
        <v/>
      </c>
      <c r="OL3" s="237" t="str">
        <f t="shared" si="9"/>
        <v/>
      </c>
      <c r="OM3" s="237" t="str">
        <f t="shared" si="9"/>
        <v/>
      </c>
      <c r="ON3" s="237" t="str">
        <f t="shared" si="9"/>
        <v/>
      </c>
      <c r="OO3" s="237" t="str">
        <f t="shared" si="9"/>
        <v/>
      </c>
      <c r="OP3" s="237" t="str">
        <f t="shared" si="9"/>
        <v/>
      </c>
      <c r="OQ3" s="237" t="str">
        <f t="shared" si="9"/>
        <v/>
      </c>
      <c r="OR3" s="237" t="str">
        <f t="shared" si="9"/>
        <v/>
      </c>
      <c r="OS3" s="237" t="str">
        <f t="shared" si="9"/>
        <v/>
      </c>
      <c r="OT3" s="237" t="str">
        <f t="shared" si="9"/>
        <v/>
      </c>
      <c r="OU3" s="237" t="str">
        <f t="shared" si="9"/>
        <v/>
      </c>
      <c r="OV3" s="237" t="str">
        <f t="shared" si="9"/>
        <v/>
      </c>
      <c r="OW3" s="238" t="str">
        <f t="shared" ref="OW3:QJ3" si="10">OC3</f>
        <v>CY2021</v>
      </c>
      <c r="OX3" s="237" t="str">
        <f t="shared" si="10"/>
        <v/>
      </c>
      <c r="OY3" s="237" t="str">
        <f t="shared" si="10"/>
        <v/>
      </c>
      <c r="OZ3" s="237" t="str">
        <f t="shared" si="10"/>
        <v/>
      </c>
      <c r="PA3" s="237" t="str">
        <f t="shared" si="10"/>
        <v/>
      </c>
      <c r="PB3" s="237" t="str">
        <f t="shared" si="10"/>
        <v/>
      </c>
      <c r="PC3" s="237" t="str">
        <f t="shared" si="10"/>
        <v/>
      </c>
      <c r="PD3" s="237" t="str">
        <f t="shared" si="10"/>
        <v/>
      </c>
      <c r="PE3" s="237" t="str">
        <f t="shared" si="10"/>
        <v/>
      </c>
      <c r="PF3" s="237" t="str">
        <f t="shared" si="10"/>
        <v/>
      </c>
      <c r="PG3" s="237" t="str">
        <f t="shared" si="10"/>
        <v/>
      </c>
      <c r="PH3" s="237" t="str">
        <f t="shared" si="10"/>
        <v/>
      </c>
      <c r="PI3" s="237" t="str">
        <f t="shared" si="10"/>
        <v/>
      </c>
      <c r="PJ3" s="237" t="str">
        <f t="shared" si="10"/>
        <v/>
      </c>
      <c r="PK3" s="237" t="str">
        <f t="shared" si="10"/>
        <v/>
      </c>
      <c r="PL3" s="237" t="str">
        <f t="shared" si="10"/>
        <v/>
      </c>
      <c r="PM3" s="237" t="str">
        <f t="shared" si="10"/>
        <v/>
      </c>
      <c r="PN3" s="237" t="str">
        <f t="shared" si="10"/>
        <v/>
      </c>
      <c r="PO3" s="237" t="str">
        <f t="shared" si="10"/>
        <v/>
      </c>
      <c r="PP3" s="237" t="str">
        <f t="shared" si="10"/>
        <v/>
      </c>
      <c r="PQ3" s="238" t="str">
        <f t="shared" si="10"/>
        <v>CY2021</v>
      </c>
      <c r="PR3" s="237" t="str">
        <f t="shared" si="10"/>
        <v/>
      </c>
      <c r="PS3" s="237" t="str">
        <f t="shared" si="10"/>
        <v/>
      </c>
      <c r="PT3" s="237" t="str">
        <f t="shared" si="10"/>
        <v/>
      </c>
      <c r="PU3" s="237" t="str">
        <f t="shared" si="10"/>
        <v/>
      </c>
      <c r="PV3" s="237" t="str">
        <f t="shared" si="10"/>
        <v/>
      </c>
      <c r="PW3" s="237" t="str">
        <f t="shared" si="10"/>
        <v/>
      </c>
      <c r="PX3" s="237" t="str">
        <f t="shared" si="10"/>
        <v/>
      </c>
      <c r="PY3" s="237" t="str">
        <f t="shared" si="10"/>
        <v/>
      </c>
      <c r="PZ3" s="237" t="str">
        <f t="shared" si="10"/>
        <v/>
      </c>
      <c r="QA3" s="237" t="str">
        <f t="shared" si="10"/>
        <v/>
      </c>
      <c r="QB3" s="237" t="str">
        <f t="shared" si="10"/>
        <v/>
      </c>
      <c r="QC3" s="237" t="str">
        <f t="shared" si="10"/>
        <v/>
      </c>
      <c r="QD3" s="237" t="str">
        <f t="shared" si="10"/>
        <v/>
      </c>
      <c r="QE3" s="237" t="str">
        <f t="shared" si="10"/>
        <v/>
      </c>
      <c r="QF3" s="237" t="str">
        <f t="shared" si="10"/>
        <v/>
      </c>
      <c r="QG3" s="237" t="str">
        <f t="shared" si="10"/>
        <v/>
      </c>
      <c r="QH3" s="237" t="str">
        <f t="shared" si="10"/>
        <v/>
      </c>
      <c r="QI3" s="237" t="str">
        <f t="shared" si="10"/>
        <v/>
      </c>
      <c r="QJ3" s="237" t="str">
        <f t="shared" si="10"/>
        <v/>
      </c>
      <c r="QK3" s="238" t="str">
        <f t="shared" ref="QK3:SV3" si="11">PQ3</f>
        <v>CY2021</v>
      </c>
      <c r="QL3" s="237" t="str">
        <f t="shared" si="11"/>
        <v/>
      </c>
      <c r="QM3" s="237" t="str">
        <f t="shared" si="11"/>
        <v/>
      </c>
      <c r="QN3" s="237" t="str">
        <f t="shared" si="11"/>
        <v/>
      </c>
      <c r="QO3" s="237" t="str">
        <f t="shared" si="11"/>
        <v/>
      </c>
      <c r="QP3" s="237" t="str">
        <f t="shared" si="11"/>
        <v/>
      </c>
      <c r="QQ3" s="237" t="str">
        <f t="shared" si="11"/>
        <v/>
      </c>
      <c r="QR3" s="237" t="str">
        <f t="shared" si="11"/>
        <v/>
      </c>
      <c r="QS3" s="237" t="str">
        <f t="shared" si="11"/>
        <v/>
      </c>
      <c r="QT3" s="237" t="str">
        <f t="shared" si="11"/>
        <v/>
      </c>
      <c r="QU3" s="237" t="str">
        <f t="shared" si="11"/>
        <v/>
      </c>
      <c r="QV3" s="237" t="str">
        <f t="shared" si="11"/>
        <v/>
      </c>
      <c r="QW3" s="237" t="str">
        <f t="shared" si="11"/>
        <v/>
      </c>
      <c r="QX3" s="237" t="str">
        <f t="shared" si="11"/>
        <v/>
      </c>
      <c r="QY3" s="237" t="str">
        <f t="shared" si="11"/>
        <v/>
      </c>
      <c r="QZ3" s="237" t="str">
        <f t="shared" si="11"/>
        <v/>
      </c>
      <c r="RA3" s="237" t="str">
        <f t="shared" si="11"/>
        <v/>
      </c>
      <c r="RB3" s="237" t="str">
        <f t="shared" si="11"/>
        <v/>
      </c>
      <c r="RC3" s="237" t="str">
        <f t="shared" si="11"/>
        <v/>
      </c>
      <c r="RD3" s="237" t="str">
        <f t="shared" si="11"/>
        <v/>
      </c>
      <c r="RE3" s="238" t="str">
        <f t="shared" si="11"/>
        <v>CY2021</v>
      </c>
      <c r="RF3" s="237" t="str">
        <f t="shared" si="11"/>
        <v/>
      </c>
      <c r="RG3" s="237" t="str">
        <f t="shared" si="11"/>
        <v/>
      </c>
      <c r="RH3" s="237" t="str">
        <f t="shared" si="11"/>
        <v/>
      </c>
      <c r="RI3" s="237" t="str">
        <f t="shared" si="11"/>
        <v/>
      </c>
      <c r="RJ3" s="237" t="str">
        <f t="shared" si="11"/>
        <v/>
      </c>
      <c r="RK3" s="237" t="str">
        <f t="shared" si="11"/>
        <v/>
      </c>
      <c r="RL3" s="237" t="str">
        <f t="shared" si="11"/>
        <v/>
      </c>
      <c r="RM3" s="237" t="str">
        <f t="shared" si="11"/>
        <v/>
      </c>
      <c r="RN3" s="237" t="str">
        <f t="shared" si="11"/>
        <v/>
      </c>
      <c r="RO3" s="237" t="str">
        <f t="shared" si="11"/>
        <v/>
      </c>
      <c r="RP3" s="237" t="str">
        <f t="shared" si="11"/>
        <v/>
      </c>
      <c r="RQ3" s="237" t="str">
        <f t="shared" si="11"/>
        <v/>
      </c>
      <c r="RR3" s="237" t="str">
        <f t="shared" si="11"/>
        <v/>
      </c>
      <c r="RS3" s="237" t="str">
        <f t="shared" si="11"/>
        <v/>
      </c>
      <c r="RT3" s="237" t="str">
        <f t="shared" si="11"/>
        <v/>
      </c>
      <c r="RU3" s="237" t="str">
        <f t="shared" si="11"/>
        <v/>
      </c>
      <c r="RV3" s="237" t="str">
        <f t="shared" si="11"/>
        <v/>
      </c>
      <c r="RW3" s="237" t="str">
        <f t="shared" si="11"/>
        <v/>
      </c>
      <c r="RX3" s="237" t="str">
        <f t="shared" si="11"/>
        <v/>
      </c>
      <c r="RY3" s="238" t="str">
        <f t="shared" si="11"/>
        <v>CY2021</v>
      </c>
      <c r="RZ3" s="237" t="str">
        <f t="shared" si="11"/>
        <v/>
      </c>
      <c r="SA3" s="237" t="str">
        <f t="shared" si="11"/>
        <v/>
      </c>
      <c r="SB3" s="237" t="str">
        <f t="shared" si="11"/>
        <v/>
      </c>
      <c r="SC3" s="237" t="str">
        <f t="shared" si="11"/>
        <v/>
      </c>
      <c r="SD3" s="237" t="str">
        <f t="shared" si="11"/>
        <v/>
      </c>
      <c r="SE3" s="237" t="str">
        <f t="shared" si="11"/>
        <v/>
      </c>
      <c r="SF3" s="237" t="str">
        <f t="shared" si="11"/>
        <v/>
      </c>
      <c r="SG3" s="237" t="str">
        <f t="shared" si="11"/>
        <v/>
      </c>
      <c r="SH3" s="237" t="str">
        <f t="shared" si="11"/>
        <v/>
      </c>
      <c r="SI3" s="237" t="str">
        <f t="shared" si="11"/>
        <v/>
      </c>
      <c r="SJ3" s="237" t="str">
        <f t="shared" si="11"/>
        <v/>
      </c>
      <c r="SK3" s="237" t="str">
        <f t="shared" si="11"/>
        <v/>
      </c>
      <c r="SL3" s="237" t="str">
        <f t="shared" si="11"/>
        <v/>
      </c>
      <c r="SM3" s="237" t="str">
        <f t="shared" si="11"/>
        <v/>
      </c>
      <c r="SN3" s="237" t="str">
        <f t="shared" si="11"/>
        <v/>
      </c>
      <c r="SO3" s="237" t="str">
        <f t="shared" si="11"/>
        <v/>
      </c>
      <c r="SP3" s="237" t="str">
        <f t="shared" si="11"/>
        <v/>
      </c>
      <c r="SQ3" s="237" t="str">
        <f t="shared" si="11"/>
        <v/>
      </c>
      <c r="SR3" s="237" t="str">
        <f t="shared" si="11"/>
        <v/>
      </c>
      <c r="SS3" s="238" t="str">
        <f t="shared" si="11"/>
        <v>CY2021</v>
      </c>
      <c r="ST3" s="237" t="str">
        <f t="shared" si="11"/>
        <v/>
      </c>
      <c r="SU3" s="237" t="str">
        <f t="shared" si="11"/>
        <v/>
      </c>
      <c r="SV3" s="237" t="str">
        <f t="shared" si="11"/>
        <v/>
      </c>
      <c r="SW3" s="237" t="str">
        <f t="shared" ref="SW3:VH3" si="12">SC3</f>
        <v/>
      </c>
      <c r="SX3" s="237" t="str">
        <f t="shared" si="12"/>
        <v/>
      </c>
      <c r="SY3" s="237" t="str">
        <f t="shared" si="12"/>
        <v/>
      </c>
      <c r="SZ3" s="237" t="str">
        <f t="shared" si="12"/>
        <v/>
      </c>
      <c r="TA3" s="237" t="str">
        <f t="shared" si="12"/>
        <v/>
      </c>
      <c r="TB3" s="237" t="str">
        <f t="shared" si="12"/>
        <v/>
      </c>
      <c r="TC3" s="237" t="str">
        <f t="shared" si="12"/>
        <v/>
      </c>
      <c r="TD3" s="237" t="str">
        <f t="shared" si="12"/>
        <v/>
      </c>
      <c r="TE3" s="237" t="str">
        <f t="shared" si="12"/>
        <v/>
      </c>
      <c r="TF3" s="237" t="str">
        <f t="shared" si="12"/>
        <v/>
      </c>
      <c r="TG3" s="237" t="str">
        <f t="shared" si="12"/>
        <v/>
      </c>
      <c r="TH3" s="237" t="str">
        <f t="shared" si="12"/>
        <v/>
      </c>
      <c r="TI3" s="237" t="str">
        <f t="shared" si="12"/>
        <v/>
      </c>
      <c r="TJ3" s="237" t="str">
        <f t="shared" si="12"/>
        <v/>
      </c>
      <c r="TK3" s="237" t="str">
        <f t="shared" si="12"/>
        <v/>
      </c>
      <c r="TL3" s="237" t="str">
        <f t="shared" si="12"/>
        <v/>
      </c>
      <c r="TM3" s="238" t="str">
        <f t="shared" si="12"/>
        <v>CY2021</v>
      </c>
      <c r="TN3" s="237" t="str">
        <f t="shared" si="12"/>
        <v/>
      </c>
      <c r="TO3" s="237" t="str">
        <f t="shared" si="12"/>
        <v/>
      </c>
      <c r="TP3" s="237" t="str">
        <f t="shared" si="12"/>
        <v/>
      </c>
      <c r="TQ3" s="237" t="str">
        <f t="shared" si="12"/>
        <v/>
      </c>
      <c r="TR3" s="237" t="str">
        <f t="shared" si="12"/>
        <v/>
      </c>
      <c r="TS3" s="237" t="str">
        <f t="shared" si="12"/>
        <v/>
      </c>
      <c r="TT3" s="237" t="str">
        <f t="shared" si="12"/>
        <v/>
      </c>
      <c r="TU3" s="237" t="str">
        <f t="shared" si="12"/>
        <v/>
      </c>
      <c r="TV3" s="237" t="str">
        <f t="shared" si="12"/>
        <v/>
      </c>
      <c r="TW3" s="237" t="str">
        <f t="shared" si="12"/>
        <v/>
      </c>
      <c r="TX3" s="237" t="str">
        <f t="shared" si="12"/>
        <v/>
      </c>
      <c r="TY3" s="237" t="str">
        <f t="shared" si="12"/>
        <v/>
      </c>
      <c r="TZ3" s="237" t="str">
        <f t="shared" si="12"/>
        <v/>
      </c>
      <c r="UA3" s="237" t="str">
        <f t="shared" si="12"/>
        <v/>
      </c>
      <c r="UB3" s="237" t="str">
        <f t="shared" si="12"/>
        <v/>
      </c>
      <c r="UC3" s="237" t="str">
        <f t="shared" si="12"/>
        <v/>
      </c>
      <c r="UD3" s="237" t="str">
        <f t="shared" si="12"/>
        <v/>
      </c>
      <c r="UE3" s="237" t="str">
        <f t="shared" si="12"/>
        <v/>
      </c>
      <c r="UF3" s="237" t="str">
        <f t="shared" si="12"/>
        <v/>
      </c>
      <c r="UG3" s="238" t="str">
        <f t="shared" si="12"/>
        <v>CY2021</v>
      </c>
      <c r="UH3" s="237" t="str">
        <f t="shared" si="12"/>
        <v/>
      </c>
      <c r="UI3" s="237" t="str">
        <f t="shared" si="12"/>
        <v/>
      </c>
      <c r="UJ3" s="237" t="str">
        <f t="shared" si="12"/>
        <v/>
      </c>
      <c r="UK3" s="237" t="str">
        <f t="shared" si="12"/>
        <v/>
      </c>
      <c r="UL3" s="237" t="str">
        <f t="shared" si="12"/>
        <v/>
      </c>
      <c r="UM3" s="237" t="str">
        <f t="shared" si="12"/>
        <v/>
      </c>
      <c r="UN3" s="237" t="str">
        <f t="shared" si="12"/>
        <v/>
      </c>
      <c r="UO3" s="237" t="str">
        <f t="shared" si="12"/>
        <v/>
      </c>
      <c r="UP3" s="237" t="str">
        <f t="shared" si="12"/>
        <v/>
      </c>
      <c r="UQ3" s="237" t="str">
        <f t="shared" si="12"/>
        <v/>
      </c>
      <c r="UR3" s="237" t="str">
        <f t="shared" si="12"/>
        <v/>
      </c>
      <c r="US3" s="237" t="str">
        <f t="shared" si="12"/>
        <v/>
      </c>
      <c r="UT3" s="237" t="str">
        <f t="shared" si="12"/>
        <v/>
      </c>
      <c r="UU3" s="237" t="str">
        <f t="shared" si="12"/>
        <v/>
      </c>
      <c r="UV3" s="237" t="str">
        <f t="shared" si="12"/>
        <v/>
      </c>
      <c r="UW3" s="237" t="str">
        <f t="shared" si="12"/>
        <v/>
      </c>
      <c r="UX3" s="237" t="str">
        <f t="shared" si="12"/>
        <v/>
      </c>
      <c r="UY3" s="237" t="str">
        <f t="shared" si="12"/>
        <v/>
      </c>
      <c r="UZ3" s="237" t="str">
        <f t="shared" si="12"/>
        <v/>
      </c>
      <c r="VA3" s="238" t="str">
        <f t="shared" si="12"/>
        <v>CY2021</v>
      </c>
      <c r="VB3" s="237" t="str">
        <f t="shared" si="12"/>
        <v/>
      </c>
      <c r="VC3" s="237" t="str">
        <f t="shared" si="12"/>
        <v/>
      </c>
      <c r="VD3" s="237" t="str">
        <f t="shared" si="12"/>
        <v/>
      </c>
      <c r="VE3" s="237" t="str">
        <f t="shared" si="12"/>
        <v/>
      </c>
      <c r="VF3" s="237" t="str">
        <f t="shared" si="12"/>
        <v/>
      </c>
      <c r="VG3" s="237" t="str">
        <f t="shared" si="12"/>
        <v/>
      </c>
      <c r="VH3" s="237" t="str">
        <f t="shared" si="12"/>
        <v/>
      </c>
      <c r="VI3" s="237" t="str">
        <f t="shared" ref="VI3:WN3" si="13">UO3</f>
        <v/>
      </c>
      <c r="VJ3" s="237" t="str">
        <f t="shared" si="13"/>
        <v/>
      </c>
      <c r="VK3" s="237" t="str">
        <f t="shared" si="13"/>
        <v/>
      </c>
      <c r="VL3" s="237" t="str">
        <f t="shared" si="13"/>
        <v/>
      </c>
      <c r="VM3" s="237" t="str">
        <f t="shared" si="13"/>
        <v/>
      </c>
      <c r="VN3" s="237" t="str">
        <f t="shared" si="13"/>
        <v/>
      </c>
      <c r="VO3" s="237" t="str">
        <f t="shared" si="13"/>
        <v/>
      </c>
      <c r="VP3" s="237" t="str">
        <f t="shared" si="13"/>
        <v/>
      </c>
      <c r="VQ3" s="237" t="str">
        <f t="shared" si="13"/>
        <v/>
      </c>
      <c r="VR3" s="237" t="str">
        <f t="shared" si="13"/>
        <v/>
      </c>
      <c r="VS3" s="237" t="str">
        <f t="shared" si="13"/>
        <v/>
      </c>
      <c r="VT3" s="237" t="str">
        <f t="shared" si="13"/>
        <v/>
      </c>
      <c r="VU3" s="238" t="str">
        <f t="shared" si="13"/>
        <v>CY2021</v>
      </c>
      <c r="VV3" s="237" t="str">
        <f t="shared" si="13"/>
        <v/>
      </c>
      <c r="VW3" s="237" t="str">
        <f t="shared" si="13"/>
        <v/>
      </c>
      <c r="VX3" s="237" t="str">
        <f t="shared" si="13"/>
        <v/>
      </c>
      <c r="VY3" s="237" t="str">
        <f t="shared" si="13"/>
        <v/>
      </c>
      <c r="VZ3" s="237" t="str">
        <f t="shared" si="13"/>
        <v/>
      </c>
      <c r="WA3" s="237" t="str">
        <f t="shared" si="13"/>
        <v/>
      </c>
      <c r="WB3" s="237" t="str">
        <f t="shared" si="13"/>
        <v/>
      </c>
      <c r="WC3" s="237" t="str">
        <f t="shared" si="13"/>
        <v/>
      </c>
      <c r="WD3" s="237" t="str">
        <f t="shared" si="13"/>
        <v/>
      </c>
      <c r="WE3" s="46" t="str">
        <f t="shared" si="13"/>
        <v/>
      </c>
      <c r="WF3" s="46" t="str">
        <f t="shared" si="13"/>
        <v/>
      </c>
      <c r="WG3" s="46" t="str">
        <f t="shared" si="13"/>
        <v/>
      </c>
      <c r="WH3" s="46" t="str">
        <f t="shared" si="13"/>
        <v/>
      </c>
      <c r="WI3" s="46" t="str">
        <f t="shared" si="13"/>
        <v/>
      </c>
      <c r="WJ3" s="46" t="str">
        <f t="shared" si="13"/>
        <v/>
      </c>
      <c r="WK3" s="46" t="str">
        <f t="shared" si="13"/>
        <v/>
      </c>
      <c r="WL3" s="46" t="str">
        <f t="shared" si="13"/>
        <v/>
      </c>
      <c r="WM3" s="46" t="str">
        <f t="shared" si="13"/>
        <v/>
      </c>
      <c r="WN3" s="46" t="str">
        <f t="shared" si="13"/>
        <v/>
      </c>
      <c r="WO3" s="238" t="str">
        <f t="shared" ref="WO3" si="14">VU3</f>
        <v>CY2021</v>
      </c>
      <c r="WP3" s="237" t="str">
        <f t="shared" ref="WP3" si="15">VV3</f>
        <v/>
      </c>
      <c r="WQ3" s="237" t="str">
        <f t="shared" ref="WQ3" si="16">VW3</f>
        <v/>
      </c>
      <c r="WR3" s="237" t="str">
        <f t="shared" ref="WR3" si="17">VX3</f>
        <v/>
      </c>
      <c r="WS3" s="237" t="str">
        <f t="shared" ref="WS3" si="18">VY3</f>
        <v/>
      </c>
      <c r="WT3" s="237" t="str">
        <f t="shared" ref="WT3" si="19">VZ3</f>
        <v/>
      </c>
      <c r="WU3" s="237" t="str">
        <f t="shared" ref="WU3" si="20">WA3</f>
        <v/>
      </c>
      <c r="WV3" s="237" t="str">
        <f t="shared" ref="WV3" si="21">WB3</f>
        <v/>
      </c>
      <c r="WW3" s="237" t="str">
        <f t="shared" ref="WW3" si="22">WC3</f>
        <v/>
      </c>
      <c r="WX3" s="237" t="str">
        <f t="shared" ref="WX3" si="23">WD3</f>
        <v/>
      </c>
      <c r="WY3" s="46" t="str">
        <f t="shared" ref="WY3" si="24">WE3</f>
        <v/>
      </c>
      <c r="WZ3" s="46" t="str">
        <f t="shared" ref="WZ3" si="25">WF3</f>
        <v/>
      </c>
      <c r="XA3" s="46" t="str">
        <f t="shared" ref="XA3" si="26">WG3</f>
        <v/>
      </c>
      <c r="XB3" s="46" t="str">
        <f t="shared" ref="XB3" si="27">WH3</f>
        <v/>
      </c>
      <c r="XC3" s="46" t="str">
        <f t="shared" ref="XC3" si="28">WI3</f>
        <v/>
      </c>
      <c r="XD3" s="46" t="str">
        <f t="shared" ref="XD3" si="29">WJ3</f>
        <v/>
      </c>
      <c r="XE3" s="46" t="str">
        <f t="shared" ref="XE3" si="30">WK3</f>
        <v/>
      </c>
      <c r="XF3" s="46" t="str">
        <f t="shared" ref="XF3" si="31">WL3</f>
        <v/>
      </c>
      <c r="XG3" s="46" t="str">
        <f t="shared" ref="XG3" si="32">WM3</f>
        <v/>
      </c>
      <c r="XH3" s="46" t="str">
        <f t="shared" ref="XH3" si="33">WN3</f>
        <v/>
      </c>
      <c r="XI3" s="238" t="str">
        <f t="shared" ref="XI3" si="34">WO3</f>
        <v>CY2021</v>
      </c>
      <c r="XJ3" s="237" t="str">
        <f t="shared" ref="XJ3" si="35">WP3</f>
        <v/>
      </c>
      <c r="XK3" s="237" t="str">
        <f t="shared" ref="XK3" si="36">WQ3</f>
        <v/>
      </c>
      <c r="XL3" s="237" t="str">
        <f t="shared" ref="XL3" si="37">WR3</f>
        <v/>
      </c>
      <c r="XM3" s="237" t="str">
        <f t="shared" ref="XM3" si="38">WS3</f>
        <v/>
      </c>
      <c r="XN3" s="237" t="str">
        <f t="shared" ref="XN3" si="39">WT3</f>
        <v/>
      </c>
      <c r="XO3" s="237" t="str">
        <f t="shared" ref="XO3" si="40">WU3</f>
        <v/>
      </c>
      <c r="XP3" s="237" t="str">
        <f t="shared" ref="XP3" si="41">WV3</f>
        <v/>
      </c>
      <c r="XQ3" s="237" t="str">
        <f t="shared" ref="XQ3" si="42">WW3</f>
        <v/>
      </c>
      <c r="XR3" s="237" t="str">
        <f t="shared" ref="XR3" si="43">WX3</f>
        <v/>
      </c>
      <c r="XS3" s="46" t="str">
        <f t="shared" ref="XS3" si="44">WY3</f>
        <v/>
      </c>
      <c r="XT3" s="46" t="str">
        <f t="shared" ref="XT3" si="45">WZ3</f>
        <v/>
      </c>
      <c r="XU3" s="46" t="str">
        <f t="shared" ref="XU3" si="46">XA3</f>
        <v/>
      </c>
      <c r="XV3" s="46" t="str">
        <f t="shared" ref="XV3" si="47">XB3</f>
        <v/>
      </c>
      <c r="XW3" s="46" t="str">
        <f t="shared" ref="XW3" si="48">XC3</f>
        <v/>
      </c>
      <c r="XX3" s="46" t="str">
        <f t="shared" ref="XX3" si="49">XD3</f>
        <v/>
      </c>
      <c r="XY3" s="46" t="str">
        <f t="shared" ref="XY3" si="50">XE3</f>
        <v/>
      </c>
      <c r="XZ3" s="46" t="str">
        <f t="shared" ref="XZ3" si="51">XF3</f>
        <v/>
      </c>
      <c r="YA3" s="46" t="str">
        <f t="shared" ref="YA3" si="52">XG3</f>
        <v/>
      </c>
      <c r="YB3" s="46" t="str">
        <f t="shared" ref="YB3" si="53">XH3</f>
        <v/>
      </c>
      <c r="YC3" s="238" t="str">
        <f t="shared" ref="YC3" si="54">XI3</f>
        <v>CY2021</v>
      </c>
      <c r="YD3" s="237" t="str">
        <f t="shared" ref="YD3" si="55">XJ3</f>
        <v/>
      </c>
      <c r="YE3" s="237" t="str">
        <f t="shared" ref="YE3" si="56">XK3</f>
        <v/>
      </c>
      <c r="YF3" s="237" t="str">
        <f t="shared" ref="YF3" si="57">XL3</f>
        <v/>
      </c>
      <c r="YG3" s="237" t="str">
        <f t="shared" ref="YG3" si="58">XM3</f>
        <v/>
      </c>
      <c r="YH3" s="237" t="str">
        <f t="shared" ref="YH3" si="59">XN3</f>
        <v/>
      </c>
      <c r="YI3" s="237" t="str">
        <f t="shared" ref="YI3" si="60">XO3</f>
        <v/>
      </c>
      <c r="YJ3" s="237" t="str">
        <f t="shared" ref="YJ3" si="61">XP3</f>
        <v/>
      </c>
      <c r="YK3" s="237" t="str">
        <f t="shared" ref="YK3" si="62">XQ3</f>
        <v/>
      </c>
      <c r="YL3" s="237" t="str">
        <f t="shared" ref="YL3" si="63">XR3</f>
        <v/>
      </c>
      <c r="YM3" s="46" t="str">
        <f t="shared" ref="YM3" si="64">XS3</f>
        <v/>
      </c>
      <c r="YN3" s="46" t="str">
        <f t="shared" ref="YN3" si="65">XT3</f>
        <v/>
      </c>
      <c r="YO3" s="46" t="str">
        <f t="shared" ref="YO3" si="66">XU3</f>
        <v/>
      </c>
      <c r="YP3" s="46" t="str">
        <f t="shared" ref="YP3" si="67">XV3</f>
        <v/>
      </c>
      <c r="YQ3" s="46" t="str">
        <f t="shared" ref="YQ3" si="68">XW3</f>
        <v/>
      </c>
      <c r="YR3" s="46" t="str">
        <f t="shared" ref="YR3" si="69">XX3</f>
        <v/>
      </c>
      <c r="YS3" s="46" t="str">
        <f t="shared" ref="YS3" si="70">XY3</f>
        <v/>
      </c>
      <c r="YT3" s="46" t="str">
        <f t="shared" ref="YT3" si="71">XZ3</f>
        <v/>
      </c>
      <c r="YU3" s="46" t="str">
        <f t="shared" ref="YU3" si="72">YA3</f>
        <v/>
      </c>
      <c r="YV3" s="46" t="str">
        <f t="shared" ref="YV3" si="73">YB3</f>
        <v/>
      </c>
      <c r="YW3" s="238" t="str">
        <f t="shared" ref="YW3" si="74">YC3</f>
        <v>CY2021</v>
      </c>
      <c r="YX3" s="237" t="str">
        <f t="shared" ref="YX3" si="75">YD3</f>
        <v/>
      </c>
      <c r="YY3" s="237" t="str">
        <f t="shared" ref="YY3" si="76">YE3</f>
        <v/>
      </c>
      <c r="YZ3" s="237" t="str">
        <f t="shared" ref="YZ3" si="77">YF3</f>
        <v/>
      </c>
      <c r="ZA3" s="237" t="str">
        <f t="shared" ref="ZA3" si="78">YG3</f>
        <v/>
      </c>
      <c r="ZB3" s="237" t="str">
        <f t="shared" ref="ZB3" si="79">YH3</f>
        <v/>
      </c>
      <c r="ZC3" s="237" t="str">
        <f t="shared" ref="ZC3" si="80">YI3</f>
        <v/>
      </c>
      <c r="ZD3" s="237" t="str">
        <f t="shared" ref="ZD3" si="81">YJ3</f>
        <v/>
      </c>
      <c r="ZE3" s="237" t="str">
        <f t="shared" ref="ZE3" si="82">YK3</f>
        <v/>
      </c>
      <c r="ZF3" s="237" t="str">
        <f t="shared" ref="ZF3" si="83">YL3</f>
        <v/>
      </c>
      <c r="ZG3" s="46" t="str">
        <f t="shared" ref="ZG3" si="84">YM3</f>
        <v/>
      </c>
      <c r="ZH3" s="46" t="str">
        <f t="shared" ref="ZH3" si="85">YN3</f>
        <v/>
      </c>
      <c r="ZI3" s="46" t="str">
        <f t="shared" ref="ZI3" si="86">YO3</f>
        <v/>
      </c>
      <c r="ZJ3" s="46" t="str">
        <f t="shared" ref="ZJ3" si="87">YP3</f>
        <v/>
      </c>
      <c r="ZK3" s="46" t="str">
        <f t="shared" ref="ZK3" si="88">YQ3</f>
        <v/>
      </c>
      <c r="ZL3" s="46" t="str">
        <f t="shared" ref="ZL3" si="89">YR3</f>
        <v/>
      </c>
      <c r="ZM3" s="46" t="str">
        <f t="shared" ref="ZM3" si="90">YS3</f>
        <v/>
      </c>
      <c r="ZN3" s="46" t="str">
        <f t="shared" ref="ZN3" si="91">YT3</f>
        <v/>
      </c>
      <c r="ZO3" s="46" t="str">
        <f t="shared" ref="ZO3" si="92">YU3</f>
        <v/>
      </c>
      <c r="ZP3" s="46" t="str">
        <f t="shared" ref="ZP3" si="93">YV3</f>
        <v/>
      </c>
      <c r="ZQ3" s="238" t="str">
        <f t="shared" ref="ZQ3" si="94">YW3</f>
        <v>CY2021</v>
      </c>
      <c r="ZR3" s="237" t="str">
        <f t="shared" ref="ZR3" si="95">YX3</f>
        <v/>
      </c>
      <c r="ZS3" s="237" t="str">
        <f t="shared" ref="ZS3" si="96">YY3</f>
        <v/>
      </c>
      <c r="ZT3" s="237" t="str">
        <f t="shared" ref="ZT3" si="97">YZ3</f>
        <v/>
      </c>
      <c r="ZU3" s="237" t="str">
        <f t="shared" ref="ZU3" si="98">ZA3</f>
        <v/>
      </c>
      <c r="ZV3" s="237" t="str">
        <f t="shared" ref="ZV3" si="99">ZB3</f>
        <v/>
      </c>
      <c r="ZW3" s="237" t="str">
        <f t="shared" ref="ZW3" si="100">ZC3</f>
        <v/>
      </c>
      <c r="ZX3" s="237" t="str">
        <f t="shared" ref="ZX3" si="101">ZD3</f>
        <v/>
      </c>
      <c r="ZY3" s="237" t="str">
        <f t="shared" ref="ZY3" si="102">ZE3</f>
        <v/>
      </c>
      <c r="ZZ3" s="237" t="str">
        <f t="shared" ref="ZZ3" si="103">ZF3</f>
        <v/>
      </c>
      <c r="AAA3" s="46" t="str">
        <f t="shared" ref="AAA3" si="104">ZG3</f>
        <v/>
      </c>
      <c r="AAB3" s="46" t="str">
        <f t="shared" ref="AAB3" si="105">ZH3</f>
        <v/>
      </c>
      <c r="AAC3" s="46" t="str">
        <f t="shared" ref="AAC3" si="106">ZI3</f>
        <v/>
      </c>
      <c r="AAD3" s="46" t="str">
        <f t="shared" ref="AAD3" si="107">ZJ3</f>
        <v/>
      </c>
      <c r="AAE3" s="46" t="str">
        <f t="shared" ref="AAE3" si="108">ZK3</f>
        <v/>
      </c>
      <c r="AAF3" s="46" t="str">
        <f t="shared" ref="AAF3" si="109">ZL3</f>
        <v/>
      </c>
      <c r="AAG3" s="46" t="str">
        <f t="shared" ref="AAG3" si="110">ZM3</f>
        <v/>
      </c>
      <c r="AAH3" s="46" t="str">
        <f t="shared" ref="AAH3" si="111">ZN3</f>
        <v/>
      </c>
      <c r="AAI3" s="46" t="str">
        <f t="shared" ref="AAI3" si="112">ZO3</f>
        <v/>
      </c>
      <c r="AAJ3" s="46" t="str">
        <f t="shared" ref="AAJ3" si="113">ZP3</f>
        <v/>
      </c>
      <c r="AAK3" s="238" t="str">
        <f t="shared" ref="AAK3" si="114">ZQ3</f>
        <v>CY2021</v>
      </c>
      <c r="AAL3" s="237" t="str">
        <f t="shared" ref="AAL3" si="115">ZR3</f>
        <v/>
      </c>
      <c r="AAM3" s="237" t="str">
        <f t="shared" ref="AAM3" si="116">ZS3</f>
        <v/>
      </c>
      <c r="AAN3" s="237" t="str">
        <f t="shared" ref="AAN3" si="117">ZT3</f>
        <v/>
      </c>
      <c r="AAO3" s="237" t="str">
        <f t="shared" ref="AAO3" si="118">ZU3</f>
        <v/>
      </c>
      <c r="AAP3" s="237" t="str">
        <f t="shared" ref="AAP3" si="119">ZV3</f>
        <v/>
      </c>
      <c r="AAQ3" s="237" t="str">
        <f t="shared" ref="AAQ3" si="120">ZW3</f>
        <v/>
      </c>
      <c r="AAR3" s="237" t="str">
        <f t="shared" ref="AAR3" si="121">ZX3</f>
        <v/>
      </c>
      <c r="AAS3" s="237" t="str">
        <f t="shared" ref="AAS3" si="122">ZY3</f>
        <v/>
      </c>
      <c r="AAT3" s="237" t="str">
        <f t="shared" ref="AAT3" si="123">ZZ3</f>
        <v/>
      </c>
      <c r="AAU3" s="46" t="str">
        <f t="shared" ref="AAU3" si="124">AAA3</f>
        <v/>
      </c>
      <c r="AAV3" s="46" t="str">
        <f t="shared" ref="AAV3" si="125">AAB3</f>
        <v/>
      </c>
      <c r="AAW3" s="46" t="str">
        <f t="shared" ref="AAW3" si="126">AAC3</f>
        <v/>
      </c>
      <c r="AAX3" s="46" t="str">
        <f t="shared" ref="AAX3" si="127">AAD3</f>
        <v/>
      </c>
      <c r="AAY3" s="46" t="str">
        <f t="shared" ref="AAY3" si="128">AAE3</f>
        <v/>
      </c>
      <c r="AAZ3" s="46" t="str">
        <f t="shared" ref="AAZ3" si="129">AAF3</f>
        <v/>
      </c>
      <c r="ABA3" s="46" t="str">
        <f t="shared" ref="ABA3" si="130">AAG3</f>
        <v/>
      </c>
      <c r="ABB3" s="46" t="str">
        <f t="shared" ref="ABB3" si="131">AAH3</f>
        <v/>
      </c>
      <c r="ABC3" s="46" t="str">
        <f t="shared" ref="ABC3" si="132">AAI3</f>
        <v/>
      </c>
      <c r="ABD3" s="46" t="str">
        <f t="shared" ref="ABD3" si="133">AAJ3</f>
        <v/>
      </c>
      <c r="ABE3" s="238" t="str">
        <f t="shared" ref="ABE3" si="134">AAK3</f>
        <v>CY2021</v>
      </c>
      <c r="ABF3" s="237" t="str">
        <f t="shared" ref="ABF3" si="135">AAL3</f>
        <v/>
      </c>
      <c r="ABG3" s="237" t="str">
        <f t="shared" ref="ABG3" si="136">AAM3</f>
        <v/>
      </c>
      <c r="ABH3" s="237" t="str">
        <f t="shared" ref="ABH3" si="137">AAN3</f>
        <v/>
      </c>
      <c r="ABI3" s="237" t="str">
        <f t="shared" ref="ABI3" si="138">AAO3</f>
        <v/>
      </c>
      <c r="ABJ3" s="237" t="str">
        <f t="shared" ref="ABJ3" si="139">AAP3</f>
        <v/>
      </c>
      <c r="ABK3" s="237" t="str">
        <f t="shared" ref="ABK3" si="140">AAQ3</f>
        <v/>
      </c>
      <c r="ABL3" s="237" t="str">
        <f t="shared" ref="ABL3" si="141">AAR3</f>
        <v/>
      </c>
      <c r="ABM3" s="237" t="str">
        <f t="shared" ref="ABM3" si="142">AAS3</f>
        <v/>
      </c>
      <c r="ABN3" s="237" t="str">
        <f t="shared" ref="ABN3" si="143">AAT3</f>
        <v/>
      </c>
      <c r="ABO3" s="46" t="str">
        <f t="shared" ref="ABO3" si="144">AAU3</f>
        <v/>
      </c>
      <c r="ABP3" s="46" t="str">
        <f t="shared" ref="ABP3" si="145">AAV3</f>
        <v/>
      </c>
      <c r="ABQ3" s="46" t="str">
        <f t="shared" ref="ABQ3" si="146">AAW3</f>
        <v/>
      </c>
      <c r="ABR3" s="46" t="str">
        <f t="shared" ref="ABR3" si="147">AAX3</f>
        <v/>
      </c>
      <c r="ABS3" s="46" t="str">
        <f t="shared" ref="ABS3" si="148">AAY3</f>
        <v/>
      </c>
      <c r="ABT3" s="46" t="str">
        <f t="shared" ref="ABT3" si="149">AAZ3</f>
        <v/>
      </c>
      <c r="ABU3" s="46" t="str">
        <f t="shared" ref="ABU3" si="150">ABA3</f>
        <v/>
      </c>
      <c r="ABV3" s="46" t="str">
        <f t="shared" ref="ABV3" si="151">ABB3</f>
        <v/>
      </c>
      <c r="ABW3" s="46" t="str">
        <f t="shared" ref="ABW3" si="152">ABC3</f>
        <v/>
      </c>
      <c r="ABX3" s="46" t="str">
        <f t="shared" ref="ABX3" si="153">ABD3</f>
        <v/>
      </c>
      <c r="ABY3" s="238" t="str">
        <f t="shared" ref="ABY3:ACF3" si="154">ABE3</f>
        <v>CY2021</v>
      </c>
      <c r="ABZ3" s="237" t="str">
        <f t="shared" si="154"/>
        <v/>
      </c>
      <c r="ACA3" s="237" t="str">
        <f t="shared" si="154"/>
        <v/>
      </c>
      <c r="ACB3" s="237" t="str">
        <f t="shared" si="154"/>
        <v/>
      </c>
      <c r="ACC3" s="237" t="str">
        <f t="shared" si="154"/>
        <v/>
      </c>
      <c r="ACD3" s="237" t="str">
        <f t="shared" si="154"/>
        <v/>
      </c>
      <c r="ACE3" s="237" t="str">
        <f t="shared" si="154"/>
        <v/>
      </c>
      <c r="ACF3" s="237" t="str">
        <f t="shared" si="154"/>
        <v/>
      </c>
      <c r="ACG3" s="237" t="str">
        <f t="shared" ref="ACG3" si="155">ABM3</f>
        <v/>
      </c>
      <c r="ACH3" s="237" t="str">
        <f t="shared" ref="ACH3" si="156">ABN3</f>
        <v/>
      </c>
      <c r="ACI3" s="46" t="str">
        <f t="shared" ref="ACI3" si="157">ABO3</f>
        <v/>
      </c>
      <c r="ACJ3" s="46" t="str">
        <f t="shared" ref="ACJ3" si="158">ABP3</f>
        <v/>
      </c>
      <c r="ACK3" s="46" t="str">
        <f t="shared" ref="ACK3" si="159">ABQ3</f>
        <v/>
      </c>
      <c r="ACL3" s="46" t="str">
        <f t="shared" ref="ACL3" si="160">ABR3</f>
        <v/>
      </c>
      <c r="ACM3" s="46" t="str">
        <f t="shared" ref="ACM3" si="161">ABS3</f>
        <v/>
      </c>
      <c r="ACN3" s="46" t="str">
        <f t="shared" ref="ACN3" si="162">ABT3</f>
        <v/>
      </c>
      <c r="ACO3" s="46" t="str">
        <f t="shared" ref="ACO3" si="163">ABU3</f>
        <v/>
      </c>
      <c r="ACP3" s="46" t="str">
        <f t="shared" ref="ACP3" si="164">ABV3</f>
        <v/>
      </c>
      <c r="ACQ3" s="46" t="str">
        <f t="shared" ref="ACQ3" si="165">ABW3</f>
        <v/>
      </c>
      <c r="ACR3" s="46" t="str">
        <f t="shared" ref="ACR3" si="166">ABX3</f>
        <v/>
      </c>
    </row>
    <row r="4" spans="1:772" s="46" customFormat="1" ht="12.75" customHeight="1" outlineLevel="1" x14ac:dyDescent="0.2">
      <c r="D4" s="51" t="s">
        <v>75</v>
      </c>
      <c r="E4" s="44">
        <f>IF(WEEKDAY(E3-365)=7,E3-1,IF(WEEKDAY(E3-365)=1,E3-365-2,E3-365))</f>
        <v>44280</v>
      </c>
      <c r="H4" s="52"/>
      <c r="I4" s="52"/>
      <c r="J4" s="53" t="s">
        <v>191</v>
      </c>
      <c r="K4" s="47"/>
      <c r="L4" s="47"/>
      <c r="N4" s="47"/>
      <c r="O4" s="47"/>
      <c r="P4" s="52" t="str">
        <f>'Peer Analysis'!$O$15</f>
        <v>Yes</v>
      </c>
      <c r="Q4" s="52" t="str">
        <f>'Peer Analysis'!$O$16</f>
        <v>Yes</v>
      </c>
      <c r="R4" s="52" t="str">
        <f>'Peer Analysis'!$O$17</f>
        <v>Yes</v>
      </c>
      <c r="S4" s="52" t="str">
        <f>'Peer Analysis'!$O$18</f>
        <v>Yes</v>
      </c>
      <c r="T4" s="52" t="str">
        <f>'Peer Analysis'!$O$19</f>
        <v>Yes</v>
      </c>
      <c r="U4" s="47"/>
      <c r="V4" s="47"/>
      <c r="W4" s="47"/>
      <c r="X4" s="47"/>
      <c r="Y4" s="47"/>
      <c r="AA4" s="47"/>
      <c r="AB4" s="47"/>
      <c r="AC4" s="47"/>
      <c r="AD4" s="47"/>
      <c r="AF4" s="19"/>
      <c r="AG4" s="46">
        <f>MATCH(StartPeriod,ImpData!$J$4:$J$15,0)</f>
        <v>12</v>
      </c>
      <c r="AH4" s="46">
        <f>MATCH(EndPeriod,ImpData!$J$4:$J$15,0)</f>
        <v>12</v>
      </c>
      <c r="EW4" s="59" t="str">
        <f>P4</f>
        <v>Yes</v>
      </c>
      <c r="EX4" s="237"/>
      <c r="EY4" s="237"/>
      <c r="EZ4" s="237"/>
      <c r="FA4" s="237"/>
      <c r="FB4" s="237"/>
      <c r="FC4" s="237"/>
      <c r="FD4" s="237"/>
      <c r="FE4" s="237"/>
      <c r="FF4" s="237"/>
      <c r="FG4" s="237"/>
      <c r="FH4" s="237"/>
      <c r="FI4" s="237"/>
      <c r="FJ4" s="237"/>
      <c r="FK4" s="237"/>
      <c r="FL4" s="237"/>
      <c r="FM4" s="237"/>
      <c r="FN4" s="237"/>
      <c r="FO4" s="237"/>
      <c r="FP4" s="237"/>
      <c r="FQ4" s="59" t="str">
        <f>Q4</f>
        <v>Yes</v>
      </c>
      <c r="FR4" s="237"/>
      <c r="FS4" s="237"/>
      <c r="FT4" s="237"/>
      <c r="FU4" s="237"/>
      <c r="FV4" s="237"/>
      <c r="FW4" s="237"/>
      <c r="FX4" s="237"/>
      <c r="FY4" s="237"/>
      <c r="FZ4" s="237"/>
      <c r="GA4" s="237"/>
      <c r="GB4" s="237"/>
      <c r="GC4" s="237"/>
      <c r="GD4" s="237"/>
      <c r="GE4" s="237"/>
      <c r="GF4" s="237"/>
      <c r="GG4" s="237"/>
      <c r="GH4" s="237"/>
      <c r="GI4" s="237"/>
      <c r="GJ4" s="237"/>
      <c r="GK4" s="59" t="str">
        <f>R4</f>
        <v>Yes</v>
      </c>
      <c r="GL4" s="237"/>
      <c r="GM4" s="237"/>
      <c r="GN4" s="237"/>
      <c r="GO4" s="237"/>
      <c r="GP4" s="237"/>
      <c r="GQ4" s="237"/>
      <c r="GR4" s="237"/>
      <c r="GS4" s="237"/>
      <c r="GT4" s="237"/>
      <c r="GU4" s="237"/>
      <c r="GV4" s="237"/>
      <c r="GW4" s="237"/>
      <c r="GX4" s="237"/>
      <c r="GY4" s="237"/>
      <c r="GZ4" s="237"/>
      <c r="HA4" s="237"/>
      <c r="HB4" s="237"/>
      <c r="HC4" s="237"/>
      <c r="HD4" s="237"/>
      <c r="HE4" s="59" t="str">
        <f>S4</f>
        <v>Yes</v>
      </c>
      <c r="HF4" s="237"/>
      <c r="HG4" s="237"/>
      <c r="HH4" s="237"/>
      <c r="HI4" s="237"/>
      <c r="HJ4" s="237"/>
      <c r="HK4" s="237"/>
      <c r="HL4" s="237"/>
      <c r="HM4" s="237"/>
      <c r="HN4" s="237"/>
      <c r="HO4" s="237"/>
      <c r="HP4" s="237"/>
      <c r="HQ4" s="237"/>
      <c r="HR4" s="237"/>
      <c r="HS4" s="237"/>
      <c r="HT4" s="237"/>
      <c r="HU4" s="237"/>
      <c r="HV4" s="237"/>
      <c r="HW4" s="237"/>
      <c r="HX4" s="237"/>
      <c r="HY4" s="59" t="str">
        <f>T4</f>
        <v>Yes</v>
      </c>
      <c r="KG4" s="54"/>
      <c r="KH4" s="54"/>
      <c r="KI4" s="54"/>
      <c r="KJ4" s="54"/>
      <c r="KK4" s="54"/>
      <c r="KL4" s="54"/>
      <c r="KM4" s="54"/>
      <c r="KN4" s="54"/>
      <c r="KO4" s="54"/>
      <c r="KP4" s="54"/>
      <c r="KQ4" s="54"/>
      <c r="KR4" s="54"/>
      <c r="KS4" s="54"/>
      <c r="WO4" s="651">
        <f t="shared" ref="WO4:XH4" si="167">IFERROR(IF(WO3="","",IF(TimePeriodType="Annual",DATE(MID(WO3,3,4),12,31),EOMONTH(DATE(RIGHT(WO3,4),MID(WO3,3,1)*3,1),0))),"")</f>
        <v>44561</v>
      </c>
      <c r="WP4" s="651" t="str">
        <f t="shared" si="167"/>
        <v/>
      </c>
      <c r="WQ4" s="651" t="str">
        <f t="shared" si="167"/>
        <v/>
      </c>
      <c r="WR4" s="651" t="str">
        <f t="shared" si="167"/>
        <v/>
      </c>
      <c r="WS4" s="651" t="str">
        <f t="shared" si="167"/>
        <v/>
      </c>
      <c r="WT4" s="651" t="str">
        <f t="shared" si="167"/>
        <v/>
      </c>
      <c r="WU4" s="651" t="str">
        <f t="shared" si="167"/>
        <v/>
      </c>
      <c r="WV4" s="651" t="str">
        <f t="shared" si="167"/>
        <v/>
      </c>
      <c r="WW4" s="651" t="str">
        <f t="shared" si="167"/>
        <v/>
      </c>
      <c r="WX4" s="651" t="str">
        <f t="shared" si="167"/>
        <v/>
      </c>
      <c r="WY4" s="651" t="str">
        <f t="shared" si="167"/>
        <v/>
      </c>
      <c r="WZ4" s="651" t="str">
        <f t="shared" si="167"/>
        <v/>
      </c>
      <c r="XA4" s="651" t="str">
        <f t="shared" si="167"/>
        <v/>
      </c>
      <c r="XB4" s="651" t="str">
        <f t="shared" si="167"/>
        <v/>
      </c>
      <c r="XC4" s="651" t="str">
        <f t="shared" si="167"/>
        <v/>
      </c>
      <c r="XD4" s="651" t="str">
        <f t="shared" si="167"/>
        <v/>
      </c>
      <c r="XE4" s="651" t="str">
        <f t="shared" si="167"/>
        <v/>
      </c>
      <c r="XF4" s="651" t="str">
        <f t="shared" si="167"/>
        <v/>
      </c>
      <c r="XG4" s="651" t="str">
        <f t="shared" si="167"/>
        <v/>
      </c>
      <c r="XH4" s="651" t="str">
        <f t="shared" si="167"/>
        <v/>
      </c>
      <c r="YC4" s="651">
        <f t="shared" ref="YC4:ZP4" si="168">IFERROR(IF(YC3="","",IF(TimePeriodType="Annual",DATE(MID(YC3,3,4),12,31),EOMONTH(DATE(RIGHT(YC3,4),MID(YC3,3,1)*3,1),0))),"")</f>
        <v>44561</v>
      </c>
      <c r="YD4" s="651" t="str">
        <f t="shared" si="168"/>
        <v/>
      </c>
      <c r="YE4" s="651" t="str">
        <f t="shared" si="168"/>
        <v/>
      </c>
      <c r="YF4" s="651" t="str">
        <f t="shared" si="168"/>
        <v/>
      </c>
      <c r="YG4" s="651" t="str">
        <f t="shared" si="168"/>
        <v/>
      </c>
      <c r="YH4" s="651" t="str">
        <f t="shared" si="168"/>
        <v/>
      </c>
      <c r="YI4" s="651" t="str">
        <f t="shared" si="168"/>
        <v/>
      </c>
      <c r="YJ4" s="651" t="str">
        <f t="shared" si="168"/>
        <v/>
      </c>
      <c r="YK4" s="651" t="str">
        <f t="shared" si="168"/>
        <v/>
      </c>
      <c r="YL4" s="651" t="str">
        <f t="shared" si="168"/>
        <v/>
      </c>
      <c r="YM4" s="651" t="str">
        <f t="shared" si="168"/>
        <v/>
      </c>
      <c r="YN4" s="651" t="str">
        <f t="shared" si="168"/>
        <v/>
      </c>
      <c r="YO4" s="651" t="str">
        <f t="shared" si="168"/>
        <v/>
      </c>
      <c r="YP4" s="651" t="str">
        <f t="shared" si="168"/>
        <v/>
      </c>
      <c r="YQ4" s="651" t="str">
        <f t="shared" si="168"/>
        <v/>
      </c>
      <c r="YR4" s="651" t="str">
        <f t="shared" si="168"/>
        <v/>
      </c>
      <c r="YS4" s="651" t="str">
        <f t="shared" si="168"/>
        <v/>
      </c>
      <c r="YT4" s="651" t="str">
        <f t="shared" si="168"/>
        <v/>
      </c>
      <c r="YU4" s="651" t="str">
        <f t="shared" si="168"/>
        <v/>
      </c>
      <c r="YV4" s="651" t="str">
        <f t="shared" si="168"/>
        <v/>
      </c>
      <c r="YW4" s="651">
        <f t="shared" si="168"/>
        <v>44561</v>
      </c>
      <c r="YX4" s="651" t="str">
        <f t="shared" si="168"/>
        <v/>
      </c>
      <c r="YY4" s="651" t="str">
        <f t="shared" si="168"/>
        <v/>
      </c>
      <c r="YZ4" s="651" t="str">
        <f t="shared" si="168"/>
        <v/>
      </c>
      <c r="ZA4" s="651" t="str">
        <f t="shared" si="168"/>
        <v/>
      </c>
      <c r="ZB4" s="651" t="str">
        <f t="shared" si="168"/>
        <v/>
      </c>
      <c r="ZC4" s="651" t="str">
        <f t="shared" si="168"/>
        <v/>
      </c>
      <c r="ZD4" s="651" t="str">
        <f t="shared" si="168"/>
        <v/>
      </c>
      <c r="ZE4" s="651" t="str">
        <f t="shared" si="168"/>
        <v/>
      </c>
      <c r="ZF4" s="651" t="str">
        <f t="shared" si="168"/>
        <v/>
      </c>
      <c r="ZG4" s="651" t="str">
        <f t="shared" si="168"/>
        <v/>
      </c>
      <c r="ZH4" s="651" t="str">
        <f t="shared" si="168"/>
        <v/>
      </c>
      <c r="ZI4" s="651" t="str">
        <f t="shared" si="168"/>
        <v/>
      </c>
      <c r="ZJ4" s="651" t="str">
        <f t="shared" si="168"/>
        <v/>
      </c>
      <c r="ZK4" s="651" t="str">
        <f t="shared" si="168"/>
        <v/>
      </c>
      <c r="ZL4" s="651" t="str">
        <f t="shared" si="168"/>
        <v/>
      </c>
      <c r="ZM4" s="651" t="str">
        <f t="shared" si="168"/>
        <v/>
      </c>
      <c r="ZN4" s="651" t="str">
        <f t="shared" si="168"/>
        <v/>
      </c>
      <c r="ZO4" s="651" t="str">
        <f t="shared" si="168"/>
        <v/>
      </c>
      <c r="ZP4" s="651" t="str">
        <f t="shared" si="168"/>
        <v/>
      </c>
      <c r="AAK4" s="651">
        <f t="shared" ref="AAK4:ABD4" si="169">IFERROR(IF(AAK3="","",IF(TimePeriodType="Annual",DATE(MID(AAK3,3,4),12,31),EOMONTH(DATE(RIGHT(AAK3,4),MID(AAK3,3,1)*3,1),0))),"")</f>
        <v>44561</v>
      </c>
      <c r="AAL4" s="651" t="str">
        <f t="shared" si="169"/>
        <v/>
      </c>
      <c r="AAM4" s="651" t="str">
        <f t="shared" si="169"/>
        <v/>
      </c>
      <c r="AAN4" s="651" t="str">
        <f t="shared" si="169"/>
        <v/>
      </c>
      <c r="AAO4" s="651" t="str">
        <f t="shared" si="169"/>
        <v/>
      </c>
      <c r="AAP4" s="651" t="str">
        <f t="shared" si="169"/>
        <v/>
      </c>
      <c r="AAQ4" s="651" t="str">
        <f t="shared" si="169"/>
        <v/>
      </c>
      <c r="AAR4" s="651" t="str">
        <f t="shared" si="169"/>
        <v/>
      </c>
      <c r="AAS4" s="651" t="str">
        <f t="shared" si="169"/>
        <v/>
      </c>
      <c r="AAT4" s="651" t="str">
        <f t="shared" si="169"/>
        <v/>
      </c>
      <c r="AAU4" s="651" t="str">
        <f t="shared" si="169"/>
        <v/>
      </c>
      <c r="AAV4" s="651" t="str">
        <f t="shared" si="169"/>
        <v/>
      </c>
      <c r="AAW4" s="651" t="str">
        <f t="shared" si="169"/>
        <v/>
      </c>
      <c r="AAX4" s="651" t="str">
        <f t="shared" si="169"/>
        <v/>
      </c>
      <c r="AAY4" s="651" t="str">
        <f t="shared" si="169"/>
        <v/>
      </c>
      <c r="AAZ4" s="651" t="str">
        <f t="shared" si="169"/>
        <v/>
      </c>
      <c r="ABA4" s="651" t="str">
        <f t="shared" si="169"/>
        <v/>
      </c>
      <c r="ABB4" s="651" t="str">
        <f t="shared" si="169"/>
        <v/>
      </c>
      <c r="ABC4" s="651" t="str">
        <f t="shared" si="169"/>
        <v/>
      </c>
      <c r="ABD4" s="651" t="str">
        <f t="shared" si="169"/>
        <v/>
      </c>
    </row>
    <row r="5" spans="1:772" s="55" customFormat="1" ht="12.75" customHeight="1" x14ac:dyDescent="0.2">
      <c r="D5" s="56"/>
      <c r="E5" s="57"/>
      <c r="H5" s="58"/>
      <c r="I5" s="58"/>
      <c r="J5" s="58"/>
      <c r="K5" s="58"/>
      <c r="L5" s="58"/>
      <c r="P5" s="59"/>
      <c r="Q5" s="58"/>
      <c r="V5" s="58"/>
      <c r="W5" s="58"/>
      <c r="X5" s="58"/>
      <c r="Y5" s="58"/>
      <c r="AA5" s="58"/>
      <c r="AB5" s="58"/>
      <c r="AC5" s="58"/>
      <c r="AD5" s="58"/>
      <c r="AE5" s="58"/>
      <c r="AF5" s="19"/>
      <c r="AG5" s="1521" t="s">
        <v>421</v>
      </c>
      <c r="AH5" s="1518"/>
      <c r="AI5" s="1518"/>
      <c r="AJ5" s="1518"/>
      <c r="AK5" s="1518"/>
      <c r="AL5" s="1518"/>
      <c r="AM5" s="1518"/>
      <c r="AN5" s="1518"/>
      <c r="AO5" s="1518"/>
      <c r="AP5" s="1518"/>
      <c r="AQ5" s="1518"/>
      <c r="AR5" s="1518"/>
      <c r="AS5" s="1518"/>
      <c r="AT5" s="1518"/>
      <c r="AU5" s="1518"/>
      <c r="AV5" s="1518"/>
      <c r="AW5" s="1518"/>
      <c r="AX5" s="1518"/>
      <c r="AY5" s="1518"/>
      <c r="AZ5" s="1518"/>
      <c r="BA5" s="1518" t="s">
        <v>89</v>
      </c>
      <c r="BB5" s="1518"/>
      <c r="BC5" s="1518"/>
      <c r="BD5" s="1518"/>
      <c r="BE5" s="1518"/>
      <c r="BF5" s="1518"/>
      <c r="BG5" s="1518"/>
      <c r="BH5" s="1518"/>
      <c r="BI5" s="1518"/>
      <c r="BJ5" s="1518"/>
      <c r="BK5" s="1518"/>
      <c r="BL5" s="1518"/>
      <c r="BM5" s="1518"/>
      <c r="BN5" s="1518"/>
      <c r="BO5" s="1518"/>
      <c r="BP5" s="1518"/>
      <c r="BQ5" s="1518"/>
      <c r="BR5" s="1518"/>
      <c r="BS5" s="1518"/>
      <c r="BT5" s="1518"/>
      <c r="BU5" s="1518" t="s">
        <v>101</v>
      </c>
      <c r="BV5" s="1518"/>
      <c r="BW5" s="1518"/>
      <c r="BX5" s="1518"/>
      <c r="BY5" s="1518"/>
      <c r="BZ5" s="1518"/>
      <c r="CA5" s="1518"/>
      <c r="CB5" s="1518"/>
      <c r="CC5" s="1518"/>
      <c r="CD5" s="1518"/>
      <c r="CE5" s="1518"/>
      <c r="CF5" s="1518"/>
      <c r="CG5" s="1518"/>
      <c r="CH5" s="1518"/>
      <c r="CI5" s="1518"/>
      <c r="CJ5" s="1518"/>
      <c r="CK5" s="1518"/>
      <c r="CL5" s="1518"/>
      <c r="CM5" s="1518"/>
      <c r="CN5" s="1518"/>
      <c r="CO5" s="1518" t="s">
        <v>94</v>
      </c>
      <c r="CP5" s="1518"/>
      <c r="CQ5" s="1518"/>
      <c r="CR5" s="1518"/>
      <c r="CS5" s="1518"/>
      <c r="CT5" s="1518"/>
      <c r="CU5" s="1518"/>
      <c r="CV5" s="1518"/>
      <c r="CW5" s="1518"/>
      <c r="CX5" s="1518"/>
      <c r="CY5" s="1518"/>
      <c r="CZ5" s="1518"/>
      <c r="DA5" s="1518"/>
      <c r="DB5" s="1518"/>
      <c r="DC5" s="1518"/>
      <c r="DD5" s="1518"/>
      <c r="DE5" s="1518"/>
      <c r="DF5" s="1518"/>
      <c r="DG5" s="1518"/>
      <c r="DH5" s="1518"/>
      <c r="DI5" s="1518" t="s">
        <v>201</v>
      </c>
      <c r="DJ5" s="1518"/>
      <c r="DK5" s="1518"/>
      <c r="DL5" s="1518"/>
      <c r="DM5" s="1518"/>
      <c r="DN5" s="1518"/>
      <c r="DO5" s="1518"/>
      <c r="DP5" s="1518"/>
      <c r="DQ5" s="1518"/>
      <c r="DR5" s="1518"/>
      <c r="DS5" s="1518"/>
      <c r="DT5" s="1518"/>
      <c r="DU5" s="1518"/>
      <c r="DV5" s="1518"/>
      <c r="DW5" s="1518"/>
      <c r="DX5" s="1518"/>
      <c r="DY5" s="1518"/>
      <c r="DZ5" s="1518"/>
      <c r="EA5" s="1518"/>
      <c r="EB5" s="1518"/>
      <c r="EC5" s="1518" t="s">
        <v>422</v>
      </c>
      <c r="ED5" s="1518"/>
      <c r="EE5" s="1518"/>
      <c r="EF5" s="1518"/>
      <c r="EG5" s="1518"/>
      <c r="EH5" s="1518"/>
      <c r="EI5" s="1518"/>
      <c r="EJ5" s="1518"/>
      <c r="EK5" s="1518"/>
      <c r="EL5" s="1518"/>
      <c r="EM5" s="1518"/>
      <c r="EN5" s="1518"/>
      <c r="EO5" s="1518"/>
      <c r="EP5" s="1518"/>
      <c r="EQ5" s="1518"/>
      <c r="ER5" s="1518"/>
      <c r="ES5" s="1518"/>
      <c r="ET5" s="1518"/>
      <c r="EU5" s="1518"/>
      <c r="EV5" s="1518"/>
      <c r="EW5" s="1518" t="s">
        <v>90</v>
      </c>
      <c r="EX5" s="1518"/>
      <c r="EY5" s="1518"/>
      <c r="EZ5" s="1518"/>
      <c r="FA5" s="1518"/>
      <c r="FB5" s="1518"/>
      <c r="FC5" s="1518"/>
      <c r="FD5" s="1518"/>
      <c r="FE5" s="1518"/>
      <c r="FF5" s="1518"/>
      <c r="FG5" s="1518"/>
      <c r="FH5" s="1518"/>
      <c r="FI5" s="1518"/>
      <c r="FJ5" s="1518"/>
      <c r="FK5" s="1518"/>
      <c r="FL5" s="1518"/>
      <c r="FM5" s="1518"/>
      <c r="FN5" s="1518"/>
      <c r="FO5" s="1518"/>
      <c r="FP5" s="1518"/>
      <c r="FQ5" s="1518" t="s">
        <v>91</v>
      </c>
      <c r="FR5" s="1518"/>
      <c r="FS5" s="1518"/>
      <c r="FT5" s="1518"/>
      <c r="FU5" s="1518"/>
      <c r="FV5" s="1518"/>
      <c r="FW5" s="1518"/>
      <c r="FX5" s="1518"/>
      <c r="FY5" s="1518"/>
      <c r="FZ5" s="1518"/>
      <c r="GA5" s="1518"/>
      <c r="GB5" s="1518"/>
      <c r="GC5" s="1518"/>
      <c r="GD5" s="1518"/>
      <c r="GE5" s="1518"/>
      <c r="GF5" s="1518"/>
      <c r="GG5" s="1518"/>
      <c r="GH5" s="1518"/>
      <c r="GI5" s="1518"/>
      <c r="GJ5" s="1518"/>
      <c r="GK5" s="1518" t="s">
        <v>423</v>
      </c>
      <c r="GL5" s="1518"/>
      <c r="GM5" s="1518"/>
      <c r="GN5" s="1518"/>
      <c r="GO5" s="1518"/>
      <c r="GP5" s="1518"/>
      <c r="GQ5" s="1518"/>
      <c r="GR5" s="1518"/>
      <c r="GS5" s="1518"/>
      <c r="GT5" s="1518"/>
      <c r="GU5" s="1518"/>
      <c r="GV5" s="1518"/>
      <c r="GW5" s="1518"/>
      <c r="GX5" s="1518"/>
      <c r="GY5" s="1518"/>
      <c r="GZ5" s="1518"/>
      <c r="HA5" s="1518"/>
      <c r="HB5" s="1518"/>
      <c r="HC5" s="1518"/>
      <c r="HD5" s="1518"/>
      <c r="HE5" s="1518" t="s">
        <v>424</v>
      </c>
      <c r="HF5" s="1518"/>
      <c r="HG5" s="1518"/>
      <c r="HH5" s="1518"/>
      <c r="HI5" s="1518"/>
      <c r="HJ5" s="1518"/>
      <c r="HK5" s="1518"/>
      <c r="HL5" s="1518"/>
      <c r="HM5" s="1518"/>
      <c r="HN5" s="1518"/>
      <c r="HO5" s="1518"/>
      <c r="HP5" s="1518"/>
      <c r="HQ5" s="1518"/>
      <c r="HR5" s="1518"/>
      <c r="HS5" s="1518"/>
      <c r="HT5" s="1518"/>
      <c r="HU5" s="1518"/>
      <c r="HV5" s="1518"/>
      <c r="HW5" s="1518"/>
      <c r="HX5" s="1518"/>
      <c r="HY5" s="1518" t="s">
        <v>425</v>
      </c>
      <c r="HZ5" s="1518"/>
      <c r="IA5" s="1518"/>
      <c r="IB5" s="1518"/>
      <c r="IC5" s="1518"/>
      <c r="ID5" s="1518"/>
      <c r="IE5" s="1518"/>
      <c r="IF5" s="1518"/>
      <c r="IG5" s="1518"/>
      <c r="IH5" s="1518"/>
      <c r="II5" s="1518"/>
      <c r="IJ5" s="1518"/>
      <c r="IK5" s="1518"/>
      <c r="IL5" s="1518"/>
      <c r="IM5" s="1518"/>
      <c r="IN5" s="1518"/>
      <c r="IO5" s="1518"/>
      <c r="IP5" s="1518"/>
      <c r="IQ5" s="1518"/>
      <c r="IR5" s="1518"/>
      <c r="IS5" s="1518" t="s">
        <v>426</v>
      </c>
      <c r="IT5" s="1518"/>
      <c r="IU5" s="1518"/>
      <c r="IV5" s="1518"/>
      <c r="IW5" s="1518"/>
      <c r="IX5" s="1518"/>
      <c r="IY5" s="1518"/>
      <c r="IZ5" s="1518"/>
      <c r="JA5" s="1518"/>
      <c r="JB5" s="1518"/>
      <c r="JC5" s="1518"/>
      <c r="JD5" s="1518"/>
      <c r="JE5" s="1518"/>
      <c r="JF5" s="1518"/>
      <c r="JG5" s="1518"/>
      <c r="JH5" s="1518"/>
      <c r="JI5" s="1518"/>
      <c r="JJ5" s="1518"/>
      <c r="JK5" s="1518"/>
      <c r="JL5" s="1518"/>
      <c r="JM5" s="1518" t="s">
        <v>427</v>
      </c>
      <c r="JN5" s="1518"/>
      <c r="JO5" s="1518"/>
      <c r="JP5" s="1518"/>
      <c r="JQ5" s="1518"/>
      <c r="JR5" s="1518"/>
      <c r="JS5" s="1518"/>
      <c r="JT5" s="1518"/>
      <c r="JU5" s="1518"/>
      <c r="JV5" s="1518"/>
      <c r="JW5" s="1518"/>
      <c r="JX5" s="1518"/>
      <c r="JY5" s="1518"/>
      <c r="JZ5" s="1518"/>
      <c r="KA5" s="1518"/>
      <c r="KB5" s="1518"/>
      <c r="KC5" s="1518"/>
      <c r="KD5" s="1518"/>
      <c r="KE5" s="1518"/>
      <c r="KF5" s="1518"/>
      <c r="KG5" s="1518" t="s">
        <v>428</v>
      </c>
      <c r="KH5" s="1518"/>
      <c r="KI5" s="1518"/>
      <c r="KJ5" s="1518"/>
      <c r="KK5" s="1518"/>
      <c r="KL5" s="1518"/>
      <c r="KM5" s="1518"/>
      <c r="KN5" s="1518"/>
      <c r="KO5" s="1518"/>
      <c r="KP5" s="1518"/>
      <c r="KQ5" s="1518"/>
      <c r="KR5" s="1518"/>
      <c r="KS5" s="1518"/>
      <c r="KT5" s="1518"/>
      <c r="KU5" s="1518"/>
      <c r="KV5" s="1518"/>
      <c r="KW5" s="1518"/>
      <c r="KX5" s="1518"/>
      <c r="KY5" s="1518"/>
      <c r="KZ5" s="1518"/>
      <c r="LA5" s="1519" t="s">
        <v>44</v>
      </c>
      <c r="LB5" s="1520"/>
      <c r="LC5" s="1520"/>
      <c r="LD5" s="1520"/>
      <c r="LE5" s="1520"/>
      <c r="LF5" s="1520"/>
      <c r="LG5" s="1520"/>
      <c r="LH5" s="1520"/>
      <c r="LI5" s="1520"/>
      <c r="LJ5" s="1520"/>
      <c r="LK5" s="1520"/>
      <c r="LL5" s="1520"/>
      <c r="LM5" s="1520"/>
      <c r="LN5" s="1520"/>
      <c r="LO5" s="1520"/>
      <c r="LP5" s="1520"/>
      <c r="LQ5" s="1520"/>
      <c r="LR5" s="1520"/>
      <c r="LS5" s="1520"/>
      <c r="LT5" s="1521"/>
      <c r="LU5" s="1519" t="s">
        <v>1027</v>
      </c>
      <c r="LV5" s="1520"/>
      <c r="LW5" s="1520"/>
      <c r="LX5" s="1520"/>
      <c r="LY5" s="1520"/>
      <c r="LZ5" s="1520"/>
      <c r="MA5" s="1520"/>
      <c r="MB5" s="1520"/>
      <c r="MC5" s="1520"/>
      <c r="MD5" s="1520"/>
      <c r="ME5" s="1520"/>
      <c r="MF5" s="1520"/>
      <c r="MG5" s="1520"/>
      <c r="MH5" s="1520"/>
      <c r="MI5" s="1520"/>
      <c r="MJ5" s="1520"/>
      <c r="MK5" s="1520"/>
      <c r="ML5" s="1520"/>
      <c r="MM5" s="1520"/>
      <c r="MN5" s="1521"/>
      <c r="MO5" s="1519" t="s">
        <v>1035</v>
      </c>
      <c r="MP5" s="1520"/>
      <c r="MQ5" s="1520"/>
      <c r="MR5" s="1520"/>
      <c r="MS5" s="1520"/>
      <c r="MT5" s="1520"/>
      <c r="MU5" s="1520"/>
      <c r="MV5" s="1520"/>
      <c r="MW5" s="1520"/>
      <c r="MX5" s="1520"/>
      <c r="MY5" s="1520"/>
      <c r="MZ5" s="1520"/>
      <c r="NA5" s="1520"/>
      <c r="NB5" s="1520"/>
      <c r="NC5" s="1520"/>
      <c r="ND5" s="1520"/>
      <c r="NE5" s="1520"/>
      <c r="NF5" s="1520"/>
      <c r="NG5" s="1520"/>
      <c r="NH5" s="1521"/>
      <c r="NI5" s="1519" t="s">
        <v>1033</v>
      </c>
      <c r="NJ5" s="1520"/>
      <c r="NK5" s="1520"/>
      <c r="NL5" s="1520"/>
      <c r="NM5" s="1520"/>
      <c r="NN5" s="1520"/>
      <c r="NO5" s="1520"/>
      <c r="NP5" s="1520"/>
      <c r="NQ5" s="1520"/>
      <c r="NR5" s="1520"/>
      <c r="NS5" s="1520"/>
      <c r="NT5" s="1520"/>
      <c r="NU5" s="1520"/>
      <c r="NV5" s="1520"/>
      <c r="NW5" s="1520"/>
      <c r="NX5" s="1520"/>
      <c r="NY5" s="1520"/>
      <c r="NZ5" s="1520"/>
      <c r="OA5" s="1520"/>
      <c r="OB5" s="1521"/>
      <c r="OC5" s="1518" t="s">
        <v>200</v>
      </c>
      <c r="OD5" s="1518"/>
      <c r="OE5" s="1518"/>
      <c r="OF5" s="1518"/>
      <c r="OG5" s="1518"/>
      <c r="OH5" s="1518"/>
      <c r="OI5" s="1518"/>
      <c r="OJ5" s="1518"/>
      <c r="OK5" s="1518"/>
      <c r="OL5" s="1518"/>
      <c r="OM5" s="1518"/>
      <c r="ON5" s="1518"/>
      <c r="OO5" s="1518"/>
      <c r="OP5" s="1518"/>
      <c r="OQ5" s="1518"/>
      <c r="OR5" s="1518"/>
      <c r="OS5" s="1518"/>
      <c r="OT5" s="1518"/>
      <c r="OU5" s="1518"/>
      <c r="OV5" s="1518"/>
      <c r="OW5" s="1518" t="s">
        <v>196</v>
      </c>
      <c r="OX5" s="1518"/>
      <c r="OY5" s="1518"/>
      <c r="OZ5" s="1518"/>
      <c r="PA5" s="1518"/>
      <c r="PB5" s="1518"/>
      <c r="PC5" s="1518"/>
      <c r="PD5" s="1518"/>
      <c r="PE5" s="1518"/>
      <c r="PF5" s="1518"/>
      <c r="PG5" s="1518"/>
      <c r="PH5" s="1518"/>
      <c r="PI5" s="1518"/>
      <c r="PJ5" s="1518"/>
      <c r="PK5" s="1518"/>
      <c r="PL5" s="1518"/>
      <c r="PM5" s="1518"/>
      <c r="PN5" s="1518"/>
      <c r="PO5" s="1518"/>
      <c r="PP5" s="1518"/>
      <c r="PQ5" s="1518" t="s">
        <v>68</v>
      </c>
      <c r="PR5" s="1518"/>
      <c r="PS5" s="1518"/>
      <c r="PT5" s="1518"/>
      <c r="PU5" s="1518"/>
      <c r="PV5" s="1518"/>
      <c r="PW5" s="1518"/>
      <c r="PX5" s="1518"/>
      <c r="PY5" s="1518"/>
      <c r="PZ5" s="1518"/>
      <c r="QA5" s="1518"/>
      <c r="QB5" s="1518"/>
      <c r="QC5" s="1518"/>
      <c r="QD5" s="1518"/>
      <c r="QE5" s="1518"/>
      <c r="QF5" s="1518"/>
      <c r="QG5" s="1518"/>
      <c r="QH5" s="1518"/>
      <c r="QI5" s="1518"/>
      <c r="QJ5" s="1518"/>
      <c r="QK5" s="1518" t="s">
        <v>429</v>
      </c>
      <c r="QL5" s="1518"/>
      <c r="QM5" s="1518"/>
      <c r="QN5" s="1518"/>
      <c r="QO5" s="1518"/>
      <c r="QP5" s="1518"/>
      <c r="QQ5" s="1518"/>
      <c r="QR5" s="1518"/>
      <c r="QS5" s="1518"/>
      <c r="QT5" s="1518"/>
      <c r="QU5" s="1518"/>
      <c r="QV5" s="1518"/>
      <c r="QW5" s="1518"/>
      <c r="QX5" s="1518"/>
      <c r="QY5" s="1518"/>
      <c r="QZ5" s="1518"/>
      <c r="RA5" s="1518"/>
      <c r="RB5" s="1518"/>
      <c r="RC5" s="1518"/>
      <c r="RD5" s="1518"/>
      <c r="RE5" s="1518" t="s">
        <v>264</v>
      </c>
      <c r="RF5" s="1518"/>
      <c r="RG5" s="1518"/>
      <c r="RH5" s="1518"/>
      <c r="RI5" s="1518"/>
      <c r="RJ5" s="1518"/>
      <c r="RK5" s="1518"/>
      <c r="RL5" s="1518"/>
      <c r="RM5" s="1518"/>
      <c r="RN5" s="1518"/>
      <c r="RO5" s="1518"/>
      <c r="RP5" s="1518"/>
      <c r="RQ5" s="1518"/>
      <c r="RR5" s="1518"/>
      <c r="RS5" s="1518"/>
      <c r="RT5" s="1518"/>
      <c r="RU5" s="1518"/>
      <c r="RV5" s="1518"/>
      <c r="RW5" s="1518"/>
      <c r="RX5" s="1518"/>
      <c r="RY5" s="1518" t="s">
        <v>430</v>
      </c>
      <c r="RZ5" s="1518"/>
      <c r="SA5" s="1518"/>
      <c r="SB5" s="1518"/>
      <c r="SC5" s="1518"/>
      <c r="SD5" s="1518"/>
      <c r="SE5" s="1518"/>
      <c r="SF5" s="1518"/>
      <c r="SG5" s="1518"/>
      <c r="SH5" s="1518"/>
      <c r="SI5" s="1518"/>
      <c r="SJ5" s="1518"/>
      <c r="SK5" s="1518"/>
      <c r="SL5" s="1518"/>
      <c r="SM5" s="1518"/>
      <c r="SN5" s="1518"/>
      <c r="SO5" s="1518"/>
      <c r="SP5" s="1518"/>
      <c r="SQ5" s="1518"/>
      <c r="SR5" s="1518"/>
      <c r="SS5" s="1518" t="s">
        <v>186</v>
      </c>
      <c r="ST5" s="1518"/>
      <c r="SU5" s="1518"/>
      <c r="SV5" s="1518"/>
      <c r="SW5" s="1518"/>
      <c r="SX5" s="1518"/>
      <c r="SY5" s="1518"/>
      <c r="SZ5" s="1518"/>
      <c r="TA5" s="1518"/>
      <c r="TB5" s="1518"/>
      <c r="TC5" s="1518"/>
      <c r="TD5" s="1518"/>
      <c r="TE5" s="1518"/>
      <c r="TF5" s="1518"/>
      <c r="TG5" s="1518"/>
      <c r="TH5" s="1518"/>
      <c r="TI5" s="1518"/>
      <c r="TJ5" s="1518"/>
      <c r="TK5" s="1518"/>
      <c r="TL5" s="1518"/>
      <c r="TM5" s="1518" t="s">
        <v>431</v>
      </c>
      <c r="TN5" s="1518"/>
      <c r="TO5" s="1518"/>
      <c r="TP5" s="1518"/>
      <c r="TQ5" s="1518"/>
      <c r="TR5" s="1518"/>
      <c r="TS5" s="1518"/>
      <c r="TT5" s="1518"/>
      <c r="TU5" s="1518"/>
      <c r="TV5" s="1518"/>
      <c r="TW5" s="1518"/>
      <c r="TX5" s="1518"/>
      <c r="TY5" s="1518"/>
      <c r="TZ5" s="1518"/>
      <c r="UA5" s="1518"/>
      <c r="UB5" s="1518"/>
      <c r="UC5" s="1518"/>
      <c r="UD5" s="1518"/>
      <c r="UE5" s="1518"/>
      <c r="UF5" s="1518"/>
      <c r="UG5" s="1518" t="s">
        <v>432</v>
      </c>
      <c r="UH5" s="1518"/>
      <c r="UI5" s="1518"/>
      <c r="UJ5" s="1518"/>
      <c r="UK5" s="1518"/>
      <c r="UL5" s="1518"/>
      <c r="UM5" s="1518"/>
      <c r="UN5" s="1518"/>
      <c r="UO5" s="1518"/>
      <c r="UP5" s="1518"/>
      <c r="UQ5" s="1518"/>
      <c r="UR5" s="1518"/>
      <c r="US5" s="1518"/>
      <c r="UT5" s="1518"/>
      <c r="UU5" s="1518"/>
      <c r="UV5" s="1518"/>
      <c r="UW5" s="1518"/>
      <c r="UX5" s="1518"/>
      <c r="UY5" s="1518"/>
      <c r="UZ5" s="1518"/>
      <c r="VA5" s="1518" t="s">
        <v>433</v>
      </c>
      <c r="VB5" s="1518"/>
      <c r="VC5" s="1518"/>
      <c r="VD5" s="1518"/>
      <c r="VE5" s="1518"/>
      <c r="VF5" s="1518"/>
      <c r="VG5" s="1518"/>
      <c r="VH5" s="1518"/>
      <c r="VI5" s="1518"/>
      <c r="VJ5" s="1518"/>
      <c r="VK5" s="1518"/>
      <c r="VL5" s="1518"/>
      <c r="VM5" s="1518"/>
      <c r="VN5" s="1518"/>
      <c r="VO5" s="1518"/>
      <c r="VP5" s="1518"/>
      <c r="VQ5" s="1518"/>
      <c r="VR5" s="1518"/>
      <c r="VS5" s="1518"/>
      <c r="VT5" s="1518"/>
      <c r="VU5" s="1518" t="s">
        <v>434</v>
      </c>
      <c r="VV5" s="1518"/>
      <c r="VW5" s="1518"/>
      <c r="VX5" s="1518"/>
      <c r="VY5" s="1518"/>
      <c r="VZ5" s="1518"/>
      <c r="WA5" s="1518"/>
      <c r="WB5" s="1518"/>
      <c r="WC5" s="1518"/>
      <c r="WD5" s="1518"/>
      <c r="WE5" s="1518"/>
      <c r="WF5" s="1518"/>
      <c r="WG5" s="1518"/>
      <c r="WH5" s="1518"/>
      <c r="WI5" s="1518"/>
      <c r="WJ5" s="1518"/>
      <c r="WK5" s="1518"/>
      <c r="WL5" s="1518"/>
      <c r="WM5" s="1518"/>
      <c r="WN5" s="1519"/>
      <c r="WO5" s="1518" t="s">
        <v>482</v>
      </c>
      <c r="WP5" s="1518"/>
      <c r="WQ5" s="1518"/>
      <c r="WR5" s="1518"/>
      <c r="WS5" s="1518"/>
      <c r="WT5" s="1518"/>
      <c r="WU5" s="1518"/>
      <c r="WV5" s="1518"/>
      <c r="WW5" s="1518"/>
      <c r="WX5" s="1518"/>
      <c r="WY5" s="1518"/>
      <c r="WZ5" s="1518"/>
      <c r="XA5" s="1518"/>
      <c r="XB5" s="1518"/>
      <c r="XC5" s="1518"/>
      <c r="XD5" s="1518"/>
      <c r="XE5" s="1518"/>
      <c r="XF5" s="1518"/>
      <c r="XG5" s="1518"/>
      <c r="XH5" s="1519"/>
      <c r="XI5" s="1518" t="s">
        <v>1058</v>
      </c>
      <c r="XJ5" s="1518"/>
      <c r="XK5" s="1518"/>
      <c r="XL5" s="1518"/>
      <c r="XM5" s="1518"/>
      <c r="XN5" s="1518"/>
      <c r="XO5" s="1518"/>
      <c r="XP5" s="1518"/>
      <c r="XQ5" s="1518"/>
      <c r="XR5" s="1518"/>
      <c r="XS5" s="1518"/>
      <c r="XT5" s="1518"/>
      <c r="XU5" s="1518"/>
      <c r="XV5" s="1518"/>
      <c r="XW5" s="1518"/>
      <c r="XX5" s="1518"/>
      <c r="XY5" s="1518"/>
      <c r="XZ5" s="1518"/>
      <c r="YA5" s="1518"/>
      <c r="YB5" s="1519"/>
      <c r="YC5" s="1518" t="s">
        <v>1059</v>
      </c>
      <c r="YD5" s="1518"/>
      <c r="YE5" s="1518"/>
      <c r="YF5" s="1518"/>
      <c r="YG5" s="1518"/>
      <c r="YH5" s="1518"/>
      <c r="YI5" s="1518"/>
      <c r="YJ5" s="1518"/>
      <c r="YK5" s="1518"/>
      <c r="YL5" s="1518"/>
      <c r="YM5" s="1518"/>
      <c r="YN5" s="1518"/>
      <c r="YO5" s="1518"/>
      <c r="YP5" s="1518"/>
      <c r="YQ5" s="1518"/>
      <c r="YR5" s="1518"/>
      <c r="YS5" s="1518"/>
      <c r="YT5" s="1518"/>
      <c r="YU5" s="1518"/>
      <c r="YV5" s="1519"/>
      <c r="YW5" s="1518" t="s">
        <v>1060</v>
      </c>
      <c r="YX5" s="1518"/>
      <c r="YY5" s="1518"/>
      <c r="YZ5" s="1518"/>
      <c r="ZA5" s="1518"/>
      <c r="ZB5" s="1518"/>
      <c r="ZC5" s="1518"/>
      <c r="ZD5" s="1518"/>
      <c r="ZE5" s="1518"/>
      <c r="ZF5" s="1518"/>
      <c r="ZG5" s="1518"/>
      <c r="ZH5" s="1518"/>
      <c r="ZI5" s="1518"/>
      <c r="ZJ5" s="1518"/>
      <c r="ZK5" s="1518"/>
      <c r="ZL5" s="1518"/>
      <c r="ZM5" s="1518"/>
      <c r="ZN5" s="1518"/>
      <c r="ZO5" s="1518"/>
      <c r="ZP5" s="1519"/>
      <c r="ZQ5" s="1518" t="s">
        <v>1055</v>
      </c>
      <c r="ZR5" s="1518"/>
      <c r="ZS5" s="1518"/>
      <c r="ZT5" s="1518"/>
      <c r="ZU5" s="1518"/>
      <c r="ZV5" s="1518"/>
      <c r="ZW5" s="1518"/>
      <c r="ZX5" s="1518"/>
      <c r="ZY5" s="1518"/>
      <c r="ZZ5" s="1518"/>
      <c r="AAA5" s="1518"/>
      <c r="AAB5" s="1518"/>
      <c r="AAC5" s="1518"/>
      <c r="AAD5" s="1518"/>
      <c r="AAE5" s="1518"/>
      <c r="AAF5" s="1518"/>
      <c r="AAG5" s="1518"/>
      <c r="AAH5" s="1518"/>
      <c r="AAI5" s="1518"/>
      <c r="AAJ5" s="1519"/>
      <c r="AAK5" s="1518" t="s">
        <v>1061</v>
      </c>
      <c r="AAL5" s="1518"/>
      <c r="AAM5" s="1518"/>
      <c r="AAN5" s="1518"/>
      <c r="AAO5" s="1518"/>
      <c r="AAP5" s="1518"/>
      <c r="AAQ5" s="1518"/>
      <c r="AAR5" s="1518"/>
      <c r="AAS5" s="1518"/>
      <c r="AAT5" s="1518"/>
      <c r="AAU5" s="1518"/>
      <c r="AAV5" s="1518"/>
      <c r="AAW5" s="1518"/>
      <c r="AAX5" s="1518"/>
      <c r="AAY5" s="1518"/>
      <c r="AAZ5" s="1518"/>
      <c r="ABA5" s="1518"/>
      <c r="ABB5" s="1518"/>
      <c r="ABC5" s="1518"/>
      <c r="ABD5" s="1519"/>
      <c r="ABE5" s="1518" t="s">
        <v>1056</v>
      </c>
      <c r="ABF5" s="1518"/>
      <c r="ABG5" s="1518"/>
      <c r="ABH5" s="1518"/>
      <c r="ABI5" s="1518"/>
      <c r="ABJ5" s="1518"/>
      <c r="ABK5" s="1518"/>
      <c r="ABL5" s="1518"/>
      <c r="ABM5" s="1518"/>
      <c r="ABN5" s="1518"/>
      <c r="ABO5" s="1518"/>
      <c r="ABP5" s="1518"/>
      <c r="ABQ5" s="1518"/>
      <c r="ABR5" s="1518"/>
      <c r="ABS5" s="1518"/>
      <c r="ABT5" s="1518"/>
      <c r="ABU5" s="1518"/>
      <c r="ABV5" s="1518"/>
      <c r="ABW5" s="1518"/>
      <c r="ABX5" s="1519"/>
      <c r="ABY5" s="1518" t="s">
        <v>37</v>
      </c>
      <c r="ABZ5" s="1518"/>
      <c r="ACA5" s="1518"/>
      <c r="ACB5" s="1518"/>
      <c r="ACC5" s="1518"/>
      <c r="ACD5" s="1518"/>
      <c r="ACE5" s="1518"/>
      <c r="ACF5" s="1518"/>
      <c r="ACG5" s="1518"/>
      <c r="ACH5" s="1518"/>
      <c r="ACI5" s="1518"/>
      <c r="ACJ5" s="1518"/>
      <c r="ACK5" s="1518"/>
      <c r="ACL5" s="1518"/>
      <c r="ACM5" s="1518"/>
      <c r="ACN5" s="1518"/>
      <c r="ACO5" s="1518"/>
      <c r="ACP5" s="1518"/>
      <c r="ACQ5" s="1518"/>
      <c r="ACR5" s="1519"/>
    </row>
    <row r="6" spans="1:772" ht="39" customHeight="1" x14ac:dyDescent="0.2">
      <c r="A6" s="60" t="s">
        <v>941</v>
      </c>
      <c r="B6" s="60" t="s">
        <v>69</v>
      </c>
      <c r="C6" s="60" t="s">
        <v>479</v>
      </c>
      <c r="D6" s="60" t="s">
        <v>71</v>
      </c>
      <c r="E6" s="61" t="s">
        <v>72</v>
      </c>
      <c r="F6" s="61" t="s">
        <v>73</v>
      </c>
      <c r="G6" s="62" t="s">
        <v>204</v>
      </c>
      <c r="H6" s="62" t="s">
        <v>205</v>
      </c>
      <c r="I6" s="62" t="s">
        <v>206</v>
      </c>
      <c r="J6" s="62" t="s">
        <v>89</v>
      </c>
      <c r="K6" s="62" t="s">
        <v>101</v>
      </c>
      <c r="L6" s="62" t="s">
        <v>207</v>
      </c>
      <c r="M6" s="62" t="s">
        <v>201</v>
      </c>
      <c r="N6" s="62" t="s">
        <v>422</v>
      </c>
      <c r="O6" s="62" t="s">
        <v>90</v>
      </c>
      <c r="P6" s="62" t="s">
        <v>91</v>
      </c>
      <c r="Q6" s="62" t="s">
        <v>210</v>
      </c>
      <c r="R6" s="62" t="s">
        <v>211</v>
      </c>
      <c r="S6" s="62" t="s">
        <v>212</v>
      </c>
      <c r="T6" s="62" t="s">
        <v>208</v>
      </c>
      <c r="U6" s="63" t="s">
        <v>200</v>
      </c>
      <c r="V6" s="62" t="s">
        <v>196</v>
      </c>
      <c r="W6" s="62" t="s">
        <v>264</v>
      </c>
      <c r="X6" s="62" t="s">
        <v>36</v>
      </c>
      <c r="Y6" s="62" t="s">
        <v>37</v>
      </c>
      <c r="Z6" s="62" t="s">
        <v>1209</v>
      </c>
      <c r="AA6" s="62" t="s">
        <v>68</v>
      </c>
      <c r="AB6" s="1003" t="s">
        <v>257</v>
      </c>
      <c r="AC6" s="1003" t="s">
        <v>186</v>
      </c>
      <c r="AD6" s="1003" t="s">
        <v>209</v>
      </c>
      <c r="AE6" s="64" t="s">
        <v>96</v>
      </c>
      <c r="AF6" s="228" t="s">
        <v>361</v>
      </c>
      <c r="AG6" s="65" t="str">
        <f t="shared" ref="AG6:AZ6" si="170">IF(TimePeriodType="Quarter",IF(AG3="","",REPLACE(AG3,4,2,"'")),AG3)</f>
        <v>CY2021</v>
      </c>
      <c r="AH6" s="65" t="str">
        <f t="shared" si="170"/>
        <v/>
      </c>
      <c r="AI6" s="65" t="str">
        <f t="shared" si="170"/>
        <v/>
      </c>
      <c r="AJ6" s="65" t="str">
        <f t="shared" si="170"/>
        <v/>
      </c>
      <c r="AK6" s="65" t="str">
        <f t="shared" si="170"/>
        <v/>
      </c>
      <c r="AL6" s="65" t="str">
        <f t="shared" si="170"/>
        <v/>
      </c>
      <c r="AM6" s="65" t="str">
        <f t="shared" si="170"/>
        <v/>
      </c>
      <c r="AN6" s="65" t="str">
        <f t="shared" si="170"/>
        <v/>
      </c>
      <c r="AO6" s="65" t="str">
        <f t="shared" si="170"/>
        <v/>
      </c>
      <c r="AP6" s="65" t="str">
        <f t="shared" si="170"/>
        <v/>
      </c>
      <c r="AQ6" s="65" t="str">
        <f t="shared" si="170"/>
        <v/>
      </c>
      <c r="AR6" s="65" t="str">
        <f t="shared" si="170"/>
        <v/>
      </c>
      <c r="AS6" s="65" t="str">
        <f t="shared" si="170"/>
        <v/>
      </c>
      <c r="AT6" s="65" t="str">
        <f t="shared" si="170"/>
        <v/>
      </c>
      <c r="AU6" s="65" t="str">
        <f t="shared" si="170"/>
        <v/>
      </c>
      <c r="AV6" s="65" t="str">
        <f t="shared" si="170"/>
        <v/>
      </c>
      <c r="AW6" s="65" t="str">
        <f t="shared" si="170"/>
        <v/>
      </c>
      <c r="AX6" s="65" t="str">
        <f t="shared" si="170"/>
        <v/>
      </c>
      <c r="AY6" s="65" t="str">
        <f t="shared" si="170"/>
        <v/>
      </c>
      <c r="AZ6" s="65" t="str">
        <f t="shared" si="170"/>
        <v/>
      </c>
      <c r="BA6" s="65" t="str">
        <f>AG6</f>
        <v>CY2021</v>
      </c>
      <c r="BB6" s="65" t="str">
        <f t="shared" ref="BB6:DM6" si="171">AH6</f>
        <v/>
      </c>
      <c r="BC6" s="65" t="str">
        <f t="shared" si="171"/>
        <v/>
      </c>
      <c r="BD6" s="65" t="str">
        <f t="shared" si="171"/>
        <v/>
      </c>
      <c r="BE6" s="65" t="str">
        <f t="shared" si="171"/>
        <v/>
      </c>
      <c r="BF6" s="65" t="str">
        <f t="shared" si="171"/>
        <v/>
      </c>
      <c r="BG6" s="65" t="str">
        <f t="shared" si="171"/>
        <v/>
      </c>
      <c r="BH6" s="65" t="str">
        <f t="shared" si="171"/>
        <v/>
      </c>
      <c r="BI6" s="65" t="str">
        <f t="shared" si="171"/>
        <v/>
      </c>
      <c r="BJ6" s="65" t="str">
        <f t="shared" si="171"/>
        <v/>
      </c>
      <c r="BK6" s="65" t="str">
        <f t="shared" si="171"/>
        <v/>
      </c>
      <c r="BL6" s="65" t="str">
        <f t="shared" si="171"/>
        <v/>
      </c>
      <c r="BM6" s="65" t="str">
        <f t="shared" si="171"/>
        <v/>
      </c>
      <c r="BN6" s="65" t="str">
        <f t="shared" si="171"/>
        <v/>
      </c>
      <c r="BO6" s="65" t="str">
        <f t="shared" si="171"/>
        <v/>
      </c>
      <c r="BP6" s="65" t="str">
        <f t="shared" si="171"/>
        <v/>
      </c>
      <c r="BQ6" s="65" t="str">
        <f t="shared" si="171"/>
        <v/>
      </c>
      <c r="BR6" s="65" t="str">
        <f t="shared" si="171"/>
        <v/>
      </c>
      <c r="BS6" s="65" t="str">
        <f t="shared" si="171"/>
        <v/>
      </c>
      <c r="BT6" s="65" t="str">
        <f t="shared" si="171"/>
        <v/>
      </c>
      <c r="BU6" s="65" t="str">
        <f t="shared" si="171"/>
        <v>CY2021</v>
      </c>
      <c r="BV6" s="65" t="str">
        <f t="shared" si="171"/>
        <v/>
      </c>
      <c r="BW6" s="65" t="str">
        <f t="shared" si="171"/>
        <v/>
      </c>
      <c r="BX6" s="65" t="str">
        <f t="shared" si="171"/>
        <v/>
      </c>
      <c r="BY6" s="65" t="str">
        <f t="shared" si="171"/>
        <v/>
      </c>
      <c r="BZ6" s="65" t="str">
        <f t="shared" si="171"/>
        <v/>
      </c>
      <c r="CA6" s="65" t="str">
        <f t="shared" si="171"/>
        <v/>
      </c>
      <c r="CB6" s="65" t="str">
        <f t="shared" si="171"/>
        <v/>
      </c>
      <c r="CC6" s="65" t="str">
        <f t="shared" si="171"/>
        <v/>
      </c>
      <c r="CD6" s="65" t="str">
        <f t="shared" si="171"/>
        <v/>
      </c>
      <c r="CE6" s="65" t="str">
        <f t="shared" si="171"/>
        <v/>
      </c>
      <c r="CF6" s="65" t="str">
        <f t="shared" si="171"/>
        <v/>
      </c>
      <c r="CG6" s="65" t="str">
        <f t="shared" si="171"/>
        <v/>
      </c>
      <c r="CH6" s="65" t="str">
        <f t="shared" si="171"/>
        <v/>
      </c>
      <c r="CI6" s="65" t="str">
        <f t="shared" si="171"/>
        <v/>
      </c>
      <c r="CJ6" s="65" t="str">
        <f t="shared" si="171"/>
        <v/>
      </c>
      <c r="CK6" s="65" t="str">
        <f t="shared" si="171"/>
        <v/>
      </c>
      <c r="CL6" s="65" t="str">
        <f t="shared" si="171"/>
        <v/>
      </c>
      <c r="CM6" s="65" t="str">
        <f t="shared" si="171"/>
        <v/>
      </c>
      <c r="CN6" s="65" t="str">
        <f t="shared" si="171"/>
        <v/>
      </c>
      <c r="CO6" s="65" t="str">
        <f t="shared" si="171"/>
        <v>CY2021</v>
      </c>
      <c r="CP6" s="65" t="str">
        <f t="shared" si="171"/>
        <v/>
      </c>
      <c r="CQ6" s="65" t="str">
        <f t="shared" si="171"/>
        <v/>
      </c>
      <c r="CR6" s="65" t="str">
        <f t="shared" si="171"/>
        <v/>
      </c>
      <c r="CS6" s="65" t="str">
        <f t="shared" si="171"/>
        <v/>
      </c>
      <c r="CT6" s="65" t="str">
        <f t="shared" si="171"/>
        <v/>
      </c>
      <c r="CU6" s="65" t="str">
        <f t="shared" si="171"/>
        <v/>
      </c>
      <c r="CV6" s="65" t="str">
        <f t="shared" si="171"/>
        <v/>
      </c>
      <c r="CW6" s="65" t="str">
        <f t="shared" si="171"/>
        <v/>
      </c>
      <c r="CX6" s="65" t="str">
        <f t="shared" si="171"/>
        <v/>
      </c>
      <c r="CY6" s="65" t="str">
        <f t="shared" si="171"/>
        <v/>
      </c>
      <c r="CZ6" s="65" t="str">
        <f t="shared" si="171"/>
        <v/>
      </c>
      <c r="DA6" s="65" t="str">
        <f t="shared" si="171"/>
        <v/>
      </c>
      <c r="DB6" s="65" t="str">
        <f t="shared" si="171"/>
        <v/>
      </c>
      <c r="DC6" s="65" t="str">
        <f t="shared" si="171"/>
        <v/>
      </c>
      <c r="DD6" s="65" t="str">
        <f t="shared" si="171"/>
        <v/>
      </c>
      <c r="DE6" s="65" t="str">
        <f t="shared" si="171"/>
        <v/>
      </c>
      <c r="DF6" s="65" t="str">
        <f t="shared" si="171"/>
        <v/>
      </c>
      <c r="DG6" s="65" t="str">
        <f t="shared" si="171"/>
        <v/>
      </c>
      <c r="DH6" s="65" t="str">
        <f t="shared" si="171"/>
        <v/>
      </c>
      <c r="DI6" s="65" t="str">
        <f t="shared" si="171"/>
        <v>CY2021</v>
      </c>
      <c r="DJ6" s="65" t="str">
        <f t="shared" si="171"/>
        <v/>
      </c>
      <c r="DK6" s="65" t="str">
        <f t="shared" si="171"/>
        <v/>
      </c>
      <c r="DL6" s="65" t="str">
        <f t="shared" si="171"/>
        <v/>
      </c>
      <c r="DM6" s="65" t="str">
        <f t="shared" si="171"/>
        <v/>
      </c>
      <c r="DN6" s="65" t="str">
        <f t="shared" ref="DN6:FY6" si="172">CT6</f>
        <v/>
      </c>
      <c r="DO6" s="65" t="str">
        <f t="shared" si="172"/>
        <v/>
      </c>
      <c r="DP6" s="65" t="str">
        <f t="shared" si="172"/>
        <v/>
      </c>
      <c r="DQ6" s="65" t="str">
        <f t="shared" si="172"/>
        <v/>
      </c>
      <c r="DR6" s="65" t="str">
        <f t="shared" si="172"/>
        <v/>
      </c>
      <c r="DS6" s="65" t="str">
        <f t="shared" si="172"/>
        <v/>
      </c>
      <c r="DT6" s="65" t="str">
        <f t="shared" si="172"/>
        <v/>
      </c>
      <c r="DU6" s="65" t="str">
        <f t="shared" si="172"/>
        <v/>
      </c>
      <c r="DV6" s="65" t="str">
        <f t="shared" si="172"/>
        <v/>
      </c>
      <c r="DW6" s="65" t="str">
        <f t="shared" si="172"/>
        <v/>
      </c>
      <c r="DX6" s="65" t="str">
        <f t="shared" si="172"/>
        <v/>
      </c>
      <c r="DY6" s="65" t="str">
        <f t="shared" si="172"/>
        <v/>
      </c>
      <c r="DZ6" s="65" t="str">
        <f t="shared" si="172"/>
        <v/>
      </c>
      <c r="EA6" s="65" t="str">
        <f t="shared" si="172"/>
        <v/>
      </c>
      <c r="EB6" s="65" t="str">
        <f t="shared" si="172"/>
        <v/>
      </c>
      <c r="EC6" s="65" t="str">
        <f t="shared" si="172"/>
        <v>CY2021</v>
      </c>
      <c r="ED6" s="65" t="str">
        <f t="shared" si="172"/>
        <v/>
      </c>
      <c r="EE6" s="65" t="str">
        <f t="shared" si="172"/>
        <v/>
      </c>
      <c r="EF6" s="65" t="str">
        <f t="shared" si="172"/>
        <v/>
      </c>
      <c r="EG6" s="65" t="str">
        <f t="shared" si="172"/>
        <v/>
      </c>
      <c r="EH6" s="65" t="str">
        <f t="shared" si="172"/>
        <v/>
      </c>
      <c r="EI6" s="65" t="str">
        <f t="shared" si="172"/>
        <v/>
      </c>
      <c r="EJ6" s="65" t="str">
        <f t="shared" si="172"/>
        <v/>
      </c>
      <c r="EK6" s="65" t="str">
        <f t="shared" si="172"/>
        <v/>
      </c>
      <c r="EL6" s="65" t="str">
        <f t="shared" si="172"/>
        <v/>
      </c>
      <c r="EM6" s="65" t="str">
        <f t="shared" si="172"/>
        <v/>
      </c>
      <c r="EN6" s="65" t="str">
        <f t="shared" si="172"/>
        <v/>
      </c>
      <c r="EO6" s="65" t="str">
        <f t="shared" si="172"/>
        <v/>
      </c>
      <c r="EP6" s="65" t="str">
        <f t="shared" si="172"/>
        <v/>
      </c>
      <c r="EQ6" s="65" t="str">
        <f t="shared" si="172"/>
        <v/>
      </c>
      <c r="ER6" s="65" t="str">
        <f t="shared" si="172"/>
        <v/>
      </c>
      <c r="ES6" s="65" t="str">
        <f t="shared" si="172"/>
        <v/>
      </c>
      <c r="ET6" s="65" t="str">
        <f t="shared" si="172"/>
        <v/>
      </c>
      <c r="EU6" s="65" t="str">
        <f t="shared" si="172"/>
        <v/>
      </c>
      <c r="EV6" s="65" t="str">
        <f t="shared" si="172"/>
        <v/>
      </c>
      <c r="EW6" s="65" t="str">
        <f t="shared" si="172"/>
        <v>CY2021</v>
      </c>
      <c r="EX6" s="65" t="str">
        <f t="shared" si="172"/>
        <v/>
      </c>
      <c r="EY6" s="65" t="str">
        <f t="shared" si="172"/>
        <v/>
      </c>
      <c r="EZ6" s="65" t="str">
        <f t="shared" si="172"/>
        <v/>
      </c>
      <c r="FA6" s="65" t="str">
        <f t="shared" si="172"/>
        <v/>
      </c>
      <c r="FB6" s="65" t="str">
        <f t="shared" si="172"/>
        <v/>
      </c>
      <c r="FC6" s="65" t="str">
        <f t="shared" si="172"/>
        <v/>
      </c>
      <c r="FD6" s="65" t="str">
        <f t="shared" si="172"/>
        <v/>
      </c>
      <c r="FE6" s="65" t="str">
        <f t="shared" si="172"/>
        <v/>
      </c>
      <c r="FF6" s="65" t="str">
        <f t="shared" si="172"/>
        <v/>
      </c>
      <c r="FG6" s="65" t="str">
        <f t="shared" si="172"/>
        <v/>
      </c>
      <c r="FH6" s="65" t="str">
        <f t="shared" si="172"/>
        <v/>
      </c>
      <c r="FI6" s="65" t="str">
        <f t="shared" si="172"/>
        <v/>
      </c>
      <c r="FJ6" s="65" t="str">
        <f t="shared" si="172"/>
        <v/>
      </c>
      <c r="FK6" s="65" t="str">
        <f t="shared" si="172"/>
        <v/>
      </c>
      <c r="FL6" s="65" t="str">
        <f t="shared" si="172"/>
        <v/>
      </c>
      <c r="FM6" s="65" t="str">
        <f t="shared" si="172"/>
        <v/>
      </c>
      <c r="FN6" s="65" t="str">
        <f t="shared" si="172"/>
        <v/>
      </c>
      <c r="FO6" s="65" t="str">
        <f t="shared" si="172"/>
        <v/>
      </c>
      <c r="FP6" s="65" t="str">
        <f t="shared" si="172"/>
        <v/>
      </c>
      <c r="FQ6" s="65" t="str">
        <f t="shared" si="172"/>
        <v>CY2021</v>
      </c>
      <c r="FR6" s="65" t="str">
        <f t="shared" si="172"/>
        <v/>
      </c>
      <c r="FS6" s="65" t="str">
        <f t="shared" si="172"/>
        <v/>
      </c>
      <c r="FT6" s="65" t="str">
        <f t="shared" si="172"/>
        <v/>
      </c>
      <c r="FU6" s="65" t="str">
        <f t="shared" si="172"/>
        <v/>
      </c>
      <c r="FV6" s="65" t="str">
        <f t="shared" si="172"/>
        <v/>
      </c>
      <c r="FW6" s="65" t="str">
        <f t="shared" si="172"/>
        <v/>
      </c>
      <c r="FX6" s="65" t="str">
        <f t="shared" si="172"/>
        <v/>
      </c>
      <c r="FY6" s="65" t="str">
        <f t="shared" si="172"/>
        <v/>
      </c>
      <c r="FZ6" s="65" t="str">
        <f t="shared" ref="FZ6:IK6" si="173">FF6</f>
        <v/>
      </c>
      <c r="GA6" s="65" t="str">
        <f t="shared" si="173"/>
        <v/>
      </c>
      <c r="GB6" s="65" t="str">
        <f t="shared" si="173"/>
        <v/>
      </c>
      <c r="GC6" s="65" t="str">
        <f t="shared" si="173"/>
        <v/>
      </c>
      <c r="GD6" s="65" t="str">
        <f t="shared" si="173"/>
        <v/>
      </c>
      <c r="GE6" s="65" t="str">
        <f t="shared" si="173"/>
        <v/>
      </c>
      <c r="GF6" s="65" t="str">
        <f t="shared" si="173"/>
        <v/>
      </c>
      <c r="GG6" s="65" t="str">
        <f t="shared" si="173"/>
        <v/>
      </c>
      <c r="GH6" s="65" t="str">
        <f t="shared" si="173"/>
        <v/>
      </c>
      <c r="GI6" s="65" t="str">
        <f t="shared" si="173"/>
        <v/>
      </c>
      <c r="GJ6" s="65" t="str">
        <f t="shared" si="173"/>
        <v/>
      </c>
      <c r="GK6" s="65" t="str">
        <f t="shared" si="173"/>
        <v>CY2021</v>
      </c>
      <c r="GL6" s="65" t="str">
        <f t="shared" si="173"/>
        <v/>
      </c>
      <c r="GM6" s="65" t="str">
        <f t="shared" si="173"/>
        <v/>
      </c>
      <c r="GN6" s="65" t="str">
        <f t="shared" si="173"/>
        <v/>
      </c>
      <c r="GO6" s="65" t="str">
        <f t="shared" si="173"/>
        <v/>
      </c>
      <c r="GP6" s="65" t="str">
        <f t="shared" si="173"/>
        <v/>
      </c>
      <c r="GQ6" s="65" t="str">
        <f t="shared" si="173"/>
        <v/>
      </c>
      <c r="GR6" s="65" t="str">
        <f t="shared" si="173"/>
        <v/>
      </c>
      <c r="GS6" s="65" t="str">
        <f t="shared" si="173"/>
        <v/>
      </c>
      <c r="GT6" s="65" t="str">
        <f t="shared" si="173"/>
        <v/>
      </c>
      <c r="GU6" s="65" t="str">
        <f t="shared" si="173"/>
        <v/>
      </c>
      <c r="GV6" s="65" t="str">
        <f t="shared" si="173"/>
        <v/>
      </c>
      <c r="GW6" s="65" t="str">
        <f t="shared" si="173"/>
        <v/>
      </c>
      <c r="GX6" s="65" t="str">
        <f t="shared" si="173"/>
        <v/>
      </c>
      <c r="GY6" s="65" t="str">
        <f t="shared" si="173"/>
        <v/>
      </c>
      <c r="GZ6" s="65" t="str">
        <f t="shared" si="173"/>
        <v/>
      </c>
      <c r="HA6" s="65" t="str">
        <f t="shared" si="173"/>
        <v/>
      </c>
      <c r="HB6" s="65" t="str">
        <f t="shared" si="173"/>
        <v/>
      </c>
      <c r="HC6" s="65" t="str">
        <f t="shared" si="173"/>
        <v/>
      </c>
      <c r="HD6" s="65" t="str">
        <f t="shared" si="173"/>
        <v/>
      </c>
      <c r="HE6" s="65" t="str">
        <f t="shared" si="173"/>
        <v>CY2021</v>
      </c>
      <c r="HF6" s="65" t="str">
        <f t="shared" si="173"/>
        <v/>
      </c>
      <c r="HG6" s="65" t="str">
        <f t="shared" si="173"/>
        <v/>
      </c>
      <c r="HH6" s="65" t="str">
        <f t="shared" si="173"/>
        <v/>
      </c>
      <c r="HI6" s="65" t="str">
        <f t="shared" si="173"/>
        <v/>
      </c>
      <c r="HJ6" s="65" t="str">
        <f t="shared" si="173"/>
        <v/>
      </c>
      <c r="HK6" s="65" t="str">
        <f t="shared" si="173"/>
        <v/>
      </c>
      <c r="HL6" s="65" t="str">
        <f t="shared" si="173"/>
        <v/>
      </c>
      <c r="HM6" s="65" t="str">
        <f t="shared" si="173"/>
        <v/>
      </c>
      <c r="HN6" s="65" t="str">
        <f t="shared" si="173"/>
        <v/>
      </c>
      <c r="HO6" s="65" t="str">
        <f t="shared" si="173"/>
        <v/>
      </c>
      <c r="HP6" s="65" t="str">
        <f t="shared" si="173"/>
        <v/>
      </c>
      <c r="HQ6" s="65" t="str">
        <f t="shared" si="173"/>
        <v/>
      </c>
      <c r="HR6" s="65" t="str">
        <f t="shared" si="173"/>
        <v/>
      </c>
      <c r="HS6" s="65" t="str">
        <f t="shared" si="173"/>
        <v/>
      </c>
      <c r="HT6" s="65" t="str">
        <f t="shared" si="173"/>
        <v/>
      </c>
      <c r="HU6" s="65" t="str">
        <f t="shared" si="173"/>
        <v/>
      </c>
      <c r="HV6" s="65" t="str">
        <f t="shared" si="173"/>
        <v/>
      </c>
      <c r="HW6" s="65" t="str">
        <f t="shared" si="173"/>
        <v/>
      </c>
      <c r="HX6" s="65" t="str">
        <f t="shared" si="173"/>
        <v/>
      </c>
      <c r="HY6" s="65" t="str">
        <f t="shared" si="173"/>
        <v>CY2021</v>
      </c>
      <c r="HZ6" s="65" t="str">
        <f t="shared" si="173"/>
        <v/>
      </c>
      <c r="IA6" s="65" t="str">
        <f t="shared" si="173"/>
        <v/>
      </c>
      <c r="IB6" s="65" t="str">
        <f t="shared" si="173"/>
        <v/>
      </c>
      <c r="IC6" s="65" t="str">
        <f t="shared" si="173"/>
        <v/>
      </c>
      <c r="ID6" s="65" t="str">
        <f t="shared" si="173"/>
        <v/>
      </c>
      <c r="IE6" s="65" t="str">
        <f t="shared" si="173"/>
        <v/>
      </c>
      <c r="IF6" s="65" t="str">
        <f t="shared" si="173"/>
        <v/>
      </c>
      <c r="IG6" s="65" t="str">
        <f t="shared" si="173"/>
        <v/>
      </c>
      <c r="IH6" s="65" t="str">
        <f t="shared" si="173"/>
        <v/>
      </c>
      <c r="II6" s="65" t="str">
        <f t="shared" si="173"/>
        <v/>
      </c>
      <c r="IJ6" s="65" t="str">
        <f t="shared" si="173"/>
        <v/>
      </c>
      <c r="IK6" s="65" t="str">
        <f t="shared" si="173"/>
        <v/>
      </c>
      <c r="IL6" s="65" t="str">
        <f t="shared" ref="IL6:KW6" si="174">HR6</f>
        <v/>
      </c>
      <c r="IM6" s="65" t="str">
        <f t="shared" si="174"/>
        <v/>
      </c>
      <c r="IN6" s="65" t="str">
        <f t="shared" si="174"/>
        <v/>
      </c>
      <c r="IO6" s="65" t="str">
        <f t="shared" si="174"/>
        <v/>
      </c>
      <c r="IP6" s="65" t="str">
        <f t="shared" si="174"/>
        <v/>
      </c>
      <c r="IQ6" s="65" t="str">
        <f t="shared" si="174"/>
        <v/>
      </c>
      <c r="IR6" s="65" t="str">
        <f t="shared" si="174"/>
        <v/>
      </c>
      <c r="IS6" s="65" t="str">
        <f t="shared" si="174"/>
        <v>CY2021</v>
      </c>
      <c r="IT6" s="65" t="str">
        <f t="shared" si="174"/>
        <v/>
      </c>
      <c r="IU6" s="65" t="str">
        <f t="shared" si="174"/>
        <v/>
      </c>
      <c r="IV6" s="65" t="str">
        <f t="shared" si="174"/>
        <v/>
      </c>
      <c r="IW6" s="65" t="str">
        <f t="shared" si="174"/>
        <v/>
      </c>
      <c r="IX6" s="65" t="str">
        <f t="shared" si="174"/>
        <v/>
      </c>
      <c r="IY6" s="65" t="str">
        <f t="shared" si="174"/>
        <v/>
      </c>
      <c r="IZ6" s="65" t="str">
        <f t="shared" si="174"/>
        <v/>
      </c>
      <c r="JA6" s="65" t="str">
        <f t="shared" si="174"/>
        <v/>
      </c>
      <c r="JB6" s="65" t="str">
        <f t="shared" si="174"/>
        <v/>
      </c>
      <c r="JC6" s="65" t="str">
        <f t="shared" si="174"/>
        <v/>
      </c>
      <c r="JD6" s="65" t="str">
        <f t="shared" si="174"/>
        <v/>
      </c>
      <c r="JE6" s="65" t="str">
        <f t="shared" si="174"/>
        <v/>
      </c>
      <c r="JF6" s="65" t="str">
        <f t="shared" si="174"/>
        <v/>
      </c>
      <c r="JG6" s="65" t="str">
        <f t="shared" si="174"/>
        <v/>
      </c>
      <c r="JH6" s="65" t="str">
        <f t="shared" si="174"/>
        <v/>
      </c>
      <c r="JI6" s="65" t="str">
        <f t="shared" si="174"/>
        <v/>
      </c>
      <c r="JJ6" s="65" t="str">
        <f t="shared" si="174"/>
        <v/>
      </c>
      <c r="JK6" s="65" t="str">
        <f t="shared" si="174"/>
        <v/>
      </c>
      <c r="JL6" s="65" t="str">
        <f t="shared" si="174"/>
        <v/>
      </c>
      <c r="JM6" s="65" t="str">
        <f t="shared" si="174"/>
        <v>CY2021</v>
      </c>
      <c r="JN6" s="65" t="str">
        <f t="shared" si="174"/>
        <v/>
      </c>
      <c r="JO6" s="65" t="str">
        <f t="shared" si="174"/>
        <v/>
      </c>
      <c r="JP6" s="65" t="str">
        <f t="shared" si="174"/>
        <v/>
      </c>
      <c r="JQ6" s="65" t="str">
        <f t="shared" si="174"/>
        <v/>
      </c>
      <c r="JR6" s="65" t="str">
        <f t="shared" si="174"/>
        <v/>
      </c>
      <c r="JS6" s="65" t="str">
        <f t="shared" si="174"/>
        <v/>
      </c>
      <c r="JT6" s="65" t="str">
        <f t="shared" si="174"/>
        <v/>
      </c>
      <c r="JU6" s="65" t="str">
        <f t="shared" si="174"/>
        <v/>
      </c>
      <c r="JV6" s="65" t="str">
        <f t="shared" si="174"/>
        <v/>
      </c>
      <c r="JW6" s="65" t="str">
        <f t="shared" si="174"/>
        <v/>
      </c>
      <c r="JX6" s="65" t="str">
        <f t="shared" si="174"/>
        <v/>
      </c>
      <c r="JY6" s="65" t="str">
        <f t="shared" si="174"/>
        <v/>
      </c>
      <c r="JZ6" s="65" t="str">
        <f t="shared" si="174"/>
        <v/>
      </c>
      <c r="KA6" s="65" t="str">
        <f t="shared" si="174"/>
        <v/>
      </c>
      <c r="KB6" s="65" t="str">
        <f t="shared" si="174"/>
        <v/>
      </c>
      <c r="KC6" s="65" t="str">
        <f t="shared" si="174"/>
        <v/>
      </c>
      <c r="KD6" s="65" t="str">
        <f t="shared" si="174"/>
        <v/>
      </c>
      <c r="KE6" s="65" t="str">
        <f t="shared" si="174"/>
        <v/>
      </c>
      <c r="KF6" s="65" t="str">
        <f t="shared" si="174"/>
        <v/>
      </c>
      <c r="KG6" s="65" t="str">
        <f t="shared" si="174"/>
        <v>CY2021</v>
      </c>
      <c r="KH6" s="65" t="str">
        <f t="shared" si="174"/>
        <v/>
      </c>
      <c r="KI6" s="65" t="str">
        <f t="shared" si="174"/>
        <v/>
      </c>
      <c r="KJ6" s="65" t="str">
        <f t="shared" si="174"/>
        <v/>
      </c>
      <c r="KK6" s="65" t="str">
        <f t="shared" si="174"/>
        <v/>
      </c>
      <c r="KL6" s="65" t="str">
        <f t="shared" si="174"/>
        <v/>
      </c>
      <c r="KM6" s="65" t="str">
        <f t="shared" si="174"/>
        <v/>
      </c>
      <c r="KN6" s="65" t="str">
        <f t="shared" si="174"/>
        <v/>
      </c>
      <c r="KO6" s="65" t="str">
        <f t="shared" si="174"/>
        <v/>
      </c>
      <c r="KP6" s="65" t="str">
        <f t="shared" si="174"/>
        <v/>
      </c>
      <c r="KQ6" s="65" t="str">
        <f t="shared" si="174"/>
        <v/>
      </c>
      <c r="KR6" s="65" t="str">
        <f t="shared" si="174"/>
        <v/>
      </c>
      <c r="KS6" s="65" t="str">
        <f t="shared" si="174"/>
        <v/>
      </c>
      <c r="KT6" s="65" t="str">
        <f t="shared" si="174"/>
        <v/>
      </c>
      <c r="KU6" s="65" t="str">
        <f t="shared" si="174"/>
        <v/>
      </c>
      <c r="KV6" s="65" t="str">
        <f t="shared" si="174"/>
        <v/>
      </c>
      <c r="KW6" s="65" t="str">
        <f t="shared" si="174"/>
        <v/>
      </c>
      <c r="KX6" s="65" t="str">
        <f t="shared" ref="KX6:MC6" si="175">KD6</f>
        <v/>
      </c>
      <c r="KY6" s="65" t="str">
        <f t="shared" si="175"/>
        <v/>
      </c>
      <c r="KZ6" s="65" t="str">
        <f t="shared" si="175"/>
        <v/>
      </c>
      <c r="LA6" s="65" t="str">
        <f t="shared" si="175"/>
        <v>CY2021</v>
      </c>
      <c r="LB6" s="65" t="str">
        <f t="shared" si="175"/>
        <v/>
      </c>
      <c r="LC6" s="65" t="str">
        <f t="shared" si="175"/>
        <v/>
      </c>
      <c r="LD6" s="65" t="str">
        <f t="shared" si="175"/>
        <v/>
      </c>
      <c r="LE6" s="65" t="str">
        <f t="shared" si="175"/>
        <v/>
      </c>
      <c r="LF6" s="65" t="str">
        <f t="shared" si="175"/>
        <v/>
      </c>
      <c r="LG6" s="65" t="str">
        <f t="shared" si="175"/>
        <v/>
      </c>
      <c r="LH6" s="65" t="str">
        <f t="shared" si="175"/>
        <v/>
      </c>
      <c r="LI6" s="65" t="str">
        <f t="shared" si="175"/>
        <v/>
      </c>
      <c r="LJ6" s="65" t="str">
        <f t="shared" si="175"/>
        <v/>
      </c>
      <c r="LK6" s="65" t="str">
        <f t="shared" si="175"/>
        <v/>
      </c>
      <c r="LL6" s="65" t="str">
        <f t="shared" si="175"/>
        <v/>
      </c>
      <c r="LM6" s="65" t="str">
        <f t="shared" si="175"/>
        <v/>
      </c>
      <c r="LN6" s="65" t="str">
        <f t="shared" si="175"/>
        <v/>
      </c>
      <c r="LO6" s="65" t="str">
        <f t="shared" si="175"/>
        <v/>
      </c>
      <c r="LP6" s="65" t="str">
        <f t="shared" si="175"/>
        <v/>
      </c>
      <c r="LQ6" s="65" t="str">
        <f t="shared" si="175"/>
        <v/>
      </c>
      <c r="LR6" s="65" t="str">
        <f t="shared" si="175"/>
        <v/>
      </c>
      <c r="LS6" s="65" t="str">
        <f t="shared" si="175"/>
        <v/>
      </c>
      <c r="LT6" s="65" t="str">
        <f t="shared" si="175"/>
        <v/>
      </c>
      <c r="LU6" s="65" t="str">
        <f t="shared" si="175"/>
        <v>CY2021</v>
      </c>
      <c r="LV6" s="65" t="str">
        <f t="shared" si="175"/>
        <v/>
      </c>
      <c r="LW6" s="65" t="str">
        <f t="shared" si="175"/>
        <v/>
      </c>
      <c r="LX6" s="65" t="str">
        <f t="shared" si="175"/>
        <v/>
      </c>
      <c r="LY6" s="65" t="str">
        <f t="shared" si="175"/>
        <v/>
      </c>
      <c r="LZ6" s="65" t="str">
        <f t="shared" si="175"/>
        <v/>
      </c>
      <c r="MA6" s="65" t="str">
        <f t="shared" si="175"/>
        <v/>
      </c>
      <c r="MB6" s="65" t="str">
        <f t="shared" si="175"/>
        <v/>
      </c>
      <c r="MC6" s="65" t="str">
        <f t="shared" si="175"/>
        <v/>
      </c>
      <c r="MD6" s="65" t="str">
        <f t="shared" ref="MD6:NH6" si="176">LJ6</f>
        <v/>
      </c>
      <c r="ME6" s="65" t="str">
        <f t="shared" si="176"/>
        <v/>
      </c>
      <c r="MF6" s="65" t="str">
        <f t="shared" si="176"/>
        <v/>
      </c>
      <c r="MG6" s="65" t="str">
        <f t="shared" si="176"/>
        <v/>
      </c>
      <c r="MH6" s="65" t="str">
        <f t="shared" si="176"/>
        <v/>
      </c>
      <c r="MI6" s="65" t="str">
        <f t="shared" si="176"/>
        <v/>
      </c>
      <c r="MJ6" s="65" t="str">
        <f t="shared" si="176"/>
        <v/>
      </c>
      <c r="MK6" s="65" t="str">
        <f t="shared" si="176"/>
        <v/>
      </c>
      <c r="ML6" s="65" t="str">
        <f t="shared" si="176"/>
        <v/>
      </c>
      <c r="MM6" s="65" t="str">
        <f t="shared" si="176"/>
        <v/>
      </c>
      <c r="MN6" s="65" t="str">
        <f t="shared" si="176"/>
        <v/>
      </c>
      <c r="MO6" s="65" t="str">
        <f t="shared" si="176"/>
        <v>CY2021</v>
      </c>
      <c r="MP6" s="65" t="str">
        <f t="shared" si="176"/>
        <v/>
      </c>
      <c r="MQ6" s="65" t="str">
        <f t="shared" si="176"/>
        <v/>
      </c>
      <c r="MR6" s="65" t="str">
        <f t="shared" si="176"/>
        <v/>
      </c>
      <c r="MS6" s="65" t="str">
        <f t="shared" si="176"/>
        <v/>
      </c>
      <c r="MT6" s="65" t="str">
        <f t="shared" si="176"/>
        <v/>
      </c>
      <c r="MU6" s="65" t="str">
        <f t="shared" si="176"/>
        <v/>
      </c>
      <c r="MV6" s="65" t="str">
        <f t="shared" si="176"/>
        <v/>
      </c>
      <c r="MW6" s="65" t="str">
        <f t="shared" si="176"/>
        <v/>
      </c>
      <c r="MX6" s="65" t="str">
        <f t="shared" si="176"/>
        <v/>
      </c>
      <c r="MY6" s="65" t="str">
        <f t="shared" si="176"/>
        <v/>
      </c>
      <c r="MZ6" s="65" t="str">
        <f t="shared" si="176"/>
        <v/>
      </c>
      <c r="NA6" s="65" t="str">
        <f t="shared" si="176"/>
        <v/>
      </c>
      <c r="NB6" s="65" t="str">
        <f t="shared" si="176"/>
        <v/>
      </c>
      <c r="NC6" s="65" t="str">
        <f t="shared" si="176"/>
        <v/>
      </c>
      <c r="ND6" s="65" t="str">
        <f t="shared" si="176"/>
        <v/>
      </c>
      <c r="NE6" s="65" t="str">
        <f t="shared" si="176"/>
        <v/>
      </c>
      <c r="NF6" s="65" t="str">
        <f t="shared" si="176"/>
        <v/>
      </c>
      <c r="NG6" s="65" t="str">
        <f t="shared" si="176"/>
        <v/>
      </c>
      <c r="NH6" s="65" t="str">
        <f t="shared" si="176"/>
        <v/>
      </c>
      <c r="NI6" s="65" t="str">
        <f t="shared" ref="NI6:OV6" si="177">JM6</f>
        <v>CY2021</v>
      </c>
      <c r="NJ6" s="65" t="str">
        <f t="shared" si="177"/>
        <v/>
      </c>
      <c r="NK6" s="65" t="str">
        <f t="shared" si="177"/>
        <v/>
      </c>
      <c r="NL6" s="65" t="str">
        <f t="shared" si="177"/>
        <v/>
      </c>
      <c r="NM6" s="65" t="str">
        <f t="shared" si="177"/>
        <v/>
      </c>
      <c r="NN6" s="65" t="str">
        <f t="shared" si="177"/>
        <v/>
      </c>
      <c r="NO6" s="65" t="str">
        <f t="shared" si="177"/>
        <v/>
      </c>
      <c r="NP6" s="65" t="str">
        <f t="shared" si="177"/>
        <v/>
      </c>
      <c r="NQ6" s="65" t="str">
        <f t="shared" si="177"/>
        <v/>
      </c>
      <c r="NR6" s="65" t="str">
        <f t="shared" si="177"/>
        <v/>
      </c>
      <c r="NS6" s="65" t="str">
        <f t="shared" si="177"/>
        <v/>
      </c>
      <c r="NT6" s="65" t="str">
        <f t="shared" si="177"/>
        <v/>
      </c>
      <c r="NU6" s="65" t="str">
        <f t="shared" si="177"/>
        <v/>
      </c>
      <c r="NV6" s="65" t="str">
        <f t="shared" si="177"/>
        <v/>
      </c>
      <c r="NW6" s="65" t="str">
        <f t="shared" si="177"/>
        <v/>
      </c>
      <c r="NX6" s="65" t="str">
        <f t="shared" si="177"/>
        <v/>
      </c>
      <c r="NY6" s="65" t="str">
        <f t="shared" si="177"/>
        <v/>
      </c>
      <c r="NZ6" s="65" t="str">
        <f t="shared" si="177"/>
        <v/>
      </c>
      <c r="OA6" s="65" t="str">
        <f t="shared" si="177"/>
        <v/>
      </c>
      <c r="OB6" s="65" t="str">
        <f t="shared" si="177"/>
        <v/>
      </c>
      <c r="OC6" s="65" t="str">
        <f t="shared" si="177"/>
        <v>CY2021</v>
      </c>
      <c r="OD6" s="65" t="str">
        <f t="shared" si="177"/>
        <v/>
      </c>
      <c r="OE6" s="65" t="str">
        <f t="shared" si="177"/>
        <v/>
      </c>
      <c r="OF6" s="65" t="str">
        <f t="shared" si="177"/>
        <v/>
      </c>
      <c r="OG6" s="65" t="str">
        <f t="shared" si="177"/>
        <v/>
      </c>
      <c r="OH6" s="65" t="str">
        <f t="shared" si="177"/>
        <v/>
      </c>
      <c r="OI6" s="65" t="str">
        <f t="shared" si="177"/>
        <v/>
      </c>
      <c r="OJ6" s="65" t="str">
        <f t="shared" si="177"/>
        <v/>
      </c>
      <c r="OK6" s="65" t="str">
        <f t="shared" si="177"/>
        <v/>
      </c>
      <c r="OL6" s="65" t="str">
        <f t="shared" si="177"/>
        <v/>
      </c>
      <c r="OM6" s="65" t="str">
        <f t="shared" si="177"/>
        <v/>
      </c>
      <c r="ON6" s="65" t="str">
        <f t="shared" si="177"/>
        <v/>
      </c>
      <c r="OO6" s="65" t="str">
        <f t="shared" si="177"/>
        <v/>
      </c>
      <c r="OP6" s="65" t="str">
        <f t="shared" si="177"/>
        <v/>
      </c>
      <c r="OQ6" s="65" t="str">
        <f t="shared" si="177"/>
        <v/>
      </c>
      <c r="OR6" s="65" t="str">
        <f t="shared" si="177"/>
        <v/>
      </c>
      <c r="OS6" s="65" t="str">
        <f t="shared" si="177"/>
        <v/>
      </c>
      <c r="OT6" s="65" t="str">
        <f t="shared" si="177"/>
        <v/>
      </c>
      <c r="OU6" s="65" t="str">
        <f t="shared" si="177"/>
        <v/>
      </c>
      <c r="OV6" s="65" t="str">
        <f t="shared" si="177"/>
        <v/>
      </c>
      <c r="OW6" s="65" t="str">
        <f t="shared" ref="OW6:QK6" si="178">OC6</f>
        <v>CY2021</v>
      </c>
      <c r="OX6" s="65" t="str">
        <f t="shared" si="178"/>
        <v/>
      </c>
      <c r="OY6" s="65" t="str">
        <f t="shared" si="178"/>
        <v/>
      </c>
      <c r="OZ6" s="65" t="str">
        <f t="shared" si="178"/>
        <v/>
      </c>
      <c r="PA6" s="65" t="str">
        <f t="shared" si="178"/>
        <v/>
      </c>
      <c r="PB6" s="65" t="str">
        <f t="shared" si="178"/>
        <v/>
      </c>
      <c r="PC6" s="65" t="str">
        <f t="shared" si="178"/>
        <v/>
      </c>
      <c r="PD6" s="65" t="str">
        <f t="shared" si="178"/>
        <v/>
      </c>
      <c r="PE6" s="65" t="str">
        <f t="shared" si="178"/>
        <v/>
      </c>
      <c r="PF6" s="65" t="str">
        <f t="shared" si="178"/>
        <v/>
      </c>
      <c r="PG6" s="65" t="str">
        <f t="shared" si="178"/>
        <v/>
      </c>
      <c r="PH6" s="65" t="str">
        <f t="shared" si="178"/>
        <v/>
      </c>
      <c r="PI6" s="65" t="str">
        <f t="shared" si="178"/>
        <v/>
      </c>
      <c r="PJ6" s="65" t="str">
        <f t="shared" si="178"/>
        <v/>
      </c>
      <c r="PK6" s="65" t="str">
        <f t="shared" si="178"/>
        <v/>
      </c>
      <c r="PL6" s="65" t="str">
        <f t="shared" si="178"/>
        <v/>
      </c>
      <c r="PM6" s="65" t="str">
        <f t="shared" si="178"/>
        <v/>
      </c>
      <c r="PN6" s="65" t="str">
        <f t="shared" si="178"/>
        <v/>
      </c>
      <c r="PO6" s="65" t="str">
        <f t="shared" si="178"/>
        <v/>
      </c>
      <c r="PP6" s="65" t="str">
        <f t="shared" si="178"/>
        <v/>
      </c>
      <c r="PQ6" s="65" t="str">
        <f t="shared" si="178"/>
        <v>CY2021</v>
      </c>
      <c r="PR6" s="65" t="str">
        <f t="shared" si="178"/>
        <v/>
      </c>
      <c r="PS6" s="65" t="str">
        <f t="shared" si="178"/>
        <v/>
      </c>
      <c r="PT6" s="65" t="str">
        <f t="shared" si="178"/>
        <v/>
      </c>
      <c r="PU6" s="65" t="str">
        <f t="shared" si="178"/>
        <v/>
      </c>
      <c r="PV6" s="65" t="str">
        <f t="shared" si="178"/>
        <v/>
      </c>
      <c r="PW6" s="65" t="str">
        <f t="shared" si="178"/>
        <v/>
      </c>
      <c r="PX6" s="65" t="str">
        <f t="shared" si="178"/>
        <v/>
      </c>
      <c r="PY6" s="65" t="str">
        <f t="shared" si="178"/>
        <v/>
      </c>
      <c r="PZ6" s="65" t="str">
        <f t="shared" si="178"/>
        <v/>
      </c>
      <c r="QA6" s="65" t="str">
        <f t="shared" si="178"/>
        <v/>
      </c>
      <c r="QB6" s="65" t="str">
        <f t="shared" si="178"/>
        <v/>
      </c>
      <c r="QC6" s="65" t="str">
        <f t="shared" si="178"/>
        <v/>
      </c>
      <c r="QD6" s="65" t="str">
        <f t="shared" si="178"/>
        <v/>
      </c>
      <c r="QE6" s="65" t="str">
        <f t="shared" si="178"/>
        <v/>
      </c>
      <c r="QF6" s="65" t="str">
        <f t="shared" si="178"/>
        <v/>
      </c>
      <c r="QG6" s="65" t="str">
        <f t="shared" si="178"/>
        <v/>
      </c>
      <c r="QH6" s="65" t="str">
        <f t="shared" si="178"/>
        <v/>
      </c>
      <c r="QI6" s="65" t="str">
        <f t="shared" si="178"/>
        <v/>
      </c>
      <c r="QJ6" s="65" t="str">
        <f t="shared" si="178"/>
        <v/>
      </c>
      <c r="QK6" s="65" t="str">
        <f t="shared" si="178"/>
        <v>CY2021</v>
      </c>
      <c r="QL6" s="65" t="str">
        <f t="shared" ref="QL6:SW6" si="179">PR6</f>
        <v/>
      </c>
      <c r="QM6" s="65" t="str">
        <f t="shared" si="179"/>
        <v/>
      </c>
      <c r="QN6" s="65" t="str">
        <f t="shared" si="179"/>
        <v/>
      </c>
      <c r="QO6" s="65" t="str">
        <f t="shared" si="179"/>
        <v/>
      </c>
      <c r="QP6" s="65" t="str">
        <f t="shared" si="179"/>
        <v/>
      </c>
      <c r="QQ6" s="65" t="str">
        <f t="shared" si="179"/>
        <v/>
      </c>
      <c r="QR6" s="65" t="str">
        <f t="shared" si="179"/>
        <v/>
      </c>
      <c r="QS6" s="65" t="str">
        <f t="shared" si="179"/>
        <v/>
      </c>
      <c r="QT6" s="65" t="str">
        <f t="shared" si="179"/>
        <v/>
      </c>
      <c r="QU6" s="65" t="str">
        <f t="shared" si="179"/>
        <v/>
      </c>
      <c r="QV6" s="65" t="str">
        <f t="shared" si="179"/>
        <v/>
      </c>
      <c r="QW6" s="65" t="str">
        <f t="shared" si="179"/>
        <v/>
      </c>
      <c r="QX6" s="65" t="str">
        <f t="shared" si="179"/>
        <v/>
      </c>
      <c r="QY6" s="65" t="str">
        <f t="shared" si="179"/>
        <v/>
      </c>
      <c r="QZ6" s="65" t="str">
        <f t="shared" si="179"/>
        <v/>
      </c>
      <c r="RA6" s="65" t="str">
        <f t="shared" si="179"/>
        <v/>
      </c>
      <c r="RB6" s="65" t="str">
        <f t="shared" si="179"/>
        <v/>
      </c>
      <c r="RC6" s="65" t="str">
        <f t="shared" si="179"/>
        <v/>
      </c>
      <c r="RD6" s="65" t="str">
        <f t="shared" si="179"/>
        <v/>
      </c>
      <c r="RE6" s="65" t="str">
        <f t="shared" si="179"/>
        <v>CY2021</v>
      </c>
      <c r="RF6" s="65" t="str">
        <f t="shared" si="179"/>
        <v/>
      </c>
      <c r="RG6" s="65" t="str">
        <f t="shared" si="179"/>
        <v/>
      </c>
      <c r="RH6" s="65" t="str">
        <f t="shared" si="179"/>
        <v/>
      </c>
      <c r="RI6" s="65" t="str">
        <f t="shared" si="179"/>
        <v/>
      </c>
      <c r="RJ6" s="65" t="str">
        <f t="shared" si="179"/>
        <v/>
      </c>
      <c r="RK6" s="65" t="str">
        <f t="shared" si="179"/>
        <v/>
      </c>
      <c r="RL6" s="65" t="str">
        <f t="shared" si="179"/>
        <v/>
      </c>
      <c r="RM6" s="65" t="str">
        <f t="shared" si="179"/>
        <v/>
      </c>
      <c r="RN6" s="65" t="str">
        <f t="shared" si="179"/>
        <v/>
      </c>
      <c r="RO6" s="65" t="str">
        <f t="shared" si="179"/>
        <v/>
      </c>
      <c r="RP6" s="65" t="str">
        <f t="shared" si="179"/>
        <v/>
      </c>
      <c r="RQ6" s="65" t="str">
        <f t="shared" si="179"/>
        <v/>
      </c>
      <c r="RR6" s="65" t="str">
        <f t="shared" si="179"/>
        <v/>
      </c>
      <c r="RS6" s="65" t="str">
        <f t="shared" si="179"/>
        <v/>
      </c>
      <c r="RT6" s="65" t="str">
        <f t="shared" si="179"/>
        <v/>
      </c>
      <c r="RU6" s="65" t="str">
        <f t="shared" si="179"/>
        <v/>
      </c>
      <c r="RV6" s="65" t="str">
        <f t="shared" si="179"/>
        <v/>
      </c>
      <c r="RW6" s="65" t="str">
        <f t="shared" si="179"/>
        <v/>
      </c>
      <c r="RX6" s="65" t="str">
        <f t="shared" si="179"/>
        <v/>
      </c>
      <c r="RY6" s="65" t="str">
        <f t="shared" si="179"/>
        <v>CY2021</v>
      </c>
      <c r="RZ6" s="65" t="str">
        <f t="shared" si="179"/>
        <v/>
      </c>
      <c r="SA6" s="65" t="str">
        <f t="shared" si="179"/>
        <v/>
      </c>
      <c r="SB6" s="65" t="str">
        <f t="shared" si="179"/>
        <v/>
      </c>
      <c r="SC6" s="65" t="str">
        <f t="shared" si="179"/>
        <v/>
      </c>
      <c r="SD6" s="65" t="str">
        <f t="shared" si="179"/>
        <v/>
      </c>
      <c r="SE6" s="65" t="str">
        <f t="shared" si="179"/>
        <v/>
      </c>
      <c r="SF6" s="65" t="str">
        <f t="shared" si="179"/>
        <v/>
      </c>
      <c r="SG6" s="65" t="str">
        <f t="shared" si="179"/>
        <v/>
      </c>
      <c r="SH6" s="65" t="str">
        <f t="shared" si="179"/>
        <v/>
      </c>
      <c r="SI6" s="65" t="str">
        <f t="shared" si="179"/>
        <v/>
      </c>
      <c r="SJ6" s="65" t="str">
        <f t="shared" si="179"/>
        <v/>
      </c>
      <c r="SK6" s="65" t="str">
        <f t="shared" si="179"/>
        <v/>
      </c>
      <c r="SL6" s="65" t="str">
        <f t="shared" si="179"/>
        <v/>
      </c>
      <c r="SM6" s="65" t="str">
        <f t="shared" si="179"/>
        <v/>
      </c>
      <c r="SN6" s="65" t="str">
        <f t="shared" si="179"/>
        <v/>
      </c>
      <c r="SO6" s="65" t="str">
        <f t="shared" si="179"/>
        <v/>
      </c>
      <c r="SP6" s="65" t="str">
        <f t="shared" si="179"/>
        <v/>
      </c>
      <c r="SQ6" s="65" t="str">
        <f t="shared" si="179"/>
        <v/>
      </c>
      <c r="SR6" s="65" t="str">
        <f t="shared" si="179"/>
        <v/>
      </c>
      <c r="SS6" s="65" t="str">
        <f t="shared" si="179"/>
        <v>CY2021</v>
      </c>
      <c r="ST6" s="65" t="str">
        <f t="shared" si="179"/>
        <v/>
      </c>
      <c r="SU6" s="65" t="str">
        <f t="shared" si="179"/>
        <v/>
      </c>
      <c r="SV6" s="65" t="str">
        <f t="shared" si="179"/>
        <v/>
      </c>
      <c r="SW6" s="65" t="str">
        <f t="shared" si="179"/>
        <v/>
      </c>
      <c r="SX6" s="65" t="str">
        <f t="shared" ref="SX6:VI6" si="180">SD6</f>
        <v/>
      </c>
      <c r="SY6" s="65" t="str">
        <f t="shared" si="180"/>
        <v/>
      </c>
      <c r="SZ6" s="65" t="str">
        <f t="shared" si="180"/>
        <v/>
      </c>
      <c r="TA6" s="65" t="str">
        <f t="shared" si="180"/>
        <v/>
      </c>
      <c r="TB6" s="65" t="str">
        <f t="shared" si="180"/>
        <v/>
      </c>
      <c r="TC6" s="65" t="str">
        <f t="shared" si="180"/>
        <v/>
      </c>
      <c r="TD6" s="65" t="str">
        <f t="shared" si="180"/>
        <v/>
      </c>
      <c r="TE6" s="65" t="str">
        <f t="shared" si="180"/>
        <v/>
      </c>
      <c r="TF6" s="65" t="str">
        <f t="shared" si="180"/>
        <v/>
      </c>
      <c r="TG6" s="65" t="str">
        <f t="shared" si="180"/>
        <v/>
      </c>
      <c r="TH6" s="65" t="str">
        <f t="shared" si="180"/>
        <v/>
      </c>
      <c r="TI6" s="65" t="str">
        <f t="shared" si="180"/>
        <v/>
      </c>
      <c r="TJ6" s="65" t="str">
        <f t="shared" si="180"/>
        <v/>
      </c>
      <c r="TK6" s="65" t="str">
        <f t="shared" si="180"/>
        <v/>
      </c>
      <c r="TL6" s="65" t="str">
        <f t="shared" si="180"/>
        <v/>
      </c>
      <c r="TM6" s="65" t="str">
        <f t="shared" si="180"/>
        <v>CY2021</v>
      </c>
      <c r="TN6" s="65" t="str">
        <f t="shared" si="180"/>
        <v/>
      </c>
      <c r="TO6" s="65" t="str">
        <f t="shared" si="180"/>
        <v/>
      </c>
      <c r="TP6" s="65" t="str">
        <f t="shared" si="180"/>
        <v/>
      </c>
      <c r="TQ6" s="65" t="str">
        <f t="shared" si="180"/>
        <v/>
      </c>
      <c r="TR6" s="65" t="str">
        <f t="shared" si="180"/>
        <v/>
      </c>
      <c r="TS6" s="65" t="str">
        <f t="shared" si="180"/>
        <v/>
      </c>
      <c r="TT6" s="65" t="str">
        <f t="shared" si="180"/>
        <v/>
      </c>
      <c r="TU6" s="65" t="str">
        <f t="shared" si="180"/>
        <v/>
      </c>
      <c r="TV6" s="65" t="str">
        <f t="shared" si="180"/>
        <v/>
      </c>
      <c r="TW6" s="65" t="str">
        <f t="shared" si="180"/>
        <v/>
      </c>
      <c r="TX6" s="65" t="str">
        <f t="shared" si="180"/>
        <v/>
      </c>
      <c r="TY6" s="65" t="str">
        <f t="shared" si="180"/>
        <v/>
      </c>
      <c r="TZ6" s="65" t="str">
        <f t="shared" si="180"/>
        <v/>
      </c>
      <c r="UA6" s="65" t="str">
        <f t="shared" si="180"/>
        <v/>
      </c>
      <c r="UB6" s="65" t="str">
        <f t="shared" si="180"/>
        <v/>
      </c>
      <c r="UC6" s="65" t="str">
        <f t="shared" si="180"/>
        <v/>
      </c>
      <c r="UD6" s="65" t="str">
        <f t="shared" si="180"/>
        <v/>
      </c>
      <c r="UE6" s="65" t="str">
        <f t="shared" si="180"/>
        <v/>
      </c>
      <c r="UF6" s="65" t="str">
        <f t="shared" si="180"/>
        <v/>
      </c>
      <c r="UG6" s="65" t="str">
        <f t="shared" si="180"/>
        <v>CY2021</v>
      </c>
      <c r="UH6" s="65" t="str">
        <f t="shared" si="180"/>
        <v/>
      </c>
      <c r="UI6" s="65" t="str">
        <f t="shared" si="180"/>
        <v/>
      </c>
      <c r="UJ6" s="65" t="str">
        <f t="shared" si="180"/>
        <v/>
      </c>
      <c r="UK6" s="65" t="str">
        <f t="shared" si="180"/>
        <v/>
      </c>
      <c r="UL6" s="65" t="str">
        <f t="shared" si="180"/>
        <v/>
      </c>
      <c r="UM6" s="65" t="str">
        <f t="shared" si="180"/>
        <v/>
      </c>
      <c r="UN6" s="65" t="str">
        <f t="shared" si="180"/>
        <v/>
      </c>
      <c r="UO6" s="65" t="str">
        <f t="shared" si="180"/>
        <v/>
      </c>
      <c r="UP6" s="65" t="str">
        <f t="shared" si="180"/>
        <v/>
      </c>
      <c r="UQ6" s="65" t="str">
        <f t="shared" si="180"/>
        <v/>
      </c>
      <c r="UR6" s="65" t="str">
        <f t="shared" si="180"/>
        <v/>
      </c>
      <c r="US6" s="65" t="str">
        <f t="shared" si="180"/>
        <v/>
      </c>
      <c r="UT6" s="65" t="str">
        <f t="shared" si="180"/>
        <v/>
      </c>
      <c r="UU6" s="65" t="str">
        <f t="shared" si="180"/>
        <v/>
      </c>
      <c r="UV6" s="65" t="str">
        <f t="shared" si="180"/>
        <v/>
      </c>
      <c r="UW6" s="65" t="str">
        <f t="shared" si="180"/>
        <v/>
      </c>
      <c r="UX6" s="65" t="str">
        <f t="shared" si="180"/>
        <v/>
      </c>
      <c r="UY6" s="65" t="str">
        <f t="shared" si="180"/>
        <v/>
      </c>
      <c r="UZ6" s="65" t="str">
        <f t="shared" si="180"/>
        <v/>
      </c>
      <c r="VA6" s="65" t="str">
        <f t="shared" si="180"/>
        <v>CY2021</v>
      </c>
      <c r="VB6" s="65" t="str">
        <f t="shared" si="180"/>
        <v/>
      </c>
      <c r="VC6" s="65" t="str">
        <f t="shared" si="180"/>
        <v/>
      </c>
      <c r="VD6" s="65" t="str">
        <f t="shared" si="180"/>
        <v/>
      </c>
      <c r="VE6" s="65" t="str">
        <f t="shared" si="180"/>
        <v/>
      </c>
      <c r="VF6" s="65" t="str">
        <f t="shared" si="180"/>
        <v/>
      </c>
      <c r="VG6" s="65" t="str">
        <f t="shared" si="180"/>
        <v/>
      </c>
      <c r="VH6" s="65" t="str">
        <f t="shared" si="180"/>
        <v/>
      </c>
      <c r="VI6" s="65" t="str">
        <f t="shared" si="180"/>
        <v/>
      </c>
      <c r="VJ6" s="65" t="str">
        <f t="shared" ref="VJ6:WN6" si="181">UP6</f>
        <v/>
      </c>
      <c r="VK6" s="65" t="str">
        <f t="shared" si="181"/>
        <v/>
      </c>
      <c r="VL6" s="65" t="str">
        <f t="shared" si="181"/>
        <v/>
      </c>
      <c r="VM6" s="65" t="str">
        <f t="shared" si="181"/>
        <v/>
      </c>
      <c r="VN6" s="65" t="str">
        <f t="shared" si="181"/>
        <v/>
      </c>
      <c r="VO6" s="65" t="str">
        <f t="shared" si="181"/>
        <v/>
      </c>
      <c r="VP6" s="65" t="str">
        <f t="shared" si="181"/>
        <v/>
      </c>
      <c r="VQ6" s="65" t="str">
        <f t="shared" si="181"/>
        <v/>
      </c>
      <c r="VR6" s="65" t="str">
        <f t="shared" si="181"/>
        <v/>
      </c>
      <c r="VS6" s="65" t="str">
        <f t="shared" si="181"/>
        <v/>
      </c>
      <c r="VT6" s="65" t="str">
        <f t="shared" si="181"/>
        <v/>
      </c>
      <c r="VU6" s="65" t="str">
        <f t="shared" si="181"/>
        <v>CY2021</v>
      </c>
      <c r="VV6" s="65" t="str">
        <f t="shared" si="181"/>
        <v/>
      </c>
      <c r="VW6" s="65" t="str">
        <f t="shared" si="181"/>
        <v/>
      </c>
      <c r="VX6" s="65" t="str">
        <f t="shared" si="181"/>
        <v/>
      </c>
      <c r="VY6" s="65" t="str">
        <f t="shared" si="181"/>
        <v/>
      </c>
      <c r="VZ6" s="65" t="str">
        <f t="shared" si="181"/>
        <v/>
      </c>
      <c r="WA6" s="65" t="str">
        <f t="shared" si="181"/>
        <v/>
      </c>
      <c r="WB6" s="65" t="str">
        <f t="shared" si="181"/>
        <v/>
      </c>
      <c r="WC6" s="65" t="str">
        <f t="shared" si="181"/>
        <v/>
      </c>
      <c r="WD6" s="65" t="str">
        <f t="shared" si="181"/>
        <v/>
      </c>
      <c r="WE6" s="65" t="str">
        <f t="shared" si="181"/>
        <v/>
      </c>
      <c r="WF6" s="65" t="str">
        <f t="shared" si="181"/>
        <v/>
      </c>
      <c r="WG6" s="65" t="str">
        <f t="shared" si="181"/>
        <v/>
      </c>
      <c r="WH6" s="65" t="str">
        <f t="shared" si="181"/>
        <v/>
      </c>
      <c r="WI6" s="65" t="str">
        <f t="shared" si="181"/>
        <v/>
      </c>
      <c r="WJ6" s="65" t="str">
        <f t="shared" si="181"/>
        <v/>
      </c>
      <c r="WK6" s="65" t="str">
        <f t="shared" si="181"/>
        <v/>
      </c>
      <c r="WL6" s="65" t="str">
        <f t="shared" si="181"/>
        <v/>
      </c>
      <c r="WM6" s="65" t="str">
        <f t="shared" si="181"/>
        <v/>
      </c>
      <c r="WN6" s="65" t="str">
        <f t="shared" si="181"/>
        <v/>
      </c>
      <c r="WO6" s="65" t="str">
        <f t="shared" ref="WO6" si="182">VU6</f>
        <v>CY2021</v>
      </c>
      <c r="WP6" s="65" t="str">
        <f t="shared" ref="WP6" si="183">VV6</f>
        <v/>
      </c>
      <c r="WQ6" s="65" t="str">
        <f t="shared" ref="WQ6" si="184">VW6</f>
        <v/>
      </c>
      <c r="WR6" s="65" t="str">
        <f t="shared" ref="WR6" si="185">VX6</f>
        <v/>
      </c>
      <c r="WS6" s="65" t="str">
        <f t="shared" ref="WS6" si="186">VY6</f>
        <v/>
      </c>
      <c r="WT6" s="65" t="str">
        <f t="shared" ref="WT6" si="187">VZ6</f>
        <v/>
      </c>
      <c r="WU6" s="65" t="str">
        <f t="shared" ref="WU6" si="188">WA6</f>
        <v/>
      </c>
      <c r="WV6" s="65" t="str">
        <f t="shared" ref="WV6" si="189">WB6</f>
        <v/>
      </c>
      <c r="WW6" s="65" t="str">
        <f t="shared" ref="WW6" si="190">WC6</f>
        <v/>
      </c>
      <c r="WX6" s="65" t="str">
        <f t="shared" ref="WX6" si="191">WD6</f>
        <v/>
      </c>
      <c r="WY6" s="65" t="str">
        <f t="shared" ref="WY6" si="192">WE6</f>
        <v/>
      </c>
      <c r="WZ6" s="65" t="str">
        <f t="shared" ref="WZ6" si="193">WF6</f>
        <v/>
      </c>
      <c r="XA6" s="65" t="str">
        <f t="shared" ref="XA6" si="194">WG6</f>
        <v/>
      </c>
      <c r="XB6" s="65" t="str">
        <f t="shared" ref="XB6" si="195">WH6</f>
        <v/>
      </c>
      <c r="XC6" s="65" t="str">
        <f t="shared" ref="XC6" si="196">WI6</f>
        <v/>
      </c>
      <c r="XD6" s="65" t="str">
        <f t="shared" ref="XD6" si="197">WJ6</f>
        <v/>
      </c>
      <c r="XE6" s="65" t="str">
        <f t="shared" ref="XE6" si="198">WK6</f>
        <v/>
      </c>
      <c r="XF6" s="65" t="str">
        <f t="shared" ref="XF6" si="199">WL6</f>
        <v/>
      </c>
      <c r="XG6" s="65" t="str">
        <f t="shared" ref="XG6" si="200">WM6</f>
        <v/>
      </c>
      <c r="XH6" s="65" t="str">
        <f t="shared" ref="XH6" si="201">WN6</f>
        <v/>
      </c>
      <c r="XI6" s="65" t="str">
        <f t="shared" ref="XI6" si="202">WO6</f>
        <v>CY2021</v>
      </c>
      <c r="XJ6" s="65" t="str">
        <f t="shared" ref="XJ6" si="203">WP6</f>
        <v/>
      </c>
      <c r="XK6" s="65" t="str">
        <f t="shared" ref="XK6" si="204">WQ6</f>
        <v/>
      </c>
      <c r="XL6" s="65" t="str">
        <f t="shared" ref="XL6" si="205">WR6</f>
        <v/>
      </c>
      <c r="XM6" s="65" t="str">
        <f t="shared" ref="XM6" si="206">WS6</f>
        <v/>
      </c>
      <c r="XN6" s="65" t="str">
        <f t="shared" ref="XN6" si="207">WT6</f>
        <v/>
      </c>
      <c r="XO6" s="65" t="str">
        <f t="shared" ref="XO6" si="208">WU6</f>
        <v/>
      </c>
      <c r="XP6" s="65" t="str">
        <f t="shared" ref="XP6" si="209">WV6</f>
        <v/>
      </c>
      <c r="XQ6" s="65" t="str">
        <f t="shared" ref="XQ6" si="210">WW6</f>
        <v/>
      </c>
      <c r="XR6" s="65" t="str">
        <f t="shared" ref="XR6" si="211">WX6</f>
        <v/>
      </c>
      <c r="XS6" s="65" t="str">
        <f t="shared" ref="XS6" si="212">WY6</f>
        <v/>
      </c>
      <c r="XT6" s="65" t="str">
        <f t="shared" ref="XT6" si="213">WZ6</f>
        <v/>
      </c>
      <c r="XU6" s="65" t="str">
        <f t="shared" ref="XU6" si="214">XA6</f>
        <v/>
      </c>
      <c r="XV6" s="65" t="str">
        <f t="shared" ref="XV6" si="215">XB6</f>
        <v/>
      </c>
      <c r="XW6" s="65" t="str">
        <f t="shared" ref="XW6" si="216">XC6</f>
        <v/>
      </c>
      <c r="XX6" s="65" t="str">
        <f t="shared" ref="XX6" si="217">XD6</f>
        <v/>
      </c>
      <c r="XY6" s="65" t="str">
        <f t="shared" ref="XY6" si="218">XE6</f>
        <v/>
      </c>
      <c r="XZ6" s="65" t="str">
        <f t="shared" ref="XZ6" si="219">XF6</f>
        <v/>
      </c>
      <c r="YA6" s="65" t="str">
        <f t="shared" ref="YA6" si="220">XG6</f>
        <v/>
      </c>
      <c r="YB6" s="65" t="str">
        <f t="shared" ref="YB6" si="221">XH6</f>
        <v/>
      </c>
      <c r="YC6" s="65" t="str">
        <f t="shared" ref="YC6" si="222">XI6</f>
        <v>CY2021</v>
      </c>
      <c r="YD6" s="65" t="str">
        <f t="shared" ref="YD6" si="223">XJ6</f>
        <v/>
      </c>
      <c r="YE6" s="65" t="str">
        <f t="shared" ref="YE6" si="224">XK6</f>
        <v/>
      </c>
      <c r="YF6" s="65" t="str">
        <f t="shared" ref="YF6" si="225">XL6</f>
        <v/>
      </c>
      <c r="YG6" s="65" t="str">
        <f t="shared" ref="YG6" si="226">XM6</f>
        <v/>
      </c>
      <c r="YH6" s="65" t="str">
        <f t="shared" ref="YH6" si="227">XN6</f>
        <v/>
      </c>
      <c r="YI6" s="65" t="str">
        <f t="shared" ref="YI6" si="228">XO6</f>
        <v/>
      </c>
      <c r="YJ6" s="65" t="str">
        <f t="shared" ref="YJ6" si="229">XP6</f>
        <v/>
      </c>
      <c r="YK6" s="65" t="str">
        <f t="shared" ref="YK6" si="230">XQ6</f>
        <v/>
      </c>
      <c r="YL6" s="65" t="str">
        <f t="shared" ref="YL6" si="231">XR6</f>
        <v/>
      </c>
      <c r="YM6" s="65" t="str">
        <f t="shared" ref="YM6" si="232">XS6</f>
        <v/>
      </c>
      <c r="YN6" s="65" t="str">
        <f t="shared" ref="YN6" si="233">XT6</f>
        <v/>
      </c>
      <c r="YO6" s="65" t="str">
        <f t="shared" ref="YO6" si="234">XU6</f>
        <v/>
      </c>
      <c r="YP6" s="65" t="str">
        <f t="shared" ref="YP6" si="235">XV6</f>
        <v/>
      </c>
      <c r="YQ6" s="65" t="str">
        <f t="shared" ref="YQ6" si="236">XW6</f>
        <v/>
      </c>
      <c r="YR6" s="65" t="str">
        <f t="shared" ref="YR6" si="237">XX6</f>
        <v/>
      </c>
      <c r="YS6" s="65" t="str">
        <f t="shared" ref="YS6" si="238">XY6</f>
        <v/>
      </c>
      <c r="YT6" s="65" t="str">
        <f t="shared" ref="YT6" si="239">XZ6</f>
        <v/>
      </c>
      <c r="YU6" s="65" t="str">
        <f t="shared" ref="YU6" si="240">YA6</f>
        <v/>
      </c>
      <c r="YV6" s="65" t="str">
        <f t="shared" ref="YV6" si="241">YB6</f>
        <v/>
      </c>
      <c r="YW6" s="65" t="str">
        <f t="shared" ref="YW6" si="242">YC6</f>
        <v>CY2021</v>
      </c>
      <c r="YX6" s="65" t="str">
        <f t="shared" ref="YX6" si="243">YD6</f>
        <v/>
      </c>
      <c r="YY6" s="65" t="str">
        <f t="shared" ref="YY6" si="244">YE6</f>
        <v/>
      </c>
      <c r="YZ6" s="65" t="str">
        <f t="shared" ref="YZ6" si="245">YF6</f>
        <v/>
      </c>
      <c r="ZA6" s="65" t="str">
        <f t="shared" ref="ZA6" si="246">YG6</f>
        <v/>
      </c>
      <c r="ZB6" s="65" t="str">
        <f t="shared" ref="ZB6" si="247">YH6</f>
        <v/>
      </c>
      <c r="ZC6" s="65" t="str">
        <f t="shared" ref="ZC6" si="248">YI6</f>
        <v/>
      </c>
      <c r="ZD6" s="65" t="str">
        <f t="shared" ref="ZD6" si="249">YJ6</f>
        <v/>
      </c>
      <c r="ZE6" s="65" t="str">
        <f t="shared" ref="ZE6" si="250">YK6</f>
        <v/>
      </c>
      <c r="ZF6" s="65" t="str">
        <f t="shared" ref="ZF6" si="251">YL6</f>
        <v/>
      </c>
      <c r="ZG6" s="65" t="str">
        <f t="shared" ref="ZG6" si="252">YM6</f>
        <v/>
      </c>
      <c r="ZH6" s="65" t="str">
        <f t="shared" ref="ZH6" si="253">YN6</f>
        <v/>
      </c>
      <c r="ZI6" s="65" t="str">
        <f t="shared" ref="ZI6" si="254">YO6</f>
        <v/>
      </c>
      <c r="ZJ6" s="65" t="str">
        <f t="shared" ref="ZJ6" si="255">YP6</f>
        <v/>
      </c>
      <c r="ZK6" s="65" t="str">
        <f t="shared" ref="ZK6" si="256">YQ6</f>
        <v/>
      </c>
      <c r="ZL6" s="65" t="str">
        <f t="shared" ref="ZL6" si="257">YR6</f>
        <v/>
      </c>
      <c r="ZM6" s="65" t="str">
        <f t="shared" ref="ZM6" si="258">YS6</f>
        <v/>
      </c>
      <c r="ZN6" s="65" t="str">
        <f t="shared" ref="ZN6" si="259">YT6</f>
        <v/>
      </c>
      <c r="ZO6" s="65" t="str">
        <f t="shared" ref="ZO6" si="260">YU6</f>
        <v/>
      </c>
      <c r="ZP6" s="65" t="str">
        <f t="shared" ref="ZP6" si="261">YV6</f>
        <v/>
      </c>
      <c r="ZQ6" s="65" t="str">
        <f t="shared" ref="ZQ6" si="262">YW6</f>
        <v>CY2021</v>
      </c>
      <c r="ZR6" s="65" t="str">
        <f t="shared" ref="ZR6" si="263">YX6</f>
        <v/>
      </c>
      <c r="ZS6" s="65" t="str">
        <f t="shared" ref="ZS6" si="264">YY6</f>
        <v/>
      </c>
      <c r="ZT6" s="65" t="str">
        <f t="shared" ref="ZT6" si="265">YZ6</f>
        <v/>
      </c>
      <c r="ZU6" s="65" t="str">
        <f t="shared" ref="ZU6" si="266">ZA6</f>
        <v/>
      </c>
      <c r="ZV6" s="65" t="str">
        <f t="shared" ref="ZV6" si="267">ZB6</f>
        <v/>
      </c>
      <c r="ZW6" s="65" t="str">
        <f t="shared" ref="ZW6" si="268">ZC6</f>
        <v/>
      </c>
      <c r="ZX6" s="65" t="str">
        <f t="shared" ref="ZX6" si="269">ZD6</f>
        <v/>
      </c>
      <c r="ZY6" s="65" t="str">
        <f t="shared" ref="ZY6" si="270">ZE6</f>
        <v/>
      </c>
      <c r="ZZ6" s="65" t="str">
        <f t="shared" ref="ZZ6" si="271">ZF6</f>
        <v/>
      </c>
      <c r="AAA6" s="65" t="str">
        <f t="shared" ref="AAA6" si="272">ZG6</f>
        <v/>
      </c>
      <c r="AAB6" s="65" t="str">
        <f t="shared" ref="AAB6" si="273">ZH6</f>
        <v/>
      </c>
      <c r="AAC6" s="65" t="str">
        <f t="shared" ref="AAC6" si="274">ZI6</f>
        <v/>
      </c>
      <c r="AAD6" s="65" t="str">
        <f t="shared" ref="AAD6" si="275">ZJ6</f>
        <v/>
      </c>
      <c r="AAE6" s="65" t="str">
        <f t="shared" ref="AAE6" si="276">ZK6</f>
        <v/>
      </c>
      <c r="AAF6" s="65" t="str">
        <f t="shared" ref="AAF6" si="277">ZL6</f>
        <v/>
      </c>
      <c r="AAG6" s="65" t="str">
        <f t="shared" ref="AAG6" si="278">ZM6</f>
        <v/>
      </c>
      <c r="AAH6" s="65" t="str">
        <f t="shared" ref="AAH6" si="279">ZN6</f>
        <v/>
      </c>
      <c r="AAI6" s="65" t="str">
        <f t="shared" ref="AAI6" si="280">ZO6</f>
        <v/>
      </c>
      <c r="AAJ6" s="65" t="str">
        <f t="shared" ref="AAJ6" si="281">ZP6</f>
        <v/>
      </c>
      <c r="AAK6" s="65" t="str">
        <f t="shared" ref="AAK6" si="282">ZQ6</f>
        <v>CY2021</v>
      </c>
      <c r="AAL6" s="65" t="str">
        <f t="shared" ref="AAL6" si="283">ZR6</f>
        <v/>
      </c>
      <c r="AAM6" s="65" t="str">
        <f t="shared" ref="AAM6" si="284">ZS6</f>
        <v/>
      </c>
      <c r="AAN6" s="65" t="str">
        <f t="shared" ref="AAN6" si="285">ZT6</f>
        <v/>
      </c>
      <c r="AAO6" s="65" t="str">
        <f t="shared" ref="AAO6" si="286">ZU6</f>
        <v/>
      </c>
      <c r="AAP6" s="65" t="str">
        <f t="shared" ref="AAP6" si="287">ZV6</f>
        <v/>
      </c>
      <c r="AAQ6" s="65" t="str">
        <f t="shared" ref="AAQ6" si="288">ZW6</f>
        <v/>
      </c>
      <c r="AAR6" s="65" t="str">
        <f t="shared" ref="AAR6" si="289">ZX6</f>
        <v/>
      </c>
      <c r="AAS6" s="65" t="str">
        <f t="shared" ref="AAS6" si="290">ZY6</f>
        <v/>
      </c>
      <c r="AAT6" s="65" t="str">
        <f t="shared" ref="AAT6" si="291">ZZ6</f>
        <v/>
      </c>
      <c r="AAU6" s="65" t="str">
        <f t="shared" ref="AAU6" si="292">AAA6</f>
        <v/>
      </c>
      <c r="AAV6" s="65" t="str">
        <f t="shared" ref="AAV6" si="293">AAB6</f>
        <v/>
      </c>
      <c r="AAW6" s="65" t="str">
        <f t="shared" ref="AAW6" si="294">AAC6</f>
        <v/>
      </c>
      <c r="AAX6" s="65" t="str">
        <f t="shared" ref="AAX6" si="295">AAD6</f>
        <v/>
      </c>
      <c r="AAY6" s="65" t="str">
        <f t="shared" ref="AAY6" si="296">AAE6</f>
        <v/>
      </c>
      <c r="AAZ6" s="65" t="str">
        <f t="shared" ref="AAZ6" si="297">AAF6</f>
        <v/>
      </c>
      <c r="ABA6" s="65" t="str">
        <f t="shared" ref="ABA6" si="298">AAG6</f>
        <v/>
      </c>
      <c r="ABB6" s="65" t="str">
        <f t="shared" ref="ABB6" si="299">AAH6</f>
        <v/>
      </c>
      <c r="ABC6" s="65" t="str">
        <f t="shared" ref="ABC6" si="300">AAI6</f>
        <v/>
      </c>
      <c r="ABD6" s="65" t="str">
        <f t="shared" ref="ABD6" si="301">AAJ6</f>
        <v/>
      </c>
      <c r="ABE6" s="65" t="str">
        <f t="shared" ref="ABE6" si="302">AAK6</f>
        <v>CY2021</v>
      </c>
      <c r="ABF6" s="65" t="str">
        <f t="shared" ref="ABF6" si="303">AAL6</f>
        <v/>
      </c>
      <c r="ABG6" s="65" t="str">
        <f t="shared" ref="ABG6" si="304">AAM6</f>
        <v/>
      </c>
      <c r="ABH6" s="65" t="str">
        <f t="shared" ref="ABH6" si="305">AAN6</f>
        <v/>
      </c>
      <c r="ABI6" s="65" t="str">
        <f t="shared" ref="ABI6" si="306">AAO6</f>
        <v/>
      </c>
      <c r="ABJ6" s="65" t="str">
        <f t="shared" ref="ABJ6" si="307">AAP6</f>
        <v/>
      </c>
      <c r="ABK6" s="65" t="str">
        <f t="shared" ref="ABK6" si="308">AAQ6</f>
        <v/>
      </c>
      <c r="ABL6" s="65" t="str">
        <f t="shared" ref="ABL6" si="309">AAR6</f>
        <v/>
      </c>
      <c r="ABM6" s="65" t="str">
        <f t="shared" ref="ABM6" si="310">AAS6</f>
        <v/>
      </c>
      <c r="ABN6" s="65" t="str">
        <f t="shared" ref="ABN6" si="311">AAT6</f>
        <v/>
      </c>
      <c r="ABO6" s="65" t="str">
        <f t="shared" ref="ABO6" si="312">AAU6</f>
        <v/>
      </c>
      <c r="ABP6" s="65" t="str">
        <f t="shared" ref="ABP6" si="313">AAV6</f>
        <v/>
      </c>
      <c r="ABQ6" s="65" t="str">
        <f t="shared" ref="ABQ6" si="314">AAW6</f>
        <v/>
      </c>
      <c r="ABR6" s="65" t="str">
        <f t="shared" ref="ABR6" si="315">AAX6</f>
        <v/>
      </c>
      <c r="ABS6" s="65" t="str">
        <f t="shared" ref="ABS6" si="316">AAY6</f>
        <v/>
      </c>
      <c r="ABT6" s="65" t="str">
        <f t="shared" ref="ABT6" si="317">AAZ6</f>
        <v/>
      </c>
      <c r="ABU6" s="65" t="str">
        <f t="shared" ref="ABU6" si="318">ABA6</f>
        <v/>
      </c>
      <c r="ABV6" s="65" t="str">
        <f t="shared" ref="ABV6" si="319">ABB6</f>
        <v/>
      </c>
      <c r="ABW6" s="65" t="str">
        <f t="shared" ref="ABW6" si="320">ABC6</f>
        <v/>
      </c>
      <c r="ABX6" s="65" t="str">
        <f t="shared" ref="ABX6" si="321">ABD6</f>
        <v/>
      </c>
      <c r="ABY6" s="65" t="str">
        <f t="shared" ref="ABY6" si="322">ABE6</f>
        <v>CY2021</v>
      </c>
      <c r="ABZ6" s="65" t="str">
        <f t="shared" ref="ABZ6" si="323">ABF6</f>
        <v/>
      </c>
      <c r="ACA6" s="65" t="str">
        <f t="shared" ref="ACA6" si="324">ABG6</f>
        <v/>
      </c>
      <c r="ACB6" s="65" t="str">
        <f t="shared" ref="ACB6" si="325">ABH6</f>
        <v/>
      </c>
      <c r="ACC6" s="65" t="str">
        <f t="shared" ref="ACC6" si="326">ABI6</f>
        <v/>
      </c>
      <c r="ACD6" s="65" t="str">
        <f t="shared" ref="ACD6" si="327">ABJ6</f>
        <v/>
      </c>
      <c r="ACE6" s="65" t="str">
        <f t="shared" ref="ACE6" si="328">ABK6</f>
        <v/>
      </c>
      <c r="ACF6" s="65" t="str">
        <f t="shared" ref="ACF6" si="329">ABL6</f>
        <v/>
      </c>
      <c r="ACG6" s="65" t="str">
        <f t="shared" ref="ACG6" si="330">ABM6</f>
        <v/>
      </c>
      <c r="ACH6" s="65" t="str">
        <f t="shared" ref="ACH6" si="331">ABN6</f>
        <v/>
      </c>
      <c r="ACI6" s="65" t="str">
        <f t="shared" ref="ACI6" si="332">ABO6</f>
        <v/>
      </c>
      <c r="ACJ6" s="65" t="str">
        <f t="shared" ref="ACJ6" si="333">ABP6</f>
        <v/>
      </c>
      <c r="ACK6" s="65" t="str">
        <f t="shared" ref="ACK6" si="334">ABQ6</f>
        <v/>
      </c>
      <c r="ACL6" s="65" t="str">
        <f t="shared" ref="ACL6" si="335">ABR6</f>
        <v/>
      </c>
      <c r="ACM6" s="65" t="str">
        <f t="shared" ref="ACM6" si="336">ABS6</f>
        <v/>
      </c>
      <c r="ACN6" s="65" t="str">
        <f t="shared" ref="ACN6" si="337">ABT6</f>
        <v/>
      </c>
      <c r="ACO6" s="65" t="str">
        <f t="shared" ref="ACO6" si="338">ABU6</f>
        <v/>
      </c>
      <c r="ACP6" s="65" t="str">
        <f t="shared" ref="ACP6" si="339">ABV6</f>
        <v/>
      </c>
      <c r="ACQ6" s="65" t="str">
        <f t="shared" ref="ACQ6" si="340">ABW6</f>
        <v/>
      </c>
      <c r="ACR6" s="65" t="str">
        <f t="shared" ref="ACR6" si="341">ABX6</f>
        <v/>
      </c>
    </row>
    <row r="7" spans="1:772" ht="15" customHeight="1" x14ac:dyDescent="0.2">
      <c r="A7" s="267" t="str">
        <f>IF(B7="","",_xll.ciqfunctions.udf.CIQ($B7,"IQ_COMPANY_NAME"))</f>
        <v>Walmart Inc.</v>
      </c>
      <c r="B7" s="66" t="str">
        <f>IF(Input!B19="","",Input!B19)</f>
        <v>NYSE:WMT</v>
      </c>
      <c r="C7" s="66" t="str">
        <f>Input!E19</f>
        <v>Walmart</v>
      </c>
      <c r="D7" s="67" t="str">
        <f>IF(B7="","",_xll.ciqfunctions.udf.CIQ($B7,"IQ_PRIMARY_INDUSTRY"))</f>
        <v>Hypermarkets and Super Centers</v>
      </c>
      <c r="E7" s="68">
        <f>IFERROR(IF(B7="","",IF(NOT(ISNUMBER(_xll.ciqfunctions.udf.CIQ($B7,"IQ_LASTSALEPRICE",$E$3))),"",_xll.ciqfunctions.udf.CIQ($B7,"IQ_LASTSALEPRICE",$E$3))),"")</f>
        <v>143.80000000000001</v>
      </c>
      <c r="F7" s="1072">
        <f>IFERROR(IF(B7="","",IF(NOT(ISNUMBER(_xll.ciqfunctions.udf.CIQ($B7,"IQ_LASTSALEPRICE",$E$4))),"",_xll.ciqfunctions.udf.CIQ($B7,"IQ_LASTSALEPRICE",$E$4))),"")</f>
        <v>134.01</v>
      </c>
      <c r="G7" s="69">
        <f>IFERROR(IFERROR((E7-F7)/F7,""),"")</f>
        <v>7.3054249682859645E-2</v>
      </c>
      <c r="H7" s="69">
        <f>IFERROR(IF(B7="","",IF(NOT(ISNUMBER(_xll.ciqfunctions.udf.CIQ($B7,"IQ_TOTAL_REV_1YR_ANN_GROWTH",$O$3, $I$3, $N$3, , $J$3, $K$3))),"",_xll.ciqfunctions.udf.CIQ($B7,"IQ_TOTAL_REV_1YR_ANN_GROWTH",$O$3, $I$3, $N$3, , $J$3, $K$3))/100),"")</f>
        <v>2.4327000000000001E-2</v>
      </c>
      <c r="I7" s="69">
        <f>IFERROR(IF(B7="","",IF(NOT(ISNUMBER(_xll.ciqfunctions.udf.CIQ($B7,"IQ_GROSS_MARGIN",$O$3, $I$3, $N$3, , $J$3, $K$3))),"",_xll.ciqfunctions.udf.CIQ($B7,"IQ_GROSS_MARGIN",$O$3, $I$3, $N$3, , $J$3, $K$3))/100),"")</f>
        <v>0.25098700000000002</v>
      </c>
      <c r="J7" s="69">
        <f>IFERROR(IF(B7="","",IF(NOT(ISNUMBER(_xll.ciqfunctions.udf.CIQ($B7,"IQ_EBITDA_MARGIN",$O$3, $I$3, $N$3, , $J$3, $K$3))),"",_xll.ciqfunctions.udf.CIQ($B7,"IQ_EBITDA_MARGIN",$O$3, $I$3, $N$3, , $J$3, $K$3))/100),"")</f>
        <v>6.3900999999999999E-2</v>
      </c>
      <c r="K7" s="69">
        <f>IFERROR(IF(A7="","",IF(NOT(ISNUMBER(_xll.ciqfunctions.udf.CIQ($B7,"IQ_EBIT_MARGIN",$O$3, $I$3, $N$3, , $J$3, $K$3))),"",_xll.ciqfunctions.udf.CIQ($B7,"IQ_EBIT_MARGIN",$O$3, $I$3, $N$3, , $J$3, $K$3))/100),"")</f>
        <v>4.5293E-2</v>
      </c>
      <c r="L7" s="69">
        <f>IFERROR(IF(B7="","",IF(NOT(ISNUMBER(_xll.ciqfunctions.udf.CIQ($B7,"IQ_NI_MARGIN",$O$3, $I$3, $N$3, , $J$3, $K$3))),"",_xll.ciqfunctions.udf.CIQ($B7,"IQ_NI_MARGIN",$O$3, $I$3, $N$3, , $J$3, $K$3))/100),"")</f>
        <v>2.3872000000000001E-2</v>
      </c>
      <c r="M7" s="69">
        <f>IFERROR(IF($B7="","",IF(AND(N$4="Yes",NOT(ISNUMBER(_xll.ciqfunctions.udf.CIQ($B7,"IQ_COGS",$O$3, $I$3, $N$3, , $J$3, $K$3))),NOT(ISNUMBER(_xll.ciqfunctions.udf.CIQ($B7,"IQ_TOTAL_REVENUE",$O$3, $I$3, $N$3, , $J$3, $K$3)))),"",_xll.ciqfunctions.udf.CIQ($B7,"IQ_COGS",$O$3, $I$3, $N$3, , $J$3, $K$3)/_xll.ciqfunctions.udf.CIQ($B7,"IQ_TOTAL_REVENUE",$O$3, $I$3, $N$3, , $J$3, $K$3))),"")</f>
        <v>0.7490126651232466</v>
      </c>
      <c r="N7" s="69">
        <f>IFERROR(IF($B7="","",(IF(NOT(ISNUMBER(_xll.ciqfunctions.udf.CIQ($B7,"IQ_TOTAL_REVENUE",$O$3, $I$3, $N$3, , $J$3, $K$3))),"",_xll.ciqfunctions.udf.CIQ($B7,"IQ_TOTAL_REVENUE",$O$3, $I$3, $N$3, , $J$3, $K$3))-IF(NOT(ISNUMBER(_xll.ciqfunctions.udf.CIQ($B7,"IQ_COGS",$O$3, $I$3, $N$3, , $J$3, $K$3))),"",_xll.ciqfunctions.udf.CIQ($B7,"IQ_COGS",$O$3, $I$3, $N$3, , $J$3, $K$3))-IF(NOT(ISNUMBER(_xll.ciqfunctions.udf.CIQ($B7,"IQ_EBITDA",$O$3, $I$3, $N$3, , $J$3, $K$3))),"",_xll.ciqfunctions.udf.CIQ($B7,"IQ_EBITDA",$O$3, $I$3, $N$3, , $J$3, $K$3)))/IF(NOT(ISNUMBER(_xll.ciqfunctions.udf.CIQ($B7,"IQ_TOTAL_REVENUE",$O$3, $I$3, $N$3, , $J$3, $K$3))),"",_xll.ciqfunctions.udf.CIQ($B7,"IQ_TOTAL_REVENUE",$O$3, $I$3, $N$3, , $J$3, $K$3))),"")</f>
        <v>0.18708555505504981</v>
      </c>
      <c r="O7" s="69">
        <f>IFERROR(IF($B7="","",IF(AND(P$4="Yes",NOT(ISNUMBER(_xll.ciqfunctions.udf.CIQ($B7,"IQ_SGA_MARGIN",$O$3, $I$3, $N$3, , $J$3, $K$3)))),"",_xll.ciqfunctions.udf.CIQ($B7,"IQ_SGA_MARGIN",$O$3, $I$3, $N$3, , $J$3, $K$3)/100)),"")</f>
        <v>0.20569299999999999</v>
      </c>
      <c r="P7" s="69">
        <f>IFERROR(IF($B7="","",IF(AND(Q$4="No",OR(NOT(ISNUMBER(_xll.ciqfunctions.udf.CIQ($B7, "IQ_RD_EXP",$O$3, $I$3, $N$3, , $J$3, $K$3))),_xll.ciqfunctions.udf.CIQ($B7, "IQ_RD_EXP",$O$3, $I$3, $N$3, , $J$3, $K$3)&lt;0,NOT(ISNUMBER(_xll.ciqfunctions.udf.CIQ($B7,"IQ_TOTAL_REV",$O$3, $I$3, $N$3, , $J$3, $K$3))))),"",_xll.ciqfunctions.udf.CIQ($B7, "IQ_RD_EXP",$O$3, $I$3, $N$3, , $J$3, $K$3)/_xll.ciqfunctions.udf.CIQ($B7,"IQ_TOTAL_REV",$O$3, $I$3, $N$3, , $J$3, $K$3))),"")</f>
        <v>0</v>
      </c>
      <c r="Q7" s="70">
        <f>IFERROR(IF($B7="","",IF(AND(R$4="No",OR(NOT(ISNUMBER(_xll.ciqfunctions.udf.CIQ($B7,"IQ_AR",$O$3, $I$3, $N$3, , $J$3, $K$3,,,,"USD"))),_xll.ciqfunctions.udf.CIQ($B7,"IQ_AR",$O$3, $I$3, $N$3, , $J$3, $K$3,,,,"USD")&lt;0,NOT(ISNUMBER(_xll.ciqfunctions.udf.CIQ($B7,"IQ_REVENUE",$O$3, $I$3, $N$3, , $J$3, $K$3))))),"",0.5*(_xll.ciqfunctions.udf.CIQ($B7,"IQ_AR",$O$3, $I$3, $N$3, , $J$3, $K$3)+_xll.ciqfunctions.udf.CIQ($B7,"IQ_AR",$O$3&amp;"-4", $I$3, $N$3, , $J$3, $K$3))/_xll.ciqfunctions.udf.CIQ($B7,"IQ_REVENUE",$O$3, $I$3, $N$3, , $J$3, $K$3)*365)),"")</f>
        <v>4.7145371311243576</v>
      </c>
      <c r="R7" s="70">
        <f>IFERROR(IF($B7="","",IF(AND(S$4="No",OR(NOT(ISNUMBER(_xll.ciqfunctions.udf.CIQ($B7,"IQ_INVENTORY",$O$3, $I$3, $N$3, , $J$3, $K$3))),_xll.ciqfunctions.udf.CIQ($B7,"IQ_INVENTORY",$O$3, $I$3, $N$3, , $J$3, $K$3)&lt;0,NOT(ISNUMBER(_xll.ciqfunctions.udf.CIQ($B7,"IQ_COGS",$O$3, $I$3, $N$3, , $J$3, $K$3))),_xll.ciqfunctions.udf.CIQ($B7,"IQ_COGS",$O$3, $I$3, $N$3, , $J$3, $K$3)&lt;0)),"",0.5*(_xll.ciqfunctions.udf.CIQ($B7,"IQ_INVENTORY",$O$3, $I$3, $N$3, , $J$3, $K$3)+_xll.ciqfunctions.udf.CIQ($B7,"IQ_INVENTORY",$O$3&amp;"-4", $I$3, $N$3, , $J$3, $K$3))/_xll.ciqfunctions.udf.CIQ($B7,"IQ_COGS",$O$3, $I$3, $N$3, , $J$3, $K$3)*365)),"")</f>
        <v>43.161888111888111</v>
      </c>
      <c r="S7" s="70">
        <f>IFERROR(IF(B7="","",IF($B7="","",IF(AND(T$4="No",OR(NOT(ISNUMBER(_xll.ciqfunctions.udf.CIQ($B7,"IQ_AP",$O$3, $I$3, $N$3, , $J$3, $K$3))),_xll.ciqfunctions.udf.CIQ($B7,"IQ_AP",$O$3, $I$3, $N$3, , $J$3, $K$3)&lt;0,NOT(ISNUMBER(_xll.ciqfunctions.udf.CIQ($B7,"IQ_COGS",$O$3, $I$3, $N$3, , $J$3, $K$3))),_xll.ciqfunctions.udf.CIQ($B7,"IQ_COGS",$O$3, $I$3, $N$3, , $J$3, $K$3)&lt;0)),"",0.5*(_xll.ciqfunctions.udf.CIQ($B7,"IQ_AP",$O$3, $I$3, $N$3, , $J$3, $K$3)+_xll.ciqfunctions.udf.CIQ($B7,"IQ_AP",$O$3&amp;"-4", $I$3, $N$3, , $J$3, $K$3))/_xll.ciqfunctions.udf.CIQ($B7,"IQ_COGS",$O$3, $I$3, $N$3, , $J$3, $K$3)*365))),"")</f>
        <v>44.413438228438231</v>
      </c>
      <c r="T7" s="70">
        <f t="shared" ref="T7:T17" si="342">IFERROR(IF($B7="","",(Q7+R7-S7)),"")</f>
        <v>3.4629870145742387</v>
      </c>
      <c r="U7" s="69">
        <f>IFERROR(IF(OR(NOT(ISNUMBER(_xll.ciqfunctions.udf.CIQ($B7,"IQ_NI",$O$3, $I$3, $N$3, , $J$3, $K$3))),NOT(ISNUMBER(_xll.ciqfunctions.udf.CIQ($B7,"IQ_TOTAL_ASSETS",$O$3, $I$3, $N$3, , $J$3, $K$3)))),"",_xll.ciqfunctions.udf.CIQ($B7,"IQ_NI",$O$3, $I$3, $N$3, , $J$3, $K$3)/(0.5*(_xll.ciqfunctions.udf.CIQ($B7,"IQ_TOTAL_ASSETS",$O$3, $I$3, $N$3, , $J$3, $K$3)+_xll.ciqfunctions.udf.CIQ($B7,"IQ_TOTAL_ASSETS",$O$3&amp;"-4", $I$3, $N$3, , $J$3, $K$3)))),"")</f>
        <v>5.4982748775524976E-2</v>
      </c>
      <c r="V7" s="69">
        <f>IFERROR(_xll.ciqfunctions.udf.CIQ($B7,"IQ_NI",$O$3, $I$3, $N$3, , $J$3, $K$3)*2/(_xll.ciqfunctions.udf.CIQ($B7,"IQ_TOTAL_ASSETS",$O$3, $I$3, $N$3, , $J$3, $K$3)+_xll.ciqfunctions.udf.CIQ($B7,"IQ_TOTAL_ASSETS",$O$3 &amp; "-4", $I$3, $N$3, , $J$3, $K$3)-_xll.ciqfunctions.udf.CIQ($B7,"IQ_TOTAL_CL",$O$3, $I$3, $N$3, , $J$3, $K$3)-_xll.ciqfunctions.udf.CIQ($B7,"IQ_TOTAL_CL",$O$3 &amp; "-4", $I$3, $N$3, , $J$3, $K$3)),"")</f>
        <v>8.6174731826604317E-2</v>
      </c>
      <c r="W7" s="69">
        <f>IFERROR(IF(OR(NOT(ISNUMBER(_xll.ciqfunctions.udf.CIQ($B7,"IQ_NI",$O$3, $I$3, $N$3, , $J$3, $K$3))),NOT(ISNUMBER(_xll.ciqfunctions.udf.CIQ($B7,"IQ_TOTAL_EQUITY",$O$3, $I$3, $N$3, , $J$3, $K$3)))),"",_xll.ciqfunctions.udf.CIQ($B7,"IQ_NI",$O$3, $I$3, $N$3, , $J$3, $K$3)/(0.5*(_xll.ciqfunctions.udf.CIQ($B7,"IQ_TOTAL_EQUITY",$O$3, $I$3, $N$3, , $J$3, $K$3)+_xll.ciqfunctions.udf.CIQ($B7,"IQ_TOTAL_EQUITY",$O$3&amp;"-4", $I$3, $N$3, , $J$3, $K$3)))),"")</f>
        <v>0.1524116329101225</v>
      </c>
      <c r="X7" s="1025">
        <f>IFERROR(IF($B7="","",IF(NOT(ISNUMBER(_xll.ciqfunctions.udf.CIQ($B7,"IQ_ASSET_TURNS",$O$3, $I$3, $N$3, , $J$3, $K$3))),"",_xll.ciqfunctions.udf.CIQ($B7,"IQ_ASSET_TURNS",$O$3, $I$3, $N$3, , $J$3, $K$3))),"")</f>
        <v>2.3031999999999999</v>
      </c>
      <c r="Y7" s="1025">
        <f>IFERROR(IF($B7="","",IF(NOT(ISNUMBER(_xll.ciqfunctions.udf.CIQ($B7,"IQ_FIXED_ASSET_TURNS",$O$3, $I$3, $N$3, , $J$3, $K$3))),"",_xll.ciqfunctions.udf.CIQ($B7,"IQ_FIXED_ASSET_TURNS",$O$3, $I$3, $N$3, , $J$3, $K$3))),"")</f>
        <v>5.149</v>
      </c>
      <c r="Z7" s="69">
        <f>IFERROR(IF(B7="","",IF(OR(NOT(ISNUMBER(_xll.ciqfunctions.udf.CIQ($B7,"IQ_CASH_OPER",$O$3, $I$3, $N$3, , $J$3, $K$3))),NOT(ISNUMBER(_xll.ciqfunctions.udf.CIQ($B7,"IQ_TOTAL_REV",$O$3, $I$3, $N$3, , $J$3, $K$3)))),"",_xll.ciqfunctions.udf.CIQ($B7,"IQ_CASH_OPER",$O$3, $I$3, $N$3, , $J$3, $K$3)/_xll.ciqfunctions.udf.CIQ($B7,"IQ_TOTAL_REV",$O$3, $I$3, $N$3, , $J$3, $K$3))),"")</f>
        <v>4.221882343903316E-2</v>
      </c>
      <c r="AA7" s="70">
        <f>IFERROR(IF(B7="","",IF(OR(NOT(ISNUMBER(_xll.ciqfunctions.udf.CIQ($B7,"IQ_TOTAL_ASSETS",IQ_LTM, $I$3, $N$3, , $J$3, $K$3))),NOT(ISNUMBER(_xll.ciqfunctions.udf.CIQ($B7,"IQ_TOTAL_COMMON_EQUITY",IQ_LTM, $I$3, $N$3, , $J$3, $K$3)))),"",_xll.ciqfunctions.udf.CIQ($B7,"IQ_TOTAL_ASSETS",IQ_LTM, $I$3, $N$3, , $J$3, $K$3)/_xll.ciqfunctions.udf.CIQ($B7,"IQ_TOTAL_COMMON_EQUITY",IQ_LTM, $I$3, $N$3, , $J$3, $K$3))),"")</f>
        <v>2.9411552736838313</v>
      </c>
      <c r="AB7" s="69">
        <f>IFERROR(IF(B7="","",IF(OR(NOT(ISNUMBER(_xll.ciqfunctions.udf.CIQ($B7,"IQ_EBT",$O$3, $I$3, $N$3, , $J$3, $K$3))),NOT(ISNUMBER(_xll.ciqfunctions.udf.CIQ($B7,"IQ_TOTAL_REV",$O$3, $I$3, $N$3, , $J$3, $K$3)))),"",_xll.ciqfunctions.udf.CIQ($B7,"IQ_EBT",$O$3, $I$3, $N$3, , $J$3, $K$3)/_xll.ciqfunctions.udf.CIQ($B7,"IQ_TOTAL_REV",$O$3, $I$3, $N$3, , $J$3, $K$3))),"")</f>
        <v>3.2642286217119391E-2</v>
      </c>
      <c r="AC7" s="69">
        <f>IFERROR(IF(E7="","",IF(OR(NOT(ISNUMBER(_xll.ciqfunctions.udf.CIQ($B7,"IQ_INC_TAX",$O$3, $I$3, $N$3, , $J$3, $K$3))),NOT(ISNUMBER(_xll.ciqfunctions.udf.CIQ($B7,"IQ_EBT",$O$3, $I$3, $N$3, , $J$3, $K$3))),_xll.ciqfunctions.udf.CIQ($B7,"IQ_INC_TAX",$O$3, $I$3, $N$3, , $J$3, $K$3)&lt;0),"",_xll.ciqfunctions.udf.CIQ($B7,"IQ_INC_TAX",$O$3, $I$3, $N$3, , $J$3, $K$3)/ABS(_xll.ciqfunctions.udf.CIQ($B7,"IQ_EBT",$O$3, $I$3, $N$3, , $J$3, $K$3)))),"")</f>
        <v>0.25438596491228072</v>
      </c>
      <c r="AD7" s="70">
        <f>IFERROR(IF(B7="","",IF(NOT(ISNUMBER(_xll.ciqfunctions.udf.CIQ($B7,"IQ_Z_SCORE",$O$3, $I$3, $N$3, , $J$3, $K$3))),"",_xll.ciqfunctions.udf.CIQ($B7,"IQ_Z_SCORE",$O$3, $I$3, $N$3, , $J$3, $K$3))),"")</f>
        <v>4.7071899999999998</v>
      </c>
      <c r="AE7" s="71">
        <f>IF($A7="","",IF(NOT(ISNUMBER(_xll.ciqfunctions.udf.CIQ($B7, "IQ_BETA_5YR", $E$3))),"",_xll.ciqfunctions.udf.CIQ($B7, "IQ_BETA_5YR", $E$3)))</f>
        <v>0.53503999999999996</v>
      </c>
      <c r="AF7" s="19"/>
      <c r="AG7" s="273">
        <f>IFERROR(IF(OR($B7="",AG$3=""),"",IF(NOT(ISNUMBER(_xll.ciqfunctions.udf.CIQ($B7, "IQ_GROSS_MARGIN", AG$3, $I$3, $N$3, , $J$3, $K$3))),"",_xll.ciqfunctions.udf.CIQ($B7, "IQ_GROSS_MARGIN", AG$3, $I$3, $N$3, , $J$3, $K$3)/100)),"")</f>
        <v>0.25098700000000002</v>
      </c>
      <c r="AH7" s="73" t="str">
        <f>IFERROR(IF(OR($B7="",AH$3=""),"",IF(NOT(ISNUMBER(_xll.ciqfunctions.udf.CIQ($B7, "IQ_GROSS_MARGIN", AH$3, $I$3, $N$3, , $J$3, $K$3))),"",_xll.ciqfunctions.udf.CIQ($B7, "IQ_GROSS_MARGIN", AH$3, $I$3, $N$3, , $J$3, $K$3)/100)),"")</f>
        <v/>
      </c>
      <c r="AI7" s="73" t="str">
        <f>IFERROR(IF(OR($B7="",AI$3=""),"",IF(NOT(ISNUMBER(_xll.ciqfunctions.udf.CIQ($B7, "IQ_GROSS_MARGIN", AI$3, $I$3, $N$3, , $J$3, $K$3))),"",_xll.ciqfunctions.udf.CIQ($B7, "IQ_GROSS_MARGIN", AI$3, $I$3, $N$3, , $J$3, $K$3)/100)),"")</f>
        <v/>
      </c>
      <c r="AJ7" s="73" t="str">
        <f>IFERROR(IF(OR($B7="",AJ$3=""),"",IF(NOT(ISNUMBER(_xll.ciqfunctions.udf.CIQ($B7, "IQ_GROSS_MARGIN", AJ$3, $I$3, $N$3, , $J$3, $K$3))),"",_xll.ciqfunctions.udf.CIQ($B7, "IQ_GROSS_MARGIN", AJ$3, $I$3, $N$3, , $J$3, $K$3)/100)),"")</f>
        <v/>
      </c>
      <c r="AK7" s="73" t="str">
        <f>IFERROR(IF(OR($B7="",AK$3=""),"",IF(NOT(ISNUMBER(_xll.ciqfunctions.udf.CIQ($B7, "IQ_GROSS_MARGIN", AK$3, $I$3, $N$3, , $J$3, $K$3))),"",_xll.ciqfunctions.udf.CIQ($B7, "IQ_GROSS_MARGIN", AK$3, $I$3, $N$3, , $J$3, $K$3)/100)),"")</f>
        <v/>
      </c>
      <c r="AL7" s="73" t="str">
        <f>IFERROR(IF(OR($B7="",AL$3=""),"",IF(NOT(ISNUMBER(_xll.ciqfunctions.udf.CIQ($B7, "IQ_GROSS_MARGIN", AL$3, $I$3, $N$3, , $J$3, $K$3))),"",_xll.ciqfunctions.udf.CIQ($B7, "IQ_GROSS_MARGIN", AL$3, $I$3, $N$3, , $J$3, $K$3)/100)),"")</f>
        <v/>
      </c>
      <c r="AM7" s="73" t="str">
        <f>IFERROR(IF(OR($B7="",AM$3=""),"",IF(NOT(ISNUMBER(_xll.ciqfunctions.udf.CIQ($B7, "IQ_GROSS_MARGIN", AM$3, $I$3, $N$3, , $J$3, $K$3))),"",_xll.ciqfunctions.udf.CIQ($B7, "IQ_GROSS_MARGIN", AM$3, $I$3, $N$3, , $J$3, $K$3)/100)),"")</f>
        <v/>
      </c>
      <c r="AN7" s="73" t="str">
        <f>IFERROR(IF(OR($B7="",AN$3=""),"",IF(NOT(ISNUMBER(_xll.ciqfunctions.udf.CIQ($B7, "IQ_GROSS_MARGIN", AN$3, $I$3, $N$3, , $J$3, $K$3))),"",_xll.ciqfunctions.udf.CIQ($B7, "IQ_GROSS_MARGIN", AN$3, $I$3, $N$3, , $J$3, $K$3)/100)),"")</f>
        <v/>
      </c>
      <c r="AO7" s="73" t="str">
        <f>IFERROR(IF(OR($B7="",AO$3=""),"",IF(NOT(ISNUMBER(_xll.ciqfunctions.udf.CIQ($B7, "IQ_GROSS_MARGIN", AO$3, $I$3, $N$3, , $J$3, $K$3))),"",_xll.ciqfunctions.udf.CIQ($B7, "IQ_GROSS_MARGIN", AO$3, $I$3, $N$3, , $J$3, $K$3)/100)),"")</f>
        <v/>
      </c>
      <c r="AP7" s="87" t="str">
        <f>IFERROR(IF(OR($B7="",AP$3=""),"",IF(NOT(ISNUMBER(_xll.ciqfunctions.udf.CIQ($B7, "IQ_GROSS_MARGIN", AP$3, $I$3, $N$3, , $J$3, $K$3))),"",_xll.ciqfunctions.udf.CIQ($B7, "IQ_GROSS_MARGIN", AP$3, $I$3, $N$3, , $J$3, $K$3)/100)),"")</f>
        <v/>
      </c>
      <c r="AQ7" s="73" t="str">
        <f>IFERROR(IF(OR($B7="",AQ$3=""),"",IF(NOT(ISNUMBER(_xll.ciqfunctions.udf.CIQ($B7, "IQ_GROSS_MARGIN", AQ$3, $I$3, $N$3, , $J$3, $K$3))),"",_xll.ciqfunctions.udf.CIQ($B7, "IQ_GROSS_MARGIN", AQ$3, $I$3, $N$3, , $J$3, $K$3)/100)),"")</f>
        <v/>
      </c>
      <c r="AR7" s="73" t="str">
        <f>IFERROR(IF(OR($B7="",AR$3=""),"",IF(NOT(ISNUMBER(_xll.ciqfunctions.udf.CIQ($B7, "IQ_GROSS_MARGIN", AR$3, $I$3, $N$3, , $J$3, $K$3))),"",_xll.ciqfunctions.udf.CIQ($B7, "IQ_GROSS_MARGIN", AR$3, $I$3, $N$3, , $J$3, $K$3)/100)),"")</f>
        <v/>
      </c>
      <c r="AS7" s="73" t="str">
        <f>IFERROR(IF(OR($B7="",AS$3=""),"",IF(NOT(ISNUMBER(_xll.ciqfunctions.udf.CIQ($B7, "IQ_GROSS_MARGIN", AS$3, $I$3, $N$3, , $J$3, $K$3))),"",_xll.ciqfunctions.udf.CIQ($B7, "IQ_GROSS_MARGIN", AS$3, $I$3, $N$3, , $J$3, $K$3)/100)),"")</f>
        <v/>
      </c>
      <c r="AT7" s="73" t="str">
        <f>IFERROR(IF(OR($B7="",AT$3=""),"",IF(NOT(ISNUMBER(_xll.ciqfunctions.udf.CIQ($B7, "IQ_GROSS_MARGIN", AT$3, $I$3, $N$3, , $J$3, $K$3))),"",_xll.ciqfunctions.udf.CIQ($B7, "IQ_GROSS_MARGIN", AT$3, $I$3, $N$3, , $J$3, $K$3)/100)),"")</f>
        <v/>
      </c>
      <c r="AU7" s="73" t="str">
        <f>IFERROR(IF(OR($B7="",AU$3=""),"",IF(NOT(ISNUMBER(_xll.ciqfunctions.udf.CIQ($B7, "IQ_GROSS_MARGIN", AU$3, $I$3, $N$3, , $J$3, $K$3))),"",_xll.ciqfunctions.udf.CIQ($B7, "IQ_GROSS_MARGIN", AU$3, $I$3, $N$3, , $J$3, $K$3)/100)),"")</f>
        <v/>
      </c>
      <c r="AV7" s="73" t="str">
        <f>IFERROR(IF(OR($B7="",AV$3=""),"",IF(NOT(ISNUMBER(_xll.ciqfunctions.udf.CIQ($B7, "IQ_GROSS_MARGIN", AV$3, $I$3, $N$3, , $J$3, $K$3))),"",_xll.ciqfunctions.udf.CIQ($B7, "IQ_GROSS_MARGIN", AV$3, $I$3, $N$3, , $J$3, $K$3)/100)),"")</f>
        <v/>
      </c>
      <c r="AW7" s="73" t="str">
        <f>IFERROR(IF(OR($B7="",AW$3=""),"",IF(NOT(ISNUMBER(_xll.ciqfunctions.udf.CIQ($B7, "IQ_GROSS_MARGIN", AW$3, $I$3, $N$3, , $J$3, $K$3))),"",_xll.ciqfunctions.udf.CIQ($B7, "IQ_GROSS_MARGIN", AW$3, $I$3, $N$3, , $J$3, $K$3)/100)),"")</f>
        <v/>
      </c>
      <c r="AX7" s="73" t="str">
        <f>IFERROR(IF(OR($B7="",AX$3=""),"",IF(NOT(ISNUMBER(_xll.ciqfunctions.udf.CIQ($B7, "IQ_GROSS_MARGIN", AX$3, $I$3, $N$3, , $J$3, $K$3))),"",_xll.ciqfunctions.udf.CIQ($B7, "IQ_GROSS_MARGIN", AX$3, $I$3, $N$3, , $J$3, $K$3)/100)),"")</f>
        <v/>
      </c>
      <c r="AY7" s="73" t="str">
        <f>IFERROR(IF(OR($B7="",AY$3=""),"",IF(NOT(ISNUMBER(_xll.ciqfunctions.udf.CIQ($B7, "IQ_GROSS_MARGIN", AY$3, $I$3, $N$3, , $J$3, $K$3))),"",_xll.ciqfunctions.udf.CIQ($B7, "IQ_GROSS_MARGIN", AY$3, $I$3, $N$3, , $J$3, $K$3)/100)),"")</f>
        <v/>
      </c>
      <c r="AZ7" s="74" t="str">
        <f>IFERROR(IF(OR($B7="",AZ$3=""),"",IF(NOT(ISNUMBER(_xll.ciqfunctions.udf.CIQ($B7, "IQ_GROSS_MARGIN", AZ$3, $I$3, $N$3, , $J$3, $K$3))),"",_xll.ciqfunctions.udf.CIQ($B7, "IQ_GROSS_MARGIN", AZ$3, $I$3, $N$3, , $J$3, $K$3)/100)),"")</f>
        <v/>
      </c>
      <c r="BA7" s="73">
        <f>IFERROR(IF(OR($B7="",BA$3=""),"",IF(NOT(ISNUMBER(_xll.ciqfunctions.udf.CIQ($B7, "IQ_EBITDA_MARGIN", BA$3, $I$3, $N$3, , $J$3, $K$3))),"",_xll.ciqfunctions.udf.CIQ($B7, "IQ_EBITDA_MARGIN", BA$3, $I$3, $N$3, , $J$3, $K$3)/100)),"")</f>
        <v>6.3900999999999999E-2</v>
      </c>
      <c r="BB7" s="73" t="str">
        <f>IFERROR(IF(OR($B7="",BB$3=""),"",IF(NOT(ISNUMBER(_xll.ciqfunctions.udf.CIQ($B7, "IQ_EBITDA_MARGIN", BB$3, $I$3, $N$3, , $J$3, $K$3))),"",_xll.ciqfunctions.udf.CIQ($B7, "IQ_EBITDA_MARGIN", BB$3, $I$3, $N$3, , $J$3, $K$3)/100)),"")</f>
        <v/>
      </c>
      <c r="BC7" s="73" t="str">
        <f>IFERROR(IF(OR($B7="",BC$3=""),"",IF(NOT(ISNUMBER(_xll.ciqfunctions.udf.CIQ($B7, "IQ_EBITDA_MARGIN", BC$3, $I$3, $N$3, , $J$3, $K$3))),"",_xll.ciqfunctions.udf.CIQ($B7, "IQ_EBITDA_MARGIN", BC$3, $I$3, $N$3, , $J$3, $K$3)/100)),"")</f>
        <v/>
      </c>
      <c r="BD7" s="73" t="str">
        <f>IFERROR(IF(OR($B7="",BD$3=""),"",IF(NOT(ISNUMBER(_xll.ciqfunctions.udf.CIQ($B7, "IQ_EBITDA_MARGIN", BD$3, $I$3, $N$3, , $J$3, $K$3))),"",_xll.ciqfunctions.udf.CIQ($B7, "IQ_EBITDA_MARGIN", BD$3, $I$3, $N$3, , $J$3, $K$3)/100)),"")</f>
        <v/>
      </c>
      <c r="BE7" s="73" t="str">
        <f>IFERROR(IF(OR($B7="",BE$3=""),"",IF(NOT(ISNUMBER(_xll.ciqfunctions.udf.CIQ($B7, "IQ_EBITDA_MARGIN", BE$3, $I$3, $N$3, , $J$3, $K$3))),"",_xll.ciqfunctions.udf.CIQ($B7, "IQ_EBITDA_MARGIN", BE$3, $I$3, $N$3, , $J$3, $K$3)/100)),"")</f>
        <v/>
      </c>
      <c r="BF7" s="73" t="str">
        <f>IFERROR(IF(OR($B7="",BF$3=""),"",IF(NOT(ISNUMBER(_xll.ciqfunctions.udf.CIQ($B7, "IQ_EBITDA_MARGIN", BF$3, $I$3, $N$3, , $J$3, $K$3))),"",_xll.ciqfunctions.udf.CIQ($B7, "IQ_EBITDA_MARGIN", BF$3, $I$3, $N$3, , $J$3, $K$3)/100)),"")</f>
        <v/>
      </c>
      <c r="BG7" s="73" t="str">
        <f>IFERROR(IF(OR($B7="",BG$3=""),"",IF(NOT(ISNUMBER(_xll.ciqfunctions.udf.CIQ($B7, "IQ_EBITDA_MARGIN", BG$3, $I$3, $N$3, , $J$3, $K$3))),"",_xll.ciqfunctions.udf.CIQ($B7, "IQ_EBITDA_MARGIN", BG$3, $I$3, $N$3, , $J$3, $K$3)/100)),"")</f>
        <v/>
      </c>
      <c r="BH7" s="73" t="str">
        <f>IFERROR(IF(OR($B7="",BH$3=""),"",IF(NOT(ISNUMBER(_xll.ciqfunctions.udf.CIQ($B7, "IQ_EBITDA_MARGIN", BH$3, $I$3, $N$3, , $J$3, $K$3))),"",_xll.ciqfunctions.udf.CIQ($B7, "IQ_EBITDA_MARGIN", BH$3, $I$3, $N$3, , $J$3, $K$3)/100)),"")</f>
        <v/>
      </c>
      <c r="BI7" s="73" t="str">
        <f>IFERROR(IF(OR($B7="",BI$3=""),"",IF(NOT(ISNUMBER(_xll.ciqfunctions.udf.CIQ($B7, "IQ_EBITDA_MARGIN", BI$3, $I$3, $N$3, , $J$3, $K$3))),"",_xll.ciqfunctions.udf.CIQ($B7, "IQ_EBITDA_MARGIN", BI$3, $I$3, $N$3, , $J$3, $K$3)/100)),"")</f>
        <v/>
      </c>
      <c r="BJ7" s="73" t="str">
        <f>IFERROR(IF(OR($B7="",BJ$3=""),"",IF(NOT(ISNUMBER(_xll.ciqfunctions.udf.CIQ($B7, "IQ_EBITDA_MARGIN", BJ$3, $I$3, $N$3, , $J$3, $K$3))),"",_xll.ciqfunctions.udf.CIQ($B7, "IQ_EBITDA_MARGIN", BJ$3, $I$3, $N$3, , $J$3, $K$3)/100)),"")</f>
        <v/>
      </c>
      <c r="BK7" s="73" t="str">
        <f>IFERROR(IF(OR($B7="",BK$3=""),"",IF(NOT(ISNUMBER(_xll.ciqfunctions.udf.CIQ($B7, "IQ_EBITDA_MARGIN", BK$3, $I$3, $N$3, , $J$3, $K$3))),"",_xll.ciqfunctions.udf.CIQ($B7, "IQ_EBITDA_MARGIN", BK$3, $I$3, $N$3, , $J$3, $K$3)/100)),"")</f>
        <v/>
      </c>
      <c r="BL7" s="73" t="str">
        <f>IFERROR(IF(OR($B7="",BL$3=""),"",IF(NOT(ISNUMBER(_xll.ciqfunctions.udf.CIQ($B7, "IQ_EBITDA_MARGIN", BL$3, $I$3, $N$3, , $J$3, $K$3))),"",_xll.ciqfunctions.udf.CIQ($B7, "IQ_EBITDA_MARGIN", BL$3, $I$3, $N$3, , $J$3, $K$3)/100)),"")</f>
        <v/>
      </c>
      <c r="BM7" s="73" t="str">
        <f>IFERROR(IF(OR($B7="",BM$3=""),"",IF(NOT(ISNUMBER(_xll.ciqfunctions.udf.CIQ($B7, "IQ_EBITDA_MARGIN", BM$3, $I$3, $N$3, , $J$3, $K$3))),"",_xll.ciqfunctions.udf.CIQ($B7, "IQ_EBITDA_MARGIN", BM$3, $I$3, $N$3, , $J$3, $K$3)/100)),"")</f>
        <v/>
      </c>
      <c r="BN7" s="73" t="str">
        <f>IFERROR(IF(OR($B7="",BN$3=""),"",IF(NOT(ISNUMBER(_xll.ciqfunctions.udf.CIQ($B7, "IQ_EBITDA_MARGIN", BN$3, $I$3, $N$3, , $J$3, $K$3))),"",_xll.ciqfunctions.udf.CIQ($B7, "IQ_EBITDA_MARGIN", BN$3, $I$3, $N$3, , $J$3, $K$3)/100)),"")</f>
        <v/>
      </c>
      <c r="BO7" s="73" t="str">
        <f>IFERROR(IF(OR($B7="",BO$3=""),"",IF(NOT(ISNUMBER(_xll.ciqfunctions.udf.CIQ($B7, "IQ_EBITDA_MARGIN", BO$3, $I$3, $N$3, , $J$3, $K$3))),"",_xll.ciqfunctions.udf.CIQ($B7, "IQ_EBITDA_MARGIN", BO$3, $I$3, $N$3, , $J$3, $K$3)/100)),"")</f>
        <v/>
      </c>
      <c r="BP7" s="73" t="str">
        <f>IFERROR(IF(OR($B7="",BP$3=""),"",IF(NOT(ISNUMBER(_xll.ciqfunctions.udf.CIQ($B7, "IQ_EBITDA_MARGIN", BP$3, $I$3, $N$3, , $J$3, $K$3))),"",_xll.ciqfunctions.udf.CIQ($B7, "IQ_EBITDA_MARGIN", BP$3, $I$3, $N$3, , $J$3, $K$3)/100)),"")</f>
        <v/>
      </c>
      <c r="BQ7" s="73" t="str">
        <f>IFERROR(IF(OR($B7="",BQ$3=""),"",IF(NOT(ISNUMBER(_xll.ciqfunctions.udf.CIQ($B7, "IQ_EBITDA_MARGIN", BQ$3, $I$3, $N$3, , $J$3, $K$3))),"",_xll.ciqfunctions.udf.CIQ($B7, "IQ_EBITDA_MARGIN", BQ$3, $I$3, $N$3, , $J$3, $K$3)/100)),"")</f>
        <v/>
      </c>
      <c r="BR7" s="73" t="str">
        <f>IFERROR(IF(OR($B7="",BR$3=""),"",IF(NOT(ISNUMBER(_xll.ciqfunctions.udf.CIQ($B7, "IQ_EBITDA_MARGIN", BR$3, $I$3, $N$3, , $J$3, $K$3))),"",_xll.ciqfunctions.udf.CIQ($B7, "IQ_EBITDA_MARGIN", BR$3, $I$3, $N$3, , $J$3, $K$3)/100)),"")</f>
        <v/>
      </c>
      <c r="BS7" s="73" t="str">
        <f>IFERROR(IF(OR($B7="",BS$3=""),"",IF(NOT(ISNUMBER(_xll.ciqfunctions.udf.CIQ($B7, "IQ_EBITDA_MARGIN", BS$3, $I$3, $N$3, , $J$3, $K$3))),"",_xll.ciqfunctions.udf.CIQ($B7, "IQ_EBITDA_MARGIN", BS$3, $I$3, $N$3, , $J$3, $K$3)/100)),"")</f>
        <v/>
      </c>
      <c r="BT7" s="73" t="str">
        <f>IFERROR(IF(OR($B7="",BT$3=""),"",IF(NOT(ISNUMBER(_xll.ciqfunctions.udf.CIQ($B7, "IQ_EBITDA_MARGIN", BT$3, $I$3, $N$3, , $J$3, $K$3))),"",_xll.ciqfunctions.udf.CIQ($B7, "IQ_EBITDA_MARGIN", BT$3, $I$3, $N$3, , $J$3, $K$3)/100)),"")</f>
        <v/>
      </c>
      <c r="BU7" s="72">
        <f>IFERROR(IF(OR($B7="",BU$3=""),"",IF(NOT(ISNUMBER(_xll.ciqfunctions.udf.CIQ($B7, "IQ_EBIT_MARGIN", BU$3, $I$3, $N$3, , $J$3, $K$3))),"",_xll.ciqfunctions.udf.CIQ($B7, "IQ_EBIT_MARGIN", BU$3, $I$3, $N$3, , $J$3, $K$3)/100)),"")</f>
        <v>4.5293E-2</v>
      </c>
      <c r="BV7" s="73" t="str">
        <f>IFERROR(IF(OR($B7="",BV$3=""),"",IF(NOT(ISNUMBER(_xll.ciqfunctions.udf.CIQ($B7, "IQ_EBIT_MARGIN", BV$3, $I$3, $N$3, , $J$3, $K$3))),"",_xll.ciqfunctions.udf.CIQ($B7, "IQ_EBIT_MARGIN", BV$3, $I$3, $N$3, , $J$3, $K$3)/100)),"")</f>
        <v/>
      </c>
      <c r="BW7" s="73" t="str">
        <f>IFERROR(IF(OR($B7="",BW$3=""),"",IF(NOT(ISNUMBER(_xll.ciqfunctions.udf.CIQ($B7, "IQ_EBIT_MARGIN", BW$3, $I$3, $N$3, , $J$3, $K$3))),"",_xll.ciqfunctions.udf.CIQ($B7, "IQ_EBIT_MARGIN", BW$3, $I$3, $N$3, , $J$3, $K$3)/100)),"")</f>
        <v/>
      </c>
      <c r="BX7" s="73" t="str">
        <f>IFERROR(IF(OR($B7="",BX$3=""),"",IF(NOT(ISNUMBER(_xll.ciqfunctions.udf.CIQ($B7, "IQ_EBIT_MARGIN", BX$3, $I$3, $N$3, , $J$3, $K$3))),"",_xll.ciqfunctions.udf.CIQ($B7, "IQ_EBIT_MARGIN", BX$3, $I$3, $N$3, , $J$3, $K$3)/100)),"")</f>
        <v/>
      </c>
      <c r="BY7" s="73" t="str">
        <f>IFERROR(IF(OR($B7="",BY$3=""),"",IF(NOT(ISNUMBER(_xll.ciqfunctions.udf.CIQ($B7, "IQ_EBIT_MARGIN", BY$3, $I$3, $N$3, , $J$3, $K$3))),"",_xll.ciqfunctions.udf.CIQ($B7, "IQ_EBIT_MARGIN", BY$3, $I$3, $N$3, , $J$3, $K$3)/100)),"")</f>
        <v/>
      </c>
      <c r="BZ7" s="73" t="str">
        <f>IFERROR(IF(OR($B7="",BZ$3=""),"",IF(NOT(ISNUMBER(_xll.ciqfunctions.udf.CIQ($B7, "IQ_EBIT_MARGIN", BZ$3, $I$3, $N$3, , $J$3, $K$3))),"",_xll.ciqfunctions.udf.CIQ($B7, "IQ_EBIT_MARGIN", BZ$3, $I$3, $N$3, , $J$3, $K$3)/100)),"")</f>
        <v/>
      </c>
      <c r="CA7" s="73" t="str">
        <f>IFERROR(IF(OR($B7="",CA$3=""),"",IF(NOT(ISNUMBER(_xll.ciqfunctions.udf.CIQ($B7, "IQ_EBIT_MARGIN", CA$3, $I$3, $N$3, , $J$3, $K$3))),"",_xll.ciqfunctions.udf.CIQ($B7, "IQ_EBIT_MARGIN", CA$3, $I$3, $N$3, , $J$3, $K$3)/100)),"")</f>
        <v/>
      </c>
      <c r="CB7" s="73" t="str">
        <f>IFERROR(IF(OR($B7="",CB$3=""),"",IF(NOT(ISNUMBER(_xll.ciqfunctions.udf.CIQ($B7, "IQ_EBIT_MARGIN", CB$3, $I$3, $N$3, , $J$3, $K$3))),"",_xll.ciqfunctions.udf.CIQ($B7, "IQ_EBIT_MARGIN", CB$3, $I$3, $N$3, , $J$3, $K$3)/100)),"")</f>
        <v/>
      </c>
      <c r="CC7" s="73" t="str">
        <f>IFERROR(IF(OR($B7="",CC$3=""),"",IF(NOT(ISNUMBER(_xll.ciqfunctions.udf.CIQ($B7, "IQ_EBIT_MARGIN", CC$3, $I$3, $N$3, , $J$3, $K$3))),"",_xll.ciqfunctions.udf.CIQ($B7, "IQ_EBIT_MARGIN", CC$3, $I$3, $N$3, , $J$3, $K$3)/100)),"")</f>
        <v/>
      </c>
      <c r="CD7" s="73" t="str">
        <f>IFERROR(IF(OR($B7="",CD$3=""),"",IF(NOT(ISNUMBER(_xll.ciqfunctions.udf.CIQ($B7, "IQ_EBIT_MARGIN", CD$3, $I$3, $N$3, , $J$3, $K$3))),"",_xll.ciqfunctions.udf.CIQ($B7, "IQ_EBIT_MARGIN", CD$3, $I$3, $N$3, , $J$3, $K$3)/100)),"")</f>
        <v/>
      </c>
      <c r="CE7" s="73" t="str">
        <f>IFERROR(IF(OR($B7="",CE$3=""),"",IF(NOT(ISNUMBER(_xll.ciqfunctions.udf.CIQ($B7, "IQ_EBIT_MARGIN", CE$3, $I$3, $N$3, , $J$3, $K$3))),"",_xll.ciqfunctions.udf.CIQ($B7, "IQ_EBIT_MARGIN", CE$3, $I$3, $N$3, , $J$3, $K$3)/100)),"")</f>
        <v/>
      </c>
      <c r="CF7" s="73" t="str">
        <f>IFERROR(IF(OR($B7="",CF$3=""),"",IF(NOT(ISNUMBER(_xll.ciqfunctions.udf.CIQ($B7, "IQ_EBIT_MARGIN", CF$3, $I$3, $N$3, , $J$3, $K$3))),"",_xll.ciqfunctions.udf.CIQ($B7, "IQ_EBIT_MARGIN", CF$3, $I$3, $N$3, , $J$3, $K$3)/100)),"")</f>
        <v/>
      </c>
      <c r="CG7" s="73" t="str">
        <f>IFERROR(IF(OR($B7="",CG$3=""),"",IF(NOT(ISNUMBER(_xll.ciqfunctions.udf.CIQ($B7, "IQ_EBIT_MARGIN", CG$3, $I$3, $N$3, , $J$3, $K$3))),"",_xll.ciqfunctions.udf.CIQ($B7, "IQ_EBIT_MARGIN", CG$3, $I$3, $N$3, , $J$3, $K$3)/100)),"")</f>
        <v/>
      </c>
      <c r="CH7" s="73" t="str">
        <f>IFERROR(IF(OR($B7="",CH$3=""),"",IF(NOT(ISNUMBER(_xll.ciqfunctions.udf.CIQ($B7, "IQ_EBIT_MARGIN", CH$3, $I$3, $N$3, , $J$3, $K$3))),"",_xll.ciqfunctions.udf.CIQ($B7, "IQ_EBIT_MARGIN", CH$3, $I$3, $N$3, , $J$3, $K$3)/100)),"")</f>
        <v/>
      </c>
      <c r="CI7" s="73" t="str">
        <f>IFERROR(IF(OR($B7="",CI$3=""),"",IF(NOT(ISNUMBER(_xll.ciqfunctions.udf.CIQ($B7, "IQ_EBIT_MARGIN", CI$3, $I$3, $N$3, , $J$3, $K$3))),"",_xll.ciqfunctions.udf.CIQ($B7, "IQ_EBIT_MARGIN", CI$3, $I$3, $N$3, , $J$3, $K$3)/100)),"")</f>
        <v/>
      </c>
      <c r="CJ7" s="73" t="str">
        <f>IFERROR(IF(OR($B7="",CJ$3=""),"",IF(NOT(ISNUMBER(_xll.ciqfunctions.udf.CIQ($B7, "IQ_EBIT_MARGIN", CJ$3, $I$3, $N$3, , $J$3, $K$3))),"",_xll.ciqfunctions.udf.CIQ($B7, "IQ_EBIT_MARGIN", CJ$3, $I$3, $N$3, , $J$3, $K$3)/100)),"")</f>
        <v/>
      </c>
      <c r="CK7" s="73" t="str">
        <f>IFERROR(IF(OR($B7="",CK$3=""),"",IF(NOT(ISNUMBER(_xll.ciqfunctions.udf.CIQ($B7, "IQ_EBIT_MARGIN", CK$3, $I$3, $N$3, , $J$3, $K$3))),"",_xll.ciqfunctions.udf.CIQ($B7, "IQ_EBIT_MARGIN", CK$3, $I$3, $N$3, , $J$3, $K$3)/100)),"")</f>
        <v/>
      </c>
      <c r="CL7" s="73" t="str">
        <f>IFERROR(IF(OR($B7="",CL$3=""),"",IF(NOT(ISNUMBER(_xll.ciqfunctions.udf.CIQ($B7, "IQ_EBIT_MARGIN", CL$3, $I$3, $N$3, , $J$3, $K$3))),"",_xll.ciqfunctions.udf.CIQ($B7, "IQ_EBIT_MARGIN", CL$3, $I$3, $N$3, , $J$3, $K$3)/100)),"")</f>
        <v/>
      </c>
      <c r="CM7" s="73" t="str">
        <f>IFERROR(IF(OR($B7="",CM$3=""),"",IF(NOT(ISNUMBER(_xll.ciqfunctions.udf.CIQ($B7, "IQ_EBIT_MARGIN", CM$3, $I$3, $N$3, , $J$3, $K$3))),"",_xll.ciqfunctions.udf.CIQ($B7, "IQ_EBIT_MARGIN", CM$3, $I$3, $N$3, , $J$3, $K$3)/100)),"")</f>
        <v/>
      </c>
      <c r="CN7" s="74" t="str">
        <f>IFERROR(IF(OR($B7="",CN$3=""),"",IF(NOT(ISNUMBER(_xll.ciqfunctions.udf.CIQ($B7, "IQ_EBIT_MARGIN", CN$3, $I$3, $N$3, , $J$3, $K$3))),"",_xll.ciqfunctions.udf.CIQ($B7, "IQ_EBIT_MARGIN", CN$3, $I$3, $N$3, , $J$3, $K$3)/100)),"")</f>
        <v/>
      </c>
      <c r="CO7" s="72">
        <f>IFERROR(IF(OR($B7="",CO$3=""),"",IF(NOT(ISNUMBER(_xll.ciqfunctions.udf.CIQ($B7, "IQ_NI_MARGIN", CO$3, $I$3, $N$3, , $J$3, $K$3))),"",_xll.ciqfunctions.udf.CIQ($B7, "IQ_NI_MARGIN", CO$3, $I$3, $N$3, , $J$3, $K$3)/100)),"")</f>
        <v>2.3872000000000001E-2</v>
      </c>
      <c r="CP7" s="73" t="str">
        <f>IFERROR(IF(OR($B7="",CP$3=""),"",IF(NOT(ISNUMBER(_xll.ciqfunctions.udf.CIQ($B7, "IQ_NI_MARGIN", CP$3, $I$3, $N$3, , $J$3, $K$3))),"",_xll.ciqfunctions.udf.CIQ($B7, "IQ_NI_MARGIN", CP$3, $I$3, $N$3, , $J$3, $K$3)/100)),"")</f>
        <v/>
      </c>
      <c r="CQ7" s="73" t="str">
        <f>IFERROR(IF(OR($B7="",CQ$3=""),"",IF(NOT(ISNUMBER(_xll.ciqfunctions.udf.CIQ($B7, "IQ_NI_MARGIN", CQ$3, $I$3, $N$3, , $J$3, $K$3))),"",_xll.ciqfunctions.udf.CIQ($B7, "IQ_NI_MARGIN", CQ$3, $I$3, $N$3, , $J$3, $K$3)/100)),"")</f>
        <v/>
      </c>
      <c r="CR7" s="73" t="str">
        <f>IFERROR(IF(OR($B7="",CR$3=""),"",IF(NOT(ISNUMBER(_xll.ciqfunctions.udf.CIQ($B7, "IQ_NI_MARGIN", CR$3, $I$3, $N$3, , $J$3, $K$3))),"",_xll.ciqfunctions.udf.CIQ($B7, "IQ_NI_MARGIN", CR$3, $I$3, $N$3, , $J$3, $K$3)/100)),"")</f>
        <v/>
      </c>
      <c r="CS7" s="73" t="str">
        <f>IFERROR(IF(OR($B7="",CS$3=""),"",IF(NOT(ISNUMBER(_xll.ciqfunctions.udf.CIQ($B7, "IQ_NI_MARGIN", CS$3, $I$3, $N$3, , $J$3, $K$3))),"",_xll.ciqfunctions.udf.CIQ($B7, "IQ_NI_MARGIN", CS$3, $I$3, $N$3, , $J$3, $K$3)/100)),"")</f>
        <v/>
      </c>
      <c r="CT7" s="73" t="str">
        <f>IFERROR(IF(OR($B7="",CT$3=""),"",IF(NOT(ISNUMBER(_xll.ciqfunctions.udf.CIQ($B7, "IQ_NI_MARGIN", CT$3, $I$3, $N$3, , $J$3, $K$3))),"",_xll.ciqfunctions.udf.CIQ($B7, "IQ_NI_MARGIN", CT$3, $I$3, $N$3, , $J$3, $K$3)/100)),"")</f>
        <v/>
      </c>
      <c r="CU7" s="73" t="str">
        <f>IFERROR(IF(OR($B7="",CU$3=""),"",IF(NOT(ISNUMBER(_xll.ciqfunctions.udf.CIQ($B7, "IQ_NI_MARGIN", CU$3, $I$3, $N$3, , $J$3, $K$3))),"",_xll.ciqfunctions.udf.CIQ($B7, "IQ_NI_MARGIN", CU$3, $I$3, $N$3, , $J$3, $K$3)/100)),"")</f>
        <v/>
      </c>
      <c r="CV7" s="73" t="str">
        <f>IFERROR(IF(OR($B7="",CV$3=""),"",IF(NOT(ISNUMBER(_xll.ciqfunctions.udf.CIQ($B7, "IQ_NI_MARGIN", CV$3, $I$3, $N$3, , $J$3, $K$3))),"",_xll.ciqfunctions.udf.CIQ($B7, "IQ_NI_MARGIN", CV$3, $I$3, $N$3, , $J$3, $K$3)/100)),"")</f>
        <v/>
      </c>
      <c r="CW7" s="73" t="str">
        <f>IFERROR(IF(OR($B7="",CW$3=""),"",IF(NOT(ISNUMBER(_xll.ciqfunctions.udf.CIQ($B7, "IQ_NI_MARGIN", CW$3, $I$3, $N$3, , $J$3, $K$3))),"",_xll.ciqfunctions.udf.CIQ($B7, "IQ_NI_MARGIN", CW$3, $I$3, $N$3, , $J$3, $K$3)/100)),"")</f>
        <v/>
      </c>
      <c r="CX7" s="73" t="str">
        <f>IFERROR(IF(OR($B7="",CX$3=""),"",IF(NOT(ISNUMBER(_xll.ciqfunctions.udf.CIQ($B7, "IQ_NI_MARGIN", CX$3, $I$3, $N$3, , $J$3, $K$3))),"",_xll.ciqfunctions.udf.CIQ($B7, "IQ_NI_MARGIN", CX$3, $I$3, $N$3, , $J$3, $K$3)/100)),"")</f>
        <v/>
      </c>
      <c r="CY7" s="73" t="str">
        <f>IFERROR(IF(OR($B7="",CY$3=""),"",IF(NOT(ISNUMBER(_xll.ciqfunctions.udf.CIQ($B7, "IQ_NI_MARGIN", CY$3, $I$3, $N$3, , $J$3, $K$3))),"",_xll.ciqfunctions.udf.CIQ($B7, "IQ_NI_MARGIN", CY$3, $I$3, $N$3, , $J$3, $K$3)/100)),"")</f>
        <v/>
      </c>
      <c r="CZ7" s="73" t="str">
        <f>IFERROR(IF(OR($B7="",CZ$3=""),"",IF(NOT(ISNUMBER(_xll.ciqfunctions.udf.CIQ($B7, "IQ_NI_MARGIN", CZ$3, $I$3, $N$3, , $J$3, $K$3))),"",_xll.ciqfunctions.udf.CIQ($B7, "IQ_NI_MARGIN", CZ$3, $I$3, $N$3, , $J$3, $K$3)/100)),"")</f>
        <v/>
      </c>
      <c r="DA7" s="73" t="str">
        <f>IFERROR(IF(OR($B7="",DA$3=""),"",IF(NOT(ISNUMBER(_xll.ciqfunctions.udf.CIQ($B7, "IQ_NI_MARGIN", DA$3, $I$3, $N$3, , $J$3, $K$3))),"",_xll.ciqfunctions.udf.CIQ($B7, "IQ_NI_MARGIN", DA$3, $I$3, $N$3, , $J$3, $K$3)/100)),"")</f>
        <v/>
      </c>
      <c r="DB7" s="73" t="str">
        <f>IFERROR(IF(OR($B7="",DB$3=""),"",IF(NOT(ISNUMBER(_xll.ciqfunctions.udf.CIQ($B7, "IQ_NI_MARGIN", DB$3, $I$3, $N$3, , $J$3, $K$3))),"",_xll.ciqfunctions.udf.CIQ($B7, "IQ_NI_MARGIN", DB$3, $I$3, $N$3, , $J$3, $K$3)/100)),"")</f>
        <v/>
      </c>
      <c r="DC7" s="73" t="str">
        <f>IFERROR(IF(OR($B7="",DC$3=""),"",IF(NOT(ISNUMBER(_xll.ciqfunctions.udf.CIQ($B7, "IQ_NI_MARGIN", DC$3, $I$3, $N$3, , $J$3, $K$3))),"",_xll.ciqfunctions.udf.CIQ($B7, "IQ_NI_MARGIN", DC$3, $I$3, $N$3, , $J$3, $K$3)/100)),"")</f>
        <v/>
      </c>
      <c r="DD7" s="73" t="str">
        <f>IFERROR(IF(OR($B7="",DD$3=""),"",IF(NOT(ISNUMBER(_xll.ciqfunctions.udf.CIQ($B7, "IQ_NI_MARGIN", DD$3, $I$3, $N$3, , $J$3, $K$3))),"",_xll.ciqfunctions.udf.CIQ($B7, "IQ_NI_MARGIN", DD$3, $I$3, $N$3, , $J$3, $K$3)/100)),"")</f>
        <v/>
      </c>
      <c r="DE7" s="73" t="str">
        <f>IFERROR(IF(OR($B7="",DE$3=""),"",IF(NOT(ISNUMBER(_xll.ciqfunctions.udf.CIQ($B7, "IQ_NI_MARGIN", DE$3, $I$3, $N$3, , $J$3, $K$3))),"",_xll.ciqfunctions.udf.CIQ($B7, "IQ_NI_MARGIN", DE$3, $I$3, $N$3, , $J$3, $K$3)/100)),"")</f>
        <v/>
      </c>
      <c r="DF7" s="73" t="str">
        <f>IFERROR(IF(OR($B7="",DF$3=""),"",IF(NOT(ISNUMBER(_xll.ciqfunctions.udf.CIQ($B7, "IQ_NI_MARGIN", DF$3, $I$3, $N$3, , $J$3, $K$3))),"",_xll.ciqfunctions.udf.CIQ($B7, "IQ_NI_MARGIN", DF$3, $I$3, $N$3, , $J$3, $K$3)/100)),"")</f>
        <v/>
      </c>
      <c r="DG7" s="73" t="str">
        <f>IFERROR(IF(OR($B7="",DG$3=""),"",IF(NOT(ISNUMBER(_xll.ciqfunctions.udf.CIQ($B7, "IQ_NI_MARGIN", DG$3, $I$3, $N$3, , $J$3, $K$3))),"",_xll.ciqfunctions.udf.CIQ($B7, "IQ_NI_MARGIN", DG$3, $I$3, $N$3, , $J$3, $K$3)/100)),"")</f>
        <v/>
      </c>
      <c r="DH7" s="74" t="str">
        <f>IFERROR(IF(OR($B7="",DH$3=""),"",IF(NOT(ISNUMBER(_xll.ciqfunctions.udf.CIQ($B7, "IQ_NI_MARGIN", DH$3, $I$3, $N$3, , $J$3, $K$3))),"",_xll.ciqfunctions.udf.CIQ($B7, "IQ_NI_MARGIN", DH$3, $I$3, $N$3, , $J$3, $K$3)/100)),"")</f>
        <v/>
      </c>
      <c r="DI7" s="72">
        <f>IFERROR(IF(OR($B7="",DI$3=""),"",IF(OR(NOT(ISNUMBER(_xll.ciqfunctions.udf.CIQ($B7, "IQ_COGS", DI$3, $I$3, $N$3, , $J$3, $K$3))),NOT(ISNUMBER(_xll.ciqfunctions.udf.CIQ($B7, "IQ_TOTAL_REVENUE", DI$3, $I$3, $N$3, , $J$3, $K$3)))),"",_xll.ciqfunctions.udf.CIQ($B7, "IQ_COGS", DI$3, $I$3, $N$3, , $J$3, $K$3)/_xll.ciqfunctions.udf.CIQ($B7, "IQ_TOTAL_REVENUE", DI$3, $I$3, $N$3, , $J$3, $K$3))),"")</f>
        <v>0.7490126651232466</v>
      </c>
      <c r="DJ7" s="73" t="str">
        <f>IFERROR(IF(OR($B7="",DJ$3=""),"",IF(OR(NOT(ISNUMBER(_xll.ciqfunctions.udf.CIQ($B7, "IQ_COGS", DJ$3, $I$3, $N$3, , $J$3, $K$3))),NOT(ISNUMBER(_xll.ciqfunctions.udf.CIQ($B7, "IQ_TOTAL_REVENUE", DJ$3, $I$3, $N$3, , $J$3, $K$3)))),"",_xll.ciqfunctions.udf.CIQ($B7, "IQ_COGS", DJ$3, $I$3, $N$3, , $J$3, $K$3)/_xll.ciqfunctions.udf.CIQ($B7, "IQ_TOTAL_REVENUE", DJ$3, $I$3, $N$3, , $J$3, $K$3))),"")</f>
        <v/>
      </c>
      <c r="DK7" s="73" t="str">
        <f>IFERROR(IF(OR($B7="",DK$3=""),"",IF(OR(NOT(ISNUMBER(_xll.ciqfunctions.udf.CIQ($B7, "IQ_COGS", DK$3, $I$3, $N$3, , $J$3, $K$3))),NOT(ISNUMBER(_xll.ciqfunctions.udf.CIQ($B7, "IQ_TOTAL_REVENUE", DK$3, $I$3, $N$3, , $J$3, $K$3)))),"",_xll.ciqfunctions.udf.CIQ($B7, "IQ_COGS", DK$3, $I$3, $N$3, , $J$3, $K$3)/_xll.ciqfunctions.udf.CIQ($B7, "IQ_TOTAL_REVENUE", DK$3, $I$3, $N$3, , $J$3, $K$3))),"")</f>
        <v/>
      </c>
      <c r="DL7" s="73" t="str">
        <f>IFERROR(IF(OR($B7="",DL$3=""),"",IF(OR(NOT(ISNUMBER(_xll.ciqfunctions.udf.CIQ($B7, "IQ_COGS", DL$3, $I$3, $N$3, , $J$3, $K$3))),NOT(ISNUMBER(_xll.ciqfunctions.udf.CIQ($B7, "IQ_TOTAL_REVENUE", DL$3, $I$3, $N$3, , $J$3, $K$3)))),"",_xll.ciqfunctions.udf.CIQ($B7, "IQ_COGS", DL$3, $I$3, $N$3, , $J$3, $K$3)/_xll.ciqfunctions.udf.CIQ($B7, "IQ_TOTAL_REVENUE", DL$3, $I$3, $N$3, , $J$3, $K$3))),"")</f>
        <v/>
      </c>
      <c r="DM7" s="73" t="str">
        <f>IFERROR(IF(OR($B7="",DM$3=""),"",IF(OR(NOT(ISNUMBER(_xll.ciqfunctions.udf.CIQ($B7, "IQ_COGS", DM$3, $I$3, $N$3, , $J$3, $K$3))),NOT(ISNUMBER(_xll.ciqfunctions.udf.CIQ($B7, "IQ_TOTAL_REVENUE", DM$3, $I$3, $N$3, , $J$3, $K$3)))),"",_xll.ciqfunctions.udf.CIQ($B7, "IQ_COGS", DM$3, $I$3, $N$3, , $J$3, $K$3)/_xll.ciqfunctions.udf.CIQ($B7, "IQ_TOTAL_REVENUE", DM$3, $I$3, $N$3, , $J$3, $K$3))),"")</f>
        <v/>
      </c>
      <c r="DN7" s="73" t="str">
        <f>IFERROR(IF(OR($B7="",DN$3=""),"",IF(OR(NOT(ISNUMBER(_xll.ciqfunctions.udf.CIQ($B7, "IQ_COGS", DN$3, $I$3, $N$3, , $J$3, $K$3))),NOT(ISNUMBER(_xll.ciqfunctions.udf.CIQ($B7, "IQ_TOTAL_REVENUE", DN$3, $I$3, $N$3, , $J$3, $K$3)))),"",_xll.ciqfunctions.udf.CIQ($B7, "IQ_COGS", DN$3, $I$3, $N$3, , $J$3, $K$3)/_xll.ciqfunctions.udf.CIQ($B7, "IQ_TOTAL_REVENUE", DN$3, $I$3, $N$3, , $J$3, $K$3))),"")</f>
        <v/>
      </c>
      <c r="DO7" s="73" t="str">
        <f>IFERROR(IF(OR($B7="",DO$3=""),"",IF(OR(NOT(ISNUMBER(_xll.ciqfunctions.udf.CIQ($B7, "IQ_COGS", DO$3, $I$3, $N$3, , $J$3, $K$3))),NOT(ISNUMBER(_xll.ciqfunctions.udf.CIQ($B7, "IQ_TOTAL_REVENUE", DO$3, $I$3, $N$3, , $J$3, $K$3)))),"",_xll.ciqfunctions.udf.CIQ($B7, "IQ_COGS", DO$3, $I$3, $N$3, , $J$3, $K$3)/_xll.ciqfunctions.udf.CIQ($B7, "IQ_TOTAL_REVENUE", DO$3, $I$3, $N$3, , $J$3, $K$3))),"")</f>
        <v/>
      </c>
      <c r="DP7" s="73" t="str">
        <f>IFERROR(IF(OR($B7="",DP$3=""),"",IF(OR(NOT(ISNUMBER(_xll.ciqfunctions.udf.CIQ($B7, "IQ_COGS", DP$3, $I$3, $N$3, , $J$3, $K$3))),NOT(ISNUMBER(_xll.ciqfunctions.udf.CIQ($B7, "IQ_TOTAL_REVENUE", DP$3, $I$3, $N$3, , $J$3, $K$3)))),"",_xll.ciqfunctions.udf.CIQ($B7, "IQ_COGS", DP$3, $I$3, $N$3, , $J$3, $K$3)/_xll.ciqfunctions.udf.CIQ($B7, "IQ_TOTAL_REVENUE", DP$3, $I$3, $N$3, , $J$3, $K$3))),"")</f>
        <v/>
      </c>
      <c r="DQ7" s="73" t="str">
        <f>IFERROR(IF(OR($B7="",DQ$3=""),"",IF(OR(NOT(ISNUMBER(_xll.ciqfunctions.udf.CIQ($B7, "IQ_COGS", DQ$3, $I$3, $N$3, , $J$3, $K$3))),NOT(ISNUMBER(_xll.ciqfunctions.udf.CIQ($B7, "IQ_TOTAL_REVENUE", DQ$3, $I$3, $N$3, , $J$3, $K$3)))),"",_xll.ciqfunctions.udf.CIQ($B7, "IQ_COGS", DQ$3, $I$3, $N$3, , $J$3, $K$3)/_xll.ciqfunctions.udf.CIQ($B7, "IQ_TOTAL_REVENUE", DQ$3, $I$3, $N$3, , $J$3, $K$3))),"")</f>
        <v/>
      </c>
      <c r="DR7" s="73" t="str">
        <f>IFERROR(IF(OR($B7="",DR$3=""),"",IF(OR(NOT(ISNUMBER(_xll.ciqfunctions.udf.CIQ($B7, "IQ_COGS", DR$3, $I$3, $N$3, , $J$3, $K$3))),NOT(ISNUMBER(_xll.ciqfunctions.udf.CIQ($B7, "IQ_TOTAL_REVENUE", DR$3, $I$3, $N$3, , $J$3, $K$3)))),"",_xll.ciqfunctions.udf.CIQ($B7, "IQ_COGS", DR$3, $I$3, $N$3, , $J$3, $K$3)/_xll.ciqfunctions.udf.CIQ($B7, "IQ_TOTAL_REVENUE", DR$3, $I$3, $N$3, , $J$3, $K$3))),"")</f>
        <v/>
      </c>
      <c r="DS7" s="73" t="str">
        <f>IFERROR(IF(OR($B7="",DS$3=""),"",IF(OR(NOT(ISNUMBER(_xll.ciqfunctions.udf.CIQ($B7, "IQ_COGS", DS$3, $I$3, $N$3, , $J$3, $K$3))),NOT(ISNUMBER(_xll.ciqfunctions.udf.CIQ($B7, "IQ_TOTAL_REVENUE", DS$3, $I$3, $N$3, , $J$3, $K$3)))),"",_xll.ciqfunctions.udf.CIQ($B7, "IQ_COGS", DS$3, $I$3, $N$3, , $J$3, $K$3)/_xll.ciqfunctions.udf.CIQ($B7, "IQ_TOTAL_REVENUE", DS$3, $I$3, $N$3, , $J$3, $K$3))),"")</f>
        <v/>
      </c>
      <c r="DT7" s="73" t="str">
        <f>IFERROR(IF(OR($B7="",DT$3=""),"",IF(OR(NOT(ISNUMBER(_xll.ciqfunctions.udf.CIQ($B7, "IQ_COGS", DT$3, $I$3, $N$3, , $J$3, $K$3))),NOT(ISNUMBER(_xll.ciqfunctions.udf.CIQ($B7, "IQ_TOTAL_REVENUE", DT$3, $I$3, $N$3, , $J$3, $K$3)))),"",_xll.ciqfunctions.udf.CIQ($B7, "IQ_COGS", DT$3, $I$3, $N$3, , $J$3, $K$3)/_xll.ciqfunctions.udf.CIQ($B7, "IQ_TOTAL_REVENUE", DT$3, $I$3, $N$3, , $J$3, $K$3))),"")</f>
        <v/>
      </c>
      <c r="DU7" s="73" t="str">
        <f>IFERROR(IF(OR($B7="",DU$3=""),"",IF(OR(NOT(ISNUMBER(_xll.ciqfunctions.udf.CIQ($B7, "IQ_COGS", DU$3, $I$3, $N$3, , $J$3, $K$3))),NOT(ISNUMBER(_xll.ciqfunctions.udf.CIQ($B7, "IQ_TOTAL_REVENUE", DU$3, $I$3, $N$3, , $J$3, $K$3)))),"",_xll.ciqfunctions.udf.CIQ($B7, "IQ_COGS", DU$3, $I$3, $N$3, , $J$3, $K$3)/_xll.ciqfunctions.udf.CIQ($B7, "IQ_TOTAL_REVENUE", DU$3, $I$3, $N$3, , $J$3, $K$3))),"")</f>
        <v/>
      </c>
      <c r="DV7" s="73" t="str">
        <f>IFERROR(IF(OR($B7="",DV$3=""),"",IF(OR(NOT(ISNUMBER(_xll.ciqfunctions.udf.CIQ($B7, "IQ_COGS", DV$3, $I$3, $N$3, , $J$3, $K$3))),NOT(ISNUMBER(_xll.ciqfunctions.udf.CIQ($B7, "IQ_TOTAL_REVENUE", DV$3, $I$3, $N$3, , $J$3, $K$3)))),"",_xll.ciqfunctions.udf.CIQ($B7, "IQ_COGS", DV$3, $I$3, $N$3, , $J$3, $K$3)/_xll.ciqfunctions.udf.CIQ($B7, "IQ_TOTAL_REVENUE", DV$3, $I$3, $N$3, , $J$3, $K$3))),"")</f>
        <v/>
      </c>
      <c r="DW7" s="73" t="str">
        <f>IFERROR(IF(OR($B7="",DW$3=""),"",IF(OR(NOT(ISNUMBER(_xll.ciqfunctions.udf.CIQ($B7, "IQ_COGS", DW$3, $I$3, $N$3, , $J$3, $K$3))),NOT(ISNUMBER(_xll.ciqfunctions.udf.CIQ($B7, "IQ_TOTAL_REVENUE", DW$3, $I$3, $N$3, , $J$3, $K$3)))),"",_xll.ciqfunctions.udf.CIQ($B7, "IQ_COGS", DW$3, $I$3, $N$3, , $J$3, $K$3)/_xll.ciqfunctions.udf.CIQ($B7, "IQ_TOTAL_REVENUE", DW$3, $I$3, $N$3, , $J$3, $K$3))),"")</f>
        <v/>
      </c>
      <c r="DX7" s="73" t="str">
        <f>IFERROR(IF(OR($B7="",DX$3=""),"",IF(OR(NOT(ISNUMBER(_xll.ciqfunctions.udf.CIQ($B7, "IQ_COGS", DX$3, $I$3, $N$3, , $J$3, $K$3))),NOT(ISNUMBER(_xll.ciqfunctions.udf.CIQ($B7, "IQ_TOTAL_REVENUE", DX$3, $I$3, $N$3, , $J$3, $K$3)))),"",_xll.ciqfunctions.udf.CIQ($B7, "IQ_COGS", DX$3, $I$3, $N$3, , $J$3, $K$3)/_xll.ciqfunctions.udf.CIQ($B7, "IQ_TOTAL_REVENUE", DX$3, $I$3, $N$3, , $J$3, $K$3))),"")</f>
        <v/>
      </c>
      <c r="DY7" s="73" t="str">
        <f>IFERROR(IF(OR($B7="",DY$3=""),"",IF(OR(NOT(ISNUMBER(_xll.ciqfunctions.udf.CIQ($B7, "IQ_COGS", DY$3, $I$3, $N$3, , $J$3, $K$3))),NOT(ISNUMBER(_xll.ciqfunctions.udf.CIQ($B7, "IQ_TOTAL_REVENUE", DY$3, $I$3, $N$3, , $J$3, $K$3)))),"",_xll.ciqfunctions.udf.CIQ($B7, "IQ_COGS", DY$3, $I$3, $N$3, , $J$3, $K$3)/_xll.ciqfunctions.udf.CIQ($B7, "IQ_TOTAL_REVENUE", DY$3, $I$3, $N$3, , $J$3, $K$3))),"")</f>
        <v/>
      </c>
      <c r="DZ7" s="73" t="str">
        <f>IFERROR(IF(OR($B7="",DZ$3=""),"",IF(OR(NOT(ISNUMBER(_xll.ciqfunctions.udf.CIQ($B7, "IQ_COGS", DZ$3, $I$3, $N$3, , $J$3, $K$3))),NOT(ISNUMBER(_xll.ciqfunctions.udf.CIQ($B7, "IQ_TOTAL_REVENUE", DZ$3, $I$3, $N$3, , $J$3, $K$3)))),"",_xll.ciqfunctions.udf.CIQ($B7, "IQ_COGS", DZ$3, $I$3, $N$3, , $J$3, $K$3)/_xll.ciqfunctions.udf.CIQ($B7, "IQ_TOTAL_REVENUE", DZ$3, $I$3, $N$3, , $J$3, $K$3))),"")</f>
        <v/>
      </c>
      <c r="EA7" s="73" t="str">
        <f>IFERROR(IF(OR($B7="",EA$3=""),"",IF(OR(NOT(ISNUMBER(_xll.ciqfunctions.udf.CIQ($B7, "IQ_COGS", EA$3, $I$3, $N$3, , $J$3, $K$3))),NOT(ISNUMBER(_xll.ciqfunctions.udf.CIQ($B7, "IQ_TOTAL_REVENUE", EA$3, $I$3, $N$3, , $J$3, $K$3)))),"",_xll.ciqfunctions.udf.CIQ($B7, "IQ_COGS", EA$3, $I$3, $N$3, , $J$3, $K$3)/_xll.ciqfunctions.udf.CIQ($B7, "IQ_TOTAL_REVENUE", EA$3, $I$3, $N$3, , $J$3, $K$3))),"")</f>
        <v/>
      </c>
      <c r="EB7" s="74" t="str">
        <f>IFERROR(IF(OR($B7="",EB$3=""),"",IF(OR(NOT(ISNUMBER(_xll.ciqfunctions.udf.CIQ($B7, "IQ_COGS", EB$3, $I$3, $N$3, , $J$3, $K$3))),NOT(ISNUMBER(_xll.ciqfunctions.udf.CIQ($B7, "IQ_TOTAL_REVENUE", EB$3, $I$3, $N$3, , $J$3, $K$3)))),"",_xll.ciqfunctions.udf.CIQ($B7, "IQ_COGS", EB$3, $I$3, $N$3, , $J$3, $K$3)/_xll.ciqfunctions.udf.CIQ($B7, "IQ_TOTAL_REVENUE", EB$3, $I$3, $N$3, , $J$3, $K$3))),"")</f>
        <v/>
      </c>
      <c r="EC7" s="72">
        <f>IFERROR(IF(OR($B7="",EC$3=""),"",(_xll.ciqfunctions.udf.CIQ($B7,"IQ_TOTAL_REVENUE",EC$3, $I$3, $N$3, , $J$3, $K$3)-_xll.ciqfunctions.udf.CIQ($B7,"IQ_COGS",EC$3, $I$3, $N$3, , $J$3, $K$3)-_xll.ciqfunctions.udf.CIQ($B7,"IQ_EBITDA",EC$3, $I$3, $N$3, , $J$3, $K$3))/_xll.ciqfunctions.udf.CIQ($B7,"IQ_TOTAL_REVENUE",EC$3, $I$3, $N$3, , $J$3, $K$3)),"")</f>
        <v>0.18708555505504981</v>
      </c>
      <c r="ED7" s="73" t="str">
        <f>IFERROR(IF(OR($B7="",ED$3=""),"",(_xll.ciqfunctions.udf.CIQ($B7,"IQ_TOTAL_REVENUE",ED$3, $I$3, $N$3, , $J$3, $K$3)-_xll.ciqfunctions.udf.CIQ($B7,"IQ_COGS",ED$3, $I$3, $N$3, , $J$3, $K$3)-_xll.ciqfunctions.udf.CIQ($B7,"IQ_EBITDA",ED$3, $I$3, $N$3, , $J$3, $K$3))/_xll.ciqfunctions.udf.CIQ($B7,"IQ_TOTAL_REVENUE",ED$3, $I$3, $N$3, , $J$3, $K$3)),"")</f>
        <v/>
      </c>
      <c r="EE7" s="73" t="str">
        <f>IFERROR(IF(OR($B7="",EE$3=""),"",(_xll.ciqfunctions.udf.CIQ($B7,"IQ_TOTAL_REVENUE",EE$3, $I$3, $N$3, , $J$3, $K$3)-_xll.ciqfunctions.udf.CIQ($B7,"IQ_COGS",EE$3, $I$3, $N$3, , $J$3, $K$3)-_xll.ciqfunctions.udf.CIQ($B7,"IQ_EBITDA",EE$3, $I$3, $N$3, , $J$3, $K$3))/_xll.ciqfunctions.udf.CIQ($B7,"IQ_TOTAL_REVENUE",EE$3, $I$3, $N$3, , $J$3, $K$3)),"")</f>
        <v/>
      </c>
      <c r="EF7" s="73" t="str">
        <f>IFERROR(IF(OR($B7="",EF$3=""),"",(_xll.ciqfunctions.udf.CIQ($B7,"IQ_TOTAL_REVENUE",EF$3, $I$3, $N$3, , $J$3, $K$3)-_xll.ciqfunctions.udf.CIQ($B7,"IQ_COGS",EF$3, $I$3, $N$3, , $J$3, $K$3)-_xll.ciqfunctions.udf.CIQ($B7,"IQ_EBITDA",EF$3, $I$3, $N$3, , $J$3, $K$3))/_xll.ciqfunctions.udf.CIQ($B7,"IQ_TOTAL_REVENUE",EF$3, $I$3, $N$3, , $J$3, $K$3)),"")</f>
        <v/>
      </c>
      <c r="EG7" s="73" t="str">
        <f>IFERROR(IF(OR($B7="",EG$3=""),"",(_xll.ciqfunctions.udf.CIQ($B7,"IQ_TOTAL_REVENUE",EG$3, $I$3, $N$3, , $J$3, $K$3)-_xll.ciqfunctions.udf.CIQ($B7,"IQ_COGS",EG$3, $I$3, $N$3, , $J$3, $K$3)-_xll.ciqfunctions.udf.CIQ($B7,"IQ_EBITDA",EG$3, $I$3, $N$3, , $J$3, $K$3))/_xll.ciqfunctions.udf.CIQ($B7,"IQ_TOTAL_REVENUE",EG$3, $I$3, $N$3, , $J$3, $K$3)),"")</f>
        <v/>
      </c>
      <c r="EH7" s="73" t="str">
        <f>IFERROR(IF(OR($B7="",EH$3=""),"",(_xll.ciqfunctions.udf.CIQ($B7,"IQ_TOTAL_REVENUE",EH$3, $I$3, $N$3, , $J$3, $K$3)-_xll.ciqfunctions.udf.CIQ($B7,"IQ_COGS",EH$3, $I$3, $N$3, , $J$3, $K$3)-_xll.ciqfunctions.udf.CIQ($B7,"IQ_EBITDA",EH$3, $I$3, $N$3, , $J$3, $K$3))/_xll.ciqfunctions.udf.CIQ($B7,"IQ_TOTAL_REVENUE",EH$3, $I$3, $N$3, , $J$3, $K$3)),"")</f>
        <v/>
      </c>
      <c r="EI7" s="73" t="str">
        <f>IFERROR(IF(OR($B7="",EI$3=""),"",(_xll.ciqfunctions.udf.CIQ($B7,"IQ_TOTAL_REVENUE",EI$3, $I$3, $N$3, , $J$3, $K$3)-_xll.ciqfunctions.udf.CIQ($B7,"IQ_COGS",EI$3, $I$3, $N$3, , $J$3, $K$3)-_xll.ciqfunctions.udf.CIQ($B7,"IQ_EBITDA",EI$3, $I$3, $N$3, , $J$3, $K$3))/_xll.ciqfunctions.udf.CIQ($B7,"IQ_TOTAL_REVENUE",EI$3, $I$3, $N$3, , $J$3, $K$3)),"")</f>
        <v/>
      </c>
      <c r="EJ7" s="73" t="str">
        <f>IFERROR(IF(OR($B7="",EJ$3=""),"",(_xll.ciqfunctions.udf.CIQ($B7,"IQ_TOTAL_REVENUE",EJ$3, $I$3, $N$3, , $J$3, $K$3)-_xll.ciqfunctions.udf.CIQ($B7,"IQ_COGS",EJ$3, $I$3, $N$3, , $J$3, $K$3)-_xll.ciqfunctions.udf.CIQ($B7,"IQ_EBITDA",EJ$3, $I$3, $N$3, , $J$3, $K$3))/_xll.ciqfunctions.udf.CIQ($B7,"IQ_TOTAL_REVENUE",EJ$3, $I$3, $N$3, , $J$3, $K$3)),"")</f>
        <v/>
      </c>
      <c r="EK7" s="73" t="str">
        <f>IFERROR(IF(OR($B7="",EK$3=""),"",(_xll.ciqfunctions.udf.CIQ($B7,"IQ_TOTAL_REVENUE",EK$3, $I$3, $N$3, , $J$3, $K$3)-_xll.ciqfunctions.udf.CIQ($B7,"IQ_COGS",EK$3, $I$3, $N$3, , $J$3, $K$3)-_xll.ciqfunctions.udf.CIQ($B7,"IQ_EBITDA",EK$3, $I$3, $N$3, , $J$3, $K$3))/_xll.ciqfunctions.udf.CIQ($B7,"IQ_TOTAL_REVENUE",EK$3, $I$3, $N$3, , $J$3, $K$3)),"")</f>
        <v/>
      </c>
      <c r="EL7" s="73" t="str">
        <f>IFERROR(IF(OR($B7="",EL$3=""),"",(_xll.ciqfunctions.udf.CIQ($B7,"IQ_TOTAL_REVENUE",EL$3, $I$3, $N$3, , $J$3, $K$3)-_xll.ciqfunctions.udf.CIQ($B7,"IQ_COGS",EL$3, $I$3, $N$3, , $J$3, $K$3)-_xll.ciqfunctions.udf.CIQ($B7,"IQ_EBITDA",EL$3, $I$3, $N$3, , $J$3, $K$3))/_xll.ciqfunctions.udf.CIQ($B7,"IQ_TOTAL_REVENUE",EL$3, $I$3, $N$3, , $J$3, $K$3)),"")</f>
        <v/>
      </c>
      <c r="EM7" s="73" t="str">
        <f>IFERROR(IF(OR($B7="",EM$3=""),"",(_xll.ciqfunctions.udf.CIQ($B7,"IQ_TOTAL_REVENUE",EM$3, $I$3, $N$3, , $J$3, $K$3)-_xll.ciqfunctions.udf.CIQ($B7,"IQ_COGS",EM$3, $I$3, $N$3, , $J$3, $K$3)-_xll.ciqfunctions.udf.CIQ($B7,"IQ_EBITDA",EM$3, $I$3, $N$3, , $J$3, $K$3))/_xll.ciqfunctions.udf.CIQ($B7,"IQ_TOTAL_REVENUE",EM$3, $I$3, $N$3, , $J$3, $K$3)),"")</f>
        <v/>
      </c>
      <c r="EN7" s="73" t="str">
        <f>IFERROR(IF(OR($B7="",EN$3=""),"",(_xll.ciqfunctions.udf.CIQ($B7,"IQ_TOTAL_REVENUE",EN$3, $I$3, $N$3, , $J$3, $K$3)-_xll.ciqfunctions.udf.CIQ($B7,"IQ_COGS",EN$3, $I$3, $N$3, , $J$3, $K$3)-_xll.ciqfunctions.udf.CIQ($B7,"IQ_EBITDA",EN$3, $I$3, $N$3, , $J$3, $K$3))/_xll.ciqfunctions.udf.CIQ($B7,"IQ_TOTAL_REVENUE",EN$3, $I$3, $N$3, , $J$3, $K$3)),"")</f>
        <v/>
      </c>
      <c r="EO7" s="73" t="str">
        <f>IFERROR(IF(OR($B7="",EO$3=""),"",(_xll.ciqfunctions.udf.CIQ($B7,"IQ_TOTAL_REVENUE",EO$3, $I$3, $N$3, , $J$3, $K$3)-_xll.ciqfunctions.udf.CIQ($B7,"IQ_COGS",EO$3, $I$3, $N$3, , $J$3, $K$3)-_xll.ciqfunctions.udf.CIQ($B7,"IQ_EBITDA",EO$3, $I$3, $N$3, , $J$3, $K$3))/_xll.ciqfunctions.udf.CIQ($B7,"IQ_TOTAL_REVENUE",EO$3, $I$3, $N$3, , $J$3, $K$3)),"")</f>
        <v/>
      </c>
      <c r="EP7" s="73" t="str">
        <f>IFERROR(IF(OR($B7="",EP$3=""),"",(_xll.ciqfunctions.udf.CIQ($B7,"IQ_TOTAL_REVENUE",EP$3, $I$3, $N$3, , $J$3, $K$3)-_xll.ciqfunctions.udf.CIQ($B7,"IQ_COGS",EP$3, $I$3, $N$3, , $J$3, $K$3)-_xll.ciqfunctions.udf.CIQ($B7,"IQ_EBITDA",EP$3, $I$3, $N$3, , $J$3, $K$3))/_xll.ciqfunctions.udf.CIQ($B7,"IQ_TOTAL_REVENUE",EP$3, $I$3, $N$3, , $J$3, $K$3)),"")</f>
        <v/>
      </c>
      <c r="EQ7" s="73" t="str">
        <f>IFERROR(IF(OR($B7="",EQ$3=""),"",(_xll.ciqfunctions.udf.CIQ($B7,"IQ_TOTAL_REVENUE",EQ$3, $I$3, $N$3, , $J$3, $K$3)-_xll.ciqfunctions.udf.CIQ($B7,"IQ_COGS",EQ$3, $I$3, $N$3, , $J$3, $K$3)-_xll.ciqfunctions.udf.CIQ($B7,"IQ_EBITDA",EQ$3, $I$3, $N$3, , $J$3, $K$3))/_xll.ciqfunctions.udf.CIQ($B7,"IQ_TOTAL_REVENUE",EQ$3, $I$3, $N$3, , $J$3, $K$3)),"")</f>
        <v/>
      </c>
      <c r="ER7" s="73" t="str">
        <f>IFERROR(IF(OR($B7="",ER$3=""),"",(_xll.ciqfunctions.udf.CIQ($B7,"IQ_TOTAL_REVENUE",ER$3, $I$3, $N$3, , $J$3, $K$3)-_xll.ciqfunctions.udf.CIQ($B7,"IQ_COGS",ER$3, $I$3, $N$3, , $J$3, $K$3)-_xll.ciqfunctions.udf.CIQ($B7,"IQ_EBITDA",ER$3, $I$3, $N$3, , $J$3, $K$3))/_xll.ciqfunctions.udf.CIQ($B7,"IQ_TOTAL_REVENUE",ER$3, $I$3, $N$3, , $J$3, $K$3)),"")</f>
        <v/>
      </c>
      <c r="ES7" s="73" t="str">
        <f>IFERROR(IF(OR($B7="",ES$3=""),"",(_xll.ciqfunctions.udf.CIQ($B7,"IQ_TOTAL_REVENUE",ES$3, $I$3, $N$3, , $J$3, $K$3)-_xll.ciqfunctions.udf.CIQ($B7,"IQ_COGS",ES$3, $I$3, $N$3, , $J$3, $K$3)-_xll.ciqfunctions.udf.CIQ($B7,"IQ_EBITDA",ES$3, $I$3, $N$3, , $J$3, $K$3))/_xll.ciqfunctions.udf.CIQ($B7,"IQ_TOTAL_REVENUE",ES$3, $I$3, $N$3, , $J$3, $K$3)),"")</f>
        <v/>
      </c>
      <c r="ET7" s="73" t="str">
        <f>IFERROR(IF(OR($B7="",ET$3=""),"",(_xll.ciqfunctions.udf.CIQ($B7,"IQ_TOTAL_REVENUE",ET$3, $I$3, $N$3, , $J$3, $K$3)-_xll.ciqfunctions.udf.CIQ($B7,"IQ_COGS",ET$3, $I$3, $N$3, , $J$3, $K$3)-_xll.ciqfunctions.udf.CIQ($B7,"IQ_EBITDA",ET$3, $I$3, $N$3, , $J$3, $K$3))/_xll.ciqfunctions.udf.CIQ($B7,"IQ_TOTAL_REVENUE",ET$3, $I$3, $N$3, , $J$3, $K$3)),"")</f>
        <v/>
      </c>
      <c r="EU7" s="73" t="str">
        <f>IFERROR(IF(OR($B7="",EU$3=""),"",(_xll.ciqfunctions.udf.CIQ($B7,"IQ_TOTAL_REVENUE",EU$3, $I$3, $N$3, , $J$3, $K$3)-_xll.ciqfunctions.udf.CIQ($B7,"IQ_COGS",EU$3, $I$3, $N$3, , $J$3, $K$3)-_xll.ciqfunctions.udf.CIQ($B7,"IQ_EBITDA",EU$3, $I$3, $N$3, , $J$3, $K$3))/_xll.ciqfunctions.udf.CIQ($B7,"IQ_TOTAL_REVENUE",EU$3, $I$3, $N$3, , $J$3, $K$3)),"")</f>
        <v/>
      </c>
      <c r="EV7" s="74" t="str">
        <f>IFERROR(IF(OR($B7="",EV$3=""),"",(_xll.ciqfunctions.udf.CIQ($B7,"IQ_TOTAL_REVENUE",EV$3, $I$3, $N$3, , $J$3, $K$3)-_xll.ciqfunctions.udf.CIQ($B7,"IQ_COGS",EV$3, $I$3, $N$3, , $J$3, $K$3)-_xll.ciqfunctions.udf.CIQ($B7,"IQ_EBITDA",EV$3, $I$3, $N$3, , $J$3, $K$3))/_xll.ciqfunctions.udf.CIQ($B7,"IQ_TOTAL_REVENUE",EV$3, $I$3, $N$3, , $J$3, $K$3)),"")</f>
        <v/>
      </c>
      <c r="EW7" s="72">
        <f>IFERROR(IF(OR($B7="",EW$3=""),"",IF(AND($EW$4="No",_xll.ciqfunctions.udf.CIQ($B7, "IQ_SGA_MARGIN", EW$3, $I$3, $N$3, , $J$3, $K$3)&lt;=0),"",_xll.ciqfunctions.udf.CIQ($B7, "IQ_SGA_MARGIN", EW$3, $I$3, $N$3, , $J$3, $K$3)/100)),"")</f>
        <v>0.20569299999999999</v>
      </c>
      <c r="EX7" s="72" t="str">
        <f>IFERROR(IF(OR($B7="",EX$3=""),"",IF(AND($EW$4="No",_xll.ciqfunctions.udf.CIQ($B7, "IQ_SGA_MARGIN", EX$3, $I$3, $N$3, , $J$3, $K$3)&lt;=0),"",_xll.ciqfunctions.udf.CIQ($B7, "IQ_SGA_MARGIN", EX$3, $I$3, $N$3, , $J$3, $K$3)/100)),"")</f>
        <v/>
      </c>
      <c r="EY7" s="72" t="str">
        <f>IFERROR(IF(OR($B7="",EY$3=""),"",IF(AND($EW$4="No",_xll.ciqfunctions.udf.CIQ($B7, "IQ_SGA_MARGIN", EY$3, $I$3, $N$3, , $J$3, $K$3)&lt;=0),"",_xll.ciqfunctions.udf.CIQ($B7, "IQ_SGA_MARGIN", EY$3, $I$3, $N$3, , $J$3, $K$3)/100)),"")</f>
        <v/>
      </c>
      <c r="EZ7" s="72" t="str">
        <f>IFERROR(IF(OR($B7="",EZ$3=""),"",IF(AND($EW$4="No",_xll.ciqfunctions.udf.CIQ($B7, "IQ_SGA_MARGIN", EZ$3, $I$3, $N$3, , $J$3, $K$3)&lt;=0),"",_xll.ciqfunctions.udf.CIQ($B7, "IQ_SGA_MARGIN", EZ$3, $I$3, $N$3, , $J$3, $K$3)/100)),"")</f>
        <v/>
      </c>
      <c r="FA7" s="72" t="str">
        <f>IFERROR(IF(OR($B7="",FA$3=""),"",IF(AND($EW$4="No",_xll.ciqfunctions.udf.CIQ($B7, "IQ_SGA_MARGIN", FA$3, $I$3, $N$3, , $J$3, $K$3)&lt;=0),"",_xll.ciqfunctions.udf.CIQ($B7, "IQ_SGA_MARGIN", FA$3, $I$3, $N$3, , $J$3, $K$3)/100)),"")</f>
        <v/>
      </c>
      <c r="FB7" s="72" t="str">
        <f>IFERROR(IF(OR($B7="",FB$3=""),"",IF(AND($EW$4="No",_xll.ciqfunctions.udf.CIQ($B7, "IQ_SGA_MARGIN", FB$3, $I$3, $N$3, , $J$3, $K$3)&lt;=0),"",_xll.ciqfunctions.udf.CIQ($B7, "IQ_SGA_MARGIN", FB$3, $I$3, $N$3, , $J$3, $K$3)/100)),"")</f>
        <v/>
      </c>
      <c r="FC7" s="72" t="str">
        <f>IFERROR(IF(OR($B7="",FC$3=""),"",IF(AND($EW$4="No",_xll.ciqfunctions.udf.CIQ($B7, "IQ_SGA_MARGIN", FC$3, $I$3, $N$3, , $J$3, $K$3)&lt;=0),"",_xll.ciqfunctions.udf.CIQ($B7, "IQ_SGA_MARGIN", FC$3, $I$3, $N$3, , $J$3, $K$3)/100)),"")</f>
        <v/>
      </c>
      <c r="FD7" s="72" t="str">
        <f>IFERROR(IF(OR($B7="",FD$3=""),"",IF(AND($EW$4="No",_xll.ciqfunctions.udf.CIQ($B7, "IQ_SGA_MARGIN", FD$3, $I$3, $N$3, , $J$3, $K$3)&lt;=0),"",_xll.ciqfunctions.udf.CIQ($B7, "IQ_SGA_MARGIN", FD$3, $I$3, $N$3, , $J$3, $K$3)/100)),"")</f>
        <v/>
      </c>
      <c r="FE7" s="72" t="str">
        <f>IFERROR(IF(OR($B7="",FE$3=""),"",IF(AND($EW$4="No",_xll.ciqfunctions.udf.CIQ($B7, "IQ_SGA_MARGIN", FE$3, $I$3, $N$3, , $J$3, $K$3)&lt;=0),"",_xll.ciqfunctions.udf.CIQ($B7, "IQ_SGA_MARGIN", FE$3, $I$3, $N$3, , $J$3, $K$3)/100)),"")</f>
        <v/>
      </c>
      <c r="FF7" s="72" t="str">
        <f>IFERROR(IF(OR($B7="",FF$3=""),"",IF(AND($EW$4="No",_xll.ciqfunctions.udf.CIQ($B7, "IQ_SGA_MARGIN", FF$3, $I$3, $N$3, , $J$3, $K$3)&lt;=0),"",_xll.ciqfunctions.udf.CIQ($B7, "IQ_SGA_MARGIN", FF$3, $I$3, $N$3, , $J$3, $K$3)/100)),"")</f>
        <v/>
      </c>
      <c r="FG7" s="72" t="str">
        <f>IFERROR(IF(OR($B7="",FG$3=""),"",IF(AND($EW$4="No",_xll.ciqfunctions.udf.CIQ($B7, "IQ_SGA_MARGIN", FG$3, $I$3, $N$3, , $J$3, $K$3)&lt;=0),"",_xll.ciqfunctions.udf.CIQ($B7, "IQ_SGA_MARGIN", FG$3, $I$3, $N$3, , $J$3, $K$3)/100)),"")</f>
        <v/>
      </c>
      <c r="FH7" s="72" t="str">
        <f>IFERROR(IF(OR($B7="",FH$3=""),"",IF(AND($EW$4="No",_xll.ciqfunctions.udf.CIQ($B7, "IQ_SGA_MARGIN", FH$3, $I$3, $N$3, , $J$3, $K$3)&lt;=0),"",_xll.ciqfunctions.udf.CIQ($B7, "IQ_SGA_MARGIN", FH$3, $I$3, $N$3, , $J$3, $K$3)/100)),"")</f>
        <v/>
      </c>
      <c r="FI7" s="72" t="str">
        <f>IFERROR(IF(OR($B7="",FI$3=""),"",IF(AND($EW$4="No",_xll.ciqfunctions.udf.CIQ($B7, "IQ_SGA_MARGIN", FI$3, $I$3, $N$3, , $J$3, $K$3)&lt;=0),"",_xll.ciqfunctions.udf.CIQ($B7, "IQ_SGA_MARGIN", FI$3, $I$3, $N$3, , $J$3, $K$3)/100)),"")</f>
        <v/>
      </c>
      <c r="FJ7" s="72" t="str">
        <f>IFERROR(IF(OR($B7="",FJ$3=""),"",IF(AND($EW$4="No",_xll.ciqfunctions.udf.CIQ($B7, "IQ_SGA_MARGIN", FJ$3, $I$3, $N$3, , $J$3, $K$3)&lt;=0),"",_xll.ciqfunctions.udf.CIQ($B7, "IQ_SGA_MARGIN", FJ$3, $I$3, $N$3, , $J$3, $K$3)/100)),"")</f>
        <v/>
      </c>
      <c r="FK7" s="72" t="str">
        <f>IFERROR(IF(OR($B7="",FK$3=""),"",IF(AND($EW$4="No",_xll.ciqfunctions.udf.CIQ($B7, "IQ_SGA_MARGIN", FK$3, $I$3, $N$3, , $J$3, $K$3)&lt;=0),"",_xll.ciqfunctions.udf.CIQ($B7, "IQ_SGA_MARGIN", FK$3, $I$3, $N$3, , $J$3, $K$3)/100)),"")</f>
        <v/>
      </c>
      <c r="FL7" s="72" t="str">
        <f>IFERROR(IF(OR($B7="",FL$3=""),"",IF(AND($EW$4="No",_xll.ciqfunctions.udf.CIQ($B7, "IQ_SGA_MARGIN", FL$3, $I$3, $N$3, , $J$3, $K$3)&lt;=0),"",_xll.ciqfunctions.udf.CIQ($B7, "IQ_SGA_MARGIN", FL$3, $I$3, $N$3, , $J$3, $K$3)/100)),"")</f>
        <v/>
      </c>
      <c r="FM7" s="72" t="str">
        <f>IFERROR(IF(OR($B7="",FM$3=""),"",IF(AND($EW$4="No",_xll.ciqfunctions.udf.CIQ($B7, "IQ_SGA_MARGIN", FM$3, $I$3, $N$3, , $J$3, $K$3)&lt;=0),"",_xll.ciqfunctions.udf.CIQ($B7, "IQ_SGA_MARGIN", FM$3, $I$3, $N$3, , $J$3, $K$3)/100)),"")</f>
        <v/>
      </c>
      <c r="FN7" s="72" t="str">
        <f>IFERROR(IF(OR($B7="",FN$3=""),"",IF(AND($EW$4="No",_xll.ciqfunctions.udf.CIQ($B7, "IQ_SGA_MARGIN", FN$3, $I$3, $N$3, , $J$3, $K$3)&lt;=0),"",_xll.ciqfunctions.udf.CIQ($B7, "IQ_SGA_MARGIN", FN$3, $I$3, $N$3, , $J$3, $K$3)/100)),"")</f>
        <v/>
      </c>
      <c r="FO7" s="72" t="str">
        <f>IFERROR(IF(OR($B7="",FO$3=""),"",IF(AND($EW$4="No",_xll.ciqfunctions.udf.CIQ($B7, "IQ_SGA_MARGIN", FO$3, $I$3, $N$3, , $J$3, $K$3)&lt;=0),"",_xll.ciqfunctions.udf.CIQ($B7, "IQ_SGA_MARGIN", FO$3, $I$3, $N$3, , $J$3, $K$3)/100)),"")</f>
        <v/>
      </c>
      <c r="FP7" s="72" t="str">
        <f>IFERROR(IF(OR($B7="",FP$3=""),"",IF(AND($EW$4="No",_xll.ciqfunctions.udf.CIQ($B7, "IQ_SGA_MARGIN", FP$3, $I$3, $N$3, , $J$3, $K$3)&lt;=0),"",_xll.ciqfunctions.udf.CIQ($B7, "IQ_SGA_MARGIN", FP$3, $I$3, $N$3, , $J$3, $K$3)/100)),"")</f>
        <v/>
      </c>
      <c r="FQ7" s="72">
        <f>IFERROR(IF(OR($B7="",FQ$3=""),"",IF(AND($FQ$4="No",_xll.ciqfunctions.udf.CIQ($B7, "IQ_RD_EXP",FQ$3, $I$3, $N$3, , $J$3, $K$3)&lt;=0),"",_xll.ciqfunctions.udf.CIQ($B7, "IQ_RD_EXP",FQ$3, $I$3, $N$3, , $J$3, $K$3)/_xll.ciqfunctions.udf.CIQ($B7,"IQ_TOTAL_REV",FQ$3, $I$3, $N$3, , $J$3, $K$3))),"")</f>
        <v>0</v>
      </c>
      <c r="FR7" s="73" t="str">
        <f>IFERROR(IF(OR($B7="",FR$3=""),"",IF(AND($FQ$4="No",_xll.ciqfunctions.udf.CIQ($B7, "IQ_RD_EXP",FR$3, $I$3, $N$3, , $J$3, $K$3)&lt;=0),"",_xll.ciqfunctions.udf.CIQ($B7, "IQ_RD_EXP",FR$3, $I$3, $N$3, , $J$3, $K$3)/_xll.ciqfunctions.udf.CIQ($B7,"IQ_TOTAL_REV",FR$3, $I$3, $N$3, , $J$3, $K$3))),"")</f>
        <v/>
      </c>
      <c r="FS7" s="73" t="str">
        <f>IFERROR(IF(OR($B7="",FS$3=""),"",IF(AND($FQ$4="No",_xll.ciqfunctions.udf.CIQ($B7, "IQ_RD_EXP",FS$3, $I$3, $N$3, , $J$3, $K$3)&lt;=0),"",_xll.ciqfunctions.udf.CIQ($B7, "IQ_RD_EXP",FS$3, $I$3, $N$3, , $J$3, $K$3)/_xll.ciqfunctions.udf.CIQ($B7,"IQ_TOTAL_REV",FS$3, $I$3, $N$3, , $J$3, $K$3))),"")</f>
        <v/>
      </c>
      <c r="FT7" s="73" t="str">
        <f>IFERROR(IF(OR($B7="",FT$3=""),"",IF(AND($FQ$4="No",_xll.ciqfunctions.udf.CIQ($B7, "IQ_RD_EXP",FT$3, $I$3, $N$3, , $J$3, $K$3)&lt;=0),"",_xll.ciqfunctions.udf.CIQ($B7, "IQ_RD_EXP",FT$3, $I$3, $N$3, , $J$3, $K$3)/_xll.ciqfunctions.udf.CIQ($B7,"IQ_TOTAL_REV",FT$3, $I$3, $N$3, , $J$3, $K$3))),"")</f>
        <v/>
      </c>
      <c r="FU7" s="73" t="str">
        <f>IFERROR(IF(OR($B7="",FU$3=""),"",IF(AND($FQ$4="No",_xll.ciqfunctions.udf.CIQ($B7, "IQ_RD_EXP",FU$3, $I$3, $N$3, , $J$3, $K$3)&lt;=0),"",_xll.ciqfunctions.udf.CIQ($B7, "IQ_RD_EXP",FU$3, $I$3, $N$3, , $J$3, $K$3)/_xll.ciqfunctions.udf.CIQ($B7,"IQ_TOTAL_REV",FU$3, $I$3, $N$3, , $J$3, $K$3))),"")</f>
        <v/>
      </c>
      <c r="FV7" s="73" t="str">
        <f>IFERROR(IF(OR($B7="",FV$3=""),"",IF(AND($FQ$4="No",_xll.ciqfunctions.udf.CIQ($B7, "IQ_RD_EXP",FV$3, $I$3, $N$3, , $J$3, $K$3)&lt;=0),"",_xll.ciqfunctions.udf.CIQ($B7, "IQ_RD_EXP",FV$3, $I$3, $N$3, , $J$3, $K$3)/_xll.ciqfunctions.udf.CIQ($B7,"IQ_TOTAL_REV",FV$3, $I$3, $N$3, , $J$3, $K$3))),"")</f>
        <v/>
      </c>
      <c r="FW7" s="73" t="str">
        <f>IFERROR(IF(OR($B7="",FW$3=""),"",IF(AND($FQ$4="No",_xll.ciqfunctions.udf.CIQ($B7, "IQ_RD_EXP",FW$3, $I$3, $N$3, , $J$3, $K$3)&lt;=0),"",_xll.ciqfunctions.udf.CIQ($B7, "IQ_RD_EXP",FW$3, $I$3, $N$3, , $J$3, $K$3)/_xll.ciqfunctions.udf.CIQ($B7,"IQ_TOTAL_REV",FW$3, $I$3, $N$3, , $J$3, $K$3))),"")</f>
        <v/>
      </c>
      <c r="FX7" s="73" t="str">
        <f>IFERROR(IF(OR($B7="",FX$3=""),"",IF(AND($FQ$4="No",_xll.ciqfunctions.udf.CIQ($B7, "IQ_RD_EXP",FX$3, $I$3, $N$3, , $J$3, $K$3)&lt;=0),"",_xll.ciqfunctions.udf.CIQ($B7, "IQ_RD_EXP",FX$3, $I$3, $N$3, , $J$3, $K$3)/_xll.ciqfunctions.udf.CIQ($B7,"IQ_TOTAL_REV",FX$3, $I$3, $N$3, , $J$3, $K$3))),"")</f>
        <v/>
      </c>
      <c r="FY7" s="73" t="str">
        <f>IFERROR(IF(OR($B7="",FY$3=""),"",IF(AND($FQ$4="No",_xll.ciqfunctions.udf.CIQ($B7, "IQ_RD_EXP",FY$3, $I$3, $N$3, , $J$3, $K$3)&lt;=0),"",_xll.ciqfunctions.udf.CIQ($B7, "IQ_RD_EXP",FY$3, $I$3, $N$3, , $J$3, $K$3)/_xll.ciqfunctions.udf.CIQ($B7,"IQ_TOTAL_REV",FY$3, $I$3, $N$3, , $J$3, $K$3))),"")</f>
        <v/>
      </c>
      <c r="FZ7" s="73" t="str">
        <f>IFERROR(IF(OR($B7="",FZ$3=""),"",IF(AND($FQ$4="No",_xll.ciqfunctions.udf.CIQ($B7, "IQ_RD_EXP",FZ$3, $I$3, $N$3, , $J$3, $K$3)&lt;=0),"",_xll.ciqfunctions.udf.CIQ($B7, "IQ_RD_EXP",FZ$3, $I$3, $N$3, , $J$3, $K$3)/_xll.ciqfunctions.udf.CIQ($B7,"IQ_TOTAL_REV",FZ$3, $I$3, $N$3, , $J$3, $K$3))),"")</f>
        <v/>
      </c>
      <c r="GA7" s="73" t="str">
        <f>IFERROR(IF(OR($B7="",GA$3=""),"",IF(AND($FQ$4="No",_xll.ciqfunctions.udf.CIQ($B7, "IQ_RD_EXP",GA$3, $I$3, $N$3, , $J$3, $K$3)&lt;=0),"",_xll.ciqfunctions.udf.CIQ($B7, "IQ_RD_EXP",GA$3, $I$3, $N$3, , $J$3, $K$3)/_xll.ciqfunctions.udf.CIQ($B7,"IQ_TOTAL_REV",GA$3, $I$3, $N$3, , $J$3, $K$3))),"")</f>
        <v/>
      </c>
      <c r="GB7" s="73" t="str">
        <f>IFERROR(IF(OR($B7="",GB$3=""),"",IF(AND($FQ$4="No",_xll.ciqfunctions.udf.CIQ($B7, "IQ_RD_EXP",GB$3, $I$3, $N$3, , $J$3, $K$3)&lt;=0),"",_xll.ciqfunctions.udf.CIQ($B7, "IQ_RD_EXP",GB$3, $I$3, $N$3, , $J$3, $K$3)/_xll.ciqfunctions.udf.CIQ($B7,"IQ_TOTAL_REV",GB$3, $I$3, $N$3, , $J$3, $K$3))),"")</f>
        <v/>
      </c>
      <c r="GC7" s="73" t="str">
        <f>IFERROR(IF(OR($B7="",GC$3=""),"",IF(AND($FQ$4="No",_xll.ciqfunctions.udf.CIQ($B7, "IQ_RD_EXP",GC$3, $I$3, $N$3, , $J$3, $K$3)&lt;=0),"",_xll.ciqfunctions.udf.CIQ($B7, "IQ_RD_EXP",GC$3, $I$3, $N$3, , $J$3, $K$3)/_xll.ciqfunctions.udf.CIQ($B7,"IQ_TOTAL_REV",GC$3, $I$3, $N$3, , $J$3, $K$3))),"")</f>
        <v/>
      </c>
      <c r="GD7" s="73" t="str">
        <f>IFERROR(IF(OR($B7="",GD$3=""),"",IF(AND($FQ$4="No",_xll.ciqfunctions.udf.CIQ($B7, "IQ_RD_EXP",GD$3, $I$3, $N$3, , $J$3, $K$3)&lt;=0),"",_xll.ciqfunctions.udf.CIQ($B7, "IQ_RD_EXP",GD$3, $I$3, $N$3, , $J$3, $K$3)/_xll.ciqfunctions.udf.CIQ($B7,"IQ_TOTAL_REV",GD$3, $I$3, $N$3, , $J$3, $K$3))),"")</f>
        <v/>
      </c>
      <c r="GE7" s="73" t="str">
        <f>IFERROR(IF(OR($B7="",GE$3=""),"",IF(AND($FQ$4="No",_xll.ciqfunctions.udf.CIQ($B7, "IQ_RD_EXP",GE$3, $I$3, $N$3, , $J$3, $K$3)&lt;=0),"",_xll.ciqfunctions.udf.CIQ($B7, "IQ_RD_EXP",GE$3, $I$3, $N$3, , $J$3, $K$3)/_xll.ciqfunctions.udf.CIQ($B7,"IQ_TOTAL_REV",GE$3, $I$3, $N$3, , $J$3, $K$3))),"")</f>
        <v/>
      </c>
      <c r="GF7" s="73" t="str">
        <f>IFERROR(IF(OR($B7="",GF$3=""),"",IF(AND($FQ$4="No",_xll.ciqfunctions.udf.CIQ($B7, "IQ_RD_EXP",GF$3, $I$3, $N$3, , $J$3, $K$3)&lt;=0),"",_xll.ciqfunctions.udf.CIQ($B7, "IQ_RD_EXP",GF$3, $I$3, $N$3, , $J$3, $K$3)/_xll.ciqfunctions.udf.CIQ($B7,"IQ_TOTAL_REV",GF$3, $I$3, $N$3, , $J$3, $K$3))),"")</f>
        <v/>
      </c>
      <c r="GG7" s="73" t="str">
        <f>IFERROR(IF(OR($B7="",GG$3=""),"",IF(AND($FQ$4="No",_xll.ciqfunctions.udf.CIQ($B7, "IQ_RD_EXP",GG$3, $I$3, $N$3, , $J$3, $K$3)&lt;=0),"",_xll.ciqfunctions.udf.CIQ($B7, "IQ_RD_EXP",GG$3, $I$3, $N$3, , $J$3, $K$3)/_xll.ciqfunctions.udf.CIQ($B7,"IQ_TOTAL_REV",GG$3, $I$3, $N$3, , $J$3, $K$3))),"")</f>
        <v/>
      </c>
      <c r="GH7" s="73" t="str">
        <f>IFERROR(IF(OR($B7="",GH$3=""),"",IF(AND($FQ$4="No",_xll.ciqfunctions.udf.CIQ($B7, "IQ_RD_EXP",GH$3, $I$3, $N$3, , $J$3, $K$3)&lt;=0),"",_xll.ciqfunctions.udf.CIQ($B7, "IQ_RD_EXP",GH$3, $I$3, $N$3, , $J$3, $K$3)/_xll.ciqfunctions.udf.CIQ($B7,"IQ_TOTAL_REV",GH$3, $I$3, $N$3, , $J$3, $K$3))),"")</f>
        <v/>
      </c>
      <c r="GI7" s="73" t="str">
        <f>IFERROR(IF(OR($B7="",GI$3=""),"",IF(AND($FQ$4="No",_xll.ciqfunctions.udf.CIQ($B7, "IQ_RD_EXP",GI$3, $I$3, $N$3, , $J$3, $K$3)&lt;=0),"",_xll.ciqfunctions.udf.CIQ($B7, "IQ_RD_EXP",GI$3, $I$3, $N$3, , $J$3, $K$3)/_xll.ciqfunctions.udf.CIQ($B7,"IQ_TOTAL_REV",GI$3, $I$3, $N$3, , $J$3, $K$3))),"")</f>
        <v/>
      </c>
      <c r="GJ7" s="74" t="str">
        <f>IFERROR(IF(OR($B7="",GJ$3=""),"",IF(AND($FQ$4="No",_xll.ciqfunctions.udf.CIQ($B7, "IQ_RD_EXP",GJ$3, $I$3, $N$3, , $J$3, $K$3)&lt;=0),"",_xll.ciqfunctions.udf.CIQ($B7, "IQ_RD_EXP",GJ$3, $I$3, $N$3, , $J$3, $K$3)/_xll.ciqfunctions.udf.CIQ($B7,"IQ_TOTAL_REV",GJ$3, $I$3, $N$3, , $J$3, $K$3))),"")</f>
        <v/>
      </c>
      <c r="GK7" s="75">
        <f>IFERROR(IF(OR($B7="",GK$3=""),"",IF(AND($GK$4="No",(_xll.ciqfunctions.udf.CIQ($B7,"IQ_AR",GK$3, $I$3, $N$3, , $J$3, $K$3)+_xll.ciqfunctions.udf.CIQ($B7,"IQ_AR","IQ_" &amp; LEFT(GK$3,2) &amp; "-1",GK$3, $N$3, , $J$3, $K$3))&lt;=0),"",$GK$2*0.5*(_xll.ciqfunctions.udf.CIQ($B7,"IQ_AR",GK$3, $I$3, $N$3, , $J$3, $K$3)+_xll.ciqfunctions.udf.CIQ($B7,"IQ_AR","IQ_" &amp; LEFT(GK$3,2) &amp; "-1",GK$3, $N$3, , $J$3, $K$3))/_xll.ciqfunctions.udf.CIQ($B7,"IQ_TOTAL_REVENUE",GK$3, $I$3, $N$3, , $J$3, $K$3))),"")</f>
        <v>4.7145371311243567</v>
      </c>
      <c r="GL7" s="76" t="str">
        <f>IFERROR(IF(OR($B7="",GL$3=""),"",IF(AND($GK$4="No",(_xll.ciqfunctions.udf.CIQ($B7,"IQ_AR",GL$3, $I$3, $N$3, , $J$3, $K$3)+_xll.ciqfunctions.udf.CIQ($B7,"IQ_AR","IQ_" &amp; LEFT(GL$3,2) &amp; "-1",GL$3, $N$3, , $J$3, $K$3))&lt;=0),"",$GK$2*0.5*(_xll.ciqfunctions.udf.CIQ($B7,"IQ_AR",GL$3, $I$3, $N$3, , $J$3, $K$3)+_xll.ciqfunctions.udf.CIQ($B7,"IQ_AR","IQ_" &amp; LEFT(GL$3,2) &amp; "-1",GL$3, $N$3, , $J$3, $K$3))/_xll.ciqfunctions.udf.CIQ($B7,"IQ_TOTAL_REVENUE",GL$3, $I$3, $N$3, , $J$3, $K$3))),"")</f>
        <v/>
      </c>
      <c r="GM7" s="76" t="str">
        <f>IFERROR(IF(OR($B7="",GM$3=""),"",IF(AND($GK$4="No",(_xll.ciqfunctions.udf.CIQ($B7,"IQ_AR",GM$3, $I$3, $N$3, , $J$3, $K$3)+_xll.ciqfunctions.udf.CIQ($B7,"IQ_AR","IQ_" &amp; LEFT(GM$3,2) &amp; "-1",GM$3, $N$3, , $J$3, $K$3))&lt;=0),"",$GK$2*0.5*(_xll.ciqfunctions.udf.CIQ($B7,"IQ_AR",GM$3, $I$3, $N$3, , $J$3, $K$3)+_xll.ciqfunctions.udf.CIQ($B7,"IQ_AR","IQ_" &amp; LEFT(GM$3,2) &amp; "-1",GM$3, $N$3, , $J$3, $K$3))/_xll.ciqfunctions.udf.CIQ($B7,"IQ_TOTAL_REVENUE",GM$3, $I$3, $N$3, , $J$3, $K$3))),"")</f>
        <v/>
      </c>
      <c r="GN7" s="76" t="str">
        <f>IFERROR(IF(OR($B7="",GN$3=""),"",IF(AND($GK$4="No",(_xll.ciqfunctions.udf.CIQ($B7,"IQ_AR",GN$3, $I$3, $N$3, , $J$3, $K$3)+_xll.ciqfunctions.udf.CIQ($B7,"IQ_AR","IQ_" &amp; LEFT(GN$3,2) &amp; "-1",GN$3, $N$3, , $J$3, $K$3))&lt;=0),"",$GK$2*0.5*(_xll.ciqfunctions.udf.CIQ($B7,"IQ_AR",GN$3, $I$3, $N$3, , $J$3, $K$3)+_xll.ciqfunctions.udf.CIQ($B7,"IQ_AR","IQ_" &amp; LEFT(GN$3,2) &amp; "-1",GN$3, $N$3, , $J$3, $K$3))/_xll.ciqfunctions.udf.CIQ($B7,"IQ_TOTAL_REVENUE",GN$3, $I$3, $N$3, , $J$3, $K$3))),"")</f>
        <v/>
      </c>
      <c r="GO7" s="76" t="str">
        <f>IFERROR(IF(OR($B7="",GO$3=""),"",IF(AND($GK$4="No",(_xll.ciqfunctions.udf.CIQ($B7,"IQ_AR",GO$3, $I$3, $N$3, , $J$3, $K$3)+_xll.ciqfunctions.udf.CIQ($B7,"IQ_AR","IQ_" &amp; LEFT(GO$3,2) &amp; "-1",GO$3, $N$3, , $J$3, $K$3))&lt;=0),"",$GK$2*0.5*(_xll.ciqfunctions.udf.CIQ($B7,"IQ_AR",GO$3, $I$3, $N$3, , $J$3, $K$3)+_xll.ciqfunctions.udf.CIQ($B7,"IQ_AR","IQ_" &amp; LEFT(GO$3,2) &amp; "-1",GO$3, $N$3, , $J$3, $K$3))/_xll.ciqfunctions.udf.CIQ($B7,"IQ_TOTAL_REVENUE",GO$3, $I$3, $N$3, , $J$3, $K$3))),"")</f>
        <v/>
      </c>
      <c r="GP7" s="76" t="str">
        <f>IFERROR(IF(OR($B7="",GP$3=""),"",IF(AND($GK$4="No",(_xll.ciqfunctions.udf.CIQ($B7,"IQ_AR",GP$3, $I$3, $N$3, , $J$3, $K$3)+_xll.ciqfunctions.udf.CIQ($B7,"IQ_AR","IQ_" &amp; LEFT(GP$3,2) &amp; "-1",GP$3, $N$3, , $J$3, $K$3))&lt;=0),"",$GK$2*0.5*(_xll.ciqfunctions.udf.CIQ($B7,"IQ_AR",GP$3, $I$3, $N$3, , $J$3, $K$3)+_xll.ciqfunctions.udf.CIQ($B7,"IQ_AR","IQ_" &amp; LEFT(GP$3,2) &amp; "-1",GP$3, $N$3, , $J$3, $K$3))/_xll.ciqfunctions.udf.CIQ($B7,"IQ_TOTAL_REVENUE",GP$3, $I$3, $N$3, , $J$3, $K$3))),"")</f>
        <v/>
      </c>
      <c r="GQ7" s="76" t="str">
        <f>IFERROR(IF(OR($B7="",GQ$3=""),"",IF(AND($GK$4="No",(_xll.ciqfunctions.udf.CIQ($B7,"IQ_AR",GQ$3, $I$3, $N$3, , $J$3, $K$3)+_xll.ciqfunctions.udf.CIQ($B7,"IQ_AR","IQ_" &amp; LEFT(GQ$3,2) &amp; "-1",GQ$3, $N$3, , $J$3, $K$3))&lt;=0),"",$GK$2*0.5*(_xll.ciqfunctions.udf.CIQ($B7,"IQ_AR",GQ$3, $I$3, $N$3, , $J$3, $K$3)+_xll.ciqfunctions.udf.CIQ($B7,"IQ_AR","IQ_" &amp; LEFT(GQ$3,2) &amp; "-1",GQ$3, $N$3, , $J$3, $K$3))/_xll.ciqfunctions.udf.CIQ($B7,"IQ_TOTAL_REVENUE",GQ$3, $I$3, $N$3, , $J$3, $K$3))),"")</f>
        <v/>
      </c>
      <c r="GR7" s="76" t="str">
        <f>IFERROR(IF(OR($B7="",GR$3=""),"",IF(AND($GK$4="No",(_xll.ciqfunctions.udf.CIQ($B7,"IQ_AR",GR$3, $I$3, $N$3, , $J$3, $K$3)+_xll.ciqfunctions.udf.CIQ($B7,"IQ_AR","IQ_" &amp; LEFT(GR$3,2) &amp; "-1",GR$3, $N$3, , $J$3, $K$3))&lt;=0),"",$GK$2*0.5*(_xll.ciqfunctions.udf.CIQ($B7,"IQ_AR",GR$3, $I$3, $N$3, , $J$3, $K$3)+_xll.ciqfunctions.udf.CIQ($B7,"IQ_AR","IQ_" &amp; LEFT(GR$3,2) &amp; "-1",GR$3, $N$3, , $J$3, $K$3))/_xll.ciqfunctions.udf.CIQ($B7,"IQ_TOTAL_REVENUE",GR$3, $I$3, $N$3, , $J$3, $K$3))),"")</f>
        <v/>
      </c>
      <c r="GS7" s="76" t="str">
        <f>IFERROR(IF(OR($B7="",GS$3=""),"",IF(AND($GK$4="No",(_xll.ciqfunctions.udf.CIQ($B7,"IQ_AR",GS$3, $I$3, $N$3, , $J$3, $K$3)+_xll.ciqfunctions.udf.CIQ($B7,"IQ_AR","IQ_" &amp; LEFT(GS$3,2) &amp; "-1",GS$3, $N$3, , $J$3, $K$3))&lt;=0),"",$GK$2*0.5*(_xll.ciqfunctions.udf.CIQ($B7,"IQ_AR",GS$3, $I$3, $N$3, , $J$3, $K$3)+_xll.ciqfunctions.udf.CIQ($B7,"IQ_AR","IQ_" &amp; LEFT(GS$3,2) &amp; "-1",GS$3, $N$3, , $J$3, $K$3))/_xll.ciqfunctions.udf.CIQ($B7,"IQ_TOTAL_REVENUE",GS$3, $I$3, $N$3, , $J$3, $K$3))),"")</f>
        <v/>
      </c>
      <c r="GT7" s="76" t="str">
        <f>IFERROR(IF(OR($B7="",GT$3=""),"",IF(AND($GK$4="No",(_xll.ciqfunctions.udf.CIQ($B7,"IQ_AR",GT$3, $I$3, $N$3, , $J$3, $K$3)+_xll.ciqfunctions.udf.CIQ($B7,"IQ_AR","IQ_" &amp; LEFT(GT$3,2) &amp; "-1",GT$3, $N$3, , $J$3, $K$3))&lt;=0),"",$GK$2*0.5*(_xll.ciqfunctions.udf.CIQ($B7,"IQ_AR",GT$3, $I$3, $N$3, , $J$3, $K$3)+_xll.ciqfunctions.udf.CIQ($B7,"IQ_AR","IQ_" &amp; LEFT(GT$3,2) &amp; "-1",GT$3, $N$3, , $J$3, $K$3))/_xll.ciqfunctions.udf.CIQ($B7,"IQ_TOTAL_REVENUE",GT$3, $I$3, $N$3, , $J$3, $K$3))),"")</f>
        <v/>
      </c>
      <c r="GU7" s="76" t="str">
        <f>IFERROR(IF(OR($B7="",GU$3=""),"",IF(AND($GK$4="No",(_xll.ciqfunctions.udf.CIQ($B7,"IQ_AR",GU$3, $I$3, $N$3, , $J$3, $K$3)+_xll.ciqfunctions.udf.CIQ($B7,"IQ_AR","IQ_" &amp; LEFT(GU$3,2) &amp; "-1",GU$3, $N$3, , $J$3, $K$3))&lt;=0),"",$GK$2*0.5*(_xll.ciqfunctions.udf.CIQ($B7,"IQ_AR",GU$3, $I$3, $N$3, , $J$3, $K$3)+_xll.ciqfunctions.udf.CIQ($B7,"IQ_AR","IQ_" &amp; LEFT(GU$3,2) &amp; "-1",GU$3, $N$3, , $J$3, $K$3))/_xll.ciqfunctions.udf.CIQ($B7,"IQ_TOTAL_REVENUE",GU$3, $I$3, $N$3, , $J$3, $K$3))),"")</f>
        <v/>
      </c>
      <c r="GV7" s="76" t="str">
        <f>IFERROR(IF(OR($B7="",GV$3=""),"",IF(AND($GK$4="No",(_xll.ciqfunctions.udf.CIQ($B7,"IQ_AR",GV$3, $I$3, $N$3, , $J$3, $K$3)+_xll.ciqfunctions.udf.CIQ($B7,"IQ_AR","IQ_" &amp; LEFT(GV$3,2) &amp; "-1",GV$3, $N$3, , $J$3, $K$3))&lt;=0),"",$GK$2*0.5*(_xll.ciqfunctions.udf.CIQ($B7,"IQ_AR",GV$3, $I$3, $N$3, , $J$3, $K$3)+_xll.ciqfunctions.udf.CIQ($B7,"IQ_AR","IQ_" &amp; LEFT(GV$3,2) &amp; "-1",GV$3, $N$3, , $J$3, $K$3))/_xll.ciqfunctions.udf.CIQ($B7,"IQ_TOTAL_REVENUE",GV$3, $I$3, $N$3, , $J$3, $K$3))),"")</f>
        <v/>
      </c>
      <c r="GW7" s="76" t="str">
        <f>IFERROR(IF(OR($B7="",GW$3=""),"",IF(AND($GK$4="No",(_xll.ciqfunctions.udf.CIQ($B7,"IQ_AR",GW$3, $I$3, $N$3, , $J$3, $K$3)+_xll.ciqfunctions.udf.CIQ($B7,"IQ_AR","IQ_" &amp; LEFT(GW$3,2) &amp; "-1",GW$3, $N$3, , $J$3, $K$3))&lt;=0),"",$GK$2*0.5*(_xll.ciqfunctions.udf.CIQ($B7,"IQ_AR",GW$3, $I$3, $N$3, , $J$3, $K$3)+_xll.ciqfunctions.udf.CIQ($B7,"IQ_AR","IQ_" &amp; LEFT(GW$3,2) &amp; "-1",GW$3, $N$3, , $J$3, $K$3))/_xll.ciqfunctions.udf.CIQ($B7,"IQ_TOTAL_REVENUE",GW$3, $I$3, $N$3, , $J$3, $K$3))),"")</f>
        <v/>
      </c>
      <c r="GX7" s="76" t="str">
        <f>IFERROR(IF(OR($B7="",GX$3=""),"",IF(AND($GK$4="No",(_xll.ciqfunctions.udf.CIQ($B7,"IQ_AR",GX$3, $I$3, $N$3, , $J$3, $K$3)+_xll.ciqfunctions.udf.CIQ($B7,"IQ_AR","IQ_" &amp; LEFT(GX$3,2) &amp; "-1",GX$3, $N$3, , $J$3, $K$3))&lt;=0),"",$GK$2*0.5*(_xll.ciqfunctions.udf.CIQ($B7,"IQ_AR",GX$3, $I$3, $N$3, , $J$3, $K$3)+_xll.ciqfunctions.udf.CIQ($B7,"IQ_AR","IQ_" &amp; LEFT(GX$3,2) &amp; "-1",GX$3, $N$3, , $J$3, $K$3))/_xll.ciqfunctions.udf.CIQ($B7,"IQ_TOTAL_REVENUE",GX$3, $I$3, $N$3, , $J$3, $K$3))),"")</f>
        <v/>
      </c>
      <c r="GY7" s="76" t="str">
        <f>IFERROR(IF(OR($B7="",GY$3=""),"",IF(AND($GK$4="No",(_xll.ciqfunctions.udf.CIQ($B7,"IQ_AR",GY$3, $I$3, $N$3, , $J$3, $K$3)+_xll.ciqfunctions.udf.CIQ($B7,"IQ_AR","IQ_" &amp; LEFT(GY$3,2) &amp; "-1",GY$3, $N$3, , $J$3, $K$3))&lt;=0),"",$GK$2*0.5*(_xll.ciqfunctions.udf.CIQ($B7,"IQ_AR",GY$3, $I$3, $N$3, , $J$3, $K$3)+_xll.ciqfunctions.udf.CIQ($B7,"IQ_AR","IQ_" &amp; LEFT(GY$3,2) &amp; "-1",GY$3, $N$3, , $J$3, $K$3))/_xll.ciqfunctions.udf.CIQ($B7,"IQ_TOTAL_REVENUE",GY$3, $I$3, $N$3, , $J$3, $K$3))),"")</f>
        <v/>
      </c>
      <c r="GZ7" s="76" t="str">
        <f>IFERROR(IF(OR($B7="",GZ$3=""),"",IF(AND($GK$4="No",(_xll.ciqfunctions.udf.CIQ($B7,"IQ_AR",GZ$3, $I$3, $N$3, , $J$3, $K$3)+_xll.ciqfunctions.udf.CIQ($B7,"IQ_AR","IQ_" &amp; LEFT(GZ$3,2) &amp; "-1",GZ$3, $N$3, , $J$3, $K$3))&lt;=0),"",$GK$2*0.5*(_xll.ciqfunctions.udf.CIQ($B7,"IQ_AR",GZ$3, $I$3, $N$3, , $J$3, $K$3)+_xll.ciqfunctions.udf.CIQ($B7,"IQ_AR","IQ_" &amp; LEFT(GZ$3,2) &amp; "-1",GZ$3, $N$3, , $J$3, $K$3))/_xll.ciqfunctions.udf.CIQ($B7,"IQ_TOTAL_REVENUE",GZ$3, $I$3, $N$3, , $J$3, $K$3))),"")</f>
        <v/>
      </c>
      <c r="HA7" s="76" t="str">
        <f>IFERROR(IF(OR($B7="",HA$3=""),"",IF(AND($GK$4="No",(_xll.ciqfunctions.udf.CIQ($B7,"IQ_AR",HA$3, $I$3, $N$3, , $J$3, $K$3)+_xll.ciqfunctions.udf.CIQ($B7,"IQ_AR","IQ_" &amp; LEFT(HA$3,2) &amp; "-1",HA$3, $N$3, , $J$3, $K$3))&lt;=0),"",$GK$2*0.5*(_xll.ciqfunctions.udf.CIQ($B7,"IQ_AR",HA$3, $I$3, $N$3, , $J$3, $K$3)+_xll.ciqfunctions.udf.CIQ($B7,"IQ_AR","IQ_" &amp; LEFT(HA$3,2) &amp; "-1",HA$3, $N$3, , $J$3, $K$3))/_xll.ciqfunctions.udf.CIQ($B7,"IQ_TOTAL_REVENUE",HA$3, $I$3, $N$3, , $J$3, $K$3))),"")</f>
        <v/>
      </c>
      <c r="HB7" s="76" t="str">
        <f>IFERROR(IF(OR($B7="",HB$3=""),"",IF(AND($GK$4="No",(_xll.ciqfunctions.udf.CIQ($B7,"IQ_AR",HB$3, $I$3, $N$3, , $J$3, $K$3)+_xll.ciqfunctions.udf.CIQ($B7,"IQ_AR","IQ_" &amp; LEFT(HB$3,2) &amp; "-1",HB$3, $N$3, , $J$3, $K$3))&lt;=0),"",$GK$2*0.5*(_xll.ciqfunctions.udf.CIQ($B7,"IQ_AR",HB$3, $I$3, $N$3, , $J$3, $K$3)+_xll.ciqfunctions.udf.CIQ($B7,"IQ_AR","IQ_" &amp; LEFT(HB$3,2) &amp; "-1",HB$3, $N$3, , $J$3, $K$3))/_xll.ciqfunctions.udf.CIQ($B7,"IQ_TOTAL_REVENUE",HB$3, $I$3, $N$3, , $J$3, $K$3))),"")</f>
        <v/>
      </c>
      <c r="HC7" s="76" t="str">
        <f>IFERROR(IF(OR($B7="",HC$3=""),"",IF(AND($GK$4="No",(_xll.ciqfunctions.udf.CIQ($B7,"IQ_AR",HC$3, $I$3, $N$3, , $J$3, $K$3)+_xll.ciqfunctions.udf.CIQ($B7,"IQ_AR","IQ_" &amp; LEFT(HC$3,2) &amp; "-1",HC$3, $N$3, , $J$3, $K$3))&lt;=0),"",$GK$2*0.5*(_xll.ciqfunctions.udf.CIQ($B7,"IQ_AR",HC$3, $I$3, $N$3, , $J$3, $K$3)+_xll.ciqfunctions.udf.CIQ($B7,"IQ_AR","IQ_" &amp; LEFT(HC$3,2) &amp; "-1",HC$3, $N$3, , $J$3, $K$3))/_xll.ciqfunctions.udf.CIQ($B7,"IQ_TOTAL_REVENUE",HC$3, $I$3, $N$3, , $J$3, $K$3))),"")</f>
        <v/>
      </c>
      <c r="HD7" s="77" t="str">
        <f>IFERROR(IF(OR($B7="",HD$3=""),"",IF(AND($GK$4="No",(_xll.ciqfunctions.udf.CIQ($B7,"IQ_AR",HD$3, $I$3, $N$3, , $J$3, $K$3)+_xll.ciqfunctions.udf.CIQ($B7,"IQ_AR","IQ_" &amp; LEFT(HD$3,2) &amp; "-1",HD$3, $N$3, , $J$3, $K$3))&lt;=0),"",$GK$2*0.5*(_xll.ciqfunctions.udf.CIQ($B7,"IQ_AR",HD$3, $I$3, $N$3, , $J$3, $K$3)+_xll.ciqfunctions.udf.CIQ($B7,"IQ_AR","IQ_" &amp; LEFT(HD$3,2) &amp; "-1",HD$3, $N$3, , $J$3, $K$3))/_xll.ciqfunctions.udf.CIQ($B7,"IQ_TOTAL_REVENUE",HD$3, $I$3, $N$3, , $J$3, $K$3))),"")</f>
        <v/>
      </c>
      <c r="HE7" s="75">
        <f>IFERROR(IF(OR($B7="",HE$3=""),"",IF(AND($HE$4="No",(_xll.ciqfunctions.udf.CIQ($B7,"IQ_INVENTORY",HE$3,$I$3, $N$3, , $J$3, $K$3)+_xll.ciqfunctions.udf.CIQ($B7,"IQ_INVENTORY","IQ_" &amp; LEFT(HE$3,2) &amp; "-1", HE$3, $N$3, , $J$3, $K$3))&lt;=0),0,$HE$2*0.5*(_xll.ciqfunctions.udf.CIQ($B7,"IQ_INVENTORY",HE$3,$I$3, $N$3, , $J$3, $K$3)+_xll.ciqfunctions.udf.CIQ($B7,"IQ_INVENTORY","IQ_" &amp; LEFT(HE$3,2) &amp; "-1", HE$3, $N$3, , $J$3, $K$3))/_xll.ciqfunctions.udf.CIQ($B7,"IQ_COGS",HE$3,$I$3, $N$3, , $J$3, $K$3))),"")</f>
        <v>43.161888111888111</v>
      </c>
      <c r="HF7" s="76" t="str">
        <f>IFERROR(IF(OR($B7="",HF$3=""),"",IF(AND($HE$4="No",(_xll.ciqfunctions.udf.CIQ($B7,"IQ_INVENTORY",HF$3,$I$3, $N$3, , $J$3, $K$3)+_xll.ciqfunctions.udf.CIQ($B7,"IQ_INVENTORY","IQ_" &amp; LEFT(HF$3,2) &amp; "-1", HF$3, $N$3, , $J$3, $K$3))&lt;=0),0,$HE$2*0.5*(_xll.ciqfunctions.udf.CIQ($B7,"IQ_INVENTORY",HF$3,$I$3, $N$3, , $J$3, $K$3)+_xll.ciqfunctions.udf.CIQ($B7,"IQ_INVENTORY","IQ_" &amp; LEFT(HF$3,2) &amp; "-1", HF$3, $N$3, , $J$3, $K$3))/_xll.ciqfunctions.udf.CIQ($B7,"IQ_COGS",HF$3,$I$3, $N$3, , $J$3, $K$3))),"")</f>
        <v/>
      </c>
      <c r="HG7" s="76" t="str">
        <f>IFERROR(IF(OR($B7="",HG$3=""),"",IF(AND($HE$4="No",(_xll.ciqfunctions.udf.CIQ($B7,"IQ_INVENTORY",HG$3,$I$3, $N$3, , $J$3, $K$3)+_xll.ciqfunctions.udf.CIQ($B7,"IQ_INVENTORY","IQ_" &amp; LEFT(HG$3,2) &amp; "-1", HG$3, $N$3, , $J$3, $K$3))&lt;=0),0,$HE$2*0.5*(_xll.ciqfunctions.udf.CIQ($B7,"IQ_INVENTORY",HG$3,$I$3, $N$3, , $J$3, $K$3)+_xll.ciqfunctions.udf.CIQ($B7,"IQ_INVENTORY","IQ_" &amp; LEFT(HG$3,2) &amp; "-1", HG$3, $N$3, , $J$3, $K$3))/_xll.ciqfunctions.udf.CIQ($B7,"IQ_COGS",HG$3,$I$3, $N$3, , $J$3, $K$3))),"")</f>
        <v/>
      </c>
      <c r="HH7" s="76" t="str">
        <f>IFERROR(IF(OR($B7="",HH$3=""),"",IF(AND($HE$4="No",(_xll.ciqfunctions.udf.CIQ($B7,"IQ_INVENTORY",HH$3,$I$3, $N$3, , $J$3, $K$3)+_xll.ciqfunctions.udf.CIQ($B7,"IQ_INVENTORY","IQ_" &amp; LEFT(HH$3,2) &amp; "-1", HH$3, $N$3, , $J$3, $K$3))&lt;=0),0,$HE$2*0.5*(_xll.ciqfunctions.udf.CIQ($B7,"IQ_INVENTORY",HH$3,$I$3, $N$3, , $J$3, $K$3)+_xll.ciqfunctions.udf.CIQ($B7,"IQ_INVENTORY","IQ_" &amp; LEFT(HH$3,2) &amp; "-1", HH$3, $N$3, , $J$3, $K$3))/_xll.ciqfunctions.udf.CIQ($B7,"IQ_COGS",HH$3,$I$3, $N$3, , $J$3, $K$3))),"")</f>
        <v/>
      </c>
      <c r="HI7" s="76" t="str">
        <f>IFERROR(IF(OR($B7="",HI$3=""),"",IF(AND($HE$4="No",(_xll.ciqfunctions.udf.CIQ($B7,"IQ_INVENTORY",HI$3,$I$3, $N$3, , $J$3, $K$3)+_xll.ciqfunctions.udf.CIQ($B7,"IQ_INVENTORY","IQ_" &amp; LEFT(HI$3,2) &amp; "-1", HI$3, $N$3, , $J$3, $K$3))&lt;=0),0,$HE$2*0.5*(_xll.ciqfunctions.udf.CIQ($B7,"IQ_INVENTORY",HI$3,$I$3, $N$3, , $J$3, $K$3)+_xll.ciqfunctions.udf.CIQ($B7,"IQ_INVENTORY","IQ_" &amp; LEFT(HI$3,2) &amp; "-1", HI$3, $N$3, , $J$3, $K$3))/_xll.ciqfunctions.udf.CIQ($B7,"IQ_COGS",HI$3,$I$3, $N$3, , $J$3, $K$3))),"")</f>
        <v/>
      </c>
      <c r="HJ7" s="76" t="str">
        <f>IFERROR(IF(OR($B7="",HJ$3=""),"",IF(AND($HE$4="No",(_xll.ciqfunctions.udf.CIQ($B7,"IQ_INVENTORY",HJ$3,$I$3, $N$3, , $J$3, $K$3)+_xll.ciqfunctions.udf.CIQ($B7,"IQ_INVENTORY","IQ_" &amp; LEFT(HJ$3,2) &amp; "-1", HJ$3, $N$3, , $J$3, $K$3))&lt;=0),0,$HE$2*0.5*(_xll.ciqfunctions.udf.CIQ($B7,"IQ_INVENTORY",HJ$3,$I$3, $N$3, , $J$3, $K$3)+_xll.ciqfunctions.udf.CIQ($B7,"IQ_INVENTORY","IQ_" &amp; LEFT(HJ$3,2) &amp; "-1", HJ$3, $N$3, , $J$3, $K$3))/_xll.ciqfunctions.udf.CIQ($B7,"IQ_COGS",HJ$3,$I$3, $N$3, , $J$3, $K$3))),"")</f>
        <v/>
      </c>
      <c r="HK7" s="76" t="str">
        <f>IFERROR(IF(OR($B7="",HK$3=""),"",IF(AND($HE$4="No",(_xll.ciqfunctions.udf.CIQ($B7,"IQ_INVENTORY",HK$3,$I$3, $N$3, , $J$3, $K$3)+_xll.ciqfunctions.udf.CIQ($B7,"IQ_INVENTORY","IQ_" &amp; LEFT(HK$3,2) &amp; "-1", HK$3, $N$3, , $J$3, $K$3))&lt;=0),0,$HE$2*0.5*(_xll.ciqfunctions.udf.CIQ($B7,"IQ_INVENTORY",HK$3,$I$3, $N$3, , $J$3, $K$3)+_xll.ciqfunctions.udf.CIQ($B7,"IQ_INVENTORY","IQ_" &amp; LEFT(HK$3,2) &amp; "-1", HK$3, $N$3, , $J$3, $K$3))/_xll.ciqfunctions.udf.CIQ($B7,"IQ_COGS",HK$3,$I$3, $N$3, , $J$3, $K$3))),"")</f>
        <v/>
      </c>
      <c r="HL7" s="76" t="str">
        <f>IFERROR(IF(OR($B7="",HL$3=""),"",IF(AND($HE$4="No",(_xll.ciqfunctions.udf.CIQ($B7,"IQ_INVENTORY",HL$3,$I$3, $N$3, , $J$3, $K$3)+_xll.ciqfunctions.udf.CIQ($B7,"IQ_INVENTORY","IQ_" &amp; LEFT(HL$3,2) &amp; "-1", HL$3, $N$3, , $J$3, $K$3))&lt;=0),0,$HE$2*0.5*(_xll.ciqfunctions.udf.CIQ($B7,"IQ_INVENTORY",HL$3,$I$3, $N$3, , $J$3, $K$3)+_xll.ciqfunctions.udf.CIQ($B7,"IQ_INVENTORY","IQ_" &amp; LEFT(HL$3,2) &amp; "-1", HL$3, $N$3, , $J$3, $K$3))/_xll.ciqfunctions.udf.CIQ($B7,"IQ_COGS",HL$3,$I$3, $N$3, , $J$3, $K$3))),"")</f>
        <v/>
      </c>
      <c r="HM7" s="76" t="str">
        <f>IFERROR(IF(OR($B7="",HM$3=""),"",IF(AND($HE$4="No",(_xll.ciqfunctions.udf.CIQ($B7,"IQ_INVENTORY",HM$3,$I$3, $N$3, , $J$3, $K$3)+_xll.ciqfunctions.udf.CIQ($B7,"IQ_INVENTORY","IQ_" &amp; LEFT(HM$3,2) &amp; "-1", HM$3, $N$3, , $J$3, $K$3))&lt;=0),0,$HE$2*0.5*(_xll.ciqfunctions.udf.CIQ($B7,"IQ_INVENTORY",HM$3,$I$3, $N$3, , $J$3, $K$3)+_xll.ciqfunctions.udf.CIQ($B7,"IQ_INVENTORY","IQ_" &amp; LEFT(HM$3,2) &amp; "-1", HM$3, $N$3, , $J$3, $K$3))/_xll.ciqfunctions.udf.CIQ($B7,"IQ_COGS",HM$3,$I$3, $N$3, , $J$3, $K$3))),"")</f>
        <v/>
      </c>
      <c r="HN7" s="76" t="str">
        <f>IFERROR(IF(OR($B7="",HN$3=""),"",IF(AND($HE$4="No",(_xll.ciqfunctions.udf.CIQ($B7,"IQ_INVENTORY",HN$3,$I$3, $N$3, , $J$3, $K$3)+_xll.ciqfunctions.udf.CIQ($B7,"IQ_INVENTORY","IQ_" &amp; LEFT(HN$3,2) &amp; "-1", HN$3, $N$3, , $J$3, $K$3))&lt;=0),0,$HE$2*0.5*(_xll.ciqfunctions.udf.CIQ($B7,"IQ_INVENTORY",HN$3,$I$3, $N$3, , $J$3, $K$3)+_xll.ciqfunctions.udf.CIQ($B7,"IQ_INVENTORY","IQ_" &amp; LEFT(HN$3,2) &amp; "-1", HN$3, $N$3, , $J$3, $K$3))/_xll.ciqfunctions.udf.CIQ($B7,"IQ_COGS",HN$3,$I$3, $N$3, , $J$3, $K$3))),"")</f>
        <v/>
      </c>
      <c r="HO7" s="76" t="str">
        <f>IFERROR(IF(OR($B7="",HO$3=""),"",IF(AND($HE$4="No",(_xll.ciqfunctions.udf.CIQ($B7,"IQ_INVENTORY",HO$3,$I$3, $N$3, , $J$3, $K$3)+_xll.ciqfunctions.udf.CIQ($B7,"IQ_INVENTORY","IQ_" &amp; LEFT(HO$3,2) &amp; "-1", HO$3, $N$3, , $J$3, $K$3))&lt;=0),0,$HE$2*0.5*(_xll.ciqfunctions.udf.CIQ($B7,"IQ_INVENTORY",HO$3,$I$3, $N$3, , $J$3, $K$3)+_xll.ciqfunctions.udf.CIQ($B7,"IQ_INVENTORY","IQ_" &amp; LEFT(HO$3,2) &amp; "-1", HO$3, $N$3, , $J$3, $K$3))/_xll.ciqfunctions.udf.CIQ($B7,"IQ_COGS",HO$3,$I$3, $N$3, , $J$3, $K$3))),"")</f>
        <v/>
      </c>
      <c r="HP7" s="76" t="str">
        <f>IFERROR(IF(OR($B7="",HP$3=""),"",IF(AND($HE$4="No",(_xll.ciqfunctions.udf.CIQ($B7,"IQ_INVENTORY",HP$3,$I$3, $N$3, , $J$3, $K$3)+_xll.ciqfunctions.udf.CIQ($B7,"IQ_INVENTORY","IQ_" &amp; LEFT(HP$3,2) &amp; "-1", HP$3, $N$3, , $J$3, $K$3))&lt;=0),0,$HE$2*0.5*(_xll.ciqfunctions.udf.CIQ($B7,"IQ_INVENTORY",HP$3,$I$3, $N$3, , $J$3, $K$3)+_xll.ciqfunctions.udf.CIQ($B7,"IQ_INVENTORY","IQ_" &amp; LEFT(HP$3,2) &amp; "-1", HP$3, $N$3, , $J$3, $K$3))/_xll.ciqfunctions.udf.CIQ($B7,"IQ_COGS",HP$3,$I$3, $N$3, , $J$3, $K$3))),"")</f>
        <v/>
      </c>
      <c r="HQ7" s="76" t="str">
        <f>IFERROR(IF(OR($B7="",HQ$3=""),"",IF(AND($HE$4="No",(_xll.ciqfunctions.udf.CIQ($B7,"IQ_INVENTORY",HQ$3,$I$3, $N$3, , $J$3, $K$3)+_xll.ciqfunctions.udf.CIQ($B7,"IQ_INVENTORY","IQ_" &amp; LEFT(HQ$3,2) &amp; "-1", HQ$3, $N$3, , $J$3, $K$3))&lt;=0),0,$HE$2*0.5*(_xll.ciqfunctions.udf.CIQ($B7,"IQ_INVENTORY",HQ$3,$I$3, $N$3, , $J$3, $K$3)+_xll.ciqfunctions.udf.CIQ($B7,"IQ_INVENTORY","IQ_" &amp; LEFT(HQ$3,2) &amp; "-1", HQ$3, $N$3, , $J$3, $K$3))/_xll.ciqfunctions.udf.CIQ($B7,"IQ_COGS",HQ$3,$I$3, $N$3, , $J$3, $K$3))),"")</f>
        <v/>
      </c>
      <c r="HR7" s="76" t="str">
        <f>IFERROR(IF(OR($B7="",HR$3=""),"",IF(AND($HE$4="No",(_xll.ciqfunctions.udf.CIQ($B7,"IQ_INVENTORY",HR$3,$I$3, $N$3, , $J$3, $K$3)+_xll.ciqfunctions.udf.CIQ($B7,"IQ_INVENTORY","IQ_" &amp; LEFT(HR$3,2) &amp; "-1", HR$3, $N$3, , $J$3, $K$3))&lt;=0),0,$HE$2*0.5*(_xll.ciqfunctions.udf.CIQ($B7,"IQ_INVENTORY",HR$3,$I$3, $N$3, , $J$3, $K$3)+_xll.ciqfunctions.udf.CIQ($B7,"IQ_INVENTORY","IQ_" &amp; LEFT(HR$3,2) &amp; "-1", HR$3, $N$3, , $J$3, $K$3))/_xll.ciqfunctions.udf.CIQ($B7,"IQ_COGS",HR$3,$I$3, $N$3, , $J$3, $K$3))),"")</f>
        <v/>
      </c>
      <c r="HS7" s="76" t="str">
        <f>IFERROR(IF(OR($B7="",HS$3=""),"",IF(AND($HE$4="No",(_xll.ciqfunctions.udf.CIQ($B7,"IQ_INVENTORY",HS$3,$I$3, $N$3, , $J$3, $K$3)+_xll.ciqfunctions.udf.CIQ($B7,"IQ_INVENTORY","IQ_" &amp; LEFT(HS$3,2) &amp; "-1", HS$3, $N$3, , $J$3, $K$3))&lt;=0),0,$HE$2*0.5*(_xll.ciqfunctions.udf.CIQ($B7,"IQ_INVENTORY",HS$3,$I$3, $N$3, , $J$3, $K$3)+_xll.ciqfunctions.udf.CIQ($B7,"IQ_INVENTORY","IQ_" &amp; LEFT(HS$3,2) &amp; "-1", HS$3, $N$3, , $J$3, $K$3))/_xll.ciqfunctions.udf.CIQ($B7,"IQ_COGS",HS$3,$I$3, $N$3, , $J$3, $K$3))),"")</f>
        <v/>
      </c>
      <c r="HT7" s="76" t="str">
        <f>IFERROR(IF(OR($B7="",HT$3=""),"",IF(AND($HE$4="No",(_xll.ciqfunctions.udf.CIQ($B7,"IQ_INVENTORY",HT$3,$I$3, $N$3, , $J$3, $K$3)+_xll.ciqfunctions.udf.CIQ($B7,"IQ_INVENTORY","IQ_" &amp; LEFT(HT$3,2) &amp; "-1", HT$3, $N$3, , $J$3, $K$3))&lt;=0),0,$HE$2*0.5*(_xll.ciqfunctions.udf.CIQ($B7,"IQ_INVENTORY",HT$3,$I$3, $N$3, , $J$3, $K$3)+_xll.ciqfunctions.udf.CIQ($B7,"IQ_INVENTORY","IQ_" &amp; LEFT(HT$3,2) &amp; "-1", HT$3, $N$3, , $J$3, $K$3))/_xll.ciqfunctions.udf.CIQ($B7,"IQ_COGS",HT$3,$I$3, $N$3, , $J$3, $K$3))),"")</f>
        <v/>
      </c>
      <c r="HU7" s="76" t="str">
        <f>IFERROR(IF(OR($B7="",HU$3=""),"",IF(AND($HE$4="No",(_xll.ciqfunctions.udf.CIQ($B7,"IQ_INVENTORY",HU$3,$I$3, $N$3, , $J$3, $K$3)+_xll.ciqfunctions.udf.CIQ($B7,"IQ_INVENTORY","IQ_" &amp; LEFT(HU$3,2) &amp; "-1", HU$3, $N$3, , $J$3, $K$3))&lt;=0),0,$HE$2*0.5*(_xll.ciqfunctions.udf.CIQ($B7,"IQ_INVENTORY",HU$3,$I$3, $N$3, , $J$3, $K$3)+_xll.ciqfunctions.udf.CIQ($B7,"IQ_INVENTORY","IQ_" &amp; LEFT(HU$3,2) &amp; "-1", HU$3, $N$3, , $J$3, $K$3))/_xll.ciqfunctions.udf.CIQ($B7,"IQ_COGS",HU$3,$I$3, $N$3, , $J$3, $K$3))),"")</f>
        <v/>
      </c>
      <c r="HV7" s="76" t="str">
        <f>IFERROR(IF(OR($B7="",HV$3=""),"",IF(AND($HE$4="No",(_xll.ciqfunctions.udf.CIQ($B7,"IQ_INVENTORY",HV$3,$I$3, $N$3, , $J$3, $K$3)+_xll.ciqfunctions.udf.CIQ($B7,"IQ_INVENTORY","IQ_" &amp; LEFT(HV$3,2) &amp; "-1", HV$3, $N$3, , $J$3, $K$3))&lt;=0),0,$HE$2*0.5*(_xll.ciqfunctions.udf.CIQ($B7,"IQ_INVENTORY",HV$3,$I$3, $N$3, , $J$3, $K$3)+_xll.ciqfunctions.udf.CIQ($B7,"IQ_INVENTORY","IQ_" &amp; LEFT(HV$3,2) &amp; "-1", HV$3, $N$3, , $J$3, $K$3))/_xll.ciqfunctions.udf.CIQ($B7,"IQ_COGS",HV$3,$I$3, $N$3, , $J$3, $K$3))),"")</f>
        <v/>
      </c>
      <c r="HW7" s="76" t="str">
        <f>IFERROR(IF(OR($B7="",HW$3=""),"",IF(AND($HE$4="No",(_xll.ciqfunctions.udf.CIQ($B7,"IQ_INVENTORY",HW$3,$I$3, $N$3, , $J$3, $K$3)+_xll.ciqfunctions.udf.CIQ($B7,"IQ_INVENTORY","IQ_" &amp; LEFT(HW$3,2) &amp; "-1", HW$3, $N$3, , $J$3, $K$3))&lt;=0),0,$HE$2*0.5*(_xll.ciqfunctions.udf.CIQ($B7,"IQ_INVENTORY",HW$3,$I$3, $N$3, , $J$3, $K$3)+_xll.ciqfunctions.udf.CIQ($B7,"IQ_INVENTORY","IQ_" &amp; LEFT(HW$3,2) &amp; "-1", HW$3, $N$3, , $J$3, $K$3))/_xll.ciqfunctions.udf.CIQ($B7,"IQ_COGS",HW$3,$I$3, $N$3, , $J$3, $K$3))),"")</f>
        <v/>
      </c>
      <c r="HX7" s="77" t="str">
        <f>IFERROR(IF(OR($B7="",HX$3=""),"",IF(AND($HE$4="No",(_xll.ciqfunctions.udf.CIQ($B7,"IQ_INVENTORY",HX$3,$I$3, $N$3, , $J$3, $K$3)+_xll.ciqfunctions.udf.CIQ($B7,"IQ_INVENTORY","IQ_" &amp; LEFT(HX$3,2) &amp; "-1", HX$3, $N$3, , $J$3, $K$3))&lt;=0),0,$HE$2*0.5*(_xll.ciqfunctions.udf.CIQ($B7,"IQ_INVENTORY",HX$3,$I$3, $N$3, , $J$3, $K$3)+_xll.ciqfunctions.udf.CIQ($B7,"IQ_INVENTORY","IQ_" &amp; LEFT(HX$3,2) &amp; "-1", HX$3, $N$3, , $J$3, $K$3))/_xll.ciqfunctions.udf.CIQ($B7,"IQ_COGS",HX$3,$I$3, $N$3, , $J$3, $K$3))),"")</f>
        <v/>
      </c>
      <c r="HY7" s="75">
        <f>IFERROR(IF(OR($B7="",HY$3=""),"",IF(AND($HY$4="No",(_xll.ciqfunctions.udf.CIQ($B7,"IQ_AP",HY$3,$I$3, $N$3, , $J$3, $K$3)+_xll.ciqfunctions.udf.CIQ($B7,"IQ_AP","IQ_" &amp; LEFT(HY$3,2) &amp; "-1", HY$3, $N$3, , $J$3, $K$3))&lt;=0),"",(_xll.ciqfunctions.udf.CIQ($B7,"IQ_AP",HY$3,$I$3, $N$3, , $J$3, $K$3)+_xll.ciqfunctions.udf.CIQ($B7,"IQ_AP","IQ_" &amp; LEFT(HY$3,2) &amp; "-1", HY$3, $N$3, , $J$3, $K$3))/_xll.ciqfunctions.udf.CIQ($B7,"IQ_COGS",HY$3,$I$3, $N$3, , $J$3, $K$3)*$HY$2*0.5)),"")</f>
        <v>44.413438228438231</v>
      </c>
      <c r="HZ7" s="76" t="str">
        <f>IFERROR(IF(OR($B7="",HZ$3=""),"",IF(AND($HY$4="No",(_xll.ciqfunctions.udf.CIQ($B7,"IQ_AP",HZ$3,$I$3, $N$3, , $J$3, $K$3)+_xll.ciqfunctions.udf.CIQ($B7,"IQ_AP","IQ_" &amp; LEFT(HZ$3,2) &amp; "-1", HZ$3, $N$3, , $J$3, $K$3))&lt;=0),"",(_xll.ciqfunctions.udf.CIQ($B7,"IQ_AP",HZ$3,$I$3, $N$3, , $J$3, $K$3)+_xll.ciqfunctions.udf.CIQ($B7,"IQ_AP","IQ_" &amp; LEFT(HZ$3,2) &amp; "-1", HZ$3, $N$3, , $J$3, $K$3))/_xll.ciqfunctions.udf.CIQ($B7,"IQ_COGS",HZ$3,$I$3, $N$3, , $J$3, $K$3)*$HY$2*0.5)),"")</f>
        <v/>
      </c>
      <c r="IA7" s="76" t="str">
        <f>IFERROR(IF(OR($B7="",IA$3=""),"",IF(AND($HY$4="No",(_xll.ciqfunctions.udf.CIQ($B7,"IQ_AP",IA$3,$I$3, $N$3, , $J$3, $K$3)+_xll.ciqfunctions.udf.CIQ($B7,"IQ_AP","IQ_" &amp; LEFT(IA$3,2) &amp; "-1", IA$3, $N$3, , $J$3, $K$3))&lt;=0),"",(_xll.ciqfunctions.udf.CIQ($B7,"IQ_AP",IA$3,$I$3, $N$3, , $J$3, $K$3)+_xll.ciqfunctions.udf.CIQ($B7,"IQ_AP","IQ_" &amp; LEFT(IA$3,2) &amp; "-1", IA$3, $N$3, , $J$3, $K$3))/_xll.ciqfunctions.udf.CIQ($B7,"IQ_COGS",IA$3,$I$3, $N$3, , $J$3, $K$3)*$HY$2*0.5)),"")</f>
        <v/>
      </c>
      <c r="IB7" s="76" t="str">
        <f>IFERROR(IF(OR($B7="",IB$3=""),"",IF(AND($HY$4="No",(_xll.ciqfunctions.udf.CIQ($B7,"IQ_AP",IB$3,$I$3, $N$3, , $J$3, $K$3)+_xll.ciqfunctions.udf.CIQ($B7,"IQ_AP","IQ_" &amp; LEFT(IB$3,2) &amp; "-1", IB$3, $N$3, , $J$3, $K$3))&lt;=0),"",(_xll.ciqfunctions.udf.CIQ($B7,"IQ_AP",IB$3,$I$3, $N$3, , $J$3, $K$3)+_xll.ciqfunctions.udf.CIQ($B7,"IQ_AP","IQ_" &amp; LEFT(IB$3,2) &amp; "-1", IB$3, $N$3, , $J$3, $K$3))/_xll.ciqfunctions.udf.CIQ($B7,"IQ_COGS",IB$3,$I$3, $N$3, , $J$3, $K$3)*$HY$2*0.5)),"")</f>
        <v/>
      </c>
      <c r="IC7" s="76" t="str">
        <f>IFERROR(IF(OR($B7="",IC$3=""),"",IF(AND($HY$4="No",(_xll.ciqfunctions.udf.CIQ($B7,"IQ_AP",IC$3,$I$3, $N$3, , $J$3, $K$3)+_xll.ciqfunctions.udf.CIQ($B7,"IQ_AP","IQ_" &amp; LEFT(IC$3,2) &amp; "-1", IC$3, $N$3, , $J$3, $K$3))&lt;=0),"",(_xll.ciqfunctions.udf.CIQ($B7,"IQ_AP",IC$3,$I$3, $N$3, , $J$3, $K$3)+_xll.ciqfunctions.udf.CIQ($B7,"IQ_AP","IQ_" &amp; LEFT(IC$3,2) &amp; "-1", IC$3, $N$3, , $J$3, $K$3))/_xll.ciqfunctions.udf.CIQ($B7,"IQ_COGS",IC$3,$I$3, $N$3, , $J$3, $K$3)*$HY$2*0.5)),"")</f>
        <v/>
      </c>
      <c r="ID7" s="76" t="str">
        <f>IFERROR(IF(OR($B7="",ID$3=""),"",IF(AND($HY$4="No",(_xll.ciqfunctions.udf.CIQ($B7,"IQ_AP",ID$3,$I$3, $N$3, , $J$3, $K$3)+_xll.ciqfunctions.udf.CIQ($B7,"IQ_AP","IQ_" &amp; LEFT(ID$3,2) &amp; "-1", ID$3, $N$3, , $J$3, $K$3))&lt;=0),"",(_xll.ciqfunctions.udf.CIQ($B7,"IQ_AP",ID$3,$I$3, $N$3, , $J$3, $K$3)+_xll.ciqfunctions.udf.CIQ($B7,"IQ_AP","IQ_" &amp; LEFT(ID$3,2) &amp; "-1", ID$3, $N$3, , $J$3, $K$3))/_xll.ciqfunctions.udf.CIQ($B7,"IQ_COGS",ID$3,$I$3, $N$3, , $J$3, $K$3)*$HY$2*0.5)),"")</f>
        <v/>
      </c>
      <c r="IE7" s="76" t="str">
        <f>IFERROR(IF(OR($B7="",IE$3=""),"",IF(AND($HY$4="No",(_xll.ciqfunctions.udf.CIQ($B7,"IQ_AP",IE$3,$I$3, $N$3, , $J$3, $K$3)+_xll.ciqfunctions.udf.CIQ($B7,"IQ_AP","IQ_" &amp; LEFT(IE$3,2) &amp; "-1", IE$3, $N$3, , $J$3, $K$3))&lt;=0),"",(_xll.ciqfunctions.udf.CIQ($B7,"IQ_AP",IE$3,$I$3, $N$3, , $J$3, $K$3)+_xll.ciqfunctions.udf.CIQ($B7,"IQ_AP","IQ_" &amp; LEFT(IE$3,2) &amp; "-1", IE$3, $N$3, , $J$3, $K$3))/_xll.ciqfunctions.udf.CIQ($B7,"IQ_COGS",IE$3,$I$3, $N$3, , $J$3, $K$3)*$HY$2*0.5)),"")</f>
        <v/>
      </c>
      <c r="IF7" s="76" t="str">
        <f>IFERROR(IF(OR($B7="",IF$3=""),"",IF(AND($HY$4="No",(_xll.ciqfunctions.udf.CIQ($B7,"IQ_AP",IF$3,$I$3, $N$3, , $J$3, $K$3)+_xll.ciqfunctions.udf.CIQ($B7,"IQ_AP","IQ_" &amp; LEFT(IF$3,2) &amp; "-1", IF$3, $N$3, , $J$3, $K$3))&lt;=0),"",(_xll.ciqfunctions.udf.CIQ($B7,"IQ_AP",IF$3,$I$3, $N$3, , $J$3, $K$3)+_xll.ciqfunctions.udf.CIQ($B7,"IQ_AP","IQ_" &amp; LEFT(IF$3,2) &amp; "-1", IF$3, $N$3, , $J$3, $K$3))/_xll.ciqfunctions.udf.CIQ($B7,"IQ_COGS",IF$3,$I$3, $N$3, , $J$3, $K$3)*$HY$2*0.5)),"")</f>
        <v/>
      </c>
      <c r="IG7" s="76" t="str">
        <f>IFERROR(IF(OR($B7="",IG$3=""),"",IF(AND($HY$4="No",(_xll.ciqfunctions.udf.CIQ($B7,"IQ_AP",IG$3,$I$3, $N$3, , $J$3, $K$3)+_xll.ciqfunctions.udf.CIQ($B7,"IQ_AP","IQ_" &amp; LEFT(IG$3,2) &amp; "-1", IG$3, $N$3, , $J$3, $K$3))&lt;=0),"",(_xll.ciqfunctions.udf.CIQ($B7,"IQ_AP",IG$3,$I$3, $N$3, , $J$3, $K$3)+_xll.ciqfunctions.udf.CIQ($B7,"IQ_AP","IQ_" &amp; LEFT(IG$3,2) &amp; "-1", IG$3, $N$3, , $J$3, $K$3))/_xll.ciqfunctions.udf.CIQ($B7,"IQ_COGS",IG$3,$I$3, $N$3, , $J$3, $K$3)*$HY$2*0.5)),"")</f>
        <v/>
      </c>
      <c r="IH7" s="76" t="str">
        <f>IFERROR(IF(OR($B7="",IH$3=""),"",IF(AND($HY$4="No",(_xll.ciqfunctions.udf.CIQ($B7,"IQ_AP",IH$3,$I$3, $N$3, , $J$3, $K$3)+_xll.ciqfunctions.udf.CIQ($B7,"IQ_AP","IQ_" &amp; LEFT(IH$3,2) &amp; "-1", IH$3, $N$3, , $J$3, $K$3))&lt;=0),"",(_xll.ciqfunctions.udf.CIQ($B7,"IQ_AP",IH$3,$I$3, $N$3, , $J$3, $K$3)+_xll.ciqfunctions.udf.CIQ($B7,"IQ_AP","IQ_" &amp; LEFT(IH$3,2) &amp; "-1", IH$3, $N$3, , $J$3, $K$3))/_xll.ciqfunctions.udf.CIQ($B7,"IQ_COGS",IH$3,$I$3, $N$3, , $J$3, $K$3)*$HY$2*0.5)),"")</f>
        <v/>
      </c>
      <c r="II7" s="76" t="str">
        <f>IFERROR(IF(OR($B7="",II$3=""),"",IF(AND($HY$4="No",(_xll.ciqfunctions.udf.CIQ($B7,"IQ_AP",II$3,$I$3, $N$3, , $J$3, $K$3)+_xll.ciqfunctions.udf.CIQ($B7,"IQ_AP","IQ_" &amp; LEFT(II$3,2) &amp; "-1", II$3, $N$3, , $J$3, $K$3))&lt;=0),"",(_xll.ciqfunctions.udf.CIQ($B7,"IQ_AP",II$3,$I$3, $N$3, , $J$3, $K$3)+_xll.ciqfunctions.udf.CIQ($B7,"IQ_AP","IQ_" &amp; LEFT(II$3,2) &amp; "-1", II$3, $N$3, , $J$3, $K$3))/_xll.ciqfunctions.udf.CIQ($B7,"IQ_COGS",II$3,$I$3, $N$3, , $J$3, $K$3)*$HY$2*0.5)),"")</f>
        <v/>
      </c>
      <c r="IJ7" s="76" t="str">
        <f>IFERROR(IF(OR($B7="",IJ$3=""),"",IF(AND($HY$4="No",(_xll.ciqfunctions.udf.CIQ($B7,"IQ_AP",IJ$3,$I$3, $N$3, , $J$3, $K$3)+_xll.ciqfunctions.udf.CIQ($B7,"IQ_AP","IQ_" &amp; LEFT(IJ$3,2) &amp; "-1", IJ$3, $N$3, , $J$3, $K$3))&lt;=0),"",(_xll.ciqfunctions.udf.CIQ($B7,"IQ_AP",IJ$3,$I$3, $N$3, , $J$3, $K$3)+_xll.ciqfunctions.udf.CIQ($B7,"IQ_AP","IQ_" &amp; LEFT(IJ$3,2) &amp; "-1", IJ$3, $N$3, , $J$3, $K$3))/_xll.ciqfunctions.udf.CIQ($B7,"IQ_COGS",IJ$3,$I$3, $N$3, , $J$3, $K$3)*$HY$2*0.5)),"")</f>
        <v/>
      </c>
      <c r="IK7" s="76" t="str">
        <f>IFERROR(IF(OR($B7="",IK$3=""),"",IF(AND($HY$4="No",(_xll.ciqfunctions.udf.CIQ($B7,"IQ_AP",IK$3,$I$3, $N$3, , $J$3, $K$3)+_xll.ciqfunctions.udf.CIQ($B7,"IQ_AP","IQ_" &amp; LEFT(IK$3,2) &amp; "-1", IK$3, $N$3, , $J$3, $K$3))&lt;=0),"",(_xll.ciqfunctions.udf.CIQ($B7,"IQ_AP",IK$3,$I$3, $N$3, , $J$3, $K$3)+_xll.ciqfunctions.udf.CIQ($B7,"IQ_AP","IQ_" &amp; LEFT(IK$3,2) &amp; "-1", IK$3, $N$3, , $J$3, $K$3))/_xll.ciqfunctions.udf.CIQ($B7,"IQ_COGS",IK$3,$I$3, $N$3, , $J$3, $K$3)*$HY$2*0.5)),"")</f>
        <v/>
      </c>
      <c r="IL7" s="76" t="str">
        <f>IFERROR(IF(OR($B7="",IL$3=""),"",IF(AND($HY$4="No",(_xll.ciqfunctions.udf.CIQ($B7,"IQ_AP",IL$3,$I$3, $N$3, , $J$3, $K$3)+_xll.ciqfunctions.udf.CIQ($B7,"IQ_AP","IQ_" &amp; LEFT(IL$3,2) &amp; "-1", IL$3, $N$3, , $J$3, $K$3))&lt;=0),"",(_xll.ciqfunctions.udf.CIQ($B7,"IQ_AP",IL$3,$I$3, $N$3, , $J$3, $K$3)+_xll.ciqfunctions.udf.CIQ($B7,"IQ_AP","IQ_" &amp; LEFT(IL$3,2) &amp; "-1", IL$3, $N$3, , $J$3, $K$3))/_xll.ciqfunctions.udf.CIQ($B7,"IQ_COGS",IL$3,$I$3, $N$3, , $J$3, $K$3)*$HY$2*0.5)),"")</f>
        <v/>
      </c>
      <c r="IM7" s="76" t="str">
        <f>IFERROR(IF(OR($B7="",IM$3=""),"",IF(AND($HY$4="No",(_xll.ciqfunctions.udf.CIQ($B7,"IQ_AP",IM$3,$I$3, $N$3, , $J$3, $K$3)+_xll.ciqfunctions.udf.CIQ($B7,"IQ_AP","IQ_" &amp; LEFT(IM$3,2) &amp; "-1", IM$3, $N$3, , $J$3, $K$3))&lt;=0),"",(_xll.ciqfunctions.udf.CIQ($B7,"IQ_AP",IM$3,$I$3, $N$3, , $J$3, $K$3)+_xll.ciqfunctions.udf.CIQ($B7,"IQ_AP","IQ_" &amp; LEFT(IM$3,2) &amp; "-1", IM$3, $N$3, , $J$3, $K$3))/_xll.ciqfunctions.udf.CIQ($B7,"IQ_COGS",IM$3,$I$3, $N$3, , $J$3, $K$3)*$HY$2*0.5)),"")</f>
        <v/>
      </c>
      <c r="IN7" s="76" t="str">
        <f>IFERROR(IF(OR($B7="",IN$3=""),"",IF(AND($HY$4="No",(_xll.ciqfunctions.udf.CIQ($B7,"IQ_AP",IN$3,$I$3, $N$3, , $J$3, $K$3)+_xll.ciqfunctions.udf.CIQ($B7,"IQ_AP","IQ_" &amp; LEFT(IN$3,2) &amp; "-1", IN$3, $N$3, , $J$3, $K$3))&lt;=0),"",(_xll.ciqfunctions.udf.CIQ($B7,"IQ_AP",IN$3,$I$3, $N$3, , $J$3, $K$3)+_xll.ciqfunctions.udf.CIQ($B7,"IQ_AP","IQ_" &amp; LEFT(IN$3,2) &amp; "-1", IN$3, $N$3, , $J$3, $K$3))/_xll.ciqfunctions.udf.CIQ($B7,"IQ_COGS",IN$3,$I$3, $N$3, , $J$3, $K$3)*$HY$2*0.5)),"")</f>
        <v/>
      </c>
      <c r="IO7" s="76" t="str">
        <f>IFERROR(IF(OR($B7="",IO$3=""),"",IF(AND($HY$4="No",(_xll.ciqfunctions.udf.CIQ($B7,"IQ_AP",IO$3,$I$3, $N$3, , $J$3, $K$3)+_xll.ciqfunctions.udf.CIQ($B7,"IQ_AP","IQ_" &amp; LEFT(IO$3,2) &amp; "-1", IO$3, $N$3, , $J$3, $K$3))&lt;=0),"",(_xll.ciqfunctions.udf.CIQ($B7,"IQ_AP",IO$3,$I$3, $N$3, , $J$3, $K$3)+_xll.ciqfunctions.udf.CIQ($B7,"IQ_AP","IQ_" &amp; LEFT(IO$3,2) &amp; "-1", IO$3, $N$3, , $J$3, $K$3))/_xll.ciqfunctions.udf.CIQ($B7,"IQ_COGS",IO$3,$I$3, $N$3, , $J$3, $K$3)*$HY$2*0.5)),"")</f>
        <v/>
      </c>
      <c r="IP7" s="76" t="str">
        <f>IFERROR(IF(OR($B7="",IP$3=""),"",IF(AND($HY$4="No",(_xll.ciqfunctions.udf.CIQ($B7,"IQ_AP",IP$3,$I$3, $N$3, , $J$3, $K$3)+_xll.ciqfunctions.udf.CIQ($B7,"IQ_AP","IQ_" &amp; LEFT(IP$3,2) &amp; "-1", IP$3, $N$3, , $J$3, $K$3))&lt;=0),"",(_xll.ciqfunctions.udf.CIQ($B7,"IQ_AP",IP$3,$I$3, $N$3, , $J$3, $K$3)+_xll.ciqfunctions.udf.CIQ($B7,"IQ_AP","IQ_" &amp; LEFT(IP$3,2) &amp; "-1", IP$3, $N$3, , $J$3, $K$3))/_xll.ciqfunctions.udf.CIQ($B7,"IQ_COGS",IP$3,$I$3, $N$3, , $J$3, $K$3)*$HY$2*0.5)),"")</f>
        <v/>
      </c>
      <c r="IQ7" s="76" t="str">
        <f>IFERROR(IF(OR($B7="",IQ$3=""),"",IF(AND($HY$4="No",(_xll.ciqfunctions.udf.CIQ($B7,"IQ_AP",IQ$3,$I$3, $N$3, , $J$3, $K$3)+_xll.ciqfunctions.udf.CIQ($B7,"IQ_AP","IQ_" &amp; LEFT(IQ$3,2) &amp; "-1", IQ$3, $N$3, , $J$3, $K$3))&lt;=0),"",(_xll.ciqfunctions.udf.CIQ($B7,"IQ_AP",IQ$3,$I$3, $N$3, , $J$3, $K$3)+_xll.ciqfunctions.udf.CIQ($B7,"IQ_AP","IQ_" &amp; LEFT(IQ$3,2) &amp; "-1", IQ$3, $N$3, , $J$3, $K$3))/_xll.ciqfunctions.udf.CIQ($B7,"IQ_COGS",IQ$3,$I$3, $N$3, , $J$3, $K$3)*$HY$2*0.5)),"")</f>
        <v/>
      </c>
      <c r="IR7" s="77" t="str">
        <f>IFERROR(IF(OR($B7="",IR$3=""),"",IF(AND($HY$4="No",(_xll.ciqfunctions.udf.CIQ($B7,"IQ_AP",IR$3,$I$3, $N$3, , $J$3, $K$3)+_xll.ciqfunctions.udf.CIQ($B7,"IQ_AP","IQ_" &amp; LEFT(IR$3,2) &amp; "-1", IR$3, $N$3, , $J$3, $K$3))&lt;=0),"",(_xll.ciqfunctions.udf.CIQ($B7,"IQ_AP",IR$3,$I$3, $N$3, , $J$3, $K$3)+_xll.ciqfunctions.udf.CIQ($B7,"IQ_AP","IQ_" &amp; LEFT(IR$3,2) &amp; "-1", IR$3, $N$3, , $J$3, $K$3))/_xll.ciqfunctions.udf.CIQ($B7,"IQ_COGS",IR$3,$I$3, $N$3, , $J$3, $K$3)*$HY$2*0.5)),"")</f>
        <v/>
      </c>
      <c r="IS7" s="75">
        <f t="shared" ref="IS7:IS17" si="343">IFERROR(IF(OR($B7="",IS$3=""),"",GK7+HE7-HY7),"")</f>
        <v>3.4629870145742387</v>
      </c>
      <c r="IT7" s="76" t="str">
        <f t="shared" ref="IT7:IT17" si="344">IFERROR(IF(OR($B7="",IT$3=""),"",GL7+HF7-HZ7),"")</f>
        <v/>
      </c>
      <c r="IU7" s="76" t="str">
        <f t="shared" ref="IU7:IU17" si="345">IFERROR(IF(OR($B7="",IU$3=""),"",GM7+HG7-IA7),"")</f>
        <v/>
      </c>
      <c r="IV7" s="76" t="str">
        <f t="shared" ref="IV7:IV17" si="346">IFERROR(IF(OR($B7="",IV$3=""),"",GN7+HH7-IB7),"")</f>
        <v/>
      </c>
      <c r="IW7" s="76" t="str">
        <f t="shared" ref="IW7:IW17" si="347">IFERROR(IF(OR($B7="",IW$3=""),"",GO7+HI7-IC7),"")</f>
        <v/>
      </c>
      <c r="IX7" s="76" t="str">
        <f t="shared" ref="IX7:IX17" si="348">IFERROR(IF(OR($B7="",IX$3=""),"",GP7+HJ7-ID7),"")</f>
        <v/>
      </c>
      <c r="IY7" s="76" t="str">
        <f t="shared" ref="IY7:IY17" si="349">IFERROR(IF(OR($B7="",IY$3=""),"",GQ7+HK7-IE7),"")</f>
        <v/>
      </c>
      <c r="IZ7" s="76" t="str">
        <f t="shared" ref="IZ7:IZ17" si="350">IFERROR(IF(OR($B7="",IZ$3=""),"",GR7+HL7-IF7),"")</f>
        <v/>
      </c>
      <c r="JA7" s="76" t="str">
        <f t="shared" ref="JA7:JA17" si="351">IFERROR(IF(OR($B7="",JA$3=""),"",GS7+HM7-IG7),"")</f>
        <v/>
      </c>
      <c r="JB7" s="76" t="str">
        <f t="shared" ref="JB7:JB17" si="352">IFERROR(IF(OR($B7="",JB$3=""),"",GT7+HN7-IH7),"")</f>
        <v/>
      </c>
      <c r="JC7" s="76" t="str">
        <f t="shared" ref="JC7:JC17" si="353">IFERROR(IF(OR($B7="",JC$3=""),"",GU7+HO7-II7),"")</f>
        <v/>
      </c>
      <c r="JD7" s="76" t="str">
        <f t="shared" ref="JD7:JD17" si="354">IFERROR(IF(OR($B7="",JD$3=""),"",GV7+HP7-IJ7),"")</f>
        <v/>
      </c>
      <c r="JE7" s="76" t="str">
        <f t="shared" ref="JE7:JE17" si="355">IFERROR(IF(OR($B7="",JE$3=""),"",GW7+HQ7-IK7),"")</f>
        <v/>
      </c>
      <c r="JF7" s="76" t="str">
        <f t="shared" ref="JF7:JF17" si="356">IFERROR(IF(OR($B7="",JF$3=""),"",GX7+HR7-IL7),"")</f>
        <v/>
      </c>
      <c r="JG7" s="76" t="str">
        <f t="shared" ref="JG7:JG17" si="357">IFERROR(IF(OR($B7="",JG$3=""),"",GY7+HS7-IM7),"")</f>
        <v/>
      </c>
      <c r="JH7" s="76" t="str">
        <f t="shared" ref="JH7:JH17" si="358">IFERROR(IF(OR($B7="",JH$3=""),"",GZ7+HT7-IN7),"")</f>
        <v/>
      </c>
      <c r="JI7" s="76" t="str">
        <f t="shared" ref="JI7:JI17" si="359">IFERROR(IF(OR($B7="",JI$3=""),"",HA7+HU7-IO7),"")</f>
        <v/>
      </c>
      <c r="JJ7" s="76" t="str">
        <f t="shared" ref="JJ7:JJ17" si="360">IFERROR(IF(OR($B7="",JJ$3=""),"",HB7+HV7-IP7),"")</f>
        <v/>
      </c>
      <c r="JK7" s="76" t="str">
        <f t="shared" ref="JK7:JK17" si="361">IFERROR(IF(OR($B7="",JK$3=""),"",HC7+HW7-IQ7),"")</f>
        <v/>
      </c>
      <c r="JL7" s="77" t="str">
        <f t="shared" ref="JL7:JL17" si="362">IFERROR(IF(OR($B7="",JL$3=""),"",HD7+HX7-IR7),"")</f>
        <v/>
      </c>
      <c r="JM7" s="72">
        <f>IFERROR(IF(OR($B7="",JM$3=""),"",_xll.ciqfunctions.udf.CIQ($B7,"IQ_CASH_OPER",JM$3,$I$3, $N$3, , $J$3, $K$3)/_xll.ciqfunctions.udf.CIQ($B7,"IQ_TOTAL_REV",JM$3,$I$3, $N$3, , $J$3, $K$3)),"")</f>
        <v>4.221882343903316E-2</v>
      </c>
      <c r="JN7" s="73" t="str">
        <f>IFERROR(IF(OR($B7="",JN$3=""),"",_xll.ciqfunctions.udf.CIQ($B7,"IQ_CASH_OPER",JN$3,$I$3, $N$3, , $J$3, $K$3)/_xll.ciqfunctions.udf.CIQ($B7,"IQ_TOTAL_REV",JN$3,$I$3, $N$3, , $J$3, $K$3)),"")</f>
        <v/>
      </c>
      <c r="JO7" s="73" t="str">
        <f>IFERROR(IF(OR($B7="",JO$3=""),"",_xll.ciqfunctions.udf.CIQ($B7,"IQ_CASH_OPER",JO$3,$I$3, $N$3, , $J$3, $K$3)/_xll.ciqfunctions.udf.CIQ($B7,"IQ_TOTAL_REV",JO$3,$I$3, $N$3, , $J$3, $K$3)),"")</f>
        <v/>
      </c>
      <c r="JP7" s="73" t="str">
        <f>IFERROR(IF(OR($B7="",JP$3=""),"",_xll.ciqfunctions.udf.CIQ($B7,"IQ_CASH_OPER",JP$3,$I$3, $N$3, , $J$3, $K$3)/_xll.ciqfunctions.udf.CIQ($B7,"IQ_TOTAL_REV",JP$3,$I$3, $N$3, , $J$3, $K$3)),"")</f>
        <v/>
      </c>
      <c r="JQ7" s="73" t="str">
        <f>IFERROR(IF(OR($B7="",JQ$3=""),"",_xll.ciqfunctions.udf.CIQ($B7,"IQ_CASH_OPER",JQ$3,$I$3, $N$3, , $J$3, $K$3)/_xll.ciqfunctions.udf.CIQ($B7,"IQ_TOTAL_REV",JQ$3,$I$3, $N$3, , $J$3, $K$3)),"")</f>
        <v/>
      </c>
      <c r="JR7" s="73" t="str">
        <f>IFERROR(IF(OR($B7="",JR$3=""),"",_xll.ciqfunctions.udf.CIQ($B7,"IQ_CASH_OPER",JR$3,$I$3, $N$3, , $J$3, $K$3)/_xll.ciqfunctions.udf.CIQ($B7,"IQ_TOTAL_REV",JR$3,$I$3, $N$3, , $J$3, $K$3)),"")</f>
        <v/>
      </c>
      <c r="JS7" s="73" t="str">
        <f>IFERROR(IF(OR($B7="",JS$3=""),"",_xll.ciqfunctions.udf.CIQ($B7,"IQ_CASH_OPER",JS$3,$I$3, $N$3, , $J$3, $K$3)/_xll.ciqfunctions.udf.CIQ($B7,"IQ_TOTAL_REV",JS$3,$I$3, $N$3, , $J$3, $K$3)),"")</f>
        <v/>
      </c>
      <c r="JT7" s="73" t="str">
        <f>IFERROR(IF(OR($B7="",JT$3=""),"",_xll.ciqfunctions.udf.CIQ($B7,"IQ_CASH_OPER",JT$3,$I$3, $N$3, , $J$3, $K$3)/_xll.ciqfunctions.udf.CIQ($B7,"IQ_TOTAL_REV",JT$3,$I$3, $N$3, , $J$3, $K$3)),"")</f>
        <v/>
      </c>
      <c r="JU7" s="73" t="str">
        <f>IFERROR(IF(OR($B7="",JU$3=""),"",_xll.ciqfunctions.udf.CIQ($B7,"IQ_CASH_OPER",JU$3,$I$3, $N$3, , $J$3, $K$3)/_xll.ciqfunctions.udf.CIQ($B7,"IQ_TOTAL_REV",JU$3,$I$3, $N$3, , $J$3, $K$3)),"")</f>
        <v/>
      </c>
      <c r="JV7" s="73" t="str">
        <f>IFERROR(IF(OR($B7="",JV$3=""),"",_xll.ciqfunctions.udf.CIQ($B7,"IQ_CASH_OPER",JV$3,$I$3, $N$3, , $J$3, $K$3)/_xll.ciqfunctions.udf.CIQ($B7,"IQ_TOTAL_REV",JV$3,$I$3, $N$3, , $J$3, $K$3)),"")</f>
        <v/>
      </c>
      <c r="JW7" s="73" t="str">
        <f>IFERROR(IF(OR($B7="",JW$3=""),"",_xll.ciqfunctions.udf.CIQ($B7,"IQ_CASH_OPER",JW$3,$I$3, $N$3, , $J$3, $K$3)/_xll.ciqfunctions.udf.CIQ($B7,"IQ_TOTAL_REV",JW$3,$I$3, $N$3, , $J$3, $K$3)),"")</f>
        <v/>
      </c>
      <c r="JX7" s="73" t="str">
        <f>IFERROR(IF(OR($B7="",JX$3=""),"",_xll.ciqfunctions.udf.CIQ($B7,"IQ_CASH_OPER",JX$3,$I$3, $N$3, , $J$3, $K$3)/_xll.ciqfunctions.udf.CIQ($B7,"IQ_TOTAL_REV",JX$3,$I$3, $N$3, , $J$3, $K$3)),"")</f>
        <v/>
      </c>
      <c r="JY7" s="73" t="str">
        <f>IFERROR(IF(OR($B7="",JY$3=""),"",_xll.ciqfunctions.udf.CIQ($B7,"IQ_CASH_OPER",JY$3,$I$3, $N$3, , $J$3, $K$3)/_xll.ciqfunctions.udf.CIQ($B7,"IQ_TOTAL_REV",JY$3,$I$3, $N$3, , $J$3, $K$3)),"")</f>
        <v/>
      </c>
      <c r="JZ7" s="73" t="str">
        <f>IFERROR(IF(OR($B7="",JZ$3=""),"",_xll.ciqfunctions.udf.CIQ($B7,"IQ_CASH_OPER",JZ$3,$I$3, $N$3, , $J$3, $K$3)/_xll.ciqfunctions.udf.CIQ($B7,"IQ_TOTAL_REV",JZ$3,$I$3, $N$3, , $J$3, $K$3)),"")</f>
        <v/>
      </c>
      <c r="KA7" s="73" t="str">
        <f>IFERROR(IF(OR($B7="",KA$3=""),"",_xll.ciqfunctions.udf.CIQ($B7,"IQ_CASH_OPER",KA$3,$I$3, $N$3, , $J$3, $K$3)/_xll.ciqfunctions.udf.CIQ($B7,"IQ_TOTAL_REV",KA$3,$I$3, $N$3, , $J$3, $K$3)),"")</f>
        <v/>
      </c>
      <c r="KB7" s="73" t="str">
        <f>IFERROR(IF(OR($B7="",KB$3=""),"",_xll.ciqfunctions.udf.CIQ($B7,"IQ_CASH_OPER",KB$3,$I$3, $N$3, , $J$3, $K$3)/_xll.ciqfunctions.udf.CIQ($B7,"IQ_TOTAL_REV",KB$3,$I$3, $N$3, , $J$3, $K$3)),"")</f>
        <v/>
      </c>
      <c r="KC7" s="73" t="str">
        <f>IFERROR(IF(OR($B7="",KC$3=""),"",_xll.ciqfunctions.udf.CIQ($B7,"IQ_CASH_OPER",KC$3,$I$3, $N$3, , $J$3, $K$3)/_xll.ciqfunctions.udf.CIQ($B7,"IQ_TOTAL_REV",KC$3,$I$3, $N$3, , $J$3, $K$3)),"")</f>
        <v/>
      </c>
      <c r="KD7" s="73" t="str">
        <f>IFERROR(IF(OR($B7="",KD$3=""),"",_xll.ciqfunctions.udf.CIQ($B7,"IQ_CASH_OPER",KD$3,$I$3, $N$3, , $J$3, $K$3)/_xll.ciqfunctions.udf.CIQ($B7,"IQ_TOTAL_REV",KD$3,$I$3, $N$3, , $J$3, $K$3)),"")</f>
        <v/>
      </c>
      <c r="KE7" s="73" t="str">
        <f>IFERROR(IF(OR($B7="",KE$3=""),"",_xll.ciqfunctions.udf.CIQ($B7,"IQ_CASH_OPER",KE$3,$I$3, $N$3, , $J$3, $K$3)/_xll.ciqfunctions.udf.CIQ($B7,"IQ_TOTAL_REV",KE$3,$I$3, $N$3, , $J$3, $K$3)),"")</f>
        <v/>
      </c>
      <c r="KF7" s="74" t="str">
        <f>IFERROR(IF(OR($B7="",KF$3=""),"",_xll.ciqfunctions.udf.CIQ($B7,"IQ_CASH_OPER",KF$3,$I$3, $N$3, , $J$3, $K$3)/_xll.ciqfunctions.udf.CIQ($B7,"IQ_TOTAL_REV",KF$3,$I$3, $N$3, , $J$3, $K$3)),"")</f>
        <v/>
      </c>
      <c r="KG7" s="75">
        <f>IFERROR(IF(OR($B7="",KG$3=""),"",IF(NOT(ISNUMBER(_xll.ciqfunctions.udf.CIQ($B7, "IQ_ASSET_TURNS", KG$3, $E$3, $N$3, , $J$3, $K$3))),"",_xll.ciqfunctions.udf.CIQ($B7, "IQ_ASSET_TURNS", KG$3, $E$3, $N$3, , $J$3, $K$3))),"")</f>
        <v>2.3031999999999999</v>
      </c>
      <c r="KH7" s="76" t="str">
        <f>IFERROR(IF(OR($B7="",KH$3=""),"",IF(NOT(ISNUMBER(_xll.ciqfunctions.udf.CIQ($B7, "IQ_ASSET_TURNS", KH$3, $E$3, $N$3, , $J$3, $K$3))),"",_xll.ciqfunctions.udf.CIQ($B7, "IQ_ASSET_TURNS", KH$3, $E$3, $N$3, , $J$3, $K$3))),"")</f>
        <v/>
      </c>
      <c r="KI7" s="76" t="str">
        <f>IFERROR(IF(OR($B7="",KI$3=""),"",IF(NOT(ISNUMBER(_xll.ciqfunctions.udf.CIQ($B7, "IQ_ASSET_TURNS", KI$3, $E$3, $N$3, , $J$3, $K$3))),"",_xll.ciqfunctions.udf.CIQ($B7, "IQ_ASSET_TURNS", KI$3, $E$3, $N$3, , $J$3, $K$3))),"")</f>
        <v/>
      </c>
      <c r="KJ7" s="76" t="str">
        <f>IFERROR(IF(OR($B7="",KJ$3=""),"",IF(NOT(ISNUMBER(_xll.ciqfunctions.udf.CIQ($B7, "IQ_ASSET_TURNS", KJ$3, $E$3, $N$3, , $J$3, $K$3))),"",_xll.ciqfunctions.udf.CIQ($B7, "IQ_ASSET_TURNS", KJ$3, $E$3, $N$3, , $J$3, $K$3))),"")</f>
        <v/>
      </c>
      <c r="KK7" s="76" t="str">
        <f>IFERROR(IF(OR($B7="",KK$3=""),"",IF(NOT(ISNUMBER(_xll.ciqfunctions.udf.CIQ($B7, "IQ_ASSET_TURNS", KK$3, $E$3, $N$3, , $J$3, $K$3))),"",_xll.ciqfunctions.udf.CIQ($B7, "IQ_ASSET_TURNS", KK$3, $E$3, $N$3, , $J$3, $K$3))),"")</f>
        <v/>
      </c>
      <c r="KL7" s="76" t="str">
        <f>IFERROR(IF(OR($B7="",KL$3=""),"",IF(NOT(ISNUMBER(_xll.ciqfunctions.udf.CIQ($B7, "IQ_ASSET_TURNS", KL$3, $E$3, $N$3, , $J$3, $K$3))),"",_xll.ciqfunctions.udf.CIQ($B7, "IQ_ASSET_TURNS", KL$3, $E$3, $N$3, , $J$3, $K$3))),"")</f>
        <v/>
      </c>
      <c r="KM7" s="76" t="str">
        <f>IFERROR(IF(OR($B7="",KM$3=""),"",IF(NOT(ISNUMBER(_xll.ciqfunctions.udf.CIQ($B7, "IQ_ASSET_TURNS", KM$3, $E$3, $N$3, , $J$3, $K$3))),"",_xll.ciqfunctions.udf.CIQ($B7, "IQ_ASSET_TURNS", KM$3, $E$3, $N$3, , $J$3, $K$3))),"")</f>
        <v/>
      </c>
      <c r="KN7" s="76" t="str">
        <f>IFERROR(IF(OR($B7="",KN$3=""),"",IF(NOT(ISNUMBER(_xll.ciqfunctions.udf.CIQ($B7, "IQ_ASSET_TURNS", KN$3, $E$3, $N$3, , $J$3, $K$3))),"",_xll.ciqfunctions.udf.CIQ($B7, "IQ_ASSET_TURNS", KN$3, $E$3, $N$3, , $J$3, $K$3))),"")</f>
        <v/>
      </c>
      <c r="KO7" s="76" t="str">
        <f>IFERROR(IF(OR($B7="",KO$3=""),"",IF(NOT(ISNUMBER(_xll.ciqfunctions.udf.CIQ($B7, "IQ_ASSET_TURNS", KO$3, $E$3, $N$3, , $J$3, $K$3))),"",_xll.ciqfunctions.udf.CIQ($B7, "IQ_ASSET_TURNS", KO$3, $E$3, $N$3, , $J$3, $K$3))),"")</f>
        <v/>
      </c>
      <c r="KP7" s="76" t="str">
        <f>IFERROR(IF(OR($B7="",KP$3=""),"",IF(NOT(ISNUMBER(_xll.ciqfunctions.udf.CIQ($B7, "IQ_ASSET_TURNS", KP$3, $E$3, $N$3, , $J$3, $K$3))),"",_xll.ciqfunctions.udf.CIQ($B7, "IQ_ASSET_TURNS", KP$3, $E$3, $N$3, , $J$3, $K$3))),"")</f>
        <v/>
      </c>
      <c r="KQ7" s="76" t="str">
        <f>IFERROR(IF(OR($B7="",KQ$3=""),"",IF(NOT(ISNUMBER(_xll.ciqfunctions.udf.CIQ($B7, "IQ_ASSET_TURNS", KQ$3, $E$3, $N$3, , $J$3, $K$3))),"",_xll.ciqfunctions.udf.CIQ($B7, "IQ_ASSET_TURNS", KQ$3, $E$3, $N$3, , $J$3, $K$3))),"")</f>
        <v/>
      </c>
      <c r="KR7" s="76" t="str">
        <f>IFERROR(IF(OR($B7="",KR$3=""),"",IF(NOT(ISNUMBER(_xll.ciqfunctions.udf.CIQ($B7, "IQ_ASSET_TURNS", KR$3, $E$3, $N$3, , $J$3, $K$3))),"",_xll.ciqfunctions.udf.CIQ($B7, "IQ_ASSET_TURNS", KR$3, $E$3, $N$3, , $J$3, $K$3))),"")</f>
        <v/>
      </c>
      <c r="KS7" s="76" t="str">
        <f>IFERROR(IF(OR($B7="",KS$3=""),"",IF(NOT(ISNUMBER(_xll.ciqfunctions.udf.CIQ($B7, "IQ_ASSET_TURNS", KS$3, $E$3, $N$3, , $J$3, $K$3))),"",_xll.ciqfunctions.udf.CIQ($B7, "IQ_ASSET_TURNS", KS$3, $E$3, $N$3, , $J$3, $K$3))),"")</f>
        <v/>
      </c>
      <c r="KT7" s="76" t="str">
        <f>IFERROR(IF(OR($B7="",KT$3=""),"",IF(NOT(ISNUMBER(_xll.ciqfunctions.udf.CIQ($B7, "IQ_ASSET_TURNS", KT$3, $E$3, $N$3, , $J$3, $K$3))),"",_xll.ciqfunctions.udf.CIQ($B7, "IQ_ASSET_TURNS", KT$3, $E$3, $N$3, , $J$3, $K$3))),"")</f>
        <v/>
      </c>
      <c r="KU7" s="76" t="str">
        <f>IFERROR(IF(OR($B7="",KU$3=""),"",IF(NOT(ISNUMBER(_xll.ciqfunctions.udf.CIQ($B7, "IQ_ASSET_TURNS", KU$3, $E$3, $N$3, , $J$3, $K$3))),"",_xll.ciqfunctions.udf.CIQ($B7, "IQ_ASSET_TURNS", KU$3, $E$3, $N$3, , $J$3, $K$3))),"")</f>
        <v/>
      </c>
      <c r="KV7" s="76" t="str">
        <f>IFERROR(IF(OR($B7="",KV$3=""),"",IF(NOT(ISNUMBER(_xll.ciqfunctions.udf.CIQ($B7, "IQ_ASSET_TURNS", KV$3, $E$3, $N$3, , $J$3, $K$3))),"",_xll.ciqfunctions.udf.CIQ($B7, "IQ_ASSET_TURNS", KV$3, $E$3, $N$3, , $J$3, $K$3))),"")</f>
        <v/>
      </c>
      <c r="KW7" s="76" t="str">
        <f>IFERROR(IF(OR($B7="",KW$3=""),"",IF(NOT(ISNUMBER(_xll.ciqfunctions.udf.CIQ($B7, "IQ_ASSET_TURNS", KW$3, $E$3, $N$3, , $J$3, $K$3))),"",_xll.ciqfunctions.udf.CIQ($B7, "IQ_ASSET_TURNS", KW$3, $E$3, $N$3, , $J$3, $K$3))),"")</f>
        <v/>
      </c>
      <c r="KX7" s="76" t="str">
        <f>IFERROR(IF(OR($B7="",KX$3=""),"",IF(NOT(ISNUMBER(_xll.ciqfunctions.udf.CIQ($B7, "IQ_ASSET_TURNS", KX$3, $E$3, $N$3, , $J$3, $K$3))),"",_xll.ciqfunctions.udf.CIQ($B7, "IQ_ASSET_TURNS", KX$3, $E$3, $N$3, , $J$3, $K$3))),"")</f>
        <v/>
      </c>
      <c r="KY7" s="76" t="str">
        <f>IFERROR(IF(OR($B7="",KY$3=""),"",IF(NOT(ISNUMBER(_xll.ciqfunctions.udf.CIQ($B7, "IQ_ASSET_TURNS", KY$3, $E$3, $N$3, , $J$3, $K$3))),"",_xll.ciqfunctions.udf.CIQ($B7, "IQ_ASSET_TURNS", KY$3, $E$3, $N$3, , $J$3, $K$3))),"")</f>
        <v/>
      </c>
      <c r="KZ7" s="77" t="str">
        <f>IFERROR(IF(OR($B7="",KZ$3=""),"",IF(NOT(ISNUMBER(_xll.ciqfunctions.udf.CIQ($B7, "IQ_ASSET_TURNS", KZ$3, $E$3, $N$3, , $J$3, $K$3))),"",_xll.ciqfunctions.udf.CIQ($B7, "IQ_ASSET_TURNS", KZ$3, $E$3, $N$3, , $J$3, $K$3))),"")</f>
        <v/>
      </c>
      <c r="LA7" s="75">
        <f>IFERROR(IF(OR($B7="",LA$3=""),"",IF(NOT(ISNUMBER(_xll.ciqfunctions.udf.CIQ($B7, "IQ_INVENTORY_TURNS", LA$3, $E$3, $N$3, , $J$3, $K$3))),"",_xll.ciqfunctions.udf.CIQ($B7, "IQ_INVENTORY_TURNS", LA$3, $E$3, $N$3, , $J$3, $K$3))),"")</f>
        <v>8.4565300000000008</v>
      </c>
      <c r="LB7" s="75" t="str">
        <f>IFERROR(IF(OR($B7="",LB$3=""),"",IF(NOT(ISNUMBER(_xll.ciqfunctions.udf.CIQ($B7, "IQ_INVENTORY_TURNS", LB$3, $E$3, $N$3, , $J$3, $K$3))),"",_xll.ciqfunctions.udf.CIQ($B7, "IQ_INVENTORY_TURNS", LB$3, $E$3, $N$3, , $J$3, $K$3))),"")</f>
        <v/>
      </c>
      <c r="LC7" s="75" t="str">
        <f>IFERROR(IF(OR($B7="",LC$3=""),"",IF(NOT(ISNUMBER(_xll.ciqfunctions.udf.CIQ($B7, "IQ_INVENTORY_TURNS", LC$3, $E$3, $N$3, , $J$3, $K$3))),"",_xll.ciqfunctions.udf.CIQ($B7, "IQ_INVENTORY_TURNS", LC$3, $E$3, $N$3, , $J$3, $K$3))),"")</f>
        <v/>
      </c>
      <c r="LD7" s="75" t="str">
        <f>IFERROR(IF(OR($B7="",LD$3=""),"",IF(NOT(ISNUMBER(_xll.ciqfunctions.udf.CIQ($B7, "IQ_INVENTORY_TURNS", LD$3, $E$3, $N$3, , $J$3, $K$3))),"",_xll.ciqfunctions.udf.CIQ($B7, "IQ_INVENTORY_TURNS", LD$3, $E$3, $N$3, , $J$3, $K$3))),"")</f>
        <v/>
      </c>
      <c r="LE7" s="75" t="str">
        <f>IFERROR(IF(OR($B7="",LE$3=""),"",IF(NOT(ISNUMBER(_xll.ciqfunctions.udf.CIQ($B7, "IQ_INVENTORY_TURNS", LE$3, $E$3, $N$3, , $J$3, $K$3))),"",_xll.ciqfunctions.udf.CIQ($B7, "IQ_INVENTORY_TURNS", LE$3, $E$3, $N$3, , $J$3, $K$3))),"")</f>
        <v/>
      </c>
      <c r="LF7" s="75" t="str">
        <f>IFERROR(IF(OR($B7="",LF$3=""),"",IF(NOT(ISNUMBER(_xll.ciqfunctions.udf.CIQ($B7, "IQ_INVENTORY_TURNS", LF$3, $E$3, $N$3, , $J$3, $K$3))),"",_xll.ciqfunctions.udf.CIQ($B7, "IQ_INVENTORY_TURNS", LF$3, $E$3, $N$3, , $J$3, $K$3))),"")</f>
        <v/>
      </c>
      <c r="LG7" s="75" t="str">
        <f>IFERROR(IF(OR($B7="",LG$3=""),"",IF(NOT(ISNUMBER(_xll.ciqfunctions.udf.CIQ($B7, "IQ_INVENTORY_TURNS", LG$3, $E$3, $N$3, , $J$3, $K$3))),"",_xll.ciqfunctions.udf.CIQ($B7, "IQ_INVENTORY_TURNS", LG$3, $E$3, $N$3, , $J$3, $K$3))),"")</f>
        <v/>
      </c>
      <c r="LH7" s="75" t="str">
        <f>IFERROR(IF(OR($B7="",LH$3=""),"",IF(NOT(ISNUMBER(_xll.ciqfunctions.udf.CIQ($B7, "IQ_INVENTORY_TURNS", LH$3, $E$3, $N$3, , $J$3, $K$3))),"",_xll.ciqfunctions.udf.CIQ($B7, "IQ_INVENTORY_TURNS", LH$3, $E$3, $N$3, , $J$3, $K$3))),"")</f>
        <v/>
      </c>
      <c r="LI7" s="75" t="str">
        <f>IFERROR(IF(OR($B7="",LI$3=""),"",IF(NOT(ISNUMBER(_xll.ciqfunctions.udf.CIQ($B7, "IQ_INVENTORY_TURNS", LI$3, $E$3, $N$3, , $J$3, $K$3))),"",_xll.ciqfunctions.udf.CIQ($B7, "IQ_INVENTORY_TURNS", LI$3, $E$3, $N$3, , $J$3, $K$3))),"")</f>
        <v/>
      </c>
      <c r="LJ7" s="75" t="str">
        <f>IFERROR(IF(OR($B7="",LJ$3=""),"",IF(NOT(ISNUMBER(_xll.ciqfunctions.udf.CIQ($B7, "IQ_INVENTORY_TURNS", LJ$3, $E$3, $N$3, , $J$3, $K$3))),"",_xll.ciqfunctions.udf.CIQ($B7, "IQ_INVENTORY_TURNS", LJ$3, $E$3, $N$3, , $J$3, $K$3))),"")</f>
        <v/>
      </c>
      <c r="LK7" s="75" t="str">
        <f>IFERROR(IF(OR($B7="",LK$3=""),"",IF(NOT(ISNUMBER(_xll.ciqfunctions.udf.CIQ($B7, "IQ_INVENTORY_TURNS", LK$3, $E$3, $N$3, , $J$3, $K$3))),"",_xll.ciqfunctions.udf.CIQ($B7, "IQ_INVENTORY_TURNS", LK$3, $E$3, $N$3, , $J$3, $K$3))),"")</f>
        <v/>
      </c>
      <c r="LL7" s="75" t="str">
        <f>IFERROR(IF(OR($B7="",LL$3=""),"",IF(NOT(ISNUMBER(_xll.ciqfunctions.udf.CIQ($B7, "IQ_INVENTORY_TURNS", LL$3, $E$3, $N$3, , $J$3, $K$3))),"",_xll.ciqfunctions.udf.CIQ($B7, "IQ_INVENTORY_TURNS", LL$3, $E$3, $N$3, , $J$3, $K$3))),"")</f>
        <v/>
      </c>
      <c r="LM7" s="75" t="str">
        <f>IFERROR(IF(OR($B7="",LM$3=""),"",IF(NOT(ISNUMBER(_xll.ciqfunctions.udf.CIQ($B7, "IQ_INVENTORY_TURNS", LM$3, $E$3, $N$3, , $J$3, $K$3))),"",_xll.ciqfunctions.udf.CIQ($B7, "IQ_INVENTORY_TURNS", LM$3, $E$3, $N$3, , $J$3, $K$3))),"")</f>
        <v/>
      </c>
      <c r="LN7" s="75" t="str">
        <f>IFERROR(IF(OR($B7="",LN$3=""),"",IF(NOT(ISNUMBER(_xll.ciqfunctions.udf.CIQ($B7, "IQ_INVENTORY_TURNS", LN$3, $E$3, $N$3, , $J$3, $K$3))),"",_xll.ciqfunctions.udf.CIQ($B7, "IQ_INVENTORY_TURNS", LN$3, $E$3, $N$3, , $J$3, $K$3))),"")</f>
        <v/>
      </c>
      <c r="LO7" s="75" t="str">
        <f>IFERROR(IF(OR($B7="",LO$3=""),"",IF(NOT(ISNUMBER(_xll.ciqfunctions.udf.CIQ($B7, "IQ_INVENTORY_TURNS", LO$3, $E$3, $N$3, , $J$3, $K$3))),"",_xll.ciqfunctions.udf.CIQ($B7, "IQ_INVENTORY_TURNS", LO$3, $E$3, $N$3, , $J$3, $K$3))),"")</f>
        <v/>
      </c>
      <c r="LP7" s="75" t="str">
        <f>IFERROR(IF(OR($B7="",LP$3=""),"",IF(NOT(ISNUMBER(_xll.ciqfunctions.udf.CIQ($B7, "IQ_INVENTORY_TURNS", LP$3, $E$3, $N$3, , $J$3, $K$3))),"",_xll.ciqfunctions.udf.CIQ($B7, "IQ_INVENTORY_TURNS", LP$3, $E$3, $N$3, , $J$3, $K$3))),"")</f>
        <v/>
      </c>
      <c r="LQ7" s="75" t="str">
        <f>IFERROR(IF(OR($B7="",LQ$3=""),"",IF(NOT(ISNUMBER(_xll.ciqfunctions.udf.CIQ($B7, "IQ_INVENTORY_TURNS", LQ$3, $E$3, $N$3, , $J$3, $K$3))),"",_xll.ciqfunctions.udf.CIQ($B7, "IQ_INVENTORY_TURNS", LQ$3, $E$3, $N$3, , $J$3, $K$3))),"")</f>
        <v/>
      </c>
      <c r="LR7" s="75" t="str">
        <f>IFERROR(IF(OR($B7="",LR$3=""),"",IF(NOT(ISNUMBER(_xll.ciqfunctions.udf.CIQ($B7, "IQ_INVENTORY_TURNS", LR$3, $E$3, $N$3, , $J$3, $K$3))),"",_xll.ciqfunctions.udf.CIQ($B7, "IQ_INVENTORY_TURNS", LR$3, $E$3, $N$3, , $J$3, $K$3))),"")</f>
        <v/>
      </c>
      <c r="LS7" s="75" t="str">
        <f>IFERROR(IF(OR($B7="",LS$3=""),"",IF(NOT(ISNUMBER(_xll.ciqfunctions.udf.CIQ($B7, "IQ_INVENTORY_TURNS", LS$3, $E$3, $N$3, , $J$3, $K$3))),"",_xll.ciqfunctions.udf.CIQ($B7, "IQ_INVENTORY_TURNS", LS$3, $E$3, $N$3, , $J$3, $K$3))),"")</f>
        <v/>
      </c>
      <c r="LT7" s="75" t="str">
        <f>IFERROR(IF(OR($B7="",LT$3=""),"",IF(NOT(ISNUMBER(_xll.ciqfunctions.udf.CIQ($B7, "IQ_INVENTORY_TURNS", LT$3, $E$3, $N$3, , $J$3, $K$3))),"",_xll.ciqfunctions.udf.CIQ($B7, "IQ_INVENTORY_TURNS", LT$3, $E$3, $N$3, , $J$3, $K$3))),"")</f>
        <v/>
      </c>
      <c r="LU7" s="75">
        <f>IFERROR(IF(OR($B7="",LU$3=""),"",IF(NOT(ISNUMBER(_xll.ciqfunctions.udf.CIQ($B7, "IQ_AR_TURNS", LU$3, $E$3, $N$3, , $J$3, $K$3))),"",_xll.ciqfunctions.udf.CIQ($B7, "IQ_AR_TURNS", LU$3, $E$3, $N$3, , $J$3, $K$3))),"")</f>
        <v>77.420109999999994</v>
      </c>
      <c r="LV7" s="75" t="str">
        <f>IFERROR(IF(OR($B7="",LV$3=""),"",IF(NOT(ISNUMBER(_xll.ciqfunctions.udf.CIQ($B7, "IQ_AR_TURNS", LV$3, $E$3, $N$3, , $J$3, $K$3))),"",_xll.ciqfunctions.udf.CIQ($B7, "IQ_AR_TURNS", LV$3, $E$3, $N$3, , $J$3, $K$3))),"")</f>
        <v/>
      </c>
      <c r="LW7" s="75" t="str">
        <f>IFERROR(IF(OR($B7="",LW$3=""),"",IF(NOT(ISNUMBER(_xll.ciqfunctions.udf.CIQ($B7, "IQ_AR_TURNS", LW$3, $E$3, $N$3, , $J$3, $K$3))),"",_xll.ciqfunctions.udf.CIQ($B7, "IQ_AR_TURNS", LW$3, $E$3, $N$3, , $J$3, $K$3))),"")</f>
        <v/>
      </c>
      <c r="LX7" s="75" t="str">
        <f>IFERROR(IF(OR($B7="",LX$3=""),"",IF(NOT(ISNUMBER(_xll.ciqfunctions.udf.CIQ($B7, "IQ_AR_TURNS", LX$3, $E$3, $N$3, , $J$3, $K$3))),"",_xll.ciqfunctions.udf.CIQ($B7, "IQ_AR_TURNS", LX$3, $E$3, $N$3, , $J$3, $K$3))),"")</f>
        <v/>
      </c>
      <c r="LY7" s="75" t="str">
        <f>IFERROR(IF(OR($B7="",LY$3=""),"",IF(NOT(ISNUMBER(_xll.ciqfunctions.udf.CIQ($B7, "IQ_AR_TURNS", LY$3, $E$3, $N$3, , $J$3, $K$3))),"",_xll.ciqfunctions.udf.CIQ($B7, "IQ_AR_TURNS", LY$3, $E$3, $N$3, , $J$3, $K$3))),"")</f>
        <v/>
      </c>
      <c r="LZ7" s="75" t="str">
        <f>IFERROR(IF(OR($B7="",LZ$3=""),"",IF(NOT(ISNUMBER(_xll.ciqfunctions.udf.CIQ($B7, "IQ_AR_TURNS", LZ$3, $E$3, $N$3, , $J$3, $K$3))),"",_xll.ciqfunctions.udf.CIQ($B7, "IQ_AR_TURNS", LZ$3, $E$3, $N$3, , $J$3, $K$3))),"")</f>
        <v/>
      </c>
      <c r="MA7" s="75" t="str">
        <f>IFERROR(IF(OR($B7="",MA$3=""),"",IF(NOT(ISNUMBER(_xll.ciqfunctions.udf.CIQ($B7, "IQ_AR_TURNS", MA$3, $E$3, $N$3, , $J$3, $K$3))),"",_xll.ciqfunctions.udf.CIQ($B7, "IQ_AR_TURNS", MA$3, $E$3, $N$3, , $J$3, $K$3))),"")</f>
        <v/>
      </c>
      <c r="MB7" s="75" t="str">
        <f>IFERROR(IF(OR($B7="",MB$3=""),"",IF(NOT(ISNUMBER(_xll.ciqfunctions.udf.CIQ($B7, "IQ_AR_TURNS", MB$3, $E$3, $N$3, , $J$3, $K$3))),"",_xll.ciqfunctions.udf.CIQ($B7, "IQ_AR_TURNS", MB$3, $E$3, $N$3, , $J$3, $K$3))),"")</f>
        <v/>
      </c>
      <c r="MC7" s="75" t="str">
        <f>IFERROR(IF(OR($B7="",MC$3=""),"",IF(NOT(ISNUMBER(_xll.ciqfunctions.udf.CIQ($B7, "IQ_AR_TURNS", MC$3, $E$3, $N$3, , $J$3, $K$3))),"",_xll.ciqfunctions.udf.CIQ($B7, "IQ_AR_TURNS", MC$3, $E$3, $N$3, , $J$3, $K$3))),"")</f>
        <v/>
      </c>
      <c r="MD7" s="75" t="str">
        <f>IFERROR(IF(OR($B7="",MD$3=""),"",IF(NOT(ISNUMBER(_xll.ciqfunctions.udf.CIQ($B7, "IQ_AR_TURNS", MD$3, $E$3, $N$3, , $J$3, $K$3))),"",_xll.ciqfunctions.udf.CIQ($B7, "IQ_AR_TURNS", MD$3, $E$3, $N$3, , $J$3, $K$3))),"")</f>
        <v/>
      </c>
      <c r="ME7" s="75" t="str">
        <f>IFERROR(IF(OR($B7="",ME$3=""),"",IF(NOT(ISNUMBER(_xll.ciqfunctions.udf.CIQ($B7, "IQ_AR_TURNS", ME$3, $E$3, $N$3, , $J$3, $K$3))),"",_xll.ciqfunctions.udf.CIQ($B7, "IQ_AR_TURNS", ME$3, $E$3, $N$3, , $J$3, $K$3))),"")</f>
        <v/>
      </c>
      <c r="MF7" s="75" t="str">
        <f>IFERROR(IF(OR($B7="",MF$3=""),"",IF(NOT(ISNUMBER(_xll.ciqfunctions.udf.CIQ($B7, "IQ_AR_TURNS", MF$3, $E$3, $N$3, , $J$3, $K$3))),"",_xll.ciqfunctions.udf.CIQ($B7, "IQ_AR_TURNS", MF$3, $E$3, $N$3, , $J$3, $K$3))),"")</f>
        <v/>
      </c>
      <c r="MG7" s="75" t="str">
        <f>IFERROR(IF(OR($B7="",MG$3=""),"",IF(NOT(ISNUMBER(_xll.ciqfunctions.udf.CIQ($B7, "IQ_AR_TURNS", MG$3, $E$3, $N$3, , $J$3, $K$3))),"",_xll.ciqfunctions.udf.CIQ($B7, "IQ_AR_TURNS", MG$3, $E$3, $N$3, , $J$3, $K$3))),"")</f>
        <v/>
      </c>
      <c r="MH7" s="75" t="str">
        <f>IFERROR(IF(OR($B7="",MH$3=""),"",IF(NOT(ISNUMBER(_xll.ciqfunctions.udf.CIQ($B7, "IQ_AR_TURNS", MH$3, $E$3, $N$3, , $J$3, $K$3))),"",_xll.ciqfunctions.udf.CIQ($B7, "IQ_AR_TURNS", MH$3, $E$3, $N$3, , $J$3, $K$3))),"")</f>
        <v/>
      </c>
      <c r="MI7" s="75" t="str">
        <f>IFERROR(IF(OR($B7="",MI$3=""),"",IF(NOT(ISNUMBER(_xll.ciqfunctions.udf.CIQ($B7, "IQ_AR_TURNS", MI$3, $E$3, $N$3, , $J$3, $K$3))),"",_xll.ciqfunctions.udf.CIQ($B7, "IQ_AR_TURNS", MI$3, $E$3, $N$3, , $J$3, $K$3))),"")</f>
        <v/>
      </c>
      <c r="MJ7" s="75" t="str">
        <f>IFERROR(IF(OR($B7="",MJ$3=""),"",IF(NOT(ISNUMBER(_xll.ciqfunctions.udf.CIQ($B7, "IQ_AR_TURNS", MJ$3, $E$3, $N$3, , $J$3, $K$3))),"",_xll.ciqfunctions.udf.CIQ($B7, "IQ_AR_TURNS", MJ$3, $E$3, $N$3, , $J$3, $K$3))),"")</f>
        <v/>
      </c>
      <c r="MK7" s="75" t="str">
        <f>IFERROR(IF(OR($B7="",MK$3=""),"",IF(NOT(ISNUMBER(_xll.ciqfunctions.udf.CIQ($B7, "IQ_AR_TURNS", MK$3, $E$3, $N$3, , $J$3, $K$3))),"",_xll.ciqfunctions.udf.CIQ($B7, "IQ_AR_TURNS", MK$3, $E$3, $N$3, , $J$3, $K$3))),"")</f>
        <v/>
      </c>
      <c r="ML7" s="75" t="str">
        <f>IFERROR(IF(OR($B7="",ML$3=""),"",IF(NOT(ISNUMBER(_xll.ciqfunctions.udf.CIQ($B7, "IQ_AR_TURNS", ML$3, $E$3, $N$3, , $J$3, $K$3))),"",_xll.ciqfunctions.udf.CIQ($B7, "IQ_AR_TURNS", ML$3, $E$3, $N$3, , $J$3, $K$3))),"")</f>
        <v/>
      </c>
      <c r="MM7" s="75" t="str">
        <f>IFERROR(IF(OR($B7="",MM$3=""),"",IF(NOT(ISNUMBER(_xll.ciqfunctions.udf.CIQ($B7, "IQ_AR_TURNS", MM$3, $E$3, $N$3, , $J$3, $K$3))),"",_xll.ciqfunctions.udf.CIQ($B7, "IQ_AR_TURNS", MM$3, $E$3, $N$3, , $J$3, $K$3))),"")</f>
        <v/>
      </c>
      <c r="MN7" s="75" t="str">
        <f>IFERROR(IF(OR($B7="",MN$3=""),"",IF(NOT(ISNUMBER(_xll.ciqfunctions.udf.CIQ($B7, "IQ_AR_TURNS", MN$3, $E$3, $N$3, , $J$3, $K$3))),"",_xll.ciqfunctions.udf.CIQ($B7, "IQ_AR_TURNS", MN$3, $E$3, $N$3, , $J$3, $K$3))),"")</f>
        <v/>
      </c>
      <c r="MO7" s="588">
        <f>IFERROR(IF(OR($B7="",MO$3=""),"",_xll.ciqfunctions.udf.CIQ($B7, "IQ_LEVERED_FCF", $O$3, MO$3, $N$3, , $J$3, $K$3)*2/(_xll.ciqfunctions.udf.CIQ($B7, "IQ_TOTAL_DEBT", MO$3, $E$3, $N$3, , $J$3, $K$3)+_xll.ciqfunctions.udf.CIQ($B7, "IQ_TOTAL_DEBT", "IQ_" &amp; LEFT(MO$3,2) &amp; "-1", MO$3, $N$3, , $J$3, $K$3)) ),"")</f>
        <v>0.25017000114699567</v>
      </c>
      <c r="MP7" s="588" t="str">
        <f>IFERROR(IF(OR($B7="",MP$3=""),"",_xll.ciqfunctions.udf.CIQ($B7, "IQ_LEVERED_FCF", $O$3, MP$3, $N$3, , $J$3, $K$3)*2/(_xll.ciqfunctions.udf.CIQ($B7, "IQ_TOTAL_DEBT", MP$3, $E$3, $N$3, , $J$3, $K$3)+_xll.ciqfunctions.udf.CIQ($B7, "IQ_TOTAL_DEBT", "IQ_" &amp; LEFT(MP$3,2) &amp; "-1", MP$3, $N$3, , $J$3, $K$3)) ),"")</f>
        <v/>
      </c>
      <c r="MQ7" s="588" t="str">
        <f>IFERROR(IF(OR($B7="",MQ$3=""),"",_xll.ciqfunctions.udf.CIQ($B7, "IQ_LEVERED_FCF", $O$3, MQ$3, $N$3, , $J$3, $K$3)*2/(_xll.ciqfunctions.udf.CIQ($B7, "IQ_TOTAL_DEBT", MQ$3, $E$3, $N$3, , $J$3, $K$3)+_xll.ciqfunctions.udf.CIQ($B7, "IQ_TOTAL_DEBT", "IQ_" &amp; LEFT(MQ$3,2) &amp; "-1", MQ$3, $N$3, , $J$3, $K$3)) ),"")</f>
        <v/>
      </c>
      <c r="MR7" s="588" t="str">
        <f>IFERROR(IF(OR($B7="",MR$3=""),"",_xll.ciqfunctions.udf.CIQ($B7, "IQ_LEVERED_FCF", $O$3, MR$3, $N$3, , $J$3, $K$3)*2/(_xll.ciqfunctions.udf.CIQ($B7, "IQ_TOTAL_DEBT", MR$3, $E$3, $N$3, , $J$3, $K$3)+_xll.ciqfunctions.udf.CIQ($B7, "IQ_TOTAL_DEBT", "IQ_" &amp; LEFT(MR$3,2) &amp; "-1", MR$3, $N$3, , $J$3, $K$3)) ),"")</f>
        <v/>
      </c>
      <c r="MS7" s="588" t="str">
        <f>IFERROR(IF(OR($B7="",MS$3=""),"",_xll.ciqfunctions.udf.CIQ($B7, "IQ_LEVERED_FCF", $O$3, MS$3, $N$3, , $J$3, $K$3)*2/(_xll.ciqfunctions.udf.CIQ($B7, "IQ_TOTAL_DEBT", MS$3, $E$3, $N$3, , $J$3, $K$3)+_xll.ciqfunctions.udf.CIQ($B7, "IQ_TOTAL_DEBT", "IQ_" &amp; LEFT(MS$3,2) &amp; "-1", MS$3, $N$3, , $J$3, $K$3)) ),"")</f>
        <v/>
      </c>
      <c r="MT7" s="588" t="str">
        <f>IFERROR(IF(OR($B7="",MT$3=""),"",_xll.ciqfunctions.udf.CIQ($B7, "IQ_LEVERED_FCF", $O$3, MT$3, $N$3, , $J$3, $K$3)*2/(_xll.ciqfunctions.udf.CIQ($B7, "IQ_TOTAL_DEBT", MT$3, $E$3, $N$3, , $J$3, $K$3)+_xll.ciqfunctions.udf.CIQ($B7, "IQ_TOTAL_DEBT", "IQ_" &amp; LEFT(MT$3,2) &amp; "-1", MT$3, $N$3, , $J$3, $K$3)) ),"")</f>
        <v/>
      </c>
      <c r="MU7" s="588" t="str">
        <f>IFERROR(IF(OR($B7="",MU$3=""),"",_xll.ciqfunctions.udf.CIQ($B7, "IQ_LEVERED_FCF", $O$3, MU$3, $N$3, , $J$3, $K$3)*2/(_xll.ciqfunctions.udf.CIQ($B7, "IQ_TOTAL_DEBT", MU$3, $E$3, $N$3, , $J$3, $K$3)+_xll.ciqfunctions.udf.CIQ($B7, "IQ_TOTAL_DEBT", "IQ_" &amp; LEFT(MU$3,2) &amp; "-1", MU$3, $N$3, , $J$3, $K$3)) ),"")</f>
        <v/>
      </c>
      <c r="MV7" s="588" t="str">
        <f>IFERROR(IF(OR($B7="",MV$3=""),"",_xll.ciqfunctions.udf.CIQ($B7, "IQ_LEVERED_FCF", $O$3, MV$3, $N$3, , $J$3, $K$3)*2/(_xll.ciqfunctions.udf.CIQ($B7, "IQ_TOTAL_DEBT", MV$3, $E$3, $N$3, , $J$3, $K$3)+_xll.ciqfunctions.udf.CIQ($B7, "IQ_TOTAL_DEBT", "IQ_" &amp; LEFT(MV$3,2) &amp; "-1", MV$3, $N$3, , $J$3, $K$3)) ),"")</f>
        <v/>
      </c>
      <c r="MW7" s="588" t="str">
        <f>IFERROR(IF(OR($B7="",MW$3=""),"",_xll.ciqfunctions.udf.CIQ($B7, "IQ_LEVERED_FCF", $O$3, MW$3, $N$3, , $J$3, $K$3)*2/(_xll.ciqfunctions.udf.CIQ($B7, "IQ_TOTAL_DEBT", MW$3, $E$3, $N$3, , $J$3, $K$3)+_xll.ciqfunctions.udf.CIQ($B7, "IQ_TOTAL_DEBT", "IQ_" &amp; LEFT(MW$3,2) &amp; "-1", MW$3, $N$3, , $J$3, $K$3)) ),"")</f>
        <v/>
      </c>
      <c r="MX7" s="588" t="str">
        <f>IFERROR(IF(OR($B7="",MX$3=""),"",_xll.ciqfunctions.udf.CIQ($B7, "IQ_LEVERED_FCF", $O$3, MX$3, $N$3, , $J$3, $K$3)*2/(_xll.ciqfunctions.udf.CIQ($B7, "IQ_TOTAL_DEBT", MX$3, $E$3, $N$3, , $J$3, $K$3)+_xll.ciqfunctions.udf.CIQ($B7, "IQ_TOTAL_DEBT", "IQ_" &amp; LEFT(MX$3,2) &amp; "-1", MX$3, $N$3, , $J$3, $K$3)) ),"")</f>
        <v/>
      </c>
      <c r="MY7" s="588" t="str">
        <f>IFERROR(IF(OR($B7="",MY$3=""),"",_xll.ciqfunctions.udf.CIQ($B7, "IQ_LEVERED_FCF", $O$3, MY$3, $N$3, , $J$3, $K$3)*2/(_xll.ciqfunctions.udf.CIQ($B7, "IQ_TOTAL_DEBT", MY$3, $E$3, $N$3, , $J$3, $K$3)+_xll.ciqfunctions.udf.CIQ($B7, "IQ_TOTAL_DEBT", "IQ_" &amp; LEFT(MY$3,2) &amp; "-1", MY$3, $N$3, , $J$3, $K$3)) ),"")</f>
        <v/>
      </c>
      <c r="MZ7" s="588" t="str">
        <f>IFERROR(IF(OR($B7="",MZ$3=""),"",_xll.ciqfunctions.udf.CIQ($B7, "IQ_LEVERED_FCF", $O$3, MZ$3, $N$3, , $J$3, $K$3)*2/(_xll.ciqfunctions.udf.CIQ($B7, "IQ_TOTAL_DEBT", MZ$3, $E$3, $N$3, , $J$3, $K$3)+_xll.ciqfunctions.udf.CIQ($B7, "IQ_TOTAL_DEBT", "IQ_" &amp; LEFT(MZ$3,2) &amp; "-1", MZ$3, $N$3, , $J$3, $K$3)) ),"")</f>
        <v/>
      </c>
      <c r="NA7" s="588" t="str">
        <f>IFERROR(IF(OR($B7="",NA$3=""),"",_xll.ciqfunctions.udf.CIQ($B7, "IQ_LEVERED_FCF", $O$3, NA$3, $N$3, , $J$3, $K$3)*2/(_xll.ciqfunctions.udf.CIQ($B7, "IQ_TOTAL_DEBT", NA$3, $E$3, $N$3, , $J$3, $K$3)+_xll.ciqfunctions.udf.CIQ($B7, "IQ_TOTAL_DEBT", "IQ_" &amp; LEFT(NA$3,2) &amp; "-1", NA$3, $N$3, , $J$3, $K$3)) ),"")</f>
        <v/>
      </c>
      <c r="NB7" s="588" t="str">
        <f>IFERROR(IF(OR($B7="",NB$3=""),"",_xll.ciqfunctions.udf.CIQ($B7, "IQ_LEVERED_FCF", $O$3, NB$3, $N$3, , $J$3, $K$3)*2/(_xll.ciqfunctions.udf.CIQ($B7, "IQ_TOTAL_DEBT", NB$3, $E$3, $N$3, , $J$3, $K$3)+_xll.ciqfunctions.udf.CIQ($B7, "IQ_TOTAL_DEBT", "IQ_" &amp; LEFT(NB$3,2) &amp; "-1", NB$3, $N$3, , $J$3, $K$3)) ),"")</f>
        <v/>
      </c>
      <c r="NC7" s="588" t="str">
        <f>IFERROR(IF(OR($B7="",NC$3=""),"",_xll.ciqfunctions.udf.CIQ($B7, "IQ_LEVERED_FCF", $O$3, NC$3, $N$3, , $J$3, $K$3)*2/(_xll.ciqfunctions.udf.CIQ($B7, "IQ_TOTAL_DEBT", NC$3, $E$3, $N$3, , $J$3, $K$3)+_xll.ciqfunctions.udf.CIQ($B7, "IQ_TOTAL_DEBT", "IQ_" &amp; LEFT(NC$3,2) &amp; "-1", NC$3, $N$3, , $J$3, $K$3)) ),"")</f>
        <v/>
      </c>
      <c r="ND7" s="588" t="str">
        <f>IFERROR(IF(OR($B7="",ND$3=""),"",_xll.ciqfunctions.udf.CIQ($B7, "IQ_LEVERED_FCF", $O$3, ND$3, $N$3, , $J$3, $K$3)*2/(_xll.ciqfunctions.udf.CIQ($B7, "IQ_TOTAL_DEBT", ND$3, $E$3, $N$3, , $J$3, $K$3)+_xll.ciqfunctions.udf.CIQ($B7, "IQ_TOTAL_DEBT", "IQ_" &amp; LEFT(ND$3,2) &amp; "-1", ND$3, $N$3, , $J$3, $K$3)) ),"")</f>
        <v/>
      </c>
      <c r="NE7" s="588" t="str">
        <f>IFERROR(IF(OR($B7="",NE$3=""),"",_xll.ciqfunctions.udf.CIQ($B7, "IQ_LEVERED_FCF", $O$3, NE$3, $N$3, , $J$3, $K$3)*2/(_xll.ciqfunctions.udf.CIQ($B7, "IQ_TOTAL_DEBT", NE$3, $E$3, $N$3, , $J$3, $K$3)+_xll.ciqfunctions.udf.CIQ($B7, "IQ_TOTAL_DEBT", "IQ_" &amp; LEFT(NE$3,2) &amp; "-1", NE$3, $N$3, , $J$3, $K$3)) ),"")</f>
        <v/>
      </c>
      <c r="NF7" s="588" t="str">
        <f>IFERROR(IF(OR($B7="",NF$3=""),"",_xll.ciqfunctions.udf.CIQ($B7, "IQ_LEVERED_FCF", $O$3, NF$3, $N$3, , $J$3, $K$3)*2/(_xll.ciqfunctions.udf.CIQ($B7, "IQ_TOTAL_DEBT", NF$3, $E$3, $N$3, , $J$3, $K$3)+_xll.ciqfunctions.udf.CIQ($B7, "IQ_TOTAL_DEBT", "IQ_" &amp; LEFT(NF$3,2) &amp; "-1", NF$3, $N$3, , $J$3, $K$3)) ),"")</f>
        <v/>
      </c>
      <c r="NG7" s="588" t="str">
        <f>IFERROR(IF(OR($B7="",NG$3=""),"",_xll.ciqfunctions.udf.CIQ($B7, "IQ_LEVERED_FCF", $O$3, NG$3, $N$3, , $J$3, $K$3)*2/(_xll.ciqfunctions.udf.CIQ($B7, "IQ_TOTAL_DEBT", NG$3, $E$3, $N$3, , $J$3, $K$3)+_xll.ciqfunctions.udf.CIQ($B7, "IQ_TOTAL_DEBT", "IQ_" &amp; LEFT(NG$3,2) &amp; "-1", NG$3, $N$3, , $J$3, $K$3)) ),"")</f>
        <v/>
      </c>
      <c r="NH7" s="588" t="str">
        <f>IFERROR(IF(OR($B7="",NH$3=""),"",_xll.ciqfunctions.udf.CIQ($B7, "IQ_LEVERED_FCF", $O$3, NH$3, $N$3, , $J$3, $K$3)*2/(_xll.ciqfunctions.udf.CIQ($B7, "IQ_TOTAL_DEBT", NH$3, $E$3, $N$3, , $J$3, $K$3)+_xll.ciqfunctions.udf.CIQ($B7, "IQ_TOTAL_DEBT", "IQ_" &amp; LEFT(NH$3,2) &amp; "-1", NH$3, $N$3, , $J$3, $K$3)) ),"")</f>
        <v/>
      </c>
      <c r="NI7" s="588">
        <f>IFERROR(IF(OR($B7="",NI$3=""),"",_xll.ciqfunctions.udf.CIQ($B7, "IQ_CASH_OPER", $O$3, NI$3, $N$3, , $J$3, $K$3)/_xll.ciqfunctions.udf.CIQ($B7, "IQ_NI", NI$3, $E$3, $N$3, , $J$3, $K$3)),"")</f>
        <v>2.6383383310173336</v>
      </c>
      <c r="NJ7" s="588" t="str">
        <f>IFERROR(IF(OR($B7="",NJ$3=""),"",_xll.ciqfunctions.udf.CIQ($B7, "IQ_CASH_OPER", $O$3, NJ$3, $N$3, , $J$3, $K$3)/_xll.ciqfunctions.udf.CIQ($B7, "IQ_NI", NJ$3, $E$3, $N$3, , $J$3, $K$3)),"")</f>
        <v/>
      </c>
      <c r="NK7" s="588" t="str">
        <f>IFERROR(IF(OR($B7="",NK$3=""),"",_xll.ciqfunctions.udf.CIQ($B7, "IQ_CASH_OPER", $O$3, NK$3, $N$3, , $J$3, $K$3)/_xll.ciqfunctions.udf.CIQ($B7, "IQ_NI", NK$3, $E$3, $N$3, , $J$3, $K$3)),"")</f>
        <v/>
      </c>
      <c r="NL7" s="588" t="str">
        <f>IFERROR(IF(OR($B7="",NL$3=""),"",_xll.ciqfunctions.udf.CIQ($B7, "IQ_CASH_OPER", $O$3, NL$3, $N$3, , $J$3, $K$3)/_xll.ciqfunctions.udf.CIQ($B7, "IQ_NI", NL$3, $E$3, $N$3, , $J$3, $K$3)),"")</f>
        <v/>
      </c>
      <c r="NM7" s="588" t="str">
        <f>IFERROR(IF(OR($B7="",NM$3=""),"",_xll.ciqfunctions.udf.CIQ($B7, "IQ_CASH_OPER", $O$3, NM$3, $N$3, , $J$3, $K$3)/_xll.ciqfunctions.udf.CIQ($B7, "IQ_NI", NM$3, $E$3, $N$3, , $J$3, $K$3)),"")</f>
        <v/>
      </c>
      <c r="NN7" s="588" t="str">
        <f>IFERROR(IF(OR($B7="",NN$3=""),"",_xll.ciqfunctions.udf.CIQ($B7, "IQ_CASH_OPER", $O$3, NN$3, $N$3, , $J$3, $K$3)/_xll.ciqfunctions.udf.CIQ($B7, "IQ_NI", NN$3, $E$3, $N$3, , $J$3, $K$3)),"")</f>
        <v/>
      </c>
      <c r="NO7" s="588" t="str">
        <f>IFERROR(IF(OR($B7="",NO$3=""),"",_xll.ciqfunctions.udf.CIQ($B7, "IQ_CASH_OPER", $O$3, NO$3, $N$3, , $J$3, $K$3)/_xll.ciqfunctions.udf.CIQ($B7, "IQ_NI", NO$3, $E$3, $N$3, , $J$3, $K$3)),"")</f>
        <v/>
      </c>
      <c r="NP7" s="588" t="str">
        <f>IFERROR(IF(OR($B7="",NP$3=""),"",_xll.ciqfunctions.udf.CIQ($B7, "IQ_CASH_OPER", $O$3, NP$3, $N$3, , $J$3, $K$3)/_xll.ciqfunctions.udf.CIQ($B7, "IQ_NI", NP$3, $E$3, $N$3, , $J$3, $K$3)),"")</f>
        <v/>
      </c>
      <c r="NQ7" s="588" t="str">
        <f>IFERROR(IF(OR($B7="",NQ$3=""),"",_xll.ciqfunctions.udf.CIQ($B7, "IQ_CASH_OPER", $O$3, NQ$3, $N$3, , $J$3, $K$3)/_xll.ciqfunctions.udf.CIQ($B7, "IQ_NI", NQ$3, $E$3, $N$3, , $J$3, $K$3)),"")</f>
        <v/>
      </c>
      <c r="NR7" s="588" t="str">
        <f>IFERROR(IF(OR($B7="",NR$3=""),"",_xll.ciqfunctions.udf.CIQ($B7, "IQ_CASH_OPER", $O$3, NR$3, $N$3, , $J$3, $K$3)/_xll.ciqfunctions.udf.CIQ($B7, "IQ_NI", NR$3, $E$3, $N$3, , $J$3, $K$3)),"")</f>
        <v/>
      </c>
      <c r="NS7" s="588" t="str">
        <f>IFERROR(IF(OR($B7="",NS$3=""),"",_xll.ciqfunctions.udf.CIQ($B7, "IQ_CASH_OPER", $O$3, NS$3, $N$3, , $J$3, $K$3)/_xll.ciqfunctions.udf.CIQ($B7, "IQ_NI", NS$3, $E$3, $N$3, , $J$3, $K$3)),"")</f>
        <v/>
      </c>
      <c r="NT7" s="588" t="str">
        <f>IFERROR(IF(OR($B7="",NT$3=""),"",_xll.ciqfunctions.udf.CIQ($B7, "IQ_CASH_OPER", $O$3, NT$3, $N$3, , $J$3, $K$3)/_xll.ciqfunctions.udf.CIQ($B7, "IQ_NI", NT$3, $E$3, $N$3, , $J$3, $K$3)),"")</f>
        <v/>
      </c>
      <c r="NU7" s="588" t="str">
        <f>IFERROR(IF(OR($B7="",NU$3=""),"",_xll.ciqfunctions.udf.CIQ($B7, "IQ_CASH_OPER", $O$3, NU$3, $N$3, , $J$3, $K$3)/_xll.ciqfunctions.udf.CIQ($B7, "IQ_NI", NU$3, $E$3, $N$3, , $J$3, $K$3)),"")</f>
        <v/>
      </c>
      <c r="NV7" s="588" t="str">
        <f>IFERROR(IF(OR($B7="",NV$3=""),"",_xll.ciqfunctions.udf.CIQ($B7, "IQ_CASH_OPER", $O$3, NV$3, $N$3, , $J$3, $K$3)/_xll.ciqfunctions.udf.CIQ($B7, "IQ_NI", NV$3, $E$3, $N$3, , $J$3, $K$3)),"")</f>
        <v/>
      </c>
      <c r="NW7" s="588" t="str">
        <f>IFERROR(IF(OR($B7="",NW$3=""),"",_xll.ciqfunctions.udf.CIQ($B7, "IQ_CASH_OPER", $O$3, NW$3, $N$3, , $J$3, $K$3)/_xll.ciqfunctions.udf.CIQ($B7, "IQ_NI", NW$3, $E$3, $N$3, , $J$3, $K$3)),"")</f>
        <v/>
      </c>
      <c r="NX7" s="588" t="str">
        <f>IFERROR(IF(OR($B7="",NX$3=""),"",_xll.ciqfunctions.udf.CIQ($B7, "IQ_CASH_OPER", $O$3, NX$3, $N$3, , $J$3, $K$3)/_xll.ciqfunctions.udf.CIQ($B7, "IQ_NI", NX$3, $E$3, $N$3, , $J$3, $K$3)),"")</f>
        <v/>
      </c>
      <c r="NY7" s="588" t="str">
        <f>IFERROR(IF(OR($B7="",NY$3=""),"",_xll.ciqfunctions.udf.CIQ($B7, "IQ_CASH_OPER", $O$3, NY$3, $N$3, , $J$3, $K$3)/_xll.ciqfunctions.udf.CIQ($B7, "IQ_NI", NY$3, $E$3, $N$3, , $J$3, $K$3)),"")</f>
        <v/>
      </c>
      <c r="NZ7" s="588" t="str">
        <f>IFERROR(IF(OR($B7="",NZ$3=""),"",_xll.ciqfunctions.udf.CIQ($B7, "IQ_CASH_OPER", $O$3, NZ$3, $N$3, , $J$3, $K$3)/_xll.ciqfunctions.udf.CIQ($B7, "IQ_NI", NZ$3, $E$3, $N$3, , $J$3, $K$3)),"")</f>
        <v/>
      </c>
      <c r="OA7" s="588" t="str">
        <f>IFERROR(IF(OR($B7="",OA$3=""),"",_xll.ciqfunctions.udf.CIQ($B7, "IQ_CASH_OPER", $O$3, OA$3, $N$3, , $J$3, $K$3)/_xll.ciqfunctions.udf.CIQ($B7, "IQ_NI", OA$3, $E$3, $N$3, , $J$3, $K$3)),"")</f>
        <v/>
      </c>
      <c r="OB7" s="588" t="str">
        <f>IFERROR(IF(OR($B7="",OB$3=""),"",_xll.ciqfunctions.udf.CIQ($B7, "IQ_CASH_OPER", $O$3, OB$3, $N$3, , $J$3, $K$3)/_xll.ciqfunctions.udf.CIQ($B7, "IQ_NI", OB$3, $E$3, $N$3, , $J$3, $K$3)),"")</f>
        <v/>
      </c>
      <c r="OC7" s="72">
        <f>IFERROR(IF(OR($B7="",OC$3=""),"",_xll.ciqfunctions.udf.CIQ($B7,"IQ_NI",$O$3, OC$3, $N$3, , $J$3, $K$3)*2/(_xll.ciqfunctions.udf.CIQ($B7,"IQ_TOTAL_ASSETS",OC$3,$I$3, $N$3, , $J$3, $K$3)+_xll.ciqfunctions.udf.CIQ($B7,"IQ_TOTAL_ASSETS", "IQ_" &amp; LEFT(OC$3,2) &amp; "-1", OC$3, $N$3, , $J$3, $K$3))),"")</f>
        <v>5.4327282670762991E-2</v>
      </c>
      <c r="OD7" s="73" t="str">
        <f>IFERROR(IF(OR($B7="",OD$3=""),"",_xll.ciqfunctions.udf.CIQ($B7,"IQ_NI",$O$3, OD$3, $N$3, , $J$3, $K$3)*2/(_xll.ciqfunctions.udf.CIQ($B7,"IQ_TOTAL_ASSETS",OD$3,$I$3, $N$3, , $J$3, $K$3)+_xll.ciqfunctions.udf.CIQ($B7,"IQ_TOTAL_ASSETS", "IQ_" &amp; LEFT(OD$3,2) &amp; "-1", OD$3, $N$3, , $J$3, $K$3))),"")</f>
        <v/>
      </c>
      <c r="OE7" s="73" t="str">
        <f>IFERROR(IF(OR($B7="",OE$3=""),"",_xll.ciqfunctions.udf.CIQ($B7,"IQ_NI",$O$3, OE$3, $N$3, , $J$3, $K$3)*2/(_xll.ciqfunctions.udf.CIQ($B7,"IQ_TOTAL_ASSETS",OE$3,$I$3, $N$3, , $J$3, $K$3)+_xll.ciqfunctions.udf.CIQ($B7,"IQ_TOTAL_ASSETS", "IQ_" &amp; LEFT(OE$3,2) &amp; "-1", OE$3, $N$3, , $J$3, $K$3))),"")</f>
        <v/>
      </c>
      <c r="OF7" s="73" t="str">
        <f>IFERROR(IF(OR($B7="",OF$3=""),"",_xll.ciqfunctions.udf.CIQ($B7,"IQ_NI",$O$3, OF$3, $N$3, , $J$3, $K$3)*2/(_xll.ciqfunctions.udf.CIQ($B7,"IQ_TOTAL_ASSETS",OF$3,$I$3, $N$3, , $J$3, $K$3)+_xll.ciqfunctions.udf.CIQ($B7,"IQ_TOTAL_ASSETS", "IQ_" &amp; LEFT(OF$3,2) &amp; "-1", OF$3, $N$3, , $J$3, $K$3))),"")</f>
        <v/>
      </c>
      <c r="OG7" s="73" t="str">
        <f>IFERROR(IF(OR($B7="",OG$3=""),"",_xll.ciqfunctions.udf.CIQ($B7,"IQ_NI",$O$3, OG$3, $N$3, , $J$3, $K$3)*2/(_xll.ciqfunctions.udf.CIQ($B7,"IQ_TOTAL_ASSETS",OG$3,$I$3, $N$3, , $J$3, $K$3)+_xll.ciqfunctions.udf.CIQ($B7,"IQ_TOTAL_ASSETS", "IQ_" &amp; LEFT(OG$3,2) &amp; "-1", OG$3, $N$3, , $J$3, $K$3))),"")</f>
        <v/>
      </c>
      <c r="OH7" s="73" t="str">
        <f>IFERROR(IF(OR($B7="",OH$3=""),"",_xll.ciqfunctions.udf.CIQ($B7,"IQ_NI",$O$3, OH$3, $N$3, , $J$3, $K$3)*2/(_xll.ciqfunctions.udf.CIQ($B7,"IQ_TOTAL_ASSETS",OH$3,$I$3, $N$3, , $J$3, $K$3)+_xll.ciqfunctions.udf.CIQ($B7,"IQ_TOTAL_ASSETS", "IQ_" &amp; LEFT(OH$3,2) &amp; "-1", OH$3, $N$3, , $J$3, $K$3))),"")</f>
        <v/>
      </c>
      <c r="OI7" s="73" t="str">
        <f>IFERROR(IF(OR($B7="",OI$3=""),"",_xll.ciqfunctions.udf.CIQ($B7,"IQ_NI",$O$3, OI$3, $N$3, , $J$3, $K$3)*2/(_xll.ciqfunctions.udf.CIQ($B7,"IQ_TOTAL_ASSETS",OI$3,$I$3, $N$3, , $J$3, $K$3)+_xll.ciqfunctions.udf.CIQ($B7,"IQ_TOTAL_ASSETS", "IQ_" &amp; LEFT(OI$3,2) &amp; "-1", OI$3, $N$3, , $J$3, $K$3))),"")</f>
        <v/>
      </c>
      <c r="OJ7" s="73" t="str">
        <f>IFERROR(IF(OR($B7="",OJ$3=""),"",_xll.ciqfunctions.udf.CIQ($B7,"IQ_NI",$O$3, OJ$3, $N$3, , $J$3, $K$3)*2/(_xll.ciqfunctions.udf.CIQ($B7,"IQ_TOTAL_ASSETS",OJ$3,$I$3, $N$3, , $J$3, $K$3)+_xll.ciqfunctions.udf.CIQ($B7,"IQ_TOTAL_ASSETS", "IQ_" &amp; LEFT(OJ$3,2) &amp; "-1", OJ$3, $N$3, , $J$3, $K$3))),"")</f>
        <v/>
      </c>
      <c r="OK7" s="73" t="str">
        <f>IFERROR(IF(OR($B7="",OK$3=""),"",_xll.ciqfunctions.udf.CIQ($B7,"IQ_NI",$O$3, OK$3, $N$3, , $J$3, $K$3)*2/(_xll.ciqfunctions.udf.CIQ($B7,"IQ_TOTAL_ASSETS",OK$3,$I$3, $N$3, , $J$3, $K$3)+_xll.ciqfunctions.udf.CIQ($B7,"IQ_TOTAL_ASSETS", "IQ_" &amp; LEFT(OK$3,2) &amp; "-1", OK$3, $N$3, , $J$3, $K$3))),"")</f>
        <v/>
      </c>
      <c r="OL7" s="73" t="str">
        <f>IFERROR(IF(OR($B7="",OL$3=""),"",_xll.ciqfunctions.udf.CIQ($B7,"IQ_NI",$O$3, OL$3, $N$3, , $J$3, $K$3)*2/(_xll.ciqfunctions.udf.CIQ($B7,"IQ_TOTAL_ASSETS",OL$3,$I$3, $N$3, , $J$3, $K$3)+_xll.ciqfunctions.udf.CIQ($B7,"IQ_TOTAL_ASSETS", "IQ_" &amp; LEFT(OL$3,2) &amp; "-1", OL$3, $N$3, , $J$3, $K$3))),"")</f>
        <v/>
      </c>
      <c r="OM7" s="73" t="str">
        <f>IFERROR(IF(OR($B7="",OM$3=""),"",_xll.ciqfunctions.udf.CIQ($B7,"IQ_NI",$O$3, OM$3, $N$3, , $J$3, $K$3)*2/(_xll.ciqfunctions.udf.CIQ($B7,"IQ_TOTAL_ASSETS",OM$3,$I$3, $N$3, , $J$3, $K$3)+_xll.ciqfunctions.udf.CIQ($B7,"IQ_TOTAL_ASSETS", "IQ_" &amp; LEFT(OM$3,2) &amp; "-1", OM$3, $N$3, , $J$3, $K$3))),"")</f>
        <v/>
      </c>
      <c r="ON7" s="73" t="str">
        <f>IFERROR(IF(OR($B7="",ON$3=""),"",_xll.ciqfunctions.udf.CIQ($B7,"IQ_NI",$O$3, ON$3, $N$3, , $J$3, $K$3)*2/(_xll.ciqfunctions.udf.CIQ($B7,"IQ_TOTAL_ASSETS",ON$3,$I$3, $N$3, , $J$3, $K$3)+_xll.ciqfunctions.udf.CIQ($B7,"IQ_TOTAL_ASSETS", "IQ_" &amp; LEFT(ON$3,2) &amp; "-1", ON$3, $N$3, , $J$3, $K$3))),"")</f>
        <v/>
      </c>
      <c r="OO7" s="73" t="str">
        <f>IFERROR(IF(OR($B7="",OO$3=""),"",_xll.ciqfunctions.udf.CIQ($B7,"IQ_NI",$O$3, OO$3, $N$3, , $J$3, $K$3)*2/(_xll.ciqfunctions.udf.CIQ($B7,"IQ_TOTAL_ASSETS",OO$3,$I$3, $N$3, , $J$3, $K$3)+_xll.ciqfunctions.udf.CIQ($B7,"IQ_TOTAL_ASSETS", "IQ_" &amp; LEFT(OO$3,2) &amp; "-1", OO$3, $N$3, , $J$3, $K$3))),"")</f>
        <v/>
      </c>
      <c r="OP7" s="73" t="str">
        <f>IFERROR(IF(OR($B7="",OP$3=""),"",_xll.ciqfunctions.udf.CIQ($B7,"IQ_NI",$O$3, OP$3, $N$3, , $J$3, $K$3)*2/(_xll.ciqfunctions.udf.CIQ($B7,"IQ_TOTAL_ASSETS",OP$3,$I$3, $N$3, , $J$3, $K$3)+_xll.ciqfunctions.udf.CIQ($B7,"IQ_TOTAL_ASSETS", "IQ_" &amp; LEFT(OP$3,2) &amp; "-1", OP$3, $N$3, , $J$3, $K$3))),"")</f>
        <v/>
      </c>
      <c r="OQ7" s="73" t="str">
        <f>IFERROR(IF(OR($B7="",OQ$3=""),"",_xll.ciqfunctions.udf.CIQ($B7,"IQ_NI",$O$3, OQ$3, $N$3, , $J$3, $K$3)*2/(_xll.ciqfunctions.udf.CIQ($B7,"IQ_TOTAL_ASSETS",OQ$3,$I$3, $N$3, , $J$3, $K$3)+_xll.ciqfunctions.udf.CIQ($B7,"IQ_TOTAL_ASSETS", "IQ_" &amp; LEFT(OQ$3,2) &amp; "-1", OQ$3, $N$3, , $J$3, $K$3))),"")</f>
        <v/>
      </c>
      <c r="OR7" s="73" t="str">
        <f>IFERROR(IF(OR($B7="",OR$3=""),"",_xll.ciqfunctions.udf.CIQ($B7,"IQ_NI",$O$3, OR$3, $N$3, , $J$3, $K$3)*2/(_xll.ciqfunctions.udf.CIQ($B7,"IQ_TOTAL_ASSETS",OR$3,$I$3, $N$3, , $J$3, $K$3)+_xll.ciqfunctions.udf.CIQ($B7,"IQ_TOTAL_ASSETS", "IQ_" &amp; LEFT(OR$3,2) &amp; "-1", OR$3, $N$3, , $J$3, $K$3))),"")</f>
        <v/>
      </c>
      <c r="OS7" s="73" t="str">
        <f>IFERROR(IF(OR($B7="",OS$3=""),"",_xll.ciqfunctions.udf.CIQ($B7,"IQ_NI",$O$3, OS$3, $N$3, , $J$3, $K$3)*2/(_xll.ciqfunctions.udf.CIQ($B7,"IQ_TOTAL_ASSETS",OS$3,$I$3, $N$3, , $J$3, $K$3)+_xll.ciqfunctions.udf.CIQ($B7,"IQ_TOTAL_ASSETS", "IQ_" &amp; LEFT(OS$3,2) &amp; "-1", OS$3, $N$3, , $J$3, $K$3))),"")</f>
        <v/>
      </c>
      <c r="OT7" s="73" t="str">
        <f>IFERROR(IF(OR($B7="",OT$3=""),"",_xll.ciqfunctions.udf.CIQ($B7,"IQ_NI",$O$3, OT$3, $N$3, , $J$3, $K$3)*2/(_xll.ciqfunctions.udf.CIQ($B7,"IQ_TOTAL_ASSETS",OT$3,$I$3, $N$3, , $J$3, $K$3)+_xll.ciqfunctions.udf.CIQ($B7,"IQ_TOTAL_ASSETS", "IQ_" &amp; LEFT(OT$3,2) &amp; "-1", OT$3, $N$3, , $J$3, $K$3))),"")</f>
        <v/>
      </c>
      <c r="OU7" s="73" t="str">
        <f>IFERROR(IF(OR($B7="",OU$3=""),"",_xll.ciqfunctions.udf.CIQ($B7,"IQ_NI",$O$3, OU$3, $N$3, , $J$3, $K$3)*2/(_xll.ciqfunctions.udf.CIQ($B7,"IQ_TOTAL_ASSETS",OU$3,$I$3, $N$3, , $J$3, $K$3)+_xll.ciqfunctions.udf.CIQ($B7,"IQ_TOTAL_ASSETS", "IQ_" &amp; LEFT(OU$3,2) &amp; "-1", OU$3, $N$3, , $J$3, $K$3))),"")</f>
        <v/>
      </c>
      <c r="OV7" s="74" t="str">
        <f>IFERROR(IF(OR($B7="",OV$3=""),"",_xll.ciqfunctions.udf.CIQ($B7,"IQ_NI",$O$3, OV$3, $N$3, , $J$3, $K$3)*2/(_xll.ciqfunctions.udf.CIQ($B7,"IQ_TOTAL_ASSETS",OV$3,$I$3, $N$3, , $J$3, $K$3)+_xll.ciqfunctions.udf.CIQ($B7,"IQ_TOTAL_ASSETS", "IQ_" &amp; LEFT(OV$3,2) &amp; "-1", OV$3, $N$3, , $J$3, $K$3))),"")</f>
        <v/>
      </c>
      <c r="OW7" s="72">
        <f>IFERROR(IF(OR($B7="",OW$3=""),"",_xll.ciqfunctions.udf.CIQ($B7, "IQ_NI", $O$3, OW$3, $N$3, , $J$3, $K$3)*2/(_xll.ciqfunctions.udf.CIQ($B7, "IQ_TOTAL_ASSETS", OW$3, $I$3, $N$3, , $J$3, $K$3)+_xll.ciqfunctions.udf.CIQ($B7, "IQ_TOTAL_ASSETS", "IQ_" &amp; LEFT(OW$3,2) &amp; "-1", OW$3, $N$3, , $J$3, $K$3)-_xll.ciqfunctions.udf.CIQ($B7, "IQ_TOTAL_CL", OW$3, $I$3, $N$3, , $J$3, $K$3)-_xll.ciqfunctions.udf.CIQ($B7, "IQ_TOTAL_CL", "IQ_" &amp; LEFT(OW$3,2) &amp; "-1", OW$3, $N$3, , $J$3, $K$3))),"")</f>
        <v>8.514741658578398E-2</v>
      </c>
      <c r="OX7" s="73" t="str">
        <f>IFERROR(IF(OR($B7="",OX$3=""),"",_xll.ciqfunctions.udf.CIQ($B7, "IQ_NI", $O$3, OX$3, $N$3, , $J$3, $K$3)*2/(_xll.ciqfunctions.udf.CIQ($B7, "IQ_TOTAL_ASSETS", OX$3, $I$3, $N$3, , $J$3, $K$3)+_xll.ciqfunctions.udf.CIQ($B7, "IQ_TOTAL_ASSETS", "IQ_" &amp; LEFT(OX$3,2) &amp; "-1", OX$3, $N$3, , $J$3, $K$3)-_xll.ciqfunctions.udf.CIQ($B7, "IQ_TOTAL_CL", OX$3, $I$3, $N$3, , $J$3, $K$3)-_xll.ciqfunctions.udf.CIQ($B7, "IQ_TOTAL_CL", "IQ_" &amp; LEFT(OX$3,2) &amp; "-1", OX$3, $N$3, , $J$3, $K$3))),"")</f>
        <v/>
      </c>
      <c r="OY7" s="73" t="str">
        <f>IFERROR(IF(OR($B7="",OY$3=""),"",_xll.ciqfunctions.udf.CIQ($B7, "IQ_NI", $O$3, OY$3, $N$3, , $J$3, $K$3)*2/(_xll.ciqfunctions.udf.CIQ($B7, "IQ_TOTAL_ASSETS", OY$3, $I$3, $N$3, , $J$3, $K$3)+_xll.ciqfunctions.udf.CIQ($B7, "IQ_TOTAL_ASSETS", "IQ_" &amp; LEFT(OY$3,2) &amp; "-1", OY$3, $N$3, , $J$3, $K$3)-_xll.ciqfunctions.udf.CIQ($B7, "IQ_TOTAL_CL", OY$3, $I$3, $N$3, , $J$3, $K$3)-_xll.ciqfunctions.udf.CIQ($B7, "IQ_TOTAL_CL", "IQ_" &amp; LEFT(OY$3,2) &amp; "-1", OY$3, $N$3, , $J$3, $K$3))),"")</f>
        <v/>
      </c>
      <c r="OZ7" s="73" t="str">
        <f>IFERROR(IF(OR($B7="",OZ$3=""),"",_xll.ciqfunctions.udf.CIQ($B7, "IQ_NI", $O$3, OZ$3, $N$3, , $J$3, $K$3)*2/(_xll.ciqfunctions.udf.CIQ($B7, "IQ_TOTAL_ASSETS", OZ$3, $I$3, $N$3, , $J$3, $K$3)+_xll.ciqfunctions.udf.CIQ($B7, "IQ_TOTAL_ASSETS", "IQ_" &amp; LEFT(OZ$3,2) &amp; "-1", OZ$3, $N$3, , $J$3, $K$3)-_xll.ciqfunctions.udf.CIQ($B7, "IQ_TOTAL_CL", OZ$3, $I$3, $N$3, , $J$3, $K$3)-_xll.ciqfunctions.udf.CIQ($B7, "IQ_TOTAL_CL", "IQ_" &amp; LEFT(OZ$3,2) &amp; "-1", OZ$3, $N$3, , $J$3, $K$3))),"")</f>
        <v/>
      </c>
      <c r="PA7" s="73" t="str">
        <f>IFERROR(IF(OR($B7="",PA$3=""),"",_xll.ciqfunctions.udf.CIQ($B7, "IQ_NI", $O$3, PA$3, $N$3, , $J$3, $K$3)*2/(_xll.ciqfunctions.udf.CIQ($B7, "IQ_TOTAL_ASSETS", PA$3, $I$3, $N$3, , $J$3, $K$3)+_xll.ciqfunctions.udf.CIQ($B7, "IQ_TOTAL_ASSETS", "IQ_" &amp; LEFT(PA$3,2) &amp; "-1", PA$3, $N$3, , $J$3, $K$3)-_xll.ciqfunctions.udf.CIQ($B7, "IQ_TOTAL_CL", PA$3, $I$3, $N$3, , $J$3, $K$3)-_xll.ciqfunctions.udf.CIQ($B7, "IQ_TOTAL_CL", "IQ_" &amp; LEFT(PA$3,2) &amp; "-1", PA$3, $N$3, , $J$3, $K$3))),"")</f>
        <v/>
      </c>
      <c r="PB7" s="73" t="str">
        <f>IFERROR(IF(OR($B7="",PB$3=""),"",_xll.ciqfunctions.udf.CIQ($B7, "IQ_NI", $O$3, PB$3, $N$3, , $J$3, $K$3)*2/(_xll.ciqfunctions.udf.CIQ($B7, "IQ_TOTAL_ASSETS", PB$3, $I$3, $N$3, , $J$3, $K$3)+_xll.ciqfunctions.udf.CIQ($B7, "IQ_TOTAL_ASSETS", "IQ_" &amp; LEFT(PB$3,2) &amp; "-1", PB$3, $N$3, , $J$3, $K$3)-_xll.ciqfunctions.udf.CIQ($B7, "IQ_TOTAL_CL", PB$3, $I$3, $N$3, , $J$3, $K$3)-_xll.ciqfunctions.udf.CIQ($B7, "IQ_TOTAL_CL", "IQ_" &amp; LEFT(PB$3,2) &amp; "-1", PB$3, $N$3, , $J$3, $K$3))),"")</f>
        <v/>
      </c>
      <c r="PC7" s="73" t="str">
        <f>IFERROR(IF(OR($B7="",PC$3=""),"",_xll.ciqfunctions.udf.CIQ($B7, "IQ_NI", $O$3, PC$3, $N$3, , $J$3, $K$3)*2/(_xll.ciqfunctions.udf.CIQ($B7, "IQ_TOTAL_ASSETS", PC$3, $I$3, $N$3, , $J$3, $K$3)+_xll.ciqfunctions.udf.CIQ($B7, "IQ_TOTAL_ASSETS", "IQ_" &amp; LEFT(PC$3,2) &amp; "-1", PC$3, $N$3, , $J$3, $K$3)-_xll.ciqfunctions.udf.CIQ($B7, "IQ_TOTAL_CL", PC$3, $I$3, $N$3, , $J$3, $K$3)-_xll.ciqfunctions.udf.CIQ($B7, "IQ_TOTAL_CL", "IQ_" &amp; LEFT(PC$3,2) &amp; "-1", PC$3, $N$3, , $J$3, $K$3))),"")</f>
        <v/>
      </c>
      <c r="PD7" s="73" t="str">
        <f>IFERROR(IF(OR($B7="",PD$3=""),"",_xll.ciqfunctions.udf.CIQ($B7, "IQ_NI", $O$3, PD$3, $N$3, , $J$3, $K$3)*2/(_xll.ciqfunctions.udf.CIQ($B7, "IQ_TOTAL_ASSETS", PD$3, $I$3, $N$3, , $J$3, $K$3)+_xll.ciqfunctions.udf.CIQ($B7, "IQ_TOTAL_ASSETS", "IQ_" &amp; LEFT(PD$3,2) &amp; "-1", PD$3, $N$3, , $J$3, $K$3)-_xll.ciqfunctions.udf.CIQ($B7, "IQ_TOTAL_CL", PD$3, $I$3, $N$3, , $J$3, $K$3)-_xll.ciqfunctions.udf.CIQ($B7, "IQ_TOTAL_CL", "IQ_" &amp; LEFT(PD$3,2) &amp; "-1", PD$3, $N$3, , $J$3, $K$3))),"")</f>
        <v/>
      </c>
      <c r="PE7" s="73" t="str">
        <f>IFERROR(IF(OR($B7="",PE$3=""),"",_xll.ciqfunctions.udf.CIQ($B7, "IQ_NI", $O$3, PE$3, $N$3, , $J$3, $K$3)*2/(_xll.ciqfunctions.udf.CIQ($B7, "IQ_TOTAL_ASSETS", PE$3, $I$3, $N$3, , $J$3, $K$3)+_xll.ciqfunctions.udf.CIQ($B7, "IQ_TOTAL_ASSETS", "IQ_" &amp; LEFT(PE$3,2) &amp; "-1", PE$3, $N$3, , $J$3, $K$3)-_xll.ciqfunctions.udf.CIQ($B7, "IQ_TOTAL_CL", PE$3, $I$3, $N$3, , $J$3, $K$3)-_xll.ciqfunctions.udf.CIQ($B7, "IQ_TOTAL_CL", "IQ_" &amp; LEFT(PE$3,2) &amp; "-1", PE$3, $N$3, , $J$3, $K$3))),"")</f>
        <v/>
      </c>
      <c r="PF7" s="73" t="str">
        <f>IFERROR(IF(OR($B7="",PF$3=""),"",_xll.ciqfunctions.udf.CIQ($B7, "IQ_NI", $O$3, PF$3, $N$3, , $J$3, $K$3)*2/(_xll.ciqfunctions.udf.CIQ($B7, "IQ_TOTAL_ASSETS", PF$3, $I$3, $N$3, , $J$3, $K$3)+_xll.ciqfunctions.udf.CIQ($B7, "IQ_TOTAL_ASSETS", "IQ_" &amp; LEFT(PF$3,2) &amp; "-1", PF$3, $N$3, , $J$3, $K$3)-_xll.ciqfunctions.udf.CIQ($B7, "IQ_TOTAL_CL", PF$3, $I$3, $N$3, , $J$3, $K$3)-_xll.ciqfunctions.udf.CIQ($B7, "IQ_TOTAL_CL", "IQ_" &amp; LEFT(PF$3,2) &amp; "-1", PF$3, $N$3, , $J$3, $K$3))),"")</f>
        <v/>
      </c>
      <c r="PG7" s="73" t="str">
        <f>IFERROR(IF(OR($B7="",PG$3=""),"",_xll.ciqfunctions.udf.CIQ($B7, "IQ_NI", $O$3, PG$3, $N$3, , $J$3, $K$3)*2/(_xll.ciqfunctions.udf.CIQ($B7, "IQ_TOTAL_ASSETS", PG$3, $I$3, $N$3, , $J$3, $K$3)+_xll.ciqfunctions.udf.CIQ($B7, "IQ_TOTAL_ASSETS", "IQ_" &amp; LEFT(PG$3,2) &amp; "-1", PG$3, $N$3, , $J$3, $K$3)-_xll.ciqfunctions.udf.CIQ($B7, "IQ_TOTAL_CL", PG$3, $I$3, $N$3, , $J$3, $K$3)-_xll.ciqfunctions.udf.CIQ($B7, "IQ_TOTAL_CL", "IQ_" &amp; LEFT(PG$3,2) &amp; "-1", PG$3, $N$3, , $J$3, $K$3))),"")</f>
        <v/>
      </c>
      <c r="PH7" s="73" t="str">
        <f>IFERROR(IF(OR($B7="",PH$3=""),"",_xll.ciqfunctions.udf.CIQ($B7, "IQ_NI", $O$3, PH$3, $N$3, , $J$3, $K$3)*2/(_xll.ciqfunctions.udf.CIQ($B7, "IQ_TOTAL_ASSETS", PH$3, $I$3, $N$3, , $J$3, $K$3)+_xll.ciqfunctions.udf.CIQ($B7, "IQ_TOTAL_ASSETS", "IQ_" &amp; LEFT(PH$3,2) &amp; "-1", PH$3, $N$3, , $J$3, $K$3)-_xll.ciqfunctions.udf.CIQ($B7, "IQ_TOTAL_CL", PH$3, $I$3, $N$3, , $J$3, $K$3)-_xll.ciqfunctions.udf.CIQ($B7, "IQ_TOTAL_CL", "IQ_" &amp; LEFT(PH$3,2) &amp; "-1", PH$3, $N$3, , $J$3, $K$3))),"")</f>
        <v/>
      </c>
      <c r="PI7" s="73" t="str">
        <f>IFERROR(IF(OR($B7="",PI$3=""),"",_xll.ciqfunctions.udf.CIQ($B7, "IQ_NI", $O$3, PI$3, $N$3, , $J$3, $K$3)*2/(_xll.ciqfunctions.udf.CIQ($B7, "IQ_TOTAL_ASSETS", PI$3, $I$3, $N$3, , $J$3, $K$3)+_xll.ciqfunctions.udf.CIQ($B7, "IQ_TOTAL_ASSETS", "IQ_" &amp; LEFT(PI$3,2) &amp; "-1", PI$3, $N$3, , $J$3, $K$3)-_xll.ciqfunctions.udf.CIQ($B7, "IQ_TOTAL_CL", PI$3, $I$3, $N$3, , $J$3, $K$3)-_xll.ciqfunctions.udf.CIQ($B7, "IQ_TOTAL_CL", "IQ_" &amp; LEFT(PI$3,2) &amp; "-1", PI$3, $N$3, , $J$3, $K$3))),"")</f>
        <v/>
      </c>
      <c r="PJ7" s="73" t="str">
        <f>IFERROR(IF(OR($B7="",PJ$3=""),"",_xll.ciqfunctions.udf.CIQ($B7, "IQ_NI", $O$3, PJ$3, $N$3, , $J$3, $K$3)*2/(_xll.ciqfunctions.udf.CIQ($B7, "IQ_TOTAL_ASSETS", PJ$3, $I$3, $N$3, , $J$3, $K$3)+_xll.ciqfunctions.udf.CIQ($B7, "IQ_TOTAL_ASSETS", "IQ_" &amp; LEFT(PJ$3,2) &amp; "-1", PJ$3, $N$3, , $J$3, $K$3)-_xll.ciqfunctions.udf.CIQ($B7, "IQ_TOTAL_CL", PJ$3, $I$3, $N$3, , $J$3, $K$3)-_xll.ciqfunctions.udf.CIQ($B7, "IQ_TOTAL_CL", "IQ_" &amp; LEFT(PJ$3,2) &amp; "-1", PJ$3, $N$3, , $J$3, $K$3))),"")</f>
        <v/>
      </c>
      <c r="PK7" s="73" t="str">
        <f>IFERROR(IF(OR($B7="",PK$3=""),"",_xll.ciqfunctions.udf.CIQ($B7, "IQ_NI", $O$3, PK$3, $N$3, , $J$3, $K$3)*2/(_xll.ciqfunctions.udf.CIQ($B7, "IQ_TOTAL_ASSETS", PK$3, $I$3, $N$3, , $J$3, $K$3)+_xll.ciqfunctions.udf.CIQ($B7, "IQ_TOTAL_ASSETS", "IQ_" &amp; LEFT(PK$3,2) &amp; "-1", PK$3, $N$3, , $J$3, $K$3)-_xll.ciqfunctions.udf.CIQ($B7, "IQ_TOTAL_CL", PK$3, $I$3, $N$3, , $J$3, $K$3)-_xll.ciqfunctions.udf.CIQ($B7, "IQ_TOTAL_CL", "IQ_" &amp; LEFT(PK$3,2) &amp; "-1", PK$3, $N$3, , $J$3, $K$3))),"")</f>
        <v/>
      </c>
      <c r="PL7" s="73" t="str">
        <f>IFERROR(IF(OR($B7="",PL$3=""),"",_xll.ciqfunctions.udf.CIQ($B7, "IQ_NI", $O$3, PL$3, $N$3, , $J$3, $K$3)*2/(_xll.ciqfunctions.udf.CIQ($B7, "IQ_TOTAL_ASSETS", PL$3, $I$3, $N$3, , $J$3, $K$3)+_xll.ciqfunctions.udf.CIQ($B7, "IQ_TOTAL_ASSETS", "IQ_" &amp; LEFT(PL$3,2) &amp; "-1", PL$3, $N$3, , $J$3, $K$3)-_xll.ciqfunctions.udf.CIQ($B7, "IQ_TOTAL_CL", PL$3, $I$3, $N$3, , $J$3, $K$3)-_xll.ciqfunctions.udf.CIQ($B7, "IQ_TOTAL_CL", "IQ_" &amp; LEFT(PL$3,2) &amp; "-1", PL$3, $N$3, , $J$3, $K$3))),"")</f>
        <v/>
      </c>
      <c r="PM7" s="73" t="str">
        <f>IFERROR(IF(OR($B7="",PM$3=""),"",_xll.ciqfunctions.udf.CIQ($B7, "IQ_NI", $O$3, PM$3, $N$3, , $J$3, $K$3)*2/(_xll.ciqfunctions.udf.CIQ($B7, "IQ_TOTAL_ASSETS", PM$3, $I$3, $N$3, , $J$3, $K$3)+_xll.ciqfunctions.udf.CIQ($B7, "IQ_TOTAL_ASSETS", "IQ_" &amp; LEFT(PM$3,2) &amp; "-1", PM$3, $N$3, , $J$3, $K$3)-_xll.ciqfunctions.udf.CIQ($B7, "IQ_TOTAL_CL", PM$3, $I$3, $N$3, , $J$3, $K$3)-_xll.ciqfunctions.udf.CIQ($B7, "IQ_TOTAL_CL", "IQ_" &amp; LEFT(PM$3,2) &amp; "-1", PM$3, $N$3, , $J$3, $K$3))),"")</f>
        <v/>
      </c>
      <c r="PN7" s="73" t="str">
        <f>IFERROR(IF(OR($B7="",PN$3=""),"",_xll.ciqfunctions.udf.CIQ($B7, "IQ_NI", $O$3, PN$3, $N$3, , $J$3, $K$3)*2/(_xll.ciqfunctions.udf.CIQ($B7, "IQ_TOTAL_ASSETS", PN$3, $I$3, $N$3, , $J$3, $K$3)+_xll.ciqfunctions.udf.CIQ($B7, "IQ_TOTAL_ASSETS", "IQ_" &amp; LEFT(PN$3,2) &amp; "-1", PN$3, $N$3, , $J$3, $K$3)-_xll.ciqfunctions.udf.CIQ($B7, "IQ_TOTAL_CL", PN$3, $I$3, $N$3, , $J$3, $K$3)-_xll.ciqfunctions.udf.CIQ($B7, "IQ_TOTAL_CL", "IQ_" &amp; LEFT(PN$3,2) &amp; "-1", PN$3, $N$3, , $J$3, $K$3))),"")</f>
        <v/>
      </c>
      <c r="PO7" s="73" t="str">
        <f>IFERROR(IF(OR($B7="",PO$3=""),"",_xll.ciqfunctions.udf.CIQ($B7, "IQ_NI", $O$3, PO$3, $N$3, , $J$3, $K$3)*2/(_xll.ciqfunctions.udf.CIQ($B7, "IQ_TOTAL_ASSETS", PO$3, $I$3, $N$3, , $J$3, $K$3)+_xll.ciqfunctions.udf.CIQ($B7, "IQ_TOTAL_ASSETS", "IQ_" &amp; LEFT(PO$3,2) &amp; "-1", PO$3, $N$3, , $J$3, $K$3)-_xll.ciqfunctions.udf.CIQ($B7, "IQ_TOTAL_CL", PO$3, $I$3, $N$3, , $J$3, $K$3)-_xll.ciqfunctions.udf.CIQ($B7, "IQ_TOTAL_CL", "IQ_" &amp; LEFT(PO$3,2) &amp; "-1", PO$3, $N$3, , $J$3, $K$3))),"")</f>
        <v/>
      </c>
      <c r="PP7" s="74" t="str">
        <f>IFERROR(IF(OR($B7="",PP$3=""),"",_xll.ciqfunctions.udf.CIQ($B7, "IQ_NI", $O$3, PP$3, $N$3, , $J$3, $K$3)*2/(_xll.ciqfunctions.udf.CIQ($B7, "IQ_TOTAL_ASSETS", PP$3, $I$3, $N$3, , $J$3, $K$3)+_xll.ciqfunctions.udf.CIQ($B7, "IQ_TOTAL_ASSETS", "IQ_" &amp; LEFT(PP$3,2) &amp; "-1", PP$3, $N$3, , $J$3, $K$3)-_xll.ciqfunctions.udf.CIQ($B7, "IQ_TOTAL_CL", PP$3, $I$3, $N$3, , $J$3, $K$3)-_xll.ciqfunctions.udf.CIQ($B7, "IQ_TOTAL_CL", "IQ_" &amp; LEFT(PP$3,2) &amp; "-1", PP$3, $N$3, , $J$3, $K$3))),"")</f>
        <v/>
      </c>
      <c r="PQ7" s="75">
        <f>IFERROR(IF(OR($B7="",PQ$3=""),"",_xll.ciqfunctions.udf.CIQ($B7,"IQ_TOTAL_ASSETS",PQ$3, $I$3, $N$3, , $J$3, $K$3)/_xll.ciqfunctions.udf.CIQ($B7,"IQ_TOTAL_COMMON_EQUITY",PQ$3, $I$3, $N$3, , $J$3, $K$3)),"")</f>
        <v>2.9411552736838313</v>
      </c>
      <c r="PR7" s="76" t="str">
        <f>IFERROR(IF(OR($B7="",PR$3=""),"",_xll.ciqfunctions.udf.CIQ($B7,"IQ_TOTAL_ASSETS",PR$3, $I$3, $N$3, , $J$3, $K$3)/_xll.ciqfunctions.udf.CIQ($B7,"IQ_TOTAL_COMMON_EQUITY",PR$3, $I$3, $N$3, , $J$3, $K$3)),"")</f>
        <v/>
      </c>
      <c r="PS7" s="76" t="str">
        <f>IFERROR(IF(OR($B7="",PS$3=""),"",_xll.ciqfunctions.udf.CIQ($B7,"IQ_TOTAL_ASSETS",PS$3, $I$3, $N$3, , $J$3, $K$3)/_xll.ciqfunctions.udf.CIQ($B7,"IQ_TOTAL_COMMON_EQUITY",PS$3, $I$3, $N$3, , $J$3, $K$3)),"")</f>
        <v/>
      </c>
      <c r="PT7" s="76" t="str">
        <f>IFERROR(IF(OR($B7="",PT$3=""),"",_xll.ciqfunctions.udf.CIQ($B7,"IQ_TOTAL_ASSETS",PT$3, $I$3, $N$3, , $J$3, $K$3)/_xll.ciqfunctions.udf.CIQ($B7,"IQ_TOTAL_COMMON_EQUITY",PT$3, $I$3, $N$3, , $J$3, $K$3)),"")</f>
        <v/>
      </c>
      <c r="PU7" s="76" t="str">
        <f>IFERROR(IF(OR($B7="",PU$3=""),"",_xll.ciqfunctions.udf.CIQ($B7,"IQ_TOTAL_ASSETS",PU$3, $I$3, $N$3, , $J$3, $K$3)/_xll.ciqfunctions.udf.CIQ($B7,"IQ_TOTAL_COMMON_EQUITY",PU$3, $I$3, $N$3, , $J$3, $K$3)),"")</f>
        <v/>
      </c>
      <c r="PV7" s="76" t="str">
        <f>IFERROR(IF(OR($B7="",PV$3=""),"",_xll.ciqfunctions.udf.CIQ($B7,"IQ_TOTAL_ASSETS",PV$3, $I$3, $N$3, , $J$3, $K$3)/_xll.ciqfunctions.udf.CIQ($B7,"IQ_TOTAL_COMMON_EQUITY",PV$3, $I$3, $N$3, , $J$3, $K$3)),"")</f>
        <v/>
      </c>
      <c r="PW7" s="76" t="str">
        <f>IFERROR(IF(OR($B7="",PW$3=""),"",_xll.ciqfunctions.udf.CIQ($B7,"IQ_TOTAL_ASSETS",PW$3, $I$3, $N$3, , $J$3, $K$3)/_xll.ciqfunctions.udf.CIQ($B7,"IQ_TOTAL_COMMON_EQUITY",PW$3, $I$3, $N$3, , $J$3, $K$3)),"")</f>
        <v/>
      </c>
      <c r="PX7" s="76" t="str">
        <f>IFERROR(IF(OR($B7="",PX$3=""),"",_xll.ciqfunctions.udf.CIQ($B7,"IQ_TOTAL_ASSETS",PX$3, $I$3, $N$3, , $J$3, $K$3)/_xll.ciqfunctions.udf.CIQ($B7,"IQ_TOTAL_COMMON_EQUITY",PX$3, $I$3, $N$3, , $J$3, $K$3)),"")</f>
        <v/>
      </c>
      <c r="PY7" s="76" t="str">
        <f>IFERROR(IF(OR($B7="",PY$3=""),"",_xll.ciqfunctions.udf.CIQ($B7,"IQ_TOTAL_ASSETS",PY$3, $I$3, $N$3, , $J$3, $K$3)/_xll.ciqfunctions.udf.CIQ($B7,"IQ_TOTAL_COMMON_EQUITY",PY$3, $I$3, $N$3, , $J$3, $K$3)),"")</f>
        <v/>
      </c>
      <c r="PZ7" s="76" t="str">
        <f>IFERROR(IF(OR($B7="",PZ$3=""),"",_xll.ciqfunctions.udf.CIQ($B7,"IQ_TOTAL_ASSETS",PZ$3, $I$3, $N$3, , $J$3, $K$3)/_xll.ciqfunctions.udf.CIQ($B7,"IQ_TOTAL_COMMON_EQUITY",PZ$3, $I$3, $N$3, , $J$3, $K$3)),"")</f>
        <v/>
      </c>
      <c r="QA7" s="76" t="str">
        <f>IFERROR(IF(OR($B7="",QA$3=""),"",_xll.ciqfunctions.udf.CIQ($B7,"IQ_TOTAL_ASSETS",QA$3, $I$3, $N$3, , $J$3, $K$3)/_xll.ciqfunctions.udf.CIQ($B7,"IQ_TOTAL_COMMON_EQUITY",QA$3, $I$3, $N$3, , $J$3, $K$3)),"")</f>
        <v/>
      </c>
      <c r="QB7" s="76" t="str">
        <f>IFERROR(IF(OR($B7="",QB$3=""),"",_xll.ciqfunctions.udf.CIQ($B7,"IQ_TOTAL_ASSETS",QB$3, $I$3, $N$3, , $J$3, $K$3)/_xll.ciqfunctions.udf.CIQ($B7,"IQ_TOTAL_COMMON_EQUITY",QB$3, $I$3, $N$3, , $J$3, $K$3)),"")</f>
        <v/>
      </c>
      <c r="QC7" s="76" t="str">
        <f>IFERROR(IF(OR($B7="",QC$3=""),"",_xll.ciqfunctions.udf.CIQ($B7,"IQ_TOTAL_ASSETS",QC$3, $I$3, $N$3, , $J$3, $K$3)/_xll.ciqfunctions.udf.CIQ($B7,"IQ_TOTAL_COMMON_EQUITY",QC$3, $I$3, $N$3, , $J$3, $K$3)),"")</f>
        <v/>
      </c>
      <c r="QD7" s="76" t="str">
        <f>IFERROR(IF(OR($B7="",QD$3=""),"",_xll.ciqfunctions.udf.CIQ($B7,"IQ_TOTAL_ASSETS",QD$3, $I$3, $N$3, , $J$3, $K$3)/_xll.ciqfunctions.udf.CIQ($B7,"IQ_TOTAL_COMMON_EQUITY",QD$3, $I$3, $N$3, , $J$3, $K$3)),"")</f>
        <v/>
      </c>
      <c r="QE7" s="76" t="str">
        <f>IFERROR(IF(OR($B7="",QE$3=""),"",_xll.ciqfunctions.udf.CIQ($B7,"IQ_TOTAL_ASSETS",QE$3, $I$3, $N$3, , $J$3, $K$3)/_xll.ciqfunctions.udf.CIQ($B7,"IQ_TOTAL_COMMON_EQUITY",QE$3, $I$3, $N$3, , $J$3, $K$3)),"")</f>
        <v/>
      </c>
      <c r="QF7" s="76" t="str">
        <f>IFERROR(IF(OR($B7="",QF$3=""),"",_xll.ciqfunctions.udf.CIQ($B7,"IQ_TOTAL_ASSETS",QF$3, $I$3, $N$3, , $J$3, $K$3)/_xll.ciqfunctions.udf.CIQ($B7,"IQ_TOTAL_COMMON_EQUITY",QF$3, $I$3, $N$3, , $J$3, $K$3)),"")</f>
        <v/>
      </c>
      <c r="QG7" s="76" t="str">
        <f>IFERROR(IF(OR($B7="",QG$3=""),"",_xll.ciqfunctions.udf.CIQ($B7,"IQ_TOTAL_ASSETS",QG$3, $I$3, $N$3, , $J$3, $K$3)/_xll.ciqfunctions.udf.CIQ($B7,"IQ_TOTAL_COMMON_EQUITY",QG$3, $I$3, $N$3, , $J$3, $K$3)),"")</f>
        <v/>
      </c>
      <c r="QH7" s="76" t="str">
        <f>IFERROR(IF(OR($B7="",QH$3=""),"",_xll.ciqfunctions.udf.CIQ($B7,"IQ_TOTAL_ASSETS",QH$3, $I$3, $N$3, , $J$3, $K$3)/_xll.ciqfunctions.udf.CIQ($B7,"IQ_TOTAL_COMMON_EQUITY",QH$3, $I$3, $N$3, , $J$3, $K$3)),"")</f>
        <v/>
      </c>
      <c r="QI7" s="76" t="str">
        <f>IFERROR(IF(OR($B7="",QI$3=""),"",_xll.ciqfunctions.udf.CIQ($B7,"IQ_TOTAL_ASSETS",QI$3, $I$3, $N$3, , $J$3, $K$3)/_xll.ciqfunctions.udf.CIQ($B7,"IQ_TOTAL_COMMON_EQUITY",QI$3, $I$3, $N$3, , $J$3, $K$3)),"")</f>
        <v/>
      </c>
      <c r="QJ7" s="77" t="str">
        <f>IFERROR(IF(OR($B7="",QJ$3=""),"",_xll.ciqfunctions.udf.CIQ($B7,"IQ_TOTAL_ASSETS",QJ$3, $I$3, $N$3, , $J$3, $K$3)/_xll.ciqfunctions.udf.CIQ($B7,"IQ_TOTAL_COMMON_EQUITY",QJ$3, $I$3, $N$3, , $J$3, $K$3)),"")</f>
        <v/>
      </c>
      <c r="QK7" s="72">
        <f>IFERROR(IF(QK$3="","",_xll.ciqfunctions.udf.CIQ($B7, "IQ_NI", $O$3, QK$3, $N$3, , $J$3, $K$3)/_xll.ciqfunctions.udf.CIQ($B7, "IQ_TOTAL_REV", $O$3, QK$3, $N$3, , $J$3, $K$3)),"")</f>
        <v>2.4161630758059986E-2</v>
      </c>
      <c r="QL7" s="73" t="str">
        <f>IFERROR(IF(QL$3="","",_xll.ciqfunctions.udf.CIQ($B7, "IQ_NI", $O$3, QL$3, $N$3, , $J$3, $K$3)/_xll.ciqfunctions.udf.CIQ($B7, "IQ_TOTAL_REV", $O$3, QL$3, $N$3, , $J$3, $K$3)),"")</f>
        <v/>
      </c>
      <c r="QM7" s="73" t="str">
        <f>IFERROR(IF(QM$3="","",_xll.ciqfunctions.udf.CIQ($B7, "IQ_NI", $O$3, QM$3, $N$3, , $J$3, $K$3)/_xll.ciqfunctions.udf.CIQ($B7, "IQ_TOTAL_REV", $O$3, QM$3, $N$3, , $J$3, $K$3)),"")</f>
        <v/>
      </c>
      <c r="QN7" s="73" t="str">
        <f>IFERROR(IF(QN$3="","",_xll.ciqfunctions.udf.CIQ($B7, "IQ_NI", $O$3, QN$3, $N$3, , $J$3, $K$3)/_xll.ciqfunctions.udf.CIQ($B7, "IQ_TOTAL_REV", $O$3, QN$3, $N$3, , $J$3, $K$3)),"")</f>
        <v/>
      </c>
      <c r="QO7" s="73" t="str">
        <f>IFERROR(IF(QO$3="","",_xll.ciqfunctions.udf.CIQ($B7, "IQ_NI", $O$3, QO$3, $N$3, , $J$3, $K$3)/_xll.ciqfunctions.udf.CIQ($B7, "IQ_TOTAL_REV", $O$3, QO$3, $N$3, , $J$3, $K$3)),"")</f>
        <v/>
      </c>
      <c r="QP7" s="73" t="str">
        <f>IFERROR(IF(QP$3="","",_xll.ciqfunctions.udf.CIQ($B7, "IQ_NI", $O$3, QP$3, $N$3, , $J$3, $K$3)/_xll.ciqfunctions.udf.CIQ($B7, "IQ_TOTAL_REV", $O$3, QP$3, $N$3, , $J$3, $K$3)),"")</f>
        <v/>
      </c>
      <c r="QQ7" s="73" t="str">
        <f>IFERROR(IF(QQ$3="","",_xll.ciqfunctions.udf.CIQ($B7, "IQ_NI", $O$3, QQ$3, $N$3, , $J$3, $K$3)/_xll.ciqfunctions.udf.CIQ($B7, "IQ_TOTAL_REV", $O$3, QQ$3, $N$3, , $J$3, $K$3)),"")</f>
        <v/>
      </c>
      <c r="QR7" s="73" t="str">
        <f>IFERROR(IF(QR$3="","",_xll.ciqfunctions.udf.CIQ($B7, "IQ_NI", $O$3, QR$3, $N$3, , $J$3, $K$3)/_xll.ciqfunctions.udf.CIQ($B7, "IQ_TOTAL_REV", $O$3, QR$3, $N$3, , $J$3, $K$3)),"")</f>
        <v/>
      </c>
      <c r="QS7" s="73" t="str">
        <f>IFERROR(IF(QS$3="","",_xll.ciqfunctions.udf.CIQ($B7, "IQ_NI", $O$3, QS$3, $N$3, , $J$3, $K$3)/_xll.ciqfunctions.udf.CIQ($B7, "IQ_TOTAL_REV", $O$3, QS$3, $N$3, , $J$3, $K$3)),"")</f>
        <v/>
      </c>
      <c r="QT7" s="73" t="str">
        <f>IFERROR(IF(QT$3="","",_xll.ciqfunctions.udf.CIQ($B7, "IQ_NI", $O$3, QT$3, $N$3, , $J$3, $K$3)/_xll.ciqfunctions.udf.CIQ($B7, "IQ_TOTAL_REV", $O$3, QT$3, $N$3, , $J$3, $K$3)),"")</f>
        <v/>
      </c>
      <c r="QU7" s="73" t="str">
        <f>IFERROR(IF(QU$3="","",_xll.ciqfunctions.udf.CIQ($B7, "IQ_NI", $O$3, QU$3, $N$3, , $J$3, $K$3)/_xll.ciqfunctions.udf.CIQ($B7, "IQ_TOTAL_REV", $O$3, QU$3, $N$3, , $J$3, $K$3)),"")</f>
        <v/>
      </c>
      <c r="QV7" s="73" t="str">
        <f>IFERROR(IF(QV$3="","",_xll.ciqfunctions.udf.CIQ($B7, "IQ_NI", $O$3, QV$3, $N$3, , $J$3, $K$3)/_xll.ciqfunctions.udf.CIQ($B7, "IQ_TOTAL_REV", $O$3, QV$3, $N$3, , $J$3, $K$3)),"")</f>
        <v/>
      </c>
      <c r="QW7" s="73" t="str">
        <f>IFERROR(IF(QW$3="","",_xll.ciqfunctions.udf.CIQ($B7, "IQ_NI", $O$3, QW$3, $N$3, , $J$3, $K$3)/_xll.ciqfunctions.udf.CIQ($B7, "IQ_TOTAL_REV", $O$3, QW$3, $N$3, , $J$3, $K$3)),"")</f>
        <v/>
      </c>
      <c r="QX7" s="73" t="str">
        <f>IFERROR(IF(QX$3="","",_xll.ciqfunctions.udf.CIQ($B7, "IQ_NI", $O$3, QX$3, $N$3, , $J$3, $K$3)/_xll.ciqfunctions.udf.CIQ($B7, "IQ_TOTAL_REV", $O$3, QX$3, $N$3, , $J$3, $K$3)),"")</f>
        <v/>
      </c>
      <c r="QY7" s="73" t="str">
        <f>IFERROR(IF(QY$3="","",_xll.ciqfunctions.udf.CIQ($B7, "IQ_NI", $O$3, QY$3, $N$3, , $J$3, $K$3)/_xll.ciqfunctions.udf.CIQ($B7, "IQ_TOTAL_REV", $O$3, QY$3, $N$3, , $J$3, $K$3)),"")</f>
        <v/>
      </c>
      <c r="QZ7" s="73" t="str">
        <f>IFERROR(IF(QZ$3="","",_xll.ciqfunctions.udf.CIQ($B7, "IQ_NI", $O$3, QZ$3, $N$3, , $J$3, $K$3)/_xll.ciqfunctions.udf.CIQ($B7, "IQ_TOTAL_REV", $O$3, QZ$3, $N$3, , $J$3, $K$3)),"")</f>
        <v/>
      </c>
      <c r="RA7" s="73" t="str">
        <f>IFERROR(IF(RA$3="","",_xll.ciqfunctions.udf.CIQ($B7, "IQ_NI", $O$3, RA$3, $N$3, , $J$3, $K$3)/_xll.ciqfunctions.udf.CIQ($B7, "IQ_TOTAL_REV", $O$3, RA$3, $N$3, , $J$3, $K$3)),"")</f>
        <v/>
      </c>
      <c r="RB7" s="73" t="str">
        <f>IFERROR(IF(RB$3="","",_xll.ciqfunctions.udf.CIQ($B7, "IQ_NI", $O$3, RB$3, $N$3, , $J$3, $K$3)/_xll.ciqfunctions.udf.CIQ($B7, "IQ_TOTAL_REV", $O$3, RB$3, $N$3, , $J$3, $K$3)),"")</f>
        <v/>
      </c>
      <c r="RC7" s="73" t="str">
        <f>IFERROR(IF(RC$3="","",_xll.ciqfunctions.udf.CIQ($B7, "IQ_NI", $O$3, RC$3, $N$3, , $J$3, $K$3)/_xll.ciqfunctions.udf.CIQ($B7, "IQ_TOTAL_REV", $O$3, RC$3, $N$3, , $J$3, $K$3)),"")</f>
        <v/>
      </c>
      <c r="RD7" s="74" t="str">
        <f>IFERROR(IF(RD$3="","",_xll.ciqfunctions.udf.CIQ($B7, "IQ_NI", $O$3, RD$3, $N$3, , $J$3, $K$3)/_xll.ciqfunctions.udf.CIQ($B7, "IQ_TOTAL_REV", $O$3, RD$3, $N$3, , $J$3, $K$3)),"")</f>
        <v/>
      </c>
      <c r="RE7" s="72">
        <f>IFERROR(IF(OR($B7="",OC$3=""),"",_xll.ciqfunctions.udf.CIQ($B7,"IQ_NI",$O$3, RE$3, $N$3, , $J$3, $K$3)*2/(_xll.ciqfunctions.udf.CIQ($B7,"IQ_TOTAL_EQUITY", RE$3,$I$3, $N$3, , $J$3, $K$3)+_xll.ciqfunctions.udf.CIQ($B7,"IQ_TOTAL_EQUITY", "IQ_" &amp; LEFT(RE$3,2) &amp; "-1", RE$3, $N$3, , $J$3, $K$3))),"")</f>
        <v>0.15059468738504755</v>
      </c>
      <c r="RF7" s="72" t="str">
        <f>IFERROR(IF(OR($B7="",OD$3=""),"",_xll.ciqfunctions.udf.CIQ($B7,"IQ_NI",$O$3, RF$3, $N$3, , $J$3, $K$3)*2/(_xll.ciqfunctions.udf.CIQ($B7,"IQ_TOTAL_EQUITY", RF$3,$I$3, $N$3, , $J$3, $K$3)+_xll.ciqfunctions.udf.CIQ($B7,"IQ_TOTAL_EQUITY", "IQ_" &amp; LEFT(RF$3,2) &amp; "-1", RF$3, $N$3, , $J$3, $K$3))),"")</f>
        <v/>
      </c>
      <c r="RG7" s="72" t="str">
        <f>IFERROR(IF(OR($B7="",OE$3=""),"",_xll.ciqfunctions.udf.CIQ($B7,"IQ_NI",$O$3, RG$3, $N$3, , $J$3, $K$3)*2/(_xll.ciqfunctions.udf.CIQ($B7,"IQ_TOTAL_EQUITY", RG$3,$I$3, $N$3, , $J$3, $K$3)+_xll.ciqfunctions.udf.CIQ($B7,"IQ_TOTAL_EQUITY", "IQ_" &amp; LEFT(RG$3,2) &amp; "-1", RG$3, $N$3, , $J$3, $K$3))),"")</f>
        <v/>
      </c>
      <c r="RH7" s="72" t="str">
        <f>IFERROR(IF(OR($B7="",OF$3=""),"",_xll.ciqfunctions.udf.CIQ($B7,"IQ_NI",$O$3, RH$3, $N$3, , $J$3, $K$3)*2/(_xll.ciqfunctions.udf.CIQ($B7,"IQ_TOTAL_EQUITY", RH$3,$I$3, $N$3, , $J$3, $K$3)+_xll.ciqfunctions.udf.CIQ($B7,"IQ_TOTAL_EQUITY", "IQ_" &amp; LEFT(RH$3,2) &amp; "-1", RH$3, $N$3, , $J$3, $K$3))),"")</f>
        <v/>
      </c>
      <c r="RI7" s="72" t="str">
        <f>IFERROR(IF(OR($B7="",OG$3=""),"",_xll.ciqfunctions.udf.CIQ($B7,"IQ_NI",$O$3, RI$3, $N$3, , $J$3, $K$3)*2/(_xll.ciqfunctions.udf.CIQ($B7,"IQ_TOTAL_EQUITY", RI$3,$I$3, $N$3, , $J$3, $K$3)+_xll.ciqfunctions.udf.CIQ($B7,"IQ_TOTAL_EQUITY", "IQ_" &amp; LEFT(RI$3,2) &amp; "-1", RI$3, $N$3, , $J$3, $K$3))),"")</f>
        <v/>
      </c>
      <c r="RJ7" s="72" t="str">
        <f>IFERROR(IF(OR($B7="",OH$3=""),"",_xll.ciqfunctions.udf.CIQ($B7,"IQ_NI",$O$3, RJ$3, $N$3, , $J$3, $K$3)*2/(_xll.ciqfunctions.udf.CIQ($B7,"IQ_TOTAL_EQUITY", RJ$3,$I$3, $N$3, , $J$3, $K$3)+_xll.ciqfunctions.udf.CIQ($B7,"IQ_TOTAL_EQUITY", "IQ_" &amp; LEFT(RJ$3,2) &amp; "-1", RJ$3, $N$3, , $J$3, $K$3))),"")</f>
        <v/>
      </c>
      <c r="RK7" s="72" t="str">
        <f>IFERROR(IF(OR($B7="",OI$3=""),"",_xll.ciqfunctions.udf.CIQ($B7,"IQ_NI",$O$3, RK$3, $N$3, , $J$3, $K$3)*2/(_xll.ciqfunctions.udf.CIQ($B7,"IQ_TOTAL_EQUITY", RK$3,$I$3, $N$3, , $J$3, $K$3)+_xll.ciqfunctions.udf.CIQ($B7,"IQ_TOTAL_EQUITY", "IQ_" &amp; LEFT(RK$3,2) &amp; "-1", RK$3, $N$3, , $J$3, $K$3))),"")</f>
        <v/>
      </c>
      <c r="RL7" s="72" t="str">
        <f>IFERROR(IF(OR($B7="",OJ$3=""),"",_xll.ciqfunctions.udf.CIQ($B7,"IQ_NI",$O$3, RL$3, $N$3, , $J$3, $K$3)*2/(_xll.ciqfunctions.udf.CIQ($B7,"IQ_TOTAL_EQUITY", RL$3,$I$3, $N$3, , $J$3, $K$3)+_xll.ciqfunctions.udf.CIQ($B7,"IQ_TOTAL_EQUITY", "IQ_" &amp; LEFT(RL$3,2) &amp; "-1", RL$3, $N$3, , $J$3, $K$3))),"")</f>
        <v/>
      </c>
      <c r="RM7" s="72" t="str">
        <f>IFERROR(IF(OR($B7="",OK$3=""),"",_xll.ciqfunctions.udf.CIQ($B7,"IQ_NI",$O$3, RM$3, $N$3, , $J$3, $K$3)*2/(_xll.ciqfunctions.udf.CIQ($B7,"IQ_TOTAL_EQUITY", RM$3,$I$3, $N$3, , $J$3, $K$3)+_xll.ciqfunctions.udf.CIQ($B7,"IQ_TOTAL_EQUITY", "IQ_" &amp; LEFT(RM$3,2) &amp; "-1", RM$3, $N$3, , $J$3, $K$3))),"")</f>
        <v/>
      </c>
      <c r="RN7" s="72" t="str">
        <f>IFERROR(IF(OR($B7="",OL$3=""),"",_xll.ciqfunctions.udf.CIQ($B7,"IQ_NI",$O$3, RN$3, $N$3, , $J$3, $K$3)*2/(_xll.ciqfunctions.udf.CIQ($B7,"IQ_TOTAL_EQUITY", RN$3,$I$3, $N$3, , $J$3, $K$3)+_xll.ciqfunctions.udf.CIQ($B7,"IQ_TOTAL_EQUITY", "IQ_" &amp; LEFT(RN$3,2) &amp; "-1", RN$3, $N$3, , $J$3, $K$3))),"")</f>
        <v/>
      </c>
      <c r="RO7" s="72" t="str">
        <f>IFERROR(IF(OR($B7="",OM$3=""),"",_xll.ciqfunctions.udf.CIQ($B7,"IQ_NI",$O$3, RO$3, $N$3, , $J$3, $K$3)*2/(_xll.ciqfunctions.udf.CIQ($B7,"IQ_TOTAL_EQUITY", RO$3,$I$3, $N$3, , $J$3, $K$3)+_xll.ciqfunctions.udf.CIQ($B7,"IQ_TOTAL_EQUITY", "IQ_" &amp; LEFT(RO$3,2) &amp; "-1", RO$3, $N$3, , $J$3, $K$3))),"")</f>
        <v/>
      </c>
      <c r="RP7" s="72" t="str">
        <f>IFERROR(IF(OR($B7="",ON$3=""),"",_xll.ciqfunctions.udf.CIQ($B7,"IQ_NI",$O$3, RP$3, $N$3, , $J$3, $K$3)*2/(_xll.ciqfunctions.udf.CIQ($B7,"IQ_TOTAL_EQUITY", RP$3,$I$3, $N$3, , $J$3, $K$3)+_xll.ciqfunctions.udf.CIQ($B7,"IQ_TOTAL_EQUITY", "IQ_" &amp; LEFT(RP$3,2) &amp; "-1", RP$3, $N$3, , $J$3, $K$3))),"")</f>
        <v/>
      </c>
      <c r="RQ7" s="72" t="str">
        <f>IFERROR(IF(OR($B7="",OO$3=""),"",_xll.ciqfunctions.udf.CIQ($B7,"IQ_NI",$O$3, RQ$3, $N$3, , $J$3, $K$3)*2/(_xll.ciqfunctions.udf.CIQ($B7,"IQ_TOTAL_EQUITY", RQ$3,$I$3, $N$3, , $J$3, $K$3)+_xll.ciqfunctions.udf.CIQ($B7,"IQ_TOTAL_EQUITY", "IQ_" &amp; LEFT(RQ$3,2) &amp; "-1", RQ$3, $N$3, , $J$3, $K$3))),"")</f>
        <v/>
      </c>
      <c r="RR7" s="72" t="str">
        <f>IFERROR(IF(OR($B7="",OP$3=""),"",_xll.ciqfunctions.udf.CIQ($B7,"IQ_NI",$O$3, RR$3, $N$3, , $J$3, $K$3)*2/(_xll.ciqfunctions.udf.CIQ($B7,"IQ_TOTAL_EQUITY", RR$3,$I$3, $N$3, , $J$3, $K$3)+_xll.ciqfunctions.udf.CIQ($B7,"IQ_TOTAL_EQUITY", "IQ_" &amp; LEFT(RR$3,2) &amp; "-1", RR$3, $N$3, , $J$3, $K$3))),"")</f>
        <v/>
      </c>
      <c r="RS7" s="72" t="str">
        <f>IFERROR(IF(OR($B7="",OQ$3=""),"",_xll.ciqfunctions.udf.CIQ($B7,"IQ_NI",$O$3, RS$3, $N$3, , $J$3, $K$3)*2/(_xll.ciqfunctions.udf.CIQ($B7,"IQ_TOTAL_EQUITY", RS$3,$I$3, $N$3, , $J$3, $K$3)+_xll.ciqfunctions.udf.CIQ($B7,"IQ_TOTAL_EQUITY", "IQ_" &amp; LEFT(RS$3,2) &amp; "-1", RS$3, $N$3, , $J$3, $K$3))),"")</f>
        <v/>
      </c>
      <c r="RT7" s="72" t="str">
        <f>IFERROR(IF(OR($B7="",OR$3=""),"",_xll.ciqfunctions.udf.CIQ($B7,"IQ_NI",$O$3, RT$3, $N$3, , $J$3, $K$3)*2/(_xll.ciqfunctions.udf.CIQ($B7,"IQ_TOTAL_EQUITY", RT$3,$I$3, $N$3, , $J$3, $K$3)+_xll.ciqfunctions.udf.CIQ($B7,"IQ_TOTAL_EQUITY", "IQ_" &amp; LEFT(RT$3,2) &amp; "-1", RT$3, $N$3, , $J$3, $K$3))),"")</f>
        <v/>
      </c>
      <c r="RU7" s="72" t="str">
        <f>IFERROR(IF(OR($B7="",OS$3=""),"",_xll.ciqfunctions.udf.CIQ($B7,"IQ_NI",$O$3, RU$3, $N$3, , $J$3, $K$3)*2/(_xll.ciqfunctions.udf.CIQ($B7,"IQ_TOTAL_EQUITY", RU$3,$I$3, $N$3, , $J$3, $K$3)+_xll.ciqfunctions.udf.CIQ($B7,"IQ_TOTAL_EQUITY", "IQ_" &amp; LEFT(RU$3,2) &amp; "-1", RU$3, $N$3, , $J$3, $K$3))),"")</f>
        <v/>
      </c>
      <c r="RV7" s="72" t="str">
        <f>IFERROR(IF(OR($B7="",OT$3=""),"",_xll.ciqfunctions.udf.CIQ($B7,"IQ_NI",$O$3, RV$3, $N$3, , $J$3, $K$3)*2/(_xll.ciqfunctions.udf.CIQ($B7,"IQ_TOTAL_EQUITY", RV$3,$I$3, $N$3, , $J$3, $K$3)+_xll.ciqfunctions.udf.CIQ($B7,"IQ_TOTAL_EQUITY", "IQ_" &amp; LEFT(RV$3,2) &amp; "-1", RV$3, $N$3, , $J$3, $K$3))),"")</f>
        <v/>
      </c>
      <c r="RW7" s="72" t="str">
        <f>IFERROR(IF(OR($B7="",OU$3=""),"",_xll.ciqfunctions.udf.CIQ($B7,"IQ_NI",$O$3, RW$3, $N$3, , $J$3, $K$3)*2/(_xll.ciqfunctions.udf.CIQ($B7,"IQ_TOTAL_EQUITY", RW$3,$I$3, $N$3, , $J$3, $K$3)+_xll.ciqfunctions.udf.CIQ($B7,"IQ_TOTAL_EQUITY", "IQ_" &amp; LEFT(RW$3,2) &amp; "-1", RW$3, $N$3, , $J$3, $K$3))),"")</f>
        <v/>
      </c>
      <c r="RX7" s="72" t="str">
        <f>IFERROR(IF(OR($B7="",OV$3=""),"",_xll.ciqfunctions.udf.CIQ($B7,"IQ_NI",$O$3, RX$3, $N$3, , $J$3, $K$3)*2/(_xll.ciqfunctions.udf.CIQ($B7,"IQ_TOTAL_EQUITY", RX$3,$I$3, $N$3, , $J$3, $K$3)+_xll.ciqfunctions.udf.CIQ($B7,"IQ_TOTAL_EQUITY", "IQ_" &amp; LEFT(RX$3,2) &amp; "-1", RX$3, $N$3, , $J$3, $K$3))),"")</f>
        <v/>
      </c>
      <c r="RY7" s="72">
        <f>IFERROR(IF(OR($B7="",RY$3=""),"",_xll.ciqfunctions.udf.CIQ($B7,"IQ_CASH_OPER",$O$3, RY$3, $N$3, , $J$3, $K$3)*2/(_xll.ciqfunctions.udf.CIQ($B7,"IQ_TOTAL_CL",RY$3,$I$3, $N$3, , $J$3, $K$3)+_xll.ciqfunctions.udf.CIQ($B7,"IQ_TOTAL_CL","IQ_" &amp; LEFT(RY$3,2) &amp; "-1", RY$3, $N$3, , $J$3, $K$3))),"")</f>
        <v>0.40076878638403768</v>
      </c>
      <c r="RZ7" s="73" t="str">
        <f>IFERROR(IF(OR($B7="",RZ$3=""),"",_xll.ciqfunctions.udf.CIQ($B7,"IQ_CASH_OPER",$O$3, RZ$3, $N$3, , $J$3, $K$3)*2/(_xll.ciqfunctions.udf.CIQ($B7,"IQ_TOTAL_CL",RZ$3,$I$3, $N$3, , $J$3, $K$3)+_xll.ciqfunctions.udf.CIQ($B7,"IQ_TOTAL_CL","IQ_" &amp; LEFT(RZ$3,2) &amp; "-1", RZ$3, $N$3, , $J$3, $K$3))),"")</f>
        <v/>
      </c>
      <c r="SA7" s="73" t="str">
        <f>IFERROR(IF(OR($B7="",SA$3=""),"",_xll.ciqfunctions.udf.CIQ($B7,"IQ_CASH_OPER",$O$3, SA$3, $N$3, , $J$3, $K$3)*2/(_xll.ciqfunctions.udf.CIQ($B7,"IQ_TOTAL_CL",SA$3,$I$3, $N$3, , $J$3, $K$3)+_xll.ciqfunctions.udf.CIQ($B7,"IQ_TOTAL_CL","IQ_" &amp; LEFT(SA$3,2) &amp; "-1", SA$3, $N$3, , $J$3, $K$3))),"")</f>
        <v/>
      </c>
      <c r="SB7" s="73" t="str">
        <f>IFERROR(IF(OR($B7="",SB$3=""),"",_xll.ciqfunctions.udf.CIQ($B7,"IQ_CASH_OPER",$O$3, SB$3, $N$3, , $J$3, $K$3)*2/(_xll.ciqfunctions.udf.CIQ($B7,"IQ_TOTAL_CL",SB$3,$I$3, $N$3, , $J$3, $K$3)+_xll.ciqfunctions.udf.CIQ($B7,"IQ_TOTAL_CL","IQ_" &amp; LEFT(SB$3,2) &amp; "-1", SB$3, $N$3, , $J$3, $K$3))),"")</f>
        <v/>
      </c>
      <c r="SC7" s="73" t="str">
        <f>IFERROR(IF(OR($B7="",SC$3=""),"",_xll.ciqfunctions.udf.CIQ($B7,"IQ_CASH_OPER",$O$3, SC$3, $N$3, , $J$3, $K$3)*2/(_xll.ciqfunctions.udf.CIQ($B7,"IQ_TOTAL_CL",SC$3,$I$3, $N$3, , $J$3, $K$3)+_xll.ciqfunctions.udf.CIQ($B7,"IQ_TOTAL_CL","IQ_" &amp; LEFT(SC$3,2) &amp; "-1", SC$3, $N$3, , $J$3, $K$3))),"")</f>
        <v/>
      </c>
      <c r="SD7" s="73" t="str">
        <f>IFERROR(IF(OR($B7="",SD$3=""),"",_xll.ciqfunctions.udf.CIQ($B7,"IQ_CASH_OPER",$O$3, SD$3, $N$3, , $J$3, $K$3)*2/(_xll.ciqfunctions.udf.CIQ($B7,"IQ_TOTAL_CL",SD$3,$I$3, $N$3, , $J$3, $K$3)+_xll.ciqfunctions.udf.CIQ($B7,"IQ_TOTAL_CL","IQ_" &amp; LEFT(SD$3,2) &amp; "-1", SD$3, $N$3, , $J$3, $K$3))),"")</f>
        <v/>
      </c>
      <c r="SE7" s="73" t="str">
        <f>IFERROR(IF(OR($B7="",SE$3=""),"",_xll.ciqfunctions.udf.CIQ($B7,"IQ_CASH_OPER",$O$3, SE$3, $N$3, , $J$3, $K$3)*2/(_xll.ciqfunctions.udf.CIQ($B7,"IQ_TOTAL_CL",SE$3,$I$3, $N$3, , $J$3, $K$3)+_xll.ciqfunctions.udf.CIQ($B7,"IQ_TOTAL_CL","IQ_" &amp; LEFT(SE$3,2) &amp; "-1", SE$3, $N$3, , $J$3, $K$3))),"")</f>
        <v/>
      </c>
      <c r="SF7" s="73" t="str">
        <f>IFERROR(IF(OR($B7="",SF$3=""),"",_xll.ciqfunctions.udf.CIQ($B7,"IQ_CASH_OPER",$O$3, SF$3, $N$3, , $J$3, $K$3)*2/(_xll.ciqfunctions.udf.CIQ($B7,"IQ_TOTAL_CL",SF$3,$I$3, $N$3, , $J$3, $K$3)+_xll.ciqfunctions.udf.CIQ($B7,"IQ_TOTAL_CL","IQ_" &amp; LEFT(SF$3,2) &amp; "-1", SF$3, $N$3, , $J$3, $K$3))),"")</f>
        <v/>
      </c>
      <c r="SG7" s="73" t="str">
        <f>IFERROR(IF(OR($B7="",SG$3=""),"",_xll.ciqfunctions.udf.CIQ($B7,"IQ_CASH_OPER",$O$3, SG$3, $N$3, , $J$3, $K$3)*2/(_xll.ciqfunctions.udf.CIQ($B7,"IQ_TOTAL_CL",SG$3,$I$3, $N$3, , $J$3, $K$3)+_xll.ciqfunctions.udf.CIQ($B7,"IQ_TOTAL_CL","IQ_" &amp; LEFT(SG$3,2) &amp; "-1", SG$3, $N$3, , $J$3, $K$3))),"")</f>
        <v/>
      </c>
      <c r="SH7" s="73" t="str">
        <f>IFERROR(IF(OR($B7="",SH$3=""),"",_xll.ciqfunctions.udf.CIQ($B7,"IQ_CASH_OPER",$O$3, SH$3, $N$3, , $J$3, $K$3)*2/(_xll.ciqfunctions.udf.CIQ($B7,"IQ_TOTAL_CL",SH$3,$I$3, $N$3, , $J$3, $K$3)+_xll.ciqfunctions.udf.CIQ($B7,"IQ_TOTAL_CL","IQ_" &amp; LEFT(SH$3,2) &amp; "-1", SH$3, $N$3, , $J$3, $K$3))),"")</f>
        <v/>
      </c>
      <c r="SI7" s="73" t="str">
        <f>IFERROR(IF(OR($B7="",SI$3=""),"",_xll.ciqfunctions.udf.CIQ($B7,"IQ_CASH_OPER",$O$3, SI$3, $N$3, , $J$3, $K$3)*2/(_xll.ciqfunctions.udf.CIQ($B7,"IQ_TOTAL_CL",SI$3,$I$3, $N$3, , $J$3, $K$3)+_xll.ciqfunctions.udf.CIQ($B7,"IQ_TOTAL_CL","IQ_" &amp; LEFT(SI$3,2) &amp; "-1", SI$3, $N$3, , $J$3, $K$3))),"")</f>
        <v/>
      </c>
      <c r="SJ7" s="73" t="str">
        <f>IFERROR(IF(OR($B7="",SJ$3=""),"",_xll.ciqfunctions.udf.CIQ($B7,"IQ_CASH_OPER",$O$3, SJ$3, $N$3, , $J$3, $K$3)*2/(_xll.ciqfunctions.udf.CIQ($B7,"IQ_TOTAL_CL",SJ$3,$I$3, $N$3, , $J$3, $K$3)+_xll.ciqfunctions.udf.CIQ($B7,"IQ_TOTAL_CL","IQ_" &amp; LEFT(SJ$3,2) &amp; "-1", SJ$3, $N$3, , $J$3, $K$3))),"")</f>
        <v/>
      </c>
      <c r="SK7" s="73" t="str">
        <f>IFERROR(IF(OR($B7="",SK$3=""),"",_xll.ciqfunctions.udf.CIQ($B7,"IQ_CASH_OPER",$O$3, SK$3, $N$3, , $J$3, $K$3)*2/(_xll.ciqfunctions.udf.CIQ($B7,"IQ_TOTAL_CL",SK$3,$I$3, $N$3, , $J$3, $K$3)+_xll.ciqfunctions.udf.CIQ($B7,"IQ_TOTAL_CL","IQ_" &amp; LEFT(SK$3,2) &amp; "-1", SK$3, $N$3, , $J$3, $K$3))),"")</f>
        <v/>
      </c>
      <c r="SL7" s="73" t="str">
        <f>IFERROR(IF(OR($B7="",SL$3=""),"",_xll.ciqfunctions.udf.CIQ($B7,"IQ_CASH_OPER",$O$3, SL$3, $N$3, , $J$3, $K$3)*2/(_xll.ciqfunctions.udf.CIQ($B7,"IQ_TOTAL_CL",SL$3,$I$3, $N$3, , $J$3, $K$3)+_xll.ciqfunctions.udf.CIQ($B7,"IQ_TOTAL_CL","IQ_" &amp; LEFT(SL$3,2) &amp; "-1", SL$3, $N$3, , $J$3, $K$3))),"")</f>
        <v/>
      </c>
      <c r="SM7" s="73" t="str">
        <f>IFERROR(IF(OR($B7="",SM$3=""),"",_xll.ciqfunctions.udf.CIQ($B7,"IQ_CASH_OPER",$O$3, SM$3, $N$3, , $J$3, $K$3)*2/(_xll.ciqfunctions.udf.CIQ($B7,"IQ_TOTAL_CL",SM$3,$I$3, $N$3, , $J$3, $K$3)+_xll.ciqfunctions.udf.CIQ($B7,"IQ_TOTAL_CL","IQ_" &amp; LEFT(SM$3,2) &amp; "-1", SM$3, $N$3, , $J$3, $K$3))),"")</f>
        <v/>
      </c>
      <c r="SN7" s="73" t="str">
        <f>IFERROR(IF(OR($B7="",SN$3=""),"",_xll.ciqfunctions.udf.CIQ($B7,"IQ_CASH_OPER",$O$3, SN$3, $N$3, , $J$3, $K$3)*2/(_xll.ciqfunctions.udf.CIQ($B7,"IQ_TOTAL_CL",SN$3,$I$3, $N$3, , $J$3, $K$3)+_xll.ciqfunctions.udf.CIQ($B7,"IQ_TOTAL_CL","IQ_" &amp; LEFT(SN$3,2) &amp; "-1", SN$3, $N$3, , $J$3, $K$3))),"")</f>
        <v/>
      </c>
      <c r="SO7" s="73" t="str">
        <f>IFERROR(IF(OR($B7="",SO$3=""),"",_xll.ciqfunctions.udf.CIQ($B7,"IQ_CASH_OPER",$O$3, SO$3, $N$3, , $J$3, $K$3)*2/(_xll.ciqfunctions.udf.CIQ($B7,"IQ_TOTAL_CL",SO$3,$I$3, $N$3, , $J$3, $K$3)+_xll.ciqfunctions.udf.CIQ($B7,"IQ_TOTAL_CL","IQ_" &amp; LEFT(SO$3,2) &amp; "-1", SO$3, $N$3, , $J$3, $K$3))),"")</f>
        <v/>
      </c>
      <c r="SP7" s="73" t="str">
        <f>IFERROR(IF(OR($B7="",SP$3=""),"",_xll.ciqfunctions.udf.CIQ($B7,"IQ_CASH_OPER",$O$3, SP$3, $N$3, , $J$3, $K$3)*2/(_xll.ciqfunctions.udf.CIQ($B7,"IQ_TOTAL_CL",SP$3,$I$3, $N$3, , $J$3, $K$3)+_xll.ciqfunctions.udf.CIQ($B7,"IQ_TOTAL_CL","IQ_" &amp; LEFT(SP$3,2) &amp; "-1", SP$3, $N$3, , $J$3, $K$3))),"")</f>
        <v/>
      </c>
      <c r="SQ7" s="73" t="str">
        <f>IFERROR(IF(OR($B7="",SQ$3=""),"",_xll.ciqfunctions.udf.CIQ($B7,"IQ_CASH_OPER",$O$3, SQ$3, $N$3, , $J$3, $K$3)*2/(_xll.ciqfunctions.udf.CIQ($B7,"IQ_TOTAL_CL",SQ$3,$I$3, $N$3, , $J$3, $K$3)+_xll.ciqfunctions.udf.CIQ($B7,"IQ_TOTAL_CL","IQ_" &amp; LEFT(SQ$3,2) &amp; "-1", SQ$3, $N$3, , $J$3, $K$3))),"")</f>
        <v/>
      </c>
      <c r="SR7" s="74" t="str">
        <f>IFERROR(IF(OR($B7="",SR$3=""),"",_xll.ciqfunctions.udf.CIQ($B7,"IQ_CASH_OPER",$O$3, SR$3, $N$3, , $J$3, $K$3)*2/(_xll.ciqfunctions.udf.CIQ($B7,"IQ_TOTAL_CL",SR$3,$I$3, $N$3, , $J$3, $K$3)+_xll.ciqfunctions.udf.CIQ($B7,"IQ_TOTAL_CL","IQ_" &amp; LEFT(SR$3,2) &amp; "-1", SR$3, $N$3, , $J$3, $K$3))),"")</f>
        <v/>
      </c>
      <c r="SS7" s="72">
        <f>IFERROR(IF(OR($B7="",SS$3=""),"",MAX(_xll.ciqfunctions.udf.CIQ($B7,"IQ_INC_TAX",SS$3,$I$3, $N$3, , $J$3, $K$3)/ABS(_xll.ciqfunctions.udf.CIQ($B7,"IQ_EBT",SS$3,$I$3, $N$3, , $J$3, $K$3)),0)),"")</f>
        <v>0.25438596491228072</v>
      </c>
      <c r="ST7" s="73" t="str">
        <f>IFERROR(IF(OR($B7="",ST$3=""),"",MAX(_xll.ciqfunctions.udf.CIQ($B7,"IQ_INC_TAX",ST$3,$I$3, $N$3, , $J$3, $K$3)/ABS(_xll.ciqfunctions.udf.CIQ($B7,"IQ_EBT",ST$3,$I$3, $N$3, , $J$3, $K$3)),0)),"")</f>
        <v/>
      </c>
      <c r="SU7" s="73" t="str">
        <f>IFERROR(IF(OR($B7="",SU$3=""),"",MAX(_xll.ciqfunctions.udf.CIQ($B7,"IQ_INC_TAX",SU$3,$I$3, $N$3, , $J$3, $K$3)/ABS(_xll.ciqfunctions.udf.CIQ($B7,"IQ_EBT",SU$3,$I$3, $N$3, , $J$3, $K$3)),0)),"")</f>
        <v/>
      </c>
      <c r="SV7" s="73" t="str">
        <f>IFERROR(IF(OR($B7="",SV$3=""),"",MAX(_xll.ciqfunctions.udf.CIQ($B7,"IQ_INC_TAX",SV$3,$I$3, $N$3, , $J$3, $K$3)/ABS(_xll.ciqfunctions.udf.CIQ($B7,"IQ_EBT",SV$3,$I$3, $N$3, , $J$3, $K$3)),0)),"")</f>
        <v/>
      </c>
      <c r="SW7" s="73" t="str">
        <f>IFERROR(IF(OR($B7="",SW$3=""),"",MAX(_xll.ciqfunctions.udf.CIQ($B7,"IQ_INC_TAX",SW$3,$I$3, $N$3, , $J$3, $K$3)/ABS(_xll.ciqfunctions.udf.CIQ($B7,"IQ_EBT",SW$3,$I$3, $N$3, , $J$3, $K$3)),0)),"")</f>
        <v/>
      </c>
      <c r="SX7" s="73" t="str">
        <f>IFERROR(IF(OR($B7="",SX$3=""),"",MAX(_xll.ciqfunctions.udf.CIQ($B7,"IQ_INC_TAX",SX$3,$I$3, $N$3, , $J$3, $K$3)/ABS(_xll.ciqfunctions.udf.CIQ($B7,"IQ_EBT",SX$3,$I$3, $N$3, , $J$3, $K$3)),0)),"")</f>
        <v/>
      </c>
      <c r="SY7" s="73" t="str">
        <f>IFERROR(IF(OR($B7="",SY$3=""),"",MAX(_xll.ciqfunctions.udf.CIQ($B7,"IQ_INC_TAX",SY$3,$I$3, $N$3, , $J$3, $K$3)/ABS(_xll.ciqfunctions.udf.CIQ($B7,"IQ_EBT",SY$3,$I$3, $N$3, , $J$3, $K$3)),0)),"")</f>
        <v/>
      </c>
      <c r="SZ7" s="73" t="str">
        <f>IFERROR(IF(OR($B7="",SZ$3=""),"",MAX(_xll.ciqfunctions.udf.CIQ($B7,"IQ_INC_TAX",SZ$3,$I$3, $N$3, , $J$3, $K$3)/ABS(_xll.ciqfunctions.udf.CIQ($B7,"IQ_EBT",SZ$3,$I$3, $N$3, , $J$3, $K$3)),0)),"")</f>
        <v/>
      </c>
      <c r="TA7" s="73" t="str">
        <f>IFERROR(IF(OR($B7="",TA$3=""),"",MAX(_xll.ciqfunctions.udf.CIQ($B7,"IQ_INC_TAX",TA$3,$I$3, $N$3, , $J$3, $K$3)/ABS(_xll.ciqfunctions.udf.CIQ($B7,"IQ_EBT",TA$3,$I$3, $N$3, , $J$3, $K$3)),0)),"")</f>
        <v/>
      </c>
      <c r="TB7" s="73" t="str">
        <f>IFERROR(IF(OR($B7="",TB$3=""),"",MAX(_xll.ciqfunctions.udf.CIQ($B7,"IQ_INC_TAX",TB$3,$I$3, $N$3, , $J$3, $K$3)/ABS(_xll.ciqfunctions.udf.CIQ($B7,"IQ_EBT",TB$3,$I$3, $N$3, , $J$3, $K$3)),0)),"")</f>
        <v/>
      </c>
      <c r="TC7" s="73" t="str">
        <f>IFERROR(IF(OR($B7="",TC$3=""),"",MAX(_xll.ciqfunctions.udf.CIQ($B7,"IQ_INC_TAX",TC$3,$I$3, $N$3, , $J$3, $K$3)/ABS(_xll.ciqfunctions.udf.CIQ($B7,"IQ_EBT",TC$3,$I$3, $N$3, , $J$3, $K$3)),0)),"")</f>
        <v/>
      </c>
      <c r="TD7" s="73" t="str">
        <f>IFERROR(IF(OR($B7="",TD$3=""),"",MAX(_xll.ciqfunctions.udf.CIQ($B7,"IQ_INC_TAX",TD$3,$I$3, $N$3, , $J$3, $K$3)/ABS(_xll.ciqfunctions.udf.CIQ($B7,"IQ_EBT",TD$3,$I$3, $N$3, , $J$3, $K$3)),0)),"")</f>
        <v/>
      </c>
      <c r="TE7" s="73" t="str">
        <f>IFERROR(IF(OR($B7="",TE$3=""),"",MAX(_xll.ciqfunctions.udf.CIQ($B7,"IQ_INC_TAX",TE$3,$I$3, $N$3, , $J$3, $K$3)/ABS(_xll.ciqfunctions.udf.CIQ($B7,"IQ_EBT",TE$3,$I$3, $N$3, , $J$3, $K$3)),0)),"")</f>
        <v/>
      </c>
      <c r="TF7" s="73" t="str">
        <f>IFERROR(IF(OR($B7="",TF$3=""),"",MAX(_xll.ciqfunctions.udf.CIQ($B7,"IQ_INC_TAX",TF$3,$I$3, $N$3, , $J$3, $K$3)/ABS(_xll.ciqfunctions.udf.CIQ($B7,"IQ_EBT",TF$3,$I$3, $N$3, , $J$3, $K$3)),0)),"")</f>
        <v/>
      </c>
      <c r="TG7" s="73" t="str">
        <f>IFERROR(IF(OR($B7="",TG$3=""),"",MAX(_xll.ciqfunctions.udf.CIQ($B7,"IQ_INC_TAX",TG$3,$I$3, $N$3, , $J$3, $K$3)/ABS(_xll.ciqfunctions.udf.CIQ($B7,"IQ_EBT",TG$3,$I$3, $N$3, , $J$3, $K$3)),0)),"")</f>
        <v/>
      </c>
      <c r="TH7" s="73" t="str">
        <f>IFERROR(IF(OR($B7="",TH$3=""),"",MAX(_xll.ciqfunctions.udf.CIQ($B7,"IQ_INC_TAX",TH$3,$I$3, $N$3, , $J$3, $K$3)/ABS(_xll.ciqfunctions.udf.CIQ($B7,"IQ_EBT",TH$3,$I$3, $N$3, , $J$3, $K$3)),0)),"")</f>
        <v/>
      </c>
      <c r="TI7" s="73" t="str">
        <f>IFERROR(IF(OR($B7="",TI$3=""),"",MAX(_xll.ciqfunctions.udf.CIQ($B7,"IQ_INC_TAX",TI$3,$I$3, $N$3, , $J$3, $K$3)/ABS(_xll.ciqfunctions.udf.CIQ($B7,"IQ_EBT",TI$3,$I$3, $N$3, , $J$3, $K$3)),0)),"")</f>
        <v/>
      </c>
      <c r="TJ7" s="73" t="str">
        <f>IFERROR(IF(OR($B7="",TJ$3=""),"",MAX(_xll.ciqfunctions.udf.CIQ($B7,"IQ_INC_TAX",TJ$3,$I$3, $N$3, , $J$3, $K$3)/ABS(_xll.ciqfunctions.udf.CIQ($B7,"IQ_EBT",TJ$3,$I$3, $N$3, , $J$3, $K$3)),0)),"")</f>
        <v/>
      </c>
      <c r="TK7" s="73" t="str">
        <f>IFERROR(IF(OR($B7="",TK$3=""),"",MAX(_xll.ciqfunctions.udf.CIQ($B7,"IQ_INC_TAX",TK$3,$I$3, $N$3, , $J$3, $K$3)/ABS(_xll.ciqfunctions.udf.CIQ($B7,"IQ_EBT",TK$3,$I$3, $N$3, , $J$3, $K$3)),0)),"")</f>
        <v/>
      </c>
      <c r="TL7" s="74" t="str">
        <f>IFERROR(IF(OR($B7="",TL$3=""),"",MAX(_xll.ciqfunctions.udf.CIQ($B7,"IQ_INC_TAX",TL$3,$I$3, $N$3, , $J$3, $K$3)/ABS(_xll.ciqfunctions.udf.CIQ($B7,"IQ_EBT",TL$3,$I$3, $N$3, , $J$3, $K$3)),0)),"")</f>
        <v/>
      </c>
      <c r="TM7" s="78">
        <f>IFERROR(IF(OR($B7="",TM$3=""),"",_xll.ciqfunctions.udf.CIQ($B7,"IQ_TOTAL_REVENUE",TM$3,$I$3, $N$3, , $J$3, $K$3)*1000000/_xll.ciqfunctions.udf.CIQ($B7,"IQ_EMPLOYEES",TM$3,$I$3, $N$3, , $J$3, $K$3)),"")</f>
        <v>249023.47826086957</v>
      </c>
      <c r="TN7" s="79" t="str">
        <f>IFERROR(IF(OR($B7="",TN$3=""),"",_xll.ciqfunctions.udf.CIQ($B7,"IQ_TOTAL_REVENUE",TN$3,$I$3, $N$3, , $J$3, $K$3)*1000000/_xll.ciqfunctions.udf.CIQ($B7,"IQ_EMPLOYEES",TN$3,$I$3, $N$3, , $J$3, $K$3)),"")</f>
        <v/>
      </c>
      <c r="TO7" s="79" t="str">
        <f>IFERROR(IF(OR($B7="",TO$3=""),"",_xll.ciqfunctions.udf.CIQ($B7,"IQ_TOTAL_REVENUE",TO$3,$I$3, $N$3, , $J$3, $K$3)*1000000/_xll.ciqfunctions.udf.CIQ($B7,"IQ_EMPLOYEES",TO$3,$I$3, $N$3, , $J$3, $K$3)),"")</f>
        <v/>
      </c>
      <c r="TP7" s="79" t="str">
        <f>IFERROR(IF(OR($B7="",TP$3=""),"",_xll.ciqfunctions.udf.CIQ($B7,"IQ_TOTAL_REVENUE",TP$3,$I$3, $N$3, , $J$3, $K$3)*1000000/_xll.ciqfunctions.udf.CIQ($B7,"IQ_EMPLOYEES",TP$3,$I$3, $N$3, , $J$3, $K$3)),"")</f>
        <v/>
      </c>
      <c r="TQ7" s="79" t="str">
        <f>IFERROR(IF(OR($B7="",TQ$3=""),"",_xll.ciqfunctions.udf.CIQ($B7,"IQ_TOTAL_REVENUE",TQ$3,$I$3, $N$3, , $J$3, $K$3)*1000000/_xll.ciqfunctions.udf.CIQ($B7,"IQ_EMPLOYEES",TQ$3,$I$3, $N$3, , $J$3, $K$3)),"")</f>
        <v/>
      </c>
      <c r="TR7" s="79" t="str">
        <f>IFERROR(IF(OR($B7="",TR$3=""),"",_xll.ciqfunctions.udf.CIQ($B7,"IQ_TOTAL_REVENUE",TR$3,$I$3, $N$3, , $J$3, $K$3)*1000000/_xll.ciqfunctions.udf.CIQ($B7,"IQ_EMPLOYEES",TR$3,$I$3, $N$3, , $J$3, $K$3)),"")</f>
        <v/>
      </c>
      <c r="TS7" s="79" t="str">
        <f>IFERROR(IF(OR($B7="",TS$3=""),"",_xll.ciqfunctions.udf.CIQ($B7,"IQ_TOTAL_REVENUE",TS$3,$I$3, $N$3, , $J$3, $K$3)*1000000/_xll.ciqfunctions.udf.CIQ($B7,"IQ_EMPLOYEES",TS$3,$I$3, $N$3, , $J$3, $K$3)),"")</f>
        <v/>
      </c>
      <c r="TT7" s="79" t="str">
        <f>IFERROR(IF(OR($B7="",TT$3=""),"",_xll.ciqfunctions.udf.CIQ($B7,"IQ_TOTAL_REVENUE",TT$3,$I$3, $N$3, , $J$3, $K$3)*1000000/_xll.ciqfunctions.udf.CIQ($B7,"IQ_EMPLOYEES",TT$3,$I$3, $N$3, , $J$3, $K$3)),"")</f>
        <v/>
      </c>
      <c r="TU7" s="79" t="str">
        <f>IFERROR(IF(OR($B7="",TU$3=""),"",_xll.ciqfunctions.udf.CIQ($B7,"IQ_TOTAL_REVENUE",TU$3,$I$3, $N$3, , $J$3, $K$3)*1000000/_xll.ciqfunctions.udf.CIQ($B7,"IQ_EMPLOYEES",TU$3,$I$3, $N$3, , $J$3, $K$3)),"")</f>
        <v/>
      </c>
      <c r="TV7" s="79" t="str">
        <f>IFERROR(IF(OR($B7="",TV$3=""),"",_xll.ciqfunctions.udf.CIQ($B7,"IQ_TOTAL_REVENUE",TV$3,$I$3, $N$3, , $J$3, $K$3)*1000000/_xll.ciqfunctions.udf.CIQ($B7,"IQ_EMPLOYEES",TV$3,$I$3, $N$3, , $J$3, $K$3)),"")</f>
        <v/>
      </c>
      <c r="TW7" s="79" t="str">
        <f>IFERROR(IF(OR($B7="",TW$3=""),"",_xll.ciqfunctions.udf.CIQ($B7,"IQ_TOTAL_REVENUE",TW$3,$I$3, $N$3, , $J$3, $K$3)*1000000/_xll.ciqfunctions.udf.CIQ($B7,"IQ_EMPLOYEES",TW$3,$I$3, $N$3, , $J$3, $K$3)),"")</f>
        <v/>
      </c>
      <c r="TX7" s="79" t="str">
        <f>IFERROR(IF(OR($B7="",TX$3=""),"",_xll.ciqfunctions.udf.CIQ($B7,"IQ_TOTAL_REVENUE",TX$3,$I$3, $N$3, , $J$3, $K$3)*1000000/_xll.ciqfunctions.udf.CIQ($B7,"IQ_EMPLOYEES",TX$3,$I$3, $N$3, , $J$3, $K$3)),"")</f>
        <v/>
      </c>
      <c r="TY7" s="79" t="str">
        <f>IFERROR(IF(OR($B7="",TY$3=""),"",_xll.ciqfunctions.udf.CIQ($B7,"IQ_TOTAL_REVENUE",TY$3,$I$3, $N$3, , $J$3, $K$3)*1000000/_xll.ciqfunctions.udf.CIQ($B7,"IQ_EMPLOYEES",TY$3,$I$3, $N$3, , $J$3, $K$3)),"")</f>
        <v/>
      </c>
      <c r="TZ7" s="79" t="str">
        <f>IFERROR(IF(OR($B7="",TZ$3=""),"",_xll.ciqfunctions.udf.CIQ($B7,"IQ_TOTAL_REVENUE",TZ$3,$I$3, $N$3, , $J$3, $K$3)*1000000/_xll.ciqfunctions.udf.CIQ($B7,"IQ_EMPLOYEES",TZ$3,$I$3, $N$3, , $J$3, $K$3)),"")</f>
        <v/>
      </c>
      <c r="UA7" s="79" t="str">
        <f>IFERROR(IF(OR($B7="",UA$3=""),"",_xll.ciqfunctions.udf.CIQ($B7,"IQ_TOTAL_REVENUE",UA$3,$I$3, $N$3, , $J$3, $K$3)*1000000/_xll.ciqfunctions.udf.CIQ($B7,"IQ_EMPLOYEES",UA$3,$I$3, $N$3, , $J$3, $K$3)),"")</f>
        <v/>
      </c>
      <c r="UB7" s="79" t="str">
        <f>IFERROR(IF(OR($B7="",UB$3=""),"",_xll.ciqfunctions.udf.CIQ($B7,"IQ_TOTAL_REVENUE",UB$3,$I$3, $N$3, , $J$3, $K$3)*1000000/_xll.ciqfunctions.udf.CIQ($B7,"IQ_EMPLOYEES",UB$3,$I$3, $N$3, , $J$3, $K$3)),"")</f>
        <v/>
      </c>
      <c r="UC7" s="79" t="str">
        <f>IFERROR(IF(OR($B7="",UC$3=""),"",_xll.ciqfunctions.udf.CIQ($B7,"IQ_TOTAL_REVENUE",UC$3,$I$3, $N$3, , $J$3, $K$3)*1000000/_xll.ciqfunctions.udf.CIQ($B7,"IQ_EMPLOYEES",UC$3,$I$3, $N$3, , $J$3, $K$3)),"")</f>
        <v/>
      </c>
      <c r="UD7" s="79" t="str">
        <f>IFERROR(IF(OR($B7="",UD$3=""),"",_xll.ciqfunctions.udf.CIQ($B7,"IQ_TOTAL_REVENUE",UD$3,$I$3, $N$3, , $J$3, $K$3)*1000000/_xll.ciqfunctions.udf.CIQ($B7,"IQ_EMPLOYEES",UD$3,$I$3, $N$3, , $J$3, $K$3)),"")</f>
        <v/>
      </c>
      <c r="UE7" s="79" t="str">
        <f>IFERROR(IF(OR($B7="",UE$3=""),"",_xll.ciqfunctions.udf.CIQ($B7,"IQ_TOTAL_REVENUE",UE$3,$I$3, $N$3, , $J$3, $K$3)*1000000/_xll.ciqfunctions.udf.CIQ($B7,"IQ_EMPLOYEES",UE$3,$I$3, $N$3, , $J$3, $K$3)),"")</f>
        <v/>
      </c>
      <c r="UF7" s="80" t="str">
        <f>IFERROR(IF(OR($B7="",UF$3=""),"",_xll.ciqfunctions.udf.CIQ($B7,"IQ_TOTAL_REVENUE",UF$3,$I$3, $N$3, , $J$3, $K$3)*1000000/_xll.ciqfunctions.udf.CIQ($B7,"IQ_EMPLOYEES",UF$3,$I$3, $N$3, , $J$3, $K$3)),"")</f>
        <v/>
      </c>
      <c r="UG7" s="78">
        <f>IFERROR(IF(OR($B7="",UG$3=""),"",(_xll.ciqfunctions.udf.CIQ($B7,"IQ_TOTAL_REVENUE",UG$3,$I$3, $N$3, , $J$3, $K$3)-_xll.ciqfunctions.udf.CIQ($B7,"IQ_COGS",UG$3,$I$3, $N$3, , $J$3, $K$3)-_xll.ciqfunctions.udf.CIQ($B7,"IQ_EBIT",UG$3,$I$3, $N$3, , $J$3, $K$3))*1000000/_xll.ciqfunctions.udf.CIQ($B7,"IQ_EMPLOYEES",UG$3,$I$3, $N$3, , $J$3, $K$3)),"")</f>
        <v>51222.608695652176</v>
      </c>
      <c r="UH7" s="79" t="str">
        <f>IFERROR(IF(OR($B7="",UH$3=""),"",(_xll.ciqfunctions.udf.CIQ($B7,"IQ_TOTAL_REVENUE",UH$3,$I$3, $N$3, , $J$3, $K$3)-_xll.ciqfunctions.udf.CIQ($B7,"IQ_COGS",UH$3,$I$3, $N$3, , $J$3, $K$3)-_xll.ciqfunctions.udf.CIQ($B7,"IQ_EBIT",UH$3,$I$3, $N$3, , $J$3, $K$3))*1000000/_xll.ciqfunctions.udf.CIQ($B7,"IQ_EMPLOYEES",UH$3,$I$3, $N$3, , $J$3, $K$3)),"")</f>
        <v/>
      </c>
      <c r="UI7" s="79" t="str">
        <f>IFERROR(IF(OR($B7="",UI$3=""),"",(_xll.ciqfunctions.udf.CIQ($B7,"IQ_TOTAL_REVENUE",UI$3,$I$3, $N$3, , $J$3, $K$3)-_xll.ciqfunctions.udf.CIQ($B7,"IQ_COGS",UI$3,$I$3, $N$3, , $J$3, $K$3)-_xll.ciqfunctions.udf.CIQ($B7,"IQ_EBIT",UI$3,$I$3, $N$3, , $J$3, $K$3))*1000000/_xll.ciqfunctions.udf.CIQ($B7,"IQ_EMPLOYEES",UI$3,$I$3, $N$3, , $J$3, $K$3)),"")</f>
        <v/>
      </c>
      <c r="UJ7" s="79" t="str">
        <f>IFERROR(IF(OR($B7="",UJ$3=""),"",(_xll.ciqfunctions.udf.CIQ($B7,"IQ_TOTAL_REVENUE",UJ$3,$I$3, $N$3, , $J$3, $K$3)-_xll.ciqfunctions.udf.CIQ($B7,"IQ_COGS",UJ$3,$I$3, $N$3, , $J$3, $K$3)-_xll.ciqfunctions.udf.CIQ($B7,"IQ_EBIT",UJ$3,$I$3, $N$3, , $J$3, $K$3))*1000000/_xll.ciqfunctions.udf.CIQ($B7,"IQ_EMPLOYEES",UJ$3,$I$3, $N$3, , $J$3, $K$3)),"")</f>
        <v/>
      </c>
      <c r="UK7" s="79" t="str">
        <f>IFERROR(IF(OR($B7="",UK$3=""),"",(_xll.ciqfunctions.udf.CIQ($B7,"IQ_TOTAL_REVENUE",UK$3,$I$3, $N$3, , $J$3, $K$3)-_xll.ciqfunctions.udf.CIQ($B7,"IQ_COGS",UK$3,$I$3, $N$3, , $J$3, $K$3)-_xll.ciqfunctions.udf.CIQ($B7,"IQ_EBIT",UK$3,$I$3, $N$3, , $J$3, $K$3))*1000000/_xll.ciqfunctions.udf.CIQ($B7,"IQ_EMPLOYEES",UK$3,$I$3, $N$3, , $J$3, $K$3)),"")</f>
        <v/>
      </c>
      <c r="UL7" s="79" t="str">
        <f>IFERROR(IF(OR($B7="",UL$3=""),"",(_xll.ciqfunctions.udf.CIQ($B7,"IQ_TOTAL_REVENUE",UL$3,$I$3, $N$3, , $J$3, $K$3)-_xll.ciqfunctions.udf.CIQ($B7,"IQ_COGS",UL$3,$I$3, $N$3, , $J$3, $K$3)-_xll.ciqfunctions.udf.CIQ($B7,"IQ_EBIT",UL$3,$I$3, $N$3, , $J$3, $K$3))*1000000/_xll.ciqfunctions.udf.CIQ($B7,"IQ_EMPLOYEES",UL$3,$I$3, $N$3, , $J$3, $K$3)),"")</f>
        <v/>
      </c>
      <c r="UM7" s="79" t="str">
        <f>IFERROR(IF(OR($B7="",UM$3=""),"",(_xll.ciqfunctions.udf.CIQ($B7,"IQ_TOTAL_REVENUE",UM$3,$I$3, $N$3, , $J$3, $K$3)-_xll.ciqfunctions.udf.CIQ($B7,"IQ_COGS",UM$3,$I$3, $N$3, , $J$3, $K$3)-_xll.ciqfunctions.udf.CIQ($B7,"IQ_EBIT",UM$3,$I$3, $N$3, , $J$3, $K$3))*1000000/_xll.ciqfunctions.udf.CIQ($B7,"IQ_EMPLOYEES",UM$3,$I$3, $N$3, , $J$3, $K$3)),"")</f>
        <v/>
      </c>
      <c r="UN7" s="79" t="str">
        <f>IFERROR(IF(OR($B7="",UN$3=""),"",(_xll.ciqfunctions.udf.CIQ($B7,"IQ_TOTAL_REVENUE",UN$3,$I$3, $N$3, , $J$3, $K$3)-_xll.ciqfunctions.udf.CIQ($B7,"IQ_COGS",UN$3,$I$3, $N$3, , $J$3, $K$3)-_xll.ciqfunctions.udf.CIQ($B7,"IQ_EBIT",UN$3,$I$3, $N$3, , $J$3, $K$3))*1000000/_xll.ciqfunctions.udf.CIQ($B7,"IQ_EMPLOYEES",UN$3,$I$3, $N$3, , $J$3, $K$3)),"")</f>
        <v/>
      </c>
      <c r="UO7" s="79" t="str">
        <f>IFERROR(IF(OR($B7="",UO$3=""),"",(_xll.ciqfunctions.udf.CIQ($B7,"IQ_TOTAL_REVENUE",UO$3,$I$3, $N$3, , $J$3, $K$3)-_xll.ciqfunctions.udf.CIQ($B7,"IQ_COGS",UO$3,$I$3, $N$3, , $J$3, $K$3)-_xll.ciqfunctions.udf.CIQ($B7,"IQ_EBIT",UO$3,$I$3, $N$3, , $J$3, $K$3))*1000000/_xll.ciqfunctions.udf.CIQ($B7,"IQ_EMPLOYEES",UO$3,$I$3, $N$3, , $J$3, $K$3)),"")</f>
        <v/>
      </c>
      <c r="UP7" s="79" t="str">
        <f>IFERROR(IF(OR($B7="",UP$3=""),"",(_xll.ciqfunctions.udf.CIQ($B7,"IQ_TOTAL_REVENUE",UP$3,$I$3, $N$3, , $J$3, $K$3)-_xll.ciqfunctions.udf.CIQ($B7,"IQ_COGS",UP$3,$I$3, $N$3, , $J$3, $K$3)-_xll.ciqfunctions.udf.CIQ($B7,"IQ_EBIT",UP$3,$I$3, $N$3, , $J$3, $K$3))*1000000/_xll.ciqfunctions.udf.CIQ($B7,"IQ_EMPLOYEES",UP$3,$I$3, $N$3, , $J$3, $K$3)),"")</f>
        <v/>
      </c>
      <c r="UQ7" s="79" t="str">
        <f>IFERROR(IF(OR($B7="",UQ$3=""),"",(_xll.ciqfunctions.udf.CIQ($B7,"IQ_TOTAL_REVENUE",UQ$3,$I$3, $N$3, , $J$3, $K$3)-_xll.ciqfunctions.udf.CIQ($B7,"IQ_COGS",UQ$3,$I$3, $N$3, , $J$3, $K$3)-_xll.ciqfunctions.udf.CIQ($B7,"IQ_EBIT",UQ$3,$I$3, $N$3, , $J$3, $K$3))*1000000/_xll.ciqfunctions.udf.CIQ($B7,"IQ_EMPLOYEES",UQ$3,$I$3, $N$3, , $J$3, $K$3)),"")</f>
        <v/>
      </c>
      <c r="UR7" s="79" t="str">
        <f>IFERROR(IF(OR($B7="",UR$3=""),"",(_xll.ciqfunctions.udf.CIQ($B7,"IQ_TOTAL_REVENUE",UR$3,$I$3, $N$3, , $J$3, $K$3)-_xll.ciqfunctions.udf.CIQ($B7,"IQ_COGS",UR$3,$I$3, $N$3, , $J$3, $K$3)-_xll.ciqfunctions.udf.CIQ($B7,"IQ_EBIT",UR$3,$I$3, $N$3, , $J$3, $K$3))*1000000/_xll.ciqfunctions.udf.CIQ($B7,"IQ_EMPLOYEES",UR$3,$I$3, $N$3, , $J$3, $K$3)),"")</f>
        <v/>
      </c>
      <c r="US7" s="79" t="str">
        <f>IFERROR(IF(OR($B7="",US$3=""),"",(_xll.ciqfunctions.udf.CIQ($B7,"IQ_TOTAL_REVENUE",US$3,$I$3, $N$3, , $J$3, $K$3)-_xll.ciqfunctions.udf.CIQ($B7,"IQ_COGS",US$3,$I$3, $N$3, , $J$3, $K$3)-_xll.ciqfunctions.udf.CIQ($B7,"IQ_EBIT",US$3,$I$3, $N$3, , $J$3, $K$3))*1000000/_xll.ciqfunctions.udf.CIQ($B7,"IQ_EMPLOYEES",US$3,$I$3, $N$3, , $J$3, $K$3)),"")</f>
        <v/>
      </c>
      <c r="UT7" s="79" t="str">
        <f>IFERROR(IF(OR($B7="",UT$3=""),"",(_xll.ciqfunctions.udf.CIQ($B7,"IQ_TOTAL_REVENUE",UT$3,$I$3, $N$3, , $J$3, $K$3)-_xll.ciqfunctions.udf.CIQ($B7,"IQ_COGS",UT$3,$I$3, $N$3, , $J$3, $K$3)-_xll.ciqfunctions.udf.CIQ($B7,"IQ_EBIT",UT$3,$I$3, $N$3, , $J$3, $K$3))*1000000/_xll.ciqfunctions.udf.CIQ($B7,"IQ_EMPLOYEES",UT$3,$I$3, $N$3, , $J$3, $K$3)),"")</f>
        <v/>
      </c>
      <c r="UU7" s="79" t="str">
        <f>IFERROR(IF(OR($B7="",UU$3=""),"",(_xll.ciqfunctions.udf.CIQ($B7,"IQ_TOTAL_REVENUE",UU$3,$I$3, $N$3, , $J$3, $K$3)-_xll.ciqfunctions.udf.CIQ($B7,"IQ_COGS",UU$3,$I$3, $N$3, , $J$3, $K$3)-_xll.ciqfunctions.udf.CIQ($B7,"IQ_EBIT",UU$3,$I$3, $N$3, , $J$3, $K$3))*1000000/_xll.ciqfunctions.udf.CIQ($B7,"IQ_EMPLOYEES",UU$3,$I$3, $N$3, , $J$3, $K$3)),"")</f>
        <v/>
      </c>
      <c r="UV7" s="79" t="str">
        <f>IFERROR(IF(OR($B7="",UV$3=""),"",(_xll.ciqfunctions.udf.CIQ($B7,"IQ_TOTAL_REVENUE",UV$3,$I$3, $N$3, , $J$3, $K$3)-_xll.ciqfunctions.udf.CIQ($B7,"IQ_COGS",UV$3,$I$3, $N$3, , $J$3, $K$3)-_xll.ciqfunctions.udf.CIQ($B7,"IQ_EBIT",UV$3,$I$3, $N$3, , $J$3, $K$3))*1000000/_xll.ciqfunctions.udf.CIQ($B7,"IQ_EMPLOYEES",UV$3,$I$3, $N$3, , $J$3, $K$3)),"")</f>
        <v/>
      </c>
      <c r="UW7" s="79" t="str">
        <f>IFERROR(IF(OR($B7="",UW$3=""),"",(_xll.ciqfunctions.udf.CIQ($B7,"IQ_TOTAL_REVENUE",UW$3,$I$3, $N$3, , $J$3, $K$3)-_xll.ciqfunctions.udf.CIQ($B7,"IQ_COGS",UW$3,$I$3, $N$3, , $J$3, $K$3)-_xll.ciqfunctions.udf.CIQ($B7,"IQ_EBIT",UW$3,$I$3, $N$3, , $J$3, $K$3))*1000000/_xll.ciqfunctions.udf.CIQ($B7,"IQ_EMPLOYEES",UW$3,$I$3, $N$3, , $J$3, $K$3)),"")</f>
        <v/>
      </c>
      <c r="UX7" s="79" t="str">
        <f>IFERROR(IF(OR($B7="",UX$3=""),"",(_xll.ciqfunctions.udf.CIQ($B7,"IQ_TOTAL_REVENUE",UX$3,$I$3, $N$3, , $J$3, $K$3)-_xll.ciqfunctions.udf.CIQ($B7,"IQ_COGS",UX$3,$I$3, $N$3, , $J$3, $K$3)-_xll.ciqfunctions.udf.CIQ($B7,"IQ_EBIT",UX$3,$I$3, $N$3, , $J$3, $K$3))*1000000/_xll.ciqfunctions.udf.CIQ($B7,"IQ_EMPLOYEES",UX$3,$I$3, $N$3, , $J$3, $K$3)),"")</f>
        <v/>
      </c>
      <c r="UY7" s="79" t="str">
        <f>IFERROR(IF(OR($B7="",UY$3=""),"",(_xll.ciqfunctions.udf.CIQ($B7,"IQ_TOTAL_REVENUE",UY$3,$I$3, $N$3, , $J$3, $K$3)-_xll.ciqfunctions.udf.CIQ($B7,"IQ_COGS",UY$3,$I$3, $N$3, , $J$3, $K$3)-_xll.ciqfunctions.udf.CIQ($B7,"IQ_EBIT",UY$3,$I$3, $N$3, , $J$3, $K$3))*1000000/_xll.ciqfunctions.udf.CIQ($B7,"IQ_EMPLOYEES",UY$3,$I$3, $N$3, , $J$3, $K$3)),"")</f>
        <v/>
      </c>
      <c r="UZ7" s="80" t="str">
        <f>IFERROR(IF(OR($B7="",UZ$3=""),"",(_xll.ciqfunctions.udf.CIQ($B7,"IQ_TOTAL_REVENUE",UZ$3,$I$3, $N$3, , $J$3, $K$3)-_xll.ciqfunctions.udf.CIQ($B7,"IQ_COGS",UZ$3,$I$3, $N$3, , $J$3, $K$3)-_xll.ciqfunctions.udf.CIQ($B7,"IQ_EBIT",UZ$3,$I$3, $N$3, , $J$3, $K$3))*1000000/_xll.ciqfunctions.udf.CIQ($B7,"IQ_EMPLOYEES",UZ$3,$I$3, $N$3, , $J$3, $K$3)),"")</f>
        <v/>
      </c>
      <c r="VA7" s="78">
        <f>IFERROR(IF(OR($B7="",VA$3=""),"",_xll.ciqfunctions.udf.CIQ($B7,"IQ_SGA_SUPPL",VA$3,$I$3, $N$3, , $J$3, $K$3)*1000000/_xll.ciqfunctions.udf.CIQ($B7,"IQ_EMPLOYEES",VA$3,$I$3, $N$3, , $J$3, $K$3)),"")</f>
        <v>51222.608695652176</v>
      </c>
      <c r="VB7" s="79" t="str">
        <f>IFERROR(IF(OR($B7="",VB$3=""),"",_xll.ciqfunctions.udf.CIQ($B7,"IQ_SGA_SUPPL",VB$3,$I$3, $N$3, , $J$3, $K$3)*1000000/_xll.ciqfunctions.udf.CIQ($B7,"IQ_EMPLOYEES",VB$3,$I$3, $N$3, , $J$3, $K$3)),"")</f>
        <v/>
      </c>
      <c r="VC7" s="79" t="str">
        <f>IFERROR(IF(OR($B7="",VC$3=""),"",_xll.ciqfunctions.udf.CIQ($B7,"IQ_SGA_SUPPL",VC$3,$I$3, $N$3, , $J$3, $K$3)*1000000/_xll.ciqfunctions.udf.CIQ($B7,"IQ_EMPLOYEES",VC$3,$I$3, $N$3, , $J$3, $K$3)),"")</f>
        <v/>
      </c>
      <c r="VD7" s="79" t="str">
        <f>IFERROR(IF(OR($B7="",VD$3=""),"",_xll.ciqfunctions.udf.CIQ($B7,"IQ_SGA_SUPPL",VD$3,$I$3, $N$3, , $J$3, $K$3)*1000000/_xll.ciqfunctions.udf.CIQ($B7,"IQ_EMPLOYEES",VD$3,$I$3, $N$3, , $J$3, $K$3)),"")</f>
        <v/>
      </c>
      <c r="VE7" s="79" t="str">
        <f>IFERROR(IF(OR($B7="",VE$3=""),"",_xll.ciqfunctions.udf.CIQ($B7,"IQ_SGA_SUPPL",VE$3,$I$3, $N$3, , $J$3, $K$3)*1000000/_xll.ciqfunctions.udf.CIQ($B7,"IQ_EMPLOYEES",VE$3,$I$3, $N$3, , $J$3, $K$3)),"")</f>
        <v/>
      </c>
      <c r="VF7" s="79" t="str">
        <f>IFERROR(IF(OR($B7="",VF$3=""),"",_xll.ciqfunctions.udf.CIQ($B7,"IQ_SGA_SUPPL",VF$3,$I$3, $N$3, , $J$3, $K$3)*1000000/_xll.ciqfunctions.udf.CIQ($B7,"IQ_EMPLOYEES",VF$3,$I$3, $N$3, , $J$3, $K$3)),"")</f>
        <v/>
      </c>
      <c r="VG7" s="79" t="str">
        <f>IFERROR(IF(OR($B7="",VG$3=""),"",_xll.ciqfunctions.udf.CIQ($B7,"IQ_SGA_SUPPL",VG$3,$I$3, $N$3, , $J$3, $K$3)*1000000/_xll.ciqfunctions.udf.CIQ($B7,"IQ_EMPLOYEES",VG$3,$I$3, $N$3, , $J$3, $K$3)),"")</f>
        <v/>
      </c>
      <c r="VH7" s="79" t="str">
        <f>IFERROR(IF(OR($B7="",VH$3=""),"",_xll.ciqfunctions.udf.CIQ($B7,"IQ_SGA_SUPPL",VH$3,$I$3, $N$3, , $J$3, $K$3)*1000000/_xll.ciqfunctions.udf.CIQ($B7,"IQ_EMPLOYEES",VH$3,$I$3, $N$3, , $J$3, $K$3)),"")</f>
        <v/>
      </c>
      <c r="VI7" s="79" t="str">
        <f>IFERROR(IF(OR($B7="",VI$3=""),"",_xll.ciqfunctions.udf.CIQ($B7,"IQ_SGA_SUPPL",VI$3,$I$3, $N$3, , $J$3, $K$3)*1000000/_xll.ciqfunctions.udf.CIQ($B7,"IQ_EMPLOYEES",VI$3,$I$3, $N$3, , $J$3, $K$3)),"")</f>
        <v/>
      </c>
      <c r="VJ7" s="79" t="str">
        <f>IFERROR(IF(OR($B7="",VJ$3=""),"",_xll.ciqfunctions.udf.CIQ($B7,"IQ_SGA_SUPPL",VJ$3,$I$3, $N$3, , $J$3, $K$3)*1000000/_xll.ciqfunctions.udf.CIQ($B7,"IQ_EMPLOYEES",VJ$3,$I$3, $N$3, , $J$3, $K$3)),"")</f>
        <v/>
      </c>
      <c r="VK7" s="79" t="str">
        <f>IFERROR(IF(OR($B7="",VK$3=""),"",_xll.ciqfunctions.udf.CIQ($B7,"IQ_SGA_SUPPL",VK$3,$I$3, $N$3, , $J$3, $K$3)*1000000/_xll.ciqfunctions.udf.CIQ($B7,"IQ_EMPLOYEES",VK$3,$I$3, $N$3, , $J$3, $K$3)),"")</f>
        <v/>
      </c>
      <c r="VL7" s="79" t="str">
        <f>IFERROR(IF(OR($B7="",VL$3=""),"",_xll.ciqfunctions.udf.CIQ($B7,"IQ_SGA_SUPPL",VL$3,$I$3, $N$3, , $J$3, $K$3)*1000000/_xll.ciqfunctions.udf.CIQ($B7,"IQ_EMPLOYEES",VL$3,$I$3, $N$3, , $J$3, $K$3)),"")</f>
        <v/>
      </c>
      <c r="VM7" s="79" t="str">
        <f>IFERROR(IF(OR($B7="",VM$3=""),"",_xll.ciqfunctions.udf.CIQ($B7,"IQ_SGA_SUPPL",VM$3,$I$3, $N$3, , $J$3, $K$3)*1000000/_xll.ciqfunctions.udf.CIQ($B7,"IQ_EMPLOYEES",VM$3,$I$3, $N$3, , $J$3, $K$3)),"")</f>
        <v/>
      </c>
      <c r="VN7" s="79" t="str">
        <f>IFERROR(IF(OR($B7="",VN$3=""),"",_xll.ciqfunctions.udf.CIQ($B7,"IQ_SGA_SUPPL",VN$3,$I$3, $N$3, , $J$3, $K$3)*1000000/_xll.ciqfunctions.udf.CIQ($B7,"IQ_EMPLOYEES",VN$3,$I$3, $N$3, , $J$3, $K$3)),"")</f>
        <v/>
      </c>
      <c r="VO7" s="79" t="str">
        <f>IFERROR(IF(OR($B7="",VO$3=""),"",_xll.ciqfunctions.udf.CIQ($B7,"IQ_SGA_SUPPL",VO$3,$I$3, $N$3, , $J$3, $K$3)*1000000/_xll.ciqfunctions.udf.CIQ($B7,"IQ_EMPLOYEES",VO$3,$I$3, $N$3, , $J$3, $K$3)),"")</f>
        <v/>
      </c>
      <c r="VP7" s="79" t="str">
        <f>IFERROR(IF(OR($B7="",VP$3=""),"",_xll.ciqfunctions.udf.CIQ($B7,"IQ_SGA_SUPPL",VP$3,$I$3, $N$3, , $J$3, $K$3)*1000000/_xll.ciqfunctions.udf.CIQ($B7,"IQ_EMPLOYEES",VP$3,$I$3, $N$3, , $J$3, $K$3)),"")</f>
        <v/>
      </c>
      <c r="VQ7" s="79" t="str">
        <f>IFERROR(IF(OR($B7="",VQ$3=""),"",_xll.ciqfunctions.udf.CIQ($B7,"IQ_SGA_SUPPL",VQ$3,$I$3, $N$3, , $J$3, $K$3)*1000000/_xll.ciqfunctions.udf.CIQ($B7,"IQ_EMPLOYEES",VQ$3,$I$3, $N$3, , $J$3, $K$3)),"")</f>
        <v/>
      </c>
      <c r="VR7" s="79" t="str">
        <f>IFERROR(IF(OR($B7="",VR$3=""),"",_xll.ciqfunctions.udf.CIQ($B7,"IQ_SGA_SUPPL",VR$3,$I$3, $N$3, , $J$3, $K$3)*1000000/_xll.ciqfunctions.udf.CIQ($B7,"IQ_EMPLOYEES",VR$3,$I$3, $N$3, , $J$3, $K$3)),"")</f>
        <v/>
      </c>
      <c r="VS7" s="79" t="str">
        <f>IFERROR(IF(OR($B7="",VS$3=""),"",_xll.ciqfunctions.udf.CIQ($B7,"IQ_SGA_SUPPL",VS$3,$I$3, $N$3, , $J$3, $K$3)*1000000/_xll.ciqfunctions.udf.CIQ($B7,"IQ_EMPLOYEES",VS$3,$I$3, $N$3, , $J$3, $K$3)),"")</f>
        <v/>
      </c>
      <c r="VT7" s="80" t="str">
        <f>IFERROR(IF(OR($B7="",VT$3=""),"",_xll.ciqfunctions.udf.CIQ($B7,"IQ_SGA_SUPPL",VT$3,$I$3, $N$3, , $J$3, $K$3)*1000000/_xll.ciqfunctions.udf.CIQ($B7,"IQ_EMPLOYEES",VT$3,$I$3, $N$3, , $J$3, $K$3)),"")</f>
        <v/>
      </c>
      <c r="VU7" s="78">
        <f>IFERROR(IF(OR($B7="",VU$3=""),"",_xll.ciqfunctions.udf.CIQ($B7,"IQ_RD_EXP",VU$3,$I$3, $N$3, , $J$3, $K$3)*1000000/_xll.ciqfunctions.udf.CIQ($B7,"IQ_EMPLOYEES",VU$3,$I$3, $N$3, , $J$3, $K$3)),"")</f>
        <v>0</v>
      </c>
      <c r="VV7" s="79" t="str">
        <f>IFERROR(IF(OR($B7="",VV$3=""),"",_xll.ciqfunctions.udf.CIQ($B7,"IQ_RD_EXP",VV$3,$I$3, $N$3, , $J$3, $K$3)*1000000/_xll.ciqfunctions.udf.CIQ($B7,"IQ_EMPLOYEES",VV$3,$I$3, $N$3, , $J$3, $K$3)),"")</f>
        <v/>
      </c>
      <c r="VW7" s="79" t="str">
        <f>IFERROR(IF(OR($B7="",VW$3=""),"",_xll.ciqfunctions.udf.CIQ($B7,"IQ_RD_EXP",VW$3,$I$3, $N$3, , $J$3, $K$3)*1000000/_xll.ciqfunctions.udf.CIQ($B7,"IQ_EMPLOYEES",VW$3,$I$3, $N$3, , $J$3, $K$3)),"")</f>
        <v/>
      </c>
      <c r="VX7" s="79" t="str">
        <f>IFERROR(IF(OR($B7="",VX$3=""),"",_xll.ciqfunctions.udf.CIQ($B7,"IQ_RD_EXP",VX$3,$I$3, $N$3, , $J$3, $K$3)*1000000/_xll.ciqfunctions.udf.CIQ($B7,"IQ_EMPLOYEES",VX$3,$I$3, $N$3, , $J$3, $K$3)),"")</f>
        <v/>
      </c>
      <c r="VY7" s="79" t="str">
        <f>IFERROR(IF(OR($B7="",VY$3=""),"",_xll.ciqfunctions.udf.CIQ($B7,"IQ_RD_EXP",VY$3,$I$3, $N$3, , $J$3, $K$3)*1000000/_xll.ciqfunctions.udf.CIQ($B7,"IQ_EMPLOYEES",VY$3,$I$3, $N$3, , $J$3, $K$3)),"")</f>
        <v/>
      </c>
      <c r="VZ7" s="79" t="str">
        <f>IFERROR(IF(OR($B7="",VZ$3=""),"",_xll.ciqfunctions.udf.CIQ($B7,"IQ_RD_EXP",VZ$3,$I$3, $N$3, , $J$3, $K$3)*1000000/_xll.ciqfunctions.udf.CIQ($B7,"IQ_EMPLOYEES",VZ$3,$I$3, $N$3, , $J$3, $K$3)),"")</f>
        <v/>
      </c>
      <c r="WA7" s="79" t="str">
        <f>IFERROR(IF(OR($B7="",WA$3=""),"",_xll.ciqfunctions.udf.CIQ($B7,"IQ_RD_EXP",WA$3,$I$3, $N$3, , $J$3, $K$3)*1000000/_xll.ciqfunctions.udf.CIQ($B7,"IQ_EMPLOYEES",WA$3,$I$3, $N$3, , $J$3, $K$3)),"")</f>
        <v/>
      </c>
      <c r="WB7" s="79" t="str">
        <f>IFERROR(IF(OR($B7="",WB$3=""),"",_xll.ciqfunctions.udf.CIQ($B7,"IQ_RD_EXP",WB$3,$I$3, $N$3, , $J$3, $K$3)*1000000/_xll.ciqfunctions.udf.CIQ($B7,"IQ_EMPLOYEES",WB$3,$I$3, $N$3, , $J$3, $K$3)),"")</f>
        <v/>
      </c>
      <c r="WC7" s="79" t="str">
        <f>IFERROR(IF(OR($B7="",WC$3=""),"",_xll.ciqfunctions.udf.CIQ($B7,"IQ_RD_EXP",WC$3,$I$3, $N$3, , $J$3, $K$3)*1000000/_xll.ciqfunctions.udf.CIQ($B7,"IQ_EMPLOYEES",WC$3,$I$3, $N$3, , $J$3, $K$3)),"")</f>
        <v/>
      </c>
      <c r="WD7" s="79" t="str">
        <f>IFERROR(IF(OR($B7="",WD$3=""),"",_xll.ciqfunctions.udf.CIQ($B7,"IQ_RD_EXP",WD$3,$I$3, $N$3, , $J$3, $K$3)*1000000/_xll.ciqfunctions.udf.CIQ($B7,"IQ_EMPLOYEES",WD$3,$I$3, $N$3, , $J$3, $K$3)),"")</f>
        <v/>
      </c>
      <c r="WE7" s="79" t="str">
        <f>IFERROR(IF(OR($B7="",WE$3=""),"",_xll.ciqfunctions.udf.CIQ($B7,"IQ_RD_EXP",WE$3,$I$3, $N$3, , $J$3, $K$3)*1000000/_xll.ciqfunctions.udf.CIQ($B7,"IQ_EMPLOYEES",WE$3,$I$3, $N$3, , $J$3, $K$3)),"")</f>
        <v/>
      </c>
      <c r="WF7" s="79" t="str">
        <f>IFERROR(IF(OR($B7="",WF$3=""),"",_xll.ciqfunctions.udf.CIQ($B7,"IQ_RD_EXP",WF$3,$I$3, $N$3, , $J$3, $K$3)*1000000/_xll.ciqfunctions.udf.CIQ($B7,"IQ_EMPLOYEES",WF$3,$I$3, $N$3, , $J$3, $K$3)),"")</f>
        <v/>
      </c>
      <c r="WG7" s="79" t="str">
        <f>IFERROR(IF(OR($B7="",WG$3=""),"",_xll.ciqfunctions.udf.CIQ($B7,"IQ_RD_EXP",WG$3,$I$3, $N$3, , $J$3, $K$3)*1000000/_xll.ciqfunctions.udf.CIQ($B7,"IQ_EMPLOYEES",WG$3,$I$3, $N$3, , $J$3, $K$3)),"")</f>
        <v/>
      </c>
      <c r="WH7" s="79" t="str">
        <f>IFERROR(IF(OR($B7="",WH$3=""),"",_xll.ciqfunctions.udf.CIQ($B7,"IQ_RD_EXP",WH$3,$I$3, $N$3, , $J$3, $K$3)*1000000/_xll.ciqfunctions.udf.CIQ($B7,"IQ_EMPLOYEES",WH$3,$I$3, $N$3, , $J$3, $K$3)),"")</f>
        <v/>
      </c>
      <c r="WI7" s="79" t="str">
        <f>IFERROR(IF(OR($B7="",WI$3=""),"",_xll.ciqfunctions.udf.CIQ($B7,"IQ_RD_EXP",WI$3,$I$3, $N$3, , $J$3, $K$3)*1000000/_xll.ciqfunctions.udf.CIQ($B7,"IQ_EMPLOYEES",WI$3,$I$3, $N$3, , $J$3, $K$3)),"")</f>
        <v/>
      </c>
      <c r="WJ7" s="79" t="str">
        <f>IFERROR(IF(OR($B7="",WJ$3=""),"",_xll.ciqfunctions.udf.CIQ($B7,"IQ_RD_EXP",WJ$3,$I$3, $N$3, , $J$3, $K$3)*1000000/_xll.ciqfunctions.udf.CIQ($B7,"IQ_EMPLOYEES",WJ$3,$I$3, $N$3, , $J$3, $K$3)),"")</f>
        <v/>
      </c>
      <c r="WK7" s="79" t="str">
        <f>IFERROR(IF(OR($B7="",WK$3=""),"",_xll.ciqfunctions.udf.CIQ($B7,"IQ_RD_EXP",WK$3,$I$3, $N$3, , $J$3, $K$3)*1000000/_xll.ciqfunctions.udf.CIQ($B7,"IQ_EMPLOYEES",WK$3,$I$3, $N$3, , $J$3, $K$3)),"")</f>
        <v/>
      </c>
      <c r="WL7" s="79" t="str">
        <f>IFERROR(IF(OR($B7="",TJ$3=""),"",_xll.ciqfunctions.udf.CIQ($B7,"IQ_RD_EXP",GH$3,,,,"USD")*1000000/_xll.ciqfunctions.udf.CIQ($B7,"IQ_EMPLOYEES",WL$3,,,,"USD")),"")</f>
        <v/>
      </c>
      <c r="WM7" s="79" t="str">
        <f>IFERROR(IF(OR($B7="",TK$3=""),"",_xll.ciqfunctions.udf.CIQ($B7,"IQ_RD_EXP",GI$3,,,,"USD")*1000000/_xll.ciqfunctions.udf.CIQ($B7,"IQ_EMPLOYEES",WM$3,,,,"USD")),"")</f>
        <v/>
      </c>
      <c r="WN7" s="80" t="str">
        <f>IFERROR(IF(OR($B7="",TL$3=""),"",_xll.ciqfunctions.udf.CIQ($B7,"IQ_RD_EXP",GJ$3,,,,"USD")*1000000/_xll.ciqfunctions.udf.CIQ($B7,"IQ_EMPLOYEES",WN$3,,,,"USD")),"")</f>
        <v/>
      </c>
      <c r="WO7" s="620">
        <f>IFERROR(IF(OR($B7="",WO$4=""),"",_xll.ciqfunctions.udf.CIQ($B7,"IQ_LASTSALEPRICE",WO$4)),"")</f>
        <v>144.69</v>
      </c>
      <c r="WP7" s="620" t="str">
        <f>IFERROR(IF(OR($B7="",WP$4=""),"",_xll.ciqfunctions.udf.CIQ($B7,"IQ_LASTSALEPRICE",WP$4)),"")</f>
        <v/>
      </c>
      <c r="WQ7" s="620" t="str">
        <f>IFERROR(IF(OR($B7="",WQ$4=""),"",_xll.ciqfunctions.udf.CIQ($B7,"IQ_LASTSALEPRICE",WQ$4)),"")</f>
        <v/>
      </c>
      <c r="WR7" s="620" t="str">
        <f>IFERROR(IF(OR($B7="",WR$4=""),"",_xll.ciqfunctions.udf.CIQ($B7,"IQ_LASTSALEPRICE",WR$4)),"")</f>
        <v/>
      </c>
      <c r="WS7" s="620" t="str">
        <f>IFERROR(IF(OR($B7="",WS$4=""),"",_xll.ciqfunctions.udf.CIQ($B7,"IQ_LASTSALEPRICE",WS$4)),"")</f>
        <v/>
      </c>
      <c r="WT7" s="620" t="str">
        <f>IFERROR(IF(OR($B7="",WT$4=""),"",_xll.ciqfunctions.udf.CIQ($B7,"IQ_LASTSALEPRICE",WT$4)),"")</f>
        <v/>
      </c>
      <c r="WU7" s="620" t="str">
        <f>IFERROR(IF(OR($B7="",WU$4=""),"",_xll.ciqfunctions.udf.CIQ($B7,"IQ_LASTSALEPRICE",WU$4)),"")</f>
        <v/>
      </c>
      <c r="WV7" s="620" t="str">
        <f>IFERROR(IF(OR($B7="",WV$4=""),"",_xll.ciqfunctions.udf.CIQ($B7,"IQ_LASTSALEPRICE",WV$4)),"")</f>
        <v/>
      </c>
      <c r="WW7" s="620" t="str">
        <f>IFERROR(IF(OR($B7="",WW$4=""),"",_xll.ciqfunctions.udf.CIQ($B7,"IQ_LASTSALEPRICE",WW$4)),"")</f>
        <v/>
      </c>
      <c r="WX7" s="620" t="str">
        <f>IFERROR(IF(OR($B7="",WX$4=""),"",_xll.ciqfunctions.udf.CIQ($B7,"IQ_LASTSALEPRICE",WX$4)),"")</f>
        <v/>
      </c>
      <c r="WY7" s="620" t="str">
        <f>IFERROR(IF(OR($B7="",WY$4=""),"",_xll.ciqfunctions.udf.CIQ($B7,"IQ_LASTSALEPRICE",WY$4)),"")</f>
        <v/>
      </c>
      <c r="WZ7" s="620" t="str">
        <f>IFERROR(IF(OR($B7="",WZ$4=""),"",_xll.ciqfunctions.udf.CIQ($B7,"IQ_LASTSALEPRICE",WZ$4)),"")</f>
        <v/>
      </c>
      <c r="XA7" s="620" t="str">
        <f>IFERROR(IF(OR($B7="",XA$4=""),"",_xll.ciqfunctions.udf.CIQ($B7,"IQ_LASTSALEPRICE",XA$4)),"")</f>
        <v/>
      </c>
      <c r="XB7" s="620" t="str">
        <f>IFERROR(IF(OR($B7="",XB$4=""),"",_xll.ciqfunctions.udf.CIQ($B7,"IQ_LASTSALEPRICE",XB$4)),"")</f>
        <v/>
      </c>
      <c r="XC7" s="620" t="str">
        <f>IFERROR(IF(OR($B7="",XC$4=""),"",_xll.ciqfunctions.udf.CIQ($B7,"IQ_LASTSALEPRICE",XC$4)),"")</f>
        <v/>
      </c>
      <c r="XD7" s="620" t="str">
        <f>IFERROR(IF(OR($B7="",XD$4=""),"",_xll.ciqfunctions.udf.CIQ($B7,"IQ_LASTSALEPRICE",XD$4)),"")</f>
        <v/>
      </c>
      <c r="XE7" s="620" t="str">
        <f>IFERROR(IF(OR($B7="",XE$4=""),"",_xll.ciqfunctions.udf.CIQ($B7,"IQ_LASTSALEPRICE",XE$4)),"")</f>
        <v/>
      </c>
      <c r="XF7" s="620" t="str">
        <f>IFERROR(IF(OR($B7="",XF$4=""),"",_xll.ciqfunctions.udf.CIQ($B7,"IQ_LASTSALEPRICE",XF$4)),"")</f>
        <v/>
      </c>
      <c r="XG7" s="620" t="str">
        <f>IFERROR(IF(OR($B7="",XG$4=""),"",_xll.ciqfunctions.udf.CIQ($B7,"IQ_LASTSALEPRICE",XG$4)),"")</f>
        <v/>
      </c>
      <c r="XH7" s="620" t="str">
        <f>IFERROR(IF(OR($B7="",XH$4=""),"",_xll.ciqfunctions.udf.CIQ($B7,"IQ_LASTSALEPRICE",XH$4)),"")</f>
        <v/>
      </c>
      <c r="XI7" s="72">
        <f>IFERROR(IF(OR($B7="",XI$3=""),"",_xll.ciqfunctions.udf.CIQ($B7,"IQ_TOTAL_REV_1YR_ANN_GROWTH",XI$3,$I$3, $N$3, , $J$3, $K$3)/100),"")</f>
        <v>2.4327000000000001E-2</v>
      </c>
      <c r="XJ7" s="72" t="str">
        <f>IFERROR(IF(OR($B7="",XJ$3=""),"",_xll.ciqfunctions.udf.CIQ($B7,"IQ_TOTAL_REV_1YR_ANN_GROWTH",XJ$3,$I$3, $N$3, , $J$3, $K$3)/100),"")</f>
        <v/>
      </c>
      <c r="XK7" s="72" t="str">
        <f>IFERROR(IF(OR($B7="",XK$3=""),"",_xll.ciqfunctions.udf.CIQ($B7,"IQ_TOTAL_REV_1YR_ANN_GROWTH",XK$3,$I$3, $N$3, , $J$3, $K$3)/100),"")</f>
        <v/>
      </c>
      <c r="XL7" s="72" t="str">
        <f>IFERROR(IF(OR($B7="",XL$3=""),"",_xll.ciqfunctions.udf.CIQ($B7,"IQ_TOTAL_REV_1YR_ANN_GROWTH",XL$3,$I$3, $N$3, , $J$3, $K$3)/100),"")</f>
        <v/>
      </c>
      <c r="XM7" s="72" t="str">
        <f>IFERROR(IF(OR($B7="",XM$3=""),"",_xll.ciqfunctions.udf.CIQ($B7,"IQ_TOTAL_REV_1YR_ANN_GROWTH",XM$3,$I$3, $N$3, , $J$3, $K$3)/100),"")</f>
        <v/>
      </c>
      <c r="XN7" s="72" t="str">
        <f>IFERROR(IF(OR($B7="",XN$3=""),"",_xll.ciqfunctions.udf.CIQ($B7,"IQ_TOTAL_REV_1YR_ANN_GROWTH",XN$3,$I$3, $N$3, , $J$3, $K$3)/100),"")</f>
        <v/>
      </c>
      <c r="XO7" s="72" t="str">
        <f>IFERROR(IF(OR($B7="",XO$3=""),"",_xll.ciqfunctions.udf.CIQ($B7,"IQ_TOTAL_REV_1YR_ANN_GROWTH",XO$3,$I$3, $N$3, , $J$3, $K$3)/100),"")</f>
        <v/>
      </c>
      <c r="XP7" s="72" t="str">
        <f>IFERROR(IF(OR($B7="",XP$3=""),"",_xll.ciqfunctions.udf.CIQ($B7,"IQ_TOTAL_REV_1YR_ANN_GROWTH",XP$3,$I$3, $N$3, , $J$3, $K$3)/100),"")</f>
        <v/>
      </c>
      <c r="XQ7" s="72" t="str">
        <f>IFERROR(IF(OR($B7="",XQ$3=""),"",_xll.ciqfunctions.udf.CIQ($B7,"IQ_TOTAL_REV_1YR_ANN_GROWTH",XQ$3,$I$3, $N$3, , $J$3, $K$3)/100),"")</f>
        <v/>
      </c>
      <c r="XR7" s="72" t="str">
        <f>IFERROR(IF(OR($B7="",XR$3=""),"",_xll.ciqfunctions.udf.CIQ($B7,"IQ_TOTAL_REV_1YR_ANN_GROWTH",XR$3,$I$3, $N$3, , $J$3, $K$3)/100),"")</f>
        <v/>
      </c>
      <c r="XS7" s="72" t="str">
        <f>IFERROR(IF(OR($B7="",XS$3=""),"",_xll.ciqfunctions.udf.CIQ($B7,"IQ_TOTAL_REV_1YR_ANN_GROWTH",XS$3,$I$3, $N$3, , $J$3, $K$3)/100),"")</f>
        <v/>
      </c>
      <c r="XT7" s="72" t="str">
        <f>IFERROR(IF(OR($B7="",XT$3=""),"",_xll.ciqfunctions.udf.CIQ($B7,"IQ_TOTAL_REV_1YR_ANN_GROWTH",XT$3,$I$3, $N$3, , $J$3, $K$3)/100),"")</f>
        <v/>
      </c>
      <c r="XU7" s="72" t="str">
        <f>IFERROR(IF(OR($B7="",XU$3=""),"",_xll.ciqfunctions.udf.CIQ($B7,"IQ_TOTAL_REV_1YR_ANN_GROWTH",XU$3,$I$3, $N$3, , $J$3, $K$3)/100),"")</f>
        <v/>
      </c>
      <c r="XV7" s="72" t="str">
        <f>IFERROR(IF(OR($B7="",XV$3=""),"",_xll.ciqfunctions.udf.CIQ($B7,"IQ_TOTAL_REV_1YR_ANN_GROWTH",XV$3,$I$3, $N$3, , $J$3, $K$3)/100),"")</f>
        <v/>
      </c>
      <c r="XW7" s="72" t="str">
        <f>IFERROR(IF(OR($B7="",XW$3=""),"",_xll.ciqfunctions.udf.CIQ($B7,"IQ_TOTAL_REV_1YR_ANN_GROWTH",XW$3,$I$3, $N$3, , $J$3, $K$3)/100),"")</f>
        <v/>
      </c>
      <c r="XX7" s="72" t="str">
        <f>IFERROR(IF(OR($B7="",XX$3=""),"",_xll.ciqfunctions.udf.CIQ($B7,"IQ_TOTAL_REV_1YR_ANN_GROWTH",XX$3,$I$3, $N$3, , $J$3, $K$3)/100),"")</f>
        <v/>
      </c>
      <c r="XY7" s="72" t="str">
        <f>IFERROR(IF(OR($B7="",XY$3=""),"",_xll.ciqfunctions.udf.CIQ($B7,"IQ_TOTAL_REV_1YR_ANN_GROWTH",XY$3,$I$3, $N$3, , $J$3, $K$3)/100),"")</f>
        <v/>
      </c>
      <c r="XZ7" s="72" t="str">
        <f>IFERROR(IF(OR($B7="",XZ$3=""),"",_xll.ciqfunctions.udf.CIQ($B7,"IQ_TOTAL_REV_1YR_ANN_GROWTH",XZ$3,$I$3, $N$3, , $J$3, $K$3)/100),"")</f>
        <v/>
      </c>
      <c r="YA7" s="72" t="str">
        <f>IFERROR(IF(OR($B7="",YA$3=""),"",_xll.ciqfunctions.udf.CIQ($B7,"IQ_TOTAL_REV_1YR_ANN_GROWTH",YA$3,$I$3, $N$3, , $J$3, $K$3)/100),"")</f>
        <v/>
      </c>
      <c r="YB7" s="72" t="str">
        <f>IFERROR(IF(OR($B7="",YB$3=""),"",_xll.ciqfunctions.udf.CIQ($B7,"IQ_TOTAL_REV_1YR_ANN_GROWTH",YB$3,$I$3, $N$3, , $J$3, $K$3)/100),"")</f>
        <v/>
      </c>
      <c r="YC7" s="627">
        <f>IFERROR(IF(OR($B7="",YC$4=""),"",_xll.ciqfunctions.udf.CIQ($B7,"IQ_TEV",YC$4)),"")</f>
        <v>452202.47408999997</v>
      </c>
      <c r="YD7" s="627" t="str">
        <f>IFERROR(IF(OR($B7="",YD$4=""),"",_xll.ciqfunctions.udf.CIQ($B7,"IQ_TEV",YD$4)),"")</f>
        <v/>
      </c>
      <c r="YE7" s="627" t="str">
        <f>IFERROR(IF(OR($B7="",YE$4=""),"",_xll.ciqfunctions.udf.CIQ($B7,"IQ_TEV",YE$4)),"")</f>
        <v/>
      </c>
      <c r="YF7" s="627" t="str">
        <f>IFERROR(IF(OR($B7="",YF$4=""),"",_xll.ciqfunctions.udf.CIQ($B7,"IQ_TEV",YF$4)),"")</f>
        <v/>
      </c>
      <c r="YG7" s="627" t="str">
        <f>IFERROR(IF(OR($B7="",YG$4=""),"",_xll.ciqfunctions.udf.CIQ($B7,"IQ_TEV",YG$4)),"")</f>
        <v/>
      </c>
      <c r="YH7" s="627" t="str">
        <f>IFERROR(IF(OR($B7="",YH$4=""),"",_xll.ciqfunctions.udf.CIQ($B7,"IQ_TEV",YH$4)),"")</f>
        <v/>
      </c>
      <c r="YI7" s="627" t="str">
        <f>IFERROR(IF(OR($B7="",YI$4=""),"",_xll.ciqfunctions.udf.CIQ($B7,"IQ_TEV",YI$4)),"")</f>
        <v/>
      </c>
      <c r="YJ7" s="627" t="str">
        <f>IFERROR(IF(OR($B7="",YJ$4=""),"",_xll.ciqfunctions.udf.CIQ($B7,"IQ_TEV",YJ$4)),"")</f>
        <v/>
      </c>
      <c r="YK7" s="627" t="str">
        <f>IFERROR(IF(OR($B7="",YK$4=""),"",_xll.ciqfunctions.udf.CIQ($B7,"IQ_TEV",YK$4)),"")</f>
        <v/>
      </c>
      <c r="YL7" s="627" t="str">
        <f>IFERROR(IF(OR($B7="",YL$4=""),"",_xll.ciqfunctions.udf.CIQ($B7,"IQ_TEV",YL$4)),"")</f>
        <v/>
      </c>
      <c r="YM7" s="627" t="str">
        <f>IFERROR(IF(OR($B7="",YM$4=""),"",_xll.ciqfunctions.udf.CIQ($B7,"IQ_TEV",YM$4)),"")</f>
        <v/>
      </c>
      <c r="YN7" s="627" t="str">
        <f>IFERROR(IF(OR($B7="",YN$4=""),"",_xll.ciqfunctions.udf.CIQ($B7,"IQ_TEV",YN$4)),"")</f>
        <v/>
      </c>
      <c r="YO7" s="627" t="str">
        <f>IFERROR(IF(OR($B7="",YO$4=""),"",_xll.ciqfunctions.udf.CIQ($B7,"IQ_TEV",YO$4)),"")</f>
        <v/>
      </c>
      <c r="YP7" s="627" t="str">
        <f>IFERROR(IF(OR($B7="",YP$4=""),"",_xll.ciqfunctions.udf.CIQ($B7,"IQ_TEV",YP$4)),"")</f>
        <v/>
      </c>
      <c r="YQ7" s="627" t="str">
        <f>IFERROR(IF(OR($B7="",YQ$4=""),"",_xll.ciqfunctions.udf.CIQ($B7,"IQ_TEV",YQ$4)),"")</f>
        <v/>
      </c>
      <c r="YR7" s="627" t="str">
        <f>IFERROR(IF(OR($B7="",YR$4=""),"",_xll.ciqfunctions.udf.CIQ($B7,"IQ_TEV",YR$4)),"")</f>
        <v/>
      </c>
      <c r="YS7" s="627" t="str">
        <f>IFERROR(IF(OR($B7="",YS$4=""),"",_xll.ciqfunctions.udf.CIQ($B7,"IQ_TEV",YS$4)),"")</f>
        <v/>
      </c>
      <c r="YT7" s="627" t="str">
        <f>IFERROR(IF(OR($B7="",YT$4=""),"",_xll.ciqfunctions.udf.CIQ($B7,"IQ_TEV",YT$4)),"")</f>
        <v/>
      </c>
      <c r="YU7" s="627" t="str">
        <f>IFERROR(IF(OR($B7="",YU$4=""),"",_xll.ciqfunctions.udf.CIQ($B7,"IQ_TEV",YU$4)),"")</f>
        <v/>
      </c>
      <c r="YV7" s="627" t="str">
        <f>IFERROR(IF(OR($B7="",YV$4=""),"",_xll.ciqfunctions.udf.CIQ($B7,"IQ_TEV",YV$4)),"")</f>
        <v/>
      </c>
      <c r="YW7" s="72">
        <f>IFERROR(IF(OR($B7="",YW$3=""),"",(_xll.ciqfunctions.udf.CIQ($B7,"IQ_LASTSALEPRICE",YW$4)/_xll.ciqfunctions.udf.CIQ($B7,"IQ_LASTSALEPRICE",YW$2)-1)+(_xll.ciqfunctions.udf.CIQ($B7, "IQ_DPS_1YR_ANN_GROWTH", "IQ_LTM", YW$4)/100)),"")</f>
        <v>2.2350097814776305E-2</v>
      </c>
      <c r="YX7" s="72" t="str">
        <f>IFERROR(IF(OR($B7="",YX$3=""),"",(_xll.ciqfunctions.udf.CIQ($B7,"IQ_LASTSALEPRICE",YX$4)/_xll.ciqfunctions.udf.CIQ($B7,"IQ_LASTSALEPRICE",YX$2)-1)+(_xll.ciqfunctions.udf.CIQ($B7, "IQ_DPS_1YR_ANN_GROWTH", "IQ_LTM", YX$4)/100)),"")</f>
        <v/>
      </c>
      <c r="YY7" s="72" t="str">
        <f>IFERROR(IF(OR($B7="",YY$3=""),"",(_xll.ciqfunctions.udf.CIQ($B7,"IQ_LASTSALEPRICE",YY$4)/_xll.ciqfunctions.udf.CIQ($B7,"IQ_LASTSALEPRICE",YY$2)-1)+(_xll.ciqfunctions.udf.CIQ($B7, "IQ_DPS_1YR_ANN_GROWTH", "IQ_LTM", YY$4)/100)),"")</f>
        <v/>
      </c>
      <c r="YZ7" s="72" t="str">
        <f>IFERROR(IF(OR($B7="",YZ$3=""),"",(_xll.ciqfunctions.udf.CIQ($B7,"IQ_LASTSALEPRICE",YZ$4)/_xll.ciqfunctions.udf.CIQ($B7,"IQ_LASTSALEPRICE",YZ$2)-1)+(_xll.ciqfunctions.udf.CIQ($B7, "IQ_DPS_1YR_ANN_GROWTH", "IQ_LTM", YZ$4)/100)),"")</f>
        <v/>
      </c>
      <c r="ZA7" s="72" t="str">
        <f>IFERROR(IF(OR($B7="",ZA$3=""),"",(_xll.ciqfunctions.udf.CIQ($B7,"IQ_LASTSALEPRICE",ZA$4)/_xll.ciqfunctions.udf.CIQ($B7,"IQ_LASTSALEPRICE",ZA$2)-1)+(_xll.ciqfunctions.udf.CIQ($B7, "IQ_DPS_1YR_ANN_GROWTH", "IQ_LTM", ZA$4)/100)),"")</f>
        <v/>
      </c>
      <c r="ZB7" s="72" t="str">
        <f>IFERROR(IF(OR($B7="",ZB$3=""),"",(_xll.ciqfunctions.udf.CIQ($B7,"IQ_LASTSALEPRICE",ZB$4)/_xll.ciqfunctions.udf.CIQ($B7,"IQ_LASTSALEPRICE",ZB$2)-1)+(_xll.ciqfunctions.udf.CIQ($B7, "IQ_DPS_1YR_ANN_GROWTH", "IQ_LTM", ZB$4)/100)),"")</f>
        <v/>
      </c>
      <c r="ZC7" s="72" t="str">
        <f>IFERROR(IF(OR($B7="",ZC$3=""),"",(_xll.ciqfunctions.udf.CIQ($B7,"IQ_LASTSALEPRICE",ZC$4)/_xll.ciqfunctions.udf.CIQ($B7,"IQ_LASTSALEPRICE",ZC$2)-1)+(_xll.ciqfunctions.udf.CIQ($B7, "IQ_DPS_1YR_ANN_GROWTH", "IQ_LTM", ZC$4)/100)),"")</f>
        <v/>
      </c>
      <c r="ZD7" s="72" t="str">
        <f>IFERROR(IF(OR($B7="",ZD$3=""),"",(_xll.ciqfunctions.udf.CIQ($B7,"IQ_LASTSALEPRICE",ZD$4)/_xll.ciqfunctions.udf.CIQ($B7,"IQ_LASTSALEPRICE",ZD$2)-1)+(_xll.ciqfunctions.udf.CIQ($B7, "IQ_DPS_1YR_ANN_GROWTH", "IQ_LTM", ZD$4)/100)),"")</f>
        <v/>
      </c>
      <c r="ZE7" s="72" t="str">
        <f>IFERROR(IF(OR($B7="",ZE$3=""),"",(_xll.ciqfunctions.udf.CIQ($B7,"IQ_LASTSALEPRICE",ZE$4)/_xll.ciqfunctions.udf.CIQ($B7,"IQ_LASTSALEPRICE",ZE$2)-1)+(_xll.ciqfunctions.udf.CIQ($B7, "IQ_DPS_1YR_ANN_GROWTH", "IQ_LTM", ZE$4)/100)),"")</f>
        <v/>
      </c>
      <c r="ZF7" s="72" t="str">
        <f>IFERROR(IF(OR($B7="",ZF$3=""),"",(_xll.ciqfunctions.udf.CIQ($B7,"IQ_LASTSALEPRICE",ZF$4)/_xll.ciqfunctions.udf.CIQ($B7,"IQ_LASTSALEPRICE",ZF$2)-1)+(_xll.ciqfunctions.udf.CIQ($B7, "IQ_DPS_1YR_ANN_GROWTH", "IQ_LTM", ZF$4)/100)),"")</f>
        <v/>
      </c>
      <c r="ZG7" s="72" t="str">
        <f>IFERROR(IF(OR($B7="",ZG$3=""),"",(_xll.ciqfunctions.udf.CIQ($B7,"IQ_LASTSALEPRICE",ZG$4)/_xll.ciqfunctions.udf.CIQ($B7,"IQ_LASTSALEPRICE",ZG$2)-1)+(_xll.ciqfunctions.udf.CIQ($B7, "IQ_DPS_1YR_ANN_GROWTH", "IQ_LTM", ZG$4)/100)),"")</f>
        <v/>
      </c>
      <c r="ZH7" s="72" t="str">
        <f>IFERROR(IF(OR($B7="",ZH$3=""),"",(_xll.ciqfunctions.udf.CIQ($B7,"IQ_LASTSALEPRICE",ZH$4)/_xll.ciqfunctions.udf.CIQ($B7,"IQ_LASTSALEPRICE",ZH$2)-1)+(_xll.ciqfunctions.udf.CIQ($B7, "IQ_DPS_1YR_ANN_GROWTH", "IQ_LTM", ZH$4)/100)),"")</f>
        <v/>
      </c>
      <c r="ZI7" s="72" t="str">
        <f>IFERROR(IF(OR($B7="",ZI$3=""),"",(_xll.ciqfunctions.udf.CIQ($B7,"IQ_LASTSALEPRICE",ZI$4)/_xll.ciqfunctions.udf.CIQ($B7,"IQ_LASTSALEPRICE",ZI$2)-1)+(_xll.ciqfunctions.udf.CIQ($B7, "IQ_DPS_1YR_ANN_GROWTH", "IQ_LTM", ZI$4)/100)),"")</f>
        <v/>
      </c>
      <c r="ZJ7" s="72" t="str">
        <f>IFERROR(IF(OR($B7="",ZJ$3=""),"",(_xll.ciqfunctions.udf.CIQ($B7,"IQ_LASTSALEPRICE",ZJ$4)/_xll.ciqfunctions.udf.CIQ($B7,"IQ_LASTSALEPRICE",ZJ$2)-1)+(_xll.ciqfunctions.udf.CIQ($B7, "IQ_DPS_1YR_ANN_GROWTH", "IQ_LTM", ZJ$4)/100)),"")</f>
        <v/>
      </c>
      <c r="ZK7" s="72" t="str">
        <f>IFERROR(IF(OR($B7="",ZK$3=""),"",(_xll.ciqfunctions.udf.CIQ($B7,"IQ_LASTSALEPRICE",ZK$4)/_xll.ciqfunctions.udf.CIQ($B7,"IQ_LASTSALEPRICE",ZK$2)-1)+(_xll.ciqfunctions.udf.CIQ($B7, "IQ_DPS_1YR_ANN_GROWTH", "IQ_LTM", ZK$4)/100)),"")</f>
        <v/>
      </c>
      <c r="ZL7" s="72" t="str">
        <f>IFERROR(IF(OR($B7="",ZL$3=""),"",(_xll.ciqfunctions.udf.CIQ($B7,"IQ_LASTSALEPRICE",ZL$4)/_xll.ciqfunctions.udf.CIQ($B7,"IQ_LASTSALEPRICE",ZL$2)-1)+(_xll.ciqfunctions.udf.CIQ($B7, "IQ_DPS_1YR_ANN_GROWTH", "IQ_LTM", ZL$4)/100)),"")</f>
        <v/>
      </c>
      <c r="ZM7" s="72" t="str">
        <f>IFERROR(IF(OR($B7="",ZM$3=""),"",(_xll.ciqfunctions.udf.CIQ($B7,"IQ_LASTSALEPRICE",ZM$4)/_xll.ciqfunctions.udf.CIQ($B7,"IQ_LASTSALEPRICE",ZM$2)-1)+(_xll.ciqfunctions.udf.CIQ($B7, "IQ_DPS_1YR_ANN_GROWTH", "IQ_LTM", ZM$4)/100)),"")</f>
        <v/>
      </c>
      <c r="ZN7" s="72" t="str">
        <f>IFERROR(IF(OR($B7="",ZN$3=""),"",(_xll.ciqfunctions.udf.CIQ($B7,"IQ_LASTSALEPRICE",ZN$4)/_xll.ciqfunctions.udf.CIQ($B7,"IQ_LASTSALEPRICE",ZN$2)-1)+(_xll.ciqfunctions.udf.CIQ($B7, "IQ_DPS_1YR_ANN_GROWTH", "IQ_LTM", ZN$4)/100)),"")</f>
        <v/>
      </c>
      <c r="ZO7" s="72" t="str">
        <f>IFERROR(IF(OR($B7="",ZO$3=""),"",(_xll.ciqfunctions.udf.CIQ($B7,"IQ_LASTSALEPRICE",ZO$4)/_xll.ciqfunctions.udf.CIQ($B7,"IQ_LASTSALEPRICE",ZO$2)-1)+(_xll.ciqfunctions.udf.CIQ($B7, "IQ_DPS_1YR_ANN_GROWTH", "IQ_LTM", ZO$4)/100)),"")</f>
        <v/>
      </c>
      <c r="ZP7" s="72" t="str">
        <f>IFERROR(IF(OR($B7="",ZP$3=""),"",(_xll.ciqfunctions.udf.CIQ($B7,"IQ_LASTSALEPRICE",ZP$4)/_xll.ciqfunctions.udf.CIQ($B7,"IQ_LASTSALEPRICE",ZP$2)-1)+(_xll.ciqfunctions.udf.CIQ($B7, "IQ_DPS_1YR_ANN_GROWTH", "IQ_LTM", ZP$4)/100)),"")</f>
        <v/>
      </c>
      <c r="ZQ7" s="72">
        <f>IFERROR(IF(OR($B7="",ZQ$3=""),"",_xll.ciqfunctions.udf.CIQ($B7,"IQ_NI",$O$3,ZQ$3, $N$3, , $J$3, $K$3)*2/(_xll.ciqfunctions.udf.CIQ($B7,"IQ_TOTAL_CAP",ZQ$3,$I$3, $N$3, , $J$3, $K$3)+_xll.ciqfunctions.udf.CIQ($B7,"IQ_TOTAL_CAP","IQ_" &amp; LEFT(ZQ$3,2) &amp; "-1", ZQ$3, $N$3, , $J$3, $K$3))),"")</f>
        <v>8.9624519039405603E-2</v>
      </c>
      <c r="ZR7" s="72" t="str">
        <f>IFERROR(IF(OR($B7="",ZR$3=""),"",_xll.ciqfunctions.udf.CIQ($B7,"IQ_NI",$O$3,ZR$3, $N$3, , $J$3, $K$3)*2/(_xll.ciqfunctions.udf.CIQ($B7,"IQ_TOTAL_CAP",ZR$3,$I$3, $N$3, , $J$3, $K$3)+_xll.ciqfunctions.udf.CIQ($B7,"IQ_TOTAL_CAP","IQ_" &amp; LEFT(ZR$3,2) &amp; "-1", ZR$3, $N$3, , $J$3, $K$3))),"")</f>
        <v/>
      </c>
      <c r="ZS7" s="72" t="str">
        <f>IFERROR(IF(OR($B7="",ZS$3=""),"",_xll.ciqfunctions.udf.CIQ($B7,"IQ_NI",$O$3,ZS$3, $N$3, , $J$3, $K$3)*2/(_xll.ciqfunctions.udf.CIQ($B7,"IQ_TOTAL_CAP",ZS$3,$I$3, $N$3, , $J$3, $K$3)+_xll.ciqfunctions.udf.CIQ($B7,"IQ_TOTAL_CAP","IQ_" &amp; LEFT(ZS$3,2) &amp; "-1", ZS$3, $N$3, , $J$3, $K$3))),"")</f>
        <v/>
      </c>
      <c r="ZT7" s="72" t="str">
        <f>IFERROR(IF(OR($B7="",ZT$3=""),"",_xll.ciqfunctions.udf.CIQ($B7,"IQ_NI",$O$3,ZT$3, $N$3, , $J$3, $K$3)*2/(_xll.ciqfunctions.udf.CIQ($B7,"IQ_TOTAL_CAP",ZT$3,$I$3, $N$3, , $J$3, $K$3)+_xll.ciqfunctions.udf.CIQ($B7,"IQ_TOTAL_CAP","IQ_" &amp; LEFT(ZT$3,2) &amp; "-1", ZT$3, $N$3, , $J$3, $K$3))),"")</f>
        <v/>
      </c>
      <c r="ZU7" s="72" t="str">
        <f>IFERROR(IF(OR($B7="",ZU$3=""),"",_xll.ciqfunctions.udf.CIQ($B7,"IQ_NI",$O$3,ZU$3, $N$3, , $J$3, $K$3)*2/(_xll.ciqfunctions.udf.CIQ($B7,"IQ_TOTAL_CAP",ZU$3,$I$3, $N$3, , $J$3, $K$3)+_xll.ciqfunctions.udf.CIQ($B7,"IQ_TOTAL_CAP","IQ_" &amp; LEFT(ZU$3,2) &amp; "-1", ZU$3, $N$3, , $J$3, $K$3))),"")</f>
        <v/>
      </c>
      <c r="ZV7" s="72" t="str">
        <f>IFERROR(IF(OR($B7="",ZV$3=""),"",_xll.ciqfunctions.udf.CIQ($B7,"IQ_NI",$O$3,ZV$3, $N$3, , $J$3, $K$3)*2/(_xll.ciqfunctions.udf.CIQ($B7,"IQ_TOTAL_CAP",ZV$3,$I$3, $N$3, , $J$3, $K$3)+_xll.ciqfunctions.udf.CIQ($B7,"IQ_TOTAL_CAP","IQ_" &amp; LEFT(ZV$3,2) &amp; "-1", ZV$3, $N$3, , $J$3, $K$3))),"")</f>
        <v/>
      </c>
      <c r="ZW7" s="72" t="str">
        <f>IFERROR(IF(OR($B7="",ZW$3=""),"",_xll.ciqfunctions.udf.CIQ($B7,"IQ_NI",$O$3,ZW$3, $N$3, , $J$3, $K$3)*2/(_xll.ciqfunctions.udf.CIQ($B7,"IQ_TOTAL_CAP",ZW$3,$I$3, $N$3, , $J$3, $K$3)+_xll.ciqfunctions.udf.CIQ($B7,"IQ_TOTAL_CAP","IQ_" &amp; LEFT(ZW$3,2) &amp; "-1", ZW$3, $N$3, , $J$3, $K$3))),"")</f>
        <v/>
      </c>
      <c r="ZX7" s="72" t="str">
        <f>IFERROR(IF(OR($B7="",ZX$3=""),"",_xll.ciqfunctions.udf.CIQ($B7,"IQ_NI",$O$3,ZX$3, $N$3, , $J$3, $K$3)*2/(_xll.ciqfunctions.udf.CIQ($B7,"IQ_TOTAL_CAP",ZX$3,$I$3, $N$3, , $J$3, $K$3)+_xll.ciqfunctions.udf.CIQ($B7,"IQ_TOTAL_CAP","IQ_" &amp; LEFT(ZX$3,2) &amp; "-1", ZX$3, $N$3, , $J$3, $K$3))),"")</f>
        <v/>
      </c>
      <c r="ZY7" s="72" t="str">
        <f>IFERROR(IF(OR($B7="",ZY$3=""),"",_xll.ciqfunctions.udf.CIQ($B7,"IQ_NI",$O$3,ZY$3, $N$3, , $J$3, $K$3)*2/(_xll.ciqfunctions.udf.CIQ($B7,"IQ_TOTAL_CAP",ZY$3,$I$3, $N$3, , $J$3, $K$3)+_xll.ciqfunctions.udf.CIQ($B7,"IQ_TOTAL_CAP","IQ_" &amp; LEFT(ZY$3,2) &amp; "-1", ZY$3, $N$3, , $J$3, $K$3))),"")</f>
        <v/>
      </c>
      <c r="ZZ7" s="72" t="str">
        <f>IFERROR(IF(OR($B7="",ZZ$3=""),"",_xll.ciqfunctions.udf.CIQ($B7,"IQ_NI",$O$3,ZZ$3, $N$3, , $J$3, $K$3)*2/(_xll.ciqfunctions.udf.CIQ($B7,"IQ_TOTAL_CAP",ZZ$3,$I$3, $N$3, , $J$3, $K$3)+_xll.ciqfunctions.udf.CIQ($B7,"IQ_TOTAL_CAP","IQ_" &amp; LEFT(ZZ$3,2) &amp; "-1", ZZ$3, $N$3, , $J$3, $K$3))),"")</f>
        <v/>
      </c>
      <c r="AAA7" s="72" t="str">
        <f>IFERROR(IF(OR($B7="",AAA$3=""),"",_xll.ciqfunctions.udf.CIQ($B7,"IQ_NI",$O$3,AAA$3, $N$3, , $J$3, $K$3)*2/(_xll.ciqfunctions.udf.CIQ($B7,"IQ_TOTAL_CAP",AAA$3,$I$3, $N$3, , $J$3, $K$3)+_xll.ciqfunctions.udf.CIQ($B7,"IQ_TOTAL_CAP","IQ_" &amp; LEFT(AAA$3,2) &amp; "-1", AAA$3, $N$3, , $J$3, $K$3))),"")</f>
        <v/>
      </c>
      <c r="AAB7" s="72" t="str">
        <f>IFERROR(IF(OR($B7="",AAB$3=""),"",_xll.ciqfunctions.udf.CIQ($B7,"IQ_NI",$O$3,AAB$3, $N$3, , $J$3, $K$3)*2/(_xll.ciqfunctions.udf.CIQ($B7,"IQ_TOTAL_CAP",AAB$3,$I$3, $N$3, , $J$3, $K$3)+_xll.ciqfunctions.udf.CIQ($B7,"IQ_TOTAL_CAP","IQ_" &amp; LEFT(AAB$3,2) &amp; "-1", AAB$3, $N$3, , $J$3, $K$3))),"")</f>
        <v/>
      </c>
      <c r="AAC7" s="72" t="str">
        <f>IFERROR(IF(OR($B7="",AAC$3=""),"",_xll.ciqfunctions.udf.CIQ($B7,"IQ_NI",$O$3,AAC$3, $N$3, , $J$3, $K$3)*2/(_xll.ciqfunctions.udf.CIQ($B7,"IQ_TOTAL_CAP",AAC$3,$I$3, $N$3, , $J$3, $K$3)+_xll.ciqfunctions.udf.CIQ($B7,"IQ_TOTAL_CAP","IQ_" &amp; LEFT(AAC$3,2) &amp; "-1", AAC$3, $N$3, , $J$3, $K$3))),"")</f>
        <v/>
      </c>
      <c r="AAD7" s="72" t="str">
        <f>IFERROR(IF(OR($B7="",AAD$3=""),"",_xll.ciqfunctions.udf.CIQ($B7,"IQ_NI",$O$3,AAD$3, $N$3, , $J$3, $K$3)*2/(_xll.ciqfunctions.udf.CIQ($B7,"IQ_TOTAL_CAP",AAD$3,$I$3, $N$3, , $J$3, $K$3)+_xll.ciqfunctions.udf.CIQ($B7,"IQ_TOTAL_CAP","IQ_" &amp; LEFT(AAD$3,2) &amp; "-1", AAD$3, $N$3, , $J$3, $K$3))),"")</f>
        <v/>
      </c>
      <c r="AAE7" s="72" t="str">
        <f>IFERROR(IF(OR($B7="",AAE$3=""),"",_xll.ciqfunctions.udf.CIQ($B7,"IQ_NI",$O$3,AAE$3, $N$3, , $J$3, $K$3)*2/(_xll.ciqfunctions.udf.CIQ($B7,"IQ_TOTAL_CAP",AAE$3,$I$3, $N$3, , $J$3, $K$3)+_xll.ciqfunctions.udf.CIQ($B7,"IQ_TOTAL_CAP","IQ_" &amp; LEFT(AAE$3,2) &amp; "-1", AAE$3, $N$3, , $J$3, $K$3))),"")</f>
        <v/>
      </c>
      <c r="AAF7" s="72" t="str">
        <f>IFERROR(IF(OR($B7="",AAF$3=""),"",_xll.ciqfunctions.udf.CIQ($B7,"IQ_NI",$O$3,AAF$3, $N$3, , $J$3, $K$3)*2/(_xll.ciqfunctions.udf.CIQ($B7,"IQ_TOTAL_CAP",AAF$3,$I$3, $N$3, , $J$3, $K$3)+_xll.ciqfunctions.udf.CIQ($B7,"IQ_TOTAL_CAP","IQ_" &amp; LEFT(AAF$3,2) &amp; "-1", AAF$3, $N$3, , $J$3, $K$3))),"")</f>
        <v/>
      </c>
      <c r="AAG7" s="72" t="str">
        <f>IFERROR(IF(OR($B7="",AAG$3=""),"",_xll.ciqfunctions.udf.CIQ($B7,"IQ_NI",$O$3,AAG$3, $N$3, , $J$3, $K$3)*2/(_xll.ciqfunctions.udf.CIQ($B7,"IQ_TOTAL_CAP",AAG$3,$I$3, $N$3, , $J$3, $K$3)+_xll.ciqfunctions.udf.CIQ($B7,"IQ_TOTAL_CAP","IQ_" &amp; LEFT(AAG$3,2) &amp; "-1", AAG$3, $N$3, , $J$3, $K$3))),"")</f>
        <v/>
      </c>
      <c r="AAH7" s="72" t="str">
        <f>IFERROR(IF(OR($B7="",AAH$3=""),"",_xll.ciqfunctions.udf.CIQ($B7,"IQ_NI",$O$3,AAH$3, $N$3, , $J$3, $K$3)*2/(_xll.ciqfunctions.udf.CIQ($B7,"IQ_TOTAL_CAP",AAH$3,$I$3, $N$3, , $J$3, $K$3)+_xll.ciqfunctions.udf.CIQ($B7,"IQ_TOTAL_CAP","IQ_" &amp; LEFT(AAH$3,2) &amp; "-1", AAH$3, $N$3, , $J$3, $K$3))),"")</f>
        <v/>
      </c>
      <c r="AAI7" s="72" t="str">
        <f>IFERROR(IF(OR($B7="",AAI$3=""),"",_xll.ciqfunctions.udf.CIQ($B7,"IQ_NI",$O$3,AAI$3, $N$3, , $J$3, $K$3)*2/(_xll.ciqfunctions.udf.CIQ($B7,"IQ_TOTAL_CAP",AAI$3,$I$3, $N$3, , $J$3, $K$3)+_xll.ciqfunctions.udf.CIQ($B7,"IQ_TOTAL_CAP","IQ_" &amp; LEFT(AAI$3,2) &amp; "-1", AAI$3, $N$3, , $J$3, $K$3))),"")</f>
        <v/>
      </c>
      <c r="AAJ7" s="72" t="str">
        <f>IFERROR(IF(OR($B7="",AAJ$3=""),"",_xll.ciqfunctions.udf.CIQ($B7,"IQ_NI",$O$3,AAJ$3, $N$3, , $J$3, $K$3)*2/(_xll.ciqfunctions.udf.CIQ($B7,"IQ_TOTAL_CAP",AAJ$3,$I$3, $N$3, , $J$3, $K$3)+_xll.ciqfunctions.udf.CIQ($B7,"IQ_TOTAL_CAP","IQ_" &amp; LEFT(AAJ$3,2) &amp; "-1", AAJ$3, $N$3, , $J$3, $K$3))),"")</f>
        <v/>
      </c>
      <c r="AAK7" s="628">
        <f>IFERROR(IF(OR($B7="",AAK$4=""),"",_xll.ciqfunctions.udf.CIQ($B7,"IQ_TEV",AAK$4)/_xll.ciqfunctions.udf.CIQ($B7,"IQ_TOTAL_CAP",ZQ$3,$I$3, $N$3, , $J$3, $K$3)),"")</f>
        <v>3.0084856800989961</v>
      </c>
      <c r="AAL7" s="628" t="str">
        <f>IFERROR(IF(OR($B7="",AAL$4=""),"",_xll.ciqfunctions.udf.CIQ($B7,"IQ_TEV",AAL$4)/_xll.ciqfunctions.udf.CIQ($B7,"IQ_TOTAL_CAP",ZR$3,$I$3, $N$3, , $J$3, $K$3)),"")</f>
        <v/>
      </c>
      <c r="AAM7" s="628" t="str">
        <f>IFERROR(IF(OR($B7="",AAM$4=""),"",_xll.ciqfunctions.udf.CIQ($B7,"IQ_TEV",AAM$4)/_xll.ciqfunctions.udf.CIQ($B7,"IQ_TOTAL_CAP",ZS$3,$I$3, $N$3, , $J$3, $K$3)),"")</f>
        <v/>
      </c>
      <c r="AAN7" s="628" t="str">
        <f>IFERROR(IF(OR($B7="",AAN$4=""),"",_xll.ciqfunctions.udf.CIQ($B7,"IQ_TEV",AAN$4)/_xll.ciqfunctions.udf.CIQ($B7,"IQ_TOTAL_CAP",ZT$3,$I$3, $N$3, , $J$3, $K$3)),"")</f>
        <v/>
      </c>
      <c r="AAO7" s="628" t="str">
        <f>IFERROR(IF(OR($B7="",AAO$4=""),"",_xll.ciqfunctions.udf.CIQ($B7,"IQ_TEV",AAO$4)/_xll.ciqfunctions.udf.CIQ($B7,"IQ_TOTAL_CAP",ZU$3,$I$3, $N$3, , $J$3, $K$3)),"")</f>
        <v/>
      </c>
      <c r="AAP7" s="628" t="str">
        <f>IFERROR(IF(OR($B7="",AAP$4=""),"",_xll.ciqfunctions.udf.CIQ($B7,"IQ_TEV",AAP$4)/_xll.ciqfunctions.udf.CIQ($B7,"IQ_TOTAL_CAP",ZV$3,$I$3, $N$3, , $J$3, $K$3)),"")</f>
        <v/>
      </c>
      <c r="AAQ7" s="628" t="str">
        <f>IFERROR(IF(OR($B7="",AAQ$4=""),"",_xll.ciqfunctions.udf.CIQ($B7,"IQ_TEV",AAQ$4)/_xll.ciqfunctions.udf.CIQ($B7,"IQ_TOTAL_CAP",ZW$3,$I$3, $N$3, , $J$3, $K$3)),"")</f>
        <v/>
      </c>
      <c r="AAR7" s="628" t="str">
        <f>IFERROR(IF(OR($B7="",AAR$4=""),"",_xll.ciqfunctions.udf.CIQ($B7,"IQ_TEV",AAR$4)/_xll.ciqfunctions.udf.CIQ($B7,"IQ_TOTAL_CAP",ZX$3,$I$3, $N$3, , $J$3, $K$3)),"")</f>
        <v/>
      </c>
      <c r="AAS7" s="628" t="str">
        <f>IFERROR(IF(OR($B7="",AAS$4=""),"",_xll.ciqfunctions.udf.CIQ($B7,"IQ_TEV",AAS$4)/_xll.ciqfunctions.udf.CIQ($B7,"IQ_TOTAL_CAP",ZY$3,$I$3, $N$3, , $J$3, $K$3)),"")</f>
        <v/>
      </c>
      <c r="AAT7" s="628" t="str">
        <f>IFERROR(IF(OR($B7="",AAT$4=""),"",_xll.ciqfunctions.udf.CIQ($B7,"IQ_TEV",AAT$4)/_xll.ciqfunctions.udf.CIQ($B7,"IQ_TOTAL_CAP",ZZ$3,$I$3, $N$3, , $J$3, $K$3)),"")</f>
        <v/>
      </c>
      <c r="AAU7" s="628" t="str">
        <f>IFERROR(IF(OR($B7="",AAU$4=""),"",_xll.ciqfunctions.udf.CIQ($B7,"IQ_TEV",AAU$4)/_xll.ciqfunctions.udf.CIQ($B7,"IQ_TOTAL_CAP",AAA$3,$I$3, $N$3, , $J$3, $K$3)),"")</f>
        <v/>
      </c>
      <c r="AAV7" s="628" t="str">
        <f>IFERROR(IF(OR($B7="",AAV$4=""),"",_xll.ciqfunctions.udf.CIQ($B7,"IQ_TEV",AAV$4)/_xll.ciqfunctions.udf.CIQ($B7,"IQ_TOTAL_CAP",AAB$3,$I$3, $N$3, , $J$3, $K$3)),"")</f>
        <v/>
      </c>
      <c r="AAW7" s="628" t="str">
        <f>IFERROR(IF(OR($B7="",AAW$4=""),"",_xll.ciqfunctions.udf.CIQ($B7,"IQ_TEV",AAW$4)/_xll.ciqfunctions.udf.CIQ($B7,"IQ_TOTAL_CAP",AAC$3,$I$3, $N$3, , $J$3, $K$3)),"")</f>
        <v/>
      </c>
      <c r="AAX7" s="628" t="str">
        <f>IFERROR(IF(OR($B7="",AAX$4=""),"",_xll.ciqfunctions.udf.CIQ($B7,"IQ_TEV",AAX$4)/_xll.ciqfunctions.udf.CIQ($B7,"IQ_TOTAL_CAP",AAD$3,$I$3, $N$3, , $J$3, $K$3)),"")</f>
        <v/>
      </c>
      <c r="AAY7" s="628" t="str">
        <f>IFERROR(IF(OR($B7="",AAY$4=""),"",_xll.ciqfunctions.udf.CIQ($B7,"IQ_TEV",AAY$4)/_xll.ciqfunctions.udf.CIQ($B7,"IQ_TOTAL_CAP",AAE$3,$I$3, $N$3, , $J$3, $K$3)),"")</f>
        <v/>
      </c>
      <c r="AAZ7" s="628" t="str">
        <f>IFERROR(IF(OR($B7="",AAZ$4=""),"",_xll.ciqfunctions.udf.CIQ($B7,"IQ_TEV",AAZ$4)/_xll.ciqfunctions.udf.CIQ($B7,"IQ_TOTAL_CAP",AAF$3,$I$3, $N$3, , $J$3, $K$3)),"")</f>
        <v/>
      </c>
      <c r="ABA7" s="628" t="str">
        <f>IFERROR(IF(OR($B7="",ABA$4=""),"",_xll.ciqfunctions.udf.CIQ($B7,"IQ_TEV",ABA$4)/_xll.ciqfunctions.udf.CIQ($B7,"IQ_TOTAL_CAP",AAG$3,$I$3, $N$3, , $J$3, $K$3)),"")</f>
        <v/>
      </c>
      <c r="ABB7" s="628" t="str">
        <f>IFERROR(IF(OR($B7="",ABB$4=""),"",_xll.ciqfunctions.udf.CIQ($B7,"IQ_TEV",ABB$4)/_xll.ciqfunctions.udf.CIQ($B7,"IQ_TOTAL_CAP",AAH$3,$I$3, $N$3, , $J$3, $K$3)),"")</f>
        <v/>
      </c>
      <c r="ABC7" s="628" t="str">
        <f>IFERROR(IF(OR($B7="",ABC$4=""),"",_xll.ciqfunctions.udf.CIQ($B7,"IQ_TEV",ABC$4)/_xll.ciqfunctions.udf.CIQ($B7,"IQ_TOTAL_CAP",AAI$3,$I$3, $N$3, , $J$3, $K$3)),"")</f>
        <v/>
      </c>
      <c r="ABD7" s="628" t="str">
        <f>IFERROR(IF(OR($B7="",ABD$4=""),"",_xll.ciqfunctions.udf.CIQ($B7,"IQ_TEV",ABD$4)/_xll.ciqfunctions.udf.CIQ($B7,"IQ_TOTAL_CAP",AAJ$3,$I$3, $N$3, , $J$3, $K$3)),"")</f>
        <v/>
      </c>
      <c r="ABE7" s="72">
        <f t="shared" ref="ABE7:ABE17" si="363">IFERROR(IF(OR($B7="",ABE$3=""),"",OW7/ZQ7),"")</f>
        <v>0.95004600859667476</v>
      </c>
      <c r="ABF7" s="72" t="str">
        <f t="shared" ref="ABF7:ABF17" si="364">IFERROR(IF(OR($B7="",ABF$3=""),"",OX7/ZR7),"")</f>
        <v/>
      </c>
      <c r="ABG7" s="72" t="str">
        <f t="shared" ref="ABG7:ABG17" si="365">IFERROR(IF(OR($B7="",ABG$3=""),"",OY7/ZS7),"")</f>
        <v/>
      </c>
      <c r="ABH7" s="72" t="str">
        <f t="shared" ref="ABH7:ABH17" si="366">IFERROR(IF(OR($B7="",ABH$3=""),"",OZ7/ZT7),"")</f>
        <v/>
      </c>
      <c r="ABI7" s="72" t="str">
        <f t="shared" ref="ABI7:ABI17" si="367">IFERROR(IF(OR($B7="",ABI$3=""),"",PA7/ZU7),"")</f>
        <v/>
      </c>
      <c r="ABJ7" s="72" t="str">
        <f t="shared" ref="ABJ7:ABJ17" si="368">IFERROR(IF(OR($B7="",ABJ$3=""),"",PB7/ZV7),"")</f>
        <v/>
      </c>
      <c r="ABK7" s="72" t="str">
        <f t="shared" ref="ABK7:ABK17" si="369">IFERROR(IF(OR($B7="",ABK$3=""),"",PC7/ZW7),"")</f>
        <v/>
      </c>
      <c r="ABL7" s="72" t="str">
        <f t="shared" ref="ABL7:ABL17" si="370">IFERROR(IF(OR($B7="",ABL$3=""),"",PD7/ZX7),"")</f>
        <v/>
      </c>
      <c r="ABM7" s="72" t="str">
        <f t="shared" ref="ABM7:ABM17" si="371">IFERROR(IF(OR($B7="",ABM$3=""),"",PE7/ZY7),"")</f>
        <v/>
      </c>
      <c r="ABN7" s="72" t="str">
        <f t="shared" ref="ABN7:ABN17" si="372">IFERROR(IF(OR($B7="",ABN$3=""),"",PF7/ZZ7),"")</f>
        <v/>
      </c>
      <c r="ABO7" s="72" t="str">
        <f t="shared" ref="ABO7:ABO17" si="373">IFERROR(IF(OR($B7="",ABO$3=""),"",PG7/AAA7),"")</f>
        <v/>
      </c>
      <c r="ABP7" s="72" t="str">
        <f t="shared" ref="ABP7:ABP17" si="374">IFERROR(IF(OR($B7="",ABP$3=""),"",PH7/AAB7),"")</f>
        <v/>
      </c>
      <c r="ABQ7" s="72" t="str">
        <f t="shared" ref="ABQ7:ABQ17" si="375">IFERROR(IF(OR($B7="",ABQ$3=""),"",PI7/AAC7),"")</f>
        <v/>
      </c>
      <c r="ABR7" s="72" t="str">
        <f t="shared" ref="ABR7:ABR17" si="376">IFERROR(IF(OR($B7="",ABR$3=""),"",PJ7/AAD7),"")</f>
        <v/>
      </c>
      <c r="ABS7" s="72" t="str">
        <f t="shared" ref="ABS7:ABS17" si="377">IFERROR(IF(OR($B7="",ABS$3=""),"",PK7/AAE7),"")</f>
        <v/>
      </c>
      <c r="ABT7" s="72" t="str">
        <f t="shared" ref="ABT7:ABT17" si="378">IFERROR(IF(OR($B7="",ABT$3=""),"",PL7/AAF7),"")</f>
        <v/>
      </c>
      <c r="ABU7" s="72" t="str">
        <f t="shared" ref="ABU7:ABU17" si="379">IFERROR(IF(OR($B7="",ABU$3=""),"",PM7/AAG7),"")</f>
        <v/>
      </c>
      <c r="ABV7" s="72" t="str">
        <f t="shared" ref="ABV7:ABV17" si="380">IFERROR(IF(OR($B7="",ABV$3=""),"",PN7/AAH7),"")</f>
        <v/>
      </c>
      <c r="ABW7" s="72" t="str">
        <f t="shared" ref="ABW7:ABW17" si="381">IFERROR(IF(OR($B7="",ABW$3=""),"",PO7/AAI7),"")</f>
        <v/>
      </c>
      <c r="ABX7" s="72" t="str">
        <f t="shared" ref="ABX7:ABX17" si="382">IFERROR(IF(OR($B7="",ABX$3=""),"",PP7/AAJ7),"")</f>
        <v/>
      </c>
      <c r="ABY7" s="75">
        <f>IFERROR(IF(OR($B7="",ABY$3=""),"",IF(NOT(ISNUMBER(_xll.ciqfunctions.udf.CIQ($B7, "IQ_FIXED_ASSET_TURNS", ABY$3, $E$3, $N$3, , $J$3, $K$3))),"",_xll.ciqfunctions.udf.CIQ($B7, "IQ_FIXED_ASSET_TURNS", ABY$3, $E$3, $N$3, , $J$3, $K$3))),"")</f>
        <v>5.149</v>
      </c>
      <c r="ABZ7" s="76" t="str">
        <f>IFERROR(IF(OR($B7="",ABZ$3=""),"",IF(NOT(ISNUMBER(_xll.ciqfunctions.udf.CIQ($B7, "IQ_FIXED_ASSET_TURNS", ABZ$3, $E$3, $N$3, , $J$3, $K$3))),"",_xll.ciqfunctions.udf.CIQ($B7, "IQ_FIXED_ASSET_TURNS", ABZ$3, $E$3, $N$3, , $J$3, $K$3))),"")</f>
        <v/>
      </c>
      <c r="ACA7" s="76" t="str">
        <f>IFERROR(IF(OR($B7="",ACA$3=""),"",IF(NOT(ISNUMBER(_xll.ciqfunctions.udf.CIQ($B7, "IQ_FIXED_ASSET_TURNS", ACA$3, $E$3, $N$3, , $J$3, $K$3))),"",_xll.ciqfunctions.udf.CIQ($B7, "IQ_FIXED_ASSET_TURNS", ACA$3, $E$3, $N$3, , $J$3, $K$3))),"")</f>
        <v/>
      </c>
      <c r="ACB7" s="76" t="str">
        <f>IFERROR(IF(OR($B7="",ACB$3=""),"",IF(NOT(ISNUMBER(_xll.ciqfunctions.udf.CIQ($B7, "IQ_FIXED_ASSET_TURNS", ACB$3, $E$3, $N$3, , $J$3, $K$3))),"",_xll.ciqfunctions.udf.CIQ($B7, "IQ_FIXED_ASSET_TURNS", ACB$3, $E$3, $N$3, , $J$3, $K$3))),"")</f>
        <v/>
      </c>
      <c r="ACC7" s="76" t="str">
        <f>IFERROR(IF(OR($B7="",ACC$3=""),"",IF(NOT(ISNUMBER(_xll.ciqfunctions.udf.CIQ($B7, "IQ_FIXED_ASSET_TURNS", ACC$3, $E$3, $N$3, , $J$3, $K$3))),"",_xll.ciqfunctions.udf.CIQ($B7, "IQ_FIXED_ASSET_TURNS", ACC$3, $E$3, $N$3, , $J$3, $K$3))),"")</f>
        <v/>
      </c>
      <c r="ACD7" s="76" t="str">
        <f>IFERROR(IF(OR($B7="",ACD$3=""),"",IF(NOT(ISNUMBER(_xll.ciqfunctions.udf.CIQ($B7, "IQ_FIXED_ASSET_TURNS", ACD$3, $E$3, $N$3, , $J$3, $K$3))),"",_xll.ciqfunctions.udf.CIQ($B7, "IQ_FIXED_ASSET_TURNS", ACD$3, $E$3, $N$3, , $J$3, $K$3))),"")</f>
        <v/>
      </c>
      <c r="ACE7" s="76" t="str">
        <f>IFERROR(IF(OR($B7="",ACE$3=""),"",IF(NOT(ISNUMBER(_xll.ciqfunctions.udf.CIQ($B7, "IQ_FIXED_ASSET_TURNS", ACE$3, $E$3, $N$3, , $J$3, $K$3))),"",_xll.ciqfunctions.udf.CIQ($B7, "IQ_FIXED_ASSET_TURNS", ACE$3, $E$3, $N$3, , $J$3, $K$3))),"")</f>
        <v/>
      </c>
      <c r="ACF7" s="76" t="str">
        <f>IFERROR(IF(OR($B7="",ACF$3=""),"",IF(NOT(ISNUMBER(_xll.ciqfunctions.udf.CIQ($B7, "IQ_FIXED_ASSET_TURNS", ACF$3, $E$3, $N$3, , $J$3, $K$3))),"",_xll.ciqfunctions.udf.CIQ($B7, "IQ_FIXED_ASSET_TURNS", ACF$3, $E$3, $N$3, , $J$3, $K$3))),"")</f>
        <v/>
      </c>
      <c r="ACG7" s="76" t="str">
        <f>IFERROR(IF(OR($B7="",ACG$3=""),"",IF(NOT(ISNUMBER(_xll.ciqfunctions.udf.CIQ($B7, "IQ_FIXED_ASSET_TURNS", ACG$3, $E$3, $N$3, , $J$3, $K$3))),"",_xll.ciqfunctions.udf.CIQ($B7, "IQ_FIXED_ASSET_TURNS", ACG$3, $E$3, $N$3, , $J$3, $K$3))),"")</f>
        <v/>
      </c>
      <c r="ACH7" s="76" t="str">
        <f>IFERROR(IF(OR($B7="",ACH$3=""),"",IF(NOT(ISNUMBER(_xll.ciqfunctions.udf.CIQ($B7, "IQ_FIXED_ASSET_TURNS", ACH$3, $E$3, $N$3, , $J$3, $K$3))),"",_xll.ciqfunctions.udf.CIQ($B7, "IQ_FIXED_ASSET_TURNS", ACH$3, $E$3, $N$3, , $J$3, $K$3))),"")</f>
        <v/>
      </c>
      <c r="ACI7" s="76" t="str">
        <f>IFERROR(IF(OR($B7="",ACI$3=""),"",IF(NOT(ISNUMBER(_xll.ciqfunctions.udf.CIQ($B7, "IQ_FIXED_ASSET_TURNS", ACI$3, $E$3, $N$3, , $J$3, $K$3))),"",_xll.ciqfunctions.udf.CIQ($B7, "IQ_FIXED_ASSET_TURNS", ACI$3, $E$3, $N$3, , $J$3, $K$3))),"")</f>
        <v/>
      </c>
      <c r="ACJ7" s="76" t="str">
        <f>IFERROR(IF(OR($B7="",ACJ$3=""),"",IF(NOT(ISNUMBER(_xll.ciqfunctions.udf.CIQ($B7, "IQ_FIXED_ASSET_TURNS", ACJ$3, $E$3, $N$3, , $J$3, $K$3))),"",_xll.ciqfunctions.udf.CIQ($B7, "IQ_FIXED_ASSET_TURNS", ACJ$3, $E$3, $N$3, , $J$3, $K$3))),"")</f>
        <v/>
      </c>
      <c r="ACK7" s="76" t="str">
        <f>IFERROR(IF(OR($B7="",ACK$3=""),"",IF(NOT(ISNUMBER(_xll.ciqfunctions.udf.CIQ($B7, "IQ_FIXED_ASSET_TURNS", ACK$3, $E$3, $N$3, , $J$3, $K$3))),"",_xll.ciqfunctions.udf.CIQ($B7, "IQ_FIXED_ASSET_TURNS", ACK$3, $E$3, $N$3, , $J$3, $K$3))),"")</f>
        <v/>
      </c>
      <c r="ACL7" s="76" t="str">
        <f>IFERROR(IF(OR($B7="",ACL$3=""),"",IF(NOT(ISNUMBER(_xll.ciqfunctions.udf.CIQ($B7, "IQ_FIXED_ASSET_TURNS", ACL$3, $E$3, $N$3, , $J$3, $K$3))),"",_xll.ciqfunctions.udf.CIQ($B7, "IQ_FIXED_ASSET_TURNS", ACL$3, $E$3, $N$3, , $J$3, $K$3))),"")</f>
        <v/>
      </c>
      <c r="ACM7" s="76" t="str">
        <f>IFERROR(IF(OR($B7="",ACM$3=""),"",IF(NOT(ISNUMBER(_xll.ciqfunctions.udf.CIQ($B7, "IQ_FIXED_ASSET_TURNS", ACM$3, $E$3, $N$3, , $J$3, $K$3))),"",_xll.ciqfunctions.udf.CIQ($B7, "IQ_FIXED_ASSET_TURNS", ACM$3, $E$3, $N$3, , $J$3, $K$3))),"")</f>
        <v/>
      </c>
      <c r="ACN7" s="76" t="str">
        <f>IFERROR(IF(OR($B7="",ACN$3=""),"",IF(NOT(ISNUMBER(_xll.ciqfunctions.udf.CIQ($B7, "IQ_FIXED_ASSET_TURNS", ACN$3, $E$3, $N$3, , $J$3, $K$3))),"",_xll.ciqfunctions.udf.CIQ($B7, "IQ_FIXED_ASSET_TURNS", ACN$3, $E$3, $N$3, , $J$3, $K$3))),"")</f>
        <v/>
      </c>
      <c r="ACO7" s="76" t="str">
        <f>IFERROR(IF(OR($B7="",ACO$3=""),"",IF(NOT(ISNUMBER(_xll.ciqfunctions.udf.CIQ($B7, "IQ_FIXED_ASSET_TURNS", ACO$3, $E$3, $N$3, , $J$3, $K$3))),"",_xll.ciqfunctions.udf.CIQ($B7, "IQ_FIXED_ASSET_TURNS", ACO$3, $E$3, $N$3, , $J$3, $K$3))),"")</f>
        <v/>
      </c>
      <c r="ACP7" s="76" t="str">
        <f>IFERROR(IF(OR($B7="",ACP$3=""),"",IF(NOT(ISNUMBER(_xll.ciqfunctions.udf.CIQ($B7, "IQ_FIXED_ASSET_TURNS", ACP$3, $E$3, $N$3, , $J$3, $K$3))),"",_xll.ciqfunctions.udf.CIQ($B7, "IQ_FIXED_ASSET_TURNS", ACP$3, $E$3, $N$3, , $J$3, $K$3))),"")</f>
        <v/>
      </c>
      <c r="ACQ7" s="76" t="str">
        <f>IFERROR(IF(OR($B7="",ACQ$3=""),"",IF(NOT(ISNUMBER(_xll.ciqfunctions.udf.CIQ($B7, "IQ_FIXED_ASSET_TURNS", ACQ$3, $E$3, $N$3, , $J$3, $K$3))),"",_xll.ciqfunctions.udf.CIQ($B7, "IQ_FIXED_ASSET_TURNS", ACQ$3, $E$3, $N$3, , $J$3, $K$3))),"")</f>
        <v/>
      </c>
      <c r="ACR7" s="77" t="str">
        <f>IFERROR(IF(OR($B7="",ACR$3=""),"",IF(NOT(ISNUMBER(_xll.ciqfunctions.udf.CIQ($B7, "IQ_FIXED_ASSET_TURNS", ACR$3, $E$3, $N$3, , $J$3, $K$3))),"",_xll.ciqfunctions.udf.CIQ($B7, "IQ_FIXED_ASSET_TURNS", ACR$3, $E$3, $N$3, , $J$3, $K$3))),"")</f>
        <v/>
      </c>
    </row>
    <row r="8" spans="1:772" ht="15" customHeight="1" x14ac:dyDescent="0.2">
      <c r="A8" s="267" t="str">
        <f>IF(B8="","",_xll.ciqfunctions.udf.CIQ($B8,"IQ_COMPANY_NAME"))</f>
        <v>Costco Wholesale Corporation</v>
      </c>
      <c r="B8" s="81" t="str">
        <f>IF(Input!B20="","",Input!B20)</f>
        <v>NasdaqGS:COST</v>
      </c>
      <c r="C8" s="81" t="str">
        <f>Input!E20</f>
        <v>Costco</v>
      </c>
      <c r="D8" s="67" t="str">
        <f>IF(B8="","",_xll.ciqfunctions.udf.CIQ($B8,"IQ_PRIMARY_INDUSTRY"))</f>
        <v>Hypermarkets and Super Centers</v>
      </c>
      <c r="E8" s="68">
        <f>IFERROR(IF(B8="","",IF(NOT(ISNUMBER(_xll.ciqfunctions.udf.CIQ($B8,"IQ_LASTSALEPRICE",$E$3))),"",_xll.ciqfunctions.udf.CIQ($B8,"IQ_LASTSALEPRICE",$E$3))),"")</f>
        <v>557.61</v>
      </c>
      <c r="F8" s="82">
        <f>IFERROR(IF(B8="","",IF(NOT(ISNUMBER(_xll.ciqfunctions.udf.CIQ($B8,"IQ_LASTSALEPRICE",$E$4))),"",_xll.ciqfunctions.udf.CIQ($B8,"IQ_LASTSALEPRICE",$E$4))),"")</f>
        <v>346.34</v>
      </c>
      <c r="G8" s="83">
        <f t="shared" ref="G8:G17" si="383">IFERROR(IFERROR((E8-F8)/F8,""),"")</f>
        <v>0.61000750707397366</v>
      </c>
      <c r="H8" s="83">
        <f>IFERROR(IF(B8="","",IF(NOT(ISNUMBER(_xll.ciqfunctions.udf.CIQ($B8,"IQ_TOTAL_REV_1YR_ANN_GROWTH",$O$3, $I$3, $N$3, , $J$3, $K$3))),"",_xll.ciqfunctions.udf.CIQ($B8,"IQ_TOTAL_REV_1YR_ANN_GROWTH",$O$3, $I$3, $N$3, , $J$3, $K$3))/100),"")</f>
        <v>0.176866</v>
      </c>
      <c r="I8" s="83">
        <f>IFERROR(IF(B8="","",IF(NOT(ISNUMBER(_xll.ciqfunctions.udf.CIQ($B8,"IQ_GROSS_MARGIN",$O$3, $I$3, $N$3, , $J$3, $K$3))),"",_xll.ciqfunctions.udf.CIQ($B8,"IQ_GROSS_MARGIN",$O$3, $I$3, $N$3, , $J$3, $K$3))/100),"")</f>
        <v>0.12654400000000002</v>
      </c>
      <c r="J8" s="83">
        <f>IFERROR(IF(B8="","",IF(NOT(ISNUMBER(_xll.ciqfunctions.udf.CIQ($B8,"IQ_EBITDA_MARGIN",$O$3, $I$3, $N$3, , $J$3, $K$3))),"",_xll.ciqfunctions.udf.CIQ($B8,"IQ_EBITDA_MARGIN",$O$3, $I$3, $N$3, , $J$3, $K$3))/100),"")</f>
        <v>4.7117000000000006E-2</v>
      </c>
      <c r="K8" s="83">
        <f>IFERROR(IF(A8="","",IF(NOT(ISNUMBER(_xll.ciqfunctions.udf.CIQ($B8,"IQ_EBIT_MARGIN",$O$3, $I$3, $N$3, , $J$3, $K$3))),"",_xll.ciqfunctions.udf.CIQ($B8,"IQ_EBIT_MARGIN",$O$3, $I$3, $N$3, , $J$3, $K$3))/100),"")</f>
        <v>3.8417E-2</v>
      </c>
      <c r="L8" s="83">
        <f>IFERROR(IF(B8="","",IF(NOT(ISNUMBER(_xll.ciqfunctions.udf.CIQ($B8,"IQ_NI_MARGIN",$O$3, $I$3, $N$3, , $J$3, $K$3))),"",_xll.ciqfunctions.udf.CIQ($B8,"IQ_NI_MARGIN",$O$3, $I$3, $N$3, , $J$3, $K$3))/100),"")</f>
        <v>2.6225000000000002E-2</v>
      </c>
      <c r="M8" s="83">
        <f>IFERROR(IF($B8="","",IF(AND(N$4="Yes",NOT(ISNUMBER(_xll.ciqfunctions.udf.CIQ($B8,"IQ_COGS",$O$3, $I$3, $N$3, , $J$3, $K$3))),NOT(ISNUMBER(_xll.ciqfunctions.udf.CIQ($B8,"IQ_TOTAL_REVENUE",$O$3, $I$3, $N$3, , $J$3, $K$3)))),"",_xll.ciqfunctions.udf.CIQ($B8,"IQ_COGS",$O$3, $I$3, $N$3, , $J$3, $K$3)/_xll.ciqfunctions.udf.CIQ($B8,"IQ_TOTAL_REVENUE",$O$3, $I$3, $N$3, , $J$3, $K$3))),"")</f>
        <v>0.87345577707057875</v>
      </c>
      <c r="N8" s="83">
        <f>IFERROR(IF($B8="","",(IF(NOT(ISNUMBER(_xll.ciqfunctions.udf.CIQ($B8,"IQ_TOTAL_REVENUE",$O$3, $I$3, $N$3, , $J$3, $K$3))),"",_xll.ciqfunctions.udf.CIQ($B8,"IQ_TOTAL_REVENUE",$O$3, $I$3, $N$3, , $J$3, $K$3))-IF(NOT(ISNUMBER(_xll.ciqfunctions.udf.CIQ($B8,"IQ_COGS",$O$3, $I$3, $N$3, , $J$3, $K$3))),"",_xll.ciqfunctions.udf.CIQ($B8,"IQ_COGS",$O$3, $I$3, $N$3, , $J$3, $K$3))-IF(NOT(ISNUMBER(_xll.ciqfunctions.udf.CIQ($B8,"IQ_EBITDA",$O$3, $I$3, $N$3, , $J$3, $K$3))),"",_xll.ciqfunctions.udf.CIQ($B8,"IQ_EBITDA",$O$3, $I$3, $N$3, , $J$3, $K$3)))/IF(NOT(ISNUMBER(_xll.ciqfunctions.udf.CIQ($B8,"IQ_TOTAL_REVENUE",$O$3, $I$3, $N$3, , $J$3, $K$3))),"",_xll.ciqfunctions.udf.CIQ($B8,"IQ_TOTAL_REVENUE",$O$3, $I$3, $N$3, , $J$3, $K$3))),"")</f>
        <v>7.9426693115275018E-2</v>
      </c>
      <c r="O8" s="83">
        <f>IFERROR(IF($B8="","",IF(AND(P$4="Yes",NOT(ISNUMBER(_xll.ciqfunctions.udf.CIQ($B8,"IQ_SGA_MARGIN",$O$3, $I$3, $N$3, , $J$3, $K$3)))),"",_xll.ciqfunctions.udf.CIQ($B8,"IQ_SGA_MARGIN",$O$3, $I$3, $N$3, , $J$3, $K$3)/100)),"")</f>
        <v>8.776500000000001E-2</v>
      </c>
      <c r="P8" s="83">
        <f>IFERROR(IF($B8="","",IF(AND(Q$4="No",OR(NOT(ISNUMBER(_xll.ciqfunctions.udf.CIQ($B8, "IQ_RD_EXP",$O$3, $I$3, $N$3, , $J$3, $K$3))),_xll.ciqfunctions.udf.CIQ($B8, "IQ_RD_EXP",$O$3, $I$3, $N$3, , $J$3, $K$3)&lt;0,NOT(ISNUMBER(_xll.ciqfunctions.udf.CIQ($B8,"IQ_TOTAL_REV",$O$3, $I$3, $N$3, , $J$3, $K$3))))),"",_xll.ciqfunctions.udf.CIQ($B8, "IQ_RD_EXP",$O$3, $I$3, $N$3, , $J$3, $K$3)/_xll.ciqfunctions.udf.CIQ($B8,"IQ_TOTAL_REV",$O$3, $I$3, $N$3, , $J$3, $K$3))),"")</f>
        <v>0</v>
      </c>
      <c r="Q8" s="84">
        <f>IFERROR(IF($B8="","",IF(AND(R$4="No",OR(NOT(ISNUMBER(_xll.ciqfunctions.udf.CIQ($B8,"IQ_AR",$O$3, $I$3, $N$3, , $J$3, $K$3,,,,"USD"))),_xll.ciqfunctions.udf.CIQ($B8,"IQ_AR",$O$3, $I$3, $N$3, , $J$3, $K$3,,,,"USD")&lt;0,NOT(ISNUMBER(_xll.ciqfunctions.udf.CIQ($B8,"IQ_REVENUE",$O$3, $I$3, $N$3, , $J$3, $K$3))))),"",0.5*(_xll.ciqfunctions.udf.CIQ($B8,"IQ_AR",$O$3, $I$3, $N$3, , $J$3, $K$3)+_xll.ciqfunctions.udf.CIQ($B8,"IQ_AR",$O$3&amp;"-4", $I$3, $N$3, , $J$3, $K$3))/_xll.ciqfunctions.udf.CIQ($B8,"IQ_REVENUE",$O$3, $I$3, $N$3, , $J$3, $K$3)*365)),"")</f>
        <v>3.6166806996513161</v>
      </c>
      <c r="R8" s="84">
        <f>IFERROR(IF($B8="","",IF(AND(S$4="No",OR(NOT(ISNUMBER(_xll.ciqfunctions.udf.CIQ($B8,"IQ_INVENTORY",$O$3, $I$3, $N$3, , $J$3, $K$3))),_xll.ciqfunctions.udf.CIQ($B8,"IQ_INVENTORY",$O$3, $I$3, $N$3, , $J$3, $K$3)&lt;0,NOT(ISNUMBER(_xll.ciqfunctions.udf.CIQ($B8,"IQ_COGS",$O$3, $I$3, $N$3, , $J$3, $K$3))),_xll.ciqfunctions.udf.CIQ($B8,"IQ_COGS",$O$3, $I$3, $N$3, , $J$3, $K$3)&lt;0)),"",0.5*(_xll.ciqfunctions.udf.CIQ($B8,"IQ_INVENTORY",$O$3, $I$3, $N$3, , $J$3, $K$3)+_xll.ciqfunctions.udf.CIQ($B8,"IQ_INVENTORY",$O$3&amp;"-4", $I$3, $N$3, , $J$3, $K$3))/_xll.ciqfunctions.udf.CIQ($B8,"IQ_COGS",$O$3, $I$3, $N$3, , $J$3, $K$3)*365)),"")</f>
        <v>30.165371398073162</v>
      </c>
      <c r="S8" s="84">
        <f>IFERROR(IF(B8="","",IF($B8="","",IF(AND(T$4="No",OR(NOT(ISNUMBER(_xll.ciqfunctions.udf.CIQ($B8,"IQ_AP",$O$3, $I$3, $N$3, , $J$3, $K$3))),_xll.ciqfunctions.udf.CIQ($B8,"IQ_AP",$O$3, $I$3, $N$3, , $J$3, $K$3)&lt;0,NOT(ISNUMBER(_xll.ciqfunctions.udf.CIQ($B8,"IQ_COGS",$O$3, $I$3, $N$3, , $J$3, $K$3))),_xll.ciqfunctions.udf.CIQ($B8,"IQ_COGS",$O$3, $I$3, $N$3, , $J$3, $K$3)&lt;0)),"",0.5*(_xll.ciqfunctions.udf.CIQ($B8,"IQ_AP",$O$3, $I$3, $N$3, , $J$3, $K$3)+_xll.ciqfunctions.udf.CIQ($B8,"IQ_AP",$O$3&amp;"-4", $I$3, $N$3, , $J$3, $K$3))/_xll.ciqfunctions.udf.CIQ($B8,"IQ_COGS",$O$3, $I$3, $N$3, , $J$3, $K$3)*365))),"")</f>
        <v>31.28054591895086</v>
      </c>
      <c r="T8" s="84">
        <f t="shared" si="342"/>
        <v>2.5015061787736208</v>
      </c>
      <c r="U8" s="83">
        <f>IFERROR(IF(OR(NOT(ISNUMBER(_xll.ciqfunctions.udf.CIQ($B8,"IQ_NI",$O$3, $I$3, $N$3, , $J$3, $K$3))),NOT(ISNUMBER(_xll.ciqfunctions.udf.CIQ($B8,"IQ_TOTAL_ASSETS",$O$3, $I$3, $N$3, , $J$3, $K$3)))),"",_xll.ciqfunctions.udf.CIQ($B8,"IQ_NI",$O$3, $I$3, $N$3, , $J$3, $K$3)/(0.5*(_xll.ciqfunctions.udf.CIQ($B8,"IQ_TOTAL_ASSETS",$O$3, $I$3, $N$3, , $J$3, $K$3)+_xll.ciqfunctions.udf.CIQ($B8,"IQ_TOTAL_ASSETS",$O$3&amp;"-4", $I$3, $N$3, , $J$3, $K$3)))),"")</f>
        <v>9.344384555408658E-2</v>
      </c>
      <c r="V8" s="83">
        <f>IFERROR(_xll.ciqfunctions.udf.CIQ($B8,"IQ_NI",$O$3, $I$3, $N$3, , $J$3, $K$3)*2/(_xll.ciqfunctions.udf.CIQ($B8,"IQ_TOTAL_ASSETS",$O$3, $I$3, $N$3, , $J$3, $K$3)+_xll.ciqfunctions.udf.CIQ($B8,"IQ_TOTAL_ASSETS",$O$3 &amp; "-4", $I$3, $N$3, , $J$3, $K$3)-_xll.ciqfunctions.udf.CIQ($B8,"IQ_TOTAL_CL",$O$3, $I$3, $N$3, , $J$3, $K$3)-_xll.ciqfunctions.udf.CIQ($B8,"IQ_TOTAL_CL",$O$3 &amp; "-4", $I$3, $N$3, , $J$3, $K$3)),"")</f>
        <v>0.18411341359560507</v>
      </c>
      <c r="W8" s="83">
        <f>IFERROR(IF(OR(NOT(ISNUMBER(_xll.ciqfunctions.udf.CIQ($B8,"IQ_NI",$O$3, $I$3, $N$3, , $J$3, $K$3))),NOT(ISNUMBER(_xll.ciqfunctions.udf.CIQ($B8,"IQ_TOTAL_EQUITY",$O$3, $I$3, $N$3, , $J$3, $K$3)))),"",_xll.ciqfunctions.udf.CIQ($B8,"IQ_NI",$O$3, $I$3, $N$3, , $J$3, $K$3)/(0.5*(_xll.ciqfunctions.udf.CIQ($B8,"IQ_TOTAL_EQUITY",$O$3, $I$3, $N$3, , $J$3, $K$3)+_xll.ciqfunctions.udf.CIQ($B8,"IQ_TOTAL_EQUITY",$O$3&amp;"-4", $I$3, $N$3, , $J$3, $K$3)))),"")</f>
        <v>0.3053870655033929</v>
      </c>
      <c r="X8" s="1026">
        <f>IFERROR(IF($B8="","",IF(NOT(ISNUMBER(_xll.ciqfunctions.udf.CIQ($B8,"IQ_ASSET_TURNS",$O$3, $I$3, $N$3, , $J$3, $K$3))),"",_xll.ciqfunctions.udf.CIQ($B8,"IQ_ASSET_TURNS",$O$3, $I$3, $N$3, , $J$3, $K$3))),"")</f>
        <v>3.5631499999999998</v>
      </c>
      <c r="Y8" s="1026">
        <f>IFERROR(IF($B8="","",IF(NOT(ISNUMBER(_xll.ciqfunctions.udf.CIQ($B8,"IQ_FIXED_ASSET_TURNS",$O$3, $I$3, $N$3, , $J$3, $K$3))),"",_xll.ciqfunctions.udf.CIQ($B8,"IQ_FIXED_ASSET_TURNS",$O$3, $I$3, $N$3, , $J$3, $K$3))),"")</f>
        <v>8.0374300000000005</v>
      </c>
      <c r="Z8" s="83">
        <f>IFERROR(IF(B8="","",IF(OR(NOT(ISNUMBER(_xll.ciqfunctions.udf.CIQ($B8,"IQ_CASH_OPER",$O$3, $I$3, $N$3, , $J$3, $K$3))),NOT(ISNUMBER(_xll.ciqfunctions.udf.CIQ($B8,"IQ_TOTAL_REV",$O$3, $I$3, $N$3, , $J$3, $K$3)))),"",_xll.ciqfunctions.udf.CIQ($B8,"IQ_CASH_OPER",$O$3, $I$3, $N$3, , $J$3, $K$3)/_xll.ciqfunctions.udf.CIQ($B8,"IQ_TOTAL_REV",$O$3, $I$3, $N$3, , $J$3, $K$3))),"")</f>
        <v>4.7245967300767293E-2</v>
      </c>
      <c r="AA8" s="84">
        <f>IFERROR(IF(B8="","",IF(OR(NOT(ISNUMBER(_xll.ciqfunctions.udf.CIQ($B8,"IQ_TOTAL_ASSETS",IQ_LTM, $I$3, $N$3, , $J$3, $K$3))),NOT(ISNUMBER(_xll.ciqfunctions.udf.CIQ($B8,"IQ_TOTAL_COMMON_EQUITY",IQ_LTM, $I$3, $N$3, , $J$3, $K$3)))),"",_xll.ciqfunctions.udf.CIQ($B8,"IQ_TOTAL_ASSETS",IQ_LTM, $I$3, $N$3, , $J$3, $K$3)/_xll.ciqfunctions.udf.CIQ($B8,"IQ_TOTAL_COMMON_EQUITY",IQ_LTM, $I$3, $N$3, , $J$3, $K$3))),"")</f>
        <v>3.2484292924091052</v>
      </c>
      <c r="AB8" s="83">
        <f>IFERROR(IF(B8="","",IF(OR(NOT(ISNUMBER(_xll.ciqfunctions.udf.CIQ($B8,"IQ_EBT",$O$3, $I$3, $N$3, , $J$3, $K$3))),NOT(ISNUMBER(_xll.ciqfunctions.udf.CIQ($B8,"IQ_TOTAL_REV",$O$3, $I$3, $N$3, , $J$3, $K$3)))),"",_xll.ciqfunctions.udf.CIQ($B8,"IQ_EBT",$O$3, $I$3, $N$3, , $J$3, $K$3)/_xll.ciqfunctions.udf.CIQ($B8,"IQ_TOTAL_REV",$O$3, $I$3, $N$3, , $J$3, $K$3))),"")</f>
        <v>3.5382149092137244E-2</v>
      </c>
      <c r="AC8" s="83">
        <f>IFERROR(IF(E8="","",IF(OR(NOT(ISNUMBER(_xll.ciqfunctions.udf.CIQ($B8,"IQ_INC_TAX",$O$3, $I$3, $N$3, , $J$3, $K$3))),NOT(ISNUMBER(_xll.ciqfunctions.udf.CIQ($B8,"IQ_EBT",$O$3, $I$3, $N$3, , $J$3, $K$3))),_xll.ciqfunctions.udf.CIQ($B8,"IQ_INC_TAX",$O$3, $I$3, $N$3, , $J$3, $K$3)&lt;0),"",_xll.ciqfunctions.udf.CIQ($B8,"IQ_INC_TAX",$O$3, $I$3, $N$3, , $J$3, $K$3)/ABS(_xll.ciqfunctions.udf.CIQ($B8,"IQ_EBT",$O$3, $I$3, $N$3, , $J$3, $K$3)))),"")</f>
        <v>0.24818499596665769</v>
      </c>
      <c r="AD8" s="84">
        <f>IFERROR(IF(B8="","",IF(NOT(ISNUMBER(_xll.ciqfunctions.udf.CIQ($B8,"IQ_Z_SCORE",$O$3, $I$3, $N$3, , $J$3, $K$3))),"",_xll.ciqfunctions.udf.CIQ($B8,"IQ_Z_SCORE",$O$3, $I$3, $N$3, , $J$3, $K$3))),"")</f>
        <v>6.7716200000000004</v>
      </c>
      <c r="AE8" s="85">
        <f>IF($A8="","",IF(NOT(ISNUMBER(_xll.ciqfunctions.udf.CIQ($B8, "IQ_BETA_5YR", $E$3))),"",_xll.ciqfunctions.udf.CIQ($B8, "IQ_BETA_5YR", $E$3)))</f>
        <v>0.66174999999999995</v>
      </c>
      <c r="AF8" s="19"/>
      <c r="AG8" s="274">
        <f>IFERROR(IF(OR($B8="",AG$3=""),"",IF(NOT(ISNUMBER(_xll.ciqfunctions.udf.CIQ($B8, "IQ_GROSS_MARGIN", AG$3, $I$3, $N$3, , $J$3, $K$3))),"",_xll.ciqfunctions.udf.CIQ($B8, "IQ_GROSS_MARGIN", AG$3, $I$3, $N$3, , $J$3, $K$3)/100)),"")</f>
        <v>0.12756200000000001</v>
      </c>
      <c r="AH8" s="87" t="str">
        <f>IFERROR(IF(OR($B8="",AH$3=""),"",IF(NOT(ISNUMBER(_xll.ciqfunctions.udf.CIQ($B8, "IQ_GROSS_MARGIN", AH$3, $I$3, $N$3, , $J$3, $K$3))),"",_xll.ciqfunctions.udf.CIQ($B8, "IQ_GROSS_MARGIN", AH$3, $I$3, $N$3, , $J$3, $K$3)/100)),"")</f>
        <v/>
      </c>
      <c r="AI8" s="87" t="str">
        <f>IFERROR(IF(OR($B8="",AI$3=""),"",IF(NOT(ISNUMBER(_xll.ciqfunctions.udf.CIQ($B8, "IQ_GROSS_MARGIN", AI$3, $I$3, $N$3, , $J$3, $K$3))),"",_xll.ciqfunctions.udf.CIQ($B8, "IQ_GROSS_MARGIN", AI$3, $I$3, $N$3, , $J$3, $K$3)/100)),"")</f>
        <v/>
      </c>
      <c r="AJ8" s="87" t="str">
        <f>IFERROR(IF(OR($B8="",AJ$3=""),"",IF(NOT(ISNUMBER(_xll.ciqfunctions.udf.CIQ($B8, "IQ_GROSS_MARGIN", AJ$3, $I$3, $N$3, , $J$3, $K$3))),"",_xll.ciqfunctions.udf.CIQ($B8, "IQ_GROSS_MARGIN", AJ$3, $I$3, $N$3, , $J$3, $K$3)/100)),"")</f>
        <v/>
      </c>
      <c r="AK8" s="87" t="str">
        <f>IFERROR(IF(OR($B8="",AK$3=""),"",IF(NOT(ISNUMBER(_xll.ciqfunctions.udf.CIQ($B8, "IQ_GROSS_MARGIN", AK$3, $I$3, $N$3, , $J$3, $K$3))),"",_xll.ciqfunctions.udf.CIQ($B8, "IQ_GROSS_MARGIN", AK$3, $I$3, $N$3, , $J$3, $K$3)/100)),"")</f>
        <v/>
      </c>
      <c r="AL8" s="87" t="str">
        <f>IFERROR(IF(OR($B8="",AL$3=""),"",IF(NOT(ISNUMBER(_xll.ciqfunctions.udf.CIQ($B8, "IQ_GROSS_MARGIN", AL$3, $I$3, $N$3, , $J$3, $K$3))),"",_xll.ciqfunctions.udf.CIQ($B8, "IQ_GROSS_MARGIN", AL$3, $I$3, $N$3, , $J$3, $K$3)/100)),"")</f>
        <v/>
      </c>
      <c r="AM8" s="87" t="str">
        <f>IFERROR(IF(OR($B8="",AM$3=""),"",IF(NOT(ISNUMBER(_xll.ciqfunctions.udf.CIQ($B8, "IQ_GROSS_MARGIN", AM$3, $I$3, $N$3, , $J$3, $K$3))),"",_xll.ciqfunctions.udf.CIQ($B8, "IQ_GROSS_MARGIN", AM$3, $I$3, $N$3, , $J$3, $K$3)/100)),"")</f>
        <v/>
      </c>
      <c r="AN8" s="87" t="str">
        <f>IFERROR(IF(OR($B8="",AN$3=""),"",IF(NOT(ISNUMBER(_xll.ciqfunctions.udf.CIQ($B8, "IQ_GROSS_MARGIN", AN$3, $I$3, $N$3, , $J$3, $K$3))),"",_xll.ciqfunctions.udf.CIQ($B8, "IQ_GROSS_MARGIN", AN$3, $I$3, $N$3, , $J$3, $K$3)/100)),"")</f>
        <v/>
      </c>
      <c r="AO8" s="87" t="str">
        <f>IFERROR(IF(OR($B8="",AO$3=""),"",IF(NOT(ISNUMBER(_xll.ciqfunctions.udf.CIQ($B8, "IQ_GROSS_MARGIN", AO$3, $I$3, $N$3, , $J$3, $K$3))),"",_xll.ciqfunctions.udf.CIQ($B8, "IQ_GROSS_MARGIN", AO$3, $I$3, $N$3, , $J$3, $K$3)/100)),"")</f>
        <v/>
      </c>
      <c r="AP8" s="87" t="str">
        <f>IFERROR(IF(OR($B8="",AP$3=""),"",IF(NOT(ISNUMBER(_xll.ciqfunctions.udf.CIQ($B8, "IQ_GROSS_MARGIN", AP$3, $I$3, $N$3, , $J$3, $K$3))),"",_xll.ciqfunctions.udf.CIQ($B8, "IQ_GROSS_MARGIN", AP$3, $I$3, $N$3, , $J$3, $K$3)/100)),"")</f>
        <v/>
      </c>
      <c r="AQ8" s="87" t="str">
        <f>IFERROR(IF(OR($B8="",AQ$3=""),"",IF(NOT(ISNUMBER(_xll.ciqfunctions.udf.CIQ($B8, "IQ_GROSS_MARGIN", AQ$3, $I$3, $N$3, , $J$3, $K$3))),"",_xll.ciqfunctions.udf.CIQ($B8, "IQ_GROSS_MARGIN", AQ$3, $I$3, $N$3, , $J$3, $K$3)/100)),"")</f>
        <v/>
      </c>
      <c r="AR8" s="87" t="str">
        <f>IFERROR(IF(OR($B8="",AR$3=""),"",IF(NOT(ISNUMBER(_xll.ciqfunctions.udf.CIQ($B8, "IQ_GROSS_MARGIN", AR$3, $I$3, $N$3, , $J$3, $K$3))),"",_xll.ciqfunctions.udf.CIQ($B8, "IQ_GROSS_MARGIN", AR$3, $I$3, $N$3, , $J$3, $K$3)/100)),"")</f>
        <v/>
      </c>
      <c r="AS8" s="87" t="str">
        <f>IFERROR(IF(OR($B8="",AS$3=""),"",IF(NOT(ISNUMBER(_xll.ciqfunctions.udf.CIQ($B8, "IQ_GROSS_MARGIN", AS$3, $I$3, $N$3, , $J$3, $K$3))),"",_xll.ciqfunctions.udf.CIQ($B8, "IQ_GROSS_MARGIN", AS$3, $I$3, $N$3, , $J$3, $K$3)/100)),"")</f>
        <v/>
      </c>
      <c r="AT8" s="87" t="str">
        <f>IFERROR(IF(OR($B8="",AT$3=""),"",IF(NOT(ISNUMBER(_xll.ciqfunctions.udf.CIQ($B8, "IQ_GROSS_MARGIN", AT$3, $I$3, $N$3, , $J$3, $K$3))),"",_xll.ciqfunctions.udf.CIQ($B8, "IQ_GROSS_MARGIN", AT$3, $I$3, $N$3, , $J$3, $K$3)/100)),"")</f>
        <v/>
      </c>
      <c r="AU8" s="87" t="str">
        <f>IFERROR(IF(OR($B8="",AU$3=""),"",IF(NOT(ISNUMBER(_xll.ciqfunctions.udf.CIQ($B8, "IQ_GROSS_MARGIN", AU$3, $I$3, $N$3, , $J$3, $K$3))),"",_xll.ciqfunctions.udf.CIQ($B8, "IQ_GROSS_MARGIN", AU$3, $I$3, $N$3, , $J$3, $K$3)/100)),"")</f>
        <v/>
      </c>
      <c r="AV8" s="87" t="str">
        <f>IFERROR(IF(OR($B8="",AV$3=""),"",IF(NOT(ISNUMBER(_xll.ciqfunctions.udf.CIQ($B8, "IQ_GROSS_MARGIN", AV$3, $I$3, $N$3, , $J$3, $K$3))),"",_xll.ciqfunctions.udf.CIQ($B8, "IQ_GROSS_MARGIN", AV$3, $I$3, $N$3, , $J$3, $K$3)/100)),"")</f>
        <v/>
      </c>
      <c r="AW8" s="87" t="str">
        <f>IFERROR(IF(OR($B8="",AW$3=""),"",IF(NOT(ISNUMBER(_xll.ciqfunctions.udf.CIQ($B8, "IQ_GROSS_MARGIN", AW$3, $I$3, $N$3, , $J$3, $K$3))),"",_xll.ciqfunctions.udf.CIQ($B8, "IQ_GROSS_MARGIN", AW$3, $I$3, $N$3, , $J$3, $K$3)/100)),"")</f>
        <v/>
      </c>
      <c r="AX8" s="87" t="str">
        <f>IFERROR(IF(OR($B8="",AX$3=""),"",IF(NOT(ISNUMBER(_xll.ciqfunctions.udf.CIQ($B8, "IQ_GROSS_MARGIN", AX$3, $I$3, $N$3, , $J$3, $K$3))),"",_xll.ciqfunctions.udf.CIQ($B8, "IQ_GROSS_MARGIN", AX$3, $I$3, $N$3, , $J$3, $K$3)/100)),"")</f>
        <v/>
      </c>
      <c r="AY8" s="87" t="str">
        <f>IFERROR(IF(OR($B8="",AY$3=""),"",IF(NOT(ISNUMBER(_xll.ciqfunctions.udf.CIQ($B8, "IQ_GROSS_MARGIN", AY$3, $I$3, $N$3, , $J$3, $K$3))),"",_xll.ciqfunctions.udf.CIQ($B8, "IQ_GROSS_MARGIN", AY$3, $I$3, $N$3, , $J$3, $K$3)/100)),"")</f>
        <v/>
      </c>
      <c r="AZ8" s="88" t="str">
        <f>IFERROR(IF(OR($B8="",AZ$3=""),"",IF(NOT(ISNUMBER(_xll.ciqfunctions.udf.CIQ($B8, "IQ_GROSS_MARGIN", AZ$3, $I$3, $N$3, , $J$3, $K$3))),"",_xll.ciqfunctions.udf.CIQ($B8, "IQ_GROSS_MARGIN", AZ$3, $I$3, $N$3, , $J$3, $K$3)/100)),"")</f>
        <v/>
      </c>
      <c r="BA8" s="73">
        <f>IFERROR(IF(OR($B8="",BA$3=""),"",IF(NOT(ISNUMBER(_xll.ciqfunctions.udf.CIQ($B8, "IQ_EBITDA_MARGIN", BA$3, $I$3, $N$3, , $J$3, $K$3))),"",_xll.ciqfunctions.udf.CIQ($B8, "IQ_EBITDA_MARGIN", BA$3, $I$3, $N$3, , $J$3, $K$3)/100)),"")</f>
        <v>4.6349999999999995E-2</v>
      </c>
      <c r="BB8" s="73" t="str">
        <f>IFERROR(IF(OR($B8="",BB$3=""),"",IF(NOT(ISNUMBER(_xll.ciqfunctions.udf.CIQ($B8, "IQ_EBITDA_MARGIN", BB$3, $I$3, $N$3, , $J$3, $K$3))),"",_xll.ciqfunctions.udf.CIQ($B8, "IQ_EBITDA_MARGIN", BB$3, $I$3, $N$3, , $J$3, $K$3)/100)),"")</f>
        <v/>
      </c>
      <c r="BC8" s="73" t="str">
        <f>IFERROR(IF(OR($B8="",BC$3=""),"",IF(NOT(ISNUMBER(_xll.ciqfunctions.udf.CIQ($B8, "IQ_EBITDA_MARGIN", BC$3, $I$3, $N$3, , $J$3, $K$3))),"",_xll.ciqfunctions.udf.CIQ($B8, "IQ_EBITDA_MARGIN", BC$3, $I$3, $N$3, , $J$3, $K$3)/100)),"")</f>
        <v/>
      </c>
      <c r="BD8" s="73" t="str">
        <f>IFERROR(IF(OR($B8="",BD$3=""),"",IF(NOT(ISNUMBER(_xll.ciqfunctions.udf.CIQ($B8, "IQ_EBITDA_MARGIN", BD$3, $I$3, $N$3, , $J$3, $K$3))),"",_xll.ciqfunctions.udf.CIQ($B8, "IQ_EBITDA_MARGIN", BD$3, $I$3, $N$3, , $J$3, $K$3)/100)),"")</f>
        <v/>
      </c>
      <c r="BE8" s="73" t="str">
        <f>IFERROR(IF(OR($B8="",BE$3=""),"",IF(NOT(ISNUMBER(_xll.ciqfunctions.udf.CIQ($B8, "IQ_EBITDA_MARGIN", BE$3, $I$3, $N$3, , $J$3, $K$3))),"",_xll.ciqfunctions.udf.CIQ($B8, "IQ_EBITDA_MARGIN", BE$3, $I$3, $N$3, , $J$3, $K$3)/100)),"")</f>
        <v/>
      </c>
      <c r="BF8" s="73" t="str">
        <f>IFERROR(IF(OR($B8="",BF$3=""),"",IF(NOT(ISNUMBER(_xll.ciqfunctions.udf.CIQ($B8, "IQ_EBITDA_MARGIN", BF$3, $I$3, $N$3, , $J$3, $K$3))),"",_xll.ciqfunctions.udf.CIQ($B8, "IQ_EBITDA_MARGIN", BF$3, $I$3, $N$3, , $J$3, $K$3)/100)),"")</f>
        <v/>
      </c>
      <c r="BG8" s="73" t="str">
        <f>IFERROR(IF(OR($B8="",BG$3=""),"",IF(NOT(ISNUMBER(_xll.ciqfunctions.udf.CIQ($B8, "IQ_EBITDA_MARGIN", BG$3, $I$3, $N$3, , $J$3, $K$3))),"",_xll.ciqfunctions.udf.CIQ($B8, "IQ_EBITDA_MARGIN", BG$3, $I$3, $N$3, , $J$3, $K$3)/100)),"")</f>
        <v/>
      </c>
      <c r="BH8" s="73" t="str">
        <f>IFERROR(IF(OR($B8="",BH$3=""),"",IF(NOT(ISNUMBER(_xll.ciqfunctions.udf.CIQ($B8, "IQ_EBITDA_MARGIN", BH$3, $I$3, $N$3, , $J$3, $K$3))),"",_xll.ciqfunctions.udf.CIQ($B8, "IQ_EBITDA_MARGIN", BH$3, $I$3, $N$3, , $J$3, $K$3)/100)),"")</f>
        <v/>
      </c>
      <c r="BI8" s="73" t="str">
        <f>IFERROR(IF(OR($B8="",BI$3=""),"",IF(NOT(ISNUMBER(_xll.ciqfunctions.udf.CIQ($B8, "IQ_EBITDA_MARGIN", BI$3, $I$3, $N$3, , $J$3, $K$3))),"",_xll.ciqfunctions.udf.CIQ($B8, "IQ_EBITDA_MARGIN", BI$3, $I$3, $N$3, , $J$3, $K$3)/100)),"")</f>
        <v/>
      </c>
      <c r="BJ8" s="73" t="str">
        <f>IFERROR(IF(OR($B8="",BJ$3=""),"",IF(NOT(ISNUMBER(_xll.ciqfunctions.udf.CIQ($B8, "IQ_EBITDA_MARGIN", BJ$3, $I$3, $N$3, , $J$3, $K$3))),"",_xll.ciqfunctions.udf.CIQ($B8, "IQ_EBITDA_MARGIN", BJ$3, $I$3, $N$3, , $J$3, $K$3)/100)),"")</f>
        <v/>
      </c>
      <c r="BK8" s="73" t="str">
        <f>IFERROR(IF(OR($B8="",BK$3=""),"",IF(NOT(ISNUMBER(_xll.ciqfunctions.udf.CIQ($B8, "IQ_EBITDA_MARGIN", BK$3, $I$3, $N$3, , $J$3, $K$3))),"",_xll.ciqfunctions.udf.CIQ($B8, "IQ_EBITDA_MARGIN", BK$3, $I$3, $N$3, , $J$3, $K$3)/100)),"")</f>
        <v/>
      </c>
      <c r="BL8" s="73" t="str">
        <f>IFERROR(IF(OR($B8="",BL$3=""),"",IF(NOT(ISNUMBER(_xll.ciqfunctions.udf.CIQ($B8, "IQ_EBITDA_MARGIN", BL$3, $I$3, $N$3, , $J$3, $K$3))),"",_xll.ciqfunctions.udf.CIQ($B8, "IQ_EBITDA_MARGIN", BL$3, $I$3, $N$3, , $J$3, $K$3)/100)),"")</f>
        <v/>
      </c>
      <c r="BM8" s="73" t="str">
        <f>IFERROR(IF(OR($B8="",BM$3=""),"",IF(NOT(ISNUMBER(_xll.ciqfunctions.udf.CIQ($B8, "IQ_EBITDA_MARGIN", BM$3, $I$3, $N$3, , $J$3, $K$3))),"",_xll.ciqfunctions.udf.CIQ($B8, "IQ_EBITDA_MARGIN", BM$3, $I$3, $N$3, , $J$3, $K$3)/100)),"")</f>
        <v/>
      </c>
      <c r="BN8" s="73" t="str">
        <f>IFERROR(IF(OR($B8="",BN$3=""),"",IF(NOT(ISNUMBER(_xll.ciqfunctions.udf.CIQ($B8, "IQ_EBITDA_MARGIN", BN$3, $I$3, $N$3, , $J$3, $K$3))),"",_xll.ciqfunctions.udf.CIQ($B8, "IQ_EBITDA_MARGIN", BN$3, $I$3, $N$3, , $J$3, $K$3)/100)),"")</f>
        <v/>
      </c>
      <c r="BO8" s="73" t="str">
        <f>IFERROR(IF(OR($B8="",BO$3=""),"",IF(NOT(ISNUMBER(_xll.ciqfunctions.udf.CIQ($B8, "IQ_EBITDA_MARGIN", BO$3, $I$3, $N$3, , $J$3, $K$3))),"",_xll.ciqfunctions.udf.CIQ($B8, "IQ_EBITDA_MARGIN", BO$3, $I$3, $N$3, , $J$3, $K$3)/100)),"")</f>
        <v/>
      </c>
      <c r="BP8" s="73" t="str">
        <f>IFERROR(IF(OR($B8="",BP$3=""),"",IF(NOT(ISNUMBER(_xll.ciqfunctions.udf.CIQ($B8, "IQ_EBITDA_MARGIN", BP$3, $I$3, $N$3, , $J$3, $K$3))),"",_xll.ciqfunctions.udf.CIQ($B8, "IQ_EBITDA_MARGIN", BP$3, $I$3, $N$3, , $J$3, $K$3)/100)),"")</f>
        <v/>
      </c>
      <c r="BQ8" s="73" t="str">
        <f>IFERROR(IF(OR($B8="",BQ$3=""),"",IF(NOT(ISNUMBER(_xll.ciqfunctions.udf.CIQ($B8, "IQ_EBITDA_MARGIN", BQ$3, $I$3, $N$3, , $J$3, $K$3))),"",_xll.ciqfunctions.udf.CIQ($B8, "IQ_EBITDA_MARGIN", BQ$3, $I$3, $N$3, , $J$3, $K$3)/100)),"")</f>
        <v/>
      </c>
      <c r="BR8" s="73" t="str">
        <f>IFERROR(IF(OR($B8="",BR$3=""),"",IF(NOT(ISNUMBER(_xll.ciqfunctions.udf.CIQ($B8, "IQ_EBITDA_MARGIN", BR$3, $I$3, $N$3, , $J$3, $K$3))),"",_xll.ciqfunctions.udf.CIQ($B8, "IQ_EBITDA_MARGIN", BR$3, $I$3, $N$3, , $J$3, $K$3)/100)),"")</f>
        <v/>
      </c>
      <c r="BS8" s="73" t="str">
        <f>IFERROR(IF(OR($B8="",BS$3=""),"",IF(NOT(ISNUMBER(_xll.ciqfunctions.udf.CIQ($B8, "IQ_EBITDA_MARGIN", BS$3, $I$3, $N$3, , $J$3, $K$3))),"",_xll.ciqfunctions.udf.CIQ($B8, "IQ_EBITDA_MARGIN", BS$3, $I$3, $N$3, , $J$3, $K$3)/100)),"")</f>
        <v/>
      </c>
      <c r="BT8" s="73" t="str">
        <f>IFERROR(IF(OR($B8="",BT$3=""),"",IF(NOT(ISNUMBER(_xll.ciqfunctions.udf.CIQ($B8, "IQ_EBITDA_MARGIN", BT$3, $I$3, $N$3, , $J$3, $K$3))),"",_xll.ciqfunctions.udf.CIQ($B8, "IQ_EBITDA_MARGIN", BT$3, $I$3, $N$3, , $J$3, $K$3)/100)),"")</f>
        <v/>
      </c>
      <c r="BU8" s="86">
        <f>IFERROR(IF(OR($B8="",BU$3=""),"",IF(NOT(ISNUMBER(_xll.ciqfunctions.udf.CIQ($B8, "IQ_EBIT_MARGIN", BU$3, $I$3, $N$3, , $J$3, $K$3))),"",_xll.ciqfunctions.udf.CIQ($B8, "IQ_EBIT_MARGIN", BU$3, $I$3, $N$3, , $J$3, $K$3)/100)),"")</f>
        <v>3.7442000000000003E-2</v>
      </c>
      <c r="BV8" s="87" t="str">
        <f>IFERROR(IF(OR($B8="",BV$3=""),"",IF(NOT(ISNUMBER(_xll.ciqfunctions.udf.CIQ($B8, "IQ_EBIT_MARGIN", BV$3, $I$3, $N$3, , $J$3, $K$3))),"",_xll.ciqfunctions.udf.CIQ($B8, "IQ_EBIT_MARGIN", BV$3, $I$3, $N$3, , $J$3, $K$3)/100)),"")</f>
        <v/>
      </c>
      <c r="BW8" s="87" t="str">
        <f>IFERROR(IF(OR($B8="",BW$3=""),"",IF(NOT(ISNUMBER(_xll.ciqfunctions.udf.CIQ($B8, "IQ_EBIT_MARGIN", BW$3, $I$3, $N$3, , $J$3, $K$3))),"",_xll.ciqfunctions.udf.CIQ($B8, "IQ_EBIT_MARGIN", BW$3, $I$3, $N$3, , $J$3, $K$3)/100)),"")</f>
        <v/>
      </c>
      <c r="BX8" s="87" t="str">
        <f>IFERROR(IF(OR($B8="",BX$3=""),"",IF(NOT(ISNUMBER(_xll.ciqfunctions.udf.CIQ($B8, "IQ_EBIT_MARGIN", BX$3, $I$3, $N$3, , $J$3, $K$3))),"",_xll.ciqfunctions.udf.CIQ($B8, "IQ_EBIT_MARGIN", BX$3, $I$3, $N$3, , $J$3, $K$3)/100)),"")</f>
        <v/>
      </c>
      <c r="BY8" s="87" t="str">
        <f>IFERROR(IF(OR($B8="",BY$3=""),"",IF(NOT(ISNUMBER(_xll.ciqfunctions.udf.CIQ($B8, "IQ_EBIT_MARGIN", BY$3, $I$3, $N$3, , $J$3, $K$3))),"",_xll.ciqfunctions.udf.CIQ($B8, "IQ_EBIT_MARGIN", BY$3, $I$3, $N$3, , $J$3, $K$3)/100)),"")</f>
        <v/>
      </c>
      <c r="BZ8" s="87" t="str">
        <f>IFERROR(IF(OR($B8="",BZ$3=""),"",IF(NOT(ISNUMBER(_xll.ciqfunctions.udf.CIQ($B8, "IQ_EBIT_MARGIN", BZ$3, $I$3, $N$3, , $J$3, $K$3))),"",_xll.ciqfunctions.udf.CIQ($B8, "IQ_EBIT_MARGIN", BZ$3, $I$3, $N$3, , $J$3, $K$3)/100)),"")</f>
        <v/>
      </c>
      <c r="CA8" s="87" t="str">
        <f>IFERROR(IF(OR($B8="",CA$3=""),"",IF(NOT(ISNUMBER(_xll.ciqfunctions.udf.CIQ($B8, "IQ_EBIT_MARGIN", CA$3, $I$3, $N$3, , $J$3, $K$3))),"",_xll.ciqfunctions.udf.CIQ($B8, "IQ_EBIT_MARGIN", CA$3, $I$3, $N$3, , $J$3, $K$3)/100)),"")</f>
        <v/>
      </c>
      <c r="CB8" s="87" t="str">
        <f>IFERROR(IF(OR($B8="",CB$3=""),"",IF(NOT(ISNUMBER(_xll.ciqfunctions.udf.CIQ($B8, "IQ_EBIT_MARGIN", CB$3, $I$3, $N$3, , $J$3, $K$3))),"",_xll.ciqfunctions.udf.CIQ($B8, "IQ_EBIT_MARGIN", CB$3, $I$3, $N$3, , $J$3, $K$3)/100)),"")</f>
        <v/>
      </c>
      <c r="CC8" s="87" t="str">
        <f>IFERROR(IF(OR($B8="",CC$3=""),"",IF(NOT(ISNUMBER(_xll.ciqfunctions.udf.CIQ($B8, "IQ_EBIT_MARGIN", CC$3, $I$3, $N$3, , $J$3, $K$3))),"",_xll.ciqfunctions.udf.CIQ($B8, "IQ_EBIT_MARGIN", CC$3, $I$3, $N$3, , $J$3, $K$3)/100)),"")</f>
        <v/>
      </c>
      <c r="CD8" s="87" t="str">
        <f>IFERROR(IF(OR($B8="",CD$3=""),"",IF(NOT(ISNUMBER(_xll.ciqfunctions.udf.CIQ($B8, "IQ_EBIT_MARGIN", CD$3, $I$3, $N$3, , $J$3, $K$3))),"",_xll.ciqfunctions.udf.CIQ($B8, "IQ_EBIT_MARGIN", CD$3, $I$3, $N$3, , $J$3, $K$3)/100)),"")</f>
        <v/>
      </c>
      <c r="CE8" s="87" t="str">
        <f>IFERROR(IF(OR($B8="",CE$3=""),"",IF(NOT(ISNUMBER(_xll.ciqfunctions.udf.CIQ($B8, "IQ_EBIT_MARGIN", CE$3, $I$3, $N$3, , $J$3, $K$3))),"",_xll.ciqfunctions.udf.CIQ($B8, "IQ_EBIT_MARGIN", CE$3, $I$3, $N$3, , $J$3, $K$3)/100)),"")</f>
        <v/>
      </c>
      <c r="CF8" s="87" t="str">
        <f>IFERROR(IF(OR($B8="",CF$3=""),"",IF(NOT(ISNUMBER(_xll.ciqfunctions.udf.CIQ($B8, "IQ_EBIT_MARGIN", CF$3, $I$3, $N$3, , $J$3, $K$3))),"",_xll.ciqfunctions.udf.CIQ($B8, "IQ_EBIT_MARGIN", CF$3, $I$3, $N$3, , $J$3, $K$3)/100)),"")</f>
        <v/>
      </c>
      <c r="CG8" s="87" t="str">
        <f>IFERROR(IF(OR($B8="",CG$3=""),"",IF(NOT(ISNUMBER(_xll.ciqfunctions.udf.CIQ($B8, "IQ_EBIT_MARGIN", CG$3, $I$3, $N$3, , $J$3, $K$3))),"",_xll.ciqfunctions.udf.CIQ($B8, "IQ_EBIT_MARGIN", CG$3, $I$3, $N$3, , $J$3, $K$3)/100)),"")</f>
        <v/>
      </c>
      <c r="CH8" s="87" t="str">
        <f>IFERROR(IF(OR($B8="",CH$3=""),"",IF(NOT(ISNUMBER(_xll.ciqfunctions.udf.CIQ($B8, "IQ_EBIT_MARGIN", CH$3, $I$3, $N$3, , $J$3, $K$3))),"",_xll.ciqfunctions.udf.CIQ($B8, "IQ_EBIT_MARGIN", CH$3, $I$3, $N$3, , $J$3, $K$3)/100)),"")</f>
        <v/>
      </c>
      <c r="CI8" s="87" t="str">
        <f>IFERROR(IF(OR($B8="",CI$3=""),"",IF(NOT(ISNUMBER(_xll.ciqfunctions.udf.CIQ($B8, "IQ_EBIT_MARGIN", CI$3, $I$3, $N$3, , $J$3, $K$3))),"",_xll.ciqfunctions.udf.CIQ($B8, "IQ_EBIT_MARGIN", CI$3, $I$3, $N$3, , $J$3, $K$3)/100)),"")</f>
        <v/>
      </c>
      <c r="CJ8" s="87" t="str">
        <f>IFERROR(IF(OR($B8="",CJ$3=""),"",IF(NOT(ISNUMBER(_xll.ciqfunctions.udf.CIQ($B8, "IQ_EBIT_MARGIN", CJ$3, $I$3, $N$3, , $J$3, $K$3))),"",_xll.ciqfunctions.udf.CIQ($B8, "IQ_EBIT_MARGIN", CJ$3, $I$3, $N$3, , $J$3, $K$3)/100)),"")</f>
        <v/>
      </c>
      <c r="CK8" s="87" t="str">
        <f>IFERROR(IF(OR($B8="",CK$3=""),"",IF(NOT(ISNUMBER(_xll.ciqfunctions.udf.CIQ($B8, "IQ_EBIT_MARGIN", CK$3, $I$3, $N$3, , $J$3, $K$3))),"",_xll.ciqfunctions.udf.CIQ($B8, "IQ_EBIT_MARGIN", CK$3, $I$3, $N$3, , $J$3, $K$3)/100)),"")</f>
        <v/>
      </c>
      <c r="CL8" s="87" t="str">
        <f>IFERROR(IF(OR($B8="",CL$3=""),"",IF(NOT(ISNUMBER(_xll.ciqfunctions.udf.CIQ($B8, "IQ_EBIT_MARGIN", CL$3, $I$3, $N$3, , $J$3, $K$3))),"",_xll.ciqfunctions.udf.CIQ($B8, "IQ_EBIT_MARGIN", CL$3, $I$3, $N$3, , $J$3, $K$3)/100)),"")</f>
        <v/>
      </c>
      <c r="CM8" s="87" t="str">
        <f>IFERROR(IF(OR($B8="",CM$3=""),"",IF(NOT(ISNUMBER(_xll.ciqfunctions.udf.CIQ($B8, "IQ_EBIT_MARGIN", CM$3, $I$3, $N$3, , $J$3, $K$3))),"",_xll.ciqfunctions.udf.CIQ($B8, "IQ_EBIT_MARGIN", CM$3, $I$3, $N$3, , $J$3, $K$3)/100)),"")</f>
        <v/>
      </c>
      <c r="CN8" s="88" t="str">
        <f>IFERROR(IF(OR($B8="",CN$3=""),"",IF(NOT(ISNUMBER(_xll.ciqfunctions.udf.CIQ($B8, "IQ_EBIT_MARGIN", CN$3, $I$3, $N$3, , $J$3, $K$3))),"",_xll.ciqfunctions.udf.CIQ($B8, "IQ_EBIT_MARGIN", CN$3, $I$3, $N$3, , $J$3, $K$3)/100)),"")</f>
        <v/>
      </c>
      <c r="CO8" s="86">
        <f>IFERROR(IF(OR($B8="",CO$3=""),"",IF(NOT(ISNUMBER(_xll.ciqfunctions.udf.CIQ($B8, "IQ_NI_MARGIN", CO$3, $I$3, $N$3, , $J$3, $K$3))),"",_xll.ciqfunctions.udf.CIQ($B8, "IQ_NI_MARGIN", CO$3, $I$3, $N$3, , $J$3, $K$3)/100)),"")</f>
        <v>2.5432E-2</v>
      </c>
      <c r="CP8" s="87" t="str">
        <f>IFERROR(IF(OR($B8="",CP$3=""),"",IF(NOT(ISNUMBER(_xll.ciqfunctions.udf.CIQ($B8, "IQ_NI_MARGIN", CP$3, $I$3, $N$3, , $J$3, $K$3))),"",_xll.ciqfunctions.udf.CIQ($B8, "IQ_NI_MARGIN", CP$3, $I$3, $N$3, , $J$3, $K$3)/100)),"")</f>
        <v/>
      </c>
      <c r="CQ8" s="87" t="str">
        <f>IFERROR(IF(OR($B8="",CQ$3=""),"",IF(NOT(ISNUMBER(_xll.ciqfunctions.udf.CIQ($B8, "IQ_NI_MARGIN", CQ$3, $I$3, $N$3, , $J$3, $K$3))),"",_xll.ciqfunctions.udf.CIQ($B8, "IQ_NI_MARGIN", CQ$3, $I$3, $N$3, , $J$3, $K$3)/100)),"")</f>
        <v/>
      </c>
      <c r="CR8" s="87" t="str">
        <f>IFERROR(IF(OR($B8="",CR$3=""),"",IF(NOT(ISNUMBER(_xll.ciqfunctions.udf.CIQ($B8, "IQ_NI_MARGIN", CR$3, $I$3, $N$3, , $J$3, $K$3))),"",_xll.ciqfunctions.udf.CIQ($B8, "IQ_NI_MARGIN", CR$3, $I$3, $N$3, , $J$3, $K$3)/100)),"")</f>
        <v/>
      </c>
      <c r="CS8" s="87" t="str">
        <f>IFERROR(IF(OR($B8="",CS$3=""),"",IF(NOT(ISNUMBER(_xll.ciqfunctions.udf.CIQ($B8, "IQ_NI_MARGIN", CS$3, $I$3, $N$3, , $J$3, $K$3))),"",_xll.ciqfunctions.udf.CIQ($B8, "IQ_NI_MARGIN", CS$3, $I$3, $N$3, , $J$3, $K$3)/100)),"")</f>
        <v/>
      </c>
      <c r="CT8" s="87" t="str">
        <f>IFERROR(IF(OR($B8="",CT$3=""),"",IF(NOT(ISNUMBER(_xll.ciqfunctions.udf.CIQ($B8, "IQ_NI_MARGIN", CT$3, $I$3, $N$3, , $J$3, $K$3))),"",_xll.ciqfunctions.udf.CIQ($B8, "IQ_NI_MARGIN", CT$3, $I$3, $N$3, , $J$3, $K$3)/100)),"")</f>
        <v/>
      </c>
      <c r="CU8" s="87" t="str">
        <f>IFERROR(IF(OR($B8="",CU$3=""),"",IF(NOT(ISNUMBER(_xll.ciqfunctions.udf.CIQ($B8, "IQ_NI_MARGIN", CU$3, $I$3, $N$3, , $J$3, $K$3))),"",_xll.ciqfunctions.udf.CIQ($B8, "IQ_NI_MARGIN", CU$3, $I$3, $N$3, , $J$3, $K$3)/100)),"")</f>
        <v/>
      </c>
      <c r="CV8" s="87" t="str">
        <f>IFERROR(IF(OR($B8="",CV$3=""),"",IF(NOT(ISNUMBER(_xll.ciqfunctions.udf.CIQ($B8, "IQ_NI_MARGIN", CV$3, $I$3, $N$3, , $J$3, $K$3))),"",_xll.ciqfunctions.udf.CIQ($B8, "IQ_NI_MARGIN", CV$3, $I$3, $N$3, , $J$3, $K$3)/100)),"")</f>
        <v/>
      </c>
      <c r="CW8" s="87" t="str">
        <f>IFERROR(IF(OR($B8="",CW$3=""),"",IF(NOT(ISNUMBER(_xll.ciqfunctions.udf.CIQ($B8, "IQ_NI_MARGIN", CW$3, $I$3, $N$3, , $J$3, $K$3))),"",_xll.ciqfunctions.udf.CIQ($B8, "IQ_NI_MARGIN", CW$3, $I$3, $N$3, , $J$3, $K$3)/100)),"")</f>
        <v/>
      </c>
      <c r="CX8" s="87" t="str">
        <f>IFERROR(IF(OR($B8="",CX$3=""),"",IF(NOT(ISNUMBER(_xll.ciqfunctions.udf.CIQ($B8, "IQ_NI_MARGIN", CX$3, $I$3, $N$3, , $J$3, $K$3))),"",_xll.ciqfunctions.udf.CIQ($B8, "IQ_NI_MARGIN", CX$3, $I$3, $N$3, , $J$3, $K$3)/100)),"")</f>
        <v/>
      </c>
      <c r="CY8" s="87" t="str">
        <f>IFERROR(IF(OR($B8="",CY$3=""),"",IF(NOT(ISNUMBER(_xll.ciqfunctions.udf.CIQ($B8, "IQ_NI_MARGIN", CY$3, $I$3, $N$3, , $J$3, $K$3))),"",_xll.ciqfunctions.udf.CIQ($B8, "IQ_NI_MARGIN", CY$3, $I$3, $N$3, , $J$3, $K$3)/100)),"")</f>
        <v/>
      </c>
      <c r="CZ8" s="87" t="str">
        <f>IFERROR(IF(OR($B8="",CZ$3=""),"",IF(NOT(ISNUMBER(_xll.ciqfunctions.udf.CIQ($B8, "IQ_NI_MARGIN", CZ$3, $I$3, $N$3, , $J$3, $K$3))),"",_xll.ciqfunctions.udf.CIQ($B8, "IQ_NI_MARGIN", CZ$3, $I$3, $N$3, , $J$3, $K$3)/100)),"")</f>
        <v/>
      </c>
      <c r="DA8" s="87" t="str">
        <f>IFERROR(IF(OR($B8="",DA$3=""),"",IF(NOT(ISNUMBER(_xll.ciqfunctions.udf.CIQ($B8, "IQ_NI_MARGIN", DA$3, $I$3, $N$3, , $J$3, $K$3))),"",_xll.ciqfunctions.udf.CIQ($B8, "IQ_NI_MARGIN", DA$3, $I$3, $N$3, , $J$3, $K$3)/100)),"")</f>
        <v/>
      </c>
      <c r="DB8" s="87" t="str">
        <f>IFERROR(IF(OR($B8="",DB$3=""),"",IF(NOT(ISNUMBER(_xll.ciqfunctions.udf.CIQ($B8, "IQ_NI_MARGIN", DB$3, $I$3, $N$3, , $J$3, $K$3))),"",_xll.ciqfunctions.udf.CIQ($B8, "IQ_NI_MARGIN", DB$3, $I$3, $N$3, , $J$3, $K$3)/100)),"")</f>
        <v/>
      </c>
      <c r="DC8" s="87" t="str">
        <f>IFERROR(IF(OR($B8="",DC$3=""),"",IF(NOT(ISNUMBER(_xll.ciqfunctions.udf.CIQ($B8, "IQ_NI_MARGIN", DC$3, $I$3, $N$3, , $J$3, $K$3))),"",_xll.ciqfunctions.udf.CIQ($B8, "IQ_NI_MARGIN", DC$3, $I$3, $N$3, , $J$3, $K$3)/100)),"")</f>
        <v/>
      </c>
      <c r="DD8" s="87" t="str">
        <f>IFERROR(IF(OR($B8="",DD$3=""),"",IF(NOT(ISNUMBER(_xll.ciqfunctions.udf.CIQ($B8, "IQ_NI_MARGIN", DD$3, $I$3, $N$3, , $J$3, $K$3))),"",_xll.ciqfunctions.udf.CIQ($B8, "IQ_NI_MARGIN", DD$3, $I$3, $N$3, , $J$3, $K$3)/100)),"")</f>
        <v/>
      </c>
      <c r="DE8" s="87" t="str">
        <f>IFERROR(IF(OR($B8="",DE$3=""),"",IF(NOT(ISNUMBER(_xll.ciqfunctions.udf.CIQ($B8, "IQ_NI_MARGIN", DE$3, $I$3, $N$3, , $J$3, $K$3))),"",_xll.ciqfunctions.udf.CIQ($B8, "IQ_NI_MARGIN", DE$3, $I$3, $N$3, , $J$3, $K$3)/100)),"")</f>
        <v/>
      </c>
      <c r="DF8" s="87" t="str">
        <f>IFERROR(IF(OR($B8="",DF$3=""),"",IF(NOT(ISNUMBER(_xll.ciqfunctions.udf.CIQ($B8, "IQ_NI_MARGIN", DF$3, $I$3, $N$3, , $J$3, $K$3))),"",_xll.ciqfunctions.udf.CIQ($B8, "IQ_NI_MARGIN", DF$3, $I$3, $N$3, , $J$3, $K$3)/100)),"")</f>
        <v/>
      </c>
      <c r="DG8" s="87" t="str">
        <f>IFERROR(IF(OR($B8="",DG$3=""),"",IF(NOT(ISNUMBER(_xll.ciqfunctions.udf.CIQ($B8, "IQ_NI_MARGIN", DG$3, $I$3, $N$3, , $J$3, $K$3))),"",_xll.ciqfunctions.udf.CIQ($B8, "IQ_NI_MARGIN", DG$3, $I$3, $N$3, , $J$3, $K$3)/100)),"")</f>
        <v/>
      </c>
      <c r="DH8" s="88" t="str">
        <f>IFERROR(IF(OR($B8="",DH$3=""),"",IF(NOT(ISNUMBER(_xll.ciqfunctions.udf.CIQ($B8, "IQ_NI_MARGIN", DH$3, $I$3, $N$3, , $J$3, $K$3))),"",_xll.ciqfunctions.udf.CIQ($B8, "IQ_NI_MARGIN", DH$3, $I$3, $N$3, , $J$3, $K$3)/100)),"")</f>
        <v/>
      </c>
      <c r="DI8" s="86">
        <f>IFERROR(IF(OR($B8="",DI$3=""),"",IF(OR(NOT(ISNUMBER(_xll.ciqfunctions.udf.CIQ($B8, "IQ_COGS", DI$3, $I$3, $N$3, , $J$3, $K$3))),NOT(ISNUMBER(_xll.ciqfunctions.udf.CIQ($B8, "IQ_TOTAL_REVENUE", DI$3, $I$3, $N$3, , $J$3, $K$3)))),"",_xll.ciqfunctions.udf.CIQ($B8, "IQ_COGS", DI$3, $I$3, $N$3, , $J$3, $K$3)/_xll.ciqfunctions.udf.CIQ($B8, "IQ_TOTAL_REVENUE", DI$3, $I$3, $N$3, , $J$3, $K$3))),"")</f>
        <v>0.87243702113411203</v>
      </c>
      <c r="DJ8" s="87" t="str">
        <f>IFERROR(IF(OR($B8="",DJ$3=""),"",IF(OR(NOT(ISNUMBER(_xll.ciqfunctions.udf.CIQ($B8, "IQ_COGS", DJ$3, $I$3, $N$3, , $J$3, $K$3))),NOT(ISNUMBER(_xll.ciqfunctions.udf.CIQ($B8, "IQ_TOTAL_REVENUE", DJ$3, $I$3, $N$3, , $J$3, $K$3)))),"",_xll.ciqfunctions.udf.CIQ($B8, "IQ_COGS", DJ$3, $I$3, $N$3, , $J$3, $K$3)/_xll.ciqfunctions.udf.CIQ($B8, "IQ_TOTAL_REVENUE", DJ$3, $I$3, $N$3, , $J$3, $K$3))),"")</f>
        <v/>
      </c>
      <c r="DK8" s="87" t="str">
        <f>IFERROR(IF(OR($B8="",DK$3=""),"",IF(OR(NOT(ISNUMBER(_xll.ciqfunctions.udf.CIQ($B8, "IQ_COGS", DK$3, $I$3, $N$3, , $J$3, $K$3))),NOT(ISNUMBER(_xll.ciqfunctions.udf.CIQ($B8, "IQ_TOTAL_REVENUE", DK$3, $I$3, $N$3, , $J$3, $K$3)))),"",_xll.ciqfunctions.udf.CIQ($B8, "IQ_COGS", DK$3, $I$3, $N$3, , $J$3, $K$3)/_xll.ciqfunctions.udf.CIQ($B8, "IQ_TOTAL_REVENUE", DK$3, $I$3, $N$3, , $J$3, $K$3))),"")</f>
        <v/>
      </c>
      <c r="DL8" s="87" t="str">
        <f>IFERROR(IF(OR($B8="",DL$3=""),"",IF(OR(NOT(ISNUMBER(_xll.ciqfunctions.udf.CIQ($B8, "IQ_COGS", DL$3, $I$3, $N$3, , $J$3, $K$3))),NOT(ISNUMBER(_xll.ciqfunctions.udf.CIQ($B8, "IQ_TOTAL_REVENUE", DL$3, $I$3, $N$3, , $J$3, $K$3)))),"",_xll.ciqfunctions.udf.CIQ($B8, "IQ_COGS", DL$3, $I$3, $N$3, , $J$3, $K$3)/_xll.ciqfunctions.udf.CIQ($B8, "IQ_TOTAL_REVENUE", DL$3, $I$3, $N$3, , $J$3, $K$3))),"")</f>
        <v/>
      </c>
      <c r="DM8" s="87" t="str">
        <f>IFERROR(IF(OR($B8="",DM$3=""),"",IF(OR(NOT(ISNUMBER(_xll.ciqfunctions.udf.CIQ($B8, "IQ_COGS", DM$3, $I$3, $N$3, , $J$3, $K$3))),NOT(ISNUMBER(_xll.ciqfunctions.udf.CIQ($B8, "IQ_TOTAL_REVENUE", DM$3, $I$3, $N$3, , $J$3, $K$3)))),"",_xll.ciqfunctions.udf.CIQ($B8, "IQ_COGS", DM$3, $I$3, $N$3, , $J$3, $K$3)/_xll.ciqfunctions.udf.CIQ($B8, "IQ_TOTAL_REVENUE", DM$3, $I$3, $N$3, , $J$3, $K$3))),"")</f>
        <v/>
      </c>
      <c r="DN8" s="87" t="str">
        <f>IFERROR(IF(OR($B8="",DN$3=""),"",IF(OR(NOT(ISNUMBER(_xll.ciqfunctions.udf.CIQ($B8, "IQ_COGS", DN$3, $I$3, $N$3, , $J$3, $K$3))),NOT(ISNUMBER(_xll.ciqfunctions.udf.CIQ($B8, "IQ_TOTAL_REVENUE", DN$3, $I$3, $N$3, , $J$3, $K$3)))),"",_xll.ciqfunctions.udf.CIQ($B8, "IQ_COGS", DN$3, $I$3, $N$3, , $J$3, $K$3)/_xll.ciqfunctions.udf.CIQ($B8, "IQ_TOTAL_REVENUE", DN$3, $I$3, $N$3, , $J$3, $K$3))),"")</f>
        <v/>
      </c>
      <c r="DO8" s="87" t="str">
        <f>IFERROR(IF(OR($B8="",DO$3=""),"",IF(OR(NOT(ISNUMBER(_xll.ciqfunctions.udf.CIQ($B8, "IQ_COGS", DO$3, $I$3, $N$3, , $J$3, $K$3))),NOT(ISNUMBER(_xll.ciqfunctions.udf.CIQ($B8, "IQ_TOTAL_REVENUE", DO$3, $I$3, $N$3, , $J$3, $K$3)))),"",_xll.ciqfunctions.udf.CIQ($B8, "IQ_COGS", DO$3, $I$3, $N$3, , $J$3, $K$3)/_xll.ciqfunctions.udf.CIQ($B8, "IQ_TOTAL_REVENUE", DO$3, $I$3, $N$3, , $J$3, $K$3))),"")</f>
        <v/>
      </c>
      <c r="DP8" s="87" t="str">
        <f>IFERROR(IF(OR($B8="",DP$3=""),"",IF(OR(NOT(ISNUMBER(_xll.ciqfunctions.udf.CIQ($B8, "IQ_COGS", DP$3, $I$3, $N$3, , $J$3, $K$3))),NOT(ISNUMBER(_xll.ciqfunctions.udf.CIQ($B8, "IQ_TOTAL_REVENUE", DP$3, $I$3, $N$3, , $J$3, $K$3)))),"",_xll.ciqfunctions.udf.CIQ($B8, "IQ_COGS", DP$3, $I$3, $N$3, , $J$3, $K$3)/_xll.ciqfunctions.udf.CIQ($B8, "IQ_TOTAL_REVENUE", DP$3, $I$3, $N$3, , $J$3, $K$3))),"")</f>
        <v/>
      </c>
      <c r="DQ8" s="87" t="str">
        <f>IFERROR(IF(OR($B8="",DQ$3=""),"",IF(OR(NOT(ISNUMBER(_xll.ciqfunctions.udf.CIQ($B8, "IQ_COGS", DQ$3, $I$3, $N$3, , $J$3, $K$3))),NOT(ISNUMBER(_xll.ciqfunctions.udf.CIQ($B8, "IQ_TOTAL_REVENUE", DQ$3, $I$3, $N$3, , $J$3, $K$3)))),"",_xll.ciqfunctions.udf.CIQ($B8, "IQ_COGS", DQ$3, $I$3, $N$3, , $J$3, $K$3)/_xll.ciqfunctions.udf.CIQ($B8, "IQ_TOTAL_REVENUE", DQ$3, $I$3, $N$3, , $J$3, $K$3))),"")</f>
        <v/>
      </c>
      <c r="DR8" s="87" t="str">
        <f>IFERROR(IF(OR($B8="",DR$3=""),"",IF(OR(NOT(ISNUMBER(_xll.ciqfunctions.udf.CIQ($B8, "IQ_COGS", DR$3, $I$3, $N$3, , $J$3, $K$3))),NOT(ISNUMBER(_xll.ciqfunctions.udf.CIQ($B8, "IQ_TOTAL_REVENUE", DR$3, $I$3, $N$3, , $J$3, $K$3)))),"",_xll.ciqfunctions.udf.CIQ($B8, "IQ_COGS", DR$3, $I$3, $N$3, , $J$3, $K$3)/_xll.ciqfunctions.udf.CIQ($B8, "IQ_TOTAL_REVENUE", DR$3, $I$3, $N$3, , $J$3, $K$3))),"")</f>
        <v/>
      </c>
      <c r="DS8" s="87" t="str">
        <f>IFERROR(IF(OR($B8="",DS$3=""),"",IF(OR(NOT(ISNUMBER(_xll.ciqfunctions.udf.CIQ($B8, "IQ_COGS", DS$3, $I$3, $N$3, , $J$3, $K$3))),NOT(ISNUMBER(_xll.ciqfunctions.udf.CIQ($B8, "IQ_TOTAL_REVENUE", DS$3, $I$3, $N$3, , $J$3, $K$3)))),"",_xll.ciqfunctions.udf.CIQ($B8, "IQ_COGS", DS$3, $I$3, $N$3, , $J$3, $K$3)/_xll.ciqfunctions.udf.CIQ($B8, "IQ_TOTAL_REVENUE", DS$3, $I$3, $N$3, , $J$3, $K$3))),"")</f>
        <v/>
      </c>
      <c r="DT8" s="87" t="str">
        <f>IFERROR(IF(OR($B8="",DT$3=""),"",IF(OR(NOT(ISNUMBER(_xll.ciqfunctions.udf.CIQ($B8, "IQ_COGS", DT$3, $I$3, $N$3, , $J$3, $K$3))),NOT(ISNUMBER(_xll.ciqfunctions.udf.CIQ($B8, "IQ_TOTAL_REVENUE", DT$3, $I$3, $N$3, , $J$3, $K$3)))),"",_xll.ciqfunctions.udf.CIQ($B8, "IQ_COGS", DT$3, $I$3, $N$3, , $J$3, $K$3)/_xll.ciqfunctions.udf.CIQ($B8, "IQ_TOTAL_REVENUE", DT$3, $I$3, $N$3, , $J$3, $K$3))),"")</f>
        <v/>
      </c>
      <c r="DU8" s="87" t="str">
        <f>IFERROR(IF(OR($B8="",DU$3=""),"",IF(OR(NOT(ISNUMBER(_xll.ciqfunctions.udf.CIQ($B8, "IQ_COGS", DU$3, $I$3, $N$3, , $J$3, $K$3))),NOT(ISNUMBER(_xll.ciqfunctions.udf.CIQ($B8, "IQ_TOTAL_REVENUE", DU$3, $I$3, $N$3, , $J$3, $K$3)))),"",_xll.ciqfunctions.udf.CIQ($B8, "IQ_COGS", DU$3, $I$3, $N$3, , $J$3, $K$3)/_xll.ciqfunctions.udf.CIQ($B8, "IQ_TOTAL_REVENUE", DU$3, $I$3, $N$3, , $J$3, $K$3))),"")</f>
        <v/>
      </c>
      <c r="DV8" s="87" t="str">
        <f>IFERROR(IF(OR($B8="",DV$3=""),"",IF(OR(NOT(ISNUMBER(_xll.ciqfunctions.udf.CIQ($B8, "IQ_COGS", DV$3, $I$3, $N$3, , $J$3, $K$3))),NOT(ISNUMBER(_xll.ciqfunctions.udf.CIQ($B8, "IQ_TOTAL_REVENUE", DV$3, $I$3, $N$3, , $J$3, $K$3)))),"",_xll.ciqfunctions.udf.CIQ($B8, "IQ_COGS", DV$3, $I$3, $N$3, , $J$3, $K$3)/_xll.ciqfunctions.udf.CIQ($B8, "IQ_TOTAL_REVENUE", DV$3, $I$3, $N$3, , $J$3, $K$3))),"")</f>
        <v/>
      </c>
      <c r="DW8" s="87" t="str">
        <f>IFERROR(IF(OR($B8="",DW$3=""),"",IF(OR(NOT(ISNUMBER(_xll.ciqfunctions.udf.CIQ($B8, "IQ_COGS", DW$3, $I$3, $N$3, , $J$3, $K$3))),NOT(ISNUMBER(_xll.ciqfunctions.udf.CIQ($B8, "IQ_TOTAL_REVENUE", DW$3, $I$3, $N$3, , $J$3, $K$3)))),"",_xll.ciqfunctions.udf.CIQ($B8, "IQ_COGS", DW$3, $I$3, $N$3, , $J$3, $K$3)/_xll.ciqfunctions.udf.CIQ($B8, "IQ_TOTAL_REVENUE", DW$3, $I$3, $N$3, , $J$3, $K$3))),"")</f>
        <v/>
      </c>
      <c r="DX8" s="87" t="str">
        <f>IFERROR(IF(OR($B8="",DX$3=""),"",IF(OR(NOT(ISNUMBER(_xll.ciqfunctions.udf.CIQ($B8, "IQ_COGS", DX$3, $I$3, $N$3, , $J$3, $K$3))),NOT(ISNUMBER(_xll.ciqfunctions.udf.CIQ($B8, "IQ_TOTAL_REVENUE", DX$3, $I$3, $N$3, , $J$3, $K$3)))),"",_xll.ciqfunctions.udf.CIQ($B8, "IQ_COGS", DX$3, $I$3, $N$3, , $J$3, $K$3)/_xll.ciqfunctions.udf.CIQ($B8, "IQ_TOTAL_REVENUE", DX$3, $I$3, $N$3, , $J$3, $K$3))),"")</f>
        <v/>
      </c>
      <c r="DY8" s="87" t="str">
        <f>IFERROR(IF(OR($B8="",DY$3=""),"",IF(OR(NOT(ISNUMBER(_xll.ciqfunctions.udf.CIQ($B8, "IQ_COGS", DY$3, $I$3, $N$3, , $J$3, $K$3))),NOT(ISNUMBER(_xll.ciqfunctions.udf.CIQ($B8, "IQ_TOTAL_REVENUE", DY$3, $I$3, $N$3, , $J$3, $K$3)))),"",_xll.ciqfunctions.udf.CIQ($B8, "IQ_COGS", DY$3, $I$3, $N$3, , $J$3, $K$3)/_xll.ciqfunctions.udf.CIQ($B8, "IQ_TOTAL_REVENUE", DY$3, $I$3, $N$3, , $J$3, $K$3))),"")</f>
        <v/>
      </c>
      <c r="DZ8" s="87" t="str">
        <f>IFERROR(IF(OR($B8="",DZ$3=""),"",IF(OR(NOT(ISNUMBER(_xll.ciqfunctions.udf.CIQ($B8, "IQ_COGS", DZ$3, $I$3, $N$3, , $J$3, $K$3))),NOT(ISNUMBER(_xll.ciqfunctions.udf.CIQ($B8, "IQ_TOTAL_REVENUE", DZ$3, $I$3, $N$3, , $J$3, $K$3)))),"",_xll.ciqfunctions.udf.CIQ($B8, "IQ_COGS", DZ$3, $I$3, $N$3, , $J$3, $K$3)/_xll.ciqfunctions.udf.CIQ($B8, "IQ_TOTAL_REVENUE", DZ$3, $I$3, $N$3, , $J$3, $K$3))),"")</f>
        <v/>
      </c>
      <c r="EA8" s="87" t="str">
        <f>IFERROR(IF(OR($B8="",EA$3=""),"",IF(OR(NOT(ISNUMBER(_xll.ciqfunctions.udf.CIQ($B8, "IQ_COGS", EA$3, $I$3, $N$3, , $J$3, $K$3))),NOT(ISNUMBER(_xll.ciqfunctions.udf.CIQ($B8, "IQ_TOTAL_REVENUE", EA$3, $I$3, $N$3, , $J$3, $K$3)))),"",_xll.ciqfunctions.udf.CIQ($B8, "IQ_COGS", EA$3, $I$3, $N$3, , $J$3, $K$3)/_xll.ciqfunctions.udf.CIQ($B8, "IQ_TOTAL_REVENUE", EA$3, $I$3, $N$3, , $J$3, $K$3))),"")</f>
        <v/>
      </c>
      <c r="EB8" s="88" t="str">
        <f>IFERROR(IF(OR($B8="",EB$3=""),"",IF(OR(NOT(ISNUMBER(_xll.ciqfunctions.udf.CIQ($B8, "IQ_COGS", EB$3, $I$3, $N$3, , $J$3, $K$3))),NOT(ISNUMBER(_xll.ciqfunctions.udf.CIQ($B8, "IQ_TOTAL_REVENUE", EB$3, $I$3, $N$3, , $J$3, $K$3)))),"",_xll.ciqfunctions.udf.CIQ($B8, "IQ_COGS", EB$3, $I$3, $N$3, , $J$3, $K$3)/_xll.ciqfunctions.udf.CIQ($B8, "IQ_TOTAL_REVENUE", EB$3, $I$3, $N$3, , $J$3, $K$3))),"")</f>
        <v/>
      </c>
      <c r="EC8" s="86">
        <f>IFERROR(IF(OR($B8="",EC$3=""),"",(_xll.ciqfunctions.udf.CIQ($B8,"IQ_TOTAL_REVENUE",EC$3, $I$3, $N$3, , $J$3, $K$3)-_xll.ciqfunctions.udf.CIQ($B8,"IQ_COGS",EC$3, $I$3, $N$3, , $J$3, $K$3)-_xll.ciqfunctions.udf.CIQ($B8,"IQ_EBITDA",EC$3, $I$3, $N$3, , $J$3, $K$3))/_xll.ciqfunctions.udf.CIQ($B8,"IQ_TOTAL_REVENUE",EC$3, $I$3, $N$3, , $J$3, $K$3)),"")</f>
        <v>8.1212700163479146E-2</v>
      </c>
      <c r="ED8" s="87" t="str">
        <f>IFERROR(IF(OR($B8="",ED$3=""),"",(_xll.ciqfunctions.udf.CIQ($B8,"IQ_TOTAL_REVENUE",ED$3, $I$3, $N$3, , $J$3, $K$3)-_xll.ciqfunctions.udf.CIQ($B8,"IQ_COGS",ED$3, $I$3, $N$3, , $J$3, $K$3)-_xll.ciqfunctions.udf.CIQ($B8,"IQ_EBITDA",ED$3, $I$3, $N$3, , $J$3, $K$3))/_xll.ciqfunctions.udf.CIQ($B8,"IQ_TOTAL_REVENUE",ED$3, $I$3, $N$3, , $J$3, $K$3)),"")</f>
        <v/>
      </c>
      <c r="EE8" s="87" t="str">
        <f>IFERROR(IF(OR($B8="",EE$3=""),"",(_xll.ciqfunctions.udf.CIQ($B8,"IQ_TOTAL_REVENUE",EE$3, $I$3, $N$3, , $J$3, $K$3)-_xll.ciqfunctions.udf.CIQ($B8,"IQ_COGS",EE$3, $I$3, $N$3, , $J$3, $K$3)-_xll.ciqfunctions.udf.CIQ($B8,"IQ_EBITDA",EE$3, $I$3, $N$3, , $J$3, $K$3))/_xll.ciqfunctions.udf.CIQ($B8,"IQ_TOTAL_REVENUE",EE$3, $I$3, $N$3, , $J$3, $K$3)),"")</f>
        <v/>
      </c>
      <c r="EF8" s="87" t="str">
        <f>IFERROR(IF(OR($B8="",EF$3=""),"",(_xll.ciqfunctions.udf.CIQ($B8,"IQ_TOTAL_REVENUE",EF$3, $I$3, $N$3, , $J$3, $K$3)-_xll.ciqfunctions.udf.CIQ($B8,"IQ_COGS",EF$3, $I$3, $N$3, , $J$3, $K$3)-_xll.ciqfunctions.udf.CIQ($B8,"IQ_EBITDA",EF$3, $I$3, $N$3, , $J$3, $K$3))/_xll.ciqfunctions.udf.CIQ($B8,"IQ_TOTAL_REVENUE",EF$3, $I$3, $N$3, , $J$3, $K$3)),"")</f>
        <v/>
      </c>
      <c r="EG8" s="87" t="str">
        <f>IFERROR(IF(OR($B8="",EG$3=""),"",(_xll.ciqfunctions.udf.CIQ($B8,"IQ_TOTAL_REVENUE",EG$3, $I$3, $N$3, , $J$3, $K$3)-_xll.ciqfunctions.udf.CIQ($B8,"IQ_COGS",EG$3, $I$3, $N$3, , $J$3, $K$3)-_xll.ciqfunctions.udf.CIQ($B8,"IQ_EBITDA",EG$3, $I$3, $N$3, , $J$3, $K$3))/_xll.ciqfunctions.udf.CIQ($B8,"IQ_TOTAL_REVENUE",EG$3, $I$3, $N$3, , $J$3, $K$3)),"")</f>
        <v/>
      </c>
      <c r="EH8" s="87" t="str">
        <f>IFERROR(IF(OR($B8="",EH$3=""),"",(_xll.ciqfunctions.udf.CIQ($B8,"IQ_TOTAL_REVENUE",EH$3, $I$3, $N$3, , $J$3, $K$3)-_xll.ciqfunctions.udf.CIQ($B8,"IQ_COGS",EH$3, $I$3, $N$3, , $J$3, $K$3)-_xll.ciqfunctions.udf.CIQ($B8,"IQ_EBITDA",EH$3, $I$3, $N$3, , $J$3, $K$3))/_xll.ciqfunctions.udf.CIQ($B8,"IQ_TOTAL_REVENUE",EH$3, $I$3, $N$3, , $J$3, $K$3)),"")</f>
        <v/>
      </c>
      <c r="EI8" s="87" t="str">
        <f>IFERROR(IF(OR($B8="",EI$3=""),"",(_xll.ciqfunctions.udf.CIQ($B8,"IQ_TOTAL_REVENUE",EI$3, $I$3, $N$3, , $J$3, $K$3)-_xll.ciqfunctions.udf.CIQ($B8,"IQ_COGS",EI$3, $I$3, $N$3, , $J$3, $K$3)-_xll.ciqfunctions.udf.CIQ($B8,"IQ_EBITDA",EI$3, $I$3, $N$3, , $J$3, $K$3))/_xll.ciqfunctions.udf.CIQ($B8,"IQ_TOTAL_REVENUE",EI$3, $I$3, $N$3, , $J$3, $K$3)),"")</f>
        <v/>
      </c>
      <c r="EJ8" s="87" t="str">
        <f>IFERROR(IF(OR($B8="",EJ$3=""),"",(_xll.ciqfunctions.udf.CIQ($B8,"IQ_TOTAL_REVENUE",EJ$3, $I$3, $N$3, , $J$3, $K$3)-_xll.ciqfunctions.udf.CIQ($B8,"IQ_COGS",EJ$3, $I$3, $N$3, , $J$3, $K$3)-_xll.ciqfunctions.udf.CIQ($B8,"IQ_EBITDA",EJ$3, $I$3, $N$3, , $J$3, $K$3))/_xll.ciqfunctions.udf.CIQ($B8,"IQ_TOTAL_REVENUE",EJ$3, $I$3, $N$3, , $J$3, $K$3)),"")</f>
        <v/>
      </c>
      <c r="EK8" s="87" t="str">
        <f>IFERROR(IF(OR($B8="",EK$3=""),"",(_xll.ciqfunctions.udf.CIQ($B8,"IQ_TOTAL_REVENUE",EK$3, $I$3, $N$3, , $J$3, $K$3)-_xll.ciqfunctions.udf.CIQ($B8,"IQ_COGS",EK$3, $I$3, $N$3, , $J$3, $K$3)-_xll.ciqfunctions.udf.CIQ($B8,"IQ_EBITDA",EK$3, $I$3, $N$3, , $J$3, $K$3))/_xll.ciqfunctions.udf.CIQ($B8,"IQ_TOTAL_REVENUE",EK$3, $I$3, $N$3, , $J$3, $K$3)),"")</f>
        <v/>
      </c>
      <c r="EL8" s="87" t="str">
        <f>IFERROR(IF(OR($B8="",EL$3=""),"",(_xll.ciqfunctions.udf.CIQ($B8,"IQ_TOTAL_REVENUE",EL$3, $I$3, $N$3, , $J$3, $K$3)-_xll.ciqfunctions.udf.CIQ($B8,"IQ_COGS",EL$3, $I$3, $N$3, , $J$3, $K$3)-_xll.ciqfunctions.udf.CIQ($B8,"IQ_EBITDA",EL$3, $I$3, $N$3, , $J$3, $K$3))/_xll.ciqfunctions.udf.CIQ($B8,"IQ_TOTAL_REVENUE",EL$3, $I$3, $N$3, , $J$3, $K$3)),"")</f>
        <v/>
      </c>
      <c r="EM8" s="87" t="str">
        <f>IFERROR(IF(OR($B8="",EM$3=""),"",(_xll.ciqfunctions.udf.CIQ($B8,"IQ_TOTAL_REVENUE",EM$3, $I$3, $N$3, , $J$3, $K$3)-_xll.ciqfunctions.udf.CIQ($B8,"IQ_COGS",EM$3, $I$3, $N$3, , $J$3, $K$3)-_xll.ciqfunctions.udf.CIQ($B8,"IQ_EBITDA",EM$3, $I$3, $N$3, , $J$3, $K$3))/_xll.ciqfunctions.udf.CIQ($B8,"IQ_TOTAL_REVENUE",EM$3, $I$3, $N$3, , $J$3, $K$3)),"")</f>
        <v/>
      </c>
      <c r="EN8" s="87" t="str">
        <f>IFERROR(IF(OR($B8="",EN$3=""),"",(_xll.ciqfunctions.udf.CIQ($B8,"IQ_TOTAL_REVENUE",EN$3, $I$3, $N$3, , $J$3, $K$3)-_xll.ciqfunctions.udf.CIQ($B8,"IQ_COGS",EN$3, $I$3, $N$3, , $J$3, $K$3)-_xll.ciqfunctions.udf.CIQ($B8,"IQ_EBITDA",EN$3, $I$3, $N$3, , $J$3, $K$3))/_xll.ciqfunctions.udf.CIQ($B8,"IQ_TOTAL_REVENUE",EN$3, $I$3, $N$3, , $J$3, $K$3)),"")</f>
        <v/>
      </c>
      <c r="EO8" s="87" t="str">
        <f>IFERROR(IF(OR($B8="",EO$3=""),"",(_xll.ciqfunctions.udf.CIQ($B8,"IQ_TOTAL_REVENUE",EO$3, $I$3, $N$3, , $J$3, $K$3)-_xll.ciqfunctions.udf.CIQ($B8,"IQ_COGS",EO$3, $I$3, $N$3, , $J$3, $K$3)-_xll.ciqfunctions.udf.CIQ($B8,"IQ_EBITDA",EO$3, $I$3, $N$3, , $J$3, $K$3))/_xll.ciqfunctions.udf.CIQ($B8,"IQ_TOTAL_REVENUE",EO$3, $I$3, $N$3, , $J$3, $K$3)),"")</f>
        <v/>
      </c>
      <c r="EP8" s="87" t="str">
        <f>IFERROR(IF(OR($B8="",EP$3=""),"",(_xll.ciqfunctions.udf.CIQ($B8,"IQ_TOTAL_REVENUE",EP$3, $I$3, $N$3, , $J$3, $K$3)-_xll.ciqfunctions.udf.CIQ($B8,"IQ_COGS",EP$3, $I$3, $N$3, , $J$3, $K$3)-_xll.ciqfunctions.udf.CIQ($B8,"IQ_EBITDA",EP$3, $I$3, $N$3, , $J$3, $K$3))/_xll.ciqfunctions.udf.CIQ($B8,"IQ_TOTAL_REVENUE",EP$3, $I$3, $N$3, , $J$3, $K$3)),"")</f>
        <v/>
      </c>
      <c r="EQ8" s="87" t="str">
        <f>IFERROR(IF(OR($B8="",EQ$3=""),"",(_xll.ciqfunctions.udf.CIQ($B8,"IQ_TOTAL_REVENUE",EQ$3, $I$3, $N$3, , $J$3, $K$3)-_xll.ciqfunctions.udf.CIQ($B8,"IQ_COGS",EQ$3, $I$3, $N$3, , $J$3, $K$3)-_xll.ciqfunctions.udf.CIQ($B8,"IQ_EBITDA",EQ$3, $I$3, $N$3, , $J$3, $K$3))/_xll.ciqfunctions.udf.CIQ($B8,"IQ_TOTAL_REVENUE",EQ$3, $I$3, $N$3, , $J$3, $K$3)),"")</f>
        <v/>
      </c>
      <c r="ER8" s="87" t="str">
        <f>IFERROR(IF(OR($B8="",ER$3=""),"",(_xll.ciqfunctions.udf.CIQ($B8,"IQ_TOTAL_REVENUE",ER$3, $I$3, $N$3, , $J$3, $K$3)-_xll.ciqfunctions.udf.CIQ($B8,"IQ_COGS",ER$3, $I$3, $N$3, , $J$3, $K$3)-_xll.ciqfunctions.udf.CIQ($B8,"IQ_EBITDA",ER$3, $I$3, $N$3, , $J$3, $K$3))/_xll.ciqfunctions.udf.CIQ($B8,"IQ_TOTAL_REVENUE",ER$3, $I$3, $N$3, , $J$3, $K$3)),"")</f>
        <v/>
      </c>
      <c r="ES8" s="87" t="str">
        <f>IFERROR(IF(OR($B8="",ES$3=""),"",(_xll.ciqfunctions.udf.CIQ($B8,"IQ_TOTAL_REVENUE",ES$3, $I$3, $N$3, , $J$3, $K$3)-_xll.ciqfunctions.udf.CIQ($B8,"IQ_COGS",ES$3, $I$3, $N$3, , $J$3, $K$3)-_xll.ciqfunctions.udf.CIQ($B8,"IQ_EBITDA",ES$3, $I$3, $N$3, , $J$3, $K$3))/_xll.ciqfunctions.udf.CIQ($B8,"IQ_TOTAL_REVENUE",ES$3, $I$3, $N$3, , $J$3, $K$3)),"")</f>
        <v/>
      </c>
      <c r="ET8" s="87" t="str">
        <f>IFERROR(IF(OR($B8="",ET$3=""),"",(_xll.ciqfunctions.udf.CIQ($B8,"IQ_TOTAL_REVENUE",ET$3, $I$3, $N$3, , $J$3, $K$3)-_xll.ciqfunctions.udf.CIQ($B8,"IQ_COGS",ET$3, $I$3, $N$3, , $J$3, $K$3)-_xll.ciqfunctions.udf.CIQ($B8,"IQ_EBITDA",ET$3, $I$3, $N$3, , $J$3, $K$3))/_xll.ciqfunctions.udf.CIQ($B8,"IQ_TOTAL_REVENUE",ET$3, $I$3, $N$3, , $J$3, $K$3)),"")</f>
        <v/>
      </c>
      <c r="EU8" s="87" t="str">
        <f>IFERROR(IF(OR($B8="",EU$3=""),"",(_xll.ciqfunctions.udf.CIQ($B8,"IQ_TOTAL_REVENUE",EU$3, $I$3, $N$3, , $J$3, $K$3)-_xll.ciqfunctions.udf.CIQ($B8,"IQ_COGS",EU$3, $I$3, $N$3, , $J$3, $K$3)-_xll.ciqfunctions.udf.CIQ($B8,"IQ_EBITDA",EU$3, $I$3, $N$3, , $J$3, $K$3))/_xll.ciqfunctions.udf.CIQ($B8,"IQ_TOTAL_REVENUE",EU$3, $I$3, $N$3, , $J$3, $K$3)),"")</f>
        <v/>
      </c>
      <c r="EV8" s="88" t="str">
        <f>IFERROR(IF(OR($B8="",EV$3=""),"",(_xll.ciqfunctions.udf.CIQ($B8,"IQ_TOTAL_REVENUE",EV$3, $I$3, $N$3, , $J$3, $K$3)-_xll.ciqfunctions.udf.CIQ($B8,"IQ_COGS",EV$3, $I$3, $N$3, , $J$3, $K$3)-_xll.ciqfunctions.udf.CIQ($B8,"IQ_EBITDA",EV$3, $I$3, $N$3, , $J$3, $K$3))/_xll.ciqfunctions.udf.CIQ($B8,"IQ_TOTAL_REVENUE",EV$3, $I$3, $N$3, , $J$3, $K$3)),"")</f>
        <v/>
      </c>
      <c r="EW8" s="72">
        <f>IFERROR(IF(OR($B8="",EW$3=""),"",IF(AND($EW$4="No",_xll.ciqfunctions.udf.CIQ($B8, "IQ_SGA_MARGIN", EW$3, $I$3, $N$3, , $J$3, $K$3)&lt;=0),"",_xll.ciqfunctions.udf.CIQ($B8, "IQ_SGA_MARGIN", EW$3, $I$3, $N$3, , $J$3, $K$3)/100)),"")</f>
        <v>8.9746000000000006E-2</v>
      </c>
      <c r="EX8" s="72" t="str">
        <f>IFERROR(IF(OR($B8="",EX$3=""),"",IF(AND($EW$4="No",_xll.ciqfunctions.udf.CIQ($B8, "IQ_SGA_MARGIN", EX$3, $I$3, $N$3, , $J$3, $K$3)&lt;=0),"",_xll.ciqfunctions.udf.CIQ($B8, "IQ_SGA_MARGIN", EX$3, $I$3, $N$3, , $J$3, $K$3)/100)),"")</f>
        <v/>
      </c>
      <c r="EY8" s="72" t="str">
        <f>IFERROR(IF(OR($B8="",EY$3=""),"",IF(AND($EW$4="No",_xll.ciqfunctions.udf.CIQ($B8, "IQ_SGA_MARGIN", EY$3, $I$3, $N$3, , $J$3, $K$3)&lt;=0),"",_xll.ciqfunctions.udf.CIQ($B8, "IQ_SGA_MARGIN", EY$3, $I$3, $N$3, , $J$3, $K$3)/100)),"")</f>
        <v/>
      </c>
      <c r="EZ8" s="72" t="str">
        <f>IFERROR(IF(OR($B8="",EZ$3=""),"",IF(AND($EW$4="No",_xll.ciqfunctions.udf.CIQ($B8, "IQ_SGA_MARGIN", EZ$3, $I$3, $N$3, , $J$3, $K$3)&lt;=0),"",_xll.ciqfunctions.udf.CIQ($B8, "IQ_SGA_MARGIN", EZ$3, $I$3, $N$3, , $J$3, $K$3)/100)),"")</f>
        <v/>
      </c>
      <c r="FA8" s="72" t="str">
        <f>IFERROR(IF(OR($B8="",FA$3=""),"",IF(AND($EW$4="No",_xll.ciqfunctions.udf.CIQ($B8, "IQ_SGA_MARGIN", FA$3, $I$3, $N$3, , $J$3, $K$3)&lt;=0),"",_xll.ciqfunctions.udf.CIQ($B8, "IQ_SGA_MARGIN", FA$3, $I$3, $N$3, , $J$3, $K$3)/100)),"")</f>
        <v/>
      </c>
      <c r="FB8" s="72" t="str">
        <f>IFERROR(IF(OR($B8="",FB$3=""),"",IF(AND($EW$4="No",_xll.ciqfunctions.udf.CIQ($B8, "IQ_SGA_MARGIN", FB$3, $I$3, $N$3, , $J$3, $K$3)&lt;=0),"",_xll.ciqfunctions.udf.CIQ($B8, "IQ_SGA_MARGIN", FB$3, $I$3, $N$3, , $J$3, $K$3)/100)),"")</f>
        <v/>
      </c>
      <c r="FC8" s="72" t="str">
        <f>IFERROR(IF(OR($B8="",FC$3=""),"",IF(AND($EW$4="No",_xll.ciqfunctions.udf.CIQ($B8, "IQ_SGA_MARGIN", FC$3, $I$3, $N$3, , $J$3, $K$3)&lt;=0),"",_xll.ciqfunctions.udf.CIQ($B8, "IQ_SGA_MARGIN", FC$3, $I$3, $N$3, , $J$3, $K$3)/100)),"")</f>
        <v/>
      </c>
      <c r="FD8" s="72" t="str">
        <f>IFERROR(IF(OR($B8="",FD$3=""),"",IF(AND($EW$4="No",_xll.ciqfunctions.udf.CIQ($B8, "IQ_SGA_MARGIN", FD$3, $I$3, $N$3, , $J$3, $K$3)&lt;=0),"",_xll.ciqfunctions.udf.CIQ($B8, "IQ_SGA_MARGIN", FD$3, $I$3, $N$3, , $J$3, $K$3)/100)),"")</f>
        <v/>
      </c>
      <c r="FE8" s="72" t="str">
        <f>IFERROR(IF(OR($B8="",FE$3=""),"",IF(AND($EW$4="No",_xll.ciqfunctions.udf.CIQ($B8, "IQ_SGA_MARGIN", FE$3, $I$3, $N$3, , $J$3, $K$3)&lt;=0),"",_xll.ciqfunctions.udf.CIQ($B8, "IQ_SGA_MARGIN", FE$3, $I$3, $N$3, , $J$3, $K$3)/100)),"")</f>
        <v/>
      </c>
      <c r="FF8" s="72" t="str">
        <f>IFERROR(IF(OR($B8="",FF$3=""),"",IF(AND($EW$4="No",_xll.ciqfunctions.udf.CIQ($B8, "IQ_SGA_MARGIN", FF$3, $I$3, $N$3, , $J$3, $K$3)&lt;=0),"",_xll.ciqfunctions.udf.CIQ($B8, "IQ_SGA_MARGIN", FF$3, $I$3, $N$3, , $J$3, $K$3)/100)),"")</f>
        <v/>
      </c>
      <c r="FG8" s="72" t="str">
        <f>IFERROR(IF(OR($B8="",FG$3=""),"",IF(AND($EW$4="No",_xll.ciqfunctions.udf.CIQ($B8, "IQ_SGA_MARGIN", FG$3, $I$3, $N$3, , $J$3, $K$3)&lt;=0),"",_xll.ciqfunctions.udf.CIQ($B8, "IQ_SGA_MARGIN", FG$3, $I$3, $N$3, , $J$3, $K$3)/100)),"")</f>
        <v/>
      </c>
      <c r="FH8" s="72" t="str">
        <f>IFERROR(IF(OR($B8="",FH$3=""),"",IF(AND($EW$4="No",_xll.ciqfunctions.udf.CIQ($B8, "IQ_SGA_MARGIN", FH$3, $I$3, $N$3, , $J$3, $K$3)&lt;=0),"",_xll.ciqfunctions.udf.CIQ($B8, "IQ_SGA_MARGIN", FH$3, $I$3, $N$3, , $J$3, $K$3)/100)),"")</f>
        <v/>
      </c>
      <c r="FI8" s="72" t="str">
        <f>IFERROR(IF(OR($B8="",FI$3=""),"",IF(AND($EW$4="No",_xll.ciqfunctions.udf.CIQ($B8, "IQ_SGA_MARGIN", FI$3, $I$3, $N$3, , $J$3, $K$3)&lt;=0),"",_xll.ciqfunctions.udf.CIQ($B8, "IQ_SGA_MARGIN", FI$3, $I$3, $N$3, , $J$3, $K$3)/100)),"")</f>
        <v/>
      </c>
      <c r="FJ8" s="72" t="str">
        <f>IFERROR(IF(OR($B8="",FJ$3=""),"",IF(AND($EW$4="No",_xll.ciqfunctions.udf.CIQ($B8, "IQ_SGA_MARGIN", FJ$3, $I$3, $N$3, , $J$3, $K$3)&lt;=0),"",_xll.ciqfunctions.udf.CIQ($B8, "IQ_SGA_MARGIN", FJ$3, $I$3, $N$3, , $J$3, $K$3)/100)),"")</f>
        <v/>
      </c>
      <c r="FK8" s="72" t="str">
        <f>IFERROR(IF(OR($B8="",FK$3=""),"",IF(AND($EW$4="No",_xll.ciqfunctions.udf.CIQ($B8, "IQ_SGA_MARGIN", FK$3, $I$3, $N$3, , $J$3, $K$3)&lt;=0),"",_xll.ciqfunctions.udf.CIQ($B8, "IQ_SGA_MARGIN", FK$3, $I$3, $N$3, , $J$3, $K$3)/100)),"")</f>
        <v/>
      </c>
      <c r="FL8" s="72" t="str">
        <f>IFERROR(IF(OR($B8="",FL$3=""),"",IF(AND($EW$4="No",_xll.ciqfunctions.udf.CIQ($B8, "IQ_SGA_MARGIN", FL$3, $I$3, $N$3, , $J$3, $K$3)&lt;=0),"",_xll.ciqfunctions.udf.CIQ($B8, "IQ_SGA_MARGIN", FL$3, $I$3, $N$3, , $J$3, $K$3)/100)),"")</f>
        <v/>
      </c>
      <c r="FM8" s="72" t="str">
        <f>IFERROR(IF(OR($B8="",FM$3=""),"",IF(AND($EW$4="No",_xll.ciqfunctions.udf.CIQ($B8, "IQ_SGA_MARGIN", FM$3, $I$3, $N$3, , $J$3, $K$3)&lt;=0),"",_xll.ciqfunctions.udf.CIQ($B8, "IQ_SGA_MARGIN", FM$3, $I$3, $N$3, , $J$3, $K$3)/100)),"")</f>
        <v/>
      </c>
      <c r="FN8" s="72" t="str">
        <f>IFERROR(IF(OR($B8="",FN$3=""),"",IF(AND($EW$4="No",_xll.ciqfunctions.udf.CIQ($B8, "IQ_SGA_MARGIN", FN$3, $I$3, $N$3, , $J$3, $K$3)&lt;=0),"",_xll.ciqfunctions.udf.CIQ($B8, "IQ_SGA_MARGIN", FN$3, $I$3, $N$3, , $J$3, $K$3)/100)),"")</f>
        <v/>
      </c>
      <c r="FO8" s="72" t="str">
        <f>IFERROR(IF(OR($B8="",FO$3=""),"",IF(AND($EW$4="No",_xll.ciqfunctions.udf.CIQ($B8, "IQ_SGA_MARGIN", FO$3, $I$3, $N$3, , $J$3, $K$3)&lt;=0),"",_xll.ciqfunctions.udf.CIQ($B8, "IQ_SGA_MARGIN", FO$3, $I$3, $N$3, , $J$3, $K$3)/100)),"")</f>
        <v/>
      </c>
      <c r="FP8" s="72" t="str">
        <f>IFERROR(IF(OR($B8="",FP$3=""),"",IF(AND($EW$4="No",_xll.ciqfunctions.udf.CIQ($B8, "IQ_SGA_MARGIN", FP$3, $I$3, $N$3, , $J$3, $K$3)&lt;=0),"",_xll.ciqfunctions.udf.CIQ($B8, "IQ_SGA_MARGIN", FP$3, $I$3, $N$3, , $J$3, $K$3)/100)),"")</f>
        <v/>
      </c>
      <c r="FQ8" s="86">
        <f>IFERROR(IF(OR($B8="",FQ$3=""),"",IF(AND($FQ$4="No",_xll.ciqfunctions.udf.CIQ($B8, "IQ_RD_EXP",FQ$3, $I$3, $N$3, , $J$3, $K$3)&lt;=0),"",_xll.ciqfunctions.udf.CIQ($B8, "IQ_RD_EXP",FQ$3, $I$3, $N$3, , $J$3, $K$3)/_xll.ciqfunctions.udf.CIQ($B8,"IQ_TOTAL_REV",FQ$3, $I$3, $N$3, , $J$3, $K$3))),"")</f>
        <v>0</v>
      </c>
      <c r="FR8" s="87" t="str">
        <f>IFERROR(IF(OR($B8="",FR$3=""),"",IF(AND($FQ$4="No",_xll.ciqfunctions.udf.CIQ($B8, "IQ_RD_EXP",FR$3, $I$3, $N$3, , $J$3, $K$3)&lt;=0),"",_xll.ciqfunctions.udf.CIQ($B8, "IQ_RD_EXP",FR$3, $I$3, $N$3, , $J$3, $K$3)/_xll.ciqfunctions.udf.CIQ($B8,"IQ_TOTAL_REV",FR$3, $I$3, $N$3, , $J$3, $K$3))),"")</f>
        <v/>
      </c>
      <c r="FS8" s="87" t="str">
        <f>IFERROR(IF(OR($B8="",FS$3=""),"",IF(AND($FQ$4="No",_xll.ciqfunctions.udf.CIQ($B8, "IQ_RD_EXP",FS$3, $I$3, $N$3, , $J$3, $K$3)&lt;=0),"",_xll.ciqfunctions.udf.CIQ($B8, "IQ_RD_EXP",FS$3, $I$3, $N$3, , $J$3, $K$3)/_xll.ciqfunctions.udf.CIQ($B8,"IQ_TOTAL_REV",FS$3, $I$3, $N$3, , $J$3, $K$3))),"")</f>
        <v/>
      </c>
      <c r="FT8" s="87" t="str">
        <f>IFERROR(IF(OR($B8="",FT$3=""),"",IF(AND($FQ$4="No",_xll.ciqfunctions.udf.CIQ($B8, "IQ_RD_EXP",FT$3, $I$3, $N$3, , $J$3, $K$3)&lt;=0),"",_xll.ciqfunctions.udf.CIQ($B8, "IQ_RD_EXP",FT$3, $I$3, $N$3, , $J$3, $K$3)/_xll.ciqfunctions.udf.CIQ($B8,"IQ_TOTAL_REV",FT$3, $I$3, $N$3, , $J$3, $K$3))),"")</f>
        <v/>
      </c>
      <c r="FU8" s="87" t="str">
        <f>IFERROR(IF(OR($B8="",FU$3=""),"",IF(AND($FQ$4="No",_xll.ciqfunctions.udf.CIQ($B8, "IQ_RD_EXP",FU$3, $I$3, $N$3, , $J$3, $K$3)&lt;=0),"",_xll.ciqfunctions.udf.CIQ($B8, "IQ_RD_EXP",FU$3, $I$3, $N$3, , $J$3, $K$3)/_xll.ciqfunctions.udf.CIQ($B8,"IQ_TOTAL_REV",FU$3, $I$3, $N$3, , $J$3, $K$3))),"")</f>
        <v/>
      </c>
      <c r="FV8" s="87" t="str">
        <f>IFERROR(IF(OR($B8="",FV$3=""),"",IF(AND($FQ$4="No",_xll.ciqfunctions.udf.CIQ($B8, "IQ_RD_EXP",FV$3, $I$3, $N$3, , $J$3, $K$3)&lt;=0),"",_xll.ciqfunctions.udf.CIQ($B8, "IQ_RD_EXP",FV$3, $I$3, $N$3, , $J$3, $K$3)/_xll.ciqfunctions.udf.CIQ($B8,"IQ_TOTAL_REV",FV$3, $I$3, $N$3, , $J$3, $K$3))),"")</f>
        <v/>
      </c>
      <c r="FW8" s="87" t="str">
        <f>IFERROR(IF(OR($B8="",FW$3=""),"",IF(AND($FQ$4="No",_xll.ciqfunctions.udf.CIQ($B8, "IQ_RD_EXP",FW$3, $I$3, $N$3, , $J$3, $K$3)&lt;=0),"",_xll.ciqfunctions.udf.CIQ($B8, "IQ_RD_EXP",FW$3, $I$3, $N$3, , $J$3, $K$3)/_xll.ciqfunctions.udf.CIQ($B8,"IQ_TOTAL_REV",FW$3, $I$3, $N$3, , $J$3, $K$3))),"")</f>
        <v/>
      </c>
      <c r="FX8" s="87" t="str">
        <f>IFERROR(IF(OR($B8="",FX$3=""),"",IF(AND($FQ$4="No",_xll.ciqfunctions.udf.CIQ($B8, "IQ_RD_EXP",FX$3, $I$3, $N$3, , $J$3, $K$3)&lt;=0),"",_xll.ciqfunctions.udf.CIQ($B8, "IQ_RD_EXP",FX$3, $I$3, $N$3, , $J$3, $K$3)/_xll.ciqfunctions.udf.CIQ($B8,"IQ_TOTAL_REV",FX$3, $I$3, $N$3, , $J$3, $K$3))),"")</f>
        <v/>
      </c>
      <c r="FY8" s="87" t="str">
        <f>IFERROR(IF(OR($B8="",FY$3=""),"",IF(AND($FQ$4="No",_xll.ciqfunctions.udf.CIQ($B8, "IQ_RD_EXP",FY$3, $I$3, $N$3, , $J$3, $K$3)&lt;=0),"",_xll.ciqfunctions.udf.CIQ($B8, "IQ_RD_EXP",FY$3, $I$3, $N$3, , $J$3, $K$3)/_xll.ciqfunctions.udf.CIQ($B8,"IQ_TOTAL_REV",FY$3, $I$3, $N$3, , $J$3, $K$3))),"")</f>
        <v/>
      </c>
      <c r="FZ8" s="87" t="str">
        <f>IFERROR(IF(OR($B8="",FZ$3=""),"",IF(AND($FQ$4="No",_xll.ciqfunctions.udf.CIQ($B8, "IQ_RD_EXP",FZ$3, $I$3, $N$3, , $J$3, $K$3)&lt;=0),"",_xll.ciqfunctions.udf.CIQ($B8, "IQ_RD_EXP",FZ$3, $I$3, $N$3, , $J$3, $K$3)/_xll.ciqfunctions.udf.CIQ($B8,"IQ_TOTAL_REV",FZ$3, $I$3, $N$3, , $J$3, $K$3))),"")</f>
        <v/>
      </c>
      <c r="GA8" s="87" t="str">
        <f>IFERROR(IF(OR($B8="",GA$3=""),"",IF(AND($FQ$4="No",_xll.ciqfunctions.udf.CIQ($B8, "IQ_RD_EXP",GA$3, $I$3, $N$3, , $J$3, $K$3)&lt;=0),"",_xll.ciqfunctions.udf.CIQ($B8, "IQ_RD_EXP",GA$3, $I$3, $N$3, , $J$3, $K$3)/_xll.ciqfunctions.udf.CIQ($B8,"IQ_TOTAL_REV",GA$3, $I$3, $N$3, , $J$3, $K$3))),"")</f>
        <v/>
      </c>
      <c r="GB8" s="87" t="str">
        <f>IFERROR(IF(OR($B8="",GB$3=""),"",IF(AND($FQ$4="No",_xll.ciqfunctions.udf.CIQ($B8, "IQ_RD_EXP",GB$3, $I$3, $N$3, , $J$3, $K$3)&lt;=0),"",_xll.ciqfunctions.udf.CIQ($B8, "IQ_RD_EXP",GB$3, $I$3, $N$3, , $J$3, $K$3)/_xll.ciqfunctions.udf.CIQ($B8,"IQ_TOTAL_REV",GB$3, $I$3, $N$3, , $J$3, $K$3))),"")</f>
        <v/>
      </c>
      <c r="GC8" s="87" t="str">
        <f>IFERROR(IF(OR($B8="",GC$3=""),"",IF(AND($FQ$4="No",_xll.ciqfunctions.udf.CIQ($B8, "IQ_RD_EXP",GC$3, $I$3, $N$3, , $J$3, $K$3)&lt;=0),"",_xll.ciqfunctions.udf.CIQ($B8, "IQ_RD_EXP",GC$3, $I$3, $N$3, , $J$3, $K$3)/_xll.ciqfunctions.udf.CIQ($B8,"IQ_TOTAL_REV",GC$3, $I$3, $N$3, , $J$3, $K$3))),"")</f>
        <v/>
      </c>
      <c r="GD8" s="87" t="str">
        <f>IFERROR(IF(OR($B8="",GD$3=""),"",IF(AND($FQ$4="No",_xll.ciqfunctions.udf.CIQ($B8, "IQ_RD_EXP",GD$3, $I$3, $N$3, , $J$3, $K$3)&lt;=0),"",_xll.ciqfunctions.udf.CIQ($B8, "IQ_RD_EXP",GD$3, $I$3, $N$3, , $J$3, $K$3)/_xll.ciqfunctions.udf.CIQ($B8,"IQ_TOTAL_REV",GD$3, $I$3, $N$3, , $J$3, $K$3))),"")</f>
        <v/>
      </c>
      <c r="GE8" s="87" t="str">
        <f>IFERROR(IF(OR($B8="",GE$3=""),"",IF(AND($FQ$4="No",_xll.ciqfunctions.udf.CIQ($B8, "IQ_RD_EXP",GE$3, $I$3, $N$3, , $J$3, $K$3)&lt;=0),"",_xll.ciqfunctions.udf.CIQ($B8, "IQ_RD_EXP",GE$3, $I$3, $N$3, , $J$3, $K$3)/_xll.ciqfunctions.udf.CIQ($B8,"IQ_TOTAL_REV",GE$3, $I$3, $N$3, , $J$3, $K$3))),"")</f>
        <v/>
      </c>
      <c r="GF8" s="87" t="str">
        <f>IFERROR(IF(OR($B8="",GF$3=""),"",IF(AND($FQ$4="No",_xll.ciqfunctions.udf.CIQ($B8, "IQ_RD_EXP",GF$3, $I$3, $N$3, , $J$3, $K$3)&lt;=0),"",_xll.ciqfunctions.udf.CIQ($B8, "IQ_RD_EXP",GF$3, $I$3, $N$3, , $J$3, $K$3)/_xll.ciqfunctions.udf.CIQ($B8,"IQ_TOTAL_REV",GF$3, $I$3, $N$3, , $J$3, $K$3))),"")</f>
        <v/>
      </c>
      <c r="GG8" s="87" t="str">
        <f>IFERROR(IF(OR($B8="",GG$3=""),"",IF(AND($FQ$4="No",_xll.ciqfunctions.udf.CIQ($B8, "IQ_RD_EXP",GG$3, $I$3, $N$3, , $J$3, $K$3)&lt;=0),"",_xll.ciqfunctions.udf.CIQ($B8, "IQ_RD_EXP",GG$3, $I$3, $N$3, , $J$3, $K$3)/_xll.ciqfunctions.udf.CIQ($B8,"IQ_TOTAL_REV",GG$3, $I$3, $N$3, , $J$3, $K$3))),"")</f>
        <v/>
      </c>
      <c r="GH8" s="87" t="str">
        <f>IFERROR(IF(OR($B8="",GH$3=""),"",IF(AND($FQ$4="No",_xll.ciqfunctions.udf.CIQ($B8, "IQ_RD_EXP",GH$3, $I$3, $N$3, , $J$3, $K$3)&lt;=0),"",_xll.ciqfunctions.udf.CIQ($B8, "IQ_RD_EXP",GH$3, $I$3, $N$3, , $J$3, $K$3)/_xll.ciqfunctions.udf.CIQ($B8,"IQ_TOTAL_REV",GH$3, $I$3, $N$3, , $J$3, $K$3))),"")</f>
        <v/>
      </c>
      <c r="GI8" s="87" t="str">
        <f>IFERROR(IF(OR($B8="",GI$3=""),"",IF(AND($FQ$4="No",_xll.ciqfunctions.udf.CIQ($B8, "IQ_RD_EXP",GI$3, $I$3, $N$3, , $J$3, $K$3)&lt;=0),"",_xll.ciqfunctions.udf.CIQ($B8, "IQ_RD_EXP",GI$3, $I$3, $N$3, , $J$3, $K$3)/_xll.ciqfunctions.udf.CIQ($B8,"IQ_TOTAL_REV",GI$3, $I$3, $N$3, , $J$3, $K$3))),"")</f>
        <v/>
      </c>
      <c r="GJ8" s="88" t="str">
        <f>IFERROR(IF(OR($B8="",GJ$3=""),"",IF(AND($FQ$4="No",_xll.ciqfunctions.udf.CIQ($B8, "IQ_RD_EXP",GJ$3, $I$3, $N$3, , $J$3, $K$3)&lt;=0),"",_xll.ciqfunctions.udf.CIQ($B8, "IQ_RD_EXP",GJ$3, $I$3, $N$3, , $J$3, $K$3)/_xll.ciqfunctions.udf.CIQ($B8,"IQ_TOTAL_REV",GJ$3, $I$3, $N$3, , $J$3, $K$3))),"")</f>
        <v/>
      </c>
      <c r="GK8" s="89">
        <f>IFERROR(IF(OR($B8="",GK$3=""),"",IF(AND($GK$4="No",(_xll.ciqfunctions.udf.CIQ($B8,"IQ_AR",GK$3, $I$3, $N$3, , $J$3, $K$3)+_xll.ciqfunctions.udf.CIQ($B8,"IQ_AR","IQ_" &amp; LEFT(GK$3,2) &amp; "-1",GK$3, $N$3, , $J$3, $K$3))&lt;=0),"",$GK$2*0.5*(_xll.ciqfunctions.udf.CIQ($B8,"IQ_AR",GK$3, $I$3, $N$3, , $J$3, $K$3)+_xll.ciqfunctions.udf.CIQ($B8,"IQ_AR","IQ_" &amp; LEFT(GK$3,2) &amp; "-1",GK$3, $N$3, , $J$3, $K$3))/_xll.ciqfunctions.udf.CIQ($B8,"IQ_TOTAL_REVENUE",GK$3, $I$3, $N$3, , $J$3, $K$3))),"")</f>
        <v>3.2153443895136986</v>
      </c>
      <c r="GL8" s="90" t="str">
        <f>IFERROR(IF(OR($B8="",GL$3=""),"",IF(AND($GK$4="No",(_xll.ciqfunctions.udf.CIQ($B8,"IQ_AR",GL$3, $I$3, $N$3, , $J$3, $K$3)+_xll.ciqfunctions.udf.CIQ($B8,"IQ_AR","IQ_" &amp; LEFT(GL$3,2) &amp; "-1",GL$3, $N$3, , $J$3, $K$3))&lt;=0),"",$GK$2*0.5*(_xll.ciqfunctions.udf.CIQ($B8,"IQ_AR",GL$3, $I$3, $N$3, , $J$3, $K$3)+_xll.ciqfunctions.udf.CIQ($B8,"IQ_AR","IQ_" &amp; LEFT(GL$3,2) &amp; "-1",GL$3, $N$3, , $J$3, $K$3))/_xll.ciqfunctions.udf.CIQ($B8,"IQ_TOTAL_REVENUE",GL$3, $I$3, $N$3, , $J$3, $K$3))),"")</f>
        <v/>
      </c>
      <c r="GM8" s="90" t="str">
        <f>IFERROR(IF(OR($B8="",GM$3=""),"",IF(AND($GK$4="No",(_xll.ciqfunctions.udf.CIQ($B8,"IQ_AR",GM$3, $I$3, $N$3, , $J$3, $K$3)+_xll.ciqfunctions.udf.CIQ($B8,"IQ_AR","IQ_" &amp; LEFT(GM$3,2) &amp; "-1",GM$3, $N$3, , $J$3, $K$3))&lt;=0),"",$GK$2*0.5*(_xll.ciqfunctions.udf.CIQ($B8,"IQ_AR",GM$3, $I$3, $N$3, , $J$3, $K$3)+_xll.ciqfunctions.udf.CIQ($B8,"IQ_AR","IQ_" &amp; LEFT(GM$3,2) &amp; "-1",GM$3, $N$3, , $J$3, $K$3))/_xll.ciqfunctions.udf.CIQ($B8,"IQ_TOTAL_REVENUE",GM$3, $I$3, $N$3, , $J$3, $K$3))),"")</f>
        <v/>
      </c>
      <c r="GN8" s="90" t="str">
        <f>IFERROR(IF(OR($B8="",GN$3=""),"",IF(AND($GK$4="No",(_xll.ciqfunctions.udf.CIQ($B8,"IQ_AR",GN$3, $I$3, $N$3, , $J$3, $K$3)+_xll.ciqfunctions.udf.CIQ($B8,"IQ_AR","IQ_" &amp; LEFT(GN$3,2) &amp; "-1",GN$3, $N$3, , $J$3, $K$3))&lt;=0),"",$GK$2*0.5*(_xll.ciqfunctions.udf.CIQ($B8,"IQ_AR",GN$3, $I$3, $N$3, , $J$3, $K$3)+_xll.ciqfunctions.udf.CIQ($B8,"IQ_AR","IQ_" &amp; LEFT(GN$3,2) &amp; "-1",GN$3, $N$3, , $J$3, $K$3))/_xll.ciqfunctions.udf.CIQ($B8,"IQ_TOTAL_REVENUE",GN$3, $I$3, $N$3, , $J$3, $K$3))),"")</f>
        <v/>
      </c>
      <c r="GO8" s="90" t="str">
        <f>IFERROR(IF(OR($B8="",GO$3=""),"",IF(AND($GK$4="No",(_xll.ciqfunctions.udf.CIQ($B8,"IQ_AR",GO$3, $I$3, $N$3, , $J$3, $K$3)+_xll.ciqfunctions.udf.CIQ($B8,"IQ_AR","IQ_" &amp; LEFT(GO$3,2) &amp; "-1",GO$3, $N$3, , $J$3, $K$3))&lt;=0),"",$GK$2*0.5*(_xll.ciqfunctions.udf.CIQ($B8,"IQ_AR",GO$3, $I$3, $N$3, , $J$3, $K$3)+_xll.ciqfunctions.udf.CIQ($B8,"IQ_AR","IQ_" &amp; LEFT(GO$3,2) &amp; "-1",GO$3, $N$3, , $J$3, $K$3))/_xll.ciqfunctions.udf.CIQ($B8,"IQ_TOTAL_REVENUE",GO$3, $I$3, $N$3, , $J$3, $K$3))),"")</f>
        <v/>
      </c>
      <c r="GP8" s="90" t="str">
        <f>IFERROR(IF(OR($B8="",GP$3=""),"",IF(AND($GK$4="No",(_xll.ciqfunctions.udf.CIQ($B8,"IQ_AR",GP$3, $I$3, $N$3, , $J$3, $K$3)+_xll.ciqfunctions.udf.CIQ($B8,"IQ_AR","IQ_" &amp; LEFT(GP$3,2) &amp; "-1",GP$3, $N$3, , $J$3, $K$3))&lt;=0),"",$GK$2*0.5*(_xll.ciqfunctions.udf.CIQ($B8,"IQ_AR",GP$3, $I$3, $N$3, , $J$3, $K$3)+_xll.ciqfunctions.udf.CIQ($B8,"IQ_AR","IQ_" &amp; LEFT(GP$3,2) &amp; "-1",GP$3, $N$3, , $J$3, $K$3))/_xll.ciqfunctions.udf.CIQ($B8,"IQ_TOTAL_REVENUE",GP$3, $I$3, $N$3, , $J$3, $K$3))),"")</f>
        <v/>
      </c>
      <c r="GQ8" s="90" t="str">
        <f>IFERROR(IF(OR($B8="",GQ$3=""),"",IF(AND($GK$4="No",(_xll.ciqfunctions.udf.CIQ($B8,"IQ_AR",GQ$3, $I$3, $N$3, , $J$3, $K$3)+_xll.ciqfunctions.udf.CIQ($B8,"IQ_AR","IQ_" &amp; LEFT(GQ$3,2) &amp; "-1",GQ$3, $N$3, , $J$3, $K$3))&lt;=0),"",$GK$2*0.5*(_xll.ciqfunctions.udf.CIQ($B8,"IQ_AR",GQ$3, $I$3, $N$3, , $J$3, $K$3)+_xll.ciqfunctions.udf.CIQ($B8,"IQ_AR","IQ_" &amp; LEFT(GQ$3,2) &amp; "-1",GQ$3, $N$3, , $J$3, $K$3))/_xll.ciqfunctions.udf.CIQ($B8,"IQ_TOTAL_REVENUE",GQ$3, $I$3, $N$3, , $J$3, $K$3))),"")</f>
        <v/>
      </c>
      <c r="GR8" s="90" t="str">
        <f>IFERROR(IF(OR($B8="",GR$3=""),"",IF(AND($GK$4="No",(_xll.ciqfunctions.udf.CIQ($B8,"IQ_AR",GR$3, $I$3, $N$3, , $J$3, $K$3)+_xll.ciqfunctions.udf.CIQ($B8,"IQ_AR","IQ_" &amp; LEFT(GR$3,2) &amp; "-1",GR$3, $N$3, , $J$3, $K$3))&lt;=0),"",$GK$2*0.5*(_xll.ciqfunctions.udf.CIQ($B8,"IQ_AR",GR$3, $I$3, $N$3, , $J$3, $K$3)+_xll.ciqfunctions.udf.CIQ($B8,"IQ_AR","IQ_" &amp; LEFT(GR$3,2) &amp; "-1",GR$3, $N$3, , $J$3, $K$3))/_xll.ciqfunctions.udf.CIQ($B8,"IQ_TOTAL_REVENUE",GR$3, $I$3, $N$3, , $J$3, $K$3))),"")</f>
        <v/>
      </c>
      <c r="GS8" s="90" t="str">
        <f>IFERROR(IF(OR($B8="",GS$3=""),"",IF(AND($GK$4="No",(_xll.ciqfunctions.udf.CIQ($B8,"IQ_AR",GS$3, $I$3, $N$3, , $J$3, $K$3)+_xll.ciqfunctions.udf.CIQ($B8,"IQ_AR","IQ_" &amp; LEFT(GS$3,2) &amp; "-1",GS$3, $N$3, , $J$3, $K$3))&lt;=0),"",$GK$2*0.5*(_xll.ciqfunctions.udf.CIQ($B8,"IQ_AR",GS$3, $I$3, $N$3, , $J$3, $K$3)+_xll.ciqfunctions.udf.CIQ($B8,"IQ_AR","IQ_" &amp; LEFT(GS$3,2) &amp; "-1",GS$3, $N$3, , $J$3, $K$3))/_xll.ciqfunctions.udf.CIQ($B8,"IQ_TOTAL_REVENUE",GS$3, $I$3, $N$3, , $J$3, $K$3))),"")</f>
        <v/>
      </c>
      <c r="GT8" s="90" t="str">
        <f>IFERROR(IF(OR($B8="",GT$3=""),"",IF(AND($GK$4="No",(_xll.ciqfunctions.udf.CIQ($B8,"IQ_AR",GT$3, $I$3, $N$3, , $J$3, $K$3)+_xll.ciqfunctions.udf.CIQ($B8,"IQ_AR","IQ_" &amp; LEFT(GT$3,2) &amp; "-1",GT$3, $N$3, , $J$3, $K$3))&lt;=0),"",$GK$2*0.5*(_xll.ciqfunctions.udf.CIQ($B8,"IQ_AR",GT$3, $I$3, $N$3, , $J$3, $K$3)+_xll.ciqfunctions.udf.CIQ($B8,"IQ_AR","IQ_" &amp; LEFT(GT$3,2) &amp; "-1",GT$3, $N$3, , $J$3, $K$3))/_xll.ciqfunctions.udf.CIQ($B8,"IQ_TOTAL_REVENUE",GT$3, $I$3, $N$3, , $J$3, $K$3))),"")</f>
        <v/>
      </c>
      <c r="GU8" s="90" t="str">
        <f>IFERROR(IF(OR($B8="",GU$3=""),"",IF(AND($GK$4="No",(_xll.ciqfunctions.udf.CIQ($B8,"IQ_AR",GU$3, $I$3, $N$3, , $J$3, $K$3)+_xll.ciqfunctions.udf.CIQ($B8,"IQ_AR","IQ_" &amp; LEFT(GU$3,2) &amp; "-1",GU$3, $N$3, , $J$3, $K$3))&lt;=0),"",$GK$2*0.5*(_xll.ciqfunctions.udf.CIQ($B8,"IQ_AR",GU$3, $I$3, $N$3, , $J$3, $K$3)+_xll.ciqfunctions.udf.CIQ($B8,"IQ_AR","IQ_" &amp; LEFT(GU$3,2) &amp; "-1",GU$3, $N$3, , $J$3, $K$3))/_xll.ciqfunctions.udf.CIQ($B8,"IQ_TOTAL_REVENUE",GU$3, $I$3, $N$3, , $J$3, $K$3))),"")</f>
        <v/>
      </c>
      <c r="GV8" s="90" t="str">
        <f>IFERROR(IF(OR($B8="",GV$3=""),"",IF(AND($GK$4="No",(_xll.ciqfunctions.udf.CIQ($B8,"IQ_AR",GV$3, $I$3, $N$3, , $J$3, $K$3)+_xll.ciqfunctions.udf.CIQ($B8,"IQ_AR","IQ_" &amp; LEFT(GV$3,2) &amp; "-1",GV$3, $N$3, , $J$3, $K$3))&lt;=0),"",$GK$2*0.5*(_xll.ciqfunctions.udf.CIQ($B8,"IQ_AR",GV$3, $I$3, $N$3, , $J$3, $K$3)+_xll.ciqfunctions.udf.CIQ($B8,"IQ_AR","IQ_" &amp; LEFT(GV$3,2) &amp; "-1",GV$3, $N$3, , $J$3, $K$3))/_xll.ciqfunctions.udf.CIQ($B8,"IQ_TOTAL_REVENUE",GV$3, $I$3, $N$3, , $J$3, $K$3))),"")</f>
        <v/>
      </c>
      <c r="GW8" s="90" t="str">
        <f>IFERROR(IF(OR($B8="",GW$3=""),"",IF(AND($GK$4="No",(_xll.ciqfunctions.udf.CIQ($B8,"IQ_AR",GW$3, $I$3, $N$3, , $J$3, $K$3)+_xll.ciqfunctions.udf.CIQ($B8,"IQ_AR","IQ_" &amp; LEFT(GW$3,2) &amp; "-1",GW$3, $N$3, , $J$3, $K$3))&lt;=0),"",$GK$2*0.5*(_xll.ciqfunctions.udf.CIQ($B8,"IQ_AR",GW$3, $I$3, $N$3, , $J$3, $K$3)+_xll.ciqfunctions.udf.CIQ($B8,"IQ_AR","IQ_" &amp; LEFT(GW$3,2) &amp; "-1",GW$3, $N$3, , $J$3, $K$3))/_xll.ciqfunctions.udf.CIQ($B8,"IQ_TOTAL_REVENUE",GW$3, $I$3, $N$3, , $J$3, $K$3))),"")</f>
        <v/>
      </c>
      <c r="GX8" s="90" t="str">
        <f>IFERROR(IF(OR($B8="",GX$3=""),"",IF(AND($GK$4="No",(_xll.ciqfunctions.udf.CIQ($B8,"IQ_AR",GX$3, $I$3, $N$3, , $J$3, $K$3)+_xll.ciqfunctions.udf.CIQ($B8,"IQ_AR","IQ_" &amp; LEFT(GX$3,2) &amp; "-1",GX$3, $N$3, , $J$3, $K$3))&lt;=0),"",$GK$2*0.5*(_xll.ciqfunctions.udf.CIQ($B8,"IQ_AR",GX$3, $I$3, $N$3, , $J$3, $K$3)+_xll.ciqfunctions.udf.CIQ($B8,"IQ_AR","IQ_" &amp; LEFT(GX$3,2) &amp; "-1",GX$3, $N$3, , $J$3, $K$3))/_xll.ciqfunctions.udf.CIQ($B8,"IQ_TOTAL_REVENUE",GX$3, $I$3, $N$3, , $J$3, $K$3))),"")</f>
        <v/>
      </c>
      <c r="GY8" s="90" t="str">
        <f>IFERROR(IF(OR($B8="",GY$3=""),"",IF(AND($GK$4="No",(_xll.ciqfunctions.udf.CIQ($B8,"IQ_AR",GY$3, $I$3, $N$3, , $J$3, $K$3)+_xll.ciqfunctions.udf.CIQ($B8,"IQ_AR","IQ_" &amp; LEFT(GY$3,2) &amp; "-1",GY$3, $N$3, , $J$3, $K$3))&lt;=0),"",$GK$2*0.5*(_xll.ciqfunctions.udf.CIQ($B8,"IQ_AR",GY$3, $I$3, $N$3, , $J$3, $K$3)+_xll.ciqfunctions.udf.CIQ($B8,"IQ_AR","IQ_" &amp; LEFT(GY$3,2) &amp; "-1",GY$3, $N$3, , $J$3, $K$3))/_xll.ciqfunctions.udf.CIQ($B8,"IQ_TOTAL_REVENUE",GY$3, $I$3, $N$3, , $J$3, $K$3))),"")</f>
        <v/>
      </c>
      <c r="GZ8" s="90" t="str">
        <f>IFERROR(IF(OR($B8="",GZ$3=""),"",IF(AND($GK$4="No",(_xll.ciqfunctions.udf.CIQ($B8,"IQ_AR",GZ$3, $I$3, $N$3, , $J$3, $K$3)+_xll.ciqfunctions.udf.CIQ($B8,"IQ_AR","IQ_" &amp; LEFT(GZ$3,2) &amp; "-1",GZ$3, $N$3, , $J$3, $K$3))&lt;=0),"",$GK$2*0.5*(_xll.ciqfunctions.udf.CIQ($B8,"IQ_AR",GZ$3, $I$3, $N$3, , $J$3, $K$3)+_xll.ciqfunctions.udf.CIQ($B8,"IQ_AR","IQ_" &amp; LEFT(GZ$3,2) &amp; "-1",GZ$3, $N$3, , $J$3, $K$3))/_xll.ciqfunctions.udf.CIQ($B8,"IQ_TOTAL_REVENUE",GZ$3, $I$3, $N$3, , $J$3, $K$3))),"")</f>
        <v/>
      </c>
      <c r="HA8" s="90" t="str">
        <f>IFERROR(IF(OR($B8="",HA$3=""),"",IF(AND($GK$4="No",(_xll.ciqfunctions.udf.CIQ($B8,"IQ_AR",HA$3, $I$3, $N$3, , $J$3, $K$3)+_xll.ciqfunctions.udf.CIQ($B8,"IQ_AR","IQ_" &amp; LEFT(HA$3,2) &amp; "-1",HA$3, $N$3, , $J$3, $K$3))&lt;=0),"",$GK$2*0.5*(_xll.ciqfunctions.udf.CIQ($B8,"IQ_AR",HA$3, $I$3, $N$3, , $J$3, $K$3)+_xll.ciqfunctions.udf.CIQ($B8,"IQ_AR","IQ_" &amp; LEFT(HA$3,2) &amp; "-1",HA$3, $N$3, , $J$3, $K$3))/_xll.ciqfunctions.udf.CIQ($B8,"IQ_TOTAL_REVENUE",HA$3, $I$3, $N$3, , $J$3, $K$3))),"")</f>
        <v/>
      </c>
      <c r="HB8" s="90" t="str">
        <f>IFERROR(IF(OR($B8="",HB$3=""),"",IF(AND($GK$4="No",(_xll.ciqfunctions.udf.CIQ($B8,"IQ_AR",HB$3, $I$3, $N$3, , $J$3, $K$3)+_xll.ciqfunctions.udf.CIQ($B8,"IQ_AR","IQ_" &amp; LEFT(HB$3,2) &amp; "-1",HB$3, $N$3, , $J$3, $K$3))&lt;=0),"",$GK$2*0.5*(_xll.ciqfunctions.udf.CIQ($B8,"IQ_AR",HB$3, $I$3, $N$3, , $J$3, $K$3)+_xll.ciqfunctions.udf.CIQ($B8,"IQ_AR","IQ_" &amp; LEFT(HB$3,2) &amp; "-1",HB$3, $N$3, , $J$3, $K$3))/_xll.ciqfunctions.udf.CIQ($B8,"IQ_TOTAL_REVENUE",HB$3, $I$3, $N$3, , $J$3, $K$3))),"")</f>
        <v/>
      </c>
      <c r="HC8" s="90" t="str">
        <f>IFERROR(IF(OR($B8="",HC$3=""),"",IF(AND($GK$4="No",(_xll.ciqfunctions.udf.CIQ($B8,"IQ_AR",HC$3, $I$3, $N$3, , $J$3, $K$3)+_xll.ciqfunctions.udf.CIQ($B8,"IQ_AR","IQ_" &amp; LEFT(HC$3,2) &amp; "-1",HC$3, $N$3, , $J$3, $K$3))&lt;=0),"",$GK$2*0.5*(_xll.ciqfunctions.udf.CIQ($B8,"IQ_AR",HC$3, $I$3, $N$3, , $J$3, $K$3)+_xll.ciqfunctions.udf.CIQ($B8,"IQ_AR","IQ_" &amp; LEFT(HC$3,2) &amp; "-1",HC$3, $N$3, , $J$3, $K$3))/_xll.ciqfunctions.udf.CIQ($B8,"IQ_TOTAL_REVENUE",HC$3, $I$3, $N$3, , $J$3, $K$3))),"")</f>
        <v/>
      </c>
      <c r="HD8" s="91" t="str">
        <f>IFERROR(IF(OR($B8="",HD$3=""),"",IF(AND($GK$4="No",(_xll.ciqfunctions.udf.CIQ($B8,"IQ_AR",HD$3, $I$3, $N$3, , $J$3, $K$3)+_xll.ciqfunctions.udf.CIQ($B8,"IQ_AR","IQ_" &amp; LEFT(HD$3,2) &amp; "-1",HD$3, $N$3, , $J$3, $K$3))&lt;=0),"",$GK$2*0.5*(_xll.ciqfunctions.udf.CIQ($B8,"IQ_AR",HD$3, $I$3, $N$3, , $J$3, $K$3)+_xll.ciqfunctions.udf.CIQ($B8,"IQ_AR","IQ_" &amp; LEFT(HD$3,2) &amp; "-1",HD$3, $N$3, , $J$3, $K$3))/_xll.ciqfunctions.udf.CIQ($B8,"IQ_TOTAL_REVENUE",HD$3, $I$3, $N$3, , $J$3, $K$3))),"")</f>
        <v/>
      </c>
      <c r="HE8" s="89">
        <f>IFERROR(IF(OR($B8="",HE$3=""),"",IF(AND($HE$4="No",(_xll.ciqfunctions.udf.CIQ($B8,"IQ_INVENTORY",HE$3,$I$3, $N$3, , $J$3, $K$3)+_xll.ciqfunctions.udf.CIQ($B8,"IQ_INVENTORY","IQ_" &amp; LEFT(HE$3,2) &amp; "-1", HE$3, $N$3, , $J$3, $K$3))&lt;=0),0,$HE$2*0.5*(_xll.ciqfunctions.udf.CIQ($B8,"IQ_INVENTORY",HE$3,$I$3, $N$3, , $J$3, $K$3)+_xll.ciqfunctions.udf.CIQ($B8,"IQ_INVENTORY","IQ_" &amp; LEFT(HE$3,2) &amp; "-1", HE$3, $N$3, , $J$3, $K$3))/_xll.ciqfunctions.udf.CIQ($B8,"IQ_COGS",HE$3,$I$3, $N$3, , $J$3, $K$3))),"")</f>
        <v>32.799486956619894</v>
      </c>
      <c r="HF8" s="90" t="str">
        <f>IFERROR(IF(OR($B8="",HF$3=""),"",IF(AND($HE$4="No",(_xll.ciqfunctions.udf.CIQ($B8,"IQ_INVENTORY",HF$3,$I$3, $N$3, , $J$3, $K$3)+_xll.ciqfunctions.udf.CIQ($B8,"IQ_INVENTORY","IQ_" &amp; LEFT(HF$3,2) &amp; "-1", HF$3, $N$3, , $J$3, $K$3))&lt;=0),0,$HE$2*0.5*(_xll.ciqfunctions.udf.CIQ($B8,"IQ_INVENTORY",HF$3,$I$3, $N$3, , $J$3, $K$3)+_xll.ciqfunctions.udf.CIQ($B8,"IQ_INVENTORY","IQ_" &amp; LEFT(HF$3,2) &amp; "-1", HF$3, $N$3, , $J$3, $K$3))/_xll.ciqfunctions.udf.CIQ($B8,"IQ_COGS",HF$3,$I$3, $N$3, , $J$3, $K$3))),"")</f>
        <v/>
      </c>
      <c r="HG8" s="90" t="str">
        <f>IFERROR(IF(OR($B8="",HG$3=""),"",IF(AND($HE$4="No",(_xll.ciqfunctions.udf.CIQ($B8,"IQ_INVENTORY",HG$3,$I$3, $N$3, , $J$3, $K$3)+_xll.ciqfunctions.udf.CIQ($B8,"IQ_INVENTORY","IQ_" &amp; LEFT(HG$3,2) &amp; "-1", HG$3, $N$3, , $J$3, $K$3))&lt;=0),0,$HE$2*0.5*(_xll.ciqfunctions.udf.CIQ($B8,"IQ_INVENTORY",HG$3,$I$3, $N$3, , $J$3, $K$3)+_xll.ciqfunctions.udf.CIQ($B8,"IQ_INVENTORY","IQ_" &amp; LEFT(HG$3,2) &amp; "-1", HG$3, $N$3, , $J$3, $K$3))/_xll.ciqfunctions.udf.CIQ($B8,"IQ_COGS",HG$3,$I$3, $N$3, , $J$3, $K$3))),"")</f>
        <v/>
      </c>
      <c r="HH8" s="90" t="str">
        <f>IFERROR(IF(OR($B8="",HH$3=""),"",IF(AND($HE$4="No",(_xll.ciqfunctions.udf.CIQ($B8,"IQ_INVENTORY",HH$3,$I$3, $N$3, , $J$3, $K$3)+_xll.ciqfunctions.udf.CIQ($B8,"IQ_INVENTORY","IQ_" &amp; LEFT(HH$3,2) &amp; "-1", HH$3, $N$3, , $J$3, $K$3))&lt;=0),0,$HE$2*0.5*(_xll.ciqfunctions.udf.CIQ($B8,"IQ_INVENTORY",HH$3,$I$3, $N$3, , $J$3, $K$3)+_xll.ciqfunctions.udf.CIQ($B8,"IQ_INVENTORY","IQ_" &amp; LEFT(HH$3,2) &amp; "-1", HH$3, $N$3, , $J$3, $K$3))/_xll.ciqfunctions.udf.CIQ($B8,"IQ_COGS",HH$3,$I$3, $N$3, , $J$3, $K$3))),"")</f>
        <v/>
      </c>
      <c r="HI8" s="90" t="str">
        <f>IFERROR(IF(OR($B8="",HI$3=""),"",IF(AND($HE$4="No",(_xll.ciqfunctions.udf.CIQ($B8,"IQ_INVENTORY",HI$3,$I$3, $N$3, , $J$3, $K$3)+_xll.ciqfunctions.udf.CIQ($B8,"IQ_INVENTORY","IQ_" &amp; LEFT(HI$3,2) &amp; "-1", HI$3, $N$3, , $J$3, $K$3))&lt;=0),0,$HE$2*0.5*(_xll.ciqfunctions.udf.CIQ($B8,"IQ_INVENTORY",HI$3,$I$3, $N$3, , $J$3, $K$3)+_xll.ciqfunctions.udf.CIQ($B8,"IQ_INVENTORY","IQ_" &amp; LEFT(HI$3,2) &amp; "-1", HI$3, $N$3, , $J$3, $K$3))/_xll.ciqfunctions.udf.CIQ($B8,"IQ_COGS",HI$3,$I$3, $N$3, , $J$3, $K$3))),"")</f>
        <v/>
      </c>
      <c r="HJ8" s="90" t="str">
        <f>IFERROR(IF(OR($B8="",HJ$3=""),"",IF(AND($HE$4="No",(_xll.ciqfunctions.udf.CIQ($B8,"IQ_INVENTORY",HJ$3,$I$3, $N$3, , $J$3, $K$3)+_xll.ciqfunctions.udf.CIQ($B8,"IQ_INVENTORY","IQ_" &amp; LEFT(HJ$3,2) &amp; "-1", HJ$3, $N$3, , $J$3, $K$3))&lt;=0),0,$HE$2*0.5*(_xll.ciqfunctions.udf.CIQ($B8,"IQ_INVENTORY",HJ$3,$I$3, $N$3, , $J$3, $K$3)+_xll.ciqfunctions.udf.CIQ($B8,"IQ_INVENTORY","IQ_" &amp; LEFT(HJ$3,2) &amp; "-1", HJ$3, $N$3, , $J$3, $K$3))/_xll.ciqfunctions.udf.CIQ($B8,"IQ_COGS",HJ$3,$I$3, $N$3, , $J$3, $K$3))),"")</f>
        <v/>
      </c>
      <c r="HK8" s="90" t="str">
        <f>IFERROR(IF(OR($B8="",HK$3=""),"",IF(AND($HE$4="No",(_xll.ciqfunctions.udf.CIQ($B8,"IQ_INVENTORY",HK$3,$I$3, $N$3, , $J$3, $K$3)+_xll.ciqfunctions.udf.CIQ($B8,"IQ_INVENTORY","IQ_" &amp; LEFT(HK$3,2) &amp; "-1", HK$3, $N$3, , $J$3, $K$3))&lt;=0),0,$HE$2*0.5*(_xll.ciqfunctions.udf.CIQ($B8,"IQ_INVENTORY",HK$3,$I$3, $N$3, , $J$3, $K$3)+_xll.ciqfunctions.udf.CIQ($B8,"IQ_INVENTORY","IQ_" &amp; LEFT(HK$3,2) &amp; "-1", HK$3, $N$3, , $J$3, $K$3))/_xll.ciqfunctions.udf.CIQ($B8,"IQ_COGS",HK$3,$I$3, $N$3, , $J$3, $K$3))),"")</f>
        <v/>
      </c>
      <c r="HL8" s="90" t="str">
        <f>IFERROR(IF(OR($B8="",HL$3=""),"",IF(AND($HE$4="No",(_xll.ciqfunctions.udf.CIQ($B8,"IQ_INVENTORY",HL$3,$I$3, $N$3, , $J$3, $K$3)+_xll.ciqfunctions.udf.CIQ($B8,"IQ_INVENTORY","IQ_" &amp; LEFT(HL$3,2) &amp; "-1", HL$3, $N$3, , $J$3, $K$3))&lt;=0),0,$HE$2*0.5*(_xll.ciqfunctions.udf.CIQ($B8,"IQ_INVENTORY",HL$3,$I$3, $N$3, , $J$3, $K$3)+_xll.ciqfunctions.udf.CIQ($B8,"IQ_INVENTORY","IQ_" &amp; LEFT(HL$3,2) &amp; "-1", HL$3, $N$3, , $J$3, $K$3))/_xll.ciqfunctions.udf.CIQ($B8,"IQ_COGS",HL$3,$I$3, $N$3, , $J$3, $K$3))),"")</f>
        <v/>
      </c>
      <c r="HM8" s="90" t="str">
        <f>IFERROR(IF(OR($B8="",HM$3=""),"",IF(AND($HE$4="No",(_xll.ciqfunctions.udf.CIQ($B8,"IQ_INVENTORY",HM$3,$I$3, $N$3, , $J$3, $K$3)+_xll.ciqfunctions.udf.CIQ($B8,"IQ_INVENTORY","IQ_" &amp; LEFT(HM$3,2) &amp; "-1", HM$3, $N$3, , $J$3, $K$3))&lt;=0),0,$HE$2*0.5*(_xll.ciqfunctions.udf.CIQ($B8,"IQ_INVENTORY",HM$3,$I$3, $N$3, , $J$3, $K$3)+_xll.ciqfunctions.udf.CIQ($B8,"IQ_INVENTORY","IQ_" &amp; LEFT(HM$3,2) &amp; "-1", HM$3, $N$3, , $J$3, $K$3))/_xll.ciqfunctions.udf.CIQ($B8,"IQ_COGS",HM$3,$I$3, $N$3, , $J$3, $K$3))),"")</f>
        <v/>
      </c>
      <c r="HN8" s="90" t="str">
        <f>IFERROR(IF(OR($B8="",HN$3=""),"",IF(AND($HE$4="No",(_xll.ciqfunctions.udf.CIQ($B8,"IQ_INVENTORY",HN$3,$I$3, $N$3, , $J$3, $K$3)+_xll.ciqfunctions.udf.CIQ($B8,"IQ_INVENTORY","IQ_" &amp; LEFT(HN$3,2) &amp; "-1", HN$3, $N$3, , $J$3, $K$3))&lt;=0),0,$HE$2*0.5*(_xll.ciqfunctions.udf.CIQ($B8,"IQ_INVENTORY",HN$3,$I$3, $N$3, , $J$3, $K$3)+_xll.ciqfunctions.udf.CIQ($B8,"IQ_INVENTORY","IQ_" &amp; LEFT(HN$3,2) &amp; "-1", HN$3, $N$3, , $J$3, $K$3))/_xll.ciqfunctions.udf.CIQ($B8,"IQ_COGS",HN$3,$I$3, $N$3, , $J$3, $K$3))),"")</f>
        <v/>
      </c>
      <c r="HO8" s="90" t="str">
        <f>IFERROR(IF(OR($B8="",HO$3=""),"",IF(AND($HE$4="No",(_xll.ciqfunctions.udf.CIQ($B8,"IQ_INVENTORY",HO$3,$I$3, $N$3, , $J$3, $K$3)+_xll.ciqfunctions.udf.CIQ($B8,"IQ_INVENTORY","IQ_" &amp; LEFT(HO$3,2) &amp; "-1", HO$3, $N$3, , $J$3, $K$3))&lt;=0),0,$HE$2*0.5*(_xll.ciqfunctions.udf.CIQ($B8,"IQ_INVENTORY",HO$3,$I$3, $N$3, , $J$3, $K$3)+_xll.ciqfunctions.udf.CIQ($B8,"IQ_INVENTORY","IQ_" &amp; LEFT(HO$3,2) &amp; "-1", HO$3, $N$3, , $J$3, $K$3))/_xll.ciqfunctions.udf.CIQ($B8,"IQ_COGS",HO$3,$I$3, $N$3, , $J$3, $K$3))),"")</f>
        <v/>
      </c>
      <c r="HP8" s="90" t="str">
        <f>IFERROR(IF(OR($B8="",HP$3=""),"",IF(AND($HE$4="No",(_xll.ciqfunctions.udf.CIQ($B8,"IQ_INVENTORY",HP$3,$I$3, $N$3, , $J$3, $K$3)+_xll.ciqfunctions.udf.CIQ($B8,"IQ_INVENTORY","IQ_" &amp; LEFT(HP$3,2) &amp; "-1", HP$3, $N$3, , $J$3, $K$3))&lt;=0),0,$HE$2*0.5*(_xll.ciqfunctions.udf.CIQ($B8,"IQ_INVENTORY",HP$3,$I$3, $N$3, , $J$3, $K$3)+_xll.ciqfunctions.udf.CIQ($B8,"IQ_INVENTORY","IQ_" &amp; LEFT(HP$3,2) &amp; "-1", HP$3, $N$3, , $J$3, $K$3))/_xll.ciqfunctions.udf.CIQ($B8,"IQ_COGS",HP$3,$I$3, $N$3, , $J$3, $K$3))),"")</f>
        <v/>
      </c>
      <c r="HQ8" s="90" t="str">
        <f>IFERROR(IF(OR($B8="",HQ$3=""),"",IF(AND($HE$4="No",(_xll.ciqfunctions.udf.CIQ($B8,"IQ_INVENTORY",HQ$3,$I$3, $N$3, , $J$3, $K$3)+_xll.ciqfunctions.udf.CIQ($B8,"IQ_INVENTORY","IQ_" &amp; LEFT(HQ$3,2) &amp; "-1", HQ$3, $N$3, , $J$3, $K$3))&lt;=0),0,$HE$2*0.5*(_xll.ciqfunctions.udf.CIQ($B8,"IQ_INVENTORY",HQ$3,$I$3, $N$3, , $J$3, $K$3)+_xll.ciqfunctions.udf.CIQ($B8,"IQ_INVENTORY","IQ_" &amp; LEFT(HQ$3,2) &amp; "-1", HQ$3, $N$3, , $J$3, $K$3))/_xll.ciqfunctions.udf.CIQ($B8,"IQ_COGS",HQ$3,$I$3, $N$3, , $J$3, $K$3))),"")</f>
        <v/>
      </c>
      <c r="HR8" s="90" t="str">
        <f>IFERROR(IF(OR($B8="",HR$3=""),"",IF(AND($HE$4="No",(_xll.ciqfunctions.udf.CIQ($B8,"IQ_INVENTORY",HR$3,$I$3, $N$3, , $J$3, $K$3)+_xll.ciqfunctions.udf.CIQ($B8,"IQ_INVENTORY","IQ_" &amp; LEFT(HR$3,2) &amp; "-1", HR$3, $N$3, , $J$3, $K$3))&lt;=0),0,$HE$2*0.5*(_xll.ciqfunctions.udf.CIQ($B8,"IQ_INVENTORY",HR$3,$I$3, $N$3, , $J$3, $K$3)+_xll.ciqfunctions.udf.CIQ($B8,"IQ_INVENTORY","IQ_" &amp; LEFT(HR$3,2) &amp; "-1", HR$3, $N$3, , $J$3, $K$3))/_xll.ciqfunctions.udf.CIQ($B8,"IQ_COGS",HR$3,$I$3, $N$3, , $J$3, $K$3))),"")</f>
        <v/>
      </c>
      <c r="HS8" s="90" t="str">
        <f>IFERROR(IF(OR($B8="",HS$3=""),"",IF(AND($HE$4="No",(_xll.ciqfunctions.udf.CIQ($B8,"IQ_INVENTORY",HS$3,$I$3, $N$3, , $J$3, $K$3)+_xll.ciqfunctions.udf.CIQ($B8,"IQ_INVENTORY","IQ_" &amp; LEFT(HS$3,2) &amp; "-1", HS$3, $N$3, , $J$3, $K$3))&lt;=0),0,$HE$2*0.5*(_xll.ciqfunctions.udf.CIQ($B8,"IQ_INVENTORY",HS$3,$I$3, $N$3, , $J$3, $K$3)+_xll.ciqfunctions.udf.CIQ($B8,"IQ_INVENTORY","IQ_" &amp; LEFT(HS$3,2) &amp; "-1", HS$3, $N$3, , $J$3, $K$3))/_xll.ciqfunctions.udf.CIQ($B8,"IQ_COGS",HS$3,$I$3, $N$3, , $J$3, $K$3))),"")</f>
        <v/>
      </c>
      <c r="HT8" s="90" t="str">
        <f>IFERROR(IF(OR($B8="",HT$3=""),"",IF(AND($HE$4="No",(_xll.ciqfunctions.udf.CIQ($B8,"IQ_INVENTORY",HT$3,$I$3, $N$3, , $J$3, $K$3)+_xll.ciqfunctions.udf.CIQ($B8,"IQ_INVENTORY","IQ_" &amp; LEFT(HT$3,2) &amp; "-1", HT$3, $N$3, , $J$3, $K$3))&lt;=0),0,$HE$2*0.5*(_xll.ciqfunctions.udf.CIQ($B8,"IQ_INVENTORY",HT$3,$I$3, $N$3, , $J$3, $K$3)+_xll.ciqfunctions.udf.CIQ($B8,"IQ_INVENTORY","IQ_" &amp; LEFT(HT$3,2) &amp; "-1", HT$3, $N$3, , $J$3, $K$3))/_xll.ciqfunctions.udf.CIQ($B8,"IQ_COGS",HT$3,$I$3, $N$3, , $J$3, $K$3))),"")</f>
        <v/>
      </c>
      <c r="HU8" s="90" t="str">
        <f>IFERROR(IF(OR($B8="",HU$3=""),"",IF(AND($HE$4="No",(_xll.ciqfunctions.udf.CIQ($B8,"IQ_INVENTORY",HU$3,$I$3, $N$3, , $J$3, $K$3)+_xll.ciqfunctions.udf.CIQ($B8,"IQ_INVENTORY","IQ_" &amp; LEFT(HU$3,2) &amp; "-1", HU$3, $N$3, , $J$3, $K$3))&lt;=0),0,$HE$2*0.5*(_xll.ciqfunctions.udf.CIQ($B8,"IQ_INVENTORY",HU$3,$I$3, $N$3, , $J$3, $K$3)+_xll.ciqfunctions.udf.CIQ($B8,"IQ_INVENTORY","IQ_" &amp; LEFT(HU$3,2) &amp; "-1", HU$3, $N$3, , $J$3, $K$3))/_xll.ciqfunctions.udf.CIQ($B8,"IQ_COGS",HU$3,$I$3, $N$3, , $J$3, $K$3))),"")</f>
        <v/>
      </c>
      <c r="HV8" s="90" t="str">
        <f>IFERROR(IF(OR($B8="",HV$3=""),"",IF(AND($HE$4="No",(_xll.ciqfunctions.udf.CIQ($B8,"IQ_INVENTORY",HV$3,$I$3, $N$3, , $J$3, $K$3)+_xll.ciqfunctions.udf.CIQ($B8,"IQ_INVENTORY","IQ_" &amp; LEFT(HV$3,2) &amp; "-1", HV$3, $N$3, , $J$3, $K$3))&lt;=0),0,$HE$2*0.5*(_xll.ciqfunctions.udf.CIQ($B8,"IQ_INVENTORY",HV$3,$I$3, $N$3, , $J$3, $K$3)+_xll.ciqfunctions.udf.CIQ($B8,"IQ_INVENTORY","IQ_" &amp; LEFT(HV$3,2) &amp; "-1", HV$3, $N$3, , $J$3, $K$3))/_xll.ciqfunctions.udf.CIQ($B8,"IQ_COGS",HV$3,$I$3, $N$3, , $J$3, $K$3))),"")</f>
        <v/>
      </c>
      <c r="HW8" s="90" t="str">
        <f>IFERROR(IF(OR($B8="",HW$3=""),"",IF(AND($HE$4="No",(_xll.ciqfunctions.udf.CIQ($B8,"IQ_INVENTORY",HW$3,$I$3, $N$3, , $J$3, $K$3)+_xll.ciqfunctions.udf.CIQ($B8,"IQ_INVENTORY","IQ_" &amp; LEFT(HW$3,2) &amp; "-1", HW$3, $N$3, , $J$3, $K$3))&lt;=0),0,$HE$2*0.5*(_xll.ciqfunctions.udf.CIQ($B8,"IQ_INVENTORY",HW$3,$I$3, $N$3, , $J$3, $K$3)+_xll.ciqfunctions.udf.CIQ($B8,"IQ_INVENTORY","IQ_" &amp; LEFT(HW$3,2) &amp; "-1", HW$3, $N$3, , $J$3, $K$3))/_xll.ciqfunctions.udf.CIQ($B8,"IQ_COGS",HW$3,$I$3, $N$3, , $J$3, $K$3))),"")</f>
        <v/>
      </c>
      <c r="HX8" s="91" t="str">
        <f>IFERROR(IF(OR($B8="",HX$3=""),"",IF(AND($HE$4="No",(_xll.ciqfunctions.udf.CIQ($B8,"IQ_INVENTORY",HX$3,$I$3, $N$3, , $J$3, $K$3)+_xll.ciqfunctions.udf.CIQ($B8,"IQ_INVENTORY","IQ_" &amp; LEFT(HX$3,2) &amp; "-1", HX$3, $N$3, , $J$3, $K$3))&lt;=0),0,$HE$2*0.5*(_xll.ciqfunctions.udf.CIQ($B8,"IQ_INVENTORY",HX$3,$I$3, $N$3, , $J$3, $K$3)+_xll.ciqfunctions.udf.CIQ($B8,"IQ_INVENTORY","IQ_" &amp; LEFT(HX$3,2) &amp; "-1", HX$3, $N$3, , $J$3, $K$3))/_xll.ciqfunctions.udf.CIQ($B8,"IQ_COGS",HX$3,$I$3, $N$3, , $J$3, $K$3))),"")</f>
        <v/>
      </c>
      <c r="HY8" s="89">
        <f>IFERROR(IF(OR($B8="",HY$3=""),"",IF(AND($HY$4="No",(_xll.ciqfunctions.udf.CIQ($B8,"IQ_AP",HY$3,$I$3, $N$3, , $J$3, $K$3)+_xll.ciqfunctions.udf.CIQ($B8,"IQ_AP","IQ_" &amp; LEFT(HY$3,2) &amp; "-1", HY$3, $N$3, , $J$3, $K$3))&lt;=0),"",(_xll.ciqfunctions.udf.CIQ($B8,"IQ_AP",HY$3,$I$3, $N$3, , $J$3, $K$3)+_xll.ciqfunctions.udf.CIQ($B8,"IQ_AP","IQ_" &amp; LEFT(HY$3,2) &amp; "-1", HY$3, $N$3, , $J$3, $K$3))/_xll.ciqfunctions.udf.CIQ($B8,"IQ_COGS",HY$3,$I$3, $N$3, , $J$3, $K$3)*$HY$2*0.5)),"")</f>
        <v>37.673624829267737</v>
      </c>
      <c r="HZ8" s="90" t="str">
        <f>IFERROR(IF(OR($B8="",HZ$3=""),"",IF(AND($HY$4="No",(_xll.ciqfunctions.udf.CIQ($B8,"IQ_AP",HZ$3,$I$3, $N$3, , $J$3, $K$3)+_xll.ciqfunctions.udf.CIQ($B8,"IQ_AP","IQ_" &amp; LEFT(HZ$3,2) &amp; "-1", HZ$3, $N$3, , $J$3, $K$3))&lt;=0),"",(_xll.ciqfunctions.udf.CIQ($B8,"IQ_AP",HZ$3,$I$3, $N$3, , $J$3, $K$3)+_xll.ciqfunctions.udf.CIQ($B8,"IQ_AP","IQ_" &amp; LEFT(HZ$3,2) &amp; "-1", HZ$3, $N$3, , $J$3, $K$3))/_xll.ciqfunctions.udf.CIQ($B8,"IQ_COGS",HZ$3,$I$3, $N$3, , $J$3, $K$3)*$HY$2*0.5)),"")</f>
        <v/>
      </c>
      <c r="IA8" s="90" t="str">
        <f>IFERROR(IF(OR($B8="",IA$3=""),"",IF(AND($HY$4="No",(_xll.ciqfunctions.udf.CIQ($B8,"IQ_AP",IA$3,$I$3, $N$3, , $J$3, $K$3)+_xll.ciqfunctions.udf.CIQ($B8,"IQ_AP","IQ_" &amp; LEFT(IA$3,2) &amp; "-1", IA$3, $N$3, , $J$3, $K$3))&lt;=0),"",(_xll.ciqfunctions.udf.CIQ($B8,"IQ_AP",IA$3,$I$3, $N$3, , $J$3, $K$3)+_xll.ciqfunctions.udf.CIQ($B8,"IQ_AP","IQ_" &amp; LEFT(IA$3,2) &amp; "-1", IA$3, $N$3, , $J$3, $K$3))/_xll.ciqfunctions.udf.CIQ($B8,"IQ_COGS",IA$3,$I$3, $N$3, , $J$3, $K$3)*$HY$2*0.5)),"")</f>
        <v/>
      </c>
      <c r="IB8" s="90" t="str">
        <f>IFERROR(IF(OR($B8="",IB$3=""),"",IF(AND($HY$4="No",(_xll.ciqfunctions.udf.CIQ($B8,"IQ_AP",IB$3,$I$3, $N$3, , $J$3, $K$3)+_xll.ciqfunctions.udf.CIQ($B8,"IQ_AP","IQ_" &amp; LEFT(IB$3,2) &amp; "-1", IB$3, $N$3, , $J$3, $K$3))&lt;=0),"",(_xll.ciqfunctions.udf.CIQ($B8,"IQ_AP",IB$3,$I$3, $N$3, , $J$3, $K$3)+_xll.ciqfunctions.udf.CIQ($B8,"IQ_AP","IQ_" &amp; LEFT(IB$3,2) &amp; "-1", IB$3, $N$3, , $J$3, $K$3))/_xll.ciqfunctions.udf.CIQ($B8,"IQ_COGS",IB$3,$I$3, $N$3, , $J$3, $K$3)*$HY$2*0.5)),"")</f>
        <v/>
      </c>
      <c r="IC8" s="90" t="str">
        <f>IFERROR(IF(OR($B8="",IC$3=""),"",IF(AND($HY$4="No",(_xll.ciqfunctions.udf.CIQ($B8,"IQ_AP",IC$3,$I$3, $N$3, , $J$3, $K$3)+_xll.ciqfunctions.udf.CIQ($B8,"IQ_AP","IQ_" &amp; LEFT(IC$3,2) &amp; "-1", IC$3, $N$3, , $J$3, $K$3))&lt;=0),"",(_xll.ciqfunctions.udf.CIQ($B8,"IQ_AP",IC$3,$I$3, $N$3, , $J$3, $K$3)+_xll.ciqfunctions.udf.CIQ($B8,"IQ_AP","IQ_" &amp; LEFT(IC$3,2) &amp; "-1", IC$3, $N$3, , $J$3, $K$3))/_xll.ciqfunctions.udf.CIQ($B8,"IQ_COGS",IC$3,$I$3, $N$3, , $J$3, $K$3)*$HY$2*0.5)),"")</f>
        <v/>
      </c>
      <c r="ID8" s="90" t="str">
        <f>IFERROR(IF(OR($B8="",ID$3=""),"",IF(AND($HY$4="No",(_xll.ciqfunctions.udf.CIQ($B8,"IQ_AP",ID$3,$I$3, $N$3, , $J$3, $K$3)+_xll.ciqfunctions.udf.CIQ($B8,"IQ_AP","IQ_" &amp; LEFT(ID$3,2) &amp; "-1", ID$3, $N$3, , $J$3, $K$3))&lt;=0),"",(_xll.ciqfunctions.udf.CIQ($B8,"IQ_AP",ID$3,$I$3, $N$3, , $J$3, $K$3)+_xll.ciqfunctions.udf.CIQ($B8,"IQ_AP","IQ_" &amp; LEFT(ID$3,2) &amp; "-1", ID$3, $N$3, , $J$3, $K$3))/_xll.ciqfunctions.udf.CIQ($B8,"IQ_COGS",ID$3,$I$3, $N$3, , $J$3, $K$3)*$HY$2*0.5)),"")</f>
        <v/>
      </c>
      <c r="IE8" s="90" t="str">
        <f>IFERROR(IF(OR($B8="",IE$3=""),"",IF(AND($HY$4="No",(_xll.ciqfunctions.udf.CIQ($B8,"IQ_AP",IE$3,$I$3, $N$3, , $J$3, $K$3)+_xll.ciqfunctions.udf.CIQ($B8,"IQ_AP","IQ_" &amp; LEFT(IE$3,2) &amp; "-1", IE$3, $N$3, , $J$3, $K$3))&lt;=0),"",(_xll.ciqfunctions.udf.CIQ($B8,"IQ_AP",IE$3,$I$3, $N$3, , $J$3, $K$3)+_xll.ciqfunctions.udf.CIQ($B8,"IQ_AP","IQ_" &amp; LEFT(IE$3,2) &amp; "-1", IE$3, $N$3, , $J$3, $K$3))/_xll.ciqfunctions.udf.CIQ($B8,"IQ_COGS",IE$3,$I$3, $N$3, , $J$3, $K$3)*$HY$2*0.5)),"")</f>
        <v/>
      </c>
      <c r="IF8" s="90" t="str">
        <f>IFERROR(IF(OR($B8="",IF$3=""),"",IF(AND($HY$4="No",(_xll.ciqfunctions.udf.CIQ($B8,"IQ_AP",IF$3,$I$3, $N$3, , $J$3, $K$3)+_xll.ciqfunctions.udf.CIQ($B8,"IQ_AP","IQ_" &amp; LEFT(IF$3,2) &amp; "-1", IF$3, $N$3, , $J$3, $K$3))&lt;=0),"",(_xll.ciqfunctions.udf.CIQ($B8,"IQ_AP",IF$3,$I$3, $N$3, , $J$3, $K$3)+_xll.ciqfunctions.udf.CIQ($B8,"IQ_AP","IQ_" &amp; LEFT(IF$3,2) &amp; "-1", IF$3, $N$3, , $J$3, $K$3))/_xll.ciqfunctions.udf.CIQ($B8,"IQ_COGS",IF$3,$I$3, $N$3, , $J$3, $K$3)*$HY$2*0.5)),"")</f>
        <v/>
      </c>
      <c r="IG8" s="90" t="str">
        <f>IFERROR(IF(OR($B8="",IG$3=""),"",IF(AND($HY$4="No",(_xll.ciqfunctions.udf.CIQ($B8,"IQ_AP",IG$3,$I$3, $N$3, , $J$3, $K$3)+_xll.ciqfunctions.udf.CIQ($B8,"IQ_AP","IQ_" &amp; LEFT(IG$3,2) &amp; "-1", IG$3, $N$3, , $J$3, $K$3))&lt;=0),"",(_xll.ciqfunctions.udf.CIQ($B8,"IQ_AP",IG$3,$I$3, $N$3, , $J$3, $K$3)+_xll.ciqfunctions.udf.CIQ($B8,"IQ_AP","IQ_" &amp; LEFT(IG$3,2) &amp; "-1", IG$3, $N$3, , $J$3, $K$3))/_xll.ciqfunctions.udf.CIQ($B8,"IQ_COGS",IG$3,$I$3, $N$3, , $J$3, $K$3)*$HY$2*0.5)),"")</f>
        <v/>
      </c>
      <c r="IH8" s="90" t="str">
        <f>IFERROR(IF(OR($B8="",IH$3=""),"",IF(AND($HY$4="No",(_xll.ciqfunctions.udf.CIQ($B8,"IQ_AP",IH$3,$I$3, $N$3, , $J$3, $K$3)+_xll.ciqfunctions.udf.CIQ($B8,"IQ_AP","IQ_" &amp; LEFT(IH$3,2) &amp; "-1", IH$3, $N$3, , $J$3, $K$3))&lt;=0),"",(_xll.ciqfunctions.udf.CIQ($B8,"IQ_AP",IH$3,$I$3, $N$3, , $J$3, $K$3)+_xll.ciqfunctions.udf.CIQ($B8,"IQ_AP","IQ_" &amp; LEFT(IH$3,2) &amp; "-1", IH$3, $N$3, , $J$3, $K$3))/_xll.ciqfunctions.udf.CIQ($B8,"IQ_COGS",IH$3,$I$3, $N$3, , $J$3, $K$3)*$HY$2*0.5)),"")</f>
        <v/>
      </c>
      <c r="II8" s="90" t="str">
        <f>IFERROR(IF(OR($B8="",II$3=""),"",IF(AND($HY$4="No",(_xll.ciqfunctions.udf.CIQ($B8,"IQ_AP",II$3,$I$3, $N$3, , $J$3, $K$3)+_xll.ciqfunctions.udf.CIQ($B8,"IQ_AP","IQ_" &amp; LEFT(II$3,2) &amp; "-1", II$3, $N$3, , $J$3, $K$3))&lt;=0),"",(_xll.ciqfunctions.udf.CIQ($B8,"IQ_AP",II$3,$I$3, $N$3, , $J$3, $K$3)+_xll.ciqfunctions.udf.CIQ($B8,"IQ_AP","IQ_" &amp; LEFT(II$3,2) &amp; "-1", II$3, $N$3, , $J$3, $K$3))/_xll.ciqfunctions.udf.CIQ($B8,"IQ_COGS",II$3,$I$3, $N$3, , $J$3, $K$3)*$HY$2*0.5)),"")</f>
        <v/>
      </c>
      <c r="IJ8" s="90" t="str">
        <f>IFERROR(IF(OR($B8="",IJ$3=""),"",IF(AND($HY$4="No",(_xll.ciqfunctions.udf.CIQ($B8,"IQ_AP",IJ$3,$I$3, $N$3, , $J$3, $K$3)+_xll.ciqfunctions.udf.CIQ($B8,"IQ_AP","IQ_" &amp; LEFT(IJ$3,2) &amp; "-1", IJ$3, $N$3, , $J$3, $K$3))&lt;=0),"",(_xll.ciqfunctions.udf.CIQ($B8,"IQ_AP",IJ$3,$I$3, $N$3, , $J$3, $K$3)+_xll.ciqfunctions.udf.CIQ($B8,"IQ_AP","IQ_" &amp; LEFT(IJ$3,2) &amp; "-1", IJ$3, $N$3, , $J$3, $K$3))/_xll.ciqfunctions.udf.CIQ($B8,"IQ_COGS",IJ$3,$I$3, $N$3, , $J$3, $K$3)*$HY$2*0.5)),"")</f>
        <v/>
      </c>
      <c r="IK8" s="90" t="str">
        <f>IFERROR(IF(OR($B8="",IK$3=""),"",IF(AND($HY$4="No",(_xll.ciqfunctions.udf.CIQ($B8,"IQ_AP",IK$3,$I$3, $N$3, , $J$3, $K$3)+_xll.ciqfunctions.udf.CIQ($B8,"IQ_AP","IQ_" &amp; LEFT(IK$3,2) &amp; "-1", IK$3, $N$3, , $J$3, $K$3))&lt;=0),"",(_xll.ciqfunctions.udf.CIQ($B8,"IQ_AP",IK$3,$I$3, $N$3, , $J$3, $K$3)+_xll.ciqfunctions.udf.CIQ($B8,"IQ_AP","IQ_" &amp; LEFT(IK$3,2) &amp; "-1", IK$3, $N$3, , $J$3, $K$3))/_xll.ciqfunctions.udf.CIQ($B8,"IQ_COGS",IK$3,$I$3, $N$3, , $J$3, $K$3)*$HY$2*0.5)),"")</f>
        <v/>
      </c>
      <c r="IL8" s="90" t="str">
        <f>IFERROR(IF(OR($B8="",IL$3=""),"",IF(AND($HY$4="No",(_xll.ciqfunctions.udf.CIQ($B8,"IQ_AP",IL$3,$I$3, $N$3, , $J$3, $K$3)+_xll.ciqfunctions.udf.CIQ($B8,"IQ_AP","IQ_" &amp; LEFT(IL$3,2) &amp; "-1", IL$3, $N$3, , $J$3, $K$3))&lt;=0),"",(_xll.ciqfunctions.udf.CIQ($B8,"IQ_AP",IL$3,$I$3, $N$3, , $J$3, $K$3)+_xll.ciqfunctions.udf.CIQ($B8,"IQ_AP","IQ_" &amp; LEFT(IL$3,2) &amp; "-1", IL$3, $N$3, , $J$3, $K$3))/_xll.ciqfunctions.udf.CIQ($B8,"IQ_COGS",IL$3,$I$3, $N$3, , $J$3, $K$3)*$HY$2*0.5)),"")</f>
        <v/>
      </c>
      <c r="IM8" s="90" t="str">
        <f>IFERROR(IF(OR($B8="",IM$3=""),"",IF(AND($HY$4="No",(_xll.ciqfunctions.udf.CIQ($B8,"IQ_AP",IM$3,$I$3, $N$3, , $J$3, $K$3)+_xll.ciqfunctions.udf.CIQ($B8,"IQ_AP","IQ_" &amp; LEFT(IM$3,2) &amp; "-1", IM$3, $N$3, , $J$3, $K$3))&lt;=0),"",(_xll.ciqfunctions.udf.CIQ($B8,"IQ_AP",IM$3,$I$3, $N$3, , $J$3, $K$3)+_xll.ciqfunctions.udf.CIQ($B8,"IQ_AP","IQ_" &amp; LEFT(IM$3,2) &amp; "-1", IM$3, $N$3, , $J$3, $K$3))/_xll.ciqfunctions.udf.CIQ($B8,"IQ_COGS",IM$3,$I$3, $N$3, , $J$3, $K$3)*$HY$2*0.5)),"")</f>
        <v/>
      </c>
      <c r="IN8" s="90" t="str">
        <f>IFERROR(IF(OR($B8="",IN$3=""),"",IF(AND($HY$4="No",(_xll.ciqfunctions.udf.CIQ($B8,"IQ_AP",IN$3,$I$3, $N$3, , $J$3, $K$3)+_xll.ciqfunctions.udf.CIQ($B8,"IQ_AP","IQ_" &amp; LEFT(IN$3,2) &amp; "-1", IN$3, $N$3, , $J$3, $K$3))&lt;=0),"",(_xll.ciqfunctions.udf.CIQ($B8,"IQ_AP",IN$3,$I$3, $N$3, , $J$3, $K$3)+_xll.ciqfunctions.udf.CIQ($B8,"IQ_AP","IQ_" &amp; LEFT(IN$3,2) &amp; "-1", IN$3, $N$3, , $J$3, $K$3))/_xll.ciqfunctions.udf.CIQ($B8,"IQ_COGS",IN$3,$I$3, $N$3, , $J$3, $K$3)*$HY$2*0.5)),"")</f>
        <v/>
      </c>
      <c r="IO8" s="90" t="str">
        <f>IFERROR(IF(OR($B8="",IO$3=""),"",IF(AND($HY$4="No",(_xll.ciqfunctions.udf.CIQ($B8,"IQ_AP",IO$3,$I$3, $N$3, , $J$3, $K$3)+_xll.ciqfunctions.udf.CIQ($B8,"IQ_AP","IQ_" &amp; LEFT(IO$3,2) &amp; "-1", IO$3, $N$3, , $J$3, $K$3))&lt;=0),"",(_xll.ciqfunctions.udf.CIQ($B8,"IQ_AP",IO$3,$I$3, $N$3, , $J$3, $K$3)+_xll.ciqfunctions.udf.CIQ($B8,"IQ_AP","IQ_" &amp; LEFT(IO$3,2) &amp; "-1", IO$3, $N$3, , $J$3, $K$3))/_xll.ciqfunctions.udf.CIQ($B8,"IQ_COGS",IO$3,$I$3, $N$3, , $J$3, $K$3)*$HY$2*0.5)),"")</f>
        <v/>
      </c>
      <c r="IP8" s="90" t="str">
        <f>IFERROR(IF(OR($B8="",IP$3=""),"",IF(AND($HY$4="No",(_xll.ciqfunctions.udf.CIQ($B8,"IQ_AP",IP$3,$I$3, $N$3, , $J$3, $K$3)+_xll.ciqfunctions.udf.CIQ($B8,"IQ_AP","IQ_" &amp; LEFT(IP$3,2) &amp; "-1", IP$3, $N$3, , $J$3, $K$3))&lt;=0),"",(_xll.ciqfunctions.udf.CIQ($B8,"IQ_AP",IP$3,$I$3, $N$3, , $J$3, $K$3)+_xll.ciqfunctions.udf.CIQ($B8,"IQ_AP","IQ_" &amp; LEFT(IP$3,2) &amp; "-1", IP$3, $N$3, , $J$3, $K$3))/_xll.ciqfunctions.udf.CIQ($B8,"IQ_COGS",IP$3,$I$3, $N$3, , $J$3, $K$3)*$HY$2*0.5)),"")</f>
        <v/>
      </c>
      <c r="IQ8" s="90" t="str">
        <f>IFERROR(IF(OR($B8="",IQ$3=""),"",IF(AND($HY$4="No",(_xll.ciqfunctions.udf.CIQ($B8,"IQ_AP",IQ$3,$I$3, $N$3, , $J$3, $K$3)+_xll.ciqfunctions.udf.CIQ($B8,"IQ_AP","IQ_" &amp; LEFT(IQ$3,2) &amp; "-1", IQ$3, $N$3, , $J$3, $K$3))&lt;=0),"",(_xll.ciqfunctions.udf.CIQ($B8,"IQ_AP",IQ$3,$I$3, $N$3, , $J$3, $K$3)+_xll.ciqfunctions.udf.CIQ($B8,"IQ_AP","IQ_" &amp; LEFT(IQ$3,2) &amp; "-1", IQ$3, $N$3, , $J$3, $K$3))/_xll.ciqfunctions.udf.CIQ($B8,"IQ_COGS",IQ$3,$I$3, $N$3, , $J$3, $K$3)*$HY$2*0.5)),"")</f>
        <v/>
      </c>
      <c r="IR8" s="91" t="str">
        <f>IFERROR(IF(OR($B8="",IR$3=""),"",IF(AND($HY$4="No",(_xll.ciqfunctions.udf.CIQ($B8,"IQ_AP",IR$3,$I$3, $N$3, , $J$3, $K$3)+_xll.ciqfunctions.udf.CIQ($B8,"IQ_AP","IQ_" &amp; LEFT(IR$3,2) &amp; "-1", IR$3, $N$3, , $J$3, $K$3))&lt;=0),"",(_xll.ciqfunctions.udf.CIQ($B8,"IQ_AP",IR$3,$I$3, $N$3, , $J$3, $K$3)+_xll.ciqfunctions.udf.CIQ($B8,"IQ_AP","IQ_" &amp; LEFT(IR$3,2) &amp; "-1", IR$3, $N$3, , $J$3, $K$3))/_xll.ciqfunctions.udf.CIQ($B8,"IQ_COGS",IR$3,$I$3, $N$3, , $J$3, $K$3)*$HY$2*0.5)),"")</f>
        <v/>
      </c>
      <c r="IS8" s="89">
        <f t="shared" si="343"/>
        <v>-1.6587934831341471</v>
      </c>
      <c r="IT8" s="90" t="str">
        <f t="shared" si="344"/>
        <v/>
      </c>
      <c r="IU8" s="90" t="str">
        <f t="shared" si="345"/>
        <v/>
      </c>
      <c r="IV8" s="90" t="str">
        <f t="shared" si="346"/>
        <v/>
      </c>
      <c r="IW8" s="90" t="str">
        <f t="shared" si="347"/>
        <v/>
      </c>
      <c r="IX8" s="90" t="str">
        <f t="shared" si="348"/>
        <v/>
      </c>
      <c r="IY8" s="90" t="str">
        <f t="shared" si="349"/>
        <v/>
      </c>
      <c r="IZ8" s="90" t="str">
        <f t="shared" si="350"/>
        <v/>
      </c>
      <c r="JA8" s="90" t="str">
        <f t="shared" si="351"/>
        <v/>
      </c>
      <c r="JB8" s="90" t="str">
        <f t="shared" si="352"/>
        <v/>
      </c>
      <c r="JC8" s="90" t="str">
        <f t="shared" si="353"/>
        <v/>
      </c>
      <c r="JD8" s="90" t="str">
        <f t="shared" si="354"/>
        <v/>
      </c>
      <c r="JE8" s="90" t="str">
        <f t="shared" si="355"/>
        <v/>
      </c>
      <c r="JF8" s="90" t="str">
        <f t="shared" si="356"/>
        <v/>
      </c>
      <c r="JG8" s="90" t="str">
        <f t="shared" si="357"/>
        <v/>
      </c>
      <c r="JH8" s="90" t="str">
        <f t="shared" si="358"/>
        <v/>
      </c>
      <c r="JI8" s="90" t="str">
        <f t="shared" si="359"/>
        <v/>
      </c>
      <c r="JJ8" s="90" t="str">
        <f t="shared" si="360"/>
        <v/>
      </c>
      <c r="JK8" s="90" t="str">
        <f t="shared" si="361"/>
        <v/>
      </c>
      <c r="JL8" s="91" t="str">
        <f t="shared" si="362"/>
        <v/>
      </c>
      <c r="JM8" s="86">
        <f>IFERROR(IF(OR($B8="",JM$3=""),"",_xll.ciqfunctions.udf.CIQ($B8,"IQ_CASH_OPER",JM$3,$I$3, $N$3, , $J$3, $K$3)/_xll.ciqfunctions.udf.CIQ($B8,"IQ_TOTAL_REV",JM$3,$I$3, $N$3, , $J$3, $K$3)),"")</f>
        <v>4.711843375155108E-2</v>
      </c>
      <c r="JN8" s="87" t="str">
        <f>IFERROR(IF(OR($B8="",JN$3=""),"",_xll.ciqfunctions.udf.CIQ($B8,"IQ_CASH_OPER",JN$3,$I$3, $N$3, , $J$3, $K$3)/_xll.ciqfunctions.udf.CIQ($B8,"IQ_TOTAL_REV",JN$3,$I$3, $N$3, , $J$3, $K$3)),"")</f>
        <v/>
      </c>
      <c r="JO8" s="87" t="str">
        <f>IFERROR(IF(OR($B8="",JO$3=""),"",_xll.ciqfunctions.udf.CIQ($B8,"IQ_CASH_OPER",JO$3,$I$3, $N$3, , $J$3, $K$3)/_xll.ciqfunctions.udf.CIQ($B8,"IQ_TOTAL_REV",JO$3,$I$3, $N$3, , $J$3, $K$3)),"")</f>
        <v/>
      </c>
      <c r="JP8" s="87" t="str">
        <f>IFERROR(IF(OR($B8="",JP$3=""),"",_xll.ciqfunctions.udf.CIQ($B8,"IQ_CASH_OPER",JP$3,$I$3, $N$3, , $J$3, $K$3)/_xll.ciqfunctions.udf.CIQ($B8,"IQ_TOTAL_REV",JP$3,$I$3, $N$3, , $J$3, $K$3)),"")</f>
        <v/>
      </c>
      <c r="JQ8" s="87" t="str">
        <f>IFERROR(IF(OR($B8="",JQ$3=""),"",_xll.ciqfunctions.udf.CIQ($B8,"IQ_CASH_OPER",JQ$3,$I$3, $N$3, , $J$3, $K$3)/_xll.ciqfunctions.udf.CIQ($B8,"IQ_TOTAL_REV",JQ$3,$I$3, $N$3, , $J$3, $K$3)),"")</f>
        <v/>
      </c>
      <c r="JR8" s="87" t="str">
        <f>IFERROR(IF(OR($B8="",JR$3=""),"",_xll.ciqfunctions.udf.CIQ($B8,"IQ_CASH_OPER",JR$3,$I$3, $N$3, , $J$3, $K$3)/_xll.ciqfunctions.udf.CIQ($B8,"IQ_TOTAL_REV",JR$3,$I$3, $N$3, , $J$3, $K$3)),"")</f>
        <v/>
      </c>
      <c r="JS8" s="87" t="str">
        <f>IFERROR(IF(OR($B8="",JS$3=""),"",_xll.ciqfunctions.udf.CIQ($B8,"IQ_CASH_OPER",JS$3,$I$3, $N$3, , $J$3, $K$3)/_xll.ciqfunctions.udf.CIQ($B8,"IQ_TOTAL_REV",JS$3,$I$3, $N$3, , $J$3, $K$3)),"")</f>
        <v/>
      </c>
      <c r="JT8" s="87" t="str">
        <f>IFERROR(IF(OR($B8="",JT$3=""),"",_xll.ciqfunctions.udf.CIQ($B8,"IQ_CASH_OPER",JT$3,$I$3, $N$3, , $J$3, $K$3)/_xll.ciqfunctions.udf.CIQ($B8,"IQ_TOTAL_REV",JT$3,$I$3, $N$3, , $J$3, $K$3)),"")</f>
        <v/>
      </c>
      <c r="JU8" s="87" t="str">
        <f>IFERROR(IF(OR($B8="",JU$3=""),"",_xll.ciqfunctions.udf.CIQ($B8,"IQ_CASH_OPER",JU$3,$I$3, $N$3, , $J$3, $K$3)/_xll.ciqfunctions.udf.CIQ($B8,"IQ_TOTAL_REV",JU$3,$I$3, $N$3, , $J$3, $K$3)),"")</f>
        <v/>
      </c>
      <c r="JV8" s="87" t="str">
        <f>IFERROR(IF(OR($B8="",JV$3=""),"",_xll.ciqfunctions.udf.CIQ($B8,"IQ_CASH_OPER",JV$3,$I$3, $N$3, , $J$3, $K$3)/_xll.ciqfunctions.udf.CIQ($B8,"IQ_TOTAL_REV",JV$3,$I$3, $N$3, , $J$3, $K$3)),"")</f>
        <v/>
      </c>
      <c r="JW8" s="87" t="str">
        <f>IFERROR(IF(OR($B8="",JW$3=""),"",_xll.ciqfunctions.udf.CIQ($B8,"IQ_CASH_OPER",JW$3,$I$3, $N$3, , $J$3, $K$3)/_xll.ciqfunctions.udf.CIQ($B8,"IQ_TOTAL_REV",JW$3,$I$3, $N$3, , $J$3, $K$3)),"")</f>
        <v/>
      </c>
      <c r="JX8" s="87" t="str">
        <f>IFERROR(IF(OR($B8="",JX$3=""),"",_xll.ciqfunctions.udf.CIQ($B8,"IQ_CASH_OPER",JX$3,$I$3, $N$3, , $J$3, $K$3)/_xll.ciqfunctions.udf.CIQ($B8,"IQ_TOTAL_REV",JX$3,$I$3, $N$3, , $J$3, $K$3)),"")</f>
        <v/>
      </c>
      <c r="JY8" s="87" t="str">
        <f>IFERROR(IF(OR($B8="",JY$3=""),"",_xll.ciqfunctions.udf.CIQ($B8,"IQ_CASH_OPER",JY$3,$I$3, $N$3, , $J$3, $K$3)/_xll.ciqfunctions.udf.CIQ($B8,"IQ_TOTAL_REV",JY$3,$I$3, $N$3, , $J$3, $K$3)),"")</f>
        <v/>
      </c>
      <c r="JZ8" s="87" t="str">
        <f>IFERROR(IF(OR($B8="",JZ$3=""),"",_xll.ciqfunctions.udf.CIQ($B8,"IQ_CASH_OPER",JZ$3,$I$3, $N$3, , $J$3, $K$3)/_xll.ciqfunctions.udf.CIQ($B8,"IQ_TOTAL_REV",JZ$3,$I$3, $N$3, , $J$3, $K$3)),"")</f>
        <v/>
      </c>
      <c r="KA8" s="87" t="str">
        <f>IFERROR(IF(OR($B8="",KA$3=""),"",_xll.ciqfunctions.udf.CIQ($B8,"IQ_CASH_OPER",KA$3,$I$3, $N$3, , $J$3, $K$3)/_xll.ciqfunctions.udf.CIQ($B8,"IQ_TOTAL_REV",KA$3,$I$3, $N$3, , $J$3, $K$3)),"")</f>
        <v/>
      </c>
      <c r="KB8" s="87" t="str">
        <f>IFERROR(IF(OR($B8="",KB$3=""),"",_xll.ciqfunctions.udf.CIQ($B8,"IQ_CASH_OPER",KB$3,$I$3, $N$3, , $J$3, $K$3)/_xll.ciqfunctions.udf.CIQ($B8,"IQ_TOTAL_REV",KB$3,$I$3, $N$3, , $J$3, $K$3)),"")</f>
        <v/>
      </c>
      <c r="KC8" s="87" t="str">
        <f>IFERROR(IF(OR($B8="",KC$3=""),"",_xll.ciqfunctions.udf.CIQ($B8,"IQ_CASH_OPER",KC$3,$I$3, $N$3, , $J$3, $K$3)/_xll.ciqfunctions.udf.CIQ($B8,"IQ_TOTAL_REV",KC$3,$I$3, $N$3, , $J$3, $K$3)),"")</f>
        <v/>
      </c>
      <c r="KD8" s="87" t="str">
        <f>IFERROR(IF(OR($B8="",KD$3=""),"",_xll.ciqfunctions.udf.CIQ($B8,"IQ_CASH_OPER",KD$3,$I$3, $N$3, , $J$3, $K$3)/_xll.ciqfunctions.udf.CIQ($B8,"IQ_TOTAL_REV",KD$3,$I$3, $N$3, , $J$3, $K$3)),"")</f>
        <v/>
      </c>
      <c r="KE8" s="87" t="str">
        <f>IFERROR(IF(OR($B8="",KE$3=""),"",_xll.ciqfunctions.udf.CIQ($B8,"IQ_CASH_OPER",KE$3,$I$3, $N$3, , $J$3, $K$3)/_xll.ciqfunctions.udf.CIQ($B8,"IQ_TOTAL_REV",KE$3,$I$3, $N$3, , $J$3, $K$3)),"")</f>
        <v/>
      </c>
      <c r="KF8" s="88" t="str">
        <f>IFERROR(IF(OR($B8="",KF$3=""),"",_xll.ciqfunctions.udf.CIQ($B8,"IQ_CASH_OPER",KF$3,$I$3, $N$3, , $J$3, $K$3)/_xll.ciqfunctions.udf.CIQ($B8,"IQ_TOTAL_REV",KF$3,$I$3, $N$3, , $J$3, $K$3)),"")</f>
        <v/>
      </c>
      <c r="KG8" s="89">
        <f>IFERROR(IF(OR($B8="",KG$3=""),"",IF(NOT(ISNUMBER(_xll.ciqfunctions.udf.CIQ($B8, "IQ_ASSET_TURNS", KG$3, $E$3, $N$3, , $J$3, $K$3))),"",_xll.ciqfunctions.udf.CIQ($B8, "IQ_ASSET_TURNS", KG$3, $E$3, $N$3, , $J$3, $K$3))),"")</f>
        <v>3.2659099999999999</v>
      </c>
      <c r="KH8" s="90" t="str">
        <f>IFERROR(IF(OR($B8="",KH$3=""),"",IF(NOT(ISNUMBER(_xll.ciqfunctions.udf.CIQ($B8, "IQ_ASSET_TURNS", KH$3, $E$3, $N$3, , $J$3, $K$3))),"",_xll.ciqfunctions.udf.CIQ($B8, "IQ_ASSET_TURNS", KH$3, $E$3, $N$3, , $J$3, $K$3))),"")</f>
        <v/>
      </c>
      <c r="KI8" s="90" t="str">
        <f>IFERROR(IF(OR($B8="",KI$3=""),"",IF(NOT(ISNUMBER(_xll.ciqfunctions.udf.CIQ($B8, "IQ_ASSET_TURNS", KI$3, $E$3, $N$3, , $J$3, $K$3))),"",_xll.ciqfunctions.udf.CIQ($B8, "IQ_ASSET_TURNS", KI$3, $E$3, $N$3, , $J$3, $K$3))),"")</f>
        <v/>
      </c>
      <c r="KJ8" s="90" t="str">
        <f>IFERROR(IF(OR($B8="",KJ$3=""),"",IF(NOT(ISNUMBER(_xll.ciqfunctions.udf.CIQ($B8, "IQ_ASSET_TURNS", KJ$3, $E$3, $N$3, , $J$3, $K$3))),"",_xll.ciqfunctions.udf.CIQ($B8, "IQ_ASSET_TURNS", KJ$3, $E$3, $N$3, , $J$3, $K$3))),"")</f>
        <v/>
      </c>
      <c r="KK8" s="90" t="str">
        <f>IFERROR(IF(OR($B8="",KK$3=""),"",IF(NOT(ISNUMBER(_xll.ciqfunctions.udf.CIQ($B8, "IQ_ASSET_TURNS", KK$3, $E$3, $N$3, , $J$3, $K$3))),"",_xll.ciqfunctions.udf.CIQ($B8, "IQ_ASSET_TURNS", KK$3, $E$3, $N$3, , $J$3, $K$3))),"")</f>
        <v/>
      </c>
      <c r="KL8" s="90" t="str">
        <f>IFERROR(IF(OR($B8="",KL$3=""),"",IF(NOT(ISNUMBER(_xll.ciqfunctions.udf.CIQ($B8, "IQ_ASSET_TURNS", KL$3, $E$3, $N$3, , $J$3, $K$3))),"",_xll.ciqfunctions.udf.CIQ($B8, "IQ_ASSET_TURNS", KL$3, $E$3, $N$3, , $J$3, $K$3))),"")</f>
        <v/>
      </c>
      <c r="KM8" s="90" t="str">
        <f>IFERROR(IF(OR($B8="",KM$3=""),"",IF(NOT(ISNUMBER(_xll.ciqfunctions.udf.CIQ($B8, "IQ_ASSET_TURNS", KM$3, $E$3, $N$3, , $J$3, $K$3))),"",_xll.ciqfunctions.udf.CIQ($B8, "IQ_ASSET_TURNS", KM$3, $E$3, $N$3, , $J$3, $K$3))),"")</f>
        <v/>
      </c>
      <c r="KN8" s="90" t="str">
        <f>IFERROR(IF(OR($B8="",KN$3=""),"",IF(NOT(ISNUMBER(_xll.ciqfunctions.udf.CIQ($B8, "IQ_ASSET_TURNS", KN$3, $E$3, $N$3, , $J$3, $K$3))),"",_xll.ciqfunctions.udf.CIQ($B8, "IQ_ASSET_TURNS", KN$3, $E$3, $N$3, , $J$3, $K$3))),"")</f>
        <v/>
      </c>
      <c r="KO8" s="90" t="str">
        <f>IFERROR(IF(OR($B8="",KO$3=""),"",IF(NOT(ISNUMBER(_xll.ciqfunctions.udf.CIQ($B8, "IQ_ASSET_TURNS", KO$3, $E$3, $N$3, , $J$3, $K$3))),"",_xll.ciqfunctions.udf.CIQ($B8, "IQ_ASSET_TURNS", KO$3, $E$3, $N$3, , $J$3, $K$3))),"")</f>
        <v/>
      </c>
      <c r="KP8" s="90" t="str">
        <f>IFERROR(IF(OR($B8="",KP$3=""),"",IF(NOT(ISNUMBER(_xll.ciqfunctions.udf.CIQ($B8, "IQ_ASSET_TURNS", KP$3, $E$3, $N$3, , $J$3, $K$3))),"",_xll.ciqfunctions.udf.CIQ($B8, "IQ_ASSET_TURNS", KP$3, $E$3, $N$3, , $J$3, $K$3))),"")</f>
        <v/>
      </c>
      <c r="KQ8" s="90" t="str">
        <f>IFERROR(IF(OR($B8="",KQ$3=""),"",IF(NOT(ISNUMBER(_xll.ciqfunctions.udf.CIQ($B8, "IQ_ASSET_TURNS", KQ$3, $E$3, $N$3, , $J$3, $K$3))),"",_xll.ciqfunctions.udf.CIQ($B8, "IQ_ASSET_TURNS", KQ$3, $E$3, $N$3, , $J$3, $K$3))),"")</f>
        <v/>
      </c>
      <c r="KR8" s="90" t="str">
        <f>IFERROR(IF(OR($B8="",KR$3=""),"",IF(NOT(ISNUMBER(_xll.ciqfunctions.udf.CIQ($B8, "IQ_ASSET_TURNS", KR$3, $E$3, $N$3, , $J$3, $K$3))),"",_xll.ciqfunctions.udf.CIQ($B8, "IQ_ASSET_TURNS", KR$3, $E$3, $N$3, , $J$3, $K$3))),"")</f>
        <v/>
      </c>
      <c r="KS8" s="90" t="str">
        <f>IFERROR(IF(OR($B8="",KS$3=""),"",IF(NOT(ISNUMBER(_xll.ciqfunctions.udf.CIQ($B8, "IQ_ASSET_TURNS", KS$3, $E$3, $N$3, , $J$3, $K$3))),"",_xll.ciqfunctions.udf.CIQ($B8, "IQ_ASSET_TURNS", KS$3, $E$3, $N$3, , $J$3, $K$3))),"")</f>
        <v/>
      </c>
      <c r="KT8" s="90" t="str">
        <f>IFERROR(IF(OR($B8="",KT$3=""),"",IF(NOT(ISNUMBER(_xll.ciqfunctions.udf.CIQ($B8, "IQ_ASSET_TURNS", KT$3, $E$3, $N$3, , $J$3, $K$3))),"",_xll.ciqfunctions.udf.CIQ($B8, "IQ_ASSET_TURNS", KT$3, $E$3, $N$3, , $J$3, $K$3))),"")</f>
        <v/>
      </c>
      <c r="KU8" s="90" t="str">
        <f>IFERROR(IF(OR($B8="",KU$3=""),"",IF(NOT(ISNUMBER(_xll.ciqfunctions.udf.CIQ($B8, "IQ_ASSET_TURNS", KU$3, $E$3, $N$3, , $J$3, $K$3))),"",_xll.ciqfunctions.udf.CIQ($B8, "IQ_ASSET_TURNS", KU$3, $E$3, $N$3, , $J$3, $K$3))),"")</f>
        <v/>
      </c>
      <c r="KV8" s="90" t="str">
        <f>IFERROR(IF(OR($B8="",KV$3=""),"",IF(NOT(ISNUMBER(_xll.ciqfunctions.udf.CIQ($B8, "IQ_ASSET_TURNS", KV$3, $E$3, $N$3, , $J$3, $K$3))),"",_xll.ciqfunctions.udf.CIQ($B8, "IQ_ASSET_TURNS", KV$3, $E$3, $N$3, , $J$3, $K$3))),"")</f>
        <v/>
      </c>
      <c r="KW8" s="90" t="str">
        <f>IFERROR(IF(OR($B8="",KW$3=""),"",IF(NOT(ISNUMBER(_xll.ciqfunctions.udf.CIQ($B8, "IQ_ASSET_TURNS", KW$3, $E$3, $N$3, , $J$3, $K$3))),"",_xll.ciqfunctions.udf.CIQ($B8, "IQ_ASSET_TURNS", KW$3, $E$3, $N$3, , $J$3, $K$3))),"")</f>
        <v/>
      </c>
      <c r="KX8" s="90" t="str">
        <f>IFERROR(IF(OR($B8="",KX$3=""),"",IF(NOT(ISNUMBER(_xll.ciqfunctions.udf.CIQ($B8, "IQ_ASSET_TURNS", KX$3, $E$3, $N$3, , $J$3, $K$3))),"",_xll.ciqfunctions.udf.CIQ($B8, "IQ_ASSET_TURNS", KX$3, $E$3, $N$3, , $J$3, $K$3))),"")</f>
        <v/>
      </c>
      <c r="KY8" s="90" t="str">
        <f>IFERROR(IF(OR($B8="",KY$3=""),"",IF(NOT(ISNUMBER(_xll.ciqfunctions.udf.CIQ($B8, "IQ_ASSET_TURNS", KY$3, $E$3, $N$3, , $J$3, $K$3))),"",_xll.ciqfunctions.udf.CIQ($B8, "IQ_ASSET_TURNS", KY$3, $E$3, $N$3, , $J$3, $K$3))),"")</f>
        <v/>
      </c>
      <c r="KZ8" s="91" t="str">
        <f>IFERROR(IF(OR($B8="",KZ$3=""),"",IF(NOT(ISNUMBER(_xll.ciqfunctions.udf.CIQ($B8, "IQ_ASSET_TURNS", KZ$3, $E$3, $N$3, , $J$3, $K$3))),"",_xll.ciqfunctions.udf.CIQ($B8, "IQ_ASSET_TURNS", KZ$3, $E$3, $N$3, , $J$3, $K$3))),"")</f>
        <v/>
      </c>
      <c r="LA8" s="75">
        <f>IFERROR(IF(OR($B8="",LA$3=""),"",IF(NOT(ISNUMBER(_xll.ciqfunctions.udf.CIQ($B8, "IQ_INVENTORY_TURNS", LA$3, $E$3, $N$3, , $J$3, $K$3))),"",_xll.ciqfunctions.udf.CIQ($B8, "IQ_INVENTORY_TURNS", LA$3, $E$3, $N$3, , $J$3, $K$3))),"")</f>
        <v>11.128220000000001</v>
      </c>
      <c r="LB8" s="75" t="str">
        <f>IFERROR(IF(OR($B8="",LB$3=""),"",IF(NOT(ISNUMBER(_xll.ciqfunctions.udf.CIQ($B8, "IQ_INVENTORY_TURNS", LB$3, $E$3, $N$3, , $J$3, $K$3))),"",_xll.ciqfunctions.udf.CIQ($B8, "IQ_INVENTORY_TURNS", LB$3, $E$3, $N$3, , $J$3, $K$3))),"")</f>
        <v/>
      </c>
      <c r="LC8" s="75" t="str">
        <f>IFERROR(IF(OR($B8="",LC$3=""),"",IF(NOT(ISNUMBER(_xll.ciqfunctions.udf.CIQ($B8, "IQ_INVENTORY_TURNS", LC$3, $E$3, $N$3, , $J$3, $K$3))),"",_xll.ciqfunctions.udf.CIQ($B8, "IQ_INVENTORY_TURNS", LC$3, $E$3, $N$3, , $J$3, $K$3))),"")</f>
        <v/>
      </c>
      <c r="LD8" s="75" t="str">
        <f>IFERROR(IF(OR($B8="",LD$3=""),"",IF(NOT(ISNUMBER(_xll.ciqfunctions.udf.CIQ($B8, "IQ_INVENTORY_TURNS", LD$3, $E$3, $N$3, , $J$3, $K$3))),"",_xll.ciqfunctions.udf.CIQ($B8, "IQ_INVENTORY_TURNS", LD$3, $E$3, $N$3, , $J$3, $K$3))),"")</f>
        <v/>
      </c>
      <c r="LE8" s="75" t="str">
        <f>IFERROR(IF(OR($B8="",LE$3=""),"",IF(NOT(ISNUMBER(_xll.ciqfunctions.udf.CIQ($B8, "IQ_INVENTORY_TURNS", LE$3, $E$3, $N$3, , $J$3, $K$3))),"",_xll.ciqfunctions.udf.CIQ($B8, "IQ_INVENTORY_TURNS", LE$3, $E$3, $N$3, , $J$3, $K$3))),"")</f>
        <v/>
      </c>
      <c r="LF8" s="75" t="str">
        <f>IFERROR(IF(OR($B8="",LF$3=""),"",IF(NOT(ISNUMBER(_xll.ciqfunctions.udf.CIQ($B8, "IQ_INVENTORY_TURNS", LF$3, $E$3, $N$3, , $J$3, $K$3))),"",_xll.ciqfunctions.udf.CIQ($B8, "IQ_INVENTORY_TURNS", LF$3, $E$3, $N$3, , $J$3, $K$3))),"")</f>
        <v/>
      </c>
      <c r="LG8" s="75" t="str">
        <f>IFERROR(IF(OR($B8="",LG$3=""),"",IF(NOT(ISNUMBER(_xll.ciqfunctions.udf.CIQ($B8, "IQ_INVENTORY_TURNS", LG$3, $E$3, $N$3, , $J$3, $K$3))),"",_xll.ciqfunctions.udf.CIQ($B8, "IQ_INVENTORY_TURNS", LG$3, $E$3, $N$3, , $J$3, $K$3))),"")</f>
        <v/>
      </c>
      <c r="LH8" s="75" t="str">
        <f>IFERROR(IF(OR($B8="",LH$3=""),"",IF(NOT(ISNUMBER(_xll.ciqfunctions.udf.CIQ($B8, "IQ_INVENTORY_TURNS", LH$3, $E$3, $N$3, , $J$3, $K$3))),"",_xll.ciqfunctions.udf.CIQ($B8, "IQ_INVENTORY_TURNS", LH$3, $E$3, $N$3, , $J$3, $K$3))),"")</f>
        <v/>
      </c>
      <c r="LI8" s="75" t="str">
        <f>IFERROR(IF(OR($B8="",LI$3=""),"",IF(NOT(ISNUMBER(_xll.ciqfunctions.udf.CIQ($B8, "IQ_INVENTORY_TURNS", LI$3, $E$3, $N$3, , $J$3, $K$3))),"",_xll.ciqfunctions.udf.CIQ($B8, "IQ_INVENTORY_TURNS", LI$3, $E$3, $N$3, , $J$3, $K$3))),"")</f>
        <v/>
      </c>
      <c r="LJ8" s="75" t="str">
        <f>IFERROR(IF(OR($B8="",LJ$3=""),"",IF(NOT(ISNUMBER(_xll.ciqfunctions.udf.CIQ($B8, "IQ_INVENTORY_TURNS", LJ$3, $E$3, $N$3, , $J$3, $K$3))),"",_xll.ciqfunctions.udf.CIQ($B8, "IQ_INVENTORY_TURNS", LJ$3, $E$3, $N$3, , $J$3, $K$3))),"")</f>
        <v/>
      </c>
      <c r="LK8" s="75" t="str">
        <f>IFERROR(IF(OR($B8="",LK$3=""),"",IF(NOT(ISNUMBER(_xll.ciqfunctions.udf.CIQ($B8, "IQ_INVENTORY_TURNS", LK$3, $E$3, $N$3, , $J$3, $K$3))),"",_xll.ciqfunctions.udf.CIQ($B8, "IQ_INVENTORY_TURNS", LK$3, $E$3, $N$3, , $J$3, $K$3))),"")</f>
        <v/>
      </c>
      <c r="LL8" s="75" t="str">
        <f>IFERROR(IF(OR($B8="",LL$3=""),"",IF(NOT(ISNUMBER(_xll.ciqfunctions.udf.CIQ($B8, "IQ_INVENTORY_TURNS", LL$3, $E$3, $N$3, , $J$3, $K$3))),"",_xll.ciqfunctions.udf.CIQ($B8, "IQ_INVENTORY_TURNS", LL$3, $E$3, $N$3, , $J$3, $K$3))),"")</f>
        <v/>
      </c>
      <c r="LM8" s="75" t="str">
        <f>IFERROR(IF(OR($B8="",LM$3=""),"",IF(NOT(ISNUMBER(_xll.ciqfunctions.udf.CIQ($B8, "IQ_INVENTORY_TURNS", LM$3, $E$3, $N$3, , $J$3, $K$3))),"",_xll.ciqfunctions.udf.CIQ($B8, "IQ_INVENTORY_TURNS", LM$3, $E$3, $N$3, , $J$3, $K$3))),"")</f>
        <v/>
      </c>
      <c r="LN8" s="75" t="str">
        <f>IFERROR(IF(OR($B8="",LN$3=""),"",IF(NOT(ISNUMBER(_xll.ciqfunctions.udf.CIQ($B8, "IQ_INVENTORY_TURNS", LN$3, $E$3, $N$3, , $J$3, $K$3))),"",_xll.ciqfunctions.udf.CIQ($B8, "IQ_INVENTORY_TURNS", LN$3, $E$3, $N$3, , $J$3, $K$3))),"")</f>
        <v/>
      </c>
      <c r="LO8" s="75" t="str">
        <f>IFERROR(IF(OR($B8="",LO$3=""),"",IF(NOT(ISNUMBER(_xll.ciqfunctions.udf.CIQ($B8, "IQ_INVENTORY_TURNS", LO$3, $E$3, $N$3, , $J$3, $K$3))),"",_xll.ciqfunctions.udf.CIQ($B8, "IQ_INVENTORY_TURNS", LO$3, $E$3, $N$3, , $J$3, $K$3))),"")</f>
        <v/>
      </c>
      <c r="LP8" s="75" t="str">
        <f>IFERROR(IF(OR($B8="",LP$3=""),"",IF(NOT(ISNUMBER(_xll.ciqfunctions.udf.CIQ($B8, "IQ_INVENTORY_TURNS", LP$3, $E$3, $N$3, , $J$3, $K$3))),"",_xll.ciqfunctions.udf.CIQ($B8, "IQ_INVENTORY_TURNS", LP$3, $E$3, $N$3, , $J$3, $K$3))),"")</f>
        <v/>
      </c>
      <c r="LQ8" s="75" t="str">
        <f>IFERROR(IF(OR($B8="",LQ$3=""),"",IF(NOT(ISNUMBER(_xll.ciqfunctions.udf.CIQ($B8, "IQ_INVENTORY_TURNS", LQ$3, $E$3, $N$3, , $J$3, $K$3))),"",_xll.ciqfunctions.udf.CIQ($B8, "IQ_INVENTORY_TURNS", LQ$3, $E$3, $N$3, , $J$3, $K$3))),"")</f>
        <v/>
      </c>
      <c r="LR8" s="75" t="str">
        <f>IFERROR(IF(OR($B8="",LR$3=""),"",IF(NOT(ISNUMBER(_xll.ciqfunctions.udf.CIQ($B8, "IQ_INVENTORY_TURNS", LR$3, $E$3, $N$3, , $J$3, $K$3))),"",_xll.ciqfunctions.udf.CIQ($B8, "IQ_INVENTORY_TURNS", LR$3, $E$3, $N$3, , $J$3, $K$3))),"")</f>
        <v/>
      </c>
      <c r="LS8" s="75" t="str">
        <f>IFERROR(IF(OR($B8="",LS$3=""),"",IF(NOT(ISNUMBER(_xll.ciqfunctions.udf.CIQ($B8, "IQ_INVENTORY_TURNS", LS$3, $E$3, $N$3, , $J$3, $K$3))),"",_xll.ciqfunctions.udf.CIQ($B8, "IQ_INVENTORY_TURNS", LS$3, $E$3, $N$3, , $J$3, $K$3))),"")</f>
        <v/>
      </c>
      <c r="LT8" s="75" t="str">
        <f>IFERROR(IF(OR($B8="",LT$3=""),"",IF(NOT(ISNUMBER(_xll.ciqfunctions.udf.CIQ($B8, "IQ_INVENTORY_TURNS", LT$3, $E$3, $N$3, , $J$3, $K$3))),"",_xll.ciqfunctions.udf.CIQ($B8, "IQ_INVENTORY_TURNS", LT$3, $E$3, $N$3, , $J$3, $K$3))),"")</f>
        <v/>
      </c>
      <c r="LU8" s="75">
        <f>IFERROR(IF(OR($B8="",LU$3=""),"",IF(NOT(ISNUMBER(_xll.ciqfunctions.udf.CIQ($B8, "IQ_AR_TURNS", LU$3, $E$3, $N$3, , $J$3, $K$3))),"",_xll.ciqfunctions.udf.CIQ($B8, "IQ_AR_TURNS", LU$3, $E$3, $N$3, , $J$3, $K$3))),"")</f>
        <v>113.51817</v>
      </c>
      <c r="LV8" s="75" t="str">
        <f>IFERROR(IF(OR($B8="",LV$3=""),"",IF(NOT(ISNUMBER(_xll.ciqfunctions.udf.CIQ($B8, "IQ_AR_TURNS", LV$3, $E$3, $N$3, , $J$3, $K$3))),"",_xll.ciqfunctions.udf.CIQ($B8, "IQ_AR_TURNS", LV$3, $E$3, $N$3, , $J$3, $K$3))),"")</f>
        <v/>
      </c>
      <c r="LW8" s="75" t="str">
        <f>IFERROR(IF(OR($B8="",LW$3=""),"",IF(NOT(ISNUMBER(_xll.ciqfunctions.udf.CIQ($B8, "IQ_AR_TURNS", LW$3, $E$3, $N$3, , $J$3, $K$3))),"",_xll.ciqfunctions.udf.CIQ($B8, "IQ_AR_TURNS", LW$3, $E$3, $N$3, , $J$3, $K$3))),"")</f>
        <v/>
      </c>
      <c r="LX8" s="75" t="str">
        <f>IFERROR(IF(OR($B8="",LX$3=""),"",IF(NOT(ISNUMBER(_xll.ciqfunctions.udf.CIQ($B8, "IQ_AR_TURNS", LX$3, $E$3, $N$3, , $J$3, $K$3))),"",_xll.ciqfunctions.udf.CIQ($B8, "IQ_AR_TURNS", LX$3, $E$3, $N$3, , $J$3, $K$3))),"")</f>
        <v/>
      </c>
      <c r="LY8" s="75" t="str">
        <f>IFERROR(IF(OR($B8="",LY$3=""),"",IF(NOT(ISNUMBER(_xll.ciqfunctions.udf.CIQ($B8, "IQ_AR_TURNS", LY$3, $E$3, $N$3, , $J$3, $K$3))),"",_xll.ciqfunctions.udf.CIQ($B8, "IQ_AR_TURNS", LY$3, $E$3, $N$3, , $J$3, $K$3))),"")</f>
        <v/>
      </c>
      <c r="LZ8" s="75" t="str">
        <f>IFERROR(IF(OR($B8="",LZ$3=""),"",IF(NOT(ISNUMBER(_xll.ciqfunctions.udf.CIQ($B8, "IQ_AR_TURNS", LZ$3, $E$3, $N$3, , $J$3, $K$3))),"",_xll.ciqfunctions.udf.CIQ($B8, "IQ_AR_TURNS", LZ$3, $E$3, $N$3, , $J$3, $K$3))),"")</f>
        <v/>
      </c>
      <c r="MA8" s="75" t="str">
        <f>IFERROR(IF(OR($B8="",MA$3=""),"",IF(NOT(ISNUMBER(_xll.ciqfunctions.udf.CIQ($B8, "IQ_AR_TURNS", MA$3, $E$3, $N$3, , $J$3, $K$3))),"",_xll.ciqfunctions.udf.CIQ($B8, "IQ_AR_TURNS", MA$3, $E$3, $N$3, , $J$3, $K$3))),"")</f>
        <v/>
      </c>
      <c r="MB8" s="75" t="str">
        <f>IFERROR(IF(OR($B8="",MB$3=""),"",IF(NOT(ISNUMBER(_xll.ciqfunctions.udf.CIQ($B8, "IQ_AR_TURNS", MB$3, $E$3, $N$3, , $J$3, $K$3))),"",_xll.ciqfunctions.udf.CIQ($B8, "IQ_AR_TURNS", MB$3, $E$3, $N$3, , $J$3, $K$3))),"")</f>
        <v/>
      </c>
      <c r="MC8" s="75" t="str">
        <f>IFERROR(IF(OR($B8="",MC$3=""),"",IF(NOT(ISNUMBER(_xll.ciqfunctions.udf.CIQ($B8, "IQ_AR_TURNS", MC$3, $E$3, $N$3, , $J$3, $K$3))),"",_xll.ciqfunctions.udf.CIQ($B8, "IQ_AR_TURNS", MC$3, $E$3, $N$3, , $J$3, $K$3))),"")</f>
        <v/>
      </c>
      <c r="MD8" s="75" t="str">
        <f>IFERROR(IF(OR($B8="",MD$3=""),"",IF(NOT(ISNUMBER(_xll.ciqfunctions.udf.CIQ($B8, "IQ_AR_TURNS", MD$3, $E$3, $N$3, , $J$3, $K$3))),"",_xll.ciqfunctions.udf.CIQ($B8, "IQ_AR_TURNS", MD$3, $E$3, $N$3, , $J$3, $K$3))),"")</f>
        <v/>
      </c>
      <c r="ME8" s="75" t="str">
        <f>IFERROR(IF(OR($B8="",ME$3=""),"",IF(NOT(ISNUMBER(_xll.ciqfunctions.udf.CIQ($B8, "IQ_AR_TURNS", ME$3, $E$3, $N$3, , $J$3, $K$3))),"",_xll.ciqfunctions.udf.CIQ($B8, "IQ_AR_TURNS", ME$3, $E$3, $N$3, , $J$3, $K$3))),"")</f>
        <v/>
      </c>
      <c r="MF8" s="75" t="str">
        <f>IFERROR(IF(OR($B8="",MF$3=""),"",IF(NOT(ISNUMBER(_xll.ciqfunctions.udf.CIQ($B8, "IQ_AR_TURNS", MF$3, $E$3, $N$3, , $J$3, $K$3))),"",_xll.ciqfunctions.udf.CIQ($B8, "IQ_AR_TURNS", MF$3, $E$3, $N$3, , $J$3, $K$3))),"")</f>
        <v/>
      </c>
      <c r="MG8" s="75" t="str">
        <f>IFERROR(IF(OR($B8="",MG$3=""),"",IF(NOT(ISNUMBER(_xll.ciqfunctions.udf.CIQ($B8, "IQ_AR_TURNS", MG$3, $E$3, $N$3, , $J$3, $K$3))),"",_xll.ciqfunctions.udf.CIQ($B8, "IQ_AR_TURNS", MG$3, $E$3, $N$3, , $J$3, $K$3))),"")</f>
        <v/>
      </c>
      <c r="MH8" s="75" t="str">
        <f>IFERROR(IF(OR($B8="",MH$3=""),"",IF(NOT(ISNUMBER(_xll.ciqfunctions.udf.CIQ($B8, "IQ_AR_TURNS", MH$3, $E$3, $N$3, , $J$3, $K$3))),"",_xll.ciqfunctions.udf.CIQ($B8, "IQ_AR_TURNS", MH$3, $E$3, $N$3, , $J$3, $K$3))),"")</f>
        <v/>
      </c>
      <c r="MI8" s="75" t="str">
        <f>IFERROR(IF(OR($B8="",MI$3=""),"",IF(NOT(ISNUMBER(_xll.ciqfunctions.udf.CIQ($B8, "IQ_AR_TURNS", MI$3, $E$3, $N$3, , $J$3, $K$3))),"",_xll.ciqfunctions.udf.CIQ($B8, "IQ_AR_TURNS", MI$3, $E$3, $N$3, , $J$3, $K$3))),"")</f>
        <v/>
      </c>
      <c r="MJ8" s="75" t="str">
        <f>IFERROR(IF(OR($B8="",MJ$3=""),"",IF(NOT(ISNUMBER(_xll.ciqfunctions.udf.CIQ($B8, "IQ_AR_TURNS", MJ$3, $E$3, $N$3, , $J$3, $K$3))),"",_xll.ciqfunctions.udf.CIQ($B8, "IQ_AR_TURNS", MJ$3, $E$3, $N$3, , $J$3, $K$3))),"")</f>
        <v/>
      </c>
      <c r="MK8" s="75" t="str">
        <f>IFERROR(IF(OR($B8="",MK$3=""),"",IF(NOT(ISNUMBER(_xll.ciqfunctions.udf.CIQ($B8, "IQ_AR_TURNS", MK$3, $E$3, $N$3, , $J$3, $K$3))),"",_xll.ciqfunctions.udf.CIQ($B8, "IQ_AR_TURNS", MK$3, $E$3, $N$3, , $J$3, $K$3))),"")</f>
        <v/>
      </c>
      <c r="ML8" s="75" t="str">
        <f>IFERROR(IF(OR($B8="",ML$3=""),"",IF(NOT(ISNUMBER(_xll.ciqfunctions.udf.CIQ($B8, "IQ_AR_TURNS", ML$3, $E$3, $N$3, , $J$3, $K$3))),"",_xll.ciqfunctions.udf.CIQ($B8, "IQ_AR_TURNS", ML$3, $E$3, $N$3, , $J$3, $K$3))),"")</f>
        <v/>
      </c>
      <c r="MM8" s="75" t="str">
        <f>IFERROR(IF(OR($B8="",MM$3=""),"",IF(NOT(ISNUMBER(_xll.ciqfunctions.udf.CIQ($B8, "IQ_AR_TURNS", MM$3, $E$3, $N$3, , $J$3, $K$3))),"",_xll.ciqfunctions.udf.CIQ($B8, "IQ_AR_TURNS", MM$3, $E$3, $N$3, , $J$3, $K$3))),"")</f>
        <v/>
      </c>
      <c r="MN8" s="75" t="str">
        <f>IFERROR(IF(OR($B8="",MN$3=""),"",IF(NOT(ISNUMBER(_xll.ciqfunctions.udf.CIQ($B8, "IQ_AR_TURNS", MN$3, $E$3, $N$3, , $J$3, $K$3))),"",_xll.ciqfunctions.udf.CIQ($B8, "IQ_AR_TURNS", MN$3, $E$3, $N$3, , $J$3, $K$3))),"")</f>
        <v/>
      </c>
      <c r="MO8" s="588">
        <f>IFERROR(IF(OR($B8="",MO$3=""),"",_xll.ciqfunctions.udf.CIQ($B8, "IQ_LEVERED_FCF", $O$3, MO$3, $N$3, , $J$3, $K$3)*2/(_xll.ciqfunctions.udf.CIQ($B8, "IQ_TOTAL_DEBT", MO$3, $E$3, $N$3, , $J$3, $K$3)+_xll.ciqfunctions.udf.CIQ($B8, "IQ_TOTAL_DEBT", "IQ_" &amp; LEFT(MO$3,2) &amp; "-1", MO$3, $N$3, , $J$3, $K$3)) ),"")</f>
        <v>0.45402185684749435</v>
      </c>
      <c r="MP8" s="588" t="str">
        <f>IFERROR(IF(OR($B8="",MP$3=""),"",_xll.ciqfunctions.udf.CIQ($B8, "IQ_LEVERED_FCF", $O$3, MP$3, $N$3, , $J$3, $K$3)*2/(_xll.ciqfunctions.udf.CIQ($B8, "IQ_TOTAL_DEBT", MP$3, $E$3, $N$3, , $J$3, $K$3)+_xll.ciqfunctions.udf.CIQ($B8, "IQ_TOTAL_DEBT", "IQ_" &amp; LEFT(MP$3,2) &amp; "-1", MP$3, $N$3, , $J$3, $K$3)) ),"")</f>
        <v/>
      </c>
      <c r="MQ8" s="588" t="str">
        <f>IFERROR(IF(OR($B8="",MQ$3=""),"",_xll.ciqfunctions.udf.CIQ($B8, "IQ_LEVERED_FCF", $O$3, MQ$3, $N$3, , $J$3, $K$3)*2/(_xll.ciqfunctions.udf.CIQ($B8, "IQ_TOTAL_DEBT", MQ$3, $E$3, $N$3, , $J$3, $K$3)+_xll.ciqfunctions.udf.CIQ($B8, "IQ_TOTAL_DEBT", "IQ_" &amp; LEFT(MQ$3,2) &amp; "-1", MQ$3, $N$3, , $J$3, $K$3)) ),"")</f>
        <v/>
      </c>
      <c r="MR8" s="588" t="str">
        <f>IFERROR(IF(OR($B8="",MR$3=""),"",_xll.ciqfunctions.udf.CIQ($B8, "IQ_LEVERED_FCF", $O$3, MR$3, $N$3, , $J$3, $K$3)*2/(_xll.ciqfunctions.udf.CIQ($B8, "IQ_TOTAL_DEBT", MR$3, $E$3, $N$3, , $J$3, $K$3)+_xll.ciqfunctions.udf.CIQ($B8, "IQ_TOTAL_DEBT", "IQ_" &amp; LEFT(MR$3,2) &amp; "-1", MR$3, $N$3, , $J$3, $K$3)) ),"")</f>
        <v/>
      </c>
      <c r="MS8" s="588" t="str">
        <f>IFERROR(IF(OR($B8="",MS$3=""),"",_xll.ciqfunctions.udf.CIQ($B8, "IQ_LEVERED_FCF", $O$3, MS$3, $N$3, , $J$3, $K$3)*2/(_xll.ciqfunctions.udf.CIQ($B8, "IQ_TOTAL_DEBT", MS$3, $E$3, $N$3, , $J$3, $K$3)+_xll.ciqfunctions.udf.CIQ($B8, "IQ_TOTAL_DEBT", "IQ_" &amp; LEFT(MS$3,2) &amp; "-1", MS$3, $N$3, , $J$3, $K$3)) ),"")</f>
        <v/>
      </c>
      <c r="MT8" s="588" t="str">
        <f>IFERROR(IF(OR($B8="",MT$3=""),"",_xll.ciqfunctions.udf.CIQ($B8, "IQ_LEVERED_FCF", $O$3, MT$3, $N$3, , $J$3, $K$3)*2/(_xll.ciqfunctions.udf.CIQ($B8, "IQ_TOTAL_DEBT", MT$3, $E$3, $N$3, , $J$3, $K$3)+_xll.ciqfunctions.udf.CIQ($B8, "IQ_TOTAL_DEBT", "IQ_" &amp; LEFT(MT$3,2) &amp; "-1", MT$3, $N$3, , $J$3, $K$3)) ),"")</f>
        <v/>
      </c>
      <c r="MU8" s="588" t="str">
        <f>IFERROR(IF(OR($B8="",MU$3=""),"",_xll.ciqfunctions.udf.CIQ($B8, "IQ_LEVERED_FCF", $O$3, MU$3, $N$3, , $J$3, $K$3)*2/(_xll.ciqfunctions.udf.CIQ($B8, "IQ_TOTAL_DEBT", MU$3, $E$3, $N$3, , $J$3, $K$3)+_xll.ciqfunctions.udf.CIQ($B8, "IQ_TOTAL_DEBT", "IQ_" &amp; LEFT(MU$3,2) &amp; "-1", MU$3, $N$3, , $J$3, $K$3)) ),"")</f>
        <v/>
      </c>
      <c r="MV8" s="588" t="str">
        <f>IFERROR(IF(OR($B8="",MV$3=""),"",_xll.ciqfunctions.udf.CIQ($B8, "IQ_LEVERED_FCF", $O$3, MV$3, $N$3, , $J$3, $K$3)*2/(_xll.ciqfunctions.udf.CIQ($B8, "IQ_TOTAL_DEBT", MV$3, $E$3, $N$3, , $J$3, $K$3)+_xll.ciqfunctions.udf.CIQ($B8, "IQ_TOTAL_DEBT", "IQ_" &amp; LEFT(MV$3,2) &amp; "-1", MV$3, $N$3, , $J$3, $K$3)) ),"")</f>
        <v/>
      </c>
      <c r="MW8" s="588" t="str">
        <f>IFERROR(IF(OR($B8="",MW$3=""),"",_xll.ciqfunctions.udf.CIQ($B8, "IQ_LEVERED_FCF", $O$3, MW$3, $N$3, , $J$3, $K$3)*2/(_xll.ciqfunctions.udf.CIQ($B8, "IQ_TOTAL_DEBT", MW$3, $E$3, $N$3, , $J$3, $K$3)+_xll.ciqfunctions.udf.CIQ($B8, "IQ_TOTAL_DEBT", "IQ_" &amp; LEFT(MW$3,2) &amp; "-1", MW$3, $N$3, , $J$3, $K$3)) ),"")</f>
        <v/>
      </c>
      <c r="MX8" s="588" t="str">
        <f>IFERROR(IF(OR($B8="",MX$3=""),"",_xll.ciqfunctions.udf.CIQ($B8, "IQ_LEVERED_FCF", $O$3, MX$3, $N$3, , $J$3, $K$3)*2/(_xll.ciqfunctions.udf.CIQ($B8, "IQ_TOTAL_DEBT", MX$3, $E$3, $N$3, , $J$3, $K$3)+_xll.ciqfunctions.udf.CIQ($B8, "IQ_TOTAL_DEBT", "IQ_" &amp; LEFT(MX$3,2) &amp; "-1", MX$3, $N$3, , $J$3, $K$3)) ),"")</f>
        <v/>
      </c>
      <c r="MY8" s="588" t="str">
        <f>IFERROR(IF(OR($B8="",MY$3=""),"",_xll.ciqfunctions.udf.CIQ($B8, "IQ_LEVERED_FCF", $O$3, MY$3, $N$3, , $J$3, $K$3)*2/(_xll.ciqfunctions.udf.CIQ($B8, "IQ_TOTAL_DEBT", MY$3, $E$3, $N$3, , $J$3, $K$3)+_xll.ciqfunctions.udf.CIQ($B8, "IQ_TOTAL_DEBT", "IQ_" &amp; LEFT(MY$3,2) &amp; "-1", MY$3, $N$3, , $J$3, $K$3)) ),"")</f>
        <v/>
      </c>
      <c r="MZ8" s="588" t="str">
        <f>IFERROR(IF(OR($B8="",MZ$3=""),"",_xll.ciqfunctions.udf.CIQ($B8, "IQ_LEVERED_FCF", $O$3, MZ$3, $N$3, , $J$3, $K$3)*2/(_xll.ciqfunctions.udf.CIQ($B8, "IQ_TOTAL_DEBT", MZ$3, $E$3, $N$3, , $J$3, $K$3)+_xll.ciqfunctions.udf.CIQ($B8, "IQ_TOTAL_DEBT", "IQ_" &amp; LEFT(MZ$3,2) &amp; "-1", MZ$3, $N$3, , $J$3, $K$3)) ),"")</f>
        <v/>
      </c>
      <c r="NA8" s="588" t="str">
        <f>IFERROR(IF(OR($B8="",NA$3=""),"",_xll.ciqfunctions.udf.CIQ($B8, "IQ_LEVERED_FCF", $O$3, NA$3, $N$3, , $J$3, $K$3)*2/(_xll.ciqfunctions.udf.CIQ($B8, "IQ_TOTAL_DEBT", NA$3, $E$3, $N$3, , $J$3, $K$3)+_xll.ciqfunctions.udf.CIQ($B8, "IQ_TOTAL_DEBT", "IQ_" &amp; LEFT(NA$3,2) &amp; "-1", NA$3, $N$3, , $J$3, $K$3)) ),"")</f>
        <v/>
      </c>
      <c r="NB8" s="588" t="str">
        <f>IFERROR(IF(OR($B8="",NB$3=""),"",_xll.ciqfunctions.udf.CIQ($B8, "IQ_LEVERED_FCF", $O$3, NB$3, $N$3, , $J$3, $K$3)*2/(_xll.ciqfunctions.udf.CIQ($B8, "IQ_TOTAL_DEBT", NB$3, $E$3, $N$3, , $J$3, $K$3)+_xll.ciqfunctions.udf.CIQ($B8, "IQ_TOTAL_DEBT", "IQ_" &amp; LEFT(NB$3,2) &amp; "-1", NB$3, $N$3, , $J$3, $K$3)) ),"")</f>
        <v/>
      </c>
      <c r="NC8" s="588" t="str">
        <f>IFERROR(IF(OR($B8="",NC$3=""),"",_xll.ciqfunctions.udf.CIQ($B8, "IQ_LEVERED_FCF", $O$3, NC$3, $N$3, , $J$3, $K$3)*2/(_xll.ciqfunctions.udf.CIQ($B8, "IQ_TOTAL_DEBT", NC$3, $E$3, $N$3, , $J$3, $K$3)+_xll.ciqfunctions.udf.CIQ($B8, "IQ_TOTAL_DEBT", "IQ_" &amp; LEFT(NC$3,2) &amp; "-1", NC$3, $N$3, , $J$3, $K$3)) ),"")</f>
        <v/>
      </c>
      <c r="ND8" s="588" t="str">
        <f>IFERROR(IF(OR($B8="",ND$3=""),"",_xll.ciqfunctions.udf.CIQ($B8, "IQ_LEVERED_FCF", $O$3, ND$3, $N$3, , $J$3, $K$3)*2/(_xll.ciqfunctions.udf.CIQ($B8, "IQ_TOTAL_DEBT", ND$3, $E$3, $N$3, , $J$3, $K$3)+_xll.ciqfunctions.udf.CIQ($B8, "IQ_TOTAL_DEBT", "IQ_" &amp; LEFT(ND$3,2) &amp; "-1", ND$3, $N$3, , $J$3, $K$3)) ),"")</f>
        <v/>
      </c>
      <c r="NE8" s="588" t="str">
        <f>IFERROR(IF(OR($B8="",NE$3=""),"",_xll.ciqfunctions.udf.CIQ($B8, "IQ_LEVERED_FCF", $O$3, NE$3, $N$3, , $J$3, $K$3)*2/(_xll.ciqfunctions.udf.CIQ($B8, "IQ_TOTAL_DEBT", NE$3, $E$3, $N$3, , $J$3, $K$3)+_xll.ciqfunctions.udf.CIQ($B8, "IQ_TOTAL_DEBT", "IQ_" &amp; LEFT(NE$3,2) &amp; "-1", NE$3, $N$3, , $J$3, $K$3)) ),"")</f>
        <v/>
      </c>
      <c r="NF8" s="588" t="str">
        <f>IFERROR(IF(OR($B8="",NF$3=""),"",_xll.ciqfunctions.udf.CIQ($B8, "IQ_LEVERED_FCF", $O$3, NF$3, $N$3, , $J$3, $K$3)*2/(_xll.ciqfunctions.udf.CIQ($B8, "IQ_TOTAL_DEBT", NF$3, $E$3, $N$3, , $J$3, $K$3)+_xll.ciqfunctions.udf.CIQ($B8, "IQ_TOTAL_DEBT", "IQ_" &amp; LEFT(NF$3,2) &amp; "-1", NF$3, $N$3, , $J$3, $K$3)) ),"")</f>
        <v/>
      </c>
      <c r="NG8" s="588" t="str">
        <f>IFERROR(IF(OR($B8="",NG$3=""),"",_xll.ciqfunctions.udf.CIQ($B8, "IQ_LEVERED_FCF", $O$3, NG$3, $N$3, , $J$3, $K$3)*2/(_xll.ciqfunctions.udf.CIQ($B8, "IQ_TOTAL_DEBT", NG$3, $E$3, $N$3, , $J$3, $K$3)+_xll.ciqfunctions.udf.CIQ($B8, "IQ_TOTAL_DEBT", "IQ_" &amp; LEFT(NG$3,2) &amp; "-1", NG$3, $N$3, , $J$3, $K$3)) ),"")</f>
        <v/>
      </c>
      <c r="NH8" s="588" t="str">
        <f>IFERROR(IF(OR($B8="",NH$3=""),"",_xll.ciqfunctions.udf.CIQ($B8, "IQ_LEVERED_FCF", $O$3, NH$3, $N$3, , $J$3, $K$3)*2/(_xll.ciqfunctions.udf.CIQ($B8, "IQ_TOTAL_DEBT", NH$3, $E$3, $N$3, , $J$3, $K$3)+_xll.ciqfunctions.udf.CIQ($B8, "IQ_TOTAL_DEBT", "IQ_" &amp; LEFT(NH$3,2) &amp; "-1", NH$3, $N$3, , $J$3, $K$3)) ),"")</f>
        <v/>
      </c>
      <c r="NI8" s="588">
        <f>IFERROR(IF(OR($B8="",NI$3=""),"",_xll.ciqfunctions.udf.CIQ($B8, "IQ_CASH_OPER", $O$3, NI$3, $N$3, , $J$3, $K$3)/_xll.ciqfunctions.udf.CIQ($B8, "IQ_NI", NI$3, $E$3, $N$3, , $J$3, $K$3)),"")</f>
        <v>1.7343659244917715</v>
      </c>
      <c r="NJ8" s="588" t="str">
        <f>IFERROR(IF(OR($B8="",NJ$3=""),"",_xll.ciqfunctions.udf.CIQ($B8, "IQ_CASH_OPER", $O$3, NJ$3, $N$3, , $J$3, $K$3)/_xll.ciqfunctions.udf.CIQ($B8, "IQ_NI", NJ$3, $E$3, $N$3, , $J$3, $K$3)),"")</f>
        <v/>
      </c>
      <c r="NK8" s="588" t="str">
        <f>IFERROR(IF(OR($B8="",NK$3=""),"",_xll.ciqfunctions.udf.CIQ($B8, "IQ_CASH_OPER", $O$3, NK$3, $N$3, , $J$3, $K$3)/_xll.ciqfunctions.udf.CIQ($B8, "IQ_NI", NK$3, $E$3, $N$3, , $J$3, $K$3)),"")</f>
        <v/>
      </c>
      <c r="NL8" s="588" t="str">
        <f>IFERROR(IF(OR($B8="",NL$3=""),"",_xll.ciqfunctions.udf.CIQ($B8, "IQ_CASH_OPER", $O$3, NL$3, $N$3, , $J$3, $K$3)/_xll.ciqfunctions.udf.CIQ($B8, "IQ_NI", NL$3, $E$3, $N$3, , $J$3, $K$3)),"")</f>
        <v/>
      </c>
      <c r="NM8" s="588" t="str">
        <f>IFERROR(IF(OR($B8="",NM$3=""),"",_xll.ciqfunctions.udf.CIQ($B8, "IQ_CASH_OPER", $O$3, NM$3, $N$3, , $J$3, $K$3)/_xll.ciqfunctions.udf.CIQ($B8, "IQ_NI", NM$3, $E$3, $N$3, , $J$3, $K$3)),"")</f>
        <v/>
      </c>
      <c r="NN8" s="588" t="str">
        <f>IFERROR(IF(OR($B8="",NN$3=""),"",_xll.ciqfunctions.udf.CIQ($B8, "IQ_CASH_OPER", $O$3, NN$3, $N$3, , $J$3, $K$3)/_xll.ciqfunctions.udf.CIQ($B8, "IQ_NI", NN$3, $E$3, $N$3, , $J$3, $K$3)),"")</f>
        <v/>
      </c>
      <c r="NO8" s="588" t="str">
        <f>IFERROR(IF(OR($B8="",NO$3=""),"",_xll.ciqfunctions.udf.CIQ($B8, "IQ_CASH_OPER", $O$3, NO$3, $N$3, , $J$3, $K$3)/_xll.ciqfunctions.udf.CIQ($B8, "IQ_NI", NO$3, $E$3, $N$3, , $J$3, $K$3)),"")</f>
        <v/>
      </c>
      <c r="NP8" s="588" t="str">
        <f>IFERROR(IF(OR($B8="",NP$3=""),"",_xll.ciqfunctions.udf.CIQ($B8, "IQ_CASH_OPER", $O$3, NP$3, $N$3, , $J$3, $K$3)/_xll.ciqfunctions.udf.CIQ($B8, "IQ_NI", NP$3, $E$3, $N$3, , $J$3, $K$3)),"")</f>
        <v/>
      </c>
      <c r="NQ8" s="588" t="str">
        <f>IFERROR(IF(OR($B8="",NQ$3=""),"",_xll.ciqfunctions.udf.CIQ($B8, "IQ_CASH_OPER", $O$3, NQ$3, $N$3, , $J$3, $K$3)/_xll.ciqfunctions.udf.CIQ($B8, "IQ_NI", NQ$3, $E$3, $N$3, , $J$3, $K$3)),"")</f>
        <v/>
      </c>
      <c r="NR8" s="588" t="str">
        <f>IFERROR(IF(OR($B8="",NR$3=""),"",_xll.ciqfunctions.udf.CIQ($B8, "IQ_CASH_OPER", $O$3, NR$3, $N$3, , $J$3, $K$3)/_xll.ciqfunctions.udf.CIQ($B8, "IQ_NI", NR$3, $E$3, $N$3, , $J$3, $K$3)),"")</f>
        <v/>
      </c>
      <c r="NS8" s="588" t="str">
        <f>IFERROR(IF(OR($B8="",NS$3=""),"",_xll.ciqfunctions.udf.CIQ($B8, "IQ_CASH_OPER", $O$3, NS$3, $N$3, , $J$3, $K$3)/_xll.ciqfunctions.udf.CIQ($B8, "IQ_NI", NS$3, $E$3, $N$3, , $J$3, $K$3)),"")</f>
        <v/>
      </c>
      <c r="NT8" s="588" t="str">
        <f>IFERROR(IF(OR($B8="",NT$3=""),"",_xll.ciqfunctions.udf.CIQ($B8, "IQ_CASH_OPER", $O$3, NT$3, $N$3, , $J$3, $K$3)/_xll.ciqfunctions.udf.CIQ($B8, "IQ_NI", NT$3, $E$3, $N$3, , $J$3, $K$3)),"")</f>
        <v/>
      </c>
      <c r="NU8" s="588" t="str">
        <f>IFERROR(IF(OR($B8="",NU$3=""),"",_xll.ciqfunctions.udf.CIQ($B8, "IQ_CASH_OPER", $O$3, NU$3, $N$3, , $J$3, $K$3)/_xll.ciqfunctions.udf.CIQ($B8, "IQ_NI", NU$3, $E$3, $N$3, , $J$3, $K$3)),"")</f>
        <v/>
      </c>
      <c r="NV8" s="588" t="str">
        <f>IFERROR(IF(OR($B8="",NV$3=""),"",_xll.ciqfunctions.udf.CIQ($B8, "IQ_CASH_OPER", $O$3, NV$3, $N$3, , $J$3, $K$3)/_xll.ciqfunctions.udf.CIQ($B8, "IQ_NI", NV$3, $E$3, $N$3, , $J$3, $K$3)),"")</f>
        <v/>
      </c>
      <c r="NW8" s="588" t="str">
        <f>IFERROR(IF(OR($B8="",NW$3=""),"",_xll.ciqfunctions.udf.CIQ($B8, "IQ_CASH_OPER", $O$3, NW$3, $N$3, , $J$3, $K$3)/_xll.ciqfunctions.udf.CIQ($B8, "IQ_NI", NW$3, $E$3, $N$3, , $J$3, $K$3)),"")</f>
        <v/>
      </c>
      <c r="NX8" s="588" t="str">
        <f>IFERROR(IF(OR($B8="",NX$3=""),"",_xll.ciqfunctions.udf.CIQ($B8, "IQ_CASH_OPER", $O$3, NX$3, $N$3, , $J$3, $K$3)/_xll.ciqfunctions.udf.CIQ($B8, "IQ_NI", NX$3, $E$3, $N$3, , $J$3, $K$3)),"")</f>
        <v/>
      </c>
      <c r="NY8" s="588" t="str">
        <f>IFERROR(IF(OR($B8="",NY$3=""),"",_xll.ciqfunctions.udf.CIQ($B8, "IQ_CASH_OPER", $O$3, NY$3, $N$3, , $J$3, $K$3)/_xll.ciqfunctions.udf.CIQ($B8, "IQ_NI", NY$3, $E$3, $N$3, , $J$3, $K$3)),"")</f>
        <v/>
      </c>
      <c r="NZ8" s="588" t="str">
        <f>IFERROR(IF(OR($B8="",NZ$3=""),"",_xll.ciqfunctions.udf.CIQ($B8, "IQ_CASH_OPER", $O$3, NZ$3, $N$3, , $J$3, $K$3)/_xll.ciqfunctions.udf.CIQ($B8, "IQ_NI", NZ$3, $E$3, $N$3, , $J$3, $K$3)),"")</f>
        <v/>
      </c>
      <c r="OA8" s="588" t="str">
        <f>IFERROR(IF(OR($B8="",OA$3=""),"",_xll.ciqfunctions.udf.CIQ($B8, "IQ_CASH_OPER", $O$3, OA$3, $N$3, , $J$3, $K$3)/_xll.ciqfunctions.udf.CIQ($B8, "IQ_NI", OA$3, $E$3, $N$3, , $J$3, $K$3)),"")</f>
        <v/>
      </c>
      <c r="OB8" s="588" t="str">
        <f>IFERROR(IF(OR($B8="",OB$3=""),"",_xll.ciqfunctions.udf.CIQ($B8, "IQ_CASH_OPER", $O$3, OB$3, $N$3, , $J$3, $K$3)/_xll.ciqfunctions.udf.CIQ($B8, "IQ_NI", OB$3, $E$3, $N$3, , $J$3, $K$3)),"")</f>
        <v/>
      </c>
      <c r="OC8" s="86">
        <f>IFERROR(IF(OR($B8="",OC$3=""),"",_xll.ciqfunctions.udf.CIQ($B8,"IQ_NI",$O$3, OC$3, $N$3, , $J$3, $K$3)*2/(_xll.ciqfunctions.udf.CIQ($B8,"IQ_TOTAL_ASSETS",OC$3,$I$3, $N$3, , $J$3, $K$3)+_xll.ciqfunctions.udf.CIQ($B8,"IQ_TOTAL_ASSETS", "IQ_" &amp; LEFT(OC$3,2) &amp; "-1", OC$3, $N$3, , $J$3, $K$3))),"")</f>
        <v>8.0520399466092019E-2</v>
      </c>
      <c r="OD8" s="87" t="str">
        <f>IFERROR(IF(OR($B8="",OD$3=""),"",_xll.ciqfunctions.udf.CIQ($B8,"IQ_NI",$O$3, OD$3, $N$3, , $J$3, $K$3)*2/(_xll.ciqfunctions.udf.CIQ($B8,"IQ_TOTAL_ASSETS",OD$3,$I$3, $N$3, , $J$3, $K$3)+_xll.ciqfunctions.udf.CIQ($B8,"IQ_TOTAL_ASSETS", "IQ_" &amp; LEFT(OD$3,2) &amp; "-1", OD$3, $N$3, , $J$3, $K$3))),"")</f>
        <v/>
      </c>
      <c r="OE8" s="87" t="str">
        <f>IFERROR(IF(OR($B8="",OE$3=""),"",_xll.ciqfunctions.udf.CIQ($B8,"IQ_NI",$O$3, OE$3, $N$3, , $J$3, $K$3)*2/(_xll.ciqfunctions.udf.CIQ($B8,"IQ_TOTAL_ASSETS",OE$3,$I$3, $N$3, , $J$3, $K$3)+_xll.ciqfunctions.udf.CIQ($B8,"IQ_TOTAL_ASSETS", "IQ_" &amp; LEFT(OE$3,2) &amp; "-1", OE$3, $N$3, , $J$3, $K$3))),"")</f>
        <v/>
      </c>
      <c r="OF8" s="87" t="str">
        <f>IFERROR(IF(OR($B8="",OF$3=""),"",_xll.ciqfunctions.udf.CIQ($B8,"IQ_NI",$O$3, OF$3, $N$3, , $J$3, $K$3)*2/(_xll.ciqfunctions.udf.CIQ($B8,"IQ_TOTAL_ASSETS",OF$3,$I$3, $N$3, , $J$3, $K$3)+_xll.ciqfunctions.udf.CIQ($B8,"IQ_TOTAL_ASSETS", "IQ_" &amp; LEFT(OF$3,2) &amp; "-1", OF$3, $N$3, , $J$3, $K$3))),"")</f>
        <v/>
      </c>
      <c r="OG8" s="87" t="str">
        <f>IFERROR(IF(OR($B8="",OG$3=""),"",_xll.ciqfunctions.udf.CIQ($B8,"IQ_NI",$O$3, OG$3, $N$3, , $J$3, $K$3)*2/(_xll.ciqfunctions.udf.CIQ($B8,"IQ_TOTAL_ASSETS",OG$3,$I$3, $N$3, , $J$3, $K$3)+_xll.ciqfunctions.udf.CIQ($B8,"IQ_TOTAL_ASSETS", "IQ_" &amp; LEFT(OG$3,2) &amp; "-1", OG$3, $N$3, , $J$3, $K$3))),"")</f>
        <v/>
      </c>
      <c r="OH8" s="87" t="str">
        <f>IFERROR(IF(OR($B8="",OH$3=""),"",_xll.ciqfunctions.udf.CIQ($B8,"IQ_NI",$O$3, OH$3, $N$3, , $J$3, $K$3)*2/(_xll.ciqfunctions.udf.CIQ($B8,"IQ_TOTAL_ASSETS",OH$3,$I$3, $N$3, , $J$3, $K$3)+_xll.ciqfunctions.udf.CIQ($B8,"IQ_TOTAL_ASSETS", "IQ_" &amp; LEFT(OH$3,2) &amp; "-1", OH$3, $N$3, , $J$3, $K$3))),"")</f>
        <v/>
      </c>
      <c r="OI8" s="87" t="str">
        <f>IFERROR(IF(OR($B8="",OI$3=""),"",_xll.ciqfunctions.udf.CIQ($B8,"IQ_NI",$O$3, OI$3, $N$3, , $J$3, $K$3)*2/(_xll.ciqfunctions.udf.CIQ($B8,"IQ_TOTAL_ASSETS",OI$3,$I$3, $N$3, , $J$3, $K$3)+_xll.ciqfunctions.udf.CIQ($B8,"IQ_TOTAL_ASSETS", "IQ_" &amp; LEFT(OI$3,2) &amp; "-1", OI$3, $N$3, , $J$3, $K$3))),"")</f>
        <v/>
      </c>
      <c r="OJ8" s="87" t="str">
        <f>IFERROR(IF(OR($B8="",OJ$3=""),"",_xll.ciqfunctions.udf.CIQ($B8,"IQ_NI",$O$3, OJ$3, $N$3, , $J$3, $K$3)*2/(_xll.ciqfunctions.udf.CIQ($B8,"IQ_TOTAL_ASSETS",OJ$3,$I$3, $N$3, , $J$3, $K$3)+_xll.ciqfunctions.udf.CIQ($B8,"IQ_TOTAL_ASSETS", "IQ_" &amp; LEFT(OJ$3,2) &amp; "-1", OJ$3, $N$3, , $J$3, $K$3))),"")</f>
        <v/>
      </c>
      <c r="OK8" s="87" t="str">
        <f>IFERROR(IF(OR($B8="",OK$3=""),"",_xll.ciqfunctions.udf.CIQ($B8,"IQ_NI",$O$3, OK$3, $N$3, , $J$3, $K$3)*2/(_xll.ciqfunctions.udf.CIQ($B8,"IQ_TOTAL_ASSETS",OK$3,$I$3, $N$3, , $J$3, $K$3)+_xll.ciqfunctions.udf.CIQ($B8,"IQ_TOTAL_ASSETS", "IQ_" &amp; LEFT(OK$3,2) &amp; "-1", OK$3, $N$3, , $J$3, $K$3))),"")</f>
        <v/>
      </c>
      <c r="OL8" s="87" t="str">
        <f>IFERROR(IF(OR($B8="",OL$3=""),"",_xll.ciqfunctions.udf.CIQ($B8,"IQ_NI",$O$3, OL$3, $N$3, , $J$3, $K$3)*2/(_xll.ciqfunctions.udf.CIQ($B8,"IQ_TOTAL_ASSETS",OL$3,$I$3, $N$3, , $J$3, $K$3)+_xll.ciqfunctions.udf.CIQ($B8,"IQ_TOTAL_ASSETS", "IQ_" &amp; LEFT(OL$3,2) &amp; "-1", OL$3, $N$3, , $J$3, $K$3))),"")</f>
        <v/>
      </c>
      <c r="OM8" s="87" t="str">
        <f>IFERROR(IF(OR($B8="",OM$3=""),"",_xll.ciqfunctions.udf.CIQ($B8,"IQ_NI",$O$3, OM$3, $N$3, , $J$3, $K$3)*2/(_xll.ciqfunctions.udf.CIQ($B8,"IQ_TOTAL_ASSETS",OM$3,$I$3, $N$3, , $J$3, $K$3)+_xll.ciqfunctions.udf.CIQ($B8,"IQ_TOTAL_ASSETS", "IQ_" &amp; LEFT(OM$3,2) &amp; "-1", OM$3, $N$3, , $J$3, $K$3))),"")</f>
        <v/>
      </c>
      <c r="ON8" s="87" t="str">
        <f>IFERROR(IF(OR($B8="",ON$3=""),"",_xll.ciqfunctions.udf.CIQ($B8,"IQ_NI",$O$3, ON$3, $N$3, , $J$3, $K$3)*2/(_xll.ciqfunctions.udf.CIQ($B8,"IQ_TOTAL_ASSETS",ON$3,$I$3, $N$3, , $J$3, $K$3)+_xll.ciqfunctions.udf.CIQ($B8,"IQ_TOTAL_ASSETS", "IQ_" &amp; LEFT(ON$3,2) &amp; "-1", ON$3, $N$3, , $J$3, $K$3))),"")</f>
        <v/>
      </c>
      <c r="OO8" s="87" t="str">
        <f>IFERROR(IF(OR($B8="",OO$3=""),"",_xll.ciqfunctions.udf.CIQ($B8,"IQ_NI",$O$3, OO$3, $N$3, , $J$3, $K$3)*2/(_xll.ciqfunctions.udf.CIQ($B8,"IQ_TOTAL_ASSETS",OO$3,$I$3, $N$3, , $J$3, $K$3)+_xll.ciqfunctions.udf.CIQ($B8,"IQ_TOTAL_ASSETS", "IQ_" &amp; LEFT(OO$3,2) &amp; "-1", OO$3, $N$3, , $J$3, $K$3))),"")</f>
        <v/>
      </c>
      <c r="OP8" s="87" t="str">
        <f>IFERROR(IF(OR($B8="",OP$3=""),"",_xll.ciqfunctions.udf.CIQ($B8,"IQ_NI",$O$3, OP$3, $N$3, , $J$3, $K$3)*2/(_xll.ciqfunctions.udf.CIQ($B8,"IQ_TOTAL_ASSETS",OP$3,$I$3, $N$3, , $J$3, $K$3)+_xll.ciqfunctions.udf.CIQ($B8,"IQ_TOTAL_ASSETS", "IQ_" &amp; LEFT(OP$3,2) &amp; "-1", OP$3, $N$3, , $J$3, $K$3))),"")</f>
        <v/>
      </c>
      <c r="OQ8" s="87" t="str">
        <f>IFERROR(IF(OR($B8="",OQ$3=""),"",_xll.ciqfunctions.udf.CIQ($B8,"IQ_NI",$O$3, OQ$3, $N$3, , $J$3, $K$3)*2/(_xll.ciqfunctions.udf.CIQ($B8,"IQ_TOTAL_ASSETS",OQ$3,$I$3, $N$3, , $J$3, $K$3)+_xll.ciqfunctions.udf.CIQ($B8,"IQ_TOTAL_ASSETS", "IQ_" &amp; LEFT(OQ$3,2) &amp; "-1", OQ$3, $N$3, , $J$3, $K$3))),"")</f>
        <v/>
      </c>
      <c r="OR8" s="87" t="str">
        <f>IFERROR(IF(OR($B8="",OR$3=""),"",_xll.ciqfunctions.udf.CIQ($B8,"IQ_NI",$O$3, OR$3, $N$3, , $J$3, $K$3)*2/(_xll.ciqfunctions.udf.CIQ($B8,"IQ_TOTAL_ASSETS",OR$3,$I$3, $N$3, , $J$3, $K$3)+_xll.ciqfunctions.udf.CIQ($B8,"IQ_TOTAL_ASSETS", "IQ_" &amp; LEFT(OR$3,2) &amp; "-1", OR$3, $N$3, , $J$3, $K$3))),"")</f>
        <v/>
      </c>
      <c r="OS8" s="87" t="str">
        <f>IFERROR(IF(OR($B8="",OS$3=""),"",_xll.ciqfunctions.udf.CIQ($B8,"IQ_NI",$O$3, OS$3, $N$3, , $J$3, $K$3)*2/(_xll.ciqfunctions.udf.CIQ($B8,"IQ_TOTAL_ASSETS",OS$3,$I$3, $N$3, , $J$3, $K$3)+_xll.ciqfunctions.udf.CIQ($B8,"IQ_TOTAL_ASSETS", "IQ_" &amp; LEFT(OS$3,2) &amp; "-1", OS$3, $N$3, , $J$3, $K$3))),"")</f>
        <v/>
      </c>
      <c r="OT8" s="87" t="str">
        <f>IFERROR(IF(OR($B8="",OT$3=""),"",_xll.ciqfunctions.udf.CIQ($B8,"IQ_NI",$O$3, OT$3, $N$3, , $J$3, $K$3)*2/(_xll.ciqfunctions.udf.CIQ($B8,"IQ_TOTAL_ASSETS",OT$3,$I$3, $N$3, , $J$3, $K$3)+_xll.ciqfunctions.udf.CIQ($B8,"IQ_TOTAL_ASSETS", "IQ_" &amp; LEFT(OT$3,2) &amp; "-1", OT$3, $N$3, , $J$3, $K$3))),"")</f>
        <v/>
      </c>
      <c r="OU8" s="87" t="str">
        <f>IFERROR(IF(OR($B8="",OU$3=""),"",_xll.ciqfunctions.udf.CIQ($B8,"IQ_NI",$O$3, OU$3, $N$3, , $J$3, $K$3)*2/(_xll.ciqfunctions.udf.CIQ($B8,"IQ_TOTAL_ASSETS",OU$3,$I$3, $N$3, , $J$3, $K$3)+_xll.ciqfunctions.udf.CIQ($B8,"IQ_TOTAL_ASSETS", "IQ_" &amp; LEFT(OU$3,2) &amp; "-1", OU$3, $N$3, , $J$3, $K$3))),"")</f>
        <v/>
      </c>
      <c r="OV8" s="88" t="str">
        <f>IFERROR(IF(OR($B8="",OV$3=""),"",_xll.ciqfunctions.udf.CIQ($B8,"IQ_NI",$O$3, OV$3, $N$3, , $J$3, $K$3)*2/(_xll.ciqfunctions.udf.CIQ($B8,"IQ_TOTAL_ASSETS",OV$3,$I$3, $N$3, , $J$3, $K$3)+_xll.ciqfunctions.udf.CIQ($B8,"IQ_TOTAL_ASSETS", "IQ_" &amp; LEFT(OV$3,2) &amp; "-1", OV$3, $N$3, , $J$3, $K$3))),"")</f>
        <v/>
      </c>
      <c r="OW8" s="343">
        <f>IFERROR(IF(OR($B8="",OW$3=""),"",_xll.ciqfunctions.udf.CIQ($B8, "IQ_NI", $O$3, OW$3, $N$3, , $J$3, $K$3)*2/(_xll.ciqfunctions.udf.CIQ($B8, "IQ_TOTAL_ASSETS", OW$3, $I$3, $N$3, , $J$3, $K$3)+_xll.ciqfunctions.udf.CIQ($B8, "IQ_TOTAL_ASSETS", "IQ_" &amp; LEFT(OW$3,2) &amp; "-1", OW$3, $N$3, , $J$3, $K$3)-_xll.ciqfunctions.udf.CIQ($B8, "IQ_TOTAL_CL", OW$3, $I$3, $N$3, , $J$3, $K$3)-_xll.ciqfunctions.udf.CIQ($B8, "IQ_TOTAL_CL", "IQ_" &amp; LEFT(OW$3,2) &amp; "-1", OW$3, $N$3, , $J$3, $K$3))),"")</f>
        <v>0.17159895128262248</v>
      </c>
      <c r="OX8" s="87" t="str">
        <f>IFERROR(IF(OR($B8="",OX$3=""),"",_xll.ciqfunctions.udf.CIQ($B8, "IQ_NI", $O$3, OX$3, $N$3, , $J$3, $K$3)*2/(_xll.ciqfunctions.udf.CIQ($B8, "IQ_TOTAL_ASSETS", OX$3, $I$3, $N$3, , $J$3, $K$3)+_xll.ciqfunctions.udf.CIQ($B8, "IQ_TOTAL_ASSETS", "IQ_" &amp; LEFT(OX$3,2) &amp; "-1", OX$3, $N$3, , $J$3, $K$3)-_xll.ciqfunctions.udf.CIQ($B8, "IQ_TOTAL_CL", OX$3, $I$3, $N$3, , $J$3, $K$3)-_xll.ciqfunctions.udf.CIQ($B8, "IQ_TOTAL_CL", "IQ_" &amp; LEFT(OX$3,2) &amp; "-1", OX$3, $N$3, , $J$3, $K$3))),"")</f>
        <v/>
      </c>
      <c r="OY8" s="87" t="str">
        <f>IFERROR(IF(OR($B8="",OY$3=""),"",_xll.ciqfunctions.udf.CIQ($B8, "IQ_NI", $O$3, OY$3, $N$3, , $J$3, $K$3)*2/(_xll.ciqfunctions.udf.CIQ($B8, "IQ_TOTAL_ASSETS", OY$3, $I$3, $N$3, , $J$3, $K$3)+_xll.ciqfunctions.udf.CIQ($B8, "IQ_TOTAL_ASSETS", "IQ_" &amp; LEFT(OY$3,2) &amp; "-1", OY$3, $N$3, , $J$3, $K$3)-_xll.ciqfunctions.udf.CIQ($B8, "IQ_TOTAL_CL", OY$3, $I$3, $N$3, , $J$3, $K$3)-_xll.ciqfunctions.udf.CIQ($B8, "IQ_TOTAL_CL", "IQ_" &amp; LEFT(OY$3,2) &amp; "-1", OY$3, $N$3, , $J$3, $K$3))),"")</f>
        <v/>
      </c>
      <c r="OZ8" s="87" t="str">
        <f>IFERROR(IF(OR($B8="",OZ$3=""),"",_xll.ciqfunctions.udf.CIQ($B8, "IQ_NI", $O$3, OZ$3, $N$3, , $J$3, $K$3)*2/(_xll.ciqfunctions.udf.CIQ($B8, "IQ_TOTAL_ASSETS", OZ$3, $I$3, $N$3, , $J$3, $K$3)+_xll.ciqfunctions.udf.CIQ($B8, "IQ_TOTAL_ASSETS", "IQ_" &amp; LEFT(OZ$3,2) &amp; "-1", OZ$3, $N$3, , $J$3, $K$3)-_xll.ciqfunctions.udf.CIQ($B8, "IQ_TOTAL_CL", OZ$3, $I$3, $N$3, , $J$3, $K$3)-_xll.ciqfunctions.udf.CIQ($B8, "IQ_TOTAL_CL", "IQ_" &amp; LEFT(OZ$3,2) &amp; "-1", OZ$3, $N$3, , $J$3, $K$3))),"")</f>
        <v/>
      </c>
      <c r="PA8" s="87" t="str">
        <f>IFERROR(IF(OR($B8="",PA$3=""),"",_xll.ciqfunctions.udf.CIQ($B8, "IQ_NI", $O$3, PA$3, $N$3, , $J$3, $K$3)*2/(_xll.ciqfunctions.udf.CIQ($B8, "IQ_TOTAL_ASSETS", PA$3, $I$3, $N$3, , $J$3, $K$3)+_xll.ciqfunctions.udf.CIQ($B8, "IQ_TOTAL_ASSETS", "IQ_" &amp; LEFT(PA$3,2) &amp; "-1", PA$3, $N$3, , $J$3, $K$3)-_xll.ciqfunctions.udf.CIQ($B8, "IQ_TOTAL_CL", PA$3, $I$3, $N$3, , $J$3, $K$3)-_xll.ciqfunctions.udf.CIQ($B8, "IQ_TOTAL_CL", "IQ_" &amp; LEFT(PA$3,2) &amp; "-1", PA$3, $N$3, , $J$3, $K$3))),"")</f>
        <v/>
      </c>
      <c r="PB8" s="87" t="str">
        <f>IFERROR(IF(OR($B8="",PB$3=""),"",_xll.ciqfunctions.udf.CIQ($B8, "IQ_NI", $O$3, PB$3, $N$3, , $J$3, $K$3)*2/(_xll.ciqfunctions.udf.CIQ($B8, "IQ_TOTAL_ASSETS", PB$3, $I$3, $N$3, , $J$3, $K$3)+_xll.ciqfunctions.udf.CIQ($B8, "IQ_TOTAL_ASSETS", "IQ_" &amp; LEFT(PB$3,2) &amp; "-1", PB$3, $N$3, , $J$3, $K$3)-_xll.ciqfunctions.udf.CIQ($B8, "IQ_TOTAL_CL", PB$3, $I$3, $N$3, , $J$3, $K$3)-_xll.ciqfunctions.udf.CIQ($B8, "IQ_TOTAL_CL", "IQ_" &amp; LEFT(PB$3,2) &amp; "-1", PB$3, $N$3, , $J$3, $K$3))),"")</f>
        <v/>
      </c>
      <c r="PC8" s="87" t="str">
        <f>IFERROR(IF(OR($B8="",PC$3=""),"",_xll.ciqfunctions.udf.CIQ($B8, "IQ_NI", $O$3, PC$3, $N$3, , $J$3, $K$3)*2/(_xll.ciqfunctions.udf.CIQ($B8, "IQ_TOTAL_ASSETS", PC$3, $I$3, $N$3, , $J$3, $K$3)+_xll.ciqfunctions.udf.CIQ($B8, "IQ_TOTAL_ASSETS", "IQ_" &amp; LEFT(PC$3,2) &amp; "-1", PC$3, $N$3, , $J$3, $K$3)-_xll.ciqfunctions.udf.CIQ($B8, "IQ_TOTAL_CL", PC$3, $I$3, $N$3, , $J$3, $K$3)-_xll.ciqfunctions.udf.CIQ($B8, "IQ_TOTAL_CL", "IQ_" &amp; LEFT(PC$3,2) &amp; "-1", PC$3, $N$3, , $J$3, $K$3))),"")</f>
        <v/>
      </c>
      <c r="PD8" s="87" t="str">
        <f>IFERROR(IF(OR($B8="",PD$3=""),"",_xll.ciqfunctions.udf.CIQ($B8, "IQ_NI", $O$3, PD$3, $N$3, , $J$3, $K$3)*2/(_xll.ciqfunctions.udf.CIQ($B8, "IQ_TOTAL_ASSETS", PD$3, $I$3, $N$3, , $J$3, $K$3)+_xll.ciqfunctions.udf.CIQ($B8, "IQ_TOTAL_ASSETS", "IQ_" &amp; LEFT(PD$3,2) &amp; "-1", PD$3, $N$3, , $J$3, $K$3)-_xll.ciqfunctions.udf.CIQ($B8, "IQ_TOTAL_CL", PD$3, $I$3, $N$3, , $J$3, $K$3)-_xll.ciqfunctions.udf.CIQ($B8, "IQ_TOTAL_CL", "IQ_" &amp; LEFT(PD$3,2) &amp; "-1", PD$3, $N$3, , $J$3, $K$3))),"")</f>
        <v/>
      </c>
      <c r="PE8" s="87" t="str">
        <f>IFERROR(IF(OR($B8="",PE$3=""),"",_xll.ciqfunctions.udf.CIQ($B8, "IQ_NI", $O$3, PE$3, $N$3, , $J$3, $K$3)*2/(_xll.ciqfunctions.udf.CIQ($B8, "IQ_TOTAL_ASSETS", PE$3, $I$3, $N$3, , $J$3, $K$3)+_xll.ciqfunctions.udf.CIQ($B8, "IQ_TOTAL_ASSETS", "IQ_" &amp; LEFT(PE$3,2) &amp; "-1", PE$3, $N$3, , $J$3, $K$3)-_xll.ciqfunctions.udf.CIQ($B8, "IQ_TOTAL_CL", PE$3, $I$3, $N$3, , $J$3, $K$3)-_xll.ciqfunctions.udf.CIQ($B8, "IQ_TOTAL_CL", "IQ_" &amp; LEFT(PE$3,2) &amp; "-1", PE$3, $N$3, , $J$3, $K$3))),"")</f>
        <v/>
      </c>
      <c r="PF8" s="87" t="str">
        <f>IFERROR(IF(OR($B8="",PF$3=""),"",_xll.ciqfunctions.udf.CIQ($B8, "IQ_NI", $O$3, PF$3, $N$3, , $J$3, $K$3)*2/(_xll.ciqfunctions.udf.CIQ($B8, "IQ_TOTAL_ASSETS", PF$3, $I$3, $N$3, , $J$3, $K$3)+_xll.ciqfunctions.udf.CIQ($B8, "IQ_TOTAL_ASSETS", "IQ_" &amp; LEFT(PF$3,2) &amp; "-1", PF$3, $N$3, , $J$3, $K$3)-_xll.ciqfunctions.udf.CIQ($B8, "IQ_TOTAL_CL", PF$3, $I$3, $N$3, , $J$3, $K$3)-_xll.ciqfunctions.udf.CIQ($B8, "IQ_TOTAL_CL", "IQ_" &amp; LEFT(PF$3,2) &amp; "-1", PF$3, $N$3, , $J$3, $K$3))),"")</f>
        <v/>
      </c>
      <c r="PG8" s="87" t="str">
        <f>IFERROR(IF(OR($B8="",PG$3=""),"",_xll.ciqfunctions.udf.CIQ($B8, "IQ_NI", $O$3, PG$3, $N$3, , $J$3, $K$3)*2/(_xll.ciqfunctions.udf.CIQ($B8, "IQ_TOTAL_ASSETS", PG$3, $I$3, $N$3, , $J$3, $K$3)+_xll.ciqfunctions.udf.CIQ($B8, "IQ_TOTAL_ASSETS", "IQ_" &amp; LEFT(PG$3,2) &amp; "-1", PG$3, $N$3, , $J$3, $K$3)-_xll.ciqfunctions.udf.CIQ($B8, "IQ_TOTAL_CL", PG$3, $I$3, $N$3, , $J$3, $K$3)-_xll.ciqfunctions.udf.CIQ($B8, "IQ_TOTAL_CL", "IQ_" &amp; LEFT(PG$3,2) &amp; "-1", PG$3, $N$3, , $J$3, $K$3))),"")</f>
        <v/>
      </c>
      <c r="PH8" s="87" t="str">
        <f>IFERROR(IF(OR($B8="",PH$3=""),"",_xll.ciqfunctions.udf.CIQ($B8, "IQ_NI", $O$3, PH$3, $N$3, , $J$3, $K$3)*2/(_xll.ciqfunctions.udf.CIQ($B8, "IQ_TOTAL_ASSETS", PH$3, $I$3, $N$3, , $J$3, $K$3)+_xll.ciqfunctions.udf.CIQ($B8, "IQ_TOTAL_ASSETS", "IQ_" &amp; LEFT(PH$3,2) &amp; "-1", PH$3, $N$3, , $J$3, $K$3)-_xll.ciqfunctions.udf.CIQ($B8, "IQ_TOTAL_CL", PH$3, $I$3, $N$3, , $J$3, $K$3)-_xll.ciqfunctions.udf.CIQ($B8, "IQ_TOTAL_CL", "IQ_" &amp; LEFT(PH$3,2) &amp; "-1", PH$3, $N$3, , $J$3, $K$3))),"")</f>
        <v/>
      </c>
      <c r="PI8" s="87" t="str">
        <f>IFERROR(IF(OR($B8="",PI$3=""),"",_xll.ciqfunctions.udf.CIQ($B8, "IQ_NI", $O$3, PI$3, $N$3, , $J$3, $K$3)*2/(_xll.ciqfunctions.udf.CIQ($B8, "IQ_TOTAL_ASSETS", PI$3, $I$3, $N$3, , $J$3, $K$3)+_xll.ciqfunctions.udf.CIQ($B8, "IQ_TOTAL_ASSETS", "IQ_" &amp; LEFT(PI$3,2) &amp; "-1", PI$3, $N$3, , $J$3, $K$3)-_xll.ciqfunctions.udf.CIQ($B8, "IQ_TOTAL_CL", PI$3, $I$3, $N$3, , $J$3, $K$3)-_xll.ciqfunctions.udf.CIQ($B8, "IQ_TOTAL_CL", "IQ_" &amp; LEFT(PI$3,2) &amp; "-1", PI$3, $N$3, , $J$3, $K$3))),"")</f>
        <v/>
      </c>
      <c r="PJ8" s="87" t="str">
        <f>IFERROR(IF(OR($B8="",PJ$3=""),"",_xll.ciqfunctions.udf.CIQ($B8, "IQ_NI", $O$3, PJ$3, $N$3, , $J$3, $K$3)*2/(_xll.ciqfunctions.udf.CIQ($B8, "IQ_TOTAL_ASSETS", PJ$3, $I$3, $N$3, , $J$3, $K$3)+_xll.ciqfunctions.udf.CIQ($B8, "IQ_TOTAL_ASSETS", "IQ_" &amp; LEFT(PJ$3,2) &amp; "-1", PJ$3, $N$3, , $J$3, $K$3)-_xll.ciqfunctions.udf.CIQ($B8, "IQ_TOTAL_CL", PJ$3, $I$3, $N$3, , $J$3, $K$3)-_xll.ciqfunctions.udf.CIQ($B8, "IQ_TOTAL_CL", "IQ_" &amp; LEFT(PJ$3,2) &amp; "-1", PJ$3, $N$3, , $J$3, $K$3))),"")</f>
        <v/>
      </c>
      <c r="PK8" s="87" t="str">
        <f>IFERROR(IF(OR($B8="",PK$3=""),"",_xll.ciqfunctions.udf.CIQ($B8, "IQ_NI", $O$3, PK$3, $N$3, , $J$3, $K$3)*2/(_xll.ciqfunctions.udf.CIQ($B8, "IQ_TOTAL_ASSETS", PK$3, $I$3, $N$3, , $J$3, $K$3)+_xll.ciqfunctions.udf.CIQ($B8, "IQ_TOTAL_ASSETS", "IQ_" &amp; LEFT(PK$3,2) &amp; "-1", PK$3, $N$3, , $J$3, $K$3)-_xll.ciqfunctions.udf.CIQ($B8, "IQ_TOTAL_CL", PK$3, $I$3, $N$3, , $J$3, $K$3)-_xll.ciqfunctions.udf.CIQ($B8, "IQ_TOTAL_CL", "IQ_" &amp; LEFT(PK$3,2) &amp; "-1", PK$3, $N$3, , $J$3, $K$3))),"")</f>
        <v/>
      </c>
      <c r="PL8" s="87" t="str">
        <f>IFERROR(IF(OR($B8="",PL$3=""),"",_xll.ciqfunctions.udf.CIQ($B8, "IQ_NI", $O$3, PL$3, $N$3, , $J$3, $K$3)*2/(_xll.ciqfunctions.udf.CIQ($B8, "IQ_TOTAL_ASSETS", PL$3, $I$3, $N$3, , $J$3, $K$3)+_xll.ciqfunctions.udf.CIQ($B8, "IQ_TOTAL_ASSETS", "IQ_" &amp; LEFT(PL$3,2) &amp; "-1", PL$3, $N$3, , $J$3, $K$3)-_xll.ciqfunctions.udf.CIQ($B8, "IQ_TOTAL_CL", PL$3, $I$3, $N$3, , $J$3, $K$3)-_xll.ciqfunctions.udf.CIQ($B8, "IQ_TOTAL_CL", "IQ_" &amp; LEFT(PL$3,2) &amp; "-1", PL$3, $N$3, , $J$3, $K$3))),"")</f>
        <v/>
      </c>
      <c r="PM8" s="87" t="str">
        <f>IFERROR(IF(OR($B8="",PM$3=""),"",_xll.ciqfunctions.udf.CIQ($B8, "IQ_NI", $O$3, PM$3, $N$3, , $J$3, $K$3)*2/(_xll.ciqfunctions.udf.CIQ($B8, "IQ_TOTAL_ASSETS", PM$3, $I$3, $N$3, , $J$3, $K$3)+_xll.ciqfunctions.udf.CIQ($B8, "IQ_TOTAL_ASSETS", "IQ_" &amp; LEFT(PM$3,2) &amp; "-1", PM$3, $N$3, , $J$3, $K$3)-_xll.ciqfunctions.udf.CIQ($B8, "IQ_TOTAL_CL", PM$3, $I$3, $N$3, , $J$3, $K$3)-_xll.ciqfunctions.udf.CIQ($B8, "IQ_TOTAL_CL", "IQ_" &amp; LEFT(PM$3,2) &amp; "-1", PM$3, $N$3, , $J$3, $K$3))),"")</f>
        <v/>
      </c>
      <c r="PN8" s="87" t="str">
        <f>IFERROR(IF(OR($B8="",PN$3=""),"",_xll.ciqfunctions.udf.CIQ($B8, "IQ_NI", $O$3, PN$3, $N$3, , $J$3, $K$3)*2/(_xll.ciqfunctions.udf.CIQ($B8, "IQ_TOTAL_ASSETS", PN$3, $I$3, $N$3, , $J$3, $K$3)+_xll.ciqfunctions.udf.CIQ($B8, "IQ_TOTAL_ASSETS", "IQ_" &amp; LEFT(PN$3,2) &amp; "-1", PN$3, $N$3, , $J$3, $K$3)-_xll.ciqfunctions.udf.CIQ($B8, "IQ_TOTAL_CL", PN$3, $I$3, $N$3, , $J$3, $K$3)-_xll.ciqfunctions.udf.CIQ($B8, "IQ_TOTAL_CL", "IQ_" &amp; LEFT(PN$3,2) &amp; "-1", PN$3, $N$3, , $J$3, $K$3))),"")</f>
        <v/>
      </c>
      <c r="PO8" s="87" t="str">
        <f>IFERROR(IF(OR($B8="",PO$3=""),"",_xll.ciqfunctions.udf.CIQ($B8, "IQ_NI", $O$3, PO$3, $N$3, , $J$3, $K$3)*2/(_xll.ciqfunctions.udf.CIQ($B8, "IQ_TOTAL_ASSETS", PO$3, $I$3, $N$3, , $J$3, $K$3)+_xll.ciqfunctions.udf.CIQ($B8, "IQ_TOTAL_ASSETS", "IQ_" &amp; LEFT(PO$3,2) &amp; "-1", PO$3, $N$3, , $J$3, $K$3)-_xll.ciqfunctions.udf.CIQ($B8, "IQ_TOTAL_CL", PO$3, $I$3, $N$3, , $J$3, $K$3)-_xll.ciqfunctions.udf.CIQ($B8, "IQ_TOTAL_CL", "IQ_" &amp; LEFT(PO$3,2) &amp; "-1", PO$3, $N$3, , $J$3, $K$3))),"")</f>
        <v/>
      </c>
      <c r="PP8" s="88" t="str">
        <f>IFERROR(IF(OR($B8="",PP$3=""),"",_xll.ciqfunctions.udf.CIQ($B8, "IQ_NI", $O$3, PP$3, $N$3, , $J$3, $K$3)*2/(_xll.ciqfunctions.udf.CIQ($B8, "IQ_TOTAL_ASSETS", PP$3, $I$3, $N$3, , $J$3, $K$3)+_xll.ciqfunctions.udf.CIQ($B8, "IQ_TOTAL_ASSETS", "IQ_" &amp; LEFT(PP$3,2) &amp; "-1", PP$3, $N$3, , $J$3, $K$3)-_xll.ciqfunctions.udf.CIQ($B8, "IQ_TOTAL_CL", PP$3, $I$3, $N$3, , $J$3, $K$3)-_xll.ciqfunctions.udf.CIQ($B8, "IQ_TOTAL_CL", "IQ_" &amp; LEFT(PP$3,2) &amp; "-1", PP$3, $N$3, , $J$3, $K$3))),"")</f>
        <v/>
      </c>
      <c r="PQ8" s="89">
        <f>IFERROR(IF(OR($B8="",PQ$3=""),"",_xll.ciqfunctions.udf.CIQ($B8,"IQ_TOTAL_ASSETS",PQ$3, $I$3, $N$3, , $J$3, $K$3)/_xll.ciqfunctions.udf.CIQ($B8,"IQ_TOTAL_COMMON_EQUITY",PQ$3, $I$3, $N$3, , $J$3, $K$3)),"")</f>
        <v>3.4744624383902942</v>
      </c>
      <c r="PR8" s="90" t="str">
        <f>IFERROR(IF(OR($B8="",PR$3=""),"",_xll.ciqfunctions.udf.CIQ($B8,"IQ_TOTAL_ASSETS",PR$3, $I$3, $N$3, , $J$3, $K$3)/_xll.ciqfunctions.udf.CIQ($B8,"IQ_TOTAL_COMMON_EQUITY",PR$3, $I$3, $N$3, , $J$3, $K$3)),"")</f>
        <v/>
      </c>
      <c r="PS8" s="90" t="str">
        <f>IFERROR(IF(OR($B8="",PS$3=""),"",_xll.ciqfunctions.udf.CIQ($B8,"IQ_TOTAL_ASSETS",PS$3, $I$3, $N$3, , $J$3, $K$3)/_xll.ciqfunctions.udf.CIQ($B8,"IQ_TOTAL_COMMON_EQUITY",PS$3, $I$3, $N$3, , $J$3, $K$3)),"")</f>
        <v/>
      </c>
      <c r="PT8" s="90" t="str">
        <f>IFERROR(IF(OR($B8="",PT$3=""),"",_xll.ciqfunctions.udf.CIQ($B8,"IQ_TOTAL_ASSETS",PT$3, $I$3, $N$3, , $J$3, $K$3)/_xll.ciqfunctions.udf.CIQ($B8,"IQ_TOTAL_COMMON_EQUITY",PT$3, $I$3, $N$3, , $J$3, $K$3)),"")</f>
        <v/>
      </c>
      <c r="PU8" s="90" t="str">
        <f>IFERROR(IF(OR($B8="",PU$3=""),"",_xll.ciqfunctions.udf.CIQ($B8,"IQ_TOTAL_ASSETS",PU$3, $I$3, $N$3, , $J$3, $K$3)/_xll.ciqfunctions.udf.CIQ($B8,"IQ_TOTAL_COMMON_EQUITY",PU$3, $I$3, $N$3, , $J$3, $K$3)),"")</f>
        <v/>
      </c>
      <c r="PV8" s="90" t="str">
        <f>IFERROR(IF(OR($B8="",PV$3=""),"",_xll.ciqfunctions.udf.CIQ($B8,"IQ_TOTAL_ASSETS",PV$3, $I$3, $N$3, , $J$3, $K$3)/_xll.ciqfunctions.udf.CIQ($B8,"IQ_TOTAL_COMMON_EQUITY",PV$3, $I$3, $N$3, , $J$3, $K$3)),"")</f>
        <v/>
      </c>
      <c r="PW8" s="90" t="str">
        <f>IFERROR(IF(OR($B8="",PW$3=""),"",_xll.ciqfunctions.udf.CIQ($B8,"IQ_TOTAL_ASSETS",PW$3, $I$3, $N$3, , $J$3, $K$3)/_xll.ciqfunctions.udf.CIQ($B8,"IQ_TOTAL_COMMON_EQUITY",PW$3, $I$3, $N$3, , $J$3, $K$3)),"")</f>
        <v/>
      </c>
      <c r="PX8" s="90" t="str">
        <f>IFERROR(IF(OR($B8="",PX$3=""),"",_xll.ciqfunctions.udf.CIQ($B8,"IQ_TOTAL_ASSETS",PX$3, $I$3, $N$3, , $J$3, $K$3)/_xll.ciqfunctions.udf.CIQ($B8,"IQ_TOTAL_COMMON_EQUITY",PX$3, $I$3, $N$3, , $J$3, $K$3)),"")</f>
        <v/>
      </c>
      <c r="PY8" s="90" t="str">
        <f>IFERROR(IF(OR($B8="",PY$3=""),"",_xll.ciqfunctions.udf.CIQ($B8,"IQ_TOTAL_ASSETS",PY$3, $I$3, $N$3, , $J$3, $K$3)/_xll.ciqfunctions.udf.CIQ($B8,"IQ_TOTAL_COMMON_EQUITY",PY$3, $I$3, $N$3, , $J$3, $K$3)),"")</f>
        <v/>
      </c>
      <c r="PZ8" s="90" t="str">
        <f>IFERROR(IF(OR($B8="",PZ$3=""),"",_xll.ciqfunctions.udf.CIQ($B8,"IQ_TOTAL_ASSETS",PZ$3, $I$3, $N$3, , $J$3, $K$3)/_xll.ciqfunctions.udf.CIQ($B8,"IQ_TOTAL_COMMON_EQUITY",PZ$3, $I$3, $N$3, , $J$3, $K$3)),"")</f>
        <v/>
      </c>
      <c r="QA8" s="90" t="str">
        <f>IFERROR(IF(OR($B8="",QA$3=""),"",_xll.ciqfunctions.udf.CIQ($B8,"IQ_TOTAL_ASSETS",QA$3, $I$3, $N$3, , $J$3, $K$3)/_xll.ciqfunctions.udf.CIQ($B8,"IQ_TOTAL_COMMON_EQUITY",QA$3, $I$3, $N$3, , $J$3, $K$3)),"")</f>
        <v/>
      </c>
      <c r="QB8" s="90" t="str">
        <f>IFERROR(IF(OR($B8="",QB$3=""),"",_xll.ciqfunctions.udf.CIQ($B8,"IQ_TOTAL_ASSETS",QB$3, $I$3, $N$3, , $J$3, $K$3)/_xll.ciqfunctions.udf.CIQ($B8,"IQ_TOTAL_COMMON_EQUITY",QB$3, $I$3, $N$3, , $J$3, $K$3)),"")</f>
        <v/>
      </c>
      <c r="QC8" s="90" t="str">
        <f>IFERROR(IF(OR($B8="",QC$3=""),"",_xll.ciqfunctions.udf.CIQ($B8,"IQ_TOTAL_ASSETS",QC$3, $I$3, $N$3, , $J$3, $K$3)/_xll.ciqfunctions.udf.CIQ($B8,"IQ_TOTAL_COMMON_EQUITY",QC$3, $I$3, $N$3, , $J$3, $K$3)),"")</f>
        <v/>
      </c>
      <c r="QD8" s="90" t="str">
        <f>IFERROR(IF(OR($B8="",QD$3=""),"",_xll.ciqfunctions.udf.CIQ($B8,"IQ_TOTAL_ASSETS",QD$3, $I$3, $N$3, , $J$3, $K$3)/_xll.ciqfunctions.udf.CIQ($B8,"IQ_TOTAL_COMMON_EQUITY",QD$3, $I$3, $N$3, , $J$3, $K$3)),"")</f>
        <v/>
      </c>
      <c r="QE8" s="90" t="str">
        <f>IFERROR(IF(OR($B8="",QE$3=""),"",_xll.ciqfunctions.udf.CIQ($B8,"IQ_TOTAL_ASSETS",QE$3, $I$3, $N$3, , $J$3, $K$3)/_xll.ciqfunctions.udf.CIQ($B8,"IQ_TOTAL_COMMON_EQUITY",QE$3, $I$3, $N$3, , $J$3, $K$3)),"")</f>
        <v/>
      </c>
      <c r="QF8" s="90" t="str">
        <f>IFERROR(IF(OR($B8="",QF$3=""),"",_xll.ciqfunctions.udf.CIQ($B8,"IQ_TOTAL_ASSETS",QF$3, $I$3, $N$3, , $J$3, $K$3)/_xll.ciqfunctions.udf.CIQ($B8,"IQ_TOTAL_COMMON_EQUITY",QF$3, $I$3, $N$3, , $J$3, $K$3)),"")</f>
        <v/>
      </c>
      <c r="QG8" s="90" t="str">
        <f>IFERROR(IF(OR($B8="",QG$3=""),"",_xll.ciqfunctions.udf.CIQ($B8,"IQ_TOTAL_ASSETS",QG$3, $I$3, $N$3, , $J$3, $K$3)/_xll.ciqfunctions.udf.CIQ($B8,"IQ_TOTAL_COMMON_EQUITY",QG$3, $I$3, $N$3, , $J$3, $K$3)),"")</f>
        <v/>
      </c>
      <c r="QH8" s="90" t="str">
        <f>IFERROR(IF(OR($B8="",QH$3=""),"",_xll.ciqfunctions.udf.CIQ($B8,"IQ_TOTAL_ASSETS",QH$3, $I$3, $N$3, , $J$3, $K$3)/_xll.ciqfunctions.udf.CIQ($B8,"IQ_TOTAL_COMMON_EQUITY",QH$3, $I$3, $N$3, , $J$3, $K$3)),"")</f>
        <v/>
      </c>
      <c r="QI8" s="90" t="str">
        <f>IFERROR(IF(OR($B8="",QI$3=""),"",_xll.ciqfunctions.udf.CIQ($B8,"IQ_TOTAL_ASSETS",QI$3, $I$3, $N$3, , $J$3, $K$3)/_xll.ciqfunctions.udf.CIQ($B8,"IQ_TOTAL_COMMON_EQUITY",QI$3, $I$3, $N$3, , $J$3, $K$3)),"")</f>
        <v/>
      </c>
      <c r="QJ8" s="91" t="str">
        <f>IFERROR(IF(OR($B8="",QJ$3=""),"",_xll.ciqfunctions.udf.CIQ($B8,"IQ_TOTAL_ASSETS",QJ$3, $I$3, $N$3, , $J$3, $K$3)/_xll.ciqfunctions.udf.CIQ($B8,"IQ_TOTAL_COMMON_EQUITY",QJ$3, $I$3, $N$3, , $J$3, $K$3)),"")</f>
        <v/>
      </c>
      <c r="QK8" s="86">
        <f>IFERROR(IF(QK$3="","",_xll.ciqfunctions.udf.CIQ($B8, "IQ_NI", $O$3, QK$3, $N$3, , $J$3, $K$3)/_xll.ciqfunctions.udf.CIQ($B8, "IQ_TOTAL_REV", $O$3, QK$3, $N$3, , $J$3, $K$3)),"")</f>
        <v>2.5555175599324246E-2</v>
      </c>
      <c r="QL8" s="87" t="str">
        <f>IFERROR(IF(QL$3="","",_xll.ciqfunctions.udf.CIQ($B8, "IQ_NI", $O$3, QL$3, $N$3, , $J$3, $K$3)/_xll.ciqfunctions.udf.CIQ($B8, "IQ_TOTAL_REV", $O$3, QL$3, $N$3, , $J$3, $K$3)),"")</f>
        <v/>
      </c>
      <c r="QM8" s="87" t="str">
        <f>IFERROR(IF(QM$3="","",_xll.ciqfunctions.udf.CIQ($B8, "IQ_NI", $O$3, QM$3, $N$3, , $J$3, $K$3)/_xll.ciqfunctions.udf.CIQ($B8, "IQ_TOTAL_REV", $O$3, QM$3, $N$3, , $J$3, $K$3)),"")</f>
        <v/>
      </c>
      <c r="QN8" s="87" t="str">
        <f>IFERROR(IF(QN$3="","",_xll.ciqfunctions.udf.CIQ($B8, "IQ_NI", $O$3, QN$3, $N$3, , $J$3, $K$3)/_xll.ciqfunctions.udf.CIQ($B8, "IQ_TOTAL_REV", $O$3, QN$3, $N$3, , $J$3, $K$3)),"")</f>
        <v/>
      </c>
      <c r="QO8" s="87" t="str">
        <f>IFERROR(IF(QO$3="","",_xll.ciqfunctions.udf.CIQ($B8, "IQ_NI", $O$3, QO$3, $N$3, , $J$3, $K$3)/_xll.ciqfunctions.udf.CIQ($B8, "IQ_TOTAL_REV", $O$3, QO$3, $N$3, , $J$3, $K$3)),"")</f>
        <v/>
      </c>
      <c r="QP8" s="87" t="str">
        <f>IFERROR(IF(QP$3="","",_xll.ciqfunctions.udf.CIQ($B8, "IQ_NI", $O$3, QP$3, $N$3, , $J$3, $K$3)/_xll.ciqfunctions.udf.CIQ($B8, "IQ_TOTAL_REV", $O$3, QP$3, $N$3, , $J$3, $K$3)),"")</f>
        <v/>
      </c>
      <c r="QQ8" s="87" t="str">
        <f>IFERROR(IF(QQ$3="","",_xll.ciqfunctions.udf.CIQ($B8, "IQ_NI", $O$3, QQ$3, $N$3, , $J$3, $K$3)/_xll.ciqfunctions.udf.CIQ($B8, "IQ_TOTAL_REV", $O$3, QQ$3, $N$3, , $J$3, $K$3)),"")</f>
        <v/>
      </c>
      <c r="QR8" s="87" t="str">
        <f>IFERROR(IF(QR$3="","",_xll.ciqfunctions.udf.CIQ($B8, "IQ_NI", $O$3, QR$3, $N$3, , $J$3, $K$3)/_xll.ciqfunctions.udf.CIQ($B8, "IQ_TOTAL_REV", $O$3, QR$3, $N$3, , $J$3, $K$3)),"")</f>
        <v/>
      </c>
      <c r="QS8" s="87" t="str">
        <f>IFERROR(IF(QS$3="","",_xll.ciqfunctions.udf.CIQ($B8, "IQ_NI", $O$3, QS$3, $N$3, , $J$3, $K$3)/_xll.ciqfunctions.udf.CIQ($B8, "IQ_TOTAL_REV", $O$3, QS$3, $N$3, , $J$3, $K$3)),"")</f>
        <v/>
      </c>
      <c r="QT8" s="87" t="str">
        <f>IFERROR(IF(QT$3="","",_xll.ciqfunctions.udf.CIQ($B8, "IQ_NI", $O$3, QT$3, $N$3, , $J$3, $K$3)/_xll.ciqfunctions.udf.CIQ($B8, "IQ_TOTAL_REV", $O$3, QT$3, $N$3, , $J$3, $K$3)),"")</f>
        <v/>
      </c>
      <c r="QU8" s="87" t="str">
        <f>IFERROR(IF(QU$3="","",_xll.ciqfunctions.udf.CIQ($B8, "IQ_NI", $O$3, QU$3, $N$3, , $J$3, $K$3)/_xll.ciqfunctions.udf.CIQ($B8, "IQ_TOTAL_REV", $O$3, QU$3, $N$3, , $J$3, $K$3)),"")</f>
        <v/>
      </c>
      <c r="QV8" s="87" t="str">
        <f>IFERROR(IF(QV$3="","",_xll.ciqfunctions.udf.CIQ($B8, "IQ_NI", $O$3, QV$3, $N$3, , $J$3, $K$3)/_xll.ciqfunctions.udf.CIQ($B8, "IQ_TOTAL_REV", $O$3, QV$3, $N$3, , $J$3, $K$3)),"")</f>
        <v/>
      </c>
      <c r="QW8" s="87" t="str">
        <f>IFERROR(IF(QW$3="","",_xll.ciqfunctions.udf.CIQ($B8, "IQ_NI", $O$3, QW$3, $N$3, , $J$3, $K$3)/_xll.ciqfunctions.udf.CIQ($B8, "IQ_TOTAL_REV", $O$3, QW$3, $N$3, , $J$3, $K$3)),"")</f>
        <v/>
      </c>
      <c r="QX8" s="87" t="str">
        <f>IFERROR(IF(QX$3="","",_xll.ciqfunctions.udf.CIQ($B8, "IQ_NI", $O$3, QX$3, $N$3, , $J$3, $K$3)/_xll.ciqfunctions.udf.CIQ($B8, "IQ_TOTAL_REV", $O$3, QX$3, $N$3, , $J$3, $K$3)),"")</f>
        <v/>
      </c>
      <c r="QY8" s="87" t="str">
        <f>IFERROR(IF(QY$3="","",_xll.ciqfunctions.udf.CIQ($B8, "IQ_NI", $O$3, QY$3, $N$3, , $J$3, $K$3)/_xll.ciqfunctions.udf.CIQ($B8, "IQ_TOTAL_REV", $O$3, QY$3, $N$3, , $J$3, $K$3)),"")</f>
        <v/>
      </c>
      <c r="QZ8" s="87" t="str">
        <f>IFERROR(IF(QZ$3="","",_xll.ciqfunctions.udf.CIQ($B8, "IQ_NI", $O$3, QZ$3, $N$3, , $J$3, $K$3)/_xll.ciqfunctions.udf.CIQ($B8, "IQ_TOTAL_REV", $O$3, QZ$3, $N$3, , $J$3, $K$3)),"")</f>
        <v/>
      </c>
      <c r="RA8" s="87" t="str">
        <f>IFERROR(IF(RA$3="","",_xll.ciqfunctions.udf.CIQ($B8, "IQ_NI", $O$3, RA$3, $N$3, , $J$3, $K$3)/_xll.ciqfunctions.udf.CIQ($B8, "IQ_TOTAL_REV", $O$3, RA$3, $N$3, , $J$3, $K$3)),"")</f>
        <v/>
      </c>
      <c r="RB8" s="87" t="str">
        <f>IFERROR(IF(RB$3="","",_xll.ciqfunctions.udf.CIQ($B8, "IQ_NI", $O$3, RB$3, $N$3, , $J$3, $K$3)/_xll.ciqfunctions.udf.CIQ($B8, "IQ_TOTAL_REV", $O$3, RB$3, $N$3, , $J$3, $K$3)),"")</f>
        <v/>
      </c>
      <c r="RC8" s="87" t="str">
        <f>IFERROR(IF(RC$3="","",_xll.ciqfunctions.udf.CIQ($B8, "IQ_NI", $O$3, RC$3, $N$3, , $J$3, $K$3)/_xll.ciqfunctions.udf.CIQ($B8, "IQ_TOTAL_REV", $O$3, RC$3, $N$3, , $J$3, $K$3)),"")</f>
        <v/>
      </c>
      <c r="RD8" s="88" t="str">
        <f>IFERROR(IF(RD$3="","",_xll.ciqfunctions.udf.CIQ($B8, "IQ_NI", $O$3, RD$3, $N$3, , $J$3, $K$3)/_xll.ciqfunctions.udf.CIQ($B8, "IQ_TOTAL_REV", $O$3, RD$3, $N$3, , $J$3, $K$3)),"")</f>
        <v/>
      </c>
      <c r="RE8" s="86">
        <f>IFERROR(IF(OR($B8="",OC$3=""),"",_xll.ciqfunctions.udf.CIQ($B8,"IQ_NI",$O$3, RE$3, $N$3, , $J$3, $K$3)*2/(_xll.ciqfunctions.udf.CIQ($B8,"IQ_TOTAL_EQUITY", RE$3,$I$3, $N$3, , $J$3, $K$3)+_xll.ciqfunctions.udf.CIQ($B8,"IQ_TOTAL_EQUITY", "IQ_" &amp; LEFT(RE$3,2) &amp; "-1", RE$3, $N$3, , $J$3, $K$3))),"")</f>
        <v>0.2918767670290594</v>
      </c>
      <c r="RF8" s="86" t="str">
        <f>IFERROR(IF(OR($B8="",OD$3=""),"",_xll.ciqfunctions.udf.CIQ($B8,"IQ_NI",$O$3, RF$3, $N$3, , $J$3, $K$3)*2/(_xll.ciqfunctions.udf.CIQ($B8,"IQ_TOTAL_EQUITY", RF$3,$I$3, $N$3, , $J$3, $K$3)+_xll.ciqfunctions.udf.CIQ($B8,"IQ_TOTAL_EQUITY", "IQ_" &amp; LEFT(RF$3,2) &amp; "-1", RF$3, $N$3, , $J$3, $K$3))),"")</f>
        <v/>
      </c>
      <c r="RG8" s="86" t="str">
        <f>IFERROR(IF(OR($B8="",OE$3=""),"",_xll.ciqfunctions.udf.CIQ($B8,"IQ_NI",$O$3, RG$3, $N$3, , $J$3, $K$3)*2/(_xll.ciqfunctions.udf.CIQ($B8,"IQ_TOTAL_EQUITY", RG$3,$I$3, $N$3, , $J$3, $K$3)+_xll.ciqfunctions.udf.CIQ($B8,"IQ_TOTAL_EQUITY", "IQ_" &amp; LEFT(RG$3,2) &amp; "-1", RG$3, $N$3, , $J$3, $K$3))),"")</f>
        <v/>
      </c>
      <c r="RH8" s="86" t="str">
        <f>IFERROR(IF(OR($B8="",OF$3=""),"",_xll.ciqfunctions.udf.CIQ($B8,"IQ_NI",$O$3, RH$3, $N$3, , $J$3, $K$3)*2/(_xll.ciqfunctions.udf.CIQ($B8,"IQ_TOTAL_EQUITY", RH$3,$I$3, $N$3, , $J$3, $K$3)+_xll.ciqfunctions.udf.CIQ($B8,"IQ_TOTAL_EQUITY", "IQ_" &amp; LEFT(RH$3,2) &amp; "-1", RH$3, $N$3, , $J$3, $K$3))),"")</f>
        <v/>
      </c>
      <c r="RI8" s="86" t="str">
        <f>IFERROR(IF(OR($B8="",OG$3=""),"",_xll.ciqfunctions.udf.CIQ($B8,"IQ_NI",$O$3, RI$3, $N$3, , $J$3, $K$3)*2/(_xll.ciqfunctions.udf.CIQ($B8,"IQ_TOTAL_EQUITY", RI$3,$I$3, $N$3, , $J$3, $K$3)+_xll.ciqfunctions.udf.CIQ($B8,"IQ_TOTAL_EQUITY", "IQ_" &amp; LEFT(RI$3,2) &amp; "-1", RI$3, $N$3, , $J$3, $K$3))),"")</f>
        <v/>
      </c>
      <c r="RJ8" s="86" t="str">
        <f>IFERROR(IF(OR($B8="",OH$3=""),"",_xll.ciqfunctions.udf.CIQ($B8,"IQ_NI",$O$3, RJ$3, $N$3, , $J$3, $K$3)*2/(_xll.ciqfunctions.udf.CIQ($B8,"IQ_TOTAL_EQUITY", RJ$3,$I$3, $N$3, , $J$3, $K$3)+_xll.ciqfunctions.udf.CIQ($B8,"IQ_TOTAL_EQUITY", "IQ_" &amp; LEFT(RJ$3,2) &amp; "-1", RJ$3, $N$3, , $J$3, $K$3))),"")</f>
        <v/>
      </c>
      <c r="RK8" s="86" t="str">
        <f>IFERROR(IF(OR($B8="",OI$3=""),"",_xll.ciqfunctions.udf.CIQ($B8,"IQ_NI",$O$3, RK$3, $N$3, , $J$3, $K$3)*2/(_xll.ciqfunctions.udf.CIQ($B8,"IQ_TOTAL_EQUITY", RK$3,$I$3, $N$3, , $J$3, $K$3)+_xll.ciqfunctions.udf.CIQ($B8,"IQ_TOTAL_EQUITY", "IQ_" &amp; LEFT(RK$3,2) &amp; "-1", RK$3, $N$3, , $J$3, $K$3))),"")</f>
        <v/>
      </c>
      <c r="RL8" s="86" t="str">
        <f>IFERROR(IF(OR($B8="",OJ$3=""),"",_xll.ciqfunctions.udf.CIQ($B8,"IQ_NI",$O$3, RL$3, $N$3, , $J$3, $K$3)*2/(_xll.ciqfunctions.udf.CIQ($B8,"IQ_TOTAL_EQUITY", RL$3,$I$3, $N$3, , $J$3, $K$3)+_xll.ciqfunctions.udf.CIQ($B8,"IQ_TOTAL_EQUITY", "IQ_" &amp; LEFT(RL$3,2) &amp; "-1", RL$3, $N$3, , $J$3, $K$3))),"")</f>
        <v/>
      </c>
      <c r="RM8" s="86" t="str">
        <f>IFERROR(IF(OR($B8="",OK$3=""),"",_xll.ciqfunctions.udf.CIQ($B8,"IQ_NI",$O$3, RM$3, $N$3, , $J$3, $K$3)*2/(_xll.ciqfunctions.udf.CIQ($B8,"IQ_TOTAL_EQUITY", RM$3,$I$3, $N$3, , $J$3, $K$3)+_xll.ciqfunctions.udf.CIQ($B8,"IQ_TOTAL_EQUITY", "IQ_" &amp; LEFT(RM$3,2) &amp; "-1", RM$3, $N$3, , $J$3, $K$3))),"")</f>
        <v/>
      </c>
      <c r="RN8" s="86" t="str">
        <f>IFERROR(IF(OR($B8="",OL$3=""),"",_xll.ciqfunctions.udf.CIQ($B8,"IQ_NI",$O$3, RN$3, $N$3, , $J$3, $K$3)*2/(_xll.ciqfunctions.udf.CIQ($B8,"IQ_TOTAL_EQUITY", RN$3,$I$3, $N$3, , $J$3, $K$3)+_xll.ciqfunctions.udf.CIQ($B8,"IQ_TOTAL_EQUITY", "IQ_" &amp; LEFT(RN$3,2) &amp; "-1", RN$3, $N$3, , $J$3, $K$3))),"")</f>
        <v/>
      </c>
      <c r="RO8" s="86" t="str">
        <f>IFERROR(IF(OR($B8="",OM$3=""),"",_xll.ciqfunctions.udf.CIQ($B8,"IQ_NI",$O$3, RO$3, $N$3, , $J$3, $K$3)*2/(_xll.ciqfunctions.udf.CIQ($B8,"IQ_TOTAL_EQUITY", RO$3,$I$3, $N$3, , $J$3, $K$3)+_xll.ciqfunctions.udf.CIQ($B8,"IQ_TOTAL_EQUITY", "IQ_" &amp; LEFT(RO$3,2) &amp; "-1", RO$3, $N$3, , $J$3, $K$3))),"")</f>
        <v/>
      </c>
      <c r="RP8" s="86" t="str">
        <f>IFERROR(IF(OR($B8="",ON$3=""),"",_xll.ciqfunctions.udf.CIQ($B8,"IQ_NI",$O$3, RP$3, $N$3, , $J$3, $K$3)*2/(_xll.ciqfunctions.udf.CIQ($B8,"IQ_TOTAL_EQUITY", RP$3,$I$3, $N$3, , $J$3, $K$3)+_xll.ciqfunctions.udf.CIQ($B8,"IQ_TOTAL_EQUITY", "IQ_" &amp; LEFT(RP$3,2) &amp; "-1", RP$3, $N$3, , $J$3, $K$3))),"")</f>
        <v/>
      </c>
      <c r="RQ8" s="86" t="str">
        <f>IFERROR(IF(OR($B8="",OO$3=""),"",_xll.ciqfunctions.udf.CIQ($B8,"IQ_NI",$O$3, RQ$3, $N$3, , $J$3, $K$3)*2/(_xll.ciqfunctions.udf.CIQ($B8,"IQ_TOTAL_EQUITY", RQ$3,$I$3, $N$3, , $J$3, $K$3)+_xll.ciqfunctions.udf.CIQ($B8,"IQ_TOTAL_EQUITY", "IQ_" &amp; LEFT(RQ$3,2) &amp; "-1", RQ$3, $N$3, , $J$3, $K$3))),"")</f>
        <v/>
      </c>
      <c r="RR8" s="86" t="str">
        <f>IFERROR(IF(OR($B8="",OP$3=""),"",_xll.ciqfunctions.udf.CIQ($B8,"IQ_NI",$O$3, RR$3, $N$3, , $J$3, $K$3)*2/(_xll.ciqfunctions.udf.CIQ($B8,"IQ_TOTAL_EQUITY", RR$3,$I$3, $N$3, , $J$3, $K$3)+_xll.ciqfunctions.udf.CIQ($B8,"IQ_TOTAL_EQUITY", "IQ_" &amp; LEFT(RR$3,2) &amp; "-1", RR$3, $N$3, , $J$3, $K$3))),"")</f>
        <v/>
      </c>
      <c r="RS8" s="86" t="str">
        <f>IFERROR(IF(OR($B8="",OQ$3=""),"",_xll.ciqfunctions.udf.CIQ($B8,"IQ_NI",$O$3, RS$3, $N$3, , $J$3, $K$3)*2/(_xll.ciqfunctions.udf.CIQ($B8,"IQ_TOTAL_EQUITY", RS$3,$I$3, $N$3, , $J$3, $K$3)+_xll.ciqfunctions.udf.CIQ($B8,"IQ_TOTAL_EQUITY", "IQ_" &amp; LEFT(RS$3,2) &amp; "-1", RS$3, $N$3, , $J$3, $K$3))),"")</f>
        <v/>
      </c>
      <c r="RT8" s="86" t="str">
        <f>IFERROR(IF(OR($B8="",OR$3=""),"",_xll.ciqfunctions.udf.CIQ($B8,"IQ_NI",$O$3, RT$3, $N$3, , $J$3, $K$3)*2/(_xll.ciqfunctions.udf.CIQ($B8,"IQ_TOTAL_EQUITY", RT$3,$I$3, $N$3, , $J$3, $K$3)+_xll.ciqfunctions.udf.CIQ($B8,"IQ_TOTAL_EQUITY", "IQ_" &amp; LEFT(RT$3,2) &amp; "-1", RT$3, $N$3, , $J$3, $K$3))),"")</f>
        <v/>
      </c>
      <c r="RU8" s="86" t="str">
        <f>IFERROR(IF(OR($B8="",OS$3=""),"",_xll.ciqfunctions.udf.CIQ($B8,"IQ_NI",$O$3, RU$3, $N$3, , $J$3, $K$3)*2/(_xll.ciqfunctions.udf.CIQ($B8,"IQ_TOTAL_EQUITY", RU$3,$I$3, $N$3, , $J$3, $K$3)+_xll.ciqfunctions.udf.CIQ($B8,"IQ_TOTAL_EQUITY", "IQ_" &amp; LEFT(RU$3,2) &amp; "-1", RU$3, $N$3, , $J$3, $K$3))),"")</f>
        <v/>
      </c>
      <c r="RV8" s="86" t="str">
        <f>IFERROR(IF(OR($B8="",OT$3=""),"",_xll.ciqfunctions.udf.CIQ($B8,"IQ_NI",$O$3, RV$3, $N$3, , $J$3, $K$3)*2/(_xll.ciqfunctions.udf.CIQ($B8,"IQ_TOTAL_EQUITY", RV$3,$I$3, $N$3, , $J$3, $K$3)+_xll.ciqfunctions.udf.CIQ($B8,"IQ_TOTAL_EQUITY", "IQ_" &amp; LEFT(RV$3,2) &amp; "-1", RV$3, $N$3, , $J$3, $K$3))),"")</f>
        <v/>
      </c>
      <c r="RW8" s="86" t="str">
        <f>IFERROR(IF(OR($B8="",OU$3=""),"",_xll.ciqfunctions.udf.CIQ($B8,"IQ_NI",$O$3, RW$3, $N$3, , $J$3, $K$3)*2/(_xll.ciqfunctions.udf.CIQ($B8,"IQ_TOTAL_EQUITY", RW$3,$I$3, $N$3, , $J$3, $K$3)+_xll.ciqfunctions.udf.CIQ($B8,"IQ_TOTAL_EQUITY", "IQ_" &amp; LEFT(RW$3,2) &amp; "-1", RW$3, $N$3, , $J$3, $K$3))),"")</f>
        <v/>
      </c>
      <c r="RX8" s="86" t="str">
        <f>IFERROR(IF(OR($B8="",OV$3=""),"",_xll.ciqfunctions.udf.CIQ($B8,"IQ_NI",$O$3, RX$3, $N$3, , $J$3, $K$3)*2/(_xll.ciqfunctions.udf.CIQ($B8,"IQ_TOTAL_EQUITY", RX$3,$I$3, $N$3, , $J$3, $K$3)+_xll.ciqfunctions.udf.CIQ($B8,"IQ_TOTAL_EQUITY", "IQ_" &amp; LEFT(RX$3,2) &amp; "-1", RX$3, $N$3, , $J$3, $K$3))),"")</f>
        <v/>
      </c>
      <c r="RY8" s="86">
        <f>IFERROR(IF(OR($B8="",RY$3=""),"",_xll.ciqfunctions.udf.CIQ($B8,"IQ_CASH_OPER",$O$3, RY$3, $N$3, , $J$3, $K$3)*2/(_xll.ciqfunctions.udf.CIQ($B8,"IQ_TOTAL_CL",RY$3,$I$3, $N$3, , $J$3, $K$3)+_xll.ciqfunctions.udf.CIQ($B8,"IQ_TOTAL_CL","IQ_" &amp; LEFT(RY$3,2) &amp; "-1", RY$3, $N$3, , $J$3, $K$3))),"")</f>
        <v>0.27141753397264007</v>
      </c>
      <c r="RZ8" s="87" t="str">
        <f>IFERROR(IF(OR($B8="",RZ$3=""),"",_xll.ciqfunctions.udf.CIQ($B8,"IQ_CASH_OPER",$O$3, RZ$3, $N$3, , $J$3, $K$3)*2/(_xll.ciqfunctions.udf.CIQ($B8,"IQ_TOTAL_CL",RZ$3,$I$3, $N$3, , $J$3, $K$3)+_xll.ciqfunctions.udf.CIQ($B8,"IQ_TOTAL_CL","IQ_" &amp; LEFT(RZ$3,2) &amp; "-1", RZ$3, $N$3, , $J$3, $K$3))),"")</f>
        <v/>
      </c>
      <c r="SA8" s="87" t="str">
        <f>IFERROR(IF(OR($B8="",SA$3=""),"",_xll.ciqfunctions.udf.CIQ($B8,"IQ_CASH_OPER",$O$3, SA$3, $N$3, , $J$3, $K$3)*2/(_xll.ciqfunctions.udf.CIQ($B8,"IQ_TOTAL_CL",SA$3,$I$3, $N$3, , $J$3, $K$3)+_xll.ciqfunctions.udf.CIQ($B8,"IQ_TOTAL_CL","IQ_" &amp; LEFT(SA$3,2) &amp; "-1", SA$3, $N$3, , $J$3, $K$3))),"")</f>
        <v/>
      </c>
      <c r="SB8" s="87" t="str">
        <f>IFERROR(IF(OR($B8="",SB$3=""),"",_xll.ciqfunctions.udf.CIQ($B8,"IQ_CASH_OPER",$O$3, SB$3, $N$3, , $J$3, $K$3)*2/(_xll.ciqfunctions.udf.CIQ($B8,"IQ_TOTAL_CL",SB$3,$I$3, $N$3, , $J$3, $K$3)+_xll.ciqfunctions.udf.CIQ($B8,"IQ_TOTAL_CL","IQ_" &amp; LEFT(SB$3,2) &amp; "-1", SB$3, $N$3, , $J$3, $K$3))),"")</f>
        <v/>
      </c>
      <c r="SC8" s="87" t="str">
        <f>IFERROR(IF(OR($B8="",SC$3=""),"",_xll.ciqfunctions.udf.CIQ($B8,"IQ_CASH_OPER",$O$3, SC$3, $N$3, , $J$3, $K$3)*2/(_xll.ciqfunctions.udf.CIQ($B8,"IQ_TOTAL_CL",SC$3,$I$3, $N$3, , $J$3, $K$3)+_xll.ciqfunctions.udf.CIQ($B8,"IQ_TOTAL_CL","IQ_" &amp; LEFT(SC$3,2) &amp; "-1", SC$3, $N$3, , $J$3, $K$3))),"")</f>
        <v/>
      </c>
      <c r="SD8" s="87" t="str">
        <f>IFERROR(IF(OR($B8="",SD$3=""),"",_xll.ciqfunctions.udf.CIQ($B8,"IQ_CASH_OPER",$O$3, SD$3, $N$3, , $J$3, $K$3)*2/(_xll.ciqfunctions.udf.CIQ($B8,"IQ_TOTAL_CL",SD$3,$I$3, $N$3, , $J$3, $K$3)+_xll.ciqfunctions.udf.CIQ($B8,"IQ_TOTAL_CL","IQ_" &amp; LEFT(SD$3,2) &amp; "-1", SD$3, $N$3, , $J$3, $K$3))),"")</f>
        <v/>
      </c>
      <c r="SE8" s="87" t="str">
        <f>IFERROR(IF(OR($B8="",SE$3=""),"",_xll.ciqfunctions.udf.CIQ($B8,"IQ_CASH_OPER",$O$3, SE$3, $N$3, , $J$3, $K$3)*2/(_xll.ciqfunctions.udf.CIQ($B8,"IQ_TOTAL_CL",SE$3,$I$3, $N$3, , $J$3, $K$3)+_xll.ciqfunctions.udf.CIQ($B8,"IQ_TOTAL_CL","IQ_" &amp; LEFT(SE$3,2) &amp; "-1", SE$3, $N$3, , $J$3, $K$3))),"")</f>
        <v/>
      </c>
      <c r="SF8" s="87" t="str">
        <f>IFERROR(IF(OR($B8="",SF$3=""),"",_xll.ciqfunctions.udf.CIQ($B8,"IQ_CASH_OPER",$O$3, SF$3, $N$3, , $J$3, $K$3)*2/(_xll.ciqfunctions.udf.CIQ($B8,"IQ_TOTAL_CL",SF$3,$I$3, $N$3, , $J$3, $K$3)+_xll.ciqfunctions.udf.CIQ($B8,"IQ_TOTAL_CL","IQ_" &amp; LEFT(SF$3,2) &amp; "-1", SF$3, $N$3, , $J$3, $K$3))),"")</f>
        <v/>
      </c>
      <c r="SG8" s="87" t="str">
        <f>IFERROR(IF(OR($B8="",SG$3=""),"",_xll.ciqfunctions.udf.CIQ($B8,"IQ_CASH_OPER",$O$3, SG$3, $N$3, , $J$3, $K$3)*2/(_xll.ciqfunctions.udf.CIQ($B8,"IQ_TOTAL_CL",SG$3,$I$3, $N$3, , $J$3, $K$3)+_xll.ciqfunctions.udf.CIQ($B8,"IQ_TOTAL_CL","IQ_" &amp; LEFT(SG$3,2) &amp; "-1", SG$3, $N$3, , $J$3, $K$3))),"")</f>
        <v/>
      </c>
      <c r="SH8" s="87" t="str">
        <f>IFERROR(IF(OR($B8="",SH$3=""),"",_xll.ciqfunctions.udf.CIQ($B8,"IQ_CASH_OPER",$O$3, SH$3, $N$3, , $J$3, $K$3)*2/(_xll.ciqfunctions.udf.CIQ($B8,"IQ_TOTAL_CL",SH$3,$I$3, $N$3, , $J$3, $K$3)+_xll.ciqfunctions.udf.CIQ($B8,"IQ_TOTAL_CL","IQ_" &amp; LEFT(SH$3,2) &amp; "-1", SH$3, $N$3, , $J$3, $K$3))),"")</f>
        <v/>
      </c>
      <c r="SI8" s="87" t="str">
        <f>IFERROR(IF(OR($B8="",SI$3=""),"",_xll.ciqfunctions.udf.CIQ($B8,"IQ_CASH_OPER",$O$3, SI$3, $N$3, , $J$3, $K$3)*2/(_xll.ciqfunctions.udf.CIQ($B8,"IQ_TOTAL_CL",SI$3,$I$3, $N$3, , $J$3, $K$3)+_xll.ciqfunctions.udf.CIQ($B8,"IQ_TOTAL_CL","IQ_" &amp; LEFT(SI$3,2) &amp; "-1", SI$3, $N$3, , $J$3, $K$3))),"")</f>
        <v/>
      </c>
      <c r="SJ8" s="87" t="str">
        <f>IFERROR(IF(OR($B8="",SJ$3=""),"",_xll.ciqfunctions.udf.CIQ($B8,"IQ_CASH_OPER",$O$3, SJ$3, $N$3, , $J$3, $K$3)*2/(_xll.ciqfunctions.udf.CIQ($B8,"IQ_TOTAL_CL",SJ$3,$I$3, $N$3, , $J$3, $K$3)+_xll.ciqfunctions.udf.CIQ($B8,"IQ_TOTAL_CL","IQ_" &amp; LEFT(SJ$3,2) &amp; "-1", SJ$3, $N$3, , $J$3, $K$3))),"")</f>
        <v/>
      </c>
      <c r="SK8" s="87" t="str">
        <f>IFERROR(IF(OR($B8="",SK$3=""),"",_xll.ciqfunctions.udf.CIQ($B8,"IQ_CASH_OPER",$O$3, SK$3, $N$3, , $J$3, $K$3)*2/(_xll.ciqfunctions.udf.CIQ($B8,"IQ_TOTAL_CL",SK$3,$I$3, $N$3, , $J$3, $K$3)+_xll.ciqfunctions.udf.CIQ($B8,"IQ_TOTAL_CL","IQ_" &amp; LEFT(SK$3,2) &amp; "-1", SK$3, $N$3, , $J$3, $K$3))),"")</f>
        <v/>
      </c>
      <c r="SL8" s="87" t="str">
        <f>IFERROR(IF(OR($B8="",SL$3=""),"",_xll.ciqfunctions.udf.CIQ($B8,"IQ_CASH_OPER",$O$3, SL$3, $N$3, , $J$3, $K$3)*2/(_xll.ciqfunctions.udf.CIQ($B8,"IQ_TOTAL_CL",SL$3,$I$3, $N$3, , $J$3, $K$3)+_xll.ciqfunctions.udf.CIQ($B8,"IQ_TOTAL_CL","IQ_" &amp; LEFT(SL$3,2) &amp; "-1", SL$3, $N$3, , $J$3, $K$3))),"")</f>
        <v/>
      </c>
      <c r="SM8" s="87" t="str">
        <f>IFERROR(IF(OR($B8="",SM$3=""),"",_xll.ciqfunctions.udf.CIQ($B8,"IQ_CASH_OPER",$O$3, SM$3, $N$3, , $J$3, $K$3)*2/(_xll.ciqfunctions.udf.CIQ($B8,"IQ_TOTAL_CL",SM$3,$I$3, $N$3, , $J$3, $K$3)+_xll.ciqfunctions.udf.CIQ($B8,"IQ_TOTAL_CL","IQ_" &amp; LEFT(SM$3,2) &amp; "-1", SM$3, $N$3, , $J$3, $K$3))),"")</f>
        <v/>
      </c>
      <c r="SN8" s="87" t="str">
        <f>IFERROR(IF(OR($B8="",SN$3=""),"",_xll.ciqfunctions.udf.CIQ($B8,"IQ_CASH_OPER",$O$3, SN$3, $N$3, , $J$3, $K$3)*2/(_xll.ciqfunctions.udf.CIQ($B8,"IQ_TOTAL_CL",SN$3,$I$3, $N$3, , $J$3, $K$3)+_xll.ciqfunctions.udf.CIQ($B8,"IQ_TOTAL_CL","IQ_" &amp; LEFT(SN$3,2) &amp; "-1", SN$3, $N$3, , $J$3, $K$3))),"")</f>
        <v/>
      </c>
      <c r="SO8" s="87" t="str">
        <f>IFERROR(IF(OR($B8="",SO$3=""),"",_xll.ciqfunctions.udf.CIQ($B8,"IQ_CASH_OPER",$O$3, SO$3, $N$3, , $J$3, $K$3)*2/(_xll.ciqfunctions.udf.CIQ($B8,"IQ_TOTAL_CL",SO$3,$I$3, $N$3, , $J$3, $K$3)+_xll.ciqfunctions.udf.CIQ($B8,"IQ_TOTAL_CL","IQ_" &amp; LEFT(SO$3,2) &amp; "-1", SO$3, $N$3, , $J$3, $K$3))),"")</f>
        <v/>
      </c>
      <c r="SP8" s="87" t="str">
        <f>IFERROR(IF(OR($B8="",SP$3=""),"",_xll.ciqfunctions.udf.CIQ($B8,"IQ_CASH_OPER",$O$3, SP$3, $N$3, , $J$3, $K$3)*2/(_xll.ciqfunctions.udf.CIQ($B8,"IQ_TOTAL_CL",SP$3,$I$3, $N$3, , $J$3, $K$3)+_xll.ciqfunctions.udf.CIQ($B8,"IQ_TOTAL_CL","IQ_" &amp; LEFT(SP$3,2) &amp; "-1", SP$3, $N$3, , $J$3, $K$3))),"")</f>
        <v/>
      </c>
      <c r="SQ8" s="87" t="str">
        <f>IFERROR(IF(OR($B8="",SQ$3=""),"",_xll.ciqfunctions.udf.CIQ($B8,"IQ_CASH_OPER",$O$3, SQ$3, $N$3, , $J$3, $K$3)*2/(_xll.ciqfunctions.udf.CIQ($B8,"IQ_TOTAL_CL",SQ$3,$I$3, $N$3, , $J$3, $K$3)+_xll.ciqfunctions.udf.CIQ($B8,"IQ_TOTAL_CL","IQ_" &amp; LEFT(SQ$3,2) &amp; "-1", SQ$3, $N$3, , $J$3, $K$3))),"")</f>
        <v/>
      </c>
      <c r="SR8" s="88" t="str">
        <f>IFERROR(IF(OR($B8="",SR$3=""),"",_xll.ciqfunctions.udf.CIQ($B8,"IQ_CASH_OPER",$O$3, SR$3, $N$3, , $J$3, $K$3)*2/(_xll.ciqfunctions.udf.CIQ($B8,"IQ_TOTAL_CL",SR$3,$I$3, $N$3, , $J$3, $K$3)+_xll.ciqfunctions.udf.CIQ($B8,"IQ_TOTAL_CL","IQ_" &amp; LEFT(SR$3,2) &amp; "-1", SR$3, $N$3, , $J$3, $K$3))),"")</f>
        <v/>
      </c>
      <c r="SS8" s="86">
        <f>IFERROR(IF(OR($B8="",SS$3=""),"",MAX(_xll.ciqfunctions.udf.CIQ($B8,"IQ_INC_TAX",SS$3,$I$3, $N$3, , $J$3, $K$3)/ABS(_xll.ciqfunctions.udf.CIQ($B8,"IQ_EBT",SS$3,$I$3, $N$3, , $J$3, $K$3)),0)),"")</f>
        <v>0.24626221966647499</v>
      </c>
      <c r="ST8" s="87" t="str">
        <f>IFERROR(IF(OR($B8="",ST$3=""),"",MAX(_xll.ciqfunctions.udf.CIQ($B8,"IQ_INC_TAX",ST$3,$I$3, $N$3, , $J$3, $K$3)/ABS(_xll.ciqfunctions.udf.CIQ($B8,"IQ_EBT",ST$3,$I$3, $N$3, , $J$3, $K$3)),0)),"")</f>
        <v/>
      </c>
      <c r="SU8" s="87" t="str">
        <f>IFERROR(IF(OR($B8="",SU$3=""),"",MAX(_xll.ciqfunctions.udf.CIQ($B8,"IQ_INC_TAX",SU$3,$I$3, $N$3, , $J$3, $K$3)/ABS(_xll.ciqfunctions.udf.CIQ($B8,"IQ_EBT",SU$3,$I$3, $N$3, , $J$3, $K$3)),0)),"")</f>
        <v/>
      </c>
      <c r="SV8" s="87" t="str">
        <f>IFERROR(IF(OR($B8="",SV$3=""),"",MAX(_xll.ciqfunctions.udf.CIQ($B8,"IQ_INC_TAX",SV$3,$I$3, $N$3, , $J$3, $K$3)/ABS(_xll.ciqfunctions.udf.CIQ($B8,"IQ_EBT",SV$3,$I$3, $N$3, , $J$3, $K$3)),0)),"")</f>
        <v/>
      </c>
      <c r="SW8" s="87" t="str">
        <f>IFERROR(IF(OR($B8="",SW$3=""),"",MAX(_xll.ciqfunctions.udf.CIQ($B8,"IQ_INC_TAX",SW$3,$I$3, $N$3, , $J$3, $K$3)/ABS(_xll.ciqfunctions.udf.CIQ($B8,"IQ_EBT",SW$3,$I$3, $N$3, , $J$3, $K$3)),0)),"")</f>
        <v/>
      </c>
      <c r="SX8" s="87" t="str">
        <f>IFERROR(IF(OR($B8="",SX$3=""),"",MAX(_xll.ciqfunctions.udf.CIQ($B8,"IQ_INC_TAX",SX$3,$I$3, $N$3, , $J$3, $K$3)/ABS(_xll.ciqfunctions.udf.CIQ($B8,"IQ_EBT",SX$3,$I$3, $N$3, , $J$3, $K$3)),0)),"")</f>
        <v/>
      </c>
      <c r="SY8" s="87" t="str">
        <f>IFERROR(IF(OR($B8="",SY$3=""),"",MAX(_xll.ciqfunctions.udf.CIQ($B8,"IQ_INC_TAX",SY$3,$I$3, $N$3, , $J$3, $K$3)/ABS(_xll.ciqfunctions.udf.CIQ($B8,"IQ_EBT",SY$3,$I$3, $N$3, , $J$3, $K$3)),0)),"")</f>
        <v/>
      </c>
      <c r="SZ8" s="87" t="str">
        <f>IFERROR(IF(OR($B8="",SZ$3=""),"",MAX(_xll.ciqfunctions.udf.CIQ($B8,"IQ_INC_TAX",SZ$3,$I$3, $N$3, , $J$3, $K$3)/ABS(_xll.ciqfunctions.udf.CIQ($B8,"IQ_EBT",SZ$3,$I$3, $N$3, , $J$3, $K$3)),0)),"")</f>
        <v/>
      </c>
      <c r="TA8" s="87" t="str">
        <f>IFERROR(IF(OR($B8="",TA$3=""),"",MAX(_xll.ciqfunctions.udf.CIQ($B8,"IQ_INC_TAX",TA$3,$I$3, $N$3, , $J$3, $K$3)/ABS(_xll.ciqfunctions.udf.CIQ($B8,"IQ_EBT",TA$3,$I$3, $N$3, , $J$3, $K$3)),0)),"")</f>
        <v/>
      </c>
      <c r="TB8" s="87" t="str">
        <f>IFERROR(IF(OR($B8="",TB$3=""),"",MAX(_xll.ciqfunctions.udf.CIQ($B8,"IQ_INC_TAX",TB$3,$I$3, $N$3, , $J$3, $K$3)/ABS(_xll.ciqfunctions.udf.CIQ($B8,"IQ_EBT",TB$3,$I$3, $N$3, , $J$3, $K$3)),0)),"")</f>
        <v/>
      </c>
      <c r="TC8" s="87" t="str">
        <f>IFERROR(IF(OR($B8="",TC$3=""),"",MAX(_xll.ciqfunctions.udf.CIQ($B8,"IQ_INC_TAX",TC$3,$I$3, $N$3, , $J$3, $K$3)/ABS(_xll.ciqfunctions.udf.CIQ($B8,"IQ_EBT",TC$3,$I$3, $N$3, , $J$3, $K$3)),0)),"")</f>
        <v/>
      </c>
      <c r="TD8" s="87" t="str">
        <f>IFERROR(IF(OR($B8="",TD$3=""),"",MAX(_xll.ciqfunctions.udf.CIQ($B8,"IQ_INC_TAX",TD$3,$I$3, $N$3, , $J$3, $K$3)/ABS(_xll.ciqfunctions.udf.CIQ($B8,"IQ_EBT",TD$3,$I$3, $N$3, , $J$3, $K$3)),0)),"")</f>
        <v/>
      </c>
      <c r="TE8" s="87" t="str">
        <f>IFERROR(IF(OR($B8="",TE$3=""),"",MAX(_xll.ciqfunctions.udf.CIQ($B8,"IQ_INC_TAX",TE$3,$I$3, $N$3, , $J$3, $K$3)/ABS(_xll.ciqfunctions.udf.CIQ($B8,"IQ_EBT",TE$3,$I$3, $N$3, , $J$3, $K$3)),0)),"")</f>
        <v/>
      </c>
      <c r="TF8" s="87" t="str">
        <f>IFERROR(IF(OR($B8="",TF$3=""),"",MAX(_xll.ciqfunctions.udf.CIQ($B8,"IQ_INC_TAX",TF$3,$I$3, $N$3, , $J$3, $K$3)/ABS(_xll.ciqfunctions.udf.CIQ($B8,"IQ_EBT",TF$3,$I$3, $N$3, , $J$3, $K$3)),0)),"")</f>
        <v/>
      </c>
      <c r="TG8" s="87" t="str">
        <f>IFERROR(IF(OR($B8="",TG$3=""),"",MAX(_xll.ciqfunctions.udf.CIQ($B8,"IQ_INC_TAX",TG$3,$I$3, $N$3, , $J$3, $K$3)/ABS(_xll.ciqfunctions.udf.CIQ($B8,"IQ_EBT",TG$3,$I$3, $N$3, , $J$3, $K$3)),0)),"")</f>
        <v/>
      </c>
      <c r="TH8" s="87" t="str">
        <f>IFERROR(IF(OR($B8="",TH$3=""),"",MAX(_xll.ciqfunctions.udf.CIQ($B8,"IQ_INC_TAX",TH$3,$I$3, $N$3, , $J$3, $K$3)/ABS(_xll.ciqfunctions.udf.CIQ($B8,"IQ_EBT",TH$3,$I$3, $N$3, , $J$3, $K$3)),0)),"")</f>
        <v/>
      </c>
      <c r="TI8" s="87" t="str">
        <f>IFERROR(IF(OR($B8="",TI$3=""),"",MAX(_xll.ciqfunctions.udf.CIQ($B8,"IQ_INC_TAX",TI$3,$I$3, $N$3, , $J$3, $K$3)/ABS(_xll.ciqfunctions.udf.CIQ($B8,"IQ_EBT",TI$3,$I$3, $N$3, , $J$3, $K$3)),0)),"")</f>
        <v/>
      </c>
      <c r="TJ8" s="87" t="str">
        <f>IFERROR(IF(OR($B8="",TJ$3=""),"",MAX(_xll.ciqfunctions.udf.CIQ($B8,"IQ_INC_TAX",TJ$3,$I$3, $N$3, , $J$3, $K$3)/ABS(_xll.ciqfunctions.udf.CIQ($B8,"IQ_EBT",TJ$3,$I$3, $N$3, , $J$3, $K$3)),0)),"")</f>
        <v/>
      </c>
      <c r="TK8" s="87" t="str">
        <f>IFERROR(IF(OR($B8="",TK$3=""),"",MAX(_xll.ciqfunctions.udf.CIQ($B8,"IQ_INC_TAX",TK$3,$I$3, $N$3, , $J$3, $K$3)/ABS(_xll.ciqfunctions.udf.CIQ($B8,"IQ_EBT",TK$3,$I$3, $N$3, , $J$3, $K$3)),0)),"")</f>
        <v/>
      </c>
      <c r="TL8" s="88" t="str">
        <f>IFERROR(IF(OR($B8="",TL$3=""),"",MAX(_xll.ciqfunctions.udf.CIQ($B8,"IQ_INC_TAX",TL$3,$I$3, $N$3, , $J$3, $K$3)/ABS(_xll.ciqfunctions.udf.CIQ($B8,"IQ_EBT",TL$3,$I$3, $N$3, , $J$3, $K$3)),0)),"")</f>
        <v/>
      </c>
      <c r="TM8" s="92">
        <f>IFERROR(IF(OR($B8="",TM$3=""),"",_xll.ciqfunctions.udf.CIQ($B8,"IQ_TOTAL_REVENUE",TM$3,$I$3, $N$3, , $J$3, $K$3)*1000000/_xll.ciqfunctions.udf.CIQ($B8,"IQ_EMPLOYEES",TM$3,$I$3, $N$3, , $J$3, $K$3)),"")</f>
        <v>705152.77777777775</v>
      </c>
      <c r="TN8" s="93" t="str">
        <f>IFERROR(IF(OR($B8="",TN$3=""),"",_xll.ciqfunctions.udf.CIQ($B8,"IQ_TOTAL_REVENUE",TN$3,$I$3, $N$3, , $J$3, $K$3)*1000000/_xll.ciqfunctions.udf.CIQ($B8,"IQ_EMPLOYEES",TN$3,$I$3, $N$3, , $J$3, $K$3)),"")</f>
        <v/>
      </c>
      <c r="TO8" s="93" t="str">
        <f>IFERROR(IF(OR($B8="",TO$3=""),"",_xll.ciqfunctions.udf.CIQ($B8,"IQ_TOTAL_REVENUE",TO$3,$I$3, $N$3, , $J$3, $K$3)*1000000/_xll.ciqfunctions.udf.CIQ($B8,"IQ_EMPLOYEES",TO$3,$I$3, $N$3, , $J$3, $K$3)),"")</f>
        <v/>
      </c>
      <c r="TP8" s="93" t="str">
        <f>IFERROR(IF(OR($B8="",TP$3=""),"",_xll.ciqfunctions.udf.CIQ($B8,"IQ_TOTAL_REVENUE",TP$3,$I$3, $N$3, , $J$3, $K$3)*1000000/_xll.ciqfunctions.udf.CIQ($B8,"IQ_EMPLOYEES",TP$3,$I$3, $N$3, , $J$3, $K$3)),"")</f>
        <v/>
      </c>
      <c r="TQ8" s="93" t="str">
        <f>IFERROR(IF(OR($B8="",TQ$3=""),"",_xll.ciqfunctions.udf.CIQ($B8,"IQ_TOTAL_REVENUE",TQ$3,$I$3, $N$3, , $J$3, $K$3)*1000000/_xll.ciqfunctions.udf.CIQ($B8,"IQ_EMPLOYEES",TQ$3,$I$3, $N$3, , $J$3, $K$3)),"")</f>
        <v/>
      </c>
      <c r="TR8" s="93" t="str">
        <f>IFERROR(IF(OR($B8="",TR$3=""),"",_xll.ciqfunctions.udf.CIQ($B8,"IQ_TOTAL_REVENUE",TR$3,$I$3, $N$3, , $J$3, $K$3)*1000000/_xll.ciqfunctions.udf.CIQ($B8,"IQ_EMPLOYEES",TR$3,$I$3, $N$3, , $J$3, $K$3)),"")</f>
        <v/>
      </c>
      <c r="TS8" s="93" t="str">
        <f>IFERROR(IF(OR($B8="",TS$3=""),"",_xll.ciqfunctions.udf.CIQ($B8,"IQ_TOTAL_REVENUE",TS$3,$I$3, $N$3, , $J$3, $K$3)*1000000/_xll.ciqfunctions.udf.CIQ($B8,"IQ_EMPLOYEES",TS$3,$I$3, $N$3, , $J$3, $K$3)),"")</f>
        <v/>
      </c>
      <c r="TT8" s="93" t="str">
        <f>IFERROR(IF(OR($B8="",TT$3=""),"",_xll.ciqfunctions.udf.CIQ($B8,"IQ_TOTAL_REVENUE",TT$3,$I$3, $N$3, , $J$3, $K$3)*1000000/_xll.ciqfunctions.udf.CIQ($B8,"IQ_EMPLOYEES",TT$3,$I$3, $N$3, , $J$3, $K$3)),"")</f>
        <v/>
      </c>
      <c r="TU8" s="93" t="str">
        <f>IFERROR(IF(OR($B8="",TU$3=""),"",_xll.ciqfunctions.udf.CIQ($B8,"IQ_TOTAL_REVENUE",TU$3,$I$3, $N$3, , $J$3, $K$3)*1000000/_xll.ciqfunctions.udf.CIQ($B8,"IQ_EMPLOYEES",TU$3,$I$3, $N$3, , $J$3, $K$3)),"")</f>
        <v/>
      </c>
      <c r="TV8" s="93" t="str">
        <f>IFERROR(IF(OR($B8="",TV$3=""),"",_xll.ciqfunctions.udf.CIQ($B8,"IQ_TOTAL_REVENUE",TV$3,$I$3, $N$3, , $J$3, $K$3)*1000000/_xll.ciqfunctions.udf.CIQ($B8,"IQ_EMPLOYEES",TV$3,$I$3, $N$3, , $J$3, $K$3)),"")</f>
        <v/>
      </c>
      <c r="TW8" s="93" t="str">
        <f>IFERROR(IF(OR($B8="",TW$3=""),"",_xll.ciqfunctions.udf.CIQ($B8,"IQ_TOTAL_REVENUE",TW$3,$I$3, $N$3, , $J$3, $K$3)*1000000/_xll.ciqfunctions.udf.CIQ($B8,"IQ_EMPLOYEES",TW$3,$I$3, $N$3, , $J$3, $K$3)),"")</f>
        <v/>
      </c>
      <c r="TX8" s="93" t="str">
        <f>IFERROR(IF(OR($B8="",TX$3=""),"",_xll.ciqfunctions.udf.CIQ($B8,"IQ_TOTAL_REVENUE",TX$3,$I$3, $N$3, , $J$3, $K$3)*1000000/_xll.ciqfunctions.udf.CIQ($B8,"IQ_EMPLOYEES",TX$3,$I$3, $N$3, , $J$3, $K$3)),"")</f>
        <v/>
      </c>
      <c r="TY8" s="93" t="str">
        <f>IFERROR(IF(OR($B8="",TY$3=""),"",_xll.ciqfunctions.udf.CIQ($B8,"IQ_TOTAL_REVENUE",TY$3,$I$3, $N$3, , $J$3, $K$3)*1000000/_xll.ciqfunctions.udf.CIQ($B8,"IQ_EMPLOYEES",TY$3,$I$3, $N$3, , $J$3, $K$3)),"")</f>
        <v/>
      </c>
      <c r="TZ8" s="93" t="str">
        <f>IFERROR(IF(OR($B8="",TZ$3=""),"",_xll.ciqfunctions.udf.CIQ($B8,"IQ_TOTAL_REVENUE",TZ$3,$I$3, $N$3, , $J$3, $K$3)*1000000/_xll.ciqfunctions.udf.CIQ($B8,"IQ_EMPLOYEES",TZ$3,$I$3, $N$3, , $J$3, $K$3)),"")</f>
        <v/>
      </c>
      <c r="UA8" s="93" t="str">
        <f>IFERROR(IF(OR($B8="",UA$3=""),"",_xll.ciqfunctions.udf.CIQ($B8,"IQ_TOTAL_REVENUE",UA$3,$I$3, $N$3, , $J$3, $K$3)*1000000/_xll.ciqfunctions.udf.CIQ($B8,"IQ_EMPLOYEES",UA$3,$I$3, $N$3, , $J$3, $K$3)),"")</f>
        <v/>
      </c>
      <c r="UB8" s="93" t="str">
        <f>IFERROR(IF(OR($B8="",UB$3=""),"",_xll.ciqfunctions.udf.CIQ($B8,"IQ_TOTAL_REVENUE",UB$3,$I$3, $N$3, , $J$3, $K$3)*1000000/_xll.ciqfunctions.udf.CIQ($B8,"IQ_EMPLOYEES",UB$3,$I$3, $N$3, , $J$3, $K$3)),"")</f>
        <v/>
      </c>
      <c r="UC8" s="93" t="str">
        <f>IFERROR(IF(OR($B8="",UC$3=""),"",_xll.ciqfunctions.udf.CIQ($B8,"IQ_TOTAL_REVENUE",UC$3,$I$3, $N$3, , $J$3, $K$3)*1000000/_xll.ciqfunctions.udf.CIQ($B8,"IQ_EMPLOYEES",UC$3,$I$3, $N$3, , $J$3, $K$3)),"")</f>
        <v/>
      </c>
      <c r="UD8" s="93" t="str">
        <f>IFERROR(IF(OR($B8="",UD$3=""),"",_xll.ciqfunctions.udf.CIQ($B8,"IQ_TOTAL_REVENUE",UD$3,$I$3, $N$3, , $J$3, $K$3)*1000000/_xll.ciqfunctions.udf.CIQ($B8,"IQ_EMPLOYEES",UD$3,$I$3, $N$3, , $J$3, $K$3)),"")</f>
        <v/>
      </c>
      <c r="UE8" s="93" t="str">
        <f>IFERROR(IF(OR($B8="",UE$3=""),"",_xll.ciqfunctions.udf.CIQ($B8,"IQ_TOTAL_REVENUE",UE$3,$I$3, $N$3, , $J$3, $K$3)*1000000/_xll.ciqfunctions.udf.CIQ($B8,"IQ_EMPLOYEES",UE$3,$I$3, $N$3, , $J$3, $K$3)),"")</f>
        <v/>
      </c>
      <c r="UF8" s="94" t="str">
        <f>IFERROR(IF(OR($B8="",UF$3=""),"",_xll.ciqfunctions.udf.CIQ($B8,"IQ_TOTAL_REVENUE",UF$3,$I$3, $N$3, , $J$3, $K$3)*1000000/_xll.ciqfunctions.udf.CIQ($B8,"IQ_EMPLOYEES",UF$3,$I$3, $N$3, , $J$3, $K$3)),"")</f>
        <v/>
      </c>
      <c r="UG8" s="92">
        <f>IFERROR(IF(OR($B8="",UG$3=""),"",(_xll.ciqfunctions.udf.CIQ($B8,"IQ_TOTAL_REVENUE",UG$3,$I$3, $N$3, , $J$3, $K$3)-_xll.ciqfunctions.udf.CIQ($B8,"IQ_COGS",UG$3,$I$3, $N$3, , $J$3, $K$3)-_xll.ciqfunctions.udf.CIQ($B8,"IQ_EBIT",UG$3,$I$3, $N$3, , $J$3, $K$3))*1000000/_xll.ciqfunctions.udf.CIQ($B8,"IQ_EMPLOYEES",UG$3,$I$3, $N$3, , $J$3, $K$3)),"")</f>
        <v>63548.611111111109</v>
      </c>
      <c r="UH8" s="93" t="str">
        <f>IFERROR(IF(OR($B8="",UH$3=""),"",(_xll.ciqfunctions.udf.CIQ($B8,"IQ_TOTAL_REVENUE",UH$3,$I$3, $N$3, , $J$3, $K$3)-_xll.ciqfunctions.udf.CIQ($B8,"IQ_COGS",UH$3,$I$3, $N$3, , $J$3, $K$3)-_xll.ciqfunctions.udf.CIQ($B8,"IQ_EBIT",UH$3,$I$3, $N$3, , $J$3, $K$3))*1000000/_xll.ciqfunctions.udf.CIQ($B8,"IQ_EMPLOYEES",UH$3,$I$3, $N$3, , $J$3, $K$3)),"")</f>
        <v/>
      </c>
      <c r="UI8" s="93" t="str">
        <f>IFERROR(IF(OR($B8="",UI$3=""),"",(_xll.ciqfunctions.udf.CIQ($B8,"IQ_TOTAL_REVENUE",UI$3,$I$3, $N$3, , $J$3, $K$3)-_xll.ciqfunctions.udf.CIQ($B8,"IQ_COGS",UI$3,$I$3, $N$3, , $J$3, $K$3)-_xll.ciqfunctions.udf.CIQ($B8,"IQ_EBIT",UI$3,$I$3, $N$3, , $J$3, $K$3))*1000000/_xll.ciqfunctions.udf.CIQ($B8,"IQ_EMPLOYEES",UI$3,$I$3, $N$3, , $J$3, $K$3)),"")</f>
        <v/>
      </c>
      <c r="UJ8" s="93" t="str">
        <f>IFERROR(IF(OR($B8="",UJ$3=""),"",(_xll.ciqfunctions.udf.CIQ($B8,"IQ_TOTAL_REVENUE",UJ$3,$I$3, $N$3, , $J$3, $K$3)-_xll.ciqfunctions.udf.CIQ($B8,"IQ_COGS",UJ$3,$I$3, $N$3, , $J$3, $K$3)-_xll.ciqfunctions.udf.CIQ($B8,"IQ_EBIT",UJ$3,$I$3, $N$3, , $J$3, $K$3))*1000000/_xll.ciqfunctions.udf.CIQ($B8,"IQ_EMPLOYEES",UJ$3,$I$3, $N$3, , $J$3, $K$3)),"")</f>
        <v/>
      </c>
      <c r="UK8" s="93" t="str">
        <f>IFERROR(IF(OR($B8="",UK$3=""),"",(_xll.ciqfunctions.udf.CIQ($B8,"IQ_TOTAL_REVENUE",UK$3,$I$3, $N$3, , $J$3, $K$3)-_xll.ciqfunctions.udf.CIQ($B8,"IQ_COGS",UK$3,$I$3, $N$3, , $J$3, $K$3)-_xll.ciqfunctions.udf.CIQ($B8,"IQ_EBIT",UK$3,$I$3, $N$3, , $J$3, $K$3))*1000000/_xll.ciqfunctions.udf.CIQ($B8,"IQ_EMPLOYEES",UK$3,$I$3, $N$3, , $J$3, $K$3)),"")</f>
        <v/>
      </c>
      <c r="UL8" s="93" t="str">
        <f>IFERROR(IF(OR($B8="",UL$3=""),"",(_xll.ciqfunctions.udf.CIQ($B8,"IQ_TOTAL_REVENUE",UL$3,$I$3, $N$3, , $J$3, $K$3)-_xll.ciqfunctions.udf.CIQ($B8,"IQ_COGS",UL$3,$I$3, $N$3, , $J$3, $K$3)-_xll.ciqfunctions.udf.CIQ($B8,"IQ_EBIT",UL$3,$I$3, $N$3, , $J$3, $K$3))*1000000/_xll.ciqfunctions.udf.CIQ($B8,"IQ_EMPLOYEES",UL$3,$I$3, $N$3, , $J$3, $K$3)),"")</f>
        <v/>
      </c>
      <c r="UM8" s="93" t="str">
        <f>IFERROR(IF(OR($B8="",UM$3=""),"",(_xll.ciqfunctions.udf.CIQ($B8,"IQ_TOTAL_REVENUE",UM$3,$I$3, $N$3, , $J$3, $K$3)-_xll.ciqfunctions.udf.CIQ($B8,"IQ_COGS",UM$3,$I$3, $N$3, , $J$3, $K$3)-_xll.ciqfunctions.udf.CIQ($B8,"IQ_EBIT",UM$3,$I$3, $N$3, , $J$3, $K$3))*1000000/_xll.ciqfunctions.udf.CIQ($B8,"IQ_EMPLOYEES",UM$3,$I$3, $N$3, , $J$3, $K$3)),"")</f>
        <v/>
      </c>
      <c r="UN8" s="93" t="str">
        <f>IFERROR(IF(OR($B8="",UN$3=""),"",(_xll.ciqfunctions.udf.CIQ($B8,"IQ_TOTAL_REVENUE",UN$3,$I$3, $N$3, , $J$3, $K$3)-_xll.ciqfunctions.udf.CIQ($B8,"IQ_COGS",UN$3,$I$3, $N$3, , $J$3, $K$3)-_xll.ciqfunctions.udf.CIQ($B8,"IQ_EBIT",UN$3,$I$3, $N$3, , $J$3, $K$3))*1000000/_xll.ciqfunctions.udf.CIQ($B8,"IQ_EMPLOYEES",UN$3,$I$3, $N$3, , $J$3, $K$3)),"")</f>
        <v/>
      </c>
      <c r="UO8" s="93" t="str">
        <f>IFERROR(IF(OR($B8="",UO$3=""),"",(_xll.ciqfunctions.udf.CIQ($B8,"IQ_TOTAL_REVENUE",UO$3,$I$3, $N$3, , $J$3, $K$3)-_xll.ciqfunctions.udf.CIQ($B8,"IQ_COGS",UO$3,$I$3, $N$3, , $J$3, $K$3)-_xll.ciqfunctions.udf.CIQ($B8,"IQ_EBIT",UO$3,$I$3, $N$3, , $J$3, $K$3))*1000000/_xll.ciqfunctions.udf.CIQ($B8,"IQ_EMPLOYEES",UO$3,$I$3, $N$3, , $J$3, $K$3)),"")</f>
        <v/>
      </c>
      <c r="UP8" s="93" t="str">
        <f>IFERROR(IF(OR($B8="",UP$3=""),"",(_xll.ciqfunctions.udf.CIQ($B8,"IQ_TOTAL_REVENUE",UP$3,$I$3, $N$3, , $J$3, $K$3)-_xll.ciqfunctions.udf.CIQ($B8,"IQ_COGS",UP$3,$I$3, $N$3, , $J$3, $K$3)-_xll.ciqfunctions.udf.CIQ($B8,"IQ_EBIT",UP$3,$I$3, $N$3, , $J$3, $K$3))*1000000/_xll.ciqfunctions.udf.CIQ($B8,"IQ_EMPLOYEES",UP$3,$I$3, $N$3, , $J$3, $K$3)),"")</f>
        <v/>
      </c>
      <c r="UQ8" s="93" t="str">
        <f>IFERROR(IF(OR($B8="",UQ$3=""),"",(_xll.ciqfunctions.udf.CIQ($B8,"IQ_TOTAL_REVENUE",UQ$3,$I$3, $N$3, , $J$3, $K$3)-_xll.ciqfunctions.udf.CIQ($B8,"IQ_COGS",UQ$3,$I$3, $N$3, , $J$3, $K$3)-_xll.ciqfunctions.udf.CIQ($B8,"IQ_EBIT",UQ$3,$I$3, $N$3, , $J$3, $K$3))*1000000/_xll.ciqfunctions.udf.CIQ($B8,"IQ_EMPLOYEES",UQ$3,$I$3, $N$3, , $J$3, $K$3)),"")</f>
        <v/>
      </c>
      <c r="UR8" s="93" t="str">
        <f>IFERROR(IF(OR($B8="",UR$3=""),"",(_xll.ciqfunctions.udf.CIQ($B8,"IQ_TOTAL_REVENUE",UR$3,$I$3, $N$3, , $J$3, $K$3)-_xll.ciqfunctions.udf.CIQ($B8,"IQ_COGS",UR$3,$I$3, $N$3, , $J$3, $K$3)-_xll.ciqfunctions.udf.CIQ($B8,"IQ_EBIT",UR$3,$I$3, $N$3, , $J$3, $K$3))*1000000/_xll.ciqfunctions.udf.CIQ($B8,"IQ_EMPLOYEES",UR$3,$I$3, $N$3, , $J$3, $K$3)),"")</f>
        <v/>
      </c>
      <c r="US8" s="93" t="str">
        <f>IFERROR(IF(OR($B8="",US$3=""),"",(_xll.ciqfunctions.udf.CIQ($B8,"IQ_TOTAL_REVENUE",US$3,$I$3, $N$3, , $J$3, $K$3)-_xll.ciqfunctions.udf.CIQ($B8,"IQ_COGS",US$3,$I$3, $N$3, , $J$3, $K$3)-_xll.ciqfunctions.udf.CIQ($B8,"IQ_EBIT",US$3,$I$3, $N$3, , $J$3, $K$3))*1000000/_xll.ciqfunctions.udf.CIQ($B8,"IQ_EMPLOYEES",US$3,$I$3, $N$3, , $J$3, $K$3)),"")</f>
        <v/>
      </c>
      <c r="UT8" s="93" t="str">
        <f>IFERROR(IF(OR($B8="",UT$3=""),"",(_xll.ciqfunctions.udf.CIQ($B8,"IQ_TOTAL_REVENUE",UT$3,$I$3, $N$3, , $J$3, $K$3)-_xll.ciqfunctions.udf.CIQ($B8,"IQ_COGS",UT$3,$I$3, $N$3, , $J$3, $K$3)-_xll.ciqfunctions.udf.CIQ($B8,"IQ_EBIT",UT$3,$I$3, $N$3, , $J$3, $K$3))*1000000/_xll.ciqfunctions.udf.CIQ($B8,"IQ_EMPLOYEES",UT$3,$I$3, $N$3, , $J$3, $K$3)),"")</f>
        <v/>
      </c>
      <c r="UU8" s="93" t="str">
        <f>IFERROR(IF(OR($B8="",UU$3=""),"",(_xll.ciqfunctions.udf.CIQ($B8,"IQ_TOTAL_REVENUE",UU$3,$I$3, $N$3, , $J$3, $K$3)-_xll.ciqfunctions.udf.CIQ($B8,"IQ_COGS",UU$3,$I$3, $N$3, , $J$3, $K$3)-_xll.ciqfunctions.udf.CIQ($B8,"IQ_EBIT",UU$3,$I$3, $N$3, , $J$3, $K$3))*1000000/_xll.ciqfunctions.udf.CIQ($B8,"IQ_EMPLOYEES",UU$3,$I$3, $N$3, , $J$3, $K$3)),"")</f>
        <v/>
      </c>
      <c r="UV8" s="93" t="str">
        <f>IFERROR(IF(OR($B8="",UV$3=""),"",(_xll.ciqfunctions.udf.CIQ($B8,"IQ_TOTAL_REVENUE",UV$3,$I$3, $N$3, , $J$3, $K$3)-_xll.ciqfunctions.udf.CIQ($B8,"IQ_COGS",UV$3,$I$3, $N$3, , $J$3, $K$3)-_xll.ciqfunctions.udf.CIQ($B8,"IQ_EBIT",UV$3,$I$3, $N$3, , $J$3, $K$3))*1000000/_xll.ciqfunctions.udf.CIQ($B8,"IQ_EMPLOYEES",UV$3,$I$3, $N$3, , $J$3, $K$3)),"")</f>
        <v/>
      </c>
      <c r="UW8" s="93" t="str">
        <f>IFERROR(IF(OR($B8="",UW$3=""),"",(_xll.ciqfunctions.udf.CIQ($B8,"IQ_TOTAL_REVENUE",UW$3,$I$3, $N$3, , $J$3, $K$3)-_xll.ciqfunctions.udf.CIQ($B8,"IQ_COGS",UW$3,$I$3, $N$3, , $J$3, $K$3)-_xll.ciqfunctions.udf.CIQ($B8,"IQ_EBIT",UW$3,$I$3, $N$3, , $J$3, $K$3))*1000000/_xll.ciqfunctions.udf.CIQ($B8,"IQ_EMPLOYEES",UW$3,$I$3, $N$3, , $J$3, $K$3)),"")</f>
        <v/>
      </c>
      <c r="UX8" s="93" t="str">
        <f>IFERROR(IF(OR($B8="",UX$3=""),"",(_xll.ciqfunctions.udf.CIQ($B8,"IQ_TOTAL_REVENUE",UX$3,$I$3, $N$3, , $J$3, $K$3)-_xll.ciqfunctions.udf.CIQ($B8,"IQ_COGS",UX$3,$I$3, $N$3, , $J$3, $K$3)-_xll.ciqfunctions.udf.CIQ($B8,"IQ_EBIT",UX$3,$I$3, $N$3, , $J$3, $K$3))*1000000/_xll.ciqfunctions.udf.CIQ($B8,"IQ_EMPLOYEES",UX$3,$I$3, $N$3, , $J$3, $K$3)),"")</f>
        <v/>
      </c>
      <c r="UY8" s="93" t="str">
        <f>IFERROR(IF(OR($B8="",UY$3=""),"",(_xll.ciqfunctions.udf.CIQ($B8,"IQ_TOTAL_REVENUE",UY$3,$I$3, $N$3, , $J$3, $K$3)-_xll.ciqfunctions.udf.CIQ($B8,"IQ_COGS",UY$3,$I$3, $N$3, , $J$3, $K$3)-_xll.ciqfunctions.udf.CIQ($B8,"IQ_EBIT",UY$3,$I$3, $N$3, , $J$3, $K$3))*1000000/_xll.ciqfunctions.udf.CIQ($B8,"IQ_EMPLOYEES",UY$3,$I$3, $N$3, , $J$3, $K$3)),"")</f>
        <v/>
      </c>
      <c r="UZ8" s="94" t="str">
        <f>IFERROR(IF(OR($B8="",UZ$3=""),"",(_xll.ciqfunctions.udf.CIQ($B8,"IQ_TOTAL_REVENUE",UZ$3,$I$3, $N$3, , $J$3, $K$3)-_xll.ciqfunctions.udf.CIQ($B8,"IQ_COGS",UZ$3,$I$3, $N$3, , $J$3, $K$3)-_xll.ciqfunctions.udf.CIQ($B8,"IQ_EBIT",UZ$3,$I$3, $N$3, , $J$3, $K$3))*1000000/_xll.ciqfunctions.udf.CIQ($B8,"IQ_EMPLOYEES",UZ$3,$I$3, $N$3, , $J$3, $K$3)),"")</f>
        <v/>
      </c>
      <c r="VA8" s="92">
        <f>IFERROR(IF(OR($B8="",VA$3=""),"",_xll.ciqfunctions.udf.CIQ($B8,"IQ_SGA_SUPPL",VA$3,$I$3, $N$3, , $J$3, $K$3)*1000000/_xll.ciqfunctions.udf.CIQ($B8,"IQ_EMPLOYEES",VA$3,$I$3, $N$3, , $J$3, $K$3)),"")</f>
        <v>63284.722222222219</v>
      </c>
      <c r="VB8" s="93" t="str">
        <f>IFERROR(IF(OR($B8="",VB$3=""),"",_xll.ciqfunctions.udf.CIQ($B8,"IQ_SGA_SUPPL",VB$3,$I$3, $N$3, , $J$3, $K$3)*1000000/_xll.ciqfunctions.udf.CIQ($B8,"IQ_EMPLOYEES",VB$3,$I$3, $N$3, , $J$3, $K$3)),"")</f>
        <v/>
      </c>
      <c r="VC8" s="93" t="str">
        <f>IFERROR(IF(OR($B8="",VC$3=""),"",_xll.ciqfunctions.udf.CIQ($B8,"IQ_SGA_SUPPL",VC$3,$I$3, $N$3, , $J$3, $K$3)*1000000/_xll.ciqfunctions.udf.CIQ($B8,"IQ_EMPLOYEES",VC$3,$I$3, $N$3, , $J$3, $K$3)),"")</f>
        <v/>
      </c>
      <c r="VD8" s="93" t="str">
        <f>IFERROR(IF(OR($B8="",VD$3=""),"",_xll.ciqfunctions.udf.CIQ($B8,"IQ_SGA_SUPPL",VD$3,$I$3, $N$3, , $J$3, $K$3)*1000000/_xll.ciqfunctions.udf.CIQ($B8,"IQ_EMPLOYEES",VD$3,$I$3, $N$3, , $J$3, $K$3)),"")</f>
        <v/>
      </c>
      <c r="VE8" s="93" t="str">
        <f>IFERROR(IF(OR($B8="",VE$3=""),"",_xll.ciqfunctions.udf.CIQ($B8,"IQ_SGA_SUPPL",VE$3,$I$3, $N$3, , $J$3, $K$3)*1000000/_xll.ciqfunctions.udf.CIQ($B8,"IQ_EMPLOYEES",VE$3,$I$3, $N$3, , $J$3, $K$3)),"")</f>
        <v/>
      </c>
      <c r="VF8" s="93" t="str">
        <f>IFERROR(IF(OR($B8="",VF$3=""),"",_xll.ciqfunctions.udf.CIQ($B8,"IQ_SGA_SUPPL",VF$3,$I$3, $N$3, , $J$3, $K$3)*1000000/_xll.ciqfunctions.udf.CIQ($B8,"IQ_EMPLOYEES",VF$3,$I$3, $N$3, , $J$3, $K$3)),"")</f>
        <v/>
      </c>
      <c r="VG8" s="93" t="str">
        <f>IFERROR(IF(OR($B8="",VG$3=""),"",_xll.ciqfunctions.udf.CIQ($B8,"IQ_SGA_SUPPL",VG$3,$I$3, $N$3, , $J$3, $K$3)*1000000/_xll.ciqfunctions.udf.CIQ($B8,"IQ_EMPLOYEES",VG$3,$I$3, $N$3, , $J$3, $K$3)),"")</f>
        <v/>
      </c>
      <c r="VH8" s="93" t="str">
        <f>IFERROR(IF(OR($B8="",VH$3=""),"",_xll.ciqfunctions.udf.CIQ($B8,"IQ_SGA_SUPPL",VH$3,$I$3, $N$3, , $J$3, $K$3)*1000000/_xll.ciqfunctions.udf.CIQ($B8,"IQ_EMPLOYEES",VH$3,$I$3, $N$3, , $J$3, $K$3)),"")</f>
        <v/>
      </c>
      <c r="VI8" s="93" t="str">
        <f>IFERROR(IF(OR($B8="",VI$3=""),"",_xll.ciqfunctions.udf.CIQ($B8,"IQ_SGA_SUPPL",VI$3,$I$3, $N$3, , $J$3, $K$3)*1000000/_xll.ciqfunctions.udf.CIQ($B8,"IQ_EMPLOYEES",VI$3,$I$3, $N$3, , $J$3, $K$3)),"")</f>
        <v/>
      </c>
      <c r="VJ8" s="93" t="str">
        <f>IFERROR(IF(OR($B8="",VJ$3=""),"",_xll.ciqfunctions.udf.CIQ($B8,"IQ_SGA_SUPPL",VJ$3,$I$3, $N$3, , $J$3, $K$3)*1000000/_xll.ciqfunctions.udf.CIQ($B8,"IQ_EMPLOYEES",VJ$3,$I$3, $N$3, , $J$3, $K$3)),"")</f>
        <v/>
      </c>
      <c r="VK8" s="93" t="str">
        <f>IFERROR(IF(OR($B8="",VK$3=""),"",_xll.ciqfunctions.udf.CIQ($B8,"IQ_SGA_SUPPL",VK$3,$I$3, $N$3, , $J$3, $K$3)*1000000/_xll.ciqfunctions.udf.CIQ($B8,"IQ_EMPLOYEES",VK$3,$I$3, $N$3, , $J$3, $K$3)),"")</f>
        <v/>
      </c>
      <c r="VL8" s="93" t="str">
        <f>IFERROR(IF(OR($B8="",VL$3=""),"",_xll.ciqfunctions.udf.CIQ($B8,"IQ_SGA_SUPPL",VL$3,$I$3, $N$3, , $J$3, $K$3)*1000000/_xll.ciqfunctions.udf.CIQ($B8,"IQ_EMPLOYEES",VL$3,$I$3, $N$3, , $J$3, $K$3)),"")</f>
        <v/>
      </c>
      <c r="VM8" s="93" t="str">
        <f>IFERROR(IF(OR($B8="",VM$3=""),"",_xll.ciqfunctions.udf.CIQ($B8,"IQ_SGA_SUPPL",VM$3,$I$3, $N$3, , $J$3, $K$3)*1000000/_xll.ciqfunctions.udf.CIQ($B8,"IQ_EMPLOYEES",VM$3,$I$3, $N$3, , $J$3, $K$3)),"")</f>
        <v/>
      </c>
      <c r="VN8" s="93" t="str">
        <f>IFERROR(IF(OR($B8="",VN$3=""),"",_xll.ciqfunctions.udf.CIQ($B8,"IQ_SGA_SUPPL",VN$3,$I$3, $N$3, , $J$3, $K$3)*1000000/_xll.ciqfunctions.udf.CIQ($B8,"IQ_EMPLOYEES",VN$3,$I$3, $N$3, , $J$3, $K$3)),"")</f>
        <v/>
      </c>
      <c r="VO8" s="93" t="str">
        <f>IFERROR(IF(OR($B8="",VO$3=""),"",_xll.ciqfunctions.udf.CIQ($B8,"IQ_SGA_SUPPL",VO$3,$I$3, $N$3, , $J$3, $K$3)*1000000/_xll.ciqfunctions.udf.CIQ($B8,"IQ_EMPLOYEES",VO$3,$I$3, $N$3, , $J$3, $K$3)),"")</f>
        <v/>
      </c>
      <c r="VP8" s="93" t="str">
        <f>IFERROR(IF(OR($B8="",VP$3=""),"",_xll.ciqfunctions.udf.CIQ($B8,"IQ_SGA_SUPPL",VP$3,$I$3, $N$3, , $J$3, $K$3)*1000000/_xll.ciqfunctions.udf.CIQ($B8,"IQ_EMPLOYEES",VP$3,$I$3, $N$3, , $J$3, $K$3)),"")</f>
        <v/>
      </c>
      <c r="VQ8" s="93" t="str">
        <f>IFERROR(IF(OR($B8="",VQ$3=""),"",_xll.ciqfunctions.udf.CIQ($B8,"IQ_SGA_SUPPL",VQ$3,$I$3, $N$3, , $J$3, $K$3)*1000000/_xll.ciqfunctions.udf.CIQ($B8,"IQ_EMPLOYEES",VQ$3,$I$3, $N$3, , $J$3, $K$3)),"")</f>
        <v/>
      </c>
      <c r="VR8" s="93" t="str">
        <f>IFERROR(IF(OR($B8="",VR$3=""),"",_xll.ciqfunctions.udf.CIQ($B8,"IQ_SGA_SUPPL",VR$3,$I$3, $N$3, , $J$3, $K$3)*1000000/_xll.ciqfunctions.udf.CIQ($B8,"IQ_EMPLOYEES",VR$3,$I$3, $N$3, , $J$3, $K$3)),"")</f>
        <v/>
      </c>
      <c r="VS8" s="93" t="str">
        <f>IFERROR(IF(OR($B8="",VS$3=""),"",_xll.ciqfunctions.udf.CIQ($B8,"IQ_SGA_SUPPL",VS$3,$I$3, $N$3, , $J$3, $K$3)*1000000/_xll.ciqfunctions.udf.CIQ($B8,"IQ_EMPLOYEES",VS$3,$I$3, $N$3, , $J$3, $K$3)),"")</f>
        <v/>
      </c>
      <c r="VT8" s="94" t="str">
        <f>IFERROR(IF(OR($B8="",VT$3=""),"",_xll.ciqfunctions.udf.CIQ($B8,"IQ_SGA_SUPPL",VT$3,$I$3, $N$3, , $J$3, $K$3)*1000000/_xll.ciqfunctions.udf.CIQ($B8,"IQ_EMPLOYEES",VT$3,$I$3, $N$3, , $J$3, $K$3)),"")</f>
        <v/>
      </c>
      <c r="VU8" s="92">
        <f>IFERROR(IF(OR($B8="",VU$3=""),"",_xll.ciqfunctions.udf.CIQ($B8,"IQ_RD_EXP",VU$3,$I$3, $N$3, , $J$3, $K$3)*1000000/_xll.ciqfunctions.udf.CIQ($B8,"IQ_EMPLOYEES",VU$3,$I$3, $N$3, , $J$3, $K$3)),"")</f>
        <v>0</v>
      </c>
      <c r="VV8" s="93" t="str">
        <f>IFERROR(IF(OR($B8="",VV$3=""),"",_xll.ciqfunctions.udf.CIQ($B8,"IQ_RD_EXP",VV$3,$I$3, $N$3, , $J$3, $K$3)*1000000/_xll.ciqfunctions.udf.CIQ($B8,"IQ_EMPLOYEES",VV$3,$I$3, $N$3, , $J$3, $K$3)),"")</f>
        <v/>
      </c>
      <c r="VW8" s="93" t="str">
        <f>IFERROR(IF(OR($B8="",VW$3=""),"",_xll.ciqfunctions.udf.CIQ($B8,"IQ_RD_EXP",VW$3,$I$3, $N$3, , $J$3, $K$3)*1000000/_xll.ciqfunctions.udf.CIQ($B8,"IQ_EMPLOYEES",VW$3,$I$3, $N$3, , $J$3, $K$3)),"")</f>
        <v/>
      </c>
      <c r="VX8" s="93" t="str">
        <f>IFERROR(IF(OR($B8="",VX$3=""),"",_xll.ciqfunctions.udf.CIQ($B8,"IQ_RD_EXP",VX$3,$I$3, $N$3, , $J$3, $K$3)*1000000/_xll.ciqfunctions.udf.CIQ($B8,"IQ_EMPLOYEES",VX$3,$I$3, $N$3, , $J$3, $K$3)),"")</f>
        <v/>
      </c>
      <c r="VY8" s="93" t="str">
        <f>IFERROR(IF(OR($B8="",VY$3=""),"",_xll.ciqfunctions.udf.CIQ($B8,"IQ_RD_EXP",VY$3,$I$3, $N$3, , $J$3, $K$3)*1000000/_xll.ciqfunctions.udf.CIQ($B8,"IQ_EMPLOYEES",VY$3,$I$3, $N$3, , $J$3, $K$3)),"")</f>
        <v/>
      </c>
      <c r="VZ8" s="93" t="str">
        <f>IFERROR(IF(OR($B8="",VZ$3=""),"",_xll.ciqfunctions.udf.CIQ($B8,"IQ_RD_EXP",VZ$3,$I$3, $N$3, , $J$3, $K$3)*1000000/_xll.ciqfunctions.udf.CIQ($B8,"IQ_EMPLOYEES",VZ$3,$I$3, $N$3, , $J$3, $K$3)),"")</f>
        <v/>
      </c>
      <c r="WA8" s="93" t="str">
        <f>IFERROR(IF(OR($B8="",WA$3=""),"",_xll.ciqfunctions.udf.CIQ($B8,"IQ_RD_EXP",WA$3,$I$3, $N$3, , $J$3, $K$3)*1000000/_xll.ciqfunctions.udf.CIQ($B8,"IQ_EMPLOYEES",WA$3,$I$3, $N$3, , $J$3, $K$3)),"")</f>
        <v/>
      </c>
      <c r="WB8" s="93" t="str">
        <f>IFERROR(IF(OR($B8="",WB$3=""),"",_xll.ciqfunctions.udf.CIQ($B8,"IQ_RD_EXP",WB$3,$I$3, $N$3, , $J$3, $K$3)*1000000/_xll.ciqfunctions.udf.CIQ($B8,"IQ_EMPLOYEES",WB$3,$I$3, $N$3, , $J$3, $K$3)),"")</f>
        <v/>
      </c>
      <c r="WC8" s="93" t="str">
        <f>IFERROR(IF(OR($B8="",WC$3=""),"",_xll.ciqfunctions.udf.CIQ($B8,"IQ_RD_EXP",WC$3,$I$3, $N$3, , $J$3, $K$3)*1000000/_xll.ciqfunctions.udf.CIQ($B8,"IQ_EMPLOYEES",WC$3,$I$3, $N$3, , $J$3, $K$3)),"")</f>
        <v/>
      </c>
      <c r="WD8" s="93" t="str">
        <f>IFERROR(IF(OR($B8="",WD$3=""),"",_xll.ciqfunctions.udf.CIQ($B8,"IQ_RD_EXP",WD$3,$I$3, $N$3, , $J$3, $K$3)*1000000/_xll.ciqfunctions.udf.CIQ($B8,"IQ_EMPLOYEES",WD$3,$I$3, $N$3, , $J$3, $K$3)),"")</f>
        <v/>
      </c>
      <c r="WE8" s="93" t="str">
        <f>IFERROR(IF(OR($B8="",WE$3=""),"",_xll.ciqfunctions.udf.CIQ($B8,"IQ_RD_EXP",WE$3,$I$3, $N$3, , $J$3, $K$3)*1000000/_xll.ciqfunctions.udf.CIQ($B8,"IQ_EMPLOYEES",WE$3,$I$3, $N$3, , $J$3, $K$3)),"")</f>
        <v/>
      </c>
      <c r="WF8" s="93" t="str">
        <f>IFERROR(IF(OR($B8="",WF$3=""),"",_xll.ciqfunctions.udf.CIQ($B8,"IQ_RD_EXP",WF$3,$I$3, $N$3, , $J$3, $K$3)*1000000/_xll.ciqfunctions.udf.CIQ($B8,"IQ_EMPLOYEES",WF$3,$I$3, $N$3, , $J$3, $K$3)),"")</f>
        <v/>
      </c>
      <c r="WG8" s="93" t="str">
        <f>IFERROR(IF(OR($B8="",WG$3=""),"",_xll.ciqfunctions.udf.CIQ($B8,"IQ_RD_EXP",WG$3,$I$3, $N$3, , $J$3, $K$3)*1000000/_xll.ciqfunctions.udf.CIQ($B8,"IQ_EMPLOYEES",WG$3,$I$3, $N$3, , $J$3, $K$3)),"")</f>
        <v/>
      </c>
      <c r="WH8" s="93" t="str">
        <f>IFERROR(IF(OR($B8="",WH$3=""),"",_xll.ciqfunctions.udf.CIQ($B8,"IQ_RD_EXP",WH$3,$I$3, $N$3, , $J$3, $K$3)*1000000/_xll.ciqfunctions.udf.CIQ($B8,"IQ_EMPLOYEES",WH$3,$I$3, $N$3, , $J$3, $K$3)),"")</f>
        <v/>
      </c>
      <c r="WI8" s="93" t="str">
        <f>IFERROR(IF(OR($B8="",WI$3=""),"",_xll.ciqfunctions.udf.CIQ($B8,"IQ_RD_EXP",WI$3,$I$3, $N$3, , $J$3, $K$3)*1000000/_xll.ciqfunctions.udf.CIQ($B8,"IQ_EMPLOYEES",WI$3,$I$3, $N$3, , $J$3, $K$3)),"")</f>
        <v/>
      </c>
      <c r="WJ8" s="93" t="str">
        <f>IFERROR(IF(OR($B8="",WJ$3=""),"",_xll.ciqfunctions.udf.CIQ($B8,"IQ_RD_EXP",WJ$3,$I$3, $N$3, , $J$3, $K$3)*1000000/_xll.ciqfunctions.udf.CIQ($B8,"IQ_EMPLOYEES",WJ$3,$I$3, $N$3, , $J$3, $K$3)),"")</f>
        <v/>
      </c>
      <c r="WK8" s="93" t="str">
        <f>IFERROR(IF(OR($B8="",WK$3=""),"",_xll.ciqfunctions.udf.CIQ($B8,"IQ_RD_EXP",WK$3,$I$3, $N$3, , $J$3, $K$3)*1000000/_xll.ciqfunctions.udf.CIQ($B8,"IQ_EMPLOYEES",WK$3,$I$3, $N$3, , $J$3, $K$3)),"")</f>
        <v/>
      </c>
      <c r="WL8" s="93" t="str">
        <f>IFERROR(IF(OR($B8="",TJ$3=""),"",_xll.ciqfunctions.udf.CIQ($B8,"IQ_RD_EXP",GH$3,,,,"USD")*1000000/_xll.ciqfunctions.udf.CIQ($B8,"IQ_EMPLOYEES",WL$3,,,,"USD")),"")</f>
        <v/>
      </c>
      <c r="WM8" s="93" t="str">
        <f>IFERROR(IF(OR($B8="",TK$3=""),"",_xll.ciqfunctions.udf.CIQ($B8,"IQ_RD_EXP",GI$3,,,,"USD")*1000000/_xll.ciqfunctions.udf.CIQ($B8,"IQ_EMPLOYEES",WM$3,,,,"USD")),"")</f>
        <v/>
      </c>
      <c r="WN8" s="94" t="str">
        <f>IFERROR(IF(OR($B8="",TL$3=""),"",_xll.ciqfunctions.udf.CIQ($B8,"IQ_RD_EXP",GJ$3,,,,"USD")*1000000/_xll.ciqfunctions.udf.CIQ($B8,"IQ_EMPLOYEES",WN$3,,,,"USD")),"")</f>
        <v/>
      </c>
      <c r="WO8" s="620">
        <f>IFERROR(IF(OR($B8="",WO$4=""),"",_xll.ciqfunctions.udf.CIQ($B8,"IQ_LASTSALEPRICE",WO$4)),"")</f>
        <v>567.70000000000005</v>
      </c>
      <c r="WP8" s="620" t="str">
        <f>IFERROR(IF(OR($B8="",WP$4=""),"",_xll.ciqfunctions.udf.CIQ($B8,"IQ_LASTSALEPRICE",WP$4)),"")</f>
        <v/>
      </c>
      <c r="WQ8" s="620" t="str">
        <f>IFERROR(IF(OR($B8="",WQ$4=""),"",_xll.ciqfunctions.udf.CIQ($B8,"IQ_LASTSALEPRICE",WQ$4)),"")</f>
        <v/>
      </c>
      <c r="WR8" s="620" t="str">
        <f>IFERROR(IF(OR($B8="",WR$4=""),"",_xll.ciqfunctions.udf.CIQ($B8,"IQ_LASTSALEPRICE",WR$4)),"")</f>
        <v/>
      </c>
      <c r="WS8" s="620" t="str">
        <f>IFERROR(IF(OR($B8="",WS$4=""),"",_xll.ciqfunctions.udf.CIQ($B8,"IQ_LASTSALEPRICE",WS$4)),"")</f>
        <v/>
      </c>
      <c r="WT8" s="620" t="str">
        <f>IFERROR(IF(OR($B8="",WT$4=""),"",_xll.ciqfunctions.udf.CIQ($B8,"IQ_LASTSALEPRICE",WT$4)),"")</f>
        <v/>
      </c>
      <c r="WU8" s="620" t="str">
        <f>IFERROR(IF(OR($B8="",WU$4=""),"",_xll.ciqfunctions.udf.CIQ($B8,"IQ_LASTSALEPRICE",WU$4)),"")</f>
        <v/>
      </c>
      <c r="WV8" s="620" t="str">
        <f>IFERROR(IF(OR($B8="",WV$4=""),"",_xll.ciqfunctions.udf.CIQ($B8,"IQ_LASTSALEPRICE",WV$4)),"")</f>
        <v/>
      </c>
      <c r="WW8" s="620" t="str">
        <f>IFERROR(IF(OR($B8="",WW$4=""),"",_xll.ciqfunctions.udf.CIQ($B8,"IQ_LASTSALEPRICE",WW$4)),"")</f>
        <v/>
      </c>
      <c r="WX8" s="620" t="str">
        <f>IFERROR(IF(OR($B8="",WX$4=""),"",_xll.ciqfunctions.udf.CIQ($B8,"IQ_LASTSALEPRICE",WX$4)),"")</f>
        <v/>
      </c>
      <c r="WY8" s="620" t="str">
        <f>IFERROR(IF(OR($B8="",WY$4=""),"",_xll.ciqfunctions.udf.CIQ($B8,"IQ_LASTSALEPRICE",WY$4)),"")</f>
        <v/>
      </c>
      <c r="WZ8" s="620" t="str">
        <f>IFERROR(IF(OR($B8="",WZ$4=""),"",_xll.ciqfunctions.udf.CIQ($B8,"IQ_LASTSALEPRICE",WZ$4)),"")</f>
        <v/>
      </c>
      <c r="XA8" s="620" t="str">
        <f>IFERROR(IF(OR($B8="",XA$4=""),"",_xll.ciqfunctions.udf.CIQ($B8,"IQ_LASTSALEPRICE",XA$4)),"")</f>
        <v/>
      </c>
      <c r="XB8" s="620" t="str">
        <f>IFERROR(IF(OR($B8="",XB$4=""),"",_xll.ciqfunctions.udf.CIQ($B8,"IQ_LASTSALEPRICE",XB$4)),"")</f>
        <v/>
      </c>
      <c r="XC8" s="620" t="str">
        <f>IFERROR(IF(OR($B8="",XC$4=""),"",_xll.ciqfunctions.udf.CIQ($B8,"IQ_LASTSALEPRICE",XC$4)),"")</f>
        <v/>
      </c>
      <c r="XD8" s="620" t="str">
        <f>IFERROR(IF(OR($B8="",XD$4=""),"",_xll.ciqfunctions.udf.CIQ($B8,"IQ_LASTSALEPRICE",XD$4)),"")</f>
        <v/>
      </c>
      <c r="XE8" s="620" t="str">
        <f>IFERROR(IF(OR($B8="",XE$4=""),"",_xll.ciqfunctions.udf.CIQ($B8,"IQ_LASTSALEPRICE",XE$4)),"")</f>
        <v/>
      </c>
      <c r="XF8" s="620" t="str">
        <f>IFERROR(IF(OR($B8="",XF$4=""),"",_xll.ciqfunctions.udf.CIQ($B8,"IQ_LASTSALEPRICE",XF$4)),"")</f>
        <v/>
      </c>
      <c r="XG8" s="620" t="str">
        <f>IFERROR(IF(OR($B8="",XG$4=""),"",_xll.ciqfunctions.udf.CIQ($B8,"IQ_LASTSALEPRICE",XG$4)),"")</f>
        <v/>
      </c>
      <c r="XH8" s="620" t="str">
        <f>IFERROR(IF(OR($B8="",XH$4=""),"",_xll.ciqfunctions.udf.CIQ($B8,"IQ_LASTSALEPRICE",XH$4)),"")</f>
        <v/>
      </c>
      <c r="XI8" s="72">
        <f>IFERROR(IF(OR($B8="",XI$3=""),"",_xll.ciqfunctions.udf.CIQ($B8,"IQ_TOTAL_REV_1YR_ANN_GROWTH",XI$3,$I$3, $N$3, , $J$3, $K$3)/100),"")</f>
        <v>0.174377</v>
      </c>
      <c r="XJ8" s="72" t="str">
        <f>IFERROR(IF(OR($B8="",XJ$3=""),"",_xll.ciqfunctions.udf.CIQ($B8,"IQ_TOTAL_REV_1YR_ANN_GROWTH",XJ$3,$I$3, $N$3, , $J$3, $K$3)/100),"")</f>
        <v/>
      </c>
      <c r="XK8" s="72" t="str">
        <f>IFERROR(IF(OR($B8="",XK$3=""),"",_xll.ciqfunctions.udf.CIQ($B8,"IQ_TOTAL_REV_1YR_ANN_GROWTH",XK$3,$I$3, $N$3, , $J$3, $K$3)/100),"")</f>
        <v/>
      </c>
      <c r="XL8" s="72" t="str">
        <f>IFERROR(IF(OR($B8="",XL$3=""),"",_xll.ciqfunctions.udf.CIQ($B8,"IQ_TOTAL_REV_1YR_ANN_GROWTH",XL$3,$I$3, $N$3, , $J$3, $K$3)/100),"")</f>
        <v/>
      </c>
      <c r="XM8" s="72" t="str">
        <f>IFERROR(IF(OR($B8="",XM$3=""),"",_xll.ciqfunctions.udf.CIQ($B8,"IQ_TOTAL_REV_1YR_ANN_GROWTH",XM$3,$I$3, $N$3, , $J$3, $K$3)/100),"")</f>
        <v/>
      </c>
      <c r="XN8" s="72" t="str">
        <f>IFERROR(IF(OR($B8="",XN$3=""),"",_xll.ciqfunctions.udf.CIQ($B8,"IQ_TOTAL_REV_1YR_ANN_GROWTH",XN$3,$I$3, $N$3, , $J$3, $K$3)/100),"")</f>
        <v/>
      </c>
      <c r="XO8" s="72" t="str">
        <f>IFERROR(IF(OR($B8="",XO$3=""),"",_xll.ciqfunctions.udf.CIQ($B8,"IQ_TOTAL_REV_1YR_ANN_GROWTH",XO$3,$I$3, $N$3, , $J$3, $K$3)/100),"")</f>
        <v/>
      </c>
      <c r="XP8" s="72" t="str">
        <f>IFERROR(IF(OR($B8="",XP$3=""),"",_xll.ciqfunctions.udf.CIQ($B8,"IQ_TOTAL_REV_1YR_ANN_GROWTH",XP$3,$I$3, $N$3, , $J$3, $K$3)/100),"")</f>
        <v/>
      </c>
      <c r="XQ8" s="72" t="str">
        <f>IFERROR(IF(OR($B8="",XQ$3=""),"",_xll.ciqfunctions.udf.CIQ($B8,"IQ_TOTAL_REV_1YR_ANN_GROWTH",XQ$3,$I$3, $N$3, , $J$3, $K$3)/100),"")</f>
        <v/>
      </c>
      <c r="XR8" s="72" t="str">
        <f>IFERROR(IF(OR($B8="",XR$3=""),"",_xll.ciqfunctions.udf.CIQ($B8,"IQ_TOTAL_REV_1YR_ANN_GROWTH",XR$3,$I$3, $N$3, , $J$3, $K$3)/100),"")</f>
        <v/>
      </c>
      <c r="XS8" s="72" t="str">
        <f>IFERROR(IF(OR($B8="",XS$3=""),"",_xll.ciqfunctions.udf.CIQ($B8,"IQ_TOTAL_REV_1YR_ANN_GROWTH",XS$3,$I$3, $N$3, , $J$3, $K$3)/100),"")</f>
        <v/>
      </c>
      <c r="XT8" s="72" t="str">
        <f>IFERROR(IF(OR($B8="",XT$3=""),"",_xll.ciqfunctions.udf.CIQ($B8,"IQ_TOTAL_REV_1YR_ANN_GROWTH",XT$3,$I$3, $N$3, , $J$3, $K$3)/100),"")</f>
        <v/>
      </c>
      <c r="XU8" s="72" t="str">
        <f>IFERROR(IF(OR($B8="",XU$3=""),"",_xll.ciqfunctions.udf.CIQ($B8,"IQ_TOTAL_REV_1YR_ANN_GROWTH",XU$3,$I$3, $N$3, , $J$3, $K$3)/100),"")</f>
        <v/>
      </c>
      <c r="XV8" s="72" t="str">
        <f>IFERROR(IF(OR($B8="",XV$3=""),"",_xll.ciqfunctions.udf.CIQ($B8,"IQ_TOTAL_REV_1YR_ANN_GROWTH",XV$3,$I$3, $N$3, , $J$3, $K$3)/100),"")</f>
        <v/>
      </c>
      <c r="XW8" s="72" t="str">
        <f>IFERROR(IF(OR($B8="",XW$3=""),"",_xll.ciqfunctions.udf.CIQ($B8,"IQ_TOTAL_REV_1YR_ANN_GROWTH",XW$3,$I$3, $N$3, , $J$3, $K$3)/100),"")</f>
        <v/>
      </c>
      <c r="XX8" s="72" t="str">
        <f>IFERROR(IF(OR($B8="",XX$3=""),"",_xll.ciqfunctions.udf.CIQ($B8,"IQ_TOTAL_REV_1YR_ANN_GROWTH",XX$3,$I$3, $N$3, , $J$3, $K$3)/100),"")</f>
        <v/>
      </c>
      <c r="XY8" s="72" t="str">
        <f>IFERROR(IF(OR($B8="",XY$3=""),"",_xll.ciqfunctions.udf.CIQ($B8,"IQ_TOTAL_REV_1YR_ANN_GROWTH",XY$3,$I$3, $N$3, , $J$3, $K$3)/100),"")</f>
        <v/>
      </c>
      <c r="XZ8" s="72" t="str">
        <f>IFERROR(IF(OR($B8="",XZ$3=""),"",_xll.ciqfunctions.udf.CIQ($B8,"IQ_TOTAL_REV_1YR_ANN_GROWTH",XZ$3,$I$3, $N$3, , $J$3, $K$3)/100),"")</f>
        <v/>
      </c>
      <c r="YA8" s="72" t="str">
        <f>IFERROR(IF(OR($B8="",YA$3=""),"",_xll.ciqfunctions.udf.CIQ($B8,"IQ_TOTAL_REV_1YR_ANN_GROWTH",YA$3,$I$3, $N$3, , $J$3, $K$3)/100),"")</f>
        <v/>
      </c>
      <c r="YB8" s="72" t="str">
        <f>IFERROR(IF(OR($B8="",YB$3=""),"",_xll.ciqfunctions.udf.CIQ($B8,"IQ_TOTAL_REV_1YR_ANN_GROWTH",YB$3,$I$3, $N$3, , $J$3, $K$3)/100),"")</f>
        <v/>
      </c>
      <c r="YC8" s="627">
        <f>IFERROR(IF(OR($B8="",YC$4=""),"",_xll.ciqfunctions.udf.CIQ($B8,"IQ_TEV",YC$4)),"")</f>
        <v>248912.62229999999</v>
      </c>
      <c r="YD8" s="627" t="str">
        <f>IFERROR(IF(OR($B8="",YD$4=""),"",_xll.ciqfunctions.udf.CIQ($B8,"IQ_TEV",YD$4)),"")</f>
        <v/>
      </c>
      <c r="YE8" s="627" t="str">
        <f>IFERROR(IF(OR($B8="",YE$4=""),"",_xll.ciqfunctions.udf.CIQ($B8,"IQ_TEV",YE$4)),"")</f>
        <v/>
      </c>
      <c r="YF8" s="627" t="str">
        <f>IFERROR(IF(OR($B8="",YF$4=""),"",_xll.ciqfunctions.udf.CIQ($B8,"IQ_TEV",YF$4)),"")</f>
        <v/>
      </c>
      <c r="YG8" s="627" t="str">
        <f>IFERROR(IF(OR($B8="",YG$4=""),"",_xll.ciqfunctions.udf.CIQ($B8,"IQ_TEV",YG$4)),"")</f>
        <v/>
      </c>
      <c r="YH8" s="627" t="str">
        <f>IFERROR(IF(OR($B8="",YH$4=""),"",_xll.ciqfunctions.udf.CIQ($B8,"IQ_TEV",YH$4)),"")</f>
        <v/>
      </c>
      <c r="YI8" s="627" t="str">
        <f>IFERROR(IF(OR($B8="",YI$4=""),"",_xll.ciqfunctions.udf.CIQ($B8,"IQ_TEV",YI$4)),"")</f>
        <v/>
      </c>
      <c r="YJ8" s="627" t="str">
        <f>IFERROR(IF(OR($B8="",YJ$4=""),"",_xll.ciqfunctions.udf.CIQ($B8,"IQ_TEV",YJ$4)),"")</f>
        <v/>
      </c>
      <c r="YK8" s="627" t="str">
        <f>IFERROR(IF(OR($B8="",YK$4=""),"",_xll.ciqfunctions.udf.CIQ($B8,"IQ_TEV",YK$4)),"")</f>
        <v/>
      </c>
      <c r="YL8" s="627" t="str">
        <f>IFERROR(IF(OR($B8="",YL$4=""),"",_xll.ciqfunctions.udf.CIQ($B8,"IQ_TEV",YL$4)),"")</f>
        <v/>
      </c>
      <c r="YM8" s="627" t="str">
        <f>IFERROR(IF(OR($B8="",YM$4=""),"",_xll.ciqfunctions.udf.CIQ($B8,"IQ_TEV",YM$4)),"")</f>
        <v/>
      </c>
      <c r="YN8" s="627" t="str">
        <f>IFERROR(IF(OR($B8="",YN$4=""),"",_xll.ciqfunctions.udf.CIQ($B8,"IQ_TEV",YN$4)),"")</f>
        <v/>
      </c>
      <c r="YO8" s="627" t="str">
        <f>IFERROR(IF(OR($B8="",YO$4=""),"",_xll.ciqfunctions.udf.CIQ($B8,"IQ_TEV",YO$4)),"")</f>
        <v/>
      </c>
      <c r="YP8" s="627" t="str">
        <f>IFERROR(IF(OR($B8="",YP$4=""),"",_xll.ciqfunctions.udf.CIQ($B8,"IQ_TEV",YP$4)),"")</f>
        <v/>
      </c>
      <c r="YQ8" s="627" t="str">
        <f>IFERROR(IF(OR($B8="",YQ$4=""),"",_xll.ciqfunctions.udf.CIQ($B8,"IQ_TEV",YQ$4)),"")</f>
        <v/>
      </c>
      <c r="YR8" s="627" t="str">
        <f>IFERROR(IF(OR($B8="",YR$4=""),"",_xll.ciqfunctions.udf.CIQ($B8,"IQ_TEV",YR$4)),"")</f>
        <v/>
      </c>
      <c r="YS8" s="627" t="str">
        <f>IFERROR(IF(OR($B8="",YS$4=""),"",_xll.ciqfunctions.udf.CIQ($B8,"IQ_TEV",YS$4)),"")</f>
        <v/>
      </c>
      <c r="YT8" s="627" t="str">
        <f>IFERROR(IF(OR($B8="",YT$4=""),"",_xll.ciqfunctions.udf.CIQ($B8,"IQ_TEV",YT$4)),"")</f>
        <v/>
      </c>
      <c r="YU8" s="627" t="str">
        <f>IFERROR(IF(OR($B8="",YU$4=""),"",_xll.ciqfunctions.udf.CIQ($B8,"IQ_TEV",YU$4)),"")</f>
        <v/>
      </c>
      <c r="YV8" s="627" t="str">
        <f>IFERROR(IF(OR($B8="",YV$4=""),"",_xll.ciqfunctions.udf.CIQ($B8,"IQ_TEV",YV$4)),"")</f>
        <v/>
      </c>
      <c r="YW8" s="72">
        <f>IFERROR(IF(OR($B8="",YW$3=""),"",(_xll.ciqfunctions.udf.CIQ($B8,"IQ_LASTSALEPRICE",YW$4)/_xll.ciqfunctions.udf.CIQ($B8,"IQ_LASTSALEPRICE",YW$2)-1)+(_xll.ciqfunctions.udf.CIQ($B8, "IQ_DPS_1YR_ANN_GROWTH", "IQ_LTM", YW$4)/100)),"")</f>
        <v>0.62307779377886319</v>
      </c>
      <c r="YX8" s="72" t="str">
        <f>IFERROR(IF(OR($B8="",YX$3=""),"",(_xll.ciqfunctions.udf.CIQ($B8,"IQ_LASTSALEPRICE",YX$4)/_xll.ciqfunctions.udf.CIQ($B8,"IQ_LASTSALEPRICE",YX$2)-1)+(_xll.ciqfunctions.udf.CIQ($B8, "IQ_DPS_1YR_ANN_GROWTH", "IQ_LTM", YX$4)/100)),"")</f>
        <v/>
      </c>
      <c r="YY8" s="72" t="str">
        <f>IFERROR(IF(OR($B8="",YY$3=""),"",(_xll.ciqfunctions.udf.CIQ($B8,"IQ_LASTSALEPRICE",YY$4)/_xll.ciqfunctions.udf.CIQ($B8,"IQ_LASTSALEPRICE",YY$2)-1)+(_xll.ciqfunctions.udf.CIQ($B8, "IQ_DPS_1YR_ANN_GROWTH", "IQ_LTM", YY$4)/100)),"")</f>
        <v/>
      </c>
      <c r="YZ8" s="72" t="str">
        <f>IFERROR(IF(OR($B8="",YZ$3=""),"",(_xll.ciqfunctions.udf.CIQ($B8,"IQ_LASTSALEPRICE",YZ$4)/_xll.ciqfunctions.udf.CIQ($B8,"IQ_LASTSALEPRICE",YZ$2)-1)+(_xll.ciqfunctions.udf.CIQ($B8, "IQ_DPS_1YR_ANN_GROWTH", "IQ_LTM", YZ$4)/100)),"")</f>
        <v/>
      </c>
      <c r="ZA8" s="72" t="str">
        <f>IFERROR(IF(OR($B8="",ZA$3=""),"",(_xll.ciqfunctions.udf.CIQ($B8,"IQ_LASTSALEPRICE",ZA$4)/_xll.ciqfunctions.udf.CIQ($B8,"IQ_LASTSALEPRICE",ZA$2)-1)+(_xll.ciqfunctions.udf.CIQ($B8, "IQ_DPS_1YR_ANN_GROWTH", "IQ_LTM", ZA$4)/100)),"")</f>
        <v/>
      </c>
      <c r="ZB8" s="72" t="str">
        <f>IFERROR(IF(OR($B8="",ZB$3=""),"",(_xll.ciqfunctions.udf.CIQ($B8,"IQ_LASTSALEPRICE",ZB$4)/_xll.ciqfunctions.udf.CIQ($B8,"IQ_LASTSALEPRICE",ZB$2)-1)+(_xll.ciqfunctions.udf.CIQ($B8, "IQ_DPS_1YR_ANN_GROWTH", "IQ_LTM", ZB$4)/100)),"")</f>
        <v/>
      </c>
      <c r="ZC8" s="72" t="str">
        <f>IFERROR(IF(OR($B8="",ZC$3=""),"",(_xll.ciqfunctions.udf.CIQ($B8,"IQ_LASTSALEPRICE",ZC$4)/_xll.ciqfunctions.udf.CIQ($B8,"IQ_LASTSALEPRICE",ZC$2)-1)+(_xll.ciqfunctions.udf.CIQ($B8, "IQ_DPS_1YR_ANN_GROWTH", "IQ_LTM", ZC$4)/100)),"")</f>
        <v/>
      </c>
      <c r="ZD8" s="72" t="str">
        <f>IFERROR(IF(OR($B8="",ZD$3=""),"",(_xll.ciqfunctions.udf.CIQ($B8,"IQ_LASTSALEPRICE",ZD$4)/_xll.ciqfunctions.udf.CIQ($B8,"IQ_LASTSALEPRICE",ZD$2)-1)+(_xll.ciqfunctions.udf.CIQ($B8, "IQ_DPS_1YR_ANN_GROWTH", "IQ_LTM", ZD$4)/100)),"")</f>
        <v/>
      </c>
      <c r="ZE8" s="72" t="str">
        <f>IFERROR(IF(OR($B8="",ZE$3=""),"",(_xll.ciqfunctions.udf.CIQ($B8,"IQ_LASTSALEPRICE",ZE$4)/_xll.ciqfunctions.udf.CIQ($B8,"IQ_LASTSALEPRICE",ZE$2)-1)+(_xll.ciqfunctions.udf.CIQ($B8, "IQ_DPS_1YR_ANN_GROWTH", "IQ_LTM", ZE$4)/100)),"")</f>
        <v/>
      </c>
      <c r="ZF8" s="72" t="str">
        <f>IFERROR(IF(OR($B8="",ZF$3=""),"",(_xll.ciqfunctions.udf.CIQ($B8,"IQ_LASTSALEPRICE",ZF$4)/_xll.ciqfunctions.udf.CIQ($B8,"IQ_LASTSALEPRICE",ZF$2)-1)+(_xll.ciqfunctions.udf.CIQ($B8, "IQ_DPS_1YR_ANN_GROWTH", "IQ_LTM", ZF$4)/100)),"")</f>
        <v/>
      </c>
      <c r="ZG8" s="72" t="str">
        <f>IFERROR(IF(OR($B8="",ZG$3=""),"",(_xll.ciqfunctions.udf.CIQ($B8,"IQ_LASTSALEPRICE",ZG$4)/_xll.ciqfunctions.udf.CIQ($B8,"IQ_LASTSALEPRICE",ZG$2)-1)+(_xll.ciqfunctions.udf.CIQ($B8, "IQ_DPS_1YR_ANN_GROWTH", "IQ_LTM", ZG$4)/100)),"")</f>
        <v/>
      </c>
      <c r="ZH8" s="72" t="str">
        <f>IFERROR(IF(OR($B8="",ZH$3=""),"",(_xll.ciqfunctions.udf.CIQ($B8,"IQ_LASTSALEPRICE",ZH$4)/_xll.ciqfunctions.udf.CIQ($B8,"IQ_LASTSALEPRICE",ZH$2)-1)+(_xll.ciqfunctions.udf.CIQ($B8, "IQ_DPS_1YR_ANN_GROWTH", "IQ_LTM", ZH$4)/100)),"")</f>
        <v/>
      </c>
      <c r="ZI8" s="72" t="str">
        <f>IFERROR(IF(OR($B8="",ZI$3=""),"",(_xll.ciqfunctions.udf.CIQ($B8,"IQ_LASTSALEPRICE",ZI$4)/_xll.ciqfunctions.udf.CIQ($B8,"IQ_LASTSALEPRICE",ZI$2)-1)+(_xll.ciqfunctions.udf.CIQ($B8, "IQ_DPS_1YR_ANN_GROWTH", "IQ_LTM", ZI$4)/100)),"")</f>
        <v/>
      </c>
      <c r="ZJ8" s="72" t="str">
        <f>IFERROR(IF(OR($B8="",ZJ$3=""),"",(_xll.ciqfunctions.udf.CIQ($B8,"IQ_LASTSALEPRICE",ZJ$4)/_xll.ciqfunctions.udf.CIQ($B8,"IQ_LASTSALEPRICE",ZJ$2)-1)+(_xll.ciqfunctions.udf.CIQ($B8, "IQ_DPS_1YR_ANN_GROWTH", "IQ_LTM", ZJ$4)/100)),"")</f>
        <v/>
      </c>
      <c r="ZK8" s="72" t="str">
        <f>IFERROR(IF(OR($B8="",ZK$3=""),"",(_xll.ciqfunctions.udf.CIQ($B8,"IQ_LASTSALEPRICE",ZK$4)/_xll.ciqfunctions.udf.CIQ($B8,"IQ_LASTSALEPRICE",ZK$2)-1)+(_xll.ciqfunctions.udf.CIQ($B8, "IQ_DPS_1YR_ANN_GROWTH", "IQ_LTM", ZK$4)/100)),"")</f>
        <v/>
      </c>
      <c r="ZL8" s="72" t="str">
        <f>IFERROR(IF(OR($B8="",ZL$3=""),"",(_xll.ciqfunctions.udf.CIQ($B8,"IQ_LASTSALEPRICE",ZL$4)/_xll.ciqfunctions.udf.CIQ($B8,"IQ_LASTSALEPRICE",ZL$2)-1)+(_xll.ciqfunctions.udf.CIQ($B8, "IQ_DPS_1YR_ANN_GROWTH", "IQ_LTM", ZL$4)/100)),"")</f>
        <v/>
      </c>
      <c r="ZM8" s="72" t="str">
        <f>IFERROR(IF(OR($B8="",ZM$3=""),"",(_xll.ciqfunctions.udf.CIQ($B8,"IQ_LASTSALEPRICE",ZM$4)/_xll.ciqfunctions.udf.CIQ($B8,"IQ_LASTSALEPRICE",ZM$2)-1)+(_xll.ciqfunctions.udf.CIQ($B8, "IQ_DPS_1YR_ANN_GROWTH", "IQ_LTM", ZM$4)/100)),"")</f>
        <v/>
      </c>
      <c r="ZN8" s="72" t="str">
        <f>IFERROR(IF(OR($B8="",ZN$3=""),"",(_xll.ciqfunctions.udf.CIQ($B8,"IQ_LASTSALEPRICE",ZN$4)/_xll.ciqfunctions.udf.CIQ($B8,"IQ_LASTSALEPRICE",ZN$2)-1)+(_xll.ciqfunctions.udf.CIQ($B8, "IQ_DPS_1YR_ANN_GROWTH", "IQ_LTM", ZN$4)/100)),"")</f>
        <v/>
      </c>
      <c r="ZO8" s="72" t="str">
        <f>IFERROR(IF(OR($B8="",ZO$3=""),"",(_xll.ciqfunctions.udf.CIQ($B8,"IQ_LASTSALEPRICE",ZO$4)/_xll.ciqfunctions.udf.CIQ($B8,"IQ_LASTSALEPRICE",ZO$2)-1)+(_xll.ciqfunctions.udf.CIQ($B8, "IQ_DPS_1YR_ANN_GROWTH", "IQ_LTM", ZO$4)/100)),"")</f>
        <v/>
      </c>
      <c r="ZP8" s="72" t="str">
        <f>IFERROR(IF(OR($B8="",ZP$3=""),"",(_xll.ciqfunctions.udf.CIQ($B8,"IQ_LASTSALEPRICE",ZP$4)/_xll.ciqfunctions.udf.CIQ($B8,"IQ_LASTSALEPRICE",ZP$2)-1)+(_xll.ciqfunctions.udf.CIQ($B8, "IQ_DPS_1YR_ANN_GROWTH", "IQ_LTM", ZP$4)/100)),"")</f>
        <v/>
      </c>
      <c r="ZQ8" s="72">
        <f>IFERROR(IF(OR($B8="",ZQ$3=""),"",_xll.ciqfunctions.udf.CIQ($B8,"IQ_NI",$O$3,ZQ$3, $N$3, , $J$3, $K$3)*2/(_xll.ciqfunctions.udf.CIQ($B8,"IQ_TOTAL_CAP",ZQ$3,$I$3, $N$3, , $J$3, $K$3)+_xll.ciqfunctions.udf.CIQ($B8,"IQ_TOTAL_CAP","IQ_" &amp; LEFT(ZQ$3,2) &amp; "-1", ZQ$3, $N$3, , $J$3, $K$3))),"")</f>
        <v>0.18332936675027003</v>
      </c>
      <c r="ZR8" s="72" t="str">
        <f>IFERROR(IF(OR($B8="",ZR$3=""),"",_xll.ciqfunctions.udf.CIQ($B8,"IQ_NI",$O$3,ZR$3, $N$3, , $J$3, $K$3)*2/(_xll.ciqfunctions.udf.CIQ($B8,"IQ_TOTAL_CAP",ZR$3,$I$3, $N$3, , $J$3, $K$3)+_xll.ciqfunctions.udf.CIQ($B8,"IQ_TOTAL_CAP","IQ_" &amp; LEFT(ZR$3,2) &amp; "-1", ZR$3, $N$3, , $J$3, $K$3))),"")</f>
        <v/>
      </c>
      <c r="ZS8" s="72" t="str">
        <f>IFERROR(IF(OR($B8="",ZS$3=""),"",_xll.ciqfunctions.udf.CIQ($B8,"IQ_NI",$O$3,ZS$3, $N$3, , $J$3, $K$3)*2/(_xll.ciqfunctions.udf.CIQ($B8,"IQ_TOTAL_CAP",ZS$3,$I$3, $N$3, , $J$3, $K$3)+_xll.ciqfunctions.udf.CIQ($B8,"IQ_TOTAL_CAP","IQ_" &amp; LEFT(ZS$3,2) &amp; "-1", ZS$3, $N$3, , $J$3, $K$3))),"")</f>
        <v/>
      </c>
      <c r="ZT8" s="72" t="str">
        <f>IFERROR(IF(OR($B8="",ZT$3=""),"",_xll.ciqfunctions.udf.CIQ($B8,"IQ_NI",$O$3,ZT$3, $N$3, , $J$3, $K$3)*2/(_xll.ciqfunctions.udf.CIQ($B8,"IQ_TOTAL_CAP",ZT$3,$I$3, $N$3, , $J$3, $K$3)+_xll.ciqfunctions.udf.CIQ($B8,"IQ_TOTAL_CAP","IQ_" &amp; LEFT(ZT$3,2) &amp; "-1", ZT$3, $N$3, , $J$3, $K$3))),"")</f>
        <v/>
      </c>
      <c r="ZU8" s="72" t="str">
        <f>IFERROR(IF(OR($B8="",ZU$3=""),"",_xll.ciqfunctions.udf.CIQ($B8,"IQ_NI",$O$3,ZU$3, $N$3, , $J$3, $K$3)*2/(_xll.ciqfunctions.udf.CIQ($B8,"IQ_TOTAL_CAP",ZU$3,$I$3, $N$3, , $J$3, $K$3)+_xll.ciqfunctions.udf.CIQ($B8,"IQ_TOTAL_CAP","IQ_" &amp; LEFT(ZU$3,2) &amp; "-1", ZU$3, $N$3, , $J$3, $K$3))),"")</f>
        <v/>
      </c>
      <c r="ZV8" s="72" t="str">
        <f>IFERROR(IF(OR($B8="",ZV$3=""),"",_xll.ciqfunctions.udf.CIQ($B8,"IQ_NI",$O$3,ZV$3, $N$3, , $J$3, $K$3)*2/(_xll.ciqfunctions.udf.CIQ($B8,"IQ_TOTAL_CAP",ZV$3,$I$3, $N$3, , $J$3, $K$3)+_xll.ciqfunctions.udf.CIQ($B8,"IQ_TOTAL_CAP","IQ_" &amp; LEFT(ZV$3,2) &amp; "-1", ZV$3, $N$3, , $J$3, $K$3))),"")</f>
        <v/>
      </c>
      <c r="ZW8" s="72" t="str">
        <f>IFERROR(IF(OR($B8="",ZW$3=""),"",_xll.ciqfunctions.udf.CIQ($B8,"IQ_NI",$O$3,ZW$3, $N$3, , $J$3, $K$3)*2/(_xll.ciqfunctions.udf.CIQ($B8,"IQ_TOTAL_CAP",ZW$3,$I$3, $N$3, , $J$3, $K$3)+_xll.ciqfunctions.udf.CIQ($B8,"IQ_TOTAL_CAP","IQ_" &amp; LEFT(ZW$3,2) &amp; "-1", ZW$3, $N$3, , $J$3, $K$3))),"")</f>
        <v/>
      </c>
      <c r="ZX8" s="72" t="str">
        <f>IFERROR(IF(OR($B8="",ZX$3=""),"",_xll.ciqfunctions.udf.CIQ($B8,"IQ_NI",$O$3,ZX$3, $N$3, , $J$3, $K$3)*2/(_xll.ciqfunctions.udf.CIQ($B8,"IQ_TOTAL_CAP",ZX$3,$I$3, $N$3, , $J$3, $K$3)+_xll.ciqfunctions.udf.CIQ($B8,"IQ_TOTAL_CAP","IQ_" &amp; LEFT(ZX$3,2) &amp; "-1", ZX$3, $N$3, , $J$3, $K$3))),"")</f>
        <v/>
      </c>
      <c r="ZY8" s="72" t="str">
        <f>IFERROR(IF(OR($B8="",ZY$3=""),"",_xll.ciqfunctions.udf.CIQ($B8,"IQ_NI",$O$3,ZY$3, $N$3, , $J$3, $K$3)*2/(_xll.ciqfunctions.udf.CIQ($B8,"IQ_TOTAL_CAP",ZY$3,$I$3, $N$3, , $J$3, $K$3)+_xll.ciqfunctions.udf.CIQ($B8,"IQ_TOTAL_CAP","IQ_" &amp; LEFT(ZY$3,2) &amp; "-1", ZY$3, $N$3, , $J$3, $K$3))),"")</f>
        <v/>
      </c>
      <c r="ZZ8" s="72" t="str">
        <f>IFERROR(IF(OR($B8="",ZZ$3=""),"",_xll.ciqfunctions.udf.CIQ($B8,"IQ_NI",$O$3,ZZ$3, $N$3, , $J$3, $K$3)*2/(_xll.ciqfunctions.udf.CIQ($B8,"IQ_TOTAL_CAP",ZZ$3,$I$3, $N$3, , $J$3, $K$3)+_xll.ciqfunctions.udf.CIQ($B8,"IQ_TOTAL_CAP","IQ_" &amp; LEFT(ZZ$3,2) &amp; "-1", ZZ$3, $N$3, , $J$3, $K$3))),"")</f>
        <v/>
      </c>
      <c r="AAA8" s="72" t="str">
        <f>IFERROR(IF(OR($B8="",AAA$3=""),"",_xll.ciqfunctions.udf.CIQ($B8,"IQ_NI",$O$3,AAA$3, $N$3, , $J$3, $K$3)*2/(_xll.ciqfunctions.udf.CIQ($B8,"IQ_TOTAL_CAP",AAA$3,$I$3, $N$3, , $J$3, $K$3)+_xll.ciqfunctions.udf.CIQ($B8,"IQ_TOTAL_CAP","IQ_" &amp; LEFT(AAA$3,2) &amp; "-1", AAA$3, $N$3, , $J$3, $K$3))),"")</f>
        <v/>
      </c>
      <c r="AAB8" s="72" t="str">
        <f>IFERROR(IF(OR($B8="",AAB$3=""),"",_xll.ciqfunctions.udf.CIQ($B8,"IQ_NI",$O$3,AAB$3, $N$3, , $J$3, $K$3)*2/(_xll.ciqfunctions.udf.CIQ($B8,"IQ_TOTAL_CAP",AAB$3,$I$3, $N$3, , $J$3, $K$3)+_xll.ciqfunctions.udf.CIQ($B8,"IQ_TOTAL_CAP","IQ_" &amp; LEFT(AAB$3,2) &amp; "-1", AAB$3, $N$3, , $J$3, $K$3))),"")</f>
        <v/>
      </c>
      <c r="AAC8" s="72" t="str">
        <f>IFERROR(IF(OR($B8="",AAC$3=""),"",_xll.ciqfunctions.udf.CIQ($B8,"IQ_NI",$O$3,AAC$3, $N$3, , $J$3, $K$3)*2/(_xll.ciqfunctions.udf.CIQ($B8,"IQ_TOTAL_CAP",AAC$3,$I$3, $N$3, , $J$3, $K$3)+_xll.ciqfunctions.udf.CIQ($B8,"IQ_TOTAL_CAP","IQ_" &amp; LEFT(AAC$3,2) &amp; "-1", AAC$3, $N$3, , $J$3, $K$3))),"")</f>
        <v/>
      </c>
      <c r="AAD8" s="72" t="str">
        <f>IFERROR(IF(OR($B8="",AAD$3=""),"",_xll.ciqfunctions.udf.CIQ($B8,"IQ_NI",$O$3,AAD$3, $N$3, , $J$3, $K$3)*2/(_xll.ciqfunctions.udf.CIQ($B8,"IQ_TOTAL_CAP",AAD$3,$I$3, $N$3, , $J$3, $K$3)+_xll.ciqfunctions.udf.CIQ($B8,"IQ_TOTAL_CAP","IQ_" &amp; LEFT(AAD$3,2) &amp; "-1", AAD$3, $N$3, , $J$3, $K$3))),"")</f>
        <v/>
      </c>
      <c r="AAE8" s="72" t="str">
        <f>IFERROR(IF(OR($B8="",AAE$3=""),"",_xll.ciqfunctions.udf.CIQ($B8,"IQ_NI",$O$3,AAE$3, $N$3, , $J$3, $K$3)*2/(_xll.ciqfunctions.udf.CIQ($B8,"IQ_TOTAL_CAP",AAE$3,$I$3, $N$3, , $J$3, $K$3)+_xll.ciqfunctions.udf.CIQ($B8,"IQ_TOTAL_CAP","IQ_" &amp; LEFT(AAE$3,2) &amp; "-1", AAE$3, $N$3, , $J$3, $K$3))),"")</f>
        <v/>
      </c>
      <c r="AAF8" s="72" t="str">
        <f>IFERROR(IF(OR($B8="",AAF$3=""),"",_xll.ciqfunctions.udf.CIQ($B8,"IQ_NI",$O$3,AAF$3, $N$3, , $J$3, $K$3)*2/(_xll.ciqfunctions.udf.CIQ($B8,"IQ_TOTAL_CAP",AAF$3,$I$3, $N$3, , $J$3, $K$3)+_xll.ciqfunctions.udf.CIQ($B8,"IQ_TOTAL_CAP","IQ_" &amp; LEFT(AAF$3,2) &amp; "-1", AAF$3, $N$3, , $J$3, $K$3))),"")</f>
        <v/>
      </c>
      <c r="AAG8" s="72" t="str">
        <f>IFERROR(IF(OR($B8="",AAG$3=""),"",_xll.ciqfunctions.udf.CIQ($B8,"IQ_NI",$O$3,AAG$3, $N$3, , $J$3, $K$3)*2/(_xll.ciqfunctions.udf.CIQ($B8,"IQ_TOTAL_CAP",AAG$3,$I$3, $N$3, , $J$3, $K$3)+_xll.ciqfunctions.udf.CIQ($B8,"IQ_TOTAL_CAP","IQ_" &amp; LEFT(AAG$3,2) &amp; "-1", AAG$3, $N$3, , $J$3, $K$3))),"")</f>
        <v/>
      </c>
      <c r="AAH8" s="72" t="str">
        <f>IFERROR(IF(OR($B8="",AAH$3=""),"",_xll.ciqfunctions.udf.CIQ($B8,"IQ_NI",$O$3,AAH$3, $N$3, , $J$3, $K$3)*2/(_xll.ciqfunctions.udf.CIQ($B8,"IQ_TOTAL_CAP",AAH$3,$I$3, $N$3, , $J$3, $K$3)+_xll.ciqfunctions.udf.CIQ($B8,"IQ_TOTAL_CAP","IQ_" &amp; LEFT(AAH$3,2) &amp; "-1", AAH$3, $N$3, , $J$3, $K$3))),"")</f>
        <v/>
      </c>
      <c r="AAI8" s="72" t="str">
        <f>IFERROR(IF(OR($B8="",AAI$3=""),"",_xll.ciqfunctions.udf.CIQ($B8,"IQ_NI",$O$3,AAI$3, $N$3, , $J$3, $K$3)*2/(_xll.ciqfunctions.udf.CIQ($B8,"IQ_TOTAL_CAP",AAI$3,$I$3, $N$3, , $J$3, $K$3)+_xll.ciqfunctions.udf.CIQ($B8,"IQ_TOTAL_CAP","IQ_" &amp; LEFT(AAI$3,2) &amp; "-1", AAI$3, $N$3, , $J$3, $K$3))),"")</f>
        <v/>
      </c>
      <c r="AAJ8" s="72" t="str">
        <f>IFERROR(IF(OR($B8="",AAJ$3=""),"",_xll.ciqfunctions.udf.CIQ($B8,"IQ_NI",$O$3,AAJ$3, $N$3, , $J$3, $K$3)*2/(_xll.ciqfunctions.udf.CIQ($B8,"IQ_TOTAL_CAP",AAJ$3,$I$3, $N$3, , $J$3, $K$3)+_xll.ciqfunctions.udf.CIQ($B8,"IQ_TOTAL_CAP","IQ_" &amp; LEFT(AAJ$3,2) &amp; "-1", AAJ$3, $N$3, , $J$3, $K$3))),"")</f>
        <v/>
      </c>
      <c r="AAK8" s="628">
        <f>IFERROR(IF(OR($B8="",AAK$4=""),"",_xll.ciqfunctions.udf.CIQ($B8,"IQ_TEV",AAK$4)/_xll.ciqfunctions.udf.CIQ($B8,"IQ_TOTAL_CAP",ZQ$3,$I$3, $N$3, , $J$3, $K$3)),"")</f>
        <v>8.5492915095311695</v>
      </c>
      <c r="AAL8" s="628" t="str">
        <f>IFERROR(IF(OR($B8="",AAL$4=""),"",_xll.ciqfunctions.udf.CIQ($B8,"IQ_TEV",AAL$4)/_xll.ciqfunctions.udf.CIQ($B8,"IQ_TOTAL_CAP",ZR$3,$I$3, $N$3, , $J$3, $K$3)),"")</f>
        <v/>
      </c>
      <c r="AAM8" s="628" t="str">
        <f>IFERROR(IF(OR($B8="",AAM$4=""),"",_xll.ciqfunctions.udf.CIQ($B8,"IQ_TEV",AAM$4)/_xll.ciqfunctions.udf.CIQ($B8,"IQ_TOTAL_CAP",ZS$3,$I$3, $N$3, , $J$3, $K$3)),"")</f>
        <v/>
      </c>
      <c r="AAN8" s="628" t="str">
        <f>IFERROR(IF(OR($B8="",AAN$4=""),"",_xll.ciqfunctions.udf.CIQ($B8,"IQ_TEV",AAN$4)/_xll.ciqfunctions.udf.CIQ($B8,"IQ_TOTAL_CAP",ZT$3,$I$3, $N$3, , $J$3, $K$3)),"")</f>
        <v/>
      </c>
      <c r="AAO8" s="628" t="str">
        <f>IFERROR(IF(OR($B8="",AAO$4=""),"",_xll.ciqfunctions.udf.CIQ($B8,"IQ_TEV",AAO$4)/_xll.ciqfunctions.udf.CIQ($B8,"IQ_TOTAL_CAP",ZU$3,$I$3, $N$3, , $J$3, $K$3)),"")</f>
        <v/>
      </c>
      <c r="AAP8" s="628" t="str">
        <f>IFERROR(IF(OR($B8="",AAP$4=""),"",_xll.ciqfunctions.udf.CIQ($B8,"IQ_TEV",AAP$4)/_xll.ciqfunctions.udf.CIQ($B8,"IQ_TOTAL_CAP",ZV$3,$I$3, $N$3, , $J$3, $K$3)),"")</f>
        <v/>
      </c>
      <c r="AAQ8" s="628" t="str">
        <f>IFERROR(IF(OR($B8="",AAQ$4=""),"",_xll.ciqfunctions.udf.CIQ($B8,"IQ_TEV",AAQ$4)/_xll.ciqfunctions.udf.CIQ($B8,"IQ_TOTAL_CAP",ZW$3,$I$3, $N$3, , $J$3, $K$3)),"")</f>
        <v/>
      </c>
      <c r="AAR8" s="628" t="str">
        <f>IFERROR(IF(OR($B8="",AAR$4=""),"",_xll.ciqfunctions.udf.CIQ($B8,"IQ_TEV",AAR$4)/_xll.ciqfunctions.udf.CIQ($B8,"IQ_TOTAL_CAP",ZX$3,$I$3, $N$3, , $J$3, $K$3)),"")</f>
        <v/>
      </c>
      <c r="AAS8" s="628" t="str">
        <f>IFERROR(IF(OR($B8="",AAS$4=""),"",_xll.ciqfunctions.udf.CIQ($B8,"IQ_TEV",AAS$4)/_xll.ciqfunctions.udf.CIQ($B8,"IQ_TOTAL_CAP",ZY$3,$I$3, $N$3, , $J$3, $K$3)),"")</f>
        <v/>
      </c>
      <c r="AAT8" s="628" t="str">
        <f>IFERROR(IF(OR($B8="",AAT$4=""),"",_xll.ciqfunctions.udf.CIQ($B8,"IQ_TEV",AAT$4)/_xll.ciqfunctions.udf.CIQ($B8,"IQ_TOTAL_CAP",ZZ$3,$I$3, $N$3, , $J$3, $K$3)),"")</f>
        <v/>
      </c>
      <c r="AAU8" s="628" t="str">
        <f>IFERROR(IF(OR($B8="",AAU$4=""),"",_xll.ciqfunctions.udf.CIQ($B8,"IQ_TEV",AAU$4)/_xll.ciqfunctions.udf.CIQ($B8,"IQ_TOTAL_CAP",AAA$3,$I$3, $N$3, , $J$3, $K$3)),"")</f>
        <v/>
      </c>
      <c r="AAV8" s="628" t="str">
        <f>IFERROR(IF(OR($B8="",AAV$4=""),"",_xll.ciqfunctions.udf.CIQ($B8,"IQ_TEV",AAV$4)/_xll.ciqfunctions.udf.CIQ($B8,"IQ_TOTAL_CAP",AAB$3,$I$3, $N$3, , $J$3, $K$3)),"")</f>
        <v/>
      </c>
      <c r="AAW8" s="628" t="str">
        <f>IFERROR(IF(OR($B8="",AAW$4=""),"",_xll.ciqfunctions.udf.CIQ($B8,"IQ_TEV",AAW$4)/_xll.ciqfunctions.udf.CIQ($B8,"IQ_TOTAL_CAP",AAC$3,$I$3, $N$3, , $J$3, $K$3)),"")</f>
        <v/>
      </c>
      <c r="AAX8" s="628" t="str">
        <f>IFERROR(IF(OR($B8="",AAX$4=""),"",_xll.ciqfunctions.udf.CIQ($B8,"IQ_TEV",AAX$4)/_xll.ciqfunctions.udf.CIQ($B8,"IQ_TOTAL_CAP",AAD$3,$I$3, $N$3, , $J$3, $K$3)),"")</f>
        <v/>
      </c>
      <c r="AAY8" s="628" t="str">
        <f>IFERROR(IF(OR($B8="",AAY$4=""),"",_xll.ciqfunctions.udf.CIQ($B8,"IQ_TEV",AAY$4)/_xll.ciqfunctions.udf.CIQ($B8,"IQ_TOTAL_CAP",AAE$3,$I$3, $N$3, , $J$3, $K$3)),"")</f>
        <v/>
      </c>
      <c r="AAZ8" s="628" t="str">
        <f>IFERROR(IF(OR($B8="",AAZ$4=""),"",_xll.ciqfunctions.udf.CIQ($B8,"IQ_TEV",AAZ$4)/_xll.ciqfunctions.udf.CIQ($B8,"IQ_TOTAL_CAP",AAF$3,$I$3, $N$3, , $J$3, $K$3)),"")</f>
        <v/>
      </c>
      <c r="ABA8" s="628" t="str">
        <f>IFERROR(IF(OR($B8="",ABA$4=""),"",_xll.ciqfunctions.udf.CIQ($B8,"IQ_TEV",ABA$4)/_xll.ciqfunctions.udf.CIQ($B8,"IQ_TOTAL_CAP",AAG$3,$I$3, $N$3, , $J$3, $K$3)),"")</f>
        <v/>
      </c>
      <c r="ABB8" s="628" t="str">
        <f>IFERROR(IF(OR($B8="",ABB$4=""),"",_xll.ciqfunctions.udf.CIQ($B8,"IQ_TEV",ABB$4)/_xll.ciqfunctions.udf.CIQ($B8,"IQ_TOTAL_CAP",AAH$3,$I$3, $N$3, , $J$3, $K$3)),"")</f>
        <v/>
      </c>
      <c r="ABC8" s="628" t="str">
        <f>IFERROR(IF(OR($B8="",ABC$4=""),"",_xll.ciqfunctions.udf.CIQ($B8,"IQ_TEV",ABC$4)/_xll.ciqfunctions.udf.CIQ($B8,"IQ_TOTAL_CAP",AAI$3,$I$3, $N$3, , $J$3, $K$3)),"")</f>
        <v/>
      </c>
      <c r="ABD8" s="628" t="str">
        <f>IFERROR(IF(OR($B8="",ABD$4=""),"",_xll.ciqfunctions.udf.CIQ($B8,"IQ_TEV",ABD$4)/_xll.ciqfunctions.udf.CIQ($B8,"IQ_TOTAL_CAP",AAJ$3,$I$3, $N$3, , $J$3, $K$3)),"")</f>
        <v/>
      </c>
      <c r="ABE8" s="72">
        <f t="shared" si="363"/>
        <v>0.93601453124732248</v>
      </c>
      <c r="ABF8" s="72" t="str">
        <f t="shared" si="364"/>
        <v/>
      </c>
      <c r="ABG8" s="72" t="str">
        <f t="shared" si="365"/>
        <v/>
      </c>
      <c r="ABH8" s="72" t="str">
        <f t="shared" si="366"/>
        <v/>
      </c>
      <c r="ABI8" s="72" t="str">
        <f t="shared" si="367"/>
        <v/>
      </c>
      <c r="ABJ8" s="72" t="str">
        <f t="shared" si="368"/>
        <v/>
      </c>
      <c r="ABK8" s="72" t="str">
        <f t="shared" si="369"/>
        <v/>
      </c>
      <c r="ABL8" s="72" t="str">
        <f t="shared" si="370"/>
        <v/>
      </c>
      <c r="ABM8" s="72" t="str">
        <f t="shared" si="371"/>
        <v/>
      </c>
      <c r="ABN8" s="72" t="str">
        <f t="shared" si="372"/>
        <v/>
      </c>
      <c r="ABO8" s="72" t="str">
        <f t="shared" si="373"/>
        <v/>
      </c>
      <c r="ABP8" s="72" t="str">
        <f t="shared" si="374"/>
        <v/>
      </c>
      <c r="ABQ8" s="72" t="str">
        <f t="shared" si="375"/>
        <v/>
      </c>
      <c r="ABR8" s="72" t="str">
        <f t="shared" si="376"/>
        <v/>
      </c>
      <c r="ABS8" s="72" t="str">
        <f t="shared" si="377"/>
        <v/>
      </c>
      <c r="ABT8" s="72" t="str">
        <f t="shared" si="378"/>
        <v/>
      </c>
      <c r="ABU8" s="72" t="str">
        <f t="shared" si="379"/>
        <v/>
      </c>
      <c r="ABV8" s="72" t="str">
        <f t="shared" si="380"/>
        <v/>
      </c>
      <c r="ABW8" s="72" t="str">
        <f t="shared" si="381"/>
        <v/>
      </c>
      <c r="ABX8" s="72" t="str">
        <f t="shared" si="382"/>
        <v/>
      </c>
      <c r="ABY8" s="89">
        <f>IFERROR(IF(OR($B8="",ABY$3=""),"",IF(NOT(ISNUMBER(_xll.ciqfunctions.udf.CIQ($B8, "IQ_FIXED_ASSET_TURNS", ABY$3, $E$3, $N$3, , $J$3, $K$3))),"",_xll.ciqfunctions.udf.CIQ($B8, "IQ_FIXED_ASSET_TURNS", ABY$3, $E$3, $N$3, , $J$3, $K$3))),"")</f>
        <v>7.8315599999999996</v>
      </c>
      <c r="ABZ8" s="90" t="str">
        <f>IFERROR(IF(OR($B8="",ABZ$3=""),"",IF(NOT(ISNUMBER(_xll.ciqfunctions.udf.CIQ($B8, "IQ_FIXED_ASSET_TURNS", ABZ$3, $E$3, $N$3, , $J$3, $K$3))),"",_xll.ciqfunctions.udf.CIQ($B8, "IQ_FIXED_ASSET_TURNS", ABZ$3, $E$3, $N$3, , $J$3, $K$3))),"")</f>
        <v/>
      </c>
      <c r="ACA8" s="90" t="str">
        <f>IFERROR(IF(OR($B8="",ACA$3=""),"",IF(NOT(ISNUMBER(_xll.ciqfunctions.udf.CIQ($B8, "IQ_FIXED_ASSET_TURNS", ACA$3, $E$3, $N$3, , $J$3, $K$3))),"",_xll.ciqfunctions.udf.CIQ($B8, "IQ_FIXED_ASSET_TURNS", ACA$3, $E$3, $N$3, , $J$3, $K$3))),"")</f>
        <v/>
      </c>
      <c r="ACB8" s="90" t="str">
        <f>IFERROR(IF(OR($B8="",ACB$3=""),"",IF(NOT(ISNUMBER(_xll.ciqfunctions.udf.CIQ($B8, "IQ_FIXED_ASSET_TURNS", ACB$3, $E$3, $N$3, , $J$3, $K$3))),"",_xll.ciqfunctions.udf.CIQ($B8, "IQ_FIXED_ASSET_TURNS", ACB$3, $E$3, $N$3, , $J$3, $K$3))),"")</f>
        <v/>
      </c>
      <c r="ACC8" s="90" t="str">
        <f>IFERROR(IF(OR($B8="",ACC$3=""),"",IF(NOT(ISNUMBER(_xll.ciqfunctions.udf.CIQ($B8, "IQ_FIXED_ASSET_TURNS", ACC$3, $E$3, $N$3, , $J$3, $K$3))),"",_xll.ciqfunctions.udf.CIQ($B8, "IQ_FIXED_ASSET_TURNS", ACC$3, $E$3, $N$3, , $J$3, $K$3))),"")</f>
        <v/>
      </c>
      <c r="ACD8" s="90" t="str">
        <f>IFERROR(IF(OR($B8="",ACD$3=""),"",IF(NOT(ISNUMBER(_xll.ciqfunctions.udf.CIQ($B8, "IQ_FIXED_ASSET_TURNS", ACD$3, $E$3, $N$3, , $J$3, $K$3))),"",_xll.ciqfunctions.udf.CIQ($B8, "IQ_FIXED_ASSET_TURNS", ACD$3, $E$3, $N$3, , $J$3, $K$3))),"")</f>
        <v/>
      </c>
      <c r="ACE8" s="90" t="str">
        <f>IFERROR(IF(OR($B8="",ACE$3=""),"",IF(NOT(ISNUMBER(_xll.ciqfunctions.udf.CIQ($B8, "IQ_FIXED_ASSET_TURNS", ACE$3, $E$3, $N$3, , $J$3, $K$3))),"",_xll.ciqfunctions.udf.CIQ($B8, "IQ_FIXED_ASSET_TURNS", ACE$3, $E$3, $N$3, , $J$3, $K$3))),"")</f>
        <v/>
      </c>
      <c r="ACF8" s="90" t="str">
        <f>IFERROR(IF(OR($B8="",ACF$3=""),"",IF(NOT(ISNUMBER(_xll.ciqfunctions.udf.CIQ($B8, "IQ_FIXED_ASSET_TURNS", ACF$3, $E$3, $N$3, , $J$3, $K$3))),"",_xll.ciqfunctions.udf.CIQ($B8, "IQ_FIXED_ASSET_TURNS", ACF$3, $E$3, $N$3, , $J$3, $K$3))),"")</f>
        <v/>
      </c>
      <c r="ACG8" s="90" t="str">
        <f>IFERROR(IF(OR($B8="",ACG$3=""),"",IF(NOT(ISNUMBER(_xll.ciqfunctions.udf.CIQ($B8, "IQ_FIXED_ASSET_TURNS", ACG$3, $E$3, $N$3, , $J$3, $K$3))),"",_xll.ciqfunctions.udf.CIQ($B8, "IQ_FIXED_ASSET_TURNS", ACG$3, $E$3, $N$3, , $J$3, $K$3))),"")</f>
        <v/>
      </c>
      <c r="ACH8" s="90" t="str">
        <f>IFERROR(IF(OR($B8="",ACH$3=""),"",IF(NOT(ISNUMBER(_xll.ciqfunctions.udf.CIQ($B8, "IQ_FIXED_ASSET_TURNS", ACH$3, $E$3, $N$3, , $J$3, $K$3))),"",_xll.ciqfunctions.udf.CIQ($B8, "IQ_FIXED_ASSET_TURNS", ACH$3, $E$3, $N$3, , $J$3, $K$3))),"")</f>
        <v/>
      </c>
      <c r="ACI8" s="90" t="str">
        <f>IFERROR(IF(OR($B8="",ACI$3=""),"",IF(NOT(ISNUMBER(_xll.ciqfunctions.udf.CIQ($B8, "IQ_FIXED_ASSET_TURNS", ACI$3, $E$3, $N$3, , $J$3, $K$3))),"",_xll.ciqfunctions.udf.CIQ($B8, "IQ_FIXED_ASSET_TURNS", ACI$3, $E$3, $N$3, , $J$3, $K$3))),"")</f>
        <v/>
      </c>
      <c r="ACJ8" s="90" t="str">
        <f>IFERROR(IF(OR($B8="",ACJ$3=""),"",IF(NOT(ISNUMBER(_xll.ciqfunctions.udf.CIQ($B8, "IQ_FIXED_ASSET_TURNS", ACJ$3, $E$3, $N$3, , $J$3, $K$3))),"",_xll.ciqfunctions.udf.CIQ($B8, "IQ_FIXED_ASSET_TURNS", ACJ$3, $E$3, $N$3, , $J$3, $K$3))),"")</f>
        <v/>
      </c>
      <c r="ACK8" s="90" t="str">
        <f>IFERROR(IF(OR($B8="",ACK$3=""),"",IF(NOT(ISNUMBER(_xll.ciqfunctions.udf.CIQ($B8, "IQ_FIXED_ASSET_TURNS", ACK$3, $E$3, $N$3, , $J$3, $K$3))),"",_xll.ciqfunctions.udf.CIQ($B8, "IQ_FIXED_ASSET_TURNS", ACK$3, $E$3, $N$3, , $J$3, $K$3))),"")</f>
        <v/>
      </c>
      <c r="ACL8" s="90" t="str">
        <f>IFERROR(IF(OR($B8="",ACL$3=""),"",IF(NOT(ISNUMBER(_xll.ciqfunctions.udf.CIQ($B8, "IQ_FIXED_ASSET_TURNS", ACL$3, $E$3, $N$3, , $J$3, $K$3))),"",_xll.ciqfunctions.udf.CIQ($B8, "IQ_FIXED_ASSET_TURNS", ACL$3, $E$3, $N$3, , $J$3, $K$3))),"")</f>
        <v/>
      </c>
      <c r="ACM8" s="90" t="str">
        <f>IFERROR(IF(OR($B8="",ACM$3=""),"",IF(NOT(ISNUMBER(_xll.ciqfunctions.udf.CIQ($B8, "IQ_FIXED_ASSET_TURNS", ACM$3, $E$3, $N$3, , $J$3, $K$3))),"",_xll.ciqfunctions.udf.CIQ($B8, "IQ_FIXED_ASSET_TURNS", ACM$3, $E$3, $N$3, , $J$3, $K$3))),"")</f>
        <v/>
      </c>
      <c r="ACN8" s="90" t="str">
        <f>IFERROR(IF(OR($B8="",ACN$3=""),"",IF(NOT(ISNUMBER(_xll.ciqfunctions.udf.CIQ($B8, "IQ_FIXED_ASSET_TURNS", ACN$3, $E$3, $N$3, , $J$3, $K$3))),"",_xll.ciqfunctions.udf.CIQ($B8, "IQ_FIXED_ASSET_TURNS", ACN$3, $E$3, $N$3, , $J$3, $K$3))),"")</f>
        <v/>
      </c>
      <c r="ACO8" s="90" t="str">
        <f>IFERROR(IF(OR($B8="",ACO$3=""),"",IF(NOT(ISNUMBER(_xll.ciqfunctions.udf.CIQ($B8, "IQ_FIXED_ASSET_TURNS", ACO$3, $E$3, $N$3, , $J$3, $K$3))),"",_xll.ciqfunctions.udf.CIQ($B8, "IQ_FIXED_ASSET_TURNS", ACO$3, $E$3, $N$3, , $J$3, $K$3))),"")</f>
        <v/>
      </c>
      <c r="ACP8" s="90" t="str">
        <f>IFERROR(IF(OR($B8="",ACP$3=""),"",IF(NOT(ISNUMBER(_xll.ciqfunctions.udf.CIQ($B8, "IQ_FIXED_ASSET_TURNS", ACP$3, $E$3, $N$3, , $J$3, $K$3))),"",_xll.ciqfunctions.udf.CIQ($B8, "IQ_FIXED_ASSET_TURNS", ACP$3, $E$3, $N$3, , $J$3, $K$3))),"")</f>
        <v/>
      </c>
      <c r="ACQ8" s="90" t="str">
        <f>IFERROR(IF(OR($B8="",ACQ$3=""),"",IF(NOT(ISNUMBER(_xll.ciqfunctions.udf.CIQ($B8, "IQ_FIXED_ASSET_TURNS", ACQ$3, $E$3, $N$3, , $J$3, $K$3))),"",_xll.ciqfunctions.udf.CIQ($B8, "IQ_FIXED_ASSET_TURNS", ACQ$3, $E$3, $N$3, , $J$3, $K$3))),"")</f>
        <v/>
      </c>
      <c r="ACR8" s="91" t="str">
        <f>IFERROR(IF(OR($B8="",ACR$3=""),"",IF(NOT(ISNUMBER(_xll.ciqfunctions.udf.CIQ($B8, "IQ_FIXED_ASSET_TURNS", ACR$3, $E$3, $N$3, , $J$3, $K$3))),"",_xll.ciqfunctions.udf.CIQ($B8, "IQ_FIXED_ASSET_TURNS", ACR$3, $E$3, $N$3, , $J$3, $K$3))),"")</f>
        <v/>
      </c>
    </row>
    <row r="9" spans="1:772" ht="15" customHeight="1" x14ac:dyDescent="0.2">
      <c r="A9" s="267" t="str">
        <f>IF(B9="","",_xll.ciqfunctions.udf.CIQ($B9,"IQ_COMPANY_NAME"))</f>
        <v/>
      </c>
      <c r="B9" s="81" t="str">
        <f>IF(Input!B21="","",Input!B21)</f>
        <v/>
      </c>
      <c r="C9" s="81">
        <f>Input!E21</f>
        <v>0</v>
      </c>
      <c r="D9" s="67" t="str">
        <f>IF(B9="","",_xll.ciqfunctions.udf.CIQ($B9,"IQ_PRIMARY_INDUSTRY"))</f>
        <v/>
      </c>
      <c r="E9" s="68" t="str">
        <f>IFERROR(IF(B9="","",IF(NOT(ISNUMBER(_xll.ciqfunctions.udf.CIQ($B9,"IQ_LASTSALEPRICE",$E$3))),"",_xll.ciqfunctions.udf.CIQ($B9,"IQ_LASTSALEPRICE",$E$3))),"")</f>
        <v/>
      </c>
      <c r="F9" s="82" t="str">
        <f>IFERROR(IF(B9="","",IF(NOT(ISNUMBER(_xll.ciqfunctions.udf.CIQ($B9,"IQ_LASTSALEPRICE",$E$4))),"",_xll.ciqfunctions.udf.CIQ($B9,"IQ_LASTSALEPRICE",$E$4))),"")</f>
        <v/>
      </c>
      <c r="G9" s="83" t="str">
        <f t="shared" si="383"/>
        <v/>
      </c>
      <c r="H9" s="83" t="str">
        <f>IFERROR(IF(B9="","",IF(NOT(ISNUMBER(_xll.ciqfunctions.udf.CIQ($B9,"IQ_TOTAL_REV_1YR_ANN_GROWTH",$O$3, $I$3, $N$3, , $J$3, $K$3))),"",_xll.ciqfunctions.udf.CIQ($B9,"IQ_TOTAL_REV_1YR_ANN_GROWTH",$O$3, $I$3, $N$3, , $J$3, $K$3))/100),"")</f>
        <v/>
      </c>
      <c r="I9" s="83" t="str">
        <f>IFERROR(IF(B9="","",IF(NOT(ISNUMBER(_xll.ciqfunctions.udf.CIQ($B9,"IQ_GROSS_MARGIN",$O$3, $I$3, $N$3, , $J$3, $K$3))),"",_xll.ciqfunctions.udf.CIQ($B9,"IQ_GROSS_MARGIN",$O$3, $I$3, $N$3, , $J$3, $K$3))/100),"")</f>
        <v/>
      </c>
      <c r="J9" s="83" t="str">
        <f>IFERROR(IF(B9="","",IF(NOT(ISNUMBER(_xll.ciqfunctions.udf.CIQ($B9,"IQ_EBITDA_MARGIN",$O$3, $I$3, $N$3, , $J$3, $K$3))),"",_xll.ciqfunctions.udf.CIQ($B9,"IQ_EBITDA_MARGIN",$O$3, $I$3, $N$3, , $J$3, $K$3))/100),"")</f>
        <v/>
      </c>
      <c r="K9" s="83" t="str">
        <f>IFERROR(IF(A9="","",IF(NOT(ISNUMBER(_xll.ciqfunctions.udf.CIQ($B9,"IQ_EBIT_MARGIN",$O$3, $I$3, $N$3, , $J$3, $K$3))),"",_xll.ciqfunctions.udf.CIQ($B9,"IQ_EBIT_MARGIN",$O$3, $I$3, $N$3, , $J$3, $K$3))/100),"")</f>
        <v/>
      </c>
      <c r="L9" s="83" t="str">
        <f>IFERROR(IF(B9="","",IF(NOT(ISNUMBER(_xll.ciqfunctions.udf.CIQ($B9,"IQ_NI_MARGIN",$O$3, $I$3, $N$3, , $J$3, $K$3))),"",_xll.ciqfunctions.udf.CIQ($B9,"IQ_NI_MARGIN",$O$3, $I$3, $N$3, , $J$3, $K$3))/100),"")</f>
        <v/>
      </c>
      <c r="M9" s="83" t="str">
        <f>IFERROR(IF($B9="","",IF(AND(N$4="Yes",NOT(ISNUMBER(_xll.ciqfunctions.udf.CIQ($B9,"IQ_COGS",$O$3, $I$3, $N$3, , $J$3, $K$3))),NOT(ISNUMBER(_xll.ciqfunctions.udf.CIQ($B9,"IQ_TOTAL_REVENUE",$O$3, $I$3, $N$3, , $J$3, $K$3)))),"",_xll.ciqfunctions.udf.CIQ($B9,"IQ_COGS",$O$3, $I$3, $N$3, , $J$3, $K$3)/_xll.ciqfunctions.udf.CIQ($B9,"IQ_TOTAL_REVENUE",$O$3, $I$3, $N$3, , $J$3, $K$3))),"")</f>
        <v/>
      </c>
      <c r="N9" s="83" t="str">
        <f>IFERROR(IF($B9="","",(IF(NOT(ISNUMBER(_xll.ciqfunctions.udf.CIQ($B9,"IQ_TOTAL_REVENUE",$O$3, $I$3, $N$3, , $J$3, $K$3))),"",_xll.ciqfunctions.udf.CIQ($B9,"IQ_TOTAL_REVENUE",$O$3, $I$3, $N$3, , $J$3, $K$3))-IF(NOT(ISNUMBER(_xll.ciqfunctions.udf.CIQ($B9,"IQ_COGS",$O$3, $I$3, $N$3, , $J$3, $K$3))),"",_xll.ciqfunctions.udf.CIQ($B9,"IQ_COGS",$O$3, $I$3, $N$3, , $J$3, $K$3))-IF(NOT(ISNUMBER(_xll.ciqfunctions.udf.CIQ($B9,"IQ_EBITDA",$O$3, $I$3, $N$3, , $J$3, $K$3))),"",_xll.ciqfunctions.udf.CIQ($B9,"IQ_EBITDA",$O$3, $I$3, $N$3, , $J$3, $K$3)))/IF(NOT(ISNUMBER(_xll.ciqfunctions.udf.CIQ($B9,"IQ_TOTAL_REVENUE",$O$3, $I$3, $N$3, , $J$3, $K$3))),"",_xll.ciqfunctions.udf.CIQ($B9,"IQ_TOTAL_REVENUE",$O$3, $I$3, $N$3, , $J$3, $K$3))),"")</f>
        <v/>
      </c>
      <c r="O9" s="83" t="str">
        <f>IFERROR(IF($B9="","",IF(AND(P$4="Yes",NOT(ISNUMBER(_xll.ciqfunctions.udf.CIQ($B9,"IQ_SGA_MARGIN",$O$3, $I$3, $N$3, , $J$3, $K$3)))),"",_xll.ciqfunctions.udf.CIQ($B9,"IQ_SGA_MARGIN",$O$3, $I$3, $N$3, , $J$3, $K$3)/100)),"")</f>
        <v/>
      </c>
      <c r="P9" s="83" t="str">
        <f>IFERROR(IF($B9="","",IF(AND(Q$4="No",OR(NOT(ISNUMBER(_xll.ciqfunctions.udf.CIQ($B9, "IQ_RD_EXP",$O$3, $I$3, $N$3, , $J$3, $K$3))),_xll.ciqfunctions.udf.CIQ($B9, "IQ_RD_EXP",$O$3, $I$3, $N$3, , $J$3, $K$3)&lt;0,NOT(ISNUMBER(_xll.ciqfunctions.udf.CIQ($B9,"IQ_TOTAL_REV",$O$3, $I$3, $N$3, , $J$3, $K$3))))),"",_xll.ciqfunctions.udf.CIQ($B9, "IQ_RD_EXP",$O$3, $I$3, $N$3, , $J$3, $K$3)/_xll.ciqfunctions.udf.CIQ($B9,"IQ_TOTAL_REV",$O$3, $I$3, $N$3, , $J$3, $K$3))),"")</f>
        <v/>
      </c>
      <c r="Q9" s="84" t="str">
        <f>IFERROR(IF($B9="","",IF(AND(R$4="No",OR(NOT(ISNUMBER(_xll.ciqfunctions.udf.CIQ($B9,"IQ_AR",$O$3, $I$3, $N$3, , $J$3, $K$3,,,,"USD"))),_xll.ciqfunctions.udf.CIQ($B9,"IQ_AR",$O$3, $I$3, $N$3, , $J$3, $K$3,,,,"USD")&lt;0,NOT(ISNUMBER(_xll.ciqfunctions.udf.CIQ($B9,"IQ_REVENUE",$O$3, $I$3, $N$3, , $J$3, $K$3))))),"",0.5*(_xll.ciqfunctions.udf.CIQ($B9,"IQ_AR",$O$3, $I$3, $N$3, , $J$3, $K$3)+_xll.ciqfunctions.udf.CIQ($B9,"IQ_AR",$O$3&amp;"-4", $I$3, $N$3, , $J$3, $K$3))/_xll.ciqfunctions.udf.CIQ($B9,"IQ_REVENUE",$O$3, $I$3, $N$3, , $J$3, $K$3)*365)),"")</f>
        <v/>
      </c>
      <c r="R9" s="84" t="str">
        <f>IFERROR(IF($B9="","",IF(AND(S$4="No",OR(NOT(ISNUMBER(_xll.ciqfunctions.udf.CIQ($B9,"IQ_INVENTORY",$O$3, $I$3, $N$3, , $J$3, $K$3))),_xll.ciqfunctions.udf.CIQ($B9,"IQ_INVENTORY",$O$3, $I$3, $N$3, , $J$3, $K$3)&lt;0,NOT(ISNUMBER(_xll.ciqfunctions.udf.CIQ($B9,"IQ_COGS",$O$3, $I$3, $N$3, , $J$3, $K$3))),_xll.ciqfunctions.udf.CIQ($B9,"IQ_COGS",$O$3, $I$3, $N$3, , $J$3, $K$3)&lt;0)),"",0.5*(_xll.ciqfunctions.udf.CIQ($B9,"IQ_INVENTORY",$O$3, $I$3, $N$3, , $J$3, $K$3)+_xll.ciqfunctions.udf.CIQ($B9,"IQ_INVENTORY",$O$3&amp;"-4", $I$3, $N$3, , $J$3, $K$3))/_xll.ciqfunctions.udf.CIQ($B9,"IQ_COGS",$O$3, $I$3, $N$3, , $J$3, $K$3)*365)),"")</f>
        <v/>
      </c>
      <c r="S9" s="84" t="str">
        <f>IFERROR(IF(B9="","",IF($B9="","",IF(AND(T$4="No",OR(NOT(ISNUMBER(_xll.ciqfunctions.udf.CIQ($B9,"IQ_AP",$O$3, $I$3, $N$3, , $J$3, $K$3))),_xll.ciqfunctions.udf.CIQ($B9,"IQ_AP",$O$3, $I$3, $N$3, , $J$3, $K$3)&lt;0,NOT(ISNUMBER(_xll.ciqfunctions.udf.CIQ($B9,"IQ_COGS",$O$3, $I$3, $N$3, , $J$3, $K$3))),_xll.ciqfunctions.udf.CIQ($B9,"IQ_COGS",$O$3, $I$3, $N$3, , $J$3, $K$3)&lt;0)),"",0.5*(_xll.ciqfunctions.udf.CIQ($B9,"IQ_AP",$O$3, $I$3, $N$3, , $J$3, $K$3)+_xll.ciqfunctions.udf.CIQ($B9,"IQ_AP",$O$3&amp;"-4", $I$3, $N$3, , $J$3, $K$3))/_xll.ciqfunctions.udf.CIQ($B9,"IQ_COGS",$O$3, $I$3, $N$3, , $J$3, $K$3)*365))),"")</f>
        <v/>
      </c>
      <c r="T9" s="84" t="str">
        <f t="shared" si="342"/>
        <v/>
      </c>
      <c r="U9" s="83" t="str">
        <f>IFERROR(IF(OR(NOT(ISNUMBER(_xll.ciqfunctions.udf.CIQ($B9,"IQ_NI",$O$3, $I$3, $N$3, , $J$3, $K$3))),NOT(ISNUMBER(_xll.ciqfunctions.udf.CIQ($B9,"IQ_TOTAL_ASSETS",$O$3, $I$3, $N$3, , $J$3, $K$3)))),"",_xll.ciqfunctions.udf.CIQ($B9,"IQ_NI",$O$3, $I$3, $N$3, , $J$3, $K$3)/(0.5*(_xll.ciqfunctions.udf.CIQ($B9,"IQ_TOTAL_ASSETS",$O$3, $I$3, $N$3, , $J$3, $K$3)+_xll.ciqfunctions.udf.CIQ($B9,"IQ_TOTAL_ASSETS",$O$3&amp;"-4", $I$3, $N$3, , $J$3, $K$3)))),"")</f>
        <v/>
      </c>
      <c r="V9" s="83" t="str">
        <f>IFERROR(_xll.ciqfunctions.udf.CIQ($B9,"IQ_NI",$O$3, $I$3, $N$3, , $J$3, $K$3)*2/(_xll.ciqfunctions.udf.CIQ($B9,"IQ_TOTAL_ASSETS",$O$3, $I$3, $N$3, , $J$3, $K$3)+_xll.ciqfunctions.udf.CIQ($B9,"IQ_TOTAL_ASSETS",$O$3 &amp; "-4", $I$3, $N$3, , $J$3, $K$3)-_xll.ciqfunctions.udf.CIQ($B9,"IQ_TOTAL_CL",$O$3, $I$3, $N$3, , $J$3, $K$3)-_xll.ciqfunctions.udf.CIQ($B9,"IQ_TOTAL_CL",$O$3 &amp; "-4", $I$3, $N$3, , $J$3, $K$3)),"")</f>
        <v/>
      </c>
      <c r="W9" s="83" t="str">
        <f>IFERROR(IF(OR(NOT(ISNUMBER(_xll.ciqfunctions.udf.CIQ($B9,"IQ_NI",$O$3, $I$3, $N$3, , $J$3, $K$3))),NOT(ISNUMBER(_xll.ciqfunctions.udf.CIQ($B9,"IQ_TOTAL_EQUITY",$O$3, $I$3, $N$3, , $J$3, $K$3)))),"",_xll.ciqfunctions.udf.CIQ($B9,"IQ_NI",$O$3, $I$3, $N$3, , $J$3, $K$3)/(0.5*(_xll.ciqfunctions.udf.CIQ($B9,"IQ_TOTAL_EQUITY",$O$3, $I$3, $N$3, , $J$3, $K$3)+_xll.ciqfunctions.udf.CIQ($B9,"IQ_TOTAL_EQUITY",$O$3&amp;"-4", $I$3, $N$3, , $J$3, $K$3)))),"")</f>
        <v/>
      </c>
      <c r="X9" s="1026" t="str">
        <f>IFERROR(IF($B9="","",IF(NOT(ISNUMBER(_xll.ciqfunctions.udf.CIQ($B9,"IQ_ASSET_TURNS",$O$3, $I$3, $N$3, , $J$3, $K$3))),"",_xll.ciqfunctions.udf.CIQ($B9,"IQ_ASSET_TURNS",$O$3, $I$3, $N$3, , $J$3, $K$3))),"")</f>
        <v/>
      </c>
      <c r="Y9" s="1026" t="str">
        <f>IFERROR(IF($B9="","",IF(NOT(ISNUMBER(_xll.ciqfunctions.udf.CIQ($B9,"IQ_FIXED_ASSET_TURNS",$O$3, $I$3, $N$3, , $J$3, $K$3))),"",_xll.ciqfunctions.udf.CIQ($B9,"IQ_FIXED_ASSET_TURNS",$O$3, $I$3, $N$3, , $J$3, $K$3))),"")</f>
        <v/>
      </c>
      <c r="Z9" s="83" t="str">
        <f>IFERROR(IF(B9="","",IF(OR(NOT(ISNUMBER(_xll.ciqfunctions.udf.CIQ($B9,"IQ_CASH_OPER",$O$3, $I$3, $N$3, , $J$3, $K$3))),NOT(ISNUMBER(_xll.ciqfunctions.udf.CIQ($B9,"IQ_TOTAL_REV",$O$3, $I$3, $N$3, , $J$3, $K$3)))),"",_xll.ciqfunctions.udf.CIQ($B9,"IQ_CASH_OPER",$O$3, $I$3, $N$3, , $J$3, $K$3)/_xll.ciqfunctions.udf.CIQ($B9,"IQ_TOTAL_REV",$O$3, $I$3, $N$3, , $J$3, $K$3))),"")</f>
        <v/>
      </c>
      <c r="AA9" s="84" t="str">
        <f>IFERROR(IF(B9="","",IF(OR(NOT(ISNUMBER(_xll.ciqfunctions.udf.CIQ($B9,"IQ_TOTAL_ASSETS",IQ_LTM, $I$3, $N$3, , $J$3, $K$3))),NOT(ISNUMBER(_xll.ciqfunctions.udf.CIQ($B9,"IQ_TOTAL_COMMON_EQUITY",IQ_LTM, $I$3, $N$3, , $J$3, $K$3)))),"",_xll.ciqfunctions.udf.CIQ($B9,"IQ_TOTAL_ASSETS",IQ_LTM, $I$3, $N$3, , $J$3, $K$3)/_xll.ciqfunctions.udf.CIQ($B9,"IQ_TOTAL_COMMON_EQUITY",IQ_LTM, $I$3, $N$3, , $J$3, $K$3))),"")</f>
        <v/>
      </c>
      <c r="AB9" s="83" t="str">
        <f>IFERROR(IF(B9="","",IF(OR(NOT(ISNUMBER(_xll.ciqfunctions.udf.CIQ($B9,"IQ_EBT",$O$3, $I$3, $N$3, , $J$3, $K$3))),NOT(ISNUMBER(_xll.ciqfunctions.udf.CIQ($B9,"IQ_TOTAL_REV",$O$3, $I$3, $N$3, , $J$3, $K$3)))),"",_xll.ciqfunctions.udf.CIQ($B9,"IQ_EBT",$O$3, $I$3, $N$3, , $J$3, $K$3)/_xll.ciqfunctions.udf.CIQ($B9,"IQ_TOTAL_REV",$O$3, $I$3, $N$3, , $J$3, $K$3))),"")</f>
        <v/>
      </c>
      <c r="AC9" s="83" t="str">
        <f>IFERROR(IF(E9="","",IF(OR(NOT(ISNUMBER(_xll.ciqfunctions.udf.CIQ($B9,"IQ_INC_TAX",$O$3, $I$3, $N$3, , $J$3, $K$3))),NOT(ISNUMBER(_xll.ciqfunctions.udf.CIQ($B9,"IQ_EBT",$O$3, $I$3, $N$3, , $J$3, $K$3))),_xll.ciqfunctions.udf.CIQ($B9,"IQ_INC_TAX",$O$3, $I$3, $N$3, , $J$3, $K$3)&lt;0),"",_xll.ciqfunctions.udf.CIQ($B9,"IQ_INC_TAX",$O$3, $I$3, $N$3, , $J$3, $K$3)/ABS(_xll.ciqfunctions.udf.CIQ($B9,"IQ_EBT",$O$3, $I$3, $N$3, , $J$3, $K$3)))),"")</f>
        <v/>
      </c>
      <c r="AD9" s="84" t="str">
        <f>IFERROR(IF(B9="","",IF(NOT(ISNUMBER(_xll.ciqfunctions.udf.CIQ($B9,"IQ_Z_SCORE",$O$3, $I$3, $N$3, , $J$3, $K$3))),"",_xll.ciqfunctions.udf.CIQ($B9,"IQ_Z_SCORE",$O$3, $I$3, $N$3, , $J$3, $K$3))),"")</f>
        <v/>
      </c>
      <c r="AE9" s="85" t="str">
        <f>IF($A9="","",IF(NOT(ISNUMBER(_xll.ciqfunctions.udf.CIQ($B9, "IQ_BETA_5YR", $E$3))),"",_xll.ciqfunctions.udf.CIQ($B9, "IQ_BETA_5YR", $E$3)))</f>
        <v/>
      </c>
      <c r="AF9" s="19"/>
      <c r="AG9" s="274" t="str">
        <f>IFERROR(IF(OR($B9="",AG$3=""),"",IF(NOT(ISNUMBER(_xll.ciqfunctions.udf.CIQ($B9, "IQ_GROSS_MARGIN", AG$3, $I$3, $N$3, , $J$3, $K$3))),"",_xll.ciqfunctions.udf.CIQ($B9, "IQ_GROSS_MARGIN", AG$3, $I$3, $N$3, , $J$3, $K$3)/100)),"")</f>
        <v/>
      </c>
      <c r="AH9" s="87" t="str">
        <f>IFERROR(IF(OR($B9="",AH$3=""),"",IF(NOT(ISNUMBER(_xll.ciqfunctions.udf.CIQ($B9, "IQ_GROSS_MARGIN", AH$3, $I$3, $N$3, , $J$3, $K$3))),"",_xll.ciqfunctions.udf.CIQ($B9, "IQ_GROSS_MARGIN", AH$3, $I$3, $N$3, , $J$3, $K$3)/100)),"")</f>
        <v/>
      </c>
      <c r="AI9" s="87" t="str">
        <f>IFERROR(IF(OR($B9="",AI$3=""),"",IF(NOT(ISNUMBER(_xll.ciqfunctions.udf.CIQ($B9, "IQ_GROSS_MARGIN", AI$3, $I$3, $N$3, , $J$3, $K$3))),"",_xll.ciqfunctions.udf.CIQ($B9, "IQ_GROSS_MARGIN", AI$3, $I$3, $N$3, , $J$3, $K$3)/100)),"")</f>
        <v/>
      </c>
      <c r="AJ9" s="87" t="str">
        <f>IFERROR(IF(OR($B9="",AJ$3=""),"",IF(NOT(ISNUMBER(_xll.ciqfunctions.udf.CIQ($B9, "IQ_GROSS_MARGIN", AJ$3, $I$3, $N$3, , $J$3, $K$3))),"",_xll.ciqfunctions.udf.CIQ($B9, "IQ_GROSS_MARGIN", AJ$3, $I$3, $N$3, , $J$3, $K$3)/100)),"")</f>
        <v/>
      </c>
      <c r="AK9" s="87" t="str">
        <f>IFERROR(IF(OR($B9="",AK$3=""),"",IF(NOT(ISNUMBER(_xll.ciqfunctions.udf.CIQ($B9, "IQ_GROSS_MARGIN", AK$3, $I$3, $N$3, , $J$3, $K$3))),"",_xll.ciqfunctions.udf.CIQ($B9, "IQ_GROSS_MARGIN", AK$3, $I$3, $N$3, , $J$3, $K$3)/100)),"")</f>
        <v/>
      </c>
      <c r="AL9" s="87" t="str">
        <f>IFERROR(IF(OR($B9="",AL$3=""),"",IF(NOT(ISNUMBER(_xll.ciqfunctions.udf.CIQ($B9, "IQ_GROSS_MARGIN", AL$3, $I$3, $N$3, , $J$3, $K$3))),"",_xll.ciqfunctions.udf.CIQ($B9, "IQ_GROSS_MARGIN", AL$3, $I$3, $N$3, , $J$3, $K$3)/100)),"")</f>
        <v/>
      </c>
      <c r="AM9" s="87" t="str">
        <f>IFERROR(IF(OR($B9="",AM$3=""),"",IF(NOT(ISNUMBER(_xll.ciqfunctions.udf.CIQ($B9, "IQ_GROSS_MARGIN", AM$3, $I$3, $N$3, , $J$3, $K$3))),"",_xll.ciqfunctions.udf.CIQ($B9, "IQ_GROSS_MARGIN", AM$3, $I$3, $N$3, , $J$3, $K$3)/100)),"")</f>
        <v/>
      </c>
      <c r="AN9" s="87" t="str">
        <f>IFERROR(IF(OR($B9="",AN$3=""),"",IF(NOT(ISNUMBER(_xll.ciqfunctions.udf.CIQ($B9, "IQ_GROSS_MARGIN", AN$3, $I$3, $N$3, , $J$3, $K$3))),"",_xll.ciqfunctions.udf.CIQ($B9, "IQ_GROSS_MARGIN", AN$3, $I$3, $N$3, , $J$3, $K$3)/100)),"")</f>
        <v/>
      </c>
      <c r="AO9" s="87" t="str">
        <f>IFERROR(IF(OR($B9="",AO$3=""),"",IF(NOT(ISNUMBER(_xll.ciqfunctions.udf.CIQ($B9, "IQ_GROSS_MARGIN", AO$3, $I$3, $N$3, , $J$3, $K$3))),"",_xll.ciqfunctions.udf.CIQ($B9, "IQ_GROSS_MARGIN", AO$3, $I$3, $N$3, , $J$3, $K$3)/100)),"")</f>
        <v/>
      </c>
      <c r="AP9" s="87" t="str">
        <f>IFERROR(IF(OR($B9="",AP$3=""),"",IF(NOT(ISNUMBER(_xll.ciqfunctions.udf.CIQ($B9, "IQ_GROSS_MARGIN", AP$3, $I$3, $N$3, , $J$3, $K$3))),"",_xll.ciqfunctions.udf.CIQ($B9, "IQ_GROSS_MARGIN", AP$3, $I$3, $N$3, , $J$3, $K$3)/100)),"")</f>
        <v/>
      </c>
      <c r="AQ9" s="87" t="str">
        <f>IFERROR(IF(OR($B9="",AQ$3=""),"",IF(NOT(ISNUMBER(_xll.ciqfunctions.udf.CIQ($B9, "IQ_GROSS_MARGIN", AQ$3, $I$3, $N$3, , $J$3, $K$3))),"",_xll.ciqfunctions.udf.CIQ($B9, "IQ_GROSS_MARGIN", AQ$3, $I$3, $N$3, , $J$3, $K$3)/100)),"")</f>
        <v/>
      </c>
      <c r="AR9" s="87" t="str">
        <f>IFERROR(IF(OR($B9="",AR$3=""),"",IF(NOT(ISNUMBER(_xll.ciqfunctions.udf.CIQ($B9, "IQ_GROSS_MARGIN", AR$3, $I$3, $N$3, , $J$3, $K$3))),"",_xll.ciqfunctions.udf.CIQ($B9, "IQ_GROSS_MARGIN", AR$3, $I$3, $N$3, , $J$3, $K$3)/100)),"")</f>
        <v/>
      </c>
      <c r="AS9" s="87" t="str">
        <f>IFERROR(IF(OR($B9="",AS$3=""),"",IF(NOT(ISNUMBER(_xll.ciqfunctions.udf.CIQ($B9, "IQ_GROSS_MARGIN", AS$3, $I$3, $N$3, , $J$3, $K$3))),"",_xll.ciqfunctions.udf.CIQ($B9, "IQ_GROSS_MARGIN", AS$3, $I$3, $N$3, , $J$3, $K$3)/100)),"")</f>
        <v/>
      </c>
      <c r="AT9" s="87" t="str">
        <f>IFERROR(IF(OR($B9="",AT$3=""),"",IF(NOT(ISNUMBER(_xll.ciqfunctions.udf.CIQ($B9, "IQ_GROSS_MARGIN", AT$3, $I$3, $N$3, , $J$3, $K$3))),"",_xll.ciqfunctions.udf.CIQ($B9, "IQ_GROSS_MARGIN", AT$3, $I$3, $N$3, , $J$3, $K$3)/100)),"")</f>
        <v/>
      </c>
      <c r="AU9" s="87" t="str">
        <f>IFERROR(IF(OR($B9="",AU$3=""),"",IF(NOT(ISNUMBER(_xll.ciqfunctions.udf.CIQ($B9, "IQ_GROSS_MARGIN", AU$3, $I$3, $N$3, , $J$3, $K$3))),"",_xll.ciqfunctions.udf.CIQ($B9, "IQ_GROSS_MARGIN", AU$3, $I$3, $N$3, , $J$3, $K$3)/100)),"")</f>
        <v/>
      </c>
      <c r="AV9" s="87" t="str">
        <f>IFERROR(IF(OR($B9="",AV$3=""),"",IF(NOT(ISNUMBER(_xll.ciqfunctions.udf.CIQ($B9, "IQ_GROSS_MARGIN", AV$3, $I$3, $N$3, , $J$3, $K$3))),"",_xll.ciqfunctions.udf.CIQ($B9, "IQ_GROSS_MARGIN", AV$3, $I$3, $N$3, , $J$3, $K$3)/100)),"")</f>
        <v/>
      </c>
      <c r="AW9" s="87" t="str">
        <f>IFERROR(IF(OR($B9="",AW$3=""),"",IF(NOT(ISNUMBER(_xll.ciqfunctions.udf.CIQ($B9, "IQ_GROSS_MARGIN", AW$3, $I$3, $N$3, , $J$3, $K$3))),"",_xll.ciqfunctions.udf.CIQ($B9, "IQ_GROSS_MARGIN", AW$3, $I$3, $N$3, , $J$3, $K$3)/100)),"")</f>
        <v/>
      </c>
      <c r="AX9" s="87" t="str">
        <f>IFERROR(IF(OR($B9="",AX$3=""),"",IF(NOT(ISNUMBER(_xll.ciqfunctions.udf.CIQ($B9, "IQ_GROSS_MARGIN", AX$3, $I$3, $N$3, , $J$3, $K$3))),"",_xll.ciqfunctions.udf.CIQ($B9, "IQ_GROSS_MARGIN", AX$3, $I$3, $N$3, , $J$3, $K$3)/100)),"")</f>
        <v/>
      </c>
      <c r="AY9" s="87" t="str">
        <f>IFERROR(IF(OR($B9="",AY$3=""),"",IF(NOT(ISNUMBER(_xll.ciqfunctions.udf.CIQ($B9, "IQ_GROSS_MARGIN", AY$3, $I$3, $N$3, , $J$3, $K$3))),"",_xll.ciqfunctions.udf.CIQ($B9, "IQ_GROSS_MARGIN", AY$3, $I$3, $N$3, , $J$3, $K$3)/100)),"")</f>
        <v/>
      </c>
      <c r="AZ9" s="88" t="str">
        <f>IFERROR(IF(OR($B9="",AZ$3=""),"",IF(NOT(ISNUMBER(_xll.ciqfunctions.udf.CIQ($B9, "IQ_GROSS_MARGIN", AZ$3, $I$3, $N$3, , $J$3, $K$3))),"",_xll.ciqfunctions.udf.CIQ($B9, "IQ_GROSS_MARGIN", AZ$3, $I$3, $N$3, , $J$3, $K$3)/100)),"")</f>
        <v/>
      </c>
      <c r="BA9" s="73" t="str">
        <f>IFERROR(IF(OR($B9="",BA$3=""),"",IF(NOT(ISNUMBER(_xll.ciqfunctions.udf.CIQ($B9, "IQ_EBITDA_MARGIN", BA$3, $I$3, $N$3, , $J$3, $K$3))),"",_xll.ciqfunctions.udf.CIQ($B9, "IQ_EBITDA_MARGIN", BA$3, $I$3, $N$3, , $J$3, $K$3)/100)),"")</f>
        <v/>
      </c>
      <c r="BB9" s="73" t="str">
        <f>IFERROR(IF(OR($B9="",BB$3=""),"",IF(NOT(ISNUMBER(_xll.ciqfunctions.udf.CIQ($B9, "IQ_EBITDA_MARGIN", BB$3, $I$3, $N$3, , $J$3, $K$3))),"",_xll.ciqfunctions.udf.CIQ($B9, "IQ_EBITDA_MARGIN", BB$3, $I$3, $N$3, , $J$3, $K$3)/100)),"")</f>
        <v/>
      </c>
      <c r="BC9" s="73" t="str">
        <f>IFERROR(IF(OR($B9="",BC$3=""),"",IF(NOT(ISNUMBER(_xll.ciqfunctions.udf.CIQ($B9, "IQ_EBITDA_MARGIN", BC$3, $I$3, $N$3, , $J$3, $K$3))),"",_xll.ciqfunctions.udf.CIQ($B9, "IQ_EBITDA_MARGIN", BC$3, $I$3, $N$3, , $J$3, $K$3)/100)),"")</f>
        <v/>
      </c>
      <c r="BD9" s="73" t="str">
        <f>IFERROR(IF(OR($B9="",BD$3=""),"",IF(NOT(ISNUMBER(_xll.ciqfunctions.udf.CIQ($B9, "IQ_EBITDA_MARGIN", BD$3, $I$3, $N$3, , $J$3, $K$3))),"",_xll.ciqfunctions.udf.CIQ($B9, "IQ_EBITDA_MARGIN", BD$3, $I$3, $N$3, , $J$3, $K$3)/100)),"")</f>
        <v/>
      </c>
      <c r="BE9" s="73" t="str">
        <f>IFERROR(IF(OR($B9="",BE$3=""),"",IF(NOT(ISNUMBER(_xll.ciqfunctions.udf.CIQ($B9, "IQ_EBITDA_MARGIN", BE$3, $I$3, $N$3, , $J$3, $K$3))),"",_xll.ciqfunctions.udf.CIQ($B9, "IQ_EBITDA_MARGIN", BE$3, $I$3, $N$3, , $J$3, $K$3)/100)),"")</f>
        <v/>
      </c>
      <c r="BF9" s="73" t="str">
        <f>IFERROR(IF(OR($B9="",BF$3=""),"",IF(NOT(ISNUMBER(_xll.ciqfunctions.udf.CIQ($B9, "IQ_EBITDA_MARGIN", BF$3, $I$3, $N$3, , $J$3, $K$3))),"",_xll.ciqfunctions.udf.CIQ($B9, "IQ_EBITDA_MARGIN", BF$3, $I$3, $N$3, , $J$3, $K$3)/100)),"")</f>
        <v/>
      </c>
      <c r="BG9" s="73" t="str">
        <f>IFERROR(IF(OR($B9="",BG$3=""),"",IF(NOT(ISNUMBER(_xll.ciqfunctions.udf.CIQ($B9, "IQ_EBITDA_MARGIN", BG$3, $I$3, $N$3, , $J$3, $K$3))),"",_xll.ciqfunctions.udf.CIQ($B9, "IQ_EBITDA_MARGIN", BG$3, $I$3, $N$3, , $J$3, $K$3)/100)),"")</f>
        <v/>
      </c>
      <c r="BH9" s="73" t="str">
        <f>IFERROR(IF(OR($B9="",BH$3=""),"",IF(NOT(ISNUMBER(_xll.ciqfunctions.udf.CIQ($B9, "IQ_EBITDA_MARGIN", BH$3, $I$3, $N$3, , $J$3, $K$3))),"",_xll.ciqfunctions.udf.CIQ($B9, "IQ_EBITDA_MARGIN", BH$3, $I$3, $N$3, , $J$3, $K$3)/100)),"")</f>
        <v/>
      </c>
      <c r="BI9" s="73" t="str">
        <f>IFERROR(IF(OR($B9="",BI$3=""),"",IF(NOT(ISNUMBER(_xll.ciqfunctions.udf.CIQ($B9, "IQ_EBITDA_MARGIN", BI$3, $I$3, $N$3, , $J$3, $K$3))),"",_xll.ciqfunctions.udf.CIQ($B9, "IQ_EBITDA_MARGIN", BI$3, $I$3, $N$3, , $J$3, $K$3)/100)),"")</f>
        <v/>
      </c>
      <c r="BJ9" s="73" t="str">
        <f>IFERROR(IF(OR($B9="",BJ$3=""),"",IF(NOT(ISNUMBER(_xll.ciqfunctions.udf.CIQ($B9, "IQ_EBITDA_MARGIN", BJ$3, $I$3, $N$3, , $J$3, $K$3))),"",_xll.ciqfunctions.udf.CIQ($B9, "IQ_EBITDA_MARGIN", BJ$3, $I$3, $N$3, , $J$3, $K$3)/100)),"")</f>
        <v/>
      </c>
      <c r="BK9" s="73" t="str">
        <f>IFERROR(IF(OR($B9="",BK$3=""),"",IF(NOT(ISNUMBER(_xll.ciqfunctions.udf.CIQ($B9, "IQ_EBITDA_MARGIN", BK$3, $I$3, $N$3, , $J$3, $K$3))),"",_xll.ciqfunctions.udf.CIQ($B9, "IQ_EBITDA_MARGIN", BK$3, $I$3, $N$3, , $J$3, $K$3)/100)),"")</f>
        <v/>
      </c>
      <c r="BL9" s="73" t="str">
        <f>IFERROR(IF(OR($B9="",BL$3=""),"",IF(NOT(ISNUMBER(_xll.ciqfunctions.udf.CIQ($B9, "IQ_EBITDA_MARGIN", BL$3, $I$3, $N$3, , $J$3, $K$3))),"",_xll.ciqfunctions.udf.CIQ($B9, "IQ_EBITDA_MARGIN", BL$3, $I$3, $N$3, , $J$3, $K$3)/100)),"")</f>
        <v/>
      </c>
      <c r="BM9" s="73" t="str">
        <f>IFERROR(IF(OR($B9="",BM$3=""),"",IF(NOT(ISNUMBER(_xll.ciqfunctions.udf.CIQ($B9, "IQ_EBITDA_MARGIN", BM$3, $I$3, $N$3, , $J$3, $K$3))),"",_xll.ciqfunctions.udf.CIQ($B9, "IQ_EBITDA_MARGIN", BM$3, $I$3, $N$3, , $J$3, $K$3)/100)),"")</f>
        <v/>
      </c>
      <c r="BN9" s="73" t="str">
        <f>IFERROR(IF(OR($B9="",BN$3=""),"",IF(NOT(ISNUMBER(_xll.ciqfunctions.udf.CIQ($B9, "IQ_EBITDA_MARGIN", BN$3, $I$3, $N$3, , $J$3, $K$3))),"",_xll.ciqfunctions.udf.CIQ($B9, "IQ_EBITDA_MARGIN", BN$3, $I$3, $N$3, , $J$3, $K$3)/100)),"")</f>
        <v/>
      </c>
      <c r="BO9" s="73" t="str">
        <f>IFERROR(IF(OR($B9="",BO$3=""),"",IF(NOT(ISNUMBER(_xll.ciqfunctions.udf.CIQ($B9, "IQ_EBITDA_MARGIN", BO$3, $I$3, $N$3, , $J$3, $K$3))),"",_xll.ciqfunctions.udf.CIQ($B9, "IQ_EBITDA_MARGIN", BO$3, $I$3, $N$3, , $J$3, $K$3)/100)),"")</f>
        <v/>
      </c>
      <c r="BP9" s="73" t="str">
        <f>IFERROR(IF(OR($B9="",BP$3=""),"",IF(NOT(ISNUMBER(_xll.ciqfunctions.udf.CIQ($B9, "IQ_EBITDA_MARGIN", BP$3, $I$3, $N$3, , $J$3, $K$3))),"",_xll.ciqfunctions.udf.CIQ($B9, "IQ_EBITDA_MARGIN", BP$3, $I$3, $N$3, , $J$3, $K$3)/100)),"")</f>
        <v/>
      </c>
      <c r="BQ9" s="73" t="str">
        <f>IFERROR(IF(OR($B9="",BQ$3=""),"",IF(NOT(ISNUMBER(_xll.ciqfunctions.udf.CIQ($B9, "IQ_EBITDA_MARGIN", BQ$3, $I$3, $N$3, , $J$3, $K$3))),"",_xll.ciqfunctions.udf.CIQ($B9, "IQ_EBITDA_MARGIN", BQ$3, $I$3, $N$3, , $J$3, $K$3)/100)),"")</f>
        <v/>
      </c>
      <c r="BR9" s="73" t="str">
        <f>IFERROR(IF(OR($B9="",BR$3=""),"",IF(NOT(ISNUMBER(_xll.ciqfunctions.udf.CIQ($B9, "IQ_EBITDA_MARGIN", BR$3, $I$3, $N$3, , $J$3, $K$3))),"",_xll.ciqfunctions.udf.CIQ($B9, "IQ_EBITDA_MARGIN", BR$3, $I$3, $N$3, , $J$3, $K$3)/100)),"")</f>
        <v/>
      </c>
      <c r="BS9" s="73" t="str">
        <f>IFERROR(IF(OR($B9="",BS$3=""),"",IF(NOT(ISNUMBER(_xll.ciqfunctions.udf.CIQ($B9, "IQ_EBITDA_MARGIN", BS$3, $I$3, $N$3, , $J$3, $K$3))),"",_xll.ciqfunctions.udf.CIQ($B9, "IQ_EBITDA_MARGIN", BS$3, $I$3, $N$3, , $J$3, $K$3)/100)),"")</f>
        <v/>
      </c>
      <c r="BT9" s="73" t="str">
        <f>IFERROR(IF(OR($B9="",BT$3=""),"",IF(NOT(ISNUMBER(_xll.ciqfunctions.udf.CIQ($B9, "IQ_EBITDA_MARGIN", BT$3, $I$3, $N$3, , $J$3, $K$3))),"",_xll.ciqfunctions.udf.CIQ($B9, "IQ_EBITDA_MARGIN", BT$3, $I$3, $N$3, , $J$3, $K$3)/100)),"")</f>
        <v/>
      </c>
      <c r="BU9" s="86" t="str">
        <f>IFERROR(IF(OR($B9="",BU$3=""),"",IF(NOT(ISNUMBER(_xll.ciqfunctions.udf.CIQ($B9, "IQ_EBIT_MARGIN", BU$3, $I$3, $N$3, , $J$3, $K$3))),"",_xll.ciqfunctions.udf.CIQ($B9, "IQ_EBIT_MARGIN", BU$3, $I$3, $N$3, , $J$3, $K$3)/100)),"")</f>
        <v/>
      </c>
      <c r="BV9" s="87" t="str">
        <f>IFERROR(IF(OR($B9="",BV$3=""),"",IF(NOT(ISNUMBER(_xll.ciqfunctions.udf.CIQ($B9, "IQ_EBIT_MARGIN", BV$3, $I$3, $N$3, , $J$3, $K$3))),"",_xll.ciqfunctions.udf.CIQ($B9, "IQ_EBIT_MARGIN", BV$3, $I$3, $N$3, , $J$3, $K$3)/100)),"")</f>
        <v/>
      </c>
      <c r="BW9" s="87" t="str">
        <f>IFERROR(IF(OR($B9="",BW$3=""),"",IF(NOT(ISNUMBER(_xll.ciqfunctions.udf.CIQ($B9, "IQ_EBIT_MARGIN", BW$3, $I$3, $N$3, , $J$3, $K$3))),"",_xll.ciqfunctions.udf.CIQ($B9, "IQ_EBIT_MARGIN", BW$3, $I$3, $N$3, , $J$3, $K$3)/100)),"")</f>
        <v/>
      </c>
      <c r="BX9" s="87" t="str">
        <f>IFERROR(IF(OR($B9="",BX$3=""),"",IF(NOT(ISNUMBER(_xll.ciqfunctions.udf.CIQ($B9, "IQ_EBIT_MARGIN", BX$3, $I$3, $N$3, , $J$3, $K$3))),"",_xll.ciqfunctions.udf.CIQ($B9, "IQ_EBIT_MARGIN", BX$3, $I$3, $N$3, , $J$3, $K$3)/100)),"")</f>
        <v/>
      </c>
      <c r="BY9" s="87" t="str">
        <f>IFERROR(IF(OR($B9="",BY$3=""),"",IF(NOT(ISNUMBER(_xll.ciqfunctions.udf.CIQ($B9, "IQ_EBIT_MARGIN", BY$3, $I$3, $N$3, , $J$3, $K$3))),"",_xll.ciqfunctions.udf.CIQ($B9, "IQ_EBIT_MARGIN", BY$3, $I$3, $N$3, , $J$3, $K$3)/100)),"")</f>
        <v/>
      </c>
      <c r="BZ9" s="87" t="str">
        <f>IFERROR(IF(OR($B9="",BZ$3=""),"",IF(NOT(ISNUMBER(_xll.ciqfunctions.udf.CIQ($B9, "IQ_EBIT_MARGIN", BZ$3, $I$3, $N$3, , $J$3, $K$3))),"",_xll.ciqfunctions.udf.CIQ($B9, "IQ_EBIT_MARGIN", BZ$3, $I$3, $N$3, , $J$3, $K$3)/100)),"")</f>
        <v/>
      </c>
      <c r="CA9" s="87" t="str">
        <f>IFERROR(IF(OR($B9="",CA$3=""),"",IF(NOT(ISNUMBER(_xll.ciqfunctions.udf.CIQ($B9, "IQ_EBIT_MARGIN", CA$3, $I$3, $N$3, , $J$3, $K$3))),"",_xll.ciqfunctions.udf.CIQ($B9, "IQ_EBIT_MARGIN", CA$3, $I$3, $N$3, , $J$3, $K$3)/100)),"")</f>
        <v/>
      </c>
      <c r="CB9" s="87" t="str">
        <f>IFERROR(IF(OR($B9="",CB$3=""),"",IF(NOT(ISNUMBER(_xll.ciqfunctions.udf.CIQ($B9, "IQ_EBIT_MARGIN", CB$3, $I$3, $N$3, , $J$3, $K$3))),"",_xll.ciqfunctions.udf.CIQ($B9, "IQ_EBIT_MARGIN", CB$3, $I$3, $N$3, , $J$3, $K$3)/100)),"")</f>
        <v/>
      </c>
      <c r="CC9" s="87" t="str">
        <f>IFERROR(IF(OR($B9="",CC$3=""),"",IF(NOT(ISNUMBER(_xll.ciqfunctions.udf.CIQ($B9, "IQ_EBIT_MARGIN", CC$3, $I$3, $N$3, , $J$3, $K$3))),"",_xll.ciqfunctions.udf.CIQ($B9, "IQ_EBIT_MARGIN", CC$3, $I$3, $N$3, , $J$3, $K$3)/100)),"")</f>
        <v/>
      </c>
      <c r="CD9" s="87" t="str">
        <f>IFERROR(IF(OR($B9="",CD$3=""),"",IF(NOT(ISNUMBER(_xll.ciqfunctions.udf.CIQ($B9, "IQ_EBIT_MARGIN", CD$3, $I$3, $N$3, , $J$3, $K$3))),"",_xll.ciqfunctions.udf.CIQ($B9, "IQ_EBIT_MARGIN", CD$3, $I$3, $N$3, , $J$3, $K$3)/100)),"")</f>
        <v/>
      </c>
      <c r="CE9" s="87" t="str">
        <f>IFERROR(IF(OR($B9="",CE$3=""),"",IF(NOT(ISNUMBER(_xll.ciqfunctions.udf.CIQ($B9, "IQ_EBIT_MARGIN", CE$3, $I$3, $N$3, , $J$3, $K$3))),"",_xll.ciqfunctions.udf.CIQ($B9, "IQ_EBIT_MARGIN", CE$3, $I$3, $N$3, , $J$3, $K$3)/100)),"")</f>
        <v/>
      </c>
      <c r="CF9" s="87" t="str">
        <f>IFERROR(IF(OR($B9="",CF$3=""),"",IF(NOT(ISNUMBER(_xll.ciqfunctions.udf.CIQ($B9, "IQ_EBIT_MARGIN", CF$3, $I$3, $N$3, , $J$3, $K$3))),"",_xll.ciqfunctions.udf.CIQ($B9, "IQ_EBIT_MARGIN", CF$3, $I$3, $N$3, , $J$3, $K$3)/100)),"")</f>
        <v/>
      </c>
      <c r="CG9" s="87" t="str">
        <f>IFERROR(IF(OR($B9="",CG$3=""),"",IF(NOT(ISNUMBER(_xll.ciqfunctions.udf.CIQ($B9, "IQ_EBIT_MARGIN", CG$3, $I$3, $N$3, , $J$3, $K$3))),"",_xll.ciqfunctions.udf.CIQ($B9, "IQ_EBIT_MARGIN", CG$3, $I$3, $N$3, , $J$3, $K$3)/100)),"")</f>
        <v/>
      </c>
      <c r="CH9" s="87" t="str">
        <f>IFERROR(IF(OR($B9="",CH$3=""),"",IF(NOT(ISNUMBER(_xll.ciqfunctions.udf.CIQ($B9, "IQ_EBIT_MARGIN", CH$3, $I$3, $N$3, , $J$3, $K$3))),"",_xll.ciqfunctions.udf.CIQ($B9, "IQ_EBIT_MARGIN", CH$3, $I$3, $N$3, , $J$3, $K$3)/100)),"")</f>
        <v/>
      </c>
      <c r="CI9" s="87" t="str">
        <f>IFERROR(IF(OR($B9="",CI$3=""),"",IF(NOT(ISNUMBER(_xll.ciqfunctions.udf.CIQ($B9, "IQ_EBIT_MARGIN", CI$3, $I$3, $N$3, , $J$3, $K$3))),"",_xll.ciqfunctions.udf.CIQ($B9, "IQ_EBIT_MARGIN", CI$3, $I$3, $N$3, , $J$3, $K$3)/100)),"")</f>
        <v/>
      </c>
      <c r="CJ9" s="87" t="str">
        <f>IFERROR(IF(OR($B9="",CJ$3=""),"",IF(NOT(ISNUMBER(_xll.ciqfunctions.udf.CIQ($B9, "IQ_EBIT_MARGIN", CJ$3, $I$3, $N$3, , $J$3, $K$3))),"",_xll.ciqfunctions.udf.CIQ($B9, "IQ_EBIT_MARGIN", CJ$3, $I$3, $N$3, , $J$3, $K$3)/100)),"")</f>
        <v/>
      </c>
      <c r="CK9" s="87" t="str">
        <f>IFERROR(IF(OR($B9="",CK$3=""),"",IF(NOT(ISNUMBER(_xll.ciqfunctions.udf.CIQ($B9, "IQ_EBIT_MARGIN", CK$3, $I$3, $N$3, , $J$3, $K$3))),"",_xll.ciqfunctions.udf.CIQ($B9, "IQ_EBIT_MARGIN", CK$3, $I$3, $N$3, , $J$3, $K$3)/100)),"")</f>
        <v/>
      </c>
      <c r="CL9" s="87" t="str">
        <f>IFERROR(IF(OR($B9="",CL$3=""),"",IF(NOT(ISNUMBER(_xll.ciqfunctions.udf.CIQ($B9, "IQ_EBIT_MARGIN", CL$3, $I$3, $N$3, , $J$3, $K$3))),"",_xll.ciqfunctions.udf.CIQ($B9, "IQ_EBIT_MARGIN", CL$3, $I$3, $N$3, , $J$3, $K$3)/100)),"")</f>
        <v/>
      </c>
      <c r="CM9" s="87" t="str">
        <f>IFERROR(IF(OR($B9="",CM$3=""),"",IF(NOT(ISNUMBER(_xll.ciqfunctions.udf.CIQ($B9, "IQ_EBIT_MARGIN", CM$3, $I$3, $N$3, , $J$3, $K$3))),"",_xll.ciqfunctions.udf.CIQ($B9, "IQ_EBIT_MARGIN", CM$3, $I$3, $N$3, , $J$3, $K$3)/100)),"")</f>
        <v/>
      </c>
      <c r="CN9" s="88" t="str">
        <f>IFERROR(IF(OR($B9="",CN$3=""),"",IF(NOT(ISNUMBER(_xll.ciqfunctions.udf.CIQ($B9, "IQ_EBIT_MARGIN", CN$3, $I$3, $N$3, , $J$3, $K$3))),"",_xll.ciqfunctions.udf.CIQ($B9, "IQ_EBIT_MARGIN", CN$3, $I$3, $N$3, , $J$3, $K$3)/100)),"")</f>
        <v/>
      </c>
      <c r="CO9" s="86" t="str">
        <f>IFERROR(IF(OR($B9="",CO$3=""),"",IF(NOT(ISNUMBER(_xll.ciqfunctions.udf.CIQ($B9, "IQ_NI_MARGIN", CO$3, $I$3, $N$3, , $J$3, $K$3))),"",_xll.ciqfunctions.udf.CIQ($B9, "IQ_NI_MARGIN", CO$3, $I$3, $N$3, , $J$3, $K$3)/100)),"")</f>
        <v/>
      </c>
      <c r="CP9" s="87" t="str">
        <f>IFERROR(IF(OR($B9="",CP$3=""),"",IF(NOT(ISNUMBER(_xll.ciqfunctions.udf.CIQ($B9, "IQ_NI_MARGIN", CP$3, $I$3, $N$3, , $J$3, $K$3))),"",_xll.ciqfunctions.udf.CIQ($B9, "IQ_NI_MARGIN", CP$3, $I$3, $N$3, , $J$3, $K$3)/100)),"")</f>
        <v/>
      </c>
      <c r="CQ9" s="87" t="str">
        <f>IFERROR(IF(OR($B9="",CQ$3=""),"",IF(NOT(ISNUMBER(_xll.ciqfunctions.udf.CIQ($B9, "IQ_NI_MARGIN", CQ$3, $I$3, $N$3, , $J$3, $K$3))),"",_xll.ciqfunctions.udf.CIQ($B9, "IQ_NI_MARGIN", CQ$3, $I$3, $N$3, , $J$3, $K$3)/100)),"")</f>
        <v/>
      </c>
      <c r="CR9" s="87" t="str">
        <f>IFERROR(IF(OR($B9="",CR$3=""),"",IF(NOT(ISNUMBER(_xll.ciqfunctions.udf.CIQ($B9, "IQ_NI_MARGIN", CR$3, $I$3, $N$3, , $J$3, $K$3))),"",_xll.ciqfunctions.udf.CIQ($B9, "IQ_NI_MARGIN", CR$3, $I$3, $N$3, , $J$3, $K$3)/100)),"")</f>
        <v/>
      </c>
      <c r="CS9" s="87" t="str">
        <f>IFERROR(IF(OR($B9="",CS$3=""),"",IF(NOT(ISNUMBER(_xll.ciqfunctions.udf.CIQ($B9, "IQ_NI_MARGIN", CS$3, $I$3, $N$3, , $J$3, $K$3))),"",_xll.ciqfunctions.udf.CIQ($B9, "IQ_NI_MARGIN", CS$3, $I$3, $N$3, , $J$3, $K$3)/100)),"")</f>
        <v/>
      </c>
      <c r="CT9" s="87" t="str">
        <f>IFERROR(IF(OR($B9="",CT$3=""),"",IF(NOT(ISNUMBER(_xll.ciqfunctions.udf.CIQ($B9, "IQ_NI_MARGIN", CT$3, $I$3, $N$3, , $J$3, $K$3))),"",_xll.ciqfunctions.udf.CIQ($B9, "IQ_NI_MARGIN", CT$3, $I$3, $N$3, , $J$3, $K$3)/100)),"")</f>
        <v/>
      </c>
      <c r="CU9" s="87" t="str">
        <f>IFERROR(IF(OR($B9="",CU$3=""),"",IF(NOT(ISNUMBER(_xll.ciqfunctions.udf.CIQ($B9, "IQ_NI_MARGIN", CU$3, $I$3, $N$3, , $J$3, $K$3))),"",_xll.ciqfunctions.udf.CIQ($B9, "IQ_NI_MARGIN", CU$3, $I$3, $N$3, , $J$3, $K$3)/100)),"")</f>
        <v/>
      </c>
      <c r="CV9" s="87" t="str">
        <f>IFERROR(IF(OR($B9="",CV$3=""),"",IF(NOT(ISNUMBER(_xll.ciqfunctions.udf.CIQ($B9, "IQ_NI_MARGIN", CV$3, $I$3, $N$3, , $J$3, $K$3))),"",_xll.ciqfunctions.udf.CIQ($B9, "IQ_NI_MARGIN", CV$3, $I$3, $N$3, , $J$3, $K$3)/100)),"")</f>
        <v/>
      </c>
      <c r="CW9" s="87" t="str">
        <f>IFERROR(IF(OR($B9="",CW$3=""),"",IF(NOT(ISNUMBER(_xll.ciqfunctions.udf.CIQ($B9, "IQ_NI_MARGIN", CW$3, $I$3, $N$3, , $J$3, $K$3))),"",_xll.ciqfunctions.udf.CIQ($B9, "IQ_NI_MARGIN", CW$3, $I$3, $N$3, , $J$3, $K$3)/100)),"")</f>
        <v/>
      </c>
      <c r="CX9" s="87" t="str">
        <f>IFERROR(IF(OR($B9="",CX$3=""),"",IF(NOT(ISNUMBER(_xll.ciqfunctions.udf.CIQ($B9, "IQ_NI_MARGIN", CX$3, $I$3, $N$3, , $J$3, $K$3))),"",_xll.ciqfunctions.udf.CIQ($B9, "IQ_NI_MARGIN", CX$3, $I$3, $N$3, , $J$3, $K$3)/100)),"")</f>
        <v/>
      </c>
      <c r="CY9" s="87" t="str">
        <f>IFERROR(IF(OR($B9="",CY$3=""),"",IF(NOT(ISNUMBER(_xll.ciqfunctions.udf.CIQ($B9, "IQ_NI_MARGIN", CY$3, $I$3, $N$3, , $J$3, $K$3))),"",_xll.ciqfunctions.udf.CIQ($B9, "IQ_NI_MARGIN", CY$3, $I$3, $N$3, , $J$3, $K$3)/100)),"")</f>
        <v/>
      </c>
      <c r="CZ9" s="87" t="str">
        <f>IFERROR(IF(OR($B9="",CZ$3=""),"",IF(NOT(ISNUMBER(_xll.ciqfunctions.udf.CIQ($B9, "IQ_NI_MARGIN", CZ$3, $I$3, $N$3, , $J$3, $K$3))),"",_xll.ciqfunctions.udf.CIQ($B9, "IQ_NI_MARGIN", CZ$3, $I$3, $N$3, , $J$3, $K$3)/100)),"")</f>
        <v/>
      </c>
      <c r="DA9" s="87" t="str">
        <f>IFERROR(IF(OR($B9="",DA$3=""),"",IF(NOT(ISNUMBER(_xll.ciqfunctions.udf.CIQ($B9, "IQ_NI_MARGIN", DA$3, $I$3, $N$3, , $J$3, $K$3))),"",_xll.ciqfunctions.udf.CIQ($B9, "IQ_NI_MARGIN", DA$3, $I$3, $N$3, , $J$3, $K$3)/100)),"")</f>
        <v/>
      </c>
      <c r="DB9" s="87" t="str">
        <f>IFERROR(IF(OR($B9="",DB$3=""),"",IF(NOT(ISNUMBER(_xll.ciqfunctions.udf.CIQ($B9, "IQ_NI_MARGIN", DB$3, $I$3, $N$3, , $J$3, $K$3))),"",_xll.ciqfunctions.udf.CIQ($B9, "IQ_NI_MARGIN", DB$3, $I$3, $N$3, , $J$3, $K$3)/100)),"")</f>
        <v/>
      </c>
      <c r="DC9" s="87" t="str">
        <f>IFERROR(IF(OR($B9="",DC$3=""),"",IF(NOT(ISNUMBER(_xll.ciqfunctions.udf.CIQ($B9, "IQ_NI_MARGIN", DC$3, $I$3, $N$3, , $J$3, $K$3))),"",_xll.ciqfunctions.udf.CIQ($B9, "IQ_NI_MARGIN", DC$3, $I$3, $N$3, , $J$3, $K$3)/100)),"")</f>
        <v/>
      </c>
      <c r="DD9" s="87" t="str">
        <f>IFERROR(IF(OR($B9="",DD$3=""),"",IF(NOT(ISNUMBER(_xll.ciqfunctions.udf.CIQ($B9, "IQ_NI_MARGIN", DD$3, $I$3, $N$3, , $J$3, $K$3))),"",_xll.ciqfunctions.udf.CIQ($B9, "IQ_NI_MARGIN", DD$3, $I$3, $N$3, , $J$3, $K$3)/100)),"")</f>
        <v/>
      </c>
      <c r="DE9" s="87" t="str">
        <f>IFERROR(IF(OR($B9="",DE$3=""),"",IF(NOT(ISNUMBER(_xll.ciqfunctions.udf.CIQ($B9, "IQ_NI_MARGIN", DE$3, $I$3, $N$3, , $J$3, $K$3))),"",_xll.ciqfunctions.udf.CIQ($B9, "IQ_NI_MARGIN", DE$3, $I$3, $N$3, , $J$3, $K$3)/100)),"")</f>
        <v/>
      </c>
      <c r="DF9" s="87" t="str">
        <f>IFERROR(IF(OR($B9="",DF$3=""),"",IF(NOT(ISNUMBER(_xll.ciqfunctions.udf.CIQ($B9, "IQ_NI_MARGIN", DF$3, $I$3, $N$3, , $J$3, $K$3))),"",_xll.ciqfunctions.udf.CIQ($B9, "IQ_NI_MARGIN", DF$3, $I$3, $N$3, , $J$3, $K$3)/100)),"")</f>
        <v/>
      </c>
      <c r="DG9" s="87" t="str">
        <f>IFERROR(IF(OR($B9="",DG$3=""),"",IF(NOT(ISNUMBER(_xll.ciqfunctions.udf.CIQ($B9, "IQ_NI_MARGIN", DG$3, $I$3, $N$3, , $J$3, $K$3))),"",_xll.ciqfunctions.udf.CIQ($B9, "IQ_NI_MARGIN", DG$3, $I$3, $N$3, , $J$3, $K$3)/100)),"")</f>
        <v/>
      </c>
      <c r="DH9" s="88" t="str">
        <f>IFERROR(IF(OR($B9="",DH$3=""),"",IF(NOT(ISNUMBER(_xll.ciqfunctions.udf.CIQ($B9, "IQ_NI_MARGIN", DH$3, $I$3, $N$3, , $J$3, $K$3))),"",_xll.ciqfunctions.udf.CIQ($B9, "IQ_NI_MARGIN", DH$3, $I$3, $N$3, , $J$3, $K$3)/100)),"")</f>
        <v/>
      </c>
      <c r="DI9" s="86" t="str">
        <f>IFERROR(IF(OR($B9="",DI$3=""),"",IF(OR(NOT(ISNUMBER(_xll.ciqfunctions.udf.CIQ($B9, "IQ_COGS", DI$3, $I$3, $N$3, , $J$3, $K$3))),NOT(ISNUMBER(_xll.ciqfunctions.udf.CIQ($B9, "IQ_TOTAL_REVENUE", DI$3, $I$3, $N$3, , $J$3, $K$3)))),"",_xll.ciqfunctions.udf.CIQ($B9, "IQ_COGS", DI$3, $I$3, $N$3, , $J$3, $K$3)/_xll.ciqfunctions.udf.CIQ($B9, "IQ_TOTAL_REVENUE", DI$3, $I$3, $N$3, , $J$3, $K$3))),"")</f>
        <v/>
      </c>
      <c r="DJ9" s="87" t="str">
        <f>IFERROR(IF(OR($B9="",DJ$3=""),"",IF(OR(NOT(ISNUMBER(_xll.ciqfunctions.udf.CIQ($B9, "IQ_COGS", DJ$3, $I$3, $N$3, , $J$3, $K$3))),NOT(ISNUMBER(_xll.ciqfunctions.udf.CIQ($B9, "IQ_TOTAL_REVENUE", DJ$3, $I$3, $N$3, , $J$3, $K$3)))),"",_xll.ciqfunctions.udf.CIQ($B9, "IQ_COGS", DJ$3, $I$3, $N$3, , $J$3, $K$3)/_xll.ciqfunctions.udf.CIQ($B9, "IQ_TOTAL_REVENUE", DJ$3, $I$3, $N$3, , $J$3, $K$3))),"")</f>
        <v/>
      </c>
      <c r="DK9" s="87" t="str">
        <f>IFERROR(IF(OR($B9="",DK$3=""),"",IF(OR(NOT(ISNUMBER(_xll.ciqfunctions.udf.CIQ($B9, "IQ_COGS", DK$3, $I$3, $N$3, , $J$3, $K$3))),NOT(ISNUMBER(_xll.ciqfunctions.udf.CIQ($B9, "IQ_TOTAL_REVENUE", DK$3, $I$3, $N$3, , $J$3, $K$3)))),"",_xll.ciqfunctions.udf.CIQ($B9, "IQ_COGS", DK$3, $I$3, $N$3, , $J$3, $K$3)/_xll.ciqfunctions.udf.CIQ($B9, "IQ_TOTAL_REVENUE", DK$3, $I$3, $N$3, , $J$3, $K$3))),"")</f>
        <v/>
      </c>
      <c r="DL9" s="87" t="str">
        <f>IFERROR(IF(OR($B9="",DL$3=""),"",IF(OR(NOT(ISNUMBER(_xll.ciqfunctions.udf.CIQ($B9, "IQ_COGS", DL$3, $I$3, $N$3, , $J$3, $K$3))),NOT(ISNUMBER(_xll.ciqfunctions.udf.CIQ($B9, "IQ_TOTAL_REVENUE", DL$3, $I$3, $N$3, , $J$3, $K$3)))),"",_xll.ciqfunctions.udf.CIQ($B9, "IQ_COGS", DL$3, $I$3, $N$3, , $J$3, $K$3)/_xll.ciqfunctions.udf.CIQ($B9, "IQ_TOTAL_REVENUE", DL$3, $I$3, $N$3, , $J$3, $K$3))),"")</f>
        <v/>
      </c>
      <c r="DM9" s="87" t="str">
        <f>IFERROR(IF(OR($B9="",DM$3=""),"",IF(OR(NOT(ISNUMBER(_xll.ciqfunctions.udf.CIQ($B9, "IQ_COGS", DM$3, $I$3, $N$3, , $J$3, $K$3))),NOT(ISNUMBER(_xll.ciqfunctions.udf.CIQ($B9, "IQ_TOTAL_REVENUE", DM$3, $I$3, $N$3, , $J$3, $K$3)))),"",_xll.ciqfunctions.udf.CIQ($B9, "IQ_COGS", DM$3, $I$3, $N$3, , $J$3, $K$3)/_xll.ciqfunctions.udf.CIQ($B9, "IQ_TOTAL_REVENUE", DM$3, $I$3, $N$3, , $J$3, $K$3))),"")</f>
        <v/>
      </c>
      <c r="DN9" s="87" t="str">
        <f>IFERROR(IF(OR($B9="",DN$3=""),"",IF(OR(NOT(ISNUMBER(_xll.ciqfunctions.udf.CIQ($B9, "IQ_COGS", DN$3, $I$3, $N$3, , $J$3, $K$3))),NOT(ISNUMBER(_xll.ciqfunctions.udf.CIQ($B9, "IQ_TOTAL_REVENUE", DN$3, $I$3, $N$3, , $J$3, $K$3)))),"",_xll.ciqfunctions.udf.CIQ($B9, "IQ_COGS", DN$3, $I$3, $N$3, , $J$3, $K$3)/_xll.ciqfunctions.udf.CIQ($B9, "IQ_TOTAL_REVENUE", DN$3, $I$3, $N$3, , $J$3, $K$3))),"")</f>
        <v/>
      </c>
      <c r="DO9" s="87" t="str">
        <f>IFERROR(IF(OR($B9="",DO$3=""),"",IF(OR(NOT(ISNUMBER(_xll.ciqfunctions.udf.CIQ($B9, "IQ_COGS", DO$3, $I$3, $N$3, , $J$3, $K$3))),NOT(ISNUMBER(_xll.ciqfunctions.udf.CIQ($B9, "IQ_TOTAL_REVENUE", DO$3, $I$3, $N$3, , $J$3, $K$3)))),"",_xll.ciqfunctions.udf.CIQ($B9, "IQ_COGS", DO$3, $I$3, $N$3, , $J$3, $K$3)/_xll.ciqfunctions.udf.CIQ($B9, "IQ_TOTAL_REVENUE", DO$3, $I$3, $N$3, , $J$3, $K$3))),"")</f>
        <v/>
      </c>
      <c r="DP9" s="87" t="str">
        <f>IFERROR(IF(OR($B9="",DP$3=""),"",IF(OR(NOT(ISNUMBER(_xll.ciqfunctions.udf.CIQ($B9, "IQ_COGS", DP$3, $I$3, $N$3, , $J$3, $K$3))),NOT(ISNUMBER(_xll.ciqfunctions.udf.CIQ($B9, "IQ_TOTAL_REVENUE", DP$3, $I$3, $N$3, , $J$3, $K$3)))),"",_xll.ciqfunctions.udf.CIQ($B9, "IQ_COGS", DP$3, $I$3, $N$3, , $J$3, $K$3)/_xll.ciqfunctions.udf.CIQ($B9, "IQ_TOTAL_REVENUE", DP$3, $I$3, $N$3, , $J$3, $K$3))),"")</f>
        <v/>
      </c>
      <c r="DQ9" s="87" t="str">
        <f>IFERROR(IF(OR($B9="",DQ$3=""),"",IF(OR(NOT(ISNUMBER(_xll.ciqfunctions.udf.CIQ($B9, "IQ_COGS", DQ$3, $I$3, $N$3, , $J$3, $K$3))),NOT(ISNUMBER(_xll.ciqfunctions.udf.CIQ($B9, "IQ_TOTAL_REVENUE", DQ$3, $I$3, $N$3, , $J$3, $K$3)))),"",_xll.ciqfunctions.udf.CIQ($B9, "IQ_COGS", DQ$3, $I$3, $N$3, , $J$3, $K$3)/_xll.ciqfunctions.udf.CIQ($B9, "IQ_TOTAL_REVENUE", DQ$3, $I$3, $N$3, , $J$3, $K$3))),"")</f>
        <v/>
      </c>
      <c r="DR9" s="87" t="str">
        <f>IFERROR(IF(OR($B9="",DR$3=""),"",IF(OR(NOT(ISNUMBER(_xll.ciqfunctions.udf.CIQ($B9, "IQ_COGS", DR$3, $I$3, $N$3, , $J$3, $K$3))),NOT(ISNUMBER(_xll.ciqfunctions.udf.CIQ($B9, "IQ_TOTAL_REVENUE", DR$3, $I$3, $N$3, , $J$3, $K$3)))),"",_xll.ciqfunctions.udf.CIQ($B9, "IQ_COGS", DR$3, $I$3, $N$3, , $J$3, $K$3)/_xll.ciqfunctions.udf.CIQ($B9, "IQ_TOTAL_REVENUE", DR$3, $I$3, $N$3, , $J$3, $K$3))),"")</f>
        <v/>
      </c>
      <c r="DS9" s="87" t="str">
        <f>IFERROR(IF(OR($B9="",DS$3=""),"",IF(OR(NOT(ISNUMBER(_xll.ciqfunctions.udf.CIQ($B9, "IQ_COGS", DS$3, $I$3, $N$3, , $J$3, $K$3))),NOT(ISNUMBER(_xll.ciqfunctions.udf.CIQ($B9, "IQ_TOTAL_REVENUE", DS$3, $I$3, $N$3, , $J$3, $K$3)))),"",_xll.ciqfunctions.udf.CIQ($B9, "IQ_COGS", DS$3, $I$3, $N$3, , $J$3, $K$3)/_xll.ciqfunctions.udf.CIQ($B9, "IQ_TOTAL_REVENUE", DS$3, $I$3, $N$3, , $J$3, $K$3))),"")</f>
        <v/>
      </c>
      <c r="DT9" s="87" t="str">
        <f>IFERROR(IF(OR($B9="",DT$3=""),"",IF(OR(NOT(ISNUMBER(_xll.ciqfunctions.udf.CIQ($B9, "IQ_COGS", DT$3, $I$3, $N$3, , $J$3, $K$3))),NOT(ISNUMBER(_xll.ciqfunctions.udf.CIQ($B9, "IQ_TOTAL_REVENUE", DT$3, $I$3, $N$3, , $J$3, $K$3)))),"",_xll.ciqfunctions.udf.CIQ($B9, "IQ_COGS", DT$3, $I$3, $N$3, , $J$3, $K$3)/_xll.ciqfunctions.udf.CIQ($B9, "IQ_TOTAL_REVENUE", DT$3, $I$3, $N$3, , $J$3, $K$3))),"")</f>
        <v/>
      </c>
      <c r="DU9" s="87" t="str">
        <f>IFERROR(IF(OR($B9="",DU$3=""),"",IF(OR(NOT(ISNUMBER(_xll.ciqfunctions.udf.CIQ($B9, "IQ_COGS", DU$3, $I$3, $N$3, , $J$3, $K$3))),NOT(ISNUMBER(_xll.ciqfunctions.udf.CIQ($B9, "IQ_TOTAL_REVENUE", DU$3, $I$3, $N$3, , $J$3, $K$3)))),"",_xll.ciqfunctions.udf.CIQ($B9, "IQ_COGS", DU$3, $I$3, $N$3, , $J$3, $K$3)/_xll.ciqfunctions.udf.CIQ($B9, "IQ_TOTAL_REVENUE", DU$3, $I$3, $N$3, , $J$3, $K$3))),"")</f>
        <v/>
      </c>
      <c r="DV9" s="87" t="str">
        <f>IFERROR(IF(OR($B9="",DV$3=""),"",IF(OR(NOT(ISNUMBER(_xll.ciqfunctions.udf.CIQ($B9, "IQ_COGS", DV$3, $I$3, $N$3, , $J$3, $K$3))),NOT(ISNUMBER(_xll.ciqfunctions.udf.CIQ($B9, "IQ_TOTAL_REVENUE", DV$3, $I$3, $N$3, , $J$3, $K$3)))),"",_xll.ciqfunctions.udf.CIQ($B9, "IQ_COGS", DV$3, $I$3, $N$3, , $J$3, $K$3)/_xll.ciqfunctions.udf.CIQ($B9, "IQ_TOTAL_REVENUE", DV$3, $I$3, $N$3, , $J$3, $K$3))),"")</f>
        <v/>
      </c>
      <c r="DW9" s="87" t="str">
        <f>IFERROR(IF(OR($B9="",DW$3=""),"",IF(OR(NOT(ISNUMBER(_xll.ciqfunctions.udf.CIQ($B9, "IQ_COGS", DW$3, $I$3, $N$3, , $J$3, $K$3))),NOT(ISNUMBER(_xll.ciqfunctions.udf.CIQ($B9, "IQ_TOTAL_REVENUE", DW$3, $I$3, $N$3, , $J$3, $K$3)))),"",_xll.ciqfunctions.udf.CIQ($B9, "IQ_COGS", DW$3, $I$3, $N$3, , $J$3, $K$3)/_xll.ciqfunctions.udf.CIQ($B9, "IQ_TOTAL_REVENUE", DW$3, $I$3, $N$3, , $J$3, $K$3))),"")</f>
        <v/>
      </c>
      <c r="DX9" s="87" t="str">
        <f>IFERROR(IF(OR($B9="",DX$3=""),"",IF(OR(NOT(ISNUMBER(_xll.ciqfunctions.udf.CIQ($B9, "IQ_COGS", DX$3, $I$3, $N$3, , $J$3, $K$3))),NOT(ISNUMBER(_xll.ciqfunctions.udf.CIQ($B9, "IQ_TOTAL_REVENUE", DX$3, $I$3, $N$3, , $J$3, $K$3)))),"",_xll.ciqfunctions.udf.CIQ($B9, "IQ_COGS", DX$3, $I$3, $N$3, , $J$3, $K$3)/_xll.ciqfunctions.udf.CIQ($B9, "IQ_TOTAL_REVENUE", DX$3, $I$3, $N$3, , $J$3, $K$3))),"")</f>
        <v/>
      </c>
      <c r="DY9" s="87" t="str">
        <f>IFERROR(IF(OR($B9="",DY$3=""),"",IF(OR(NOT(ISNUMBER(_xll.ciqfunctions.udf.CIQ($B9, "IQ_COGS", DY$3, $I$3, $N$3, , $J$3, $K$3))),NOT(ISNUMBER(_xll.ciqfunctions.udf.CIQ($B9, "IQ_TOTAL_REVENUE", DY$3, $I$3, $N$3, , $J$3, $K$3)))),"",_xll.ciqfunctions.udf.CIQ($B9, "IQ_COGS", DY$3, $I$3, $N$3, , $J$3, $K$3)/_xll.ciqfunctions.udf.CIQ($B9, "IQ_TOTAL_REVENUE", DY$3, $I$3, $N$3, , $J$3, $K$3))),"")</f>
        <v/>
      </c>
      <c r="DZ9" s="87" t="str">
        <f>IFERROR(IF(OR($B9="",DZ$3=""),"",IF(OR(NOT(ISNUMBER(_xll.ciqfunctions.udf.CIQ($B9, "IQ_COGS", DZ$3, $I$3, $N$3, , $J$3, $K$3))),NOT(ISNUMBER(_xll.ciqfunctions.udf.CIQ($B9, "IQ_TOTAL_REVENUE", DZ$3, $I$3, $N$3, , $J$3, $K$3)))),"",_xll.ciqfunctions.udf.CIQ($B9, "IQ_COGS", DZ$3, $I$3, $N$3, , $J$3, $K$3)/_xll.ciqfunctions.udf.CIQ($B9, "IQ_TOTAL_REVENUE", DZ$3, $I$3, $N$3, , $J$3, $K$3))),"")</f>
        <v/>
      </c>
      <c r="EA9" s="87" t="str">
        <f>IFERROR(IF(OR($B9="",EA$3=""),"",IF(OR(NOT(ISNUMBER(_xll.ciqfunctions.udf.CIQ($B9, "IQ_COGS", EA$3, $I$3, $N$3, , $J$3, $K$3))),NOT(ISNUMBER(_xll.ciqfunctions.udf.CIQ($B9, "IQ_TOTAL_REVENUE", EA$3, $I$3, $N$3, , $J$3, $K$3)))),"",_xll.ciqfunctions.udf.CIQ($B9, "IQ_COGS", EA$3, $I$3, $N$3, , $J$3, $K$3)/_xll.ciqfunctions.udf.CIQ($B9, "IQ_TOTAL_REVENUE", EA$3, $I$3, $N$3, , $J$3, $K$3))),"")</f>
        <v/>
      </c>
      <c r="EB9" s="88" t="str">
        <f>IFERROR(IF(OR($B9="",EB$3=""),"",IF(OR(NOT(ISNUMBER(_xll.ciqfunctions.udf.CIQ($B9, "IQ_COGS", EB$3, $I$3, $N$3, , $J$3, $K$3))),NOT(ISNUMBER(_xll.ciqfunctions.udf.CIQ($B9, "IQ_TOTAL_REVENUE", EB$3, $I$3, $N$3, , $J$3, $K$3)))),"",_xll.ciqfunctions.udf.CIQ($B9, "IQ_COGS", EB$3, $I$3, $N$3, , $J$3, $K$3)/_xll.ciqfunctions.udf.CIQ($B9, "IQ_TOTAL_REVENUE", EB$3, $I$3, $N$3, , $J$3, $K$3))),"")</f>
        <v/>
      </c>
      <c r="EC9" s="86" t="str">
        <f>IFERROR(IF(OR($B9="",EC$3=""),"",(_xll.ciqfunctions.udf.CIQ($B9,"IQ_TOTAL_REVENUE",EC$3, $I$3, $N$3, , $J$3, $K$3)-_xll.ciqfunctions.udf.CIQ($B9,"IQ_COGS",EC$3, $I$3, $N$3, , $J$3, $K$3)-_xll.ciqfunctions.udf.CIQ($B9,"IQ_EBITDA",EC$3, $I$3, $N$3, , $J$3, $K$3))/_xll.ciqfunctions.udf.CIQ($B9,"IQ_TOTAL_REVENUE",EC$3, $I$3, $N$3, , $J$3, $K$3)),"")</f>
        <v/>
      </c>
      <c r="ED9" s="87" t="str">
        <f>IFERROR(IF(OR($B9="",ED$3=""),"",(_xll.ciqfunctions.udf.CIQ($B9,"IQ_TOTAL_REVENUE",ED$3, $I$3, $N$3, , $J$3, $K$3)-_xll.ciqfunctions.udf.CIQ($B9,"IQ_COGS",ED$3, $I$3, $N$3, , $J$3, $K$3)-_xll.ciqfunctions.udf.CIQ($B9,"IQ_EBITDA",ED$3, $I$3, $N$3, , $J$3, $K$3))/_xll.ciqfunctions.udf.CIQ($B9,"IQ_TOTAL_REVENUE",ED$3, $I$3, $N$3, , $J$3, $K$3)),"")</f>
        <v/>
      </c>
      <c r="EE9" s="87" t="str">
        <f>IFERROR(IF(OR($B9="",EE$3=""),"",(_xll.ciqfunctions.udf.CIQ($B9,"IQ_TOTAL_REVENUE",EE$3, $I$3, $N$3, , $J$3, $K$3)-_xll.ciqfunctions.udf.CIQ($B9,"IQ_COGS",EE$3, $I$3, $N$3, , $J$3, $K$3)-_xll.ciqfunctions.udf.CIQ($B9,"IQ_EBITDA",EE$3, $I$3, $N$3, , $J$3, $K$3))/_xll.ciqfunctions.udf.CIQ($B9,"IQ_TOTAL_REVENUE",EE$3, $I$3, $N$3, , $J$3, $K$3)),"")</f>
        <v/>
      </c>
      <c r="EF9" s="87" t="str">
        <f>IFERROR(IF(OR($B9="",EF$3=""),"",(_xll.ciqfunctions.udf.CIQ($B9,"IQ_TOTAL_REVENUE",EF$3, $I$3, $N$3, , $J$3, $K$3)-_xll.ciqfunctions.udf.CIQ($B9,"IQ_COGS",EF$3, $I$3, $N$3, , $J$3, $K$3)-_xll.ciqfunctions.udf.CIQ($B9,"IQ_EBITDA",EF$3, $I$3, $N$3, , $J$3, $K$3))/_xll.ciqfunctions.udf.CIQ($B9,"IQ_TOTAL_REVENUE",EF$3, $I$3, $N$3, , $J$3, $K$3)),"")</f>
        <v/>
      </c>
      <c r="EG9" s="87" t="str">
        <f>IFERROR(IF(OR($B9="",EG$3=""),"",(_xll.ciqfunctions.udf.CIQ($B9,"IQ_TOTAL_REVENUE",EG$3, $I$3, $N$3, , $J$3, $K$3)-_xll.ciqfunctions.udf.CIQ($B9,"IQ_COGS",EG$3, $I$3, $N$3, , $J$3, $K$3)-_xll.ciqfunctions.udf.CIQ($B9,"IQ_EBITDA",EG$3, $I$3, $N$3, , $J$3, $K$3))/_xll.ciqfunctions.udf.CIQ($B9,"IQ_TOTAL_REVENUE",EG$3, $I$3, $N$3, , $J$3, $K$3)),"")</f>
        <v/>
      </c>
      <c r="EH9" s="87" t="str">
        <f>IFERROR(IF(OR($B9="",EH$3=""),"",(_xll.ciqfunctions.udf.CIQ($B9,"IQ_TOTAL_REVENUE",EH$3, $I$3, $N$3, , $J$3, $K$3)-_xll.ciqfunctions.udf.CIQ($B9,"IQ_COGS",EH$3, $I$3, $N$3, , $J$3, $K$3)-_xll.ciqfunctions.udf.CIQ($B9,"IQ_EBITDA",EH$3, $I$3, $N$3, , $J$3, $K$3))/_xll.ciqfunctions.udf.CIQ($B9,"IQ_TOTAL_REVENUE",EH$3, $I$3, $N$3, , $J$3, $K$3)),"")</f>
        <v/>
      </c>
      <c r="EI9" s="87" t="str">
        <f>IFERROR(IF(OR($B9="",EI$3=""),"",(_xll.ciqfunctions.udf.CIQ($B9,"IQ_TOTAL_REVENUE",EI$3, $I$3, $N$3, , $J$3, $K$3)-_xll.ciqfunctions.udf.CIQ($B9,"IQ_COGS",EI$3, $I$3, $N$3, , $J$3, $K$3)-_xll.ciqfunctions.udf.CIQ($B9,"IQ_EBITDA",EI$3, $I$3, $N$3, , $J$3, $K$3))/_xll.ciqfunctions.udf.CIQ($B9,"IQ_TOTAL_REVENUE",EI$3, $I$3, $N$3, , $J$3, $K$3)),"")</f>
        <v/>
      </c>
      <c r="EJ9" s="87" t="str">
        <f>IFERROR(IF(OR($B9="",EJ$3=""),"",(_xll.ciqfunctions.udf.CIQ($B9,"IQ_TOTAL_REVENUE",EJ$3, $I$3, $N$3, , $J$3, $K$3)-_xll.ciqfunctions.udf.CIQ($B9,"IQ_COGS",EJ$3, $I$3, $N$3, , $J$3, $K$3)-_xll.ciqfunctions.udf.CIQ($B9,"IQ_EBITDA",EJ$3, $I$3, $N$3, , $J$3, $K$3))/_xll.ciqfunctions.udf.CIQ($B9,"IQ_TOTAL_REVENUE",EJ$3, $I$3, $N$3, , $J$3, $K$3)),"")</f>
        <v/>
      </c>
      <c r="EK9" s="87" t="str">
        <f>IFERROR(IF(OR($B9="",EK$3=""),"",(_xll.ciqfunctions.udf.CIQ($B9,"IQ_TOTAL_REVENUE",EK$3, $I$3, $N$3, , $J$3, $K$3)-_xll.ciqfunctions.udf.CIQ($B9,"IQ_COGS",EK$3, $I$3, $N$3, , $J$3, $K$3)-_xll.ciqfunctions.udf.CIQ($B9,"IQ_EBITDA",EK$3, $I$3, $N$3, , $J$3, $K$3))/_xll.ciqfunctions.udf.CIQ($B9,"IQ_TOTAL_REVENUE",EK$3, $I$3, $N$3, , $J$3, $K$3)),"")</f>
        <v/>
      </c>
      <c r="EL9" s="87" t="str">
        <f>IFERROR(IF(OR($B9="",EL$3=""),"",(_xll.ciqfunctions.udf.CIQ($B9,"IQ_TOTAL_REVENUE",EL$3, $I$3, $N$3, , $J$3, $K$3)-_xll.ciqfunctions.udf.CIQ($B9,"IQ_COGS",EL$3, $I$3, $N$3, , $J$3, $K$3)-_xll.ciqfunctions.udf.CIQ($B9,"IQ_EBITDA",EL$3, $I$3, $N$3, , $J$3, $K$3))/_xll.ciqfunctions.udf.CIQ($B9,"IQ_TOTAL_REVENUE",EL$3, $I$3, $N$3, , $J$3, $K$3)),"")</f>
        <v/>
      </c>
      <c r="EM9" s="87" t="str">
        <f>IFERROR(IF(OR($B9="",EM$3=""),"",(_xll.ciqfunctions.udf.CIQ($B9,"IQ_TOTAL_REVENUE",EM$3, $I$3, $N$3, , $J$3, $K$3)-_xll.ciqfunctions.udf.CIQ($B9,"IQ_COGS",EM$3, $I$3, $N$3, , $J$3, $K$3)-_xll.ciqfunctions.udf.CIQ($B9,"IQ_EBITDA",EM$3, $I$3, $N$3, , $J$3, $K$3))/_xll.ciqfunctions.udf.CIQ($B9,"IQ_TOTAL_REVENUE",EM$3, $I$3, $N$3, , $J$3, $K$3)),"")</f>
        <v/>
      </c>
      <c r="EN9" s="87" t="str">
        <f>IFERROR(IF(OR($B9="",EN$3=""),"",(_xll.ciqfunctions.udf.CIQ($B9,"IQ_TOTAL_REVENUE",EN$3, $I$3, $N$3, , $J$3, $K$3)-_xll.ciqfunctions.udf.CIQ($B9,"IQ_COGS",EN$3, $I$3, $N$3, , $J$3, $K$3)-_xll.ciqfunctions.udf.CIQ($B9,"IQ_EBITDA",EN$3, $I$3, $N$3, , $J$3, $K$3))/_xll.ciqfunctions.udf.CIQ($B9,"IQ_TOTAL_REVENUE",EN$3, $I$3, $N$3, , $J$3, $K$3)),"")</f>
        <v/>
      </c>
      <c r="EO9" s="87" t="str">
        <f>IFERROR(IF(OR($B9="",EO$3=""),"",(_xll.ciqfunctions.udf.CIQ($B9,"IQ_TOTAL_REVENUE",EO$3, $I$3, $N$3, , $J$3, $K$3)-_xll.ciqfunctions.udf.CIQ($B9,"IQ_COGS",EO$3, $I$3, $N$3, , $J$3, $K$3)-_xll.ciqfunctions.udf.CIQ($B9,"IQ_EBITDA",EO$3, $I$3, $N$3, , $J$3, $K$3))/_xll.ciqfunctions.udf.CIQ($B9,"IQ_TOTAL_REVENUE",EO$3, $I$3, $N$3, , $J$3, $K$3)),"")</f>
        <v/>
      </c>
      <c r="EP9" s="87" t="str">
        <f>IFERROR(IF(OR($B9="",EP$3=""),"",(_xll.ciqfunctions.udf.CIQ($B9,"IQ_TOTAL_REVENUE",EP$3, $I$3, $N$3, , $J$3, $K$3)-_xll.ciqfunctions.udf.CIQ($B9,"IQ_COGS",EP$3, $I$3, $N$3, , $J$3, $K$3)-_xll.ciqfunctions.udf.CIQ($B9,"IQ_EBITDA",EP$3, $I$3, $N$3, , $J$3, $K$3))/_xll.ciqfunctions.udf.CIQ($B9,"IQ_TOTAL_REVENUE",EP$3, $I$3, $N$3, , $J$3, $K$3)),"")</f>
        <v/>
      </c>
      <c r="EQ9" s="87" t="str">
        <f>IFERROR(IF(OR($B9="",EQ$3=""),"",(_xll.ciqfunctions.udf.CIQ($B9,"IQ_TOTAL_REVENUE",EQ$3, $I$3, $N$3, , $J$3, $K$3)-_xll.ciqfunctions.udf.CIQ($B9,"IQ_COGS",EQ$3, $I$3, $N$3, , $J$3, $K$3)-_xll.ciqfunctions.udf.CIQ($B9,"IQ_EBITDA",EQ$3, $I$3, $N$3, , $J$3, $K$3))/_xll.ciqfunctions.udf.CIQ($B9,"IQ_TOTAL_REVENUE",EQ$3, $I$3, $N$3, , $J$3, $K$3)),"")</f>
        <v/>
      </c>
      <c r="ER9" s="87" t="str">
        <f>IFERROR(IF(OR($B9="",ER$3=""),"",(_xll.ciqfunctions.udf.CIQ($B9,"IQ_TOTAL_REVENUE",ER$3, $I$3, $N$3, , $J$3, $K$3)-_xll.ciqfunctions.udf.CIQ($B9,"IQ_COGS",ER$3, $I$3, $N$3, , $J$3, $K$3)-_xll.ciqfunctions.udf.CIQ($B9,"IQ_EBITDA",ER$3, $I$3, $N$3, , $J$3, $K$3))/_xll.ciqfunctions.udf.CIQ($B9,"IQ_TOTAL_REVENUE",ER$3, $I$3, $N$3, , $J$3, $K$3)),"")</f>
        <v/>
      </c>
      <c r="ES9" s="87" t="str">
        <f>IFERROR(IF(OR($B9="",ES$3=""),"",(_xll.ciqfunctions.udf.CIQ($B9,"IQ_TOTAL_REVENUE",ES$3, $I$3, $N$3, , $J$3, $K$3)-_xll.ciqfunctions.udf.CIQ($B9,"IQ_COGS",ES$3, $I$3, $N$3, , $J$3, $K$3)-_xll.ciqfunctions.udf.CIQ($B9,"IQ_EBITDA",ES$3, $I$3, $N$3, , $J$3, $K$3))/_xll.ciqfunctions.udf.CIQ($B9,"IQ_TOTAL_REVENUE",ES$3, $I$3, $N$3, , $J$3, $K$3)),"")</f>
        <v/>
      </c>
      <c r="ET9" s="87" t="str">
        <f>IFERROR(IF(OR($B9="",ET$3=""),"",(_xll.ciqfunctions.udf.CIQ($B9,"IQ_TOTAL_REVENUE",ET$3, $I$3, $N$3, , $J$3, $K$3)-_xll.ciqfunctions.udf.CIQ($B9,"IQ_COGS",ET$3, $I$3, $N$3, , $J$3, $K$3)-_xll.ciqfunctions.udf.CIQ($B9,"IQ_EBITDA",ET$3, $I$3, $N$3, , $J$3, $K$3))/_xll.ciqfunctions.udf.CIQ($B9,"IQ_TOTAL_REVENUE",ET$3, $I$3, $N$3, , $J$3, $K$3)),"")</f>
        <v/>
      </c>
      <c r="EU9" s="87" t="str">
        <f>IFERROR(IF(OR($B9="",EU$3=""),"",(_xll.ciqfunctions.udf.CIQ($B9,"IQ_TOTAL_REVENUE",EU$3, $I$3, $N$3, , $J$3, $K$3)-_xll.ciqfunctions.udf.CIQ($B9,"IQ_COGS",EU$3, $I$3, $N$3, , $J$3, $K$3)-_xll.ciqfunctions.udf.CIQ($B9,"IQ_EBITDA",EU$3, $I$3, $N$3, , $J$3, $K$3))/_xll.ciqfunctions.udf.CIQ($B9,"IQ_TOTAL_REVENUE",EU$3, $I$3, $N$3, , $J$3, $K$3)),"")</f>
        <v/>
      </c>
      <c r="EV9" s="88" t="str">
        <f>IFERROR(IF(OR($B9="",EV$3=""),"",(_xll.ciqfunctions.udf.CIQ($B9,"IQ_TOTAL_REVENUE",EV$3, $I$3, $N$3, , $J$3, $K$3)-_xll.ciqfunctions.udf.CIQ($B9,"IQ_COGS",EV$3, $I$3, $N$3, , $J$3, $K$3)-_xll.ciqfunctions.udf.CIQ($B9,"IQ_EBITDA",EV$3, $I$3, $N$3, , $J$3, $K$3))/_xll.ciqfunctions.udf.CIQ($B9,"IQ_TOTAL_REVENUE",EV$3, $I$3, $N$3, , $J$3, $K$3)),"")</f>
        <v/>
      </c>
      <c r="EW9" s="72" t="str">
        <f>IFERROR(IF(OR($B9="",EW$3=""),"",IF(AND($EW$4="No",_xll.ciqfunctions.udf.CIQ($B9, "IQ_SGA_MARGIN", EW$3, $I$3, $N$3, , $J$3, $K$3)&lt;=0),"",_xll.ciqfunctions.udf.CIQ($B9, "IQ_SGA_MARGIN", EW$3, $I$3, $N$3, , $J$3, $K$3)/100)),"")</f>
        <v/>
      </c>
      <c r="EX9" s="72" t="str">
        <f>IFERROR(IF(OR($B9="",EX$3=""),"",IF(AND($EW$4="No",_xll.ciqfunctions.udf.CIQ($B9, "IQ_SGA_MARGIN", EX$3, $I$3, $N$3, , $J$3, $K$3)&lt;=0),"",_xll.ciqfunctions.udf.CIQ($B9, "IQ_SGA_MARGIN", EX$3, $I$3, $N$3, , $J$3, $K$3)/100)),"")</f>
        <v/>
      </c>
      <c r="EY9" s="72" t="str">
        <f>IFERROR(IF(OR($B9="",EY$3=""),"",IF(AND($EW$4="No",_xll.ciqfunctions.udf.CIQ($B9, "IQ_SGA_MARGIN", EY$3, $I$3, $N$3, , $J$3, $K$3)&lt;=0),"",_xll.ciqfunctions.udf.CIQ($B9, "IQ_SGA_MARGIN", EY$3, $I$3, $N$3, , $J$3, $K$3)/100)),"")</f>
        <v/>
      </c>
      <c r="EZ9" s="72" t="str">
        <f>IFERROR(IF(OR($B9="",EZ$3=""),"",IF(AND($EW$4="No",_xll.ciqfunctions.udf.CIQ($B9, "IQ_SGA_MARGIN", EZ$3, $I$3, $N$3, , $J$3, $K$3)&lt;=0),"",_xll.ciqfunctions.udf.CIQ($B9, "IQ_SGA_MARGIN", EZ$3, $I$3, $N$3, , $J$3, $K$3)/100)),"")</f>
        <v/>
      </c>
      <c r="FA9" s="72" t="str">
        <f>IFERROR(IF(OR($B9="",FA$3=""),"",IF(AND($EW$4="No",_xll.ciqfunctions.udf.CIQ($B9, "IQ_SGA_MARGIN", FA$3, $I$3, $N$3, , $J$3, $K$3)&lt;=0),"",_xll.ciqfunctions.udf.CIQ($B9, "IQ_SGA_MARGIN", FA$3, $I$3, $N$3, , $J$3, $K$3)/100)),"")</f>
        <v/>
      </c>
      <c r="FB9" s="72" t="str">
        <f>IFERROR(IF(OR($B9="",FB$3=""),"",IF(AND($EW$4="No",_xll.ciqfunctions.udf.CIQ($B9, "IQ_SGA_MARGIN", FB$3, $I$3, $N$3, , $J$3, $K$3)&lt;=0),"",_xll.ciqfunctions.udf.CIQ($B9, "IQ_SGA_MARGIN", FB$3, $I$3, $N$3, , $J$3, $K$3)/100)),"")</f>
        <v/>
      </c>
      <c r="FC9" s="72" t="str">
        <f>IFERROR(IF(OR($B9="",FC$3=""),"",IF(AND($EW$4="No",_xll.ciqfunctions.udf.CIQ($B9, "IQ_SGA_MARGIN", FC$3, $I$3, $N$3, , $J$3, $K$3)&lt;=0),"",_xll.ciqfunctions.udf.CIQ($B9, "IQ_SGA_MARGIN", FC$3, $I$3, $N$3, , $J$3, $K$3)/100)),"")</f>
        <v/>
      </c>
      <c r="FD9" s="72" t="str">
        <f>IFERROR(IF(OR($B9="",FD$3=""),"",IF(AND($EW$4="No",_xll.ciqfunctions.udf.CIQ($B9, "IQ_SGA_MARGIN", FD$3, $I$3, $N$3, , $J$3, $K$3)&lt;=0),"",_xll.ciqfunctions.udf.CIQ($B9, "IQ_SGA_MARGIN", FD$3, $I$3, $N$3, , $J$3, $K$3)/100)),"")</f>
        <v/>
      </c>
      <c r="FE9" s="72" t="str">
        <f>IFERROR(IF(OR($B9="",FE$3=""),"",IF(AND($EW$4="No",_xll.ciqfunctions.udf.CIQ($B9, "IQ_SGA_MARGIN", FE$3, $I$3, $N$3, , $J$3, $K$3)&lt;=0),"",_xll.ciqfunctions.udf.CIQ($B9, "IQ_SGA_MARGIN", FE$3, $I$3, $N$3, , $J$3, $K$3)/100)),"")</f>
        <v/>
      </c>
      <c r="FF9" s="72" t="str">
        <f>IFERROR(IF(OR($B9="",FF$3=""),"",IF(AND($EW$4="No",_xll.ciqfunctions.udf.CIQ($B9, "IQ_SGA_MARGIN", FF$3, $I$3, $N$3, , $J$3, $K$3)&lt;=0),"",_xll.ciqfunctions.udf.CIQ($B9, "IQ_SGA_MARGIN", FF$3, $I$3, $N$3, , $J$3, $K$3)/100)),"")</f>
        <v/>
      </c>
      <c r="FG9" s="72" t="str">
        <f>IFERROR(IF(OR($B9="",FG$3=""),"",IF(AND($EW$4="No",_xll.ciqfunctions.udf.CIQ($B9, "IQ_SGA_MARGIN", FG$3, $I$3, $N$3, , $J$3, $K$3)&lt;=0),"",_xll.ciqfunctions.udf.CIQ($B9, "IQ_SGA_MARGIN", FG$3, $I$3, $N$3, , $J$3, $K$3)/100)),"")</f>
        <v/>
      </c>
      <c r="FH9" s="72" t="str">
        <f>IFERROR(IF(OR($B9="",FH$3=""),"",IF(AND($EW$4="No",_xll.ciqfunctions.udf.CIQ($B9, "IQ_SGA_MARGIN", FH$3, $I$3, $N$3, , $J$3, $K$3)&lt;=0),"",_xll.ciqfunctions.udf.CIQ($B9, "IQ_SGA_MARGIN", FH$3, $I$3, $N$3, , $J$3, $K$3)/100)),"")</f>
        <v/>
      </c>
      <c r="FI9" s="72" t="str">
        <f>IFERROR(IF(OR($B9="",FI$3=""),"",IF(AND($EW$4="No",_xll.ciqfunctions.udf.CIQ($B9, "IQ_SGA_MARGIN", FI$3, $I$3, $N$3, , $J$3, $K$3)&lt;=0),"",_xll.ciqfunctions.udf.CIQ($B9, "IQ_SGA_MARGIN", FI$3, $I$3, $N$3, , $J$3, $K$3)/100)),"")</f>
        <v/>
      </c>
      <c r="FJ9" s="72" t="str">
        <f>IFERROR(IF(OR($B9="",FJ$3=""),"",IF(AND($EW$4="No",_xll.ciqfunctions.udf.CIQ($B9, "IQ_SGA_MARGIN", FJ$3, $I$3, $N$3, , $J$3, $K$3)&lt;=0),"",_xll.ciqfunctions.udf.CIQ($B9, "IQ_SGA_MARGIN", FJ$3, $I$3, $N$3, , $J$3, $K$3)/100)),"")</f>
        <v/>
      </c>
      <c r="FK9" s="72" t="str">
        <f>IFERROR(IF(OR($B9="",FK$3=""),"",IF(AND($EW$4="No",_xll.ciqfunctions.udf.CIQ($B9, "IQ_SGA_MARGIN", FK$3, $I$3, $N$3, , $J$3, $K$3)&lt;=0),"",_xll.ciqfunctions.udf.CIQ($B9, "IQ_SGA_MARGIN", FK$3, $I$3, $N$3, , $J$3, $K$3)/100)),"")</f>
        <v/>
      </c>
      <c r="FL9" s="72" t="str">
        <f>IFERROR(IF(OR($B9="",FL$3=""),"",IF(AND($EW$4="No",_xll.ciqfunctions.udf.CIQ($B9, "IQ_SGA_MARGIN", FL$3, $I$3, $N$3, , $J$3, $K$3)&lt;=0),"",_xll.ciqfunctions.udf.CIQ($B9, "IQ_SGA_MARGIN", FL$3, $I$3, $N$3, , $J$3, $K$3)/100)),"")</f>
        <v/>
      </c>
      <c r="FM9" s="72" t="str">
        <f>IFERROR(IF(OR($B9="",FM$3=""),"",IF(AND($EW$4="No",_xll.ciqfunctions.udf.CIQ($B9, "IQ_SGA_MARGIN", FM$3, $I$3, $N$3, , $J$3, $K$3)&lt;=0),"",_xll.ciqfunctions.udf.CIQ($B9, "IQ_SGA_MARGIN", FM$3, $I$3, $N$3, , $J$3, $K$3)/100)),"")</f>
        <v/>
      </c>
      <c r="FN9" s="72" t="str">
        <f>IFERROR(IF(OR($B9="",FN$3=""),"",IF(AND($EW$4="No",_xll.ciqfunctions.udf.CIQ($B9, "IQ_SGA_MARGIN", FN$3, $I$3, $N$3, , $J$3, $K$3)&lt;=0),"",_xll.ciqfunctions.udf.CIQ($B9, "IQ_SGA_MARGIN", FN$3, $I$3, $N$3, , $J$3, $K$3)/100)),"")</f>
        <v/>
      </c>
      <c r="FO9" s="72" t="str">
        <f>IFERROR(IF(OR($B9="",FO$3=""),"",IF(AND($EW$4="No",_xll.ciqfunctions.udf.CIQ($B9, "IQ_SGA_MARGIN", FO$3, $I$3, $N$3, , $J$3, $K$3)&lt;=0),"",_xll.ciqfunctions.udf.CIQ($B9, "IQ_SGA_MARGIN", FO$3, $I$3, $N$3, , $J$3, $K$3)/100)),"")</f>
        <v/>
      </c>
      <c r="FP9" s="72" t="str">
        <f>IFERROR(IF(OR($B9="",FP$3=""),"",IF(AND($EW$4="No",_xll.ciqfunctions.udf.CIQ($B9, "IQ_SGA_MARGIN", FP$3, $I$3, $N$3, , $J$3, $K$3)&lt;=0),"",_xll.ciqfunctions.udf.CIQ($B9, "IQ_SGA_MARGIN", FP$3, $I$3, $N$3, , $J$3, $K$3)/100)),"")</f>
        <v/>
      </c>
      <c r="FQ9" s="86" t="str">
        <f>IFERROR(IF(OR($B9="",FQ$3=""),"",IF(AND($FQ$4="No",_xll.ciqfunctions.udf.CIQ($B9, "IQ_RD_EXP",FQ$3, $I$3, $N$3, , $J$3, $K$3)&lt;=0),"",_xll.ciqfunctions.udf.CIQ($B9, "IQ_RD_EXP",FQ$3, $I$3, $N$3, , $J$3, $K$3)/_xll.ciqfunctions.udf.CIQ($B9,"IQ_TOTAL_REV",FQ$3, $I$3, $N$3, , $J$3, $K$3))),"")</f>
        <v/>
      </c>
      <c r="FR9" s="87" t="str">
        <f>IFERROR(IF(OR($B9="",FR$3=""),"",IF(AND($FQ$4="No",_xll.ciqfunctions.udf.CIQ($B9, "IQ_RD_EXP",FR$3, $I$3, $N$3, , $J$3, $K$3)&lt;=0),"",_xll.ciqfunctions.udf.CIQ($B9, "IQ_RD_EXP",FR$3, $I$3, $N$3, , $J$3, $K$3)/_xll.ciqfunctions.udf.CIQ($B9,"IQ_TOTAL_REV",FR$3, $I$3, $N$3, , $J$3, $K$3))),"")</f>
        <v/>
      </c>
      <c r="FS9" s="87" t="str">
        <f>IFERROR(IF(OR($B9="",FS$3=""),"",IF(AND($FQ$4="No",_xll.ciqfunctions.udf.CIQ($B9, "IQ_RD_EXP",FS$3, $I$3, $N$3, , $J$3, $K$3)&lt;=0),"",_xll.ciqfunctions.udf.CIQ($B9, "IQ_RD_EXP",FS$3, $I$3, $N$3, , $J$3, $K$3)/_xll.ciqfunctions.udf.CIQ($B9,"IQ_TOTAL_REV",FS$3, $I$3, $N$3, , $J$3, $K$3))),"")</f>
        <v/>
      </c>
      <c r="FT9" s="87" t="str">
        <f>IFERROR(IF(OR($B9="",FT$3=""),"",IF(AND($FQ$4="No",_xll.ciqfunctions.udf.CIQ($B9, "IQ_RD_EXP",FT$3, $I$3, $N$3, , $J$3, $K$3)&lt;=0),"",_xll.ciqfunctions.udf.CIQ($B9, "IQ_RD_EXP",FT$3, $I$3, $N$3, , $J$3, $K$3)/_xll.ciqfunctions.udf.CIQ($B9,"IQ_TOTAL_REV",FT$3, $I$3, $N$3, , $J$3, $K$3))),"")</f>
        <v/>
      </c>
      <c r="FU9" s="87" t="str">
        <f>IFERROR(IF(OR($B9="",FU$3=""),"",IF(AND($FQ$4="No",_xll.ciqfunctions.udf.CIQ($B9, "IQ_RD_EXP",FU$3, $I$3, $N$3, , $J$3, $K$3)&lt;=0),"",_xll.ciqfunctions.udf.CIQ($B9, "IQ_RD_EXP",FU$3, $I$3, $N$3, , $J$3, $K$3)/_xll.ciqfunctions.udf.CIQ($B9,"IQ_TOTAL_REV",FU$3, $I$3, $N$3, , $J$3, $K$3))),"")</f>
        <v/>
      </c>
      <c r="FV9" s="87" t="str">
        <f>IFERROR(IF(OR($B9="",FV$3=""),"",IF(AND($FQ$4="No",_xll.ciqfunctions.udf.CIQ($B9, "IQ_RD_EXP",FV$3, $I$3, $N$3, , $J$3, $K$3)&lt;=0),"",_xll.ciqfunctions.udf.CIQ($B9, "IQ_RD_EXP",FV$3, $I$3, $N$3, , $J$3, $K$3)/_xll.ciqfunctions.udf.CIQ($B9,"IQ_TOTAL_REV",FV$3, $I$3, $N$3, , $J$3, $K$3))),"")</f>
        <v/>
      </c>
      <c r="FW9" s="87" t="str">
        <f>IFERROR(IF(OR($B9="",FW$3=""),"",IF(AND($FQ$4="No",_xll.ciqfunctions.udf.CIQ($B9, "IQ_RD_EXP",FW$3, $I$3, $N$3, , $J$3, $K$3)&lt;=0),"",_xll.ciqfunctions.udf.CIQ($B9, "IQ_RD_EXP",FW$3, $I$3, $N$3, , $J$3, $K$3)/_xll.ciqfunctions.udf.CIQ($B9,"IQ_TOTAL_REV",FW$3, $I$3, $N$3, , $J$3, $K$3))),"")</f>
        <v/>
      </c>
      <c r="FX9" s="87" t="str">
        <f>IFERROR(IF(OR($B9="",FX$3=""),"",IF(AND($FQ$4="No",_xll.ciqfunctions.udf.CIQ($B9, "IQ_RD_EXP",FX$3, $I$3, $N$3, , $J$3, $K$3)&lt;=0),"",_xll.ciqfunctions.udf.CIQ($B9, "IQ_RD_EXP",FX$3, $I$3, $N$3, , $J$3, $K$3)/_xll.ciqfunctions.udf.CIQ($B9,"IQ_TOTAL_REV",FX$3, $I$3, $N$3, , $J$3, $K$3))),"")</f>
        <v/>
      </c>
      <c r="FY9" s="87" t="str">
        <f>IFERROR(IF(OR($B9="",FY$3=""),"",IF(AND($FQ$4="No",_xll.ciqfunctions.udf.CIQ($B9, "IQ_RD_EXP",FY$3, $I$3, $N$3, , $J$3, $K$3)&lt;=0),"",_xll.ciqfunctions.udf.CIQ($B9, "IQ_RD_EXP",FY$3, $I$3, $N$3, , $J$3, $K$3)/_xll.ciqfunctions.udf.CIQ($B9,"IQ_TOTAL_REV",FY$3, $I$3, $N$3, , $J$3, $K$3))),"")</f>
        <v/>
      </c>
      <c r="FZ9" s="87" t="str">
        <f>IFERROR(IF(OR($B9="",FZ$3=""),"",IF(AND($FQ$4="No",_xll.ciqfunctions.udf.CIQ($B9, "IQ_RD_EXP",FZ$3, $I$3, $N$3, , $J$3, $K$3)&lt;=0),"",_xll.ciqfunctions.udf.CIQ($B9, "IQ_RD_EXP",FZ$3, $I$3, $N$3, , $J$3, $K$3)/_xll.ciqfunctions.udf.CIQ($B9,"IQ_TOTAL_REV",FZ$3, $I$3, $N$3, , $J$3, $K$3))),"")</f>
        <v/>
      </c>
      <c r="GA9" s="87" t="str">
        <f>IFERROR(IF(OR($B9="",GA$3=""),"",IF(AND($FQ$4="No",_xll.ciqfunctions.udf.CIQ($B9, "IQ_RD_EXP",GA$3, $I$3, $N$3, , $J$3, $K$3)&lt;=0),"",_xll.ciqfunctions.udf.CIQ($B9, "IQ_RD_EXP",GA$3, $I$3, $N$3, , $J$3, $K$3)/_xll.ciqfunctions.udf.CIQ($B9,"IQ_TOTAL_REV",GA$3, $I$3, $N$3, , $J$3, $K$3))),"")</f>
        <v/>
      </c>
      <c r="GB9" s="87" t="str">
        <f>IFERROR(IF(OR($B9="",GB$3=""),"",IF(AND($FQ$4="No",_xll.ciqfunctions.udf.CIQ($B9, "IQ_RD_EXP",GB$3, $I$3, $N$3, , $J$3, $K$3)&lt;=0),"",_xll.ciqfunctions.udf.CIQ($B9, "IQ_RD_EXP",GB$3, $I$3, $N$3, , $J$3, $K$3)/_xll.ciqfunctions.udf.CIQ($B9,"IQ_TOTAL_REV",GB$3, $I$3, $N$3, , $J$3, $K$3))),"")</f>
        <v/>
      </c>
      <c r="GC9" s="87" t="str">
        <f>IFERROR(IF(OR($B9="",GC$3=""),"",IF(AND($FQ$4="No",_xll.ciqfunctions.udf.CIQ($B9, "IQ_RD_EXP",GC$3, $I$3, $N$3, , $J$3, $K$3)&lt;=0),"",_xll.ciqfunctions.udf.CIQ($B9, "IQ_RD_EXP",GC$3, $I$3, $N$3, , $J$3, $K$3)/_xll.ciqfunctions.udf.CIQ($B9,"IQ_TOTAL_REV",GC$3, $I$3, $N$3, , $J$3, $K$3))),"")</f>
        <v/>
      </c>
      <c r="GD9" s="87" t="str">
        <f>IFERROR(IF(OR($B9="",GD$3=""),"",IF(AND($FQ$4="No",_xll.ciqfunctions.udf.CIQ($B9, "IQ_RD_EXP",GD$3, $I$3, $N$3, , $J$3, $K$3)&lt;=0),"",_xll.ciqfunctions.udf.CIQ($B9, "IQ_RD_EXP",GD$3, $I$3, $N$3, , $J$3, $K$3)/_xll.ciqfunctions.udf.CIQ($B9,"IQ_TOTAL_REV",GD$3, $I$3, $N$3, , $J$3, $K$3))),"")</f>
        <v/>
      </c>
      <c r="GE9" s="87" t="str">
        <f>IFERROR(IF(OR($B9="",GE$3=""),"",IF(AND($FQ$4="No",_xll.ciqfunctions.udf.CIQ($B9, "IQ_RD_EXP",GE$3, $I$3, $N$3, , $J$3, $K$3)&lt;=0),"",_xll.ciqfunctions.udf.CIQ($B9, "IQ_RD_EXP",GE$3, $I$3, $N$3, , $J$3, $K$3)/_xll.ciqfunctions.udf.CIQ($B9,"IQ_TOTAL_REV",GE$3, $I$3, $N$3, , $J$3, $K$3))),"")</f>
        <v/>
      </c>
      <c r="GF9" s="87" t="str">
        <f>IFERROR(IF(OR($B9="",GF$3=""),"",IF(AND($FQ$4="No",_xll.ciqfunctions.udf.CIQ($B9, "IQ_RD_EXP",GF$3, $I$3, $N$3, , $J$3, $K$3)&lt;=0),"",_xll.ciqfunctions.udf.CIQ($B9, "IQ_RD_EXP",GF$3, $I$3, $N$3, , $J$3, $K$3)/_xll.ciqfunctions.udf.CIQ($B9,"IQ_TOTAL_REV",GF$3, $I$3, $N$3, , $J$3, $K$3))),"")</f>
        <v/>
      </c>
      <c r="GG9" s="87" t="str">
        <f>IFERROR(IF(OR($B9="",GG$3=""),"",IF(AND($FQ$4="No",_xll.ciqfunctions.udf.CIQ($B9, "IQ_RD_EXP",GG$3, $I$3, $N$3, , $J$3, $K$3)&lt;=0),"",_xll.ciqfunctions.udf.CIQ($B9, "IQ_RD_EXP",GG$3, $I$3, $N$3, , $J$3, $K$3)/_xll.ciqfunctions.udf.CIQ($B9,"IQ_TOTAL_REV",GG$3, $I$3, $N$3, , $J$3, $K$3))),"")</f>
        <v/>
      </c>
      <c r="GH9" s="87" t="str">
        <f>IFERROR(IF(OR($B9="",GH$3=""),"",IF(AND($FQ$4="No",_xll.ciqfunctions.udf.CIQ($B9, "IQ_RD_EXP",GH$3, $I$3, $N$3, , $J$3, $K$3)&lt;=0),"",_xll.ciqfunctions.udf.CIQ($B9, "IQ_RD_EXP",GH$3, $I$3, $N$3, , $J$3, $K$3)/_xll.ciqfunctions.udf.CIQ($B9,"IQ_TOTAL_REV",GH$3, $I$3, $N$3, , $J$3, $K$3))),"")</f>
        <v/>
      </c>
      <c r="GI9" s="87" t="str">
        <f>IFERROR(IF(OR($B9="",GI$3=""),"",IF(AND($FQ$4="No",_xll.ciqfunctions.udf.CIQ($B9, "IQ_RD_EXP",GI$3, $I$3, $N$3, , $J$3, $K$3)&lt;=0),"",_xll.ciqfunctions.udf.CIQ($B9, "IQ_RD_EXP",GI$3, $I$3, $N$3, , $J$3, $K$3)/_xll.ciqfunctions.udf.CIQ($B9,"IQ_TOTAL_REV",GI$3, $I$3, $N$3, , $J$3, $K$3))),"")</f>
        <v/>
      </c>
      <c r="GJ9" s="88" t="str">
        <f>IFERROR(IF(OR($B9="",GJ$3=""),"",IF(AND($FQ$4="No",_xll.ciqfunctions.udf.CIQ($B9, "IQ_RD_EXP",GJ$3, $I$3, $N$3, , $J$3, $K$3)&lt;=0),"",_xll.ciqfunctions.udf.CIQ($B9, "IQ_RD_EXP",GJ$3, $I$3, $N$3, , $J$3, $K$3)/_xll.ciqfunctions.udf.CIQ($B9,"IQ_TOTAL_REV",GJ$3, $I$3, $N$3, , $J$3, $K$3))),"")</f>
        <v/>
      </c>
      <c r="GK9" s="89" t="str">
        <f>IFERROR(IF(OR($B9="",GK$3=""),"",IF(AND($GK$4="No",(_xll.ciqfunctions.udf.CIQ($B9,"IQ_AR",GK$3, $I$3, $N$3, , $J$3, $K$3)+_xll.ciqfunctions.udf.CIQ($B9,"IQ_AR","IQ_" &amp; LEFT(GK$3,2) &amp; "-1",GK$3, $N$3, , $J$3, $K$3))&lt;=0),"",$GK$2*0.5*(_xll.ciqfunctions.udf.CIQ($B9,"IQ_AR",GK$3, $I$3, $N$3, , $J$3, $K$3)+_xll.ciqfunctions.udf.CIQ($B9,"IQ_AR","IQ_" &amp; LEFT(GK$3,2) &amp; "-1",GK$3, $N$3, , $J$3, $K$3))/_xll.ciqfunctions.udf.CIQ($B9,"IQ_TOTAL_REVENUE",GK$3, $I$3, $N$3, , $J$3, $K$3))),"")</f>
        <v/>
      </c>
      <c r="GL9" s="90" t="str">
        <f>IFERROR(IF(OR($B9="",GL$3=""),"",IF(AND($GK$4="No",(_xll.ciqfunctions.udf.CIQ($B9,"IQ_AR",GL$3, $I$3, $N$3, , $J$3, $K$3)+_xll.ciqfunctions.udf.CIQ($B9,"IQ_AR","IQ_" &amp; LEFT(GL$3,2) &amp; "-1",GL$3, $N$3, , $J$3, $K$3))&lt;=0),"",$GK$2*0.5*(_xll.ciqfunctions.udf.CIQ($B9,"IQ_AR",GL$3, $I$3, $N$3, , $J$3, $K$3)+_xll.ciqfunctions.udf.CIQ($B9,"IQ_AR","IQ_" &amp; LEFT(GL$3,2) &amp; "-1",GL$3, $N$3, , $J$3, $K$3))/_xll.ciqfunctions.udf.CIQ($B9,"IQ_TOTAL_REVENUE",GL$3, $I$3, $N$3, , $J$3, $K$3))),"")</f>
        <v/>
      </c>
      <c r="GM9" s="90" t="str">
        <f>IFERROR(IF(OR($B9="",GM$3=""),"",IF(AND($GK$4="No",(_xll.ciqfunctions.udf.CIQ($B9,"IQ_AR",GM$3, $I$3, $N$3, , $J$3, $K$3)+_xll.ciqfunctions.udf.CIQ($B9,"IQ_AR","IQ_" &amp; LEFT(GM$3,2) &amp; "-1",GM$3, $N$3, , $J$3, $K$3))&lt;=0),"",$GK$2*0.5*(_xll.ciqfunctions.udf.CIQ($B9,"IQ_AR",GM$3, $I$3, $N$3, , $J$3, $K$3)+_xll.ciqfunctions.udf.CIQ($B9,"IQ_AR","IQ_" &amp; LEFT(GM$3,2) &amp; "-1",GM$3, $N$3, , $J$3, $K$3))/_xll.ciqfunctions.udf.CIQ($B9,"IQ_TOTAL_REVENUE",GM$3, $I$3, $N$3, , $J$3, $K$3))),"")</f>
        <v/>
      </c>
      <c r="GN9" s="90" t="str">
        <f>IFERROR(IF(OR($B9="",GN$3=""),"",IF(AND($GK$4="No",(_xll.ciqfunctions.udf.CIQ($B9,"IQ_AR",GN$3, $I$3, $N$3, , $J$3, $K$3)+_xll.ciqfunctions.udf.CIQ($B9,"IQ_AR","IQ_" &amp; LEFT(GN$3,2) &amp; "-1",GN$3, $N$3, , $J$3, $K$3))&lt;=0),"",$GK$2*0.5*(_xll.ciqfunctions.udf.CIQ($B9,"IQ_AR",GN$3, $I$3, $N$3, , $J$3, $K$3)+_xll.ciqfunctions.udf.CIQ($B9,"IQ_AR","IQ_" &amp; LEFT(GN$3,2) &amp; "-1",GN$3, $N$3, , $J$3, $K$3))/_xll.ciqfunctions.udf.CIQ($B9,"IQ_TOTAL_REVENUE",GN$3, $I$3, $N$3, , $J$3, $K$3))),"")</f>
        <v/>
      </c>
      <c r="GO9" s="90" t="str">
        <f>IFERROR(IF(OR($B9="",GO$3=""),"",IF(AND($GK$4="No",(_xll.ciqfunctions.udf.CIQ($B9,"IQ_AR",GO$3, $I$3, $N$3, , $J$3, $K$3)+_xll.ciqfunctions.udf.CIQ($B9,"IQ_AR","IQ_" &amp; LEFT(GO$3,2) &amp; "-1",GO$3, $N$3, , $J$3, $K$3))&lt;=0),"",$GK$2*0.5*(_xll.ciqfunctions.udf.CIQ($B9,"IQ_AR",GO$3, $I$3, $N$3, , $J$3, $K$3)+_xll.ciqfunctions.udf.CIQ($B9,"IQ_AR","IQ_" &amp; LEFT(GO$3,2) &amp; "-1",GO$3, $N$3, , $J$3, $K$3))/_xll.ciqfunctions.udf.CIQ($B9,"IQ_TOTAL_REVENUE",GO$3, $I$3, $N$3, , $J$3, $K$3))),"")</f>
        <v/>
      </c>
      <c r="GP9" s="90" t="str">
        <f>IFERROR(IF(OR($B9="",GP$3=""),"",IF(AND($GK$4="No",(_xll.ciqfunctions.udf.CIQ($B9,"IQ_AR",GP$3, $I$3, $N$3, , $J$3, $K$3)+_xll.ciqfunctions.udf.CIQ($B9,"IQ_AR","IQ_" &amp; LEFT(GP$3,2) &amp; "-1",GP$3, $N$3, , $J$3, $K$3))&lt;=0),"",$GK$2*0.5*(_xll.ciqfunctions.udf.CIQ($B9,"IQ_AR",GP$3, $I$3, $N$3, , $J$3, $K$3)+_xll.ciqfunctions.udf.CIQ($B9,"IQ_AR","IQ_" &amp; LEFT(GP$3,2) &amp; "-1",GP$3, $N$3, , $J$3, $K$3))/_xll.ciqfunctions.udf.CIQ($B9,"IQ_TOTAL_REVENUE",GP$3, $I$3, $N$3, , $J$3, $K$3))),"")</f>
        <v/>
      </c>
      <c r="GQ9" s="90" t="str">
        <f>IFERROR(IF(OR($B9="",GQ$3=""),"",IF(AND($GK$4="No",(_xll.ciqfunctions.udf.CIQ($B9,"IQ_AR",GQ$3, $I$3, $N$3, , $J$3, $K$3)+_xll.ciqfunctions.udf.CIQ($B9,"IQ_AR","IQ_" &amp; LEFT(GQ$3,2) &amp; "-1",GQ$3, $N$3, , $J$3, $K$3))&lt;=0),"",$GK$2*0.5*(_xll.ciqfunctions.udf.CIQ($B9,"IQ_AR",GQ$3, $I$3, $N$3, , $J$3, $K$3)+_xll.ciqfunctions.udf.CIQ($B9,"IQ_AR","IQ_" &amp; LEFT(GQ$3,2) &amp; "-1",GQ$3, $N$3, , $J$3, $K$3))/_xll.ciqfunctions.udf.CIQ($B9,"IQ_TOTAL_REVENUE",GQ$3, $I$3, $N$3, , $J$3, $K$3))),"")</f>
        <v/>
      </c>
      <c r="GR9" s="90" t="str">
        <f>IFERROR(IF(OR($B9="",GR$3=""),"",IF(AND($GK$4="No",(_xll.ciqfunctions.udf.CIQ($B9,"IQ_AR",GR$3, $I$3, $N$3, , $J$3, $K$3)+_xll.ciqfunctions.udf.CIQ($B9,"IQ_AR","IQ_" &amp; LEFT(GR$3,2) &amp; "-1",GR$3, $N$3, , $J$3, $K$3))&lt;=0),"",$GK$2*0.5*(_xll.ciqfunctions.udf.CIQ($B9,"IQ_AR",GR$3, $I$3, $N$3, , $J$3, $K$3)+_xll.ciqfunctions.udf.CIQ($B9,"IQ_AR","IQ_" &amp; LEFT(GR$3,2) &amp; "-1",GR$3, $N$3, , $J$3, $K$3))/_xll.ciqfunctions.udf.CIQ($B9,"IQ_TOTAL_REVENUE",GR$3, $I$3, $N$3, , $J$3, $K$3))),"")</f>
        <v/>
      </c>
      <c r="GS9" s="90" t="str">
        <f>IFERROR(IF(OR($B9="",GS$3=""),"",IF(AND($GK$4="No",(_xll.ciqfunctions.udf.CIQ($B9,"IQ_AR",GS$3, $I$3, $N$3, , $J$3, $K$3)+_xll.ciqfunctions.udf.CIQ($B9,"IQ_AR","IQ_" &amp; LEFT(GS$3,2) &amp; "-1",GS$3, $N$3, , $J$3, $K$3))&lt;=0),"",$GK$2*0.5*(_xll.ciqfunctions.udf.CIQ($B9,"IQ_AR",GS$3, $I$3, $N$3, , $J$3, $K$3)+_xll.ciqfunctions.udf.CIQ($B9,"IQ_AR","IQ_" &amp; LEFT(GS$3,2) &amp; "-1",GS$3, $N$3, , $J$3, $K$3))/_xll.ciqfunctions.udf.CIQ($B9,"IQ_TOTAL_REVENUE",GS$3, $I$3, $N$3, , $J$3, $K$3))),"")</f>
        <v/>
      </c>
      <c r="GT9" s="90" t="str">
        <f>IFERROR(IF(OR($B9="",GT$3=""),"",IF(AND($GK$4="No",(_xll.ciqfunctions.udf.CIQ($B9,"IQ_AR",GT$3, $I$3, $N$3, , $J$3, $K$3)+_xll.ciqfunctions.udf.CIQ($B9,"IQ_AR","IQ_" &amp; LEFT(GT$3,2) &amp; "-1",GT$3, $N$3, , $J$3, $K$3))&lt;=0),"",$GK$2*0.5*(_xll.ciqfunctions.udf.CIQ($B9,"IQ_AR",GT$3, $I$3, $N$3, , $J$3, $K$3)+_xll.ciqfunctions.udf.CIQ($B9,"IQ_AR","IQ_" &amp; LEFT(GT$3,2) &amp; "-1",GT$3, $N$3, , $J$3, $K$3))/_xll.ciqfunctions.udf.CIQ($B9,"IQ_TOTAL_REVENUE",GT$3, $I$3, $N$3, , $J$3, $K$3))),"")</f>
        <v/>
      </c>
      <c r="GU9" s="90" t="str">
        <f>IFERROR(IF(OR($B9="",GU$3=""),"",IF(AND($GK$4="No",(_xll.ciqfunctions.udf.CIQ($B9,"IQ_AR",GU$3, $I$3, $N$3, , $J$3, $K$3)+_xll.ciqfunctions.udf.CIQ($B9,"IQ_AR","IQ_" &amp; LEFT(GU$3,2) &amp; "-1",GU$3, $N$3, , $J$3, $K$3))&lt;=0),"",$GK$2*0.5*(_xll.ciqfunctions.udf.CIQ($B9,"IQ_AR",GU$3, $I$3, $N$3, , $J$3, $K$3)+_xll.ciqfunctions.udf.CIQ($B9,"IQ_AR","IQ_" &amp; LEFT(GU$3,2) &amp; "-1",GU$3, $N$3, , $J$3, $K$3))/_xll.ciqfunctions.udf.CIQ($B9,"IQ_TOTAL_REVENUE",GU$3, $I$3, $N$3, , $J$3, $K$3))),"")</f>
        <v/>
      </c>
      <c r="GV9" s="90" t="str">
        <f>IFERROR(IF(OR($B9="",GV$3=""),"",IF(AND($GK$4="No",(_xll.ciqfunctions.udf.CIQ($B9,"IQ_AR",GV$3, $I$3, $N$3, , $J$3, $K$3)+_xll.ciqfunctions.udf.CIQ($B9,"IQ_AR","IQ_" &amp; LEFT(GV$3,2) &amp; "-1",GV$3, $N$3, , $J$3, $K$3))&lt;=0),"",$GK$2*0.5*(_xll.ciqfunctions.udf.CIQ($B9,"IQ_AR",GV$3, $I$3, $N$3, , $J$3, $K$3)+_xll.ciqfunctions.udf.CIQ($B9,"IQ_AR","IQ_" &amp; LEFT(GV$3,2) &amp; "-1",GV$3, $N$3, , $J$3, $K$3))/_xll.ciqfunctions.udf.CIQ($B9,"IQ_TOTAL_REVENUE",GV$3, $I$3, $N$3, , $J$3, $K$3))),"")</f>
        <v/>
      </c>
      <c r="GW9" s="90" t="str">
        <f>IFERROR(IF(OR($B9="",GW$3=""),"",IF(AND($GK$4="No",(_xll.ciqfunctions.udf.CIQ($B9,"IQ_AR",GW$3, $I$3, $N$3, , $J$3, $K$3)+_xll.ciqfunctions.udf.CIQ($B9,"IQ_AR","IQ_" &amp; LEFT(GW$3,2) &amp; "-1",GW$3, $N$3, , $J$3, $K$3))&lt;=0),"",$GK$2*0.5*(_xll.ciqfunctions.udf.CIQ($B9,"IQ_AR",GW$3, $I$3, $N$3, , $J$3, $K$3)+_xll.ciqfunctions.udf.CIQ($B9,"IQ_AR","IQ_" &amp; LEFT(GW$3,2) &amp; "-1",GW$3, $N$3, , $J$3, $K$3))/_xll.ciqfunctions.udf.CIQ($B9,"IQ_TOTAL_REVENUE",GW$3, $I$3, $N$3, , $J$3, $K$3))),"")</f>
        <v/>
      </c>
      <c r="GX9" s="90" t="str">
        <f>IFERROR(IF(OR($B9="",GX$3=""),"",IF(AND($GK$4="No",(_xll.ciqfunctions.udf.CIQ($B9,"IQ_AR",GX$3, $I$3, $N$3, , $J$3, $K$3)+_xll.ciqfunctions.udf.CIQ($B9,"IQ_AR","IQ_" &amp; LEFT(GX$3,2) &amp; "-1",GX$3, $N$3, , $J$3, $K$3))&lt;=0),"",$GK$2*0.5*(_xll.ciqfunctions.udf.CIQ($B9,"IQ_AR",GX$3, $I$3, $N$3, , $J$3, $K$3)+_xll.ciqfunctions.udf.CIQ($B9,"IQ_AR","IQ_" &amp; LEFT(GX$3,2) &amp; "-1",GX$3, $N$3, , $J$3, $K$3))/_xll.ciqfunctions.udf.CIQ($B9,"IQ_TOTAL_REVENUE",GX$3, $I$3, $N$3, , $J$3, $K$3))),"")</f>
        <v/>
      </c>
      <c r="GY9" s="90" t="str">
        <f>IFERROR(IF(OR($B9="",GY$3=""),"",IF(AND($GK$4="No",(_xll.ciqfunctions.udf.CIQ($B9,"IQ_AR",GY$3, $I$3, $N$3, , $J$3, $K$3)+_xll.ciqfunctions.udf.CIQ($B9,"IQ_AR","IQ_" &amp; LEFT(GY$3,2) &amp; "-1",GY$3, $N$3, , $J$3, $K$3))&lt;=0),"",$GK$2*0.5*(_xll.ciqfunctions.udf.CIQ($B9,"IQ_AR",GY$3, $I$3, $N$3, , $J$3, $K$3)+_xll.ciqfunctions.udf.CIQ($B9,"IQ_AR","IQ_" &amp; LEFT(GY$3,2) &amp; "-1",GY$3, $N$3, , $J$3, $K$3))/_xll.ciqfunctions.udf.CIQ($B9,"IQ_TOTAL_REVENUE",GY$3, $I$3, $N$3, , $J$3, $K$3))),"")</f>
        <v/>
      </c>
      <c r="GZ9" s="90" t="str">
        <f>IFERROR(IF(OR($B9="",GZ$3=""),"",IF(AND($GK$4="No",(_xll.ciqfunctions.udf.CIQ($B9,"IQ_AR",GZ$3, $I$3, $N$3, , $J$3, $K$3)+_xll.ciqfunctions.udf.CIQ($B9,"IQ_AR","IQ_" &amp; LEFT(GZ$3,2) &amp; "-1",GZ$3, $N$3, , $J$3, $K$3))&lt;=0),"",$GK$2*0.5*(_xll.ciqfunctions.udf.CIQ($B9,"IQ_AR",GZ$3, $I$3, $N$3, , $J$3, $K$3)+_xll.ciqfunctions.udf.CIQ($B9,"IQ_AR","IQ_" &amp; LEFT(GZ$3,2) &amp; "-1",GZ$3, $N$3, , $J$3, $K$3))/_xll.ciqfunctions.udf.CIQ($B9,"IQ_TOTAL_REVENUE",GZ$3, $I$3, $N$3, , $J$3, $K$3))),"")</f>
        <v/>
      </c>
      <c r="HA9" s="90" t="str">
        <f>IFERROR(IF(OR($B9="",HA$3=""),"",IF(AND($GK$4="No",(_xll.ciqfunctions.udf.CIQ($B9,"IQ_AR",HA$3, $I$3, $N$3, , $J$3, $K$3)+_xll.ciqfunctions.udf.CIQ($B9,"IQ_AR","IQ_" &amp; LEFT(HA$3,2) &amp; "-1",HA$3, $N$3, , $J$3, $K$3))&lt;=0),"",$GK$2*0.5*(_xll.ciqfunctions.udf.CIQ($B9,"IQ_AR",HA$3, $I$3, $N$3, , $J$3, $K$3)+_xll.ciqfunctions.udf.CIQ($B9,"IQ_AR","IQ_" &amp; LEFT(HA$3,2) &amp; "-1",HA$3, $N$3, , $J$3, $K$3))/_xll.ciqfunctions.udf.CIQ($B9,"IQ_TOTAL_REVENUE",HA$3, $I$3, $N$3, , $J$3, $K$3))),"")</f>
        <v/>
      </c>
      <c r="HB9" s="90" t="str">
        <f>IFERROR(IF(OR($B9="",HB$3=""),"",IF(AND($GK$4="No",(_xll.ciqfunctions.udf.CIQ($B9,"IQ_AR",HB$3, $I$3, $N$3, , $J$3, $K$3)+_xll.ciqfunctions.udf.CIQ($B9,"IQ_AR","IQ_" &amp; LEFT(HB$3,2) &amp; "-1",HB$3, $N$3, , $J$3, $K$3))&lt;=0),"",$GK$2*0.5*(_xll.ciqfunctions.udf.CIQ($B9,"IQ_AR",HB$3, $I$3, $N$3, , $J$3, $K$3)+_xll.ciqfunctions.udf.CIQ($B9,"IQ_AR","IQ_" &amp; LEFT(HB$3,2) &amp; "-1",HB$3, $N$3, , $J$3, $K$3))/_xll.ciqfunctions.udf.CIQ($B9,"IQ_TOTAL_REVENUE",HB$3, $I$3, $N$3, , $J$3, $K$3))),"")</f>
        <v/>
      </c>
      <c r="HC9" s="90" t="str">
        <f>IFERROR(IF(OR($B9="",HC$3=""),"",IF(AND($GK$4="No",(_xll.ciqfunctions.udf.CIQ($B9,"IQ_AR",HC$3, $I$3, $N$3, , $J$3, $K$3)+_xll.ciqfunctions.udf.CIQ($B9,"IQ_AR","IQ_" &amp; LEFT(HC$3,2) &amp; "-1",HC$3, $N$3, , $J$3, $K$3))&lt;=0),"",$GK$2*0.5*(_xll.ciqfunctions.udf.CIQ($B9,"IQ_AR",HC$3, $I$3, $N$3, , $J$3, $K$3)+_xll.ciqfunctions.udf.CIQ($B9,"IQ_AR","IQ_" &amp; LEFT(HC$3,2) &amp; "-1",HC$3, $N$3, , $J$3, $K$3))/_xll.ciqfunctions.udf.CIQ($B9,"IQ_TOTAL_REVENUE",HC$3, $I$3, $N$3, , $J$3, $K$3))),"")</f>
        <v/>
      </c>
      <c r="HD9" s="91" t="str">
        <f>IFERROR(IF(OR($B9="",HD$3=""),"",IF(AND($GK$4="No",(_xll.ciqfunctions.udf.CIQ($B9,"IQ_AR",HD$3, $I$3, $N$3, , $J$3, $K$3)+_xll.ciqfunctions.udf.CIQ($B9,"IQ_AR","IQ_" &amp; LEFT(HD$3,2) &amp; "-1",HD$3, $N$3, , $J$3, $K$3))&lt;=0),"",$GK$2*0.5*(_xll.ciqfunctions.udf.CIQ($B9,"IQ_AR",HD$3, $I$3, $N$3, , $J$3, $K$3)+_xll.ciqfunctions.udf.CIQ($B9,"IQ_AR","IQ_" &amp; LEFT(HD$3,2) &amp; "-1",HD$3, $N$3, , $J$3, $K$3))/_xll.ciqfunctions.udf.CIQ($B9,"IQ_TOTAL_REVENUE",HD$3, $I$3, $N$3, , $J$3, $K$3))),"")</f>
        <v/>
      </c>
      <c r="HE9" s="89" t="str">
        <f>IFERROR(IF(OR($B9="",HE$3=""),"",IF(AND($HE$4="No",(_xll.ciqfunctions.udf.CIQ($B9,"IQ_INVENTORY",HE$3,$I$3, $N$3, , $J$3, $K$3)+_xll.ciqfunctions.udf.CIQ($B9,"IQ_INVENTORY","IQ_" &amp; LEFT(HE$3,2) &amp; "-1", HE$3, $N$3, , $J$3, $K$3))&lt;=0),0,$HE$2*0.5*(_xll.ciqfunctions.udf.CIQ($B9,"IQ_INVENTORY",HE$3,$I$3, $N$3, , $J$3, $K$3)+_xll.ciqfunctions.udf.CIQ($B9,"IQ_INVENTORY","IQ_" &amp; LEFT(HE$3,2) &amp; "-1", HE$3, $N$3, , $J$3, $K$3))/_xll.ciqfunctions.udf.CIQ($B9,"IQ_COGS",HE$3,$I$3, $N$3, , $J$3, $K$3))),"")</f>
        <v/>
      </c>
      <c r="HF9" s="90" t="str">
        <f>IFERROR(IF(OR($B9="",HF$3=""),"",IF(AND($HE$4="No",(_xll.ciqfunctions.udf.CIQ($B9,"IQ_INVENTORY",HF$3,$I$3, $N$3, , $J$3, $K$3)+_xll.ciqfunctions.udf.CIQ($B9,"IQ_INVENTORY","IQ_" &amp; LEFT(HF$3,2) &amp; "-1", HF$3, $N$3, , $J$3, $K$3))&lt;=0),0,$HE$2*0.5*(_xll.ciqfunctions.udf.CIQ($B9,"IQ_INVENTORY",HF$3,$I$3, $N$3, , $J$3, $K$3)+_xll.ciqfunctions.udf.CIQ($B9,"IQ_INVENTORY","IQ_" &amp; LEFT(HF$3,2) &amp; "-1", HF$3, $N$3, , $J$3, $K$3))/_xll.ciqfunctions.udf.CIQ($B9,"IQ_COGS",HF$3,$I$3, $N$3, , $J$3, $K$3))),"")</f>
        <v/>
      </c>
      <c r="HG9" s="90" t="str">
        <f>IFERROR(IF(OR($B9="",HG$3=""),"",IF(AND($HE$4="No",(_xll.ciqfunctions.udf.CIQ($B9,"IQ_INVENTORY",HG$3,$I$3, $N$3, , $J$3, $K$3)+_xll.ciqfunctions.udf.CIQ($B9,"IQ_INVENTORY","IQ_" &amp; LEFT(HG$3,2) &amp; "-1", HG$3, $N$3, , $J$3, $K$3))&lt;=0),0,$HE$2*0.5*(_xll.ciqfunctions.udf.CIQ($B9,"IQ_INVENTORY",HG$3,$I$3, $N$3, , $J$3, $K$3)+_xll.ciqfunctions.udf.CIQ($B9,"IQ_INVENTORY","IQ_" &amp; LEFT(HG$3,2) &amp; "-1", HG$3, $N$3, , $J$3, $K$3))/_xll.ciqfunctions.udf.CIQ($B9,"IQ_COGS",HG$3,$I$3, $N$3, , $J$3, $K$3))),"")</f>
        <v/>
      </c>
      <c r="HH9" s="90" t="str">
        <f>IFERROR(IF(OR($B9="",HH$3=""),"",IF(AND($HE$4="No",(_xll.ciqfunctions.udf.CIQ($B9,"IQ_INVENTORY",HH$3,$I$3, $N$3, , $J$3, $K$3)+_xll.ciqfunctions.udf.CIQ($B9,"IQ_INVENTORY","IQ_" &amp; LEFT(HH$3,2) &amp; "-1", HH$3, $N$3, , $J$3, $K$3))&lt;=0),0,$HE$2*0.5*(_xll.ciqfunctions.udf.CIQ($B9,"IQ_INVENTORY",HH$3,$I$3, $N$3, , $J$3, $K$3)+_xll.ciqfunctions.udf.CIQ($B9,"IQ_INVENTORY","IQ_" &amp; LEFT(HH$3,2) &amp; "-1", HH$3, $N$3, , $J$3, $K$3))/_xll.ciqfunctions.udf.CIQ($B9,"IQ_COGS",HH$3,$I$3, $N$3, , $J$3, $K$3))),"")</f>
        <v/>
      </c>
      <c r="HI9" s="90" t="str">
        <f>IFERROR(IF(OR($B9="",HI$3=""),"",IF(AND($HE$4="No",(_xll.ciqfunctions.udf.CIQ($B9,"IQ_INVENTORY",HI$3,$I$3, $N$3, , $J$3, $K$3)+_xll.ciqfunctions.udf.CIQ($B9,"IQ_INVENTORY","IQ_" &amp; LEFT(HI$3,2) &amp; "-1", HI$3, $N$3, , $J$3, $K$3))&lt;=0),0,$HE$2*0.5*(_xll.ciqfunctions.udf.CIQ($B9,"IQ_INVENTORY",HI$3,$I$3, $N$3, , $J$3, $K$3)+_xll.ciqfunctions.udf.CIQ($B9,"IQ_INVENTORY","IQ_" &amp; LEFT(HI$3,2) &amp; "-1", HI$3, $N$3, , $J$3, $K$3))/_xll.ciqfunctions.udf.CIQ($B9,"IQ_COGS",HI$3,$I$3, $N$3, , $J$3, $K$3))),"")</f>
        <v/>
      </c>
      <c r="HJ9" s="90" t="str">
        <f>IFERROR(IF(OR($B9="",HJ$3=""),"",IF(AND($HE$4="No",(_xll.ciqfunctions.udf.CIQ($B9,"IQ_INVENTORY",HJ$3,$I$3, $N$3, , $J$3, $K$3)+_xll.ciqfunctions.udf.CIQ($B9,"IQ_INVENTORY","IQ_" &amp; LEFT(HJ$3,2) &amp; "-1", HJ$3, $N$3, , $J$3, $K$3))&lt;=0),0,$HE$2*0.5*(_xll.ciqfunctions.udf.CIQ($B9,"IQ_INVENTORY",HJ$3,$I$3, $N$3, , $J$3, $K$3)+_xll.ciqfunctions.udf.CIQ($B9,"IQ_INVENTORY","IQ_" &amp; LEFT(HJ$3,2) &amp; "-1", HJ$3, $N$3, , $J$3, $K$3))/_xll.ciqfunctions.udf.CIQ($B9,"IQ_COGS",HJ$3,$I$3, $N$3, , $J$3, $K$3))),"")</f>
        <v/>
      </c>
      <c r="HK9" s="90" t="str">
        <f>IFERROR(IF(OR($B9="",HK$3=""),"",IF(AND($HE$4="No",(_xll.ciqfunctions.udf.CIQ($B9,"IQ_INVENTORY",HK$3,$I$3, $N$3, , $J$3, $K$3)+_xll.ciqfunctions.udf.CIQ($B9,"IQ_INVENTORY","IQ_" &amp; LEFT(HK$3,2) &amp; "-1", HK$3, $N$3, , $J$3, $K$3))&lt;=0),0,$HE$2*0.5*(_xll.ciqfunctions.udf.CIQ($B9,"IQ_INVENTORY",HK$3,$I$3, $N$3, , $J$3, $K$3)+_xll.ciqfunctions.udf.CIQ($B9,"IQ_INVENTORY","IQ_" &amp; LEFT(HK$3,2) &amp; "-1", HK$3, $N$3, , $J$3, $K$3))/_xll.ciqfunctions.udf.CIQ($B9,"IQ_COGS",HK$3,$I$3, $N$3, , $J$3, $K$3))),"")</f>
        <v/>
      </c>
      <c r="HL9" s="90" t="str">
        <f>IFERROR(IF(OR($B9="",HL$3=""),"",IF(AND($HE$4="No",(_xll.ciqfunctions.udf.CIQ($B9,"IQ_INVENTORY",HL$3,$I$3, $N$3, , $J$3, $K$3)+_xll.ciqfunctions.udf.CIQ($B9,"IQ_INVENTORY","IQ_" &amp; LEFT(HL$3,2) &amp; "-1", HL$3, $N$3, , $J$3, $K$3))&lt;=0),0,$HE$2*0.5*(_xll.ciqfunctions.udf.CIQ($B9,"IQ_INVENTORY",HL$3,$I$3, $N$3, , $J$3, $K$3)+_xll.ciqfunctions.udf.CIQ($B9,"IQ_INVENTORY","IQ_" &amp; LEFT(HL$3,2) &amp; "-1", HL$3, $N$3, , $J$3, $K$3))/_xll.ciqfunctions.udf.CIQ($B9,"IQ_COGS",HL$3,$I$3, $N$3, , $J$3, $K$3))),"")</f>
        <v/>
      </c>
      <c r="HM9" s="90" t="str">
        <f>IFERROR(IF(OR($B9="",HM$3=""),"",IF(AND($HE$4="No",(_xll.ciqfunctions.udf.CIQ($B9,"IQ_INVENTORY",HM$3,$I$3, $N$3, , $J$3, $K$3)+_xll.ciqfunctions.udf.CIQ($B9,"IQ_INVENTORY","IQ_" &amp; LEFT(HM$3,2) &amp; "-1", HM$3, $N$3, , $J$3, $K$3))&lt;=0),0,$HE$2*0.5*(_xll.ciqfunctions.udf.CIQ($B9,"IQ_INVENTORY",HM$3,$I$3, $N$3, , $J$3, $K$3)+_xll.ciqfunctions.udf.CIQ($B9,"IQ_INVENTORY","IQ_" &amp; LEFT(HM$3,2) &amp; "-1", HM$3, $N$3, , $J$3, $K$3))/_xll.ciqfunctions.udf.CIQ($B9,"IQ_COGS",HM$3,$I$3, $N$3, , $J$3, $K$3))),"")</f>
        <v/>
      </c>
      <c r="HN9" s="90" t="str">
        <f>IFERROR(IF(OR($B9="",HN$3=""),"",IF(AND($HE$4="No",(_xll.ciqfunctions.udf.CIQ($B9,"IQ_INVENTORY",HN$3,$I$3, $N$3, , $J$3, $K$3)+_xll.ciqfunctions.udf.CIQ($B9,"IQ_INVENTORY","IQ_" &amp; LEFT(HN$3,2) &amp; "-1", HN$3, $N$3, , $J$3, $K$3))&lt;=0),0,$HE$2*0.5*(_xll.ciqfunctions.udf.CIQ($B9,"IQ_INVENTORY",HN$3,$I$3, $N$3, , $J$3, $K$3)+_xll.ciqfunctions.udf.CIQ($B9,"IQ_INVENTORY","IQ_" &amp; LEFT(HN$3,2) &amp; "-1", HN$3, $N$3, , $J$3, $K$3))/_xll.ciqfunctions.udf.CIQ($B9,"IQ_COGS",HN$3,$I$3, $N$3, , $J$3, $K$3))),"")</f>
        <v/>
      </c>
      <c r="HO9" s="90" t="str">
        <f>IFERROR(IF(OR($B9="",HO$3=""),"",IF(AND($HE$4="No",(_xll.ciqfunctions.udf.CIQ($B9,"IQ_INVENTORY",HO$3,$I$3, $N$3, , $J$3, $K$3)+_xll.ciqfunctions.udf.CIQ($B9,"IQ_INVENTORY","IQ_" &amp; LEFT(HO$3,2) &amp; "-1", HO$3, $N$3, , $J$3, $K$3))&lt;=0),0,$HE$2*0.5*(_xll.ciqfunctions.udf.CIQ($B9,"IQ_INVENTORY",HO$3,$I$3, $N$3, , $J$3, $K$3)+_xll.ciqfunctions.udf.CIQ($B9,"IQ_INVENTORY","IQ_" &amp; LEFT(HO$3,2) &amp; "-1", HO$3, $N$3, , $J$3, $K$3))/_xll.ciqfunctions.udf.CIQ($B9,"IQ_COGS",HO$3,$I$3, $N$3, , $J$3, $K$3))),"")</f>
        <v/>
      </c>
      <c r="HP9" s="90" t="str">
        <f>IFERROR(IF(OR($B9="",HP$3=""),"",IF(AND($HE$4="No",(_xll.ciqfunctions.udf.CIQ($B9,"IQ_INVENTORY",HP$3,$I$3, $N$3, , $J$3, $K$3)+_xll.ciqfunctions.udf.CIQ($B9,"IQ_INVENTORY","IQ_" &amp; LEFT(HP$3,2) &amp; "-1", HP$3, $N$3, , $J$3, $K$3))&lt;=0),0,$HE$2*0.5*(_xll.ciqfunctions.udf.CIQ($B9,"IQ_INVENTORY",HP$3,$I$3, $N$3, , $J$3, $K$3)+_xll.ciqfunctions.udf.CIQ($B9,"IQ_INVENTORY","IQ_" &amp; LEFT(HP$3,2) &amp; "-1", HP$3, $N$3, , $J$3, $K$3))/_xll.ciqfunctions.udf.CIQ($B9,"IQ_COGS",HP$3,$I$3, $N$3, , $J$3, $K$3))),"")</f>
        <v/>
      </c>
      <c r="HQ9" s="90" t="str">
        <f>IFERROR(IF(OR($B9="",HQ$3=""),"",IF(AND($HE$4="No",(_xll.ciqfunctions.udf.CIQ($B9,"IQ_INVENTORY",HQ$3,$I$3, $N$3, , $J$3, $K$3)+_xll.ciqfunctions.udf.CIQ($B9,"IQ_INVENTORY","IQ_" &amp; LEFT(HQ$3,2) &amp; "-1", HQ$3, $N$3, , $J$3, $K$3))&lt;=0),0,$HE$2*0.5*(_xll.ciqfunctions.udf.CIQ($B9,"IQ_INVENTORY",HQ$3,$I$3, $N$3, , $J$3, $K$3)+_xll.ciqfunctions.udf.CIQ($B9,"IQ_INVENTORY","IQ_" &amp; LEFT(HQ$3,2) &amp; "-1", HQ$3, $N$3, , $J$3, $K$3))/_xll.ciqfunctions.udf.CIQ($B9,"IQ_COGS",HQ$3,$I$3, $N$3, , $J$3, $K$3))),"")</f>
        <v/>
      </c>
      <c r="HR9" s="90" t="str">
        <f>IFERROR(IF(OR($B9="",HR$3=""),"",IF(AND($HE$4="No",(_xll.ciqfunctions.udf.CIQ($B9,"IQ_INVENTORY",HR$3,$I$3, $N$3, , $J$3, $K$3)+_xll.ciqfunctions.udf.CIQ($B9,"IQ_INVENTORY","IQ_" &amp; LEFT(HR$3,2) &amp; "-1", HR$3, $N$3, , $J$3, $K$3))&lt;=0),0,$HE$2*0.5*(_xll.ciqfunctions.udf.CIQ($B9,"IQ_INVENTORY",HR$3,$I$3, $N$3, , $J$3, $K$3)+_xll.ciqfunctions.udf.CIQ($B9,"IQ_INVENTORY","IQ_" &amp; LEFT(HR$3,2) &amp; "-1", HR$3, $N$3, , $J$3, $K$3))/_xll.ciqfunctions.udf.CIQ($B9,"IQ_COGS",HR$3,$I$3, $N$3, , $J$3, $K$3))),"")</f>
        <v/>
      </c>
      <c r="HS9" s="90" t="str">
        <f>IFERROR(IF(OR($B9="",HS$3=""),"",IF(AND($HE$4="No",(_xll.ciqfunctions.udf.CIQ($B9,"IQ_INVENTORY",HS$3,$I$3, $N$3, , $J$3, $K$3)+_xll.ciqfunctions.udf.CIQ($B9,"IQ_INVENTORY","IQ_" &amp; LEFT(HS$3,2) &amp; "-1", HS$3, $N$3, , $J$3, $K$3))&lt;=0),0,$HE$2*0.5*(_xll.ciqfunctions.udf.CIQ($B9,"IQ_INVENTORY",HS$3,$I$3, $N$3, , $J$3, $K$3)+_xll.ciqfunctions.udf.CIQ($B9,"IQ_INVENTORY","IQ_" &amp; LEFT(HS$3,2) &amp; "-1", HS$3, $N$3, , $J$3, $K$3))/_xll.ciqfunctions.udf.CIQ($B9,"IQ_COGS",HS$3,$I$3, $N$3, , $J$3, $K$3))),"")</f>
        <v/>
      </c>
      <c r="HT9" s="90" t="str">
        <f>IFERROR(IF(OR($B9="",HT$3=""),"",IF(AND($HE$4="No",(_xll.ciqfunctions.udf.CIQ($B9,"IQ_INVENTORY",HT$3,$I$3, $N$3, , $J$3, $K$3)+_xll.ciqfunctions.udf.CIQ($B9,"IQ_INVENTORY","IQ_" &amp; LEFT(HT$3,2) &amp; "-1", HT$3, $N$3, , $J$3, $K$3))&lt;=0),0,$HE$2*0.5*(_xll.ciqfunctions.udf.CIQ($B9,"IQ_INVENTORY",HT$3,$I$3, $N$3, , $J$3, $K$3)+_xll.ciqfunctions.udf.CIQ($B9,"IQ_INVENTORY","IQ_" &amp; LEFT(HT$3,2) &amp; "-1", HT$3, $N$3, , $J$3, $K$3))/_xll.ciqfunctions.udf.CIQ($B9,"IQ_COGS",HT$3,$I$3, $N$3, , $J$3, $K$3))),"")</f>
        <v/>
      </c>
      <c r="HU9" s="90" t="str">
        <f>IFERROR(IF(OR($B9="",HU$3=""),"",IF(AND($HE$4="No",(_xll.ciqfunctions.udf.CIQ($B9,"IQ_INVENTORY",HU$3,$I$3, $N$3, , $J$3, $K$3)+_xll.ciqfunctions.udf.CIQ($B9,"IQ_INVENTORY","IQ_" &amp; LEFT(HU$3,2) &amp; "-1", HU$3, $N$3, , $J$3, $K$3))&lt;=0),0,$HE$2*0.5*(_xll.ciqfunctions.udf.CIQ($B9,"IQ_INVENTORY",HU$3,$I$3, $N$3, , $J$3, $K$3)+_xll.ciqfunctions.udf.CIQ($B9,"IQ_INVENTORY","IQ_" &amp; LEFT(HU$3,2) &amp; "-1", HU$3, $N$3, , $J$3, $K$3))/_xll.ciqfunctions.udf.CIQ($B9,"IQ_COGS",HU$3,$I$3, $N$3, , $J$3, $K$3))),"")</f>
        <v/>
      </c>
      <c r="HV9" s="90" t="str">
        <f>IFERROR(IF(OR($B9="",HV$3=""),"",IF(AND($HE$4="No",(_xll.ciqfunctions.udf.CIQ($B9,"IQ_INVENTORY",HV$3,$I$3, $N$3, , $J$3, $K$3)+_xll.ciqfunctions.udf.CIQ($B9,"IQ_INVENTORY","IQ_" &amp; LEFT(HV$3,2) &amp; "-1", HV$3, $N$3, , $J$3, $K$3))&lt;=0),0,$HE$2*0.5*(_xll.ciqfunctions.udf.CIQ($B9,"IQ_INVENTORY",HV$3,$I$3, $N$3, , $J$3, $K$3)+_xll.ciqfunctions.udf.CIQ($B9,"IQ_INVENTORY","IQ_" &amp; LEFT(HV$3,2) &amp; "-1", HV$3, $N$3, , $J$3, $K$3))/_xll.ciqfunctions.udf.CIQ($B9,"IQ_COGS",HV$3,$I$3, $N$3, , $J$3, $K$3))),"")</f>
        <v/>
      </c>
      <c r="HW9" s="90" t="str">
        <f>IFERROR(IF(OR($B9="",HW$3=""),"",IF(AND($HE$4="No",(_xll.ciqfunctions.udf.CIQ($B9,"IQ_INVENTORY",HW$3,$I$3, $N$3, , $J$3, $K$3)+_xll.ciqfunctions.udf.CIQ($B9,"IQ_INVENTORY","IQ_" &amp; LEFT(HW$3,2) &amp; "-1", HW$3, $N$3, , $J$3, $K$3))&lt;=0),0,$HE$2*0.5*(_xll.ciqfunctions.udf.CIQ($B9,"IQ_INVENTORY",HW$3,$I$3, $N$3, , $J$3, $K$3)+_xll.ciqfunctions.udf.CIQ($B9,"IQ_INVENTORY","IQ_" &amp; LEFT(HW$3,2) &amp; "-1", HW$3, $N$3, , $J$3, $K$3))/_xll.ciqfunctions.udf.CIQ($B9,"IQ_COGS",HW$3,$I$3, $N$3, , $J$3, $K$3))),"")</f>
        <v/>
      </c>
      <c r="HX9" s="91" t="str">
        <f>IFERROR(IF(OR($B9="",HX$3=""),"",IF(AND($HE$4="No",(_xll.ciqfunctions.udf.CIQ($B9,"IQ_INVENTORY",HX$3,$I$3, $N$3, , $J$3, $K$3)+_xll.ciqfunctions.udf.CIQ($B9,"IQ_INVENTORY","IQ_" &amp; LEFT(HX$3,2) &amp; "-1", HX$3, $N$3, , $J$3, $K$3))&lt;=0),0,$HE$2*0.5*(_xll.ciqfunctions.udf.CIQ($B9,"IQ_INVENTORY",HX$3,$I$3, $N$3, , $J$3, $K$3)+_xll.ciqfunctions.udf.CIQ($B9,"IQ_INVENTORY","IQ_" &amp; LEFT(HX$3,2) &amp; "-1", HX$3, $N$3, , $J$3, $K$3))/_xll.ciqfunctions.udf.CIQ($B9,"IQ_COGS",HX$3,$I$3, $N$3, , $J$3, $K$3))),"")</f>
        <v/>
      </c>
      <c r="HY9" s="89" t="str">
        <f>IFERROR(IF(OR($B9="",HY$3=""),"",IF(AND($HY$4="No",(_xll.ciqfunctions.udf.CIQ($B9,"IQ_AP",HY$3,$I$3, $N$3, , $J$3, $K$3)+_xll.ciqfunctions.udf.CIQ($B9,"IQ_AP","IQ_" &amp; LEFT(HY$3,2) &amp; "-1", HY$3, $N$3, , $J$3, $K$3))&lt;=0),"",(_xll.ciqfunctions.udf.CIQ($B9,"IQ_AP",HY$3,$I$3, $N$3, , $J$3, $K$3)+_xll.ciqfunctions.udf.CIQ($B9,"IQ_AP","IQ_" &amp; LEFT(HY$3,2) &amp; "-1", HY$3, $N$3, , $J$3, $K$3))/_xll.ciqfunctions.udf.CIQ($B9,"IQ_COGS",HY$3,$I$3, $N$3, , $J$3, $K$3)*$HY$2*0.5)),"")</f>
        <v/>
      </c>
      <c r="HZ9" s="90" t="str">
        <f>IFERROR(IF(OR($B9="",HZ$3=""),"",IF(AND($HY$4="No",(_xll.ciqfunctions.udf.CIQ($B9,"IQ_AP",HZ$3,$I$3, $N$3, , $J$3, $K$3)+_xll.ciqfunctions.udf.CIQ($B9,"IQ_AP","IQ_" &amp; LEFT(HZ$3,2) &amp; "-1", HZ$3, $N$3, , $J$3, $K$3))&lt;=0),"",(_xll.ciqfunctions.udf.CIQ($B9,"IQ_AP",HZ$3,$I$3, $N$3, , $J$3, $K$3)+_xll.ciqfunctions.udf.CIQ($B9,"IQ_AP","IQ_" &amp; LEFT(HZ$3,2) &amp; "-1", HZ$3, $N$3, , $J$3, $K$3))/_xll.ciqfunctions.udf.CIQ($B9,"IQ_COGS",HZ$3,$I$3, $N$3, , $J$3, $K$3)*$HY$2*0.5)),"")</f>
        <v/>
      </c>
      <c r="IA9" s="90" t="str">
        <f>IFERROR(IF(OR($B9="",IA$3=""),"",IF(AND($HY$4="No",(_xll.ciqfunctions.udf.CIQ($B9,"IQ_AP",IA$3,$I$3, $N$3, , $J$3, $K$3)+_xll.ciqfunctions.udf.CIQ($B9,"IQ_AP","IQ_" &amp; LEFT(IA$3,2) &amp; "-1", IA$3, $N$3, , $J$3, $K$3))&lt;=0),"",(_xll.ciqfunctions.udf.CIQ($B9,"IQ_AP",IA$3,$I$3, $N$3, , $J$3, $K$3)+_xll.ciqfunctions.udf.CIQ($B9,"IQ_AP","IQ_" &amp; LEFT(IA$3,2) &amp; "-1", IA$3, $N$3, , $J$3, $K$3))/_xll.ciqfunctions.udf.CIQ($B9,"IQ_COGS",IA$3,$I$3, $N$3, , $J$3, $K$3)*$HY$2*0.5)),"")</f>
        <v/>
      </c>
      <c r="IB9" s="90" t="str">
        <f>IFERROR(IF(OR($B9="",IB$3=""),"",IF(AND($HY$4="No",(_xll.ciqfunctions.udf.CIQ($B9,"IQ_AP",IB$3,$I$3, $N$3, , $J$3, $K$3)+_xll.ciqfunctions.udf.CIQ($B9,"IQ_AP","IQ_" &amp; LEFT(IB$3,2) &amp; "-1", IB$3, $N$3, , $J$3, $K$3))&lt;=0),"",(_xll.ciqfunctions.udf.CIQ($B9,"IQ_AP",IB$3,$I$3, $N$3, , $J$3, $K$3)+_xll.ciqfunctions.udf.CIQ($B9,"IQ_AP","IQ_" &amp; LEFT(IB$3,2) &amp; "-1", IB$3, $N$3, , $J$3, $K$3))/_xll.ciqfunctions.udf.CIQ($B9,"IQ_COGS",IB$3,$I$3, $N$3, , $J$3, $K$3)*$HY$2*0.5)),"")</f>
        <v/>
      </c>
      <c r="IC9" s="90" t="str">
        <f>IFERROR(IF(OR($B9="",IC$3=""),"",IF(AND($HY$4="No",(_xll.ciqfunctions.udf.CIQ($B9,"IQ_AP",IC$3,$I$3, $N$3, , $J$3, $K$3)+_xll.ciqfunctions.udf.CIQ($B9,"IQ_AP","IQ_" &amp; LEFT(IC$3,2) &amp; "-1", IC$3, $N$3, , $J$3, $K$3))&lt;=0),"",(_xll.ciqfunctions.udf.CIQ($B9,"IQ_AP",IC$3,$I$3, $N$3, , $J$3, $K$3)+_xll.ciqfunctions.udf.CIQ($B9,"IQ_AP","IQ_" &amp; LEFT(IC$3,2) &amp; "-1", IC$3, $N$3, , $J$3, $K$3))/_xll.ciqfunctions.udf.CIQ($B9,"IQ_COGS",IC$3,$I$3, $N$3, , $J$3, $K$3)*$HY$2*0.5)),"")</f>
        <v/>
      </c>
      <c r="ID9" s="90" t="str">
        <f>IFERROR(IF(OR($B9="",ID$3=""),"",IF(AND($HY$4="No",(_xll.ciqfunctions.udf.CIQ($B9,"IQ_AP",ID$3,$I$3, $N$3, , $J$3, $K$3)+_xll.ciqfunctions.udf.CIQ($B9,"IQ_AP","IQ_" &amp; LEFT(ID$3,2) &amp; "-1", ID$3, $N$3, , $J$3, $K$3))&lt;=0),"",(_xll.ciqfunctions.udf.CIQ($B9,"IQ_AP",ID$3,$I$3, $N$3, , $J$3, $K$3)+_xll.ciqfunctions.udf.CIQ($B9,"IQ_AP","IQ_" &amp; LEFT(ID$3,2) &amp; "-1", ID$3, $N$3, , $J$3, $K$3))/_xll.ciqfunctions.udf.CIQ($B9,"IQ_COGS",ID$3,$I$3, $N$3, , $J$3, $K$3)*$HY$2*0.5)),"")</f>
        <v/>
      </c>
      <c r="IE9" s="90" t="str">
        <f>IFERROR(IF(OR($B9="",IE$3=""),"",IF(AND($HY$4="No",(_xll.ciqfunctions.udf.CIQ($B9,"IQ_AP",IE$3,$I$3, $N$3, , $J$3, $K$3)+_xll.ciqfunctions.udf.CIQ($B9,"IQ_AP","IQ_" &amp; LEFT(IE$3,2) &amp; "-1", IE$3, $N$3, , $J$3, $K$3))&lt;=0),"",(_xll.ciqfunctions.udf.CIQ($B9,"IQ_AP",IE$3,$I$3, $N$3, , $J$3, $K$3)+_xll.ciqfunctions.udf.CIQ($B9,"IQ_AP","IQ_" &amp; LEFT(IE$3,2) &amp; "-1", IE$3, $N$3, , $J$3, $K$3))/_xll.ciqfunctions.udf.CIQ($B9,"IQ_COGS",IE$3,$I$3, $N$3, , $J$3, $K$3)*$HY$2*0.5)),"")</f>
        <v/>
      </c>
      <c r="IF9" s="90" t="str">
        <f>IFERROR(IF(OR($B9="",IF$3=""),"",IF(AND($HY$4="No",(_xll.ciqfunctions.udf.CIQ($B9,"IQ_AP",IF$3,$I$3, $N$3, , $J$3, $K$3)+_xll.ciqfunctions.udf.CIQ($B9,"IQ_AP","IQ_" &amp; LEFT(IF$3,2) &amp; "-1", IF$3, $N$3, , $J$3, $K$3))&lt;=0),"",(_xll.ciqfunctions.udf.CIQ($B9,"IQ_AP",IF$3,$I$3, $N$3, , $J$3, $K$3)+_xll.ciqfunctions.udf.CIQ($B9,"IQ_AP","IQ_" &amp; LEFT(IF$3,2) &amp; "-1", IF$3, $N$3, , $J$3, $K$3))/_xll.ciqfunctions.udf.CIQ($B9,"IQ_COGS",IF$3,$I$3, $N$3, , $J$3, $K$3)*$HY$2*0.5)),"")</f>
        <v/>
      </c>
      <c r="IG9" s="90" t="str">
        <f>IFERROR(IF(OR($B9="",IG$3=""),"",IF(AND($HY$4="No",(_xll.ciqfunctions.udf.CIQ($B9,"IQ_AP",IG$3,$I$3, $N$3, , $J$3, $K$3)+_xll.ciqfunctions.udf.CIQ($B9,"IQ_AP","IQ_" &amp; LEFT(IG$3,2) &amp; "-1", IG$3, $N$3, , $J$3, $K$3))&lt;=0),"",(_xll.ciqfunctions.udf.CIQ($B9,"IQ_AP",IG$3,$I$3, $N$3, , $J$3, $K$3)+_xll.ciqfunctions.udf.CIQ($B9,"IQ_AP","IQ_" &amp; LEFT(IG$3,2) &amp; "-1", IG$3, $N$3, , $J$3, $K$3))/_xll.ciqfunctions.udf.CIQ($B9,"IQ_COGS",IG$3,$I$3, $N$3, , $J$3, $K$3)*$HY$2*0.5)),"")</f>
        <v/>
      </c>
      <c r="IH9" s="90" t="str">
        <f>IFERROR(IF(OR($B9="",IH$3=""),"",IF(AND($HY$4="No",(_xll.ciqfunctions.udf.CIQ($B9,"IQ_AP",IH$3,$I$3, $N$3, , $J$3, $K$3)+_xll.ciqfunctions.udf.CIQ($B9,"IQ_AP","IQ_" &amp; LEFT(IH$3,2) &amp; "-1", IH$3, $N$3, , $J$3, $K$3))&lt;=0),"",(_xll.ciqfunctions.udf.CIQ($B9,"IQ_AP",IH$3,$I$3, $N$3, , $J$3, $K$3)+_xll.ciqfunctions.udf.CIQ($B9,"IQ_AP","IQ_" &amp; LEFT(IH$3,2) &amp; "-1", IH$3, $N$3, , $J$3, $K$3))/_xll.ciqfunctions.udf.CIQ($B9,"IQ_COGS",IH$3,$I$3, $N$3, , $J$3, $K$3)*$HY$2*0.5)),"")</f>
        <v/>
      </c>
      <c r="II9" s="90" t="str">
        <f>IFERROR(IF(OR($B9="",II$3=""),"",IF(AND($HY$4="No",(_xll.ciqfunctions.udf.CIQ($B9,"IQ_AP",II$3,$I$3, $N$3, , $J$3, $K$3)+_xll.ciqfunctions.udf.CIQ($B9,"IQ_AP","IQ_" &amp; LEFT(II$3,2) &amp; "-1", II$3, $N$3, , $J$3, $K$3))&lt;=0),"",(_xll.ciqfunctions.udf.CIQ($B9,"IQ_AP",II$3,$I$3, $N$3, , $J$3, $K$3)+_xll.ciqfunctions.udf.CIQ($B9,"IQ_AP","IQ_" &amp; LEFT(II$3,2) &amp; "-1", II$3, $N$3, , $J$3, $K$3))/_xll.ciqfunctions.udf.CIQ($B9,"IQ_COGS",II$3,$I$3, $N$3, , $J$3, $K$3)*$HY$2*0.5)),"")</f>
        <v/>
      </c>
      <c r="IJ9" s="90" t="str">
        <f>IFERROR(IF(OR($B9="",IJ$3=""),"",IF(AND($HY$4="No",(_xll.ciqfunctions.udf.CIQ($B9,"IQ_AP",IJ$3,$I$3, $N$3, , $J$3, $K$3)+_xll.ciqfunctions.udf.CIQ($B9,"IQ_AP","IQ_" &amp; LEFT(IJ$3,2) &amp; "-1", IJ$3, $N$3, , $J$3, $K$3))&lt;=0),"",(_xll.ciqfunctions.udf.CIQ($B9,"IQ_AP",IJ$3,$I$3, $N$3, , $J$3, $K$3)+_xll.ciqfunctions.udf.CIQ($B9,"IQ_AP","IQ_" &amp; LEFT(IJ$3,2) &amp; "-1", IJ$3, $N$3, , $J$3, $K$3))/_xll.ciqfunctions.udf.CIQ($B9,"IQ_COGS",IJ$3,$I$3, $N$3, , $J$3, $K$3)*$HY$2*0.5)),"")</f>
        <v/>
      </c>
      <c r="IK9" s="90" t="str">
        <f>IFERROR(IF(OR($B9="",IK$3=""),"",IF(AND($HY$4="No",(_xll.ciqfunctions.udf.CIQ($B9,"IQ_AP",IK$3,$I$3, $N$3, , $J$3, $K$3)+_xll.ciqfunctions.udf.CIQ($B9,"IQ_AP","IQ_" &amp; LEFT(IK$3,2) &amp; "-1", IK$3, $N$3, , $J$3, $K$3))&lt;=0),"",(_xll.ciqfunctions.udf.CIQ($B9,"IQ_AP",IK$3,$I$3, $N$3, , $J$3, $K$3)+_xll.ciqfunctions.udf.CIQ($B9,"IQ_AP","IQ_" &amp; LEFT(IK$3,2) &amp; "-1", IK$3, $N$3, , $J$3, $K$3))/_xll.ciqfunctions.udf.CIQ($B9,"IQ_COGS",IK$3,$I$3, $N$3, , $J$3, $K$3)*$HY$2*0.5)),"")</f>
        <v/>
      </c>
      <c r="IL9" s="90" t="str">
        <f>IFERROR(IF(OR($B9="",IL$3=""),"",IF(AND($HY$4="No",(_xll.ciqfunctions.udf.CIQ($B9,"IQ_AP",IL$3,$I$3, $N$3, , $J$3, $K$3)+_xll.ciqfunctions.udf.CIQ($B9,"IQ_AP","IQ_" &amp; LEFT(IL$3,2) &amp; "-1", IL$3, $N$3, , $J$3, $K$3))&lt;=0),"",(_xll.ciqfunctions.udf.CIQ($B9,"IQ_AP",IL$3,$I$3, $N$3, , $J$3, $K$3)+_xll.ciqfunctions.udf.CIQ($B9,"IQ_AP","IQ_" &amp; LEFT(IL$3,2) &amp; "-1", IL$3, $N$3, , $J$3, $K$3))/_xll.ciqfunctions.udf.CIQ($B9,"IQ_COGS",IL$3,$I$3, $N$3, , $J$3, $K$3)*$HY$2*0.5)),"")</f>
        <v/>
      </c>
      <c r="IM9" s="90" t="str">
        <f>IFERROR(IF(OR($B9="",IM$3=""),"",IF(AND($HY$4="No",(_xll.ciqfunctions.udf.CIQ($B9,"IQ_AP",IM$3,$I$3, $N$3, , $J$3, $K$3)+_xll.ciqfunctions.udf.CIQ($B9,"IQ_AP","IQ_" &amp; LEFT(IM$3,2) &amp; "-1", IM$3, $N$3, , $J$3, $K$3))&lt;=0),"",(_xll.ciqfunctions.udf.CIQ($B9,"IQ_AP",IM$3,$I$3, $N$3, , $J$3, $K$3)+_xll.ciqfunctions.udf.CIQ($B9,"IQ_AP","IQ_" &amp; LEFT(IM$3,2) &amp; "-1", IM$3, $N$3, , $J$3, $K$3))/_xll.ciqfunctions.udf.CIQ($B9,"IQ_COGS",IM$3,$I$3, $N$3, , $J$3, $K$3)*$HY$2*0.5)),"")</f>
        <v/>
      </c>
      <c r="IN9" s="90" t="str">
        <f>IFERROR(IF(OR($B9="",IN$3=""),"",IF(AND($HY$4="No",(_xll.ciqfunctions.udf.CIQ($B9,"IQ_AP",IN$3,$I$3, $N$3, , $J$3, $K$3)+_xll.ciqfunctions.udf.CIQ($B9,"IQ_AP","IQ_" &amp; LEFT(IN$3,2) &amp; "-1", IN$3, $N$3, , $J$3, $K$3))&lt;=0),"",(_xll.ciqfunctions.udf.CIQ($B9,"IQ_AP",IN$3,$I$3, $N$3, , $J$3, $K$3)+_xll.ciqfunctions.udf.CIQ($B9,"IQ_AP","IQ_" &amp; LEFT(IN$3,2) &amp; "-1", IN$3, $N$3, , $J$3, $K$3))/_xll.ciqfunctions.udf.CIQ($B9,"IQ_COGS",IN$3,$I$3, $N$3, , $J$3, $K$3)*$HY$2*0.5)),"")</f>
        <v/>
      </c>
      <c r="IO9" s="90" t="str">
        <f>IFERROR(IF(OR($B9="",IO$3=""),"",IF(AND($HY$4="No",(_xll.ciqfunctions.udf.CIQ($B9,"IQ_AP",IO$3,$I$3, $N$3, , $J$3, $K$3)+_xll.ciqfunctions.udf.CIQ($B9,"IQ_AP","IQ_" &amp; LEFT(IO$3,2) &amp; "-1", IO$3, $N$3, , $J$3, $K$3))&lt;=0),"",(_xll.ciqfunctions.udf.CIQ($B9,"IQ_AP",IO$3,$I$3, $N$3, , $J$3, $K$3)+_xll.ciqfunctions.udf.CIQ($B9,"IQ_AP","IQ_" &amp; LEFT(IO$3,2) &amp; "-1", IO$3, $N$3, , $J$3, $K$3))/_xll.ciqfunctions.udf.CIQ($B9,"IQ_COGS",IO$3,$I$3, $N$3, , $J$3, $K$3)*$HY$2*0.5)),"")</f>
        <v/>
      </c>
      <c r="IP9" s="90" t="str">
        <f>IFERROR(IF(OR($B9="",IP$3=""),"",IF(AND($HY$4="No",(_xll.ciqfunctions.udf.CIQ($B9,"IQ_AP",IP$3,$I$3, $N$3, , $J$3, $K$3)+_xll.ciqfunctions.udf.CIQ($B9,"IQ_AP","IQ_" &amp; LEFT(IP$3,2) &amp; "-1", IP$3, $N$3, , $J$3, $K$3))&lt;=0),"",(_xll.ciqfunctions.udf.CIQ($B9,"IQ_AP",IP$3,$I$3, $N$3, , $J$3, $K$3)+_xll.ciqfunctions.udf.CIQ($B9,"IQ_AP","IQ_" &amp; LEFT(IP$3,2) &amp; "-1", IP$3, $N$3, , $J$3, $K$3))/_xll.ciqfunctions.udf.CIQ($B9,"IQ_COGS",IP$3,$I$3, $N$3, , $J$3, $K$3)*$HY$2*0.5)),"")</f>
        <v/>
      </c>
      <c r="IQ9" s="90" t="str">
        <f>IFERROR(IF(OR($B9="",IQ$3=""),"",IF(AND($HY$4="No",(_xll.ciqfunctions.udf.CIQ($B9,"IQ_AP",IQ$3,$I$3, $N$3, , $J$3, $K$3)+_xll.ciqfunctions.udf.CIQ($B9,"IQ_AP","IQ_" &amp; LEFT(IQ$3,2) &amp; "-1", IQ$3, $N$3, , $J$3, $K$3))&lt;=0),"",(_xll.ciqfunctions.udf.CIQ($B9,"IQ_AP",IQ$3,$I$3, $N$3, , $J$3, $K$3)+_xll.ciqfunctions.udf.CIQ($B9,"IQ_AP","IQ_" &amp; LEFT(IQ$3,2) &amp; "-1", IQ$3, $N$3, , $J$3, $K$3))/_xll.ciqfunctions.udf.CIQ($B9,"IQ_COGS",IQ$3,$I$3, $N$3, , $J$3, $K$3)*$HY$2*0.5)),"")</f>
        <v/>
      </c>
      <c r="IR9" s="91" t="str">
        <f>IFERROR(IF(OR($B9="",IR$3=""),"",IF(AND($HY$4="No",(_xll.ciqfunctions.udf.CIQ($B9,"IQ_AP",IR$3,$I$3, $N$3, , $J$3, $K$3)+_xll.ciqfunctions.udf.CIQ($B9,"IQ_AP","IQ_" &amp; LEFT(IR$3,2) &amp; "-1", IR$3, $N$3, , $J$3, $K$3))&lt;=0),"",(_xll.ciqfunctions.udf.CIQ($B9,"IQ_AP",IR$3,$I$3, $N$3, , $J$3, $K$3)+_xll.ciqfunctions.udf.CIQ($B9,"IQ_AP","IQ_" &amp; LEFT(IR$3,2) &amp; "-1", IR$3, $N$3, , $J$3, $K$3))/_xll.ciqfunctions.udf.CIQ($B9,"IQ_COGS",IR$3,$I$3, $N$3, , $J$3, $K$3)*$HY$2*0.5)),"")</f>
        <v/>
      </c>
      <c r="IS9" s="89" t="str">
        <f t="shared" si="343"/>
        <v/>
      </c>
      <c r="IT9" s="90" t="str">
        <f t="shared" si="344"/>
        <v/>
      </c>
      <c r="IU9" s="90" t="str">
        <f t="shared" si="345"/>
        <v/>
      </c>
      <c r="IV9" s="90" t="str">
        <f t="shared" si="346"/>
        <v/>
      </c>
      <c r="IW9" s="90" t="str">
        <f t="shared" si="347"/>
        <v/>
      </c>
      <c r="IX9" s="90" t="str">
        <f t="shared" si="348"/>
        <v/>
      </c>
      <c r="IY9" s="90" t="str">
        <f t="shared" si="349"/>
        <v/>
      </c>
      <c r="IZ9" s="90" t="str">
        <f t="shared" si="350"/>
        <v/>
      </c>
      <c r="JA9" s="90" t="str">
        <f t="shared" si="351"/>
        <v/>
      </c>
      <c r="JB9" s="90" t="str">
        <f t="shared" si="352"/>
        <v/>
      </c>
      <c r="JC9" s="90" t="str">
        <f t="shared" si="353"/>
        <v/>
      </c>
      <c r="JD9" s="90" t="str">
        <f t="shared" si="354"/>
        <v/>
      </c>
      <c r="JE9" s="90" t="str">
        <f t="shared" si="355"/>
        <v/>
      </c>
      <c r="JF9" s="90" t="str">
        <f t="shared" si="356"/>
        <v/>
      </c>
      <c r="JG9" s="90" t="str">
        <f t="shared" si="357"/>
        <v/>
      </c>
      <c r="JH9" s="90" t="str">
        <f t="shared" si="358"/>
        <v/>
      </c>
      <c r="JI9" s="90" t="str">
        <f t="shared" si="359"/>
        <v/>
      </c>
      <c r="JJ9" s="90" t="str">
        <f t="shared" si="360"/>
        <v/>
      </c>
      <c r="JK9" s="90" t="str">
        <f t="shared" si="361"/>
        <v/>
      </c>
      <c r="JL9" s="91" t="str">
        <f t="shared" si="362"/>
        <v/>
      </c>
      <c r="JM9" s="86" t="str">
        <f>IFERROR(IF(OR($B9="",JM$3=""),"",_xll.ciqfunctions.udf.CIQ($B9,"IQ_CASH_OPER",JM$3,$I$3, $N$3, , $J$3, $K$3)/_xll.ciqfunctions.udf.CIQ($B9,"IQ_TOTAL_REV",JM$3,$I$3, $N$3, , $J$3, $K$3)),"")</f>
        <v/>
      </c>
      <c r="JN9" s="87" t="str">
        <f>IFERROR(IF(OR($B9="",JN$3=""),"",_xll.ciqfunctions.udf.CIQ($B9,"IQ_CASH_OPER",JN$3,$I$3, $N$3, , $J$3, $K$3)/_xll.ciqfunctions.udf.CIQ($B9,"IQ_TOTAL_REV",JN$3,$I$3, $N$3, , $J$3, $K$3)),"")</f>
        <v/>
      </c>
      <c r="JO9" s="87" t="str">
        <f>IFERROR(IF(OR($B9="",JO$3=""),"",_xll.ciqfunctions.udf.CIQ($B9,"IQ_CASH_OPER",JO$3,$I$3, $N$3, , $J$3, $K$3)/_xll.ciqfunctions.udf.CIQ($B9,"IQ_TOTAL_REV",JO$3,$I$3, $N$3, , $J$3, $K$3)),"")</f>
        <v/>
      </c>
      <c r="JP9" s="87" t="str">
        <f>IFERROR(IF(OR($B9="",JP$3=""),"",_xll.ciqfunctions.udf.CIQ($B9,"IQ_CASH_OPER",JP$3,$I$3, $N$3, , $J$3, $K$3)/_xll.ciqfunctions.udf.CIQ($B9,"IQ_TOTAL_REV",JP$3,$I$3, $N$3, , $J$3, $K$3)),"")</f>
        <v/>
      </c>
      <c r="JQ9" s="87" t="str">
        <f>IFERROR(IF(OR($B9="",JQ$3=""),"",_xll.ciqfunctions.udf.CIQ($B9,"IQ_CASH_OPER",JQ$3,$I$3, $N$3, , $J$3, $K$3)/_xll.ciqfunctions.udf.CIQ($B9,"IQ_TOTAL_REV",JQ$3,$I$3, $N$3, , $J$3, $K$3)),"")</f>
        <v/>
      </c>
      <c r="JR9" s="87" t="str">
        <f>IFERROR(IF(OR($B9="",JR$3=""),"",_xll.ciqfunctions.udf.CIQ($B9,"IQ_CASH_OPER",JR$3,$I$3, $N$3, , $J$3, $K$3)/_xll.ciqfunctions.udf.CIQ($B9,"IQ_TOTAL_REV",JR$3,$I$3, $N$3, , $J$3, $K$3)),"")</f>
        <v/>
      </c>
      <c r="JS9" s="87" t="str">
        <f>IFERROR(IF(OR($B9="",JS$3=""),"",_xll.ciqfunctions.udf.CIQ($B9,"IQ_CASH_OPER",JS$3,$I$3, $N$3, , $J$3, $K$3)/_xll.ciqfunctions.udf.CIQ($B9,"IQ_TOTAL_REV",JS$3,$I$3, $N$3, , $J$3, $K$3)),"")</f>
        <v/>
      </c>
      <c r="JT9" s="87" t="str">
        <f>IFERROR(IF(OR($B9="",JT$3=""),"",_xll.ciqfunctions.udf.CIQ($B9,"IQ_CASH_OPER",JT$3,$I$3, $N$3, , $J$3, $K$3)/_xll.ciqfunctions.udf.CIQ($B9,"IQ_TOTAL_REV",JT$3,$I$3, $N$3, , $J$3, $K$3)),"")</f>
        <v/>
      </c>
      <c r="JU9" s="87" t="str">
        <f>IFERROR(IF(OR($B9="",JU$3=""),"",_xll.ciqfunctions.udf.CIQ($B9,"IQ_CASH_OPER",JU$3,$I$3, $N$3, , $J$3, $K$3)/_xll.ciqfunctions.udf.CIQ($B9,"IQ_TOTAL_REV",JU$3,$I$3, $N$3, , $J$3, $K$3)),"")</f>
        <v/>
      </c>
      <c r="JV9" s="87" t="str">
        <f>IFERROR(IF(OR($B9="",JV$3=""),"",_xll.ciqfunctions.udf.CIQ($B9,"IQ_CASH_OPER",JV$3,$I$3, $N$3, , $J$3, $K$3)/_xll.ciqfunctions.udf.CIQ($B9,"IQ_TOTAL_REV",JV$3,$I$3, $N$3, , $J$3, $K$3)),"")</f>
        <v/>
      </c>
      <c r="JW9" s="87" t="str">
        <f>IFERROR(IF(OR($B9="",JW$3=""),"",_xll.ciqfunctions.udf.CIQ($B9,"IQ_CASH_OPER",JW$3,$I$3, $N$3, , $J$3, $K$3)/_xll.ciqfunctions.udf.CIQ($B9,"IQ_TOTAL_REV",JW$3,$I$3, $N$3, , $J$3, $K$3)),"")</f>
        <v/>
      </c>
      <c r="JX9" s="87" t="str">
        <f>IFERROR(IF(OR($B9="",JX$3=""),"",_xll.ciqfunctions.udf.CIQ($B9,"IQ_CASH_OPER",JX$3,$I$3, $N$3, , $J$3, $K$3)/_xll.ciqfunctions.udf.CIQ($B9,"IQ_TOTAL_REV",JX$3,$I$3, $N$3, , $J$3, $K$3)),"")</f>
        <v/>
      </c>
      <c r="JY9" s="87" t="str">
        <f>IFERROR(IF(OR($B9="",JY$3=""),"",_xll.ciqfunctions.udf.CIQ($B9,"IQ_CASH_OPER",JY$3,$I$3, $N$3, , $J$3, $K$3)/_xll.ciqfunctions.udf.CIQ($B9,"IQ_TOTAL_REV",JY$3,$I$3, $N$3, , $J$3, $K$3)),"")</f>
        <v/>
      </c>
      <c r="JZ9" s="87" t="str">
        <f>IFERROR(IF(OR($B9="",JZ$3=""),"",_xll.ciqfunctions.udf.CIQ($B9,"IQ_CASH_OPER",JZ$3,$I$3, $N$3, , $J$3, $K$3)/_xll.ciqfunctions.udf.CIQ($B9,"IQ_TOTAL_REV",JZ$3,$I$3, $N$3, , $J$3, $K$3)),"")</f>
        <v/>
      </c>
      <c r="KA9" s="87" t="str">
        <f>IFERROR(IF(OR($B9="",KA$3=""),"",_xll.ciqfunctions.udf.CIQ($B9,"IQ_CASH_OPER",KA$3,$I$3, $N$3, , $J$3, $K$3)/_xll.ciqfunctions.udf.CIQ($B9,"IQ_TOTAL_REV",KA$3,$I$3, $N$3, , $J$3, $K$3)),"")</f>
        <v/>
      </c>
      <c r="KB9" s="87" t="str">
        <f>IFERROR(IF(OR($B9="",KB$3=""),"",_xll.ciqfunctions.udf.CIQ($B9,"IQ_CASH_OPER",KB$3,$I$3, $N$3, , $J$3, $K$3)/_xll.ciqfunctions.udf.CIQ($B9,"IQ_TOTAL_REV",KB$3,$I$3, $N$3, , $J$3, $K$3)),"")</f>
        <v/>
      </c>
      <c r="KC9" s="87" t="str">
        <f>IFERROR(IF(OR($B9="",KC$3=""),"",_xll.ciqfunctions.udf.CIQ($B9,"IQ_CASH_OPER",KC$3,$I$3, $N$3, , $J$3, $K$3)/_xll.ciqfunctions.udf.CIQ($B9,"IQ_TOTAL_REV",KC$3,$I$3, $N$3, , $J$3, $K$3)),"")</f>
        <v/>
      </c>
      <c r="KD9" s="87" t="str">
        <f>IFERROR(IF(OR($B9="",KD$3=""),"",_xll.ciqfunctions.udf.CIQ($B9,"IQ_CASH_OPER",KD$3,$I$3, $N$3, , $J$3, $K$3)/_xll.ciqfunctions.udf.CIQ($B9,"IQ_TOTAL_REV",KD$3,$I$3, $N$3, , $J$3, $K$3)),"")</f>
        <v/>
      </c>
      <c r="KE9" s="87" t="str">
        <f>IFERROR(IF(OR($B9="",KE$3=""),"",_xll.ciqfunctions.udf.CIQ($B9,"IQ_CASH_OPER",KE$3,$I$3, $N$3, , $J$3, $K$3)/_xll.ciqfunctions.udf.CIQ($B9,"IQ_TOTAL_REV",KE$3,$I$3, $N$3, , $J$3, $K$3)),"")</f>
        <v/>
      </c>
      <c r="KF9" s="88" t="str">
        <f>IFERROR(IF(OR($B9="",KF$3=""),"",_xll.ciqfunctions.udf.CIQ($B9,"IQ_CASH_OPER",KF$3,$I$3, $N$3, , $J$3, $K$3)/_xll.ciqfunctions.udf.CIQ($B9,"IQ_TOTAL_REV",KF$3,$I$3, $N$3, , $J$3, $K$3)),"")</f>
        <v/>
      </c>
      <c r="KG9" s="89" t="str">
        <f>IFERROR(IF(OR($B9="",KG$3=""),"",IF(NOT(ISNUMBER(_xll.ciqfunctions.udf.CIQ($B9, "IQ_ASSET_TURNS", KG$3, $E$3, $N$3, , $J$3, $K$3))),"",_xll.ciqfunctions.udf.CIQ($B9, "IQ_ASSET_TURNS", KG$3, $E$3, $N$3, , $J$3, $K$3))),"")</f>
        <v/>
      </c>
      <c r="KH9" s="90" t="str">
        <f>IFERROR(IF(OR($B9="",KH$3=""),"",IF(NOT(ISNUMBER(_xll.ciqfunctions.udf.CIQ($B9, "IQ_ASSET_TURNS", KH$3, $E$3, $N$3, , $J$3, $K$3))),"",_xll.ciqfunctions.udf.CIQ($B9, "IQ_ASSET_TURNS", KH$3, $E$3, $N$3, , $J$3, $K$3))),"")</f>
        <v/>
      </c>
      <c r="KI9" s="90" t="str">
        <f>IFERROR(IF(OR($B9="",KI$3=""),"",IF(NOT(ISNUMBER(_xll.ciqfunctions.udf.CIQ($B9, "IQ_ASSET_TURNS", KI$3, $E$3, $N$3, , $J$3, $K$3))),"",_xll.ciqfunctions.udf.CIQ($B9, "IQ_ASSET_TURNS", KI$3, $E$3, $N$3, , $J$3, $K$3))),"")</f>
        <v/>
      </c>
      <c r="KJ9" s="90" t="str">
        <f>IFERROR(IF(OR($B9="",KJ$3=""),"",IF(NOT(ISNUMBER(_xll.ciqfunctions.udf.CIQ($B9, "IQ_ASSET_TURNS", KJ$3, $E$3, $N$3, , $J$3, $K$3))),"",_xll.ciqfunctions.udf.CIQ($B9, "IQ_ASSET_TURNS", KJ$3, $E$3, $N$3, , $J$3, $K$3))),"")</f>
        <v/>
      </c>
      <c r="KK9" s="90" t="str">
        <f>IFERROR(IF(OR($B9="",KK$3=""),"",IF(NOT(ISNUMBER(_xll.ciqfunctions.udf.CIQ($B9, "IQ_ASSET_TURNS", KK$3, $E$3, $N$3, , $J$3, $K$3))),"",_xll.ciqfunctions.udf.CIQ($B9, "IQ_ASSET_TURNS", KK$3, $E$3, $N$3, , $J$3, $K$3))),"")</f>
        <v/>
      </c>
      <c r="KL9" s="90" t="str">
        <f>IFERROR(IF(OR($B9="",KL$3=""),"",IF(NOT(ISNUMBER(_xll.ciqfunctions.udf.CIQ($B9, "IQ_ASSET_TURNS", KL$3, $E$3, $N$3, , $J$3, $K$3))),"",_xll.ciqfunctions.udf.CIQ($B9, "IQ_ASSET_TURNS", KL$3, $E$3, $N$3, , $J$3, $K$3))),"")</f>
        <v/>
      </c>
      <c r="KM9" s="90" t="str">
        <f>IFERROR(IF(OR($B9="",KM$3=""),"",IF(NOT(ISNUMBER(_xll.ciqfunctions.udf.CIQ($B9, "IQ_ASSET_TURNS", KM$3, $E$3, $N$3, , $J$3, $K$3))),"",_xll.ciqfunctions.udf.CIQ($B9, "IQ_ASSET_TURNS", KM$3, $E$3, $N$3, , $J$3, $K$3))),"")</f>
        <v/>
      </c>
      <c r="KN9" s="90" t="str">
        <f>IFERROR(IF(OR($B9="",KN$3=""),"",IF(NOT(ISNUMBER(_xll.ciqfunctions.udf.CIQ($B9, "IQ_ASSET_TURNS", KN$3, $E$3, $N$3, , $J$3, $K$3))),"",_xll.ciqfunctions.udf.CIQ($B9, "IQ_ASSET_TURNS", KN$3, $E$3, $N$3, , $J$3, $K$3))),"")</f>
        <v/>
      </c>
      <c r="KO9" s="90" t="str">
        <f>IFERROR(IF(OR($B9="",KO$3=""),"",IF(NOT(ISNUMBER(_xll.ciqfunctions.udf.CIQ($B9, "IQ_ASSET_TURNS", KO$3, $E$3, $N$3, , $J$3, $K$3))),"",_xll.ciqfunctions.udf.CIQ($B9, "IQ_ASSET_TURNS", KO$3, $E$3, $N$3, , $J$3, $K$3))),"")</f>
        <v/>
      </c>
      <c r="KP9" s="90" t="str">
        <f>IFERROR(IF(OR($B9="",KP$3=""),"",IF(NOT(ISNUMBER(_xll.ciqfunctions.udf.CIQ($B9, "IQ_ASSET_TURNS", KP$3, $E$3, $N$3, , $J$3, $K$3))),"",_xll.ciqfunctions.udf.CIQ($B9, "IQ_ASSET_TURNS", KP$3, $E$3, $N$3, , $J$3, $K$3))),"")</f>
        <v/>
      </c>
      <c r="KQ9" s="90" t="str">
        <f>IFERROR(IF(OR($B9="",KQ$3=""),"",IF(NOT(ISNUMBER(_xll.ciqfunctions.udf.CIQ($B9, "IQ_ASSET_TURNS", KQ$3, $E$3, $N$3, , $J$3, $K$3))),"",_xll.ciqfunctions.udf.CIQ($B9, "IQ_ASSET_TURNS", KQ$3, $E$3, $N$3, , $J$3, $K$3))),"")</f>
        <v/>
      </c>
      <c r="KR9" s="90" t="str">
        <f>IFERROR(IF(OR($B9="",KR$3=""),"",IF(NOT(ISNUMBER(_xll.ciqfunctions.udf.CIQ($B9, "IQ_ASSET_TURNS", KR$3, $E$3, $N$3, , $J$3, $K$3))),"",_xll.ciqfunctions.udf.CIQ($B9, "IQ_ASSET_TURNS", KR$3, $E$3, $N$3, , $J$3, $K$3))),"")</f>
        <v/>
      </c>
      <c r="KS9" s="90" t="str">
        <f>IFERROR(IF(OR($B9="",KS$3=""),"",IF(NOT(ISNUMBER(_xll.ciqfunctions.udf.CIQ($B9, "IQ_ASSET_TURNS", KS$3, $E$3, $N$3, , $J$3, $K$3))),"",_xll.ciqfunctions.udf.CIQ($B9, "IQ_ASSET_TURNS", KS$3, $E$3, $N$3, , $J$3, $K$3))),"")</f>
        <v/>
      </c>
      <c r="KT9" s="90" t="str">
        <f>IFERROR(IF(OR($B9="",KT$3=""),"",IF(NOT(ISNUMBER(_xll.ciqfunctions.udf.CIQ($B9, "IQ_ASSET_TURNS", KT$3, $E$3, $N$3, , $J$3, $K$3))),"",_xll.ciqfunctions.udf.CIQ($B9, "IQ_ASSET_TURNS", KT$3, $E$3, $N$3, , $J$3, $K$3))),"")</f>
        <v/>
      </c>
      <c r="KU9" s="90" t="str">
        <f>IFERROR(IF(OR($B9="",KU$3=""),"",IF(NOT(ISNUMBER(_xll.ciqfunctions.udf.CIQ($B9, "IQ_ASSET_TURNS", KU$3, $E$3, $N$3, , $J$3, $K$3))),"",_xll.ciqfunctions.udf.CIQ($B9, "IQ_ASSET_TURNS", KU$3, $E$3, $N$3, , $J$3, $K$3))),"")</f>
        <v/>
      </c>
      <c r="KV9" s="90" t="str">
        <f>IFERROR(IF(OR($B9="",KV$3=""),"",IF(NOT(ISNUMBER(_xll.ciqfunctions.udf.CIQ($B9, "IQ_ASSET_TURNS", KV$3, $E$3, $N$3, , $J$3, $K$3))),"",_xll.ciqfunctions.udf.CIQ($B9, "IQ_ASSET_TURNS", KV$3, $E$3, $N$3, , $J$3, $K$3))),"")</f>
        <v/>
      </c>
      <c r="KW9" s="90" t="str">
        <f>IFERROR(IF(OR($B9="",KW$3=""),"",IF(NOT(ISNUMBER(_xll.ciqfunctions.udf.CIQ($B9, "IQ_ASSET_TURNS", KW$3, $E$3, $N$3, , $J$3, $K$3))),"",_xll.ciqfunctions.udf.CIQ($B9, "IQ_ASSET_TURNS", KW$3, $E$3, $N$3, , $J$3, $K$3))),"")</f>
        <v/>
      </c>
      <c r="KX9" s="90" t="str">
        <f>IFERROR(IF(OR($B9="",KX$3=""),"",IF(NOT(ISNUMBER(_xll.ciqfunctions.udf.CIQ($B9, "IQ_ASSET_TURNS", KX$3, $E$3, $N$3, , $J$3, $K$3))),"",_xll.ciqfunctions.udf.CIQ($B9, "IQ_ASSET_TURNS", KX$3, $E$3, $N$3, , $J$3, $K$3))),"")</f>
        <v/>
      </c>
      <c r="KY9" s="90" t="str">
        <f>IFERROR(IF(OR($B9="",KY$3=""),"",IF(NOT(ISNUMBER(_xll.ciqfunctions.udf.CIQ($B9, "IQ_ASSET_TURNS", KY$3, $E$3, $N$3, , $J$3, $K$3))),"",_xll.ciqfunctions.udf.CIQ($B9, "IQ_ASSET_TURNS", KY$3, $E$3, $N$3, , $J$3, $K$3))),"")</f>
        <v/>
      </c>
      <c r="KZ9" s="91" t="str">
        <f>IFERROR(IF(OR($B9="",KZ$3=""),"",IF(NOT(ISNUMBER(_xll.ciqfunctions.udf.CIQ($B9, "IQ_ASSET_TURNS", KZ$3, $E$3, $N$3, , $J$3, $K$3))),"",_xll.ciqfunctions.udf.CIQ($B9, "IQ_ASSET_TURNS", KZ$3, $E$3, $N$3, , $J$3, $K$3))),"")</f>
        <v/>
      </c>
      <c r="LA9" s="75" t="str">
        <f>IFERROR(IF(OR($B9="",LA$3=""),"",IF(NOT(ISNUMBER(_xll.ciqfunctions.udf.CIQ($B9, "IQ_INVENTORY_TURNS", LA$3, $E$3, $N$3, , $J$3, $K$3))),"",_xll.ciqfunctions.udf.CIQ($B9, "IQ_INVENTORY_TURNS", LA$3, $E$3, $N$3, , $J$3, $K$3))),"")</f>
        <v/>
      </c>
      <c r="LB9" s="75" t="str">
        <f>IFERROR(IF(OR($B9="",LB$3=""),"",IF(NOT(ISNUMBER(_xll.ciqfunctions.udf.CIQ($B9, "IQ_INVENTORY_TURNS", LB$3, $E$3, $N$3, , $J$3, $K$3))),"",_xll.ciqfunctions.udf.CIQ($B9, "IQ_INVENTORY_TURNS", LB$3, $E$3, $N$3, , $J$3, $K$3))),"")</f>
        <v/>
      </c>
      <c r="LC9" s="75" t="str">
        <f>IFERROR(IF(OR($B9="",LC$3=""),"",IF(NOT(ISNUMBER(_xll.ciqfunctions.udf.CIQ($B9, "IQ_INVENTORY_TURNS", LC$3, $E$3, $N$3, , $J$3, $K$3))),"",_xll.ciqfunctions.udf.CIQ($B9, "IQ_INVENTORY_TURNS", LC$3, $E$3, $N$3, , $J$3, $K$3))),"")</f>
        <v/>
      </c>
      <c r="LD9" s="75" t="str">
        <f>IFERROR(IF(OR($B9="",LD$3=""),"",IF(NOT(ISNUMBER(_xll.ciqfunctions.udf.CIQ($B9, "IQ_INVENTORY_TURNS", LD$3, $E$3, $N$3, , $J$3, $K$3))),"",_xll.ciqfunctions.udf.CIQ($B9, "IQ_INVENTORY_TURNS", LD$3, $E$3, $N$3, , $J$3, $K$3))),"")</f>
        <v/>
      </c>
      <c r="LE9" s="75" t="str">
        <f>IFERROR(IF(OR($B9="",LE$3=""),"",IF(NOT(ISNUMBER(_xll.ciqfunctions.udf.CIQ($B9, "IQ_INVENTORY_TURNS", LE$3, $E$3, $N$3, , $J$3, $K$3))),"",_xll.ciqfunctions.udf.CIQ($B9, "IQ_INVENTORY_TURNS", LE$3, $E$3, $N$3, , $J$3, $K$3))),"")</f>
        <v/>
      </c>
      <c r="LF9" s="75" t="str">
        <f>IFERROR(IF(OR($B9="",LF$3=""),"",IF(NOT(ISNUMBER(_xll.ciqfunctions.udf.CIQ($B9, "IQ_INVENTORY_TURNS", LF$3, $E$3, $N$3, , $J$3, $K$3))),"",_xll.ciqfunctions.udf.CIQ($B9, "IQ_INVENTORY_TURNS", LF$3, $E$3, $N$3, , $J$3, $K$3))),"")</f>
        <v/>
      </c>
      <c r="LG9" s="75" t="str">
        <f>IFERROR(IF(OR($B9="",LG$3=""),"",IF(NOT(ISNUMBER(_xll.ciqfunctions.udf.CIQ($B9, "IQ_INVENTORY_TURNS", LG$3, $E$3, $N$3, , $J$3, $K$3))),"",_xll.ciqfunctions.udf.CIQ($B9, "IQ_INVENTORY_TURNS", LG$3, $E$3, $N$3, , $J$3, $K$3))),"")</f>
        <v/>
      </c>
      <c r="LH9" s="75" t="str">
        <f>IFERROR(IF(OR($B9="",LH$3=""),"",IF(NOT(ISNUMBER(_xll.ciqfunctions.udf.CIQ($B9, "IQ_INVENTORY_TURNS", LH$3, $E$3, $N$3, , $J$3, $K$3))),"",_xll.ciqfunctions.udf.CIQ($B9, "IQ_INVENTORY_TURNS", LH$3, $E$3, $N$3, , $J$3, $K$3))),"")</f>
        <v/>
      </c>
      <c r="LI9" s="75" t="str">
        <f>IFERROR(IF(OR($B9="",LI$3=""),"",IF(NOT(ISNUMBER(_xll.ciqfunctions.udf.CIQ($B9, "IQ_INVENTORY_TURNS", LI$3, $E$3, $N$3, , $J$3, $K$3))),"",_xll.ciqfunctions.udf.CIQ($B9, "IQ_INVENTORY_TURNS", LI$3, $E$3, $N$3, , $J$3, $K$3))),"")</f>
        <v/>
      </c>
      <c r="LJ9" s="75" t="str">
        <f>IFERROR(IF(OR($B9="",LJ$3=""),"",IF(NOT(ISNUMBER(_xll.ciqfunctions.udf.CIQ($B9, "IQ_INVENTORY_TURNS", LJ$3, $E$3, $N$3, , $J$3, $K$3))),"",_xll.ciqfunctions.udf.CIQ($B9, "IQ_INVENTORY_TURNS", LJ$3, $E$3, $N$3, , $J$3, $K$3))),"")</f>
        <v/>
      </c>
      <c r="LK9" s="75" t="str">
        <f>IFERROR(IF(OR($B9="",LK$3=""),"",IF(NOT(ISNUMBER(_xll.ciqfunctions.udf.CIQ($B9, "IQ_INVENTORY_TURNS", LK$3, $E$3, $N$3, , $J$3, $K$3))),"",_xll.ciqfunctions.udf.CIQ($B9, "IQ_INVENTORY_TURNS", LK$3, $E$3, $N$3, , $J$3, $K$3))),"")</f>
        <v/>
      </c>
      <c r="LL9" s="75" t="str">
        <f>IFERROR(IF(OR($B9="",LL$3=""),"",IF(NOT(ISNUMBER(_xll.ciqfunctions.udf.CIQ($B9, "IQ_INVENTORY_TURNS", LL$3, $E$3, $N$3, , $J$3, $K$3))),"",_xll.ciqfunctions.udf.CIQ($B9, "IQ_INVENTORY_TURNS", LL$3, $E$3, $N$3, , $J$3, $K$3))),"")</f>
        <v/>
      </c>
      <c r="LM9" s="75" t="str">
        <f>IFERROR(IF(OR($B9="",LM$3=""),"",IF(NOT(ISNUMBER(_xll.ciqfunctions.udf.CIQ($B9, "IQ_INVENTORY_TURNS", LM$3, $E$3, $N$3, , $J$3, $K$3))),"",_xll.ciqfunctions.udf.CIQ($B9, "IQ_INVENTORY_TURNS", LM$3, $E$3, $N$3, , $J$3, $K$3))),"")</f>
        <v/>
      </c>
      <c r="LN9" s="75" t="str">
        <f>IFERROR(IF(OR($B9="",LN$3=""),"",IF(NOT(ISNUMBER(_xll.ciqfunctions.udf.CIQ($B9, "IQ_INVENTORY_TURNS", LN$3, $E$3, $N$3, , $J$3, $K$3))),"",_xll.ciqfunctions.udf.CIQ($B9, "IQ_INVENTORY_TURNS", LN$3, $E$3, $N$3, , $J$3, $K$3))),"")</f>
        <v/>
      </c>
      <c r="LO9" s="75" t="str">
        <f>IFERROR(IF(OR($B9="",LO$3=""),"",IF(NOT(ISNUMBER(_xll.ciqfunctions.udf.CIQ($B9, "IQ_INVENTORY_TURNS", LO$3, $E$3, $N$3, , $J$3, $K$3))),"",_xll.ciqfunctions.udf.CIQ($B9, "IQ_INVENTORY_TURNS", LO$3, $E$3, $N$3, , $J$3, $K$3))),"")</f>
        <v/>
      </c>
      <c r="LP9" s="75" t="str">
        <f>IFERROR(IF(OR($B9="",LP$3=""),"",IF(NOT(ISNUMBER(_xll.ciqfunctions.udf.CIQ($B9, "IQ_INVENTORY_TURNS", LP$3, $E$3, $N$3, , $J$3, $K$3))),"",_xll.ciqfunctions.udf.CIQ($B9, "IQ_INVENTORY_TURNS", LP$3, $E$3, $N$3, , $J$3, $K$3))),"")</f>
        <v/>
      </c>
      <c r="LQ9" s="75" t="str">
        <f>IFERROR(IF(OR($B9="",LQ$3=""),"",IF(NOT(ISNUMBER(_xll.ciqfunctions.udf.CIQ($B9, "IQ_INVENTORY_TURNS", LQ$3, $E$3, $N$3, , $J$3, $K$3))),"",_xll.ciqfunctions.udf.CIQ($B9, "IQ_INVENTORY_TURNS", LQ$3, $E$3, $N$3, , $J$3, $K$3))),"")</f>
        <v/>
      </c>
      <c r="LR9" s="75" t="str">
        <f>IFERROR(IF(OR($B9="",LR$3=""),"",IF(NOT(ISNUMBER(_xll.ciqfunctions.udf.CIQ($B9, "IQ_INVENTORY_TURNS", LR$3, $E$3, $N$3, , $J$3, $K$3))),"",_xll.ciqfunctions.udf.CIQ($B9, "IQ_INVENTORY_TURNS", LR$3, $E$3, $N$3, , $J$3, $K$3))),"")</f>
        <v/>
      </c>
      <c r="LS9" s="75" t="str">
        <f>IFERROR(IF(OR($B9="",LS$3=""),"",IF(NOT(ISNUMBER(_xll.ciqfunctions.udf.CIQ($B9, "IQ_INVENTORY_TURNS", LS$3, $E$3, $N$3, , $J$3, $K$3))),"",_xll.ciqfunctions.udf.CIQ($B9, "IQ_INVENTORY_TURNS", LS$3, $E$3, $N$3, , $J$3, $K$3))),"")</f>
        <v/>
      </c>
      <c r="LT9" s="75" t="str">
        <f>IFERROR(IF(OR($B9="",LT$3=""),"",IF(NOT(ISNUMBER(_xll.ciqfunctions.udf.CIQ($B9, "IQ_INVENTORY_TURNS", LT$3, $E$3, $N$3, , $J$3, $K$3))),"",_xll.ciqfunctions.udf.CIQ($B9, "IQ_INVENTORY_TURNS", LT$3, $E$3, $N$3, , $J$3, $K$3))),"")</f>
        <v/>
      </c>
      <c r="LU9" s="75" t="str">
        <f>IFERROR(IF(OR($B9="",LU$3=""),"",IF(NOT(ISNUMBER(_xll.ciqfunctions.udf.CIQ($B9, "IQ_AR_TURNS", LU$3, $E$3, $N$3, , $J$3, $K$3))),"",_xll.ciqfunctions.udf.CIQ($B9, "IQ_AR_TURNS", LU$3, $E$3, $N$3, , $J$3, $K$3))),"")</f>
        <v/>
      </c>
      <c r="LV9" s="75" t="str">
        <f>IFERROR(IF(OR($B9="",LV$3=""),"",IF(NOT(ISNUMBER(_xll.ciqfunctions.udf.CIQ($B9, "IQ_AR_TURNS", LV$3, $E$3, $N$3, , $J$3, $K$3))),"",_xll.ciqfunctions.udf.CIQ($B9, "IQ_AR_TURNS", LV$3, $E$3, $N$3, , $J$3, $K$3))),"")</f>
        <v/>
      </c>
      <c r="LW9" s="75" t="str">
        <f>IFERROR(IF(OR($B9="",LW$3=""),"",IF(NOT(ISNUMBER(_xll.ciqfunctions.udf.CIQ($B9, "IQ_AR_TURNS", LW$3, $E$3, $N$3, , $J$3, $K$3))),"",_xll.ciqfunctions.udf.CIQ($B9, "IQ_AR_TURNS", LW$3, $E$3, $N$3, , $J$3, $K$3))),"")</f>
        <v/>
      </c>
      <c r="LX9" s="75" t="str">
        <f>IFERROR(IF(OR($B9="",LX$3=""),"",IF(NOT(ISNUMBER(_xll.ciqfunctions.udf.CIQ($B9, "IQ_AR_TURNS", LX$3, $E$3, $N$3, , $J$3, $K$3))),"",_xll.ciqfunctions.udf.CIQ($B9, "IQ_AR_TURNS", LX$3, $E$3, $N$3, , $J$3, $K$3))),"")</f>
        <v/>
      </c>
      <c r="LY9" s="75" t="str">
        <f>IFERROR(IF(OR($B9="",LY$3=""),"",IF(NOT(ISNUMBER(_xll.ciqfunctions.udf.CIQ($B9, "IQ_AR_TURNS", LY$3, $E$3, $N$3, , $J$3, $K$3))),"",_xll.ciqfunctions.udf.CIQ($B9, "IQ_AR_TURNS", LY$3, $E$3, $N$3, , $J$3, $K$3))),"")</f>
        <v/>
      </c>
      <c r="LZ9" s="75" t="str">
        <f>IFERROR(IF(OR($B9="",LZ$3=""),"",IF(NOT(ISNUMBER(_xll.ciqfunctions.udf.CIQ($B9, "IQ_AR_TURNS", LZ$3, $E$3, $N$3, , $J$3, $K$3))),"",_xll.ciqfunctions.udf.CIQ($B9, "IQ_AR_TURNS", LZ$3, $E$3, $N$3, , $J$3, $K$3))),"")</f>
        <v/>
      </c>
      <c r="MA9" s="75" t="str">
        <f>IFERROR(IF(OR($B9="",MA$3=""),"",IF(NOT(ISNUMBER(_xll.ciqfunctions.udf.CIQ($B9, "IQ_AR_TURNS", MA$3, $E$3, $N$3, , $J$3, $K$3))),"",_xll.ciqfunctions.udf.CIQ($B9, "IQ_AR_TURNS", MA$3, $E$3, $N$3, , $J$3, $K$3))),"")</f>
        <v/>
      </c>
      <c r="MB9" s="75" t="str">
        <f>IFERROR(IF(OR($B9="",MB$3=""),"",IF(NOT(ISNUMBER(_xll.ciqfunctions.udf.CIQ($B9, "IQ_AR_TURNS", MB$3, $E$3, $N$3, , $J$3, $K$3))),"",_xll.ciqfunctions.udf.CIQ($B9, "IQ_AR_TURNS", MB$3, $E$3, $N$3, , $J$3, $K$3))),"")</f>
        <v/>
      </c>
      <c r="MC9" s="75" t="str">
        <f>IFERROR(IF(OR($B9="",MC$3=""),"",IF(NOT(ISNUMBER(_xll.ciqfunctions.udf.CIQ($B9, "IQ_AR_TURNS", MC$3, $E$3, $N$3, , $J$3, $K$3))),"",_xll.ciqfunctions.udf.CIQ($B9, "IQ_AR_TURNS", MC$3, $E$3, $N$3, , $J$3, $K$3))),"")</f>
        <v/>
      </c>
      <c r="MD9" s="75" t="str">
        <f>IFERROR(IF(OR($B9="",MD$3=""),"",IF(NOT(ISNUMBER(_xll.ciqfunctions.udf.CIQ($B9, "IQ_AR_TURNS", MD$3, $E$3, $N$3, , $J$3, $K$3))),"",_xll.ciqfunctions.udf.CIQ($B9, "IQ_AR_TURNS", MD$3, $E$3, $N$3, , $J$3, $K$3))),"")</f>
        <v/>
      </c>
      <c r="ME9" s="75" t="str">
        <f>IFERROR(IF(OR($B9="",ME$3=""),"",IF(NOT(ISNUMBER(_xll.ciqfunctions.udf.CIQ($B9, "IQ_AR_TURNS", ME$3, $E$3, $N$3, , $J$3, $K$3))),"",_xll.ciqfunctions.udf.CIQ($B9, "IQ_AR_TURNS", ME$3, $E$3, $N$3, , $J$3, $K$3))),"")</f>
        <v/>
      </c>
      <c r="MF9" s="75" t="str">
        <f>IFERROR(IF(OR($B9="",MF$3=""),"",IF(NOT(ISNUMBER(_xll.ciqfunctions.udf.CIQ($B9, "IQ_AR_TURNS", MF$3, $E$3, $N$3, , $J$3, $K$3))),"",_xll.ciqfunctions.udf.CIQ($B9, "IQ_AR_TURNS", MF$3, $E$3, $N$3, , $J$3, $K$3))),"")</f>
        <v/>
      </c>
      <c r="MG9" s="75" t="str">
        <f>IFERROR(IF(OR($B9="",MG$3=""),"",IF(NOT(ISNUMBER(_xll.ciqfunctions.udf.CIQ($B9, "IQ_AR_TURNS", MG$3, $E$3, $N$3, , $J$3, $K$3))),"",_xll.ciqfunctions.udf.CIQ($B9, "IQ_AR_TURNS", MG$3, $E$3, $N$3, , $J$3, $K$3))),"")</f>
        <v/>
      </c>
      <c r="MH9" s="75" t="str">
        <f>IFERROR(IF(OR($B9="",MH$3=""),"",IF(NOT(ISNUMBER(_xll.ciqfunctions.udf.CIQ($B9, "IQ_AR_TURNS", MH$3, $E$3, $N$3, , $J$3, $K$3))),"",_xll.ciqfunctions.udf.CIQ($B9, "IQ_AR_TURNS", MH$3, $E$3, $N$3, , $J$3, $K$3))),"")</f>
        <v/>
      </c>
      <c r="MI9" s="75" t="str">
        <f>IFERROR(IF(OR($B9="",MI$3=""),"",IF(NOT(ISNUMBER(_xll.ciqfunctions.udf.CIQ($B9, "IQ_AR_TURNS", MI$3, $E$3, $N$3, , $J$3, $K$3))),"",_xll.ciqfunctions.udf.CIQ($B9, "IQ_AR_TURNS", MI$3, $E$3, $N$3, , $J$3, $K$3))),"")</f>
        <v/>
      </c>
      <c r="MJ9" s="75" t="str">
        <f>IFERROR(IF(OR($B9="",MJ$3=""),"",IF(NOT(ISNUMBER(_xll.ciqfunctions.udf.CIQ($B9, "IQ_AR_TURNS", MJ$3, $E$3, $N$3, , $J$3, $K$3))),"",_xll.ciqfunctions.udf.CIQ($B9, "IQ_AR_TURNS", MJ$3, $E$3, $N$3, , $J$3, $K$3))),"")</f>
        <v/>
      </c>
      <c r="MK9" s="75" t="str">
        <f>IFERROR(IF(OR($B9="",MK$3=""),"",IF(NOT(ISNUMBER(_xll.ciqfunctions.udf.CIQ($B9, "IQ_AR_TURNS", MK$3, $E$3, $N$3, , $J$3, $K$3))),"",_xll.ciqfunctions.udf.CIQ($B9, "IQ_AR_TURNS", MK$3, $E$3, $N$3, , $J$3, $K$3))),"")</f>
        <v/>
      </c>
      <c r="ML9" s="75" t="str">
        <f>IFERROR(IF(OR($B9="",ML$3=""),"",IF(NOT(ISNUMBER(_xll.ciqfunctions.udf.CIQ($B9, "IQ_AR_TURNS", ML$3, $E$3, $N$3, , $J$3, $K$3))),"",_xll.ciqfunctions.udf.CIQ($B9, "IQ_AR_TURNS", ML$3, $E$3, $N$3, , $J$3, $K$3))),"")</f>
        <v/>
      </c>
      <c r="MM9" s="75" t="str">
        <f>IFERROR(IF(OR($B9="",MM$3=""),"",IF(NOT(ISNUMBER(_xll.ciqfunctions.udf.CIQ($B9, "IQ_AR_TURNS", MM$3, $E$3, $N$3, , $J$3, $K$3))),"",_xll.ciqfunctions.udf.CIQ($B9, "IQ_AR_TURNS", MM$3, $E$3, $N$3, , $J$3, $K$3))),"")</f>
        <v/>
      </c>
      <c r="MN9" s="75" t="str">
        <f>IFERROR(IF(OR($B9="",MN$3=""),"",IF(NOT(ISNUMBER(_xll.ciqfunctions.udf.CIQ($B9, "IQ_AR_TURNS", MN$3, $E$3, $N$3, , $J$3, $K$3))),"",_xll.ciqfunctions.udf.CIQ($B9, "IQ_AR_TURNS", MN$3, $E$3, $N$3, , $J$3, $K$3))),"")</f>
        <v/>
      </c>
      <c r="MO9" s="588" t="str">
        <f>IFERROR(IF(OR($B9="",MO$3=""),"",_xll.ciqfunctions.udf.CIQ($B9, "IQ_LEVERED_FCF", $O$3, MO$3, $N$3, , $J$3, $K$3)*2/(_xll.ciqfunctions.udf.CIQ($B9, "IQ_TOTAL_DEBT", MO$3, $E$3, $N$3, , $J$3, $K$3)+_xll.ciqfunctions.udf.CIQ($B9, "IQ_TOTAL_DEBT", "IQ_" &amp; LEFT(MO$3,2) &amp; "-1", MO$3, $N$3, , $J$3, $K$3)) ),"")</f>
        <v/>
      </c>
      <c r="MP9" s="588" t="str">
        <f>IFERROR(IF(OR($B9="",MP$3=""),"",_xll.ciqfunctions.udf.CIQ($B9, "IQ_LEVERED_FCF", $O$3, MP$3, $N$3, , $J$3, $K$3)*2/(_xll.ciqfunctions.udf.CIQ($B9, "IQ_TOTAL_DEBT", MP$3, $E$3, $N$3, , $J$3, $K$3)+_xll.ciqfunctions.udf.CIQ($B9, "IQ_TOTAL_DEBT", "IQ_" &amp; LEFT(MP$3,2) &amp; "-1", MP$3, $N$3, , $J$3, $K$3)) ),"")</f>
        <v/>
      </c>
      <c r="MQ9" s="588" t="str">
        <f>IFERROR(IF(OR($B9="",MQ$3=""),"",_xll.ciqfunctions.udf.CIQ($B9, "IQ_LEVERED_FCF", $O$3, MQ$3, $N$3, , $J$3, $K$3)*2/(_xll.ciqfunctions.udf.CIQ($B9, "IQ_TOTAL_DEBT", MQ$3, $E$3, $N$3, , $J$3, $K$3)+_xll.ciqfunctions.udf.CIQ($B9, "IQ_TOTAL_DEBT", "IQ_" &amp; LEFT(MQ$3,2) &amp; "-1", MQ$3, $N$3, , $J$3, $K$3)) ),"")</f>
        <v/>
      </c>
      <c r="MR9" s="588" t="str">
        <f>IFERROR(IF(OR($B9="",MR$3=""),"",_xll.ciqfunctions.udf.CIQ($B9, "IQ_LEVERED_FCF", $O$3, MR$3, $N$3, , $J$3, $K$3)*2/(_xll.ciqfunctions.udf.CIQ($B9, "IQ_TOTAL_DEBT", MR$3, $E$3, $N$3, , $J$3, $K$3)+_xll.ciqfunctions.udf.CIQ($B9, "IQ_TOTAL_DEBT", "IQ_" &amp; LEFT(MR$3,2) &amp; "-1", MR$3, $N$3, , $J$3, $K$3)) ),"")</f>
        <v/>
      </c>
      <c r="MS9" s="588" t="str">
        <f>IFERROR(IF(OR($B9="",MS$3=""),"",_xll.ciqfunctions.udf.CIQ($B9, "IQ_LEVERED_FCF", $O$3, MS$3, $N$3, , $J$3, $K$3)*2/(_xll.ciqfunctions.udf.CIQ($B9, "IQ_TOTAL_DEBT", MS$3, $E$3, $N$3, , $J$3, $K$3)+_xll.ciqfunctions.udf.CIQ($B9, "IQ_TOTAL_DEBT", "IQ_" &amp; LEFT(MS$3,2) &amp; "-1", MS$3, $N$3, , $J$3, $K$3)) ),"")</f>
        <v/>
      </c>
      <c r="MT9" s="588" t="str">
        <f>IFERROR(IF(OR($B9="",MT$3=""),"",_xll.ciqfunctions.udf.CIQ($B9, "IQ_LEVERED_FCF", $O$3, MT$3, $N$3, , $J$3, $K$3)*2/(_xll.ciqfunctions.udf.CIQ($B9, "IQ_TOTAL_DEBT", MT$3, $E$3, $N$3, , $J$3, $K$3)+_xll.ciqfunctions.udf.CIQ($B9, "IQ_TOTAL_DEBT", "IQ_" &amp; LEFT(MT$3,2) &amp; "-1", MT$3, $N$3, , $J$3, $K$3)) ),"")</f>
        <v/>
      </c>
      <c r="MU9" s="588" t="str">
        <f>IFERROR(IF(OR($B9="",MU$3=""),"",_xll.ciqfunctions.udf.CIQ($B9, "IQ_LEVERED_FCF", $O$3, MU$3, $N$3, , $J$3, $K$3)*2/(_xll.ciqfunctions.udf.CIQ($B9, "IQ_TOTAL_DEBT", MU$3, $E$3, $N$3, , $J$3, $K$3)+_xll.ciqfunctions.udf.CIQ($B9, "IQ_TOTAL_DEBT", "IQ_" &amp; LEFT(MU$3,2) &amp; "-1", MU$3, $N$3, , $J$3, $K$3)) ),"")</f>
        <v/>
      </c>
      <c r="MV9" s="588" t="str">
        <f>IFERROR(IF(OR($B9="",MV$3=""),"",_xll.ciqfunctions.udf.CIQ($B9, "IQ_LEVERED_FCF", $O$3, MV$3, $N$3, , $J$3, $K$3)*2/(_xll.ciqfunctions.udf.CIQ($B9, "IQ_TOTAL_DEBT", MV$3, $E$3, $N$3, , $J$3, $K$3)+_xll.ciqfunctions.udf.CIQ($B9, "IQ_TOTAL_DEBT", "IQ_" &amp; LEFT(MV$3,2) &amp; "-1", MV$3, $N$3, , $J$3, $K$3)) ),"")</f>
        <v/>
      </c>
      <c r="MW9" s="588" t="str">
        <f>IFERROR(IF(OR($B9="",MW$3=""),"",_xll.ciqfunctions.udf.CIQ($B9, "IQ_LEVERED_FCF", $O$3, MW$3, $N$3, , $J$3, $K$3)*2/(_xll.ciqfunctions.udf.CIQ($B9, "IQ_TOTAL_DEBT", MW$3, $E$3, $N$3, , $J$3, $K$3)+_xll.ciqfunctions.udf.CIQ($B9, "IQ_TOTAL_DEBT", "IQ_" &amp; LEFT(MW$3,2) &amp; "-1", MW$3, $N$3, , $J$3, $K$3)) ),"")</f>
        <v/>
      </c>
      <c r="MX9" s="588" t="str">
        <f>IFERROR(IF(OR($B9="",MX$3=""),"",_xll.ciqfunctions.udf.CIQ($B9, "IQ_LEVERED_FCF", $O$3, MX$3, $N$3, , $J$3, $K$3)*2/(_xll.ciqfunctions.udf.CIQ($B9, "IQ_TOTAL_DEBT", MX$3, $E$3, $N$3, , $J$3, $K$3)+_xll.ciqfunctions.udf.CIQ($B9, "IQ_TOTAL_DEBT", "IQ_" &amp; LEFT(MX$3,2) &amp; "-1", MX$3, $N$3, , $J$3, $K$3)) ),"")</f>
        <v/>
      </c>
      <c r="MY9" s="588" t="str">
        <f>IFERROR(IF(OR($B9="",MY$3=""),"",_xll.ciqfunctions.udf.CIQ($B9, "IQ_LEVERED_FCF", $O$3, MY$3, $N$3, , $J$3, $K$3)*2/(_xll.ciqfunctions.udf.CIQ($B9, "IQ_TOTAL_DEBT", MY$3, $E$3, $N$3, , $J$3, $K$3)+_xll.ciqfunctions.udf.CIQ($B9, "IQ_TOTAL_DEBT", "IQ_" &amp; LEFT(MY$3,2) &amp; "-1", MY$3, $N$3, , $J$3, $K$3)) ),"")</f>
        <v/>
      </c>
      <c r="MZ9" s="588" t="str">
        <f>IFERROR(IF(OR($B9="",MZ$3=""),"",_xll.ciqfunctions.udf.CIQ($B9, "IQ_LEVERED_FCF", $O$3, MZ$3, $N$3, , $J$3, $K$3)*2/(_xll.ciqfunctions.udf.CIQ($B9, "IQ_TOTAL_DEBT", MZ$3, $E$3, $N$3, , $J$3, $K$3)+_xll.ciqfunctions.udf.CIQ($B9, "IQ_TOTAL_DEBT", "IQ_" &amp; LEFT(MZ$3,2) &amp; "-1", MZ$3, $N$3, , $J$3, $K$3)) ),"")</f>
        <v/>
      </c>
      <c r="NA9" s="588" t="str">
        <f>IFERROR(IF(OR($B9="",NA$3=""),"",_xll.ciqfunctions.udf.CIQ($B9, "IQ_LEVERED_FCF", $O$3, NA$3, $N$3, , $J$3, $K$3)*2/(_xll.ciqfunctions.udf.CIQ($B9, "IQ_TOTAL_DEBT", NA$3, $E$3, $N$3, , $J$3, $K$3)+_xll.ciqfunctions.udf.CIQ($B9, "IQ_TOTAL_DEBT", "IQ_" &amp; LEFT(NA$3,2) &amp; "-1", NA$3, $N$3, , $J$3, $K$3)) ),"")</f>
        <v/>
      </c>
      <c r="NB9" s="588" t="str">
        <f>IFERROR(IF(OR($B9="",NB$3=""),"",_xll.ciqfunctions.udf.CIQ($B9, "IQ_LEVERED_FCF", $O$3, NB$3, $N$3, , $J$3, $K$3)*2/(_xll.ciqfunctions.udf.CIQ($B9, "IQ_TOTAL_DEBT", NB$3, $E$3, $N$3, , $J$3, $K$3)+_xll.ciqfunctions.udf.CIQ($B9, "IQ_TOTAL_DEBT", "IQ_" &amp; LEFT(NB$3,2) &amp; "-1", NB$3, $N$3, , $J$3, $K$3)) ),"")</f>
        <v/>
      </c>
      <c r="NC9" s="588" t="str">
        <f>IFERROR(IF(OR($B9="",NC$3=""),"",_xll.ciqfunctions.udf.CIQ($B9, "IQ_LEVERED_FCF", $O$3, NC$3, $N$3, , $J$3, $K$3)*2/(_xll.ciqfunctions.udf.CIQ($B9, "IQ_TOTAL_DEBT", NC$3, $E$3, $N$3, , $J$3, $K$3)+_xll.ciqfunctions.udf.CIQ($B9, "IQ_TOTAL_DEBT", "IQ_" &amp; LEFT(NC$3,2) &amp; "-1", NC$3, $N$3, , $J$3, $K$3)) ),"")</f>
        <v/>
      </c>
      <c r="ND9" s="588" t="str">
        <f>IFERROR(IF(OR($B9="",ND$3=""),"",_xll.ciqfunctions.udf.CIQ($B9, "IQ_LEVERED_FCF", $O$3, ND$3, $N$3, , $J$3, $K$3)*2/(_xll.ciqfunctions.udf.CIQ($B9, "IQ_TOTAL_DEBT", ND$3, $E$3, $N$3, , $J$3, $K$3)+_xll.ciqfunctions.udf.CIQ($B9, "IQ_TOTAL_DEBT", "IQ_" &amp; LEFT(ND$3,2) &amp; "-1", ND$3, $N$3, , $J$3, $K$3)) ),"")</f>
        <v/>
      </c>
      <c r="NE9" s="588" t="str">
        <f>IFERROR(IF(OR($B9="",NE$3=""),"",_xll.ciqfunctions.udf.CIQ($B9, "IQ_LEVERED_FCF", $O$3, NE$3, $N$3, , $J$3, $K$3)*2/(_xll.ciqfunctions.udf.CIQ($B9, "IQ_TOTAL_DEBT", NE$3, $E$3, $N$3, , $J$3, $K$3)+_xll.ciqfunctions.udf.CIQ($B9, "IQ_TOTAL_DEBT", "IQ_" &amp; LEFT(NE$3,2) &amp; "-1", NE$3, $N$3, , $J$3, $K$3)) ),"")</f>
        <v/>
      </c>
      <c r="NF9" s="588" t="str">
        <f>IFERROR(IF(OR($B9="",NF$3=""),"",_xll.ciqfunctions.udf.CIQ($B9, "IQ_LEVERED_FCF", $O$3, NF$3, $N$3, , $J$3, $K$3)*2/(_xll.ciqfunctions.udf.CIQ($B9, "IQ_TOTAL_DEBT", NF$3, $E$3, $N$3, , $J$3, $K$3)+_xll.ciqfunctions.udf.CIQ($B9, "IQ_TOTAL_DEBT", "IQ_" &amp; LEFT(NF$3,2) &amp; "-1", NF$3, $N$3, , $J$3, $K$3)) ),"")</f>
        <v/>
      </c>
      <c r="NG9" s="588" t="str">
        <f>IFERROR(IF(OR($B9="",NG$3=""),"",_xll.ciqfunctions.udf.CIQ($B9, "IQ_LEVERED_FCF", $O$3, NG$3, $N$3, , $J$3, $K$3)*2/(_xll.ciqfunctions.udf.CIQ($B9, "IQ_TOTAL_DEBT", NG$3, $E$3, $N$3, , $J$3, $K$3)+_xll.ciqfunctions.udf.CIQ($B9, "IQ_TOTAL_DEBT", "IQ_" &amp; LEFT(NG$3,2) &amp; "-1", NG$3, $N$3, , $J$3, $K$3)) ),"")</f>
        <v/>
      </c>
      <c r="NH9" s="588" t="str">
        <f>IFERROR(IF(OR($B9="",NH$3=""),"",_xll.ciqfunctions.udf.CIQ($B9, "IQ_LEVERED_FCF", $O$3, NH$3, $N$3, , $J$3, $K$3)*2/(_xll.ciqfunctions.udf.CIQ($B9, "IQ_TOTAL_DEBT", NH$3, $E$3, $N$3, , $J$3, $K$3)+_xll.ciqfunctions.udf.CIQ($B9, "IQ_TOTAL_DEBT", "IQ_" &amp; LEFT(NH$3,2) &amp; "-1", NH$3, $N$3, , $J$3, $K$3)) ),"")</f>
        <v/>
      </c>
      <c r="NI9" s="588" t="str">
        <f>IFERROR(IF(OR($B9="",NI$3=""),"",_xll.ciqfunctions.udf.CIQ($B9, "IQ_CASH_OPER", $O$3, NI$3, $N$3, , $J$3, $K$3)/_xll.ciqfunctions.udf.CIQ($B9, "IQ_NI", NI$3, $E$3, $N$3, , $J$3, $K$3)),"")</f>
        <v/>
      </c>
      <c r="NJ9" s="588" t="str">
        <f>IFERROR(IF(OR($B9="",NJ$3=""),"",_xll.ciqfunctions.udf.CIQ($B9, "IQ_CASH_OPER", $O$3, NJ$3, $N$3, , $J$3, $K$3)/_xll.ciqfunctions.udf.CIQ($B9, "IQ_NI", NJ$3, $E$3, $N$3, , $J$3, $K$3)),"")</f>
        <v/>
      </c>
      <c r="NK9" s="588" t="str">
        <f>IFERROR(IF(OR($B9="",NK$3=""),"",_xll.ciqfunctions.udf.CIQ($B9, "IQ_CASH_OPER", $O$3, NK$3, $N$3, , $J$3, $K$3)/_xll.ciqfunctions.udf.CIQ($B9, "IQ_NI", NK$3, $E$3, $N$3, , $J$3, $K$3)),"")</f>
        <v/>
      </c>
      <c r="NL9" s="588" t="str">
        <f>IFERROR(IF(OR($B9="",NL$3=""),"",_xll.ciqfunctions.udf.CIQ($B9, "IQ_CASH_OPER", $O$3, NL$3, $N$3, , $J$3, $K$3)/_xll.ciqfunctions.udf.CIQ($B9, "IQ_NI", NL$3, $E$3, $N$3, , $J$3, $K$3)),"")</f>
        <v/>
      </c>
      <c r="NM9" s="588" t="str">
        <f>IFERROR(IF(OR($B9="",NM$3=""),"",_xll.ciqfunctions.udf.CIQ($B9, "IQ_CASH_OPER", $O$3, NM$3, $N$3, , $J$3, $K$3)/_xll.ciqfunctions.udf.CIQ($B9, "IQ_NI", NM$3, $E$3, $N$3, , $J$3, $K$3)),"")</f>
        <v/>
      </c>
      <c r="NN9" s="588" t="str">
        <f>IFERROR(IF(OR($B9="",NN$3=""),"",_xll.ciqfunctions.udf.CIQ($B9, "IQ_CASH_OPER", $O$3, NN$3, $N$3, , $J$3, $K$3)/_xll.ciqfunctions.udf.CIQ($B9, "IQ_NI", NN$3, $E$3, $N$3, , $J$3, $K$3)),"")</f>
        <v/>
      </c>
      <c r="NO9" s="588" t="str">
        <f>IFERROR(IF(OR($B9="",NO$3=""),"",_xll.ciqfunctions.udf.CIQ($B9, "IQ_CASH_OPER", $O$3, NO$3, $N$3, , $J$3, $K$3)/_xll.ciqfunctions.udf.CIQ($B9, "IQ_NI", NO$3, $E$3, $N$3, , $J$3, $K$3)),"")</f>
        <v/>
      </c>
      <c r="NP9" s="588" t="str">
        <f>IFERROR(IF(OR($B9="",NP$3=""),"",_xll.ciqfunctions.udf.CIQ($B9, "IQ_CASH_OPER", $O$3, NP$3, $N$3, , $J$3, $K$3)/_xll.ciqfunctions.udf.CIQ($B9, "IQ_NI", NP$3, $E$3, $N$3, , $J$3, $K$3)),"")</f>
        <v/>
      </c>
      <c r="NQ9" s="588" t="str">
        <f>IFERROR(IF(OR($B9="",NQ$3=""),"",_xll.ciqfunctions.udf.CIQ($B9, "IQ_CASH_OPER", $O$3, NQ$3, $N$3, , $J$3, $K$3)/_xll.ciqfunctions.udf.CIQ($B9, "IQ_NI", NQ$3, $E$3, $N$3, , $J$3, $K$3)),"")</f>
        <v/>
      </c>
      <c r="NR9" s="588" t="str">
        <f>IFERROR(IF(OR($B9="",NR$3=""),"",_xll.ciqfunctions.udf.CIQ($B9, "IQ_CASH_OPER", $O$3, NR$3, $N$3, , $J$3, $K$3)/_xll.ciqfunctions.udf.CIQ($B9, "IQ_NI", NR$3, $E$3, $N$3, , $J$3, $K$3)),"")</f>
        <v/>
      </c>
      <c r="NS9" s="588" t="str">
        <f>IFERROR(IF(OR($B9="",NS$3=""),"",_xll.ciqfunctions.udf.CIQ($B9, "IQ_CASH_OPER", $O$3, NS$3, $N$3, , $J$3, $K$3)/_xll.ciqfunctions.udf.CIQ($B9, "IQ_NI", NS$3, $E$3, $N$3, , $J$3, $K$3)),"")</f>
        <v/>
      </c>
      <c r="NT9" s="588" t="str">
        <f>IFERROR(IF(OR($B9="",NT$3=""),"",_xll.ciqfunctions.udf.CIQ($B9, "IQ_CASH_OPER", $O$3, NT$3, $N$3, , $J$3, $K$3)/_xll.ciqfunctions.udf.CIQ($B9, "IQ_NI", NT$3, $E$3, $N$3, , $J$3, $K$3)),"")</f>
        <v/>
      </c>
      <c r="NU9" s="588" t="str">
        <f>IFERROR(IF(OR($B9="",NU$3=""),"",_xll.ciqfunctions.udf.CIQ($B9, "IQ_CASH_OPER", $O$3, NU$3, $N$3, , $J$3, $K$3)/_xll.ciqfunctions.udf.CIQ($B9, "IQ_NI", NU$3, $E$3, $N$3, , $J$3, $K$3)),"")</f>
        <v/>
      </c>
      <c r="NV9" s="588" t="str">
        <f>IFERROR(IF(OR($B9="",NV$3=""),"",_xll.ciqfunctions.udf.CIQ($B9, "IQ_CASH_OPER", $O$3, NV$3, $N$3, , $J$3, $K$3)/_xll.ciqfunctions.udf.CIQ($B9, "IQ_NI", NV$3, $E$3, $N$3, , $J$3, $K$3)),"")</f>
        <v/>
      </c>
      <c r="NW9" s="588" t="str">
        <f>IFERROR(IF(OR($B9="",NW$3=""),"",_xll.ciqfunctions.udf.CIQ($B9, "IQ_CASH_OPER", $O$3, NW$3, $N$3, , $J$3, $K$3)/_xll.ciqfunctions.udf.CIQ($B9, "IQ_NI", NW$3, $E$3, $N$3, , $J$3, $K$3)),"")</f>
        <v/>
      </c>
      <c r="NX9" s="588" t="str">
        <f>IFERROR(IF(OR($B9="",NX$3=""),"",_xll.ciqfunctions.udf.CIQ($B9, "IQ_CASH_OPER", $O$3, NX$3, $N$3, , $J$3, $K$3)/_xll.ciqfunctions.udf.CIQ($B9, "IQ_NI", NX$3, $E$3, $N$3, , $J$3, $K$3)),"")</f>
        <v/>
      </c>
      <c r="NY9" s="588" t="str">
        <f>IFERROR(IF(OR($B9="",NY$3=""),"",_xll.ciqfunctions.udf.CIQ($B9, "IQ_CASH_OPER", $O$3, NY$3, $N$3, , $J$3, $K$3)/_xll.ciqfunctions.udf.CIQ($B9, "IQ_NI", NY$3, $E$3, $N$3, , $J$3, $K$3)),"")</f>
        <v/>
      </c>
      <c r="NZ9" s="588" t="str">
        <f>IFERROR(IF(OR($B9="",NZ$3=""),"",_xll.ciqfunctions.udf.CIQ($B9, "IQ_CASH_OPER", $O$3, NZ$3, $N$3, , $J$3, $K$3)/_xll.ciqfunctions.udf.CIQ($B9, "IQ_NI", NZ$3, $E$3, $N$3, , $J$3, $K$3)),"")</f>
        <v/>
      </c>
      <c r="OA9" s="588" t="str">
        <f>IFERROR(IF(OR($B9="",OA$3=""),"",_xll.ciqfunctions.udf.CIQ($B9, "IQ_CASH_OPER", $O$3, OA$3, $N$3, , $J$3, $K$3)/_xll.ciqfunctions.udf.CIQ($B9, "IQ_NI", OA$3, $E$3, $N$3, , $J$3, $K$3)),"")</f>
        <v/>
      </c>
      <c r="OB9" s="588" t="str">
        <f>IFERROR(IF(OR($B9="",OB$3=""),"",_xll.ciqfunctions.udf.CIQ($B9, "IQ_CASH_OPER", $O$3, OB$3, $N$3, , $J$3, $K$3)/_xll.ciqfunctions.udf.CIQ($B9, "IQ_NI", OB$3, $E$3, $N$3, , $J$3, $K$3)),"")</f>
        <v/>
      </c>
      <c r="OC9" s="86" t="str">
        <f>IFERROR(IF(OR($B9="",OC$3=""),"",_xll.ciqfunctions.udf.CIQ($B9,"IQ_NI",$O$3, OC$3, $N$3, , $J$3, $K$3)*2/(_xll.ciqfunctions.udf.CIQ($B9,"IQ_TOTAL_ASSETS",OC$3,$I$3, $N$3, , $J$3, $K$3)+_xll.ciqfunctions.udf.CIQ($B9,"IQ_TOTAL_ASSETS", "IQ_" &amp; LEFT(OC$3,2) &amp; "-1", OC$3, $N$3, , $J$3, $K$3))),"")</f>
        <v/>
      </c>
      <c r="OD9" s="87" t="str">
        <f>IFERROR(IF(OR($B9="",OD$3=""),"",_xll.ciqfunctions.udf.CIQ($B9,"IQ_NI",$O$3, OD$3, $N$3, , $J$3, $K$3)*2/(_xll.ciqfunctions.udf.CIQ($B9,"IQ_TOTAL_ASSETS",OD$3,$I$3, $N$3, , $J$3, $K$3)+_xll.ciqfunctions.udf.CIQ($B9,"IQ_TOTAL_ASSETS", "IQ_" &amp; LEFT(OD$3,2) &amp; "-1", OD$3, $N$3, , $J$3, $K$3))),"")</f>
        <v/>
      </c>
      <c r="OE9" s="87" t="str">
        <f>IFERROR(IF(OR($B9="",OE$3=""),"",_xll.ciqfunctions.udf.CIQ($B9,"IQ_NI",$O$3, OE$3, $N$3, , $J$3, $K$3)*2/(_xll.ciqfunctions.udf.CIQ($B9,"IQ_TOTAL_ASSETS",OE$3,$I$3, $N$3, , $J$3, $K$3)+_xll.ciqfunctions.udf.CIQ($B9,"IQ_TOTAL_ASSETS", "IQ_" &amp; LEFT(OE$3,2) &amp; "-1", OE$3, $N$3, , $J$3, $K$3))),"")</f>
        <v/>
      </c>
      <c r="OF9" s="87" t="str">
        <f>IFERROR(IF(OR($B9="",OF$3=""),"",_xll.ciqfunctions.udf.CIQ($B9,"IQ_NI",$O$3, OF$3, $N$3, , $J$3, $K$3)*2/(_xll.ciqfunctions.udf.CIQ($B9,"IQ_TOTAL_ASSETS",OF$3,$I$3, $N$3, , $J$3, $K$3)+_xll.ciqfunctions.udf.CIQ($B9,"IQ_TOTAL_ASSETS", "IQ_" &amp; LEFT(OF$3,2) &amp; "-1", OF$3, $N$3, , $J$3, $K$3))),"")</f>
        <v/>
      </c>
      <c r="OG9" s="87" t="str">
        <f>IFERROR(IF(OR($B9="",OG$3=""),"",_xll.ciqfunctions.udf.CIQ($B9,"IQ_NI",$O$3, OG$3, $N$3, , $J$3, $K$3)*2/(_xll.ciqfunctions.udf.CIQ($B9,"IQ_TOTAL_ASSETS",OG$3,$I$3, $N$3, , $J$3, $K$3)+_xll.ciqfunctions.udf.CIQ($B9,"IQ_TOTAL_ASSETS", "IQ_" &amp; LEFT(OG$3,2) &amp; "-1", OG$3, $N$3, , $J$3, $K$3))),"")</f>
        <v/>
      </c>
      <c r="OH9" s="87" t="str">
        <f>IFERROR(IF(OR($B9="",OH$3=""),"",_xll.ciqfunctions.udf.CIQ($B9,"IQ_NI",$O$3, OH$3, $N$3, , $J$3, $K$3)*2/(_xll.ciqfunctions.udf.CIQ($B9,"IQ_TOTAL_ASSETS",OH$3,$I$3, $N$3, , $J$3, $K$3)+_xll.ciqfunctions.udf.CIQ($B9,"IQ_TOTAL_ASSETS", "IQ_" &amp; LEFT(OH$3,2) &amp; "-1", OH$3, $N$3, , $J$3, $K$3))),"")</f>
        <v/>
      </c>
      <c r="OI9" s="87" t="str">
        <f>IFERROR(IF(OR($B9="",OI$3=""),"",_xll.ciqfunctions.udf.CIQ($B9,"IQ_NI",$O$3, OI$3, $N$3, , $J$3, $K$3)*2/(_xll.ciqfunctions.udf.CIQ($B9,"IQ_TOTAL_ASSETS",OI$3,$I$3, $N$3, , $J$3, $K$3)+_xll.ciqfunctions.udf.CIQ($B9,"IQ_TOTAL_ASSETS", "IQ_" &amp; LEFT(OI$3,2) &amp; "-1", OI$3, $N$3, , $J$3, $K$3))),"")</f>
        <v/>
      </c>
      <c r="OJ9" s="87" t="str">
        <f>IFERROR(IF(OR($B9="",OJ$3=""),"",_xll.ciqfunctions.udf.CIQ($B9,"IQ_NI",$O$3, OJ$3, $N$3, , $J$3, $K$3)*2/(_xll.ciqfunctions.udf.CIQ($B9,"IQ_TOTAL_ASSETS",OJ$3,$I$3, $N$3, , $J$3, $K$3)+_xll.ciqfunctions.udf.CIQ($B9,"IQ_TOTAL_ASSETS", "IQ_" &amp; LEFT(OJ$3,2) &amp; "-1", OJ$3, $N$3, , $J$3, $K$3))),"")</f>
        <v/>
      </c>
      <c r="OK9" s="87" t="str">
        <f>IFERROR(IF(OR($B9="",OK$3=""),"",_xll.ciqfunctions.udf.CIQ($B9,"IQ_NI",$O$3, OK$3, $N$3, , $J$3, $K$3)*2/(_xll.ciqfunctions.udf.CIQ($B9,"IQ_TOTAL_ASSETS",OK$3,$I$3, $N$3, , $J$3, $K$3)+_xll.ciqfunctions.udf.CIQ($B9,"IQ_TOTAL_ASSETS", "IQ_" &amp; LEFT(OK$3,2) &amp; "-1", OK$3, $N$3, , $J$3, $K$3))),"")</f>
        <v/>
      </c>
      <c r="OL9" s="87" t="str">
        <f>IFERROR(IF(OR($B9="",OL$3=""),"",_xll.ciqfunctions.udf.CIQ($B9,"IQ_NI",$O$3, OL$3, $N$3, , $J$3, $K$3)*2/(_xll.ciqfunctions.udf.CIQ($B9,"IQ_TOTAL_ASSETS",OL$3,$I$3, $N$3, , $J$3, $K$3)+_xll.ciqfunctions.udf.CIQ($B9,"IQ_TOTAL_ASSETS", "IQ_" &amp; LEFT(OL$3,2) &amp; "-1", OL$3, $N$3, , $J$3, $K$3))),"")</f>
        <v/>
      </c>
      <c r="OM9" s="87" t="str">
        <f>IFERROR(IF(OR($B9="",OM$3=""),"",_xll.ciqfunctions.udf.CIQ($B9,"IQ_NI",$O$3, OM$3, $N$3, , $J$3, $K$3)*2/(_xll.ciqfunctions.udf.CIQ($B9,"IQ_TOTAL_ASSETS",OM$3,$I$3, $N$3, , $J$3, $K$3)+_xll.ciqfunctions.udf.CIQ($B9,"IQ_TOTAL_ASSETS", "IQ_" &amp; LEFT(OM$3,2) &amp; "-1", OM$3, $N$3, , $J$3, $K$3))),"")</f>
        <v/>
      </c>
      <c r="ON9" s="87" t="str">
        <f>IFERROR(IF(OR($B9="",ON$3=""),"",_xll.ciqfunctions.udf.CIQ($B9,"IQ_NI",$O$3, ON$3, $N$3, , $J$3, $K$3)*2/(_xll.ciqfunctions.udf.CIQ($B9,"IQ_TOTAL_ASSETS",ON$3,$I$3, $N$3, , $J$3, $K$3)+_xll.ciqfunctions.udf.CIQ($B9,"IQ_TOTAL_ASSETS", "IQ_" &amp; LEFT(ON$3,2) &amp; "-1", ON$3, $N$3, , $J$3, $K$3))),"")</f>
        <v/>
      </c>
      <c r="OO9" s="87" t="str">
        <f>IFERROR(IF(OR($B9="",OO$3=""),"",_xll.ciqfunctions.udf.CIQ($B9,"IQ_NI",$O$3, OO$3, $N$3, , $J$3, $K$3)*2/(_xll.ciqfunctions.udf.CIQ($B9,"IQ_TOTAL_ASSETS",OO$3,$I$3, $N$3, , $J$3, $K$3)+_xll.ciqfunctions.udf.CIQ($B9,"IQ_TOTAL_ASSETS", "IQ_" &amp; LEFT(OO$3,2) &amp; "-1", OO$3, $N$3, , $J$3, $K$3))),"")</f>
        <v/>
      </c>
      <c r="OP9" s="87" t="str">
        <f>IFERROR(IF(OR($B9="",OP$3=""),"",_xll.ciqfunctions.udf.CIQ($B9,"IQ_NI",$O$3, OP$3, $N$3, , $J$3, $K$3)*2/(_xll.ciqfunctions.udf.CIQ($B9,"IQ_TOTAL_ASSETS",OP$3,$I$3, $N$3, , $J$3, $K$3)+_xll.ciqfunctions.udf.CIQ($B9,"IQ_TOTAL_ASSETS", "IQ_" &amp; LEFT(OP$3,2) &amp; "-1", OP$3, $N$3, , $J$3, $K$3))),"")</f>
        <v/>
      </c>
      <c r="OQ9" s="87" t="str">
        <f>IFERROR(IF(OR($B9="",OQ$3=""),"",_xll.ciqfunctions.udf.CIQ($B9,"IQ_NI",$O$3, OQ$3, $N$3, , $J$3, $K$3)*2/(_xll.ciqfunctions.udf.CIQ($B9,"IQ_TOTAL_ASSETS",OQ$3,$I$3, $N$3, , $J$3, $K$3)+_xll.ciqfunctions.udf.CIQ($B9,"IQ_TOTAL_ASSETS", "IQ_" &amp; LEFT(OQ$3,2) &amp; "-1", OQ$3, $N$3, , $J$3, $K$3))),"")</f>
        <v/>
      </c>
      <c r="OR9" s="87" t="str">
        <f>IFERROR(IF(OR($B9="",OR$3=""),"",_xll.ciqfunctions.udf.CIQ($B9,"IQ_NI",$O$3, OR$3, $N$3, , $J$3, $K$3)*2/(_xll.ciqfunctions.udf.CIQ($B9,"IQ_TOTAL_ASSETS",OR$3,$I$3, $N$3, , $J$3, $K$3)+_xll.ciqfunctions.udf.CIQ($B9,"IQ_TOTAL_ASSETS", "IQ_" &amp; LEFT(OR$3,2) &amp; "-1", OR$3, $N$3, , $J$3, $K$3))),"")</f>
        <v/>
      </c>
      <c r="OS9" s="87" t="str">
        <f>IFERROR(IF(OR($B9="",OS$3=""),"",_xll.ciqfunctions.udf.CIQ($B9,"IQ_NI",$O$3, OS$3, $N$3, , $J$3, $K$3)*2/(_xll.ciqfunctions.udf.CIQ($B9,"IQ_TOTAL_ASSETS",OS$3,$I$3, $N$3, , $J$3, $K$3)+_xll.ciqfunctions.udf.CIQ($B9,"IQ_TOTAL_ASSETS", "IQ_" &amp; LEFT(OS$3,2) &amp; "-1", OS$3, $N$3, , $J$3, $K$3))),"")</f>
        <v/>
      </c>
      <c r="OT9" s="87" t="str">
        <f>IFERROR(IF(OR($B9="",OT$3=""),"",_xll.ciqfunctions.udf.CIQ($B9,"IQ_NI",$O$3, OT$3, $N$3, , $J$3, $K$3)*2/(_xll.ciqfunctions.udf.CIQ($B9,"IQ_TOTAL_ASSETS",OT$3,$I$3, $N$3, , $J$3, $K$3)+_xll.ciqfunctions.udf.CIQ($B9,"IQ_TOTAL_ASSETS", "IQ_" &amp; LEFT(OT$3,2) &amp; "-1", OT$3, $N$3, , $J$3, $K$3))),"")</f>
        <v/>
      </c>
      <c r="OU9" s="87" t="str">
        <f>IFERROR(IF(OR($B9="",OU$3=""),"",_xll.ciqfunctions.udf.CIQ($B9,"IQ_NI",$O$3, OU$3, $N$3, , $J$3, $K$3)*2/(_xll.ciqfunctions.udf.CIQ($B9,"IQ_TOTAL_ASSETS",OU$3,$I$3, $N$3, , $J$3, $K$3)+_xll.ciqfunctions.udf.CIQ($B9,"IQ_TOTAL_ASSETS", "IQ_" &amp; LEFT(OU$3,2) &amp; "-1", OU$3, $N$3, , $J$3, $K$3))),"")</f>
        <v/>
      </c>
      <c r="OV9" s="88" t="str">
        <f>IFERROR(IF(OR($B9="",OV$3=""),"",_xll.ciqfunctions.udf.CIQ($B9,"IQ_NI",$O$3, OV$3, $N$3, , $J$3, $K$3)*2/(_xll.ciqfunctions.udf.CIQ($B9,"IQ_TOTAL_ASSETS",OV$3,$I$3, $N$3, , $J$3, $K$3)+_xll.ciqfunctions.udf.CIQ($B9,"IQ_TOTAL_ASSETS", "IQ_" &amp; LEFT(OV$3,2) &amp; "-1", OV$3, $N$3, , $J$3, $K$3))),"")</f>
        <v/>
      </c>
      <c r="OW9" s="342" t="str">
        <f>IFERROR(IF(OR($B9="",OW$3=""),"",_xll.ciqfunctions.udf.CIQ($B9, "IQ_NI", $O$3, OW$3, $N$3, , $J$3, $K$3)*2/(_xll.ciqfunctions.udf.CIQ($B9, "IQ_TOTAL_ASSETS", OW$3, $I$3, $N$3, , $J$3, $K$3)+_xll.ciqfunctions.udf.CIQ($B9, "IQ_TOTAL_ASSETS", "IQ_" &amp; LEFT(OW$3,2) &amp; "-1", OW$3, $N$3, , $J$3, $K$3)-_xll.ciqfunctions.udf.CIQ($B9, "IQ_TOTAL_CL", OW$3, $I$3, $N$3, , $J$3, $K$3)-_xll.ciqfunctions.udf.CIQ($B9, "IQ_TOTAL_CL", "IQ_" &amp; LEFT(OW$3,2) &amp; "-1", OW$3, $N$3, , $J$3, $K$3))),"")</f>
        <v/>
      </c>
      <c r="OX9" s="87" t="str">
        <f>IFERROR(IF(OR($B9="",OX$3=""),"",_xll.ciqfunctions.udf.CIQ($B9, "IQ_NI", $O$3, OX$3, $N$3, , $J$3, $K$3)*2/(_xll.ciqfunctions.udf.CIQ($B9, "IQ_TOTAL_ASSETS", OX$3, $I$3, $N$3, , $J$3, $K$3)+_xll.ciqfunctions.udf.CIQ($B9, "IQ_TOTAL_ASSETS", "IQ_" &amp; LEFT(OX$3,2) &amp; "-1", OX$3, $N$3, , $J$3, $K$3)-_xll.ciqfunctions.udf.CIQ($B9, "IQ_TOTAL_CL", OX$3, $I$3, $N$3, , $J$3, $K$3)-_xll.ciqfunctions.udf.CIQ($B9, "IQ_TOTAL_CL", "IQ_" &amp; LEFT(OX$3,2) &amp; "-1", OX$3, $N$3, , $J$3, $K$3))),"")</f>
        <v/>
      </c>
      <c r="OY9" s="87" t="str">
        <f>IFERROR(IF(OR($B9="",OY$3=""),"",_xll.ciqfunctions.udf.CIQ($B9, "IQ_NI", $O$3, OY$3, $N$3, , $J$3, $K$3)*2/(_xll.ciqfunctions.udf.CIQ($B9, "IQ_TOTAL_ASSETS", OY$3, $I$3, $N$3, , $J$3, $K$3)+_xll.ciqfunctions.udf.CIQ($B9, "IQ_TOTAL_ASSETS", "IQ_" &amp; LEFT(OY$3,2) &amp; "-1", OY$3, $N$3, , $J$3, $K$3)-_xll.ciqfunctions.udf.CIQ($B9, "IQ_TOTAL_CL", OY$3, $I$3, $N$3, , $J$3, $K$3)-_xll.ciqfunctions.udf.CIQ($B9, "IQ_TOTAL_CL", "IQ_" &amp; LEFT(OY$3,2) &amp; "-1", OY$3, $N$3, , $J$3, $K$3))),"")</f>
        <v/>
      </c>
      <c r="OZ9" s="87" t="str">
        <f>IFERROR(IF(OR($B9="",OZ$3=""),"",_xll.ciqfunctions.udf.CIQ($B9, "IQ_NI", $O$3, OZ$3, $N$3, , $J$3, $K$3)*2/(_xll.ciqfunctions.udf.CIQ($B9, "IQ_TOTAL_ASSETS", OZ$3, $I$3, $N$3, , $J$3, $K$3)+_xll.ciqfunctions.udf.CIQ($B9, "IQ_TOTAL_ASSETS", "IQ_" &amp; LEFT(OZ$3,2) &amp; "-1", OZ$3, $N$3, , $J$3, $K$3)-_xll.ciqfunctions.udf.CIQ($B9, "IQ_TOTAL_CL", OZ$3, $I$3, $N$3, , $J$3, $K$3)-_xll.ciqfunctions.udf.CIQ($B9, "IQ_TOTAL_CL", "IQ_" &amp; LEFT(OZ$3,2) &amp; "-1", OZ$3, $N$3, , $J$3, $K$3))),"")</f>
        <v/>
      </c>
      <c r="PA9" s="87" t="str">
        <f>IFERROR(IF(OR($B9="",PA$3=""),"",_xll.ciqfunctions.udf.CIQ($B9, "IQ_NI", $O$3, PA$3, $N$3, , $J$3, $K$3)*2/(_xll.ciqfunctions.udf.CIQ($B9, "IQ_TOTAL_ASSETS", PA$3, $I$3, $N$3, , $J$3, $K$3)+_xll.ciqfunctions.udf.CIQ($B9, "IQ_TOTAL_ASSETS", "IQ_" &amp; LEFT(PA$3,2) &amp; "-1", PA$3, $N$3, , $J$3, $K$3)-_xll.ciqfunctions.udf.CIQ($B9, "IQ_TOTAL_CL", PA$3, $I$3, $N$3, , $J$3, $K$3)-_xll.ciqfunctions.udf.CIQ($B9, "IQ_TOTAL_CL", "IQ_" &amp; LEFT(PA$3,2) &amp; "-1", PA$3, $N$3, , $J$3, $K$3))),"")</f>
        <v/>
      </c>
      <c r="PB9" s="87" t="str">
        <f>IFERROR(IF(OR($B9="",PB$3=""),"",_xll.ciqfunctions.udf.CIQ($B9, "IQ_NI", $O$3, PB$3, $N$3, , $J$3, $K$3)*2/(_xll.ciqfunctions.udf.CIQ($B9, "IQ_TOTAL_ASSETS", PB$3, $I$3, $N$3, , $J$3, $K$3)+_xll.ciqfunctions.udf.CIQ($B9, "IQ_TOTAL_ASSETS", "IQ_" &amp; LEFT(PB$3,2) &amp; "-1", PB$3, $N$3, , $J$3, $K$3)-_xll.ciqfunctions.udf.CIQ($B9, "IQ_TOTAL_CL", PB$3, $I$3, $N$3, , $J$3, $K$3)-_xll.ciqfunctions.udf.CIQ($B9, "IQ_TOTAL_CL", "IQ_" &amp; LEFT(PB$3,2) &amp; "-1", PB$3, $N$3, , $J$3, $K$3))),"")</f>
        <v/>
      </c>
      <c r="PC9" s="87" t="str">
        <f>IFERROR(IF(OR($B9="",PC$3=""),"",_xll.ciqfunctions.udf.CIQ($B9, "IQ_NI", $O$3, PC$3, $N$3, , $J$3, $K$3)*2/(_xll.ciqfunctions.udf.CIQ($B9, "IQ_TOTAL_ASSETS", PC$3, $I$3, $N$3, , $J$3, $K$3)+_xll.ciqfunctions.udf.CIQ($B9, "IQ_TOTAL_ASSETS", "IQ_" &amp; LEFT(PC$3,2) &amp; "-1", PC$3, $N$3, , $J$3, $K$3)-_xll.ciqfunctions.udf.CIQ($B9, "IQ_TOTAL_CL", PC$3, $I$3, $N$3, , $J$3, $K$3)-_xll.ciqfunctions.udf.CIQ($B9, "IQ_TOTAL_CL", "IQ_" &amp; LEFT(PC$3,2) &amp; "-1", PC$3, $N$3, , $J$3, $K$3))),"")</f>
        <v/>
      </c>
      <c r="PD9" s="87" t="str">
        <f>IFERROR(IF(OR($B9="",PD$3=""),"",_xll.ciqfunctions.udf.CIQ($B9, "IQ_NI", $O$3, PD$3, $N$3, , $J$3, $K$3)*2/(_xll.ciqfunctions.udf.CIQ($B9, "IQ_TOTAL_ASSETS", PD$3, $I$3, $N$3, , $J$3, $K$3)+_xll.ciqfunctions.udf.CIQ($B9, "IQ_TOTAL_ASSETS", "IQ_" &amp; LEFT(PD$3,2) &amp; "-1", PD$3, $N$3, , $J$3, $K$3)-_xll.ciqfunctions.udf.CIQ($B9, "IQ_TOTAL_CL", PD$3, $I$3, $N$3, , $J$3, $K$3)-_xll.ciqfunctions.udf.CIQ($B9, "IQ_TOTAL_CL", "IQ_" &amp; LEFT(PD$3,2) &amp; "-1", PD$3, $N$3, , $J$3, $K$3))),"")</f>
        <v/>
      </c>
      <c r="PE9" s="87" t="str">
        <f>IFERROR(IF(OR($B9="",PE$3=""),"",_xll.ciqfunctions.udf.CIQ($B9, "IQ_NI", $O$3, PE$3, $N$3, , $J$3, $K$3)*2/(_xll.ciqfunctions.udf.CIQ($B9, "IQ_TOTAL_ASSETS", PE$3, $I$3, $N$3, , $J$3, $K$3)+_xll.ciqfunctions.udf.CIQ($B9, "IQ_TOTAL_ASSETS", "IQ_" &amp; LEFT(PE$3,2) &amp; "-1", PE$3, $N$3, , $J$3, $K$3)-_xll.ciqfunctions.udf.CIQ($B9, "IQ_TOTAL_CL", PE$3, $I$3, $N$3, , $J$3, $K$3)-_xll.ciqfunctions.udf.CIQ($B9, "IQ_TOTAL_CL", "IQ_" &amp; LEFT(PE$3,2) &amp; "-1", PE$3, $N$3, , $J$3, $K$3))),"")</f>
        <v/>
      </c>
      <c r="PF9" s="87" t="str">
        <f>IFERROR(IF(OR($B9="",PF$3=""),"",_xll.ciqfunctions.udf.CIQ($B9, "IQ_NI", $O$3, PF$3, $N$3, , $J$3, $K$3)*2/(_xll.ciqfunctions.udf.CIQ($B9, "IQ_TOTAL_ASSETS", PF$3, $I$3, $N$3, , $J$3, $K$3)+_xll.ciqfunctions.udf.CIQ($B9, "IQ_TOTAL_ASSETS", "IQ_" &amp; LEFT(PF$3,2) &amp; "-1", PF$3, $N$3, , $J$3, $K$3)-_xll.ciqfunctions.udf.CIQ($B9, "IQ_TOTAL_CL", PF$3, $I$3, $N$3, , $J$3, $K$3)-_xll.ciqfunctions.udf.CIQ($B9, "IQ_TOTAL_CL", "IQ_" &amp; LEFT(PF$3,2) &amp; "-1", PF$3, $N$3, , $J$3, $K$3))),"")</f>
        <v/>
      </c>
      <c r="PG9" s="87" t="str">
        <f>IFERROR(IF(OR($B9="",PG$3=""),"",_xll.ciqfunctions.udf.CIQ($B9, "IQ_NI", $O$3, PG$3, $N$3, , $J$3, $K$3)*2/(_xll.ciqfunctions.udf.CIQ($B9, "IQ_TOTAL_ASSETS", PG$3, $I$3, $N$3, , $J$3, $K$3)+_xll.ciqfunctions.udf.CIQ($B9, "IQ_TOTAL_ASSETS", "IQ_" &amp; LEFT(PG$3,2) &amp; "-1", PG$3, $N$3, , $J$3, $K$3)-_xll.ciqfunctions.udf.CIQ($B9, "IQ_TOTAL_CL", PG$3, $I$3, $N$3, , $J$3, $K$3)-_xll.ciqfunctions.udf.CIQ($B9, "IQ_TOTAL_CL", "IQ_" &amp; LEFT(PG$3,2) &amp; "-1", PG$3, $N$3, , $J$3, $K$3))),"")</f>
        <v/>
      </c>
      <c r="PH9" s="87" t="str">
        <f>IFERROR(IF(OR($B9="",PH$3=""),"",_xll.ciqfunctions.udf.CIQ($B9, "IQ_NI", $O$3, PH$3, $N$3, , $J$3, $K$3)*2/(_xll.ciqfunctions.udf.CIQ($B9, "IQ_TOTAL_ASSETS", PH$3, $I$3, $N$3, , $J$3, $K$3)+_xll.ciqfunctions.udf.CIQ($B9, "IQ_TOTAL_ASSETS", "IQ_" &amp; LEFT(PH$3,2) &amp; "-1", PH$3, $N$3, , $J$3, $K$3)-_xll.ciqfunctions.udf.CIQ($B9, "IQ_TOTAL_CL", PH$3, $I$3, $N$3, , $J$3, $K$3)-_xll.ciqfunctions.udf.CIQ($B9, "IQ_TOTAL_CL", "IQ_" &amp; LEFT(PH$3,2) &amp; "-1", PH$3, $N$3, , $J$3, $K$3))),"")</f>
        <v/>
      </c>
      <c r="PI9" s="87" t="str">
        <f>IFERROR(IF(OR($B9="",PI$3=""),"",_xll.ciqfunctions.udf.CIQ($B9, "IQ_NI", $O$3, PI$3, $N$3, , $J$3, $K$3)*2/(_xll.ciqfunctions.udf.CIQ($B9, "IQ_TOTAL_ASSETS", PI$3, $I$3, $N$3, , $J$3, $K$3)+_xll.ciqfunctions.udf.CIQ($B9, "IQ_TOTAL_ASSETS", "IQ_" &amp; LEFT(PI$3,2) &amp; "-1", PI$3, $N$3, , $J$3, $K$3)-_xll.ciqfunctions.udf.CIQ($B9, "IQ_TOTAL_CL", PI$3, $I$3, $N$3, , $J$3, $K$3)-_xll.ciqfunctions.udf.CIQ($B9, "IQ_TOTAL_CL", "IQ_" &amp; LEFT(PI$3,2) &amp; "-1", PI$3, $N$3, , $J$3, $K$3))),"")</f>
        <v/>
      </c>
      <c r="PJ9" s="87" t="str">
        <f>IFERROR(IF(OR($B9="",PJ$3=""),"",_xll.ciqfunctions.udf.CIQ($B9, "IQ_NI", $O$3, PJ$3, $N$3, , $J$3, $K$3)*2/(_xll.ciqfunctions.udf.CIQ($B9, "IQ_TOTAL_ASSETS", PJ$3, $I$3, $N$3, , $J$3, $K$3)+_xll.ciqfunctions.udf.CIQ($B9, "IQ_TOTAL_ASSETS", "IQ_" &amp; LEFT(PJ$3,2) &amp; "-1", PJ$3, $N$3, , $J$3, $K$3)-_xll.ciqfunctions.udf.CIQ($B9, "IQ_TOTAL_CL", PJ$3, $I$3, $N$3, , $J$3, $K$3)-_xll.ciqfunctions.udf.CIQ($B9, "IQ_TOTAL_CL", "IQ_" &amp; LEFT(PJ$3,2) &amp; "-1", PJ$3, $N$3, , $J$3, $K$3))),"")</f>
        <v/>
      </c>
      <c r="PK9" s="87" t="str">
        <f>IFERROR(IF(OR($B9="",PK$3=""),"",_xll.ciqfunctions.udf.CIQ($B9, "IQ_NI", $O$3, PK$3, $N$3, , $J$3, $K$3)*2/(_xll.ciqfunctions.udf.CIQ($B9, "IQ_TOTAL_ASSETS", PK$3, $I$3, $N$3, , $J$3, $K$3)+_xll.ciqfunctions.udf.CIQ($B9, "IQ_TOTAL_ASSETS", "IQ_" &amp; LEFT(PK$3,2) &amp; "-1", PK$3, $N$3, , $J$3, $K$3)-_xll.ciqfunctions.udf.CIQ($B9, "IQ_TOTAL_CL", PK$3, $I$3, $N$3, , $J$3, $K$3)-_xll.ciqfunctions.udf.CIQ($B9, "IQ_TOTAL_CL", "IQ_" &amp; LEFT(PK$3,2) &amp; "-1", PK$3, $N$3, , $J$3, $K$3))),"")</f>
        <v/>
      </c>
      <c r="PL9" s="87" t="str">
        <f>IFERROR(IF(OR($B9="",PL$3=""),"",_xll.ciqfunctions.udf.CIQ($B9, "IQ_NI", $O$3, PL$3, $N$3, , $J$3, $K$3)*2/(_xll.ciqfunctions.udf.CIQ($B9, "IQ_TOTAL_ASSETS", PL$3, $I$3, $N$3, , $J$3, $K$3)+_xll.ciqfunctions.udf.CIQ($B9, "IQ_TOTAL_ASSETS", "IQ_" &amp; LEFT(PL$3,2) &amp; "-1", PL$3, $N$3, , $J$3, $K$3)-_xll.ciqfunctions.udf.CIQ($B9, "IQ_TOTAL_CL", PL$3, $I$3, $N$3, , $J$3, $K$3)-_xll.ciqfunctions.udf.CIQ($B9, "IQ_TOTAL_CL", "IQ_" &amp; LEFT(PL$3,2) &amp; "-1", PL$3, $N$3, , $J$3, $K$3))),"")</f>
        <v/>
      </c>
      <c r="PM9" s="87" t="str">
        <f>IFERROR(IF(OR($B9="",PM$3=""),"",_xll.ciqfunctions.udf.CIQ($B9, "IQ_NI", $O$3, PM$3, $N$3, , $J$3, $K$3)*2/(_xll.ciqfunctions.udf.CIQ($B9, "IQ_TOTAL_ASSETS", PM$3, $I$3, $N$3, , $J$3, $K$3)+_xll.ciqfunctions.udf.CIQ($B9, "IQ_TOTAL_ASSETS", "IQ_" &amp; LEFT(PM$3,2) &amp; "-1", PM$3, $N$3, , $J$3, $K$3)-_xll.ciqfunctions.udf.CIQ($B9, "IQ_TOTAL_CL", PM$3, $I$3, $N$3, , $J$3, $K$3)-_xll.ciqfunctions.udf.CIQ($B9, "IQ_TOTAL_CL", "IQ_" &amp; LEFT(PM$3,2) &amp; "-1", PM$3, $N$3, , $J$3, $K$3))),"")</f>
        <v/>
      </c>
      <c r="PN9" s="87" t="str">
        <f>IFERROR(IF(OR($B9="",PN$3=""),"",_xll.ciqfunctions.udf.CIQ($B9, "IQ_NI", $O$3, PN$3, $N$3, , $J$3, $K$3)*2/(_xll.ciqfunctions.udf.CIQ($B9, "IQ_TOTAL_ASSETS", PN$3, $I$3, $N$3, , $J$3, $K$3)+_xll.ciqfunctions.udf.CIQ($B9, "IQ_TOTAL_ASSETS", "IQ_" &amp; LEFT(PN$3,2) &amp; "-1", PN$3, $N$3, , $J$3, $K$3)-_xll.ciqfunctions.udf.CIQ($B9, "IQ_TOTAL_CL", PN$3, $I$3, $N$3, , $J$3, $K$3)-_xll.ciqfunctions.udf.CIQ($B9, "IQ_TOTAL_CL", "IQ_" &amp; LEFT(PN$3,2) &amp; "-1", PN$3, $N$3, , $J$3, $K$3))),"")</f>
        <v/>
      </c>
      <c r="PO9" s="87" t="str">
        <f>IFERROR(IF(OR($B9="",PO$3=""),"",_xll.ciqfunctions.udf.CIQ($B9, "IQ_NI", $O$3, PO$3, $N$3, , $J$3, $K$3)*2/(_xll.ciqfunctions.udf.CIQ($B9, "IQ_TOTAL_ASSETS", PO$3, $I$3, $N$3, , $J$3, $K$3)+_xll.ciqfunctions.udf.CIQ($B9, "IQ_TOTAL_ASSETS", "IQ_" &amp; LEFT(PO$3,2) &amp; "-1", PO$3, $N$3, , $J$3, $K$3)-_xll.ciqfunctions.udf.CIQ($B9, "IQ_TOTAL_CL", PO$3, $I$3, $N$3, , $J$3, $K$3)-_xll.ciqfunctions.udf.CIQ($B9, "IQ_TOTAL_CL", "IQ_" &amp; LEFT(PO$3,2) &amp; "-1", PO$3, $N$3, , $J$3, $K$3))),"")</f>
        <v/>
      </c>
      <c r="PP9" s="88" t="str">
        <f>IFERROR(IF(OR($B9="",PP$3=""),"",_xll.ciqfunctions.udf.CIQ($B9, "IQ_NI", $O$3, PP$3, $N$3, , $J$3, $K$3)*2/(_xll.ciqfunctions.udf.CIQ($B9, "IQ_TOTAL_ASSETS", PP$3, $I$3, $N$3, , $J$3, $K$3)+_xll.ciqfunctions.udf.CIQ($B9, "IQ_TOTAL_ASSETS", "IQ_" &amp; LEFT(PP$3,2) &amp; "-1", PP$3, $N$3, , $J$3, $K$3)-_xll.ciqfunctions.udf.CIQ($B9, "IQ_TOTAL_CL", PP$3, $I$3, $N$3, , $J$3, $K$3)-_xll.ciqfunctions.udf.CIQ($B9, "IQ_TOTAL_CL", "IQ_" &amp; LEFT(PP$3,2) &amp; "-1", PP$3, $N$3, , $J$3, $K$3))),"")</f>
        <v/>
      </c>
      <c r="PQ9" s="89" t="str">
        <f>IFERROR(IF(OR($B9="",PQ$3=""),"",_xll.ciqfunctions.udf.CIQ($B9,"IQ_TOTAL_ASSETS",PQ$3, $I$3, $N$3, , $J$3, $K$3)/_xll.ciqfunctions.udf.CIQ($B9,"IQ_TOTAL_COMMON_EQUITY",PQ$3, $I$3, $N$3, , $J$3, $K$3)),"")</f>
        <v/>
      </c>
      <c r="PR9" s="90" t="str">
        <f>IFERROR(IF(OR($B9="",PR$3=""),"",_xll.ciqfunctions.udf.CIQ($B9,"IQ_TOTAL_ASSETS",PR$3, $I$3, $N$3, , $J$3, $K$3)/_xll.ciqfunctions.udf.CIQ($B9,"IQ_TOTAL_COMMON_EQUITY",PR$3, $I$3, $N$3, , $J$3, $K$3)),"")</f>
        <v/>
      </c>
      <c r="PS9" s="90" t="str">
        <f>IFERROR(IF(OR($B9="",PS$3=""),"",_xll.ciqfunctions.udf.CIQ($B9,"IQ_TOTAL_ASSETS",PS$3, $I$3, $N$3, , $J$3, $K$3)/_xll.ciqfunctions.udf.CIQ($B9,"IQ_TOTAL_COMMON_EQUITY",PS$3, $I$3, $N$3, , $J$3, $K$3)),"")</f>
        <v/>
      </c>
      <c r="PT9" s="90" t="str">
        <f>IFERROR(IF(OR($B9="",PT$3=""),"",_xll.ciqfunctions.udf.CIQ($B9,"IQ_TOTAL_ASSETS",PT$3, $I$3, $N$3, , $J$3, $K$3)/_xll.ciqfunctions.udf.CIQ($B9,"IQ_TOTAL_COMMON_EQUITY",PT$3, $I$3, $N$3, , $J$3, $K$3)),"")</f>
        <v/>
      </c>
      <c r="PU9" s="90" t="str">
        <f>IFERROR(IF(OR($B9="",PU$3=""),"",_xll.ciqfunctions.udf.CIQ($B9,"IQ_TOTAL_ASSETS",PU$3, $I$3, $N$3, , $J$3, $K$3)/_xll.ciqfunctions.udf.CIQ($B9,"IQ_TOTAL_COMMON_EQUITY",PU$3, $I$3, $N$3, , $J$3, $K$3)),"")</f>
        <v/>
      </c>
      <c r="PV9" s="90" t="str">
        <f>IFERROR(IF(OR($B9="",PV$3=""),"",_xll.ciqfunctions.udf.CIQ($B9,"IQ_TOTAL_ASSETS",PV$3, $I$3, $N$3, , $J$3, $K$3)/_xll.ciqfunctions.udf.CIQ($B9,"IQ_TOTAL_COMMON_EQUITY",PV$3, $I$3, $N$3, , $J$3, $K$3)),"")</f>
        <v/>
      </c>
      <c r="PW9" s="90" t="str">
        <f>IFERROR(IF(OR($B9="",PW$3=""),"",_xll.ciqfunctions.udf.CIQ($B9,"IQ_TOTAL_ASSETS",PW$3, $I$3, $N$3, , $J$3, $K$3)/_xll.ciqfunctions.udf.CIQ($B9,"IQ_TOTAL_COMMON_EQUITY",PW$3, $I$3, $N$3, , $J$3, $K$3)),"")</f>
        <v/>
      </c>
      <c r="PX9" s="90" t="str">
        <f>IFERROR(IF(OR($B9="",PX$3=""),"",_xll.ciqfunctions.udf.CIQ($B9,"IQ_TOTAL_ASSETS",PX$3, $I$3, $N$3, , $J$3, $K$3)/_xll.ciqfunctions.udf.CIQ($B9,"IQ_TOTAL_COMMON_EQUITY",PX$3, $I$3, $N$3, , $J$3, $K$3)),"")</f>
        <v/>
      </c>
      <c r="PY9" s="90" t="str">
        <f>IFERROR(IF(OR($B9="",PY$3=""),"",_xll.ciqfunctions.udf.CIQ($B9,"IQ_TOTAL_ASSETS",PY$3, $I$3, $N$3, , $J$3, $K$3)/_xll.ciqfunctions.udf.CIQ($B9,"IQ_TOTAL_COMMON_EQUITY",PY$3, $I$3, $N$3, , $J$3, $K$3)),"")</f>
        <v/>
      </c>
      <c r="PZ9" s="90" t="str">
        <f>IFERROR(IF(OR($B9="",PZ$3=""),"",_xll.ciqfunctions.udf.CIQ($B9,"IQ_TOTAL_ASSETS",PZ$3, $I$3, $N$3, , $J$3, $K$3)/_xll.ciqfunctions.udf.CIQ($B9,"IQ_TOTAL_COMMON_EQUITY",PZ$3, $I$3, $N$3, , $J$3, $K$3)),"")</f>
        <v/>
      </c>
      <c r="QA9" s="90" t="str">
        <f>IFERROR(IF(OR($B9="",QA$3=""),"",_xll.ciqfunctions.udf.CIQ($B9,"IQ_TOTAL_ASSETS",QA$3, $I$3, $N$3, , $J$3, $K$3)/_xll.ciqfunctions.udf.CIQ($B9,"IQ_TOTAL_COMMON_EQUITY",QA$3, $I$3, $N$3, , $J$3, $K$3)),"")</f>
        <v/>
      </c>
      <c r="QB9" s="90" t="str">
        <f>IFERROR(IF(OR($B9="",QB$3=""),"",_xll.ciqfunctions.udf.CIQ($B9,"IQ_TOTAL_ASSETS",QB$3, $I$3, $N$3, , $J$3, $K$3)/_xll.ciqfunctions.udf.CIQ($B9,"IQ_TOTAL_COMMON_EQUITY",QB$3, $I$3, $N$3, , $J$3, $K$3)),"")</f>
        <v/>
      </c>
      <c r="QC9" s="90" t="str">
        <f>IFERROR(IF(OR($B9="",QC$3=""),"",_xll.ciqfunctions.udf.CIQ($B9,"IQ_TOTAL_ASSETS",QC$3, $I$3, $N$3, , $J$3, $K$3)/_xll.ciqfunctions.udf.CIQ($B9,"IQ_TOTAL_COMMON_EQUITY",QC$3, $I$3, $N$3, , $J$3, $K$3)),"")</f>
        <v/>
      </c>
      <c r="QD9" s="90" t="str">
        <f>IFERROR(IF(OR($B9="",QD$3=""),"",_xll.ciqfunctions.udf.CIQ($B9,"IQ_TOTAL_ASSETS",QD$3, $I$3, $N$3, , $J$3, $K$3)/_xll.ciqfunctions.udf.CIQ($B9,"IQ_TOTAL_COMMON_EQUITY",QD$3, $I$3, $N$3, , $J$3, $K$3)),"")</f>
        <v/>
      </c>
      <c r="QE9" s="90" t="str">
        <f>IFERROR(IF(OR($B9="",QE$3=""),"",_xll.ciqfunctions.udf.CIQ($B9,"IQ_TOTAL_ASSETS",QE$3, $I$3, $N$3, , $J$3, $K$3)/_xll.ciqfunctions.udf.CIQ($B9,"IQ_TOTAL_COMMON_EQUITY",QE$3, $I$3, $N$3, , $J$3, $K$3)),"")</f>
        <v/>
      </c>
      <c r="QF9" s="90" t="str">
        <f>IFERROR(IF(OR($B9="",QF$3=""),"",_xll.ciqfunctions.udf.CIQ($B9,"IQ_TOTAL_ASSETS",QF$3, $I$3, $N$3, , $J$3, $K$3)/_xll.ciqfunctions.udf.CIQ($B9,"IQ_TOTAL_COMMON_EQUITY",QF$3, $I$3, $N$3, , $J$3, $K$3)),"")</f>
        <v/>
      </c>
      <c r="QG9" s="90" t="str">
        <f>IFERROR(IF(OR($B9="",QG$3=""),"",_xll.ciqfunctions.udf.CIQ($B9,"IQ_TOTAL_ASSETS",QG$3, $I$3, $N$3, , $J$3, $K$3)/_xll.ciqfunctions.udf.CIQ($B9,"IQ_TOTAL_COMMON_EQUITY",QG$3, $I$3, $N$3, , $J$3, $K$3)),"")</f>
        <v/>
      </c>
      <c r="QH9" s="90" t="str">
        <f>IFERROR(IF(OR($B9="",QH$3=""),"",_xll.ciqfunctions.udf.CIQ($B9,"IQ_TOTAL_ASSETS",QH$3, $I$3, $N$3, , $J$3, $K$3)/_xll.ciqfunctions.udf.CIQ($B9,"IQ_TOTAL_COMMON_EQUITY",QH$3, $I$3, $N$3, , $J$3, $K$3)),"")</f>
        <v/>
      </c>
      <c r="QI9" s="90" t="str">
        <f>IFERROR(IF(OR($B9="",QI$3=""),"",_xll.ciqfunctions.udf.CIQ($B9,"IQ_TOTAL_ASSETS",QI$3, $I$3, $N$3, , $J$3, $K$3)/_xll.ciqfunctions.udf.CIQ($B9,"IQ_TOTAL_COMMON_EQUITY",QI$3, $I$3, $N$3, , $J$3, $K$3)),"")</f>
        <v/>
      </c>
      <c r="QJ9" s="91" t="str">
        <f>IFERROR(IF(OR($B9="",QJ$3=""),"",_xll.ciqfunctions.udf.CIQ($B9,"IQ_TOTAL_ASSETS",QJ$3, $I$3, $N$3, , $J$3, $K$3)/_xll.ciqfunctions.udf.CIQ($B9,"IQ_TOTAL_COMMON_EQUITY",QJ$3, $I$3, $N$3, , $J$3, $K$3)),"")</f>
        <v/>
      </c>
      <c r="QK9" s="86" t="str">
        <f>IFERROR(IF(QK$3="","",_xll.ciqfunctions.udf.CIQ($B9, "IQ_NI", $O$3, QK$3, $N$3, , $J$3, $K$3)/_xll.ciqfunctions.udf.CIQ($B9, "IQ_TOTAL_REV", $O$3, QK$3, $N$3, , $J$3, $K$3)),"")</f>
        <v/>
      </c>
      <c r="QL9" s="87" t="str">
        <f>IFERROR(IF(QL$3="","",_xll.ciqfunctions.udf.CIQ($B9, "IQ_NI", $O$3, QL$3, $N$3, , $J$3, $K$3)/_xll.ciqfunctions.udf.CIQ($B9, "IQ_TOTAL_REV", $O$3, QL$3, $N$3, , $J$3, $K$3)),"")</f>
        <v/>
      </c>
      <c r="QM9" s="87" t="str">
        <f>IFERROR(IF(QM$3="","",_xll.ciqfunctions.udf.CIQ($B9, "IQ_NI", $O$3, QM$3, $N$3, , $J$3, $K$3)/_xll.ciqfunctions.udf.CIQ($B9, "IQ_TOTAL_REV", $O$3, QM$3, $N$3, , $J$3, $K$3)),"")</f>
        <v/>
      </c>
      <c r="QN9" s="87" t="str">
        <f>IFERROR(IF(QN$3="","",_xll.ciqfunctions.udf.CIQ($B9, "IQ_NI", $O$3, QN$3, $N$3, , $J$3, $K$3)/_xll.ciqfunctions.udf.CIQ($B9, "IQ_TOTAL_REV", $O$3, QN$3, $N$3, , $J$3, $K$3)),"")</f>
        <v/>
      </c>
      <c r="QO9" s="87" t="str">
        <f>IFERROR(IF(QO$3="","",_xll.ciqfunctions.udf.CIQ($B9, "IQ_NI", $O$3, QO$3, $N$3, , $J$3, $K$3)/_xll.ciqfunctions.udf.CIQ($B9, "IQ_TOTAL_REV", $O$3, QO$3, $N$3, , $J$3, $K$3)),"")</f>
        <v/>
      </c>
      <c r="QP9" s="87" t="str">
        <f>IFERROR(IF(QP$3="","",_xll.ciqfunctions.udf.CIQ($B9, "IQ_NI", $O$3, QP$3, $N$3, , $J$3, $K$3)/_xll.ciqfunctions.udf.CIQ($B9, "IQ_TOTAL_REV", $O$3, QP$3, $N$3, , $J$3, $K$3)),"")</f>
        <v/>
      </c>
      <c r="QQ9" s="87" t="str">
        <f>IFERROR(IF(QQ$3="","",_xll.ciqfunctions.udf.CIQ($B9, "IQ_NI", $O$3, QQ$3, $N$3, , $J$3, $K$3)/_xll.ciqfunctions.udf.CIQ($B9, "IQ_TOTAL_REV", $O$3, QQ$3, $N$3, , $J$3, $K$3)),"")</f>
        <v/>
      </c>
      <c r="QR9" s="87" t="str">
        <f>IFERROR(IF(QR$3="","",_xll.ciqfunctions.udf.CIQ($B9, "IQ_NI", $O$3, QR$3, $N$3, , $J$3, $K$3)/_xll.ciqfunctions.udf.CIQ($B9, "IQ_TOTAL_REV", $O$3, QR$3, $N$3, , $J$3, $K$3)),"")</f>
        <v/>
      </c>
      <c r="QS9" s="87" t="str">
        <f>IFERROR(IF(QS$3="","",_xll.ciqfunctions.udf.CIQ($B9, "IQ_NI", $O$3, QS$3, $N$3, , $J$3, $K$3)/_xll.ciqfunctions.udf.CIQ($B9, "IQ_TOTAL_REV", $O$3, QS$3, $N$3, , $J$3, $K$3)),"")</f>
        <v/>
      </c>
      <c r="QT9" s="87" t="str">
        <f>IFERROR(IF(QT$3="","",_xll.ciqfunctions.udf.CIQ($B9, "IQ_NI", $O$3, QT$3, $N$3, , $J$3, $K$3)/_xll.ciqfunctions.udf.CIQ($B9, "IQ_TOTAL_REV", $O$3, QT$3, $N$3, , $J$3, $K$3)),"")</f>
        <v/>
      </c>
      <c r="QU9" s="87" t="str">
        <f>IFERROR(IF(QU$3="","",_xll.ciqfunctions.udf.CIQ($B9, "IQ_NI", $O$3, QU$3, $N$3, , $J$3, $K$3)/_xll.ciqfunctions.udf.CIQ($B9, "IQ_TOTAL_REV", $O$3, QU$3, $N$3, , $J$3, $K$3)),"")</f>
        <v/>
      </c>
      <c r="QV9" s="87" t="str">
        <f>IFERROR(IF(QV$3="","",_xll.ciqfunctions.udf.CIQ($B9, "IQ_NI", $O$3, QV$3, $N$3, , $J$3, $K$3)/_xll.ciqfunctions.udf.CIQ($B9, "IQ_TOTAL_REV", $O$3, QV$3, $N$3, , $J$3, $K$3)),"")</f>
        <v/>
      </c>
      <c r="QW9" s="87" t="str">
        <f>IFERROR(IF(QW$3="","",_xll.ciqfunctions.udf.CIQ($B9, "IQ_NI", $O$3, QW$3, $N$3, , $J$3, $K$3)/_xll.ciqfunctions.udf.CIQ($B9, "IQ_TOTAL_REV", $O$3, QW$3, $N$3, , $J$3, $K$3)),"")</f>
        <v/>
      </c>
      <c r="QX9" s="87" t="str">
        <f>IFERROR(IF(QX$3="","",_xll.ciqfunctions.udf.CIQ($B9, "IQ_NI", $O$3, QX$3, $N$3, , $J$3, $K$3)/_xll.ciqfunctions.udf.CIQ($B9, "IQ_TOTAL_REV", $O$3, QX$3, $N$3, , $J$3, $K$3)),"")</f>
        <v/>
      </c>
      <c r="QY9" s="87" t="str">
        <f>IFERROR(IF(QY$3="","",_xll.ciqfunctions.udf.CIQ($B9, "IQ_NI", $O$3, QY$3, $N$3, , $J$3, $K$3)/_xll.ciqfunctions.udf.CIQ($B9, "IQ_TOTAL_REV", $O$3, QY$3, $N$3, , $J$3, $K$3)),"")</f>
        <v/>
      </c>
      <c r="QZ9" s="87" t="str">
        <f>IFERROR(IF(QZ$3="","",_xll.ciqfunctions.udf.CIQ($B9, "IQ_NI", $O$3, QZ$3, $N$3, , $J$3, $K$3)/_xll.ciqfunctions.udf.CIQ($B9, "IQ_TOTAL_REV", $O$3, QZ$3, $N$3, , $J$3, $K$3)),"")</f>
        <v/>
      </c>
      <c r="RA9" s="87" t="str">
        <f>IFERROR(IF(RA$3="","",_xll.ciqfunctions.udf.CIQ($B9, "IQ_NI", $O$3, RA$3, $N$3, , $J$3, $K$3)/_xll.ciqfunctions.udf.CIQ($B9, "IQ_TOTAL_REV", $O$3, RA$3, $N$3, , $J$3, $K$3)),"")</f>
        <v/>
      </c>
      <c r="RB9" s="87" t="str">
        <f>IFERROR(IF(RB$3="","",_xll.ciqfunctions.udf.CIQ($B9, "IQ_NI", $O$3, RB$3, $N$3, , $J$3, $K$3)/_xll.ciqfunctions.udf.CIQ($B9, "IQ_TOTAL_REV", $O$3, RB$3, $N$3, , $J$3, $K$3)),"")</f>
        <v/>
      </c>
      <c r="RC9" s="87" t="str">
        <f>IFERROR(IF(RC$3="","",_xll.ciqfunctions.udf.CIQ($B9, "IQ_NI", $O$3, RC$3, $N$3, , $J$3, $K$3)/_xll.ciqfunctions.udf.CIQ($B9, "IQ_TOTAL_REV", $O$3, RC$3, $N$3, , $J$3, $K$3)),"")</f>
        <v/>
      </c>
      <c r="RD9" s="88" t="str">
        <f>IFERROR(IF(RD$3="","",_xll.ciqfunctions.udf.CIQ($B9, "IQ_NI", $O$3, RD$3, $N$3, , $J$3, $K$3)/_xll.ciqfunctions.udf.CIQ($B9, "IQ_TOTAL_REV", $O$3, RD$3, $N$3, , $J$3, $K$3)),"")</f>
        <v/>
      </c>
      <c r="RE9" s="86" t="str">
        <f>IFERROR(IF(OR($B9="",OC$3=""),"",_xll.ciqfunctions.udf.CIQ($B9,"IQ_NI",$O$3, RE$3, $N$3, , $J$3, $K$3)*2/(_xll.ciqfunctions.udf.CIQ($B9,"IQ_TOTAL_EQUITY", RE$3,$I$3, $N$3, , $J$3, $K$3)+_xll.ciqfunctions.udf.CIQ($B9,"IQ_TOTAL_EQUITY", "IQ_" &amp; LEFT(RE$3,2) &amp; "-1", RE$3, $N$3, , $J$3, $K$3))),"")</f>
        <v/>
      </c>
      <c r="RF9" s="86" t="str">
        <f>IFERROR(IF(OR($B9="",OD$3=""),"",_xll.ciqfunctions.udf.CIQ($B9,"IQ_NI",$O$3, RF$3, $N$3, , $J$3, $K$3)*2/(_xll.ciqfunctions.udf.CIQ($B9,"IQ_TOTAL_EQUITY", RF$3,$I$3, $N$3, , $J$3, $K$3)+_xll.ciqfunctions.udf.CIQ($B9,"IQ_TOTAL_EQUITY", "IQ_" &amp; LEFT(RF$3,2) &amp; "-1", RF$3, $N$3, , $J$3, $K$3))),"")</f>
        <v/>
      </c>
      <c r="RG9" s="86" t="str">
        <f>IFERROR(IF(OR($B9="",OE$3=""),"",_xll.ciqfunctions.udf.CIQ($B9,"IQ_NI",$O$3, RG$3, $N$3, , $J$3, $K$3)*2/(_xll.ciqfunctions.udf.CIQ($B9,"IQ_TOTAL_EQUITY", RG$3,$I$3, $N$3, , $J$3, $K$3)+_xll.ciqfunctions.udf.CIQ($B9,"IQ_TOTAL_EQUITY", "IQ_" &amp; LEFT(RG$3,2) &amp; "-1", RG$3, $N$3, , $J$3, $K$3))),"")</f>
        <v/>
      </c>
      <c r="RH9" s="86" t="str">
        <f>IFERROR(IF(OR($B9="",OF$3=""),"",_xll.ciqfunctions.udf.CIQ($B9,"IQ_NI",$O$3, RH$3, $N$3, , $J$3, $K$3)*2/(_xll.ciqfunctions.udf.CIQ($B9,"IQ_TOTAL_EQUITY", RH$3,$I$3, $N$3, , $J$3, $K$3)+_xll.ciqfunctions.udf.CIQ($B9,"IQ_TOTAL_EQUITY", "IQ_" &amp; LEFT(RH$3,2) &amp; "-1", RH$3, $N$3, , $J$3, $K$3))),"")</f>
        <v/>
      </c>
      <c r="RI9" s="86" t="str">
        <f>IFERROR(IF(OR($B9="",OG$3=""),"",_xll.ciqfunctions.udf.CIQ($B9,"IQ_NI",$O$3, RI$3, $N$3, , $J$3, $K$3)*2/(_xll.ciqfunctions.udf.CIQ($B9,"IQ_TOTAL_EQUITY", RI$3,$I$3, $N$3, , $J$3, $K$3)+_xll.ciqfunctions.udf.CIQ($B9,"IQ_TOTAL_EQUITY", "IQ_" &amp; LEFT(RI$3,2) &amp; "-1", RI$3, $N$3, , $J$3, $K$3))),"")</f>
        <v/>
      </c>
      <c r="RJ9" s="86" t="str">
        <f>IFERROR(IF(OR($B9="",OH$3=""),"",_xll.ciqfunctions.udf.CIQ($B9,"IQ_NI",$O$3, RJ$3, $N$3, , $J$3, $K$3)*2/(_xll.ciqfunctions.udf.CIQ($B9,"IQ_TOTAL_EQUITY", RJ$3,$I$3, $N$3, , $J$3, $K$3)+_xll.ciqfunctions.udf.CIQ($B9,"IQ_TOTAL_EQUITY", "IQ_" &amp; LEFT(RJ$3,2) &amp; "-1", RJ$3, $N$3, , $J$3, $K$3))),"")</f>
        <v/>
      </c>
      <c r="RK9" s="86" t="str">
        <f>IFERROR(IF(OR($B9="",OI$3=""),"",_xll.ciqfunctions.udf.CIQ($B9,"IQ_NI",$O$3, RK$3, $N$3, , $J$3, $K$3)*2/(_xll.ciqfunctions.udf.CIQ($B9,"IQ_TOTAL_EQUITY", RK$3,$I$3, $N$3, , $J$3, $K$3)+_xll.ciqfunctions.udf.CIQ($B9,"IQ_TOTAL_EQUITY", "IQ_" &amp; LEFT(RK$3,2) &amp; "-1", RK$3, $N$3, , $J$3, $K$3))),"")</f>
        <v/>
      </c>
      <c r="RL9" s="86" t="str">
        <f>IFERROR(IF(OR($B9="",OJ$3=""),"",_xll.ciqfunctions.udf.CIQ($B9,"IQ_NI",$O$3, RL$3, $N$3, , $J$3, $K$3)*2/(_xll.ciqfunctions.udf.CIQ($B9,"IQ_TOTAL_EQUITY", RL$3,$I$3, $N$3, , $J$3, $K$3)+_xll.ciqfunctions.udf.CIQ($B9,"IQ_TOTAL_EQUITY", "IQ_" &amp; LEFT(RL$3,2) &amp; "-1", RL$3, $N$3, , $J$3, $K$3))),"")</f>
        <v/>
      </c>
      <c r="RM9" s="86" t="str">
        <f>IFERROR(IF(OR($B9="",OK$3=""),"",_xll.ciqfunctions.udf.CIQ($B9,"IQ_NI",$O$3, RM$3, $N$3, , $J$3, $K$3)*2/(_xll.ciqfunctions.udf.CIQ($B9,"IQ_TOTAL_EQUITY", RM$3,$I$3, $N$3, , $J$3, $K$3)+_xll.ciqfunctions.udf.CIQ($B9,"IQ_TOTAL_EQUITY", "IQ_" &amp; LEFT(RM$3,2) &amp; "-1", RM$3, $N$3, , $J$3, $K$3))),"")</f>
        <v/>
      </c>
      <c r="RN9" s="86" t="str">
        <f>IFERROR(IF(OR($B9="",OL$3=""),"",_xll.ciqfunctions.udf.CIQ($B9,"IQ_NI",$O$3, RN$3, $N$3, , $J$3, $K$3)*2/(_xll.ciqfunctions.udf.CIQ($B9,"IQ_TOTAL_EQUITY", RN$3,$I$3, $N$3, , $J$3, $K$3)+_xll.ciqfunctions.udf.CIQ($B9,"IQ_TOTAL_EQUITY", "IQ_" &amp; LEFT(RN$3,2) &amp; "-1", RN$3, $N$3, , $J$3, $K$3))),"")</f>
        <v/>
      </c>
      <c r="RO9" s="86" t="str">
        <f>IFERROR(IF(OR($B9="",OM$3=""),"",_xll.ciqfunctions.udf.CIQ($B9,"IQ_NI",$O$3, RO$3, $N$3, , $J$3, $K$3)*2/(_xll.ciqfunctions.udf.CIQ($B9,"IQ_TOTAL_EQUITY", RO$3,$I$3, $N$3, , $J$3, $K$3)+_xll.ciqfunctions.udf.CIQ($B9,"IQ_TOTAL_EQUITY", "IQ_" &amp; LEFT(RO$3,2) &amp; "-1", RO$3, $N$3, , $J$3, $K$3))),"")</f>
        <v/>
      </c>
      <c r="RP9" s="86" t="str">
        <f>IFERROR(IF(OR($B9="",ON$3=""),"",_xll.ciqfunctions.udf.CIQ($B9,"IQ_NI",$O$3, RP$3, $N$3, , $J$3, $K$3)*2/(_xll.ciqfunctions.udf.CIQ($B9,"IQ_TOTAL_EQUITY", RP$3,$I$3, $N$3, , $J$3, $K$3)+_xll.ciqfunctions.udf.CIQ($B9,"IQ_TOTAL_EQUITY", "IQ_" &amp; LEFT(RP$3,2) &amp; "-1", RP$3, $N$3, , $J$3, $K$3))),"")</f>
        <v/>
      </c>
      <c r="RQ9" s="86" t="str">
        <f>IFERROR(IF(OR($B9="",OO$3=""),"",_xll.ciqfunctions.udf.CIQ($B9,"IQ_NI",$O$3, RQ$3, $N$3, , $J$3, $K$3)*2/(_xll.ciqfunctions.udf.CIQ($B9,"IQ_TOTAL_EQUITY", RQ$3,$I$3, $N$3, , $J$3, $K$3)+_xll.ciqfunctions.udf.CIQ($B9,"IQ_TOTAL_EQUITY", "IQ_" &amp; LEFT(RQ$3,2) &amp; "-1", RQ$3, $N$3, , $J$3, $K$3))),"")</f>
        <v/>
      </c>
      <c r="RR9" s="86" t="str">
        <f>IFERROR(IF(OR($B9="",OP$3=""),"",_xll.ciqfunctions.udf.CIQ($B9,"IQ_NI",$O$3, RR$3, $N$3, , $J$3, $K$3)*2/(_xll.ciqfunctions.udf.CIQ($B9,"IQ_TOTAL_EQUITY", RR$3,$I$3, $N$3, , $J$3, $K$3)+_xll.ciqfunctions.udf.CIQ($B9,"IQ_TOTAL_EQUITY", "IQ_" &amp; LEFT(RR$3,2) &amp; "-1", RR$3, $N$3, , $J$3, $K$3))),"")</f>
        <v/>
      </c>
      <c r="RS9" s="86" t="str">
        <f>IFERROR(IF(OR($B9="",OQ$3=""),"",_xll.ciqfunctions.udf.CIQ($B9,"IQ_NI",$O$3, RS$3, $N$3, , $J$3, $K$3)*2/(_xll.ciqfunctions.udf.CIQ($B9,"IQ_TOTAL_EQUITY", RS$3,$I$3, $N$3, , $J$3, $K$3)+_xll.ciqfunctions.udf.CIQ($B9,"IQ_TOTAL_EQUITY", "IQ_" &amp; LEFT(RS$3,2) &amp; "-1", RS$3, $N$3, , $J$3, $K$3))),"")</f>
        <v/>
      </c>
      <c r="RT9" s="86" t="str">
        <f>IFERROR(IF(OR($B9="",OR$3=""),"",_xll.ciqfunctions.udf.CIQ($B9,"IQ_NI",$O$3, RT$3, $N$3, , $J$3, $K$3)*2/(_xll.ciqfunctions.udf.CIQ($B9,"IQ_TOTAL_EQUITY", RT$3,$I$3, $N$3, , $J$3, $K$3)+_xll.ciqfunctions.udf.CIQ($B9,"IQ_TOTAL_EQUITY", "IQ_" &amp; LEFT(RT$3,2) &amp; "-1", RT$3, $N$3, , $J$3, $K$3))),"")</f>
        <v/>
      </c>
      <c r="RU9" s="86" t="str">
        <f>IFERROR(IF(OR($B9="",OS$3=""),"",_xll.ciqfunctions.udf.CIQ($B9,"IQ_NI",$O$3, RU$3, $N$3, , $J$3, $K$3)*2/(_xll.ciqfunctions.udf.CIQ($B9,"IQ_TOTAL_EQUITY", RU$3,$I$3, $N$3, , $J$3, $K$3)+_xll.ciqfunctions.udf.CIQ($B9,"IQ_TOTAL_EQUITY", "IQ_" &amp; LEFT(RU$3,2) &amp; "-1", RU$3, $N$3, , $J$3, $K$3))),"")</f>
        <v/>
      </c>
      <c r="RV9" s="86" t="str">
        <f>IFERROR(IF(OR($B9="",OT$3=""),"",_xll.ciqfunctions.udf.CIQ($B9,"IQ_NI",$O$3, RV$3, $N$3, , $J$3, $K$3)*2/(_xll.ciqfunctions.udf.CIQ($B9,"IQ_TOTAL_EQUITY", RV$3,$I$3, $N$3, , $J$3, $K$3)+_xll.ciqfunctions.udf.CIQ($B9,"IQ_TOTAL_EQUITY", "IQ_" &amp; LEFT(RV$3,2) &amp; "-1", RV$3, $N$3, , $J$3, $K$3))),"")</f>
        <v/>
      </c>
      <c r="RW9" s="86" t="str">
        <f>IFERROR(IF(OR($B9="",OU$3=""),"",_xll.ciqfunctions.udf.CIQ($B9,"IQ_NI",$O$3, RW$3, $N$3, , $J$3, $K$3)*2/(_xll.ciqfunctions.udf.CIQ($B9,"IQ_TOTAL_EQUITY", RW$3,$I$3, $N$3, , $J$3, $K$3)+_xll.ciqfunctions.udf.CIQ($B9,"IQ_TOTAL_EQUITY", "IQ_" &amp; LEFT(RW$3,2) &amp; "-1", RW$3, $N$3, , $J$3, $K$3))),"")</f>
        <v/>
      </c>
      <c r="RX9" s="86" t="str">
        <f>IFERROR(IF(OR($B9="",OV$3=""),"",_xll.ciqfunctions.udf.CIQ($B9,"IQ_NI",$O$3, RX$3, $N$3, , $J$3, $K$3)*2/(_xll.ciqfunctions.udf.CIQ($B9,"IQ_TOTAL_EQUITY", RX$3,$I$3, $N$3, , $J$3, $K$3)+_xll.ciqfunctions.udf.CIQ($B9,"IQ_TOTAL_EQUITY", "IQ_" &amp; LEFT(RX$3,2) &amp; "-1", RX$3, $N$3, , $J$3, $K$3))),"")</f>
        <v/>
      </c>
      <c r="RY9" s="86" t="str">
        <f>IFERROR(IF(OR($B9="",RY$3=""),"",_xll.ciqfunctions.udf.CIQ($B9,"IQ_CASH_OPER",$O$3, RY$3, $N$3, , $J$3, $K$3)*2/(_xll.ciqfunctions.udf.CIQ($B9,"IQ_TOTAL_CL",RY$3,$I$3, $N$3, , $J$3, $K$3)+_xll.ciqfunctions.udf.CIQ($B9,"IQ_TOTAL_CL","IQ_" &amp; LEFT(RY$3,2) &amp; "-1", RY$3, $N$3, , $J$3, $K$3))),"")</f>
        <v/>
      </c>
      <c r="RZ9" s="87" t="str">
        <f>IFERROR(IF(OR($B9="",RZ$3=""),"",_xll.ciqfunctions.udf.CIQ($B9,"IQ_CASH_OPER",$O$3, RZ$3, $N$3, , $J$3, $K$3)*2/(_xll.ciqfunctions.udf.CIQ($B9,"IQ_TOTAL_CL",RZ$3,$I$3, $N$3, , $J$3, $K$3)+_xll.ciqfunctions.udf.CIQ($B9,"IQ_TOTAL_CL","IQ_" &amp; LEFT(RZ$3,2) &amp; "-1", RZ$3, $N$3, , $J$3, $K$3))),"")</f>
        <v/>
      </c>
      <c r="SA9" s="87" t="str">
        <f>IFERROR(IF(OR($B9="",SA$3=""),"",_xll.ciqfunctions.udf.CIQ($B9,"IQ_CASH_OPER",$O$3, SA$3, $N$3, , $J$3, $K$3)*2/(_xll.ciqfunctions.udf.CIQ($B9,"IQ_TOTAL_CL",SA$3,$I$3, $N$3, , $J$3, $K$3)+_xll.ciqfunctions.udf.CIQ($B9,"IQ_TOTAL_CL","IQ_" &amp; LEFT(SA$3,2) &amp; "-1", SA$3, $N$3, , $J$3, $K$3))),"")</f>
        <v/>
      </c>
      <c r="SB9" s="87" t="str">
        <f>IFERROR(IF(OR($B9="",SB$3=""),"",_xll.ciqfunctions.udf.CIQ($B9,"IQ_CASH_OPER",$O$3, SB$3, $N$3, , $J$3, $K$3)*2/(_xll.ciqfunctions.udf.CIQ($B9,"IQ_TOTAL_CL",SB$3,$I$3, $N$3, , $J$3, $K$3)+_xll.ciqfunctions.udf.CIQ($B9,"IQ_TOTAL_CL","IQ_" &amp; LEFT(SB$3,2) &amp; "-1", SB$3, $N$3, , $J$3, $K$3))),"")</f>
        <v/>
      </c>
      <c r="SC9" s="87" t="str">
        <f>IFERROR(IF(OR($B9="",SC$3=""),"",_xll.ciqfunctions.udf.CIQ($B9,"IQ_CASH_OPER",$O$3, SC$3, $N$3, , $J$3, $K$3)*2/(_xll.ciqfunctions.udf.CIQ($B9,"IQ_TOTAL_CL",SC$3,$I$3, $N$3, , $J$3, $K$3)+_xll.ciqfunctions.udf.CIQ($B9,"IQ_TOTAL_CL","IQ_" &amp; LEFT(SC$3,2) &amp; "-1", SC$3, $N$3, , $J$3, $K$3))),"")</f>
        <v/>
      </c>
      <c r="SD9" s="87" t="str">
        <f>IFERROR(IF(OR($B9="",SD$3=""),"",_xll.ciqfunctions.udf.CIQ($B9,"IQ_CASH_OPER",$O$3, SD$3, $N$3, , $J$3, $K$3)*2/(_xll.ciqfunctions.udf.CIQ($B9,"IQ_TOTAL_CL",SD$3,$I$3, $N$3, , $J$3, $K$3)+_xll.ciqfunctions.udf.CIQ($B9,"IQ_TOTAL_CL","IQ_" &amp; LEFT(SD$3,2) &amp; "-1", SD$3, $N$3, , $J$3, $K$3))),"")</f>
        <v/>
      </c>
      <c r="SE9" s="87" t="str">
        <f>IFERROR(IF(OR($B9="",SE$3=""),"",_xll.ciqfunctions.udf.CIQ($B9,"IQ_CASH_OPER",$O$3, SE$3, $N$3, , $J$3, $K$3)*2/(_xll.ciqfunctions.udf.CIQ($B9,"IQ_TOTAL_CL",SE$3,$I$3, $N$3, , $J$3, $K$3)+_xll.ciqfunctions.udf.CIQ($B9,"IQ_TOTAL_CL","IQ_" &amp; LEFT(SE$3,2) &amp; "-1", SE$3, $N$3, , $J$3, $K$3))),"")</f>
        <v/>
      </c>
      <c r="SF9" s="87" t="str">
        <f>IFERROR(IF(OR($B9="",SF$3=""),"",_xll.ciqfunctions.udf.CIQ($B9,"IQ_CASH_OPER",$O$3, SF$3, $N$3, , $J$3, $K$3)*2/(_xll.ciqfunctions.udf.CIQ($B9,"IQ_TOTAL_CL",SF$3,$I$3, $N$3, , $J$3, $K$3)+_xll.ciqfunctions.udf.CIQ($B9,"IQ_TOTAL_CL","IQ_" &amp; LEFT(SF$3,2) &amp; "-1", SF$3, $N$3, , $J$3, $K$3))),"")</f>
        <v/>
      </c>
      <c r="SG9" s="87" t="str">
        <f>IFERROR(IF(OR($B9="",SG$3=""),"",_xll.ciqfunctions.udf.CIQ($B9,"IQ_CASH_OPER",$O$3, SG$3, $N$3, , $J$3, $K$3)*2/(_xll.ciqfunctions.udf.CIQ($B9,"IQ_TOTAL_CL",SG$3,$I$3, $N$3, , $J$3, $K$3)+_xll.ciqfunctions.udf.CIQ($B9,"IQ_TOTAL_CL","IQ_" &amp; LEFT(SG$3,2) &amp; "-1", SG$3, $N$3, , $J$3, $K$3))),"")</f>
        <v/>
      </c>
      <c r="SH9" s="87" t="str">
        <f>IFERROR(IF(OR($B9="",SH$3=""),"",_xll.ciqfunctions.udf.CIQ($B9,"IQ_CASH_OPER",$O$3, SH$3, $N$3, , $J$3, $K$3)*2/(_xll.ciqfunctions.udf.CIQ($B9,"IQ_TOTAL_CL",SH$3,$I$3, $N$3, , $J$3, $K$3)+_xll.ciqfunctions.udf.CIQ($B9,"IQ_TOTAL_CL","IQ_" &amp; LEFT(SH$3,2) &amp; "-1", SH$3, $N$3, , $J$3, $K$3))),"")</f>
        <v/>
      </c>
      <c r="SI9" s="87" t="str">
        <f>IFERROR(IF(OR($B9="",SI$3=""),"",_xll.ciqfunctions.udf.CIQ($B9,"IQ_CASH_OPER",$O$3, SI$3, $N$3, , $J$3, $K$3)*2/(_xll.ciqfunctions.udf.CIQ($B9,"IQ_TOTAL_CL",SI$3,$I$3, $N$3, , $J$3, $K$3)+_xll.ciqfunctions.udf.CIQ($B9,"IQ_TOTAL_CL","IQ_" &amp; LEFT(SI$3,2) &amp; "-1", SI$3, $N$3, , $J$3, $K$3))),"")</f>
        <v/>
      </c>
      <c r="SJ9" s="87" t="str">
        <f>IFERROR(IF(OR($B9="",SJ$3=""),"",_xll.ciqfunctions.udf.CIQ($B9,"IQ_CASH_OPER",$O$3, SJ$3, $N$3, , $J$3, $K$3)*2/(_xll.ciqfunctions.udf.CIQ($B9,"IQ_TOTAL_CL",SJ$3,$I$3, $N$3, , $J$3, $K$3)+_xll.ciqfunctions.udf.CIQ($B9,"IQ_TOTAL_CL","IQ_" &amp; LEFT(SJ$3,2) &amp; "-1", SJ$3, $N$3, , $J$3, $K$3))),"")</f>
        <v/>
      </c>
      <c r="SK9" s="87" t="str">
        <f>IFERROR(IF(OR($B9="",SK$3=""),"",_xll.ciqfunctions.udf.CIQ($B9,"IQ_CASH_OPER",$O$3, SK$3, $N$3, , $J$3, $K$3)*2/(_xll.ciqfunctions.udf.CIQ($B9,"IQ_TOTAL_CL",SK$3,$I$3, $N$3, , $J$3, $K$3)+_xll.ciqfunctions.udf.CIQ($B9,"IQ_TOTAL_CL","IQ_" &amp; LEFT(SK$3,2) &amp; "-1", SK$3, $N$3, , $J$3, $K$3))),"")</f>
        <v/>
      </c>
      <c r="SL9" s="87" t="str">
        <f>IFERROR(IF(OR($B9="",SL$3=""),"",_xll.ciqfunctions.udf.CIQ($B9,"IQ_CASH_OPER",$O$3, SL$3, $N$3, , $J$3, $K$3)*2/(_xll.ciqfunctions.udf.CIQ($B9,"IQ_TOTAL_CL",SL$3,$I$3, $N$3, , $J$3, $K$3)+_xll.ciqfunctions.udf.CIQ($B9,"IQ_TOTAL_CL","IQ_" &amp; LEFT(SL$3,2) &amp; "-1", SL$3, $N$3, , $J$3, $K$3))),"")</f>
        <v/>
      </c>
      <c r="SM9" s="87" t="str">
        <f>IFERROR(IF(OR($B9="",SM$3=""),"",_xll.ciqfunctions.udf.CIQ($B9,"IQ_CASH_OPER",$O$3, SM$3, $N$3, , $J$3, $K$3)*2/(_xll.ciqfunctions.udf.CIQ($B9,"IQ_TOTAL_CL",SM$3,$I$3, $N$3, , $J$3, $K$3)+_xll.ciqfunctions.udf.CIQ($B9,"IQ_TOTAL_CL","IQ_" &amp; LEFT(SM$3,2) &amp; "-1", SM$3, $N$3, , $J$3, $K$3))),"")</f>
        <v/>
      </c>
      <c r="SN9" s="87" t="str">
        <f>IFERROR(IF(OR($B9="",SN$3=""),"",_xll.ciqfunctions.udf.CIQ($B9,"IQ_CASH_OPER",$O$3, SN$3, $N$3, , $J$3, $K$3)*2/(_xll.ciqfunctions.udf.CIQ($B9,"IQ_TOTAL_CL",SN$3,$I$3, $N$3, , $J$3, $K$3)+_xll.ciqfunctions.udf.CIQ($B9,"IQ_TOTAL_CL","IQ_" &amp; LEFT(SN$3,2) &amp; "-1", SN$3, $N$3, , $J$3, $K$3))),"")</f>
        <v/>
      </c>
      <c r="SO9" s="87" t="str">
        <f>IFERROR(IF(OR($B9="",SO$3=""),"",_xll.ciqfunctions.udf.CIQ($B9,"IQ_CASH_OPER",$O$3, SO$3, $N$3, , $J$3, $K$3)*2/(_xll.ciqfunctions.udf.CIQ($B9,"IQ_TOTAL_CL",SO$3,$I$3, $N$3, , $J$3, $K$3)+_xll.ciqfunctions.udf.CIQ($B9,"IQ_TOTAL_CL","IQ_" &amp; LEFT(SO$3,2) &amp; "-1", SO$3, $N$3, , $J$3, $K$3))),"")</f>
        <v/>
      </c>
      <c r="SP9" s="87" t="str">
        <f>IFERROR(IF(OR($B9="",SP$3=""),"",_xll.ciqfunctions.udf.CIQ($B9,"IQ_CASH_OPER",$O$3, SP$3, $N$3, , $J$3, $K$3)*2/(_xll.ciqfunctions.udf.CIQ($B9,"IQ_TOTAL_CL",SP$3,$I$3, $N$3, , $J$3, $K$3)+_xll.ciqfunctions.udf.CIQ($B9,"IQ_TOTAL_CL","IQ_" &amp; LEFT(SP$3,2) &amp; "-1", SP$3, $N$3, , $J$3, $K$3))),"")</f>
        <v/>
      </c>
      <c r="SQ9" s="87" t="str">
        <f>IFERROR(IF(OR($B9="",SQ$3=""),"",_xll.ciqfunctions.udf.CIQ($B9,"IQ_CASH_OPER",$O$3, SQ$3, $N$3, , $J$3, $K$3)*2/(_xll.ciqfunctions.udf.CIQ($B9,"IQ_TOTAL_CL",SQ$3,$I$3, $N$3, , $J$3, $K$3)+_xll.ciqfunctions.udf.CIQ($B9,"IQ_TOTAL_CL","IQ_" &amp; LEFT(SQ$3,2) &amp; "-1", SQ$3, $N$3, , $J$3, $K$3))),"")</f>
        <v/>
      </c>
      <c r="SR9" s="88" t="str">
        <f>IFERROR(IF(OR($B9="",SR$3=""),"",_xll.ciqfunctions.udf.CIQ($B9,"IQ_CASH_OPER",$O$3, SR$3, $N$3, , $J$3, $K$3)*2/(_xll.ciqfunctions.udf.CIQ($B9,"IQ_TOTAL_CL",SR$3,$I$3, $N$3, , $J$3, $K$3)+_xll.ciqfunctions.udf.CIQ($B9,"IQ_TOTAL_CL","IQ_" &amp; LEFT(SR$3,2) &amp; "-1", SR$3, $N$3, , $J$3, $K$3))),"")</f>
        <v/>
      </c>
      <c r="SS9" s="86" t="str">
        <f>IFERROR(IF(OR($B9="",SS$3=""),"",MAX(_xll.ciqfunctions.udf.CIQ($B9,"IQ_INC_TAX",SS$3,$I$3, $N$3, , $J$3, $K$3)/ABS(_xll.ciqfunctions.udf.CIQ($B9,"IQ_EBT",SS$3,$I$3, $N$3, , $J$3, $K$3)),0)),"")</f>
        <v/>
      </c>
      <c r="ST9" s="87" t="str">
        <f>IFERROR(IF(OR($B9="",ST$3=""),"",MAX(_xll.ciqfunctions.udf.CIQ($B9,"IQ_INC_TAX",ST$3,$I$3, $N$3, , $J$3, $K$3)/ABS(_xll.ciqfunctions.udf.CIQ($B9,"IQ_EBT",ST$3,$I$3, $N$3, , $J$3, $K$3)),0)),"")</f>
        <v/>
      </c>
      <c r="SU9" s="87" t="str">
        <f>IFERROR(IF(OR($B9="",SU$3=""),"",MAX(_xll.ciqfunctions.udf.CIQ($B9,"IQ_INC_TAX",SU$3,$I$3, $N$3, , $J$3, $K$3)/ABS(_xll.ciqfunctions.udf.CIQ($B9,"IQ_EBT",SU$3,$I$3, $N$3, , $J$3, $K$3)),0)),"")</f>
        <v/>
      </c>
      <c r="SV9" s="87" t="str">
        <f>IFERROR(IF(OR($B9="",SV$3=""),"",MAX(_xll.ciqfunctions.udf.CIQ($B9,"IQ_INC_TAX",SV$3,$I$3, $N$3, , $J$3, $K$3)/ABS(_xll.ciqfunctions.udf.CIQ($B9,"IQ_EBT",SV$3,$I$3, $N$3, , $J$3, $K$3)),0)),"")</f>
        <v/>
      </c>
      <c r="SW9" s="87" t="str">
        <f>IFERROR(IF(OR($B9="",SW$3=""),"",MAX(_xll.ciqfunctions.udf.CIQ($B9,"IQ_INC_TAX",SW$3,$I$3, $N$3, , $J$3, $K$3)/ABS(_xll.ciqfunctions.udf.CIQ($B9,"IQ_EBT",SW$3,$I$3, $N$3, , $J$3, $K$3)),0)),"")</f>
        <v/>
      </c>
      <c r="SX9" s="87" t="str">
        <f>IFERROR(IF(OR($B9="",SX$3=""),"",MAX(_xll.ciqfunctions.udf.CIQ($B9,"IQ_INC_TAX",SX$3,$I$3, $N$3, , $J$3, $K$3)/ABS(_xll.ciqfunctions.udf.CIQ($B9,"IQ_EBT",SX$3,$I$3, $N$3, , $J$3, $K$3)),0)),"")</f>
        <v/>
      </c>
      <c r="SY9" s="87" t="str">
        <f>IFERROR(IF(OR($B9="",SY$3=""),"",MAX(_xll.ciqfunctions.udf.CIQ($B9,"IQ_INC_TAX",SY$3,$I$3, $N$3, , $J$3, $K$3)/ABS(_xll.ciqfunctions.udf.CIQ($B9,"IQ_EBT",SY$3,$I$3, $N$3, , $J$3, $K$3)),0)),"")</f>
        <v/>
      </c>
      <c r="SZ9" s="87" t="str">
        <f>IFERROR(IF(OR($B9="",SZ$3=""),"",MAX(_xll.ciqfunctions.udf.CIQ($B9,"IQ_INC_TAX",SZ$3,$I$3, $N$3, , $J$3, $K$3)/ABS(_xll.ciqfunctions.udf.CIQ($B9,"IQ_EBT",SZ$3,$I$3, $N$3, , $J$3, $K$3)),0)),"")</f>
        <v/>
      </c>
      <c r="TA9" s="87" t="str">
        <f>IFERROR(IF(OR($B9="",TA$3=""),"",MAX(_xll.ciqfunctions.udf.CIQ($B9,"IQ_INC_TAX",TA$3,$I$3, $N$3, , $J$3, $K$3)/ABS(_xll.ciqfunctions.udf.CIQ($B9,"IQ_EBT",TA$3,$I$3, $N$3, , $J$3, $K$3)),0)),"")</f>
        <v/>
      </c>
      <c r="TB9" s="87" t="str">
        <f>IFERROR(IF(OR($B9="",TB$3=""),"",MAX(_xll.ciqfunctions.udf.CIQ($B9,"IQ_INC_TAX",TB$3,$I$3, $N$3, , $J$3, $K$3)/ABS(_xll.ciqfunctions.udf.CIQ($B9,"IQ_EBT",TB$3,$I$3, $N$3, , $J$3, $K$3)),0)),"")</f>
        <v/>
      </c>
      <c r="TC9" s="87" t="str">
        <f>IFERROR(IF(OR($B9="",TC$3=""),"",MAX(_xll.ciqfunctions.udf.CIQ($B9,"IQ_INC_TAX",TC$3,$I$3, $N$3, , $J$3, $K$3)/ABS(_xll.ciqfunctions.udf.CIQ($B9,"IQ_EBT",TC$3,$I$3, $N$3, , $J$3, $K$3)),0)),"")</f>
        <v/>
      </c>
      <c r="TD9" s="87" t="str">
        <f>IFERROR(IF(OR($B9="",TD$3=""),"",MAX(_xll.ciqfunctions.udf.CIQ($B9,"IQ_INC_TAX",TD$3,$I$3, $N$3, , $J$3, $K$3)/ABS(_xll.ciqfunctions.udf.CIQ($B9,"IQ_EBT",TD$3,$I$3, $N$3, , $J$3, $K$3)),0)),"")</f>
        <v/>
      </c>
      <c r="TE9" s="87" t="str">
        <f>IFERROR(IF(OR($B9="",TE$3=""),"",MAX(_xll.ciqfunctions.udf.CIQ($B9,"IQ_INC_TAX",TE$3,$I$3, $N$3, , $J$3, $K$3)/ABS(_xll.ciqfunctions.udf.CIQ($B9,"IQ_EBT",TE$3,$I$3, $N$3, , $J$3, $K$3)),0)),"")</f>
        <v/>
      </c>
      <c r="TF9" s="87" t="str">
        <f>IFERROR(IF(OR($B9="",TF$3=""),"",MAX(_xll.ciqfunctions.udf.CIQ($B9,"IQ_INC_TAX",TF$3,$I$3, $N$3, , $J$3, $K$3)/ABS(_xll.ciqfunctions.udf.CIQ($B9,"IQ_EBT",TF$3,$I$3, $N$3, , $J$3, $K$3)),0)),"")</f>
        <v/>
      </c>
      <c r="TG9" s="87" t="str">
        <f>IFERROR(IF(OR($B9="",TG$3=""),"",MAX(_xll.ciqfunctions.udf.CIQ($B9,"IQ_INC_TAX",TG$3,$I$3, $N$3, , $J$3, $K$3)/ABS(_xll.ciqfunctions.udf.CIQ($B9,"IQ_EBT",TG$3,$I$3, $N$3, , $J$3, $K$3)),0)),"")</f>
        <v/>
      </c>
      <c r="TH9" s="87" t="str">
        <f>IFERROR(IF(OR($B9="",TH$3=""),"",MAX(_xll.ciqfunctions.udf.CIQ($B9,"IQ_INC_TAX",TH$3,$I$3, $N$3, , $J$3, $K$3)/ABS(_xll.ciqfunctions.udf.CIQ($B9,"IQ_EBT",TH$3,$I$3, $N$3, , $J$3, $K$3)),0)),"")</f>
        <v/>
      </c>
      <c r="TI9" s="87" t="str">
        <f>IFERROR(IF(OR($B9="",TI$3=""),"",MAX(_xll.ciqfunctions.udf.CIQ($B9,"IQ_INC_TAX",TI$3,$I$3, $N$3, , $J$3, $K$3)/ABS(_xll.ciqfunctions.udf.CIQ($B9,"IQ_EBT",TI$3,$I$3, $N$3, , $J$3, $K$3)),0)),"")</f>
        <v/>
      </c>
      <c r="TJ9" s="87" t="str">
        <f>IFERROR(IF(OR($B9="",TJ$3=""),"",MAX(_xll.ciqfunctions.udf.CIQ($B9,"IQ_INC_TAX",TJ$3,$I$3, $N$3, , $J$3, $K$3)/ABS(_xll.ciqfunctions.udf.CIQ($B9,"IQ_EBT",TJ$3,$I$3, $N$3, , $J$3, $K$3)),0)),"")</f>
        <v/>
      </c>
      <c r="TK9" s="87" t="str">
        <f>IFERROR(IF(OR($B9="",TK$3=""),"",MAX(_xll.ciqfunctions.udf.CIQ($B9,"IQ_INC_TAX",TK$3,$I$3, $N$3, , $J$3, $K$3)/ABS(_xll.ciqfunctions.udf.CIQ($B9,"IQ_EBT",TK$3,$I$3, $N$3, , $J$3, $K$3)),0)),"")</f>
        <v/>
      </c>
      <c r="TL9" s="88" t="str">
        <f>IFERROR(IF(OR($B9="",TL$3=""),"",MAX(_xll.ciqfunctions.udf.CIQ($B9,"IQ_INC_TAX",TL$3,$I$3, $N$3, , $J$3, $K$3)/ABS(_xll.ciqfunctions.udf.CIQ($B9,"IQ_EBT",TL$3,$I$3, $N$3, , $J$3, $K$3)),0)),"")</f>
        <v/>
      </c>
      <c r="TM9" s="92" t="str">
        <f>IFERROR(IF(OR($B9="",TM$3=""),"",_xll.ciqfunctions.udf.CIQ($B9,"IQ_TOTAL_REVENUE",TM$3,$I$3, $N$3, , $J$3, $K$3)*1000000/_xll.ciqfunctions.udf.CIQ($B9,"IQ_EMPLOYEES",TM$3,$I$3, $N$3, , $J$3, $K$3)),"")</f>
        <v/>
      </c>
      <c r="TN9" s="93" t="str">
        <f>IFERROR(IF(OR($B9="",TN$3=""),"",_xll.ciqfunctions.udf.CIQ($B9,"IQ_TOTAL_REVENUE",TN$3,$I$3, $N$3, , $J$3, $K$3)*1000000/_xll.ciqfunctions.udf.CIQ($B9,"IQ_EMPLOYEES",TN$3,$I$3, $N$3, , $J$3, $K$3)),"")</f>
        <v/>
      </c>
      <c r="TO9" s="93" t="str">
        <f>IFERROR(IF(OR($B9="",TO$3=""),"",_xll.ciqfunctions.udf.CIQ($B9,"IQ_TOTAL_REVENUE",TO$3,$I$3, $N$3, , $J$3, $K$3)*1000000/_xll.ciqfunctions.udf.CIQ($B9,"IQ_EMPLOYEES",TO$3,$I$3, $N$3, , $J$3, $K$3)),"")</f>
        <v/>
      </c>
      <c r="TP9" s="93" t="str">
        <f>IFERROR(IF(OR($B9="",TP$3=""),"",_xll.ciqfunctions.udf.CIQ($B9,"IQ_TOTAL_REVENUE",TP$3,$I$3, $N$3, , $J$3, $K$3)*1000000/_xll.ciqfunctions.udf.CIQ($B9,"IQ_EMPLOYEES",TP$3,$I$3, $N$3, , $J$3, $K$3)),"")</f>
        <v/>
      </c>
      <c r="TQ9" s="93" t="str">
        <f>IFERROR(IF(OR($B9="",TQ$3=""),"",_xll.ciqfunctions.udf.CIQ($B9,"IQ_TOTAL_REVENUE",TQ$3,$I$3, $N$3, , $J$3, $K$3)*1000000/_xll.ciqfunctions.udf.CIQ($B9,"IQ_EMPLOYEES",TQ$3,$I$3, $N$3, , $J$3, $K$3)),"")</f>
        <v/>
      </c>
      <c r="TR9" s="93" t="str">
        <f>IFERROR(IF(OR($B9="",TR$3=""),"",_xll.ciqfunctions.udf.CIQ($B9,"IQ_TOTAL_REVENUE",TR$3,$I$3, $N$3, , $J$3, $K$3)*1000000/_xll.ciqfunctions.udf.CIQ($B9,"IQ_EMPLOYEES",TR$3,$I$3, $N$3, , $J$3, $K$3)),"")</f>
        <v/>
      </c>
      <c r="TS9" s="93" t="str">
        <f>IFERROR(IF(OR($B9="",TS$3=""),"",_xll.ciqfunctions.udf.CIQ($B9,"IQ_TOTAL_REVENUE",TS$3,$I$3, $N$3, , $J$3, $K$3)*1000000/_xll.ciqfunctions.udf.CIQ($B9,"IQ_EMPLOYEES",TS$3,$I$3, $N$3, , $J$3, $K$3)),"")</f>
        <v/>
      </c>
      <c r="TT9" s="93" t="str">
        <f>IFERROR(IF(OR($B9="",TT$3=""),"",_xll.ciqfunctions.udf.CIQ($B9,"IQ_TOTAL_REVENUE",TT$3,$I$3, $N$3, , $J$3, $K$3)*1000000/_xll.ciqfunctions.udf.CIQ($B9,"IQ_EMPLOYEES",TT$3,$I$3, $N$3, , $J$3, $K$3)),"")</f>
        <v/>
      </c>
      <c r="TU9" s="93" t="str">
        <f>IFERROR(IF(OR($B9="",TU$3=""),"",_xll.ciqfunctions.udf.CIQ($B9,"IQ_TOTAL_REVENUE",TU$3,$I$3, $N$3, , $J$3, $K$3)*1000000/_xll.ciqfunctions.udf.CIQ($B9,"IQ_EMPLOYEES",TU$3,$I$3, $N$3, , $J$3, $K$3)),"")</f>
        <v/>
      </c>
      <c r="TV9" s="93" t="str">
        <f>IFERROR(IF(OR($B9="",TV$3=""),"",_xll.ciqfunctions.udf.CIQ($B9,"IQ_TOTAL_REVENUE",TV$3,$I$3, $N$3, , $J$3, $K$3)*1000000/_xll.ciqfunctions.udf.CIQ($B9,"IQ_EMPLOYEES",TV$3,$I$3, $N$3, , $J$3, $K$3)),"")</f>
        <v/>
      </c>
      <c r="TW9" s="93" t="str">
        <f>IFERROR(IF(OR($B9="",TW$3=""),"",_xll.ciqfunctions.udf.CIQ($B9,"IQ_TOTAL_REVENUE",TW$3,$I$3, $N$3, , $J$3, $K$3)*1000000/_xll.ciqfunctions.udf.CIQ($B9,"IQ_EMPLOYEES",TW$3,$I$3, $N$3, , $J$3, $K$3)),"")</f>
        <v/>
      </c>
      <c r="TX9" s="93" t="str">
        <f>IFERROR(IF(OR($B9="",TX$3=""),"",_xll.ciqfunctions.udf.CIQ($B9,"IQ_TOTAL_REVENUE",TX$3,$I$3, $N$3, , $J$3, $K$3)*1000000/_xll.ciqfunctions.udf.CIQ($B9,"IQ_EMPLOYEES",TX$3,$I$3, $N$3, , $J$3, $K$3)),"")</f>
        <v/>
      </c>
      <c r="TY9" s="93" t="str">
        <f>IFERROR(IF(OR($B9="",TY$3=""),"",_xll.ciqfunctions.udf.CIQ($B9,"IQ_TOTAL_REVENUE",TY$3,$I$3, $N$3, , $J$3, $K$3)*1000000/_xll.ciqfunctions.udf.CIQ($B9,"IQ_EMPLOYEES",TY$3,$I$3, $N$3, , $J$3, $K$3)),"")</f>
        <v/>
      </c>
      <c r="TZ9" s="93" t="str">
        <f>IFERROR(IF(OR($B9="",TZ$3=""),"",_xll.ciqfunctions.udf.CIQ($B9,"IQ_TOTAL_REVENUE",TZ$3,$I$3, $N$3, , $J$3, $K$3)*1000000/_xll.ciqfunctions.udf.CIQ($B9,"IQ_EMPLOYEES",TZ$3,$I$3, $N$3, , $J$3, $K$3)),"")</f>
        <v/>
      </c>
      <c r="UA9" s="93" t="str">
        <f>IFERROR(IF(OR($B9="",UA$3=""),"",_xll.ciqfunctions.udf.CIQ($B9,"IQ_TOTAL_REVENUE",UA$3,$I$3, $N$3, , $J$3, $K$3)*1000000/_xll.ciqfunctions.udf.CIQ($B9,"IQ_EMPLOYEES",UA$3,$I$3, $N$3, , $J$3, $K$3)),"")</f>
        <v/>
      </c>
      <c r="UB9" s="93" t="str">
        <f>IFERROR(IF(OR($B9="",UB$3=""),"",_xll.ciqfunctions.udf.CIQ($B9,"IQ_TOTAL_REVENUE",UB$3,$I$3, $N$3, , $J$3, $K$3)*1000000/_xll.ciqfunctions.udf.CIQ($B9,"IQ_EMPLOYEES",UB$3,$I$3, $N$3, , $J$3, $K$3)),"")</f>
        <v/>
      </c>
      <c r="UC9" s="93" t="str">
        <f>IFERROR(IF(OR($B9="",UC$3=""),"",_xll.ciqfunctions.udf.CIQ($B9,"IQ_TOTAL_REVENUE",UC$3,$I$3, $N$3, , $J$3, $K$3)*1000000/_xll.ciqfunctions.udf.CIQ($B9,"IQ_EMPLOYEES",UC$3,$I$3, $N$3, , $J$3, $K$3)),"")</f>
        <v/>
      </c>
      <c r="UD9" s="93" t="str">
        <f>IFERROR(IF(OR($B9="",UD$3=""),"",_xll.ciqfunctions.udf.CIQ($B9,"IQ_TOTAL_REVENUE",UD$3,$I$3, $N$3, , $J$3, $K$3)*1000000/_xll.ciqfunctions.udf.CIQ($B9,"IQ_EMPLOYEES",UD$3,$I$3, $N$3, , $J$3, $K$3)),"")</f>
        <v/>
      </c>
      <c r="UE9" s="93" t="str">
        <f>IFERROR(IF(OR($B9="",UE$3=""),"",_xll.ciqfunctions.udf.CIQ($B9,"IQ_TOTAL_REVENUE",UE$3,$I$3, $N$3, , $J$3, $K$3)*1000000/_xll.ciqfunctions.udf.CIQ($B9,"IQ_EMPLOYEES",UE$3,$I$3, $N$3, , $J$3, $K$3)),"")</f>
        <v/>
      </c>
      <c r="UF9" s="94" t="str">
        <f>IFERROR(IF(OR($B9="",UF$3=""),"",_xll.ciqfunctions.udf.CIQ($B9,"IQ_TOTAL_REVENUE",UF$3,$I$3, $N$3, , $J$3, $K$3)*1000000/_xll.ciqfunctions.udf.CIQ($B9,"IQ_EMPLOYEES",UF$3,$I$3, $N$3, , $J$3, $K$3)),"")</f>
        <v/>
      </c>
      <c r="UG9" s="92" t="str">
        <f>IFERROR(IF(OR($B9="",UG$3=""),"",(_xll.ciqfunctions.udf.CIQ($B9,"IQ_TOTAL_REVENUE",UG$3,$I$3, $N$3, , $J$3, $K$3)-_xll.ciqfunctions.udf.CIQ($B9,"IQ_COGS",UG$3,$I$3, $N$3, , $J$3, $K$3)-_xll.ciqfunctions.udf.CIQ($B9,"IQ_EBIT",UG$3,$I$3, $N$3, , $J$3, $K$3))*1000000/_xll.ciqfunctions.udf.CIQ($B9,"IQ_EMPLOYEES",UG$3,$I$3, $N$3, , $J$3, $K$3)),"")</f>
        <v/>
      </c>
      <c r="UH9" s="93" t="str">
        <f>IFERROR(IF(OR($B9="",UH$3=""),"",(_xll.ciqfunctions.udf.CIQ($B9,"IQ_TOTAL_REVENUE",UH$3,$I$3, $N$3, , $J$3, $K$3)-_xll.ciqfunctions.udf.CIQ($B9,"IQ_COGS",UH$3,$I$3, $N$3, , $J$3, $K$3)-_xll.ciqfunctions.udf.CIQ($B9,"IQ_EBIT",UH$3,$I$3, $N$3, , $J$3, $K$3))*1000000/_xll.ciqfunctions.udf.CIQ($B9,"IQ_EMPLOYEES",UH$3,$I$3, $N$3, , $J$3, $K$3)),"")</f>
        <v/>
      </c>
      <c r="UI9" s="93" t="str">
        <f>IFERROR(IF(OR($B9="",UI$3=""),"",(_xll.ciqfunctions.udf.CIQ($B9,"IQ_TOTAL_REVENUE",UI$3,$I$3, $N$3, , $J$3, $K$3)-_xll.ciqfunctions.udf.CIQ($B9,"IQ_COGS",UI$3,$I$3, $N$3, , $J$3, $K$3)-_xll.ciqfunctions.udf.CIQ($B9,"IQ_EBIT",UI$3,$I$3, $N$3, , $J$3, $K$3))*1000000/_xll.ciqfunctions.udf.CIQ($B9,"IQ_EMPLOYEES",UI$3,$I$3, $N$3, , $J$3, $K$3)),"")</f>
        <v/>
      </c>
      <c r="UJ9" s="93" t="str">
        <f>IFERROR(IF(OR($B9="",UJ$3=""),"",(_xll.ciqfunctions.udf.CIQ($B9,"IQ_TOTAL_REVENUE",UJ$3,$I$3, $N$3, , $J$3, $K$3)-_xll.ciqfunctions.udf.CIQ($B9,"IQ_COGS",UJ$3,$I$3, $N$3, , $J$3, $K$3)-_xll.ciqfunctions.udf.CIQ($B9,"IQ_EBIT",UJ$3,$I$3, $N$3, , $J$3, $K$3))*1000000/_xll.ciqfunctions.udf.CIQ($B9,"IQ_EMPLOYEES",UJ$3,$I$3, $N$3, , $J$3, $K$3)),"")</f>
        <v/>
      </c>
      <c r="UK9" s="93" t="str">
        <f>IFERROR(IF(OR($B9="",UK$3=""),"",(_xll.ciqfunctions.udf.CIQ($B9,"IQ_TOTAL_REVENUE",UK$3,$I$3, $N$3, , $J$3, $K$3)-_xll.ciqfunctions.udf.CIQ($B9,"IQ_COGS",UK$3,$I$3, $N$3, , $J$3, $K$3)-_xll.ciqfunctions.udf.CIQ($B9,"IQ_EBIT",UK$3,$I$3, $N$3, , $J$3, $K$3))*1000000/_xll.ciqfunctions.udf.CIQ($B9,"IQ_EMPLOYEES",UK$3,$I$3, $N$3, , $J$3, $K$3)),"")</f>
        <v/>
      </c>
      <c r="UL9" s="93" t="str">
        <f>IFERROR(IF(OR($B9="",UL$3=""),"",(_xll.ciqfunctions.udf.CIQ($B9,"IQ_TOTAL_REVENUE",UL$3,$I$3, $N$3, , $J$3, $K$3)-_xll.ciqfunctions.udf.CIQ($B9,"IQ_COGS",UL$3,$I$3, $N$3, , $J$3, $K$3)-_xll.ciqfunctions.udf.CIQ($B9,"IQ_EBIT",UL$3,$I$3, $N$3, , $J$3, $K$3))*1000000/_xll.ciqfunctions.udf.CIQ($B9,"IQ_EMPLOYEES",UL$3,$I$3, $N$3, , $J$3, $K$3)),"")</f>
        <v/>
      </c>
      <c r="UM9" s="93" t="str">
        <f>IFERROR(IF(OR($B9="",UM$3=""),"",(_xll.ciqfunctions.udf.CIQ($B9,"IQ_TOTAL_REVENUE",UM$3,$I$3, $N$3, , $J$3, $K$3)-_xll.ciqfunctions.udf.CIQ($B9,"IQ_COGS",UM$3,$I$3, $N$3, , $J$3, $K$3)-_xll.ciqfunctions.udf.CIQ($B9,"IQ_EBIT",UM$3,$I$3, $N$3, , $J$3, $K$3))*1000000/_xll.ciqfunctions.udf.CIQ($B9,"IQ_EMPLOYEES",UM$3,$I$3, $N$3, , $J$3, $K$3)),"")</f>
        <v/>
      </c>
      <c r="UN9" s="93" t="str">
        <f>IFERROR(IF(OR($B9="",UN$3=""),"",(_xll.ciqfunctions.udf.CIQ($B9,"IQ_TOTAL_REVENUE",UN$3,$I$3, $N$3, , $J$3, $K$3)-_xll.ciqfunctions.udf.CIQ($B9,"IQ_COGS",UN$3,$I$3, $N$3, , $J$3, $K$3)-_xll.ciqfunctions.udf.CIQ($B9,"IQ_EBIT",UN$3,$I$3, $N$3, , $J$3, $K$3))*1000000/_xll.ciqfunctions.udf.CIQ($B9,"IQ_EMPLOYEES",UN$3,$I$3, $N$3, , $J$3, $K$3)),"")</f>
        <v/>
      </c>
      <c r="UO9" s="93" t="str">
        <f>IFERROR(IF(OR($B9="",UO$3=""),"",(_xll.ciqfunctions.udf.CIQ($B9,"IQ_TOTAL_REVENUE",UO$3,$I$3, $N$3, , $J$3, $K$3)-_xll.ciqfunctions.udf.CIQ($B9,"IQ_COGS",UO$3,$I$3, $N$3, , $J$3, $K$3)-_xll.ciqfunctions.udf.CIQ($B9,"IQ_EBIT",UO$3,$I$3, $N$3, , $J$3, $K$3))*1000000/_xll.ciqfunctions.udf.CIQ($B9,"IQ_EMPLOYEES",UO$3,$I$3, $N$3, , $J$3, $K$3)),"")</f>
        <v/>
      </c>
      <c r="UP9" s="93" t="str">
        <f>IFERROR(IF(OR($B9="",UP$3=""),"",(_xll.ciqfunctions.udf.CIQ($B9,"IQ_TOTAL_REVENUE",UP$3,$I$3, $N$3, , $J$3, $K$3)-_xll.ciqfunctions.udf.CIQ($B9,"IQ_COGS",UP$3,$I$3, $N$3, , $J$3, $K$3)-_xll.ciqfunctions.udf.CIQ($B9,"IQ_EBIT",UP$3,$I$3, $N$3, , $J$3, $K$3))*1000000/_xll.ciqfunctions.udf.CIQ($B9,"IQ_EMPLOYEES",UP$3,$I$3, $N$3, , $J$3, $K$3)),"")</f>
        <v/>
      </c>
      <c r="UQ9" s="93" t="str">
        <f>IFERROR(IF(OR($B9="",UQ$3=""),"",(_xll.ciqfunctions.udf.CIQ($B9,"IQ_TOTAL_REVENUE",UQ$3,$I$3, $N$3, , $J$3, $K$3)-_xll.ciqfunctions.udf.CIQ($B9,"IQ_COGS",UQ$3,$I$3, $N$3, , $J$3, $K$3)-_xll.ciqfunctions.udf.CIQ($B9,"IQ_EBIT",UQ$3,$I$3, $N$3, , $J$3, $K$3))*1000000/_xll.ciqfunctions.udf.CIQ($B9,"IQ_EMPLOYEES",UQ$3,$I$3, $N$3, , $J$3, $K$3)),"")</f>
        <v/>
      </c>
      <c r="UR9" s="93" t="str">
        <f>IFERROR(IF(OR($B9="",UR$3=""),"",(_xll.ciqfunctions.udf.CIQ($B9,"IQ_TOTAL_REVENUE",UR$3,$I$3, $N$3, , $J$3, $K$3)-_xll.ciqfunctions.udf.CIQ($B9,"IQ_COGS",UR$3,$I$3, $N$3, , $J$3, $K$3)-_xll.ciqfunctions.udf.CIQ($B9,"IQ_EBIT",UR$3,$I$3, $N$3, , $J$3, $K$3))*1000000/_xll.ciqfunctions.udf.CIQ($B9,"IQ_EMPLOYEES",UR$3,$I$3, $N$3, , $J$3, $K$3)),"")</f>
        <v/>
      </c>
      <c r="US9" s="93" t="str">
        <f>IFERROR(IF(OR($B9="",US$3=""),"",(_xll.ciqfunctions.udf.CIQ($B9,"IQ_TOTAL_REVENUE",US$3,$I$3, $N$3, , $J$3, $K$3)-_xll.ciqfunctions.udf.CIQ($B9,"IQ_COGS",US$3,$I$3, $N$3, , $J$3, $K$3)-_xll.ciqfunctions.udf.CIQ($B9,"IQ_EBIT",US$3,$I$3, $N$3, , $J$3, $K$3))*1000000/_xll.ciqfunctions.udf.CIQ($B9,"IQ_EMPLOYEES",US$3,$I$3, $N$3, , $J$3, $K$3)),"")</f>
        <v/>
      </c>
      <c r="UT9" s="93" t="str">
        <f>IFERROR(IF(OR($B9="",UT$3=""),"",(_xll.ciqfunctions.udf.CIQ($B9,"IQ_TOTAL_REVENUE",UT$3,$I$3, $N$3, , $J$3, $K$3)-_xll.ciqfunctions.udf.CIQ($B9,"IQ_COGS",UT$3,$I$3, $N$3, , $J$3, $K$3)-_xll.ciqfunctions.udf.CIQ($B9,"IQ_EBIT",UT$3,$I$3, $N$3, , $J$3, $K$3))*1000000/_xll.ciqfunctions.udf.CIQ($B9,"IQ_EMPLOYEES",UT$3,$I$3, $N$3, , $J$3, $K$3)),"")</f>
        <v/>
      </c>
      <c r="UU9" s="93" t="str">
        <f>IFERROR(IF(OR($B9="",UU$3=""),"",(_xll.ciqfunctions.udf.CIQ($B9,"IQ_TOTAL_REVENUE",UU$3,$I$3, $N$3, , $J$3, $K$3)-_xll.ciqfunctions.udf.CIQ($B9,"IQ_COGS",UU$3,$I$3, $N$3, , $J$3, $K$3)-_xll.ciqfunctions.udf.CIQ($B9,"IQ_EBIT",UU$3,$I$3, $N$3, , $J$3, $K$3))*1000000/_xll.ciqfunctions.udf.CIQ($B9,"IQ_EMPLOYEES",UU$3,$I$3, $N$3, , $J$3, $K$3)),"")</f>
        <v/>
      </c>
      <c r="UV9" s="93" t="str">
        <f>IFERROR(IF(OR($B9="",UV$3=""),"",(_xll.ciqfunctions.udf.CIQ($B9,"IQ_TOTAL_REVENUE",UV$3,$I$3, $N$3, , $J$3, $K$3)-_xll.ciqfunctions.udf.CIQ($B9,"IQ_COGS",UV$3,$I$3, $N$3, , $J$3, $K$3)-_xll.ciqfunctions.udf.CIQ($B9,"IQ_EBIT",UV$3,$I$3, $N$3, , $J$3, $K$3))*1000000/_xll.ciqfunctions.udf.CIQ($B9,"IQ_EMPLOYEES",UV$3,$I$3, $N$3, , $J$3, $K$3)),"")</f>
        <v/>
      </c>
      <c r="UW9" s="93" t="str">
        <f>IFERROR(IF(OR($B9="",UW$3=""),"",(_xll.ciqfunctions.udf.CIQ($B9,"IQ_TOTAL_REVENUE",UW$3,$I$3, $N$3, , $J$3, $K$3)-_xll.ciqfunctions.udf.CIQ($B9,"IQ_COGS",UW$3,$I$3, $N$3, , $J$3, $K$3)-_xll.ciqfunctions.udf.CIQ($B9,"IQ_EBIT",UW$3,$I$3, $N$3, , $J$3, $K$3))*1000000/_xll.ciqfunctions.udf.CIQ($B9,"IQ_EMPLOYEES",UW$3,$I$3, $N$3, , $J$3, $K$3)),"")</f>
        <v/>
      </c>
      <c r="UX9" s="93" t="str">
        <f>IFERROR(IF(OR($B9="",UX$3=""),"",(_xll.ciqfunctions.udf.CIQ($B9,"IQ_TOTAL_REVENUE",UX$3,$I$3, $N$3, , $J$3, $K$3)-_xll.ciqfunctions.udf.CIQ($B9,"IQ_COGS",UX$3,$I$3, $N$3, , $J$3, $K$3)-_xll.ciqfunctions.udf.CIQ($B9,"IQ_EBIT",UX$3,$I$3, $N$3, , $J$3, $K$3))*1000000/_xll.ciqfunctions.udf.CIQ($B9,"IQ_EMPLOYEES",UX$3,$I$3, $N$3, , $J$3, $K$3)),"")</f>
        <v/>
      </c>
      <c r="UY9" s="93" t="str">
        <f>IFERROR(IF(OR($B9="",UY$3=""),"",(_xll.ciqfunctions.udf.CIQ($B9,"IQ_TOTAL_REVENUE",UY$3,$I$3, $N$3, , $J$3, $K$3)-_xll.ciqfunctions.udf.CIQ($B9,"IQ_COGS",UY$3,$I$3, $N$3, , $J$3, $K$3)-_xll.ciqfunctions.udf.CIQ($B9,"IQ_EBIT",UY$3,$I$3, $N$3, , $J$3, $K$3))*1000000/_xll.ciqfunctions.udf.CIQ($B9,"IQ_EMPLOYEES",UY$3,$I$3, $N$3, , $J$3, $K$3)),"")</f>
        <v/>
      </c>
      <c r="UZ9" s="94" t="str">
        <f>IFERROR(IF(OR($B9="",UZ$3=""),"",(_xll.ciqfunctions.udf.CIQ($B9,"IQ_TOTAL_REVENUE",UZ$3,$I$3, $N$3, , $J$3, $K$3)-_xll.ciqfunctions.udf.CIQ($B9,"IQ_COGS",UZ$3,$I$3, $N$3, , $J$3, $K$3)-_xll.ciqfunctions.udf.CIQ($B9,"IQ_EBIT",UZ$3,$I$3, $N$3, , $J$3, $K$3))*1000000/_xll.ciqfunctions.udf.CIQ($B9,"IQ_EMPLOYEES",UZ$3,$I$3, $N$3, , $J$3, $K$3)),"")</f>
        <v/>
      </c>
      <c r="VA9" s="92" t="str">
        <f>IFERROR(IF(OR($B9="",VA$3=""),"",_xll.ciqfunctions.udf.CIQ($B9,"IQ_SGA_SUPPL",VA$3,$I$3, $N$3, , $J$3, $K$3)*1000000/_xll.ciqfunctions.udf.CIQ($B9,"IQ_EMPLOYEES",VA$3,$I$3, $N$3, , $J$3, $K$3)),"")</f>
        <v/>
      </c>
      <c r="VB9" s="93" t="str">
        <f>IFERROR(IF(OR($B9="",VB$3=""),"",_xll.ciqfunctions.udf.CIQ($B9,"IQ_SGA_SUPPL",VB$3,$I$3, $N$3, , $J$3, $K$3)*1000000/_xll.ciqfunctions.udf.CIQ($B9,"IQ_EMPLOYEES",VB$3,$I$3, $N$3, , $J$3, $K$3)),"")</f>
        <v/>
      </c>
      <c r="VC9" s="93" t="str">
        <f>IFERROR(IF(OR($B9="",VC$3=""),"",_xll.ciqfunctions.udf.CIQ($B9,"IQ_SGA_SUPPL",VC$3,$I$3, $N$3, , $J$3, $K$3)*1000000/_xll.ciqfunctions.udf.CIQ($B9,"IQ_EMPLOYEES",VC$3,$I$3, $N$3, , $J$3, $K$3)),"")</f>
        <v/>
      </c>
      <c r="VD9" s="93" t="str">
        <f>IFERROR(IF(OR($B9="",VD$3=""),"",_xll.ciqfunctions.udf.CIQ($B9,"IQ_SGA_SUPPL",VD$3,$I$3, $N$3, , $J$3, $K$3)*1000000/_xll.ciqfunctions.udf.CIQ($B9,"IQ_EMPLOYEES",VD$3,$I$3, $N$3, , $J$3, $K$3)),"")</f>
        <v/>
      </c>
      <c r="VE9" s="93" t="str">
        <f>IFERROR(IF(OR($B9="",VE$3=""),"",_xll.ciqfunctions.udf.CIQ($B9,"IQ_SGA_SUPPL",VE$3,$I$3, $N$3, , $J$3, $K$3)*1000000/_xll.ciqfunctions.udf.CIQ($B9,"IQ_EMPLOYEES",VE$3,$I$3, $N$3, , $J$3, $K$3)),"")</f>
        <v/>
      </c>
      <c r="VF9" s="93" t="str">
        <f>IFERROR(IF(OR($B9="",VF$3=""),"",_xll.ciqfunctions.udf.CIQ($B9,"IQ_SGA_SUPPL",VF$3,$I$3, $N$3, , $J$3, $K$3)*1000000/_xll.ciqfunctions.udf.CIQ($B9,"IQ_EMPLOYEES",VF$3,$I$3, $N$3, , $J$3, $K$3)),"")</f>
        <v/>
      </c>
      <c r="VG9" s="93" t="str">
        <f>IFERROR(IF(OR($B9="",VG$3=""),"",_xll.ciqfunctions.udf.CIQ($B9,"IQ_SGA_SUPPL",VG$3,$I$3, $N$3, , $J$3, $K$3)*1000000/_xll.ciqfunctions.udf.CIQ($B9,"IQ_EMPLOYEES",VG$3,$I$3, $N$3, , $J$3, $K$3)),"")</f>
        <v/>
      </c>
      <c r="VH9" s="93" t="str">
        <f>IFERROR(IF(OR($B9="",VH$3=""),"",_xll.ciqfunctions.udf.CIQ($B9,"IQ_SGA_SUPPL",VH$3,$I$3, $N$3, , $J$3, $K$3)*1000000/_xll.ciqfunctions.udf.CIQ($B9,"IQ_EMPLOYEES",VH$3,$I$3, $N$3, , $J$3, $K$3)),"")</f>
        <v/>
      </c>
      <c r="VI9" s="93" t="str">
        <f>IFERROR(IF(OR($B9="",VI$3=""),"",_xll.ciqfunctions.udf.CIQ($B9,"IQ_SGA_SUPPL",VI$3,$I$3, $N$3, , $J$3, $K$3)*1000000/_xll.ciqfunctions.udf.CIQ($B9,"IQ_EMPLOYEES",VI$3,$I$3, $N$3, , $J$3, $K$3)),"")</f>
        <v/>
      </c>
      <c r="VJ9" s="93" t="str">
        <f>IFERROR(IF(OR($B9="",VJ$3=""),"",_xll.ciqfunctions.udf.CIQ($B9,"IQ_SGA_SUPPL",VJ$3,$I$3, $N$3, , $J$3, $K$3)*1000000/_xll.ciqfunctions.udf.CIQ($B9,"IQ_EMPLOYEES",VJ$3,$I$3, $N$3, , $J$3, $K$3)),"")</f>
        <v/>
      </c>
      <c r="VK9" s="93" t="str">
        <f>IFERROR(IF(OR($B9="",VK$3=""),"",_xll.ciqfunctions.udf.CIQ($B9,"IQ_SGA_SUPPL",VK$3,$I$3, $N$3, , $J$3, $K$3)*1000000/_xll.ciqfunctions.udf.CIQ($B9,"IQ_EMPLOYEES",VK$3,$I$3, $N$3, , $J$3, $K$3)),"")</f>
        <v/>
      </c>
      <c r="VL9" s="93" t="str">
        <f>IFERROR(IF(OR($B9="",VL$3=""),"",_xll.ciqfunctions.udf.CIQ($B9,"IQ_SGA_SUPPL",VL$3,$I$3, $N$3, , $J$3, $K$3)*1000000/_xll.ciqfunctions.udf.CIQ($B9,"IQ_EMPLOYEES",VL$3,$I$3, $N$3, , $J$3, $K$3)),"")</f>
        <v/>
      </c>
      <c r="VM9" s="93" t="str">
        <f>IFERROR(IF(OR($B9="",VM$3=""),"",_xll.ciqfunctions.udf.CIQ($B9,"IQ_SGA_SUPPL",VM$3,$I$3, $N$3, , $J$3, $K$3)*1000000/_xll.ciqfunctions.udf.CIQ($B9,"IQ_EMPLOYEES",VM$3,$I$3, $N$3, , $J$3, $K$3)),"")</f>
        <v/>
      </c>
      <c r="VN9" s="93" t="str">
        <f>IFERROR(IF(OR($B9="",VN$3=""),"",_xll.ciqfunctions.udf.CIQ($B9,"IQ_SGA_SUPPL",VN$3,$I$3, $N$3, , $J$3, $K$3)*1000000/_xll.ciqfunctions.udf.CIQ($B9,"IQ_EMPLOYEES",VN$3,$I$3, $N$3, , $J$3, $K$3)),"")</f>
        <v/>
      </c>
      <c r="VO9" s="93" t="str">
        <f>IFERROR(IF(OR($B9="",VO$3=""),"",_xll.ciqfunctions.udf.CIQ($B9,"IQ_SGA_SUPPL",VO$3,$I$3, $N$3, , $J$3, $K$3)*1000000/_xll.ciqfunctions.udf.CIQ($B9,"IQ_EMPLOYEES",VO$3,$I$3, $N$3, , $J$3, $K$3)),"")</f>
        <v/>
      </c>
      <c r="VP9" s="93" t="str">
        <f>IFERROR(IF(OR($B9="",VP$3=""),"",_xll.ciqfunctions.udf.CIQ($B9,"IQ_SGA_SUPPL",VP$3,$I$3, $N$3, , $J$3, $K$3)*1000000/_xll.ciqfunctions.udf.CIQ($B9,"IQ_EMPLOYEES",VP$3,$I$3, $N$3, , $J$3, $K$3)),"")</f>
        <v/>
      </c>
      <c r="VQ9" s="93" t="str">
        <f>IFERROR(IF(OR($B9="",VQ$3=""),"",_xll.ciqfunctions.udf.CIQ($B9,"IQ_SGA_SUPPL",VQ$3,$I$3, $N$3, , $J$3, $K$3)*1000000/_xll.ciqfunctions.udf.CIQ($B9,"IQ_EMPLOYEES",VQ$3,$I$3, $N$3, , $J$3, $K$3)),"")</f>
        <v/>
      </c>
      <c r="VR9" s="93" t="str">
        <f>IFERROR(IF(OR($B9="",VR$3=""),"",_xll.ciqfunctions.udf.CIQ($B9,"IQ_SGA_SUPPL",VR$3,$I$3, $N$3, , $J$3, $K$3)*1000000/_xll.ciqfunctions.udf.CIQ($B9,"IQ_EMPLOYEES",VR$3,$I$3, $N$3, , $J$3, $K$3)),"")</f>
        <v/>
      </c>
      <c r="VS9" s="93" t="str">
        <f>IFERROR(IF(OR($B9="",VS$3=""),"",_xll.ciqfunctions.udf.CIQ($B9,"IQ_SGA_SUPPL",VS$3,$I$3, $N$3, , $J$3, $K$3)*1000000/_xll.ciqfunctions.udf.CIQ($B9,"IQ_EMPLOYEES",VS$3,$I$3, $N$3, , $J$3, $K$3)),"")</f>
        <v/>
      </c>
      <c r="VT9" s="94" t="str">
        <f>IFERROR(IF(OR($B9="",VT$3=""),"",_xll.ciqfunctions.udf.CIQ($B9,"IQ_SGA_SUPPL",VT$3,$I$3, $N$3, , $J$3, $K$3)*1000000/_xll.ciqfunctions.udf.CIQ($B9,"IQ_EMPLOYEES",VT$3,$I$3, $N$3, , $J$3, $K$3)),"")</f>
        <v/>
      </c>
      <c r="VU9" s="92" t="str">
        <f>IFERROR(IF(OR($B9="",VU$3=""),"",_xll.ciqfunctions.udf.CIQ($B9,"IQ_RD_EXP",VU$3,$I$3, $N$3, , $J$3, $K$3)*1000000/_xll.ciqfunctions.udf.CIQ($B9,"IQ_EMPLOYEES",VU$3,$I$3, $N$3, , $J$3, $K$3)),"")</f>
        <v/>
      </c>
      <c r="VV9" s="93" t="str">
        <f>IFERROR(IF(OR($B9="",VV$3=""),"",_xll.ciqfunctions.udf.CIQ($B9,"IQ_RD_EXP",VV$3,$I$3, $N$3, , $J$3, $K$3)*1000000/_xll.ciqfunctions.udf.CIQ($B9,"IQ_EMPLOYEES",VV$3,$I$3, $N$3, , $J$3, $K$3)),"")</f>
        <v/>
      </c>
      <c r="VW9" s="93" t="str">
        <f>IFERROR(IF(OR($B9="",VW$3=""),"",_xll.ciqfunctions.udf.CIQ($B9,"IQ_RD_EXP",VW$3,$I$3, $N$3, , $J$3, $K$3)*1000000/_xll.ciqfunctions.udf.CIQ($B9,"IQ_EMPLOYEES",VW$3,$I$3, $N$3, , $J$3, $K$3)),"")</f>
        <v/>
      </c>
      <c r="VX9" s="93" t="str">
        <f>IFERROR(IF(OR($B9="",VX$3=""),"",_xll.ciqfunctions.udf.CIQ($B9,"IQ_RD_EXP",VX$3,$I$3, $N$3, , $J$3, $K$3)*1000000/_xll.ciqfunctions.udf.CIQ($B9,"IQ_EMPLOYEES",VX$3,$I$3, $N$3, , $J$3, $K$3)),"")</f>
        <v/>
      </c>
      <c r="VY9" s="93" t="str">
        <f>IFERROR(IF(OR($B9="",VY$3=""),"",_xll.ciqfunctions.udf.CIQ($B9,"IQ_RD_EXP",VY$3,$I$3, $N$3, , $J$3, $K$3)*1000000/_xll.ciqfunctions.udf.CIQ($B9,"IQ_EMPLOYEES",VY$3,$I$3, $N$3, , $J$3, $K$3)),"")</f>
        <v/>
      </c>
      <c r="VZ9" s="93" t="str">
        <f>IFERROR(IF(OR($B9="",VZ$3=""),"",_xll.ciqfunctions.udf.CIQ($B9,"IQ_RD_EXP",VZ$3,$I$3, $N$3, , $J$3, $K$3)*1000000/_xll.ciqfunctions.udf.CIQ($B9,"IQ_EMPLOYEES",VZ$3,$I$3, $N$3, , $J$3, $K$3)),"")</f>
        <v/>
      </c>
      <c r="WA9" s="93" t="str">
        <f>IFERROR(IF(OR($B9="",WA$3=""),"",_xll.ciqfunctions.udf.CIQ($B9,"IQ_RD_EXP",WA$3,$I$3, $N$3, , $J$3, $K$3)*1000000/_xll.ciqfunctions.udf.CIQ($B9,"IQ_EMPLOYEES",WA$3,$I$3, $N$3, , $J$3, $K$3)),"")</f>
        <v/>
      </c>
      <c r="WB9" s="93" t="str">
        <f>IFERROR(IF(OR($B9="",WB$3=""),"",_xll.ciqfunctions.udf.CIQ($B9,"IQ_RD_EXP",WB$3,$I$3, $N$3, , $J$3, $K$3)*1000000/_xll.ciqfunctions.udf.CIQ($B9,"IQ_EMPLOYEES",WB$3,$I$3, $N$3, , $J$3, $K$3)),"")</f>
        <v/>
      </c>
      <c r="WC9" s="93" t="str">
        <f>IFERROR(IF(OR($B9="",WC$3=""),"",_xll.ciqfunctions.udf.CIQ($B9,"IQ_RD_EXP",WC$3,$I$3, $N$3, , $J$3, $K$3)*1000000/_xll.ciqfunctions.udf.CIQ($B9,"IQ_EMPLOYEES",WC$3,$I$3, $N$3, , $J$3, $K$3)),"")</f>
        <v/>
      </c>
      <c r="WD9" s="93" t="str">
        <f>IFERROR(IF(OR($B9="",WD$3=""),"",_xll.ciqfunctions.udf.CIQ($B9,"IQ_RD_EXP",WD$3,$I$3, $N$3, , $J$3, $K$3)*1000000/_xll.ciqfunctions.udf.CIQ($B9,"IQ_EMPLOYEES",WD$3,$I$3, $N$3, , $J$3, $K$3)),"")</f>
        <v/>
      </c>
      <c r="WE9" s="93" t="str">
        <f>IFERROR(IF(OR($B9="",WE$3=""),"",_xll.ciqfunctions.udf.CIQ($B9,"IQ_RD_EXP",WE$3,$I$3, $N$3, , $J$3, $K$3)*1000000/_xll.ciqfunctions.udf.CIQ($B9,"IQ_EMPLOYEES",WE$3,$I$3, $N$3, , $J$3, $K$3)),"")</f>
        <v/>
      </c>
      <c r="WF9" s="93" t="str">
        <f>IFERROR(IF(OR($B9="",WF$3=""),"",_xll.ciqfunctions.udf.CIQ($B9,"IQ_RD_EXP",WF$3,$I$3, $N$3, , $J$3, $K$3)*1000000/_xll.ciqfunctions.udf.CIQ($B9,"IQ_EMPLOYEES",WF$3,$I$3, $N$3, , $J$3, $K$3)),"")</f>
        <v/>
      </c>
      <c r="WG9" s="93" t="str">
        <f>IFERROR(IF(OR($B9="",WG$3=""),"",_xll.ciqfunctions.udf.CIQ($B9,"IQ_RD_EXP",WG$3,$I$3, $N$3, , $J$3, $K$3)*1000000/_xll.ciqfunctions.udf.CIQ($B9,"IQ_EMPLOYEES",WG$3,$I$3, $N$3, , $J$3, $K$3)),"")</f>
        <v/>
      </c>
      <c r="WH9" s="93" t="str">
        <f>IFERROR(IF(OR($B9="",WH$3=""),"",_xll.ciqfunctions.udf.CIQ($B9,"IQ_RD_EXP",WH$3,$I$3, $N$3, , $J$3, $K$3)*1000000/_xll.ciqfunctions.udf.CIQ($B9,"IQ_EMPLOYEES",WH$3,$I$3, $N$3, , $J$3, $K$3)),"")</f>
        <v/>
      </c>
      <c r="WI9" s="93" t="str">
        <f>IFERROR(IF(OR($B9="",WI$3=""),"",_xll.ciqfunctions.udf.CIQ($B9,"IQ_RD_EXP",WI$3,$I$3, $N$3, , $J$3, $K$3)*1000000/_xll.ciqfunctions.udf.CIQ($B9,"IQ_EMPLOYEES",WI$3,$I$3, $N$3, , $J$3, $K$3)),"")</f>
        <v/>
      </c>
      <c r="WJ9" s="93" t="str">
        <f>IFERROR(IF(OR($B9="",WJ$3=""),"",_xll.ciqfunctions.udf.CIQ($B9,"IQ_RD_EXP",WJ$3,$I$3, $N$3, , $J$3, $K$3)*1000000/_xll.ciqfunctions.udf.CIQ($B9,"IQ_EMPLOYEES",WJ$3,$I$3, $N$3, , $J$3, $K$3)),"")</f>
        <v/>
      </c>
      <c r="WK9" s="93" t="str">
        <f>IFERROR(IF(OR($B9="",WK$3=""),"",_xll.ciqfunctions.udf.CIQ($B9,"IQ_RD_EXP",WK$3,$I$3, $N$3, , $J$3, $K$3)*1000000/_xll.ciqfunctions.udf.CIQ($B9,"IQ_EMPLOYEES",WK$3,$I$3, $N$3, , $J$3, $K$3)),"")</f>
        <v/>
      </c>
      <c r="WL9" s="93" t="str">
        <f>IFERROR(IF(OR($B9="",TJ$3=""),"",_xll.ciqfunctions.udf.CIQ($B9,"IQ_RD_EXP",GH$3,,,,"USD")*1000000/_xll.ciqfunctions.udf.CIQ($B9,"IQ_EMPLOYEES",WL$3,,,,"USD")),"")</f>
        <v/>
      </c>
      <c r="WM9" s="93" t="str">
        <f>IFERROR(IF(OR($B9="",TK$3=""),"",_xll.ciqfunctions.udf.CIQ($B9,"IQ_RD_EXP",GI$3,,,,"USD")*1000000/_xll.ciqfunctions.udf.CIQ($B9,"IQ_EMPLOYEES",WM$3,,,,"USD")),"")</f>
        <v/>
      </c>
      <c r="WN9" s="94" t="str">
        <f>IFERROR(IF(OR($B9="",TL$3=""),"",_xll.ciqfunctions.udf.CIQ($B9,"IQ_RD_EXP",GJ$3,,,,"USD")*1000000/_xll.ciqfunctions.udf.CIQ($B9,"IQ_EMPLOYEES",WN$3,,,,"USD")),"")</f>
        <v/>
      </c>
      <c r="WO9" s="620" t="str">
        <f>IFERROR(IF(OR($B9="",WO$4=""),"",_xll.ciqfunctions.udf.CIQ($B9,"IQ_LASTSALEPRICE",WO$4)),"")</f>
        <v/>
      </c>
      <c r="WP9" s="620" t="str">
        <f>IFERROR(IF(OR($B9="",WP$4=""),"",_xll.ciqfunctions.udf.CIQ($B9,"IQ_LASTSALEPRICE",WP$4)),"")</f>
        <v/>
      </c>
      <c r="WQ9" s="620" t="str">
        <f>IFERROR(IF(OR($B9="",WQ$4=""),"",_xll.ciqfunctions.udf.CIQ($B9,"IQ_LASTSALEPRICE",WQ$4)),"")</f>
        <v/>
      </c>
      <c r="WR9" s="620" t="str">
        <f>IFERROR(IF(OR($B9="",WR$4=""),"",_xll.ciqfunctions.udf.CIQ($B9,"IQ_LASTSALEPRICE",WR$4)),"")</f>
        <v/>
      </c>
      <c r="WS9" s="620" t="str">
        <f>IFERROR(IF(OR($B9="",WS$4=""),"",_xll.ciqfunctions.udf.CIQ($B9,"IQ_LASTSALEPRICE",WS$4)),"")</f>
        <v/>
      </c>
      <c r="WT9" s="620" t="str">
        <f>IFERROR(IF(OR($B9="",WT$4=""),"",_xll.ciqfunctions.udf.CIQ($B9,"IQ_LASTSALEPRICE",WT$4)),"")</f>
        <v/>
      </c>
      <c r="WU9" s="620" t="str">
        <f>IFERROR(IF(OR($B9="",WU$4=""),"",_xll.ciqfunctions.udf.CIQ($B9,"IQ_LASTSALEPRICE",WU$4)),"")</f>
        <v/>
      </c>
      <c r="WV9" s="620" t="str">
        <f>IFERROR(IF(OR($B9="",WV$4=""),"",_xll.ciqfunctions.udf.CIQ($B9,"IQ_LASTSALEPRICE",WV$4)),"")</f>
        <v/>
      </c>
      <c r="WW9" s="620" t="str">
        <f>IFERROR(IF(OR($B9="",WW$4=""),"",_xll.ciqfunctions.udf.CIQ($B9,"IQ_LASTSALEPRICE",WW$4)),"")</f>
        <v/>
      </c>
      <c r="WX9" s="620" t="str">
        <f>IFERROR(IF(OR($B9="",WX$4=""),"",_xll.ciqfunctions.udf.CIQ($B9,"IQ_LASTSALEPRICE",WX$4)),"")</f>
        <v/>
      </c>
      <c r="WY9" s="620" t="str">
        <f>IFERROR(IF(OR($B9="",WY$4=""),"",_xll.ciqfunctions.udf.CIQ($B9,"IQ_LASTSALEPRICE",WY$4)),"")</f>
        <v/>
      </c>
      <c r="WZ9" s="620" t="str">
        <f>IFERROR(IF(OR($B9="",WZ$4=""),"",_xll.ciqfunctions.udf.CIQ($B9,"IQ_LASTSALEPRICE",WZ$4)),"")</f>
        <v/>
      </c>
      <c r="XA9" s="620" t="str">
        <f>IFERROR(IF(OR($B9="",XA$4=""),"",_xll.ciqfunctions.udf.CIQ($B9,"IQ_LASTSALEPRICE",XA$4)),"")</f>
        <v/>
      </c>
      <c r="XB9" s="620" t="str">
        <f>IFERROR(IF(OR($B9="",XB$4=""),"",_xll.ciqfunctions.udf.CIQ($B9,"IQ_LASTSALEPRICE",XB$4)),"")</f>
        <v/>
      </c>
      <c r="XC9" s="620" t="str">
        <f>IFERROR(IF(OR($B9="",XC$4=""),"",_xll.ciqfunctions.udf.CIQ($B9,"IQ_LASTSALEPRICE",XC$4)),"")</f>
        <v/>
      </c>
      <c r="XD9" s="620" t="str">
        <f>IFERROR(IF(OR($B9="",XD$4=""),"",_xll.ciqfunctions.udf.CIQ($B9,"IQ_LASTSALEPRICE",XD$4)),"")</f>
        <v/>
      </c>
      <c r="XE9" s="620" t="str">
        <f>IFERROR(IF(OR($B9="",XE$4=""),"",_xll.ciqfunctions.udf.CIQ($B9,"IQ_LASTSALEPRICE",XE$4)),"")</f>
        <v/>
      </c>
      <c r="XF9" s="620" t="str">
        <f>IFERROR(IF(OR($B9="",XF$4=""),"",_xll.ciqfunctions.udf.CIQ($B9,"IQ_LASTSALEPRICE",XF$4)),"")</f>
        <v/>
      </c>
      <c r="XG9" s="620" t="str">
        <f>IFERROR(IF(OR($B9="",XG$4=""),"",_xll.ciqfunctions.udf.CIQ($B9,"IQ_LASTSALEPRICE",XG$4)),"")</f>
        <v/>
      </c>
      <c r="XH9" s="620" t="str">
        <f>IFERROR(IF(OR($B9="",XH$4=""),"",_xll.ciqfunctions.udf.CIQ($B9,"IQ_LASTSALEPRICE",XH$4)),"")</f>
        <v/>
      </c>
      <c r="XI9" s="72" t="str">
        <f>IFERROR(IF(OR($B9="",XI$3=""),"",_xll.ciqfunctions.udf.CIQ($B9,"IQ_TOTAL_REV_1YR_ANN_GROWTH",XI$3,$I$3, $N$3, , $J$3, $K$3)/100),"")</f>
        <v/>
      </c>
      <c r="XJ9" s="72" t="str">
        <f>IFERROR(IF(OR($B9="",XJ$3=""),"",_xll.ciqfunctions.udf.CIQ($B9,"IQ_TOTAL_REV_1YR_ANN_GROWTH",XJ$3,$I$3, $N$3, , $J$3, $K$3)/100),"")</f>
        <v/>
      </c>
      <c r="XK9" s="72" t="str">
        <f>IFERROR(IF(OR($B9="",XK$3=""),"",_xll.ciqfunctions.udf.CIQ($B9,"IQ_TOTAL_REV_1YR_ANN_GROWTH",XK$3,$I$3, $N$3, , $J$3, $K$3)/100),"")</f>
        <v/>
      </c>
      <c r="XL9" s="72" t="str">
        <f>IFERROR(IF(OR($B9="",XL$3=""),"",_xll.ciqfunctions.udf.CIQ($B9,"IQ_TOTAL_REV_1YR_ANN_GROWTH",XL$3,$I$3, $N$3, , $J$3, $K$3)/100),"")</f>
        <v/>
      </c>
      <c r="XM9" s="72" t="str">
        <f>IFERROR(IF(OR($B9="",XM$3=""),"",_xll.ciqfunctions.udf.CIQ($B9,"IQ_TOTAL_REV_1YR_ANN_GROWTH",XM$3,$I$3, $N$3, , $J$3, $K$3)/100),"")</f>
        <v/>
      </c>
      <c r="XN9" s="72" t="str">
        <f>IFERROR(IF(OR($B9="",XN$3=""),"",_xll.ciqfunctions.udf.CIQ($B9,"IQ_TOTAL_REV_1YR_ANN_GROWTH",XN$3,$I$3, $N$3, , $J$3, $K$3)/100),"")</f>
        <v/>
      </c>
      <c r="XO9" s="72" t="str">
        <f>IFERROR(IF(OR($B9="",XO$3=""),"",_xll.ciqfunctions.udf.CIQ($B9,"IQ_TOTAL_REV_1YR_ANN_GROWTH",XO$3,$I$3, $N$3, , $J$3, $K$3)/100),"")</f>
        <v/>
      </c>
      <c r="XP9" s="72" t="str">
        <f>IFERROR(IF(OR($B9="",XP$3=""),"",_xll.ciqfunctions.udf.CIQ($B9,"IQ_TOTAL_REV_1YR_ANN_GROWTH",XP$3,$I$3, $N$3, , $J$3, $K$3)/100),"")</f>
        <v/>
      </c>
      <c r="XQ9" s="72" t="str">
        <f>IFERROR(IF(OR($B9="",XQ$3=""),"",_xll.ciqfunctions.udf.CIQ($B9,"IQ_TOTAL_REV_1YR_ANN_GROWTH",XQ$3,$I$3, $N$3, , $J$3, $K$3)/100),"")</f>
        <v/>
      </c>
      <c r="XR9" s="72" t="str">
        <f>IFERROR(IF(OR($B9="",XR$3=""),"",_xll.ciqfunctions.udf.CIQ($B9,"IQ_TOTAL_REV_1YR_ANN_GROWTH",XR$3,$I$3, $N$3, , $J$3, $K$3)/100),"")</f>
        <v/>
      </c>
      <c r="XS9" s="72" t="str">
        <f>IFERROR(IF(OR($B9="",XS$3=""),"",_xll.ciqfunctions.udf.CIQ($B9,"IQ_TOTAL_REV_1YR_ANN_GROWTH",XS$3,$I$3, $N$3, , $J$3, $K$3)/100),"")</f>
        <v/>
      </c>
      <c r="XT9" s="72" t="str">
        <f>IFERROR(IF(OR($B9="",XT$3=""),"",_xll.ciqfunctions.udf.CIQ($B9,"IQ_TOTAL_REV_1YR_ANN_GROWTH",XT$3,$I$3, $N$3, , $J$3, $K$3)/100),"")</f>
        <v/>
      </c>
      <c r="XU9" s="72" t="str">
        <f>IFERROR(IF(OR($B9="",XU$3=""),"",_xll.ciqfunctions.udf.CIQ($B9,"IQ_TOTAL_REV_1YR_ANN_GROWTH",XU$3,$I$3, $N$3, , $J$3, $K$3)/100),"")</f>
        <v/>
      </c>
      <c r="XV9" s="72" t="str">
        <f>IFERROR(IF(OR($B9="",XV$3=""),"",_xll.ciqfunctions.udf.CIQ($B9,"IQ_TOTAL_REV_1YR_ANN_GROWTH",XV$3,$I$3, $N$3, , $J$3, $K$3)/100),"")</f>
        <v/>
      </c>
      <c r="XW9" s="72" t="str">
        <f>IFERROR(IF(OR($B9="",XW$3=""),"",_xll.ciqfunctions.udf.CIQ($B9,"IQ_TOTAL_REV_1YR_ANN_GROWTH",XW$3,$I$3, $N$3, , $J$3, $K$3)/100),"")</f>
        <v/>
      </c>
      <c r="XX9" s="72" t="str">
        <f>IFERROR(IF(OR($B9="",XX$3=""),"",_xll.ciqfunctions.udf.CIQ($B9,"IQ_TOTAL_REV_1YR_ANN_GROWTH",XX$3,$I$3, $N$3, , $J$3, $K$3)/100),"")</f>
        <v/>
      </c>
      <c r="XY9" s="72" t="str">
        <f>IFERROR(IF(OR($B9="",XY$3=""),"",_xll.ciqfunctions.udf.CIQ($B9,"IQ_TOTAL_REV_1YR_ANN_GROWTH",XY$3,$I$3, $N$3, , $J$3, $K$3)/100),"")</f>
        <v/>
      </c>
      <c r="XZ9" s="72" t="str">
        <f>IFERROR(IF(OR($B9="",XZ$3=""),"",_xll.ciqfunctions.udf.CIQ($B9,"IQ_TOTAL_REV_1YR_ANN_GROWTH",XZ$3,$I$3, $N$3, , $J$3, $K$3)/100),"")</f>
        <v/>
      </c>
      <c r="YA9" s="72" t="str">
        <f>IFERROR(IF(OR($B9="",YA$3=""),"",_xll.ciqfunctions.udf.CIQ($B9,"IQ_TOTAL_REV_1YR_ANN_GROWTH",YA$3,$I$3, $N$3, , $J$3, $K$3)/100),"")</f>
        <v/>
      </c>
      <c r="YB9" s="72" t="str">
        <f>IFERROR(IF(OR($B9="",YB$3=""),"",_xll.ciqfunctions.udf.CIQ($B9,"IQ_TOTAL_REV_1YR_ANN_GROWTH",YB$3,$I$3, $N$3, , $J$3, $K$3)/100),"")</f>
        <v/>
      </c>
      <c r="YC9" s="627" t="str">
        <f>IFERROR(IF(OR($B9="",YC$4=""),"",_xll.ciqfunctions.udf.CIQ($B9,"IQ_TEV",YC$4)),"")</f>
        <v/>
      </c>
      <c r="YD9" s="627" t="str">
        <f>IFERROR(IF(OR($B9="",YD$4=""),"",_xll.ciqfunctions.udf.CIQ($B9,"IQ_TEV",YD$4)),"")</f>
        <v/>
      </c>
      <c r="YE9" s="627" t="str">
        <f>IFERROR(IF(OR($B9="",YE$4=""),"",_xll.ciqfunctions.udf.CIQ($B9,"IQ_TEV",YE$4)),"")</f>
        <v/>
      </c>
      <c r="YF9" s="627" t="str">
        <f>IFERROR(IF(OR($B9="",YF$4=""),"",_xll.ciqfunctions.udf.CIQ($B9,"IQ_TEV",YF$4)),"")</f>
        <v/>
      </c>
      <c r="YG9" s="627" t="str">
        <f>IFERROR(IF(OR($B9="",YG$4=""),"",_xll.ciqfunctions.udf.CIQ($B9,"IQ_TEV",YG$4)),"")</f>
        <v/>
      </c>
      <c r="YH9" s="627" t="str">
        <f>IFERROR(IF(OR($B9="",YH$4=""),"",_xll.ciqfunctions.udf.CIQ($B9,"IQ_TEV",YH$4)),"")</f>
        <v/>
      </c>
      <c r="YI9" s="627" t="str">
        <f>IFERROR(IF(OR($B9="",YI$4=""),"",_xll.ciqfunctions.udf.CIQ($B9,"IQ_TEV",YI$4)),"")</f>
        <v/>
      </c>
      <c r="YJ9" s="627" t="str">
        <f>IFERROR(IF(OR($B9="",YJ$4=""),"",_xll.ciqfunctions.udf.CIQ($B9,"IQ_TEV",YJ$4)),"")</f>
        <v/>
      </c>
      <c r="YK9" s="627" t="str">
        <f>IFERROR(IF(OR($B9="",YK$4=""),"",_xll.ciqfunctions.udf.CIQ($B9,"IQ_TEV",YK$4)),"")</f>
        <v/>
      </c>
      <c r="YL9" s="627" t="str">
        <f>IFERROR(IF(OR($B9="",YL$4=""),"",_xll.ciqfunctions.udf.CIQ($B9,"IQ_TEV",YL$4)),"")</f>
        <v/>
      </c>
      <c r="YM9" s="627" t="str">
        <f>IFERROR(IF(OR($B9="",YM$4=""),"",_xll.ciqfunctions.udf.CIQ($B9,"IQ_TEV",YM$4)),"")</f>
        <v/>
      </c>
      <c r="YN9" s="627" t="str">
        <f>IFERROR(IF(OR($B9="",YN$4=""),"",_xll.ciqfunctions.udf.CIQ($B9,"IQ_TEV",YN$4)),"")</f>
        <v/>
      </c>
      <c r="YO9" s="627" t="str">
        <f>IFERROR(IF(OR($B9="",YO$4=""),"",_xll.ciqfunctions.udf.CIQ($B9,"IQ_TEV",YO$4)),"")</f>
        <v/>
      </c>
      <c r="YP9" s="627" t="str">
        <f>IFERROR(IF(OR($B9="",YP$4=""),"",_xll.ciqfunctions.udf.CIQ($B9,"IQ_TEV",YP$4)),"")</f>
        <v/>
      </c>
      <c r="YQ9" s="627" t="str">
        <f>IFERROR(IF(OR($B9="",YQ$4=""),"",_xll.ciqfunctions.udf.CIQ($B9,"IQ_TEV",YQ$4)),"")</f>
        <v/>
      </c>
      <c r="YR9" s="627" t="str">
        <f>IFERROR(IF(OR($B9="",YR$4=""),"",_xll.ciqfunctions.udf.CIQ($B9,"IQ_TEV",YR$4)),"")</f>
        <v/>
      </c>
      <c r="YS9" s="627" t="str">
        <f>IFERROR(IF(OR($B9="",YS$4=""),"",_xll.ciqfunctions.udf.CIQ($B9,"IQ_TEV",YS$4)),"")</f>
        <v/>
      </c>
      <c r="YT9" s="627" t="str">
        <f>IFERROR(IF(OR($B9="",YT$4=""),"",_xll.ciqfunctions.udf.CIQ($B9,"IQ_TEV",YT$4)),"")</f>
        <v/>
      </c>
      <c r="YU9" s="627" t="str">
        <f>IFERROR(IF(OR($B9="",YU$4=""),"",_xll.ciqfunctions.udf.CIQ($B9,"IQ_TEV",YU$4)),"")</f>
        <v/>
      </c>
      <c r="YV9" s="627" t="str">
        <f>IFERROR(IF(OR($B9="",YV$4=""),"",_xll.ciqfunctions.udf.CIQ($B9,"IQ_TEV",YV$4)),"")</f>
        <v/>
      </c>
      <c r="YW9" s="72" t="str">
        <f>IFERROR(IF(OR($B9="",YW$3=""),"",(_xll.ciqfunctions.udf.CIQ($B9,"IQ_LASTSALEPRICE",YW$4)/_xll.ciqfunctions.udf.CIQ($B9,"IQ_LASTSALEPRICE",YW$2)-1)+(_xll.ciqfunctions.udf.CIQ($B9, "IQ_DPS_1YR_ANN_GROWTH", "IQ_LTM", YW$4)/100)),"")</f>
        <v/>
      </c>
      <c r="YX9" s="72" t="str">
        <f>IFERROR(IF(OR($B9="",YX$3=""),"",(_xll.ciqfunctions.udf.CIQ($B9,"IQ_LASTSALEPRICE",YX$4)/_xll.ciqfunctions.udf.CIQ($B9,"IQ_LASTSALEPRICE",YX$2)-1)+(_xll.ciqfunctions.udf.CIQ($B9, "IQ_DPS_1YR_ANN_GROWTH", "IQ_LTM", YX$4)/100)),"")</f>
        <v/>
      </c>
      <c r="YY9" s="72" t="str">
        <f>IFERROR(IF(OR($B9="",YY$3=""),"",(_xll.ciqfunctions.udf.CIQ($B9,"IQ_LASTSALEPRICE",YY$4)/_xll.ciqfunctions.udf.CIQ($B9,"IQ_LASTSALEPRICE",YY$2)-1)+(_xll.ciqfunctions.udf.CIQ($B9, "IQ_DPS_1YR_ANN_GROWTH", "IQ_LTM", YY$4)/100)),"")</f>
        <v/>
      </c>
      <c r="YZ9" s="72" t="str">
        <f>IFERROR(IF(OR($B9="",YZ$3=""),"",(_xll.ciqfunctions.udf.CIQ($B9,"IQ_LASTSALEPRICE",YZ$4)/_xll.ciqfunctions.udf.CIQ($B9,"IQ_LASTSALEPRICE",YZ$2)-1)+(_xll.ciqfunctions.udf.CIQ($B9, "IQ_DPS_1YR_ANN_GROWTH", "IQ_LTM", YZ$4)/100)),"")</f>
        <v/>
      </c>
      <c r="ZA9" s="72" t="str">
        <f>IFERROR(IF(OR($B9="",ZA$3=""),"",(_xll.ciqfunctions.udf.CIQ($B9,"IQ_LASTSALEPRICE",ZA$4)/_xll.ciqfunctions.udf.CIQ($B9,"IQ_LASTSALEPRICE",ZA$2)-1)+(_xll.ciqfunctions.udf.CIQ($B9, "IQ_DPS_1YR_ANN_GROWTH", "IQ_LTM", ZA$4)/100)),"")</f>
        <v/>
      </c>
      <c r="ZB9" s="72" t="str">
        <f>IFERROR(IF(OR($B9="",ZB$3=""),"",(_xll.ciqfunctions.udf.CIQ($B9,"IQ_LASTSALEPRICE",ZB$4)/_xll.ciqfunctions.udf.CIQ($B9,"IQ_LASTSALEPRICE",ZB$2)-1)+(_xll.ciqfunctions.udf.CIQ($B9, "IQ_DPS_1YR_ANN_GROWTH", "IQ_LTM", ZB$4)/100)),"")</f>
        <v/>
      </c>
      <c r="ZC9" s="72" t="str">
        <f>IFERROR(IF(OR($B9="",ZC$3=""),"",(_xll.ciqfunctions.udf.CIQ($B9,"IQ_LASTSALEPRICE",ZC$4)/_xll.ciqfunctions.udf.CIQ($B9,"IQ_LASTSALEPRICE",ZC$2)-1)+(_xll.ciqfunctions.udf.CIQ($B9, "IQ_DPS_1YR_ANN_GROWTH", "IQ_LTM", ZC$4)/100)),"")</f>
        <v/>
      </c>
      <c r="ZD9" s="72" t="str">
        <f>IFERROR(IF(OR($B9="",ZD$3=""),"",(_xll.ciqfunctions.udf.CIQ($B9,"IQ_LASTSALEPRICE",ZD$4)/_xll.ciqfunctions.udf.CIQ($B9,"IQ_LASTSALEPRICE",ZD$2)-1)+(_xll.ciqfunctions.udf.CIQ($B9, "IQ_DPS_1YR_ANN_GROWTH", "IQ_LTM", ZD$4)/100)),"")</f>
        <v/>
      </c>
      <c r="ZE9" s="72" t="str">
        <f>IFERROR(IF(OR($B9="",ZE$3=""),"",(_xll.ciqfunctions.udf.CIQ($B9,"IQ_LASTSALEPRICE",ZE$4)/_xll.ciqfunctions.udf.CIQ($B9,"IQ_LASTSALEPRICE",ZE$2)-1)+(_xll.ciqfunctions.udf.CIQ($B9, "IQ_DPS_1YR_ANN_GROWTH", "IQ_LTM", ZE$4)/100)),"")</f>
        <v/>
      </c>
      <c r="ZF9" s="72" t="str">
        <f>IFERROR(IF(OR($B9="",ZF$3=""),"",(_xll.ciqfunctions.udf.CIQ($B9,"IQ_LASTSALEPRICE",ZF$4)/_xll.ciqfunctions.udf.CIQ($B9,"IQ_LASTSALEPRICE",ZF$2)-1)+(_xll.ciqfunctions.udf.CIQ($B9, "IQ_DPS_1YR_ANN_GROWTH", "IQ_LTM", ZF$4)/100)),"")</f>
        <v/>
      </c>
      <c r="ZG9" s="72" t="str">
        <f>IFERROR(IF(OR($B9="",ZG$3=""),"",(_xll.ciqfunctions.udf.CIQ($B9,"IQ_LASTSALEPRICE",ZG$4)/_xll.ciqfunctions.udf.CIQ($B9,"IQ_LASTSALEPRICE",ZG$2)-1)+(_xll.ciqfunctions.udf.CIQ($B9, "IQ_DPS_1YR_ANN_GROWTH", "IQ_LTM", ZG$4)/100)),"")</f>
        <v/>
      </c>
      <c r="ZH9" s="72" t="str">
        <f>IFERROR(IF(OR($B9="",ZH$3=""),"",(_xll.ciqfunctions.udf.CIQ($B9,"IQ_LASTSALEPRICE",ZH$4)/_xll.ciqfunctions.udf.CIQ($B9,"IQ_LASTSALEPRICE",ZH$2)-1)+(_xll.ciqfunctions.udf.CIQ($B9, "IQ_DPS_1YR_ANN_GROWTH", "IQ_LTM", ZH$4)/100)),"")</f>
        <v/>
      </c>
      <c r="ZI9" s="72" t="str">
        <f>IFERROR(IF(OR($B9="",ZI$3=""),"",(_xll.ciqfunctions.udf.CIQ($B9,"IQ_LASTSALEPRICE",ZI$4)/_xll.ciqfunctions.udf.CIQ($B9,"IQ_LASTSALEPRICE",ZI$2)-1)+(_xll.ciqfunctions.udf.CIQ($B9, "IQ_DPS_1YR_ANN_GROWTH", "IQ_LTM", ZI$4)/100)),"")</f>
        <v/>
      </c>
      <c r="ZJ9" s="72" t="str">
        <f>IFERROR(IF(OR($B9="",ZJ$3=""),"",(_xll.ciqfunctions.udf.CIQ($B9,"IQ_LASTSALEPRICE",ZJ$4)/_xll.ciqfunctions.udf.CIQ($B9,"IQ_LASTSALEPRICE",ZJ$2)-1)+(_xll.ciqfunctions.udf.CIQ($B9, "IQ_DPS_1YR_ANN_GROWTH", "IQ_LTM", ZJ$4)/100)),"")</f>
        <v/>
      </c>
      <c r="ZK9" s="72" t="str">
        <f>IFERROR(IF(OR($B9="",ZK$3=""),"",(_xll.ciqfunctions.udf.CIQ($B9,"IQ_LASTSALEPRICE",ZK$4)/_xll.ciqfunctions.udf.CIQ($B9,"IQ_LASTSALEPRICE",ZK$2)-1)+(_xll.ciqfunctions.udf.CIQ($B9, "IQ_DPS_1YR_ANN_GROWTH", "IQ_LTM", ZK$4)/100)),"")</f>
        <v/>
      </c>
      <c r="ZL9" s="72" t="str">
        <f>IFERROR(IF(OR($B9="",ZL$3=""),"",(_xll.ciqfunctions.udf.CIQ($B9,"IQ_LASTSALEPRICE",ZL$4)/_xll.ciqfunctions.udf.CIQ($B9,"IQ_LASTSALEPRICE",ZL$2)-1)+(_xll.ciqfunctions.udf.CIQ($B9, "IQ_DPS_1YR_ANN_GROWTH", "IQ_LTM", ZL$4)/100)),"")</f>
        <v/>
      </c>
      <c r="ZM9" s="72" t="str">
        <f>IFERROR(IF(OR($B9="",ZM$3=""),"",(_xll.ciqfunctions.udf.CIQ($B9,"IQ_LASTSALEPRICE",ZM$4)/_xll.ciqfunctions.udf.CIQ($B9,"IQ_LASTSALEPRICE",ZM$2)-1)+(_xll.ciqfunctions.udf.CIQ($B9, "IQ_DPS_1YR_ANN_GROWTH", "IQ_LTM", ZM$4)/100)),"")</f>
        <v/>
      </c>
      <c r="ZN9" s="72" t="str">
        <f>IFERROR(IF(OR($B9="",ZN$3=""),"",(_xll.ciqfunctions.udf.CIQ($B9,"IQ_LASTSALEPRICE",ZN$4)/_xll.ciqfunctions.udf.CIQ($B9,"IQ_LASTSALEPRICE",ZN$2)-1)+(_xll.ciqfunctions.udf.CIQ($B9, "IQ_DPS_1YR_ANN_GROWTH", "IQ_LTM", ZN$4)/100)),"")</f>
        <v/>
      </c>
      <c r="ZO9" s="72" t="str">
        <f>IFERROR(IF(OR($B9="",ZO$3=""),"",(_xll.ciqfunctions.udf.CIQ($B9,"IQ_LASTSALEPRICE",ZO$4)/_xll.ciqfunctions.udf.CIQ($B9,"IQ_LASTSALEPRICE",ZO$2)-1)+(_xll.ciqfunctions.udf.CIQ($B9, "IQ_DPS_1YR_ANN_GROWTH", "IQ_LTM", ZO$4)/100)),"")</f>
        <v/>
      </c>
      <c r="ZP9" s="72" t="str">
        <f>IFERROR(IF(OR($B9="",ZP$3=""),"",(_xll.ciqfunctions.udf.CIQ($B9,"IQ_LASTSALEPRICE",ZP$4)/_xll.ciqfunctions.udf.CIQ($B9,"IQ_LASTSALEPRICE",ZP$2)-1)+(_xll.ciqfunctions.udf.CIQ($B9, "IQ_DPS_1YR_ANN_GROWTH", "IQ_LTM", ZP$4)/100)),"")</f>
        <v/>
      </c>
      <c r="ZQ9" s="72" t="str">
        <f>IFERROR(IF(OR($B9="",ZQ$3=""),"",_xll.ciqfunctions.udf.CIQ($B9,"IQ_NI",$O$3,ZQ$3, $N$3, , $J$3, $K$3)*2/(_xll.ciqfunctions.udf.CIQ($B9,"IQ_TOTAL_CAP",ZQ$3,$I$3, $N$3, , $J$3, $K$3)+_xll.ciqfunctions.udf.CIQ($B9,"IQ_TOTAL_CAP","IQ_" &amp; LEFT(ZQ$3,2) &amp; "-1", ZQ$3, $N$3, , $J$3, $K$3))),"")</f>
        <v/>
      </c>
      <c r="ZR9" s="72" t="str">
        <f>IFERROR(IF(OR($B9="",ZR$3=""),"",_xll.ciqfunctions.udf.CIQ($B9,"IQ_NI",$O$3,ZR$3, $N$3, , $J$3, $K$3)*2/(_xll.ciqfunctions.udf.CIQ($B9,"IQ_TOTAL_CAP",ZR$3,$I$3, $N$3, , $J$3, $K$3)+_xll.ciqfunctions.udf.CIQ($B9,"IQ_TOTAL_CAP","IQ_" &amp; LEFT(ZR$3,2) &amp; "-1", ZR$3, $N$3, , $J$3, $K$3))),"")</f>
        <v/>
      </c>
      <c r="ZS9" s="72" t="str">
        <f>IFERROR(IF(OR($B9="",ZS$3=""),"",_xll.ciqfunctions.udf.CIQ($B9,"IQ_NI",$O$3,ZS$3, $N$3, , $J$3, $K$3)*2/(_xll.ciqfunctions.udf.CIQ($B9,"IQ_TOTAL_CAP",ZS$3,$I$3, $N$3, , $J$3, $K$3)+_xll.ciqfunctions.udf.CIQ($B9,"IQ_TOTAL_CAP","IQ_" &amp; LEFT(ZS$3,2) &amp; "-1", ZS$3, $N$3, , $J$3, $K$3))),"")</f>
        <v/>
      </c>
      <c r="ZT9" s="72" t="str">
        <f>IFERROR(IF(OR($B9="",ZT$3=""),"",_xll.ciqfunctions.udf.CIQ($B9,"IQ_NI",$O$3,ZT$3, $N$3, , $J$3, $K$3)*2/(_xll.ciqfunctions.udf.CIQ($B9,"IQ_TOTAL_CAP",ZT$3,$I$3, $N$3, , $J$3, $K$3)+_xll.ciqfunctions.udf.CIQ($B9,"IQ_TOTAL_CAP","IQ_" &amp; LEFT(ZT$3,2) &amp; "-1", ZT$3, $N$3, , $J$3, $K$3))),"")</f>
        <v/>
      </c>
      <c r="ZU9" s="72" t="str">
        <f>IFERROR(IF(OR($B9="",ZU$3=""),"",_xll.ciqfunctions.udf.CIQ($B9,"IQ_NI",$O$3,ZU$3, $N$3, , $J$3, $K$3)*2/(_xll.ciqfunctions.udf.CIQ($B9,"IQ_TOTAL_CAP",ZU$3,$I$3, $N$3, , $J$3, $K$3)+_xll.ciqfunctions.udf.CIQ($B9,"IQ_TOTAL_CAP","IQ_" &amp; LEFT(ZU$3,2) &amp; "-1", ZU$3, $N$3, , $J$3, $K$3))),"")</f>
        <v/>
      </c>
      <c r="ZV9" s="72" t="str">
        <f>IFERROR(IF(OR($B9="",ZV$3=""),"",_xll.ciqfunctions.udf.CIQ($B9,"IQ_NI",$O$3,ZV$3, $N$3, , $J$3, $K$3)*2/(_xll.ciqfunctions.udf.CIQ($B9,"IQ_TOTAL_CAP",ZV$3,$I$3, $N$3, , $J$3, $K$3)+_xll.ciqfunctions.udf.CIQ($B9,"IQ_TOTAL_CAP","IQ_" &amp; LEFT(ZV$3,2) &amp; "-1", ZV$3, $N$3, , $J$3, $K$3))),"")</f>
        <v/>
      </c>
      <c r="ZW9" s="72" t="str">
        <f>IFERROR(IF(OR($B9="",ZW$3=""),"",_xll.ciqfunctions.udf.CIQ($B9,"IQ_NI",$O$3,ZW$3, $N$3, , $J$3, $K$3)*2/(_xll.ciqfunctions.udf.CIQ($B9,"IQ_TOTAL_CAP",ZW$3,$I$3, $N$3, , $J$3, $K$3)+_xll.ciqfunctions.udf.CIQ($B9,"IQ_TOTAL_CAP","IQ_" &amp; LEFT(ZW$3,2) &amp; "-1", ZW$3, $N$3, , $J$3, $K$3))),"")</f>
        <v/>
      </c>
      <c r="ZX9" s="72" t="str">
        <f>IFERROR(IF(OR($B9="",ZX$3=""),"",_xll.ciqfunctions.udf.CIQ($B9,"IQ_NI",$O$3,ZX$3, $N$3, , $J$3, $K$3)*2/(_xll.ciqfunctions.udf.CIQ($B9,"IQ_TOTAL_CAP",ZX$3,$I$3, $N$3, , $J$3, $K$3)+_xll.ciqfunctions.udf.CIQ($B9,"IQ_TOTAL_CAP","IQ_" &amp; LEFT(ZX$3,2) &amp; "-1", ZX$3, $N$3, , $J$3, $K$3))),"")</f>
        <v/>
      </c>
      <c r="ZY9" s="72" t="str">
        <f>IFERROR(IF(OR($B9="",ZY$3=""),"",_xll.ciqfunctions.udf.CIQ($B9,"IQ_NI",$O$3,ZY$3, $N$3, , $J$3, $K$3)*2/(_xll.ciqfunctions.udf.CIQ($B9,"IQ_TOTAL_CAP",ZY$3,$I$3, $N$3, , $J$3, $K$3)+_xll.ciqfunctions.udf.CIQ($B9,"IQ_TOTAL_CAP","IQ_" &amp; LEFT(ZY$3,2) &amp; "-1", ZY$3, $N$3, , $J$3, $K$3))),"")</f>
        <v/>
      </c>
      <c r="ZZ9" s="72" t="str">
        <f>IFERROR(IF(OR($B9="",ZZ$3=""),"",_xll.ciqfunctions.udf.CIQ($B9,"IQ_NI",$O$3,ZZ$3, $N$3, , $J$3, $K$3)*2/(_xll.ciqfunctions.udf.CIQ($B9,"IQ_TOTAL_CAP",ZZ$3,$I$3, $N$3, , $J$3, $K$3)+_xll.ciqfunctions.udf.CIQ($B9,"IQ_TOTAL_CAP","IQ_" &amp; LEFT(ZZ$3,2) &amp; "-1", ZZ$3, $N$3, , $J$3, $K$3))),"")</f>
        <v/>
      </c>
      <c r="AAA9" s="72" t="str">
        <f>IFERROR(IF(OR($B9="",AAA$3=""),"",_xll.ciqfunctions.udf.CIQ($B9,"IQ_NI",$O$3,AAA$3, $N$3, , $J$3, $K$3)*2/(_xll.ciqfunctions.udf.CIQ($B9,"IQ_TOTAL_CAP",AAA$3,$I$3, $N$3, , $J$3, $K$3)+_xll.ciqfunctions.udf.CIQ($B9,"IQ_TOTAL_CAP","IQ_" &amp; LEFT(AAA$3,2) &amp; "-1", AAA$3, $N$3, , $J$3, $K$3))),"")</f>
        <v/>
      </c>
      <c r="AAB9" s="72" t="str">
        <f>IFERROR(IF(OR($B9="",AAB$3=""),"",_xll.ciqfunctions.udf.CIQ($B9,"IQ_NI",$O$3,AAB$3, $N$3, , $J$3, $K$3)*2/(_xll.ciqfunctions.udf.CIQ($B9,"IQ_TOTAL_CAP",AAB$3,$I$3, $N$3, , $J$3, $K$3)+_xll.ciqfunctions.udf.CIQ($B9,"IQ_TOTAL_CAP","IQ_" &amp; LEFT(AAB$3,2) &amp; "-1", AAB$3, $N$3, , $J$3, $K$3))),"")</f>
        <v/>
      </c>
      <c r="AAC9" s="72" t="str">
        <f>IFERROR(IF(OR($B9="",AAC$3=""),"",_xll.ciqfunctions.udf.CIQ($B9,"IQ_NI",$O$3,AAC$3, $N$3, , $J$3, $K$3)*2/(_xll.ciqfunctions.udf.CIQ($B9,"IQ_TOTAL_CAP",AAC$3,$I$3, $N$3, , $J$3, $K$3)+_xll.ciqfunctions.udf.CIQ($B9,"IQ_TOTAL_CAP","IQ_" &amp; LEFT(AAC$3,2) &amp; "-1", AAC$3, $N$3, , $J$3, $K$3))),"")</f>
        <v/>
      </c>
      <c r="AAD9" s="72" t="str">
        <f>IFERROR(IF(OR($B9="",AAD$3=""),"",_xll.ciqfunctions.udf.CIQ($B9,"IQ_NI",$O$3,AAD$3, $N$3, , $J$3, $K$3)*2/(_xll.ciqfunctions.udf.CIQ($B9,"IQ_TOTAL_CAP",AAD$3,$I$3, $N$3, , $J$3, $K$3)+_xll.ciqfunctions.udf.CIQ($B9,"IQ_TOTAL_CAP","IQ_" &amp; LEFT(AAD$3,2) &amp; "-1", AAD$3, $N$3, , $J$3, $K$3))),"")</f>
        <v/>
      </c>
      <c r="AAE9" s="72" t="str">
        <f>IFERROR(IF(OR($B9="",AAE$3=""),"",_xll.ciqfunctions.udf.CIQ($B9,"IQ_NI",$O$3,AAE$3, $N$3, , $J$3, $K$3)*2/(_xll.ciqfunctions.udf.CIQ($B9,"IQ_TOTAL_CAP",AAE$3,$I$3, $N$3, , $J$3, $K$3)+_xll.ciqfunctions.udf.CIQ($B9,"IQ_TOTAL_CAP","IQ_" &amp; LEFT(AAE$3,2) &amp; "-1", AAE$3, $N$3, , $J$3, $K$3))),"")</f>
        <v/>
      </c>
      <c r="AAF9" s="72" t="str">
        <f>IFERROR(IF(OR($B9="",AAF$3=""),"",_xll.ciqfunctions.udf.CIQ($B9,"IQ_NI",$O$3,AAF$3, $N$3, , $J$3, $K$3)*2/(_xll.ciqfunctions.udf.CIQ($B9,"IQ_TOTAL_CAP",AAF$3,$I$3, $N$3, , $J$3, $K$3)+_xll.ciqfunctions.udf.CIQ($B9,"IQ_TOTAL_CAP","IQ_" &amp; LEFT(AAF$3,2) &amp; "-1", AAF$3, $N$3, , $J$3, $K$3))),"")</f>
        <v/>
      </c>
      <c r="AAG9" s="72" t="str">
        <f>IFERROR(IF(OR($B9="",AAG$3=""),"",_xll.ciqfunctions.udf.CIQ($B9,"IQ_NI",$O$3,AAG$3, $N$3, , $J$3, $K$3)*2/(_xll.ciqfunctions.udf.CIQ($B9,"IQ_TOTAL_CAP",AAG$3,$I$3, $N$3, , $J$3, $K$3)+_xll.ciqfunctions.udf.CIQ($B9,"IQ_TOTAL_CAP","IQ_" &amp; LEFT(AAG$3,2) &amp; "-1", AAG$3, $N$3, , $J$3, $K$3))),"")</f>
        <v/>
      </c>
      <c r="AAH9" s="72" t="str">
        <f>IFERROR(IF(OR($B9="",AAH$3=""),"",_xll.ciqfunctions.udf.CIQ($B9,"IQ_NI",$O$3,AAH$3, $N$3, , $J$3, $K$3)*2/(_xll.ciqfunctions.udf.CIQ($B9,"IQ_TOTAL_CAP",AAH$3,$I$3, $N$3, , $J$3, $K$3)+_xll.ciqfunctions.udf.CIQ($B9,"IQ_TOTAL_CAP","IQ_" &amp; LEFT(AAH$3,2) &amp; "-1", AAH$3, $N$3, , $J$3, $K$3))),"")</f>
        <v/>
      </c>
      <c r="AAI9" s="72" t="str">
        <f>IFERROR(IF(OR($B9="",AAI$3=""),"",_xll.ciqfunctions.udf.CIQ($B9,"IQ_NI",$O$3,AAI$3, $N$3, , $J$3, $K$3)*2/(_xll.ciqfunctions.udf.CIQ($B9,"IQ_TOTAL_CAP",AAI$3,$I$3, $N$3, , $J$3, $K$3)+_xll.ciqfunctions.udf.CIQ($B9,"IQ_TOTAL_CAP","IQ_" &amp; LEFT(AAI$3,2) &amp; "-1", AAI$3, $N$3, , $J$3, $K$3))),"")</f>
        <v/>
      </c>
      <c r="AAJ9" s="72" t="str">
        <f>IFERROR(IF(OR($B9="",AAJ$3=""),"",_xll.ciqfunctions.udf.CIQ($B9,"IQ_NI",$O$3,AAJ$3, $N$3, , $J$3, $K$3)*2/(_xll.ciqfunctions.udf.CIQ($B9,"IQ_TOTAL_CAP",AAJ$3,$I$3, $N$3, , $J$3, $K$3)+_xll.ciqfunctions.udf.CIQ($B9,"IQ_TOTAL_CAP","IQ_" &amp; LEFT(AAJ$3,2) &amp; "-1", AAJ$3, $N$3, , $J$3, $K$3))),"")</f>
        <v/>
      </c>
      <c r="AAK9" s="628" t="str">
        <f>IFERROR(IF(OR($B9="",AAK$4=""),"",_xll.ciqfunctions.udf.CIQ($B9,"IQ_TEV",AAK$4)/_xll.ciqfunctions.udf.CIQ($B9,"IQ_TOTAL_CAP",ZQ$3,$I$3, $N$3, , $J$3, $K$3)),"")</f>
        <v/>
      </c>
      <c r="AAL9" s="628" t="str">
        <f>IFERROR(IF(OR($B9="",AAL$4=""),"",_xll.ciqfunctions.udf.CIQ($B9,"IQ_TEV",AAL$4)/_xll.ciqfunctions.udf.CIQ($B9,"IQ_TOTAL_CAP",ZR$3,$I$3, $N$3, , $J$3, $K$3)),"")</f>
        <v/>
      </c>
      <c r="AAM9" s="628" t="str">
        <f>IFERROR(IF(OR($B9="",AAM$4=""),"",_xll.ciqfunctions.udf.CIQ($B9,"IQ_TEV",AAM$4)/_xll.ciqfunctions.udf.CIQ($B9,"IQ_TOTAL_CAP",ZS$3,$I$3, $N$3, , $J$3, $K$3)),"")</f>
        <v/>
      </c>
      <c r="AAN9" s="628" t="str">
        <f>IFERROR(IF(OR($B9="",AAN$4=""),"",_xll.ciqfunctions.udf.CIQ($B9,"IQ_TEV",AAN$4)/_xll.ciqfunctions.udf.CIQ($B9,"IQ_TOTAL_CAP",ZT$3,$I$3, $N$3, , $J$3, $K$3)),"")</f>
        <v/>
      </c>
      <c r="AAO9" s="628" t="str">
        <f>IFERROR(IF(OR($B9="",AAO$4=""),"",_xll.ciqfunctions.udf.CIQ($B9,"IQ_TEV",AAO$4)/_xll.ciqfunctions.udf.CIQ($B9,"IQ_TOTAL_CAP",ZU$3,$I$3, $N$3, , $J$3, $K$3)),"")</f>
        <v/>
      </c>
      <c r="AAP9" s="628" t="str">
        <f>IFERROR(IF(OR($B9="",AAP$4=""),"",_xll.ciqfunctions.udf.CIQ($B9,"IQ_TEV",AAP$4)/_xll.ciqfunctions.udf.CIQ($B9,"IQ_TOTAL_CAP",ZV$3,$I$3, $N$3, , $J$3, $K$3)),"")</f>
        <v/>
      </c>
      <c r="AAQ9" s="628" t="str">
        <f>IFERROR(IF(OR($B9="",AAQ$4=""),"",_xll.ciqfunctions.udf.CIQ($B9,"IQ_TEV",AAQ$4)/_xll.ciqfunctions.udf.CIQ($B9,"IQ_TOTAL_CAP",ZW$3,$I$3, $N$3, , $J$3, $K$3)),"")</f>
        <v/>
      </c>
      <c r="AAR9" s="628" t="str">
        <f>IFERROR(IF(OR($B9="",AAR$4=""),"",_xll.ciqfunctions.udf.CIQ($B9,"IQ_TEV",AAR$4)/_xll.ciqfunctions.udf.CIQ($B9,"IQ_TOTAL_CAP",ZX$3,$I$3, $N$3, , $J$3, $K$3)),"")</f>
        <v/>
      </c>
      <c r="AAS9" s="628" t="str">
        <f>IFERROR(IF(OR($B9="",AAS$4=""),"",_xll.ciqfunctions.udf.CIQ($B9,"IQ_TEV",AAS$4)/_xll.ciqfunctions.udf.CIQ($B9,"IQ_TOTAL_CAP",ZY$3,$I$3, $N$3, , $J$3, $K$3)),"")</f>
        <v/>
      </c>
      <c r="AAT9" s="628" t="str">
        <f>IFERROR(IF(OR($B9="",AAT$4=""),"",_xll.ciqfunctions.udf.CIQ($B9,"IQ_TEV",AAT$4)/_xll.ciqfunctions.udf.CIQ($B9,"IQ_TOTAL_CAP",ZZ$3,$I$3, $N$3, , $J$3, $K$3)),"")</f>
        <v/>
      </c>
      <c r="AAU9" s="628" t="str">
        <f>IFERROR(IF(OR($B9="",AAU$4=""),"",_xll.ciqfunctions.udf.CIQ($B9,"IQ_TEV",AAU$4)/_xll.ciqfunctions.udf.CIQ($B9,"IQ_TOTAL_CAP",AAA$3,$I$3, $N$3, , $J$3, $K$3)),"")</f>
        <v/>
      </c>
      <c r="AAV9" s="628" t="str">
        <f>IFERROR(IF(OR($B9="",AAV$4=""),"",_xll.ciqfunctions.udf.CIQ($B9,"IQ_TEV",AAV$4)/_xll.ciqfunctions.udf.CIQ($B9,"IQ_TOTAL_CAP",AAB$3,$I$3, $N$3, , $J$3, $K$3)),"")</f>
        <v/>
      </c>
      <c r="AAW9" s="628" t="str">
        <f>IFERROR(IF(OR($B9="",AAW$4=""),"",_xll.ciqfunctions.udf.CIQ($B9,"IQ_TEV",AAW$4)/_xll.ciqfunctions.udf.CIQ($B9,"IQ_TOTAL_CAP",AAC$3,$I$3, $N$3, , $J$3, $K$3)),"")</f>
        <v/>
      </c>
      <c r="AAX9" s="628" t="str">
        <f>IFERROR(IF(OR($B9="",AAX$4=""),"",_xll.ciqfunctions.udf.CIQ($B9,"IQ_TEV",AAX$4)/_xll.ciqfunctions.udf.CIQ($B9,"IQ_TOTAL_CAP",AAD$3,$I$3, $N$3, , $J$3, $K$3)),"")</f>
        <v/>
      </c>
      <c r="AAY9" s="628" t="str">
        <f>IFERROR(IF(OR($B9="",AAY$4=""),"",_xll.ciqfunctions.udf.CIQ($B9,"IQ_TEV",AAY$4)/_xll.ciqfunctions.udf.CIQ($B9,"IQ_TOTAL_CAP",AAE$3,$I$3, $N$3, , $J$3, $K$3)),"")</f>
        <v/>
      </c>
      <c r="AAZ9" s="628" t="str">
        <f>IFERROR(IF(OR($B9="",AAZ$4=""),"",_xll.ciqfunctions.udf.CIQ($B9,"IQ_TEV",AAZ$4)/_xll.ciqfunctions.udf.CIQ($B9,"IQ_TOTAL_CAP",AAF$3,$I$3, $N$3, , $J$3, $K$3)),"")</f>
        <v/>
      </c>
      <c r="ABA9" s="628" t="str">
        <f>IFERROR(IF(OR($B9="",ABA$4=""),"",_xll.ciqfunctions.udf.CIQ($B9,"IQ_TEV",ABA$4)/_xll.ciqfunctions.udf.CIQ($B9,"IQ_TOTAL_CAP",AAG$3,$I$3, $N$3, , $J$3, $K$3)),"")</f>
        <v/>
      </c>
      <c r="ABB9" s="628" t="str">
        <f>IFERROR(IF(OR($B9="",ABB$4=""),"",_xll.ciqfunctions.udf.CIQ($B9,"IQ_TEV",ABB$4)/_xll.ciqfunctions.udf.CIQ($B9,"IQ_TOTAL_CAP",AAH$3,$I$3, $N$3, , $J$3, $K$3)),"")</f>
        <v/>
      </c>
      <c r="ABC9" s="628" t="str">
        <f>IFERROR(IF(OR($B9="",ABC$4=""),"",_xll.ciqfunctions.udf.CIQ($B9,"IQ_TEV",ABC$4)/_xll.ciqfunctions.udf.CIQ($B9,"IQ_TOTAL_CAP",AAI$3,$I$3, $N$3, , $J$3, $K$3)),"")</f>
        <v/>
      </c>
      <c r="ABD9" s="628" t="str">
        <f>IFERROR(IF(OR($B9="",ABD$4=""),"",_xll.ciqfunctions.udf.CIQ($B9,"IQ_TEV",ABD$4)/_xll.ciqfunctions.udf.CIQ($B9,"IQ_TOTAL_CAP",AAJ$3,$I$3, $N$3, , $J$3, $K$3)),"")</f>
        <v/>
      </c>
      <c r="ABE9" s="72" t="str">
        <f t="shared" si="363"/>
        <v/>
      </c>
      <c r="ABF9" s="72" t="str">
        <f t="shared" si="364"/>
        <v/>
      </c>
      <c r="ABG9" s="72" t="str">
        <f t="shared" si="365"/>
        <v/>
      </c>
      <c r="ABH9" s="72" t="str">
        <f t="shared" si="366"/>
        <v/>
      </c>
      <c r="ABI9" s="72" t="str">
        <f t="shared" si="367"/>
        <v/>
      </c>
      <c r="ABJ9" s="72" t="str">
        <f t="shared" si="368"/>
        <v/>
      </c>
      <c r="ABK9" s="72" t="str">
        <f t="shared" si="369"/>
        <v/>
      </c>
      <c r="ABL9" s="72" t="str">
        <f t="shared" si="370"/>
        <v/>
      </c>
      <c r="ABM9" s="72" t="str">
        <f t="shared" si="371"/>
        <v/>
      </c>
      <c r="ABN9" s="72" t="str">
        <f t="shared" si="372"/>
        <v/>
      </c>
      <c r="ABO9" s="72" t="str">
        <f t="shared" si="373"/>
        <v/>
      </c>
      <c r="ABP9" s="72" t="str">
        <f t="shared" si="374"/>
        <v/>
      </c>
      <c r="ABQ9" s="72" t="str">
        <f t="shared" si="375"/>
        <v/>
      </c>
      <c r="ABR9" s="72" t="str">
        <f t="shared" si="376"/>
        <v/>
      </c>
      <c r="ABS9" s="72" t="str">
        <f t="shared" si="377"/>
        <v/>
      </c>
      <c r="ABT9" s="72" t="str">
        <f t="shared" si="378"/>
        <v/>
      </c>
      <c r="ABU9" s="72" t="str">
        <f t="shared" si="379"/>
        <v/>
      </c>
      <c r="ABV9" s="72" t="str">
        <f t="shared" si="380"/>
        <v/>
      </c>
      <c r="ABW9" s="72" t="str">
        <f t="shared" si="381"/>
        <v/>
      </c>
      <c r="ABX9" s="72" t="str">
        <f t="shared" si="382"/>
        <v/>
      </c>
      <c r="ABY9" s="89" t="str">
        <f>IFERROR(IF(OR($B9="",ABY$3=""),"",IF(NOT(ISNUMBER(_xll.ciqfunctions.udf.CIQ($B9, "IQ_FIXED_ASSET_TURNS", ABY$3, $E$3, $N$3, , $J$3, $K$3))),"",_xll.ciqfunctions.udf.CIQ($B9, "IQ_FIXED_ASSET_TURNS", ABY$3, $E$3, $N$3, , $J$3, $K$3))),"")</f>
        <v/>
      </c>
      <c r="ABZ9" s="90" t="str">
        <f>IFERROR(IF(OR($B9="",ABZ$3=""),"",IF(NOT(ISNUMBER(_xll.ciqfunctions.udf.CIQ($B9, "IQ_FIXED_ASSET_TURNS", ABZ$3, $E$3, $N$3, , $J$3, $K$3))),"",_xll.ciqfunctions.udf.CIQ($B9, "IQ_FIXED_ASSET_TURNS", ABZ$3, $E$3, $N$3, , $J$3, $K$3))),"")</f>
        <v/>
      </c>
      <c r="ACA9" s="90" t="str">
        <f>IFERROR(IF(OR($B9="",ACA$3=""),"",IF(NOT(ISNUMBER(_xll.ciqfunctions.udf.CIQ($B9, "IQ_FIXED_ASSET_TURNS", ACA$3, $E$3, $N$3, , $J$3, $K$3))),"",_xll.ciqfunctions.udf.CIQ($B9, "IQ_FIXED_ASSET_TURNS", ACA$3, $E$3, $N$3, , $J$3, $K$3))),"")</f>
        <v/>
      </c>
      <c r="ACB9" s="90" t="str">
        <f>IFERROR(IF(OR($B9="",ACB$3=""),"",IF(NOT(ISNUMBER(_xll.ciqfunctions.udf.CIQ($B9, "IQ_FIXED_ASSET_TURNS", ACB$3, $E$3, $N$3, , $J$3, $K$3))),"",_xll.ciqfunctions.udf.CIQ($B9, "IQ_FIXED_ASSET_TURNS", ACB$3, $E$3, $N$3, , $J$3, $K$3))),"")</f>
        <v/>
      </c>
      <c r="ACC9" s="90" t="str">
        <f>IFERROR(IF(OR($B9="",ACC$3=""),"",IF(NOT(ISNUMBER(_xll.ciqfunctions.udf.CIQ($B9, "IQ_FIXED_ASSET_TURNS", ACC$3, $E$3, $N$3, , $J$3, $K$3))),"",_xll.ciqfunctions.udf.CIQ($B9, "IQ_FIXED_ASSET_TURNS", ACC$3, $E$3, $N$3, , $J$3, $K$3))),"")</f>
        <v/>
      </c>
      <c r="ACD9" s="90" t="str">
        <f>IFERROR(IF(OR($B9="",ACD$3=""),"",IF(NOT(ISNUMBER(_xll.ciqfunctions.udf.CIQ($B9, "IQ_FIXED_ASSET_TURNS", ACD$3, $E$3, $N$3, , $J$3, $K$3))),"",_xll.ciqfunctions.udf.CIQ($B9, "IQ_FIXED_ASSET_TURNS", ACD$3, $E$3, $N$3, , $J$3, $K$3))),"")</f>
        <v/>
      </c>
      <c r="ACE9" s="90" t="str">
        <f>IFERROR(IF(OR($B9="",ACE$3=""),"",IF(NOT(ISNUMBER(_xll.ciqfunctions.udf.CIQ($B9, "IQ_FIXED_ASSET_TURNS", ACE$3, $E$3, $N$3, , $J$3, $K$3))),"",_xll.ciqfunctions.udf.CIQ($B9, "IQ_FIXED_ASSET_TURNS", ACE$3, $E$3, $N$3, , $J$3, $K$3))),"")</f>
        <v/>
      </c>
      <c r="ACF9" s="90" t="str">
        <f>IFERROR(IF(OR($B9="",ACF$3=""),"",IF(NOT(ISNUMBER(_xll.ciqfunctions.udf.CIQ($B9, "IQ_FIXED_ASSET_TURNS", ACF$3, $E$3, $N$3, , $J$3, $K$3))),"",_xll.ciqfunctions.udf.CIQ($B9, "IQ_FIXED_ASSET_TURNS", ACF$3, $E$3, $N$3, , $J$3, $K$3))),"")</f>
        <v/>
      </c>
      <c r="ACG9" s="90" t="str">
        <f>IFERROR(IF(OR($B9="",ACG$3=""),"",IF(NOT(ISNUMBER(_xll.ciqfunctions.udf.CIQ($B9, "IQ_FIXED_ASSET_TURNS", ACG$3, $E$3, $N$3, , $J$3, $K$3))),"",_xll.ciqfunctions.udf.CIQ($B9, "IQ_FIXED_ASSET_TURNS", ACG$3, $E$3, $N$3, , $J$3, $K$3))),"")</f>
        <v/>
      </c>
      <c r="ACH9" s="90" t="str">
        <f>IFERROR(IF(OR($B9="",ACH$3=""),"",IF(NOT(ISNUMBER(_xll.ciqfunctions.udf.CIQ($B9, "IQ_FIXED_ASSET_TURNS", ACH$3, $E$3, $N$3, , $J$3, $K$3))),"",_xll.ciqfunctions.udf.CIQ($B9, "IQ_FIXED_ASSET_TURNS", ACH$3, $E$3, $N$3, , $J$3, $K$3))),"")</f>
        <v/>
      </c>
      <c r="ACI9" s="90" t="str">
        <f>IFERROR(IF(OR($B9="",ACI$3=""),"",IF(NOT(ISNUMBER(_xll.ciqfunctions.udf.CIQ($B9, "IQ_FIXED_ASSET_TURNS", ACI$3, $E$3, $N$3, , $J$3, $K$3))),"",_xll.ciqfunctions.udf.CIQ($B9, "IQ_FIXED_ASSET_TURNS", ACI$3, $E$3, $N$3, , $J$3, $K$3))),"")</f>
        <v/>
      </c>
      <c r="ACJ9" s="90" t="str">
        <f>IFERROR(IF(OR($B9="",ACJ$3=""),"",IF(NOT(ISNUMBER(_xll.ciqfunctions.udf.CIQ($B9, "IQ_FIXED_ASSET_TURNS", ACJ$3, $E$3, $N$3, , $J$3, $K$3))),"",_xll.ciqfunctions.udf.CIQ($B9, "IQ_FIXED_ASSET_TURNS", ACJ$3, $E$3, $N$3, , $J$3, $K$3))),"")</f>
        <v/>
      </c>
      <c r="ACK9" s="90" t="str">
        <f>IFERROR(IF(OR($B9="",ACK$3=""),"",IF(NOT(ISNUMBER(_xll.ciqfunctions.udf.CIQ($B9, "IQ_FIXED_ASSET_TURNS", ACK$3, $E$3, $N$3, , $J$3, $K$3))),"",_xll.ciqfunctions.udf.CIQ($B9, "IQ_FIXED_ASSET_TURNS", ACK$3, $E$3, $N$3, , $J$3, $K$3))),"")</f>
        <v/>
      </c>
      <c r="ACL9" s="90" t="str">
        <f>IFERROR(IF(OR($B9="",ACL$3=""),"",IF(NOT(ISNUMBER(_xll.ciqfunctions.udf.CIQ($B9, "IQ_FIXED_ASSET_TURNS", ACL$3, $E$3, $N$3, , $J$3, $K$3))),"",_xll.ciqfunctions.udf.CIQ($B9, "IQ_FIXED_ASSET_TURNS", ACL$3, $E$3, $N$3, , $J$3, $K$3))),"")</f>
        <v/>
      </c>
      <c r="ACM9" s="90" t="str">
        <f>IFERROR(IF(OR($B9="",ACM$3=""),"",IF(NOT(ISNUMBER(_xll.ciqfunctions.udf.CIQ($B9, "IQ_FIXED_ASSET_TURNS", ACM$3, $E$3, $N$3, , $J$3, $K$3))),"",_xll.ciqfunctions.udf.CIQ($B9, "IQ_FIXED_ASSET_TURNS", ACM$3, $E$3, $N$3, , $J$3, $K$3))),"")</f>
        <v/>
      </c>
      <c r="ACN9" s="90" t="str">
        <f>IFERROR(IF(OR($B9="",ACN$3=""),"",IF(NOT(ISNUMBER(_xll.ciqfunctions.udf.CIQ($B9, "IQ_FIXED_ASSET_TURNS", ACN$3, $E$3, $N$3, , $J$3, $K$3))),"",_xll.ciqfunctions.udf.CIQ($B9, "IQ_FIXED_ASSET_TURNS", ACN$3, $E$3, $N$3, , $J$3, $K$3))),"")</f>
        <v/>
      </c>
      <c r="ACO9" s="90" t="str">
        <f>IFERROR(IF(OR($B9="",ACO$3=""),"",IF(NOT(ISNUMBER(_xll.ciqfunctions.udf.CIQ($B9, "IQ_FIXED_ASSET_TURNS", ACO$3, $E$3, $N$3, , $J$3, $K$3))),"",_xll.ciqfunctions.udf.CIQ($B9, "IQ_FIXED_ASSET_TURNS", ACO$3, $E$3, $N$3, , $J$3, $K$3))),"")</f>
        <v/>
      </c>
      <c r="ACP9" s="90" t="str">
        <f>IFERROR(IF(OR($B9="",ACP$3=""),"",IF(NOT(ISNUMBER(_xll.ciqfunctions.udf.CIQ($B9, "IQ_FIXED_ASSET_TURNS", ACP$3, $E$3, $N$3, , $J$3, $K$3))),"",_xll.ciqfunctions.udf.CIQ($B9, "IQ_FIXED_ASSET_TURNS", ACP$3, $E$3, $N$3, , $J$3, $K$3))),"")</f>
        <v/>
      </c>
      <c r="ACQ9" s="90" t="str">
        <f>IFERROR(IF(OR($B9="",ACQ$3=""),"",IF(NOT(ISNUMBER(_xll.ciqfunctions.udf.CIQ($B9, "IQ_FIXED_ASSET_TURNS", ACQ$3, $E$3, $N$3, , $J$3, $K$3))),"",_xll.ciqfunctions.udf.CIQ($B9, "IQ_FIXED_ASSET_TURNS", ACQ$3, $E$3, $N$3, , $J$3, $K$3))),"")</f>
        <v/>
      </c>
      <c r="ACR9" s="91" t="str">
        <f>IFERROR(IF(OR($B9="",ACR$3=""),"",IF(NOT(ISNUMBER(_xll.ciqfunctions.udf.CIQ($B9, "IQ_FIXED_ASSET_TURNS", ACR$3, $E$3, $N$3, , $J$3, $K$3))),"",_xll.ciqfunctions.udf.CIQ($B9, "IQ_FIXED_ASSET_TURNS", ACR$3, $E$3, $N$3, , $J$3, $K$3))),"")</f>
        <v/>
      </c>
    </row>
    <row r="10" spans="1:772" ht="15" customHeight="1" x14ac:dyDescent="0.2">
      <c r="A10" s="267" t="str">
        <f>IF(B10="","",_xll.ciqfunctions.udf.CIQ($B10,"IQ_COMPANY_NAME"))</f>
        <v/>
      </c>
      <c r="B10" s="81" t="str">
        <f>IF(Input!B22="","",Input!B22)</f>
        <v/>
      </c>
      <c r="C10" s="81">
        <f>Input!E22</f>
        <v>0</v>
      </c>
      <c r="D10" s="67" t="str">
        <f>IF(B10="","",_xll.ciqfunctions.udf.CIQ($B10,"IQ_PRIMARY_INDUSTRY"))</f>
        <v/>
      </c>
      <c r="E10" s="68" t="str">
        <f>IFERROR(IF(B10="","",IF(NOT(ISNUMBER(_xll.ciqfunctions.udf.CIQ($B10,"IQ_LASTSALEPRICE",$E$3))),"",_xll.ciqfunctions.udf.CIQ($B10,"IQ_LASTSALEPRICE",$E$3))),"")</f>
        <v/>
      </c>
      <c r="F10" s="82" t="str">
        <f>IFERROR(IF(B10="","",IF(NOT(ISNUMBER(_xll.ciqfunctions.udf.CIQ($B10,"IQ_LASTSALEPRICE",$E$4))),"",_xll.ciqfunctions.udf.CIQ($B10,"IQ_LASTSALEPRICE",$E$4))),"")</f>
        <v/>
      </c>
      <c r="G10" s="83" t="str">
        <f t="shared" si="383"/>
        <v/>
      </c>
      <c r="H10" s="83" t="str">
        <f>IFERROR(IF(B10="","",IF(NOT(ISNUMBER(_xll.ciqfunctions.udf.CIQ($B10,"IQ_TOTAL_REV_1YR_ANN_GROWTH",$O$3, $I$3, $N$3, , $J$3, $K$3))),"",_xll.ciqfunctions.udf.CIQ($B10,"IQ_TOTAL_REV_1YR_ANN_GROWTH",$O$3, $I$3, $N$3, , $J$3, $K$3))/100),"")</f>
        <v/>
      </c>
      <c r="I10" s="83" t="str">
        <f>IFERROR(IF(B10="","",IF(NOT(ISNUMBER(_xll.ciqfunctions.udf.CIQ($B10,"IQ_GROSS_MARGIN",$O$3, $I$3, $N$3, , $J$3, $K$3))),"",_xll.ciqfunctions.udf.CIQ($B10,"IQ_GROSS_MARGIN",$O$3, $I$3, $N$3, , $J$3, $K$3))/100),"")</f>
        <v/>
      </c>
      <c r="J10" s="83" t="str">
        <f>IFERROR(IF(B10="","",IF(NOT(ISNUMBER(_xll.ciqfunctions.udf.CIQ($B10,"IQ_EBITDA_MARGIN",$O$3, $I$3, $N$3, , $J$3, $K$3))),"",_xll.ciqfunctions.udf.CIQ($B10,"IQ_EBITDA_MARGIN",$O$3, $I$3, $N$3, , $J$3, $K$3))/100),"")</f>
        <v/>
      </c>
      <c r="K10" s="83" t="str">
        <f>IFERROR(IF(A10="","",IF(NOT(ISNUMBER(_xll.ciqfunctions.udf.CIQ($B10,"IQ_EBIT_MARGIN",$O$3, $I$3, $N$3, , $J$3, $K$3))),"",_xll.ciqfunctions.udf.CIQ($B10,"IQ_EBIT_MARGIN",$O$3, $I$3, $N$3, , $J$3, $K$3))/100),"")</f>
        <v/>
      </c>
      <c r="L10" s="83" t="str">
        <f>IFERROR(IF(B10="","",IF(NOT(ISNUMBER(_xll.ciqfunctions.udf.CIQ($B10,"IQ_NI_MARGIN",$O$3, $I$3, $N$3, , $J$3, $K$3))),"",_xll.ciqfunctions.udf.CIQ($B10,"IQ_NI_MARGIN",$O$3, $I$3, $N$3, , $J$3, $K$3))/100),"")</f>
        <v/>
      </c>
      <c r="M10" s="83" t="str">
        <f>IFERROR(IF($B10="","",IF(AND(N$4="Yes",NOT(ISNUMBER(_xll.ciqfunctions.udf.CIQ($B10,"IQ_COGS",$O$3, $I$3, $N$3, , $J$3, $K$3))),NOT(ISNUMBER(_xll.ciqfunctions.udf.CIQ($B10,"IQ_TOTAL_REVENUE",$O$3, $I$3, $N$3, , $J$3, $K$3)))),"",_xll.ciqfunctions.udf.CIQ($B10,"IQ_COGS",$O$3, $I$3, $N$3, , $J$3, $K$3)/_xll.ciqfunctions.udf.CIQ($B10,"IQ_TOTAL_REVENUE",$O$3, $I$3, $N$3, , $J$3, $K$3))),"")</f>
        <v/>
      </c>
      <c r="N10" s="83" t="str">
        <f>IFERROR(IF($B10="","",(IF(NOT(ISNUMBER(_xll.ciqfunctions.udf.CIQ($B10,"IQ_TOTAL_REVENUE",$O$3, $I$3, $N$3, , $J$3, $K$3))),"",_xll.ciqfunctions.udf.CIQ($B10,"IQ_TOTAL_REVENUE",$O$3, $I$3, $N$3, , $J$3, $K$3))-IF(NOT(ISNUMBER(_xll.ciqfunctions.udf.CIQ($B10,"IQ_COGS",$O$3, $I$3, $N$3, , $J$3, $K$3))),"",_xll.ciqfunctions.udf.CIQ($B10,"IQ_COGS",$O$3, $I$3, $N$3, , $J$3, $K$3))-IF(NOT(ISNUMBER(_xll.ciqfunctions.udf.CIQ($B10,"IQ_EBITDA",$O$3, $I$3, $N$3, , $J$3, $K$3))),"",_xll.ciqfunctions.udf.CIQ($B10,"IQ_EBITDA",$O$3, $I$3, $N$3, , $J$3, $K$3)))/IF(NOT(ISNUMBER(_xll.ciqfunctions.udf.CIQ($B10,"IQ_TOTAL_REVENUE",$O$3, $I$3, $N$3, , $J$3, $K$3))),"",_xll.ciqfunctions.udf.CIQ($B10,"IQ_TOTAL_REVENUE",$O$3, $I$3, $N$3, , $J$3, $K$3))),"")</f>
        <v/>
      </c>
      <c r="O10" s="83" t="str">
        <f>IFERROR(IF($B10="","",IF(AND(P$4="Yes",NOT(ISNUMBER(_xll.ciqfunctions.udf.CIQ($B10,"IQ_SGA_MARGIN",$O$3, $I$3, $N$3, , $J$3, $K$3)))),"",_xll.ciqfunctions.udf.CIQ($B10,"IQ_SGA_MARGIN",$O$3, $I$3, $N$3, , $J$3, $K$3)/100)),"")</f>
        <v/>
      </c>
      <c r="P10" s="83" t="str">
        <f>IFERROR(IF($B10="","",IF(AND(Q$4="No",OR(NOT(ISNUMBER(_xll.ciqfunctions.udf.CIQ($B10, "IQ_RD_EXP",$O$3, $I$3, $N$3, , $J$3, $K$3))),_xll.ciqfunctions.udf.CIQ($B10, "IQ_RD_EXP",$O$3, $I$3, $N$3, , $J$3, $K$3)&lt;0,NOT(ISNUMBER(_xll.ciqfunctions.udf.CIQ($B10,"IQ_TOTAL_REV",$O$3, $I$3, $N$3, , $J$3, $K$3))))),"",_xll.ciqfunctions.udf.CIQ($B10, "IQ_RD_EXP",$O$3, $I$3, $N$3, , $J$3, $K$3)/_xll.ciqfunctions.udf.CIQ($B10,"IQ_TOTAL_REV",$O$3, $I$3, $N$3, , $J$3, $K$3))),"")</f>
        <v/>
      </c>
      <c r="Q10" s="84" t="str">
        <f>IFERROR(IF($B10="","",IF(AND(R$4="No",OR(NOT(ISNUMBER(_xll.ciqfunctions.udf.CIQ($B10,"IQ_AR",$O$3, $I$3, $N$3, , $J$3, $K$3,,,,"USD"))),_xll.ciqfunctions.udf.CIQ($B10,"IQ_AR",$O$3, $I$3, $N$3, , $J$3, $K$3,,,,"USD")&lt;0,NOT(ISNUMBER(_xll.ciqfunctions.udf.CIQ($B10,"IQ_REVENUE",$O$3, $I$3, $N$3, , $J$3, $K$3))))),"",0.5*(_xll.ciqfunctions.udf.CIQ($B10,"IQ_AR",$O$3, $I$3, $N$3, , $J$3, $K$3)+_xll.ciqfunctions.udf.CIQ($B10,"IQ_AR",$O$3&amp;"-4", $I$3, $N$3, , $J$3, $K$3))/_xll.ciqfunctions.udf.CIQ($B10,"IQ_REVENUE",$O$3, $I$3, $N$3, , $J$3, $K$3)*365)),"")</f>
        <v/>
      </c>
      <c r="R10" s="84" t="str">
        <f>IFERROR(IF($B10="","",IF(AND(S$4="No",OR(NOT(ISNUMBER(_xll.ciqfunctions.udf.CIQ($B10,"IQ_INVENTORY",$O$3, $I$3, $N$3, , $J$3, $K$3))),_xll.ciqfunctions.udf.CIQ($B10,"IQ_INVENTORY",$O$3, $I$3, $N$3, , $J$3, $K$3)&lt;0,NOT(ISNUMBER(_xll.ciqfunctions.udf.CIQ($B10,"IQ_COGS",$O$3, $I$3, $N$3, , $J$3, $K$3))),_xll.ciqfunctions.udf.CIQ($B10,"IQ_COGS",$O$3, $I$3, $N$3, , $J$3, $K$3)&lt;0)),"",0.5*(_xll.ciqfunctions.udf.CIQ($B10,"IQ_INVENTORY",$O$3, $I$3, $N$3, , $J$3, $K$3)+_xll.ciqfunctions.udf.CIQ($B10,"IQ_INVENTORY",$O$3&amp;"-4", $I$3, $N$3, , $J$3, $K$3))/_xll.ciqfunctions.udf.CIQ($B10,"IQ_COGS",$O$3, $I$3, $N$3, , $J$3, $K$3)*365)),"")</f>
        <v/>
      </c>
      <c r="S10" s="84" t="str">
        <f>IFERROR(IF(B10="","",IF($B10="","",IF(AND(T$4="No",OR(NOT(ISNUMBER(_xll.ciqfunctions.udf.CIQ($B10,"IQ_AP",$O$3, $I$3, $N$3, , $J$3, $K$3))),_xll.ciqfunctions.udf.CIQ($B10,"IQ_AP",$O$3, $I$3, $N$3, , $J$3, $K$3)&lt;0,NOT(ISNUMBER(_xll.ciqfunctions.udf.CIQ($B10,"IQ_COGS",$O$3, $I$3, $N$3, , $J$3, $K$3))),_xll.ciqfunctions.udf.CIQ($B10,"IQ_COGS",$O$3, $I$3, $N$3, , $J$3, $K$3)&lt;0)),"",0.5*(_xll.ciqfunctions.udf.CIQ($B10,"IQ_AP",$O$3, $I$3, $N$3, , $J$3, $K$3)+_xll.ciqfunctions.udf.CIQ($B10,"IQ_AP",$O$3&amp;"-4", $I$3, $N$3, , $J$3, $K$3))/_xll.ciqfunctions.udf.CIQ($B10,"IQ_COGS",$O$3, $I$3, $N$3, , $J$3, $K$3)*365))),"")</f>
        <v/>
      </c>
      <c r="T10" s="84" t="str">
        <f>IFERROR(IF($B10="","",(Q10+R10-S10)),"")</f>
        <v/>
      </c>
      <c r="U10" s="83" t="str">
        <f>IFERROR(IF(OR(NOT(ISNUMBER(_xll.ciqfunctions.udf.CIQ($B10,"IQ_NI",$O$3, $I$3, $N$3, , $J$3, $K$3))),NOT(ISNUMBER(_xll.ciqfunctions.udf.CIQ($B10,"IQ_TOTAL_ASSETS",$O$3, $I$3, $N$3, , $J$3, $K$3)))),"",_xll.ciqfunctions.udf.CIQ($B10,"IQ_NI",$O$3, $I$3, $N$3, , $J$3, $K$3)/(0.5*(_xll.ciqfunctions.udf.CIQ($B10,"IQ_TOTAL_ASSETS",$O$3, $I$3, $N$3, , $J$3, $K$3)+_xll.ciqfunctions.udf.CIQ($B10,"IQ_TOTAL_ASSETS",$O$3&amp;"-4", $I$3, $N$3, , $J$3, $K$3)))),"")</f>
        <v/>
      </c>
      <c r="V10" s="83" t="str">
        <f>IFERROR(_xll.ciqfunctions.udf.CIQ($B10,"IQ_NI",$O$3, $I$3, $N$3, , $J$3, $K$3)*2/(_xll.ciqfunctions.udf.CIQ($B10,"IQ_TOTAL_ASSETS",$O$3, $I$3, $N$3, , $J$3, $K$3)+_xll.ciqfunctions.udf.CIQ($B10,"IQ_TOTAL_ASSETS",$O$3 &amp; "-4", $I$3, $N$3, , $J$3, $K$3)-_xll.ciqfunctions.udf.CIQ($B10,"IQ_TOTAL_CL",$O$3, $I$3, $N$3, , $J$3, $K$3)-_xll.ciqfunctions.udf.CIQ($B10,"IQ_TOTAL_CL",$O$3 &amp; "-4", $I$3, $N$3, , $J$3, $K$3)),"")</f>
        <v/>
      </c>
      <c r="W10" s="83" t="str">
        <f>IFERROR(IF(OR(NOT(ISNUMBER(_xll.ciqfunctions.udf.CIQ($B10,"IQ_NI",$O$3, $I$3, $N$3, , $J$3, $K$3))),NOT(ISNUMBER(_xll.ciqfunctions.udf.CIQ($B10,"IQ_TOTAL_EQUITY",$O$3, $I$3, $N$3, , $J$3, $K$3)))),"",_xll.ciqfunctions.udf.CIQ($B10,"IQ_NI",$O$3, $I$3, $N$3, , $J$3, $K$3)/(0.5*(_xll.ciqfunctions.udf.CIQ($B10,"IQ_TOTAL_EQUITY",$O$3, $I$3, $N$3, , $J$3, $K$3)+_xll.ciqfunctions.udf.CIQ($B10,"IQ_TOTAL_EQUITY",$O$3&amp;"-4", $I$3, $N$3, , $J$3, $K$3)))),"")</f>
        <v/>
      </c>
      <c r="X10" s="1026" t="str">
        <f>IFERROR(IF($B10="","",IF(NOT(ISNUMBER(_xll.ciqfunctions.udf.CIQ($B10,"IQ_ASSET_TURNS",$O$3, $I$3, $N$3, , $J$3, $K$3))),"",_xll.ciqfunctions.udf.CIQ($B10,"IQ_ASSET_TURNS",$O$3, $I$3, $N$3, , $J$3, $K$3))),"")</f>
        <v/>
      </c>
      <c r="Y10" s="1026" t="str">
        <f>IFERROR(IF($B10="","",IF(NOT(ISNUMBER(_xll.ciqfunctions.udf.CIQ($B10,"IQ_FIXED_ASSET_TURNS",$O$3, $I$3, $N$3, , $J$3, $K$3))),"",_xll.ciqfunctions.udf.CIQ($B10,"IQ_FIXED_ASSET_TURNS",$O$3, $I$3, $N$3, , $J$3, $K$3))),"")</f>
        <v/>
      </c>
      <c r="Z10" s="83" t="str">
        <f>IFERROR(IF(B10="","",IF(OR(NOT(ISNUMBER(_xll.ciqfunctions.udf.CIQ($B10,"IQ_CASH_OPER",$O$3, $I$3, $N$3, , $J$3, $K$3))),NOT(ISNUMBER(_xll.ciqfunctions.udf.CIQ($B10,"IQ_TOTAL_REV",$O$3, $I$3, $N$3, , $J$3, $K$3)))),"",_xll.ciqfunctions.udf.CIQ($B10,"IQ_CASH_OPER",$O$3, $I$3, $N$3, , $J$3, $K$3)/_xll.ciqfunctions.udf.CIQ($B10,"IQ_TOTAL_REV",$O$3, $I$3, $N$3, , $J$3, $K$3))),"")</f>
        <v/>
      </c>
      <c r="AA10" s="84" t="str">
        <f>IFERROR(IF(B10="","",IF(OR(NOT(ISNUMBER(_xll.ciqfunctions.udf.CIQ($B10,"IQ_TOTAL_ASSETS",IQ_LTM, $I$3, $N$3, , $J$3, $K$3))),NOT(ISNUMBER(_xll.ciqfunctions.udf.CIQ($B10,"IQ_TOTAL_COMMON_EQUITY",IQ_LTM, $I$3, $N$3, , $J$3, $K$3)))),"",_xll.ciqfunctions.udf.CIQ($B10,"IQ_TOTAL_ASSETS",IQ_LTM, $I$3, $N$3, , $J$3, $K$3)/_xll.ciqfunctions.udf.CIQ($B10,"IQ_TOTAL_COMMON_EQUITY",IQ_LTM, $I$3, $N$3, , $J$3, $K$3))),"")</f>
        <v/>
      </c>
      <c r="AB10" s="83" t="str">
        <f>IFERROR(IF(B10="","",IF(OR(NOT(ISNUMBER(_xll.ciqfunctions.udf.CIQ($B10,"IQ_EBT",$O$3, $I$3, $N$3, , $J$3, $K$3))),NOT(ISNUMBER(_xll.ciqfunctions.udf.CIQ($B10,"IQ_TOTAL_REV",$O$3, $I$3, $N$3, , $J$3, $K$3)))),"",_xll.ciqfunctions.udf.CIQ($B10,"IQ_EBT",$O$3, $I$3, $N$3, , $J$3, $K$3)/_xll.ciqfunctions.udf.CIQ($B10,"IQ_TOTAL_REV",$O$3, $I$3, $N$3, , $J$3, $K$3))),"")</f>
        <v/>
      </c>
      <c r="AC10" s="83" t="str">
        <f>IFERROR(IF(E10="","",IF(OR(NOT(ISNUMBER(_xll.ciqfunctions.udf.CIQ($B10,"IQ_INC_TAX",$O$3, $I$3, $N$3, , $J$3, $K$3))),NOT(ISNUMBER(_xll.ciqfunctions.udf.CIQ($B10,"IQ_EBT",$O$3, $I$3, $N$3, , $J$3, $K$3))),_xll.ciqfunctions.udf.CIQ($B10,"IQ_INC_TAX",$O$3, $I$3, $N$3, , $J$3, $K$3)&lt;0),"",_xll.ciqfunctions.udf.CIQ($B10,"IQ_INC_TAX",$O$3, $I$3, $N$3, , $J$3, $K$3)/ABS(_xll.ciqfunctions.udf.CIQ($B10,"IQ_EBT",$O$3, $I$3, $N$3, , $J$3, $K$3)))),"")</f>
        <v/>
      </c>
      <c r="AD10" s="84" t="str">
        <f>IFERROR(IF(B10="","",IF(NOT(ISNUMBER(_xll.ciqfunctions.udf.CIQ($B10,"IQ_Z_SCORE",$O$3, $I$3, $N$3, , $J$3, $K$3))),"",_xll.ciqfunctions.udf.CIQ($B10,"IQ_Z_SCORE",$O$3, $I$3, $N$3, , $J$3, $K$3))),"")</f>
        <v/>
      </c>
      <c r="AE10" s="85" t="str">
        <f>IF($A10="","",IF(NOT(ISNUMBER(_xll.ciqfunctions.udf.CIQ($B10, "IQ_BETA_5YR", $E$3))),"",_xll.ciqfunctions.udf.CIQ($B10, "IQ_BETA_5YR", $E$3)))</f>
        <v/>
      </c>
      <c r="AF10" s="19"/>
      <c r="AG10" s="274" t="str">
        <f>IFERROR(IF(OR($B10="",AG$3=""),"",IF(NOT(ISNUMBER(_xll.ciqfunctions.udf.CIQ($B10, "IQ_GROSS_MARGIN", AG$3, $I$3, $N$3, , $J$3, $K$3))),"",_xll.ciqfunctions.udf.CIQ($B10, "IQ_GROSS_MARGIN", AG$3, $I$3, $N$3, , $J$3, $K$3)/100)),"")</f>
        <v/>
      </c>
      <c r="AH10" s="87" t="str">
        <f>IFERROR(IF(OR($B10="",AH$3=""),"",IF(NOT(ISNUMBER(_xll.ciqfunctions.udf.CIQ($B10, "IQ_GROSS_MARGIN", AH$3, $I$3, $N$3, , $J$3, $K$3))),"",_xll.ciqfunctions.udf.CIQ($B10, "IQ_GROSS_MARGIN", AH$3, $I$3, $N$3, , $J$3, $K$3)/100)),"")</f>
        <v/>
      </c>
      <c r="AI10" s="87" t="str">
        <f>IFERROR(IF(OR($B10="",AI$3=""),"",IF(NOT(ISNUMBER(_xll.ciqfunctions.udf.CIQ($B10, "IQ_GROSS_MARGIN", AI$3, $I$3, $N$3, , $J$3, $K$3))),"",_xll.ciqfunctions.udf.CIQ($B10, "IQ_GROSS_MARGIN", AI$3, $I$3, $N$3, , $J$3, $K$3)/100)),"")</f>
        <v/>
      </c>
      <c r="AJ10" s="87" t="str">
        <f>IFERROR(IF(OR($B10="",AJ$3=""),"",IF(NOT(ISNUMBER(_xll.ciqfunctions.udf.CIQ($B10, "IQ_GROSS_MARGIN", AJ$3, $I$3, $N$3, , $J$3, $K$3))),"",_xll.ciqfunctions.udf.CIQ($B10, "IQ_GROSS_MARGIN", AJ$3, $I$3, $N$3, , $J$3, $K$3)/100)),"")</f>
        <v/>
      </c>
      <c r="AK10" s="87" t="str">
        <f>IFERROR(IF(OR($B10="",AK$3=""),"",IF(NOT(ISNUMBER(_xll.ciqfunctions.udf.CIQ($B10, "IQ_GROSS_MARGIN", AK$3, $I$3, $N$3, , $J$3, $K$3))),"",_xll.ciqfunctions.udf.CIQ($B10, "IQ_GROSS_MARGIN", AK$3, $I$3, $N$3, , $J$3, $K$3)/100)),"")</f>
        <v/>
      </c>
      <c r="AL10" s="87" t="str">
        <f>IFERROR(IF(OR($B10="",AL$3=""),"",IF(NOT(ISNUMBER(_xll.ciqfunctions.udf.CIQ($B10, "IQ_GROSS_MARGIN", AL$3, $I$3, $N$3, , $J$3, $K$3))),"",_xll.ciqfunctions.udf.CIQ($B10, "IQ_GROSS_MARGIN", AL$3, $I$3, $N$3, , $J$3, $K$3)/100)),"")</f>
        <v/>
      </c>
      <c r="AM10" s="87" t="str">
        <f>IFERROR(IF(OR($B10="",AM$3=""),"",IF(NOT(ISNUMBER(_xll.ciqfunctions.udf.CIQ($B10, "IQ_GROSS_MARGIN", AM$3, $I$3, $N$3, , $J$3, $K$3))),"",_xll.ciqfunctions.udf.CIQ($B10, "IQ_GROSS_MARGIN", AM$3, $I$3, $N$3, , $J$3, $K$3)/100)),"")</f>
        <v/>
      </c>
      <c r="AN10" s="87" t="str">
        <f>IFERROR(IF(OR($B10="",AN$3=""),"",IF(NOT(ISNUMBER(_xll.ciqfunctions.udf.CIQ($B10, "IQ_GROSS_MARGIN", AN$3, $I$3, $N$3, , $J$3, $K$3))),"",_xll.ciqfunctions.udf.CIQ($B10, "IQ_GROSS_MARGIN", AN$3, $I$3, $N$3, , $J$3, $K$3)/100)),"")</f>
        <v/>
      </c>
      <c r="AO10" s="87" t="str">
        <f>IFERROR(IF(OR($B10="",AO$3=""),"",IF(NOT(ISNUMBER(_xll.ciqfunctions.udf.CIQ($B10, "IQ_GROSS_MARGIN", AO$3, $I$3, $N$3, , $J$3, $K$3))),"",_xll.ciqfunctions.udf.CIQ($B10, "IQ_GROSS_MARGIN", AO$3, $I$3, $N$3, , $J$3, $K$3)/100)),"")</f>
        <v/>
      </c>
      <c r="AP10" s="87" t="str">
        <f>IFERROR(IF(OR($B10="",AP$3=""),"",IF(NOT(ISNUMBER(_xll.ciqfunctions.udf.CIQ($B10, "IQ_GROSS_MARGIN", AP$3, $I$3, $N$3, , $J$3, $K$3))),"",_xll.ciqfunctions.udf.CIQ($B10, "IQ_GROSS_MARGIN", AP$3, $I$3, $N$3, , $J$3, $K$3)/100)),"")</f>
        <v/>
      </c>
      <c r="AQ10" s="87" t="str">
        <f>IFERROR(IF(OR($B10="",AQ$3=""),"",IF(NOT(ISNUMBER(_xll.ciqfunctions.udf.CIQ($B10, "IQ_GROSS_MARGIN", AQ$3, $I$3, $N$3, , $J$3, $K$3))),"",_xll.ciqfunctions.udf.CIQ($B10, "IQ_GROSS_MARGIN", AQ$3, $I$3, $N$3, , $J$3, $K$3)/100)),"")</f>
        <v/>
      </c>
      <c r="AR10" s="87" t="str">
        <f>IFERROR(IF(OR($B10="",AR$3=""),"",IF(NOT(ISNUMBER(_xll.ciqfunctions.udf.CIQ($B10, "IQ_GROSS_MARGIN", AR$3, $I$3, $N$3, , $J$3, $K$3))),"",_xll.ciqfunctions.udf.CIQ($B10, "IQ_GROSS_MARGIN", AR$3, $I$3, $N$3, , $J$3, $K$3)/100)),"")</f>
        <v/>
      </c>
      <c r="AS10" s="87" t="str">
        <f>IFERROR(IF(OR($B10="",AS$3=""),"",IF(NOT(ISNUMBER(_xll.ciqfunctions.udf.CIQ($B10, "IQ_GROSS_MARGIN", AS$3, $I$3, $N$3, , $J$3, $K$3))),"",_xll.ciqfunctions.udf.CIQ($B10, "IQ_GROSS_MARGIN", AS$3, $I$3, $N$3, , $J$3, $K$3)/100)),"")</f>
        <v/>
      </c>
      <c r="AT10" s="87" t="str">
        <f>IFERROR(IF(OR($B10="",AT$3=""),"",IF(NOT(ISNUMBER(_xll.ciqfunctions.udf.CIQ($B10, "IQ_GROSS_MARGIN", AT$3, $I$3, $N$3, , $J$3, $K$3))),"",_xll.ciqfunctions.udf.CIQ($B10, "IQ_GROSS_MARGIN", AT$3, $I$3, $N$3, , $J$3, $K$3)/100)),"")</f>
        <v/>
      </c>
      <c r="AU10" s="87" t="str">
        <f>IFERROR(IF(OR($B10="",AU$3=""),"",IF(NOT(ISNUMBER(_xll.ciqfunctions.udf.CIQ($B10, "IQ_GROSS_MARGIN", AU$3, $I$3, $N$3, , $J$3, $K$3))),"",_xll.ciqfunctions.udf.CIQ($B10, "IQ_GROSS_MARGIN", AU$3, $I$3, $N$3, , $J$3, $K$3)/100)),"")</f>
        <v/>
      </c>
      <c r="AV10" s="87" t="str">
        <f>IFERROR(IF(OR($B10="",AV$3=""),"",IF(NOT(ISNUMBER(_xll.ciqfunctions.udf.CIQ($B10, "IQ_GROSS_MARGIN", AV$3, $I$3, $N$3, , $J$3, $K$3))),"",_xll.ciqfunctions.udf.CIQ($B10, "IQ_GROSS_MARGIN", AV$3, $I$3, $N$3, , $J$3, $K$3)/100)),"")</f>
        <v/>
      </c>
      <c r="AW10" s="87" t="str">
        <f>IFERROR(IF(OR($B10="",AW$3=""),"",IF(NOT(ISNUMBER(_xll.ciqfunctions.udf.CIQ($B10, "IQ_GROSS_MARGIN", AW$3, $I$3, $N$3, , $J$3, $K$3))),"",_xll.ciqfunctions.udf.CIQ($B10, "IQ_GROSS_MARGIN", AW$3, $I$3, $N$3, , $J$3, $K$3)/100)),"")</f>
        <v/>
      </c>
      <c r="AX10" s="87" t="str">
        <f>IFERROR(IF(OR($B10="",AX$3=""),"",IF(NOT(ISNUMBER(_xll.ciqfunctions.udf.CIQ($B10, "IQ_GROSS_MARGIN", AX$3, $I$3, $N$3, , $J$3, $K$3))),"",_xll.ciqfunctions.udf.CIQ($B10, "IQ_GROSS_MARGIN", AX$3, $I$3, $N$3, , $J$3, $K$3)/100)),"")</f>
        <v/>
      </c>
      <c r="AY10" s="87" t="str">
        <f>IFERROR(IF(OR($B10="",AY$3=""),"",IF(NOT(ISNUMBER(_xll.ciqfunctions.udf.CIQ($B10, "IQ_GROSS_MARGIN", AY$3, $I$3, $N$3, , $J$3, $K$3))),"",_xll.ciqfunctions.udf.CIQ($B10, "IQ_GROSS_MARGIN", AY$3, $I$3, $N$3, , $J$3, $K$3)/100)),"")</f>
        <v/>
      </c>
      <c r="AZ10" s="88" t="str">
        <f>IFERROR(IF(OR($B10="",AZ$3=""),"",IF(NOT(ISNUMBER(_xll.ciqfunctions.udf.CIQ($B10, "IQ_GROSS_MARGIN", AZ$3, $I$3, $N$3, , $J$3, $K$3))),"",_xll.ciqfunctions.udf.CIQ($B10, "IQ_GROSS_MARGIN", AZ$3, $I$3, $N$3, , $J$3, $K$3)/100)),"")</f>
        <v/>
      </c>
      <c r="BA10" s="73" t="str">
        <f>IFERROR(IF(OR($B10="",BA$3=""),"",IF(NOT(ISNUMBER(_xll.ciqfunctions.udf.CIQ($B10, "IQ_EBITDA_MARGIN", BA$3, $I$3, $N$3, , $J$3, $K$3))),"",_xll.ciqfunctions.udf.CIQ($B10, "IQ_EBITDA_MARGIN", BA$3, $I$3, $N$3, , $J$3, $K$3)/100)),"")</f>
        <v/>
      </c>
      <c r="BB10" s="73" t="str">
        <f>IFERROR(IF(OR($B10="",BB$3=""),"",IF(NOT(ISNUMBER(_xll.ciqfunctions.udf.CIQ($B10, "IQ_EBITDA_MARGIN", BB$3, $I$3, $N$3, , $J$3, $K$3))),"",_xll.ciqfunctions.udf.CIQ($B10, "IQ_EBITDA_MARGIN", BB$3, $I$3, $N$3, , $J$3, $K$3)/100)),"")</f>
        <v/>
      </c>
      <c r="BC10" s="73" t="str">
        <f>IFERROR(IF(OR($B10="",BC$3=""),"",IF(NOT(ISNUMBER(_xll.ciqfunctions.udf.CIQ($B10, "IQ_EBITDA_MARGIN", BC$3, $I$3, $N$3, , $J$3, $K$3))),"",_xll.ciqfunctions.udf.CIQ($B10, "IQ_EBITDA_MARGIN", BC$3, $I$3, $N$3, , $J$3, $K$3)/100)),"")</f>
        <v/>
      </c>
      <c r="BD10" s="73" t="str">
        <f>IFERROR(IF(OR($B10="",BD$3=""),"",IF(NOT(ISNUMBER(_xll.ciqfunctions.udf.CIQ($B10, "IQ_EBITDA_MARGIN", BD$3, $I$3, $N$3, , $J$3, $K$3))),"",_xll.ciqfunctions.udf.CIQ($B10, "IQ_EBITDA_MARGIN", BD$3, $I$3, $N$3, , $J$3, $K$3)/100)),"")</f>
        <v/>
      </c>
      <c r="BE10" s="73" t="str">
        <f>IFERROR(IF(OR($B10="",BE$3=""),"",IF(NOT(ISNUMBER(_xll.ciqfunctions.udf.CIQ($B10, "IQ_EBITDA_MARGIN", BE$3, $I$3, $N$3, , $J$3, $K$3))),"",_xll.ciqfunctions.udf.CIQ($B10, "IQ_EBITDA_MARGIN", BE$3, $I$3, $N$3, , $J$3, $K$3)/100)),"")</f>
        <v/>
      </c>
      <c r="BF10" s="73" t="str">
        <f>IFERROR(IF(OR($B10="",BF$3=""),"",IF(NOT(ISNUMBER(_xll.ciqfunctions.udf.CIQ($B10, "IQ_EBITDA_MARGIN", BF$3, $I$3, $N$3, , $J$3, $K$3))),"",_xll.ciqfunctions.udf.CIQ($B10, "IQ_EBITDA_MARGIN", BF$3, $I$3, $N$3, , $J$3, $K$3)/100)),"")</f>
        <v/>
      </c>
      <c r="BG10" s="73" t="str">
        <f>IFERROR(IF(OR($B10="",BG$3=""),"",IF(NOT(ISNUMBER(_xll.ciqfunctions.udf.CIQ($B10, "IQ_EBITDA_MARGIN", BG$3, $I$3, $N$3, , $J$3, $K$3))),"",_xll.ciqfunctions.udf.CIQ($B10, "IQ_EBITDA_MARGIN", BG$3, $I$3, $N$3, , $J$3, $K$3)/100)),"")</f>
        <v/>
      </c>
      <c r="BH10" s="73" t="str">
        <f>IFERROR(IF(OR($B10="",BH$3=""),"",IF(NOT(ISNUMBER(_xll.ciqfunctions.udf.CIQ($B10, "IQ_EBITDA_MARGIN", BH$3, $I$3, $N$3, , $J$3, $K$3))),"",_xll.ciqfunctions.udf.CIQ($B10, "IQ_EBITDA_MARGIN", BH$3, $I$3, $N$3, , $J$3, $K$3)/100)),"")</f>
        <v/>
      </c>
      <c r="BI10" s="73" t="str">
        <f>IFERROR(IF(OR($B10="",BI$3=""),"",IF(NOT(ISNUMBER(_xll.ciqfunctions.udf.CIQ($B10, "IQ_EBITDA_MARGIN", BI$3, $I$3, $N$3, , $J$3, $K$3))),"",_xll.ciqfunctions.udf.CIQ($B10, "IQ_EBITDA_MARGIN", BI$3, $I$3, $N$3, , $J$3, $K$3)/100)),"")</f>
        <v/>
      </c>
      <c r="BJ10" s="73" t="str">
        <f>IFERROR(IF(OR($B10="",BJ$3=""),"",IF(NOT(ISNUMBER(_xll.ciqfunctions.udf.CIQ($B10, "IQ_EBITDA_MARGIN", BJ$3, $I$3, $N$3, , $J$3, $K$3))),"",_xll.ciqfunctions.udf.CIQ($B10, "IQ_EBITDA_MARGIN", BJ$3, $I$3, $N$3, , $J$3, $K$3)/100)),"")</f>
        <v/>
      </c>
      <c r="BK10" s="73" t="str">
        <f>IFERROR(IF(OR($B10="",BK$3=""),"",IF(NOT(ISNUMBER(_xll.ciqfunctions.udf.CIQ($B10, "IQ_EBITDA_MARGIN", BK$3, $I$3, $N$3, , $J$3, $K$3))),"",_xll.ciqfunctions.udf.CIQ($B10, "IQ_EBITDA_MARGIN", BK$3, $I$3, $N$3, , $J$3, $K$3)/100)),"")</f>
        <v/>
      </c>
      <c r="BL10" s="73" t="str">
        <f>IFERROR(IF(OR($B10="",BL$3=""),"",IF(NOT(ISNUMBER(_xll.ciqfunctions.udf.CIQ($B10, "IQ_EBITDA_MARGIN", BL$3, $I$3, $N$3, , $J$3, $K$3))),"",_xll.ciqfunctions.udf.CIQ($B10, "IQ_EBITDA_MARGIN", BL$3, $I$3, $N$3, , $J$3, $K$3)/100)),"")</f>
        <v/>
      </c>
      <c r="BM10" s="73" t="str">
        <f>IFERROR(IF(OR($B10="",BM$3=""),"",IF(NOT(ISNUMBER(_xll.ciqfunctions.udf.CIQ($B10, "IQ_EBITDA_MARGIN", BM$3, $I$3, $N$3, , $J$3, $K$3))),"",_xll.ciqfunctions.udf.CIQ($B10, "IQ_EBITDA_MARGIN", BM$3, $I$3, $N$3, , $J$3, $K$3)/100)),"")</f>
        <v/>
      </c>
      <c r="BN10" s="73" t="str">
        <f>IFERROR(IF(OR($B10="",BN$3=""),"",IF(NOT(ISNUMBER(_xll.ciqfunctions.udf.CIQ($B10, "IQ_EBITDA_MARGIN", BN$3, $I$3, $N$3, , $J$3, $K$3))),"",_xll.ciqfunctions.udf.CIQ($B10, "IQ_EBITDA_MARGIN", BN$3, $I$3, $N$3, , $J$3, $K$3)/100)),"")</f>
        <v/>
      </c>
      <c r="BO10" s="73" t="str">
        <f>IFERROR(IF(OR($B10="",BO$3=""),"",IF(NOT(ISNUMBER(_xll.ciqfunctions.udf.CIQ($B10, "IQ_EBITDA_MARGIN", BO$3, $I$3, $N$3, , $J$3, $K$3))),"",_xll.ciqfunctions.udf.CIQ($B10, "IQ_EBITDA_MARGIN", BO$3, $I$3, $N$3, , $J$3, $K$3)/100)),"")</f>
        <v/>
      </c>
      <c r="BP10" s="73" t="str">
        <f>IFERROR(IF(OR($B10="",BP$3=""),"",IF(NOT(ISNUMBER(_xll.ciqfunctions.udf.CIQ($B10, "IQ_EBITDA_MARGIN", BP$3, $I$3, $N$3, , $J$3, $K$3))),"",_xll.ciqfunctions.udf.CIQ($B10, "IQ_EBITDA_MARGIN", BP$3, $I$3, $N$3, , $J$3, $K$3)/100)),"")</f>
        <v/>
      </c>
      <c r="BQ10" s="73" t="str">
        <f>IFERROR(IF(OR($B10="",BQ$3=""),"",IF(NOT(ISNUMBER(_xll.ciqfunctions.udf.CIQ($B10, "IQ_EBITDA_MARGIN", BQ$3, $I$3, $N$3, , $J$3, $K$3))),"",_xll.ciqfunctions.udf.CIQ($B10, "IQ_EBITDA_MARGIN", BQ$3, $I$3, $N$3, , $J$3, $K$3)/100)),"")</f>
        <v/>
      </c>
      <c r="BR10" s="73" t="str">
        <f>IFERROR(IF(OR($B10="",BR$3=""),"",IF(NOT(ISNUMBER(_xll.ciqfunctions.udf.CIQ($B10, "IQ_EBITDA_MARGIN", BR$3, $I$3, $N$3, , $J$3, $K$3))),"",_xll.ciqfunctions.udf.CIQ($B10, "IQ_EBITDA_MARGIN", BR$3, $I$3, $N$3, , $J$3, $K$3)/100)),"")</f>
        <v/>
      </c>
      <c r="BS10" s="73" t="str">
        <f>IFERROR(IF(OR($B10="",BS$3=""),"",IF(NOT(ISNUMBER(_xll.ciqfunctions.udf.CIQ($B10, "IQ_EBITDA_MARGIN", BS$3, $I$3, $N$3, , $J$3, $K$3))),"",_xll.ciqfunctions.udf.CIQ($B10, "IQ_EBITDA_MARGIN", BS$3, $I$3, $N$3, , $J$3, $K$3)/100)),"")</f>
        <v/>
      </c>
      <c r="BT10" s="73" t="str">
        <f>IFERROR(IF(OR($B10="",BT$3=""),"",IF(NOT(ISNUMBER(_xll.ciqfunctions.udf.CIQ($B10, "IQ_EBITDA_MARGIN", BT$3, $I$3, $N$3, , $J$3, $K$3))),"",_xll.ciqfunctions.udf.CIQ($B10, "IQ_EBITDA_MARGIN", BT$3, $I$3, $N$3, , $J$3, $K$3)/100)),"")</f>
        <v/>
      </c>
      <c r="BU10" s="86" t="str">
        <f>IFERROR(IF(OR($B10="",BU$3=""),"",IF(NOT(ISNUMBER(_xll.ciqfunctions.udf.CIQ($B10, "IQ_EBIT_MARGIN", BU$3, $I$3, $N$3, , $J$3, $K$3))),"",_xll.ciqfunctions.udf.CIQ($B10, "IQ_EBIT_MARGIN", BU$3, $I$3, $N$3, , $J$3, $K$3)/100)),"")</f>
        <v/>
      </c>
      <c r="BV10" s="87" t="str">
        <f>IFERROR(IF(OR($B10="",BV$3=""),"",IF(NOT(ISNUMBER(_xll.ciqfunctions.udf.CIQ($B10, "IQ_EBIT_MARGIN", BV$3, $I$3, $N$3, , $J$3, $K$3))),"",_xll.ciqfunctions.udf.CIQ($B10, "IQ_EBIT_MARGIN", BV$3, $I$3, $N$3, , $J$3, $K$3)/100)),"")</f>
        <v/>
      </c>
      <c r="BW10" s="87" t="str">
        <f>IFERROR(IF(OR($B10="",BW$3=""),"",IF(NOT(ISNUMBER(_xll.ciqfunctions.udf.CIQ($B10, "IQ_EBIT_MARGIN", BW$3, $I$3, $N$3, , $J$3, $K$3))),"",_xll.ciqfunctions.udf.CIQ($B10, "IQ_EBIT_MARGIN", BW$3, $I$3, $N$3, , $J$3, $K$3)/100)),"")</f>
        <v/>
      </c>
      <c r="BX10" s="87" t="str">
        <f>IFERROR(IF(OR($B10="",BX$3=""),"",IF(NOT(ISNUMBER(_xll.ciqfunctions.udf.CIQ($B10, "IQ_EBIT_MARGIN", BX$3, $I$3, $N$3, , $J$3, $K$3))),"",_xll.ciqfunctions.udf.CIQ($B10, "IQ_EBIT_MARGIN", BX$3, $I$3, $N$3, , $J$3, $K$3)/100)),"")</f>
        <v/>
      </c>
      <c r="BY10" s="87" t="str">
        <f>IFERROR(IF(OR($B10="",BY$3=""),"",IF(NOT(ISNUMBER(_xll.ciqfunctions.udf.CIQ($B10, "IQ_EBIT_MARGIN", BY$3, $I$3, $N$3, , $J$3, $K$3))),"",_xll.ciqfunctions.udf.CIQ($B10, "IQ_EBIT_MARGIN", BY$3, $I$3, $N$3, , $J$3, $K$3)/100)),"")</f>
        <v/>
      </c>
      <c r="BZ10" s="87" t="str">
        <f>IFERROR(IF(OR($B10="",BZ$3=""),"",IF(NOT(ISNUMBER(_xll.ciqfunctions.udf.CIQ($B10, "IQ_EBIT_MARGIN", BZ$3, $I$3, $N$3, , $J$3, $K$3))),"",_xll.ciqfunctions.udf.CIQ($B10, "IQ_EBIT_MARGIN", BZ$3, $I$3, $N$3, , $J$3, $K$3)/100)),"")</f>
        <v/>
      </c>
      <c r="CA10" s="87" t="str">
        <f>IFERROR(IF(OR($B10="",CA$3=""),"",IF(NOT(ISNUMBER(_xll.ciqfunctions.udf.CIQ($B10, "IQ_EBIT_MARGIN", CA$3, $I$3, $N$3, , $J$3, $K$3))),"",_xll.ciqfunctions.udf.CIQ($B10, "IQ_EBIT_MARGIN", CA$3, $I$3, $N$3, , $J$3, $K$3)/100)),"")</f>
        <v/>
      </c>
      <c r="CB10" s="87" t="str">
        <f>IFERROR(IF(OR($B10="",CB$3=""),"",IF(NOT(ISNUMBER(_xll.ciqfunctions.udf.CIQ($B10, "IQ_EBIT_MARGIN", CB$3, $I$3, $N$3, , $J$3, $K$3))),"",_xll.ciqfunctions.udf.CIQ($B10, "IQ_EBIT_MARGIN", CB$3, $I$3, $N$3, , $J$3, $K$3)/100)),"")</f>
        <v/>
      </c>
      <c r="CC10" s="87" t="str">
        <f>IFERROR(IF(OR($B10="",CC$3=""),"",IF(NOT(ISNUMBER(_xll.ciqfunctions.udf.CIQ($B10, "IQ_EBIT_MARGIN", CC$3, $I$3, $N$3, , $J$3, $K$3))),"",_xll.ciqfunctions.udf.CIQ($B10, "IQ_EBIT_MARGIN", CC$3, $I$3, $N$3, , $J$3, $K$3)/100)),"")</f>
        <v/>
      </c>
      <c r="CD10" s="87" t="str">
        <f>IFERROR(IF(OR($B10="",CD$3=""),"",IF(NOT(ISNUMBER(_xll.ciqfunctions.udf.CIQ($B10, "IQ_EBIT_MARGIN", CD$3, $I$3, $N$3, , $J$3, $K$3))),"",_xll.ciqfunctions.udf.CIQ($B10, "IQ_EBIT_MARGIN", CD$3, $I$3, $N$3, , $J$3, $K$3)/100)),"")</f>
        <v/>
      </c>
      <c r="CE10" s="87" t="str">
        <f>IFERROR(IF(OR($B10="",CE$3=""),"",IF(NOT(ISNUMBER(_xll.ciqfunctions.udf.CIQ($B10, "IQ_EBIT_MARGIN", CE$3, $I$3, $N$3, , $J$3, $K$3))),"",_xll.ciqfunctions.udf.CIQ($B10, "IQ_EBIT_MARGIN", CE$3, $I$3, $N$3, , $J$3, $K$3)/100)),"")</f>
        <v/>
      </c>
      <c r="CF10" s="87" t="str">
        <f>IFERROR(IF(OR($B10="",CF$3=""),"",IF(NOT(ISNUMBER(_xll.ciqfunctions.udf.CIQ($B10, "IQ_EBIT_MARGIN", CF$3, $I$3, $N$3, , $J$3, $K$3))),"",_xll.ciqfunctions.udf.CIQ($B10, "IQ_EBIT_MARGIN", CF$3, $I$3, $N$3, , $J$3, $K$3)/100)),"")</f>
        <v/>
      </c>
      <c r="CG10" s="87" t="str">
        <f>IFERROR(IF(OR($B10="",CG$3=""),"",IF(NOT(ISNUMBER(_xll.ciqfunctions.udf.CIQ($B10, "IQ_EBIT_MARGIN", CG$3, $I$3, $N$3, , $J$3, $K$3))),"",_xll.ciqfunctions.udf.CIQ($B10, "IQ_EBIT_MARGIN", CG$3, $I$3, $N$3, , $J$3, $K$3)/100)),"")</f>
        <v/>
      </c>
      <c r="CH10" s="87" t="str">
        <f>IFERROR(IF(OR($B10="",CH$3=""),"",IF(NOT(ISNUMBER(_xll.ciqfunctions.udf.CIQ($B10, "IQ_EBIT_MARGIN", CH$3, $I$3, $N$3, , $J$3, $K$3))),"",_xll.ciqfunctions.udf.CIQ($B10, "IQ_EBIT_MARGIN", CH$3, $I$3, $N$3, , $J$3, $K$3)/100)),"")</f>
        <v/>
      </c>
      <c r="CI10" s="87" t="str">
        <f>IFERROR(IF(OR($B10="",CI$3=""),"",IF(NOT(ISNUMBER(_xll.ciqfunctions.udf.CIQ($B10, "IQ_EBIT_MARGIN", CI$3, $I$3, $N$3, , $J$3, $K$3))),"",_xll.ciqfunctions.udf.CIQ($B10, "IQ_EBIT_MARGIN", CI$3, $I$3, $N$3, , $J$3, $K$3)/100)),"")</f>
        <v/>
      </c>
      <c r="CJ10" s="87" t="str">
        <f>IFERROR(IF(OR($B10="",CJ$3=""),"",IF(NOT(ISNUMBER(_xll.ciqfunctions.udf.CIQ($B10, "IQ_EBIT_MARGIN", CJ$3, $I$3, $N$3, , $J$3, $K$3))),"",_xll.ciqfunctions.udf.CIQ($B10, "IQ_EBIT_MARGIN", CJ$3, $I$3, $N$3, , $J$3, $K$3)/100)),"")</f>
        <v/>
      </c>
      <c r="CK10" s="87" t="str">
        <f>IFERROR(IF(OR($B10="",CK$3=""),"",IF(NOT(ISNUMBER(_xll.ciqfunctions.udf.CIQ($B10, "IQ_EBIT_MARGIN", CK$3, $I$3, $N$3, , $J$3, $K$3))),"",_xll.ciqfunctions.udf.CIQ($B10, "IQ_EBIT_MARGIN", CK$3, $I$3, $N$3, , $J$3, $K$3)/100)),"")</f>
        <v/>
      </c>
      <c r="CL10" s="87" t="str">
        <f>IFERROR(IF(OR($B10="",CL$3=""),"",IF(NOT(ISNUMBER(_xll.ciqfunctions.udf.CIQ($B10, "IQ_EBIT_MARGIN", CL$3, $I$3, $N$3, , $J$3, $K$3))),"",_xll.ciqfunctions.udf.CIQ($B10, "IQ_EBIT_MARGIN", CL$3, $I$3, $N$3, , $J$3, $K$3)/100)),"")</f>
        <v/>
      </c>
      <c r="CM10" s="87" t="str">
        <f>IFERROR(IF(OR($B10="",CM$3=""),"",IF(NOT(ISNUMBER(_xll.ciqfunctions.udf.CIQ($B10, "IQ_EBIT_MARGIN", CM$3, $I$3, $N$3, , $J$3, $K$3))),"",_xll.ciqfunctions.udf.CIQ($B10, "IQ_EBIT_MARGIN", CM$3, $I$3, $N$3, , $J$3, $K$3)/100)),"")</f>
        <v/>
      </c>
      <c r="CN10" s="88" t="str">
        <f>IFERROR(IF(OR($B10="",CN$3=""),"",IF(NOT(ISNUMBER(_xll.ciqfunctions.udf.CIQ($B10, "IQ_EBIT_MARGIN", CN$3, $I$3, $N$3, , $J$3, $K$3))),"",_xll.ciqfunctions.udf.CIQ($B10, "IQ_EBIT_MARGIN", CN$3, $I$3, $N$3, , $J$3, $K$3)/100)),"")</f>
        <v/>
      </c>
      <c r="CO10" s="86" t="str">
        <f>IFERROR(IF(OR($B10="",CO$3=""),"",IF(NOT(ISNUMBER(_xll.ciqfunctions.udf.CIQ($B10, "IQ_NI_MARGIN", CO$3, $I$3, $N$3, , $J$3, $K$3))),"",_xll.ciqfunctions.udf.CIQ($B10, "IQ_NI_MARGIN", CO$3, $I$3, $N$3, , $J$3, $K$3)/100)),"")</f>
        <v/>
      </c>
      <c r="CP10" s="87" t="str">
        <f>IFERROR(IF(OR($B10="",CP$3=""),"",IF(NOT(ISNUMBER(_xll.ciqfunctions.udf.CIQ($B10, "IQ_NI_MARGIN", CP$3, $I$3, $N$3, , $J$3, $K$3))),"",_xll.ciqfunctions.udf.CIQ($B10, "IQ_NI_MARGIN", CP$3, $I$3, $N$3, , $J$3, $K$3)/100)),"")</f>
        <v/>
      </c>
      <c r="CQ10" s="87" t="str">
        <f>IFERROR(IF(OR($B10="",CQ$3=""),"",IF(NOT(ISNUMBER(_xll.ciqfunctions.udf.CIQ($B10, "IQ_NI_MARGIN", CQ$3, $I$3, $N$3, , $J$3, $K$3))),"",_xll.ciqfunctions.udf.CIQ($B10, "IQ_NI_MARGIN", CQ$3, $I$3, $N$3, , $J$3, $K$3)/100)),"")</f>
        <v/>
      </c>
      <c r="CR10" s="87" t="str">
        <f>IFERROR(IF(OR($B10="",CR$3=""),"",IF(NOT(ISNUMBER(_xll.ciqfunctions.udf.CIQ($B10, "IQ_NI_MARGIN", CR$3, $I$3, $N$3, , $J$3, $K$3))),"",_xll.ciqfunctions.udf.CIQ($B10, "IQ_NI_MARGIN", CR$3, $I$3, $N$3, , $J$3, $K$3)/100)),"")</f>
        <v/>
      </c>
      <c r="CS10" s="87" t="str">
        <f>IFERROR(IF(OR($B10="",CS$3=""),"",IF(NOT(ISNUMBER(_xll.ciqfunctions.udf.CIQ($B10, "IQ_NI_MARGIN", CS$3, $I$3, $N$3, , $J$3, $K$3))),"",_xll.ciqfunctions.udf.CIQ($B10, "IQ_NI_MARGIN", CS$3, $I$3, $N$3, , $J$3, $K$3)/100)),"")</f>
        <v/>
      </c>
      <c r="CT10" s="87" t="str">
        <f>IFERROR(IF(OR($B10="",CT$3=""),"",IF(NOT(ISNUMBER(_xll.ciqfunctions.udf.CIQ($B10, "IQ_NI_MARGIN", CT$3, $I$3, $N$3, , $J$3, $K$3))),"",_xll.ciqfunctions.udf.CIQ($B10, "IQ_NI_MARGIN", CT$3, $I$3, $N$3, , $J$3, $K$3)/100)),"")</f>
        <v/>
      </c>
      <c r="CU10" s="87" t="str">
        <f>IFERROR(IF(OR($B10="",CU$3=""),"",IF(NOT(ISNUMBER(_xll.ciqfunctions.udf.CIQ($B10, "IQ_NI_MARGIN", CU$3, $I$3, $N$3, , $J$3, $K$3))),"",_xll.ciqfunctions.udf.CIQ($B10, "IQ_NI_MARGIN", CU$3, $I$3, $N$3, , $J$3, $K$3)/100)),"")</f>
        <v/>
      </c>
      <c r="CV10" s="87" t="str">
        <f>IFERROR(IF(OR($B10="",CV$3=""),"",IF(NOT(ISNUMBER(_xll.ciqfunctions.udf.CIQ($B10, "IQ_NI_MARGIN", CV$3, $I$3, $N$3, , $J$3, $K$3))),"",_xll.ciqfunctions.udf.CIQ($B10, "IQ_NI_MARGIN", CV$3, $I$3, $N$3, , $J$3, $K$3)/100)),"")</f>
        <v/>
      </c>
      <c r="CW10" s="87" t="str">
        <f>IFERROR(IF(OR($B10="",CW$3=""),"",IF(NOT(ISNUMBER(_xll.ciqfunctions.udf.CIQ($B10, "IQ_NI_MARGIN", CW$3, $I$3, $N$3, , $J$3, $K$3))),"",_xll.ciqfunctions.udf.CIQ($B10, "IQ_NI_MARGIN", CW$3, $I$3, $N$3, , $J$3, $K$3)/100)),"")</f>
        <v/>
      </c>
      <c r="CX10" s="87" t="str">
        <f>IFERROR(IF(OR($B10="",CX$3=""),"",IF(NOT(ISNUMBER(_xll.ciqfunctions.udf.CIQ($B10, "IQ_NI_MARGIN", CX$3, $I$3, $N$3, , $J$3, $K$3))),"",_xll.ciqfunctions.udf.CIQ($B10, "IQ_NI_MARGIN", CX$3, $I$3, $N$3, , $J$3, $K$3)/100)),"")</f>
        <v/>
      </c>
      <c r="CY10" s="87" t="str">
        <f>IFERROR(IF(OR($B10="",CY$3=""),"",IF(NOT(ISNUMBER(_xll.ciqfunctions.udf.CIQ($B10, "IQ_NI_MARGIN", CY$3, $I$3, $N$3, , $J$3, $K$3))),"",_xll.ciqfunctions.udf.CIQ($B10, "IQ_NI_MARGIN", CY$3, $I$3, $N$3, , $J$3, $K$3)/100)),"")</f>
        <v/>
      </c>
      <c r="CZ10" s="87" t="str">
        <f>IFERROR(IF(OR($B10="",CZ$3=""),"",IF(NOT(ISNUMBER(_xll.ciqfunctions.udf.CIQ($B10, "IQ_NI_MARGIN", CZ$3, $I$3, $N$3, , $J$3, $K$3))),"",_xll.ciqfunctions.udf.CIQ($B10, "IQ_NI_MARGIN", CZ$3, $I$3, $N$3, , $J$3, $K$3)/100)),"")</f>
        <v/>
      </c>
      <c r="DA10" s="87" t="str">
        <f>IFERROR(IF(OR($B10="",DA$3=""),"",IF(NOT(ISNUMBER(_xll.ciqfunctions.udf.CIQ($B10, "IQ_NI_MARGIN", DA$3, $I$3, $N$3, , $J$3, $K$3))),"",_xll.ciqfunctions.udf.CIQ($B10, "IQ_NI_MARGIN", DA$3, $I$3, $N$3, , $J$3, $K$3)/100)),"")</f>
        <v/>
      </c>
      <c r="DB10" s="87" t="str">
        <f>IFERROR(IF(OR($B10="",DB$3=""),"",IF(NOT(ISNUMBER(_xll.ciqfunctions.udf.CIQ($B10, "IQ_NI_MARGIN", DB$3, $I$3, $N$3, , $J$3, $K$3))),"",_xll.ciqfunctions.udf.CIQ($B10, "IQ_NI_MARGIN", DB$3, $I$3, $N$3, , $J$3, $K$3)/100)),"")</f>
        <v/>
      </c>
      <c r="DC10" s="87" t="str">
        <f>IFERROR(IF(OR($B10="",DC$3=""),"",IF(NOT(ISNUMBER(_xll.ciqfunctions.udf.CIQ($B10, "IQ_NI_MARGIN", DC$3, $I$3, $N$3, , $J$3, $K$3))),"",_xll.ciqfunctions.udf.CIQ($B10, "IQ_NI_MARGIN", DC$3, $I$3, $N$3, , $J$3, $K$3)/100)),"")</f>
        <v/>
      </c>
      <c r="DD10" s="87" t="str">
        <f>IFERROR(IF(OR($B10="",DD$3=""),"",IF(NOT(ISNUMBER(_xll.ciqfunctions.udf.CIQ($B10, "IQ_NI_MARGIN", DD$3, $I$3, $N$3, , $J$3, $K$3))),"",_xll.ciqfunctions.udf.CIQ($B10, "IQ_NI_MARGIN", DD$3, $I$3, $N$3, , $J$3, $K$3)/100)),"")</f>
        <v/>
      </c>
      <c r="DE10" s="87" t="str">
        <f>IFERROR(IF(OR($B10="",DE$3=""),"",IF(NOT(ISNUMBER(_xll.ciqfunctions.udf.CIQ($B10, "IQ_NI_MARGIN", DE$3, $I$3, $N$3, , $J$3, $K$3))),"",_xll.ciqfunctions.udf.CIQ($B10, "IQ_NI_MARGIN", DE$3, $I$3, $N$3, , $J$3, $K$3)/100)),"")</f>
        <v/>
      </c>
      <c r="DF10" s="87" t="str">
        <f>IFERROR(IF(OR($B10="",DF$3=""),"",IF(NOT(ISNUMBER(_xll.ciqfunctions.udf.CIQ($B10, "IQ_NI_MARGIN", DF$3, $I$3, $N$3, , $J$3, $K$3))),"",_xll.ciqfunctions.udf.CIQ($B10, "IQ_NI_MARGIN", DF$3, $I$3, $N$3, , $J$3, $K$3)/100)),"")</f>
        <v/>
      </c>
      <c r="DG10" s="87" t="str">
        <f>IFERROR(IF(OR($B10="",DG$3=""),"",IF(NOT(ISNUMBER(_xll.ciqfunctions.udf.CIQ($B10, "IQ_NI_MARGIN", DG$3, $I$3, $N$3, , $J$3, $K$3))),"",_xll.ciqfunctions.udf.CIQ($B10, "IQ_NI_MARGIN", DG$3, $I$3, $N$3, , $J$3, $K$3)/100)),"")</f>
        <v/>
      </c>
      <c r="DH10" s="88" t="str">
        <f>IFERROR(IF(OR($B10="",DH$3=""),"",IF(NOT(ISNUMBER(_xll.ciqfunctions.udf.CIQ($B10, "IQ_NI_MARGIN", DH$3, $I$3, $N$3, , $J$3, $K$3))),"",_xll.ciqfunctions.udf.CIQ($B10, "IQ_NI_MARGIN", DH$3, $I$3, $N$3, , $J$3, $K$3)/100)),"")</f>
        <v/>
      </c>
      <c r="DI10" s="86" t="str">
        <f>IFERROR(IF(OR($B10="",DI$3=""),"",IF(OR(NOT(ISNUMBER(_xll.ciqfunctions.udf.CIQ($B10, "IQ_COGS", DI$3, $I$3, $N$3, , $J$3, $K$3))),NOT(ISNUMBER(_xll.ciqfunctions.udf.CIQ($B10, "IQ_TOTAL_REVENUE", DI$3, $I$3, $N$3, , $J$3, $K$3)))),"",_xll.ciqfunctions.udf.CIQ($B10, "IQ_COGS", DI$3, $I$3, $N$3, , $J$3, $K$3)/_xll.ciqfunctions.udf.CIQ($B10, "IQ_TOTAL_REVENUE", DI$3, $I$3, $N$3, , $J$3, $K$3))),"")</f>
        <v/>
      </c>
      <c r="DJ10" s="87" t="str">
        <f>IFERROR(IF(OR($B10="",DJ$3=""),"",IF(OR(NOT(ISNUMBER(_xll.ciqfunctions.udf.CIQ($B10, "IQ_COGS", DJ$3, $I$3, $N$3, , $J$3, $K$3))),NOT(ISNUMBER(_xll.ciqfunctions.udf.CIQ($B10, "IQ_TOTAL_REVENUE", DJ$3, $I$3, $N$3, , $J$3, $K$3)))),"",_xll.ciqfunctions.udf.CIQ($B10, "IQ_COGS", DJ$3, $I$3, $N$3, , $J$3, $K$3)/_xll.ciqfunctions.udf.CIQ($B10, "IQ_TOTAL_REVENUE", DJ$3, $I$3, $N$3, , $J$3, $K$3))),"")</f>
        <v/>
      </c>
      <c r="DK10" s="87" t="str">
        <f>IFERROR(IF(OR($B10="",DK$3=""),"",IF(OR(NOT(ISNUMBER(_xll.ciqfunctions.udf.CIQ($B10, "IQ_COGS", DK$3, $I$3, $N$3, , $J$3, $K$3))),NOT(ISNUMBER(_xll.ciqfunctions.udf.CIQ($B10, "IQ_TOTAL_REVENUE", DK$3, $I$3, $N$3, , $J$3, $K$3)))),"",_xll.ciqfunctions.udf.CIQ($B10, "IQ_COGS", DK$3, $I$3, $N$3, , $J$3, $K$3)/_xll.ciqfunctions.udf.CIQ($B10, "IQ_TOTAL_REVENUE", DK$3, $I$3, $N$3, , $J$3, $K$3))),"")</f>
        <v/>
      </c>
      <c r="DL10" s="87" t="str">
        <f>IFERROR(IF(OR($B10="",DL$3=""),"",IF(OR(NOT(ISNUMBER(_xll.ciqfunctions.udf.CIQ($B10, "IQ_COGS", DL$3, $I$3, $N$3, , $J$3, $K$3))),NOT(ISNUMBER(_xll.ciqfunctions.udf.CIQ($B10, "IQ_TOTAL_REVENUE", DL$3, $I$3, $N$3, , $J$3, $K$3)))),"",_xll.ciqfunctions.udf.CIQ($B10, "IQ_COGS", DL$3, $I$3, $N$3, , $J$3, $K$3)/_xll.ciqfunctions.udf.CIQ($B10, "IQ_TOTAL_REVENUE", DL$3, $I$3, $N$3, , $J$3, $K$3))),"")</f>
        <v/>
      </c>
      <c r="DM10" s="87" t="str">
        <f>IFERROR(IF(OR($B10="",DM$3=""),"",IF(OR(NOT(ISNUMBER(_xll.ciqfunctions.udf.CIQ($B10, "IQ_COGS", DM$3, $I$3, $N$3, , $J$3, $K$3))),NOT(ISNUMBER(_xll.ciqfunctions.udf.CIQ($B10, "IQ_TOTAL_REVENUE", DM$3, $I$3, $N$3, , $J$3, $K$3)))),"",_xll.ciqfunctions.udf.CIQ($B10, "IQ_COGS", DM$3, $I$3, $N$3, , $J$3, $K$3)/_xll.ciqfunctions.udf.CIQ($B10, "IQ_TOTAL_REVENUE", DM$3, $I$3, $N$3, , $J$3, $K$3))),"")</f>
        <v/>
      </c>
      <c r="DN10" s="87" t="str">
        <f>IFERROR(IF(OR($B10="",DN$3=""),"",IF(OR(NOT(ISNUMBER(_xll.ciqfunctions.udf.CIQ($B10, "IQ_COGS", DN$3, $I$3, $N$3, , $J$3, $K$3))),NOT(ISNUMBER(_xll.ciqfunctions.udf.CIQ($B10, "IQ_TOTAL_REVENUE", DN$3, $I$3, $N$3, , $J$3, $K$3)))),"",_xll.ciqfunctions.udf.CIQ($B10, "IQ_COGS", DN$3, $I$3, $N$3, , $J$3, $K$3)/_xll.ciqfunctions.udf.CIQ($B10, "IQ_TOTAL_REVENUE", DN$3, $I$3, $N$3, , $J$3, $K$3))),"")</f>
        <v/>
      </c>
      <c r="DO10" s="87" t="str">
        <f>IFERROR(IF(OR($B10="",DO$3=""),"",IF(OR(NOT(ISNUMBER(_xll.ciqfunctions.udf.CIQ($B10, "IQ_COGS", DO$3, $I$3, $N$3, , $J$3, $K$3))),NOT(ISNUMBER(_xll.ciqfunctions.udf.CIQ($B10, "IQ_TOTAL_REVENUE", DO$3, $I$3, $N$3, , $J$3, $K$3)))),"",_xll.ciqfunctions.udf.CIQ($B10, "IQ_COGS", DO$3, $I$3, $N$3, , $J$3, $K$3)/_xll.ciqfunctions.udf.CIQ($B10, "IQ_TOTAL_REVENUE", DO$3, $I$3, $N$3, , $J$3, $K$3))),"")</f>
        <v/>
      </c>
      <c r="DP10" s="87" t="str">
        <f>IFERROR(IF(OR($B10="",DP$3=""),"",IF(OR(NOT(ISNUMBER(_xll.ciqfunctions.udf.CIQ($B10, "IQ_COGS", DP$3, $I$3, $N$3, , $J$3, $K$3))),NOT(ISNUMBER(_xll.ciqfunctions.udf.CIQ($B10, "IQ_TOTAL_REVENUE", DP$3, $I$3, $N$3, , $J$3, $K$3)))),"",_xll.ciqfunctions.udf.CIQ($B10, "IQ_COGS", DP$3, $I$3, $N$3, , $J$3, $K$3)/_xll.ciqfunctions.udf.CIQ($B10, "IQ_TOTAL_REVENUE", DP$3, $I$3, $N$3, , $J$3, $K$3))),"")</f>
        <v/>
      </c>
      <c r="DQ10" s="87" t="str">
        <f>IFERROR(IF(OR($B10="",DQ$3=""),"",IF(OR(NOT(ISNUMBER(_xll.ciqfunctions.udf.CIQ($B10, "IQ_COGS", DQ$3, $I$3, $N$3, , $J$3, $K$3))),NOT(ISNUMBER(_xll.ciqfunctions.udf.CIQ($B10, "IQ_TOTAL_REVENUE", DQ$3, $I$3, $N$3, , $J$3, $K$3)))),"",_xll.ciqfunctions.udf.CIQ($B10, "IQ_COGS", DQ$3, $I$3, $N$3, , $J$3, $K$3)/_xll.ciqfunctions.udf.CIQ($B10, "IQ_TOTAL_REVENUE", DQ$3, $I$3, $N$3, , $J$3, $K$3))),"")</f>
        <v/>
      </c>
      <c r="DR10" s="87" t="str">
        <f>IFERROR(IF(OR($B10="",DR$3=""),"",IF(OR(NOT(ISNUMBER(_xll.ciqfunctions.udf.CIQ($B10, "IQ_COGS", DR$3, $I$3, $N$3, , $J$3, $K$3))),NOT(ISNUMBER(_xll.ciqfunctions.udf.CIQ($B10, "IQ_TOTAL_REVENUE", DR$3, $I$3, $N$3, , $J$3, $K$3)))),"",_xll.ciqfunctions.udf.CIQ($B10, "IQ_COGS", DR$3, $I$3, $N$3, , $J$3, $K$3)/_xll.ciqfunctions.udf.CIQ($B10, "IQ_TOTAL_REVENUE", DR$3, $I$3, $N$3, , $J$3, $K$3))),"")</f>
        <v/>
      </c>
      <c r="DS10" s="87" t="str">
        <f>IFERROR(IF(OR($B10="",DS$3=""),"",IF(OR(NOT(ISNUMBER(_xll.ciqfunctions.udf.CIQ($B10, "IQ_COGS", DS$3, $I$3, $N$3, , $J$3, $K$3))),NOT(ISNUMBER(_xll.ciqfunctions.udf.CIQ($B10, "IQ_TOTAL_REVENUE", DS$3, $I$3, $N$3, , $J$3, $K$3)))),"",_xll.ciqfunctions.udf.CIQ($B10, "IQ_COGS", DS$3, $I$3, $N$3, , $J$3, $K$3)/_xll.ciqfunctions.udf.CIQ($B10, "IQ_TOTAL_REVENUE", DS$3, $I$3, $N$3, , $J$3, $K$3))),"")</f>
        <v/>
      </c>
      <c r="DT10" s="87" t="str">
        <f>IFERROR(IF(OR($B10="",DT$3=""),"",IF(OR(NOT(ISNUMBER(_xll.ciqfunctions.udf.CIQ($B10, "IQ_COGS", DT$3, $I$3, $N$3, , $J$3, $K$3))),NOT(ISNUMBER(_xll.ciqfunctions.udf.CIQ($B10, "IQ_TOTAL_REVENUE", DT$3, $I$3, $N$3, , $J$3, $K$3)))),"",_xll.ciqfunctions.udf.CIQ($B10, "IQ_COGS", DT$3, $I$3, $N$3, , $J$3, $K$3)/_xll.ciqfunctions.udf.CIQ($B10, "IQ_TOTAL_REVENUE", DT$3, $I$3, $N$3, , $J$3, $K$3))),"")</f>
        <v/>
      </c>
      <c r="DU10" s="87" t="str">
        <f>IFERROR(IF(OR($B10="",DU$3=""),"",IF(OR(NOT(ISNUMBER(_xll.ciqfunctions.udf.CIQ($B10, "IQ_COGS", DU$3, $I$3, $N$3, , $J$3, $K$3))),NOT(ISNUMBER(_xll.ciqfunctions.udf.CIQ($B10, "IQ_TOTAL_REVENUE", DU$3, $I$3, $N$3, , $J$3, $K$3)))),"",_xll.ciqfunctions.udf.CIQ($B10, "IQ_COGS", DU$3, $I$3, $N$3, , $J$3, $K$3)/_xll.ciqfunctions.udf.CIQ($B10, "IQ_TOTAL_REVENUE", DU$3, $I$3, $N$3, , $J$3, $K$3))),"")</f>
        <v/>
      </c>
      <c r="DV10" s="87" t="str">
        <f>IFERROR(IF(OR($B10="",DV$3=""),"",IF(OR(NOT(ISNUMBER(_xll.ciqfunctions.udf.CIQ($B10, "IQ_COGS", DV$3, $I$3, $N$3, , $J$3, $K$3))),NOT(ISNUMBER(_xll.ciqfunctions.udf.CIQ($B10, "IQ_TOTAL_REVENUE", DV$3, $I$3, $N$3, , $J$3, $K$3)))),"",_xll.ciqfunctions.udf.CIQ($B10, "IQ_COGS", DV$3, $I$3, $N$3, , $J$3, $K$3)/_xll.ciqfunctions.udf.CIQ($B10, "IQ_TOTAL_REVENUE", DV$3, $I$3, $N$3, , $J$3, $K$3))),"")</f>
        <v/>
      </c>
      <c r="DW10" s="87" t="str">
        <f>IFERROR(IF(OR($B10="",DW$3=""),"",IF(OR(NOT(ISNUMBER(_xll.ciqfunctions.udf.CIQ($B10, "IQ_COGS", DW$3, $I$3, $N$3, , $J$3, $K$3))),NOT(ISNUMBER(_xll.ciqfunctions.udf.CIQ($B10, "IQ_TOTAL_REVENUE", DW$3, $I$3, $N$3, , $J$3, $K$3)))),"",_xll.ciqfunctions.udf.CIQ($B10, "IQ_COGS", DW$3, $I$3, $N$3, , $J$3, $K$3)/_xll.ciqfunctions.udf.CIQ($B10, "IQ_TOTAL_REVENUE", DW$3, $I$3, $N$3, , $J$3, $K$3))),"")</f>
        <v/>
      </c>
      <c r="DX10" s="87" t="str">
        <f>IFERROR(IF(OR($B10="",DX$3=""),"",IF(OR(NOT(ISNUMBER(_xll.ciqfunctions.udf.CIQ($B10, "IQ_COGS", DX$3, $I$3, $N$3, , $J$3, $K$3))),NOT(ISNUMBER(_xll.ciqfunctions.udf.CIQ($B10, "IQ_TOTAL_REVENUE", DX$3, $I$3, $N$3, , $J$3, $K$3)))),"",_xll.ciqfunctions.udf.CIQ($B10, "IQ_COGS", DX$3, $I$3, $N$3, , $J$3, $K$3)/_xll.ciqfunctions.udf.CIQ($B10, "IQ_TOTAL_REVENUE", DX$3, $I$3, $N$3, , $J$3, $K$3))),"")</f>
        <v/>
      </c>
      <c r="DY10" s="87" t="str">
        <f>IFERROR(IF(OR($B10="",DY$3=""),"",IF(OR(NOT(ISNUMBER(_xll.ciqfunctions.udf.CIQ($B10, "IQ_COGS", DY$3, $I$3, $N$3, , $J$3, $K$3))),NOT(ISNUMBER(_xll.ciqfunctions.udf.CIQ($B10, "IQ_TOTAL_REVENUE", DY$3, $I$3, $N$3, , $J$3, $K$3)))),"",_xll.ciqfunctions.udf.CIQ($B10, "IQ_COGS", DY$3, $I$3, $N$3, , $J$3, $K$3)/_xll.ciqfunctions.udf.CIQ($B10, "IQ_TOTAL_REVENUE", DY$3, $I$3, $N$3, , $J$3, $K$3))),"")</f>
        <v/>
      </c>
      <c r="DZ10" s="87" t="str">
        <f>IFERROR(IF(OR($B10="",DZ$3=""),"",IF(OR(NOT(ISNUMBER(_xll.ciqfunctions.udf.CIQ($B10, "IQ_COGS", DZ$3, $I$3, $N$3, , $J$3, $K$3))),NOT(ISNUMBER(_xll.ciqfunctions.udf.CIQ($B10, "IQ_TOTAL_REVENUE", DZ$3, $I$3, $N$3, , $J$3, $K$3)))),"",_xll.ciqfunctions.udf.CIQ($B10, "IQ_COGS", DZ$3, $I$3, $N$3, , $J$3, $K$3)/_xll.ciqfunctions.udf.CIQ($B10, "IQ_TOTAL_REVENUE", DZ$3, $I$3, $N$3, , $J$3, $K$3))),"")</f>
        <v/>
      </c>
      <c r="EA10" s="87" t="str">
        <f>IFERROR(IF(OR($B10="",EA$3=""),"",IF(OR(NOT(ISNUMBER(_xll.ciqfunctions.udf.CIQ($B10, "IQ_COGS", EA$3, $I$3, $N$3, , $J$3, $K$3))),NOT(ISNUMBER(_xll.ciqfunctions.udf.CIQ($B10, "IQ_TOTAL_REVENUE", EA$3, $I$3, $N$3, , $J$3, $K$3)))),"",_xll.ciqfunctions.udf.CIQ($B10, "IQ_COGS", EA$3, $I$3, $N$3, , $J$3, $K$3)/_xll.ciqfunctions.udf.CIQ($B10, "IQ_TOTAL_REVENUE", EA$3, $I$3, $N$3, , $J$3, $K$3))),"")</f>
        <v/>
      </c>
      <c r="EB10" s="88" t="str">
        <f>IFERROR(IF(OR($B10="",EB$3=""),"",IF(OR(NOT(ISNUMBER(_xll.ciqfunctions.udf.CIQ($B10, "IQ_COGS", EB$3, $I$3, $N$3, , $J$3, $K$3))),NOT(ISNUMBER(_xll.ciqfunctions.udf.CIQ($B10, "IQ_TOTAL_REVENUE", EB$3, $I$3, $N$3, , $J$3, $K$3)))),"",_xll.ciqfunctions.udf.CIQ($B10, "IQ_COGS", EB$3, $I$3, $N$3, , $J$3, $K$3)/_xll.ciqfunctions.udf.CIQ($B10, "IQ_TOTAL_REVENUE", EB$3, $I$3, $N$3, , $J$3, $K$3))),"")</f>
        <v/>
      </c>
      <c r="EC10" s="86" t="str">
        <f>IFERROR(IF(OR($B10="",EC$3=""),"",(_xll.ciqfunctions.udf.CIQ($B10,"IQ_TOTAL_REVENUE",EC$3, $I$3, $N$3, , $J$3, $K$3)-_xll.ciqfunctions.udf.CIQ($B10,"IQ_COGS",EC$3, $I$3, $N$3, , $J$3, $K$3)-_xll.ciqfunctions.udf.CIQ($B10,"IQ_EBITDA",EC$3, $I$3, $N$3, , $J$3, $K$3))/_xll.ciqfunctions.udf.CIQ($B10,"IQ_TOTAL_REVENUE",EC$3, $I$3, $N$3, , $J$3, $K$3)),"")</f>
        <v/>
      </c>
      <c r="ED10" s="87" t="str">
        <f>IFERROR(IF(OR($B10="",ED$3=""),"",(_xll.ciqfunctions.udf.CIQ($B10,"IQ_TOTAL_REVENUE",ED$3, $I$3, $N$3, , $J$3, $K$3)-_xll.ciqfunctions.udf.CIQ($B10,"IQ_COGS",ED$3, $I$3, $N$3, , $J$3, $K$3)-_xll.ciqfunctions.udf.CIQ($B10,"IQ_EBITDA",ED$3, $I$3, $N$3, , $J$3, $K$3))/_xll.ciqfunctions.udf.CIQ($B10,"IQ_TOTAL_REVENUE",ED$3, $I$3, $N$3, , $J$3, $K$3)),"")</f>
        <v/>
      </c>
      <c r="EE10" s="87" t="str">
        <f>IFERROR(IF(OR($B10="",EE$3=""),"",(_xll.ciqfunctions.udf.CIQ($B10,"IQ_TOTAL_REVENUE",EE$3, $I$3, $N$3, , $J$3, $K$3)-_xll.ciqfunctions.udf.CIQ($B10,"IQ_COGS",EE$3, $I$3, $N$3, , $J$3, $K$3)-_xll.ciqfunctions.udf.CIQ($B10,"IQ_EBITDA",EE$3, $I$3, $N$3, , $J$3, $K$3))/_xll.ciqfunctions.udf.CIQ($B10,"IQ_TOTAL_REVENUE",EE$3, $I$3, $N$3, , $J$3, $K$3)),"")</f>
        <v/>
      </c>
      <c r="EF10" s="87" t="str">
        <f>IFERROR(IF(OR($B10="",EF$3=""),"",(_xll.ciqfunctions.udf.CIQ($B10,"IQ_TOTAL_REVENUE",EF$3, $I$3, $N$3, , $J$3, $K$3)-_xll.ciqfunctions.udf.CIQ($B10,"IQ_COGS",EF$3, $I$3, $N$3, , $J$3, $K$3)-_xll.ciqfunctions.udf.CIQ($B10,"IQ_EBITDA",EF$3, $I$3, $N$3, , $J$3, $K$3))/_xll.ciqfunctions.udf.CIQ($B10,"IQ_TOTAL_REVENUE",EF$3, $I$3, $N$3, , $J$3, $K$3)),"")</f>
        <v/>
      </c>
      <c r="EG10" s="87" t="str">
        <f>IFERROR(IF(OR($B10="",EG$3=""),"",(_xll.ciqfunctions.udf.CIQ($B10,"IQ_TOTAL_REVENUE",EG$3, $I$3, $N$3, , $J$3, $K$3)-_xll.ciqfunctions.udf.CIQ($B10,"IQ_COGS",EG$3, $I$3, $N$3, , $J$3, $K$3)-_xll.ciqfunctions.udf.CIQ($B10,"IQ_EBITDA",EG$3, $I$3, $N$3, , $J$3, $K$3))/_xll.ciqfunctions.udf.CIQ($B10,"IQ_TOTAL_REVENUE",EG$3, $I$3, $N$3, , $J$3, $K$3)),"")</f>
        <v/>
      </c>
      <c r="EH10" s="87" t="str">
        <f>IFERROR(IF(OR($B10="",EH$3=""),"",(_xll.ciqfunctions.udf.CIQ($B10,"IQ_TOTAL_REVENUE",EH$3, $I$3, $N$3, , $J$3, $K$3)-_xll.ciqfunctions.udf.CIQ($B10,"IQ_COGS",EH$3, $I$3, $N$3, , $J$3, $K$3)-_xll.ciqfunctions.udf.CIQ($B10,"IQ_EBITDA",EH$3, $I$3, $N$3, , $J$3, $K$3))/_xll.ciqfunctions.udf.CIQ($B10,"IQ_TOTAL_REVENUE",EH$3, $I$3, $N$3, , $J$3, $K$3)),"")</f>
        <v/>
      </c>
      <c r="EI10" s="87" t="str">
        <f>IFERROR(IF(OR($B10="",EI$3=""),"",(_xll.ciqfunctions.udf.CIQ($B10,"IQ_TOTAL_REVENUE",EI$3, $I$3, $N$3, , $J$3, $K$3)-_xll.ciqfunctions.udf.CIQ($B10,"IQ_COGS",EI$3, $I$3, $N$3, , $J$3, $K$3)-_xll.ciqfunctions.udf.CIQ($B10,"IQ_EBITDA",EI$3, $I$3, $N$3, , $J$3, $K$3))/_xll.ciqfunctions.udf.CIQ($B10,"IQ_TOTAL_REVENUE",EI$3, $I$3, $N$3, , $J$3, $K$3)),"")</f>
        <v/>
      </c>
      <c r="EJ10" s="87" t="str">
        <f>IFERROR(IF(OR($B10="",EJ$3=""),"",(_xll.ciqfunctions.udf.CIQ($B10,"IQ_TOTAL_REVENUE",EJ$3, $I$3, $N$3, , $J$3, $K$3)-_xll.ciqfunctions.udf.CIQ($B10,"IQ_COGS",EJ$3, $I$3, $N$3, , $J$3, $K$3)-_xll.ciqfunctions.udf.CIQ($B10,"IQ_EBITDA",EJ$3, $I$3, $N$3, , $J$3, $K$3))/_xll.ciqfunctions.udf.CIQ($B10,"IQ_TOTAL_REVENUE",EJ$3, $I$3, $N$3, , $J$3, $K$3)),"")</f>
        <v/>
      </c>
      <c r="EK10" s="87" t="str">
        <f>IFERROR(IF(OR($B10="",EK$3=""),"",(_xll.ciqfunctions.udf.CIQ($B10,"IQ_TOTAL_REVENUE",EK$3, $I$3, $N$3, , $J$3, $K$3)-_xll.ciqfunctions.udf.CIQ($B10,"IQ_COGS",EK$3, $I$3, $N$3, , $J$3, $K$3)-_xll.ciqfunctions.udf.CIQ($B10,"IQ_EBITDA",EK$3, $I$3, $N$3, , $J$3, $K$3))/_xll.ciqfunctions.udf.CIQ($B10,"IQ_TOTAL_REVENUE",EK$3, $I$3, $N$3, , $J$3, $K$3)),"")</f>
        <v/>
      </c>
      <c r="EL10" s="87" t="str">
        <f>IFERROR(IF(OR($B10="",EL$3=""),"",(_xll.ciqfunctions.udf.CIQ($B10,"IQ_TOTAL_REVENUE",EL$3, $I$3, $N$3, , $J$3, $K$3)-_xll.ciqfunctions.udf.CIQ($B10,"IQ_COGS",EL$3, $I$3, $N$3, , $J$3, $K$3)-_xll.ciqfunctions.udf.CIQ($B10,"IQ_EBITDA",EL$3, $I$3, $N$3, , $J$3, $K$3))/_xll.ciqfunctions.udf.CIQ($B10,"IQ_TOTAL_REVENUE",EL$3, $I$3, $N$3, , $J$3, $K$3)),"")</f>
        <v/>
      </c>
      <c r="EM10" s="87" t="str">
        <f>IFERROR(IF(OR($B10="",EM$3=""),"",(_xll.ciqfunctions.udf.CIQ($B10,"IQ_TOTAL_REVENUE",EM$3, $I$3, $N$3, , $J$3, $K$3)-_xll.ciqfunctions.udf.CIQ($B10,"IQ_COGS",EM$3, $I$3, $N$3, , $J$3, $K$3)-_xll.ciqfunctions.udf.CIQ($B10,"IQ_EBITDA",EM$3, $I$3, $N$3, , $J$3, $K$3))/_xll.ciqfunctions.udf.CIQ($B10,"IQ_TOTAL_REVENUE",EM$3, $I$3, $N$3, , $J$3, $K$3)),"")</f>
        <v/>
      </c>
      <c r="EN10" s="87" t="str">
        <f>IFERROR(IF(OR($B10="",EN$3=""),"",(_xll.ciqfunctions.udf.CIQ($B10,"IQ_TOTAL_REVENUE",EN$3, $I$3, $N$3, , $J$3, $K$3)-_xll.ciqfunctions.udf.CIQ($B10,"IQ_COGS",EN$3, $I$3, $N$3, , $J$3, $K$3)-_xll.ciqfunctions.udf.CIQ($B10,"IQ_EBITDA",EN$3, $I$3, $N$3, , $J$3, $K$3))/_xll.ciqfunctions.udf.CIQ($B10,"IQ_TOTAL_REVENUE",EN$3, $I$3, $N$3, , $J$3, $K$3)),"")</f>
        <v/>
      </c>
      <c r="EO10" s="87" t="str">
        <f>IFERROR(IF(OR($B10="",EO$3=""),"",(_xll.ciqfunctions.udf.CIQ($B10,"IQ_TOTAL_REVENUE",EO$3, $I$3, $N$3, , $J$3, $K$3)-_xll.ciqfunctions.udf.CIQ($B10,"IQ_COGS",EO$3, $I$3, $N$3, , $J$3, $K$3)-_xll.ciqfunctions.udf.CIQ($B10,"IQ_EBITDA",EO$3, $I$3, $N$3, , $J$3, $K$3))/_xll.ciqfunctions.udf.CIQ($B10,"IQ_TOTAL_REVENUE",EO$3, $I$3, $N$3, , $J$3, $K$3)),"")</f>
        <v/>
      </c>
      <c r="EP10" s="87" t="str">
        <f>IFERROR(IF(OR($B10="",EP$3=""),"",(_xll.ciqfunctions.udf.CIQ($B10,"IQ_TOTAL_REVENUE",EP$3, $I$3, $N$3, , $J$3, $K$3)-_xll.ciqfunctions.udf.CIQ($B10,"IQ_COGS",EP$3, $I$3, $N$3, , $J$3, $K$3)-_xll.ciqfunctions.udf.CIQ($B10,"IQ_EBITDA",EP$3, $I$3, $N$3, , $J$3, $K$3))/_xll.ciqfunctions.udf.CIQ($B10,"IQ_TOTAL_REVENUE",EP$3, $I$3, $N$3, , $J$3, $K$3)),"")</f>
        <v/>
      </c>
      <c r="EQ10" s="87" t="str">
        <f>IFERROR(IF(OR($B10="",EQ$3=""),"",(_xll.ciqfunctions.udf.CIQ($B10,"IQ_TOTAL_REVENUE",EQ$3, $I$3, $N$3, , $J$3, $K$3)-_xll.ciqfunctions.udf.CIQ($B10,"IQ_COGS",EQ$3, $I$3, $N$3, , $J$3, $K$3)-_xll.ciqfunctions.udf.CIQ($B10,"IQ_EBITDA",EQ$3, $I$3, $N$3, , $J$3, $K$3))/_xll.ciqfunctions.udf.CIQ($B10,"IQ_TOTAL_REVENUE",EQ$3, $I$3, $N$3, , $J$3, $K$3)),"")</f>
        <v/>
      </c>
      <c r="ER10" s="87" t="str">
        <f>IFERROR(IF(OR($B10="",ER$3=""),"",(_xll.ciqfunctions.udf.CIQ($B10,"IQ_TOTAL_REVENUE",ER$3, $I$3, $N$3, , $J$3, $K$3)-_xll.ciqfunctions.udf.CIQ($B10,"IQ_COGS",ER$3, $I$3, $N$3, , $J$3, $K$3)-_xll.ciqfunctions.udf.CIQ($B10,"IQ_EBITDA",ER$3, $I$3, $N$3, , $J$3, $K$3))/_xll.ciqfunctions.udf.CIQ($B10,"IQ_TOTAL_REVENUE",ER$3, $I$3, $N$3, , $J$3, $K$3)),"")</f>
        <v/>
      </c>
      <c r="ES10" s="87" t="str">
        <f>IFERROR(IF(OR($B10="",ES$3=""),"",(_xll.ciqfunctions.udf.CIQ($B10,"IQ_TOTAL_REVENUE",ES$3, $I$3, $N$3, , $J$3, $K$3)-_xll.ciqfunctions.udf.CIQ($B10,"IQ_COGS",ES$3, $I$3, $N$3, , $J$3, $K$3)-_xll.ciqfunctions.udf.CIQ($B10,"IQ_EBITDA",ES$3, $I$3, $N$3, , $J$3, $K$3))/_xll.ciqfunctions.udf.CIQ($B10,"IQ_TOTAL_REVENUE",ES$3, $I$3, $N$3, , $J$3, $K$3)),"")</f>
        <v/>
      </c>
      <c r="ET10" s="87" t="str">
        <f>IFERROR(IF(OR($B10="",ET$3=""),"",(_xll.ciqfunctions.udf.CIQ($B10,"IQ_TOTAL_REVENUE",ET$3, $I$3, $N$3, , $J$3, $K$3)-_xll.ciqfunctions.udf.CIQ($B10,"IQ_COGS",ET$3, $I$3, $N$3, , $J$3, $K$3)-_xll.ciqfunctions.udf.CIQ($B10,"IQ_EBITDA",ET$3, $I$3, $N$3, , $J$3, $K$3))/_xll.ciqfunctions.udf.CIQ($B10,"IQ_TOTAL_REVENUE",ET$3, $I$3, $N$3, , $J$3, $K$3)),"")</f>
        <v/>
      </c>
      <c r="EU10" s="87" t="str">
        <f>IFERROR(IF(OR($B10="",EU$3=""),"",(_xll.ciqfunctions.udf.CIQ($B10,"IQ_TOTAL_REVENUE",EU$3, $I$3, $N$3, , $J$3, $K$3)-_xll.ciqfunctions.udf.CIQ($B10,"IQ_COGS",EU$3, $I$3, $N$3, , $J$3, $K$3)-_xll.ciqfunctions.udf.CIQ($B10,"IQ_EBITDA",EU$3, $I$3, $N$3, , $J$3, $K$3))/_xll.ciqfunctions.udf.CIQ($B10,"IQ_TOTAL_REVENUE",EU$3, $I$3, $N$3, , $J$3, $K$3)),"")</f>
        <v/>
      </c>
      <c r="EV10" s="88" t="str">
        <f>IFERROR(IF(OR($B10="",EV$3=""),"",(_xll.ciqfunctions.udf.CIQ($B10,"IQ_TOTAL_REVENUE",EV$3, $I$3, $N$3, , $J$3, $K$3)-_xll.ciqfunctions.udf.CIQ($B10,"IQ_COGS",EV$3, $I$3, $N$3, , $J$3, $K$3)-_xll.ciqfunctions.udf.CIQ($B10,"IQ_EBITDA",EV$3, $I$3, $N$3, , $J$3, $K$3))/_xll.ciqfunctions.udf.CIQ($B10,"IQ_TOTAL_REVENUE",EV$3, $I$3, $N$3, , $J$3, $K$3)),"")</f>
        <v/>
      </c>
      <c r="EW10" s="72" t="str">
        <f>IFERROR(IF(OR($B10="",EW$3=""),"",IF(AND($EW$4="No",_xll.ciqfunctions.udf.CIQ($B10, "IQ_SGA_MARGIN", EW$3, $I$3, $N$3, , $J$3, $K$3)&lt;=0),"",_xll.ciqfunctions.udf.CIQ($B10, "IQ_SGA_MARGIN", EW$3, $I$3, $N$3, , $J$3, $K$3)/100)),"")</f>
        <v/>
      </c>
      <c r="EX10" s="72" t="str">
        <f>IFERROR(IF(OR($B10="",EX$3=""),"",IF(AND($EW$4="No",_xll.ciqfunctions.udf.CIQ($B10, "IQ_SGA_MARGIN", EX$3, $I$3, $N$3, , $J$3, $K$3)&lt;=0),"",_xll.ciqfunctions.udf.CIQ($B10, "IQ_SGA_MARGIN", EX$3, $I$3, $N$3, , $J$3, $K$3)/100)),"")</f>
        <v/>
      </c>
      <c r="EY10" s="72" t="str">
        <f>IFERROR(IF(OR($B10="",EY$3=""),"",IF(AND($EW$4="No",_xll.ciqfunctions.udf.CIQ($B10, "IQ_SGA_MARGIN", EY$3, $I$3, $N$3, , $J$3, $K$3)&lt;=0),"",_xll.ciqfunctions.udf.CIQ($B10, "IQ_SGA_MARGIN", EY$3, $I$3, $N$3, , $J$3, $K$3)/100)),"")</f>
        <v/>
      </c>
      <c r="EZ10" s="72" t="str">
        <f>IFERROR(IF(OR($B10="",EZ$3=""),"",IF(AND($EW$4="No",_xll.ciqfunctions.udf.CIQ($B10, "IQ_SGA_MARGIN", EZ$3, $I$3, $N$3, , $J$3, $K$3)&lt;=0),"",_xll.ciqfunctions.udf.CIQ($B10, "IQ_SGA_MARGIN", EZ$3, $I$3, $N$3, , $J$3, $K$3)/100)),"")</f>
        <v/>
      </c>
      <c r="FA10" s="72" t="str">
        <f>IFERROR(IF(OR($B10="",FA$3=""),"",IF(AND($EW$4="No",_xll.ciqfunctions.udf.CIQ($B10, "IQ_SGA_MARGIN", FA$3, $I$3, $N$3, , $J$3, $K$3)&lt;=0),"",_xll.ciqfunctions.udf.CIQ($B10, "IQ_SGA_MARGIN", FA$3, $I$3, $N$3, , $J$3, $K$3)/100)),"")</f>
        <v/>
      </c>
      <c r="FB10" s="72" t="str">
        <f>IFERROR(IF(OR($B10="",FB$3=""),"",IF(AND($EW$4="No",_xll.ciqfunctions.udf.CIQ($B10, "IQ_SGA_MARGIN", FB$3, $I$3, $N$3, , $J$3, $K$3)&lt;=0),"",_xll.ciqfunctions.udf.CIQ($B10, "IQ_SGA_MARGIN", FB$3, $I$3, $N$3, , $J$3, $K$3)/100)),"")</f>
        <v/>
      </c>
      <c r="FC10" s="72" t="str">
        <f>IFERROR(IF(OR($B10="",FC$3=""),"",IF(AND($EW$4="No",_xll.ciqfunctions.udf.CIQ($B10, "IQ_SGA_MARGIN", FC$3, $I$3, $N$3, , $J$3, $K$3)&lt;=0),"",_xll.ciqfunctions.udf.CIQ($B10, "IQ_SGA_MARGIN", FC$3, $I$3, $N$3, , $J$3, $K$3)/100)),"")</f>
        <v/>
      </c>
      <c r="FD10" s="72" t="str">
        <f>IFERROR(IF(OR($B10="",FD$3=""),"",IF(AND($EW$4="No",_xll.ciqfunctions.udf.CIQ($B10, "IQ_SGA_MARGIN", FD$3, $I$3, $N$3, , $J$3, $K$3)&lt;=0),"",_xll.ciqfunctions.udf.CIQ($B10, "IQ_SGA_MARGIN", FD$3, $I$3, $N$3, , $J$3, $K$3)/100)),"")</f>
        <v/>
      </c>
      <c r="FE10" s="72" t="str">
        <f>IFERROR(IF(OR($B10="",FE$3=""),"",IF(AND($EW$4="No",_xll.ciqfunctions.udf.CIQ($B10, "IQ_SGA_MARGIN", FE$3, $I$3, $N$3, , $J$3, $K$3)&lt;=0),"",_xll.ciqfunctions.udf.CIQ($B10, "IQ_SGA_MARGIN", FE$3, $I$3, $N$3, , $J$3, $K$3)/100)),"")</f>
        <v/>
      </c>
      <c r="FF10" s="72" t="str">
        <f>IFERROR(IF(OR($B10="",FF$3=""),"",IF(AND($EW$4="No",_xll.ciqfunctions.udf.CIQ($B10, "IQ_SGA_MARGIN", FF$3, $I$3, $N$3, , $J$3, $K$3)&lt;=0),"",_xll.ciqfunctions.udf.CIQ($B10, "IQ_SGA_MARGIN", FF$3, $I$3, $N$3, , $J$3, $K$3)/100)),"")</f>
        <v/>
      </c>
      <c r="FG10" s="72" t="str">
        <f>IFERROR(IF(OR($B10="",FG$3=""),"",IF(AND($EW$4="No",_xll.ciqfunctions.udf.CIQ($B10, "IQ_SGA_MARGIN", FG$3, $I$3, $N$3, , $J$3, $K$3)&lt;=0),"",_xll.ciqfunctions.udf.CIQ($B10, "IQ_SGA_MARGIN", FG$3, $I$3, $N$3, , $J$3, $K$3)/100)),"")</f>
        <v/>
      </c>
      <c r="FH10" s="72" t="str">
        <f>IFERROR(IF(OR($B10="",FH$3=""),"",IF(AND($EW$4="No",_xll.ciqfunctions.udf.CIQ($B10, "IQ_SGA_MARGIN", FH$3, $I$3, $N$3, , $J$3, $K$3)&lt;=0),"",_xll.ciqfunctions.udf.CIQ($B10, "IQ_SGA_MARGIN", FH$3, $I$3, $N$3, , $J$3, $K$3)/100)),"")</f>
        <v/>
      </c>
      <c r="FI10" s="72" t="str">
        <f>IFERROR(IF(OR($B10="",FI$3=""),"",IF(AND($EW$4="No",_xll.ciqfunctions.udf.CIQ($B10, "IQ_SGA_MARGIN", FI$3, $I$3, $N$3, , $J$3, $K$3)&lt;=0),"",_xll.ciqfunctions.udf.CIQ($B10, "IQ_SGA_MARGIN", FI$3, $I$3, $N$3, , $J$3, $K$3)/100)),"")</f>
        <v/>
      </c>
      <c r="FJ10" s="72" t="str">
        <f>IFERROR(IF(OR($B10="",FJ$3=""),"",IF(AND($EW$4="No",_xll.ciqfunctions.udf.CIQ($B10, "IQ_SGA_MARGIN", FJ$3, $I$3, $N$3, , $J$3, $K$3)&lt;=0),"",_xll.ciqfunctions.udf.CIQ($B10, "IQ_SGA_MARGIN", FJ$3, $I$3, $N$3, , $J$3, $K$3)/100)),"")</f>
        <v/>
      </c>
      <c r="FK10" s="72" t="str">
        <f>IFERROR(IF(OR($B10="",FK$3=""),"",IF(AND($EW$4="No",_xll.ciqfunctions.udf.CIQ($B10, "IQ_SGA_MARGIN", FK$3, $I$3, $N$3, , $J$3, $K$3)&lt;=0),"",_xll.ciqfunctions.udf.CIQ($B10, "IQ_SGA_MARGIN", FK$3, $I$3, $N$3, , $J$3, $K$3)/100)),"")</f>
        <v/>
      </c>
      <c r="FL10" s="72" t="str">
        <f>IFERROR(IF(OR($B10="",FL$3=""),"",IF(AND($EW$4="No",_xll.ciqfunctions.udf.CIQ($B10, "IQ_SGA_MARGIN", FL$3, $I$3, $N$3, , $J$3, $K$3)&lt;=0),"",_xll.ciqfunctions.udf.CIQ($B10, "IQ_SGA_MARGIN", FL$3, $I$3, $N$3, , $J$3, $K$3)/100)),"")</f>
        <v/>
      </c>
      <c r="FM10" s="72" t="str">
        <f>IFERROR(IF(OR($B10="",FM$3=""),"",IF(AND($EW$4="No",_xll.ciqfunctions.udf.CIQ($B10, "IQ_SGA_MARGIN", FM$3, $I$3, $N$3, , $J$3, $K$3)&lt;=0),"",_xll.ciqfunctions.udf.CIQ($B10, "IQ_SGA_MARGIN", FM$3, $I$3, $N$3, , $J$3, $K$3)/100)),"")</f>
        <v/>
      </c>
      <c r="FN10" s="72" t="str">
        <f>IFERROR(IF(OR($B10="",FN$3=""),"",IF(AND($EW$4="No",_xll.ciqfunctions.udf.CIQ($B10, "IQ_SGA_MARGIN", FN$3, $I$3, $N$3, , $J$3, $K$3)&lt;=0),"",_xll.ciqfunctions.udf.CIQ($B10, "IQ_SGA_MARGIN", FN$3, $I$3, $N$3, , $J$3, $K$3)/100)),"")</f>
        <v/>
      </c>
      <c r="FO10" s="72" t="str">
        <f>IFERROR(IF(OR($B10="",FO$3=""),"",IF(AND($EW$4="No",_xll.ciqfunctions.udf.CIQ($B10, "IQ_SGA_MARGIN", FO$3, $I$3, $N$3, , $J$3, $K$3)&lt;=0),"",_xll.ciqfunctions.udf.CIQ($B10, "IQ_SGA_MARGIN", FO$3, $I$3, $N$3, , $J$3, $K$3)/100)),"")</f>
        <v/>
      </c>
      <c r="FP10" s="72" t="str">
        <f>IFERROR(IF(OR($B10="",FP$3=""),"",IF(AND($EW$4="No",_xll.ciqfunctions.udf.CIQ($B10, "IQ_SGA_MARGIN", FP$3, $I$3, $N$3, , $J$3, $K$3)&lt;=0),"",_xll.ciqfunctions.udf.CIQ($B10, "IQ_SGA_MARGIN", FP$3, $I$3, $N$3, , $J$3, $K$3)/100)),"")</f>
        <v/>
      </c>
      <c r="FQ10" s="86" t="str">
        <f>IFERROR(IF(OR($B10="",FQ$3=""),"",IF(AND($FQ$4="No",_xll.ciqfunctions.udf.CIQ($B10, "IQ_RD_EXP",FQ$3, $I$3, $N$3, , $J$3, $K$3)&lt;=0),"",_xll.ciqfunctions.udf.CIQ($B10, "IQ_RD_EXP",FQ$3, $I$3, $N$3, , $J$3, $K$3)/_xll.ciqfunctions.udf.CIQ($B10,"IQ_TOTAL_REV",FQ$3, $I$3, $N$3, , $J$3, $K$3))),"")</f>
        <v/>
      </c>
      <c r="FR10" s="87" t="str">
        <f>IFERROR(IF(OR($B10="",FR$3=""),"",IF(AND($FQ$4="No",_xll.ciqfunctions.udf.CIQ($B10, "IQ_RD_EXP",FR$3, $I$3, $N$3, , $J$3, $K$3)&lt;=0),"",_xll.ciqfunctions.udf.CIQ($B10, "IQ_RD_EXP",FR$3, $I$3, $N$3, , $J$3, $K$3)/_xll.ciqfunctions.udf.CIQ($B10,"IQ_TOTAL_REV",FR$3, $I$3, $N$3, , $J$3, $K$3))),"")</f>
        <v/>
      </c>
      <c r="FS10" s="87" t="str">
        <f>IFERROR(IF(OR($B10="",FS$3=""),"",IF(AND($FQ$4="No",_xll.ciqfunctions.udf.CIQ($B10, "IQ_RD_EXP",FS$3, $I$3, $N$3, , $J$3, $K$3)&lt;=0),"",_xll.ciqfunctions.udf.CIQ($B10, "IQ_RD_EXP",FS$3, $I$3, $N$3, , $J$3, $K$3)/_xll.ciqfunctions.udf.CIQ($B10,"IQ_TOTAL_REV",FS$3, $I$3, $N$3, , $J$3, $K$3))),"")</f>
        <v/>
      </c>
      <c r="FT10" s="87" t="str">
        <f>IFERROR(IF(OR($B10="",FT$3=""),"",IF(AND($FQ$4="No",_xll.ciqfunctions.udf.CIQ($B10, "IQ_RD_EXP",FT$3, $I$3, $N$3, , $J$3, $K$3)&lt;=0),"",_xll.ciqfunctions.udf.CIQ($B10, "IQ_RD_EXP",FT$3, $I$3, $N$3, , $J$3, $K$3)/_xll.ciqfunctions.udf.CIQ($B10,"IQ_TOTAL_REV",FT$3, $I$3, $N$3, , $J$3, $K$3))),"")</f>
        <v/>
      </c>
      <c r="FU10" s="87" t="str">
        <f>IFERROR(IF(OR($B10="",FU$3=""),"",IF(AND($FQ$4="No",_xll.ciqfunctions.udf.CIQ($B10, "IQ_RD_EXP",FU$3, $I$3, $N$3, , $J$3, $K$3)&lt;=0),"",_xll.ciqfunctions.udf.CIQ($B10, "IQ_RD_EXP",FU$3, $I$3, $N$3, , $J$3, $K$3)/_xll.ciqfunctions.udf.CIQ($B10,"IQ_TOTAL_REV",FU$3, $I$3, $N$3, , $J$3, $K$3))),"")</f>
        <v/>
      </c>
      <c r="FV10" s="87" t="str">
        <f>IFERROR(IF(OR($B10="",FV$3=""),"",IF(AND($FQ$4="No",_xll.ciqfunctions.udf.CIQ($B10, "IQ_RD_EXP",FV$3, $I$3, $N$3, , $J$3, $K$3)&lt;=0),"",_xll.ciqfunctions.udf.CIQ($B10, "IQ_RD_EXP",FV$3, $I$3, $N$3, , $J$3, $K$3)/_xll.ciqfunctions.udf.CIQ($B10,"IQ_TOTAL_REV",FV$3, $I$3, $N$3, , $J$3, $K$3))),"")</f>
        <v/>
      </c>
      <c r="FW10" s="87" t="str">
        <f>IFERROR(IF(OR($B10="",FW$3=""),"",IF(AND($FQ$4="No",_xll.ciqfunctions.udf.CIQ($B10, "IQ_RD_EXP",FW$3, $I$3, $N$3, , $J$3, $K$3)&lt;=0),"",_xll.ciqfunctions.udf.CIQ($B10, "IQ_RD_EXP",FW$3, $I$3, $N$3, , $J$3, $K$3)/_xll.ciqfunctions.udf.CIQ($B10,"IQ_TOTAL_REV",FW$3, $I$3, $N$3, , $J$3, $K$3))),"")</f>
        <v/>
      </c>
      <c r="FX10" s="87" t="str">
        <f>IFERROR(IF(OR($B10="",FX$3=""),"",IF(AND($FQ$4="No",_xll.ciqfunctions.udf.CIQ($B10, "IQ_RD_EXP",FX$3, $I$3, $N$3, , $J$3, $K$3)&lt;=0),"",_xll.ciqfunctions.udf.CIQ($B10, "IQ_RD_EXP",FX$3, $I$3, $N$3, , $J$3, $K$3)/_xll.ciqfunctions.udf.CIQ($B10,"IQ_TOTAL_REV",FX$3, $I$3, $N$3, , $J$3, $K$3))),"")</f>
        <v/>
      </c>
      <c r="FY10" s="87" t="str">
        <f>IFERROR(IF(OR($B10="",FY$3=""),"",IF(AND($FQ$4="No",_xll.ciqfunctions.udf.CIQ($B10, "IQ_RD_EXP",FY$3, $I$3, $N$3, , $J$3, $K$3)&lt;=0),"",_xll.ciqfunctions.udf.CIQ($B10, "IQ_RD_EXP",FY$3, $I$3, $N$3, , $J$3, $K$3)/_xll.ciqfunctions.udf.CIQ($B10,"IQ_TOTAL_REV",FY$3, $I$3, $N$3, , $J$3, $K$3))),"")</f>
        <v/>
      </c>
      <c r="FZ10" s="87" t="str">
        <f>IFERROR(IF(OR($B10="",FZ$3=""),"",IF(AND($FQ$4="No",_xll.ciqfunctions.udf.CIQ($B10, "IQ_RD_EXP",FZ$3, $I$3, $N$3, , $J$3, $K$3)&lt;=0),"",_xll.ciqfunctions.udf.CIQ($B10, "IQ_RD_EXP",FZ$3, $I$3, $N$3, , $J$3, $K$3)/_xll.ciqfunctions.udf.CIQ($B10,"IQ_TOTAL_REV",FZ$3, $I$3, $N$3, , $J$3, $K$3))),"")</f>
        <v/>
      </c>
      <c r="GA10" s="87" t="str">
        <f>IFERROR(IF(OR($B10="",GA$3=""),"",IF(AND($FQ$4="No",_xll.ciqfunctions.udf.CIQ($B10, "IQ_RD_EXP",GA$3, $I$3, $N$3, , $J$3, $K$3)&lt;=0),"",_xll.ciqfunctions.udf.CIQ($B10, "IQ_RD_EXP",GA$3, $I$3, $N$3, , $J$3, $K$3)/_xll.ciqfunctions.udf.CIQ($B10,"IQ_TOTAL_REV",GA$3, $I$3, $N$3, , $J$3, $K$3))),"")</f>
        <v/>
      </c>
      <c r="GB10" s="87" t="str">
        <f>IFERROR(IF(OR($B10="",GB$3=""),"",IF(AND($FQ$4="No",_xll.ciqfunctions.udf.CIQ($B10, "IQ_RD_EXP",GB$3, $I$3, $N$3, , $J$3, $K$3)&lt;=0),"",_xll.ciqfunctions.udf.CIQ($B10, "IQ_RD_EXP",GB$3, $I$3, $N$3, , $J$3, $K$3)/_xll.ciqfunctions.udf.CIQ($B10,"IQ_TOTAL_REV",GB$3, $I$3, $N$3, , $J$3, $K$3))),"")</f>
        <v/>
      </c>
      <c r="GC10" s="87" t="str">
        <f>IFERROR(IF(OR($B10="",GC$3=""),"",IF(AND($FQ$4="No",_xll.ciqfunctions.udf.CIQ($B10, "IQ_RD_EXP",GC$3, $I$3, $N$3, , $J$3, $K$3)&lt;=0),"",_xll.ciqfunctions.udf.CIQ($B10, "IQ_RD_EXP",GC$3, $I$3, $N$3, , $J$3, $K$3)/_xll.ciqfunctions.udf.CIQ($B10,"IQ_TOTAL_REV",GC$3, $I$3, $N$3, , $J$3, $K$3))),"")</f>
        <v/>
      </c>
      <c r="GD10" s="87" t="str">
        <f>IFERROR(IF(OR($B10="",GD$3=""),"",IF(AND($FQ$4="No",_xll.ciqfunctions.udf.CIQ($B10, "IQ_RD_EXP",GD$3, $I$3, $N$3, , $J$3, $K$3)&lt;=0),"",_xll.ciqfunctions.udf.CIQ($B10, "IQ_RD_EXP",GD$3, $I$3, $N$3, , $J$3, $K$3)/_xll.ciqfunctions.udf.CIQ($B10,"IQ_TOTAL_REV",GD$3, $I$3, $N$3, , $J$3, $K$3))),"")</f>
        <v/>
      </c>
      <c r="GE10" s="87" t="str">
        <f>IFERROR(IF(OR($B10="",GE$3=""),"",IF(AND($FQ$4="No",_xll.ciqfunctions.udf.CIQ($B10, "IQ_RD_EXP",GE$3, $I$3, $N$3, , $J$3, $K$3)&lt;=0),"",_xll.ciqfunctions.udf.CIQ($B10, "IQ_RD_EXP",GE$3, $I$3, $N$3, , $J$3, $K$3)/_xll.ciqfunctions.udf.CIQ($B10,"IQ_TOTAL_REV",GE$3, $I$3, $N$3, , $J$3, $K$3))),"")</f>
        <v/>
      </c>
      <c r="GF10" s="87" t="str">
        <f>IFERROR(IF(OR($B10="",GF$3=""),"",IF(AND($FQ$4="No",_xll.ciqfunctions.udf.CIQ($B10, "IQ_RD_EXP",GF$3, $I$3, $N$3, , $J$3, $K$3)&lt;=0),"",_xll.ciqfunctions.udf.CIQ($B10, "IQ_RD_EXP",GF$3, $I$3, $N$3, , $J$3, $K$3)/_xll.ciqfunctions.udf.CIQ($B10,"IQ_TOTAL_REV",GF$3, $I$3, $N$3, , $J$3, $K$3))),"")</f>
        <v/>
      </c>
      <c r="GG10" s="87" t="str">
        <f>IFERROR(IF(OR($B10="",GG$3=""),"",IF(AND($FQ$4="No",_xll.ciqfunctions.udf.CIQ($B10, "IQ_RD_EXP",GG$3, $I$3, $N$3, , $J$3, $K$3)&lt;=0),"",_xll.ciqfunctions.udf.CIQ($B10, "IQ_RD_EXP",GG$3, $I$3, $N$3, , $J$3, $K$3)/_xll.ciqfunctions.udf.CIQ($B10,"IQ_TOTAL_REV",GG$3, $I$3, $N$3, , $J$3, $K$3))),"")</f>
        <v/>
      </c>
      <c r="GH10" s="87" t="str">
        <f>IFERROR(IF(OR($B10="",GH$3=""),"",IF(AND($FQ$4="No",_xll.ciqfunctions.udf.CIQ($B10, "IQ_RD_EXP",GH$3, $I$3, $N$3, , $J$3, $K$3)&lt;=0),"",_xll.ciqfunctions.udf.CIQ($B10, "IQ_RD_EXP",GH$3, $I$3, $N$3, , $J$3, $K$3)/_xll.ciqfunctions.udf.CIQ($B10,"IQ_TOTAL_REV",GH$3, $I$3, $N$3, , $J$3, $K$3))),"")</f>
        <v/>
      </c>
      <c r="GI10" s="87" t="str">
        <f>IFERROR(IF(OR($B10="",GI$3=""),"",IF(AND($FQ$4="No",_xll.ciqfunctions.udf.CIQ($B10, "IQ_RD_EXP",GI$3, $I$3, $N$3, , $J$3, $K$3)&lt;=0),"",_xll.ciqfunctions.udf.CIQ($B10, "IQ_RD_EXP",GI$3, $I$3, $N$3, , $J$3, $K$3)/_xll.ciqfunctions.udf.CIQ($B10,"IQ_TOTAL_REV",GI$3, $I$3, $N$3, , $J$3, $K$3))),"")</f>
        <v/>
      </c>
      <c r="GJ10" s="88" t="str">
        <f>IFERROR(IF(OR($B10="",GJ$3=""),"",IF(AND($FQ$4="No",_xll.ciqfunctions.udf.CIQ($B10, "IQ_RD_EXP",GJ$3, $I$3, $N$3, , $J$3, $K$3)&lt;=0),"",_xll.ciqfunctions.udf.CIQ($B10, "IQ_RD_EXP",GJ$3, $I$3, $N$3, , $J$3, $K$3)/_xll.ciqfunctions.udf.CIQ($B10,"IQ_TOTAL_REV",GJ$3, $I$3, $N$3, , $J$3, $K$3))),"")</f>
        <v/>
      </c>
      <c r="GK10" s="89" t="str">
        <f>IFERROR(IF(OR($B10="",GK$3=""),"",IF(AND($GK$4="No",(_xll.ciqfunctions.udf.CIQ($B10,"IQ_AR",GK$3, $I$3, $N$3, , $J$3, $K$3)+_xll.ciqfunctions.udf.CIQ($B10,"IQ_AR","IQ_" &amp; LEFT(GK$3,2) &amp; "-1",GK$3, $N$3, , $J$3, $K$3))&lt;=0),"",$GK$2*0.5*(_xll.ciqfunctions.udf.CIQ($B10,"IQ_AR",GK$3, $I$3, $N$3, , $J$3, $K$3)+_xll.ciqfunctions.udf.CIQ($B10,"IQ_AR","IQ_" &amp; LEFT(GK$3,2) &amp; "-1",GK$3, $N$3, , $J$3, $K$3))/_xll.ciqfunctions.udf.CIQ($B10,"IQ_TOTAL_REVENUE",GK$3, $I$3, $N$3, , $J$3, $K$3))),"")</f>
        <v/>
      </c>
      <c r="GL10" s="90" t="str">
        <f>IFERROR(IF(OR($B10="",GL$3=""),"",IF(AND($GK$4="No",(_xll.ciqfunctions.udf.CIQ($B10,"IQ_AR",GL$3, $I$3, $N$3, , $J$3, $K$3)+_xll.ciqfunctions.udf.CIQ($B10,"IQ_AR","IQ_" &amp; LEFT(GL$3,2) &amp; "-1",GL$3, $N$3, , $J$3, $K$3))&lt;=0),"",$GK$2*0.5*(_xll.ciqfunctions.udf.CIQ($B10,"IQ_AR",GL$3, $I$3, $N$3, , $J$3, $K$3)+_xll.ciqfunctions.udf.CIQ($B10,"IQ_AR","IQ_" &amp; LEFT(GL$3,2) &amp; "-1",GL$3, $N$3, , $J$3, $K$3))/_xll.ciqfunctions.udf.CIQ($B10,"IQ_TOTAL_REVENUE",GL$3, $I$3, $N$3, , $J$3, $K$3))),"")</f>
        <v/>
      </c>
      <c r="GM10" s="90" t="str">
        <f>IFERROR(IF(OR($B10="",GM$3=""),"",IF(AND($GK$4="No",(_xll.ciqfunctions.udf.CIQ($B10,"IQ_AR",GM$3, $I$3, $N$3, , $J$3, $K$3)+_xll.ciqfunctions.udf.CIQ($B10,"IQ_AR","IQ_" &amp; LEFT(GM$3,2) &amp; "-1",GM$3, $N$3, , $J$3, $K$3))&lt;=0),"",$GK$2*0.5*(_xll.ciqfunctions.udf.CIQ($B10,"IQ_AR",GM$3, $I$3, $N$3, , $J$3, $K$3)+_xll.ciqfunctions.udf.CIQ($B10,"IQ_AR","IQ_" &amp; LEFT(GM$3,2) &amp; "-1",GM$3, $N$3, , $J$3, $K$3))/_xll.ciqfunctions.udf.CIQ($B10,"IQ_TOTAL_REVENUE",GM$3, $I$3, $N$3, , $J$3, $K$3))),"")</f>
        <v/>
      </c>
      <c r="GN10" s="90" t="str">
        <f>IFERROR(IF(OR($B10="",GN$3=""),"",IF(AND($GK$4="No",(_xll.ciqfunctions.udf.CIQ($B10,"IQ_AR",GN$3, $I$3, $N$3, , $J$3, $K$3)+_xll.ciqfunctions.udf.CIQ($B10,"IQ_AR","IQ_" &amp; LEFT(GN$3,2) &amp; "-1",GN$3, $N$3, , $J$3, $K$3))&lt;=0),"",$GK$2*0.5*(_xll.ciqfunctions.udf.CIQ($B10,"IQ_AR",GN$3, $I$3, $N$3, , $J$3, $K$3)+_xll.ciqfunctions.udf.CIQ($B10,"IQ_AR","IQ_" &amp; LEFT(GN$3,2) &amp; "-1",GN$3, $N$3, , $J$3, $K$3))/_xll.ciqfunctions.udf.CIQ($B10,"IQ_TOTAL_REVENUE",GN$3, $I$3, $N$3, , $J$3, $K$3))),"")</f>
        <v/>
      </c>
      <c r="GO10" s="90" t="str">
        <f>IFERROR(IF(OR($B10="",GO$3=""),"",IF(AND($GK$4="No",(_xll.ciqfunctions.udf.CIQ($B10,"IQ_AR",GO$3, $I$3, $N$3, , $J$3, $K$3)+_xll.ciqfunctions.udf.CIQ($B10,"IQ_AR","IQ_" &amp; LEFT(GO$3,2) &amp; "-1",GO$3, $N$3, , $J$3, $K$3))&lt;=0),"",$GK$2*0.5*(_xll.ciqfunctions.udf.CIQ($B10,"IQ_AR",GO$3, $I$3, $N$3, , $J$3, $K$3)+_xll.ciqfunctions.udf.CIQ($B10,"IQ_AR","IQ_" &amp; LEFT(GO$3,2) &amp; "-1",GO$3, $N$3, , $J$3, $K$3))/_xll.ciqfunctions.udf.CIQ($B10,"IQ_TOTAL_REVENUE",GO$3, $I$3, $N$3, , $J$3, $K$3))),"")</f>
        <v/>
      </c>
      <c r="GP10" s="90" t="str">
        <f>IFERROR(IF(OR($B10="",GP$3=""),"",IF(AND($GK$4="No",(_xll.ciqfunctions.udf.CIQ($B10,"IQ_AR",GP$3, $I$3, $N$3, , $J$3, $K$3)+_xll.ciqfunctions.udf.CIQ($B10,"IQ_AR","IQ_" &amp; LEFT(GP$3,2) &amp; "-1",GP$3, $N$3, , $J$3, $K$3))&lt;=0),"",$GK$2*0.5*(_xll.ciqfunctions.udf.CIQ($B10,"IQ_AR",GP$3, $I$3, $N$3, , $J$3, $K$3)+_xll.ciqfunctions.udf.CIQ($B10,"IQ_AR","IQ_" &amp; LEFT(GP$3,2) &amp; "-1",GP$3, $N$3, , $J$3, $K$3))/_xll.ciqfunctions.udf.CIQ($B10,"IQ_TOTAL_REVENUE",GP$3, $I$3, $N$3, , $J$3, $K$3))),"")</f>
        <v/>
      </c>
      <c r="GQ10" s="90" t="str">
        <f>IFERROR(IF(OR($B10="",GQ$3=""),"",IF(AND($GK$4="No",(_xll.ciqfunctions.udf.CIQ($B10,"IQ_AR",GQ$3, $I$3, $N$3, , $J$3, $K$3)+_xll.ciqfunctions.udf.CIQ($B10,"IQ_AR","IQ_" &amp; LEFT(GQ$3,2) &amp; "-1",GQ$3, $N$3, , $J$3, $K$3))&lt;=0),"",$GK$2*0.5*(_xll.ciqfunctions.udf.CIQ($B10,"IQ_AR",GQ$3, $I$3, $N$3, , $J$3, $K$3)+_xll.ciqfunctions.udf.CIQ($B10,"IQ_AR","IQ_" &amp; LEFT(GQ$3,2) &amp; "-1",GQ$3, $N$3, , $J$3, $K$3))/_xll.ciqfunctions.udf.CIQ($B10,"IQ_TOTAL_REVENUE",GQ$3, $I$3, $N$3, , $J$3, $K$3))),"")</f>
        <v/>
      </c>
      <c r="GR10" s="90" t="str">
        <f>IFERROR(IF(OR($B10="",GR$3=""),"",IF(AND($GK$4="No",(_xll.ciqfunctions.udf.CIQ($B10,"IQ_AR",GR$3, $I$3, $N$3, , $J$3, $K$3)+_xll.ciqfunctions.udf.CIQ($B10,"IQ_AR","IQ_" &amp; LEFT(GR$3,2) &amp; "-1",GR$3, $N$3, , $J$3, $K$3))&lt;=0),"",$GK$2*0.5*(_xll.ciqfunctions.udf.CIQ($B10,"IQ_AR",GR$3, $I$3, $N$3, , $J$3, $K$3)+_xll.ciqfunctions.udf.CIQ($B10,"IQ_AR","IQ_" &amp; LEFT(GR$3,2) &amp; "-1",GR$3, $N$3, , $J$3, $K$3))/_xll.ciqfunctions.udf.CIQ($B10,"IQ_TOTAL_REVENUE",GR$3, $I$3, $N$3, , $J$3, $K$3))),"")</f>
        <v/>
      </c>
      <c r="GS10" s="90" t="str">
        <f>IFERROR(IF(OR($B10="",GS$3=""),"",IF(AND($GK$4="No",(_xll.ciqfunctions.udf.CIQ($B10,"IQ_AR",GS$3, $I$3, $N$3, , $J$3, $K$3)+_xll.ciqfunctions.udf.CIQ($B10,"IQ_AR","IQ_" &amp; LEFT(GS$3,2) &amp; "-1",GS$3, $N$3, , $J$3, $K$3))&lt;=0),"",$GK$2*0.5*(_xll.ciqfunctions.udf.CIQ($B10,"IQ_AR",GS$3, $I$3, $N$3, , $J$3, $K$3)+_xll.ciqfunctions.udf.CIQ($B10,"IQ_AR","IQ_" &amp; LEFT(GS$3,2) &amp; "-1",GS$3, $N$3, , $J$3, $K$3))/_xll.ciqfunctions.udf.CIQ($B10,"IQ_TOTAL_REVENUE",GS$3, $I$3, $N$3, , $J$3, $K$3))),"")</f>
        <v/>
      </c>
      <c r="GT10" s="90" t="str">
        <f>IFERROR(IF(OR($B10="",GT$3=""),"",IF(AND($GK$4="No",(_xll.ciqfunctions.udf.CIQ($B10,"IQ_AR",GT$3, $I$3, $N$3, , $J$3, $K$3)+_xll.ciqfunctions.udf.CIQ($B10,"IQ_AR","IQ_" &amp; LEFT(GT$3,2) &amp; "-1",GT$3, $N$3, , $J$3, $K$3))&lt;=0),"",$GK$2*0.5*(_xll.ciqfunctions.udf.CIQ($B10,"IQ_AR",GT$3, $I$3, $N$3, , $J$3, $K$3)+_xll.ciqfunctions.udf.CIQ($B10,"IQ_AR","IQ_" &amp; LEFT(GT$3,2) &amp; "-1",GT$3, $N$3, , $J$3, $K$3))/_xll.ciqfunctions.udf.CIQ($B10,"IQ_TOTAL_REVENUE",GT$3, $I$3, $N$3, , $J$3, $K$3))),"")</f>
        <v/>
      </c>
      <c r="GU10" s="90" t="str">
        <f>IFERROR(IF(OR($B10="",GU$3=""),"",IF(AND($GK$4="No",(_xll.ciqfunctions.udf.CIQ($B10,"IQ_AR",GU$3, $I$3, $N$3, , $J$3, $K$3)+_xll.ciqfunctions.udf.CIQ($B10,"IQ_AR","IQ_" &amp; LEFT(GU$3,2) &amp; "-1",GU$3, $N$3, , $J$3, $K$3))&lt;=0),"",$GK$2*0.5*(_xll.ciqfunctions.udf.CIQ($B10,"IQ_AR",GU$3, $I$3, $N$3, , $J$3, $K$3)+_xll.ciqfunctions.udf.CIQ($B10,"IQ_AR","IQ_" &amp; LEFT(GU$3,2) &amp; "-1",GU$3, $N$3, , $J$3, $K$3))/_xll.ciqfunctions.udf.CIQ($B10,"IQ_TOTAL_REVENUE",GU$3, $I$3, $N$3, , $J$3, $K$3))),"")</f>
        <v/>
      </c>
      <c r="GV10" s="90" t="str">
        <f>IFERROR(IF(OR($B10="",GV$3=""),"",IF(AND($GK$4="No",(_xll.ciqfunctions.udf.CIQ($B10,"IQ_AR",GV$3, $I$3, $N$3, , $J$3, $K$3)+_xll.ciqfunctions.udf.CIQ($B10,"IQ_AR","IQ_" &amp; LEFT(GV$3,2) &amp; "-1",GV$3, $N$3, , $J$3, $K$3))&lt;=0),"",$GK$2*0.5*(_xll.ciqfunctions.udf.CIQ($B10,"IQ_AR",GV$3, $I$3, $N$3, , $J$3, $K$3)+_xll.ciqfunctions.udf.CIQ($B10,"IQ_AR","IQ_" &amp; LEFT(GV$3,2) &amp; "-1",GV$3, $N$3, , $J$3, $K$3))/_xll.ciqfunctions.udf.CIQ($B10,"IQ_TOTAL_REVENUE",GV$3, $I$3, $N$3, , $J$3, $K$3))),"")</f>
        <v/>
      </c>
      <c r="GW10" s="90" t="str">
        <f>IFERROR(IF(OR($B10="",GW$3=""),"",IF(AND($GK$4="No",(_xll.ciqfunctions.udf.CIQ($B10,"IQ_AR",GW$3, $I$3, $N$3, , $J$3, $K$3)+_xll.ciqfunctions.udf.CIQ($B10,"IQ_AR","IQ_" &amp; LEFT(GW$3,2) &amp; "-1",GW$3, $N$3, , $J$3, $K$3))&lt;=0),"",$GK$2*0.5*(_xll.ciqfunctions.udf.CIQ($B10,"IQ_AR",GW$3, $I$3, $N$3, , $J$3, $K$3)+_xll.ciqfunctions.udf.CIQ($B10,"IQ_AR","IQ_" &amp; LEFT(GW$3,2) &amp; "-1",GW$3, $N$3, , $J$3, $K$3))/_xll.ciqfunctions.udf.CIQ($B10,"IQ_TOTAL_REVENUE",GW$3, $I$3, $N$3, , $J$3, $K$3))),"")</f>
        <v/>
      </c>
      <c r="GX10" s="90" t="str">
        <f>IFERROR(IF(OR($B10="",GX$3=""),"",IF(AND($GK$4="No",(_xll.ciqfunctions.udf.CIQ($B10,"IQ_AR",GX$3, $I$3, $N$3, , $J$3, $K$3)+_xll.ciqfunctions.udf.CIQ($B10,"IQ_AR","IQ_" &amp; LEFT(GX$3,2) &amp; "-1",GX$3, $N$3, , $J$3, $K$3))&lt;=0),"",$GK$2*0.5*(_xll.ciqfunctions.udf.CIQ($B10,"IQ_AR",GX$3, $I$3, $N$3, , $J$3, $K$3)+_xll.ciqfunctions.udf.CIQ($B10,"IQ_AR","IQ_" &amp; LEFT(GX$3,2) &amp; "-1",GX$3, $N$3, , $J$3, $K$3))/_xll.ciqfunctions.udf.CIQ($B10,"IQ_TOTAL_REVENUE",GX$3, $I$3, $N$3, , $J$3, $K$3))),"")</f>
        <v/>
      </c>
      <c r="GY10" s="90" t="str">
        <f>IFERROR(IF(OR($B10="",GY$3=""),"",IF(AND($GK$4="No",(_xll.ciqfunctions.udf.CIQ($B10,"IQ_AR",GY$3, $I$3, $N$3, , $J$3, $K$3)+_xll.ciqfunctions.udf.CIQ($B10,"IQ_AR","IQ_" &amp; LEFT(GY$3,2) &amp; "-1",GY$3, $N$3, , $J$3, $K$3))&lt;=0),"",$GK$2*0.5*(_xll.ciqfunctions.udf.CIQ($B10,"IQ_AR",GY$3, $I$3, $N$3, , $J$3, $K$3)+_xll.ciqfunctions.udf.CIQ($B10,"IQ_AR","IQ_" &amp; LEFT(GY$3,2) &amp; "-1",GY$3, $N$3, , $J$3, $K$3))/_xll.ciqfunctions.udf.CIQ($B10,"IQ_TOTAL_REVENUE",GY$3, $I$3, $N$3, , $J$3, $K$3))),"")</f>
        <v/>
      </c>
      <c r="GZ10" s="90" t="str">
        <f>IFERROR(IF(OR($B10="",GZ$3=""),"",IF(AND($GK$4="No",(_xll.ciqfunctions.udf.CIQ($B10,"IQ_AR",GZ$3, $I$3, $N$3, , $J$3, $K$3)+_xll.ciqfunctions.udf.CIQ($B10,"IQ_AR","IQ_" &amp; LEFT(GZ$3,2) &amp; "-1",GZ$3, $N$3, , $J$3, $K$3))&lt;=0),"",$GK$2*0.5*(_xll.ciqfunctions.udf.CIQ($B10,"IQ_AR",GZ$3, $I$3, $N$3, , $J$3, $K$3)+_xll.ciqfunctions.udf.CIQ($B10,"IQ_AR","IQ_" &amp; LEFT(GZ$3,2) &amp; "-1",GZ$3, $N$3, , $J$3, $K$3))/_xll.ciqfunctions.udf.CIQ($B10,"IQ_TOTAL_REVENUE",GZ$3, $I$3, $N$3, , $J$3, $K$3))),"")</f>
        <v/>
      </c>
      <c r="HA10" s="90" t="str">
        <f>IFERROR(IF(OR($B10="",HA$3=""),"",IF(AND($GK$4="No",(_xll.ciqfunctions.udf.CIQ($B10,"IQ_AR",HA$3, $I$3, $N$3, , $J$3, $K$3)+_xll.ciqfunctions.udf.CIQ($B10,"IQ_AR","IQ_" &amp; LEFT(HA$3,2) &amp; "-1",HA$3, $N$3, , $J$3, $K$3))&lt;=0),"",$GK$2*0.5*(_xll.ciqfunctions.udf.CIQ($B10,"IQ_AR",HA$3, $I$3, $N$3, , $J$3, $K$3)+_xll.ciqfunctions.udf.CIQ($B10,"IQ_AR","IQ_" &amp; LEFT(HA$3,2) &amp; "-1",HA$3, $N$3, , $J$3, $K$3))/_xll.ciqfunctions.udf.CIQ($B10,"IQ_TOTAL_REVENUE",HA$3, $I$3, $N$3, , $J$3, $K$3))),"")</f>
        <v/>
      </c>
      <c r="HB10" s="90" t="str">
        <f>IFERROR(IF(OR($B10="",HB$3=""),"",IF(AND($GK$4="No",(_xll.ciqfunctions.udf.CIQ($B10,"IQ_AR",HB$3, $I$3, $N$3, , $J$3, $K$3)+_xll.ciqfunctions.udf.CIQ($B10,"IQ_AR","IQ_" &amp; LEFT(HB$3,2) &amp; "-1",HB$3, $N$3, , $J$3, $K$3))&lt;=0),"",$GK$2*0.5*(_xll.ciqfunctions.udf.CIQ($B10,"IQ_AR",HB$3, $I$3, $N$3, , $J$3, $K$3)+_xll.ciqfunctions.udf.CIQ($B10,"IQ_AR","IQ_" &amp; LEFT(HB$3,2) &amp; "-1",HB$3, $N$3, , $J$3, $K$3))/_xll.ciqfunctions.udf.CIQ($B10,"IQ_TOTAL_REVENUE",HB$3, $I$3, $N$3, , $J$3, $K$3))),"")</f>
        <v/>
      </c>
      <c r="HC10" s="90" t="str">
        <f>IFERROR(IF(OR($B10="",HC$3=""),"",IF(AND($GK$4="No",(_xll.ciqfunctions.udf.CIQ($B10,"IQ_AR",HC$3, $I$3, $N$3, , $J$3, $K$3)+_xll.ciqfunctions.udf.CIQ($B10,"IQ_AR","IQ_" &amp; LEFT(HC$3,2) &amp; "-1",HC$3, $N$3, , $J$3, $K$3))&lt;=0),"",$GK$2*0.5*(_xll.ciqfunctions.udf.CIQ($B10,"IQ_AR",HC$3, $I$3, $N$3, , $J$3, $K$3)+_xll.ciqfunctions.udf.CIQ($B10,"IQ_AR","IQ_" &amp; LEFT(HC$3,2) &amp; "-1",HC$3, $N$3, , $J$3, $K$3))/_xll.ciqfunctions.udf.CIQ($B10,"IQ_TOTAL_REVENUE",HC$3, $I$3, $N$3, , $J$3, $K$3))),"")</f>
        <v/>
      </c>
      <c r="HD10" s="91" t="str">
        <f>IFERROR(IF(OR($B10="",HD$3=""),"",IF(AND($GK$4="No",(_xll.ciqfunctions.udf.CIQ($B10,"IQ_AR",HD$3, $I$3, $N$3, , $J$3, $K$3)+_xll.ciqfunctions.udf.CIQ($B10,"IQ_AR","IQ_" &amp; LEFT(HD$3,2) &amp; "-1",HD$3, $N$3, , $J$3, $K$3))&lt;=0),"",$GK$2*0.5*(_xll.ciqfunctions.udf.CIQ($B10,"IQ_AR",HD$3, $I$3, $N$3, , $J$3, $K$3)+_xll.ciqfunctions.udf.CIQ($B10,"IQ_AR","IQ_" &amp; LEFT(HD$3,2) &amp; "-1",HD$3, $N$3, , $J$3, $K$3))/_xll.ciqfunctions.udf.CIQ($B10,"IQ_TOTAL_REVENUE",HD$3, $I$3, $N$3, , $J$3, $K$3))),"")</f>
        <v/>
      </c>
      <c r="HE10" s="89" t="str">
        <f>IFERROR(IF(OR($B10="",HE$3=""),"",IF(AND($HE$4="No",(_xll.ciqfunctions.udf.CIQ($B10,"IQ_INVENTORY",HE$3,$I$3, $N$3, , $J$3, $K$3)+_xll.ciqfunctions.udf.CIQ($B10,"IQ_INVENTORY","IQ_" &amp; LEFT(HE$3,2) &amp; "-1", HE$3, $N$3, , $J$3, $K$3))&lt;=0),0,$HE$2*0.5*(_xll.ciqfunctions.udf.CIQ($B10,"IQ_INVENTORY",HE$3,$I$3, $N$3, , $J$3, $K$3)+_xll.ciqfunctions.udf.CIQ($B10,"IQ_INVENTORY","IQ_" &amp; LEFT(HE$3,2) &amp; "-1", HE$3, $N$3, , $J$3, $K$3))/_xll.ciqfunctions.udf.CIQ($B10,"IQ_COGS",HE$3,$I$3, $N$3, , $J$3, $K$3))),"")</f>
        <v/>
      </c>
      <c r="HF10" s="90" t="str">
        <f>IFERROR(IF(OR($B10="",HF$3=""),"",IF(AND($HE$4="No",(_xll.ciqfunctions.udf.CIQ($B10,"IQ_INVENTORY",HF$3,$I$3, $N$3, , $J$3, $K$3)+_xll.ciqfunctions.udf.CIQ($B10,"IQ_INVENTORY","IQ_" &amp; LEFT(HF$3,2) &amp; "-1", HF$3, $N$3, , $J$3, $K$3))&lt;=0),0,$HE$2*0.5*(_xll.ciqfunctions.udf.CIQ($B10,"IQ_INVENTORY",HF$3,$I$3, $N$3, , $J$3, $K$3)+_xll.ciqfunctions.udf.CIQ($B10,"IQ_INVENTORY","IQ_" &amp; LEFT(HF$3,2) &amp; "-1", HF$3, $N$3, , $J$3, $K$3))/_xll.ciqfunctions.udf.CIQ($B10,"IQ_COGS",HF$3,$I$3, $N$3, , $J$3, $K$3))),"")</f>
        <v/>
      </c>
      <c r="HG10" s="90" t="str">
        <f>IFERROR(IF(OR($B10="",HG$3=""),"",IF(AND($HE$4="No",(_xll.ciqfunctions.udf.CIQ($B10,"IQ_INVENTORY",HG$3,$I$3, $N$3, , $J$3, $K$3)+_xll.ciqfunctions.udf.CIQ($B10,"IQ_INVENTORY","IQ_" &amp; LEFT(HG$3,2) &amp; "-1", HG$3, $N$3, , $J$3, $K$3))&lt;=0),0,$HE$2*0.5*(_xll.ciqfunctions.udf.CIQ($B10,"IQ_INVENTORY",HG$3,$I$3, $N$3, , $J$3, $K$3)+_xll.ciqfunctions.udf.CIQ($B10,"IQ_INVENTORY","IQ_" &amp; LEFT(HG$3,2) &amp; "-1", HG$3, $N$3, , $J$3, $K$3))/_xll.ciqfunctions.udf.CIQ($B10,"IQ_COGS",HG$3,$I$3, $N$3, , $J$3, $K$3))),"")</f>
        <v/>
      </c>
      <c r="HH10" s="90" t="str">
        <f>IFERROR(IF(OR($B10="",HH$3=""),"",IF(AND($HE$4="No",(_xll.ciqfunctions.udf.CIQ($B10,"IQ_INVENTORY",HH$3,$I$3, $N$3, , $J$3, $K$3)+_xll.ciqfunctions.udf.CIQ($B10,"IQ_INVENTORY","IQ_" &amp; LEFT(HH$3,2) &amp; "-1", HH$3, $N$3, , $J$3, $K$3))&lt;=0),0,$HE$2*0.5*(_xll.ciqfunctions.udf.CIQ($B10,"IQ_INVENTORY",HH$3,$I$3, $N$3, , $J$3, $K$3)+_xll.ciqfunctions.udf.CIQ($B10,"IQ_INVENTORY","IQ_" &amp; LEFT(HH$3,2) &amp; "-1", HH$3, $N$3, , $J$3, $K$3))/_xll.ciqfunctions.udf.CIQ($B10,"IQ_COGS",HH$3,$I$3, $N$3, , $J$3, $K$3))),"")</f>
        <v/>
      </c>
      <c r="HI10" s="90" t="str">
        <f>IFERROR(IF(OR($B10="",HI$3=""),"",IF(AND($HE$4="No",(_xll.ciqfunctions.udf.CIQ($B10,"IQ_INVENTORY",HI$3,$I$3, $N$3, , $J$3, $K$3)+_xll.ciqfunctions.udf.CIQ($B10,"IQ_INVENTORY","IQ_" &amp; LEFT(HI$3,2) &amp; "-1", HI$3, $N$3, , $J$3, $K$3))&lt;=0),0,$HE$2*0.5*(_xll.ciqfunctions.udf.CIQ($B10,"IQ_INVENTORY",HI$3,$I$3, $N$3, , $J$3, $K$3)+_xll.ciqfunctions.udf.CIQ($B10,"IQ_INVENTORY","IQ_" &amp; LEFT(HI$3,2) &amp; "-1", HI$3, $N$3, , $J$3, $K$3))/_xll.ciqfunctions.udf.CIQ($B10,"IQ_COGS",HI$3,$I$3, $N$3, , $J$3, $K$3))),"")</f>
        <v/>
      </c>
      <c r="HJ10" s="90" t="str">
        <f>IFERROR(IF(OR($B10="",HJ$3=""),"",IF(AND($HE$4="No",(_xll.ciqfunctions.udf.CIQ($B10,"IQ_INVENTORY",HJ$3,$I$3, $N$3, , $J$3, $K$3)+_xll.ciqfunctions.udf.CIQ($B10,"IQ_INVENTORY","IQ_" &amp; LEFT(HJ$3,2) &amp; "-1", HJ$3, $N$3, , $J$3, $K$3))&lt;=0),0,$HE$2*0.5*(_xll.ciqfunctions.udf.CIQ($B10,"IQ_INVENTORY",HJ$3,$I$3, $N$3, , $J$3, $K$3)+_xll.ciqfunctions.udf.CIQ($B10,"IQ_INVENTORY","IQ_" &amp; LEFT(HJ$3,2) &amp; "-1", HJ$3, $N$3, , $J$3, $K$3))/_xll.ciqfunctions.udf.CIQ($B10,"IQ_COGS",HJ$3,$I$3, $N$3, , $J$3, $K$3))),"")</f>
        <v/>
      </c>
      <c r="HK10" s="90" t="str">
        <f>IFERROR(IF(OR($B10="",HK$3=""),"",IF(AND($HE$4="No",(_xll.ciqfunctions.udf.CIQ($B10,"IQ_INVENTORY",HK$3,$I$3, $N$3, , $J$3, $K$3)+_xll.ciqfunctions.udf.CIQ($B10,"IQ_INVENTORY","IQ_" &amp; LEFT(HK$3,2) &amp; "-1", HK$3, $N$3, , $J$3, $K$3))&lt;=0),0,$HE$2*0.5*(_xll.ciqfunctions.udf.CIQ($B10,"IQ_INVENTORY",HK$3,$I$3, $N$3, , $J$3, $K$3)+_xll.ciqfunctions.udf.CIQ($B10,"IQ_INVENTORY","IQ_" &amp; LEFT(HK$3,2) &amp; "-1", HK$3, $N$3, , $J$3, $K$3))/_xll.ciqfunctions.udf.CIQ($B10,"IQ_COGS",HK$3,$I$3, $N$3, , $J$3, $K$3))),"")</f>
        <v/>
      </c>
      <c r="HL10" s="90" t="str">
        <f>IFERROR(IF(OR($B10="",HL$3=""),"",IF(AND($HE$4="No",(_xll.ciqfunctions.udf.CIQ($B10,"IQ_INVENTORY",HL$3,$I$3, $N$3, , $J$3, $K$3)+_xll.ciqfunctions.udf.CIQ($B10,"IQ_INVENTORY","IQ_" &amp; LEFT(HL$3,2) &amp; "-1", HL$3, $N$3, , $J$3, $K$3))&lt;=0),0,$HE$2*0.5*(_xll.ciqfunctions.udf.CIQ($B10,"IQ_INVENTORY",HL$3,$I$3, $N$3, , $J$3, $K$3)+_xll.ciqfunctions.udf.CIQ($B10,"IQ_INVENTORY","IQ_" &amp; LEFT(HL$3,2) &amp; "-1", HL$3, $N$3, , $J$3, $K$3))/_xll.ciqfunctions.udf.CIQ($B10,"IQ_COGS",HL$3,$I$3, $N$3, , $J$3, $K$3))),"")</f>
        <v/>
      </c>
      <c r="HM10" s="90" t="str">
        <f>IFERROR(IF(OR($B10="",HM$3=""),"",IF(AND($HE$4="No",(_xll.ciqfunctions.udf.CIQ($B10,"IQ_INVENTORY",HM$3,$I$3, $N$3, , $J$3, $K$3)+_xll.ciqfunctions.udf.CIQ($B10,"IQ_INVENTORY","IQ_" &amp; LEFT(HM$3,2) &amp; "-1", HM$3, $N$3, , $J$3, $K$3))&lt;=0),0,$HE$2*0.5*(_xll.ciqfunctions.udf.CIQ($B10,"IQ_INVENTORY",HM$3,$I$3, $N$3, , $J$3, $K$3)+_xll.ciqfunctions.udf.CIQ($B10,"IQ_INVENTORY","IQ_" &amp; LEFT(HM$3,2) &amp; "-1", HM$3, $N$3, , $J$3, $K$3))/_xll.ciqfunctions.udf.CIQ($B10,"IQ_COGS",HM$3,$I$3, $N$3, , $J$3, $K$3))),"")</f>
        <v/>
      </c>
      <c r="HN10" s="90" t="str">
        <f>IFERROR(IF(OR($B10="",HN$3=""),"",IF(AND($HE$4="No",(_xll.ciqfunctions.udf.CIQ($B10,"IQ_INVENTORY",HN$3,$I$3, $N$3, , $J$3, $K$3)+_xll.ciqfunctions.udf.CIQ($B10,"IQ_INVENTORY","IQ_" &amp; LEFT(HN$3,2) &amp; "-1", HN$3, $N$3, , $J$3, $K$3))&lt;=0),0,$HE$2*0.5*(_xll.ciqfunctions.udf.CIQ($B10,"IQ_INVENTORY",HN$3,$I$3, $N$3, , $J$3, $K$3)+_xll.ciqfunctions.udf.CIQ($B10,"IQ_INVENTORY","IQ_" &amp; LEFT(HN$3,2) &amp; "-1", HN$3, $N$3, , $J$3, $K$3))/_xll.ciqfunctions.udf.CIQ($B10,"IQ_COGS",HN$3,$I$3, $N$3, , $J$3, $K$3))),"")</f>
        <v/>
      </c>
      <c r="HO10" s="90" t="str">
        <f>IFERROR(IF(OR($B10="",HO$3=""),"",IF(AND($HE$4="No",(_xll.ciqfunctions.udf.CIQ($B10,"IQ_INVENTORY",HO$3,$I$3, $N$3, , $J$3, $K$3)+_xll.ciqfunctions.udf.CIQ($B10,"IQ_INVENTORY","IQ_" &amp; LEFT(HO$3,2) &amp; "-1", HO$3, $N$3, , $J$3, $K$3))&lt;=0),0,$HE$2*0.5*(_xll.ciqfunctions.udf.CIQ($B10,"IQ_INVENTORY",HO$3,$I$3, $N$3, , $J$3, $K$3)+_xll.ciqfunctions.udf.CIQ($B10,"IQ_INVENTORY","IQ_" &amp; LEFT(HO$3,2) &amp; "-1", HO$3, $N$3, , $J$3, $K$3))/_xll.ciqfunctions.udf.CIQ($B10,"IQ_COGS",HO$3,$I$3, $N$3, , $J$3, $K$3))),"")</f>
        <v/>
      </c>
      <c r="HP10" s="90" t="str">
        <f>IFERROR(IF(OR($B10="",HP$3=""),"",IF(AND($HE$4="No",(_xll.ciqfunctions.udf.CIQ($B10,"IQ_INVENTORY",HP$3,$I$3, $N$3, , $J$3, $K$3)+_xll.ciqfunctions.udf.CIQ($B10,"IQ_INVENTORY","IQ_" &amp; LEFT(HP$3,2) &amp; "-1", HP$3, $N$3, , $J$3, $K$3))&lt;=0),0,$HE$2*0.5*(_xll.ciqfunctions.udf.CIQ($B10,"IQ_INVENTORY",HP$3,$I$3, $N$3, , $J$3, $K$3)+_xll.ciqfunctions.udf.CIQ($B10,"IQ_INVENTORY","IQ_" &amp; LEFT(HP$3,2) &amp; "-1", HP$3, $N$3, , $J$3, $K$3))/_xll.ciqfunctions.udf.CIQ($B10,"IQ_COGS",HP$3,$I$3, $N$3, , $J$3, $K$3))),"")</f>
        <v/>
      </c>
      <c r="HQ10" s="90" t="str">
        <f>IFERROR(IF(OR($B10="",HQ$3=""),"",IF(AND($HE$4="No",(_xll.ciqfunctions.udf.CIQ($B10,"IQ_INVENTORY",HQ$3,$I$3, $N$3, , $J$3, $K$3)+_xll.ciqfunctions.udf.CIQ($B10,"IQ_INVENTORY","IQ_" &amp; LEFT(HQ$3,2) &amp; "-1", HQ$3, $N$3, , $J$3, $K$3))&lt;=0),0,$HE$2*0.5*(_xll.ciqfunctions.udf.CIQ($B10,"IQ_INVENTORY",HQ$3,$I$3, $N$3, , $J$3, $K$3)+_xll.ciqfunctions.udf.CIQ($B10,"IQ_INVENTORY","IQ_" &amp; LEFT(HQ$3,2) &amp; "-1", HQ$3, $N$3, , $J$3, $K$3))/_xll.ciqfunctions.udf.CIQ($B10,"IQ_COGS",HQ$3,$I$3, $N$3, , $J$3, $K$3))),"")</f>
        <v/>
      </c>
      <c r="HR10" s="90" t="str">
        <f>IFERROR(IF(OR($B10="",HR$3=""),"",IF(AND($HE$4="No",(_xll.ciqfunctions.udf.CIQ($B10,"IQ_INVENTORY",HR$3,$I$3, $N$3, , $J$3, $K$3)+_xll.ciqfunctions.udf.CIQ($B10,"IQ_INVENTORY","IQ_" &amp; LEFT(HR$3,2) &amp; "-1", HR$3, $N$3, , $J$3, $K$3))&lt;=0),0,$HE$2*0.5*(_xll.ciqfunctions.udf.CIQ($B10,"IQ_INVENTORY",HR$3,$I$3, $N$3, , $J$3, $K$3)+_xll.ciqfunctions.udf.CIQ($B10,"IQ_INVENTORY","IQ_" &amp; LEFT(HR$3,2) &amp; "-1", HR$3, $N$3, , $J$3, $K$3))/_xll.ciqfunctions.udf.CIQ($B10,"IQ_COGS",HR$3,$I$3, $N$3, , $J$3, $K$3))),"")</f>
        <v/>
      </c>
      <c r="HS10" s="90" t="str">
        <f>IFERROR(IF(OR($B10="",HS$3=""),"",IF(AND($HE$4="No",(_xll.ciqfunctions.udf.CIQ($B10,"IQ_INVENTORY",HS$3,$I$3, $N$3, , $J$3, $K$3)+_xll.ciqfunctions.udf.CIQ($B10,"IQ_INVENTORY","IQ_" &amp; LEFT(HS$3,2) &amp; "-1", HS$3, $N$3, , $J$3, $K$3))&lt;=0),0,$HE$2*0.5*(_xll.ciqfunctions.udf.CIQ($B10,"IQ_INVENTORY",HS$3,$I$3, $N$3, , $J$3, $K$3)+_xll.ciqfunctions.udf.CIQ($B10,"IQ_INVENTORY","IQ_" &amp; LEFT(HS$3,2) &amp; "-1", HS$3, $N$3, , $J$3, $K$3))/_xll.ciqfunctions.udf.CIQ($B10,"IQ_COGS",HS$3,$I$3, $N$3, , $J$3, $K$3))),"")</f>
        <v/>
      </c>
      <c r="HT10" s="90" t="str">
        <f>IFERROR(IF(OR($B10="",HT$3=""),"",IF(AND($HE$4="No",(_xll.ciqfunctions.udf.CIQ($B10,"IQ_INVENTORY",HT$3,$I$3, $N$3, , $J$3, $K$3)+_xll.ciqfunctions.udf.CIQ($B10,"IQ_INVENTORY","IQ_" &amp; LEFT(HT$3,2) &amp; "-1", HT$3, $N$3, , $J$3, $K$3))&lt;=0),0,$HE$2*0.5*(_xll.ciqfunctions.udf.CIQ($B10,"IQ_INVENTORY",HT$3,$I$3, $N$3, , $J$3, $K$3)+_xll.ciqfunctions.udf.CIQ($B10,"IQ_INVENTORY","IQ_" &amp; LEFT(HT$3,2) &amp; "-1", HT$3, $N$3, , $J$3, $K$3))/_xll.ciqfunctions.udf.CIQ($B10,"IQ_COGS",HT$3,$I$3, $N$3, , $J$3, $K$3))),"")</f>
        <v/>
      </c>
      <c r="HU10" s="90" t="str">
        <f>IFERROR(IF(OR($B10="",HU$3=""),"",IF(AND($HE$4="No",(_xll.ciqfunctions.udf.CIQ($B10,"IQ_INVENTORY",HU$3,$I$3, $N$3, , $J$3, $K$3)+_xll.ciqfunctions.udf.CIQ($B10,"IQ_INVENTORY","IQ_" &amp; LEFT(HU$3,2) &amp; "-1", HU$3, $N$3, , $J$3, $K$3))&lt;=0),0,$HE$2*0.5*(_xll.ciqfunctions.udf.CIQ($B10,"IQ_INVENTORY",HU$3,$I$3, $N$3, , $J$3, $K$3)+_xll.ciqfunctions.udf.CIQ($B10,"IQ_INVENTORY","IQ_" &amp; LEFT(HU$3,2) &amp; "-1", HU$3, $N$3, , $J$3, $K$3))/_xll.ciqfunctions.udf.CIQ($B10,"IQ_COGS",HU$3,$I$3, $N$3, , $J$3, $K$3))),"")</f>
        <v/>
      </c>
      <c r="HV10" s="90" t="str">
        <f>IFERROR(IF(OR($B10="",HV$3=""),"",IF(AND($HE$4="No",(_xll.ciqfunctions.udf.CIQ($B10,"IQ_INVENTORY",HV$3,$I$3, $N$3, , $J$3, $K$3)+_xll.ciqfunctions.udf.CIQ($B10,"IQ_INVENTORY","IQ_" &amp; LEFT(HV$3,2) &amp; "-1", HV$3, $N$3, , $J$3, $K$3))&lt;=0),0,$HE$2*0.5*(_xll.ciqfunctions.udf.CIQ($B10,"IQ_INVENTORY",HV$3,$I$3, $N$3, , $J$3, $K$3)+_xll.ciqfunctions.udf.CIQ($B10,"IQ_INVENTORY","IQ_" &amp; LEFT(HV$3,2) &amp; "-1", HV$3, $N$3, , $J$3, $K$3))/_xll.ciqfunctions.udf.CIQ($B10,"IQ_COGS",HV$3,$I$3, $N$3, , $J$3, $K$3))),"")</f>
        <v/>
      </c>
      <c r="HW10" s="90" t="str">
        <f>IFERROR(IF(OR($B10="",HW$3=""),"",IF(AND($HE$4="No",(_xll.ciqfunctions.udf.CIQ($B10,"IQ_INVENTORY",HW$3,$I$3, $N$3, , $J$3, $K$3)+_xll.ciqfunctions.udf.CIQ($B10,"IQ_INVENTORY","IQ_" &amp; LEFT(HW$3,2) &amp; "-1", HW$3, $N$3, , $J$3, $K$3))&lt;=0),0,$HE$2*0.5*(_xll.ciqfunctions.udf.CIQ($B10,"IQ_INVENTORY",HW$3,$I$3, $N$3, , $J$3, $K$3)+_xll.ciqfunctions.udf.CIQ($B10,"IQ_INVENTORY","IQ_" &amp; LEFT(HW$3,2) &amp; "-1", HW$3, $N$3, , $J$3, $K$3))/_xll.ciqfunctions.udf.CIQ($B10,"IQ_COGS",HW$3,$I$3, $N$3, , $J$3, $K$3))),"")</f>
        <v/>
      </c>
      <c r="HX10" s="91" t="str">
        <f>IFERROR(IF(OR($B10="",HX$3=""),"",IF(AND($HE$4="No",(_xll.ciqfunctions.udf.CIQ($B10,"IQ_INVENTORY",HX$3,$I$3, $N$3, , $J$3, $K$3)+_xll.ciqfunctions.udf.CIQ($B10,"IQ_INVENTORY","IQ_" &amp; LEFT(HX$3,2) &amp; "-1", HX$3, $N$3, , $J$3, $K$3))&lt;=0),0,$HE$2*0.5*(_xll.ciqfunctions.udf.CIQ($B10,"IQ_INVENTORY",HX$3,$I$3, $N$3, , $J$3, $K$3)+_xll.ciqfunctions.udf.CIQ($B10,"IQ_INVENTORY","IQ_" &amp; LEFT(HX$3,2) &amp; "-1", HX$3, $N$3, , $J$3, $K$3))/_xll.ciqfunctions.udf.CIQ($B10,"IQ_COGS",HX$3,$I$3, $N$3, , $J$3, $K$3))),"")</f>
        <v/>
      </c>
      <c r="HY10" s="89" t="str">
        <f>IFERROR(IF(OR($B10="",HY$3=""),"",IF(AND($HY$4="No",(_xll.ciqfunctions.udf.CIQ($B10,"IQ_AP",HY$3,$I$3, $N$3, , $J$3, $K$3)+_xll.ciqfunctions.udf.CIQ($B10,"IQ_AP","IQ_" &amp; LEFT(HY$3,2) &amp; "-1", HY$3, $N$3, , $J$3, $K$3))&lt;=0),"",(_xll.ciqfunctions.udf.CIQ($B10,"IQ_AP",HY$3,$I$3, $N$3, , $J$3, $K$3)+_xll.ciqfunctions.udf.CIQ($B10,"IQ_AP","IQ_" &amp; LEFT(HY$3,2) &amp; "-1", HY$3, $N$3, , $J$3, $K$3))/_xll.ciqfunctions.udf.CIQ($B10,"IQ_COGS",HY$3,$I$3, $N$3, , $J$3, $K$3)*$HY$2*0.5)),"")</f>
        <v/>
      </c>
      <c r="HZ10" s="90" t="str">
        <f>IFERROR(IF(OR($B10="",HZ$3=""),"",IF(AND($HY$4="No",(_xll.ciqfunctions.udf.CIQ($B10,"IQ_AP",HZ$3,$I$3, $N$3, , $J$3, $K$3)+_xll.ciqfunctions.udf.CIQ($B10,"IQ_AP","IQ_" &amp; LEFT(HZ$3,2) &amp; "-1", HZ$3, $N$3, , $J$3, $K$3))&lt;=0),"",(_xll.ciqfunctions.udf.CIQ($B10,"IQ_AP",HZ$3,$I$3, $N$3, , $J$3, $K$3)+_xll.ciqfunctions.udf.CIQ($B10,"IQ_AP","IQ_" &amp; LEFT(HZ$3,2) &amp; "-1", HZ$3, $N$3, , $J$3, $K$3))/_xll.ciqfunctions.udf.CIQ($B10,"IQ_COGS",HZ$3,$I$3, $N$3, , $J$3, $K$3)*$HY$2*0.5)),"")</f>
        <v/>
      </c>
      <c r="IA10" s="90" t="str">
        <f>IFERROR(IF(OR($B10="",IA$3=""),"",IF(AND($HY$4="No",(_xll.ciqfunctions.udf.CIQ($B10,"IQ_AP",IA$3,$I$3, $N$3, , $J$3, $K$3)+_xll.ciqfunctions.udf.CIQ($B10,"IQ_AP","IQ_" &amp; LEFT(IA$3,2) &amp; "-1", IA$3, $N$3, , $J$3, $K$3))&lt;=0),"",(_xll.ciqfunctions.udf.CIQ($B10,"IQ_AP",IA$3,$I$3, $N$3, , $J$3, $K$3)+_xll.ciqfunctions.udf.CIQ($B10,"IQ_AP","IQ_" &amp; LEFT(IA$3,2) &amp; "-1", IA$3, $N$3, , $J$3, $K$3))/_xll.ciqfunctions.udf.CIQ($B10,"IQ_COGS",IA$3,$I$3, $N$3, , $J$3, $K$3)*$HY$2*0.5)),"")</f>
        <v/>
      </c>
      <c r="IB10" s="90" t="str">
        <f>IFERROR(IF(OR($B10="",IB$3=""),"",IF(AND($HY$4="No",(_xll.ciqfunctions.udf.CIQ($B10,"IQ_AP",IB$3,$I$3, $N$3, , $J$3, $K$3)+_xll.ciqfunctions.udf.CIQ($B10,"IQ_AP","IQ_" &amp; LEFT(IB$3,2) &amp; "-1", IB$3, $N$3, , $J$3, $K$3))&lt;=0),"",(_xll.ciqfunctions.udf.CIQ($B10,"IQ_AP",IB$3,$I$3, $N$3, , $J$3, $K$3)+_xll.ciqfunctions.udf.CIQ($B10,"IQ_AP","IQ_" &amp; LEFT(IB$3,2) &amp; "-1", IB$3, $N$3, , $J$3, $K$3))/_xll.ciqfunctions.udf.CIQ($B10,"IQ_COGS",IB$3,$I$3, $N$3, , $J$3, $K$3)*$HY$2*0.5)),"")</f>
        <v/>
      </c>
      <c r="IC10" s="90" t="str">
        <f>IFERROR(IF(OR($B10="",IC$3=""),"",IF(AND($HY$4="No",(_xll.ciqfunctions.udf.CIQ($B10,"IQ_AP",IC$3,$I$3, $N$3, , $J$3, $K$3)+_xll.ciqfunctions.udf.CIQ($B10,"IQ_AP","IQ_" &amp; LEFT(IC$3,2) &amp; "-1", IC$3, $N$3, , $J$3, $K$3))&lt;=0),"",(_xll.ciqfunctions.udf.CIQ($B10,"IQ_AP",IC$3,$I$3, $N$3, , $J$3, $K$3)+_xll.ciqfunctions.udf.CIQ($B10,"IQ_AP","IQ_" &amp; LEFT(IC$3,2) &amp; "-1", IC$3, $N$3, , $J$3, $K$3))/_xll.ciqfunctions.udf.CIQ($B10,"IQ_COGS",IC$3,$I$3, $N$3, , $J$3, $K$3)*$HY$2*0.5)),"")</f>
        <v/>
      </c>
      <c r="ID10" s="90" t="str">
        <f>IFERROR(IF(OR($B10="",ID$3=""),"",IF(AND($HY$4="No",(_xll.ciqfunctions.udf.CIQ($B10,"IQ_AP",ID$3,$I$3, $N$3, , $J$3, $K$3)+_xll.ciqfunctions.udf.CIQ($B10,"IQ_AP","IQ_" &amp; LEFT(ID$3,2) &amp; "-1", ID$3, $N$3, , $J$3, $K$3))&lt;=0),"",(_xll.ciqfunctions.udf.CIQ($B10,"IQ_AP",ID$3,$I$3, $N$3, , $J$3, $K$3)+_xll.ciqfunctions.udf.CIQ($B10,"IQ_AP","IQ_" &amp; LEFT(ID$3,2) &amp; "-1", ID$3, $N$3, , $J$3, $K$3))/_xll.ciqfunctions.udf.CIQ($B10,"IQ_COGS",ID$3,$I$3, $N$3, , $J$3, $K$3)*$HY$2*0.5)),"")</f>
        <v/>
      </c>
      <c r="IE10" s="90" t="str">
        <f>IFERROR(IF(OR($B10="",IE$3=""),"",IF(AND($HY$4="No",(_xll.ciqfunctions.udf.CIQ($B10,"IQ_AP",IE$3,$I$3, $N$3, , $J$3, $K$3)+_xll.ciqfunctions.udf.CIQ($B10,"IQ_AP","IQ_" &amp; LEFT(IE$3,2) &amp; "-1", IE$3, $N$3, , $J$3, $K$3))&lt;=0),"",(_xll.ciqfunctions.udf.CIQ($B10,"IQ_AP",IE$3,$I$3, $N$3, , $J$3, $K$3)+_xll.ciqfunctions.udf.CIQ($B10,"IQ_AP","IQ_" &amp; LEFT(IE$3,2) &amp; "-1", IE$3, $N$3, , $J$3, $K$3))/_xll.ciqfunctions.udf.CIQ($B10,"IQ_COGS",IE$3,$I$3, $N$3, , $J$3, $K$3)*$HY$2*0.5)),"")</f>
        <v/>
      </c>
      <c r="IF10" s="90" t="str">
        <f>IFERROR(IF(OR($B10="",IF$3=""),"",IF(AND($HY$4="No",(_xll.ciqfunctions.udf.CIQ($B10,"IQ_AP",IF$3,$I$3, $N$3, , $J$3, $K$3)+_xll.ciqfunctions.udf.CIQ($B10,"IQ_AP","IQ_" &amp; LEFT(IF$3,2) &amp; "-1", IF$3, $N$3, , $J$3, $K$3))&lt;=0),"",(_xll.ciqfunctions.udf.CIQ($B10,"IQ_AP",IF$3,$I$3, $N$3, , $J$3, $K$3)+_xll.ciqfunctions.udf.CIQ($B10,"IQ_AP","IQ_" &amp; LEFT(IF$3,2) &amp; "-1", IF$3, $N$3, , $J$3, $K$3))/_xll.ciqfunctions.udf.CIQ($B10,"IQ_COGS",IF$3,$I$3, $N$3, , $J$3, $K$3)*$HY$2*0.5)),"")</f>
        <v/>
      </c>
      <c r="IG10" s="90" t="str">
        <f>IFERROR(IF(OR($B10="",IG$3=""),"",IF(AND($HY$4="No",(_xll.ciqfunctions.udf.CIQ($B10,"IQ_AP",IG$3,$I$3, $N$3, , $J$3, $K$3)+_xll.ciqfunctions.udf.CIQ($B10,"IQ_AP","IQ_" &amp; LEFT(IG$3,2) &amp; "-1", IG$3, $N$3, , $J$3, $K$3))&lt;=0),"",(_xll.ciqfunctions.udf.CIQ($B10,"IQ_AP",IG$3,$I$3, $N$3, , $J$3, $K$3)+_xll.ciqfunctions.udf.CIQ($B10,"IQ_AP","IQ_" &amp; LEFT(IG$3,2) &amp; "-1", IG$3, $N$3, , $J$3, $K$3))/_xll.ciqfunctions.udf.CIQ($B10,"IQ_COGS",IG$3,$I$3, $N$3, , $J$3, $K$3)*$HY$2*0.5)),"")</f>
        <v/>
      </c>
      <c r="IH10" s="90" t="str">
        <f>IFERROR(IF(OR($B10="",IH$3=""),"",IF(AND($HY$4="No",(_xll.ciqfunctions.udf.CIQ($B10,"IQ_AP",IH$3,$I$3, $N$3, , $J$3, $K$3)+_xll.ciqfunctions.udf.CIQ($B10,"IQ_AP","IQ_" &amp; LEFT(IH$3,2) &amp; "-1", IH$3, $N$3, , $J$3, $K$3))&lt;=0),"",(_xll.ciqfunctions.udf.CIQ($B10,"IQ_AP",IH$3,$I$3, $N$3, , $J$3, $K$3)+_xll.ciqfunctions.udf.CIQ($B10,"IQ_AP","IQ_" &amp; LEFT(IH$3,2) &amp; "-1", IH$3, $N$3, , $J$3, $K$3))/_xll.ciqfunctions.udf.CIQ($B10,"IQ_COGS",IH$3,$I$3, $N$3, , $J$3, $K$3)*$HY$2*0.5)),"")</f>
        <v/>
      </c>
      <c r="II10" s="90" t="str">
        <f>IFERROR(IF(OR($B10="",II$3=""),"",IF(AND($HY$4="No",(_xll.ciqfunctions.udf.CIQ($B10,"IQ_AP",II$3,$I$3, $N$3, , $J$3, $K$3)+_xll.ciqfunctions.udf.CIQ($B10,"IQ_AP","IQ_" &amp; LEFT(II$3,2) &amp; "-1", II$3, $N$3, , $J$3, $K$3))&lt;=0),"",(_xll.ciqfunctions.udf.CIQ($B10,"IQ_AP",II$3,$I$3, $N$3, , $J$3, $K$3)+_xll.ciqfunctions.udf.CIQ($B10,"IQ_AP","IQ_" &amp; LEFT(II$3,2) &amp; "-1", II$3, $N$3, , $J$3, $K$3))/_xll.ciqfunctions.udf.CIQ($B10,"IQ_COGS",II$3,$I$3, $N$3, , $J$3, $K$3)*$HY$2*0.5)),"")</f>
        <v/>
      </c>
      <c r="IJ10" s="90" t="str">
        <f>IFERROR(IF(OR($B10="",IJ$3=""),"",IF(AND($HY$4="No",(_xll.ciqfunctions.udf.CIQ($B10,"IQ_AP",IJ$3,$I$3, $N$3, , $J$3, $K$3)+_xll.ciqfunctions.udf.CIQ($B10,"IQ_AP","IQ_" &amp; LEFT(IJ$3,2) &amp; "-1", IJ$3, $N$3, , $J$3, $K$3))&lt;=0),"",(_xll.ciqfunctions.udf.CIQ($B10,"IQ_AP",IJ$3,$I$3, $N$3, , $J$3, $K$3)+_xll.ciqfunctions.udf.CIQ($B10,"IQ_AP","IQ_" &amp; LEFT(IJ$3,2) &amp; "-1", IJ$3, $N$3, , $J$3, $K$3))/_xll.ciqfunctions.udf.CIQ($B10,"IQ_COGS",IJ$3,$I$3, $N$3, , $J$3, $K$3)*$HY$2*0.5)),"")</f>
        <v/>
      </c>
      <c r="IK10" s="90" t="str">
        <f>IFERROR(IF(OR($B10="",IK$3=""),"",IF(AND($HY$4="No",(_xll.ciqfunctions.udf.CIQ($B10,"IQ_AP",IK$3,$I$3, $N$3, , $J$3, $K$3)+_xll.ciqfunctions.udf.CIQ($B10,"IQ_AP","IQ_" &amp; LEFT(IK$3,2) &amp; "-1", IK$3, $N$3, , $J$3, $K$3))&lt;=0),"",(_xll.ciqfunctions.udf.CIQ($B10,"IQ_AP",IK$3,$I$3, $N$3, , $J$3, $K$3)+_xll.ciqfunctions.udf.CIQ($B10,"IQ_AP","IQ_" &amp; LEFT(IK$3,2) &amp; "-1", IK$3, $N$3, , $J$3, $K$3))/_xll.ciqfunctions.udf.CIQ($B10,"IQ_COGS",IK$3,$I$3, $N$3, , $J$3, $K$3)*$HY$2*0.5)),"")</f>
        <v/>
      </c>
      <c r="IL10" s="90" t="str">
        <f>IFERROR(IF(OR($B10="",IL$3=""),"",IF(AND($HY$4="No",(_xll.ciqfunctions.udf.CIQ($B10,"IQ_AP",IL$3,$I$3, $N$3, , $J$3, $K$3)+_xll.ciqfunctions.udf.CIQ($B10,"IQ_AP","IQ_" &amp; LEFT(IL$3,2) &amp; "-1", IL$3, $N$3, , $J$3, $K$3))&lt;=0),"",(_xll.ciqfunctions.udf.CIQ($B10,"IQ_AP",IL$3,$I$3, $N$3, , $J$3, $K$3)+_xll.ciqfunctions.udf.CIQ($B10,"IQ_AP","IQ_" &amp; LEFT(IL$3,2) &amp; "-1", IL$3, $N$3, , $J$3, $K$3))/_xll.ciqfunctions.udf.CIQ($B10,"IQ_COGS",IL$3,$I$3, $N$3, , $J$3, $K$3)*$HY$2*0.5)),"")</f>
        <v/>
      </c>
      <c r="IM10" s="90" t="str">
        <f>IFERROR(IF(OR($B10="",IM$3=""),"",IF(AND($HY$4="No",(_xll.ciqfunctions.udf.CIQ($B10,"IQ_AP",IM$3,$I$3, $N$3, , $J$3, $K$3)+_xll.ciqfunctions.udf.CIQ($B10,"IQ_AP","IQ_" &amp; LEFT(IM$3,2) &amp; "-1", IM$3, $N$3, , $J$3, $K$3))&lt;=0),"",(_xll.ciqfunctions.udf.CIQ($B10,"IQ_AP",IM$3,$I$3, $N$3, , $J$3, $K$3)+_xll.ciqfunctions.udf.CIQ($B10,"IQ_AP","IQ_" &amp; LEFT(IM$3,2) &amp; "-1", IM$3, $N$3, , $J$3, $K$3))/_xll.ciqfunctions.udf.CIQ($B10,"IQ_COGS",IM$3,$I$3, $N$3, , $J$3, $K$3)*$HY$2*0.5)),"")</f>
        <v/>
      </c>
      <c r="IN10" s="90" t="str">
        <f>IFERROR(IF(OR($B10="",IN$3=""),"",IF(AND($HY$4="No",(_xll.ciqfunctions.udf.CIQ($B10,"IQ_AP",IN$3,$I$3, $N$3, , $J$3, $K$3)+_xll.ciqfunctions.udf.CIQ($B10,"IQ_AP","IQ_" &amp; LEFT(IN$3,2) &amp; "-1", IN$3, $N$3, , $J$3, $K$3))&lt;=0),"",(_xll.ciqfunctions.udf.CIQ($B10,"IQ_AP",IN$3,$I$3, $N$3, , $J$3, $K$3)+_xll.ciqfunctions.udf.CIQ($B10,"IQ_AP","IQ_" &amp; LEFT(IN$3,2) &amp; "-1", IN$3, $N$3, , $J$3, $K$3))/_xll.ciqfunctions.udf.CIQ($B10,"IQ_COGS",IN$3,$I$3, $N$3, , $J$3, $K$3)*$HY$2*0.5)),"")</f>
        <v/>
      </c>
      <c r="IO10" s="90" t="str">
        <f>IFERROR(IF(OR($B10="",IO$3=""),"",IF(AND($HY$4="No",(_xll.ciqfunctions.udf.CIQ($B10,"IQ_AP",IO$3,$I$3, $N$3, , $J$3, $K$3)+_xll.ciqfunctions.udf.CIQ($B10,"IQ_AP","IQ_" &amp; LEFT(IO$3,2) &amp; "-1", IO$3, $N$3, , $J$3, $K$3))&lt;=0),"",(_xll.ciqfunctions.udf.CIQ($B10,"IQ_AP",IO$3,$I$3, $N$3, , $J$3, $K$3)+_xll.ciqfunctions.udf.CIQ($B10,"IQ_AP","IQ_" &amp; LEFT(IO$3,2) &amp; "-1", IO$3, $N$3, , $J$3, $K$3))/_xll.ciqfunctions.udf.CIQ($B10,"IQ_COGS",IO$3,$I$3, $N$3, , $J$3, $K$3)*$HY$2*0.5)),"")</f>
        <v/>
      </c>
      <c r="IP10" s="90" t="str">
        <f>IFERROR(IF(OR($B10="",IP$3=""),"",IF(AND($HY$4="No",(_xll.ciqfunctions.udf.CIQ($B10,"IQ_AP",IP$3,$I$3, $N$3, , $J$3, $K$3)+_xll.ciqfunctions.udf.CIQ($B10,"IQ_AP","IQ_" &amp; LEFT(IP$3,2) &amp; "-1", IP$3, $N$3, , $J$3, $K$3))&lt;=0),"",(_xll.ciqfunctions.udf.CIQ($B10,"IQ_AP",IP$3,$I$3, $N$3, , $J$3, $K$3)+_xll.ciqfunctions.udf.CIQ($B10,"IQ_AP","IQ_" &amp; LEFT(IP$3,2) &amp; "-1", IP$3, $N$3, , $J$3, $K$3))/_xll.ciqfunctions.udf.CIQ($B10,"IQ_COGS",IP$3,$I$3, $N$3, , $J$3, $K$3)*$HY$2*0.5)),"")</f>
        <v/>
      </c>
      <c r="IQ10" s="90" t="str">
        <f>IFERROR(IF(OR($B10="",IQ$3=""),"",IF(AND($HY$4="No",(_xll.ciqfunctions.udf.CIQ($B10,"IQ_AP",IQ$3,$I$3, $N$3, , $J$3, $K$3)+_xll.ciqfunctions.udf.CIQ($B10,"IQ_AP","IQ_" &amp; LEFT(IQ$3,2) &amp; "-1", IQ$3, $N$3, , $J$3, $K$3))&lt;=0),"",(_xll.ciqfunctions.udf.CIQ($B10,"IQ_AP",IQ$3,$I$3, $N$3, , $J$3, $K$3)+_xll.ciqfunctions.udf.CIQ($B10,"IQ_AP","IQ_" &amp; LEFT(IQ$3,2) &amp; "-1", IQ$3, $N$3, , $J$3, $K$3))/_xll.ciqfunctions.udf.CIQ($B10,"IQ_COGS",IQ$3,$I$3, $N$3, , $J$3, $K$3)*$HY$2*0.5)),"")</f>
        <v/>
      </c>
      <c r="IR10" s="91" t="str">
        <f>IFERROR(IF(OR($B10="",IR$3=""),"",IF(AND($HY$4="No",(_xll.ciqfunctions.udf.CIQ($B10,"IQ_AP",IR$3,$I$3, $N$3, , $J$3, $K$3)+_xll.ciqfunctions.udf.CIQ($B10,"IQ_AP","IQ_" &amp; LEFT(IR$3,2) &amp; "-1", IR$3, $N$3, , $J$3, $K$3))&lt;=0),"",(_xll.ciqfunctions.udf.CIQ($B10,"IQ_AP",IR$3,$I$3, $N$3, , $J$3, $K$3)+_xll.ciqfunctions.udf.CIQ($B10,"IQ_AP","IQ_" &amp; LEFT(IR$3,2) &amp; "-1", IR$3, $N$3, , $J$3, $K$3))/_xll.ciqfunctions.udf.CIQ($B10,"IQ_COGS",IR$3,$I$3, $N$3, , $J$3, $K$3)*$HY$2*0.5)),"")</f>
        <v/>
      </c>
      <c r="IS10" s="89" t="str">
        <f t="shared" si="343"/>
        <v/>
      </c>
      <c r="IT10" s="90" t="str">
        <f t="shared" si="344"/>
        <v/>
      </c>
      <c r="IU10" s="90" t="str">
        <f t="shared" si="345"/>
        <v/>
      </c>
      <c r="IV10" s="90" t="str">
        <f t="shared" si="346"/>
        <v/>
      </c>
      <c r="IW10" s="90" t="str">
        <f t="shared" si="347"/>
        <v/>
      </c>
      <c r="IX10" s="90" t="str">
        <f t="shared" si="348"/>
        <v/>
      </c>
      <c r="IY10" s="90" t="str">
        <f t="shared" si="349"/>
        <v/>
      </c>
      <c r="IZ10" s="90" t="str">
        <f t="shared" si="350"/>
        <v/>
      </c>
      <c r="JA10" s="90" t="str">
        <f t="shared" si="351"/>
        <v/>
      </c>
      <c r="JB10" s="90" t="str">
        <f t="shared" si="352"/>
        <v/>
      </c>
      <c r="JC10" s="90" t="str">
        <f t="shared" si="353"/>
        <v/>
      </c>
      <c r="JD10" s="90" t="str">
        <f t="shared" si="354"/>
        <v/>
      </c>
      <c r="JE10" s="90" t="str">
        <f t="shared" si="355"/>
        <v/>
      </c>
      <c r="JF10" s="90" t="str">
        <f t="shared" si="356"/>
        <v/>
      </c>
      <c r="JG10" s="90" t="str">
        <f t="shared" si="357"/>
        <v/>
      </c>
      <c r="JH10" s="90" t="str">
        <f t="shared" si="358"/>
        <v/>
      </c>
      <c r="JI10" s="90" t="str">
        <f t="shared" si="359"/>
        <v/>
      </c>
      <c r="JJ10" s="90" t="str">
        <f t="shared" si="360"/>
        <v/>
      </c>
      <c r="JK10" s="90" t="str">
        <f t="shared" si="361"/>
        <v/>
      </c>
      <c r="JL10" s="91" t="str">
        <f t="shared" si="362"/>
        <v/>
      </c>
      <c r="JM10" s="86" t="str">
        <f>IFERROR(IF(OR($B10="",JM$3=""),"",_xll.ciqfunctions.udf.CIQ($B10,"IQ_CASH_OPER",JM$3,$I$3, $N$3, , $J$3, $K$3)/_xll.ciqfunctions.udf.CIQ($B10,"IQ_TOTAL_REV",JM$3,$I$3, $N$3, , $J$3, $K$3)),"")</f>
        <v/>
      </c>
      <c r="JN10" s="87" t="str">
        <f>IFERROR(IF(OR($B10="",JN$3=""),"",_xll.ciqfunctions.udf.CIQ($B10,"IQ_CASH_OPER",JN$3,$I$3, $N$3, , $J$3, $K$3)/_xll.ciqfunctions.udf.CIQ($B10,"IQ_TOTAL_REV",JN$3,$I$3, $N$3, , $J$3, $K$3)),"")</f>
        <v/>
      </c>
      <c r="JO10" s="87" t="str">
        <f>IFERROR(IF(OR($B10="",JO$3=""),"",_xll.ciqfunctions.udf.CIQ($B10,"IQ_CASH_OPER",JO$3,$I$3, $N$3, , $J$3, $K$3)/_xll.ciqfunctions.udf.CIQ($B10,"IQ_TOTAL_REV",JO$3,$I$3, $N$3, , $J$3, $K$3)),"")</f>
        <v/>
      </c>
      <c r="JP10" s="87" t="str">
        <f>IFERROR(IF(OR($B10="",JP$3=""),"",_xll.ciqfunctions.udf.CIQ($B10,"IQ_CASH_OPER",JP$3,$I$3, $N$3, , $J$3, $K$3)/_xll.ciqfunctions.udf.CIQ($B10,"IQ_TOTAL_REV",JP$3,$I$3, $N$3, , $J$3, $K$3)),"")</f>
        <v/>
      </c>
      <c r="JQ10" s="87" t="str">
        <f>IFERROR(IF(OR($B10="",JQ$3=""),"",_xll.ciqfunctions.udf.CIQ($B10,"IQ_CASH_OPER",JQ$3,$I$3, $N$3, , $J$3, $K$3)/_xll.ciqfunctions.udf.CIQ($B10,"IQ_TOTAL_REV",JQ$3,$I$3, $N$3, , $J$3, $K$3)),"")</f>
        <v/>
      </c>
      <c r="JR10" s="87" t="str">
        <f>IFERROR(IF(OR($B10="",JR$3=""),"",_xll.ciqfunctions.udf.CIQ($B10,"IQ_CASH_OPER",JR$3,$I$3, $N$3, , $J$3, $K$3)/_xll.ciqfunctions.udf.CIQ($B10,"IQ_TOTAL_REV",JR$3,$I$3, $N$3, , $J$3, $K$3)),"")</f>
        <v/>
      </c>
      <c r="JS10" s="87" t="str">
        <f>IFERROR(IF(OR($B10="",JS$3=""),"",_xll.ciqfunctions.udf.CIQ($B10,"IQ_CASH_OPER",JS$3,$I$3, $N$3, , $J$3, $K$3)/_xll.ciqfunctions.udf.CIQ($B10,"IQ_TOTAL_REV",JS$3,$I$3, $N$3, , $J$3, $K$3)),"")</f>
        <v/>
      </c>
      <c r="JT10" s="87" t="str">
        <f>IFERROR(IF(OR($B10="",JT$3=""),"",_xll.ciqfunctions.udf.CIQ($B10,"IQ_CASH_OPER",JT$3,$I$3, $N$3, , $J$3, $K$3)/_xll.ciqfunctions.udf.CIQ($B10,"IQ_TOTAL_REV",JT$3,$I$3, $N$3, , $J$3, $K$3)),"")</f>
        <v/>
      </c>
      <c r="JU10" s="87" t="str">
        <f>IFERROR(IF(OR($B10="",JU$3=""),"",_xll.ciqfunctions.udf.CIQ($B10,"IQ_CASH_OPER",JU$3,$I$3, $N$3, , $J$3, $K$3)/_xll.ciqfunctions.udf.CIQ($B10,"IQ_TOTAL_REV",JU$3,$I$3, $N$3, , $J$3, $K$3)),"")</f>
        <v/>
      </c>
      <c r="JV10" s="87" t="str">
        <f>IFERROR(IF(OR($B10="",JV$3=""),"",_xll.ciqfunctions.udf.CIQ($B10,"IQ_CASH_OPER",JV$3,$I$3, $N$3, , $J$3, $K$3)/_xll.ciqfunctions.udf.CIQ($B10,"IQ_TOTAL_REV",JV$3,$I$3, $N$3, , $J$3, $K$3)),"")</f>
        <v/>
      </c>
      <c r="JW10" s="87" t="str">
        <f>IFERROR(IF(OR($B10="",JW$3=""),"",_xll.ciqfunctions.udf.CIQ($B10,"IQ_CASH_OPER",JW$3,$I$3, $N$3, , $J$3, $K$3)/_xll.ciqfunctions.udf.CIQ($B10,"IQ_TOTAL_REV",JW$3,$I$3, $N$3, , $J$3, $K$3)),"")</f>
        <v/>
      </c>
      <c r="JX10" s="87" t="str">
        <f>IFERROR(IF(OR($B10="",JX$3=""),"",_xll.ciqfunctions.udf.CIQ($B10,"IQ_CASH_OPER",JX$3,$I$3, $N$3, , $J$3, $K$3)/_xll.ciqfunctions.udf.CIQ($B10,"IQ_TOTAL_REV",JX$3,$I$3, $N$3, , $J$3, $K$3)),"")</f>
        <v/>
      </c>
      <c r="JY10" s="87" t="str">
        <f>IFERROR(IF(OR($B10="",JY$3=""),"",_xll.ciqfunctions.udf.CIQ($B10,"IQ_CASH_OPER",JY$3,$I$3, $N$3, , $J$3, $K$3)/_xll.ciqfunctions.udf.CIQ($B10,"IQ_TOTAL_REV",JY$3,$I$3, $N$3, , $J$3, $K$3)),"")</f>
        <v/>
      </c>
      <c r="JZ10" s="87" t="str">
        <f>IFERROR(IF(OR($B10="",JZ$3=""),"",_xll.ciqfunctions.udf.CIQ($B10,"IQ_CASH_OPER",JZ$3,$I$3, $N$3, , $J$3, $K$3)/_xll.ciqfunctions.udf.CIQ($B10,"IQ_TOTAL_REV",JZ$3,$I$3, $N$3, , $J$3, $K$3)),"")</f>
        <v/>
      </c>
      <c r="KA10" s="87" t="str">
        <f>IFERROR(IF(OR($B10="",KA$3=""),"",_xll.ciqfunctions.udf.CIQ($B10,"IQ_CASH_OPER",KA$3,$I$3, $N$3, , $J$3, $K$3)/_xll.ciqfunctions.udf.CIQ($B10,"IQ_TOTAL_REV",KA$3,$I$3, $N$3, , $J$3, $K$3)),"")</f>
        <v/>
      </c>
      <c r="KB10" s="87" t="str">
        <f>IFERROR(IF(OR($B10="",KB$3=""),"",_xll.ciqfunctions.udf.CIQ($B10,"IQ_CASH_OPER",KB$3,$I$3, $N$3, , $J$3, $K$3)/_xll.ciqfunctions.udf.CIQ($B10,"IQ_TOTAL_REV",KB$3,$I$3, $N$3, , $J$3, $K$3)),"")</f>
        <v/>
      </c>
      <c r="KC10" s="87" t="str">
        <f>IFERROR(IF(OR($B10="",KC$3=""),"",_xll.ciqfunctions.udf.CIQ($B10,"IQ_CASH_OPER",KC$3,$I$3, $N$3, , $J$3, $K$3)/_xll.ciqfunctions.udf.CIQ($B10,"IQ_TOTAL_REV",KC$3,$I$3, $N$3, , $J$3, $K$3)),"")</f>
        <v/>
      </c>
      <c r="KD10" s="87" t="str">
        <f>IFERROR(IF(OR($B10="",KD$3=""),"",_xll.ciqfunctions.udf.CIQ($B10,"IQ_CASH_OPER",KD$3,$I$3, $N$3, , $J$3, $K$3)/_xll.ciqfunctions.udf.CIQ($B10,"IQ_TOTAL_REV",KD$3,$I$3, $N$3, , $J$3, $K$3)),"")</f>
        <v/>
      </c>
      <c r="KE10" s="87" t="str">
        <f>IFERROR(IF(OR($B10="",KE$3=""),"",_xll.ciqfunctions.udf.CIQ($B10,"IQ_CASH_OPER",KE$3,$I$3, $N$3, , $J$3, $K$3)/_xll.ciqfunctions.udf.CIQ($B10,"IQ_TOTAL_REV",KE$3,$I$3, $N$3, , $J$3, $K$3)),"")</f>
        <v/>
      </c>
      <c r="KF10" s="88" t="str">
        <f>IFERROR(IF(OR($B10="",KF$3=""),"",_xll.ciqfunctions.udf.CIQ($B10,"IQ_CASH_OPER",KF$3,$I$3, $N$3, , $J$3, $K$3)/_xll.ciqfunctions.udf.CIQ($B10,"IQ_TOTAL_REV",KF$3,$I$3, $N$3, , $J$3, $K$3)),"")</f>
        <v/>
      </c>
      <c r="KG10" s="89" t="str">
        <f>IFERROR(IF(OR($B10="",KG$3=""),"",IF(NOT(ISNUMBER(_xll.ciqfunctions.udf.CIQ($B10, "IQ_ASSET_TURNS", KG$3, $E$3, $N$3, , $J$3, $K$3))),"",_xll.ciqfunctions.udf.CIQ($B10, "IQ_ASSET_TURNS", KG$3, $E$3, $N$3, , $J$3, $K$3))),"")</f>
        <v/>
      </c>
      <c r="KH10" s="90" t="str">
        <f>IFERROR(IF(OR($B10="",KH$3=""),"",IF(NOT(ISNUMBER(_xll.ciqfunctions.udf.CIQ($B10, "IQ_ASSET_TURNS", KH$3, $E$3, $N$3, , $J$3, $K$3))),"",_xll.ciqfunctions.udf.CIQ($B10, "IQ_ASSET_TURNS", KH$3, $E$3, $N$3, , $J$3, $K$3))),"")</f>
        <v/>
      </c>
      <c r="KI10" s="90" t="str">
        <f>IFERROR(IF(OR($B10="",KI$3=""),"",IF(NOT(ISNUMBER(_xll.ciqfunctions.udf.CIQ($B10, "IQ_ASSET_TURNS", KI$3, $E$3, $N$3, , $J$3, $K$3))),"",_xll.ciqfunctions.udf.CIQ($B10, "IQ_ASSET_TURNS", KI$3, $E$3, $N$3, , $J$3, $K$3))),"")</f>
        <v/>
      </c>
      <c r="KJ10" s="90" t="str">
        <f>IFERROR(IF(OR($B10="",KJ$3=""),"",IF(NOT(ISNUMBER(_xll.ciqfunctions.udf.CIQ($B10, "IQ_ASSET_TURNS", KJ$3, $E$3, $N$3, , $J$3, $K$3))),"",_xll.ciqfunctions.udf.CIQ($B10, "IQ_ASSET_TURNS", KJ$3, $E$3, $N$3, , $J$3, $K$3))),"")</f>
        <v/>
      </c>
      <c r="KK10" s="90" t="str">
        <f>IFERROR(IF(OR($B10="",KK$3=""),"",IF(NOT(ISNUMBER(_xll.ciqfunctions.udf.CIQ($B10, "IQ_ASSET_TURNS", KK$3, $E$3, $N$3, , $J$3, $K$3))),"",_xll.ciqfunctions.udf.CIQ($B10, "IQ_ASSET_TURNS", KK$3, $E$3, $N$3, , $J$3, $K$3))),"")</f>
        <v/>
      </c>
      <c r="KL10" s="90" t="str">
        <f>IFERROR(IF(OR($B10="",KL$3=""),"",IF(NOT(ISNUMBER(_xll.ciqfunctions.udf.CIQ($B10, "IQ_ASSET_TURNS", KL$3, $E$3, $N$3, , $J$3, $K$3))),"",_xll.ciqfunctions.udf.CIQ($B10, "IQ_ASSET_TURNS", KL$3, $E$3, $N$3, , $J$3, $K$3))),"")</f>
        <v/>
      </c>
      <c r="KM10" s="90" t="str">
        <f>IFERROR(IF(OR($B10="",KM$3=""),"",IF(NOT(ISNUMBER(_xll.ciqfunctions.udf.CIQ($B10, "IQ_ASSET_TURNS", KM$3, $E$3, $N$3, , $J$3, $K$3))),"",_xll.ciqfunctions.udf.CIQ($B10, "IQ_ASSET_TURNS", KM$3, $E$3, $N$3, , $J$3, $K$3))),"")</f>
        <v/>
      </c>
      <c r="KN10" s="90" t="str">
        <f>IFERROR(IF(OR($B10="",KN$3=""),"",IF(NOT(ISNUMBER(_xll.ciqfunctions.udf.CIQ($B10, "IQ_ASSET_TURNS", KN$3, $E$3, $N$3, , $J$3, $K$3))),"",_xll.ciqfunctions.udf.CIQ($B10, "IQ_ASSET_TURNS", KN$3, $E$3, $N$3, , $J$3, $K$3))),"")</f>
        <v/>
      </c>
      <c r="KO10" s="90" t="str">
        <f>IFERROR(IF(OR($B10="",KO$3=""),"",IF(NOT(ISNUMBER(_xll.ciqfunctions.udf.CIQ($B10, "IQ_ASSET_TURNS", KO$3, $E$3, $N$3, , $J$3, $K$3))),"",_xll.ciqfunctions.udf.CIQ($B10, "IQ_ASSET_TURNS", KO$3, $E$3, $N$3, , $J$3, $K$3))),"")</f>
        <v/>
      </c>
      <c r="KP10" s="90" t="str">
        <f>IFERROR(IF(OR($B10="",KP$3=""),"",IF(NOT(ISNUMBER(_xll.ciqfunctions.udf.CIQ($B10, "IQ_ASSET_TURNS", KP$3, $E$3, $N$3, , $J$3, $K$3))),"",_xll.ciqfunctions.udf.CIQ($B10, "IQ_ASSET_TURNS", KP$3, $E$3, $N$3, , $J$3, $K$3))),"")</f>
        <v/>
      </c>
      <c r="KQ10" s="90" t="str">
        <f>IFERROR(IF(OR($B10="",KQ$3=""),"",IF(NOT(ISNUMBER(_xll.ciqfunctions.udf.CIQ($B10, "IQ_ASSET_TURNS", KQ$3, $E$3, $N$3, , $J$3, $K$3))),"",_xll.ciqfunctions.udf.CIQ($B10, "IQ_ASSET_TURNS", KQ$3, $E$3, $N$3, , $J$3, $K$3))),"")</f>
        <v/>
      </c>
      <c r="KR10" s="90" t="str">
        <f>IFERROR(IF(OR($B10="",KR$3=""),"",IF(NOT(ISNUMBER(_xll.ciqfunctions.udf.CIQ($B10, "IQ_ASSET_TURNS", KR$3, $E$3, $N$3, , $J$3, $K$3))),"",_xll.ciqfunctions.udf.CIQ($B10, "IQ_ASSET_TURNS", KR$3, $E$3, $N$3, , $J$3, $K$3))),"")</f>
        <v/>
      </c>
      <c r="KS10" s="90" t="str">
        <f>IFERROR(IF(OR($B10="",KS$3=""),"",IF(NOT(ISNUMBER(_xll.ciqfunctions.udf.CIQ($B10, "IQ_ASSET_TURNS", KS$3, $E$3, $N$3, , $J$3, $K$3))),"",_xll.ciqfunctions.udf.CIQ($B10, "IQ_ASSET_TURNS", KS$3, $E$3, $N$3, , $J$3, $K$3))),"")</f>
        <v/>
      </c>
      <c r="KT10" s="90" t="str">
        <f>IFERROR(IF(OR($B10="",KT$3=""),"",IF(NOT(ISNUMBER(_xll.ciqfunctions.udf.CIQ($B10, "IQ_ASSET_TURNS", KT$3, $E$3, $N$3, , $J$3, $K$3))),"",_xll.ciqfunctions.udf.CIQ($B10, "IQ_ASSET_TURNS", KT$3, $E$3, $N$3, , $J$3, $K$3))),"")</f>
        <v/>
      </c>
      <c r="KU10" s="90" t="str">
        <f>IFERROR(IF(OR($B10="",KU$3=""),"",IF(NOT(ISNUMBER(_xll.ciqfunctions.udf.CIQ($B10, "IQ_ASSET_TURNS", KU$3, $E$3, $N$3, , $J$3, $K$3))),"",_xll.ciqfunctions.udf.CIQ($B10, "IQ_ASSET_TURNS", KU$3, $E$3, $N$3, , $J$3, $K$3))),"")</f>
        <v/>
      </c>
      <c r="KV10" s="90" t="str">
        <f>IFERROR(IF(OR($B10="",KV$3=""),"",IF(NOT(ISNUMBER(_xll.ciqfunctions.udf.CIQ($B10, "IQ_ASSET_TURNS", KV$3, $E$3, $N$3, , $J$3, $K$3))),"",_xll.ciqfunctions.udf.CIQ($B10, "IQ_ASSET_TURNS", KV$3, $E$3, $N$3, , $J$3, $K$3))),"")</f>
        <v/>
      </c>
      <c r="KW10" s="90" t="str">
        <f>IFERROR(IF(OR($B10="",KW$3=""),"",IF(NOT(ISNUMBER(_xll.ciqfunctions.udf.CIQ($B10, "IQ_ASSET_TURNS", KW$3, $E$3, $N$3, , $J$3, $K$3))),"",_xll.ciqfunctions.udf.CIQ($B10, "IQ_ASSET_TURNS", KW$3, $E$3, $N$3, , $J$3, $K$3))),"")</f>
        <v/>
      </c>
      <c r="KX10" s="90" t="str">
        <f>IFERROR(IF(OR($B10="",KX$3=""),"",IF(NOT(ISNUMBER(_xll.ciqfunctions.udf.CIQ($B10, "IQ_ASSET_TURNS", KX$3, $E$3, $N$3, , $J$3, $K$3))),"",_xll.ciqfunctions.udf.CIQ($B10, "IQ_ASSET_TURNS", KX$3, $E$3, $N$3, , $J$3, $K$3))),"")</f>
        <v/>
      </c>
      <c r="KY10" s="90" t="str">
        <f>IFERROR(IF(OR($B10="",KY$3=""),"",IF(NOT(ISNUMBER(_xll.ciqfunctions.udf.CIQ($B10, "IQ_ASSET_TURNS", KY$3, $E$3, $N$3, , $J$3, $K$3))),"",_xll.ciqfunctions.udf.CIQ($B10, "IQ_ASSET_TURNS", KY$3, $E$3, $N$3, , $J$3, $K$3))),"")</f>
        <v/>
      </c>
      <c r="KZ10" s="91" t="str">
        <f>IFERROR(IF(OR($B10="",KZ$3=""),"",IF(NOT(ISNUMBER(_xll.ciqfunctions.udf.CIQ($B10, "IQ_ASSET_TURNS", KZ$3, $E$3, $N$3, , $J$3, $K$3))),"",_xll.ciqfunctions.udf.CIQ($B10, "IQ_ASSET_TURNS", KZ$3, $E$3, $N$3, , $J$3, $K$3))),"")</f>
        <v/>
      </c>
      <c r="LA10" s="75" t="str">
        <f>IFERROR(IF(OR($B10="",LA$3=""),"",IF(NOT(ISNUMBER(_xll.ciqfunctions.udf.CIQ($B10, "IQ_INVENTORY_TURNS", LA$3, $E$3, $N$3, , $J$3, $K$3))),"",_xll.ciqfunctions.udf.CIQ($B10, "IQ_INVENTORY_TURNS", LA$3, $E$3, $N$3, , $J$3, $K$3))),"")</f>
        <v/>
      </c>
      <c r="LB10" s="75" t="str">
        <f>IFERROR(IF(OR($B10="",LB$3=""),"",IF(NOT(ISNUMBER(_xll.ciqfunctions.udf.CIQ($B10, "IQ_INVENTORY_TURNS", LB$3, $E$3, $N$3, , $J$3, $K$3))),"",_xll.ciqfunctions.udf.CIQ($B10, "IQ_INVENTORY_TURNS", LB$3, $E$3, $N$3, , $J$3, $K$3))),"")</f>
        <v/>
      </c>
      <c r="LC10" s="75" t="str">
        <f>IFERROR(IF(OR($B10="",LC$3=""),"",IF(NOT(ISNUMBER(_xll.ciqfunctions.udf.CIQ($B10, "IQ_INVENTORY_TURNS", LC$3, $E$3, $N$3, , $J$3, $K$3))),"",_xll.ciqfunctions.udf.CIQ($B10, "IQ_INVENTORY_TURNS", LC$3, $E$3, $N$3, , $J$3, $K$3))),"")</f>
        <v/>
      </c>
      <c r="LD10" s="75" t="str">
        <f>IFERROR(IF(OR($B10="",LD$3=""),"",IF(NOT(ISNUMBER(_xll.ciqfunctions.udf.CIQ($B10, "IQ_INVENTORY_TURNS", LD$3, $E$3, $N$3, , $J$3, $K$3))),"",_xll.ciqfunctions.udf.CIQ($B10, "IQ_INVENTORY_TURNS", LD$3, $E$3, $N$3, , $J$3, $K$3))),"")</f>
        <v/>
      </c>
      <c r="LE10" s="75" t="str">
        <f>IFERROR(IF(OR($B10="",LE$3=""),"",IF(NOT(ISNUMBER(_xll.ciqfunctions.udf.CIQ($B10, "IQ_INVENTORY_TURNS", LE$3, $E$3, $N$3, , $J$3, $K$3))),"",_xll.ciqfunctions.udf.CIQ($B10, "IQ_INVENTORY_TURNS", LE$3, $E$3, $N$3, , $J$3, $K$3))),"")</f>
        <v/>
      </c>
      <c r="LF10" s="75" t="str">
        <f>IFERROR(IF(OR($B10="",LF$3=""),"",IF(NOT(ISNUMBER(_xll.ciqfunctions.udf.CIQ($B10, "IQ_INVENTORY_TURNS", LF$3, $E$3, $N$3, , $J$3, $K$3))),"",_xll.ciqfunctions.udf.CIQ($B10, "IQ_INVENTORY_TURNS", LF$3, $E$3, $N$3, , $J$3, $K$3))),"")</f>
        <v/>
      </c>
      <c r="LG10" s="75" t="str">
        <f>IFERROR(IF(OR($B10="",LG$3=""),"",IF(NOT(ISNUMBER(_xll.ciqfunctions.udf.CIQ($B10, "IQ_INVENTORY_TURNS", LG$3, $E$3, $N$3, , $J$3, $K$3))),"",_xll.ciqfunctions.udf.CIQ($B10, "IQ_INVENTORY_TURNS", LG$3, $E$3, $N$3, , $J$3, $K$3))),"")</f>
        <v/>
      </c>
      <c r="LH10" s="75" t="str">
        <f>IFERROR(IF(OR($B10="",LH$3=""),"",IF(NOT(ISNUMBER(_xll.ciqfunctions.udf.CIQ($B10, "IQ_INVENTORY_TURNS", LH$3, $E$3, $N$3, , $J$3, $K$3))),"",_xll.ciqfunctions.udf.CIQ($B10, "IQ_INVENTORY_TURNS", LH$3, $E$3, $N$3, , $J$3, $K$3))),"")</f>
        <v/>
      </c>
      <c r="LI10" s="75" t="str">
        <f>IFERROR(IF(OR($B10="",LI$3=""),"",IF(NOT(ISNUMBER(_xll.ciqfunctions.udf.CIQ($B10, "IQ_INVENTORY_TURNS", LI$3, $E$3, $N$3, , $J$3, $K$3))),"",_xll.ciqfunctions.udf.CIQ($B10, "IQ_INVENTORY_TURNS", LI$3, $E$3, $N$3, , $J$3, $K$3))),"")</f>
        <v/>
      </c>
      <c r="LJ10" s="75" t="str">
        <f>IFERROR(IF(OR($B10="",LJ$3=""),"",IF(NOT(ISNUMBER(_xll.ciqfunctions.udf.CIQ($B10, "IQ_INVENTORY_TURNS", LJ$3, $E$3, $N$3, , $J$3, $K$3))),"",_xll.ciqfunctions.udf.CIQ($B10, "IQ_INVENTORY_TURNS", LJ$3, $E$3, $N$3, , $J$3, $K$3))),"")</f>
        <v/>
      </c>
      <c r="LK10" s="75" t="str">
        <f>IFERROR(IF(OR($B10="",LK$3=""),"",IF(NOT(ISNUMBER(_xll.ciqfunctions.udf.CIQ($B10, "IQ_INVENTORY_TURNS", LK$3, $E$3, $N$3, , $J$3, $K$3))),"",_xll.ciqfunctions.udf.CIQ($B10, "IQ_INVENTORY_TURNS", LK$3, $E$3, $N$3, , $J$3, $K$3))),"")</f>
        <v/>
      </c>
      <c r="LL10" s="75" t="str">
        <f>IFERROR(IF(OR($B10="",LL$3=""),"",IF(NOT(ISNUMBER(_xll.ciqfunctions.udf.CIQ($B10, "IQ_INVENTORY_TURNS", LL$3, $E$3, $N$3, , $J$3, $K$3))),"",_xll.ciqfunctions.udf.CIQ($B10, "IQ_INVENTORY_TURNS", LL$3, $E$3, $N$3, , $J$3, $K$3))),"")</f>
        <v/>
      </c>
      <c r="LM10" s="75" t="str">
        <f>IFERROR(IF(OR($B10="",LM$3=""),"",IF(NOT(ISNUMBER(_xll.ciqfunctions.udf.CIQ($B10, "IQ_INVENTORY_TURNS", LM$3, $E$3, $N$3, , $J$3, $K$3))),"",_xll.ciqfunctions.udf.CIQ($B10, "IQ_INVENTORY_TURNS", LM$3, $E$3, $N$3, , $J$3, $K$3))),"")</f>
        <v/>
      </c>
      <c r="LN10" s="75" t="str">
        <f>IFERROR(IF(OR($B10="",LN$3=""),"",IF(NOT(ISNUMBER(_xll.ciqfunctions.udf.CIQ($B10, "IQ_INVENTORY_TURNS", LN$3, $E$3, $N$3, , $J$3, $K$3))),"",_xll.ciqfunctions.udf.CIQ($B10, "IQ_INVENTORY_TURNS", LN$3, $E$3, $N$3, , $J$3, $K$3))),"")</f>
        <v/>
      </c>
      <c r="LO10" s="75" t="str">
        <f>IFERROR(IF(OR($B10="",LO$3=""),"",IF(NOT(ISNUMBER(_xll.ciqfunctions.udf.CIQ($B10, "IQ_INVENTORY_TURNS", LO$3, $E$3, $N$3, , $J$3, $K$3))),"",_xll.ciqfunctions.udf.CIQ($B10, "IQ_INVENTORY_TURNS", LO$3, $E$3, $N$3, , $J$3, $K$3))),"")</f>
        <v/>
      </c>
      <c r="LP10" s="75" t="str">
        <f>IFERROR(IF(OR($B10="",LP$3=""),"",IF(NOT(ISNUMBER(_xll.ciqfunctions.udf.CIQ($B10, "IQ_INVENTORY_TURNS", LP$3, $E$3, $N$3, , $J$3, $K$3))),"",_xll.ciqfunctions.udf.CIQ($B10, "IQ_INVENTORY_TURNS", LP$3, $E$3, $N$3, , $J$3, $K$3))),"")</f>
        <v/>
      </c>
      <c r="LQ10" s="75" t="str">
        <f>IFERROR(IF(OR($B10="",LQ$3=""),"",IF(NOT(ISNUMBER(_xll.ciqfunctions.udf.CIQ($B10, "IQ_INVENTORY_TURNS", LQ$3, $E$3, $N$3, , $J$3, $K$3))),"",_xll.ciqfunctions.udf.CIQ($B10, "IQ_INVENTORY_TURNS", LQ$3, $E$3, $N$3, , $J$3, $K$3))),"")</f>
        <v/>
      </c>
      <c r="LR10" s="75" t="str">
        <f>IFERROR(IF(OR($B10="",LR$3=""),"",IF(NOT(ISNUMBER(_xll.ciqfunctions.udf.CIQ($B10, "IQ_INVENTORY_TURNS", LR$3, $E$3, $N$3, , $J$3, $K$3))),"",_xll.ciqfunctions.udf.CIQ($B10, "IQ_INVENTORY_TURNS", LR$3, $E$3, $N$3, , $J$3, $K$3))),"")</f>
        <v/>
      </c>
      <c r="LS10" s="75" t="str">
        <f>IFERROR(IF(OR($B10="",LS$3=""),"",IF(NOT(ISNUMBER(_xll.ciqfunctions.udf.CIQ($B10, "IQ_INVENTORY_TURNS", LS$3, $E$3, $N$3, , $J$3, $K$3))),"",_xll.ciqfunctions.udf.CIQ($B10, "IQ_INVENTORY_TURNS", LS$3, $E$3, $N$3, , $J$3, $K$3))),"")</f>
        <v/>
      </c>
      <c r="LT10" s="75" t="str">
        <f>IFERROR(IF(OR($B10="",LT$3=""),"",IF(NOT(ISNUMBER(_xll.ciqfunctions.udf.CIQ($B10, "IQ_INVENTORY_TURNS", LT$3, $E$3, $N$3, , $J$3, $K$3))),"",_xll.ciqfunctions.udf.CIQ($B10, "IQ_INVENTORY_TURNS", LT$3, $E$3, $N$3, , $J$3, $K$3))),"")</f>
        <v/>
      </c>
      <c r="LU10" s="75" t="str">
        <f>IFERROR(IF(OR($B10="",LU$3=""),"",IF(NOT(ISNUMBER(_xll.ciqfunctions.udf.CIQ($B10, "IQ_AR_TURNS", LU$3, $E$3, $N$3, , $J$3, $K$3))),"",_xll.ciqfunctions.udf.CIQ($B10, "IQ_AR_TURNS", LU$3, $E$3, $N$3, , $J$3, $K$3))),"")</f>
        <v/>
      </c>
      <c r="LV10" s="75" t="str">
        <f>IFERROR(IF(OR($B10="",LV$3=""),"",IF(NOT(ISNUMBER(_xll.ciqfunctions.udf.CIQ($B10, "IQ_AR_TURNS", LV$3, $E$3, $N$3, , $J$3, $K$3))),"",_xll.ciqfunctions.udf.CIQ($B10, "IQ_AR_TURNS", LV$3, $E$3, $N$3, , $J$3, $K$3))),"")</f>
        <v/>
      </c>
      <c r="LW10" s="75" t="str">
        <f>IFERROR(IF(OR($B10="",LW$3=""),"",IF(NOT(ISNUMBER(_xll.ciqfunctions.udf.CIQ($B10, "IQ_AR_TURNS", LW$3, $E$3, $N$3, , $J$3, $K$3))),"",_xll.ciqfunctions.udf.CIQ($B10, "IQ_AR_TURNS", LW$3, $E$3, $N$3, , $J$3, $K$3))),"")</f>
        <v/>
      </c>
      <c r="LX10" s="75" t="str">
        <f>IFERROR(IF(OR($B10="",LX$3=""),"",IF(NOT(ISNUMBER(_xll.ciqfunctions.udf.CIQ($B10, "IQ_AR_TURNS", LX$3, $E$3, $N$3, , $J$3, $K$3))),"",_xll.ciqfunctions.udf.CIQ($B10, "IQ_AR_TURNS", LX$3, $E$3, $N$3, , $J$3, $K$3))),"")</f>
        <v/>
      </c>
      <c r="LY10" s="75" t="str">
        <f>IFERROR(IF(OR($B10="",LY$3=""),"",IF(NOT(ISNUMBER(_xll.ciqfunctions.udf.CIQ($B10, "IQ_AR_TURNS", LY$3, $E$3, $N$3, , $J$3, $K$3))),"",_xll.ciqfunctions.udf.CIQ($B10, "IQ_AR_TURNS", LY$3, $E$3, $N$3, , $J$3, $K$3))),"")</f>
        <v/>
      </c>
      <c r="LZ10" s="75" t="str">
        <f>IFERROR(IF(OR($B10="",LZ$3=""),"",IF(NOT(ISNUMBER(_xll.ciqfunctions.udf.CIQ($B10, "IQ_AR_TURNS", LZ$3, $E$3, $N$3, , $J$3, $K$3))),"",_xll.ciqfunctions.udf.CIQ($B10, "IQ_AR_TURNS", LZ$3, $E$3, $N$3, , $J$3, $K$3))),"")</f>
        <v/>
      </c>
      <c r="MA10" s="75" t="str">
        <f>IFERROR(IF(OR($B10="",MA$3=""),"",IF(NOT(ISNUMBER(_xll.ciqfunctions.udf.CIQ($B10, "IQ_AR_TURNS", MA$3, $E$3, $N$3, , $J$3, $K$3))),"",_xll.ciqfunctions.udf.CIQ($B10, "IQ_AR_TURNS", MA$3, $E$3, $N$3, , $J$3, $K$3))),"")</f>
        <v/>
      </c>
      <c r="MB10" s="75" t="str">
        <f>IFERROR(IF(OR($B10="",MB$3=""),"",IF(NOT(ISNUMBER(_xll.ciqfunctions.udf.CIQ($B10, "IQ_AR_TURNS", MB$3, $E$3, $N$3, , $J$3, $K$3))),"",_xll.ciqfunctions.udf.CIQ($B10, "IQ_AR_TURNS", MB$3, $E$3, $N$3, , $J$3, $K$3))),"")</f>
        <v/>
      </c>
      <c r="MC10" s="75" t="str">
        <f>IFERROR(IF(OR($B10="",MC$3=""),"",IF(NOT(ISNUMBER(_xll.ciqfunctions.udf.CIQ($B10, "IQ_AR_TURNS", MC$3, $E$3, $N$3, , $J$3, $K$3))),"",_xll.ciqfunctions.udf.CIQ($B10, "IQ_AR_TURNS", MC$3, $E$3, $N$3, , $J$3, $K$3))),"")</f>
        <v/>
      </c>
      <c r="MD10" s="75" t="str">
        <f>IFERROR(IF(OR($B10="",MD$3=""),"",IF(NOT(ISNUMBER(_xll.ciqfunctions.udf.CIQ($B10, "IQ_AR_TURNS", MD$3, $E$3, $N$3, , $J$3, $K$3))),"",_xll.ciqfunctions.udf.CIQ($B10, "IQ_AR_TURNS", MD$3, $E$3, $N$3, , $J$3, $K$3))),"")</f>
        <v/>
      </c>
      <c r="ME10" s="75" t="str">
        <f>IFERROR(IF(OR($B10="",ME$3=""),"",IF(NOT(ISNUMBER(_xll.ciqfunctions.udf.CIQ($B10, "IQ_AR_TURNS", ME$3, $E$3, $N$3, , $J$3, $K$3))),"",_xll.ciqfunctions.udf.CIQ($B10, "IQ_AR_TURNS", ME$3, $E$3, $N$3, , $J$3, $K$3))),"")</f>
        <v/>
      </c>
      <c r="MF10" s="75" t="str">
        <f>IFERROR(IF(OR($B10="",MF$3=""),"",IF(NOT(ISNUMBER(_xll.ciqfunctions.udf.CIQ($B10, "IQ_AR_TURNS", MF$3, $E$3, $N$3, , $J$3, $K$3))),"",_xll.ciqfunctions.udf.CIQ($B10, "IQ_AR_TURNS", MF$3, $E$3, $N$3, , $J$3, $K$3))),"")</f>
        <v/>
      </c>
      <c r="MG10" s="75" t="str">
        <f>IFERROR(IF(OR($B10="",MG$3=""),"",IF(NOT(ISNUMBER(_xll.ciqfunctions.udf.CIQ($B10, "IQ_AR_TURNS", MG$3, $E$3, $N$3, , $J$3, $K$3))),"",_xll.ciqfunctions.udf.CIQ($B10, "IQ_AR_TURNS", MG$3, $E$3, $N$3, , $J$3, $K$3))),"")</f>
        <v/>
      </c>
      <c r="MH10" s="75" t="str">
        <f>IFERROR(IF(OR($B10="",MH$3=""),"",IF(NOT(ISNUMBER(_xll.ciqfunctions.udf.CIQ($B10, "IQ_AR_TURNS", MH$3, $E$3, $N$3, , $J$3, $K$3))),"",_xll.ciqfunctions.udf.CIQ($B10, "IQ_AR_TURNS", MH$3, $E$3, $N$3, , $J$3, $K$3))),"")</f>
        <v/>
      </c>
      <c r="MI10" s="75" t="str">
        <f>IFERROR(IF(OR($B10="",MI$3=""),"",IF(NOT(ISNUMBER(_xll.ciqfunctions.udf.CIQ($B10, "IQ_AR_TURNS", MI$3, $E$3, $N$3, , $J$3, $K$3))),"",_xll.ciqfunctions.udf.CIQ($B10, "IQ_AR_TURNS", MI$3, $E$3, $N$3, , $J$3, $K$3))),"")</f>
        <v/>
      </c>
      <c r="MJ10" s="75" t="str">
        <f>IFERROR(IF(OR($B10="",MJ$3=""),"",IF(NOT(ISNUMBER(_xll.ciqfunctions.udf.CIQ($B10, "IQ_AR_TURNS", MJ$3, $E$3, $N$3, , $J$3, $K$3))),"",_xll.ciqfunctions.udf.CIQ($B10, "IQ_AR_TURNS", MJ$3, $E$3, $N$3, , $J$3, $K$3))),"")</f>
        <v/>
      </c>
      <c r="MK10" s="75" t="str">
        <f>IFERROR(IF(OR($B10="",MK$3=""),"",IF(NOT(ISNUMBER(_xll.ciqfunctions.udf.CIQ($B10, "IQ_AR_TURNS", MK$3, $E$3, $N$3, , $J$3, $K$3))),"",_xll.ciqfunctions.udf.CIQ($B10, "IQ_AR_TURNS", MK$3, $E$3, $N$3, , $J$3, $K$3))),"")</f>
        <v/>
      </c>
      <c r="ML10" s="75" t="str">
        <f>IFERROR(IF(OR($B10="",ML$3=""),"",IF(NOT(ISNUMBER(_xll.ciqfunctions.udf.CIQ($B10, "IQ_AR_TURNS", ML$3, $E$3, $N$3, , $J$3, $K$3))),"",_xll.ciqfunctions.udf.CIQ($B10, "IQ_AR_TURNS", ML$3, $E$3, $N$3, , $J$3, $K$3))),"")</f>
        <v/>
      </c>
      <c r="MM10" s="75" t="str">
        <f>IFERROR(IF(OR($B10="",MM$3=""),"",IF(NOT(ISNUMBER(_xll.ciqfunctions.udf.CIQ($B10, "IQ_AR_TURNS", MM$3, $E$3, $N$3, , $J$3, $K$3))),"",_xll.ciqfunctions.udf.CIQ($B10, "IQ_AR_TURNS", MM$3, $E$3, $N$3, , $J$3, $K$3))),"")</f>
        <v/>
      </c>
      <c r="MN10" s="75" t="str">
        <f>IFERROR(IF(OR($B10="",MN$3=""),"",IF(NOT(ISNUMBER(_xll.ciqfunctions.udf.CIQ($B10, "IQ_AR_TURNS", MN$3, $E$3, $N$3, , $J$3, $K$3))),"",_xll.ciqfunctions.udf.CIQ($B10, "IQ_AR_TURNS", MN$3, $E$3, $N$3, , $J$3, $K$3))),"")</f>
        <v/>
      </c>
      <c r="MO10" s="588" t="str">
        <f>IFERROR(IF(OR($B10="",MO$3=""),"",_xll.ciqfunctions.udf.CIQ($B10, "IQ_LEVERED_FCF", $O$3, MO$3, $N$3, , $J$3, $K$3)*2/(_xll.ciqfunctions.udf.CIQ($B10, "IQ_TOTAL_DEBT", MO$3, $E$3, $N$3, , $J$3, $K$3)+_xll.ciqfunctions.udf.CIQ($B10, "IQ_TOTAL_DEBT", "IQ_" &amp; LEFT(MO$3,2) &amp; "-1", MO$3, $N$3, , $J$3, $K$3)) ),"")</f>
        <v/>
      </c>
      <c r="MP10" s="588" t="str">
        <f>IFERROR(IF(OR($B10="",MP$3=""),"",_xll.ciqfunctions.udf.CIQ($B10, "IQ_LEVERED_FCF", $O$3, MP$3, $N$3, , $J$3, $K$3)*2/(_xll.ciqfunctions.udf.CIQ($B10, "IQ_TOTAL_DEBT", MP$3, $E$3, $N$3, , $J$3, $K$3)+_xll.ciqfunctions.udf.CIQ($B10, "IQ_TOTAL_DEBT", "IQ_" &amp; LEFT(MP$3,2) &amp; "-1", MP$3, $N$3, , $J$3, $K$3)) ),"")</f>
        <v/>
      </c>
      <c r="MQ10" s="588" t="str">
        <f>IFERROR(IF(OR($B10="",MQ$3=""),"",_xll.ciqfunctions.udf.CIQ($B10, "IQ_LEVERED_FCF", $O$3, MQ$3, $N$3, , $J$3, $K$3)*2/(_xll.ciqfunctions.udf.CIQ($B10, "IQ_TOTAL_DEBT", MQ$3, $E$3, $N$3, , $J$3, $K$3)+_xll.ciqfunctions.udf.CIQ($B10, "IQ_TOTAL_DEBT", "IQ_" &amp; LEFT(MQ$3,2) &amp; "-1", MQ$3, $N$3, , $J$3, $K$3)) ),"")</f>
        <v/>
      </c>
      <c r="MR10" s="588" t="str">
        <f>IFERROR(IF(OR($B10="",MR$3=""),"",_xll.ciqfunctions.udf.CIQ($B10, "IQ_LEVERED_FCF", $O$3, MR$3, $N$3, , $J$3, $K$3)*2/(_xll.ciqfunctions.udf.CIQ($B10, "IQ_TOTAL_DEBT", MR$3, $E$3, $N$3, , $J$3, $K$3)+_xll.ciqfunctions.udf.CIQ($B10, "IQ_TOTAL_DEBT", "IQ_" &amp; LEFT(MR$3,2) &amp; "-1", MR$3, $N$3, , $J$3, $K$3)) ),"")</f>
        <v/>
      </c>
      <c r="MS10" s="588" t="str">
        <f>IFERROR(IF(OR($B10="",MS$3=""),"",_xll.ciqfunctions.udf.CIQ($B10, "IQ_LEVERED_FCF", $O$3, MS$3, $N$3, , $J$3, $K$3)*2/(_xll.ciqfunctions.udf.CIQ($B10, "IQ_TOTAL_DEBT", MS$3, $E$3, $N$3, , $J$3, $K$3)+_xll.ciqfunctions.udf.CIQ($B10, "IQ_TOTAL_DEBT", "IQ_" &amp; LEFT(MS$3,2) &amp; "-1", MS$3, $N$3, , $J$3, $K$3)) ),"")</f>
        <v/>
      </c>
      <c r="MT10" s="588" t="str">
        <f>IFERROR(IF(OR($B10="",MT$3=""),"",_xll.ciqfunctions.udf.CIQ($B10, "IQ_LEVERED_FCF", $O$3, MT$3, $N$3, , $J$3, $K$3)*2/(_xll.ciqfunctions.udf.CIQ($B10, "IQ_TOTAL_DEBT", MT$3, $E$3, $N$3, , $J$3, $K$3)+_xll.ciqfunctions.udf.CIQ($B10, "IQ_TOTAL_DEBT", "IQ_" &amp; LEFT(MT$3,2) &amp; "-1", MT$3, $N$3, , $J$3, $K$3)) ),"")</f>
        <v/>
      </c>
      <c r="MU10" s="588" t="str">
        <f>IFERROR(IF(OR($B10="",MU$3=""),"",_xll.ciqfunctions.udf.CIQ($B10, "IQ_LEVERED_FCF", $O$3, MU$3, $N$3, , $J$3, $K$3)*2/(_xll.ciqfunctions.udf.CIQ($B10, "IQ_TOTAL_DEBT", MU$3, $E$3, $N$3, , $J$3, $K$3)+_xll.ciqfunctions.udf.CIQ($B10, "IQ_TOTAL_DEBT", "IQ_" &amp; LEFT(MU$3,2) &amp; "-1", MU$3, $N$3, , $J$3, $K$3)) ),"")</f>
        <v/>
      </c>
      <c r="MV10" s="588" t="str">
        <f>IFERROR(IF(OR($B10="",MV$3=""),"",_xll.ciqfunctions.udf.CIQ($B10, "IQ_LEVERED_FCF", $O$3, MV$3, $N$3, , $J$3, $K$3)*2/(_xll.ciqfunctions.udf.CIQ($B10, "IQ_TOTAL_DEBT", MV$3, $E$3, $N$3, , $J$3, $K$3)+_xll.ciqfunctions.udf.CIQ($B10, "IQ_TOTAL_DEBT", "IQ_" &amp; LEFT(MV$3,2) &amp; "-1", MV$3, $N$3, , $J$3, $K$3)) ),"")</f>
        <v/>
      </c>
      <c r="MW10" s="588" t="str">
        <f>IFERROR(IF(OR($B10="",MW$3=""),"",_xll.ciqfunctions.udf.CIQ($B10, "IQ_LEVERED_FCF", $O$3, MW$3, $N$3, , $J$3, $K$3)*2/(_xll.ciqfunctions.udf.CIQ($B10, "IQ_TOTAL_DEBT", MW$3, $E$3, $N$3, , $J$3, $K$3)+_xll.ciqfunctions.udf.CIQ($B10, "IQ_TOTAL_DEBT", "IQ_" &amp; LEFT(MW$3,2) &amp; "-1", MW$3, $N$3, , $J$3, $K$3)) ),"")</f>
        <v/>
      </c>
      <c r="MX10" s="588" t="str">
        <f>IFERROR(IF(OR($B10="",MX$3=""),"",_xll.ciqfunctions.udf.CIQ($B10, "IQ_LEVERED_FCF", $O$3, MX$3, $N$3, , $J$3, $K$3)*2/(_xll.ciqfunctions.udf.CIQ($B10, "IQ_TOTAL_DEBT", MX$3, $E$3, $N$3, , $J$3, $K$3)+_xll.ciqfunctions.udf.CIQ($B10, "IQ_TOTAL_DEBT", "IQ_" &amp; LEFT(MX$3,2) &amp; "-1", MX$3, $N$3, , $J$3, $K$3)) ),"")</f>
        <v/>
      </c>
      <c r="MY10" s="588" t="str">
        <f>IFERROR(IF(OR($B10="",MY$3=""),"",_xll.ciqfunctions.udf.CIQ($B10, "IQ_LEVERED_FCF", $O$3, MY$3, $N$3, , $J$3, $K$3)*2/(_xll.ciqfunctions.udf.CIQ($B10, "IQ_TOTAL_DEBT", MY$3, $E$3, $N$3, , $J$3, $K$3)+_xll.ciqfunctions.udf.CIQ($B10, "IQ_TOTAL_DEBT", "IQ_" &amp; LEFT(MY$3,2) &amp; "-1", MY$3, $N$3, , $J$3, $K$3)) ),"")</f>
        <v/>
      </c>
      <c r="MZ10" s="588" t="str">
        <f>IFERROR(IF(OR($B10="",MZ$3=""),"",_xll.ciqfunctions.udf.CIQ($B10, "IQ_LEVERED_FCF", $O$3, MZ$3, $N$3, , $J$3, $K$3)*2/(_xll.ciqfunctions.udf.CIQ($B10, "IQ_TOTAL_DEBT", MZ$3, $E$3, $N$3, , $J$3, $K$3)+_xll.ciqfunctions.udf.CIQ($B10, "IQ_TOTAL_DEBT", "IQ_" &amp; LEFT(MZ$3,2) &amp; "-1", MZ$3, $N$3, , $J$3, $K$3)) ),"")</f>
        <v/>
      </c>
      <c r="NA10" s="588" t="str">
        <f>IFERROR(IF(OR($B10="",NA$3=""),"",_xll.ciqfunctions.udf.CIQ($B10, "IQ_LEVERED_FCF", $O$3, NA$3, $N$3, , $J$3, $K$3)*2/(_xll.ciqfunctions.udf.CIQ($B10, "IQ_TOTAL_DEBT", NA$3, $E$3, $N$3, , $J$3, $K$3)+_xll.ciqfunctions.udf.CIQ($B10, "IQ_TOTAL_DEBT", "IQ_" &amp; LEFT(NA$3,2) &amp; "-1", NA$3, $N$3, , $J$3, $K$3)) ),"")</f>
        <v/>
      </c>
      <c r="NB10" s="588" t="str">
        <f>IFERROR(IF(OR($B10="",NB$3=""),"",_xll.ciqfunctions.udf.CIQ($B10, "IQ_LEVERED_FCF", $O$3, NB$3, $N$3, , $J$3, $K$3)*2/(_xll.ciqfunctions.udf.CIQ($B10, "IQ_TOTAL_DEBT", NB$3, $E$3, $N$3, , $J$3, $K$3)+_xll.ciqfunctions.udf.CIQ($B10, "IQ_TOTAL_DEBT", "IQ_" &amp; LEFT(NB$3,2) &amp; "-1", NB$3, $N$3, , $J$3, $K$3)) ),"")</f>
        <v/>
      </c>
      <c r="NC10" s="588" t="str">
        <f>IFERROR(IF(OR($B10="",NC$3=""),"",_xll.ciqfunctions.udf.CIQ($B10, "IQ_LEVERED_FCF", $O$3, NC$3, $N$3, , $J$3, $K$3)*2/(_xll.ciqfunctions.udf.CIQ($B10, "IQ_TOTAL_DEBT", NC$3, $E$3, $N$3, , $J$3, $K$3)+_xll.ciqfunctions.udf.CIQ($B10, "IQ_TOTAL_DEBT", "IQ_" &amp; LEFT(NC$3,2) &amp; "-1", NC$3, $N$3, , $J$3, $K$3)) ),"")</f>
        <v/>
      </c>
      <c r="ND10" s="588" t="str">
        <f>IFERROR(IF(OR($B10="",ND$3=""),"",_xll.ciqfunctions.udf.CIQ($B10, "IQ_LEVERED_FCF", $O$3, ND$3, $N$3, , $J$3, $K$3)*2/(_xll.ciqfunctions.udf.CIQ($B10, "IQ_TOTAL_DEBT", ND$3, $E$3, $N$3, , $J$3, $K$3)+_xll.ciqfunctions.udf.CIQ($B10, "IQ_TOTAL_DEBT", "IQ_" &amp; LEFT(ND$3,2) &amp; "-1", ND$3, $N$3, , $J$3, $K$3)) ),"")</f>
        <v/>
      </c>
      <c r="NE10" s="588" t="str">
        <f>IFERROR(IF(OR($B10="",NE$3=""),"",_xll.ciqfunctions.udf.CIQ($B10, "IQ_LEVERED_FCF", $O$3, NE$3, $N$3, , $J$3, $K$3)*2/(_xll.ciqfunctions.udf.CIQ($B10, "IQ_TOTAL_DEBT", NE$3, $E$3, $N$3, , $J$3, $K$3)+_xll.ciqfunctions.udf.CIQ($B10, "IQ_TOTAL_DEBT", "IQ_" &amp; LEFT(NE$3,2) &amp; "-1", NE$3, $N$3, , $J$3, $K$3)) ),"")</f>
        <v/>
      </c>
      <c r="NF10" s="588" t="str">
        <f>IFERROR(IF(OR($B10="",NF$3=""),"",_xll.ciqfunctions.udf.CIQ($B10, "IQ_LEVERED_FCF", $O$3, NF$3, $N$3, , $J$3, $K$3)*2/(_xll.ciqfunctions.udf.CIQ($B10, "IQ_TOTAL_DEBT", NF$3, $E$3, $N$3, , $J$3, $K$3)+_xll.ciqfunctions.udf.CIQ($B10, "IQ_TOTAL_DEBT", "IQ_" &amp; LEFT(NF$3,2) &amp; "-1", NF$3, $N$3, , $J$3, $K$3)) ),"")</f>
        <v/>
      </c>
      <c r="NG10" s="588" t="str">
        <f>IFERROR(IF(OR($B10="",NG$3=""),"",_xll.ciqfunctions.udf.CIQ($B10, "IQ_LEVERED_FCF", $O$3, NG$3, $N$3, , $J$3, $K$3)*2/(_xll.ciqfunctions.udf.CIQ($B10, "IQ_TOTAL_DEBT", NG$3, $E$3, $N$3, , $J$3, $K$3)+_xll.ciqfunctions.udf.CIQ($B10, "IQ_TOTAL_DEBT", "IQ_" &amp; LEFT(NG$3,2) &amp; "-1", NG$3, $N$3, , $J$3, $K$3)) ),"")</f>
        <v/>
      </c>
      <c r="NH10" s="588" t="str">
        <f>IFERROR(IF(OR($B10="",NH$3=""),"",_xll.ciqfunctions.udf.CIQ($B10, "IQ_LEVERED_FCF", $O$3, NH$3, $N$3, , $J$3, $K$3)*2/(_xll.ciqfunctions.udf.CIQ($B10, "IQ_TOTAL_DEBT", NH$3, $E$3, $N$3, , $J$3, $K$3)+_xll.ciqfunctions.udf.CIQ($B10, "IQ_TOTAL_DEBT", "IQ_" &amp; LEFT(NH$3,2) &amp; "-1", NH$3, $N$3, , $J$3, $K$3)) ),"")</f>
        <v/>
      </c>
      <c r="NI10" s="588" t="str">
        <f>IFERROR(IF(OR($B10="",NI$3=""),"",_xll.ciqfunctions.udf.CIQ($B10, "IQ_CASH_OPER", $O$3, NI$3, $N$3, , $J$3, $K$3)/_xll.ciqfunctions.udf.CIQ($B10, "IQ_NI", NI$3, $E$3, $N$3, , $J$3, $K$3)),"")</f>
        <v/>
      </c>
      <c r="NJ10" s="588" t="str">
        <f>IFERROR(IF(OR($B10="",NJ$3=""),"",_xll.ciqfunctions.udf.CIQ($B10, "IQ_CASH_OPER", $O$3, NJ$3, $N$3, , $J$3, $K$3)/_xll.ciqfunctions.udf.CIQ($B10, "IQ_NI", NJ$3, $E$3, $N$3, , $J$3, $K$3)),"")</f>
        <v/>
      </c>
      <c r="NK10" s="588" t="str">
        <f>IFERROR(IF(OR($B10="",NK$3=""),"",_xll.ciqfunctions.udf.CIQ($B10, "IQ_CASH_OPER", $O$3, NK$3, $N$3, , $J$3, $K$3)/_xll.ciqfunctions.udf.CIQ($B10, "IQ_NI", NK$3, $E$3, $N$3, , $J$3, $K$3)),"")</f>
        <v/>
      </c>
      <c r="NL10" s="588" t="str">
        <f>IFERROR(IF(OR($B10="",NL$3=""),"",_xll.ciqfunctions.udf.CIQ($B10, "IQ_CASH_OPER", $O$3, NL$3, $N$3, , $J$3, $K$3)/_xll.ciqfunctions.udf.CIQ($B10, "IQ_NI", NL$3, $E$3, $N$3, , $J$3, $K$3)),"")</f>
        <v/>
      </c>
      <c r="NM10" s="588" t="str">
        <f>IFERROR(IF(OR($B10="",NM$3=""),"",_xll.ciqfunctions.udf.CIQ($B10, "IQ_CASH_OPER", $O$3, NM$3, $N$3, , $J$3, $K$3)/_xll.ciqfunctions.udf.CIQ($B10, "IQ_NI", NM$3, $E$3, $N$3, , $J$3, $K$3)),"")</f>
        <v/>
      </c>
      <c r="NN10" s="588" t="str">
        <f>IFERROR(IF(OR($B10="",NN$3=""),"",_xll.ciqfunctions.udf.CIQ($B10, "IQ_CASH_OPER", $O$3, NN$3, $N$3, , $J$3, $K$3)/_xll.ciqfunctions.udf.CIQ($B10, "IQ_NI", NN$3, $E$3, $N$3, , $J$3, $K$3)),"")</f>
        <v/>
      </c>
      <c r="NO10" s="588" t="str">
        <f>IFERROR(IF(OR($B10="",NO$3=""),"",_xll.ciqfunctions.udf.CIQ($B10, "IQ_CASH_OPER", $O$3, NO$3, $N$3, , $J$3, $K$3)/_xll.ciqfunctions.udf.CIQ($B10, "IQ_NI", NO$3, $E$3, $N$3, , $J$3, $K$3)),"")</f>
        <v/>
      </c>
      <c r="NP10" s="588" t="str">
        <f>IFERROR(IF(OR($B10="",NP$3=""),"",_xll.ciqfunctions.udf.CIQ($B10, "IQ_CASH_OPER", $O$3, NP$3, $N$3, , $J$3, $K$3)/_xll.ciqfunctions.udf.CIQ($B10, "IQ_NI", NP$3, $E$3, $N$3, , $J$3, $K$3)),"")</f>
        <v/>
      </c>
      <c r="NQ10" s="588" t="str">
        <f>IFERROR(IF(OR($B10="",NQ$3=""),"",_xll.ciqfunctions.udf.CIQ($B10, "IQ_CASH_OPER", $O$3, NQ$3, $N$3, , $J$3, $K$3)/_xll.ciqfunctions.udf.CIQ($B10, "IQ_NI", NQ$3, $E$3, $N$3, , $J$3, $K$3)),"")</f>
        <v/>
      </c>
      <c r="NR10" s="588" t="str">
        <f>IFERROR(IF(OR($B10="",NR$3=""),"",_xll.ciqfunctions.udf.CIQ($B10, "IQ_CASH_OPER", $O$3, NR$3, $N$3, , $J$3, $K$3)/_xll.ciqfunctions.udf.CIQ($B10, "IQ_NI", NR$3, $E$3, $N$3, , $J$3, $K$3)),"")</f>
        <v/>
      </c>
      <c r="NS10" s="588" t="str">
        <f>IFERROR(IF(OR($B10="",NS$3=""),"",_xll.ciqfunctions.udf.CIQ($B10, "IQ_CASH_OPER", $O$3, NS$3, $N$3, , $J$3, $K$3)/_xll.ciqfunctions.udf.CIQ($B10, "IQ_NI", NS$3, $E$3, $N$3, , $J$3, $K$3)),"")</f>
        <v/>
      </c>
      <c r="NT10" s="588" t="str">
        <f>IFERROR(IF(OR($B10="",NT$3=""),"",_xll.ciqfunctions.udf.CIQ($B10, "IQ_CASH_OPER", $O$3, NT$3, $N$3, , $J$3, $K$3)/_xll.ciqfunctions.udf.CIQ($B10, "IQ_NI", NT$3, $E$3, $N$3, , $J$3, $K$3)),"")</f>
        <v/>
      </c>
      <c r="NU10" s="588" t="str">
        <f>IFERROR(IF(OR($B10="",NU$3=""),"",_xll.ciqfunctions.udf.CIQ($B10, "IQ_CASH_OPER", $O$3, NU$3, $N$3, , $J$3, $K$3)/_xll.ciqfunctions.udf.CIQ($B10, "IQ_NI", NU$3, $E$3, $N$3, , $J$3, $K$3)),"")</f>
        <v/>
      </c>
      <c r="NV10" s="588" t="str">
        <f>IFERROR(IF(OR($B10="",NV$3=""),"",_xll.ciqfunctions.udf.CIQ($B10, "IQ_CASH_OPER", $O$3, NV$3, $N$3, , $J$3, $K$3)/_xll.ciqfunctions.udf.CIQ($B10, "IQ_NI", NV$3, $E$3, $N$3, , $J$3, $K$3)),"")</f>
        <v/>
      </c>
      <c r="NW10" s="588" t="str">
        <f>IFERROR(IF(OR($B10="",NW$3=""),"",_xll.ciqfunctions.udf.CIQ($B10, "IQ_CASH_OPER", $O$3, NW$3, $N$3, , $J$3, $K$3)/_xll.ciqfunctions.udf.CIQ($B10, "IQ_NI", NW$3, $E$3, $N$3, , $J$3, $K$3)),"")</f>
        <v/>
      </c>
      <c r="NX10" s="588" t="str">
        <f>IFERROR(IF(OR($B10="",NX$3=""),"",_xll.ciqfunctions.udf.CIQ($B10, "IQ_CASH_OPER", $O$3, NX$3, $N$3, , $J$3, $K$3)/_xll.ciqfunctions.udf.CIQ($B10, "IQ_NI", NX$3, $E$3, $N$3, , $J$3, $K$3)),"")</f>
        <v/>
      </c>
      <c r="NY10" s="588" t="str">
        <f>IFERROR(IF(OR($B10="",NY$3=""),"",_xll.ciqfunctions.udf.CIQ($B10, "IQ_CASH_OPER", $O$3, NY$3, $N$3, , $J$3, $K$3)/_xll.ciqfunctions.udf.CIQ($B10, "IQ_NI", NY$3, $E$3, $N$3, , $J$3, $K$3)),"")</f>
        <v/>
      </c>
      <c r="NZ10" s="588" t="str">
        <f>IFERROR(IF(OR($B10="",NZ$3=""),"",_xll.ciqfunctions.udf.CIQ($B10, "IQ_CASH_OPER", $O$3, NZ$3, $N$3, , $J$3, $K$3)/_xll.ciqfunctions.udf.CIQ($B10, "IQ_NI", NZ$3, $E$3, $N$3, , $J$3, $K$3)),"")</f>
        <v/>
      </c>
      <c r="OA10" s="588" t="str">
        <f>IFERROR(IF(OR($B10="",OA$3=""),"",_xll.ciqfunctions.udf.CIQ($B10, "IQ_CASH_OPER", $O$3, OA$3, $N$3, , $J$3, $K$3)/_xll.ciqfunctions.udf.CIQ($B10, "IQ_NI", OA$3, $E$3, $N$3, , $J$3, $K$3)),"")</f>
        <v/>
      </c>
      <c r="OB10" s="588" t="str">
        <f>IFERROR(IF(OR($B10="",OB$3=""),"",_xll.ciqfunctions.udf.CIQ($B10, "IQ_CASH_OPER", $O$3, OB$3, $N$3, , $J$3, $K$3)/_xll.ciqfunctions.udf.CIQ($B10, "IQ_NI", OB$3, $E$3, $N$3, , $J$3, $K$3)),"")</f>
        <v/>
      </c>
      <c r="OC10" s="86" t="str">
        <f>IFERROR(IF(OR($B10="",OC$3=""),"",_xll.ciqfunctions.udf.CIQ($B10,"IQ_NI",$O$3, OC$3, $N$3, , $J$3, $K$3)*2/(_xll.ciqfunctions.udf.CIQ($B10,"IQ_TOTAL_ASSETS",OC$3,$I$3, $N$3, , $J$3, $K$3)+_xll.ciqfunctions.udf.CIQ($B10,"IQ_TOTAL_ASSETS", "IQ_" &amp; LEFT(OC$3,2) &amp; "-1", OC$3, $N$3, , $J$3, $K$3))),"")</f>
        <v/>
      </c>
      <c r="OD10" s="87" t="str">
        <f>IFERROR(IF(OR($B10="",OD$3=""),"",_xll.ciqfunctions.udf.CIQ($B10,"IQ_NI",$O$3, OD$3, $N$3, , $J$3, $K$3)*2/(_xll.ciqfunctions.udf.CIQ($B10,"IQ_TOTAL_ASSETS",OD$3,$I$3, $N$3, , $J$3, $K$3)+_xll.ciqfunctions.udf.CIQ($B10,"IQ_TOTAL_ASSETS", "IQ_" &amp; LEFT(OD$3,2) &amp; "-1", OD$3, $N$3, , $J$3, $K$3))),"")</f>
        <v/>
      </c>
      <c r="OE10" s="87" t="str">
        <f>IFERROR(IF(OR($B10="",OE$3=""),"",_xll.ciqfunctions.udf.CIQ($B10,"IQ_NI",$O$3, OE$3, $N$3, , $J$3, $K$3)*2/(_xll.ciqfunctions.udf.CIQ($B10,"IQ_TOTAL_ASSETS",OE$3,$I$3, $N$3, , $J$3, $K$3)+_xll.ciqfunctions.udf.CIQ($B10,"IQ_TOTAL_ASSETS", "IQ_" &amp; LEFT(OE$3,2) &amp; "-1", OE$3, $N$3, , $J$3, $K$3))),"")</f>
        <v/>
      </c>
      <c r="OF10" s="87" t="str">
        <f>IFERROR(IF(OR($B10="",OF$3=""),"",_xll.ciqfunctions.udf.CIQ($B10,"IQ_NI",$O$3, OF$3, $N$3, , $J$3, $K$3)*2/(_xll.ciqfunctions.udf.CIQ($B10,"IQ_TOTAL_ASSETS",OF$3,$I$3, $N$3, , $J$3, $K$3)+_xll.ciqfunctions.udf.CIQ($B10,"IQ_TOTAL_ASSETS", "IQ_" &amp; LEFT(OF$3,2) &amp; "-1", OF$3, $N$3, , $J$3, $K$3))),"")</f>
        <v/>
      </c>
      <c r="OG10" s="87" t="str">
        <f>IFERROR(IF(OR($B10="",OG$3=""),"",_xll.ciqfunctions.udf.CIQ($B10,"IQ_NI",$O$3, OG$3, $N$3, , $J$3, $K$3)*2/(_xll.ciqfunctions.udf.CIQ($B10,"IQ_TOTAL_ASSETS",OG$3,$I$3, $N$3, , $J$3, $K$3)+_xll.ciqfunctions.udf.CIQ($B10,"IQ_TOTAL_ASSETS", "IQ_" &amp; LEFT(OG$3,2) &amp; "-1", OG$3, $N$3, , $J$3, $K$3))),"")</f>
        <v/>
      </c>
      <c r="OH10" s="87" t="str">
        <f>IFERROR(IF(OR($B10="",OH$3=""),"",_xll.ciqfunctions.udf.CIQ($B10,"IQ_NI",$O$3, OH$3, $N$3, , $J$3, $K$3)*2/(_xll.ciqfunctions.udf.CIQ($B10,"IQ_TOTAL_ASSETS",OH$3,$I$3, $N$3, , $J$3, $K$3)+_xll.ciqfunctions.udf.CIQ($B10,"IQ_TOTAL_ASSETS", "IQ_" &amp; LEFT(OH$3,2) &amp; "-1", OH$3, $N$3, , $J$3, $K$3))),"")</f>
        <v/>
      </c>
      <c r="OI10" s="87" t="str">
        <f>IFERROR(IF(OR($B10="",OI$3=""),"",_xll.ciqfunctions.udf.CIQ($B10,"IQ_NI",$O$3, OI$3, $N$3, , $J$3, $K$3)*2/(_xll.ciqfunctions.udf.CIQ($B10,"IQ_TOTAL_ASSETS",OI$3,$I$3, $N$3, , $J$3, $K$3)+_xll.ciqfunctions.udf.CIQ($B10,"IQ_TOTAL_ASSETS", "IQ_" &amp; LEFT(OI$3,2) &amp; "-1", OI$3, $N$3, , $J$3, $K$3))),"")</f>
        <v/>
      </c>
      <c r="OJ10" s="87" t="str">
        <f>IFERROR(IF(OR($B10="",OJ$3=""),"",_xll.ciqfunctions.udf.CIQ($B10,"IQ_NI",$O$3, OJ$3, $N$3, , $J$3, $K$3)*2/(_xll.ciqfunctions.udf.CIQ($B10,"IQ_TOTAL_ASSETS",OJ$3,$I$3, $N$3, , $J$3, $K$3)+_xll.ciqfunctions.udf.CIQ($B10,"IQ_TOTAL_ASSETS", "IQ_" &amp; LEFT(OJ$3,2) &amp; "-1", OJ$3, $N$3, , $J$3, $K$3))),"")</f>
        <v/>
      </c>
      <c r="OK10" s="87" t="str">
        <f>IFERROR(IF(OR($B10="",OK$3=""),"",_xll.ciqfunctions.udf.CIQ($B10,"IQ_NI",$O$3, OK$3, $N$3, , $J$3, $K$3)*2/(_xll.ciqfunctions.udf.CIQ($B10,"IQ_TOTAL_ASSETS",OK$3,$I$3, $N$3, , $J$3, $K$3)+_xll.ciqfunctions.udf.CIQ($B10,"IQ_TOTAL_ASSETS", "IQ_" &amp; LEFT(OK$3,2) &amp; "-1", OK$3, $N$3, , $J$3, $K$3))),"")</f>
        <v/>
      </c>
      <c r="OL10" s="87" t="str">
        <f>IFERROR(IF(OR($B10="",OL$3=""),"",_xll.ciqfunctions.udf.CIQ($B10,"IQ_NI",$O$3, OL$3, $N$3, , $J$3, $K$3)*2/(_xll.ciqfunctions.udf.CIQ($B10,"IQ_TOTAL_ASSETS",OL$3,$I$3, $N$3, , $J$3, $K$3)+_xll.ciqfunctions.udf.CIQ($B10,"IQ_TOTAL_ASSETS", "IQ_" &amp; LEFT(OL$3,2) &amp; "-1", OL$3, $N$3, , $J$3, $K$3))),"")</f>
        <v/>
      </c>
      <c r="OM10" s="87" t="str">
        <f>IFERROR(IF(OR($B10="",OM$3=""),"",_xll.ciqfunctions.udf.CIQ($B10,"IQ_NI",$O$3, OM$3, $N$3, , $J$3, $K$3)*2/(_xll.ciqfunctions.udf.CIQ($B10,"IQ_TOTAL_ASSETS",OM$3,$I$3, $N$3, , $J$3, $K$3)+_xll.ciqfunctions.udf.CIQ($B10,"IQ_TOTAL_ASSETS", "IQ_" &amp; LEFT(OM$3,2) &amp; "-1", OM$3, $N$3, , $J$3, $K$3))),"")</f>
        <v/>
      </c>
      <c r="ON10" s="87" t="str">
        <f>IFERROR(IF(OR($B10="",ON$3=""),"",_xll.ciqfunctions.udf.CIQ($B10,"IQ_NI",$O$3, ON$3, $N$3, , $J$3, $K$3)*2/(_xll.ciqfunctions.udf.CIQ($B10,"IQ_TOTAL_ASSETS",ON$3,$I$3, $N$3, , $J$3, $K$3)+_xll.ciqfunctions.udf.CIQ($B10,"IQ_TOTAL_ASSETS", "IQ_" &amp; LEFT(ON$3,2) &amp; "-1", ON$3, $N$3, , $J$3, $K$3))),"")</f>
        <v/>
      </c>
      <c r="OO10" s="87" t="str">
        <f>IFERROR(IF(OR($B10="",OO$3=""),"",_xll.ciqfunctions.udf.CIQ($B10,"IQ_NI",$O$3, OO$3, $N$3, , $J$3, $K$3)*2/(_xll.ciqfunctions.udf.CIQ($B10,"IQ_TOTAL_ASSETS",OO$3,$I$3, $N$3, , $J$3, $K$3)+_xll.ciqfunctions.udf.CIQ($B10,"IQ_TOTAL_ASSETS", "IQ_" &amp; LEFT(OO$3,2) &amp; "-1", OO$3, $N$3, , $J$3, $K$3))),"")</f>
        <v/>
      </c>
      <c r="OP10" s="87" t="str">
        <f>IFERROR(IF(OR($B10="",OP$3=""),"",_xll.ciqfunctions.udf.CIQ($B10,"IQ_NI",$O$3, OP$3, $N$3, , $J$3, $K$3)*2/(_xll.ciqfunctions.udf.CIQ($B10,"IQ_TOTAL_ASSETS",OP$3,$I$3, $N$3, , $J$3, $K$3)+_xll.ciqfunctions.udf.CIQ($B10,"IQ_TOTAL_ASSETS", "IQ_" &amp; LEFT(OP$3,2) &amp; "-1", OP$3, $N$3, , $J$3, $K$3))),"")</f>
        <v/>
      </c>
      <c r="OQ10" s="87" t="str">
        <f>IFERROR(IF(OR($B10="",OQ$3=""),"",_xll.ciqfunctions.udf.CIQ($B10,"IQ_NI",$O$3, OQ$3, $N$3, , $J$3, $K$3)*2/(_xll.ciqfunctions.udf.CIQ($B10,"IQ_TOTAL_ASSETS",OQ$3,$I$3, $N$3, , $J$3, $K$3)+_xll.ciqfunctions.udf.CIQ($B10,"IQ_TOTAL_ASSETS", "IQ_" &amp; LEFT(OQ$3,2) &amp; "-1", OQ$3, $N$3, , $J$3, $K$3))),"")</f>
        <v/>
      </c>
      <c r="OR10" s="87" t="str">
        <f>IFERROR(IF(OR($B10="",OR$3=""),"",_xll.ciqfunctions.udf.CIQ($B10,"IQ_NI",$O$3, OR$3, $N$3, , $J$3, $K$3)*2/(_xll.ciqfunctions.udf.CIQ($B10,"IQ_TOTAL_ASSETS",OR$3,$I$3, $N$3, , $J$3, $K$3)+_xll.ciqfunctions.udf.CIQ($B10,"IQ_TOTAL_ASSETS", "IQ_" &amp; LEFT(OR$3,2) &amp; "-1", OR$3, $N$3, , $J$3, $K$3))),"")</f>
        <v/>
      </c>
      <c r="OS10" s="87" t="str">
        <f>IFERROR(IF(OR($B10="",OS$3=""),"",_xll.ciqfunctions.udf.CIQ($B10,"IQ_NI",$O$3, OS$3, $N$3, , $J$3, $K$3)*2/(_xll.ciqfunctions.udf.CIQ($B10,"IQ_TOTAL_ASSETS",OS$3,$I$3, $N$3, , $J$3, $K$3)+_xll.ciqfunctions.udf.CIQ($B10,"IQ_TOTAL_ASSETS", "IQ_" &amp; LEFT(OS$3,2) &amp; "-1", OS$3, $N$3, , $J$3, $K$3))),"")</f>
        <v/>
      </c>
      <c r="OT10" s="87" t="str">
        <f>IFERROR(IF(OR($B10="",OT$3=""),"",_xll.ciqfunctions.udf.CIQ($B10,"IQ_NI",$O$3, OT$3, $N$3, , $J$3, $K$3)*2/(_xll.ciqfunctions.udf.CIQ($B10,"IQ_TOTAL_ASSETS",OT$3,$I$3, $N$3, , $J$3, $K$3)+_xll.ciqfunctions.udf.CIQ($B10,"IQ_TOTAL_ASSETS", "IQ_" &amp; LEFT(OT$3,2) &amp; "-1", OT$3, $N$3, , $J$3, $K$3))),"")</f>
        <v/>
      </c>
      <c r="OU10" s="87" t="str">
        <f>IFERROR(IF(OR($B10="",OU$3=""),"",_xll.ciqfunctions.udf.CIQ($B10,"IQ_NI",$O$3, OU$3, $N$3, , $J$3, $K$3)*2/(_xll.ciqfunctions.udf.CIQ($B10,"IQ_TOTAL_ASSETS",OU$3,$I$3, $N$3, , $J$3, $K$3)+_xll.ciqfunctions.udf.CIQ($B10,"IQ_TOTAL_ASSETS", "IQ_" &amp; LEFT(OU$3,2) &amp; "-1", OU$3, $N$3, , $J$3, $K$3))),"")</f>
        <v/>
      </c>
      <c r="OV10" s="88" t="str">
        <f>IFERROR(IF(OR($B10="",OV$3=""),"",_xll.ciqfunctions.udf.CIQ($B10,"IQ_NI",$O$3, OV$3, $N$3, , $J$3, $K$3)*2/(_xll.ciqfunctions.udf.CIQ($B10,"IQ_TOTAL_ASSETS",OV$3,$I$3, $N$3, , $J$3, $K$3)+_xll.ciqfunctions.udf.CIQ($B10,"IQ_TOTAL_ASSETS", "IQ_" &amp; LEFT(OV$3,2) &amp; "-1", OV$3, $N$3, , $J$3, $K$3))),"")</f>
        <v/>
      </c>
      <c r="OW10" s="343" t="str">
        <f>IFERROR(IF(OR($B10="",OW$3=""),"",_xll.ciqfunctions.udf.CIQ($B10, "IQ_NI", $O$3, OW$3, $N$3, , $J$3, $K$3)*2/(_xll.ciqfunctions.udf.CIQ($B10, "IQ_TOTAL_ASSETS", OW$3, $I$3, $N$3, , $J$3, $K$3)+_xll.ciqfunctions.udf.CIQ($B10, "IQ_TOTAL_ASSETS", "IQ_" &amp; LEFT(OW$3,2) &amp; "-1", OW$3, $N$3, , $J$3, $K$3)-_xll.ciqfunctions.udf.CIQ($B10, "IQ_TOTAL_CL", OW$3, $I$3, $N$3, , $J$3, $K$3)-_xll.ciqfunctions.udf.CIQ($B10, "IQ_TOTAL_CL", "IQ_" &amp; LEFT(OW$3,2) &amp; "-1", OW$3, $N$3, , $J$3, $K$3))),"")</f>
        <v/>
      </c>
      <c r="OX10" s="87" t="str">
        <f>IFERROR(IF(OR($B10="",OX$3=""),"",_xll.ciqfunctions.udf.CIQ($B10, "IQ_NI", $O$3, OX$3, $N$3, , $J$3, $K$3)*2/(_xll.ciqfunctions.udf.CIQ($B10, "IQ_TOTAL_ASSETS", OX$3, $I$3, $N$3, , $J$3, $K$3)+_xll.ciqfunctions.udf.CIQ($B10, "IQ_TOTAL_ASSETS", "IQ_" &amp; LEFT(OX$3,2) &amp; "-1", OX$3, $N$3, , $J$3, $K$3)-_xll.ciqfunctions.udf.CIQ($B10, "IQ_TOTAL_CL", OX$3, $I$3, $N$3, , $J$3, $K$3)-_xll.ciqfunctions.udf.CIQ($B10, "IQ_TOTAL_CL", "IQ_" &amp; LEFT(OX$3,2) &amp; "-1", OX$3, $N$3, , $J$3, $K$3))),"")</f>
        <v/>
      </c>
      <c r="OY10" s="87" t="str">
        <f>IFERROR(IF(OR($B10="",OY$3=""),"",_xll.ciqfunctions.udf.CIQ($B10, "IQ_NI", $O$3, OY$3, $N$3, , $J$3, $K$3)*2/(_xll.ciqfunctions.udf.CIQ($B10, "IQ_TOTAL_ASSETS", OY$3, $I$3, $N$3, , $J$3, $K$3)+_xll.ciqfunctions.udf.CIQ($B10, "IQ_TOTAL_ASSETS", "IQ_" &amp; LEFT(OY$3,2) &amp; "-1", OY$3, $N$3, , $J$3, $K$3)-_xll.ciqfunctions.udf.CIQ($B10, "IQ_TOTAL_CL", OY$3, $I$3, $N$3, , $J$3, $K$3)-_xll.ciqfunctions.udf.CIQ($B10, "IQ_TOTAL_CL", "IQ_" &amp; LEFT(OY$3,2) &amp; "-1", OY$3, $N$3, , $J$3, $K$3))),"")</f>
        <v/>
      </c>
      <c r="OZ10" s="87" t="str">
        <f>IFERROR(IF(OR($B10="",OZ$3=""),"",_xll.ciqfunctions.udf.CIQ($B10, "IQ_NI", $O$3, OZ$3, $N$3, , $J$3, $K$3)*2/(_xll.ciqfunctions.udf.CIQ($B10, "IQ_TOTAL_ASSETS", OZ$3, $I$3, $N$3, , $J$3, $K$3)+_xll.ciqfunctions.udf.CIQ($B10, "IQ_TOTAL_ASSETS", "IQ_" &amp; LEFT(OZ$3,2) &amp; "-1", OZ$3, $N$3, , $J$3, $K$3)-_xll.ciqfunctions.udf.CIQ($B10, "IQ_TOTAL_CL", OZ$3, $I$3, $N$3, , $J$3, $K$3)-_xll.ciqfunctions.udf.CIQ($B10, "IQ_TOTAL_CL", "IQ_" &amp; LEFT(OZ$3,2) &amp; "-1", OZ$3, $N$3, , $J$3, $K$3))),"")</f>
        <v/>
      </c>
      <c r="PA10" s="87" t="str">
        <f>IFERROR(IF(OR($B10="",PA$3=""),"",_xll.ciqfunctions.udf.CIQ($B10, "IQ_NI", $O$3, PA$3, $N$3, , $J$3, $K$3)*2/(_xll.ciqfunctions.udf.CIQ($B10, "IQ_TOTAL_ASSETS", PA$3, $I$3, $N$3, , $J$3, $K$3)+_xll.ciqfunctions.udf.CIQ($B10, "IQ_TOTAL_ASSETS", "IQ_" &amp; LEFT(PA$3,2) &amp; "-1", PA$3, $N$3, , $J$3, $K$3)-_xll.ciqfunctions.udf.CIQ($B10, "IQ_TOTAL_CL", PA$3, $I$3, $N$3, , $J$3, $K$3)-_xll.ciqfunctions.udf.CIQ($B10, "IQ_TOTAL_CL", "IQ_" &amp; LEFT(PA$3,2) &amp; "-1", PA$3, $N$3, , $J$3, $K$3))),"")</f>
        <v/>
      </c>
      <c r="PB10" s="87" t="str">
        <f>IFERROR(IF(OR($B10="",PB$3=""),"",_xll.ciqfunctions.udf.CIQ($B10, "IQ_NI", $O$3, PB$3, $N$3, , $J$3, $K$3)*2/(_xll.ciqfunctions.udf.CIQ($B10, "IQ_TOTAL_ASSETS", PB$3, $I$3, $N$3, , $J$3, $K$3)+_xll.ciqfunctions.udf.CIQ($B10, "IQ_TOTAL_ASSETS", "IQ_" &amp; LEFT(PB$3,2) &amp; "-1", PB$3, $N$3, , $J$3, $K$3)-_xll.ciqfunctions.udf.CIQ($B10, "IQ_TOTAL_CL", PB$3, $I$3, $N$3, , $J$3, $K$3)-_xll.ciqfunctions.udf.CIQ($B10, "IQ_TOTAL_CL", "IQ_" &amp; LEFT(PB$3,2) &amp; "-1", PB$3, $N$3, , $J$3, $K$3))),"")</f>
        <v/>
      </c>
      <c r="PC10" s="87" t="str">
        <f>IFERROR(IF(OR($B10="",PC$3=""),"",_xll.ciqfunctions.udf.CIQ($B10, "IQ_NI", $O$3, PC$3, $N$3, , $J$3, $K$3)*2/(_xll.ciqfunctions.udf.CIQ($B10, "IQ_TOTAL_ASSETS", PC$3, $I$3, $N$3, , $J$3, $K$3)+_xll.ciqfunctions.udf.CIQ($B10, "IQ_TOTAL_ASSETS", "IQ_" &amp; LEFT(PC$3,2) &amp; "-1", PC$3, $N$3, , $J$3, $K$3)-_xll.ciqfunctions.udf.CIQ($B10, "IQ_TOTAL_CL", PC$3, $I$3, $N$3, , $J$3, $K$3)-_xll.ciqfunctions.udf.CIQ($B10, "IQ_TOTAL_CL", "IQ_" &amp; LEFT(PC$3,2) &amp; "-1", PC$3, $N$3, , $J$3, $K$3))),"")</f>
        <v/>
      </c>
      <c r="PD10" s="87" t="str">
        <f>IFERROR(IF(OR($B10="",PD$3=""),"",_xll.ciqfunctions.udf.CIQ($B10, "IQ_NI", $O$3, PD$3, $N$3, , $J$3, $K$3)*2/(_xll.ciqfunctions.udf.CIQ($B10, "IQ_TOTAL_ASSETS", PD$3, $I$3, $N$3, , $J$3, $K$3)+_xll.ciqfunctions.udf.CIQ($B10, "IQ_TOTAL_ASSETS", "IQ_" &amp; LEFT(PD$3,2) &amp; "-1", PD$3, $N$3, , $J$3, $K$3)-_xll.ciqfunctions.udf.CIQ($B10, "IQ_TOTAL_CL", PD$3, $I$3, $N$3, , $J$3, $K$3)-_xll.ciqfunctions.udf.CIQ($B10, "IQ_TOTAL_CL", "IQ_" &amp; LEFT(PD$3,2) &amp; "-1", PD$3, $N$3, , $J$3, $K$3))),"")</f>
        <v/>
      </c>
      <c r="PE10" s="87" t="str">
        <f>IFERROR(IF(OR($B10="",PE$3=""),"",_xll.ciqfunctions.udf.CIQ($B10, "IQ_NI", $O$3, PE$3, $N$3, , $J$3, $K$3)*2/(_xll.ciqfunctions.udf.CIQ($B10, "IQ_TOTAL_ASSETS", PE$3, $I$3, $N$3, , $J$3, $K$3)+_xll.ciqfunctions.udf.CIQ($B10, "IQ_TOTAL_ASSETS", "IQ_" &amp; LEFT(PE$3,2) &amp; "-1", PE$3, $N$3, , $J$3, $K$3)-_xll.ciqfunctions.udf.CIQ($B10, "IQ_TOTAL_CL", PE$3, $I$3, $N$3, , $J$3, $K$3)-_xll.ciqfunctions.udf.CIQ($B10, "IQ_TOTAL_CL", "IQ_" &amp; LEFT(PE$3,2) &amp; "-1", PE$3, $N$3, , $J$3, $K$3))),"")</f>
        <v/>
      </c>
      <c r="PF10" s="87" t="str">
        <f>IFERROR(IF(OR($B10="",PF$3=""),"",_xll.ciqfunctions.udf.CIQ($B10, "IQ_NI", $O$3, PF$3, $N$3, , $J$3, $K$3)*2/(_xll.ciqfunctions.udf.CIQ($B10, "IQ_TOTAL_ASSETS", PF$3, $I$3, $N$3, , $J$3, $K$3)+_xll.ciqfunctions.udf.CIQ($B10, "IQ_TOTAL_ASSETS", "IQ_" &amp; LEFT(PF$3,2) &amp; "-1", PF$3, $N$3, , $J$3, $K$3)-_xll.ciqfunctions.udf.CIQ($B10, "IQ_TOTAL_CL", PF$3, $I$3, $N$3, , $J$3, $K$3)-_xll.ciqfunctions.udf.CIQ($B10, "IQ_TOTAL_CL", "IQ_" &amp; LEFT(PF$3,2) &amp; "-1", PF$3, $N$3, , $J$3, $K$3))),"")</f>
        <v/>
      </c>
      <c r="PG10" s="87" t="str">
        <f>IFERROR(IF(OR($B10="",PG$3=""),"",_xll.ciqfunctions.udf.CIQ($B10, "IQ_NI", $O$3, PG$3, $N$3, , $J$3, $K$3)*2/(_xll.ciqfunctions.udf.CIQ($B10, "IQ_TOTAL_ASSETS", PG$3, $I$3, $N$3, , $J$3, $K$3)+_xll.ciqfunctions.udf.CIQ($B10, "IQ_TOTAL_ASSETS", "IQ_" &amp; LEFT(PG$3,2) &amp; "-1", PG$3, $N$3, , $J$3, $K$3)-_xll.ciqfunctions.udf.CIQ($B10, "IQ_TOTAL_CL", PG$3, $I$3, $N$3, , $J$3, $K$3)-_xll.ciqfunctions.udf.CIQ($B10, "IQ_TOTAL_CL", "IQ_" &amp; LEFT(PG$3,2) &amp; "-1", PG$3, $N$3, , $J$3, $K$3))),"")</f>
        <v/>
      </c>
      <c r="PH10" s="87" t="str">
        <f>IFERROR(IF(OR($B10="",PH$3=""),"",_xll.ciqfunctions.udf.CIQ($B10, "IQ_NI", $O$3, PH$3, $N$3, , $J$3, $K$3)*2/(_xll.ciqfunctions.udf.CIQ($B10, "IQ_TOTAL_ASSETS", PH$3, $I$3, $N$3, , $J$3, $K$3)+_xll.ciqfunctions.udf.CIQ($B10, "IQ_TOTAL_ASSETS", "IQ_" &amp; LEFT(PH$3,2) &amp; "-1", PH$3, $N$3, , $J$3, $K$3)-_xll.ciqfunctions.udf.CIQ($B10, "IQ_TOTAL_CL", PH$3, $I$3, $N$3, , $J$3, $K$3)-_xll.ciqfunctions.udf.CIQ($B10, "IQ_TOTAL_CL", "IQ_" &amp; LEFT(PH$3,2) &amp; "-1", PH$3, $N$3, , $J$3, $K$3))),"")</f>
        <v/>
      </c>
      <c r="PI10" s="87" t="str">
        <f>IFERROR(IF(OR($B10="",PI$3=""),"",_xll.ciqfunctions.udf.CIQ($B10, "IQ_NI", $O$3, PI$3, $N$3, , $J$3, $K$3)*2/(_xll.ciqfunctions.udf.CIQ($B10, "IQ_TOTAL_ASSETS", PI$3, $I$3, $N$3, , $J$3, $K$3)+_xll.ciqfunctions.udf.CIQ($B10, "IQ_TOTAL_ASSETS", "IQ_" &amp; LEFT(PI$3,2) &amp; "-1", PI$3, $N$3, , $J$3, $K$3)-_xll.ciqfunctions.udf.CIQ($B10, "IQ_TOTAL_CL", PI$3, $I$3, $N$3, , $J$3, $K$3)-_xll.ciqfunctions.udf.CIQ($B10, "IQ_TOTAL_CL", "IQ_" &amp; LEFT(PI$3,2) &amp; "-1", PI$3, $N$3, , $J$3, $K$3))),"")</f>
        <v/>
      </c>
      <c r="PJ10" s="87" t="str">
        <f>IFERROR(IF(OR($B10="",PJ$3=""),"",_xll.ciqfunctions.udf.CIQ($B10, "IQ_NI", $O$3, PJ$3, $N$3, , $J$3, $K$3)*2/(_xll.ciqfunctions.udf.CIQ($B10, "IQ_TOTAL_ASSETS", PJ$3, $I$3, $N$3, , $J$3, $K$3)+_xll.ciqfunctions.udf.CIQ($B10, "IQ_TOTAL_ASSETS", "IQ_" &amp; LEFT(PJ$3,2) &amp; "-1", PJ$3, $N$3, , $J$3, $K$3)-_xll.ciqfunctions.udf.CIQ($B10, "IQ_TOTAL_CL", PJ$3, $I$3, $N$3, , $J$3, $K$3)-_xll.ciqfunctions.udf.CIQ($B10, "IQ_TOTAL_CL", "IQ_" &amp; LEFT(PJ$3,2) &amp; "-1", PJ$3, $N$3, , $J$3, $K$3))),"")</f>
        <v/>
      </c>
      <c r="PK10" s="87" t="str">
        <f>IFERROR(IF(OR($B10="",PK$3=""),"",_xll.ciqfunctions.udf.CIQ($B10, "IQ_NI", $O$3, PK$3, $N$3, , $J$3, $K$3)*2/(_xll.ciqfunctions.udf.CIQ($B10, "IQ_TOTAL_ASSETS", PK$3, $I$3, $N$3, , $J$3, $K$3)+_xll.ciqfunctions.udf.CIQ($B10, "IQ_TOTAL_ASSETS", "IQ_" &amp; LEFT(PK$3,2) &amp; "-1", PK$3, $N$3, , $J$3, $K$3)-_xll.ciqfunctions.udf.CIQ($B10, "IQ_TOTAL_CL", PK$3, $I$3, $N$3, , $J$3, $K$3)-_xll.ciqfunctions.udf.CIQ($B10, "IQ_TOTAL_CL", "IQ_" &amp; LEFT(PK$3,2) &amp; "-1", PK$3, $N$3, , $J$3, $K$3))),"")</f>
        <v/>
      </c>
      <c r="PL10" s="87" t="str">
        <f>IFERROR(IF(OR($B10="",PL$3=""),"",_xll.ciqfunctions.udf.CIQ($B10, "IQ_NI", $O$3, PL$3, $N$3, , $J$3, $K$3)*2/(_xll.ciqfunctions.udf.CIQ($B10, "IQ_TOTAL_ASSETS", PL$3, $I$3, $N$3, , $J$3, $K$3)+_xll.ciqfunctions.udf.CIQ($B10, "IQ_TOTAL_ASSETS", "IQ_" &amp; LEFT(PL$3,2) &amp; "-1", PL$3, $N$3, , $J$3, $K$3)-_xll.ciqfunctions.udf.CIQ($B10, "IQ_TOTAL_CL", PL$3, $I$3, $N$3, , $J$3, $K$3)-_xll.ciqfunctions.udf.CIQ($B10, "IQ_TOTAL_CL", "IQ_" &amp; LEFT(PL$3,2) &amp; "-1", PL$3, $N$3, , $J$3, $K$3))),"")</f>
        <v/>
      </c>
      <c r="PM10" s="87" t="str">
        <f>IFERROR(IF(OR($B10="",PM$3=""),"",_xll.ciqfunctions.udf.CIQ($B10, "IQ_NI", $O$3, PM$3, $N$3, , $J$3, $K$3)*2/(_xll.ciqfunctions.udf.CIQ($B10, "IQ_TOTAL_ASSETS", PM$3, $I$3, $N$3, , $J$3, $K$3)+_xll.ciqfunctions.udf.CIQ($B10, "IQ_TOTAL_ASSETS", "IQ_" &amp; LEFT(PM$3,2) &amp; "-1", PM$3, $N$3, , $J$3, $K$3)-_xll.ciqfunctions.udf.CIQ($B10, "IQ_TOTAL_CL", PM$3, $I$3, $N$3, , $J$3, $K$3)-_xll.ciqfunctions.udf.CIQ($B10, "IQ_TOTAL_CL", "IQ_" &amp; LEFT(PM$3,2) &amp; "-1", PM$3, $N$3, , $J$3, $K$3))),"")</f>
        <v/>
      </c>
      <c r="PN10" s="87" t="str">
        <f>IFERROR(IF(OR($B10="",PN$3=""),"",_xll.ciqfunctions.udf.CIQ($B10, "IQ_NI", $O$3, PN$3, $N$3, , $J$3, $K$3)*2/(_xll.ciqfunctions.udf.CIQ($B10, "IQ_TOTAL_ASSETS", PN$3, $I$3, $N$3, , $J$3, $K$3)+_xll.ciqfunctions.udf.CIQ($B10, "IQ_TOTAL_ASSETS", "IQ_" &amp; LEFT(PN$3,2) &amp; "-1", PN$3, $N$3, , $J$3, $K$3)-_xll.ciqfunctions.udf.CIQ($B10, "IQ_TOTAL_CL", PN$3, $I$3, $N$3, , $J$3, $K$3)-_xll.ciqfunctions.udf.CIQ($B10, "IQ_TOTAL_CL", "IQ_" &amp; LEFT(PN$3,2) &amp; "-1", PN$3, $N$3, , $J$3, $K$3))),"")</f>
        <v/>
      </c>
      <c r="PO10" s="87" t="str">
        <f>IFERROR(IF(OR($B10="",PO$3=""),"",_xll.ciqfunctions.udf.CIQ($B10, "IQ_NI", $O$3, PO$3, $N$3, , $J$3, $K$3)*2/(_xll.ciqfunctions.udf.CIQ($B10, "IQ_TOTAL_ASSETS", PO$3, $I$3, $N$3, , $J$3, $K$3)+_xll.ciqfunctions.udf.CIQ($B10, "IQ_TOTAL_ASSETS", "IQ_" &amp; LEFT(PO$3,2) &amp; "-1", PO$3, $N$3, , $J$3, $K$3)-_xll.ciqfunctions.udf.CIQ($B10, "IQ_TOTAL_CL", PO$3, $I$3, $N$3, , $J$3, $K$3)-_xll.ciqfunctions.udf.CIQ($B10, "IQ_TOTAL_CL", "IQ_" &amp; LEFT(PO$3,2) &amp; "-1", PO$3, $N$3, , $J$3, $K$3))),"")</f>
        <v/>
      </c>
      <c r="PP10" s="88" t="str">
        <f>IFERROR(IF(OR($B10="",PP$3=""),"",_xll.ciqfunctions.udf.CIQ($B10, "IQ_NI", $O$3, PP$3, $N$3, , $J$3, $K$3)*2/(_xll.ciqfunctions.udf.CIQ($B10, "IQ_TOTAL_ASSETS", PP$3, $I$3, $N$3, , $J$3, $K$3)+_xll.ciqfunctions.udf.CIQ($B10, "IQ_TOTAL_ASSETS", "IQ_" &amp; LEFT(PP$3,2) &amp; "-1", PP$3, $N$3, , $J$3, $K$3)-_xll.ciqfunctions.udf.CIQ($B10, "IQ_TOTAL_CL", PP$3, $I$3, $N$3, , $J$3, $K$3)-_xll.ciqfunctions.udf.CIQ($B10, "IQ_TOTAL_CL", "IQ_" &amp; LEFT(PP$3,2) &amp; "-1", PP$3, $N$3, , $J$3, $K$3))),"")</f>
        <v/>
      </c>
      <c r="PQ10" s="89" t="str">
        <f>IFERROR(IF(OR($B10="",PQ$3=""),"",_xll.ciqfunctions.udf.CIQ($B10,"IQ_TOTAL_ASSETS",PQ$3, $I$3, $N$3, , $J$3, $K$3)/_xll.ciqfunctions.udf.CIQ($B10,"IQ_TOTAL_COMMON_EQUITY",PQ$3, $I$3, $N$3, , $J$3, $K$3)),"")</f>
        <v/>
      </c>
      <c r="PR10" s="90" t="str">
        <f>IFERROR(IF(OR($B10="",PR$3=""),"",_xll.ciqfunctions.udf.CIQ($B10,"IQ_TOTAL_ASSETS",PR$3, $I$3, $N$3, , $J$3, $K$3)/_xll.ciqfunctions.udf.CIQ($B10,"IQ_TOTAL_COMMON_EQUITY",PR$3, $I$3, $N$3, , $J$3, $K$3)),"")</f>
        <v/>
      </c>
      <c r="PS10" s="90" t="str">
        <f>IFERROR(IF(OR($B10="",PS$3=""),"",_xll.ciqfunctions.udf.CIQ($B10,"IQ_TOTAL_ASSETS",PS$3, $I$3, $N$3, , $J$3, $K$3)/_xll.ciqfunctions.udf.CIQ($B10,"IQ_TOTAL_COMMON_EQUITY",PS$3, $I$3, $N$3, , $J$3, $K$3)),"")</f>
        <v/>
      </c>
      <c r="PT10" s="90" t="str">
        <f>IFERROR(IF(OR($B10="",PT$3=""),"",_xll.ciqfunctions.udf.CIQ($B10,"IQ_TOTAL_ASSETS",PT$3, $I$3, $N$3, , $J$3, $K$3)/_xll.ciqfunctions.udf.CIQ($B10,"IQ_TOTAL_COMMON_EQUITY",PT$3, $I$3, $N$3, , $J$3, $K$3)),"")</f>
        <v/>
      </c>
      <c r="PU10" s="90" t="str">
        <f>IFERROR(IF(OR($B10="",PU$3=""),"",_xll.ciqfunctions.udf.CIQ($B10,"IQ_TOTAL_ASSETS",PU$3, $I$3, $N$3, , $J$3, $K$3)/_xll.ciqfunctions.udf.CIQ($B10,"IQ_TOTAL_COMMON_EQUITY",PU$3, $I$3, $N$3, , $J$3, $K$3)),"")</f>
        <v/>
      </c>
      <c r="PV10" s="90" t="str">
        <f>IFERROR(IF(OR($B10="",PV$3=""),"",_xll.ciqfunctions.udf.CIQ($B10,"IQ_TOTAL_ASSETS",PV$3, $I$3, $N$3, , $J$3, $K$3)/_xll.ciqfunctions.udf.CIQ($B10,"IQ_TOTAL_COMMON_EQUITY",PV$3, $I$3, $N$3, , $J$3, $K$3)),"")</f>
        <v/>
      </c>
      <c r="PW10" s="90" t="str">
        <f>IFERROR(IF(OR($B10="",PW$3=""),"",_xll.ciqfunctions.udf.CIQ($B10,"IQ_TOTAL_ASSETS",PW$3, $I$3, $N$3, , $J$3, $K$3)/_xll.ciqfunctions.udf.CIQ($B10,"IQ_TOTAL_COMMON_EQUITY",PW$3, $I$3, $N$3, , $J$3, $K$3)),"")</f>
        <v/>
      </c>
      <c r="PX10" s="90" t="str">
        <f>IFERROR(IF(OR($B10="",PX$3=""),"",_xll.ciqfunctions.udf.CIQ($B10,"IQ_TOTAL_ASSETS",PX$3, $I$3, $N$3, , $J$3, $K$3)/_xll.ciqfunctions.udf.CIQ($B10,"IQ_TOTAL_COMMON_EQUITY",PX$3, $I$3, $N$3, , $J$3, $K$3)),"")</f>
        <v/>
      </c>
      <c r="PY10" s="90" t="str">
        <f>IFERROR(IF(OR($B10="",PY$3=""),"",_xll.ciqfunctions.udf.CIQ($B10,"IQ_TOTAL_ASSETS",PY$3, $I$3, $N$3, , $J$3, $K$3)/_xll.ciqfunctions.udf.CIQ($B10,"IQ_TOTAL_COMMON_EQUITY",PY$3, $I$3, $N$3, , $J$3, $K$3)),"")</f>
        <v/>
      </c>
      <c r="PZ10" s="90" t="str">
        <f>IFERROR(IF(OR($B10="",PZ$3=""),"",_xll.ciqfunctions.udf.CIQ($B10,"IQ_TOTAL_ASSETS",PZ$3, $I$3, $N$3, , $J$3, $K$3)/_xll.ciqfunctions.udf.CIQ($B10,"IQ_TOTAL_COMMON_EQUITY",PZ$3, $I$3, $N$3, , $J$3, $K$3)),"")</f>
        <v/>
      </c>
      <c r="QA10" s="90" t="str">
        <f>IFERROR(IF(OR($B10="",QA$3=""),"",_xll.ciqfunctions.udf.CIQ($B10,"IQ_TOTAL_ASSETS",QA$3, $I$3, $N$3, , $J$3, $K$3)/_xll.ciqfunctions.udf.CIQ($B10,"IQ_TOTAL_COMMON_EQUITY",QA$3, $I$3, $N$3, , $J$3, $K$3)),"")</f>
        <v/>
      </c>
      <c r="QB10" s="90" t="str">
        <f>IFERROR(IF(OR($B10="",QB$3=""),"",_xll.ciqfunctions.udf.CIQ($B10,"IQ_TOTAL_ASSETS",QB$3, $I$3, $N$3, , $J$3, $K$3)/_xll.ciqfunctions.udf.CIQ($B10,"IQ_TOTAL_COMMON_EQUITY",QB$3, $I$3, $N$3, , $J$3, $K$3)),"")</f>
        <v/>
      </c>
      <c r="QC10" s="90" t="str">
        <f>IFERROR(IF(OR($B10="",QC$3=""),"",_xll.ciqfunctions.udf.CIQ($B10,"IQ_TOTAL_ASSETS",QC$3, $I$3, $N$3, , $J$3, $K$3)/_xll.ciqfunctions.udf.CIQ($B10,"IQ_TOTAL_COMMON_EQUITY",QC$3, $I$3, $N$3, , $J$3, $K$3)),"")</f>
        <v/>
      </c>
      <c r="QD10" s="90" t="str">
        <f>IFERROR(IF(OR($B10="",QD$3=""),"",_xll.ciqfunctions.udf.CIQ($B10,"IQ_TOTAL_ASSETS",QD$3, $I$3, $N$3, , $J$3, $K$3)/_xll.ciqfunctions.udf.CIQ($B10,"IQ_TOTAL_COMMON_EQUITY",QD$3, $I$3, $N$3, , $J$3, $K$3)),"")</f>
        <v/>
      </c>
      <c r="QE10" s="90" t="str">
        <f>IFERROR(IF(OR($B10="",QE$3=""),"",_xll.ciqfunctions.udf.CIQ($B10,"IQ_TOTAL_ASSETS",QE$3, $I$3, $N$3, , $J$3, $K$3)/_xll.ciqfunctions.udf.CIQ($B10,"IQ_TOTAL_COMMON_EQUITY",QE$3, $I$3, $N$3, , $J$3, $K$3)),"")</f>
        <v/>
      </c>
      <c r="QF10" s="90" t="str">
        <f>IFERROR(IF(OR($B10="",QF$3=""),"",_xll.ciqfunctions.udf.CIQ($B10,"IQ_TOTAL_ASSETS",QF$3, $I$3, $N$3, , $J$3, $K$3)/_xll.ciqfunctions.udf.CIQ($B10,"IQ_TOTAL_COMMON_EQUITY",QF$3, $I$3, $N$3, , $J$3, $K$3)),"")</f>
        <v/>
      </c>
      <c r="QG10" s="90" t="str">
        <f>IFERROR(IF(OR($B10="",QG$3=""),"",_xll.ciqfunctions.udf.CIQ($B10,"IQ_TOTAL_ASSETS",QG$3, $I$3, $N$3, , $J$3, $K$3)/_xll.ciqfunctions.udf.CIQ($B10,"IQ_TOTAL_COMMON_EQUITY",QG$3, $I$3, $N$3, , $J$3, $K$3)),"")</f>
        <v/>
      </c>
      <c r="QH10" s="90" t="str">
        <f>IFERROR(IF(OR($B10="",QH$3=""),"",_xll.ciqfunctions.udf.CIQ($B10,"IQ_TOTAL_ASSETS",QH$3, $I$3, $N$3, , $J$3, $K$3)/_xll.ciqfunctions.udf.CIQ($B10,"IQ_TOTAL_COMMON_EQUITY",QH$3, $I$3, $N$3, , $J$3, $K$3)),"")</f>
        <v/>
      </c>
      <c r="QI10" s="90" t="str">
        <f>IFERROR(IF(OR($B10="",QI$3=""),"",_xll.ciqfunctions.udf.CIQ($B10,"IQ_TOTAL_ASSETS",QI$3, $I$3, $N$3, , $J$3, $K$3)/_xll.ciqfunctions.udf.CIQ($B10,"IQ_TOTAL_COMMON_EQUITY",QI$3, $I$3, $N$3, , $J$3, $K$3)),"")</f>
        <v/>
      </c>
      <c r="QJ10" s="91" t="str">
        <f>IFERROR(IF(OR($B10="",QJ$3=""),"",_xll.ciqfunctions.udf.CIQ($B10,"IQ_TOTAL_ASSETS",QJ$3, $I$3, $N$3, , $J$3, $K$3)/_xll.ciqfunctions.udf.CIQ($B10,"IQ_TOTAL_COMMON_EQUITY",QJ$3, $I$3, $N$3, , $J$3, $K$3)),"")</f>
        <v/>
      </c>
      <c r="QK10" s="86" t="str">
        <f>IFERROR(IF(QK$3="","",_xll.ciqfunctions.udf.CIQ($B10, "IQ_NI", $O$3, QK$3, $N$3, , $J$3, $K$3)/_xll.ciqfunctions.udf.CIQ($B10, "IQ_TOTAL_REV", $O$3, QK$3, $N$3, , $J$3, $K$3)),"")</f>
        <v/>
      </c>
      <c r="QL10" s="87" t="str">
        <f>IFERROR(IF(QL$3="","",_xll.ciqfunctions.udf.CIQ($B10, "IQ_NI", $O$3, QL$3, $N$3, , $J$3, $K$3)/_xll.ciqfunctions.udf.CIQ($B10, "IQ_TOTAL_REV", $O$3, QL$3, $N$3, , $J$3, $K$3)),"")</f>
        <v/>
      </c>
      <c r="QM10" s="87" t="str">
        <f>IFERROR(IF(QM$3="","",_xll.ciqfunctions.udf.CIQ($B10, "IQ_NI", $O$3, QM$3, $N$3, , $J$3, $K$3)/_xll.ciqfunctions.udf.CIQ($B10, "IQ_TOTAL_REV", $O$3, QM$3, $N$3, , $J$3, $K$3)),"")</f>
        <v/>
      </c>
      <c r="QN10" s="87" t="str">
        <f>IFERROR(IF(QN$3="","",_xll.ciqfunctions.udf.CIQ($B10, "IQ_NI", $O$3, QN$3, $N$3, , $J$3, $K$3)/_xll.ciqfunctions.udf.CIQ($B10, "IQ_TOTAL_REV", $O$3, QN$3, $N$3, , $J$3, $K$3)),"")</f>
        <v/>
      </c>
      <c r="QO10" s="87" t="str">
        <f>IFERROR(IF(QO$3="","",_xll.ciqfunctions.udf.CIQ($B10, "IQ_NI", $O$3, QO$3, $N$3, , $J$3, $K$3)/_xll.ciqfunctions.udf.CIQ($B10, "IQ_TOTAL_REV", $O$3, QO$3, $N$3, , $J$3, $K$3)),"")</f>
        <v/>
      </c>
      <c r="QP10" s="87" t="str">
        <f>IFERROR(IF(QP$3="","",_xll.ciqfunctions.udf.CIQ($B10, "IQ_NI", $O$3, QP$3, $N$3, , $J$3, $K$3)/_xll.ciqfunctions.udf.CIQ($B10, "IQ_TOTAL_REV", $O$3, QP$3, $N$3, , $J$3, $K$3)),"")</f>
        <v/>
      </c>
      <c r="QQ10" s="87" t="str">
        <f>IFERROR(IF(QQ$3="","",_xll.ciqfunctions.udf.CIQ($B10, "IQ_NI", $O$3, QQ$3, $N$3, , $J$3, $K$3)/_xll.ciqfunctions.udf.CIQ($B10, "IQ_TOTAL_REV", $O$3, QQ$3, $N$3, , $J$3, $K$3)),"")</f>
        <v/>
      </c>
      <c r="QR10" s="87" t="str">
        <f>IFERROR(IF(QR$3="","",_xll.ciqfunctions.udf.CIQ($B10, "IQ_NI", $O$3, QR$3, $N$3, , $J$3, $K$3)/_xll.ciqfunctions.udf.CIQ($B10, "IQ_TOTAL_REV", $O$3, QR$3, $N$3, , $J$3, $K$3)),"")</f>
        <v/>
      </c>
      <c r="QS10" s="87" t="str">
        <f>IFERROR(IF(QS$3="","",_xll.ciqfunctions.udf.CIQ($B10, "IQ_NI", $O$3, QS$3, $N$3, , $J$3, $K$3)/_xll.ciqfunctions.udf.CIQ($B10, "IQ_TOTAL_REV", $O$3, QS$3, $N$3, , $J$3, $K$3)),"")</f>
        <v/>
      </c>
      <c r="QT10" s="87" t="str">
        <f>IFERROR(IF(QT$3="","",_xll.ciqfunctions.udf.CIQ($B10, "IQ_NI", $O$3, QT$3, $N$3, , $J$3, $K$3)/_xll.ciqfunctions.udf.CIQ($B10, "IQ_TOTAL_REV", $O$3, QT$3, $N$3, , $J$3, $K$3)),"")</f>
        <v/>
      </c>
      <c r="QU10" s="87" t="str">
        <f>IFERROR(IF(QU$3="","",_xll.ciqfunctions.udf.CIQ($B10, "IQ_NI", $O$3, QU$3, $N$3, , $J$3, $K$3)/_xll.ciqfunctions.udf.CIQ($B10, "IQ_TOTAL_REV", $O$3, QU$3, $N$3, , $J$3, $K$3)),"")</f>
        <v/>
      </c>
      <c r="QV10" s="87" t="str">
        <f>IFERROR(IF(QV$3="","",_xll.ciqfunctions.udf.CIQ($B10, "IQ_NI", $O$3, QV$3, $N$3, , $J$3, $K$3)/_xll.ciqfunctions.udf.CIQ($B10, "IQ_TOTAL_REV", $O$3, QV$3, $N$3, , $J$3, $K$3)),"")</f>
        <v/>
      </c>
      <c r="QW10" s="87" t="str">
        <f>IFERROR(IF(QW$3="","",_xll.ciqfunctions.udf.CIQ($B10, "IQ_NI", $O$3, QW$3, $N$3, , $J$3, $K$3)/_xll.ciqfunctions.udf.CIQ($B10, "IQ_TOTAL_REV", $O$3, QW$3, $N$3, , $J$3, $K$3)),"")</f>
        <v/>
      </c>
      <c r="QX10" s="87" t="str">
        <f>IFERROR(IF(QX$3="","",_xll.ciqfunctions.udf.CIQ($B10, "IQ_NI", $O$3, QX$3, $N$3, , $J$3, $K$3)/_xll.ciqfunctions.udf.CIQ($B10, "IQ_TOTAL_REV", $O$3, QX$3, $N$3, , $J$3, $K$3)),"")</f>
        <v/>
      </c>
      <c r="QY10" s="87" t="str">
        <f>IFERROR(IF(QY$3="","",_xll.ciqfunctions.udf.CIQ($B10, "IQ_NI", $O$3, QY$3, $N$3, , $J$3, $K$3)/_xll.ciqfunctions.udf.CIQ($B10, "IQ_TOTAL_REV", $O$3, QY$3, $N$3, , $J$3, $K$3)),"")</f>
        <v/>
      </c>
      <c r="QZ10" s="87" t="str">
        <f>IFERROR(IF(QZ$3="","",_xll.ciqfunctions.udf.CIQ($B10, "IQ_NI", $O$3, QZ$3, $N$3, , $J$3, $K$3)/_xll.ciqfunctions.udf.CIQ($B10, "IQ_TOTAL_REV", $O$3, QZ$3, $N$3, , $J$3, $K$3)),"")</f>
        <v/>
      </c>
      <c r="RA10" s="87" t="str">
        <f>IFERROR(IF(RA$3="","",_xll.ciqfunctions.udf.CIQ($B10, "IQ_NI", $O$3, RA$3, $N$3, , $J$3, $K$3)/_xll.ciqfunctions.udf.CIQ($B10, "IQ_TOTAL_REV", $O$3, RA$3, $N$3, , $J$3, $K$3)),"")</f>
        <v/>
      </c>
      <c r="RB10" s="87" t="str">
        <f>IFERROR(IF(RB$3="","",_xll.ciqfunctions.udf.CIQ($B10, "IQ_NI", $O$3, RB$3, $N$3, , $J$3, $K$3)/_xll.ciqfunctions.udf.CIQ($B10, "IQ_TOTAL_REV", $O$3, RB$3, $N$3, , $J$3, $K$3)),"")</f>
        <v/>
      </c>
      <c r="RC10" s="87" t="str">
        <f>IFERROR(IF(RC$3="","",_xll.ciqfunctions.udf.CIQ($B10, "IQ_NI", $O$3, RC$3, $N$3, , $J$3, $K$3)/_xll.ciqfunctions.udf.CIQ($B10, "IQ_TOTAL_REV", $O$3, RC$3, $N$3, , $J$3, $K$3)),"")</f>
        <v/>
      </c>
      <c r="RD10" s="88" t="str">
        <f>IFERROR(IF(RD$3="","",_xll.ciqfunctions.udf.CIQ($B10, "IQ_NI", $O$3, RD$3, $N$3, , $J$3, $K$3)/_xll.ciqfunctions.udf.CIQ($B10, "IQ_TOTAL_REV", $O$3, RD$3, $N$3, , $J$3, $K$3)),"")</f>
        <v/>
      </c>
      <c r="RE10" s="86" t="str">
        <f>IFERROR(IF(OR($B10="",OC$3=""),"",_xll.ciqfunctions.udf.CIQ($B10,"IQ_NI",$O$3, RE$3, $N$3, , $J$3, $K$3)*2/(_xll.ciqfunctions.udf.CIQ($B10,"IQ_TOTAL_EQUITY", RE$3,$I$3, $N$3, , $J$3, $K$3)+_xll.ciqfunctions.udf.CIQ($B10,"IQ_TOTAL_EQUITY", "IQ_" &amp; LEFT(RE$3,2) &amp; "-1", RE$3, $N$3, , $J$3, $K$3))),"")</f>
        <v/>
      </c>
      <c r="RF10" s="86" t="str">
        <f>IFERROR(IF(OR($B10="",OD$3=""),"",_xll.ciqfunctions.udf.CIQ($B10,"IQ_NI",$O$3, RF$3, $N$3, , $J$3, $K$3)*2/(_xll.ciqfunctions.udf.CIQ($B10,"IQ_TOTAL_EQUITY", RF$3,$I$3, $N$3, , $J$3, $K$3)+_xll.ciqfunctions.udf.CIQ($B10,"IQ_TOTAL_EQUITY", "IQ_" &amp; LEFT(RF$3,2) &amp; "-1", RF$3, $N$3, , $J$3, $K$3))),"")</f>
        <v/>
      </c>
      <c r="RG10" s="86" t="str">
        <f>IFERROR(IF(OR($B10="",OE$3=""),"",_xll.ciqfunctions.udf.CIQ($B10,"IQ_NI",$O$3, RG$3, $N$3, , $J$3, $K$3)*2/(_xll.ciqfunctions.udf.CIQ($B10,"IQ_TOTAL_EQUITY", RG$3,$I$3, $N$3, , $J$3, $K$3)+_xll.ciqfunctions.udf.CIQ($B10,"IQ_TOTAL_EQUITY", "IQ_" &amp; LEFT(RG$3,2) &amp; "-1", RG$3, $N$3, , $J$3, $K$3))),"")</f>
        <v/>
      </c>
      <c r="RH10" s="86" t="str">
        <f>IFERROR(IF(OR($B10="",OF$3=""),"",_xll.ciqfunctions.udf.CIQ($B10,"IQ_NI",$O$3, RH$3, $N$3, , $J$3, $K$3)*2/(_xll.ciqfunctions.udf.CIQ($B10,"IQ_TOTAL_EQUITY", RH$3,$I$3, $N$3, , $J$3, $K$3)+_xll.ciqfunctions.udf.CIQ($B10,"IQ_TOTAL_EQUITY", "IQ_" &amp; LEFT(RH$3,2) &amp; "-1", RH$3, $N$3, , $J$3, $K$3))),"")</f>
        <v/>
      </c>
      <c r="RI10" s="86" t="str">
        <f>IFERROR(IF(OR($B10="",OG$3=""),"",_xll.ciqfunctions.udf.CIQ($B10,"IQ_NI",$O$3, RI$3, $N$3, , $J$3, $K$3)*2/(_xll.ciqfunctions.udf.CIQ($B10,"IQ_TOTAL_EQUITY", RI$3,$I$3, $N$3, , $J$3, $K$3)+_xll.ciqfunctions.udf.CIQ($B10,"IQ_TOTAL_EQUITY", "IQ_" &amp; LEFT(RI$3,2) &amp; "-1", RI$3, $N$3, , $J$3, $K$3))),"")</f>
        <v/>
      </c>
      <c r="RJ10" s="86" t="str">
        <f>IFERROR(IF(OR($B10="",OH$3=""),"",_xll.ciqfunctions.udf.CIQ($B10,"IQ_NI",$O$3, RJ$3, $N$3, , $J$3, $K$3)*2/(_xll.ciqfunctions.udf.CIQ($B10,"IQ_TOTAL_EQUITY", RJ$3,$I$3, $N$3, , $J$3, $K$3)+_xll.ciqfunctions.udf.CIQ($B10,"IQ_TOTAL_EQUITY", "IQ_" &amp; LEFT(RJ$3,2) &amp; "-1", RJ$3, $N$3, , $J$3, $K$3))),"")</f>
        <v/>
      </c>
      <c r="RK10" s="86" t="str">
        <f>IFERROR(IF(OR($B10="",OI$3=""),"",_xll.ciqfunctions.udf.CIQ($B10,"IQ_NI",$O$3, RK$3, $N$3, , $J$3, $K$3)*2/(_xll.ciqfunctions.udf.CIQ($B10,"IQ_TOTAL_EQUITY", RK$3,$I$3, $N$3, , $J$3, $K$3)+_xll.ciqfunctions.udf.CIQ($B10,"IQ_TOTAL_EQUITY", "IQ_" &amp; LEFT(RK$3,2) &amp; "-1", RK$3, $N$3, , $J$3, $K$3))),"")</f>
        <v/>
      </c>
      <c r="RL10" s="86" t="str">
        <f>IFERROR(IF(OR($B10="",OJ$3=""),"",_xll.ciqfunctions.udf.CIQ($B10,"IQ_NI",$O$3, RL$3, $N$3, , $J$3, $K$3)*2/(_xll.ciqfunctions.udf.CIQ($B10,"IQ_TOTAL_EQUITY", RL$3,$I$3, $N$3, , $J$3, $K$3)+_xll.ciqfunctions.udf.CIQ($B10,"IQ_TOTAL_EQUITY", "IQ_" &amp; LEFT(RL$3,2) &amp; "-1", RL$3, $N$3, , $J$3, $K$3))),"")</f>
        <v/>
      </c>
      <c r="RM10" s="86" t="str">
        <f>IFERROR(IF(OR($B10="",OK$3=""),"",_xll.ciqfunctions.udf.CIQ($B10,"IQ_NI",$O$3, RM$3, $N$3, , $J$3, $K$3)*2/(_xll.ciqfunctions.udf.CIQ($B10,"IQ_TOTAL_EQUITY", RM$3,$I$3, $N$3, , $J$3, $K$3)+_xll.ciqfunctions.udf.CIQ($B10,"IQ_TOTAL_EQUITY", "IQ_" &amp; LEFT(RM$3,2) &amp; "-1", RM$3, $N$3, , $J$3, $K$3))),"")</f>
        <v/>
      </c>
      <c r="RN10" s="86" t="str">
        <f>IFERROR(IF(OR($B10="",OL$3=""),"",_xll.ciqfunctions.udf.CIQ($B10,"IQ_NI",$O$3, RN$3, $N$3, , $J$3, $K$3)*2/(_xll.ciqfunctions.udf.CIQ($B10,"IQ_TOTAL_EQUITY", RN$3,$I$3, $N$3, , $J$3, $K$3)+_xll.ciqfunctions.udf.CIQ($B10,"IQ_TOTAL_EQUITY", "IQ_" &amp; LEFT(RN$3,2) &amp; "-1", RN$3, $N$3, , $J$3, $K$3))),"")</f>
        <v/>
      </c>
      <c r="RO10" s="86" t="str">
        <f>IFERROR(IF(OR($B10="",OM$3=""),"",_xll.ciqfunctions.udf.CIQ($B10,"IQ_NI",$O$3, RO$3, $N$3, , $J$3, $K$3)*2/(_xll.ciqfunctions.udf.CIQ($B10,"IQ_TOTAL_EQUITY", RO$3,$I$3, $N$3, , $J$3, $K$3)+_xll.ciqfunctions.udf.CIQ($B10,"IQ_TOTAL_EQUITY", "IQ_" &amp; LEFT(RO$3,2) &amp; "-1", RO$3, $N$3, , $J$3, $K$3))),"")</f>
        <v/>
      </c>
      <c r="RP10" s="86" t="str">
        <f>IFERROR(IF(OR($B10="",ON$3=""),"",_xll.ciqfunctions.udf.CIQ($B10,"IQ_NI",$O$3, RP$3, $N$3, , $J$3, $K$3)*2/(_xll.ciqfunctions.udf.CIQ($B10,"IQ_TOTAL_EQUITY", RP$3,$I$3, $N$3, , $J$3, $K$3)+_xll.ciqfunctions.udf.CIQ($B10,"IQ_TOTAL_EQUITY", "IQ_" &amp; LEFT(RP$3,2) &amp; "-1", RP$3, $N$3, , $J$3, $K$3))),"")</f>
        <v/>
      </c>
      <c r="RQ10" s="86" t="str">
        <f>IFERROR(IF(OR($B10="",OO$3=""),"",_xll.ciqfunctions.udf.CIQ($B10,"IQ_NI",$O$3, RQ$3, $N$3, , $J$3, $K$3)*2/(_xll.ciqfunctions.udf.CIQ($B10,"IQ_TOTAL_EQUITY", RQ$3,$I$3, $N$3, , $J$3, $K$3)+_xll.ciqfunctions.udf.CIQ($B10,"IQ_TOTAL_EQUITY", "IQ_" &amp; LEFT(RQ$3,2) &amp; "-1", RQ$3, $N$3, , $J$3, $K$3))),"")</f>
        <v/>
      </c>
      <c r="RR10" s="86" t="str">
        <f>IFERROR(IF(OR($B10="",OP$3=""),"",_xll.ciqfunctions.udf.CIQ($B10,"IQ_NI",$O$3, RR$3, $N$3, , $J$3, $K$3)*2/(_xll.ciqfunctions.udf.CIQ($B10,"IQ_TOTAL_EQUITY", RR$3,$I$3, $N$3, , $J$3, $K$3)+_xll.ciqfunctions.udf.CIQ($B10,"IQ_TOTAL_EQUITY", "IQ_" &amp; LEFT(RR$3,2) &amp; "-1", RR$3, $N$3, , $J$3, $K$3))),"")</f>
        <v/>
      </c>
      <c r="RS10" s="86" t="str">
        <f>IFERROR(IF(OR($B10="",OQ$3=""),"",_xll.ciqfunctions.udf.CIQ($B10,"IQ_NI",$O$3, RS$3, $N$3, , $J$3, $K$3)*2/(_xll.ciqfunctions.udf.CIQ($B10,"IQ_TOTAL_EQUITY", RS$3,$I$3, $N$3, , $J$3, $K$3)+_xll.ciqfunctions.udf.CIQ($B10,"IQ_TOTAL_EQUITY", "IQ_" &amp; LEFT(RS$3,2) &amp; "-1", RS$3, $N$3, , $J$3, $K$3))),"")</f>
        <v/>
      </c>
      <c r="RT10" s="86" t="str">
        <f>IFERROR(IF(OR($B10="",OR$3=""),"",_xll.ciqfunctions.udf.CIQ($B10,"IQ_NI",$O$3, RT$3, $N$3, , $J$3, $K$3)*2/(_xll.ciqfunctions.udf.CIQ($B10,"IQ_TOTAL_EQUITY", RT$3,$I$3, $N$3, , $J$3, $K$3)+_xll.ciqfunctions.udf.CIQ($B10,"IQ_TOTAL_EQUITY", "IQ_" &amp; LEFT(RT$3,2) &amp; "-1", RT$3, $N$3, , $J$3, $K$3))),"")</f>
        <v/>
      </c>
      <c r="RU10" s="86" t="str">
        <f>IFERROR(IF(OR($B10="",OS$3=""),"",_xll.ciqfunctions.udf.CIQ($B10,"IQ_NI",$O$3, RU$3, $N$3, , $J$3, $K$3)*2/(_xll.ciqfunctions.udf.CIQ($B10,"IQ_TOTAL_EQUITY", RU$3,$I$3, $N$3, , $J$3, $K$3)+_xll.ciqfunctions.udf.CIQ($B10,"IQ_TOTAL_EQUITY", "IQ_" &amp; LEFT(RU$3,2) &amp; "-1", RU$3, $N$3, , $J$3, $K$3))),"")</f>
        <v/>
      </c>
      <c r="RV10" s="86" t="str">
        <f>IFERROR(IF(OR($B10="",OT$3=""),"",_xll.ciqfunctions.udf.CIQ($B10,"IQ_NI",$O$3, RV$3, $N$3, , $J$3, $K$3)*2/(_xll.ciqfunctions.udf.CIQ($B10,"IQ_TOTAL_EQUITY", RV$3,$I$3, $N$3, , $J$3, $K$3)+_xll.ciqfunctions.udf.CIQ($B10,"IQ_TOTAL_EQUITY", "IQ_" &amp; LEFT(RV$3,2) &amp; "-1", RV$3, $N$3, , $J$3, $K$3))),"")</f>
        <v/>
      </c>
      <c r="RW10" s="86" t="str">
        <f>IFERROR(IF(OR($B10="",OU$3=""),"",_xll.ciqfunctions.udf.CIQ($B10,"IQ_NI",$O$3, RW$3, $N$3, , $J$3, $K$3)*2/(_xll.ciqfunctions.udf.CIQ($B10,"IQ_TOTAL_EQUITY", RW$3,$I$3, $N$3, , $J$3, $K$3)+_xll.ciqfunctions.udf.CIQ($B10,"IQ_TOTAL_EQUITY", "IQ_" &amp; LEFT(RW$3,2) &amp; "-1", RW$3, $N$3, , $J$3, $K$3))),"")</f>
        <v/>
      </c>
      <c r="RX10" s="86" t="str">
        <f>IFERROR(IF(OR($B10="",OV$3=""),"",_xll.ciqfunctions.udf.CIQ($B10,"IQ_NI",$O$3, RX$3, $N$3, , $J$3, $K$3)*2/(_xll.ciqfunctions.udf.CIQ($B10,"IQ_TOTAL_EQUITY", RX$3,$I$3, $N$3, , $J$3, $K$3)+_xll.ciqfunctions.udf.CIQ($B10,"IQ_TOTAL_EQUITY", "IQ_" &amp; LEFT(RX$3,2) &amp; "-1", RX$3, $N$3, , $J$3, $K$3))),"")</f>
        <v/>
      </c>
      <c r="RY10" s="86" t="str">
        <f>IFERROR(IF(OR($B10="",RY$3=""),"",_xll.ciqfunctions.udf.CIQ($B10,"IQ_CASH_OPER",$O$3, RY$3, $N$3, , $J$3, $K$3)*2/(_xll.ciqfunctions.udf.CIQ($B10,"IQ_TOTAL_CL",RY$3,$I$3, $N$3, , $J$3, $K$3)+_xll.ciqfunctions.udf.CIQ($B10,"IQ_TOTAL_CL","IQ_" &amp; LEFT(RY$3,2) &amp; "-1", RY$3, $N$3, , $J$3, $K$3))),"")</f>
        <v/>
      </c>
      <c r="RZ10" s="87" t="str">
        <f>IFERROR(IF(OR($B10="",RZ$3=""),"",_xll.ciqfunctions.udf.CIQ($B10,"IQ_CASH_OPER",$O$3, RZ$3, $N$3, , $J$3, $K$3)*2/(_xll.ciqfunctions.udf.CIQ($B10,"IQ_TOTAL_CL",RZ$3,$I$3, $N$3, , $J$3, $K$3)+_xll.ciqfunctions.udf.CIQ($B10,"IQ_TOTAL_CL","IQ_" &amp; LEFT(RZ$3,2) &amp; "-1", RZ$3, $N$3, , $J$3, $K$3))),"")</f>
        <v/>
      </c>
      <c r="SA10" s="87" t="str">
        <f>IFERROR(IF(OR($B10="",SA$3=""),"",_xll.ciqfunctions.udf.CIQ($B10,"IQ_CASH_OPER",$O$3, SA$3, $N$3, , $J$3, $K$3)*2/(_xll.ciqfunctions.udf.CIQ($B10,"IQ_TOTAL_CL",SA$3,$I$3, $N$3, , $J$3, $K$3)+_xll.ciqfunctions.udf.CIQ($B10,"IQ_TOTAL_CL","IQ_" &amp; LEFT(SA$3,2) &amp; "-1", SA$3, $N$3, , $J$3, $K$3))),"")</f>
        <v/>
      </c>
      <c r="SB10" s="87" t="str">
        <f>IFERROR(IF(OR($B10="",SB$3=""),"",_xll.ciqfunctions.udf.CIQ($B10,"IQ_CASH_OPER",$O$3, SB$3, $N$3, , $J$3, $K$3)*2/(_xll.ciqfunctions.udf.CIQ($B10,"IQ_TOTAL_CL",SB$3,$I$3, $N$3, , $J$3, $K$3)+_xll.ciqfunctions.udf.CIQ($B10,"IQ_TOTAL_CL","IQ_" &amp; LEFT(SB$3,2) &amp; "-1", SB$3, $N$3, , $J$3, $K$3))),"")</f>
        <v/>
      </c>
      <c r="SC10" s="87" t="str">
        <f>IFERROR(IF(OR($B10="",SC$3=""),"",_xll.ciqfunctions.udf.CIQ($B10,"IQ_CASH_OPER",$O$3, SC$3, $N$3, , $J$3, $K$3)*2/(_xll.ciqfunctions.udf.CIQ($B10,"IQ_TOTAL_CL",SC$3,$I$3, $N$3, , $J$3, $K$3)+_xll.ciqfunctions.udf.CIQ($B10,"IQ_TOTAL_CL","IQ_" &amp; LEFT(SC$3,2) &amp; "-1", SC$3, $N$3, , $J$3, $K$3))),"")</f>
        <v/>
      </c>
      <c r="SD10" s="87" t="str">
        <f>IFERROR(IF(OR($B10="",SD$3=""),"",_xll.ciqfunctions.udf.CIQ($B10,"IQ_CASH_OPER",$O$3, SD$3, $N$3, , $J$3, $K$3)*2/(_xll.ciqfunctions.udf.CIQ($B10,"IQ_TOTAL_CL",SD$3,$I$3, $N$3, , $J$3, $K$3)+_xll.ciqfunctions.udf.CIQ($B10,"IQ_TOTAL_CL","IQ_" &amp; LEFT(SD$3,2) &amp; "-1", SD$3, $N$3, , $J$3, $K$3))),"")</f>
        <v/>
      </c>
      <c r="SE10" s="87" t="str">
        <f>IFERROR(IF(OR($B10="",SE$3=""),"",_xll.ciqfunctions.udf.CIQ($B10,"IQ_CASH_OPER",$O$3, SE$3, $N$3, , $J$3, $K$3)*2/(_xll.ciqfunctions.udf.CIQ($B10,"IQ_TOTAL_CL",SE$3,$I$3, $N$3, , $J$3, $K$3)+_xll.ciqfunctions.udf.CIQ($B10,"IQ_TOTAL_CL","IQ_" &amp; LEFT(SE$3,2) &amp; "-1", SE$3, $N$3, , $J$3, $K$3))),"")</f>
        <v/>
      </c>
      <c r="SF10" s="87" t="str">
        <f>IFERROR(IF(OR($B10="",SF$3=""),"",_xll.ciqfunctions.udf.CIQ($B10,"IQ_CASH_OPER",$O$3, SF$3, $N$3, , $J$3, $K$3)*2/(_xll.ciqfunctions.udf.CIQ($B10,"IQ_TOTAL_CL",SF$3,$I$3, $N$3, , $J$3, $K$3)+_xll.ciqfunctions.udf.CIQ($B10,"IQ_TOTAL_CL","IQ_" &amp; LEFT(SF$3,2) &amp; "-1", SF$3, $N$3, , $J$3, $K$3))),"")</f>
        <v/>
      </c>
      <c r="SG10" s="87" t="str">
        <f>IFERROR(IF(OR($B10="",SG$3=""),"",_xll.ciqfunctions.udf.CIQ($B10,"IQ_CASH_OPER",$O$3, SG$3, $N$3, , $J$3, $K$3)*2/(_xll.ciqfunctions.udf.CIQ($B10,"IQ_TOTAL_CL",SG$3,$I$3, $N$3, , $J$3, $K$3)+_xll.ciqfunctions.udf.CIQ($B10,"IQ_TOTAL_CL","IQ_" &amp; LEFT(SG$3,2) &amp; "-1", SG$3, $N$3, , $J$3, $K$3))),"")</f>
        <v/>
      </c>
      <c r="SH10" s="87" t="str">
        <f>IFERROR(IF(OR($B10="",SH$3=""),"",_xll.ciqfunctions.udf.CIQ($B10,"IQ_CASH_OPER",$O$3, SH$3, $N$3, , $J$3, $K$3)*2/(_xll.ciqfunctions.udf.CIQ($B10,"IQ_TOTAL_CL",SH$3,$I$3, $N$3, , $J$3, $K$3)+_xll.ciqfunctions.udf.CIQ($B10,"IQ_TOTAL_CL","IQ_" &amp; LEFT(SH$3,2) &amp; "-1", SH$3, $N$3, , $J$3, $K$3))),"")</f>
        <v/>
      </c>
      <c r="SI10" s="87" t="str">
        <f>IFERROR(IF(OR($B10="",SI$3=""),"",_xll.ciqfunctions.udf.CIQ($B10,"IQ_CASH_OPER",$O$3, SI$3, $N$3, , $J$3, $K$3)*2/(_xll.ciqfunctions.udf.CIQ($B10,"IQ_TOTAL_CL",SI$3,$I$3, $N$3, , $J$3, $K$3)+_xll.ciqfunctions.udf.CIQ($B10,"IQ_TOTAL_CL","IQ_" &amp; LEFT(SI$3,2) &amp; "-1", SI$3, $N$3, , $J$3, $K$3))),"")</f>
        <v/>
      </c>
      <c r="SJ10" s="87" t="str">
        <f>IFERROR(IF(OR($B10="",SJ$3=""),"",_xll.ciqfunctions.udf.CIQ($B10,"IQ_CASH_OPER",$O$3, SJ$3, $N$3, , $J$3, $K$3)*2/(_xll.ciqfunctions.udf.CIQ($B10,"IQ_TOTAL_CL",SJ$3,$I$3, $N$3, , $J$3, $K$3)+_xll.ciqfunctions.udf.CIQ($B10,"IQ_TOTAL_CL","IQ_" &amp; LEFT(SJ$3,2) &amp; "-1", SJ$3, $N$3, , $J$3, $K$3))),"")</f>
        <v/>
      </c>
      <c r="SK10" s="87" t="str">
        <f>IFERROR(IF(OR($B10="",SK$3=""),"",_xll.ciqfunctions.udf.CIQ($B10,"IQ_CASH_OPER",$O$3, SK$3, $N$3, , $J$3, $K$3)*2/(_xll.ciqfunctions.udf.CIQ($B10,"IQ_TOTAL_CL",SK$3,$I$3, $N$3, , $J$3, $K$3)+_xll.ciqfunctions.udf.CIQ($B10,"IQ_TOTAL_CL","IQ_" &amp; LEFT(SK$3,2) &amp; "-1", SK$3, $N$3, , $J$3, $K$3))),"")</f>
        <v/>
      </c>
      <c r="SL10" s="87" t="str">
        <f>IFERROR(IF(OR($B10="",SL$3=""),"",_xll.ciqfunctions.udf.CIQ($B10,"IQ_CASH_OPER",$O$3, SL$3, $N$3, , $J$3, $K$3)*2/(_xll.ciqfunctions.udf.CIQ($B10,"IQ_TOTAL_CL",SL$3,$I$3, $N$3, , $J$3, $K$3)+_xll.ciqfunctions.udf.CIQ($B10,"IQ_TOTAL_CL","IQ_" &amp; LEFT(SL$3,2) &amp; "-1", SL$3, $N$3, , $J$3, $K$3))),"")</f>
        <v/>
      </c>
      <c r="SM10" s="87" t="str">
        <f>IFERROR(IF(OR($B10="",SM$3=""),"",_xll.ciqfunctions.udf.CIQ($B10,"IQ_CASH_OPER",$O$3, SM$3, $N$3, , $J$3, $K$3)*2/(_xll.ciqfunctions.udf.CIQ($B10,"IQ_TOTAL_CL",SM$3,$I$3, $N$3, , $J$3, $K$3)+_xll.ciqfunctions.udf.CIQ($B10,"IQ_TOTAL_CL","IQ_" &amp; LEFT(SM$3,2) &amp; "-1", SM$3, $N$3, , $J$3, $K$3))),"")</f>
        <v/>
      </c>
      <c r="SN10" s="87" t="str">
        <f>IFERROR(IF(OR($B10="",SN$3=""),"",_xll.ciqfunctions.udf.CIQ($B10,"IQ_CASH_OPER",$O$3, SN$3, $N$3, , $J$3, $K$3)*2/(_xll.ciqfunctions.udf.CIQ($B10,"IQ_TOTAL_CL",SN$3,$I$3, $N$3, , $J$3, $K$3)+_xll.ciqfunctions.udf.CIQ($B10,"IQ_TOTAL_CL","IQ_" &amp; LEFT(SN$3,2) &amp; "-1", SN$3, $N$3, , $J$3, $K$3))),"")</f>
        <v/>
      </c>
      <c r="SO10" s="87" t="str">
        <f>IFERROR(IF(OR($B10="",SO$3=""),"",_xll.ciqfunctions.udf.CIQ($B10,"IQ_CASH_OPER",$O$3, SO$3, $N$3, , $J$3, $K$3)*2/(_xll.ciqfunctions.udf.CIQ($B10,"IQ_TOTAL_CL",SO$3,$I$3, $N$3, , $J$3, $K$3)+_xll.ciqfunctions.udf.CIQ($B10,"IQ_TOTAL_CL","IQ_" &amp; LEFT(SO$3,2) &amp; "-1", SO$3, $N$3, , $J$3, $K$3))),"")</f>
        <v/>
      </c>
      <c r="SP10" s="87" t="str">
        <f>IFERROR(IF(OR($B10="",SP$3=""),"",_xll.ciqfunctions.udf.CIQ($B10,"IQ_CASH_OPER",$O$3, SP$3, $N$3, , $J$3, $K$3)*2/(_xll.ciqfunctions.udf.CIQ($B10,"IQ_TOTAL_CL",SP$3,$I$3, $N$3, , $J$3, $K$3)+_xll.ciqfunctions.udf.CIQ($B10,"IQ_TOTAL_CL","IQ_" &amp; LEFT(SP$3,2) &amp; "-1", SP$3, $N$3, , $J$3, $K$3))),"")</f>
        <v/>
      </c>
      <c r="SQ10" s="87" t="str">
        <f>IFERROR(IF(OR($B10="",SQ$3=""),"",_xll.ciqfunctions.udf.CIQ($B10,"IQ_CASH_OPER",$O$3, SQ$3, $N$3, , $J$3, $K$3)*2/(_xll.ciqfunctions.udf.CIQ($B10,"IQ_TOTAL_CL",SQ$3,$I$3, $N$3, , $J$3, $K$3)+_xll.ciqfunctions.udf.CIQ($B10,"IQ_TOTAL_CL","IQ_" &amp; LEFT(SQ$3,2) &amp; "-1", SQ$3, $N$3, , $J$3, $K$3))),"")</f>
        <v/>
      </c>
      <c r="SR10" s="88" t="str">
        <f>IFERROR(IF(OR($B10="",SR$3=""),"",_xll.ciqfunctions.udf.CIQ($B10,"IQ_CASH_OPER",$O$3, SR$3, $N$3, , $J$3, $K$3)*2/(_xll.ciqfunctions.udf.CIQ($B10,"IQ_TOTAL_CL",SR$3,$I$3, $N$3, , $J$3, $K$3)+_xll.ciqfunctions.udf.CIQ($B10,"IQ_TOTAL_CL","IQ_" &amp; LEFT(SR$3,2) &amp; "-1", SR$3, $N$3, , $J$3, $K$3))),"")</f>
        <v/>
      </c>
      <c r="SS10" s="86" t="str">
        <f>IFERROR(IF(OR($B10="",SS$3=""),"",MAX(_xll.ciqfunctions.udf.CIQ($B10,"IQ_INC_TAX",SS$3,$I$3, $N$3, , $J$3, $K$3)/ABS(_xll.ciqfunctions.udf.CIQ($B10,"IQ_EBT",SS$3,$I$3, $N$3, , $J$3, $K$3)),0)),"")</f>
        <v/>
      </c>
      <c r="ST10" s="87" t="str">
        <f>IFERROR(IF(OR($B10="",ST$3=""),"",MAX(_xll.ciqfunctions.udf.CIQ($B10,"IQ_INC_TAX",ST$3,$I$3, $N$3, , $J$3, $K$3)/ABS(_xll.ciqfunctions.udf.CIQ($B10,"IQ_EBT",ST$3,$I$3, $N$3, , $J$3, $K$3)),0)),"")</f>
        <v/>
      </c>
      <c r="SU10" s="87" t="str">
        <f>IFERROR(IF(OR($B10="",SU$3=""),"",MAX(_xll.ciqfunctions.udf.CIQ($B10,"IQ_INC_TAX",SU$3,$I$3, $N$3, , $J$3, $K$3)/ABS(_xll.ciqfunctions.udf.CIQ($B10,"IQ_EBT",SU$3,$I$3, $N$3, , $J$3, $K$3)),0)),"")</f>
        <v/>
      </c>
      <c r="SV10" s="87" t="str">
        <f>IFERROR(IF(OR($B10="",SV$3=""),"",MAX(_xll.ciqfunctions.udf.CIQ($B10,"IQ_INC_TAX",SV$3,$I$3, $N$3, , $J$3, $K$3)/ABS(_xll.ciqfunctions.udf.CIQ($B10,"IQ_EBT",SV$3,$I$3, $N$3, , $J$3, $K$3)),0)),"")</f>
        <v/>
      </c>
      <c r="SW10" s="87" t="str">
        <f>IFERROR(IF(OR($B10="",SW$3=""),"",MAX(_xll.ciqfunctions.udf.CIQ($B10,"IQ_INC_TAX",SW$3,$I$3, $N$3, , $J$3, $K$3)/ABS(_xll.ciqfunctions.udf.CIQ($B10,"IQ_EBT",SW$3,$I$3, $N$3, , $J$3, $K$3)),0)),"")</f>
        <v/>
      </c>
      <c r="SX10" s="87" t="str">
        <f>IFERROR(IF(OR($B10="",SX$3=""),"",MAX(_xll.ciqfunctions.udf.CIQ($B10,"IQ_INC_TAX",SX$3,$I$3, $N$3, , $J$3, $K$3)/ABS(_xll.ciqfunctions.udf.CIQ($B10,"IQ_EBT",SX$3,$I$3, $N$3, , $J$3, $K$3)),0)),"")</f>
        <v/>
      </c>
      <c r="SY10" s="87" t="str">
        <f>IFERROR(IF(OR($B10="",SY$3=""),"",MAX(_xll.ciqfunctions.udf.CIQ($B10,"IQ_INC_TAX",SY$3,$I$3, $N$3, , $J$3, $K$3)/ABS(_xll.ciqfunctions.udf.CIQ($B10,"IQ_EBT",SY$3,$I$3, $N$3, , $J$3, $K$3)),0)),"")</f>
        <v/>
      </c>
      <c r="SZ10" s="87" t="str">
        <f>IFERROR(IF(OR($B10="",SZ$3=""),"",MAX(_xll.ciqfunctions.udf.CIQ($B10,"IQ_INC_TAX",SZ$3,$I$3, $N$3, , $J$3, $K$3)/ABS(_xll.ciqfunctions.udf.CIQ($B10,"IQ_EBT",SZ$3,$I$3, $N$3, , $J$3, $K$3)),0)),"")</f>
        <v/>
      </c>
      <c r="TA10" s="87" t="str">
        <f>IFERROR(IF(OR($B10="",TA$3=""),"",MAX(_xll.ciqfunctions.udf.CIQ($B10,"IQ_INC_TAX",TA$3,$I$3, $N$3, , $J$3, $K$3)/ABS(_xll.ciqfunctions.udf.CIQ($B10,"IQ_EBT",TA$3,$I$3, $N$3, , $J$3, $K$3)),0)),"")</f>
        <v/>
      </c>
      <c r="TB10" s="87" t="str">
        <f>IFERROR(IF(OR($B10="",TB$3=""),"",MAX(_xll.ciqfunctions.udf.CIQ($B10,"IQ_INC_TAX",TB$3,$I$3, $N$3, , $J$3, $K$3)/ABS(_xll.ciqfunctions.udf.CIQ($B10,"IQ_EBT",TB$3,$I$3, $N$3, , $J$3, $K$3)),0)),"")</f>
        <v/>
      </c>
      <c r="TC10" s="87" t="str">
        <f>IFERROR(IF(OR($B10="",TC$3=""),"",MAX(_xll.ciqfunctions.udf.CIQ($B10,"IQ_INC_TAX",TC$3,$I$3, $N$3, , $J$3, $K$3)/ABS(_xll.ciqfunctions.udf.CIQ($B10,"IQ_EBT",TC$3,$I$3, $N$3, , $J$3, $K$3)),0)),"")</f>
        <v/>
      </c>
      <c r="TD10" s="87" t="str">
        <f>IFERROR(IF(OR($B10="",TD$3=""),"",MAX(_xll.ciqfunctions.udf.CIQ($B10,"IQ_INC_TAX",TD$3,$I$3, $N$3, , $J$3, $K$3)/ABS(_xll.ciqfunctions.udf.CIQ($B10,"IQ_EBT",TD$3,$I$3, $N$3, , $J$3, $K$3)),0)),"")</f>
        <v/>
      </c>
      <c r="TE10" s="87" t="str">
        <f>IFERROR(IF(OR($B10="",TE$3=""),"",MAX(_xll.ciqfunctions.udf.CIQ($B10,"IQ_INC_TAX",TE$3,$I$3, $N$3, , $J$3, $K$3)/ABS(_xll.ciqfunctions.udf.CIQ($B10,"IQ_EBT",TE$3,$I$3, $N$3, , $J$3, $K$3)),0)),"")</f>
        <v/>
      </c>
      <c r="TF10" s="87" t="str">
        <f>IFERROR(IF(OR($B10="",TF$3=""),"",MAX(_xll.ciqfunctions.udf.CIQ($B10,"IQ_INC_TAX",TF$3,$I$3, $N$3, , $J$3, $K$3)/ABS(_xll.ciqfunctions.udf.CIQ($B10,"IQ_EBT",TF$3,$I$3, $N$3, , $J$3, $K$3)),0)),"")</f>
        <v/>
      </c>
      <c r="TG10" s="87" t="str">
        <f>IFERROR(IF(OR($B10="",TG$3=""),"",MAX(_xll.ciqfunctions.udf.CIQ($B10,"IQ_INC_TAX",TG$3,$I$3, $N$3, , $J$3, $K$3)/ABS(_xll.ciqfunctions.udf.CIQ($B10,"IQ_EBT",TG$3,$I$3, $N$3, , $J$3, $K$3)),0)),"")</f>
        <v/>
      </c>
      <c r="TH10" s="87" t="str">
        <f>IFERROR(IF(OR($B10="",TH$3=""),"",MAX(_xll.ciqfunctions.udf.CIQ($B10,"IQ_INC_TAX",TH$3,$I$3, $N$3, , $J$3, $K$3)/ABS(_xll.ciqfunctions.udf.CIQ($B10,"IQ_EBT",TH$3,$I$3, $N$3, , $J$3, $K$3)),0)),"")</f>
        <v/>
      </c>
      <c r="TI10" s="87" t="str">
        <f>IFERROR(IF(OR($B10="",TI$3=""),"",MAX(_xll.ciqfunctions.udf.CIQ($B10,"IQ_INC_TAX",TI$3,$I$3, $N$3, , $J$3, $K$3)/ABS(_xll.ciqfunctions.udf.CIQ($B10,"IQ_EBT",TI$3,$I$3, $N$3, , $J$3, $K$3)),0)),"")</f>
        <v/>
      </c>
      <c r="TJ10" s="87" t="str">
        <f>IFERROR(IF(OR($B10="",TJ$3=""),"",MAX(_xll.ciqfunctions.udf.CIQ($B10,"IQ_INC_TAX",TJ$3,$I$3, $N$3, , $J$3, $K$3)/ABS(_xll.ciqfunctions.udf.CIQ($B10,"IQ_EBT",TJ$3,$I$3, $N$3, , $J$3, $K$3)),0)),"")</f>
        <v/>
      </c>
      <c r="TK10" s="87" t="str">
        <f>IFERROR(IF(OR($B10="",TK$3=""),"",MAX(_xll.ciqfunctions.udf.CIQ($B10,"IQ_INC_TAX",TK$3,$I$3, $N$3, , $J$3, $K$3)/ABS(_xll.ciqfunctions.udf.CIQ($B10,"IQ_EBT",TK$3,$I$3, $N$3, , $J$3, $K$3)),0)),"")</f>
        <v/>
      </c>
      <c r="TL10" s="88" t="str">
        <f>IFERROR(IF(OR($B10="",TL$3=""),"",MAX(_xll.ciqfunctions.udf.CIQ($B10,"IQ_INC_TAX",TL$3,$I$3, $N$3, , $J$3, $K$3)/ABS(_xll.ciqfunctions.udf.CIQ($B10,"IQ_EBT",TL$3,$I$3, $N$3, , $J$3, $K$3)),0)),"")</f>
        <v/>
      </c>
      <c r="TM10" s="92" t="str">
        <f>IFERROR(IF(OR($B10="",TM$3=""),"",_xll.ciqfunctions.udf.CIQ($B10,"IQ_TOTAL_REVENUE",TM$3,$I$3, $N$3, , $J$3, $K$3)*1000000/_xll.ciqfunctions.udf.CIQ($B10,"IQ_EMPLOYEES",TM$3,$I$3, $N$3, , $J$3, $K$3)),"")</f>
        <v/>
      </c>
      <c r="TN10" s="93" t="str">
        <f>IFERROR(IF(OR($B10="",TN$3=""),"",_xll.ciqfunctions.udf.CIQ($B10,"IQ_TOTAL_REVENUE",TN$3,$I$3, $N$3, , $J$3, $K$3)*1000000/_xll.ciqfunctions.udf.CIQ($B10,"IQ_EMPLOYEES",TN$3,$I$3, $N$3, , $J$3, $K$3)),"")</f>
        <v/>
      </c>
      <c r="TO10" s="93" t="str">
        <f>IFERROR(IF(OR($B10="",TO$3=""),"",_xll.ciqfunctions.udf.CIQ($B10,"IQ_TOTAL_REVENUE",TO$3,$I$3, $N$3, , $J$3, $K$3)*1000000/_xll.ciqfunctions.udf.CIQ($B10,"IQ_EMPLOYEES",TO$3,$I$3, $N$3, , $J$3, $K$3)),"")</f>
        <v/>
      </c>
      <c r="TP10" s="93" t="str">
        <f>IFERROR(IF(OR($B10="",TP$3=""),"",_xll.ciqfunctions.udf.CIQ($B10,"IQ_TOTAL_REVENUE",TP$3,$I$3, $N$3, , $J$3, $K$3)*1000000/_xll.ciqfunctions.udf.CIQ($B10,"IQ_EMPLOYEES",TP$3,$I$3, $N$3, , $J$3, $K$3)),"")</f>
        <v/>
      </c>
      <c r="TQ10" s="93" t="str">
        <f>IFERROR(IF(OR($B10="",TQ$3=""),"",_xll.ciqfunctions.udf.CIQ($B10,"IQ_TOTAL_REVENUE",TQ$3,$I$3, $N$3, , $J$3, $K$3)*1000000/_xll.ciqfunctions.udf.CIQ($B10,"IQ_EMPLOYEES",TQ$3,$I$3, $N$3, , $J$3, $K$3)),"")</f>
        <v/>
      </c>
      <c r="TR10" s="93" t="str">
        <f>IFERROR(IF(OR($B10="",TR$3=""),"",_xll.ciqfunctions.udf.CIQ($B10,"IQ_TOTAL_REVENUE",TR$3,$I$3, $N$3, , $J$3, $K$3)*1000000/_xll.ciqfunctions.udf.CIQ($B10,"IQ_EMPLOYEES",TR$3,$I$3, $N$3, , $J$3, $K$3)),"")</f>
        <v/>
      </c>
      <c r="TS10" s="93" t="str">
        <f>IFERROR(IF(OR($B10="",TS$3=""),"",_xll.ciqfunctions.udf.CIQ($B10,"IQ_TOTAL_REVENUE",TS$3,$I$3, $N$3, , $J$3, $K$3)*1000000/_xll.ciqfunctions.udf.CIQ($B10,"IQ_EMPLOYEES",TS$3,$I$3, $N$3, , $J$3, $K$3)),"")</f>
        <v/>
      </c>
      <c r="TT10" s="93" t="str">
        <f>IFERROR(IF(OR($B10="",TT$3=""),"",_xll.ciqfunctions.udf.CIQ($B10,"IQ_TOTAL_REVENUE",TT$3,$I$3, $N$3, , $J$3, $K$3)*1000000/_xll.ciqfunctions.udf.CIQ($B10,"IQ_EMPLOYEES",TT$3,$I$3, $N$3, , $J$3, $K$3)),"")</f>
        <v/>
      </c>
      <c r="TU10" s="93" t="str">
        <f>IFERROR(IF(OR($B10="",TU$3=""),"",_xll.ciqfunctions.udf.CIQ($B10,"IQ_TOTAL_REVENUE",TU$3,$I$3, $N$3, , $J$3, $K$3)*1000000/_xll.ciqfunctions.udf.CIQ($B10,"IQ_EMPLOYEES",TU$3,$I$3, $N$3, , $J$3, $K$3)),"")</f>
        <v/>
      </c>
      <c r="TV10" s="93" t="str">
        <f>IFERROR(IF(OR($B10="",TV$3=""),"",_xll.ciqfunctions.udf.CIQ($B10,"IQ_TOTAL_REVENUE",TV$3,$I$3, $N$3, , $J$3, $K$3)*1000000/_xll.ciqfunctions.udf.CIQ($B10,"IQ_EMPLOYEES",TV$3,$I$3, $N$3, , $J$3, $K$3)),"")</f>
        <v/>
      </c>
      <c r="TW10" s="93" t="str">
        <f>IFERROR(IF(OR($B10="",TW$3=""),"",_xll.ciqfunctions.udf.CIQ($B10,"IQ_TOTAL_REVENUE",TW$3,$I$3, $N$3, , $J$3, $K$3)*1000000/_xll.ciqfunctions.udf.CIQ($B10,"IQ_EMPLOYEES",TW$3,$I$3, $N$3, , $J$3, $K$3)),"")</f>
        <v/>
      </c>
      <c r="TX10" s="93" t="str">
        <f>IFERROR(IF(OR($B10="",TX$3=""),"",_xll.ciqfunctions.udf.CIQ($B10,"IQ_TOTAL_REVENUE",TX$3,$I$3, $N$3, , $J$3, $K$3)*1000000/_xll.ciqfunctions.udf.CIQ($B10,"IQ_EMPLOYEES",TX$3,$I$3, $N$3, , $J$3, $K$3)),"")</f>
        <v/>
      </c>
      <c r="TY10" s="93" t="str">
        <f>IFERROR(IF(OR($B10="",TY$3=""),"",_xll.ciqfunctions.udf.CIQ($B10,"IQ_TOTAL_REVENUE",TY$3,$I$3, $N$3, , $J$3, $K$3)*1000000/_xll.ciqfunctions.udf.CIQ($B10,"IQ_EMPLOYEES",TY$3,$I$3, $N$3, , $J$3, $K$3)),"")</f>
        <v/>
      </c>
      <c r="TZ10" s="93" t="str">
        <f>IFERROR(IF(OR($B10="",TZ$3=""),"",_xll.ciqfunctions.udf.CIQ($B10,"IQ_TOTAL_REVENUE",TZ$3,$I$3, $N$3, , $J$3, $K$3)*1000000/_xll.ciqfunctions.udf.CIQ($B10,"IQ_EMPLOYEES",TZ$3,$I$3, $N$3, , $J$3, $K$3)),"")</f>
        <v/>
      </c>
      <c r="UA10" s="93" t="str">
        <f>IFERROR(IF(OR($B10="",UA$3=""),"",_xll.ciqfunctions.udf.CIQ($B10,"IQ_TOTAL_REVENUE",UA$3,$I$3, $N$3, , $J$3, $K$3)*1000000/_xll.ciqfunctions.udf.CIQ($B10,"IQ_EMPLOYEES",UA$3,$I$3, $N$3, , $J$3, $K$3)),"")</f>
        <v/>
      </c>
      <c r="UB10" s="93" t="str">
        <f>IFERROR(IF(OR($B10="",UB$3=""),"",_xll.ciqfunctions.udf.CIQ($B10,"IQ_TOTAL_REVENUE",UB$3,$I$3, $N$3, , $J$3, $K$3)*1000000/_xll.ciqfunctions.udf.CIQ($B10,"IQ_EMPLOYEES",UB$3,$I$3, $N$3, , $J$3, $K$3)),"")</f>
        <v/>
      </c>
      <c r="UC10" s="93" t="str">
        <f>IFERROR(IF(OR($B10="",UC$3=""),"",_xll.ciqfunctions.udf.CIQ($B10,"IQ_TOTAL_REVENUE",UC$3,$I$3, $N$3, , $J$3, $K$3)*1000000/_xll.ciqfunctions.udf.CIQ($B10,"IQ_EMPLOYEES",UC$3,$I$3, $N$3, , $J$3, $K$3)),"")</f>
        <v/>
      </c>
      <c r="UD10" s="93" t="str">
        <f>IFERROR(IF(OR($B10="",UD$3=""),"",_xll.ciqfunctions.udf.CIQ($B10,"IQ_TOTAL_REVENUE",UD$3,$I$3, $N$3, , $J$3, $K$3)*1000000/_xll.ciqfunctions.udf.CIQ($B10,"IQ_EMPLOYEES",UD$3,$I$3, $N$3, , $J$3, $K$3)),"")</f>
        <v/>
      </c>
      <c r="UE10" s="93" t="str">
        <f>IFERROR(IF(OR($B10="",UE$3=""),"",_xll.ciqfunctions.udf.CIQ($B10,"IQ_TOTAL_REVENUE",UE$3,$I$3, $N$3, , $J$3, $K$3)*1000000/_xll.ciqfunctions.udf.CIQ($B10,"IQ_EMPLOYEES",UE$3,$I$3, $N$3, , $J$3, $K$3)),"")</f>
        <v/>
      </c>
      <c r="UF10" s="94" t="str">
        <f>IFERROR(IF(OR($B10="",UF$3=""),"",_xll.ciqfunctions.udf.CIQ($B10,"IQ_TOTAL_REVENUE",UF$3,$I$3, $N$3, , $J$3, $K$3)*1000000/_xll.ciqfunctions.udf.CIQ($B10,"IQ_EMPLOYEES",UF$3,$I$3, $N$3, , $J$3, $K$3)),"")</f>
        <v/>
      </c>
      <c r="UG10" s="92" t="str">
        <f>IFERROR(IF(OR($B10="",UG$3=""),"",(_xll.ciqfunctions.udf.CIQ($B10,"IQ_TOTAL_REVENUE",UG$3,$I$3, $N$3, , $J$3, $K$3)-_xll.ciqfunctions.udf.CIQ($B10,"IQ_COGS",UG$3,$I$3, $N$3, , $J$3, $K$3)-_xll.ciqfunctions.udf.CIQ($B10,"IQ_EBIT",UG$3,$I$3, $N$3, , $J$3, $K$3))*1000000/_xll.ciqfunctions.udf.CIQ($B10,"IQ_EMPLOYEES",UG$3,$I$3, $N$3, , $J$3, $K$3)),"")</f>
        <v/>
      </c>
      <c r="UH10" s="93" t="str">
        <f>IFERROR(IF(OR($B10="",UH$3=""),"",(_xll.ciqfunctions.udf.CIQ($B10,"IQ_TOTAL_REVENUE",UH$3,$I$3, $N$3, , $J$3, $K$3)-_xll.ciqfunctions.udf.CIQ($B10,"IQ_COGS",UH$3,$I$3, $N$3, , $J$3, $K$3)-_xll.ciqfunctions.udf.CIQ($B10,"IQ_EBIT",UH$3,$I$3, $N$3, , $J$3, $K$3))*1000000/_xll.ciqfunctions.udf.CIQ($B10,"IQ_EMPLOYEES",UH$3,$I$3, $N$3, , $J$3, $K$3)),"")</f>
        <v/>
      </c>
      <c r="UI10" s="93" t="str">
        <f>IFERROR(IF(OR($B10="",UI$3=""),"",(_xll.ciqfunctions.udf.CIQ($B10,"IQ_TOTAL_REVENUE",UI$3,$I$3, $N$3, , $J$3, $K$3)-_xll.ciqfunctions.udf.CIQ($B10,"IQ_COGS",UI$3,$I$3, $N$3, , $J$3, $K$3)-_xll.ciqfunctions.udf.CIQ($B10,"IQ_EBIT",UI$3,$I$3, $N$3, , $J$3, $K$3))*1000000/_xll.ciqfunctions.udf.CIQ($B10,"IQ_EMPLOYEES",UI$3,$I$3, $N$3, , $J$3, $K$3)),"")</f>
        <v/>
      </c>
      <c r="UJ10" s="93" t="str">
        <f>IFERROR(IF(OR($B10="",UJ$3=""),"",(_xll.ciqfunctions.udf.CIQ($B10,"IQ_TOTAL_REVENUE",UJ$3,$I$3, $N$3, , $J$3, $K$3)-_xll.ciqfunctions.udf.CIQ($B10,"IQ_COGS",UJ$3,$I$3, $N$3, , $J$3, $K$3)-_xll.ciqfunctions.udf.CIQ($B10,"IQ_EBIT",UJ$3,$I$3, $N$3, , $J$3, $K$3))*1000000/_xll.ciqfunctions.udf.CIQ($B10,"IQ_EMPLOYEES",UJ$3,$I$3, $N$3, , $J$3, $K$3)),"")</f>
        <v/>
      </c>
      <c r="UK10" s="93" t="str">
        <f>IFERROR(IF(OR($B10="",UK$3=""),"",(_xll.ciqfunctions.udf.CIQ($B10,"IQ_TOTAL_REVENUE",UK$3,$I$3, $N$3, , $J$3, $K$3)-_xll.ciqfunctions.udf.CIQ($B10,"IQ_COGS",UK$3,$I$3, $N$3, , $J$3, $K$3)-_xll.ciqfunctions.udf.CIQ($B10,"IQ_EBIT",UK$3,$I$3, $N$3, , $J$3, $K$3))*1000000/_xll.ciqfunctions.udf.CIQ($B10,"IQ_EMPLOYEES",UK$3,$I$3, $N$3, , $J$3, $K$3)),"")</f>
        <v/>
      </c>
      <c r="UL10" s="93" t="str">
        <f>IFERROR(IF(OR($B10="",UL$3=""),"",(_xll.ciqfunctions.udf.CIQ($B10,"IQ_TOTAL_REVENUE",UL$3,$I$3, $N$3, , $J$3, $K$3)-_xll.ciqfunctions.udf.CIQ($B10,"IQ_COGS",UL$3,$I$3, $N$3, , $J$3, $K$3)-_xll.ciqfunctions.udf.CIQ($B10,"IQ_EBIT",UL$3,$I$3, $N$3, , $J$3, $K$3))*1000000/_xll.ciqfunctions.udf.CIQ($B10,"IQ_EMPLOYEES",UL$3,$I$3, $N$3, , $J$3, $K$3)),"")</f>
        <v/>
      </c>
      <c r="UM10" s="93" t="str">
        <f>IFERROR(IF(OR($B10="",UM$3=""),"",(_xll.ciqfunctions.udf.CIQ($B10,"IQ_TOTAL_REVENUE",UM$3,$I$3, $N$3, , $J$3, $K$3)-_xll.ciqfunctions.udf.CIQ($B10,"IQ_COGS",UM$3,$I$3, $N$3, , $J$3, $K$3)-_xll.ciqfunctions.udf.CIQ($B10,"IQ_EBIT",UM$3,$I$3, $N$3, , $J$3, $K$3))*1000000/_xll.ciqfunctions.udf.CIQ($B10,"IQ_EMPLOYEES",UM$3,$I$3, $N$3, , $J$3, $K$3)),"")</f>
        <v/>
      </c>
      <c r="UN10" s="93" t="str">
        <f>IFERROR(IF(OR($B10="",UN$3=""),"",(_xll.ciqfunctions.udf.CIQ($B10,"IQ_TOTAL_REVENUE",UN$3,$I$3, $N$3, , $J$3, $K$3)-_xll.ciqfunctions.udf.CIQ($B10,"IQ_COGS",UN$3,$I$3, $N$3, , $J$3, $K$3)-_xll.ciqfunctions.udf.CIQ($B10,"IQ_EBIT",UN$3,$I$3, $N$3, , $J$3, $K$3))*1000000/_xll.ciqfunctions.udf.CIQ($B10,"IQ_EMPLOYEES",UN$3,$I$3, $N$3, , $J$3, $K$3)),"")</f>
        <v/>
      </c>
      <c r="UO10" s="93" t="str">
        <f>IFERROR(IF(OR($B10="",UO$3=""),"",(_xll.ciqfunctions.udf.CIQ($B10,"IQ_TOTAL_REVENUE",UO$3,$I$3, $N$3, , $J$3, $K$3)-_xll.ciqfunctions.udf.CIQ($B10,"IQ_COGS",UO$3,$I$3, $N$3, , $J$3, $K$3)-_xll.ciqfunctions.udf.CIQ($B10,"IQ_EBIT",UO$3,$I$3, $N$3, , $J$3, $K$3))*1000000/_xll.ciqfunctions.udf.CIQ($B10,"IQ_EMPLOYEES",UO$3,$I$3, $N$3, , $J$3, $K$3)),"")</f>
        <v/>
      </c>
      <c r="UP10" s="93" t="str">
        <f>IFERROR(IF(OR($B10="",UP$3=""),"",(_xll.ciqfunctions.udf.CIQ($B10,"IQ_TOTAL_REVENUE",UP$3,$I$3, $N$3, , $J$3, $K$3)-_xll.ciqfunctions.udf.CIQ($B10,"IQ_COGS",UP$3,$I$3, $N$3, , $J$3, $K$3)-_xll.ciqfunctions.udf.CIQ($B10,"IQ_EBIT",UP$3,$I$3, $N$3, , $J$3, $K$3))*1000000/_xll.ciqfunctions.udf.CIQ($B10,"IQ_EMPLOYEES",UP$3,$I$3, $N$3, , $J$3, $K$3)),"")</f>
        <v/>
      </c>
      <c r="UQ10" s="93" t="str">
        <f>IFERROR(IF(OR($B10="",UQ$3=""),"",(_xll.ciqfunctions.udf.CIQ($B10,"IQ_TOTAL_REVENUE",UQ$3,$I$3, $N$3, , $J$3, $K$3)-_xll.ciqfunctions.udf.CIQ($B10,"IQ_COGS",UQ$3,$I$3, $N$3, , $J$3, $K$3)-_xll.ciqfunctions.udf.CIQ($B10,"IQ_EBIT",UQ$3,$I$3, $N$3, , $J$3, $K$3))*1000000/_xll.ciqfunctions.udf.CIQ($B10,"IQ_EMPLOYEES",UQ$3,$I$3, $N$3, , $J$3, $K$3)),"")</f>
        <v/>
      </c>
      <c r="UR10" s="93" t="str">
        <f>IFERROR(IF(OR($B10="",UR$3=""),"",(_xll.ciqfunctions.udf.CIQ($B10,"IQ_TOTAL_REVENUE",UR$3,$I$3, $N$3, , $J$3, $K$3)-_xll.ciqfunctions.udf.CIQ($B10,"IQ_COGS",UR$3,$I$3, $N$3, , $J$3, $K$3)-_xll.ciqfunctions.udf.CIQ($B10,"IQ_EBIT",UR$3,$I$3, $N$3, , $J$3, $K$3))*1000000/_xll.ciqfunctions.udf.CIQ($B10,"IQ_EMPLOYEES",UR$3,$I$3, $N$3, , $J$3, $K$3)),"")</f>
        <v/>
      </c>
      <c r="US10" s="93" t="str">
        <f>IFERROR(IF(OR($B10="",US$3=""),"",(_xll.ciqfunctions.udf.CIQ($B10,"IQ_TOTAL_REVENUE",US$3,$I$3, $N$3, , $J$3, $K$3)-_xll.ciqfunctions.udf.CIQ($B10,"IQ_COGS",US$3,$I$3, $N$3, , $J$3, $K$3)-_xll.ciqfunctions.udf.CIQ($B10,"IQ_EBIT",US$3,$I$3, $N$3, , $J$3, $K$3))*1000000/_xll.ciqfunctions.udf.CIQ($B10,"IQ_EMPLOYEES",US$3,$I$3, $N$3, , $J$3, $K$3)),"")</f>
        <v/>
      </c>
      <c r="UT10" s="93" t="str">
        <f>IFERROR(IF(OR($B10="",UT$3=""),"",(_xll.ciqfunctions.udf.CIQ($B10,"IQ_TOTAL_REVENUE",UT$3,$I$3, $N$3, , $J$3, $K$3)-_xll.ciqfunctions.udf.CIQ($B10,"IQ_COGS",UT$3,$I$3, $N$3, , $J$3, $K$3)-_xll.ciqfunctions.udf.CIQ($B10,"IQ_EBIT",UT$3,$I$3, $N$3, , $J$3, $K$3))*1000000/_xll.ciqfunctions.udf.CIQ($B10,"IQ_EMPLOYEES",UT$3,$I$3, $N$3, , $J$3, $K$3)),"")</f>
        <v/>
      </c>
      <c r="UU10" s="93" t="str">
        <f>IFERROR(IF(OR($B10="",UU$3=""),"",(_xll.ciqfunctions.udf.CIQ($B10,"IQ_TOTAL_REVENUE",UU$3,$I$3, $N$3, , $J$3, $K$3)-_xll.ciqfunctions.udf.CIQ($B10,"IQ_COGS",UU$3,$I$3, $N$3, , $J$3, $K$3)-_xll.ciqfunctions.udf.CIQ($B10,"IQ_EBIT",UU$3,$I$3, $N$3, , $J$3, $K$3))*1000000/_xll.ciqfunctions.udf.CIQ($B10,"IQ_EMPLOYEES",UU$3,$I$3, $N$3, , $J$3, $K$3)),"")</f>
        <v/>
      </c>
      <c r="UV10" s="93" t="str">
        <f>IFERROR(IF(OR($B10="",UV$3=""),"",(_xll.ciqfunctions.udf.CIQ($B10,"IQ_TOTAL_REVENUE",UV$3,$I$3, $N$3, , $J$3, $K$3)-_xll.ciqfunctions.udf.CIQ($B10,"IQ_COGS",UV$3,$I$3, $N$3, , $J$3, $K$3)-_xll.ciqfunctions.udf.CIQ($B10,"IQ_EBIT",UV$3,$I$3, $N$3, , $J$3, $K$3))*1000000/_xll.ciqfunctions.udf.CIQ($B10,"IQ_EMPLOYEES",UV$3,$I$3, $N$3, , $J$3, $K$3)),"")</f>
        <v/>
      </c>
      <c r="UW10" s="93" t="str">
        <f>IFERROR(IF(OR($B10="",UW$3=""),"",(_xll.ciqfunctions.udf.CIQ($B10,"IQ_TOTAL_REVENUE",UW$3,$I$3, $N$3, , $J$3, $K$3)-_xll.ciqfunctions.udf.CIQ($B10,"IQ_COGS",UW$3,$I$3, $N$3, , $J$3, $K$3)-_xll.ciqfunctions.udf.CIQ($B10,"IQ_EBIT",UW$3,$I$3, $N$3, , $J$3, $K$3))*1000000/_xll.ciqfunctions.udf.CIQ($B10,"IQ_EMPLOYEES",UW$3,$I$3, $N$3, , $J$3, $K$3)),"")</f>
        <v/>
      </c>
      <c r="UX10" s="93" t="str">
        <f>IFERROR(IF(OR($B10="",UX$3=""),"",(_xll.ciqfunctions.udf.CIQ($B10,"IQ_TOTAL_REVENUE",UX$3,$I$3, $N$3, , $J$3, $K$3)-_xll.ciqfunctions.udf.CIQ($B10,"IQ_COGS",UX$3,$I$3, $N$3, , $J$3, $K$3)-_xll.ciqfunctions.udf.CIQ($B10,"IQ_EBIT",UX$3,$I$3, $N$3, , $J$3, $K$3))*1000000/_xll.ciqfunctions.udf.CIQ($B10,"IQ_EMPLOYEES",UX$3,$I$3, $N$3, , $J$3, $K$3)),"")</f>
        <v/>
      </c>
      <c r="UY10" s="93" t="str">
        <f>IFERROR(IF(OR($B10="",UY$3=""),"",(_xll.ciqfunctions.udf.CIQ($B10,"IQ_TOTAL_REVENUE",UY$3,$I$3, $N$3, , $J$3, $K$3)-_xll.ciqfunctions.udf.CIQ($B10,"IQ_COGS",UY$3,$I$3, $N$3, , $J$3, $K$3)-_xll.ciqfunctions.udf.CIQ($B10,"IQ_EBIT",UY$3,$I$3, $N$3, , $J$3, $K$3))*1000000/_xll.ciqfunctions.udf.CIQ($B10,"IQ_EMPLOYEES",UY$3,$I$3, $N$3, , $J$3, $K$3)),"")</f>
        <v/>
      </c>
      <c r="UZ10" s="94" t="str">
        <f>IFERROR(IF(OR($B10="",UZ$3=""),"",(_xll.ciqfunctions.udf.CIQ($B10,"IQ_TOTAL_REVENUE",UZ$3,$I$3, $N$3, , $J$3, $K$3)-_xll.ciqfunctions.udf.CIQ($B10,"IQ_COGS",UZ$3,$I$3, $N$3, , $J$3, $K$3)-_xll.ciqfunctions.udf.CIQ($B10,"IQ_EBIT",UZ$3,$I$3, $N$3, , $J$3, $K$3))*1000000/_xll.ciqfunctions.udf.CIQ($B10,"IQ_EMPLOYEES",UZ$3,$I$3, $N$3, , $J$3, $K$3)),"")</f>
        <v/>
      </c>
      <c r="VA10" s="92" t="str">
        <f>IFERROR(IF(OR($B10="",VA$3=""),"",_xll.ciqfunctions.udf.CIQ($B10,"IQ_SGA_SUPPL",VA$3,$I$3, $N$3, , $J$3, $K$3)*1000000/_xll.ciqfunctions.udf.CIQ($B10,"IQ_EMPLOYEES",VA$3,$I$3, $N$3, , $J$3, $K$3)),"")</f>
        <v/>
      </c>
      <c r="VB10" s="93" t="str">
        <f>IFERROR(IF(OR($B10="",VB$3=""),"",_xll.ciqfunctions.udf.CIQ($B10,"IQ_SGA_SUPPL",VB$3,$I$3, $N$3, , $J$3, $K$3)*1000000/_xll.ciqfunctions.udf.CIQ($B10,"IQ_EMPLOYEES",VB$3,$I$3, $N$3, , $J$3, $K$3)),"")</f>
        <v/>
      </c>
      <c r="VC10" s="93" t="str">
        <f>IFERROR(IF(OR($B10="",VC$3=""),"",_xll.ciqfunctions.udf.CIQ($B10,"IQ_SGA_SUPPL",VC$3,$I$3, $N$3, , $J$3, $K$3)*1000000/_xll.ciqfunctions.udf.CIQ($B10,"IQ_EMPLOYEES",VC$3,$I$3, $N$3, , $J$3, $K$3)),"")</f>
        <v/>
      </c>
      <c r="VD10" s="93" t="str">
        <f>IFERROR(IF(OR($B10="",VD$3=""),"",_xll.ciqfunctions.udf.CIQ($B10,"IQ_SGA_SUPPL",VD$3,$I$3, $N$3, , $J$3, $K$3)*1000000/_xll.ciqfunctions.udf.CIQ($B10,"IQ_EMPLOYEES",VD$3,$I$3, $N$3, , $J$3, $K$3)),"")</f>
        <v/>
      </c>
      <c r="VE10" s="93" t="str">
        <f>IFERROR(IF(OR($B10="",VE$3=""),"",_xll.ciqfunctions.udf.CIQ($B10,"IQ_SGA_SUPPL",VE$3,$I$3, $N$3, , $J$3, $K$3)*1000000/_xll.ciqfunctions.udf.CIQ($B10,"IQ_EMPLOYEES",VE$3,$I$3, $N$3, , $J$3, $K$3)),"")</f>
        <v/>
      </c>
      <c r="VF10" s="93" t="str">
        <f>IFERROR(IF(OR($B10="",VF$3=""),"",_xll.ciqfunctions.udf.CIQ($B10,"IQ_SGA_SUPPL",VF$3,$I$3, $N$3, , $J$3, $K$3)*1000000/_xll.ciqfunctions.udf.CIQ($B10,"IQ_EMPLOYEES",VF$3,$I$3, $N$3, , $J$3, $K$3)),"")</f>
        <v/>
      </c>
      <c r="VG10" s="93" t="str">
        <f>IFERROR(IF(OR($B10="",VG$3=""),"",_xll.ciqfunctions.udf.CIQ($B10,"IQ_SGA_SUPPL",VG$3,$I$3, $N$3, , $J$3, $K$3)*1000000/_xll.ciqfunctions.udf.CIQ($B10,"IQ_EMPLOYEES",VG$3,$I$3, $N$3, , $J$3, $K$3)),"")</f>
        <v/>
      </c>
      <c r="VH10" s="93" t="str">
        <f>IFERROR(IF(OR($B10="",VH$3=""),"",_xll.ciqfunctions.udf.CIQ($B10,"IQ_SGA_SUPPL",VH$3,$I$3, $N$3, , $J$3, $K$3)*1000000/_xll.ciqfunctions.udf.CIQ($B10,"IQ_EMPLOYEES",VH$3,$I$3, $N$3, , $J$3, $K$3)),"")</f>
        <v/>
      </c>
      <c r="VI10" s="93" t="str">
        <f>IFERROR(IF(OR($B10="",VI$3=""),"",_xll.ciqfunctions.udf.CIQ($B10,"IQ_SGA_SUPPL",VI$3,$I$3, $N$3, , $J$3, $K$3)*1000000/_xll.ciqfunctions.udf.CIQ($B10,"IQ_EMPLOYEES",VI$3,$I$3, $N$3, , $J$3, $K$3)),"")</f>
        <v/>
      </c>
      <c r="VJ10" s="93" t="str">
        <f>IFERROR(IF(OR($B10="",VJ$3=""),"",_xll.ciqfunctions.udf.CIQ($B10,"IQ_SGA_SUPPL",VJ$3,$I$3, $N$3, , $J$3, $K$3)*1000000/_xll.ciqfunctions.udf.CIQ($B10,"IQ_EMPLOYEES",VJ$3,$I$3, $N$3, , $J$3, $K$3)),"")</f>
        <v/>
      </c>
      <c r="VK10" s="93" t="str">
        <f>IFERROR(IF(OR($B10="",VK$3=""),"",_xll.ciqfunctions.udf.CIQ($B10,"IQ_SGA_SUPPL",VK$3,$I$3, $N$3, , $J$3, $K$3)*1000000/_xll.ciqfunctions.udf.CIQ($B10,"IQ_EMPLOYEES",VK$3,$I$3, $N$3, , $J$3, $K$3)),"")</f>
        <v/>
      </c>
      <c r="VL10" s="93" t="str">
        <f>IFERROR(IF(OR($B10="",VL$3=""),"",_xll.ciqfunctions.udf.CIQ($B10,"IQ_SGA_SUPPL",VL$3,$I$3, $N$3, , $J$3, $K$3)*1000000/_xll.ciqfunctions.udf.CIQ($B10,"IQ_EMPLOYEES",VL$3,$I$3, $N$3, , $J$3, $K$3)),"")</f>
        <v/>
      </c>
      <c r="VM10" s="93" t="str">
        <f>IFERROR(IF(OR($B10="",VM$3=""),"",_xll.ciqfunctions.udf.CIQ($B10,"IQ_SGA_SUPPL",VM$3,$I$3, $N$3, , $J$3, $K$3)*1000000/_xll.ciqfunctions.udf.CIQ($B10,"IQ_EMPLOYEES",VM$3,$I$3, $N$3, , $J$3, $K$3)),"")</f>
        <v/>
      </c>
      <c r="VN10" s="93" t="str">
        <f>IFERROR(IF(OR($B10="",VN$3=""),"",_xll.ciqfunctions.udf.CIQ($B10,"IQ_SGA_SUPPL",VN$3,$I$3, $N$3, , $J$3, $K$3)*1000000/_xll.ciqfunctions.udf.CIQ($B10,"IQ_EMPLOYEES",VN$3,$I$3, $N$3, , $J$3, $K$3)),"")</f>
        <v/>
      </c>
      <c r="VO10" s="93" t="str">
        <f>IFERROR(IF(OR($B10="",VO$3=""),"",_xll.ciqfunctions.udf.CIQ($B10,"IQ_SGA_SUPPL",VO$3,$I$3, $N$3, , $J$3, $K$3)*1000000/_xll.ciqfunctions.udf.CIQ($B10,"IQ_EMPLOYEES",VO$3,$I$3, $N$3, , $J$3, $K$3)),"")</f>
        <v/>
      </c>
      <c r="VP10" s="93" t="str">
        <f>IFERROR(IF(OR($B10="",VP$3=""),"",_xll.ciqfunctions.udf.CIQ($B10,"IQ_SGA_SUPPL",VP$3,$I$3, $N$3, , $J$3, $K$3)*1000000/_xll.ciqfunctions.udf.CIQ($B10,"IQ_EMPLOYEES",VP$3,$I$3, $N$3, , $J$3, $K$3)),"")</f>
        <v/>
      </c>
      <c r="VQ10" s="93" t="str">
        <f>IFERROR(IF(OR($B10="",VQ$3=""),"",_xll.ciqfunctions.udf.CIQ($B10,"IQ_SGA_SUPPL",VQ$3,$I$3, $N$3, , $J$3, $K$3)*1000000/_xll.ciqfunctions.udf.CIQ($B10,"IQ_EMPLOYEES",VQ$3,$I$3, $N$3, , $J$3, $K$3)),"")</f>
        <v/>
      </c>
      <c r="VR10" s="93" t="str">
        <f>IFERROR(IF(OR($B10="",VR$3=""),"",_xll.ciqfunctions.udf.CIQ($B10,"IQ_SGA_SUPPL",VR$3,$I$3, $N$3, , $J$3, $K$3)*1000000/_xll.ciqfunctions.udf.CIQ($B10,"IQ_EMPLOYEES",VR$3,$I$3, $N$3, , $J$3, $K$3)),"")</f>
        <v/>
      </c>
      <c r="VS10" s="93" t="str">
        <f>IFERROR(IF(OR($B10="",VS$3=""),"",_xll.ciqfunctions.udf.CIQ($B10,"IQ_SGA_SUPPL",VS$3,$I$3, $N$3, , $J$3, $K$3)*1000000/_xll.ciqfunctions.udf.CIQ($B10,"IQ_EMPLOYEES",VS$3,$I$3, $N$3, , $J$3, $K$3)),"")</f>
        <v/>
      </c>
      <c r="VT10" s="94" t="str">
        <f>IFERROR(IF(OR($B10="",VT$3=""),"",_xll.ciqfunctions.udf.CIQ($B10,"IQ_SGA_SUPPL",VT$3,$I$3, $N$3, , $J$3, $K$3)*1000000/_xll.ciqfunctions.udf.CIQ($B10,"IQ_EMPLOYEES",VT$3,$I$3, $N$3, , $J$3, $K$3)),"")</f>
        <v/>
      </c>
      <c r="VU10" s="92" t="str">
        <f>IFERROR(IF(OR($B10="",VU$3=""),"",_xll.ciqfunctions.udf.CIQ($B10,"IQ_RD_EXP",VU$3,$I$3, $N$3, , $J$3, $K$3)*1000000/_xll.ciqfunctions.udf.CIQ($B10,"IQ_EMPLOYEES",VU$3,$I$3, $N$3, , $J$3, $K$3)),"")</f>
        <v/>
      </c>
      <c r="VV10" s="93" t="str">
        <f>IFERROR(IF(OR($B10="",VV$3=""),"",_xll.ciqfunctions.udf.CIQ($B10,"IQ_RD_EXP",VV$3,$I$3, $N$3, , $J$3, $K$3)*1000000/_xll.ciqfunctions.udf.CIQ($B10,"IQ_EMPLOYEES",VV$3,$I$3, $N$3, , $J$3, $K$3)),"")</f>
        <v/>
      </c>
      <c r="VW10" s="93" t="str">
        <f>IFERROR(IF(OR($B10="",VW$3=""),"",_xll.ciqfunctions.udf.CIQ($B10,"IQ_RD_EXP",VW$3,$I$3, $N$3, , $J$3, $K$3)*1000000/_xll.ciqfunctions.udf.CIQ($B10,"IQ_EMPLOYEES",VW$3,$I$3, $N$3, , $J$3, $K$3)),"")</f>
        <v/>
      </c>
      <c r="VX10" s="93" t="str">
        <f>IFERROR(IF(OR($B10="",VX$3=""),"",_xll.ciqfunctions.udf.CIQ($B10,"IQ_RD_EXP",VX$3,$I$3, $N$3, , $J$3, $K$3)*1000000/_xll.ciqfunctions.udf.CIQ($B10,"IQ_EMPLOYEES",VX$3,$I$3, $N$3, , $J$3, $K$3)),"")</f>
        <v/>
      </c>
      <c r="VY10" s="93" t="str">
        <f>IFERROR(IF(OR($B10="",VY$3=""),"",_xll.ciqfunctions.udf.CIQ($B10,"IQ_RD_EXP",VY$3,$I$3, $N$3, , $J$3, $K$3)*1000000/_xll.ciqfunctions.udf.CIQ($B10,"IQ_EMPLOYEES",VY$3,$I$3, $N$3, , $J$3, $K$3)),"")</f>
        <v/>
      </c>
      <c r="VZ10" s="93" t="str">
        <f>IFERROR(IF(OR($B10="",VZ$3=""),"",_xll.ciqfunctions.udf.CIQ($B10,"IQ_RD_EXP",VZ$3,$I$3, $N$3, , $J$3, $K$3)*1000000/_xll.ciqfunctions.udf.CIQ($B10,"IQ_EMPLOYEES",VZ$3,$I$3, $N$3, , $J$3, $K$3)),"")</f>
        <v/>
      </c>
      <c r="WA10" s="93" t="str">
        <f>IFERROR(IF(OR($B10="",WA$3=""),"",_xll.ciqfunctions.udf.CIQ($B10,"IQ_RD_EXP",WA$3,$I$3, $N$3, , $J$3, $K$3)*1000000/_xll.ciqfunctions.udf.CIQ($B10,"IQ_EMPLOYEES",WA$3,$I$3, $N$3, , $J$3, $K$3)),"")</f>
        <v/>
      </c>
      <c r="WB10" s="93" t="str">
        <f>IFERROR(IF(OR($B10="",WB$3=""),"",_xll.ciqfunctions.udf.CIQ($B10,"IQ_RD_EXP",WB$3,$I$3, $N$3, , $J$3, $K$3)*1000000/_xll.ciqfunctions.udf.CIQ($B10,"IQ_EMPLOYEES",WB$3,$I$3, $N$3, , $J$3, $K$3)),"")</f>
        <v/>
      </c>
      <c r="WC10" s="93" t="str">
        <f>IFERROR(IF(OR($B10="",WC$3=""),"",_xll.ciqfunctions.udf.CIQ($B10,"IQ_RD_EXP",WC$3,$I$3, $N$3, , $J$3, $K$3)*1000000/_xll.ciqfunctions.udf.CIQ($B10,"IQ_EMPLOYEES",WC$3,$I$3, $N$3, , $J$3, $K$3)),"")</f>
        <v/>
      </c>
      <c r="WD10" s="93" t="str">
        <f>IFERROR(IF(OR($B10="",WD$3=""),"",_xll.ciqfunctions.udf.CIQ($B10,"IQ_RD_EXP",WD$3,$I$3, $N$3, , $J$3, $K$3)*1000000/_xll.ciqfunctions.udf.CIQ($B10,"IQ_EMPLOYEES",WD$3,$I$3, $N$3, , $J$3, $K$3)),"")</f>
        <v/>
      </c>
      <c r="WE10" s="93" t="str">
        <f>IFERROR(IF(OR($B10="",WE$3=""),"",_xll.ciqfunctions.udf.CIQ($B10,"IQ_RD_EXP",WE$3,$I$3, $N$3, , $J$3, $K$3)*1000000/_xll.ciqfunctions.udf.CIQ($B10,"IQ_EMPLOYEES",WE$3,$I$3, $N$3, , $J$3, $K$3)),"")</f>
        <v/>
      </c>
      <c r="WF10" s="93" t="str">
        <f>IFERROR(IF(OR($B10="",WF$3=""),"",_xll.ciqfunctions.udf.CIQ($B10,"IQ_RD_EXP",WF$3,$I$3, $N$3, , $J$3, $K$3)*1000000/_xll.ciqfunctions.udf.CIQ($B10,"IQ_EMPLOYEES",WF$3,$I$3, $N$3, , $J$3, $K$3)),"")</f>
        <v/>
      </c>
      <c r="WG10" s="93" t="str">
        <f>IFERROR(IF(OR($B10="",WG$3=""),"",_xll.ciqfunctions.udf.CIQ($B10,"IQ_RD_EXP",WG$3,$I$3, $N$3, , $J$3, $K$3)*1000000/_xll.ciqfunctions.udf.CIQ($B10,"IQ_EMPLOYEES",WG$3,$I$3, $N$3, , $J$3, $K$3)),"")</f>
        <v/>
      </c>
      <c r="WH10" s="93" t="str">
        <f>IFERROR(IF(OR($B10="",WH$3=""),"",_xll.ciqfunctions.udf.CIQ($B10,"IQ_RD_EXP",WH$3,$I$3, $N$3, , $J$3, $K$3)*1000000/_xll.ciqfunctions.udf.CIQ($B10,"IQ_EMPLOYEES",WH$3,$I$3, $N$3, , $J$3, $K$3)),"")</f>
        <v/>
      </c>
      <c r="WI10" s="93" t="str">
        <f>IFERROR(IF(OR($B10="",WI$3=""),"",_xll.ciqfunctions.udf.CIQ($B10,"IQ_RD_EXP",WI$3,$I$3, $N$3, , $J$3, $K$3)*1000000/_xll.ciqfunctions.udf.CIQ($B10,"IQ_EMPLOYEES",WI$3,$I$3, $N$3, , $J$3, $K$3)),"")</f>
        <v/>
      </c>
      <c r="WJ10" s="93" t="str">
        <f>IFERROR(IF(OR($B10="",WJ$3=""),"",_xll.ciqfunctions.udf.CIQ($B10,"IQ_RD_EXP",WJ$3,$I$3, $N$3, , $J$3, $K$3)*1000000/_xll.ciqfunctions.udf.CIQ($B10,"IQ_EMPLOYEES",WJ$3,$I$3, $N$3, , $J$3, $K$3)),"")</f>
        <v/>
      </c>
      <c r="WK10" s="93" t="str">
        <f>IFERROR(IF(OR($B10="",WK$3=""),"",_xll.ciqfunctions.udf.CIQ($B10,"IQ_RD_EXP",WK$3,$I$3, $N$3, , $J$3, $K$3)*1000000/_xll.ciqfunctions.udf.CIQ($B10,"IQ_EMPLOYEES",WK$3,$I$3, $N$3, , $J$3, $K$3)),"")</f>
        <v/>
      </c>
      <c r="WL10" s="93" t="str">
        <f>IFERROR(IF(OR($B10="",TJ$3=""),"",_xll.ciqfunctions.udf.CIQ($B10,"IQ_RD_EXP",GH$3,,,,"USD")*1000000/_xll.ciqfunctions.udf.CIQ($B10,"IQ_EMPLOYEES",WL$3,,,,"USD")),"")</f>
        <v/>
      </c>
      <c r="WM10" s="93" t="str">
        <f>IFERROR(IF(OR($B10="",TK$3=""),"",_xll.ciqfunctions.udf.CIQ($B10,"IQ_RD_EXP",GI$3,,,,"USD")*1000000/_xll.ciqfunctions.udf.CIQ($B10,"IQ_EMPLOYEES",WM$3,,,,"USD")),"")</f>
        <v/>
      </c>
      <c r="WN10" s="94" t="str">
        <f>IFERROR(IF(OR($B10="",TL$3=""),"",_xll.ciqfunctions.udf.CIQ($B10,"IQ_RD_EXP",GJ$3,,,,"USD")*1000000/_xll.ciqfunctions.udf.CIQ($B10,"IQ_EMPLOYEES",WN$3,,,,"USD")),"")</f>
        <v/>
      </c>
      <c r="WO10" s="620" t="str">
        <f>IFERROR(IF(OR($B10="",WO$4=""),"",_xll.ciqfunctions.udf.CIQ($B10,"IQ_LASTSALEPRICE",WO$4)),"")</f>
        <v/>
      </c>
      <c r="WP10" s="620" t="str">
        <f>IFERROR(IF(OR($B10="",WP$4=""),"",_xll.ciqfunctions.udf.CIQ($B10,"IQ_LASTSALEPRICE",WP$4)),"")</f>
        <v/>
      </c>
      <c r="WQ10" s="620" t="str">
        <f>IFERROR(IF(OR($B10="",WQ$4=""),"",_xll.ciqfunctions.udf.CIQ($B10,"IQ_LASTSALEPRICE",WQ$4)),"")</f>
        <v/>
      </c>
      <c r="WR10" s="620" t="str">
        <f>IFERROR(IF(OR($B10="",WR$4=""),"",_xll.ciqfunctions.udf.CIQ($B10,"IQ_LASTSALEPRICE",WR$4)),"")</f>
        <v/>
      </c>
      <c r="WS10" s="620" t="str">
        <f>IFERROR(IF(OR($B10="",WS$4=""),"",_xll.ciqfunctions.udf.CIQ($B10,"IQ_LASTSALEPRICE",WS$4)),"")</f>
        <v/>
      </c>
      <c r="WT10" s="620" t="str">
        <f>IFERROR(IF(OR($B10="",WT$4=""),"",_xll.ciqfunctions.udf.CIQ($B10,"IQ_LASTSALEPRICE",WT$4)),"")</f>
        <v/>
      </c>
      <c r="WU10" s="620" t="str">
        <f>IFERROR(IF(OR($B10="",WU$4=""),"",_xll.ciqfunctions.udf.CIQ($B10,"IQ_LASTSALEPRICE",WU$4)),"")</f>
        <v/>
      </c>
      <c r="WV10" s="620" t="str">
        <f>IFERROR(IF(OR($B10="",WV$4=""),"",_xll.ciqfunctions.udf.CIQ($B10,"IQ_LASTSALEPRICE",WV$4)),"")</f>
        <v/>
      </c>
      <c r="WW10" s="620" t="str">
        <f>IFERROR(IF(OR($B10="",WW$4=""),"",_xll.ciqfunctions.udf.CIQ($B10,"IQ_LASTSALEPRICE",WW$4)),"")</f>
        <v/>
      </c>
      <c r="WX10" s="620" t="str">
        <f>IFERROR(IF(OR($B10="",WX$4=""),"",_xll.ciqfunctions.udf.CIQ($B10,"IQ_LASTSALEPRICE",WX$4)),"")</f>
        <v/>
      </c>
      <c r="WY10" s="620" t="str">
        <f>IFERROR(IF(OR($B10="",WY$4=""),"",_xll.ciqfunctions.udf.CIQ($B10,"IQ_LASTSALEPRICE",WY$4)),"")</f>
        <v/>
      </c>
      <c r="WZ10" s="620" t="str">
        <f>IFERROR(IF(OR($B10="",WZ$4=""),"",_xll.ciqfunctions.udf.CIQ($B10,"IQ_LASTSALEPRICE",WZ$4)),"")</f>
        <v/>
      </c>
      <c r="XA10" s="620" t="str">
        <f>IFERROR(IF(OR($B10="",XA$4=""),"",_xll.ciqfunctions.udf.CIQ($B10,"IQ_LASTSALEPRICE",XA$4)),"")</f>
        <v/>
      </c>
      <c r="XB10" s="620" t="str">
        <f>IFERROR(IF(OR($B10="",XB$4=""),"",_xll.ciqfunctions.udf.CIQ($B10,"IQ_LASTSALEPRICE",XB$4)),"")</f>
        <v/>
      </c>
      <c r="XC10" s="620" t="str">
        <f>IFERROR(IF(OR($B10="",XC$4=""),"",_xll.ciqfunctions.udf.CIQ($B10,"IQ_LASTSALEPRICE",XC$4)),"")</f>
        <v/>
      </c>
      <c r="XD10" s="620" t="str">
        <f>IFERROR(IF(OR($B10="",XD$4=""),"",_xll.ciqfunctions.udf.CIQ($B10,"IQ_LASTSALEPRICE",XD$4)),"")</f>
        <v/>
      </c>
      <c r="XE10" s="620" t="str">
        <f>IFERROR(IF(OR($B10="",XE$4=""),"",_xll.ciqfunctions.udf.CIQ($B10,"IQ_LASTSALEPRICE",XE$4)),"")</f>
        <v/>
      </c>
      <c r="XF10" s="620" t="str">
        <f>IFERROR(IF(OR($B10="",XF$4=""),"",_xll.ciqfunctions.udf.CIQ($B10,"IQ_LASTSALEPRICE",XF$4)),"")</f>
        <v/>
      </c>
      <c r="XG10" s="620" t="str">
        <f>IFERROR(IF(OR($B10="",XG$4=""),"",_xll.ciqfunctions.udf.CIQ($B10,"IQ_LASTSALEPRICE",XG$4)),"")</f>
        <v/>
      </c>
      <c r="XH10" s="620" t="str">
        <f>IFERROR(IF(OR($B10="",XH$4=""),"",_xll.ciqfunctions.udf.CIQ($B10,"IQ_LASTSALEPRICE",XH$4)),"")</f>
        <v/>
      </c>
      <c r="XI10" s="72" t="str">
        <f>IFERROR(IF(OR($B10="",XI$3=""),"",_xll.ciqfunctions.udf.CIQ($B10,"IQ_TOTAL_REV_1YR_ANN_GROWTH",XI$3,$I$3, $N$3, , $J$3, $K$3)/100),"")</f>
        <v/>
      </c>
      <c r="XJ10" s="72" t="str">
        <f>IFERROR(IF(OR($B10="",XJ$3=""),"",_xll.ciqfunctions.udf.CIQ($B10,"IQ_TOTAL_REV_1YR_ANN_GROWTH",XJ$3,$I$3, $N$3, , $J$3, $K$3)/100),"")</f>
        <v/>
      </c>
      <c r="XK10" s="72" t="str">
        <f>IFERROR(IF(OR($B10="",XK$3=""),"",_xll.ciqfunctions.udf.CIQ($B10,"IQ_TOTAL_REV_1YR_ANN_GROWTH",XK$3,$I$3, $N$3, , $J$3, $K$3)/100),"")</f>
        <v/>
      </c>
      <c r="XL10" s="72" t="str">
        <f>IFERROR(IF(OR($B10="",XL$3=""),"",_xll.ciqfunctions.udf.CIQ($B10,"IQ_TOTAL_REV_1YR_ANN_GROWTH",XL$3,$I$3, $N$3, , $J$3, $K$3)/100),"")</f>
        <v/>
      </c>
      <c r="XM10" s="72" t="str">
        <f>IFERROR(IF(OR($B10="",XM$3=""),"",_xll.ciqfunctions.udf.CIQ($B10,"IQ_TOTAL_REV_1YR_ANN_GROWTH",XM$3,$I$3, $N$3, , $J$3, $K$3)/100),"")</f>
        <v/>
      </c>
      <c r="XN10" s="72" t="str">
        <f>IFERROR(IF(OR($B10="",XN$3=""),"",_xll.ciqfunctions.udf.CIQ($B10,"IQ_TOTAL_REV_1YR_ANN_GROWTH",XN$3,$I$3, $N$3, , $J$3, $K$3)/100),"")</f>
        <v/>
      </c>
      <c r="XO10" s="72" t="str">
        <f>IFERROR(IF(OR($B10="",XO$3=""),"",_xll.ciqfunctions.udf.CIQ($B10,"IQ_TOTAL_REV_1YR_ANN_GROWTH",XO$3,$I$3, $N$3, , $J$3, $K$3)/100),"")</f>
        <v/>
      </c>
      <c r="XP10" s="72" t="str">
        <f>IFERROR(IF(OR($B10="",XP$3=""),"",_xll.ciqfunctions.udf.CIQ($B10,"IQ_TOTAL_REV_1YR_ANN_GROWTH",XP$3,$I$3, $N$3, , $J$3, $K$3)/100),"")</f>
        <v/>
      </c>
      <c r="XQ10" s="72" t="str">
        <f>IFERROR(IF(OR($B10="",XQ$3=""),"",_xll.ciqfunctions.udf.CIQ($B10,"IQ_TOTAL_REV_1YR_ANN_GROWTH",XQ$3,$I$3, $N$3, , $J$3, $K$3)/100),"")</f>
        <v/>
      </c>
      <c r="XR10" s="72" t="str">
        <f>IFERROR(IF(OR($B10="",XR$3=""),"",_xll.ciqfunctions.udf.CIQ($B10,"IQ_TOTAL_REV_1YR_ANN_GROWTH",XR$3,$I$3, $N$3, , $J$3, $K$3)/100),"")</f>
        <v/>
      </c>
      <c r="XS10" s="72" t="str">
        <f>IFERROR(IF(OR($B10="",XS$3=""),"",_xll.ciqfunctions.udf.CIQ($B10,"IQ_TOTAL_REV_1YR_ANN_GROWTH",XS$3,$I$3, $N$3, , $J$3, $K$3)/100),"")</f>
        <v/>
      </c>
      <c r="XT10" s="72" t="str">
        <f>IFERROR(IF(OR($B10="",XT$3=""),"",_xll.ciqfunctions.udf.CIQ($B10,"IQ_TOTAL_REV_1YR_ANN_GROWTH",XT$3,$I$3, $N$3, , $J$3, $K$3)/100),"")</f>
        <v/>
      </c>
      <c r="XU10" s="72" t="str">
        <f>IFERROR(IF(OR($B10="",XU$3=""),"",_xll.ciqfunctions.udf.CIQ($B10,"IQ_TOTAL_REV_1YR_ANN_GROWTH",XU$3,$I$3, $N$3, , $J$3, $K$3)/100),"")</f>
        <v/>
      </c>
      <c r="XV10" s="72" t="str">
        <f>IFERROR(IF(OR($B10="",XV$3=""),"",_xll.ciqfunctions.udf.CIQ($B10,"IQ_TOTAL_REV_1YR_ANN_GROWTH",XV$3,$I$3, $N$3, , $J$3, $K$3)/100),"")</f>
        <v/>
      </c>
      <c r="XW10" s="72" t="str">
        <f>IFERROR(IF(OR($B10="",XW$3=""),"",_xll.ciqfunctions.udf.CIQ($B10,"IQ_TOTAL_REV_1YR_ANN_GROWTH",XW$3,$I$3, $N$3, , $J$3, $K$3)/100),"")</f>
        <v/>
      </c>
      <c r="XX10" s="72" t="str">
        <f>IFERROR(IF(OR($B10="",XX$3=""),"",_xll.ciqfunctions.udf.CIQ($B10,"IQ_TOTAL_REV_1YR_ANN_GROWTH",XX$3,$I$3, $N$3, , $J$3, $K$3)/100),"")</f>
        <v/>
      </c>
      <c r="XY10" s="72" t="str">
        <f>IFERROR(IF(OR($B10="",XY$3=""),"",_xll.ciqfunctions.udf.CIQ($B10,"IQ_TOTAL_REV_1YR_ANN_GROWTH",XY$3,$I$3, $N$3, , $J$3, $K$3)/100),"")</f>
        <v/>
      </c>
      <c r="XZ10" s="72" t="str">
        <f>IFERROR(IF(OR($B10="",XZ$3=""),"",_xll.ciqfunctions.udf.CIQ($B10,"IQ_TOTAL_REV_1YR_ANN_GROWTH",XZ$3,$I$3, $N$3, , $J$3, $K$3)/100),"")</f>
        <v/>
      </c>
      <c r="YA10" s="72" t="str">
        <f>IFERROR(IF(OR($B10="",YA$3=""),"",_xll.ciqfunctions.udf.CIQ($B10,"IQ_TOTAL_REV_1YR_ANN_GROWTH",YA$3,$I$3, $N$3, , $J$3, $K$3)/100),"")</f>
        <v/>
      </c>
      <c r="YB10" s="72" t="str">
        <f>IFERROR(IF(OR($B10="",YB$3=""),"",_xll.ciqfunctions.udf.CIQ($B10,"IQ_TOTAL_REV_1YR_ANN_GROWTH",YB$3,$I$3, $N$3, , $J$3, $K$3)/100),"")</f>
        <v/>
      </c>
      <c r="YC10" s="627" t="str">
        <f>IFERROR(IF(OR($B10="",YC$4=""),"",_xll.ciqfunctions.udf.CIQ($B10,"IQ_TEV",YC$4)),"")</f>
        <v/>
      </c>
      <c r="YD10" s="627" t="str">
        <f>IFERROR(IF(OR($B10="",YD$4=""),"",_xll.ciqfunctions.udf.CIQ($B10,"IQ_TEV",YD$4)),"")</f>
        <v/>
      </c>
      <c r="YE10" s="627" t="str">
        <f>IFERROR(IF(OR($B10="",YE$4=""),"",_xll.ciqfunctions.udf.CIQ($B10,"IQ_TEV",YE$4)),"")</f>
        <v/>
      </c>
      <c r="YF10" s="627" t="str">
        <f>IFERROR(IF(OR($B10="",YF$4=""),"",_xll.ciqfunctions.udf.CIQ($B10,"IQ_TEV",YF$4)),"")</f>
        <v/>
      </c>
      <c r="YG10" s="627" t="str">
        <f>IFERROR(IF(OR($B10="",YG$4=""),"",_xll.ciqfunctions.udf.CIQ($B10,"IQ_TEV",YG$4)),"")</f>
        <v/>
      </c>
      <c r="YH10" s="627" t="str">
        <f>IFERROR(IF(OR($B10="",YH$4=""),"",_xll.ciqfunctions.udf.CIQ($B10,"IQ_TEV",YH$4)),"")</f>
        <v/>
      </c>
      <c r="YI10" s="627" t="str">
        <f>IFERROR(IF(OR($B10="",YI$4=""),"",_xll.ciqfunctions.udf.CIQ($B10,"IQ_TEV",YI$4)),"")</f>
        <v/>
      </c>
      <c r="YJ10" s="627" t="str">
        <f>IFERROR(IF(OR($B10="",YJ$4=""),"",_xll.ciqfunctions.udf.CIQ($B10,"IQ_TEV",YJ$4)),"")</f>
        <v/>
      </c>
      <c r="YK10" s="627" t="str">
        <f>IFERROR(IF(OR($B10="",YK$4=""),"",_xll.ciqfunctions.udf.CIQ($B10,"IQ_TEV",YK$4)),"")</f>
        <v/>
      </c>
      <c r="YL10" s="627" t="str">
        <f>IFERROR(IF(OR($B10="",YL$4=""),"",_xll.ciqfunctions.udf.CIQ($B10,"IQ_TEV",YL$4)),"")</f>
        <v/>
      </c>
      <c r="YM10" s="627" t="str">
        <f>IFERROR(IF(OR($B10="",YM$4=""),"",_xll.ciqfunctions.udf.CIQ($B10,"IQ_TEV",YM$4)),"")</f>
        <v/>
      </c>
      <c r="YN10" s="627" t="str">
        <f>IFERROR(IF(OR($B10="",YN$4=""),"",_xll.ciqfunctions.udf.CIQ($B10,"IQ_TEV",YN$4)),"")</f>
        <v/>
      </c>
      <c r="YO10" s="627" t="str">
        <f>IFERROR(IF(OR($B10="",YO$4=""),"",_xll.ciqfunctions.udf.CIQ($B10,"IQ_TEV",YO$4)),"")</f>
        <v/>
      </c>
      <c r="YP10" s="627" t="str">
        <f>IFERROR(IF(OR($B10="",YP$4=""),"",_xll.ciqfunctions.udf.CIQ($B10,"IQ_TEV",YP$4)),"")</f>
        <v/>
      </c>
      <c r="YQ10" s="627" t="str">
        <f>IFERROR(IF(OR($B10="",YQ$4=""),"",_xll.ciqfunctions.udf.CIQ($B10,"IQ_TEV",YQ$4)),"")</f>
        <v/>
      </c>
      <c r="YR10" s="627" t="str">
        <f>IFERROR(IF(OR($B10="",YR$4=""),"",_xll.ciqfunctions.udf.CIQ($B10,"IQ_TEV",YR$4)),"")</f>
        <v/>
      </c>
      <c r="YS10" s="627" t="str">
        <f>IFERROR(IF(OR($B10="",YS$4=""),"",_xll.ciqfunctions.udf.CIQ($B10,"IQ_TEV",YS$4)),"")</f>
        <v/>
      </c>
      <c r="YT10" s="627" t="str">
        <f>IFERROR(IF(OR($B10="",YT$4=""),"",_xll.ciqfunctions.udf.CIQ($B10,"IQ_TEV",YT$4)),"")</f>
        <v/>
      </c>
      <c r="YU10" s="627" t="str">
        <f>IFERROR(IF(OR($B10="",YU$4=""),"",_xll.ciqfunctions.udf.CIQ($B10,"IQ_TEV",YU$4)),"")</f>
        <v/>
      </c>
      <c r="YV10" s="627" t="str">
        <f>IFERROR(IF(OR($B10="",YV$4=""),"",_xll.ciqfunctions.udf.CIQ($B10,"IQ_TEV",YV$4)),"")</f>
        <v/>
      </c>
      <c r="YW10" s="72" t="str">
        <f>IFERROR(IF(OR($B10="",YW$3=""),"",(_xll.ciqfunctions.udf.CIQ($B10,"IQ_LASTSALEPRICE",YW$4)/_xll.ciqfunctions.udf.CIQ($B10,"IQ_LASTSALEPRICE",YW$2)-1)+(_xll.ciqfunctions.udf.CIQ($B10, "IQ_DPS_1YR_ANN_GROWTH", "IQ_LTM", YW$4)/100)),"")</f>
        <v/>
      </c>
      <c r="YX10" s="72" t="str">
        <f>IFERROR(IF(OR($B10="",YX$3=""),"",(_xll.ciqfunctions.udf.CIQ($B10,"IQ_LASTSALEPRICE",YX$4)/_xll.ciqfunctions.udf.CIQ($B10,"IQ_LASTSALEPRICE",YX$2)-1)+(_xll.ciqfunctions.udf.CIQ($B10, "IQ_DPS_1YR_ANN_GROWTH", "IQ_LTM", YX$4)/100)),"")</f>
        <v/>
      </c>
      <c r="YY10" s="72" t="str">
        <f>IFERROR(IF(OR($B10="",YY$3=""),"",(_xll.ciqfunctions.udf.CIQ($B10,"IQ_LASTSALEPRICE",YY$4)/_xll.ciqfunctions.udf.CIQ($B10,"IQ_LASTSALEPRICE",YY$2)-1)+(_xll.ciqfunctions.udf.CIQ($B10, "IQ_DPS_1YR_ANN_GROWTH", "IQ_LTM", YY$4)/100)),"")</f>
        <v/>
      </c>
      <c r="YZ10" s="72" t="str">
        <f>IFERROR(IF(OR($B10="",YZ$3=""),"",(_xll.ciqfunctions.udf.CIQ($B10,"IQ_LASTSALEPRICE",YZ$4)/_xll.ciqfunctions.udf.CIQ($B10,"IQ_LASTSALEPRICE",YZ$2)-1)+(_xll.ciqfunctions.udf.CIQ($B10, "IQ_DPS_1YR_ANN_GROWTH", "IQ_LTM", YZ$4)/100)),"")</f>
        <v/>
      </c>
      <c r="ZA10" s="72" t="str">
        <f>IFERROR(IF(OR($B10="",ZA$3=""),"",(_xll.ciqfunctions.udf.CIQ($B10,"IQ_LASTSALEPRICE",ZA$4)/_xll.ciqfunctions.udf.CIQ($B10,"IQ_LASTSALEPRICE",ZA$2)-1)+(_xll.ciqfunctions.udf.CIQ($B10, "IQ_DPS_1YR_ANN_GROWTH", "IQ_LTM", ZA$4)/100)),"")</f>
        <v/>
      </c>
      <c r="ZB10" s="72" t="str">
        <f>IFERROR(IF(OR($B10="",ZB$3=""),"",(_xll.ciqfunctions.udf.CIQ($B10,"IQ_LASTSALEPRICE",ZB$4)/_xll.ciqfunctions.udf.CIQ($B10,"IQ_LASTSALEPRICE",ZB$2)-1)+(_xll.ciqfunctions.udf.CIQ($B10, "IQ_DPS_1YR_ANN_GROWTH", "IQ_LTM", ZB$4)/100)),"")</f>
        <v/>
      </c>
      <c r="ZC10" s="72" t="str">
        <f>IFERROR(IF(OR($B10="",ZC$3=""),"",(_xll.ciqfunctions.udf.CIQ($B10,"IQ_LASTSALEPRICE",ZC$4)/_xll.ciqfunctions.udf.CIQ($B10,"IQ_LASTSALEPRICE",ZC$2)-1)+(_xll.ciqfunctions.udf.CIQ($B10, "IQ_DPS_1YR_ANN_GROWTH", "IQ_LTM", ZC$4)/100)),"")</f>
        <v/>
      </c>
      <c r="ZD10" s="72" t="str">
        <f>IFERROR(IF(OR($B10="",ZD$3=""),"",(_xll.ciqfunctions.udf.CIQ($B10,"IQ_LASTSALEPRICE",ZD$4)/_xll.ciqfunctions.udf.CIQ($B10,"IQ_LASTSALEPRICE",ZD$2)-1)+(_xll.ciqfunctions.udf.CIQ($B10, "IQ_DPS_1YR_ANN_GROWTH", "IQ_LTM", ZD$4)/100)),"")</f>
        <v/>
      </c>
      <c r="ZE10" s="72" t="str">
        <f>IFERROR(IF(OR($B10="",ZE$3=""),"",(_xll.ciqfunctions.udf.CIQ($B10,"IQ_LASTSALEPRICE",ZE$4)/_xll.ciqfunctions.udf.CIQ($B10,"IQ_LASTSALEPRICE",ZE$2)-1)+(_xll.ciqfunctions.udf.CIQ($B10, "IQ_DPS_1YR_ANN_GROWTH", "IQ_LTM", ZE$4)/100)),"")</f>
        <v/>
      </c>
      <c r="ZF10" s="72" t="str">
        <f>IFERROR(IF(OR($B10="",ZF$3=""),"",(_xll.ciqfunctions.udf.CIQ($B10,"IQ_LASTSALEPRICE",ZF$4)/_xll.ciqfunctions.udf.CIQ($B10,"IQ_LASTSALEPRICE",ZF$2)-1)+(_xll.ciqfunctions.udf.CIQ($B10, "IQ_DPS_1YR_ANN_GROWTH", "IQ_LTM", ZF$4)/100)),"")</f>
        <v/>
      </c>
      <c r="ZG10" s="72" t="str">
        <f>IFERROR(IF(OR($B10="",ZG$3=""),"",(_xll.ciqfunctions.udf.CIQ($B10,"IQ_LASTSALEPRICE",ZG$4)/_xll.ciqfunctions.udf.CIQ($B10,"IQ_LASTSALEPRICE",ZG$2)-1)+(_xll.ciqfunctions.udf.CIQ($B10, "IQ_DPS_1YR_ANN_GROWTH", "IQ_LTM", ZG$4)/100)),"")</f>
        <v/>
      </c>
      <c r="ZH10" s="72" t="str">
        <f>IFERROR(IF(OR($B10="",ZH$3=""),"",(_xll.ciqfunctions.udf.CIQ($B10,"IQ_LASTSALEPRICE",ZH$4)/_xll.ciqfunctions.udf.CIQ($B10,"IQ_LASTSALEPRICE",ZH$2)-1)+(_xll.ciqfunctions.udf.CIQ($B10, "IQ_DPS_1YR_ANN_GROWTH", "IQ_LTM", ZH$4)/100)),"")</f>
        <v/>
      </c>
      <c r="ZI10" s="72" t="str">
        <f>IFERROR(IF(OR($B10="",ZI$3=""),"",(_xll.ciqfunctions.udf.CIQ($B10,"IQ_LASTSALEPRICE",ZI$4)/_xll.ciqfunctions.udf.CIQ($B10,"IQ_LASTSALEPRICE",ZI$2)-1)+(_xll.ciqfunctions.udf.CIQ($B10, "IQ_DPS_1YR_ANN_GROWTH", "IQ_LTM", ZI$4)/100)),"")</f>
        <v/>
      </c>
      <c r="ZJ10" s="72" t="str">
        <f>IFERROR(IF(OR($B10="",ZJ$3=""),"",(_xll.ciqfunctions.udf.CIQ($B10,"IQ_LASTSALEPRICE",ZJ$4)/_xll.ciqfunctions.udf.CIQ($B10,"IQ_LASTSALEPRICE",ZJ$2)-1)+(_xll.ciqfunctions.udf.CIQ($B10, "IQ_DPS_1YR_ANN_GROWTH", "IQ_LTM", ZJ$4)/100)),"")</f>
        <v/>
      </c>
      <c r="ZK10" s="72" t="str">
        <f>IFERROR(IF(OR($B10="",ZK$3=""),"",(_xll.ciqfunctions.udf.CIQ($B10,"IQ_LASTSALEPRICE",ZK$4)/_xll.ciqfunctions.udf.CIQ($B10,"IQ_LASTSALEPRICE",ZK$2)-1)+(_xll.ciqfunctions.udf.CIQ($B10, "IQ_DPS_1YR_ANN_GROWTH", "IQ_LTM", ZK$4)/100)),"")</f>
        <v/>
      </c>
      <c r="ZL10" s="72" t="str">
        <f>IFERROR(IF(OR($B10="",ZL$3=""),"",(_xll.ciqfunctions.udf.CIQ($B10,"IQ_LASTSALEPRICE",ZL$4)/_xll.ciqfunctions.udf.CIQ($B10,"IQ_LASTSALEPRICE",ZL$2)-1)+(_xll.ciqfunctions.udf.CIQ($B10, "IQ_DPS_1YR_ANN_GROWTH", "IQ_LTM", ZL$4)/100)),"")</f>
        <v/>
      </c>
      <c r="ZM10" s="72" t="str">
        <f>IFERROR(IF(OR($B10="",ZM$3=""),"",(_xll.ciqfunctions.udf.CIQ($B10,"IQ_LASTSALEPRICE",ZM$4)/_xll.ciqfunctions.udf.CIQ($B10,"IQ_LASTSALEPRICE",ZM$2)-1)+(_xll.ciqfunctions.udf.CIQ($B10, "IQ_DPS_1YR_ANN_GROWTH", "IQ_LTM", ZM$4)/100)),"")</f>
        <v/>
      </c>
      <c r="ZN10" s="72" t="str">
        <f>IFERROR(IF(OR($B10="",ZN$3=""),"",(_xll.ciqfunctions.udf.CIQ($B10,"IQ_LASTSALEPRICE",ZN$4)/_xll.ciqfunctions.udf.CIQ($B10,"IQ_LASTSALEPRICE",ZN$2)-1)+(_xll.ciqfunctions.udf.CIQ($B10, "IQ_DPS_1YR_ANN_GROWTH", "IQ_LTM", ZN$4)/100)),"")</f>
        <v/>
      </c>
      <c r="ZO10" s="72" t="str">
        <f>IFERROR(IF(OR($B10="",ZO$3=""),"",(_xll.ciqfunctions.udf.CIQ($B10,"IQ_LASTSALEPRICE",ZO$4)/_xll.ciqfunctions.udf.CIQ($B10,"IQ_LASTSALEPRICE",ZO$2)-1)+(_xll.ciqfunctions.udf.CIQ($B10, "IQ_DPS_1YR_ANN_GROWTH", "IQ_LTM", ZO$4)/100)),"")</f>
        <v/>
      </c>
      <c r="ZP10" s="72" t="str">
        <f>IFERROR(IF(OR($B10="",ZP$3=""),"",(_xll.ciqfunctions.udf.CIQ($B10,"IQ_LASTSALEPRICE",ZP$4)/_xll.ciqfunctions.udf.CIQ($B10,"IQ_LASTSALEPRICE",ZP$2)-1)+(_xll.ciqfunctions.udf.CIQ($B10, "IQ_DPS_1YR_ANN_GROWTH", "IQ_LTM", ZP$4)/100)),"")</f>
        <v/>
      </c>
      <c r="ZQ10" s="72" t="str">
        <f>IFERROR(IF(OR($B10="",ZQ$3=""),"",_xll.ciqfunctions.udf.CIQ($B10,"IQ_NI",$O$3,ZQ$3, $N$3, , $J$3, $K$3)*2/(_xll.ciqfunctions.udf.CIQ($B10,"IQ_TOTAL_CAP",ZQ$3,$I$3, $N$3, , $J$3, $K$3)+_xll.ciqfunctions.udf.CIQ($B10,"IQ_TOTAL_CAP","IQ_" &amp; LEFT(ZQ$3,2) &amp; "-1", ZQ$3, $N$3, , $J$3, $K$3))),"")</f>
        <v/>
      </c>
      <c r="ZR10" s="72" t="str">
        <f>IFERROR(IF(OR($B10="",ZR$3=""),"",_xll.ciqfunctions.udf.CIQ($B10,"IQ_NI",$O$3,ZR$3, $N$3, , $J$3, $K$3)*2/(_xll.ciqfunctions.udf.CIQ($B10,"IQ_TOTAL_CAP",ZR$3,$I$3, $N$3, , $J$3, $K$3)+_xll.ciqfunctions.udf.CIQ($B10,"IQ_TOTAL_CAP","IQ_" &amp; LEFT(ZR$3,2) &amp; "-1", ZR$3, $N$3, , $J$3, $K$3))),"")</f>
        <v/>
      </c>
      <c r="ZS10" s="72" t="str">
        <f>IFERROR(IF(OR($B10="",ZS$3=""),"",_xll.ciqfunctions.udf.CIQ($B10,"IQ_NI",$O$3,ZS$3, $N$3, , $J$3, $K$3)*2/(_xll.ciqfunctions.udf.CIQ($B10,"IQ_TOTAL_CAP",ZS$3,$I$3, $N$3, , $J$3, $K$3)+_xll.ciqfunctions.udf.CIQ($B10,"IQ_TOTAL_CAP","IQ_" &amp; LEFT(ZS$3,2) &amp; "-1", ZS$3, $N$3, , $J$3, $K$3))),"")</f>
        <v/>
      </c>
      <c r="ZT10" s="72" t="str">
        <f>IFERROR(IF(OR($B10="",ZT$3=""),"",_xll.ciqfunctions.udf.CIQ($B10,"IQ_NI",$O$3,ZT$3, $N$3, , $J$3, $K$3)*2/(_xll.ciqfunctions.udf.CIQ($B10,"IQ_TOTAL_CAP",ZT$3,$I$3, $N$3, , $J$3, $K$3)+_xll.ciqfunctions.udf.CIQ($B10,"IQ_TOTAL_CAP","IQ_" &amp; LEFT(ZT$3,2) &amp; "-1", ZT$3, $N$3, , $J$3, $K$3))),"")</f>
        <v/>
      </c>
      <c r="ZU10" s="72" t="str">
        <f>IFERROR(IF(OR($B10="",ZU$3=""),"",_xll.ciqfunctions.udf.CIQ($B10,"IQ_NI",$O$3,ZU$3, $N$3, , $J$3, $K$3)*2/(_xll.ciqfunctions.udf.CIQ($B10,"IQ_TOTAL_CAP",ZU$3,$I$3, $N$3, , $J$3, $K$3)+_xll.ciqfunctions.udf.CIQ($B10,"IQ_TOTAL_CAP","IQ_" &amp; LEFT(ZU$3,2) &amp; "-1", ZU$3, $N$3, , $J$3, $K$3))),"")</f>
        <v/>
      </c>
      <c r="ZV10" s="72" t="str">
        <f>IFERROR(IF(OR($B10="",ZV$3=""),"",_xll.ciqfunctions.udf.CIQ($B10,"IQ_NI",$O$3,ZV$3, $N$3, , $J$3, $K$3)*2/(_xll.ciqfunctions.udf.CIQ($B10,"IQ_TOTAL_CAP",ZV$3,$I$3, $N$3, , $J$3, $K$3)+_xll.ciqfunctions.udf.CIQ($B10,"IQ_TOTAL_CAP","IQ_" &amp; LEFT(ZV$3,2) &amp; "-1", ZV$3, $N$3, , $J$3, $K$3))),"")</f>
        <v/>
      </c>
      <c r="ZW10" s="72" t="str">
        <f>IFERROR(IF(OR($B10="",ZW$3=""),"",_xll.ciqfunctions.udf.CIQ($B10,"IQ_NI",$O$3,ZW$3, $N$3, , $J$3, $K$3)*2/(_xll.ciqfunctions.udf.CIQ($B10,"IQ_TOTAL_CAP",ZW$3,$I$3, $N$3, , $J$3, $K$3)+_xll.ciqfunctions.udf.CIQ($B10,"IQ_TOTAL_CAP","IQ_" &amp; LEFT(ZW$3,2) &amp; "-1", ZW$3, $N$3, , $J$3, $K$3))),"")</f>
        <v/>
      </c>
      <c r="ZX10" s="72" t="str">
        <f>IFERROR(IF(OR($B10="",ZX$3=""),"",_xll.ciqfunctions.udf.CIQ($B10,"IQ_NI",$O$3,ZX$3, $N$3, , $J$3, $K$3)*2/(_xll.ciqfunctions.udf.CIQ($B10,"IQ_TOTAL_CAP",ZX$3,$I$3, $N$3, , $J$3, $K$3)+_xll.ciqfunctions.udf.CIQ($B10,"IQ_TOTAL_CAP","IQ_" &amp; LEFT(ZX$3,2) &amp; "-1", ZX$3, $N$3, , $J$3, $K$3))),"")</f>
        <v/>
      </c>
      <c r="ZY10" s="72" t="str">
        <f>IFERROR(IF(OR($B10="",ZY$3=""),"",_xll.ciqfunctions.udf.CIQ($B10,"IQ_NI",$O$3,ZY$3, $N$3, , $J$3, $K$3)*2/(_xll.ciqfunctions.udf.CIQ($B10,"IQ_TOTAL_CAP",ZY$3,$I$3, $N$3, , $J$3, $K$3)+_xll.ciqfunctions.udf.CIQ($B10,"IQ_TOTAL_CAP","IQ_" &amp; LEFT(ZY$3,2) &amp; "-1", ZY$3, $N$3, , $J$3, $K$3))),"")</f>
        <v/>
      </c>
      <c r="ZZ10" s="72" t="str">
        <f>IFERROR(IF(OR($B10="",ZZ$3=""),"",_xll.ciqfunctions.udf.CIQ($B10,"IQ_NI",$O$3,ZZ$3, $N$3, , $J$3, $K$3)*2/(_xll.ciqfunctions.udf.CIQ($B10,"IQ_TOTAL_CAP",ZZ$3,$I$3, $N$3, , $J$3, $K$3)+_xll.ciqfunctions.udf.CIQ($B10,"IQ_TOTAL_CAP","IQ_" &amp; LEFT(ZZ$3,2) &amp; "-1", ZZ$3, $N$3, , $J$3, $K$3))),"")</f>
        <v/>
      </c>
      <c r="AAA10" s="72" t="str">
        <f>IFERROR(IF(OR($B10="",AAA$3=""),"",_xll.ciqfunctions.udf.CIQ($B10,"IQ_NI",$O$3,AAA$3, $N$3, , $J$3, $K$3)*2/(_xll.ciqfunctions.udf.CIQ($B10,"IQ_TOTAL_CAP",AAA$3,$I$3, $N$3, , $J$3, $K$3)+_xll.ciqfunctions.udf.CIQ($B10,"IQ_TOTAL_CAP","IQ_" &amp; LEFT(AAA$3,2) &amp; "-1", AAA$3, $N$3, , $J$3, $K$3))),"")</f>
        <v/>
      </c>
      <c r="AAB10" s="72" t="str">
        <f>IFERROR(IF(OR($B10="",AAB$3=""),"",_xll.ciqfunctions.udf.CIQ($B10,"IQ_NI",$O$3,AAB$3, $N$3, , $J$3, $K$3)*2/(_xll.ciqfunctions.udf.CIQ($B10,"IQ_TOTAL_CAP",AAB$3,$I$3, $N$3, , $J$3, $K$3)+_xll.ciqfunctions.udf.CIQ($B10,"IQ_TOTAL_CAP","IQ_" &amp; LEFT(AAB$3,2) &amp; "-1", AAB$3, $N$3, , $J$3, $K$3))),"")</f>
        <v/>
      </c>
      <c r="AAC10" s="72" t="str">
        <f>IFERROR(IF(OR($B10="",AAC$3=""),"",_xll.ciqfunctions.udf.CIQ($B10,"IQ_NI",$O$3,AAC$3, $N$3, , $J$3, $K$3)*2/(_xll.ciqfunctions.udf.CIQ($B10,"IQ_TOTAL_CAP",AAC$3,$I$3, $N$3, , $J$3, $K$3)+_xll.ciqfunctions.udf.CIQ($B10,"IQ_TOTAL_CAP","IQ_" &amp; LEFT(AAC$3,2) &amp; "-1", AAC$3, $N$3, , $J$3, $K$3))),"")</f>
        <v/>
      </c>
      <c r="AAD10" s="72" t="str">
        <f>IFERROR(IF(OR($B10="",AAD$3=""),"",_xll.ciqfunctions.udf.CIQ($B10,"IQ_NI",$O$3,AAD$3, $N$3, , $J$3, $K$3)*2/(_xll.ciqfunctions.udf.CIQ($B10,"IQ_TOTAL_CAP",AAD$3,$I$3, $N$3, , $J$3, $K$3)+_xll.ciqfunctions.udf.CIQ($B10,"IQ_TOTAL_CAP","IQ_" &amp; LEFT(AAD$3,2) &amp; "-1", AAD$3, $N$3, , $J$3, $K$3))),"")</f>
        <v/>
      </c>
      <c r="AAE10" s="72" t="str">
        <f>IFERROR(IF(OR($B10="",AAE$3=""),"",_xll.ciqfunctions.udf.CIQ($B10,"IQ_NI",$O$3,AAE$3, $N$3, , $J$3, $K$3)*2/(_xll.ciqfunctions.udf.CIQ($B10,"IQ_TOTAL_CAP",AAE$3,$I$3, $N$3, , $J$3, $K$3)+_xll.ciqfunctions.udf.CIQ($B10,"IQ_TOTAL_CAP","IQ_" &amp; LEFT(AAE$3,2) &amp; "-1", AAE$3, $N$3, , $J$3, $K$3))),"")</f>
        <v/>
      </c>
      <c r="AAF10" s="72" t="str">
        <f>IFERROR(IF(OR($B10="",AAF$3=""),"",_xll.ciqfunctions.udf.CIQ($B10,"IQ_NI",$O$3,AAF$3, $N$3, , $J$3, $K$3)*2/(_xll.ciqfunctions.udf.CIQ($B10,"IQ_TOTAL_CAP",AAF$3,$I$3, $N$3, , $J$3, $K$3)+_xll.ciqfunctions.udf.CIQ($B10,"IQ_TOTAL_CAP","IQ_" &amp; LEFT(AAF$3,2) &amp; "-1", AAF$3, $N$3, , $J$3, $K$3))),"")</f>
        <v/>
      </c>
      <c r="AAG10" s="72" t="str">
        <f>IFERROR(IF(OR($B10="",AAG$3=""),"",_xll.ciqfunctions.udf.CIQ($B10,"IQ_NI",$O$3,AAG$3, $N$3, , $J$3, $K$3)*2/(_xll.ciqfunctions.udf.CIQ($B10,"IQ_TOTAL_CAP",AAG$3,$I$3, $N$3, , $J$3, $K$3)+_xll.ciqfunctions.udf.CIQ($B10,"IQ_TOTAL_CAP","IQ_" &amp; LEFT(AAG$3,2) &amp; "-1", AAG$3, $N$3, , $J$3, $K$3))),"")</f>
        <v/>
      </c>
      <c r="AAH10" s="72" t="str">
        <f>IFERROR(IF(OR($B10="",AAH$3=""),"",_xll.ciqfunctions.udf.CIQ($B10,"IQ_NI",$O$3,AAH$3, $N$3, , $J$3, $K$3)*2/(_xll.ciqfunctions.udf.CIQ($B10,"IQ_TOTAL_CAP",AAH$3,$I$3, $N$3, , $J$3, $K$3)+_xll.ciqfunctions.udf.CIQ($B10,"IQ_TOTAL_CAP","IQ_" &amp; LEFT(AAH$3,2) &amp; "-1", AAH$3, $N$3, , $J$3, $K$3))),"")</f>
        <v/>
      </c>
      <c r="AAI10" s="72" t="str">
        <f>IFERROR(IF(OR($B10="",AAI$3=""),"",_xll.ciqfunctions.udf.CIQ($B10,"IQ_NI",$O$3,AAI$3, $N$3, , $J$3, $K$3)*2/(_xll.ciqfunctions.udf.CIQ($B10,"IQ_TOTAL_CAP",AAI$3,$I$3, $N$3, , $J$3, $K$3)+_xll.ciqfunctions.udf.CIQ($B10,"IQ_TOTAL_CAP","IQ_" &amp; LEFT(AAI$3,2) &amp; "-1", AAI$3, $N$3, , $J$3, $K$3))),"")</f>
        <v/>
      </c>
      <c r="AAJ10" s="72" t="str">
        <f>IFERROR(IF(OR($B10="",AAJ$3=""),"",_xll.ciqfunctions.udf.CIQ($B10,"IQ_NI",$O$3,AAJ$3, $N$3, , $J$3, $K$3)*2/(_xll.ciqfunctions.udf.CIQ($B10,"IQ_TOTAL_CAP",AAJ$3,$I$3, $N$3, , $J$3, $K$3)+_xll.ciqfunctions.udf.CIQ($B10,"IQ_TOTAL_CAP","IQ_" &amp; LEFT(AAJ$3,2) &amp; "-1", AAJ$3, $N$3, , $J$3, $K$3))),"")</f>
        <v/>
      </c>
      <c r="AAK10" s="628" t="str">
        <f>IFERROR(IF(OR($B10="",AAK$4=""),"",_xll.ciqfunctions.udf.CIQ($B10,"IQ_TEV",AAK$4)/_xll.ciqfunctions.udf.CIQ($B10,"IQ_TOTAL_CAP",ZQ$3,$I$3, $N$3, , $J$3, $K$3)),"")</f>
        <v/>
      </c>
      <c r="AAL10" s="628" t="str">
        <f>IFERROR(IF(OR($B10="",AAL$4=""),"",_xll.ciqfunctions.udf.CIQ($B10,"IQ_TEV",AAL$4)/_xll.ciqfunctions.udf.CIQ($B10,"IQ_TOTAL_CAP",ZR$3,$I$3, $N$3, , $J$3, $K$3)),"")</f>
        <v/>
      </c>
      <c r="AAM10" s="628" t="str">
        <f>IFERROR(IF(OR($B10="",AAM$4=""),"",_xll.ciqfunctions.udf.CIQ($B10,"IQ_TEV",AAM$4)/_xll.ciqfunctions.udf.CIQ($B10,"IQ_TOTAL_CAP",ZS$3,$I$3, $N$3, , $J$3, $K$3)),"")</f>
        <v/>
      </c>
      <c r="AAN10" s="628" t="str">
        <f>IFERROR(IF(OR($B10="",AAN$4=""),"",_xll.ciqfunctions.udf.CIQ($B10,"IQ_TEV",AAN$4)/_xll.ciqfunctions.udf.CIQ($B10,"IQ_TOTAL_CAP",ZT$3,$I$3, $N$3, , $J$3, $K$3)),"")</f>
        <v/>
      </c>
      <c r="AAO10" s="628" t="str">
        <f>IFERROR(IF(OR($B10="",AAO$4=""),"",_xll.ciqfunctions.udf.CIQ($B10,"IQ_TEV",AAO$4)/_xll.ciqfunctions.udf.CIQ($B10,"IQ_TOTAL_CAP",ZU$3,$I$3, $N$3, , $J$3, $K$3)),"")</f>
        <v/>
      </c>
      <c r="AAP10" s="628" t="str">
        <f>IFERROR(IF(OR($B10="",AAP$4=""),"",_xll.ciqfunctions.udf.CIQ($B10,"IQ_TEV",AAP$4)/_xll.ciqfunctions.udf.CIQ($B10,"IQ_TOTAL_CAP",ZV$3,$I$3, $N$3, , $J$3, $K$3)),"")</f>
        <v/>
      </c>
      <c r="AAQ10" s="628" t="str">
        <f>IFERROR(IF(OR($B10="",AAQ$4=""),"",_xll.ciqfunctions.udf.CIQ($B10,"IQ_TEV",AAQ$4)/_xll.ciqfunctions.udf.CIQ($B10,"IQ_TOTAL_CAP",ZW$3,$I$3, $N$3, , $J$3, $K$3)),"")</f>
        <v/>
      </c>
      <c r="AAR10" s="628" t="str">
        <f>IFERROR(IF(OR($B10="",AAR$4=""),"",_xll.ciqfunctions.udf.CIQ($B10,"IQ_TEV",AAR$4)/_xll.ciqfunctions.udf.CIQ($B10,"IQ_TOTAL_CAP",ZX$3,$I$3, $N$3, , $J$3, $K$3)),"")</f>
        <v/>
      </c>
      <c r="AAS10" s="628" t="str">
        <f>IFERROR(IF(OR($B10="",AAS$4=""),"",_xll.ciqfunctions.udf.CIQ($B10,"IQ_TEV",AAS$4)/_xll.ciqfunctions.udf.CIQ($B10,"IQ_TOTAL_CAP",ZY$3,$I$3, $N$3, , $J$3, $K$3)),"")</f>
        <v/>
      </c>
      <c r="AAT10" s="628" t="str">
        <f>IFERROR(IF(OR($B10="",AAT$4=""),"",_xll.ciqfunctions.udf.CIQ($B10,"IQ_TEV",AAT$4)/_xll.ciqfunctions.udf.CIQ($B10,"IQ_TOTAL_CAP",ZZ$3,$I$3, $N$3, , $J$3, $K$3)),"")</f>
        <v/>
      </c>
      <c r="AAU10" s="628" t="str">
        <f>IFERROR(IF(OR($B10="",AAU$4=""),"",_xll.ciqfunctions.udf.CIQ($B10,"IQ_TEV",AAU$4)/_xll.ciqfunctions.udf.CIQ($B10,"IQ_TOTAL_CAP",AAA$3,$I$3, $N$3, , $J$3, $K$3)),"")</f>
        <v/>
      </c>
      <c r="AAV10" s="628" t="str">
        <f>IFERROR(IF(OR($B10="",AAV$4=""),"",_xll.ciqfunctions.udf.CIQ($B10,"IQ_TEV",AAV$4)/_xll.ciqfunctions.udf.CIQ($B10,"IQ_TOTAL_CAP",AAB$3,$I$3, $N$3, , $J$3, $K$3)),"")</f>
        <v/>
      </c>
      <c r="AAW10" s="628" t="str">
        <f>IFERROR(IF(OR($B10="",AAW$4=""),"",_xll.ciqfunctions.udf.CIQ($B10,"IQ_TEV",AAW$4)/_xll.ciqfunctions.udf.CIQ($B10,"IQ_TOTAL_CAP",AAC$3,$I$3, $N$3, , $J$3, $K$3)),"")</f>
        <v/>
      </c>
      <c r="AAX10" s="628" t="str">
        <f>IFERROR(IF(OR($B10="",AAX$4=""),"",_xll.ciqfunctions.udf.CIQ($B10,"IQ_TEV",AAX$4)/_xll.ciqfunctions.udf.CIQ($B10,"IQ_TOTAL_CAP",AAD$3,$I$3, $N$3, , $J$3, $K$3)),"")</f>
        <v/>
      </c>
      <c r="AAY10" s="628" t="str">
        <f>IFERROR(IF(OR($B10="",AAY$4=""),"",_xll.ciqfunctions.udf.CIQ($B10,"IQ_TEV",AAY$4)/_xll.ciqfunctions.udf.CIQ($B10,"IQ_TOTAL_CAP",AAE$3,$I$3, $N$3, , $J$3, $K$3)),"")</f>
        <v/>
      </c>
      <c r="AAZ10" s="628" t="str">
        <f>IFERROR(IF(OR($B10="",AAZ$4=""),"",_xll.ciqfunctions.udf.CIQ($B10,"IQ_TEV",AAZ$4)/_xll.ciqfunctions.udf.CIQ($B10,"IQ_TOTAL_CAP",AAF$3,$I$3, $N$3, , $J$3, $K$3)),"")</f>
        <v/>
      </c>
      <c r="ABA10" s="628" t="str">
        <f>IFERROR(IF(OR($B10="",ABA$4=""),"",_xll.ciqfunctions.udf.CIQ($B10,"IQ_TEV",ABA$4)/_xll.ciqfunctions.udf.CIQ($B10,"IQ_TOTAL_CAP",AAG$3,$I$3, $N$3, , $J$3, $K$3)),"")</f>
        <v/>
      </c>
      <c r="ABB10" s="628" t="str">
        <f>IFERROR(IF(OR($B10="",ABB$4=""),"",_xll.ciqfunctions.udf.CIQ($B10,"IQ_TEV",ABB$4)/_xll.ciqfunctions.udf.CIQ($B10,"IQ_TOTAL_CAP",AAH$3,$I$3, $N$3, , $J$3, $K$3)),"")</f>
        <v/>
      </c>
      <c r="ABC10" s="628" t="str">
        <f>IFERROR(IF(OR($B10="",ABC$4=""),"",_xll.ciqfunctions.udf.CIQ($B10,"IQ_TEV",ABC$4)/_xll.ciqfunctions.udf.CIQ($B10,"IQ_TOTAL_CAP",AAI$3,$I$3, $N$3, , $J$3, $K$3)),"")</f>
        <v/>
      </c>
      <c r="ABD10" s="628" t="str">
        <f>IFERROR(IF(OR($B10="",ABD$4=""),"",_xll.ciqfunctions.udf.CIQ($B10,"IQ_TEV",ABD$4)/_xll.ciqfunctions.udf.CIQ($B10,"IQ_TOTAL_CAP",AAJ$3,$I$3, $N$3, , $J$3, $K$3)),"")</f>
        <v/>
      </c>
      <c r="ABE10" s="72" t="str">
        <f t="shared" si="363"/>
        <v/>
      </c>
      <c r="ABF10" s="72" t="str">
        <f t="shared" si="364"/>
        <v/>
      </c>
      <c r="ABG10" s="72" t="str">
        <f t="shared" si="365"/>
        <v/>
      </c>
      <c r="ABH10" s="72" t="str">
        <f t="shared" si="366"/>
        <v/>
      </c>
      <c r="ABI10" s="72" t="str">
        <f t="shared" si="367"/>
        <v/>
      </c>
      <c r="ABJ10" s="72" t="str">
        <f t="shared" si="368"/>
        <v/>
      </c>
      <c r="ABK10" s="72" t="str">
        <f t="shared" si="369"/>
        <v/>
      </c>
      <c r="ABL10" s="72" t="str">
        <f t="shared" si="370"/>
        <v/>
      </c>
      <c r="ABM10" s="72" t="str">
        <f t="shared" si="371"/>
        <v/>
      </c>
      <c r="ABN10" s="72" t="str">
        <f t="shared" si="372"/>
        <v/>
      </c>
      <c r="ABO10" s="72" t="str">
        <f t="shared" si="373"/>
        <v/>
      </c>
      <c r="ABP10" s="72" t="str">
        <f t="shared" si="374"/>
        <v/>
      </c>
      <c r="ABQ10" s="72" t="str">
        <f t="shared" si="375"/>
        <v/>
      </c>
      <c r="ABR10" s="72" t="str">
        <f t="shared" si="376"/>
        <v/>
      </c>
      <c r="ABS10" s="72" t="str">
        <f t="shared" si="377"/>
        <v/>
      </c>
      <c r="ABT10" s="72" t="str">
        <f t="shared" si="378"/>
        <v/>
      </c>
      <c r="ABU10" s="72" t="str">
        <f t="shared" si="379"/>
        <v/>
      </c>
      <c r="ABV10" s="72" t="str">
        <f t="shared" si="380"/>
        <v/>
      </c>
      <c r="ABW10" s="72" t="str">
        <f t="shared" si="381"/>
        <v/>
      </c>
      <c r="ABX10" s="72" t="str">
        <f t="shared" si="382"/>
        <v/>
      </c>
      <c r="ABY10" s="89" t="str">
        <f>IFERROR(IF(OR($B10="",ABY$3=""),"",IF(NOT(ISNUMBER(_xll.ciqfunctions.udf.CIQ($B10, "IQ_FIXED_ASSET_TURNS", ABY$3, $E$3, $N$3, , $J$3, $K$3))),"",_xll.ciqfunctions.udf.CIQ($B10, "IQ_FIXED_ASSET_TURNS", ABY$3, $E$3, $N$3, , $J$3, $K$3))),"")</f>
        <v/>
      </c>
      <c r="ABZ10" s="90" t="str">
        <f>IFERROR(IF(OR($B10="",ABZ$3=""),"",IF(NOT(ISNUMBER(_xll.ciqfunctions.udf.CIQ($B10, "IQ_FIXED_ASSET_TURNS", ABZ$3, $E$3, $N$3, , $J$3, $K$3))),"",_xll.ciqfunctions.udf.CIQ($B10, "IQ_FIXED_ASSET_TURNS", ABZ$3, $E$3, $N$3, , $J$3, $K$3))),"")</f>
        <v/>
      </c>
      <c r="ACA10" s="90" t="str">
        <f>IFERROR(IF(OR($B10="",ACA$3=""),"",IF(NOT(ISNUMBER(_xll.ciqfunctions.udf.CIQ($B10, "IQ_FIXED_ASSET_TURNS", ACA$3, $E$3, $N$3, , $J$3, $K$3))),"",_xll.ciqfunctions.udf.CIQ($B10, "IQ_FIXED_ASSET_TURNS", ACA$3, $E$3, $N$3, , $J$3, $K$3))),"")</f>
        <v/>
      </c>
      <c r="ACB10" s="90" t="str">
        <f>IFERROR(IF(OR($B10="",ACB$3=""),"",IF(NOT(ISNUMBER(_xll.ciqfunctions.udf.CIQ($B10, "IQ_FIXED_ASSET_TURNS", ACB$3, $E$3, $N$3, , $J$3, $K$3))),"",_xll.ciqfunctions.udf.CIQ($B10, "IQ_FIXED_ASSET_TURNS", ACB$3, $E$3, $N$3, , $J$3, $K$3))),"")</f>
        <v/>
      </c>
      <c r="ACC10" s="90" t="str">
        <f>IFERROR(IF(OR($B10="",ACC$3=""),"",IF(NOT(ISNUMBER(_xll.ciqfunctions.udf.CIQ($B10, "IQ_FIXED_ASSET_TURNS", ACC$3, $E$3, $N$3, , $J$3, $K$3))),"",_xll.ciqfunctions.udf.CIQ($B10, "IQ_FIXED_ASSET_TURNS", ACC$3, $E$3, $N$3, , $J$3, $K$3))),"")</f>
        <v/>
      </c>
      <c r="ACD10" s="90" t="str">
        <f>IFERROR(IF(OR($B10="",ACD$3=""),"",IF(NOT(ISNUMBER(_xll.ciqfunctions.udf.CIQ($B10, "IQ_FIXED_ASSET_TURNS", ACD$3, $E$3, $N$3, , $J$3, $K$3))),"",_xll.ciqfunctions.udf.CIQ($B10, "IQ_FIXED_ASSET_TURNS", ACD$3, $E$3, $N$3, , $J$3, $K$3))),"")</f>
        <v/>
      </c>
      <c r="ACE10" s="90" t="str">
        <f>IFERROR(IF(OR($B10="",ACE$3=""),"",IF(NOT(ISNUMBER(_xll.ciqfunctions.udf.CIQ($B10, "IQ_FIXED_ASSET_TURNS", ACE$3, $E$3, $N$3, , $J$3, $K$3))),"",_xll.ciqfunctions.udf.CIQ($B10, "IQ_FIXED_ASSET_TURNS", ACE$3, $E$3, $N$3, , $J$3, $K$3))),"")</f>
        <v/>
      </c>
      <c r="ACF10" s="90" t="str">
        <f>IFERROR(IF(OR($B10="",ACF$3=""),"",IF(NOT(ISNUMBER(_xll.ciqfunctions.udf.CIQ($B10, "IQ_FIXED_ASSET_TURNS", ACF$3, $E$3, $N$3, , $J$3, $K$3))),"",_xll.ciqfunctions.udf.CIQ($B10, "IQ_FIXED_ASSET_TURNS", ACF$3, $E$3, $N$3, , $J$3, $K$3))),"")</f>
        <v/>
      </c>
      <c r="ACG10" s="90" t="str">
        <f>IFERROR(IF(OR($B10="",ACG$3=""),"",IF(NOT(ISNUMBER(_xll.ciqfunctions.udf.CIQ($B10, "IQ_FIXED_ASSET_TURNS", ACG$3, $E$3, $N$3, , $J$3, $K$3))),"",_xll.ciqfunctions.udf.CIQ($B10, "IQ_FIXED_ASSET_TURNS", ACG$3, $E$3, $N$3, , $J$3, $K$3))),"")</f>
        <v/>
      </c>
      <c r="ACH10" s="90" t="str">
        <f>IFERROR(IF(OR($B10="",ACH$3=""),"",IF(NOT(ISNUMBER(_xll.ciqfunctions.udf.CIQ($B10, "IQ_FIXED_ASSET_TURNS", ACH$3, $E$3, $N$3, , $J$3, $K$3))),"",_xll.ciqfunctions.udf.CIQ($B10, "IQ_FIXED_ASSET_TURNS", ACH$3, $E$3, $N$3, , $J$3, $K$3))),"")</f>
        <v/>
      </c>
      <c r="ACI10" s="90" t="str">
        <f>IFERROR(IF(OR($B10="",ACI$3=""),"",IF(NOT(ISNUMBER(_xll.ciqfunctions.udf.CIQ($B10, "IQ_FIXED_ASSET_TURNS", ACI$3, $E$3, $N$3, , $J$3, $K$3))),"",_xll.ciqfunctions.udf.CIQ($B10, "IQ_FIXED_ASSET_TURNS", ACI$3, $E$3, $N$3, , $J$3, $K$3))),"")</f>
        <v/>
      </c>
      <c r="ACJ10" s="90" t="str">
        <f>IFERROR(IF(OR($B10="",ACJ$3=""),"",IF(NOT(ISNUMBER(_xll.ciqfunctions.udf.CIQ($B10, "IQ_FIXED_ASSET_TURNS", ACJ$3, $E$3, $N$3, , $J$3, $K$3))),"",_xll.ciqfunctions.udf.CIQ($B10, "IQ_FIXED_ASSET_TURNS", ACJ$3, $E$3, $N$3, , $J$3, $K$3))),"")</f>
        <v/>
      </c>
      <c r="ACK10" s="90" t="str">
        <f>IFERROR(IF(OR($B10="",ACK$3=""),"",IF(NOT(ISNUMBER(_xll.ciqfunctions.udf.CIQ($B10, "IQ_FIXED_ASSET_TURNS", ACK$3, $E$3, $N$3, , $J$3, $K$3))),"",_xll.ciqfunctions.udf.CIQ($B10, "IQ_FIXED_ASSET_TURNS", ACK$3, $E$3, $N$3, , $J$3, $K$3))),"")</f>
        <v/>
      </c>
      <c r="ACL10" s="90" t="str">
        <f>IFERROR(IF(OR($B10="",ACL$3=""),"",IF(NOT(ISNUMBER(_xll.ciqfunctions.udf.CIQ($B10, "IQ_FIXED_ASSET_TURNS", ACL$3, $E$3, $N$3, , $J$3, $K$3))),"",_xll.ciqfunctions.udf.CIQ($B10, "IQ_FIXED_ASSET_TURNS", ACL$3, $E$3, $N$3, , $J$3, $K$3))),"")</f>
        <v/>
      </c>
      <c r="ACM10" s="90" t="str">
        <f>IFERROR(IF(OR($B10="",ACM$3=""),"",IF(NOT(ISNUMBER(_xll.ciqfunctions.udf.CIQ($B10, "IQ_FIXED_ASSET_TURNS", ACM$3, $E$3, $N$3, , $J$3, $K$3))),"",_xll.ciqfunctions.udf.CIQ($B10, "IQ_FIXED_ASSET_TURNS", ACM$3, $E$3, $N$3, , $J$3, $K$3))),"")</f>
        <v/>
      </c>
      <c r="ACN10" s="90" t="str">
        <f>IFERROR(IF(OR($B10="",ACN$3=""),"",IF(NOT(ISNUMBER(_xll.ciqfunctions.udf.CIQ($B10, "IQ_FIXED_ASSET_TURNS", ACN$3, $E$3, $N$3, , $J$3, $K$3))),"",_xll.ciqfunctions.udf.CIQ($B10, "IQ_FIXED_ASSET_TURNS", ACN$3, $E$3, $N$3, , $J$3, $K$3))),"")</f>
        <v/>
      </c>
      <c r="ACO10" s="90" t="str">
        <f>IFERROR(IF(OR($B10="",ACO$3=""),"",IF(NOT(ISNUMBER(_xll.ciqfunctions.udf.CIQ($B10, "IQ_FIXED_ASSET_TURNS", ACO$3, $E$3, $N$3, , $J$3, $K$3))),"",_xll.ciqfunctions.udf.CIQ($B10, "IQ_FIXED_ASSET_TURNS", ACO$3, $E$3, $N$3, , $J$3, $K$3))),"")</f>
        <v/>
      </c>
      <c r="ACP10" s="90" t="str">
        <f>IFERROR(IF(OR($B10="",ACP$3=""),"",IF(NOT(ISNUMBER(_xll.ciqfunctions.udf.CIQ($B10, "IQ_FIXED_ASSET_TURNS", ACP$3, $E$3, $N$3, , $J$3, $K$3))),"",_xll.ciqfunctions.udf.CIQ($B10, "IQ_FIXED_ASSET_TURNS", ACP$3, $E$3, $N$3, , $J$3, $K$3))),"")</f>
        <v/>
      </c>
      <c r="ACQ10" s="90" t="str">
        <f>IFERROR(IF(OR($B10="",ACQ$3=""),"",IF(NOT(ISNUMBER(_xll.ciqfunctions.udf.CIQ($B10, "IQ_FIXED_ASSET_TURNS", ACQ$3, $E$3, $N$3, , $J$3, $K$3))),"",_xll.ciqfunctions.udf.CIQ($B10, "IQ_FIXED_ASSET_TURNS", ACQ$3, $E$3, $N$3, , $J$3, $K$3))),"")</f>
        <v/>
      </c>
      <c r="ACR10" s="91" t="str">
        <f>IFERROR(IF(OR($B10="",ACR$3=""),"",IF(NOT(ISNUMBER(_xll.ciqfunctions.udf.CIQ($B10, "IQ_FIXED_ASSET_TURNS", ACR$3, $E$3, $N$3, , $J$3, $K$3))),"",_xll.ciqfunctions.udf.CIQ($B10, "IQ_FIXED_ASSET_TURNS", ACR$3, $E$3, $N$3, , $J$3, $K$3))),"")</f>
        <v/>
      </c>
    </row>
    <row r="11" spans="1:772" ht="15" customHeight="1" x14ac:dyDescent="0.2">
      <c r="A11" s="267" t="str">
        <f>IF(B11="","",_xll.ciqfunctions.udf.CIQ($B11,"IQ_COMPANY_NAME"))</f>
        <v/>
      </c>
      <c r="B11" s="81" t="str">
        <f>IF(Input!B23="","",Input!B23)</f>
        <v/>
      </c>
      <c r="C11" s="81">
        <f>Input!E23</f>
        <v>0</v>
      </c>
      <c r="D11" s="67" t="str">
        <f>IF(B11="","",_xll.ciqfunctions.udf.CIQ($B11,"IQ_PRIMARY_INDUSTRY"))</f>
        <v/>
      </c>
      <c r="E11" s="68" t="str">
        <f>IFERROR(IF(B11="","",IF(NOT(ISNUMBER(_xll.ciqfunctions.udf.CIQ($B11,"IQ_LASTSALEPRICE",$E$3))),"",_xll.ciqfunctions.udf.CIQ($B11,"IQ_LASTSALEPRICE",$E$3))),"")</f>
        <v/>
      </c>
      <c r="F11" s="82" t="str">
        <f>IFERROR(IF(B11="","",IF(NOT(ISNUMBER(_xll.ciqfunctions.udf.CIQ($B11,"IQ_LASTSALEPRICE",$E$4))),"",_xll.ciqfunctions.udf.CIQ($B11,"IQ_LASTSALEPRICE",$E$4))),"")</f>
        <v/>
      </c>
      <c r="G11" s="83" t="str">
        <f t="shared" si="383"/>
        <v/>
      </c>
      <c r="H11" s="83" t="str">
        <f>IFERROR(IF(B11="","",IF(NOT(ISNUMBER(_xll.ciqfunctions.udf.CIQ($B11,"IQ_TOTAL_REV_1YR_ANN_GROWTH",$O$3, $I$3, $N$3, , $J$3, $K$3))),"",_xll.ciqfunctions.udf.CIQ($B11,"IQ_TOTAL_REV_1YR_ANN_GROWTH",$O$3, $I$3, $N$3, , $J$3, $K$3))/100),"")</f>
        <v/>
      </c>
      <c r="I11" s="83" t="str">
        <f>IFERROR(IF(B11="","",IF(NOT(ISNUMBER(_xll.ciqfunctions.udf.CIQ($B11,"IQ_GROSS_MARGIN",$O$3, $I$3, $N$3, , $J$3, $K$3))),"",_xll.ciqfunctions.udf.CIQ($B11,"IQ_GROSS_MARGIN",$O$3, $I$3, $N$3, , $J$3, $K$3))/100),"")</f>
        <v/>
      </c>
      <c r="J11" s="83" t="str">
        <f>IFERROR(IF(B11="","",IF(NOT(ISNUMBER(_xll.ciqfunctions.udf.CIQ($B11,"IQ_EBITDA_MARGIN",$O$3, $I$3, $N$3, , $J$3, $K$3))),"",_xll.ciqfunctions.udf.CIQ($B11,"IQ_EBITDA_MARGIN",$O$3, $I$3, $N$3, , $J$3, $K$3))/100),"")</f>
        <v/>
      </c>
      <c r="K11" s="83" t="str">
        <f>IFERROR(IF(A11="","",IF(NOT(ISNUMBER(_xll.ciqfunctions.udf.CIQ($B11,"IQ_EBIT_MARGIN",$O$3, $I$3, $N$3, , $J$3, $K$3))),"",_xll.ciqfunctions.udf.CIQ($B11,"IQ_EBIT_MARGIN",$O$3, $I$3, $N$3, , $J$3, $K$3))/100),"")</f>
        <v/>
      </c>
      <c r="L11" s="83" t="str">
        <f>IFERROR(IF(B11="","",IF(NOT(ISNUMBER(_xll.ciqfunctions.udf.CIQ($B11,"IQ_NI_MARGIN",$O$3, $I$3, $N$3, , $J$3, $K$3))),"",_xll.ciqfunctions.udf.CIQ($B11,"IQ_NI_MARGIN",$O$3, $I$3, $N$3, , $J$3, $K$3))/100),"")</f>
        <v/>
      </c>
      <c r="M11" s="83" t="str">
        <f>IFERROR(IF($B11="","",IF(AND(N$4="Yes",NOT(ISNUMBER(_xll.ciqfunctions.udf.CIQ($B11,"IQ_COGS",$O$3, $I$3, $N$3, , $J$3, $K$3))),NOT(ISNUMBER(_xll.ciqfunctions.udf.CIQ($B11,"IQ_TOTAL_REVENUE",$O$3, $I$3, $N$3, , $J$3, $K$3)))),"",_xll.ciqfunctions.udf.CIQ($B11,"IQ_COGS",$O$3, $I$3, $N$3, , $J$3, $K$3)/_xll.ciqfunctions.udf.CIQ($B11,"IQ_TOTAL_REVENUE",$O$3, $I$3, $N$3, , $J$3, $K$3))),"")</f>
        <v/>
      </c>
      <c r="N11" s="83" t="str">
        <f>IFERROR(IF($B11="","",(IF(NOT(ISNUMBER(_xll.ciqfunctions.udf.CIQ($B11,"IQ_TOTAL_REVENUE",$O$3, $I$3, $N$3, , $J$3, $K$3))),"",_xll.ciqfunctions.udf.CIQ($B11,"IQ_TOTAL_REVENUE",$O$3, $I$3, $N$3, , $J$3, $K$3))-IF(NOT(ISNUMBER(_xll.ciqfunctions.udf.CIQ($B11,"IQ_COGS",$O$3, $I$3, $N$3, , $J$3, $K$3))),"",_xll.ciqfunctions.udf.CIQ($B11,"IQ_COGS",$O$3, $I$3, $N$3, , $J$3, $K$3))-IF(NOT(ISNUMBER(_xll.ciqfunctions.udf.CIQ($B11,"IQ_EBITDA",$O$3, $I$3, $N$3, , $J$3, $K$3))),"",_xll.ciqfunctions.udf.CIQ($B11,"IQ_EBITDA",$O$3, $I$3, $N$3, , $J$3, $K$3)))/IF(NOT(ISNUMBER(_xll.ciqfunctions.udf.CIQ($B11,"IQ_TOTAL_REVENUE",$O$3, $I$3, $N$3, , $J$3, $K$3))),"",_xll.ciqfunctions.udf.CIQ($B11,"IQ_TOTAL_REVENUE",$O$3, $I$3, $N$3, , $J$3, $K$3))),"")</f>
        <v/>
      </c>
      <c r="O11" s="83" t="str">
        <f>IFERROR(IF($B11="","",IF(AND(P$4="Yes",NOT(ISNUMBER(_xll.ciqfunctions.udf.CIQ($B11,"IQ_SGA_MARGIN",$O$3, $I$3, $N$3, , $J$3, $K$3)))),"",_xll.ciqfunctions.udf.CIQ($B11,"IQ_SGA_MARGIN",$O$3, $I$3, $N$3, , $J$3, $K$3)/100)),"")</f>
        <v/>
      </c>
      <c r="P11" s="83" t="str">
        <f>IFERROR(IF($B11="","",IF(AND(Q$4="No",OR(NOT(ISNUMBER(_xll.ciqfunctions.udf.CIQ($B11, "IQ_RD_EXP",$O$3, $I$3, $N$3, , $J$3, $K$3))),_xll.ciqfunctions.udf.CIQ($B11, "IQ_RD_EXP",$O$3, $I$3, $N$3, , $J$3, $K$3)&lt;0,NOT(ISNUMBER(_xll.ciqfunctions.udf.CIQ($B11,"IQ_TOTAL_REV",$O$3, $I$3, $N$3, , $J$3, $K$3))))),"",_xll.ciqfunctions.udf.CIQ($B11, "IQ_RD_EXP",$O$3, $I$3, $N$3, , $J$3, $K$3)/_xll.ciqfunctions.udf.CIQ($B11,"IQ_TOTAL_REV",$O$3, $I$3, $N$3, , $J$3, $K$3))),"")</f>
        <v/>
      </c>
      <c r="Q11" s="84" t="str">
        <f>IFERROR(IF($B11="","",IF(AND(R$4="No",OR(NOT(ISNUMBER(_xll.ciqfunctions.udf.CIQ($B11,"IQ_AR",$O$3, $I$3, $N$3, , $J$3, $K$3,,,,"USD"))),_xll.ciqfunctions.udf.CIQ($B11,"IQ_AR",$O$3, $I$3, $N$3, , $J$3, $K$3,,,,"USD")&lt;0,NOT(ISNUMBER(_xll.ciqfunctions.udf.CIQ($B11,"IQ_REVENUE",$O$3, $I$3, $N$3, , $J$3, $K$3))))),"",0.5*(_xll.ciqfunctions.udf.CIQ($B11,"IQ_AR",$O$3, $I$3, $N$3, , $J$3, $K$3)+_xll.ciqfunctions.udf.CIQ($B11,"IQ_AR",$O$3&amp;"-4", $I$3, $N$3, , $J$3, $K$3))/_xll.ciqfunctions.udf.CIQ($B11,"IQ_REVENUE",$O$3, $I$3, $N$3, , $J$3, $K$3)*365)),"")</f>
        <v/>
      </c>
      <c r="R11" s="84" t="str">
        <f>IFERROR(IF($B11="","",IF(AND(S$4="No",OR(NOT(ISNUMBER(_xll.ciqfunctions.udf.CIQ($B11,"IQ_INVENTORY",$O$3, $I$3, $N$3, , $J$3, $K$3))),_xll.ciqfunctions.udf.CIQ($B11,"IQ_INVENTORY",$O$3, $I$3, $N$3, , $J$3, $K$3)&lt;0,NOT(ISNUMBER(_xll.ciqfunctions.udf.CIQ($B11,"IQ_COGS",$O$3, $I$3, $N$3, , $J$3, $K$3))),_xll.ciqfunctions.udf.CIQ($B11,"IQ_COGS",$O$3, $I$3, $N$3, , $J$3, $K$3)&lt;0)),"",0.5*(_xll.ciqfunctions.udf.CIQ($B11,"IQ_INVENTORY",$O$3, $I$3, $N$3, , $J$3, $K$3)+_xll.ciqfunctions.udf.CIQ($B11,"IQ_INVENTORY",$O$3&amp;"-4", $I$3, $N$3, , $J$3, $K$3))/_xll.ciqfunctions.udf.CIQ($B11,"IQ_COGS",$O$3, $I$3, $N$3, , $J$3, $K$3)*365)),"")</f>
        <v/>
      </c>
      <c r="S11" s="84" t="str">
        <f>IFERROR(IF(B11="","",IF($B11="","",IF(AND(T$4="No",OR(NOT(ISNUMBER(_xll.ciqfunctions.udf.CIQ($B11,"IQ_AP",$O$3, $I$3, $N$3, , $J$3, $K$3))),_xll.ciqfunctions.udf.CIQ($B11,"IQ_AP",$O$3, $I$3, $N$3, , $J$3, $K$3)&lt;0,NOT(ISNUMBER(_xll.ciqfunctions.udf.CIQ($B11,"IQ_COGS",$O$3, $I$3, $N$3, , $J$3, $K$3))),_xll.ciqfunctions.udf.CIQ($B11,"IQ_COGS",$O$3, $I$3, $N$3, , $J$3, $K$3)&lt;0)),"",0.5*(_xll.ciqfunctions.udf.CIQ($B11,"IQ_AP",$O$3, $I$3, $N$3, , $J$3, $K$3)+_xll.ciqfunctions.udf.CIQ($B11,"IQ_AP",$O$3&amp;"-4", $I$3, $N$3, , $J$3, $K$3))/_xll.ciqfunctions.udf.CIQ($B11,"IQ_COGS",$O$3, $I$3, $N$3, , $J$3, $K$3)*365))),"")</f>
        <v/>
      </c>
      <c r="T11" s="84" t="str">
        <f>IFERROR(IF($B11="","",(Q11+R11-S11)),"")</f>
        <v/>
      </c>
      <c r="U11" s="83" t="str">
        <f>IFERROR(IF(OR(NOT(ISNUMBER(_xll.ciqfunctions.udf.CIQ($B11,"IQ_NI",$O$3, $I$3, $N$3, , $J$3, $K$3))),NOT(ISNUMBER(_xll.ciqfunctions.udf.CIQ($B11,"IQ_TOTAL_ASSETS",$O$3, $I$3, $N$3, , $J$3, $K$3)))),"",_xll.ciqfunctions.udf.CIQ($B11,"IQ_NI",$O$3, $I$3, $N$3, , $J$3, $K$3)/(0.5*(_xll.ciqfunctions.udf.CIQ($B11,"IQ_TOTAL_ASSETS",$O$3, $I$3, $N$3, , $J$3, $K$3)+_xll.ciqfunctions.udf.CIQ($B11,"IQ_TOTAL_ASSETS",$O$3&amp;"-4", $I$3, $N$3, , $J$3, $K$3)))),"")</f>
        <v/>
      </c>
      <c r="V11" s="83" t="str">
        <f>IFERROR(_xll.ciqfunctions.udf.CIQ($B11,"IQ_NI",$O$3, $I$3, $N$3, , $J$3, $K$3)*2/(_xll.ciqfunctions.udf.CIQ($B11,"IQ_TOTAL_ASSETS",$O$3, $I$3, $N$3, , $J$3, $K$3)+_xll.ciqfunctions.udf.CIQ($B11,"IQ_TOTAL_ASSETS",$O$3 &amp; "-4", $I$3, $N$3, , $J$3, $K$3)-_xll.ciqfunctions.udf.CIQ($B11,"IQ_TOTAL_CL",$O$3, $I$3, $N$3, , $J$3, $K$3)-_xll.ciqfunctions.udf.CIQ($B11,"IQ_TOTAL_CL",$O$3 &amp; "-4", $I$3, $N$3, , $J$3, $K$3)),"")</f>
        <v/>
      </c>
      <c r="W11" s="83" t="str">
        <f>IFERROR(IF(OR(NOT(ISNUMBER(_xll.ciqfunctions.udf.CIQ($B11,"IQ_NI",$O$3, $I$3, $N$3, , $J$3, $K$3))),NOT(ISNUMBER(_xll.ciqfunctions.udf.CIQ($B11,"IQ_TOTAL_EQUITY",$O$3, $I$3, $N$3, , $J$3, $K$3)))),"",_xll.ciqfunctions.udf.CIQ($B11,"IQ_NI",$O$3, $I$3, $N$3, , $J$3, $K$3)/(0.5*(_xll.ciqfunctions.udf.CIQ($B11,"IQ_TOTAL_EQUITY",$O$3, $I$3, $N$3, , $J$3, $K$3)+_xll.ciqfunctions.udf.CIQ($B11,"IQ_TOTAL_EQUITY",$O$3&amp;"-4", $I$3, $N$3, , $J$3, $K$3)))),"")</f>
        <v/>
      </c>
      <c r="X11" s="1026" t="str">
        <f>IFERROR(IF($B11="","",IF(NOT(ISNUMBER(_xll.ciqfunctions.udf.CIQ($B11,"IQ_ASSET_TURNS",$O$3, $I$3, $N$3, , $J$3, $K$3))),"",_xll.ciqfunctions.udf.CIQ($B11,"IQ_ASSET_TURNS",$O$3, $I$3, $N$3, , $J$3, $K$3))),"")</f>
        <v/>
      </c>
      <c r="Y11" s="1026" t="str">
        <f>IFERROR(IF($B11="","",IF(NOT(ISNUMBER(_xll.ciqfunctions.udf.CIQ($B11,"IQ_FIXED_ASSET_TURNS",$O$3, $I$3, $N$3, , $J$3, $K$3))),"",_xll.ciqfunctions.udf.CIQ($B11,"IQ_FIXED_ASSET_TURNS",$O$3, $I$3, $N$3, , $J$3, $K$3))),"")</f>
        <v/>
      </c>
      <c r="Z11" s="83" t="str">
        <f>IFERROR(IF(B11="","",IF(OR(NOT(ISNUMBER(_xll.ciqfunctions.udf.CIQ($B11,"IQ_CASH_OPER",$O$3, $I$3, $N$3, , $J$3, $K$3))),NOT(ISNUMBER(_xll.ciqfunctions.udf.CIQ($B11,"IQ_TOTAL_REV",$O$3, $I$3, $N$3, , $J$3, $K$3)))),"",_xll.ciqfunctions.udf.CIQ($B11,"IQ_CASH_OPER",$O$3, $I$3, $N$3, , $J$3, $K$3)/_xll.ciqfunctions.udf.CIQ($B11,"IQ_TOTAL_REV",$O$3, $I$3, $N$3, , $J$3, $K$3))),"")</f>
        <v/>
      </c>
      <c r="AA11" s="84" t="str">
        <f>IFERROR(IF(B11="","",IF(OR(NOT(ISNUMBER(_xll.ciqfunctions.udf.CIQ($B11,"IQ_TOTAL_ASSETS",IQ_LTM, $I$3, $N$3, , $J$3, $K$3))),NOT(ISNUMBER(_xll.ciqfunctions.udf.CIQ($B11,"IQ_TOTAL_COMMON_EQUITY",IQ_LTM, $I$3, $N$3, , $J$3, $K$3)))),"",_xll.ciqfunctions.udf.CIQ($B11,"IQ_TOTAL_ASSETS",IQ_LTM, $I$3, $N$3, , $J$3, $K$3)/_xll.ciqfunctions.udf.CIQ($B11,"IQ_TOTAL_COMMON_EQUITY",IQ_LTM, $I$3, $N$3, , $J$3, $K$3))),"")</f>
        <v/>
      </c>
      <c r="AB11" s="83" t="str">
        <f>IFERROR(IF(B11="","",IF(OR(NOT(ISNUMBER(_xll.ciqfunctions.udf.CIQ($B11,"IQ_EBT",$O$3, $I$3, $N$3, , $J$3, $K$3))),NOT(ISNUMBER(_xll.ciqfunctions.udf.CIQ($B11,"IQ_TOTAL_REV",$O$3, $I$3, $N$3, , $J$3, $K$3)))),"",_xll.ciqfunctions.udf.CIQ($B11,"IQ_EBT",$O$3, $I$3, $N$3, , $J$3, $K$3)/_xll.ciqfunctions.udf.CIQ($B11,"IQ_TOTAL_REV",$O$3, $I$3, $N$3, , $J$3, $K$3))),"")</f>
        <v/>
      </c>
      <c r="AC11" s="83" t="str">
        <f>IFERROR(IF(E11="","",IF(OR(NOT(ISNUMBER(_xll.ciqfunctions.udf.CIQ($B11,"IQ_INC_TAX",$O$3, $I$3, $N$3, , $J$3, $K$3))),NOT(ISNUMBER(_xll.ciqfunctions.udf.CIQ($B11,"IQ_EBT",$O$3, $I$3, $N$3, , $J$3, $K$3))),_xll.ciqfunctions.udf.CIQ($B11,"IQ_INC_TAX",$O$3, $I$3, $N$3, , $J$3, $K$3)&lt;0),"",_xll.ciqfunctions.udf.CIQ($B11,"IQ_INC_TAX",$O$3, $I$3, $N$3, , $J$3, $K$3)/ABS(_xll.ciqfunctions.udf.CIQ($B11,"IQ_EBT",$O$3, $I$3, $N$3, , $J$3, $K$3)))),"")</f>
        <v/>
      </c>
      <c r="AD11" s="84" t="str">
        <f>IFERROR(IF(B11="","",IF(NOT(ISNUMBER(_xll.ciqfunctions.udf.CIQ($B11,"IQ_Z_SCORE",$O$3, $I$3, $N$3, , $J$3, $K$3))),"",_xll.ciqfunctions.udf.CIQ($B11,"IQ_Z_SCORE",$O$3, $I$3, $N$3, , $J$3, $K$3))),"")</f>
        <v/>
      </c>
      <c r="AE11" s="85" t="str">
        <f>IF($A11="","",IF(NOT(ISNUMBER(_xll.ciqfunctions.udf.CIQ($B11, "IQ_BETA_5YR", $E$3))),"",_xll.ciqfunctions.udf.CIQ($B11, "IQ_BETA_5YR", $E$3)))</f>
        <v/>
      </c>
      <c r="AF11" s="19"/>
      <c r="AG11" s="274" t="str">
        <f>IFERROR(IF(OR($B11="",AG$3=""),"",IF(NOT(ISNUMBER(_xll.ciqfunctions.udf.CIQ($B11, "IQ_GROSS_MARGIN", AG$3, $I$3, $N$3, , $J$3, $K$3))),"",_xll.ciqfunctions.udf.CIQ($B11, "IQ_GROSS_MARGIN", AG$3, $I$3, $N$3, , $J$3, $K$3)/100)),"")</f>
        <v/>
      </c>
      <c r="AH11" s="87" t="str">
        <f>IFERROR(IF(OR($B11="",AH$3=""),"",IF(NOT(ISNUMBER(_xll.ciqfunctions.udf.CIQ($B11, "IQ_GROSS_MARGIN", AH$3, $I$3, $N$3, , $J$3, $K$3))),"",_xll.ciqfunctions.udf.CIQ($B11, "IQ_GROSS_MARGIN", AH$3, $I$3, $N$3, , $J$3, $K$3)/100)),"")</f>
        <v/>
      </c>
      <c r="AI11" s="87" t="str">
        <f>IFERROR(IF(OR($B11="",AI$3=""),"",IF(NOT(ISNUMBER(_xll.ciqfunctions.udf.CIQ($B11, "IQ_GROSS_MARGIN", AI$3, $I$3, $N$3, , $J$3, $K$3))),"",_xll.ciqfunctions.udf.CIQ($B11, "IQ_GROSS_MARGIN", AI$3, $I$3, $N$3, , $J$3, $K$3)/100)),"")</f>
        <v/>
      </c>
      <c r="AJ11" s="87" t="str">
        <f>IFERROR(IF(OR($B11="",AJ$3=""),"",IF(NOT(ISNUMBER(_xll.ciqfunctions.udf.CIQ($B11, "IQ_GROSS_MARGIN", AJ$3, $I$3, $N$3, , $J$3, $K$3))),"",_xll.ciqfunctions.udf.CIQ($B11, "IQ_GROSS_MARGIN", AJ$3, $I$3, $N$3, , $J$3, $K$3)/100)),"")</f>
        <v/>
      </c>
      <c r="AK11" s="87" t="str">
        <f>IFERROR(IF(OR($B11="",AK$3=""),"",IF(NOT(ISNUMBER(_xll.ciqfunctions.udf.CIQ($B11, "IQ_GROSS_MARGIN", AK$3, $I$3, $N$3, , $J$3, $K$3))),"",_xll.ciqfunctions.udf.CIQ($B11, "IQ_GROSS_MARGIN", AK$3, $I$3, $N$3, , $J$3, $K$3)/100)),"")</f>
        <v/>
      </c>
      <c r="AL11" s="87" t="str">
        <f>IFERROR(IF(OR($B11="",AL$3=""),"",IF(NOT(ISNUMBER(_xll.ciqfunctions.udf.CIQ($B11, "IQ_GROSS_MARGIN", AL$3, $I$3, $N$3, , $J$3, $K$3))),"",_xll.ciqfunctions.udf.CIQ($B11, "IQ_GROSS_MARGIN", AL$3, $I$3, $N$3, , $J$3, $K$3)/100)),"")</f>
        <v/>
      </c>
      <c r="AM11" s="87" t="str">
        <f>IFERROR(IF(OR($B11="",AM$3=""),"",IF(NOT(ISNUMBER(_xll.ciqfunctions.udf.CIQ($B11, "IQ_GROSS_MARGIN", AM$3, $I$3, $N$3, , $J$3, $K$3))),"",_xll.ciqfunctions.udf.CIQ($B11, "IQ_GROSS_MARGIN", AM$3, $I$3, $N$3, , $J$3, $K$3)/100)),"")</f>
        <v/>
      </c>
      <c r="AN11" s="87" t="str">
        <f>IFERROR(IF(OR($B11="",AN$3=""),"",IF(NOT(ISNUMBER(_xll.ciqfunctions.udf.CIQ($B11, "IQ_GROSS_MARGIN", AN$3, $I$3, $N$3, , $J$3, $K$3))),"",_xll.ciqfunctions.udf.CIQ($B11, "IQ_GROSS_MARGIN", AN$3, $I$3, $N$3, , $J$3, $K$3)/100)),"")</f>
        <v/>
      </c>
      <c r="AO11" s="87" t="str">
        <f>IFERROR(IF(OR($B11="",AO$3=""),"",IF(NOT(ISNUMBER(_xll.ciqfunctions.udf.CIQ($B11, "IQ_GROSS_MARGIN", AO$3, $I$3, $N$3, , $J$3, $K$3))),"",_xll.ciqfunctions.udf.CIQ($B11, "IQ_GROSS_MARGIN", AO$3, $I$3, $N$3, , $J$3, $K$3)/100)),"")</f>
        <v/>
      </c>
      <c r="AP11" s="87" t="str">
        <f>IFERROR(IF(OR($B11="",AP$3=""),"",IF(NOT(ISNUMBER(_xll.ciqfunctions.udf.CIQ($B11, "IQ_GROSS_MARGIN", AP$3, $I$3, $N$3, , $J$3, $K$3))),"",_xll.ciqfunctions.udf.CIQ($B11, "IQ_GROSS_MARGIN", AP$3, $I$3, $N$3, , $J$3, $K$3)/100)),"")</f>
        <v/>
      </c>
      <c r="AQ11" s="87" t="str">
        <f>IFERROR(IF(OR($B11="",AQ$3=""),"",IF(NOT(ISNUMBER(_xll.ciqfunctions.udf.CIQ($B11, "IQ_GROSS_MARGIN", AQ$3, $I$3, $N$3, , $J$3, $K$3))),"",_xll.ciqfunctions.udf.CIQ($B11, "IQ_GROSS_MARGIN", AQ$3, $I$3, $N$3, , $J$3, $K$3)/100)),"")</f>
        <v/>
      </c>
      <c r="AR11" s="87" t="str">
        <f>IFERROR(IF(OR($B11="",AR$3=""),"",IF(NOT(ISNUMBER(_xll.ciqfunctions.udf.CIQ($B11, "IQ_GROSS_MARGIN", AR$3, $I$3, $N$3, , $J$3, $K$3))),"",_xll.ciqfunctions.udf.CIQ($B11, "IQ_GROSS_MARGIN", AR$3, $I$3, $N$3, , $J$3, $K$3)/100)),"")</f>
        <v/>
      </c>
      <c r="AS11" s="87" t="str">
        <f>IFERROR(IF(OR($B11="",AS$3=""),"",IF(NOT(ISNUMBER(_xll.ciqfunctions.udf.CIQ($B11, "IQ_GROSS_MARGIN", AS$3, $I$3, $N$3, , $J$3, $K$3))),"",_xll.ciqfunctions.udf.CIQ($B11, "IQ_GROSS_MARGIN", AS$3, $I$3, $N$3, , $J$3, $K$3)/100)),"")</f>
        <v/>
      </c>
      <c r="AT11" s="87" t="str">
        <f>IFERROR(IF(OR($B11="",AT$3=""),"",IF(NOT(ISNUMBER(_xll.ciqfunctions.udf.CIQ($B11, "IQ_GROSS_MARGIN", AT$3, $I$3, $N$3, , $J$3, $K$3))),"",_xll.ciqfunctions.udf.CIQ($B11, "IQ_GROSS_MARGIN", AT$3, $I$3, $N$3, , $J$3, $K$3)/100)),"")</f>
        <v/>
      </c>
      <c r="AU11" s="87" t="str">
        <f>IFERROR(IF(OR($B11="",AU$3=""),"",IF(NOT(ISNUMBER(_xll.ciqfunctions.udf.CIQ($B11, "IQ_GROSS_MARGIN", AU$3, $I$3, $N$3, , $J$3, $K$3))),"",_xll.ciqfunctions.udf.CIQ($B11, "IQ_GROSS_MARGIN", AU$3, $I$3, $N$3, , $J$3, $K$3)/100)),"")</f>
        <v/>
      </c>
      <c r="AV11" s="87" t="str">
        <f>IFERROR(IF(OR($B11="",AV$3=""),"",IF(NOT(ISNUMBER(_xll.ciqfunctions.udf.CIQ($B11, "IQ_GROSS_MARGIN", AV$3, $I$3, $N$3, , $J$3, $K$3))),"",_xll.ciqfunctions.udf.CIQ($B11, "IQ_GROSS_MARGIN", AV$3, $I$3, $N$3, , $J$3, $K$3)/100)),"")</f>
        <v/>
      </c>
      <c r="AW11" s="87" t="str">
        <f>IFERROR(IF(OR($B11="",AW$3=""),"",IF(NOT(ISNUMBER(_xll.ciqfunctions.udf.CIQ($B11, "IQ_GROSS_MARGIN", AW$3, $I$3, $N$3, , $J$3, $K$3))),"",_xll.ciqfunctions.udf.CIQ($B11, "IQ_GROSS_MARGIN", AW$3, $I$3, $N$3, , $J$3, $K$3)/100)),"")</f>
        <v/>
      </c>
      <c r="AX11" s="87" t="str">
        <f>IFERROR(IF(OR($B11="",AX$3=""),"",IF(NOT(ISNUMBER(_xll.ciqfunctions.udf.CIQ($B11, "IQ_GROSS_MARGIN", AX$3, $I$3, $N$3, , $J$3, $K$3))),"",_xll.ciqfunctions.udf.CIQ($B11, "IQ_GROSS_MARGIN", AX$3, $I$3, $N$3, , $J$3, $K$3)/100)),"")</f>
        <v/>
      </c>
      <c r="AY11" s="87" t="str">
        <f>IFERROR(IF(OR($B11="",AY$3=""),"",IF(NOT(ISNUMBER(_xll.ciqfunctions.udf.CIQ($B11, "IQ_GROSS_MARGIN", AY$3, $I$3, $N$3, , $J$3, $K$3))),"",_xll.ciqfunctions.udf.CIQ($B11, "IQ_GROSS_MARGIN", AY$3, $I$3, $N$3, , $J$3, $K$3)/100)),"")</f>
        <v/>
      </c>
      <c r="AZ11" s="88" t="str">
        <f>IFERROR(IF(OR($B11="",AZ$3=""),"",IF(NOT(ISNUMBER(_xll.ciqfunctions.udf.CIQ($B11, "IQ_GROSS_MARGIN", AZ$3, $I$3, $N$3, , $J$3, $K$3))),"",_xll.ciqfunctions.udf.CIQ($B11, "IQ_GROSS_MARGIN", AZ$3, $I$3, $N$3, , $J$3, $K$3)/100)),"")</f>
        <v/>
      </c>
      <c r="BA11" s="73" t="str">
        <f>IFERROR(IF(OR($B11="",BA$3=""),"",IF(NOT(ISNUMBER(_xll.ciqfunctions.udf.CIQ($B11, "IQ_EBITDA_MARGIN", BA$3, $I$3, $N$3, , $J$3, $K$3))),"",_xll.ciqfunctions.udf.CIQ($B11, "IQ_EBITDA_MARGIN", BA$3, $I$3, $N$3, , $J$3, $K$3)/100)),"")</f>
        <v/>
      </c>
      <c r="BB11" s="73" t="str">
        <f>IFERROR(IF(OR($B11="",BB$3=""),"",IF(NOT(ISNUMBER(_xll.ciqfunctions.udf.CIQ($B11, "IQ_EBITDA_MARGIN", BB$3, $I$3, $N$3, , $J$3, $K$3))),"",_xll.ciqfunctions.udf.CIQ($B11, "IQ_EBITDA_MARGIN", BB$3, $I$3, $N$3, , $J$3, $K$3)/100)),"")</f>
        <v/>
      </c>
      <c r="BC11" s="73" t="str">
        <f>IFERROR(IF(OR($B11="",BC$3=""),"",IF(NOT(ISNUMBER(_xll.ciqfunctions.udf.CIQ($B11, "IQ_EBITDA_MARGIN", BC$3, $I$3, $N$3, , $J$3, $K$3))),"",_xll.ciqfunctions.udf.CIQ($B11, "IQ_EBITDA_MARGIN", BC$3, $I$3, $N$3, , $J$3, $K$3)/100)),"")</f>
        <v/>
      </c>
      <c r="BD11" s="73" t="str">
        <f>IFERROR(IF(OR($B11="",BD$3=""),"",IF(NOT(ISNUMBER(_xll.ciqfunctions.udf.CIQ($B11, "IQ_EBITDA_MARGIN", BD$3, $I$3, $N$3, , $J$3, $K$3))),"",_xll.ciqfunctions.udf.CIQ($B11, "IQ_EBITDA_MARGIN", BD$3, $I$3, $N$3, , $J$3, $K$3)/100)),"")</f>
        <v/>
      </c>
      <c r="BE11" s="73" t="str">
        <f>IFERROR(IF(OR($B11="",BE$3=""),"",IF(NOT(ISNUMBER(_xll.ciqfunctions.udf.CIQ($B11, "IQ_EBITDA_MARGIN", BE$3, $I$3, $N$3, , $J$3, $K$3))),"",_xll.ciqfunctions.udf.CIQ($B11, "IQ_EBITDA_MARGIN", BE$3, $I$3, $N$3, , $J$3, $K$3)/100)),"")</f>
        <v/>
      </c>
      <c r="BF11" s="73" t="str">
        <f>IFERROR(IF(OR($B11="",BF$3=""),"",IF(NOT(ISNUMBER(_xll.ciqfunctions.udf.CIQ($B11, "IQ_EBITDA_MARGIN", BF$3, $I$3, $N$3, , $J$3, $K$3))),"",_xll.ciqfunctions.udf.CIQ($B11, "IQ_EBITDA_MARGIN", BF$3, $I$3, $N$3, , $J$3, $K$3)/100)),"")</f>
        <v/>
      </c>
      <c r="BG11" s="73" t="str">
        <f>IFERROR(IF(OR($B11="",BG$3=""),"",IF(NOT(ISNUMBER(_xll.ciqfunctions.udf.CIQ($B11, "IQ_EBITDA_MARGIN", BG$3, $I$3, $N$3, , $J$3, $K$3))),"",_xll.ciqfunctions.udf.CIQ($B11, "IQ_EBITDA_MARGIN", BG$3, $I$3, $N$3, , $J$3, $K$3)/100)),"")</f>
        <v/>
      </c>
      <c r="BH11" s="73" t="str">
        <f>IFERROR(IF(OR($B11="",BH$3=""),"",IF(NOT(ISNUMBER(_xll.ciqfunctions.udf.CIQ($B11, "IQ_EBITDA_MARGIN", BH$3, $I$3, $N$3, , $J$3, $K$3))),"",_xll.ciqfunctions.udf.CIQ($B11, "IQ_EBITDA_MARGIN", BH$3, $I$3, $N$3, , $J$3, $K$3)/100)),"")</f>
        <v/>
      </c>
      <c r="BI11" s="73" t="str">
        <f>IFERROR(IF(OR($B11="",BI$3=""),"",IF(NOT(ISNUMBER(_xll.ciqfunctions.udf.CIQ($B11, "IQ_EBITDA_MARGIN", BI$3, $I$3, $N$3, , $J$3, $K$3))),"",_xll.ciqfunctions.udf.CIQ($B11, "IQ_EBITDA_MARGIN", BI$3, $I$3, $N$3, , $J$3, $K$3)/100)),"")</f>
        <v/>
      </c>
      <c r="BJ11" s="73" t="str">
        <f>IFERROR(IF(OR($B11="",BJ$3=""),"",IF(NOT(ISNUMBER(_xll.ciqfunctions.udf.CIQ($B11, "IQ_EBITDA_MARGIN", BJ$3, $I$3, $N$3, , $J$3, $K$3))),"",_xll.ciqfunctions.udf.CIQ($B11, "IQ_EBITDA_MARGIN", BJ$3, $I$3, $N$3, , $J$3, $K$3)/100)),"")</f>
        <v/>
      </c>
      <c r="BK11" s="73" t="str">
        <f>IFERROR(IF(OR($B11="",BK$3=""),"",IF(NOT(ISNUMBER(_xll.ciqfunctions.udf.CIQ($B11, "IQ_EBITDA_MARGIN", BK$3, $I$3, $N$3, , $J$3, $K$3))),"",_xll.ciqfunctions.udf.CIQ($B11, "IQ_EBITDA_MARGIN", BK$3, $I$3, $N$3, , $J$3, $K$3)/100)),"")</f>
        <v/>
      </c>
      <c r="BL11" s="73" t="str">
        <f>IFERROR(IF(OR($B11="",BL$3=""),"",IF(NOT(ISNUMBER(_xll.ciqfunctions.udf.CIQ($B11, "IQ_EBITDA_MARGIN", BL$3, $I$3, $N$3, , $J$3, $K$3))),"",_xll.ciqfunctions.udf.CIQ($B11, "IQ_EBITDA_MARGIN", BL$3, $I$3, $N$3, , $J$3, $K$3)/100)),"")</f>
        <v/>
      </c>
      <c r="BM11" s="73" t="str">
        <f>IFERROR(IF(OR($B11="",BM$3=""),"",IF(NOT(ISNUMBER(_xll.ciqfunctions.udf.CIQ($B11, "IQ_EBITDA_MARGIN", BM$3, $I$3, $N$3, , $J$3, $K$3))),"",_xll.ciqfunctions.udf.CIQ($B11, "IQ_EBITDA_MARGIN", BM$3, $I$3, $N$3, , $J$3, $K$3)/100)),"")</f>
        <v/>
      </c>
      <c r="BN11" s="73" t="str">
        <f>IFERROR(IF(OR($B11="",BN$3=""),"",IF(NOT(ISNUMBER(_xll.ciqfunctions.udf.CIQ($B11, "IQ_EBITDA_MARGIN", BN$3, $I$3, $N$3, , $J$3, $K$3))),"",_xll.ciqfunctions.udf.CIQ($B11, "IQ_EBITDA_MARGIN", BN$3, $I$3, $N$3, , $J$3, $K$3)/100)),"")</f>
        <v/>
      </c>
      <c r="BO11" s="73" t="str">
        <f>IFERROR(IF(OR($B11="",BO$3=""),"",IF(NOT(ISNUMBER(_xll.ciqfunctions.udf.CIQ($B11, "IQ_EBITDA_MARGIN", BO$3, $I$3, $N$3, , $J$3, $K$3))),"",_xll.ciqfunctions.udf.CIQ($B11, "IQ_EBITDA_MARGIN", BO$3, $I$3, $N$3, , $J$3, $K$3)/100)),"")</f>
        <v/>
      </c>
      <c r="BP11" s="73" t="str">
        <f>IFERROR(IF(OR($B11="",BP$3=""),"",IF(NOT(ISNUMBER(_xll.ciqfunctions.udf.CIQ($B11, "IQ_EBITDA_MARGIN", BP$3, $I$3, $N$3, , $J$3, $K$3))),"",_xll.ciqfunctions.udf.CIQ($B11, "IQ_EBITDA_MARGIN", BP$3, $I$3, $N$3, , $J$3, $K$3)/100)),"")</f>
        <v/>
      </c>
      <c r="BQ11" s="73" t="str">
        <f>IFERROR(IF(OR($B11="",BQ$3=""),"",IF(NOT(ISNUMBER(_xll.ciqfunctions.udf.CIQ($B11, "IQ_EBITDA_MARGIN", BQ$3, $I$3, $N$3, , $J$3, $K$3))),"",_xll.ciqfunctions.udf.CIQ($B11, "IQ_EBITDA_MARGIN", BQ$3, $I$3, $N$3, , $J$3, $K$3)/100)),"")</f>
        <v/>
      </c>
      <c r="BR11" s="73" t="str">
        <f>IFERROR(IF(OR($B11="",BR$3=""),"",IF(NOT(ISNUMBER(_xll.ciqfunctions.udf.CIQ($B11, "IQ_EBITDA_MARGIN", BR$3, $I$3, $N$3, , $J$3, $K$3))),"",_xll.ciqfunctions.udf.CIQ($B11, "IQ_EBITDA_MARGIN", BR$3, $I$3, $N$3, , $J$3, $K$3)/100)),"")</f>
        <v/>
      </c>
      <c r="BS11" s="73" t="str">
        <f>IFERROR(IF(OR($B11="",BS$3=""),"",IF(NOT(ISNUMBER(_xll.ciqfunctions.udf.CIQ($B11, "IQ_EBITDA_MARGIN", BS$3, $I$3, $N$3, , $J$3, $K$3))),"",_xll.ciqfunctions.udf.CIQ($B11, "IQ_EBITDA_MARGIN", BS$3, $I$3, $N$3, , $J$3, $K$3)/100)),"")</f>
        <v/>
      </c>
      <c r="BT11" s="73" t="str">
        <f>IFERROR(IF(OR($B11="",BT$3=""),"",IF(NOT(ISNUMBER(_xll.ciqfunctions.udf.CIQ($B11, "IQ_EBITDA_MARGIN", BT$3, $I$3, $N$3, , $J$3, $K$3))),"",_xll.ciqfunctions.udf.CIQ($B11, "IQ_EBITDA_MARGIN", BT$3, $I$3, $N$3, , $J$3, $K$3)/100)),"")</f>
        <v/>
      </c>
      <c r="BU11" s="86" t="str">
        <f>IFERROR(IF(OR($B11="",BU$3=""),"",IF(NOT(ISNUMBER(_xll.ciqfunctions.udf.CIQ($B11, "IQ_EBIT_MARGIN", BU$3, $I$3, $N$3, , $J$3, $K$3))),"",_xll.ciqfunctions.udf.CIQ($B11, "IQ_EBIT_MARGIN", BU$3, $I$3, $N$3, , $J$3, $K$3)/100)),"")</f>
        <v/>
      </c>
      <c r="BV11" s="87" t="str">
        <f>IFERROR(IF(OR($B11="",BV$3=""),"",IF(NOT(ISNUMBER(_xll.ciqfunctions.udf.CIQ($B11, "IQ_EBIT_MARGIN", BV$3, $I$3, $N$3, , $J$3, $K$3))),"",_xll.ciqfunctions.udf.CIQ($B11, "IQ_EBIT_MARGIN", BV$3, $I$3, $N$3, , $J$3, $K$3)/100)),"")</f>
        <v/>
      </c>
      <c r="BW11" s="87" t="str">
        <f>IFERROR(IF(OR($B11="",BW$3=""),"",IF(NOT(ISNUMBER(_xll.ciqfunctions.udf.CIQ($B11, "IQ_EBIT_MARGIN", BW$3, $I$3, $N$3, , $J$3, $K$3))),"",_xll.ciqfunctions.udf.CIQ($B11, "IQ_EBIT_MARGIN", BW$3, $I$3, $N$3, , $J$3, $K$3)/100)),"")</f>
        <v/>
      </c>
      <c r="BX11" s="87" t="str">
        <f>IFERROR(IF(OR($B11="",BX$3=""),"",IF(NOT(ISNUMBER(_xll.ciqfunctions.udf.CIQ($B11, "IQ_EBIT_MARGIN", BX$3, $I$3, $N$3, , $J$3, $K$3))),"",_xll.ciqfunctions.udf.CIQ($B11, "IQ_EBIT_MARGIN", BX$3, $I$3, $N$3, , $J$3, $K$3)/100)),"")</f>
        <v/>
      </c>
      <c r="BY11" s="87" t="str">
        <f>IFERROR(IF(OR($B11="",BY$3=""),"",IF(NOT(ISNUMBER(_xll.ciqfunctions.udf.CIQ($B11, "IQ_EBIT_MARGIN", BY$3, $I$3, $N$3, , $J$3, $K$3))),"",_xll.ciqfunctions.udf.CIQ($B11, "IQ_EBIT_MARGIN", BY$3, $I$3, $N$3, , $J$3, $K$3)/100)),"")</f>
        <v/>
      </c>
      <c r="BZ11" s="87" t="str">
        <f>IFERROR(IF(OR($B11="",BZ$3=""),"",IF(NOT(ISNUMBER(_xll.ciqfunctions.udf.CIQ($B11, "IQ_EBIT_MARGIN", BZ$3, $I$3, $N$3, , $J$3, $K$3))),"",_xll.ciqfunctions.udf.CIQ($B11, "IQ_EBIT_MARGIN", BZ$3, $I$3, $N$3, , $J$3, $K$3)/100)),"")</f>
        <v/>
      </c>
      <c r="CA11" s="87" t="str">
        <f>IFERROR(IF(OR($B11="",CA$3=""),"",IF(NOT(ISNUMBER(_xll.ciqfunctions.udf.CIQ($B11, "IQ_EBIT_MARGIN", CA$3, $I$3, $N$3, , $J$3, $K$3))),"",_xll.ciqfunctions.udf.CIQ($B11, "IQ_EBIT_MARGIN", CA$3, $I$3, $N$3, , $J$3, $K$3)/100)),"")</f>
        <v/>
      </c>
      <c r="CB11" s="87" t="str">
        <f>IFERROR(IF(OR($B11="",CB$3=""),"",IF(NOT(ISNUMBER(_xll.ciqfunctions.udf.CIQ($B11, "IQ_EBIT_MARGIN", CB$3, $I$3, $N$3, , $J$3, $K$3))),"",_xll.ciqfunctions.udf.CIQ($B11, "IQ_EBIT_MARGIN", CB$3, $I$3, $N$3, , $J$3, $K$3)/100)),"")</f>
        <v/>
      </c>
      <c r="CC11" s="87" t="str">
        <f>IFERROR(IF(OR($B11="",CC$3=""),"",IF(NOT(ISNUMBER(_xll.ciqfunctions.udf.CIQ($B11, "IQ_EBIT_MARGIN", CC$3, $I$3, $N$3, , $J$3, $K$3))),"",_xll.ciqfunctions.udf.CIQ($B11, "IQ_EBIT_MARGIN", CC$3, $I$3, $N$3, , $J$3, $K$3)/100)),"")</f>
        <v/>
      </c>
      <c r="CD11" s="87" t="str">
        <f>IFERROR(IF(OR($B11="",CD$3=""),"",IF(NOT(ISNUMBER(_xll.ciqfunctions.udf.CIQ($B11, "IQ_EBIT_MARGIN", CD$3, $I$3, $N$3, , $J$3, $K$3))),"",_xll.ciqfunctions.udf.CIQ($B11, "IQ_EBIT_MARGIN", CD$3, $I$3, $N$3, , $J$3, $K$3)/100)),"")</f>
        <v/>
      </c>
      <c r="CE11" s="87" t="str">
        <f>IFERROR(IF(OR($B11="",CE$3=""),"",IF(NOT(ISNUMBER(_xll.ciqfunctions.udf.CIQ($B11, "IQ_EBIT_MARGIN", CE$3, $I$3, $N$3, , $J$3, $K$3))),"",_xll.ciqfunctions.udf.CIQ($B11, "IQ_EBIT_MARGIN", CE$3, $I$3, $N$3, , $J$3, $K$3)/100)),"")</f>
        <v/>
      </c>
      <c r="CF11" s="87" t="str">
        <f>IFERROR(IF(OR($B11="",CF$3=""),"",IF(NOT(ISNUMBER(_xll.ciqfunctions.udf.CIQ($B11, "IQ_EBIT_MARGIN", CF$3, $I$3, $N$3, , $J$3, $K$3))),"",_xll.ciqfunctions.udf.CIQ($B11, "IQ_EBIT_MARGIN", CF$3, $I$3, $N$3, , $J$3, $K$3)/100)),"")</f>
        <v/>
      </c>
      <c r="CG11" s="87" t="str">
        <f>IFERROR(IF(OR($B11="",CG$3=""),"",IF(NOT(ISNUMBER(_xll.ciqfunctions.udf.CIQ($B11, "IQ_EBIT_MARGIN", CG$3, $I$3, $N$3, , $J$3, $K$3))),"",_xll.ciqfunctions.udf.CIQ($B11, "IQ_EBIT_MARGIN", CG$3, $I$3, $N$3, , $J$3, $K$3)/100)),"")</f>
        <v/>
      </c>
      <c r="CH11" s="87" t="str">
        <f>IFERROR(IF(OR($B11="",CH$3=""),"",IF(NOT(ISNUMBER(_xll.ciqfunctions.udf.CIQ($B11, "IQ_EBIT_MARGIN", CH$3, $I$3, $N$3, , $J$3, $K$3))),"",_xll.ciqfunctions.udf.CIQ($B11, "IQ_EBIT_MARGIN", CH$3, $I$3, $N$3, , $J$3, $K$3)/100)),"")</f>
        <v/>
      </c>
      <c r="CI11" s="87" t="str">
        <f>IFERROR(IF(OR($B11="",CI$3=""),"",IF(NOT(ISNUMBER(_xll.ciqfunctions.udf.CIQ($B11, "IQ_EBIT_MARGIN", CI$3, $I$3, $N$3, , $J$3, $K$3))),"",_xll.ciqfunctions.udf.CIQ($B11, "IQ_EBIT_MARGIN", CI$3, $I$3, $N$3, , $J$3, $K$3)/100)),"")</f>
        <v/>
      </c>
      <c r="CJ11" s="87" t="str">
        <f>IFERROR(IF(OR($B11="",CJ$3=""),"",IF(NOT(ISNUMBER(_xll.ciqfunctions.udf.CIQ($B11, "IQ_EBIT_MARGIN", CJ$3, $I$3, $N$3, , $J$3, $K$3))),"",_xll.ciqfunctions.udf.CIQ($B11, "IQ_EBIT_MARGIN", CJ$3, $I$3, $N$3, , $J$3, $K$3)/100)),"")</f>
        <v/>
      </c>
      <c r="CK11" s="87" t="str">
        <f>IFERROR(IF(OR($B11="",CK$3=""),"",IF(NOT(ISNUMBER(_xll.ciqfunctions.udf.CIQ($B11, "IQ_EBIT_MARGIN", CK$3, $I$3, $N$3, , $J$3, $K$3))),"",_xll.ciqfunctions.udf.CIQ($B11, "IQ_EBIT_MARGIN", CK$3, $I$3, $N$3, , $J$3, $K$3)/100)),"")</f>
        <v/>
      </c>
      <c r="CL11" s="87" t="str">
        <f>IFERROR(IF(OR($B11="",CL$3=""),"",IF(NOT(ISNUMBER(_xll.ciqfunctions.udf.CIQ($B11, "IQ_EBIT_MARGIN", CL$3, $I$3, $N$3, , $J$3, $K$3))),"",_xll.ciqfunctions.udf.CIQ($B11, "IQ_EBIT_MARGIN", CL$3, $I$3, $N$3, , $J$3, $K$3)/100)),"")</f>
        <v/>
      </c>
      <c r="CM11" s="87" t="str">
        <f>IFERROR(IF(OR($B11="",CM$3=""),"",IF(NOT(ISNUMBER(_xll.ciqfunctions.udf.CIQ($B11, "IQ_EBIT_MARGIN", CM$3, $I$3, $N$3, , $J$3, $K$3))),"",_xll.ciqfunctions.udf.CIQ($B11, "IQ_EBIT_MARGIN", CM$3, $I$3, $N$3, , $J$3, $K$3)/100)),"")</f>
        <v/>
      </c>
      <c r="CN11" s="88" t="str">
        <f>IFERROR(IF(OR($B11="",CN$3=""),"",IF(NOT(ISNUMBER(_xll.ciqfunctions.udf.CIQ($B11, "IQ_EBIT_MARGIN", CN$3, $I$3, $N$3, , $J$3, $K$3))),"",_xll.ciqfunctions.udf.CIQ($B11, "IQ_EBIT_MARGIN", CN$3, $I$3, $N$3, , $J$3, $K$3)/100)),"")</f>
        <v/>
      </c>
      <c r="CO11" s="86" t="str">
        <f>IFERROR(IF(OR($B11="",CO$3=""),"",IF(NOT(ISNUMBER(_xll.ciqfunctions.udf.CIQ($B11, "IQ_NI_MARGIN", CO$3, $I$3, $N$3, , $J$3, $K$3))),"",_xll.ciqfunctions.udf.CIQ($B11, "IQ_NI_MARGIN", CO$3, $I$3, $N$3, , $J$3, $K$3)/100)),"")</f>
        <v/>
      </c>
      <c r="CP11" s="87" t="str">
        <f>IFERROR(IF(OR($B11="",CP$3=""),"",IF(NOT(ISNUMBER(_xll.ciqfunctions.udf.CIQ($B11, "IQ_NI_MARGIN", CP$3, $I$3, $N$3, , $J$3, $K$3))),"",_xll.ciqfunctions.udf.CIQ($B11, "IQ_NI_MARGIN", CP$3, $I$3, $N$3, , $J$3, $K$3)/100)),"")</f>
        <v/>
      </c>
      <c r="CQ11" s="87" t="str">
        <f>IFERROR(IF(OR($B11="",CQ$3=""),"",IF(NOT(ISNUMBER(_xll.ciqfunctions.udf.CIQ($B11, "IQ_NI_MARGIN", CQ$3, $I$3, $N$3, , $J$3, $K$3))),"",_xll.ciqfunctions.udf.CIQ($B11, "IQ_NI_MARGIN", CQ$3, $I$3, $N$3, , $J$3, $K$3)/100)),"")</f>
        <v/>
      </c>
      <c r="CR11" s="87" t="str">
        <f>IFERROR(IF(OR($B11="",CR$3=""),"",IF(NOT(ISNUMBER(_xll.ciqfunctions.udf.CIQ($B11, "IQ_NI_MARGIN", CR$3, $I$3, $N$3, , $J$3, $K$3))),"",_xll.ciqfunctions.udf.CIQ($B11, "IQ_NI_MARGIN", CR$3, $I$3, $N$3, , $J$3, $K$3)/100)),"")</f>
        <v/>
      </c>
      <c r="CS11" s="87" t="str">
        <f>IFERROR(IF(OR($B11="",CS$3=""),"",IF(NOT(ISNUMBER(_xll.ciqfunctions.udf.CIQ($B11, "IQ_NI_MARGIN", CS$3, $I$3, $N$3, , $J$3, $K$3))),"",_xll.ciqfunctions.udf.CIQ($B11, "IQ_NI_MARGIN", CS$3, $I$3, $N$3, , $J$3, $K$3)/100)),"")</f>
        <v/>
      </c>
      <c r="CT11" s="87" t="str">
        <f>IFERROR(IF(OR($B11="",CT$3=""),"",IF(NOT(ISNUMBER(_xll.ciqfunctions.udf.CIQ($B11, "IQ_NI_MARGIN", CT$3, $I$3, $N$3, , $J$3, $K$3))),"",_xll.ciqfunctions.udf.CIQ($B11, "IQ_NI_MARGIN", CT$3, $I$3, $N$3, , $J$3, $K$3)/100)),"")</f>
        <v/>
      </c>
      <c r="CU11" s="87" t="str">
        <f>IFERROR(IF(OR($B11="",CU$3=""),"",IF(NOT(ISNUMBER(_xll.ciqfunctions.udf.CIQ($B11, "IQ_NI_MARGIN", CU$3, $I$3, $N$3, , $J$3, $K$3))),"",_xll.ciqfunctions.udf.CIQ($B11, "IQ_NI_MARGIN", CU$3, $I$3, $N$3, , $J$3, $K$3)/100)),"")</f>
        <v/>
      </c>
      <c r="CV11" s="87" t="str">
        <f>IFERROR(IF(OR($B11="",CV$3=""),"",IF(NOT(ISNUMBER(_xll.ciqfunctions.udf.CIQ($B11, "IQ_NI_MARGIN", CV$3, $I$3, $N$3, , $J$3, $K$3))),"",_xll.ciqfunctions.udf.CIQ($B11, "IQ_NI_MARGIN", CV$3, $I$3, $N$3, , $J$3, $K$3)/100)),"")</f>
        <v/>
      </c>
      <c r="CW11" s="87" t="str">
        <f>IFERROR(IF(OR($B11="",CW$3=""),"",IF(NOT(ISNUMBER(_xll.ciqfunctions.udf.CIQ($B11, "IQ_NI_MARGIN", CW$3, $I$3, $N$3, , $J$3, $K$3))),"",_xll.ciqfunctions.udf.CIQ($B11, "IQ_NI_MARGIN", CW$3, $I$3, $N$3, , $J$3, $K$3)/100)),"")</f>
        <v/>
      </c>
      <c r="CX11" s="87" t="str">
        <f>IFERROR(IF(OR($B11="",CX$3=""),"",IF(NOT(ISNUMBER(_xll.ciqfunctions.udf.CIQ($B11, "IQ_NI_MARGIN", CX$3, $I$3, $N$3, , $J$3, $K$3))),"",_xll.ciqfunctions.udf.CIQ($B11, "IQ_NI_MARGIN", CX$3, $I$3, $N$3, , $J$3, $K$3)/100)),"")</f>
        <v/>
      </c>
      <c r="CY11" s="87" t="str">
        <f>IFERROR(IF(OR($B11="",CY$3=""),"",IF(NOT(ISNUMBER(_xll.ciqfunctions.udf.CIQ($B11, "IQ_NI_MARGIN", CY$3, $I$3, $N$3, , $J$3, $K$3))),"",_xll.ciqfunctions.udf.CIQ($B11, "IQ_NI_MARGIN", CY$3, $I$3, $N$3, , $J$3, $K$3)/100)),"")</f>
        <v/>
      </c>
      <c r="CZ11" s="87" t="str">
        <f>IFERROR(IF(OR($B11="",CZ$3=""),"",IF(NOT(ISNUMBER(_xll.ciqfunctions.udf.CIQ($B11, "IQ_NI_MARGIN", CZ$3, $I$3, $N$3, , $J$3, $K$3))),"",_xll.ciqfunctions.udf.CIQ($B11, "IQ_NI_MARGIN", CZ$3, $I$3, $N$3, , $J$3, $K$3)/100)),"")</f>
        <v/>
      </c>
      <c r="DA11" s="87" t="str">
        <f>IFERROR(IF(OR($B11="",DA$3=""),"",IF(NOT(ISNUMBER(_xll.ciqfunctions.udf.CIQ($B11, "IQ_NI_MARGIN", DA$3, $I$3, $N$3, , $J$3, $K$3))),"",_xll.ciqfunctions.udf.CIQ($B11, "IQ_NI_MARGIN", DA$3, $I$3, $N$3, , $J$3, $K$3)/100)),"")</f>
        <v/>
      </c>
      <c r="DB11" s="87" t="str">
        <f>IFERROR(IF(OR($B11="",DB$3=""),"",IF(NOT(ISNUMBER(_xll.ciqfunctions.udf.CIQ($B11, "IQ_NI_MARGIN", DB$3, $I$3, $N$3, , $J$3, $K$3))),"",_xll.ciqfunctions.udf.CIQ($B11, "IQ_NI_MARGIN", DB$3, $I$3, $N$3, , $J$3, $K$3)/100)),"")</f>
        <v/>
      </c>
      <c r="DC11" s="87" t="str">
        <f>IFERROR(IF(OR($B11="",DC$3=""),"",IF(NOT(ISNUMBER(_xll.ciqfunctions.udf.CIQ($B11, "IQ_NI_MARGIN", DC$3, $I$3, $N$3, , $J$3, $K$3))),"",_xll.ciqfunctions.udf.CIQ($B11, "IQ_NI_MARGIN", DC$3, $I$3, $N$3, , $J$3, $K$3)/100)),"")</f>
        <v/>
      </c>
      <c r="DD11" s="87" t="str">
        <f>IFERROR(IF(OR($B11="",DD$3=""),"",IF(NOT(ISNUMBER(_xll.ciqfunctions.udf.CIQ($B11, "IQ_NI_MARGIN", DD$3, $I$3, $N$3, , $J$3, $K$3))),"",_xll.ciqfunctions.udf.CIQ($B11, "IQ_NI_MARGIN", DD$3, $I$3, $N$3, , $J$3, $K$3)/100)),"")</f>
        <v/>
      </c>
      <c r="DE11" s="87" t="str">
        <f>IFERROR(IF(OR($B11="",DE$3=""),"",IF(NOT(ISNUMBER(_xll.ciqfunctions.udf.CIQ($B11, "IQ_NI_MARGIN", DE$3, $I$3, $N$3, , $J$3, $K$3))),"",_xll.ciqfunctions.udf.CIQ($B11, "IQ_NI_MARGIN", DE$3, $I$3, $N$3, , $J$3, $K$3)/100)),"")</f>
        <v/>
      </c>
      <c r="DF11" s="87" t="str">
        <f>IFERROR(IF(OR($B11="",DF$3=""),"",IF(NOT(ISNUMBER(_xll.ciqfunctions.udf.CIQ($B11, "IQ_NI_MARGIN", DF$3, $I$3, $N$3, , $J$3, $K$3))),"",_xll.ciqfunctions.udf.CIQ($B11, "IQ_NI_MARGIN", DF$3, $I$3, $N$3, , $J$3, $K$3)/100)),"")</f>
        <v/>
      </c>
      <c r="DG11" s="87" t="str">
        <f>IFERROR(IF(OR($B11="",DG$3=""),"",IF(NOT(ISNUMBER(_xll.ciqfunctions.udf.CIQ($B11, "IQ_NI_MARGIN", DG$3, $I$3, $N$3, , $J$3, $K$3))),"",_xll.ciqfunctions.udf.CIQ($B11, "IQ_NI_MARGIN", DG$3, $I$3, $N$3, , $J$3, $K$3)/100)),"")</f>
        <v/>
      </c>
      <c r="DH11" s="88" t="str">
        <f>IFERROR(IF(OR($B11="",DH$3=""),"",IF(NOT(ISNUMBER(_xll.ciqfunctions.udf.CIQ($B11, "IQ_NI_MARGIN", DH$3, $I$3, $N$3, , $J$3, $K$3))),"",_xll.ciqfunctions.udf.CIQ($B11, "IQ_NI_MARGIN", DH$3, $I$3, $N$3, , $J$3, $K$3)/100)),"")</f>
        <v/>
      </c>
      <c r="DI11" s="86" t="str">
        <f>IFERROR(IF(OR($B11="",DI$3=""),"",IF(OR(NOT(ISNUMBER(_xll.ciqfunctions.udf.CIQ($B11, "IQ_COGS", DI$3, $I$3, $N$3, , $J$3, $K$3))),NOT(ISNUMBER(_xll.ciqfunctions.udf.CIQ($B11, "IQ_TOTAL_REVENUE", DI$3, $I$3, $N$3, , $J$3, $K$3)))),"",_xll.ciqfunctions.udf.CIQ($B11, "IQ_COGS", DI$3, $I$3, $N$3, , $J$3, $K$3)/_xll.ciqfunctions.udf.CIQ($B11, "IQ_TOTAL_REVENUE", DI$3, $I$3, $N$3, , $J$3, $K$3))),"")</f>
        <v/>
      </c>
      <c r="DJ11" s="87" t="str">
        <f>IFERROR(IF(OR($B11="",DJ$3=""),"",IF(OR(NOT(ISNUMBER(_xll.ciqfunctions.udf.CIQ($B11, "IQ_COGS", DJ$3, $I$3, $N$3, , $J$3, $K$3))),NOT(ISNUMBER(_xll.ciqfunctions.udf.CIQ($B11, "IQ_TOTAL_REVENUE", DJ$3, $I$3, $N$3, , $J$3, $K$3)))),"",_xll.ciqfunctions.udf.CIQ($B11, "IQ_COGS", DJ$3, $I$3, $N$3, , $J$3, $K$3)/_xll.ciqfunctions.udf.CIQ($B11, "IQ_TOTAL_REVENUE", DJ$3, $I$3, $N$3, , $J$3, $K$3))),"")</f>
        <v/>
      </c>
      <c r="DK11" s="87" t="str">
        <f>IFERROR(IF(OR($B11="",DK$3=""),"",IF(OR(NOT(ISNUMBER(_xll.ciqfunctions.udf.CIQ($B11, "IQ_COGS", DK$3, $I$3, $N$3, , $J$3, $K$3))),NOT(ISNUMBER(_xll.ciqfunctions.udf.CIQ($B11, "IQ_TOTAL_REVENUE", DK$3, $I$3, $N$3, , $J$3, $K$3)))),"",_xll.ciqfunctions.udf.CIQ($B11, "IQ_COGS", DK$3, $I$3, $N$3, , $J$3, $K$3)/_xll.ciqfunctions.udf.CIQ($B11, "IQ_TOTAL_REVENUE", DK$3, $I$3, $N$3, , $J$3, $K$3))),"")</f>
        <v/>
      </c>
      <c r="DL11" s="87" t="str">
        <f>IFERROR(IF(OR($B11="",DL$3=""),"",IF(OR(NOT(ISNUMBER(_xll.ciqfunctions.udf.CIQ($B11, "IQ_COGS", DL$3, $I$3, $N$3, , $J$3, $K$3))),NOT(ISNUMBER(_xll.ciqfunctions.udf.CIQ($B11, "IQ_TOTAL_REVENUE", DL$3, $I$3, $N$3, , $J$3, $K$3)))),"",_xll.ciqfunctions.udf.CIQ($B11, "IQ_COGS", DL$3, $I$3, $N$3, , $J$3, $K$3)/_xll.ciqfunctions.udf.CIQ($B11, "IQ_TOTAL_REVENUE", DL$3, $I$3, $N$3, , $J$3, $K$3))),"")</f>
        <v/>
      </c>
      <c r="DM11" s="87" t="str">
        <f>IFERROR(IF(OR($B11="",DM$3=""),"",IF(OR(NOT(ISNUMBER(_xll.ciqfunctions.udf.CIQ($B11, "IQ_COGS", DM$3, $I$3, $N$3, , $J$3, $K$3))),NOT(ISNUMBER(_xll.ciqfunctions.udf.CIQ($B11, "IQ_TOTAL_REVENUE", DM$3, $I$3, $N$3, , $J$3, $K$3)))),"",_xll.ciqfunctions.udf.CIQ($B11, "IQ_COGS", DM$3, $I$3, $N$3, , $J$3, $K$3)/_xll.ciqfunctions.udf.CIQ($B11, "IQ_TOTAL_REVENUE", DM$3, $I$3, $N$3, , $J$3, $K$3))),"")</f>
        <v/>
      </c>
      <c r="DN11" s="87" t="str">
        <f>IFERROR(IF(OR($B11="",DN$3=""),"",IF(OR(NOT(ISNUMBER(_xll.ciqfunctions.udf.CIQ($B11, "IQ_COGS", DN$3, $I$3, $N$3, , $J$3, $K$3))),NOT(ISNUMBER(_xll.ciqfunctions.udf.CIQ($B11, "IQ_TOTAL_REVENUE", DN$3, $I$3, $N$3, , $J$3, $K$3)))),"",_xll.ciqfunctions.udf.CIQ($B11, "IQ_COGS", DN$3, $I$3, $N$3, , $J$3, $K$3)/_xll.ciqfunctions.udf.CIQ($B11, "IQ_TOTAL_REVENUE", DN$3, $I$3, $N$3, , $J$3, $K$3))),"")</f>
        <v/>
      </c>
      <c r="DO11" s="87" t="str">
        <f>IFERROR(IF(OR($B11="",DO$3=""),"",IF(OR(NOT(ISNUMBER(_xll.ciqfunctions.udf.CIQ($B11, "IQ_COGS", DO$3, $I$3, $N$3, , $J$3, $K$3))),NOT(ISNUMBER(_xll.ciqfunctions.udf.CIQ($B11, "IQ_TOTAL_REVENUE", DO$3, $I$3, $N$3, , $J$3, $K$3)))),"",_xll.ciqfunctions.udf.CIQ($B11, "IQ_COGS", DO$3, $I$3, $N$3, , $J$3, $K$3)/_xll.ciqfunctions.udf.CIQ($B11, "IQ_TOTAL_REVENUE", DO$3, $I$3, $N$3, , $J$3, $K$3))),"")</f>
        <v/>
      </c>
      <c r="DP11" s="87" t="str">
        <f>IFERROR(IF(OR($B11="",DP$3=""),"",IF(OR(NOT(ISNUMBER(_xll.ciqfunctions.udf.CIQ($B11, "IQ_COGS", DP$3, $I$3, $N$3, , $J$3, $K$3))),NOT(ISNUMBER(_xll.ciqfunctions.udf.CIQ($B11, "IQ_TOTAL_REVENUE", DP$3, $I$3, $N$3, , $J$3, $K$3)))),"",_xll.ciqfunctions.udf.CIQ($B11, "IQ_COGS", DP$3, $I$3, $N$3, , $J$3, $K$3)/_xll.ciqfunctions.udf.CIQ($B11, "IQ_TOTAL_REVENUE", DP$3, $I$3, $N$3, , $J$3, $K$3))),"")</f>
        <v/>
      </c>
      <c r="DQ11" s="87" t="str">
        <f>IFERROR(IF(OR($B11="",DQ$3=""),"",IF(OR(NOT(ISNUMBER(_xll.ciqfunctions.udf.CIQ($B11, "IQ_COGS", DQ$3, $I$3, $N$3, , $J$3, $K$3))),NOT(ISNUMBER(_xll.ciqfunctions.udf.CIQ($B11, "IQ_TOTAL_REVENUE", DQ$3, $I$3, $N$3, , $J$3, $K$3)))),"",_xll.ciqfunctions.udf.CIQ($B11, "IQ_COGS", DQ$3, $I$3, $N$3, , $J$3, $K$3)/_xll.ciqfunctions.udf.CIQ($B11, "IQ_TOTAL_REVENUE", DQ$3, $I$3, $N$3, , $J$3, $K$3))),"")</f>
        <v/>
      </c>
      <c r="DR11" s="87" t="str">
        <f>IFERROR(IF(OR($B11="",DR$3=""),"",IF(OR(NOT(ISNUMBER(_xll.ciqfunctions.udf.CIQ($B11, "IQ_COGS", DR$3, $I$3, $N$3, , $J$3, $K$3))),NOT(ISNUMBER(_xll.ciqfunctions.udf.CIQ($B11, "IQ_TOTAL_REVENUE", DR$3, $I$3, $N$3, , $J$3, $K$3)))),"",_xll.ciqfunctions.udf.CIQ($B11, "IQ_COGS", DR$3, $I$3, $N$3, , $J$3, $K$3)/_xll.ciqfunctions.udf.CIQ($B11, "IQ_TOTAL_REVENUE", DR$3, $I$3, $N$3, , $J$3, $K$3))),"")</f>
        <v/>
      </c>
      <c r="DS11" s="87" t="str">
        <f>IFERROR(IF(OR($B11="",DS$3=""),"",IF(OR(NOT(ISNUMBER(_xll.ciqfunctions.udf.CIQ($B11, "IQ_COGS", DS$3, $I$3, $N$3, , $J$3, $K$3))),NOT(ISNUMBER(_xll.ciqfunctions.udf.CIQ($B11, "IQ_TOTAL_REVENUE", DS$3, $I$3, $N$3, , $J$3, $K$3)))),"",_xll.ciqfunctions.udf.CIQ($B11, "IQ_COGS", DS$3, $I$3, $N$3, , $J$3, $K$3)/_xll.ciqfunctions.udf.CIQ($B11, "IQ_TOTAL_REVENUE", DS$3, $I$3, $N$3, , $J$3, $K$3))),"")</f>
        <v/>
      </c>
      <c r="DT11" s="87" t="str">
        <f>IFERROR(IF(OR($B11="",DT$3=""),"",IF(OR(NOT(ISNUMBER(_xll.ciqfunctions.udf.CIQ($B11, "IQ_COGS", DT$3, $I$3, $N$3, , $J$3, $K$3))),NOT(ISNUMBER(_xll.ciqfunctions.udf.CIQ($B11, "IQ_TOTAL_REVENUE", DT$3, $I$3, $N$3, , $J$3, $K$3)))),"",_xll.ciqfunctions.udf.CIQ($B11, "IQ_COGS", DT$3, $I$3, $N$3, , $J$3, $K$3)/_xll.ciqfunctions.udf.CIQ($B11, "IQ_TOTAL_REVENUE", DT$3, $I$3, $N$3, , $J$3, $K$3))),"")</f>
        <v/>
      </c>
      <c r="DU11" s="87" t="str">
        <f>IFERROR(IF(OR($B11="",DU$3=""),"",IF(OR(NOT(ISNUMBER(_xll.ciqfunctions.udf.CIQ($B11, "IQ_COGS", DU$3, $I$3, $N$3, , $J$3, $K$3))),NOT(ISNUMBER(_xll.ciqfunctions.udf.CIQ($B11, "IQ_TOTAL_REVENUE", DU$3, $I$3, $N$3, , $J$3, $K$3)))),"",_xll.ciqfunctions.udf.CIQ($B11, "IQ_COGS", DU$3, $I$3, $N$3, , $J$3, $K$3)/_xll.ciqfunctions.udf.CIQ($B11, "IQ_TOTAL_REVENUE", DU$3, $I$3, $N$3, , $J$3, $K$3))),"")</f>
        <v/>
      </c>
      <c r="DV11" s="87" t="str">
        <f>IFERROR(IF(OR($B11="",DV$3=""),"",IF(OR(NOT(ISNUMBER(_xll.ciqfunctions.udf.CIQ($B11, "IQ_COGS", DV$3, $I$3, $N$3, , $J$3, $K$3))),NOT(ISNUMBER(_xll.ciqfunctions.udf.CIQ($B11, "IQ_TOTAL_REVENUE", DV$3, $I$3, $N$3, , $J$3, $K$3)))),"",_xll.ciqfunctions.udf.CIQ($B11, "IQ_COGS", DV$3, $I$3, $N$3, , $J$3, $K$3)/_xll.ciqfunctions.udf.CIQ($B11, "IQ_TOTAL_REVENUE", DV$3, $I$3, $N$3, , $J$3, $K$3))),"")</f>
        <v/>
      </c>
      <c r="DW11" s="87" t="str">
        <f>IFERROR(IF(OR($B11="",DW$3=""),"",IF(OR(NOT(ISNUMBER(_xll.ciqfunctions.udf.CIQ($B11, "IQ_COGS", DW$3, $I$3, $N$3, , $J$3, $K$3))),NOT(ISNUMBER(_xll.ciqfunctions.udf.CIQ($B11, "IQ_TOTAL_REVENUE", DW$3, $I$3, $N$3, , $J$3, $K$3)))),"",_xll.ciqfunctions.udf.CIQ($B11, "IQ_COGS", DW$3, $I$3, $N$3, , $J$3, $K$3)/_xll.ciqfunctions.udf.CIQ($B11, "IQ_TOTAL_REVENUE", DW$3, $I$3, $N$3, , $J$3, $K$3))),"")</f>
        <v/>
      </c>
      <c r="DX11" s="87" t="str">
        <f>IFERROR(IF(OR($B11="",DX$3=""),"",IF(OR(NOT(ISNUMBER(_xll.ciqfunctions.udf.CIQ($B11, "IQ_COGS", DX$3, $I$3, $N$3, , $J$3, $K$3))),NOT(ISNUMBER(_xll.ciqfunctions.udf.CIQ($B11, "IQ_TOTAL_REVENUE", DX$3, $I$3, $N$3, , $J$3, $K$3)))),"",_xll.ciqfunctions.udf.CIQ($B11, "IQ_COGS", DX$3, $I$3, $N$3, , $J$3, $K$3)/_xll.ciqfunctions.udf.CIQ($B11, "IQ_TOTAL_REVENUE", DX$3, $I$3, $N$3, , $J$3, $K$3))),"")</f>
        <v/>
      </c>
      <c r="DY11" s="87" t="str">
        <f>IFERROR(IF(OR($B11="",DY$3=""),"",IF(OR(NOT(ISNUMBER(_xll.ciqfunctions.udf.CIQ($B11, "IQ_COGS", DY$3, $I$3, $N$3, , $J$3, $K$3))),NOT(ISNUMBER(_xll.ciqfunctions.udf.CIQ($B11, "IQ_TOTAL_REVENUE", DY$3, $I$3, $N$3, , $J$3, $K$3)))),"",_xll.ciqfunctions.udf.CIQ($B11, "IQ_COGS", DY$3, $I$3, $N$3, , $J$3, $K$3)/_xll.ciqfunctions.udf.CIQ($B11, "IQ_TOTAL_REVENUE", DY$3, $I$3, $N$3, , $J$3, $K$3))),"")</f>
        <v/>
      </c>
      <c r="DZ11" s="87" t="str">
        <f>IFERROR(IF(OR($B11="",DZ$3=""),"",IF(OR(NOT(ISNUMBER(_xll.ciqfunctions.udf.CIQ($B11, "IQ_COGS", DZ$3, $I$3, $N$3, , $J$3, $K$3))),NOT(ISNUMBER(_xll.ciqfunctions.udf.CIQ($B11, "IQ_TOTAL_REVENUE", DZ$3, $I$3, $N$3, , $J$3, $K$3)))),"",_xll.ciqfunctions.udf.CIQ($B11, "IQ_COGS", DZ$3, $I$3, $N$3, , $J$3, $K$3)/_xll.ciqfunctions.udf.CIQ($B11, "IQ_TOTAL_REVENUE", DZ$3, $I$3, $N$3, , $J$3, $K$3))),"")</f>
        <v/>
      </c>
      <c r="EA11" s="87" t="str">
        <f>IFERROR(IF(OR($B11="",EA$3=""),"",IF(OR(NOT(ISNUMBER(_xll.ciqfunctions.udf.CIQ($B11, "IQ_COGS", EA$3, $I$3, $N$3, , $J$3, $K$3))),NOT(ISNUMBER(_xll.ciqfunctions.udf.CIQ($B11, "IQ_TOTAL_REVENUE", EA$3, $I$3, $N$3, , $J$3, $K$3)))),"",_xll.ciqfunctions.udf.CIQ($B11, "IQ_COGS", EA$3, $I$3, $N$3, , $J$3, $K$3)/_xll.ciqfunctions.udf.CIQ($B11, "IQ_TOTAL_REVENUE", EA$3, $I$3, $N$3, , $J$3, $K$3))),"")</f>
        <v/>
      </c>
      <c r="EB11" s="88" t="str">
        <f>IFERROR(IF(OR($B11="",EB$3=""),"",IF(OR(NOT(ISNUMBER(_xll.ciqfunctions.udf.CIQ($B11, "IQ_COGS", EB$3, $I$3, $N$3, , $J$3, $K$3))),NOT(ISNUMBER(_xll.ciqfunctions.udf.CIQ($B11, "IQ_TOTAL_REVENUE", EB$3, $I$3, $N$3, , $J$3, $K$3)))),"",_xll.ciqfunctions.udf.CIQ($B11, "IQ_COGS", EB$3, $I$3, $N$3, , $J$3, $K$3)/_xll.ciqfunctions.udf.CIQ($B11, "IQ_TOTAL_REVENUE", EB$3, $I$3, $N$3, , $J$3, $K$3))),"")</f>
        <v/>
      </c>
      <c r="EC11" s="86" t="str">
        <f>IFERROR(IF(OR($B11="",EC$3=""),"",(_xll.ciqfunctions.udf.CIQ($B11,"IQ_TOTAL_REVENUE",EC$3, $I$3, $N$3, , $J$3, $K$3)-_xll.ciqfunctions.udf.CIQ($B11,"IQ_COGS",EC$3, $I$3, $N$3, , $J$3, $K$3)-_xll.ciqfunctions.udf.CIQ($B11,"IQ_EBITDA",EC$3, $I$3, $N$3, , $J$3, $K$3))/_xll.ciqfunctions.udf.CIQ($B11,"IQ_TOTAL_REVENUE",EC$3, $I$3, $N$3, , $J$3, $K$3)),"")</f>
        <v/>
      </c>
      <c r="ED11" s="87" t="str">
        <f>IFERROR(IF(OR($B11="",ED$3=""),"",(_xll.ciqfunctions.udf.CIQ($B11,"IQ_TOTAL_REVENUE",ED$3, $I$3, $N$3, , $J$3, $K$3)-_xll.ciqfunctions.udf.CIQ($B11,"IQ_COGS",ED$3, $I$3, $N$3, , $J$3, $K$3)-_xll.ciqfunctions.udf.CIQ($B11,"IQ_EBITDA",ED$3, $I$3, $N$3, , $J$3, $K$3))/_xll.ciqfunctions.udf.CIQ($B11,"IQ_TOTAL_REVENUE",ED$3, $I$3, $N$3, , $J$3, $K$3)),"")</f>
        <v/>
      </c>
      <c r="EE11" s="87" t="str">
        <f>IFERROR(IF(OR($B11="",EE$3=""),"",(_xll.ciqfunctions.udf.CIQ($B11,"IQ_TOTAL_REVENUE",EE$3, $I$3, $N$3, , $J$3, $K$3)-_xll.ciqfunctions.udf.CIQ($B11,"IQ_COGS",EE$3, $I$3, $N$3, , $J$3, $K$3)-_xll.ciqfunctions.udf.CIQ($B11,"IQ_EBITDA",EE$3, $I$3, $N$3, , $J$3, $K$3))/_xll.ciqfunctions.udf.CIQ($B11,"IQ_TOTAL_REVENUE",EE$3, $I$3, $N$3, , $J$3, $K$3)),"")</f>
        <v/>
      </c>
      <c r="EF11" s="87" t="str">
        <f>IFERROR(IF(OR($B11="",EF$3=""),"",(_xll.ciqfunctions.udf.CIQ($B11,"IQ_TOTAL_REVENUE",EF$3, $I$3, $N$3, , $J$3, $K$3)-_xll.ciqfunctions.udf.CIQ($B11,"IQ_COGS",EF$3, $I$3, $N$3, , $J$3, $K$3)-_xll.ciqfunctions.udf.CIQ($B11,"IQ_EBITDA",EF$3, $I$3, $N$3, , $J$3, $K$3))/_xll.ciqfunctions.udf.CIQ($B11,"IQ_TOTAL_REVENUE",EF$3, $I$3, $N$3, , $J$3, $K$3)),"")</f>
        <v/>
      </c>
      <c r="EG11" s="87" t="str">
        <f>IFERROR(IF(OR($B11="",EG$3=""),"",(_xll.ciqfunctions.udf.CIQ($B11,"IQ_TOTAL_REVENUE",EG$3, $I$3, $N$3, , $J$3, $K$3)-_xll.ciqfunctions.udf.CIQ($B11,"IQ_COGS",EG$3, $I$3, $N$3, , $J$3, $K$3)-_xll.ciqfunctions.udf.CIQ($B11,"IQ_EBITDA",EG$3, $I$3, $N$3, , $J$3, $K$3))/_xll.ciqfunctions.udf.CIQ($B11,"IQ_TOTAL_REVENUE",EG$3, $I$3, $N$3, , $J$3, $K$3)),"")</f>
        <v/>
      </c>
      <c r="EH11" s="87" t="str">
        <f>IFERROR(IF(OR($B11="",EH$3=""),"",(_xll.ciqfunctions.udf.CIQ($B11,"IQ_TOTAL_REVENUE",EH$3, $I$3, $N$3, , $J$3, $K$3)-_xll.ciqfunctions.udf.CIQ($B11,"IQ_COGS",EH$3, $I$3, $N$3, , $J$3, $K$3)-_xll.ciqfunctions.udf.CIQ($B11,"IQ_EBITDA",EH$3, $I$3, $N$3, , $J$3, $K$3))/_xll.ciqfunctions.udf.CIQ($B11,"IQ_TOTAL_REVENUE",EH$3, $I$3, $N$3, , $J$3, $K$3)),"")</f>
        <v/>
      </c>
      <c r="EI11" s="87" t="str">
        <f>IFERROR(IF(OR($B11="",EI$3=""),"",(_xll.ciqfunctions.udf.CIQ($B11,"IQ_TOTAL_REVENUE",EI$3, $I$3, $N$3, , $J$3, $K$3)-_xll.ciqfunctions.udf.CIQ($B11,"IQ_COGS",EI$3, $I$3, $N$3, , $J$3, $K$3)-_xll.ciqfunctions.udf.CIQ($B11,"IQ_EBITDA",EI$3, $I$3, $N$3, , $J$3, $K$3))/_xll.ciqfunctions.udf.CIQ($B11,"IQ_TOTAL_REVENUE",EI$3, $I$3, $N$3, , $J$3, $K$3)),"")</f>
        <v/>
      </c>
      <c r="EJ11" s="87" t="str">
        <f>IFERROR(IF(OR($B11="",EJ$3=""),"",(_xll.ciqfunctions.udf.CIQ($B11,"IQ_TOTAL_REVENUE",EJ$3, $I$3, $N$3, , $J$3, $K$3)-_xll.ciqfunctions.udf.CIQ($B11,"IQ_COGS",EJ$3, $I$3, $N$3, , $J$3, $K$3)-_xll.ciqfunctions.udf.CIQ($B11,"IQ_EBITDA",EJ$3, $I$3, $N$3, , $J$3, $K$3))/_xll.ciqfunctions.udf.CIQ($B11,"IQ_TOTAL_REVENUE",EJ$3, $I$3, $N$3, , $J$3, $K$3)),"")</f>
        <v/>
      </c>
      <c r="EK11" s="87" t="str">
        <f>IFERROR(IF(OR($B11="",EK$3=""),"",(_xll.ciqfunctions.udf.CIQ($B11,"IQ_TOTAL_REVENUE",EK$3, $I$3, $N$3, , $J$3, $K$3)-_xll.ciqfunctions.udf.CIQ($B11,"IQ_COGS",EK$3, $I$3, $N$3, , $J$3, $K$3)-_xll.ciqfunctions.udf.CIQ($B11,"IQ_EBITDA",EK$3, $I$3, $N$3, , $J$3, $K$3))/_xll.ciqfunctions.udf.CIQ($B11,"IQ_TOTAL_REVENUE",EK$3, $I$3, $N$3, , $J$3, $K$3)),"")</f>
        <v/>
      </c>
      <c r="EL11" s="87" t="str">
        <f>IFERROR(IF(OR($B11="",EL$3=""),"",(_xll.ciqfunctions.udf.CIQ($B11,"IQ_TOTAL_REVENUE",EL$3, $I$3, $N$3, , $J$3, $K$3)-_xll.ciqfunctions.udf.CIQ($B11,"IQ_COGS",EL$3, $I$3, $N$3, , $J$3, $K$3)-_xll.ciqfunctions.udf.CIQ($B11,"IQ_EBITDA",EL$3, $I$3, $N$3, , $J$3, $K$3))/_xll.ciqfunctions.udf.CIQ($B11,"IQ_TOTAL_REVENUE",EL$3, $I$3, $N$3, , $J$3, $K$3)),"")</f>
        <v/>
      </c>
      <c r="EM11" s="87" t="str">
        <f>IFERROR(IF(OR($B11="",EM$3=""),"",(_xll.ciqfunctions.udf.CIQ($B11,"IQ_TOTAL_REVENUE",EM$3, $I$3, $N$3, , $J$3, $K$3)-_xll.ciqfunctions.udf.CIQ($B11,"IQ_COGS",EM$3, $I$3, $N$3, , $J$3, $K$3)-_xll.ciqfunctions.udf.CIQ($B11,"IQ_EBITDA",EM$3, $I$3, $N$3, , $J$3, $K$3))/_xll.ciqfunctions.udf.CIQ($B11,"IQ_TOTAL_REVENUE",EM$3, $I$3, $N$3, , $J$3, $K$3)),"")</f>
        <v/>
      </c>
      <c r="EN11" s="87" t="str">
        <f>IFERROR(IF(OR($B11="",EN$3=""),"",(_xll.ciqfunctions.udf.CIQ($B11,"IQ_TOTAL_REVENUE",EN$3, $I$3, $N$3, , $J$3, $K$3)-_xll.ciqfunctions.udf.CIQ($B11,"IQ_COGS",EN$3, $I$3, $N$3, , $J$3, $K$3)-_xll.ciqfunctions.udf.CIQ($B11,"IQ_EBITDA",EN$3, $I$3, $N$3, , $J$3, $K$3))/_xll.ciqfunctions.udf.CIQ($B11,"IQ_TOTAL_REVENUE",EN$3, $I$3, $N$3, , $J$3, $K$3)),"")</f>
        <v/>
      </c>
      <c r="EO11" s="87" t="str">
        <f>IFERROR(IF(OR($B11="",EO$3=""),"",(_xll.ciqfunctions.udf.CIQ($B11,"IQ_TOTAL_REVENUE",EO$3, $I$3, $N$3, , $J$3, $K$3)-_xll.ciqfunctions.udf.CIQ($B11,"IQ_COGS",EO$3, $I$3, $N$3, , $J$3, $K$3)-_xll.ciqfunctions.udf.CIQ($B11,"IQ_EBITDA",EO$3, $I$3, $N$3, , $J$3, $K$3))/_xll.ciqfunctions.udf.CIQ($B11,"IQ_TOTAL_REVENUE",EO$3, $I$3, $N$3, , $J$3, $K$3)),"")</f>
        <v/>
      </c>
      <c r="EP11" s="87" t="str">
        <f>IFERROR(IF(OR($B11="",EP$3=""),"",(_xll.ciqfunctions.udf.CIQ($B11,"IQ_TOTAL_REVENUE",EP$3, $I$3, $N$3, , $J$3, $K$3)-_xll.ciqfunctions.udf.CIQ($B11,"IQ_COGS",EP$3, $I$3, $N$3, , $J$3, $K$3)-_xll.ciqfunctions.udf.CIQ($B11,"IQ_EBITDA",EP$3, $I$3, $N$3, , $J$3, $K$3))/_xll.ciqfunctions.udf.CIQ($B11,"IQ_TOTAL_REVENUE",EP$3, $I$3, $N$3, , $J$3, $K$3)),"")</f>
        <v/>
      </c>
      <c r="EQ11" s="87" t="str">
        <f>IFERROR(IF(OR($B11="",EQ$3=""),"",(_xll.ciqfunctions.udf.CIQ($B11,"IQ_TOTAL_REVENUE",EQ$3, $I$3, $N$3, , $J$3, $K$3)-_xll.ciqfunctions.udf.CIQ($B11,"IQ_COGS",EQ$3, $I$3, $N$3, , $J$3, $K$3)-_xll.ciqfunctions.udf.CIQ($B11,"IQ_EBITDA",EQ$3, $I$3, $N$3, , $J$3, $K$3))/_xll.ciqfunctions.udf.CIQ($B11,"IQ_TOTAL_REVENUE",EQ$3, $I$3, $N$3, , $J$3, $K$3)),"")</f>
        <v/>
      </c>
      <c r="ER11" s="87" t="str">
        <f>IFERROR(IF(OR($B11="",ER$3=""),"",(_xll.ciqfunctions.udf.CIQ($B11,"IQ_TOTAL_REVENUE",ER$3, $I$3, $N$3, , $J$3, $K$3)-_xll.ciqfunctions.udf.CIQ($B11,"IQ_COGS",ER$3, $I$3, $N$3, , $J$3, $K$3)-_xll.ciqfunctions.udf.CIQ($B11,"IQ_EBITDA",ER$3, $I$3, $N$3, , $J$3, $K$3))/_xll.ciqfunctions.udf.CIQ($B11,"IQ_TOTAL_REVENUE",ER$3, $I$3, $N$3, , $J$3, $K$3)),"")</f>
        <v/>
      </c>
      <c r="ES11" s="87" t="str">
        <f>IFERROR(IF(OR($B11="",ES$3=""),"",(_xll.ciqfunctions.udf.CIQ($B11,"IQ_TOTAL_REVENUE",ES$3, $I$3, $N$3, , $J$3, $K$3)-_xll.ciqfunctions.udf.CIQ($B11,"IQ_COGS",ES$3, $I$3, $N$3, , $J$3, $K$3)-_xll.ciqfunctions.udf.CIQ($B11,"IQ_EBITDA",ES$3, $I$3, $N$3, , $J$3, $K$3))/_xll.ciqfunctions.udf.CIQ($B11,"IQ_TOTAL_REVENUE",ES$3, $I$3, $N$3, , $J$3, $K$3)),"")</f>
        <v/>
      </c>
      <c r="ET11" s="87" t="str">
        <f>IFERROR(IF(OR($B11="",ET$3=""),"",(_xll.ciqfunctions.udf.CIQ($B11,"IQ_TOTAL_REVENUE",ET$3, $I$3, $N$3, , $J$3, $K$3)-_xll.ciqfunctions.udf.CIQ($B11,"IQ_COGS",ET$3, $I$3, $N$3, , $J$3, $K$3)-_xll.ciqfunctions.udf.CIQ($B11,"IQ_EBITDA",ET$3, $I$3, $N$3, , $J$3, $K$3))/_xll.ciqfunctions.udf.CIQ($B11,"IQ_TOTAL_REVENUE",ET$3, $I$3, $N$3, , $J$3, $K$3)),"")</f>
        <v/>
      </c>
      <c r="EU11" s="87" t="str">
        <f>IFERROR(IF(OR($B11="",EU$3=""),"",(_xll.ciqfunctions.udf.CIQ($B11,"IQ_TOTAL_REVENUE",EU$3, $I$3, $N$3, , $J$3, $K$3)-_xll.ciqfunctions.udf.CIQ($B11,"IQ_COGS",EU$3, $I$3, $N$3, , $J$3, $K$3)-_xll.ciqfunctions.udf.CIQ($B11,"IQ_EBITDA",EU$3, $I$3, $N$3, , $J$3, $K$3))/_xll.ciqfunctions.udf.CIQ($B11,"IQ_TOTAL_REVENUE",EU$3, $I$3, $N$3, , $J$3, $K$3)),"")</f>
        <v/>
      </c>
      <c r="EV11" s="88" t="str">
        <f>IFERROR(IF(OR($B11="",EV$3=""),"",(_xll.ciqfunctions.udf.CIQ($B11,"IQ_TOTAL_REVENUE",EV$3, $I$3, $N$3, , $J$3, $K$3)-_xll.ciqfunctions.udf.CIQ($B11,"IQ_COGS",EV$3, $I$3, $N$3, , $J$3, $K$3)-_xll.ciqfunctions.udf.CIQ($B11,"IQ_EBITDA",EV$3, $I$3, $N$3, , $J$3, $K$3))/_xll.ciqfunctions.udf.CIQ($B11,"IQ_TOTAL_REVENUE",EV$3, $I$3, $N$3, , $J$3, $K$3)),"")</f>
        <v/>
      </c>
      <c r="EW11" s="72" t="str">
        <f>IFERROR(IF(OR($B11="",EW$3=""),"",IF(AND($EW$4="No",_xll.ciqfunctions.udf.CIQ($B11, "IQ_SGA_MARGIN", EW$3, $I$3, $N$3, , $J$3, $K$3)&lt;=0),"",_xll.ciqfunctions.udf.CIQ($B11, "IQ_SGA_MARGIN", EW$3, $I$3, $N$3, , $J$3, $K$3)/100)),"")</f>
        <v/>
      </c>
      <c r="EX11" s="72" t="str">
        <f>IFERROR(IF(OR($B11="",EX$3=""),"",IF(AND($EW$4="No",_xll.ciqfunctions.udf.CIQ($B11, "IQ_SGA_MARGIN", EX$3, $I$3, $N$3, , $J$3, $K$3)&lt;=0),"",_xll.ciqfunctions.udf.CIQ($B11, "IQ_SGA_MARGIN", EX$3, $I$3, $N$3, , $J$3, $K$3)/100)),"")</f>
        <v/>
      </c>
      <c r="EY11" s="72" t="str">
        <f>IFERROR(IF(OR($B11="",EY$3=""),"",IF(AND($EW$4="No",_xll.ciqfunctions.udf.CIQ($B11, "IQ_SGA_MARGIN", EY$3, $I$3, $N$3, , $J$3, $K$3)&lt;=0),"",_xll.ciqfunctions.udf.CIQ($B11, "IQ_SGA_MARGIN", EY$3, $I$3, $N$3, , $J$3, $K$3)/100)),"")</f>
        <v/>
      </c>
      <c r="EZ11" s="72" t="str">
        <f>IFERROR(IF(OR($B11="",EZ$3=""),"",IF(AND($EW$4="No",_xll.ciqfunctions.udf.CIQ($B11, "IQ_SGA_MARGIN", EZ$3, $I$3, $N$3, , $J$3, $K$3)&lt;=0),"",_xll.ciqfunctions.udf.CIQ($B11, "IQ_SGA_MARGIN", EZ$3, $I$3, $N$3, , $J$3, $K$3)/100)),"")</f>
        <v/>
      </c>
      <c r="FA11" s="72" t="str">
        <f>IFERROR(IF(OR($B11="",FA$3=""),"",IF(AND($EW$4="No",_xll.ciqfunctions.udf.CIQ($B11, "IQ_SGA_MARGIN", FA$3, $I$3, $N$3, , $J$3, $K$3)&lt;=0),"",_xll.ciqfunctions.udf.CIQ($B11, "IQ_SGA_MARGIN", FA$3, $I$3, $N$3, , $J$3, $K$3)/100)),"")</f>
        <v/>
      </c>
      <c r="FB11" s="72" t="str">
        <f>IFERROR(IF(OR($B11="",FB$3=""),"",IF(AND($EW$4="No",_xll.ciqfunctions.udf.CIQ($B11, "IQ_SGA_MARGIN", FB$3, $I$3, $N$3, , $J$3, $K$3)&lt;=0),"",_xll.ciqfunctions.udf.CIQ($B11, "IQ_SGA_MARGIN", FB$3, $I$3, $N$3, , $J$3, $K$3)/100)),"")</f>
        <v/>
      </c>
      <c r="FC11" s="72" t="str">
        <f>IFERROR(IF(OR($B11="",FC$3=""),"",IF(AND($EW$4="No",_xll.ciqfunctions.udf.CIQ($B11, "IQ_SGA_MARGIN", FC$3, $I$3, $N$3, , $J$3, $K$3)&lt;=0),"",_xll.ciqfunctions.udf.CIQ($B11, "IQ_SGA_MARGIN", FC$3, $I$3, $N$3, , $J$3, $K$3)/100)),"")</f>
        <v/>
      </c>
      <c r="FD11" s="72" t="str">
        <f>IFERROR(IF(OR($B11="",FD$3=""),"",IF(AND($EW$4="No",_xll.ciqfunctions.udf.CIQ($B11, "IQ_SGA_MARGIN", FD$3, $I$3, $N$3, , $J$3, $K$3)&lt;=0),"",_xll.ciqfunctions.udf.CIQ($B11, "IQ_SGA_MARGIN", FD$3, $I$3, $N$3, , $J$3, $K$3)/100)),"")</f>
        <v/>
      </c>
      <c r="FE11" s="72" t="str">
        <f>IFERROR(IF(OR($B11="",FE$3=""),"",IF(AND($EW$4="No",_xll.ciqfunctions.udf.CIQ($B11, "IQ_SGA_MARGIN", FE$3, $I$3, $N$3, , $J$3, $K$3)&lt;=0),"",_xll.ciqfunctions.udf.CIQ($B11, "IQ_SGA_MARGIN", FE$3, $I$3, $N$3, , $J$3, $K$3)/100)),"")</f>
        <v/>
      </c>
      <c r="FF11" s="72" t="str">
        <f>IFERROR(IF(OR($B11="",FF$3=""),"",IF(AND($EW$4="No",_xll.ciqfunctions.udf.CIQ($B11, "IQ_SGA_MARGIN", FF$3, $I$3, $N$3, , $J$3, $K$3)&lt;=0),"",_xll.ciqfunctions.udf.CIQ($B11, "IQ_SGA_MARGIN", FF$3, $I$3, $N$3, , $J$3, $K$3)/100)),"")</f>
        <v/>
      </c>
      <c r="FG11" s="72" t="str">
        <f>IFERROR(IF(OR($B11="",FG$3=""),"",IF(AND($EW$4="No",_xll.ciqfunctions.udf.CIQ($B11, "IQ_SGA_MARGIN", FG$3, $I$3, $N$3, , $J$3, $K$3)&lt;=0),"",_xll.ciqfunctions.udf.CIQ($B11, "IQ_SGA_MARGIN", FG$3, $I$3, $N$3, , $J$3, $K$3)/100)),"")</f>
        <v/>
      </c>
      <c r="FH11" s="72" t="str">
        <f>IFERROR(IF(OR($B11="",FH$3=""),"",IF(AND($EW$4="No",_xll.ciqfunctions.udf.CIQ($B11, "IQ_SGA_MARGIN", FH$3, $I$3, $N$3, , $J$3, $K$3)&lt;=0),"",_xll.ciqfunctions.udf.CIQ($B11, "IQ_SGA_MARGIN", FH$3, $I$3, $N$3, , $J$3, $K$3)/100)),"")</f>
        <v/>
      </c>
      <c r="FI11" s="72" t="str">
        <f>IFERROR(IF(OR($B11="",FI$3=""),"",IF(AND($EW$4="No",_xll.ciqfunctions.udf.CIQ($B11, "IQ_SGA_MARGIN", FI$3, $I$3, $N$3, , $J$3, $K$3)&lt;=0),"",_xll.ciqfunctions.udf.CIQ($B11, "IQ_SGA_MARGIN", FI$3, $I$3, $N$3, , $J$3, $K$3)/100)),"")</f>
        <v/>
      </c>
      <c r="FJ11" s="72" t="str">
        <f>IFERROR(IF(OR($B11="",FJ$3=""),"",IF(AND($EW$4="No",_xll.ciqfunctions.udf.CIQ($B11, "IQ_SGA_MARGIN", FJ$3, $I$3, $N$3, , $J$3, $K$3)&lt;=0),"",_xll.ciqfunctions.udf.CIQ($B11, "IQ_SGA_MARGIN", FJ$3, $I$3, $N$3, , $J$3, $K$3)/100)),"")</f>
        <v/>
      </c>
      <c r="FK11" s="72" t="str">
        <f>IFERROR(IF(OR($B11="",FK$3=""),"",IF(AND($EW$4="No",_xll.ciqfunctions.udf.CIQ($B11, "IQ_SGA_MARGIN", FK$3, $I$3, $N$3, , $J$3, $K$3)&lt;=0),"",_xll.ciqfunctions.udf.CIQ($B11, "IQ_SGA_MARGIN", FK$3, $I$3, $N$3, , $J$3, $K$3)/100)),"")</f>
        <v/>
      </c>
      <c r="FL11" s="72" t="str">
        <f>IFERROR(IF(OR($B11="",FL$3=""),"",IF(AND($EW$4="No",_xll.ciqfunctions.udf.CIQ($B11, "IQ_SGA_MARGIN", FL$3, $I$3, $N$3, , $J$3, $K$3)&lt;=0),"",_xll.ciqfunctions.udf.CIQ($B11, "IQ_SGA_MARGIN", FL$3, $I$3, $N$3, , $J$3, $K$3)/100)),"")</f>
        <v/>
      </c>
      <c r="FM11" s="72" t="str">
        <f>IFERROR(IF(OR($B11="",FM$3=""),"",IF(AND($EW$4="No",_xll.ciqfunctions.udf.CIQ($B11, "IQ_SGA_MARGIN", FM$3, $I$3, $N$3, , $J$3, $K$3)&lt;=0),"",_xll.ciqfunctions.udf.CIQ($B11, "IQ_SGA_MARGIN", FM$3, $I$3, $N$3, , $J$3, $K$3)/100)),"")</f>
        <v/>
      </c>
      <c r="FN11" s="72" t="str">
        <f>IFERROR(IF(OR($B11="",FN$3=""),"",IF(AND($EW$4="No",_xll.ciqfunctions.udf.CIQ($B11, "IQ_SGA_MARGIN", FN$3, $I$3, $N$3, , $J$3, $K$3)&lt;=0),"",_xll.ciqfunctions.udf.CIQ($B11, "IQ_SGA_MARGIN", FN$3, $I$3, $N$3, , $J$3, $K$3)/100)),"")</f>
        <v/>
      </c>
      <c r="FO11" s="72" t="str">
        <f>IFERROR(IF(OR($B11="",FO$3=""),"",IF(AND($EW$4="No",_xll.ciqfunctions.udf.CIQ($B11, "IQ_SGA_MARGIN", FO$3, $I$3, $N$3, , $J$3, $K$3)&lt;=0),"",_xll.ciqfunctions.udf.CIQ($B11, "IQ_SGA_MARGIN", FO$3, $I$3, $N$3, , $J$3, $K$3)/100)),"")</f>
        <v/>
      </c>
      <c r="FP11" s="72" t="str">
        <f>IFERROR(IF(OR($B11="",FP$3=""),"",IF(AND($EW$4="No",_xll.ciqfunctions.udf.CIQ($B11, "IQ_SGA_MARGIN", FP$3, $I$3, $N$3, , $J$3, $K$3)&lt;=0),"",_xll.ciqfunctions.udf.CIQ($B11, "IQ_SGA_MARGIN", FP$3, $I$3, $N$3, , $J$3, $K$3)/100)),"")</f>
        <v/>
      </c>
      <c r="FQ11" s="86" t="str">
        <f>IFERROR(IF(OR($B11="",FQ$3=""),"",IF(AND($FQ$4="No",_xll.ciqfunctions.udf.CIQ($B11, "IQ_RD_EXP",FQ$3, $I$3, $N$3, , $J$3, $K$3)&lt;=0),"",_xll.ciqfunctions.udf.CIQ($B11, "IQ_RD_EXP",FQ$3, $I$3, $N$3, , $J$3, $K$3)/_xll.ciqfunctions.udf.CIQ($B11,"IQ_TOTAL_REV",FQ$3, $I$3, $N$3, , $J$3, $K$3))),"")</f>
        <v/>
      </c>
      <c r="FR11" s="87" t="str">
        <f>IFERROR(IF(OR($B11="",FR$3=""),"",IF(AND($FQ$4="No",_xll.ciqfunctions.udf.CIQ($B11, "IQ_RD_EXP",FR$3, $I$3, $N$3, , $J$3, $K$3)&lt;=0),"",_xll.ciqfunctions.udf.CIQ($B11, "IQ_RD_EXP",FR$3, $I$3, $N$3, , $J$3, $K$3)/_xll.ciqfunctions.udf.CIQ($B11,"IQ_TOTAL_REV",FR$3, $I$3, $N$3, , $J$3, $K$3))),"")</f>
        <v/>
      </c>
      <c r="FS11" s="87" t="str">
        <f>IFERROR(IF(OR($B11="",FS$3=""),"",IF(AND($FQ$4="No",_xll.ciqfunctions.udf.CIQ($B11, "IQ_RD_EXP",FS$3, $I$3, $N$3, , $J$3, $K$3)&lt;=0),"",_xll.ciqfunctions.udf.CIQ($B11, "IQ_RD_EXP",FS$3, $I$3, $N$3, , $J$3, $K$3)/_xll.ciqfunctions.udf.CIQ($B11,"IQ_TOTAL_REV",FS$3, $I$3, $N$3, , $J$3, $K$3))),"")</f>
        <v/>
      </c>
      <c r="FT11" s="87" t="str">
        <f>IFERROR(IF(OR($B11="",FT$3=""),"",IF(AND($FQ$4="No",_xll.ciqfunctions.udf.CIQ($B11, "IQ_RD_EXP",FT$3, $I$3, $N$3, , $J$3, $K$3)&lt;=0),"",_xll.ciqfunctions.udf.CIQ($B11, "IQ_RD_EXP",FT$3, $I$3, $N$3, , $J$3, $K$3)/_xll.ciqfunctions.udf.CIQ($B11,"IQ_TOTAL_REV",FT$3, $I$3, $N$3, , $J$3, $K$3))),"")</f>
        <v/>
      </c>
      <c r="FU11" s="87" t="str">
        <f>IFERROR(IF(OR($B11="",FU$3=""),"",IF(AND($FQ$4="No",_xll.ciqfunctions.udf.CIQ($B11, "IQ_RD_EXP",FU$3, $I$3, $N$3, , $J$3, $K$3)&lt;=0),"",_xll.ciqfunctions.udf.CIQ($B11, "IQ_RD_EXP",FU$3, $I$3, $N$3, , $J$3, $K$3)/_xll.ciqfunctions.udf.CIQ($B11,"IQ_TOTAL_REV",FU$3, $I$3, $N$3, , $J$3, $K$3))),"")</f>
        <v/>
      </c>
      <c r="FV11" s="87" t="str">
        <f>IFERROR(IF(OR($B11="",FV$3=""),"",IF(AND($FQ$4="No",_xll.ciqfunctions.udf.CIQ($B11, "IQ_RD_EXP",FV$3, $I$3, $N$3, , $J$3, $K$3)&lt;=0),"",_xll.ciqfunctions.udf.CIQ($B11, "IQ_RD_EXP",FV$3, $I$3, $N$3, , $J$3, $K$3)/_xll.ciqfunctions.udf.CIQ($B11,"IQ_TOTAL_REV",FV$3, $I$3, $N$3, , $J$3, $K$3))),"")</f>
        <v/>
      </c>
      <c r="FW11" s="87" t="str">
        <f>IFERROR(IF(OR($B11="",FW$3=""),"",IF(AND($FQ$4="No",_xll.ciqfunctions.udf.CIQ($B11, "IQ_RD_EXP",FW$3, $I$3, $N$3, , $J$3, $K$3)&lt;=0),"",_xll.ciqfunctions.udf.CIQ($B11, "IQ_RD_EXP",FW$3, $I$3, $N$3, , $J$3, $K$3)/_xll.ciqfunctions.udf.CIQ($B11,"IQ_TOTAL_REV",FW$3, $I$3, $N$3, , $J$3, $K$3))),"")</f>
        <v/>
      </c>
      <c r="FX11" s="87" t="str">
        <f>IFERROR(IF(OR($B11="",FX$3=""),"",IF(AND($FQ$4="No",_xll.ciqfunctions.udf.CIQ($B11, "IQ_RD_EXP",FX$3, $I$3, $N$3, , $J$3, $K$3)&lt;=0),"",_xll.ciqfunctions.udf.CIQ($B11, "IQ_RD_EXP",FX$3, $I$3, $N$3, , $J$3, $K$3)/_xll.ciqfunctions.udf.CIQ($B11,"IQ_TOTAL_REV",FX$3, $I$3, $N$3, , $J$3, $K$3))),"")</f>
        <v/>
      </c>
      <c r="FY11" s="87" t="str">
        <f>IFERROR(IF(OR($B11="",FY$3=""),"",IF(AND($FQ$4="No",_xll.ciqfunctions.udf.CIQ($B11, "IQ_RD_EXP",FY$3, $I$3, $N$3, , $J$3, $K$3)&lt;=0),"",_xll.ciqfunctions.udf.CIQ($B11, "IQ_RD_EXP",FY$3, $I$3, $N$3, , $J$3, $K$3)/_xll.ciqfunctions.udf.CIQ($B11,"IQ_TOTAL_REV",FY$3, $I$3, $N$3, , $J$3, $K$3))),"")</f>
        <v/>
      </c>
      <c r="FZ11" s="87" t="str">
        <f>IFERROR(IF(OR($B11="",FZ$3=""),"",IF(AND($FQ$4="No",_xll.ciqfunctions.udf.CIQ($B11, "IQ_RD_EXP",FZ$3, $I$3, $N$3, , $J$3, $K$3)&lt;=0),"",_xll.ciqfunctions.udf.CIQ($B11, "IQ_RD_EXP",FZ$3, $I$3, $N$3, , $J$3, $K$3)/_xll.ciqfunctions.udf.CIQ($B11,"IQ_TOTAL_REV",FZ$3, $I$3, $N$3, , $J$3, $K$3))),"")</f>
        <v/>
      </c>
      <c r="GA11" s="87" t="str">
        <f>IFERROR(IF(OR($B11="",GA$3=""),"",IF(AND($FQ$4="No",_xll.ciqfunctions.udf.CIQ($B11, "IQ_RD_EXP",GA$3, $I$3, $N$3, , $J$3, $K$3)&lt;=0),"",_xll.ciqfunctions.udf.CIQ($B11, "IQ_RD_EXP",GA$3, $I$3, $N$3, , $J$3, $K$3)/_xll.ciqfunctions.udf.CIQ($B11,"IQ_TOTAL_REV",GA$3, $I$3, $N$3, , $J$3, $K$3))),"")</f>
        <v/>
      </c>
      <c r="GB11" s="87" t="str">
        <f>IFERROR(IF(OR($B11="",GB$3=""),"",IF(AND($FQ$4="No",_xll.ciqfunctions.udf.CIQ($B11, "IQ_RD_EXP",GB$3, $I$3, $N$3, , $J$3, $K$3)&lt;=0),"",_xll.ciqfunctions.udf.CIQ($B11, "IQ_RD_EXP",GB$3, $I$3, $N$3, , $J$3, $K$3)/_xll.ciqfunctions.udf.CIQ($B11,"IQ_TOTAL_REV",GB$3, $I$3, $N$3, , $J$3, $K$3))),"")</f>
        <v/>
      </c>
      <c r="GC11" s="87" t="str">
        <f>IFERROR(IF(OR($B11="",GC$3=""),"",IF(AND($FQ$4="No",_xll.ciqfunctions.udf.CIQ($B11, "IQ_RD_EXP",GC$3, $I$3, $N$3, , $J$3, $K$3)&lt;=0),"",_xll.ciqfunctions.udf.CIQ($B11, "IQ_RD_EXP",GC$3, $I$3, $N$3, , $J$3, $K$3)/_xll.ciqfunctions.udf.CIQ($B11,"IQ_TOTAL_REV",GC$3, $I$3, $N$3, , $J$3, $K$3))),"")</f>
        <v/>
      </c>
      <c r="GD11" s="87" t="str">
        <f>IFERROR(IF(OR($B11="",GD$3=""),"",IF(AND($FQ$4="No",_xll.ciqfunctions.udf.CIQ($B11, "IQ_RD_EXP",GD$3, $I$3, $N$3, , $J$3, $K$3)&lt;=0),"",_xll.ciqfunctions.udf.CIQ($B11, "IQ_RD_EXP",GD$3, $I$3, $N$3, , $J$3, $K$3)/_xll.ciqfunctions.udf.CIQ($B11,"IQ_TOTAL_REV",GD$3, $I$3, $N$3, , $J$3, $K$3))),"")</f>
        <v/>
      </c>
      <c r="GE11" s="87" t="str">
        <f>IFERROR(IF(OR($B11="",GE$3=""),"",IF(AND($FQ$4="No",_xll.ciqfunctions.udf.CIQ($B11, "IQ_RD_EXP",GE$3, $I$3, $N$3, , $J$3, $K$3)&lt;=0),"",_xll.ciqfunctions.udf.CIQ($B11, "IQ_RD_EXP",GE$3, $I$3, $N$3, , $J$3, $K$3)/_xll.ciqfunctions.udf.CIQ($B11,"IQ_TOTAL_REV",GE$3, $I$3, $N$3, , $J$3, $K$3))),"")</f>
        <v/>
      </c>
      <c r="GF11" s="87" t="str">
        <f>IFERROR(IF(OR($B11="",GF$3=""),"",IF(AND($FQ$4="No",_xll.ciqfunctions.udf.CIQ($B11, "IQ_RD_EXP",GF$3, $I$3, $N$3, , $J$3, $K$3)&lt;=0),"",_xll.ciqfunctions.udf.CIQ($B11, "IQ_RD_EXP",GF$3, $I$3, $N$3, , $J$3, $K$3)/_xll.ciqfunctions.udf.CIQ($B11,"IQ_TOTAL_REV",GF$3, $I$3, $N$3, , $J$3, $K$3))),"")</f>
        <v/>
      </c>
      <c r="GG11" s="87" t="str">
        <f>IFERROR(IF(OR($B11="",GG$3=""),"",IF(AND($FQ$4="No",_xll.ciqfunctions.udf.CIQ($B11, "IQ_RD_EXP",GG$3, $I$3, $N$3, , $J$3, $K$3)&lt;=0),"",_xll.ciqfunctions.udf.CIQ($B11, "IQ_RD_EXP",GG$3, $I$3, $N$3, , $J$3, $K$3)/_xll.ciqfunctions.udf.CIQ($B11,"IQ_TOTAL_REV",GG$3, $I$3, $N$3, , $J$3, $K$3))),"")</f>
        <v/>
      </c>
      <c r="GH11" s="87" t="str">
        <f>IFERROR(IF(OR($B11="",GH$3=""),"",IF(AND($FQ$4="No",_xll.ciqfunctions.udf.CIQ($B11, "IQ_RD_EXP",GH$3, $I$3, $N$3, , $J$3, $K$3)&lt;=0),"",_xll.ciqfunctions.udf.CIQ($B11, "IQ_RD_EXP",GH$3, $I$3, $N$3, , $J$3, $K$3)/_xll.ciqfunctions.udf.CIQ($B11,"IQ_TOTAL_REV",GH$3, $I$3, $N$3, , $J$3, $K$3))),"")</f>
        <v/>
      </c>
      <c r="GI11" s="87" t="str">
        <f>IFERROR(IF(OR($B11="",GI$3=""),"",IF(AND($FQ$4="No",_xll.ciqfunctions.udf.CIQ($B11, "IQ_RD_EXP",GI$3, $I$3, $N$3, , $J$3, $K$3)&lt;=0),"",_xll.ciqfunctions.udf.CIQ($B11, "IQ_RD_EXP",GI$3, $I$3, $N$3, , $J$3, $K$3)/_xll.ciqfunctions.udf.CIQ($B11,"IQ_TOTAL_REV",GI$3, $I$3, $N$3, , $J$3, $K$3))),"")</f>
        <v/>
      </c>
      <c r="GJ11" s="88" t="str">
        <f>IFERROR(IF(OR($B11="",GJ$3=""),"",IF(AND($FQ$4="No",_xll.ciqfunctions.udf.CIQ($B11, "IQ_RD_EXP",GJ$3, $I$3, $N$3, , $J$3, $K$3)&lt;=0),"",_xll.ciqfunctions.udf.CIQ($B11, "IQ_RD_EXP",GJ$3, $I$3, $N$3, , $J$3, $K$3)/_xll.ciqfunctions.udf.CIQ($B11,"IQ_TOTAL_REV",GJ$3, $I$3, $N$3, , $J$3, $K$3))),"")</f>
        <v/>
      </c>
      <c r="GK11" s="89" t="str">
        <f>IFERROR(IF(OR($B11="",GK$3=""),"",IF(AND($GK$4="No",(_xll.ciqfunctions.udf.CIQ($B11,"IQ_AR",GK$3, $I$3, $N$3, , $J$3, $K$3)+_xll.ciqfunctions.udf.CIQ($B11,"IQ_AR","IQ_" &amp; LEFT(GK$3,2) &amp; "-1",GK$3, $N$3, , $J$3, $K$3))&lt;=0),"",$GK$2*0.5*(_xll.ciqfunctions.udf.CIQ($B11,"IQ_AR",GK$3, $I$3, $N$3, , $J$3, $K$3)+_xll.ciqfunctions.udf.CIQ($B11,"IQ_AR","IQ_" &amp; LEFT(GK$3,2) &amp; "-1",GK$3, $N$3, , $J$3, $K$3))/_xll.ciqfunctions.udf.CIQ($B11,"IQ_TOTAL_REVENUE",GK$3, $I$3, $N$3, , $J$3, $K$3))),"")</f>
        <v/>
      </c>
      <c r="GL11" s="90" t="str">
        <f>IFERROR(IF(OR($B11="",GL$3=""),"",IF(AND($GK$4="No",(_xll.ciqfunctions.udf.CIQ($B11,"IQ_AR",GL$3, $I$3, $N$3, , $J$3, $K$3)+_xll.ciqfunctions.udf.CIQ($B11,"IQ_AR","IQ_" &amp; LEFT(GL$3,2) &amp; "-1",GL$3, $N$3, , $J$3, $K$3))&lt;=0),"",$GK$2*0.5*(_xll.ciqfunctions.udf.CIQ($B11,"IQ_AR",GL$3, $I$3, $N$3, , $J$3, $K$3)+_xll.ciqfunctions.udf.CIQ($B11,"IQ_AR","IQ_" &amp; LEFT(GL$3,2) &amp; "-1",GL$3, $N$3, , $J$3, $K$3))/_xll.ciqfunctions.udf.CIQ($B11,"IQ_TOTAL_REVENUE",GL$3, $I$3, $N$3, , $J$3, $K$3))),"")</f>
        <v/>
      </c>
      <c r="GM11" s="90" t="str">
        <f>IFERROR(IF(OR($B11="",GM$3=""),"",IF(AND($GK$4="No",(_xll.ciqfunctions.udf.CIQ($B11,"IQ_AR",GM$3, $I$3, $N$3, , $J$3, $K$3)+_xll.ciqfunctions.udf.CIQ($B11,"IQ_AR","IQ_" &amp; LEFT(GM$3,2) &amp; "-1",GM$3, $N$3, , $J$3, $K$3))&lt;=0),"",$GK$2*0.5*(_xll.ciqfunctions.udf.CIQ($B11,"IQ_AR",GM$3, $I$3, $N$3, , $J$3, $K$3)+_xll.ciqfunctions.udf.CIQ($B11,"IQ_AR","IQ_" &amp; LEFT(GM$3,2) &amp; "-1",GM$3, $N$3, , $J$3, $K$3))/_xll.ciqfunctions.udf.CIQ($B11,"IQ_TOTAL_REVENUE",GM$3, $I$3, $N$3, , $J$3, $K$3))),"")</f>
        <v/>
      </c>
      <c r="GN11" s="90" t="str">
        <f>IFERROR(IF(OR($B11="",GN$3=""),"",IF(AND($GK$4="No",(_xll.ciqfunctions.udf.CIQ($B11,"IQ_AR",GN$3, $I$3, $N$3, , $J$3, $K$3)+_xll.ciqfunctions.udf.CIQ($B11,"IQ_AR","IQ_" &amp; LEFT(GN$3,2) &amp; "-1",GN$3, $N$3, , $J$3, $K$3))&lt;=0),"",$GK$2*0.5*(_xll.ciqfunctions.udf.CIQ($B11,"IQ_AR",GN$3, $I$3, $N$3, , $J$3, $K$3)+_xll.ciqfunctions.udf.CIQ($B11,"IQ_AR","IQ_" &amp; LEFT(GN$3,2) &amp; "-1",GN$3, $N$3, , $J$3, $K$3))/_xll.ciqfunctions.udf.CIQ($B11,"IQ_TOTAL_REVENUE",GN$3, $I$3, $N$3, , $J$3, $K$3))),"")</f>
        <v/>
      </c>
      <c r="GO11" s="90" t="str">
        <f>IFERROR(IF(OR($B11="",GO$3=""),"",IF(AND($GK$4="No",(_xll.ciqfunctions.udf.CIQ($B11,"IQ_AR",GO$3, $I$3, $N$3, , $J$3, $K$3)+_xll.ciqfunctions.udf.CIQ($B11,"IQ_AR","IQ_" &amp; LEFT(GO$3,2) &amp; "-1",GO$3, $N$3, , $J$3, $K$3))&lt;=0),"",$GK$2*0.5*(_xll.ciqfunctions.udf.CIQ($B11,"IQ_AR",GO$3, $I$3, $N$3, , $J$3, $K$3)+_xll.ciqfunctions.udf.CIQ($B11,"IQ_AR","IQ_" &amp; LEFT(GO$3,2) &amp; "-1",GO$3, $N$3, , $J$3, $K$3))/_xll.ciqfunctions.udf.CIQ($B11,"IQ_TOTAL_REVENUE",GO$3, $I$3, $N$3, , $J$3, $K$3))),"")</f>
        <v/>
      </c>
      <c r="GP11" s="90" t="str">
        <f>IFERROR(IF(OR($B11="",GP$3=""),"",IF(AND($GK$4="No",(_xll.ciqfunctions.udf.CIQ($B11,"IQ_AR",GP$3, $I$3, $N$3, , $J$3, $K$3)+_xll.ciqfunctions.udf.CIQ($B11,"IQ_AR","IQ_" &amp; LEFT(GP$3,2) &amp; "-1",GP$3, $N$3, , $J$3, $K$3))&lt;=0),"",$GK$2*0.5*(_xll.ciqfunctions.udf.CIQ($B11,"IQ_AR",GP$3, $I$3, $N$3, , $J$3, $K$3)+_xll.ciqfunctions.udf.CIQ($B11,"IQ_AR","IQ_" &amp; LEFT(GP$3,2) &amp; "-1",GP$3, $N$3, , $J$3, $K$3))/_xll.ciqfunctions.udf.CIQ($B11,"IQ_TOTAL_REVENUE",GP$3, $I$3, $N$3, , $J$3, $K$3))),"")</f>
        <v/>
      </c>
      <c r="GQ11" s="90" t="str">
        <f>IFERROR(IF(OR($B11="",GQ$3=""),"",IF(AND($GK$4="No",(_xll.ciqfunctions.udf.CIQ($B11,"IQ_AR",GQ$3, $I$3, $N$3, , $J$3, $K$3)+_xll.ciqfunctions.udf.CIQ($B11,"IQ_AR","IQ_" &amp; LEFT(GQ$3,2) &amp; "-1",GQ$3, $N$3, , $J$3, $K$3))&lt;=0),"",$GK$2*0.5*(_xll.ciqfunctions.udf.CIQ($B11,"IQ_AR",GQ$3, $I$3, $N$3, , $J$3, $K$3)+_xll.ciqfunctions.udf.CIQ($B11,"IQ_AR","IQ_" &amp; LEFT(GQ$3,2) &amp; "-1",GQ$3, $N$3, , $J$3, $K$3))/_xll.ciqfunctions.udf.CIQ($B11,"IQ_TOTAL_REVENUE",GQ$3, $I$3, $N$3, , $J$3, $K$3))),"")</f>
        <v/>
      </c>
      <c r="GR11" s="90" t="str">
        <f>IFERROR(IF(OR($B11="",GR$3=""),"",IF(AND($GK$4="No",(_xll.ciqfunctions.udf.CIQ($B11,"IQ_AR",GR$3, $I$3, $N$3, , $J$3, $K$3)+_xll.ciqfunctions.udf.CIQ($B11,"IQ_AR","IQ_" &amp; LEFT(GR$3,2) &amp; "-1",GR$3, $N$3, , $J$3, $K$3))&lt;=0),"",$GK$2*0.5*(_xll.ciqfunctions.udf.CIQ($B11,"IQ_AR",GR$3, $I$3, $N$3, , $J$3, $K$3)+_xll.ciqfunctions.udf.CIQ($B11,"IQ_AR","IQ_" &amp; LEFT(GR$3,2) &amp; "-1",GR$3, $N$3, , $J$3, $K$3))/_xll.ciqfunctions.udf.CIQ($B11,"IQ_TOTAL_REVENUE",GR$3, $I$3, $N$3, , $J$3, $K$3))),"")</f>
        <v/>
      </c>
      <c r="GS11" s="90" t="str">
        <f>IFERROR(IF(OR($B11="",GS$3=""),"",IF(AND($GK$4="No",(_xll.ciqfunctions.udf.CIQ($B11,"IQ_AR",GS$3, $I$3, $N$3, , $J$3, $K$3)+_xll.ciqfunctions.udf.CIQ($B11,"IQ_AR","IQ_" &amp; LEFT(GS$3,2) &amp; "-1",GS$3, $N$3, , $J$3, $K$3))&lt;=0),"",$GK$2*0.5*(_xll.ciqfunctions.udf.CIQ($B11,"IQ_AR",GS$3, $I$3, $N$3, , $J$3, $K$3)+_xll.ciqfunctions.udf.CIQ($B11,"IQ_AR","IQ_" &amp; LEFT(GS$3,2) &amp; "-1",GS$3, $N$3, , $J$3, $K$3))/_xll.ciqfunctions.udf.CIQ($B11,"IQ_TOTAL_REVENUE",GS$3, $I$3, $N$3, , $J$3, $K$3))),"")</f>
        <v/>
      </c>
      <c r="GT11" s="90" t="str">
        <f>IFERROR(IF(OR($B11="",GT$3=""),"",IF(AND($GK$4="No",(_xll.ciqfunctions.udf.CIQ($B11,"IQ_AR",GT$3, $I$3, $N$3, , $J$3, $K$3)+_xll.ciqfunctions.udf.CIQ($B11,"IQ_AR","IQ_" &amp; LEFT(GT$3,2) &amp; "-1",GT$3, $N$3, , $J$3, $K$3))&lt;=0),"",$GK$2*0.5*(_xll.ciqfunctions.udf.CIQ($B11,"IQ_AR",GT$3, $I$3, $N$3, , $J$3, $K$3)+_xll.ciqfunctions.udf.CIQ($B11,"IQ_AR","IQ_" &amp; LEFT(GT$3,2) &amp; "-1",GT$3, $N$3, , $J$3, $K$3))/_xll.ciqfunctions.udf.CIQ($B11,"IQ_TOTAL_REVENUE",GT$3, $I$3, $N$3, , $J$3, $K$3))),"")</f>
        <v/>
      </c>
      <c r="GU11" s="90" t="str">
        <f>IFERROR(IF(OR($B11="",GU$3=""),"",IF(AND($GK$4="No",(_xll.ciqfunctions.udf.CIQ($B11,"IQ_AR",GU$3, $I$3, $N$3, , $J$3, $K$3)+_xll.ciqfunctions.udf.CIQ($B11,"IQ_AR","IQ_" &amp; LEFT(GU$3,2) &amp; "-1",GU$3, $N$3, , $J$3, $K$3))&lt;=0),"",$GK$2*0.5*(_xll.ciqfunctions.udf.CIQ($B11,"IQ_AR",GU$3, $I$3, $N$3, , $J$3, $K$3)+_xll.ciqfunctions.udf.CIQ($B11,"IQ_AR","IQ_" &amp; LEFT(GU$3,2) &amp; "-1",GU$3, $N$3, , $J$3, $K$3))/_xll.ciqfunctions.udf.CIQ($B11,"IQ_TOTAL_REVENUE",GU$3, $I$3, $N$3, , $J$3, $K$3))),"")</f>
        <v/>
      </c>
      <c r="GV11" s="90" t="str">
        <f>IFERROR(IF(OR($B11="",GV$3=""),"",IF(AND($GK$4="No",(_xll.ciqfunctions.udf.CIQ($B11,"IQ_AR",GV$3, $I$3, $N$3, , $J$3, $K$3)+_xll.ciqfunctions.udf.CIQ($B11,"IQ_AR","IQ_" &amp; LEFT(GV$3,2) &amp; "-1",GV$3, $N$3, , $J$3, $K$3))&lt;=0),"",$GK$2*0.5*(_xll.ciqfunctions.udf.CIQ($B11,"IQ_AR",GV$3, $I$3, $N$3, , $J$3, $K$3)+_xll.ciqfunctions.udf.CIQ($B11,"IQ_AR","IQ_" &amp; LEFT(GV$3,2) &amp; "-1",GV$3, $N$3, , $J$3, $K$3))/_xll.ciqfunctions.udf.CIQ($B11,"IQ_TOTAL_REVENUE",GV$3, $I$3, $N$3, , $J$3, $K$3))),"")</f>
        <v/>
      </c>
      <c r="GW11" s="90" t="str">
        <f>IFERROR(IF(OR($B11="",GW$3=""),"",IF(AND($GK$4="No",(_xll.ciqfunctions.udf.CIQ($B11,"IQ_AR",GW$3, $I$3, $N$3, , $J$3, $K$3)+_xll.ciqfunctions.udf.CIQ($B11,"IQ_AR","IQ_" &amp; LEFT(GW$3,2) &amp; "-1",GW$3, $N$3, , $J$3, $K$3))&lt;=0),"",$GK$2*0.5*(_xll.ciqfunctions.udf.CIQ($B11,"IQ_AR",GW$3, $I$3, $N$3, , $J$3, $K$3)+_xll.ciqfunctions.udf.CIQ($B11,"IQ_AR","IQ_" &amp; LEFT(GW$3,2) &amp; "-1",GW$3, $N$3, , $J$3, $K$3))/_xll.ciqfunctions.udf.CIQ($B11,"IQ_TOTAL_REVENUE",GW$3, $I$3, $N$3, , $J$3, $K$3))),"")</f>
        <v/>
      </c>
      <c r="GX11" s="90" t="str">
        <f>IFERROR(IF(OR($B11="",GX$3=""),"",IF(AND($GK$4="No",(_xll.ciqfunctions.udf.CIQ($B11,"IQ_AR",GX$3, $I$3, $N$3, , $J$3, $K$3)+_xll.ciqfunctions.udf.CIQ($B11,"IQ_AR","IQ_" &amp; LEFT(GX$3,2) &amp; "-1",GX$3, $N$3, , $J$3, $K$3))&lt;=0),"",$GK$2*0.5*(_xll.ciqfunctions.udf.CIQ($B11,"IQ_AR",GX$3, $I$3, $N$3, , $J$3, $K$3)+_xll.ciqfunctions.udf.CIQ($B11,"IQ_AR","IQ_" &amp; LEFT(GX$3,2) &amp; "-1",GX$3, $N$3, , $J$3, $K$3))/_xll.ciqfunctions.udf.CIQ($B11,"IQ_TOTAL_REVENUE",GX$3, $I$3, $N$3, , $J$3, $K$3))),"")</f>
        <v/>
      </c>
      <c r="GY11" s="90" t="str">
        <f>IFERROR(IF(OR($B11="",GY$3=""),"",IF(AND($GK$4="No",(_xll.ciqfunctions.udf.CIQ($B11,"IQ_AR",GY$3, $I$3, $N$3, , $J$3, $K$3)+_xll.ciqfunctions.udf.CIQ($B11,"IQ_AR","IQ_" &amp; LEFT(GY$3,2) &amp; "-1",GY$3, $N$3, , $J$3, $K$3))&lt;=0),"",$GK$2*0.5*(_xll.ciqfunctions.udf.CIQ($B11,"IQ_AR",GY$3, $I$3, $N$3, , $J$3, $K$3)+_xll.ciqfunctions.udf.CIQ($B11,"IQ_AR","IQ_" &amp; LEFT(GY$3,2) &amp; "-1",GY$3, $N$3, , $J$3, $K$3))/_xll.ciqfunctions.udf.CIQ($B11,"IQ_TOTAL_REVENUE",GY$3, $I$3, $N$3, , $J$3, $K$3))),"")</f>
        <v/>
      </c>
      <c r="GZ11" s="90" t="str">
        <f>IFERROR(IF(OR($B11="",GZ$3=""),"",IF(AND($GK$4="No",(_xll.ciqfunctions.udf.CIQ($B11,"IQ_AR",GZ$3, $I$3, $N$3, , $J$3, $K$3)+_xll.ciqfunctions.udf.CIQ($B11,"IQ_AR","IQ_" &amp; LEFT(GZ$3,2) &amp; "-1",GZ$3, $N$3, , $J$3, $K$3))&lt;=0),"",$GK$2*0.5*(_xll.ciqfunctions.udf.CIQ($B11,"IQ_AR",GZ$3, $I$3, $N$3, , $J$3, $K$3)+_xll.ciqfunctions.udf.CIQ($B11,"IQ_AR","IQ_" &amp; LEFT(GZ$3,2) &amp; "-1",GZ$3, $N$3, , $J$3, $K$3))/_xll.ciqfunctions.udf.CIQ($B11,"IQ_TOTAL_REVENUE",GZ$3, $I$3, $N$3, , $J$3, $K$3))),"")</f>
        <v/>
      </c>
      <c r="HA11" s="90" t="str">
        <f>IFERROR(IF(OR($B11="",HA$3=""),"",IF(AND($GK$4="No",(_xll.ciqfunctions.udf.CIQ($B11,"IQ_AR",HA$3, $I$3, $N$3, , $J$3, $K$3)+_xll.ciqfunctions.udf.CIQ($B11,"IQ_AR","IQ_" &amp; LEFT(HA$3,2) &amp; "-1",HA$3, $N$3, , $J$3, $K$3))&lt;=0),"",$GK$2*0.5*(_xll.ciqfunctions.udf.CIQ($B11,"IQ_AR",HA$3, $I$3, $N$3, , $J$3, $K$3)+_xll.ciqfunctions.udf.CIQ($B11,"IQ_AR","IQ_" &amp; LEFT(HA$3,2) &amp; "-1",HA$3, $N$3, , $J$3, $K$3))/_xll.ciqfunctions.udf.CIQ($B11,"IQ_TOTAL_REVENUE",HA$3, $I$3, $N$3, , $J$3, $K$3))),"")</f>
        <v/>
      </c>
      <c r="HB11" s="90" t="str">
        <f>IFERROR(IF(OR($B11="",HB$3=""),"",IF(AND($GK$4="No",(_xll.ciqfunctions.udf.CIQ($B11,"IQ_AR",HB$3, $I$3, $N$3, , $J$3, $K$3)+_xll.ciqfunctions.udf.CIQ($B11,"IQ_AR","IQ_" &amp; LEFT(HB$3,2) &amp; "-1",HB$3, $N$3, , $J$3, $K$3))&lt;=0),"",$GK$2*0.5*(_xll.ciqfunctions.udf.CIQ($B11,"IQ_AR",HB$3, $I$3, $N$3, , $J$3, $K$3)+_xll.ciqfunctions.udf.CIQ($B11,"IQ_AR","IQ_" &amp; LEFT(HB$3,2) &amp; "-1",HB$3, $N$3, , $J$3, $K$3))/_xll.ciqfunctions.udf.CIQ($B11,"IQ_TOTAL_REVENUE",HB$3, $I$3, $N$3, , $J$3, $K$3))),"")</f>
        <v/>
      </c>
      <c r="HC11" s="90" t="str">
        <f>IFERROR(IF(OR($B11="",HC$3=""),"",IF(AND($GK$4="No",(_xll.ciqfunctions.udf.CIQ($B11,"IQ_AR",HC$3, $I$3, $N$3, , $J$3, $K$3)+_xll.ciqfunctions.udf.CIQ($B11,"IQ_AR","IQ_" &amp; LEFT(HC$3,2) &amp; "-1",HC$3, $N$3, , $J$3, $K$3))&lt;=0),"",$GK$2*0.5*(_xll.ciqfunctions.udf.CIQ($B11,"IQ_AR",HC$3, $I$3, $N$3, , $J$3, $K$3)+_xll.ciqfunctions.udf.CIQ($B11,"IQ_AR","IQ_" &amp; LEFT(HC$3,2) &amp; "-1",HC$3, $N$3, , $J$3, $K$3))/_xll.ciqfunctions.udf.CIQ($B11,"IQ_TOTAL_REVENUE",HC$3, $I$3, $N$3, , $J$3, $K$3))),"")</f>
        <v/>
      </c>
      <c r="HD11" s="91" t="str">
        <f>IFERROR(IF(OR($B11="",HD$3=""),"",IF(AND($GK$4="No",(_xll.ciqfunctions.udf.CIQ($B11,"IQ_AR",HD$3, $I$3, $N$3, , $J$3, $K$3)+_xll.ciqfunctions.udf.CIQ($B11,"IQ_AR","IQ_" &amp; LEFT(HD$3,2) &amp; "-1",HD$3, $N$3, , $J$3, $K$3))&lt;=0),"",$GK$2*0.5*(_xll.ciqfunctions.udf.CIQ($B11,"IQ_AR",HD$3, $I$3, $N$3, , $J$3, $K$3)+_xll.ciqfunctions.udf.CIQ($B11,"IQ_AR","IQ_" &amp; LEFT(HD$3,2) &amp; "-1",HD$3, $N$3, , $J$3, $K$3))/_xll.ciqfunctions.udf.CIQ($B11,"IQ_TOTAL_REVENUE",HD$3, $I$3, $N$3, , $J$3, $K$3))),"")</f>
        <v/>
      </c>
      <c r="HE11" s="89" t="str">
        <f>IFERROR(IF(OR($B11="",HE$3=""),"",IF(AND($HE$4="No",(_xll.ciqfunctions.udf.CIQ($B11,"IQ_INVENTORY",HE$3,$I$3, $N$3, , $J$3, $K$3)+_xll.ciqfunctions.udf.CIQ($B11,"IQ_INVENTORY","IQ_" &amp; LEFT(HE$3,2) &amp; "-1", HE$3, $N$3, , $J$3, $K$3))&lt;=0),0,$HE$2*0.5*(_xll.ciqfunctions.udf.CIQ($B11,"IQ_INVENTORY",HE$3,$I$3, $N$3, , $J$3, $K$3)+_xll.ciqfunctions.udf.CIQ($B11,"IQ_INVENTORY","IQ_" &amp; LEFT(HE$3,2) &amp; "-1", HE$3, $N$3, , $J$3, $K$3))/_xll.ciqfunctions.udf.CIQ($B11,"IQ_COGS",HE$3,$I$3, $N$3, , $J$3, $K$3))),"")</f>
        <v/>
      </c>
      <c r="HF11" s="90" t="str">
        <f>IFERROR(IF(OR($B11="",HF$3=""),"",IF(AND($HE$4="No",(_xll.ciqfunctions.udf.CIQ($B11,"IQ_INVENTORY",HF$3,$I$3, $N$3, , $J$3, $K$3)+_xll.ciqfunctions.udf.CIQ($B11,"IQ_INVENTORY","IQ_" &amp; LEFT(HF$3,2) &amp; "-1", HF$3, $N$3, , $J$3, $K$3))&lt;=0),0,$HE$2*0.5*(_xll.ciqfunctions.udf.CIQ($B11,"IQ_INVENTORY",HF$3,$I$3, $N$3, , $J$3, $K$3)+_xll.ciqfunctions.udf.CIQ($B11,"IQ_INVENTORY","IQ_" &amp; LEFT(HF$3,2) &amp; "-1", HF$3, $N$3, , $J$3, $K$3))/_xll.ciqfunctions.udf.CIQ($B11,"IQ_COGS",HF$3,$I$3, $N$3, , $J$3, $K$3))),"")</f>
        <v/>
      </c>
      <c r="HG11" s="90" t="str">
        <f>IFERROR(IF(OR($B11="",HG$3=""),"",IF(AND($HE$4="No",(_xll.ciqfunctions.udf.CIQ($B11,"IQ_INVENTORY",HG$3,$I$3, $N$3, , $J$3, $K$3)+_xll.ciqfunctions.udf.CIQ($B11,"IQ_INVENTORY","IQ_" &amp; LEFT(HG$3,2) &amp; "-1", HG$3, $N$3, , $J$3, $K$3))&lt;=0),0,$HE$2*0.5*(_xll.ciqfunctions.udf.CIQ($B11,"IQ_INVENTORY",HG$3,$I$3, $N$3, , $J$3, $K$3)+_xll.ciqfunctions.udf.CIQ($B11,"IQ_INVENTORY","IQ_" &amp; LEFT(HG$3,2) &amp; "-1", HG$3, $N$3, , $J$3, $K$3))/_xll.ciqfunctions.udf.CIQ($B11,"IQ_COGS",HG$3,$I$3, $N$3, , $J$3, $K$3))),"")</f>
        <v/>
      </c>
      <c r="HH11" s="90" t="str">
        <f>IFERROR(IF(OR($B11="",HH$3=""),"",IF(AND($HE$4="No",(_xll.ciqfunctions.udf.CIQ($B11,"IQ_INVENTORY",HH$3,$I$3, $N$3, , $J$3, $K$3)+_xll.ciqfunctions.udf.CIQ($B11,"IQ_INVENTORY","IQ_" &amp; LEFT(HH$3,2) &amp; "-1", HH$3, $N$3, , $J$3, $K$3))&lt;=0),0,$HE$2*0.5*(_xll.ciqfunctions.udf.CIQ($B11,"IQ_INVENTORY",HH$3,$I$3, $N$3, , $J$3, $K$3)+_xll.ciqfunctions.udf.CIQ($B11,"IQ_INVENTORY","IQ_" &amp; LEFT(HH$3,2) &amp; "-1", HH$3, $N$3, , $J$3, $K$3))/_xll.ciqfunctions.udf.CIQ($B11,"IQ_COGS",HH$3,$I$3, $N$3, , $J$3, $K$3))),"")</f>
        <v/>
      </c>
      <c r="HI11" s="90" t="str">
        <f>IFERROR(IF(OR($B11="",HI$3=""),"",IF(AND($HE$4="No",(_xll.ciqfunctions.udf.CIQ($B11,"IQ_INVENTORY",HI$3,$I$3, $N$3, , $J$3, $K$3)+_xll.ciqfunctions.udf.CIQ($B11,"IQ_INVENTORY","IQ_" &amp; LEFT(HI$3,2) &amp; "-1", HI$3, $N$3, , $J$3, $K$3))&lt;=0),0,$HE$2*0.5*(_xll.ciqfunctions.udf.CIQ($B11,"IQ_INVENTORY",HI$3,$I$3, $N$3, , $J$3, $K$3)+_xll.ciqfunctions.udf.CIQ($B11,"IQ_INVENTORY","IQ_" &amp; LEFT(HI$3,2) &amp; "-1", HI$3, $N$3, , $J$3, $K$3))/_xll.ciqfunctions.udf.CIQ($B11,"IQ_COGS",HI$3,$I$3, $N$3, , $J$3, $K$3))),"")</f>
        <v/>
      </c>
      <c r="HJ11" s="90" t="str">
        <f>IFERROR(IF(OR($B11="",HJ$3=""),"",IF(AND($HE$4="No",(_xll.ciqfunctions.udf.CIQ($B11,"IQ_INVENTORY",HJ$3,$I$3, $N$3, , $J$3, $K$3)+_xll.ciqfunctions.udf.CIQ($B11,"IQ_INVENTORY","IQ_" &amp; LEFT(HJ$3,2) &amp; "-1", HJ$3, $N$3, , $J$3, $K$3))&lt;=0),0,$HE$2*0.5*(_xll.ciqfunctions.udf.CIQ($B11,"IQ_INVENTORY",HJ$3,$I$3, $N$3, , $J$3, $K$3)+_xll.ciqfunctions.udf.CIQ($B11,"IQ_INVENTORY","IQ_" &amp; LEFT(HJ$3,2) &amp; "-1", HJ$3, $N$3, , $J$3, $K$3))/_xll.ciqfunctions.udf.CIQ($B11,"IQ_COGS",HJ$3,$I$3, $N$3, , $J$3, $K$3))),"")</f>
        <v/>
      </c>
      <c r="HK11" s="90" t="str">
        <f>IFERROR(IF(OR($B11="",HK$3=""),"",IF(AND($HE$4="No",(_xll.ciqfunctions.udf.CIQ($B11,"IQ_INVENTORY",HK$3,$I$3, $N$3, , $J$3, $K$3)+_xll.ciqfunctions.udf.CIQ($B11,"IQ_INVENTORY","IQ_" &amp; LEFT(HK$3,2) &amp; "-1", HK$3, $N$3, , $J$3, $K$3))&lt;=0),0,$HE$2*0.5*(_xll.ciqfunctions.udf.CIQ($B11,"IQ_INVENTORY",HK$3,$I$3, $N$3, , $J$3, $K$3)+_xll.ciqfunctions.udf.CIQ($B11,"IQ_INVENTORY","IQ_" &amp; LEFT(HK$3,2) &amp; "-1", HK$3, $N$3, , $J$3, $K$3))/_xll.ciqfunctions.udf.CIQ($B11,"IQ_COGS",HK$3,$I$3, $N$3, , $J$3, $K$3))),"")</f>
        <v/>
      </c>
      <c r="HL11" s="90" t="str">
        <f>IFERROR(IF(OR($B11="",HL$3=""),"",IF(AND($HE$4="No",(_xll.ciqfunctions.udf.CIQ($B11,"IQ_INVENTORY",HL$3,$I$3, $N$3, , $J$3, $K$3)+_xll.ciqfunctions.udf.CIQ($B11,"IQ_INVENTORY","IQ_" &amp; LEFT(HL$3,2) &amp; "-1", HL$3, $N$3, , $J$3, $K$3))&lt;=0),0,$HE$2*0.5*(_xll.ciqfunctions.udf.CIQ($B11,"IQ_INVENTORY",HL$3,$I$3, $N$3, , $J$3, $K$3)+_xll.ciqfunctions.udf.CIQ($B11,"IQ_INVENTORY","IQ_" &amp; LEFT(HL$3,2) &amp; "-1", HL$3, $N$3, , $J$3, $K$3))/_xll.ciqfunctions.udf.CIQ($B11,"IQ_COGS",HL$3,$I$3, $N$3, , $J$3, $K$3))),"")</f>
        <v/>
      </c>
      <c r="HM11" s="90" t="str">
        <f>IFERROR(IF(OR($B11="",HM$3=""),"",IF(AND($HE$4="No",(_xll.ciqfunctions.udf.CIQ($B11,"IQ_INVENTORY",HM$3,$I$3, $N$3, , $J$3, $K$3)+_xll.ciqfunctions.udf.CIQ($B11,"IQ_INVENTORY","IQ_" &amp; LEFT(HM$3,2) &amp; "-1", HM$3, $N$3, , $J$3, $K$3))&lt;=0),0,$HE$2*0.5*(_xll.ciqfunctions.udf.CIQ($B11,"IQ_INVENTORY",HM$3,$I$3, $N$3, , $J$3, $K$3)+_xll.ciqfunctions.udf.CIQ($B11,"IQ_INVENTORY","IQ_" &amp; LEFT(HM$3,2) &amp; "-1", HM$3, $N$3, , $J$3, $K$3))/_xll.ciqfunctions.udf.CIQ($B11,"IQ_COGS",HM$3,$I$3, $N$3, , $J$3, $K$3))),"")</f>
        <v/>
      </c>
      <c r="HN11" s="90" t="str">
        <f>IFERROR(IF(OR($B11="",HN$3=""),"",IF(AND($HE$4="No",(_xll.ciqfunctions.udf.CIQ($B11,"IQ_INVENTORY",HN$3,$I$3, $N$3, , $J$3, $K$3)+_xll.ciqfunctions.udf.CIQ($B11,"IQ_INVENTORY","IQ_" &amp; LEFT(HN$3,2) &amp; "-1", HN$3, $N$3, , $J$3, $K$3))&lt;=0),0,$HE$2*0.5*(_xll.ciqfunctions.udf.CIQ($B11,"IQ_INVENTORY",HN$3,$I$3, $N$3, , $J$3, $K$3)+_xll.ciqfunctions.udf.CIQ($B11,"IQ_INVENTORY","IQ_" &amp; LEFT(HN$3,2) &amp; "-1", HN$3, $N$3, , $J$3, $K$3))/_xll.ciqfunctions.udf.CIQ($B11,"IQ_COGS",HN$3,$I$3, $N$3, , $J$3, $K$3))),"")</f>
        <v/>
      </c>
      <c r="HO11" s="90" t="str">
        <f>IFERROR(IF(OR($B11="",HO$3=""),"",IF(AND($HE$4="No",(_xll.ciqfunctions.udf.CIQ($B11,"IQ_INVENTORY",HO$3,$I$3, $N$3, , $J$3, $K$3)+_xll.ciqfunctions.udf.CIQ($B11,"IQ_INVENTORY","IQ_" &amp; LEFT(HO$3,2) &amp; "-1", HO$3, $N$3, , $J$3, $K$3))&lt;=0),0,$HE$2*0.5*(_xll.ciqfunctions.udf.CIQ($B11,"IQ_INVENTORY",HO$3,$I$3, $N$3, , $J$3, $K$3)+_xll.ciqfunctions.udf.CIQ($B11,"IQ_INVENTORY","IQ_" &amp; LEFT(HO$3,2) &amp; "-1", HO$3, $N$3, , $J$3, $K$3))/_xll.ciqfunctions.udf.CIQ($B11,"IQ_COGS",HO$3,$I$3, $N$3, , $J$3, $K$3))),"")</f>
        <v/>
      </c>
      <c r="HP11" s="90" t="str">
        <f>IFERROR(IF(OR($B11="",HP$3=""),"",IF(AND($HE$4="No",(_xll.ciqfunctions.udf.CIQ($B11,"IQ_INVENTORY",HP$3,$I$3, $N$3, , $J$3, $K$3)+_xll.ciqfunctions.udf.CIQ($B11,"IQ_INVENTORY","IQ_" &amp; LEFT(HP$3,2) &amp; "-1", HP$3, $N$3, , $J$3, $K$3))&lt;=0),0,$HE$2*0.5*(_xll.ciqfunctions.udf.CIQ($B11,"IQ_INVENTORY",HP$3,$I$3, $N$3, , $J$3, $K$3)+_xll.ciqfunctions.udf.CIQ($B11,"IQ_INVENTORY","IQ_" &amp; LEFT(HP$3,2) &amp; "-1", HP$3, $N$3, , $J$3, $K$3))/_xll.ciqfunctions.udf.CIQ($B11,"IQ_COGS",HP$3,$I$3, $N$3, , $J$3, $K$3))),"")</f>
        <v/>
      </c>
      <c r="HQ11" s="90" t="str">
        <f>IFERROR(IF(OR($B11="",HQ$3=""),"",IF(AND($HE$4="No",(_xll.ciqfunctions.udf.CIQ($B11,"IQ_INVENTORY",HQ$3,$I$3, $N$3, , $J$3, $K$3)+_xll.ciqfunctions.udf.CIQ($B11,"IQ_INVENTORY","IQ_" &amp; LEFT(HQ$3,2) &amp; "-1", HQ$3, $N$3, , $J$3, $K$3))&lt;=0),0,$HE$2*0.5*(_xll.ciqfunctions.udf.CIQ($B11,"IQ_INVENTORY",HQ$3,$I$3, $N$3, , $J$3, $K$3)+_xll.ciqfunctions.udf.CIQ($B11,"IQ_INVENTORY","IQ_" &amp; LEFT(HQ$3,2) &amp; "-1", HQ$3, $N$3, , $J$3, $K$3))/_xll.ciqfunctions.udf.CIQ($B11,"IQ_COGS",HQ$3,$I$3, $N$3, , $J$3, $K$3))),"")</f>
        <v/>
      </c>
      <c r="HR11" s="90" t="str">
        <f>IFERROR(IF(OR($B11="",HR$3=""),"",IF(AND($HE$4="No",(_xll.ciqfunctions.udf.CIQ($B11,"IQ_INVENTORY",HR$3,$I$3, $N$3, , $J$3, $K$3)+_xll.ciqfunctions.udf.CIQ($B11,"IQ_INVENTORY","IQ_" &amp; LEFT(HR$3,2) &amp; "-1", HR$3, $N$3, , $J$3, $K$3))&lt;=0),0,$HE$2*0.5*(_xll.ciqfunctions.udf.CIQ($B11,"IQ_INVENTORY",HR$3,$I$3, $N$3, , $J$3, $K$3)+_xll.ciqfunctions.udf.CIQ($B11,"IQ_INVENTORY","IQ_" &amp; LEFT(HR$3,2) &amp; "-1", HR$3, $N$3, , $J$3, $K$3))/_xll.ciqfunctions.udf.CIQ($B11,"IQ_COGS",HR$3,$I$3, $N$3, , $J$3, $K$3))),"")</f>
        <v/>
      </c>
      <c r="HS11" s="90" t="str">
        <f>IFERROR(IF(OR($B11="",HS$3=""),"",IF(AND($HE$4="No",(_xll.ciqfunctions.udf.CIQ($B11,"IQ_INVENTORY",HS$3,$I$3, $N$3, , $J$3, $K$3)+_xll.ciqfunctions.udf.CIQ($B11,"IQ_INVENTORY","IQ_" &amp; LEFT(HS$3,2) &amp; "-1", HS$3, $N$3, , $J$3, $K$3))&lt;=0),0,$HE$2*0.5*(_xll.ciqfunctions.udf.CIQ($B11,"IQ_INVENTORY",HS$3,$I$3, $N$3, , $J$3, $K$3)+_xll.ciqfunctions.udf.CIQ($B11,"IQ_INVENTORY","IQ_" &amp; LEFT(HS$3,2) &amp; "-1", HS$3, $N$3, , $J$3, $K$3))/_xll.ciqfunctions.udf.CIQ($B11,"IQ_COGS",HS$3,$I$3, $N$3, , $J$3, $K$3))),"")</f>
        <v/>
      </c>
      <c r="HT11" s="90" t="str">
        <f>IFERROR(IF(OR($B11="",HT$3=""),"",IF(AND($HE$4="No",(_xll.ciqfunctions.udf.CIQ($B11,"IQ_INVENTORY",HT$3,$I$3, $N$3, , $J$3, $K$3)+_xll.ciqfunctions.udf.CIQ($B11,"IQ_INVENTORY","IQ_" &amp; LEFT(HT$3,2) &amp; "-1", HT$3, $N$3, , $J$3, $K$3))&lt;=0),0,$HE$2*0.5*(_xll.ciqfunctions.udf.CIQ($B11,"IQ_INVENTORY",HT$3,$I$3, $N$3, , $J$3, $K$3)+_xll.ciqfunctions.udf.CIQ($B11,"IQ_INVENTORY","IQ_" &amp; LEFT(HT$3,2) &amp; "-1", HT$3, $N$3, , $J$3, $K$3))/_xll.ciqfunctions.udf.CIQ($B11,"IQ_COGS",HT$3,$I$3, $N$3, , $J$3, $K$3))),"")</f>
        <v/>
      </c>
      <c r="HU11" s="90" t="str">
        <f>IFERROR(IF(OR($B11="",HU$3=""),"",IF(AND($HE$4="No",(_xll.ciqfunctions.udf.CIQ($B11,"IQ_INVENTORY",HU$3,$I$3, $N$3, , $J$3, $K$3)+_xll.ciqfunctions.udf.CIQ($B11,"IQ_INVENTORY","IQ_" &amp; LEFT(HU$3,2) &amp; "-1", HU$3, $N$3, , $J$3, $K$3))&lt;=0),0,$HE$2*0.5*(_xll.ciqfunctions.udf.CIQ($B11,"IQ_INVENTORY",HU$3,$I$3, $N$3, , $J$3, $K$3)+_xll.ciqfunctions.udf.CIQ($B11,"IQ_INVENTORY","IQ_" &amp; LEFT(HU$3,2) &amp; "-1", HU$3, $N$3, , $J$3, $K$3))/_xll.ciqfunctions.udf.CIQ($B11,"IQ_COGS",HU$3,$I$3, $N$3, , $J$3, $K$3))),"")</f>
        <v/>
      </c>
      <c r="HV11" s="90" t="str">
        <f>IFERROR(IF(OR($B11="",HV$3=""),"",IF(AND($HE$4="No",(_xll.ciqfunctions.udf.CIQ($B11,"IQ_INVENTORY",HV$3,$I$3, $N$3, , $J$3, $K$3)+_xll.ciqfunctions.udf.CIQ($B11,"IQ_INVENTORY","IQ_" &amp; LEFT(HV$3,2) &amp; "-1", HV$3, $N$3, , $J$3, $K$3))&lt;=0),0,$HE$2*0.5*(_xll.ciqfunctions.udf.CIQ($B11,"IQ_INVENTORY",HV$3,$I$3, $N$3, , $J$3, $K$3)+_xll.ciqfunctions.udf.CIQ($B11,"IQ_INVENTORY","IQ_" &amp; LEFT(HV$3,2) &amp; "-1", HV$3, $N$3, , $J$3, $K$3))/_xll.ciqfunctions.udf.CIQ($B11,"IQ_COGS",HV$3,$I$3, $N$3, , $J$3, $K$3))),"")</f>
        <v/>
      </c>
      <c r="HW11" s="90" t="str">
        <f>IFERROR(IF(OR($B11="",HW$3=""),"",IF(AND($HE$4="No",(_xll.ciqfunctions.udf.CIQ($B11,"IQ_INVENTORY",HW$3,$I$3, $N$3, , $J$3, $K$3)+_xll.ciqfunctions.udf.CIQ($B11,"IQ_INVENTORY","IQ_" &amp; LEFT(HW$3,2) &amp; "-1", HW$3, $N$3, , $J$3, $K$3))&lt;=0),0,$HE$2*0.5*(_xll.ciqfunctions.udf.CIQ($B11,"IQ_INVENTORY",HW$3,$I$3, $N$3, , $J$3, $K$3)+_xll.ciqfunctions.udf.CIQ($B11,"IQ_INVENTORY","IQ_" &amp; LEFT(HW$3,2) &amp; "-1", HW$3, $N$3, , $J$3, $K$3))/_xll.ciqfunctions.udf.CIQ($B11,"IQ_COGS",HW$3,$I$3, $N$3, , $J$3, $K$3))),"")</f>
        <v/>
      </c>
      <c r="HX11" s="91" t="str">
        <f>IFERROR(IF(OR($B11="",HX$3=""),"",IF(AND($HE$4="No",(_xll.ciqfunctions.udf.CIQ($B11,"IQ_INVENTORY",HX$3,$I$3, $N$3, , $J$3, $K$3)+_xll.ciqfunctions.udf.CIQ($B11,"IQ_INVENTORY","IQ_" &amp; LEFT(HX$3,2) &amp; "-1", HX$3, $N$3, , $J$3, $K$3))&lt;=0),0,$HE$2*0.5*(_xll.ciqfunctions.udf.CIQ($B11,"IQ_INVENTORY",HX$3,$I$3, $N$3, , $J$3, $K$3)+_xll.ciqfunctions.udf.CIQ($B11,"IQ_INVENTORY","IQ_" &amp; LEFT(HX$3,2) &amp; "-1", HX$3, $N$3, , $J$3, $K$3))/_xll.ciqfunctions.udf.CIQ($B11,"IQ_COGS",HX$3,$I$3, $N$3, , $J$3, $K$3))),"")</f>
        <v/>
      </c>
      <c r="HY11" s="89" t="str">
        <f>IFERROR(IF(OR($B11="",HY$3=""),"",IF(AND($HY$4="No",(_xll.ciqfunctions.udf.CIQ($B11,"IQ_AP",HY$3,$I$3, $N$3, , $J$3, $K$3)+_xll.ciqfunctions.udf.CIQ($B11,"IQ_AP","IQ_" &amp; LEFT(HY$3,2) &amp; "-1", HY$3, $N$3, , $J$3, $K$3))&lt;=0),"",(_xll.ciqfunctions.udf.CIQ($B11,"IQ_AP",HY$3,$I$3, $N$3, , $J$3, $K$3)+_xll.ciqfunctions.udf.CIQ($B11,"IQ_AP","IQ_" &amp; LEFT(HY$3,2) &amp; "-1", HY$3, $N$3, , $J$3, $K$3))/_xll.ciqfunctions.udf.CIQ($B11,"IQ_COGS",HY$3,$I$3, $N$3, , $J$3, $K$3)*$HY$2*0.5)),"")</f>
        <v/>
      </c>
      <c r="HZ11" s="90" t="str">
        <f>IFERROR(IF(OR($B11="",HZ$3=""),"",IF(AND($HY$4="No",(_xll.ciqfunctions.udf.CIQ($B11,"IQ_AP",HZ$3,$I$3, $N$3, , $J$3, $K$3)+_xll.ciqfunctions.udf.CIQ($B11,"IQ_AP","IQ_" &amp; LEFT(HZ$3,2) &amp; "-1", HZ$3, $N$3, , $J$3, $K$3))&lt;=0),"",(_xll.ciqfunctions.udf.CIQ($B11,"IQ_AP",HZ$3,$I$3, $N$3, , $J$3, $K$3)+_xll.ciqfunctions.udf.CIQ($B11,"IQ_AP","IQ_" &amp; LEFT(HZ$3,2) &amp; "-1", HZ$3, $N$3, , $J$3, $K$3))/_xll.ciqfunctions.udf.CIQ($B11,"IQ_COGS",HZ$3,$I$3, $N$3, , $J$3, $K$3)*$HY$2*0.5)),"")</f>
        <v/>
      </c>
      <c r="IA11" s="90" t="str">
        <f>IFERROR(IF(OR($B11="",IA$3=""),"",IF(AND($HY$4="No",(_xll.ciqfunctions.udf.CIQ($B11,"IQ_AP",IA$3,$I$3, $N$3, , $J$3, $K$3)+_xll.ciqfunctions.udf.CIQ($B11,"IQ_AP","IQ_" &amp; LEFT(IA$3,2) &amp; "-1", IA$3, $N$3, , $J$3, $K$3))&lt;=0),"",(_xll.ciqfunctions.udf.CIQ($B11,"IQ_AP",IA$3,$I$3, $N$3, , $J$3, $K$3)+_xll.ciqfunctions.udf.CIQ($B11,"IQ_AP","IQ_" &amp; LEFT(IA$3,2) &amp; "-1", IA$3, $N$3, , $J$3, $K$3))/_xll.ciqfunctions.udf.CIQ($B11,"IQ_COGS",IA$3,$I$3, $N$3, , $J$3, $K$3)*$HY$2*0.5)),"")</f>
        <v/>
      </c>
      <c r="IB11" s="90" t="str">
        <f>IFERROR(IF(OR($B11="",IB$3=""),"",IF(AND($HY$4="No",(_xll.ciqfunctions.udf.CIQ($B11,"IQ_AP",IB$3,$I$3, $N$3, , $J$3, $K$3)+_xll.ciqfunctions.udf.CIQ($B11,"IQ_AP","IQ_" &amp; LEFT(IB$3,2) &amp; "-1", IB$3, $N$3, , $J$3, $K$3))&lt;=0),"",(_xll.ciqfunctions.udf.CIQ($B11,"IQ_AP",IB$3,$I$3, $N$3, , $J$3, $K$3)+_xll.ciqfunctions.udf.CIQ($B11,"IQ_AP","IQ_" &amp; LEFT(IB$3,2) &amp; "-1", IB$3, $N$3, , $J$3, $K$3))/_xll.ciqfunctions.udf.CIQ($B11,"IQ_COGS",IB$3,$I$3, $N$3, , $J$3, $K$3)*$HY$2*0.5)),"")</f>
        <v/>
      </c>
      <c r="IC11" s="90" t="str">
        <f>IFERROR(IF(OR($B11="",IC$3=""),"",IF(AND($HY$4="No",(_xll.ciqfunctions.udf.CIQ($B11,"IQ_AP",IC$3,$I$3, $N$3, , $J$3, $K$3)+_xll.ciqfunctions.udf.CIQ($B11,"IQ_AP","IQ_" &amp; LEFT(IC$3,2) &amp; "-1", IC$3, $N$3, , $J$3, $K$3))&lt;=0),"",(_xll.ciqfunctions.udf.CIQ($B11,"IQ_AP",IC$3,$I$3, $N$3, , $J$3, $K$3)+_xll.ciqfunctions.udf.CIQ($B11,"IQ_AP","IQ_" &amp; LEFT(IC$3,2) &amp; "-1", IC$3, $N$3, , $J$3, $K$3))/_xll.ciqfunctions.udf.CIQ($B11,"IQ_COGS",IC$3,$I$3, $N$3, , $J$3, $K$3)*$HY$2*0.5)),"")</f>
        <v/>
      </c>
      <c r="ID11" s="90" t="str">
        <f>IFERROR(IF(OR($B11="",ID$3=""),"",IF(AND($HY$4="No",(_xll.ciqfunctions.udf.CIQ($B11,"IQ_AP",ID$3,$I$3, $N$3, , $J$3, $K$3)+_xll.ciqfunctions.udf.CIQ($B11,"IQ_AP","IQ_" &amp; LEFT(ID$3,2) &amp; "-1", ID$3, $N$3, , $J$3, $K$3))&lt;=0),"",(_xll.ciqfunctions.udf.CIQ($B11,"IQ_AP",ID$3,$I$3, $N$3, , $J$3, $K$3)+_xll.ciqfunctions.udf.CIQ($B11,"IQ_AP","IQ_" &amp; LEFT(ID$3,2) &amp; "-1", ID$3, $N$3, , $J$3, $K$3))/_xll.ciqfunctions.udf.CIQ($B11,"IQ_COGS",ID$3,$I$3, $N$3, , $J$3, $K$3)*$HY$2*0.5)),"")</f>
        <v/>
      </c>
      <c r="IE11" s="90" t="str">
        <f>IFERROR(IF(OR($B11="",IE$3=""),"",IF(AND($HY$4="No",(_xll.ciqfunctions.udf.CIQ($B11,"IQ_AP",IE$3,$I$3, $N$3, , $J$3, $K$3)+_xll.ciqfunctions.udf.CIQ($B11,"IQ_AP","IQ_" &amp; LEFT(IE$3,2) &amp; "-1", IE$3, $N$3, , $J$3, $K$3))&lt;=0),"",(_xll.ciqfunctions.udf.CIQ($B11,"IQ_AP",IE$3,$I$3, $N$3, , $J$3, $K$3)+_xll.ciqfunctions.udf.CIQ($B11,"IQ_AP","IQ_" &amp; LEFT(IE$3,2) &amp; "-1", IE$3, $N$3, , $J$3, $K$3))/_xll.ciqfunctions.udf.CIQ($B11,"IQ_COGS",IE$3,$I$3, $N$3, , $J$3, $K$3)*$HY$2*0.5)),"")</f>
        <v/>
      </c>
      <c r="IF11" s="90" t="str">
        <f>IFERROR(IF(OR($B11="",IF$3=""),"",IF(AND($HY$4="No",(_xll.ciqfunctions.udf.CIQ($B11,"IQ_AP",IF$3,$I$3, $N$3, , $J$3, $K$3)+_xll.ciqfunctions.udf.CIQ($B11,"IQ_AP","IQ_" &amp; LEFT(IF$3,2) &amp; "-1", IF$3, $N$3, , $J$3, $K$3))&lt;=0),"",(_xll.ciqfunctions.udf.CIQ($B11,"IQ_AP",IF$3,$I$3, $N$3, , $J$3, $K$3)+_xll.ciqfunctions.udf.CIQ($B11,"IQ_AP","IQ_" &amp; LEFT(IF$3,2) &amp; "-1", IF$3, $N$3, , $J$3, $K$3))/_xll.ciqfunctions.udf.CIQ($B11,"IQ_COGS",IF$3,$I$3, $N$3, , $J$3, $K$3)*$HY$2*0.5)),"")</f>
        <v/>
      </c>
      <c r="IG11" s="90" t="str">
        <f>IFERROR(IF(OR($B11="",IG$3=""),"",IF(AND($HY$4="No",(_xll.ciqfunctions.udf.CIQ($B11,"IQ_AP",IG$3,$I$3, $N$3, , $J$3, $K$3)+_xll.ciqfunctions.udf.CIQ($B11,"IQ_AP","IQ_" &amp; LEFT(IG$3,2) &amp; "-1", IG$3, $N$3, , $J$3, $K$3))&lt;=0),"",(_xll.ciqfunctions.udf.CIQ($B11,"IQ_AP",IG$3,$I$3, $N$3, , $J$3, $K$3)+_xll.ciqfunctions.udf.CIQ($B11,"IQ_AP","IQ_" &amp; LEFT(IG$3,2) &amp; "-1", IG$3, $N$3, , $J$3, $K$3))/_xll.ciqfunctions.udf.CIQ($B11,"IQ_COGS",IG$3,$I$3, $N$3, , $J$3, $K$3)*$HY$2*0.5)),"")</f>
        <v/>
      </c>
      <c r="IH11" s="90" t="str">
        <f>IFERROR(IF(OR($B11="",IH$3=""),"",IF(AND($HY$4="No",(_xll.ciqfunctions.udf.CIQ($B11,"IQ_AP",IH$3,$I$3, $N$3, , $J$3, $K$3)+_xll.ciqfunctions.udf.CIQ($B11,"IQ_AP","IQ_" &amp; LEFT(IH$3,2) &amp; "-1", IH$3, $N$3, , $J$3, $K$3))&lt;=0),"",(_xll.ciqfunctions.udf.CIQ($B11,"IQ_AP",IH$3,$I$3, $N$3, , $J$3, $K$3)+_xll.ciqfunctions.udf.CIQ($B11,"IQ_AP","IQ_" &amp; LEFT(IH$3,2) &amp; "-1", IH$3, $N$3, , $J$3, $K$3))/_xll.ciqfunctions.udf.CIQ($B11,"IQ_COGS",IH$3,$I$3, $N$3, , $J$3, $K$3)*$HY$2*0.5)),"")</f>
        <v/>
      </c>
      <c r="II11" s="90" t="str">
        <f>IFERROR(IF(OR($B11="",II$3=""),"",IF(AND($HY$4="No",(_xll.ciqfunctions.udf.CIQ($B11,"IQ_AP",II$3,$I$3, $N$3, , $J$3, $K$3)+_xll.ciqfunctions.udf.CIQ($B11,"IQ_AP","IQ_" &amp; LEFT(II$3,2) &amp; "-1", II$3, $N$3, , $J$3, $K$3))&lt;=0),"",(_xll.ciqfunctions.udf.CIQ($B11,"IQ_AP",II$3,$I$3, $N$3, , $J$3, $K$3)+_xll.ciqfunctions.udf.CIQ($B11,"IQ_AP","IQ_" &amp; LEFT(II$3,2) &amp; "-1", II$3, $N$3, , $J$3, $K$3))/_xll.ciqfunctions.udf.CIQ($B11,"IQ_COGS",II$3,$I$3, $N$3, , $J$3, $K$3)*$HY$2*0.5)),"")</f>
        <v/>
      </c>
      <c r="IJ11" s="90" t="str">
        <f>IFERROR(IF(OR($B11="",IJ$3=""),"",IF(AND($HY$4="No",(_xll.ciqfunctions.udf.CIQ($B11,"IQ_AP",IJ$3,$I$3, $N$3, , $J$3, $K$3)+_xll.ciqfunctions.udf.CIQ($B11,"IQ_AP","IQ_" &amp; LEFT(IJ$3,2) &amp; "-1", IJ$3, $N$3, , $J$3, $K$3))&lt;=0),"",(_xll.ciqfunctions.udf.CIQ($B11,"IQ_AP",IJ$3,$I$3, $N$3, , $J$3, $K$3)+_xll.ciqfunctions.udf.CIQ($B11,"IQ_AP","IQ_" &amp; LEFT(IJ$3,2) &amp; "-1", IJ$3, $N$3, , $J$3, $K$3))/_xll.ciqfunctions.udf.CIQ($B11,"IQ_COGS",IJ$3,$I$3, $N$3, , $J$3, $K$3)*$HY$2*0.5)),"")</f>
        <v/>
      </c>
      <c r="IK11" s="90" t="str">
        <f>IFERROR(IF(OR($B11="",IK$3=""),"",IF(AND($HY$4="No",(_xll.ciqfunctions.udf.CIQ($B11,"IQ_AP",IK$3,$I$3, $N$3, , $J$3, $K$3)+_xll.ciqfunctions.udf.CIQ($B11,"IQ_AP","IQ_" &amp; LEFT(IK$3,2) &amp; "-1", IK$3, $N$3, , $J$3, $K$3))&lt;=0),"",(_xll.ciqfunctions.udf.CIQ($B11,"IQ_AP",IK$3,$I$3, $N$3, , $J$3, $K$3)+_xll.ciqfunctions.udf.CIQ($B11,"IQ_AP","IQ_" &amp; LEFT(IK$3,2) &amp; "-1", IK$3, $N$3, , $J$3, $K$3))/_xll.ciqfunctions.udf.CIQ($B11,"IQ_COGS",IK$3,$I$3, $N$3, , $J$3, $K$3)*$HY$2*0.5)),"")</f>
        <v/>
      </c>
      <c r="IL11" s="90" t="str">
        <f>IFERROR(IF(OR($B11="",IL$3=""),"",IF(AND($HY$4="No",(_xll.ciqfunctions.udf.CIQ($B11,"IQ_AP",IL$3,$I$3, $N$3, , $J$3, $K$3)+_xll.ciqfunctions.udf.CIQ($B11,"IQ_AP","IQ_" &amp; LEFT(IL$3,2) &amp; "-1", IL$3, $N$3, , $J$3, $K$3))&lt;=0),"",(_xll.ciqfunctions.udf.CIQ($B11,"IQ_AP",IL$3,$I$3, $N$3, , $J$3, $K$3)+_xll.ciqfunctions.udf.CIQ($B11,"IQ_AP","IQ_" &amp; LEFT(IL$3,2) &amp; "-1", IL$3, $N$3, , $J$3, $K$3))/_xll.ciqfunctions.udf.CIQ($B11,"IQ_COGS",IL$3,$I$3, $N$3, , $J$3, $K$3)*$HY$2*0.5)),"")</f>
        <v/>
      </c>
      <c r="IM11" s="90" t="str">
        <f>IFERROR(IF(OR($B11="",IM$3=""),"",IF(AND($HY$4="No",(_xll.ciqfunctions.udf.CIQ($B11,"IQ_AP",IM$3,$I$3, $N$3, , $J$3, $K$3)+_xll.ciqfunctions.udf.CIQ($B11,"IQ_AP","IQ_" &amp; LEFT(IM$3,2) &amp; "-1", IM$3, $N$3, , $J$3, $K$3))&lt;=0),"",(_xll.ciqfunctions.udf.CIQ($B11,"IQ_AP",IM$3,$I$3, $N$3, , $J$3, $K$3)+_xll.ciqfunctions.udf.CIQ($B11,"IQ_AP","IQ_" &amp; LEFT(IM$3,2) &amp; "-1", IM$3, $N$3, , $J$3, $K$3))/_xll.ciqfunctions.udf.CIQ($B11,"IQ_COGS",IM$3,$I$3, $N$3, , $J$3, $K$3)*$HY$2*0.5)),"")</f>
        <v/>
      </c>
      <c r="IN11" s="90" t="str">
        <f>IFERROR(IF(OR($B11="",IN$3=""),"",IF(AND($HY$4="No",(_xll.ciqfunctions.udf.CIQ($B11,"IQ_AP",IN$3,$I$3, $N$3, , $J$3, $K$3)+_xll.ciqfunctions.udf.CIQ($B11,"IQ_AP","IQ_" &amp; LEFT(IN$3,2) &amp; "-1", IN$3, $N$3, , $J$3, $K$3))&lt;=0),"",(_xll.ciqfunctions.udf.CIQ($B11,"IQ_AP",IN$3,$I$3, $N$3, , $J$3, $K$3)+_xll.ciqfunctions.udf.CIQ($B11,"IQ_AP","IQ_" &amp; LEFT(IN$3,2) &amp; "-1", IN$3, $N$3, , $J$3, $K$3))/_xll.ciqfunctions.udf.CIQ($B11,"IQ_COGS",IN$3,$I$3, $N$3, , $J$3, $K$3)*$HY$2*0.5)),"")</f>
        <v/>
      </c>
      <c r="IO11" s="90" t="str">
        <f>IFERROR(IF(OR($B11="",IO$3=""),"",IF(AND($HY$4="No",(_xll.ciqfunctions.udf.CIQ($B11,"IQ_AP",IO$3,$I$3, $N$3, , $J$3, $K$3)+_xll.ciqfunctions.udf.CIQ($B11,"IQ_AP","IQ_" &amp; LEFT(IO$3,2) &amp; "-1", IO$3, $N$3, , $J$3, $K$3))&lt;=0),"",(_xll.ciqfunctions.udf.CIQ($B11,"IQ_AP",IO$3,$I$3, $N$3, , $J$3, $K$3)+_xll.ciqfunctions.udf.CIQ($B11,"IQ_AP","IQ_" &amp; LEFT(IO$3,2) &amp; "-1", IO$3, $N$3, , $J$3, $K$3))/_xll.ciqfunctions.udf.CIQ($B11,"IQ_COGS",IO$3,$I$3, $N$3, , $J$3, $K$3)*$HY$2*0.5)),"")</f>
        <v/>
      </c>
      <c r="IP11" s="90" t="str">
        <f>IFERROR(IF(OR($B11="",IP$3=""),"",IF(AND($HY$4="No",(_xll.ciqfunctions.udf.CIQ($B11,"IQ_AP",IP$3,$I$3, $N$3, , $J$3, $K$3)+_xll.ciqfunctions.udf.CIQ($B11,"IQ_AP","IQ_" &amp; LEFT(IP$3,2) &amp; "-1", IP$3, $N$3, , $J$3, $K$3))&lt;=0),"",(_xll.ciqfunctions.udf.CIQ($B11,"IQ_AP",IP$3,$I$3, $N$3, , $J$3, $K$3)+_xll.ciqfunctions.udf.CIQ($B11,"IQ_AP","IQ_" &amp; LEFT(IP$3,2) &amp; "-1", IP$3, $N$3, , $J$3, $K$3))/_xll.ciqfunctions.udf.CIQ($B11,"IQ_COGS",IP$3,$I$3, $N$3, , $J$3, $K$3)*$HY$2*0.5)),"")</f>
        <v/>
      </c>
      <c r="IQ11" s="90" t="str">
        <f>IFERROR(IF(OR($B11="",IQ$3=""),"",IF(AND($HY$4="No",(_xll.ciqfunctions.udf.CIQ($B11,"IQ_AP",IQ$3,$I$3, $N$3, , $J$3, $K$3)+_xll.ciqfunctions.udf.CIQ($B11,"IQ_AP","IQ_" &amp; LEFT(IQ$3,2) &amp; "-1", IQ$3, $N$3, , $J$3, $K$3))&lt;=0),"",(_xll.ciqfunctions.udf.CIQ($B11,"IQ_AP",IQ$3,$I$3, $N$3, , $J$3, $K$3)+_xll.ciqfunctions.udf.CIQ($B11,"IQ_AP","IQ_" &amp; LEFT(IQ$3,2) &amp; "-1", IQ$3, $N$3, , $J$3, $K$3))/_xll.ciqfunctions.udf.CIQ($B11,"IQ_COGS",IQ$3,$I$3, $N$3, , $J$3, $K$3)*$HY$2*0.5)),"")</f>
        <v/>
      </c>
      <c r="IR11" s="91" t="str">
        <f>IFERROR(IF(OR($B11="",IR$3=""),"",IF(AND($HY$4="No",(_xll.ciqfunctions.udf.CIQ($B11,"IQ_AP",IR$3,$I$3, $N$3, , $J$3, $K$3)+_xll.ciqfunctions.udf.CIQ($B11,"IQ_AP","IQ_" &amp; LEFT(IR$3,2) &amp; "-1", IR$3, $N$3, , $J$3, $K$3))&lt;=0),"",(_xll.ciqfunctions.udf.CIQ($B11,"IQ_AP",IR$3,$I$3, $N$3, , $J$3, $K$3)+_xll.ciqfunctions.udf.CIQ($B11,"IQ_AP","IQ_" &amp; LEFT(IR$3,2) &amp; "-1", IR$3, $N$3, , $J$3, $K$3))/_xll.ciqfunctions.udf.CIQ($B11,"IQ_COGS",IR$3,$I$3, $N$3, , $J$3, $K$3)*$HY$2*0.5)),"")</f>
        <v/>
      </c>
      <c r="IS11" s="89" t="str">
        <f t="shared" si="343"/>
        <v/>
      </c>
      <c r="IT11" s="90" t="str">
        <f t="shared" si="344"/>
        <v/>
      </c>
      <c r="IU11" s="90" t="str">
        <f t="shared" si="345"/>
        <v/>
      </c>
      <c r="IV11" s="90" t="str">
        <f t="shared" si="346"/>
        <v/>
      </c>
      <c r="IW11" s="90" t="str">
        <f t="shared" si="347"/>
        <v/>
      </c>
      <c r="IX11" s="90" t="str">
        <f t="shared" si="348"/>
        <v/>
      </c>
      <c r="IY11" s="90" t="str">
        <f t="shared" si="349"/>
        <v/>
      </c>
      <c r="IZ11" s="90" t="str">
        <f t="shared" si="350"/>
        <v/>
      </c>
      <c r="JA11" s="90" t="str">
        <f t="shared" si="351"/>
        <v/>
      </c>
      <c r="JB11" s="90" t="str">
        <f t="shared" si="352"/>
        <v/>
      </c>
      <c r="JC11" s="90" t="str">
        <f t="shared" si="353"/>
        <v/>
      </c>
      <c r="JD11" s="90" t="str">
        <f t="shared" si="354"/>
        <v/>
      </c>
      <c r="JE11" s="90" t="str">
        <f t="shared" si="355"/>
        <v/>
      </c>
      <c r="JF11" s="90" t="str">
        <f t="shared" si="356"/>
        <v/>
      </c>
      <c r="JG11" s="90" t="str">
        <f t="shared" si="357"/>
        <v/>
      </c>
      <c r="JH11" s="90" t="str">
        <f t="shared" si="358"/>
        <v/>
      </c>
      <c r="JI11" s="90" t="str">
        <f t="shared" si="359"/>
        <v/>
      </c>
      <c r="JJ11" s="90" t="str">
        <f t="shared" si="360"/>
        <v/>
      </c>
      <c r="JK11" s="90" t="str">
        <f t="shared" si="361"/>
        <v/>
      </c>
      <c r="JL11" s="91" t="str">
        <f t="shared" si="362"/>
        <v/>
      </c>
      <c r="JM11" s="86" t="str">
        <f>IFERROR(IF(OR($B11="",JM$3=""),"",_xll.ciqfunctions.udf.CIQ($B11,"IQ_CASH_OPER",JM$3,$I$3, $N$3, , $J$3, $K$3)/_xll.ciqfunctions.udf.CIQ($B11,"IQ_TOTAL_REV",JM$3,$I$3, $N$3, , $J$3, $K$3)),"")</f>
        <v/>
      </c>
      <c r="JN11" s="87" t="str">
        <f>IFERROR(IF(OR($B11="",JN$3=""),"",_xll.ciqfunctions.udf.CIQ($B11,"IQ_CASH_OPER",JN$3,$I$3, $N$3, , $J$3, $K$3)/_xll.ciqfunctions.udf.CIQ($B11,"IQ_TOTAL_REV",JN$3,$I$3, $N$3, , $J$3, $K$3)),"")</f>
        <v/>
      </c>
      <c r="JO11" s="87" t="str">
        <f>IFERROR(IF(OR($B11="",JO$3=""),"",_xll.ciqfunctions.udf.CIQ($B11,"IQ_CASH_OPER",JO$3,$I$3, $N$3, , $J$3, $K$3)/_xll.ciqfunctions.udf.CIQ($B11,"IQ_TOTAL_REV",JO$3,$I$3, $N$3, , $J$3, $K$3)),"")</f>
        <v/>
      </c>
      <c r="JP11" s="87" t="str">
        <f>IFERROR(IF(OR($B11="",JP$3=""),"",_xll.ciqfunctions.udf.CIQ($B11,"IQ_CASH_OPER",JP$3,$I$3, $N$3, , $J$3, $K$3)/_xll.ciqfunctions.udf.CIQ($B11,"IQ_TOTAL_REV",JP$3,$I$3, $N$3, , $J$3, $K$3)),"")</f>
        <v/>
      </c>
      <c r="JQ11" s="87" t="str">
        <f>IFERROR(IF(OR($B11="",JQ$3=""),"",_xll.ciqfunctions.udf.CIQ($B11,"IQ_CASH_OPER",JQ$3,$I$3, $N$3, , $J$3, $K$3)/_xll.ciqfunctions.udf.CIQ($B11,"IQ_TOTAL_REV",JQ$3,$I$3, $N$3, , $J$3, $K$3)),"")</f>
        <v/>
      </c>
      <c r="JR11" s="87" t="str">
        <f>IFERROR(IF(OR($B11="",JR$3=""),"",_xll.ciqfunctions.udf.CIQ($B11,"IQ_CASH_OPER",JR$3,$I$3, $N$3, , $J$3, $K$3)/_xll.ciqfunctions.udf.CIQ($B11,"IQ_TOTAL_REV",JR$3,$I$3, $N$3, , $J$3, $K$3)),"")</f>
        <v/>
      </c>
      <c r="JS11" s="87" t="str">
        <f>IFERROR(IF(OR($B11="",JS$3=""),"",_xll.ciqfunctions.udf.CIQ($B11,"IQ_CASH_OPER",JS$3,$I$3, $N$3, , $J$3, $K$3)/_xll.ciqfunctions.udf.CIQ($B11,"IQ_TOTAL_REV",JS$3,$I$3, $N$3, , $J$3, $K$3)),"")</f>
        <v/>
      </c>
      <c r="JT11" s="87" t="str">
        <f>IFERROR(IF(OR($B11="",JT$3=""),"",_xll.ciqfunctions.udf.CIQ($B11,"IQ_CASH_OPER",JT$3,$I$3, $N$3, , $J$3, $K$3)/_xll.ciqfunctions.udf.CIQ($B11,"IQ_TOTAL_REV",JT$3,$I$3, $N$3, , $J$3, $K$3)),"")</f>
        <v/>
      </c>
      <c r="JU11" s="87" t="str">
        <f>IFERROR(IF(OR($B11="",JU$3=""),"",_xll.ciqfunctions.udf.CIQ($B11,"IQ_CASH_OPER",JU$3,$I$3, $N$3, , $J$3, $K$3)/_xll.ciqfunctions.udf.CIQ($B11,"IQ_TOTAL_REV",JU$3,$I$3, $N$3, , $J$3, $K$3)),"")</f>
        <v/>
      </c>
      <c r="JV11" s="87" t="str">
        <f>IFERROR(IF(OR($B11="",JV$3=""),"",_xll.ciqfunctions.udf.CIQ($B11,"IQ_CASH_OPER",JV$3,$I$3, $N$3, , $J$3, $K$3)/_xll.ciqfunctions.udf.CIQ($B11,"IQ_TOTAL_REV",JV$3,$I$3, $N$3, , $J$3, $K$3)),"")</f>
        <v/>
      </c>
      <c r="JW11" s="87" t="str">
        <f>IFERROR(IF(OR($B11="",JW$3=""),"",_xll.ciqfunctions.udf.CIQ($B11,"IQ_CASH_OPER",JW$3,$I$3, $N$3, , $J$3, $K$3)/_xll.ciqfunctions.udf.CIQ($B11,"IQ_TOTAL_REV",JW$3,$I$3, $N$3, , $J$3, $K$3)),"")</f>
        <v/>
      </c>
      <c r="JX11" s="87" t="str">
        <f>IFERROR(IF(OR($B11="",JX$3=""),"",_xll.ciqfunctions.udf.CIQ($B11,"IQ_CASH_OPER",JX$3,$I$3, $N$3, , $J$3, $K$3)/_xll.ciqfunctions.udf.CIQ($B11,"IQ_TOTAL_REV",JX$3,$I$3, $N$3, , $J$3, $K$3)),"")</f>
        <v/>
      </c>
      <c r="JY11" s="87" t="str">
        <f>IFERROR(IF(OR($B11="",JY$3=""),"",_xll.ciqfunctions.udf.CIQ($B11,"IQ_CASH_OPER",JY$3,$I$3, $N$3, , $J$3, $K$3)/_xll.ciqfunctions.udf.CIQ($B11,"IQ_TOTAL_REV",JY$3,$I$3, $N$3, , $J$3, $K$3)),"")</f>
        <v/>
      </c>
      <c r="JZ11" s="87" t="str">
        <f>IFERROR(IF(OR($B11="",JZ$3=""),"",_xll.ciqfunctions.udf.CIQ($B11,"IQ_CASH_OPER",JZ$3,$I$3, $N$3, , $J$3, $K$3)/_xll.ciqfunctions.udf.CIQ($B11,"IQ_TOTAL_REV",JZ$3,$I$3, $N$3, , $J$3, $K$3)),"")</f>
        <v/>
      </c>
      <c r="KA11" s="87" t="str">
        <f>IFERROR(IF(OR($B11="",KA$3=""),"",_xll.ciqfunctions.udf.CIQ($B11,"IQ_CASH_OPER",KA$3,$I$3, $N$3, , $J$3, $K$3)/_xll.ciqfunctions.udf.CIQ($B11,"IQ_TOTAL_REV",KA$3,$I$3, $N$3, , $J$3, $K$3)),"")</f>
        <v/>
      </c>
      <c r="KB11" s="87" t="str">
        <f>IFERROR(IF(OR($B11="",KB$3=""),"",_xll.ciqfunctions.udf.CIQ($B11,"IQ_CASH_OPER",KB$3,$I$3, $N$3, , $J$3, $K$3)/_xll.ciqfunctions.udf.CIQ($B11,"IQ_TOTAL_REV",KB$3,$I$3, $N$3, , $J$3, $K$3)),"")</f>
        <v/>
      </c>
      <c r="KC11" s="87" t="str">
        <f>IFERROR(IF(OR($B11="",KC$3=""),"",_xll.ciqfunctions.udf.CIQ($B11,"IQ_CASH_OPER",KC$3,$I$3, $N$3, , $J$3, $K$3)/_xll.ciqfunctions.udf.CIQ($B11,"IQ_TOTAL_REV",KC$3,$I$3, $N$3, , $J$3, $K$3)),"")</f>
        <v/>
      </c>
      <c r="KD11" s="87" t="str">
        <f>IFERROR(IF(OR($B11="",KD$3=""),"",_xll.ciqfunctions.udf.CIQ($B11,"IQ_CASH_OPER",KD$3,$I$3, $N$3, , $J$3, $K$3)/_xll.ciqfunctions.udf.CIQ($B11,"IQ_TOTAL_REV",KD$3,$I$3, $N$3, , $J$3, $K$3)),"")</f>
        <v/>
      </c>
      <c r="KE11" s="87" t="str">
        <f>IFERROR(IF(OR($B11="",KE$3=""),"",_xll.ciqfunctions.udf.CIQ($B11,"IQ_CASH_OPER",KE$3,$I$3, $N$3, , $J$3, $K$3)/_xll.ciqfunctions.udf.CIQ($B11,"IQ_TOTAL_REV",KE$3,$I$3, $N$3, , $J$3, $K$3)),"")</f>
        <v/>
      </c>
      <c r="KF11" s="88" t="str">
        <f>IFERROR(IF(OR($B11="",KF$3=""),"",_xll.ciqfunctions.udf.CIQ($B11,"IQ_CASH_OPER",KF$3,$I$3, $N$3, , $J$3, $K$3)/_xll.ciqfunctions.udf.CIQ($B11,"IQ_TOTAL_REV",KF$3,$I$3, $N$3, , $J$3, $K$3)),"")</f>
        <v/>
      </c>
      <c r="KG11" s="89" t="str">
        <f>IFERROR(IF(OR($B11="",KG$3=""),"",IF(NOT(ISNUMBER(_xll.ciqfunctions.udf.CIQ($B11, "IQ_ASSET_TURNS", KG$3, $E$3, $N$3, , $J$3, $K$3))),"",_xll.ciqfunctions.udf.CIQ($B11, "IQ_ASSET_TURNS", KG$3, $E$3, $N$3, , $J$3, $K$3))),"")</f>
        <v/>
      </c>
      <c r="KH11" s="90" t="str">
        <f>IFERROR(IF(OR($B11="",KH$3=""),"",IF(NOT(ISNUMBER(_xll.ciqfunctions.udf.CIQ($B11, "IQ_ASSET_TURNS", KH$3, $E$3, $N$3, , $J$3, $K$3))),"",_xll.ciqfunctions.udf.CIQ($B11, "IQ_ASSET_TURNS", KH$3, $E$3, $N$3, , $J$3, $K$3))),"")</f>
        <v/>
      </c>
      <c r="KI11" s="90" t="str">
        <f>IFERROR(IF(OR($B11="",KI$3=""),"",IF(NOT(ISNUMBER(_xll.ciqfunctions.udf.CIQ($B11, "IQ_ASSET_TURNS", KI$3, $E$3, $N$3, , $J$3, $K$3))),"",_xll.ciqfunctions.udf.CIQ($B11, "IQ_ASSET_TURNS", KI$3, $E$3, $N$3, , $J$3, $K$3))),"")</f>
        <v/>
      </c>
      <c r="KJ11" s="90" t="str">
        <f>IFERROR(IF(OR($B11="",KJ$3=""),"",IF(NOT(ISNUMBER(_xll.ciqfunctions.udf.CIQ($B11, "IQ_ASSET_TURNS", KJ$3, $E$3, $N$3, , $J$3, $K$3))),"",_xll.ciqfunctions.udf.CIQ($B11, "IQ_ASSET_TURNS", KJ$3, $E$3, $N$3, , $J$3, $K$3))),"")</f>
        <v/>
      </c>
      <c r="KK11" s="90" t="str">
        <f>IFERROR(IF(OR($B11="",KK$3=""),"",IF(NOT(ISNUMBER(_xll.ciqfunctions.udf.CIQ($B11, "IQ_ASSET_TURNS", KK$3, $E$3, $N$3, , $J$3, $K$3))),"",_xll.ciqfunctions.udf.CIQ($B11, "IQ_ASSET_TURNS", KK$3, $E$3, $N$3, , $J$3, $K$3))),"")</f>
        <v/>
      </c>
      <c r="KL11" s="90" t="str">
        <f>IFERROR(IF(OR($B11="",KL$3=""),"",IF(NOT(ISNUMBER(_xll.ciqfunctions.udf.CIQ($B11, "IQ_ASSET_TURNS", KL$3, $E$3, $N$3, , $J$3, $K$3))),"",_xll.ciqfunctions.udf.CIQ($B11, "IQ_ASSET_TURNS", KL$3, $E$3, $N$3, , $J$3, $K$3))),"")</f>
        <v/>
      </c>
      <c r="KM11" s="90" t="str">
        <f>IFERROR(IF(OR($B11="",KM$3=""),"",IF(NOT(ISNUMBER(_xll.ciqfunctions.udf.CIQ($B11, "IQ_ASSET_TURNS", KM$3, $E$3, $N$3, , $J$3, $K$3))),"",_xll.ciqfunctions.udf.CIQ($B11, "IQ_ASSET_TURNS", KM$3, $E$3, $N$3, , $J$3, $K$3))),"")</f>
        <v/>
      </c>
      <c r="KN11" s="90" t="str">
        <f>IFERROR(IF(OR($B11="",KN$3=""),"",IF(NOT(ISNUMBER(_xll.ciqfunctions.udf.CIQ($B11, "IQ_ASSET_TURNS", KN$3, $E$3, $N$3, , $J$3, $K$3))),"",_xll.ciqfunctions.udf.CIQ($B11, "IQ_ASSET_TURNS", KN$3, $E$3, $N$3, , $J$3, $K$3))),"")</f>
        <v/>
      </c>
      <c r="KO11" s="90" t="str">
        <f>IFERROR(IF(OR($B11="",KO$3=""),"",IF(NOT(ISNUMBER(_xll.ciqfunctions.udf.CIQ($B11, "IQ_ASSET_TURNS", KO$3, $E$3, $N$3, , $J$3, $K$3))),"",_xll.ciqfunctions.udf.CIQ($B11, "IQ_ASSET_TURNS", KO$3, $E$3, $N$3, , $J$3, $K$3))),"")</f>
        <v/>
      </c>
      <c r="KP11" s="90" t="str">
        <f>IFERROR(IF(OR($B11="",KP$3=""),"",IF(NOT(ISNUMBER(_xll.ciqfunctions.udf.CIQ($B11, "IQ_ASSET_TURNS", KP$3, $E$3, $N$3, , $J$3, $K$3))),"",_xll.ciqfunctions.udf.CIQ($B11, "IQ_ASSET_TURNS", KP$3, $E$3, $N$3, , $J$3, $K$3))),"")</f>
        <v/>
      </c>
      <c r="KQ11" s="90" t="str">
        <f>IFERROR(IF(OR($B11="",KQ$3=""),"",IF(NOT(ISNUMBER(_xll.ciqfunctions.udf.CIQ($B11, "IQ_ASSET_TURNS", KQ$3, $E$3, $N$3, , $J$3, $K$3))),"",_xll.ciqfunctions.udf.CIQ($B11, "IQ_ASSET_TURNS", KQ$3, $E$3, $N$3, , $J$3, $K$3))),"")</f>
        <v/>
      </c>
      <c r="KR11" s="90" t="str">
        <f>IFERROR(IF(OR($B11="",KR$3=""),"",IF(NOT(ISNUMBER(_xll.ciqfunctions.udf.CIQ($B11, "IQ_ASSET_TURNS", KR$3, $E$3, $N$3, , $J$3, $K$3))),"",_xll.ciqfunctions.udf.CIQ($B11, "IQ_ASSET_TURNS", KR$3, $E$3, $N$3, , $J$3, $K$3))),"")</f>
        <v/>
      </c>
      <c r="KS11" s="90" t="str">
        <f>IFERROR(IF(OR($B11="",KS$3=""),"",IF(NOT(ISNUMBER(_xll.ciqfunctions.udf.CIQ($B11, "IQ_ASSET_TURNS", KS$3, $E$3, $N$3, , $J$3, $K$3))),"",_xll.ciqfunctions.udf.CIQ($B11, "IQ_ASSET_TURNS", KS$3, $E$3, $N$3, , $J$3, $K$3))),"")</f>
        <v/>
      </c>
      <c r="KT11" s="90" t="str">
        <f>IFERROR(IF(OR($B11="",KT$3=""),"",IF(NOT(ISNUMBER(_xll.ciqfunctions.udf.CIQ($B11, "IQ_ASSET_TURNS", KT$3, $E$3, $N$3, , $J$3, $K$3))),"",_xll.ciqfunctions.udf.CIQ($B11, "IQ_ASSET_TURNS", KT$3, $E$3, $N$3, , $J$3, $K$3))),"")</f>
        <v/>
      </c>
      <c r="KU11" s="90" t="str">
        <f>IFERROR(IF(OR($B11="",KU$3=""),"",IF(NOT(ISNUMBER(_xll.ciqfunctions.udf.CIQ($B11, "IQ_ASSET_TURNS", KU$3, $E$3, $N$3, , $J$3, $K$3))),"",_xll.ciqfunctions.udf.CIQ($B11, "IQ_ASSET_TURNS", KU$3, $E$3, $N$3, , $J$3, $K$3))),"")</f>
        <v/>
      </c>
      <c r="KV11" s="90" t="str">
        <f>IFERROR(IF(OR($B11="",KV$3=""),"",IF(NOT(ISNUMBER(_xll.ciqfunctions.udf.CIQ($B11, "IQ_ASSET_TURNS", KV$3, $E$3, $N$3, , $J$3, $K$3))),"",_xll.ciqfunctions.udf.CIQ($B11, "IQ_ASSET_TURNS", KV$3, $E$3, $N$3, , $J$3, $K$3))),"")</f>
        <v/>
      </c>
      <c r="KW11" s="90" t="str">
        <f>IFERROR(IF(OR($B11="",KW$3=""),"",IF(NOT(ISNUMBER(_xll.ciqfunctions.udf.CIQ($B11, "IQ_ASSET_TURNS", KW$3, $E$3, $N$3, , $J$3, $K$3))),"",_xll.ciqfunctions.udf.CIQ($B11, "IQ_ASSET_TURNS", KW$3, $E$3, $N$3, , $J$3, $K$3))),"")</f>
        <v/>
      </c>
      <c r="KX11" s="90" t="str">
        <f>IFERROR(IF(OR($B11="",KX$3=""),"",IF(NOT(ISNUMBER(_xll.ciqfunctions.udf.CIQ($B11, "IQ_ASSET_TURNS", KX$3, $E$3, $N$3, , $J$3, $K$3))),"",_xll.ciqfunctions.udf.CIQ($B11, "IQ_ASSET_TURNS", KX$3, $E$3, $N$3, , $J$3, $K$3))),"")</f>
        <v/>
      </c>
      <c r="KY11" s="90" t="str">
        <f>IFERROR(IF(OR($B11="",KY$3=""),"",IF(NOT(ISNUMBER(_xll.ciqfunctions.udf.CIQ($B11, "IQ_ASSET_TURNS", KY$3, $E$3, $N$3, , $J$3, $K$3))),"",_xll.ciqfunctions.udf.CIQ($B11, "IQ_ASSET_TURNS", KY$3, $E$3, $N$3, , $J$3, $K$3))),"")</f>
        <v/>
      </c>
      <c r="KZ11" s="91" t="str">
        <f>IFERROR(IF(OR($B11="",KZ$3=""),"",IF(NOT(ISNUMBER(_xll.ciqfunctions.udf.CIQ($B11, "IQ_ASSET_TURNS", KZ$3, $E$3, $N$3, , $J$3, $K$3))),"",_xll.ciqfunctions.udf.CIQ($B11, "IQ_ASSET_TURNS", KZ$3, $E$3, $N$3, , $J$3, $K$3))),"")</f>
        <v/>
      </c>
      <c r="LA11" s="75" t="str">
        <f>IFERROR(IF(OR($B11="",LA$3=""),"",IF(NOT(ISNUMBER(_xll.ciqfunctions.udf.CIQ($B11, "IQ_INVENTORY_TURNS", LA$3, $E$3, $N$3, , $J$3, $K$3))),"",_xll.ciqfunctions.udf.CIQ($B11, "IQ_INVENTORY_TURNS", LA$3, $E$3, $N$3, , $J$3, $K$3))),"")</f>
        <v/>
      </c>
      <c r="LB11" s="75" t="str">
        <f>IFERROR(IF(OR($B11="",LB$3=""),"",IF(NOT(ISNUMBER(_xll.ciqfunctions.udf.CIQ($B11, "IQ_INVENTORY_TURNS", LB$3, $E$3, $N$3, , $J$3, $K$3))),"",_xll.ciqfunctions.udf.CIQ($B11, "IQ_INVENTORY_TURNS", LB$3, $E$3, $N$3, , $J$3, $K$3))),"")</f>
        <v/>
      </c>
      <c r="LC11" s="75" t="str">
        <f>IFERROR(IF(OR($B11="",LC$3=""),"",IF(NOT(ISNUMBER(_xll.ciqfunctions.udf.CIQ($B11, "IQ_INVENTORY_TURNS", LC$3, $E$3, $N$3, , $J$3, $K$3))),"",_xll.ciqfunctions.udf.CIQ($B11, "IQ_INVENTORY_TURNS", LC$3, $E$3, $N$3, , $J$3, $K$3))),"")</f>
        <v/>
      </c>
      <c r="LD11" s="75" t="str">
        <f>IFERROR(IF(OR($B11="",LD$3=""),"",IF(NOT(ISNUMBER(_xll.ciqfunctions.udf.CIQ($B11, "IQ_INVENTORY_TURNS", LD$3, $E$3, $N$3, , $J$3, $K$3))),"",_xll.ciqfunctions.udf.CIQ($B11, "IQ_INVENTORY_TURNS", LD$3, $E$3, $N$3, , $J$3, $K$3))),"")</f>
        <v/>
      </c>
      <c r="LE11" s="75" t="str">
        <f>IFERROR(IF(OR($B11="",LE$3=""),"",IF(NOT(ISNUMBER(_xll.ciqfunctions.udf.CIQ($B11, "IQ_INVENTORY_TURNS", LE$3, $E$3, $N$3, , $J$3, $K$3))),"",_xll.ciqfunctions.udf.CIQ($B11, "IQ_INVENTORY_TURNS", LE$3, $E$3, $N$3, , $J$3, $K$3))),"")</f>
        <v/>
      </c>
      <c r="LF11" s="75" t="str">
        <f>IFERROR(IF(OR($B11="",LF$3=""),"",IF(NOT(ISNUMBER(_xll.ciqfunctions.udf.CIQ($B11, "IQ_INVENTORY_TURNS", LF$3, $E$3, $N$3, , $J$3, $K$3))),"",_xll.ciqfunctions.udf.CIQ($B11, "IQ_INVENTORY_TURNS", LF$3, $E$3, $N$3, , $J$3, $K$3))),"")</f>
        <v/>
      </c>
      <c r="LG11" s="75" t="str">
        <f>IFERROR(IF(OR($B11="",LG$3=""),"",IF(NOT(ISNUMBER(_xll.ciqfunctions.udf.CIQ($B11, "IQ_INVENTORY_TURNS", LG$3, $E$3, $N$3, , $J$3, $K$3))),"",_xll.ciqfunctions.udf.CIQ($B11, "IQ_INVENTORY_TURNS", LG$3, $E$3, $N$3, , $J$3, $K$3))),"")</f>
        <v/>
      </c>
      <c r="LH11" s="75" t="str">
        <f>IFERROR(IF(OR($B11="",LH$3=""),"",IF(NOT(ISNUMBER(_xll.ciqfunctions.udf.CIQ($B11, "IQ_INVENTORY_TURNS", LH$3, $E$3, $N$3, , $J$3, $K$3))),"",_xll.ciqfunctions.udf.CIQ($B11, "IQ_INVENTORY_TURNS", LH$3, $E$3, $N$3, , $J$3, $K$3))),"")</f>
        <v/>
      </c>
      <c r="LI11" s="75" t="str">
        <f>IFERROR(IF(OR($B11="",LI$3=""),"",IF(NOT(ISNUMBER(_xll.ciqfunctions.udf.CIQ($B11, "IQ_INVENTORY_TURNS", LI$3, $E$3, $N$3, , $J$3, $K$3))),"",_xll.ciqfunctions.udf.CIQ($B11, "IQ_INVENTORY_TURNS", LI$3, $E$3, $N$3, , $J$3, $K$3))),"")</f>
        <v/>
      </c>
      <c r="LJ11" s="75" t="str">
        <f>IFERROR(IF(OR($B11="",LJ$3=""),"",IF(NOT(ISNUMBER(_xll.ciqfunctions.udf.CIQ($B11, "IQ_INVENTORY_TURNS", LJ$3, $E$3, $N$3, , $J$3, $K$3))),"",_xll.ciqfunctions.udf.CIQ($B11, "IQ_INVENTORY_TURNS", LJ$3, $E$3, $N$3, , $J$3, $K$3))),"")</f>
        <v/>
      </c>
      <c r="LK11" s="75" t="str">
        <f>IFERROR(IF(OR($B11="",LK$3=""),"",IF(NOT(ISNUMBER(_xll.ciqfunctions.udf.CIQ($B11, "IQ_INVENTORY_TURNS", LK$3, $E$3, $N$3, , $J$3, $K$3))),"",_xll.ciqfunctions.udf.CIQ($B11, "IQ_INVENTORY_TURNS", LK$3, $E$3, $N$3, , $J$3, $K$3))),"")</f>
        <v/>
      </c>
      <c r="LL11" s="75" t="str">
        <f>IFERROR(IF(OR($B11="",LL$3=""),"",IF(NOT(ISNUMBER(_xll.ciqfunctions.udf.CIQ($B11, "IQ_INVENTORY_TURNS", LL$3, $E$3, $N$3, , $J$3, $K$3))),"",_xll.ciqfunctions.udf.CIQ($B11, "IQ_INVENTORY_TURNS", LL$3, $E$3, $N$3, , $J$3, $K$3))),"")</f>
        <v/>
      </c>
      <c r="LM11" s="75" t="str">
        <f>IFERROR(IF(OR($B11="",LM$3=""),"",IF(NOT(ISNUMBER(_xll.ciqfunctions.udf.CIQ($B11, "IQ_INVENTORY_TURNS", LM$3, $E$3, $N$3, , $J$3, $K$3))),"",_xll.ciqfunctions.udf.CIQ($B11, "IQ_INVENTORY_TURNS", LM$3, $E$3, $N$3, , $J$3, $K$3))),"")</f>
        <v/>
      </c>
      <c r="LN11" s="75" t="str">
        <f>IFERROR(IF(OR($B11="",LN$3=""),"",IF(NOT(ISNUMBER(_xll.ciqfunctions.udf.CIQ($B11, "IQ_INVENTORY_TURNS", LN$3, $E$3, $N$3, , $J$3, $K$3))),"",_xll.ciqfunctions.udf.CIQ($B11, "IQ_INVENTORY_TURNS", LN$3, $E$3, $N$3, , $J$3, $K$3))),"")</f>
        <v/>
      </c>
      <c r="LO11" s="75" t="str">
        <f>IFERROR(IF(OR($B11="",LO$3=""),"",IF(NOT(ISNUMBER(_xll.ciqfunctions.udf.CIQ($B11, "IQ_INVENTORY_TURNS", LO$3, $E$3, $N$3, , $J$3, $K$3))),"",_xll.ciqfunctions.udf.CIQ($B11, "IQ_INVENTORY_TURNS", LO$3, $E$3, $N$3, , $J$3, $K$3))),"")</f>
        <v/>
      </c>
      <c r="LP11" s="75" t="str">
        <f>IFERROR(IF(OR($B11="",LP$3=""),"",IF(NOT(ISNUMBER(_xll.ciqfunctions.udf.CIQ($B11, "IQ_INVENTORY_TURNS", LP$3, $E$3, $N$3, , $J$3, $K$3))),"",_xll.ciqfunctions.udf.CIQ($B11, "IQ_INVENTORY_TURNS", LP$3, $E$3, $N$3, , $J$3, $K$3))),"")</f>
        <v/>
      </c>
      <c r="LQ11" s="75" t="str">
        <f>IFERROR(IF(OR($B11="",LQ$3=""),"",IF(NOT(ISNUMBER(_xll.ciqfunctions.udf.CIQ($B11, "IQ_INVENTORY_TURNS", LQ$3, $E$3, $N$3, , $J$3, $K$3))),"",_xll.ciqfunctions.udf.CIQ($B11, "IQ_INVENTORY_TURNS", LQ$3, $E$3, $N$3, , $J$3, $K$3))),"")</f>
        <v/>
      </c>
      <c r="LR11" s="75" t="str">
        <f>IFERROR(IF(OR($B11="",LR$3=""),"",IF(NOT(ISNUMBER(_xll.ciqfunctions.udf.CIQ($B11, "IQ_INVENTORY_TURNS", LR$3, $E$3, $N$3, , $J$3, $K$3))),"",_xll.ciqfunctions.udf.CIQ($B11, "IQ_INVENTORY_TURNS", LR$3, $E$3, $N$3, , $J$3, $K$3))),"")</f>
        <v/>
      </c>
      <c r="LS11" s="75" t="str">
        <f>IFERROR(IF(OR($B11="",LS$3=""),"",IF(NOT(ISNUMBER(_xll.ciqfunctions.udf.CIQ($B11, "IQ_INVENTORY_TURNS", LS$3, $E$3, $N$3, , $J$3, $K$3))),"",_xll.ciqfunctions.udf.CIQ($B11, "IQ_INVENTORY_TURNS", LS$3, $E$3, $N$3, , $J$3, $K$3))),"")</f>
        <v/>
      </c>
      <c r="LT11" s="75" t="str">
        <f>IFERROR(IF(OR($B11="",LT$3=""),"",IF(NOT(ISNUMBER(_xll.ciqfunctions.udf.CIQ($B11, "IQ_INVENTORY_TURNS", LT$3, $E$3, $N$3, , $J$3, $K$3))),"",_xll.ciqfunctions.udf.CIQ($B11, "IQ_INVENTORY_TURNS", LT$3, $E$3, $N$3, , $J$3, $K$3))),"")</f>
        <v/>
      </c>
      <c r="LU11" s="75" t="str">
        <f>IFERROR(IF(OR($B11="",LU$3=""),"",IF(NOT(ISNUMBER(_xll.ciqfunctions.udf.CIQ($B11, "IQ_AR_TURNS", LU$3, $E$3, $N$3, , $J$3, $K$3))),"",_xll.ciqfunctions.udf.CIQ($B11, "IQ_AR_TURNS", LU$3, $E$3, $N$3, , $J$3, $K$3))),"")</f>
        <v/>
      </c>
      <c r="LV11" s="75" t="str">
        <f>IFERROR(IF(OR($B11="",LV$3=""),"",IF(NOT(ISNUMBER(_xll.ciqfunctions.udf.CIQ($B11, "IQ_AR_TURNS", LV$3, $E$3, $N$3, , $J$3, $K$3))),"",_xll.ciqfunctions.udf.CIQ($B11, "IQ_AR_TURNS", LV$3, $E$3, $N$3, , $J$3, $K$3))),"")</f>
        <v/>
      </c>
      <c r="LW11" s="75" t="str">
        <f>IFERROR(IF(OR($B11="",LW$3=""),"",IF(NOT(ISNUMBER(_xll.ciqfunctions.udf.CIQ($B11, "IQ_AR_TURNS", LW$3, $E$3, $N$3, , $J$3, $K$3))),"",_xll.ciqfunctions.udf.CIQ($B11, "IQ_AR_TURNS", LW$3, $E$3, $N$3, , $J$3, $K$3))),"")</f>
        <v/>
      </c>
      <c r="LX11" s="75" t="str">
        <f>IFERROR(IF(OR($B11="",LX$3=""),"",IF(NOT(ISNUMBER(_xll.ciqfunctions.udf.CIQ($B11, "IQ_AR_TURNS", LX$3, $E$3, $N$3, , $J$3, $K$3))),"",_xll.ciqfunctions.udf.CIQ($B11, "IQ_AR_TURNS", LX$3, $E$3, $N$3, , $J$3, $K$3))),"")</f>
        <v/>
      </c>
      <c r="LY11" s="75" t="str">
        <f>IFERROR(IF(OR($B11="",LY$3=""),"",IF(NOT(ISNUMBER(_xll.ciqfunctions.udf.CIQ($B11, "IQ_AR_TURNS", LY$3, $E$3, $N$3, , $J$3, $K$3))),"",_xll.ciqfunctions.udf.CIQ($B11, "IQ_AR_TURNS", LY$3, $E$3, $N$3, , $J$3, $K$3))),"")</f>
        <v/>
      </c>
      <c r="LZ11" s="75" t="str">
        <f>IFERROR(IF(OR($B11="",LZ$3=""),"",IF(NOT(ISNUMBER(_xll.ciqfunctions.udf.CIQ($B11, "IQ_AR_TURNS", LZ$3, $E$3, $N$3, , $J$3, $K$3))),"",_xll.ciqfunctions.udf.CIQ($B11, "IQ_AR_TURNS", LZ$3, $E$3, $N$3, , $J$3, $K$3))),"")</f>
        <v/>
      </c>
      <c r="MA11" s="75" t="str">
        <f>IFERROR(IF(OR($B11="",MA$3=""),"",IF(NOT(ISNUMBER(_xll.ciqfunctions.udf.CIQ($B11, "IQ_AR_TURNS", MA$3, $E$3, $N$3, , $J$3, $K$3))),"",_xll.ciqfunctions.udf.CIQ($B11, "IQ_AR_TURNS", MA$3, $E$3, $N$3, , $J$3, $K$3))),"")</f>
        <v/>
      </c>
      <c r="MB11" s="75" t="str">
        <f>IFERROR(IF(OR($B11="",MB$3=""),"",IF(NOT(ISNUMBER(_xll.ciqfunctions.udf.CIQ($B11, "IQ_AR_TURNS", MB$3, $E$3, $N$3, , $J$3, $K$3))),"",_xll.ciqfunctions.udf.CIQ($B11, "IQ_AR_TURNS", MB$3, $E$3, $N$3, , $J$3, $K$3))),"")</f>
        <v/>
      </c>
      <c r="MC11" s="75" t="str">
        <f>IFERROR(IF(OR($B11="",MC$3=""),"",IF(NOT(ISNUMBER(_xll.ciqfunctions.udf.CIQ($B11, "IQ_AR_TURNS", MC$3, $E$3, $N$3, , $J$3, $K$3))),"",_xll.ciqfunctions.udf.CIQ($B11, "IQ_AR_TURNS", MC$3, $E$3, $N$3, , $J$3, $K$3))),"")</f>
        <v/>
      </c>
      <c r="MD11" s="75" t="str">
        <f>IFERROR(IF(OR($B11="",MD$3=""),"",IF(NOT(ISNUMBER(_xll.ciqfunctions.udf.CIQ($B11, "IQ_AR_TURNS", MD$3, $E$3, $N$3, , $J$3, $K$3))),"",_xll.ciqfunctions.udf.CIQ($B11, "IQ_AR_TURNS", MD$3, $E$3, $N$3, , $J$3, $K$3))),"")</f>
        <v/>
      </c>
      <c r="ME11" s="75" t="str">
        <f>IFERROR(IF(OR($B11="",ME$3=""),"",IF(NOT(ISNUMBER(_xll.ciqfunctions.udf.CIQ($B11, "IQ_AR_TURNS", ME$3, $E$3, $N$3, , $J$3, $K$3))),"",_xll.ciqfunctions.udf.CIQ($B11, "IQ_AR_TURNS", ME$3, $E$3, $N$3, , $J$3, $K$3))),"")</f>
        <v/>
      </c>
      <c r="MF11" s="75" t="str">
        <f>IFERROR(IF(OR($B11="",MF$3=""),"",IF(NOT(ISNUMBER(_xll.ciqfunctions.udf.CIQ($B11, "IQ_AR_TURNS", MF$3, $E$3, $N$3, , $J$3, $K$3))),"",_xll.ciqfunctions.udf.CIQ($B11, "IQ_AR_TURNS", MF$3, $E$3, $N$3, , $J$3, $K$3))),"")</f>
        <v/>
      </c>
      <c r="MG11" s="75" t="str">
        <f>IFERROR(IF(OR($B11="",MG$3=""),"",IF(NOT(ISNUMBER(_xll.ciqfunctions.udf.CIQ($B11, "IQ_AR_TURNS", MG$3, $E$3, $N$3, , $J$3, $K$3))),"",_xll.ciqfunctions.udf.CIQ($B11, "IQ_AR_TURNS", MG$3, $E$3, $N$3, , $J$3, $K$3))),"")</f>
        <v/>
      </c>
      <c r="MH11" s="75" t="str">
        <f>IFERROR(IF(OR($B11="",MH$3=""),"",IF(NOT(ISNUMBER(_xll.ciqfunctions.udf.CIQ($B11, "IQ_AR_TURNS", MH$3, $E$3, $N$3, , $J$3, $K$3))),"",_xll.ciqfunctions.udf.CIQ($B11, "IQ_AR_TURNS", MH$3, $E$3, $N$3, , $J$3, $K$3))),"")</f>
        <v/>
      </c>
      <c r="MI11" s="75" t="str">
        <f>IFERROR(IF(OR($B11="",MI$3=""),"",IF(NOT(ISNUMBER(_xll.ciqfunctions.udf.CIQ($B11, "IQ_AR_TURNS", MI$3, $E$3, $N$3, , $J$3, $K$3))),"",_xll.ciqfunctions.udf.CIQ($B11, "IQ_AR_TURNS", MI$3, $E$3, $N$3, , $J$3, $K$3))),"")</f>
        <v/>
      </c>
      <c r="MJ11" s="75" t="str">
        <f>IFERROR(IF(OR($B11="",MJ$3=""),"",IF(NOT(ISNUMBER(_xll.ciqfunctions.udf.CIQ($B11, "IQ_AR_TURNS", MJ$3, $E$3, $N$3, , $J$3, $K$3))),"",_xll.ciqfunctions.udf.CIQ($B11, "IQ_AR_TURNS", MJ$3, $E$3, $N$3, , $J$3, $K$3))),"")</f>
        <v/>
      </c>
      <c r="MK11" s="75" t="str">
        <f>IFERROR(IF(OR($B11="",MK$3=""),"",IF(NOT(ISNUMBER(_xll.ciqfunctions.udf.CIQ($B11, "IQ_AR_TURNS", MK$3, $E$3, $N$3, , $J$3, $K$3))),"",_xll.ciqfunctions.udf.CIQ($B11, "IQ_AR_TURNS", MK$3, $E$3, $N$3, , $J$3, $K$3))),"")</f>
        <v/>
      </c>
      <c r="ML11" s="75" t="str">
        <f>IFERROR(IF(OR($B11="",ML$3=""),"",IF(NOT(ISNUMBER(_xll.ciqfunctions.udf.CIQ($B11, "IQ_AR_TURNS", ML$3, $E$3, $N$3, , $J$3, $K$3))),"",_xll.ciqfunctions.udf.CIQ($B11, "IQ_AR_TURNS", ML$3, $E$3, $N$3, , $J$3, $K$3))),"")</f>
        <v/>
      </c>
      <c r="MM11" s="75" t="str">
        <f>IFERROR(IF(OR($B11="",MM$3=""),"",IF(NOT(ISNUMBER(_xll.ciqfunctions.udf.CIQ($B11, "IQ_AR_TURNS", MM$3, $E$3, $N$3, , $J$3, $K$3))),"",_xll.ciqfunctions.udf.CIQ($B11, "IQ_AR_TURNS", MM$3, $E$3, $N$3, , $J$3, $K$3))),"")</f>
        <v/>
      </c>
      <c r="MN11" s="75" t="str">
        <f>IFERROR(IF(OR($B11="",MN$3=""),"",IF(NOT(ISNUMBER(_xll.ciqfunctions.udf.CIQ($B11, "IQ_AR_TURNS", MN$3, $E$3, $N$3, , $J$3, $K$3))),"",_xll.ciqfunctions.udf.CIQ($B11, "IQ_AR_TURNS", MN$3, $E$3, $N$3, , $J$3, $K$3))),"")</f>
        <v/>
      </c>
      <c r="MO11" s="588" t="str">
        <f>IFERROR(IF(OR($B11="",MO$3=""),"",_xll.ciqfunctions.udf.CIQ($B11, "IQ_LEVERED_FCF", $O$3, MO$3, $N$3, , $J$3, $K$3)*2/(_xll.ciqfunctions.udf.CIQ($B11, "IQ_TOTAL_DEBT", MO$3, $E$3, $N$3, , $J$3, $K$3)+_xll.ciqfunctions.udf.CIQ($B11, "IQ_TOTAL_DEBT", "IQ_" &amp; LEFT(MO$3,2) &amp; "-1", MO$3, $N$3, , $J$3, $K$3)) ),"")</f>
        <v/>
      </c>
      <c r="MP11" s="588" t="str">
        <f>IFERROR(IF(OR($B11="",MP$3=""),"",_xll.ciqfunctions.udf.CIQ($B11, "IQ_LEVERED_FCF", $O$3, MP$3, $N$3, , $J$3, $K$3)*2/(_xll.ciqfunctions.udf.CIQ($B11, "IQ_TOTAL_DEBT", MP$3, $E$3, $N$3, , $J$3, $K$3)+_xll.ciqfunctions.udf.CIQ($B11, "IQ_TOTAL_DEBT", "IQ_" &amp; LEFT(MP$3,2) &amp; "-1", MP$3, $N$3, , $J$3, $K$3)) ),"")</f>
        <v/>
      </c>
      <c r="MQ11" s="588" t="str">
        <f>IFERROR(IF(OR($B11="",MQ$3=""),"",_xll.ciqfunctions.udf.CIQ($B11, "IQ_LEVERED_FCF", $O$3, MQ$3, $N$3, , $J$3, $K$3)*2/(_xll.ciqfunctions.udf.CIQ($B11, "IQ_TOTAL_DEBT", MQ$3, $E$3, $N$3, , $J$3, $K$3)+_xll.ciqfunctions.udf.CIQ($B11, "IQ_TOTAL_DEBT", "IQ_" &amp; LEFT(MQ$3,2) &amp; "-1", MQ$3, $N$3, , $J$3, $K$3)) ),"")</f>
        <v/>
      </c>
      <c r="MR11" s="588" t="str">
        <f>IFERROR(IF(OR($B11="",MR$3=""),"",_xll.ciqfunctions.udf.CIQ($B11, "IQ_LEVERED_FCF", $O$3, MR$3, $N$3, , $J$3, $K$3)*2/(_xll.ciqfunctions.udf.CIQ($B11, "IQ_TOTAL_DEBT", MR$3, $E$3, $N$3, , $J$3, $K$3)+_xll.ciqfunctions.udf.CIQ($B11, "IQ_TOTAL_DEBT", "IQ_" &amp; LEFT(MR$3,2) &amp; "-1", MR$3, $N$3, , $J$3, $K$3)) ),"")</f>
        <v/>
      </c>
      <c r="MS11" s="588" t="str">
        <f>IFERROR(IF(OR($B11="",MS$3=""),"",_xll.ciqfunctions.udf.CIQ($B11, "IQ_LEVERED_FCF", $O$3, MS$3, $N$3, , $J$3, $K$3)*2/(_xll.ciqfunctions.udf.CIQ($B11, "IQ_TOTAL_DEBT", MS$3, $E$3, $N$3, , $J$3, $K$3)+_xll.ciqfunctions.udf.CIQ($B11, "IQ_TOTAL_DEBT", "IQ_" &amp; LEFT(MS$3,2) &amp; "-1", MS$3, $N$3, , $J$3, $K$3)) ),"")</f>
        <v/>
      </c>
      <c r="MT11" s="588" t="str">
        <f>IFERROR(IF(OR($B11="",MT$3=""),"",_xll.ciqfunctions.udf.CIQ($B11, "IQ_LEVERED_FCF", $O$3, MT$3, $N$3, , $J$3, $K$3)*2/(_xll.ciqfunctions.udf.CIQ($B11, "IQ_TOTAL_DEBT", MT$3, $E$3, $N$3, , $J$3, $K$3)+_xll.ciqfunctions.udf.CIQ($B11, "IQ_TOTAL_DEBT", "IQ_" &amp; LEFT(MT$3,2) &amp; "-1", MT$3, $N$3, , $J$3, $K$3)) ),"")</f>
        <v/>
      </c>
      <c r="MU11" s="588" t="str">
        <f>IFERROR(IF(OR($B11="",MU$3=""),"",_xll.ciqfunctions.udf.CIQ($B11, "IQ_LEVERED_FCF", $O$3, MU$3, $N$3, , $J$3, $K$3)*2/(_xll.ciqfunctions.udf.CIQ($B11, "IQ_TOTAL_DEBT", MU$3, $E$3, $N$3, , $J$3, $K$3)+_xll.ciqfunctions.udf.CIQ($B11, "IQ_TOTAL_DEBT", "IQ_" &amp; LEFT(MU$3,2) &amp; "-1", MU$3, $N$3, , $J$3, $K$3)) ),"")</f>
        <v/>
      </c>
      <c r="MV11" s="588" t="str">
        <f>IFERROR(IF(OR($B11="",MV$3=""),"",_xll.ciqfunctions.udf.CIQ($B11, "IQ_LEVERED_FCF", $O$3, MV$3, $N$3, , $J$3, $K$3)*2/(_xll.ciqfunctions.udf.CIQ($B11, "IQ_TOTAL_DEBT", MV$3, $E$3, $N$3, , $J$3, $K$3)+_xll.ciqfunctions.udf.CIQ($B11, "IQ_TOTAL_DEBT", "IQ_" &amp; LEFT(MV$3,2) &amp; "-1", MV$3, $N$3, , $J$3, $K$3)) ),"")</f>
        <v/>
      </c>
      <c r="MW11" s="588" t="str">
        <f>IFERROR(IF(OR($B11="",MW$3=""),"",_xll.ciqfunctions.udf.CIQ($B11, "IQ_LEVERED_FCF", $O$3, MW$3, $N$3, , $J$3, $K$3)*2/(_xll.ciqfunctions.udf.CIQ($B11, "IQ_TOTAL_DEBT", MW$3, $E$3, $N$3, , $J$3, $K$3)+_xll.ciqfunctions.udf.CIQ($B11, "IQ_TOTAL_DEBT", "IQ_" &amp; LEFT(MW$3,2) &amp; "-1", MW$3, $N$3, , $J$3, $K$3)) ),"")</f>
        <v/>
      </c>
      <c r="MX11" s="588" t="str">
        <f>IFERROR(IF(OR($B11="",MX$3=""),"",_xll.ciqfunctions.udf.CIQ($B11, "IQ_LEVERED_FCF", $O$3, MX$3, $N$3, , $J$3, $K$3)*2/(_xll.ciqfunctions.udf.CIQ($B11, "IQ_TOTAL_DEBT", MX$3, $E$3, $N$3, , $J$3, $K$3)+_xll.ciqfunctions.udf.CIQ($B11, "IQ_TOTAL_DEBT", "IQ_" &amp; LEFT(MX$3,2) &amp; "-1", MX$3, $N$3, , $J$3, $K$3)) ),"")</f>
        <v/>
      </c>
      <c r="MY11" s="588" t="str">
        <f>IFERROR(IF(OR($B11="",MY$3=""),"",_xll.ciqfunctions.udf.CIQ($B11, "IQ_LEVERED_FCF", $O$3, MY$3, $N$3, , $J$3, $K$3)*2/(_xll.ciqfunctions.udf.CIQ($B11, "IQ_TOTAL_DEBT", MY$3, $E$3, $N$3, , $J$3, $K$3)+_xll.ciqfunctions.udf.CIQ($B11, "IQ_TOTAL_DEBT", "IQ_" &amp; LEFT(MY$3,2) &amp; "-1", MY$3, $N$3, , $J$3, $K$3)) ),"")</f>
        <v/>
      </c>
      <c r="MZ11" s="588" t="str">
        <f>IFERROR(IF(OR($B11="",MZ$3=""),"",_xll.ciqfunctions.udf.CIQ($B11, "IQ_LEVERED_FCF", $O$3, MZ$3, $N$3, , $J$3, $K$3)*2/(_xll.ciqfunctions.udf.CIQ($B11, "IQ_TOTAL_DEBT", MZ$3, $E$3, $N$3, , $J$3, $K$3)+_xll.ciqfunctions.udf.CIQ($B11, "IQ_TOTAL_DEBT", "IQ_" &amp; LEFT(MZ$3,2) &amp; "-1", MZ$3, $N$3, , $J$3, $K$3)) ),"")</f>
        <v/>
      </c>
      <c r="NA11" s="588" t="str">
        <f>IFERROR(IF(OR($B11="",NA$3=""),"",_xll.ciqfunctions.udf.CIQ($B11, "IQ_LEVERED_FCF", $O$3, NA$3, $N$3, , $J$3, $K$3)*2/(_xll.ciqfunctions.udf.CIQ($B11, "IQ_TOTAL_DEBT", NA$3, $E$3, $N$3, , $J$3, $K$3)+_xll.ciqfunctions.udf.CIQ($B11, "IQ_TOTAL_DEBT", "IQ_" &amp; LEFT(NA$3,2) &amp; "-1", NA$3, $N$3, , $J$3, $K$3)) ),"")</f>
        <v/>
      </c>
      <c r="NB11" s="588" t="str">
        <f>IFERROR(IF(OR($B11="",NB$3=""),"",_xll.ciqfunctions.udf.CIQ($B11, "IQ_LEVERED_FCF", $O$3, NB$3, $N$3, , $J$3, $K$3)*2/(_xll.ciqfunctions.udf.CIQ($B11, "IQ_TOTAL_DEBT", NB$3, $E$3, $N$3, , $J$3, $K$3)+_xll.ciqfunctions.udf.CIQ($B11, "IQ_TOTAL_DEBT", "IQ_" &amp; LEFT(NB$3,2) &amp; "-1", NB$3, $N$3, , $J$3, $K$3)) ),"")</f>
        <v/>
      </c>
      <c r="NC11" s="588" t="str">
        <f>IFERROR(IF(OR($B11="",NC$3=""),"",_xll.ciqfunctions.udf.CIQ($B11, "IQ_LEVERED_FCF", $O$3, NC$3, $N$3, , $J$3, $K$3)*2/(_xll.ciqfunctions.udf.CIQ($B11, "IQ_TOTAL_DEBT", NC$3, $E$3, $N$3, , $J$3, $K$3)+_xll.ciqfunctions.udf.CIQ($B11, "IQ_TOTAL_DEBT", "IQ_" &amp; LEFT(NC$3,2) &amp; "-1", NC$3, $N$3, , $J$3, $K$3)) ),"")</f>
        <v/>
      </c>
      <c r="ND11" s="588" t="str">
        <f>IFERROR(IF(OR($B11="",ND$3=""),"",_xll.ciqfunctions.udf.CIQ($B11, "IQ_LEVERED_FCF", $O$3, ND$3, $N$3, , $J$3, $K$3)*2/(_xll.ciqfunctions.udf.CIQ($B11, "IQ_TOTAL_DEBT", ND$3, $E$3, $N$3, , $J$3, $K$3)+_xll.ciqfunctions.udf.CIQ($B11, "IQ_TOTAL_DEBT", "IQ_" &amp; LEFT(ND$3,2) &amp; "-1", ND$3, $N$3, , $J$3, $K$3)) ),"")</f>
        <v/>
      </c>
      <c r="NE11" s="588" t="str">
        <f>IFERROR(IF(OR($B11="",NE$3=""),"",_xll.ciqfunctions.udf.CIQ($B11, "IQ_LEVERED_FCF", $O$3, NE$3, $N$3, , $J$3, $K$3)*2/(_xll.ciqfunctions.udf.CIQ($B11, "IQ_TOTAL_DEBT", NE$3, $E$3, $N$3, , $J$3, $K$3)+_xll.ciqfunctions.udf.CIQ($B11, "IQ_TOTAL_DEBT", "IQ_" &amp; LEFT(NE$3,2) &amp; "-1", NE$3, $N$3, , $J$3, $K$3)) ),"")</f>
        <v/>
      </c>
      <c r="NF11" s="588" t="str">
        <f>IFERROR(IF(OR($B11="",NF$3=""),"",_xll.ciqfunctions.udf.CIQ($B11, "IQ_LEVERED_FCF", $O$3, NF$3, $N$3, , $J$3, $K$3)*2/(_xll.ciqfunctions.udf.CIQ($B11, "IQ_TOTAL_DEBT", NF$3, $E$3, $N$3, , $J$3, $K$3)+_xll.ciqfunctions.udf.CIQ($B11, "IQ_TOTAL_DEBT", "IQ_" &amp; LEFT(NF$3,2) &amp; "-1", NF$3, $N$3, , $J$3, $K$3)) ),"")</f>
        <v/>
      </c>
      <c r="NG11" s="588" t="str">
        <f>IFERROR(IF(OR($B11="",NG$3=""),"",_xll.ciqfunctions.udf.CIQ($B11, "IQ_LEVERED_FCF", $O$3, NG$3, $N$3, , $J$3, $K$3)*2/(_xll.ciqfunctions.udf.CIQ($B11, "IQ_TOTAL_DEBT", NG$3, $E$3, $N$3, , $J$3, $K$3)+_xll.ciqfunctions.udf.CIQ($B11, "IQ_TOTAL_DEBT", "IQ_" &amp; LEFT(NG$3,2) &amp; "-1", NG$3, $N$3, , $J$3, $K$3)) ),"")</f>
        <v/>
      </c>
      <c r="NH11" s="588" t="str">
        <f>IFERROR(IF(OR($B11="",NH$3=""),"",_xll.ciqfunctions.udf.CIQ($B11, "IQ_LEVERED_FCF", $O$3, NH$3, $N$3, , $J$3, $K$3)*2/(_xll.ciqfunctions.udf.CIQ($B11, "IQ_TOTAL_DEBT", NH$3, $E$3, $N$3, , $J$3, $K$3)+_xll.ciqfunctions.udf.CIQ($B11, "IQ_TOTAL_DEBT", "IQ_" &amp; LEFT(NH$3,2) &amp; "-1", NH$3, $N$3, , $J$3, $K$3)) ),"")</f>
        <v/>
      </c>
      <c r="NI11" s="588" t="str">
        <f>IFERROR(IF(OR($B11="",NI$3=""),"",_xll.ciqfunctions.udf.CIQ($B11, "IQ_CASH_OPER", $O$3, NI$3, $N$3, , $J$3, $K$3)/_xll.ciqfunctions.udf.CIQ($B11, "IQ_NI", NI$3, $E$3, $N$3, , $J$3, $K$3)),"")</f>
        <v/>
      </c>
      <c r="NJ11" s="588" t="str">
        <f>IFERROR(IF(OR($B11="",NJ$3=""),"",_xll.ciqfunctions.udf.CIQ($B11, "IQ_CASH_OPER", $O$3, NJ$3, $N$3, , $J$3, $K$3)/_xll.ciqfunctions.udf.CIQ($B11, "IQ_NI", NJ$3, $E$3, $N$3, , $J$3, $K$3)),"")</f>
        <v/>
      </c>
      <c r="NK11" s="588" t="str">
        <f>IFERROR(IF(OR($B11="",NK$3=""),"",_xll.ciqfunctions.udf.CIQ($B11, "IQ_CASH_OPER", $O$3, NK$3, $N$3, , $J$3, $K$3)/_xll.ciqfunctions.udf.CIQ($B11, "IQ_NI", NK$3, $E$3, $N$3, , $J$3, $K$3)),"")</f>
        <v/>
      </c>
      <c r="NL11" s="588" t="str">
        <f>IFERROR(IF(OR($B11="",NL$3=""),"",_xll.ciqfunctions.udf.CIQ($B11, "IQ_CASH_OPER", $O$3, NL$3, $N$3, , $J$3, $K$3)/_xll.ciqfunctions.udf.CIQ($B11, "IQ_NI", NL$3, $E$3, $N$3, , $J$3, $K$3)),"")</f>
        <v/>
      </c>
      <c r="NM11" s="588" t="str">
        <f>IFERROR(IF(OR($B11="",NM$3=""),"",_xll.ciqfunctions.udf.CIQ($B11, "IQ_CASH_OPER", $O$3, NM$3, $N$3, , $J$3, $K$3)/_xll.ciqfunctions.udf.CIQ($B11, "IQ_NI", NM$3, $E$3, $N$3, , $J$3, $K$3)),"")</f>
        <v/>
      </c>
      <c r="NN11" s="588" t="str">
        <f>IFERROR(IF(OR($B11="",NN$3=""),"",_xll.ciqfunctions.udf.CIQ($B11, "IQ_CASH_OPER", $O$3, NN$3, $N$3, , $J$3, $K$3)/_xll.ciqfunctions.udf.CIQ($B11, "IQ_NI", NN$3, $E$3, $N$3, , $J$3, $K$3)),"")</f>
        <v/>
      </c>
      <c r="NO11" s="588" t="str">
        <f>IFERROR(IF(OR($B11="",NO$3=""),"",_xll.ciqfunctions.udf.CIQ($B11, "IQ_CASH_OPER", $O$3, NO$3, $N$3, , $J$3, $K$3)/_xll.ciqfunctions.udf.CIQ($B11, "IQ_NI", NO$3, $E$3, $N$3, , $J$3, $K$3)),"")</f>
        <v/>
      </c>
      <c r="NP11" s="588" t="str">
        <f>IFERROR(IF(OR($B11="",NP$3=""),"",_xll.ciqfunctions.udf.CIQ($B11, "IQ_CASH_OPER", $O$3, NP$3, $N$3, , $J$3, $K$3)/_xll.ciqfunctions.udf.CIQ($B11, "IQ_NI", NP$3, $E$3, $N$3, , $J$3, $K$3)),"")</f>
        <v/>
      </c>
      <c r="NQ11" s="588" t="str">
        <f>IFERROR(IF(OR($B11="",NQ$3=""),"",_xll.ciqfunctions.udf.CIQ($B11, "IQ_CASH_OPER", $O$3, NQ$3, $N$3, , $J$3, $K$3)/_xll.ciqfunctions.udf.CIQ($B11, "IQ_NI", NQ$3, $E$3, $N$3, , $J$3, $K$3)),"")</f>
        <v/>
      </c>
      <c r="NR11" s="588" t="str">
        <f>IFERROR(IF(OR($B11="",NR$3=""),"",_xll.ciqfunctions.udf.CIQ($B11, "IQ_CASH_OPER", $O$3, NR$3, $N$3, , $J$3, $K$3)/_xll.ciqfunctions.udf.CIQ($B11, "IQ_NI", NR$3, $E$3, $N$3, , $J$3, $K$3)),"")</f>
        <v/>
      </c>
      <c r="NS11" s="588" t="str">
        <f>IFERROR(IF(OR($B11="",NS$3=""),"",_xll.ciqfunctions.udf.CIQ($B11, "IQ_CASH_OPER", $O$3, NS$3, $N$3, , $J$3, $K$3)/_xll.ciqfunctions.udf.CIQ($B11, "IQ_NI", NS$3, $E$3, $N$3, , $J$3, $K$3)),"")</f>
        <v/>
      </c>
      <c r="NT11" s="588" t="str">
        <f>IFERROR(IF(OR($B11="",NT$3=""),"",_xll.ciqfunctions.udf.CIQ($B11, "IQ_CASH_OPER", $O$3, NT$3, $N$3, , $J$3, $K$3)/_xll.ciqfunctions.udf.CIQ($B11, "IQ_NI", NT$3, $E$3, $N$3, , $J$3, $K$3)),"")</f>
        <v/>
      </c>
      <c r="NU11" s="588" t="str">
        <f>IFERROR(IF(OR($B11="",NU$3=""),"",_xll.ciqfunctions.udf.CIQ($B11, "IQ_CASH_OPER", $O$3, NU$3, $N$3, , $J$3, $K$3)/_xll.ciqfunctions.udf.CIQ($B11, "IQ_NI", NU$3, $E$3, $N$3, , $J$3, $K$3)),"")</f>
        <v/>
      </c>
      <c r="NV11" s="588" t="str">
        <f>IFERROR(IF(OR($B11="",NV$3=""),"",_xll.ciqfunctions.udf.CIQ($B11, "IQ_CASH_OPER", $O$3, NV$3, $N$3, , $J$3, $K$3)/_xll.ciqfunctions.udf.CIQ($B11, "IQ_NI", NV$3, $E$3, $N$3, , $J$3, $K$3)),"")</f>
        <v/>
      </c>
      <c r="NW11" s="588" t="str">
        <f>IFERROR(IF(OR($B11="",NW$3=""),"",_xll.ciqfunctions.udf.CIQ($B11, "IQ_CASH_OPER", $O$3, NW$3, $N$3, , $J$3, $K$3)/_xll.ciqfunctions.udf.CIQ($B11, "IQ_NI", NW$3, $E$3, $N$3, , $J$3, $K$3)),"")</f>
        <v/>
      </c>
      <c r="NX11" s="588" t="str">
        <f>IFERROR(IF(OR($B11="",NX$3=""),"",_xll.ciqfunctions.udf.CIQ($B11, "IQ_CASH_OPER", $O$3, NX$3, $N$3, , $J$3, $K$3)/_xll.ciqfunctions.udf.CIQ($B11, "IQ_NI", NX$3, $E$3, $N$3, , $J$3, $K$3)),"")</f>
        <v/>
      </c>
      <c r="NY11" s="588" t="str">
        <f>IFERROR(IF(OR($B11="",NY$3=""),"",_xll.ciqfunctions.udf.CIQ($B11, "IQ_CASH_OPER", $O$3, NY$3, $N$3, , $J$3, $K$3)/_xll.ciqfunctions.udf.CIQ($B11, "IQ_NI", NY$3, $E$3, $N$3, , $J$3, $K$3)),"")</f>
        <v/>
      </c>
      <c r="NZ11" s="588" t="str">
        <f>IFERROR(IF(OR($B11="",NZ$3=""),"",_xll.ciqfunctions.udf.CIQ($B11, "IQ_CASH_OPER", $O$3, NZ$3, $N$3, , $J$3, $K$3)/_xll.ciqfunctions.udf.CIQ($B11, "IQ_NI", NZ$3, $E$3, $N$3, , $J$3, $K$3)),"")</f>
        <v/>
      </c>
      <c r="OA11" s="588" t="str">
        <f>IFERROR(IF(OR($B11="",OA$3=""),"",_xll.ciqfunctions.udf.CIQ($B11, "IQ_CASH_OPER", $O$3, OA$3, $N$3, , $J$3, $K$3)/_xll.ciqfunctions.udf.CIQ($B11, "IQ_NI", OA$3, $E$3, $N$3, , $J$3, $K$3)),"")</f>
        <v/>
      </c>
      <c r="OB11" s="588" t="str">
        <f>IFERROR(IF(OR($B11="",OB$3=""),"",_xll.ciqfunctions.udf.CIQ($B11, "IQ_CASH_OPER", $O$3, OB$3, $N$3, , $J$3, $K$3)/_xll.ciqfunctions.udf.CIQ($B11, "IQ_NI", OB$3, $E$3, $N$3, , $J$3, $K$3)),"")</f>
        <v/>
      </c>
      <c r="OC11" s="86" t="str">
        <f>IFERROR(IF(OR($B11="",OC$3=""),"",_xll.ciqfunctions.udf.CIQ($B11,"IQ_NI",$O$3, OC$3, $N$3, , $J$3, $K$3)*2/(_xll.ciqfunctions.udf.CIQ($B11,"IQ_TOTAL_ASSETS",OC$3,$I$3, $N$3, , $J$3, $K$3)+_xll.ciqfunctions.udf.CIQ($B11,"IQ_TOTAL_ASSETS", "IQ_" &amp; LEFT(OC$3,2) &amp; "-1", OC$3, $N$3, , $J$3, $K$3))),"")</f>
        <v/>
      </c>
      <c r="OD11" s="87" t="str">
        <f>IFERROR(IF(OR($B11="",OD$3=""),"",_xll.ciqfunctions.udf.CIQ($B11,"IQ_NI",$O$3, OD$3, $N$3, , $J$3, $K$3)*2/(_xll.ciqfunctions.udf.CIQ($B11,"IQ_TOTAL_ASSETS",OD$3,$I$3, $N$3, , $J$3, $K$3)+_xll.ciqfunctions.udf.CIQ($B11,"IQ_TOTAL_ASSETS", "IQ_" &amp; LEFT(OD$3,2) &amp; "-1", OD$3, $N$3, , $J$3, $K$3))),"")</f>
        <v/>
      </c>
      <c r="OE11" s="87" t="str">
        <f>IFERROR(IF(OR($B11="",OE$3=""),"",_xll.ciqfunctions.udf.CIQ($B11,"IQ_NI",$O$3, OE$3, $N$3, , $J$3, $K$3)*2/(_xll.ciqfunctions.udf.CIQ($B11,"IQ_TOTAL_ASSETS",OE$3,$I$3, $N$3, , $J$3, $K$3)+_xll.ciqfunctions.udf.CIQ($B11,"IQ_TOTAL_ASSETS", "IQ_" &amp; LEFT(OE$3,2) &amp; "-1", OE$3, $N$3, , $J$3, $K$3))),"")</f>
        <v/>
      </c>
      <c r="OF11" s="87" t="str">
        <f>IFERROR(IF(OR($B11="",OF$3=""),"",_xll.ciqfunctions.udf.CIQ($B11,"IQ_NI",$O$3, OF$3, $N$3, , $J$3, $K$3)*2/(_xll.ciqfunctions.udf.CIQ($B11,"IQ_TOTAL_ASSETS",OF$3,$I$3, $N$3, , $J$3, $K$3)+_xll.ciqfunctions.udf.CIQ($B11,"IQ_TOTAL_ASSETS", "IQ_" &amp; LEFT(OF$3,2) &amp; "-1", OF$3, $N$3, , $J$3, $K$3))),"")</f>
        <v/>
      </c>
      <c r="OG11" s="87" t="str">
        <f>IFERROR(IF(OR($B11="",OG$3=""),"",_xll.ciqfunctions.udf.CIQ($B11,"IQ_NI",$O$3, OG$3, $N$3, , $J$3, $K$3)*2/(_xll.ciqfunctions.udf.CIQ($B11,"IQ_TOTAL_ASSETS",OG$3,$I$3, $N$3, , $J$3, $K$3)+_xll.ciqfunctions.udf.CIQ($B11,"IQ_TOTAL_ASSETS", "IQ_" &amp; LEFT(OG$3,2) &amp; "-1", OG$3, $N$3, , $J$3, $K$3))),"")</f>
        <v/>
      </c>
      <c r="OH11" s="87" t="str">
        <f>IFERROR(IF(OR($B11="",OH$3=""),"",_xll.ciqfunctions.udf.CIQ($B11,"IQ_NI",$O$3, OH$3, $N$3, , $J$3, $K$3)*2/(_xll.ciqfunctions.udf.CIQ($B11,"IQ_TOTAL_ASSETS",OH$3,$I$3, $N$3, , $J$3, $K$3)+_xll.ciqfunctions.udf.CIQ($B11,"IQ_TOTAL_ASSETS", "IQ_" &amp; LEFT(OH$3,2) &amp; "-1", OH$3, $N$3, , $J$3, $K$3))),"")</f>
        <v/>
      </c>
      <c r="OI11" s="87" t="str">
        <f>IFERROR(IF(OR($B11="",OI$3=""),"",_xll.ciqfunctions.udf.CIQ($B11,"IQ_NI",$O$3, OI$3, $N$3, , $J$3, $K$3)*2/(_xll.ciqfunctions.udf.CIQ($B11,"IQ_TOTAL_ASSETS",OI$3,$I$3, $N$3, , $J$3, $K$3)+_xll.ciqfunctions.udf.CIQ($B11,"IQ_TOTAL_ASSETS", "IQ_" &amp; LEFT(OI$3,2) &amp; "-1", OI$3, $N$3, , $J$3, $K$3))),"")</f>
        <v/>
      </c>
      <c r="OJ11" s="87" t="str">
        <f>IFERROR(IF(OR($B11="",OJ$3=""),"",_xll.ciqfunctions.udf.CIQ($B11,"IQ_NI",$O$3, OJ$3, $N$3, , $J$3, $K$3)*2/(_xll.ciqfunctions.udf.CIQ($B11,"IQ_TOTAL_ASSETS",OJ$3,$I$3, $N$3, , $J$3, $K$3)+_xll.ciqfunctions.udf.CIQ($B11,"IQ_TOTAL_ASSETS", "IQ_" &amp; LEFT(OJ$3,2) &amp; "-1", OJ$3, $N$3, , $J$3, $K$3))),"")</f>
        <v/>
      </c>
      <c r="OK11" s="87" t="str">
        <f>IFERROR(IF(OR($B11="",OK$3=""),"",_xll.ciqfunctions.udf.CIQ($B11,"IQ_NI",$O$3, OK$3, $N$3, , $J$3, $K$3)*2/(_xll.ciqfunctions.udf.CIQ($B11,"IQ_TOTAL_ASSETS",OK$3,$I$3, $N$3, , $J$3, $K$3)+_xll.ciqfunctions.udf.CIQ($B11,"IQ_TOTAL_ASSETS", "IQ_" &amp; LEFT(OK$3,2) &amp; "-1", OK$3, $N$3, , $J$3, $K$3))),"")</f>
        <v/>
      </c>
      <c r="OL11" s="87" t="str">
        <f>IFERROR(IF(OR($B11="",OL$3=""),"",_xll.ciqfunctions.udf.CIQ($B11,"IQ_NI",$O$3, OL$3, $N$3, , $J$3, $K$3)*2/(_xll.ciqfunctions.udf.CIQ($B11,"IQ_TOTAL_ASSETS",OL$3,$I$3, $N$3, , $J$3, $K$3)+_xll.ciqfunctions.udf.CIQ($B11,"IQ_TOTAL_ASSETS", "IQ_" &amp; LEFT(OL$3,2) &amp; "-1", OL$3, $N$3, , $J$3, $K$3))),"")</f>
        <v/>
      </c>
      <c r="OM11" s="87" t="str">
        <f>IFERROR(IF(OR($B11="",OM$3=""),"",_xll.ciqfunctions.udf.CIQ($B11,"IQ_NI",$O$3, OM$3, $N$3, , $J$3, $K$3)*2/(_xll.ciqfunctions.udf.CIQ($B11,"IQ_TOTAL_ASSETS",OM$3,$I$3, $N$3, , $J$3, $K$3)+_xll.ciqfunctions.udf.CIQ($B11,"IQ_TOTAL_ASSETS", "IQ_" &amp; LEFT(OM$3,2) &amp; "-1", OM$3, $N$3, , $J$3, $K$3))),"")</f>
        <v/>
      </c>
      <c r="ON11" s="87" t="str">
        <f>IFERROR(IF(OR($B11="",ON$3=""),"",_xll.ciqfunctions.udf.CIQ($B11,"IQ_NI",$O$3, ON$3, $N$3, , $J$3, $K$3)*2/(_xll.ciqfunctions.udf.CIQ($B11,"IQ_TOTAL_ASSETS",ON$3,$I$3, $N$3, , $J$3, $K$3)+_xll.ciqfunctions.udf.CIQ($B11,"IQ_TOTAL_ASSETS", "IQ_" &amp; LEFT(ON$3,2) &amp; "-1", ON$3, $N$3, , $J$3, $K$3))),"")</f>
        <v/>
      </c>
      <c r="OO11" s="87" t="str">
        <f>IFERROR(IF(OR($B11="",OO$3=""),"",_xll.ciqfunctions.udf.CIQ($B11,"IQ_NI",$O$3, OO$3, $N$3, , $J$3, $K$3)*2/(_xll.ciqfunctions.udf.CIQ($B11,"IQ_TOTAL_ASSETS",OO$3,$I$3, $N$3, , $J$3, $K$3)+_xll.ciqfunctions.udf.CIQ($B11,"IQ_TOTAL_ASSETS", "IQ_" &amp; LEFT(OO$3,2) &amp; "-1", OO$3, $N$3, , $J$3, $K$3))),"")</f>
        <v/>
      </c>
      <c r="OP11" s="87" t="str">
        <f>IFERROR(IF(OR($B11="",OP$3=""),"",_xll.ciqfunctions.udf.CIQ($B11,"IQ_NI",$O$3, OP$3, $N$3, , $J$3, $K$3)*2/(_xll.ciqfunctions.udf.CIQ($B11,"IQ_TOTAL_ASSETS",OP$3,$I$3, $N$3, , $J$3, $K$3)+_xll.ciqfunctions.udf.CIQ($B11,"IQ_TOTAL_ASSETS", "IQ_" &amp; LEFT(OP$3,2) &amp; "-1", OP$3, $N$3, , $J$3, $K$3))),"")</f>
        <v/>
      </c>
      <c r="OQ11" s="87" t="str">
        <f>IFERROR(IF(OR($B11="",OQ$3=""),"",_xll.ciqfunctions.udf.CIQ($B11,"IQ_NI",$O$3, OQ$3, $N$3, , $J$3, $K$3)*2/(_xll.ciqfunctions.udf.CIQ($B11,"IQ_TOTAL_ASSETS",OQ$3,$I$3, $N$3, , $J$3, $K$3)+_xll.ciqfunctions.udf.CIQ($B11,"IQ_TOTAL_ASSETS", "IQ_" &amp; LEFT(OQ$3,2) &amp; "-1", OQ$3, $N$3, , $J$3, $K$3))),"")</f>
        <v/>
      </c>
      <c r="OR11" s="87" t="str">
        <f>IFERROR(IF(OR($B11="",OR$3=""),"",_xll.ciqfunctions.udf.CIQ($B11,"IQ_NI",$O$3, OR$3, $N$3, , $J$3, $K$3)*2/(_xll.ciqfunctions.udf.CIQ($B11,"IQ_TOTAL_ASSETS",OR$3,$I$3, $N$3, , $J$3, $K$3)+_xll.ciqfunctions.udf.CIQ($B11,"IQ_TOTAL_ASSETS", "IQ_" &amp; LEFT(OR$3,2) &amp; "-1", OR$3, $N$3, , $J$3, $K$3))),"")</f>
        <v/>
      </c>
      <c r="OS11" s="87" t="str">
        <f>IFERROR(IF(OR($B11="",OS$3=""),"",_xll.ciqfunctions.udf.CIQ($B11,"IQ_NI",$O$3, OS$3, $N$3, , $J$3, $K$3)*2/(_xll.ciqfunctions.udf.CIQ($B11,"IQ_TOTAL_ASSETS",OS$3,$I$3, $N$3, , $J$3, $K$3)+_xll.ciqfunctions.udf.CIQ($B11,"IQ_TOTAL_ASSETS", "IQ_" &amp; LEFT(OS$3,2) &amp; "-1", OS$3, $N$3, , $J$3, $K$3))),"")</f>
        <v/>
      </c>
      <c r="OT11" s="87" t="str">
        <f>IFERROR(IF(OR($B11="",OT$3=""),"",_xll.ciqfunctions.udf.CIQ($B11,"IQ_NI",$O$3, OT$3, $N$3, , $J$3, $K$3)*2/(_xll.ciqfunctions.udf.CIQ($B11,"IQ_TOTAL_ASSETS",OT$3,$I$3, $N$3, , $J$3, $K$3)+_xll.ciqfunctions.udf.CIQ($B11,"IQ_TOTAL_ASSETS", "IQ_" &amp; LEFT(OT$3,2) &amp; "-1", OT$3, $N$3, , $J$3, $K$3))),"")</f>
        <v/>
      </c>
      <c r="OU11" s="87" t="str">
        <f>IFERROR(IF(OR($B11="",OU$3=""),"",_xll.ciqfunctions.udf.CIQ($B11,"IQ_NI",$O$3, OU$3, $N$3, , $J$3, $K$3)*2/(_xll.ciqfunctions.udf.CIQ($B11,"IQ_TOTAL_ASSETS",OU$3,$I$3, $N$3, , $J$3, $K$3)+_xll.ciqfunctions.udf.CIQ($B11,"IQ_TOTAL_ASSETS", "IQ_" &amp; LEFT(OU$3,2) &amp; "-1", OU$3, $N$3, , $J$3, $K$3))),"")</f>
        <v/>
      </c>
      <c r="OV11" s="88" t="str">
        <f>IFERROR(IF(OR($B11="",OV$3=""),"",_xll.ciqfunctions.udf.CIQ($B11,"IQ_NI",$O$3, OV$3, $N$3, , $J$3, $K$3)*2/(_xll.ciqfunctions.udf.CIQ($B11,"IQ_TOTAL_ASSETS",OV$3,$I$3, $N$3, , $J$3, $K$3)+_xll.ciqfunctions.udf.CIQ($B11,"IQ_TOTAL_ASSETS", "IQ_" &amp; LEFT(OV$3,2) &amp; "-1", OV$3, $N$3, , $J$3, $K$3))),"")</f>
        <v/>
      </c>
      <c r="OW11" s="343" t="str">
        <f>IFERROR(IF(OR($B11="",OW$3=""),"",_xll.ciqfunctions.udf.CIQ($B11, "IQ_NI", $O$3, OW$3, $N$3, , $J$3, $K$3)*2/(_xll.ciqfunctions.udf.CIQ($B11, "IQ_TOTAL_ASSETS", OW$3, $I$3, $N$3, , $J$3, $K$3)+_xll.ciqfunctions.udf.CIQ($B11, "IQ_TOTAL_ASSETS", "IQ_" &amp; LEFT(OW$3,2) &amp; "-1", OW$3, $N$3, , $J$3, $K$3)-_xll.ciqfunctions.udf.CIQ($B11, "IQ_TOTAL_CL", OW$3, $I$3, $N$3, , $J$3, $K$3)-_xll.ciqfunctions.udf.CIQ($B11, "IQ_TOTAL_CL", "IQ_" &amp; LEFT(OW$3,2) &amp; "-1", OW$3, $N$3, , $J$3, $K$3))),"")</f>
        <v/>
      </c>
      <c r="OX11" s="87" t="str">
        <f>IFERROR(IF(OR($B11="",OX$3=""),"",_xll.ciqfunctions.udf.CIQ($B11, "IQ_NI", $O$3, OX$3, $N$3, , $J$3, $K$3)*2/(_xll.ciqfunctions.udf.CIQ($B11, "IQ_TOTAL_ASSETS", OX$3, $I$3, $N$3, , $J$3, $K$3)+_xll.ciqfunctions.udf.CIQ($B11, "IQ_TOTAL_ASSETS", "IQ_" &amp; LEFT(OX$3,2) &amp; "-1", OX$3, $N$3, , $J$3, $K$3)-_xll.ciqfunctions.udf.CIQ($B11, "IQ_TOTAL_CL", OX$3, $I$3, $N$3, , $J$3, $K$3)-_xll.ciqfunctions.udf.CIQ($B11, "IQ_TOTAL_CL", "IQ_" &amp; LEFT(OX$3,2) &amp; "-1", OX$3, $N$3, , $J$3, $K$3))),"")</f>
        <v/>
      </c>
      <c r="OY11" s="87" t="str">
        <f>IFERROR(IF(OR($B11="",OY$3=""),"",_xll.ciqfunctions.udf.CIQ($B11, "IQ_NI", $O$3, OY$3, $N$3, , $J$3, $K$3)*2/(_xll.ciqfunctions.udf.CIQ($B11, "IQ_TOTAL_ASSETS", OY$3, $I$3, $N$3, , $J$3, $K$3)+_xll.ciqfunctions.udf.CIQ($B11, "IQ_TOTAL_ASSETS", "IQ_" &amp; LEFT(OY$3,2) &amp; "-1", OY$3, $N$3, , $J$3, $K$3)-_xll.ciqfunctions.udf.CIQ($B11, "IQ_TOTAL_CL", OY$3, $I$3, $N$3, , $J$3, $K$3)-_xll.ciqfunctions.udf.CIQ($B11, "IQ_TOTAL_CL", "IQ_" &amp; LEFT(OY$3,2) &amp; "-1", OY$3, $N$3, , $J$3, $K$3))),"")</f>
        <v/>
      </c>
      <c r="OZ11" s="87" t="str">
        <f>IFERROR(IF(OR($B11="",OZ$3=""),"",_xll.ciqfunctions.udf.CIQ($B11, "IQ_NI", $O$3, OZ$3, $N$3, , $J$3, $K$3)*2/(_xll.ciqfunctions.udf.CIQ($B11, "IQ_TOTAL_ASSETS", OZ$3, $I$3, $N$3, , $J$3, $K$3)+_xll.ciqfunctions.udf.CIQ($B11, "IQ_TOTAL_ASSETS", "IQ_" &amp; LEFT(OZ$3,2) &amp; "-1", OZ$3, $N$3, , $J$3, $K$3)-_xll.ciqfunctions.udf.CIQ($B11, "IQ_TOTAL_CL", OZ$3, $I$3, $N$3, , $J$3, $K$3)-_xll.ciqfunctions.udf.CIQ($B11, "IQ_TOTAL_CL", "IQ_" &amp; LEFT(OZ$3,2) &amp; "-1", OZ$3, $N$3, , $J$3, $K$3))),"")</f>
        <v/>
      </c>
      <c r="PA11" s="87" t="str">
        <f>IFERROR(IF(OR($B11="",PA$3=""),"",_xll.ciqfunctions.udf.CIQ($B11, "IQ_NI", $O$3, PA$3, $N$3, , $J$3, $K$3)*2/(_xll.ciqfunctions.udf.CIQ($B11, "IQ_TOTAL_ASSETS", PA$3, $I$3, $N$3, , $J$3, $K$3)+_xll.ciqfunctions.udf.CIQ($B11, "IQ_TOTAL_ASSETS", "IQ_" &amp; LEFT(PA$3,2) &amp; "-1", PA$3, $N$3, , $J$3, $K$3)-_xll.ciqfunctions.udf.CIQ($B11, "IQ_TOTAL_CL", PA$3, $I$3, $N$3, , $J$3, $K$3)-_xll.ciqfunctions.udf.CIQ($B11, "IQ_TOTAL_CL", "IQ_" &amp; LEFT(PA$3,2) &amp; "-1", PA$3, $N$3, , $J$3, $K$3))),"")</f>
        <v/>
      </c>
      <c r="PB11" s="87" t="str">
        <f>IFERROR(IF(OR($B11="",PB$3=""),"",_xll.ciqfunctions.udf.CIQ($B11, "IQ_NI", $O$3, PB$3, $N$3, , $J$3, $K$3)*2/(_xll.ciqfunctions.udf.CIQ($B11, "IQ_TOTAL_ASSETS", PB$3, $I$3, $N$3, , $J$3, $K$3)+_xll.ciqfunctions.udf.CIQ($B11, "IQ_TOTAL_ASSETS", "IQ_" &amp; LEFT(PB$3,2) &amp; "-1", PB$3, $N$3, , $J$3, $K$3)-_xll.ciqfunctions.udf.CIQ($B11, "IQ_TOTAL_CL", PB$3, $I$3, $N$3, , $J$3, $K$3)-_xll.ciqfunctions.udf.CIQ($B11, "IQ_TOTAL_CL", "IQ_" &amp; LEFT(PB$3,2) &amp; "-1", PB$3, $N$3, , $J$3, $K$3))),"")</f>
        <v/>
      </c>
      <c r="PC11" s="87" t="str">
        <f>IFERROR(IF(OR($B11="",PC$3=""),"",_xll.ciqfunctions.udf.CIQ($B11, "IQ_NI", $O$3, PC$3, $N$3, , $J$3, $K$3)*2/(_xll.ciqfunctions.udf.CIQ($B11, "IQ_TOTAL_ASSETS", PC$3, $I$3, $N$3, , $J$3, $K$3)+_xll.ciqfunctions.udf.CIQ($B11, "IQ_TOTAL_ASSETS", "IQ_" &amp; LEFT(PC$3,2) &amp; "-1", PC$3, $N$3, , $J$3, $K$3)-_xll.ciqfunctions.udf.CIQ($B11, "IQ_TOTAL_CL", PC$3, $I$3, $N$3, , $J$3, $K$3)-_xll.ciqfunctions.udf.CIQ($B11, "IQ_TOTAL_CL", "IQ_" &amp; LEFT(PC$3,2) &amp; "-1", PC$3, $N$3, , $J$3, $K$3))),"")</f>
        <v/>
      </c>
      <c r="PD11" s="87" t="str">
        <f>IFERROR(IF(OR($B11="",PD$3=""),"",_xll.ciqfunctions.udf.CIQ($B11, "IQ_NI", $O$3, PD$3, $N$3, , $J$3, $K$3)*2/(_xll.ciqfunctions.udf.CIQ($B11, "IQ_TOTAL_ASSETS", PD$3, $I$3, $N$3, , $J$3, $K$3)+_xll.ciqfunctions.udf.CIQ($B11, "IQ_TOTAL_ASSETS", "IQ_" &amp; LEFT(PD$3,2) &amp; "-1", PD$3, $N$3, , $J$3, $K$3)-_xll.ciqfunctions.udf.CIQ($B11, "IQ_TOTAL_CL", PD$3, $I$3, $N$3, , $J$3, $K$3)-_xll.ciqfunctions.udf.CIQ($B11, "IQ_TOTAL_CL", "IQ_" &amp; LEFT(PD$3,2) &amp; "-1", PD$3, $N$3, , $J$3, $K$3))),"")</f>
        <v/>
      </c>
      <c r="PE11" s="87" t="str">
        <f>IFERROR(IF(OR($B11="",PE$3=""),"",_xll.ciqfunctions.udf.CIQ($B11, "IQ_NI", $O$3, PE$3, $N$3, , $J$3, $K$3)*2/(_xll.ciqfunctions.udf.CIQ($B11, "IQ_TOTAL_ASSETS", PE$3, $I$3, $N$3, , $J$3, $K$3)+_xll.ciqfunctions.udf.CIQ($B11, "IQ_TOTAL_ASSETS", "IQ_" &amp; LEFT(PE$3,2) &amp; "-1", PE$3, $N$3, , $J$3, $K$3)-_xll.ciqfunctions.udf.CIQ($B11, "IQ_TOTAL_CL", PE$3, $I$3, $N$3, , $J$3, $K$3)-_xll.ciqfunctions.udf.CIQ($B11, "IQ_TOTAL_CL", "IQ_" &amp; LEFT(PE$3,2) &amp; "-1", PE$3, $N$3, , $J$3, $K$3))),"")</f>
        <v/>
      </c>
      <c r="PF11" s="87" t="str">
        <f>IFERROR(IF(OR($B11="",PF$3=""),"",_xll.ciqfunctions.udf.CIQ($B11, "IQ_NI", $O$3, PF$3, $N$3, , $J$3, $K$3)*2/(_xll.ciqfunctions.udf.CIQ($B11, "IQ_TOTAL_ASSETS", PF$3, $I$3, $N$3, , $J$3, $K$3)+_xll.ciqfunctions.udf.CIQ($B11, "IQ_TOTAL_ASSETS", "IQ_" &amp; LEFT(PF$3,2) &amp; "-1", PF$3, $N$3, , $J$3, $K$3)-_xll.ciqfunctions.udf.CIQ($B11, "IQ_TOTAL_CL", PF$3, $I$3, $N$3, , $J$3, $K$3)-_xll.ciqfunctions.udf.CIQ($B11, "IQ_TOTAL_CL", "IQ_" &amp; LEFT(PF$3,2) &amp; "-1", PF$3, $N$3, , $J$3, $K$3))),"")</f>
        <v/>
      </c>
      <c r="PG11" s="87" t="str">
        <f>IFERROR(IF(OR($B11="",PG$3=""),"",_xll.ciqfunctions.udf.CIQ($B11, "IQ_NI", $O$3, PG$3, $N$3, , $J$3, $K$3)*2/(_xll.ciqfunctions.udf.CIQ($B11, "IQ_TOTAL_ASSETS", PG$3, $I$3, $N$3, , $J$3, $K$3)+_xll.ciqfunctions.udf.CIQ($B11, "IQ_TOTAL_ASSETS", "IQ_" &amp; LEFT(PG$3,2) &amp; "-1", PG$3, $N$3, , $J$3, $K$3)-_xll.ciqfunctions.udf.CIQ($B11, "IQ_TOTAL_CL", PG$3, $I$3, $N$3, , $J$3, $K$3)-_xll.ciqfunctions.udf.CIQ($B11, "IQ_TOTAL_CL", "IQ_" &amp; LEFT(PG$3,2) &amp; "-1", PG$3, $N$3, , $J$3, $K$3))),"")</f>
        <v/>
      </c>
      <c r="PH11" s="87" t="str">
        <f>IFERROR(IF(OR($B11="",PH$3=""),"",_xll.ciqfunctions.udf.CIQ($B11, "IQ_NI", $O$3, PH$3, $N$3, , $J$3, $K$3)*2/(_xll.ciqfunctions.udf.CIQ($B11, "IQ_TOTAL_ASSETS", PH$3, $I$3, $N$3, , $J$3, $K$3)+_xll.ciqfunctions.udf.CIQ($B11, "IQ_TOTAL_ASSETS", "IQ_" &amp; LEFT(PH$3,2) &amp; "-1", PH$3, $N$3, , $J$3, $K$3)-_xll.ciqfunctions.udf.CIQ($B11, "IQ_TOTAL_CL", PH$3, $I$3, $N$3, , $J$3, $K$3)-_xll.ciqfunctions.udf.CIQ($B11, "IQ_TOTAL_CL", "IQ_" &amp; LEFT(PH$3,2) &amp; "-1", PH$3, $N$3, , $J$3, $K$3))),"")</f>
        <v/>
      </c>
      <c r="PI11" s="87" t="str">
        <f>IFERROR(IF(OR($B11="",PI$3=""),"",_xll.ciqfunctions.udf.CIQ($B11, "IQ_NI", $O$3, PI$3, $N$3, , $J$3, $K$3)*2/(_xll.ciqfunctions.udf.CIQ($B11, "IQ_TOTAL_ASSETS", PI$3, $I$3, $N$3, , $J$3, $K$3)+_xll.ciqfunctions.udf.CIQ($B11, "IQ_TOTAL_ASSETS", "IQ_" &amp; LEFT(PI$3,2) &amp; "-1", PI$3, $N$3, , $J$3, $K$3)-_xll.ciqfunctions.udf.CIQ($B11, "IQ_TOTAL_CL", PI$3, $I$3, $N$3, , $J$3, $K$3)-_xll.ciqfunctions.udf.CIQ($B11, "IQ_TOTAL_CL", "IQ_" &amp; LEFT(PI$3,2) &amp; "-1", PI$3, $N$3, , $J$3, $K$3))),"")</f>
        <v/>
      </c>
      <c r="PJ11" s="87" t="str">
        <f>IFERROR(IF(OR($B11="",PJ$3=""),"",_xll.ciqfunctions.udf.CIQ($B11, "IQ_NI", $O$3, PJ$3, $N$3, , $J$3, $K$3)*2/(_xll.ciqfunctions.udf.CIQ($B11, "IQ_TOTAL_ASSETS", PJ$3, $I$3, $N$3, , $J$3, $K$3)+_xll.ciqfunctions.udf.CIQ($B11, "IQ_TOTAL_ASSETS", "IQ_" &amp; LEFT(PJ$3,2) &amp; "-1", PJ$3, $N$3, , $J$3, $K$3)-_xll.ciqfunctions.udf.CIQ($B11, "IQ_TOTAL_CL", PJ$3, $I$3, $N$3, , $J$3, $K$3)-_xll.ciqfunctions.udf.CIQ($B11, "IQ_TOTAL_CL", "IQ_" &amp; LEFT(PJ$3,2) &amp; "-1", PJ$3, $N$3, , $J$3, $K$3))),"")</f>
        <v/>
      </c>
      <c r="PK11" s="87" t="str">
        <f>IFERROR(IF(OR($B11="",PK$3=""),"",_xll.ciqfunctions.udf.CIQ($B11, "IQ_NI", $O$3, PK$3, $N$3, , $J$3, $K$3)*2/(_xll.ciqfunctions.udf.CIQ($B11, "IQ_TOTAL_ASSETS", PK$3, $I$3, $N$3, , $J$3, $K$3)+_xll.ciqfunctions.udf.CIQ($B11, "IQ_TOTAL_ASSETS", "IQ_" &amp; LEFT(PK$3,2) &amp; "-1", PK$3, $N$3, , $J$3, $K$3)-_xll.ciqfunctions.udf.CIQ($B11, "IQ_TOTAL_CL", PK$3, $I$3, $N$3, , $J$3, $K$3)-_xll.ciqfunctions.udf.CIQ($B11, "IQ_TOTAL_CL", "IQ_" &amp; LEFT(PK$3,2) &amp; "-1", PK$3, $N$3, , $J$3, $K$3))),"")</f>
        <v/>
      </c>
      <c r="PL11" s="87" t="str">
        <f>IFERROR(IF(OR($B11="",PL$3=""),"",_xll.ciqfunctions.udf.CIQ($B11, "IQ_NI", $O$3, PL$3, $N$3, , $J$3, $K$3)*2/(_xll.ciqfunctions.udf.CIQ($B11, "IQ_TOTAL_ASSETS", PL$3, $I$3, $N$3, , $J$3, $K$3)+_xll.ciqfunctions.udf.CIQ($B11, "IQ_TOTAL_ASSETS", "IQ_" &amp; LEFT(PL$3,2) &amp; "-1", PL$3, $N$3, , $J$3, $K$3)-_xll.ciqfunctions.udf.CIQ($B11, "IQ_TOTAL_CL", PL$3, $I$3, $N$3, , $J$3, $K$3)-_xll.ciqfunctions.udf.CIQ($B11, "IQ_TOTAL_CL", "IQ_" &amp; LEFT(PL$3,2) &amp; "-1", PL$3, $N$3, , $J$3, $K$3))),"")</f>
        <v/>
      </c>
      <c r="PM11" s="87" t="str">
        <f>IFERROR(IF(OR($B11="",PM$3=""),"",_xll.ciqfunctions.udf.CIQ($B11, "IQ_NI", $O$3, PM$3, $N$3, , $J$3, $K$3)*2/(_xll.ciqfunctions.udf.CIQ($B11, "IQ_TOTAL_ASSETS", PM$3, $I$3, $N$3, , $J$3, $K$3)+_xll.ciqfunctions.udf.CIQ($B11, "IQ_TOTAL_ASSETS", "IQ_" &amp; LEFT(PM$3,2) &amp; "-1", PM$3, $N$3, , $J$3, $K$3)-_xll.ciqfunctions.udf.CIQ($B11, "IQ_TOTAL_CL", PM$3, $I$3, $N$3, , $J$3, $K$3)-_xll.ciqfunctions.udf.CIQ($B11, "IQ_TOTAL_CL", "IQ_" &amp; LEFT(PM$3,2) &amp; "-1", PM$3, $N$3, , $J$3, $K$3))),"")</f>
        <v/>
      </c>
      <c r="PN11" s="87" t="str">
        <f>IFERROR(IF(OR($B11="",PN$3=""),"",_xll.ciqfunctions.udf.CIQ($B11, "IQ_NI", $O$3, PN$3, $N$3, , $J$3, $K$3)*2/(_xll.ciqfunctions.udf.CIQ($B11, "IQ_TOTAL_ASSETS", PN$3, $I$3, $N$3, , $J$3, $K$3)+_xll.ciqfunctions.udf.CIQ($B11, "IQ_TOTAL_ASSETS", "IQ_" &amp; LEFT(PN$3,2) &amp; "-1", PN$3, $N$3, , $J$3, $K$3)-_xll.ciqfunctions.udf.CIQ($B11, "IQ_TOTAL_CL", PN$3, $I$3, $N$3, , $J$3, $K$3)-_xll.ciqfunctions.udf.CIQ($B11, "IQ_TOTAL_CL", "IQ_" &amp; LEFT(PN$3,2) &amp; "-1", PN$3, $N$3, , $J$3, $K$3))),"")</f>
        <v/>
      </c>
      <c r="PO11" s="87" t="str">
        <f>IFERROR(IF(OR($B11="",PO$3=""),"",_xll.ciqfunctions.udf.CIQ($B11, "IQ_NI", $O$3, PO$3, $N$3, , $J$3, $K$3)*2/(_xll.ciqfunctions.udf.CIQ($B11, "IQ_TOTAL_ASSETS", PO$3, $I$3, $N$3, , $J$3, $K$3)+_xll.ciqfunctions.udf.CIQ($B11, "IQ_TOTAL_ASSETS", "IQ_" &amp; LEFT(PO$3,2) &amp; "-1", PO$3, $N$3, , $J$3, $K$3)-_xll.ciqfunctions.udf.CIQ($B11, "IQ_TOTAL_CL", PO$3, $I$3, $N$3, , $J$3, $K$3)-_xll.ciqfunctions.udf.CIQ($B11, "IQ_TOTAL_CL", "IQ_" &amp; LEFT(PO$3,2) &amp; "-1", PO$3, $N$3, , $J$3, $K$3))),"")</f>
        <v/>
      </c>
      <c r="PP11" s="88" t="str">
        <f>IFERROR(IF(OR($B11="",PP$3=""),"",_xll.ciqfunctions.udf.CIQ($B11, "IQ_NI", $O$3, PP$3, $N$3, , $J$3, $K$3)*2/(_xll.ciqfunctions.udf.CIQ($B11, "IQ_TOTAL_ASSETS", PP$3, $I$3, $N$3, , $J$3, $K$3)+_xll.ciqfunctions.udf.CIQ($B11, "IQ_TOTAL_ASSETS", "IQ_" &amp; LEFT(PP$3,2) &amp; "-1", PP$3, $N$3, , $J$3, $K$3)-_xll.ciqfunctions.udf.CIQ($B11, "IQ_TOTAL_CL", PP$3, $I$3, $N$3, , $J$3, $K$3)-_xll.ciqfunctions.udf.CIQ($B11, "IQ_TOTAL_CL", "IQ_" &amp; LEFT(PP$3,2) &amp; "-1", PP$3, $N$3, , $J$3, $K$3))),"")</f>
        <v/>
      </c>
      <c r="PQ11" s="89" t="str">
        <f>IFERROR(IF(OR($B11="",PQ$3=""),"",_xll.ciqfunctions.udf.CIQ($B11,"IQ_TOTAL_ASSETS",PQ$3, $I$3, $N$3, , $J$3, $K$3)/_xll.ciqfunctions.udf.CIQ($B11,"IQ_TOTAL_COMMON_EQUITY",PQ$3, $I$3, $N$3, , $J$3, $K$3)),"")</f>
        <v/>
      </c>
      <c r="PR11" s="90" t="str">
        <f>IFERROR(IF(OR($B11="",PR$3=""),"",_xll.ciqfunctions.udf.CIQ($B11,"IQ_TOTAL_ASSETS",PR$3, $I$3, $N$3, , $J$3, $K$3)/_xll.ciqfunctions.udf.CIQ($B11,"IQ_TOTAL_COMMON_EQUITY",PR$3, $I$3, $N$3, , $J$3, $K$3)),"")</f>
        <v/>
      </c>
      <c r="PS11" s="90" t="str">
        <f>IFERROR(IF(OR($B11="",PS$3=""),"",_xll.ciqfunctions.udf.CIQ($B11,"IQ_TOTAL_ASSETS",PS$3, $I$3, $N$3, , $J$3, $K$3)/_xll.ciqfunctions.udf.CIQ($B11,"IQ_TOTAL_COMMON_EQUITY",PS$3, $I$3, $N$3, , $J$3, $K$3)),"")</f>
        <v/>
      </c>
      <c r="PT11" s="90" t="str">
        <f>IFERROR(IF(OR($B11="",PT$3=""),"",_xll.ciqfunctions.udf.CIQ($B11,"IQ_TOTAL_ASSETS",PT$3, $I$3, $N$3, , $J$3, $K$3)/_xll.ciqfunctions.udf.CIQ($B11,"IQ_TOTAL_COMMON_EQUITY",PT$3, $I$3, $N$3, , $J$3, $K$3)),"")</f>
        <v/>
      </c>
      <c r="PU11" s="90" t="str">
        <f>IFERROR(IF(OR($B11="",PU$3=""),"",_xll.ciqfunctions.udf.CIQ($B11,"IQ_TOTAL_ASSETS",PU$3, $I$3, $N$3, , $J$3, $K$3)/_xll.ciqfunctions.udf.CIQ($B11,"IQ_TOTAL_COMMON_EQUITY",PU$3, $I$3, $N$3, , $J$3, $K$3)),"")</f>
        <v/>
      </c>
      <c r="PV11" s="90" t="str">
        <f>IFERROR(IF(OR($B11="",PV$3=""),"",_xll.ciqfunctions.udf.CIQ($B11,"IQ_TOTAL_ASSETS",PV$3, $I$3, $N$3, , $J$3, $K$3)/_xll.ciqfunctions.udf.CIQ($B11,"IQ_TOTAL_COMMON_EQUITY",PV$3, $I$3, $N$3, , $J$3, $K$3)),"")</f>
        <v/>
      </c>
      <c r="PW11" s="90" t="str">
        <f>IFERROR(IF(OR($B11="",PW$3=""),"",_xll.ciqfunctions.udf.CIQ($B11,"IQ_TOTAL_ASSETS",PW$3, $I$3, $N$3, , $J$3, $K$3)/_xll.ciqfunctions.udf.CIQ($B11,"IQ_TOTAL_COMMON_EQUITY",PW$3, $I$3, $N$3, , $J$3, $K$3)),"")</f>
        <v/>
      </c>
      <c r="PX11" s="90" t="str">
        <f>IFERROR(IF(OR($B11="",PX$3=""),"",_xll.ciqfunctions.udf.CIQ($B11,"IQ_TOTAL_ASSETS",PX$3, $I$3, $N$3, , $J$3, $K$3)/_xll.ciqfunctions.udf.CIQ($B11,"IQ_TOTAL_COMMON_EQUITY",PX$3, $I$3, $N$3, , $J$3, $K$3)),"")</f>
        <v/>
      </c>
      <c r="PY11" s="90" t="str">
        <f>IFERROR(IF(OR($B11="",PY$3=""),"",_xll.ciqfunctions.udf.CIQ($B11,"IQ_TOTAL_ASSETS",PY$3, $I$3, $N$3, , $J$3, $K$3)/_xll.ciqfunctions.udf.CIQ($B11,"IQ_TOTAL_COMMON_EQUITY",PY$3, $I$3, $N$3, , $J$3, $K$3)),"")</f>
        <v/>
      </c>
      <c r="PZ11" s="90" t="str">
        <f>IFERROR(IF(OR($B11="",PZ$3=""),"",_xll.ciqfunctions.udf.CIQ($B11,"IQ_TOTAL_ASSETS",PZ$3, $I$3, $N$3, , $J$3, $K$3)/_xll.ciqfunctions.udf.CIQ($B11,"IQ_TOTAL_COMMON_EQUITY",PZ$3, $I$3, $N$3, , $J$3, $K$3)),"")</f>
        <v/>
      </c>
      <c r="QA11" s="90" t="str">
        <f>IFERROR(IF(OR($B11="",QA$3=""),"",_xll.ciqfunctions.udf.CIQ($B11,"IQ_TOTAL_ASSETS",QA$3, $I$3, $N$3, , $J$3, $K$3)/_xll.ciqfunctions.udf.CIQ($B11,"IQ_TOTAL_COMMON_EQUITY",QA$3, $I$3, $N$3, , $J$3, $K$3)),"")</f>
        <v/>
      </c>
      <c r="QB11" s="90" t="str">
        <f>IFERROR(IF(OR($B11="",QB$3=""),"",_xll.ciqfunctions.udf.CIQ($B11,"IQ_TOTAL_ASSETS",QB$3, $I$3, $N$3, , $J$3, $K$3)/_xll.ciqfunctions.udf.CIQ($B11,"IQ_TOTAL_COMMON_EQUITY",QB$3, $I$3, $N$3, , $J$3, $K$3)),"")</f>
        <v/>
      </c>
      <c r="QC11" s="90" t="str">
        <f>IFERROR(IF(OR($B11="",QC$3=""),"",_xll.ciqfunctions.udf.CIQ($B11,"IQ_TOTAL_ASSETS",QC$3, $I$3, $N$3, , $J$3, $K$3)/_xll.ciqfunctions.udf.CIQ($B11,"IQ_TOTAL_COMMON_EQUITY",QC$3, $I$3, $N$3, , $J$3, $K$3)),"")</f>
        <v/>
      </c>
      <c r="QD11" s="90" t="str">
        <f>IFERROR(IF(OR($B11="",QD$3=""),"",_xll.ciqfunctions.udf.CIQ($B11,"IQ_TOTAL_ASSETS",QD$3, $I$3, $N$3, , $J$3, $K$3)/_xll.ciqfunctions.udf.CIQ($B11,"IQ_TOTAL_COMMON_EQUITY",QD$3, $I$3, $N$3, , $J$3, $K$3)),"")</f>
        <v/>
      </c>
      <c r="QE11" s="90" t="str">
        <f>IFERROR(IF(OR($B11="",QE$3=""),"",_xll.ciqfunctions.udf.CIQ($B11,"IQ_TOTAL_ASSETS",QE$3, $I$3, $N$3, , $J$3, $K$3)/_xll.ciqfunctions.udf.CIQ($B11,"IQ_TOTAL_COMMON_EQUITY",QE$3, $I$3, $N$3, , $J$3, $K$3)),"")</f>
        <v/>
      </c>
      <c r="QF11" s="90" t="str">
        <f>IFERROR(IF(OR($B11="",QF$3=""),"",_xll.ciqfunctions.udf.CIQ($B11,"IQ_TOTAL_ASSETS",QF$3, $I$3, $N$3, , $J$3, $K$3)/_xll.ciqfunctions.udf.CIQ($B11,"IQ_TOTAL_COMMON_EQUITY",QF$3, $I$3, $N$3, , $J$3, $K$3)),"")</f>
        <v/>
      </c>
      <c r="QG11" s="90" t="str">
        <f>IFERROR(IF(OR($B11="",QG$3=""),"",_xll.ciqfunctions.udf.CIQ($B11,"IQ_TOTAL_ASSETS",QG$3, $I$3, $N$3, , $J$3, $K$3)/_xll.ciqfunctions.udf.CIQ($B11,"IQ_TOTAL_COMMON_EQUITY",QG$3, $I$3, $N$3, , $J$3, $K$3)),"")</f>
        <v/>
      </c>
      <c r="QH11" s="90" t="str">
        <f>IFERROR(IF(OR($B11="",QH$3=""),"",_xll.ciqfunctions.udf.CIQ($B11,"IQ_TOTAL_ASSETS",QH$3, $I$3, $N$3, , $J$3, $K$3)/_xll.ciqfunctions.udf.CIQ($B11,"IQ_TOTAL_COMMON_EQUITY",QH$3, $I$3, $N$3, , $J$3, $K$3)),"")</f>
        <v/>
      </c>
      <c r="QI11" s="90" t="str">
        <f>IFERROR(IF(OR($B11="",QI$3=""),"",_xll.ciqfunctions.udf.CIQ($B11,"IQ_TOTAL_ASSETS",QI$3, $I$3, $N$3, , $J$3, $K$3)/_xll.ciqfunctions.udf.CIQ($B11,"IQ_TOTAL_COMMON_EQUITY",QI$3, $I$3, $N$3, , $J$3, $K$3)),"")</f>
        <v/>
      </c>
      <c r="QJ11" s="91" t="str">
        <f>IFERROR(IF(OR($B11="",QJ$3=""),"",_xll.ciqfunctions.udf.CIQ($B11,"IQ_TOTAL_ASSETS",QJ$3, $I$3, $N$3, , $J$3, $K$3)/_xll.ciqfunctions.udf.CIQ($B11,"IQ_TOTAL_COMMON_EQUITY",QJ$3, $I$3, $N$3, , $J$3, $K$3)),"")</f>
        <v/>
      </c>
      <c r="QK11" s="86" t="str">
        <f>IFERROR(IF(QK$3="","",_xll.ciqfunctions.udf.CIQ($B11, "IQ_NI", $O$3, QK$3, $N$3, , $J$3, $K$3)/_xll.ciqfunctions.udf.CIQ($B11, "IQ_TOTAL_REV", $O$3, QK$3, $N$3, , $J$3, $K$3)),"")</f>
        <v/>
      </c>
      <c r="QL11" s="87" t="str">
        <f>IFERROR(IF(QL$3="","",_xll.ciqfunctions.udf.CIQ($B11, "IQ_NI", $O$3, QL$3, $N$3, , $J$3, $K$3)/_xll.ciqfunctions.udf.CIQ($B11, "IQ_TOTAL_REV", $O$3, QL$3, $N$3, , $J$3, $K$3)),"")</f>
        <v/>
      </c>
      <c r="QM11" s="87" t="str">
        <f>IFERROR(IF(QM$3="","",_xll.ciqfunctions.udf.CIQ($B11, "IQ_NI", $O$3, QM$3, $N$3, , $J$3, $K$3)/_xll.ciqfunctions.udf.CIQ($B11, "IQ_TOTAL_REV", $O$3, QM$3, $N$3, , $J$3, $K$3)),"")</f>
        <v/>
      </c>
      <c r="QN11" s="87" t="str">
        <f>IFERROR(IF(QN$3="","",_xll.ciqfunctions.udf.CIQ($B11, "IQ_NI", $O$3, QN$3, $N$3, , $J$3, $K$3)/_xll.ciqfunctions.udf.CIQ($B11, "IQ_TOTAL_REV", $O$3, QN$3, $N$3, , $J$3, $K$3)),"")</f>
        <v/>
      </c>
      <c r="QO11" s="87" t="str">
        <f>IFERROR(IF(QO$3="","",_xll.ciqfunctions.udf.CIQ($B11, "IQ_NI", $O$3, QO$3, $N$3, , $J$3, $K$3)/_xll.ciqfunctions.udf.CIQ($B11, "IQ_TOTAL_REV", $O$3, QO$3, $N$3, , $J$3, $K$3)),"")</f>
        <v/>
      </c>
      <c r="QP11" s="87" t="str">
        <f>IFERROR(IF(QP$3="","",_xll.ciqfunctions.udf.CIQ($B11, "IQ_NI", $O$3, QP$3, $N$3, , $J$3, $K$3)/_xll.ciqfunctions.udf.CIQ($B11, "IQ_TOTAL_REV", $O$3, QP$3, $N$3, , $J$3, $K$3)),"")</f>
        <v/>
      </c>
      <c r="QQ11" s="87" t="str">
        <f>IFERROR(IF(QQ$3="","",_xll.ciqfunctions.udf.CIQ($B11, "IQ_NI", $O$3, QQ$3, $N$3, , $J$3, $K$3)/_xll.ciqfunctions.udf.CIQ($B11, "IQ_TOTAL_REV", $O$3, QQ$3, $N$3, , $J$3, $K$3)),"")</f>
        <v/>
      </c>
      <c r="QR11" s="87" t="str">
        <f>IFERROR(IF(QR$3="","",_xll.ciqfunctions.udf.CIQ($B11, "IQ_NI", $O$3, QR$3, $N$3, , $J$3, $K$3)/_xll.ciqfunctions.udf.CIQ($B11, "IQ_TOTAL_REV", $O$3, QR$3, $N$3, , $J$3, $K$3)),"")</f>
        <v/>
      </c>
      <c r="QS11" s="87" t="str">
        <f>IFERROR(IF(QS$3="","",_xll.ciqfunctions.udf.CIQ($B11, "IQ_NI", $O$3, QS$3, $N$3, , $J$3, $K$3)/_xll.ciqfunctions.udf.CIQ($B11, "IQ_TOTAL_REV", $O$3, QS$3, $N$3, , $J$3, $K$3)),"")</f>
        <v/>
      </c>
      <c r="QT11" s="87" t="str">
        <f>IFERROR(IF(QT$3="","",_xll.ciqfunctions.udf.CIQ($B11, "IQ_NI", $O$3, QT$3, $N$3, , $J$3, $K$3)/_xll.ciqfunctions.udf.CIQ($B11, "IQ_TOTAL_REV", $O$3, QT$3, $N$3, , $J$3, $K$3)),"")</f>
        <v/>
      </c>
      <c r="QU11" s="87" t="str">
        <f>IFERROR(IF(QU$3="","",_xll.ciqfunctions.udf.CIQ($B11, "IQ_NI", $O$3, QU$3, $N$3, , $J$3, $K$3)/_xll.ciqfunctions.udf.CIQ($B11, "IQ_TOTAL_REV", $O$3, QU$3, $N$3, , $J$3, $K$3)),"")</f>
        <v/>
      </c>
      <c r="QV11" s="87" t="str">
        <f>IFERROR(IF(QV$3="","",_xll.ciqfunctions.udf.CIQ($B11, "IQ_NI", $O$3, QV$3, $N$3, , $J$3, $K$3)/_xll.ciqfunctions.udf.CIQ($B11, "IQ_TOTAL_REV", $O$3, QV$3, $N$3, , $J$3, $K$3)),"")</f>
        <v/>
      </c>
      <c r="QW11" s="87" t="str">
        <f>IFERROR(IF(QW$3="","",_xll.ciqfunctions.udf.CIQ($B11, "IQ_NI", $O$3, QW$3, $N$3, , $J$3, $K$3)/_xll.ciqfunctions.udf.CIQ($B11, "IQ_TOTAL_REV", $O$3, QW$3, $N$3, , $J$3, $K$3)),"")</f>
        <v/>
      </c>
      <c r="QX11" s="87" t="str">
        <f>IFERROR(IF(QX$3="","",_xll.ciqfunctions.udf.CIQ($B11, "IQ_NI", $O$3, QX$3, $N$3, , $J$3, $K$3)/_xll.ciqfunctions.udf.CIQ($B11, "IQ_TOTAL_REV", $O$3, QX$3, $N$3, , $J$3, $K$3)),"")</f>
        <v/>
      </c>
      <c r="QY11" s="87" t="str">
        <f>IFERROR(IF(QY$3="","",_xll.ciqfunctions.udf.CIQ($B11, "IQ_NI", $O$3, QY$3, $N$3, , $J$3, $K$3)/_xll.ciqfunctions.udf.CIQ($B11, "IQ_TOTAL_REV", $O$3, QY$3, $N$3, , $J$3, $K$3)),"")</f>
        <v/>
      </c>
      <c r="QZ11" s="87" t="str">
        <f>IFERROR(IF(QZ$3="","",_xll.ciqfunctions.udf.CIQ($B11, "IQ_NI", $O$3, QZ$3, $N$3, , $J$3, $K$3)/_xll.ciqfunctions.udf.CIQ($B11, "IQ_TOTAL_REV", $O$3, QZ$3, $N$3, , $J$3, $K$3)),"")</f>
        <v/>
      </c>
      <c r="RA11" s="87" t="str">
        <f>IFERROR(IF(RA$3="","",_xll.ciqfunctions.udf.CIQ($B11, "IQ_NI", $O$3, RA$3, $N$3, , $J$3, $K$3)/_xll.ciqfunctions.udf.CIQ($B11, "IQ_TOTAL_REV", $O$3, RA$3, $N$3, , $J$3, $K$3)),"")</f>
        <v/>
      </c>
      <c r="RB11" s="87" t="str">
        <f>IFERROR(IF(RB$3="","",_xll.ciqfunctions.udf.CIQ($B11, "IQ_NI", $O$3, RB$3, $N$3, , $J$3, $K$3)/_xll.ciqfunctions.udf.CIQ($B11, "IQ_TOTAL_REV", $O$3, RB$3, $N$3, , $J$3, $K$3)),"")</f>
        <v/>
      </c>
      <c r="RC11" s="87" t="str">
        <f>IFERROR(IF(RC$3="","",_xll.ciqfunctions.udf.CIQ($B11, "IQ_NI", $O$3, RC$3, $N$3, , $J$3, $K$3)/_xll.ciqfunctions.udf.CIQ($B11, "IQ_TOTAL_REV", $O$3, RC$3, $N$3, , $J$3, $K$3)),"")</f>
        <v/>
      </c>
      <c r="RD11" s="88" t="str">
        <f>IFERROR(IF(RD$3="","",_xll.ciqfunctions.udf.CIQ($B11, "IQ_NI", $O$3, RD$3, $N$3, , $J$3, $K$3)/_xll.ciqfunctions.udf.CIQ($B11, "IQ_TOTAL_REV", $O$3, RD$3, $N$3, , $J$3, $K$3)),"")</f>
        <v/>
      </c>
      <c r="RE11" s="86" t="str">
        <f>IFERROR(IF(OR($B11="",OC$3=""),"",_xll.ciqfunctions.udf.CIQ($B11,"IQ_NI",$O$3, RE$3, $N$3, , $J$3, $K$3)*2/(_xll.ciqfunctions.udf.CIQ($B11,"IQ_TOTAL_EQUITY", RE$3,$I$3, $N$3, , $J$3, $K$3)+_xll.ciqfunctions.udf.CIQ($B11,"IQ_TOTAL_EQUITY", "IQ_" &amp; LEFT(RE$3,2) &amp; "-1", RE$3, $N$3, , $J$3, $K$3))),"")</f>
        <v/>
      </c>
      <c r="RF11" s="86" t="str">
        <f>IFERROR(IF(OR($B11="",OD$3=""),"",_xll.ciqfunctions.udf.CIQ($B11,"IQ_NI",$O$3, RF$3, $N$3, , $J$3, $K$3)*2/(_xll.ciqfunctions.udf.CIQ($B11,"IQ_TOTAL_EQUITY", RF$3,$I$3, $N$3, , $J$3, $K$3)+_xll.ciqfunctions.udf.CIQ($B11,"IQ_TOTAL_EQUITY", "IQ_" &amp; LEFT(RF$3,2) &amp; "-1", RF$3, $N$3, , $J$3, $K$3))),"")</f>
        <v/>
      </c>
      <c r="RG11" s="86" t="str">
        <f>IFERROR(IF(OR($B11="",OE$3=""),"",_xll.ciqfunctions.udf.CIQ($B11,"IQ_NI",$O$3, RG$3, $N$3, , $J$3, $K$3)*2/(_xll.ciqfunctions.udf.CIQ($B11,"IQ_TOTAL_EQUITY", RG$3,$I$3, $N$3, , $J$3, $K$3)+_xll.ciqfunctions.udf.CIQ($B11,"IQ_TOTAL_EQUITY", "IQ_" &amp; LEFT(RG$3,2) &amp; "-1", RG$3, $N$3, , $J$3, $K$3))),"")</f>
        <v/>
      </c>
      <c r="RH11" s="86" t="str">
        <f>IFERROR(IF(OR($B11="",OF$3=""),"",_xll.ciqfunctions.udf.CIQ($B11,"IQ_NI",$O$3, RH$3, $N$3, , $J$3, $K$3)*2/(_xll.ciqfunctions.udf.CIQ($B11,"IQ_TOTAL_EQUITY", RH$3,$I$3, $N$3, , $J$3, $K$3)+_xll.ciqfunctions.udf.CIQ($B11,"IQ_TOTAL_EQUITY", "IQ_" &amp; LEFT(RH$3,2) &amp; "-1", RH$3, $N$3, , $J$3, $K$3))),"")</f>
        <v/>
      </c>
      <c r="RI11" s="86" t="str">
        <f>IFERROR(IF(OR($B11="",OG$3=""),"",_xll.ciqfunctions.udf.CIQ($B11,"IQ_NI",$O$3, RI$3, $N$3, , $J$3, $K$3)*2/(_xll.ciqfunctions.udf.CIQ($B11,"IQ_TOTAL_EQUITY", RI$3,$I$3, $N$3, , $J$3, $K$3)+_xll.ciqfunctions.udf.CIQ($B11,"IQ_TOTAL_EQUITY", "IQ_" &amp; LEFT(RI$3,2) &amp; "-1", RI$3, $N$3, , $J$3, $K$3))),"")</f>
        <v/>
      </c>
      <c r="RJ11" s="86" t="str">
        <f>IFERROR(IF(OR($B11="",OH$3=""),"",_xll.ciqfunctions.udf.CIQ($B11,"IQ_NI",$O$3, RJ$3, $N$3, , $J$3, $K$3)*2/(_xll.ciqfunctions.udf.CIQ($B11,"IQ_TOTAL_EQUITY", RJ$3,$I$3, $N$3, , $J$3, $K$3)+_xll.ciqfunctions.udf.CIQ($B11,"IQ_TOTAL_EQUITY", "IQ_" &amp; LEFT(RJ$3,2) &amp; "-1", RJ$3, $N$3, , $J$3, $K$3))),"")</f>
        <v/>
      </c>
      <c r="RK11" s="86" t="str">
        <f>IFERROR(IF(OR($B11="",OI$3=""),"",_xll.ciqfunctions.udf.CIQ($B11,"IQ_NI",$O$3, RK$3, $N$3, , $J$3, $K$3)*2/(_xll.ciqfunctions.udf.CIQ($B11,"IQ_TOTAL_EQUITY", RK$3,$I$3, $N$3, , $J$3, $K$3)+_xll.ciqfunctions.udf.CIQ($B11,"IQ_TOTAL_EQUITY", "IQ_" &amp; LEFT(RK$3,2) &amp; "-1", RK$3, $N$3, , $J$3, $K$3))),"")</f>
        <v/>
      </c>
      <c r="RL11" s="86" t="str">
        <f>IFERROR(IF(OR($B11="",OJ$3=""),"",_xll.ciqfunctions.udf.CIQ($B11,"IQ_NI",$O$3, RL$3, $N$3, , $J$3, $K$3)*2/(_xll.ciqfunctions.udf.CIQ($B11,"IQ_TOTAL_EQUITY", RL$3,$I$3, $N$3, , $J$3, $K$3)+_xll.ciqfunctions.udf.CIQ($B11,"IQ_TOTAL_EQUITY", "IQ_" &amp; LEFT(RL$3,2) &amp; "-1", RL$3, $N$3, , $J$3, $K$3))),"")</f>
        <v/>
      </c>
      <c r="RM11" s="86" t="str">
        <f>IFERROR(IF(OR($B11="",OK$3=""),"",_xll.ciqfunctions.udf.CIQ($B11,"IQ_NI",$O$3, RM$3, $N$3, , $J$3, $K$3)*2/(_xll.ciqfunctions.udf.CIQ($B11,"IQ_TOTAL_EQUITY", RM$3,$I$3, $N$3, , $J$3, $K$3)+_xll.ciqfunctions.udf.CIQ($B11,"IQ_TOTAL_EQUITY", "IQ_" &amp; LEFT(RM$3,2) &amp; "-1", RM$3, $N$3, , $J$3, $K$3))),"")</f>
        <v/>
      </c>
      <c r="RN11" s="86" t="str">
        <f>IFERROR(IF(OR($B11="",OL$3=""),"",_xll.ciqfunctions.udf.CIQ($B11,"IQ_NI",$O$3, RN$3, $N$3, , $J$3, $K$3)*2/(_xll.ciqfunctions.udf.CIQ($B11,"IQ_TOTAL_EQUITY", RN$3,$I$3, $N$3, , $J$3, $K$3)+_xll.ciqfunctions.udf.CIQ($B11,"IQ_TOTAL_EQUITY", "IQ_" &amp; LEFT(RN$3,2) &amp; "-1", RN$3, $N$3, , $J$3, $K$3))),"")</f>
        <v/>
      </c>
      <c r="RO11" s="86" t="str">
        <f>IFERROR(IF(OR($B11="",OM$3=""),"",_xll.ciqfunctions.udf.CIQ($B11,"IQ_NI",$O$3, RO$3, $N$3, , $J$3, $K$3)*2/(_xll.ciqfunctions.udf.CIQ($B11,"IQ_TOTAL_EQUITY", RO$3,$I$3, $N$3, , $J$3, $K$3)+_xll.ciqfunctions.udf.CIQ($B11,"IQ_TOTAL_EQUITY", "IQ_" &amp; LEFT(RO$3,2) &amp; "-1", RO$3, $N$3, , $J$3, $K$3))),"")</f>
        <v/>
      </c>
      <c r="RP11" s="86" t="str">
        <f>IFERROR(IF(OR($B11="",ON$3=""),"",_xll.ciqfunctions.udf.CIQ($B11,"IQ_NI",$O$3, RP$3, $N$3, , $J$3, $K$3)*2/(_xll.ciqfunctions.udf.CIQ($B11,"IQ_TOTAL_EQUITY", RP$3,$I$3, $N$3, , $J$3, $K$3)+_xll.ciqfunctions.udf.CIQ($B11,"IQ_TOTAL_EQUITY", "IQ_" &amp; LEFT(RP$3,2) &amp; "-1", RP$3, $N$3, , $J$3, $K$3))),"")</f>
        <v/>
      </c>
      <c r="RQ11" s="86" t="str">
        <f>IFERROR(IF(OR($B11="",OO$3=""),"",_xll.ciqfunctions.udf.CIQ($B11,"IQ_NI",$O$3, RQ$3, $N$3, , $J$3, $K$3)*2/(_xll.ciqfunctions.udf.CIQ($B11,"IQ_TOTAL_EQUITY", RQ$3,$I$3, $N$3, , $J$3, $K$3)+_xll.ciqfunctions.udf.CIQ($B11,"IQ_TOTAL_EQUITY", "IQ_" &amp; LEFT(RQ$3,2) &amp; "-1", RQ$3, $N$3, , $J$3, $K$3))),"")</f>
        <v/>
      </c>
      <c r="RR11" s="86" t="str">
        <f>IFERROR(IF(OR($B11="",OP$3=""),"",_xll.ciqfunctions.udf.CIQ($B11,"IQ_NI",$O$3, RR$3, $N$3, , $J$3, $K$3)*2/(_xll.ciqfunctions.udf.CIQ($B11,"IQ_TOTAL_EQUITY", RR$3,$I$3, $N$3, , $J$3, $K$3)+_xll.ciqfunctions.udf.CIQ($B11,"IQ_TOTAL_EQUITY", "IQ_" &amp; LEFT(RR$3,2) &amp; "-1", RR$3, $N$3, , $J$3, $K$3))),"")</f>
        <v/>
      </c>
      <c r="RS11" s="86" t="str">
        <f>IFERROR(IF(OR($B11="",OQ$3=""),"",_xll.ciqfunctions.udf.CIQ($B11,"IQ_NI",$O$3, RS$3, $N$3, , $J$3, $K$3)*2/(_xll.ciqfunctions.udf.CIQ($B11,"IQ_TOTAL_EQUITY", RS$3,$I$3, $N$3, , $J$3, $K$3)+_xll.ciqfunctions.udf.CIQ($B11,"IQ_TOTAL_EQUITY", "IQ_" &amp; LEFT(RS$3,2) &amp; "-1", RS$3, $N$3, , $J$3, $K$3))),"")</f>
        <v/>
      </c>
      <c r="RT11" s="86" t="str">
        <f>IFERROR(IF(OR($B11="",OR$3=""),"",_xll.ciqfunctions.udf.CIQ($B11,"IQ_NI",$O$3, RT$3, $N$3, , $J$3, $K$3)*2/(_xll.ciqfunctions.udf.CIQ($B11,"IQ_TOTAL_EQUITY", RT$3,$I$3, $N$3, , $J$3, $K$3)+_xll.ciqfunctions.udf.CIQ($B11,"IQ_TOTAL_EQUITY", "IQ_" &amp; LEFT(RT$3,2) &amp; "-1", RT$3, $N$3, , $J$3, $K$3))),"")</f>
        <v/>
      </c>
      <c r="RU11" s="86" t="str">
        <f>IFERROR(IF(OR($B11="",OS$3=""),"",_xll.ciqfunctions.udf.CIQ($B11,"IQ_NI",$O$3, RU$3, $N$3, , $J$3, $K$3)*2/(_xll.ciqfunctions.udf.CIQ($B11,"IQ_TOTAL_EQUITY", RU$3,$I$3, $N$3, , $J$3, $K$3)+_xll.ciqfunctions.udf.CIQ($B11,"IQ_TOTAL_EQUITY", "IQ_" &amp; LEFT(RU$3,2) &amp; "-1", RU$3, $N$3, , $J$3, $K$3))),"")</f>
        <v/>
      </c>
      <c r="RV11" s="86" t="str">
        <f>IFERROR(IF(OR($B11="",OT$3=""),"",_xll.ciqfunctions.udf.CIQ($B11,"IQ_NI",$O$3, RV$3, $N$3, , $J$3, $K$3)*2/(_xll.ciqfunctions.udf.CIQ($B11,"IQ_TOTAL_EQUITY", RV$3,$I$3, $N$3, , $J$3, $K$3)+_xll.ciqfunctions.udf.CIQ($B11,"IQ_TOTAL_EQUITY", "IQ_" &amp; LEFT(RV$3,2) &amp; "-1", RV$3, $N$3, , $J$3, $K$3))),"")</f>
        <v/>
      </c>
      <c r="RW11" s="86" t="str">
        <f>IFERROR(IF(OR($B11="",OU$3=""),"",_xll.ciqfunctions.udf.CIQ($B11,"IQ_NI",$O$3, RW$3, $N$3, , $J$3, $K$3)*2/(_xll.ciqfunctions.udf.CIQ($B11,"IQ_TOTAL_EQUITY", RW$3,$I$3, $N$3, , $J$3, $K$3)+_xll.ciqfunctions.udf.CIQ($B11,"IQ_TOTAL_EQUITY", "IQ_" &amp; LEFT(RW$3,2) &amp; "-1", RW$3, $N$3, , $J$3, $K$3))),"")</f>
        <v/>
      </c>
      <c r="RX11" s="86" t="str">
        <f>IFERROR(IF(OR($B11="",OV$3=""),"",_xll.ciqfunctions.udf.CIQ($B11,"IQ_NI",$O$3, RX$3, $N$3, , $J$3, $K$3)*2/(_xll.ciqfunctions.udf.CIQ($B11,"IQ_TOTAL_EQUITY", RX$3,$I$3, $N$3, , $J$3, $K$3)+_xll.ciqfunctions.udf.CIQ($B11,"IQ_TOTAL_EQUITY", "IQ_" &amp; LEFT(RX$3,2) &amp; "-1", RX$3, $N$3, , $J$3, $K$3))),"")</f>
        <v/>
      </c>
      <c r="RY11" s="86" t="str">
        <f>IFERROR(IF(OR($B11="",RY$3=""),"",_xll.ciqfunctions.udf.CIQ($B11,"IQ_CASH_OPER",$O$3, RY$3, $N$3, , $J$3, $K$3)*2/(_xll.ciqfunctions.udf.CIQ($B11,"IQ_TOTAL_CL",RY$3,$I$3, $N$3, , $J$3, $K$3)+_xll.ciqfunctions.udf.CIQ($B11,"IQ_TOTAL_CL","IQ_" &amp; LEFT(RY$3,2) &amp; "-1", RY$3, $N$3, , $J$3, $K$3))),"")</f>
        <v/>
      </c>
      <c r="RZ11" s="87" t="str">
        <f>IFERROR(IF(OR($B11="",RZ$3=""),"",_xll.ciqfunctions.udf.CIQ($B11,"IQ_CASH_OPER",$O$3, RZ$3, $N$3, , $J$3, $K$3)*2/(_xll.ciqfunctions.udf.CIQ($B11,"IQ_TOTAL_CL",RZ$3,$I$3, $N$3, , $J$3, $K$3)+_xll.ciqfunctions.udf.CIQ($B11,"IQ_TOTAL_CL","IQ_" &amp; LEFT(RZ$3,2) &amp; "-1", RZ$3, $N$3, , $J$3, $K$3))),"")</f>
        <v/>
      </c>
      <c r="SA11" s="87" t="str">
        <f>IFERROR(IF(OR($B11="",SA$3=""),"",_xll.ciqfunctions.udf.CIQ($B11,"IQ_CASH_OPER",$O$3, SA$3, $N$3, , $J$3, $K$3)*2/(_xll.ciqfunctions.udf.CIQ($B11,"IQ_TOTAL_CL",SA$3,$I$3, $N$3, , $J$3, $K$3)+_xll.ciqfunctions.udf.CIQ($B11,"IQ_TOTAL_CL","IQ_" &amp; LEFT(SA$3,2) &amp; "-1", SA$3, $N$3, , $J$3, $K$3))),"")</f>
        <v/>
      </c>
      <c r="SB11" s="87" t="str">
        <f>IFERROR(IF(OR($B11="",SB$3=""),"",_xll.ciqfunctions.udf.CIQ($B11,"IQ_CASH_OPER",$O$3, SB$3, $N$3, , $J$3, $K$3)*2/(_xll.ciqfunctions.udf.CIQ($B11,"IQ_TOTAL_CL",SB$3,$I$3, $N$3, , $J$3, $K$3)+_xll.ciqfunctions.udf.CIQ($B11,"IQ_TOTAL_CL","IQ_" &amp; LEFT(SB$3,2) &amp; "-1", SB$3, $N$3, , $J$3, $K$3))),"")</f>
        <v/>
      </c>
      <c r="SC11" s="87" t="str">
        <f>IFERROR(IF(OR($B11="",SC$3=""),"",_xll.ciqfunctions.udf.CIQ($B11,"IQ_CASH_OPER",$O$3, SC$3, $N$3, , $J$3, $K$3)*2/(_xll.ciqfunctions.udf.CIQ($B11,"IQ_TOTAL_CL",SC$3,$I$3, $N$3, , $J$3, $K$3)+_xll.ciqfunctions.udf.CIQ($B11,"IQ_TOTAL_CL","IQ_" &amp; LEFT(SC$3,2) &amp; "-1", SC$3, $N$3, , $J$3, $K$3))),"")</f>
        <v/>
      </c>
      <c r="SD11" s="87" t="str">
        <f>IFERROR(IF(OR($B11="",SD$3=""),"",_xll.ciqfunctions.udf.CIQ($B11,"IQ_CASH_OPER",$O$3, SD$3, $N$3, , $J$3, $K$3)*2/(_xll.ciqfunctions.udf.CIQ($B11,"IQ_TOTAL_CL",SD$3,$I$3, $N$3, , $J$3, $K$3)+_xll.ciqfunctions.udf.CIQ($B11,"IQ_TOTAL_CL","IQ_" &amp; LEFT(SD$3,2) &amp; "-1", SD$3, $N$3, , $J$3, $K$3))),"")</f>
        <v/>
      </c>
      <c r="SE11" s="87" t="str">
        <f>IFERROR(IF(OR($B11="",SE$3=""),"",_xll.ciqfunctions.udf.CIQ($B11,"IQ_CASH_OPER",$O$3, SE$3, $N$3, , $J$3, $K$3)*2/(_xll.ciqfunctions.udf.CIQ($B11,"IQ_TOTAL_CL",SE$3,$I$3, $N$3, , $J$3, $K$3)+_xll.ciqfunctions.udf.CIQ($B11,"IQ_TOTAL_CL","IQ_" &amp; LEFT(SE$3,2) &amp; "-1", SE$3, $N$3, , $J$3, $K$3))),"")</f>
        <v/>
      </c>
      <c r="SF11" s="87" t="str">
        <f>IFERROR(IF(OR($B11="",SF$3=""),"",_xll.ciqfunctions.udf.CIQ($B11,"IQ_CASH_OPER",$O$3, SF$3, $N$3, , $J$3, $K$3)*2/(_xll.ciqfunctions.udf.CIQ($B11,"IQ_TOTAL_CL",SF$3,$I$3, $N$3, , $J$3, $K$3)+_xll.ciqfunctions.udf.CIQ($B11,"IQ_TOTAL_CL","IQ_" &amp; LEFT(SF$3,2) &amp; "-1", SF$3, $N$3, , $J$3, $K$3))),"")</f>
        <v/>
      </c>
      <c r="SG11" s="87" t="str">
        <f>IFERROR(IF(OR($B11="",SG$3=""),"",_xll.ciqfunctions.udf.CIQ($B11,"IQ_CASH_OPER",$O$3, SG$3, $N$3, , $J$3, $K$3)*2/(_xll.ciqfunctions.udf.CIQ($B11,"IQ_TOTAL_CL",SG$3,$I$3, $N$3, , $J$3, $K$3)+_xll.ciqfunctions.udf.CIQ($B11,"IQ_TOTAL_CL","IQ_" &amp; LEFT(SG$3,2) &amp; "-1", SG$3, $N$3, , $J$3, $K$3))),"")</f>
        <v/>
      </c>
      <c r="SH11" s="87" t="str">
        <f>IFERROR(IF(OR($B11="",SH$3=""),"",_xll.ciqfunctions.udf.CIQ($B11,"IQ_CASH_OPER",$O$3, SH$3, $N$3, , $J$3, $K$3)*2/(_xll.ciqfunctions.udf.CIQ($B11,"IQ_TOTAL_CL",SH$3,$I$3, $N$3, , $J$3, $K$3)+_xll.ciqfunctions.udf.CIQ($B11,"IQ_TOTAL_CL","IQ_" &amp; LEFT(SH$3,2) &amp; "-1", SH$3, $N$3, , $J$3, $K$3))),"")</f>
        <v/>
      </c>
      <c r="SI11" s="87" t="str">
        <f>IFERROR(IF(OR($B11="",SI$3=""),"",_xll.ciqfunctions.udf.CIQ($B11,"IQ_CASH_OPER",$O$3, SI$3, $N$3, , $J$3, $K$3)*2/(_xll.ciqfunctions.udf.CIQ($B11,"IQ_TOTAL_CL",SI$3,$I$3, $N$3, , $J$3, $K$3)+_xll.ciqfunctions.udf.CIQ($B11,"IQ_TOTAL_CL","IQ_" &amp; LEFT(SI$3,2) &amp; "-1", SI$3, $N$3, , $J$3, $K$3))),"")</f>
        <v/>
      </c>
      <c r="SJ11" s="87" t="str">
        <f>IFERROR(IF(OR($B11="",SJ$3=""),"",_xll.ciqfunctions.udf.CIQ($B11,"IQ_CASH_OPER",$O$3, SJ$3, $N$3, , $J$3, $K$3)*2/(_xll.ciqfunctions.udf.CIQ($B11,"IQ_TOTAL_CL",SJ$3,$I$3, $N$3, , $J$3, $K$3)+_xll.ciqfunctions.udf.CIQ($B11,"IQ_TOTAL_CL","IQ_" &amp; LEFT(SJ$3,2) &amp; "-1", SJ$3, $N$3, , $J$3, $K$3))),"")</f>
        <v/>
      </c>
      <c r="SK11" s="87" t="str">
        <f>IFERROR(IF(OR($B11="",SK$3=""),"",_xll.ciqfunctions.udf.CIQ($B11,"IQ_CASH_OPER",$O$3, SK$3, $N$3, , $J$3, $K$3)*2/(_xll.ciqfunctions.udf.CIQ($B11,"IQ_TOTAL_CL",SK$3,$I$3, $N$3, , $J$3, $K$3)+_xll.ciqfunctions.udf.CIQ($B11,"IQ_TOTAL_CL","IQ_" &amp; LEFT(SK$3,2) &amp; "-1", SK$3, $N$3, , $J$3, $K$3))),"")</f>
        <v/>
      </c>
      <c r="SL11" s="87" t="str">
        <f>IFERROR(IF(OR($B11="",SL$3=""),"",_xll.ciqfunctions.udf.CIQ($B11,"IQ_CASH_OPER",$O$3, SL$3, $N$3, , $J$3, $K$3)*2/(_xll.ciqfunctions.udf.CIQ($B11,"IQ_TOTAL_CL",SL$3,$I$3, $N$3, , $J$3, $K$3)+_xll.ciqfunctions.udf.CIQ($B11,"IQ_TOTAL_CL","IQ_" &amp; LEFT(SL$3,2) &amp; "-1", SL$3, $N$3, , $J$3, $K$3))),"")</f>
        <v/>
      </c>
      <c r="SM11" s="87" t="str">
        <f>IFERROR(IF(OR($B11="",SM$3=""),"",_xll.ciqfunctions.udf.CIQ($B11,"IQ_CASH_OPER",$O$3, SM$3, $N$3, , $J$3, $K$3)*2/(_xll.ciqfunctions.udf.CIQ($B11,"IQ_TOTAL_CL",SM$3,$I$3, $N$3, , $J$3, $K$3)+_xll.ciqfunctions.udf.CIQ($B11,"IQ_TOTAL_CL","IQ_" &amp; LEFT(SM$3,2) &amp; "-1", SM$3, $N$3, , $J$3, $K$3))),"")</f>
        <v/>
      </c>
      <c r="SN11" s="87" t="str">
        <f>IFERROR(IF(OR($B11="",SN$3=""),"",_xll.ciqfunctions.udf.CIQ($B11,"IQ_CASH_OPER",$O$3, SN$3, $N$3, , $J$3, $K$3)*2/(_xll.ciqfunctions.udf.CIQ($B11,"IQ_TOTAL_CL",SN$3,$I$3, $N$3, , $J$3, $K$3)+_xll.ciqfunctions.udf.CIQ($B11,"IQ_TOTAL_CL","IQ_" &amp; LEFT(SN$3,2) &amp; "-1", SN$3, $N$3, , $J$3, $K$3))),"")</f>
        <v/>
      </c>
      <c r="SO11" s="87" t="str">
        <f>IFERROR(IF(OR($B11="",SO$3=""),"",_xll.ciqfunctions.udf.CIQ($B11,"IQ_CASH_OPER",$O$3, SO$3, $N$3, , $J$3, $K$3)*2/(_xll.ciqfunctions.udf.CIQ($B11,"IQ_TOTAL_CL",SO$3,$I$3, $N$3, , $J$3, $K$3)+_xll.ciqfunctions.udf.CIQ($B11,"IQ_TOTAL_CL","IQ_" &amp; LEFT(SO$3,2) &amp; "-1", SO$3, $N$3, , $J$3, $K$3))),"")</f>
        <v/>
      </c>
      <c r="SP11" s="87" t="str">
        <f>IFERROR(IF(OR($B11="",SP$3=""),"",_xll.ciqfunctions.udf.CIQ($B11,"IQ_CASH_OPER",$O$3, SP$3, $N$3, , $J$3, $K$3)*2/(_xll.ciqfunctions.udf.CIQ($B11,"IQ_TOTAL_CL",SP$3,$I$3, $N$3, , $J$3, $K$3)+_xll.ciqfunctions.udf.CIQ($B11,"IQ_TOTAL_CL","IQ_" &amp; LEFT(SP$3,2) &amp; "-1", SP$3, $N$3, , $J$3, $K$3))),"")</f>
        <v/>
      </c>
      <c r="SQ11" s="87" t="str">
        <f>IFERROR(IF(OR($B11="",SQ$3=""),"",_xll.ciqfunctions.udf.CIQ($B11,"IQ_CASH_OPER",$O$3, SQ$3, $N$3, , $J$3, $K$3)*2/(_xll.ciqfunctions.udf.CIQ($B11,"IQ_TOTAL_CL",SQ$3,$I$3, $N$3, , $J$3, $K$3)+_xll.ciqfunctions.udf.CIQ($B11,"IQ_TOTAL_CL","IQ_" &amp; LEFT(SQ$3,2) &amp; "-1", SQ$3, $N$3, , $J$3, $K$3))),"")</f>
        <v/>
      </c>
      <c r="SR11" s="88" t="str">
        <f>IFERROR(IF(OR($B11="",SR$3=""),"",_xll.ciqfunctions.udf.CIQ($B11,"IQ_CASH_OPER",$O$3, SR$3, $N$3, , $J$3, $K$3)*2/(_xll.ciqfunctions.udf.CIQ($B11,"IQ_TOTAL_CL",SR$3,$I$3, $N$3, , $J$3, $K$3)+_xll.ciqfunctions.udf.CIQ($B11,"IQ_TOTAL_CL","IQ_" &amp; LEFT(SR$3,2) &amp; "-1", SR$3, $N$3, , $J$3, $K$3))),"")</f>
        <v/>
      </c>
      <c r="SS11" s="86" t="str">
        <f>IFERROR(IF(OR($B11="",SS$3=""),"",MAX(_xll.ciqfunctions.udf.CIQ($B11,"IQ_INC_TAX",SS$3,$I$3, $N$3, , $J$3, $K$3)/ABS(_xll.ciqfunctions.udf.CIQ($B11,"IQ_EBT",SS$3,$I$3, $N$3, , $J$3, $K$3)),0)),"")</f>
        <v/>
      </c>
      <c r="ST11" s="87" t="str">
        <f>IFERROR(IF(OR($B11="",ST$3=""),"",MAX(_xll.ciqfunctions.udf.CIQ($B11,"IQ_INC_TAX",ST$3,$I$3, $N$3, , $J$3, $K$3)/ABS(_xll.ciqfunctions.udf.CIQ($B11,"IQ_EBT",ST$3,$I$3, $N$3, , $J$3, $K$3)),0)),"")</f>
        <v/>
      </c>
      <c r="SU11" s="87" t="str">
        <f>IFERROR(IF(OR($B11="",SU$3=""),"",MAX(_xll.ciqfunctions.udf.CIQ($B11,"IQ_INC_TAX",SU$3,$I$3, $N$3, , $J$3, $K$3)/ABS(_xll.ciqfunctions.udf.CIQ($B11,"IQ_EBT",SU$3,$I$3, $N$3, , $J$3, $K$3)),0)),"")</f>
        <v/>
      </c>
      <c r="SV11" s="87" t="str">
        <f>IFERROR(IF(OR($B11="",SV$3=""),"",MAX(_xll.ciqfunctions.udf.CIQ($B11,"IQ_INC_TAX",SV$3,$I$3, $N$3, , $J$3, $K$3)/ABS(_xll.ciqfunctions.udf.CIQ($B11,"IQ_EBT",SV$3,$I$3, $N$3, , $J$3, $K$3)),0)),"")</f>
        <v/>
      </c>
      <c r="SW11" s="87" t="str">
        <f>IFERROR(IF(OR($B11="",SW$3=""),"",MAX(_xll.ciqfunctions.udf.CIQ($B11,"IQ_INC_TAX",SW$3,$I$3, $N$3, , $J$3, $K$3)/ABS(_xll.ciqfunctions.udf.CIQ($B11,"IQ_EBT",SW$3,$I$3, $N$3, , $J$3, $K$3)),0)),"")</f>
        <v/>
      </c>
      <c r="SX11" s="87" t="str">
        <f>IFERROR(IF(OR($B11="",SX$3=""),"",MAX(_xll.ciqfunctions.udf.CIQ($B11,"IQ_INC_TAX",SX$3,$I$3, $N$3, , $J$3, $K$3)/ABS(_xll.ciqfunctions.udf.CIQ($B11,"IQ_EBT",SX$3,$I$3, $N$3, , $J$3, $K$3)),0)),"")</f>
        <v/>
      </c>
      <c r="SY11" s="87" t="str">
        <f>IFERROR(IF(OR($B11="",SY$3=""),"",MAX(_xll.ciqfunctions.udf.CIQ($B11,"IQ_INC_TAX",SY$3,$I$3, $N$3, , $J$3, $K$3)/ABS(_xll.ciqfunctions.udf.CIQ($B11,"IQ_EBT",SY$3,$I$3, $N$3, , $J$3, $K$3)),0)),"")</f>
        <v/>
      </c>
      <c r="SZ11" s="87" t="str">
        <f>IFERROR(IF(OR($B11="",SZ$3=""),"",MAX(_xll.ciqfunctions.udf.CIQ($B11,"IQ_INC_TAX",SZ$3,$I$3, $N$3, , $J$3, $K$3)/ABS(_xll.ciqfunctions.udf.CIQ($B11,"IQ_EBT",SZ$3,$I$3, $N$3, , $J$3, $K$3)),0)),"")</f>
        <v/>
      </c>
      <c r="TA11" s="87" t="str">
        <f>IFERROR(IF(OR($B11="",TA$3=""),"",MAX(_xll.ciqfunctions.udf.CIQ($B11,"IQ_INC_TAX",TA$3,$I$3, $N$3, , $J$3, $K$3)/ABS(_xll.ciqfunctions.udf.CIQ($B11,"IQ_EBT",TA$3,$I$3, $N$3, , $J$3, $K$3)),0)),"")</f>
        <v/>
      </c>
      <c r="TB11" s="87" t="str">
        <f>IFERROR(IF(OR($B11="",TB$3=""),"",MAX(_xll.ciqfunctions.udf.CIQ($B11,"IQ_INC_TAX",TB$3,$I$3, $N$3, , $J$3, $K$3)/ABS(_xll.ciqfunctions.udf.CIQ($B11,"IQ_EBT",TB$3,$I$3, $N$3, , $J$3, $K$3)),0)),"")</f>
        <v/>
      </c>
      <c r="TC11" s="87" t="str">
        <f>IFERROR(IF(OR($B11="",TC$3=""),"",MAX(_xll.ciqfunctions.udf.CIQ($B11,"IQ_INC_TAX",TC$3,$I$3, $N$3, , $J$3, $K$3)/ABS(_xll.ciqfunctions.udf.CIQ($B11,"IQ_EBT",TC$3,$I$3, $N$3, , $J$3, $K$3)),0)),"")</f>
        <v/>
      </c>
      <c r="TD11" s="87" t="str">
        <f>IFERROR(IF(OR($B11="",TD$3=""),"",MAX(_xll.ciqfunctions.udf.CIQ($B11,"IQ_INC_TAX",TD$3,$I$3, $N$3, , $J$3, $K$3)/ABS(_xll.ciqfunctions.udf.CIQ($B11,"IQ_EBT",TD$3,$I$3, $N$3, , $J$3, $K$3)),0)),"")</f>
        <v/>
      </c>
      <c r="TE11" s="87" t="str">
        <f>IFERROR(IF(OR($B11="",TE$3=""),"",MAX(_xll.ciqfunctions.udf.CIQ($B11,"IQ_INC_TAX",TE$3,$I$3, $N$3, , $J$3, $K$3)/ABS(_xll.ciqfunctions.udf.CIQ($B11,"IQ_EBT",TE$3,$I$3, $N$3, , $J$3, $K$3)),0)),"")</f>
        <v/>
      </c>
      <c r="TF11" s="87" t="str">
        <f>IFERROR(IF(OR($B11="",TF$3=""),"",MAX(_xll.ciqfunctions.udf.CIQ($B11,"IQ_INC_TAX",TF$3,$I$3, $N$3, , $J$3, $K$3)/ABS(_xll.ciqfunctions.udf.CIQ($B11,"IQ_EBT",TF$3,$I$3, $N$3, , $J$3, $K$3)),0)),"")</f>
        <v/>
      </c>
      <c r="TG11" s="87" t="str">
        <f>IFERROR(IF(OR($B11="",TG$3=""),"",MAX(_xll.ciqfunctions.udf.CIQ($B11,"IQ_INC_TAX",TG$3,$I$3, $N$3, , $J$3, $K$3)/ABS(_xll.ciqfunctions.udf.CIQ($B11,"IQ_EBT",TG$3,$I$3, $N$3, , $J$3, $K$3)),0)),"")</f>
        <v/>
      </c>
      <c r="TH11" s="87" t="str">
        <f>IFERROR(IF(OR($B11="",TH$3=""),"",MAX(_xll.ciqfunctions.udf.CIQ($B11,"IQ_INC_TAX",TH$3,$I$3, $N$3, , $J$3, $K$3)/ABS(_xll.ciqfunctions.udf.CIQ($B11,"IQ_EBT",TH$3,$I$3, $N$3, , $J$3, $K$3)),0)),"")</f>
        <v/>
      </c>
      <c r="TI11" s="87" t="str">
        <f>IFERROR(IF(OR($B11="",TI$3=""),"",MAX(_xll.ciqfunctions.udf.CIQ($B11,"IQ_INC_TAX",TI$3,$I$3, $N$3, , $J$3, $K$3)/ABS(_xll.ciqfunctions.udf.CIQ($B11,"IQ_EBT",TI$3,$I$3, $N$3, , $J$3, $K$3)),0)),"")</f>
        <v/>
      </c>
      <c r="TJ11" s="87" t="str">
        <f>IFERROR(IF(OR($B11="",TJ$3=""),"",MAX(_xll.ciqfunctions.udf.CIQ($B11,"IQ_INC_TAX",TJ$3,$I$3, $N$3, , $J$3, $K$3)/ABS(_xll.ciqfunctions.udf.CIQ($B11,"IQ_EBT",TJ$3,$I$3, $N$3, , $J$3, $K$3)),0)),"")</f>
        <v/>
      </c>
      <c r="TK11" s="87" t="str">
        <f>IFERROR(IF(OR($B11="",TK$3=""),"",MAX(_xll.ciqfunctions.udf.CIQ($B11,"IQ_INC_TAX",TK$3,$I$3, $N$3, , $J$3, $K$3)/ABS(_xll.ciqfunctions.udf.CIQ($B11,"IQ_EBT",TK$3,$I$3, $N$3, , $J$3, $K$3)),0)),"")</f>
        <v/>
      </c>
      <c r="TL11" s="88" t="str">
        <f>IFERROR(IF(OR($B11="",TL$3=""),"",MAX(_xll.ciqfunctions.udf.CIQ($B11,"IQ_INC_TAX",TL$3,$I$3, $N$3, , $J$3, $K$3)/ABS(_xll.ciqfunctions.udf.CIQ($B11,"IQ_EBT",TL$3,$I$3, $N$3, , $J$3, $K$3)),0)),"")</f>
        <v/>
      </c>
      <c r="TM11" s="92" t="str">
        <f>IFERROR(IF(OR($B11="",TM$3=""),"",_xll.ciqfunctions.udf.CIQ($B11,"IQ_TOTAL_REVENUE",TM$3,$I$3, $N$3, , $J$3, $K$3)*1000000/_xll.ciqfunctions.udf.CIQ($B11,"IQ_EMPLOYEES",TM$3,$I$3, $N$3, , $J$3, $K$3)),"")</f>
        <v/>
      </c>
      <c r="TN11" s="93" t="str">
        <f>IFERROR(IF(OR($B11="",TN$3=""),"",_xll.ciqfunctions.udf.CIQ($B11,"IQ_TOTAL_REVENUE",TN$3,$I$3, $N$3, , $J$3, $K$3)*1000000/_xll.ciqfunctions.udf.CIQ($B11,"IQ_EMPLOYEES",TN$3,$I$3, $N$3, , $J$3, $K$3)),"")</f>
        <v/>
      </c>
      <c r="TO11" s="93" t="str">
        <f>IFERROR(IF(OR($B11="",TO$3=""),"",_xll.ciqfunctions.udf.CIQ($B11,"IQ_TOTAL_REVENUE",TO$3,$I$3, $N$3, , $J$3, $K$3)*1000000/_xll.ciqfunctions.udf.CIQ($B11,"IQ_EMPLOYEES",TO$3,$I$3, $N$3, , $J$3, $K$3)),"")</f>
        <v/>
      </c>
      <c r="TP11" s="93" t="str">
        <f>IFERROR(IF(OR($B11="",TP$3=""),"",_xll.ciqfunctions.udf.CIQ($B11,"IQ_TOTAL_REVENUE",TP$3,$I$3, $N$3, , $J$3, $K$3)*1000000/_xll.ciqfunctions.udf.CIQ($B11,"IQ_EMPLOYEES",TP$3,$I$3, $N$3, , $J$3, $K$3)),"")</f>
        <v/>
      </c>
      <c r="TQ11" s="93" t="str">
        <f>IFERROR(IF(OR($B11="",TQ$3=""),"",_xll.ciqfunctions.udf.CIQ($B11,"IQ_TOTAL_REVENUE",TQ$3,$I$3, $N$3, , $J$3, $K$3)*1000000/_xll.ciqfunctions.udf.CIQ($B11,"IQ_EMPLOYEES",TQ$3,$I$3, $N$3, , $J$3, $K$3)),"")</f>
        <v/>
      </c>
      <c r="TR11" s="93" t="str">
        <f>IFERROR(IF(OR($B11="",TR$3=""),"",_xll.ciqfunctions.udf.CIQ($B11,"IQ_TOTAL_REVENUE",TR$3,$I$3, $N$3, , $J$3, $K$3)*1000000/_xll.ciqfunctions.udf.CIQ($B11,"IQ_EMPLOYEES",TR$3,$I$3, $N$3, , $J$3, $K$3)),"")</f>
        <v/>
      </c>
      <c r="TS11" s="93" t="str">
        <f>IFERROR(IF(OR($B11="",TS$3=""),"",_xll.ciqfunctions.udf.CIQ($B11,"IQ_TOTAL_REVENUE",TS$3,$I$3, $N$3, , $J$3, $K$3)*1000000/_xll.ciqfunctions.udf.CIQ($B11,"IQ_EMPLOYEES",TS$3,$I$3, $N$3, , $J$3, $K$3)),"")</f>
        <v/>
      </c>
      <c r="TT11" s="93" t="str">
        <f>IFERROR(IF(OR($B11="",TT$3=""),"",_xll.ciqfunctions.udf.CIQ($B11,"IQ_TOTAL_REVENUE",TT$3,$I$3, $N$3, , $J$3, $K$3)*1000000/_xll.ciqfunctions.udf.CIQ($B11,"IQ_EMPLOYEES",TT$3,$I$3, $N$3, , $J$3, $K$3)),"")</f>
        <v/>
      </c>
      <c r="TU11" s="93" t="str">
        <f>IFERROR(IF(OR($B11="",TU$3=""),"",_xll.ciqfunctions.udf.CIQ($B11,"IQ_TOTAL_REVENUE",TU$3,$I$3, $N$3, , $J$3, $K$3)*1000000/_xll.ciqfunctions.udf.CIQ($B11,"IQ_EMPLOYEES",TU$3,$I$3, $N$3, , $J$3, $K$3)),"")</f>
        <v/>
      </c>
      <c r="TV11" s="93" t="str">
        <f>IFERROR(IF(OR($B11="",TV$3=""),"",_xll.ciqfunctions.udf.CIQ($B11,"IQ_TOTAL_REVENUE",TV$3,$I$3, $N$3, , $J$3, $K$3)*1000000/_xll.ciqfunctions.udf.CIQ($B11,"IQ_EMPLOYEES",TV$3,$I$3, $N$3, , $J$3, $K$3)),"")</f>
        <v/>
      </c>
      <c r="TW11" s="93" t="str">
        <f>IFERROR(IF(OR($B11="",TW$3=""),"",_xll.ciqfunctions.udf.CIQ($B11,"IQ_TOTAL_REVENUE",TW$3,$I$3, $N$3, , $J$3, $K$3)*1000000/_xll.ciqfunctions.udf.CIQ($B11,"IQ_EMPLOYEES",TW$3,$I$3, $N$3, , $J$3, $K$3)),"")</f>
        <v/>
      </c>
      <c r="TX11" s="93" t="str">
        <f>IFERROR(IF(OR($B11="",TX$3=""),"",_xll.ciqfunctions.udf.CIQ($B11,"IQ_TOTAL_REVENUE",TX$3,$I$3, $N$3, , $J$3, $K$3)*1000000/_xll.ciqfunctions.udf.CIQ($B11,"IQ_EMPLOYEES",TX$3,$I$3, $N$3, , $J$3, $K$3)),"")</f>
        <v/>
      </c>
      <c r="TY11" s="93" t="str">
        <f>IFERROR(IF(OR($B11="",TY$3=""),"",_xll.ciqfunctions.udf.CIQ($B11,"IQ_TOTAL_REVENUE",TY$3,$I$3, $N$3, , $J$3, $K$3)*1000000/_xll.ciqfunctions.udf.CIQ($B11,"IQ_EMPLOYEES",TY$3,$I$3, $N$3, , $J$3, $K$3)),"")</f>
        <v/>
      </c>
      <c r="TZ11" s="93" t="str">
        <f>IFERROR(IF(OR($B11="",TZ$3=""),"",_xll.ciqfunctions.udf.CIQ($B11,"IQ_TOTAL_REVENUE",TZ$3,$I$3, $N$3, , $J$3, $K$3)*1000000/_xll.ciqfunctions.udf.CIQ($B11,"IQ_EMPLOYEES",TZ$3,$I$3, $N$3, , $J$3, $K$3)),"")</f>
        <v/>
      </c>
      <c r="UA11" s="93" t="str">
        <f>IFERROR(IF(OR($B11="",UA$3=""),"",_xll.ciqfunctions.udf.CIQ($B11,"IQ_TOTAL_REVENUE",UA$3,$I$3, $N$3, , $J$3, $K$3)*1000000/_xll.ciqfunctions.udf.CIQ($B11,"IQ_EMPLOYEES",UA$3,$I$3, $N$3, , $J$3, $K$3)),"")</f>
        <v/>
      </c>
      <c r="UB11" s="93" t="str">
        <f>IFERROR(IF(OR($B11="",UB$3=""),"",_xll.ciqfunctions.udf.CIQ($B11,"IQ_TOTAL_REVENUE",UB$3,$I$3, $N$3, , $J$3, $K$3)*1000000/_xll.ciqfunctions.udf.CIQ($B11,"IQ_EMPLOYEES",UB$3,$I$3, $N$3, , $J$3, $K$3)),"")</f>
        <v/>
      </c>
      <c r="UC11" s="93" t="str">
        <f>IFERROR(IF(OR($B11="",UC$3=""),"",_xll.ciqfunctions.udf.CIQ($B11,"IQ_TOTAL_REVENUE",UC$3,$I$3, $N$3, , $J$3, $K$3)*1000000/_xll.ciqfunctions.udf.CIQ($B11,"IQ_EMPLOYEES",UC$3,$I$3, $N$3, , $J$3, $K$3)),"")</f>
        <v/>
      </c>
      <c r="UD11" s="93" t="str">
        <f>IFERROR(IF(OR($B11="",UD$3=""),"",_xll.ciqfunctions.udf.CIQ($B11,"IQ_TOTAL_REVENUE",UD$3,$I$3, $N$3, , $J$3, $K$3)*1000000/_xll.ciqfunctions.udf.CIQ($B11,"IQ_EMPLOYEES",UD$3,$I$3, $N$3, , $J$3, $K$3)),"")</f>
        <v/>
      </c>
      <c r="UE11" s="93" t="str">
        <f>IFERROR(IF(OR($B11="",UE$3=""),"",_xll.ciqfunctions.udf.CIQ($B11,"IQ_TOTAL_REVENUE",UE$3,$I$3, $N$3, , $J$3, $K$3)*1000000/_xll.ciqfunctions.udf.CIQ($B11,"IQ_EMPLOYEES",UE$3,$I$3, $N$3, , $J$3, $K$3)),"")</f>
        <v/>
      </c>
      <c r="UF11" s="94" t="str">
        <f>IFERROR(IF(OR($B11="",UF$3=""),"",_xll.ciqfunctions.udf.CIQ($B11,"IQ_TOTAL_REVENUE",UF$3,$I$3, $N$3, , $J$3, $K$3)*1000000/_xll.ciqfunctions.udf.CIQ($B11,"IQ_EMPLOYEES",UF$3,$I$3, $N$3, , $J$3, $K$3)),"")</f>
        <v/>
      </c>
      <c r="UG11" s="92" t="str">
        <f>IFERROR(IF(OR($B11="",UG$3=""),"",(_xll.ciqfunctions.udf.CIQ($B11,"IQ_TOTAL_REVENUE",UG$3,$I$3, $N$3, , $J$3, $K$3)-_xll.ciqfunctions.udf.CIQ($B11,"IQ_COGS",UG$3,$I$3, $N$3, , $J$3, $K$3)-_xll.ciqfunctions.udf.CIQ($B11,"IQ_EBIT",UG$3,$I$3, $N$3, , $J$3, $K$3))*1000000/_xll.ciqfunctions.udf.CIQ($B11,"IQ_EMPLOYEES",UG$3,$I$3, $N$3, , $J$3, $K$3)),"")</f>
        <v/>
      </c>
      <c r="UH11" s="93" t="str">
        <f>IFERROR(IF(OR($B11="",UH$3=""),"",(_xll.ciqfunctions.udf.CIQ($B11,"IQ_TOTAL_REVENUE",UH$3,$I$3, $N$3, , $J$3, $K$3)-_xll.ciqfunctions.udf.CIQ($B11,"IQ_COGS",UH$3,$I$3, $N$3, , $J$3, $K$3)-_xll.ciqfunctions.udf.CIQ($B11,"IQ_EBIT",UH$3,$I$3, $N$3, , $J$3, $K$3))*1000000/_xll.ciqfunctions.udf.CIQ($B11,"IQ_EMPLOYEES",UH$3,$I$3, $N$3, , $J$3, $K$3)),"")</f>
        <v/>
      </c>
      <c r="UI11" s="93" t="str">
        <f>IFERROR(IF(OR($B11="",UI$3=""),"",(_xll.ciqfunctions.udf.CIQ($B11,"IQ_TOTAL_REVENUE",UI$3,$I$3, $N$3, , $J$3, $K$3)-_xll.ciqfunctions.udf.CIQ($B11,"IQ_COGS",UI$3,$I$3, $N$3, , $J$3, $K$3)-_xll.ciqfunctions.udf.CIQ($B11,"IQ_EBIT",UI$3,$I$3, $N$3, , $J$3, $K$3))*1000000/_xll.ciqfunctions.udf.CIQ($B11,"IQ_EMPLOYEES",UI$3,$I$3, $N$3, , $J$3, $K$3)),"")</f>
        <v/>
      </c>
      <c r="UJ11" s="93" t="str">
        <f>IFERROR(IF(OR($B11="",UJ$3=""),"",(_xll.ciqfunctions.udf.CIQ($B11,"IQ_TOTAL_REVENUE",UJ$3,$I$3, $N$3, , $J$3, $K$3)-_xll.ciqfunctions.udf.CIQ($B11,"IQ_COGS",UJ$3,$I$3, $N$3, , $J$3, $K$3)-_xll.ciqfunctions.udf.CIQ($B11,"IQ_EBIT",UJ$3,$I$3, $N$3, , $J$3, $K$3))*1000000/_xll.ciqfunctions.udf.CIQ($B11,"IQ_EMPLOYEES",UJ$3,$I$3, $N$3, , $J$3, $K$3)),"")</f>
        <v/>
      </c>
      <c r="UK11" s="93" t="str">
        <f>IFERROR(IF(OR($B11="",UK$3=""),"",(_xll.ciqfunctions.udf.CIQ($B11,"IQ_TOTAL_REVENUE",UK$3,$I$3, $N$3, , $J$3, $K$3)-_xll.ciqfunctions.udf.CIQ($B11,"IQ_COGS",UK$3,$I$3, $N$3, , $J$3, $K$3)-_xll.ciqfunctions.udf.CIQ($B11,"IQ_EBIT",UK$3,$I$3, $N$3, , $J$3, $K$3))*1000000/_xll.ciqfunctions.udf.CIQ($B11,"IQ_EMPLOYEES",UK$3,$I$3, $N$3, , $J$3, $K$3)),"")</f>
        <v/>
      </c>
      <c r="UL11" s="93" t="str">
        <f>IFERROR(IF(OR($B11="",UL$3=""),"",(_xll.ciqfunctions.udf.CIQ($B11,"IQ_TOTAL_REVENUE",UL$3,$I$3, $N$3, , $J$3, $K$3)-_xll.ciqfunctions.udf.CIQ($B11,"IQ_COGS",UL$3,$I$3, $N$3, , $J$3, $K$3)-_xll.ciqfunctions.udf.CIQ($B11,"IQ_EBIT",UL$3,$I$3, $N$3, , $J$3, $K$3))*1000000/_xll.ciqfunctions.udf.CIQ($B11,"IQ_EMPLOYEES",UL$3,$I$3, $N$3, , $J$3, $K$3)),"")</f>
        <v/>
      </c>
      <c r="UM11" s="93" t="str">
        <f>IFERROR(IF(OR($B11="",UM$3=""),"",(_xll.ciqfunctions.udf.CIQ($B11,"IQ_TOTAL_REVENUE",UM$3,$I$3, $N$3, , $J$3, $K$3)-_xll.ciqfunctions.udf.CIQ($B11,"IQ_COGS",UM$3,$I$3, $N$3, , $J$3, $K$3)-_xll.ciqfunctions.udf.CIQ($B11,"IQ_EBIT",UM$3,$I$3, $N$3, , $J$3, $K$3))*1000000/_xll.ciqfunctions.udf.CIQ($B11,"IQ_EMPLOYEES",UM$3,$I$3, $N$3, , $J$3, $K$3)),"")</f>
        <v/>
      </c>
      <c r="UN11" s="93" t="str">
        <f>IFERROR(IF(OR($B11="",UN$3=""),"",(_xll.ciqfunctions.udf.CIQ($B11,"IQ_TOTAL_REVENUE",UN$3,$I$3, $N$3, , $J$3, $K$3)-_xll.ciqfunctions.udf.CIQ($B11,"IQ_COGS",UN$3,$I$3, $N$3, , $J$3, $K$3)-_xll.ciqfunctions.udf.CIQ($B11,"IQ_EBIT",UN$3,$I$3, $N$3, , $J$3, $K$3))*1000000/_xll.ciqfunctions.udf.CIQ($B11,"IQ_EMPLOYEES",UN$3,$I$3, $N$3, , $J$3, $K$3)),"")</f>
        <v/>
      </c>
      <c r="UO11" s="93" t="str">
        <f>IFERROR(IF(OR($B11="",UO$3=""),"",(_xll.ciqfunctions.udf.CIQ($B11,"IQ_TOTAL_REVENUE",UO$3,$I$3, $N$3, , $J$3, $K$3)-_xll.ciqfunctions.udf.CIQ($B11,"IQ_COGS",UO$3,$I$3, $N$3, , $J$3, $K$3)-_xll.ciqfunctions.udf.CIQ($B11,"IQ_EBIT",UO$3,$I$3, $N$3, , $J$3, $K$3))*1000000/_xll.ciqfunctions.udf.CIQ($B11,"IQ_EMPLOYEES",UO$3,$I$3, $N$3, , $J$3, $K$3)),"")</f>
        <v/>
      </c>
      <c r="UP11" s="93" t="str">
        <f>IFERROR(IF(OR($B11="",UP$3=""),"",(_xll.ciqfunctions.udf.CIQ($B11,"IQ_TOTAL_REVENUE",UP$3,$I$3, $N$3, , $J$3, $K$3)-_xll.ciqfunctions.udf.CIQ($B11,"IQ_COGS",UP$3,$I$3, $N$3, , $J$3, $K$3)-_xll.ciqfunctions.udf.CIQ($B11,"IQ_EBIT",UP$3,$I$3, $N$3, , $J$3, $K$3))*1000000/_xll.ciqfunctions.udf.CIQ($B11,"IQ_EMPLOYEES",UP$3,$I$3, $N$3, , $J$3, $K$3)),"")</f>
        <v/>
      </c>
      <c r="UQ11" s="93" t="str">
        <f>IFERROR(IF(OR($B11="",UQ$3=""),"",(_xll.ciqfunctions.udf.CIQ($B11,"IQ_TOTAL_REVENUE",UQ$3,$I$3, $N$3, , $J$3, $K$3)-_xll.ciqfunctions.udf.CIQ($B11,"IQ_COGS",UQ$3,$I$3, $N$3, , $J$3, $K$3)-_xll.ciqfunctions.udf.CIQ($B11,"IQ_EBIT",UQ$3,$I$3, $N$3, , $J$3, $K$3))*1000000/_xll.ciqfunctions.udf.CIQ($B11,"IQ_EMPLOYEES",UQ$3,$I$3, $N$3, , $J$3, $K$3)),"")</f>
        <v/>
      </c>
      <c r="UR11" s="93" t="str">
        <f>IFERROR(IF(OR($B11="",UR$3=""),"",(_xll.ciqfunctions.udf.CIQ($B11,"IQ_TOTAL_REVENUE",UR$3,$I$3, $N$3, , $J$3, $K$3)-_xll.ciqfunctions.udf.CIQ($B11,"IQ_COGS",UR$3,$I$3, $N$3, , $J$3, $K$3)-_xll.ciqfunctions.udf.CIQ($B11,"IQ_EBIT",UR$3,$I$3, $N$3, , $J$3, $K$3))*1000000/_xll.ciqfunctions.udf.CIQ($B11,"IQ_EMPLOYEES",UR$3,$I$3, $N$3, , $J$3, $K$3)),"")</f>
        <v/>
      </c>
      <c r="US11" s="93" t="str">
        <f>IFERROR(IF(OR($B11="",US$3=""),"",(_xll.ciqfunctions.udf.CIQ($B11,"IQ_TOTAL_REVENUE",US$3,$I$3, $N$3, , $J$3, $K$3)-_xll.ciqfunctions.udf.CIQ($B11,"IQ_COGS",US$3,$I$3, $N$3, , $J$3, $K$3)-_xll.ciqfunctions.udf.CIQ($B11,"IQ_EBIT",US$3,$I$3, $N$3, , $J$3, $K$3))*1000000/_xll.ciqfunctions.udf.CIQ($B11,"IQ_EMPLOYEES",US$3,$I$3, $N$3, , $J$3, $K$3)),"")</f>
        <v/>
      </c>
      <c r="UT11" s="93" t="str">
        <f>IFERROR(IF(OR($B11="",UT$3=""),"",(_xll.ciqfunctions.udf.CIQ($B11,"IQ_TOTAL_REVENUE",UT$3,$I$3, $N$3, , $J$3, $K$3)-_xll.ciqfunctions.udf.CIQ($B11,"IQ_COGS",UT$3,$I$3, $N$3, , $J$3, $K$3)-_xll.ciqfunctions.udf.CIQ($B11,"IQ_EBIT",UT$3,$I$3, $N$3, , $J$3, $K$3))*1000000/_xll.ciqfunctions.udf.CIQ($B11,"IQ_EMPLOYEES",UT$3,$I$3, $N$3, , $J$3, $K$3)),"")</f>
        <v/>
      </c>
      <c r="UU11" s="93" t="str">
        <f>IFERROR(IF(OR($B11="",UU$3=""),"",(_xll.ciqfunctions.udf.CIQ($B11,"IQ_TOTAL_REVENUE",UU$3,$I$3, $N$3, , $J$3, $K$3)-_xll.ciqfunctions.udf.CIQ($B11,"IQ_COGS",UU$3,$I$3, $N$3, , $J$3, $K$3)-_xll.ciqfunctions.udf.CIQ($B11,"IQ_EBIT",UU$3,$I$3, $N$3, , $J$3, $K$3))*1000000/_xll.ciqfunctions.udf.CIQ($B11,"IQ_EMPLOYEES",UU$3,$I$3, $N$3, , $J$3, $K$3)),"")</f>
        <v/>
      </c>
      <c r="UV11" s="93" t="str">
        <f>IFERROR(IF(OR($B11="",UV$3=""),"",(_xll.ciqfunctions.udf.CIQ($B11,"IQ_TOTAL_REVENUE",UV$3,$I$3, $N$3, , $J$3, $K$3)-_xll.ciqfunctions.udf.CIQ($B11,"IQ_COGS",UV$3,$I$3, $N$3, , $J$3, $K$3)-_xll.ciqfunctions.udf.CIQ($B11,"IQ_EBIT",UV$3,$I$3, $N$3, , $J$3, $K$3))*1000000/_xll.ciqfunctions.udf.CIQ($B11,"IQ_EMPLOYEES",UV$3,$I$3, $N$3, , $J$3, $K$3)),"")</f>
        <v/>
      </c>
      <c r="UW11" s="93" t="str">
        <f>IFERROR(IF(OR($B11="",UW$3=""),"",(_xll.ciqfunctions.udf.CIQ($B11,"IQ_TOTAL_REVENUE",UW$3,$I$3, $N$3, , $J$3, $K$3)-_xll.ciqfunctions.udf.CIQ($B11,"IQ_COGS",UW$3,$I$3, $N$3, , $J$3, $K$3)-_xll.ciqfunctions.udf.CIQ($B11,"IQ_EBIT",UW$3,$I$3, $N$3, , $J$3, $K$3))*1000000/_xll.ciqfunctions.udf.CIQ($B11,"IQ_EMPLOYEES",UW$3,$I$3, $N$3, , $J$3, $K$3)),"")</f>
        <v/>
      </c>
      <c r="UX11" s="93" t="str">
        <f>IFERROR(IF(OR($B11="",UX$3=""),"",(_xll.ciqfunctions.udf.CIQ($B11,"IQ_TOTAL_REVENUE",UX$3,$I$3, $N$3, , $J$3, $K$3)-_xll.ciqfunctions.udf.CIQ($B11,"IQ_COGS",UX$3,$I$3, $N$3, , $J$3, $K$3)-_xll.ciqfunctions.udf.CIQ($B11,"IQ_EBIT",UX$3,$I$3, $N$3, , $J$3, $K$3))*1000000/_xll.ciqfunctions.udf.CIQ($B11,"IQ_EMPLOYEES",UX$3,$I$3, $N$3, , $J$3, $K$3)),"")</f>
        <v/>
      </c>
      <c r="UY11" s="93" t="str">
        <f>IFERROR(IF(OR($B11="",UY$3=""),"",(_xll.ciqfunctions.udf.CIQ($B11,"IQ_TOTAL_REVENUE",UY$3,$I$3, $N$3, , $J$3, $K$3)-_xll.ciqfunctions.udf.CIQ($B11,"IQ_COGS",UY$3,$I$3, $N$3, , $J$3, $K$3)-_xll.ciqfunctions.udf.CIQ($B11,"IQ_EBIT",UY$3,$I$3, $N$3, , $J$3, $K$3))*1000000/_xll.ciqfunctions.udf.CIQ($B11,"IQ_EMPLOYEES",UY$3,$I$3, $N$3, , $J$3, $K$3)),"")</f>
        <v/>
      </c>
      <c r="UZ11" s="94" t="str">
        <f>IFERROR(IF(OR($B11="",UZ$3=""),"",(_xll.ciqfunctions.udf.CIQ($B11,"IQ_TOTAL_REVENUE",UZ$3,$I$3, $N$3, , $J$3, $K$3)-_xll.ciqfunctions.udf.CIQ($B11,"IQ_COGS",UZ$3,$I$3, $N$3, , $J$3, $K$3)-_xll.ciqfunctions.udf.CIQ($B11,"IQ_EBIT",UZ$3,$I$3, $N$3, , $J$3, $K$3))*1000000/_xll.ciqfunctions.udf.CIQ($B11,"IQ_EMPLOYEES",UZ$3,$I$3, $N$3, , $J$3, $K$3)),"")</f>
        <v/>
      </c>
      <c r="VA11" s="92" t="str">
        <f>IFERROR(IF(OR($B11="",VA$3=""),"",_xll.ciqfunctions.udf.CIQ($B11,"IQ_SGA_SUPPL",VA$3,$I$3, $N$3, , $J$3, $K$3)*1000000/_xll.ciqfunctions.udf.CIQ($B11,"IQ_EMPLOYEES",VA$3,$I$3, $N$3, , $J$3, $K$3)),"")</f>
        <v/>
      </c>
      <c r="VB11" s="93" t="str">
        <f>IFERROR(IF(OR($B11="",VB$3=""),"",_xll.ciqfunctions.udf.CIQ($B11,"IQ_SGA_SUPPL",VB$3,$I$3, $N$3, , $J$3, $K$3)*1000000/_xll.ciqfunctions.udf.CIQ($B11,"IQ_EMPLOYEES",VB$3,$I$3, $N$3, , $J$3, $K$3)),"")</f>
        <v/>
      </c>
      <c r="VC11" s="93" t="str">
        <f>IFERROR(IF(OR($B11="",VC$3=""),"",_xll.ciqfunctions.udf.CIQ($B11,"IQ_SGA_SUPPL",VC$3,$I$3, $N$3, , $J$3, $K$3)*1000000/_xll.ciqfunctions.udf.CIQ($B11,"IQ_EMPLOYEES",VC$3,$I$3, $N$3, , $J$3, $K$3)),"")</f>
        <v/>
      </c>
      <c r="VD11" s="93" t="str">
        <f>IFERROR(IF(OR($B11="",VD$3=""),"",_xll.ciqfunctions.udf.CIQ($B11,"IQ_SGA_SUPPL",VD$3,$I$3, $N$3, , $J$3, $K$3)*1000000/_xll.ciqfunctions.udf.CIQ($B11,"IQ_EMPLOYEES",VD$3,$I$3, $N$3, , $J$3, $K$3)),"")</f>
        <v/>
      </c>
      <c r="VE11" s="93" t="str">
        <f>IFERROR(IF(OR($B11="",VE$3=""),"",_xll.ciqfunctions.udf.CIQ($B11,"IQ_SGA_SUPPL",VE$3,$I$3, $N$3, , $J$3, $K$3)*1000000/_xll.ciqfunctions.udf.CIQ($B11,"IQ_EMPLOYEES",VE$3,$I$3, $N$3, , $J$3, $K$3)),"")</f>
        <v/>
      </c>
      <c r="VF11" s="93" t="str">
        <f>IFERROR(IF(OR($B11="",VF$3=""),"",_xll.ciqfunctions.udf.CIQ($B11,"IQ_SGA_SUPPL",VF$3,$I$3, $N$3, , $J$3, $K$3)*1000000/_xll.ciqfunctions.udf.CIQ($B11,"IQ_EMPLOYEES",VF$3,$I$3, $N$3, , $J$3, $K$3)),"")</f>
        <v/>
      </c>
      <c r="VG11" s="93" t="str">
        <f>IFERROR(IF(OR($B11="",VG$3=""),"",_xll.ciqfunctions.udf.CIQ($B11,"IQ_SGA_SUPPL",VG$3,$I$3, $N$3, , $J$3, $K$3)*1000000/_xll.ciqfunctions.udf.CIQ($B11,"IQ_EMPLOYEES",VG$3,$I$3, $N$3, , $J$3, $K$3)),"")</f>
        <v/>
      </c>
      <c r="VH11" s="93" t="str">
        <f>IFERROR(IF(OR($B11="",VH$3=""),"",_xll.ciqfunctions.udf.CIQ($B11,"IQ_SGA_SUPPL",VH$3,$I$3, $N$3, , $J$3, $K$3)*1000000/_xll.ciqfunctions.udf.CIQ($B11,"IQ_EMPLOYEES",VH$3,$I$3, $N$3, , $J$3, $K$3)),"")</f>
        <v/>
      </c>
      <c r="VI11" s="93" t="str">
        <f>IFERROR(IF(OR($B11="",VI$3=""),"",_xll.ciqfunctions.udf.CIQ($B11,"IQ_SGA_SUPPL",VI$3,$I$3, $N$3, , $J$3, $K$3)*1000000/_xll.ciqfunctions.udf.CIQ($B11,"IQ_EMPLOYEES",VI$3,$I$3, $N$3, , $J$3, $K$3)),"")</f>
        <v/>
      </c>
      <c r="VJ11" s="93" t="str">
        <f>IFERROR(IF(OR($B11="",VJ$3=""),"",_xll.ciqfunctions.udf.CIQ($B11,"IQ_SGA_SUPPL",VJ$3,$I$3, $N$3, , $J$3, $K$3)*1000000/_xll.ciqfunctions.udf.CIQ($B11,"IQ_EMPLOYEES",VJ$3,$I$3, $N$3, , $J$3, $K$3)),"")</f>
        <v/>
      </c>
      <c r="VK11" s="93" t="str">
        <f>IFERROR(IF(OR($B11="",VK$3=""),"",_xll.ciqfunctions.udf.CIQ($B11,"IQ_SGA_SUPPL",VK$3,$I$3, $N$3, , $J$3, $K$3)*1000000/_xll.ciqfunctions.udf.CIQ($B11,"IQ_EMPLOYEES",VK$3,$I$3, $N$3, , $J$3, $K$3)),"")</f>
        <v/>
      </c>
      <c r="VL11" s="93" t="str">
        <f>IFERROR(IF(OR($B11="",VL$3=""),"",_xll.ciqfunctions.udf.CIQ($B11,"IQ_SGA_SUPPL",VL$3,$I$3, $N$3, , $J$3, $K$3)*1000000/_xll.ciqfunctions.udf.CIQ($B11,"IQ_EMPLOYEES",VL$3,$I$3, $N$3, , $J$3, $K$3)),"")</f>
        <v/>
      </c>
      <c r="VM11" s="93" t="str">
        <f>IFERROR(IF(OR($B11="",VM$3=""),"",_xll.ciqfunctions.udf.CIQ($B11,"IQ_SGA_SUPPL",VM$3,$I$3, $N$3, , $J$3, $K$3)*1000000/_xll.ciqfunctions.udf.CIQ($B11,"IQ_EMPLOYEES",VM$3,$I$3, $N$3, , $J$3, $K$3)),"")</f>
        <v/>
      </c>
      <c r="VN11" s="93" t="str">
        <f>IFERROR(IF(OR($B11="",VN$3=""),"",_xll.ciqfunctions.udf.CIQ($B11,"IQ_SGA_SUPPL",VN$3,$I$3, $N$3, , $J$3, $K$3)*1000000/_xll.ciqfunctions.udf.CIQ($B11,"IQ_EMPLOYEES",VN$3,$I$3, $N$3, , $J$3, $K$3)),"")</f>
        <v/>
      </c>
      <c r="VO11" s="93" t="str">
        <f>IFERROR(IF(OR($B11="",VO$3=""),"",_xll.ciqfunctions.udf.CIQ($B11,"IQ_SGA_SUPPL",VO$3,$I$3, $N$3, , $J$3, $K$3)*1000000/_xll.ciqfunctions.udf.CIQ($B11,"IQ_EMPLOYEES",VO$3,$I$3, $N$3, , $J$3, $K$3)),"")</f>
        <v/>
      </c>
      <c r="VP11" s="93" t="str">
        <f>IFERROR(IF(OR($B11="",VP$3=""),"",_xll.ciqfunctions.udf.CIQ($B11,"IQ_SGA_SUPPL",VP$3,$I$3, $N$3, , $J$3, $K$3)*1000000/_xll.ciqfunctions.udf.CIQ($B11,"IQ_EMPLOYEES",VP$3,$I$3, $N$3, , $J$3, $K$3)),"")</f>
        <v/>
      </c>
      <c r="VQ11" s="93" t="str">
        <f>IFERROR(IF(OR($B11="",VQ$3=""),"",_xll.ciqfunctions.udf.CIQ($B11,"IQ_SGA_SUPPL",VQ$3,$I$3, $N$3, , $J$3, $K$3)*1000000/_xll.ciqfunctions.udf.CIQ($B11,"IQ_EMPLOYEES",VQ$3,$I$3, $N$3, , $J$3, $K$3)),"")</f>
        <v/>
      </c>
      <c r="VR11" s="93" t="str">
        <f>IFERROR(IF(OR($B11="",VR$3=""),"",_xll.ciqfunctions.udf.CIQ($B11,"IQ_SGA_SUPPL",VR$3,$I$3, $N$3, , $J$3, $K$3)*1000000/_xll.ciqfunctions.udf.CIQ($B11,"IQ_EMPLOYEES",VR$3,$I$3, $N$3, , $J$3, $K$3)),"")</f>
        <v/>
      </c>
      <c r="VS11" s="93" t="str">
        <f>IFERROR(IF(OR($B11="",VS$3=""),"",_xll.ciqfunctions.udf.CIQ($B11,"IQ_SGA_SUPPL",VS$3,$I$3, $N$3, , $J$3, $K$3)*1000000/_xll.ciqfunctions.udf.CIQ($B11,"IQ_EMPLOYEES",VS$3,$I$3, $N$3, , $J$3, $K$3)),"")</f>
        <v/>
      </c>
      <c r="VT11" s="94" t="str">
        <f>IFERROR(IF(OR($B11="",VT$3=""),"",_xll.ciqfunctions.udf.CIQ($B11,"IQ_SGA_SUPPL",VT$3,$I$3, $N$3, , $J$3, $K$3)*1000000/_xll.ciqfunctions.udf.CIQ($B11,"IQ_EMPLOYEES",VT$3,$I$3, $N$3, , $J$3, $K$3)),"")</f>
        <v/>
      </c>
      <c r="VU11" s="92" t="str">
        <f>IFERROR(IF(OR($B11="",VU$3=""),"",_xll.ciqfunctions.udf.CIQ($B11,"IQ_RD_EXP",VU$3,$I$3, $N$3, , $J$3, $K$3)*1000000/_xll.ciqfunctions.udf.CIQ($B11,"IQ_EMPLOYEES",VU$3,$I$3, $N$3, , $J$3, $K$3)),"")</f>
        <v/>
      </c>
      <c r="VV11" s="93" t="str">
        <f>IFERROR(IF(OR($B11="",VV$3=""),"",_xll.ciqfunctions.udf.CIQ($B11,"IQ_RD_EXP",VV$3,$I$3, $N$3, , $J$3, $K$3)*1000000/_xll.ciqfunctions.udf.CIQ($B11,"IQ_EMPLOYEES",VV$3,$I$3, $N$3, , $J$3, $K$3)),"")</f>
        <v/>
      </c>
      <c r="VW11" s="93" t="str">
        <f>IFERROR(IF(OR($B11="",VW$3=""),"",_xll.ciqfunctions.udf.CIQ($B11,"IQ_RD_EXP",VW$3,$I$3, $N$3, , $J$3, $K$3)*1000000/_xll.ciqfunctions.udf.CIQ($B11,"IQ_EMPLOYEES",VW$3,$I$3, $N$3, , $J$3, $K$3)),"")</f>
        <v/>
      </c>
      <c r="VX11" s="93" t="str">
        <f>IFERROR(IF(OR($B11="",VX$3=""),"",_xll.ciqfunctions.udf.CIQ($B11,"IQ_RD_EXP",VX$3,$I$3, $N$3, , $J$3, $K$3)*1000000/_xll.ciqfunctions.udf.CIQ($B11,"IQ_EMPLOYEES",VX$3,$I$3, $N$3, , $J$3, $K$3)),"")</f>
        <v/>
      </c>
      <c r="VY11" s="93" t="str">
        <f>IFERROR(IF(OR($B11="",VY$3=""),"",_xll.ciqfunctions.udf.CIQ($B11,"IQ_RD_EXP",VY$3,$I$3, $N$3, , $J$3, $K$3)*1000000/_xll.ciqfunctions.udf.CIQ($B11,"IQ_EMPLOYEES",VY$3,$I$3, $N$3, , $J$3, $K$3)),"")</f>
        <v/>
      </c>
      <c r="VZ11" s="93" t="str">
        <f>IFERROR(IF(OR($B11="",VZ$3=""),"",_xll.ciqfunctions.udf.CIQ($B11,"IQ_RD_EXP",VZ$3,$I$3, $N$3, , $J$3, $K$3)*1000000/_xll.ciqfunctions.udf.CIQ($B11,"IQ_EMPLOYEES",VZ$3,$I$3, $N$3, , $J$3, $K$3)),"")</f>
        <v/>
      </c>
      <c r="WA11" s="93" t="str">
        <f>IFERROR(IF(OR($B11="",WA$3=""),"",_xll.ciqfunctions.udf.CIQ($B11,"IQ_RD_EXP",WA$3,$I$3, $N$3, , $J$3, $K$3)*1000000/_xll.ciqfunctions.udf.CIQ($B11,"IQ_EMPLOYEES",WA$3,$I$3, $N$3, , $J$3, $K$3)),"")</f>
        <v/>
      </c>
      <c r="WB11" s="93" t="str">
        <f>IFERROR(IF(OR($B11="",WB$3=""),"",_xll.ciqfunctions.udf.CIQ($B11,"IQ_RD_EXP",WB$3,$I$3, $N$3, , $J$3, $K$3)*1000000/_xll.ciqfunctions.udf.CIQ($B11,"IQ_EMPLOYEES",WB$3,$I$3, $N$3, , $J$3, $K$3)),"")</f>
        <v/>
      </c>
      <c r="WC11" s="93" t="str">
        <f>IFERROR(IF(OR($B11="",WC$3=""),"",_xll.ciqfunctions.udf.CIQ($B11,"IQ_RD_EXP",WC$3,$I$3, $N$3, , $J$3, $K$3)*1000000/_xll.ciqfunctions.udf.CIQ($B11,"IQ_EMPLOYEES",WC$3,$I$3, $N$3, , $J$3, $K$3)),"")</f>
        <v/>
      </c>
      <c r="WD11" s="93" t="str">
        <f>IFERROR(IF(OR($B11="",WD$3=""),"",_xll.ciqfunctions.udf.CIQ($B11,"IQ_RD_EXP",WD$3,$I$3, $N$3, , $J$3, $K$3)*1000000/_xll.ciqfunctions.udf.CIQ($B11,"IQ_EMPLOYEES",WD$3,$I$3, $N$3, , $J$3, $K$3)),"")</f>
        <v/>
      </c>
      <c r="WE11" s="93" t="str">
        <f>IFERROR(IF(OR($B11="",WE$3=""),"",_xll.ciqfunctions.udf.CIQ($B11,"IQ_RD_EXP",WE$3,$I$3, $N$3, , $J$3, $K$3)*1000000/_xll.ciqfunctions.udf.CIQ($B11,"IQ_EMPLOYEES",WE$3,$I$3, $N$3, , $J$3, $K$3)),"")</f>
        <v/>
      </c>
      <c r="WF11" s="93" t="str">
        <f>IFERROR(IF(OR($B11="",WF$3=""),"",_xll.ciqfunctions.udf.CIQ($B11,"IQ_RD_EXP",WF$3,$I$3, $N$3, , $J$3, $K$3)*1000000/_xll.ciqfunctions.udf.CIQ($B11,"IQ_EMPLOYEES",WF$3,$I$3, $N$3, , $J$3, $K$3)),"")</f>
        <v/>
      </c>
      <c r="WG11" s="93" t="str">
        <f>IFERROR(IF(OR($B11="",WG$3=""),"",_xll.ciqfunctions.udf.CIQ($B11,"IQ_RD_EXP",WG$3,$I$3, $N$3, , $J$3, $K$3)*1000000/_xll.ciqfunctions.udf.CIQ($B11,"IQ_EMPLOYEES",WG$3,$I$3, $N$3, , $J$3, $K$3)),"")</f>
        <v/>
      </c>
      <c r="WH11" s="93" t="str">
        <f>IFERROR(IF(OR($B11="",WH$3=""),"",_xll.ciqfunctions.udf.CIQ($B11,"IQ_RD_EXP",WH$3,$I$3, $N$3, , $J$3, $K$3)*1000000/_xll.ciqfunctions.udf.CIQ($B11,"IQ_EMPLOYEES",WH$3,$I$3, $N$3, , $J$3, $K$3)),"")</f>
        <v/>
      </c>
      <c r="WI11" s="93" t="str">
        <f>IFERROR(IF(OR($B11="",WI$3=""),"",_xll.ciqfunctions.udf.CIQ($B11,"IQ_RD_EXP",WI$3,$I$3, $N$3, , $J$3, $K$3)*1000000/_xll.ciqfunctions.udf.CIQ($B11,"IQ_EMPLOYEES",WI$3,$I$3, $N$3, , $J$3, $K$3)),"")</f>
        <v/>
      </c>
      <c r="WJ11" s="93" t="str">
        <f>IFERROR(IF(OR($B11="",WJ$3=""),"",_xll.ciqfunctions.udf.CIQ($B11,"IQ_RD_EXP",WJ$3,$I$3, $N$3, , $J$3, $K$3)*1000000/_xll.ciqfunctions.udf.CIQ($B11,"IQ_EMPLOYEES",WJ$3,$I$3, $N$3, , $J$3, $K$3)),"")</f>
        <v/>
      </c>
      <c r="WK11" s="93" t="str">
        <f>IFERROR(IF(OR($B11="",WK$3=""),"",_xll.ciqfunctions.udf.CIQ($B11,"IQ_RD_EXP",WK$3,$I$3, $N$3, , $J$3, $K$3)*1000000/_xll.ciqfunctions.udf.CIQ($B11,"IQ_EMPLOYEES",WK$3,$I$3, $N$3, , $J$3, $K$3)),"")</f>
        <v/>
      </c>
      <c r="WL11" s="93" t="str">
        <f>IFERROR(IF(OR($B11="",TJ$3=""),"",_xll.ciqfunctions.udf.CIQ($B11,"IQ_RD_EXP",GH$3,,,,"USD")*1000000/_xll.ciqfunctions.udf.CIQ($B11,"IQ_EMPLOYEES",WL$3,,,,"USD")),"")</f>
        <v/>
      </c>
      <c r="WM11" s="93" t="str">
        <f>IFERROR(IF(OR($B11="",TK$3=""),"",_xll.ciqfunctions.udf.CIQ($B11,"IQ_RD_EXP",GI$3,,,,"USD")*1000000/_xll.ciqfunctions.udf.CIQ($B11,"IQ_EMPLOYEES",WM$3,,,,"USD")),"")</f>
        <v/>
      </c>
      <c r="WN11" s="94" t="str">
        <f>IFERROR(IF(OR($B11="",TL$3=""),"",_xll.ciqfunctions.udf.CIQ($B11,"IQ_RD_EXP",GJ$3,,,,"USD")*1000000/_xll.ciqfunctions.udf.CIQ($B11,"IQ_EMPLOYEES",WN$3,,,,"USD")),"")</f>
        <v/>
      </c>
      <c r="WO11" s="620" t="str">
        <f>IFERROR(IF(OR($B11="",WO$4=""),"",_xll.ciqfunctions.udf.CIQ($B11,"IQ_LASTSALEPRICE",WO$4)),"")</f>
        <v/>
      </c>
      <c r="WP11" s="620" t="str">
        <f>IFERROR(IF(OR($B11="",WP$4=""),"",_xll.ciqfunctions.udf.CIQ($B11,"IQ_LASTSALEPRICE",WP$4)),"")</f>
        <v/>
      </c>
      <c r="WQ11" s="620" t="str">
        <f>IFERROR(IF(OR($B11="",WQ$4=""),"",_xll.ciqfunctions.udf.CIQ($B11,"IQ_LASTSALEPRICE",WQ$4)),"")</f>
        <v/>
      </c>
      <c r="WR11" s="620" t="str">
        <f>IFERROR(IF(OR($B11="",WR$4=""),"",_xll.ciqfunctions.udf.CIQ($B11,"IQ_LASTSALEPRICE",WR$4)),"")</f>
        <v/>
      </c>
      <c r="WS11" s="620" t="str">
        <f>IFERROR(IF(OR($B11="",WS$4=""),"",_xll.ciqfunctions.udf.CIQ($B11,"IQ_LASTSALEPRICE",WS$4)),"")</f>
        <v/>
      </c>
      <c r="WT11" s="620" t="str">
        <f>IFERROR(IF(OR($B11="",WT$4=""),"",_xll.ciqfunctions.udf.CIQ($B11,"IQ_LASTSALEPRICE",WT$4)),"")</f>
        <v/>
      </c>
      <c r="WU11" s="620" t="str">
        <f>IFERROR(IF(OR($B11="",WU$4=""),"",_xll.ciqfunctions.udf.CIQ($B11,"IQ_LASTSALEPRICE",WU$4)),"")</f>
        <v/>
      </c>
      <c r="WV11" s="620" t="str">
        <f>IFERROR(IF(OR($B11="",WV$4=""),"",_xll.ciqfunctions.udf.CIQ($B11,"IQ_LASTSALEPRICE",WV$4)),"")</f>
        <v/>
      </c>
      <c r="WW11" s="620" t="str">
        <f>IFERROR(IF(OR($B11="",WW$4=""),"",_xll.ciqfunctions.udf.CIQ($B11,"IQ_LASTSALEPRICE",WW$4)),"")</f>
        <v/>
      </c>
      <c r="WX11" s="620" t="str">
        <f>IFERROR(IF(OR($B11="",WX$4=""),"",_xll.ciqfunctions.udf.CIQ($B11,"IQ_LASTSALEPRICE",WX$4)),"")</f>
        <v/>
      </c>
      <c r="WY11" s="620" t="str">
        <f>IFERROR(IF(OR($B11="",WY$4=""),"",_xll.ciqfunctions.udf.CIQ($B11,"IQ_LASTSALEPRICE",WY$4)),"")</f>
        <v/>
      </c>
      <c r="WZ11" s="620" t="str">
        <f>IFERROR(IF(OR($B11="",WZ$4=""),"",_xll.ciqfunctions.udf.CIQ($B11,"IQ_LASTSALEPRICE",WZ$4)),"")</f>
        <v/>
      </c>
      <c r="XA11" s="620" t="str">
        <f>IFERROR(IF(OR($B11="",XA$4=""),"",_xll.ciqfunctions.udf.CIQ($B11,"IQ_LASTSALEPRICE",XA$4)),"")</f>
        <v/>
      </c>
      <c r="XB11" s="620" t="str">
        <f>IFERROR(IF(OR($B11="",XB$4=""),"",_xll.ciqfunctions.udf.CIQ($B11,"IQ_LASTSALEPRICE",XB$4)),"")</f>
        <v/>
      </c>
      <c r="XC11" s="620" t="str">
        <f>IFERROR(IF(OR($B11="",XC$4=""),"",_xll.ciqfunctions.udf.CIQ($B11,"IQ_LASTSALEPRICE",XC$4)),"")</f>
        <v/>
      </c>
      <c r="XD11" s="620" t="str">
        <f>IFERROR(IF(OR($B11="",XD$4=""),"",_xll.ciqfunctions.udf.CIQ($B11,"IQ_LASTSALEPRICE",XD$4)),"")</f>
        <v/>
      </c>
      <c r="XE11" s="620" t="str">
        <f>IFERROR(IF(OR($B11="",XE$4=""),"",_xll.ciqfunctions.udf.CIQ($B11,"IQ_LASTSALEPRICE",XE$4)),"")</f>
        <v/>
      </c>
      <c r="XF11" s="620" t="str">
        <f>IFERROR(IF(OR($B11="",XF$4=""),"",_xll.ciqfunctions.udf.CIQ($B11,"IQ_LASTSALEPRICE",XF$4)),"")</f>
        <v/>
      </c>
      <c r="XG11" s="620" t="str">
        <f>IFERROR(IF(OR($B11="",XG$4=""),"",_xll.ciqfunctions.udf.CIQ($B11,"IQ_LASTSALEPRICE",XG$4)),"")</f>
        <v/>
      </c>
      <c r="XH11" s="620" t="str">
        <f>IFERROR(IF(OR($B11="",XH$4=""),"",_xll.ciqfunctions.udf.CIQ($B11,"IQ_LASTSALEPRICE",XH$4)),"")</f>
        <v/>
      </c>
      <c r="XI11" s="72" t="str">
        <f>IFERROR(IF(OR($B11="",XI$3=""),"",_xll.ciqfunctions.udf.CIQ($B11,"IQ_TOTAL_REV_1YR_ANN_GROWTH",XI$3,$I$3, $N$3, , $J$3, $K$3)/100),"")</f>
        <v/>
      </c>
      <c r="XJ11" s="72" t="str">
        <f>IFERROR(IF(OR($B11="",XJ$3=""),"",_xll.ciqfunctions.udf.CIQ($B11,"IQ_TOTAL_REV_1YR_ANN_GROWTH",XJ$3,$I$3, $N$3, , $J$3, $K$3)/100),"")</f>
        <v/>
      </c>
      <c r="XK11" s="72" t="str">
        <f>IFERROR(IF(OR($B11="",XK$3=""),"",_xll.ciqfunctions.udf.CIQ($B11,"IQ_TOTAL_REV_1YR_ANN_GROWTH",XK$3,$I$3, $N$3, , $J$3, $K$3)/100),"")</f>
        <v/>
      </c>
      <c r="XL11" s="72" t="str">
        <f>IFERROR(IF(OR($B11="",XL$3=""),"",_xll.ciqfunctions.udf.CIQ($B11,"IQ_TOTAL_REV_1YR_ANN_GROWTH",XL$3,$I$3, $N$3, , $J$3, $K$3)/100),"")</f>
        <v/>
      </c>
      <c r="XM11" s="72" t="str">
        <f>IFERROR(IF(OR($B11="",XM$3=""),"",_xll.ciqfunctions.udf.CIQ($B11,"IQ_TOTAL_REV_1YR_ANN_GROWTH",XM$3,$I$3, $N$3, , $J$3, $K$3)/100),"")</f>
        <v/>
      </c>
      <c r="XN11" s="72" t="str">
        <f>IFERROR(IF(OR($B11="",XN$3=""),"",_xll.ciqfunctions.udf.CIQ($B11,"IQ_TOTAL_REV_1YR_ANN_GROWTH",XN$3,$I$3, $N$3, , $J$3, $K$3)/100),"")</f>
        <v/>
      </c>
      <c r="XO11" s="72" t="str">
        <f>IFERROR(IF(OR($B11="",XO$3=""),"",_xll.ciqfunctions.udf.CIQ($B11,"IQ_TOTAL_REV_1YR_ANN_GROWTH",XO$3,$I$3, $N$3, , $J$3, $K$3)/100),"")</f>
        <v/>
      </c>
      <c r="XP11" s="72" t="str">
        <f>IFERROR(IF(OR($B11="",XP$3=""),"",_xll.ciqfunctions.udf.CIQ($B11,"IQ_TOTAL_REV_1YR_ANN_GROWTH",XP$3,$I$3, $N$3, , $J$3, $K$3)/100),"")</f>
        <v/>
      </c>
      <c r="XQ11" s="72" t="str">
        <f>IFERROR(IF(OR($B11="",XQ$3=""),"",_xll.ciqfunctions.udf.CIQ($B11,"IQ_TOTAL_REV_1YR_ANN_GROWTH",XQ$3,$I$3, $N$3, , $J$3, $K$3)/100),"")</f>
        <v/>
      </c>
      <c r="XR11" s="72" t="str">
        <f>IFERROR(IF(OR($B11="",XR$3=""),"",_xll.ciqfunctions.udf.CIQ($B11,"IQ_TOTAL_REV_1YR_ANN_GROWTH",XR$3,$I$3, $N$3, , $J$3, $K$3)/100),"")</f>
        <v/>
      </c>
      <c r="XS11" s="72" t="str">
        <f>IFERROR(IF(OR($B11="",XS$3=""),"",_xll.ciqfunctions.udf.CIQ($B11,"IQ_TOTAL_REV_1YR_ANN_GROWTH",XS$3,$I$3, $N$3, , $J$3, $K$3)/100),"")</f>
        <v/>
      </c>
      <c r="XT11" s="72" t="str">
        <f>IFERROR(IF(OR($B11="",XT$3=""),"",_xll.ciqfunctions.udf.CIQ($B11,"IQ_TOTAL_REV_1YR_ANN_GROWTH",XT$3,$I$3, $N$3, , $J$3, $K$3)/100),"")</f>
        <v/>
      </c>
      <c r="XU11" s="72" t="str">
        <f>IFERROR(IF(OR($B11="",XU$3=""),"",_xll.ciqfunctions.udf.CIQ($B11,"IQ_TOTAL_REV_1YR_ANN_GROWTH",XU$3,$I$3, $N$3, , $J$3, $K$3)/100),"")</f>
        <v/>
      </c>
      <c r="XV11" s="72" t="str">
        <f>IFERROR(IF(OR($B11="",XV$3=""),"",_xll.ciqfunctions.udf.CIQ($B11,"IQ_TOTAL_REV_1YR_ANN_GROWTH",XV$3,$I$3, $N$3, , $J$3, $K$3)/100),"")</f>
        <v/>
      </c>
      <c r="XW11" s="72" t="str">
        <f>IFERROR(IF(OR($B11="",XW$3=""),"",_xll.ciqfunctions.udf.CIQ($B11,"IQ_TOTAL_REV_1YR_ANN_GROWTH",XW$3,$I$3, $N$3, , $J$3, $K$3)/100),"")</f>
        <v/>
      </c>
      <c r="XX11" s="72" t="str">
        <f>IFERROR(IF(OR($B11="",XX$3=""),"",_xll.ciqfunctions.udf.CIQ($B11,"IQ_TOTAL_REV_1YR_ANN_GROWTH",XX$3,$I$3, $N$3, , $J$3, $K$3)/100),"")</f>
        <v/>
      </c>
      <c r="XY11" s="72" t="str">
        <f>IFERROR(IF(OR($B11="",XY$3=""),"",_xll.ciqfunctions.udf.CIQ($B11,"IQ_TOTAL_REV_1YR_ANN_GROWTH",XY$3,$I$3, $N$3, , $J$3, $K$3)/100),"")</f>
        <v/>
      </c>
      <c r="XZ11" s="72" t="str">
        <f>IFERROR(IF(OR($B11="",XZ$3=""),"",_xll.ciqfunctions.udf.CIQ($B11,"IQ_TOTAL_REV_1YR_ANN_GROWTH",XZ$3,$I$3, $N$3, , $J$3, $K$3)/100),"")</f>
        <v/>
      </c>
      <c r="YA11" s="72" t="str">
        <f>IFERROR(IF(OR($B11="",YA$3=""),"",_xll.ciqfunctions.udf.CIQ($B11,"IQ_TOTAL_REV_1YR_ANN_GROWTH",YA$3,$I$3, $N$3, , $J$3, $K$3)/100),"")</f>
        <v/>
      </c>
      <c r="YB11" s="72" t="str">
        <f>IFERROR(IF(OR($B11="",YB$3=""),"",_xll.ciqfunctions.udf.CIQ($B11,"IQ_TOTAL_REV_1YR_ANN_GROWTH",YB$3,$I$3, $N$3, , $J$3, $K$3)/100),"")</f>
        <v/>
      </c>
      <c r="YC11" s="627" t="str">
        <f>IFERROR(IF(OR($B11="",YC$4=""),"",_xll.ciqfunctions.udf.CIQ($B11,"IQ_TEV",YC$4)),"")</f>
        <v/>
      </c>
      <c r="YD11" s="627" t="str">
        <f>IFERROR(IF(OR($B11="",YD$4=""),"",_xll.ciqfunctions.udf.CIQ($B11,"IQ_TEV",YD$4)),"")</f>
        <v/>
      </c>
      <c r="YE11" s="627" t="str">
        <f>IFERROR(IF(OR($B11="",YE$4=""),"",_xll.ciqfunctions.udf.CIQ($B11,"IQ_TEV",YE$4)),"")</f>
        <v/>
      </c>
      <c r="YF11" s="627" t="str">
        <f>IFERROR(IF(OR($B11="",YF$4=""),"",_xll.ciqfunctions.udf.CIQ($B11,"IQ_TEV",YF$4)),"")</f>
        <v/>
      </c>
      <c r="YG11" s="627" t="str">
        <f>IFERROR(IF(OR($B11="",YG$4=""),"",_xll.ciqfunctions.udf.CIQ($B11,"IQ_TEV",YG$4)),"")</f>
        <v/>
      </c>
      <c r="YH11" s="627" t="str">
        <f>IFERROR(IF(OR($B11="",YH$4=""),"",_xll.ciqfunctions.udf.CIQ($B11,"IQ_TEV",YH$4)),"")</f>
        <v/>
      </c>
      <c r="YI11" s="627" t="str">
        <f>IFERROR(IF(OR($B11="",YI$4=""),"",_xll.ciqfunctions.udf.CIQ($B11,"IQ_TEV",YI$4)),"")</f>
        <v/>
      </c>
      <c r="YJ11" s="627" t="str">
        <f>IFERROR(IF(OR($B11="",YJ$4=""),"",_xll.ciqfunctions.udf.CIQ($B11,"IQ_TEV",YJ$4)),"")</f>
        <v/>
      </c>
      <c r="YK11" s="627" t="str">
        <f>IFERROR(IF(OR($B11="",YK$4=""),"",_xll.ciqfunctions.udf.CIQ($B11,"IQ_TEV",YK$4)),"")</f>
        <v/>
      </c>
      <c r="YL11" s="627" t="str">
        <f>IFERROR(IF(OR($B11="",YL$4=""),"",_xll.ciqfunctions.udf.CIQ($B11,"IQ_TEV",YL$4)),"")</f>
        <v/>
      </c>
      <c r="YM11" s="627" t="str">
        <f>IFERROR(IF(OR($B11="",YM$4=""),"",_xll.ciqfunctions.udf.CIQ($B11,"IQ_TEV",YM$4)),"")</f>
        <v/>
      </c>
      <c r="YN11" s="627" t="str">
        <f>IFERROR(IF(OR($B11="",YN$4=""),"",_xll.ciqfunctions.udf.CIQ($B11,"IQ_TEV",YN$4)),"")</f>
        <v/>
      </c>
      <c r="YO11" s="627" t="str">
        <f>IFERROR(IF(OR($B11="",YO$4=""),"",_xll.ciqfunctions.udf.CIQ($B11,"IQ_TEV",YO$4)),"")</f>
        <v/>
      </c>
      <c r="YP11" s="627" t="str">
        <f>IFERROR(IF(OR($B11="",YP$4=""),"",_xll.ciqfunctions.udf.CIQ($B11,"IQ_TEV",YP$4)),"")</f>
        <v/>
      </c>
      <c r="YQ11" s="627" t="str">
        <f>IFERROR(IF(OR($B11="",YQ$4=""),"",_xll.ciqfunctions.udf.CIQ($B11,"IQ_TEV",YQ$4)),"")</f>
        <v/>
      </c>
      <c r="YR11" s="627" t="str">
        <f>IFERROR(IF(OR($B11="",YR$4=""),"",_xll.ciqfunctions.udf.CIQ($B11,"IQ_TEV",YR$4)),"")</f>
        <v/>
      </c>
      <c r="YS11" s="627" t="str">
        <f>IFERROR(IF(OR($B11="",YS$4=""),"",_xll.ciqfunctions.udf.CIQ($B11,"IQ_TEV",YS$4)),"")</f>
        <v/>
      </c>
      <c r="YT11" s="627" t="str">
        <f>IFERROR(IF(OR($B11="",YT$4=""),"",_xll.ciqfunctions.udf.CIQ($B11,"IQ_TEV",YT$4)),"")</f>
        <v/>
      </c>
      <c r="YU11" s="627" t="str">
        <f>IFERROR(IF(OR($B11="",YU$4=""),"",_xll.ciqfunctions.udf.CIQ($B11,"IQ_TEV",YU$4)),"")</f>
        <v/>
      </c>
      <c r="YV11" s="627" t="str">
        <f>IFERROR(IF(OR($B11="",YV$4=""),"",_xll.ciqfunctions.udf.CIQ($B11,"IQ_TEV",YV$4)),"")</f>
        <v/>
      </c>
      <c r="YW11" s="72" t="str">
        <f>IFERROR(IF(OR($B11="",YW$3=""),"",(_xll.ciqfunctions.udf.CIQ($B11,"IQ_LASTSALEPRICE",YW$4)/_xll.ciqfunctions.udf.CIQ($B11,"IQ_LASTSALEPRICE",YW$2)-1)+(_xll.ciqfunctions.udf.CIQ($B11, "IQ_DPS_1YR_ANN_GROWTH", "IQ_LTM", YW$4)/100)),"")</f>
        <v/>
      </c>
      <c r="YX11" s="72" t="str">
        <f>IFERROR(IF(OR($B11="",YX$3=""),"",(_xll.ciqfunctions.udf.CIQ($B11,"IQ_LASTSALEPRICE",YX$4)/_xll.ciqfunctions.udf.CIQ($B11,"IQ_LASTSALEPRICE",YX$2)-1)+(_xll.ciqfunctions.udf.CIQ($B11, "IQ_DPS_1YR_ANN_GROWTH", "IQ_LTM", YX$4)/100)),"")</f>
        <v/>
      </c>
      <c r="YY11" s="72" t="str">
        <f>IFERROR(IF(OR($B11="",YY$3=""),"",(_xll.ciqfunctions.udf.CIQ($B11,"IQ_LASTSALEPRICE",YY$4)/_xll.ciqfunctions.udf.CIQ($B11,"IQ_LASTSALEPRICE",YY$2)-1)+(_xll.ciqfunctions.udf.CIQ($B11, "IQ_DPS_1YR_ANN_GROWTH", "IQ_LTM", YY$4)/100)),"")</f>
        <v/>
      </c>
      <c r="YZ11" s="72" t="str">
        <f>IFERROR(IF(OR($B11="",YZ$3=""),"",(_xll.ciqfunctions.udf.CIQ($B11,"IQ_LASTSALEPRICE",YZ$4)/_xll.ciqfunctions.udf.CIQ($B11,"IQ_LASTSALEPRICE",YZ$2)-1)+(_xll.ciqfunctions.udf.CIQ($B11, "IQ_DPS_1YR_ANN_GROWTH", "IQ_LTM", YZ$4)/100)),"")</f>
        <v/>
      </c>
      <c r="ZA11" s="72" t="str">
        <f>IFERROR(IF(OR($B11="",ZA$3=""),"",(_xll.ciqfunctions.udf.CIQ($B11,"IQ_LASTSALEPRICE",ZA$4)/_xll.ciqfunctions.udf.CIQ($B11,"IQ_LASTSALEPRICE",ZA$2)-1)+(_xll.ciqfunctions.udf.CIQ($B11, "IQ_DPS_1YR_ANN_GROWTH", "IQ_LTM", ZA$4)/100)),"")</f>
        <v/>
      </c>
      <c r="ZB11" s="72" t="str">
        <f>IFERROR(IF(OR($B11="",ZB$3=""),"",(_xll.ciqfunctions.udf.CIQ($B11,"IQ_LASTSALEPRICE",ZB$4)/_xll.ciqfunctions.udf.CIQ($B11,"IQ_LASTSALEPRICE",ZB$2)-1)+(_xll.ciqfunctions.udf.CIQ($B11, "IQ_DPS_1YR_ANN_GROWTH", "IQ_LTM", ZB$4)/100)),"")</f>
        <v/>
      </c>
      <c r="ZC11" s="72" t="str">
        <f>IFERROR(IF(OR($B11="",ZC$3=""),"",(_xll.ciqfunctions.udf.CIQ($B11,"IQ_LASTSALEPRICE",ZC$4)/_xll.ciqfunctions.udf.CIQ($B11,"IQ_LASTSALEPRICE",ZC$2)-1)+(_xll.ciqfunctions.udf.CIQ($B11, "IQ_DPS_1YR_ANN_GROWTH", "IQ_LTM", ZC$4)/100)),"")</f>
        <v/>
      </c>
      <c r="ZD11" s="72" t="str">
        <f>IFERROR(IF(OR($B11="",ZD$3=""),"",(_xll.ciqfunctions.udf.CIQ($B11,"IQ_LASTSALEPRICE",ZD$4)/_xll.ciqfunctions.udf.CIQ($B11,"IQ_LASTSALEPRICE",ZD$2)-1)+(_xll.ciqfunctions.udf.CIQ($B11, "IQ_DPS_1YR_ANN_GROWTH", "IQ_LTM", ZD$4)/100)),"")</f>
        <v/>
      </c>
      <c r="ZE11" s="72" t="str">
        <f>IFERROR(IF(OR($B11="",ZE$3=""),"",(_xll.ciqfunctions.udf.CIQ($B11,"IQ_LASTSALEPRICE",ZE$4)/_xll.ciqfunctions.udf.CIQ($B11,"IQ_LASTSALEPRICE",ZE$2)-1)+(_xll.ciqfunctions.udf.CIQ($B11, "IQ_DPS_1YR_ANN_GROWTH", "IQ_LTM", ZE$4)/100)),"")</f>
        <v/>
      </c>
      <c r="ZF11" s="72" t="str">
        <f>IFERROR(IF(OR($B11="",ZF$3=""),"",(_xll.ciqfunctions.udf.CIQ($B11,"IQ_LASTSALEPRICE",ZF$4)/_xll.ciqfunctions.udf.CIQ($B11,"IQ_LASTSALEPRICE",ZF$2)-1)+(_xll.ciqfunctions.udf.CIQ($B11, "IQ_DPS_1YR_ANN_GROWTH", "IQ_LTM", ZF$4)/100)),"")</f>
        <v/>
      </c>
      <c r="ZG11" s="72" t="str">
        <f>IFERROR(IF(OR($B11="",ZG$3=""),"",(_xll.ciqfunctions.udf.CIQ($B11,"IQ_LASTSALEPRICE",ZG$4)/_xll.ciqfunctions.udf.CIQ($B11,"IQ_LASTSALEPRICE",ZG$2)-1)+(_xll.ciqfunctions.udf.CIQ($B11, "IQ_DPS_1YR_ANN_GROWTH", "IQ_LTM", ZG$4)/100)),"")</f>
        <v/>
      </c>
      <c r="ZH11" s="72" t="str">
        <f>IFERROR(IF(OR($B11="",ZH$3=""),"",(_xll.ciqfunctions.udf.CIQ($B11,"IQ_LASTSALEPRICE",ZH$4)/_xll.ciqfunctions.udf.CIQ($B11,"IQ_LASTSALEPRICE",ZH$2)-1)+(_xll.ciqfunctions.udf.CIQ($B11, "IQ_DPS_1YR_ANN_GROWTH", "IQ_LTM", ZH$4)/100)),"")</f>
        <v/>
      </c>
      <c r="ZI11" s="72" t="str">
        <f>IFERROR(IF(OR($B11="",ZI$3=""),"",(_xll.ciqfunctions.udf.CIQ($B11,"IQ_LASTSALEPRICE",ZI$4)/_xll.ciqfunctions.udf.CIQ($B11,"IQ_LASTSALEPRICE",ZI$2)-1)+(_xll.ciqfunctions.udf.CIQ($B11, "IQ_DPS_1YR_ANN_GROWTH", "IQ_LTM", ZI$4)/100)),"")</f>
        <v/>
      </c>
      <c r="ZJ11" s="72" t="str">
        <f>IFERROR(IF(OR($B11="",ZJ$3=""),"",(_xll.ciqfunctions.udf.CIQ($B11,"IQ_LASTSALEPRICE",ZJ$4)/_xll.ciqfunctions.udf.CIQ($B11,"IQ_LASTSALEPRICE",ZJ$2)-1)+(_xll.ciqfunctions.udf.CIQ($B11, "IQ_DPS_1YR_ANN_GROWTH", "IQ_LTM", ZJ$4)/100)),"")</f>
        <v/>
      </c>
      <c r="ZK11" s="72" t="str">
        <f>IFERROR(IF(OR($B11="",ZK$3=""),"",(_xll.ciqfunctions.udf.CIQ($B11,"IQ_LASTSALEPRICE",ZK$4)/_xll.ciqfunctions.udf.CIQ($B11,"IQ_LASTSALEPRICE",ZK$2)-1)+(_xll.ciqfunctions.udf.CIQ($B11, "IQ_DPS_1YR_ANN_GROWTH", "IQ_LTM", ZK$4)/100)),"")</f>
        <v/>
      </c>
      <c r="ZL11" s="72" t="str">
        <f>IFERROR(IF(OR($B11="",ZL$3=""),"",(_xll.ciqfunctions.udf.CIQ($B11,"IQ_LASTSALEPRICE",ZL$4)/_xll.ciqfunctions.udf.CIQ($B11,"IQ_LASTSALEPRICE",ZL$2)-1)+(_xll.ciqfunctions.udf.CIQ($B11, "IQ_DPS_1YR_ANN_GROWTH", "IQ_LTM", ZL$4)/100)),"")</f>
        <v/>
      </c>
      <c r="ZM11" s="72" t="str">
        <f>IFERROR(IF(OR($B11="",ZM$3=""),"",(_xll.ciqfunctions.udf.CIQ($B11,"IQ_LASTSALEPRICE",ZM$4)/_xll.ciqfunctions.udf.CIQ($B11,"IQ_LASTSALEPRICE",ZM$2)-1)+(_xll.ciqfunctions.udf.CIQ($B11, "IQ_DPS_1YR_ANN_GROWTH", "IQ_LTM", ZM$4)/100)),"")</f>
        <v/>
      </c>
      <c r="ZN11" s="72" t="str">
        <f>IFERROR(IF(OR($B11="",ZN$3=""),"",(_xll.ciqfunctions.udf.CIQ($B11,"IQ_LASTSALEPRICE",ZN$4)/_xll.ciqfunctions.udf.CIQ($B11,"IQ_LASTSALEPRICE",ZN$2)-1)+(_xll.ciqfunctions.udf.CIQ($B11, "IQ_DPS_1YR_ANN_GROWTH", "IQ_LTM", ZN$4)/100)),"")</f>
        <v/>
      </c>
      <c r="ZO11" s="72" t="str">
        <f>IFERROR(IF(OR($B11="",ZO$3=""),"",(_xll.ciqfunctions.udf.CIQ($B11,"IQ_LASTSALEPRICE",ZO$4)/_xll.ciqfunctions.udf.CIQ($B11,"IQ_LASTSALEPRICE",ZO$2)-1)+(_xll.ciqfunctions.udf.CIQ($B11, "IQ_DPS_1YR_ANN_GROWTH", "IQ_LTM", ZO$4)/100)),"")</f>
        <v/>
      </c>
      <c r="ZP11" s="72" t="str">
        <f>IFERROR(IF(OR($B11="",ZP$3=""),"",(_xll.ciqfunctions.udf.CIQ($B11,"IQ_LASTSALEPRICE",ZP$4)/_xll.ciqfunctions.udf.CIQ($B11,"IQ_LASTSALEPRICE",ZP$2)-1)+(_xll.ciqfunctions.udf.CIQ($B11, "IQ_DPS_1YR_ANN_GROWTH", "IQ_LTM", ZP$4)/100)),"")</f>
        <v/>
      </c>
      <c r="ZQ11" s="72" t="str">
        <f>IFERROR(IF(OR($B11="",ZQ$3=""),"",_xll.ciqfunctions.udf.CIQ($B11,"IQ_NI",$O$3,ZQ$3, $N$3, , $J$3, $K$3)*2/(_xll.ciqfunctions.udf.CIQ($B11,"IQ_TOTAL_CAP",ZQ$3,$I$3, $N$3, , $J$3, $K$3)+_xll.ciqfunctions.udf.CIQ($B11,"IQ_TOTAL_CAP","IQ_" &amp; LEFT(ZQ$3,2) &amp; "-1", ZQ$3, $N$3, , $J$3, $K$3))),"")</f>
        <v/>
      </c>
      <c r="ZR11" s="72" t="str">
        <f>IFERROR(IF(OR($B11="",ZR$3=""),"",_xll.ciqfunctions.udf.CIQ($B11,"IQ_NI",$O$3,ZR$3, $N$3, , $J$3, $K$3)*2/(_xll.ciqfunctions.udf.CIQ($B11,"IQ_TOTAL_CAP",ZR$3,$I$3, $N$3, , $J$3, $K$3)+_xll.ciqfunctions.udf.CIQ($B11,"IQ_TOTAL_CAP","IQ_" &amp; LEFT(ZR$3,2) &amp; "-1", ZR$3, $N$3, , $J$3, $K$3))),"")</f>
        <v/>
      </c>
      <c r="ZS11" s="72" t="str">
        <f>IFERROR(IF(OR($B11="",ZS$3=""),"",_xll.ciqfunctions.udf.CIQ($B11,"IQ_NI",$O$3,ZS$3, $N$3, , $J$3, $K$3)*2/(_xll.ciqfunctions.udf.CIQ($B11,"IQ_TOTAL_CAP",ZS$3,$I$3, $N$3, , $J$3, $K$3)+_xll.ciqfunctions.udf.CIQ($B11,"IQ_TOTAL_CAP","IQ_" &amp; LEFT(ZS$3,2) &amp; "-1", ZS$3, $N$3, , $J$3, $K$3))),"")</f>
        <v/>
      </c>
      <c r="ZT11" s="72" t="str">
        <f>IFERROR(IF(OR($B11="",ZT$3=""),"",_xll.ciqfunctions.udf.CIQ($B11,"IQ_NI",$O$3,ZT$3, $N$3, , $J$3, $K$3)*2/(_xll.ciqfunctions.udf.CIQ($B11,"IQ_TOTAL_CAP",ZT$3,$I$3, $N$3, , $J$3, $K$3)+_xll.ciqfunctions.udf.CIQ($B11,"IQ_TOTAL_CAP","IQ_" &amp; LEFT(ZT$3,2) &amp; "-1", ZT$3, $N$3, , $J$3, $K$3))),"")</f>
        <v/>
      </c>
      <c r="ZU11" s="72" t="str">
        <f>IFERROR(IF(OR($B11="",ZU$3=""),"",_xll.ciqfunctions.udf.CIQ($B11,"IQ_NI",$O$3,ZU$3, $N$3, , $J$3, $K$3)*2/(_xll.ciqfunctions.udf.CIQ($B11,"IQ_TOTAL_CAP",ZU$3,$I$3, $N$3, , $J$3, $K$3)+_xll.ciqfunctions.udf.CIQ($B11,"IQ_TOTAL_CAP","IQ_" &amp; LEFT(ZU$3,2) &amp; "-1", ZU$3, $N$3, , $J$3, $K$3))),"")</f>
        <v/>
      </c>
      <c r="ZV11" s="72" t="str">
        <f>IFERROR(IF(OR($B11="",ZV$3=""),"",_xll.ciqfunctions.udf.CIQ($B11,"IQ_NI",$O$3,ZV$3, $N$3, , $J$3, $K$3)*2/(_xll.ciqfunctions.udf.CIQ($B11,"IQ_TOTAL_CAP",ZV$3,$I$3, $N$3, , $J$3, $K$3)+_xll.ciqfunctions.udf.CIQ($B11,"IQ_TOTAL_CAP","IQ_" &amp; LEFT(ZV$3,2) &amp; "-1", ZV$3, $N$3, , $J$3, $K$3))),"")</f>
        <v/>
      </c>
      <c r="ZW11" s="72" t="str">
        <f>IFERROR(IF(OR($B11="",ZW$3=""),"",_xll.ciqfunctions.udf.CIQ($B11,"IQ_NI",$O$3,ZW$3, $N$3, , $J$3, $K$3)*2/(_xll.ciqfunctions.udf.CIQ($B11,"IQ_TOTAL_CAP",ZW$3,$I$3, $N$3, , $J$3, $K$3)+_xll.ciqfunctions.udf.CIQ($B11,"IQ_TOTAL_CAP","IQ_" &amp; LEFT(ZW$3,2) &amp; "-1", ZW$3, $N$3, , $J$3, $K$3))),"")</f>
        <v/>
      </c>
      <c r="ZX11" s="72" t="str">
        <f>IFERROR(IF(OR($B11="",ZX$3=""),"",_xll.ciqfunctions.udf.CIQ($B11,"IQ_NI",$O$3,ZX$3, $N$3, , $J$3, $K$3)*2/(_xll.ciqfunctions.udf.CIQ($B11,"IQ_TOTAL_CAP",ZX$3,$I$3, $N$3, , $J$3, $K$3)+_xll.ciqfunctions.udf.CIQ($B11,"IQ_TOTAL_CAP","IQ_" &amp; LEFT(ZX$3,2) &amp; "-1", ZX$3, $N$3, , $J$3, $K$3))),"")</f>
        <v/>
      </c>
      <c r="ZY11" s="72" t="str">
        <f>IFERROR(IF(OR($B11="",ZY$3=""),"",_xll.ciqfunctions.udf.CIQ($B11,"IQ_NI",$O$3,ZY$3, $N$3, , $J$3, $K$3)*2/(_xll.ciqfunctions.udf.CIQ($B11,"IQ_TOTAL_CAP",ZY$3,$I$3, $N$3, , $J$3, $K$3)+_xll.ciqfunctions.udf.CIQ($B11,"IQ_TOTAL_CAP","IQ_" &amp; LEFT(ZY$3,2) &amp; "-1", ZY$3, $N$3, , $J$3, $K$3))),"")</f>
        <v/>
      </c>
      <c r="ZZ11" s="72" t="str">
        <f>IFERROR(IF(OR($B11="",ZZ$3=""),"",_xll.ciqfunctions.udf.CIQ($B11,"IQ_NI",$O$3,ZZ$3, $N$3, , $J$3, $K$3)*2/(_xll.ciqfunctions.udf.CIQ($B11,"IQ_TOTAL_CAP",ZZ$3,$I$3, $N$3, , $J$3, $K$3)+_xll.ciqfunctions.udf.CIQ($B11,"IQ_TOTAL_CAP","IQ_" &amp; LEFT(ZZ$3,2) &amp; "-1", ZZ$3, $N$3, , $J$3, $K$3))),"")</f>
        <v/>
      </c>
      <c r="AAA11" s="72" t="str">
        <f>IFERROR(IF(OR($B11="",AAA$3=""),"",_xll.ciqfunctions.udf.CIQ($B11,"IQ_NI",$O$3,AAA$3, $N$3, , $J$3, $K$3)*2/(_xll.ciqfunctions.udf.CIQ($B11,"IQ_TOTAL_CAP",AAA$3,$I$3, $N$3, , $J$3, $K$3)+_xll.ciqfunctions.udf.CIQ($B11,"IQ_TOTAL_CAP","IQ_" &amp; LEFT(AAA$3,2) &amp; "-1", AAA$3, $N$3, , $J$3, $K$3))),"")</f>
        <v/>
      </c>
      <c r="AAB11" s="72" t="str">
        <f>IFERROR(IF(OR($B11="",AAB$3=""),"",_xll.ciqfunctions.udf.CIQ($B11,"IQ_NI",$O$3,AAB$3, $N$3, , $J$3, $K$3)*2/(_xll.ciqfunctions.udf.CIQ($B11,"IQ_TOTAL_CAP",AAB$3,$I$3, $N$3, , $J$3, $K$3)+_xll.ciqfunctions.udf.CIQ($B11,"IQ_TOTAL_CAP","IQ_" &amp; LEFT(AAB$3,2) &amp; "-1", AAB$3, $N$3, , $J$3, $K$3))),"")</f>
        <v/>
      </c>
      <c r="AAC11" s="72" t="str">
        <f>IFERROR(IF(OR($B11="",AAC$3=""),"",_xll.ciqfunctions.udf.CIQ($B11,"IQ_NI",$O$3,AAC$3, $N$3, , $J$3, $K$3)*2/(_xll.ciqfunctions.udf.CIQ($B11,"IQ_TOTAL_CAP",AAC$3,$I$3, $N$3, , $J$3, $K$3)+_xll.ciqfunctions.udf.CIQ($B11,"IQ_TOTAL_CAP","IQ_" &amp; LEFT(AAC$3,2) &amp; "-1", AAC$3, $N$3, , $J$3, $K$3))),"")</f>
        <v/>
      </c>
      <c r="AAD11" s="72" t="str">
        <f>IFERROR(IF(OR($B11="",AAD$3=""),"",_xll.ciqfunctions.udf.CIQ($B11,"IQ_NI",$O$3,AAD$3, $N$3, , $J$3, $K$3)*2/(_xll.ciqfunctions.udf.CIQ($B11,"IQ_TOTAL_CAP",AAD$3,$I$3, $N$3, , $J$3, $K$3)+_xll.ciqfunctions.udf.CIQ($B11,"IQ_TOTAL_CAP","IQ_" &amp; LEFT(AAD$3,2) &amp; "-1", AAD$3, $N$3, , $J$3, $K$3))),"")</f>
        <v/>
      </c>
      <c r="AAE11" s="72" t="str">
        <f>IFERROR(IF(OR($B11="",AAE$3=""),"",_xll.ciqfunctions.udf.CIQ($B11,"IQ_NI",$O$3,AAE$3, $N$3, , $J$3, $K$3)*2/(_xll.ciqfunctions.udf.CIQ($B11,"IQ_TOTAL_CAP",AAE$3,$I$3, $N$3, , $J$3, $K$3)+_xll.ciqfunctions.udf.CIQ($B11,"IQ_TOTAL_CAP","IQ_" &amp; LEFT(AAE$3,2) &amp; "-1", AAE$3, $N$3, , $J$3, $K$3))),"")</f>
        <v/>
      </c>
      <c r="AAF11" s="72" t="str">
        <f>IFERROR(IF(OR($B11="",AAF$3=""),"",_xll.ciqfunctions.udf.CIQ($B11,"IQ_NI",$O$3,AAF$3, $N$3, , $J$3, $K$3)*2/(_xll.ciqfunctions.udf.CIQ($B11,"IQ_TOTAL_CAP",AAF$3,$I$3, $N$3, , $J$3, $K$3)+_xll.ciqfunctions.udf.CIQ($B11,"IQ_TOTAL_CAP","IQ_" &amp; LEFT(AAF$3,2) &amp; "-1", AAF$3, $N$3, , $J$3, $K$3))),"")</f>
        <v/>
      </c>
      <c r="AAG11" s="72" t="str">
        <f>IFERROR(IF(OR($B11="",AAG$3=""),"",_xll.ciqfunctions.udf.CIQ($B11,"IQ_NI",$O$3,AAG$3, $N$3, , $J$3, $K$3)*2/(_xll.ciqfunctions.udf.CIQ($B11,"IQ_TOTAL_CAP",AAG$3,$I$3, $N$3, , $J$3, $K$3)+_xll.ciqfunctions.udf.CIQ($B11,"IQ_TOTAL_CAP","IQ_" &amp; LEFT(AAG$3,2) &amp; "-1", AAG$3, $N$3, , $J$3, $K$3))),"")</f>
        <v/>
      </c>
      <c r="AAH11" s="72" t="str">
        <f>IFERROR(IF(OR($B11="",AAH$3=""),"",_xll.ciqfunctions.udf.CIQ($B11,"IQ_NI",$O$3,AAH$3, $N$3, , $J$3, $K$3)*2/(_xll.ciqfunctions.udf.CIQ($B11,"IQ_TOTAL_CAP",AAH$3,$I$3, $N$3, , $J$3, $K$3)+_xll.ciqfunctions.udf.CIQ($B11,"IQ_TOTAL_CAP","IQ_" &amp; LEFT(AAH$3,2) &amp; "-1", AAH$3, $N$3, , $J$3, $K$3))),"")</f>
        <v/>
      </c>
      <c r="AAI11" s="72" t="str">
        <f>IFERROR(IF(OR($B11="",AAI$3=""),"",_xll.ciqfunctions.udf.CIQ($B11,"IQ_NI",$O$3,AAI$3, $N$3, , $J$3, $K$3)*2/(_xll.ciqfunctions.udf.CIQ($B11,"IQ_TOTAL_CAP",AAI$3,$I$3, $N$3, , $J$3, $K$3)+_xll.ciqfunctions.udf.CIQ($B11,"IQ_TOTAL_CAP","IQ_" &amp; LEFT(AAI$3,2) &amp; "-1", AAI$3, $N$3, , $J$3, $K$3))),"")</f>
        <v/>
      </c>
      <c r="AAJ11" s="72" t="str">
        <f>IFERROR(IF(OR($B11="",AAJ$3=""),"",_xll.ciqfunctions.udf.CIQ($B11,"IQ_NI",$O$3,AAJ$3, $N$3, , $J$3, $K$3)*2/(_xll.ciqfunctions.udf.CIQ($B11,"IQ_TOTAL_CAP",AAJ$3,$I$3, $N$3, , $J$3, $K$3)+_xll.ciqfunctions.udf.CIQ($B11,"IQ_TOTAL_CAP","IQ_" &amp; LEFT(AAJ$3,2) &amp; "-1", AAJ$3, $N$3, , $J$3, $K$3))),"")</f>
        <v/>
      </c>
      <c r="AAK11" s="628" t="str">
        <f>IFERROR(IF(OR($B11="",AAK$4=""),"",_xll.ciqfunctions.udf.CIQ($B11,"IQ_TEV",AAK$4)/_xll.ciqfunctions.udf.CIQ($B11,"IQ_TOTAL_CAP",ZQ$3,$I$3, $N$3, , $J$3, $K$3)),"")</f>
        <v/>
      </c>
      <c r="AAL11" s="628" t="str">
        <f>IFERROR(IF(OR($B11="",AAL$4=""),"",_xll.ciqfunctions.udf.CIQ($B11,"IQ_TEV",AAL$4)/_xll.ciqfunctions.udf.CIQ($B11,"IQ_TOTAL_CAP",ZR$3,$I$3, $N$3, , $J$3, $K$3)),"")</f>
        <v/>
      </c>
      <c r="AAM11" s="628" t="str">
        <f>IFERROR(IF(OR($B11="",AAM$4=""),"",_xll.ciqfunctions.udf.CIQ($B11,"IQ_TEV",AAM$4)/_xll.ciqfunctions.udf.CIQ($B11,"IQ_TOTAL_CAP",ZS$3,$I$3, $N$3, , $J$3, $K$3)),"")</f>
        <v/>
      </c>
      <c r="AAN11" s="628" t="str">
        <f>IFERROR(IF(OR($B11="",AAN$4=""),"",_xll.ciqfunctions.udf.CIQ($B11,"IQ_TEV",AAN$4)/_xll.ciqfunctions.udf.CIQ($B11,"IQ_TOTAL_CAP",ZT$3,$I$3, $N$3, , $J$3, $K$3)),"")</f>
        <v/>
      </c>
      <c r="AAO11" s="628" t="str">
        <f>IFERROR(IF(OR($B11="",AAO$4=""),"",_xll.ciqfunctions.udf.CIQ($B11,"IQ_TEV",AAO$4)/_xll.ciqfunctions.udf.CIQ($B11,"IQ_TOTAL_CAP",ZU$3,$I$3, $N$3, , $J$3, $K$3)),"")</f>
        <v/>
      </c>
      <c r="AAP11" s="628" t="str">
        <f>IFERROR(IF(OR($B11="",AAP$4=""),"",_xll.ciqfunctions.udf.CIQ($B11,"IQ_TEV",AAP$4)/_xll.ciqfunctions.udf.CIQ($B11,"IQ_TOTAL_CAP",ZV$3,$I$3, $N$3, , $J$3, $K$3)),"")</f>
        <v/>
      </c>
      <c r="AAQ11" s="628" t="str">
        <f>IFERROR(IF(OR($B11="",AAQ$4=""),"",_xll.ciqfunctions.udf.CIQ($B11,"IQ_TEV",AAQ$4)/_xll.ciqfunctions.udf.CIQ($B11,"IQ_TOTAL_CAP",ZW$3,$I$3, $N$3, , $J$3, $K$3)),"")</f>
        <v/>
      </c>
      <c r="AAR11" s="628" t="str">
        <f>IFERROR(IF(OR($B11="",AAR$4=""),"",_xll.ciqfunctions.udf.CIQ($B11,"IQ_TEV",AAR$4)/_xll.ciqfunctions.udf.CIQ($B11,"IQ_TOTAL_CAP",ZX$3,$I$3, $N$3, , $J$3, $K$3)),"")</f>
        <v/>
      </c>
      <c r="AAS11" s="628" t="str">
        <f>IFERROR(IF(OR($B11="",AAS$4=""),"",_xll.ciqfunctions.udf.CIQ($B11,"IQ_TEV",AAS$4)/_xll.ciqfunctions.udf.CIQ($B11,"IQ_TOTAL_CAP",ZY$3,$I$3, $N$3, , $J$3, $K$3)),"")</f>
        <v/>
      </c>
      <c r="AAT11" s="628" t="str">
        <f>IFERROR(IF(OR($B11="",AAT$4=""),"",_xll.ciqfunctions.udf.CIQ($B11,"IQ_TEV",AAT$4)/_xll.ciqfunctions.udf.CIQ($B11,"IQ_TOTAL_CAP",ZZ$3,$I$3, $N$3, , $J$3, $K$3)),"")</f>
        <v/>
      </c>
      <c r="AAU11" s="628" t="str">
        <f>IFERROR(IF(OR($B11="",AAU$4=""),"",_xll.ciqfunctions.udf.CIQ($B11,"IQ_TEV",AAU$4)/_xll.ciqfunctions.udf.CIQ($B11,"IQ_TOTAL_CAP",AAA$3,$I$3, $N$3, , $J$3, $K$3)),"")</f>
        <v/>
      </c>
      <c r="AAV11" s="628" t="str">
        <f>IFERROR(IF(OR($B11="",AAV$4=""),"",_xll.ciqfunctions.udf.CIQ($B11,"IQ_TEV",AAV$4)/_xll.ciqfunctions.udf.CIQ($B11,"IQ_TOTAL_CAP",AAB$3,$I$3, $N$3, , $J$3, $K$3)),"")</f>
        <v/>
      </c>
      <c r="AAW11" s="628" t="str">
        <f>IFERROR(IF(OR($B11="",AAW$4=""),"",_xll.ciqfunctions.udf.CIQ($B11,"IQ_TEV",AAW$4)/_xll.ciqfunctions.udf.CIQ($B11,"IQ_TOTAL_CAP",AAC$3,$I$3, $N$3, , $J$3, $K$3)),"")</f>
        <v/>
      </c>
      <c r="AAX11" s="628" t="str">
        <f>IFERROR(IF(OR($B11="",AAX$4=""),"",_xll.ciqfunctions.udf.CIQ($B11,"IQ_TEV",AAX$4)/_xll.ciqfunctions.udf.CIQ($B11,"IQ_TOTAL_CAP",AAD$3,$I$3, $N$3, , $J$3, $K$3)),"")</f>
        <v/>
      </c>
      <c r="AAY11" s="628" t="str">
        <f>IFERROR(IF(OR($B11="",AAY$4=""),"",_xll.ciqfunctions.udf.CIQ($B11,"IQ_TEV",AAY$4)/_xll.ciqfunctions.udf.CIQ($B11,"IQ_TOTAL_CAP",AAE$3,$I$3, $N$3, , $J$3, $K$3)),"")</f>
        <v/>
      </c>
      <c r="AAZ11" s="628" t="str">
        <f>IFERROR(IF(OR($B11="",AAZ$4=""),"",_xll.ciqfunctions.udf.CIQ($B11,"IQ_TEV",AAZ$4)/_xll.ciqfunctions.udf.CIQ($B11,"IQ_TOTAL_CAP",AAF$3,$I$3, $N$3, , $J$3, $K$3)),"")</f>
        <v/>
      </c>
      <c r="ABA11" s="628" t="str">
        <f>IFERROR(IF(OR($B11="",ABA$4=""),"",_xll.ciqfunctions.udf.CIQ($B11,"IQ_TEV",ABA$4)/_xll.ciqfunctions.udf.CIQ($B11,"IQ_TOTAL_CAP",AAG$3,$I$3, $N$3, , $J$3, $K$3)),"")</f>
        <v/>
      </c>
      <c r="ABB11" s="628" t="str">
        <f>IFERROR(IF(OR($B11="",ABB$4=""),"",_xll.ciqfunctions.udf.CIQ($B11,"IQ_TEV",ABB$4)/_xll.ciqfunctions.udf.CIQ($B11,"IQ_TOTAL_CAP",AAH$3,$I$3, $N$3, , $J$3, $K$3)),"")</f>
        <v/>
      </c>
      <c r="ABC11" s="628" t="str">
        <f>IFERROR(IF(OR($B11="",ABC$4=""),"",_xll.ciqfunctions.udf.CIQ($B11,"IQ_TEV",ABC$4)/_xll.ciqfunctions.udf.CIQ($B11,"IQ_TOTAL_CAP",AAI$3,$I$3, $N$3, , $J$3, $K$3)),"")</f>
        <v/>
      </c>
      <c r="ABD11" s="628" t="str">
        <f>IFERROR(IF(OR($B11="",ABD$4=""),"",_xll.ciqfunctions.udf.CIQ($B11,"IQ_TEV",ABD$4)/_xll.ciqfunctions.udf.CIQ($B11,"IQ_TOTAL_CAP",AAJ$3,$I$3, $N$3, , $J$3, $K$3)),"")</f>
        <v/>
      </c>
      <c r="ABE11" s="72" t="str">
        <f t="shared" si="363"/>
        <v/>
      </c>
      <c r="ABF11" s="72" t="str">
        <f t="shared" si="364"/>
        <v/>
      </c>
      <c r="ABG11" s="72" t="str">
        <f t="shared" si="365"/>
        <v/>
      </c>
      <c r="ABH11" s="72" t="str">
        <f t="shared" si="366"/>
        <v/>
      </c>
      <c r="ABI11" s="72" t="str">
        <f t="shared" si="367"/>
        <v/>
      </c>
      <c r="ABJ11" s="72" t="str">
        <f t="shared" si="368"/>
        <v/>
      </c>
      <c r="ABK11" s="72" t="str">
        <f t="shared" si="369"/>
        <v/>
      </c>
      <c r="ABL11" s="72" t="str">
        <f t="shared" si="370"/>
        <v/>
      </c>
      <c r="ABM11" s="72" t="str">
        <f t="shared" si="371"/>
        <v/>
      </c>
      <c r="ABN11" s="72" t="str">
        <f t="shared" si="372"/>
        <v/>
      </c>
      <c r="ABO11" s="72" t="str">
        <f t="shared" si="373"/>
        <v/>
      </c>
      <c r="ABP11" s="72" t="str">
        <f t="shared" si="374"/>
        <v/>
      </c>
      <c r="ABQ11" s="72" t="str">
        <f t="shared" si="375"/>
        <v/>
      </c>
      <c r="ABR11" s="72" t="str">
        <f t="shared" si="376"/>
        <v/>
      </c>
      <c r="ABS11" s="72" t="str">
        <f t="shared" si="377"/>
        <v/>
      </c>
      <c r="ABT11" s="72" t="str">
        <f t="shared" si="378"/>
        <v/>
      </c>
      <c r="ABU11" s="72" t="str">
        <f t="shared" si="379"/>
        <v/>
      </c>
      <c r="ABV11" s="72" t="str">
        <f t="shared" si="380"/>
        <v/>
      </c>
      <c r="ABW11" s="72" t="str">
        <f t="shared" si="381"/>
        <v/>
      </c>
      <c r="ABX11" s="72" t="str">
        <f t="shared" si="382"/>
        <v/>
      </c>
      <c r="ABY11" s="89" t="str">
        <f>IFERROR(IF(OR($B11="",ABY$3=""),"",IF(NOT(ISNUMBER(_xll.ciqfunctions.udf.CIQ($B11, "IQ_FIXED_ASSET_TURNS", ABY$3, $E$3, $N$3, , $J$3, $K$3))),"",_xll.ciqfunctions.udf.CIQ($B11, "IQ_FIXED_ASSET_TURNS", ABY$3, $E$3, $N$3, , $J$3, $K$3))),"")</f>
        <v/>
      </c>
      <c r="ABZ11" s="90" t="str">
        <f>IFERROR(IF(OR($B11="",ABZ$3=""),"",IF(NOT(ISNUMBER(_xll.ciqfunctions.udf.CIQ($B11, "IQ_FIXED_ASSET_TURNS", ABZ$3, $E$3, $N$3, , $J$3, $K$3))),"",_xll.ciqfunctions.udf.CIQ($B11, "IQ_FIXED_ASSET_TURNS", ABZ$3, $E$3, $N$3, , $J$3, $K$3))),"")</f>
        <v/>
      </c>
      <c r="ACA11" s="90" t="str">
        <f>IFERROR(IF(OR($B11="",ACA$3=""),"",IF(NOT(ISNUMBER(_xll.ciqfunctions.udf.CIQ($B11, "IQ_FIXED_ASSET_TURNS", ACA$3, $E$3, $N$3, , $J$3, $K$3))),"",_xll.ciqfunctions.udf.CIQ($B11, "IQ_FIXED_ASSET_TURNS", ACA$3, $E$3, $N$3, , $J$3, $K$3))),"")</f>
        <v/>
      </c>
      <c r="ACB11" s="90" t="str">
        <f>IFERROR(IF(OR($B11="",ACB$3=""),"",IF(NOT(ISNUMBER(_xll.ciqfunctions.udf.CIQ($B11, "IQ_FIXED_ASSET_TURNS", ACB$3, $E$3, $N$3, , $J$3, $K$3))),"",_xll.ciqfunctions.udf.CIQ($B11, "IQ_FIXED_ASSET_TURNS", ACB$3, $E$3, $N$3, , $J$3, $K$3))),"")</f>
        <v/>
      </c>
      <c r="ACC11" s="90" t="str">
        <f>IFERROR(IF(OR($B11="",ACC$3=""),"",IF(NOT(ISNUMBER(_xll.ciqfunctions.udf.CIQ($B11, "IQ_FIXED_ASSET_TURNS", ACC$3, $E$3, $N$3, , $J$3, $K$3))),"",_xll.ciqfunctions.udf.CIQ($B11, "IQ_FIXED_ASSET_TURNS", ACC$3, $E$3, $N$3, , $J$3, $K$3))),"")</f>
        <v/>
      </c>
      <c r="ACD11" s="90" t="str">
        <f>IFERROR(IF(OR($B11="",ACD$3=""),"",IF(NOT(ISNUMBER(_xll.ciqfunctions.udf.CIQ($B11, "IQ_FIXED_ASSET_TURNS", ACD$3, $E$3, $N$3, , $J$3, $K$3))),"",_xll.ciqfunctions.udf.CIQ($B11, "IQ_FIXED_ASSET_TURNS", ACD$3, $E$3, $N$3, , $J$3, $K$3))),"")</f>
        <v/>
      </c>
      <c r="ACE11" s="90" t="str">
        <f>IFERROR(IF(OR($B11="",ACE$3=""),"",IF(NOT(ISNUMBER(_xll.ciqfunctions.udf.CIQ($B11, "IQ_FIXED_ASSET_TURNS", ACE$3, $E$3, $N$3, , $J$3, $K$3))),"",_xll.ciqfunctions.udf.CIQ($B11, "IQ_FIXED_ASSET_TURNS", ACE$3, $E$3, $N$3, , $J$3, $K$3))),"")</f>
        <v/>
      </c>
      <c r="ACF11" s="90" t="str">
        <f>IFERROR(IF(OR($B11="",ACF$3=""),"",IF(NOT(ISNUMBER(_xll.ciqfunctions.udf.CIQ($B11, "IQ_FIXED_ASSET_TURNS", ACF$3, $E$3, $N$3, , $J$3, $K$3))),"",_xll.ciqfunctions.udf.CIQ($B11, "IQ_FIXED_ASSET_TURNS", ACF$3, $E$3, $N$3, , $J$3, $K$3))),"")</f>
        <v/>
      </c>
      <c r="ACG11" s="90" t="str">
        <f>IFERROR(IF(OR($B11="",ACG$3=""),"",IF(NOT(ISNUMBER(_xll.ciqfunctions.udf.CIQ($B11, "IQ_FIXED_ASSET_TURNS", ACG$3, $E$3, $N$3, , $J$3, $K$3))),"",_xll.ciqfunctions.udf.CIQ($B11, "IQ_FIXED_ASSET_TURNS", ACG$3, $E$3, $N$3, , $J$3, $K$3))),"")</f>
        <v/>
      </c>
      <c r="ACH11" s="90" t="str">
        <f>IFERROR(IF(OR($B11="",ACH$3=""),"",IF(NOT(ISNUMBER(_xll.ciqfunctions.udf.CIQ($B11, "IQ_FIXED_ASSET_TURNS", ACH$3, $E$3, $N$3, , $J$3, $K$3))),"",_xll.ciqfunctions.udf.CIQ($B11, "IQ_FIXED_ASSET_TURNS", ACH$3, $E$3, $N$3, , $J$3, $K$3))),"")</f>
        <v/>
      </c>
      <c r="ACI11" s="90" t="str">
        <f>IFERROR(IF(OR($B11="",ACI$3=""),"",IF(NOT(ISNUMBER(_xll.ciqfunctions.udf.CIQ($B11, "IQ_FIXED_ASSET_TURNS", ACI$3, $E$3, $N$3, , $J$3, $K$3))),"",_xll.ciqfunctions.udf.CIQ($B11, "IQ_FIXED_ASSET_TURNS", ACI$3, $E$3, $N$3, , $J$3, $K$3))),"")</f>
        <v/>
      </c>
      <c r="ACJ11" s="90" t="str">
        <f>IFERROR(IF(OR($B11="",ACJ$3=""),"",IF(NOT(ISNUMBER(_xll.ciqfunctions.udf.CIQ($B11, "IQ_FIXED_ASSET_TURNS", ACJ$3, $E$3, $N$3, , $J$3, $K$3))),"",_xll.ciqfunctions.udf.CIQ($B11, "IQ_FIXED_ASSET_TURNS", ACJ$3, $E$3, $N$3, , $J$3, $K$3))),"")</f>
        <v/>
      </c>
      <c r="ACK11" s="90" t="str">
        <f>IFERROR(IF(OR($B11="",ACK$3=""),"",IF(NOT(ISNUMBER(_xll.ciqfunctions.udf.CIQ($B11, "IQ_FIXED_ASSET_TURNS", ACK$3, $E$3, $N$3, , $J$3, $K$3))),"",_xll.ciqfunctions.udf.CIQ($B11, "IQ_FIXED_ASSET_TURNS", ACK$3, $E$3, $N$3, , $J$3, $K$3))),"")</f>
        <v/>
      </c>
      <c r="ACL11" s="90" t="str">
        <f>IFERROR(IF(OR($B11="",ACL$3=""),"",IF(NOT(ISNUMBER(_xll.ciqfunctions.udf.CIQ($B11, "IQ_FIXED_ASSET_TURNS", ACL$3, $E$3, $N$3, , $J$3, $K$3))),"",_xll.ciqfunctions.udf.CIQ($B11, "IQ_FIXED_ASSET_TURNS", ACL$3, $E$3, $N$3, , $J$3, $K$3))),"")</f>
        <v/>
      </c>
      <c r="ACM11" s="90" t="str">
        <f>IFERROR(IF(OR($B11="",ACM$3=""),"",IF(NOT(ISNUMBER(_xll.ciqfunctions.udf.CIQ($B11, "IQ_FIXED_ASSET_TURNS", ACM$3, $E$3, $N$3, , $J$3, $K$3))),"",_xll.ciqfunctions.udf.CIQ($B11, "IQ_FIXED_ASSET_TURNS", ACM$3, $E$3, $N$3, , $J$3, $K$3))),"")</f>
        <v/>
      </c>
      <c r="ACN11" s="90" t="str">
        <f>IFERROR(IF(OR($B11="",ACN$3=""),"",IF(NOT(ISNUMBER(_xll.ciqfunctions.udf.CIQ($B11, "IQ_FIXED_ASSET_TURNS", ACN$3, $E$3, $N$3, , $J$3, $K$3))),"",_xll.ciqfunctions.udf.CIQ($B11, "IQ_FIXED_ASSET_TURNS", ACN$3, $E$3, $N$3, , $J$3, $K$3))),"")</f>
        <v/>
      </c>
      <c r="ACO11" s="90" t="str">
        <f>IFERROR(IF(OR($B11="",ACO$3=""),"",IF(NOT(ISNUMBER(_xll.ciqfunctions.udf.CIQ($B11, "IQ_FIXED_ASSET_TURNS", ACO$3, $E$3, $N$3, , $J$3, $K$3))),"",_xll.ciqfunctions.udf.CIQ($B11, "IQ_FIXED_ASSET_TURNS", ACO$3, $E$3, $N$3, , $J$3, $K$3))),"")</f>
        <v/>
      </c>
      <c r="ACP11" s="90" t="str">
        <f>IFERROR(IF(OR($B11="",ACP$3=""),"",IF(NOT(ISNUMBER(_xll.ciqfunctions.udf.CIQ($B11, "IQ_FIXED_ASSET_TURNS", ACP$3, $E$3, $N$3, , $J$3, $K$3))),"",_xll.ciqfunctions.udf.CIQ($B11, "IQ_FIXED_ASSET_TURNS", ACP$3, $E$3, $N$3, , $J$3, $K$3))),"")</f>
        <v/>
      </c>
      <c r="ACQ11" s="90" t="str">
        <f>IFERROR(IF(OR($B11="",ACQ$3=""),"",IF(NOT(ISNUMBER(_xll.ciqfunctions.udf.CIQ($B11, "IQ_FIXED_ASSET_TURNS", ACQ$3, $E$3, $N$3, , $J$3, $K$3))),"",_xll.ciqfunctions.udf.CIQ($B11, "IQ_FIXED_ASSET_TURNS", ACQ$3, $E$3, $N$3, , $J$3, $K$3))),"")</f>
        <v/>
      </c>
      <c r="ACR11" s="91" t="str">
        <f>IFERROR(IF(OR($B11="",ACR$3=""),"",IF(NOT(ISNUMBER(_xll.ciqfunctions.udf.CIQ($B11, "IQ_FIXED_ASSET_TURNS", ACR$3, $E$3, $N$3, , $J$3, $K$3))),"",_xll.ciqfunctions.udf.CIQ($B11, "IQ_FIXED_ASSET_TURNS", ACR$3, $E$3, $N$3, , $J$3, $K$3))),"")</f>
        <v/>
      </c>
    </row>
    <row r="12" spans="1:772" ht="15" customHeight="1" x14ac:dyDescent="0.2">
      <c r="A12" s="267" t="str">
        <f>IF(B12="","",_xll.ciqfunctions.udf.CIQ($B12,"IQ_COMPANY_NAME"))</f>
        <v/>
      </c>
      <c r="B12" s="81" t="str">
        <f>IF(Input!B24="","",Input!B24)</f>
        <v/>
      </c>
      <c r="C12" s="81">
        <f>Input!E24</f>
        <v>0</v>
      </c>
      <c r="D12" s="67" t="str">
        <f>IF(B12="","",_xll.ciqfunctions.udf.CIQ($B12,"IQ_PRIMARY_INDUSTRY"))</f>
        <v/>
      </c>
      <c r="E12" s="68" t="str">
        <f>IFERROR(IF(B12="","",IF(NOT(ISNUMBER(_xll.ciqfunctions.udf.CIQ($B12,"IQ_LASTSALEPRICE",$E$3))),"",_xll.ciqfunctions.udf.CIQ($B12,"IQ_LASTSALEPRICE",$E$3))),"")</f>
        <v/>
      </c>
      <c r="F12" s="82" t="str">
        <f>IFERROR(IF(B12="","",IF(NOT(ISNUMBER(_xll.ciqfunctions.udf.CIQ($B12,"IQ_LASTSALEPRICE",$E$4))),"",_xll.ciqfunctions.udf.CIQ($B12,"IQ_LASTSALEPRICE",$E$4))),"")</f>
        <v/>
      </c>
      <c r="G12" s="83" t="str">
        <f t="shared" si="383"/>
        <v/>
      </c>
      <c r="H12" s="83" t="str">
        <f>IFERROR(IF(B12="","",IF(NOT(ISNUMBER(_xll.ciqfunctions.udf.CIQ($B12,"IQ_TOTAL_REV_1YR_ANN_GROWTH",$O$3, $I$3, $N$3, , $J$3, $K$3))),"",_xll.ciqfunctions.udf.CIQ($B12,"IQ_TOTAL_REV_1YR_ANN_GROWTH",$O$3, $I$3, $N$3, , $J$3, $K$3))/100),"")</f>
        <v/>
      </c>
      <c r="I12" s="83" t="str">
        <f>IFERROR(IF(B12="","",IF(NOT(ISNUMBER(_xll.ciqfunctions.udf.CIQ($B12,"IQ_GROSS_MARGIN",$O$3, $I$3, $N$3, , $J$3, $K$3))),"",_xll.ciqfunctions.udf.CIQ($B12,"IQ_GROSS_MARGIN",$O$3, $I$3, $N$3, , $J$3, $K$3))/100),"")</f>
        <v/>
      </c>
      <c r="J12" s="83" t="str">
        <f>IFERROR(IF(B12="","",IF(NOT(ISNUMBER(_xll.ciqfunctions.udf.CIQ($B12,"IQ_EBITDA_MARGIN",$O$3, $I$3, $N$3, , $J$3, $K$3))),"",_xll.ciqfunctions.udf.CIQ($B12,"IQ_EBITDA_MARGIN",$O$3, $I$3, $N$3, , $J$3, $K$3))/100),"")</f>
        <v/>
      </c>
      <c r="K12" s="83" t="str">
        <f>IFERROR(IF(A12="","",IF(NOT(ISNUMBER(_xll.ciqfunctions.udf.CIQ($B12,"IQ_EBIT_MARGIN",$O$3, $I$3, $N$3, , $J$3, $K$3))),"",_xll.ciqfunctions.udf.CIQ($B12,"IQ_EBIT_MARGIN",$O$3, $I$3, $N$3, , $J$3, $K$3))/100),"")</f>
        <v/>
      </c>
      <c r="L12" s="83" t="str">
        <f>IFERROR(IF(B12="","",IF(NOT(ISNUMBER(_xll.ciqfunctions.udf.CIQ($B12,"IQ_NI_MARGIN",$O$3, $I$3, $N$3, , $J$3, $K$3))),"",_xll.ciqfunctions.udf.CIQ($B12,"IQ_NI_MARGIN",$O$3, $I$3, $N$3, , $J$3, $K$3))/100),"")</f>
        <v/>
      </c>
      <c r="M12" s="83" t="str">
        <f>IFERROR(IF($B12="","",IF(AND(N$4="Yes",NOT(ISNUMBER(_xll.ciqfunctions.udf.CIQ($B12,"IQ_COGS",$O$3, $I$3, $N$3, , $J$3, $K$3))),NOT(ISNUMBER(_xll.ciqfunctions.udf.CIQ($B12,"IQ_TOTAL_REVENUE",$O$3, $I$3, $N$3, , $J$3, $K$3)))),"",_xll.ciqfunctions.udf.CIQ($B12,"IQ_COGS",$O$3, $I$3, $N$3, , $J$3, $K$3)/_xll.ciqfunctions.udf.CIQ($B12,"IQ_TOTAL_REVENUE",$O$3, $I$3, $N$3, , $J$3, $K$3))),"")</f>
        <v/>
      </c>
      <c r="N12" s="83" t="str">
        <f>IFERROR(IF($B12="","",(IF(NOT(ISNUMBER(_xll.ciqfunctions.udf.CIQ($B12,"IQ_TOTAL_REVENUE",$O$3, $I$3, $N$3, , $J$3, $K$3))),"",_xll.ciqfunctions.udf.CIQ($B12,"IQ_TOTAL_REVENUE",$O$3, $I$3, $N$3, , $J$3, $K$3))-IF(NOT(ISNUMBER(_xll.ciqfunctions.udf.CIQ($B12,"IQ_COGS",$O$3, $I$3, $N$3, , $J$3, $K$3))),"",_xll.ciqfunctions.udf.CIQ($B12,"IQ_COGS",$O$3, $I$3, $N$3, , $J$3, $K$3))-IF(NOT(ISNUMBER(_xll.ciqfunctions.udf.CIQ($B12,"IQ_EBITDA",$O$3, $I$3, $N$3, , $J$3, $K$3))),"",_xll.ciqfunctions.udf.CIQ($B12,"IQ_EBITDA",$O$3, $I$3, $N$3, , $J$3, $K$3)))/IF(NOT(ISNUMBER(_xll.ciqfunctions.udf.CIQ($B12,"IQ_TOTAL_REVENUE",$O$3, $I$3, $N$3, , $J$3, $K$3))),"",_xll.ciqfunctions.udf.CIQ($B12,"IQ_TOTAL_REVENUE",$O$3, $I$3, $N$3, , $J$3, $K$3))),"")</f>
        <v/>
      </c>
      <c r="O12" s="83" t="str">
        <f>IFERROR(IF($B12="","",IF(AND(P$4="Yes",NOT(ISNUMBER(_xll.ciqfunctions.udf.CIQ($B12,"IQ_SGA_MARGIN",$O$3, $I$3, $N$3, , $J$3, $K$3)))),"",_xll.ciqfunctions.udf.CIQ($B12,"IQ_SGA_MARGIN",$O$3, $I$3, $N$3, , $J$3, $K$3)/100)),"")</f>
        <v/>
      </c>
      <c r="P12" s="83" t="str">
        <f>IFERROR(IF($B12="","",IF(AND(Q$4="No",OR(NOT(ISNUMBER(_xll.ciqfunctions.udf.CIQ($B12, "IQ_RD_EXP",$O$3, $I$3, $N$3, , $J$3, $K$3))),_xll.ciqfunctions.udf.CIQ($B12, "IQ_RD_EXP",$O$3, $I$3, $N$3, , $J$3, $K$3)&lt;0,NOT(ISNUMBER(_xll.ciqfunctions.udf.CIQ($B12,"IQ_TOTAL_REV",$O$3, $I$3, $N$3, , $J$3, $K$3))))),"",_xll.ciqfunctions.udf.CIQ($B12, "IQ_RD_EXP",$O$3, $I$3, $N$3, , $J$3, $K$3)/_xll.ciqfunctions.udf.CIQ($B12,"IQ_TOTAL_REV",$O$3, $I$3, $N$3, , $J$3, $K$3))),"")</f>
        <v/>
      </c>
      <c r="Q12" s="84" t="str">
        <f>IFERROR(IF($B12="","",IF(AND(R$4="No",OR(NOT(ISNUMBER(_xll.ciqfunctions.udf.CIQ($B12,"IQ_AR",$O$3, $I$3, $N$3, , $J$3, $K$3,,,,"USD"))),_xll.ciqfunctions.udf.CIQ($B12,"IQ_AR",$O$3, $I$3, $N$3, , $J$3, $K$3,,,,"USD")&lt;0,NOT(ISNUMBER(_xll.ciqfunctions.udf.CIQ($B12,"IQ_REVENUE",$O$3, $I$3, $N$3, , $J$3, $K$3))))),"",0.5*(_xll.ciqfunctions.udf.CIQ($B12,"IQ_AR",$O$3, $I$3, $N$3, , $J$3, $K$3)+_xll.ciqfunctions.udf.CIQ($B12,"IQ_AR",$O$3&amp;"-4", $I$3, $N$3, , $J$3, $K$3))/_xll.ciqfunctions.udf.CIQ($B12,"IQ_REVENUE",$O$3, $I$3, $N$3, , $J$3, $K$3)*365)),"")</f>
        <v/>
      </c>
      <c r="R12" s="84" t="str">
        <f>IFERROR(IF($B12="","",IF(AND(S$4="No",OR(NOT(ISNUMBER(_xll.ciqfunctions.udf.CIQ($B12,"IQ_INVENTORY",$O$3, $I$3, $N$3, , $J$3, $K$3))),_xll.ciqfunctions.udf.CIQ($B12,"IQ_INVENTORY",$O$3, $I$3, $N$3, , $J$3, $K$3)&lt;0,NOT(ISNUMBER(_xll.ciqfunctions.udf.CIQ($B12,"IQ_COGS",$O$3, $I$3, $N$3, , $J$3, $K$3))),_xll.ciqfunctions.udf.CIQ($B12,"IQ_COGS",$O$3, $I$3, $N$3, , $J$3, $K$3)&lt;0)),"",0.5*(_xll.ciqfunctions.udf.CIQ($B12,"IQ_INVENTORY",$O$3, $I$3, $N$3, , $J$3, $K$3)+_xll.ciqfunctions.udf.CIQ($B12,"IQ_INVENTORY",$O$3&amp;"-4", $I$3, $N$3, , $J$3, $K$3))/_xll.ciqfunctions.udf.CIQ($B12,"IQ_COGS",$O$3, $I$3, $N$3, , $J$3, $K$3)*365)),"")</f>
        <v/>
      </c>
      <c r="S12" s="84" t="str">
        <f>IFERROR(IF(B12="","",IF($B12="","",IF(AND(T$4="No",OR(NOT(ISNUMBER(_xll.ciqfunctions.udf.CIQ($B12,"IQ_AP",$O$3, $I$3, $N$3, , $J$3, $K$3))),_xll.ciqfunctions.udf.CIQ($B12,"IQ_AP",$O$3, $I$3, $N$3, , $J$3, $K$3)&lt;0,NOT(ISNUMBER(_xll.ciqfunctions.udf.CIQ($B12,"IQ_COGS",$O$3, $I$3, $N$3, , $J$3, $K$3))),_xll.ciqfunctions.udf.CIQ($B12,"IQ_COGS",$O$3, $I$3, $N$3, , $J$3, $K$3)&lt;0)),"",0.5*(_xll.ciqfunctions.udf.CIQ($B12,"IQ_AP",$O$3, $I$3, $N$3, , $J$3, $K$3)+_xll.ciqfunctions.udf.CIQ($B12,"IQ_AP",$O$3&amp;"-4", $I$3, $N$3, , $J$3, $K$3))/_xll.ciqfunctions.udf.CIQ($B12,"IQ_COGS",$O$3, $I$3, $N$3, , $J$3, $K$3)*365))),"")</f>
        <v/>
      </c>
      <c r="T12" s="84" t="str">
        <f>IFERROR(IF($B12="","",(Q12+R12-S12)),"")</f>
        <v/>
      </c>
      <c r="U12" s="83" t="str">
        <f>IFERROR(IF(OR(NOT(ISNUMBER(_xll.ciqfunctions.udf.CIQ($B12,"IQ_NI",$O$3, $I$3, $N$3, , $J$3, $K$3))),NOT(ISNUMBER(_xll.ciqfunctions.udf.CIQ($B12,"IQ_TOTAL_ASSETS",$O$3, $I$3, $N$3, , $J$3, $K$3)))),"",_xll.ciqfunctions.udf.CIQ($B12,"IQ_NI",$O$3, $I$3, $N$3, , $J$3, $K$3)/(0.5*(_xll.ciqfunctions.udf.CIQ($B12,"IQ_TOTAL_ASSETS",$O$3, $I$3, $N$3, , $J$3, $K$3)+_xll.ciqfunctions.udf.CIQ($B12,"IQ_TOTAL_ASSETS",$O$3&amp;"-4", $I$3, $N$3, , $J$3, $K$3)))),"")</f>
        <v/>
      </c>
      <c r="V12" s="83" t="str">
        <f>IFERROR(_xll.ciqfunctions.udf.CIQ($B12,"IQ_NI",$O$3, $I$3, $N$3, , $J$3, $K$3)*2/(_xll.ciqfunctions.udf.CIQ($B12,"IQ_TOTAL_ASSETS",$O$3, $I$3, $N$3, , $J$3, $K$3)+_xll.ciqfunctions.udf.CIQ($B12,"IQ_TOTAL_ASSETS",$O$3 &amp; "-4", $I$3, $N$3, , $J$3, $K$3)-_xll.ciqfunctions.udf.CIQ($B12,"IQ_TOTAL_CL",$O$3, $I$3, $N$3, , $J$3, $K$3)-_xll.ciqfunctions.udf.CIQ($B12,"IQ_TOTAL_CL",$O$3 &amp; "-4", $I$3, $N$3, , $J$3, $K$3)),"")</f>
        <v/>
      </c>
      <c r="W12" s="83" t="str">
        <f>IFERROR(IF(OR(NOT(ISNUMBER(_xll.ciqfunctions.udf.CIQ($B12,"IQ_NI",$O$3, $I$3, $N$3, , $J$3, $K$3))),NOT(ISNUMBER(_xll.ciqfunctions.udf.CIQ($B12,"IQ_TOTAL_EQUITY",$O$3, $I$3, $N$3, , $J$3, $K$3)))),"",_xll.ciqfunctions.udf.CIQ($B12,"IQ_NI",$O$3, $I$3, $N$3, , $J$3, $K$3)/(0.5*(_xll.ciqfunctions.udf.CIQ($B12,"IQ_TOTAL_EQUITY",$O$3, $I$3, $N$3, , $J$3, $K$3)+_xll.ciqfunctions.udf.CIQ($B12,"IQ_TOTAL_EQUITY",$O$3&amp;"-4", $I$3, $N$3, , $J$3, $K$3)))),"")</f>
        <v/>
      </c>
      <c r="X12" s="1026" t="str">
        <f>IFERROR(IF($B12="","",IF(NOT(ISNUMBER(_xll.ciqfunctions.udf.CIQ($B12,"IQ_ASSET_TURNS",$O$3, $I$3, $N$3, , $J$3, $K$3))),"",_xll.ciqfunctions.udf.CIQ($B12,"IQ_ASSET_TURNS",$O$3, $I$3, $N$3, , $J$3, $K$3))),"")</f>
        <v/>
      </c>
      <c r="Y12" s="1026" t="str">
        <f>IFERROR(IF($B12="","",IF(NOT(ISNUMBER(_xll.ciqfunctions.udf.CIQ($B12,"IQ_FIXED_ASSET_TURNS",$O$3, $I$3, $N$3, , $J$3, $K$3))),"",_xll.ciqfunctions.udf.CIQ($B12,"IQ_FIXED_ASSET_TURNS",$O$3, $I$3, $N$3, , $J$3, $K$3))),"")</f>
        <v/>
      </c>
      <c r="Z12" s="83" t="str">
        <f>IFERROR(IF(B12="","",IF(OR(NOT(ISNUMBER(_xll.ciqfunctions.udf.CIQ($B12,"IQ_CASH_OPER",$O$3, $I$3, $N$3, , $J$3, $K$3))),NOT(ISNUMBER(_xll.ciqfunctions.udf.CIQ($B12,"IQ_TOTAL_REV",$O$3, $I$3, $N$3, , $J$3, $K$3)))),"",_xll.ciqfunctions.udf.CIQ($B12,"IQ_CASH_OPER",$O$3, $I$3, $N$3, , $J$3, $K$3)/_xll.ciqfunctions.udf.CIQ($B12,"IQ_TOTAL_REV",$O$3, $I$3, $N$3, , $J$3, $K$3))),"")</f>
        <v/>
      </c>
      <c r="AA12" s="84" t="str">
        <f>IFERROR(IF(B12="","",IF(OR(NOT(ISNUMBER(_xll.ciqfunctions.udf.CIQ($B12,"IQ_TOTAL_ASSETS",IQ_LTM, $I$3, $N$3, , $J$3, $K$3))),NOT(ISNUMBER(_xll.ciqfunctions.udf.CIQ($B12,"IQ_TOTAL_COMMON_EQUITY",IQ_LTM, $I$3, $N$3, , $J$3, $K$3)))),"",_xll.ciqfunctions.udf.CIQ($B12,"IQ_TOTAL_ASSETS",IQ_LTM, $I$3, $N$3, , $J$3, $K$3)/_xll.ciqfunctions.udf.CIQ($B12,"IQ_TOTAL_COMMON_EQUITY",IQ_LTM, $I$3, $N$3, , $J$3, $K$3))),"")</f>
        <v/>
      </c>
      <c r="AB12" s="83" t="str">
        <f>IFERROR(IF(B12="","",IF(OR(NOT(ISNUMBER(_xll.ciqfunctions.udf.CIQ($B12,"IQ_EBT",$O$3, $I$3, $N$3, , $J$3, $K$3))),NOT(ISNUMBER(_xll.ciqfunctions.udf.CIQ($B12,"IQ_TOTAL_REV",$O$3, $I$3, $N$3, , $J$3, $K$3)))),"",_xll.ciqfunctions.udf.CIQ($B12,"IQ_EBT",$O$3, $I$3, $N$3, , $J$3, $K$3)/_xll.ciqfunctions.udf.CIQ($B12,"IQ_TOTAL_REV",$O$3, $I$3, $N$3, , $J$3, $K$3))),"")</f>
        <v/>
      </c>
      <c r="AC12" s="83" t="str">
        <f>IFERROR(IF(E12="","",IF(OR(NOT(ISNUMBER(_xll.ciqfunctions.udf.CIQ($B12,"IQ_INC_TAX",$O$3, $I$3, $N$3, , $J$3, $K$3))),NOT(ISNUMBER(_xll.ciqfunctions.udf.CIQ($B12,"IQ_EBT",$O$3, $I$3, $N$3, , $J$3, $K$3))),_xll.ciqfunctions.udf.CIQ($B12,"IQ_INC_TAX",$O$3, $I$3, $N$3, , $J$3, $K$3)&lt;0),"",_xll.ciqfunctions.udf.CIQ($B12,"IQ_INC_TAX",$O$3, $I$3, $N$3, , $J$3, $K$3)/ABS(_xll.ciqfunctions.udf.CIQ($B12,"IQ_EBT",$O$3, $I$3, $N$3, , $J$3, $K$3)))),"")</f>
        <v/>
      </c>
      <c r="AD12" s="84" t="str">
        <f>IFERROR(IF(B12="","",IF(NOT(ISNUMBER(_xll.ciqfunctions.udf.CIQ($B12,"IQ_Z_SCORE",$O$3, $I$3, $N$3, , $J$3, $K$3))),"",_xll.ciqfunctions.udf.CIQ($B12,"IQ_Z_SCORE",$O$3, $I$3, $N$3, , $J$3, $K$3))),"")</f>
        <v/>
      </c>
      <c r="AE12" s="85" t="str">
        <f>IF($A12="","",IF(NOT(ISNUMBER(_xll.ciqfunctions.udf.CIQ($B12, "IQ_BETA_5YR", $E$3))),"",_xll.ciqfunctions.udf.CIQ($B12, "IQ_BETA_5YR", $E$3)))</f>
        <v/>
      </c>
      <c r="AF12" s="19"/>
      <c r="AG12" s="274" t="str">
        <f>IFERROR(IF(OR($B12="",AG$3=""),"",IF(NOT(ISNUMBER(_xll.ciqfunctions.udf.CIQ($B12, "IQ_GROSS_MARGIN", AG$3, $I$3, $N$3, , $J$3, $K$3))),"",_xll.ciqfunctions.udf.CIQ($B12, "IQ_GROSS_MARGIN", AG$3, $I$3, $N$3, , $J$3, $K$3)/100)),"")</f>
        <v/>
      </c>
      <c r="AH12" s="87" t="str">
        <f>IFERROR(IF(OR($B12="",AH$3=""),"",IF(NOT(ISNUMBER(_xll.ciqfunctions.udf.CIQ($B12, "IQ_GROSS_MARGIN", AH$3, $I$3, $N$3, , $J$3, $K$3))),"",_xll.ciqfunctions.udf.CIQ($B12, "IQ_GROSS_MARGIN", AH$3, $I$3, $N$3, , $J$3, $K$3)/100)),"")</f>
        <v/>
      </c>
      <c r="AI12" s="87" t="str">
        <f>IFERROR(IF(OR($B12="",AI$3=""),"",IF(NOT(ISNUMBER(_xll.ciqfunctions.udf.CIQ($B12, "IQ_GROSS_MARGIN", AI$3, $I$3, $N$3, , $J$3, $K$3))),"",_xll.ciqfunctions.udf.CIQ($B12, "IQ_GROSS_MARGIN", AI$3, $I$3, $N$3, , $J$3, $K$3)/100)),"")</f>
        <v/>
      </c>
      <c r="AJ12" s="87" t="str">
        <f>IFERROR(IF(OR($B12="",AJ$3=""),"",IF(NOT(ISNUMBER(_xll.ciqfunctions.udf.CIQ($B12, "IQ_GROSS_MARGIN", AJ$3, $I$3, $N$3, , $J$3, $K$3))),"",_xll.ciqfunctions.udf.CIQ($B12, "IQ_GROSS_MARGIN", AJ$3, $I$3, $N$3, , $J$3, $K$3)/100)),"")</f>
        <v/>
      </c>
      <c r="AK12" s="87" t="str">
        <f>IFERROR(IF(OR($B12="",AK$3=""),"",IF(NOT(ISNUMBER(_xll.ciqfunctions.udf.CIQ($B12, "IQ_GROSS_MARGIN", AK$3, $I$3, $N$3, , $J$3, $K$3))),"",_xll.ciqfunctions.udf.CIQ($B12, "IQ_GROSS_MARGIN", AK$3, $I$3, $N$3, , $J$3, $K$3)/100)),"")</f>
        <v/>
      </c>
      <c r="AL12" s="87" t="str">
        <f>IFERROR(IF(OR($B12="",AL$3=""),"",IF(NOT(ISNUMBER(_xll.ciqfunctions.udf.CIQ($B12, "IQ_GROSS_MARGIN", AL$3, $I$3, $N$3, , $J$3, $K$3))),"",_xll.ciqfunctions.udf.CIQ($B12, "IQ_GROSS_MARGIN", AL$3, $I$3, $N$3, , $J$3, $K$3)/100)),"")</f>
        <v/>
      </c>
      <c r="AM12" s="87" t="str">
        <f>IFERROR(IF(OR($B12="",AM$3=""),"",IF(NOT(ISNUMBER(_xll.ciqfunctions.udf.CIQ($B12, "IQ_GROSS_MARGIN", AM$3, $I$3, $N$3, , $J$3, $K$3))),"",_xll.ciqfunctions.udf.CIQ($B12, "IQ_GROSS_MARGIN", AM$3, $I$3, $N$3, , $J$3, $K$3)/100)),"")</f>
        <v/>
      </c>
      <c r="AN12" s="87" t="str">
        <f>IFERROR(IF(OR($B12="",AN$3=""),"",IF(NOT(ISNUMBER(_xll.ciqfunctions.udf.CIQ($B12, "IQ_GROSS_MARGIN", AN$3, $I$3, $N$3, , $J$3, $K$3))),"",_xll.ciqfunctions.udf.CIQ($B12, "IQ_GROSS_MARGIN", AN$3, $I$3, $N$3, , $J$3, $K$3)/100)),"")</f>
        <v/>
      </c>
      <c r="AO12" s="87" t="str">
        <f>IFERROR(IF(OR($B12="",AO$3=""),"",IF(NOT(ISNUMBER(_xll.ciqfunctions.udf.CIQ($B12, "IQ_GROSS_MARGIN", AO$3, $I$3, $N$3, , $J$3, $K$3))),"",_xll.ciqfunctions.udf.CIQ($B12, "IQ_GROSS_MARGIN", AO$3, $I$3, $N$3, , $J$3, $K$3)/100)),"")</f>
        <v/>
      </c>
      <c r="AP12" s="87" t="str">
        <f>IFERROR(IF(OR($B12="",AP$3=""),"",IF(NOT(ISNUMBER(_xll.ciqfunctions.udf.CIQ($B12, "IQ_GROSS_MARGIN", AP$3, $I$3, $N$3, , $J$3, $K$3))),"",_xll.ciqfunctions.udf.CIQ($B12, "IQ_GROSS_MARGIN", AP$3, $I$3, $N$3, , $J$3, $K$3)/100)),"")</f>
        <v/>
      </c>
      <c r="AQ12" s="87" t="str">
        <f>IFERROR(IF(OR($B12="",AQ$3=""),"",IF(NOT(ISNUMBER(_xll.ciqfunctions.udf.CIQ($B12, "IQ_GROSS_MARGIN", AQ$3, $I$3, $N$3, , $J$3, $K$3))),"",_xll.ciqfunctions.udf.CIQ($B12, "IQ_GROSS_MARGIN", AQ$3, $I$3, $N$3, , $J$3, $K$3)/100)),"")</f>
        <v/>
      </c>
      <c r="AR12" s="87" t="str">
        <f>IFERROR(IF(OR($B12="",AR$3=""),"",IF(NOT(ISNUMBER(_xll.ciqfunctions.udf.CIQ($B12, "IQ_GROSS_MARGIN", AR$3, $I$3, $N$3, , $J$3, $K$3))),"",_xll.ciqfunctions.udf.CIQ($B12, "IQ_GROSS_MARGIN", AR$3, $I$3, $N$3, , $J$3, $K$3)/100)),"")</f>
        <v/>
      </c>
      <c r="AS12" s="87" t="str">
        <f>IFERROR(IF(OR($B12="",AS$3=""),"",IF(NOT(ISNUMBER(_xll.ciqfunctions.udf.CIQ($B12, "IQ_GROSS_MARGIN", AS$3, $I$3, $N$3, , $J$3, $K$3))),"",_xll.ciqfunctions.udf.CIQ($B12, "IQ_GROSS_MARGIN", AS$3, $I$3, $N$3, , $J$3, $K$3)/100)),"")</f>
        <v/>
      </c>
      <c r="AT12" s="87" t="str">
        <f>IFERROR(IF(OR($B12="",AT$3=""),"",IF(NOT(ISNUMBER(_xll.ciqfunctions.udf.CIQ($B12, "IQ_GROSS_MARGIN", AT$3, $I$3, $N$3, , $J$3, $K$3))),"",_xll.ciqfunctions.udf.CIQ($B12, "IQ_GROSS_MARGIN", AT$3, $I$3, $N$3, , $J$3, $K$3)/100)),"")</f>
        <v/>
      </c>
      <c r="AU12" s="87" t="str">
        <f>IFERROR(IF(OR($B12="",AU$3=""),"",IF(NOT(ISNUMBER(_xll.ciqfunctions.udf.CIQ($B12, "IQ_GROSS_MARGIN", AU$3, $I$3, $N$3, , $J$3, $K$3))),"",_xll.ciqfunctions.udf.CIQ($B12, "IQ_GROSS_MARGIN", AU$3, $I$3, $N$3, , $J$3, $K$3)/100)),"")</f>
        <v/>
      </c>
      <c r="AV12" s="87" t="str">
        <f>IFERROR(IF(OR($B12="",AV$3=""),"",IF(NOT(ISNUMBER(_xll.ciqfunctions.udf.CIQ($B12, "IQ_GROSS_MARGIN", AV$3, $I$3, $N$3, , $J$3, $K$3))),"",_xll.ciqfunctions.udf.CIQ($B12, "IQ_GROSS_MARGIN", AV$3, $I$3, $N$3, , $J$3, $K$3)/100)),"")</f>
        <v/>
      </c>
      <c r="AW12" s="87" t="str">
        <f>IFERROR(IF(OR($B12="",AW$3=""),"",IF(NOT(ISNUMBER(_xll.ciqfunctions.udf.CIQ($B12, "IQ_GROSS_MARGIN", AW$3, $I$3, $N$3, , $J$3, $K$3))),"",_xll.ciqfunctions.udf.CIQ($B12, "IQ_GROSS_MARGIN", AW$3, $I$3, $N$3, , $J$3, $K$3)/100)),"")</f>
        <v/>
      </c>
      <c r="AX12" s="87" t="str">
        <f>IFERROR(IF(OR($B12="",AX$3=""),"",IF(NOT(ISNUMBER(_xll.ciqfunctions.udf.CIQ($B12, "IQ_GROSS_MARGIN", AX$3, $I$3, $N$3, , $J$3, $K$3))),"",_xll.ciqfunctions.udf.CIQ($B12, "IQ_GROSS_MARGIN", AX$3, $I$3, $N$3, , $J$3, $K$3)/100)),"")</f>
        <v/>
      </c>
      <c r="AY12" s="87" t="str">
        <f>IFERROR(IF(OR($B12="",AY$3=""),"",IF(NOT(ISNUMBER(_xll.ciqfunctions.udf.CIQ($B12, "IQ_GROSS_MARGIN", AY$3, $I$3, $N$3, , $J$3, $K$3))),"",_xll.ciqfunctions.udf.CIQ($B12, "IQ_GROSS_MARGIN", AY$3, $I$3, $N$3, , $J$3, $K$3)/100)),"")</f>
        <v/>
      </c>
      <c r="AZ12" s="88" t="str">
        <f>IFERROR(IF(OR($B12="",AZ$3=""),"",IF(NOT(ISNUMBER(_xll.ciqfunctions.udf.CIQ($B12, "IQ_GROSS_MARGIN", AZ$3, $I$3, $N$3, , $J$3, $K$3))),"",_xll.ciqfunctions.udf.CIQ($B12, "IQ_GROSS_MARGIN", AZ$3, $I$3, $N$3, , $J$3, $K$3)/100)),"")</f>
        <v/>
      </c>
      <c r="BA12" s="73" t="str">
        <f>IFERROR(IF(OR($B12="",BA$3=""),"",IF(NOT(ISNUMBER(_xll.ciqfunctions.udf.CIQ($B12, "IQ_EBITDA_MARGIN", BA$3, $I$3, $N$3, , $J$3, $K$3))),"",_xll.ciqfunctions.udf.CIQ($B12, "IQ_EBITDA_MARGIN", BA$3, $I$3, $N$3, , $J$3, $K$3)/100)),"")</f>
        <v/>
      </c>
      <c r="BB12" s="73" t="str">
        <f>IFERROR(IF(OR($B12="",BB$3=""),"",IF(NOT(ISNUMBER(_xll.ciqfunctions.udf.CIQ($B12, "IQ_EBITDA_MARGIN", BB$3, $I$3, $N$3, , $J$3, $K$3))),"",_xll.ciqfunctions.udf.CIQ($B12, "IQ_EBITDA_MARGIN", BB$3, $I$3, $N$3, , $J$3, $K$3)/100)),"")</f>
        <v/>
      </c>
      <c r="BC12" s="73" t="str">
        <f>IFERROR(IF(OR($B12="",BC$3=""),"",IF(NOT(ISNUMBER(_xll.ciqfunctions.udf.CIQ($B12, "IQ_EBITDA_MARGIN", BC$3, $I$3, $N$3, , $J$3, $K$3))),"",_xll.ciqfunctions.udf.CIQ($B12, "IQ_EBITDA_MARGIN", BC$3, $I$3, $N$3, , $J$3, $K$3)/100)),"")</f>
        <v/>
      </c>
      <c r="BD12" s="73" t="str">
        <f>IFERROR(IF(OR($B12="",BD$3=""),"",IF(NOT(ISNUMBER(_xll.ciqfunctions.udf.CIQ($B12, "IQ_EBITDA_MARGIN", BD$3, $I$3, $N$3, , $J$3, $K$3))),"",_xll.ciqfunctions.udf.CIQ($B12, "IQ_EBITDA_MARGIN", BD$3, $I$3, $N$3, , $J$3, $K$3)/100)),"")</f>
        <v/>
      </c>
      <c r="BE12" s="73" t="str">
        <f>IFERROR(IF(OR($B12="",BE$3=""),"",IF(NOT(ISNUMBER(_xll.ciqfunctions.udf.CIQ($B12, "IQ_EBITDA_MARGIN", BE$3, $I$3, $N$3, , $J$3, $K$3))),"",_xll.ciqfunctions.udf.CIQ($B12, "IQ_EBITDA_MARGIN", BE$3, $I$3, $N$3, , $J$3, $K$3)/100)),"")</f>
        <v/>
      </c>
      <c r="BF12" s="73" t="str">
        <f>IFERROR(IF(OR($B12="",BF$3=""),"",IF(NOT(ISNUMBER(_xll.ciqfunctions.udf.CIQ($B12, "IQ_EBITDA_MARGIN", BF$3, $I$3, $N$3, , $J$3, $K$3))),"",_xll.ciqfunctions.udf.CIQ($B12, "IQ_EBITDA_MARGIN", BF$3, $I$3, $N$3, , $J$3, $K$3)/100)),"")</f>
        <v/>
      </c>
      <c r="BG12" s="73" t="str">
        <f>IFERROR(IF(OR($B12="",BG$3=""),"",IF(NOT(ISNUMBER(_xll.ciqfunctions.udf.CIQ($B12, "IQ_EBITDA_MARGIN", BG$3, $I$3, $N$3, , $J$3, $K$3))),"",_xll.ciqfunctions.udf.CIQ($B12, "IQ_EBITDA_MARGIN", BG$3, $I$3, $N$3, , $J$3, $K$3)/100)),"")</f>
        <v/>
      </c>
      <c r="BH12" s="73" t="str">
        <f>IFERROR(IF(OR($B12="",BH$3=""),"",IF(NOT(ISNUMBER(_xll.ciqfunctions.udf.CIQ($B12, "IQ_EBITDA_MARGIN", BH$3, $I$3, $N$3, , $J$3, $K$3))),"",_xll.ciqfunctions.udf.CIQ($B12, "IQ_EBITDA_MARGIN", BH$3, $I$3, $N$3, , $J$3, $K$3)/100)),"")</f>
        <v/>
      </c>
      <c r="BI12" s="73" t="str">
        <f>IFERROR(IF(OR($B12="",BI$3=""),"",IF(NOT(ISNUMBER(_xll.ciqfunctions.udf.CIQ($B12, "IQ_EBITDA_MARGIN", BI$3, $I$3, $N$3, , $J$3, $K$3))),"",_xll.ciqfunctions.udf.CIQ($B12, "IQ_EBITDA_MARGIN", BI$3, $I$3, $N$3, , $J$3, $K$3)/100)),"")</f>
        <v/>
      </c>
      <c r="BJ12" s="73" t="str">
        <f>IFERROR(IF(OR($B12="",BJ$3=""),"",IF(NOT(ISNUMBER(_xll.ciqfunctions.udf.CIQ($B12, "IQ_EBITDA_MARGIN", BJ$3, $I$3, $N$3, , $J$3, $K$3))),"",_xll.ciqfunctions.udf.CIQ($B12, "IQ_EBITDA_MARGIN", BJ$3, $I$3, $N$3, , $J$3, $K$3)/100)),"")</f>
        <v/>
      </c>
      <c r="BK12" s="73" t="str">
        <f>IFERROR(IF(OR($B12="",BK$3=""),"",IF(NOT(ISNUMBER(_xll.ciqfunctions.udf.CIQ($B12, "IQ_EBITDA_MARGIN", BK$3, $I$3, $N$3, , $J$3, $K$3))),"",_xll.ciqfunctions.udf.CIQ($B12, "IQ_EBITDA_MARGIN", BK$3, $I$3, $N$3, , $J$3, $K$3)/100)),"")</f>
        <v/>
      </c>
      <c r="BL12" s="73" t="str">
        <f>IFERROR(IF(OR($B12="",BL$3=""),"",IF(NOT(ISNUMBER(_xll.ciqfunctions.udf.CIQ($B12, "IQ_EBITDA_MARGIN", BL$3, $I$3, $N$3, , $J$3, $K$3))),"",_xll.ciqfunctions.udf.CIQ($B12, "IQ_EBITDA_MARGIN", BL$3, $I$3, $N$3, , $J$3, $K$3)/100)),"")</f>
        <v/>
      </c>
      <c r="BM12" s="73" t="str">
        <f>IFERROR(IF(OR($B12="",BM$3=""),"",IF(NOT(ISNUMBER(_xll.ciqfunctions.udf.CIQ($B12, "IQ_EBITDA_MARGIN", BM$3, $I$3, $N$3, , $J$3, $K$3))),"",_xll.ciqfunctions.udf.CIQ($B12, "IQ_EBITDA_MARGIN", BM$3, $I$3, $N$3, , $J$3, $K$3)/100)),"")</f>
        <v/>
      </c>
      <c r="BN12" s="73" t="str">
        <f>IFERROR(IF(OR($B12="",BN$3=""),"",IF(NOT(ISNUMBER(_xll.ciqfunctions.udf.CIQ($B12, "IQ_EBITDA_MARGIN", BN$3, $I$3, $N$3, , $J$3, $K$3))),"",_xll.ciqfunctions.udf.CIQ($B12, "IQ_EBITDA_MARGIN", BN$3, $I$3, $N$3, , $J$3, $K$3)/100)),"")</f>
        <v/>
      </c>
      <c r="BO12" s="73" t="str">
        <f>IFERROR(IF(OR($B12="",BO$3=""),"",IF(NOT(ISNUMBER(_xll.ciqfunctions.udf.CIQ($B12, "IQ_EBITDA_MARGIN", BO$3, $I$3, $N$3, , $J$3, $K$3))),"",_xll.ciqfunctions.udf.CIQ($B12, "IQ_EBITDA_MARGIN", BO$3, $I$3, $N$3, , $J$3, $K$3)/100)),"")</f>
        <v/>
      </c>
      <c r="BP12" s="73" t="str">
        <f>IFERROR(IF(OR($B12="",BP$3=""),"",IF(NOT(ISNUMBER(_xll.ciqfunctions.udf.CIQ($B12, "IQ_EBITDA_MARGIN", BP$3, $I$3, $N$3, , $J$3, $K$3))),"",_xll.ciqfunctions.udf.CIQ($B12, "IQ_EBITDA_MARGIN", BP$3, $I$3, $N$3, , $J$3, $K$3)/100)),"")</f>
        <v/>
      </c>
      <c r="BQ12" s="73" t="str">
        <f>IFERROR(IF(OR($B12="",BQ$3=""),"",IF(NOT(ISNUMBER(_xll.ciqfunctions.udf.CIQ($B12, "IQ_EBITDA_MARGIN", BQ$3, $I$3, $N$3, , $J$3, $K$3))),"",_xll.ciqfunctions.udf.CIQ($B12, "IQ_EBITDA_MARGIN", BQ$3, $I$3, $N$3, , $J$3, $K$3)/100)),"")</f>
        <v/>
      </c>
      <c r="BR12" s="73" t="str">
        <f>IFERROR(IF(OR($B12="",BR$3=""),"",IF(NOT(ISNUMBER(_xll.ciqfunctions.udf.CIQ($B12, "IQ_EBITDA_MARGIN", BR$3, $I$3, $N$3, , $J$3, $K$3))),"",_xll.ciqfunctions.udf.CIQ($B12, "IQ_EBITDA_MARGIN", BR$3, $I$3, $N$3, , $J$3, $K$3)/100)),"")</f>
        <v/>
      </c>
      <c r="BS12" s="73" t="str">
        <f>IFERROR(IF(OR($B12="",BS$3=""),"",IF(NOT(ISNUMBER(_xll.ciqfunctions.udf.CIQ($B12, "IQ_EBITDA_MARGIN", BS$3, $I$3, $N$3, , $J$3, $K$3))),"",_xll.ciqfunctions.udf.CIQ($B12, "IQ_EBITDA_MARGIN", BS$3, $I$3, $N$3, , $J$3, $K$3)/100)),"")</f>
        <v/>
      </c>
      <c r="BT12" s="73" t="str">
        <f>IFERROR(IF(OR($B12="",BT$3=""),"",IF(NOT(ISNUMBER(_xll.ciqfunctions.udf.CIQ($B12, "IQ_EBITDA_MARGIN", BT$3, $I$3, $N$3, , $J$3, $K$3))),"",_xll.ciqfunctions.udf.CIQ($B12, "IQ_EBITDA_MARGIN", BT$3, $I$3, $N$3, , $J$3, $K$3)/100)),"")</f>
        <v/>
      </c>
      <c r="BU12" s="86" t="str">
        <f>IFERROR(IF(OR($B12="",BU$3=""),"",IF(NOT(ISNUMBER(_xll.ciqfunctions.udf.CIQ($B12, "IQ_EBIT_MARGIN", BU$3, $I$3, $N$3, , $J$3, $K$3))),"",_xll.ciqfunctions.udf.CIQ($B12, "IQ_EBIT_MARGIN", BU$3, $I$3, $N$3, , $J$3, $K$3)/100)),"")</f>
        <v/>
      </c>
      <c r="BV12" s="87" t="str">
        <f>IFERROR(IF(OR($B12="",BV$3=""),"",IF(NOT(ISNUMBER(_xll.ciqfunctions.udf.CIQ($B12, "IQ_EBIT_MARGIN", BV$3, $I$3, $N$3, , $J$3, $K$3))),"",_xll.ciqfunctions.udf.CIQ($B12, "IQ_EBIT_MARGIN", BV$3, $I$3, $N$3, , $J$3, $K$3)/100)),"")</f>
        <v/>
      </c>
      <c r="BW12" s="87" t="str">
        <f>IFERROR(IF(OR($B12="",BW$3=""),"",IF(NOT(ISNUMBER(_xll.ciqfunctions.udf.CIQ($B12, "IQ_EBIT_MARGIN", BW$3, $I$3, $N$3, , $J$3, $K$3))),"",_xll.ciqfunctions.udf.CIQ($B12, "IQ_EBIT_MARGIN", BW$3, $I$3, $N$3, , $J$3, $K$3)/100)),"")</f>
        <v/>
      </c>
      <c r="BX12" s="87" t="str">
        <f>IFERROR(IF(OR($B12="",BX$3=""),"",IF(NOT(ISNUMBER(_xll.ciqfunctions.udf.CIQ($B12, "IQ_EBIT_MARGIN", BX$3, $I$3, $N$3, , $J$3, $K$3))),"",_xll.ciqfunctions.udf.CIQ($B12, "IQ_EBIT_MARGIN", BX$3, $I$3, $N$3, , $J$3, $K$3)/100)),"")</f>
        <v/>
      </c>
      <c r="BY12" s="87" t="str">
        <f>IFERROR(IF(OR($B12="",BY$3=""),"",IF(NOT(ISNUMBER(_xll.ciqfunctions.udf.CIQ($B12, "IQ_EBIT_MARGIN", BY$3, $I$3, $N$3, , $J$3, $K$3))),"",_xll.ciqfunctions.udf.CIQ($B12, "IQ_EBIT_MARGIN", BY$3, $I$3, $N$3, , $J$3, $K$3)/100)),"")</f>
        <v/>
      </c>
      <c r="BZ12" s="87" t="str">
        <f>IFERROR(IF(OR($B12="",BZ$3=""),"",IF(NOT(ISNUMBER(_xll.ciqfunctions.udf.CIQ($B12, "IQ_EBIT_MARGIN", BZ$3, $I$3, $N$3, , $J$3, $K$3))),"",_xll.ciqfunctions.udf.CIQ($B12, "IQ_EBIT_MARGIN", BZ$3, $I$3, $N$3, , $J$3, $K$3)/100)),"")</f>
        <v/>
      </c>
      <c r="CA12" s="87" t="str">
        <f>IFERROR(IF(OR($B12="",CA$3=""),"",IF(NOT(ISNUMBER(_xll.ciqfunctions.udf.CIQ($B12, "IQ_EBIT_MARGIN", CA$3, $I$3, $N$3, , $J$3, $K$3))),"",_xll.ciqfunctions.udf.CIQ($B12, "IQ_EBIT_MARGIN", CA$3, $I$3, $N$3, , $J$3, $K$3)/100)),"")</f>
        <v/>
      </c>
      <c r="CB12" s="87" t="str">
        <f>IFERROR(IF(OR($B12="",CB$3=""),"",IF(NOT(ISNUMBER(_xll.ciqfunctions.udf.CIQ($B12, "IQ_EBIT_MARGIN", CB$3, $I$3, $N$3, , $J$3, $K$3))),"",_xll.ciqfunctions.udf.CIQ($B12, "IQ_EBIT_MARGIN", CB$3, $I$3, $N$3, , $J$3, $K$3)/100)),"")</f>
        <v/>
      </c>
      <c r="CC12" s="87" t="str">
        <f>IFERROR(IF(OR($B12="",CC$3=""),"",IF(NOT(ISNUMBER(_xll.ciqfunctions.udf.CIQ($B12, "IQ_EBIT_MARGIN", CC$3, $I$3, $N$3, , $J$3, $K$3))),"",_xll.ciqfunctions.udf.CIQ($B12, "IQ_EBIT_MARGIN", CC$3, $I$3, $N$3, , $J$3, $K$3)/100)),"")</f>
        <v/>
      </c>
      <c r="CD12" s="87" t="str">
        <f>IFERROR(IF(OR($B12="",CD$3=""),"",IF(NOT(ISNUMBER(_xll.ciqfunctions.udf.CIQ($B12, "IQ_EBIT_MARGIN", CD$3, $I$3, $N$3, , $J$3, $K$3))),"",_xll.ciqfunctions.udf.CIQ($B12, "IQ_EBIT_MARGIN", CD$3, $I$3, $N$3, , $J$3, $K$3)/100)),"")</f>
        <v/>
      </c>
      <c r="CE12" s="87" t="str">
        <f>IFERROR(IF(OR($B12="",CE$3=""),"",IF(NOT(ISNUMBER(_xll.ciqfunctions.udf.CIQ($B12, "IQ_EBIT_MARGIN", CE$3, $I$3, $N$3, , $J$3, $K$3))),"",_xll.ciqfunctions.udf.CIQ($B12, "IQ_EBIT_MARGIN", CE$3, $I$3, $N$3, , $J$3, $K$3)/100)),"")</f>
        <v/>
      </c>
      <c r="CF12" s="87" t="str">
        <f>IFERROR(IF(OR($B12="",CF$3=""),"",IF(NOT(ISNUMBER(_xll.ciqfunctions.udf.CIQ($B12, "IQ_EBIT_MARGIN", CF$3, $I$3, $N$3, , $J$3, $K$3))),"",_xll.ciqfunctions.udf.CIQ($B12, "IQ_EBIT_MARGIN", CF$3, $I$3, $N$3, , $J$3, $K$3)/100)),"")</f>
        <v/>
      </c>
      <c r="CG12" s="87" t="str">
        <f>IFERROR(IF(OR($B12="",CG$3=""),"",IF(NOT(ISNUMBER(_xll.ciqfunctions.udf.CIQ($B12, "IQ_EBIT_MARGIN", CG$3, $I$3, $N$3, , $J$3, $K$3))),"",_xll.ciqfunctions.udf.CIQ($B12, "IQ_EBIT_MARGIN", CG$3, $I$3, $N$3, , $J$3, $K$3)/100)),"")</f>
        <v/>
      </c>
      <c r="CH12" s="87" t="str">
        <f>IFERROR(IF(OR($B12="",CH$3=""),"",IF(NOT(ISNUMBER(_xll.ciqfunctions.udf.CIQ($B12, "IQ_EBIT_MARGIN", CH$3, $I$3, $N$3, , $J$3, $K$3))),"",_xll.ciqfunctions.udf.CIQ($B12, "IQ_EBIT_MARGIN", CH$3, $I$3, $N$3, , $J$3, $K$3)/100)),"")</f>
        <v/>
      </c>
      <c r="CI12" s="87" t="str">
        <f>IFERROR(IF(OR($B12="",CI$3=""),"",IF(NOT(ISNUMBER(_xll.ciqfunctions.udf.CIQ($B12, "IQ_EBIT_MARGIN", CI$3, $I$3, $N$3, , $J$3, $K$3))),"",_xll.ciqfunctions.udf.CIQ($B12, "IQ_EBIT_MARGIN", CI$3, $I$3, $N$3, , $J$3, $K$3)/100)),"")</f>
        <v/>
      </c>
      <c r="CJ12" s="87" t="str">
        <f>IFERROR(IF(OR($B12="",CJ$3=""),"",IF(NOT(ISNUMBER(_xll.ciqfunctions.udf.CIQ($B12, "IQ_EBIT_MARGIN", CJ$3, $I$3, $N$3, , $J$3, $K$3))),"",_xll.ciqfunctions.udf.CIQ($B12, "IQ_EBIT_MARGIN", CJ$3, $I$3, $N$3, , $J$3, $K$3)/100)),"")</f>
        <v/>
      </c>
      <c r="CK12" s="87" t="str">
        <f>IFERROR(IF(OR($B12="",CK$3=""),"",IF(NOT(ISNUMBER(_xll.ciqfunctions.udf.CIQ($B12, "IQ_EBIT_MARGIN", CK$3, $I$3, $N$3, , $J$3, $K$3))),"",_xll.ciqfunctions.udf.CIQ($B12, "IQ_EBIT_MARGIN", CK$3, $I$3, $N$3, , $J$3, $K$3)/100)),"")</f>
        <v/>
      </c>
      <c r="CL12" s="87" t="str">
        <f>IFERROR(IF(OR($B12="",CL$3=""),"",IF(NOT(ISNUMBER(_xll.ciqfunctions.udf.CIQ($B12, "IQ_EBIT_MARGIN", CL$3, $I$3, $N$3, , $J$3, $K$3))),"",_xll.ciqfunctions.udf.CIQ($B12, "IQ_EBIT_MARGIN", CL$3, $I$3, $N$3, , $J$3, $K$3)/100)),"")</f>
        <v/>
      </c>
      <c r="CM12" s="87" t="str">
        <f>IFERROR(IF(OR($B12="",CM$3=""),"",IF(NOT(ISNUMBER(_xll.ciqfunctions.udf.CIQ($B12, "IQ_EBIT_MARGIN", CM$3, $I$3, $N$3, , $J$3, $K$3))),"",_xll.ciqfunctions.udf.CIQ($B12, "IQ_EBIT_MARGIN", CM$3, $I$3, $N$3, , $J$3, $K$3)/100)),"")</f>
        <v/>
      </c>
      <c r="CN12" s="88" t="str">
        <f>IFERROR(IF(OR($B12="",CN$3=""),"",IF(NOT(ISNUMBER(_xll.ciqfunctions.udf.CIQ($B12, "IQ_EBIT_MARGIN", CN$3, $I$3, $N$3, , $J$3, $K$3))),"",_xll.ciqfunctions.udf.CIQ($B12, "IQ_EBIT_MARGIN", CN$3, $I$3, $N$3, , $J$3, $K$3)/100)),"")</f>
        <v/>
      </c>
      <c r="CO12" s="86" t="str">
        <f>IFERROR(IF(OR($B12="",CO$3=""),"",IF(NOT(ISNUMBER(_xll.ciqfunctions.udf.CIQ($B12, "IQ_NI_MARGIN", CO$3, $I$3, $N$3, , $J$3, $K$3))),"",_xll.ciqfunctions.udf.CIQ($B12, "IQ_NI_MARGIN", CO$3, $I$3, $N$3, , $J$3, $K$3)/100)),"")</f>
        <v/>
      </c>
      <c r="CP12" s="87" t="str">
        <f>IFERROR(IF(OR($B12="",CP$3=""),"",IF(NOT(ISNUMBER(_xll.ciqfunctions.udf.CIQ($B12, "IQ_NI_MARGIN", CP$3, $I$3, $N$3, , $J$3, $K$3))),"",_xll.ciqfunctions.udf.CIQ($B12, "IQ_NI_MARGIN", CP$3, $I$3, $N$3, , $J$3, $K$3)/100)),"")</f>
        <v/>
      </c>
      <c r="CQ12" s="87" t="str">
        <f>IFERROR(IF(OR($B12="",CQ$3=""),"",IF(NOT(ISNUMBER(_xll.ciqfunctions.udf.CIQ($B12, "IQ_NI_MARGIN", CQ$3, $I$3, $N$3, , $J$3, $K$3))),"",_xll.ciqfunctions.udf.CIQ($B12, "IQ_NI_MARGIN", CQ$3, $I$3, $N$3, , $J$3, $K$3)/100)),"")</f>
        <v/>
      </c>
      <c r="CR12" s="87" t="str">
        <f>IFERROR(IF(OR($B12="",CR$3=""),"",IF(NOT(ISNUMBER(_xll.ciqfunctions.udf.CIQ($B12, "IQ_NI_MARGIN", CR$3, $I$3, $N$3, , $J$3, $K$3))),"",_xll.ciqfunctions.udf.CIQ($B12, "IQ_NI_MARGIN", CR$3, $I$3, $N$3, , $J$3, $K$3)/100)),"")</f>
        <v/>
      </c>
      <c r="CS12" s="87" t="str">
        <f>IFERROR(IF(OR($B12="",CS$3=""),"",IF(NOT(ISNUMBER(_xll.ciqfunctions.udf.CIQ($B12, "IQ_NI_MARGIN", CS$3, $I$3, $N$3, , $J$3, $K$3))),"",_xll.ciqfunctions.udf.CIQ($B12, "IQ_NI_MARGIN", CS$3, $I$3, $N$3, , $J$3, $K$3)/100)),"")</f>
        <v/>
      </c>
      <c r="CT12" s="87" t="str">
        <f>IFERROR(IF(OR($B12="",CT$3=""),"",IF(NOT(ISNUMBER(_xll.ciqfunctions.udf.CIQ($B12, "IQ_NI_MARGIN", CT$3, $I$3, $N$3, , $J$3, $K$3))),"",_xll.ciqfunctions.udf.CIQ($B12, "IQ_NI_MARGIN", CT$3, $I$3, $N$3, , $J$3, $K$3)/100)),"")</f>
        <v/>
      </c>
      <c r="CU12" s="87" t="str">
        <f>IFERROR(IF(OR($B12="",CU$3=""),"",IF(NOT(ISNUMBER(_xll.ciqfunctions.udf.CIQ($B12, "IQ_NI_MARGIN", CU$3, $I$3, $N$3, , $J$3, $K$3))),"",_xll.ciqfunctions.udf.CIQ($B12, "IQ_NI_MARGIN", CU$3, $I$3, $N$3, , $J$3, $K$3)/100)),"")</f>
        <v/>
      </c>
      <c r="CV12" s="87" t="str">
        <f>IFERROR(IF(OR($B12="",CV$3=""),"",IF(NOT(ISNUMBER(_xll.ciqfunctions.udf.CIQ($B12, "IQ_NI_MARGIN", CV$3, $I$3, $N$3, , $J$3, $K$3))),"",_xll.ciqfunctions.udf.CIQ($B12, "IQ_NI_MARGIN", CV$3, $I$3, $N$3, , $J$3, $K$3)/100)),"")</f>
        <v/>
      </c>
      <c r="CW12" s="87" t="str">
        <f>IFERROR(IF(OR($B12="",CW$3=""),"",IF(NOT(ISNUMBER(_xll.ciqfunctions.udf.CIQ($B12, "IQ_NI_MARGIN", CW$3, $I$3, $N$3, , $J$3, $K$3))),"",_xll.ciqfunctions.udf.CIQ($B12, "IQ_NI_MARGIN", CW$3, $I$3, $N$3, , $J$3, $K$3)/100)),"")</f>
        <v/>
      </c>
      <c r="CX12" s="87" t="str">
        <f>IFERROR(IF(OR($B12="",CX$3=""),"",IF(NOT(ISNUMBER(_xll.ciqfunctions.udf.CIQ($B12, "IQ_NI_MARGIN", CX$3, $I$3, $N$3, , $J$3, $K$3))),"",_xll.ciqfunctions.udf.CIQ($B12, "IQ_NI_MARGIN", CX$3, $I$3, $N$3, , $J$3, $K$3)/100)),"")</f>
        <v/>
      </c>
      <c r="CY12" s="87" t="str">
        <f>IFERROR(IF(OR($B12="",CY$3=""),"",IF(NOT(ISNUMBER(_xll.ciqfunctions.udf.CIQ($B12, "IQ_NI_MARGIN", CY$3, $I$3, $N$3, , $J$3, $K$3))),"",_xll.ciqfunctions.udf.CIQ($B12, "IQ_NI_MARGIN", CY$3, $I$3, $N$3, , $J$3, $K$3)/100)),"")</f>
        <v/>
      </c>
      <c r="CZ12" s="87" t="str">
        <f>IFERROR(IF(OR($B12="",CZ$3=""),"",IF(NOT(ISNUMBER(_xll.ciqfunctions.udf.CIQ($B12, "IQ_NI_MARGIN", CZ$3, $I$3, $N$3, , $J$3, $K$3))),"",_xll.ciqfunctions.udf.CIQ($B12, "IQ_NI_MARGIN", CZ$3, $I$3, $N$3, , $J$3, $K$3)/100)),"")</f>
        <v/>
      </c>
      <c r="DA12" s="87" t="str">
        <f>IFERROR(IF(OR($B12="",DA$3=""),"",IF(NOT(ISNUMBER(_xll.ciqfunctions.udf.CIQ($B12, "IQ_NI_MARGIN", DA$3, $I$3, $N$3, , $J$3, $K$3))),"",_xll.ciqfunctions.udf.CIQ($B12, "IQ_NI_MARGIN", DA$3, $I$3, $N$3, , $J$3, $K$3)/100)),"")</f>
        <v/>
      </c>
      <c r="DB12" s="87" t="str">
        <f>IFERROR(IF(OR($B12="",DB$3=""),"",IF(NOT(ISNUMBER(_xll.ciqfunctions.udf.CIQ($B12, "IQ_NI_MARGIN", DB$3, $I$3, $N$3, , $J$3, $K$3))),"",_xll.ciqfunctions.udf.CIQ($B12, "IQ_NI_MARGIN", DB$3, $I$3, $N$3, , $J$3, $K$3)/100)),"")</f>
        <v/>
      </c>
      <c r="DC12" s="87" t="str">
        <f>IFERROR(IF(OR($B12="",DC$3=""),"",IF(NOT(ISNUMBER(_xll.ciqfunctions.udf.CIQ($B12, "IQ_NI_MARGIN", DC$3, $I$3, $N$3, , $J$3, $K$3))),"",_xll.ciqfunctions.udf.CIQ($B12, "IQ_NI_MARGIN", DC$3, $I$3, $N$3, , $J$3, $K$3)/100)),"")</f>
        <v/>
      </c>
      <c r="DD12" s="87" t="str">
        <f>IFERROR(IF(OR($B12="",DD$3=""),"",IF(NOT(ISNUMBER(_xll.ciqfunctions.udf.CIQ($B12, "IQ_NI_MARGIN", DD$3, $I$3, $N$3, , $J$3, $K$3))),"",_xll.ciqfunctions.udf.CIQ($B12, "IQ_NI_MARGIN", DD$3, $I$3, $N$3, , $J$3, $K$3)/100)),"")</f>
        <v/>
      </c>
      <c r="DE12" s="87" t="str">
        <f>IFERROR(IF(OR($B12="",DE$3=""),"",IF(NOT(ISNUMBER(_xll.ciqfunctions.udf.CIQ($B12, "IQ_NI_MARGIN", DE$3, $I$3, $N$3, , $J$3, $K$3))),"",_xll.ciqfunctions.udf.CIQ($B12, "IQ_NI_MARGIN", DE$3, $I$3, $N$3, , $J$3, $K$3)/100)),"")</f>
        <v/>
      </c>
      <c r="DF12" s="87" t="str">
        <f>IFERROR(IF(OR($B12="",DF$3=""),"",IF(NOT(ISNUMBER(_xll.ciqfunctions.udf.CIQ($B12, "IQ_NI_MARGIN", DF$3, $I$3, $N$3, , $J$3, $K$3))),"",_xll.ciqfunctions.udf.CIQ($B12, "IQ_NI_MARGIN", DF$3, $I$3, $N$3, , $J$3, $K$3)/100)),"")</f>
        <v/>
      </c>
      <c r="DG12" s="87" t="str">
        <f>IFERROR(IF(OR($B12="",DG$3=""),"",IF(NOT(ISNUMBER(_xll.ciqfunctions.udf.CIQ($B12, "IQ_NI_MARGIN", DG$3, $I$3, $N$3, , $J$3, $K$3))),"",_xll.ciqfunctions.udf.CIQ($B12, "IQ_NI_MARGIN", DG$3, $I$3, $N$3, , $J$3, $K$3)/100)),"")</f>
        <v/>
      </c>
      <c r="DH12" s="88" t="str">
        <f>IFERROR(IF(OR($B12="",DH$3=""),"",IF(NOT(ISNUMBER(_xll.ciqfunctions.udf.CIQ($B12, "IQ_NI_MARGIN", DH$3, $I$3, $N$3, , $J$3, $K$3))),"",_xll.ciqfunctions.udf.CIQ($B12, "IQ_NI_MARGIN", DH$3, $I$3, $N$3, , $J$3, $K$3)/100)),"")</f>
        <v/>
      </c>
      <c r="DI12" s="86" t="str">
        <f>IFERROR(IF(OR($B12="",DI$3=""),"",IF(OR(NOT(ISNUMBER(_xll.ciqfunctions.udf.CIQ($B12, "IQ_COGS", DI$3, $I$3, $N$3, , $J$3, $K$3))),NOT(ISNUMBER(_xll.ciqfunctions.udf.CIQ($B12, "IQ_TOTAL_REVENUE", DI$3, $I$3, $N$3, , $J$3, $K$3)))),"",_xll.ciqfunctions.udf.CIQ($B12, "IQ_COGS", DI$3, $I$3, $N$3, , $J$3, $K$3)/_xll.ciqfunctions.udf.CIQ($B12, "IQ_TOTAL_REVENUE", DI$3, $I$3, $N$3, , $J$3, $K$3))),"")</f>
        <v/>
      </c>
      <c r="DJ12" s="87" t="str">
        <f>IFERROR(IF(OR($B12="",DJ$3=""),"",IF(OR(NOT(ISNUMBER(_xll.ciqfunctions.udf.CIQ($B12, "IQ_COGS", DJ$3, $I$3, $N$3, , $J$3, $K$3))),NOT(ISNUMBER(_xll.ciqfunctions.udf.CIQ($B12, "IQ_TOTAL_REVENUE", DJ$3, $I$3, $N$3, , $J$3, $K$3)))),"",_xll.ciqfunctions.udf.CIQ($B12, "IQ_COGS", DJ$3, $I$3, $N$3, , $J$3, $K$3)/_xll.ciqfunctions.udf.CIQ($B12, "IQ_TOTAL_REVENUE", DJ$3, $I$3, $N$3, , $J$3, $K$3))),"")</f>
        <v/>
      </c>
      <c r="DK12" s="87" t="str">
        <f>IFERROR(IF(OR($B12="",DK$3=""),"",IF(OR(NOT(ISNUMBER(_xll.ciqfunctions.udf.CIQ($B12, "IQ_COGS", DK$3, $I$3, $N$3, , $J$3, $K$3))),NOT(ISNUMBER(_xll.ciqfunctions.udf.CIQ($B12, "IQ_TOTAL_REVENUE", DK$3, $I$3, $N$3, , $J$3, $K$3)))),"",_xll.ciqfunctions.udf.CIQ($B12, "IQ_COGS", DK$3, $I$3, $N$3, , $J$3, $K$3)/_xll.ciqfunctions.udf.CIQ($B12, "IQ_TOTAL_REVENUE", DK$3, $I$3, $N$3, , $J$3, $K$3))),"")</f>
        <v/>
      </c>
      <c r="DL12" s="87" t="str">
        <f>IFERROR(IF(OR($B12="",DL$3=""),"",IF(OR(NOT(ISNUMBER(_xll.ciqfunctions.udf.CIQ($B12, "IQ_COGS", DL$3, $I$3, $N$3, , $J$3, $K$3))),NOT(ISNUMBER(_xll.ciqfunctions.udf.CIQ($B12, "IQ_TOTAL_REVENUE", DL$3, $I$3, $N$3, , $J$3, $K$3)))),"",_xll.ciqfunctions.udf.CIQ($B12, "IQ_COGS", DL$3, $I$3, $N$3, , $J$3, $K$3)/_xll.ciqfunctions.udf.CIQ($B12, "IQ_TOTAL_REVENUE", DL$3, $I$3, $N$3, , $J$3, $K$3))),"")</f>
        <v/>
      </c>
      <c r="DM12" s="87" t="str">
        <f>IFERROR(IF(OR($B12="",DM$3=""),"",IF(OR(NOT(ISNUMBER(_xll.ciqfunctions.udf.CIQ($B12, "IQ_COGS", DM$3, $I$3, $N$3, , $J$3, $K$3))),NOT(ISNUMBER(_xll.ciqfunctions.udf.CIQ($B12, "IQ_TOTAL_REVENUE", DM$3, $I$3, $N$3, , $J$3, $K$3)))),"",_xll.ciqfunctions.udf.CIQ($B12, "IQ_COGS", DM$3, $I$3, $N$3, , $J$3, $K$3)/_xll.ciqfunctions.udf.CIQ($B12, "IQ_TOTAL_REVENUE", DM$3, $I$3, $N$3, , $J$3, $K$3))),"")</f>
        <v/>
      </c>
      <c r="DN12" s="87" t="str">
        <f>IFERROR(IF(OR($B12="",DN$3=""),"",IF(OR(NOT(ISNUMBER(_xll.ciqfunctions.udf.CIQ($B12, "IQ_COGS", DN$3, $I$3, $N$3, , $J$3, $K$3))),NOT(ISNUMBER(_xll.ciqfunctions.udf.CIQ($B12, "IQ_TOTAL_REVENUE", DN$3, $I$3, $N$3, , $J$3, $K$3)))),"",_xll.ciqfunctions.udf.CIQ($B12, "IQ_COGS", DN$3, $I$3, $N$3, , $J$3, $K$3)/_xll.ciqfunctions.udf.CIQ($B12, "IQ_TOTAL_REVENUE", DN$3, $I$3, $N$3, , $J$3, $K$3))),"")</f>
        <v/>
      </c>
      <c r="DO12" s="87" t="str">
        <f>IFERROR(IF(OR($B12="",DO$3=""),"",IF(OR(NOT(ISNUMBER(_xll.ciqfunctions.udf.CIQ($B12, "IQ_COGS", DO$3, $I$3, $N$3, , $J$3, $K$3))),NOT(ISNUMBER(_xll.ciqfunctions.udf.CIQ($B12, "IQ_TOTAL_REVENUE", DO$3, $I$3, $N$3, , $J$3, $K$3)))),"",_xll.ciqfunctions.udf.CIQ($B12, "IQ_COGS", DO$3, $I$3, $N$3, , $J$3, $K$3)/_xll.ciqfunctions.udf.CIQ($B12, "IQ_TOTAL_REVENUE", DO$3, $I$3, $N$3, , $J$3, $K$3))),"")</f>
        <v/>
      </c>
      <c r="DP12" s="87" t="str">
        <f>IFERROR(IF(OR($B12="",DP$3=""),"",IF(OR(NOT(ISNUMBER(_xll.ciqfunctions.udf.CIQ($B12, "IQ_COGS", DP$3, $I$3, $N$3, , $J$3, $K$3))),NOT(ISNUMBER(_xll.ciqfunctions.udf.CIQ($B12, "IQ_TOTAL_REVENUE", DP$3, $I$3, $N$3, , $J$3, $K$3)))),"",_xll.ciqfunctions.udf.CIQ($B12, "IQ_COGS", DP$3, $I$3, $N$3, , $J$3, $K$3)/_xll.ciqfunctions.udf.CIQ($B12, "IQ_TOTAL_REVENUE", DP$3, $I$3, $N$3, , $J$3, $K$3))),"")</f>
        <v/>
      </c>
      <c r="DQ12" s="87" t="str">
        <f>IFERROR(IF(OR($B12="",DQ$3=""),"",IF(OR(NOT(ISNUMBER(_xll.ciqfunctions.udf.CIQ($B12, "IQ_COGS", DQ$3, $I$3, $N$3, , $J$3, $K$3))),NOT(ISNUMBER(_xll.ciqfunctions.udf.CIQ($B12, "IQ_TOTAL_REVENUE", DQ$3, $I$3, $N$3, , $J$3, $K$3)))),"",_xll.ciqfunctions.udf.CIQ($B12, "IQ_COGS", DQ$3, $I$3, $N$3, , $J$3, $K$3)/_xll.ciqfunctions.udf.CIQ($B12, "IQ_TOTAL_REVENUE", DQ$3, $I$3, $N$3, , $J$3, $K$3))),"")</f>
        <v/>
      </c>
      <c r="DR12" s="87" t="str">
        <f>IFERROR(IF(OR($B12="",DR$3=""),"",IF(OR(NOT(ISNUMBER(_xll.ciqfunctions.udf.CIQ($B12, "IQ_COGS", DR$3, $I$3, $N$3, , $J$3, $K$3))),NOT(ISNUMBER(_xll.ciqfunctions.udf.CIQ($B12, "IQ_TOTAL_REVENUE", DR$3, $I$3, $N$3, , $J$3, $K$3)))),"",_xll.ciqfunctions.udf.CIQ($B12, "IQ_COGS", DR$3, $I$3, $N$3, , $J$3, $K$3)/_xll.ciqfunctions.udf.CIQ($B12, "IQ_TOTAL_REVENUE", DR$3, $I$3, $N$3, , $J$3, $K$3))),"")</f>
        <v/>
      </c>
      <c r="DS12" s="87" t="str">
        <f>IFERROR(IF(OR($B12="",DS$3=""),"",IF(OR(NOT(ISNUMBER(_xll.ciqfunctions.udf.CIQ($B12, "IQ_COGS", DS$3, $I$3, $N$3, , $J$3, $K$3))),NOT(ISNUMBER(_xll.ciqfunctions.udf.CIQ($B12, "IQ_TOTAL_REVENUE", DS$3, $I$3, $N$3, , $J$3, $K$3)))),"",_xll.ciqfunctions.udf.CIQ($B12, "IQ_COGS", DS$3, $I$3, $N$3, , $J$3, $K$3)/_xll.ciqfunctions.udf.CIQ($B12, "IQ_TOTAL_REVENUE", DS$3, $I$3, $N$3, , $J$3, $K$3))),"")</f>
        <v/>
      </c>
      <c r="DT12" s="87" t="str">
        <f>IFERROR(IF(OR($B12="",DT$3=""),"",IF(OR(NOT(ISNUMBER(_xll.ciqfunctions.udf.CIQ($B12, "IQ_COGS", DT$3, $I$3, $N$3, , $J$3, $K$3))),NOT(ISNUMBER(_xll.ciqfunctions.udf.CIQ($B12, "IQ_TOTAL_REVENUE", DT$3, $I$3, $N$3, , $J$3, $K$3)))),"",_xll.ciqfunctions.udf.CIQ($B12, "IQ_COGS", DT$3, $I$3, $N$3, , $J$3, $K$3)/_xll.ciqfunctions.udf.CIQ($B12, "IQ_TOTAL_REVENUE", DT$3, $I$3, $N$3, , $J$3, $K$3))),"")</f>
        <v/>
      </c>
      <c r="DU12" s="87" t="str">
        <f>IFERROR(IF(OR($B12="",DU$3=""),"",IF(OR(NOT(ISNUMBER(_xll.ciqfunctions.udf.CIQ($B12, "IQ_COGS", DU$3, $I$3, $N$3, , $J$3, $K$3))),NOT(ISNUMBER(_xll.ciqfunctions.udf.CIQ($B12, "IQ_TOTAL_REVENUE", DU$3, $I$3, $N$3, , $J$3, $K$3)))),"",_xll.ciqfunctions.udf.CIQ($B12, "IQ_COGS", DU$3, $I$3, $N$3, , $J$3, $K$3)/_xll.ciqfunctions.udf.CIQ($B12, "IQ_TOTAL_REVENUE", DU$3, $I$3, $N$3, , $J$3, $K$3))),"")</f>
        <v/>
      </c>
      <c r="DV12" s="87" t="str">
        <f>IFERROR(IF(OR($B12="",DV$3=""),"",IF(OR(NOT(ISNUMBER(_xll.ciqfunctions.udf.CIQ($B12, "IQ_COGS", DV$3, $I$3, $N$3, , $J$3, $K$3))),NOT(ISNUMBER(_xll.ciqfunctions.udf.CIQ($B12, "IQ_TOTAL_REVENUE", DV$3, $I$3, $N$3, , $J$3, $K$3)))),"",_xll.ciqfunctions.udf.CIQ($B12, "IQ_COGS", DV$3, $I$3, $N$3, , $J$3, $K$3)/_xll.ciqfunctions.udf.CIQ($B12, "IQ_TOTAL_REVENUE", DV$3, $I$3, $N$3, , $J$3, $K$3))),"")</f>
        <v/>
      </c>
      <c r="DW12" s="87" t="str">
        <f>IFERROR(IF(OR($B12="",DW$3=""),"",IF(OR(NOT(ISNUMBER(_xll.ciqfunctions.udf.CIQ($B12, "IQ_COGS", DW$3, $I$3, $N$3, , $J$3, $K$3))),NOT(ISNUMBER(_xll.ciqfunctions.udf.CIQ($B12, "IQ_TOTAL_REVENUE", DW$3, $I$3, $N$3, , $J$3, $K$3)))),"",_xll.ciqfunctions.udf.CIQ($B12, "IQ_COGS", DW$3, $I$3, $N$3, , $J$3, $K$3)/_xll.ciqfunctions.udf.CIQ($B12, "IQ_TOTAL_REVENUE", DW$3, $I$3, $N$3, , $J$3, $K$3))),"")</f>
        <v/>
      </c>
      <c r="DX12" s="87" t="str">
        <f>IFERROR(IF(OR($B12="",DX$3=""),"",IF(OR(NOT(ISNUMBER(_xll.ciqfunctions.udf.CIQ($B12, "IQ_COGS", DX$3, $I$3, $N$3, , $J$3, $K$3))),NOT(ISNUMBER(_xll.ciqfunctions.udf.CIQ($B12, "IQ_TOTAL_REVENUE", DX$3, $I$3, $N$3, , $J$3, $K$3)))),"",_xll.ciqfunctions.udf.CIQ($B12, "IQ_COGS", DX$3, $I$3, $N$3, , $J$3, $K$3)/_xll.ciqfunctions.udf.CIQ($B12, "IQ_TOTAL_REVENUE", DX$3, $I$3, $N$3, , $J$3, $K$3))),"")</f>
        <v/>
      </c>
      <c r="DY12" s="87" t="str">
        <f>IFERROR(IF(OR($B12="",DY$3=""),"",IF(OR(NOT(ISNUMBER(_xll.ciqfunctions.udf.CIQ($B12, "IQ_COGS", DY$3, $I$3, $N$3, , $J$3, $K$3))),NOT(ISNUMBER(_xll.ciqfunctions.udf.CIQ($B12, "IQ_TOTAL_REVENUE", DY$3, $I$3, $N$3, , $J$3, $K$3)))),"",_xll.ciqfunctions.udf.CIQ($B12, "IQ_COGS", DY$3, $I$3, $N$3, , $J$3, $K$3)/_xll.ciqfunctions.udf.CIQ($B12, "IQ_TOTAL_REVENUE", DY$3, $I$3, $N$3, , $J$3, $K$3))),"")</f>
        <v/>
      </c>
      <c r="DZ12" s="87" t="str">
        <f>IFERROR(IF(OR($B12="",DZ$3=""),"",IF(OR(NOT(ISNUMBER(_xll.ciqfunctions.udf.CIQ($B12, "IQ_COGS", DZ$3, $I$3, $N$3, , $J$3, $K$3))),NOT(ISNUMBER(_xll.ciqfunctions.udf.CIQ($B12, "IQ_TOTAL_REVENUE", DZ$3, $I$3, $N$3, , $J$3, $K$3)))),"",_xll.ciqfunctions.udf.CIQ($B12, "IQ_COGS", DZ$3, $I$3, $N$3, , $J$3, $K$3)/_xll.ciqfunctions.udf.CIQ($B12, "IQ_TOTAL_REVENUE", DZ$3, $I$3, $N$3, , $J$3, $K$3))),"")</f>
        <v/>
      </c>
      <c r="EA12" s="87" t="str">
        <f>IFERROR(IF(OR($B12="",EA$3=""),"",IF(OR(NOT(ISNUMBER(_xll.ciqfunctions.udf.CIQ($B12, "IQ_COGS", EA$3, $I$3, $N$3, , $J$3, $K$3))),NOT(ISNUMBER(_xll.ciqfunctions.udf.CIQ($B12, "IQ_TOTAL_REVENUE", EA$3, $I$3, $N$3, , $J$3, $K$3)))),"",_xll.ciqfunctions.udf.CIQ($B12, "IQ_COGS", EA$3, $I$3, $N$3, , $J$3, $K$3)/_xll.ciqfunctions.udf.CIQ($B12, "IQ_TOTAL_REVENUE", EA$3, $I$3, $N$3, , $J$3, $K$3))),"")</f>
        <v/>
      </c>
      <c r="EB12" s="88" t="str">
        <f>IFERROR(IF(OR($B12="",EB$3=""),"",IF(OR(NOT(ISNUMBER(_xll.ciqfunctions.udf.CIQ($B12, "IQ_COGS", EB$3, $I$3, $N$3, , $J$3, $K$3))),NOT(ISNUMBER(_xll.ciqfunctions.udf.CIQ($B12, "IQ_TOTAL_REVENUE", EB$3, $I$3, $N$3, , $J$3, $K$3)))),"",_xll.ciqfunctions.udf.CIQ($B12, "IQ_COGS", EB$3, $I$3, $N$3, , $J$3, $K$3)/_xll.ciqfunctions.udf.CIQ($B12, "IQ_TOTAL_REVENUE", EB$3, $I$3, $N$3, , $J$3, $K$3))),"")</f>
        <v/>
      </c>
      <c r="EC12" s="86" t="str">
        <f>IFERROR(IF(OR($B12="",EC$3=""),"",(_xll.ciqfunctions.udf.CIQ($B12,"IQ_TOTAL_REVENUE",EC$3, $I$3, $N$3, , $J$3, $K$3)-_xll.ciqfunctions.udf.CIQ($B12,"IQ_COGS",EC$3, $I$3, $N$3, , $J$3, $K$3)-_xll.ciqfunctions.udf.CIQ($B12,"IQ_EBITDA",EC$3, $I$3, $N$3, , $J$3, $K$3))/_xll.ciqfunctions.udf.CIQ($B12,"IQ_TOTAL_REVENUE",EC$3, $I$3, $N$3, , $J$3, $K$3)),"")</f>
        <v/>
      </c>
      <c r="ED12" s="87" t="str">
        <f>IFERROR(IF(OR($B12="",ED$3=""),"",(_xll.ciqfunctions.udf.CIQ($B12,"IQ_TOTAL_REVENUE",ED$3, $I$3, $N$3, , $J$3, $K$3)-_xll.ciqfunctions.udf.CIQ($B12,"IQ_COGS",ED$3, $I$3, $N$3, , $J$3, $K$3)-_xll.ciqfunctions.udf.CIQ($B12,"IQ_EBITDA",ED$3, $I$3, $N$3, , $J$3, $K$3))/_xll.ciqfunctions.udf.CIQ($B12,"IQ_TOTAL_REVENUE",ED$3, $I$3, $N$3, , $J$3, $K$3)),"")</f>
        <v/>
      </c>
      <c r="EE12" s="87" t="str">
        <f>IFERROR(IF(OR($B12="",EE$3=""),"",(_xll.ciqfunctions.udf.CIQ($B12,"IQ_TOTAL_REVENUE",EE$3, $I$3, $N$3, , $J$3, $K$3)-_xll.ciqfunctions.udf.CIQ($B12,"IQ_COGS",EE$3, $I$3, $N$3, , $J$3, $K$3)-_xll.ciqfunctions.udf.CIQ($B12,"IQ_EBITDA",EE$3, $I$3, $N$3, , $J$3, $K$3))/_xll.ciqfunctions.udf.CIQ($B12,"IQ_TOTAL_REVENUE",EE$3, $I$3, $N$3, , $J$3, $K$3)),"")</f>
        <v/>
      </c>
      <c r="EF12" s="87" t="str">
        <f>IFERROR(IF(OR($B12="",EF$3=""),"",(_xll.ciqfunctions.udf.CIQ($B12,"IQ_TOTAL_REVENUE",EF$3, $I$3, $N$3, , $J$3, $K$3)-_xll.ciqfunctions.udf.CIQ($B12,"IQ_COGS",EF$3, $I$3, $N$3, , $J$3, $K$3)-_xll.ciqfunctions.udf.CIQ($B12,"IQ_EBITDA",EF$3, $I$3, $N$3, , $J$3, $K$3))/_xll.ciqfunctions.udf.CIQ($B12,"IQ_TOTAL_REVENUE",EF$3, $I$3, $N$3, , $J$3, $K$3)),"")</f>
        <v/>
      </c>
      <c r="EG12" s="87" t="str">
        <f>IFERROR(IF(OR($B12="",EG$3=""),"",(_xll.ciqfunctions.udf.CIQ($B12,"IQ_TOTAL_REVENUE",EG$3, $I$3, $N$3, , $J$3, $K$3)-_xll.ciqfunctions.udf.CIQ($B12,"IQ_COGS",EG$3, $I$3, $N$3, , $J$3, $K$3)-_xll.ciqfunctions.udf.CIQ($B12,"IQ_EBITDA",EG$3, $I$3, $N$3, , $J$3, $K$3))/_xll.ciqfunctions.udf.CIQ($B12,"IQ_TOTAL_REVENUE",EG$3, $I$3, $N$3, , $J$3, $K$3)),"")</f>
        <v/>
      </c>
      <c r="EH12" s="87" t="str">
        <f>IFERROR(IF(OR($B12="",EH$3=""),"",(_xll.ciqfunctions.udf.CIQ($B12,"IQ_TOTAL_REVENUE",EH$3, $I$3, $N$3, , $J$3, $K$3)-_xll.ciqfunctions.udf.CIQ($B12,"IQ_COGS",EH$3, $I$3, $N$3, , $J$3, $K$3)-_xll.ciqfunctions.udf.CIQ($B12,"IQ_EBITDA",EH$3, $I$3, $N$3, , $J$3, $K$3))/_xll.ciqfunctions.udf.CIQ($B12,"IQ_TOTAL_REVENUE",EH$3, $I$3, $N$3, , $J$3, $K$3)),"")</f>
        <v/>
      </c>
      <c r="EI12" s="87" t="str">
        <f>IFERROR(IF(OR($B12="",EI$3=""),"",(_xll.ciqfunctions.udf.CIQ($B12,"IQ_TOTAL_REVENUE",EI$3, $I$3, $N$3, , $J$3, $K$3)-_xll.ciqfunctions.udf.CIQ($B12,"IQ_COGS",EI$3, $I$3, $N$3, , $J$3, $K$3)-_xll.ciqfunctions.udf.CIQ($B12,"IQ_EBITDA",EI$3, $I$3, $N$3, , $J$3, $K$3))/_xll.ciqfunctions.udf.CIQ($B12,"IQ_TOTAL_REVENUE",EI$3, $I$3, $N$3, , $J$3, $K$3)),"")</f>
        <v/>
      </c>
      <c r="EJ12" s="87" t="str">
        <f>IFERROR(IF(OR($B12="",EJ$3=""),"",(_xll.ciqfunctions.udf.CIQ($B12,"IQ_TOTAL_REVENUE",EJ$3, $I$3, $N$3, , $J$3, $K$3)-_xll.ciqfunctions.udf.CIQ($B12,"IQ_COGS",EJ$3, $I$3, $N$3, , $J$3, $K$3)-_xll.ciqfunctions.udf.CIQ($B12,"IQ_EBITDA",EJ$3, $I$3, $N$3, , $J$3, $K$3))/_xll.ciqfunctions.udf.CIQ($B12,"IQ_TOTAL_REVENUE",EJ$3, $I$3, $N$3, , $J$3, $K$3)),"")</f>
        <v/>
      </c>
      <c r="EK12" s="87" t="str">
        <f>IFERROR(IF(OR($B12="",EK$3=""),"",(_xll.ciqfunctions.udf.CIQ($B12,"IQ_TOTAL_REVENUE",EK$3, $I$3, $N$3, , $J$3, $K$3)-_xll.ciqfunctions.udf.CIQ($B12,"IQ_COGS",EK$3, $I$3, $N$3, , $J$3, $K$3)-_xll.ciqfunctions.udf.CIQ($B12,"IQ_EBITDA",EK$3, $I$3, $N$3, , $J$3, $K$3))/_xll.ciqfunctions.udf.CIQ($B12,"IQ_TOTAL_REVENUE",EK$3, $I$3, $N$3, , $J$3, $K$3)),"")</f>
        <v/>
      </c>
      <c r="EL12" s="87" t="str">
        <f>IFERROR(IF(OR($B12="",EL$3=""),"",(_xll.ciqfunctions.udf.CIQ($B12,"IQ_TOTAL_REVENUE",EL$3, $I$3, $N$3, , $J$3, $K$3)-_xll.ciqfunctions.udf.CIQ($B12,"IQ_COGS",EL$3, $I$3, $N$3, , $J$3, $K$3)-_xll.ciqfunctions.udf.CIQ($B12,"IQ_EBITDA",EL$3, $I$3, $N$3, , $J$3, $K$3))/_xll.ciqfunctions.udf.CIQ($B12,"IQ_TOTAL_REVENUE",EL$3, $I$3, $N$3, , $J$3, $K$3)),"")</f>
        <v/>
      </c>
      <c r="EM12" s="87" t="str">
        <f>IFERROR(IF(OR($B12="",EM$3=""),"",(_xll.ciqfunctions.udf.CIQ($B12,"IQ_TOTAL_REVENUE",EM$3, $I$3, $N$3, , $J$3, $K$3)-_xll.ciqfunctions.udf.CIQ($B12,"IQ_COGS",EM$3, $I$3, $N$3, , $J$3, $K$3)-_xll.ciqfunctions.udf.CIQ($B12,"IQ_EBITDA",EM$3, $I$3, $N$3, , $J$3, $K$3))/_xll.ciqfunctions.udf.CIQ($B12,"IQ_TOTAL_REVENUE",EM$3, $I$3, $N$3, , $J$3, $K$3)),"")</f>
        <v/>
      </c>
      <c r="EN12" s="87" t="str">
        <f>IFERROR(IF(OR($B12="",EN$3=""),"",(_xll.ciqfunctions.udf.CIQ($B12,"IQ_TOTAL_REVENUE",EN$3, $I$3, $N$3, , $J$3, $K$3)-_xll.ciqfunctions.udf.CIQ($B12,"IQ_COGS",EN$3, $I$3, $N$3, , $J$3, $K$3)-_xll.ciqfunctions.udf.CIQ($B12,"IQ_EBITDA",EN$3, $I$3, $N$3, , $J$3, $K$3))/_xll.ciqfunctions.udf.CIQ($B12,"IQ_TOTAL_REVENUE",EN$3, $I$3, $N$3, , $J$3, $K$3)),"")</f>
        <v/>
      </c>
      <c r="EO12" s="87" t="str">
        <f>IFERROR(IF(OR($B12="",EO$3=""),"",(_xll.ciqfunctions.udf.CIQ($B12,"IQ_TOTAL_REVENUE",EO$3, $I$3, $N$3, , $J$3, $K$3)-_xll.ciqfunctions.udf.CIQ($B12,"IQ_COGS",EO$3, $I$3, $N$3, , $J$3, $K$3)-_xll.ciqfunctions.udf.CIQ($B12,"IQ_EBITDA",EO$3, $I$3, $N$3, , $J$3, $K$3))/_xll.ciqfunctions.udf.CIQ($B12,"IQ_TOTAL_REVENUE",EO$3, $I$3, $N$3, , $J$3, $K$3)),"")</f>
        <v/>
      </c>
      <c r="EP12" s="87" t="str">
        <f>IFERROR(IF(OR($B12="",EP$3=""),"",(_xll.ciqfunctions.udf.CIQ($B12,"IQ_TOTAL_REVENUE",EP$3, $I$3, $N$3, , $J$3, $K$3)-_xll.ciqfunctions.udf.CIQ($B12,"IQ_COGS",EP$3, $I$3, $N$3, , $J$3, $K$3)-_xll.ciqfunctions.udf.CIQ($B12,"IQ_EBITDA",EP$3, $I$3, $N$3, , $J$3, $K$3))/_xll.ciqfunctions.udf.CIQ($B12,"IQ_TOTAL_REVENUE",EP$3, $I$3, $N$3, , $J$3, $K$3)),"")</f>
        <v/>
      </c>
      <c r="EQ12" s="87" t="str">
        <f>IFERROR(IF(OR($B12="",EQ$3=""),"",(_xll.ciqfunctions.udf.CIQ($B12,"IQ_TOTAL_REVENUE",EQ$3, $I$3, $N$3, , $J$3, $K$3)-_xll.ciqfunctions.udf.CIQ($B12,"IQ_COGS",EQ$3, $I$3, $N$3, , $J$3, $K$3)-_xll.ciqfunctions.udf.CIQ($B12,"IQ_EBITDA",EQ$3, $I$3, $N$3, , $J$3, $K$3))/_xll.ciqfunctions.udf.CIQ($B12,"IQ_TOTAL_REVENUE",EQ$3, $I$3, $N$3, , $J$3, $K$3)),"")</f>
        <v/>
      </c>
      <c r="ER12" s="87" t="str">
        <f>IFERROR(IF(OR($B12="",ER$3=""),"",(_xll.ciqfunctions.udf.CIQ($B12,"IQ_TOTAL_REVENUE",ER$3, $I$3, $N$3, , $J$3, $K$3)-_xll.ciqfunctions.udf.CIQ($B12,"IQ_COGS",ER$3, $I$3, $N$3, , $J$3, $K$3)-_xll.ciqfunctions.udf.CIQ($B12,"IQ_EBITDA",ER$3, $I$3, $N$3, , $J$3, $K$3))/_xll.ciqfunctions.udf.CIQ($B12,"IQ_TOTAL_REVENUE",ER$3, $I$3, $N$3, , $J$3, $K$3)),"")</f>
        <v/>
      </c>
      <c r="ES12" s="87" t="str">
        <f>IFERROR(IF(OR($B12="",ES$3=""),"",(_xll.ciqfunctions.udf.CIQ($B12,"IQ_TOTAL_REVENUE",ES$3, $I$3, $N$3, , $J$3, $K$3)-_xll.ciqfunctions.udf.CIQ($B12,"IQ_COGS",ES$3, $I$3, $N$3, , $J$3, $K$3)-_xll.ciqfunctions.udf.CIQ($B12,"IQ_EBITDA",ES$3, $I$3, $N$3, , $J$3, $K$3))/_xll.ciqfunctions.udf.CIQ($B12,"IQ_TOTAL_REVENUE",ES$3, $I$3, $N$3, , $J$3, $K$3)),"")</f>
        <v/>
      </c>
      <c r="ET12" s="87" t="str">
        <f>IFERROR(IF(OR($B12="",ET$3=""),"",(_xll.ciqfunctions.udf.CIQ($B12,"IQ_TOTAL_REVENUE",ET$3, $I$3, $N$3, , $J$3, $K$3)-_xll.ciqfunctions.udf.CIQ($B12,"IQ_COGS",ET$3, $I$3, $N$3, , $J$3, $K$3)-_xll.ciqfunctions.udf.CIQ($B12,"IQ_EBITDA",ET$3, $I$3, $N$3, , $J$3, $K$3))/_xll.ciqfunctions.udf.CIQ($B12,"IQ_TOTAL_REVENUE",ET$3, $I$3, $N$3, , $J$3, $K$3)),"")</f>
        <v/>
      </c>
      <c r="EU12" s="87" t="str">
        <f>IFERROR(IF(OR($B12="",EU$3=""),"",(_xll.ciqfunctions.udf.CIQ($B12,"IQ_TOTAL_REVENUE",EU$3, $I$3, $N$3, , $J$3, $K$3)-_xll.ciqfunctions.udf.CIQ($B12,"IQ_COGS",EU$3, $I$3, $N$3, , $J$3, $K$3)-_xll.ciqfunctions.udf.CIQ($B12,"IQ_EBITDA",EU$3, $I$3, $N$3, , $J$3, $K$3))/_xll.ciqfunctions.udf.CIQ($B12,"IQ_TOTAL_REVENUE",EU$3, $I$3, $N$3, , $J$3, $K$3)),"")</f>
        <v/>
      </c>
      <c r="EV12" s="88" t="str">
        <f>IFERROR(IF(OR($B12="",EV$3=""),"",(_xll.ciqfunctions.udf.CIQ($B12,"IQ_TOTAL_REVENUE",EV$3, $I$3, $N$3, , $J$3, $K$3)-_xll.ciqfunctions.udf.CIQ($B12,"IQ_COGS",EV$3, $I$3, $N$3, , $J$3, $K$3)-_xll.ciqfunctions.udf.CIQ($B12,"IQ_EBITDA",EV$3, $I$3, $N$3, , $J$3, $K$3))/_xll.ciqfunctions.udf.CIQ($B12,"IQ_TOTAL_REVENUE",EV$3, $I$3, $N$3, , $J$3, $K$3)),"")</f>
        <v/>
      </c>
      <c r="EW12" s="72" t="str">
        <f>IFERROR(IF(OR($B12="",EW$3=""),"",IF(AND($EW$4="No",_xll.ciqfunctions.udf.CIQ($B12, "IQ_SGA_MARGIN", EW$3, $I$3, $N$3, , $J$3, $K$3)&lt;=0),"",_xll.ciqfunctions.udf.CIQ($B12, "IQ_SGA_MARGIN", EW$3, $I$3, $N$3, , $J$3, $K$3)/100)),"")</f>
        <v/>
      </c>
      <c r="EX12" s="72" t="str">
        <f>IFERROR(IF(OR($B12="",EX$3=""),"",IF(AND($EW$4="No",_xll.ciqfunctions.udf.CIQ($B12, "IQ_SGA_MARGIN", EX$3, $I$3, $N$3, , $J$3, $K$3)&lt;=0),"",_xll.ciqfunctions.udf.CIQ($B12, "IQ_SGA_MARGIN", EX$3, $I$3, $N$3, , $J$3, $K$3)/100)),"")</f>
        <v/>
      </c>
      <c r="EY12" s="72" t="str">
        <f>IFERROR(IF(OR($B12="",EY$3=""),"",IF(AND($EW$4="No",_xll.ciqfunctions.udf.CIQ($B12, "IQ_SGA_MARGIN", EY$3, $I$3, $N$3, , $J$3, $K$3)&lt;=0),"",_xll.ciqfunctions.udf.CIQ($B12, "IQ_SGA_MARGIN", EY$3, $I$3, $N$3, , $J$3, $K$3)/100)),"")</f>
        <v/>
      </c>
      <c r="EZ12" s="72" t="str">
        <f>IFERROR(IF(OR($B12="",EZ$3=""),"",IF(AND($EW$4="No",_xll.ciqfunctions.udf.CIQ($B12, "IQ_SGA_MARGIN", EZ$3, $I$3, $N$3, , $J$3, $K$3)&lt;=0),"",_xll.ciqfunctions.udf.CIQ($B12, "IQ_SGA_MARGIN", EZ$3, $I$3, $N$3, , $J$3, $K$3)/100)),"")</f>
        <v/>
      </c>
      <c r="FA12" s="72" t="str">
        <f>IFERROR(IF(OR($B12="",FA$3=""),"",IF(AND($EW$4="No",_xll.ciqfunctions.udf.CIQ($B12, "IQ_SGA_MARGIN", FA$3, $I$3, $N$3, , $J$3, $K$3)&lt;=0),"",_xll.ciqfunctions.udf.CIQ($B12, "IQ_SGA_MARGIN", FA$3, $I$3, $N$3, , $J$3, $K$3)/100)),"")</f>
        <v/>
      </c>
      <c r="FB12" s="72" t="str">
        <f>IFERROR(IF(OR($B12="",FB$3=""),"",IF(AND($EW$4="No",_xll.ciqfunctions.udf.CIQ($B12, "IQ_SGA_MARGIN", FB$3, $I$3, $N$3, , $J$3, $K$3)&lt;=0),"",_xll.ciqfunctions.udf.CIQ($B12, "IQ_SGA_MARGIN", FB$3, $I$3, $N$3, , $J$3, $K$3)/100)),"")</f>
        <v/>
      </c>
      <c r="FC12" s="72" t="str">
        <f>IFERROR(IF(OR($B12="",FC$3=""),"",IF(AND($EW$4="No",_xll.ciqfunctions.udf.CIQ($B12, "IQ_SGA_MARGIN", FC$3, $I$3, $N$3, , $J$3, $K$3)&lt;=0),"",_xll.ciqfunctions.udf.CIQ($B12, "IQ_SGA_MARGIN", FC$3, $I$3, $N$3, , $J$3, $K$3)/100)),"")</f>
        <v/>
      </c>
      <c r="FD12" s="72" t="str">
        <f>IFERROR(IF(OR($B12="",FD$3=""),"",IF(AND($EW$4="No",_xll.ciqfunctions.udf.CIQ($B12, "IQ_SGA_MARGIN", FD$3, $I$3, $N$3, , $J$3, $K$3)&lt;=0),"",_xll.ciqfunctions.udf.CIQ($B12, "IQ_SGA_MARGIN", FD$3, $I$3, $N$3, , $J$3, $K$3)/100)),"")</f>
        <v/>
      </c>
      <c r="FE12" s="72" t="str">
        <f>IFERROR(IF(OR($B12="",FE$3=""),"",IF(AND($EW$4="No",_xll.ciqfunctions.udf.CIQ($B12, "IQ_SGA_MARGIN", FE$3, $I$3, $N$3, , $J$3, $K$3)&lt;=0),"",_xll.ciqfunctions.udf.CIQ($B12, "IQ_SGA_MARGIN", FE$3, $I$3, $N$3, , $J$3, $K$3)/100)),"")</f>
        <v/>
      </c>
      <c r="FF12" s="72" t="str">
        <f>IFERROR(IF(OR($B12="",FF$3=""),"",IF(AND($EW$4="No",_xll.ciqfunctions.udf.CIQ($B12, "IQ_SGA_MARGIN", FF$3, $I$3, $N$3, , $J$3, $K$3)&lt;=0),"",_xll.ciqfunctions.udf.CIQ($B12, "IQ_SGA_MARGIN", FF$3, $I$3, $N$3, , $J$3, $K$3)/100)),"")</f>
        <v/>
      </c>
      <c r="FG12" s="72" t="str">
        <f>IFERROR(IF(OR($B12="",FG$3=""),"",IF(AND($EW$4="No",_xll.ciqfunctions.udf.CIQ($B12, "IQ_SGA_MARGIN", FG$3, $I$3, $N$3, , $J$3, $K$3)&lt;=0),"",_xll.ciqfunctions.udf.CIQ($B12, "IQ_SGA_MARGIN", FG$3, $I$3, $N$3, , $J$3, $K$3)/100)),"")</f>
        <v/>
      </c>
      <c r="FH12" s="72" t="str">
        <f>IFERROR(IF(OR($B12="",FH$3=""),"",IF(AND($EW$4="No",_xll.ciqfunctions.udf.CIQ($B12, "IQ_SGA_MARGIN", FH$3, $I$3, $N$3, , $J$3, $K$3)&lt;=0),"",_xll.ciqfunctions.udf.CIQ($B12, "IQ_SGA_MARGIN", FH$3, $I$3, $N$3, , $J$3, $K$3)/100)),"")</f>
        <v/>
      </c>
      <c r="FI12" s="72" t="str">
        <f>IFERROR(IF(OR($B12="",FI$3=""),"",IF(AND($EW$4="No",_xll.ciqfunctions.udf.CIQ($B12, "IQ_SGA_MARGIN", FI$3, $I$3, $N$3, , $J$3, $K$3)&lt;=0),"",_xll.ciqfunctions.udf.CIQ($B12, "IQ_SGA_MARGIN", FI$3, $I$3, $N$3, , $J$3, $K$3)/100)),"")</f>
        <v/>
      </c>
      <c r="FJ12" s="72" t="str">
        <f>IFERROR(IF(OR($B12="",FJ$3=""),"",IF(AND($EW$4="No",_xll.ciqfunctions.udf.CIQ($B12, "IQ_SGA_MARGIN", FJ$3, $I$3, $N$3, , $J$3, $K$3)&lt;=0),"",_xll.ciqfunctions.udf.CIQ($B12, "IQ_SGA_MARGIN", FJ$3, $I$3, $N$3, , $J$3, $K$3)/100)),"")</f>
        <v/>
      </c>
      <c r="FK12" s="72" t="str">
        <f>IFERROR(IF(OR($B12="",FK$3=""),"",IF(AND($EW$4="No",_xll.ciqfunctions.udf.CIQ($B12, "IQ_SGA_MARGIN", FK$3, $I$3, $N$3, , $J$3, $K$3)&lt;=0),"",_xll.ciqfunctions.udf.CIQ($B12, "IQ_SGA_MARGIN", FK$3, $I$3, $N$3, , $J$3, $K$3)/100)),"")</f>
        <v/>
      </c>
      <c r="FL12" s="72" t="str">
        <f>IFERROR(IF(OR($B12="",FL$3=""),"",IF(AND($EW$4="No",_xll.ciqfunctions.udf.CIQ($B12, "IQ_SGA_MARGIN", FL$3, $I$3, $N$3, , $J$3, $K$3)&lt;=0),"",_xll.ciqfunctions.udf.CIQ($B12, "IQ_SGA_MARGIN", FL$3, $I$3, $N$3, , $J$3, $K$3)/100)),"")</f>
        <v/>
      </c>
      <c r="FM12" s="72" t="str">
        <f>IFERROR(IF(OR($B12="",FM$3=""),"",IF(AND($EW$4="No",_xll.ciqfunctions.udf.CIQ($B12, "IQ_SGA_MARGIN", FM$3, $I$3, $N$3, , $J$3, $K$3)&lt;=0),"",_xll.ciqfunctions.udf.CIQ($B12, "IQ_SGA_MARGIN", FM$3, $I$3, $N$3, , $J$3, $K$3)/100)),"")</f>
        <v/>
      </c>
      <c r="FN12" s="72" t="str">
        <f>IFERROR(IF(OR($B12="",FN$3=""),"",IF(AND($EW$4="No",_xll.ciqfunctions.udf.CIQ($B12, "IQ_SGA_MARGIN", FN$3, $I$3, $N$3, , $J$3, $K$3)&lt;=0),"",_xll.ciqfunctions.udf.CIQ($B12, "IQ_SGA_MARGIN", FN$3, $I$3, $N$3, , $J$3, $K$3)/100)),"")</f>
        <v/>
      </c>
      <c r="FO12" s="72" t="str">
        <f>IFERROR(IF(OR($B12="",FO$3=""),"",IF(AND($EW$4="No",_xll.ciqfunctions.udf.CIQ($B12, "IQ_SGA_MARGIN", FO$3, $I$3, $N$3, , $J$3, $K$3)&lt;=0),"",_xll.ciqfunctions.udf.CIQ($B12, "IQ_SGA_MARGIN", FO$3, $I$3, $N$3, , $J$3, $K$3)/100)),"")</f>
        <v/>
      </c>
      <c r="FP12" s="72" t="str">
        <f>IFERROR(IF(OR($B12="",FP$3=""),"",IF(AND($EW$4="No",_xll.ciqfunctions.udf.CIQ($B12, "IQ_SGA_MARGIN", FP$3, $I$3, $N$3, , $J$3, $K$3)&lt;=0),"",_xll.ciqfunctions.udf.CIQ($B12, "IQ_SGA_MARGIN", FP$3, $I$3, $N$3, , $J$3, $K$3)/100)),"")</f>
        <v/>
      </c>
      <c r="FQ12" s="86" t="str">
        <f>IFERROR(IF(OR($B12="",FQ$3=""),"",IF(AND($FQ$4="No",_xll.ciqfunctions.udf.CIQ($B12, "IQ_RD_EXP",FQ$3, $I$3, $N$3, , $J$3, $K$3)&lt;=0),"",_xll.ciqfunctions.udf.CIQ($B12, "IQ_RD_EXP",FQ$3, $I$3, $N$3, , $J$3, $K$3)/_xll.ciqfunctions.udf.CIQ($B12,"IQ_TOTAL_REV",FQ$3, $I$3, $N$3, , $J$3, $K$3))),"")</f>
        <v/>
      </c>
      <c r="FR12" s="87" t="str">
        <f>IFERROR(IF(OR($B12="",FR$3=""),"",IF(AND($FQ$4="No",_xll.ciqfunctions.udf.CIQ($B12, "IQ_RD_EXP",FR$3, $I$3, $N$3, , $J$3, $K$3)&lt;=0),"",_xll.ciqfunctions.udf.CIQ($B12, "IQ_RD_EXP",FR$3, $I$3, $N$3, , $J$3, $K$3)/_xll.ciqfunctions.udf.CIQ($B12,"IQ_TOTAL_REV",FR$3, $I$3, $N$3, , $J$3, $K$3))),"")</f>
        <v/>
      </c>
      <c r="FS12" s="87" t="str">
        <f>IFERROR(IF(OR($B12="",FS$3=""),"",IF(AND($FQ$4="No",_xll.ciqfunctions.udf.CIQ($B12, "IQ_RD_EXP",FS$3, $I$3, $N$3, , $J$3, $K$3)&lt;=0),"",_xll.ciqfunctions.udf.CIQ($B12, "IQ_RD_EXP",FS$3, $I$3, $N$3, , $J$3, $K$3)/_xll.ciqfunctions.udf.CIQ($B12,"IQ_TOTAL_REV",FS$3, $I$3, $N$3, , $J$3, $K$3))),"")</f>
        <v/>
      </c>
      <c r="FT12" s="87" t="str">
        <f>IFERROR(IF(OR($B12="",FT$3=""),"",IF(AND($FQ$4="No",_xll.ciqfunctions.udf.CIQ($B12, "IQ_RD_EXP",FT$3, $I$3, $N$3, , $J$3, $K$3)&lt;=0),"",_xll.ciqfunctions.udf.CIQ($B12, "IQ_RD_EXP",FT$3, $I$3, $N$3, , $J$3, $K$3)/_xll.ciqfunctions.udf.CIQ($B12,"IQ_TOTAL_REV",FT$3, $I$3, $N$3, , $J$3, $K$3))),"")</f>
        <v/>
      </c>
      <c r="FU12" s="87" t="str">
        <f>IFERROR(IF(OR($B12="",FU$3=""),"",IF(AND($FQ$4="No",_xll.ciqfunctions.udf.CIQ($B12, "IQ_RD_EXP",FU$3, $I$3, $N$3, , $J$3, $K$3)&lt;=0),"",_xll.ciqfunctions.udf.CIQ($B12, "IQ_RD_EXP",FU$3, $I$3, $N$3, , $J$3, $K$3)/_xll.ciqfunctions.udf.CIQ($B12,"IQ_TOTAL_REV",FU$3, $I$3, $N$3, , $J$3, $K$3))),"")</f>
        <v/>
      </c>
      <c r="FV12" s="87" t="str">
        <f>IFERROR(IF(OR($B12="",FV$3=""),"",IF(AND($FQ$4="No",_xll.ciqfunctions.udf.CIQ($B12, "IQ_RD_EXP",FV$3, $I$3, $N$3, , $J$3, $K$3)&lt;=0),"",_xll.ciqfunctions.udf.CIQ($B12, "IQ_RD_EXP",FV$3, $I$3, $N$3, , $J$3, $K$3)/_xll.ciqfunctions.udf.CIQ($B12,"IQ_TOTAL_REV",FV$3, $I$3, $N$3, , $J$3, $K$3))),"")</f>
        <v/>
      </c>
      <c r="FW12" s="87" t="str">
        <f>IFERROR(IF(OR($B12="",FW$3=""),"",IF(AND($FQ$4="No",_xll.ciqfunctions.udf.CIQ($B12, "IQ_RD_EXP",FW$3, $I$3, $N$3, , $J$3, $K$3)&lt;=0),"",_xll.ciqfunctions.udf.CIQ($B12, "IQ_RD_EXP",FW$3, $I$3, $N$3, , $J$3, $K$3)/_xll.ciqfunctions.udf.CIQ($B12,"IQ_TOTAL_REV",FW$3, $I$3, $N$3, , $J$3, $K$3))),"")</f>
        <v/>
      </c>
      <c r="FX12" s="87" t="str">
        <f>IFERROR(IF(OR($B12="",FX$3=""),"",IF(AND($FQ$4="No",_xll.ciqfunctions.udf.CIQ($B12, "IQ_RD_EXP",FX$3, $I$3, $N$3, , $J$3, $K$3)&lt;=0),"",_xll.ciqfunctions.udf.CIQ($B12, "IQ_RD_EXP",FX$3, $I$3, $N$3, , $J$3, $K$3)/_xll.ciqfunctions.udf.CIQ($B12,"IQ_TOTAL_REV",FX$3, $I$3, $N$3, , $J$3, $K$3))),"")</f>
        <v/>
      </c>
      <c r="FY12" s="87" t="str">
        <f>IFERROR(IF(OR($B12="",FY$3=""),"",IF(AND($FQ$4="No",_xll.ciqfunctions.udf.CIQ($B12, "IQ_RD_EXP",FY$3, $I$3, $N$3, , $J$3, $K$3)&lt;=0),"",_xll.ciqfunctions.udf.CIQ($B12, "IQ_RD_EXP",FY$3, $I$3, $N$3, , $J$3, $K$3)/_xll.ciqfunctions.udf.CIQ($B12,"IQ_TOTAL_REV",FY$3, $I$3, $N$3, , $J$3, $K$3))),"")</f>
        <v/>
      </c>
      <c r="FZ12" s="87" t="str">
        <f>IFERROR(IF(OR($B12="",FZ$3=""),"",IF(AND($FQ$4="No",_xll.ciqfunctions.udf.CIQ($B12, "IQ_RD_EXP",FZ$3, $I$3, $N$3, , $J$3, $K$3)&lt;=0),"",_xll.ciqfunctions.udf.CIQ($B12, "IQ_RD_EXP",FZ$3, $I$3, $N$3, , $J$3, $K$3)/_xll.ciqfunctions.udf.CIQ($B12,"IQ_TOTAL_REV",FZ$3, $I$3, $N$3, , $J$3, $K$3))),"")</f>
        <v/>
      </c>
      <c r="GA12" s="87" t="str">
        <f>IFERROR(IF(OR($B12="",GA$3=""),"",IF(AND($FQ$4="No",_xll.ciqfunctions.udf.CIQ($B12, "IQ_RD_EXP",GA$3, $I$3, $N$3, , $J$3, $K$3)&lt;=0),"",_xll.ciqfunctions.udf.CIQ($B12, "IQ_RD_EXP",GA$3, $I$3, $N$3, , $J$3, $K$3)/_xll.ciqfunctions.udf.CIQ($B12,"IQ_TOTAL_REV",GA$3, $I$3, $N$3, , $J$3, $K$3))),"")</f>
        <v/>
      </c>
      <c r="GB12" s="87" t="str">
        <f>IFERROR(IF(OR($B12="",GB$3=""),"",IF(AND($FQ$4="No",_xll.ciqfunctions.udf.CIQ($B12, "IQ_RD_EXP",GB$3, $I$3, $N$3, , $J$3, $K$3)&lt;=0),"",_xll.ciqfunctions.udf.CIQ($B12, "IQ_RD_EXP",GB$3, $I$3, $N$3, , $J$3, $K$3)/_xll.ciqfunctions.udf.CIQ($B12,"IQ_TOTAL_REV",GB$3, $I$3, $N$3, , $J$3, $K$3))),"")</f>
        <v/>
      </c>
      <c r="GC12" s="87" t="str">
        <f>IFERROR(IF(OR($B12="",GC$3=""),"",IF(AND($FQ$4="No",_xll.ciqfunctions.udf.CIQ($B12, "IQ_RD_EXP",GC$3, $I$3, $N$3, , $J$3, $K$3)&lt;=0),"",_xll.ciqfunctions.udf.CIQ($B12, "IQ_RD_EXP",GC$3, $I$3, $N$3, , $J$3, $K$3)/_xll.ciqfunctions.udf.CIQ($B12,"IQ_TOTAL_REV",GC$3, $I$3, $N$3, , $J$3, $K$3))),"")</f>
        <v/>
      </c>
      <c r="GD12" s="87" t="str">
        <f>IFERROR(IF(OR($B12="",GD$3=""),"",IF(AND($FQ$4="No",_xll.ciqfunctions.udf.CIQ($B12, "IQ_RD_EXP",GD$3, $I$3, $N$3, , $J$3, $K$3)&lt;=0),"",_xll.ciqfunctions.udf.CIQ($B12, "IQ_RD_EXP",GD$3, $I$3, $N$3, , $J$3, $K$3)/_xll.ciqfunctions.udf.CIQ($B12,"IQ_TOTAL_REV",GD$3, $I$3, $N$3, , $J$3, $K$3))),"")</f>
        <v/>
      </c>
      <c r="GE12" s="87" t="str">
        <f>IFERROR(IF(OR($B12="",GE$3=""),"",IF(AND($FQ$4="No",_xll.ciqfunctions.udf.CIQ($B12, "IQ_RD_EXP",GE$3, $I$3, $N$3, , $J$3, $K$3)&lt;=0),"",_xll.ciqfunctions.udf.CIQ($B12, "IQ_RD_EXP",GE$3, $I$3, $N$3, , $J$3, $K$3)/_xll.ciqfunctions.udf.CIQ($B12,"IQ_TOTAL_REV",GE$3, $I$3, $N$3, , $J$3, $K$3))),"")</f>
        <v/>
      </c>
      <c r="GF12" s="87" t="str">
        <f>IFERROR(IF(OR($B12="",GF$3=""),"",IF(AND($FQ$4="No",_xll.ciqfunctions.udf.CIQ($B12, "IQ_RD_EXP",GF$3, $I$3, $N$3, , $J$3, $K$3)&lt;=0),"",_xll.ciqfunctions.udf.CIQ($B12, "IQ_RD_EXP",GF$3, $I$3, $N$3, , $J$3, $K$3)/_xll.ciqfunctions.udf.CIQ($B12,"IQ_TOTAL_REV",GF$3, $I$3, $N$3, , $J$3, $K$3))),"")</f>
        <v/>
      </c>
      <c r="GG12" s="87" t="str">
        <f>IFERROR(IF(OR($B12="",GG$3=""),"",IF(AND($FQ$4="No",_xll.ciqfunctions.udf.CIQ($B12, "IQ_RD_EXP",GG$3, $I$3, $N$3, , $J$3, $K$3)&lt;=0),"",_xll.ciqfunctions.udf.CIQ($B12, "IQ_RD_EXP",GG$3, $I$3, $N$3, , $J$3, $K$3)/_xll.ciqfunctions.udf.CIQ($B12,"IQ_TOTAL_REV",GG$3, $I$3, $N$3, , $J$3, $K$3))),"")</f>
        <v/>
      </c>
      <c r="GH12" s="87" t="str">
        <f>IFERROR(IF(OR($B12="",GH$3=""),"",IF(AND($FQ$4="No",_xll.ciqfunctions.udf.CIQ($B12, "IQ_RD_EXP",GH$3, $I$3, $N$3, , $J$3, $K$3)&lt;=0),"",_xll.ciqfunctions.udf.CIQ($B12, "IQ_RD_EXP",GH$3, $I$3, $N$3, , $J$3, $K$3)/_xll.ciqfunctions.udf.CIQ($B12,"IQ_TOTAL_REV",GH$3, $I$3, $N$3, , $J$3, $K$3))),"")</f>
        <v/>
      </c>
      <c r="GI12" s="87" t="str">
        <f>IFERROR(IF(OR($B12="",GI$3=""),"",IF(AND($FQ$4="No",_xll.ciqfunctions.udf.CIQ($B12, "IQ_RD_EXP",GI$3, $I$3, $N$3, , $J$3, $K$3)&lt;=0),"",_xll.ciqfunctions.udf.CIQ($B12, "IQ_RD_EXP",GI$3, $I$3, $N$3, , $J$3, $K$3)/_xll.ciqfunctions.udf.CIQ($B12,"IQ_TOTAL_REV",GI$3, $I$3, $N$3, , $J$3, $K$3))),"")</f>
        <v/>
      </c>
      <c r="GJ12" s="88" t="str">
        <f>IFERROR(IF(OR($B12="",GJ$3=""),"",IF(AND($FQ$4="No",_xll.ciqfunctions.udf.CIQ($B12, "IQ_RD_EXP",GJ$3, $I$3, $N$3, , $J$3, $K$3)&lt;=0),"",_xll.ciqfunctions.udf.CIQ($B12, "IQ_RD_EXP",GJ$3, $I$3, $N$3, , $J$3, $K$3)/_xll.ciqfunctions.udf.CIQ($B12,"IQ_TOTAL_REV",GJ$3, $I$3, $N$3, , $J$3, $K$3))),"")</f>
        <v/>
      </c>
      <c r="GK12" s="89" t="str">
        <f>IFERROR(IF(OR($B12="",GK$3=""),"",IF(AND($GK$4="No",(_xll.ciqfunctions.udf.CIQ($B12,"IQ_AR",GK$3, $I$3, $N$3, , $J$3, $K$3)+_xll.ciqfunctions.udf.CIQ($B12,"IQ_AR","IQ_" &amp; LEFT(GK$3,2) &amp; "-1",GK$3, $N$3, , $J$3, $K$3))&lt;=0),"",$GK$2*0.5*(_xll.ciqfunctions.udf.CIQ($B12,"IQ_AR",GK$3, $I$3, $N$3, , $J$3, $K$3)+_xll.ciqfunctions.udf.CIQ($B12,"IQ_AR","IQ_" &amp; LEFT(GK$3,2) &amp; "-1",GK$3, $N$3, , $J$3, $K$3))/_xll.ciqfunctions.udf.CIQ($B12,"IQ_TOTAL_REVENUE",GK$3, $I$3, $N$3, , $J$3, $K$3))),"")</f>
        <v/>
      </c>
      <c r="GL12" s="90" t="str">
        <f>IFERROR(IF(OR($B12="",GL$3=""),"",IF(AND($GK$4="No",(_xll.ciqfunctions.udf.CIQ($B12,"IQ_AR",GL$3, $I$3, $N$3, , $J$3, $K$3)+_xll.ciqfunctions.udf.CIQ($B12,"IQ_AR","IQ_" &amp; LEFT(GL$3,2) &amp; "-1",GL$3, $N$3, , $J$3, $K$3))&lt;=0),"",$GK$2*0.5*(_xll.ciqfunctions.udf.CIQ($B12,"IQ_AR",GL$3, $I$3, $N$3, , $J$3, $K$3)+_xll.ciqfunctions.udf.CIQ($B12,"IQ_AR","IQ_" &amp; LEFT(GL$3,2) &amp; "-1",GL$3, $N$3, , $J$3, $K$3))/_xll.ciqfunctions.udf.CIQ($B12,"IQ_TOTAL_REVENUE",GL$3, $I$3, $N$3, , $J$3, $K$3))),"")</f>
        <v/>
      </c>
      <c r="GM12" s="90" t="str">
        <f>IFERROR(IF(OR($B12="",GM$3=""),"",IF(AND($GK$4="No",(_xll.ciqfunctions.udf.CIQ($B12,"IQ_AR",GM$3, $I$3, $N$3, , $J$3, $K$3)+_xll.ciqfunctions.udf.CIQ($B12,"IQ_AR","IQ_" &amp; LEFT(GM$3,2) &amp; "-1",GM$3, $N$3, , $J$3, $K$3))&lt;=0),"",$GK$2*0.5*(_xll.ciqfunctions.udf.CIQ($B12,"IQ_AR",GM$3, $I$3, $N$3, , $J$3, $K$3)+_xll.ciqfunctions.udf.CIQ($B12,"IQ_AR","IQ_" &amp; LEFT(GM$3,2) &amp; "-1",GM$3, $N$3, , $J$3, $K$3))/_xll.ciqfunctions.udf.CIQ($B12,"IQ_TOTAL_REVENUE",GM$3, $I$3, $N$3, , $J$3, $K$3))),"")</f>
        <v/>
      </c>
      <c r="GN12" s="90" t="str">
        <f>IFERROR(IF(OR($B12="",GN$3=""),"",IF(AND($GK$4="No",(_xll.ciqfunctions.udf.CIQ($B12,"IQ_AR",GN$3, $I$3, $N$3, , $J$3, $K$3)+_xll.ciqfunctions.udf.CIQ($B12,"IQ_AR","IQ_" &amp; LEFT(GN$3,2) &amp; "-1",GN$3, $N$3, , $J$3, $K$3))&lt;=0),"",$GK$2*0.5*(_xll.ciqfunctions.udf.CIQ($B12,"IQ_AR",GN$3, $I$3, $N$3, , $J$3, $K$3)+_xll.ciqfunctions.udf.CIQ($B12,"IQ_AR","IQ_" &amp; LEFT(GN$3,2) &amp; "-1",GN$3, $N$3, , $J$3, $K$3))/_xll.ciqfunctions.udf.CIQ($B12,"IQ_TOTAL_REVENUE",GN$3, $I$3, $N$3, , $J$3, $K$3))),"")</f>
        <v/>
      </c>
      <c r="GO12" s="90" t="str">
        <f>IFERROR(IF(OR($B12="",GO$3=""),"",IF(AND($GK$4="No",(_xll.ciqfunctions.udf.CIQ($B12,"IQ_AR",GO$3, $I$3, $N$3, , $J$3, $K$3)+_xll.ciqfunctions.udf.CIQ($B12,"IQ_AR","IQ_" &amp; LEFT(GO$3,2) &amp; "-1",GO$3, $N$3, , $J$3, $K$3))&lt;=0),"",$GK$2*0.5*(_xll.ciqfunctions.udf.CIQ($B12,"IQ_AR",GO$3, $I$3, $N$3, , $J$3, $K$3)+_xll.ciqfunctions.udf.CIQ($B12,"IQ_AR","IQ_" &amp; LEFT(GO$3,2) &amp; "-1",GO$3, $N$3, , $J$3, $K$3))/_xll.ciqfunctions.udf.CIQ($B12,"IQ_TOTAL_REVENUE",GO$3, $I$3, $N$3, , $J$3, $K$3))),"")</f>
        <v/>
      </c>
      <c r="GP12" s="90" t="str">
        <f>IFERROR(IF(OR($B12="",GP$3=""),"",IF(AND($GK$4="No",(_xll.ciqfunctions.udf.CIQ($B12,"IQ_AR",GP$3, $I$3, $N$3, , $J$3, $K$3)+_xll.ciqfunctions.udf.CIQ($B12,"IQ_AR","IQ_" &amp; LEFT(GP$3,2) &amp; "-1",GP$3, $N$3, , $J$3, $K$3))&lt;=0),"",$GK$2*0.5*(_xll.ciqfunctions.udf.CIQ($B12,"IQ_AR",GP$3, $I$3, $N$3, , $J$3, $K$3)+_xll.ciqfunctions.udf.CIQ($B12,"IQ_AR","IQ_" &amp; LEFT(GP$3,2) &amp; "-1",GP$3, $N$3, , $J$3, $K$3))/_xll.ciqfunctions.udf.CIQ($B12,"IQ_TOTAL_REVENUE",GP$3, $I$3, $N$3, , $J$3, $K$3))),"")</f>
        <v/>
      </c>
      <c r="GQ12" s="90" t="str">
        <f>IFERROR(IF(OR($B12="",GQ$3=""),"",IF(AND($GK$4="No",(_xll.ciqfunctions.udf.CIQ($B12,"IQ_AR",GQ$3, $I$3, $N$3, , $J$3, $K$3)+_xll.ciqfunctions.udf.CIQ($B12,"IQ_AR","IQ_" &amp; LEFT(GQ$3,2) &amp; "-1",GQ$3, $N$3, , $J$3, $K$3))&lt;=0),"",$GK$2*0.5*(_xll.ciqfunctions.udf.CIQ($B12,"IQ_AR",GQ$3, $I$3, $N$3, , $J$3, $K$3)+_xll.ciqfunctions.udf.CIQ($B12,"IQ_AR","IQ_" &amp; LEFT(GQ$3,2) &amp; "-1",GQ$3, $N$3, , $J$3, $K$3))/_xll.ciqfunctions.udf.CIQ($B12,"IQ_TOTAL_REVENUE",GQ$3, $I$3, $N$3, , $J$3, $K$3))),"")</f>
        <v/>
      </c>
      <c r="GR12" s="90" t="str">
        <f>IFERROR(IF(OR($B12="",GR$3=""),"",IF(AND($GK$4="No",(_xll.ciqfunctions.udf.CIQ($B12,"IQ_AR",GR$3, $I$3, $N$3, , $J$3, $K$3)+_xll.ciqfunctions.udf.CIQ($B12,"IQ_AR","IQ_" &amp; LEFT(GR$3,2) &amp; "-1",GR$3, $N$3, , $J$3, $K$3))&lt;=0),"",$GK$2*0.5*(_xll.ciqfunctions.udf.CIQ($B12,"IQ_AR",GR$3, $I$3, $N$3, , $J$3, $K$3)+_xll.ciqfunctions.udf.CIQ($B12,"IQ_AR","IQ_" &amp; LEFT(GR$3,2) &amp; "-1",GR$3, $N$3, , $J$3, $K$3))/_xll.ciqfunctions.udf.CIQ($B12,"IQ_TOTAL_REVENUE",GR$3, $I$3, $N$3, , $J$3, $K$3))),"")</f>
        <v/>
      </c>
      <c r="GS12" s="90" t="str">
        <f>IFERROR(IF(OR($B12="",GS$3=""),"",IF(AND($GK$4="No",(_xll.ciqfunctions.udf.CIQ($B12,"IQ_AR",GS$3, $I$3, $N$3, , $J$3, $K$3)+_xll.ciqfunctions.udf.CIQ($B12,"IQ_AR","IQ_" &amp; LEFT(GS$3,2) &amp; "-1",GS$3, $N$3, , $J$3, $K$3))&lt;=0),"",$GK$2*0.5*(_xll.ciqfunctions.udf.CIQ($B12,"IQ_AR",GS$3, $I$3, $N$3, , $J$3, $K$3)+_xll.ciqfunctions.udf.CIQ($B12,"IQ_AR","IQ_" &amp; LEFT(GS$3,2) &amp; "-1",GS$3, $N$3, , $J$3, $K$3))/_xll.ciqfunctions.udf.CIQ($B12,"IQ_TOTAL_REVENUE",GS$3, $I$3, $N$3, , $J$3, $K$3))),"")</f>
        <v/>
      </c>
      <c r="GT12" s="90" t="str">
        <f>IFERROR(IF(OR($B12="",GT$3=""),"",IF(AND($GK$4="No",(_xll.ciqfunctions.udf.CIQ($B12,"IQ_AR",GT$3, $I$3, $N$3, , $J$3, $K$3)+_xll.ciqfunctions.udf.CIQ($B12,"IQ_AR","IQ_" &amp; LEFT(GT$3,2) &amp; "-1",GT$3, $N$3, , $J$3, $K$3))&lt;=0),"",$GK$2*0.5*(_xll.ciqfunctions.udf.CIQ($B12,"IQ_AR",GT$3, $I$3, $N$3, , $J$3, $K$3)+_xll.ciqfunctions.udf.CIQ($B12,"IQ_AR","IQ_" &amp; LEFT(GT$3,2) &amp; "-1",GT$3, $N$3, , $J$3, $K$3))/_xll.ciqfunctions.udf.CIQ($B12,"IQ_TOTAL_REVENUE",GT$3, $I$3, $N$3, , $J$3, $K$3))),"")</f>
        <v/>
      </c>
      <c r="GU12" s="90" t="str">
        <f>IFERROR(IF(OR($B12="",GU$3=""),"",IF(AND($GK$4="No",(_xll.ciqfunctions.udf.CIQ($B12,"IQ_AR",GU$3, $I$3, $N$3, , $J$3, $K$3)+_xll.ciqfunctions.udf.CIQ($B12,"IQ_AR","IQ_" &amp; LEFT(GU$3,2) &amp; "-1",GU$3, $N$3, , $J$3, $K$3))&lt;=0),"",$GK$2*0.5*(_xll.ciqfunctions.udf.CIQ($B12,"IQ_AR",GU$3, $I$3, $N$3, , $J$3, $K$3)+_xll.ciqfunctions.udf.CIQ($B12,"IQ_AR","IQ_" &amp; LEFT(GU$3,2) &amp; "-1",GU$3, $N$3, , $J$3, $K$3))/_xll.ciqfunctions.udf.CIQ($B12,"IQ_TOTAL_REVENUE",GU$3, $I$3, $N$3, , $J$3, $K$3))),"")</f>
        <v/>
      </c>
      <c r="GV12" s="90" t="str">
        <f>IFERROR(IF(OR($B12="",GV$3=""),"",IF(AND($GK$4="No",(_xll.ciqfunctions.udf.CIQ($B12,"IQ_AR",GV$3, $I$3, $N$3, , $J$3, $K$3)+_xll.ciqfunctions.udf.CIQ($B12,"IQ_AR","IQ_" &amp; LEFT(GV$3,2) &amp; "-1",GV$3, $N$3, , $J$3, $K$3))&lt;=0),"",$GK$2*0.5*(_xll.ciqfunctions.udf.CIQ($B12,"IQ_AR",GV$3, $I$3, $N$3, , $J$3, $K$3)+_xll.ciqfunctions.udf.CIQ($B12,"IQ_AR","IQ_" &amp; LEFT(GV$3,2) &amp; "-1",GV$3, $N$3, , $J$3, $K$3))/_xll.ciqfunctions.udf.CIQ($B12,"IQ_TOTAL_REVENUE",GV$3, $I$3, $N$3, , $J$3, $K$3))),"")</f>
        <v/>
      </c>
      <c r="GW12" s="90" t="str">
        <f>IFERROR(IF(OR($B12="",GW$3=""),"",IF(AND($GK$4="No",(_xll.ciqfunctions.udf.CIQ($B12,"IQ_AR",GW$3, $I$3, $N$3, , $J$3, $K$3)+_xll.ciqfunctions.udf.CIQ($B12,"IQ_AR","IQ_" &amp; LEFT(GW$3,2) &amp; "-1",GW$3, $N$3, , $J$3, $K$3))&lt;=0),"",$GK$2*0.5*(_xll.ciqfunctions.udf.CIQ($B12,"IQ_AR",GW$3, $I$3, $N$3, , $J$3, $K$3)+_xll.ciqfunctions.udf.CIQ($B12,"IQ_AR","IQ_" &amp; LEFT(GW$3,2) &amp; "-1",GW$3, $N$3, , $J$3, $K$3))/_xll.ciqfunctions.udf.CIQ($B12,"IQ_TOTAL_REVENUE",GW$3, $I$3, $N$3, , $J$3, $K$3))),"")</f>
        <v/>
      </c>
      <c r="GX12" s="90" t="str">
        <f>IFERROR(IF(OR($B12="",GX$3=""),"",IF(AND($GK$4="No",(_xll.ciqfunctions.udf.CIQ($B12,"IQ_AR",GX$3, $I$3, $N$3, , $J$3, $K$3)+_xll.ciqfunctions.udf.CIQ($B12,"IQ_AR","IQ_" &amp; LEFT(GX$3,2) &amp; "-1",GX$3, $N$3, , $J$3, $K$3))&lt;=0),"",$GK$2*0.5*(_xll.ciqfunctions.udf.CIQ($B12,"IQ_AR",GX$3, $I$3, $N$3, , $J$3, $K$3)+_xll.ciqfunctions.udf.CIQ($B12,"IQ_AR","IQ_" &amp; LEFT(GX$3,2) &amp; "-1",GX$3, $N$3, , $J$3, $K$3))/_xll.ciqfunctions.udf.CIQ($B12,"IQ_TOTAL_REVENUE",GX$3, $I$3, $N$3, , $J$3, $K$3))),"")</f>
        <v/>
      </c>
      <c r="GY12" s="90" t="str">
        <f>IFERROR(IF(OR($B12="",GY$3=""),"",IF(AND($GK$4="No",(_xll.ciqfunctions.udf.CIQ($B12,"IQ_AR",GY$3, $I$3, $N$3, , $J$3, $K$3)+_xll.ciqfunctions.udf.CIQ($B12,"IQ_AR","IQ_" &amp; LEFT(GY$3,2) &amp; "-1",GY$3, $N$3, , $J$3, $K$3))&lt;=0),"",$GK$2*0.5*(_xll.ciqfunctions.udf.CIQ($B12,"IQ_AR",GY$3, $I$3, $N$3, , $J$3, $K$3)+_xll.ciqfunctions.udf.CIQ($B12,"IQ_AR","IQ_" &amp; LEFT(GY$3,2) &amp; "-1",GY$3, $N$3, , $J$3, $K$3))/_xll.ciqfunctions.udf.CIQ($B12,"IQ_TOTAL_REVENUE",GY$3, $I$3, $N$3, , $J$3, $K$3))),"")</f>
        <v/>
      </c>
      <c r="GZ12" s="90" t="str">
        <f>IFERROR(IF(OR($B12="",GZ$3=""),"",IF(AND($GK$4="No",(_xll.ciqfunctions.udf.CIQ($B12,"IQ_AR",GZ$3, $I$3, $N$3, , $J$3, $K$3)+_xll.ciqfunctions.udf.CIQ($B12,"IQ_AR","IQ_" &amp; LEFT(GZ$3,2) &amp; "-1",GZ$3, $N$3, , $J$3, $K$3))&lt;=0),"",$GK$2*0.5*(_xll.ciqfunctions.udf.CIQ($B12,"IQ_AR",GZ$3, $I$3, $N$3, , $J$3, $K$3)+_xll.ciqfunctions.udf.CIQ($B12,"IQ_AR","IQ_" &amp; LEFT(GZ$3,2) &amp; "-1",GZ$3, $N$3, , $J$3, $K$3))/_xll.ciqfunctions.udf.CIQ($B12,"IQ_TOTAL_REVENUE",GZ$3, $I$3, $N$3, , $J$3, $K$3))),"")</f>
        <v/>
      </c>
      <c r="HA12" s="90" t="str">
        <f>IFERROR(IF(OR($B12="",HA$3=""),"",IF(AND($GK$4="No",(_xll.ciqfunctions.udf.CIQ($B12,"IQ_AR",HA$3, $I$3, $N$3, , $J$3, $K$3)+_xll.ciqfunctions.udf.CIQ($B12,"IQ_AR","IQ_" &amp; LEFT(HA$3,2) &amp; "-1",HA$3, $N$3, , $J$3, $K$3))&lt;=0),"",$GK$2*0.5*(_xll.ciqfunctions.udf.CIQ($B12,"IQ_AR",HA$3, $I$3, $N$3, , $J$3, $K$3)+_xll.ciqfunctions.udf.CIQ($B12,"IQ_AR","IQ_" &amp; LEFT(HA$3,2) &amp; "-1",HA$3, $N$3, , $J$3, $K$3))/_xll.ciqfunctions.udf.CIQ($B12,"IQ_TOTAL_REVENUE",HA$3, $I$3, $N$3, , $J$3, $K$3))),"")</f>
        <v/>
      </c>
      <c r="HB12" s="90" t="str">
        <f>IFERROR(IF(OR($B12="",HB$3=""),"",IF(AND($GK$4="No",(_xll.ciqfunctions.udf.CIQ($B12,"IQ_AR",HB$3, $I$3, $N$3, , $J$3, $K$3)+_xll.ciqfunctions.udf.CIQ($B12,"IQ_AR","IQ_" &amp; LEFT(HB$3,2) &amp; "-1",HB$3, $N$3, , $J$3, $K$3))&lt;=0),"",$GK$2*0.5*(_xll.ciqfunctions.udf.CIQ($B12,"IQ_AR",HB$3, $I$3, $N$3, , $J$3, $K$3)+_xll.ciqfunctions.udf.CIQ($B12,"IQ_AR","IQ_" &amp; LEFT(HB$3,2) &amp; "-1",HB$3, $N$3, , $J$3, $K$3))/_xll.ciqfunctions.udf.CIQ($B12,"IQ_TOTAL_REVENUE",HB$3, $I$3, $N$3, , $J$3, $K$3))),"")</f>
        <v/>
      </c>
      <c r="HC12" s="90" t="str">
        <f>IFERROR(IF(OR($B12="",HC$3=""),"",IF(AND($GK$4="No",(_xll.ciqfunctions.udf.CIQ($B12,"IQ_AR",HC$3, $I$3, $N$3, , $J$3, $K$3)+_xll.ciqfunctions.udf.CIQ($B12,"IQ_AR","IQ_" &amp; LEFT(HC$3,2) &amp; "-1",HC$3, $N$3, , $J$3, $K$3))&lt;=0),"",$GK$2*0.5*(_xll.ciqfunctions.udf.CIQ($B12,"IQ_AR",HC$3, $I$3, $N$3, , $J$3, $K$3)+_xll.ciqfunctions.udf.CIQ($B12,"IQ_AR","IQ_" &amp; LEFT(HC$3,2) &amp; "-1",HC$3, $N$3, , $J$3, $K$3))/_xll.ciqfunctions.udf.CIQ($B12,"IQ_TOTAL_REVENUE",HC$3, $I$3, $N$3, , $J$3, $K$3))),"")</f>
        <v/>
      </c>
      <c r="HD12" s="91" t="str">
        <f>IFERROR(IF(OR($B12="",HD$3=""),"",IF(AND($GK$4="No",(_xll.ciqfunctions.udf.CIQ($B12,"IQ_AR",HD$3, $I$3, $N$3, , $J$3, $K$3)+_xll.ciqfunctions.udf.CIQ($B12,"IQ_AR","IQ_" &amp; LEFT(HD$3,2) &amp; "-1",HD$3, $N$3, , $J$3, $K$3))&lt;=0),"",$GK$2*0.5*(_xll.ciqfunctions.udf.CIQ($B12,"IQ_AR",HD$3, $I$3, $N$3, , $J$3, $K$3)+_xll.ciqfunctions.udf.CIQ($B12,"IQ_AR","IQ_" &amp; LEFT(HD$3,2) &amp; "-1",HD$3, $N$3, , $J$3, $K$3))/_xll.ciqfunctions.udf.CIQ($B12,"IQ_TOTAL_REVENUE",HD$3, $I$3, $N$3, , $J$3, $K$3))),"")</f>
        <v/>
      </c>
      <c r="HE12" s="89" t="str">
        <f>IFERROR(IF(OR($B12="",HE$3=""),"",IF(AND($HE$4="No",(_xll.ciqfunctions.udf.CIQ($B12,"IQ_INVENTORY",HE$3,$I$3, $N$3, , $J$3, $K$3)+_xll.ciqfunctions.udf.CIQ($B12,"IQ_INVENTORY","IQ_" &amp; LEFT(HE$3,2) &amp; "-1", HE$3, $N$3, , $J$3, $K$3))&lt;=0),0,$HE$2*0.5*(_xll.ciqfunctions.udf.CIQ($B12,"IQ_INVENTORY",HE$3,$I$3, $N$3, , $J$3, $K$3)+_xll.ciqfunctions.udf.CIQ($B12,"IQ_INVENTORY","IQ_" &amp; LEFT(HE$3,2) &amp; "-1", HE$3, $N$3, , $J$3, $K$3))/_xll.ciqfunctions.udf.CIQ($B12,"IQ_COGS",HE$3,$I$3, $N$3, , $J$3, $K$3))),"")</f>
        <v/>
      </c>
      <c r="HF12" s="90" t="str">
        <f>IFERROR(IF(OR($B12="",HF$3=""),"",IF(AND($HE$4="No",(_xll.ciqfunctions.udf.CIQ($B12,"IQ_INVENTORY",HF$3,$I$3, $N$3, , $J$3, $K$3)+_xll.ciqfunctions.udf.CIQ($B12,"IQ_INVENTORY","IQ_" &amp; LEFT(HF$3,2) &amp; "-1", HF$3, $N$3, , $J$3, $K$3))&lt;=0),0,$HE$2*0.5*(_xll.ciqfunctions.udf.CIQ($B12,"IQ_INVENTORY",HF$3,$I$3, $N$3, , $J$3, $K$3)+_xll.ciqfunctions.udf.CIQ($B12,"IQ_INVENTORY","IQ_" &amp; LEFT(HF$3,2) &amp; "-1", HF$3, $N$3, , $J$3, $K$3))/_xll.ciqfunctions.udf.CIQ($B12,"IQ_COGS",HF$3,$I$3, $N$3, , $J$3, $K$3))),"")</f>
        <v/>
      </c>
      <c r="HG12" s="90" t="str">
        <f>IFERROR(IF(OR($B12="",HG$3=""),"",IF(AND($HE$4="No",(_xll.ciqfunctions.udf.CIQ($B12,"IQ_INVENTORY",HG$3,$I$3, $N$3, , $J$3, $K$3)+_xll.ciqfunctions.udf.CIQ($B12,"IQ_INVENTORY","IQ_" &amp; LEFT(HG$3,2) &amp; "-1", HG$3, $N$3, , $J$3, $K$3))&lt;=0),0,$HE$2*0.5*(_xll.ciqfunctions.udf.CIQ($B12,"IQ_INVENTORY",HG$3,$I$3, $N$3, , $J$3, $K$3)+_xll.ciqfunctions.udf.CIQ($B12,"IQ_INVENTORY","IQ_" &amp; LEFT(HG$3,2) &amp; "-1", HG$3, $N$3, , $J$3, $K$3))/_xll.ciqfunctions.udf.CIQ($B12,"IQ_COGS",HG$3,$I$3, $N$3, , $J$3, $K$3))),"")</f>
        <v/>
      </c>
      <c r="HH12" s="90" t="str">
        <f>IFERROR(IF(OR($B12="",HH$3=""),"",IF(AND($HE$4="No",(_xll.ciqfunctions.udf.CIQ($B12,"IQ_INVENTORY",HH$3,$I$3, $N$3, , $J$3, $K$3)+_xll.ciqfunctions.udf.CIQ($B12,"IQ_INVENTORY","IQ_" &amp; LEFT(HH$3,2) &amp; "-1", HH$3, $N$3, , $J$3, $K$3))&lt;=0),0,$HE$2*0.5*(_xll.ciqfunctions.udf.CIQ($B12,"IQ_INVENTORY",HH$3,$I$3, $N$3, , $J$3, $K$3)+_xll.ciqfunctions.udf.CIQ($B12,"IQ_INVENTORY","IQ_" &amp; LEFT(HH$3,2) &amp; "-1", HH$3, $N$3, , $J$3, $K$3))/_xll.ciqfunctions.udf.CIQ($B12,"IQ_COGS",HH$3,$I$3, $N$3, , $J$3, $K$3))),"")</f>
        <v/>
      </c>
      <c r="HI12" s="90" t="str">
        <f>IFERROR(IF(OR($B12="",HI$3=""),"",IF(AND($HE$4="No",(_xll.ciqfunctions.udf.CIQ($B12,"IQ_INVENTORY",HI$3,$I$3, $N$3, , $J$3, $K$3)+_xll.ciqfunctions.udf.CIQ($B12,"IQ_INVENTORY","IQ_" &amp; LEFT(HI$3,2) &amp; "-1", HI$3, $N$3, , $J$3, $K$3))&lt;=0),0,$HE$2*0.5*(_xll.ciqfunctions.udf.CIQ($B12,"IQ_INVENTORY",HI$3,$I$3, $N$3, , $J$3, $K$3)+_xll.ciqfunctions.udf.CIQ($B12,"IQ_INVENTORY","IQ_" &amp; LEFT(HI$3,2) &amp; "-1", HI$3, $N$3, , $J$3, $K$3))/_xll.ciqfunctions.udf.CIQ($B12,"IQ_COGS",HI$3,$I$3, $N$3, , $J$3, $K$3))),"")</f>
        <v/>
      </c>
      <c r="HJ12" s="90" t="str">
        <f>IFERROR(IF(OR($B12="",HJ$3=""),"",IF(AND($HE$4="No",(_xll.ciqfunctions.udf.CIQ($B12,"IQ_INVENTORY",HJ$3,$I$3, $N$3, , $J$3, $K$3)+_xll.ciqfunctions.udf.CIQ($B12,"IQ_INVENTORY","IQ_" &amp; LEFT(HJ$3,2) &amp; "-1", HJ$3, $N$3, , $J$3, $K$3))&lt;=0),0,$HE$2*0.5*(_xll.ciqfunctions.udf.CIQ($B12,"IQ_INVENTORY",HJ$3,$I$3, $N$3, , $J$3, $K$3)+_xll.ciqfunctions.udf.CIQ($B12,"IQ_INVENTORY","IQ_" &amp; LEFT(HJ$3,2) &amp; "-1", HJ$3, $N$3, , $J$3, $K$3))/_xll.ciqfunctions.udf.CIQ($B12,"IQ_COGS",HJ$3,$I$3, $N$3, , $J$3, $K$3))),"")</f>
        <v/>
      </c>
      <c r="HK12" s="90" t="str">
        <f>IFERROR(IF(OR($B12="",HK$3=""),"",IF(AND($HE$4="No",(_xll.ciqfunctions.udf.CIQ($B12,"IQ_INVENTORY",HK$3,$I$3, $N$3, , $J$3, $K$3)+_xll.ciqfunctions.udf.CIQ($B12,"IQ_INVENTORY","IQ_" &amp; LEFT(HK$3,2) &amp; "-1", HK$3, $N$3, , $J$3, $K$3))&lt;=0),0,$HE$2*0.5*(_xll.ciqfunctions.udf.CIQ($B12,"IQ_INVENTORY",HK$3,$I$3, $N$3, , $J$3, $K$3)+_xll.ciqfunctions.udf.CIQ($B12,"IQ_INVENTORY","IQ_" &amp; LEFT(HK$3,2) &amp; "-1", HK$3, $N$3, , $J$3, $K$3))/_xll.ciqfunctions.udf.CIQ($B12,"IQ_COGS",HK$3,$I$3, $N$3, , $J$3, $K$3))),"")</f>
        <v/>
      </c>
      <c r="HL12" s="90" t="str">
        <f>IFERROR(IF(OR($B12="",HL$3=""),"",IF(AND($HE$4="No",(_xll.ciqfunctions.udf.CIQ($B12,"IQ_INVENTORY",HL$3,$I$3, $N$3, , $J$3, $K$3)+_xll.ciqfunctions.udf.CIQ($B12,"IQ_INVENTORY","IQ_" &amp; LEFT(HL$3,2) &amp; "-1", HL$3, $N$3, , $J$3, $K$3))&lt;=0),0,$HE$2*0.5*(_xll.ciqfunctions.udf.CIQ($B12,"IQ_INVENTORY",HL$3,$I$3, $N$3, , $J$3, $K$3)+_xll.ciqfunctions.udf.CIQ($B12,"IQ_INVENTORY","IQ_" &amp; LEFT(HL$3,2) &amp; "-1", HL$3, $N$3, , $J$3, $K$3))/_xll.ciqfunctions.udf.CIQ($B12,"IQ_COGS",HL$3,$I$3, $N$3, , $J$3, $K$3))),"")</f>
        <v/>
      </c>
      <c r="HM12" s="90" t="str">
        <f>IFERROR(IF(OR($B12="",HM$3=""),"",IF(AND($HE$4="No",(_xll.ciqfunctions.udf.CIQ($B12,"IQ_INVENTORY",HM$3,$I$3, $N$3, , $J$3, $K$3)+_xll.ciqfunctions.udf.CIQ($B12,"IQ_INVENTORY","IQ_" &amp; LEFT(HM$3,2) &amp; "-1", HM$3, $N$3, , $J$3, $K$3))&lt;=0),0,$HE$2*0.5*(_xll.ciqfunctions.udf.CIQ($B12,"IQ_INVENTORY",HM$3,$I$3, $N$3, , $J$3, $K$3)+_xll.ciqfunctions.udf.CIQ($B12,"IQ_INVENTORY","IQ_" &amp; LEFT(HM$3,2) &amp; "-1", HM$3, $N$3, , $J$3, $K$3))/_xll.ciqfunctions.udf.CIQ($B12,"IQ_COGS",HM$3,$I$3, $N$3, , $J$3, $K$3))),"")</f>
        <v/>
      </c>
      <c r="HN12" s="90" t="str">
        <f>IFERROR(IF(OR($B12="",HN$3=""),"",IF(AND($HE$4="No",(_xll.ciqfunctions.udf.CIQ($B12,"IQ_INVENTORY",HN$3,$I$3, $N$3, , $J$3, $K$3)+_xll.ciqfunctions.udf.CIQ($B12,"IQ_INVENTORY","IQ_" &amp; LEFT(HN$3,2) &amp; "-1", HN$3, $N$3, , $J$3, $K$3))&lt;=0),0,$HE$2*0.5*(_xll.ciqfunctions.udf.CIQ($B12,"IQ_INVENTORY",HN$3,$I$3, $N$3, , $J$3, $K$3)+_xll.ciqfunctions.udf.CIQ($B12,"IQ_INVENTORY","IQ_" &amp; LEFT(HN$3,2) &amp; "-1", HN$3, $N$3, , $J$3, $K$3))/_xll.ciqfunctions.udf.CIQ($B12,"IQ_COGS",HN$3,$I$3, $N$3, , $J$3, $K$3))),"")</f>
        <v/>
      </c>
      <c r="HO12" s="90" t="str">
        <f>IFERROR(IF(OR($B12="",HO$3=""),"",IF(AND($HE$4="No",(_xll.ciqfunctions.udf.CIQ($B12,"IQ_INVENTORY",HO$3,$I$3, $N$3, , $J$3, $K$3)+_xll.ciqfunctions.udf.CIQ($B12,"IQ_INVENTORY","IQ_" &amp; LEFT(HO$3,2) &amp; "-1", HO$3, $N$3, , $J$3, $K$3))&lt;=0),0,$HE$2*0.5*(_xll.ciqfunctions.udf.CIQ($B12,"IQ_INVENTORY",HO$3,$I$3, $N$3, , $J$3, $K$3)+_xll.ciqfunctions.udf.CIQ($B12,"IQ_INVENTORY","IQ_" &amp; LEFT(HO$3,2) &amp; "-1", HO$3, $N$3, , $J$3, $K$3))/_xll.ciqfunctions.udf.CIQ($B12,"IQ_COGS",HO$3,$I$3, $N$3, , $J$3, $K$3))),"")</f>
        <v/>
      </c>
      <c r="HP12" s="90" t="str">
        <f>IFERROR(IF(OR($B12="",HP$3=""),"",IF(AND($HE$4="No",(_xll.ciqfunctions.udf.CIQ($B12,"IQ_INVENTORY",HP$3,$I$3, $N$3, , $J$3, $K$3)+_xll.ciqfunctions.udf.CIQ($B12,"IQ_INVENTORY","IQ_" &amp; LEFT(HP$3,2) &amp; "-1", HP$3, $N$3, , $J$3, $K$3))&lt;=0),0,$HE$2*0.5*(_xll.ciqfunctions.udf.CIQ($B12,"IQ_INVENTORY",HP$3,$I$3, $N$3, , $J$3, $K$3)+_xll.ciqfunctions.udf.CIQ($B12,"IQ_INVENTORY","IQ_" &amp; LEFT(HP$3,2) &amp; "-1", HP$3, $N$3, , $J$3, $K$3))/_xll.ciqfunctions.udf.CIQ($B12,"IQ_COGS",HP$3,$I$3, $N$3, , $J$3, $K$3))),"")</f>
        <v/>
      </c>
      <c r="HQ12" s="90" t="str">
        <f>IFERROR(IF(OR($B12="",HQ$3=""),"",IF(AND($HE$4="No",(_xll.ciqfunctions.udf.CIQ($B12,"IQ_INVENTORY",HQ$3,$I$3, $N$3, , $J$3, $K$3)+_xll.ciqfunctions.udf.CIQ($B12,"IQ_INVENTORY","IQ_" &amp; LEFT(HQ$3,2) &amp; "-1", HQ$3, $N$3, , $J$3, $K$3))&lt;=0),0,$HE$2*0.5*(_xll.ciqfunctions.udf.CIQ($B12,"IQ_INVENTORY",HQ$3,$I$3, $N$3, , $J$3, $K$3)+_xll.ciqfunctions.udf.CIQ($B12,"IQ_INVENTORY","IQ_" &amp; LEFT(HQ$3,2) &amp; "-1", HQ$3, $N$3, , $J$3, $K$3))/_xll.ciqfunctions.udf.CIQ($B12,"IQ_COGS",HQ$3,$I$3, $N$3, , $J$3, $K$3))),"")</f>
        <v/>
      </c>
      <c r="HR12" s="90" t="str">
        <f>IFERROR(IF(OR($B12="",HR$3=""),"",IF(AND($HE$4="No",(_xll.ciqfunctions.udf.CIQ($B12,"IQ_INVENTORY",HR$3,$I$3, $N$3, , $J$3, $K$3)+_xll.ciqfunctions.udf.CIQ($B12,"IQ_INVENTORY","IQ_" &amp; LEFT(HR$3,2) &amp; "-1", HR$3, $N$3, , $J$3, $K$3))&lt;=0),0,$HE$2*0.5*(_xll.ciqfunctions.udf.CIQ($B12,"IQ_INVENTORY",HR$3,$I$3, $N$3, , $J$3, $K$3)+_xll.ciqfunctions.udf.CIQ($B12,"IQ_INVENTORY","IQ_" &amp; LEFT(HR$3,2) &amp; "-1", HR$3, $N$3, , $J$3, $K$3))/_xll.ciqfunctions.udf.CIQ($B12,"IQ_COGS",HR$3,$I$3, $N$3, , $J$3, $K$3))),"")</f>
        <v/>
      </c>
      <c r="HS12" s="90" t="str">
        <f>IFERROR(IF(OR($B12="",HS$3=""),"",IF(AND($HE$4="No",(_xll.ciqfunctions.udf.CIQ($B12,"IQ_INVENTORY",HS$3,$I$3, $N$3, , $J$3, $K$3)+_xll.ciqfunctions.udf.CIQ($B12,"IQ_INVENTORY","IQ_" &amp; LEFT(HS$3,2) &amp; "-1", HS$3, $N$3, , $J$3, $K$3))&lt;=0),0,$HE$2*0.5*(_xll.ciqfunctions.udf.CIQ($B12,"IQ_INVENTORY",HS$3,$I$3, $N$3, , $J$3, $K$3)+_xll.ciqfunctions.udf.CIQ($B12,"IQ_INVENTORY","IQ_" &amp; LEFT(HS$3,2) &amp; "-1", HS$3, $N$3, , $J$3, $K$3))/_xll.ciqfunctions.udf.CIQ($B12,"IQ_COGS",HS$3,$I$3, $N$3, , $J$3, $K$3))),"")</f>
        <v/>
      </c>
      <c r="HT12" s="90" t="str">
        <f>IFERROR(IF(OR($B12="",HT$3=""),"",IF(AND($HE$4="No",(_xll.ciqfunctions.udf.CIQ($B12,"IQ_INVENTORY",HT$3,$I$3, $N$3, , $J$3, $K$3)+_xll.ciqfunctions.udf.CIQ($B12,"IQ_INVENTORY","IQ_" &amp; LEFT(HT$3,2) &amp; "-1", HT$3, $N$3, , $J$3, $K$3))&lt;=0),0,$HE$2*0.5*(_xll.ciqfunctions.udf.CIQ($B12,"IQ_INVENTORY",HT$3,$I$3, $N$3, , $J$3, $K$3)+_xll.ciqfunctions.udf.CIQ($B12,"IQ_INVENTORY","IQ_" &amp; LEFT(HT$3,2) &amp; "-1", HT$3, $N$3, , $J$3, $K$3))/_xll.ciqfunctions.udf.CIQ($B12,"IQ_COGS",HT$3,$I$3, $N$3, , $J$3, $K$3))),"")</f>
        <v/>
      </c>
      <c r="HU12" s="90" t="str">
        <f>IFERROR(IF(OR($B12="",HU$3=""),"",IF(AND($HE$4="No",(_xll.ciqfunctions.udf.CIQ($B12,"IQ_INVENTORY",HU$3,$I$3, $N$3, , $J$3, $K$3)+_xll.ciqfunctions.udf.CIQ($B12,"IQ_INVENTORY","IQ_" &amp; LEFT(HU$3,2) &amp; "-1", HU$3, $N$3, , $J$3, $K$3))&lt;=0),0,$HE$2*0.5*(_xll.ciqfunctions.udf.CIQ($B12,"IQ_INVENTORY",HU$3,$I$3, $N$3, , $J$3, $K$3)+_xll.ciqfunctions.udf.CIQ($B12,"IQ_INVENTORY","IQ_" &amp; LEFT(HU$3,2) &amp; "-1", HU$3, $N$3, , $J$3, $K$3))/_xll.ciqfunctions.udf.CIQ($B12,"IQ_COGS",HU$3,$I$3, $N$3, , $J$3, $K$3))),"")</f>
        <v/>
      </c>
      <c r="HV12" s="90" t="str">
        <f>IFERROR(IF(OR($B12="",HV$3=""),"",IF(AND($HE$4="No",(_xll.ciqfunctions.udf.CIQ($B12,"IQ_INVENTORY",HV$3,$I$3, $N$3, , $J$3, $K$3)+_xll.ciqfunctions.udf.CIQ($B12,"IQ_INVENTORY","IQ_" &amp; LEFT(HV$3,2) &amp; "-1", HV$3, $N$3, , $J$3, $K$3))&lt;=0),0,$HE$2*0.5*(_xll.ciqfunctions.udf.CIQ($B12,"IQ_INVENTORY",HV$3,$I$3, $N$3, , $J$3, $K$3)+_xll.ciqfunctions.udf.CIQ($B12,"IQ_INVENTORY","IQ_" &amp; LEFT(HV$3,2) &amp; "-1", HV$3, $N$3, , $J$3, $K$3))/_xll.ciqfunctions.udf.CIQ($B12,"IQ_COGS",HV$3,$I$3, $N$3, , $J$3, $K$3))),"")</f>
        <v/>
      </c>
      <c r="HW12" s="90" t="str">
        <f>IFERROR(IF(OR($B12="",HW$3=""),"",IF(AND($HE$4="No",(_xll.ciqfunctions.udf.CIQ($B12,"IQ_INVENTORY",HW$3,$I$3, $N$3, , $J$3, $K$3)+_xll.ciqfunctions.udf.CIQ($B12,"IQ_INVENTORY","IQ_" &amp; LEFT(HW$3,2) &amp; "-1", HW$3, $N$3, , $J$3, $K$3))&lt;=0),0,$HE$2*0.5*(_xll.ciqfunctions.udf.CIQ($B12,"IQ_INVENTORY",HW$3,$I$3, $N$3, , $J$3, $K$3)+_xll.ciqfunctions.udf.CIQ($B12,"IQ_INVENTORY","IQ_" &amp; LEFT(HW$3,2) &amp; "-1", HW$3, $N$3, , $J$3, $K$3))/_xll.ciqfunctions.udf.CIQ($B12,"IQ_COGS",HW$3,$I$3, $N$3, , $J$3, $K$3))),"")</f>
        <v/>
      </c>
      <c r="HX12" s="91" t="str">
        <f>IFERROR(IF(OR($B12="",HX$3=""),"",IF(AND($HE$4="No",(_xll.ciqfunctions.udf.CIQ($B12,"IQ_INVENTORY",HX$3,$I$3, $N$3, , $J$3, $K$3)+_xll.ciqfunctions.udf.CIQ($B12,"IQ_INVENTORY","IQ_" &amp; LEFT(HX$3,2) &amp; "-1", HX$3, $N$3, , $J$3, $K$3))&lt;=0),0,$HE$2*0.5*(_xll.ciqfunctions.udf.CIQ($B12,"IQ_INVENTORY",HX$3,$I$3, $N$3, , $J$3, $K$3)+_xll.ciqfunctions.udf.CIQ($B12,"IQ_INVENTORY","IQ_" &amp; LEFT(HX$3,2) &amp; "-1", HX$3, $N$3, , $J$3, $K$3))/_xll.ciqfunctions.udf.CIQ($B12,"IQ_COGS",HX$3,$I$3, $N$3, , $J$3, $K$3))),"")</f>
        <v/>
      </c>
      <c r="HY12" s="89" t="str">
        <f>IFERROR(IF(OR($B12="",HY$3=""),"",IF(AND($HY$4="No",(_xll.ciqfunctions.udf.CIQ($B12,"IQ_AP",HY$3,$I$3, $N$3, , $J$3, $K$3)+_xll.ciqfunctions.udf.CIQ($B12,"IQ_AP","IQ_" &amp; LEFT(HY$3,2) &amp; "-1", HY$3, $N$3, , $J$3, $K$3))&lt;=0),"",(_xll.ciqfunctions.udf.CIQ($B12,"IQ_AP",HY$3,$I$3, $N$3, , $J$3, $K$3)+_xll.ciqfunctions.udf.CIQ($B12,"IQ_AP","IQ_" &amp; LEFT(HY$3,2) &amp; "-1", HY$3, $N$3, , $J$3, $K$3))/_xll.ciqfunctions.udf.CIQ($B12,"IQ_COGS",HY$3,$I$3, $N$3, , $J$3, $K$3)*$HY$2*0.5)),"")</f>
        <v/>
      </c>
      <c r="HZ12" s="90" t="str">
        <f>IFERROR(IF(OR($B12="",HZ$3=""),"",IF(AND($HY$4="No",(_xll.ciqfunctions.udf.CIQ($B12,"IQ_AP",HZ$3,$I$3, $N$3, , $J$3, $K$3)+_xll.ciqfunctions.udf.CIQ($B12,"IQ_AP","IQ_" &amp; LEFT(HZ$3,2) &amp; "-1", HZ$3, $N$3, , $J$3, $K$3))&lt;=0),"",(_xll.ciqfunctions.udf.CIQ($B12,"IQ_AP",HZ$3,$I$3, $N$3, , $J$3, $K$3)+_xll.ciqfunctions.udf.CIQ($B12,"IQ_AP","IQ_" &amp; LEFT(HZ$3,2) &amp; "-1", HZ$3, $N$3, , $J$3, $K$3))/_xll.ciqfunctions.udf.CIQ($B12,"IQ_COGS",HZ$3,$I$3, $N$3, , $J$3, $K$3)*$HY$2*0.5)),"")</f>
        <v/>
      </c>
      <c r="IA12" s="90" t="str">
        <f>IFERROR(IF(OR($B12="",IA$3=""),"",IF(AND($HY$4="No",(_xll.ciqfunctions.udf.CIQ($B12,"IQ_AP",IA$3,$I$3, $N$3, , $J$3, $K$3)+_xll.ciqfunctions.udf.CIQ($B12,"IQ_AP","IQ_" &amp; LEFT(IA$3,2) &amp; "-1", IA$3, $N$3, , $J$3, $K$3))&lt;=0),"",(_xll.ciqfunctions.udf.CIQ($B12,"IQ_AP",IA$3,$I$3, $N$3, , $J$3, $K$3)+_xll.ciqfunctions.udf.CIQ($B12,"IQ_AP","IQ_" &amp; LEFT(IA$3,2) &amp; "-1", IA$3, $N$3, , $J$3, $K$3))/_xll.ciqfunctions.udf.CIQ($B12,"IQ_COGS",IA$3,$I$3, $N$3, , $J$3, $K$3)*$HY$2*0.5)),"")</f>
        <v/>
      </c>
      <c r="IB12" s="90" t="str">
        <f>IFERROR(IF(OR($B12="",IB$3=""),"",IF(AND($HY$4="No",(_xll.ciqfunctions.udf.CIQ($B12,"IQ_AP",IB$3,$I$3, $N$3, , $J$3, $K$3)+_xll.ciqfunctions.udf.CIQ($B12,"IQ_AP","IQ_" &amp; LEFT(IB$3,2) &amp; "-1", IB$3, $N$3, , $J$3, $K$3))&lt;=0),"",(_xll.ciqfunctions.udf.CIQ($B12,"IQ_AP",IB$3,$I$3, $N$3, , $J$3, $K$3)+_xll.ciqfunctions.udf.CIQ($B12,"IQ_AP","IQ_" &amp; LEFT(IB$3,2) &amp; "-1", IB$3, $N$3, , $J$3, $K$3))/_xll.ciqfunctions.udf.CIQ($B12,"IQ_COGS",IB$3,$I$3, $N$3, , $J$3, $K$3)*$HY$2*0.5)),"")</f>
        <v/>
      </c>
      <c r="IC12" s="90" t="str">
        <f>IFERROR(IF(OR($B12="",IC$3=""),"",IF(AND($HY$4="No",(_xll.ciqfunctions.udf.CIQ($B12,"IQ_AP",IC$3,$I$3, $N$3, , $J$3, $K$3)+_xll.ciqfunctions.udf.CIQ($B12,"IQ_AP","IQ_" &amp; LEFT(IC$3,2) &amp; "-1", IC$3, $N$3, , $J$3, $K$3))&lt;=0),"",(_xll.ciqfunctions.udf.CIQ($B12,"IQ_AP",IC$3,$I$3, $N$3, , $J$3, $K$3)+_xll.ciqfunctions.udf.CIQ($B12,"IQ_AP","IQ_" &amp; LEFT(IC$3,2) &amp; "-1", IC$3, $N$3, , $J$3, $K$3))/_xll.ciqfunctions.udf.CIQ($B12,"IQ_COGS",IC$3,$I$3, $N$3, , $J$3, $K$3)*$HY$2*0.5)),"")</f>
        <v/>
      </c>
      <c r="ID12" s="90" t="str">
        <f>IFERROR(IF(OR($B12="",ID$3=""),"",IF(AND($HY$4="No",(_xll.ciqfunctions.udf.CIQ($B12,"IQ_AP",ID$3,$I$3, $N$3, , $J$3, $K$3)+_xll.ciqfunctions.udf.CIQ($B12,"IQ_AP","IQ_" &amp; LEFT(ID$3,2) &amp; "-1", ID$3, $N$3, , $J$3, $K$3))&lt;=0),"",(_xll.ciqfunctions.udf.CIQ($B12,"IQ_AP",ID$3,$I$3, $N$3, , $J$3, $K$3)+_xll.ciqfunctions.udf.CIQ($B12,"IQ_AP","IQ_" &amp; LEFT(ID$3,2) &amp; "-1", ID$3, $N$3, , $J$3, $K$3))/_xll.ciqfunctions.udf.CIQ($B12,"IQ_COGS",ID$3,$I$3, $N$3, , $J$3, $K$3)*$HY$2*0.5)),"")</f>
        <v/>
      </c>
      <c r="IE12" s="90" t="str">
        <f>IFERROR(IF(OR($B12="",IE$3=""),"",IF(AND($HY$4="No",(_xll.ciqfunctions.udf.CIQ($B12,"IQ_AP",IE$3,$I$3, $N$3, , $J$3, $K$3)+_xll.ciqfunctions.udf.CIQ($B12,"IQ_AP","IQ_" &amp; LEFT(IE$3,2) &amp; "-1", IE$3, $N$3, , $J$3, $K$3))&lt;=0),"",(_xll.ciqfunctions.udf.CIQ($B12,"IQ_AP",IE$3,$I$3, $N$3, , $J$3, $K$3)+_xll.ciqfunctions.udf.CIQ($B12,"IQ_AP","IQ_" &amp; LEFT(IE$3,2) &amp; "-1", IE$3, $N$3, , $J$3, $K$3))/_xll.ciqfunctions.udf.CIQ($B12,"IQ_COGS",IE$3,$I$3, $N$3, , $J$3, $K$3)*$HY$2*0.5)),"")</f>
        <v/>
      </c>
      <c r="IF12" s="90" t="str">
        <f>IFERROR(IF(OR($B12="",IF$3=""),"",IF(AND($HY$4="No",(_xll.ciqfunctions.udf.CIQ($B12,"IQ_AP",IF$3,$I$3, $N$3, , $J$3, $K$3)+_xll.ciqfunctions.udf.CIQ($B12,"IQ_AP","IQ_" &amp; LEFT(IF$3,2) &amp; "-1", IF$3, $N$3, , $J$3, $K$3))&lt;=0),"",(_xll.ciqfunctions.udf.CIQ($B12,"IQ_AP",IF$3,$I$3, $N$3, , $J$3, $K$3)+_xll.ciqfunctions.udf.CIQ($B12,"IQ_AP","IQ_" &amp; LEFT(IF$3,2) &amp; "-1", IF$3, $N$3, , $J$3, $K$3))/_xll.ciqfunctions.udf.CIQ($B12,"IQ_COGS",IF$3,$I$3, $N$3, , $J$3, $K$3)*$HY$2*0.5)),"")</f>
        <v/>
      </c>
      <c r="IG12" s="90" t="str">
        <f>IFERROR(IF(OR($B12="",IG$3=""),"",IF(AND($HY$4="No",(_xll.ciqfunctions.udf.CIQ($B12,"IQ_AP",IG$3,$I$3, $N$3, , $J$3, $K$3)+_xll.ciqfunctions.udf.CIQ($B12,"IQ_AP","IQ_" &amp; LEFT(IG$3,2) &amp; "-1", IG$3, $N$3, , $J$3, $K$3))&lt;=0),"",(_xll.ciqfunctions.udf.CIQ($B12,"IQ_AP",IG$3,$I$3, $N$3, , $J$3, $K$3)+_xll.ciqfunctions.udf.CIQ($B12,"IQ_AP","IQ_" &amp; LEFT(IG$3,2) &amp; "-1", IG$3, $N$3, , $J$3, $K$3))/_xll.ciqfunctions.udf.CIQ($B12,"IQ_COGS",IG$3,$I$3, $N$3, , $J$3, $K$3)*$HY$2*0.5)),"")</f>
        <v/>
      </c>
      <c r="IH12" s="90" t="str">
        <f>IFERROR(IF(OR($B12="",IH$3=""),"",IF(AND($HY$4="No",(_xll.ciqfunctions.udf.CIQ($B12,"IQ_AP",IH$3,$I$3, $N$3, , $J$3, $K$3)+_xll.ciqfunctions.udf.CIQ($B12,"IQ_AP","IQ_" &amp; LEFT(IH$3,2) &amp; "-1", IH$3, $N$3, , $J$3, $K$3))&lt;=0),"",(_xll.ciqfunctions.udf.CIQ($B12,"IQ_AP",IH$3,$I$3, $N$3, , $J$3, $K$3)+_xll.ciqfunctions.udf.CIQ($B12,"IQ_AP","IQ_" &amp; LEFT(IH$3,2) &amp; "-1", IH$3, $N$3, , $J$3, $K$3))/_xll.ciqfunctions.udf.CIQ($B12,"IQ_COGS",IH$3,$I$3, $N$3, , $J$3, $K$3)*$HY$2*0.5)),"")</f>
        <v/>
      </c>
      <c r="II12" s="90" t="str">
        <f>IFERROR(IF(OR($B12="",II$3=""),"",IF(AND($HY$4="No",(_xll.ciqfunctions.udf.CIQ($B12,"IQ_AP",II$3,$I$3, $N$3, , $J$3, $K$3)+_xll.ciqfunctions.udf.CIQ($B12,"IQ_AP","IQ_" &amp; LEFT(II$3,2) &amp; "-1", II$3, $N$3, , $J$3, $K$3))&lt;=0),"",(_xll.ciqfunctions.udf.CIQ($B12,"IQ_AP",II$3,$I$3, $N$3, , $J$3, $K$3)+_xll.ciqfunctions.udf.CIQ($B12,"IQ_AP","IQ_" &amp; LEFT(II$3,2) &amp; "-1", II$3, $N$3, , $J$3, $K$3))/_xll.ciqfunctions.udf.CIQ($B12,"IQ_COGS",II$3,$I$3, $N$3, , $J$3, $K$3)*$HY$2*0.5)),"")</f>
        <v/>
      </c>
      <c r="IJ12" s="90" t="str">
        <f>IFERROR(IF(OR($B12="",IJ$3=""),"",IF(AND($HY$4="No",(_xll.ciqfunctions.udf.CIQ($B12,"IQ_AP",IJ$3,$I$3, $N$3, , $J$3, $K$3)+_xll.ciqfunctions.udf.CIQ($B12,"IQ_AP","IQ_" &amp; LEFT(IJ$3,2) &amp; "-1", IJ$3, $N$3, , $J$3, $K$3))&lt;=0),"",(_xll.ciqfunctions.udf.CIQ($B12,"IQ_AP",IJ$3,$I$3, $N$3, , $J$3, $K$3)+_xll.ciqfunctions.udf.CIQ($B12,"IQ_AP","IQ_" &amp; LEFT(IJ$3,2) &amp; "-1", IJ$3, $N$3, , $J$3, $K$3))/_xll.ciqfunctions.udf.CIQ($B12,"IQ_COGS",IJ$3,$I$3, $N$3, , $J$3, $K$3)*$HY$2*0.5)),"")</f>
        <v/>
      </c>
      <c r="IK12" s="90" t="str">
        <f>IFERROR(IF(OR($B12="",IK$3=""),"",IF(AND($HY$4="No",(_xll.ciqfunctions.udf.CIQ($B12,"IQ_AP",IK$3,$I$3, $N$3, , $J$3, $K$3)+_xll.ciqfunctions.udf.CIQ($B12,"IQ_AP","IQ_" &amp; LEFT(IK$3,2) &amp; "-1", IK$3, $N$3, , $J$3, $K$3))&lt;=0),"",(_xll.ciqfunctions.udf.CIQ($B12,"IQ_AP",IK$3,$I$3, $N$3, , $J$3, $K$3)+_xll.ciqfunctions.udf.CIQ($B12,"IQ_AP","IQ_" &amp; LEFT(IK$3,2) &amp; "-1", IK$3, $N$3, , $J$3, $K$3))/_xll.ciqfunctions.udf.CIQ($B12,"IQ_COGS",IK$3,$I$3, $N$3, , $J$3, $K$3)*$HY$2*0.5)),"")</f>
        <v/>
      </c>
      <c r="IL12" s="90" t="str">
        <f>IFERROR(IF(OR($B12="",IL$3=""),"",IF(AND($HY$4="No",(_xll.ciqfunctions.udf.CIQ($B12,"IQ_AP",IL$3,$I$3, $N$3, , $J$3, $K$3)+_xll.ciqfunctions.udf.CIQ($B12,"IQ_AP","IQ_" &amp; LEFT(IL$3,2) &amp; "-1", IL$3, $N$3, , $J$3, $K$3))&lt;=0),"",(_xll.ciqfunctions.udf.CIQ($B12,"IQ_AP",IL$3,$I$3, $N$3, , $J$3, $K$3)+_xll.ciqfunctions.udf.CIQ($B12,"IQ_AP","IQ_" &amp; LEFT(IL$3,2) &amp; "-1", IL$3, $N$3, , $J$3, $K$3))/_xll.ciqfunctions.udf.CIQ($B12,"IQ_COGS",IL$3,$I$3, $N$3, , $J$3, $K$3)*$HY$2*0.5)),"")</f>
        <v/>
      </c>
      <c r="IM12" s="90" t="str">
        <f>IFERROR(IF(OR($B12="",IM$3=""),"",IF(AND($HY$4="No",(_xll.ciqfunctions.udf.CIQ($B12,"IQ_AP",IM$3,$I$3, $N$3, , $J$3, $K$3)+_xll.ciqfunctions.udf.CIQ($B12,"IQ_AP","IQ_" &amp; LEFT(IM$3,2) &amp; "-1", IM$3, $N$3, , $J$3, $K$3))&lt;=0),"",(_xll.ciqfunctions.udf.CIQ($B12,"IQ_AP",IM$3,$I$3, $N$3, , $J$3, $K$3)+_xll.ciqfunctions.udf.CIQ($B12,"IQ_AP","IQ_" &amp; LEFT(IM$3,2) &amp; "-1", IM$3, $N$3, , $J$3, $K$3))/_xll.ciqfunctions.udf.CIQ($B12,"IQ_COGS",IM$3,$I$3, $N$3, , $J$3, $K$3)*$HY$2*0.5)),"")</f>
        <v/>
      </c>
      <c r="IN12" s="90" t="str">
        <f>IFERROR(IF(OR($B12="",IN$3=""),"",IF(AND($HY$4="No",(_xll.ciqfunctions.udf.CIQ($B12,"IQ_AP",IN$3,$I$3, $N$3, , $J$3, $K$3)+_xll.ciqfunctions.udf.CIQ($B12,"IQ_AP","IQ_" &amp; LEFT(IN$3,2) &amp; "-1", IN$3, $N$3, , $J$3, $K$3))&lt;=0),"",(_xll.ciqfunctions.udf.CIQ($B12,"IQ_AP",IN$3,$I$3, $N$3, , $J$3, $K$3)+_xll.ciqfunctions.udf.CIQ($B12,"IQ_AP","IQ_" &amp; LEFT(IN$3,2) &amp; "-1", IN$3, $N$3, , $J$3, $K$3))/_xll.ciqfunctions.udf.CIQ($B12,"IQ_COGS",IN$3,$I$3, $N$3, , $J$3, $K$3)*$HY$2*0.5)),"")</f>
        <v/>
      </c>
      <c r="IO12" s="90" t="str">
        <f>IFERROR(IF(OR($B12="",IO$3=""),"",IF(AND($HY$4="No",(_xll.ciqfunctions.udf.CIQ($B12,"IQ_AP",IO$3,$I$3, $N$3, , $J$3, $K$3)+_xll.ciqfunctions.udf.CIQ($B12,"IQ_AP","IQ_" &amp; LEFT(IO$3,2) &amp; "-1", IO$3, $N$3, , $J$3, $K$3))&lt;=0),"",(_xll.ciqfunctions.udf.CIQ($B12,"IQ_AP",IO$3,$I$3, $N$3, , $J$3, $K$3)+_xll.ciqfunctions.udf.CIQ($B12,"IQ_AP","IQ_" &amp; LEFT(IO$3,2) &amp; "-1", IO$3, $N$3, , $J$3, $K$3))/_xll.ciqfunctions.udf.CIQ($B12,"IQ_COGS",IO$3,$I$3, $N$3, , $J$3, $K$3)*$HY$2*0.5)),"")</f>
        <v/>
      </c>
      <c r="IP12" s="90" t="str">
        <f>IFERROR(IF(OR($B12="",IP$3=""),"",IF(AND($HY$4="No",(_xll.ciqfunctions.udf.CIQ($B12,"IQ_AP",IP$3,$I$3, $N$3, , $J$3, $K$3)+_xll.ciqfunctions.udf.CIQ($B12,"IQ_AP","IQ_" &amp; LEFT(IP$3,2) &amp; "-1", IP$3, $N$3, , $J$3, $K$3))&lt;=0),"",(_xll.ciqfunctions.udf.CIQ($B12,"IQ_AP",IP$3,$I$3, $N$3, , $J$3, $K$3)+_xll.ciqfunctions.udf.CIQ($B12,"IQ_AP","IQ_" &amp; LEFT(IP$3,2) &amp; "-1", IP$3, $N$3, , $J$3, $K$3))/_xll.ciqfunctions.udf.CIQ($B12,"IQ_COGS",IP$3,$I$3, $N$3, , $J$3, $K$3)*$HY$2*0.5)),"")</f>
        <v/>
      </c>
      <c r="IQ12" s="90" t="str">
        <f>IFERROR(IF(OR($B12="",IQ$3=""),"",IF(AND($HY$4="No",(_xll.ciqfunctions.udf.CIQ($B12,"IQ_AP",IQ$3,$I$3, $N$3, , $J$3, $K$3)+_xll.ciqfunctions.udf.CIQ($B12,"IQ_AP","IQ_" &amp; LEFT(IQ$3,2) &amp; "-1", IQ$3, $N$3, , $J$3, $K$3))&lt;=0),"",(_xll.ciqfunctions.udf.CIQ($B12,"IQ_AP",IQ$3,$I$3, $N$3, , $J$3, $K$3)+_xll.ciqfunctions.udf.CIQ($B12,"IQ_AP","IQ_" &amp; LEFT(IQ$3,2) &amp; "-1", IQ$3, $N$3, , $J$3, $K$3))/_xll.ciqfunctions.udf.CIQ($B12,"IQ_COGS",IQ$3,$I$3, $N$3, , $J$3, $K$3)*$HY$2*0.5)),"")</f>
        <v/>
      </c>
      <c r="IR12" s="91" t="str">
        <f>IFERROR(IF(OR($B12="",IR$3=""),"",IF(AND($HY$4="No",(_xll.ciqfunctions.udf.CIQ($B12,"IQ_AP",IR$3,$I$3, $N$3, , $J$3, $K$3)+_xll.ciqfunctions.udf.CIQ($B12,"IQ_AP","IQ_" &amp; LEFT(IR$3,2) &amp; "-1", IR$3, $N$3, , $J$3, $K$3))&lt;=0),"",(_xll.ciqfunctions.udf.CIQ($B12,"IQ_AP",IR$3,$I$3, $N$3, , $J$3, $K$3)+_xll.ciqfunctions.udf.CIQ($B12,"IQ_AP","IQ_" &amp; LEFT(IR$3,2) &amp; "-1", IR$3, $N$3, , $J$3, $K$3))/_xll.ciqfunctions.udf.CIQ($B12,"IQ_COGS",IR$3,$I$3, $N$3, , $J$3, $K$3)*$HY$2*0.5)),"")</f>
        <v/>
      </c>
      <c r="IS12" s="89" t="str">
        <f t="shared" si="343"/>
        <v/>
      </c>
      <c r="IT12" s="90" t="str">
        <f t="shared" si="344"/>
        <v/>
      </c>
      <c r="IU12" s="90" t="str">
        <f t="shared" si="345"/>
        <v/>
      </c>
      <c r="IV12" s="90" t="str">
        <f t="shared" si="346"/>
        <v/>
      </c>
      <c r="IW12" s="90" t="str">
        <f t="shared" si="347"/>
        <v/>
      </c>
      <c r="IX12" s="90" t="str">
        <f t="shared" si="348"/>
        <v/>
      </c>
      <c r="IY12" s="90" t="str">
        <f t="shared" si="349"/>
        <v/>
      </c>
      <c r="IZ12" s="90" t="str">
        <f t="shared" si="350"/>
        <v/>
      </c>
      <c r="JA12" s="90" t="str">
        <f t="shared" si="351"/>
        <v/>
      </c>
      <c r="JB12" s="90" t="str">
        <f t="shared" si="352"/>
        <v/>
      </c>
      <c r="JC12" s="90" t="str">
        <f t="shared" si="353"/>
        <v/>
      </c>
      <c r="JD12" s="90" t="str">
        <f t="shared" si="354"/>
        <v/>
      </c>
      <c r="JE12" s="90" t="str">
        <f t="shared" si="355"/>
        <v/>
      </c>
      <c r="JF12" s="90" t="str">
        <f t="shared" si="356"/>
        <v/>
      </c>
      <c r="JG12" s="90" t="str">
        <f t="shared" si="357"/>
        <v/>
      </c>
      <c r="JH12" s="90" t="str">
        <f t="shared" si="358"/>
        <v/>
      </c>
      <c r="JI12" s="90" t="str">
        <f t="shared" si="359"/>
        <v/>
      </c>
      <c r="JJ12" s="90" t="str">
        <f t="shared" si="360"/>
        <v/>
      </c>
      <c r="JK12" s="90" t="str">
        <f t="shared" si="361"/>
        <v/>
      </c>
      <c r="JL12" s="91" t="str">
        <f t="shared" si="362"/>
        <v/>
      </c>
      <c r="JM12" s="86" t="str">
        <f>IFERROR(IF(OR($B12="",JM$3=""),"",_xll.ciqfunctions.udf.CIQ($B12,"IQ_CASH_OPER",JM$3,$I$3, $N$3, , $J$3, $K$3)/_xll.ciqfunctions.udf.CIQ($B12,"IQ_TOTAL_REV",JM$3,$I$3, $N$3, , $J$3, $K$3)),"")</f>
        <v/>
      </c>
      <c r="JN12" s="87" t="str">
        <f>IFERROR(IF(OR($B12="",JN$3=""),"",_xll.ciqfunctions.udf.CIQ($B12,"IQ_CASH_OPER",JN$3,$I$3, $N$3, , $J$3, $K$3)/_xll.ciqfunctions.udf.CIQ($B12,"IQ_TOTAL_REV",JN$3,$I$3, $N$3, , $J$3, $K$3)),"")</f>
        <v/>
      </c>
      <c r="JO12" s="87" t="str">
        <f>IFERROR(IF(OR($B12="",JO$3=""),"",_xll.ciqfunctions.udf.CIQ($B12,"IQ_CASH_OPER",JO$3,$I$3, $N$3, , $J$3, $K$3)/_xll.ciqfunctions.udf.CIQ($B12,"IQ_TOTAL_REV",JO$3,$I$3, $N$3, , $J$3, $K$3)),"")</f>
        <v/>
      </c>
      <c r="JP12" s="87" t="str">
        <f>IFERROR(IF(OR($B12="",JP$3=""),"",_xll.ciqfunctions.udf.CIQ($B12,"IQ_CASH_OPER",JP$3,$I$3, $N$3, , $J$3, $K$3)/_xll.ciqfunctions.udf.CIQ($B12,"IQ_TOTAL_REV",JP$3,$I$3, $N$3, , $J$3, $K$3)),"")</f>
        <v/>
      </c>
      <c r="JQ12" s="87" t="str">
        <f>IFERROR(IF(OR($B12="",JQ$3=""),"",_xll.ciqfunctions.udf.CIQ($B12,"IQ_CASH_OPER",JQ$3,$I$3, $N$3, , $J$3, $K$3)/_xll.ciqfunctions.udf.CIQ($B12,"IQ_TOTAL_REV",JQ$3,$I$3, $N$3, , $J$3, $K$3)),"")</f>
        <v/>
      </c>
      <c r="JR12" s="87" t="str">
        <f>IFERROR(IF(OR($B12="",JR$3=""),"",_xll.ciqfunctions.udf.CIQ($B12,"IQ_CASH_OPER",JR$3,$I$3, $N$3, , $J$3, $K$3)/_xll.ciqfunctions.udf.CIQ($B12,"IQ_TOTAL_REV",JR$3,$I$3, $N$3, , $J$3, $K$3)),"")</f>
        <v/>
      </c>
      <c r="JS12" s="87" t="str">
        <f>IFERROR(IF(OR($B12="",JS$3=""),"",_xll.ciqfunctions.udf.CIQ($B12,"IQ_CASH_OPER",JS$3,$I$3, $N$3, , $J$3, $K$3)/_xll.ciqfunctions.udf.CIQ($B12,"IQ_TOTAL_REV",JS$3,$I$3, $N$3, , $J$3, $K$3)),"")</f>
        <v/>
      </c>
      <c r="JT12" s="87" t="str">
        <f>IFERROR(IF(OR($B12="",JT$3=""),"",_xll.ciqfunctions.udf.CIQ($B12,"IQ_CASH_OPER",JT$3,$I$3, $N$3, , $J$3, $K$3)/_xll.ciqfunctions.udf.CIQ($B12,"IQ_TOTAL_REV",JT$3,$I$3, $N$3, , $J$3, $K$3)),"")</f>
        <v/>
      </c>
      <c r="JU12" s="87" t="str">
        <f>IFERROR(IF(OR($B12="",JU$3=""),"",_xll.ciqfunctions.udf.CIQ($B12,"IQ_CASH_OPER",JU$3,$I$3, $N$3, , $J$3, $K$3)/_xll.ciqfunctions.udf.CIQ($B12,"IQ_TOTAL_REV",JU$3,$I$3, $N$3, , $J$3, $K$3)),"")</f>
        <v/>
      </c>
      <c r="JV12" s="87" t="str">
        <f>IFERROR(IF(OR($B12="",JV$3=""),"",_xll.ciqfunctions.udf.CIQ($B12,"IQ_CASH_OPER",JV$3,$I$3, $N$3, , $J$3, $K$3)/_xll.ciqfunctions.udf.CIQ($B12,"IQ_TOTAL_REV",JV$3,$I$3, $N$3, , $J$3, $K$3)),"")</f>
        <v/>
      </c>
      <c r="JW12" s="87" t="str">
        <f>IFERROR(IF(OR($B12="",JW$3=""),"",_xll.ciqfunctions.udf.CIQ($B12,"IQ_CASH_OPER",JW$3,$I$3, $N$3, , $J$3, $K$3)/_xll.ciqfunctions.udf.CIQ($B12,"IQ_TOTAL_REV",JW$3,$I$3, $N$3, , $J$3, $K$3)),"")</f>
        <v/>
      </c>
      <c r="JX12" s="87" t="str">
        <f>IFERROR(IF(OR($B12="",JX$3=""),"",_xll.ciqfunctions.udf.CIQ($B12,"IQ_CASH_OPER",JX$3,$I$3, $N$3, , $J$3, $K$3)/_xll.ciqfunctions.udf.CIQ($B12,"IQ_TOTAL_REV",JX$3,$I$3, $N$3, , $J$3, $K$3)),"")</f>
        <v/>
      </c>
      <c r="JY12" s="87" t="str">
        <f>IFERROR(IF(OR($B12="",JY$3=""),"",_xll.ciqfunctions.udf.CIQ($B12,"IQ_CASH_OPER",JY$3,$I$3, $N$3, , $J$3, $K$3)/_xll.ciqfunctions.udf.CIQ($B12,"IQ_TOTAL_REV",JY$3,$I$3, $N$3, , $J$3, $K$3)),"")</f>
        <v/>
      </c>
      <c r="JZ12" s="87" t="str">
        <f>IFERROR(IF(OR($B12="",JZ$3=""),"",_xll.ciqfunctions.udf.CIQ($B12,"IQ_CASH_OPER",JZ$3,$I$3, $N$3, , $J$3, $K$3)/_xll.ciqfunctions.udf.CIQ($B12,"IQ_TOTAL_REV",JZ$3,$I$3, $N$3, , $J$3, $K$3)),"")</f>
        <v/>
      </c>
      <c r="KA12" s="87" t="str">
        <f>IFERROR(IF(OR($B12="",KA$3=""),"",_xll.ciqfunctions.udf.CIQ($B12,"IQ_CASH_OPER",KA$3,$I$3, $N$3, , $J$3, $K$3)/_xll.ciqfunctions.udf.CIQ($B12,"IQ_TOTAL_REV",KA$3,$I$3, $N$3, , $J$3, $K$3)),"")</f>
        <v/>
      </c>
      <c r="KB12" s="87" t="str">
        <f>IFERROR(IF(OR($B12="",KB$3=""),"",_xll.ciqfunctions.udf.CIQ($B12,"IQ_CASH_OPER",KB$3,$I$3, $N$3, , $J$3, $K$3)/_xll.ciqfunctions.udf.CIQ($B12,"IQ_TOTAL_REV",KB$3,$I$3, $N$3, , $J$3, $K$3)),"")</f>
        <v/>
      </c>
      <c r="KC12" s="87" t="str">
        <f>IFERROR(IF(OR($B12="",KC$3=""),"",_xll.ciqfunctions.udf.CIQ($B12,"IQ_CASH_OPER",KC$3,$I$3, $N$3, , $J$3, $K$3)/_xll.ciqfunctions.udf.CIQ($B12,"IQ_TOTAL_REV",KC$3,$I$3, $N$3, , $J$3, $K$3)),"")</f>
        <v/>
      </c>
      <c r="KD12" s="87" t="str">
        <f>IFERROR(IF(OR($B12="",KD$3=""),"",_xll.ciqfunctions.udf.CIQ($B12,"IQ_CASH_OPER",KD$3,$I$3, $N$3, , $J$3, $K$3)/_xll.ciqfunctions.udf.CIQ($B12,"IQ_TOTAL_REV",KD$3,$I$3, $N$3, , $J$3, $K$3)),"")</f>
        <v/>
      </c>
      <c r="KE12" s="87" t="str">
        <f>IFERROR(IF(OR($B12="",KE$3=""),"",_xll.ciqfunctions.udf.CIQ($B12,"IQ_CASH_OPER",KE$3,$I$3, $N$3, , $J$3, $K$3)/_xll.ciqfunctions.udf.CIQ($B12,"IQ_TOTAL_REV",KE$3,$I$3, $N$3, , $J$3, $K$3)),"")</f>
        <v/>
      </c>
      <c r="KF12" s="88" t="str">
        <f>IFERROR(IF(OR($B12="",KF$3=""),"",_xll.ciqfunctions.udf.CIQ($B12,"IQ_CASH_OPER",KF$3,$I$3, $N$3, , $J$3, $K$3)/_xll.ciqfunctions.udf.CIQ($B12,"IQ_TOTAL_REV",KF$3,$I$3, $N$3, , $J$3, $K$3)),"")</f>
        <v/>
      </c>
      <c r="KG12" s="89" t="str">
        <f>IFERROR(IF(OR($B12="",KG$3=""),"",IF(NOT(ISNUMBER(_xll.ciqfunctions.udf.CIQ($B12, "IQ_ASSET_TURNS", KG$3, $E$3, $N$3, , $J$3, $K$3))),"",_xll.ciqfunctions.udf.CIQ($B12, "IQ_ASSET_TURNS", KG$3, $E$3, $N$3, , $J$3, $K$3))),"")</f>
        <v/>
      </c>
      <c r="KH12" s="90" t="str">
        <f>IFERROR(IF(OR($B12="",KH$3=""),"",IF(NOT(ISNUMBER(_xll.ciqfunctions.udf.CIQ($B12, "IQ_ASSET_TURNS", KH$3, $E$3, $N$3, , $J$3, $K$3))),"",_xll.ciqfunctions.udf.CIQ($B12, "IQ_ASSET_TURNS", KH$3, $E$3, $N$3, , $J$3, $K$3))),"")</f>
        <v/>
      </c>
      <c r="KI12" s="90" t="str">
        <f>IFERROR(IF(OR($B12="",KI$3=""),"",IF(NOT(ISNUMBER(_xll.ciqfunctions.udf.CIQ($B12, "IQ_ASSET_TURNS", KI$3, $E$3, $N$3, , $J$3, $K$3))),"",_xll.ciqfunctions.udf.CIQ($B12, "IQ_ASSET_TURNS", KI$3, $E$3, $N$3, , $J$3, $K$3))),"")</f>
        <v/>
      </c>
      <c r="KJ12" s="90" t="str">
        <f>IFERROR(IF(OR($B12="",KJ$3=""),"",IF(NOT(ISNUMBER(_xll.ciqfunctions.udf.CIQ($B12, "IQ_ASSET_TURNS", KJ$3, $E$3, $N$3, , $J$3, $K$3))),"",_xll.ciqfunctions.udf.CIQ($B12, "IQ_ASSET_TURNS", KJ$3, $E$3, $N$3, , $J$3, $K$3))),"")</f>
        <v/>
      </c>
      <c r="KK12" s="90" t="str">
        <f>IFERROR(IF(OR($B12="",KK$3=""),"",IF(NOT(ISNUMBER(_xll.ciqfunctions.udf.CIQ($B12, "IQ_ASSET_TURNS", KK$3, $E$3, $N$3, , $J$3, $K$3))),"",_xll.ciqfunctions.udf.CIQ($B12, "IQ_ASSET_TURNS", KK$3, $E$3, $N$3, , $J$3, $K$3))),"")</f>
        <v/>
      </c>
      <c r="KL12" s="90" t="str">
        <f>IFERROR(IF(OR($B12="",KL$3=""),"",IF(NOT(ISNUMBER(_xll.ciqfunctions.udf.CIQ($B12, "IQ_ASSET_TURNS", KL$3, $E$3, $N$3, , $J$3, $K$3))),"",_xll.ciqfunctions.udf.CIQ($B12, "IQ_ASSET_TURNS", KL$3, $E$3, $N$3, , $J$3, $K$3))),"")</f>
        <v/>
      </c>
      <c r="KM12" s="90" t="str">
        <f>IFERROR(IF(OR($B12="",KM$3=""),"",IF(NOT(ISNUMBER(_xll.ciqfunctions.udf.CIQ($B12, "IQ_ASSET_TURNS", KM$3, $E$3, $N$3, , $J$3, $K$3))),"",_xll.ciqfunctions.udf.CIQ($B12, "IQ_ASSET_TURNS", KM$3, $E$3, $N$3, , $J$3, $K$3))),"")</f>
        <v/>
      </c>
      <c r="KN12" s="90" t="str">
        <f>IFERROR(IF(OR($B12="",KN$3=""),"",IF(NOT(ISNUMBER(_xll.ciqfunctions.udf.CIQ($B12, "IQ_ASSET_TURNS", KN$3, $E$3, $N$3, , $J$3, $K$3))),"",_xll.ciqfunctions.udf.CIQ($B12, "IQ_ASSET_TURNS", KN$3, $E$3, $N$3, , $J$3, $K$3))),"")</f>
        <v/>
      </c>
      <c r="KO12" s="90" t="str">
        <f>IFERROR(IF(OR($B12="",KO$3=""),"",IF(NOT(ISNUMBER(_xll.ciqfunctions.udf.CIQ($B12, "IQ_ASSET_TURNS", KO$3, $E$3, $N$3, , $J$3, $K$3))),"",_xll.ciqfunctions.udf.CIQ($B12, "IQ_ASSET_TURNS", KO$3, $E$3, $N$3, , $J$3, $K$3))),"")</f>
        <v/>
      </c>
      <c r="KP12" s="90" t="str">
        <f>IFERROR(IF(OR($B12="",KP$3=""),"",IF(NOT(ISNUMBER(_xll.ciqfunctions.udf.CIQ($B12, "IQ_ASSET_TURNS", KP$3, $E$3, $N$3, , $J$3, $K$3))),"",_xll.ciqfunctions.udf.CIQ($B12, "IQ_ASSET_TURNS", KP$3, $E$3, $N$3, , $J$3, $K$3))),"")</f>
        <v/>
      </c>
      <c r="KQ12" s="90" t="str">
        <f>IFERROR(IF(OR($B12="",KQ$3=""),"",IF(NOT(ISNUMBER(_xll.ciqfunctions.udf.CIQ($B12, "IQ_ASSET_TURNS", KQ$3, $E$3, $N$3, , $J$3, $K$3))),"",_xll.ciqfunctions.udf.CIQ($B12, "IQ_ASSET_TURNS", KQ$3, $E$3, $N$3, , $J$3, $K$3))),"")</f>
        <v/>
      </c>
      <c r="KR12" s="90" t="str">
        <f>IFERROR(IF(OR($B12="",KR$3=""),"",IF(NOT(ISNUMBER(_xll.ciqfunctions.udf.CIQ($B12, "IQ_ASSET_TURNS", KR$3, $E$3, $N$3, , $J$3, $K$3))),"",_xll.ciqfunctions.udf.CIQ($B12, "IQ_ASSET_TURNS", KR$3, $E$3, $N$3, , $J$3, $K$3))),"")</f>
        <v/>
      </c>
      <c r="KS12" s="90" t="str">
        <f>IFERROR(IF(OR($B12="",KS$3=""),"",IF(NOT(ISNUMBER(_xll.ciqfunctions.udf.CIQ($B12, "IQ_ASSET_TURNS", KS$3, $E$3, $N$3, , $J$3, $K$3))),"",_xll.ciqfunctions.udf.CIQ($B12, "IQ_ASSET_TURNS", KS$3, $E$3, $N$3, , $J$3, $K$3))),"")</f>
        <v/>
      </c>
      <c r="KT12" s="90" t="str">
        <f>IFERROR(IF(OR($B12="",KT$3=""),"",IF(NOT(ISNUMBER(_xll.ciqfunctions.udf.CIQ($B12, "IQ_ASSET_TURNS", KT$3, $E$3, $N$3, , $J$3, $K$3))),"",_xll.ciqfunctions.udf.CIQ($B12, "IQ_ASSET_TURNS", KT$3, $E$3, $N$3, , $J$3, $K$3))),"")</f>
        <v/>
      </c>
      <c r="KU12" s="90" t="str">
        <f>IFERROR(IF(OR($B12="",KU$3=""),"",IF(NOT(ISNUMBER(_xll.ciqfunctions.udf.CIQ($B12, "IQ_ASSET_TURNS", KU$3, $E$3, $N$3, , $J$3, $K$3))),"",_xll.ciqfunctions.udf.CIQ($B12, "IQ_ASSET_TURNS", KU$3, $E$3, $N$3, , $J$3, $K$3))),"")</f>
        <v/>
      </c>
      <c r="KV12" s="90" t="str">
        <f>IFERROR(IF(OR($B12="",KV$3=""),"",IF(NOT(ISNUMBER(_xll.ciqfunctions.udf.CIQ($B12, "IQ_ASSET_TURNS", KV$3, $E$3, $N$3, , $J$3, $K$3))),"",_xll.ciqfunctions.udf.CIQ($B12, "IQ_ASSET_TURNS", KV$3, $E$3, $N$3, , $J$3, $K$3))),"")</f>
        <v/>
      </c>
      <c r="KW12" s="90" t="str">
        <f>IFERROR(IF(OR($B12="",KW$3=""),"",IF(NOT(ISNUMBER(_xll.ciqfunctions.udf.CIQ($B12, "IQ_ASSET_TURNS", KW$3, $E$3, $N$3, , $J$3, $K$3))),"",_xll.ciqfunctions.udf.CIQ($B12, "IQ_ASSET_TURNS", KW$3, $E$3, $N$3, , $J$3, $K$3))),"")</f>
        <v/>
      </c>
      <c r="KX12" s="90" t="str">
        <f>IFERROR(IF(OR($B12="",KX$3=""),"",IF(NOT(ISNUMBER(_xll.ciqfunctions.udf.CIQ($B12, "IQ_ASSET_TURNS", KX$3, $E$3, $N$3, , $J$3, $K$3))),"",_xll.ciqfunctions.udf.CIQ($B12, "IQ_ASSET_TURNS", KX$3, $E$3, $N$3, , $J$3, $K$3))),"")</f>
        <v/>
      </c>
      <c r="KY12" s="90" t="str">
        <f>IFERROR(IF(OR($B12="",KY$3=""),"",IF(NOT(ISNUMBER(_xll.ciqfunctions.udf.CIQ($B12, "IQ_ASSET_TURNS", KY$3, $E$3, $N$3, , $J$3, $K$3))),"",_xll.ciqfunctions.udf.CIQ($B12, "IQ_ASSET_TURNS", KY$3, $E$3, $N$3, , $J$3, $K$3))),"")</f>
        <v/>
      </c>
      <c r="KZ12" s="91" t="str">
        <f>IFERROR(IF(OR($B12="",KZ$3=""),"",IF(NOT(ISNUMBER(_xll.ciqfunctions.udf.CIQ($B12, "IQ_ASSET_TURNS", KZ$3, $E$3, $N$3, , $J$3, $K$3))),"",_xll.ciqfunctions.udf.CIQ($B12, "IQ_ASSET_TURNS", KZ$3, $E$3, $N$3, , $J$3, $K$3))),"")</f>
        <v/>
      </c>
      <c r="LA12" s="75" t="str">
        <f>IFERROR(IF(OR($B12="",LA$3=""),"",IF(NOT(ISNUMBER(_xll.ciqfunctions.udf.CIQ($B12, "IQ_INVENTORY_TURNS", LA$3, $E$3, $N$3, , $J$3, $K$3))),"",_xll.ciqfunctions.udf.CIQ($B12, "IQ_INVENTORY_TURNS", LA$3, $E$3, $N$3, , $J$3, $K$3))),"")</f>
        <v/>
      </c>
      <c r="LB12" s="75" t="str">
        <f>IFERROR(IF(OR($B12="",LB$3=""),"",IF(NOT(ISNUMBER(_xll.ciqfunctions.udf.CIQ($B12, "IQ_INVENTORY_TURNS", LB$3, $E$3, $N$3, , $J$3, $K$3))),"",_xll.ciqfunctions.udf.CIQ($B12, "IQ_INVENTORY_TURNS", LB$3, $E$3, $N$3, , $J$3, $K$3))),"")</f>
        <v/>
      </c>
      <c r="LC12" s="75" t="str">
        <f>IFERROR(IF(OR($B12="",LC$3=""),"",IF(NOT(ISNUMBER(_xll.ciqfunctions.udf.CIQ($B12, "IQ_INVENTORY_TURNS", LC$3, $E$3, $N$3, , $J$3, $K$3))),"",_xll.ciqfunctions.udf.CIQ($B12, "IQ_INVENTORY_TURNS", LC$3, $E$3, $N$3, , $J$3, $K$3))),"")</f>
        <v/>
      </c>
      <c r="LD12" s="75" t="str">
        <f>IFERROR(IF(OR($B12="",LD$3=""),"",IF(NOT(ISNUMBER(_xll.ciqfunctions.udf.CIQ($B12, "IQ_INVENTORY_TURNS", LD$3, $E$3, $N$3, , $J$3, $K$3))),"",_xll.ciqfunctions.udf.CIQ($B12, "IQ_INVENTORY_TURNS", LD$3, $E$3, $N$3, , $J$3, $K$3))),"")</f>
        <v/>
      </c>
      <c r="LE12" s="75" t="str">
        <f>IFERROR(IF(OR($B12="",LE$3=""),"",IF(NOT(ISNUMBER(_xll.ciqfunctions.udf.CIQ($B12, "IQ_INVENTORY_TURNS", LE$3, $E$3, $N$3, , $J$3, $K$3))),"",_xll.ciqfunctions.udf.CIQ($B12, "IQ_INVENTORY_TURNS", LE$3, $E$3, $N$3, , $J$3, $K$3))),"")</f>
        <v/>
      </c>
      <c r="LF12" s="75" t="str">
        <f>IFERROR(IF(OR($B12="",LF$3=""),"",IF(NOT(ISNUMBER(_xll.ciqfunctions.udf.CIQ($B12, "IQ_INVENTORY_TURNS", LF$3, $E$3, $N$3, , $J$3, $K$3))),"",_xll.ciqfunctions.udf.CIQ($B12, "IQ_INVENTORY_TURNS", LF$3, $E$3, $N$3, , $J$3, $K$3))),"")</f>
        <v/>
      </c>
      <c r="LG12" s="75" t="str">
        <f>IFERROR(IF(OR($B12="",LG$3=""),"",IF(NOT(ISNUMBER(_xll.ciqfunctions.udf.CIQ($B12, "IQ_INVENTORY_TURNS", LG$3, $E$3, $N$3, , $J$3, $K$3))),"",_xll.ciqfunctions.udf.CIQ($B12, "IQ_INVENTORY_TURNS", LG$3, $E$3, $N$3, , $J$3, $K$3))),"")</f>
        <v/>
      </c>
      <c r="LH12" s="75" t="str">
        <f>IFERROR(IF(OR($B12="",LH$3=""),"",IF(NOT(ISNUMBER(_xll.ciqfunctions.udf.CIQ($B12, "IQ_INVENTORY_TURNS", LH$3, $E$3, $N$3, , $J$3, $K$3))),"",_xll.ciqfunctions.udf.CIQ($B12, "IQ_INVENTORY_TURNS", LH$3, $E$3, $N$3, , $J$3, $K$3))),"")</f>
        <v/>
      </c>
      <c r="LI12" s="75" t="str">
        <f>IFERROR(IF(OR($B12="",LI$3=""),"",IF(NOT(ISNUMBER(_xll.ciqfunctions.udf.CIQ($B12, "IQ_INVENTORY_TURNS", LI$3, $E$3, $N$3, , $J$3, $K$3))),"",_xll.ciqfunctions.udf.CIQ($B12, "IQ_INVENTORY_TURNS", LI$3, $E$3, $N$3, , $J$3, $K$3))),"")</f>
        <v/>
      </c>
      <c r="LJ12" s="75" t="str">
        <f>IFERROR(IF(OR($B12="",LJ$3=""),"",IF(NOT(ISNUMBER(_xll.ciqfunctions.udf.CIQ($B12, "IQ_INVENTORY_TURNS", LJ$3, $E$3, $N$3, , $J$3, $K$3))),"",_xll.ciqfunctions.udf.CIQ($B12, "IQ_INVENTORY_TURNS", LJ$3, $E$3, $N$3, , $J$3, $K$3))),"")</f>
        <v/>
      </c>
      <c r="LK12" s="75" t="str">
        <f>IFERROR(IF(OR($B12="",LK$3=""),"",IF(NOT(ISNUMBER(_xll.ciqfunctions.udf.CIQ($B12, "IQ_INVENTORY_TURNS", LK$3, $E$3, $N$3, , $J$3, $K$3))),"",_xll.ciqfunctions.udf.CIQ($B12, "IQ_INVENTORY_TURNS", LK$3, $E$3, $N$3, , $J$3, $K$3))),"")</f>
        <v/>
      </c>
      <c r="LL12" s="75" t="str">
        <f>IFERROR(IF(OR($B12="",LL$3=""),"",IF(NOT(ISNUMBER(_xll.ciqfunctions.udf.CIQ($B12, "IQ_INVENTORY_TURNS", LL$3, $E$3, $N$3, , $J$3, $K$3))),"",_xll.ciqfunctions.udf.CIQ($B12, "IQ_INVENTORY_TURNS", LL$3, $E$3, $N$3, , $J$3, $K$3))),"")</f>
        <v/>
      </c>
      <c r="LM12" s="75" t="str">
        <f>IFERROR(IF(OR($B12="",LM$3=""),"",IF(NOT(ISNUMBER(_xll.ciqfunctions.udf.CIQ($B12, "IQ_INVENTORY_TURNS", LM$3, $E$3, $N$3, , $J$3, $K$3))),"",_xll.ciqfunctions.udf.CIQ($B12, "IQ_INVENTORY_TURNS", LM$3, $E$3, $N$3, , $J$3, $K$3))),"")</f>
        <v/>
      </c>
      <c r="LN12" s="75" t="str">
        <f>IFERROR(IF(OR($B12="",LN$3=""),"",IF(NOT(ISNUMBER(_xll.ciqfunctions.udf.CIQ($B12, "IQ_INVENTORY_TURNS", LN$3, $E$3, $N$3, , $J$3, $K$3))),"",_xll.ciqfunctions.udf.CIQ($B12, "IQ_INVENTORY_TURNS", LN$3, $E$3, $N$3, , $J$3, $K$3))),"")</f>
        <v/>
      </c>
      <c r="LO12" s="75" t="str">
        <f>IFERROR(IF(OR($B12="",LO$3=""),"",IF(NOT(ISNUMBER(_xll.ciqfunctions.udf.CIQ($B12, "IQ_INVENTORY_TURNS", LO$3, $E$3, $N$3, , $J$3, $K$3))),"",_xll.ciqfunctions.udf.CIQ($B12, "IQ_INVENTORY_TURNS", LO$3, $E$3, $N$3, , $J$3, $K$3))),"")</f>
        <v/>
      </c>
      <c r="LP12" s="75" t="str">
        <f>IFERROR(IF(OR($B12="",LP$3=""),"",IF(NOT(ISNUMBER(_xll.ciqfunctions.udf.CIQ($B12, "IQ_INVENTORY_TURNS", LP$3, $E$3, $N$3, , $J$3, $K$3))),"",_xll.ciqfunctions.udf.CIQ($B12, "IQ_INVENTORY_TURNS", LP$3, $E$3, $N$3, , $J$3, $K$3))),"")</f>
        <v/>
      </c>
      <c r="LQ12" s="75" t="str">
        <f>IFERROR(IF(OR($B12="",LQ$3=""),"",IF(NOT(ISNUMBER(_xll.ciqfunctions.udf.CIQ($B12, "IQ_INVENTORY_TURNS", LQ$3, $E$3, $N$3, , $J$3, $K$3))),"",_xll.ciqfunctions.udf.CIQ($B12, "IQ_INVENTORY_TURNS", LQ$3, $E$3, $N$3, , $J$3, $K$3))),"")</f>
        <v/>
      </c>
      <c r="LR12" s="75" t="str">
        <f>IFERROR(IF(OR($B12="",LR$3=""),"",IF(NOT(ISNUMBER(_xll.ciqfunctions.udf.CIQ($B12, "IQ_INVENTORY_TURNS", LR$3, $E$3, $N$3, , $J$3, $K$3))),"",_xll.ciqfunctions.udf.CIQ($B12, "IQ_INVENTORY_TURNS", LR$3, $E$3, $N$3, , $J$3, $K$3))),"")</f>
        <v/>
      </c>
      <c r="LS12" s="75" t="str">
        <f>IFERROR(IF(OR($B12="",LS$3=""),"",IF(NOT(ISNUMBER(_xll.ciqfunctions.udf.CIQ($B12, "IQ_INVENTORY_TURNS", LS$3, $E$3, $N$3, , $J$3, $K$3))),"",_xll.ciqfunctions.udf.CIQ($B12, "IQ_INVENTORY_TURNS", LS$3, $E$3, $N$3, , $J$3, $K$3))),"")</f>
        <v/>
      </c>
      <c r="LT12" s="75" t="str">
        <f>IFERROR(IF(OR($B12="",LT$3=""),"",IF(NOT(ISNUMBER(_xll.ciqfunctions.udf.CIQ($B12, "IQ_INVENTORY_TURNS", LT$3, $E$3, $N$3, , $J$3, $K$3))),"",_xll.ciqfunctions.udf.CIQ($B12, "IQ_INVENTORY_TURNS", LT$3, $E$3, $N$3, , $J$3, $K$3))),"")</f>
        <v/>
      </c>
      <c r="LU12" s="75" t="str">
        <f>IFERROR(IF(OR($B12="",LU$3=""),"",IF(NOT(ISNUMBER(_xll.ciqfunctions.udf.CIQ($B12, "IQ_AR_TURNS", LU$3, $E$3, $N$3, , $J$3, $K$3))),"",_xll.ciqfunctions.udf.CIQ($B12, "IQ_AR_TURNS", LU$3, $E$3, $N$3, , $J$3, $K$3))),"")</f>
        <v/>
      </c>
      <c r="LV12" s="75" t="str">
        <f>IFERROR(IF(OR($B12="",LV$3=""),"",IF(NOT(ISNUMBER(_xll.ciqfunctions.udf.CIQ($B12, "IQ_AR_TURNS", LV$3, $E$3, $N$3, , $J$3, $K$3))),"",_xll.ciqfunctions.udf.CIQ($B12, "IQ_AR_TURNS", LV$3, $E$3, $N$3, , $J$3, $K$3))),"")</f>
        <v/>
      </c>
      <c r="LW12" s="75" t="str">
        <f>IFERROR(IF(OR($B12="",LW$3=""),"",IF(NOT(ISNUMBER(_xll.ciqfunctions.udf.CIQ($B12, "IQ_AR_TURNS", LW$3, $E$3, $N$3, , $J$3, $K$3))),"",_xll.ciqfunctions.udf.CIQ($B12, "IQ_AR_TURNS", LW$3, $E$3, $N$3, , $J$3, $K$3))),"")</f>
        <v/>
      </c>
      <c r="LX12" s="75" t="str">
        <f>IFERROR(IF(OR($B12="",LX$3=""),"",IF(NOT(ISNUMBER(_xll.ciqfunctions.udf.CIQ($B12, "IQ_AR_TURNS", LX$3, $E$3, $N$3, , $J$3, $K$3))),"",_xll.ciqfunctions.udf.CIQ($B12, "IQ_AR_TURNS", LX$3, $E$3, $N$3, , $J$3, $K$3))),"")</f>
        <v/>
      </c>
      <c r="LY12" s="75" t="str">
        <f>IFERROR(IF(OR($B12="",LY$3=""),"",IF(NOT(ISNUMBER(_xll.ciqfunctions.udf.CIQ($B12, "IQ_AR_TURNS", LY$3, $E$3, $N$3, , $J$3, $K$3))),"",_xll.ciqfunctions.udf.CIQ($B12, "IQ_AR_TURNS", LY$3, $E$3, $N$3, , $J$3, $K$3))),"")</f>
        <v/>
      </c>
      <c r="LZ12" s="75" t="str">
        <f>IFERROR(IF(OR($B12="",LZ$3=""),"",IF(NOT(ISNUMBER(_xll.ciqfunctions.udf.CIQ($B12, "IQ_AR_TURNS", LZ$3, $E$3, $N$3, , $J$3, $K$3))),"",_xll.ciqfunctions.udf.CIQ($B12, "IQ_AR_TURNS", LZ$3, $E$3, $N$3, , $J$3, $K$3))),"")</f>
        <v/>
      </c>
      <c r="MA12" s="75" t="str">
        <f>IFERROR(IF(OR($B12="",MA$3=""),"",IF(NOT(ISNUMBER(_xll.ciqfunctions.udf.CIQ($B12, "IQ_AR_TURNS", MA$3, $E$3, $N$3, , $J$3, $K$3))),"",_xll.ciqfunctions.udf.CIQ($B12, "IQ_AR_TURNS", MA$3, $E$3, $N$3, , $J$3, $K$3))),"")</f>
        <v/>
      </c>
      <c r="MB12" s="75" t="str">
        <f>IFERROR(IF(OR($B12="",MB$3=""),"",IF(NOT(ISNUMBER(_xll.ciqfunctions.udf.CIQ($B12, "IQ_AR_TURNS", MB$3, $E$3, $N$3, , $J$3, $K$3))),"",_xll.ciqfunctions.udf.CIQ($B12, "IQ_AR_TURNS", MB$3, $E$3, $N$3, , $J$3, $K$3))),"")</f>
        <v/>
      </c>
      <c r="MC12" s="75" t="str">
        <f>IFERROR(IF(OR($B12="",MC$3=""),"",IF(NOT(ISNUMBER(_xll.ciqfunctions.udf.CIQ($B12, "IQ_AR_TURNS", MC$3, $E$3, $N$3, , $J$3, $K$3))),"",_xll.ciqfunctions.udf.CIQ($B12, "IQ_AR_TURNS", MC$3, $E$3, $N$3, , $J$3, $K$3))),"")</f>
        <v/>
      </c>
      <c r="MD12" s="75" t="str">
        <f>IFERROR(IF(OR($B12="",MD$3=""),"",IF(NOT(ISNUMBER(_xll.ciqfunctions.udf.CIQ($B12, "IQ_AR_TURNS", MD$3, $E$3, $N$3, , $J$3, $K$3))),"",_xll.ciqfunctions.udf.CIQ($B12, "IQ_AR_TURNS", MD$3, $E$3, $N$3, , $J$3, $K$3))),"")</f>
        <v/>
      </c>
      <c r="ME12" s="75" t="str">
        <f>IFERROR(IF(OR($B12="",ME$3=""),"",IF(NOT(ISNUMBER(_xll.ciqfunctions.udf.CIQ($B12, "IQ_AR_TURNS", ME$3, $E$3, $N$3, , $J$3, $K$3))),"",_xll.ciqfunctions.udf.CIQ($B12, "IQ_AR_TURNS", ME$3, $E$3, $N$3, , $J$3, $K$3))),"")</f>
        <v/>
      </c>
      <c r="MF12" s="75" t="str">
        <f>IFERROR(IF(OR($B12="",MF$3=""),"",IF(NOT(ISNUMBER(_xll.ciqfunctions.udf.CIQ($B12, "IQ_AR_TURNS", MF$3, $E$3, $N$3, , $J$3, $K$3))),"",_xll.ciqfunctions.udf.CIQ($B12, "IQ_AR_TURNS", MF$3, $E$3, $N$3, , $J$3, $K$3))),"")</f>
        <v/>
      </c>
      <c r="MG12" s="75" t="str">
        <f>IFERROR(IF(OR($B12="",MG$3=""),"",IF(NOT(ISNUMBER(_xll.ciqfunctions.udf.CIQ($B12, "IQ_AR_TURNS", MG$3, $E$3, $N$3, , $J$3, $K$3))),"",_xll.ciqfunctions.udf.CIQ($B12, "IQ_AR_TURNS", MG$3, $E$3, $N$3, , $J$3, $K$3))),"")</f>
        <v/>
      </c>
      <c r="MH12" s="75" t="str">
        <f>IFERROR(IF(OR($B12="",MH$3=""),"",IF(NOT(ISNUMBER(_xll.ciqfunctions.udf.CIQ($B12, "IQ_AR_TURNS", MH$3, $E$3, $N$3, , $J$3, $K$3))),"",_xll.ciqfunctions.udf.CIQ($B12, "IQ_AR_TURNS", MH$3, $E$3, $N$3, , $J$3, $K$3))),"")</f>
        <v/>
      </c>
      <c r="MI12" s="75" t="str">
        <f>IFERROR(IF(OR($B12="",MI$3=""),"",IF(NOT(ISNUMBER(_xll.ciqfunctions.udf.CIQ($B12, "IQ_AR_TURNS", MI$3, $E$3, $N$3, , $J$3, $K$3))),"",_xll.ciqfunctions.udf.CIQ($B12, "IQ_AR_TURNS", MI$3, $E$3, $N$3, , $J$3, $K$3))),"")</f>
        <v/>
      </c>
      <c r="MJ12" s="75" t="str">
        <f>IFERROR(IF(OR($B12="",MJ$3=""),"",IF(NOT(ISNUMBER(_xll.ciqfunctions.udf.CIQ($B12, "IQ_AR_TURNS", MJ$3, $E$3, $N$3, , $J$3, $K$3))),"",_xll.ciqfunctions.udf.CIQ($B12, "IQ_AR_TURNS", MJ$3, $E$3, $N$3, , $J$3, $K$3))),"")</f>
        <v/>
      </c>
      <c r="MK12" s="75" t="str">
        <f>IFERROR(IF(OR($B12="",MK$3=""),"",IF(NOT(ISNUMBER(_xll.ciqfunctions.udf.CIQ($B12, "IQ_AR_TURNS", MK$3, $E$3, $N$3, , $J$3, $K$3))),"",_xll.ciqfunctions.udf.CIQ($B12, "IQ_AR_TURNS", MK$3, $E$3, $N$3, , $J$3, $K$3))),"")</f>
        <v/>
      </c>
      <c r="ML12" s="75" t="str">
        <f>IFERROR(IF(OR($B12="",ML$3=""),"",IF(NOT(ISNUMBER(_xll.ciqfunctions.udf.CIQ($B12, "IQ_AR_TURNS", ML$3, $E$3, $N$3, , $J$3, $K$3))),"",_xll.ciqfunctions.udf.CIQ($B12, "IQ_AR_TURNS", ML$3, $E$3, $N$3, , $J$3, $K$3))),"")</f>
        <v/>
      </c>
      <c r="MM12" s="75" t="str">
        <f>IFERROR(IF(OR($B12="",MM$3=""),"",IF(NOT(ISNUMBER(_xll.ciqfunctions.udf.CIQ($B12, "IQ_AR_TURNS", MM$3, $E$3, $N$3, , $J$3, $K$3))),"",_xll.ciqfunctions.udf.CIQ($B12, "IQ_AR_TURNS", MM$3, $E$3, $N$3, , $J$3, $K$3))),"")</f>
        <v/>
      </c>
      <c r="MN12" s="75" t="str">
        <f>IFERROR(IF(OR($B12="",MN$3=""),"",IF(NOT(ISNUMBER(_xll.ciqfunctions.udf.CIQ($B12, "IQ_AR_TURNS", MN$3, $E$3, $N$3, , $J$3, $K$3))),"",_xll.ciqfunctions.udf.CIQ($B12, "IQ_AR_TURNS", MN$3, $E$3, $N$3, , $J$3, $K$3))),"")</f>
        <v/>
      </c>
      <c r="MO12" s="588" t="str">
        <f>IFERROR(IF(OR($B12="",MO$3=""),"",_xll.ciqfunctions.udf.CIQ($B12, "IQ_LEVERED_FCF", $O$3, MO$3, $N$3, , $J$3, $K$3)*2/(_xll.ciqfunctions.udf.CIQ($B12, "IQ_TOTAL_DEBT", MO$3, $E$3, $N$3, , $J$3, $K$3)+_xll.ciqfunctions.udf.CIQ($B12, "IQ_TOTAL_DEBT", "IQ_" &amp; LEFT(MO$3,2) &amp; "-1", MO$3, $N$3, , $J$3, $K$3)) ),"")</f>
        <v/>
      </c>
      <c r="MP12" s="588" t="str">
        <f>IFERROR(IF(OR($B12="",MP$3=""),"",_xll.ciqfunctions.udf.CIQ($B12, "IQ_LEVERED_FCF", $O$3, MP$3, $N$3, , $J$3, $K$3)*2/(_xll.ciqfunctions.udf.CIQ($B12, "IQ_TOTAL_DEBT", MP$3, $E$3, $N$3, , $J$3, $K$3)+_xll.ciqfunctions.udf.CIQ($B12, "IQ_TOTAL_DEBT", "IQ_" &amp; LEFT(MP$3,2) &amp; "-1", MP$3, $N$3, , $J$3, $K$3)) ),"")</f>
        <v/>
      </c>
      <c r="MQ12" s="588" t="str">
        <f>IFERROR(IF(OR($B12="",MQ$3=""),"",_xll.ciqfunctions.udf.CIQ($B12, "IQ_LEVERED_FCF", $O$3, MQ$3, $N$3, , $J$3, $K$3)*2/(_xll.ciqfunctions.udf.CIQ($B12, "IQ_TOTAL_DEBT", MQ$3, $E$3, $N$3, , $J$3, $K$3)+_xll.ciqfunctions.udf.CIQ($B12, "IQ_TOTAL_DEBT", "IQ_" &amp; LEFT(MQ$3,2) &amp; "-1", MQ$3, $N$3, , $J$3, $K$3)) ),"")</f>
        <v/>
      </c>
      <c r="MR12" s="588" t="str">
        <f>IFERROR(IF(OR($B12="",MR$3=""),"",_xll.ciqfunctions.udf.CIQ($B12, "IQ_LEVERED_FCF", $O$3, MR$3, $N$3, , $J$3, $K$3)*2/(_xll.ciqfunctions.udf.CIQ($B12, "IQ_TOTAL_DEBT", MR$3, $E$3, $N$3, , $J$3, $K$3)+_xll.ciqfunctions.udf.CIQ($B12, "IQ_TOTAL_DEBT", "IQ_" &amp; LEFT(MR$3,2) &amp; "-1", MR$3, $N$3, , $J$3, $K$3)) ),"")</f>
        <v/>
      </c>
      <c r="MS12" s="588" t="str">
        <f>IFERROR(IF(OR($B12="",MS$3=""),"",_xll.ciqfunctions.udf.CIQ($B12, "IQ_LEVERED_FCF", $O$3, MS$3, $N$3, , $J$3, $K$3)*2/(_xll.ciqfunctions.udf.CIQ($B12, "IQ_TOTAL_DEBT", MS$3, $E$3, $N$3, , $J$3, $K$3)+_xll.ciqfunctions.udf.CIQ($B12, "IQ_TOTAL_DEBT", "IQ_" &amp; LEFT(MS$3,2) &amp; "-1", MS$3, $N$3, , $J$3, $K$3)) ),"")</f>
        <v/>
      </c>
      <c r="MT12" s="588" t="str">
        <f>IFERROR(IF(OR($B12="",MT$3=""),"",_xll.ciqfunctions.udf.CIQ($B12, "IQ_LEVERED_FCF", $O$3, MT$3, $N$3, , $J$3, $K$3)*2/(_xll.ciqfunctions.udf.CIQ($B12, "IQ_TOTAL_DEBT", MT$3, $E$3, $N$3, , $J$3, $K$3)+_xll.ciqfunctions.udf.CIQ($B12, "IQ_TOTAL_DEBT", "IQ_" &amp; LEFT(MT$3,2) &amp; "-1", MT$3, $N$3, , $J$3, $K$3)) ),"")</f>
        <v/>
      </c>
      <c r="MU12" s="588" t="str">
        <f>IFERROR(IF(OR($B12="",MU$3=""),"",_xll.ciqfunctions.udf.CIQ($B12, "IQ_LEVERED_FCF", $O$3, MU$3, $N$3, , $J$3, $K$3)*2/(_xll.ciqfunctions.udf.CIQ($B12, "IQ_TOTAL_DEBT", MU$3, $E$3, $N$3, , $J$3, $K$3)+_xll.ciqfunctions.udf.CIQ($B12, "IQ_TOTAL_DEBT", "IQ_" &amp; LEFT(MU$3,2) &amp; "-1", MU$3, $N$3, , $J$3, $K$3)) ),"")</f>
        <v/>
      </c>
      <c r="MV12" s="588" t="str">
        <f>IFERROR(IF(OR($B12="",MV$3=""),"",_xll.ciqfunctions.udf.CIQ($B12, "IQ_LEVERED_FCF", $O$3, MV$3, $N$3, , $J$3, $K$3)*2/(_xll.ciqfunctions.udf.CIQ($B12, "IQ_TOTAL_DEBT", MV$3, $E$3, $N$3, , $J$3, $K$3)+_xll.ciqfunctions.udf.CIQ($B12, "IQ_TOTAL_DEBT", "IQ_" &amp; LEFT(MV$3,2) &amp; "-1", MV$3, $N$3, , $J$3, $K$3)) ),"")</f>
        <v/>
      </c>
      <c r="MW12" s="588" t="str">
        <f>IFERROR(IF(OR($B12="",MW$3=""),"",_xll.ciqfunctions.udf.CIQ($B12, "IQ_LEVERED_FCF", $O$3, MW$3, $N$3, , $J$3, $K$3)*2/(_xll.ciqfunctions.udf.CIQ($B12, "IQ_TOTAL_DEBT", MW$3, $E$3, $N$3, , $J$3, $K$3)+_xll.ciqfunctions.udf.CIQ($B12, "IQ_TOTAL_DEBT", "IQ_" &amp; LEFT(MW$3,2) &amp; "-1", MW$3, $N$3, , $J$3, $K$3)) ),"")</f>
        <v/>
      </c>
      <c r="MX12" s="588" t="str">
        <f>IFERROR(IF(OR($B12="",MX$3=""),"",_xll.ciqfunctions.udf.CIQ($B12, "IQ_LEVERED_FCF", $O$3, MX$3, $N$3, , $J$3, $K$3)*2/(_xll.ciqfunctions.udf.CIQ($B12, "IQ_TOTAL_DEBT", MX$3, $E$3, $N$3, , $J$3, $K$3)+_xll.ciqfunctions.udf.CIQ($B12, "IQ_TOTAL_DEBT", "IQ_" &amp; LEFT(MX$3,2) &amp; "-1", MX$3, $N$3, , $J$3, $K$3)) ),"")</f>
        <v/>
      </c>
      <c r="MY12" s="588" t="str">
        <f>IFERROR(IF(OR($B12="",MY$3=""),"",_xll.ciqfunctions.udf.CIQ($B12, "IQ_LEVERED_FCF", $O$3, MY$3, $N$3, , $J$3, $K$3)*2/(_xll.ciqfunctions.udf.CIQ($B12, "IQ_TOTAL_DEBT", MY$3, $E$3, $N$3, , $J$3, $K$3)+_xll.ciqfunctions.udf.CIQ($B12, "IQ_TOTAL_DEBT", "IQ_" &amp; LEFT(MY$3,2) &amp; "-1", MY$3, $N$3, , $J$3, $K$3)) ),"")</f>
        <v/>
      </c>
      <c r="MZ12" s="588" t="str">
        <f>IFERROR(IF(OR($B12="",MZ$3=""),"",_xll.ciqfunctions.udf.CIQ($B12, "IQ_LEVERED_FCF", $O$3, MZ$3, $N$3, , $J$3, $K$3)*2/(_xll.ciqfunctions.udf.CIQ($B12, "IQ_TOTAL_DEBT", MZ$3, $E$3, $N$3, , $J$3, $K$3)+_xll.ciqfunctions.udf.CIQ($B12, "IQ_TOTAL_DEBT", "IQ_" &amp; LEFT(MZ$3,2) &amp; "-1", MZ$3, $N$3, , $J$3, $K$3)) ),"")</f>
        <v/>
      </c>
      <c r="NA12" s="588" t="str">
        <f>IFERROR(IF(OR($B12="",NA$3=""),"",_xll.ciqfunctions.udf.CIQ($B12, "IQ_LEVERED_FCF", $O$3, NA$3, $N$3, , $J$3, $K$3)*2/(_xll.ciqfunctions.udf.CIQ($B12, "IQ_TOTAL_DEBT", NA$3, $E$3, $N$3, , $J$3, $K$3)+_xll.ciqfunctions.udf.CIQ($B12, "IQ_TOTAL_DEBT", "IQ_" &amp; LEFT(NA$3,2) &amp; "-1", NA$3, $N$3, , $J$3, $K$3)) ),"")</f>
        <v/>
      </c>
      <c r="NB12" s="588" t="str">
        <f>IFERROR(IF(OR($B12="",NB$3=""),"",_xll.ciqfunctions.udf.CIQ($B12, "IQ_LEVERED_FCF", $O$3, NB$3, $N$3, , $J$3, $K$3)*2/(_xll.ciqfunctions.udf.CIQ($B12, "IQ_TOTAL_DEBT", NB$3, $E$3, $N$3, , $J$3, $K$3)+_xll.ciqfunctions.udf.CIQ($B12, "IQ_TOTAL_DEBT", "IQ_" &amp; LEFT(NB$3,2) &amp; "-1", NB$3, $N$3, , $J$3, $K$3)) ),"")</f>
        <v/>
      </c>
      <c r="NC12" s="588" t="str">
        <f>IFERROR(IF(OR($B12="",NC$3=""),"",_xll.ciqfunctions.udf.CIQ($B12, "IQ_LEVERED_FCF", $O$3, NC$3, $N$3, , $J$3, $K$3)*2/(_xll.ciqfunctions.udf.CIQ($B12, "IQ_TOTAL_DEBT", NC$3, $E$3, $N$3, , $J$3, $K$3)+_xll.ciqfunctions.udf.CIQ($B12, "IQ_TOTAL_DEBT", "IQ_" &amp; LEFT(NC$3,2) &amp; "-1", NC$3, $N$3, , $J$3, $K$3)) ),"")</f>
        <v/>
      </c>
      <c r="ND12" s="588" t="str">
        <f>IFERROR(IF(OR($B12="",ND$3=""),"",_xll.ciqfunctions.udf.CIQ($B12, "IQ_LEVERED_FCF", $O$3, ND$3, $N$3, , $J$3, $K$3)*2/(_xll.ciqfunctions.udf.CIQ($B12, "IQ_TOTAL_DEBT", ND$3, $E$3, $N$3, , $J$3, $K$3)+_xll.ciqfunctions.udf.CIQ($B12, "IQ_TOTAL_DEBT", "IQ_" &amp; LEFT(ND$3,2) &amp; "-1", ND$3, $N$3, , $J$3, $K$3)) ),"")</f>
        <v/>
      </c>
      <c r="NE12" s="588" t="str">
        <f>IFERROR(IF(OR($B12="",NE$3=""),"",_xll.ciqfunctions.udf.CIQ($B12, "IQ_LEVERED_FCF", $O$3, NE$3, $N$3, , $J$3, $K$3)*2/(_xll.ciqfunctions.udf.CIQ($B12, "IQ_TOTAL_DEBT", NE$3, $E$3, $N$3, , $J$3, $K$3)+_xll.ciqfunctions.udf.CIQ($B12, "IQ_TOTAL_DEBT", "IQ_" &amp; LEFT(NE$3,2) &amp; "-1", NE$3, $N$3, , $J$3, $K$3)) ),"")</f>
        <v/>
      </c>
      <c r="NF12" s="588" t="str">
        <f>IFERROR(IF(OR($B12="",NF$3=""),"",_xll.ciqfunctions.udf.CIQ($B12, "IQ_LEVERED_FCF", $O$3, NF$3, $N$3, , $J$3, $K$3)*2/(_xll.ciqfunctions.udf.CIQ($B12, "IQ_TOTAL_DEBT", NF$3, $E$3, $N$3, , $J$3, $K$3)+_xll.ciqfunctions.udf.CIQ($B12, "IQ_TOTAL_DEBT", "IQ_" &amp; LEFT(NF$3,2) &amp; "-1", NF$3, $N$3, , $J$3, $K$3)) ),"")</f>
        <v/>
      </c>
      <c r="NG12" s="588" t="str">
        <f>IFERROR(IF(OR($B12="",NG$3=""),"",_xll.ciqfunctions.udf.CIQ($B12, "IQ_LEVERED_FCF", $O$3, NG$3, $N$3, , $J$3, $K$3)*2/(_xll.ciqfunctions.udf.CIQ($B12, "IQ_TOTAL_DEBT", NG$3, $E$3, $N$3, , $J$3, $K$3)+_xll.ciqfunctions.udf.CIQ($B12, "IQ_TOTAL_DEBT", "IQ_" &amp; LEFT(NG$3,2) &amp; "-1", NG$3, $N$3, , $J$3, $K$3)) ),"")</f>
        <v/>
      </c>
      <c r="NH12" s="588" t="str">
        <f>IFERROR(IF(OR($B12="",NH$3=""),"",_xll.ciqfunctions.udf.CIQ($B12, "IQ_LEVERED_FCF", $O$3, NH$3, $N$3, , $J$3, $K$3)*2/(_xll.ciqfunctions.udf.CIQ($B12, "IQ_TOTAL_DEBT", NH$3, $E$3, $N$3, , $J$3, $K$3)+_xll.ciqfunctions.udf.CIQ($B12, "IQ_TOTAL_DEBT", "IQ_" &amp; LEFT(NH$3,2) &amp; "-1", NH$3, $N$3, , $J$3, $K$3)) ),"")</f>
        <v/>
      </c>
      <c r="NI12" s="588" t="str">
        <f>IFERROR(IF(OR($B12="",NI$3=""),"",_xll.ciqfunctions.udf.CIQ($B12, "IQ_CASH_OPER", $O$3, NI$3, $N$3, , $J$3, $K$3)/_xll.ciqfunctions.udf.CIQ($B12, "IQ_NI", NI$3, $E$3, $N$3, , $J$3, $K$3)),"")</f>
        <v/>
      </c>
      <c r="NJ12" s="588" t="str">
        <f>IFERROR(IF(OR($B12="",NJ$3=""),"",_xll.ciqfunctions.udf.CIQ($B12, "IQ_CASH_OPER", $O$3, NJ$3, $N$3, , $J$3, $K$3)/_xll.ciqfunctions.udf.CIQ($B12, "IQ_NI", NJ$3, $E$3, $N$3, , $J$3, $K$3)),"")</f>
        <v/>
      </c>
      <c r="NK12" s="588" t="str">
        <f>IFERROR(IF(OR($B12="",NK$3=""),"",_xll.ciqfunctions.udf.CIQ($B12, "IQ_CASH_OPER", $O$3, NK$3, $N$3, , $J$3, $K$3)/_xll.ciqfunctions.udf.CIQ($B12, "IQ_NI", NK$3, $E$3, $N$3, , $J$3, $K$3)),"")</f>
        <v/>
      </c>
      <c r="NL12" s="588" t="str">
        <f>IFERROR(IF(OR($B12="",NL$3=""),"",_xll.ciqfunctions.udf.CIQ($B12, "IQ_CASH_OPER", $O$3, NL$3, $N$3, , $J$3, $K$3)/_xll.ciqfunctions.udf.CIQ($B12, "IQ_NI", NL$3, $E$3, $N$3, , $J$3, $K$3)),"")</f>
        <v/>
      </c>
      <c r="NM12" s="588" t="str">
        <f>IFERROR(IF(OR($B12="",NM$3=""),"",_xll.ciqfunctions.udf.CIQ($B12, "IQ_CASH_OPER", $O$3, NM$3, $N$3, , $J$3, $K$3)/_xll.ciqfunctions.udf.CIQ($B12, "IQ_NI", NM$3, $E$3, $N$3, , $J$3, $K$3)),"")</f>
        <v/>
      </c>
      <c r="NN12" s="588" t="str">
        <f>IFERROR(IF(OR($B12="",NN$3=""),"",_xll.ciqfunctions.udf.CIQ($B12, "IQ_CASH_OPER", $O$3, NN$3, $N$3, , $J$3, $K$3)/_xll.ciqfunctions.udf.CIQ($B12, "IQ_NI", NN$3, $E$3, $N$3, , $J$3, $K$3)),"")</f>
        <v/>
      </c>
      <c r="NO12" s="588" t="str">
        <f>IFERROR(IF(OR($B12="",NO$3=""),"",_xll.ciqfunctions.udf.CIQ($B12, "IQ_CASH_OPER", $O$3, NO$3, $N$3, , $J$3, $K$3)/_xll.ciqfunctions.udf.CIQ($B12, "IQ_NI", NO$3, $E$3, $N$3, , $J$3, $K$3)),"")</f>
        <v/>
      </c>
      <c r="NP12" s="588" t="str">
        <f>IFERROR(IF(OR($B12="",NP$3=""),"",_xll.ciqfunctions.udf.CIQ($B12, "IQ_CASH_OPER", $O$3, NP$3, $N$3, , $J$3, $K$3)/_xll.ciqfunctions.udf.CIQ($B12, "IQ_NI", NP$3, $E$3, $N$3, , $J$3, $K$3)),"")</f>
        <v/>
      </c>
      <c r="NQ12" s="588" t="str">
        <f>IFERROR(IF(OR($B12="",NQ$3=""),"",_xll.ciqfunctions.udf.CIQ($B12, "IQ_CASH_OPER", $O$3, NQ$3, $N$3, , $J$3, $K$3)/_xll.ciqfunctions.udf.CIQ($B12, "IQ_NI", NQ$3, $E$3, $N$3, , $J$3, $K$3)),"")</f>
        <v/>
      </c>
      <c r="NR12" s="588" t="str">
        <f>IFERROR(IF(OR($B12="",NR$3=""),"",_xll.ciqfunctions.udf.CIQ($B12, "IQ_CASH_OPER", $O$3, NR$3, $N$3, , $J$3, $K$3)/_xll.ciqfunctions.udf.CIQ($B12, "IQ_NI", NR$3, $E$3, $N$3, , $J$3, $K$3)),"")</f>
        <v/>
      </c>
      <c r="NS12" s="588" t="str">
        <f>IFERROR(IF(OR($B12="",NS$3=""),"",_xll.ciqfunctions.udf.CIQ($B12, "IQ_CASH_OPER", $O$3, NS$3, $N$3, , $J$3, $K$3)/_xll.ciqfunctions.udf.CIQ($B12, "IQ_NI", NS$3, $E$3, $N$3, , $J$3, $K$3)),"")</f>
        <v/>
      </c>
      <c r="NT12" s="588" t="str">
        <f>IFERROR(IF(OR($B12="",NT$3=""),"",_xll.ciqfunctions.udf.CIQ($B12, "IQ_CASH_OPER", $O$3, NT$3, $N$3, , $J$3, $K$3)/_xll.ciqfunctions.udf.CIQ($B12, "IQ_NI", NT$3, $E$3, $N$3, , $J$3, $K$3)),"")</f>
        <v/>
      </c>
      <c r="NU12" s="588" t="str">
        <f>IFERROR(IF(OR($B12="",NU$3=""),"",_xll.ciqfunctions.udf.CIQ($B12, "IQ_CASH_OPER", $O$3, NU$3, $N$3, , $J$3, $K$3)/_xll.ciqfunctions.udf.CIQ($B12, "IQ_NI", NU$3, $E$3, $N$3, , $J$3, $K$3)),"")</f>
        <v/>
      </c>
      <c r="NV12" s="588" t="str">
        <f>IFERROR(IF(OR($B12="",NV$3=""),"",_xll.ciqfunctions.udf.CIQ($B12, "IQ_CASH_OPER", $O$3, NV$3, $N$3, , $J$3, $K$3)/_xll.ciqfunctions.udf.CIQ($B12, "IQ_NI", NV$3, $E$3, $N$3, , $J$3, $K$3)),"")</f>
        <v/>
      </c>
      <c r="NW12" s="588" t="str">
        <f>IFERROR(IF(OR($B12="",NW$3=""),"",_xll.ciqfunctions.udf.CIQ($B12, "IQ_CASH_OPER", $O$3, NW$3, $N$3, , $J$3, $K$3)/_xll.ciqfunctions.udf.CIQ($B12, "IQ_NI", NW$3, $E$3, $N$3, , $J$3, $K$3)),"")</f>
        <v/>
      </c>
      <c r="NX12" s="588" t="str">
        <f>IFERROR(IF(OR($B12="",NX$3=""),"",_xll.ciqfunctions.udf.CIQ($B12, "IQ_CASH_OPER", $O$3, NX$3, $N$3, , $J$3, $K$3)/_xll.ciqfunctions.udf.CIQ($B12, "IQ_NI", NX$3, $E$3, $N$3, , $J$3, $K$3)),"")</f>
        <v/>
      </c>
      <c r="NY12" s="588" t="str">
        <f>IFERROR(IF(OR($B12="",NY$3=""),"",_xll.ciqfunctions.udf.CIQ($B12, "IQ_CASH_OPER", $O$3, NY$3, $N$3, , $J$3, $K$3)/_xll.ciqfunctions.udf.CIQ($B12, "IQ_NI", NY$3, $E$3, $N$3, , $J$3, $K$3)),"")</f>
        <v/>
      </c>
      <c r="NZ12" s="588" t="str">
        <f>IFERROR(IF(OR($B12="",NZ$3=""),"",_xll.ciqfunctions.udf.CIQ($B12, "IQ_CASH_OPER", $O$3, NZ$3, $N$3, , $J$3, $K$3)/_xll.ciqfunctions.udf.CIQ($B12, "IQ_NI", NZ$3, $E$3, $N$3, , $J$3, $K$3)),"")</f>
        <v/>
      </c>
      <c r="OA12" s="588" t="str">
        <f>IFERROR(IF(OR($B12="",OA$3=""),"",_xll.ciqfunctions.udf.CIQ($B12, "IQ_CASH_OPER", $O$3, OA$3, $N$3, , $J$3, $K$3)/_xll.ciqfunctions.udf.CIQ($B12, "IQ_NI", OA$3, $E$3, $N$3, , $J$3, $K$3)),"")</f>
        <v/>
      </c>
      <c r="OB12" s="588" t="str">
        <f>IFERROR(IF(OR($B12="",OB$3=""),"",_xll.ciqfunctions.udf.CIQ($B12, "IQ_CASH_OPER", $O$3, OB$3, $N$3, , $J$3, $K$3)/_xll.ciqfunctions.udf.CIQ($B12, "IQ_NI", OB$3, $E$3, $N$3, , $J$3, $K$3)),"")</f>
        <v/>
      </c>
      <c r="OC12" s="86" t="str">
        <f>IFERROR(IF(OR($B12="",OC$3=""),"",_xll.ciqfunctions.udf.CIQ($B12,"IQ_NI",$O$3, OC$3, $N$3, , $J$3, $K$3)*2/(_xll.ciqfunctions.udf.CIQ($B12,"IQ_TOTAL_ASSETS",OC$3,$I$3, $N$3, , $J$3, $K$3)+_xll.ciqfunctions.udf.CIQ($B12,"IQ_TOTAL_ASSETS", "IQ_" &amp; LEFT(OC$3,2) &amp; "-1", OC$3, $N$3, , $J$3, $K$3))),"")</f>
        <v/>
      </c>
      <c r="OD12" s="87" t="str">
        <f>IFERROR(IF(OR($B12="",OD$3=""),"",_xll.ciqfunctions.udf.CIQ($B12,"IQ_NI",$O$3, OD$3, $N$3, , $J$3, $K$3)*2/(_xll.ciqfunctions.udf.CIQ($B12,"IQ_TOTAL_ASSETS",OD$3,$I$3, $N$3, , $J$3, $K$3)+_xll.ciqfunctions.udf.CIQ($B12,"IQ_TOTAL_ASSETS", "IQ_" &amp; LEFT(OD$3,2) &amp; "-1", OD$3, $N$3, , $J$3, $K$3))),"")</f>
        <v/>
      </c>
      <c r="OE12" s="87" t="str">
        <f>IFERROR(IF(OR($B12="",OE$3=""),"",_xll.ciqfunctions.udf.CIQ($B12,"IQ_NI",$O$3, OE$3, $N$3, , $J$3, $K$3)*2/(_xll.ciqfunctions.udf.CIQ($B12,"IQ_TOTAL_ASSETS",OE$3,$I$3, $N$3, , $J$3, $K$3)+_xll.ciqfunctions.udf.CIQ($B12,"IQ_TOTAL_ASSETS", "IQ_" &amp; LEFT(OE$3,2) &amp; "-1", OE$3, $N$3, , $J$3, $K$3))),"")</f>
        <v/>
      </c>
      <c r="OF12" s="87" t="str">
        <f>IFERROR(IF(OR($B12="",OF$3=""),"",_xll.ciqfunctions.udf.CIQ($B12,"IQ_NI",$O$3, OF$3, $N$3, , $J$3, $K$3)*2/(_xll.ciqfunctions.udf.CIQ($B12,"IQ_TOTAL_ASSETS",OF$3,$I$3, $N$3, , $J$3, $K$3)+_xll.ciqfunctions.udf.CIQ($B12,"IQ_TOTAL_ASSETS", "IQ_" &amp; LEFT(OF$3,2) &amp; "-1", OF$3, $N$3, , $J$3, $K$3))),"")</f>
        <v/>
      </c>
      <c r="OG12" s="87" t="str">
        <f>IFERROR(IF(OR($B12="",OG$3=""),"",_xll.ciqfunctions.udf.CIQ($B12,"IQ_NI",$O$3, OG$3, $N$3, , $J$3, $K$3)*2/(_xll.ciqfunctions.udf.CIQ($B12,"IQ_TOTAL_ASSETS",OG$3,$I$3, $N$3, , $J$3, $K$3)+_xll.ciqfunctions.udf.CIQ($B12,"IQ_TOTAL_ASSETS", "IQ_" &amp; LEFT(OG$3,2) &amp; "-1", OG$3, $N$3, , $J$3, $K$3))),"")</f>
        <v/>
      </c>
      <c r="OH12" s="87" t="str">
        <f>IFERROR(IF(OR($B12="",OH$3=""),"",_xll.ciqfunctions.udf.CIQ($B12,"IQ_NI",$O$3, OH$3, $N$3, , $J$3, $K$3)*2/(_xll.ciqfunctions.udf.CIQ($B12,"IQ_TOTAL_ASSETS",OH$3,$I$3, $N$3, , $J$3, $K$3)+_xll.ciqfunctions.udf.CIQ($B12,"IQ_TOTAL_ASSETS", "IQ_" &amp; LEFT(OH$3,2) &amp; "-1", OH$3, $N$3, , $J$3, $K$3))),"")</f>
        <v/>
      </c>
      <c r="OI12" s="87" t="str">
        <f>IFERROR(IF(OR($B12="",OI$3=""),"",_xll.ciqfunctions.udf.CIQ($B12,"IQ_NI",$O$3, OI$3, $N$3, , $J$3, $K$3)*2/(_xll.ciqfunctions.udf.CIQ($B12,"IQ_TOTAL_ASSETS",OI$3,$I$3, $N$3, , $J$3, $K$3)+_xll.ciqfunctions.udf.CIQ($B12,"IQ_TOTAL_ASSETS", "IQ_" &amp; LEFT(OI$3,2) &amp; "-1", OI$3, $N$3, , $J$3, $K$3))),"")</f>
        <v/>
      </c>
      <c r="OJ12" s="87" t="str">
        <f>IFERROR(IF(OR($B12="",OJ$3=""),"",_xll.ciqfunctions.udf.CIQ($B12,"IQ_NI",$O$3, OJ$3, $N$3, , $J$3, $K$3)*2/(_xll.ciqfunctions.udf.CIQ($B12,"IQ_TOTAL_ASSETS",OJ$3,$I$3, $N$3, , $J$3, $K$3)+_xll.ciqfunctions.udf.CIQ($B12,"IQ_TOTAL_ASSETS", "IQ_" &amp; LEFT(OJ$3,2) &amp; "-1", OJ$3, $N$3, , $J$3, $K$3))),"")</f>
        <v/>
      </c>
      <c r="OK12" s="87" t="str">
        <f>IFERROR(IF(OR($B12="",OK$3=""),"",_xll.ciqfunctions.udf.CIQ($B12,"IQ_NI",$O$3, OK$3, $N$3, , $J$3, $K$3)*2/(_xll.ciqfunctions.udf.CIQ($B12,"IQ_TOTAL_ASSETS",OK$3,$I$3, $N$3, , $J$3, $K$3)+_xll.ciqfunctions.udf.CIQ($B12,"IQ_TOTAL_ASSETS", "IQ_" &amp; LEFT(OK$3,2) &amp; "-1", OK$3, $N$3, , $J$3, $K$3))),"")</f>
        <v/>
      </c>
      <c r="OL12" s="87" t="str">
        <f>IFERROR(IF(OR($B12="",OL$3=""),"",_xll.ciqfunctions.udf.CIQ($B12,"IQ_NI",$O$3, OL$3, $N$3, , $J$3, $K$3)*2/(_xll.ciqfunctions.udf.CIQ($B12,"IQ_TOTAL_ASSETS",OL$3,$I$3, $N$3, , $J$3, $K$3)+_xll.ciqfunctions.udf.CIQ($B12,"IQ_TOTAL_ASSETS", "IQ_" &amp; LEFT(OL$3,2) &amp; "-1", OL$3, $N$3, , $J$3, $K$3))),"")</f>
        <v/>
      </c>
      <c r="OM12" s="87" t="str">
        <f>IFERROR(IF(OR($B12="",OM$3=""),"",_xll.ciqfunctions.udf.CIQ($B12,"IQ_NI",$O$3, OM$3, $N$3, , $J$3, $K$3)*2/(_xll.ciqfunctions.udf.CIQ($B12,"IQ_TOTAL_ASSETS",OM$3,$I$3, $N$3, , $J$3, $K$3)+_xll.ciqfunctions.udf.CIQ($B12,"IQ_TOTAL_ASSETS", "IQ_" &amp; LEFT(OM$3,2) &amp; "-1", OM$3, $N$3, , $J$3, $K$3))),"")</f>
        <v/>
      </c>
      <c r="ON12" s="87" t="str">
        <f>IFERROR(IF(OR($B12="",ON$3=""),"",_xll.ciqfunctions.udf.CIQ($B12,"IQ_NI",$O$3, ON$3, $N$3, , $J$3, $K$3)*2/(_xll.ciqfunctions.udf.CIQ($B12,"IQ_TOTAL_ASSETS",ON$3,$I$3, $N$3, , $J$3, $K$3)+_xll.ciqfunctions.udf.CIQ($B12,"IQ_TOTAL_ASSETS", "IQ_" &amp; LEFT(ON$3,2) &amp; "-1", ON$3, $N$3, , $J$3, $K$3))),"")</f>
        <v/>
      </c>
      <c r="OO12" s="87" t="str">
        <f>IFERROR(IF(OR($B12="",OO$3=""),"",_xll.ciqfunctions.udf.CIQ($B12,"IQ_NI",$O$3, OO$3, $N$3, , $J$3, $K$3)*2/(_xll.ciqfunctions.udf.CIQ($B12,"IQ_TOTAL_ASSETS",OO$3,$I$3, $N$3, , $J$3, $K$3)+_xll.ciqfunctions.udf.CIQ($B12,"IQ_TOTAL_ASSETS", "IQ_" &amp; LEFT(OO$3,2) &amp; "-1", OO$3, $N$3, , $J$3, $K$3))),"")</f>
        <v/>
      </c>
      <c r="OP12" s="87" t="str">
        <f>IFERROR(IF(OR($B12="",OP$3=""),"",_xll.ciqfunctions.udf.CIQ($B12,"IQ_NI",$O$3, OP$3, $N$3, , $J$3, $K$3)*2/(_xll.ciqfunctions.udf.CIQ($B12,"IQ_TOTAL_ASSETS",OP$3,$I$3, $N$3, , $J$3, $K$3)+_xll.ciqfunctions.udf.CIQ($B12,"IQ_TOTAL_ASSETS", "IQ_" &amp; LEFT(OP$3,2) &amp; "-1", OP$3, $N$3, , $J$3, $K$3))),"")</f>
        <v/>
      </c>
      <c r="OQ12" s="87" t="str">
        <f>IFERROR(IF(OR($B12="",OQ$3=""),"",_xll.ciqfunctions.udf.CIQ($B12,"IQ_NI",$O$3, OQ$3, $N$3, , $J$3, $K$3)*2/(_xll.ciqfunctions.udf.CIQ($B12,"IQ_TOTAL_ASSETS",OQ$3,$I$3, $N$3, , $J$3, $K$3)+_xll.ciqfunctions.udf.CIQ($B12,"IQ_TOTAL_ASSETS", "IQ_" &amp; LEFT(OQ$3,2) &amp; "-1", OQ$3, $N$3, , $J$3, $K$3))),"")</f>
        <v/>
      </c>
      <c r="OR12" s="87" t="str">
        <f>IFERROR(IF(OR($B12="",OR$3=""),"",_xll.ciqfunctions.udf.CIQ($B12,"IQ_NI",$O$3, OR$3, $N$3, , $J$3, $K$3)*2/(_xll.ciqfunctions.udf.CIQ($B12,"IQ_TOTAL_ASSETS",OR$3,$I$3, $N$3, , $J$3, $K$3)+_xll.ciqfunctions.udf.CIQ($B12,"IQ_TOTAL_ASSETS", "IQ_" &amp; LEFT(OR$3,2) &amp; "-1", OR$3, $N$3, , $J$3, $K$3))),"")</f>
        <v/>
      </c>
      <c r="OS12" s="87" t="str">
        <f>IFERROR(IF(OR($B12="",OS$3=""),"",_xll.ciqfunctions.udf.CIQ($B12,"IQ_NI",$O$3, OS$3, $N$3, , $J$3, $K$3)*2/(_xll.ciqfunctions.udf.CIQ($B12,"IQ_TOTAL_ASSETS",OS$3,$I$3, $N$3, , $J$3, $K$3)+_xll.ciqfunctions.udf.CIQ($B12,"IQ_TOTAL_ASSETS", "IQ_" &amp; LEFT(OS$3,2) &amp; "-1", OS$3, $N$3, , $J$3, $K$3))),"")</f>
        <v/>
      </c>
      <c r="OT12" s="87" t="str">
        <f>IFERROR(IF(OR($B12="",OT$3=""),"",_xll.ciqfunctions.udf.CIQ($B12,"IQ_NI",$O$3, OT$3, $N$3, , $J$3, $K$3)*2/(_xll.ciqfunctions.udf.CIQ($B12,"IQ_TOTAL_ASSETS",OT$3,$I$3, $N$3, , $J$3, $K$3)+_xll.ciqfunctions.udf.CIQ($B12,"IQ_TOTAL_ASSETS", "IQ_" &amp; LEFT(OT$3,2) &amp; "-1", OT$3, $N$3, , $J$3, $K$3))),"")</f>
        <v/>
      </c>
      <c r="OU12" s="87" t="str">
        <f>IFERROR(IF(OR($B12="",OU$3=""),"",_xll.ciqfunctions.udf.CIQ($B12,"IQ_NI",$O$3, OU$3, $N$3, , $J$3, $K$3)*2/(_xll.ciqfunctions.udf.CIQ($B12,"IQ_TOTAL_ASSETS",OU$3,$I$3, $N$3, , $J$3, $K$3)+_xll.ciqfunctions.udf.CIQ($B12,"IQ_TOTAL_ASSETS", "IQ_" &amp; LEFT(OU$3,2) &amp; "-1", OU$3, $N$3, , $J$3, $K$3))),"")</f>
        <v/>
      </c>
      <c r="OV12" s="88" t="str">
        <f>IFERROR(IF(OR($B12="",OV$3=""),"",_xll.ciqfunctions.udf.CIQ($B12,"IQ_NI",$O$3, OV$3, $N$3, , $J$3, $K$3)*2/(_xll.ciqfunctions.udf.CIQ($B12,"IQ_TOTAL_ASSETS",OV$3,$I$3, $N$3, , $J$3, $K$3)+_xll.ciqfunctions.udf.CIQ($B12,"IQ_TOTAL_ASSETS", "IQ_" &amp; LEFT(OV$3,2) &amp; "-1", OV$3, $N$3, , $J$3, $K$3))),"")</f>
        <v/>
      </c>
      <c r="OW12" s="343" t="str">
        <f>IFERROR(IF(OR($B12="",OW$3=""),"",_xll.ciqfunctions.udf.CIQ($B12, "IQ_NI", $O$3, OW$3, $N$3, , $J$3, $K$3)*2/(_xll.ciqfunctions.udf.CIQ($B12, "IQ_TOTAL_ASSETS", OW$3, $I$3, $N$3, , $J$3, $K$3)+_xll.ciqfunctions.udf.CIQ($B12, "IQ_TOTAL_ASSETS", "IQ_" &amp; LEFT(OW$3,2) &amp; "-1", OW$3, $N$3, , $J$3, $K$3)-_xll.ciqfunctions.udf.CIQ($B12, "IQ_TOTAL_CL", OW$3, $I$3, $N$3, , $J$3, $K$3)-_xll.ciqfunctions.udf.CIQ($B12, "IQ_TOTAL_CL", "IQ_" &amp; LEFT(OW$3,2) &amp; "-1", OW$3, $N$3, , $J$3, $K$3))),"")</f>
        <v/>
      </c>
      <c r="OX12" s="87" t="str">
        <f>IFERROR(IF(OR($B12="",OX$3=""),"",_xll.ciqfunctions.udf.CIQ($B12, "IQ_NI", $O$3, OX$3, $N$3, , $J$3, $K$3)*2/(_xll.ciqfunctions.udf.CIQ($B12, "IQ_TOTAL_ASSETS", OX$3, $I$3, $N$3, , $J$3, $K$3)+_xll.ciqfunctions.udf.CIQ($B12, "IQ_TOTAL_ASSETS", "IQ_" &amp; LEFT(OX$3,2) &amp; "-1", OX$3, $N$3, , $J$3, $K$3)-_xll.ciqfunctions.udf.CIQ($B12, "IQ_TOTAL_CL", OX$3, $I$3, $N$3, , $J$3, $K$3)-_xll.ciqfunctions.udf.CIQ($B12, "IQ_TOTAL_CL", "IQ_" &amp; LEFT(OX$3,2) &amp; "-1", OX$3, $N$3, , $J$3, $K$3))),"")</f>
        <v/>
      </c>
      <c r="OY12" s="87" t="str">
        <f>IFERROR(IF(OR($B12="",OY$3=""),"",_xll.ciqfunctions.udf.CIQ($B12, "IQ_NI", $O$3, OY$3, $N$3, , $J$3, $K$3)*2/(_xll.ciqfunctions.udf.CIQ($B12, "IQ_TOTAL_ASSETS", OY$3, $I$3, $N$3, , $J$3, $K$3)+_xll.ciqfunctions.udf.CIQ($B12, "IQ_TOTAL_ASSETS", "IQ_" &amp; LEFT(OY$3,2) &amp; "-1", OY$3, $N$3, , $J$3, $K$3)-_xll.ciqfunctions.udf.CIQ($B12, "IQ_TOTAL_CL", OY$3, $I$3, $N$3, , $J$3, $K$3)-_xll.ciqfunctions.udf.CIQ($B12, "IQ_TOTAL_CL", "IQ_" &amp; LEFT(OY$3,2) &amp; "-1", OY$3, $N$3, , $J$3, $K$3))),"")</f>
        <v/>
      </c>
      <c r="OZ12" s="87" t="str">
        <f>IFERROR(IF(OR($B12="",OZ$3=""),"",_xll.ciqfunctions.udf.CIQ($B12, "IQ_NI", $O$3, OZ$3, $N$3, , $J$3, $K$3)*2/(_xll.ciqfunctions.udf.CIQ($B12, "IQ_TOTAL_ASSETS", OZ$3, $I$3, $N$3, , $J$3, $K$3)+_xll.ciqfunctions.udf.CIQ($B12, "IQ_TOTAL_ASSETS", "IQ_" &amp; LEFT(OZ$3,2) &amp; "-1", OZ$3, $N$3, , $J$3, $K$3)-_xll.ciqfunctions.udf.CIQ($B12, "IQ_TOTAL_CL", OZ$3, $I$3, $N$3, , $J$3, $K$3)-_xll.ciqfunctions.udf.CIQ($B12, "IQ_TOTAL_CL", "IQ_" &amp; LEFT(OZ$3,2) &amp; "-1", OZ$3, $N$3, , $J$3, $K$3))),"")</f>
        <v/>
      </c>
      <c r="PA12" s="87" t="str">
        <f>IFERROR(IF(OR($B12="",PA$3=""),"",_xll.ciqfunctions.udf.CIQ($B12, "IQ_NI", $O$3, PA$3, $N$3, , $J$3, $K$3)*2/(_xll.ciqfunctions.udf.CIQ($B12, "IQ_TOTAL_ASSETS", PA$3, $I$3, $N$3, , $J$3, $K$3)+_xll.ciqfunctions.udf.CIQ($B12, "IQ_TOTAL_ASSETS", "IQ_" &amp; LEFT(PA$3,2) &amp; "-1", PA$3, $N$3, , $J$3, $K$3)-_xll.ciqfunctions.udf.CIQ($B12, "IQ_TOTAL_CL", PA$3, $I$3, $N$3, , $J$3, $K$3)-_xll.ciqfunctions.udf.CIQ($B12, "IQ_TOTAL_CL", "IQ_" &amp; LEFT(PA$3,2) &amp; "-1", PA$3, $N$3, , $J$3, $K$3))),"")</f>
        <v/>
      </c>
      <c r="PB12" s="87" t="str">
        <f>IFERROR(IF(OR($B12="",PB$3=""),"",_xll.ciqfunctions.udf.CIQ($B12, "IQ_NI", $O$3, PB$3, $N$3, , $J$3, $K$3)*2/(_xll.ciqfunctions.udf.CIQ($B12, "IQ_TOTAL_ASSETS", PB$3, $I$3, $N$3, , $J$3, $K$3)+_xll.ciqfunctions.udf.CIQ($B12, "IQ_TOTAL_ASSETS", "IQ_" &amp; LEFT(PB$3,2) &amp; "-1", PB$3, $N$3, , $J$3, $K$3)-_xll.ciqfunctions.udf.CIQ($B12, "IQ_TOTAL_CL", PB$3, $I$3, $N$3, , $J$3, $K$3)-_xll.ciqfunctions.udf.CIQ($B12, "IQ_TOTAL_CL", "IQ_" &amp; LEFT(PB$3,2) &amp; "-1", PB$3, $N$3, , $J$3, $K$3))),"")</f>
        <v/>
      </c>
      <c r="PC12" s="87" t="str">
        <f>IFERROR(IF(OR($B12="",PC$3=""),"",_xll.ciqfunctions.udf.CIQ($B12, "IQ_NI", $O$3, PC$3, $N$3, , $J$3, $K$3)*2/(_xll.ciqfunctions.udf.CIQ($B12, "IQ_TOTAL_ASSETS", PC$3, $I$3, $N$3, , $J$3, $K$3)+_xll.ciqfunctions.udf.CIQ($B12, "IQ_TOTAL_ASSETS", "IQ_" &amp; LEFT(PC$3,2) &amp; "-1", PC$3, $N$3, , $J$3, $K$3)-_xll.ciqfunctions.udf.CIQ($B12, "IQ_TOTAL_CL", PC$3, $I$3, $N$3, , $J$3, $K$3)-_xll.ciqfunctions.udf.CIQ($B12, "IQ_TOTAL_CL", "IQ_" &amp; LEFT(PC$3,2) &amp; "-1", PC$3, $N$3, , $J$3, $K$3))),"")</f>
        <v/>
      </c>
      <c r="PD12" s="87" t="str">
        <f>IFERROR(IF(OR($B12="",PD$3=""),"",_xll.ciqfunctions.udf.CIQ($B12, "IQ_NI", $O$3, PD$3, $N$3, , $J$3, $K$3)*2/(_xll.ciqfunctions.udf.CIQ($B12, "IQ_TOTAL_ASSETS", PD$3, $I$3, $N$3, , $J$3, $K$3)+_xll.ciqfunctions.udf.CIQ($B12, "IQ_TOTAL_ASSETS", "IQ_" &amp; LEFT(PD$3,2) &amp; "-1", PD$3, $N$3, , $J$3, $K$3)-_xll.ciqfunctions.udf.CIQ($B12, "IQ_TOTAL_CL", PD$3, $I$3, $N$3, , $J$3, $K$3)-_xll.ciqfunctions.udf.CIQ($B12, "IQ_TOTAL_CL", "IQ_" &amp; LEFT(PD$3,2) &amp; "-1", PD$3, $N$3, , $J$3, $K$3))),"")</f>
        <v/>
      </c>
      <c r="PE12" s="87" t="str">
        <f>IFERROR(IF(OR($B12="",PE$3=""),"",_xll.ciqfunctions.udf.CIQ($B12, "IQ_NI", $O$3, PE$3, $N$3, , $J$3, $K$3)*2/(_xll.ciqfunctions.udf.CIQ($B12, "IQ_TOTAL_ASSETS", PE$3, $I$3, $N$3, , $J$3, $K$3)+_xll.ciqfunctions.udf.CIQ($B12, "IQ_TOTAL_ASSETS", "IQ_" &amp; LEFT(PE$3,2) &amp; "-1", PE$3, $N$3, , $J$3, $K$3)-_xll.ciqfunctions.udf.CIQ($B12, "IQ_TOTAL_CL", PE$3, $I$3, $N$3, , $J$3, $K$3)-_xll.ciqfunctions.udf.CIQ($B12, "IQ_TOTAL_CL", "IQ_" &amp; LEFT(PE$3,2) &amp; "-1", PE$3, $N$3, , $J$3, $K$3))),"")</f>
        <v/>
      </c>
      <c r="PF12" s="87" t="str">
        <f>IFERROR(IF(OR($B12="",PF$3=""),"",_xll.ciqfunctions.udf.CIQ($B12, "IQ_NI", $O$3, PF$3, $N$3, , $J$3, $K$3)*2/(_xll.ciqfunctions.udf.CIQ($B12, "IQ_TOTAL_ASSETS", PF$3, $I$3, $N$3, , $J$3, $K$3)+_xll.ciqfunctions.udf.CIQ($B12, "IQ_TOTAL_ASSETS", "IQ_" &amp; LEFT(PF$3,2) &amp; "-1", PF$3, $N$3, , $J$3, $K$3)-_xll.ciqfunctions.udf.CIQ($B12, "IQ_TOTAL_CL", PF$3, $I$3, $N$3, , $J$3, $K$3)-_xll.ciqfunctions.udf.CIQ($B12, "IQ_TOTAL_CL", "IQ_" &amp; LEFT(PF$3,2) &amp; "-1", PF$3, $N$3, , $J$3, $K$3))),"")</f>
        <v/>
      </c>
      <c r="PG12" s="87" t="str">
        <f>IFERROR(IF(OR($B12="",PG$3=""),"",_xll.ciqfunctions.udf.CIQ($B12, "IQ_NI", $O$3, PG$3, $N$3, , $J$3, $K$3)*2/(_xll.ciqfunctions.udf.CIQ($B12, "IQ_TOTAL_ASSETS", PG$3, $I$3, $N$3, , $J$3, $K$3)+_xll.ciqfunctions.udf.CIQ($B12, "IQ_TOTAL_ASSETS", "IQ_" &amp; LEFT(PG$3,2) &amp; "-1", PG$3, $N$3, , $J$3, $K$3)-_xll.ciqfunctions.udf.CIQ($B12, "IQ_TOTAL_CL", PG$3, $I$3, $N$3, , $J$3, $K$3)-_xll.ciqfunctions.udf.CIQ($B12, "IQ_TOTAL_CL", "IQ_" &amp; LEFT(PG$3,2) &amp; "-1", PG$3, $N$3, , $J$3, $K$3))),"")</f>
        <v/>
      </c>
      <c r="PH12" s="87" t="str">
        <f>IFERROR(IF(OR($B12="",PH$3=""),"",_xll.ciqfunctions.udf.CIQ($B12, "IQ_NI", $O$3, PH$3, $N$3, , $J$3, $K$3)*2/(_xll.ciqfunctions.udf.CIQ($B12, "IQ_TOTAL_ASSETS", PH$3, $I$3, $N$3, , $J$3, $K$3)+_xll.ciqfunctions.udf.CIQ($B12, "IQ_TOTAL_ASSETS", "IQ_" &amp; LEFT(PH$3,2) &amp; "-1", PH$3, $N$3, , $J$3, $K$3)-_xll.ciqfunctions.udf.CIQ($B12, "IQ_TOTAL_CL", PH$3, $I$3, $N$3, , $J$3, $K$3)-_xll.ciqfunctions.udf.CIQ($B12, "IQ_TOTAL_CL", "IQ_" &amp; LEFT(PH$3,2) &amp; "-1", PH$3, $N$3, , $J$3, $K$3))),"")</f>
        <v/>
      </c>
      <c r="PI12" s="87" t="str">
        <f>IFERROR(IF(OR($B12="",PI$3=""),"",_xll.ciqfunctions.udf.CIQ($B12, "IQ_NI", $O$3, PI$3, $N$3, , $J$3, $K$3)*2/(_xll.ciqfunctions.udf.CIQ($B12, "IQ_TOTAL_ASSETS", PI$3, $I$3, $N$3, , $J$3, $K$3)+_xll.ciqfunctions.udf.CIQ($B12, "IQ_TOTAL_ASSETS", "IQ_" &amp; LEFT(PI$3,2) &amp; "-1", PI$3, $N$3, , $J$3, $K$3)-_xll.ciqfunctions.udf.CIQ($B12, "IQ_TOTAL_CL", PI$3, $I$3, $N$3, , $J$3, $K$3)-_xll.ciqfunctions.udf.CIQ($B12, "IQ_TOTAL_CL", "IQ_" &amp; LEFT(PI$3,2) &amp; "-1", PI$3, $N$3, , $J$3, $K$3))),"")</f>
        <v/>
      </c>
      <c r="PJ12" s="87" t="str">
        <f>IFERROR(IF(OR($B12="",PJ$3=""),"",_xll.ciqfunctions.udf.CIQ($B12, "IQ_NI", $O$3, PJ$3, $N$3, , $J$3, $K$3)*2/(_xll.ciqfunctions.udf.CIQ($B12, "IQ_TOTAL_ASSETS", PJ$3, $I$3, $N$3, , $J$3, $K$3)+_xll.ciqfunctions.udf.CIQ($B12, "IQ_TOTAL_ASSETS", "IQ_" &amp; LEFT(PJ$3,2) &amp; "-1", PJ$3, $N$3, , $J$3, $K$3)-_xll.ciqfunctions.udf.CIQ($B12, "IQ_TOTAL_CL", PJ$3, $I$3, $N$3, , $J$3, $K$3)-_xll.ciqfunctions.udf.CIQ($B12, "IQ_TOTAL_CL", "IQ_" &amp; LEFT(PJ$3,2) &amp; "-1", PJ$3, $N$3, , $J$3, $K$3))),"")</f>
        <v/>
      </c>
      <c r="PK12" s="87" t="str">
        <f>IFERROR(IF(OR($B12="",PK$3=""),"",_xll.ciqfunctions.udf.CIQ($B12, "IQ_NI", $O$3, PK$3, $N$3, , $J$3, $K$3)*2/(_xll.ciqfunctions.udf.CIQ($B12, "IQ_TOTAL_ASSETS", PK$3, $I$3, $N$3, , $J$3, $K$3)+_xll.ciqfunctions.udf.CIQ($B12, "IQ_TOTAL_ASSETS", "IQ_" &amp; LEFT(PK$3,2) &amp; "-1", PK$3, $N$3, , $J$3, $K$3)-_xll.ciqfunctions.udf.CIQ($B12, "IQ_TOTAL_CL", PK$3, $I$3, $N$3, , $J$3, $K$3)-_xll.ciqfunctions.udf.CIQ($B12, "IQ_TOTAL_CL", "IQ_" &amp; LEFT(PK$3,2) &amp; "-1", PK$3, $N$3, , $J$3, $K$3))),"")</f>
        <v/>
      </c>
      <c r="PL12" s="87" t="str">
        <f>IFERROR(IF(OR($B12="",PL$3=""),"",_xll.ciqfunctions.udf.CIQ($B12, "IQ_NI", $O$3, PL$3, $N$3, , $J$3, $K$3)*2/(_xll.ciqfunctions.udf.CIQ($B12, "IQ_TOTAL_ASSETS", PL$3, $I$3, $N$3, , $J$3, $K$3)+_xll.ciqfunctions.udf.CIQ($B12, "IQ_TOTAL_ASSETS", "IQ_" &amp; LEFT(PL$3,2) &amp; "-1", PL$3, $N$3, , $J$3, $K$3)-_xll.ciqfunctions.udf.CIQ($B12, "IQ_TOTAL_CL", PL$3, $I$3, $N$3, , $J$3, $K$3)-_xll.ciqfunctions.udf.CIQ($B12, "IQ_TOTAL_CL", "IQ_" &amp; LEFT(PL$3,2) &amp; "-1", PL$3, $N$3, , $J$3, $K$3))),"")</f>
        <v/>
      </c>
      <c r="PM12" s="87" t="str">
        <f>IFERROR(IF(OR($B12="",PM$3=""),"",_xll.ciqfunctions.udf.CIQ($B12, "IQ_NI", $O$3, PM$3, $N$3, , $J$3, $K$3)*2/(_xll.ciqfunctions.udf.CIQ($B12, "IQ_TOTAL_ASSETS", PM$3, $I$3, $N$3, , $J$3, $K$3)+_xll.ciqfunctions.udf.CIQ($B12, "IQ_TOTAL_ASSETS", "IQ_" &amp; LEFT(PM$3,2) &amp; "-1", PM$3, $N$3, , $J$3, $K$3)-_xll.ciqfunctions.udf.CIQ($B12, "IQ_TOTAL_CL", PM$3, $I$3, $N$3, , $J$3, $K$3)-_xll.ciqfunctions.udf.CIQ($B12, "IQ_TOTAL_CL", "IQ_" &amp; LEFT(PM$3,2) &amp; "-1", PM$3, $N$3, , $J$3, $K$3))),"")</f>
        <v/>
      </c>
      <c r="PN12" s="87" t="str">
        <f>IFERROR(IF(OR($B12="",PN$3=""),"",_xll.ciqfunctions.udf.CIQ($B12, "IQ_NI", $O$3, PN$3, $N$3, , $J$3, $K$3)*2/(_xll.ciqfunctions.udf.CIQ($B12, "IQ_TOTAL_ASSETS", PN$3, $I$3, $N$3, , $J$3, $K$3)+_xll.ciqfunctions.udf.CIQ($B12, "IQ_TOTAL_ASSETS", "IQ_" &amp; LEFT(PN$3,2) &amp; "-1", PN$3, $N$3, , $J$3, $K$3)-_xll.ciqfunctions.udf.CIQ($B12, "IQ_TOTAL_CL", PN$3, $I$3, $N$3, , $J$3, $K$3)-_xll.ciqfunctions.udf.CIQ($B12, "IQ_TOTAL_CL", "IQ_" &amp; LEFT(PN$3,2) &amp; "-1", PN$3, $N$3, , $J$3, $K$3))),"")</f>
        <v/>
      </c>
      <c r="PO12" s="87" t="str">
        <f>IFERROR(IF(OR($B12="",PO$3=""),"",_xll.ciqfunctions.udf.CIQ($B12, "IQ_NI", $O$3, PO$3, $N$3, , $J$3, $K$3)*2/(_xll.ciqfunctions.udf.CIQ($B12, "IQ_TOTAL_ASSETS", PO$3, $I$3, $N$3, , $J$3, $K$3)+_xll.ciqfunctions.udf.CIQ($B12, "IQ_TOTAL_ASSETS", "IQ_" &amp; LEFT(PO$3,2) &amp; "-1", PO$3, $N$3, , $J$3, $K$3)-_xll.ciqfunctions.udf.CIQ($B12, "IQ_TOTAL_CL", PO$3, $I$3, $N$3, , $J$3, $K$3)-_xll.ciqfunctions.udf.CIQ($B12, "IQ_TOTAL_CL", "IQ_" &amp; LEFT(PO$3,2) &amp; "-1", PO$3, $N$3, , $J$3, $K$3))),"")</f>
        <v/>
      </c>
      <c r="PP12" s="88" t="str">
        <f>IFERROR(IF(OR($B12="",PP$3=""),"",_xll.ciqfunctions.udf.CIQ($B12, "IQ_NI", $O$3, PP$3, $N$3, , $J$3, $K$3)*2/(_xll.ciqfunctions.udf.CIQ($B12, "IQ_TOTAL_ASSETS", PP$3, $I$3, $N$3, , $J$3, $K$3)+_xll.ciqfunctions.udf.CIQ($B12, "IQ_TOTAL_ASSETS", "IQ_" &amp; LEFT(PP$3,2) &amp; "-1", PP$3, $N$3, , $J$3, $K$3)-_xll.ciqfunctions.udf.CIQ($B12, "IQ_TOTAL_CL", PP$3, $I$3, $N$3, , $J$3, $K$3)-_xll.ciqfunctions.udf.CIQ($B12, "IQ_TOTAL_CL", "IQ_" &amp; LEFT(PP$3,2) &amp; "-1", PP$3, $N$3, , $J$3, $K$3))),"")</f>
        <v/>
      </c>
      <c r="PQ12" s="89" t="str">
        <f>IFERROR(IF(OR($B12="",PQ$3=""),"",_xll.ciqfunctions.udf.CIQ($B12,"IQ_TOTAL_ASSETS",PQ$3, $I$3, $N$3, , $J$3, $K$3)/_xll.ciqfunctions.udf.CIQ($B12,"IQ_TOTAL_COMMON_EQUITY",PQ$3, $I$3, $N$3, , $J$3, $K$3)),"")</f>
        <v/>
      </c>
      <c r="PR12" s="90" t="str">
        <f>IFERROR(IF(OR($B12="",PR$3=""),"",_xll.ciqfunctions.udf.CIQ($B12,"IQ_TOTAL_ASSETS",PR$3, $I$3, $N$3, , $J$3, $K$3)/_xll.ciqfunctions.udf.CIQ($B12,"IQ_TOTAL_COMMON_EQUITY",PR$3, $I$3, $N$3, , $J$3, $K$3)),"")</f>
        <v/>
      </c>
      <c r="PS12" s="90" t="str">
        <f>IFERROR(IF(OR($B12="",PS$3=""),"",_xll.ciqfunctions.udf.CIQ($B12,"IQ_TOTAL_ASSETS",PS$3, $I$3, $N$3, , $J$3, $K$3)/_xll.ciqfunctions.udf.CIQ($B12,"IQ_TOTAL_COMMON_EQUITY",PS$3, $I$3, $N$3, , $J$3, $K$3)),"")</f>
        <v/>
      </c>
      <c r="PT12" s="90" t="str">
        <f>IFERROR(IF(OR($B12="",PT$3=""),"",_xll.ciqfunctions.udf.CIQ($B12,"IQ_TOTAL_ASSETS",PT$3, $I$3, $N$3, , $J$3, $K$3)/_xll.ciqfunctions.udf.CIQ($B12,"IQ_TOTAL_COMMON_EQUITY",PT$3, $I$3, $N$3, , $J$3, $K$3)),"")</f>
        <v/>
      </c>
      <c r="PU12" s="90" t="str">
        <f>IFERROR(IF(OR($B12="",PU$3=""),"",_xll.ciqfunctions.udf.CIQ($B12,"IQ_TOTAL_ASSETS",PU$3, $I$3, $N$3, , $J$3, $K$3)/_xll.ciqfunctions.udf.CIQ($B12,"IQ_TOTAL_COMMON_EQUITY",PU$3, $I$3, $N$3, , $J$3, $K$3)),"")</f>
        <v/>
      </c>
      <c r="PV12" s="90" t="str">
        <f>IFERROR(IF(OR($B12="",PV$3=""),"",_xll.ciqfunctions.udf.CIQ($B12,"IQ_TOTAL_ASSETS",PV$3, $I$3, $N$3, , $J$3, $K$3)/_xll.ciqfunctions.udf.CIQ($B12,"IQ_TOTAL_COMMON_EQUITY",PV$3, $I$3, $N$3, , $J$3, $K$3)),"")</f>
        <v/>
      </c>
      <c r="PW12" s="90" t="str">
        <f>IFERROR(IF(OR($B12="",PW$3=""),"",_xll.ciqfunctions.udf.CIQ($B12,"IQ_TOTAL_ASSETS",PW$3, $I$3, $N$3, , $J$3, $K$3)/_xll.ciqfunctions.udf.CIQ($B12,"IQ_TOTAL_COMMON_EQUITY",PW$3, $I$3, $N$3, , $J$3, $K$3)),"")</f>
        <v/>
      </c>
      <c r="PX12" s="90" t="str">
        <f>IFERROR(IF(OR($B12="",PX$3=""),"",_xll.ciqfunctions.udf.CIQ($B12,"IQ_TOTAL_ASSETS",PX$3, $I$3, $N$3, , $J$3, $K$3)/_xll.ciqfunctions.udf.CIQ($B12,"IQ_TOTAL_COMMON_EQUITY",PX$3, $I$3, $N$3, , $J$3, $K$3)),"")</f>
        <v/>
      </c>
      <c r="PY12" s="90" t="str">
        <f>IFERROR(IF(OR($B12="",PY$3=""),"",_xll.ciqfunctions.udf.CIQ($B12,"IQ_TOTAL_ASSETS",PY$3, $I$3, $N$3, , $J$3, $K$3)/_xll.ciqfunctions.udf.CIQ($B12,"IQ_TOTAL_COMMON_EQUITY",PY$3, $I$3, $N$3, , $J$3, $K$3)),"")</f>
        <v/>
      </c>
      <c r="PZ12" s="90" t="str">
        <f>IFERROR(IF(OR($B12="",PZ$3=""),"",_xll.ciqfunctions.udf.CIQ($B12,"IQ_TOTAL_ASSETS",PZ$3, $I$3, $N$3, , $J$3, $K$3)/_xll.ciqfunctions.udf.CIQ($B12,"IQ_TOTAL_COMMON_EQUITY",PZ$3, $I$3, $N$3, , $J$3, $K$3)),"")</f>
        <v/>
      </c>
      <c r="QA12" s="90" t="str">
        <f>IFERROR(IF(OR($B12="",QA$3=""),"",_xll.ciqfunctions.udf.CIQ($B12,"IQ_TOTAL_ASSETS",QA$3, $I$3, $N$3, , $J$3, $K$3)/_xll.ciqfunctions.udf.CIQ($B12,"IQ_TOTAL_COMMON_EQUITY",QA$3, $I$3, $N$3, , $J$3, $K$3)),"")</f>
        <v/>
      </c>
      <c r="QB12" s="90" t="str">
        <f>IFERROR(IF(OR($B12="",QB$3=""),"",_xll.ciqfunctions.udf.CIQ($B12,"IQ_TOTAL_ASSETS",QB$3, $I$3, $N$3, , $J$3, $K$3)/_xll.ciqfunctions.udf.CIQ($B12,"IQ_TOTAL_COMMON_EQUITY",QB$3, $I$3, $N$3, , $J$3, $K$3)),"")</f>
        <v/>
      </c>
      <c r="QC12" s="90" t="str">
        <f>IFERROR(IF(OR($B12="",QC$3=""),"",_xll.ciqfunctions.udf.CIQ($B12,"IQ_TOTAL_ASSETS",QC$3, $I$3, $N$3, , $J$3, $K$3)/_xll.ciqfunctions.udf.CIQ($B12,"IQ_TOTAL_COMMON_EQUITY",QC$3, $I$3, $N$3, , $J$3, $K$3)),"")</f>
        <v/>
      </c>
      <c r="QD12" s="90" t="str">
        <f>IFERROR(IF(OR($B12="",QD$3=""),"",_xll.ciqfunctions.udf.CIQ($B12,"IQ_TOTAL_ASSETS",QD$3, $I$3, $N$3, , $J$3, $K$3)/_xll.ciqfunctions.udf.CIQ($B12,"IQ_TOTAL_COMMON_EQUITY",QD$3, $I$3, $N$3, , $J$3, $K$3)),"")</f>
        <v/>
      </c>
      <c r="QE12" s="90" t="str">
        <f>IFERROR(IF(OR($B12="",QE$3=""),"",_xll.ciqfunctions.udf.CIQ($B12,"IQ_TOTAL_ASSETS",QE$3, $I$3, $N$3, , $J$3, $K$3)/_xll.ciqfunctions.udf.CIQ($B12,"IQ_TOTAL_COMMON_EQUITY",QE$3, $I$3, $N$3, , $J$3, $K$3)),"")</f>
        <v/>
      </c>
      <c r="QF12" s="90" t="str">
        <f>IFERROR(IF(OR($B12="",QF$3=""),"",_xll.ciqfunctions.udf.CIQ($B12,"IQ_TOTAL_ASSETS",QF$3, $I$3, $N$3, , $J$3, $K$3)/_xll.ciqfunctions.udf.CIQ($B12,"IQ_TOTAL_COMMON_EQUITY",QF$3, $I$3, $N$3, , $J$3, $K$3)),"")</f>
        <v/>
      </c>
      <c r="QG12" s="90" t="str">
        <f>IFERROR(IF(OR($B12="",QG$3=""),"",_xll.ciqfunctions.udf.CIQ($B12,"IQ_TOTAL_ASSETS",QG$3, $I$3, $N$3, , $J$3, $K$3)/_xll.ciqfunctions.udf.CIQ($B12,"IQ_TOTAL_COMMON_EQUITY",QG$3, $I$3, $N$3, , $J$3, $K$3)),"")</f>
        <v/>
      </c>
      <c r="QH12" s="90" t="str">
        <f>IFERROR(IF(OR($B12="",QH$3=""),"",_xll.ciqfunctions.udf.CIQ($B12,"IQ_TOTAL_ASSETS",QH$3, $I$3, $N$3, , $J$3, $K$3)/_xll.ciqfunctions.udf.CIQ($B12,"IQ_TOTAL_COMMON_EQUITY",QH$3, $I$3, $N$3, , $J$3, $K$3)),"")</f>
        <v/>
      </c>
      <c r="QI12" s="90" t="str">
        <f>IFERROR(IF(OR($B12="",QI$3=""),"",_xll.ciqfunctions.udf.CIQ($B12,"IQ_TOTAL_ASSETS",QI$3, $I$3, $N$3, , $J$3, $K$3)/_xll.ciqfunctions.udf.CIQ($B12,"IQ_TOTAL_COMMON_EQUITY",QI$3, $I$3, $N$3, , $J$3, $K$3)),"")</f>
        <v/>
      </c>
      <c r="QJ12" s="91" t="str">
        <f>IFERROR(IF(OR($B12="",QJ$3=""),"",_xll.ciqfunctions.udf.CIQ($B12,"IQ_TOTAL_ASSETS",QJ$3, $I$3, $N$3, , $J$3, $K$3)/_xll.ciqfunctions.udf.CIQ($B12,"IQ_TOTAL_COMMON_EQUITY",QJ$3, $I$3, $N$3, , $J$3, $K$3)),"")</f>
        <v/>
      </c>
      <c r="QK12" s="86" t="str">
        <f>IFERROR(IF(QK$3="","",_xll.ciqfunctions.udf.CIQ($B12, "IQ_NI", $O$3, QK$3, $N$3, , $J$3, $K$3)/_xll.ciqfunctions.udf.CIQ($B12, "IQ_TOTAL_REV", $O$3, QK$3, $N$3, , $J$3, $K$3)),"")</f>
        <v/>
      </c>
      <c r="QL12" s="87" t="str">
        <f>IFERROR(IF(QL$3="","",_xll.ciqfunctions.udf.CIQ($B12, "IQ_NI", $O$3, QL$3, $N$3, , $J$3, $K$3)/_xll.ciqfunctions.udf.CIQ($B12, "IQ_TOTAL_REV", $O$3, QL$3, $N$3, , $J$3, $K$3)),"")</f>
        <v/>
      </c>
      <c r="QM12" s="87" t="str">
        <f>IFERROR(IF(QM$3="","",_xll.ciqfunctions.udf.CIQ($B12, "IQ_NI", $O$3, QM$3, $N$3, , $J$3, $K$3)/_xll.ciqfunctions.udf.CIQ($B12, "IQ_TOTAL_REV", $O$3, QM$3, $N$3, , $J$3, $K$3)),"")</f>
        <v/>
      </c>
      <c r="QN12" s="87" t="str">
        <f>IFERROR(IF(QN$3="","",_xll.ciqfunctions.udf.CIQ($B12, "IQ_NI", $O$3, QN$3, $N$3, , $J$3, $K$3)/_xll.ciqfunctions.udf.CIQ($B12, "IQ_TOTAL_REV", $O$3, QN$3, $N$3, , $J$3, $K$3)),"")</f>
        <v/>
      </c>
      <c r="QO12" s="87" t="str">
        <f>IFERROR(IF(QO$3="","",_xll.ciqfunctions.udf.CIQ($B12, "IQ_NI", $O$3, QO$3, $N$3, , $J$3, $K$3)/_xll.ciqfunctions.udf.CIQ($B12, "IQ_TOTAL_REV", $O$3, QO$3, $N$3, , $J$3, $K$3)),"")</f>
        <v/>
      </c>
      <c r="QP12" s="87" t="str">
        <f>IFERROR(IF(QP$3="","",_xll.ciqfunctions.udf.CIQ($B12, "IQ_NI", $O$3, QP$3, $N$3, , $J$3, $K$3)/_xll.ciqfunctions.udf.CIQ($B12, "IQ_TOTAL_REV", $O$3, QP$3, $N$3, , $J$3, $K$3)),"")</f>
        <v/>
      </c>
      <c r="QQ12" s="87" t="str">
        <f>IFERROR(IF(QQ$3="","",_xll.ciqfunctions.udf.CIQ($B12, "IQ_NI", $O$3, QQ$3, $N$3, , $J$3, $K$3)/_xll.ciqfunctions.udf.CIQ($B12, "IQ_TOTAL_REV", $O$3, QQ$3, $N$3, , $J$3, $K$3)),"")</f>
        <v/>
      </c>
      <c r="QR12" s="87" t="str">
        <f>IFERROR(IF(QR$3="","",_xll.ciqfunctions.udf.CIQ($B12, "IQ_NI", $O$3, QR$3, $N$3, , $J$3, $K$3)/_xll.ciqfunctions.udf.CIQ($B12, "IQ_TOTAL_REV", $O$3, QR$3, $N$3, , $J$3, $K$3)),"")</f>
        <v/>
      </c>
      <c r="QS12" s="87" t="str">
        <f>IFERROR(IF(QS$3="","",_xll.ciqfunctions.udf.CIQ($B12, "IQ_NI", $O$3, QS$3, $N$3, , $J$3, $K$3)/_xll.ciqfunctions.udf.CIQ($B12, "IQ_TOTAL_REV", $O$3, QS$3, $N$3, , $J$3, $K$3)),"")</f>
        <v/>
      </c>
      <c r="QT12" s="87" t="str">
        <f>IFERROR(IF(QT$3="","",_xll.ciqfunctions.udf.CIQ($B12, "IQ_NI", $O$3, QT$3, $N$3, , $J$3, $K$3)/_xll.ciqfunctions.udf.CIQ($B12, "IQ_TOTAL_REV", $O$3, QT$3, $N$3, , $J$3, $K$3)),"")</f>
        <v/>
      </c>
      <c r="QU12" s="87" t="str">
        <f>IFERROR(IF(QU$3="","",_xll.ciqfunctions.udf.CIQ($B12, "IQ_NI", $O$3, QU$3, $N$3, , $J$3, $K$3)/_xll.ciqfunctions.udf.CIQ($B12, "IQ_TOTAL_REV", $O$3, QU$3, $N$3, , $J$3, $K$3)),"")</f>
        <v/>
      </c>
      <c r="QV12" s="87" t="str">
        <f>IFERROR(IF(QV$3="","",_xll.ciqfunctions.udf.CIQ($B12, "IQ_NI", $O$3, QV$3, $N$3, , $J$3, $K$3)/_xll.ciqfunctions.udf.CIQ($B12, "IQ_TOTAL_REV", $O$3, QV$3, $N$3, , $J$3, $K$3)),"")</f>
        <v/>
      </c>
      <c r="QW12" s="87" t="str">
        <f>IFERROR(IF(QW$3="","",_xll.ciqfunctions.udf.CIQ($B12, "IQ_NI", $O$3, QW$3, $N$3, , $J$3, $K$3)/_xll.ciqfunctions.udf.CIQ($B12, "IQ_TOTAL_REV", $O$3, QW$3, $N$3, , $J$3, $K$3)),"")</f>
        <v/>
      </c>
      <c r="QX12" s="87" t="str">
        <f>IFERROR(IF(QX$3="","",_xll.ciqfunctions.udf.CIQ($B12, "IQ_NI", $O$3, QX$3, $N$3, , $J$3, $K$3)/_xll.ciqfunctions.udf.CIQ($B12, "IQ_TOTAL_REV", $O$3, QX$3, $N$3, , $J$3, $K$3)),"")</f>
        <v/>
      </c>
      <c r="QY12" s="87" t="str">
        <f>IFERROR(IF(QY$3="","",_xll.ciqfunctions.udf.CIQ($B12, "IQ_NI", $O$3, QY$3, $N$3, , $J$3, $K$3)/_xll.ciqfunctions.udf.CIQ($B12, "IQ_TOTAL_REV", $O$3, QY$3, $N$3, , $J$3, $K$3)),"")</f>
        <v/>
      </c>
      <c r="QZ12" s="87" t="str">
        <f>IFERROR(IF(QZ$3="","",_xll.ciqfunctions.udf.CIQ($B12, "IQ_NI", $O$3, QZ$3, $N$3, , $J$3, $K$3)/_xll.ciqfunctions.udf.CIQ($B12, "IQ_TOTAL_REV", $O$3, QZ$3, $N$3, , $J$3, $K$3)),"")</f>
        <v/>
      </c>
      <c r="RA12" s="87" t="str">
        <f>IFERROR(IF(RA$3="","",_xll.ciqfunctions.udf.CIQ($B12, "IQ_NI", $O$3, RA$3, $N$3, , $J$3, $K$3)/_xll.ciqfunctions.udf.CIQ($B12, "IQ_TOTAL_REV", $O$3, RA$3, $N$3, , $J$3, $K$3)),"")</f>
        <v/>
      </c>
      <c r="RB12" s="87" t="str">
        <f>IFERROR(IF(RB$3="","",_xll.ciqfunctions.udf.CIQ($B12, "IQ_NI", $O$3, RB$3, $N$3, , $J$3, $K$3)/_xll.ciqfunctions.udf.CIQ($B12, "IQ_TOTAL_REV", $O$3, RB$3, $N$3, , $J$3, $K$3)),"")</f>
        <v/>
      </c>
      <c r="RC12" s="87" t="str">
        <f>IFERROR(IF(RC$3="","",_xll.ciqfunctions.udf.CIQ($B12, "IQ_NI", $O$3, RC$3, $N$3, , $J$3, $K$3)/_xll.ciqfunctions.udf.CIQ($B12, "IQ_TOTAL_REV", $O$3, RC$3, $N$3, , $J$3, $K$3)),"")</f>
        <v/>
      </c>
      <c r="RD12" s="88" t="str">
        <f>IFERROR(IF(RD$3="","",_xll.ciqfunctions.udf.CIQ($B12, "IQ_NI", $O$3, RD$3, $N$3, , $J$3, $K$3)/_xll.ciqfunctions.udf.CIQ($B12, "IQ_TOTAL_REV", $O$3, RD$3, $N$3, , $J$3, $K$3)),"")</f>
        <v/>
      </c>
      <c r="RE12" s="86" t="str">
        <f>IFERROR(IF(OR($B12="",OC$3=""),"",_xll.ciqfunctions.udf.CIQ($B12,"IQ_NI",$O$3, RE$3, $N$3, , $J$3, $K$3)*2/(_xll.ciqfunctions.udf.CIQ($B12,"IQ_TOTAL_EQUITY", RE$3,$I$3, $N$3, , $J$3, $K$3)+_xll.ciqfunctions.udf.CIQ($B12,"IQ_TOTAL_EQUITY", "IQ_" &amp; LEFT(RE$3,2) &amp; "-1", RE$3, $N$3, , $J$3, $K$3))),"")</f>
        <v/>
      </c>
      <c r="RF12" s="86" t="str">
        <f>IFERROR(IF(OR($B12="",OD$3=""),"",_xll.ciqfunctions.udf.CIQ($B12,"IQ_NI",$O$3, RF$3, $N$3, , $J$3, $K$3)*2/(_xll.ciqfunctions.udf.CIQ($B12,"IQ_TOTAL_EQUITY", RF$3,$I$3, $N$3, , $J$3, $K$3)+_xll.ciqfunctions.udf.CIQ($B12,"IQ_TOTAL_EQUITY", "IQ_" &amp; LEFT(RF$3,2) &amp; "-1", RF$3, $N$3, , $J$3, $K$3))),"")</f>
        <v/>
      </c>
      <c r="RG12" s="86" t="str">
        <f>IFERROR(IF(OR($B12="",OE$3=""),"",_xll.ciqfunctions.udf.CIQ($B12,"IQ_NI",$O$3, RG$3, $N$3, , $J$3, $K$3)*2/(_xll.ciqfunctions.udf.CIQ($B12,"IQ_TOTAL_EQUITY", RG$3,$I$3, $N$3, , $J$3, $K$3)+_xll.ciqfunctions.udf.CIQ($B12,"IQ_TOTAL_EQUITY", "IQ_" &amp; LEFT(RG$3,2) &amp; "-1", RG$3, $N$3, , $J$3, $K$3))),"")</f>
        <v/>
      </c>
      <c r="RH12" s="86" t="str">
        <f>IFERROR(IF(OR($B12="",OF$3=""),"",_xll.ciqfunctions.udf.CIQ($B12,"IQ_NI",$O$3, RH$3, $N$3, , $J$3, $K$3)*2/(_xll.ciqfunctions.udf.CIQ($B12,"IQ_TOTAL_EQUITY", RH$3,$I$3, $N$3, , $J$3, $K$3)+_xll.ciqfunctions.udf.CIQ($B12,"IQ_TOTAL_EQUITY", "IQ_" &amp; LEFT(RH$3,2) &amp; "-1", RH$3, $N$3, , $J$3, $K$3))),"")</f>
        <v/>
      </c>
      <c r="RI12" s="86" t="str">
        <f>IFERROR(IF(OR($B12="",OG$3=""),"",_xll.ciqfunctions.udf.CIQ($B12,"IQ_NI",$O$3, RI$3, $N$3, , $J$3, $K$3)*2/(_xll.ciqfunctions.udf.CIQ($B12,"IQ_TOTAL_EQUITY", RI$3,$I$3, $N$3, , $J$3, $K$3)+_xll.ciqfunctions.udf.CIQ($B12,"IQ_TOTAL_EQUITY", "IQ_" &amp; LEFT(RI$3,2) &amp; "-1", RI$3, $N$3, , $J$3, $K$3))),"")</f>
        <v/>
      </c>
      <c r="RJ12" s="86" t="str">
        <f>IFERROR(IF(OR($B12="",OH$3=""),"",_xll.ciqfunctions.udf.CIQ($B12,"IQ_NI",$O$3, RJ$3, $N$3, , $J$3, $K$3)*2/(_xll.ciqfunctions.udf.CIQ($B12,"IQ_TOTAL_EQUITY", RJ$3,$I$3, $N$3, , $J$3, $K$3)+_xll.ciqfunctions.udf.CIQ($B12,"IQ_TOTAL_EQUITY", "IQ_" &amp; LEFT(RJ$3,2) &amp; "-1", RJ$3, $N$3, , $J$3, $K$3))),"")</f>
        <v/>
      </c>
      <c r="RK12" s="86" t="str">
        <f>IFERROR(IF(OR($B12="",OI$3=""),"",_xll.ciqfunctions.udf.CIQ($B12,"IQ_NI",$O$3, RK$3, $N$3, , $J$3, $K$3)*2/(_xll.ciqfunctions.udf.CIQ($B12,"IQ_TOTAL_EQUITY", RK$3,$I$3, $N$3, , $J$3, $K$3)+_xll.ciqfunctions.udf.CIQ($B12,"IQ_TOTAL_EQUITY", "IQ_" &amp; LEFT(RK$3,2) &amp; "-1", RK$3, $N$3, , $J$3, $K$3))),"")</f>
        <v/>
      </c>
      <c r="RL12" s="86" t="str">
        <f>IFERROR(IF(OR($B12="",OJ$3=""),"",_xll.ciqfunctions.udf.CIQ($B12,"IQ_NI",$O$3, RL$3, $N$3, , $J$3, $K$3)*2/(_xll.ciqfunctions.udf.CIQ($B12,"IQ_TOTAL_EQUITY", RL$3,$I$3, $N$3, , $J$3, $K$3)+_xll.ciqfunctions.udf.CIQ($B12,"IQ_TOTAL_EQUITY", "IQ_" &amp; LEFT(RL$3,2) &amp; "-1", RL$3, $N$3, , $J$3, $K$3))),"")</f>
        <v/>
      </c>
      <c r="RM12" s="86" t="str">
        <f>IFERROR(IF(OR($B12="",OK$3=""),"",_xll.ciqfunctions.udf.CIQ($B12,"IQ_NI",$O$3, RM$3, $N$3, , $J$3, $K$3)*2/(_xll.ciqfunctions.udf.CIQ($B12,"IQ_TOTAL_EQUITY", RM$3,$I$3, $N$3, , $J$3, $K$3)+_xll.ciqfunctions.udf.CIQ($B12,"IQ_TOTAL_EQUITY", "IQ_" &amp; LEFT(RM$3,2) &amp; "-1", RM$3, $N$3, , $J$3, $K$3))),"")</f>
        <v/>
      </c>
      <c r="RN12" s="86" t="str">
        <f>IFERROR(IF(OR($B12="",OL$3=""),"",_xll.ciqfunctions.udf.CIQ($B12,"IQ_NI",$O$3, RN$3, $N$3, , $J$3, $K$3)*2/(_xll.ciqfunctions.udf.CIQ($B12,"IQ_TOTAL_EQUITY", RN$3,$I$3, $N$3, , $J$3, $K$3)+_xll.ciqfunctions.udf.CIQ($B12,"IQ_TOTAL_EQUITY", "IQ_" &amp; LEFT(RN$3,2) &amp; "-1", RN$3, $N$3, , $J$3, $K$3))),"")</f>
        <v/>
      </c>
      <c r="RO12" s="86" t="str">
        <f>IFERROR(IF(OR($B12="",OM$3=""),"",_xll.ciqfunctions.udf.CIQ($B12,"IQ_NI",$O$3, RO$3, $N$3, , $J$3, $K$3)*2/(_xll.ciqfunctions.udf.CIQ($B12,"IQ_TOTAL_EQUITY", RO$3,$I$3, $N$3, , $J$3, $K$3)+_xll.ciqfunctions.udf.CIQ($B12,"IQ_TOTAL_EQUITY", "IQ_" &amp; LEFT(RO$3,2) &amp; "-1", RO$3, $N$3, , $J$3, $K$3))),"")</f>
        <v/>
      </c>
      <c r="RP12" s="86" t="str">
        <f>IFERROR(IF(OR($B12="",ON$3=""),"",_xll.ciqfunctions.udf.CIQ($B12,"IQ_NI",$O$3, RP$3, $N$3, , $J$3, $K$3)*2/(_xll.ciqfunctions.udf.CIQ($B12,"IQ_TOTAL_EQUITY", RP$3,$I$3, $N$3, , $J$3, $K$3)+_xll.ciqfunctions.udf.CIQ($B12,"IQ_TOTAL_EQUITY", "IQ_" &amp; LEFT(RP$3,2) &amp; "-1", RP$3, $N$3, , $J$3, $K$3))),"")</f>
        <v/>
      </c>
      <c r="RQ12" s="86" t="str">
        <f>IFERROR(IF(OR($B12="",OO$3=""),"",_xll.ciqfunctions.udf.CIQ($B12,"IQ_NI",$O$3, RQ$3, $N$3, , $J$3, $K$3)*2/(_xll.ciqfunctions.udf.CIQ($B12,"IQ_TOTAL_EQUITY", RQ$3,$I$3, $N$3, , $J$3, $K$3)+_xll.ciqfunctions.udf.CIQ($B12,"IQ_TOTAL_EQUITY", "IQ_" &amp; LEFT(RQ$3,2) &amp; "-1", RQ$3, $N$3, , $J$3, $K$3))),"")</f>
        <v/>
      </c>
      <c r="RR12" s="86" t="str">
        <f>IFERROR(IF(OR($B12="",OP$3=""),"",_xll.ciqfunctions.udf.CIQ($B12,"IQ_NI",$O$3, RR$3, $N$3, , $J$3, $K$3)*2/(_xll.ciqfunctions.udf.CIQ($B12,"IQ_TOTAL_EQUITY", RR$3,$I$3, $N$3, , $J$3, $K$3)+_xll.ciqfunctions.udf.CIQ($B12,"IQ_TOTAL_EQUITY", "IQ_" &amp; LEFT(RR$3,2) &amp; "-1", RR$3, $N$3, , $J$3, $K$3))),"")</f>
        <v/>
      </c>
      <c r="RS12" s="86" t="str">
        <f>IFERROR(IF(OR($B12="",OQ$3=""),"",_xll.ciqfunctions.udf.CIQ($B12,"IQ_NI",$O$3, RS$3, $N$3, , $J$3, $K$3)*2/(_xll.ciqfunctions.udf.CIQ($B12,"IQ_TOTAL_EQUITY", RS$3,$I$3, $N$3, , $J$3, $K$3)+_xll.ciqfunctions.udf.CIQ($B12,"IQ_TOTAL_EQUITY", "IQ_" &amp; LEFT(RS$3,2) &amp; "-1", RS$3, $N$3, , $J$3, $K$3))),"")</f>
        <v/>
      </c>
      <c r="RT12" s="86" t="str">
        <f>IFERROR(IF(OR($B12="",OR$3=""),"",_xll.ciqfunctions.udf.CIQ($B12,"IQ_NI",$O$3, RT$3, $N$3, , $J$3, $K$3)*2/(_xll.ciqfunctions.udf.CIQ($B12,"IQ_TOTAL_EQUITY", RT$3,$I$3, $N$3, , $J$3, $K$3)+_xll.ciqfunctions.udf.CIQ($B12,"IQ_TOTAL_EQUITY", "IQ_" &amp; LEFT(RT$3,2) &amp; "-1", RT$3, $N$3, , $J$3, $K$3))),"")</f>
        <v/>
      </c>
      <c r="RU12" s="86" t="str">
        <f>IFERROR(IF(OR($B12="",OS$3=""),"",_xll.ciqfunctions.udf.CIQ($B12,"IQ_NI",$O$3, RU$3, $N$3, , $J$3, $K$3)*2/(_xll.ciqfunctions.udf.CIQ($B12,"IQ_TOTAL_EQUITY", RU$3,$I$3, $N$3, , $J$3, $K$3)+_xll.ciqfunctions.udf.CIQ($B12,"IQ_TOTAL_EQUITY", "IQ_" &amp; LEFT(RU$3,2) &amp; "-1", RU$3, $N$3, , $J$3, $K$3))),"")</f>
        <v/>
      </c>
      <c r="RV12" s="86" t="str">
        <f>IFERROR(IF(OR($B12="",OT$3=""),"",_xll.ciqfunctions.udf.CIQ($B12,"IQ_NI",$O$3, RV$3, $N$3, , $J$3, $K$3)*2/(_xll.ciqfunctions.udf.CIQ($B12,"IQ_TOTAL_EQUITY", RV$3,$I$3, $N$3, , $J$3, $K$3)+_xll.ciqfunctions.udf.CIQ($B12,"IQ_TOTAL_EQUITY", "IQ_" &amp; LEFT(RV$3,2) &amp; "-1", RV$3, $N$3, , $J$3, $K$3))),"")</f>
        <v/>
      </c>
      <c r="RW12" s="86" t="str">
        <f>IFERROR(IF(OR($B12="",OU$3=""),"",_xll.ciqfunctions.udf.CIQ($B12,"IQ_NI",$O$3, RW$3, $N$3, , $J$3, $K$3)*2/(_xll.ciqfunctions.udf.CIQ($B12,"IQ_TOTAL_EQUITY", RW$3,$I$3, $N$3, , $J$3, $K$3)+_xll.ciqfunctions.udf.CIQ($B12,"IQ_TOTAL_EQUITY", "IQ_" &amp; LEFT(RW$3,2) &amp; "-1", RW$3, $N$3, , $J$3, $K$3))),"")</f>
        <v/>
      </c>
      <c r="RX12" s="86" t="str">
        <f>IFERROR(IF(OR($B12="",OV$3=""),"",_xll.ciqfunctions.udf.CIQ($B12,"IQ_NI",$O$3, RX$3, $N$3, , $J$3, $K$3)*2/(_xll.ciqfunctions.udf.CIQ($B12,"IQ_TOTAL_EQUITY", RX$3,$I$3, $N$3, , $J$3, $K$3)+_xll.ciqfunctions.udf.CIQ($B12,"IQ_TOTAL_EQUITY", "IQ_" &amp; LEFT(RX$3,2) &amp; "-1", RX$3, $N$3, , $J$3, $K$3))),"")</f>
        <v/>
      </c>
      <c r="RY12" s="86" t="str">
        <f>IFERROR(IF(OR($B12="",RY$3=""),"",_xll.ciqfunctions.udf.CIQ($B12,"IQ_CASH_OPER",$O$3, RY$3, $N$3, , $J$3, $K$3)*2/(_xll.ciqfunctions.udf.CIQ($B12,"IQ_TOTAL_CL",RY$3,$I$3, $N$3, , $J$3, $K$3)+_xll.ciqfunctions.udf.CIQ($B12,"IQ_TOTAL_CL","IQ_" &amp; LEFT(RY$3,2) &amp; "-1", RY$3, $N$3, , $J$3, $K$3))),"")</f>
        <v/>
      </c>
      <c r="RZ12" s="87" t="str">
        <f>IFERROR(IF(OR($B12="",RZ$3=""),"",_xll.ciqfunctions.udf.CIQ($B12,"IQ_CASH_OPER",$O$3, RZ$3, $N$3, , $J$3, $K$3)*2/(_xll.ciqfunctions.udf.CIQ($B12,"IQ_TOTAL_CL",RZ$3,$I$3, $N$3, , $J$3, $K$3)+_xll.ciqfunctions.udf.CIQ($B12,"IQ_TOTAL_CL","IQ_" &amp; LEFT(RZ$3,2) &amp; "-1", RZ$3, $N$3, , $J$3, $K$3))),"")</f>
        <v/>
      </c>
      <c r="SA12" s="87" t="str">
        <f>IFERROR(IF(OR($B12="",SA$3=""),"",_xll.ciqfunctions.udf.CIQ($B12,"IQ_CASH_OPER",$O$3, SA$3, $N$3, , $J$3, $K$3)*2/(_xll.ciqfunctions.udf.CIQ($B12,"IQ_TOTAL_CL",SA$3,$I$3, $N$3, , $J$3, $K$3)+_xll.ciqfunctions.udf.CIQ($B12,"IQ_TOTAL_CL","IQ_" &amp; LEFT(SA$3,2) &amp; "-1", SA$3, $N$3, , $J$3, $K$3))),"")</f>
        <v/>
      </c>
      <c r="SB12" s="87" t="str">
        <f>IFERROR(IF(OR($B12="",SB$3=""),"",_xll.ciqfunctions.udf.CIQ($B12,"IQ_CASH_OPER",$O$3, SB$3, $N$3, , $J$3, $K$3)*2/(_xll.ciqfunctions.udf.CIQ($B12,"IQ_TOTAL_CL",SB$3,$I$3, $N$3, , $J$3, $K$3)+_xll.ciqfunctions.udf.CIQ($B12,"IQ_TOTAL_CL","IQ_" &amp; LEFT(SB$3,2) &amp; "-1", SB$3, $N$3, , $J$3, $K$3))),"")</f>
        <v/>
      </c>
      <c r="SC12" s="87" t="str">
        <f>IFERROR(IF(OR($B12="",SC$3=""),"",_xll.ciqfunctions.udf.CIQ($B12,"IQ_CASH_OPER",$O$3, SC$3, $N$3, , $J$3, $K$3)*2/(_xll.ciqfunctions.udf.CIQ($B12,"IQ_TOTAL_CL",SC$3,$I$3, $N$3, , $J$3, $K$3)+_xll.ciqfunctions.udf.CIQ($B12,"IQ_TOTAL_CL","IQ_" &amp; LEFT(SC$3,2) &amp; "-1", SC$3, $N$3, , $J$3, $K$3))),"")</f>
        <v/>
      </c>
      <c r="SD12" s="87" t="str">
        <f>IFERROR(IF(OR($B12="",SD$3=""),"",_xll.ciqfunctions.udf.CIQ($B12,"IQ_CASH_OPER",$O$3, SD$3, $N$3, , $J$3, $K$3)*2/(_xll.ciqfunctions.udf.CIQ($B12,"IQ_TOTAL_CL",SD$3,$I$3, $N$3, , $J$3, $K$3)+_xll.ciqfunctions.udf.CIQ($B12,"IQ_TOTAL_CL","IQ_" &amp; LEFT(SD$3,2) &amp; "-1", SD$3, $N$3, , $J$3, $K$3))),"")</f>
        <v/>
      </c>
      <c r="SE12" s="87" t="str">
        <f>IFERROR(IF(OR($B12="",SE$3=""),"",_xll.ciqfunctions.udf.CIQ($B12,"IQ_CASH_OPER",$O$3, SE$3, $N$3, , $J$3, $K$3)*2/(_xll.ciqfunctions.udf.CIQ($B12,"IQ_TOTAL_CL",SE$3,$I$3, $N$3, , $J$3, $K$3)+_xll.ciqfunctions.udf.CIQ($B12,"IQ_TOTAL_CL","IQ_" &amp; LEFT(SE$3,2) &amp; "-1", SE$3, $N$3, , $J$3, $K$3))),"")</f>
        <v/>
      </c>
      <c r="SF12" s="87" t="str">
        <f>IFERROR(IF(OR($B12="",SF$3=""),"",_xll.ciqfunctions.udf.CIQ($B12,"IQ_CASH_OPER",$O$3, SF$3, $N$3, , $J$3, $K$3)*2/(_xll.ciqfunctions.udf.CIQ($B12,"IQ_TOTAL_CL",SF$3,$I$3, $N$3, , $J$3, $K$3)+_xll.ciqfunctions.udf.CIQ($B12,"IQ_TOTAL_CL","IQ_" &amp; LEFT(SF$3,2) &amp; "-1", SF$3, $N$3, , $J$3, $K$3))),"")</f>
        <v/>
      </c>
      <c r="SG12" s="87" t="str">
        <f>IFERROR(IF(OR($B12="",SG$3=""),"",_xll.ciqfunctions.udf.CIQ($B12,"IQ_CASH_OPER",$O$3, SG$3, $N$3, , $J$3, $K$3)*2/(_xll.ciqfunctions.udf.CIQ($B12,"IQ_TOTAL_CL",SG$3,$I$3, $N$3, , $J$3, $K$3)+_xll.ciqfunctions.udf.CIQ($B12,"IQ_TOTAL_CL","IQ_" &amp; LEFT(SG$3,2) &amp; "-1", SG$3, $N$3, , $J$3, $K$3))),"")</f>
        <v/>
      </c>
      <c r="SH12" s="87" t="str">
        <f>IFERROR(IF(OR($B12="",SH$3=""),"",_xll.ciqfunctions.udf.CIQ($B12,"IQ_CASH_OPER",$O$3, SH$3, $N$3, , $J$3, $K$3)*2/(_xll.ciqfunctions.udf.CIQ($B12,"IQ_TOTAL_CL",SH$3,$I$3, $N$3, , $J$3, $K$3)+_xll.ciqfunctions.udf.CIQ($B12,"IQ_TOTAL_CL","IQ_" &amp; LEFT(SH$3,2) &amp; "-1", SH$3, $N$3, , $J$3, $K$3))),"")</f>
        <v/>
      </c>
      <c r="SI12" s="87" t="str">
        <f>IFERROR(IF(OR($B12="",SI$3=""),"",_xll.ciqfunctions.udf.CIQ($B12,"IQ_CASH_OPER",$O$3, SI$3, $N$3, , $J$3, $K$3)*2/(_xll.ciqfunctions.udf.CIQ($B12,"IQ_TOTAL_CL",SI$3,$I$3, $N$3, , $J$3, $K$3)+_xll.ciqfunctions.udf.CIQ($B12,"IQ_TOTAL_CL","IQ_" &amp; LEFT(SI$3,2) &amp; "-1", SI$3, $N$3, , $J$3, $K$3))),"")</f>
        <v/>
      </c>
      <c r="SJ12" s="87" t="str">
        <f>IFERROR(IF(OR($B12="",SJ$3=""),"",_xll.ciqfunctions.udf.CIQ($B12,"IQ_CASH_OPER",$O$3, SJ$3, $N$3, , $J$3, $K$3)*2/(_xll.ciqfunctions.udf.CIQ($B12,"IQ_TOTAL_CL",SJ$3,$I$3, $N$3, , $J$3, $K$3)+_xll.ciqfunctions.udf.CIQ($B12,"IQ_TOTAL_CL","IQ_" &amp; LEFT(SJ$3,2) &amp; "-1", SJ$3, $N$3, , $J$3, $K$3))),"")</f>
        <v/>
      </c>
      <c r="SK12" s="87" t="str">
        <f>IFERROR(IF(OR($B12="",SK$3=""),"",_xll.ciqfunctions.udf.CIQ($B12,"IQ_CASH_OPER",$O$3, SK$3, $N$3, , $J$3, $K$3)*2/(_xll.ciqfunctions.udf.CIQ($B12,"IQ_TOTAL_CL",SK$3,$I$3, $N$3, , $J$3, $K$3)+_xll.ciqfunctions.udf.CIQ($B12,"IQ_TOTAL_CL","IQ_" &amp; LEFT(SK$3,2) &amp; "-1", SK$3, $N$3, , $J$3, $K$3))),"")</f>
        <v/>
      </c>
      <c r="SL12" s="87" t="str">
        <f>IFERROR(IF(OR($B12="",SL$3=""),"",_xll.ciqfunctions.udf.CIQ($B12,"IQ_CASH_OPER",$O$3, SL$3, $N$3, , $J$3, $K$3)*2/(_xll.ciqfunctions.udf.CIQ($B12,"IQ_TOTAL_CL",SL$3,$I$3, $N$3, , $J$3, $K$3)+_xll.ciqfunctions.udf.CIQ($B12,"IQ_TOTAL_CL","IQ_" &amp; LEFT(SL$3,2) &amp; "-1", SL$3, $N$3, , $J$3, $K$3))),"")</f>
        <v/>
      </c>
      <c r="SM12" s="87" t="str">
        <f>IFERROR(IF(OR($B12="",SM$3=""),"",_xll.ciqfunctions.udf.CIQ($B12,"IQ_CASH_OPER",$O$3, SM$3, $N$3, , $J$3, $K$3)*2/(_xll.ciqfunctions.udf.CIQ($B12,"IQ_TOTAL_CL",SM$3,$I$3, $N$3, , $J$3, $K$3)+_xll.ciqfunctions.udf.CIQ($B12,"IQ_TOTAL_CL","IQ_" &amp; LEFT(SM$3,2) &amp; "-1", SM$3, $N$3, , $J$3, $K$3))),"")</f>
        <v/>
      </c>
      <c r="SN12" s="87" t="str">
        <f>IFERROR(IF(OR($B12="",SN$3=""),"",_xll.ciqfunctions.udf.CIQ($B12,"IQ_CASH_OPER",$O$3, SN$3, $N$3, , $J$3, $K$3)*2/(_xll.ciqfunctions.udf.CIQ($B12,"IQ_TOTAL_CL",SN$3,$I$3, $N$3, , $J$3, $K$3)+_xll.ciqfunctions.udf.CIQ($B12,"IQ_TOTAL_CL","IQ_" &amp; LEFT(SN$3,2) &amp; "-1", SN$3, $N$3, , $J$3, $K$3))),"")</f>
        <v/>
      </c>
      <c r="SO12" s="87" t="str">
        <f>IFERROR(IF(OR($B12="",SO$3=""),"",_xll.ciqfunctions.udf.CIQ($B12,"IQ_CASH_OPER",$O$3, SO$3, $N$3, , $J$3, $K$3)*2/(_xll.ciqfunctions.udf.CIQ($B12,"IQ_TOTAL_CL",SO$3,$I$3, $N$3, , $J$3, $K$3)+_xll.ciqfunctions.udf.CIQ($B12,"IQ_TOTAL_CL","IQ_" &amp; LEFT(SO$3,2) &amp; "-1", SO$3, $N$3, , $J$3, $K$3))),"")</f>
        <v/>
      </c>
      <c r="SP12" s="87" t="str">
        <f>IFERROR(IF(OR($B12="",SP$3=""),"",_xll.ciqfunctions.udf.CIQ($B12,"IQ_CASH_OPER",$O$3, SP$3, $N$3, , $J$3, $K$3)*2/(_xll.ciqfunctions.udf.CIQ($B12,"IQ_TOTAL_CL",SP$3,$I$3, $N$3, , $J$3, $K$3)+_xll.ciqfunctions.udf.CIQ($B12,"IQ_TOTAL_CL","IQ_" &amp; LEFT(SP$3,2) &amp; "-1", SP$3, $N$3, , $J$3, $K$3))),"")</f>
        <v/>
      </c>
      <c r="SQ12" s="87" t="str">
        <f>IFERROR(IF(OR($B12="",SQ$3=""),"",_xll.ciqfunctions.udf.CIQ($B12,"IQ_CASH_OPER",$O$3, SQ$3, $N$3, , $J$3, $K$3)*2/(_xll.ciqfunctions.udf.CIQ($B12,"IQ_TOTAL_CL",SQ$3,$I$3, $N$3, , $J$3, $K$3)+_xll.ciqfunctions.udf.CIQ($B12,"IQ_TOTAL_CL","IQ_" &amp; LEFT(SQ$3,2) &amp; "-1", SQ$3, $N$3, , $J$3, $K$3))),"")</f>
        <v/>
      </c>
      <c r="SR12" s="88" t="str">
        <f>IFERROR(IF(OR($B12="",SR$3=""),"",_xll.ciqfunctions.udf.CIQ($B12,"IQ_CASH_OPER",$O$3, SR$3, $N$3, , $J$3, $K$3)*2/(_xll.ciqfunctions.udf.CIQ($B12,"IQ_TOTAL_CL",SR$3,$I$3, $N$3, , $J$3, $K$3)+_xll.ciqfunctions.udf.CIQ($B12,"IQ_TOTAL_CL","IQ_" &amp; LEFT(SR$3,2) &amp; "-1", SR$3, $N$3, , $J$3, $K$3))),"")</f>
        <v/>
      </c>
      <c r="SS12" s="86" t="str">
        <f>IFERROR(IF(OR($B12="",SS$3=""),"",MAX(_xll.ciqfunctions.udf.CIQ($B12,"IQ_INC_TAX",SS$3,$I$3, $N$3, , $J$3, $K$3)/ABS(_xll.ciqfunctions.udf.CIQ($B12,"IQ_EBT",SS$3,$I$3, $N$3, , $J$3, $K$3)),0)),"")</f>
        <v/>
      </c>
      <c r="ST12" s="87" t="str">
        <f>IFERROR(IF(OR($B12="",ST$3=""),"",MAX(_xll.ciqfunctions.udf.CIQ($B12,"IQ_INC_TAX",ST$3,$I$3, $N$3, , $J$3, $K$3)/ABS(_xll.ciqfunctions.udf.CIQ($B12,"IQ_EBT",ST$3,$I$3, $N$3, , $J$3, $K$3)),0)),"")</f>
        <v/>
      </c>
      <c r="SU12" s="87" t="str">
        <f>IFERROR(IF(OR($B12="",SU$3=""),"",MAX(_xll.ciqfunctions.udf.CIQ($B12,"IQ_INC_TAX",SU$3,$I$3, $N$3, , $J$3, $K$3)/ABS(_xll.ciqfunctions.udf.CIQ($B12,"IQ_EBT",SU$3,$I$3, $N$3, , $J$3, $K$3)),0)),"")</f>
        <v/>
      </c>
      <c r="SV12" s="87" t="str">
        <f>IFERROR(IF(OR($B12="",SV$3=""),"",MAX(_xll.ciqfunctions.udf.CIQ($B12,"IQ_INC_TAX",SV$3,$I$3, $N$3, , $J$3, $K$3)/ABS(_xll.ciqfunctions.udf.CIQ($B12,"IQ_EBT",SV$3,$I$3, $N$3, , $J$3, $K$3)),0)),"")</f>
        <v/>
      </c>
      <c r="SW12" s="87" t="str">
        <f>IFERROR(IF(OR($B12="",SW$3=""),"",MAX(_xll.ciqfunctions.udf.CIQ($B12,"IQ_INC_TAX",SW$3,$I$3, $N$3, , $J$3, $K$3)/ABS(_xll.ciqfunctions.udf.CIQ($B12,"IQ_EBT",SW$3,$I$3, $N$3, , $J$3, $K$3)),0)),"")</f>
        <v/>
      </c>
      <c r="SX12" s="87" t="str">
        <f>IFERROR(IF(OR($B12="",SX$3=""),"",MAX(_xll.ciqfunctions.udf.CIQ($B12,"IQ_INC_TAX",SX$3,$I$3, $N$3, , $J$3, $K$3)/ABS(_xll.ciqfunctions.udf.CIQ($B12,"IQ_EBT",SX$3,$I$3, $N$3, , $J$3, $K$3)),0)),"")</f>
        <v/>
      </c>
      <c r="SY12" s="87" t="str">
        <f>IFERROR(IF(OR($B12="",SY$3=""),"",MAX(_xll.ciqfunctions.udf.CIQ($B12,"IQ_INC_TAX",SY$3,$I$3, $N$3, , $J$3, $K$3)/ABS(_xll.ciqfunctions.udf.CIQ($B12,"IQ_EBT",SY$3,$I$3, $N$3, , $J$3, $K$3)),0)),"")</f>
        <v/>
      </c>
      <c r="SZ12" s="87" t="str">
        <f>IFERROR(IF(OR($B12="",SZ$3=""),"",MAX(_xll.ciqfunctions.udf.CIQ($B12,"IQ_INC_TAX",SZ$3,$I$3, $N$3, , $J$3, $K$3)/ABS(_xll.ciqfunctions.udf.CIQ($B12,"IQ_EBT",SZ$3,$I$3, $N$3, , $J$3, $K$3)),0)),"")</f>
        <v/>
      </c>
      <c r="TA12" s="87" t="str">
        <f>IFERROR(IF(OR($B12="",TA$3=""),"",MAX(_xll.ciqfunctions.udf.CIQ($B12,"IQ_INC_TAX",TA$3,$I$3, $N$3, , $J$3, $K$3)/ABS(_xll.ciqfunctions.udf.CIQ($B12,"IQ_EBT",TA$3,$I$3, $N$3, , $J$3, $K$3)),0)),"")</f>
        <v/>
      </c>
      <c r="TB12" s="87" t="str">
        <f>IFERROR(IF(OR($B12="",TB$3=""),"",MAX(_xll.ciqfunctions.udf.CIQ($B12,"IQ_INC_TAX",TB$3,$I$3, $N$3, , $J$3, $K$3)/ABS(_xll.ciqfunctions.udf.CIQ($B12,"IQ_EBT",TB$3,$I$3, $N$3, , $J$3, $K$3)),0)),"")</f>
        <v/>
      </c>
      <c r="TC12" s="87" t="str">
        <f>IFERROR(IF(OR($B12="",TC$3=""),"",MAX(_xll.ciqfunctions.udf.CIQ($B12,"IQ_INC_TAX",TC$3,$I$3, $N$3, , $J$3, $K$3)/ABS(_xll.ciqfunctions.udf.CIQ($B12,"IQ_EBT",TC$3,$I$3, $N$3, , $J$3, $K$3)),0)),"")</f>
        <v/>
      </c>
      <c r="TD12" s="87" t="str">
        <f>IFERROR(IF(OR($B12="",TD$3=""),"",MAX(_xll.ciqfunctions.udf.CIQ($B12,"IQ_INC_TAX",TD$3,$I$3, $N$3, , $J$3, $K$3)/ABS(_xll.ciqfunctions.udf.CIQ($B12,"IQ_EBT",TD$3,$I$3, $N$3, , $J$3, $K$3)),0)),"")</f>
        <v/>
      </c>
      <c r="TE12" s="87" t="str">
        <f>IFERROR(IF(OR($B12="",TE$3=""),"",MAX(_xll.ciqfunctions.udf.CIQ($B12,"IQ_INC_TAX",TE$3,$I$3, $N$3, , $J$3, $K$3)/ABS(_xll.ciqfunctions.udf.CIQ($B12,"IQ_EBT",TE$3,$I$3, $N$3, , $J$3, $K$3)),0)),"")</f>
        <v/>
      </c>
      <c r="TF12" s="87" t="str">
        <f>IFERROR(IF(OR($B12="",TF$3=""),"",MAX(_xll.ciqfunctions.udf.CIQ($B12,"IQ_INC_TAX",TF$3,$I$3, $N$3, , $J$3, $K$3)/ABS(_xll.ciqfunctions.udf.CIQ($B12,"IQ_EBT",TF$3,$I$3, $N$3, , $J$3, $K$3)),0)),"")</f>
        <v/>
      </c>
      <c r="TG12" s="87" t="str">
        <f>IFERROR(IF(OR($B12="",TG$3=""),"",MAX(_xll.ciqfunctions.udf.CIQ($B12,"IQ_INC_TAX",TG$3,$I$3, $N$3, , $J$3, $K$3)/ABS(_xll.ciqfunctions.udf.CIQ($B12,"IQ_EBT",TG$3,$I$3, $N$3, , $J$3, $K$3)),0)),"")</f>
        <v/>
      </c>
      <c r="TH12" s="87" t="str">
        <f>IFERROR(IF(OR($B12="",TH$3=""),"",MAX(_xll.ciqfunctions.udf.CIQ($B12,"IQ_INC_TAX",TH$3,$I$3, $N$3, , $J$3, $K$3)/ABS(_xll.ciqfunctions.udf.CIQ($B12,"IQ_EBT",TH$3,$I$3, $N$3, , $J$3, $K$3)),0)),"")</f>
        <v/>
      </c>
      <c r="TI12" s="87" t="str">
        <f>IFERROR(IF(OR($B12="",TI$3=""),"",MAX(_xll.ciqfunctions.udf.CIQ($B12,"IQ_INC_TAX",TI$3,$I$3, $N$3, , $J$3, $K$3)/ABS(_xll.ciqfunctions.udf.CIQ($B12,"IQ_EBT",TI$3,$I$3, $N$3, , $J$3, $K$3)),0)),"")</f>
        <v/>
      </c>
      <c r="TJ12" s="87" t="str">
        <f>IFERROR(IF(OR($B12="",TJ$3=""),"",MAX(_xll.ciqfunctions.udf.CIQ($B12,"IQ_INC_TAX",TJ$3,$I$3, $N$3, , $J$3, $K$3)/ABS(_xll.ciqfunctions.udf.CIQ($B12,"IQ_EBT",TJ$3,$I$3, $N$3, , $J$3, $K$3)),0)),"")</f>
        <v/>
      </c>
      <c r="TK12" s="87" t="str">
        <f>IFERROR(IF(OR($B12="",TK$3=""),"",MAX(_xll.ciqfunctions.udf.CIQ($B12,"IQ_INC_TAX",TK$3,$I$3, $N$3, , $J$3, $K$3)/ABS(_xll.ciqfunctions.udf.CIQ($B12,"IQ_EBT",TK$3,$I$3, $N$3, , $J$3, $K$3)),0)),"")</f>
        <v/>
      </c>
      <c r="TL12" s="88" t="str">
        <f>IFERROR(IF(OR($B12="",TL$3=""),"",MAX(_xll.ciqfunctions.udf.CIQ($B12,"IQ_INC_TAX",TL$3,$I$3, $N$3, , $J$3, $K$3)/ABS(_xll.ciqfunctions.udf.CIQ($B12,"IQ_EBT",TL$3,$I$3, $N$3, , $J$3, $K$3)),0)),"")</f>
        <v/>
      </c>
      <c r="TM12" s="92" t="str">
        <f>IFERROR(IF(OR($B12="",TM$3=""),"",_xll.ciqfunctions.udf.CIQ($B12,"IQ_TOTAL_REVENUE",TM$3,$I$3, $N$3, , $J$3, $K$3)*1000000/_xll.ciqfunctions.udf.CIQ($B12,"IQ_EMPLOYEES",TM$3,$I$3, $N$3, , $J$3, $K$3)),"")</f>
        <v/>
      </c>
      <c r="TN12" s="93" t="str">
        <f>IFERROR(IF(OR($B12="",TN$3=""),"",_xll.ciqfunctions.udf.CIQ($B12,"IQ_TOTAL_REVENUE",TN$3,$I$3, $N$3, , $J$3, $K$3)*1000000/_xll.ciqfunctions.udf.CIQ($B12,"IQ_EMPLOYEES",TN$3,$I$3, $N$3, , $J$3, $K$3)),"")</f>
        <v/>
      </c>
      <c r="TO12" s="93" t="str">
        <f>IFERROR(IF(OR($B12="",TO$3=""),"",_xll.ciqfunctions.udf.CIQ($B12,"IQ_TOTAL_REVENUE",TO$3,$I$3, $N$3, , $J$3, $K$3)*1000000/_xll.ciqfunctions.udf.CIQ($B12,"IQ_EMPLOYEES",TO$3,$I$3, $N$3, , $J$3, $K$3)),"")</f>
        <v/>
      </c>
      <c r="TP12" s="93" t="str">
        <f>IFERROR(IF(OR($B12="",TP$3=""),"",_xll.ciqfunctions.udf.CIQ($B12,"IQ_TOTAL_REVENUE",TP$3,$I$3, $N$3, , $J$3, $K$3)*1000000/_xll.ciqfunctions.udf.CIQ($B12,"IQ_EMPLOYEES",TP$3,$I$3, $N$3, , $J$3, $K$3)),"")</f>
        <v/>
      </c>
      <c r="TQ12" s="93" t="str">
        <f>IFERROR(IF(OR($B12="",TQ$3=""),"",_xll.ciqfunctions.udf.CIQ($B12,"IQ_TOTAL_REVENUE",TQ$3,$I$3, $N$3, , $J$3, $K$3)*1000000/_xll.ciqfunctions.udf.CIQ($B12,"IQ_EMPLOYEES",TQ$3,$I$3, $N$3, , $J$3, $K$3)),"")</f>
        <v/>
      </c>
      <c r="TR12" s="93" t="str">
        <f>IFERROR(IF(OR($B12="",TR$3=""),"",_xll.ciqfunctions.udf.CIQ($B12,"IQ_TOTAL_REVENUE",TR$3,$I$3, $N$3, , $J$3, $K$3)*1000000/_xll.ciqfunctions.udf.CIQ($B12,"IQ_EMPLOYEES",TR$3,$I$3, $N$3, , $J$3, $K$3)),"")</f>
        <v/>
      </c>
      <c r="TS12" s="93" t="str">
        <f>IFERROR(IF(OR($B12="",TS$3=""),"",_xll.ciqfunctions.udf.CIQ($B12,"IQ_TOTAL_REVENUE",TS$3,$I$3, $N$3, , $J$3, $K$3)*1000000/_xll.ciqfunctions.udf.CIQ($B12,"IQ_EMPLOYEES",TS$3,$I$3, $N$3, , $J$3, $K$3)),"")</f>
        <v/>
      </c>
      <c r="TT12" s="93" t="str">
        <f>IFERROR(IF(OR($B12="",TT$3=""),"",_xll.ciqfunctions.udf.CIQ($B12,"IQ_TOTAL_REVENUE",TT$3,$I$3, $N$3, , $J$3, $K$3)*1000000/_xll.ciqfunctions.udf.CIQ($B12,"IQ_EMPLOYEES",TT$3,$I$3, $N$3, , $J$3, $K$3)),"")</f>
        <v/>
      </c>
      <c r="TU12" s="93" t="str">
        <f>IFERROR(IF(OR($B12="",TU$3=""),"",_xll.ciqfunctions.udf.CIQ($B12,"IQ_TOTAL_REVENUE",TU$3,$I$3, $N$3, , $J$3, $K$3)*1000000/_xll.ciqfunctions.udf.CIQ($B12,"IQ_EMPLOYEES",TU$3,$I$3, $N$3, , $J$3, $K$3)),"")</f>
        <v/>
      </c>
      <c r="TV12" s="93" t="str">
        <f>IFERROR(IF(OR($B12="",TV$3=""),"",_xll.ciqfunctions.udf.CIQ($B12,"IQ_TOTAL_REVENUE",TV$3,$I$3, $N$3, , $J$3, $K$3)*1000000/_xll.ciqfunctions.udf.CIQ($B12,"IQ_EMPLOYEES",TV$3,$I$3, $N$3, , $J$3, $K$3)),"")</f>
        <v/>
      </c>
      <c r="TW12" s="93" t="str">
        <f>IFERROR(IF(OR($B12="",TW$3=""),"",_xll.ciqfunctions.udf.CIQ($B12,"IQ_TOTAL_REVENUE",TW$3,$I$3, $N$3, , $J$3, $K$3)*1000000/_xll.ciqfunctions.udf.CIQ($B12,"IQ_EMPLOYEES",TW$3,$I$3, $N$3, , $J$3, $K$3)),"")</f>
        <v/>
      </c>
      <c r="TX12" s="93" t="str">
        <f>IFERROR(IF(OR($B12="",TX$3=""),"",_xll.ciqfunctions.udf.CIQ($B12,"IQ_TOTAL_REVENUE",TX$3,$I$3, $N$3, , $J$3, $K$3)*1000000/_xll.ciqfunctions.udf.CIQ($B12,"IQ_EMPLOYEES",TX$3,$I$3, $N$3, , $J$3, $K$3)),"")</f>
        <v/>
      </c>
      <c r="TY12" s="93" t="str">
        <f>IFERROR(IF(OR($B12="",TY$3=""),"",_xll.ciqfunctions.udf.CIQ($B12,"IQ_TOTAL_REVENUE",TY$3,$I$3, $N$3, , $J$3, $K$3)*1000000/_xll.ciqfunctions.udf.CIQ($B12,"IQ_EMPLOYEES",TY$3,$I$3, $N$3, , $J$3, $K$3)),"")</f>
        <v/>
      </c>
      <c r="TZ12" s="93" t="str">
        <f>IFERROR(IF(OR($B12="",TZ$3=""),"",_xll.ciqfunctions.udf.CIQ($B12,"IQ_TOTAL_REVENUE",TZ$3,$I$3, $N$3, , $J$3, $K$3)*1000000/_xll.ciqfunctions.udf.CIQ($B12,"IQ_EMPLOYEES",TZ$3,$I$3, $N$3, , $J$3, $K$3)),"")</f>
        <v/>
      </c>
      <c r="UA12" s="93" t="str">
        <f>IFERROR(IF(OR($B12="",UA$3=""),"",_xll.ciqfunctions.udf.CIQ($B12,"IQ_TOTAL_REVENUE",UA$3,$I$3, $N$3, , $J$3, $K$3)*1000000/_xll.ciqfunctions.udf.CIQ($B12,"IQ_EMPLOYEES",UA$3,$I$3, $N$3, , $J$3, $K$3)),"")</f>
        <v/>
      </c>
      <c r="UB12" s="93" t="str">
        <f>IFERROR(IF(OR($B12="",UB$3=""),"",_xll.ciqfunctions.udf.CIQ($B12,"IQ_TOTAL_REVENUE",UB$3,$I$3, $N$3, , $J$3, $K$3)*1000000/_xll.ciqfunctions.udf.CIQ($B12,"IQ_EMPLOYEES",UB$3,$I$3, $N$3, , $J$3, $K$3)),"")</f>
        <v/>
      </c>
      <c r="UC12" s="93" t="str">
        <f>IFERROR(IF(OR($B12="",UC$3=""),"",_xll.ciqfunctions.udf.CIQ($B12,"IQ_TOTAL_REVENUE",UC$3,$I$3, $N$3, , $J$3, $K$3)*1000000/_xll.ciqfunctions.udf.CIQ($B12,"IQ_EMPLOYEES",UC$3,$I$3, $N$3, , $J$3, $K$3)),"")</f>
        <v/>
      </c>
      <c r="UD12" s="93" t="str">
        <f>IFERROR(IF(OR($B12="",UD$3=""),"",_xll.ciqfunctions.udf.CIQ($B12,"IQ_TOTAL_REVENUE",UD$3,$I$3, $N$3, , $J$3, $K$3)*1000000/_xll.ciqfunctions.udf.CIQ($B12,"IQ_EMPLOYEES",UD$3,$I$3, $N$3, , $J$3, $K$3)),"")</f>
        <v/>
      </c>
      <c r="UE12" s="93" t="str">
        <f>IFERROR(IF(OR($B12="",UE$3=""),"",_xll.ciqfunctions.udf.CIQ($B12,"IQ_TOTAL_REVENUE",UE$3,$I$3, $N$3, , $J$3, $K$3)*1000000/_xll.ciqfunctions.udf.CIQ($B12,"IQ_EMPLOYEES",UE$3,$I$3, $N$3, , $J$3, $K$3)),"")</f>
        <v/>
      </c>
      <c r="UF12" s="94" t="str">
        <f>IFERROR(IF(OR($B12="",UF$3=""),"",_xll.ciqfunctions.udf.CIQ($B12,"IQ_TOTAL_REVENUE",UF$3,$I$3, $N$3, , $J$3, $K$3)*1000000/_xll.ciqfunctions.udf.CIQ($B12,"IQ_EMPLOYEES",UF$3,$I$3, $N$3, , $J$3, $K$3)),"")</f>
        <v/>
      </c>
      <c r="UG12" s="92" t="str">
        <f>IFERROR(IF(OR($B12="",UG$3=""),"",(_xll.ciqfunctions.udf.CIQ($B12,"IQ_TOTAL_REVENUE",UG$3,$I$3, $N$3, , $J$3, $K$3)-_xll.ciqfunctions.udf.CIQ($B12,"IQ_COGS",UG$3,$I$3, $N$3, , $J$3, $K$3)-_xll.ciqfunctions.udf.CIQ($B12,"IQ_EBIT",UG$3,$I$3, $N$3, , $J$3, $K$3))*1000000/_xll.ciqfunctions.udf.CIQ($B12,"IQ_EMPLOYEES",UG$3,$I$3, $N$3, , $J$3, $K$3)),"")</f>
        <v/>
      </c>
      <c r="UH12" s="93" t="str">
        <f>IFERROR(IF(OR($B12="",UH$3=""),"",(_xll.ciqfunctions.udf.CIQ($B12,"IQ_TOTAL_REVENUE",UH$3,$I$3, $N$3, , $J$3, $K$3)-_xll.ciqfunctions.udf.CIQ($B12,"IQ_COGS",UH$3,$I$3, $N$3, , $J$3, $K$3)-_xll.ciqfunctions.udf.CIQ($B12,"IQ_EBIT",UH$3,$I$3, $N$3, , $J$3, $K$3))*1000000/_xll.ciqfunctions.udf.CIQ($B12,"IQ_EMPLOYEES",UH$3,$I$3, $N$3, , $J$3, $K$3)),"")</f>
        <v/>
      </c>
      <c r="UI12" s="93" t="str">
        <f>IFERROR(IF(OR($B12="",UI$3=""),"",(_xll.ciqfunctions.udf.CIQ($B12,"IQ_TOTAL_REVENUE",UI$3,$I$3, $N$3, , $J$3, $K$3)-_xll.ciqfunctions.udf.CIQ($B12,"IQ_COGS",UI$3,$I$3, $N$3, , $J$3, $K$3)-_xll.ciqfunctions.udf.CIQ($B12,"IQ_EBIT",UI$3,$I$3, $N$3, , $J$3, $K$3))*1000000/_xll.ciqfunctions.udf.CIQ($B12,"IQ_EMPLOYEES",UI$3,$I$3, $N$3, , $J$3, $K$3)),"")</f>
        <v/>
      </c>
      <c r="UJ12" s="93" t="str">
        <f>IFERROR(IF(OR($B12="",UJ$3=""),"",(_xll.ciqfunctions.udf.CIQ($B12,"IQ_TOTAL_REVENUE",UJ$3,$I$3, $N$3, , $J$3, $K$3)-_xll.ciqfunctions.udf.CIQ($B12,"IQ_COGS",UJ$3,$I$3, $N$3, , $J$3, $K$3)-_xll.ciqfunctions.udf.CIQ($B12,"IQ_EBIT",UJ$3,$I$3, $N$3, , $J$3, $K$3))*1000000/_xll.ciqfunctions.udf.CIQ($B12,"IQ_EMPLOYEES",UJ$3,$I$3, $N$3, , $J$3, $K$3)),"")</f>
        <v/>
      </c>
      <c r="UK12" s="93" t="str">
        <f>IFERROR(IF(OR($B12="",UK$3=""),"",(_xll.ciqfunctions.udf.CIQ($B12,"IQ_TOTAL_REVENUE",UK$3,$I$3, $N$3, , $J$3, $K$3)-_xll.ciqfunctions.udf.CIQ($B12,"IQ_COGS",UK$3,$I$3, $N$3, , $J$3, $K$3)-_xll.ciqfunctions.udf.CIQ($B12,"IQ_EBIT",UK$3,$I$3, $N$3, , $J$3, $K$3))*1000000/_xll.ciqfunctions.udf.CIQ($B12,"IQ_EMPLOYEES",UK$3,$I$3, $N$3, , $J$3, $K$3)),"")</f>
        <v/>
      </c>
      <c r="UL12" s="93" t="str">
        <f>IFERROR(IF(OR($B12="",UL$3=""),"",(_xll.ciqfunctions.udf.CIQ($B12,"IQ_TOTAL_REVENUE",UL$3,$I$3, $N$3, , $J$3, $K$3)-_xll.ciqfunctions.udf.CIQ($B12,"IQ_COGS",UL$3,$I$3, $N$3, , $J$3, $K$3)-_xll.ciqfunctions.udf.CIQ($B12,"IQ_EBIT",UL$3,$I$3, $N$3, , $J$3, $K$3))*1000000/_xll.ciqfunctions.udf.CIQ($B12,"IQ_EMPLOYEES",UL$3,$I$3, $N$3, , $J$3, $K$3)),"")</f>
        <v/>
      </c>
      <c r="UM12" s="93" t="str">
        <f>IFERROR(IF(OR($B12="",UM$3=""),"",(_xll.ciqfunctions.udf.CIQ($B12,"IQ_TOTAL_REVENUE",UM$3,$I$3, $N$3, , $J$3, $K$3)-_xll.ciqfunctions.udf.CIQ($B12,"IQ_COGS",UM$3,$I$3, $N$3, , $J$3, $K$3)-_xll.ciqfunctions.udf.CIQ($B12,"IQ_EBIT",UM$3,$I$3, $N$3, , $J$3, $K$3))*1000000/_xll.ciqfunctions.udf.CIQ($B12,"IQ_EMPLOYEES",UM$3,$I$3, $N$3, , $J$3, $K$3)),"")</f>
        <v/>
      </c>
      <c r="UN12" s="93" t="str">
        <f>IFERROR(IF(OR($B12="",UN$3=""),"",(_xll.ciqfunctions.udf.CIQ($B12,"IQ_TOTAL_REVENUE",UN$3,$I$3, $N$3, , $J$3, $K$3)-_xll.ciqfunctions.udf.CIQ($B12,"IQ_COGS",UN$3,$I$3, $N$3, , $J$3, $K$3)-_xll.ciqfunctions.udf.CIQ($B12,"IQ_EBIT",UN$3,$I$3, $N$3, , $J$3, $K$3))*1000000/_xll.ciqfunctions.udf.CIQ($B12,"IQ_EMPLOYEES",UN$3,$I$3, $N$3, , $J$3, $K$3)),"")</f>
        <v/>
      </c>
      <c r="UO12" s="93" t="str">
        <f>IFERROR(IF(OR($B12="",UO$3=""),"",(_xll.ciqfunctions.udf.CIQ($B12,"IQ_TOTAL_REVENUE",UO$3,$I$3, $N$3, , $J$3, $K$3)-_xll.ciqfunctions.udf.CIQ($B12,"IQ_COGS",UO$3,$I$3, $N$3, , $J$3, $K$3)-_xll.ciqfunctions.udf.CIQ($B12,"IQ_EBIT",UO$3,$I$3, $N$3, , $J$3, $K$3))*1000000/_xll.ciqfunctions.udf.CIQ($B12,"IQ_EMPLOYEES",UO$3,$I$3, $N$3, , $J$3, $K$3)),"")</f>
        <v/>
      </c>
      <c r="UP12" s="93" t="str">
        <f>IFERROR(IF(OR($B12="",UP$3=""),"",(_xll.ciqfunctions.udf.CIQ($B12,"IQ_TOTAL_REVENUE",UP$3,$I$3, $N$3, , $J$3, $K$3)-_xll.ciqfunctions.udf.CIQ($B12,"IQ_COGS",UP$3,$I$3, $N$3, , $J$3, $K$3)-_xll.ciqfunctions.udf.CIQ($B12,"IQ_EBIT",UP$3,$I$3, $N$3, , $J$3, $K$3))*1000000/_xll.ciqfunctions.udf.CIQ($B12,"IQ_EMPLOYEES",UP$3,$I$3, $N$3, , $J$3, $K$3)),"")</f>
        <v/>
      </c>
      <c r="UQ12" s="93" t="str">
        <f>IFERROR(IF(OR($B12="",UQ$3=""),"",(_xll.ciqfunctions.udf.CIQ($B12,"IQ_TOTAL_REVENUE",UQ$3,$I$3, $N$3, , $J$3, $K$3)-_xll.ciqfunctions.udf.CIQ($B12,"IQ_COGS",UQ$3,$I$3, $N$3, , $J$3, $K$3)-_xll.ciqfunctions.udf.CIQ($B12,"IQ_EBIT",UQ$3,$I$3, $N$3, , $J$3, $K$3))*1000000/_xll.ciqfunctions.udf.CIQ($B12,"IQ_EMPLOYEES",UQ$3,$I$3, $N$3, , $J$3, $K$3)),"")</f>
        <v/>
      </c>
      <c r="UR12" s="93" t="str">
        <f>IFERROR(IF(OR($B12="",UR$3=""),"",(_xll.ciqfunctions.udf.CIQ($B12,"IQ_TOTAL_REVENUE",UR$3,$I$3, $N$3, , $J$3, $K$3)-_xll.ciqfunctions.udf.CIQ($B12,"IQ_COGS",UR$3,$I$3, $N$3, , $J$3, $K$3)-_xll.ciqfunctions.udf.CIQ($B12,"IQ_EBIT",UR$3,$I$3, $N$3, , $J$3, $K$3))*1000000/_xll.ciqfunctions.udf.CIQ($B12,"IQ_EMPLOYEES",UR$3,$I$3, $N$3, , $J$3, $K$3)),"")</f>
        <v/>
      </c>
      <c r="US12" s="93" t="str">
        <f>IFERROR(IF(OR($B12="",US$3=""),"",(_xll.ciqfunctions.udf.CIQ($B12,"IQ_TOTAL_REVENUE",US$3,$I$3, $N$3, , $J$3, $K$3)-_xll.ciqfunctions.udf.CIQ($B12,"IQ_COGS",US$3,$I$3, $N$3, , $J$3, $K$3)-_xll.ciqfunctions.udf.CIQ($B12,"IQ_EBIT",US$3,$I$3, $N$3, , $J$3, $K$3))*1000000/_xll.ciqfunctions.udf.CIQ($B12,"IQ_EMPLOYEES",US$3,$I$3, $N$3, , $J$3, $K$3)),"")</f>
        <v/>
      </c>
      <c r="UT12" s="93" t="str">
        <f>IFERROR(IF(OR($B12="",UT$3=""),"",(_xll.ciqfunctions.udf.CIQ($B12,"IQ_TOTAL_REVENUE",UT$3,$I$3, $N$3, , $J$3, $K$3)-_xll.ciqfunctions.udf.CIQ($B12,"IQ_COGS",UT$3,$I$3, $N$3, , $J$3, $K$3)-_xll.ciqfunctions.udf.CIQ($B12,"IQ_EBIT",UT$3,$I$3, $N$3, , $J$3, $K$3))*1000000/_xll.ciqfunctions.udf.CIQ($B12,"IQ_EMPLOYEES",UT$3,$I$3, $N$3, , $J$3, $K$3)),"")</f>
        <v/>
      </c>
      <c r="UU12" s="93" t="str">
        <f>IFERROR(IF(OR($B12="",UU$3=""),"",(_xll.ciqfunctions.udf.CIQ($B12,"IQ_TOTAL_REVENUE",UU$3,$I$3, $N$3, , $J$3, $K$3)-_xll.ciqfunctions.udf.CIQ($B12,"IQ_COGS",UU$3,$I$3, $N$3, , $J$3, $K$3)-_xll.ciqfunctions.udf.CIQ($B12,"IQ_EBIT",UU$3,$I$3, $N$3, , $J$3, $K$3))*1000000/_xll.ciqfunctions.udf.CIQ($B12,"IQ_EMPLOYEES",UU$3,$I$3, $N$3, , $J$3, $K$3)),"")</f>
        <v/>
      </c>
      <c r="UV12" s="93" t="str">
        <f>IFERROR(IF(OR($B12="",UV$3=""),"",(_xll.ciqfunctions.udf.CIQ($B12,"IQ_TOTAL_REVENUE",UV$3,$I$3, $N$3, , $J$3, $K$3)-_xll.ciqfunctions.udf.CIQ($B12,"IQ_COGS",UV$3,$I$3, $N$3, , $J$3, $K$3)-_xll.ciqfunctions.udf.CIQ($B12,"IQ_EBIT",UV$3,$I$3, $N$3, , $J$3, $K$3))*1000000/_xll.ciqfunctions.udf.CIQ($B12,"IQ_EMPLOYEES",UV$3,$I$3, $N$3, , $J$3, $K$3)),"")</f>
        <v/>
      </c>
      <c r="UW12" s="93" t="str">
        <f>IFERROR(IF(OR($B12="",UW$3=""),"",(_xll.ciqfunctions.udf.CIQ($B12,"IQ_TOTAL_REVENUE",UW$3,$I$3, $N$3, , $J$3, $K$3)-_xll.ciqfunctions.udf.CIQ($B12,"IQ_COGS",UW$3,$I$3, $N$3, , $J$3, $K$3)-_xll.ciqfunctions.udf.CIQ($B12,"IQ_EBIT",UW$3,$I$3, $N$3, , $J$3, $K$3))*1000000/_xll.ciqfunctions.udf.CIQ($B12,"IQ_EMPLOYEES",UW$3,$I$3, $N$3, , $J$3, $K$3)),"")</f>
        <v/>
      </c>
      <c r="UX12" s="93" t="str">
        <f>IFERROR(IF(OR($B12="",UX$3=""),"",(_xll.ciqfunctions.udf.CIQ($B12,"IQ_TOTAL_REVENUE",UX$3,$I$3, $N$3, , $J$3, $K$3)-_xll.ciqfunctions.udf.CIQ($B12,"IQ_COGS",UX$3,$I$3, $N$3, , $J$3, $K$3)-_xll.ciqfunctions.udf.CIQ($B12,"IQ_EBIT",UX$3,$I$3, $N$3, , $J$3, $K$3))*1000000/_xll.ciqfunctions.udf.CIQ($B12,"IQ_EMPLOYEES",UX$3,$I$3, $N$3, , $J$3, $K$3)),"")</f>
        <v/>
      </c>
      <c r="UY12" s="93" t="str">
        <f>IFERROR(IF(OR($B12="",UY$3=""),"",(_xll.ciqfunctions.udf.CIQ($B12,"IQ_TOTAL_REVENUE",UY$3,$I$3, $N$3, , $J$3, $K$3)-_xll.ciqfunctions.udf.CIQ($B12,"IQ_COGS",UY$3,$I$3, $N$3, , $J$3, $K$3)-_xll.ciqfunctions.udf.CIQ($B12,"IQ_EBIT",UY$3,$I$3, $N$3, , $J$3, $K$3))*1000000/_xll.ciqfunctions.udf.CIQ($B12,"IQ_EMPLOYEES",UY$3,$I$3, $N$3, , $J$3, $K$3)),"")</f>
        <v/>
      </c>
      <c r="UZ12" s="94" t="str">
        <f>IFERROR(IF(OR($B12="",UZ$3=""),"",(_xll.ciqfunctions.udf.CIQ($B12,"IQ_TOTAL_REVENUE",UZ$3,$I$3, $N$3, , $J$3, $K$3)-_xll.ciqfunctions.udf.CIQ($B12,"IQ_COGS",UZ$3,$I$3, $N$3, , $J$3, $K$3)-_xll.ciqfunctions.udf.CIQ($B12,"IQ_EBIT",UZ$3,$I$3, $N$3, , $J$3, $K$3))*1000000/_xll.ciqfunctions.udf.CIQ($B12,"IQ_EMPLOYEES",UZ$3,$I$3, $N$3, , $J$3, $K$3)),"")</f>
        <v/>
      </c>
      <c r="VA12" s="92" t="str">
        <f>IFERROR(IF(OR($B12="",VA$3=""),"",_xll.ciqfunctions.udf.CIQ($B12,"IQ_SGA_SUPPL",VA$3,$I$3, $N$3, , $J$3, $K$3)*1000000/_xll.ciqfunctions.udf.CIQ($B12,"IQ_EMPLOYEES",VA$3,$I$3, $N$3, , $J$3, $K$3)),"")</f>
        <v/>
      </c>
      <c r="VB12" s="93" t="str">
        <f>IFERROR(IF(OR($B12="",VB$3=""),"",_xll.ciqfunctions.udf.CIQ($B12,"IQ_SGA_SUPPL",VB$3,$I$3, $N$3, , $J$3, $K$3)*1000000/_xll.ciqfunctions.udf.CIQ($B12,"IQ_EMPLOYEES",VB$3,$I$3, $N$3, , $J$3, $K$3)),"")</f>
        <v/>
      </c>
      <c r="VC12" s="93" t="str">
        <f>IFERROR(IF(OR($B12="",VC$3=""),"",_xll.ciqfunctions.udf.CIQ($B12,"IQ_SGA_SUPPL",VC$3,$I$3, $N$3, , $J$3, $K$3)*1000000/_xll.ciqfunctions.udf.CIQ($B12,"IQ_EMPLOYEES",VC$3,$I$3, $N$3, , $J$3, $K$3)),"")</f>
        <v/>
      </c>
      <c r="VD12" s="93" t="str">
        <f>IFERROR(IF(OR($B12="",VD$3=""),"",_xll.ciqfunctions.udf.CIQ($B12,"IQ_SGA_SUPPL",VD$3,$I$3, $N$3, , $J$3, $K$3)*1000000/_xll.ciqfunctions.udf.CIQ($B12,"IQ_EMPLOYEES",VD$3,$I$3, $N$3, , $J$3, $K$3)),"")</f>
        <v/>
      </c>
      <c r="VE12" s="93" t="str">
        <f>IFERROR(IF(OR($B12="",VE$3=""),"",_xll.ciqfunctions.udf.CIQ($B12,"IQ_SGA_SUPPL",VE$3,$I$3, $N$3, , $J$3, $K$3)*1000000/_xll.ciqfunctions.udf.CIQ($B12,"IQ_EMPLOYEES",VE$3,$I$3, $N$3, , $J$3, $K$3)),"")</f>
        <v/>
      </c>
      <c r="VF12" s="93" t="str">
        <f>IFERROR(IF(OR($B12="",VF$3=""),"",_xll.ciqfunctions.udf.CIQ($B12,"IQ_SGA_SUPPL",VF$3,$I$3, $N$3, , $J$3, $K$3)*1000000/_xll.ciqfunctions.udf.CIQ($B12,"IQ_EMPLOYEES",VF$3,$I$3, $N$3, , $J$3, $K$3)),"")</f>
        <v/>
      </c>
      <c r="VG12" s="93" t="str">
        <f>IFERROR(IF(OR($B12="",VG$3=""),"",_xll.ciqfunctions.udf.CIQ($B12,"IQ_SGA_SUPPL",VG$3,$I$3, $N$3, , $J$3, $K$3)*1000000/_xll.ciqfunctions.udf.CIQ($B12,"IQ_EMPLOYEES",VG$3,$I$3, $N$3, , $J$3, $K$3)),"")</f>
        <v/>
      </c>
      <c r="VH12" s="93" t="str">
        <f>IFERROR(IF(OR($B12="",VH$3=""),"",_xll.ciqfunctions.udf.CIQ($B12,"IQ_SGA_SUPPL",VH$3,$I$3, $N$3, , $J$3, $K$3)*1000000/_xll.ciqfunctions.udf.CIQ($B12,"IQ_EMPLOYEES",VH$3,$I$3, $N$3, , $J$3, $K$3)),"")</f>
        <v/>
      </c>
      <c r="VI12" s="93" t="str">
        <f>IFERROR(IF(OR($B12="",VI$3=""),"",_xll.ciqfunctions.udf.CIQ($B12,"IQ_SGA_SUPPL",VI$3,$I$3, $N$3, , $J$3, $K$3)*1000000/_xll.ciqfunctions.udf.CIQ($B12,"IQ_EMPLOYEES",VI$3,$I$3, $N$3, , $J$3, $K$3)),"")</f>
        <v/>
      </c>
      <c r="VJ12" s="93" t="str">
        <f>IFERROR(IF(OR($B12="",VJ$3=""),"",_xll.ciqfunctions.udf.CIQ($B12,"IQ_SGA_SUPPL",VJ$3,$I$3, $N$3, , $J$3, $K$3)*1000000/_xll.ciqfunctions.udf.CIQ($B12,"IQ_EMPLOYEES",VJ$3,$I$3, $N$3, , $J$3, $K$3)),"")</f>
        <v/>
      </c>
      <c r="VK12" s="93" t="str">
        <f>IFERROR(IF(OR($B12="",VK$3=""),"",_xll.ciqfunctions.udf.CIQ($B12,"IQ_SGA_SUPPL",VK$3,$I$3, $N$3, , $J$3, $K$3)*1000000/_xll.ciqfunctions.udf.CIQ($B12,"IQ_EMPLOYEES",VK$3,$I$3, $N$3, , $J$3, $K$3)),"")</f>
        <v/>
      </c>
      <c r="VL12" s="93" t="str">
        <f>IFERROR(IF(OR($B12="",VL$3=""),"",_xll.ciqfunctions.udf.CIQ($B12,"IQ_SGA_SUPPL",VL$3,$I$3, $N$3, , $J$3, $K$3)*1000000/_xll.ciqfunctions.udf.CIQ($B12,"IQ_EMPLOYEES",VL$3,$I$3, $N$3, , $J$3, $K$3)),"")</f>
        <v/>
      </c>
      <c r="VM12" s="93" t="str">
        <f>IFERROR(IF(OR($B12="",VM$3=""),"",_xll.ciqfunctions.udf.CIQ($B12,"IQ_SGA_SUPPL",VM$3,$I$3, $N$3, , $J$3, $K$3)*1000000/_xll.ciqfunctions.udf.CIQ($B12,"IQ_EMPLOYEES",VM$3,$I$3, $N$3, , $J$3, $K$3)),"")</f>
        <v/>
      </c>
      <c r="VN12" s="93" t="str">
        <f>IFERROR(IF(OR($B12="",VN$3=""),"",_xll.ciqfunctions.udf.CIQ($B12,"IQ_SGA_SUPPL",VN$3,$I$3, $N$3, , $J$3, $K$3)*1000000/_xll.ciqfunctions.udf.CIQ($B12,"IQ_EMPLOYEES",VN$3,$I$3, $N$3, , $J$3, $K$3)),"")</f>
        <v/>
      </c>
      <c r="VO12" s="93" t="str">
        <f>IFERROR(IF(OR($B12="",VO$3=""),"",_xll.ciqfunctions.udf.CIQ($B12,"IQ_SGA_SUPPL",VO$3,$I$3, $N$3, , $J$3, $K$3)*1000000/_xll.ciqfunctions.udf.CIQ($B12,"IQ_EMPLOYEES",VO$3,$I$3, $N$3, , $J$3, $K$3)),"")</f>
        <v/>
      </c>
      <c r="VP12" s="93" t="str">
        <f>IFERROR(IF(OR($B12="",VP$3=""),"",_xll.ciqfunctions.udf.CIQ($B12,"IQ_SGA_SUPPL",VP$3,$I$3, $N$3, , $J$3, $K$3)*1000000/_xll.ciqfunctions.udf.CIQ($B12,"IQ_EMPLOYEES",VP$3,$I$3, $N$3, , $J$3, $K$3)),"")</f>
        <v/>
      </c>
      <c r="VQ12" s="93" t="str">
        <f>IFERROR(IF(OR($B12="",VQ$3=""),"",_xll.ciqfunctions.udf.CIQ($B12,"IQ_SGA_SUPPL",VQ$3,$I$3, $N$3, , $J$3, $K$3)*1000000/_xll.ciqfunctions.udf.CIQ($B12,"IQ_EMPLOYEES",VQ$3,$I$3, $N$3, , $J$3, $K$3)),"")</f>
        <v/>
      </c>
      <c r="VR12" s="93" t="str">
        <f>IFERROR(IF(OR($B12="",VR$3=""),"",_xll.ciqfunctions.udf.CIQ($B12,"IQ_SGA_SUPPL",VR$3,$I$3, $N$3, , $J$3, $K$3)*1000000/_xll.ciqfunctions.udf.CIQ($B12,"IQ_EMPLOYEES",VR$3,$I$3, $N$3, , $J$3, $K$3)),"")</f>
        <v/>
      </c>
      <c r="VS12" s="93" t="str">
        <f>IFERROR(IF(OR($B12="",VS$3=""),"",_xll.ciqfunctions.udf.CIQ($B12,"IQ_SGA_SUPPL",VS$3,$I$3, $N$3, , $J$3, $K$3)*1000000/_xll.ciqfunctions.udf.CIQ($B12,"IQ_EMPLOYEES",VS$3,$I$3, $N$3, , $J$3, $K$3)),"")</f>
        <v/>
      </c>
      <c r="VT12" s="94" t="str">
        <f>IFERROR(IF(OR($B12="",VT$3=""),"",_xll.ciqfunctions.udf.CIQ($B12,"IQ_SGA_SUPPL",VT$3,$I$3, $N$3, , $J$3, $K$3)*1000000/_xll.ciqfunctions.udf.CIQ($B12,"IQ_EMPLOYEES",VT$3,$I$3, $N$3, , $J$3, $K$3)),"")</f>
        <v/>
      </c>
      <c r="VU12" s="92" t="str">
        <f>IFERROR(IF(OR($B12="",VU$3=""),"",_xll.ciqfunctions.udf.CIQ($B12,"IQ_RD_EXP",VU$3,$I$3, $N$3, , $J$3, $K$3)*1000000/_xll.ciqfunctions.udf.CIQ($B12,"IQ_EMPLOYEES",VU$3,$I$3, $N$3, , $J$3, $K$3)),"")</f>
        <v/>
      </c>
      <c r="VV12" s="93" t="str">
        <f>IFERROR(IF(OR($B12="",VV$3=""),"",_xll.ciqfunctions.udf.CIQ($B12,"IQ_RD_EXP",VV$3,$I$3, $N$3, , $J$3, $K$3)*1000000/_xll.ciqfunctions.udf.CIQ($B12,"IQ_EMPLOYEES",VV$3,$I$3, $N$3, , $J$3, $K$3)),"")</f>
        <v/>
      </c>
      <c r="VW12" s="93" t="str">
        <f>IFERROR(IF(OR($B12="",VW$3=""),"",_xll.ciqfunctions.udf.CIQ($B12,"IQ_RD_EXP",VW$3,$I$3, $N$3, , $J$3, $K$3)*1000000/_xll.ciqfunctions.udf.CIQ($B12,"IQ_EMPLOYEES",VW$3,$I$3, $N$3, , $J$3, $K$3)),"")</f>
        <v/>
      </c>
      <c r="VX12" s="93" t="str">
        <f>IFERROR(IF(OR($B12="",VX$3=""),"",_xll.ciqfunctions.udf.CIQ($B12,"IQ_RD_EXP",VX$3,$I$3, $N$3, , $J$3, $K$3)*1000000/_xll.ciqfunctions.udf.CIQ($B12,"IQ_EMPLOYEES",VX$3,$I$3, $N$3, , $J$3, $K$3)),"")</f>
        <v/>
      </c>
      <c r="VY12" s="93" t="str">
        <f>IFERROR(IF(OR($B12="",VY$3=""),"",_xll.ciqfunctions.udf.CIQ($B12,"IQ_RD_EXP",VY$3,$I$3, $N$3, , $J$3, $K$3)*1000000/_xll.ciqfunctions.udf.CIQ($B12,"IQ_EMPLOYEES",VY$3,$I$3, $N$3, , $J$3, $K$3)),"")</f>
        <v/>
      </c>
      <c r="VZ12" s="93" t="str">
        <f>IFERROR(IF(OR($B12="",VZ$3=""),"",_xll.ciqfunctions.udf.CIQ($B12,"IQ_RD_EXP",VZ$3,$I$3, $N$3, , $J$3, $K$3)*1000000/_xll.ciqfunctions.udf.CIQ($B12,"IQ_EMPLOYEES",VZ$3,$I$3, $N$3, , $J$3, $K$3)),"")</f>
        <v/>
      </c>
      <c r="WA12" s="93" t="str">
        <f>IFERROR(IF(OR($B12="",WA$3=""),"",_xll.ciqfunctions.udf.CIQ($B12,"IQ_RD_EXP",WA$3,$I$3, $N$3, , $J$3, $K$3)*1000000/_xll.ciqfunctions.udf.CIQ($B12,"IQ_EMPLOYEES",WA$3,$I$3, $N$3, , $J$3, $K$3)),"")</f>
        <v/>
      </c>
      <c r="WB12" s="93" t="str">
        <f>IFERROR(IF(OR($B12="",WB$3=""),"",_xll.ciqfunctions.udf.CIQ($B12,"IQ_RD_EXP",WB$3,$I$3, $N$3, , $J$3, $K$3)*1000000/_xll.ciqfunctions.udf.CIQ($B12,"IQ_EMPLOYEES",WB$3,$I$3, $N$3, , $J$3, $K$3)),"")</f>
        <v/>
      </c>
      <c r="WC12" s="93" t="str">
        <f>IFERROR(IF(OR($B12="",WC$3=""),"",_xll.ciqfunctions.udf.CIQ($B12,"IQ_RD_EXP",WC$3,$I$3, $N$3, , $J$3, $K$3)*1000000/_xll.ciqfunctions.udf.CIQ($B12,"IQ_EMPLOYEES",WC$3,$I$3, $N$3, , $J$3, $K$3)),"")</f>
        <v/>
      </c>
      <c r="WD12" s="93" t="str">
        <f>IFERROR(IF(OR($B12="",WD$3=""),"",_xll.ciqfunctions.udf.CIQ($B12,"IQ_RD_EXP",WD$3,$I$3, $N$3, , $J$3, $K$3)*1000000/_xll.ciqfunctions.udf.CIQ($B12,"IQ_EMPLOYEES",WD$3,$I$3, $N$3, , $J$3, $K$3)),"")</f>
        <v/>
      </c>
      <c r="WE12" s="93" t="str">
        <f>IFERROR(IF(OR($B12="",WE$3=""),"",_xll.ciqfunctions.udf.CIQ($B12,"IQ_RD_EXP",WE$3,$I$3, $N$3, , $J$3, $K$3)*1000000/_xll.ciqfunctions.udf.CIQ($B12,"IQ_EMPLOYEES",WE$3,$I$3, $N$3, , $J$3, $K$3)),"")</f>
        <v/>
      </c>
      <c r="WF12" s="93" t="str">
        <f>IFERROR(IF(OR($B12="",WF$3=""),"",_xll.ciqfunctions.udf.CIQ($B12,"IQ_RD_EXP",WF$3,$I$3, $N$3, , $J$3, $K$3)*1000000/_xll.ciqfunctions.udf.CIQ($B12,"IQ_EMPLOYEES",WF$3,$I$3, $N$3, , $J$3, $K$3)),"")</f>
        <v/>
      </c>
      <c r="WG12" s="93" t="str">
        <f>IFERROR(IF(OR($B12="",WG$3=""),"",_xll.ciqfunctions.udf.CIQ($B12,"IQ_RD_EXP",WG$3,$I$3, $N$3, , $J$3, $K$3)*1000000/_xll.ciqfunctions.udf.CIQ($B12,"IQ_EMPLOYEES",WG$3,$I$3, $N$3, , $J$3, $K$3)),"")</f>
        <v/>
      </c>
      <c r="WH12" s="93" t="str">
        <f>IFERROR(IF(OR($B12="",WH$3=""),"",_xll.ciqfunctions.udf.CIQ($B12,"IQ_RD_EXP",WH$3,$I$3, $N$3, , $J$3, $K$3)*1000000/_xll.ciqfunctions.udf.CIQ($B12,"IQ_EMPLOYEES",WH$3,$I$3, $N$3, , $J$3, $K$3)),"")</f>
        <v/>
      </c>
      <c r="WI12" s="93" t="str">
        <f>IFERROR(IF(OR($B12="",WI$3=""),"",_xll.ciqfunctions.udf.CIQ($B12,"IQ_RD_EXP",WI$3,$I$3, $N$3, , $J$3, $K$3)*1000000/_xll.ciqfunctions.udf.CIQ($B12,"IQ_EMPLOYEES",WI$3,$I$3, $N$3, , $J$3, $K$3)),"")</f>
        <v/>
      </c>
      <c r="WJ12" s="93" t="str">
        <f>IFERROR(IF(OR($B12="",WJ$3=""),"",_xll.ciqfunctions.udf.CIQ($B12,"IQ_RD_EXP",WJ$3,$I$3, $N$3, , $J$3, $K$3)*1000000/_xll.ciqfunctions.udf.CIQ($B12,"IQ_EMPLOYEES",WJ$3,$I$3, $N$3, , $J$3, $K$3)),"")</f>
        <v/>
      </c>
      <c r="WK12" s="93" t="str">
        <f>IFERROR(IF(OR($B12="",WK$3=""),"",_xll.ciqfunctions.udf.CIQ($B12,"IQ_RD_EXP",WK$3,$I$3, $N$3, , $J$3, $K$3)*1000000/_xll.ciqfunctions.udf.CIQ($B12,"IQ_EMPLOYEES",WK$3,$I$3, $N$3, , $J$3, $K$3)),"")</f>
        <v/>
      </c>
      <c r="WL12" s="93" t="str">
        <f>IFERROR(IF(OR($B12="",TJ$3=""),"",_xll.ciqfunctions.udf.CIQ($B12,"IQ_RD_EXP",GH$3,,,,"USD")*1000000/_xll.ciqfunctions.udf.CIQ($B12,"IQ_EMPLOYEES",WL$3,,,,"USD")),"")</f>
        <v/>
      </c>
      <c r="WM12" s="93" t="str">
        <f>IFERROR(IF(OR($B12="",TK$3=""),"",_xll.ciqfunctions.udf.CIQ($B12,"IQ_RD_EXP",GI$3,,,,"USD")*1000000/_xll.ciqfunctions.udf.CIQ($B12,"IQ_EMPLOYEES",WM$3,,,,"USD")),"")</f>
        <v/>
      </c>
      <c r="WN12" s="94" t="str">
        <f>IFERROR(IF(OR($B12="",TL$3=""),"",_xll.ciqfunctions.udf.CIQ($B12,"IQ_RD_EXP",GJ$3,,,,"USD")*1000000/_xll.ciqfunctions.udf.CIQ($B12,"IQ_EMPLOYEES",WN$3,,,,"USD")),"")</f>
        <v/>
      </c>
      <c r="WO12" s="620" t="str">
        <f>IFERROR(IF(OR($B12="",WO$4=""),"",_xll.ciqfunctions.udf.CIQ($B12,"IQ_LASTSALEPRICE",WO$4)),"")</f>
        <v/>
      </c>
      <c r="WP12" s="620" t="str">
        <f>IFERROR(IF(OR($B12="",WP$4=""),"",_xll.ciqfunctions.udf.CIQ($B12,"IQ_LASTSALEPRICE",WP$4)),"")</f>
        <v/>
      </c>
      <c r="WQ12" s="620" t="str">
        <f>IFERROR(IF(OR($B12="",WQ$4=""),"",_xll.ciqfunctions.udf.CIQ($B12,"IQ_LASTSALEPRICE",WQ$4)),"")</f>
        <v/>
      </c>
      <c r="WR12" s="620" t="str">
        <f>IFERROR(IF(OR($B12="",WR$4=""),"",_xll.ciqfunctions.udf.CIQ($B12,"IQ_LASTSALEPRICE",WR$4)),"")</f>
        <v/>
      </c>
      <c r="WS12" s="620" t="str">
        <f>IFERROR(IF(OR($B12="",WS$4=""),"",_xll.ciqfunctions.udf.CIQ($B12,"IQ_LASTSALEPRICE",WS$4)),"")</f>
        <v/>
      </c>
      <c r="WT12" s="620" t="str">
        <f>IFERROR(IF(OR($B12="",WT$4=""),"",_xll.ciqfunctions.udf.CIQ($B12,"IQ_LASTSALEPRICE",WT$4)),"")</f>
        <v/>
      </c>
      <c r="WU12" s="620" t="str">
        <f>IFERROR(IF(OR($B12="",WU$4=""),"",_xll.ciqfunctions.udf.CIQ($B12,"IQ_LASTSALEPRICE",WU$4)),"")</f>
        <v/>
      </c>
      <c r="WV12" s="620" t="str">
        <f>IFERROR(IF(OR($B12="",WV$4=""),"",_xll.ciqfunctions.udf.CIQ($B12,"IQ_LASTSALEPRICE",WV$4)),"")</f>
        <v/>
      </c>
      <c r="WW12" s="620" t="str">
        <f>IFERROR(IF(OR($B12="",WW$4=""),"",_xll.ciqfunctions.udf.CIQ($B12,"IQ_LASTSALEPRICE",WW$4)),"")</f>
        <v/>
      </c>
      <c r="WX12" s="620" t="str">
        <f>IFERROR(IF(OR($B12="",WX$4=""),"",_xll.ciqfunctions.udf.CIQ($B12,"IQ_LASTSALEPRICE",WX$4)),"")</f>
        <v/>
      </c>
      <c r="WY12" s="620" t="str">
        <f>IFERROR(IF(OR($B12="",WY$4=""),"",_xll.ciqfunctions.udf.CIQ($B12,"IQ_LASTSALEPRICE",WY$4)),"")</f>
        <v/>
      </c>
      <c r="WZ12" s="620" t="str">
        <f>IFERROR(IF(OR($B12="",WZ$4=""),"",_xll.ciqfunctions.udf.CIQ($B12,"IQ_LASTSALEPRICE",WZ$4)),"")</f>
        <v/>
      </c>
      <c r="XA12" s="620" t="str">
        <f>IFERROR(IF(OR($B12="",XA$4=""),"",_xll.ciqfunctions.udf.CIQ($B12,"IQ_LASTSALEPRICE",XA$4)),"")</f>
        <v/>
      </c>
      <c r="XB12" s="620" t="str">
        <f>IFERROR(IF(OR($B12="",XB$4=""),"",_xll.ciqfunctions.udf.CIQ($B12,"IQ_LASTSALEPRICE",XB$4)),"")</f>
        <v/>
      </c>
      <c r="XC12" s="620" t="str">
        <f>IFERROR(IF(OR($B12="",XC$4=""),"",_xll.ciqfunctions.udf.CIQ($B12,"IQ_LASTSALEPRICE",XC$4)),"")</f>
        <v/>
      </c>
      <c r="XD12" s="620" t="str">
        <f>IFERROR(IF(OR($B12="",XD$4=""),"",_xll.ciqfunctions.udf.CIQ($B12,"IQ_LASTSALEPRICE",XD$4)),"")</f>
        <v/>
      </c>
      <c r="XE12" s="620" t="str">
        <f>IFERROR(IF(OR($B12="",XE$4=""),"",_xll.ciqfunctions.udf.CIQ($B12,"IQ_LASTSALEPRICE",XE$4)),"")</f>
        <v/>
      </c>
      <c r="XF12" s="620" t="str">
        <f>IFERROR(IF(OR($B12="",XF$4=""),"",_xll.ciqfunctions.udf.CIQ($B12,"IQ_LASTSALEPRICE",XF$4)),"")</f>
        <v/>
      </c>
      <c r="XG12" s="620" t="str">
        <f>IFERROR(IF(OR($B12="",XG$4=""),"",_xll.ciqfunctions.udf.CIQ($B12,"IQ_LASTSALEPRICE",XG$4)),"")</f>
        <v/>
      </c>
      <c r="XH12" s="620" t="str">
        <f>IFERROR(IF(OR($B12="",XH$4=""),"",_xll.ciqfunctions.udf.CIQ($B12,"IQ_LASTSALEPRICE",XH$4)),"")</f>
        <v/>
      </c>
      <c r="XI12" s="72" t="str">
        <f>IFERROR(IF(OR($B12="",XI$3=""),"",_xll.ciqfunctions.udf.CIQ($B12,"IQ_TOTAL_REV_1YR_ANN_GROWTH",XI$3,$I$3, $N$3, , $J$3, $K$3)/100),"")</f>
        <v/>
      </c>
      <c r="XJ12" s="72" t="str">
        <f>IFERROR(IF(OR($B12="",XJ$3=""),"",_xll.ciqfunctions.udf.CIQ($B12,"IQ_TOTAL_REV_1YR_ANN_GROWTH",XJ$3,$I$3, $N$3, , $J$3, $K$3)/100),"")</f>
        <v/>
      </c>
      <c r="XK12" s="72" t="str">
        <f>IFERROR(IF(OR($B12="",XK$3=""),"",_xll.ciqfunctions.udf.CIQ($B12,"IQ_TOTAL_REV_1YR_ANN_GROWTH",XK$3,$I$3, $N$3, , $J$3, $K$3)/100),"")</f>
        <v/>
      </c>
      <c r="XL12" s="72" t="str">
        <f>IFERROR(IF(OR($B12="",XL$3=""),"",_xll.ciqfunctions.udf.CIQ($B12,"IQ_TOTAL_REV_1YR_ANN_GROWTH",XL$3,$I$3, $N$3, , $J$3, $K$3)/100),"")</f>
        <v/>
      </c>
      <c r="XM12" s="72" t="str">
        <f>IFERROR(IF(OR($B12="",XM$3=""),"",_xll.ciqfunctions.udf.CIQ($B12,"IQ_TOTAL_REV_1YR_ANN_GROWTH",XM$3,$I$3, $N$3, , $J$3, $K$3)/100),"")</f>
        <v/>
      </c>
      <c r="XN12" s="72" t="str">
        <f>IFERROR(IF(OR($B12="",XN$3=""),"",_xll.ciqfunctions.udf.CIQ($B12,"IQ_TOTAL_REV_1YR_ANN_GROWTH",XN$3,$I$3, $N$3, , $J$3, $K$3)/100),"")</f>
        <v/>
      </c>
      <c r="XO12" s="72" t="str">
        <f>IFERROR(IF(OR($B12="",XO$3=""),"",_xll.ciqfunctions.udf.CIQ($B12,"IQ_TOTAL_REV_1YR_ANN_GROWTH",XO$3,$I$3, $N$3, , $J$3, $K$3)/100),"")</f>
        <v/>
      </c>
      <c r="XP12" s="72" t="str">
        <f>IFERROR(IF(OR($B12="",XP$3=""),"",_xll.ciqfunctions.udf.CIQ($B12,"IQ_TOTAL_REV_1YR_ANN_GROWTH",XP$3,$I$3, $N$3, , $J$3, $K$3)/100),"")</f>
        <v/>
      </c>
      <c r="XQ12" s="72" t="str">
        <f>IFERROR(IF(OR($B12="",XQ$3=""),"",_xll.ciqfunctions.udf.CIQ($B12,"IQ_TOTAL_REV_1YR_ANN_GROWTH",XQ$3,$I$3, $N$3, , $J$3, $K$3)/100),"")</f>
        <v/>
      </c>
      <c r="XR12" s="72" t="str">
        <f>IFERROR(IF(OR($B12="",XR$3=""),"",_xll.ciqfunctions.udf.CIQ($B12,"IQ_TOTAL_REV_1YR_ANN_GROWTH",XR$3,$I$3, $N$3, , $J$3, $K$3)/100),"")</f>
        <v/>
      </c>
      <c r="XS12" s="72" t="str">
        <f>IFERROR(IF(OR($B12="",XS$3=""),"",_xll.ciqfunctions.udf.CIQ($B12,"IQ_TOTAL_REV_1YR_ANN_GROWTH",XS$3,$I$3, $N$3, , $J$3, $K$3)/100),"")</f>
        <v/>
      </c>
      <c r="XT12" s="72" t="str">
        <f>IFERROR(IF(OR($B12="",XT$3=""),"",_xll.ciqfunctions.udf.CIQ($B12,"IQ_TOTAL_REV_1YR_ANN_GROWTH",XT$3,$I$3, $N$3, , $J$3, $K$3)/100),"")</f>
        <v/>
      </c>
      <c r="XU12" s="72" t="str">
        <f>IFERROR(IF(OR($B12="",XU$3=""),"",_xll.ciqfunctions.udf.CIQ($B12,"IQ_TOTAL_REV_1YR_ANN_GROWTH",XU$3,$I$3, $N$3, , $J$3, $K$3)/100),"")</f>
        <v/>
      </c>
      <c r="XV12" s="72" t="str">
        <f>IFERROR(IF(OR($B12="",XV$3=""),"",_xll.ciqfunctions.udf.CIQ($B12,"IQ_TOTAL_REV_1YR_ANN_GROWTH",XV$3,$I$3, $N$3, , $J$3, $K$3)/100),"")</f>
        <v/>
      </c>
      <c r="XW12" s="72" t="str">
        <f>IFERROR(IF(OR($B12="",XW$3=""),"",_xll.ciqfunctions.udf.CIQ($B12,"IQ_TOTAL_REV_1YR_ANN_GROWTH",XW$3,$I$3, $N$3, , $J$3, $K$3)/100),"")</f>
        <v/>
      </c>
      <c r="XX12" s="72" t="str">
        <f>IFERROR(IF(OR($B12="",XX$3=""),"",_xll.ciqfunctions.udf.CIQ($B12,"IQ_TOTAL_REV_1YR_ANN_GROWTH",XX$3,$I$3, $N$3, , $J$3, $K$3)/100),"")</f>
        <v/>
      </c>
      <c r="XY12" s="72" t="str">
        <f>IFERROR(IF(OR($B12="",XY$3=""),"",_xll.ciqfunctions.udf.CIQ($B12,"IQ_TOTAL_REV_1YR_ANN_GROWTH",XY$3,$I$3, $N$3, , $J$3, $K$3)/100),"")</f>
        <v/>
      </c>
      <c r="XZ12" s="72" t="str">
        <f>IFERROR(IF(OR($B12="",XZ$3=""),"",_xll.ciqfunctions.udf.CIQ($B12,"IQ_TOTAL_REV_1YR_ANN_GROWTH",XZ$3,$I$3, $N$3, , $J$3, $K$3)/100),"")</f>
        <v/>
      </c>
      <c r="YA12" s="72" t="str">
        <f>IFERROR(IF(OR($B12="",YA$3=""),"",_xll.ciqfunctions.udf.CIQ($B12,"IQ_TOTAL_REV_1YR_ANN_GROWTH",YA$3,$I$3, $N$3, , $J$3, $K$3)/100),"")</f>
        <v/>
      </c>
      <c r="YB12" s="72" t="str">
        <f>IFERROR(IF(OR($B12="",YB$3=""),"",_xll.ciqfunctions.udf.CIQ($B12,"IQ_TOTAL_REV_1YR_ANN_GROWTH",YB$3,$I$3, $N$3, , $J$3, $K$3)/100),"")</f>
        <v/>
      </c>
      <c r="YC12" s="627" t="str">
        <f>IFERROR(IF(OR($B12="",YC$4=""),"",_xll.ciqfunctions.udf.CIQ($B12,"IQ_TEV",YC$4)),"")</f>
        <v/>
      </c>
      <c r="YD12" s="627" t="str">
        <f>IFERROR(IF(OR($B12="",YD$4=""),"",_xll.ciqfunctions.udf.CIQ($B12,"IQ_TEV",YD$4)),"")</f>
        <v/>
      </c>
      <c r="YE12" s="627" t="str">
        <f>IFERROR(IF(OR($B12="",YE$4=""),"",_xll.ciqfunctions.udf.CIQ($B12,"IQ_TEV",YE$4)),"")</f>
        <v/>
      </c>
      <c r="YF12" s="627" t="str">
        <f>IFERROR(IF(OR($B12="",YF$4=""),"",_xll.ciqfunctions.udf.CIQ($B12,"IQ_TEV",YF$4)),"")</f>
        <v/>
      </c>
      <c r="YG12" s="627" t="str">
        <f>IFERROR(IF(OR($B12="",YG$4=""),"",_xll.ciqfunctions.udf.CIQ($B12,"IQ_TEV",YG$4)),"")</f>
        <v/>
      </c>
      <c r="YH12" s="627" t="str">
        <f>IFERROR(IF(OR($B12="",YH$4=""),"",_xll.ciqfunctions.udf.CIQ($B12,"IQ_TEV",YH$4)),"")</f>
        <v/>
      </c>
      <c r="YI12" s="627" t="str">
        <f>IFERROR(IF(OR($B12="",YI$4=""),"",_xll.ciqfunctions.udf.CIQ($B12,"IQ_TEV",YI$4)),"")</f>
        <v/>
      </c>
      <c r="YJ12" s="627" t="str">
        <f>IFERROR(IF(OR($B12="",YJ$4=""),"",_xll.ciqfunctions.udf.CIQ($B12,"IQ_TEV",YJ$4)),"")</f>
        <v/>
      </c>
      <c r="YK12" s="627" t="str">
        <f>IFERROR(IF(OR($B12="",YK$4=""),"",_xll.ciqfunctions.udf.CIQ($B12,"IQ_TEV",YK$4)),"")</f>
        <v/>
      </c>
      <c r="YL12" s="627" t="str">
        <f>IFERROR(IF(OR($B12="",YL$4=""),"",_xll.ciqfunctions.udf.CIQ($B12,"IQ_TEV",YL$4)),"")</f>
        <v/>
      </c>
      <c r="YM12" s="627" t="str">
        <f>IFERROR(IF(OR($B12="",YM$4=""),"",_xll.ciqfunctions.udf.CIQ($B12,"IQ_TEV",YM$4)),"")</f>
        <v/>
      </c>
      <c r="YN12" s="627" t="str">
        <f>IFERROR(IF(OR($B12="",YN$4=""),"",_xll.ciqfunctions.udf.CIQ($B12,"IQ_TEV",YN$4)),"")</f>
        <v/>
      </c>
      <c r="YO12" s="627" t="str">
        <f>IFERROR(IF(OR($B12="",YO$4=""),"",_xll.ciqfunctions.udf.CIQ($B12,"IQ_TEV",YO$4)),"")</f>
        <v/>
      </c>
      <c r="YP12" s="627" t="str">
        <f>IFERROR(IF(OR($B12="",YP$4=""),"",_xll.ciqfunctions.udf.CIQ($B12,"IQ_TEV",YP$4)),"")</f>
        <v/>
      </c>
      <c r="YQ12" s="627" t="str">
        <f>IFERROR(IF(OR($B12="",YQ$4=""),"",_xll.ciqfunctions.udf.CIQ($B12,"IQ_TEV",YQ$4)),"")</f>
        <v/>
      </c>
      <c r="YR12" s="627" t="str">
        <f>IFERROR(IF(OR($B12="",YR$4=""),"",_xll.ciqfunctions.udf.CIQ($B12,"IQ_TEV",YR$4)),"")</f>
        <v/>
      </c>
      <c r="YS12" s="627" t="str">
        <f>IFERROR(IF(OR($B12="",YS$4=""),"",_xll.ciqfunctions.udf.CIQ($B12,"IQ_TEV",YS$4)),"")</f>
        <v/>
      </c>
      <c r="YT12" s="627" t="str">
        <f>IFERROR(IF(OR($B12="",YT$4=""),"",_xll.ciqfunctions.udf.CIQ($B12,"IQ_TEV",YT$4)),"")</f>
        <v/>
      </c>
      <c r="YU12" s="627" t="str">
        <f>IFERROR(IF(OR($B12="",YU$4=""),"",_xll.ciqfunctions.udf.CIQ($B12,"IQ_TEV",YU$4)),"")</f>
        <v/>
      </c>
      <c r="YV12" s="627" t="str">
        <f>IFERROR(IF(OR($B12="",YV$4=""),"",_xll.ciqfunctions.udf.CIQ($B12,"IQ_TEV",YV$4)),"")</f>
        <v/>
      </c>
      <c r="YW12" s="72" t="str">
        <f>IFERROR(IF(OR($B12="",YW$3=""),"",(_xll.ciqfunctions.udf.CIQ($B12,"IQ_LASTSALEPRICE",YW$4)/_xll.ciqfunctions.udf.CIQ($B12,"IQ_LASTSALEPRICE",YW$2)-1)+(_xll.ciqfunctions.udf.CIQ($B12, "IQ_DPS_1YR_ANN_GROWTH", "IQ_LTM", YW$4)/100)),"")</f>
        <v/>
      </c>
      <c r="YX12" s="72" t="str">
        <f>IFERROR(IF(OR($B12="",YX$3=""),"",(_xll.ciqfunctions.udf.CIQ($B12,"IQ_LASTSALEPRICE",YX$4)/_xll.ciqfunctions.udf.CIQ($B12,"IQ_LASTSALEPRICE",YX$2)-1)+(_xll.ciqfunctions.udf.CIQ($B12, "IQ_DPS_1YR_ANN_GROWTH", "IQ_LTM", YX$4)/100)),"")</f>
        <v/>
      </c>
      <c r="YY12" s="72" t="str">
        <f>IFERROR(IF(OR($B12="",YY$3=""),"",(_xll.ciqfunctions.udf.CIQ($B12,"IQ_LASTSALEPRICE",YY$4)/_xll.ciqfunctions.udf.CIQ($B12,"IQ_LASTSALEPRICE",YY$2)-1)+(_xll.ciqfunctions.udf.CIQ($B12, "IQ_DPS_1YR_ANN_GROWTH", "IQ_LTM", YY$4)/100)),"")</f>
        <v/>
      </c>
      <c r="YZ12" s="72" t="str">
        <f>IFERROR(IF(OR($B12="",YZ$3=""),"",(_xll.ciqfunctions.udf.CIQ($B12,"IQ_LASTSALEPRICE",YZ$4)/_xll.ciqfunctions.udf.CIQ($B12,"IQ_LASTSALEPRICE",YZ$2)-1)+(_xll.ciqfunctions.udf.CIQ($B12, "IQ_DPS_1YR_ANN_GROWTH", "IQ_LTM", YZ$4)/100)),"")</f>
        <v/>
      </c>
      <c r="ZA12" s="72" t="str">
        <f>IFERROR(IF(OR($B12="",ZA$3=""),"",(_xll.ciqfunctions.udf.CIQ($B12,"IQ_LASTSALEPRICE",ZA$4)/_xll.ciqfunctions.udf.CIQ($B12,"IQ_LASTSALEPRICE",ZA$2)-1)+(_xll.ciqfunctions.udf.CIQ($B12, "IQ_DPS_1YR_ANN_GROWTH", "IQ_LTM", ZA$4)/100)),"")</f>
        <v/>
      </c>
      <c r="ZB12" s="72" t="str">
        <f>IFERROR(IF(OR($B12="",ZB$3=""),"",(_xll.ciqfunctions.udf.CIQ($B12,"IQ_LASTSALEPRICE",ZB$4)/_xll.ciqfunctions.udf.CIQ($B12,"IQ_LASTSALEPRICE",ZB$2)-1)+(_xll.ciqfunctions.udf.CIQ($B12, "IQ_DPS_1YR_ANN_GROWTH", "IQ_LTM", ZB$4)/100)),"")</f>
        <v/>
      </c>
      <c r="ZC12" s="72" t="str">
        <f>IFERROR(IF(OR($B12="",ZC$3=""),"",(_xll.ciqfunctions.udf.CIQ($B12,"IQ_LASTSALEPRICE",ZC$4)/_xll.ciqfunctions.udf.CIQ($B12,"IQ_LASTSALEPRICE",ZC$2)-1)+(_xll.ciqfunctions.udf.CIQ($B12, "IQ_DPS_1YR_ANN_GROWTH", "IQ_LTM", ZC$4)/100)),"")</f>
        <v/>
      </c>
      <c r="ZD12" s="72" t="str">
        <f>IFERROR(IF(OR($B12="",ZD$3=""),"",(_xll.ciqfunctions.udf.CIQ($B12,"IQ_LASTSALEPRICE",ZD$4)/_xll.ciqfunctions.udf.CIQ($B12,"IQ_LASTSALEPRICE",ZD$2)-1)+(_xll.ciqfunctions.udf.CIQ($B12, "IQ_DPS_1YR_ANN_GROWTH", "IQ_LTM", ZD$4)/100)),"")</f>
        <v/>
      </c>
      <c r="ZE12" s="72" t="str">
        <f>IFERROR(IF(OR($B12="",ZE$3=""),"",(_xll.ciqfunctions.udf.CIQ($B12,"IQ_LASTSALEPRICE",ZE$4)/_xll.ciqfunctions.udf.CIQ($B12,"IQ_LASTSALEPRICE",ZE$2)-1)+(_xll.ciqfunctions.udf.CIQ($B12, "IQ_DPS_1YR_ANN_GROWTH", "IQ_LTM", ZE$4)/100)),"")</f>
        <v/>
      </c>
      <c r="ZF12" s="72" t="str">
        <f>IFERROR(IF(OR($B12="",ZF$3=""),"",(_xll.ciqfunctions.udf.CIQ($B12,"IQ_LASTSALEPRICE",ZF$4)/_xll.ciqfunctions.udf.CIQ($B12,"IQ_LASTSALEPRICE",ZF$2)-1)+(_xll.ciqfunctions.udf.CIQ($B12, "IQ_DPS_1YR_ANN_GROWTH", "IQ_LTM", ZF$4)/100)),"")</f>
        <v/>
      </c>
      <c r="ZG12" s="72" t="str">
        <f>IFERROR(IF(OR($B12="",ZG$3=""),"",(_xll.ciqfunctions.udf.CIQ($B12,"IQ_LASTSALEPRICE",ZG$4)/_xll.ciqfunctions.udf.CIQ($B12,"IQ_LASTSALEPRICE",ZG$2)-1)+(_xll.ciqfunctions.udf.CIQ($B12, "IQ_DPS_1YR_ANN_GROWTH", "IQ_LTM", ZG$4)/100)),"")</f>
        <v/>
      </c>
      <c r="ZH12" s="72" t="str">
        <f>IFERROR(IF(OR($B12="",ZH$3=""),"",(_xll.ciqfunctions.udf.CIQ($B12,"IQ_LASTSALEPRICE",ZH$4)/_xll.ciqfunctions.udf.CIQ($B12,"IQ_LASTSALEPRICE",ZH$2)-1)+(_xll.ciqfunctions.udf.CIQ($B12, "IQ_DPS_1YR_ANN_GROWTH", "IQ_LTM", ZH$4)/100)),"")</f>
        <v/>
      </c>
      <c r="ZI12" s="72" t="str">
        <f>IFERROR(IF(OR($B12="",ZI$3=""),"",(_xll.ciqfunctions.udf.CIQ($B12,"IQ_LASTSALEPRICE",ZI$4)/_xll.ciqfunctions.udf.CIQ($B12,"IQ_LASTSALEPRICE",ZI$2)-1)+(_xll.ciqfunctions.udf.CIQ($B12, "IQ_DPS_1YR_ANN_GROWTH", "IQ_LTM", ZI$4)/100)),"")</f>
        <v/>
      </c>
      <c r="ZJ12" s="72" t="str">
        <f>IFERROR(IF(OR($B12="",ZJ$3=""),"",(_xll.ciqfunctions.udf.CIQ($B12,"IQ_LASTSALEPRICE",ZJ$4)/_xll.ciqfunctions.udf.CIQ($B12,"IQ_LASTSALEPRICE",ZJ$2)-1)+(_xll.ciqfunctions.udf.CIQ($B12, "IQ_DPS_1YR_ANN_GROWTH", "IQ_LTM", ZJ$4)/100)),"")</f>
        <v/>
      </c>
      <c r="ZK12" s="72" t="str">
        <f>IFERROR(IF(OR($B12="",ZK$3=""),"",(_xll.ciqfunctions.udf.CIQ($B12,"IQ_LASTSALEPRICE",ZK$4)/_xll.ciqfunctions.udf.CIQ($B12,"IQ_LASTSALEPRICE",ZK$2)-1)+(_xll.ciqfunctions.udf.CIQ($B12, "IQ_DPS_1YR_ANN_GROWTH", "IQ_LTM", ZK$4)/100)),"")</f>
        <v/>
      </c>
      <c r="ZL12" s="72" t="str">
        <f>IFERROR(IF(OR($B12="",ZL$3=""),"",(_xll.ciqfunctions.udf.CIQ($B12,"IQ_LASTSALEPRICE",ZL$4)/_xll.ciqfunctions.udf.CIQ($B12,"IQ_LASTSALEPRICE",ZL$2)-1)+(_xll.ciqfunctions.udf.CIQ($B12, "IQ_DPS_1YR_ANN_GROWTH", "IQ_LTM", ZL$4)/100)),"")</f>
        <v/>
      </c>
      <c r="ZM12" s="72" t="str">
        <f>IFERROR(IF(OR($B12="",ZM$3=""),"",(_xll.ciqfunctions.udf.CIQ($B12,"IQ_LASTSALEPRICE",ZM$4)/_xll.ciqfunctions.udf.CIQ($B12,"IQ_LASTSALEPRICE",ZM$2)-1)+(_xll.ciqfunctions.udf.CIQ($B12, "IQ_DPS_1YR_ANN_GROWTH", "IQ_LTM", ZM$4)/100)),"")</f>
        <v/>
      </c>
      <c r="ZN12" s="72" t="str">
        <f>IFERROR(IF(OR($B12="",ZN$3=""),"",(_xll.ciqfunctions.udf.CIQ($B12,"IQ_LASTSALEPRICE",ZN$4)/_xll.ciqfunctions.udf.CIQ($B12,"IQ_LASTSALEPRICE",ZN$2)-1)+(_xll.ciqfunctions.udf.CIQ($B12, "IQ_DPS_1YR_ANN_GROWTH", "IQ_LTM", ZN$4)/100)),"")</f>
        <v/>
      </c>
      <c r="ZO12" s="72" t="str">
        <f>IFERROR(IF(OR($B12="",ZO$3=""),"",(_xll.ciqfunctions.udf.CIQ($B12,"IQ_LASTSALEPRICE",ZO$4)/_xll.ciqfunctions.udf.CIQ($B12,"IQ_LASTSALEPRICE",ZO$2)-1)+(_xll.ciqfunctions.udf.CIQ($B12, "IQ_DPS_1YR_ANN_GROWTH", "IQ_LTM", ZO$4)/100)),"")</f>
        <v/>
      </c>
      <c r="ZP12" s="72" t="str">
        <f>IFERROR(IF(OR($B12="",ZP$3=""),"",(_xll.ciqfunctions.udf.CIQ($B12,"IQ_LASTSALEPRICE",ZP$4)/_xll.ciqfunctions.udf.CIQ($B12,"IQ_LASTSALEPRICE",ZP$2)-1)+(_xll.ciqfunctions.udf.CIQ($B12, "IQ_DPS_1YR_ANN_GROWTH", "IQ_LTM", ZP$4)/100)),"")</f>
        <v/>
      </c>
      <c r="ZQ12" s="72" t="str">
        <f>IFERROR(IF(OR($B12="",ZQ$3=""),"",_xll.ciqfunctions.udf.CIQ($B12,"IQ_NI",$O$3,ZQ$3, $N$3, , $J$3, $K$3)*2/(_xll.ciqfunctions.udf.CIQ($B12,"IQ_TOTAL_CAP",ZQ$3,$I$3, $N$3, , $J$3, $K$3)+_xll.ciqfunctions.udf.CIQ($B12,"IQ_TOTAL_CAP","IQ_" &amp; LEFT(ZQ$3,2) &amp; "-1", ZQ$3, $N$3, , $J$3, $K$3))),"")</f>
        <v/>
      </c>
      <c r="ZR12" s="72" t="str">
        <f>IFERROR(IF(OR($B12="",ZR$3=""),"",_xll.ciqfunctions.udf.CIQ($B12,"IQ_NI",$O$3,ZR$3, $N$3, , $J$3, $K$3)*2/(_xll.ciqfunctions.udf.CIQ($B12,"IQ_TOTAL_CAP",ZR$3,$I$3, $N$3, , $J$3, $K$3)+_xll.ciqfunctions.udf.CIQ($B12,"IQ_TOTAL_CAP","IQ_" &amp; LEFT(ZR$3,2) &amp; "-1", ZR$3, $N$3, , $J$3, $K$3))),"")</f>
        <v/>
      </c>
      <c r="ZS12" s="72" t="str">
        <f>IFERROR(IF(OR($B12="",ZS$3=""),"",_xll.ciqfunctions.udf.CIQ($B12,"IQ_NI",$O$3,ZS$3, $N$3, , $J$3, $K$3)*2/(_xll.ciqfunctions.udf.CIQ($B12,"IQ_TOTAL_CAP",ZS$3,$I$3, $N$3, , $J$3, $K$3)+_xll.ciqfunctions.udf.CIQ($B12,"IQ_TOTAL_CAP","IQ_" &amp; LEFT(ZS$3,2) &amp; "-1", ZS$3, $N$3, , $J$3, $K$3))),"")</f>
        <v/>
      </c>
      <c r="ZT12" s="72" t="str">
        <f>IFERROR(IF(OR($B12="",ZT$3=""),"",_xll.ciqfunctions.udf.CIQ($B12,"IQ_NI",$O$3,ZT$3, $N$3, , $J$3, $K$3)*2/(_xll.ciqfunctions.udf.CIQ($B12,"IQ_TOTAL_CAP",ZT$3,$I$3, $N$3, , $J$3, $K$3)+_xll.ciqfunctions.udf.CIQ($B12,"IQ_TOTAL_CAP","IQ_" &amp; LEFT(ZT$3,2) &amp; "-1", ZT$3, $N$3, , $J$3, $K$3))),"")</f>
        <v/>
      </c>
      <c r="ZU12" s="72" t="str">
        <f>IFERROR(IF(OR($B12="",ZU$3=""),"",_xll.ciqfunctions.udf.CIQ($B12,"IQ_NI",$O$3,ZU$3, $N$3, , $J$3, $K$3)*2/(_xll.ciqfunctions.udf.CIQ($B12,"IQ_TOTAL_CAP",ZU$3,$I$3, $N$3, , $J$3, $K$3)+_xll.ciqfunctions.udf.CIQ($B12,"IQ_TOTAL_CAP","IQ_" &amp; LEFT(ZU$3,2) &amp; "-1", ZU$3, $N$3, , $J$3, $K$3))),"")</f>
        <v/>
      </c>
      <c r="ZV12" s="72" t="str">
        <f>IFERROR(IF(OR($B12="",ZV$3=""),"",_xll.ciqfunctions.udf.CIQ($B12,"IQ_NI",$O$3,ZV$3, $N$3, , $J$3, $K$3)*2/(_xll.ciqfunctions.udf.CIQ($B12,"IQ_TOTAL_CAP",ZV$3,$I$3, $N$3, , $J$3, $K$3)+_xll.ciqfunctions.udf.CIQ($B12,"IQ_TOTAL_CAP","IQ_" &amp; LEFT(ZV$3,2) &amp; "-1", ZV$3, $N$3, , $J$3, $K$3))),"")</f>
        <v/>
      </c>
      <c r="ZW12" s="72" t="str">
        <f>IFERROR(IF(OR($B12="",ZW$3=""),"",_xll.ciqfunctions.udf.CIQ($B12,"IQ_NI",$O$3,ZW$3, $N$3, , $J$3, $K$3)*2/(_xll.ciqfunctions.udf.CIQ($B12,"IQ_TOTAL_CAP",ZW$3,$I$3, $N$3, , $J$3, $K$3)+_xll.ciqfunctions.udf.CIQ($B12,"IQ_TOTAL_CAP","IQ_" &amp; LEFT(ZW$3,2) &amp; "-1", ZW$3, $N$3, , $J$3, $K$3))),"")</f>
        <v/>
      </c>
      <c r="ZX12" s="72" t="str">
        <f>IFERROR(IF(OR($B12="",ZX$3=""),"",_xll.ciqfunctions.udf.CIQ($B12,"IQ_NI",$O$3,ZX$3, $N$3, , $J$3, $K$3)*2/(_xll.ciqfunctions.udf.CIQ($B12,"IQ_TOTAL_CAP",ZX$3,$I$3, $N$3, , $J$3, $K$3)+_xll.ciqfunctions.udf.CIQ($B12,"IQ_TOTAL_CAP","IQ_" &amp; LEFT(ZX$3,2) &amp; "-1", ZX$3, $N$3, , $J$3, $K$3))),"")</f>
        <v/>
      </c>
      <c r="ZY12" s="72" t="str">
        <f>IFERROR(IF(OR($B12="",ZY$3=""),"",_xll.ciqfunctions.udf.CIQ($B12,"IQ_NI",$O$3,ZY$3, $N$3, , $J$3, $K$3)*2/(_xll.ciqfunctions.udf.CIQ($B12,"IQ_TOTAL_CAP",ZY$3,$I$3, $N$3, , $J$3, $K$3)+_xll.ciqfunctions.udf.CIQ($B12,"IQ_TOTAL_CAP","IQ_" &amp; LEFT(ZY$3,2) &amp; "-1", ZY$3, $N$3, , $J$3, $K$3))),"")</f>
        <v/>
      </c>
      <c r="ZZ12" s="72" t="str">
        <f>IFERROR(IF(OR($B12="",ZZ$3=""),"",_xll.ciqfunctions.udf.CIQ($B12,"IQ_NI",$O$3,ZZ$3, $N$3, , $J$3, $K$3)*2/(_xll.ciqfunctions.udf.CIQ($B12,"IQ_TOTAL_CAP",ZZ$3,$I$3, $N$3, , $J$3, $K$3)+_xll.ciqfunctions.udf.CIQ($B12,"IQ_TOTAL_CAP","IQ_" &amp; LEFT(ZZ$3,2) &amp; "-1", ZZ$3, $N$3, , $J$3, $K$3))),"")</f>
        <v/>
      </c>
      <c r="AAA12" s="72" t="str">
        <f>IFERROR(IF(OR($B12="",AAA$3=""),"",_xll.ciqfunctions.udf.CIQ($B12,"IQ_NI",$O$3,AAA$3, $N$3, , $J$3, $K$3)*2/(_xll.ciqfunctions.udf.CIQ($B12,"IQ_TOTAL_CAP",AAA$3,$I$3, $N$3, , $J$3, $K$3)+_xll.ciqfunctions.udf.CIQ($B12,"IQ_TOTAL_CAP","IQ_" &amp; LEFT(AAA$3,2) &amp; "-1", AAA$3, $N$3, , $J$3, $K$3))),"")</f>
        <v/>
      </c>
      <c r="AAB12" s="72" t="str">
        <f>IFERROR(IF(OR($B12="",AAB$3=""),"",_xll.ciqfunctions.udf.CIQ($B12,"IQ_NI",$O$3,AAB$3, $N$3, , $J$3, $K$3)*2/(_xll.ciqfunctions.udf.CIQ($B12,"IQ_TOTAL_CAP",AAB$3,$I$3, $N$3, , $J$3, $K$3)+_xll.ciqfunctions.udf.CIQ($B12,"IQ_TOTAL_CAP","IQ_" &amp; LEFT(AAB$3,2) &amp; "-1", AAB$3, $N$3, , $J$3, $K$3))),"")</f>
        <v/>
      </c>
      <c r="AAC12" s="72" t="str">
        <f>IFERROR(IF(OR($B12="",AAC$3=""),"",_xll.ciqfunctions.udf.CIQ($B12,"IQ_NI",$O$3,AAC$3, $N$3, , $J$3, $K$3)*2/(_xll.ciqfunctions.udf.CIQ($B12,"IQ_TOTAL_CAP",AAC$3,$I$3, $N$3, , $J$3, $K$3)+_xll.ciqfunctions.udf.CIQ($B12,"IQ_TOTAL_CAP","IQ_" &amp; LEFT(AAC$3,2) &amp; "-1", AAC$3, $N$3, , $J$3, $K$3))),"")</f>
        <v/>
      </c>
      <c r="AAD12" s="72" t="str">
        <f>IFERROR(IF(OR($B12="",AAD$3=""),"",_xll.ciqfunctions.udf.CIQ($B12,"IQ_NI",$O$3,AAD$3, $N$3, , $J$3, $K$3)*2/(_xll.ciqfunctions.udf.CIQ($B12,"IQ_TOTAL_CAP",AAD$3,$I$3, $N$3, , $J$3, $K$3)+_xll.ciqfunctions.udf.CIQ($B12,"IQ_TOTAL_CAP","IQ_" &amp; LEFT(AAD$3,2) &amp; "-1", AAD$3, $N$3, , $J$3, $K$3))),"")</f>
        <v/>
      </c>
      <c r="AAE12" s="72" t="str">
        <f>IFERROR(IF(OR($B12="",AAE$3=""),"",_xll.ciqfunctions.udf.CIQ($B12,"IQ_NI",$O$3,AAE$3, $N$3, , $J$3, $K$3)*2/(_xll.ciqfunctions.udf.CIQ($B12,"IQ_TOTAL_CAP",AAE$3,$I$3, $N$3, , $J$3, $K$3)+_xll.ciqfunctions.udf.CIQ($B12,"IQ_TOTAL_CAP","IQ_" &amp; LEFT(AAE$3,2) &amp; "-1", AAE$3, $N$3, , $J$3, $K$3))),"")</f>
        <v/>
      </c>
      <c r="AAF12" s="72" t="str">
        <f>IFERROR(IF(OR($B12="",AAF$3=""),"",_xll.ciqfunctions.udf.CIQ($B12,"IQ_NI",$O$3,AAF$3, $N$3, , $J$3, $K$3)*2/(_xll.ciqfunctions.udf.CIQ($B12,"IQ_TOTAL_CAP",AAF$3,$I$3, $N$3, , $J$3, $K$3)+_xll.ciqfunctions.udf.CIQ($B12,"IQ_TOTAL_CAP","IQ_" &amp; LEFT(AAF$3,2) &amp; "-1", AAF$3, $N$3, , $J$3, $K$3))),"")</f>
        <v/>
      </c>
      <c r="AAG12" s="72" t="str">
        <f>IFERROR(IF(OR($B12="",AAG$3=""),"",_xll.ciqfunctions.udf.CIQ($B12,"IQ_NI",$O$3,AAG$3, $N$3, , $J$3, $K$3)*2/(_xll.ciqfunctions.udf.CIQ($B12,"IQ_TOTAL_CAP",AAG$3,$I$3, $N$3, , $J$3, $K$3)+_xll.ciqfunctions.udf.CIQ($B12,"IQ_TOTAL_CAP","IQ_" &amp; LEFT(AAG$3,2) &amp; "-1", AAG$3, $N$3, , $J$3, $K$3))),"")</f>
        <v/>
      </c>
      <c r="AAH12" s="72" t="str">
        <f>IFERROR(IF(OR($B12="",AAH$3=""),"",_xll.ciqfunctions.udf.CIQ($B12,"IQ_NI",$O$3,AAH$3, $N$3, , $J$3, $K$3)*2/(_xll.ciqfunctions.udf.CIQ($B12,"IQ_TOTAL_CAP",AAH$3,$I$3, $N$3, , $J$3, $K$3)+_xll.ciqfunctions.udf.CIQ($B12,"IQ_TOTAL_CAP","IQ_" &amp; LEFT(AAH$3,2) &amp; "-1", AAH$3, $N$3, , $J$3, $K$3))),"")</f>
        <v/>
      </c>
      <c r="AAI12" s="72" t="str">
        <f>IFERROR(IF(OR($B12="",AAI$3=""),"",_xll.ciqfunctions.udf.CIQ($B12,"IQ_NI",$O$3,AAI$3, $N$3, , $J$3, $K$3)*2/(_xll.ciqfunctions.udf.CIQ($B12,"IQ_TOTAL_CAP",AAI$3,$I$3, $N$3, , $J$3, $K$3)+_xll.ciqfunctions.udf.CIQ($B12,"IQ_TOTAL_CAP","IQ_" &amp; LEFT(AAI$3,2) &amp; "-1", AAI$3, $N$3, , $J$3, $K$3))),"")</f>
        <v/>
      </c>
      <c r="AAJ12" s="72" t="str">
        <f>IFERROR(IF(OR($B12="",AAJ$3=""),"",_xll.ciqfunctions.udf.CIQ($B12,"IQ_NI",$O$3,AAJ$3, $N$3, , $J$3, $K$3)*2/(_xll.ciqfunctions.udf.CIQ($B12,"IQ_TOTAL_CAP",AAJ$3,$I$3, $N$3, , $J$3, $K$3)+_xll.ciqfunctions.udf.CIQ($B12,"IQ_TOTAL_CAP","IQ_" &amp; LEFT(AAJ$3,2) &amp; "-1", AAJ$3, $N$3, , $J$3, $K$3))),"")</f>
        <v/>
      </c>
      <c r="AAK12" s="628" t="str">
        <f>IFERROR(IF(OR($B12="",AAK$4=""),"",_xll.ciqfunctions.udf.CIQ($B12,"IQ_TEV",AAK$4)/_xll.ciqfunctions.udf.CIQ($B12,"IQ_TOTAL_CAP",ZQ$3,$I$3, $N$3, , $J$3, $K$3)),"")</f>
        <v/>
      </c>
      <c r="AAL12" s="628" t="str">
        <f>IFERROR(IF(OR($B12="",AAL$4=""),"",_xll.ciqfunctions.udf.CIQ($B12,"IQ_TEV",AAL$4)/_xll.ciqfunctions.udf.CIQ($B12,"IQ_TOTAL_CAP",ZR$3,$I$3, $N$3, , $J$3, $K$3)),"")</f>
        <v/>
      </c>
      <c r="AAM12" s="628" t="str">
        <f>IFERROR(IF(OR($B12="",AAM$4=""),"",_xll.ciqfunctions.udf.CIQ($B12,"IQ_TEV",AAM$4)/_xll.ciqfunctions.udf.CIQ($B12,"IQ_TOTAL_CAP",ZS$3,$I$3, $N$3, , $J$3, $K$3)),"")</f>
        <v/>
      </c>
      <c r="AAN12" s="628" t="str">
        <f>IFERROR(IF(OR($B12="",AAN$4=""),"",_xll.ciqfunctions.udf.CIQ($B12,"IQ_TEV",AAN$4)/_xll.ciqfunctions.udf.CIQ($B12,"IQ_TOTAL_CAP",ZT$3,$I$3, $N$3, , $J$3, $K$3)),"")</f>
        <v/>
      </c>
      <c r="AAO12" s="628" t="str">
        <f>IFERROR(IF(OR($B12="",AAO$4=""),"",_xll.ciqfunctions.udf.CIQ($B12,"IQ_TEV",AAO$4)/_xll.ciqfunctions.udf.CIQ($B12,"IQ_TOTAL_CAP",ZU$3,$I$3, $N$3, , $J$3, $K$3)),"")</f>
        <v/>
      </c>
      <c r="AAP12" s="628" t="str">
        <f>IFERROR(IF(OR($B12="",AAP$4=""),"",_xll.ciqfunctions.udf.CIQ($B12,"IQ_TEV",AAP$4)/_xll.ciqfunctions.udf.CIQ($B12,"IQ_TOTAL_CAP",ZV$3,$I$3, $N$3, , $J$3, $K$3)),"")</f>
        <v/>
      </c>
      <c r="AAQ12" s="628" t="str">
        <f>IFERROR(IF(OR($B12="",AAQ$4=""),"",_xll.ciqfunctions.udf.CIQ($B12,"IQ_TEV",AAQ$4)/_xll.ciqfunctions.udf.CIQ($B12,"IQ_TOTAL_CAP",ZW$3,$I$3, $N$3, , $J$3, $K$3)),"")</f>
        <v/>
      </c>
      <c r="AAR12" s="628" t="str">
        <f>IFERROR(IF(OR($B12="",AAR$4=""),"",_xll.ciqfunctions.udf.CIQ($B12,"IQ_TEV",AAR$4)/_xll.ciqfunctions.udf.CIQ($B12,"IQ_TOTAL_CAP",ZX$3,$I$3, $N$3, , $J$3, $K$3)),"")</f>
        <v/>
      </c>
      <c r="AAS12" s="628" t="str">
        <f>IFERROR(IF(OR($B12="",AAS$4=""),"",_xll.ciqfunctions.udf.CIQ($B12,"IQ_TEV",AAS$4)/_xll.ciqfunctions.udf.CIQ($B12,"IQ_TOTAL_CAP",ZY$3,$I$3, $N$3, , $J$3, $K$3)),"")</f>
        <v/>
      </c>
      <c r="AAT12" s="628" t="str">
        <f>IFERROR(IF(OR($B12="",AAT$4=""),"",_xll.ciqfunctions.udf.CIQ($B12,"IQ_TEV",AAT$4)/_xll.ciqfunctions.udf.CIQ($B12,"IQ_TOTAL_CAP",ZZ$3,$I$3, $N$3, , $J$3, $K$3)),"")</f>
        <v/>
      </c>
      <c r="AAU12" s="628" t="str">
        <f>IFERROR(IF(OR($B12="",AAU$4=""),"",_xll.ciqfunctions.udf.CIQ($B12,"IQ_TEV",AAU$4)/_xll.ciqfunctions.udf.CIQ($B12,"IQ_TOTAL_CAP",AAA$3,$I$3, $N$3, , $J$3, $K$3)),"")</f>
        <v/>
      </c>
      <c r="AAV12" s="628" t="str">
        <f>IFERROR(IF(OR($B12="",AAV$4=""),"",_xll.ciqfunctions.udf.CIQ($B12,"IQ_TEV",AAV$4)/_xll.ciqfunctions.udf.CIQ($B12,"IQ_TOTAL_CAP",AAB$3,$I$3, $N$3, , $J$3, $K$3)),"")</f>
        <v/>
      </c>
      <c r="AAW12" s="628" t="str">
        <f>IFERROR(IF(OR($B12="",AAW$4=""),"",_xll.ciqfunctions.udf.CIQ($B12,"IQ_TEV",AAW$4)/_xll.ciqfunctions.udf.CIQ($B12,"IQ_TOTAL_CAP",AAC$3,$I$3, $N$3, , $J$3, $K$3)),"")</f>
        <v/>
      </c>
      <c r="AAX12" s="628" t="str">
        <f>IFERROR(IF(OR($B12="",AAX$4=""),"",_xll.ciqfunctions.udf.CIQ($B12,"IQ_TEV",AAX$4)/_xll.ciqfunctions.udf.CIQ($B12,"IQ_TOTAL_CAP",AAD$3,$I$3, $N$3, , $J$3, $K$3)),"")</f>
        <v/>
      </c>
      <c r="AAY12" s="628" t="str">
        <f>IFERROR(IF(OR($B12="",AAY$4=""),"",_xll.ciqfunctions.udf.CIQ($B12,"IQ_TEV",AAY$4)/_xll.ciqfunctions.udf.CIQ($B12,"IQ_TOTAL_CAP",AAE$3,$I$3, $N$3, , $J$3, $K$3)),"")</f>
        <v/>
      </c>
      <c r="AAZ12" s="628" t="str">
        <f>IFERROR(IF(OR($B12="",AAZ$4=""),"",_xll.ciqfunctions.udf.CIQ($B12,"IQ_TEV",AAZ$4)/_xll.ciqfunctions.udf.CIQ($B12,"IQ_TOTAL_CAP",AAF$3,$I$3, $N$3, , $J$3, $K$3)),"")</f>
        <v/>
      </c>
      <c r="ABA12" s="628" t="str">
        <f>IFERROR(IF(OR($B12="",ABA$4=""),"",_xll.ciqfunctions.udf.CIQ($B12,"IQ_TEV",ABA$4)/_xll.ciqfunctions.udf.CIQ($B12,"IQ_TOTAL_CAP",AAG$3,$I$3, $N$3, , $J$3, $K$3)),"")</f>
        <v/>
      </c>
      <c r="ABB12" s="628" t="str">
        <f>IFERROR(IF(OR($B12="",ABB$4=""),"",_xll.ciqfunctions.udf.CIQ($B12,"IQ_TEV",ABB$4)/_xll.ciqfunctions.udf.CIQ($B12,"IQ_TOTAL_CAP",AAH$3,$I$3, $N$3, , $J$3, $K$3)),"")</f>
        <v/>
      </c>
      <c r="ABC12" s="628" t="str">
        <f>IFERROR(IF(OR($B12="",ABC$4=""),"",_xll.ciqfunctions.udf.CIQ($B12,"IQ_TEV",ABC$4)/_xll.ciqfunctions.udf.CIQ($B12,"IQ_TOTAL_CAP",AAI$3,$I$3, $N$3, , $J$3, $K$3)),"")</f>
        <v/>
      </c>
      <c r="ABD12" s="628" t="str">
        <f>IFERROR(IF(OR($B12="",ABD$4=""),"",_xll.ciqfunctions.udf.CIQ($B12,"IQ_TEV",ABD$4)/_xll.ciqfunctions.udf.CIQ($B12,"IQ_TOTAL_CAP",AAJ$3,$I$3, $N$3, , $J$3, $K$3)),"")</f>
        <v/>
      </c>
      <c r="ABE12" s="72" t="str">
        <f t="shared" si="363"/>
        <v/>
      </c>
      <c r="ABF12" s="72" t="str">
        <f t="shared" si="364"/>
        <v/>
      </c>
      <c r="ABG12" s="72" t="str">
        <f t="shared" si="365"/>
        <v/>
      </c>
      <c r="ABH12" s="72" t="str">
        <f t="shared" si="366"/>
        <v/>
      </c>
      <c r="ABI12" s="72" t="str">
        <f t="shared" si="367"/>
        <v/>
      </c>
      <c r="ABJ12" s="72" t="str">
        <f t="shared" si="368"/>
        <v/>
      </c>
      <c r="ABK12" s="72" t="str">
        <f t="shared" si="369"/>
        <v/>
      </c>
      <c r="ABL12" s="72" t="str">
        <f t="shared" si="370"/>
        <v/>
      </c>
      <c r="ABM12" s="72" t="str">
        <f t="shared" si="371"/>
        <v/>
      </c>
      <c r="ABN12" s="72" t="str">
        <f t="shared" si="372"/>
        <v/>
      </c>
      <c r="ABO12" s="72" t="str">
        <f t="shared" si="373"/>
        <v/>
      </c>
      <c r="ABP12" s="72" t="str">
        <f t="shared" si="374"/>
        <v/>
      </c>
      <c r="ABQ12" s="72" t="str">
        <f t="shared" si="375"/>
        <v/>
      </c>
      <c r="ABR12" s="72" t="str">
        <f t="shared" si="376"/>
        <v/>
      </c>
      <c r="ABS12" s="72" t="str">
        <f t="shared" si="377"/>
        <v/>
      </c>
      <c r="ABT12" s="72" t="str">
        <f t="shared" si="378"/>
        <v/>
      </c>
      <c r="ABU12" s="72" t="str">
        <f t="shared" si="379"/>
        <v/>
      </c>
      <c r="ABV12" s="72" t="str">
        <f t="shared" si="380"/>
        <v/>
      </c>
      <c r="ABW12" s="72" t="str">
        <f t="shared" si="381"/>
        <v/>
      </c>
      <c r="ABX12" s="72" t="str">
        <f t="shared" si="382"/>
        <v/>
      </c>
      <c r="ABY12" s="89" t="str">
        <f>IFERROR(IF(OR($B12="",ABY$3=""),"",IF(NOT(ISNUMBER(_xll.ciqfunctions.udf.CIQ($B12, "IQ_FIXED_ASSET_TURNS", ABY$3, $E$3, $N$3, , $J$3, $K$3))),"",_xll.ciqfunctions.udf.CIQ($B12, "IQ_FIXED_ASSET_TURNS", ABY$3, $E$3, $N$3, , $J$3, $K$3))),"")</f>
        <v/>
      </c>
      <c r="ABZ12" s="90" t="str">
        <f>IFERROR(IF(OR($B12="",ABZ$3=""),"",IF(NOT(ISNUMBER(_xll.ciqfunctions.udf.CIQ($B12, "IQ_FIXED_ASSET_TURNS", ABZ$3, $E$3, $N$3, , $J$3, $K$3))),"",_xll.ciqfunctions.udf.CIQ($B12, "IQ_FIXED_ASSET_TURNS", ABZ$3, $E$3, $N$3, , $J$3, $K$3))),"")</f>
        <v/>
      </c>
      <c r="ACA12" s="90" t="str">
        <f>IFERROR(IF(OR($B12="",ACA$3=""),"",IF(NOT(ISNUMBER(_xll.ciqfunctions.udf.CIQ($B12, "IQ_FIXED_ASSET_TURNS", ACA$3, $E$3, $N$3, , $J$3, $K$3))),"",_xll.ciqfunctions.udf.CIQ($B12, "IQ_FIXED_ASSET_TURNS", ACA$3, $E$3, $N$3, , $J$3, $K$3))),"")</f>
        <v/>
      </c>
      <c r="ACB12" s="90" t="str">
        <f>IFERROR(IF(OR($B12="",ACB$3=""),"",IF(NOT(ISNUMBER(_xll.ciqfunctions.udf.CIQ($B12, "IQ_FIXED_ASSET_TURNS", ACB$3, $E$3, $N$3, , $J$3, $K$3))),"",_xll.ciqfunctions.udf.CIQ($B12, "IQ_FIXED_ASSET_TURNS", ACB$3, $E$3, $N$3, , $J$3, $K$3))),"")</f>
        <v/>
      </c>
      <c r="ACC12" s="90" t="str">
        <f>IFERROR(IF(OR($B12="",ACC$3=""),"",IF(NOT(ISNUMBER(_xll.ciqfunctions.udf.CIQ($B12, "IQ_FIXED_ASSET_TURNS", ACC$3, $E$3, $N$3, , $J$3, $K$3))),"",_xll.ciqfunctions.udf.CIQ($B12, "IQ_FIXED_ASSET_TURNS", ACC$3, $E$3, $N$3, , $J$3, $K$3))),"")</f>
        <v/>
      </c>
      <c r="ACD12" s="90" t="str">
        <f>IFERROR(IF(OR($B12="",ACD$3=""),"",IF(NOT(ISNUMBER(_xll.ciqfunctions.udf.CIQ($B12, "IQ_FIXED_ASSET_TURNS", ACD$3, $E$3, $N$3, , $J$3, $K$3))),"",_xll.ciqfunctions.udf.CIQ($B12, "IQ_FIXED_ASSET_TURNS", ACD$3, $E$3, $N$3, , $J$3, $K$3))),"")</f>
        <v/>
      </c>
      <c r="ACE12" s="90" t="str">
        <f>IFERROR(IF(OR($B12="",ACE$3=""),"",IF(NOT(ISNUMBER(_xll.ciqfunctions.udf.CIQ($B12, "IQ_FIXED_ASSET_TURNS", ACE$3, $E$3, $N$3, , $J$3, $K$3))),"",_xll.ciqfunctions.udf.CIQ($B12, "IQ_FIXED_ASSET_TURNS", ACE$3, $E$3, $N$3, , $J$3, $K$3))),"")</f>
        <v/>
      </c>
      <c r="ACF12" s="90" t="str">
        <f>IFERROR(IF(OR($B12="",ACF$3=""),"",IF(NOT(ISNUMBER(_xll.ciqfunctions.udf.CIQ($B12, "IQ_FIXED_ASSET_TURNS", ACF$3, $E$3, $N$3, , $J$3, $K$3))),"",_xll.ciqfunctions.udf.CIQ($B12, "IQ_FIXED_ASSET_TURNS", ACF$3, $E$3, $N$3, , $J$3, $K$3))),"")</f>
        <v/>
      </c>
      <c r="ACG12" s="90" t="str">
        <f>IFERROR(IF(OR($B12="",ACG$3=""),"",IF(NOT(ISNUMBER(_xll.ciqfunctions.udf.CIQ($B12, "IQ_FIXED_ASSET_TURNS", ACG$3, $E$3, $N$3, , $J$3, $K$3))),"",_xll.ciqfunctions.udf.CIQ($B12, "IQ_FIXED_ASSET_TURNS", ACG$3, $E$3, $N$3, , $J$3, $K$3))),"")</f>
        <v/>
      </c>
      <c r="ACH12" s="90" t="str">
        <f>IFERROR(IF(OR($B12="",ACH$3=""),"",IF(NOT(ISNUMBER(_xll.ciqfunctions.udf.CIQ($B12, "IQ_FIXED_ASSET_TURNS", ACH$3, $E$3, $N$3, , $J$3, $K$3))),"",_xll.ciqfunctions.udf.CIQ($B12, "IQ_FIXED_ASSET_TURNS", ACH$3, $E$3, $N$3, , $J$3, $K$3))),"")</f>
        <v/>
      </c>
      <c r="ACI12" s="90" t="str">
        <f>IFERROR(IF(OR($B12="",ACI$3=""),"",IF(NOT(ISNUMBER(_xll.ciqfunctions.udf.CIQ($B12, "IQ_FIXED_ASSET_TURNS", ACI$3, $E$3, $N$3, , $J$3, $K$3))),"",_xll.ciqfunctions.udf.CIQ($B12, "IQ_FIXED_ASSET_TURNS", ACI$3, $E$3, $N$3, , $J$3, $K$3))),"")</f>
        <v/>
      </c>
      <c r="ACJ12" s="90" t="str">
        <f>IFERROR(IF(OR($B12="",ACJ$3=""),"",IF(NOT(ISNUMBER(_xll.ciqfunctions.udf.CIQ($B12, "IQ_FIXED_ASSET_TURNS", ACJ$3, $E$3, $N$3, , $J$3, $K$3))),"",_xll.ciqfunctions.udf.CIQ($B12, "IQ_FIXED_ASSET_TURNS", ACJ$3, $E$3, $N$3, , $J$3, $K$3))),"")</f>
        <v/>
      </c>
      <c r="ACK12" s="90" t="str">
        <f>IFERROR(IF(OR($B12="",ACK$3=""),"",IF(NOT(ISNUMBER(_xll.ciqfunctions.udf.CIQ($B12, "IQ_FIXED_ASSET_TURNS", ACK$3, $E$3, $N$3, , $J$3, $K$3))),"",_xll.ciqfunctions.udf.CIQ($B12, "IQ_FIXED_ASSET_TURNS", ACK$3, $E$3, $N$3, , $J$3, $K$3))),"")</f>
        <v/>
      </c>
      <c r="ACL12" s="90" t="str">
        <f>IFERROR(IF(OR($B12="",ACL$3=""),"",IF(NOT(ISNUMBER(_xll.ciqfunctions.udf.CIQ($B12, "IQ_FIXED_ASSET_TURNS", ACL$3, $E$3, $N$3, , $J$3, $K$3))),"",_xll.ciqfunctions.udf.CIQ($B12, "IQ_FIXED_ASSET_TURNS", ACL$3, $E$3, $N$3, , $J$3, $K$3))),"")</f>
        <v/>
      </c>
      <c r="ACM12" s="90" t="str">
        <f>IFERROR(IF(OR($B12="",ACM$3=""),"",IF(NOT(ISNUMBER(_xll.ciqfunctions.udf.CIQ($B12, "IQ_FIXED_ASSET_TURNS", ACM$3, $E$3, $N$3, , $J$3, $K$3))),"",_xll.ciqfunctions.udf.CIQ($B12, "IQ_FIXED_ASSET_TURNS", ACM$3, $E$3, $N$3, , $J$3, $K$3))),"")</f>
        <v/>
      </c>
      <c r="ACN12" s="90" t="str">
        <f>IFERROR(IF(OR($B12="",ACN$3=""),"",IF(NOT(ISNUMBER(_xll.ciqfunctions.udf.CIQ($B12, "IQ_FIXED_ASSET_TURNS", ACN$3, $E$3, $N$3, , $J$3, $K$3))),"",_xll.ciqfunctions.udf.CIQ($B12, "IQ_FIXED_ASSET_TURNS", ACN$3, $E$3, $N$3, , $J$3, $K$3))),"")</f>
        <v/>
      </c>
      <c r="ACO12" s="90" t="str">
        <f>IFERROR(IF(OR($B12="",ACO$3=""),"",IF(NOT(ISNUMBER(_xll.ciqfunctions.udf.CIQ($B12, "IQ_FIXED_ASSET_TURNS", ACO$3, $E$3, $N$3, , $J$3, $K$3))),"",_xll.ciqfunctions.udf.CIQ($B12, "IQ_FIXED_ASSET_TURNS", ACO$3, $E$3, $N$3, , $J$3, $K$3))),"")</f>
        <v/>
      </c>
      <c r="ACP12" s="90" t="str">
        <f>IFERROR(IF(OR($B12="",ACP$3=""),"",IF(NOT(ISNUMBER(_xll.ciqfunctions.udf.CIQ($B12, "IQ_FIXED_ASSET_TURNS", ACP$3, $E$3, $N$3, , $J$3, $K$3))),"",_xll.ciqfunctions.udf.CIQ($B12, "IQ_FIXED_ASSET_TURNS", ACP$3, $E$3, $N$3, , $J$3, $K$3))),"")</f>
        <v/>
      </c>
      <c r="ACQ12" s="90" t="str">
        <f>IFERROR(IF(OR($B12="",ACQ$3=""),"",IF(NOT(ISNUMBER(_xll.ciqfunctions.udf.CIQ($B12, "IQ_FIXED_ASSET_TURNS", ACQ$3, $E$3, $N$3, , $J$3, $K$3))),"",_xll.ciqfunctions.udf.CIQ($B12, "IQ_FIXED_ASSET_TURNS", ACQ$3, $E$3, $N$3, , $J$3, $K$3))),"")</f>
        <v/>
      </c>
      <c r="ACR12" s="91" t="str">
        <f>IFERROR(IF(OR($B12="",ACR$3=""),"",IF(NOT(ISNUMBER(_xll.ciqfunctions.udf.CIQ($B12, "IQ_FIXED_ASSET_TURNS", ACR$3, $E$3, $N$3, , $J$3, $K$3))),"",_xll.ciqfunctions.udf.CIQ($B12, "IQ_FIXED_ASSET_TURNS", ACR$3, $E$3, $N$3, , $J$3, $K$3))),"")</f>
        <v/>
      </c>
    </row>
    <row r="13" spans="1:772" ht="15" customHeight="1" x14ac:dyDescent="0.2">
      <c r="A13" s="267" t="str">
        <f>IF(B13="","",_xll.ciqfunctions.udf.CIQ($B13,"IQ_COMPANY_NAME"))</f>
        <v/>
      </c>
      <c r="B13" s="81" t="str">
        <f>IF(Input!B25="","",Input!B25)</f>
        <v/>
      </c>
      <c r="C13" s="81">
        <f>Input!E25</f>
        <v>0</v>
      </c>
      <c r="D13" s="67" t="str">
        <f>IF(B13="","",_xll.ciqfunctions.udf.CIQ($B13,"IQ_PRIMARY_INDUSTRY"))</f>
        <v/>
      </c>
      <c r="E13" s="95" t="str">
        <f>IFERROR(IF(B13="","",IF(NOT(ISNUMBER(_xll.ciqfunctions.udf.CIQ($B13,"IQ_LASTSALEPRICE",$E$3))),"",_xll.ciqfunctions.udf.CIQ($B13,"IQ_LASTSALEPRICE",$E$3))),"")</f>
        <v/>
      </c>
      <c r="F13" s="82" t="str">
        <f>IFERROR(IF(B13="","",IF(NOT(ISNUMBER(_xll.ciqfunctions.udf.CIQ($B13,"IQ_LASTSALEPRICE",$E$4))),"",_xll.ciqfunctions.udf.CIQ($B13,"IQ_LASTSALEPRICE",$E$4))),"")</f>
        <v/>
      </c>
      <c r="G13" s="83" t="str">
        <f t="shared" si="383"/>
        <v/>
      </c>
      <c r="H13" s="83" t="str">
        <f>IFERROR(IF(B13="","",IF(NOT(ISNUMBER(_xll.ciqfunctions.udf.CIQ($B13,"IQ_TOTAL_REV_1YR_ANN_GROWTH",$O$3, $I$3, $N$3, , $J$3, $K$3))),"",_xll.ciqfunctions.udf.CIQ($B13,"IQ_TOTAL_REV_1YR_ANN_GROWTH",$O$3, $I$3, $N$3, , $J$3, $K$3))/100),"")</f>
        <v/>
      </c>
      <c r="I13" s="83" t="str">
        <f>IFERROR(IF(B13="","",IF(NOT(ISNUMBER(_xll.ciqfunctions.udf.CIQ($B13,"IQ_GROSS_MARGIN",$O$3, $I$3, $N$3, , $J$3, $K$3))),"",_xll.ciqfunctions.udf.CIQ($B13,"IQ_GROSS_MARGIN",$O$3, $I$3, $N$3, , $J$3, $K$3))/100),"")</f>
        <v/>
      </c>
      <c r="J13" s="83" t="str">
        <f>IFERROR(IF(B13="","",IF(NOT(ISNUMBER(_xll.ciqfunctions.udf.CIQ($B13,"IQ_EBITDA_MARGIN",$O$3, $I$3, $N$3, , $J$3, $K$3))),"",_xll.ciqfunctions.udf.CIQ($B13,"IQ_EBITDA_MARGIN",$O$3, $I$3, $N$3, , $J$3, $K$3))/100),"")</f>
        <v/>
      </c>
      <c r="K13" s="83" t="str">
        <f>IFERROR(IF(A13="","",IF(NOT(ISNUMBER(_xll.ciqfunctions.udf.CIQ($B13,"IQ_EBIT_MARGIN",$O$3, $I$3, $N$3, , $J$3, $K$3))),"",_xll.ciqfunctions.udf.CIQ($B13,"IQ_EBIT_MARGIN",$O$3, $I$3, $N$3, , $J$3, $K$3))/100),"")</f>
        <v/>
      </c>
      <c r="L13" s="83" t="str">
        <f>IFERROR(IF(B13="","",IF(NOT(ISNUMBER(_xll.ciqfunctions.udf.CIQ($B13,"IQ_NI_MARGIN",$O$3, $I$3, $N$3, , $J$3, $K$3))),"",_xll.ciqfunctions.udf.CIQ($B13,"IQ_NI_MARGIN",$O$3, $I$3, $N$3, , $J$3, $K$3))/100),"")</f>
        <v/>
      </c>
      <c r="M13" s="83" t="str">
        <f>IFERROR(IF($B13="","",IF(AND(N$4="Yes",NOT(ISNUMBER(_xll.ciqfunctions.udf.CIQ($B13,"IQ_COGS",$O$3, $I$3, $N$3, , $J$3, $K$3))),NOT(ISNUMBER(_xll.ciqfunctions.udf.CIQ($B13,"IQ_TOTAL_REVENUE",$O$3, $I$3, $N$3, , $J$3, $K$3)))),"",_xll.ciqfunctions.udf.CIQ($B13,"IQ_COGS",$O$3, $I$3, $N$3, , $J$3, $K$3)/_xll.ciqfunctions.udf.CIQ($B13,"IQ_TOTAL_REVENUE",$O$3, $I$3, $N$3, , $J$3, $K$3))),"")</f>
        <v/>
      </c>
      <c r="N13" s="83" t="str">
        <f>IFERROR(IF($B13="","",(IF(NOT(ISNUMBER(_xll.ciqfunctions.udf.CIQ($B13,"IQ_TOTAL_REVENUE",$O$3, $I$3, $N$3, , $J$3, $K$3))),"",_xll.ciqfunctions.udf.CIQ($B13,"IQ_TOTAL_REVENUE",$O$3, $I$3, $N$3, , $J$3, $K$3))-IF(NOT(ISNUMBER(_xll.ciqfunctions.udf.CIQ($B13,"IQ_COGS",$O$3, $I$3, $N$3, , $J$3, $K$3))),"",_xll.ciqfunctions.udf.CIQ($B13,"IQ_COGS",$O$3, $I$3, $N$3, , $J$3, $K$3))-IF(NOT(ISNUMBER(_xll.ciqfunctions.udf.CIQ($B13,"IQ_EBITDA",$O$3, $I$3, $N$3, , $J$3, $K$3))),"",_xll.ciqfunctions.udf.CIQ($B13,"IQ_EBITDA",$O$3, $I$3, $N$3, , $J$3, $K$3)))/IF(NOT(ISNUMBER(_xll.ciqfunctions.udf.CIQ($B13,"IQ_TOTAL_REVENUE",$O$3, $I$3, $N$3, , $J$3, $K$3))),"",_xll.ciqfunctions.udf.CIQ($B13,"IQ_TOTAL_REVENUE",$O$3, $I$3, $N$3, , $J$3, $K$3))),"")</f>
        <v/>
      </c>
      <c r="O13" s="83" t="str">
        <f>IFERROR(IF($B13="","",IF(AND(P$4="Yes",NOT(ISNUMBER(_xll.ciqfunctions.udf.CIQ($B13,"IQ_SGA_MARGIN",$O$3, $I$3, $N$3, , $J$3, $K$3)))),"",_xll.ciqfunctions.udf.CIQ($B13,"IQ_SGA_MARGIN",$O$3, $I$3, $N$3, , $J$3, $K$3)/100)),"")</f>
        <v/>
      </c>
      <c r="P13" s="83" t="str">
        <f>IFERROR(IF($B13="","",IF(AND(Q$4="No",OR(NOT(ISNUMBER(_xll.ciqfunctions.udf.CIQ($B13, "IQ_RD_EXP",$O$3, $I$3, $N$3, , $J$3, $K$3))),_xll.ciqfunctions.udf.CIQ($B13, "IQ_RD_EXP",$O$3, $I$3, $N$3, , $J$3, $K$3)&lt;0,NOT(ISNUMBER(_xll.ciqfunctions.udf.CIQ($B13,"IQ_TOTAL_REV",$O$3, $I$3, $N$3, , $J$3, $K$3))))),"",_xll.ciqfunctions.udf.CIQ($B13, "IQ_RD_EXP",$O$3, $I$3, $N$3, , $J$3, $K$3)/_xll.ciqfunctions.udf.CIQ($B13,"IQ_TOTAL_REV",$O$3, $I$3, $N$3, , $J$3, $K$3))),"")</f>
        <v/>
      </c>
      <c r="Q13" s="84" t="str">
        <f>IFERROR(IF($B13="","",IF(AND(R$4="No",OR(NOT(ISNUMBER(_xll.ciqfunctions.udf.CIQ($B13,"IQ_AR",$O$3, $I$3, $N$3, , $J$3, $K$3,,,,"USD"))),_xll.ciqfunctions.udf.CIQ($B13,"IQ_AR",$O$3, $I$3, $N$3, , $J$3, $K$3,,,,"USD")&lt;0,NOT(ISNUMBER(_xll.ciqfunctions.udf.CIQ($B13,"IQ_REVENUE",$O$3, $I$3, $N$3, , $J$3, $K$3))))),"",0.5*(_xll.ciqfunctions.udf.CIQ($B13,"IQ_AR",$O$3, $I$3, $N$3, , $J$3, $K$3)+_xll.ciqfunctions.udf.CIQ($B13,"IQ_AR",$O$3&amp;"-4", $I$3, $N$3, , $J$3, $K$3))/_xll.ciqfunctions.udf.CIQ($B13,"IQ_REVENUE",$O$3, $I$3, $N$3, , $J$3, $K$3)*365)),"")</f>
        <v/>
      </c>
      <c r="R13" s="84" t="str">
        <f>IFERROR(IF($B13="","",IF(AND(S$4="No",OR(NOT(ISNUMBER(_xll.ciqfunctions.udf.CIQ($B13,"IQ_INVENTORY",$O$3, $I$3, $N$3, , $J$3, $K$3))),_xll.ciqfunctions.udf.CIQ($B13,"IQ_INVENTORY",$O$3, $I$3, $N$3, , $J$3, $K$3)&lt;0,NOT(ISNUMBER(_xll.ciqfunctions.udf.CIQ($B13,"IQ_COGS",$O$3, $I$3, $N$3, , $J$3, $K$3))),_xll.ciqfunctions.udf.CIQ($B13,"IQ_COGS",$O$3, $I$3, $N$3, , $J$3, $K$3)&lt;0)),"",0.5*(_xll.ciqfunctions.udf.CIQ($B13,"IQ_INVENTORY",$O$3, $I$3, $N$3, , $J$3, $K$3)+_xll.ciqfunctions.udf.CIQ($B13,"IQ_INVENTORY",$O$3&amp;"-4", $I$3, $N$3, , $J$3, $K$3))/_xll.ciqfunctions.udf.CIQ($B13,"IQ_COGS",$O$3, $I$3, $N$3, , $J$3, $K$3)*365)),"")</f>
        <v/>
      </c>
      <c r="S13" s="84" t="str">
        <f>IFERROR(IF(B13="","",IF($B13="","",IF(AND(T$4="No",OR(NOT(ISNUMBER(_xll.ciqfunctions.udf.CIQ($B13,"IQ_AP",$O$3, $I$3, $N$3, , $J$3, $K$3))),_xll.ciqfunctions.udf.CIQ($B13,"IQ_AP",$O$3, $I$3, $N$3, , $J$3, $K$3)&lt;0,NOT(ISNUMBER(_xll.ciqfunctions.udf.CIQ($B13,"IQ_COGS",$O$3, $I$3, $N$3, , $J$3, $K$3))),_xll.ciqfunctions.udf.CIQ($B13,"IQ_COGS",$O$3, $I$3, $N$3, , $J$3, $K$3)&lt;0)),"",0.5*(_xll.ciqfunctions.udf.CIQ($B13,"IQ_AP",$O$3, $I$3, $N$3, , $J$3, $K$3)+_xll.ciqfunctions.udf.CIQ($B13,"IQ_AP",$O$3&amp;"-4", $I$3, $N$3, , $J$3, $K$3))/_xll.ciqfunctions.udf.CIQ($B13,"IQ_COGS",$O$3, $I$3, $N$3, , $J$3, $K$3)*365))),"")</f>
        <v/>
      </c>
      <c r="T13" s="84" t="str">
        <f>IFERROR(IF($B13="","",(Q13+R13-S13)),"")</f>
        <v/>
      </c>
      <c r="U13" s="83" t="str">
        <f>IFERROR(IF(OR(NOT(ISNUMBER(_xll.ciqfunctions.udf.CIQ($B13,"IQ_NI",$O$3, $I$3, $N$3, , $J$3, $K$3))),NOT(ISNUMBER(_xll.ciqfunctions.udf.CIQ($B13,"IQ_TOTAL_ASSETS",$O$3, $I$3, $N$3, , $J$3, $K$3)))),"",_xll.ciqfunctions.udf.CIQ($B13,"IQ_NI",$O$3, $I$3, $N$3, , $J$3, $K$3)/(0.5*(_xll.ciqfunctions.udf.CIQ($B13,"IQ_TOTAL_ASSETS",$O$3, $I$3, $N$3, , $J$3, $K$3)+_xll.ciqfunctions.udf.CIQ($B13,"IQ_TOTAL_ASSETS",$O$3&amp;"-4", $I$3, $N$3, , $J$3, $K$3)))),"")</f>
        <v/>
      </c>
      <c r="V13" s="83" t="str">
        <f>IFERROR(_xll.ciqfunctions.udf.CIQ($B13,"IQ_NI",$O$3, $I$3, $N$3, , $J$3, $K$3)*2/(_xll.ciqfunctions.udf.CIQ($B13,"IQ_TOTAL_ASSETS",$O$3, $I$3, $N$3, , $J$3, $K$3)+_xll.ciqfunctions.udf.CIQ($B13,"IQ_TOTAL_ASSETS",$O$3 &amp; "-4", $I$3, $N$3, , $J$3, $K$3)-_xll.ciqfunctions.udf.CIQ($B13,"IQ_TOTAL_CL",$O$3, $I$3, $N$3, , $J$3, $K$3)-_xll.ciqfunctions.udf.CIQ($B13,"IQ_TOTAL_CL",$O$3 &amp; "-4", $I$3, $N$3, , $J$3, $K$3)),"")</f>
        <v/>
      </c>
      <c r="W13" s="83" t="str">
        <f>IFERROR(IF(OR(NOT(ISNUMBER(_xll.ciqfunctions.udf.CIQ($B13,"IQ_NI",$O$3, $I$3, $N$3, , $J$3, $K$3))),NOT(ISNUMBER(_xll.ciqfunctions.udf.CIQ($B13,"IQ_TOTAL_EQUITY",$O$3, $I$3, $N$3, , $J$3, $K$3)))),"",_xll.ciqfunctions.udf.CIQ($B13,"IQ_NI",$O$3, $I$3, $N$3, , $J$3, $K$3)/(0.5*(_xll.ciqfunctions.udf.CIQ($B13,"IQ_TOTAL_EQUITY",$O$3, $I$3, $N$3, , $J$3, $K$3)+_xll.ciqfunctions.udf.CIQ($B13,"IQ_TOTAL_EQUITY",$O$3&amp;"-4", $I$3, $N$3, , $J$3, $K$3)))),"")</f>
        <v/>
      </c>
      <c r="X13" s="1026" t="str">
        <f>IFERROR(IF($B13="","",IF(NOT(ISNUMBER(_xll.ciqfunctions.udf.CIQ($B13,"IQ_ASSET_TURNS",$O$3, $I$3, $N$3, , $J$3, $K$3))),"",_xll.ciqfunctions.udf.CIQ($B13,"IQ_ASSET_TURNS",$O$3, $I$3, $N$3, , $J$3, $K$3))),"")</f>
        <v/>
      </c>
      <c r="Y13" s="1026" t="str">
        <f>IFERROR(IF($B13="","",IF(NOT(ISNUMBER(_xll.ciqfunctions.udf.CIQ($B13,"IQ_FIXED_ASSET_TURNS",$O$3, $I$3, $N$3, , $J$3, $K$3))),"",_xll.ciqfunctions.udf.CIQ($B13,"IQ_FIXED_ASSET_TURNS",$O$3, $I$3, $N$3, , $J$3, $K$3))),"")</f>
        <v/>
      </c>
      <c r="Z13" s="83" t="str">
        <f>IFERROR(IF(B13="","",IF(OR(NOT(ISNUMBER(_xll.ciqfunctions.udf.CIQ($B13,"IQ_CASH_OPER",$O$3, $I$3, $N$3, , $J$3, $K$3))),NOT(ISNUMBER(_xll.ciqfunctions.udf.CIQ($B13,"IQ_TOTAL_REV",$O$3, $I$3, $N$3, , $J$3, $K$3)))),"",_xll.ciqfunctions.udf.CIQ($B13,"IQ_CASH_OPER",$O$3, $I$3, $N$3, , $J$3, $K$3)/_xll.ciqfunctions.udf.CIQ($B13,"IQ_TOTAL_REV",$O$3, $I$3, $N$3, , $J$3, $K$3))),"")</f>
        <v/>
      </c>
      <c r="AA13" s="84" t="str">
        <f>IFERROR(IF(B13="","",IF(OR(NOT(ISNUMBER(_xll.ciqfunctions.udf.CIQ($B13,"IQ_TOTAL_ASSETS",IQ_LTM, $I$3, $N$3, , $J$3, $K$3))),NOT(ISNUMBER(_xll.ciqfunctions.udf.CIQ($B13,"IQ_TOTAL_COMMON_EQUITY",IQ_LTM, $I$3, $N$3, , $J$3, $K$3)))),"",_xll.ciqfunctions.udf.CIQ($B13,"IQ_TOTAL_ASSETS",IQ_LTM, $I$3, $N$3, , $J$3, $K$3)/_xll.ciqfunctions.udf.CIQ($B13,"IQ_TOTAL_COMMON_EQUITY",IQ_LTM, $I$3, $N$3, , $J$3, $K$3))),"")</f>
        <v/>
      </c>
      <c r="AB13" s="83" t="str">
        <f>IFERROR(IF(B13="","",IF(OR(NOT(ISNUMBER(_xll.ciqfunctions.udf.CIQ($B13,"IQ_EBT",$O$3, $I$3, $N$3, , $J$3, $K$3))),NOT(ISNUMBER(_xll.ciqfunctions.udf.CIQ($B13,"IQ_TOTAL_REV",$O$3, $I$3, $N$3, , $J$3, $K$3)))),"",_xll.ciqfunctions.udf.CIQ($B13,"IQ_EBT",$O$3, $I$3, $N$3, , $J$3, $K$3)/_xll.ciqfunctions.udf.CIQ($B13,"IQ_TOTAL_REV",$O$3, $I$3, $N$3, , $J$3, $K$3))),"")</f>
        <v/>
      </c>
      <c r="AC13" s="83" t="str">
        <f>IFERROR(IF(E13="","",IF(OR(NOT(ISNUMBER(_xll.ciqfunctions.udf.CIQ($B13,"IQ_INC_TAX",$O$3, $I$3, $N$3, , $J$3, $K$3))),NOT(ISNUMBER(_xll.ciqfunctions.udf.CIQ($B13,"IQ_EBT",$O$3, $I$3, $N$3, , $J$3, $K$3))),_xll.ciqfunctions.udf.CIQ($B13,"IQ_INC_TAX",$O$3, $I$3, $N$3, , $J$3, $K$3)&lt;0),"",_xll.ciqfunctions.udf.CIQ($B13,"IQ_INC_TAX",$O$3, $I$3, $N$3, , $J$3, $K$3)/ABS(_xll.ciqfunctions.udf.CIQ($B13,"IQ_EBT",$O$3, $I$3, $N$3, , $J$3, $K$3)))),"")</f>
        <v/>
      </c>
      <c r="AD13" s="84" t="str">
        <f>IFERROR(IF(B13="","",IF(NOT(ISNUMBER(_xll.ciqfunctions.udf.CIQ($B13,"IQ_Z_SCORE",$O$3, $I$3, $N$3, , $J$3, $K$3))),"",_xll.ciqfunctions.udf.CIQ($B13,"IQ_Z_SCORE",$O$3, $I$3, $N$3, , $J$3, $K$3))),"")</f>
        <v/>
      </c>
      <c r="AE13" s="85" t="str">
        <f>IF($A13="","",IF(NOT(ISNUMBER(_xll.ciqfunctions.udf.CIQ($B13, "IQ_BETA_5YR", $E$3))),"",_xll.ciqfunctions.udf.CIQ($B13, "IQ_BETA_5YR", $E$3)))</f>
        <v/>
      </c>
      <c r="AF13" s="19"/>
      <c r="AG13" s="274" t="str">
        <f>IFERROR(IF(OR($B13="",AG$3=""),"",IF(NOT(ISNUMBER(_xll.ciqfunctions.udf.CIQ($B13, "IQ_GROSS_MARGIN", AG$3, $I$3, $N$3, , $J$3, $K$3))),"",_xll.ciqfunctions.udf.CIQ($B13, "IQ_GROSS_MARGIN", AG$3, $I$3, $N$3, , $J$3, $K$3)/100)),"")</f>
        <v/>
      </c>
      <c r="AH13" s="87" t="str">
        <f>IFERROR(IF(OR($B13="",AH$3=""),"",IF(NOT(ISNUMBER(_xll.ciqfunctions.udf.CIQ($B13, "IQ_GROSS_MARGIN", AH$3, $I$3, $N$3, , $J$3, $K$3))),"",_xll.ciqfunctions.udf.CIQ($B13, "IQ_GROSS_MARGIN", AH$3, $I$3, $N$3, , $J$3, $K$3)/100)),"")</f>
        <v/>
      </c>
      <c r="AI13" s="87" t="str">
        <f>IFERROR(IF(OR($B13="",AI$3=""),"",IF(NOT(ISNUMBER(_xll.ciqfunctions.udf.CIQ($B13, "IQ_GROSS_MARGIN", AI$3, $I$3, $N$3, , $J$3, $K$3))),"",_xll.ciqfunctions.udf.CIQ($B13, "IQ_GROSS_MARGIN", AI$3, $I$3, $N$3, , $J$3, $K$3)/100)),"")</f>
        <v/>
      </c>
      <c r="AJ13" s="87" t="str">
        <f>IFERROR(IF(OR($B13="",AJ$3=""),"",IF(NOT(ISNUMBER(_xll.ciqfunctions.udf.CIQ($B13, "IQ_GROSS_MARGIN", AJ$3, $I$3, $N$3, , $J$3, $K$3))),"",_xll.ciqfunctions.udf.CIQ($B13, "IQ_GROSS_MARGIN", AJ$3, $I$3, $N$3, , $J$3, $K$3)/100)),"")</f>
        <v/>
      </c>
      <c r="AK13" s="87" t="str">
        <f>IFERROR(IF(OR($B13="",AK$3=""),"",IF(NOT(ISNUMBER(_xll.ciqfunctions.udf.CIQ($B13, "IQ_GROSS_MARGIN", AK$3, $I$3, $N$3, , $J$3, $K$3))),"",_xll.ciqfunctions.udf.CIQ($B13, "IQ_GROSS_MARGIN", AK$3, $I$3, $N$3, , $J$3, $K$3)/100)),"")</f>
        <v/>
      </c>
      <c r="AL13" s="87" t="str">
        <f>IFERROR(IF(OR($B13="",AL$3=""),"",IF(NOT(ISNUMBER(_xll.ciqfunctions.udf.CIQ($B13, "IQ_GROSS_MARGIN", AL$3, $I$3, $N$3, , $J$3, $K$3))),"",_xll.ciqfunctions.udf.CIQ($B13, "IQ_GROSS_MARGIN", AL$3, $I$3, $N$3, , $J$3, $K$3)/100)),"")</f>
        <v/>
      </c>
      <c r="AM13" s="87" t="str">
        <f>IFERROR(IF(OR($B13="",AM$3=""),"",IF(NOT(ISNUMBER(_xll.ciqfunctions.udf.CIQ($B13, "IQ_GROSS_MARGIN", AM$3, $I$3, $N$3, , $J$3, $K$3))),"",_xll.ciqfunctions.udf.CIQ($B13, "IQ_GROSS_MARGIN", AM$3, $I$3, $N$3, , $J$3, $K$3)/100)),"")</f>
        <v/>
      </c>
      <c r="AN13" s="87" t="str">
        <f>IFERROR(IF(OR($B13="",AN$3=""),"",IF(NOT(ISNUMBER(_xll.ciqfunctions.udf.CIQ($B13, "IQ_GROSS_MARGIN", AN$3, $I$3, $N$3, , $J$3, $K$3))),"",_xll.ciqfunctions.udf.CIQ($B13, "IQ_GROSS_MARGIN", AN$3, $I$3, $N$3, , $J$3, $K$3)/100)),"")</f>
        <v/>
      </c>
      <c r="AO13" s="87" t="str">
        <f>IFERROR(IF(OR($B13="",AO$3=""),"",IF(NOT(ISNUMBER(_xll.ciqfunctions.udf.CIQ($B13, "IQ_GROSS_MARGIN", AO$3, $I$3, $N$3, , $J$3, $K$3))),"",_xll.ciqfunctions.udf.CIQ($B13, "IQ_GROSS_MARGIN", AO$3, $I$3, $N$3, , $J$3, $K$3)/100)),"")</f>
        <v/>
      </c>
      <c r="AP13" s="87" t="str">
        <f>IFERROR(IF(OR($B13="",AP$3=""),"",IF(NOT(ISNUMBER(_xll.ciqfunctions.udf.CIQ($B13, "IQ_GROSS_MARGIN", AP$3, $I$3, $N$3, , $J$3, $K$3))),"",_xll.ciqfunctions.udf.CIQ($B13, "IQ_GROSS_MARGIN", AP$3, $I$3, $N$3, , $J$3, $K$3)/100)),"")</f>
        <v/>
      </c>
      <c r="AQ13" s="87" t="str">
        <f>IFERROR(IF(OR($B13="",AQ$3=""),"",IF(NOT(ISNUMBER(_xll.ciqfunctions.udf.CIQ($B13, "IQ_GROSS_MARGIN", AQ$3, $I$3, $N$3, , $J$3, $K$3))),"",_xll.ciqfunctions.udf.CIQ($B13, "IQ_GROSS_MARGIN", AQ$3, $I$3, $N$3, , $J$3, $K$3)/100)),"")</f>
        <v/>
      </c>
      <c r="AR13" s="87" t="str">
        <f>IFERROR(IF(OR($B13="",AR$3=""),"",IF(NOT(ISNUMBER(_xll.ciqfunctions.udf.CIQ($B13, "IQ_GROSS_MARGIN", AR$3, $I$3, $N$3, , $J$3, $K$3))),"",_xll.ciqfunctions.udf.CIQ($B13, "IQ_GROSS_MARGIN", AR$3, $I$3, $N$3, , $J$3, $K$3)/100)),"")</f>
        <v/>
      </c>
      <c r="AS13" s="87" t="str">
        <f>IFERROR(IF(OR($B13="",AS$3=""),"",IF(NOT(ISNUMBER(_xll.ciqfunctions.udf.CIQ($B13, "IQ_GROSS_MARGIN", AS$3, $I$3, $N$3, , $J$3, $K$3))),"",_xll.ciqfunctions.udf.CIQ($B13, "IQ_GROSS_MARGIN", AS$3, $I$3, $N$3, , $J$3, $K$3)/100)),"")</f>
        <v/>
      </c>
      <c r="AT13" s="87" t="str">
        <f>IFERROR(IF(OR($B13="",AT$3=""),"",IF(NOT(ISNUMBER(_xll.ciqfunctions.udf.CIQ($B13, "IQ_GROSS_MARGIN", AT$3, $I$3, $N$3, , $J$3, $K$3))),"",_xll.ciqfunctions.udf.CIQ($B13, "IQ_GROSS_MARGIN", AT$3, $I$3, $N$3, , $J$3, $K$3)/100)),"")</f>
        <v/>
      </c>
      <c r="AU13" s="87" t="str">
        <f>IFERROR(IF(OR($B13="",AU$3=""),"",IF(NOT(ISNUMBER(_xll.ciqfunctions.udf.CIQ($B13, "IQ_GROSS_MARGIN", AU$3, $I$3, $N$3, , $J$3, $K$3))),"",_xll.ciqfunctions.udf.CIQ($B13, "IQ_GROSS_MARGIN", AU$3, $I$3, $N$3, , $J$3, $K$3)/100)),"")</f>
        <v/>
      </c>
      <c r="AV13" s="87" t="str">
        <f>IFERROR(IF(OR($B13="",AV$3=""),"",IF(NOT(ISNUMBER(_xll.ciqfunctions.udf.CIQ($B13, "IQ_GROSS_MARGIN", AV$3, $I$3, $N$3, , $J$3, $K$3))),"",_xll.ciqfunctions.udf.CIQ($B13, "IQ_GROSS_MARGIN", AV$3, $I$3, $N$3, , $J$3, $K$3)/100)),"")</f>
        <v/>
      </c>
      <c r="AW13" s="87" t="str">
        <f>IFERROR(IF(OR($B13="",AW$3=""),"",IF(NOT(ISNUMBER(_xll.ciqfunctions.udf.CIQ($B13, "IQ_GROSS_MARGIN", AW$3, $I$3, $N$3, , $J$3, $K$3))),"",_xll.ciqfunctions.udf.CIQ($B13, "IQ_GROSS_MARGIN", AW$3, $I$3, $N$3, , $J$3, $K$3)/100)),"")</f>
        <v/>
      </c>
      <c r="AX13" s="87" t="str">
        <f>IFERROR(IF(OR($B13="",AX$3=""),"",IF(NOT(ISNUMBER(_xll.ciqfunctions.udf.CIQ($B13, "IQ_GROSS_MARGIN", AX$3, $I$3, $N$3, , $J$3, $K$3))),"",_xll.ciqfunctions.udf.CIQ($B13, "IQ_GROSS_MARGIN", AX$3, $I$3, $N$3, , $J$3, $K$3)/100)),"")</f>
        <v/>
      </c>
      <c r="AY13" s="87" t="str">
        <f>IFERROR(IF(OR($B13="",AY$3=""),"",IF(NOT(ISNUMBER(_xll.ciqfunctions.udf.CIQ($B13, "IQ_GROSS_MARGIN", AY$3, $I$3, $N$3, , $J$3, $K$3))),"",_xll.ciqfunctions.udf.CIQ($B13, "IQ_GROSS_MARGIN", AY$3, $I$3, $N$3, , $J$3, $K$3)/100)),"")</f>
        <v/>
      </c>
      <c r="AZ13" s="88" t="str">
        <f>IFERROR(IF(OR($B13="",AZ$3=""),"",IF(NOT(ISNUMBER(_xll.ciqfunctions.udf.CIQ($B13, "IQ_GROSS_MARGIN", AZ$3, $I$3, $N$3, , $J$3, $K$3))),"",_xll.ciqfunctions.udf.CIQ($B13, "IQ_GROSS_MARGIN", AZ$3, $I$3, $N$3, , $J$3, $K$3)/100)),"")</f>
        <v/>
      </c>
      <c r="BA13" s="73" t="str">
        <f>IFERROR(IF(OR($B13="",BA$3=""),"",IF(NOT(ISNUMBER(_xll.ciqfunctions.udf.CIQ($B13, "IQ_EBITDA_MARGIN", BA$3, $I$3, $N$3, , $J$3, $K$3))),"",_xll.ciqfunctions.udf.CIQ($B13, "IQ_EBITDA_MARGIN", BA$3, $I$3, $N$3, , $J$3, $K$3)/100)),"")</f>
        <v/>
      </c>
      <c r="BB13" s="73" t="str">
        <f>IFERROR(IF(OR($B13="",BB$3=""),"",IF(NOT(ISNUMBER(_xll.ciqfunctions.udf.CIQ($B13, "IQ_EBITDA_MARGIN", BB$3, $I$3, $N$3, , $J$3, $K$3))),"",_xll.ciqfunctions.udf.CIQ($B13, "IQ_EBITDA_MARGIN", BB$3, $I$3, $N$3, , $J$3, $K$3)/100)),"")</f>
        <v/>
      </c>
      <c r="BC13" s="73" t="str">
        <f>IFERROR(IF(OR($B13="",BC$3=""),"",IF(NOT(ISNUMBER(_xll.ciqfunctions.udf.CIQ($B13, "IQ_EBITDA_MARGIN", BC$3, $I$3, $N$3, , $J$3, $K$3))),"",_xll.ciqfunctions.udf.CIQ($B13, "IQ_EBITDA_MARGIN", BC$3, $I$3, $N$3, , $J$3, $K$3)/100)),"")</f>
        <v/>
      </c>
      <c r="BD13" s="73" t="str">
        <f>IFERROR(IF(OR($B13="",BD$3=""),"",IF(NOT(ISNUMBER(_xll.ciqfunctions.udf.CIQ($B13, "IQ_EBITDA_MARGIN", BD$3, $I$3, $N$3, , $J$3, $K$3))),"",_xll.ciqfunctions.udf.CIQ($B13, "IQ_EBITDA_MARGIN", BD$3, $I$3, $N$3, , $J$3, $K$3)/100)),"")</f>
        <v/>
      </c>
      <c r="BE13" s="73" t="str">
        <f>IFERROR(IF(OR($B13="",BE$3=""),"",IF(NOT(ISNUMBER(_xll.ciqfunctions.udf.CIQ($B13, "IQ_EBITDA_MARGIN", BE$3, $I$3, $N$3, , $J$3, $K$3))),"",_xll.ciqfunctions.udf.CIQ($B13, "IQ_EBITDA_MARGIN", BE$3, $I$3, $N$3, , $J$3, $K$3)/100)),"")</f>
        <v/>
      </c>
      <c r="BF13" s="73" t="str">
        <f>IFERROR(IF(OR($B13="",BF$3=""),"",IF(NOT(ISNUMBER(_xll.ciqfunctions.udf.CIQ($B13, "IQ_EBITDA_MARGIN", BF$3, $I$3, $N$3, , $J$3, $K$3))),"",_xll.ciqfunctions.udf.CIQ($B13, "IQ_EBITDA_MARGIN", BF$3, $I$3, $N$3, , $J$3, $K$3)/100)),"")</f>
        <v/>
      </c>
      <c r="BG13" s="73" t="str">
        <f>IFERROR(IF(OR($B13="",BG$3=""),"",IF(NOT(ISNUMBER(_xll.ciqfunctions.udf.CIQ($B13, "IQ_EBITDA_MARGIN", BG$3, $I$3, $N$3, , $J$3, $K$3))),"",_xll.ciqfunctions.udf.CIQ($B13, "IQ_EBITDA_MARGIN", BG$3, $I$3, $N$3, , $J$3, $K$3)/100)),"")</f>
        <v/>
      </c>
      <c r="BH13" s="73" t="str">
        <f>IFERROR(IF(OR($B13="",BH$3=""),"",IF(NOT(ISNUMBER(_xll.ciqfunctions.udf.CIQ($B13, "IQ_EBITDA_MARGIN", BH$3, $I$3, $N$3, , $J$3, $K$3))),"",_xll.ciqfunctions.udf.CIQ($B13, "IQ_EBITDA_MARGIN", BH$3, $I$3, $N$3, , $J$3, $K$3)/100)),"")</f>
        <v/>
      </c>
      <c r="BI13" s="73" t="str">
        <f>IFERROR(IF(OR($B13="",BI$3=""),"",IF(NOT(ISNUMBER(_xll.ciqfunctions.udf.CIQ($B13, "IQ_EBITDA_MARGIN", BI$3, $I$3, $N$3, , $J$3, $K$3))),"",_xll.ciqfunctions.udf.CIQ($B13, "IQ_EBITDA_MARGIN", BI$3, $I$3, $N$3, , $J$3, $K$3)/100)),"")</f>
        <v/>
      </c>
      <c r="BJ13" s="73" t="str">
        <f>IFERROR(IF(OR($B13="",BJ$3=""),"",IF(NOT(ISNUMBER(_xll.ciqfunctions.udf.CIQ($B13, "IQ_EBITDA_MARGIN", BJ$3, $I$3, $N$3, , $J$3, $K$3))),"",_xll.ciqfunctions.udf.CIQ($B13, "IQ_EBITDA_MARGIN", BJ$3, $I$3, $N$3, , $J$3, $K$3)/100)),"")</f>
        <v/>
      </c>
      <c r="BK13" s="73" t="str">
        <f>IFERROR(IF(OR($B13="",BK$3=""),"",IF(NOT(ISNUMBER(_xll.ciqfunctions.udf.CIQ($B13, "IQ_EBITDA_MARGIN", BK$3, $I$3, $N$3, , $J$3, $K$3))),"",_xll.ciqfunctions.udf.CIQ($B13, "IQ_EBITDA_MARGIN", BK$3, $I$3, $N$3, , $J$3, $K$3)/100)),"")</f>
        <v/>
      </c>
      <c r="BL13" s="73" t="str">
        <f>IFERROR(IF(OR($B13="",BL$3=""),"",IF(NOT(ISNUMBER(_xll.ciqfunctions.udf.CIQ($B13, "IQ_EBITDA_MARGIN", BL$3, $I$3, $N$3, , $J$3, $K$3))),"",_xll.ciqfunctions.udf.CIQ($B13, "IQ_EBITDA_MARGIN", BL$3, $I$3, $N$3, , $J$3, $K$3)/100)),"")</f>
        <v/>
      </c>
      <c r="BM13" s="73" t="str">
        <f>IFERROR(IF(OR($B13="",BM$3=""),"",IF(NOT(ISNUMBER(_xll.ciqfunctions.udf.CIQ($B13, "IQ_EBITDA_MARGIN", BM$3, $I$3, $N$3, , $J$3, $K$3))),"",_xll.ciqfunctions.udf.CIQ($B13, "IQ_EBITDA_MARGIN", BM$3, $I$3, $N$3, , $J$3, $K$3)/100)),"")</f>
        <v/>
      </c>
      <c r="BN13" s="73" t="str">
        <f>IFERROR(IF(OR($B13="",BN$3=""),"",IF(NOT(ISNUMBER(_xll.ciqfunctions.udf.CIQ($B13, "IQ_EBITDA_MARGIN", BN$3, $I$3, $N$3, , $J$3, $K$3))),"",_xll.ciqfunctions.udf.CIQ($B13, "IQ_EBITDA_MARGIN", BN$3, $I$3, $N$3, , $J$3, $K$3)/100)),"")</f>
        <v/>
      </c>
      <c r="BO13" s="73" t="str">
        <f>IFERROR(IF(OR($B13="",BO$3=""),"",IF(NOT(ISNUMBER(_xll.ciqfunctions.udf.CIQ($B13, "IQ_EBITDA_MARGIN", BO$3, $I$3, $N$3, , $J$3, $K$3))),"",_xll.ciqfunctions.udf.CIQ($B13, "IQ_EBITDA_MARGIN", BO$3, $I$3, $N$3, , $J$3, $K$3)/100)),"")</f>
        <v/>
      </c>
      <c r="BP13" s="73" t="str">
        <f>IFERROR(IF(OR($B13="",BP$3=""),"",IF(NOT(ISNUMBER(_xll.ciqfunctions.udf.CIQ($B13, "IQ_EBITDA_MARGIN", BP$3, $I$3, $N$3, , $J$3, $K$3))),"",_xll.ciqfunctions.udf.CIQ($B13, "IQ_EBITDA_MARGIN", BP$3, $I$3, $N$3, , $J$3, $K$3)/100)),"")</f>
        <v/>
      </c>
      <c r="BQ13" s="73" t="str">
        <f>IFERROR(IF(OR($B13="",BQ$3=""),"",IF(NOT(ISNUMBER(_xll.ciqfunctions.udf.CIQ($B13, "IQ_EBITDA_MARGIN", BQ$3, $I$3, $N$3, , $J$3, $K$3))),"",_xll.ciqfunctions.udf.CIQ($B13, "IQ_EBITDA_MARGIN", BQ$3, $I$3, $N$3, , $J$3, $K$3)/100)),"")</f>
        <v/>
      </c>
      <c r="BR13" s="73" t="str">
        <f>IFERROR(IF(OR($B13="",BR$3=""),"",IF(NOT(ISNUMBER(_xll.ciqfunctions.udf.CIQ($B13, "IQ_EBITDA_MARGIN", BR$3, $I$3, $N$3, , $J$3, $K$3))),"",_xll.ciqfunctions.udf.CIQ($B13, "IQ_EBITDA_MARGIN", BR$3, $I$3, $N$3, , $J$3, $K$3)/100)),"")</f>
        <v/>
      </c>
      <c r="BS13" s="73" t="str">
        <f>IFERROR(IF(OR($B13="",BS$3=""),"",IF(NOT(ISNUMBER(_xll.ciqfunctions.udf.CIQ($B13, "IQ_EBITDA_MARGIN", BS$3, $I$3, $N$3, , $J$3, $K$3))),"",_xll.ciqfunctions.udf.CIQ($B13, "IQ_EBITDA_MARGIN", BS$3, $I$3, $N$3, , $J$3, $K$3)/100)),"")</f>
        <v/>
      </c>
      <c r="BT13" s="73" t="str">
        <f>IFERROR(IF(OR($B13="",BT$3=""),"",IF(NOT(ISNUMBER(_xll.ciqfunctions.udf.CIQ($B13, "IQ_EBITDA_MARGIN", BT$3, $I$3, $N$3, , $J$3, $K$3))),"",_xll.ciqfunctions.udf.CIQ($B13, "IQ_EBITDA_MARGIN", BT$3, $I$3, $N$3, , $J$3, $K$3)/100)),"")</f>
        <v/>
      </c>
      <c r="BU13" s="86" t="str">
        <f>IFERROR(IF(OR($B13="",BU$3=""),"",IF(NOT(ISNUMBER(_xll.ciqfunctions.udf.CIQ($B13, "IQ_EBIT_MARGIN", BU$3, $I$3, $N$3, , $J$3, $K$3))),"",_xll.ciqfunctions.udf.CIQ($B13, "IQ_EBIT_MARGIN", BU$3, $I$3, $N$3, , $J$3, $K$3)/100)),"")</f>
        <v/>
      </c>
      <c r="BV13" s="87" t="str">
        <f>IFERROR(IF(OR($B13="",BV$3=""),"",IF(NOT(ISNUMBER(_xll.ciqfunctions.udf.CIQ($B13, "IQ_EBIT_MARGIN", BV$3, $I$3, $N$3, , $J$3, $K$3))),"",_xll.ciqfunctions.udf.CIQ($B13, "IQ_EBIT_MARGIN", BV$3, $I$3, $N$3, , $J$3, $K$3)/100)),"")</f>
        <v/>
      </c>
      <c r="BW13" s="87" t="str">
        <f>IFERROR(IF(OR($B13="",BW$3=""),"",IF(NOT(ISNUMBER(_xll.ciqfunctions.udf.CIQ($B13, "IQ_EBIT_MARGIN", BW$3, $I$3, $N$3, , $J$3, $K$3))),"",_xll.ciqfunctions.udf.CIQ($B13, "IQ_EBIT_MARGIN", BW$3, $I$3, $N$3, , $J$3, $K$3)/100)),"")</f>
        <v/>
      </c>
      <c r="BX13" s="87" t="str">
        <f>IFERROR(IF(OR($B13="",BX$3=""),"",IF(NOT(ISNUMBER(_xll.ciqfunctions.udf.CIQ($B13, "IQ_EBIT_MARGIN", BX$3, $I$3, $N$3, , $J$3, $K$3))),"",_xll.ciqfunctions.udf.CIQ($B13, "IQ_EBIT_MARGIN", BX$3, $I$3, $N$3, , $J$3, $K$3)/100)),"")</f>
        <v/>
      </c>
      <c r="BY13" s="87" t="str">
        <f>IFERROR(IF(OR($B13="",BY$3=""),"",IF(NOT(ISNUMBER(_xll.ciqfunctions.udf.CIQ($B13, "IQ_EBIT_MARGIN", BY$3, $I$3, $N$3, , $J$3, $K$3))),"",_xll.ciqfunctions.udf.CIQ($B13, "IQ_EBIT_MARGIN", BY$3, $I$3, $N$3, , $J$3, $K$3)/100)),"")</f>
        <v/>
      </c>
      <c r="BZ13" s="87" t="str">
        <f>IFERROR(IF(OR($B13="",BZ$3=""),"",IF(NOT(ISNUMBER(_xll.ciqfunctions.udf.CIQ($B13, "IQ_EBIT_MARGIN", BZ$3, $I$3, $N$3, , $J$3, $K$3))),"",_xll.ciqfunctions.udf.CIQ($B13, "IQ_EBIT_MARGIN", BZ$3, $I$3, $N$3, , $J$3, $K$3)/100)),"")</f>
        <v/>
      </c>
      <c r="CA13" s="87" t="str">
        <f>IFERROR(IF(OR($B13="",CA$3=""),"",IF(NOT(ISNUMBER(_xll.ciqfunctions.udf.CIQ($B13, "IQ_EBIT_MARGIN", CA$3, $I$3, $N$3, , $J$3, $K$3))),"",_xll.ciqfunctions.udf.CIQ($B13, "IQ_EBIT_MARGIN", CA$3, $I$3, $N$3, , $J$3, $K$3)/100)),"")</f>
        <v/>
      </c>
      <c r="CB13" s="87" t="str">
        <f>IFERROR(IF(OR($B13="",CB$3=""),"",IF(NOT(ISNUMBER(_xll.ciqfunctions.udf.CIQ($B13, "IQ_EBIT_MARGIN", CB$3, $I$3, $N$3, , $J$3, $K$3))),"",_xll.ciqfunctions.udf.CIQ($B13, "IQ_EBIT_MARGIN", CB$3, $I$3, $N$3, , $J$3, $K$3)/100)),"")</f>
        <v/>
      </c>
      <c r="CC13" s="87" t="str">
        <f>IFERROR(IF(OR($B13="",CC$3=""),"",IF(NOT(ISNUMBER(_xll.ciqfunctions.udf.CIQ($B13, "IQ_EBIT_MARGIN", CC$3, $I$3, $N$3, , $J$3, $K$3))),"",_xll.ciqfunctions.udf.CIQ($B13, "IQ_EBIT_MARGIN", CC$3, $I$3, $N$3, , $J$3, $K$3)/100)),"")</f>
        <v/>
      </c>
      <c r="CD13" s="87" t="str">
        <f>IFERROR(IF(OR($B13="",CD$3=""),"",IF(NOT(ISNUMBER(_xll.ciqfunctions.udf.CIQ($B13, "IQ_EBIT_MARGIN", CD$3, $I$3, $N$3, , $J$3, $K$3))),"",_xll.ciqfunctions.udf.CIQ($B13, "IQ_EBIT_MARGIN", CD$3, $I$3, $N$3, , $J$3, $K$3)/100)),"")</f>
        <v/>
      </c>
      <c r="CE13" s="87" t="str">
        <f>IFERROR(IF(OR($B13="",CE$3=""),"",IF(NOT(ISNUMBER(_xll.ciqfunctions.udf.CIQ($B13, "IQ_EBIT_MARGIN", CE$3, $I$3, $N$3, , $J$3, $K$3))),"",_xll.ciqfunctions.udf.CIQ($B13, "IQ_EBIT_MARGIN", CE$3, $I$3, $N$3, , $J$3, $K$3)/100)),"")</f>
        <v/>
      </c>
      <c r="CF13" s="87" t="str">
        <f>IFERROR(IF(OR($B13="",CF$3=""),"",IF(NOT(ISNUMBER(_xll.ciqfunctions.udf.CIQ($B13, "IQ_EBIT_MARGIN", CF$3, $I$3, $N$3, , $J$3, $K$3))),"",_xll.ciqfunctions.udf.CIQ($B13, "IQ_EBIT_MARGIN", CF$3, $I$3, $N$3, , $J$3, $K$3)/100)),"")</f>
        <v/>
      </c>
      <c r="CG13" s="87" t="str">
        <f>IFERROR(IF(OR($B13="",CG$3=""),"",IF(NOT(ISNUMBER(_xll.ciqfunctions.udf.CIQ($B13, "IQ_EBIT_MARGIN", CG$3, $I$3, $N$3, , $J$3, $K$3))),"",_xll.ciqfunctions.udf.CIQ($B13, "IQ_EBIT_MARGIN", CG$3, $I$3, $N$3, , $J$3, $K$3)/100)),"")</f>
        <v/>
      </c>
      <c r="CH13" s="87" t="str">
        <f>IFERROR(IF(OR($B13="",CH$3=""),"",IF(NOT(ISNUMBER(_xll.ciqfunctions.udf.CIQ($B13, "IQ_EBIT_MARGIN", CH$3, $I$3, $N$3, , $J$3, $K$3))),"",_xll.ciqfunctions.udf.CIQ($B13, "IQ_EBIT_MARGIN", CH$3, $I$3, $N$3, , $J$3, $K$3)/100)),"")</f>
        <v/>
      </c>
      <c r="CI13" s="87" t="str">
        <f>IFERROR(IF(OR($B13="",CI$3=""),"",IF(NOT(ISNUMBER(_xll.ciqfunctions.udf.CIQ($B13, "IQ_EBIT_MARGIN", CI$3, $I$3, $N$3, , $J$3, $K$3))),"",_xll.ciqfunctions.udf.CIQ($B13, "IQ_EBIT_MARGIN", CI$3, $I$3, $N$3, , $J$3, $K$3)/100)),"")</f>
        <v/>
      </c>
      <c r="CJ13" s="87" t="str">
        <f>IFERROR(IF(OR($B13="",CJ$3=""),"",IF(NOT(ISNUMBER(_xll.ciqfunctions.udf.CIQ($B13, "IQ_EBIT_MARGIN", CJ$3, $I$3, $N$3, , $J$3, $K$3))),"",_xll.ciqfunctions.udf.CIQ($B13, "IQ_EBIT_MARGIN", CJ$3, $I$3, $N$3, , $J$3, $K$3)/100)),"")</f>
        <v/>
      </c>
      <c r="CK13" s="87" t="str">
        <f>IFERROR(IF(OR($B13="",CK$3=""),"",IF(NOT(ISNUMBER(_xll.ciqfunctions.udf.CIQ($B13, "IQ_EBIT_MARGIN", CK$3, $I$3, $N$3, , $J$3, $K$3))),"",_xll.ciqfunctions.udf.CIQ($B13, "IQ_EBIT_MARGIN", CK$3, $I$3, $N$3, , $J$3, $K$3)/100)),"")</f>
        <v/>
      </c>
      <c r="CL13" s="87" t="str">
        <f>IFERROR(IF(OR($B13="",CL$3=""),"",IF(NOT(ISNUMBER(_xll.ciqfunctions.udf.CIQ($B13, "IQ_EBIT_MARGIN", CL$3, $I$3, $N$3, , $J$3, $K$3))),"",_xll.ciqfunctions.udf.CIQ($B13, "IQ_EBIT_MARGIN", CL$3, $I$3, $N$3, , $J$3, $K$3)/100)),"")</f>
        <v/>
      </c>
      <c r="CM13" s="87" t="str">
        <f>IFERROR(IF(OR($B13="",CM$3=""),"",IF(NOT(ISNUMBER(_xll.ciqfunctions.udf.CIQ($B13, "IQ_EBIT_MARGIN", CM$3, $I$3, $N$3, , $J$3, $K$3))),"",_xll.ciqfunctions.udf.CIQ($B13, "IQ_EBIT_MARGIN", CM$3, $I$3, $N$3, , $J$3, $K$3)/100)),"")</f>
        <v/>
      </c>
      <c r="CN13" s="88" t="str">
        <f>IFERROR(IF(OR($B13="",CN$3=""),"",IF(NOT(ISNUMBER(_xll.ciqfunctions.udf.CIQ($B13, "IQ_EBIT_MARGIN", CN$3, $I$3, $N$3, , $J$3, $K$3))),"",_xll.ciqfunctions.udf.CIQ($B13, "IQ_EBIT_MARGIN", CN$3, $I$3, $N$3, , $J$3, $K$3)/100)),"")</f>
        <v/>
      </c>
      <c r="CO13" s="86" t="str">
        <f>IFERROR(IF(OR($B13="",CO$3=""),"",IF(NOT(ISNUMBER(_xll.ciqfunctions.udf.CIQ($B13, "IQ_NI_MARGIN", CO$3, $I$3, $N$3, , $J$3, $K$3))),"",_xll.ciqfunctions.udf.CIQ($B13, "IQ_NI_MARGIN", CO$3, $I$3, $N$3, , $J$3, $K$3)/100)),"")</f>
        <v/>
      </c>
      <c r="CP13" s="87" t="str">
        <f>IFERROR(IF(OR($B13="",CP$3=""),"",IF(NOT(ISNUMBER(_xll.ciqfunctions.udf.CIQ($B13, "IQ_NI_MARGIN", CP$3, $I$3, $N$3, , $J$3, $K$3))),"",_xll.ciqfunctions.udf.CIQ($B13, "IQ_NI_MARGIN", CP$3, $I$3, $N$3, , $J$3, $K$3)/100)),"")</f>
        <v/>
      </c>
      <c r="CQ13" s="87" t="str">
        <f>IFERROR(IF(OR($B13="",CQ$3=""),"",IF(NOT(ISNUMBER(_xll.ciqfunctions.udf.CIQ($B13, "IQ_NI_MARGIN", CQ$3, $I$3, $N$3, , $J$3, $K$3))),"",_xll.ciqfunctions.udf.CIQ($B13, "IQ_NI_MARGIN", CQ$3, $I$3, $N$3, , $J$3, $K$3)/100)),"")</f>
        <v/>
      </c>
      <c r="CR13" s="87" t="str">
        <f>IFERROR(IF(OR($B13="",CR$3=""),"",IF(NOT(ISNUMBER(_xll.ciqfunctions.udf.CIQ($B13, "IQ_NI_MARGIN", CR$3, $I$3, $N$3, , $J$3, $K$3))),"",_xll.ciqfunctions.udf.CIQ($B13, "IQ_NI_MARGIN", CR$3, $I$3, $N$3, , $J$3, $K$3)/100)),"")</f>
        <v/>
      </c>
      <c r="CS13" s="87" t="str">
        <f>IFERROR(IF(OR($B13="",CS$3=""),"",IF(NOT(ISNUMBER(_xll.ciqfunctions.udf.CIQ($B13, "IQ_NI_MARGIN", CS$3, $I$3, $N$3, , $J$3, $K$3))),"",_xll.ciqfunctions.udf.CIQ($B13, "IQ_NI_MARGIN", CS$3, $I$3, $N$3, , $J$3, $K$3)/100)),"")</f>
        <v/>
      </c>
      <c r="CT13" s="87" t="str">
        <f>IFERROR(IF(OR($B13="",CT$3=""),"",IF(NOT(ISNUMBER(_xll.ciqfunctions.udf.CIQ($B13, "IQ_NI_MARGIN", CT$3, $I$3, $N$3, , $J$3, $K$3))),"",_xll.ciqfunctions.udf.CIQ($B13, "IQ_NI_MARGIN", CT$3, $I$3, $N$3, , $J$3, $K$3)/100)),"")</f>
        <v/>
      </c>
      <c r="CU13" s="87" t="str">
        <f>IFERROR(IF(OR($B13="",CU$3=""),"",IF(NOT(ISNUMBER(_xll.ciqfunctions.udf.CIQ($B13, "IQ_NI_MARGIN", CU$3, $I$3, $N$3, , $J$3, $K$3))),"",_xll.ciqfunctions.udf.CIQ($B13, "IQ_NI_MARGIN", CU$3, $I$3, $N$3, , $J$3, $K$3)/100)),"")</f>
        <v/>
      </c>
      <c r="CV13" s="87" t="str">
        <f>IFERROR(IF(OR($B13="",CV$3=""),"",IF(NOT(ISNUMBER(_xll.ciqfunctions.udf.CIQ($B13, "IQ_NI_MARGIN", CV$3, $I$3, $N$3, , $J$3, $K$3))),"",_xll.ciqfunctions.udf.CIQ($B13, "IQ_NI_MARGIN", CV$3, $I$3, $N$3, , $J$3, $K$3)/100)),"")</f>
        <v/>
      </c>
      <c r="CW13" s="87" t="str">
        <f>IFERROR(IF(OR($B13="",CW$3=""),"",IF(NOT(ISNUMBER(_xll.ciqfunctions.udf.CIQ($B13, "IQ_NI_MARGIN", CW$3, $I$3, $N$3, , $J$3, $K$3))),"",_xll.ciqfunctions.udf.CIQ($B13, "IQ_NI_MARGIN", CW$3, $I$3, $N$3, , $J$3, $K$3)/100)),"")</f>
        <v/>
      </c>
      <c r="CX13" s="87" t="str">
        <f>IFERROR(IF(OR($B13="",CX$3=""),"",IF(NOT(ISNUMBER(_xll.ciqfunctions.udf.CIQ($B13, "IQ_NI_MARGIN", CX$3, $I$3, $N$3, , $J$3, $K$3))),"",_xll.ciqfunctions.udf.CIQ($B13, "IQ_NI_MARGIN", CX$3, $I$3, $N$3, , $J$3, $K$3)/100)),"")</f>
        <v/>
      </c>
      <c r="CY13" s="87" t="str">
        <f>IFERROR(IF(OR($B13="",CY$3=""),"",IF(NOT(ISNUMBER(_xll.ciqfunctions.udf.CIQ($B13, "IQ_NI_MARGIN", CY$3, $I$3, $N$3, , $J$3, $K$3))),"",_xll.ciqfunctions.udf.CIQ($B13, "IQ_NI_MARGIN", CY$3, $I$3, $N$3, , $J$3, $K$3)/100)),"")</f>
        <v/>
      </c>
      <c r="CZ13" s="87" t="str">
        <f>IFERROR(IF(OR($B13="",CZ$3=""),"",IF(NOT(ISNUMBER(_xll.ciqfunctions.udf.CIQ($B13, "IQ_NI_MARGIN", CZ$3, $I$3, $N$3, , $J$3, $K$3))),"",_xll.ciqfunctions.udf.CIQ($B13, "IQ_NI_MARGIN", CZ$3, $I$3, $N$3, , $J$3, $K$3)/100)),"")</f>
        <v/>
      </c>
      <c r="DA13" s="87" t="str">
        <f>IFERROR(IF(OR($B13="",DA$3=""),"",IF(NOT(ISNUMBER(_xll.ciqfunctions.udf.CIQ($B13, "IQ_NI_MARGIN", DA$3, $I$3, $N$3, , $J$3, $K$3))),"",_xll.ciqfunctions.udf.CIQ($B13, "IQ_NI_MARGIN", DA$3, $I$3, $N$3, , $J$3, $K$3)/100)),"")</f>
        <v/>
      </c>
      <c r="DB13" s="87" t="str">
        <f>IFERROR(IF(OR($B13="",DB$3=""),"",IF(NOT(ISNUMBER(_xll.ciqfunctions.udf.CIQ($B13, "IQ_NI_MARGIN", DB$3, $I$3, $N$3, , $J$3, $K$3))),"",_xll.ciqfunctions.udf.CIQ($B13, "IQ_NI_MARGIN", DB$3, $I$3, $N$3, , $J$3, $K$3)/100)),"")</f>
        <v/>
      </c>
      <c r="DC13" s="87" t="str">
        <f>IFERROR(IF(OR($B13="",DC$3=""),"",IF(NOT(ISNUMBER(_xll.ciqfunctions.udf.CIQ($B13, "IQ_NI_MARGIN", DC$3, $I$3, $N$3, , $J$3, $K$3))),"",_xll.ciqfunctions.udf.CIQ($B13, "IQ_NI_MARGIN", DC$3, $I$3, $N$3, , $J$3, $K$3)/100)),"")</f>
        <v/>
      </c>
      <c r="DD13" s="87" t="str">
        <f>IFERROR(IF(OR($B13="",DD$3=""),"",IF(NOT(ISNUMBER(_xll.ciqfunctions.udf.CIQ($B13, "IQ_NI_MARGIN", DD$3, $I$3, $N$3, , $J$3, $K$3))),"",_xll.ciqfunctions.udf.CIQ($B13, "IQ_NI_MARGIN", DD$3, $I$3, $N$3, , $J$3, $K$3)/100)),"")</f>
        <v/>
      </c>
      <c r="DE13" s="87" t="str">
        <f>IFERROR(IF(OR($B13="",DE$3=""),"",IF(NOT(ISNUMBER(_xll.ciqfunctions.udf.CIQ($B13, "IQ_NI_MARGIN", DE$3, $I$3, $N$3, , $J$3, $K$3))),"",_xll.ciqfunctions.udf.CIQ($B13, "IQ_NI_MARGIN", DE$3, $I$3, $N$3, , $J$3, $K$3)/100)),"")</f>
        <v/>
      </c>
      <c r="DF13" s="87" t="str">
        <f>IFERROR(IF(OR($B13="",DF$3=""),"",IF(NOT(ISNUMBER(_xll.ciqfunctions.udf.CIQ($B13, "IQ_NI_MARGIN", DF$3, $I$3, $N$3, , $J$3, $K$3))),"",_xll.ciqfunctions.udf.CIQ($B13, "IQ_NI_MARGIN", DF$3, $I$3, $N$3, , $J$3, $K$3)/100)),"")</f>
        <v/>
      </c>
      <c r="DG13" s="87" t="str">
        <f>IFERROR(IF(OR($B13="",DG$3=""),"",IF(NOT(ISNUMBER(_xll.ciqfunctions.udf.CIQ($B13, "IQ_NI_MARGIN", DG$3, $I$3, $N$3, , $J$3, $K$3))),"",_xll.ciqfunctions.udf.CIQ($B13, "IQ_NI_MARGIN", DG$3, $I$3, $N$3, , $J$3, $K$3)/100)),"")</f>
        <v/>
      </c>
      <c r="DH13" s="88" t="str">
        <f>IFERROR(IF(OR($B13="",DH$3=""),"",IF(NOT(ISNUMBER(_xll.ciqfunctions.udf.CIQ($B13, "IQ_NI_MARGIN", DH$3, $I$3, $N$3, , $J$3, $K$3))),"",_xll.ciqfunctions.udf.CIQ($B13, "IQ_NI_MARGIN", DH$3, $I$3, $N$3, , $J$3, $K$3)/100)),"")</f>
        <v/>
      </c>
      <c r="DI13" s="86" t="str">
        <f>IFERROR(IF(OR($B13="",DI$3=""),"",IF(OR(NOT(ISNUMBER(_xll.ciqfunctions.udf.CIQ($B13, "IQ_COGS", DI$3, $I$3, $N$3, , $J$3, $K$3))),NOT(ISNUMBER(_xll.ciqfunctions.udf.CIQ($B13, "IQ_TOTAL_REVENUE", DI$3, $I$3, $N$3, , $J$3, $K$3)))),"",_xll.ciqfunctions.udf.CIQ($B13, "IQ_COGS", DI$3, $I$3, $N$3, , $J$3, $K$3)/_xll.ciqfunctions.udf.CIQ($B13, "IQ_TOTAL_REVENUE", DI$3, $I$3, $N$3, , $J$3, $K$3))),"")</f>
        <v/>
      </c>
      <c r="DJ13" s="87" t="str">
        <f>IFERROR(IF(OR($B13="",DJ$3=""),"",IF(OR(NOT(ISNUMBER(_xll.ciqfunctions.udf.CIQ($B13, "IQ_COGS", DJ$3, $I$3, $N$3, , $J$3, $K$3))),NOT(ISNUMBER(_xll.ciqfunctions.udf.CIQ($B13, "IQ_TOTAL_REVENUE", DJ$3, $I$3, $N$3, , $J$3, $K$3)))),"",_xll.ciqfunctions.udf.CIQ($B13, "IQ_COGS", DJ$3, $I$3, $N$3, , $J$3, $K$3)/_xll.ciqfunctions.udf.CIQ($B13, "IQ_TOTAL_REVENUE", DJ$3, $I$3, $N$3, , $J$3, $K$3))),"")</f>
        <v/>
      </c>
      <c r="DK13" s="87" t="str">
        <f>IFERROR(IF(OR($B13="",DK$3=""),"",IF(OR(NOT(ISNUMBER(_xll.ciqfunctions.udf.CIQ($B13, "IQ_COGS", DK$3, $I$3, $N$3, , $J$3, $K$3))),NOT(ISNUMBER(_xll.ciqfunctions.udf.CIQ($B13, "IQ_TOTAL_REVENUE", DK$3, $I$3, $N$3, , $J$3, $K$3)))),"",_xll.ciqfunctions.udf.CIQ($B13, "IQ_COGS", DK$3, $I$3, $N$3, , $J$3, $K$3)/_xll.ciqfunctions.udf.CIQ($B13, "IQ_TOTAL_REVENUE", DK$3, $I$3, $N$3, , $J$3, $K$3))),"")</f>
        <v/>
      </c>
      <c r="DL13" s="87" t="str">
        <f>IFERROR(IF(OR($B13="",DL$3=""),"",IF(OR(NOT(ISNUMBER(_xll.ciqfunctions.udf.CIQ($B13, "IQ_COGS", DL$3, $I$3, $N$3, , $J$3, $K$3))),NOT(ISNUMBER(_xll.ciqfunctions.udf.CIQ($B13, "IQ_TOTAL_REVENUE", DL$3, $I$3, $N$3, , $J$3, $K$3)))),"",_xll.ciqfunctions.udf.CIQ($B13, "IQ_COGS", DL$3, $I$3, $N$3, , $J$3, $K$3)/_xll.ciqfunctions.udf.CIQ($B13, "IQ_TOTAL_REVENUE", DL$3, $I$3, $N$3, , $J$3, $K$3))),"")</f>
        <v/>
      </c>
      <c r="DM13" s="87" t="str">
        <f>IFERROR(IF(OR($B13="",DM$3=""),"",IF(OR(NOT(ISNUMBER(_xll.ciqfunctions.udf.CIQ($B13, "IQ_COGS", DM$3, $I$3, $N$3, , $J$3, $K$3))),NOT(ISNUMBER(_xll.ciqfunctions.udf.CIQ($B13, "IQ_TOTAL_REVENUE", DM$3, $I$3, $N$3, , $J$3, $K$3)))),"",_xll.ciqfunctions.udf.CIQ($B13, "IQ_COGS", DM$3, $I$3, $N$3, , $J$3, $K$3)/_xll.ciqfunctions.udf.CIQ($B13, "IQ_TOTAL_REVENUE", DM$3, $I$3, $N$3, , $J$3, $K$3))),"")</f>
        <v/>
      </c>
      <c r="DN13" s="87" t="str">
        <f>IFERROR(IF(OR($B13="",DN$3=""),"",IF(OR(NOT(ISNUMBER(_xll.ciqfunctions.udf.CIQ($B13, "IQ_COGS", DN$3, $I$3, $N$3, , $J$3, $K$3))),NOT(ISNUMBER(_xll.ciqfunctions.udf.CIQ($B13, "IQ_TOTAL_REVENUE", DN$3, $I$3, $N$3, , $J$3, $K$3)))),"",_xll.ciqfunctions.udf.CIQ($B13, "IQ_COGS", DN$3, $I$3, $N$3, , $J$3, $K$3)/_xll.ciqfunctions.udf.CIQ($B13, "IQ_TOTAL_REVENUE", DN$3, $I$3, $N$3, , $J$3, $K$3))),"")</f>
        <v/>
      </c>
      <c r="DO13" s="87" t="str">
        <f>IFERROR(IF(OR($B13="",DO$3=""),"",IF(OR(NOT(ISNUMBER(_xll.ciqfunctions.udf.CIQ($B13, "IQ_COGS", DO$3, $I$3, $N$3, , $J$3, $K$3))),NOT(ISNUMBER(_xll.ciqfunctions.udf.CIQ($B13, "IQ_TOTAL_REVENUE", DO$3, $I$3, $N$3, , $J$3, $K$3)))),"",_xll.ciqfunctions.udf.CIQ($B13, "IQ_COGS", DO$3, $I$3, $N$3, , $J$3, $K$3)/_xll.ciqfunctions.udf.CIQ($B13, "IQ_TOTAL_REVENUE", DO$3, $I$3, $N$3, , $J$3, $K$3))),"")</f>
        <v/>
      </c>
      <c r="DP13" s="87" t="str">
        <f>IFERROR(IF(OR($B13="",DP$3=""),"",IF(OR(NOT(ISNUMBER(_xll.ciqfunctions.udf.CIQ($B13, "IQ_COGS", DP$3, $I$3, $N$3, , $J$3, $K$3))),NOT(ISNUMBER(_xll.ciqfunctions.udf.CIQ($B13, "IQ_TOTAL_REVENUE", DP$3, $I$3, $N$3, , $J$3, $K$3)))),"",_xll.ciqfunctions.udf.CIQ($B13, "IQ_COGS", DP$3, $I$3, $N$3, , $J$3, $K$3)/_xll.ciqfunctions.udf.CIQ($B13, "IQ_TOTAL_REVENUE", DP$3, $I$3, $N$3, , $J$3, $K$3))),"")</f>
        <v/>
      </c>
      <c r="DQ13" s="87" t="str">
        <f>IFERROR(IF(OR($B13="",DQ$3=""),"",IF(OR(NOT(ISNUMBER(_xll.ciqfunctions.udf.CIQ($B13, "IQ_COGS", DQ$3, $I$3, $N$3, , $J$3, $K$3))),NOT(ISNUMBER(_xll.ciqfunctions.udf.CIQ($B13, "IQ_TOTAL_REVENUE", DQ$3, $I$3, $N$3, , $J$3, $K$3)))),"",_xll.ciqfunctions.udf.CIQ($B13, "IQ_COGS", DQ$3, $I$3, $N$3, , $J$3, $K$3)/_xll.ciqfunctions.udf.CIQ($B13, "IQ_TOTAL_REVENUE", DQ$3, $I$3, $N$3, , $J$3, $K$3))),"")</f>
        <v/>
      </c>
      <c r="DR13" s="87" t="str">
        <f>IFERROR(IF(OR($B13="",DR$3=""),"",IF(OR(NOT(ISNUMBER(_xll.ciqfunctions.udf.CIQ($B13, "IQ_COGS", DR$3, $I$3, $N$3, , $J$3, $K$3))),NOT(ISNUMBER(_xll.ciqfunctions.udf.CIQ($B13, "IQ_TOTAL_REVENUE", DR$3, $I$3, $N$3, , $J$3, $K$3)))),"",_xll.ciqfunctions.udf.CIQ($B13, "IQ_COGS", DR$3, $I$3, $N$3, , $J$3, $K$3)/_xll.ciqfunctions.udf.CIQ($B13, "IQ_TOTAL_REVENUE", DR$3, $I$3, $N$3, , $J$3, $K$3))),"")</f>
        <v/>
      </c>
      <c r="DS13" s="87" t="str">
        <f>IFERROR(IF(OR($B13="",DS$3=""),"",IF(OR(NOT(ISNUMBER(_xll.ciqfunctions.udf.CIQ($B13, "IQ_COGS", DS$3, $I$3, $N$3, , $J$3, $K$3))),NOT(ISNUMBER(_xll.ciqfunctions.udf.CIQ($B13, "IQ_TOTAL_REVENUE", DS$3, $I$3, $N$3, , $J$3, $K$3)))),"",_xll.ciqfunctions.udf.CIQ($B13, "IQ_COGS", DS$3, $I$3, $N$3, , $J$3, $K$3)/_xll.ciqfunctions.udf.CIQ($B13, "IQ_TOTAL_REVENUE", DS$3, $I$3, $N$3, , $J$3, $K$3))),"")</f>
        <v/>
      </c>
      <c r="DT13" s="87" t="str">
        <f>IFERROR(IF(OR($B13="",DT$3=""),"",IF(OR(NOT(ISNUMBER(_xll.ciqfunctions.udf.CIQ($B13, "IQ_COGS", DT$3, $I$3, $N$3, , $J$3, $K$3))),NOT(ISNUMBER(_xll.ciqfunctions.udf.CIQ($B13, "IQ_TOTAL_REVENUE", DT$3, $I$3, $N$3, , $J$3, $K$3)))),"",_xll.ciqfunctions.udf.CIQ($B13, "IQ_COGS", DT$3, $I$3, $N$3, , $J$3, $K$3)/_xll.ciqfunctions.udf.CIQ($B13, "IQ_TOTAL_REVENUE", DT$3, $I$3, $N$3, , $J$3, $K$3))),"")</f>
        <v/>
      </c>
      <c r="DU13" s="87" t="str">
        <f>IFERROR(IF(OR($B13="",DU$3=""),"",IF(OR(NOT(ISNUMBER(_xll.ciqfunctions.udf.CIQ($B13, "IQ_COGS", DU$3, $I$3, $N$3, , $J$3, $K$3))),NOT(ISNUMBER(_xll.ciqfunctions.udf.CIQ($B13, "IQ_TOTAL_REVENUE", DU$3, $I$3, $N$3, , $J$3, $K$3)))),"",_xll.ciqfunctions.udf.CIQ($B13, "IQ_COGS", DU$3, $I$3, $N$3, , $J$3, $K$3)/_xll.ciqfunctions.udf.CIQ($B13, "IQ_TOTAL_REVENUE", DU$3, $I$3, $N$3, , $J$3, $K$3))),"")</f>
        <v/>
      </c>
      <c r="DV13" s="87" t="str">
        <f>IFERROR(IF(OR($B13="",DV$3=""),"",IF(OR(NOT(ISNUMBER(_xll.ciqfunctions.udf.CIQ($B13, "IQ_COGS", DV$3, $I$3, $N$3, , $J$3, $K$3))),NOT(ISNUMBER(_xll.ciqfunctions.udf.CIQ($B13, "IQ_TOTAL_REVENUE", DV$3, $I$3, $N$3, , $J$3, $K$3)))),"",_xll.ciqfunctions.udf.CIQ($B13, "IQ_COGS", DV$3, $I$3, $N$3, , $J$3, $K$3)/_xll.ciqfunctions.udf.CIQ($B13, "IQ_TOTAL_REVENUE", DV$3, $I$3, $N$3, , $J$3, $K$3))),"")</f>
        <v/>
      </c>
      <c r="DW13" s="87" t="str">
        <f>IFERROR(IF(OR($B13="",DW$3=""),"",IF(OR(NOT(ISNUMBER(_xll.ciqfunctions.udf.CIQ($B13, "IQ_COGS", DW$3, $I$3, $N$3, , $J$3, $K$3))),NOT(ISNUMBER(_xll.ciqfunctions.udf.CIQ($B13, "IQ_TOTAL_REVENUE", DW$3, $I$3, $N$3, , $J$3, $K$3)))),"",_xll.ciqfunctions.udf.CIQ($B13, "IQ_COGS", DW$3, $I$3, $N$3, , $J$3, $K$3)/_xll.ciqfunctions.udf.CIQ($B13, "IQ_TOTAL_REVENUE", DW$3, $I$3, $N$3, , $J$3, $K$3))),"")</f>
        <v/>
      </c>
      <c r="DX13" s="87" t="str">
        <f>IFERROR(IF(OR($B13="",DX$3=""),"",IF(OR(NOT(ISNUMBER(_xll.ciqfunctions.udf.CIQ($B13, "IQ_COGS", DX$3, $I$3, $N$3, , $J$3, $K$3))),NOT(ISNUMBER(_xll.ciqfunctions.udf.CIQ($B13, "IQ_TOTAL_REVENUE", DX$3, $I$3, $N$3, , $J$3, $K$3)))),"",_xll.ciqfunctions.udf.CIQ($B13, "IQ_COGS", DX$3, $I$3, $N$3, , $J$3, $K$3)/_xll.ciqfunctions.udf.CIQ($B13, "IQ_TOTAL_REVENUE", DX$3, $I$3, $N$3, , $J$3, $K$3))),"")</f>
        <v/>
      </c>
      <c r="DY13" s="87" t="str">
        <f>IFERROR(IF(OR($B13="",DY$3=""),"",IF(OR(NOT(ISNUMBER(_xll.ciqfunctions.udf.CIQ($B13, "IQ_COGS", DY$3, $I$3, $N$3, , $J$3, $K$3))),NOT(ISNUMBER(_xll.ciqfunctions.udf.CIQ($B13, "IQ_TOTAL_REVENUE", DY$3, $I$3, $N$3, , $J$3, $K$3)))),"",_xll.ciqfunctions.udf.CIQ($B13, "IQ_COGS", DY$3, $I$3, $N$3, , $J$3, $K$3)/_xll.ciqfunctions.udf.CIQ($B13, "IQ_TOTAL_REVENUE", DY$3, $I$3, $N$3, , $J$3, $K$3))),"")</f>
        <v/>
      </c>
      <c r="DZ13" s="87" t="str">
        <f>IFERROR(IF(OR($B13="",DZ$3=""),"",IF(OR(NOT(ISNUMBER(_xll.ciqfunctions.udf.CIQ($B13, "IQ_COGS", DZ$3, $I$3, $N$3, , $J$3, $K$3))),NOT(ISNUMBER(_xll.ciqfunctions.udf.CIQ($B13, "IQ_TOTAL_REVENUE", DZ$3, $I$3, $N$3, , $J$3, $K$3)))),"",_xll.ciqfunctions.udf.CIQ($B13, "IQ_COGS", DZ$3, $I$3, $N$3, , $J$3, $K$3)/_xll.ciqfunctions.udf.CIQ($B13, "IQ_TOTAL_REVENUE", DZ$3, $I$3, $N$3, , $J$3, $K$3))),"")</f>
        <v/>
      </c>
      <c r="EA13" s="87" t="str">
        <f>IFERROR(IF(OR($B13="",EA$3=""),"",IF(OR(NOT(ISNUMBER(_xll.ciqfunctions.udf.CIQ($B13, "IQ_COGS", EA$3, $I$3, $N$3, , $J$3, $K$3))),NOT(ISNUMBER(_xll.ciqfunctions.udf.CIQ($B13, "IQ_TOTAL_REVENUE", EA$3, $I$3, $N$3, , $J$3, $K$3)))),"",_xll.ciqfunctions.udf.CIQ($B13, "IQ_COGS", EA$3, $I$3, $N$3, , $J$3, $K$3)/_xll.ciqfunctions.udf.CIQ($B13, "IQ_TOTAL_REVENUE", EA$3, $I$3, $N$3, , $J$3, $K$3))),"")</f>
        <v/>
      </c>
      <c r="EB13" s="88" t="str">
        <f>IFERROR(IF(OR($B13="",EB$3=""),"",IF(OR(NOT(ISNUMBER(_xll.ciqfunctions.udf.CIQ($B13, "IQ_COGS", EB$3, $I$3, $N$3, , $J$3, $K$3))),NOT(ISNUMBER(_xll.ciqfunctions.udf.CIQ($B13, "IQ_TOTAL_REVENUE", EB$3, $I$3, $N$3, , $J$3, $K$3)))),"",_xll.ciqfunctions.udf.CIQ($B13, "IQ_COGS", EB$3, $I$3, $N$3, , $J$3, $K$3)/_xll.ciqfunctions.udf.CIQ($B13, "IQ_TOTAL_REVENUE", EB$3, $I$3, $N$3, , $J$3, $K$3))),"")</f>
        <v/>
      </c>
      <c r="EC13" s="86" t="str">
        <f>IFERROR(IF(OR($B13="",EC$3=""),"",(_xll.ciqfunctions.udf.CIQ($B13,"IQ_TOTAL_REVENUE",EC$3, $I$3, $N$3, , $J$3, $K$3)-_xll.ciqfunctions.udf.CIQ($B13,"IQ_COGS",EC$3, $I$3, $N$3, , $J$3, $K$3)-_xll.ciqfunctions.udf.CIQ($B13,"IQ_EBITDA",EC$3, $I$3, $N$3, , $J$3, $K$3))/_xll.ciqfunctions.udf.CIQ($B13,"IQ_TOTAL_REVENUE",EC$3, $I$3, $N$3, , $J$3, $K$3)),"")</f>
        <v/>
      </c>
      <c r="ED13" s="87" t="str">
        <f>IFERROR(IF(OR($B13="",ED$3=""),"",(_xll.ciqfunctions.udf.CIQ($B13,"IQ_TOTAL_REVENUE",ED$3, $I$3, $N$3, , $J$3, $K$3)-_xll.ciqfunctions.udf.CIQ($B13,"IQ_COGS",ED$3, $I$3, $N$3, , $J$3, $K$3)-_xll.ciqfunctions.udf.CIQ($B13,"IQ_EBITDA",ED$3, $I$3, $N$3, , $J$3, $K$3))/_xll.ciqfunctions.udf.CIQ($B13,"IQ_TOTAL_REVENUE",ED$3, $I$3, $N$3, , $J$3, $K$3)),"")</f>
        <v/>
      </c>
      <c r="EE13" s="87" t="str">
        <f>IFERROR(IF(OR($B13="",EE$3=""),"",(_xll.ciqfunctions.udf.CIQ($B13,"IQ_TOTAL_REVENUE",EE$3, $I$3, $N$3, , $J$3, $K$3)-_xll.ciqfunctions.udf.CIQ($B13,"IQ_COGS",EE$3, $I$3, $N$3, , $J$3, $K$3)-_xll.ciqfunctions.udf.CIQ($B13,"IQ_EBITDA",EE$3, $I$3, $N$3, , $J$3, $K$3))/_xll.ciqfunctions.udf.CIQ($B13,"IQ_TOTAL_REVENUE",EE$3, $I$3, $N$3, , $J$3, $K$3)),"")</f>
        <v/>
      </c>
      <c r="EF13" s="87" t="str">
        <f>IFERROR(IF(OR($B13="",EF$3=""),"",(_xll.ciqfunctions.udf.CIQ($B13,"IQ_TOTAL_REVENUE",EF$3, $I$3, $N$3, , $J$3, $K$3)-_xll.ciqfunctions.udf.CIQ($B13,"IQ_COGS",EF$3, $I$3, $N$3, , $J$3, $K$3)-_xll.ciqfunctions.udf.CIQ($B13,"IQ_EBITDA",EF$3, $I$3, $N$3, , $J$3, $K$3))/_xll.ciqfunctions.udf.CIQ($B13,"IQ_TOTAL_REVENUE",EF$3, $I$3, $N$3, , $J$3, $K$3)),"")</f>
        <v/>
      </c>
      <c r="EG13" s="87" t="str">
        <f>IFERROR(IF(OR($B13="",EG$3=""),"",(_xll.ciqfunctions.udf.CIQ($B13,"IQ_TOTAL_REVENUE",EG$3, $I$3, $N$3, , $J$3, $K$3)-_xll.ciqfunctions.udf.CIQ($B13,"IQ_COGS",EG$3, $I$3, $N$3, , $J$3, $K$3)-_xll.ciqfunctions.udf.CIQ($B13,"IQ_EBITDA",EG$3, $I$3, $N$3, , $J$3, $K$3))/_xll.ciqfunctions.udf.CIQ($B13,"IQ_TOTAL_REVENUE",EG$3, $I$3, $N$3, , $J$3, $K$3)),"")</f>
        <v/>
      </c>
      <c r="EH13" s="87" t="str">
        <f>IFERROR(IF(OR($B13="",EH$3=""),"",(_xll.ciqfunctions.udf.CIQ($B13,"IQ_TOTAL_REVENUE",EH$3, $I$3, $N$3, , $J$3, $K$3)-_xll.ciqfunctions.udf.CIQ($B13,"IQ_COGS",EH$3, $I$3, $N$3, , $J$3, $K$3)-_xll.ciqfunctions.udf.CIQ($B13,"IQ_EBITDA",EH$3, $I$3, $N$3, , $J$3, $K$3))/_xll.ciqfunctions.udf.CIQ($B13,"IQ_TOTAL_REVENUE",EH$3, $I$3, $N$3, , $J$3, $K$3)),"")</f>
        <v/>
      </c>
      <c r="EI13" s="87" t="str">
        <f>IFERROR(IF(OR($B13="",EI$3=""),"",(_xll.ciqfunctions.udf.CIQ($B13,"IQ_TOTAL_REVENUE",EI$3, $I$3, $N$3, , $J$3, $K$3)-_xll.ciqfunctions.udf.CIQ($B13,"IQ_COGS",EI$3, $I$3, $N$3, , $J$3, $K$3)-_xll.ciqfunctions.udf.CIQ($B13,"IQ_EBITDA",EI$3, $I$3, $N$3, , $J$3, $K$3))/_xll.ciqfunctions.udf.CIQ($B13,"IQ_TOTAL_REVENUE",EI$3, $I$3, $N$3, , $J$3, $K$3)),"")</f>
        <v/>
      </c>
      <c r="EJ13" s="87" t="str">
        <f>IFERROR(IF(OR($B13="",EJ$3=""),"",(_xll.ciqfunctions.udf.CIQ($B13,"IQ_TOTAL_REVENUE",EJ$3, $I$3, $N$3, , $J$3, $K$3)-_xll.ciqfunctions.udf.CIQ($B13,"IQ_COGS",EJ$3, $I$3, $N$3, , $J$3, $K$3)-_xll.ciqfunctions.udf.CIQ($B13,"IQ_EBITDA",EJ$3, $I$3, $N$3, , $J$3, $K$3))/_xll.ciqfunctions.udf.CIQ($B13,"IQ_TOTAL_REVENUE",EJ$3, $I$3, $N$3, , $J$3, $K$3)),"")</f>
        <v/>
      </c>
      <c r="EK13" s="87" t="str">
        <f>IFERROR(IF(OR($B13="",EK$3=""),"",(_xll.ciqfunctions.udf.CIQ($B13,"IQ_TOTAL_REVENUE",EK$3, $I$3, $N$3, , $J$3, $K$3)-_xll.ciqfunctions.udf.CIQ($B13,"IQ_COGS",EK$3, $I$3, $N$3, , $J$3, $K$3)-_xll.ciqfunctions.udf.CIQ($B13,"IQ_EBITDA",EK$3, $I$3, $N$3, , $J$3, $K$3))/_xll.ciqfunctions.udf.CIQ($B13,"IQ_TOTAL_REVENUE",EK$3, $I$3, $N$3, , $J$3, $K$3)),"")</f>
        <v/>
      </c>
      <c r="EL13" s="87" t="str">
        <f>IFERROR(IF(OR($B13="",EL$3=""),"",(_xll.ciqfunctions.udf.CIQ($B13,"IQ_TOTAL_REVENUE",EL$3, $I$3, $N$3, , $J$3, $K$3)-_xll.ciqfunctions.udf.CIQ($B13,"IQ_COGS",EL$3, $I$3, $N$3, , $J$3, $K$3)-_xll.ciqfunctions.udf.CIQ($B13,"IQ_EBITDA",EL$3, $I$3, $N$3, , $J$3, $K$3))/_xll.ciqfunctions.udf.CIQ($B13,"IQ_TOTAL_REVENUE",EL$3, $I$3, $N$3, , $J$3, $K$3)),"")</f>
        <v/>
      </c>
      <c r="EM13" s="87" t="str">
        <f>IFERROR(IF(OR($B13="",EM$3=""),"",(_xll.ciqfunctions.udf.CIQ($B13,"IQ_TOTAL_REVENUE",EM$3, $I$3, $N$3, , $J$3, $K$3)-_xll.ciqfunctions.udf.CIQ($B13,"IQ_COGS",EM$3, $I$3, $N$3, , $J$3, $K$3)-_xll.ciqfunctions.udf.CIQ($B13,"IQ_EBITDA",EM$3, $I$3, $N$3, , $J$3, $K$3))/_xll.ciqfunctions.udf.CIQ($B13,"IQ_TOTAL_REVENUE",EM$3, $I$3, $N$3, , $J$3, $K$3)),"")</f>
        <v/>
      </c>
      <c r="EN13" s="87" t="str">
        <f>IFERROR(IF(OR($B13="",EN$3=""),"",(_xll.ciqfunctions.udf.CIQ($B13,"IQ_TOTAL_REVENUE",EN$3, $I$3, $N$3, , $J$3, $K$3)-_xll.ciqfunctions.udf.CIQ($B13,"IQ_COGS",EN$3, $I$3, $N$3, , $J$3, $K$3)-_xll.ciqfunctions.udf.CIQ($B13,"IQ_EBITDA",EN$3, $I$3, $N$3, , $J$3, $K$3))/_xll.ciqfunctions.udf.CIQ($B13,"IQ_TOTAL_REVENUE",EN$3, $I$3, $N$3, , $J$3, $K$3)),"")</f>
        <v/>
      </c>
      <c r="EO13" s="87" t="str">
        <f>IFERROR(IF(OR($B13="",EO$3=""),"",(_xll.ciqfunctions.udf.CIQ($B13,"IQ_TOTAL_REVENUE",EO$3, $I$3, $N$3, , $J$3, $K$3)-_xll.ciqfunctions.udf.CIQ($B13,"IQ_COGS",EO$3, $I$3, $N$3, , $J$3, $K$3)-_xll.ciqfunctions.udf.CIQ($B13,"IQ_EBITDA",EO$3, $I$3, $N$3, , $J$3, $K$3))/_xll.ciqfunctions.udf.CIQ($B13,"IQ_TOTAL_REVENUE",EO$3, $I$3, $N$3, , $J$3, $K$3)),"")</f>
        <v/>
      </c>
      <c r="EP13" s="87" t="str">
        <f>IFERROR(IF(OR($B13="",EP$3=""),"",(_xll.ciqfunctions.udf.CIQ($B13,"IQ_TOTAL_REVENUE",EP$3, $I$3, $N$3, , $J$3, $K$3)-_xll.ciqfunctions.udf.CIQ($B13,"IQ_COGS",EP$3, $I$3, $N$3, , $J$3, $K$3)-_xll.ciqfunctions.udf.CIQ($B13,"IQ_EBITDA",EP$3, $I$3, $N$3, , $J$3, $K$3))/_xll.ciqfunctions.udf.CIQ($B13,"IQ_TOTAL_REVENUE",EP$3, $I$3, $N$3, , $J$3, $K$3)),"")</f>
        <v/>
      </c>
      <c r="EQ13" s="87" t="str">
        <f>IFERROR(IF(OR($B13="",EQ$3=""),"",(_xll.ciqfunctions.udf.CIQ($B13,"IQ_TOTAL_REVENUE",EQ$3, $I$3, $N$3, , $J$3, $K$3)-_xll.ciqfunctions.udf.CIQ($B13,"IQ_COGS",EQ$3, $I$3, $N$3, , $J$3, $K$3)-_xll.ciqfunctions.udf.CIQ($B13,"IQ_EBITDA",EQ$3, $I$3, $N$3, , $J$3, $K$3))/_xll.ciqfunctions.udf.CIQ($B13,"IQ_TOTAL_REVENUE",EQ$3, $I$3, $N$3, , $J$3, $K$3)),"")</f>
        <v/>
      </c>
      <c r="ER13" s="87" t="str">
        <f>IFERROR(IF(OR($B13="",ER$3=""),"",(_xll.ciqfunctions.udf.CIQ($B13,"IQ_TOTAL_REVENUE",ER$3, $I$3, $N$3, , $J$3, $K$3)-_xll.ciqfunctions.udf.CIQ($B13,"IQ_COGS",ER$3, $I$3, $N$3, , $J$3, $K$3)-_xll.ciqfunctions.udf.CIQ($B13,"IQ_EBITDA",ER$3, $I$3, $N$3, , $J$3, $K$3))/_xll.ciqfunctions.udf.CIQ($B13,"IQ_TOTAL_REVENUE",ER$3, $I$3, $N$3, , $J$3, $K$3)),"")</f>
        <v/>
      </c>
      <c r="ES13" s="87" t="str">
        <f>IFERROR(IF(OR($B13="",ES$3=""),"",(_xll.ciqfunctions.udf.CIQ($B13,"IQ_TOTAL_REVENUE",ES$3, $I$3, $N$3, , $J$3, $K$3)-_xll.ciqfunctions.udf.CIQ($B13,"IQ_COGS",ES$3, $I$3, $N$3, , $J$3, $K$3)-_xll.ciqfunctions.udf.CIQ($B13,"IQ_EBITDA",ES$3, $I$3, $N$3, , $J$3, $K$3))/_xll.ciqfunctions.udf.CIQ($B13,"IQ_TOTAL_REVENUE",ES$3, $I$3, $N$3, , $J$3, $K$3)),"")</f>
        <v/>
      </c>
      <c r="ET13" s="87" t="str">
        <f>IFERROR(IF(OR($B13="",ET$3=""),"",(_xll.ciqfunctions.udf.CIQ($B13,"IQ_TOTAL_REVENUE",ET$3, $I$3, $N$3, , $J$3, $K$3)-_xll.ciqfunctions.udf.CIQ($B13,"IQ_COGS",ET$3, $I$3, $N$3, , $J$3, $K$3)-_xll.ciqfunctions.udf.CIQ($B13,"IQ_EBITDA",ET$3, $I$3, $N$3, , $J$3, $K$3))/_xll.ciqfunctions.udf.CIQ($B13,"IQ_TOTAL_REVENUE",ET$3, $I$3, $N$3, , $J$3, $K$3)),"")</f>
        <v/>
      </c>
      <c r="EU13" s="87" t="str">
        <f>IFERROR(IF(OR($B13="",EU$3=""),"",(_xll.ciqfunctions.udf.CIQ($B13,"IQ_TOTAL_REVENUE",EU$3, $I$3, $N$3, , $J$3, $K$3)-_xll.ciqfunctions.udf.CIQ($B13,"IQ_COGS",EU$3, $I$3, $N$3, , $J$3, $K$3)-_xll.ciqfunctions.udf.CIQ($B13,"IQ_EBITDA",EU$3, $I$3, $N$3, , $J$3, $K$3))/_xll.ciqfunctions.udf.CIQ($B13,"IQ_TOTAL_REVENUE",EU$3, $I$3, $N$3, , $J$3, $K$3)),"")</f>
        <v/>
      </c>
      <c r="EV13" s="88" t="str">
        <f>IFERROR(IF(OR($B13="",EV$3=""),"",(_xll.ciqfunctions.udf.CIQ($B13,"IQ_TOTAL_REVENUE",EV$3, $I$3, $N$3, , $J$3, $K$3)-_xll.ciqfunctions.udf.CIQ($B13,"IQ_COGS",EV$3, $I$3, $N$3, , $J$3, $K$3)-_xll.ciqfunctions.udf.CIQ($B13,"IQ_EBITDA",EV$3, $I$3, $N$3, , $J$3, $K$3))/_xll.ciqfunctions.udf.CIQ($B13,"IQ_TOTAL_REVENUE",EV$3, $I$3, $N$3, , $J$3, $K$3)),"")</f>
        <v/>
      </c>
      <c r="EW13" s="72" t="str">
        <f>IFERROR(IF(OR($B13="",EW$3=""),"",IF(AND($EW$4="No",_xll.ciqfunctions.udf.CIQ($B13, "IQ_SGA_MARGIN", EW$3, $I$3, $N$3, , $J$3, $K$3)&lt;=0),"",_xll.ciqfunctions.udf.CIQ($B13, "IQ_SGA_MARGIN", EW$3, $I$3, $N$3, , $J$3, $K$3)/100)),"")</f>
        <v/>
      </c>
      <c r="EX13" s="72" t="str">
        <f>IFERROR(IF(OR($B13="",EX$3=""),"",IF(AND($EW$4="No",_xll.ciqfunctions.udf.CIQ($B13, "IQ_SGA_MARGIN", EX$3, $I$3, $N$3, , $J$3, $K$3)&lt;=0),"",_xll.ciqfunctions.udf.CIQ($B13, "IQ_SGA_MARGIN", EX$3, $I$3, $N$3, , $J$3, $K$3)/100)),"")</f>
        <v/>
      </c>
      <c r="EY13" s="72" t="str">
        <f>IFERROR(IF(OR($B13="",EY$3=""),"",IF(AND($EW$4="No",_xll.ciqfunctions.udf.CIQ($B13, "IQ_SGA_MARGIN", EY$3, $I$3, $N$3, , $J$3, $K$3)&lt;=0),"",_xll.ciqfunctions.udf.CIQ($B13, "IQ_SGA_MARGIN", EY$3, $I$3, $N$3, , $J$3, $K$3)/100)),"")</f>
        <v/>
      </c>
      <c r="EZ13" s="72" t="str">
        <f>IFERROR(IF(OR($B13="",EZ$3=""),"",IF(AND($EW$4="No",_xll.ciqfunctions.udf.CIQ($B13, "IQ_SGA_MARGIN", EZ$3, $I$3, $N$3, , $J$3, $K$3)&lt;=0),"",_xll.ciqfunctions.udf.CIQ($B13, "IQ_SGA_MARGIN", EZ$3, $I$3, $N$3, , $J$3, $K$3)/100)),"")</f>
        <v/>
      </c>
      <c r="FA13" s="72" t="str">
        <f>IFERROR(IF(OR($B13="",FA$3=""),"",IF(AND($EW$4="No",_xll.ciqfunctions.udf.CIQ($B13, "IQ_SGA_MARGIN", FA$3, $I$3, $N$3, , $J$3, $K$3)&lt;=0),"",_xll.ciqfunctions.udf.CIQ($B13, "IQ_SGA_MARGIN", FA$3, $I$3, $N$3, , $J$3, $K$3)/100)),"")</f>
        <v/>
      </c>
      <c r="FB13" s="72" t="str">
        <f>IFERROR(IF(OR($B13="",FB$3=""),"",IF(AND($EW$4="No",_xll.ciqfunctions.udf.CIQ($B13, "IQ_SGA_MARGIN", FB$3, $I$3, $N$3, , $J$3, $K$3)&lt;=0),"",_xll.ciqfunctions.udf.CIQ($B13, "IQ_SGA_MARGIN", FB$3, $I$3, $N$3, , $J$3, $K$3)/100)),"")</f>
        <v/>
      </c>
      <c r="FC13" s="72" t="str">
        <f>IFERROR(IF(OR($B13="",FC$3=""),"",IF(AND($EW$4="No",_xll.ciqfunctions.udf.CIQ($B13, "IQ_SGA_MARGIN", FC$3, $I$3, $N$3, , $J$3, $K$3)&lt;=0),"",_xll.ciqfunctions.udf.CIQ($B13, "IQ_SGA_MARGIN", FC$3, $I$3, $N$3, , $J$3, $K$3)/100)),"")</f>
        <v/>
      </c>
      <c r="FD13" s="72" t="str">
        <f>IFERROR(IF(OR($B13="",FD$3=""),"",IF(AND($EW$4="No",_xll.ciqfunctions.udf.CIQ($B13, "IQ_SGA_MARGIN", FD$3, $I$3, $N$3, , $J$3, $K$3)&lt;=0),"",_xll.ciqfunctions.udf.CIQ($B13, "IQ_SGA_MARGIN", FD$3, $I$3, $N$3, , $J$3, $K$3)/100)),"")</f>
        <v/>
      </c>
      <c r="FE13" s="72" t="str">
        <f>IFERROR(IF(OR($B13="",FE$3=""),"",IF(AND($EW$4="No",_xll.ciqfunctions.udf.CIQ($B13, "IQ_SGA_MARGIN", FE$3, $I$3, $N$3, , $J$3, $K$3)&lt;=0),"",_xll.ciqfunctions.udf.CIQ($B13, "IQ_SGA_MARGIN", FE$3, $I$3, $N$3, , $J$3, $K$3)/100)),"")</f>
        <v/>
      </c>
      <c r="FF13" s="72" t="str">
        <f>IFERROR(IF(OR($B13="",FF$3=""),"",IF(AND($EW$4="No",_xll.ciqfunctions.udf.CIQ($B13, "IQ_SGA_MARGIN", FF$3, $I$3, $N$3, , $J$3, $K$3)&lt;=0),"",_xll.ciqfunctions.udf.CIQ($B13, "IQ_SGA_MARGIN", FF$3, $I$3, $N$3, , $J$3, $K$3)/100)),"")</f>
        <v/>
      </c>
      <c r="FG13" s="72" t="str">
        <f>IFERROR(IF(OR($B13="",FG$3=""),"",IF(AND($EW$4="No",_xll.ciqfunctions.udf.CIQ($B13, "IQ_SGA_MARGIN", FG$3, $I$3, $N$3, , $J$3, $K$3)&lt;=0),"",_xll.ciqfunctions.udf.CIQ($B13, "IQ_SGA_MARGIN", FG$3, $I$3, $N$3, , $J$3, $K$3)/100)),"")</f>
        <v/>
      </c>
      <c r="FH13" s="72" t="str">
        <f>IFERROR(IF(OR($B13="",FH$3=""),"",IF(AND($EW$4="No",_xll.ciqfunctions.udf.CIQ($B13, "IQ_SGA_MARGIN", FH$3, $I$3, $N$3, , $J$3, $K$3)&lt;=0),"",_xll.ciqfunctions.udf.CIQ($B13, "IQ_SGA_MARGIN", FH$3, $I$3, $N$3, , $J$3, $K$3)/100)),"")</f>
        <v/>
      </c>
      <c r="FI13" s="72" t="str">
        <f>IFERROR(IF(OR($B13="",FI$3=""),"",IF(AND($EW$4="No",_xll.ciqfunctions.udf.CIQ($B13, "IQ_SGA_MARGIN", FI$3, $I$3, $N$3, , $J$3, $K$3)&lt;=0),"",_xll.ciqfunctions.udf.CIQ($B13, "IQ_SGA_MARGIN", FI$3, $I$3, $N$3, , $J$3, $K$3)/100)),"")</f>
        <v/>
      </c>
      <c r="FJ13" s="72" t="str">
        <f>IFERROR(IF(OR($B13="",FJ$3=""),"",IF(AND($EW$4="No",_xll.ciqfunctions.udf.CIQ($B13, "IQ_SGA_MARGIN", FJ$3, $I$3, $N$3, , $J$3, $K$3)&lt;=0),"",_xll.ciqfunctions.udf.CIQ($B13, "IQ_SGA_MARGIN", FJ$3, $I$3, $N$3, , $J$3, $K$3)/100)),"")</f>
        <v/>
      </c>
      <c r="FK13" s="72" t="str">
        <f>IFERROR(IF(OR($B13="",FK$3=""),"",IF(AND($EW$4="No",_xll.ciqfunctions.udf.CIQ($B13, "IQ_SGA_MARGIN", FK$3, $I$3, $N$3, , $J$3, $K$3)&lt;=0),"",_xll.ciqfunctions.udf.CIQ($B13, "IQ_SGA_MARGIN", FK$3, $I$3, $N$3, , $J$3, $K$3)/100)),"")</f>
        <v/>
      </c>
      <c r="FL13" s="72" t="str">
        <f>IFERROR(IF(OR($B13="",FL$3=""),"",IF(AND($EW$4="No",_xll.ciqfunctions.udf.CIQ($B13, "IQ_SGA_MARGIN", FL$3, $I$3, $N$3, , $J$3, $K$3)&lt;=0),"",_xll.ciqfunctions.udf.CIQ($B13, "IQ_SGA_MARGIN", FL$3, $I$3, $N$3, , $J$3, $K$3)/100)),"")</f>
        <v/>
      </c>
      <c r="FM13" s="72" t="str">
        <f>IFERROR(IF(OR($B13="",FM$3=""),"",IF(AND($EW$4="No",_xll.ciqfunctions.udf.CIQ($B13, "IQ_SGA_MARGIN", FM$3, $I$3, $N$3, , $J$3, $K$3)&lt;=0),"",_xll.ciqfunctions.udf.CIQ($B13, "IQ_SGA_MARGIN", FM$3, $I$3, $N$3, , $J$3, $K$3)/100)),"")</f>
        <v/>
      </c>
      <c r="FN13" s="72" t="str">
        <f>IFERROR(IF(OR($B13="",FN$3=""),"",IF(AND($EW$4="No",_xll.ciqfunctions.udf.CIQ($B13, "IQ_SGA_MARGIN", FN$3, $I$3, $N$3, , $J$3, $K$3)&lt;=0),"",_xll.ciqfunctions.udf.CIQ($B13, "IQ_SGA_MARGIN", FN$3, $I$3, $N$3, , $J$3, $K$3)/100)),"")</f>
        <v/>
      </c>
      <c r="FO13" s="72" t="str">
        <f>IFERROR(IF(OR($B13="",FO$3=""),"",IF(AND($EW$4="No",_xll.ciqfunctions.udf.CIQ($B13, "IQ_SGA_MARGIN", FO$3, $I$3, $N$3, , $J$3, $K$3)&lt;=0),"",_xll.ciqfunctions.udf.CIQ($B13, "IQ_SGA_MARGIN", FO$3, $I$3, $N$3, , $J$3, $K$3)/100)),"")</f>
        <v/>
      </c>
      <c r="FP13" s="72" t="str">
        <f>IFERROR(IF(OR($B13="",FP$3=""),"",IF(AND($EW$4="No",_xll.ciqfunctions.udf.CIQ($B13, "IQ_SGA_MARGIN", FP$3, $I$3, $N$3, , $J$3, $K$3)&lt;=0),"",_xll.ciqfunctions.udf.CIQ($B13, "IQ_SGA_MARGIN", FP$3, $I$3, $N$3, , $J$3, $K$3)/100)),"")</f>
        <v/>
      </c>
      <c r="FQ13" s="86" t="str">
        <f>IFERROR(IF(OR($B13="",FQ$3=""),"",IF(AND($FQ$4="No",_xll.ciqfunctions.udf.CIQ($B13, "IQ_RD_EXP",FQ$3, $I$3, $N$3, , $J$3, $K$3)&lt;=0),"",_xll.ciqfunctions.udf.CIQ($B13, "IQ_RD_EXP",FQ$3, $I$3, $N$3, , $J$3, $K$3)/_xll.ciqfunctions.udf.CIQ($B13,"IQ_TOTAL_REV",FQ$3, $I$3, $N$3, , $J$3, $K$3))),"")</f>
        <v/>
      </c>
      <c r="FR13" s="87" t="str">
        <f>IFERROR(IF(OR($B13="",FR$3=""),"",IF(AND($FQ$4="No",_xll.ciqfunctions.udf.CIQ($B13, "IQ_RD_EXP",FR$3, $I$3, $N$3, , $J$3, $K$3)&lt;=0),"",_xll.ciqfunctions.udf.CIQ($B13, "IQ_RD_EXP",FR$3, $I$3, $N$3, , $J$3, $K$3)/_xll.ciqfunctions.udf.CIQ($B13,"IQ_TOTAL_REV",FR$3, $I$3, $N$3, , $J$3, $K$3))),"")</f>
        <v/>
      </c>
      <c r="FS13" s="87" t="str">
        <f>IFERROR(IF(OR($B13="",FS$3=""),"",IF(AND($FQ$4="No",_xll.ciqfunctions.udf.CIQ($B13, "IQ_RD_EXP",FS$3, $I$3, $N$3, , $J$3, $K$3)&lt;=0),"",_xll.ciqfunctions.udf.CIQ($B13, "IQ_RD_EXP",FS$3, $I$3, $N$3, , $J$3, $K$3)/_xll.ciqfunctions.udf.CIQ($B13,"IQ_TOTAL_REV",FS$3, $I$3, $N$3, , $J$3, $K$3))),"")</f>
        <v/>
      </c>
      <c r="FT13" s="87" t="str">
        <f>IFERROR(IF(OR($B13="",FT$3=""),"",IF(AND($FQ$4="No",_xll.ciqfunctions.udf.CIQ($B13, "IQ_RD_EXP",FT$3, $I$3, $N$3, , $J$3, $K$3)&lt;=0),"",_xll.ciqfunctions.udf.CIQ($B13, "IQ_RD_EXP",FT$3, $I$3, $N$3, , $J$3, $K$3)/_xll.ciqfunctions.udf.CIQ($B13,"IQ_TOTAL_REV",FT$3, $I$3, $N$3, , $J$3, $K$3))),"")</f>
        <v/>
      </c>
      <c r="FU13" s="87" t="str">
        <f>IFERROR(IF(OR($B13="",FU$3=""),"",IF(AND($FQ$4="No",_xll.ciqfunctions.udf.CIQ($B13, "IQ_RD_EXP",FU$3, $I$3, $N$3, , $J$3, $K$3)&lt;=0),"",_xll.ciqfunctions.udf.CIQ($B13, "IQ_RD_EXP",FU$3, $I$3, $N$3, , $J$3, $K$3)/_xll.ciqfunctions.udf.CIQ($B13,"IQ_TOTAL_REV",FU$3, $I$3, $N$3, , $J$3, $K$3))),"")</f>
        <v/>
      </c>
      <c r="FV13" s="87" t="str">
        <f>IFERROR(IF(OR($B13="",FV$3=""),"",IF(AND($FQ$4="No",_xll.ciqfunctions.udf.CIQ($B13, "IQ_RD_EXP",FV$3, $I$3, $N$3, , $J$3, $K$3)&lt;=0),"",_xll.ciqfunctions.udf.CIQ($B13, "IQ_RD_EXP",FV$3, $I$3, $N$3, , $J$3, $K$3)/_xll.ciqfunctions.udf.CIQ($B13,"IQ_TOTAL_REV",FV$3, $I$3, $N$3, , $J$3, $K$3))),"")</f>
        <v/>
      </c>
      <c r="FW13" s="87" t="str">
        <f>IFERROR(IF(OR($B13="",FW$3=""),"",IF(AND($FQ$4="No",_xll.ciqfunctions.udf.CIQ($B13, "IQ_RD_EXP",FW$3, $I$3, $N$3, , $J$3, $K$3)&lt;=0),"",_xll.ciqfunctions.udf.CIQ($B13, "IQ_RD_EXP",FW$3, $I$3, $N$3, , $J$3, $K$3)/_xll.ciqfunctions.udf.CIQ($B13,"IQ_TOTAL_REV",FW$3, $I$3, $N$3, , $J$3, $K$3))),"")</f>
        <v/>
      </c>
      <c r="FX13" s="87" t="str">
        <f>IFERROR(IF(OR($B13="",FX$3=""),"",IF(AND($FQ$4="No",_xll.ciqfunctions.udf.CIQ($B13, "IQ_RD_EXP",FX$3, $I$3, $N$3, , $J$3, $K$3)&lt;=0),"",_xll.ciqfunctions.udf.CIQ($B13, "IQ_RD_EXP",FX$3, $I$3, $N$3, , $J$3, $K$3)/_xll.ciqfunctions.udf.CIQ($B13,"IQ_TOTAL_REV",FX$3, $I$3, $N$3, , $J$3, $K$3))),"")</f>
        <v/>
      </c>
      <c r="FY13" s="87" t="str">
        <f>IFERROR(IF(OR($B13="",FY$3=""),"",IF(AND($FQ$4="No",_xll.ciqfunctions.udf.CIQ($B13, "IQ_RD_EXP",FY$3, $I$3, $N$3, , $J$3, $K$3)&lt;=0),"",_xll.ciqfunctions.udf.CIQ($B13, "IQ_RD_EXP",FY$3, $I$3, $N$3, , $J$3, $K$3)/_xll.ciqfunctions.udf.CIQ($B13,"IQ_TOTAL_REV",FY$3, $I$3, $N$3, , $J$3, $K$3))),"")</f>
        <v/>
      </c>
      <c r="FZ13" s="87" t="str">
        <f>IFERROR(IF(OR($B13="",FZ$3=""),"",IF(AND($FQ$4="No",_xll.ciqfunctions.udf.CIQ($B13, "IQ_RD_EXP",FZ$3, $I$3, $N$3, , $J$3, $K$3)&lt;=0),"",_xll.ciqfunctions.udf.CIQ($B13, "IQ_RD_EXP",FZ$3, $I$3, $N$3, , $J$3, $K$3)/_xll.ciqfunctions.udf.CIQ($B13,"IQ_TOTAL_REV",FZ$3, $I$3, $N$3, , $J$3, $K$3))),"")</f>
        <v/>
      </c>
      <c r="GA13" s="87" t="str">
        <f>IFERROR(IF(OR($B13="",GA$3=""),"",IF(AND($FQ$4="No",_xll.ciqfunctions.udf.CIQ($B13, "IQ_RD_EXP",GA$3, $I$3, $N$3, , $J$3, $K$3)&lt;=0),"",_xll.ciqfunctions.udf.CIQ($B13, "IQ_RD_EXP",GA$3, $I$3, $N$3, , $J$3, $K$3)/_xll.ciqfunctions.udf.CIQ($B13,"IQ_TOTAL_REV",GA$3, $I$3, $N$3, , $J$3, $K$3))),"")</f>
        <v/>
      </c>
      <c r="GB13" s="87" t="str">
        <f>IFERROR(IF(OR($B13="",GB$3=""),"",IF(AND($FQ$4="No",_xll.ciqfunctions.udf.CIQ($B13, "IQ_RD_EXP",GB$3, $I$3, $N$3, , $J$3, $K$3)&lt;=0),"",_xll.ciqfunctions.udf.CIQ($B13, "IQ_RD_EXP",GB$3, $I$3, $N$3, , $J$3, $K$3)/_xll.ciqfunctions.udf.CIQ($B13,"IQ_TOTAL_REV",GB$3, $I$3, $N$3, , $J$3, $K$3))),"")</f>
        <v/>
      </c>
      <c r="GC13" s="87" t="str">
        <f>IFERROR(IF(OR($B13="",GC$3=""),"",IF(AND($FQ$4="No",_xll.ciqfunctions.udf.CIQ($B13, "IQ_RD_EXP",GC$3, $I$3, $N$3, , $J$3, $K$3)&lt;=0),"",_xll.ciqfunctions.udf.CIQ($B13, "IQ_RD_EXP",GC$3, $I$3, $N$3, , $J$3, $K$3)/_xll.ciqfunctions.udf.CIQ($B13,"IQ_TOTAL_REV",GC$3, $I$3, $N$3, , $J$3, $K$3))),"")</f>
        <v/>
      </c>
      <c r="GD13" s="87" t="str">
        <f>IFERROR(IF(OR($B13="",GD$3=""),"",IF(AND($FQ$4="No",_xll.ciqfunctions.udf.CIQ($B13, "IQ_RD_EXP",GD$3, $I$3, $N$3, , $J$3, $K$3)&lt;=0),"",_xll.ciqfunctions.udf.CIQ($B13, "IQ_RD_EXP",GD$3, $I$3, $N$3, , $J$3, $K$3)/_xll.ciqfunctions.udf.CIQ($B13,"IQ_TOTAL_REV",GD$3, $I$3, $N$3, , $J$3, $K$3))),"")</f>
        <v/>
      </c>
      <c r="GE13" s="87" t="str">
        <f>IFERROR(IF(OR($B13="",GE$3=""),"",IF(AND($FQ$4="No",_xll.ciqfunctions.udf.CIQ($B13, "IQ_RD_EXP",GE$3, $I$3, $N$3, , $J$3, $K$3)&lt;=0),"",_xll.ciqfunctions.udf.CIQ($B13, "IQ_RD_EXP",GE$3, $I$3, $N$3, , $J$3, $K$3)/_xll.ciqfunctions.udf.CIQ($B13,"IQ_TOTAL_REV",GE$3, $I$3, $N$3, , $J$3, $K$3))),"")</f>
        <v/>
      </c>
      <c r="GF13" s="87" t="str">
        <f>IFERROR(IF(OR($B13="",GF$3=""),"",IF(AND($FQ$4="No",_xll.ciqfunctions.udf.CIQ($B13, "IQ_RD_EXP",GF$3, $I$3, $N$3, , $J$3, $K$3)&lt;=0),"",_xll.ciqfunctions.udf.CIQ($B13, "IQ_RD_EXP",GF$3, $I$3, $N$3, , $J$3, $K$3)/_xll.ciqfunctions.udf.CIQ($B13,"IQ_TOTAL_REV",GF$3, $I$3, $N$3, , $J$3, $K$3))),"")</f>
        <v/>
      </c>
      <c r="GG13" s="87" t="str">
        <f>IFERROR(IF(OR($B13="",GG$3=""),"",IF(AND($FQ$4="No",_xll.ciqfunctions.udf.CIQ($B13, "IQ_RD_EXP",GG$3, $I$3, $N$3, , $J$3, $K$3)&lt;=0),"",_xll.ciqfunctions.udf.CIQ($B13, "IQ_RD_EXP",GG$3, $I$3, $N$3, , $J$3, $K$3)/_xll.ciqfunctions.udf.CIQ($B13,"IQ_TOTAL_REV",GG$3, $I$3, $N$3, , $J$3, $K$3))),"")</f>
        <v/>
      </c>
      <c r="GH13" s="87" t="str">
        <f>IFERROR(IF(OR($B13="",GH$3=""),"",IF(AND($FQ$4="No",_xll.ciqfunctions.udf.CIQ($B13, "IQ_RD_EXP",GH$3, $I$3, $N$3, , $J$3, $K$3)&lt;=0),"",_xll.ciqfunctions.udf.CIQ($B13, "IQ_RD_EXP",GH$3, $I$3, $N$3, , $J$3, $K$3)/_xll.ciqfunctions.udf.CIQ($B13,"IQ_TOTAL_REV",GH$3, $I$3, $N$3, , $J$3, $K$3))),"")</f>
        <v/>
      </c>
      <c r="GI13" s="87" t="str">
        <f>IFERROR(IF(OR($B13="",GI$3=""),"",IF(AND($FQ$4="No",_xll.ciqfunctions.udf.CIQ($B13, "IQ_RD_EXP",GI$3, $I$3, $N$3, , $J$3, $K$3)&lt;=0),"",_xll.ciqfunctions.udf.CIQ($B13, "IQ_RD_EXP",GI$3, $I$3, $N$3, , $J$3, $K$3)/_xll.ciqfunctions.udf.CIQ($B13,"IQ_TOTAL_REV",GI$3, $I$3, $N$3, , $J$3, $K$3))),"")</f>
        <v/>
      </c>
      <c r="GJ13" s="88" t="str">
        <f>IFERROR(IF(OR($B13="",GJ$3=""),"",IF(AND($FQ$4="No",_xll.ciqfunctions.udf.CIQ($B13, "IQ_RD_EXP",GJ$3, $I$3, $N$3, , $J$3, $K$3)&lt;=0),"",_xll.ciqfunctions.udf.CIQ($B13, "IQ_RD_EXP",GJ$3, $I$3, $N$3, , $J$3, $K$3)/_xll.ciqfunctions.udf.CIQ($B13,"IQ_TOTAL_REV",GJ$3, $I$3, $N$3, , $J$3, $K$3))),"")</f>
        <v/>
      </c>
      <c r="GK13" s="89" t="str">
        <f>IFERROR(IF(OR($B13="",GK$3=""),"",IF(AND($GK$4="No",(_xll.ciqfunctions.udf.CIQ($B13,"IQ_AR",GK$3, $I$3, $N$3, , $J$3, $K$3)+_xll.ciqfunctions.udf.CIQ($B13,"IQ_AR","IQ_" &amp; LEFT(GK$3,2) &amp; "-1",GK$3, $N$3, , $J$3, $K$3))&lt;=0),"",$GK$2*0.5*(_xll.ciqfunctions.udf.CIQ($B13,"IQ_AR",GK$3, $I$3, $N$3, , $J$3, $K$3)+_xll.ciqfunctions.udf.CIQ($B13,"IQ_AR","IQ_" &amp; LEFT(GK$3,2) &amp; "-1",GK$3, $N$3, , $J$3, $K$3))/_xll.ciqfunctions.udf.CIQ($B13,"IQ_TOTAL_REVENUE",GK$3, $I$3, $N$3, , $J$3, $K$3))),"")</f>
        <v/>
      </c>
      <c r="GL13" s="90" t="str">
        <f>IFERROR(IF(OR($B13="",GL$3=""),"",IF(AND($GK$4="No",(_xll.ciqfunctions.udf.CIQ($B13,"IQ_AR",GL$3, $I$3, $N$3, , $J$3, $K$3)+_xll.ciqfunctions.udf.CIQ($B13,"IQ_AR","IQ_" &amp; LEFT(GL$3,2) &amp; "-1",GL$3, $N$3, , $J$3, $K$3))&lt;=0),"",$GK$2*0.5*(_xll.ciqfunctions.udf.CIQ($B13,"IQ_AR",GL$3, $I$3, $N$3, , $J$3, $K$3)+_xll.ciqfunctions.udf.CIQ($B13,"IQ_AR","IQ_" &amp; LEFT(GL$3,2) &amp; "-1",GL$3, $N$3, , $J$3, $K$3))/_xll.ciqfunctions.udf.CIQ($B13,"IQ_TOTAL_REVENUE",GL$3, $I$3, $N$3, , $J$3, $K$3))),"")</f>
        <v/>
      </c>
      <c r="GM13" s="90" t="str">
        <f>IFERROR(IF(OR($B13="",GM$3=""),"",IF(AND($GK$4="No",(_xll.ciqfunctions.udf.CIQ($B13,"IQ_AR",GM$3, $I$3, $N$3, , $J$3, $K$3)+_xll.ciqfunctions.udf.CIQ($B13,"IQ_AR","IQ_" &amp; LEFT(GM$3,2) &amp; "-1",GM$3, $N$3, , $J$3, $K$3))&lt;=0),"",$GK$2*0.5*(_xll.ciqfunctions.udf.CIQ($B13,"IQ_AR",GM$3, $I$3, $N$3, , $J$3, $K$3)+_xll.ciqfunctions.udf.CIQ($B13,"IQ_AR","IQ_" &amp; LEFT(GM$3,2) &amp; "-1",GM$3, $N$3, , $J$3, $K$3))/_xll.ciqfunctions.udf.CIQ($B13,"IQ_TOTAL_REVENUE",GM$3, $I$3, $N$3, , $J$3, $K$3))),"")</f>
        <v/>
      </c>
      <c r="GN13" s="90" t="str">
        <f>IFERROR(IF(OR($B13="",GN$3=""),"",IF(AND($GK$4="No",(_xll.ciqfunctions.udf.CIQ($B13,"IQ_AR",GN$3, $I$3, $N$3, , $J$3, $K$3)+_xll.ciqfunctions.udf.CIQ($B13,"IQ_AR","IQ_" &amp; LEFT(GN$3,2) &amp; "-1",GN$3, $N$3, , $J$3, $K$3))&lt;=0),"",$GK$2*0.5*(_xll.ciqfunctions.udf.CIQ($B13,"IQ_AR",GN$3, $I$3, $N$3, , $J$3, $K$3)+_xll.ciqfunctions.udf.CIQ($B13,"IQ_AR","IQ_" &amp; LEFT(GN$3,2) &amp; "-1",GN$3, $N$3, , $J$3, $K$3))/_xll.ciqfunctions.udf.CIQ($B13,"IQ_TOTAL_REVENUE",GN$3, $I$3, $N$3, , $J$3, $K$3))),"")</f>
        <v/>
      </c>
      <c r="GO13" s="90" t="str">
        <f>IFERROR(IF(OR($B13="",GO$3=""),"",IF(AND($GK$4="No",(_xll.ciqfunctions.udf.CIQ($B13,"IQ_AR",GO$3, $I$3, $N$3, , $J$3, $K$3)+_xll.ciqfunctions.udf.CIQ($B13,"IQ_AR","IQ_" &amp; LEFT(GO$3,2) &amp; "-1",GO$3, $N$3, , $J$3, $K$3))&lt;=0),"",$GK$2*0.5*(_xll.ciqfunctions.udf.CIQ($B13,"IQ_AR",GO$3, $I$3, $N$3, , $J$3, $K$3)+_xll.ciqfunctions.udf.CIQ($B13,"IQ_AR","IQ_" &amp; LEFT(GO$3,2) &amp; "-1",GO$3, $N$3, , $J$3, $K$3))/_xll.ciqfunctions.udf.CIQ($B13,"IQ_TOTAL_REVENUE",GO$3, $I$3, $N$3, , $J$3, $K$3))),"")</f>
        <v/>
      </c>
      <c r="GP13" s="90" t="str">
        <f>IFERROR(IF(OR($B13="",GP$3=""),"",IF(AND($GK$4="No",(_xll.ciqfunctions.udf.CIQ($B13,"IQ_AR",GP$3, $I$3, $N$3, , $J$3, $K$3)+_xll.ciqfunctions.udf.CIQ($B13,"IQ_AR","IQ_" &amp; LEFT(GP$3,2) &amp; "-1",GP$3, $N$3, , $J$3, $K$3))&lt;=0),"",$GK$2*0.5*(_xll.ciqfunctions.udf.CIQ($B13,"IQ_AR",GP$3, $I$3, $N$3, , $J$3, $K$3)+_xll.ciqfunctions.udf.CIQ($B13,"IQ_AR","IQ_" &amp; LEFT(GP$3,2) &amp; "-1",GP$3, $N$3, , $J$3, $K$3))/_xll.ciqfunctions.udf.CIQ($B13,"IQ_TOTAL_REVENUE",GP$3, $I$3, $N$3, , $J$3, $K$3))),"")</f>
        <v/>
      </c>
      <c r="GQ13" s="90" t="str">
        <f>IFERROR(IF(OR($B13="",GQ$3=""),"",IF(AND($GK$4="No",(_xll.ciqfunctions.udf.CIQ($B13,"IQ_AR",GQ$3, $I$3, $N$3, , $J$3, $K$3)+_xll.ciqfunctions.udf.CIQ($B13,"IQ_AR","IQ_" &amp; LEFT(GQ$3,2) &amp; "-1",GQ$3, $N$3, , $J$3, $K$3))&lt;=0),"",$GK$2*0.5*(_xll.ciqfunctions.udf.CIQ($B13,"IQ_AR",GQ$3, $I$3, $N$3, , $J$3, $K$3)+_xll.ciqfunctions.udf.CIQ($B13,"IQ_AR","IQ_" &amp; LEFT(GQ$3,2) &amp; "-1",GQ$3, $N$3, , $J$3, $K$3))/_xll.ciqfunctions.udf.CIQ($B13,"IQ_TOTAL_REVENUE",GQ$3, $I$3, $N$3, , $J$3, $K$3))),"")</f>
        <v/>
      </c>
      <c r="GR13" s="90" t="str">
        <f>IFERROR(IF(OR($B13="",GR$3=""),"",IF(AND($GK$4="No",(_xll.ciqfunctions.udf.CIQ($B13,"IQ_AR",GR$3, $I$3, $N$3, , $J$3, $K$3)+_xll.ciqfunctions.udf.CIQ($B13,"IQ_AR","IQ_" &amp; LEFT(GR$3,2) &amp; "-1",GR$3, $N$3, , $J$3, $K$3))&lt;=0),"",$GK$2*0.5*(_xll.ciqfunctions.udf.CIQ($B13,"IQ_AR",GR$3, $I$3, $N$3, , $J$3, $K$3)+_xll.ciqfunctions.udf.CIQ($B13,"IQ_AR","IQ_" &amp; LEFT(GR$3,2) &amp; "-1",GR$3, $N$3, , $J$3, $K$3))/_xll.ciqfunctions.udf.CIQ($B13,"IQ_TOTAL_REVENUE",GR$3, $I$3, $N$3, , $J$3, $K$3))),"")</f>
        <v/>
      </c>
      <c r="GS13" s="90" t="str">
        <f>IFERROR(IF(OR($B13="",GS$3=""),"",IF(AND($GK$4="No",(_xll.ciqfunctions.udf.CIQ($B13,"IQ_AR",GS$3, $I$3, $N$3, , $J$3, $K$3)+_xll.ciqfunctions.udf.CIQ($B13,"IQ_AR","IQ_" &amp; LEFT(GS$3,2) &amp; "-1",GS$3, $N$3, , $J$3, $K$3))&lt;=0),"",$GK$2*0.5*(_xll.ciqfunctions.udf.CIQ($B13,"IQ_AR",GS$3, $I$3, $N$3, , $J$3, $K$3)+_xll.ciqfunctions.udf.CIQ($B13,"IQ_AR","IQ_" &amp; LEFT(GS$3,2) &amp; "-1",GS$3, $N$3, , $J$3, $K$3))/_xll.ciqfunctions.udf.CIQ($B13,"IQ_TOTAL_REVENUE",GS$3, $I$3, $N$3, , $J$3, $K$3))),"")</f>
        <v/>
      </c>
      <c r="GT13" s="90" t="str">
        <f>IFERROR(IF(OR($B13="",GT$3=""),"",IF(AND($GK$4="No",(_xll.ciqfunctions.udf.CIQ($B13,"IQ_AR",GT$3, $I$3, $N$3, , $J$3, $K$3)+_xll.ciqfunctions.udf.CIQ($B13,"IQ_AR","IQ_" &amp; LEFT(GT$3,2) &amp; "-1",GT$3, $N$3, , $J$3, $K$3))&lt;=0),"",$GK$2*0.5*(_xll.ciqfunctions.udf.CIQ($B13,"IQ_AR",GT$3, $I$3, $N$3, , $J$3, $K$3)+_xll.ciqfunctions.udf.CIQ($B13,"IQ_AR","IQ_" &amp; LEFT(GT$3,2) &amp; "-1",GT$3, $N$3, , $J$3, $K$3))/_xll.ciqfunctions.udf.CIQ($B13,"IQ_TOTAL_REVENUE",GT$3, $I$3, $N$3, , $J$3, $K$3))),"")</f>
        <v/>
      </c>
      <c r="GU13" s="90" t="str">
        <f>IFERROR(IF(OR($B13="",GU$3=""),"",IF(AND($GK$4="No",(_xll.ciqfunctions.udf.CIQ($B13,"IQ_AR",GU$3, $I$3, $N$3, , $J$3, $K$3)+_xll.ciqfunctions.udf.CIQ($B13,"IQ_AR","IQ_" &amp; LEFT(GU$3,2) &amp; "-1",GU$3, $N$3, , $J$3, $K$3))&lt;=0),"",$GK$2*0.5*(_xll.ciqfunctions.udf.CIQ($B13,"IQ_AR",GU$3, $I$3, $N$3, , $J$3, $K$3)+_xll.ciqfunctions.udf.CIQ($B13,"IQ_AR","IQ_" &amp; LEFT(GU$3,2) &amp; "-1",GU$3, $N$3, , $J$3, $K$3))/_xll.ciqfunctions.udf.CIQ($B13,"IQ_TOTAL_REVENUE",GU$3, $I$3, $N$3, , $J$3, $K$3))),"")</f>
        <v/>
      </c>
      <c r="GV13" s="90" t="str">
        <f>IFERROR(IF(OR($B13="",GV$3=""),"",IF(AND($GK$4="No",(_xll.ciqfunctions.udf.CIQ($B13,"IQ_AR",GV$3, $I$3, $N$3, , $J$3, $K$3)+_xll.ciqfunctions.udf.CIQ($B13,"IQ_AR","IQ_" &amp; LEFT(GV$3,2) &amp; "-1",GV$3, $N$3, , $J$3, $K$3))&lt;=0),"",$GK$2*0.5*(_xll.ciqfunctions.udf.CIQ($B13,"IQ_AR",GV$3, $I$3, $N$3, , $J$3, $K$3)+_xll.ciqfunctions.udf.CIQ($B13,"IQ_AR","IQ_" &amp; LEFT(GV$3,2) &amp; "-1",GV$3, $N$3, , $J$3, $K$3))/_xll.ciqfunctions.udf.CIQ($B13,"IQ_TOTAL_REVENUE",GV$3, $I$3, $N$3, , $J$3, $K$3))),"")</f>
        <v/>
      </c>
      <c r="GW13" s="90" t="str">
        <f>IFERROR(IF(OR($B13="",GW$3=""),"",IF(AND($GK$4="No",(_xll.ciqfunctions.udf.CIQ($B13,"IQ_AR",GW$3, $I$3, $N$3, , $J$3, $K$3)+_xll.ciqfunctions.udf.CIQ($B13,"IQ_AR","IQ_" &amp; LEFT(GW$3,2) &amp; "-1",GW$3, $N$3, , $J$3, $K$3))&lt;=0),"",$GK$2*0.5*(_xll.ciqfunctions.udf.CIQ($B13,"IQ_AR",GW$3, $I$3, $N$3, , $J$3, $K$3)+_xll.ciqfunctions.udf.CIQ($B13,"IQ_AR","IQ_" &amp; LEFT(GW$3,2) &amp; "-1",GW$3, $N$3, , $J$3, $K$3))/_xll.ciqfunctions.udf.CIQ($B13,"IQ_TOTAL_REVENUE",GW$3, $I$3, $N$3, , $J$3, $K$3))),"")</f>
        <v/>
      </c>
      <c r="GX13" s="90" t="str">
        <f>IFERROR(IF(OR($B13="",GX$3=""),"",IF(AND($GK$4="No",(_xll.ciqfunctions.udf.CIQ($B13,"IQ_AR",GX$3, $I$3, $N$3, , $J$3, $K$3)+_xll.ciqfunctions.udf.CIQ($B13,"IQ_AR","IQ_" &amp; LEFT(GX$3,2) &amp; "-1",GX$3, $N$3, , $J$3, $K$3))&lt;=0),"",$GK$2*0.5*(_xll.ciqfunctions.udf.CIQ($B13,"IQ_AR",GX$3, $I$3, $N$3, , $J$3, $K$3)+_xll.ciqfunctions.udf.CIQ($B13,"IQ_AR","IQ_" &amp; LEFT(GX$3,2) &amp; "-1",GX$3, $N$3, , $J$3, $K$3))/_xll.ciqfunctions.udf.CIQ($B13,"IQ_TOTAL_REVENUE",GX$3, $I$3, $N$3, , $J$3, $K$3))),"")</f>
        <v/>
      </c>
      <c r="GY13" s="90" t="str">
        <f>IFERROR(IF(OR($B13="",GY$3=""),"",IF(AND($GK$4="No",(_xll.ciqfunctions.udf.CIQ($B13,"IQ_AR",GY$3, $I$3, $N$3, , $J$3, $K$3)+_xll.ciqfunctions.udf.CIQ($B13,"IQ_AR","IQ_" &amp; LEFT(GY$3,2) &amp; "-1",GY$3, $N$3, , $J$3, $K$3))&lt;=0),"",$GK$2*0.5*(_xll.ciqfunctions.udf.CIQ($B13,"IQ_AR",GY$3, $I$3, $N$3, , $J$3, $K$3)+_xll.ciqfunctions.udf.CIQ($B13,"IQ_AR","IQ_" &amp; LEFT(GY$3,2) &amp; "-1",GY$3, $N$3, , $J$3, $K$3))/_xll.ciqfunctions.udf.CIQ($B13,"IQ_TOTAL_REVENUE",GY$3, $I$3, $N$3, , $J$3, $K$3))),"")</f>
        <v/>
      </c>
      <c r="GZ13" s="90" t="str">
        <f>IFERROR(IF(OR($B13="",GZ$3=""),"",IF(AND($GK$4="No",(_xll.ciqfunctions.udf.CIQ($B13,"IQ_AR",GZ$3, $I$3, $N$3, , $J$3, $K$3)+_xll.ciqfunctions.udf.CIQ($B13,"IQ_AR","IQ_" &amp; LEFT(GZ$3,2) &amp; "-1",GZ$3, $N$3, , $J$3, $K$3))&lt;=0),"",$GK$2*0.5*(_xll.ciqfunctions.udf.CIQ($B13,"IQ_AR",GZ$3, $I$3, $N$3, , $J$3, $K$3)+_xll.ciqfunctions.udf.CIQ($B13,"IQ_AR","IQ_" &amp; LEFT(GZ$3,2) &amp; "-1",GZ$3, $N$3, , $J$3, $K$3))/_xll.ciqfunctions.udf.CIQ($B13,"IQ_TOTAL_REVENUE",GZ$3, $I$3, $N$3, , $J$3, $K$3))),"")</f>
        <v/>
      </c>
      <c r="HA13" s="90" t="str">
        <f>IFERROR(IF(OR($B13="",HA$3=""),"",IF(AND($GK$4="No",(_xll.ciqfunctions.udf.CIQ($B13,"IQ_AR",HA$3, $I$3, $N$3, , $J$3, $K$3)+_xll.ciqfunctions.udf.CIQ($B13,"IQ_AR","IQ_" &amp; LEFT(HA$3,2) &amp; "-1",HA$3, $N$3, , $J$3, $K$3))&lt;=0),"",$GK$2*0.5*(_xll.ciqfunctions.udf.CIQ($B13,"IQ_AR",HA$3, $I$3, $N$3, , $J$3, $K$3)+_xll.ciqfunctions.udf.CIQ($B13,"IQ_AR","IQ_" &amp; LEFT(HA$3,2) &amp; "-1",HA$3, $N$3, , $J$3, $K$3))/_xll.ciqfunctions.udf.CIQ($B13,"IQ_TOTAL_REVENUE",HA$3, $I$3, $N$3, , $J$3, $K$3))),"")</f>
        <v/>
      </c>
      <c r="HB13" s="90" t="str">
        <f>IFERROR(IF(OR($B13="",HB$3=""),"",IF(AND($GK$4="No",(_xll.ciqfunctions.udf.CIQ($B13,"IQ_AR",HB$3, $I$3, $N$3, , $J$3, $K$3)+_xll.ciqfunctions.udf.CIQ($B13,"IQ_AR","IQ_" &amp; LEFT(HB$3,2) &amp; "-1",HB$3, $N$3, , $J$3, $K$3))&lt;=0),"",$GK$2*0.5*(_xll.ciqfunctions.udf.CIQ($B13,"IQ_AR",HB$3, $I$3, $N$3, , $J$3, $K$3)+_xll.ciqfunctions.udf.CIQ($B13,"IQ_AR","IQ_" &amp; LEFT(HB$3,2) &amp; "-1",HB$3, $N$3, , $J$3, $K$3))/_xll.ciqfunctions.udf.CIQ($B13,"IQ_TOTAL_REVENUE",HB$3, $I$3, $N$3, , $J$3, $K$3))),"")</f>
        <v/>
      </c>
      <c r="HC13" s="90" t="str">
        <f>IFERROR(IF(OR($B13="",HC$3=""),"",IF(AND($GK$4="No",(_xll.ciqfunctions.udf.CIQ($B13,"IQ_AR",HC$3, $I$3, $N$3, , $J$3, $K$3)+_xll.ciqfunctions.udf.CIQ($B13,"IQ_AR","IQ_" &amp; LEFT(HC$3,2) &amp; "-1",HC$3, $N$3, , $J$3, $K$3))&lt;=0),"",$GK$2*0.5*(_xll.ciqfunctions.udf.CIQ($B13,"IQ_AR",HC$3, $I$3, $N$3, , $J$3, $K$3)+_xll.ciqfunctions.udf.CIQ($B13,"IQ_AR","IQ_" &amp; LEFT(HC$3,2) &amp; "-1",HC$3, $N$3, , $J$3, $K$3))/_xll.ciqfunctions.udf.CIQ($B13,"IQ_TOTAL_REVENUE",HC$3, $I$3, $N$3, , $J$3, $K$3))),"")</f>
        <v/>
      </c>
      <c r="HD13" s="91" t="str">
        <f>IFERROR(IF(OR($B13="",HD$3=""),"",IF(AND($GK$4="No",(_xll.ciqfunctions.udf.CIQ($B13,"IQ_AR",HD$3, $I$3, $N$3, , $J$3, $K$3)+_xll.ciqfunctions.udf.CIQ($B13,"IQ_AR","IQ_" &amp; LEFT(HD$3,2) &amp; "-1",HD$3, $N$3, , $J$3, $K$3))&lt;=0),"",$GK$2*0.5*(_xll.ciqfunctions.udf.CIQ($B13,"IQ_AR",HD$3, $I$3, $N$3, , $J$3, $K$3)+_xll.ciqfunctions.udf.CIQ($B13,"IQ_AR","IQ_" &amp; LEFT(HD$3,2) &amp; "-1",HD$3, $N$3, , $J$3, $K$3))/_xll.ciqfunctions.udf.CIQ($B13,"IQ_TOTAL_REVENUE",HD$3, $I$3, $N$3, , $J$3, $K$3))),"")</f>
        <v/>
      </c>
      <c r="HE13" s="89" t="str">
        <f>IFERROR(IF(OR($B13="",HE$3=""),"",IF(AND($HE$4="No",(_xll.ciqfunctions.udf.CIQ($B13,"IQ_INVENTORY",HE$3,$I$3, $N$3, , $J$3, $K$3)+_xll.ciqfunctions.udf.CIQ($B13,"IQ_INVENTORY","IQ_" &amp; LEFT(HE$3,2) &amp; "-1", HE$3, $N$3, , $J$3, $K$3))&lt;=0),0,$HE$2*0.5*(_xll.ciqfunctions.udf.CIQ($B13,"IQ_INVENTORY",HE$3,$I$3, $N$3, , $J$3, $K$3)+_xll.ciqfunctions.udf.CIQ($B13,"IQ_INVENTORY","IQ_" &amp; LEFT(HE$3,2) &amp; "-1", HE$3, $N$3, , $J$3, $K$3))/_xll.ciqfunctions.udf.CIQ($B13,"IQ_COGS",HE$3,$I$3, $N$3, , $J$3, $K$3))),"")</f>
        <v/>
      </c>
      <c r="HF13" s="90" t="str">
        <f>IFERROR(IF(OR($B13="",HF$3=""),"",IF(AND($HE$4="No",(_xll.ciqfunctions.udf.CIQ($B13,"IQ_INVENTORY",HF$3,$I$3, $N$3, , $J$3, $K$3)+_xll.ciqfunctions.udf.CIQ($B13,"IQ_INVENTORY","IQ_" &amp; LEFT(HF$3,2) &amp; "-1", HF$3, $N$3, , $J$3, $K$3))&lt;=0),0,$HE$2*0.5*(_xll.ciqfunctions.udf.CIQ($B13,"IQ_INVENTORY",HF$3,$I$3, $N$3, , $J$3, $K$3)+_xll.ciqfunctions.udf.CIQ($B13,"IQ_INVENTORY","IQ_" &amp; LEFT(HF$3,2) &amp; "-1", HF$3, $N$3, , $J$3, $K$3))/_xll.ciqfunctions.udf.CIQ($B13,"IQ_COGS",HF$3,$I$3, $N$3, , $J$3, $K$3))),"")</f>
        <v/>
      </c>
      <c r="HG13" s="90" t="str">
        <f>IFERROR(IF(OR($B13="",HG$3=""),"",IF(AND($HE$4="No",(_xll.ciqfunctions.udf.CIQ($B13,"IQ_INVENTORY",HG$3,$I$3, $N$3, , $J$3, $K$3)+_xll.ciqfunctions.udf.CIQ($B13,"IQ_INVENTORY","IQ_" &amp; LEFT(HG$3,2) &amp; "-1", HG$3, $N$3, , $J$3, $K$3))&lt;=0),0,$HE$2*0.5*(_xll.ciqfunctions.udf.CIQ($B13,"IQ_INVENTORY",HG$3,$I$3, $N$3, , $J$3, $K$3)+_xll.ciqfunctions.udf.CIQ($B13,"IQ_INVENTORY","IQ_" &amp; LEFT(HG$3,2) &amp; "-1", HG$3, $N$3, , $J$3, $K$3))/_xll.ciqfunctions.udf.CIQ($B13,"IQ_COGS",HG$3,$I$3, $N$3, , $J$3, $K$3))),"")</f>
        <v/>
      </c>
      <c r="HH13" s="90" t="str">
        <f>IFERROR(IF(OR($B13="",HH$3=""),"",IF(AND($HE$4="No",(_xll.ciqfunctions.udf.CIQ($B13,"IQ_INVENTORY",HH$3,$I$3, $N$3, , $J$3, $K$3)+_xll.ciqfunctions.udf.CIQ($B13,"IQ_INVENTORY","IQ_" &amp; LEFT(HH$3,2) &amp; "-1", HH$3, $N$3, , $J$3, $K$3))&lt;=0),0,$HE$2*0.5*(_xll.ciqfunctions.udf.CIQ($B13,"IQ_INVENTORY",HH$3,$I$3, $N$3, , $J$3, $K$3)+_xll.ciqfunctions.udf.CIQ($B13,"IQ_INVENTORY","IQ_" &amp; LEFT(HH$3,2) &amp; "-1", HH$3, $N$3, , $J$3, $K$3))/_xll.ciqfunctions.udf.CIQ($B13,"IQ_COGS",HH$3,$I$3, $N$3, , $J$3, $K$3))),"")</f>
        <v/>
      </c>
      <c r="HI13" s="90" t="str">
        <f>IFERROR(IF(OR($B13="",HI$3=""),"",IF(AND($HE$4="No",(_xll.ciqfunctions.udf.CIQ($B13,"IQ_INVENTORY",HI$3,$I$3, $N$3, , $J$3, $K$3)+_xll.ciqfunctions.udf.CIQ($B13,"IQ_INVENTORY","IQ_" &amp; LEFT(HI$3,2) &amp; "-1", HI$3, $N$3, , $J$3, $K$3))&lt;=0),0,$HE$2*0.5*(_xll.ciqfunctions.udf.CIQ($B13,"IQ_INVENTORY",HI$3,$I$3, $N$3, , $J$3, $K$3)+_xll.ciqfunctions.udf.CIQ($B13,"IQ_INVENTORY","IQ_" &amp; LEFT(HI$3,2) &amp; "-1", HI$3, $N$3, , $J$3, $K$3))/_xll.ciqfunctions.udf.CIQ($B13,"IQ_COGS",HI$3,$I$3, $N$3, , $J$3, $K$3))),"")</f>
        <v/>
      </c>
      <c r="HJ13" s="90" t="str">
        <f>IFERROR(IF(OR($B13="",HJ$3=""),"",IF(AND($HE$4="No",(_xll.ciqfunctions.udf.CIQ($B13,"IQ_INVENTORY",HJ$3,$I$3, $N$3, , $J$3, $K$3)+_xll.ciqfunctions.udf.CIQ($B13,"IQ_INVENTORY","IQ_" &amp; LEFT(HJ$3,2) &amp; "-1", HJ$3, $N$3, , $J$3, $K$3))&lt;=0),0,$HE$2*0.5*(_xll.ciqfunctions.udf.CIQ($B13,"IQ_INVENTORY",HJ$3,$I$3, $N$3, , $J$3, $K$3)+_xll.ciqfunctions.udf.CIQ($B13,"IQ_INVENTORY","IQ_" &amp; LEFT(HJ$3,2) &amp; "-1", HJ$3, $N$3, , $J$3, $K$3))/_xll.ciqfunctions.udf.CIQ($B13,"IQ_COGS",HJ$3,$I$3, $N$3, , $J$3, $K$3))),"")</f>
        <v/>
      </c>
      <c r="HK13" s="90" t="str">
        <f>IFERROR(IF(OR($B13="",HK$3=""),"",IF(AND($HE$4="No",(_xll.ciqfunctions.udf.CIQ($B13,"IQ_INVENTORY",HK$3,$I$3, $N$3, , $J$3, $K$3)+_xll.ciqfunctions.udf.CIQ($B13,"IQ_INVENTORY","IQ_" &amp; LEFT(HK$3,2) &amp; "-1", HK$3, $N$3, , $J$3, $K$3))&lt;=0),0,$HE$2*0.5*(_xll.ciqfunctions.udf.CIQ($B13,"IQ_INVENTORY",HK$3,$I$3, $N$3, , $J$3, $K$3)+_xll.ciqfunctions.udf.CIQ($B13,"IQ_INVENTORY","IQ_" &amp; LEFT(HK$3,2) &amp; "-1", HK$3, $N$3, , $J$3, $K$3))/_xll.ciqfunctions.udf.CIQ($B13,"IQ_COGS",HK$3,$I$3, $N$3, , $J$3, $K$3))),"")</f>
        <v/>
      </c>
      <c r="HL13" s="90" t="str">
        <f>IFERROR(IF(OR($B13="",HL$3=""),"",IF(AND($HE$4="No",(_xll.ciqfunctions.udf.CIQ($B13,"IQ_INVENTORY",HL$3,$I$3, $N$3, , $J$3, $K$3)+_xll.ciqfunctions.udf.CIQ($B13,"IQ_INVENTORY","IQ_" &amp; LEFT(HL$3,2) &amp; "-1", HL$3, $N$3, , $J$3, $K$3))&lt;=0),0,$HE$2*0.5*(_xll.ciqfunctions.udf.CIQ($B13,"IQ_INVENTORY",HL$3,$I$3, $N$3, , $J$3, $K$3)+_xll.ciqfunctions.udf.CIQ($B13,"IQ_INVENTORY","IQ_" &amp; LEFT(HL$3,2) &amp; "-1", HL$3, $N$3, , $J$3, $K$3))/_xll.ciqfunctions.udf.CIQ($B13,"IQ_COGS",HL$3,$I$3, $N$3, , $J$3, $K$3))),"")</f>
        <v/>
      </c>
      <c r="HM13" s="90" t="str">
        <f>IFERROR(IF(OR($B13="",HM$3=""),"",IF(AND($HE$4="No",(_xll.ciqfunctions.udf.CIQ($B13,"IQ_INVENTORY",HM$3,$I$3, $N$3, , $J$3, $K$3)+_xll.ciqfunctions.udf.CIQ($B13,"IQ_INVENTORY","IQ_" &amp; LEFT(HM$3,2) &amp; "-1", HM$3, $N$3, , $J$3, $K$3))&lt;=0),0,$HE$2*0.5*(_xll.ciqfunctions.udf.CIQ($B13,"IQ_INVENTORY",HM$3,$I$3, $N$3, , $J$3, $K$3)+_xll.ciqfunctions.udf.CIQ($B13,"IQ_INVENTORY","IQ_" &amp; LEFT(HM$3,2) &amp; "-1", HM$3, $N$3, , $J$3, $K$3))/_xll.ciqfunctions.udf.CIQ($B13,"IQ_COGS",HM$3,$I$3, $N$3, , $J$3, $K$3))),"")</f>
        <v/>
      </c>
      <c r="HN13" s="90" t="str">
        <f>IFERROR(IF(OR($B13="",HN$3=""),"",IF(AND($HE$4="No",(_xll.ciqfunctions.udf.CIQ($B13,"IQ_INVENTORY",HN$3,$I$3, $N$3, , $J$3, $K$3)+_xll.ciqfunctions.udf.CIQ($B13,"IQ_INVENTORY","IQ_" &amp; LEFT(HN$3,2) &amp; "-1", HN$3, $N$3, , $J$3, $K$3))&lt;=0),0,$HE$2*0.5*(_xll.ciqfunctions.udf.CIQ($B13,"IQ_INVENTORY",HN$3,$I$3, $N$3, , $J$3, $K$3)+_xll.ciqfunctions.udf.CIQ($B13,"IQ_INVENTORY","IQ_" &amp; LEFT(HN$3,2) &amp; "-1", HN$3, $N$3, , $J$3, $K$3))/_xll.ciqfunctions.udf.CIQ($B13,"IQ_COGS",HN$3,$I$3, $N$3, , $J$3, $K$3))),"")</f>
        <v/>
      </c>
      <c r="HO13" s="90" t="str">
        <f>IFERROR(IF(OR($B13="",HO$3=""),"",IF(AND($HE$4="No",(_xll.ciqfunctions.udf.CIQ($B13,"IQ_INVENTORY",HO$3,$I$3, $N$3, , $J$3, $K$3)+_xll.ciqfunctions.udf.CIQ($B13,"IQ_INVENTORY","IQ_" &amp; LEFT(HO$3,2) &amp; "-1", HO$3, $N$3, , $J$3, $K$3))&lt;=0),0,$HE$2*0.5*(_xll.ciqfunctions.udf.CIQ($B13,"IQ_INVENTORY",HO$3,$I$3, $N$3, , $J$3, $K$3)+_xll.ciqfunctions.udf.CIQ($B13,"IQ_INVENTORY","IQ_" &amp; LEFT(HO$3,2) &amp; "-1", HO$3, $N$3, , $J$3, $K$3))/_xll.ciqfunctions.udf.CIQ($B13,"IQ_COGS",HO$3,$I$3, $N$3, , $J$3, $K$3))),"")</f>
        <v/>
      </c>
      <c r="HP13" s="90" t="str">
        <f>IFERROR(IF(OR($B13="",HP$3=""),"",IF(AND($HE$4="No",(_xll.ciqfunctions.udf.CIQ($B13,"IQ_INVENTORY",HP$3,$I$3, $N$3, , $J$3, $K$3)+_xll.ciqfunctions.udf.CIQ($B13,"IQ_INVENTORY","IQ_" &amp; LEFT(HP$3,2) &amp; "-1", HP$3, $N$3, , $J$3, $K$3))&lt;=0),0,$HE$2*0.5*(_xll.ciqfunctions.udf.CIQ($B13,"IQ_INVENTORY",HP$3,$I$3, $N$3, , $J$3, $K$3)+_xll.ciqfunctions.udf.CIQ($B13,"IQ_INVENTORY","IQ_" &amp; LEFT(HP$3,2) &amp; "-1", HP$3, $N$3, , $J$3, $K$3))/_xll.ciqfunctions.udf.CIQ($B13,"IQ_COGS",HP$3,$I$3, $N$3, , $J$3, $K$3))),"")</f>
        <v/>
      </c>
      <c r="HQ13" s="90" t="str">
        <f>IFERROR(IF(OR($B13="",HQ$3=""),"",IF(AND($HE$4="No",(_xll.ciqfunctions.udf.CIQ($B13,"IQ_INVENTORY",HQ$3,$I$3, $N$3, , $J$3, $K$3)+_xll.ciqfunctions.udf.CIQ($B13,"IQ_INVENTORY","IQ_" &amp; LEFT(HQ$3,2) &amp; "-1", HQ$3, $N$3, , $J$3, $K$3))&lt;=0),0,$HE$2*0.5*(_xll.ciqfunctions.udf.CIQ($B13,"IQ_INVENTORY",HQ$3,$I$3, $N$3, , $J$3, $K$3)+_xll.ciqfunctions.udf.CIQ($B13,"IQ_INVENTORY","IQ_" &amp; LEFT(HQ$3,2) &amp; "-1", HQ$3, $N$3, , $J$3, $K$3))/_xll.ciqfunctions.udf.CIQ($B13,"IQ_COGS",HQ$3,$I$3, $N$3, , $J$3, $K$3))),"")</f>
        <v/>
      </c>
      <c r="HR13" s="90" t="str">
        <f>IFERROR(IF(OR($B13="",HR$3=""),"",IF(AND($HE$4="No",(_xll.ciqfunctions.udf.CIQ($B13,"IQ_INVENTORY",HR$3,$I$3, $N$3, , $J$3, $K$3)+_xll.ciqfunctions.udf.CIQ($B13,"IQ_INVENTORY","IQ_" &amp; LEFT(HR$3,2) &amp; "-1", HR$3, $N$3, , $J$3, $K$3))&lt;=0),0,$HE$2*0.5*(_xll.ciqfunctions.udf.CIQ($B13,"IQ_INVENTORY",HR$3,$I$3, $N$3, , $J$3, $K$3)+_xll.ciqfunctions.udf.CIQ($B13,"IQ_INVENTORY","IQ_" &amp; LEFT(HR$3,2) &amp; "-1", HR$3, $N$3, , $J$3, $K$3))/_xll.ciqfunctions.udf.CIQ($B13,"IQ_COGS",HR$3,$I$3, $N$3, , $J$3, $K$3))),"")</f>
        <v/>
      </c>
      <c r="HS13" s="90" t="str">
        <f>IFERROR(IF(OR($B13="",HS$3=""),"",IF(AND($HE$4="No",(_xll.ciqfunctions.udf.CIQ($B13,"IQ_INVENTORY",HS$3,$I$3, $N$3, , $J$3, $K$3)+_xll.ciqfunctions.udf.CIQ($B13,"IQ_INVENTORY","IQ_" &amp; LEFT(HS$3,2) &amp; "-1", HS$3, $N$3, , $J$3, $K$3))&lt;=0),0,$HE$2*0.5*(_xll.ciqfunctions.udf.CIQ($B13,"IQ_INVENTORY",HS$3,$I$3, $N$3, , $J$3, $K$3)+_xll.ciqfunctions.udf.CIQ($B13,"IQ_INVENTORY","IQ_" &amp; LEFT(HS$3,2) &amp; "-1", HS$3, $N$3, , $J$3, $K$3))/_xll.ciqfunctions.udf.CIQ($B13,"IQ_COGS",HS$3,$I$3, $N$3, , $J$3, $K$3))),"")</f>
        <v/>
      </c>
      <c r="HT13" s="90" t="str">
        <f>IFERROR(IF(OR($B13="",HT$3=""),"",IF(AND($HE$4="No",(_xll.ciqfunctions.udf.CIQ($B13,"IQ_INVENTORY",HT$3,$I$3, $N$3, , $J$3, $K$3)+_xll.ciqfunctions.udf.CIQ($B13,"IQ_INVENTORY","IQ_" &amp; LEFT(HT$3,2) &amp; "-1", HT$3, $N$3, , $J$3, $K$3))&lt;=0),0,$HE$2*0.5*(_xll.ciqfunctions.udf.CIQ($B13,"IQ_INVENTORY",HT$3,$I$3, $N$3, , $J$3, $K$3)+_xll.ciqfunctions.udf.CIQ($B13,"IQ_INVENTORY","IQ_" &amp; LEFT(HT$3,2) &amp; "-1", HT$3, $N$3, , $J$3, $K$3))/_xll.ciqfunctions.udf.CIQ($B13,"IQ_COGS",HT$3,$I$3, $N$3, , $J$3, $K$3))),"")</f>
        <v/>
      </c>
      <c r="HU13" s="90" t="str">
        <f>IFERROR(IF(OR($B13="",HU$3=""),"",IF(AND($HE$4="No",(_xll.ciqfunctions.udf.CIQ($B13,"IQ_INVENTORY",HU$3,$I$3, $N$3, , $J$3, $K$3)+_xll.ciqfunctions.udf.CIQ($B13,"IQ_INVENTORY","IQ_" &amp; LEFT(HU$3,2) &amp; "-1", HU$3, $N$3, , $J$3, $K$3))&lt;=0),0,$HE$2*0.5*(_xll.ciqfunctions.udf.CIQ($B13,"IQ_INVENTORY",HU$3,$I$3, $N$3, , $J$3, $K$3)+_xll.ciqfunctions.udf.CIQ($B13,"IQ_INVENTORY","IQ_" &amp; LEFT(HU$3,2) &amp; "-1", HU$3, $N$3, , $J$3, $K$3))/_xll.ciqfunctions.udf.CIQ($B13,"IQ_COGS",HU$3,$I$3, $N$3, , $J$3, $K$3))),"")</f>
        <v/>
      </c>
      <c r="HV13" s="90" t="str">
        <f>IFERROR(IF(OR($B13="",HV$3=""),"",IF(AND($HE$4="No",(_xll.ciqfunctions.udf.CIQ($B13,"IQ_INVENTORY",HV$3,$I$3, $N$3, , $J$3, $K$3)+_xll.ciqfunctions.udf.CIQ($B13,"IQ_INVENTORY","IQ_" &amp; LEFT(HV$3,2) &amp; "-1", HV$3, $N$3, , $J$3, $K$3))&lt;=0),0,$HE$2*0.5*(_xll.ciqfunctions.udf.CIQ($B13,"IQ_INVENTORY",HV$3,$I$3, $N$3, , $J$3, $K$3)+_xll.ciqfunctions.udf.CIQ($B13,"IQ_INVENTORY","IQ_" &amp; LEFT(HV$3,2) &amp; "-1", HV$3, $N$3, , $J$3, $K$3))/_xll.ciqfunctions.udf.CIQ($B13,"IQ_COGS",HV$3,$I$3, $N$3, , $J$3, $K$3))),"")</f>
        <v/>
      </c>
      <c r="HW13" s="90" t="str">
        <f>IFERROR(IF(OR($B13="",HW$3=""),"",IF(AND($HE$4="No",(_xll.ciqfunctions.udf.CIQ($B13,"IQ_INVENTORY",HW$3,$I$3, $N$3, , $J$3, $K$3)+_xll.ciqfunctions.udf.CIQ($B13,"IQ_INVENTORY","IQ_" &amp; LEFT(HW$3,2) &amp; "-1", HW$3, $N$3, , $J$3, $K$3))&lt;=0),0,$HE$2*0.5*(_xll.ciqfunctions.udf.CIQ($B13,"IQ_INVENTORY",HW$3,$I$3, $N$3, , $J$3, $K$3)+_xll.ciqfunctions.udf.CIQ($B13,"IQ_INVENTORY","IQ_" &amp; LEFT(HW$3,2) &amp; "-1", HW$3, $N$3, , $J$3, $K$3))/_xll.ciqfunctions.udf.CIQ($B13,"IQ_COGS",HW$3,$I$3, $N$3, , $J$3, $K$3))),"")</f>
        <v/>
      </c>
      <c r="HX13" s="91" t="str">
        <f>IFERROR(IF(OR($B13="",HX$3=""),"",IF(AND($HE$4="No",(_xll.ciqfunctions.udf.CIQ($B13,"IQ_INVENTORY",HX$3,$I$3, $N$3, , $J$3, $K$3)+_xll.ciqfunctions.udf.CIQ($B13,"IQ_INVENTORY","IQ_" &amp; LEFT(HX$3,2) &amp; "-1", HX$3, $N$3, , $J$3, $K$3))&lt;=0),0,$HE$2*0.5*(_xll.ciqfunctions.udf.CIQ($B13,"IQ_INVENTORY",HX$3,$I$3, $N$3, , $J$3, $K$3)+_xll.ciqfunctions.udf.CIQ($B13,"IQ_INVENTORY","IQ_" &amp; LEFT(HX$3,2) &amp; "-1", HX$3, $N$3, , $J$3, $K$3))/_xll.ciqfunctions.udf.CIQ($B13,"IQ_COGS",HX$3,$I$3, $N$3, , $J$3, $K$3))),"")</f>
        <v/>
      </c>
      <c r="HY13" s="89" t="str">
        <f>IFERROR(IF(OR($B13="",HY$3=""),"",IF(AND($HY$4="No",(_xll.ciqfunctions.udf.CIQ($B13,"IQ_AP",HY$3,$I$3, $N$3, , $J$3, $K$3)+_xll.ciqfunctions.udf.CIQ($B13,"IQ_AP","IQ_" &amp; LEFT(HY$3,2) &amp; "-1", HY$3, $N$3, , $J$3, $K$3))&lt;=0),"",(_xll.ciqfunctions.udf.CIQ($B13,"IQ_AP",HY$3,$I$3, $N$3, , $J$3, $K$3)+_xll.ciqfunctions.udf.CIQ($B13,"IQ_AP","IQ_" &amp; LEFT(HY$3,2) &amp; "-1", HY$3, $N$3, , $J$3, $K$3))/_xll.ciqfunctions.udf.CIQ($B13,"IQ_COGS",HY$3,$I$3, $N$3, , $J$3, $K$3)*$HY$2*0.5)),"")</f>
        <v/>
      </c>
      <c r="HZ13" s="90" t="str">
        <f>IFERROR(IF(OR($B13="",HZ$3=""),"",IF(AND($HY$4="No",(_xll.ciqfunctions.udf.CIQ($B13,"IQ_AP",HZ$3,$I$3, $N$3, , $J$3, $K$3)+_xll.ciqfunctions.udf.CIQ($B13,"IQ_AP","IQ_" &amp; LEFT(HZ$3,2) &amp; "-1", HZ$3, $N$3, , $J$3, $K$3))&lt;=0),"",(_xll.ciqfunctions.udf.CIQ($B13,"IQ_AP",HZ$3,$I$3, $N$3, , $J$3, $K$3)+_xll.ciqfunctions.udf.CIQ($B13,"IQ_AP","IQ_" &amp; LEFT(HZ$3,2) &amp; "-1", HZ$3, $N$3, , $J$3, $K$3))/_xll.ciqfunctions.udf.CIQ($B13,"IQ_COGS",HZ$3,$I$3, $N$3, , $J$3, $K$3)*$HY$2*0.5)),"")</f>
        <v/>
      </c>
      <c r="IA13" s="90" t="str">
        <f>IFERROR(IF(OR($B13="",IA$3=""),"",IF(AND($HY$4="No",(_xll.ciqfunctions.udf.CIQ($B13,"IQ_AP",IA$3,$I$3, $N$3, , $J$3, $K$3)+_xll.ciqfunctions.udf.CIQ($B13,"IQ_AP","IQ_" &amp; LEFT(IA$3,2) &amp; "-1", IA$3, $N$3, , $J$3, $K$3))&lt;=0),"",(_xll.ciqfunctions.udf.CIQ($B13,"IQ_AP",IA$3,$I$3, $N$3, , $J$3, $K$3)+_xll.ciqfunctions.udf.CIQ($B13,"IQ_AP","IQ_" &amp; LEFT(IA$3,2) &amp; "-1", IA$3, $N$3, , $J$3, $K$3))/_xll.ciqfunctions.udf.CIQ($B13,"IQ_COGS",IA$3,$I$3, $N$3, , $J$3, $K$3)*$HY$2*0.5)),"")</f>
        <v/>
      </c>
      <c r="IB13" s="90" t="str">
        <f>IFERROR(IF(OR($B13="",IB$3=""),"",IF(AND($HY$4="No",(_xll.ciqfunctions.udf.CIQ($B13,"IQ_AP",IB$3,$I$3, $N$3, , $J$3, $K$3)+_xll.ciqfunctions.udf.CIQ($B13,"IQ_AP","IQ_" &amp; LEFT(IB$3,2) &amp; "-1", IB$3, $N$3, , $J$3, $K$3))&lt;=0),"",(_xll.ciqfunctions.udf.CIQ($B13,"IQ_AP",IB$3,$I$3, $N$3, , $J$3, $K$3)+_xll.ciqfunctions.udf.CIQ($B13,"IQ_AP","IQ_" &amp; LEFT(IB$3,2) &amp; "-1", IB$3, $N$3, , $J$3, $K$3))/_xll.ciqfunctions.udf.CIQ($B13,"IQ_COGS",IB$3,$I$3, $N$3, , $J$3, $K$3)*$HY$2*0.5)),"")</f>
        <v/>
      </c>
      <c r="IC13" s="90" t="str">
        <f>IFERROR(IF(OR($B13="",IC$3=""),"",IF(AND($HY$4="No",(_xll.ciqfunctions.udf.CIQ($B13,"IQ_AP",IC$3,$I$3, $N$3, , $J$3, $K$3)+_xll.ciqfunctions.udf.CIQ($B13,"IQ_AP","IQ_" &amp; LEFT(IC$3,2) &amp; "-1", IC$3, $N$3, , $J$3, $K$3))&lt;=0),"",(_xll.ciqfunctions.udf.CIQ($B13,"IQ_AP",IC$3,$I$3, $N$3, , $J$3, $K$3)+_xll.ciqfunctions.udf.CIQ($B13,"IQ_AP","IQ_" &amp; LEFT(IC$3,2) &amp; "-1", IC$3, $N$3, , $J$3, $K$3))/_xll.ciqfunctions.udf.CIQ($B13,"IQ_COGS",IC$3,$I$3, $N$3, , $J$3, $K$3)*$HY$2*0.5)),"")</f>
        <v/>
      </c>
      <c r="ID13" s="90" t="str">
        <f>IFERROR(IF(OR($B13="",ID$3=""),"",IF(AND($HY$4="No",(_xll.ciqfunctions.udf.CIQ($B13,"IQ_AP",ID$3,$I$3, $N$3, , $J$3, $K$3)+_xll.ciqfunctions.udf.CIQ($B13,"IQ_AP","IQ_" &amp; LEFT(ID$3,2) &amp; "-1", ID$3, $N$3, , $J$3, $K$3))&lt;=0),"",(_xll.ciqfunctions.udf.CIQ($B13,"IQ_AP",ID$3,$I$3, $N$3, , $J$3, $K$3)+_xll.ciqfunctions.udf.CIQ($B13,"IQ_AP","IQ_" &amp; LEFT(ID$3,2) &amp; "-1", ID$3, $N$3, , $J$3, $K$3))/_xll.ciqfunctions.udf.CIQ($B13,"IQ_COGS",ID$3,$I$3, $N$3, , $J$3, $K$3)*$HY$2*0.5)),"")</f>
        <v/>
      </c>
      <c r="IE13" s="90" t="str">
        <f>IFERROR(IF(OR($B13="",IE$3=""),"",IF(AND($HY$4="No",(_xll.ciqfunctions.udf.CIQ($B13,"IQ_AP",IE$3,$I$3, $N$3, , $J$3, $K$3)+_xll.ciqfunctions.udf.CIQ($B13,"IQ_AP","IQ_" &amp; LEFT(IE$3,2) &amp; "-1", IE$3, $N$3, , $J$3, $K$3))&lt;=0),"",(_xll.ciqfunctions.udf.CIQ($B13,"IQ_AP",IE$3,$I$3, $N$3, , $J$3, $K$3)+_xll.ciqfunctions.udf.CIQ($B13,"IQ_AP","IQ_" &amp; LEFT(IE$3,2) &amp; "-1", IE$3, $N$3, , $J$3, $K$3))/_xll.ciqfunctions.udf.CIQ($B13,"IQ_COGS",IE$3,$I$3, $N$3, , $J$3, $K$3)*$HY$2*0.5)),"")</f>
        <v/>
      </c>
      <c r="IF13" s="90" t="str">
        <f>IFERROR(IF(OR($B13="",IF$3=""),"",IF(AND($HY$4="No",(_xll.ciqfunctions.udf.CIQ($B13,"IQ_AP",IF$3,$I$3, $N$3, , $J$3, $K$3)+_xll.ciqfunctions.udf.CIQ($B13,"IQ_AP","IQ_" &amp; LEFT(IF$3,2) &amp; "-1", IF$3, $N$3, , $J$3, $K$3))&lt;=0),"",(_xll.ciqfunctions.udf.CIQ($B13,"IQ_AP",IF$3,$I$3, $N$3, , $J$3, $K$3)+_xll.ciqfunctions.udf.CIQ($B13,"IQ_AP","IQ_" &amp; LEFT(IF$3,2) &amp; "-1", IF$3, $N$3, , $J$3, $K$3))/_xll.ciqfunctions.udf.CIQ($B13,"IQ_COGS",IF$3,$I$3, $N$3, , $J$3, $K$3)*$HY$2*0.5)),"")</f>
        <v/>
      </c>
      <c r="IG13" s="90" t="str">
        <f>IFERROR(IF(OR($B13="",IG$3=""),"",IF(AND($HY$4="No",(_xll.ciqfunctions.udf.CIQ($B13,"IQ_AP",IG$3,$I$3, $N$3, , $J$3, $K$3)+_xll.ciqfunctions.udf.CIQ($B13,"IQ_AP","IQ_" &amp; LEFT(IG$3,2) &amp; "-1", IG$3, $N$3, , $J$3, $K$3))&lt;=0),"",(_xll.ciqfunctions.udf.CIQ($B13,"IQ_AP",IG$3,$I$3, $N$3, , $J$3, $K$3)+_xll.ciqfunctions.udf.CIQ($B13,"IQ_AP","IQ_" &amp; LEFT(IG$3,2) &amp; "-1", IG$3, $N$3, , $J$3, $K$3))/_xll.ciqfunctions.udf.CIQ($B13,"IQ_COGS",IG$3,$I$3, $N$3, , $J$3, $K$3)*$HY$2*0.5)),"")</f>
        <v/>
      </c>
      <c r="IH13" s="90" t="str">
        <f>IFERROR(IF(OR($B13="",IH$3=""),"",IF(AND($HY$4="No",(_xll.ciqfunctions.udf.CIQ($B13,"IQ_AP",IH$3,$I$3, $N$3, , $J$3, $K$3)+_xll.ciqfunctions.udf.CIQ($B13,"IQ_AP","IQ_" &amp; LEFT(IH$3,2) &amp; "-1", IH$3, $N$3, , $J$3, $K$3))&lt;=0),"",(_xll.ciqfunctions.udf.CIQ($B13,"IQ_AP",IH$3,$I$3, $N$3, , $J$3, $K$3)+_xll.ciqfunctions.udf.CIQ($B13,"IQ_AP","IQ_" &amp; LEFT(IH$3,2) &amp; "-1", IH$3, $N$3, , $J$3, $K$3))/_xll.ciqfunctions.udf.CIQ($B13,"IQ_COGS",IH$3,$I$3, $N$3, , $J$3, $K$3)*$HY$2*0.5)),"")</f>
        <v/>
      </c>
      <c r="II13" s="90" t="str">
        <f>IFERROR(IF(OR($B13="",II$3=""),"",IF(AND($HY$4="No",(_xll.ciqfunctions.udf.CIQ($B13,"IQ_AP",II$3,$I$3, $N$3, , $J$3, $K$3)+_xll.ciqfunctions.udf.CIQ($B13,"IQ_AP","IQ_" &amp; LEFT(II$3,2) &amp; "-1", II$3, $N$3, , $J$3, $K$3))&lt;=0),"",(_xll.ciqfunctions.udf.CIQ($B13,"IQ_AP",II$3,$I$3, $N$3, , $J$3, $K$3)+_xll.ciqfunctions.udf.CIQ($B13,"IQ_AP","IQ_" &amp; LEFT(II$3,2) &amp; "-1", II$3, $N$3, , $J$3, $K$3))/_xll.ciqfunctions.udf.CIQ($B13,"IQ_COGS",II$3,$I$3, $N$3, , $J$3, $K$3)*$HY$2*0.5)),"")</f>
        <v/>
      </c>
      <c r="IJ13" s="90" t="str">
        <f>IFERROR(IF(OR($B13="",IJ$3=""),"",IF(AND($HY$4="No",(_xll.ciqfunctions.udf.CIQ($B13,"IQ_AP",IJ$3,$I$3, $N$3, , $J$3, $K$3)+_xll.ciqfunctions.udf.CIQ($B13,"IQ_AP","IQ_" &amp; LEFT(IJ$3,2) &amp; "-1", IJ$3, $N$3, , $J$3, $K$3))&lt;=0),"",(_xll.ciqfunctions.udf.CIQ($B13,"IQ_AP",IJ$3,$I$3, $N$3, , $J$3, $K$3)+_xll.ciqfunctions.udf.CIQ($B13,"IQ_AP","IQ_" &amp; LEFT(IJ$3,2) &amp; "-1", IJ$3, $N$3, , $J$3, $K$3))/_xll.ciqfunctions.udf.CIQ($B13,"IQ_COGS",IJ$3,$I$3, $N$3, , $J$3, $K$3)*$HY$2*0.5)),"")</f>
        <v/>
      </c>
      <c r="IK13" s="90" t="str">
        <f>IFERROR(IF(OR($B13="",IK$3=""),"",IF(AND($HY$4="No",(_xll.ciqfunctions.udf.CIQ($B13,"IQ_AP",IK$3,$I$3, $N$3, , $J$3, $K$3)+_xll.ciqfunctions.udf.CIQ($B13,"IQ_AP","IQ_" &amp; LEFT(IK$3,2) &amp; "-1", IK$3, $N$3, , $J$3, $K$3))&lt;=0),"",(_xll.ciqfunctions.udf.CIQ($B13,"IQ_AP",IK$3,$I$3, $N$3, , $J$3, $K$3)+_xll.ciqfunctions.udf.CIQ($B13,"IQ_AP","IQ_" &amp; LEFT(IK$3,2) &amp; "-1", IK$3, $N$3, , $J$3, $K$3))/_xll.ciqfunctions.udf.CIQ($B13,"IQ_COGS",IK$3,$I$3, $N$3, , $J$3, $K$3)*$HY$2*0.5)),"")</f>
        <v/>
      </c>
      <c r="IL13" s="90" t="str">
        <f>IFERROR(IF(OR($B13="",IL$3=""),"",IF(AND($HY$4="No",(_xll.ciqfunctions.udf.CIQ($B13,"IQ_AP",IL$3,$I$3, $N$3, , $J$3, $K$3)+_xll.ciqfunctions.udf.CIQ($B13,"IQ_AP","IQ_" &amp; LEFT(IL$3,2) &amp; "-1", IL$3, $N$3, , $J$3, $K$3))&lt;=0),"",(_xll.ciqfunctions.udf.CIQ($B13,"IQ_AP",IL$3,$I$3, $N$3, , $J$3, $K$3)+_xll.ciqfunctions.udf.CIQ($B13,"IQ_AP","IQ_" &amp; LEFT(IL$3,2) &amp; "-1", IL$3, $N$3, , $J$3, $K$3))/_xll.ciqfunctions.udf.CIQ($B13,"IQ_COGS",IL$3,$I$3, $N$3, , $J$3, $K$3)*$HY$2*0.5)),"")</f>
        <v/>
      </c>
      <c r="IM13" s="90" t="str">
        <f>IFERROR(IF(OR($B13="",IM$3=""),"",IF(AND($HY$4="No",(_xll.ciqfunctions.udf.CIQ($B13,"IQ_AP",IM$3,$I$3, $N$3, , $J$3, $K$3)+_xll.ciqfunctions.udf.CIQ($B13,"IQ_AP","IQ_" &amp; LEFT(IM$3,2) &amp; "-1", IM$3, $N$3, , $J$3, $K$3))&lt;=0),"",(_xll.ciqfunctions.udf.CIQ($B13,"IQ_AP",IM$3,$I$3, $N$3, , $J$3, $K$3)+_xll.ciqfunctions.udf.CIQ($B13,"IQ_AP","IQ_" &amp; LEFT(IM$3,2) &amp; "-1", IM$3, $N$3, , $J$3, $K$3))/_xll.ciqfunctions.udf.CIQ($B13,"IQ_COGS",IM$3,$I$3, $N$3, , $J$3, $K$3)*$HY$2*0.5)),"")</f>
        <v/>
      </c>
      <c r="IN13" s="90" t="str">
        <f>IFERROR(IF(OR($B13="",IN$3=""),"",IF(AND($HY$4="No",(_xll.ciqfunctions.udf.CIQ($B13,"IQ_AP",IN$3,$I$3, $N$3, , $J$3, $K$3)+_xll.ciqfunctions.udf.CIQ($B13,"IQ_AP","IQ_" &amp; LEFT(IN$3,2) &amp; "-1", IN$3, $N$3, , $J$3, $K$3))&lt;=0),"",(_xll.ciqfunctions.udf.CIQ($B13,"IQ_AP",IN$3,$I$3, $N$3, , $J$3, $K$3)+_xll.ciqfunctions.udf.CIQ($B13,"IQ_AP","IQ_" &amp; LEFT(IN$3,2) &amp; "-1", IN$3, $N$3, , $J$3, $K$3))/_xll.ciqfunctions.udf.CIQ($B13,"IQ_COGS",IN$3,$I$3, $N$3, , $J$3, $K$3)*$HY$2*0.5)),"")</f>
        <v/>
      </c>
      <c r="IO13" s="90" t="str">
        <f>IFERROR(IF(OR($B13="",IO$3=""),"",IF(AND($HY$4="No",(_xll.ciqfunctions.udf.CIQ($B13,"IQ_AP",IO$3,$I$3, $N$3, , $J$3, $K$3)+_xll.ciqfunctions.udf.CIQ($B13,"IQ_AP","IQ_" &amp; LEFT(IO$3,2) &amp; "-1", IO$3, $N$3, , $J$3, $K$3))&lt;=0),"",(_xll.ciqfunctions.udf.CIQ($B13,"IQ_AP",IO$3,$I$3, $N$3, , $J$3, $K$3)+_xll.ciqfunctions.udf.CIQ($B13,"IQ_AP","IQ_" &amp; LEFT(IO$3,2) &amp; "-1", IO$3, $N$3, , $J$3, $K$3))/_xll.ciqfunctions.udf.CIQ($B13,"IQ_COGS",IO$3,$I$3, $N$3, , $J$3, $K$3)*$HY$2*0.5)),"")</f>
        <v/>
      </c>
      <c r="IP13" s="90" t="str">
        <f>IFERROR(IF(OR($B13="",IP$3=""),"",IF(AND($HY$4="No",(_xll.ciqfunctions.udf.CIQ($B13,"IQ_AP",IP$3,$I$3, $N$3, , $J$3, $K$3)+_xll.ciqfunctions.udf.CIQ($B13,"IQ_AP","IQ_" &amp; LEFT(IP$3,2) &amp; "-1", IP$3, $N$3, , $J$3, $K$3))&lt;=0),"",(_xll.ciqfunctions.udf.CIQ($B13,"IQ_AP",IP$3,$I$3, $N$3, , $J$3, $K$3)+_xll.ciqfunctions.udf.CIQ($B13,"IQ_AP","IQ_" &amp; LEFT(IP$3,2) &amp; "-1", IP$3, $N$3, , $J$3, $K$3))/_xll.ciqfunctions.udf.CIQ($B13,"IQ_COGS",IP$3,$I$3, $N$3, , $J$3, $K$3)*$HY$2*0.5)),"")</f>
        <v/>
      </c>
      <c r="IQ13" s="90" t="str">
        <f>IFERROR(IF(OR($B13="",IQ$3=""),"",IF(AND($HY$4="No",(_xll.ciqfunctions.udf.CIQ($B13,"IQ_AP",IQ$3,$I$3, $N$3, , $J$3, $K$3)+_xll.ciqfunctions.udf.CIQ($B13,"IQ_AP","IQ_" &amp; LEFT(IQ$3,2) &amp; "-1", IQ$3, $N$3, , $J$3, $K$3))&lt;=0),"",(_xll.ciqfunctions.udf.CIQ($B13,"IQ_AP",IQ$3,$I$3, $N$3, , $J$3, $K$3)+_xll.ciqfunctions.udf.CIQ($B13,"IQ_AP","IQ_" &amp; LEFT(IQ$3,2) &amp; "-1", IQ$3, $N$3, , $J$3, $K$3))/_xll.ciqfunctions.udf.CIQ($B13,"IQ_COGS",IQ$3,$I$3, $N$3, , $J$3, $K$3)*$HY$2*0.5)),"")</f>
        <v/>
      </c>
      <c r="IR13" s="91" t="str">
        <f>IFERROR(IF(OR($B13="",IR$3=""),"",IF(AND($HY$4="No",(_xll.ciqfunctions.udf.CIQ($B13,"IQ_AP",IR$3,$I$3, $N$3, , $J$3, $K$3)+_xll.ciqfunctions.udf.CIQ($B13,"IQ_AP","IQ_" &amp; LEFT(IR$3,2) &amp; "-1", IR$3, $N$3, , $J$3, $K$3))&lt;=0),"",(_xll.ciqfunctions.udf.CIQ($B13,"IQ_AP",IR$3,$I$3, $N$3, , $J$3, $K$3)+_xll.ciqfunctions.udf.CIQ($B13,"IQ_AP","IQ_" &amp; LEFT(IR$3,2) &amp; "-1", IR$3, $N$3, , $J$3, $K$3))/_xll.ciqfunctions.udf.CIQ($B13,"IQ_COGS",IR$3,$I$3, $N$3, , $J$3, $K$3)*$HY$2*0.5)),"")</f>
        <v/>
      </c>
      <c r="IS13" s="89" t="str">
        <f t="shared" si="343"/>
        <v/>
      </c>
      <c r="IT13" s="90" t="str">
        <f t="shared" si="344"/>
        <v/>
      </c>
      <c r="IU13" s="90" t="str">
        <f t="shared" si="345"/>
        <v/>
      </c>
      <c r="IV13" s="90" t="str">
        <f t="shared" si="346"/>
        <v/>
      </c>
      <c r="IW13" s="90" t="str">
        <f t="shared" si="347"/>
        <v/>
      </c>
      <c r="IX13" s="90" t="str">
        <f t="shared" si="348"/>
        <v/>
      </c>
      <c r="IY13" s="90" t="str">
        <f t="shared" si="349"/>
        <v/>
      </c>
      <c r="IZ13" s="90" t="str">
        <f t="shared" si="350"/>
        <v/>
      </c>
      <c r="JA13" s="90" t="str">
        <f t="shared" si="351"/>
        <v/>
      </c>
      <c r="JB13" s="90" t="str">
        <f t="shared" si="352"/>
        <v/>
      </c>
      <c r="JC13" s="90" t="str">
        <f t="shared" si="353"/>
        <v/>
      </c>
      <c r="JD13" s="90" t="str">
        <f t="shared" si="354"/>
        <v/>
      </c>
      <c r="JE13" s="90" t="str">
        <f t="shared" si="355"/>
        <v/>
      </c>
      <c r="JF13" s="90" t="str">
        <f t="shared" si="356"/>
        <v/>
      </c>
      <c r="JG13" s="90" t="str">
        <f t="shared" si="357"/>
        <v/>
      </c>
      <c r="JH13" s="90" t="str">
        <f t="shared" si="358"/>
        <v/>
      </c>
      <c r="JI13" s="90" t="str">
        <f t="shared" si="359"/>
        <v/>
      </c>
      <c r="JJ13" s="90" t="str">
        <f t="shared" si="360"/>
        <v/>
      </c>
      <c r="JK13" s="90" t="str">
        <f t="shared" si="361"/>
        <v/>
      </c>
      <c r="JL13" s="91" t="str">
        <f t="shared" si="362"/>
        <v/>
      </c>
      <c r="JM13" s="86" t="str">
        <f>IFERROR(IF(OR($B13="",JM$3=""),"",_xll.ciqfunctions.udf.CIQ($B13,"IQ_CASH_OPER",JM$3,$I$3, $N$3, , $J$3, $K$3)/_xll.ciqfunctions.udf.CIQ($B13,"IQ_TOTAL_REV",JM$3,$I$3, $N$3, , $J$3, $K$3)),"")</f>
        <v/>
      </c>
      <c r="JN13" s="87" t="str">
        <f>IFERROR(IF(OR($B13="",JN$3=""),"",_xll.ciqfunctions.udf.CIQ($B13,"IQ_CASH_OPER",JN$3,$I$3, $N$3, , $J$3, $K$3)/_xll.ciqfunctions.udf.CIQ($B13,"IQ_TOTAL_REV",JN$3,$I$3, $N$3, , $J$3, $K$3)),"")</f>
        <v/>
      </c>
      <c r="JO13" s="87" t="str">
        <f>IFERROR(IF(OR($B13="",JO$3=""),"",_xll.ciqfunctions.udf.CIQ($B13,"IQ_CASH_OPER",JO$3,$I$3, $N$3, , $J$3, $K$3)/_xll.ciqfunctions.udf.CIQ($B13,"IQ_TOTAL_REV",JO$3,$I$3, $N$3, , $J$3, $K$3)),"")</f>
        <v/>
      </c>
      <c r="JP13" s="87" t="str">
        <f>IFERROR(IF(OR($B13="",JP$3=""),"",_xll.ciqfunctions.udf.CIQ($B13,"IQ_CASH_OPER",JP$3,$I$3, $N$3, , $J$3, $K$3)/_xll.ciqfunctions.udf.CIQ($B13,"IQ_TOTAL_REV",JP$3,$I$3, $N$3, , $J$3, $K$3)),"")</f>
        <v/>
      </c>
      <c r="JQ13" s="87" t="str">
        <f>IFERROR(IF(OR($B13="",JQ$3=""),"",_xll.ciqfunctions.udf.CIQ($B13,"IQ_CASH_OPER",JQ$3,$I$3, $N$3, , $J$3, $K$3)/_xll.ciqfunctions.udf.CIQ($B13,"IQ_TOTAL_REV",JQ$3,$I$3, $N$3, , $J$3, $K$3)),"")</f>
        <v/>
      </c>
      <c r="JR13" s="87" t="str">
        <f>IFERROR(IF(OR($B13="",JR$3=""),"",_xll.ciqfunctions.udf.CIQ($B13,"IQ_CASH_OPER",JR$3,$I$3, $N$3, , $J$3, $K$3)/_xll.ciqfunctions.udf.CIQ($B13,"IQ_TOTAL_REV",JR$3,$I$3, $N$3, , $J$3, $K$3)),"")</f>
        <v/>
      </c>
      <c r="JS13" s="87" t="str">
        <f>IFERROR(IF(OR($B13="",JS$3=""),"",_xll.ciqfunctions.udf.CIQ($B13,"IQ_CASH_OPER",JS$3,$I$3, $N$3, , $J$3, $K$3)/_xll.ciqfunctions.udf.CIQ($B13,"IQ_TOTAL_REV",JS$3,$I$3, $N$3, , $J$3, $K$3)),"")</f>
        <v/>
      </c>
      <c r="JT13" s="87" t="str">
        <f>IFERROR(IF(OR($B13="",JT$3=""),"",_xll.ciqfunctions.udf.CIQ($B13,"IQ_CASH_OPER",JT$3,$I$3, $N$3, , $J$3, $K$3)/_xll.ciqfunctions.udf.CIQ($B13,"IQ_TOTAL_REV",JT$3,$I$3, $N$3, , $J$3, $K$3)),"")</f>
        <v/>
      </c>
      <c r="JU13" s="87" t="str">
        <f>IFERROR(IF(OR($B13="",JU$3=""),"",_xll.ciqfunctions.udf.CIQ($B13,"IQ_CASH_OPER",JU$3,$I$3, $N$3, , $J$3, $K$3)/_xll.ciqfunctions.udf.CIQ($B13,"IQ_TOTAL_REV",JU$3,$I$3, $N$3, , $J$3, $K$3)),"")</f>
        <v/>
      </c>
      <c r="JV13" s="87" t="str">
        <f>IFERROR(IF(OR($B13="",JV$3=""),"",_xll.ciqfunctions.udf.CIQ($B13,"IQ_CASH_OPER",JV$3,$I$3, $N$3, , $J$3, $K$3)/_xll.ciqfunctions.udf.CIQ($B13,"IQ_TOTAL_REV",JV$3,$I$3, $N$3, , $J$3, $K$3)),"")</f>
        <v/>
      </c>
      <c r="JW13" s="87" t="str">
        <f>IFERROR(IF(OR($B13="",JW$3=""),"",_xll.ciqfunctions.udf.CIQ($B13,"IQ_CASH_OPER",JW$3,$I$3, $N$3, , $J$3, $K$3)/_xll.ciqfunctions.udf.CIQ($B13,"IQ_TOTAL_REV",JW$3,$I$3, $N$3, , $J$3, $K$3)),"")</f>
        <v/>
      </c>
      <c r="JX13" s="87" t="str">
        <f>IFERROR(IF(OR($B13="",JX$3=""),"",_xll.ciqfunctions.udf.CIQ($B13,"IQ_CASH_OPER",JX$3,$I$3, $N$3, , $J$3, $K$3)/_xll.ciqfunctions.udf.CIQ($B13,"IQ_TOTAL_REV",JX$3,$I$3, $N$3, , $J$3, $K$3)),"")</f>
        <v/>
      </c>
      <c r="JY13" s="87" t="str">
        <f>IFERROR(IF(OR($B13="",JY$3=""),"",_xll.ciqfunctions.udf.CIQ($B13,"IQ_CASH_OPER",JY$3,$I$3, $N$3, , $J$3, $K$3)/_xll.ciqfunctions.udf.CIQ($B13,"IQ_TOTAL_REV",JY$3,$I$3, $N$3, , $J$3, $K$3)),"")</f>
        <v/>
      </c>
      <c r="JZ13" s="87" t="str">
        <f>IFERROR(IF(OR($B13="",JZ$3=""),"",_xll.ciqfunctions.udf.CIQ($B13,"IQ_CASH_OPER",JZ$3,$I$3, $N$3, , $J$3, $K$3)/_xll.ciqfunctions.udf.CIQ($B13,"IQ_TOTAL_REV",JZ$3,$I$3, $N$3, , $J$3, $K$3)),"")</f>
        <v/>
      </c>
      <c r="KA13" s="87" t="str">
        <f>IFERROR(IF(OR($B13="",KA$3=""),"",_xll.ciqfunctions.udf.CIQ($B13,"IQ_CASH_OPER",KA$3,$I$3, $N$3, , $J$3, $K$3)/_xll.ciqfunctions.udf.CIQ($B13,"IQ_TOTAL_REV",KA$3,$I$3, $N$3, , $J$3, $K$3)),"")</f>
        <v/>
      </c>
      <c r="KB13" s="87" t="str">
        <f>IFERROR(IF(OR($B13="",KB$3=""),"",_xll.ciqfunctions.udf.CIQ($B13,"IQ_CASH_OPER",KB$3,$I$3, $N$3, , $J$3, $K$3)/_xll.ciqfunctions.udf.CIQ($B13,"IQ_TOTAL_REV",KB$3,$I$3, $N$3, , $J$3, $K$3)),"")</f>
        <v/>
      </c>
      <c r="KC13" s="87" t="str">
        <f>IFERROR(IF(OR($B13="",KC$3=""),"",_xll.ciqfunctions.udf.CIQ($B13,"IQ_CASH_OPER",KC$3,$I$3, $N$3, , $J$3, $K$3)/_xll.ciqfunctions.udf.CIQ($B13,"IQ_TOTAL_REV",KC$3,$I$3, $N$3, , $J$3, $K$3)),"")</f>
        <v/>
      </c>
      <c r="KD13" s="87" t="str">
        <f>IFERROR(IF(OR($B13="",KD$3=""),"",_xll.ciqfunctions.udf.CIQ($B13,"IQ_CASH_OPER",KD$3,$I$3, $N$3, , $J$3, $K$3)/_xll.ciqfunctions.udf.CIQ($B13,"IQ_TOTAL_REV",KD$3,$I$3, $N$3, , $J$3, $K$3)),"")</f>
        <v/>
      </c>
      <c r="KE13" s="87" t="str">
        <f>IFERROR(IF(OR($B13="",KE$3=""),"",_xll.ciqfunctions.udf.CIQ($B13,"IQ_CASH_OPER",KE$3,$I$3, $N$3, , $J$3, $K$3)/_xll.ciqfunctions.udf.CIQ($B13,"IQ_TOTAL_REV",KE$3,$I$3, $N$3, , $J$3, $K$3)),"")</f>
        <v/>
      </c>
      <c r="KF13" s="88" t="str">
        <f>IFERROR(IF(OR($B13="",KF$3=""),"",_xll.ciqfunctions.udf.CIQ($B13,"IQ_CASH_OPER",KF$3,$I$3, $N$3, , $J$3, $K$3)/_xll.ciqfunctions.udf.CIQ($B13,"IQ_TOTAL_REV",KF$3,$I$3, $N$3, , $J$3, $K$3)),"")</f>
        <v/>
      </c>
      <c r="KG13" s="89" t="str">
        <f>IFERROR(IF(OR($B13="",KG$3=""),"",IF(NOT(ISNUMBER(_xll.ciqfunctions.udf.CIQ($B13, "IQ_ASSET_TURNS", KG$3, $E$3, $N$3, , $J$3, $K$3))),"",_xll.ciqfunctions.udf.CIQ($B13, "IQ_ASSET_TURNS", KG$3, $E$3, $N$3, , $J$3, $K$3))),"")</f>
        <v/>
      </c>
      <c r="KH13" s="90" t="str">
        <f>IFERROR(IF(OR($B13="",KH$3=""),"",IF(NOT(ISNUMBER(_xll.ciqfunctions.udf.CIQ($B13, "IQ_ASSET_TURNS", KH$3, $E$3, $N$3, , $J$3, $K$3))),"",_xll.ciqfunctions.udf.CIQ($B13, "IQ_ASSET_TURNS", KH$3, $E$3, $N$3, , $J$3, $K$3))),"")</f>
        <v/>
      </c>
      <c r="KI13" s="90" t="str">
        <f>IFERROR(IF(OR($B13="",KI$3=""),"",IF(NOT(ISNUMBER(_xll.ciqfunctions.udf.CIQ($B13, "IQ_ASSET_TURNS", KI$3, $E$3, $N$3, , $J$3, $K$3))),"",_xll.ciqfunctions.udf.CIQ($B13, "IQ_ASSET_TURNS", KI$3, $E$3, $N$3, , $J$3, $K$3))),"")</f>
        <v/>
      </c>
      <c r="KJ13" s="90" t="str">
        <f>IFERROR(IF(OR($B13="",KJ$3=""),"",IF(NOT(ISNUMBER(_xll.ciqfunctions.udf.CIQ($B13, "IQ_ASSET_TURNS", KJ$3, $E$3, $N$3, , $J$3, $K$3))),"",_xll.ciqfunctions.udf.CIQ($B13, "IQ_ASSET_TURNS", KJ$3, $E$3, $N$3, , $J$3, $K$3))),"")</f>
        <v/>
      </c>
      <c r="KK13" s="90" t="str">
        <f>IFERROR(IF(OR($B13="",KK$3=""),"",IF(NOT(ISNUMBER(_xll.ciqfunctions.udf.CIQ($B13, "IQ_ASSET_TURNS", KK$3, $E$3, $N$3, , $J$3, $K$3))),"",_xll.ciqfunctions.udf.CIQ($B13, "IQ_ASSET_TURNS", KK$3, $E$3, $N$3, , $J$3, $K$3))),"")</f>
        <v/>
      </c>
      <c r="KL13" s="90" t="str">
        <f>IFERROR(IF(OR($B13="",KL$3=""),"",IF(NOT(ISNUMBER(_xll.ciqfunctions.udf.CIQ($B13, "IQ_ASSET_TURNS", KL$3, $E$3, $N$3, , $J$3, $K$3))),"",_xll.ciqfunctions.udf.CIQ($B13, "IQ_ASSET_TURNS", KL$3, $E$3, $N$3, , $J$3, $K$3))),"")</f>
        <v/>
      </c>
      <c r="KM13" s="90" t="str">
        <f>IFERROR(IF(OR($B13="",KM$3=""),"",IF(NOT(ISNUMBER(_xll.ciqfunctions.udf.CIQ($B13, "IQ_ASSET_TURNS", KM$3, $E$3, $N$3, , $J$3, $K$3))),"",_xll.ciqfunctions.udf.CIQ($B13, "IQ_ASSET_TURNS", KM$3, $E$3, $N$3, , $J$3, $K$3))),"")</f>
        <v/>
      </c>
      <c r="KN13" s="90" t="str">
        <f>IFERROR(IF(OR($B13="",KN$3=""),"",IF(NOT(ISNUMBER(_xll.ciqfunctions.udf.CIQ($B13, "IQ_ASSET_TURNS", KN$3, $E$3, $N$3, , $J$3, $K$3))),"",_xll.ciqfunctions.udf.CIQ($B13, "IQ_ASSET_TURNS", KN$3, $E$3, $N$3, , $J$3, $K$3))),"")</f>
        <v/>
      </c>
      <c r="KO13" s="90" t="str">
        <f>IFERROR(IF(OR($B13="",KO$3=""),"",IF(NOT(ISNUMBER(_xll.ciqfunctions.udf.CIQ($B13, "IQ_ASSET_TURNS", KO$3, $E$3, $N$3, , $J$3, $K$3))),"",_xll.ciqfunctions.udf.CIQ($B13, "IQ_ASSET_TURNS", KO$3, $E$3, $N$3, , $J$3, $K$3))),"")</f>
        <v/>
      </c>
      <c r="KP13" s="90" t="str">
        <f>IFERROR(IF(OR($B13="",KP$3=""),"",IF(NOT(ISNUMBER(_xll.ciqfunctions.udf.CIQ($B13, "IQ_ASSET_TURNS", KP$3, $E$3, $N$3, , $J$3, $K$3))),"",_xll.ciqfunctions.udf.CIQ($B13, "IQ_ASSET_TURNS", KP$3, $E$3, $N$3, , $J$3, $K$3))),"")</f>
        <v/>
      </c>
      <c r="KQ13" s="90" t="str">
        <f>IFERROR(IF(OR($B13="",KQ$3=""),"",IF(NOT(ISNUMBER(_xll.ciqfunctions.udf.CIQ($B13, "IQ_ASSET_TURNS", KQ$3, $E$3, $N$3, , $J$3, $K$3))),"",_xll.ciqfunctions.udf.CIQ($B13, "IQ_ASSET_TURNS", KQ$3, $E$3, $N$3, , $J$3, $K$3))),"")</f>
        <v/>
      </c>
      <c r="KR13" s="90" t="str">
        <f>IFERROR(IF(OR($B13="",KR$3=""),"",IF(NOT(ISNUMBER(_xll.ciqfunctions.udf.CIQ($B13, "IQ_ASSET_TURNS", KR$3, $E$3, $N$3, , $J$3, $K$3))),"",_xll.ciqfunctions.udf.CIQ($B13, "IQ_ASSET_TURNS", KR$3, $E$3, $N$3, , $J$3, $K$3))),"")</f>
        <v/>
      </c>
      <c r="KS13" s="90" t="str">
        <f>IFERROR(IF(OR($B13="",KS$3=""),"",IF(NOT(ISNUMBER(_xll.ciqfunctions.udf.CIQ($B13, "IQ_ASSET_TURNS", KS$3, $E$3, $N$3, , $J$3, $K$3))),"",_xll.ciqfunctions.udf.CIQ($B13, "IQ_ASSET_TURNS", KS$3, $E$3, $N$3, , $J$3, $K$3))),"")</f>
        <v/>
      </c>
      <c r="KT13" s="90" t="str">
        <f>IFERROR(IF(OR($B13="",KT$3=""),"",IF(NOT(ISNUMBER(_xll.ciqfunctions.udf.CIQ($B13, "IQ_ASSET_TURNS", KT$3, $E$3, $N$3, , $J$3, $K$3))),"",_xll.ciqfunctions.udf.CIQ($B13, "IQ_ASSET_TURNS", KT$3, $E$3, $N$3, , $J$3, $K$3))),"")</f>
        <v/>
      </c>
      <c r="KU13" s="90" t="str">
        <f>IFERROR(IF(OR($B13="",KU$3=""),"",IF(NOT(ISNUMBER(_xll.ciqfunctions.udf.CIQ($B13, "IQ_ASSET_TURNS", KU$3, $E$3, $N$3, , $J$3, $K$3))),"",_xll.ciqfunctions.udf.CIQ($B13, "IQ_ASSET_TURNS", KU$3, $E$3, $N$3, , $J$3, $K$3))),"")</f>
        <v/>
      </c>
      <c r="KV13" s="90" t="str">
        <f>IFERROR(IF(OR($B13="",KV$3=""),"",IF(NOT(ISNUMBER(_xll.ciqfunctions.udf.CIQ($B13, "IQ_ASSET_TURNS", KV$3, $E$3, $N$3, , $J$3, $K$3))),"",_xll.ciqfunctions.udf.CIQ($B13, "IQ_ASSET_TURNS", KV$3, $E$3, $N$3, , $J$3, $K$3))),"")</f>
        <v/>
      </c>
      <c r="KW13" s="90" t="str">
        <f>IFERROR(IF(OR($B13="",KW$3=""),"",IF(NOT(ISNUMBER(_xll.ciqfunctions.udf.CIQ($B13, "IQ_ASSET_TURNS", KW$3, $E$3, $N$3, , $J$3, $K$3))),"",_xll.ciqfunctions.udf.CIQ($B13, "IQ_ASSET_TURNS", KW$3, $E$3, $N$3, , $J$3, $K$3))),"")</f>
        <v/>
      </c>
      <c r="KX13" s="90" t="str">
        <f>IFERROR(IF(OR($B13="",KX$3=""),"",IF(NOT(ISNUMBER(_xll.ciqfunctions.udf.CIQ($B13, "IQ_ASSET_TURNS", KX$3, $E$3, $N$3, , $J$3, $K$3))),"",_xll.ciqfunctions.udf.CIQ($B13, "IQ_ASSET_TURNS", KX$3, $E$3, $N$3, , $J$3, $K$3))),"")</f>
        <v/>
      </c>
      <c r="KY13" s="90" t="str">
        <f>IFERROR(IF(OR($B13="",KY$3=""),"",IF(NOT(ISNUMBER(_xll.ciqfunctions.udf.CIQ($B13, "IQ_ASSET_TURNS", KY$3, $E$3, $N$3, , $J$3, $K$3))),"",_xll.ciqfunctions.udf.CIQ($B13, "IQ_ASSET_TURNS", KY$3, $E$3, $N$3, , $J$3, $K$3))),"")</f>
        <v/>
      </c>
      <c r="KZ13" s="91" t="str">
        <f>IFERROR(IF(OR($B13="",KZ$3=""),"",IF(NOT(ISNUMBER(_xll.ciqfunctions.udf.CIQ($B13, "IQ_ASSET_TURNS", KZ$3, $E$3, $N$3, , $J$3, $K$3))),"",_xll.ciqfunctions.udf.CIQ($B13, "IQ_ASSET_TURNS", KZ$3, $E$3, $N$3, , $J$3, $K$3))),"")</f>
        <v/>
      </c>
      <c r="LA13" s="75" t="str">
        <f>IFERROR(IF(OR($B13="",LA$3=""),"",IF(NOT(ISNUMBER(_xll.ciqfunctions.udf.CIQ($B13, "IQ_INVENTORY_TURNS", LA$3, $E$3, $N$3, , $J$3, $K$3))),"",_xll.ciqfunctions.udf.CIQ($B13, "IQ_INVENTORY_TURNS", LA$3, $E$3, $N$3, , $J$3, $K$3))),"")</f>
        <v/>
      </c>
      <c r="LB13" s="75" t="str">
        <f>IFERROR(IF(OR($B13="",LB$3=""),"",IF(NOT(ISNUMBER(_xll.ciqfunctions.udf.CIQ($B13, "IQ_INVENTORY_TURNS", LB$3, $E$3, $N$3, , $J$3, $K$3))),"",_xll.ciqfunctions.udf.CIQ($B13, "IQ_INVENTORY_TURNS", LB$3, $E$3, $N$3, , $J$3, $K$3))),"")</f>
        <v/>
      </c>
      <c r="LC13" s="75" t="str">
        <f>IFERROR(IF(OR($B13="",LC$3=""),"",IF(NOT(ISNUMBER(_xll.ciqfunctions.udf.CIQ($B13, "IQ_INVENTORY_TURNS", LC$3, $E$3, $N$3, , $J$3, $K$3))),"",_xll.ciqfunctions.udf.CIQ($B13, "IQ_INVENTORY_TURNS", LC$3, $E$3, $N$3, , $J$3, $K$3))),"")</f>
        <v/>
      </c>
      <c r="LD13" s="75" t="str">
        <f>IFERROR(IF(OR($B13="",LD$3=""),"",IF(NOT(ISNUMBER(_xll.ciqfunctions.udf.CIQ($B13, "IQ_INVENTORY_TURNS", LD$3, $E$3, $N$3, , $J$3, $K$3))),"",_xll.ciqfunctions.udf.CIQ($B13, "IQ_INVENTORY_TURNS", LD$3, $E$3, $N$3, , $J$3, $K$3))),"")</f>
        <v/>
      </c>
      <c r="LE13" s="75" t="str">
        <f>IFERROR(IF(OR($B13="",LE$3=""),"",IF(NOT(ISNUMBER(_xll.ciqfunctions.udf.CIQ($B13, "IQ_INVENTORY_TURNS", LE$3, $E$3, $N$3, , $J$3, $K$3))),"",_xll.ciqfunctions.udf.CIQ($B13, "IQ_INVENTORY_TURNS", LE$3, $E$3, $N$3, , $J$3, $K$3))),"")</f>
        <v/>
      </c>
      <c r="LF13" s="75" t="str">
        <f>IFERROR(IF(OR($B13="",LF$3=""),"",IF(NOT(ISNUMBER(_xll.ciqfunctions.udf.CIQ($B13, "IQ_INVENTORY_TURNS", LF$3, $E$3, $N$3, , $J$3, $K$3))),"",_xll.ciqfunctions.udf.CIQ($B13, "IQ_INVENTORY_TURNS", LF$3, $E$3, $N$3, , $J$3, $K$3))),"")</f>
        <v/>
      </c>
      <c r="LG13" s="75" t="str">
        <f>IFERROR(IF(OR($B13="",LG$3=""),"",IF(NOT(ISNUMBER(_xll.ciqfunctions.udf.CIQ($B13, "IQ_INVENTORY_TURNS", LG$3, $E$3, $N$3, , $J$3, $K$3))),"",_xll.ciqfunctions.udf.CIQ($B13, "IQ_INVENTORY_TURNS", LG$3, $E$3, $N$3, , $J$3, $K$3))),"")</f>
        <v/>
      </c>
      <c r="LH13" s="75" t="str">
        <f>IFERROR(IF(OR($B13="",LH$3=""),"",IF(NOT(ISNUMBER(_xll.ciqfunctions.udf.CIQ($B13, "IQ_INVENTORY_TURNS", LH$3, $E$3, $N$3, , $J$3, $K$3))),"",_xll.ciqfunctions.udf.CIQ($B13, "IQ_INVENTORY_TURNS", LH$3, $E$3, $N$3, , $J$3, $K$3))),"")</f>
        <v/>
      </c>
      <c r="LI13" s="75" t="str">
        <f>IFERROR(IF(OR($B13="",LI$3=""),"",IF(NOT(ISNUMBER(_xll.ciqfunctions.udf.CIQ($B13, "IQ_INVENTORY_TURNS", LI$3, $E$3, $N$3, , $J$3, $K$3))),"",_xll.ciqfunctions.udf.CIQ($B13, "IQ_INVENTORY_TURNS", LI$3, $E$3, $N$3, , $J$3, $K$3))),"")</f>
        <v/>
      </c>
      <c r="LJ13" s="75" t="str">
        <f>IFERROR(IF(OR($B13="",LJ$3=""),"",IF(NOT(ISNUMBER(_xll.ciqfunctions.udf.CIQ($B13, "IQ_INVENTORY_TURNS", LJ$3, $E$3, $N$3, , $J$3, $K$3))),"",_xll.ciqfunctions.udf.CIQ($B13, "IQ_INVENTORY_TURNS", LJ$3, $E$3, $N$3, , $J$3, $K$3))),"")</f>
        <v/>
      </c>
      <c r="LK13" s="75" t="str">
        <f>IFERROR(IF(OR($B13="",LK$3=""),"",IF(NOT(ISNUMBER(_xll.ciqfunctions.udf.CIQ($B13, "IQ_INVENTORY_TURNS", LK$3, $E$3, $N$3, , $J$3, $K$3))),"",_xll.ciqfunctions.udf.CIQ($B13, "IQ_INVENTORY_TURNS", LK$3, $E$3, $N$3, , $J$3, $K$3))),"")</f>
        <v/>
      </c>
      <c r="LL13" s="75" t="str">
        <f>IFERROR(IF(OR($B13="",LL$3=""),"",IF(NOT(ISNUMBER(_xll.ciqfunctions.udf.CIQ($B13, "IQ_INVENTORY_TURNS", LL$3, $E$3, $N$3, , $J$3, $K$3))),"",_xll.ciqfunctions.udf.CIQ($B13, "IQ_INVENTORY_TURNS", LL$3, $E$3, $N$3, , $J$3, $K$3))),"")</f>
        <v/>
      </c>
      <c r="LM13" s="75" t="str">
        <f>IFERROR(IF(OR($B13="",LM$3=""),"",IF(NOT(ISNUMBER(_xll.ciqfunctions.udf.CIQ($B13, "IQ_INVENTORY_TURNS", LM$3, $E$3, $N$3, , $J$3, $K$3))),"",_xll.ciqfunctions.udf.CIQ($B13, "IQ_INVENTORY_TURNS", LM$3, $E$3, $N$3, , $J$3, $K$3))),"")</f>
        <v/>
      </c>
      <c r="LN13" s="75" t="str">
        <f>IFERROR(IF(OR($B13="",LN$3=""),"",IF(NOT(ISNUMBER(_xll.ciqfunctions.udf.CIQ($B13, "IQ_INVENTORY_TURNS", LN$3, $E$3, $N$3, , $J$3, $K$3))),"",_xll.ciqfunctions.udf.CIQ($B13, "IQ_INVENTORY_TURNS", LN$3, $E$3, $N$3, , $J$3, $K$3))),"")</f>
        <v/>
      </c>
      <c r="LO13" s="75" t="str">
        <f>IFERROR(IF(OR($B13="",LO$3=""),"",IF(NOT(ISNUMBER(_xll.ciqfunctions.udf.CIQ($B13, "IQ_INVENTORY_TURNS", LO$3, $E$3, $N$3, , $J$3, $K$3))),"",_xll.ciqfunctions.udf.CIQ($B13, "IQ_INVENTORY_TURNS", LO$3, $E$3, $N$3, , $J$3, $K$3))),"")</f>
        <v/>
      </c>
      <c r="LP13" s="75" t="str">
        <f>IFERROR(IF(OR($B13="",LP$3=""),"",IF(NOT(ISNUMBER(_xll.ciqfunctions.udf.CIQ($B13, "IQ_INVENTORY_TURNS", LP$3, $E$3, $N$3, , $J$3, $K$3))),"",_xll.ciqfunctions.udf.CIQ($B13, "IQ_INVENTORY_TURNS", LP$3, $E$3, $N$3, , $J$3, $K$3))),"")</f>
        <v/>
      </c>
      <c r="LQ13" s="75" t="str">
        <f>IFERROR(IF(OR($B13="",LQ$3=""),"",IF(NOT(ISNUMBER(_xll.ciqfunctions.udf.CIQ($B13, "IQ_INVENTORY_TURNS", LQ$3, $E$3, $N$3, , $J$3, $K$3))),"",_xll.ciqfunctions.udf.CIQ($B13, "IQ_INVENTORY_TURNS", LQ$3, $E$3, $N$3, , $J$3, $K$3))),"")</f>
        <v/>
      </c>
      <c r="LR13" s="75" t="str">
        <f>IFERROR(IF(OR($B13="",LR$3=""),"",IF(NOT(ISNUMBER(_xll.ciqfunctions.udf.CIQ($B13, "IQ_INVENTORY_TURNS", LR$3, $E$3, $N$3, , $J$3, $K$3))),"",_xll.ciqfunctions.udf.CIQ($B13, "IQ_INVENTORY_TURNS", LR$3, $E$3, $N$3, , $J$3, $K$3))),"")</f>
        <v/>
      </c>
      <c r="LS13" s="75" t="str">
        <f>IFERROR(IF(OR($B13="",LS$3=""),"",IF(NOT(ISNUMBER(_xll.ciqfunctions.udf.CIQ($B13, "IQ_INVENTORY_TURNS", LS$3, $E$3, $N$3, , $J$3, $K$3))),"",_xll.ciqfunctions.udf.CIQ($B13, "IQ_INVENTORY_TURNS", LS$3, $E$3, $N$3, , $J$3, $K$3))),"")</f>
        <v/>
      </c>
      <c r="LT13" s="75" t="str">
        <f>IFERROR(IF(OR($B13="",LT$3=""),"",IF(NOT(ISNUMBER(_xll.ciqfunctions.udf.CIQ($B13, "IQ_INVENTORY_TURNS", LT$3, $E$3, $N$3, , $J$3, $K$3))),"",_xll.ciqfunctions.udf.CIQ($B13, "IQ_INVENTORY_TURNS", LT$3, $E$3, $N$3, , $J$3, $K$3))),"")</f>
        <v/>
      </c>
      <c r="LU13" s="75" t="str">
        <f>IFERROR(IF(OR($B13="",LU$3=""),"",IF(NOT(ISNUMBER(_xll.ciqfunctions.udf.CIQ($B13, "IQ_AR_TURNS", LU$3, $E$3, $N$3, , $J$3, $K$3))),"",_xll.ciqfunctions.udf.CIQ($B13, "IQ_AR_TURNS", LU$3, $E$3, $N$3, , $J$3, $K$3))),"")</f>
        <v/>
      </c>
      <c r="LV13" s="75" t="str">
        <f>IFERROR(IF(OR($B13="",LV$3=""),"",IF(NOT(ISNUMBER(_xll.ciqfunctions.udf.CIQ($B13, "IQ_AR_TURNS", LV$3, $E$3, $N$3, , $J$3, $K$3))),"",_xll.ciqfunctions.udf.CIQ($B13, "IQ_AR_TURNS", LV$3, $E$3, $N$3, , $J$3, $K$3))),"")</f>
        <v/>
      </c>
      <c r="LW13" s="75" t="str">
        <f>IFERROR(IF(OR($B13="",LW$3=""),"",IF(NOT(ISNUMBER(_xll.ciqfunctions.udf.CIQ($B13, "IQ_AR_TURNS", LW$3, $E$3, $N$3, , $J$3, $K$3))),"",_xll.ciqfunctions.udf.CIQ($B13, "IQ_AR_TURNS", LW$3, $E$3, $N$3, , $J$3, $K$3))),"")</f>
        <v/>
      </c>
      <c r="LX13" s="75" t="str">
        <f>IFERROR(IF(OR($B13="",LX$3=""),"",IF(NOT(ISNUMBER(_xll.ciqfunctions.udf.CIQ($B13, "IQ_AR_TURNS", LX$3, $E$3, $N$3, , $J$3, $K$3))),"",_xll.ciqfunctions.udf.CIQ($B13, "IQ_AR_TURNS", LX$3, $E$3, $N$3, , $J$3, $K$3))),"")</f>
        <v/>
      </c>
      <c r="LY13" s="75" t="str">
        <f>IFERROR(IF(OR($B13="",LY$3=""),"",IF(NOT(ISNUMBER(_xll.ciqfunctions.udf.CIQ($B13, "IQ_AR_TURNS", LY$3, $E$3, $N$3, , $J$3, $K$3))),"",_xll.ciqfunctions.udf.CIQ($B13, "IQ_AR_TURNS", LY$3, $E$3, $N$3, , $J$3, $K$3))),"")</f>
        <v/>
      </c>
      <c r="LZ13" s="75" t="str">
        <f>IFERROR(IF(OR($B13="",LZ$3=""),"",IF(NOT(ISNUMBER(_xll.ciqfunctions.udf.CIQ($B13, "IQ_AR_TURNS", LZ$3, $E$3, $N$3, , $J$3, $K$3))),"",_xll.ciqfunctions.udf.CIQ($B13, "IQ_AR_TURNS", LZ$3, $E$3, $N$3, , $J$3, $K$3))),"")</f>
        <v/>
      </c>
      <c r="MA13" s="75" t="str">
        <f>IFERROR(IF(OR($B13="",MA$3=""),"",IF(NOT(ISNUMBER(_xll.ciqfunctions.udf.CIQ($B13, "IQ_AR_TURNS", MA$3, $E$3, $N$3, , $J$3, $K$3))),"",_xll.ciqfunctions.udf.CIQ($B13, "IQ_AR_TURNS", MA$3, $E$3, $N$3, , $J$3, $K$3))),"")</f>
        <v/>
      </c>
      <c r="MB13" s="75" t="str">
        <f>IFERROR(IF(OR($B13="",MB$3=""),"",IF(NOT(ISNUMBER(_xll.ciqfunctions.udf.CIQ($B13, "IQ_AR_TURNS", MB$3, $E$3, $N$3, , $J$3, $K$3))),"",_xll.ciqfunctions.udf.CIQ($B13, "IQ_AR_TURNS", MB$3, $E$3, $N$3, , $J$3, $K$3))),"")</f>
        <v/>
      </c>
      <c r="MC13" s="75" t="str">
        <f>IFERROR(IF(OR($B13="",MC$3=""),"",IF(NOT(ISNUMBER(_xll.ciqfunctions.udf.CIQ($B13, "IQ_AR_TURNS", MC$3, $E$3, $N$3, , $J$3, $K$3))),"",_xll.ciqfunctions.udf.CIQ($B13, "IQ_AR_TURNS", MC$3, $E$3, $N$3, , $J$3, $K$3))),"")</f>
        <v/>
      </c>
      <c r="MD13" s="75" t="str">
        <f>IFERROR(IF(OR($B13="",MD$3=""),"",IF(NOT(ISNUMBER(_xll.ciqfunctions.udf.CIQ($B13, "IQ_AR_TURNS", MD$3, $E$3, $N$3, , $J$3, $K$3))),"",_xll.ciqfunctions.udf.CIQ($B13, "IQ_AR_TURNS", MD$3, $E$3, $N$3, , $J$3, $K$3))),"")</f>
        <v/>
      </c>
      <c r="ME13" s="75" t="str">
        <f>IFERROR(IF(OR($B13="",ME$3=""),"",IF(NOT(ISNUMBER(_xll.ciqfunctions.udf.CIQ($B13, "IQ_AR_TURNS", ME$3, $E$3, $N$3, , $J$3, $K$3))),"",_xll.ciqfunctions.udf.CIQ($B13, "IQ_AR_TURNS", ME$3, $E$3, $N$3, , $J$3, $K$3))),"")</f>
        <v/>
      </c>
      <c r="MF13" s="75" t="str">
        <f>IFERROR(IF(OR($B13="",MF$3=""),"",IF(NOT(ISNUMBER(_xll.ciqfunctions.udf.CIQ($B13, "IQ_AR_TURNS", MF$3, $E$3, $N$3, , $J$3, $K$3))),"",_xll.ciqfunctions.udf.CIQ($B13, "IQ_AR_TURNS", MF$3, $E$3, $N$3, , $J$3, $K$3))),"")</f>
        <v/>
      </c>
      <c r="MG13" s="75" t="str">
        <f>IFERROR(IF(OR($B13="",MG$3=""),"",IF(NOT(ISNUMBER(_xll.ciqfunctions.udf.CIQ($B13, "IQ_AR_TURNS", MG$3, $E$3, $N$3, , $J$3, $K$3))),"",_xll.ciqfunctions.udf.CIQ($B13, "IQ_AR_TURNS", MG$3, $E$3, $N$3, , $J$3, $K$3))),"")</f>
        <v/>
      </c>
      <c r="MH13" s="75" t="str">
        <f>IFERROR(IF(OR($B13="",MH$3=""),"",IF(NOT(ISNUMBER(_xll.ciqfunctions.udf.CIQ($B13, "IQ_AR_TURNS", MH$3, $E$3, $N$3, , $J$3, $K$3))),"",_xll.ciqfunctions.udf.CIQ($B13, "IQ_AR_TURNS", MH$3, $E$3, $N$3, , $J$3, $K$3))),"")</f>
        <v/>
      </c>
      <c r="MI13" s="75" t="str">
        <f>IFERROR(IF(OR($B13="",MI$3=""),"",IF(NOT(ISNUMBER(_xll.ciqfunctions.udf.CIQ($B13, "IQ_AR_TURNS", MI$3, $E$3, $N$3, , $J$3, $K$3))),"",_xll.ciqfunctions.udf.CIQ($B13, "IQ_AR_TURNS", MI$3, $E$3, $N$3, , $J$3, $K$3))),"")</f>
        <v/>
      </c>
      <c r="MJ13" s="75" t="str">
        <f>IFERROR(IF(OR($B13="",MJ$3=""),"",IF(NOT(ISNUMBER(_xll.ciqfunctions.udf.CIQ($B13, "IQ_AR_TURNS", MJ$3, $E$3, $N$3, , $J$3, $K$3))),"",_xll.ciqfunctions.udf.CIQ($B13, "IQ_AR_TURNS", MJ$3, $E$3, $N$3, , $J$3, $K$3))),"")</f>
        <v/>
      </c>
      <c r="MK13" s="75" t="str">
        <f>IFERROR(IF(OR($B13="",MK$3=""),"",IF(NOT(ISNUMBER(_xll.ciqfunctions.udf.CIQ($B13, "IQ_AR_TURNS", MK$3, $E$3, $N$3, , $J$3, $K$3))),"",_xll.ciqfunctions.udf.CIQ($B13, "IQ_AR_TURNS", MK$3, $E$3, $N$3, , $J$3, $K$3))),"")</f>
        <v/>
      </c>
      <c r="ML13" s="75" t="str">
        <f>IFERROR(IF(OR($B13="",ML$3=""),"",IF(NOT(ISNUMBER(_xll.ciqfunctions.udf.CIQ($B13, "IQ_AR_TURNS", ML$3, $E$3, $N$3, , $J$3, $K$3))),"",_xll.ciqfunctions.udf.CIQ($B13, "IQ_AR_TURNS", ML$3, $E$3, $N$3, , $J$3, $K$3))),"")</f>
        <v/>
      </c>
      <c r="MM13" s="75" t="str">
        <f>IFERROR(IF(OR($B13="",MM$3=""),"",IF(NOT(ISNUMBER(_xll.ciqfunctions.udf.CIQ($B13, "IQ_AR_TURNS", MM$3, $E$3, $N$3, , $J$3, $K$3))),"",_xll.ciqfunctions.udf.CIQ($B13, "IQ_AR_TURNS", MM$3, $E$3, $N$3, , $J$3, $K$3))),"")</f>
        <v/>
      </c>
      <c r="MN13" s="75" t="str">
        <f>IFERROR(IF(OR($B13="",MN$3=""),"",IF(NOT(ISNUMBER(_xll.ciqfunctions.udf.CIQ($B13, "IQ_AR_TURNS", MN$3, $E$3, $N$3, , $J$3, $K$3))),"",_xll.ciqfunctions.udf.CIQ($B13, "IQ_AR_TURNS", MN$3, $E$3, $N$3, , $J$3, $K$3))),"")</f>
        <v/>
      </c>
      <c r="MO13" s="588" t="str">
        <f>IFERROR(IF(OR($B13="",MO$3=""),"",_xll.ciqfunctions.udf.CIQ($B13, "IQ_LEVERED_FCF", $O$3, MO$3, $N$3, , $J$3, $K$3)*2/(_xll.ciqfunctions.udf.CIQ($B13, "IQ_TOTAL_DEBT", MO$3, $E$3, $N$3, , $J$3, $K$3)+_xll.ciqfunctions.udf.CIQ($B13, "IQ_TOTAL_DEBT", "IQ_" &amp; LEFT(MO$3,2) &amp; "-1", MO$3, $N$3, , $J$3, $K$3)) ),"")</f>
        <v/>
      </c>
      <c r="MP13" s="588" t="str">
        <f>IFERROR(IF(OR($B13="",MP$3=""),"",_xll.ciqfunctions.udf.CIQ($B13, "IQ_LEVERED_FCF", $O$3, MP$3, $N$3, , $J$3, $K$3)*2/(_xll.ciqfunctions.udf.CIQ($B13, "IQ_TOTAL_DEBT", MP$3, $E$3, $N$3, , $J$3, $K$3)+_xll.ciqfunctions.udf.CIQ($B13, "IQ_TOTAL_DEBT", "IQ_" &amp; LEFT(MP$3,2) &amp; "-1", MP$3, $N$3, , $J$3, $K$3)) ),"")</f>
        <v/>
      </c>
      <c r="MQ13" s="588" t="str">
        <f>IFERROR(IF(OR($B13="",MQ$3=""),"",_xll.ciqfunctions.udf.CIQ($B13, "IQ_LEVERED_FCF", $O$3, MQ$3, $N$3, , $J$3, $K$3)*2/(_xll.ciqfunctions.udf.CIQ($B13, "IQ_TOTAL_DEBT", MQ$3, $E$3, $N$3, , $J$3, $K$3)+_xll.ciqfunctions.udf.CIQ($B13, "IQ_TOTAL_DEBT", "IQ_" &amp; LEFT(MQ$3,2) &amp; "-1", MQ$3, $N$3, , $J$3, $K$3)) ),"")</f>
        <v/>
      </c>
      <c r="MR13" s="588" t="str">
        <f>IFERROR(IF(OR($B13="",MR$3=""),"",_xll.ciqfunctions.udf.CIQ($B13, "IQ_LEVERED_FCF", $O$3, MR$3, $N$3, , $J$3, $K$3)*2/(_xll.ciqfunctions.udf.CIQ($B13, "IQ_TOTAL_DEBT", MR$3, $E$3, $N$3, , $J$3, $K$3)+_xll.ciqfunctions.udf.CIQ($B13, "IQ_TOTAL_DEBT", "IQ_" &amp; LEFT(MR$3,2) &amp; "-1", MR$3, $N$3, , $J$3, $K$3)) ),"")</f>
        <v/>
      </c>
      <c r="MS13" s="588" t="str">
        <f>IFERROR(IF(OR($B13="",MS$3=""),"",_xll.ciqfunctions.udf.CIQ($B13, "IQ_LEVERED_FCF", $O$3, MS$3, $N$3, , $J$3, $K$3)*2/(_xll.ciqfunctions.udf.CIQ($B13, "IQ_TOTAL_DEBT", MS$3, $E$3, $N$3, , $J$3, $K$3)+_xll.ciqfunctions.udf.CIQ($B13, "IQ_TOTAL_DEBT", "IQ_" &amp; LEFT(MS$3,2) &amp; "-1", MS$3, $N$3, , $J$3, $K$3)) ),"")</f>
        <v/>
      </c>
      <c r="MT13" s="588" t="str">
        <f>IFERROR(IF(OR($B13="",MT$3=""),"",_xll.ciqfunctions.udf.CIQ($B13, "IQ_LEVERED_FCF", $O$3, MT$3, $N$3, , $J$3, $K$3)*2/(_xll.ciqfunctions.udf.CIQ($B13, "IQ_TOTAL_DEBT", MT$3, $E$3, $N$3, , $J$3, $K$3)+_xll.ciqfunctions.udf.CIQ($B13, "IQ_TOTAL_DEBT", "IQ_" &amp; LEFT(MT$3,2) &amp; "-1", MT$3, $N$3, , $J$3, $K$3)) ),"")</f>
        <v/>
      </c>
      <c r="MU13" s="588" t="str">
        <f>IFERROR(IF(OR($B13="",MU$3=""),"",_xll.ciqfunctions.udf.CIQ($B13, "IQ_LEVERED_FCF", $O$3, MU$3, $N$3, , $J$3, $K$3)*2/(_xll.ciqfunctions.udf.CIQ($B13, "IQ_TOTAL_DEBT", MU$3, $E$3, $N$3, , $J$3, $K$3)+_xll.ciqfunctions.udf.CIQ($B13, "IQ_TOTAL_DEBT", "IQ_" &amp; LEFT(MU$3,2) &amp; "-1", MU$3, $N$3, , $J$3, $K$3)) ),"")</f>
        <v/>
      </c>
      <c r="MV13" s="588" t="str">
        <f>IFERROR(IF(OR($B13="",MV$3=""),"",_xll.ciqfunctions.udf.CIQ($B13, "IQ_LEVERED_FCF", $O$3, MV$3, $N$3, , $J$3, $K$3)*2/(_xll.ciqfunctions.udf.CIQ($B13, "IQ_TOTAL_DEBT", MV$3, $E$3, $N$3, , $J$3, $K$3)+_xll.ciqfunctions.udf.CIQ($B13, "IQ_TOTAL_DEBT", "IQ_" &amp; LEFT(MV$3,2) &amp; "-1", MV$3, $N$3, , $J$3, $K$3)) ),"")</f>
        <v/>
      </c>
      <c r="MW13" s="588" t="str">
        <f>IFERROR(IF(OR($B13="",MW$3=""),"",_xll.ciqfunctions.udf.CIQ($B13, "IQ_LEVERED_FCF", $O$3, MW$3, $N$3, , $J$3, $K$3)*2/(_xll.ciqfunctions.udf.CIQ($B13, "IQ_TOTAL_DEBT", MW$3, $E$3, $N$3, , $J$3, $K$3)+_xll.ciqfunctions.udf.CIQ($B13, "IQ_TOTAL_DEBT", "IQ_" &amp; LEFT(MW$3,2) &amp; "-1", MW$3, $N$3, , $J$3, $K$3)) ),"")</f>
        <v/>
      </c>
      <c r="MX13" s="588" t="str">
        <f>IFERROR(IF(OR($B13="",MX$3=""),"",_xll.ciqfunctions.udf.CIQ($B13, "IQ_LEVERED_FCF", $O$3, MX$3, $N$3, , $J$3, $K$3)*2/(_xll.ciqfunctions.udf.CIQ($B13, "IQ_TOTAL_DEBT", MX$3, $E$3, $N$3, , $J$3, $K$3)+_xll.ciqfunctions.udf.CIQ($B13, "IQ_TOTAL_DEBT", "IQ_" &amp; LEFT(MX$3,2) &amp; "-1", MX$3, $N$3, , $J$3, $K$3)) ),"")</f>
        <v/>
      </c>
      <c r="MY13" s="588" t="str">
        <f>IFERROR(IF(OR($B13="",MY$3=""),"",_xll.ciqfunctions.udf.CIQ($B13, "IQ_LEVERED_FCF", $O$3, MY$3, $N$3, , $J$3, $K$3)*2/(_xll.ciqfunctions.udf.CIQ($B13, "IQ_TOTAL_DEBT", MY$3, $E$3, $N$3, , $J$3, $K$3)+_xll.ciqfunctions.udf.CIQ($B13, "IQ_TOTAL_DEBT", "IQ_" &amp; LEFT(MY$3,2) &amp; "-1", MY$3, $N$3, , $J$3, $K$3)) ),"")</f>
        <v/>
      </c>
      <c r="MZ13" s="588" t="str">
        <f>IFERROR(IF(OR($B13="",MZ$3=""),"",_xll.ciqfunctions.udf.CIQ($B13, "IQ_LEVERED_FCF", $O$3, MZ$3, $N$3, , $J$3, $K$3)*2/(_xll.ciqfunctions.udf.CIQ($B13, "IQ_TOTAL_DEBT", MZ$3, $E$3, $N$3, , $J$3, $K$3)+_xll.ciqfunctions.udf.CIQ($B13, "IQ_TOTAL_DEBT", "IQ_" &amp; LEFT(MZ$3,2) &amp; "-1", MZ$3, $N$3, , $J$3, $K$3)) ),"")</f>
        <v/>
      </c>
      <c r="NA13" s="588" t="str">
        <f>IFERROR(IF(OR($B13="",NA$3=""),"",_xll.ciqfunctions.udf.CIQ($B13, "IQ_LEVERED_FCF", $O$3, NA$3, $N$3, , $J$3, $K$3)*2/(_xll.ciqfunctions.udf.CIQ($B13, "IQ_TOTAL_DEBT", NA$3, $E$3, $N$3, , $J$3, $K$3)+_xll.ciqfunctions.udf.CIQ($B13, "IQ_TOTAL_DEBT", "IQ_" &amp; LEFT(NA$3,2) &amp; "-1", NA$3, $N$3, , $J$3, $K$3)) ),"")</f>
        <v/>
      </c>
      <c r="NB13" s="588" t="str">
        <f>IFERROR(IF(OR($B13="",NB$3=""),"",_xll.ciqfunctions.udf.CIQ($B13, "IQ_LEVERED_FCF", $O$3, NB$3, $N$3, , $J$3, $K$3)*2/(_xll.ciqfunctions.udf.CIQ($B13, "IQ_TOTAL_DEBT", NB$3, $E$3, $N$3, , $J$3, $K$3)+_xll.ciqfunctions.udf.CIQ($B13, "IQ_TOTAL_DEBT", "IQ_" &amp; LEFT(NB$3,2) &amp; "-1", NB$3, $N$3, , $J$3, $K$3)) ),"")</f>
        <v/>
      </c>
      <c r="NC13" s="588" t="str">
        <f>IFERROR(IF(OR($B13="",NC$3=""),"",_xll.ciqfunctions.udf.CIQ($B13, "IQ_LEVERED_FCF", $O$3, NC$3, $N$3, , $J$3, $K$3)*2/(_xll.ciqfunctions.udf.CIQ($B13, "IQ_TOTAL_DEBT", NC$3, $E$3, $N$3, , $J$3, $K$3)+_xll.ciqfunctions.udf.CIQ($B13, "IQ_TOTAL_DEBT", "IQ_" &amp; LEFT(NC$3,2) &amp; "-1", NC$3, $N$3, , $J$3, $K$3)) ),"")</f>
        <v/>
      </c>
      <c r="ND13" s="588" t="str">
        <f>IFERROR(IF(OR($B13="",ND$3=""),"",_xll.ciqfunctions.udf.CIQ($B13, "IQ_LEVERED_FCF", $O$3, ND$3, $N$3, , $J$3, $K$3)*2/(_xll.ciqfunctions.udf.CIQ($B13, "IQ_TOTAL_DEBT", ND$3, $E$3, $N$3, , $J$3, $K$3)+_xll.ciqfunctions.udf.CIQ($B13, "IQ_TOTAL_DEBT", "IQ_" &amp; LEFT(ND$3,2) &amp; "-1", ND$3, $N$3, , $J$3, $K$3)) ),"")</f>
        <v/>
      </c>
      <c r="NE13" s="588" t="str">
        <f>IFERROR(IF(OR($B13="",NE$3=""),"",_xll.ciqfunctions.udf.CIQ($B13, "IQ_LEVERED_FCF", $O$3, NE$3, $N$3, , $J$3, $K$3)*2/(_xll.ciqfunctions.udf.CIQ($B13, "IQ_TOTAL_DEBT", NE$3, $E$3, $N$3, , $J$3, $K$3)+_xll.ciqfunctions.udf.CIQ($B13, "IQ_TOTAL_DEBT", "IQ_" &amp; LEFT(NE$3,2) &amp; "-1", NE$3, $N$3, , $J$3, $K$3)) ),"")</f>
        <v/>
      </c>
      <c r="NF13" s="588" t="str">
        <f>IFERROR(IF(OR($B13="",NF$3=""),"",_xll.ciqfunctions.udf.CIQ($B13, "IQ_LEVERED_FCF", $O$3, NF$3, $N$3, , $J$3, $K$3)*2/(_xll.ciqfunctions.udf.CIQ($B13, "IQ_TOTAL_DEBT", NF$3, $E$3, $N$3, , $J$3, $K$3)+_xll.ciqfunctions.udf.CIQ($B13, "IQ_TOTAL_DEBT", "IQ_" &amp; LEFT(NF$3,2) &amp; "-1", NF$3, $N$3, , $J$3, $K$3)) ),"")</f>
        <v/>
      </c>
      <c r="NG13" s="588" t="str">
        <f>IFERROR(IF(OR($B13="",NG$3=""),"",_xll.ciqfunctions.udf.CIQ($B13, "IQ_LEVERED_FCF", $O$3, NG$3, $N$3, , $J$3, $K$3)*2/(_xll.ciqfunctions.udf.CIQ($B13, "IQ_TOTAL_DEBT", NG$3, $E$3, $N$3, , $J$3, $K$3)+_xll.ciqfunctions.udf.CIQ($B13, "IQ_TOTAL_DEBT", "IQ_" &amp; LEFT(NG$3,2) &amp; "-1", NG$3, $N$3, , $J$3, $K$3)) ),"")</f>
        <v/>
      </c>
      <c r="NH13" s="588" t="str">
        <f>IFERROR(IF(OR($B13="",NH$3=""),"",_xll.ciqfunctions.udf.CIQ($B13, "IQ_LEVERED_FCF", $O$3, NH$3, $N$3, , $J$3, $K$3)*2/(_xll.ciqfunctions.udf.CIQ($B13, "IQ_TOTAL_DEBT", NH$3, $E$3, $N$3, , $J$3, $K$3)+_xll.ciqfunctions.udf.CIQ($B13, "IQ_TOTAL_DEBT", "IQ_" &amp; LEFT(NH$3,2) &amp; "-1", NH$3, $N$3, , $J$3, $K$3)) ),"")</f>
        <v/>
      </c>
      <c r="NI13" s="588" t="str">
        <f>IFERROR(IF(OR($B13="",NI$3=""),"",_xll.ciqfunctions.udf.CIQ($B13, "IQ_CASH_OPER", $O$3, NI$3, $N$3, , $J$3, $K$3)/_xll.ciqfunctions.udf.CIQ($B13, "IQ_NI", NI$3, $E$3, $N$3, , $J$3, $K$3)),"")</f>
        <v/>
      </c>
      <c r="NJ13" s="588" t="str">
        <f>IFERROR(IF(OR($B13="",NJ$3=""),"",_xll.ciqfunctions.udf.CIQ($B13, "IQ_CASH_OPER", $O$3, NJ$3, $N$3, , $J$3, $K$3)/_xll.ciqfunctions.udf.CIQ($B13, "IQ_NI", NJ$3, $E$3, $N$3, , $J$3, $K$3)),"")</f>
        <v/>
      </c>
      <c r="NK13" s="588" t="str">
        <f>IFERROR(IF(OR($B13="",NK$3=""),"",_xll.ciqfunctions.udf.CIQ($B13, "IQ_CASH_OPER", $O$3, NK$3, $N$3, , $J$3, $K$3)/_xll.ciqfunctions.udf.CIQ($B13, "IQ_NI", NK$3, $E$3, $N$3, , $J$3, $K$3)),"")</f>
        <v/>
      </c>
      <c r="NL13" s="588" t="str">
        <f>IFERROR(IF(OR($B13="",NL$3=""),"",_xll.ciqfunctions.udf.CIQ($B13, "IQ_CASH_OPER", $O$3, NL$3, $N$3, , $J$3, $K$3)/_xll.ciqfunctions.udf.CIQ($B13, "IQ_NI", NL$3, $E$3, $N$3, , $J$3, $K$3)),"")</f>
        <v/>
      </c>
      <c r="NM13" s="588" t="str">
        <f>IFERROR(IF(OR($B13="",NM$3=""),"",_xll.ciqfunctions.udf.CIQ($B13, "IQ_CASH_OPER", $O$3, NM$3, $N$3, , $J$3, $K$3)/_xll.ciqfunctions.udf.CIQ($B13, "IQ_NI", NM$3, $E$3, $N$3, , $J$3, $K$3)),"")</f>
        <v/>
      </c>
      <c r="NN13" s="588" t="str">
        <f>IFERROR(IF(OR($B13="",NN$3=""),"",_xll.ciqfunctions.udf.CIQ($B13, "IQ_CASH_OPER", $O$3, NN$3, $N$3, , $J$3, $K$3)/_xll.ciqfunctions.udf.CIQ($B13, "IQ_NI", NN$3, $E$3, $N$3, , $J$3, $K$3)),"")</f>
        <v/>
      </c>
      <c r="NO13" s="588" t="str">
        <f>IFERROR(IF(OR($B13="",NO$3=""),"",_xll.ciqfunctions.udf.CIQ($B13, "IQ_CASH_OPER", $O$3, NO$3, $N$3, , $J$3, $K$3)/_xll.ciqfunctions.udf.CIQ($B13, "IQ_NI", NO$3, $E$3, $N$3, , $J$3, $K$3)),"")</f>
        <v/>
      </c>
      <c r="NP13" s="588" t="str">
        <f>IFERROR(IF(OR($B13="",NP$3=""),"",_xll.ciqfunctions.udf.CIQ($B13, "IQ_CASH_OPER", $O$3, NP$3, $N$3, , $J$3, $K$3)/_xll.ciqfunctions.udf.CIQ($B13, "IQ_NI", NP$3, $E$3, $N$3, , $J$3, $K$3)),"")</f>
        <v/>
      </c>
      <c r="NQ13" s="588" t="str">
        <f>IFERROR(IF(OR($B13="",NQ$3=""),"",_xll.ciqfunctions.udf.CIQ($B13, "IQ_CASH_OPER", $O$3, NQ$3, $N$3, , $J$3, $K$3)/_xll.ciqfunctions.udf.CIQ($B13, "IQ_NI", NQ$3, $E$3, $N$3, , $J$3, $K$3)),"")</f>
        <v/>
      </c>
      <c r="NR13" s="588" t="str">
        <f>IFERROR(IF(OR($B13="",NR$3=""),"",_xll.ciqfunctions.udf.CIQ($B13, "IQ_CASH_OPER", $O$3, NR$3, $N$3, , $J$3, $K$3)/_xll.ciqfunctions.udf.CIQ($B13, "IQ_NI", NR$3, $E$3, $N$3, , $J$3, $K$3)),"")</f>
        <v/>
      </c>
      <c r="NS13" s="588" t="str">
        <f>IFERROR(IF(OR($B13="",NS$3=""),"",_xll.ciqfunctions.udf.CIQ($B13, "IQ_CASH_OPER", $O$3, NS$3, $N$3, , $J$3, $K$3)/_xll.ciqfunctions.udf.CIQ($B13, "IQ_NI", NS$3, $E$3, $N$3, , $J$3, $K$3)),"")</f>
        <v/>
      </c>
      <c r="NT13" s="588" t="str">
        <f>IFERROR(IF(OR($B13="",NT$3=""),"",_xll.ciqfunctions.udf.CIQ($B13, "IQ_CASH_OPER", $O$3, NT$3, $N$3, , $J$3, $K$3)/_xll.ciqfunctions.udf.CIQ($B13, "IQ_NI", NT$3, $E$3, $N$3, , $J$3, $K$3)),"")</f>
        <v/>
      </c>
      <c r="NU13" s="588" t="str">
        <f>IFERROR(IF(OR($B13="",NU$3=""),"",_xll.ciqfunctions.udf.CIQ($B13, "IQ_CASH_OPER", $O$3, NU$3, $N$3, , $J$3, $K$3)/_xll.ciqfunctions.udf.CIQ($B13, "IQ_NI", NU$3, $E$3, $N$3, , $J$3, $K$3)),"")</f>
        <v/>
      </c>
      <c r="NV13" s="588" t="str">
        <f>IFERROR(IF(OR($B13="",NV$3=""),"",_xll.ciqfunctions.udf.CIQ($B13, "IQ_CASH_OPER", $O$3, NV$3, $N$3, , $J$3, $K$3)/_xll.ciqfunctions.udf.CIQ($B13, "IQ_NI", NV$3, $E$3, $N$3, , $J$3, $K$3)),"")</f>
        <v/>
      </c>
      <c r="NW13" s="588" t="str">
        <f>IFERROR(IF(OR($B13="",NW$3=""),"",_xll.ciqfunctions.udf.CIQ($B13, "IQ_CASH_OPER", $O$3, NW$3, $N$3, , $J$3, $K$3)/_xll.ciqfunctions.udf.CIQ($B13, "IQ_NI", NW$3, $E$3, $N$3, , $J$3, $K$3)),"")</f>
        <v/>
      </c>
      <c r="NX13" s="588" t="str">
        <f>IFERROR(IF(OR($B13="",NX$3=""),"",_xll.ciqfunctions.udf.CIQ($B13, "IQ_CASH_OPER", $O$3, NX$3, $N$3, , $J$3, $K$3)/_xll.ciqfunctions.udf.CIQ($B13, "IQ_NI", NX$3, $E$3, $N$3, , $J$3, $K$3)),"")</f>
        <v/>
      </c>
      <c r="NY13" s="588" t="str">
        <f>IFERROR(IF(OR($B13="",NY$3=""),"",_xll.ciqfunctions.udf.CIQ($B13, "IQ_CASH_OPER", $O$3, NY$3, $N$3, , $J$3, $K$3)/_xll.ciqfunctions.udf.CIQ($B13, "IQ_NI", NY$3, $E$3, $N$3, , $J$3, $K$3)),"")</f>
        <v/>
      </c>
      <c r="NZ13" s="588" t="str">
        <f>IFERROR(IF(OR($B13="",NZ$3=""),"",_xll.ciqfunctions.udf.CIQ($B13, "IQ_CASH_OPER", $O$3, NZ$3, $N$3, , $J$3, $K$3)/_xll.ciqfunctions.udf.CIQ($B13, "IQ_NI", NZ$3, $E$3, $N$3, , $J$3, $K$3)),"")</f>
        <v/>
      </c>
      <c r="OA13" s="588" t="str">
        <f>IFERROR(IF(OR($B13="",OA$3=""),"",_xll.ciqfunctions.udf.CIQ($B13, "IQ_CASH_OPER", $O$3, OA$3, $N$3, , $J$3, $K$3)/_xll.ciqfunctions.udf.CIQ($B13, "IQ_NI", OA$3, $E$3, $N$3, , $J$3, $K$3)),"")</f>
        <v/>
      </c>
      <c r="OB13" s="588" t="str">
        <f>IFERROR(IF(OR($B13="",OB$3=""),"",_xll.ciqfunctions.udf.CIQ($B13, "IQ_CASH_OPER", $O$3, OB$3, $N$3, , $J$3, $K$3)/_xll.ciqfunctions.udf.CIQ($B13, "IQ_NI", OB$3, $E$3, $N$3, , $J$3, $K$3)),"")</f>
        <v/>
      </c>
      <c r="OC13" s="86" t="str">
        <f>IFERROR(IF(OR($B13="",OC$3=""),"",_xll.ciqfunctions.udf.CIQ($B13,"IQ_NI",$O$3, OC$3, $N$3, , $J$3, $K$3)*2/(_xll.ciqfunctions.udf.CIQ($B13,"IQ_TOTAL_ASSETS",OC$3,$I$3, $N$3, , $J$3, $K$3)+_xll.ciqfunctions.udf.CIQ($B13,"IQ_TOTAL_ASSETS", "IQ_" &amp; LEFT(OC$3,2) &amp; "-1", OC$3, $N$3, , $J$3, $K$3))),"")</f>
        <v/>
      </c>
      <c r="OD13" s="87" t="str">
        <f>IFERROR(IF(OR($B13="",OD$3=""),"",_xll.ciqfunctions.udf.CIQ($B13,"IQ_NI",$O$3, OD$3, $N$3, , $J$3, $K$3)*2/(_xll.ciqfunctions.udf.CIQ($B13,"IQ_TOTAL_ASSETS",OD$3,$I$3, $N$3, , $J$3, $K$3)+_xll.ciqfunctions.udf.CIQ($B13,"IQ_TOTAL_ASSETS", "IQ_" &amp; LEFT(OD$3,2) &amp; "-1", OD$3, $N$3, , $J$3, $K$3))),"")</f>
        <v/>
      </c>
      <c r="OE13" s="87" t="str">
        <f>IFERROR(IF(OR($B13="",OE$3=""),"",_xll.ciqfunctions.udf.CIQ($B13,"IQ_NI",$O$3, OE$3, $N$3, , $J$3, $K$3)*2/(_xll.ciqfunctions.udf.CIQ($B13,"IQ_TOTAL_ASSETS",OE$3,$I$3, $N$3, , $J$3, $K$3)+_xll.ciqfunctions.udf.CIQ($B13,"IQ_TOTAL_ASSETS", "IQ_" &amp; LEFT(OE$3,2) &amp; "-1", OE$3, $N$3, , $J$3, $K$3))),"")</f>
        <v/>
      </c>
      <c r="OF13" s="87" t="str">
        <f>IFERROR(IF(OR($B13="",OF$3=""),"",_xll.ciqfunctions.udf.CIQ($B13,"IQ_NI",$O$3, OF$3, $N$3, , $J$3, $K$3)*2/(_xll.ciqfunctions.udf.CIQ($B13,"IQ_TOTAL_ASSETS",OF$3,$I$3, $N$3, , $J$3, $K$3)+_xll.ciqfunctions.udf.CIQ($B13,"IQ_TOTAL_ASSETS", "IQ_" &amp; LEFT(OF$3,2) &amp; "-1", OF$3, $N$3, , $J$3, $K$3))),"")</f>
        <v/>
      </c>
      <c r="OG13" s="87" t="str">
        <f>IFERROR(IF(OR($B13="",OG$3=""),"",_xll.ciqfunctions.udf.CIQ($B13,"IQ_NI",$O$3, OG$3, $N$3, , $J$3, $K$3)*2/(_xll.ciqfunctions.udf.CIQ($B13,"IQ_TOTAL_ASSETS",OG$3,$I$3, $N$3, , $J$3, $K$3)+_xll.ciqfunctions.udf.CIQ($B13,"IQ_TOTAL_ASSETS", "IQ_" &amp; LEFT(OG$3,2) &amp; "-1", OG$3, $N$3, , $J$3, $K$3))),"")</f>
        <v/>
      </c>
      <c r="OH13" s="87" t="str">
        <f>IFERROR(IF(OR($B13="",OH$3=""),"",_xll.ciqfunctions.udf.CIQ($B13,"IQ_NI",$O$3, OH$3, $N$3, , $J$3, $K$3)*2/(_xll.ciqfunctions.udf.CIQ($B13,"IQ_TOTAL_ASSETS",OH$3,$I$3, $N$3, , $J$3, $K$3)+_xll.ciqfunctions.udf.CIQ($B13,"IQ_TOTAL_ASSETS", "IQ_" &amp; LEFT(OH$3,2) &amp; "-1", OH$3, $N$3, , $J$3, $K$3))),"")</f>
        <v/>
      </c>
      <c r="OI13" s="87" t="str">
        <f>IFERROR(IF(OR($B13="",OI$3=""),"",_xll.ciqfunctions.udf.CIQ($B13,"IQ_NI",$O$3, OI$3, $N$3, , $J$3, $K$3)*2/(_xll.ciqfunctions.udf.CIQ($B13,"IQ_TOTAL_ASSETS",OI$3,$I$3, $N$3, , $J$3, $K$3)+_xll.ciqfunctions.udf.CIQ($B13,"IQ_TOTAL_ASSETS", "IQ_" &amp; LEFT(OI$3,2) &amp; "-1", OI$3, $N$3, , $J$3, $K$3))),"")</f>
        <v/>
      </c>
      <c r="OJ13" s="87" t="str">
        <f>IFERROR(IF(OR($B13="",OJ$3=""),"",_xll.ciqfunctions.udf.CIQ($B13,"IQ_NI",$O$3, OJ$3, $N$3, , $J$3, $K$3)*2/(_xll.ciqfunctions.udf.CIQ($B13,"IQ_TOTAL_ASSETS",OJ$3,$I$3, $N$3, , $J$3, $K$3)+_xll.ciqfunctions.udf.CIQ($B13,"IQ_TOTAL_ASSETS", "IQ_" &amp; LEFT(OJ$3,2) &amp; "-1", OJ$3, $N$3, , $J$3, $K$3))),"")</f>
        <v/>
      </c>
      <c r="OK13" s="87" t="str">
        <f>IFERROR(IF(OR($B13="",OK$3=""),"",_xll.ciqfunctions.udf.CIQ($B13,"IQ_NI",$O$3, OK$3, $N$3, , $J$3, $K$3)*2/(_xll.ciqfunctions.udf.CIQ($B13,"IQ_TOTAL_ASSETS",OK$3,$I$3, $N$3, , $J$3, $K$3)+_xll.ciqfunctions.udf.CIQ($B13,"IQ_TOTAL_ASSETS", "IQ_" &amp; LEFT(OK$3,2) &amp; "-1", OK$3, $N$3, , $J$3, $K$3))),"")</f>
        <v/>
      </c>
      <c r="OL13" s="87" t="str">
        <f>IFERROR(IF(OR($B13="",OL$3=""),"",_xll.ciqfunctions.udf.CIQ($B13,"IQ_NI",$O$3, OL$3, $N$3, , $J$3, $K$3)*2/(_xll.ciqfunctions.udf.CIQ($B13,"IQ_TOTAL_ASSETS",OL$3,$I$3, $N$3, , $J$3, $K$3)+_xll.ciqfunctions.udf.CIQ($B13,"IQ_TOTAL_ASSETS", "IQ_" &amp; LEFT(OL$3,2) &amp; "-1", OL$3, $N$3, , $J$3, $K$3))),"")</f>
        <v/>
      </c>
      <c r="OM13" s="87" t="str">
        <f>IFERROR(IF(OR($B13="",OM$3=""),"",_xll.ciqfunctions.udf.CIQ($B13,"IQ_NI",$O$3, OM$3, $N$3, , $J$3, $K$3)*2/(_xll.ciqfunctions.udf.CIQ($B13,"IQ_TOTAL_ASSETS",OM$3,$I$3, $N$3, , $J$3, $K$3)+_xll.ciqfunctions.udf.CIQ($B13,"IQ_TOTAL_ASSETS", "IQ_" &amp; LEFT(OM$3,2) &amp; "-1", OM$3, $N$3, , $J$3, $K$3))),"")</f>
        <v/>
      </c>
      <c r="ON13" s="87" t="str">
        <f>IFERROR(IF(OR($B13="",ON$3=""),"",_xll.ciqfunctions.udf.CIQ($B13,"IQ_NI",$O$3, ON$3, $N$3, , $J$3, $K$3)*2/(_xll.ciqfunctions.udf.CIQ($B13,"IQ_TOTAL_ASSETS",ON$3,$I$3, $N$3, , $J$3, $K$3)+_xll.ciqfunctions.udf.CIQ($B13,"IQ_TOTAL_ASSETS", "IQ_" &amp; LEFT(ON$3,2) &amp; "-1", ON$3, $N$3, , $J$3, $K$3))),"")</f>
        <v/>
      </c>
      <c r="OO13" s="87" t="str">
        <f>IFERROR(IF(OR($B13="",OO$3=""),"",_xll.ciqfunctions.udf.CIQ($B13,"IQ_NI",$O$3, OO$3, $N$3, , $J$3, $K$3)*2/(_xll.ciqfunctions.udf.CIQ($B13,"IQ_TOTAL_ASSETS",OO$3,$I$3, $N$3, , $J$3, $K$3)+_xll.ciqfunctions.udf.CIQ($B13,"IQ_TOTAL_ASSETS", "IQ_" &amp; LEFT(OO$3,2) &amp; "-1", OO$3, $N$3, , $J$3, $K$3))),"")</f>
        <v/>
      </c>
      <c r="OP13" s="87" t="str">
        <f>IFERROR(IF(OR($B13="",OP$3=""),"",_xll.ciqfunctions.udf.CIQ($B13,"IQ_NI",$O$3, OP$3, $N$3, , $J$3, $K$3)*2/(_xll.ciqfunctions.udf.CIQ($B13,"IQ_TOTAL_ASSETS",OP$3,$I$3, $N$3, , $J$3, $K$3)+_xll.ciqfunctions.udf.CIQ($B13,"IQ_TOTAL_ASSETS", "IQ_" &amp; LEFT(OP$3,2) &amp; "-1", OP$3, $N$3, , $J$3, $K$3))),"")</f>
        <v/>
      </c>
      <c r="OQ13" s="87" t="str">
        <f>IFERROR(IF(OR($B13="",OQ$3=""),"",_xll.ciqfunctions.udf.CIQ($B13,"IQ_NI",$O$3, OQ$3, $N$3, , $J$3, $K$3)*2/(_xll.ciqfunctions.udf.CIQ($B13,"IQ_TOTAL_ASSETS",OQ$3,$I$3, $N$3, , $J$3, $K$3)+_xll.ciqfunctions.udf.CIQ($B13,"IQ_TOTAL_ASSETS", "IQ_" &amp; LEFT(OQ$3,2) &amp; "-1", OQ$3, $N$3, , $J$3, $K$3))),"")</f>
        <v/>
      </c>
      <c r="OR13" s="87" t="str">
        <f>IFERROR(IF(OR($B13="",OR$3=""),"",_xll.ciqfunctions.udf.CIQ($B13,"IQ_NI",$O$3, OR$3, $N$3, , $J$3, $K$3)*2/(_xll.ciqfunctions.udf.CIQ($B13,"IQ_TOTAL_ASSETS",OR$3,$I$3, $N$3, , $J$3, $K$3)+_xll.ciqfunctions.udf.CIQ($B13,"IQ_TOTAL_ASSETS", "IQ_" &amp; LEFT(OR$3,2) &amp; "-1", OR$3, $N$3, , $J$3, $K$3))),"")</f>
        <v/>
      </c>
      <c r="OS13" s="87" t="str">
        <f>IFERROR(IF(OR($B13="",OS$3=""),"",_xll.ciqfunctions.udf.CIQ($B13,"IQ_NI",$O$3, OS$3, $N$3, , $J$3, $K$3)*2/(_xll.ciqfunctions.udf.CIQ($B13,"IQ_TOTAL_ASSETS",OS$3,$I$3, $N$3, , $J$3, $K$3)+_xll.ciqfunctions.udf.CIQ($B13,"IQ_TOTAL_ASSETS", "IQ_" &amp; LEFT(OS$3,2) &amp; "-1", OS$3, $N$3, , $J$3, $K$3))),"")</f>
        <v/>
      </c>
      <c r="OT13" s="87" t="str">
        <f>IFERROR(IF(OR($B13="",OT$3=""),"",_xll.ciqfunctions.udf.CIQ($B13,"IQ_NI",$O$3, OT$3, $N$3, , $J$3, $K$3)*2/(_xll.ciqfunctions.udf.CIQ($B13,"IQ_TOTAL_ASSETS",OT$3,$I$3, $N$3, , $J$3, $K$3)+_xll.ciqfunctions.udf.CIQ($B13,"IQ_TOTAL_ASSETS", "IQ_" &amp; LEFT(OT$3,2) &amp; "-1", OT$3, $N$3, , $J$3, $K$3))),"")</f>
        <v/>
      </c>
      <c r="OU13" s="87" t="str">
        <f>IFERROR(IF(OR($B13="",OU$3=""),"",_xll.ciqfunctions.udf.CIQ($B13,"IQ_NI",$O$3, OU$3, $N$3, , $J$3, $K$3)*2/(_xll.ciqfunctions.udf.CIQ($B13,"IQ_TOTAL_ASSETS",OU$3,$I$3, $N$3, , $J$3, $K$3)+_xll.ciqfunctions.udf.CIQ($B13,"IQ_TOTAL_ASSETS", "IQ_" &amp; LEFT(OU$3,2) &amp; "-1", OU$3, $N$3, , $J$3, $K$3))),"")</f>
        <v/>
      </c>
      <c r="OV13" s="88" t="str">
        <f>IFERROR(IF(OR($B13="",OV$3=""),"",_xll.ciqfunctions.udf.CIQ($B13,"IQ_NI",$O$3, OV$3, $N$3, , $J$3, $K$3)*2/(_xll.ciqfunctions.udf.CIQ($B13,"IQ_TOTAL_ASSETS",OV$3,$I$3, $N$3, , $J$3, $K$3)+_xll.ciqfunctions.udf.CIQ($B13,"IQ_TOTAL_ASSETS", "IQ_" &amp; LEFT(OV$3,2) &amp; "-1", OV$3, $N$3, , $J$3, $K$3))),"")</f>
        <v/>
      </c>
      <c r="OW13" s="86" t="str">
        <f>IFERROR(IF(OR($B13="",OW$3=""),"",_xll.ciqfunctions.udf.CIQ($B13, "IQ_NI", $O$3, OW$3, $N$3, , $J$3, $K$3)*2/(_xll.ciqfunctions.udf.CIQ($B13, "IQ_TOTAL_ASSETS", OW$3, $I$3, $N$3, , $J$3, $K$3)+_xll.ciqfunctions.udf.CIQ($B13, "IQ_TOTAL_ASSETS", "IQ_" &amp; LEFT(OW$3,2) &amp; "-1", OW$3, $N$3, , $J$3, $K$3)-_xll.ciqfunctions.udf.CIQ($B13, "IQ_TOTAL_CL", OW$3, $I$3, $N$3, , $J$3, $K$3)-_xll.ciqfunctions.udf.CIQ($B13, "IQ_TOTAL_CL", "IQ_" &amp; LEFT(OW$3,2) &amp; "-1", OW$3, $N$3, , $J$3, $K$3))),"")</f>
        <v/>
      </c>
      <c r="OX13" s="87" t="str">
        <f>IFERROR(IF(OR($B13="",OX$3=""),"",_xll.ciqfunctions.udf.CIQ($B13, "IQ_NI", $O$3, OX$3, $N$3, , $J$3, $K$3)*2/(_xll.ciqfunctions.udf.CIQ($B13, "IQ_TOTAL_ASSETS", OX$3, $I$3, $N$3, , $J$3, $K$3)+_xll.ciqfunctions.udf.CIQ($B13, "IQ_TOTAL_ASSETS", "IQ_" &amp; LEFT(OX$3,2) &amp; "-1", OX$3, $N$3, , $J$3, $K$3)-_xll.ciqfunctions.udf.CIQ($B13, "IQ_TOTAL_CL", OX$3, $I$3, $N$3, , $J$3, $K$3)-_xll.ciqfunctions.udf.CIQ($B13, "IQ_TOTAL_CL", "IQ_" &amp; LEFT(OX$3,2) &amp; "-1", OX$3, $N$3, , $J$3, $K$3))),"")</f>
        <v/>
      </c>
      <c r="OY13" s="87" t="str">
        <f>IFERROR(IF(OR($B13="",OY$3=""),"",_xll.ciqfunctions.udf.CIQ($B13, "IQ_NI", $O$3, OY$3, $N$3, , $J$3, $K$3)*2/(_xll.ciqfunctions.udf.CIQ($B13, "IQ_TOTAL_ASSETS", OY$3, $I$3, $N$3, , $J$3, $K$3)+_xll.ciqfunctions.udf.CIQ($B13, "IQ_TOTAL_ASSETS", "IQ_" &amp; LEFT(OY$3,2) &amp; "-1", OY$3, $N$3, , $J$3, $K$3)-_xll.ciqfunctions.udf.CIQ($B13, "IQ_TOTAL_CL", OY$3, $I$3, $N$3, , $J$3, $K$3)-_xll.ciqfunctions.udf.CIQ($B13, "IQ_TOTAL_CL", "IQ_" &amp; LEFT(OY$3,2) &amp; "-1", OY$3, $N$3, , $J$3, $K$3))),"")</f>
        <v/>
      </c>
      <c r="OZ13" s="87" t="str">
        <f>IFERROR(IF(OR($B13="",OZ$3=""),"",_xll.ciqfunctions.udf.CIQ($B13, "IQ_NI", $O$3, OZ$3, $N$3, , $J$3, $K$3)*2/(_xll.ciqfunctions.udf.CIQ($B13, "IQ_TOTAL_ASSETS", OZ$3, $I$3, $N$3, , $J$3, $K$3)+_xll.ciqfunctions.udf.CIQ($B13, "IQ_TOTAL_ASSETS", "IQ_" &amp; LEFT(OZ$3,2) &amp; "-1", OZ$3, $N$3, , $J$3, $K$3)-_xll.ciqfunctions.udf.CIQ($B13, "IQ_TOTAL_CL", OZ$3, $I$3, $N$3, , $J$3, $K$3)-_xll.ciqfunctions.udf.CIQ($B13, "IQ_TOTAL_CL", "IQ_" &amp; LEFT(OZ$3,2) &amp; "-1", OZ$3, $N$3, , $J$3, $K$3))),"")</f>
        <v/>
      </c>
      <c r="PA13" s="87" t="str">
        <f>IFERROR(IF(OR($B13="",PA$3=""),"",_xll.ciqfunctions.udf.CIQ($B13, "IQ_NI", $O$3, PA$3, $N$3, , $J$3, $K$3)*2/(_xll.ciqfunctions.udf.CIQ($B13, "IQ_TOTAL_ASSETS", PA$3, $I$3, $N$3, , $J$3, $K$3)+_xll.ciqfunctions.udf.CIQ($B13, "IQ_TOTAL_ASSETS", "IQ_" &amp; LEFT(PA$3,2) &amp; "-1", PA$3, $N$3, , $J$3, $K$3)-_xll.ciqfunctions.udf.CIQ($B13, "IQ_TOTAL_CL", PA$3, $I$3, $N$3, , $J$3, $K$3)-_xll.ciqfunctions.udf.CIQ($B13, "IQ_TOTAL_CL", "IQ_" &amp; LEFT(PA$3,2) &amp; "-1", PA$3, $N$3, , $J$3, $K$3))),"")</f>
        <v/>
      </c>
      <c r="PB13" s="87" t="str">
        <f>IFERROR(IF(OR($B13="",PB$3=""),"",_xll.ciqfunctions.udf.CIQ($B13, "IQ_NI", $O$3, PB$3, $N$3, , $J$3, $K$3)*2/(_xll.ciqfunctions.udf.CIQ($B13, "IQ_TOTAL_ASSETS", PB$3, $I$3, $N$3, , $J$3, $K$3)+_xll.ciqfunctions.udf.CIQ($B13, "IQ_TOTAL_ASSETS", "IQ_" &amp; LEFT(PB$3,2) &amp; "-1", PB$3, $N$3, , $J$3, $K$3)-_xll.ciqfunctions.udf.CIQ($B13, "IQ_TOTAL_CL", PB$3, $I$3, $N$3, , $J$3, $K$3)-_xll.ciqfunctions.udf.CIQ($B13, "IQ_TOTAL_CL", "IQ_" &amp; LEFT(PB$3,2) &amp; "-1", PB$3, $N$3, , $J$3, $K$3))),"")</f>
        <v/>
      </c>
      <c r="PC13" s="87" t="str">
        <f>IFERROR(IF(OR($B13="",PC$3=""),"",_xll.ciqfunctions.udf.CIQ($B13, "IQ_NI", $O$3, PC$3, $N$3, , $J$3, $K$3)*2/(_xll.ciqfunctions.udf.CIQ($B13, "IQ_TOTAL_ASSETS", PC$3, $I$3, $N$3, , $J$3, $K$3)+_xll.ciqfunctions.udf.CIQ($B13, "IQ_TOTAL_ASSETS", "IQ_" &amp; LEFT(PC$3,2) &amp; "-1", PC$3, $N$3, , $J$3, $K$3)-_xll.ciqfunctions.udf.CIQ($B13, "IQ_TOTAL_CL", PC$3, $I$3, $N$3, , $J$3, $K$3)-_xll.ciqfunctions.udf.CIQ($B13, "IQ_TOTAL_CL", "IQ_" &amp; LEFT(PC$3,2) &amp; "-1", PC$3, $N$3, , $J$3, $K$3))),"")</f>
        <v/>
      </c>
      <c r="PD13" s="87" t="str">
        <f>IFERROR(IF(OR($B13="",PD$3=""),"",_xll.ciqfunctions.udf.CIQ($B13, "IQ_NI", $O$3, PD$3, $N$3, , $J$3, $K$3)*2/(_xll.ciqfunctions.udf.CIQ($B13, "IQ_TOTAL_ASSETS", PD$3, $I$3, $N$3, , $J$3, $K$3)+_xll.ciqfunctions.udf.CIQ($B13, "IQ_TOTAL_ASSETS", "IQ_" &amp; LEFT(PD$3,2) &amp; "-1", PD$3, $N$3, , $J$3, $K$3)-_xll.ciqfunctions.udf.CIQ($B13, "IQ_TOTAL_CL", PD$3, $I$3, $N$3, , $J$3, $K$3)-_xll.ciqfunctions.udf.CIQ($B13, "IQ_TOTAL_CL", "IQ_" &amp; LEFT(PD$3,2) &amp; "-1", PD$3, $N$3, , $J$3, $K$3))),"")</f>
        <v/>
      </c>
      <c r="PE13" s="87" t="str">
        <f>IFERROR(IF(OR($B13="",PE$3=""),"",_xll.ciqfunctions.udf.CIQ($B13, "IQ_NI", $O$3, PE$3, $N$3, , $J$3, $K$3)*2/(_xll.ciqfunctions.udf.CIQ($B13, "IQ_TOTAL_ASSETS", PE$3, $I$3, $N$3, , $J$3, $K$3)+_xll.ciqfunctions.udf.CIQ($B13, "IQ_TOTAL_ASSETS", "IQ_" &amp; LEFT(PE$3,2) &amp; "-1", PE$3, $N$3, , $J$3, $K$3)-_xll.ciqfunctions.udf.CIQ($B13, "IQ_TOTAL_CL", PE$3, $I$3, $N$3, , $J$3, $K$3)-_xll.ciqfunctions.udf.CIQ($B13, "IQ_TOTAL_CL", "IQ_" &amp; LEFT(PE$3,2) &amp; "-1", PE$3, $N$3, , $J$3, $K$3))),"")</f>
        <v/>
      </c>
      <c r="PF13" s="87" t="str">
        <f>IFERROR(IF(OR($B13="",PF$3=""),"",_xll.ciqfunctions.udf.CIQ($B13, "IQ_NI", $O$3, PF$3, $N$3, , $J$3, $K$3)*2/(_xll.ciqfunctions.udf.CIQ($B13, "IQ_TOTAL_ASSETS", PF$3, $I$3, $N$3, , $J$3, $K$3)+_xll.ciqfunctions.udf.CIQ($B13, "IQ_TOTAL_ASSETS", "IQ_" &amp; LEFT(PF$3,2) &amp; "-1", PF$3, $N$3, , $J$3, $K$3)-_xll.ciqfunctions.udf.CIQ($B13, "IQ_TOTAL_CL", PF$3, $I$3, $N$3, , $J$3, $K$3)-_xll.ciqfunctions.udf.CIQ($B13, "IQ_TOTAL_CL", "IQ_" &amp; LEFT(PF$3,2) &amp; "-1", PF$3, $N$3, , $J$3, $K$3))),"")</f>
        <v/>
      </c>
      <c r="PG13" s="87" t="str">
        <f>IFERROR(IF(OR($B13="",PG$3=""),"",_xll.ciqfunctions.udf.CIQ($B13, "IQ_NI", $O$3, PG$3, $N$3, , $J$3, $K$3)*2/(_xll.ciqfunctions.udf.CIQ($B13, "IQ_TOTAL_ASSETS", PG$3, $I$3, $N$3, , $J$3, $K$3)+_xll.ciqfunctions.udf.CIQ($B13, "IQ_TOTAL_ASSETS", "IQ_" &amp; LEFT(PG$3,2) &amp; "-1", PG$3, $N$3, , $J$3, $K$3)-_xll.ciqfunctions.udf.CIQ($B13, "IQ_TOTAL_CL", PG$3, $I$3, $N$3, , $J$3, $K$3)-_xll.ciqfunctions.udf.CIQ($B13, "IQ_TOTAL_CL", "IQ_" &amp; LEFT(PG$3,2) &amp; "-1", PG$3, $N$3, , $J$3, $K$3))),"")</f>
        <v/>
      </c>
      <c r="PH13" s="87" t="str">
        <f>IFERROR(IF(OR($B13="",PH$3=""),"",_xll.ciqfunctions.udf.CIQ($B13, "IQ_NI", $O$3, PH$3, $N$3, , $J$3, $K$3)*2/(_xll.ciqfunctions.udf.CIQ($B13, "IQ_TOTAL_ASSETS", PH$3, $I$3, $N$3, , $J$3, $K$3)+_xll.ciqfunctions.udf.CIQ($B13, "IQ_TOTAL_ASSETS", "IQ_" &amp; LEFT(PH$3,2) &amp; "-1", PH$3, $N$3, , $J$3, $K$3)-_xll.ciqfunctions.udf.CIQ($B13, "IQ_TOTAL_CL", PH$3, $I$3, $N$3, , $J$3, $K$3)-_xll.ciqfunctions.udf.CIQ($B13, "IQ_TOTAL_CL", "IQ_" &amp; LEFT(PH$3,2) &amp; "-1", PH$3, $N$3, , $J$3, $K$3))),"")</f>
        <v/>
      </c>
      <c r="PI13" s="87" t="str">
        <f>IFERROR(IF(OR($B13="",PI$3=""),"",_xll.ciqfunctions.udf.CIQ($B13, "IQ_NI", $O$3, PI$3, $N$3, , $J$3, $K$3)*2/(_xll.ciqfunctions.udf.CIQ($B13, "IQ_TOTAL_ASSETS", PI$3, $I$3, $N$3, , $J$3, $K$3)+_xll.ciqfunctions.udf.CIQ($B13, "IQ_TOTAL_ASSETS", "IQ_" &amp; LEFT(PI$3,2) &amp; "-1", PI$3, $N$3, , $J$3, $K$3)-_xll.ciqfunctions.udf.CIQ($B13, "IQ_TOTAL_CL", PI$3, $I$3, $N$3, , $J$3, $K$3)-_xll.ciqfunctions.udf.CIQ($B13, "IQ_TOTAL_CL", "IQ_" &amp; LEFT(PI$3,2) &amp; "-1", PI$3, $N$3, , $J$3, $K$3))),"")</f>
        <v/>
      </c>
      <c r="PJ13" s="87" t="str">
        <f>IFERROR(IF(OR($B13="",PJ$3=""),"",_xll.ciqfunctions.udf.CIQ($B13, "IQ_NI", $O$3, PJ$3, $N$3, , $J$3, $K$3)*2/(_xll.ciqfunctions.udf.CIQ($B13, "IQ_TOTAL_ASSETS", PJ$3, $I$3, $N$3, , $J$3, $K$3)+_xll.ciqfunctions.udf.CIQ($B13, "IQ_TOTAL_ASSETS", "IQ_" &amp; LEFT(PJ$3,2) &amp; "-1", PJ$3, $N$3, , $J$3, $K$3)-_xll.ciqfunctions.udf.CIQ($B13, "IQ_TOTAL_CL", PJ$3, $I$3, $N$3, , $J$3, $K$3)-_xll.ciqfunctions.udf.CIQ($B13, "IQ_TOTAL_CL", "IQ_" &amp; LEFT(PJ$3,2) &amp; "-1", PJ$3, $N$3, , $J$3, $K$3))),"")</f>
        <v/>
      </c>
      <c r="PK13" s="87" t="str">
        <f>IFERROR(IF(OR($B13="",PK$3=""),"",_xll.ciqfunctions.udf.CIQ($B13, "IQ_NI", $O$3, PK$3, $N$3, , $J$3, $K$3)*2/(_xll.ciqfunctions.udf.CIQ($B13, "IQ_TOTAL_ASSETS", PK$3, $I$3, $N$3, , $J$3, $K$3)+_xll.ciqfunctions.udf.CIQ($B13, "IQ_TOTAL_ASSETS", "IQ_" &amp; LEFT(PK$3,2) &amp; "-1", PK$3, $N$3, , $J$3, $K$3)-_xll.ciqfunctions.udf.CIQ($B13, "IQ_TOTAL_CL", PK$3, $I$3, $N$3, , $J$3, $K$3)-_xll.ciqfunctions.udf.CIQ($B13, "IQ_TOTAL_CL", "IQ_" &amp; LEFT(PK$3,2) &amp; "-1", PK$3, $N$3, , $J$3, $K$3))),"")</f>
        <v/>
      </c>
      <c r="PL13" s="87" t="str">
        <f>IFERROR(IF(OR($B13="",PL$3=""),"",_xll.ciqfunctions.udf.CIQ($B13, "IQ_NI", $O$3, PL$3, $N$3, , $J$3, $K$3)*2/(_xll.ciqfunctions.udf.CIQ($B13, "IQ_TOTAL_ASSETS", PL$3, $I$3, $N$3, , $J$3, $K$3)+_xll.ciqfunctions.udf.CIQ($B13, "IQ_TOTAL_ASSETS", "IQ_" &amp; LEFT(PL$3,2) &amp; "-1", PL$3, $N$3, , $J$3, $K$3)-_xll.ciqfunctions.udf.CIQ($B13, "IQ_TOTAL_CL", PL$3, $I$3, $N$3, , $J$3, $K$3)-_xll.ciqfunctions.udf.CIQ($B13, "IQ_TOTAL_CL", "IQ_" &amp; LEFT(PL$3,2) &amp; "-1", PL$3, $N$3, , $J$3, $K$3))),"")</f>
        <v/>
      </c>
      <c r="PM13" s="87" t="str">
        <f>IFERROR(IF(OR($B13="",PM$3=""),"",_xll.ciqfunctions.udf.CIQ($B13, "IQ_NI", $O$3, PM$3, $N$3, , $J$3, $K$3)*2/(_xll.ciqfunctions.udf.CIQ($B13, "IQ_TOTAL_ASSETS", PM$3, $I$3, $N$3, , $J$3, $K$3)+_xll.ciqfunctions.udf.CIQ($B13, "IQ_TOTAL_ASSETS", "IQ_" &amp; LEFT(PM$3,2) &amp; "-1", PM$3, $N$3, , $J$3, $K$3)-_xll.ciqfunctions.udf.CIQ($B13, "IQ_TOTAL_CL", PM$3, $I$3, $N$3, , $J$3, $K$3)-_xll.ciqfunctions.udf.CIQ($B13, "IQ_TOTAL_CL", "IQ_" &amp; LEFT(PM$3,2) &amp; "-1", PM$3, $N$3, , $J$3, $K$3))),"")</f>
        <v/>
      </c>
      <c r="PN13" s="87" t="str">
        <f>IFERROR(IF(OR($B13="",PN$3=""),"",_xll.ciqfunctions.udf.CIQ($B13, "IQ_NI", $O$3, PN$3, $N$3, , $J$3, $K$3)*2/(_xll.ciqfunctions.udf.CIQ($B13, "IQ_TOTAL_ASSETS", PN$3, $I$3, $N$3, , $J$3, $K$3)+_xll.ciqfunctions.udf.CIQ($B13, "IQ_TOTAL_ASSETS", "IQ_" &amp; LEFT(PN$3,2) &amp; "-1", PN$3, $N$3, , $J$3, $K$3)-_xll.ciqfunctions.udf.CIQ($B13, "IQ_TOTAL_CL", PN$3, $I$3, $N$3, , $J$3, $K$3)-_xll.ciqfunctions.udf.CIQ($B13, "IQ_TOTAL_CL", "IQ_" &amp; LEFT(PN$3,2) &amp; "-1", PN$3, $N$3, , $J$3, $K$3))),"")</f>
        <v/>
      </c>
      <c r="PO13" s="87" t="str">
        <f>IFERROR(IF(OR($B13="",PO$3=""),"",_xll.ciqfunctions.udf.CIQ($B13, "IQ_NI", $O$3, PO$3, $N$3, , $J$3, $K$3)*2/(_xll.ciqfunctions.udf.CIQ($B13, "IQ_TOTAL_ASSETS", PO$3, $I$3, $N$3, , $J$3, $K$3)+_xll.ciqfunctions.udf.CIQ($B13, "IQ_TOTAL_ASSETS", "IQ_" &amp; LEFT(PO$3,2) &amp; "-1", PO$3, $N$3, , $J$3, $K$3)-_xll.ciqfunctions.udf.CIQ($B13, "IQ_TOTAL_CL", PO$3, $I$3, $N$3, , $J$3, $K$3)-_xll.ciqfunctions.udf.CIQ($B13, "IQ_TOTAL_CL", "IQ_" &amp; LEFT(PO$3,2) &amp; "-1", PO$3, $N$3, , $J$3, $K$3))),"")</f>
        <v/>
      </c>
      <c r="PP13" s="88" t="str">
        <f>IFERROR(IF(OR($B13="",PP$3=""),"",_xll.ciqfunctions.udf.CIQ($B13, "IQ_NI", $O$3, PP$3, $N$3, , $J$3, $K$3)*2/(_xll.ciqfunctions.udf.CIQ($B13, "IQ_TOTAL_ASSETS", PP$3, $I$3, $N$3, , $J$3, $K$3)+_xll.ciqfunctions.udf.CIQ($B13, "IQ_TOTAL_ASSETS", "IQ_" &amp; LEFT(PP$3,2) &amp; "-1", PP$3, $N$3, , $J$3, $K$3)-_xll.ciqfunctions.udf.CIQ($B13, "IQ_TOTAL_CL", PP$3, $I$3, $N$3, , $J$3, $K$3)-_xll.ciqfunctions.udf.CIQ($B13, "IQ_TOTAL_CL", "IQ_" &amp; LEFT(PP$3,2) &amp; "-1", PP$3, $N$3, , $J$3, $K$3))),"")</f>
        <v/>
      </c>
      <c r="PQ13" s="89" t="str">
        <f>IFERROR(IF(OR($B13="",PQ$3=""),"",_xll.ciqfunctions.udf.CIQ($B13,"IQ_TOTAL_ASSETS",PQ$3, $I$3, $N$3, , $J$3, $K$3)/_xll.ciqfunctions.udf.CIQ($B13,"IQ_TOTAL_COMMON_EQUITY",PQ$3, $I$3, $N$3, , $J$3, $K$3)),"")</f>
        <v/>
      </c>
      <c r="PR13" s="90" t="str">
        <f>IFERROR(IF(OR($B13="",PR$3=""),"",_xll.ciqfunctions.udf.CIQ($B13,"IQ_TOTAL_ASSETS",PR$3, $I$3, $N$3, , $J$3, $K$3)/_xll.ciqfunctions.udf.CIQ($B13,"IQ_TOTAL_COMMON_EQUITY",PR$3, $I$3, $N$3, , $J$3, $K$3)),"")</f>
        <v/>
      </c>
      <c r="PS13" s="90" t="str">
        <f>IFERROR(IF(OR($B13="",PS$3=""),"",_xll.ciqfunctions.udf.CIQ($B13,"IQ_TOTAL_ASSETS",PS$3, $I$3, $N$3, , $J$3, $K$3)/_xll.ciqfunctions.udf.CIQ($B13,"IQ_TOTAL_COMMON_EQUITY",PS$3, $I$3, $N$3, , $J$3, $K$3)),"")</f>
        <v/>
      </c>
      <c r="PT13" s="90" t="str">
        <f>IFERROR(IF(OR($B13="",PT$3=""),"",_xll.ciqfunctions.udf.CIQ($B13,"IQ_TOTAL_ASSETS",PT$3, $I$3, $N$3, , $J$3, $K$3)/_xll.ciqfunctions.udf.CIQ($B13,"IQ_TOTAL_COMMON_EQUITY",PT$3, $I$3, $N$3, , $J$3, $K$3)),"")</f>
        <v/>
      </c>
      <c r="PU13" s="90" t="str">
        <f>IFERROR(IF(OR($B13="",PU$3=""),"",_xll.ciqfunctions.udf.CIQ($B13,"IQ_TOTAL_ASSETS",PU$3, $I$3, $N$3, , $J$3, $K$3)/_xll.ciqfunctions.udf.CIQ($B13,"IQ_TOTAL_COMMON_EQUITY",PU$3, $I$3, $N$3, , $J$3, $K$3)),"")</f>
        <v/>
      </c>
      <c r="PV13" s="90" t="str">
        <f>IFERROR(IF(OR($B13="",PV$3=""),"",_xll.ciqfunctions.udf.CIQ($B13,"IQ_TOTAL_ASSETS",PV$3, $I$3, $N$3, , $J$3, $K$3)/_xll.ciqfunctions.udf.CIQ($B13,"IQ_TOTAL_COMMON_EQUITY",PV$3, $I$3, $N$3, , $J$3, $K$3)),"")</f>
        <v/>
      </c>
      <c r="PW13" s="90" t="str">
        <f>IFERROR(IF(OR($B13="",PW$3=""),"",_xll.ciqfunctions.udf.CIQ($B13,"IQ_TOTAL_ASSETS",PW$3, $I$3, $N$3, , $J$3, $K$3)/_xll.ciqfunctions.udf.CIQ($B13,"IQ_TOTAL_COMMON_EQUITY",PW$3, $I$3, $N$3, , $J$3, $K$3)),"")</f>
        <v/>
      </c>
      <c r="PX13" s="90" t="str">
        <f>IFERROR(IF(OR($B13="",PX$3=""),"",_xll.ciqfunctions.udf.CIQ($B13,"IQ_TOTAL_ASSETS",PX$3, $I$3, $N$3, , $J$3, $K$3)/_xll.ciqfunctions.udf.CIQ($B13,"IQ_TOTAL_COMMON_EQUITY",PX$3, $I$3, $N$3, , $J$3, $K$3)),"")</f>
        <v/>
      </c>
      <c r="PY13" s="90" t="str">
        <f>IFERROR(IF(OR($B13="",PY$3=""),"",_xll.ciqfunctions.udf.CIQ($B13,"IQ_TOTAL_ASSETS",PY$3, $I$3, $N$3, , $J$3, $K$3)/_xll.ciqfunctions.udf.CIQ($B13,"IQ_TOTAL_COMMON_EQUITY",PY$3, $I$3, $N$3, , $J$3, $K$3)),"")</f>
        <v/>
      </c>
      <c r="PZ13" s="90" t="str">
        <f>IFERROR(IF(OR($B13="",PZ$3=""),"",_xll.ciqfunctions.udf.CIQ($B13,"IQ_TOTAL_ASSETS",PZ$3, $I$3, $N$3, , $J$3, $K$3)/_xll.ciqfunctions.udf.CIQ($B13,"IQ_TOTAL_COMMON_EQUITY",PZ$3, $I$3, $N$3, , $J$3, $K$3)),"")</f>
        <v/>
      </c>
      <c r="QA13" s="90" t="str">
        <f>IFERROR(IF(OR($B13="",QA$3=""),"",_xll.ciqfunctions.udf.CIQ($B13,"IQ_TOTAL_ASSETS",QA$3, $I$3, $N$3, , $J$3, $K$3)/_xll.ciqfunctions.udf.CIQ($B13,"IQ_TOTAL_COMMON_EQUITY",QA$3, $I$3, $N$3, , $J$3, $K$3)),"")</f>
        <v/>
      </c>
      <c r="QB13" s="90" t="str">
        <f>IFERROR(IF(OR($B13="",QB$3=""),"",_xll.ciqfunctions.udf.CIQ($B13,"IQ_TOTAL_ASSETS",QB$3, $I$3, $N$3, , $J$3, $K$3)/_xll.ciqfunctions.udf.CIQ($B13,"IQ_TOTAL_COMMON_EQUITY",QB$3, $I$3, $N$3, , $J$3, $K$3)),"")</f>
        <v/>
      </c>
      <c r="QC13" s="90" t="str">
        <f>IFERROR(IF(OR($B13="",QC$3=""),"",_xll.ciqfunctions.udf.CIQ($B13,"IQ_TOTAL_ASSETS",QC$3, $I$3, $N$3, , $J$3, $K$3)/_xll.ciqfunctions.udf.CIQ($B13,"IQ_TOTAL_COMMON_EQUITY",QC$3, $I$3, $N$3, , $J$3, $K$3)),"")</f>
        <v/>
      </c>
      <c r="QD13" s="90" t="str">
        <f>IFERROR(IF(OR($B13="",QD$3=""),"",_xll.ciqfunctions.udf.CIQ($B13,"IQ_TOTAL_ASSETS",QD$3, $I$3, $N$3, , $J$3, $K$3)/_xll.ciqfunctions.udf.CIQ($B13,"IQ_TOTAL_COMMON_EQUITY",QD$3, $I$3, $N$3, , $J$3, $K$3)),"")</f>
        <v/>
      </c>
      <c r="QE13" s="90" t="str">
        <f>IFERROR(IF(OR($B13="",QE$3=""),"",_xll.ciqfunctions.udf.CIQ($B13,"IQ_TOTAL_ASSETS",QE$3, $I$3, $N$3, , $J$3, $K$3)/_xll.ciqfunctions.udf.CIQ($B13,"IQ_TOTAL_COMMON_EQUITY",QE$3, $I$3, $N$3, , $J$3, $K$3)),"")</f>
        <v/>
      </c>
      <c r="QF13" s="90" t="str">
        <f>IFERROR(IF(OR($B13="",QF$3=""),"",_xll.ciqfunctions.udf.CIQ($B13,"IQ_TOTAL_ASSETS",QF$3, $I$3, $N$3, , $J$3, $K$3)/_xll.ciqfunctions.udf.CIQ($B13,"IQ_TOTAL_COMMON_EQUITY",QF$3, $I$3, $N$3, , $J$3, $K$3)),"")</f>
        <v/>
      </c>
      <c r="QG13" s="90" t="str">
        <f>IFERROR(IF(OR($B13="",QG$3=""),"",_xll.ciqfunctions.udf.CIQ($B13,"IQ_TOTAL_ASSETS",QG$3, $I$3, $N$3, , $J$3, $K$3)/_xll.ciqfunctions.udf.CIQ($B13,"IQ_TOTAL_COMMON_EQUITY",QG$3, $I$3, $N$3, , $J$3, $K$3)),"")</f>
        <v/>
      </c>
      <c r="QH13" s="90" t="str">
        <f>IFERROR(IF(OR($B13="",QH$3=""),"",_xll.ciqfunctions.udf.CIQ($B13,"IQ_TOTAL_ASSETS",QH$3, $I$3, $N$3, , $J$3, $K$3)/_xll.ciqfunctions.udf.CIQ($B13,"IQ_TOTAL_COMMON_EQUITY",QH$3, $I$3, $N$3, , $J$3, $K$3)),"")</f>
        <v/>
      </c>
      <c r="QI13" s="90" t="str">
        <f>IFERROR(IF(OR($B13="",QI$3=""),"",_xll.ciqfunctions.udf.CIQ($B13,"IQ_TOTAL_ASSETS",QI$3, $I$3, $N$3, , $J$3, $K$3)/_xll.ciqfunctions.udf.CIQ($B13,"IQ_TOTAL_COMMON_EQUITY",QI$3, $I$3, $N$3, , $J$3, $K$3)),"")</f>
        <v/>
      </c>
      <c r="QJ13" s="91" t="str">
        <f>IFERROR(IF(OR($B13="",QJ$3=""),"",_xll.ciqfunctions.udf.CIQ($B13,"IQ_TOTAL_ASSETS",QJ$3, $I$3, $N$3, , $J$3, $K$3)/_xll.ciqfunctions.udf.CIQ($B13,"IQ_TOTAL_COMMON_EQUITY",QJ$3, $I$3, $N$3, , $J$3, $K$3)),"")</f>
        <v/>
      </c>
      <c r="QK13" s="86" t="str">
        <f>IFERROR(IF(QK$3="","",_xll.ciqfunctions.udf.CIQ($B13, "IQ_NI", $O$3, QK$3, $N$3, , $J$3, $K$3)/_xll.ciqfunctions.udf.CIQ($B13, "IQ_TOTAL_REV", $O$3, QK$3, $N$3, , $J$3, $K$3)),"")</f>
        <v/>
      </c>
      <c r="QL13" s="87" t="str">
        <f>IFERROR(IF(QL$3="","",_xll.ciqfunctions.udf.CIQ($B13, "IQ_NI", $O$3, QL$3, $N$3, , $J$3, $K$3)/_xll.ciqfunctions.udf.CIQ($B13, "IQ_TOTAL_REV", $O$3, QL$3, $N$3, , $J$3, $K$3)),"")</f>
        <v/>
      </c>
      <c r="QM13" s="87" t="str">
        <f>IFERROR(IF(QM$3="","",_xll.ciqfunctions.udf.CIQ($B13, "IQ_NI", $O$3, QM$3, $N$3, , $J$3, $K$3)/_xll.ciqfunctions.udf.CIQ($B13, "IQ_TOTAL_REV", $O$3, QM$3, $N$3, , $J$3, $K$3)),"")</f>
        <v/>
      </c>
      <c r="QN13" s="87" t="str">
        <f>IFERROR(IF(QN$3="","",_xll.ciqfunctions.udf.CIQ($B13, "IQ_NI", $O$3, QN$3, $N$3, , $J$3, $K$3)/_xll.ciqfunctions.udf.CIQ($B13, "IQ_TOTAL_REV", $O$3, QN$3, $N$3, , $J$3, $K$3)),"")</f>
        <v/>
      </c>
      <c r="QO13" s="87" t="str">
        <f>IFERROR(IF(QO$3="","",_xll.ciqfunctions.udf.CIQ($B13, "IQ_NI", $O$3, QO$3, $N$3, , $J$3, $K$3)/_xll.ciqfunctions.udf.CIQ($B13, "IQ_TOTAL_REV", $O$3, QO$3, $N$3, , $J$3, $K$3)),"")</f>
        <v/>
      </c>
      <c r="QP13" s="87" t="str">
        <f>IFERROR(IF(QP$3="","",_xll.ciqfunctions.udf.CIQ($B13, "IQ_NI", $O$3, QP$3, $N$3, , $J$3, $K$3)/_xll.ciqfunctions.udf.CIQ($B13, "IQ_TOTAL_REV", $O$3, QP$3, $N$3, , $J$3, $K$3)),"")</f>
        <v/>
      </c>
      <c r="QQ13" s="87" t="str">
        <f>IFERROR(IF(QQ$3="","",_xll.ciqfunctions.udf.CIQ($B13, "IQ_NI", $O$3, QQ$3, $N$3, , $J$3, $K$3)/_xll.ciqfunctions.udf.CIQ($B13, "IQ_TOTAL_REV", $O$3, QQ$3, $N$3, , $J$3, $K$3)),"")</f>
        <v/>
      </c>
      <c r="QR13" s="87" t="str">
        <f>IFERROR(IF(QR$3="","",_xll.ciqfunctions.udf.CIQ($B13, "IQ_NI", $O$3, QR$3, $N$3, , $J$3, $K$3)/_xll.ciqfunctions.udf.CIQ($B13, "IQ_TOTAL_REV", $O$3, QR$3, $N$3, , $J$3, $K$3)),"")</f>
        <v/>
      </c>
      <c r="QS13" s="87" t="str">
        <f>IFERROR(IF(QS$3="","",_xll.ciqfunctions.udf.CIQ($B13, "IQ_NI", $O$3, QS$3, $N$3, , $J$3, $K$3)/_xll.ciqfunctions.udf.CIQ($B13, "IQ_TOTAL_REV", $O$3, QS$3, $N$3, , $J$3, $K$3)),"")</f>
        <v/>
      </c>
      <c r="QT13" s="87" t="str">
        <f>IFERROR(IF(QT$3="","",_xll.ciqfunctions.udf.CIQ($B13, "IQ_NI", $O$3, QT$3, $N$3, , $J$3, $K$3)/_xll.ciqfunctions.udf.CIQ($B13, "IQ_TOTAL_REV", $O$3, QT$3, $N$3, , $J$3, $K$3)),"")</f>
        <v/>
      </c>
      <c r="QU13" s="87" t="str">
        <f>IFERROR(IF(QU$3="","",_xll.ciqfunctions.udf.CIQ($B13, "IQ_NI", $O$3, QU$3, $N$3, , $J$3, $K$3)/_xll.ciqfunctions.udf.CIQ($B13, "IQ_TOTAL_REV", $O$3, QU$3, $N$3, , $J$3, $K$3)),"")</f>
        <v/>
      </c>
      <c r="QV13" s="87" t="str">
        <f>IFERROR(IF(QV$3="","",_xll.ciqfunctions.udf.CIQ($B13, "IQ_NI", $O$3, QV$3, $N$3, , $J$3, $K$3)/_xll.ciqfunctions.udf.CIQ($B13, "IQ_TOTAL_REV", $O$3, QV$3, $N$3, , $J$3, $K$3)),"")</f>
        <v/>
      </c>
      <c r="QW13" s="87" t="str">
        <f>IFERROR(IF(QW$3="","",_xll.ciqfunctions.udf.CIQ($B13, "IQ_NI", $O$3, QW$3, $N$3, , $J$3, $K$3)/_xll.ciqfunctions.udf.CIQ($B13, "IQ_TOTAL_REV", $O$3, QW$3, $N$3, , $J$3, $K$3)),"")</f>
        <v/>
      </c>
      <c r="QX13" s="87" t="str">
        <f>IFERROR(IF(QX$3="","",_xll.ciqfunctions.udf.CIQ($B13, "IQ_NI", $O$3, QX$3, $N$3, , $J$3, $K$3)/_xll.ciqfunctions.udf.CIQ($B13, "IQ_TOTAL_REV", $O$3, QX$3, $N$3, , $J$3, $K$3)),"")</f>
        <v/>
      </c>
      <c r="QY13" s="87" t="str">
        <f>IFERROR(IF(QY$3="","",_xll.ciqfunctions.udf.CIQ($B13, "IQ_NI", $O$3, QY$3, $N$3, , $J$3, $K$3)/_xll.ciqfunctions.udf.CIQ($B13, "IQ_TOTAL_REV", $O$3, QY$3, $N$3, , $J$3, $K$3)),"")</f>
        <v/>
      </c>
      <c r="QZ13" s="87" t="str">
        <f>IFERROR(IF(QZ$3="","",_xll.ciqfunctions.udf.CIQ($B13, "IQ_NI", $O$3, QZ$3, $N$3, , $J$3, $K$3)/_xll.ciqfunctions.udf.CIQ($B13, "IQ_TOTAL_REV", $O$3, QZ$3, $N$3, , $J$3, $K$3)),"")</f>
        <v/>
      </c>
      <c r="RA13" s="87" t="str">
        <f>IFERROR(IF(RA$3="","",_xll.ciqfunctions.udf.CIQ($B13, "IQ_NI", $O$3, RA$3, $N$3, , $J$3, $K$3)/_xll.ciqfunctions.udf.CIQ($B13, "IQ_TOTAL_REV", $O$3, RA$3, $N$3, , $J$3, $K$3)),"")</f>
        <v/>
      </c>
      <c r="RB13" s="87" t="str">
        <f>IFERROR(IF(RB$3="","",_xll.ciqfunctions.udf.CIQ($B13, "IQ_NI", $O$3, RB$3, $N$3, , $J$3, $K$3)/_xll.ciqfunctions.udf.CIQ($B13, "IQ_TOTAL_REV", $O$3, RB$3, $N$3, , $J$3, $K$3)),"")</f>
        <v/>
      </c>
      <c r="RC13" s="87" t="str">
        <f>IFERROR(IF(RC$3="","",_xll.ciqfunctions.udf.CIQ($B13, "IQ_NI", $O$3, RC$3, $N$3, , $J$3, $K$3)/_xll.ciqfunctions.udf.CIQ($B13, "IQ_TOTAL_REV", $O$3, RC$3, $N$3, , $J$3, $K$3)),"")</f>
        <v/>
      </c>
      <c r="RD13" s="88" t="str">
        <f>IFERROR(IF(RD$3="","",_xll.ciqfunctions.udf.CIQ($B13, "IQ_NI", $O$3, RD$3, $N$3, , $J$3, $K$3)/_xll.ciqfunctions.udf.CIQ($B13, "IQ_TOTAL_REV", $O$3, RD$3, $N$3, , $J$3, $K$3)),"")</f>
        <v/>
      </c>
      <c r="RE13" s="86" t="str">
        <f>IFERROR(IF(OR($B13="",OC$3=""),"",_xll.ciqfunctions.udf.CIQ($B13,"IQ_NI",$O$3, RE$3, $N$3, , $J$3, $K$3)*2/(_xll.ciqfunctions.udf.CIQ($B13,"IQ_TOTAL_EQUITY", RE$3,$I$3, $N$3, , $J$3, $K$3)+_xll.ciqfunctions.udf.CIQ($B13,"IQ_TOTAL_EQUITY", "IQ_" &amp; LEFT(RE$3,2) &amp; "-1", RE$3, $N$3, , $J$3, $K$3))),"")</f>
        <v/>
      </c>
      <c r="RF13" s="86" t="str">
        <f>IFERROR(IF(OR($B13="",OD$3=""),"",_xll.ciqfunctions.udf.CIQ($B13,"IQ_NI",$O$3, RF$3, $N$3, , $J$3, $K$3)*2/(_xll.ciqfunctions.udf.CIQ($B13,"IQ_TOTAL_EQUITY", RF$3,$I$3, $N$3, , $J$3, $K$3)+_xll.ciqfunctions.udf.CIQ($B13,"IQ_TOTAL_EQUITY", "IQ_" &amp; LEFT(RF$3,2) &amp; "-1", RF$3, $N$3, , $J$3, $K$3))),"")</f>
        <v/>
      </c>
      <c r="RG13" s="86" t="str">
        <f>IFERROR(IF(OR($B13="",OE$3=""),"",_xll.ciqfunctions.udf.CIQ($B13,"IQ_NI",$O$3, RG$3, $N$3, , $J$3, $K$3)*2/(_xll.ciqfunctions.udf.CIQ($B13,"IQ_TOTAL_EQUITY", RG$3,$I$3, $N$3, , $J$3, $K$3)+_xll.ciqfunctions.udf.CIQ($B13,"IQ_TOTAL_EQUITY", "IQ_" &amp; LEFT(RG$3,2) &amp; "-1", RG$3, $N$3, , $J$3, $K$3))),"")</f>
        <v/>
      </c>
      <c r="RH13" s="86" t="str">
        <f>IFERROR(IF(OR($B13="",OF$3=""),"",_xll.ciqfunctions.udf.CIQ($B13,"IQ_NI",$O$3, RH$3, $N$3, , $J$3, $K$3)*2/(_xll.ciqfunctions.udf.CIQ($B13,"IQ_TOTAL_EQUITY", RH$3,$I$3, $N$3, , $J$3, $K$3)+_xll.ciqfunctions.udf.CIQ($B13,"IQ_TOTAL_EQUITY", "IQ_" &amp; LEFT(RH$3,2) &amp; "-1", RH$3, $N$3, , $J$3, $K$3))),"")</f>
        <v/>
      </c>
      <c r="RI13" s="86" t="str">
        <f>IFERROR(IF(OR($B13="",OG$3=""),"",_xll.ciqfunctions.udf.CIQ($B13,"IQ_NI",$O$3, RI$3, $N$3, , $J$3, $K$3)*2/(_xll.ciqfunctions.udf.CIQ($B13,"IQ_TOTAL_EQUITY", RI$3,$I$3, $N$3, , $J$3, $K$3)+_xll.ciqfunctions.udf.CIQ($B13,"IQ_TOTAL_EQUITY", "IQ_" &amp; LEFT(RI$3,2) &amp; "-1", RI$3, $N$3, , $J$3, $K$3))),"")</f>
        <v/>
      </c>
      <c r="RJ13" s="86" t="str">
        <f>IFERROR(IF(OR($B13="",OH$3=""),"",_xll.ciqfunctions.udf.CIQ($B13,"IQ_NI",$O$3, RJ$3, $N$3, , $J$3, $K$3)*2/(_xll.ciqfunctions.udf.CIQ($B13,"IQ_TOTAL_EQUITY", RJ$3,$I$3, $N$3, , $J$3, $K$3)+_xll.ciqfunctions.udf.CIQ($B13,"IQ_TOTAL_EQUITY", "IQ_" &amp; LEFT(RJ$3,2) &amp; "-1", RJ$3, $N$3, , $J$3, $K$3))),"")</f>
        <v/>
      </c>
      <c r="RK13" s="86" t="str">
        <f>IFERROR(IF(OR($B13="",OI$3=""),"",_xll.ciqfunctions.udf.CIQ($B13,"IQ_NI",$O$3, RK$3, $N$3, , $J$3, $K$3)*2/(_xll.ciqfunctions.udf.CIQ($B13,"IQ_TOTAL_EQUITY", RK$3,$I$3, $N$3, , $J$3, $K$3)+_xll.ciqfunctions.udf.CIQ($B13,"IQ_TOTAL_EQUITY", "IQ_" &amp; LEFT(RK$3,2) &amp; "-1", RK$3, $N$3, , $J$3, $K$3))),"")</f>
        <v/>
      </c>
      <c r="RL13" s="86" t="str">
        <f>IFERROR(IF(OR($B13="",OJ$3=""),"",_xll.ciqfunctions.udf.CIQ($B13,"IQ_NI",$O$3, RL$3, $N$3, , $J$3, $K$3)*2/(_xll.ciqfunctions.udf.CIQ($B13,"IQ_TOTAL_EQUITY", RL$3,$I$3, $N$3, , $J$3, $K$3)+_xll.ciqfunctions.udf.CIQ($B13,"IQ_TOTAL_EQUITY", "IQ_" &amp; LEFT(RL$3,2) &amp; "-1", RL$3, $N$3, , $J$3, $K$3))),"")</f>
        <v/>
      </c>
      <c r="RM13" s="86" t="str">
        <f>IFERROR(IF(OR($B13="",OK$3=""),"",_xll.ciqfunctions.udf.CIQ($B13,"IQ_NI",$O$3, RM$3, $N$3, , $J$3, $K$3)*2/(_xll.ciqfunctions.udf.CIQ($B13,"IQ_TOTAL_EQUITY", RM$3,$I$3, $N$3, , $J$3, $K$3)+_xll.ciqfunctions.udf.CIQ($B13,"IQ_TOTAL_EQUITY", "IQ_" &amp; LEFT(RM$3,2) &amp; "-1", RM$3, $N$3, , $J$3, $K$3))),"")</f>
        <v/>
      </c>
      <c r="RN13" s="86" t="str">
        <f>IFERROR(IF(OR($B13="",OL$3=""),"",_xll.ciqfunctions.udf.CIQ($B13,"IQ_NI",$O$3, RN$3, $N$3, , $J$3, $K$3)*2/(_xll.ciqfunctions.udf.CIQ($B13,"IQ_TOTAL_EQUITY", RN$3,$I$3, $N$3, , $J$3, $K$3)+_xll.ciqfunctions.udf.CIQ($B13,"IQ_TOTAL_EQUITY", "IQ_" &amp; LEFT(RN$3,2) &amp; "-1", RN$3, $N$3, , $J$3, $K$3))),"")</f>
        <v/>
      </c>
      <c r="RO13" s="86" t="str">
        <f>IFERROR(IF(OR($B13="",OM$3=""),"",_xll.ciqfunctions.udf.CIQ($B13,"IQ_NI",$O$3, RO$3, $N$3, , $J$3, $K$3)*2/(_xll.ciqfunctions.udf.CIQ($B13,"IQ_TOTAL_EQUITY", RO$3,$I$3, $N$3, , $J$3, $K$3)+_xll.ciqfunctions.udf.CIQ($B13,"IQ_TOTAL_EQUITY", "IQ_" &amp; LEFT(RO$3,2) &amp; "-1", RO$3, $N$3, , $J$3, $K$3))),"")</f>
        <v/>
      </c>
      <c r="RP13" s="86" t="str">
        <f>IFERROR(IF(OR($B13="",ON$3=""),"",_xll.ciqfunctions.udf.CIQ($B13,"IQ_NI",$O$3, RP$3, $N$3, , $J$3, $K$3)*2/(_xll.ciqfunctions.udf.CIQ($B13,"IQ_TOTAL_EQUITY", RP$3,$I$3, $N$3, , $J$3, $K$3)+_xll.ciqfunctions.udf.CIQ($B13,"IQ_TOTAL_EQUITY", "IQ_" &amp; LEFT(RP$3,2) &amp; "-1", RP$3, $N$3, , $J$3, $K$3))),"")</f>
        <v/>
      </c>
      <c r="RQ13" s="86" t="str">
        <f>IFERROR(IF(OR($B13="",OO$3=""),"",_xll.ciqfunctions.udf.CIQ($B13,"IQ_NI",$O$3, RQ$3, $N$3, , $J$3, $K$3)*2/(_xll.ciqfunctions.udf.CIQ($B13,"IQ_TOTAL_EQUITY", RQ$3,$I$3, $N$3, , $J$3, $K$3)+_xll.ciqfunctions.udf.CIQ($B13,"IQ_TOTAL_EQUITY", "IQ_" &amp; LEFT(RQ$3,2) &amp; "-1", RQ$3, $N$3, , $J$3, $K$3))),"")</f>
        <v/>
      </c>
      <c r="RR13" s="86" t="str">
        <f>IFERROR(IF(OR($B13="",OP$3=""),"",_xll.ciqfunctions.udf.CIQ($B13,"IQ_NI",$O$3, RR$3, $N$3, , $J$3, $K$3)*2/(_xll.ciqfunctions.udf.CIQ($B13,"IQ_TOTAL_EQUITY", RR$3,$I$3, $N$3, , $J$3, $K$3)+_xll.ciqfunctions.udf.CIQ($B13,"IQ_TOTAL_EQUITY", "IQ_" &amp; LEFT(RR$3,2) &amp; "-1", RR$3, $N$3, , $J$3, $K$3))),"")</f>
        <v/>
      </c>
      <c r="RS13" s="86" t="str">
        <f>IFERROR(IF(OR($B13="",OQ$3=""),"",_xll.ciqfunctions.udf.CIQ($B13,"IQ_NI",$O$3, RS$3, $N$3, , $J$3, $K$3)*2/(_xll.ciqfunctions.udf.CIQ($B13,"IQ_TOTAL_EQUITY", RS$3,$I$3, $N$3, , $J$3, $K$3)+_xll.ciqfunctions.udf.CIQ($B13,"IQ_TOTAL_EQUITY", "IQ_" &amp; LEFT(RS$3,2) &amp; "-1", RS$3, $N$3, , $J$3, $K$3))),"")</f>
        <v/>
      </c>
      <c r="RT13" s="86" t="str">
        <f>IFERROR(IF(OR($B13="",OR$3=""),"",_xll.ciqfunctions.udf.CIQ($B13,"IQ_NI",$O$3, RT$3, $N$3, , $J$3, $K$3)*2/(_xll.ciqfunctions.udf.CIQ($B13,"IQ_TOTAL_EQUITY", RT$3,$I$3, $N$3, , $J$3, $K$3)+_xll.ciqfunctions.udf.CIQ($B13,"IQ_TOTAL_EQUITY", "IQ_" &amp; LEFT(RT$3,2) &amp; "-1", RT$3, $N$3, , $J$3, $K$3))),"")</f>
        <v/>
      </c>
      <c r="RU13" s="86" t="str">
        <f>IFERROR(IF(OR($B13="",OS$3=""),"",_xll.ciqfunctions.udf.CIQ($B13,"IQ_NI",$O$3, RU$3, $N$3, , $J$3, $K$3)*2/(_xll.ciqfunctions.udf.CIQ($B13,"IQ_TOTAL_EQUITY", RU$3,$I$3, $N$3, , $J$3, $K$3)+_xll.ciqfunctions.udf.CIQ($B13,"IQ_TOTAL_EQUITY", "IQ_" &amp; LEFT(RU$3,2) &amp; "-1", RU$3, $N$3, , $J$3, $K$3))),"")</f>
        <v/>
      </c>
      <c r="RV13" s="86" t="str">
        <f>IFERROR(IF(OR($B13="",OT$3=""),"",_xll.ciqfunctions.udf.CIQ($B13,"IQ_NI",$O$3, RV$3, $N$3, , $J$3, $K$3)*2/(_xll.ciqfunctions.udf.CIQ($B13,"IQ_TOTAL_EQUITY", RV$3,$I$3, $N$3, , $J$3, $K$3)+_xll.ciqfunctions.udf.CIQ($B13,"IQ_TOTAL_EQUITY", "IQ_" &amp; LEFT(RV$3,2) &amp; "-1", RV$3, $N$3, , $J$3, $K$3))),"")</f>
        <v/>
      </c>
      <c r="RW13" s="86" t="str">
        <f>IFERROR(IF(OR($B13="",OU$3=""),"",_xll.ciqfunctions.udf.CIQ($B13,"IQ_NI",$O$3, RW$3, $N$3, , $J$3, $K$3)*2/(_xll.ciqfunctions.udf.CIQ($B13,"IQ_TOTAL_EQUITY", RW$3,$I$3, $N$3, , $J$3, $K$3)+_xll.ciqfunctions.udf.CIQ($B13,"IQ_TOTAL_EQUITY", "IQ_" &amp; LEFT(RW$3,2) &amp; "-1", RW$3, $N$3, , $J$3, $K$3))),"")</f>
        <v/>
      </c>
      <c r="RX13" s="86" t="str">
        <f>IFERROR(IF(OR($B13="",OV$3=""),"",_xll.ciqfunctions.udf.CIQ($B13,"IQ_NI",$O$3, RX$3, $N$3, , $J$3, $K$3)*2/(_xll.ciqfunctions.udf.CIQ($B13,"IQ_TOTAL_EQUITY", RX$3,$I$3, $N$3, , $J$3, $K$3)+_xll.ciqfunctions.udf.CIQ($B13,"IQ_TOTAL_EQUITY", "IQ_" &amp; LEFT(RX$3,2) &amp; "-1", RX$3, $N$3, , $J$3, $K$3))),"")</f>
        <v/>
      </c>
      <c r="RY13" s="86" t="str">
        <f>IFERROR(IF(OR($B13="",RY$3=""),"",_xll.ciqfunctions.udf.CIQ($B13,"IQ_CASH_OPER",$O$3, RY$3, $N$3, , $J$3, $K$3)*2/(_xll.ciqfunctions.udf.CIQ($B13,"IQ_TOTAL_CL",RY$3,$I$3, $N$3, , $J$3, $K$3)+_xll.ciqfunctions.udf.CIQ($B13,"IQ_TOTAL_CL","IQ_" &amp; LEFT(RY$3,2) &amp; "-1", RY$3, $N$3, , $J$3, $K$3))),"")</f>
        <v/>
      </c>
      <c r="RZ13" s="87" t="str">
        <f>IFERROR(IF(OR($B13="",RZ$3=""),"",_xll.ciqfunctions.udf.CIQ($B13,"IQ_CASH_OPER",$O$3, RZ$3, $N$3, , $J$3, $K$3)*2/(_xll.ciqfunctions.udf.CIQ($B13,"IQ_TOTAL_CL",RZ$3,$I$3, $N$3, , $J$3, $K$3)+_xll.ciqfunctions.udf.CIQ($B13,"IQ_TOTAL_CL","IQ_" &amp; LEFT(RZ$3,2) &amp; "-1", RZ$3, $N$3, , $J$3, $K$3))),"")</f>
        <v/>
      </c>
      <c r="SA13" s="87" t="str">
        <f>IFERROR(IF(OR($B13="",SA$3=""),"",_xll.ciqfunctions.udf.CIQ($B13,"IQ_CASH_OPER",$O$3, SA$3, $N$3, , $J$3, $K$3)*2/(_xll.ciqfunctions.udf.CIQ($B13,"IQ_TOTAL_CL",SA$3,$I$3, $N$3, , $J$3, $K$3)+_xll.ciqfunctions.udf.CIQ($B13,"IQ_TOTAL_CL","IQ_" &amp; LEFT(SA$3,2) &amp; "-1", SA$3, $N$3, , $J$3, $K$3))),"")</f>
        <v/>
      </c>
      <c r="SB13" s="87" t="str">
        <f>IFERROR(IF(OR($B13="",SB$3=""),"",_xll.ciqfunctions.udf.CIQ($B13,"IQ_CASH_OPER",$O$3, SB$3, $N$3, , $J$3, $K$3)*2/(_xll.ciqfunctions.udf.CIQ($B13,"IQ_TOTAL_CL",SB$3,$I$3, $N$3, , $J$3, $K$3)+_xll.ciqfunctions.udf.CIQ($B13,"IQ_TOTAL_CL","IQ_" &amp; LEFT(SB$3,2) &amp; "-1", SB$3, $N$3, , $J$3, $K$3))),"")</f>
        <v/>
      </c>
      <c r="SC13" s="87" t="str">
        <f>IFERROR(IF(OR($B13="",SC$3=""),"",_xll.ciqfunctions.udf.CIQ($B13,"IQ_CASH_OPER",$O$3, SC$3, $N$3, , $J$3, $K$3)*2/(_xll.ciqfunctions.udf.CIQ($B13,"IQ_TOTAL_CL",SC$3,$I$3, $N$3, , $J$3, $K$3)+_xll.ciqfunctions.udf.CIQ($B13,"IQ_TOTAL_CL","IQ_" &amp; LEFT(SC$3,2) &amp; "-1", SC$3, $N$3, , $J$3, $K$3))),"")</f>
        <v/>
      </c>
      <c r="SD13" s="87" t="str">
        <f>IFERROR(IF(OR($B13="",SD$3=""),"",_xll.ciqfunctions.udf.CIQ($B13,"IQ_CASH_OPER",$O$3, SD$3, $N$3, , $J$3, $K$3)*2/(_xll.ciqfunctions.udf.CIQ($B13,"IQ_TOTAL_CL",SD$3,$I$3, $N$3, , $J$3, $K$3)+_xll.ciqfunctions.udf.CIQ($B13,"IQ_TOTAL_CL","IQ_" &amp; LEFT(SD$3,2) &amp; "-1", SD$3, $N$3, , $J$3, $K$3))),"")</f>
        <v/>
      </c>
      <c r="SE13" s="87" t="str">
        <f>IFERROR(IF(OR($B13="",SE$3=""),"",_xll.ciqfunctions.udf.CIQ($B13,"IQ_CASH_OPER",$O$3, SE$3, $N$3, , $J$3, $K$3)*2/(_xll.ciqfunctions.udf.CIQ($B13,"IQ_TOTAL_CL",SE$3,$I$3, $N$3, , $J$3, $K$3)+_xll.ciqfunctions.udf.CIQ($B13,"IQ_TOTAL_CL","IQ_" &amp; LEFT(SE$3,2) &amp; "-1", SE$3, $N$3, , $J$3, $K$3))),"")</f>
        <v/>
      </c>
      <c r="SF13" s="87" t="str">
        <f>IFERROR(IF(OR($B13="",SF$3=""),"",_xll.ciqfunctions.udf.CIQ($B13,"IQ_CASH_OPER",$O$3, SF$3, $N$3, , $J$3, $K$3)*2/(_xll.ciqfunctions.udf.CIQ($B13,"IQ_TOTAL_CL",SF$3,$I$3, $N$3, , $J$3, $K$3)+_xll.ciqfunctions.udf.CIQ($B13,"IQ_TOTAL_CL","IQ_" &amp; LEFT(SF$3,2) &amp; "-1", SF$3, $N$3, , $J$3, $K$3))),"")</f>
        <v/>
      </c>
      <c r="SG13" s="87" t="str">
        <f>IFERROR(IF(OR($B13="",SG$3=""),"",_xll.ciqfunctions.udf.CIQ($B13,"IQ_CASH_OPER",$O$3, SG$3, $N$3, , $J$3, $K$3)*2/(_xll.ciqfunctions.udf.CIQ($B13,"IQ_TOTAL_CL",SG$3,$I$3, $N$3, , $J$3, $K$3)+_xll.ciqfunctions.udf.CIQ($B13,"IQ_TOTAL_CL","IQ_" &amp; LEFT(SG$3,2) &amp; "-1", SG$3, $N$3, , $J$3, $K$3))),"")</f>
        <v/>
      </c>
      <c r="SH13" s="87" t="str">
        <f>IFERROR(IF(OR($B13="",SH$3=""),"",_xll.ciqfunctions.udf.CIQ($B13,"IQ_CASH_OPER",$O$3, SH$3, $N$3, , $J$3, $K$3)*2/(_xll.ciqfunctions.udf.CIQ($B13,"IQ_TOTAL_CL",SH$3,$I$3, $N$3, , $J$3, $K$3)+_xll.ciqfunctions.udf.CIQ($B13,"IQ_TOTAL_CL","IQ_" &amp; LEFT(SH$3,2) &amp; "-1", SH$3, $N$3, , $J$3, $K$3))),"")</f>
        <v/>
      </c>
      <c r="SI13" s="87" t="str">
        <f>IFERROR(IF(OR($B13="",SI$3=""),"",_xll.ciqfunctions.udf.CIQ($B13,"IQ_CASH_OPER",$O$3, SI$3, $N$3, , $J$3, $K$3)*2/(_xll.ciqfunctions.udf.CIQ($B13,"IQ_TOTAL_CL",SI$3,$I$3, $N$3, , $J$3, $K$3)+_xll.ciqfunctions.udf.CIQ($B13,"IQ_TOTAL_CL","IQ_" &amp; LEFT(SI$3,2) &amp; "-1", SI$3, $N$3, , $J$3, $K$3))),"")</f>
        <v/>
      </c>
      <c r="SJ13" s="87" t="str">
        <f>IFERROR(IF(OR($B13="",SJ$3=""),"",_xll.ciqfunctions.udf.CIQ($B13,"IQ_CASH_OPER",$O$3, SJ$3, $N$3, , $J$3, $K$3)*2/(_xll.ciqfunctions.udf.CIQ($B13,"IQ_TOTAL_CL",SJ$3,$I$3, $N$3, , $J$3, $K$3)+_xll.ciqfunctions.udf.CIQ($B13,"IQ_TOTAL_CL","IQ_" &amp; LEFT(SJ$3,2) &amp; "-1", SJ$3, $N$3, , $J$3, $K$3))),"")</f>
        <v/>
      </c>
      <c r="SK13" s="87" t="str">
        <f>IFERROR(IF(OR($B13="",SK$3=""),"",_xll.ciqfunctions.udf.CIQ($B13,"IQ_CASH_OPER",$O$3, SK$3, $N$3, , $J$3, $K$3)*2/(_xll.ciqfunctions.udf.CIQ($B13,"IQ_TOTAL_CL",SK$3,$I$3, $N$3, , $J$3, $K$3)+_xll.ciqfunctions.udf.CIQ($B13,"IQ_TOTAL_CL","IQ_" &amp; LEFT(SK$3,2) &amp; "-1", SK$3, $N$3, , $J$3, $K$3))),"")</f>
        <v/>
      </c>
      <c r="SL13" s="87" t="str">
        <f>IFERROR(IF(OR($B13="",SL$3=""),"",_xll.ciqfunctions.udf.CIQ($B13,"IQ_CASH_OPER",$O$3, SL$3, $N$3, , $J$3, $K$3)*2/(_xll.ciqfunctions.udf.CIQ($B13,"IQ_TOTAL_CL",SL$3,$I$3, $N$3, , $J$3, $K$3)+_xll.ciqfunctions.udf.CIQ($B13,"IQ_TOTAL_CL","IQ_" &amp; LEFT(SL$3,2) &amp; "-1", SL$3, $N$3, , $J$3, $K$3))),"")</f>
        <v/>
      </c>
      <c r="SM13" s="87" t="str">
        <f>IFERROR(IF(OR($B13="",SM$3=""),"",_xll.ciqfunctions.udf.CIQ($B13,"IQ_CASH_OPER",$O$3, SM$3, $N$3, , $J$3, $K$3)*2/(_xll.ciqfunctions.udf.CIQ($B13,"IQ_TOTAL_CL",SM$3,$I$3, $N$3, , $J$3, $K$3)+_xll.ciqfunctions.udf.CIQ($B13,"IQ_TOTAL_CL","IQ_" &amp; LEFT(SM$3,2) &amp; "-1", SM$3, $N$3, , $J$3, $K$3))),"")</f>
        <v/>
      </c>
      <c r="SN13" s="87" t="str">
        <f>IFERROR(IF(OR($B13="",SN$3=""),"",_xll.ciqfunctions.udf.CIQ($B13,"IQ_CASH_OPER",$O$3, SN$3, $N$3, , $J$3, $K$3)*2/(_xll.ciqfunctions.udf.CIQ($B13,"IQ_TOTAL_CL",SN$3,$I$3, $N$3, , $J$3, $K$3)+_xll.ciqfunctions.udf.CIQ($B13,"IQ_TOTAL_CL","IQ_" &amp; LEFT(SN$3,2) &amp; "-1", SN$3, $N$3, , $J$3, $K$3))),"")</f>
        <v/>
      </c>
      <c r="SO13" s="87" t="str">
        <f>IFERROR(IF(OR($B13="",SO$3=""),"",_xll.ciqfunctions.udf.CIQ($B13,"IQ_CASH_OPER",$O$3, SO$3, $N$3, , $J$3, $K$3)*2/(_xll.ciqfunctions.udf.CIQ($B13,"IQ_TOTAL_CL",SO$3,$I$3, $N$3, , $J$3, $K$3)+_xll.ciqfunctions.udf.CIQ($B13,"IQ_TOTAL_CL","IQ_" &amp; LEFT(SO$3,2) &amp; "-1", SO$3, $N$3, , $J$3, $K$3))),"")</f>
        <v/>
      </c>
      <c r="SP13" s="87" t="str">
        <f>IFERROR(IF(OR($B13="",SP$3=""),"",_xll.ciqfunctions.udf.CIQ($B13,"IQ_CASH_OPER",$O$3, SP$3, $N$3, , $J$3, $K$3)*2/(_xll.ciqfunctions.udf.CIQ($B13,"IQ_TOTAL_CL",SP$3,$I$3, $N$3, , $J$3, $K$3)+_xll.ciqfunctions.udf.CIQ($B13,"IQ_TOTAL_CL","IQ_" &amp; LEFT(SP$3,2) &amp; "-1", SP$3, $N$3, , $J$3, $K$3))),"")</f>
        <v/>
      </c>
      <c r="SQ13" s="87" t="str">
        <f>IFERROR(IF(OR($B13="",SQ$3=""),"",_xll.ciqfunctions.udf.CIQ($B13,"IQ_CASH_OPER",$O$3, SQ$3, $N$3, , $J$3, $K$3)*2/(_xll.ciqfunctions.udf.CIQ($B13,"IQ_TOTAL_CL",SQ$3,$I$3, $N$3, , $J$3, $K$3)+_xll.ciqfunctions.udf.CIQ($B13,"IQ_TOTAL_CL","IQ_" &amp; LEFT(SQ$3,2) &amp; "-1", SQ$3, $N$3, , $J$3, $K$3))),"")</f>
        <v/>
      </c>
      <c r="SR13" s="88" t="str">
        <f>IFERROR(IF(OR($B13="",SR$3=""),"",_xll.ciqfunctions.udf.CIQ($B13,"IQ_CASH_OPER",$O$3, SR$3, $N$3, , $J$3, $K$3)*2/(_xll.ciqfunctions.udf.CIQ($B13,"IQ_TOTAL_CL",SR$3,$I$3, $N$3, , $J$3, $K$3)+_xll.ciqfunctions.udf.CIQ($B13,"IQ_TOTAL_CL","IQ_" &amp; LEFT(SR$3,2) &amp; "-1", SR$3, $N$3, , $J$3, $K$3))),"")</f>
        <v/>
      </c>
      <c r="SS13" s="86" t="str">
        <f>IFERROR(IF(OR($B13="",SS$3=""),"",MAX(_xll.ciqfunctions.udf.CIQ($B13,"IQ_INC_TAX",SS$3,$I$3, $N$3, , $J$3, $K$3)/ABS(_xll.ciqfunctions.udf.CIQ($B13,"IQ_EBT",SS$3,$I$3, $N$3, , $J$3, $K$3)),0)),"")</f>
        <v/>
      </c>
      <c r="ST13" s="87" t="str">
        <f>IFERROR(IF(OR($B13="",ST$3=""),"",MAX(_xll.ciqfunctions.udf.CIQ($B13,"IQ_INC_TAX",ST$3,$I$3, $N$3, , $J$3, $K$3)/ABS(_xll.ciqfunctions.udf.CIQ($B13,"IQ_EBT",ST$3,$I$3, $N$3, , $J$3, $K$3)),0)),"")</f>
        <v/>
      </c>
      <c r="SU13" s="87" t="str">
        <f>IFERROR(IF(OR($B13="",SU$3=""),"",MAX(_xll.ciqfunctions.udf.CIQ($B13,"IQ_INC_TAX",SU$3,$I$3, $N$3, , $J$3, $K$3)/ABS(_xll.ciqfunctions.udf.CIQ($B13,"IQ_EBT",SU$3,$I$3, $N$3, , $J$3, $K$3)),0)),"")</f>
        <v/>
      </c>
      <c r="SV13" s="87" t="str">
        <f>IFERROR(IF(OR($B13="",SV$3=""),"",MAX(_xll.ciqfunctions.udf.CIQ($B13,"IQ_INC_TAX",SV$3,$I$3, $N$3, , $J$3, $K$3)/ABS(_xll.ciqfunctions.udf.CIQ($B13,"IQ_EBT",SV$3,$I$3, $N$3, , $J$3, $K$3)),0)),"")</f>
        <v/>
      </c>
      <c r="SW13" s="87" t="str">
        <f>IFERROR(IF(OR($B13="",SW$3=""),"",MAX(_xll.ciqfunctions.udf.CIQ($B13,"IQ_INC_TAX",SW$3,$I$3, $N$3, , $J$3, $K$3)/ABS(_xll.ciqfunctions.udf.CIQ($B13,"IQ_EBT",SW$3,$I$3, $N$3, , $J$3, $K$3)),0)),"")</f>
        <v/>
      </c>
      <c r="SX13" s="87" t="str">
        <f>IFERROR(IF(OR($B13="",SX$3=""),"",MAX(_xll.ciqfunctions.udf.CIQ($B13,"IQ_INC_TAX",SX$3,$I$3, $N$3, , $J$3, $K$3)/ABS(_xll.ciqfunctions.udf.CIQ($B13,"IQ_EBT",SX$3,$I$3, $N$3, , $J$3, $K$3)),0)),"")</f>
        <v/>
      </c>
      <c r="SY13" s="87" t="str">
        <f>IFERROR(IF(OR($B13="",SY$3=""),"",MAX(_xll.ciqfunctions.udf.CIQ($B13,"IQ_INC_TAX",SY$3,$I$3, $N$3, , $J$3, $K$3)/ABS(_xll.ciqfunctions.udf.CIQ($B13,"IQ_EBT",SY$3,$I$3, $N$3, , $J$3, $K$3)),0)),"")</f>
        <v/>
      </c>
      <c r="SZ13" s="87" t="str">
        <f>IFERROR(IF(OR($B13="",SZ$3=""),"",MAX(_xll.ciqfunctions.udf.CIQ($B13,"IQ_INC_TAX",SZ$3,$I$3, $N$3, , $J$3, $K$3)/ABS(_xll.ciqfunctions.udf.CIQ($B13,"IQ_EBT",SZ$3,$I$3, $N$3, , $J$3, $K$3)),0)),"")</f>
        <v/>
      </c>
      <c r="TA13" s="87" t="str">
        <f>IFERROR(IF(OR($B13="",TA$3=""),"",MAX(_xll.ciqfunctions.udf.CIQ($B13,"IQ_INC_TAX",TA$3,$I$3, $N$3, , $J$3, $K$3)/ABS(_xll.ciqfunctions.udf.CIQ($B13,"IQ_EBT",TA$3,$I$3, $N$3, , $J$3, $K$3)),0)),"")</f>
        <v/>
      </c>
      <c r="TB13" s="87" t="str">
        <f>IFERROR(IF(OR($B13="",TB$3=""),"",MAX(_xll.ciqfunctions.udf.CIQ($B13,"IQ_INC_TAX",TB$3,$I$3, $N$3, , $J$3, $K$3)/ABS(_xll.ciqfunctions.udf.CIQ($B13,"IQ_EBT",TB$3,$I$3, $N$3, , $J$3, $K$3)),0)),"")</f>
        <v/>
      </c>
      <c r="TC13" s="87" t="str">
        <f>IFERROR(IF(OR($B13="",TC$3=""),"",MAX(_xll.ciqfunctions.udf.CIQ($B13,"IQ_INC_TAX",TC$3,$I$3, $N$3, , $J$3, $K$3)/ABS(_xll.ciqfunctions.udf.CIQ($B13,"IQ_EBT",TC$3,$I$3, $N$3, , $J$3, $K$3)),0)),"")</f>
        <v/>
      </c>
      <c r="TD13" s="87" t="str">
        <f>IFERROR(IF(OR($B13="",TD$3=""),"",MAX(_xll.ciqfunctions.udf.CIQ($B13,"IQ_INC_TAX",TD$3,$I$3, $N$3, , $J$3, $K$3)/ABS(_xll.ciqfunctions.udf.CIQ($B13,"IQ_EBT",TD$3,$I$3, $N$3, , $J$3, $K$3)),0)),"")</f>
        <v/>
      </c>
      <c r="TE13" s="87" t="str">
        <f>IFERROR(IF(OR($B13="",TE$3=""),"",MAX(_xll.ciqfunctions.udf.CIQ($B13,"IQ_INC_TAX",TE$3,$I$3, $N$3, , $J$3, $K$3)/ABS(_xll.ciqfunctions.udf.CIQ($B13,"IQ_EBT",TE$3,$I$3, $N$3, , $J$3, $K$3)),0)),"")</f>
        <v/>
      </c>
      <c r="TF13" s="87" t="str">
        <f>IFERROR(IF(OR($B13="",TF$3=""),"",MAX(_xll.ciqfunctions.udf.CIQ($B13,"IQ_INC_TAX",TF$3,$I$3, $N$3, , $J$3, $K$3)/ABS(_xll.ciqfunctions.udf.CIQ($B13,"IQ_EBT",TF$3,$I$3, $N$3, , $J$3, $K$3)),0)),"")</f>
        <v/>
      </c>
      <c r="TG13" s="87" t="str">
        <f>IFERROR(IF(OR($B13="",TG$3=""),"",MAX(_xll.ciqfunctions.udf.CIQ($B13,"IQ_INC_TAX",TG$3,$I$3, $N$3, , $J$3, $K$3)/ABS(_xll.ciqfunctions.udf.CIQ($B13,"IQ_EBT",TG$3,$I$3, $N$3, , $J$3, $K$3)),0)),"")</f>
        <v/>
      </c>
      <c r="TH13" s="87" t="str">
        <f>IFERROR(IF(OR($B13="",TH$3=""),"",MAX(_xll.ciqfunctions.udf.CIQ($B13,"IQ_INC_TAX",TH$3,$I$3, $N$3, , $J$3, $K$3)/ABS(_xll.ciqfunctions.udf.CIQ($B13,"IQ_EBT",TH$3,$I$3, $N$3, , $J$3, $K$3)),0)),"")</f>
        <v/>
      </c>
      <c r="TI13" s="87" t="str">
        <f>IFERROR(IF(OR($B13="",TI$3=""),"",MAX(_xll.ciqfunctions.udf.CIQ($B13,"IQ_INC_TAX",TI$3,$I$3, $N$3, , $J$3, $K$3)/ABS(_xll.ciqfunctions.udf.CIQ($B13,"IQ_EBT",TI$3,$I$3, $N$3, , $J$3, $K$3)),0)),"")</f>
        <v/>
      </c>
      <c r="TJ13" s="87" t="str">
        <f>IFERROR(IF(OR($B13="",TJ$3=""),"",MAX(_xll.ciqfunctions.udf.CIQ($B13,"IQ_INC_TAX",TJ$3,$I$3, $N$3, , $J$3, $K$3)/ABS(_xll.ciqfunctions.udf.CIQ($B13,"IQ_EBT",TJ$3,$I$3, $N$3, , $J$3, $K$3)),0)),"")</f>
        <v/>
      </c>
      <c r="TK13" s="87" t="str">
        <f>IFERROR(IF(OR($B13="",TK$3=""),"",MAX(_xll.ciqfunctions.udf.CIQ($B13,"IQ_INC_TAX",TK$3,$I$3, $N$3, , $J$3, $K$3)/ABS(_xll.ciqfunctions.udf.CIQ($B13,"IQ_EBT",TK$3,$I$3, $N$3, , $J$3, $K$3)),0)),"")</f>
        <v/>
      </c>
      <c r="TL13" s="88" t="str">
        <f>IFERROR(IF(OR($B13="",TL$3=""),"",MAX(_xll.ciqfunctions.udf.CIQ($B13,"IQ_INC_TAX",TL$3,$I$3, $N$3, , $J$3, $K$3)/ABS(_xll.ciqfunctions.udf.CIQ($B13,"IQ_EBT",TL$3,$I$3, $N$3, , $J$3, $K$3)),0)),"")</f>
        <v/>
      </c>
      <c r="TM13" s="92" t="str">
        <f>IFERROR(IF(OR($B13="",TM$3=""),"",_xll.ciqfunctions.udf.CIQ($B13,"IQ_TOTAL_REVENUE",TM$3,$I$3, $N$3, , $J$3, $K$3)*1000000/_xll.ciqfunctions.udf.CIQ($B13,"IQ_EMPLOYEES",TM$3,$I$3, $N$3, , $J$3, $K$3)),"")</f>
        <v/>
      </c>
      <c r="TN13" s="93" t="str">
        <f>IFERROR(IF(OR($B13="",TN$3=""),"",_xll.ciqfunctions.udf.CIQ($B13,"IQ_TOTAL_REVENUE",TN$3,$I$3, $N$3, , $J$3, $K$3)*1000000/_xll.ciqfunctions.udf.CIQ($B13,"IQ_EMPLOYEES",TN$3,$I$3, $N$3, , $J$3, $K$3)),"")</f>
        <v/>
      </c>
      <c r="TO13" s="93" t="str">
        <f>IFERROR(IF(OR($B13="",TO$3=""),"",_xll.ciqfunctions.udf.CIQ($B13,"IQ_TOTAL_REVENUE",TO$3,$I$3, $N$3, , $J$3, $K$3)*1000000/_xll.ciqfunctions.udf.CIQ($B13,"IQ_EMPLOYEES",TO$3,$I$3, $N$3, , $J$3, $K$3)),"")</f>
        <v/>
      </c>
      <c r="TP13" s="93" t="str">
        <f>IFERROR(IF(OR($B13="",TP$3=""),"",_xll.ciqfunctions.udf.CIQ($B13,"IQ_TOTAL_REVENUE",TP$3,$I$3, $N$3, , $J$3, $K$3)*1000000/_xll.ciqfunctions.udf.CIQ($B13,"IQ_EMPLOYEES",TP$3,$I$3, $N$3, , $J$3, $K$3)),"")</f>
        <v/>
      </c>
      <c r="TQ13" s="93" t="str">
        <f>IFERROR(IF(OR($B13="",TQ$3=""),"",_xll.ciqfunctions.udf.CIQ($B13,"IQ_TOTAL_REVENUE",TQ$3,$I$3, $N$3, , $J$3, $K$3)*1000000/_xll.ciqfunctions.udf.CIQ($B13,"IQ_EMPLOYEES",TQ$3,$I$3, $N$3, , $J$3, $K$3)),"")</f>
        <v/>
      </c>
      <c r="TR13" s="93" t="str">
        <f>IFERROR(IF(OR($B13="",TR$3=""),"",_xll.ciqfunctions.udf.CIQ($B13,"IQ_TOTAL_REVENUE",TR$3,$I$3, $N$3, , $J$3, $K$3)*1000000/_xll.ciqfunctions.udf.CIQ($B13,"IQ_EMPLOYEES",TR$3,$I$3, $N$3, , $J$3, $K$3)),"")</f>
        <v/>
      </c>
      <c r="TS13" s="93" t="str">
        <f>IFERROR(IF(OR($B13="",TS$3=""),"",_xll.ciqfunctions.udf.CIQ($B13,"IQ_TOTAL_REVENUE",TS$3,$I$3, $N$3, , $J$3, $K$3)*1000000/_xll.ciqfunctions.udf.CIQ($B13,"IQ_EMPLOYEES",TS$3,$I$3, $N$3, , $J$3, $K$3)),"")</f>
        <v/>
      </c>
      <c r="TT13" s="93" t="str">
        <f>IFERROR(IF(OR($B13="",TT$3=""),"",_xll.ciqfunctions.udf.CIQ($B13,"IQ_TOTAL_REVENUE",TT$3,$I$3, $N$3, , $J$3, $K$3)*1000000/_xll.ciqfunctions.udf.CIQ($B13,"IQ_EMPLOYEES",TT$3,$I$3, $N$3, , $J$3, $K$3)),"")</f>
        <v/>
      </c>
      <c r="TU13" s="93" t="str">
        <f>IFERROR(IF(OR($B13="",TU$3=""),"",_xll.ciqfunctions.udf.CIQ($B13,"IQ_TOTAL_REVENUE",TU$3,$I$3, $N$3, , $J$3, $K$3)*1000000/_xll.ciqfunctions.udf.CIQ($B13,"IQ_EMPLOYEES",TU$3,$I$3, $N$3, , $J$3, $K$3)),"")</f>
        <v/>
      </c>
      <c r="TV13" s="93" t="str">
        <f>IFERROR(IF(OR($B13="",TV$3=""),"",_xll.ciqfunctions.udf.CIQ($B13,"IQ_TOTAL_REVENUE",TV$3,$I$3, $N$3, , $J$3, $K$3)*1000000/_xll.ciqfunctions.udf.CIQ($B13,"IQ_EMPLOYEES",TV$3,$I$3, $N$3, , $J$3, $K$3)),"")</f>
        <v/>
      </c>
      <c r="TW13" s="93" t="str">
        <f>IFERROR(IF(OR($B13="",TW$3=""),"",_xll.ciqfunctions.udf.CIQ($B13,"IQ_TOTAL_REVENUE",TW$3,$I$3, $N$3, , $J$3, $K$3)*1000000/_xll.ciqfunctions.udf.CIQ($B13,"IQ_EMPLOYEES",TW$3,$I$3, $N$3, , $J$3, $K$3)),"")</f>
        <v/>
      </c>
      <c r="TX13" s="93" t="str">
        <f>IFERROR(IF(OR($B13="",TX$3=""),"",_xll.ciqfunctions.udf.CIQ($B13,"IQ_TOTAL_REVENUE",TX$3,$I$3, $N$3, , $J$3, $K$3)*1000000/_xll.ciqfunctions.udf.CIQ($B13,"IQ_EMPLOYEES",TX$3,$I$3, $N$3, , $J$3, $K$3)),"")</f>
        <v/>
      </c>
      <c r="TY13" s="93" t="str">
        <f>IFERROR(IF(OR($B13="",TY$3=""),"",_xll.ciqfunctions.udf.CIQ($B13,"IQ_TOTAL_REVENUE",TY$3,$I$3, $N$3, , $J$3, $K$3)*1000000/_xll.ciqfunctions.udf.CIQ($B13,"IQ_EMPLOYEES",TY$3,$I$3, $N$3, , $J$3, $K$3)),"")</f>
        <v/>
      </c>
      <c r="TZ13" s="93" t="str">
        <f>IFERROR(IF(OR($B13="",TZ$3=""),"",_xll.ciqfunctions.udf.CIQ($B13,"IQ_TOTAL_REVENUE",TZ$3,$I$3, $N$3, , $J$3, $K$3)*1000000/_xll.ciqfunctions.udf.CIQ($B13,"IQ_EMPLOYEES",TZ$3,$I$3, $N$3, , $J$3, $K$3)),"")</f>
        <v/>
      </c>
      <c r="UA13" s="93" t="str">
        <f>IFERROR(IF(OR($B13="",UA$3=""),"",_xll.ciqfunctions.udf.CIQ($B13,"IQ_TOTAL_REVENUE",UA$3,$I$3, $N$3, , $J$3, $K$3)*1000000/_xll.ciqfunctions.udf.CIQ($B13,"IQ_EMPLOYEES",UA$3,$I$3, $N$3, , $J$3, $K$3)),"")</f>
        <v/>
      </c>
      <c r="UB13" s="93" t="str">
        <f>IFERROR(IF(OR($B13="",UB$3=""),"",_xll.ciqfunctions.udf.CIQ($B13,"IQ_TOTAL_REVENUE",UB$3,$I$3, $N$3, , $J$3, $K$3)*1000000/_xll.ciqfunctions.udf.CIQ($B13,"IQ_EMPLOYEES",UB$3,$I$3, $N$3, , $J$3, $K$3)),"")</f>
        <v/>
      </c>
      <c r="UC13" s="93" t="str">
        <f>IFERROR(IF(OR($B13="",UC$3=""),"",_xll.ciqfunctions.udf.CIQ($B13,"IQ_TOTAL_REVENUE",UC$3,$I$3, $N$3, , $J$3, $K$3)*1000000/_xll.ciqfunctions.udf.CIQ($B13,"IQ_EMPLOYEES",UC$3,$I$3, $N$3, , $J$3, $K$3)),"")</f>
        <v/>
      </c>
      <c r="UD13" s="93" t="str">
        <f>IFERROR(IF(OR($B13="",UD$3=""),"",_xll.ciqfunctions.udf.CIQ($B13,"IQ_TOTAL_REVENUE",UD$3,$I$3, $N$3, , $J$3, $K$3)*1000000/_xll.ciqfunctions.udf.CIQ($B13,"IQ_EMPLOYEES",UD$3,$I$3, $N$3, , $J$3, $K$3)),"")</f>
        <v/>
      </c>
      <c r="UE13" s="93" t="str">
        <f>IFERROR(IF(OR($B13="",UE$3=""),"",_xll.ciqfunctions.udf.CIQ($B13,"IQ_TOTAL_REVENUE",UE$3,$I$3, $N$3, , $J$3, $K$3)*1000000/_xll.ciqfunctions.udf.CIQ($B13,"IQ_EMPLOYEES",UE$3,$I$3, $N$3, , $J$3, $K$3)),"")</f>
        <v/>
      </c>
      <c r="UF13" s="94" t="str">
        <f>IFERROR(IF(OR($B13="",UF$3=""),"",_xll.ciqfunctions.udf.CIQ($B13,"IQ_TOTAL_REVENUE",UF$3,$I$3, $N$3, , $J$3, $K$3)*1000000/_xll.ciqfunctions.udf.CIQ($B13,"IQ_EMPLOYEES",UF$3,$I$3, $N$3, , $J$3, $K$3)),"")</f>
        <v/>
      </c>
      <c r="UG13" s="92" t="str">
        <f>IFERROR(IF(OR($B13="",UG$3=""),"",(_xll.ciqfunctions.udf.CIQ($B13,"IQ_TOTAL_REVENUE",UG$3,$I$3, $N$3, , $J$3, $K$3)-_xll.ciqfunctions.udf.CIQ($B13,"IQ_COGS",UG$3,$I$3, $N$3, , $J$3, $K$3)-_xll.ciqfunctions.udf.CIQ($B13,"IQ_EBIT",UG$3,$I$3, $N$3, , $J$3, $K$3))*1000000/_xll.ciqfunctions.udf.CIQ($B13,"IQ_EMPLOYEES",UG$3,$I$3, $N$3, , $J$3, $K$3)),"")</f>
        <v/>
      </c>
      <c r="UH13" s="93" t="str">
        <f>IFERROR(IF(OR($B13="",UH$3=""),"",(_xll.ciqfunctions.udf.CIQ($B13,"IQ_TOTAL_REVENUE",UH$3,$I$3, $N$3, , $J$3, $K$3)-_xll.ciqfunctions.udf.CIQ($B13,"IQ_COGS",UH$3,$I$3, $N$3, , $J$3, $K$3)-_xll.ciqfunctions.udf.CIQ($B13,"IQ_EBIT",UH$3,$I$3, $N$3, , $J$3, $K$3))*1000000/_xll.ciqfunctions.udf.CIQ($B13,"IQ_EMPLOYEES",UH$3,$I$3, $N$3, , $J$3, $K$3)),"")</f>
        <v/>
      </c>
      <c r="UI13" s="93" t="str">
        <f>IFERROR(IF(OR($B13="",UI$3=""),"",(_xll.ciqfunctions.udf.CIQ($B13,"IQ_TOTAL_REVENUE",UI$3,$I$3, $N$3, , $J$3, $K$3)-_xll.ciqfunctions.udf.CIQ($B13,"IQ_COGS",UI$3,$I$3, $N$3, , $J$3, $K$3)-_xll.ciqfunctions.udf.CIQ($B13,"IQ_EBIT",UI$3,$I$3, $N$3, , $J$3, $K$3))*1000000/_xll.ciqfunctions.udf.CIQ($B13,"IQ_EMPLOYEES",UI$3,$I$3, $N$3, , $J$3, $K$3)),"")</f>
        <v/>
      </c>
      <c r="UJ13" s="93" t="str">
        <f>IFERROR(IF(OR($B13="",UJ$3=""),"",(_xll.ciqfunctions.udf.CIQ($B13,"IQ_TOTAL_REVENUE",UJ$3,$I$3, $N$3, , $J$3, $K$3)-_xll.ciqfunctions.udf.CIQ($B13,"IQ_COGS",UJ$3,$I$3, $N$3, , $J$3, $K$3)-_xll.ciqfunctions.udf.CIQ($B13,"IQ_EBIT",UJ$3,$I$3, $N$3, , $J$3, $K$3))*1000000/_xll.ciqfunctions.udf.CIQ($B13,"IQ_EMPLOYEES",UJ$3,$I$3, $N$3, , $J$3, $K$3)),"")</f>
        <v/>
      </c>
      <c r="UK13" s="93" t="str">
        <f>IFERROR(IF(OR($B13="",UK$3=""),"",(_xll.ciqfunctions.udf.CIQ($B13,"IQ_TOTAL_REVENUE",UK$3,$I$3, $N$3, , $J$3, $K$3)-_xll.ciqfunctions.udf.CIQ($B13,"IQ_COGS",UK$3,$I$3, $N$3, , $J$3, $K$3)-_xll.ciqfunctions.udf.CIQ($B13,"IQ_EBIT",UK$3,$I$3, $N$3, , $J$3, $K$3))*1000000/_xll.ciqfunctions.udf.CIQ($B13,"IQ_EMPLOYEES",UK$3,$I$3, $N$3, , $J$3, $K$3)),"")</f>
        <v/>
      </c>
      <c r="UL13" s="93" t="str">
        <f>IFERROR(IF(OR($B13="",UL$3=""),"",(_xll.ciqfunctions.udf.CIQ($B13,"IQ_TOTAL_REVENUE",UL$3,$I$3, $N$3, , $J$3, $K$3)-_xll.ciqfunctions.udf.CIQ($B13,"IQ_COGS",UL$3,$I$3, $N$3, , $J$3, $K$3)-_xll.ciqfunctions.udf.CIQ($B13,"IQ_EBIT",UL$3,$I$3, $N$3, , $J$3, $K$3))*1000000/_xll.ciqfunctions.udf.CIQ($B13,"IQ_EMPLOYEES",UL$3,$I$3, $N$3, , $J$3, $K$3)),"")</f>
        <v/>
      </c>
      <c r="UM13" s="93" t="str">
        <f>IFERROR(IF(OR($B13="",UM$3=""),"",(_xll.ciqfunctions.udf.CIQ($B13,"IQ_TOTAL_REVENUE",UM$3,$I$3, $N$3, , $J$3, $K$3)-_xll.ciqfunctions.udf.CIQ($B13,"IQ_COGS",UM$3,$I$3, $N$3, , $J$3, $K$3)-_xll.ciqfunctions.udf.CIQ($B13,"IQ_EBIT",UM$3,$I$3, $N$3, , $J$3, $K$3))*1000000/_xll.ciqfunctions.udf.CIQ($B13,"IQ_EMPLOYEES",UM$3,$I$3, $N$3, , $J$3, $K$3)),"")</f>
        <v/>
      </c>
      <c r="UN13" s="93" t="str">
        <f>IFERROR(IF(OR($B13="",UN$3=""),"",(_xll.ciqfunctions.udf.CIQ($B13,"IQ_TOTAL_REVENUE",UN$3,$I$3, $N$3, , $J$3, $K$3)-_xll.ciqfunctions.udf.CIQ($B13,"IQ_COGS",UN$3,$I$3, $N$3, , $J$3, $K$3)-_xll.ciqfunctions.udf.CIQ($B13,"IQ_EBIT",UN$3,$I$3, $N$3, , $J$3, $K$3))*1000000/_xll.ciqfunctions.udf.CIQ($B13,"IQ_EMPLOYEES",UN$3,$I$3, $N$3, , $J$3, $K$3)),"")</f>
        <v/>
      </c>
      <c r="UO13" s="93" t="str">
        <f>IFERROR(IF(OR($B13="",UO$3=""),"",(_xll.ciqfunctions.udf.CIQ($B13,"IQ_TOTAL_REVENUE",UO$3,$I$3, $N$3, , $J$3, $K$3)-_xll.ciqfunctions.udf.CIQ($B13,"IQ_COGS",UO$3,$I$3, $N$3, , $J$3, $K$3)-_xll.ciqfunctions.udf.CIQ($B13,"IQ_EBIT",UO$3,$I$3, $N$3, , $J$3, $K$3))*1000000/_xll.ciqfunctions.udf.CIQ($B13,"IQ_EMPLOYEES",UO$3,$I$3, $N$3, , $J$3, $K$3)),"")</f>
        <v/>
      </c>
      <c r="UP13" s="93" t="str">
        <f>IFERROR(IF(OR($B13="",UP$3=""),"",(_xll.ciqfunctions.udf.CIQ($B13,"IQ_TOTAL_REVENUE",UP$3,$I$3, $N$3, , $J$3, $K$3)-_xll.ciqfunctions.udf.CIQ($B13,"IQ_COGS",UP$3,$I$3, $N$3, , $J$3, $K$3)-_xll.ciqfunctions.udf.CIQ($B13,"IQ_EBIT",UP$3,$I$3, $N$3, , $J$3, $K$3))*1000000/_xll.ciqfunctions.udf.CIQ($B13,"IQ_EMPLOYEES",UP$3,$I$3, $N$3, , $J$3, $K$3)),"")</f>
        <v/>
      </c>
      <c r="UQ13" s="93" t="str">
        <f>IFERROR(IF(OR($B13="",UQ$3=""),"",(_xll.ciqfunctions.udf.CIQ($B13,"IQ_TOTAL_REVENUE",UQ$3,$I$3, $N$3, , $J$3, $K$3)-_xll.ciqfunctions.udf.CIQ($B13,"IQ_COGS",UQ$3,$I$3, $N$3, , $J$3, $K$3)-_xll.ciqfunctions.udf.CIQ($B13,"IQ_EBIT",UQ$3,$I$3, $N$3, , $J$3, $K$3))*1000000/_xll.ciqfunctions.udf.CIQ($B13,"IQ_EMPLOYEES",UQ$3,$I$3, $N$3, , $J$3, $K$3)),"")</f>
        <v/>
      </c>
      <c r="UR13" s="93" t="str">
        <f>IFERROR(IF(OR($B13="",UR$3=""),"",(_xll.ciqfunctions.udf.CIQ($B13,"IQ_TOTAL_REVENUE",UR$3,$I$3, $N$3, , $J$3, $K$3)-_xll.ciqfunctions.udf.CIQ($B13,"IQ_COGS",UR$3,$I$3, $N$3, , $J$3, $K$3)-_xll.ciqfunctions.udf.CIQ($B13,"IQ_EBIT",UR$3,$I$3, $N$3, , $J$3, $K$3))*1000000/_xll.ciqfunctions.udf.CIQ($B13,"IQ_EMPLOYEES",UR$3,$I$3, $N$3, , $J$3, $K$3)),"")</f>
        <v/>
      </c>
      <c r="US13" s="93" t="str">
        <f>IFERROR(IF(OR($B13="",US$3=""),"",(_xll.ciqfunctions.udf.CIQ($B13,"IQ_TOTAL_REVENUE",US$3,$I$3, $N$3, , $J$3, $K$3)-_xll.ciqfunctions.udf.CIQ($B13,"IQ_COGS",US$3,$I$3, $N$3, , $J$3, $K$3)-_xll.ciqfunctions.udf.CIQ($B13,"IQ_EBIT",US$3,$I$3, $N$3, , $J$3, $K$3))*1000000/_xll.ciqfunctions.udf.CIQ($B13,"IQ_EMPLOYEES",US$3,$I$3, $N$3, , $J$3, $K$3)),"")</f>
        <v/>
      </c>
      <c r="UT13" s="93" t="str">
        <f>IFERROR(IF(OR($B13="",UT$3=""),"",(_xll.ciqfunctions.udf.CIQ($B13,"IQ_TOTAL_REVENUE",UT$3,$I$3, $N$3, , $J$3, $K$3)-_xll.ciqfunctions.udf.CIQ($B13,"IQ_COGS",UT$3,$I$3, $N$3, , $J$3, $K$3)-_xll.ciqfunctions.udf.CIQ($B13,"IQ_EBIT",UT$3,$I$3, $N$3, , $J$3, $K$3))*1000000/_xll.ciqfunctions.udf.CIQ($B13,"IQ_EMPLOYEES",UT$3,$I$3, $N$3, , $J$3, $K$3)),"")</f>
        <v/>
      </c>
      <c r="UU13" s="93" t="str">
        <f>IFERROR(IF(OR($B13="",UU$3=""),"",(_xll.ciqfunctions.udf.CIQ($B13,"IQ_TOTAL_REVENUE",UU$3,$I$3, $N$3, , $J$3, $K$3)-_xll.ciqfunctions.udf.CIQ($B13,"IQ_COGS",UU$3,$I$3, $N$3, , $J$3, $K$3)-_xll.ciqfunctions.udf.CIQ($B13,"IQ_EBIT",UU$3,$I$3, $N$3, , $J$3, $K$3))*1000000/_xll.ciqfunctions.udf.CIQ($B13,"IQ_EMPLOYEES",UU$3,$I$3, $N$3, , $J$3, $K$3)),"")</f>
        <v/>
      </c>
      <c r="UV13" s="93" t="str">
        <f>IFERROR(IF(OR($B13="",UV$3=""),"",(_xll.ciqfunctions.udf.CIQ($B13,"IQ_TOTAL_REVENUE",UV$3,$I$3, $N$3, , $J$3, $K$3)-_xll.ciqfunctions.udf.CIQ($B13,"IQ_COGS",UV$3,$I$3, $N$3, , $J$3, $K$3)-_xll.ciqfunctions.udf.CIQ($B13,"IQ_EBIT",UV$3,$I$3, $N$3, , $J$3, $K$3))*1000000/_xll.ciqfunctions.udf.CIQ($B13,"IQ_EMPLOYEES",UV$3,$I$3, $N$3, , $J$3, $K$3)),"")</f>
        <v/>
      </c>
      <c r="UW13" s="93" t="str">
        <f>IFERROR(IF(OR($B13="",UW$3=""),"",(_xll.ciqfunctions.udf.CIQ($B13,"IQ_TOTAL_REVENUE",UW$3,$I$3, $N$3, , $J$3, $K$3)-_xll.ciqfunctions.udf.CIQ($B13,"IQ_COGS",UW$3,$I$3, $N$3, , $J$3, $K$3)-_xll.ciqfunctions.udf.CIQ($B13,"IQ_EBIT",UW$3,$I$3, $N$3, , $J$3, $K$3))*1000000/_xll.ciqfunctions.udf.CIQ($B13,"IQ_EMPLOYEES",UW$3,$I$3, $N$3, , $J$3, $K$3)),"")</f>
        <v/>
      </c>
      <c r="UX13" s="93" t="str">
        <f>IFERROR(IF(OR($B13="",UX$3=""),"",(_xll.ciqfunctions.udf.CIQ($B13,"IQ_TOTAL_REVENUE",UX$3,$I$3, $N$3, , $J$3, $K$3)-_xll.ciqfunctions.udf.CIQ($B13,"IQ_COGS",UX$3,$I$3, $N$3, , $J$3, $K$3)-_xll.ciqfunctions.udf.CIQ($B13,"IQ_EBIT",UX$3,$I$3, $N$3, , $J$3, $K$3))*1000000/_xll.ciqfunctions.udf.CIQ($B13,"IQ_EMPLOYEES",UX$3,$I$3, $N$3, , $J$3, $K$3)),"")</f>
        <v/>
      </c>
      <c r="UY13" s="93" t="str">
        <f>IFERROR(IF(OR($B13="",UY$3=""),"",(_xll.ciqfunctions.udf.CIQ($B13,"IQ_TOTAL_REVENUE",UY$3,$I$3, $N$3, , $J$3, $K$3)-_xll.ciqfunctions.udf.CIQ($B13,"IQ_COGS",UY$3,$I$3, $N$3, , $J$3, $K$3)-_xll.ciqfunctions.udf.CIQ($B13,"IQ_EBIT",UY$3,$I$3, $N$3, , $J$3, $K$3))*1000000/_xll.ciqfunctions.udf.CIQ($B13,"IQ_EMPLOYEES",UY$3,$I$3, $N$3, , $J$3, $K$3)),"")</f>
        <v/>
      </c>
      <c r="UZ13" s="94" t="str">
        <f>IFERROR(IF(OR($B13="",UZ$3=""),"",(_xll.ciqfunctions.udf.CIQ($B13,"IQ_TOTAL_REVENUE",UZ$3,$I$3, $N$3, , $J$3, $K$3)-_xll.ciqfunctions.udf.CIQ($B13,"IQ_COGS",UZ$3,$I$3, $N$3, , $J$3, $K$3)-_xll.ciqfunctions.udf.CIQ($B13,"IQ_EBIT",UZ$3,$I$3, $N$3, , $J$3, $K$3))*1000000/_xll.ciqfunctions.udf.CIQ($B13,"IQ_EMPLOYEES",UZ$3,$I$3, $N$3, , $J$3, $K$3)),"")</f>
        <v/>
      </c>
      <c r="VA13" s="92" t="str">
        <f>IFERROR(IF(OR($B13="",VA$3=""),"",_xll.ciqfunctions.udf.CIQ($B13,"IQ_SGA_SUPPL",VA$3,$I$3, $N$3, , $J$3, $K$3)*1000000/_xll.ciqfunctions.udf.CIQ($B13,"IQ_EMPLOYEES",VA$3,$I$3, $N$3, , $J$3, $K$3)),"")</f>
        <v/>
      </c>
      <c r="VB13" s="93" t="str">
        <f>IFERROR(IF(OR($B13="",VB$3=""),"",_xll.ciqfunctions.udf.CIQ($B13,"IQ_SGA_SUPPL",VB$3,$I$3, $N$3, , $J$3, $K$3)*1000000/_xll.ciqfunctions.udf.CIQ($B13,"IQ_EMPLOYEES",VB$3,$I$3, $N$3, , $J$3, $K$3)),"")</f>
        <v/>
      </c>
      <c r="VC13" s="93" t="str">
        <f>IFERROR(IF(OR($B13="",VC$3=""),"",_xll.ciqfunctions.udf.CIQ($B13,"IQ_SGA_SUPPL",VC$3,$I$3, $N$3, , $J$3, $K$3)*1000000/_xll.ciqfunctions.udf.CIQ($B13,"IQ_EMPLOYEES",VC$3,$I$3, $N$3, , $J$3, $K$3)),"")</f>
        <v/>
      </c>
      <c r="VD13" s="93" t="str">
        <f>IFERROR(IF(OR($B13="",VD$3=""),"",_xll.ciqfunctions.udf.CIQ($B13,"IQ_SGA_SUPPL",VD$3,$I$3, $N$3, , $J$3, $K$3)*1000000/_xll.ciqfunctions.udf.CIQ($B13,"IQ_EMPLOYEES",VD$3,$I$3, $N$3, , $J$3, $K$3)),"")</f>
        <v/>
      </c>
      <c r="VE13" s="93" t="str">
        <f>IFERROR(IF(OR($B13="",VE$3=""),"",_xll.ciqfunctions.udf.CIQ($B13,"IQ_SGA_SUPPL",VE$3,$I$3, $N$3, , $J$3, $K$3)*1000000/_xll.ciqfunctions.udf.CIQ($B13,"IQ_EMPLOYEES",VE$3,$I$3, $N$3, , $J$3, $K$3)),"")</f>
        <v/>
      </c>
      <c r="VF13" s="93" t="str">
        <f>IFERROR(IF(OR($B13="",VF$3=""),"",_xll.ciqfunctions.udf.CIQ($B13,"IQ_SGA_SUPPL",VF$3,$I$3, $N$3, , $J$3, $K$3)*1000000/_xll.ciqfunctions.udf.CIQ($B13,"IQ_EMPLOYEES",VF$3,$I$3, $N$3, , $J$3, $K$3)),"")</f>
        <v/>
      </c>
      <c r="VG13" s="93" t="str">
        <f>IFERROR(IF(OR($B13="",VG$3=""),"",_xll.ciqfunctions.udf.CIQ($B13,"IQ_SGA_SUPPL",VG$3,$I$3, $N$3, , $J$3, $K$3)*1000000/_xll.ciqfunctions.udf.CIQ($B13,"IQ_EMPLOYEES",VG$3,$I$3, $N$3, , $J$3, $K$3)),"")</f>
        <v/>
      </c>
      <c r="VH13" s="93" t="str">
        <f>IFERROR(IF(OR($B13="",VH$3=""),"",_xll.ciqfunctions.udf.CIQ($B13,"IQ_SGA_SUPPL",VH$3,$I$3, $N$3, , $J$3, $K$3)*1000000/_xll.ciqfunctions.udf.CIQ($B13,"IQ_EMPLOYEES",VH$3,$I$3, $N$3, , $J$3, $K$3)),"")</f>
        <v/>
      </c>
      <c r="VI13" s="93" t="str">
        <f>IFERROR(IF(OR($B13="",VI$3=""),"",_xll.ciqfunctions.udf.CIQ($B13,"IQ_SGA_SUPPL",VI$3,$I$3, $N$3, , $J$3, $K$3)*1000000/_xll.ciqfunctions.udf.CIQ($B13,"IQ_EMPLOYEES",VI$3,$I$3, $N$3, , $J$3, $K$3)),"")</f>
        <v/>
      </c>
      <c r="VJ13" s="93" t="str">
        <f>IFERROR(IF(OR($B13="",VJ$3=""),"",_xll.ciqfunctions.udf.CIQ($B13,"IQ_SGA_SUPPL",VJ$3,$I$3, $N$3, , $J$3, $K$3)*1000000/_xll.ciqfunctions.udf.CIQ($B13,"IQ_EMPLOYEES",VJ$3,$I$3, $N$3, , $J$3, $K$3)),"")</f>
        <v/>
      </c>
      <c r="VK13" s="93" t="str">
        <f>IFERROR(IF(OR($B13="",VK$3=""),"",_xll.ciqfunctions.udf.CIQ($B13,"IQ_SGA_SUPPL",VK$3,$I$3, $N$3, , $J$3, $K$3)*1000000/_xll.ciqfunctions.udf.CIQ($B13,"IQ_EMPLOYEES",VK$3,$I$3, $N$3, , $J$3, $K$3)),"")</f>
        <v/>
      </c>
      <c r="VL13" s="93" t="str">
        <f>IFERROR(IF(OR($B13="",VL$3=""),"",_xll.ciqfunctions.udf.CIQ($B13,"IQ_SGA_SUPPL",VL$3,$I$3, $N$3, , $J$3, $K$3)*1000000/_xll.ciqfunctions.udf.CIQ($B13,"IQ_EMPLOYEES",VL$3,$I$3, $N$3, , $J$3, $K$3)),"")</f>
        <v/>
      </c>
      <c r="VM13" s="93" t="str">
        <f>IFERROR(IF(OR($B13="",VM$3=""),"",_xll.ciqfunctions.udf.CIQ($B13,"IQ_SGA_SUPPL",VM$3,$I$3, $N$3, , $J$3, $K$3)*1000000/_xll.ciqfunctions.udf.CIQ($B13,"IQ_EMPLOYEES",VM$3,$I$3, $N$3, , $J$3, $K$3)),"")</f>
        <v/>
      </c>
      <c r="VN13" s="93" t="str">
        <f>IFERROR(IF(OR($B13="",VN$3=""),"",_xll.ciqfunctions.udf.CIQ($B13,"IQ_SGA_SUPPL",VN$3,$I$3, $N$3, , $J$3, $K$3)*1000000/_xll.ciqfunctions.udf.CIQ($B13,"IQ_EMPLOYEES",VN$3,$I$3, $N$3, , $J$3, $K$3)),"")</f>
        <v/>
      </c>
      <c r="VO13" s="93" t="str">
        <f>IFERROR(IF(OR($B13="",VO$3=""),"",_xll.ciqfunctions.udf.CIQ($B13,"IQ_SGA_SUPPL",VO$3,$I$3, $N$3, , $J$3, $K$3)*1000000/_xll.ciqfunctions.udf.CIQ($B13,"IQ_EMPLOYEES",VO$3,$I$3, $N$3, , $J$3, $K$3)),"")</f>
        <v/>
      </c>
      <c r="VP13" s="93" t="str">
        <f>IFERROR(IF(OR($B13="",VP$3=""),"",_xll.ciqfunctions.udf.CIQ($B13,"IQ_SGA_SUPPL",VP$3,$I$3, $N$3, , $J$3, $K$3)*1000000/_xll.ciqfunctions.udf.CIQ($B13,"IQ_EMPLOYEES",VP$3,$I$3, $N$3, , $J$3, $K$3)),"")</f>
        <v/>
      </c>
      <c r="VQ13" s="93" t="str">
        <f>IFERROR(IF(OR($B13="",VQ$3=""),"",_xll.ciqfunctions.udf.CIQ($B13,"IQ_SGA_SUPPL",VQ$3,$I$3, $N$3, , $J$3, $K$3)*1000000/_xll.ciqfunctions.udf.CIQ($B13,"IQ_EMPLOYEES",VQ$3,$I$3, $N$3, , $J$3, $K$3)),"")</f>
        <v/>
      </c>
      <c r="VR13" s="93" t="str">
        <f>IFERROR(IF(OR($B13="",VR$3=""),"",_xll.ciqfunctions.udf.CIQ($B13,"IQ_SGA_SUPPL",VR$3,$I$3, $N$3, , $J$3, $K$3)*1000000/_xll.ciqfunctions.udf.CIQ($B13,"IQ_EMPLOYEES",VR$3,$I$3, $N$3, , $J$3, $K$3)),"")</f>
        <v/>
      </c>
      <c r="VS13" s="93" t="str">
        <f>IFERROR(IF(OR($B13="",VS$3=""),"",_xll.ciqfunctions.udf.CIQ($B13,"IQ_SGA_SUPPL",VS$3,$I$3, $N$3, , $J$3, $K$3)*1000000/_xll.ciqfunctions.udf.CIQ($B13,"IQ_EMPLOYEES",VS$3,$I$3, $N$3, , $J$3, $K$3)),"")</f>
        <v/>
      </c>
      <c r="VT13" s="94" t="str">
        <f>IFERROR(IF(OR($B13="",VT$3=""),"",_xll.ciqfunctions.udf.CIQ($B13,"IQ_SGA_SUPPL",VT$3,$I$3, $N$3, , $J$3, $K$3)*1000000/_xll.ciqfunctions.udf.CIQ($B13,"IQ_EMPLOYEES",VT$3,$I$3, $N$3, , $J$3, $K$3)),"")</f>
        <v/>
      </c>
      <c r="VU13" s="92" t="str">
        <f>IFERROR(IF(OR($B13="",VU$3=""),"",_xll.ciqfunctions.udf.CIQ($B13,"IQ_RD_EXP",VU$3,$I$3, $N$3, , $J$3, $K$3)*1000000/_xll.ciqfunctions.udf.CIQ($B13,"IQ_EMPLOYEES",VU$3,$I$3, $N$3, , $J$3, $K$3)),"")</f>
        <v/>
      </c>
      <c r="VV13" s="93" t="str">
        <f>IFERROR(IF(OR($B13="",VV$3=""),"",_xll.ciqfunctions.udf.CIQ($B13,"IQ_RD_EXP",VV$3,$I$3, $N$3, , $J$3, $K$3)*1000000/_xll.ciqfunctions.udf.CIQ($B13,"IQ_EMPLOYEES",VV$3,$I$3, $N$3, , $J$3, $K$3)),"")</f>
        <v/>
      </c>
      <c r="VW13" s="93" t="str">
        <f>IFERROR(IF(OR($B13="",VW$3=""),"",_xll.ciqfunctions.udf.CIQ($B13,"IQ_RD_EXP",VW$3,$I$3, $N$3, , $J$3, $K$3)*1000000/_xll.ciqfunctions.udf.CIQ($B13,"IQ_EMPLOYEES",VW$3,$I$3, $N$3, , $J$3, $K$3)),"")</f>
        <v/>
      </c>
      <c r="VX13" s="93" t="str">
        <f>IFERROR(IF(OR($B13="",VX$3=""),"",_xll.ciqfunctions.udf.CIQ($B13,"IQ_RD_EXP",VX$3,$I$3, $N$3, , $J$3, $K$3)*1000000/_xll.ciqfunctions.udf.CIQ($B13,"IQ_EMPLOYEES",VX$3,$I$3, $N$3, , $J$3, $K$3)),"")</f>
        <v/>
      </c>
      <c r="VY13" s="93" t="str">
        <f>IFERROR(IF(OR($B13="",VY$3=""),"",_xll.ciqfunctions.udf.CIQ($B13,"IQ_RD_EXP",VY$3,$I$3, $N$3, , $J$3, $K$3)*1000000/_xll.ciqfunctions.udf.CIQ($B13,"IQ_EMPLOYEES",VY$3,$I$3, $N$3, , $J$3, $K$3)),"")</f>
        <v/>
      </c>
      <c r="VZ13" s="93" t="str">
        <f>IFERROR(IF(OR($B13="",VZ$3=""),"",_xll.ciqfunctions.udf.CIQ($B13,"IQ_RD_EXP",VZ$3,$I$3, $N$3, , $J$3, $K$3)*1000000/_xll.ciqfunctions.udf.CIQ($B13,"IQ_EMPLOYEES",VZ$3,$I$3, $N$3, , $J$3, $K$3)),"")</f>
        <v/>
      </c>
      <c r="WA13" s="93" t="str">
        <f>IFERROR(IF(OR($B13="",WA$3=""),"",_xll.ciqfunctions.udf.CIQ($B13,"IQ_RD_EXP",WA$3,$I$3, $N$3, , $J$3, $K$3)*1000000/_xll.ciqfunctions.udf.CIQ($B13,"IQ_EMPLOYEES",WA$3,$I$3, $N$3, , $J$3, $K$3)),"")</f>
        <v/>
      </c>
      <c r="WB13" s="93" t="str">
        <f>IFERROR(IF(OR($B13="",WB$3=""),"",_xll.ciqfunctions.udf.CIQ($B13,"IQ_RD_EXP",WB$3,$I$3, $N$3, , $J$3, $K$3)*1000000/_xll.ciqfunctions.udf.CIQ($B13,"IQ_EMPLOYEES",WB$3,$I$3, $N$3, , $J$3, $K$3)),"")</f>
        <v/>
      </c>
      <c r="WC13" s="93" t="str">
        <f>IFERROR(IF(OR($B13="",WC$3=""),"",_xll.ciqfunctions.udf.CIQ($B13,"IQ_RD_EXP",WC$3,$I$3, $N$3, , $J$3, $K$3)*1000000/_xll.ciqfunctions.udf.CIQ($B13,"IQ_EMPLOYEES",WC$3,$I$3, $N$3, , $J$3, $K$3)),"")</f>
        <v/>
      </c>
      <c r="WD13" s="93" t="str">
        <f>IFERROR(IF(OR($B13="",WD$3=""),"",_xll.ciqfunctions.udf.CIQ($B13,"IQ_RD_EXP",WD$3,$I$3, $N$3, , $J$3, $K$3)*1000000/_xll.ciqfunctions.udf.CIQ($B13,"IQ_EMPLOYEES",WD$3,$I$3, $N$3, , $J$3, $K$3)),"")</f>
        <v/>
      </c>
      <c r="WE13" s="93" t="str">
        <f>IFERROR(IF(OR($B13="",WE$3=""),"",_xll.ciqfunctions.udf.CIQ($B13,"IQ_RD_EXP",WE$3,$I$3, $N$3, , $J$3, $K$3)*1000000/_xll.ciqfunctions.udf.CIQ($B13,"IQ_EMPLOYEES",WE$3,$I$3, $N$3, , $J$3, $K$3)),"")</f>
        <v/>
      </c>
      <c r="WF13" s="93" t="str">
        <f>IFERROR(IF(OR($B13="",WF$3=""),"",_xll.ciqfunctions.udf.CIQ($B13,"IQ_RD_EXP",WF$3,$I$3, $N$3, , $J$3, $K$3)*1000000/_xll.ciqfunctions.udf.CIQ($B13,"IQ_EMPLOYEES",WF$3,$I$3, $N$3, , $J$3, $K$3)),"")</f>
        <v/>
      </c>
      <c r="WG13" s="93" t="str">
        <f>IFERROR(IF(OR($B13="",WG$3=""),"",_xll.ciqfunctions.udf.CIQ($B13,"IQ_RD_EXP",WG$3,$I$3, $N$3, , $J$3, $K$3)*1000000/_xll.ciqfunctions.udf.CIQ($B13,"IQ_EMPLOYEES",WG$3,$I$3, $N$3, , $J$3, $K$3)),"")</f>
        <v/>
      </c>
      <c r="WH13" s="93" t="str">
        <f>IFERROR(IF(OR($B13="",WH$3=""),"",_xll.ciqfunctions.udf.CIQ($B13,"IQ_RD_EXP",WH$3,$I$3, $N$3, , $J$3, $K$3)*1000000/_xll.ciqfunctions.udf.CIQ($B13,"IQ_EMPLOYEES",WH$3,$I$3, $N$3, , $J$3, $K$3)),"")</f>
        <v/>
      </c>
      <c r="WI13" s="93" t="str">
        <f>IFERROR(IF(OR($B13="",WI$3=""),"",_xll.ciqfunctions.udf.CIQ($B13,"IQ_RD_EXP",WI$3,$I$3, $N$3, , $J$3, $K$3)*1000000/_xll.ciqfunctions.udf.CIQ($B13,"IQ_EMPLOYEES",WI$3,$I$3, $N$3, , $J$3, $K$3)),"")</f>
        <v/>
      </c>
      <c r="WJ13" s="93" t="str">
        <f>IFERROR(IF(OR($B13="",WJ$3=""),"",_xll.ciqfunctions.udf.CIQ($B13,"IQ_RD_EXP",WJ$3,$I$3, $N$3, , $J$3, $K$3)*1000000/_xll.ciqfunctions.udf.CIQ($B13,"IQ_EMPLOYEES",WJ$3,$I$3, $N$3, , $J$3, $K$3)),"")</f>
        <v/>
      </c>
      <c r="WK13" s="93" t="str">
        <f>IFERROR(IF(OR($B13="",WK$3=""),"",_xll.ciqfunctions.udf.CIQ($B13,"IQ_RD_EXP",WK$3,$I$3, $N$3, , $J$3, $K$3)*1000000/_xll.ciqfunctions.udf.CIQ($B13,"IQ_EMPLOYEES",WK$3,$I$3, $N$3, , $J$3, $K$3)),"")</f>
        <v/>
      </c>
      <c r="WL13" s="93" t="str">
        <f>IFERROR(IF(OR($B13="",TJ$3=""),"",_xll.ciqfunctions.udf.CIQ($B13,"IQ_RD_EXP",GH$3,,,,"USD")*1000000/_xll.ciqfunctions.udf.CIQ($B13,"IQ_EMPLOYEES",WL$3,,,,"USD")),"")</f>
        <v/>
      </c>
      <c r="WM13" s="93" t="str">
        <f>IFERROR(IF(OR($B13="",TK$3=""),"",_xll.ciqfunctions.udf.CIQ($B13,"IQ_RD_EXP",GI$3,,,,"USD")*1000000/_xll.ciqfunctions.udf.CIQ($B13,"IQ_EMPLOYEES",WM$3,,,,"USD")),"")</f>
        <v/>
      </c>
      <c r="WN13" s="94" t="str">
        <f>IFERROR(IF(OR($B13="",TL$3=""),"",_xll.ciqfunctions.udf.CIQ($B13,"IQ_RD_EXP",GJ$3,,,,"USD")*1000000/_xll.ciqfunctions.udf.CIQ($B13,"IQ_EMPLOYEES",WN$3,,,,"USD")),"")</f>
        <v/>
      </c>
      <c r="WO13" s="620" t="str">
        <f>IFERROR(IF(OR($B13="",WO$4=""),"",_xll.ciqfunctions.udf.CIQ($B13,"IQ_LASTSALEPRICE",WO$4)),"")</f>
        <v/>
      </c>
      <c r="WP13" s="620" t="str">
        <f>IFERROR(IF(OR($B13="",WP$4=""),"",_xll.ciqfunctions.udf.CIQ($B13,"IQ_LASTSALEPRICE",WP$4)),"")</f>
        <v/>
      </c>
      <c r="WQ13" s="620" t="str">
        <f>IFERROR(IF(OR($B13="",WQ$4=""),"",_xll.ciqfunctions.udf.CIQ($B13,"IQ_LASTSALEPRICE",WQ$4)),"")</f>
        <v/>
      </c>
      <c r="WR13" s="620" t="str">
        <f>IFERROR(IF(OR($B13="",WR$4=""),"",_xll.ciqfunctions.udf.CIQ($B13,"IQ_LASTSALEPRICE",WR$4)),"")</f>
        <v/>
      </c>
      <c r="WS13" s="620" t="str">
        <f>IFERROR(IF(OR($B13="",WS$4=""),"",_xll.ciqfunctions.udf.CIQ($B13,"IQ_LASTSALEPRICE",WS$4)),"")</f>
        <v/>
      </c>
      <c r="WT13" s="620" t="str">
        <f>IFERROR(IF(OR($B13="",WT$4=""),"",_xll.ciqfunctions.udf.CIQ($B13,"IQ_LASTSALEPRICE",WT$4)),"")</f>
        <v/>
      </c>
      <c r="WU13" s="620" t="str">
        <f>IFERROR(IF(OR($B13="",WU$4=""),"",_xll.ciqfunctions.udf.CIQ($B13,"IQ_LASTSALEPRICE",WU$4)),"")</f>
        <v/>
      </c>
      <c r="WV13" s="620" t="str">
        <f>IFERROR(IF(OR($B13="",WV$4=""),"",_xll.ciqfunctions.udf.CIQ($B13,"IQ_LASTSALEPRICE",WV$4)),"")</f>
        <v/>
      </c>
      <c r="WW13" s="620" t="str">
        <f>IFERROR(IF(OR($B13="",WW$4=""),"",_xll.ciqfunctions.udf.CIQ($B13,"IQ_LASTSALEPRICE",WW$4)),"")</f>
        <v/>
      </c>
      <c r="WX13" s="620" t="str">
        <f>IFERROR(IF(OR($B13="",WX$4=""),"",_xll.ciqfunctions.udf.CIQ($B13,"IQ_LASTSALEPRICE",WX$4)),"")</f>
        <v/>
      </c>
      <c r="WY13" s="620" t="str">
        <f>IFERROR(IF(OR($B13="",WY$4=""),"",_xll.ciqfunctions.udf.CIQ($B13,"IQ_LASTSALEPRICE",WY$4)),"")</f>
        <v/>
      </c>
      <c r="WZ13" s="620" t="str">
        <f>IFERROR(IF(OR($B13="",WZ$4=""),"",_xll.ciqfunctions.udf.CIQ($B13,"IQ_LASTSALEPRICE",WZ$4)),"")</f>
        <v/>
      </c>
      <c r="XA13" s="620" t="str">
        <f>IFERROR(IF(OR($B13="",XA$4=""),"",_xll.ciqfunctions.udf.CIQ($B13,"IQ_LASTSALEPRICE",XA$4)),"")</f>
        <v/>
      </c>
      <c r="XB13" s="620" t="str">
        <f>IFERROR(IF(OR($B13="",XB$4=""),"",_xll.ciqfunctions.udf.CIQ($B13,"IQ_LASTSALEPRICE",XB$4)),"")</f>
        <v/>
      </c>
      <c r="XC13" s="620" t="str">
        <f>IFERROR(IF(OR($B13="",XC$4=""),"",_xll.ciqfunctions.udf.CIQ($B13,"IQ_LASTSALEPRICE",XC$4)),"")</f>
        <v/>
      </c>
      <c r="XD13" s="620" t="str">
        <f>IFERROR(IF(OR($B13="",XD$4=""),"",_xll.ciqfunctions.udf.CIQ($B13,"IQ_LASTSALEPRICE",XD$4)),"")</f>
        <v/>
      </c>
      <c r="XE13" s="620" t="str">
        <f>IFERROR(IF(OR($B13="",XE$4=""),"",_xll.ciqfunctions.udf.CIQ($B13,"IQ_LASTSALEPRICE",XE$4)),"")</f>
        <v/>
      </c>
      <c r="XF13" s="620" t="str">
        <f>IFERROR(IF(OR($B13="",XF$4=""),"",_xll.ciqfunctions.udf.CIQ($B13,"IQ_LASTSALEPRICE",XF$4)),"")</f>
        <v/>
      </c>
      <c r="XG13" s="620" t="str">
        <f>IFERROR(IF(OR($B13="",XG$4=""),"",_xll.ciqfunctions.udf.CIQ($B13,"IQ_LASTSALEPRICE",XG$4)),"")</f>
        <v/>
      </c>
      <c r="XH13" s="620" t="str">
        <f>IFERROR(IF(OR($B13="",XH$4=""),"",_xll.ciqfunctions.udf.CIQ($B13,"IQ_LASTSALEPRICE",XH$4)),"")</f>
        <v/>
      </c>
      <c r="XI13" s="72" t="str">
        <f>IFERROR(IF(OR($B13="",XI$3=""),"",_xll.ciqfunctions.udf.CIQ($B13,"IQ_TOTAL_REV_1YR_ANN_GROWTH",XI$3,$I$3, $N$3, , $J$3, $K$3)/100),"")</f>
        <v/>
      </c>
      <c r="XJ13" s="72" t="str">
        <f>IFERROR(IF(OR($B13="",XJ$3=""),"",_xll.ciqfunctions.udf.CIQ($B13,"IQ_TOTAL_REV_1YR_ANN_GROWTH",XJ$3,$I$3, $N$3, , $J$3, $K$3)/100),"")</f>
        <v/>
      </c>
      <c r="XK13" s="72" t="str">
        <f>IFERROR(IF(OR($B13="",XK$3=""),"",_xll.ciqfunctions.udf.CIQ($B13,"IQ_TOTAL_REV_1YR_ANN_GROWTH",XK$3,$I$3, $N$3, , $J$3, $K$3)/100),"")</f>
        <v/>
      </c>
      <c r="XL13" s="72" t="str">
        <f>IFERROR(IF(OR($B13="",XL$3=""),"",_xll.ciqfunctions.udf.CIQ($B13,"IQ_TOTAL_REV_1YR_ANN_GROWTH",XL$3,$I$3, $N$3, , $J$3, $K$3)/100),"")</f>
        <v/>
      </c>
      <c r="XM13" s="72" t="str">
        <f>IFERROR(IF(OR($B13="",XM$3=""),"",_xll.ciqfunctions.udf.CIQ($B13,"IQ_TOTAL_REV_1YR_ANN_GROWTH",XM$3,$I$3, $N$3, , $J$3, $K$3)/100),"")</f>
        <v/>
      </c>
      <c r="XN13" s="72" t="str">
        <f>IFERROR(IF(OR($B13="",XN$3=""),"",_xll.ciqfunctions.udf.CIQ($B13,"IQ_TOTAL_REV_1YR_ANN_GROWTH",XN$3,$I$3, $N$3, , $J$3, $K$3)/100),"")</f>
        <v/>
      </c>
      <c r="XO13" s="72" t="str">
        <f>IFERROR(IF(OR($B13="",XO$3=""),"",_xll.ciqfunctions.udf.CIQ($B13,"IQ_TOTAL_REV_1YR_ANN_GROWTH",XO$3,$I$3, $N$3, , $J$3, $K$3)/100),"")</f>
        <v/>
      </c>
      <c r="XP13" s="72" t="str">
        <f>IFERROR(IF(OR($B13="",XP$3=""),"",_xll.ciqfunctions.udf.CIQ($B13,"IQ_TOTAL_REV_1YR_ANN_GROWTH",XP$3,$I$3, $N$3, , $J$3, $K$3)/100),"")</f>
        <v/>
      </c>
      <c r="XQ13" s="72" t="str">
        <f>IFERROR(IF(OR($B13="",XQ$3=""),"",_xll.ciqfunctions.udf.CIQ($B13,"IQ_TOTAL_REV_1YR_ANN_GROWTH",XQ$3,$I$3, $N$3, , $J$3, $K$3)/100),"")</f>
        <v/>
      </c>
      <c r="XR13" s="72" t="str">
        <f>IFERROR(IF(OR($B13="",XR$3=""),"",_xll.ciqfunctions.udf.CIQ($B13,"IQ_TOTAL_REV_1YR_ANN_GROWTH",XR$3,$I$3, $N$3, , $J$3, $K$3)/100),"")</f>
        <v/>
      </c>
      <c r="XS13" s="72" t="str">
        <f>IFERROR(IF(OR($B13="",XS$3=""),"",_xll.ciqfunctions.udf.CIQ($B13,"IQ_TOTAL_REV_1YR_ANN_GROWTH",XS$3,$I$3, $N$3, , $J$3, $K$3)/100),"")</f>
        <v/>
      </c>
      <c r="XT13" s="72" t="str">
        <f>IFERROR(IF(OR($B13="",XT$3=""),"",_xll.ciqfunctions.udf.CIQ($B13,"IQ_TOTAL_REV_1YR_ANN_GROWTH",XT$3,$I$3, $N$3, , $J$3, $K$3)/100),"")</f>
        <v/>
      </c>
      <c r="XU13" s="72" t="str">
        <f>IFERROR(IF(OR($B13="",XU$3=""),"",_xll.ciqfunctions.udf.CIQ($B13,"IQ_TOTAL_REV_1YR_ANN_GROWTH",XU$3,$I$3, $N$3, , $J$3, $K$3)/100),"")</f>
        <v/>
      </c>
      <c r="XV13" s="72" t="str">
        <f>IFERROR(IF(OR($B13="",XV$3=""),"",_xll.ciqfunctions.udf.CIQ($B13,"IQ_TOTAL_REV_1YR_ANN_GROWTH",XV$3,$I$3, $N$3, , $J$3, $K$3)/100),"")</f>
        <v/>
      </c>
      <c r="XW13" s="72" t="str">
        <f>IFERROR(IF(OR($B13="",XW$3=""),"",_xll.ciqfunctions.udf.CIQ($B13,"IQ_TOTAL_REV_1YR_ANN_GROWTH",XW$3,$I$3, $N$3, , $J$3, $K$3)/100),"")</f>
        <v/>
      </c>
      <c r="XX13" s="72" t="str">
        <f>IFERROR(IF(OR($B13="",XX$3=""),"",_xll.ciqfunctions.udf.CIQ($B13,"IQ_TOTAL_REV_1YR_ANN_GROWTH",XX$3,$I$3, $N$3, , $J$3, $K$3)/100),"")</f>
        <v/>
      </c>
      <c r="XY13" s="72" t="str">
        <f>IFERROR(IF(OR($B13="",XY$3=""),"",_xll.ciqfunctions.udf.CIQ($B13,"IQ_TOTAL_REV_1YR_ANN_GROWTH",XY$3,$I$3, $N$3, , $J$3, $K$3)/100),"")</f>
        <v/>
      </c>
      <c r="XZ13" s="72" t="str">
        <f>IFERROR(IF(OR($B13="",XZ$3=""),"",_xll.ciqfunctions.udf.CIQ($B13,"IQ_TOTAL_REV_1YR_ANN_GROWTH",XZ$3,$I$3, $N$3, , $J$3, $K$3)/100),"")</f>
        <v/>
      </c>
      <c r="YA13" s="72" t="str">
        <f>IFERROR(IF(OR($B13="",YA$3=""),"",_xll.ciqfunctions.udf.CIQ($B13,"IQ_TOTAL_REV_1YR_ANN_GROWTH",YA$3,$I$3, $N$3, , $J$3, $K$3)/100),"")</f>
        <v/>
      </c>
      <c r="YB13" s="72" t="str">
        <f>IFERROR(IF(OR($B13="",YB$3=""),"",_xll.ciqfunctions.udf.CIQ($B13,"IQ_TOTAL_REV_1YR_ANN_GROWTH",YB$3,$I$3, $N$3, , $J$3, $K$3)/100),"")</f>
        <v/>
      </c>
      <c r="YC13" s="627" t="str">
        <f>IFERROR(IF(OR($B13="",YC$4=""),"",_xll.ciqfunctions.udf.CIQ($B13,"IQ_TEV",YC$4)),"")</f>
        <v/>
      </c>
      <c r="YD13" s="627" t="str">
        <f>IFERROR(IF(OR($B13="",YD$4=""),"",_xll.ciqfunctions.udf.CIQ($B13,"IQ_TEV",YD$4)),"")</f>
        <v/>
      </c>
      <c r="YE13" s="627" t="str">
        <f>IFERROR(IF(OR($B13="",YE$4=""),"",_xll.ciqfunctions.udf.CIQ($B13,"IQ_TEV",YE$4)),"")</f>
        <v/>
      </c>
      <c r="YF13" s="627" t="str">
        <f>IFERROR(IF(OR($B13="",YF$4=""),"",_xll.ciqfunctions.udf.CIQ($B13,"IQ_TEV",YF$4)),"")</f>
        <v/>
      </c>
      <c r="YG13" s="627" t="str">
        <f>IFERROR(IF(OR($B13="",YG$4=""),"",_xll.ciqfunctions.udf.CIQ($B13,"IQ_TEV",YG$4)),"")</f>
        <v/>
      </c>
      <c r="YH13" s="627" t="str">
        <f>IFERROR(IF(OR($B13="",YH$4=""),"",_xll.ciqfunctions.udf.CIQ($B13,"IQ_TEV",YH$4)),"")</f>
        <v/>
      </c>
      <c r="YI13" s="627" t="str">
        <f>IFERROR(IF(OR($B13="",YI$4=""),"",_xll.ciqfunctions.udf.CIQ($B13,"IQ_TEV",YI$4)),"")</f>
        <v/>
      </c>
      <c r="YJ13" s="627" t="str">
        <f>IFERROR(IF(OR($B13="",YJ$4=""),"",_xll.ciqfunctions.udf.CIQ($B13,"IQ_TEV",YJ$4)),"")</f>
        <v/>
      </c>
      <c r="YK13" s="627" t="str">
        <f>IFERROR(IF(OR($B13="",YK$4=""),"",_xll.ciqfunctions.udf.CIQ($B13,"IQ_TEV",YK$4)),"")</f>
        <v/>
      </c>
      <c r="YL13" s="627" t="str">
        <f>IFERROR(IF(OR($B13="",YL$4=""),"",_xll.ciqfunctions.udf.CIQ($B13,"IQ_TEV",YL$4)),"")</f>
        <v/>
      </c>
      <c r="YM13" s="627" t="str">
        <f>IFERROR(IF(OR($B13="",YM$4=""),"",_xll.ciqfunctions.udf.CIQ($B13,"IQ_TEV",YM$4)),"")</f>
        <v/>
      </c>
      <c r="YN13" s="627" t="str">
        <f>IFERROR(IF(OR($B13="",YN$4=""),"",_xll.ciqfunctions.udf.CIQ($B13,"IQ_TEV",YN$4)),"")</f>
        <v/>
      </c>
      <c r="YO13" s="627" t="str">
        <f>IFERROR(IF(OR($B13="",YO$4=""),"",_xll.ciqfunctions.udf.CIQ($B13,"IQ_TEV",YO$4)),"")</f>
        <v/>
      </c>
      <c r="YP13" s="627" t="str">
        <f>IFERROR(IF(OR($B13="",YP$4=""),"",_xll.ciqfunctions.udf.CIQ($B13,"IQ_TEV",YP$4)),"")</f>
        <v/>
      </c>
      <c r="YQ13" s="627" t="str">
        <f>IFERROR(IF(OR($B13="",YQ$4=""),"",_xll.ciqfunctions.udf.CIQ($B13,"IQ_TEV",YQ$4)),"")</f>
        <v/>
      </c>
      <c r="YR13" s="627" t="str">
        <f>IFERROR(IF(OR($B13="",YR$4=""),"",_xll.ciqfunctions.udf.CIQ($B13,"IQ_TEV",YR$4)),"")</f>
        <v/>
      </c>
      <c r="YS13" s="627" t="str">
        <f>IFERROR(IF(OR($B13="",YS$4=""),"",_xll.ciqfunctions.udf.CIQ($B13,"IQ_TEV",YS$4)),"")</f>
        <v/>
      </c>
      <c r="YT13" s="627" t="str">
        <f>IFERROR(IF(OR($B13="",YT$4=""),"",_xll.ciqfunctions.udf.CIQ($B13,"IQ_TEV",YT$4)),"")</f>
        <v/>
      </c>
      <c r="YU13" s="627" t="str">
        <f>IFERROR(IF(OR($B13="",YU$4=""),"",_xll.ciqfunctions.udf.CIQ($B13,"IQ_TEV",YU$4)),"")</f>
        <v/>
      </c>
      <c r="YV13" s="627" t="str">
        <f>IFERROR(IF(OR($B13="",YV$4=""),"",_xll.ciqfunctions.udf.CIQ($B13,"IQ_TEV",YV$4)),"")</f>
        <v/>
      </c>
      <c r="YW13" s="72" t="str">
        <f>IFERROR(IF(OR($B13="",YW$3=""),"",(_xll.ciqfunctions.udf.CIQ($B13,"IQ_LASTSALEPRICE",YW$4)/_xll.ciqfunctions.udf.CIQ($B13,"IQ_LASTSALEPRICE",YW$2)-1)+(_xll.ciqfunctions.udf.CIQ($B13, "IQ_DPS_1YR_ANN_GROWTH", "IQ_LTM", YW$4)/100)),"")</f>
        <v/>
      </c>
      <c r="YX13" s="72" t="str">
        <f>IFERROR(IF(OR($B13="",YX$3=""),"",(_xll.ciqfunctions.udf.CIQ($B13,"IQ_LASTSALEPRICE",YX$4)/_xll.ciqfunctions.udf.CIQ($B13,"IQ_LASTSALEPRICE",YX$2)-1)+(_xll.ciqfunctions.udf.CIQ($B13, "IQ_DPS_1YR_ANN_GROWTH", "IQ_LTM", YX$4)/100)),"")</f>
        <v/>
      </c>
      <c r="YY13" s="72" t="str">
        <f>IFERROR(IF(OR($B13="",YY$3=""),"",(_xll.ciqfunctions.udf.CIQ($B13,"IQ_LASTSALEPRICE",YY$4)/_xll.ciqfunctions.udf.CIQ($B13,"IQ_LASTSALEPRICE",YY$2)-1)+(_xll.ciqfunctions.udf.CIQ($B13, "IQ_DPS_1YR_ANN_GROWTH", "IQ_LTM", YY$4)/100)),"")</f>
        <v/>
      </c>
      <c r="YZ13" s="72" t="str">
        <f>IFERROR(IF(OR($B13="",YZ$3=""),"",(_xll.ciqfunctions.udf.CIQ($B13,"IQ_LASTSALEPRICE",YZ$4)/_xll.ciqfunctions.udf.CIQ($B13,"IQ_LASTSALEPRICE",YZ$2)-1)+(_xll.ciqfunctions.udf.CIQ($B13, "IQ_DPS_1YR_ANN_GROWTH", "IQ_LTM", YZ$4)/100)),"")</f>
        <v/>
      </c>
      <c r="ZA13" s="72" t="str">
        <f>IFERROR(IF(OR($B13="",ZA$3=""),"",(_xll.ciqfunctions.udf.CIQ($B13,"IQ_LASTSALEPRICE",ZA$4)/_xll.ciqfunctions.udf.CIQ($B13,"IQ_LASTSALEPRICE",ZA$2)-1)+(_xll.ciqfunctions.udf.CIQ($B13, "IQ_DPS_1YR_ANN_GROWTH", "IQ_LTM", ZA$4)/100)),"")</f>
        <v/>
      </c>
      <c r="ZB13" s="72" t="str">
        <f>IFERROR(IF(OR($B13="",ZB$3=""),"",(_xll.ciqfunctions.udf.CIQ($B13,"IQ_LASTSALEPRICE",ZB$4)/_xll.ciqfunctions.udf.CIQ($B13,"IQ_LASTSALEPRICE",ZB$2)-1)+(_xll.ciqfunctions.udf.CIQ($B13, "IQ_DPS_1YR_ANN_GROWTH", "IQ_LTM", ZB$4)/100)),"")</f>
        <v/>
      </c>
      <c r="ZC13" s="72" t="str">
        <f>IFERROR(IF(OR($B13="",ZC$3=""),"",(_xll.ciqfunctions.udf.CIQ($B13,"IQ_LASTSALEPRICE",ZC$4)/_xll.ciqfunctions.udf.CIQ($B13,"IQ_LASTSALEPRICE",ZC$2)-1)+(_xll.ciqfunctions.udf.CIQ($B13, "IQ_DPS_1YR_ANN_GROWTH", "IQ_LTM", ZC$4)/100)),"")</f>
        <v/>
      </c>
      <c r="ZD13" s="72" t="str">
        <f>IFERROR(IF(OR($B13="",ZD$3=""),"",(_xll.ciqfunctions.udf.CIQ($B13,"IQ_LASTSALEPRICE",ZD$4)/_xll.ciqfunctions.udf.CIQ($B13,"IQ_LASTSALEPRICE",ZD$2)-1)+(_xll.ciqfunctions.udf.CIQ($B13, "IQ_DPS_1YR_ANN_GROWTH", "IQ_LTM", ZD$4)/100)),"")</f>
        <v/>
      </c>
      <c r="ZE13" s="72" t="str">
        <f>IFERROR(IF(OR($B13="",ZE$3=""),"",(_xll.ciqfunctions.udf.CIQ($B13,"IQ_LASTSALEPRICE",ZE$4)/_xll.ciqfunctions.udf.CIQ($B13,"IQ_LASTSALEPRICE",ZE$2)-1)+(_xll.ciqfunctions.udf.CIQ($B13, "IQ_DPS_1YR_ANN_GROWTH", "IQ_LTM", ZE$4)/100)),"")</f>
        <v/>
      </c>
      <c r="ZF13" s="72" t="str">
        <f>IFERROR(IF(OR($B13="",ZF$3=""),"",(_xll.ciqfunctions.udf.CIQ($B13,"IQ_LASTSALEPRICE",ZF$4)/_xll.ciqfunctions.udf.CIQ($B13,"IQ_LASTSALEPRICE",ZF$2)-1)+(_xll.ciqfunctions.udf.CIQ($B13, "IQ_DPS_1YR_ANN_GROWTH", "IQ_LTM", ZF$4)/100)),"")</f>
        <v/>
      </c>
      <c r="ZG13" s="72" t="str">
        <f>IFERROR(IF(OR($B13="",ZG$3=""),"",(_xll.ciqfunctions.udf.CIQ($B13,"IQ_LASTSALEPRICE",ZG$4)/_xll.ciqfunctions.udf.CIQ($B13,"IQ_LASTSALEPRICE",ZG$2)-1)+(_xll.ciqfunctions.udf.CIQ($B13, "IQ_DPS_1YR_ANN_GROWTH", "IQ_LTM", ZG$4)/100)),"")</f>
        <v/>
      </c>
      <c r="ZH13" s="72" t="str">
        <f>IFERROR(IF(OR($B13="",ZH$3=""),"",(_xll.ciqfunctions.udf.CIQ($B13,"IQ_LASTSALEPRICE",ZH$4)/_xll.ciqfunctions.udf.CIQ($B13,"IQ_LASTSALEPRICE",ZH$2)-1)+(_xll.ciqfunctions.udf.CIQ($B13, "IQ_DPS_1YR_ANN_GROWTH", "IQ_LTM", ZH$4)/100)),"")</f>
        <v/>
      </c>
      <c r="ZI13" s="72" t="str">
        <f>IFERROR(IF(OR($B13="",ZI$3=""),"",(_xll.ciqfunctions.udf.CIQ($B13,"IQ_LASTSALEPRICE",ZI$4)/_xll.ciqfunctions.udf.CIQ($B13,"IQ_LASTSALEPRICE",ZI$2)-1)+(_xll.ciqfunctions.udf.CIQ($B13, "IQ_DPS_1YR_ANN_GROWTH", "IQ_LTM", ZI$4)/100)),"")</f>
        <v/>
      </c>
      <c r="ZJ13" s="72" t="str">
        <f>IFERROR(IF(OR($B13="",ZJ$3=""),"",(_xll.ciqfunctions.udf.CIQ($B13,"IQ_LASTSALEPRICE",ZJ$4)/_xll.ciqfunctions.udf.CIQ($B13,"IQ_LASTSALEPRICE",ZJ$2)-1)+(_xll.ciqfunctions.udf.CIQ($B13, "IQ_DPS_1YR_ANN_GROWTH", "IQ_LTM", ZJ$4)/100)),"")</f>
        <v/>
      </c>
      <c r="ZK13" s="72" t="str">
        <f>IFERROR(IF(OR($B13="",ZK$3=""),"",(_xll.ciqfunctions.udf.CIQ($B13,"IQ_LASTSALEPRICE",ZK$4)/_xll.ciqfunctions.udf.CIQ($B13,"IQ_LASTSALEPRICE",ZK$2)-1)+(_xll.ciqfunctions.udf.CIQ($B13, "IQ_DPS_1YR_ANN_GROWTH", "IQ_LTM", ZK$4)/100)),"")</f>
        <v/>
      </c>
      <c r="ZL13" s="72" t="str">
        <f>IFERROR(IF(OR($B13="",ZL$3=""),"",(_xll.ciqfunctions.udf.CIQ($B13,"IQ_LASTSALEPRICE",ZL$4)/_xll.ciqfunctions.udf.CIQ($B13,"IQ_LASTSALEPRICE",ZL$2)-1)+(_xll.ciqfunctions.udf.CIQ($B13, "IQ_DPS_1YR_ANN_GROWTH", "IQ_LTM", ZL$4)/100)),"")</f>
        <v/>
      </c>
      <c r="ZM13" s="72" t="str">
        <f>IFERROR(IF(OR($B13="",ZM$3=""),"",(_xll.ciqfunctions.udf.CIQ($B13,"IQ_LASTSALEPRICE",ZM$4)/_xll.ciqfunctions.udf.CIQ($B13,"IQ_LASTSALEPRICE",ZM$2)-1)+(_xll.ciqfunctions.udf.CIQ($B13, "IQ_DPS_1YR_ANN_GROWTH", "IQ_LTM", ZM$4)/100)),"")</f>
        <v/>
      </c>
      <c r="ZN13" s="72" t="str">
        <f>IFERROR(IF(OR($B13="",ZN$3=""),"",(_xll.ciqfunctions.udf.CIQ($B13,"IQ_LASTSALEPRICE",ZN$4)/_xll.ciqfunctions.udf.CIQ($B13,"IQ_LASTSALEPRICE",ZN$2)-1)+(_xll.ciqfunctions.udf.CIQ($B13, "IQ_DPS_1YR_ANN_GROWTH", "IQ_LTM", ZN$4)/100)),"")</f>
        <v/>
      </c>
      <c r="ZO13" s="72" t="str">
        <f>IFERROR(IF(OR($B13="",ZO$3=""),"",(_xll.ciqfunctions.udf.CIQ($B13,"IQ_LASTSALEPRICE",ZO$4)/_xll.ciqfunctions.udf.CIQ($B13,"IQ_LASTSALEPRICE",ZO$2)-1)+(_xll.ciqfunctions.udf.CIQ($B13, "IQ_DPS_1YR_ANN_GROWTH", "IQ_LTM", ZO$4)/100)),"")</f>
        <v/>
      </c>
      <c r="ZP13" s="72" t="str">
        <f>IFERROR(IF(OR($B13="",ZP$3=""),"",(_xll.ciqfunctions.udf.CIQ($B13,"IQ_LASTSALEPRICE",ZP$4)/_xll.ciqfunctions.udf.CIQ($B13,"IQ_LASTSALEPRICE",ZP$2)-1)+(_xll.ciqfunctions.udf.CIQ($B13, "IQ_DPS_1YR_ANN_GROWTH", "IQ_LTM", ZP$4)/100)),"")</f>
        <v/>
      </c>
      <c r="ZQ13" s="72" t="str">
        <f>IFERROR(IF(OR($B13="",ZQ$3=""),"",_xll.ciqfunctions.udf.CIQ($B13,"IQ_NI",$O$3,ZQ$3, $N$3, , $J$3, $K$3)*2/(_xll.ciqfunctions.udf.CIQ($B13,"IQ_TOTAL_CAP",ZQ$3,$I$3, $N$3, , $J$3, $K$3)+_xll.ciqfunctions.udf.CIQ($B13,"IQ_TOTAL_CAP","IQ_" &amp; LEFT(ZQ$3,2) &amp; "-1", ZQ$3, $N$3, , $J$3, $K$3))),"")</f>
        <v/>
      </c>
      <c r="ZR13" s="72" t="str">
        <f>IFERROR(IF(OR($B13="",ZR$3=""),"",_xll.ciqfunctions.udf.CIQ($B13,"IQ_NI",$O$3,ZR$3, $N$3, , $J$3, $K$3)*2/(_xll.ciqfunctions.udf.CIQ($B13,"IQ_TOTAL_CAP",ZR$3,$I$3, $N$3, , $J$3, $K$3)+_xll.ciqfunctions.udf.CIQ($B13,"IQ_TOTAL_CAP","IQ_" &amp; LEFT(ZR$3,2) &amp; "-1", ZR$3, $N$3, , $J$3, $K$3))),"")</f>
        <v/>
      </c>
      <c r="ZS13" s="72" t="str">
        <f>IFERROR(IF(OR($B13="",ZS$3=""),"",_xll.ciqfunctions.udf.CIQ($B13,"IQ_NI",$O$3,ZS$3, $N$3, , $J$3, $K$3)*2/(_xll.ciqfunctions.udf.CIQ($B13,"IQ_TOTAL_CAP",ZS$3,$I$3, $N$3, , $J$3, $K$3)+_xll.ciqfunctions.udf.CIQ($B13,"IQ_TOTAL_CAP","IQ_" &amp; LEFT(ZS$3,2) &amp; "-1", ZS$3, $N$3, , $J$3, $K$3))),"")</f>
        <v/>
      </c>
      <c r="ZT13" s="72" t="str">
        <f>IFERROR(IF(OR($B13="",ZT$3=""),"",_xll.ciqfunctions.udf.CIQ($B13,"IQ_NI",$O$3,ZT$3, $N$3, , $J$3, $K$3)*2/(_xll.ciqfunctions.udf.CIQ($B13,"IQ_TOTAL_CAP",ZT$3,$I$3, $N$3, , $J$3, $K$3)+_xll.ciqfunctions.udf.CIQ($B13,"IQ_TOTAL_CAP","IQ_" &amp; LEFT(ZT$3,2) &amp; "-1", ZT$3, $N$3, , $J$3, $K$3))),"")</f>
        <v/>
      </c>
      <c r="ZU13" s="72" t="str">
        <f>IFERROR(IF(OR($B13="",ZU$3=""),"",_xll.ciqfunctions.udf.CIQ($B13,"IQ_NI",$O$3,ZU$3, $N$3, , $J$3, $K$3)*2/(_xll.ciqfunctions.udf.CIQ($B13,"IQ_TOTAL_CAP",ZU$3,$I$3, $N$3, , $J$3, $K$3)+_xll.ciqfunctions.udf.CIQ($B13,"IQ_TOTAL_CAP","IQ_" &amp; LEFT(ZU$3,2) &amp; "-1", ZU$3, $N$3, , $J$3, $K$3))),"")</f>
        <v/>
      </c>
      <c r="ZV13" s="72" t="str">
        <f>IFERROR(IF(OR($B13="",ZV$3=""),"",_xll.ciqfunctions.udf.CIQ($B13,"IQ_NI",$O$3,ZV$3, $N$3, , $J$3, $K$3)*2/(_xll.ciqfunctions.udf.CIQ($B13,"IQ_TOTAL_CAP",ZV$3,$I$3, $N$3, , $J$3, $K$3)+_xll.ciqfunctions.udf.CIQ($B13,"IQ_TOTAL_CAP","IQ_" &amp; LEFT(ZV$3,2) &amp; "-1", ZV$3, $N$3, , $J$3, $K$3))),"")</f>
        <v/>
      </c>
      <c r="ZW13" s="72" t="str">
        <f>IFERROR(IF(OR($B13="",ZW$3=""),"",_xll.ciqfunctions.udf.CIQ($B13,"IQ_NI",$O$3,ZW$3, $N$3, , $J$3, $K$3)*2/(_xll.ciqfunctions.udf.CIQ($B13,"IQ_TOTAL_CAP",ZW$3,$I$3, $N$3, , $J$3, $K$3)+_xll.ciqfunctions.udf.CIQ($B13,"IQ_TOTAL_CAP","IQ_" &amp; LEFT(ZW$3,2) &amp; "-1", ZW$3, $N$3, , $J$3, $K$3))),"")</f>
        <v/>
      </c>
      <c r="ZX13" s="72" t="str">
        <f>IFERROR(IF(OR($B13="",ZX$3=""),"",_xll.ciqfunctions.udf.CIQ($B13,"IQ_NI",$O$3,ZX$3, $N$3, , $J$3, $K$3)*2/(_xll.ciqfunctions.udf.CIQ($B13,"IQ_TOTAL_CAP",ZX$3,$I$3, $N$3, , $J$3, $K$3)+_xll.ciqfunctions.udf.CIQ($B13,"IQ_TOTAL_CAP","IQ_" &amp; LEFT(ZX$3,2) &amp; "-1", ZX$3, $N$3, , $J$3, $K$3))),"")</f>
        <v/>
      </c>
      <c r="ZY13" s="72" t="str">
        <f>IFERROR(IF(OR($B13="",ZY$3=""),"",_xll.ciqfunctions.udf.CIQ($B13,"IQ_NI",$O$3,ZY$3, $N$3, , $J$3, $K$3)*2/(_xll.ciqfunctions.udf.CIQ($B13,"IQ_TOTAL_CAP",ZY$3,$I$3, $N$3, , $J$3, $K$3)+_xll.ciqfunctions.udf.CIQ($B13,"IQ_TOTAL_CAP","IQ_" &amp; LEFT(ZY$3,2) &amp; "-1", ZY$3, $N$3, , $J$3, $K$3))),"")</f>
        <v/>
      </c>
      <c r="ZZ13" s="72" t="str">
        <f>IFERROR(IF(OR($B13="",ZZ$3=""),"",_xll.ciqfunctions.udf.CIQ($B13,"IQ_NI",$O$3,ZZ$3, $N$3, , $J$3, $K$3)*2/(_xll.ciqfunctions.udf.CIQ($B13,"IQ_TOTAL_CAP",ZZ$3,$I$3, $N$3, , $J$3, $K$3)+_xll.ciqfunctions.udf.CIQ($B13,"IQ_TOTAL_CAP","IQ_" &amp; LEFT(ZZ$3,2) &amp; "-1", ZZ$3, $N$3, , $J$3, $K$3))),"")</f>
        <v/>
      </c>
      <c r="AAA13" s="72" t="str">
        <f>IFERROR(IF(OR($B13="",AAA$3=""),"",_xll.ciqfunctions.udf.CIQ($B13,"IQ_NI",$O$3,AAA$3, $N$3, , $J$3, $K$3)*2/(_xll.ciqfunctions.udf.CIQ($B13,"IQ_TOTAL_CAP",AAA$3,$I$3, $N$3, , $J$3, $K$3)+_xll.ciqfunctions.udf.CIQ($B13,"IQ_TOTAL_CAP","IQ_" &amp; LEFT(AAA$3,2) &amp; "-1", AAA$3, $N$3, , $J$3, $K$3))),"")</f>
        <v/>
      </c>
      <c r="AAB13" s="72" t="str">
        <f>IFERROR(IF(OR($B13="",AAB$3=""),"",_xll.ciqfunctions.udf.CIQ($B13,"IQ_NI",$O$3,AAB$3, $N$3, , $J$3, $K$3)*2/(_xll.ciqfunctions.udf.CIQ($B13,"IQ_TOTAL_CAP",AAB$3,$I$3, $N$3, , $J$3, $K$3)+_xll.ciqfunctions.udf.CIQ($B13,"IQ_TOTAL_CAP","IQ_" &amp; LEFT(AAB$3,2) &amp; "-1", AAB$3, $N$3, , $J$3, $K$3))),"")</f>
        <v/>
      </c>
      <c r="AAC13" s="72" t="str">
        <f>IFERROR(IF(OR($B13="",AAC$3=""),"",_xll.ciqfunctions.udf.CIQ($B13,"IQ_NI",$O$3,AAC$3, $N$3, , $J$3, $K$3)*2/(_xll.ciqfunctions.udf.CIQ($B13,"IQ_TOTAL_CAP",AAC$3,$I$3, $N$3, , $J$3, $K$3)+_xll.ciqfunctions.udf.CIQ($B13,"IQ_TOTAL_CAP","IQ_" &amp; LEFT(AAC$3,2) &amp; "-1", AAC$3, $N$3, , $J$3, $K$3))),"")</f>
        <v/>
      </c>
      <c r="AAD13" s="72" t="str">
        <f>IFERROR(IF(OR($B13="",AAD$3=""),"",_xll.ciqfunctions.udf.CIQ($B13,"IQ_NI",$O$3,AAD$3, $N$3, , $J$3, $K$3)*2/(_xll.ciqfunctions.udf.CIQ($B13,"IQ_TOTAL_CAP",AAD$3,$I$3, $N$3, , $J$3, $K$3)+_xll.ciqfunctions.udf.CIQ($B13,"IQ_TOTAL_CAP","IQ_" &amp; LEFT(AAD$3,2) &amp; "-1", AAD$3, $N$3, , $J$3, $K$3))),"")</f>
        <v/>
      </c>
      <c r="AAE13" s="72" t="str">
        <f>IFERROR(IF(OR($B13="",AAE$3=""),"",_xll.ciqfunctions.udf.CIQ($B13,"IQ_NI",$O$3,AAE$3, $N$3, , $J$3, $K$3)*2/(_xll.ciqfunctions.udf.CIQ($B13,"IQ_TOTAL_CAP",AAE$3,$I$3, $N$3, , $J$3, $K$3)+_xll.ciqfunctions.udf.CIQ($B13,"IQ_TOTAL_CAP","IQ_" &amp; LEFT(AAE$3,2) &amp; "-1", AAE$3, $N$3, , $J$3, $K$3))),"")</f>
        <v/>
      </c>
      <c r="AAF13" s="72" t="str">
        <f>IFERROR(IF(OR($B13="",AAF$3=""),"",_xll.ciqfunctions.udf.CIQ($B13,"IQ_NI",$O$3,AAF$3, $N$3, , $J$3, $K$3)*2/(_xll.ciqfunctions.udf.CIQ($B13,"IQ_TOTAL_CAP",AAF$3,$I$3, $N$3, , $J$3, $K$3)+_xll.ciqfunctions.udf.CIQ($B13,"IQ_TOTAL_CAP","IQ_" &amp; LEFT(AAF$3,2) &amp; "-1", AAF$3, $N$3, , $J$3, $K$3))),"")</f>
        <v/>
      </c>
      <c r="AAG13" s="72" t="str">
        <f>IFERROR(IF(OR($B13="",AAG$3=""),"",_xll.ciqfunctions.udf.CIQ($B13,"IQ_NI",$O$3,AAG$3, $N$3, , $J$3, $K$3)*2/(_xll.ciqfunctions.udf.CIQ($B13,"IQ_TOTAL_CAP",AAG$3,$I$3, $N$3, , $J$3, $K$3)+_xll.ciqfunctions.udf.CIQ($B13,"IQ_TOTAL_CAP","IQ_" &amp; LEFT(AAG$3,2) &amp; "-1", AAG$3, $N$3, , $J$3, $K$3))),"")</f>
        <v/>
      </c>
      <c r="AAH13" s="72" t="str">
        <f>IFERROR(IF(OR($B13="",AAH$3=""),"",_xll.ciqfunctions.udf.CIQ($B13,"IQ_NI",$O$3,AAH$3, $N$3, , $J$3, $K$3)*2/(_xll.ciqfunctions.udf.CIQ($B13,"IQ_TOTAL_CAP",AAH$3,$I$3, $N$3, , $J$3, $K$3)+_xll.ciqfunctions.udf.CIQ($B13,"IQ_TOTAL_CAP","IQ_" &amp; LEFT(AAH$3,2) &amp; "-1", AAH$3, $N$3, , $J$3, $K$3))),"")</f>
        <v/>
      </c>
      <c r="AAI13" s="72" t="str">
        <f>IFERROR(IF(OR($B13="",AAI$3=""),"",_xll.ciqfunctions.udf.CIQ($B13,"IQ_NI",$O$3,AAI$3, $N$3, , $J$3, $K$3)*2/(_xll.ciqfunctions.udf.CIQ($B13,"IQ_TOTAL_CAP",AAI$3,$I$3, $N$3, , $J$3, $K$3)+_xll.ciqfunctions.udf.CIQ($B13,"IQ_TOTAL_CAP","IQ_" &amp; LEFT(AAI$3,2) &amp; "-1", AAI$3, $N$3, , $J$3, $K$3))),"")</f>
        <v/>
      </c>
      <c r="AAJ13" s="72" t="str">
        <f>IFERROR(IF(OR($B13="",AAJ$3=""),"",_xll.ciqfunctions.udf.CIQ($B13,"IQ_NI",$O$3,AAJ$3, $N$3, , $J$3, $K$3)*2/(_xll.ciqfunctions.udf.CIQ($B13,"IQ_TOTAL_CAP",AAJ$3,$I$3, $N$3, , $J$3, $K$3)+_xll.ciqfunctions.udf.CIQ($B13,"IQ_TOTAL_CAP","IQ_" &amp; LEFT(AAJ$3,2) &amp; "-1", AAJ$3, $N$3, , $J$3, $K$3))),"")</f>
        <v/>
      </c>
      <c r="AAK13" s="628" t="str">
        <f>IFERROR(IF(OR($B13="",AAK$4=""),"",_xll.ciqfunctions.udf.CIQ($B13,"IQ_TEV",AAK$4)/_xll.ciqfunctions.udf.CIQ($B13,"IQ_TOTAL_CAP",ZQ$3,$I$3, $N$3, , $J$3, $K$3)),"")</f>
        <v/>
      </c>
      <c r="AAL13" s="628" t="str">
        <f>IFERROR(IF(OR($B13="",AAL$4=""),"",_xll.ciqfunctions.udf.CIQ($B13,"IQ_TEV",AAL$4)/_xll.ciqfunctions.udf.CIQ($B13,"IQ_TOTAL_CAP",ZR$3,$I$3, $N$3, , $J$3, $K$3)),"")</f>
        <v/>
      </c>
      <c r="AAM13" s="628" t="str">
        <f>IFERROR(IF(OR($B13="",AAM$4=""),"",_xll.ciqfunctions.udf.CIQ($B13,"IQ_TEV",AAM$4)/_xll.ciqfunctions.udf.CIQ($B13,"IQ_TOTAL_CAP",ZS$3,$I$3, $N$3, , $J$3, $K$3)),"")</f>
        <v/>
      </c>
      <c r="AAN13" s="628" t="str">
        <f>IFERROR(IF(OR($B13="",AAN$4=""),"",_xll.ciqfunctions.udf.CIQ($B13,"IQ_TEV",AAN$4)/_xll.ciqfunctions.udf.CIQ($B13,"IQ_TOTAL_CAP",ZT$3,$I$3, $N$3, , $J$3, $K$3)),"")</f>
        <v/>
      </c>
      <c r="AAO13" s="628" t="str">
        <f>IFERROR(IF(OR($B13="",AAO$4=""),"",_xll.ciqfunctions.udf.CIQ($B13,"IQ_TEV",AAO$4)/_xll.ciqfunctions.udf.CIQ($B13,"IQ_TOTAL_CAP",ZU$3,$I$3, $N$3, , $J$3, $K$3)),"")</f>
        <v/>
      </c>
      <c r="AAP13" s="628" t="str">
        <f>IFERROR(IF(OR($B13="",AAP$4=""),"",_xll.ciqfunctions.udf.CIQ($B13,"IQ_TEV",AAP$4)/_xll.ciqfunctions.udf.CIQ($B13,"IQ_TOTAL_CAP",ZV$3,$I$3, $N$3, , $J$3, $K$3)),"")</f>
        <v/>
      </c>
      <c r="AAQ13" s="628" t="str">
        <f>IFERROR(IF(OR($B13="",AAQ$4=""),"",_xll.ciqfunctions.udf.CIQ($B13,"IQ_TEV",AAQ$4)/_xll.ciqfunctions.udf.CIQ($B13,"IQ_TOTAL_CAP",ZW$3,$I$3, $N$3, , $J$3, $K$3)),"")</f>
        <v/>
      </c>
      <c r="AAR13" s="628" t="str">
        <f>IFERROR(IF(OR($B13="",AAR$4=""),"",_xll.ciqfunctions.udf.CIQ($B13,"IQ_TEV",AAR$4)/_xll.ciqfunctions.udf.CIQ($B13,"IQ_TOTAL_CAP",ZX$3,$I$3, $N$3, , $J$3, $K$3)),"")</f>
        <v/>
      </c>
      <c r="AAS13" s="628" t="str">
        <f>IFERROR(IF(OR($B13="",AAS$4=""),"",_xll.ciqfunctions.udf.CIQ($B13,"IQ_TEV",AAS$4)/_xll.ciqfunctions.udf.CIQ($B13,"IQ_TOTAL_CAP",ZY$3,$I$3, $N$3, , $J$3, $K$3)),"")</f>
        <v/>
      </c>
      <c r="AAT13" s="628" t="str">
        <f>IFERROR(IF(OR($B13="",AAT$4=""),"",_xll.ciqfunctions.udf.CIQ($B13,"IQ_TEV",AAT$4)/_xll.ciqfunctions.udf.CIQ($B13,"IQ_TOTAL_CAP",ZZ$3,$I$3, $N$3, , $J$3, $K$3)),"")</f>
        <v/>
      </c>
      <c r="AAU13" s="628" t="str">
        <f>IFERROR(IF(OR($B13="",AAU$4=""),"",_xll.ciqfunctions.udf.CIQ($B13,"IQ_TEV",AAU$4)/_xll.ciqfunctions.udf.CIQ($B13,"IQ_TOTAL_CAP",AAA$3,$I$3, $N$3, , $J$3, $K$3)),"")</f>
        <v/>
      </c>
      <c r="AAV13" s="628" t="str">
        <f>IFERROR(IF(OR($B13="",AAV$4=""),"",_xll.ciqfunctions.udf.CIQ($B13,"IQ_TEV",AAV$4)/_xll.ciqfunctions.udf.CIQ($B13,"IQ_TOTAL_CAP",AAB$3,$I$3, $N$3, , $J$3, $K$3)),"")</f>
        <v/>
      </c>
      <c r="AAW13" s="628" t="str">
        <f>IFERROR(IF(OR($B13="",AAW$4=""),"",_xll.ciqfunctions.udf.CIQ($B13,"IQ_TEV",AAW$4)/_xll.ciqfunctions.udf.CIQ($B13,"IQ_TOTAL_CAP",AAC$3,$I$3, $N$3, , $J$3, $K$3)),"")</f>
        <v/>
      </c>
      <c r="AAX13" s="628" t="str">
        <f>IFERROR(IF(OR($B13="",AAX$4=""),"",_xll.ciqfunctions.udf.CIQ($B13,"IQ_TEV",AAX$4)/_xll.ciqfunctions.udf.CIQ($B13,"IQ_TOTAL_CAP",AAD$3,$I$3, $N$3, , $J$3, $K$3)),"")</f>
        <v/>
      </c>
      <c r="AAY13" s="628" t="str">
        <f>IFERROR(IF(OR($B13="",AAY$4=""),"",_xll.ciqfunctions.udf.CIQ($B13,"IQ_TEV",AAY$4)/_xll.ciqfunctions.udf.CIQ($B13,"IQ_TOTAL_CAP",AAE$3,$I$3, $N$3, , $J$3, $K$3)),"")</f>
        <v/>
      </c>
      <c r="AAZ13" s="628" t="str">
        <f>IFERROR(IF(OR($B13="",AAZ$4=""),"",_xll.ciqfunctions.udf.CIQ($B13,"IQ_TEV",AAZ$4)/_xll.ciqfunctions.udf.CIQ($B13,"IQ_TOTAL_CAP",AAF$3,$I$3, $N$3, , $J$3, $K$3)),"")</f>
        <v/>
      </c>
      <c r="ABA13" s="628" t="str">
        <f>IFERROR(IF(OR($B13="",ABA$4=""),"",_xll.ciqfunctions.udf.CIQ($B13,"IQ_TEV",ABA$4)/_xll.ciqfunctions.udf.CIQ($B13,"IQ_TOTAL_CAP",AAG$3,$I$3, $N$3, , $J$3, $K$3)),"")</f>
        <v/>
      </c>
      <c r="ABB13" s="628" t="str">
        <f>IFERROR(IF(OR($B13="",ABB$4=""),"",_xll.ciqfunctions.udf.CIQ($B13,"IQ_TEV",ABB$4)/_xll.ciqfunctions.udf.CIQ($B13,"IQ_TOTAL_CAP",AAH$3,$I$3, $N$3, , $J$3, $K$3)),"")</f>
        <v/>
      </c>
      <c r="ABC13" s="628" t="str">
        <f>IFERROR(IF(OR($B13="",ABC$4=""),"",_xll.ciqfunctions.udf.CIQ($B13,"IQ_TEV",ABC$4)/_xll.ciqfunctions.udf.CIQ($B13,"IQ_TOTAL_CAP",AAI$3,$I$3, $N$3, , $J$3, $K$3)),"")</f>
        <v/>
      </c>
      <c r="ABD13" s="628" t="str">
        <f>IFERROR(IF(OR($B13="",ABD$4=""),"",_xll.ciqfunctions.udf.CIQ($B13,"IQ_TEV",ABD$4)/_xll.ciqfunctions.udf.CIQ($B13,"IQ_TOTAL_CAP",AAJ$3,$I$3, $N$3, , $J$3, $K$3)),"")</f>
        <v/>
      </c>
      <c r="ABE13" s="72" t="str">
        <f t="shared" si="363"/>
        <v/>
      </c>
      <c r="ABF13" s="72" t="str">
        <f t="shared" si="364"/>
        <v/>
      </c>
      <c r="ABG13" s="72" t="str">
        <f t="shared" si="365"/>
        <v/>
      </c>
      <c r="ABH13" s="72" t="str">
        <f t="shared" si="366"/>
        <v/>
      </c>
      <c r="ABI13" s="72" t="str">
        <f t="shared" si="367"/>
        <v/>
      </c>
      <c r="ABJ13" s="72" t="str">
        <f t="shared" si="368"/>
        <v/>
      </c>
      <c r="ABK13" s="72" t="str">
        <f t="shared" si="369"/>
        <v/>
      </c>
      <c r="ABL13" s="72" t="str">
        <f t="shared" si="370"/>
        <v/>
      </c>
      <c r="ABM13" s="72" t="str">
        <f t="shared" si="371"/>
        <v/>
      </c>
      <c r="ABN13" s="72" t="str">
        <f t="shared" si="372"/>
        <v/>
      </c>
      <c r="ABO13" s="72" t="str">
        <f t="shared" si="373"/>
        <v/>
      </c>
      <c r="ABP13" s="72" t="str">
        <f t="shared" si="374"/>
        <v/>
      </c>
      <c r="ABQ13" s="72" t="str">
        <f t="shared" si="375"/>
        <v/>
      </c>
      <c r="ABR13" s="72" t="str">
        <f t="shared" si="376"/>
        <v/>
      </c>
      <c r="ABS13" s="72" t="str">
        <f t="shared" si="377"/>
        <v/>
      </c>
      <c r="ABT13" s="72" t="str">
        <f t="shared" si="378"/>
        <v/>
      </c>
      <c r="ABU13" s="72" t="str">
        <f t="shared" si="379"/>
        <v/>
      </c>
      <c r="ABV13" s="72" t="str">
        <f t="shared" si="380"/>
        <v/>
      </c>
      <c r="ABW13" s="72" t="str">
        <f t="shared" si="381"/>
        <v/>
      </c>
      <c r="ABX13" s="72" t="str">
        <f t="shared" si="382"/>
        <v/>
      </c>
      <c r="ABY13" s="89" t="str">
        <f>IFERROR(IF(OR($B13="",ABY$3=""),"",IF(NOT(ISNUMBER(_xll.ciqfunctions.udf.CIQ($B13, "IQ_FIXED_ASSET_TURNS", ABY$3, $E$3, $N$3, , $J$3, $K$3))),"",_xll.ciqfunctions.udf.CIQ($B13, "IQ_FIXED_ASSET_TURNS", ABY$3, $E$3, $N$3, , $J$3, $K$3))),"")</f>
        <v/>
      </c>
      <c r="ABZ13" s="90" t="str">
        <f>IFERROR(IF(OR($B13="",ABZ$3=""),"",IF(NOT(ISNUMBER(_xll.ciqfunctions.udf.CIQ($B13, "IQ_FIXED_ASSET_TURNS", ABZ$3, $E$3, $N$3, , $J$3, $K$3))),"",_xll.ciqfunctions.udf.CIQ($B13, "IQ_FIXED_ASSET_TURNS", ABZ$3, $E$3, $N$3, , $J$3, $K$3))),"")</f>
        <v/>
      </c>
      <c r="ACA13" s="90" t="str">
        <f>IFERROR(IF(OR($B13="",ACA$3=""),"",IF(NOT(ISNUMBER(_xll.ciqfunctions.udf.CIQ($B13, "IQ_FIXED_ASSET_TURNS", ACA$3, $E$3, $N$3, , $J$3, $K$3))),"",_xll.ciqfunctions.udf.CIQ($B13, "IQ_FIXED_ASSET_TURNS", ACA$3, $E$3, $N$3, , $J$3, $K$3))),"")</f>
        <v/>
      </c>
      <c r="ACB13" s="90" t="str">
        <f>IFERROR(IF(OR($B13="",ACB$3=""),"",IF(NOT(ISNUMBER(_xll.ciqfunctions.udf.CIQ($B13, "IQ_FIXED_ASSET_TURNS", ACB$3, $E$3, $N$3, , $J$3, $K$3))),"",_xll.ciqfunctions.udf.CIQ($B13, "IQ_FIXED_ASSET_TURNS", ACB$3, $E$3, $N$3, , $J$3, $K$3))),"")</f>
        <v/>
      </c>
      <c r="ACC13" s="90" t="str">
        <f>IFERROR(IF(OR($B13="",ACC$3=""),"",IF(NOT(ISNUMBER(_xll.ciqfunctions.udf.CIQ($B13, "IQ_FIXED_ASSET_TURNS", ACC$3, $E$3, $N$3, , $J$3, $K$3))),"",_xll.ciqfunctions.udf.CIQ($B13, "IQ_FIXED_ASSET_TURNS", ACC$3, $E$3, $N$3, , $J$3, $K$3))),"")</f>
        <v/>
      </c>
      <c r="ACD13" s="90" t="str">
        <f>IFERROR(IF(OR($B13="",ACD$3=""),"",IF(NOT(ISNUMBER(_xll.ciqfunctions.udf.CIQ($B13, "IQ_FIXED_ASSET_TURNS", ACD$3, $E$3, $N$3, , $J$3, $K$3))),"",_xll.ciqfunctions.udf.CIQ($B13, "IQ_FIXED_ASSET_TURNS", ACD$3, $E$3, $N$3, , $J$3, $K$3))),"")</f>
        <v/>
      </c>
      <c r="ACE13" s="90" t="str">
        <f>IFERROR(IF(OR($B13="",ACE$3=""),"",IF(NOT(ISNUMBER(_xll.ciqfunctions.udf.CIQ($B13, "IQ_FIXED_ASSET_TURNS", ACE$3, $E$3, $N$3, , $J$3, $K$3))),"",_xll.ciqfunctions.udf.CIQ($B13, "IQ_FIXED_ASSET_TURNS", ACE$3, $E$3, $N$3, , $J$3, $K$3))),"")</f>
        <v/>
      </c>
      <c r="ACF13" s="90" t="str">
        <f>IFERROR(IF(OR($B13="",ACF$3=""),"",IF(NOT(ISNUMBER(_xll.ciqfunctions.udf.CIQ($B13, "IQ_FIXED_ASSET_TURNS", ACF$3, $E$3, $N$3, , $J$3, $K$3))),"",_xll.ciqfunctions.udf.CIQ($B13, "IQ_FIXED_ASSET_TURNS", ACF$3, $E$3, $N$3, , $J$3, $K$3))),"")</f>
        <v/>
      </c>
      <c r="ACG13" s="90" t="str">
        <f>IFERROR(IF(OR($B13="",ACG$3=""),"",IF(NOT(ISNUMBER(_xll.ciqfunctions.udf.CIQ($B13, "IQ_FIXED_ASSET_TURNS", ACG$3, $E$3, $N$3, , $J$3, $K$3))),"",_xll.ciqfunctions.udf.CIQ($B13, "IQ_FIXED_ASSET_TURNS", ACG$3, $E$3, $N$3, , $J$3, $K$3))),"")</f>
        <v/>
      </c>
      <c r="ACH13" s="90" t="str">
        <f>IFERROR(IF(OR($B13="",ACH$3=""),"",IF(NOT(ISNUMBER(_xll.ciqfunctions.udf.CIQ($B13, "IQ_FIXED_ASSET_TURNS", ACH$3, $E$3, $N$3, , $J$3, $K$3))),"",_xll.ciqfunctions.udf.CIQ($B13, "IQ_FIXED_ASSET_TURNS", ACH$3, $E$3, $N$3, , $J$3, $K$3))),"")</f>
        <v/>
      </c>
      <c r="ACI13" s="90" t="str">
        <f>IFERROR(IF(OR($B13="",ACI$3=""),"",IF(NOT(ISNUMBER(_xll.ciqfunctions.udf.CIQ($B13, "IQ_FIXED_ASSET_TURNS", ACI$3, $E$3, $N$3, , $J$3, $K$3))),"",_xll.ciqfunctions.udf.CIQ($B13, "IQ_FIXED_ASSET_TURNS", ACI$3, $E$3, $N$3, , $J$3, $K$3))),"")</f>
        <v/>
      </c>
      <c r="ACJ13" s="90" t="str">
        <f>IFERROR(IF(OR($B13="",ACJ$3=""),"",IF(NOT(ISNUMBER(_xll.ciqfunctions.udf.CIQ($B13, "IQ_FIXED_ASSET_TURNS", ACJ$3, $E$3, $N$3, , $J$3, $K$3))),"",_xll.ciqfunctions.udf.CIQ($B13, "IQ_FIXED_ASSET_TURNS", ACJ$3, $E$3, $N$3, , $J$3, $K$3))),"")</f>
        <v/>
      </c>
      <c r="ACK13" s="90" t="str">
        <f>IFERROR(IF(OR($B13="",ACK$3=""),"",IF(NOT(ISNUMBER(_xll.ciqfunctions.udf.CIQ($B13, "IQ_FIXED_ASSET_TURNS", ACK$3, $E$3, $N$3, , $J$3, $K$3))),"",_xll.ciqfunctions.udf.CIQ($B13, "IQ_FIXED_ASSET_TURNS", ACK$3, $E$3, $N$3, , $J$3, $K$3))),"")</f>
        <v/>
      </c>
      <c r="ACL13" s="90" t="str">
        <f>IFERROR(IF(OR($B13="",ACL$3=""),"",IF(NOT(ISNUMBER(_xll.ciqfunctions.udf.CIQ($B13, "IQ_FIXED_ASSET_TURNS", ACL$3, $E$3, $N$3, , $J$3, $K$3))),"",_xll.ciqfunctions.udf.CIQ($B13, "IQ_FIXED_ASSET_TURNS", ACL$3, $E$3, $N$3, , $J$3, $K$3))),"")</f>
        <v/>
      </c>
      <c r="ACM13" s="90" t="str">
        <f>IFERROR(IF(OR($B13="",ACM$3=""),"",IF(NOT(ISNUMBER(_xll.ciqfunctions.udf.CIQ($B13, "IQ_FIXED_ASSET_TURNS", ACM$3, $E$3, $N$3, , $J$3, $K$3))),"",_xll.ciqfunctions.udf.CIQ($B13, "IQ_FIXED_ASSET_TURNS", ACM$3, $E$3, $N$3, , $J$3, $K$3))),"")</f>
        <v/>
      </c>
      <c r="ACN13" s="90" t="str">
        <f>IFERROR(IF(OR($B13="",ACN$3=""),"",IF(NOT(ISNUMBER(_xll.ciqfunctions.udf.CIQ($B13, "IQ_FIXED_ASSET_TURNS", ACN$3, $E$3, $N$3, , $J$3, $K$3))),"",_xll.ciqfunctions.udf.CIQ($B13, "IQ_FIXED_ASSET_TURNS", ACN$3, $E$3, $N$3, , $J$3, $K$3))),"")</f>
        <v/>
      </c>
      <c r="ACO13" s="90" t="str">
        <f>IFERROR(IF(OR($B13="",ACO$3=""),"",IF(NOT(ISNUMBER(_xll.ciqfunctions.udf.CIQ($B13, "IQ_FIXED_ASSET_TURNS", ACO$3, $E$3, $N$3, , $J$3, $K$3))),"",_xll.ciqfunctions.udf.CIQ($B13, "IQ_FIXED_ASSET_TURNS", ACO$3, $E$3, $N$3, , $J$3, $K$3))),"")</f>
        <v/>
      </c>
      <c r="ACP13" s="90" t="str">
        <f>IFERROR(IF(OR($B13="",ACP$3=""),"",IF(NOT(ISNUMBER(_xll.ciqfunctions.udf.CIQ($B13, "IQ_FIXED_ASSET_TURNS", ACP$3, $E$3, $N$3, , $J$3, $K$3))),"",_xll.ciqfunctions.udf.CIQ($B13, "IQ_FIXED_ASSET_TURNS", ACP$3, $E$3, $N$3, , $J$3, $K$3))),"")</f>
        <v/>
      </c>
      <c r="ACQ13" s="90" t="str">
        <f>IFERROR(IF(OR($B13="",ACQ$3=""),"",IF(NOT(ISNUMBER(_xll.ciqfunctions.udf.CIQ($B13, "IQ_FIXED_ASSET_TURNS", ACQ$3, $E$3, $N$3, , $J$3, $K$3))),"",_xll.ciqfunctions.udf.CIQ($B13, "IQ_FIXED_ASSET_TURNS", ACQ$3, $E$3, $N$3, , $J$3, $K$3))),"")</f>
        <v/>
      </c>
      <c r="ACR13" s="91" t="str">
        <f>IFERROR(IF(OR($B13="",ACR$3=""),"",IF(NOT(ISNUMBER(_xll.ciqfunctions.udf.CIQ($B13, "IQ_FIXED_ASSET_TURNS", ACR$3, $E$3, $N$3, , $J$3, $K$3))),"",_xll.ciqfunctions.udf.CIQ($B13, "IQ_FIXED_ASSET_TURNS", ACR$3, $E$3, $N$3, , $J$3, $K$3))),"")</f>
        <v/>
      </c>
    </row>
    <row r="14" spans="1:772" ht="15" customHeight="1" x14ac:dyDescent="0.2">
      <c r="A14" s="267" t="str">
        <f>IF(B14="","",_xll.ciqfunctions.udf.CIQ($B14,"IQ_COMPANY_NAME"))</f>
        <v/>
      </c>
      <c r="B14" s="81" t="str">
        <f>IF(Input!B26="","",Input!B26)</f>
        <v/>
      </c>
      <c r="C14" s="81">
        <f>Input!E26</f>
        <v>0</v>
      </c>
      <c r="D14" s="67" t="str">
        <f>IF(B14="","",_xll.ciqfunctions.udf.CIQ($B14,"IQ_PRIMARY_INDUSTRY"))</f>
        <v/>
      </c>
      <c r="E14" s="95" t="str">
        <f>IFERROR(IF(B14="","",IF(NOT(ISNUMBER(_xll.ciqfunctions.udf.CIQ($B14,"IQ_LASTSALEPRICE",$E$3))),"",_xll.ciqfunctions.udf.CIQ($B14,"IQ_LASTSALEPRICE",$E$3))),"")</f>
        <v/>
      </c>
      <c r="F14" s="96" t="str">
        <f>IFERROR(IF(B14="","",IF(NOT(ISNUMBER(_xll.ciqfunctions.udf.CIQ($B14,"IQ_LASTSALEPRICE",$E$4))),"",_xll.ciqfunctions.udf.CIQ($B14,"IQ_LASTSALEPRICE",$E$4))),"")</f>
        <v/>
      </c>
      <c r="G14" s="83" t="str">
        <f t="shared" si="383"/>
        <v/>
      </c>
      <c r="H14" s="83" t="str">
        <f>IFERROR(IF(B14="","",IF(NOT(ISNUMBER(_xll.ciqfunctions.udf.CIQ($B14,"IQ_TOTAL_REV_1YR_ANN_GROWTH",$O$3, $I$3, $N$3, , $J$3, $K$3))),"",_xll.ciqfunctions.udf.CIQ($B14,"IQ_TOTAL_REV_1YR_ANN_GROWTH",$O$3, $I$3, $N$3, , $J$3, $K$3))/100),"")</f>
        <v/>
      </c>
      <c r="I14" s="83" t="str">
        <f>IFERROR(IF(B14="","",IF(NOT(ISNUMBER(_xll.ciqfunctions.udf.CIQ($B14,"IQ_GROSS_MARGIN",$O$3, $I$3, $N$3, , $J$3, $K$3))),"",_xll.ciqfunctions.udf.CIQ($B14,"IQ_GROSS_MARGIN",$O$3, $I$3, $N$3, , $J$3, $K$3))/100),"")</f>
        <v/>
      </c>
      <c r="J14" s="83" t="str">
        <f>IFERROR(IF(B14="","",IF(NOT(ISNUMBER(_xll.ciqfunctions.udf.CIQ($B14,"IQ_EBITDA_MARGIN",$O$3, $I$3, $N$3, , $J$3, $K$3))),"",_xll.ciqfunctions.udf.CIQ($B14,"IQ_EBITDA_MARGIN",$O$3, $I$3, $N$3, , $J$3, $K$3))/100),"")</f>
        <v/>
      </c>
      <c r="K14" s="83" t="str">
        <f>IFERROR(IF(A14="","",IF(NOT(ISNUMBER(_xll.ciqfunctions.udf.CIQ($B14,"IQ_EBIT_MARGIN",$O$3, $I$3, $N$3, , $J$3, $K$3))),"",_xll.ciqfunctions.udf.CIQ($B14,"IQ_EBIT_MARGIN",$O$3, $I$3, $N$3, , $J$3, $K$3))/100),"")</f>
        <v/>
      </c>
      <c r="L14" s="83" t="str">
        <f>IFERROR(IF(B14="","",IF(NOT(ISNUMBER(_xll.ciqfunctions.udf.CIQ($B14,"IQ_NI_MARGIN",$O$3, $I$3, $N$3, , $J$3, $K$3))),"",_xll.ciqfunctions.udf.CIQ($B14,"IQ_NI_MARGIN",$O$3, $I$3, $N$3, , $J$3, $K$3))/100),"")</f>
        <v/>
      </c>
      <c r="M14" s="83" t="str">
        <f>IFERROR(IF($B14="","",IF(AND(N$4="Yes",NOT(ISNUMBER(_xll.ciqfunctions.udf.CIQ($B14,"IQ_COGS",$O$3, $I$3, $N$3, , $J$3, $K$3))),NOT(ISNUMBER(_xll.ciqfunctions.udf.CIQ($B14,"IQ_TOTAL_REVENUE",$O$3, $I$3, $N$3, , $J$3, $K$3)))),"",_xll.ciqfunctions.udf.CIQ($B14,"IQ_COGS",$O$3, $I$3, $N$3, , $J$3, $K$3)/_xll.ciqfunctions.udf.CIQ($B14,"IQ_TOTAL_REVENUE",$O$3, $I$3, $N$3, , $J$3, $K$3))),"")</f>
        <v/>
      </c>
      <c r="N14" s="83" t="str">
        <f>IFERROR(IF($B14="","",(IF(NOT(ISNUMBER(_xll.ciqfunctions.udf.CIQ($B14,"IQ_TOTAL_REVENUE",$O$3, $I$3, $N$3, , $J$3, $K$3))),"",_xll.ciqfunctions.udf.CIQ($B14,"IQ_TOTAL_REVENUE",$O$3, $I$3, $N$3, , $J$3, $K$3))-IF(NOT(ISNUMBER(_xll.ciqfunctions.udf.CIQ($B14,"IQ_COGS",$O$3, $I$3, $N$3, , $J$3, $K$3))),"",_xll.ciqfunctions.udf.CIQ($B14,"IQ_COGS",$O$3, $I$3, $N$3, , $J$3, $K$3))-IF(NOT(ISNUMBER(_xll.ciqfunctions.udf.CIQ($B14,"IQ_EBITDA",$O$3, $I$3, $N$3, , $J$3, $K$3))),"",_xll.ciqfunctions.udf.CIQ($B14,"IQ_EBITDA",$O$3, $I$3, $N$3, , $J$3, $K$3)))/IF(NOT(ISNUMBER(_xll.ciqfunctions.udf.CIQ($B14,"IQ_TOTAL_REVENUE",$O$3, $I$3, $N$3, , $J$3, $K$3))),"",_xll.ciqfunctions.udf.CIQ($B14,"IQ_TOTAL_REVENUE",$O$3, $I$3, $N$3, , $J$3, $K$3))),"")</f>
        <v/>
      </c>
      <c r="O14" s="83" t="str">
        <f>IFERROR(IF($B14="","",IF(AND(P$4="Yes",NOT(ISNUMBER(_xll.ciqfunctions.udf.CIQ($B14,"IQ_SGA_MARGIN",$O$3, $I$3, $N$3, , $J$3, $K$3)))),"",_xll.ciqfunctions.udf.CIQ($B14,"IQ_SGA_MARGIN",$O$3, $I$3, $N$3, , $J$3, $K$3)/100)),"")</f>
        <v/>
      </c>
      <c r="P14" s="83" t="str">
        <f>IFERROR(IF($B14="","",IF(AND(Q$4="No",OR(NOT(ISNUMBER(_xll.ciqfunctions.udf.CIQ($B14, "IQ_RD_EXP",$O$3, $I$3, $N$3, , $J$3, $K$3))),_xll.ciqfunctions.udf.CIQ($B14, "IQ_RD_EXP",$O$3, $I$3, $N$3, , $J$3, $K$3)&lt;0,NOT(ISNUMBER(_xll.ciqfunctions.udf.CIQ($B14,"IQ_TOTAL_REV",$O$3, $I$3, $N$3, , $J$3, $K$3))))),"",_xll.ciqfunctions.udf.CIQ($B14, "IQ_RD_EXP",$O$3, $I$3, $N$3, , $J$3, $K$3)/_xll.ciqfunctions.udf.CIQ($B14,"IQ_TOTAL_REV",$O$3, $I$3, $N$3, , $J$3, $K$3))),"")</f>
        <v/>
      </c>
      <c r="Q14" s="84" t="str">
        <f>IFERROR(IF($B14="","",IF(AND(R$4="No",OR(NOT(ISNUMBER(_xll.ciqfunctions.udf.CIQ($B14,"IQ_AR",$O$3, $I$3, $N$3, , $J$3, $K$3,,,,"USD"))),_xll.ciqfunctions.udf.CIQ($B14,"IQ_AR",$O$3, $I$3, $N$3, , $J$3, $K$3,,,,"USD")&lt;0,NOT(ISNUMBER(_xll.ciqfunctions.udf.CIQ($B14,"IQ_REVENUE",$O$3, $I$3, $N$3, , $J$3, $K$3))))),"",0.5*(_xll.ciqfunctions.udf.CIQ($B14,"IQ_AR",$O$3, $I$3, $N$3, , $J$3, $K$3)+_xll.ciqfunctions.udf.CIQ($B14,"IQ_AR",$O$3&amp;"-4", $I$3, $N$3, , $J$3, $K$3))/_xll.ciqfunctions.udf.CIQ($B14,"IQ_REVENUE",$O$3, $I$3, $N$3, , $J$3, $K$3)*365)),"")</f>
        <v/>
      </c>
      <c r="R14" s="84" t="str">
        <f>IFERROR(IF($B14="","",IF(AND(S$4="No",OR(NOT(ISNUMBER(_xll.ciqfunctions.udf.CIQ($B14,"IQ_INVENTORY",$O$3, $I$3, $N$3, , $J$3, $K$3))),_xll.ciqfunctions.udf.CIQ($B14,"IQ_INVENTORY",$O$3, $I$3, $N$3, , $J$3, $K$3)&lt;0,NOT(ISNUMBER(_xll.ciqfunctions.udf.CIQ($B14,"IQ_COGS",$O$3, $I$3, $N$3, , $J$3, $K$3))),_xll.ciqfunctions.udf.CIQ($B14,"IQ_COGS",$O$3, $I$3, $N$3, , $J$3, $K$3)&lt;0)),"",0.5*(_xll.ciqfunctions.udf.CIQ($B14,"IQ_INVENTORY",$O$3, $I$3, $N$3, , $J$3, $K$3)+_xll.ciqfunctions.udf.CIQ($B14,"IQ_INVENTORY",$O$3&amp;"-4", $I$3, $N$3, , $J$3, $K$3))/_xll.ciqfunctions.udf.CIQ($B14,"IQ_COGS",$O$3, $I$3, $N$3, , $J$3, $K$3)*365)),"")</f>
        <v/>
      </c>
      <c r="S14" s="84" t="str">
        <f>IFERROR(IF(B14="","",IF($B14="","",IF(AND(T$4="No",OR(NOT(ISNUMBER(_xll.ciqfunctions.udf.CIQ($B14,"IQ_AP",$O$3, $I$3, $N$3, , $J$3, $K$3))),_xll.ciqfunctions.udf.CIQ($B14,"IQ_AP",$O$3, $I$3, $N$3, , $J$3, $K$3)&lt;0,NOT(ISNUMBER(_xll.ciqfunctions.udf.CIQ($B14,"IQ_COGS",$O$3, $I$3, $N$3, , $J$3, $K$3))),_xll.ciqfunctions.udf.CIQ($B14,"IQ_COGS",$O$3, $I$3, $N$3, , $J$3, $K$3)&lt;0)),"",0.5*(_xll.ciqfunctions.udf.CIQ($B14,"IQ_AP",$O$3, $I$3, $N$3, , $J$3, $K$3)+_xll.ciqfunctions.udf.CIQ($B14,"IQ_AP",$O$3&amp;"-4", $I$3, $N$3, , $J$3, $K$3))/_xll.ciqfunctions.udf.CIQ($B14,"IQ_COGS",$O$3, $I$3, $N$3, , $J$3, $K$3)*365))),"")</f>
        <v/>
      </c>
      <c r="T14" s="84" t="str">
        <f t="shared" si="342"/>
        <v/>
      </c>
      <c r="U14" s="83" t="str">
        <f>IFERROR(IF(OR(NOT(ISNUMBER(_xll.ciqfunctions.udf.CIQ($B14,"IQ_NI",$O$3, $I$3, $N$3, , $J$3, $K$3))),NOT(ISNUMBER(_xll.ciqfunctions.udf.CIQ($B14,"IQ_TOTAL_ASSETS",$O$3, $I$3, $N$3, , $J$3, $K$3)))),"",_xll.ciqfunctions.udf.CIQ($B14,"IQ_NI",$O$3, $I$3, $N$3, , $J$3, $K$3)/(0.5*(_xll.ciqfunctions.udf.CIQ($B14,"IQ_TOTAL_ASSETS",$O$3, $I$3, $N$3, , $J$3, $K$3)+_xll.ciqfunctions.udf.CIQ($B14,"IQ_TOTAL_ASSETS",$O$3&amp;"-4", $I$3, $N$3, , $J$3, $K$3)))),"")</f>
        <v/>
      </c>
      <c r="V14" s="83" t="str">
        <f>IFERROR(_xll.ciqfunctions.udf.CIQ($B14,"IQ_NI",$O$3, $I$3, $N$3, , $J$3, $K$3)*2/(_xll.ciqfunctions.udf.CIQ($B14,"IQ_TOTAL_ASSETS",$O$3, $I$3, $N$3, , $J$3, $K$3)+_xll.ciqfunctions.udf.CIQ($B14,"IQ_TOTAL_ASSETS",$O$3 &amp; "-4", $I$3, $N$3, , $J$3, $K$3)-_xll.ciqfunctions.udf.CIQ($B14,"IQ_TOTAL_CL",$O$3, $I$3, $N$3, , $J$3, $K$3)-_xll.ciqfunctions.udf.CIQ($B14,"IQ_TOTAL_CL",$O$3 &amp; "-4", $I$3, $N$3, , $J$3, $K$3)),"")</f>
        <v/>
      </c>
      <c r="W14" s="83" t="str">
        <f>IFERROR(IF(OR(NOT(ISNUMBER(_xll.ciqfunctions.udf.CIQ($B14,"IQ_NI",$O$3, $I$3, $N$3, , $J$3, $K$3))),NOT(ISNUMBER(_xll.ciqfunctions.udf.CIQ($B14,"IQ_TOTAL_EQUITY",$O$3, $I$3, $N$3, , $J$3, $K$3)))),"",_xll.ciqfunctions.udf.CIQ($B14,"IQ_NI",$O$3, $I$3, $N$3, , $J$3, $K$3)/(0.5*(_xll.ciqfunctions.udf.CIQ($B14,"IQ_TOTAL_EQUITY",$O$3, $I$3, $N$3, , $J$3, $K$3)+_xll.ciqfunctions.udf.CIQ($B14,"IQ_TOTAL_EQUITY",$O$3&amp;"-4", $I$3, $N$3, , $J$3, $K$3)))),"")</f>
        <v/>
      </c>
      <c r="X14" s="1026" t="str">
        <f>IFERROR(IF($B14="","",IF(NOT(ISNUMBER(_xll.ciqfunctions.udf.CIQ($B14,"IQ_ASSET_TURNS",$O$3, $I$3, $N$3, , $J$3, $K$3))),"",_xll.ciqfunctions.udf.CIQ($B14,"IQ_ASSET_TURNS",$O$3, $I$3, $N$3, , $J$3, $K$3))),"")</f>
        <v/>
      </c>
      <c r="Y14" s="1026" t="str">
        <f>IFERROR(IF($B14="","",IF(NOT(ISNUMBER(_xll.ciqfunctions.udf.CIQ($B14,"IQ_FIXED_ASSET_TURNS",$O$3, $I$3, $N$3, , $J$3, $K$3))),"",_xll.ciqfunctions.udf.CIQ($B14,"IQ_FIXED_ASSET_TURNS",$O$3, $I$3, $N$3, , $J$3, $K$3))),"")</f>
        <v/>
      </c>
      <c r="Z14" s="83" t="str">
        <f>IFERROR(IF(B14="","",IF(OR(NOT(ISNUMBER(_xll.ciqfunctions.udf.CIQ($B14,"IQ_CASH_OPER",$O$3, $I$3, $N$3, , $J$3, $K$3))),NOT(ISNUMBER(_xll.ciqfunctions.udf.CIQ($B14,"IQ_TOTAL_REV",$O$3, $I$3, $N$3, , $J$3, $K$3)))),"",_xll.ciqfunctions.udf.CIQ($B14,"IQ_CASH_OPER",$O$3, $I$3, $N$3, , $J$3, $K$3)/_xll.ciqfunctions.udf.CIQ($B14,"IQ_TOTAL_REV",$O$3, $I$3, $N$3, , $J$3, $K$3))),"")</f>
        <v/>
      </c>
      <c r="AA14" s="84" t="str">
        <f>IFERROR(IF(B14="","",IF(OR(NOT(ISNUMBER(_xll.ciqfunctions.udf.CIQ($B14,"IQ_TOTAL_ASSETS",IQ_LTM, $I$3, $N$3, , $J$3, $K$3))),NOT(ISNUMBER(_xll.ciqfunctions.udf.CIQ($B14,"IQ_TOTAL_COMMON_EQUITY",IQ_LTM, $I$3, $N$3, , $J$3, $K$3)))),"",_xll.ciqfunctions.udf.CIQ($B14,"IQ_TOTAL_ASSETS",IQ_LTM, $I$3, $N$3, , $J$3, $K$3)/_xll.ciqfunctions.udf.CIQ($B14,"IQ_TOTAL_COMMON_EQUITY",IQ_LTM, $I$3, $N$3, , $J$3, $K$3))),"")</f>
        <v/>
      </c>
      <c r="AB14" s="83" t="str">
        <f>IFERROR(IF(B14="","",IF(OR(NOT(ISNUMBER(_xll.ciqfunctions.udf.CIQ($B14,"IQ_EBT",$O$3, $I$3, $N$3, , $J$3, $K$3))),NOT(ISNUMBER(_xll.ciqfunctions.udf.CIQ($B14,"IQ_TOTAL_REV",$O$3, $I$3, $N$3, , $J$3, $K$3)))),"",_xll.ciqfunctions.udf.CIQ($B14,"IQ_EBT",$O$3, $I$3, $N$3, , $J$3, $K$3)/_xll.ciqfunctions.udf.CIQ($B14,"IQ_TOTAL_REV",$O$3, $I$3, $N$3, , $J$3, $K$3))),"")</f>
        <v/>
      </c>
      <c r="AC14" s="83" t="str">
        <f>IFERROR(IF(E14="","",IF(OR(NOT(ISNUMBER(_xll.ciqfunctions.udf.CIQ($B14,"IQ_INC_TAX",$O$3, $I$3, $N$3, , $J$3, $K$3))),NOT(ISNUMBER(_xll.ciqfunctions.udf.CIQ($B14,"IQ_EBT",$O$3, $I$3, $N$3, , $J$3, $K$3))),_xll.ciqfunctions.udf.CIQ($B14,"IQ_INC_TAX",$O$3, $I$3, $N$3, , $J$3, $K$3)&lt;0),"",_xll.ciqfunctions.udf.CIQ($B14,"IQ_INC_TAX",$O$3, $I$3, $N$3, , $J$3, $K$3)/ABS(_xll.ciqfunctions.udf.CIQ($B14,"IQ_EBT",$O$3, $I$3, $N$3, , $J$3, $K$3)))),"")</f>
        <v/>
      </c>
      <c r="AD14" s="84" t="str">
        <f>IFERROR(IF(B14="","",IF(NOT(ISNUMBER(_xll.ciqfunctions.udf.CIQ($B14,"IQ_Z_SCORE",$O$3, $I$3, $N$3, , $J$3, $K$3))),"",_xll.ciqfunctions.udf.CIQ($B14,"IQ_Z_SCORE",$O$3, $I$3, $N$3, , $J$3, $K$3))),"")</f>
        <v/>
      </c>
      <c r="AE14" s="85" t="str">
        <f>IF($A14="","",IF(NOT(ISNUMBER(_xll.ciqfunctions.udf.CIQ($B14, "IQ_BETA_5YR", $E$3))),"",_xll.ciqfunctions.udf.CIQ($B14, "IQ_BETA_5YR", $E$3)))</f>
        <v/>
      </c>
      <c r="AF14" s="19"/>
      <c r="AG14" s="274" t="str">
        <f>IFERROR(IF(OR($B14="",AG$3=""),"",IF(NOT(ISNUMBER(_xll.ciqfunctions.udf.CIQ($B14, "IQ_GROSS_MARGIN", AG$3, $I$3, $N$3, , $J$3, $K$3))),"",_xll.ciqfunctions.udf.CIQ($B14, "IQ_GROSS_MARGIN", AG$3, $I$3, $N$3, , $J$3, $K$3)/100)),"")</f>
        <v/>
      </c>
      <c r="AH14" s="87" t="str">
        <f>IFERROR(IF(OR($B14="",AH$3=""),"",IF(NOT(ISNUMBER(_xll.ciqfunctions.udf.CIQ($B14, "IQ_GROSS_MARGIN", AH$3, $I$3, $N$3, , $J$3, $K$3))),"",_xll.ciqfunctions.udf.CIQ($B14, "IQ_GROSS_MARGIN", AH$3, $I$3, $N$3, , $J$3, $K$3)/100)),"")</f>
        <v/>
      </c>
      <c r="AI14" s="87" t="str">
        <f>IFERROR(IF(OR($B14="",AI$3=""),"",IF(NOT(ISNUMBER(_xll.ciqfunctions.udf.CIQ($B14, "IQ_GROSS_MARGIN", AI$3, $I$3, $N$3, , $J$3, $K$3))),"",_xll.ciqfunctions.udf.CIQ($B14, "IQ_GROSS_MARGIN", AI$3, $I$3, $N$3, , $J$3, $K$3)/100)),"")</f>
        <v/>
      </c>
      <c r="AJ14" s="87" t="str">
        <f>IFERROR(IF(OR($B14="",AJ$3=""),"",IF(NOT(ISNUMBER(_xll.ciqfunctions.udf.CIQ($B14, "IQ_GROSS_MARGIN", AJ$3, $I$3, $N$3, , $J$3, $K$3))),"",_xll.ciqfunctions.udf.CIQ($B14, "IQ_GROSS_MARGIN", AJ$3, $I$3, $N$3, , $J$3, $K$3)/100)),"")</f>
        <v/>
      </c>
      <c r="AK14" s="87" t="str">
        <f>IFERROR(IF(OR($B14="",AK$3=""),"",IF(NOT(ISNUMBER(_xll.ciqfunctions.udf.CIQ($B14, "IQ_GROSS_MARGIN", AK$3, $I$3, $N$3, , $J$3, $K$3))),"",_xll.ciqfunctions.udf.CIQ($B14, "IQ_GROSS_MARGIN", AK$3, $I$3, $N$3, , $J$3, $K$3)/100)),"")</f>
        <v/>
      </c>
      <c r="AL14" s="87" t="str">
        <f>IFERROR(IF(OR($B14="",AL$3=""),"",IF(NOT(ISNUMBER(_xll.ciqfunctions.udf.CIQ($B14, "IQ_GROSS_MARGIN", AL$3, $I$3, $N$3, , $J$3, $K$3))),"",_xll.ciqfunctions.udf.CIQ($B14, "IQ_GROSS_MARGIN", AL$3, $I$3, $N$3, , $J$3, $K$3)/100)),"")</f>
        <v/>
      </c>
      <c r="AM14" s="87" t="str">
        <f>IFERROR(IF(OR($B14="",AM$3=""),"",IF(NOT(ISNUMBER(_xll.ciqfunctions.udf.CIQ($B14, "IQ_GROSS_MARGIN", AM$3, $I$3, $N$3, , $J$3, $K$3))),"",_xll.ciqfunctions.udf.CIQ($B14, "IQ_GROSS_MARGIN", AM$3, $I$3, $N$3, , $J$3, $K$3)/100)),"")</f>
        <v/>
      </c>
      <c r="AN14" s="87" t="str">
        <f>IFERROR(IF(OR($B14="",AN$3=""),"",IF(NOT(ISNUMBER(_xll.ciqfunctions.udf.CIQ($B14, "IQ_GROSS_MARGIN", AN$3, $I$3, $N$3, , $J$3, $K$3))),"",_xll.ciqfunctions.udf.CIQ($B14, "IQ_GROSS_MARGIN", AN$3, $I$3, $N$3, , $J$3, $K$3)/100)),"")</f>
        <v/>
      </c>
      <c r="AO14" s="87" t="str">
        <f>IFERROR(IF(OR($B14="",AO$3=""),"",IF(NOT(ISNUMBER(_xll.ciqfunctions.udf.CIQ($B14, "IQ_GROSS_MARGIN", AO$3, $I$3, $N$3, , $J$3, $K$3))),"",_xll.ciqfunctions.udf.CIQ($B14, "IQ_GROSS_MARGIN", AO$3, $I$3, $N$3, , $J$3, $K$3)/100)),"")</f>
        <v/>
      </c>
      <c r="AP14" s="87" t="str">
        <f>IFERROR(IF(OR($B14="",AP$3=""),"",IF(NOT(ISNUMBER(_xll.ciqfunctions.udf.CIQ($B14, "IQ_GROSS_MARGIN", AP$3, $I$3, $N$3, , $J$3, $K$3))),"",_xll.ciqfunctions.udf.CIQ($B14, "IQ_GROSS_MARGIN", AP$3, $I$3, $N$3, , $J$3, $K$3)/100)),"")</f>
        <v/>
      </c>
      <c r="AQ14" s="87" t="str">
        <f>IFERROR(IF(OR($B14="",AQ$3=""),"",IF(NOT(ISNUMBER(_xll.ciqfunctions.udf.CIQ($B14, "IQ_GROSS_MARGIN", AQ$3, $I$3, $N$3, , $J$3, $K$3))),"",_xll.ciqfunctions.udf.CIQ($B14, "IQ_GROSS_MARGIN", AQ$3, $I$3, $N$3, , $J$3, $K$3)/100)),"")</f>
        <v/>
      </c>
      <c r="AR14" s="87" t="str">
        <f>IFERROR(IF(OR($B14="",AR$3=""),"",IF(NOT(ISNUMBER(_xll.ciqfunctions.udf.CIQ($B14, "IQ_GROSS_MARGIN", AR$3, $I$3, $N$3, , $J$3, $K$3))),"",_xll.ciqfunctions.udf.CIQ($B14, "IQ_GROSS_MARGIN", AR$3, $I$3, $N$3, , $J$3, $K$3)/100)),"")</f>
        <v/>
      </c>
      <c r="AS14" s="87" t="str">
        <f>IFERROR(IF(OR($B14="",AS$3=""),"",IF(NOT(ISNUMBER(_xll.ciqfunctions.udf.CIQ($B14, "IQ_GROSS_MARGIN", AS$3, $I$3, $N$3, , $J$3, $K$3))),"",_xll.ciqfunctions.udf.CIQ($B14, "IQ_GROSS_MARGIN", AS$3, $I$3, $N$3, , $J$3, $K$3)/100)),"")</f>
        <v/>
      </c>
      <c r="AT14" s="87" t="str">
        <f>IFERROR(IF(OR($B14="",AT$3=""),"",IF(NOT(ISNUMBER(_xll.ciqfunctions.udf.CIQ($B14, "IQ_GROSS_MARGIN", AT$3, $I$3, $N$3, , $J$3, $K$3))),"",_xll.ciqfunctions.udf.CIQ($B14, "IQ_GROSS_MARGIN", AT$3, $I$3, $N$3, , $J$3, $K$3)/100)),"")</f>
        <v/>
      </c>
      <c r="AU14" s="87" t="str">
        <f>IFERROR(IF(OR($B14="",AU$3=""),"",IF(NOT(ISNUMBER(_xll.ciqfunctions.udf.CIQ($B14, "IQ_GROSS_MARGIN", AU$3, $I$3, $N$3, , $J$3, $K$3))),"",_xll.ciqfunctions.udf.CIQ($B14, "IQ_GROSS_MARGIN", AU$3, $I$3, $N$3, , $J$3, $K$3)/100)),"")</f>
        <v/>
      </c>
      <c r="AV14" s="87" t="str">
        <f>IFERROR(IF(OR($B14="",AV$3=""),"",IF(NOT(ISNUMBER(_xll.ciqfunctions.udf.CIQ($B14, "IQ_GROSS_MARGIN", AV$3, $I$3, $N$3, , $J$3, $K$3))),"",_xll.ciqfunctions.udf.CIQ($B14, "IQ_GROSS_MARGIN", AV$3, $I$3, $N$3, , $J$3, $K$3)/100)),"")</f>
        <v/>
      </c>
      <c r="AW14" s="87" t="str">
        <f>IFERROR(IF(OR($B14="",AW$3=""),"",IF(NOT(ISNUMBER(_xll.ciqfunctions.udf.CIQ($B14, "IQ_GROSS_MARGIN", AW$3, $I$3, $N$3, , $J$3, $K$3))),"",_xll.ciqfunctions.udf.CIQ($B14, "IQ_GROSS_MARGIN", AW$3, $I$3, $N$3, , $J$3, $K$3)/100)),"")</f>
        <v/>
      </c>
      <c r="AX14" s="87" t="str">
        <f>IFERROR(IF(OR($B14="",AX$3=""),"",IF(NOT(ISNUMBER(_xll.ciqfunctions.udf.CIQ($B14, "IQ_GROSS_MARGIN", AX$3, $I$3, $N$3, , $J$3, $K$3))),"",_xll.ciqfunctions.udf.CIQ($B14, "IQ_GROSS_MARGIN", AX$3, $I$3, $N$3, , $J$3, $K$3)/100)),"")</f>
        <v/>
      </c>
      <c r="AY14" s="87" t="str">
        <f>IFERROR(IF(OR($B14="",AY$3=""),"",IF(NOT(ISNUMBER(_xll.ciqfunctions.udf.CIQ($B14, "IQ_GROSS_MARGIN", AY$3, $I$3, $N$3, , $J$3, $K$3))),"",_xll.ciqfunctions.udf.CIQ($B14, "IQ_GROSS_MARGIN", AY$3, $I$3, $N$3, , $J$3, $K$3)/100)),"")</f>
        <v/>
      </c>
      <c r="AZ14" s="88" t="str">
        <f>IFERROR(IF(OR($B14="",AZ$3=""),"",IF(NOT(ISNUMBER(_xll.ciqfunctions.udf.CIQ($B14, "IQ_GROSS_MARGIN", AZ$3, $I$3, $N$3, , $J$3, $K$3))),"",_xll.ciqfunctions.udf.CIQ($B14, "IQ_GROSS_MARGIN", AZ$3, $I$3, $N$3, , $J$3, $K$3)/100)),"")</f>
        <v/>
      </c>
      <c r="BA14" s="73" t="str">
        <f>IFERROR(IF(OR($B14="",BA$3=""),"",IF(NOT(ISNUMBER(_xll.ciqfunctions.udf.CIQ($B14, "IQ_EBITDA_MARGIN", BA$3, $I$3, $N$3, , $J$3, $K$3))),"",_xll.ciqfunctions.udf.CIQ($B14, "IQ_EBITDA_MARGIN", BA$3, $I$3, $N$3, , $J$3, $K$3)/100)),"")</f>
        <v/>
      </c>
      <c r="BB14" s="73" t="str">
        <f>IFERROR(IF(OR($B14="",BB$3=""),"",IF(NOT(ISNUMBER(_xll.ciqfunctions.udf.CIQ($B14, "IQ_EBITDA_MARGIN", BB$3, $I$3, $N$3, , $J$3, $K$3))),"",_xll.ciqfunctions.udf.CIQ($B14, "IQ_EBITDA_MARGIN", BB$3, $I$3, $N$3, , $J$3, $K$3)/100)),"")</f>
        <v/>
      </c>
      <c r="BC14" s="73" t="str">
        <f>IFERROR(IF(OR($B14="",BC$3=""),"",IF(NOT(ISNUMBER(_xll.ciqfunctions.udf.CIQ($B14, "IQ_EBITDA_MARGIN", BC$3, $I$3, $N$3, , $J$3, $K$3))),"",_xll.ciqfunctions.udf.CIQ($B14, "IQ_EBITDA_MARGIN", BC$3, $I$3, $N$3, , $J$3, $K$3)/100)),"")</f>
        <v/>
      </c>
      <c r="BD14" s="73" t="str">
        <f>IFERROR(IF(OR($B14="",BD$3=""),"",IF(NOT(ISNUMBER(_xll.ciqfunctions.udf.CIQ($B14, "IQ_EBITDA_MARGIN", BD$3, $I$3, $N$3, , $J$3, $K$3))),"",_xll.ciqfunctions.udf.CIQ($B14, "IQ_EBITDA_MARGIN", BD$3, $I$3, $N$3, , $J$3, $K$3)/100)),"")</f>
        <v/>
      </c>
      <c r="BE14" s="720" t="str">
        <f>IFERROR(IF(OR($B14="",BE$3=""),"",IF(NOT(ISNUMBER(_xll.ciqfunctions.udf.CIQ($B14, "IQ_EBITDA_MARGIN", BE$3, $I$3, $N$3, , $J$3, $K$3))),"",_xll.ciqfunctions.udf.CIQ($B14, "IQ_EBITDA_MARGIN", BE$3, $I$3, $N$3, , $J$3, $K$3)/100)),"")</f>
        <v/>
      </c>
      <c r="BF14" s="73" t="str">
        <f>IFERROR(IF(OR($B14="",BF$3=""),"",IF(NOT(ISNUMBER(_xll.ciqfunctions.udf.CIQ($B14, "IQ_EBITDA_MARGIN", BF$3, $I$3, $N$3, , $J$3, $K$3))),"",_xll.ciqfunctions.udf.CIQ($B14, "IQ_EBITDA_MARGIN", BF$3, $I$3, $N$3, , $J$3, $K$3)/100)),"")</f>
        <v/>
      </c>
      <c r="BG14" s="73" t="str">
        <f>IFERROR(IF(OR($B14="",BG$3=""),"",IF(NOT(ISNUMBER(_xll.ciqfunctions.udf.CIQ($B14, "IQ_EBITDA_MARGIN", BG$3, $I$3, $N$3, , $J$3, $K$3))),"",_xll.ciqfunctions.udf.CIQ($B14, "IQ_EBITDA_MARGIN", BG$3, $I$3, $N$3, , $J$3, $K$3)/100)),"")</f>
        <v/>
      </c>
      <c r="BH14" s="73" t="str">
        <f>IFERROR(IF(OR($B14="",BH$3=""),"",IF(NOT(ISNUMBER(_xll.ciqfunctions.udf.CIQ($B14, "IQ_EBITDA_MARGIN", BH$3, $I$3, $N$3, , $J$3, $K$3))),"",_xll.ciqfunctions.udf.CIQ($B14, "IQ_EBITDA_MARGIN", BH$3, $I$3, $N$3, , $J$3, $K$3)/100)),"")</f>
        <v/>
      </c>
      <c r="BI14" s="73" t="str">
        <f>IFERROR(IF(OR($B14="",BI$3=""),"",IF(NOT(ISNUMBER(_xll.ciqfunctions.udf.CIQ($B14, "IQ_EBITDA_MARGIN", BI$3, $I$3, $N$3, , $J$3, $K$3))),"",_xll.ciqfunctions.udf.CIQ($B14, "IQ_EBITDA_MARGIN", BI$3, $I$3, $N$3, , $J$3, $K$3)/100)),"")</f>
        <v/>
      </c>
      <c r="BJ14" s="73" t="str">
        <f>IFERROR(IF(OR($B14="",BJ$3=""),"",IF(NOT(ISNUMBER(_xll.ciqfunctions.udf.CIQ($B14, "IQ_EBITDA_MARGIN", BJ$3, $I$3, $N$3, , $J$3, $K$3))),"",_xll.ciqfunctions.udf.CIQ($B14, "IQ_EBITDA_MARGIN", BJ$3, $I$3, $N$3, , $J$3, $K$3)/100)),"")</f>
        <v/>
      </c>
      <c r="BK14" s="73" t="str">
        <f>IFERROR(IF(OR($B14="",BK$3=""),"",IF(NOT(ISNUMBER(_xll.ciqfunctions.udf.CIQ($B14, "IQ_EBITDA_MARGIN", BK$3, $I$3, $N$3, , $J$3, $K$3))),"",_xll.ciqfunctions.udf.CIQ($B14, "IQ_EBITDA_MARGIN", BK$3, $I$3, $N$3, , $J$3, $K$3)/100)),"")</f>
        <v/>
      </c>
      <c r="BL14" s="73" t="str">
        <f>IFERROR(IF(OR($B14="",BL$3=""),"",IF(NOT(ISNUMBER(_xll.ciqfunctions.udf.CIQ($B14, "IQ_EBITDA_MARGIN", BL$3, $I$3, $N$3, , $J$3, $K$3))),"",_xll.ciqfunctions.udf.CIQ($B14, "IQ_EBITDA_MARGIN", BL$3, $I$3, $N$3, , $J$3, $K$3)/100)),"")</f>
        <v/>
      </c>
      <c r="BM14" s="73" t="str">
        <f>IFERROR(IF(OR($B14="",BM$3=""),"",IF(NOT(ISNUMBER(_xll.ciqfunctions.udf.CIQ($B14, "IQ_EBITDA_MARGIN", BM$3, $I$3, $N$3, , $J$3, $K$3))),"",_xll.ciqfunctions.udf.CIQ($B14, "IQ_EBITDA_MARGIN", BM$3, $I$3, $N$3, , $J$3, $K$3)/100)),"")</f>
        <v/>
      </c>
      <c r="BN14" s="73" t="str">
        <f>IFERROR(IF(OR($B14="",BN$3=""),"",IF(NOT(ISNUMBER(_xll.ciqfunctions.udf.CIQ($B14, "IQ_EBITDA_MARGIN", BN$3, $I$3, $N$3, , $J$3, $K$3))),"",_xll.ciqfunctions.udf.CIQ($B14, "IQ_EBITDA_MARGIN", BN$3, $I$3, $N$3, , $J$3, $K$3)/100)),"")</f>
        <v/>
      </c>
      <c r="BO14" s="73" t="str">
        <f>IFERROR(IF(OR($B14="",BO$3=""),"",IF(NOT(ISNUMBER(_xll.ciqfunctions.udf.CIQ($B14, "IQ_EBITDA_MARGIN", BO$3, $I$3, $N$3, , $J$3, $K$3))),"",_xll.ciqfunctions.udf.CIQ($B14, "IQ_EBITDA_MARGIN", BO$3, $I$3, $N$3, , $J$3, $K$3)/100)),"")</f>
        <v/>
      </c>
      <c r="BP14" s="73" t="str">
        <f>IFERROR(IF(OR($B14="",BP$3=""),"",IF(NOT(ISNUMBER(_xll.ciqfunctions.udf.CIQ($B14, "IQ_EBITDA_MARGIN", BP$3, $I$3, $N$3, , $J$3, $K$3))),"",_xll.ciqfunctions.udf.CIQ($B14, "IQ_EBITDA_MARGIN", BP$3, $I$3, $N$3, , $J$3, $K$3)/100)),"")</f>
        <v/>
      </c>
      <c r="BQ14" s="73" t="str">
        <f>IFERROR(IF(OR($B14="",BQ$3=""),"",IF(NOT(ISNUMBER(_xll.ciqfunctions.udf.CIQ($B14, "IQ_EBITDA_MARGIN", BQ$3, $I$3, $N$3, , $J$3, $K$3))),"",_xll.ciqfunctions.udf.CIQ($B14, "IQ_EBITDA_MARGIN", BQ$3, $I$3, $N$3, , $J$3, $K$3)/100)),"")</f>
        <v/>
      </c>
      <c r="BR14" s="73" t="str">
        <f>IFERROR(IF(OR($B14="",BR$3=""),"",IF(NOT(ISNUMBER(_xll.ciqfunctions.udf.CIQ($B14, "IQ_EBITDA_MARGIN", BR$3, $I$3, $N$3, , $J$3, $K$3))),"",_xll.ciqfunctions.udf.CIQ($B14, "IQ_EBITDA_MARGIN", BR$3, $I$3, $N$3, , $J$3, $K$3)/100)),"")</f>
        <v/>
      </c>
      <c r="BS14" s="73" t="str">
        <f>IFERROR(IF(OR($B14="",BS$3=""),"",IF(NOT(ISNUMBER(_xll.ciqfunctions.udf.CIQ($B14, "IQ_EBITDA_MARGIN", BS$3, $I$3, $N$3, , $J$3, $K$3))),"",_xll.ciqfunctions.udf.CIQ($B14, "IQ_EBITDA_MARGIN", BS$3, $I$3, $N$3, , $J$3, $K$3)/100)),"")</f>
        <v/>
      </c>
      <c r="BT14" s="73" t="str">
        <f>IFERROR(IF(OR($B14="",BT$3=""),"",IF(NOT(ISNUMBER(_xll.ciqfunctions.udf.CIQ($B14, "IQ_EBITDA_MARGIN", BT$3, $I$3, $N$3, , $J$3, $K$3))),"",_xll.ciqfunctions.udf.CIQ($B14, "IQ_EBITDA_MARGIN", BT$3, $I$3, $N$3, , $J$3, $K$3)/100)),"")</f>
        <v/>
      </c>
      <c r="BU14" s="86" t="str">
        <f>IFERROR(IF(OR($B14="",BU$3=""),"",IF(NOT(ISNUMBER(_xll.ciqfunctions.udf.CIQ($B14, "IQ_EBIT_MARGIN", BU$3, $I$3, $N$3, , $J$3, $K$3))),"",_xll.ciqfunctions.udf.CIQ($B14, "IQ_EBIT_MARGIN", BU$3, $I$3, $N$3, , $J$3, $K$3)/100)),"")</f>
        <v/>
      </c>
      <c r="BV14" s="87" t="str">
        <f>IFERROR(IF(OR($B14="",BV$3=""),"",IF(NOT(ISNUMBER(_xll.ciqfunctions.udf.CIQ($B14, "IQ_EBIT_MARGIN", BV$3, $I$3, $N$3, , $J$3, $K$3))),"",_xll.ciqfunctions.udf.CIQ($B14, "IQ_EBIT_MARGIN", BV$3, $I$3, $N$3, , $J$3, $K$3)/100)),"")</f>
        <v/>
      </c>
      <c r="BW14" s="87" t="str">
        <f>IFERROR(IF(OR($B14="",BW$3=""),"",IF(NOT(ISNUMBER(_xll.ciqfunctions.udf.CIQ($B14, "IQ_EBIT_MARGIN", BW$3, $I$3, $N$3, , $J$3, $K$3))),"",_xll.ciqfunctions.udf.CIQ($B14, "IQ_EBIT_MARGIN", BW$3, $I$3, $N$3, , $J$3, $K$3)/100)),"")</f>
        <v/>
      </c>
      <c r="BX14" s="87" t="str">
        <f>IFERROR(IF(OR($B14="",BX$3=""),"",IF(NOT(ISNUMBER(_xll.ciqfunctions.udf.CIQ($B14, "IQ_EBIT_MARGIN", BX$3, $I$3, $N$3, , $J$3, $K$3))),"",_xll.ciqfunctions.udf.CIQ($B14, "IQ_EBIT_MARGIN", BX$3, $I$3, $N$3, , $J$3, $K$3)/100)),"")</f>
        <v/>
      </c>
      <c r="BY14" s="87" t="str">
        <f>IFERROR(IF(OR($B14="",BY$3=""),"",IF(NOT(ISNUMBER(_xll.ciqfunctions.udf.CIQ($B14, "IQ_EBIT_MARGIN", BY$3, $I$3, $N$3, , $J$3, $K$3))),"",_xll.ciqfunctions.udf.CIQ($B14, "IQ_EBIT_MARGIN", BY$3, $I$3, $N$3, , $J$3, $K$3)/100)),"")</f>
        <v/>
      </c>
      <c r="BZ14" s="87" t="str">
        <f>IFERROR(IF(OR($B14="",BZ$3=""),"",IF(NOT(ISNUMBER(_xll.ciqfunctions.udf.CIQ($B14, "IQ_EBIT_MARGIN", BZ$3, $I$3, $N$3, , $J$3, $K$3))),"",_xll.ciqfunctions.udf.CIQ($B14, "IQ_EBIT_MARGIN", BZ$3, $I$3, $N$3, , $J$3, $K$3)/100)),"")</f>
        <v/>
      </c>
      <c r="CA14" s="87" t="str">
        <f>IFERROR(IF(OR($B14="",CA$3=""),"",IF(NOT(ISNUMBER(_xll.ciqfunctions.udf.CIQ($B14, "IQ_EBIT_MARGIN", CA$3, $I$3, $N$3, , $J$3, $K$3))),"",_xll.ciqfunctions.udf.CIQ($B14, "IQ_EBIT_MARGIN", CA$3, $I$3, $N$3, , $J$3, $K$3)/100)),"")</f>
        <v/>
      </c>
      <c r="CB14" s="87" t="str">
        <f>IFERROR(IF(OR($B14="",CB$3=""),"",IF(NOT(ISNUMBER(_xll.ciqfunctions.udf.CIQ($B14, "IQ_EBIT_MARGIN", CB$3, $I$3, $N$3, , $J$3, $K$3))),"",_xll.ciqfunctions.udf.CIQ($B14, "IQ_EBIT_MARGIN", CB$3, $I$3, $N$3, , $J$3, $K$3)/100)),"")</f>
        <v/>
      </c>
      <c r="CC14" s="87" t="str">
        <f>IFERROR(IF(OR($B14="",CC$3=""),"",IF(NOT(ISNUMBER(_xll.ciqfunctions.udf.CIQ($B14, "IQ_EBIT_MARGIN", CC$3, $I$3, $N$3, , $J$3, $K$3))),"",_xll.ciqfunctions.udf.CIQ($B14, "IQ_EBIT_MARGIN", CC$3, $I$3, $N$3, , $J$3, $K$3)/100)),"")</f>
        <v/>
      </c>
      <c r="CD14" s="87" t="str">
        <f>IFERROR(IF(OR($B14="",CD$3=""),"",IF(NOT(ISNUMBER(_xll.ciqfunctions.udf.CIQ($B14, "IQ_EBIT_MARGIN", CD$3, $I$3, $N$3, , $J$3, $K$3))),"",_xll.ciqfunctions.udf.CIQ($B14, "IQ_EBIT_MARGIN", CD$3, $I$3, $N$3, , $J$3, $K$3)/100)),"")</f>
        <v/>
      </c>
      <c r="CE14" s="87" t="str">
        <f>IFERROR(IF(OR($B14="",CE$3=""),"",IF(NOT(ISNUMBER(_xll.ciqfunctions.udf.CIQ($B14, "IQ_EBIT_MARGIN", CE$3, $I$3, $N$3, , $J$3, $K$3))),"",_xll.ciqfunctions.udf.CIQ($B14, "IQ_EBIT_MARGIN", CE$3, $I$3, $N$3, , $J$3, $K$3)/100)),"")</f>
        <v/>
      </c>
      <c r="CF14" s="87" t="str">
        <f>IFERROR(IF(OR($B14="",CF$3=""),"",IF(NOT(ISNUMBER(_xll.ciqfunctions.udf.CIQ($B14, "IQ_EBIT_MARGIN", CF$3, $I$3, $N$3, , $J$3, $K$3))),"",_xll.ciqfunctions.udf.CIQ($B14, "IQ_EBIT_MARGIN", CF$3, $I$3, $N$3, , $J$3, $K$3)/100)),"")</f>
        <v/>
      </c>
      <c r="CG14" s="87" t="str">
        <f>IFERROR(IF(OR($B14="",CG$3=""),"",IF(NOT(ISNUMBER(_xll.ciqfunctions.udf.CIQ($B14, "IQ_EBIT_MARGIN", CG$3, $I$3, $N$3, , $J$3, $K$3))),"",_xll.ciqfunctions.udf.CIQ($B14, "IQ_EBIT_MARGIN", CG$3, $I$3, $N$3, , $J$3, $K$3)/100)),"")</f>
        <v/>
      </c>
      <c r="CH14" s="87" t="str">
        <f>IFERROR(IF(OR($B14="",CH$3=""),"",IF(NOT(ISNUMBER(_xll.ciqfunctions.udf.CIQ($B14, "IQ_EBIT_MARGIN", CH$3, $I$3, $N$3, , $J$3, $K$3))),"",_xll.ciqfunctions.udf.CIQ($B14, "IQ_EBIT_MARGIN", CH$3, $I$3, $N$3, , $J$3, $K$3)/100)),"")</f>
        <v/>
      </c>
      <c r="CI14" s="87" t="str">
        <f>IFERROR(IF(OR($B14="",CI$3=""),"",IF(NOT(ISNUMBER(_xll.ciqfunctions.udf.CIQ($B14, "IQ_EBIT_MARGIN", CI$3, $I$3, $N$3, , $J$3, $K$3))),"",_xll.ciqfunctions.udf.CIQ($B14, "IQ_EBIT_MARGIN", CI$3, $I$3, $N$3, , $J$3, $K$3)/100)),"")</f>
        <v/>
      </c>
      <c r="CJ14" s="87" t="str">
        <f>IFERROR(IF(OR($B14="",CJ$3=""),"",IF(NOT(ISNUMBER(_xll.ciqfunctions.udf.CIQ($B14, "IQ_EBIT_MARGIN", CJ$3, $I$3, $N$3, , $J$3, $K$3))),"",_xll.ciqfunctions.udf.CIQ($B14, "IQ_EBIT_MARGIN", CJ$3, $I$3, $N$3, , $J$3, $K$3)/100)),"")</f>
        <v/>
      </c>
      <c r="CK14" s="87" t="str">
        <f>IFERROR(IF(OR($B14="",CK$3=""),"",IF(NOT(ISNUMBER(_xll.ciqfunctions.udf.CIQ($B14, "IQ_EBIT_MARGIN", CK$3, $I$3, $N$3, , $J$3, $K$3))),"",_xll.ciqfunctions.udf.CIQ($B14, "IQ_EBIT_MARGIN", CK$3, $I$3, $N$3, , $J$3, $K$3)/100)),"")</f>
        <v/>
      </c>
      <c r="CL14" s="87" t="str">
        <f>IFERROR(IF(OR($B14="",CL$3=""),"",IF(NOT(ISNUMBER(_xll.ciqfunctions.udf.CIQ($B14, "IQ_EBIT_MARGIN", CL$3, $I$3, $N$3, , $J$3, $K$3))),"",_xll.ciqfunctions.udf.CIQ($B14, "IQ_EBIT_MARGIN", CL$3, $I$3, $N$3, , $J$3, $K$3)/100)),"")</f>
        <v/>
      </c>
      <c r="CM14" s="87" t="str">
        <f>IFERROR(IF(OR($B14="",CM$3=""),"",IF(NOT(ISNUMBER(_xll.ciqfunctions.udf.CIQ($B14, "IQ_EBIT_MARGIN", CM$3, $I$3, $N$3, , $J$3, $K$3))),"",_xll.ciqfunctions.udf.CIQ($B14, "IQ_EBIT_MARGIN", CM$3, $I$3, $N$3, , $J$3, $K$3)/100)),"")</f>
        <v/>
      </c>
      <c r="CN14" s="88" t="str">
        <f>IFERROR(IF(OR($B14="",CN$3=""),"",IF(NOT(ISNUMBER(_xll.ciqfunctions.udf.CIQ($B14, "IQ_EBIT_MARGIN", CN$3, $I$3, $N$3, , $J$3, $K$3))),"",_xll.ciqfunctions.udf.CIQ($B14, "IQ_EBIT_MARGIN", CN$3, $I$3, $N$3, , $J$3, $K$3)/100)),"")</f>
        <v/>
      </c>
      <c r="CO14" s="86" t="str">
        <f>IFERROR(IF(OR($B14="",CO$3=""),"",IF(NOT(ISNUMBER(_xll.ciqfunctions.udf.CIQ($B14, "IQ_NI_MARGIN", CO$3, $I$3, $N$3, , $J$3, $K$3))),"",_xll.ciqfunctions.udf.CIQ($B14, "IQ_NI_MARGIN", CO$3, $I$3, $N$3, , $J$3, $K$3)/100)),"")</f>
        <v/>
      </c>
      <c r="CP14" s="87" t="str">
        <f>IFERROR(IF(OR($B14="",CP$3=""),"",IF(NOT(ISNUMBER(_xll.ciqfunctions.udf.CIQ($B14, "IQ_NI_MARGIN", CP$3, $I$3, $N$3, , $J$3, $K$3))),"",_xll.ciqfunctions.udf.CIQ($B14, "IQ_NI_MARGIN", CP$3, $I$3, $N$3, , $J$3, $K$3)/100)),"")</f>
        <v/>
      </c>
      <c r="CQ14" s="87" t="str">
        <f>IFERROR(IF(OR($B14="",CQ$3=""),"",IF(NOT(ISNUMBER(_xll.ciqfunctions.udf.CIQ($B14, "IQ_NI_MARGIN", CQ$3, $I$3, $N$3, , $J$3, $K$3))),"",_xll.ciqfunctions.udf.CIQ($B14, "IQ_NI_MARGIN", CQ$3, $I$3, $N$3, , $J$3, $K$3)/100)),"")</f>
        <v/>
      </c>
      <c r="CR14" s="87" t="str">
        <f>IFERROR(IF(OR($B14="",CR$3=""),"",IF(NOT(ISNUMBER(_xll.ciqfunctions.udf.CIQ($B14, "IQ_NI_MARGIN", CR$3, $I$3, $N$3, , $J$3, $K$3))),"",_xll.ciqfunctions.udf.CIQ($B14, "IQ_NI_MARGIN", CR$3, $I$3, $N$3, , $J$3, $K$3)/100)),"")</f>
        <v/>
      </c>
      <c r="CS14" s="87" t="str">
        <f>IFERROR(IF(OR($B14="",CS$3=""),"",IF(NOT(ISNUMBER(_xll.ciqfunctions.udf.CIQ($B14, "IQ_NI_MARGIN", CS$3, $I$3, $N$3, , $J$3, $K$3))),"",_xll.ciqfunctions.udf.CIQ($B14, "IQ_NI_MARGIN", CS$3, $I$3, $N$3, , $J$3, $K$3)/100)),"")</f>
        <v/>
      </c>
      <c r="CT14" s="87" t="str">
        <f>IFERROR(IF(OR($B14="",CT$3=""),"",IF(NOT(ISNUMBER(_xll.ciqfunctions.udf.CIQ($B14, "IQ_NI_MARGIN", CT$3, $I$3, $N$3, , $J$3, $K$3))),"",_xll.ciqfunctions.udf.CIQ($B14, "IQ_NI_MARGIN", CT$3, $I$3, $N$3, , $J$3, $K$3)/100)),"")</f>
        <v/>
      </c>
      <c r="CU14" s="87" t="str">
        <f>IFERROR(IF(OR($B14="",CU$3=""),"",IF(NOT(ISNUMBER(_xll.ciqfunctions.udf.CIQ($B14, "IQ_NI_MARGIN", CU$3, $I$3, $N$3, , $J$3, $K$3))),"",_xll.ciqfunctions.udf.CIQ($B14, "IQ_NI_MARGIN", CU$3, $I$3, $N$3, , $J$3, $K$3)/100)),"")</f>
        <v/>
      </c>
      <c r="CV14" s="87" t="str">
        <f>IFERROR(IF(OR($B14="",CV$3=""),"",IF(NOT(ISNUMBER(_xll.ciqfunctions.udf.CIQ($B14, "IQ_NI_MARGIN", CV$3, $I$3, $N$3, , $J$3, $K$3))),"",_xll.ciqfunctions.udf.CIQ($B14, "IQ_NI_MARGIN", CV$3, $I$3, $N$3, , $J$3, $K$3)/100)),"")</f>
        <v/>
      </c>
      <c r="CW14" s="87" t="str">
        <f>IFERROR(IF(OR($B14="",CW$3=""),"",IF(NOT(ISNUMBER(_xll.ciqfunctions.udf.CIQ($B14, "IQ_NI_MARGIN", CW$3, $I$3, $N$3, , $J$3, $K$3))),"",_xll.ciqfunctions.udf.CIQ($B14, "IQ_NI_MARGIN", CW$3, $I$3, $N$3, , $J$3, $K$3)/100)),"")</f>
        <v/>
      </c>
      <c r="CX14" s="87" t="str">
        <f>IFERROR(IF(OR($B14="",CX$3=""),"",IF(NOT(ISNUMBER(_xll.ciqfunctions.udf.CIQ($B14, "IQ_NI_MARGIN", CX$3, $I$3, $N$3, , $J$3, $K$3))),"",_xll.ciqfunctions.udf.CIQ($B14, "IQ_NI_MARGIN", CX$3, $I$3, $N$3, , $J$3, $K$3)/100)),"")</f>
        <v/>
      </c>
      <c r="CY14" s="87" t="str">
        <f>IFERROR(IF(OR($B14="",CY$3=""),"",IF(NOT(ISNUMBER(_xll.ciqfunctions.udf.CIQ($B14, "IQ_NI_MARGIN", CY$3, $I$3, $N$3, , $J$3, $K$3))),"",_xll.ciqfunctions.udf.CIQ($B14, "IQ_NI_MARGIN", CY$3, $I$3, $N$3, , $J$3, $K$3)/100)),"")</f>
        <v/>
      </c>
      <c r="CZ14" s="87" t="str">
        <f>IFERROR(IF(OR($B14="",CZ$3=""),"",IF(NOT(ISNUMBER(_xll.ciqfunctions.udf.CIQ($B14, "IQ_NI_MARGIN", CZ$3, $I$3, $N$3, , $J$3, $K$3))),"",_xll.ciqfunctions.udf.CIQ($B14, "IQ_NI_MARGIN", CZ$3, $I$3, $N$3, , $J$3, $K$3)/100)),"")</f>
        <v/>
      </c>
      <c r="DA14" s="87" t="str">
        <f>IFERROR(IF(OR($B14="",DA$3=""),"",IF(NOT(ISNUMBER(_xll.ciqfunctions.udf.CIQ($B14, "IQ_NI_MARGIN", DA$3, $I$3, $N$3, , $J$3, $K$3))),"",_xll.ciqfunctions.udf.CIQ($B14, "IQ_NI_MARGIN", DA$3, $I$3, $N$3, , $J$3, $K$3)/100)),"")</f>
        <v/>
      </c>
      <c r="DB14" s="87" t="str">
        <f>IFERROR(IF(OR($B14="",DB$3=""),"",IF(NOT(ISNUMBER(_xll.ciqfunctions.udf.CIQ($B14, "IQ_NI_MARGIN", DB$3, $I$3, $N$3, , $J$3, $K$3))),"",_xll.ciqfunctions.udf.CIQ($B14, "IQ_NI_MARGIN", DB$3, $I$3, $N$3, , $J$3, $K$3)/100)),"")</f>
        <v/>
      </c>
      <c r="DC14" s="87" t="str">
        <f>IFERROR(IF(OR($B14="",DC$3=""),"",IF(NOT(ISNUMBER(_xll.ciqfunctions.udf.CIQ($B14, "IQ_NI_MARGIN", DC$3, $I$3, $N$3, , $J$3, $K$3))),"",_xll.ciqfunctions.udf.CIQ($B14, "IQ_NI_MARGIN", DC$3, $I$3, $N$3, , $J$3, $K$3)/100)),"")</f>
        <v/>
      </c>
      <c r="DD14" s="87" t="str">
        <f>IFERROR(IF(OR($B14="",DD$3=""),"",IF(NOT(ISNUMBER(_xll.ciqfunctions.udf.CIQ($B14, "IQ_NI_MARGIN", DD$3, $I$3, $N$3, , $J$3, $K$3))),"",_xll.ciqfunctions.udf.CIQ($B14, "IQ_NI_MARGIN", DD$3, $I$3, $N$3, , $J$3, $K$3)/100)),"")</f>
        <v/>
      </c>
      <c r="DE14" s="87" t="str">
        <f>IFERROR(IF(OR($B14="",DE$3=""),"",IF(NOT(ISNUMBER(_xll.ciqfunctions.udf.CIQ($B14, "IQ_NI_MARGIN", DE$3, $I$3, $N$3, , $J$3, $K$3))),"",_xll.ciqfunctions.udf.CIQ($B14, "IQ_NI_MARGIN", DE$3, $I$3, $N$3, , $J$3, $K$3)/100)),"")</f>
        <v/>
      </c>
      <c r="DF14" s="87" t="str">
        <f>IFERROR(IF(OR($B14="",DF$3=""),"",IF(NOT(ISNUMBER(_xll.ciqfunctions.udf.CIQ($B14, "IQ_NI_MARGIN", DF$3, $I$3, $N$3, , $J$3, $K$3))),"",_xll.ciqfunctions.udf.CIQ($B14, "IQ_NI_MARGIN", DF$3, $I$3, $N$3, , $J$3, $K$3)/100)),"")</f>
        <v/>
      </c>
      <c r="DG14" s="87" t="str">
        <f>IFERROR(IF(OR($B14="",DG$3=""),"",IF(NOT(ISNUMBER(_xll.ciqfunctions.udf.CIQ($B14, "IQ_NI_MARGIN", DG$3, $I$3, $N$3, , $J$3, $K$3))),"",_xll.ciqfunctions.udf.CIQ($B14, "IQ_NI_MARGIN", DG$3, $I$3, $N$3, , $J$3, $K$3)/100)),"")</f>
        <v/>
      </c>
      <c r="DH14" s="88" t="str">
        <f>IFERROR(IF(OR($B14="",DH$3=""),"",IF(NOT(ISNUMBER(_xll.ciqfunctions.udf.CIQ($B14, "IQ_NI_MARGIN", DH$3, $I$3, $N$3, , $J$3, $K$3))),"",_xll.ciqfunctions.udf.CIQ($B14, "IQ_NI_MARGIN", DH$3, $I$3, $N$3, , $J$3, $K$3)/100)),"")</f>
        <v/>
      </c>
      <c r="DI14" s="86" t="str">
        <f>IFERROR(IF(OR($B14="",DI$3=""),"",IF(OR(NOT(ISNUMBER(_xll.ciqfunctions.udf.CIQ($B14, "IQ_COGS", DI$3, $I$3, $N$3, , $J$3, $K$3))),NOT(ISNUMBER(_xll.ciqfunctions.udf.CIQ($B14, "IQ_TOTAL_REVENUE", DI$3, $I$3, $N$3, , $J$3, $K$3)))),"",_xll.ciqfunctions.udf.CIQ($B14, "IQ_COGS", DI$3, $I$3, $N$3, , $J$3, $K$3)/_xll.ciqfunctions.udf.CIQ($B14, "IQ_TOTAL_REVENUE", DI$3, $I$3, $N$3, , $J$3, $K$3))),"")</f>
        <v/>
      </c>
      <c r="DJ14" s="87" t="str">
        <f>IFERROR(IF(OR($B14="",DJ$3=""),"",IF(OR(NOT(ISNUMBER(_xll.ciqfunctions.udf.CIQ($B14, "IQ_COGS", DJ$3, $I$3, $N$3, , $J$3, $K$3))),NOT(ISNUMBER(_xll.ciqfunctions.udf.CIQ($B14, "IQ_TOTAL_REVENUE", DJ$3, $I$3, $N$3, , $J$3, $K$3)))),"",_xll.ciqfunctions.udf.CIQ($B14, "IQ_COGS", DJ$3, $I$3, $N$3, , $J$3, $K$3)/_xll.ciqfunctions.udf.CIQ($B14, "IQ_TOTAL_REVENUE", DJ$3, $I$3, $N$3, , $J$3, $K$3))),"")</f>
        <v/>
      </c>
      <c r="DK14" s="87" t="str">
        <f>IFERROR(IF(OR($B14="",DK$3=""),"",IF(OR(NOT(ISNUMBER(_xll.ciqfunctions.udf.CIQ($B14, "IQ_COGS", DK$3, $I$3, $N$3, , $J$3, $K$3))),NOT(ISNUMBER(_xll.ciqfunctions.udf.CIQ($B14, "IQ_TOTAL_REVENUE", DK$3, $I$3, $N$3, , $J$3, $K$3)))),"",_xll.ciqfunctions.udf.CIQ($B14, "IQ_COGS", DK$3, $I$3, $N$3, , $J$3, $K$3)/_xll.ciqfunctions.udf.CIQ($B14, "IQ_TOTAL_REVENUE", DK$3, $I$3, $N$3, , $J$3, $K$3))),"")</f>
        <v/>
      </c>
      <c r="DL14" s="87" t="str">
        <f>IFERROR(IF(OR($B14="",DL$3=""),"",IF(OR(NOT(ISNUMBER(_xll.ciqfunctions.udf.CIQ($B14, "IQ_COGS", DL$3, $I$3, $N$3, , $J$3, $K$3))),NOT(ISNUMBER(_xll.ciqfunctions.udf.CIQ($B14, "IQ_TOTAL_REVENUE", DL$3, $I$3, $N$3, , $J$3, $K$3)))),"",_xll.ciqfunctions.udf.CIQ($B14, "IQ_COGS", DL$3, $I$3, $N$3, , $J$3, $K$3)/_xll.ciqfunctions.udf.CIQ($B14, "IQ_TOTAL_REVENUE", DL$3, $I$3, $N$3, , $J$3, $K$3))),"")</f>
        <v/>
      </c>
      <c r="DM14" s="87" t="str">
        <f>IFERROR(IF(OR($B14="",DM$3=""),"",IF(OR(NOT(ISNUMBER(_xll.ciqfunctions.udf.CIQ($B14, "IQ_COGS", DM$3, $I$3, $N$3, , $J$3, $K$3))),NOT(ISNUMBER(_xll.ciqfunctions.udf.CIQ($B14, "IQ_TOTAL_REVENUE", DM$3, $I$3, $N$3, , $J$3, $K$3)))),"",_xll.ciqfunctions.udf.CIQ($B14, "IQ_COGS", DM$3, $I$3, $N$3, , $J$3, $K$3)/_xll.ciqfunctions.udf.CIQ($B14, "IQ_TOTAL_REVENUE", DM$3, $I$3, $N$3, , $J$3, $K$3))),"")</f>
        <v/>
      </c>
      <c r="DN14" s="87" t="str">
        <f>IFERROR(IF(OR($B14="",DN$3=""),"",IF(OR(NOT(ISNUMBER(_xll.ciqfunctions.udf.CIQ($B14, "IQ_COGS", DN$3, $I$3, $N$3, , $J$3, $K$3))),NOT(ISNUMBER(_xll.ciqfunctions.udf.CIQ($B14, "IQ_TOTAL_REVENUE", DN$3, $I$3, $N$3, , $J$3, $K$3)))),"",_xll.ciqfunctions.udf.CIQ($B14, "IQ_COGS", DN$3, $I$3, $N$3, , $J$3, $K$3)/_xll.ciqfunctions.udf.CIQ($B14, "IQ_TOTAL_REVENUE", DN$3, $I$3, $N$3, , $J$3, $K$3))),"")</f>
        <v/>
      </c>
      <c r="DO14" s="87" t="str">
        <f>IFERROR(IF(OR($B14="",DO$3=""),"",IF(OR(NOT(ISNUMBER(_xll.ciqfunctions.udf.CIQ($B14, "IQ_COGS", DO$3, $I$3, $N$3, , $J$3, $K$3))),NOT(ISNUMBER(_xll.ciqfunctions.udf.CIQ($B14, "IQ_TOTAL_REVENUE", DO$3, $I$3, $N$3, , $J$3, $K$3)))),"",_xll.ciqfunctions.udf.CIQ($B14, "IQ_COGS", DO$3, $I$3, $N$3, , $J$3, $K$3)/_xll.ciqfunctions.udf.CIQ($B14, "IQ_TOTAL_REVENUE", DO$3, $I$3, $N$3, , $J$3, $K$3))),"")</f>
        <v/>
      </c>
      <c r="DP14" s="87" t="str">
        <f>IFERROR(IF(OR($B14="",DP$3=""),"",IF(OR(NOT(ISNUMBER(_xll.ciqfunctions.udf.CIQ($B14, "IQ_COGS", DP$3, $I$3, $N$3, , $J$3, $K$3))),NOT(ISNUMBER(_xll.ciqfunctions.udf.CIQ($B14, "IQ_TOTAL_REVENUE", DP$3, $I$3, $N$3, , $J$3, $K$3)))),"",_xll.ciqfunctions.udf.CIQ($B14, "IQ_COGS", DP$3, $I$3, $N$3, , $J$3, $K$3)/_xll.ciqfunctions.udf.CIQ($B14, "IQ_TOTAL_REVENUE", DP$3, $I$3, $N$3, , $J$3, $K$3))),"")</f>
        <v/>
      </c>
      <c r="DQ14" s="87" t="str">
        <f>IFERROR(IF(OR($B14="",DQ$3=""),"",IF(OR(NOT(ISNUMBER(_xll.ciqfunctions.udf.CIQ($B14, "IQ_COGS", DQ$3, $I$3, $N$3, , $J$3, $K$3))),NOT(ISNUMBER(_xll.ciqfunctions.udf.CIQ($B14, "IQ_TOTAL_REVENUE", DQ$3, $I$3, $N$3, , $J$3, $K$3)))),"",_xll.ciqfunctions.udf.CIQ($B14, "IQ_COGS", DQ$3, $I$3, $N$3, , $J$3, $K$3)/_xll.ciqfunctions.udf.CIQ($B14, "IQ_TOTAL_REVENUE", DQ$3, $I$3, $N$3, , $J$3, $K$3))),"")</f>
        <v/>
      </c>
      <c r="DR14" s="87" t="str">
        <f>IFERROR(IF(OR($B14="",DR$3=""),"",IF(OR(NOT(ISNUMBER(_xll.ciqfunctions.udf.CIQ($B14, "IQ_COGS", DR$3, $I$3, $N$3, , $J$3, $K$3))),NOT(ISNUMBER(_xll.ciqfunctions.udf.CIQ($B14, "IQ_TOTAL_REVENUE", DR$3, $I$3, $N$3, , $J$3, $K$3)))),"",_xll.ciqfunctions.udf.CIQ($B14, "IQ_COGS", DR$3, $I$3, $N$3, , $J$3, $K$3)/_xll.ciqfunctions.udf.CIQ($B14, "IQ_TOTAL_REVENUE", DR$3, $I$3, $N$3, , $J$3, $K$3))),"")</f>
        <v/>
      </c>
      <c r="DS14" s="87" t="str">
        <f>IFERROR(IF(OR($B14="",DS$3=""),"",IF(OR(NOT(ISNUMBER(_xll.ciqfunctions.udf.CIQ($B14, "IQ_COGS", DS$3, $I$3, $N$3, , $J$3, $K$3))),NOT(ISNUMBER(_xll.ciqfunctions.udf.CIQ($B14, "IQ_TOTAL_REVENUE", DS$3, $I$3, $N$3, , $J$3, $K$3)))),"",_xll.ciqfunctions.udf.CIQ($B14, "IQ_COGS", DS$3, $I$3, $N$3, , $J$3, $K$3)/_xll.ciqfunctions.udf.CIQ($B14, "IQ_TOTAL_REVENUE", DS$3, $I$3, $N$3, , $J$3, $K$3))),"")</f>
        <v/>
      </c>
      <c r="DT14" s="87" t="str">
        <f>IFERROR(IF(OR($B14="",DT$3=""),"",IF(OR(NOT(ISNUMBER(_xll.ciqfunctions.udf.CIQ($B14, "IQ_COGS", DT$3, $I$3, $N$3, , $J$3, $K$3))),NOT(ISNUMBER(_xll.ciqfunctions.udf.CIQ($B14, "IQ_TOTAL_REVENUE", DT$3, $I$3, $N$3, , $J$3, $K$3)))),"",_xll.ciqfunctions.udf.CIQ($B14, "IQ_COGS", DT$3, $I$3, $N$3, , $J$3, $K$3)/_xll.ciqfunctions.udf.CIQ($B14, "IQ_TOTAL_REVENUE", DT$3, $I$3, $N$3, , $J$3, $K$3))),"")</f>
        <v/>
      </c>
      <c r="DU14" s="87" t="str">
        <f>IFERROR(IF(OR($B14="",DU$3=""),"",IF(OR(NOT(ISNUMBER(_xll.ciqfunctions.udf.CIQ($B14, "IQ_COGS", DU$3, $I$3, $N$3, , $J$3, $K$3))),NOT(ISNUMBER(_xll.ciqfunctions.udf.CIQ($B14, "IQ_TOTAL_REVENUE", DU$3, $I$3, $N$3, , $J$3, $K$3)))),"",_xll.ciqfunctions.udf.CIQ($B14, "IQ_COGS", DU$3, $I$3, $N$3, , $J$3, $K$3)/_xll.ciqfunctions.udf.CIQ($B14, "IQ_TOTAL_REVENUE", DU$3, $I$3, $N$3, , $J$3, $K$3))),"")</f>
        <v/>
      </c>
      <c r="DV14" s="87" t="str">
        <f>IFERROR(IF(OR($B14="",DV$3=""),"",IF(OR(NOT(ISNUMBER(_xll.ciqfunctions.udf.CIQ($B14, "IQ_COGS", DV$3, $I$3, $N$3, , $J$3, $K$3))),NOT(ISNUMBER(_xll.ciqfunctions.udf.CIQ($B14, "IQ_TOTAL_REVENUE", DV$3, $I$3, $N$3, , $J$3, $K$3)))),"",_xll.ciqfunctions.udf.CIQ($B14, "IQ_COGS", DV$3, $I$3, $N$3, , $J$3, $K$3)/_xll.ciqfunctions.udf.CIQ($B14, "IQ_TOTAL_REVENUE", DV$3, $I$3, $N$3, , $J$3, $K$3))),"")</f>
        <v/>
      </c>
      <c r="DW14" s="87" t="str">
        <f>IFERROR(IF(OR($B14="",DW$3=""),"",IF(OR(NOT(ISNUMBER(_xll.ciqfunctions.udf.CIQ($B14, "IQ_COGS", DW$3, $I$3, $N$3, , $J$3, $K$3))),NOT(ISNUMBER(_xll.ciqfunctions.udf.CIQ($B14, "IQ_TOTAL_REVENUE", DW$3, $I$3, $N$3, , $J$3, $K$3)))),"",_xll.ciqfunctions.udf.CIQ($B14, "IQ_COGS", DW$3, $I$3, $N$3, , $J$3, $K$3)/_xll.ciqfunctions.udf.CIQ($B14, "IQ_TOTAL_REVENUE", DW$3, $I$3, $N$3, , $J$3, $K$3))),"")</f>
        <v/>
      </c>
      <c r="DX14" s="87" t="str">
        <f>IFERROR(IF(OR($B14="",DX$3=""),"",IF(OR(NOT(ISNUMBER(_xll.ciqfunctions.udf.CIQ($B14, "IQ_COGS", DX$3, $I$3, $N$3, , $J$3, $K$3))),NOT(ISNUMBER(_xll.ciqfunctions.udf.CIQ($B14, "IQ_TOTAL_REVENUE", DX$3, $I$3, $N$3, , $J$3, $K$3)))),"",_xll.ciqfunctions.udf.CIQ($B14, "IQ_COGS", DX$3, $I$3, $N$3, , $J$3, $K$3)/_xll.ciqfunctions.udf.CIQ($B14, "IQ_TOTAL_REVENUE", DX$3, $I$3, $N$3, , $J$3, $K$3))),"")</f>
        <v/>
      </c>
      <c r="DY14" s="87" t="str">
        <f>IFERROR(IF(OR($B14="",DY$3=""),"",IF(OR(NOT(ISNUMBER(_xll.ciqfunctions.udf.CIQ($B14, "IQ_COGS", DY$3, $I$3, $N$3, , $J$3, $K$3))),NOT(ISNUMBER(_xll.ciqfunctions.udf.CIQ($B14, "IQ_TOTAL_REVENUE", DY$3, $I$3, $N$3, , $J$3, $K$3)))),"",_xll.ciqfunctions.udf.CIQ($B14, "IQ_COGS", DY$3, $I$3, $N$3, , $J$3, $K$3)/_xll.ciqfunctions.udf.CIQ($B14, "IQ_TOTAL_REVENUE", DY$3, $I$3, $N$3, , $J$3, $K$3))),"")</f>
        <v/>
      </c>
      <c r="DZ14" s="87" t="str">
        <f>IFERROR(IF(OR($B14="",DZ$3=""),"",IF(OR(NOT(ISNUMBER(_xll.ciqfunctions.udf.CIQ($B14, "IQ_COGS", DZ$3, $I$3, $N$3, , $J$3, $K$3))),NOT(ISNUMBER(_xll.ciqfunctions.udf.CIQ($B14, "IQ_TOTAL_REVENUE", DZ$3, $I$3, $N$3, , $J$3, $K$3)))),"",_xll.ciqfunctions.udf.CIQ($B14, "IQ_COGS", DZ$3, $I$3, $N$3, , $J$3, $K$3)/_xll.ciqfunctions.udf.CIQ($B14, "IQ_TOTAL_REVENUE", DZ$3, $I$3, $N$3, , $J$3, $K$3))),"")</f>
        <v/>
      </c>
      <c r="EA14" s="87" t="str">
        <f>IFERROR(IF(OR($B14="",EA$3=""),"",IF(OR(NOT(ISNUMBER(_xll.ciqfunctions.udf.CIQ($B14, "IQ_COGS", EA$3, $I$3, $N$3, , $J$3, $K$3))),NOT(ISNUMBER(_xll.ciqfunctions.udf.CIQ($B14, "IQ_TOTAL_REVENUE", EA$3, $I$3, $N$3, , $J$3, $K$3)))),"",_xll.ciqfunctions.udf.CIQ($B14, "IQ_COGS", EA$3, $I$3, $N$3, , $J$3, $K$3)/_xll.ciqfunctions.udf.CIQ($B14, "IQ_TOTAL_REVENUE", EA$3, $I$3, $N$3, , $J$3, $K$3))),"")</f>
        <v/>
      </c>
      <c r="EB14" s="88" t="str">
        <f>IFERROR(IF(OR($B14="",EB$3=""),"",IF(OR(NOT(ISNUMBER(_xll.ciqfunctions.udf.CIQ($B14, "IQ_COGS", EB$3, $I$3, $N$3, , $J$3, $K$3))),NOT(ISNUMBER(_xll.ciqfunctions.udf.CIQ($B14, "IQ_TOTAL_REVENUE", EB$3, $I$3, $N$3, , $J$3, $K$3)))),"",_xll.ciqfunctions.udf.CIQ($B14, "IQ_COGS", EB$3, $I$3, $N$3, , $J$3, $K$3)/_xll.ciqfunctions.udf.CIQ($B14, "IQ_TOTAL_REVENUE", EB$3, $I$3, $N$3, , $J$3, $K$3))),"")</f>
        <v/>
      </c>
      <c r="EC14" s="86" t="str">
        <f>IFERROR(IF(OR($B14="",EC$3=""),"",(_xll.ciqfunctions.udf.CIQ($B14,"IQ_TOTAL_REVENUE",EC$3, $I$3, $N$3, , $J$3, $K$3)-_xll.ciqfunctions.udf.CIQ($B14,"IQ_COGS",EC$3, $I$3, $N$3, , $J$3, $K$3)-_xll.ciqfunctions.udf.CIQ($B14,"IQ_EBITDA",EC$3, $I$3, $N$3, , $J$3, $K$3))/_xll.ciqfunctions.udf.CIQ($B14,"IQ_TOTAL_REVENUE",EC$3, $I$3, $N$3, , $J$3, $K$3)),"")</f>
        <v/>
      </c>
      <c r="ED14" s="87" t="str">
        <f>IFERROR(IF(OR($B14="",ED$3=""),"",(_xll.ciqfunctions.udf.CIQ($B14,"IQ_TOTAL_REVENUE",ED$3, $I$3, $N$3, , $J$3, $K$3)-_xll.ciqfunctions.udf.CIQ($B14,"IQ_COGS",ED$3, $I$3, $N$3, , $J$3, $K$3)-_xll.ciqfunctions.udf.CIQ($B14,"IQ_EBITDA",ED$3, $I$3, $N$3, , $J$3, $K$3))/_xll.ciqfunctions.udf.CIQ($B14,"IQ_TOTAL_REVENUE",ED$3, $I$3, $N$3, , $J$3, $K$3)),"")</f>
        <v/>
      </c>
      <c r="EE14" s="87" t="str">
        <f>IFERROR(IF(OR($B14="",EE$3=""),"",(_xll.ciqfunctions.udf.CIQ($B14,"IQ_TOTAL_REVENUE",EE$3, $I$3, $N$3, , $J$3, $K$3)-_xll.ciqfunctions.udf.CIQ($B14,"IQ_COGS",EE$3, $I$3, $N$3, , $J$3, $K$3)-_xll.ciqfunctions.udf.CIQ($B14,"IQ_EBITDA",EE$3, $I$3, $N$3, , $J$3, $K$3))/_xll.ciqfunctions.udf.CIQ($B14,"IQ_TOTAL_REVENUE",EE$3, $I$3, $N$3, , $J$3, $K$3)),"")</f>
        <v/>
      </c>
      <c r="EF14" s="87" t="str">
        <f>IFERROR(IF(OR($B14="",EF$3=""),"",(_xll.ciqfunctions.udf.CIQ($B14,"IQ_TOTAL_REVENUE",EF$3, $I$3, $N$3, , $J$3, $K$3)-_xll.ciqfunctions.udf.CIQ($B14,"IQ_COGS",EF$3, $I$3, $N$3, , $J$3, $K$3)-_xll.ciqfunctions.udf.CIQ($B14,"IQ_EBITDA",EF$3, $I$3, $N$3, , $J$3, $K$3))/_xll.ciqfunctions.udf.CIQ($B14,"IQ_TOTAL_REVENUE",EF$3, $I$3, $N$3, , $J$3, $K$3)),"")</f>
        <v/>
      </c>
      <c r="EG14" s="87" t="str">
        <f>IFERROR(IF(OR($B14="",EG$3=""),"",(_xll.ciqfunctions.udf.CIQ($B14,"IQ_TOTAL_REVENUE",EG$3, $I$3, $N$3, , $J$3, $K$3)-_xll.ciqfunctions.udf.CIQ($B14,"IQ_COGS",EG$3, $I$3, $N$3, , $J$3, $K$3)-_xll.ciqfunctions.udf.CIQ($B14,"IQ_EBITDA",EG$3, $I$3, $N$3, , $J$3, $K$3))/_xll.ciqfunctions.udf.CIQ($B14,"IQ_TOTAL_REVENUE",EG$3, $I$3, $N$3, , $J$3, $K$3)),"")</f>
        <v/>
      </c>
      <c r="EH14" s="87" t="str">
        <f>IFERROR(IF(OR($B14="",EH$3=""),"",(_xll.ciqfunctions.udf.CIQ($B14,"IQ_TOTAL_REVENUE",EH$3, $I$3, $N$3, , $J$3, $K$3)-_xll.ciqfunctions.udf.CIQ($B14,"IQ_COGS",EH$3, $I$3, $N$3, , $J$3, $K$3)-_xll.ciqfunctions.udf.CIQ($B14,"IQ_EBITDA",EH$3, $I$3, $N$3, , $J$3, $K$3))/_xll.ciqfunctions.udf.CIQ($B14,"IQ_TOTAL_REVENUE",EH$3, $I$3, $N$3, , $J$3, $K$3)),"")</f>
        <v/>
      </c>
      <c r="EI14" s="87" t="str">
        <f>IFERROR(IF(OR($B14="",EI$3=""),"",(_xll.ciqfunctions.udf.CIQ($B14,"IQ_TOTAL_REVENUE",EI$3, $I$3, $N$3, , $J$3, $K$3)-_xll.ciqfunctions.udf.CIQ($B14,"IQ_COGS",EI$3, $I$3, $N$3, , $J$3, $K$3)-_xll.ciqfunctions.udf.CIQ($B14,"IQ_EBITDA",EI$3, $I$3, $N$3, , $J$3, $K$3))/_xll.ciqfunctions.udf.CIQ($B14,"IQ_TOTAL_REVENUE",EI$3, $I$3, $N$3, , $J$3, $K$3)),"")</f>
        <v/>
      </c>
      <c r="EJ14" s="87" t="str">
        <f>IFERROR(IF(OR($B14="",EJ$3=""),"",(_xll.ciqfunctions.udf.CIQ($B14,"IQ_TOTAL_REVENUE",EJ$3, $I$3, $N$3, , $J$3, $K$3)-_xll.ciqfunctions.udf.CIQ($B14,"IQ_COGS",EJ$3, $I$3, $N$3, , $J$3, $K$3)-_xll.ciqfunctions.udf.CIQ($B14,"IQ_EBITDA",EJ$3, $I$3, $N$3, , $J$3, $K$3))/_xll.ciqfunctions.udf.CIQ($B14,"IQ_TOTAL_REVENUE",EJ$3, $I$3, $N$3, , $J$3, $K$3)),"")</f>
        <v/>
      </c>
      <c r="EK14" s="87" t="str">
        <f>IFERROR(IF(OR($B14="",EK$3=""),"",(_xll.ciqfunctions.udf.CIQ($B14,"IQ_TOTAL_REVENUE",EK$3, $I$3, $N$3, , $J$3, $K$3)-_xll.ciqfunctions.udf.CIQ($B14,"IQ_COGS",EK$3, $I$3, $N$3, , $J$3, $K$3)-_xll.ciqfunctions.udf.CIQ($B14,"IQ_EBITDA",EK$3, $I$3, $N$3, , $J$3, $K$3))/_xll.ciqfunctions.udf.CIQ($B14,"IQ_TOTAL_REVENUE",EK$3, $I$3, $N$3, , $J$3, $K$3)),"")</f>
        <v/>
      </c>
      <c r="EL14" s="87" t="str">
        <f>IFERROR(IF(OR($B14="",EL$3=""),"",(_xll.ciqfunctions.udf.CIQ($B14,"IQ_TOTAL_REVENUE",EL$3, $I$3, $N$3, , $J$3, $K$3)-_xll.ciqfunctions.udf.CIQ($B14,"IQ_COGS",EL$3, $I$3, $N$3, , $J$3, $K$3)-_xll.ciqfunctions.udf.CIQ($B14,"IQ_EBITDA",EL$3, $I$3, $N$3, , $J$3, $K$3))/_xll.ciqfunctions.udf.CIQ($B14,"IQ_TOTAL_REVENUE",EL$3, $I$3, $N$3, , $J$3, $K$3)),"")</f>
        <v/>
      </c>
      <c r="EM14" s="87" t="str">
        <f>IFERROR(IF(OR($B14="",EM$3=""),"",(_xll.ciqfunctions.udf.CIQ($B14,"IQ_TOTAL_REVENUE",EM$3, $I$3, $N$3, , $J$3, $K$3)-_xll.ciqfunctions.udf.CIQ($B14,"IQ_COGS",EM$3, $I$3, $N$3, , $J$3, $K$3)-_xll.ciqfunctions.udf.CIQ($B14,"IQ_EBITDA",EM$3, $I$3, $N$3, , $J$3, $K$3))/_xll.ciqfunctions.udf.CIQ($B14,"IQ_TOTAL_REVENUE",EM$3, $I$3, $N$3, , $J$3, $K$3)),"")</f>
        <v/>
      </c>
      <c r="EN14" s="87" t="str">
        <f>IFERROR(IF(OR($B14="",EN$3=""),"",(_xll.ciqfunctions.udf.CIQ($B14,"IQ_TOTAL_REVENUE",EN$3, $I$3, $N$3, , $J$3, $K$3)-_xll.ciqfunctions.udf.CIQ($B14,"IQ_COGS",EN$3, $I$3, $N$3, , $J$3, $K$3)-_xll.ciqfunctions.udf.CIQ($B14,"IQ_EBITDA",EN$3, $I$3, $N$3, , $J$3, $K$3))/_xll.ciqfunctions.udf.CIQ($B14,"IQ_TOTAL_REVENUE",EN$3, $I$3, $N$3, , $J$3, $K$3)),"")</f>
        <v/>
      </c>
      <c r="EO14" s="87" t="str">
        <f>IFERROR(IF(OR($B14="",EO$3=""),"",(_xll.ciqfunctions.udf.CIQ($B14,"IQ_TOTAL_REVENUE",EO$3, $I$3, $N$3, , $J$3, $K$3)-_xll.ciqfunctions.udf.CIQ($B14,"IQ_COGS",EO$3, $I$3, $N$3, , $J$3, $K$3)-_xll.ciqfunctions.udf.CIQ($B14,"IQ_EBITDA",EO$3, $I$3, $N$3, , $J$3, $K$3))/_xll.ciqfunctions.udf.CIQ($B14,"IQ_TOTAL_REVENUE",EO$3, $I$3, $N$3, , $J$3, $K$3)),"")</f>
        <v/>
      </c>
      <c r="EP14" s="87" t="str">
        <f>IFERROR(IF(OR($B14="",EP$3=""),"",(_xll.ciqfunctions.udf.CIQ($B14,"IQ_TOTAL_REVENUE",EP$3, $I$3, $N$3, , $J$3, $K$3)-_xll.ciqfunctions.udf.CIQ($B14,"IQ_COGS",EP$3, $I$3, $N$3, , $J$3, $K$3)-_xll.ciqfunctions.udf.CIQ($B14,"IQ_EBITDA",EP$3, $I$3, $N$3, , $J$3, $K$3))/_xll.ciqfunctions.udf.CIQ($B14,"IQ_TOTAL_REVENUE",EP$3, $I$3, $N$3, , $J$3, $K$3)),"")</f>
        <v/>
      </c>
      <c r="EQ14" s="87" t="str">
        <f>IFERROR(IF(OR($B14="",EQ$3=""),"",(_xll.ciqfunctions.udf.CIQ($B14,"IQ_TOTAL_REVENUE",EQ$3, $I$3, $N$3, , $J$3, $K$3)-_xll.ciqfunctions.udf.CIQ($B14,"IQ_COGS",EQ$3, $I$3, $N$3, , $J$3, $K$3)-_xll.ciqfunctions.udf.CIQ($B14,"IQ_EBITDA",EQ$3, $I$3, $N$3, , $J$3, $K$3))/_xll.ciqfunctions.udf.CIQ($B14,"IQ_TOTAL_REVENUE",EQ$3, $I$3, $N$3, , $J$3, $K$3)),"")</f>
        <v/>
      </c>
      <c r="ER14" s="87" t="str">
        <f>IFERROR(IF(OR($B14="",ER$3=""),"",(_xll.ciqfunctions.udf.CIQ($B14,"IQ_TOTAL_REVENUE",ER$3, $I$3, $N$3, , $J$3, $K$3)-_xll.ciqfunctions.udf.CIQ($B14,"IQ_COGS",ER$3, $I$3, $N$3, , $J$3, $K$3)-_xll.ciqfunctions.udf.CIQ($B14,"IQ_EBITDA",ER$3, $I$3, $N$3, , $J$3, $K$3))/_xll.ciqfunctions.udf.CIQ($B14,"IQ_TOTAL_REVENUE",ER$3, $I$3, $N$3, , $J$3, $K$3)),"")</f>
        <v/>
      </c>
      <c r="ES14" s="87" t="str">
        <f>IFERROR(IF(OR($B14="",ES$3=""),"",(_xll.ciqfunctions.udf.CIQ($B14,"IQ_TOTAL_REVENUE",ES$3, $I$3, $N$3, , $J$3, $K$3)-_xll.ciqfunctions.udf.CIQ($B14,"IQ_COGS",ES$3, $I$3, $N$3, , $J$3, $K$3)-_xll.ciqfunctions.udf.CIQ($B14,"IQ_EBITDA",ES$3, $I$3, $N$3, , $J$3, $K$3))/_xll.ciqfunctions.udf.CIQ($B14,"IQ_TOTAL_REVENUE",ES$3, $I$3, $N$3, , $J$3, $K$3)),"")</f>
        <v/>
      </c>
      <c r="ET14" s="87" t="str">
        <f>IFERROR(IF(OR($B14="",ET$3=""),"",(_xll.ciqfunctions.udf.CIQ($B14,"IQ_TOTAL_REVENUE",ET$3, $I$3, $N$3, , $J$3, $K$3)-_xll.ciqfunctions.udf.CIQ($B14,"IQ_COGS",ET$3, $I$3, $N$3, , $J$3, $K$3)-_xll.ciqfunctions.udf.CIQ($B14,"IQ_EBITDA",ET$3, $I$3, $N$3, , $J$3, $K$3))/_xll.ciqfunctions.udf.CIQ($B14,"IQ_TOTAL_REVENUE",ET$3, $I$3, $N$3, , $J$3, $K$3)),"")</f>
        <v/>
      </c>
      <c r="EU14" s="87" t="str">
        <f>IFERROR(IF(OR($B14="",EU$3=""),"",(_xll.ciqfunctions.udf.CIQ($B14,"IQ_TOTAL_REVENUE",EU$3, $I$3, $N$3, , $J$3, $K$3)-_xll.ciqfunctions.udf.CIQ($B14,"IQ_COGS",EU$3, $I$3, $N$3, , $J$3, $K$3)-_xll.ciqfunctions.udf.CIQ($B14,"IQ_EBITDA",EU$3, $I$3, $N$3, , $J$3, $K$3))/_xll.ciqfunctions.udf.CIQ($B14,"IQ_TOTAL_REVENUE",EU$3, $I$3, $N$3, , $J$3, $K$3)),"")</f>
        <v/>
      </c>
      <c r="EV14" s="88" t="str">
        <f>IFERROR(IF(OR($B14="",EV$3=""),"",(_xll.ciqfunctions.udf.CIQ($B14,"IQ_TOTAL_REVENUE",EV$3, $I$3, $N$3, , $J$3, $K$3)-_xll.ciqfunctions.udf.CIQ($B14,"IQ_COGS",EV$3, $I$3, $N$3, , $J$3, $K$3)-_xll.ciqfunctions.udf.CIQ($B14,"IQ_EBITDA",EV$3, $I$3, $N$3, , $J$3, $K$3))/_xll.ciqfunctions.udf.CIQ($B14,"IQ_TOTAL_REVENUE",EV$3, $I$3, $N$3, , $J$3, $K$3)),"")</f>
        <v/>
      </c>
      <c r="EW14" s="72" t="str">
        <f>IFERROR(IF(OR($B14="",EW$3=""),"",IF(AND($EW$4="No",_xll.ciqfunctions.udf.CIQ($B14, "IQ_SGA_MARGIN", EW$3, $I$3, $N$3, , $J$3, $K$3)&lt;=0),"",_xll.ciqfunctions.udf.CIQ($B14, "IQ_SGA_MARGIN", EW$3, $I$3, $N$3, , $J$3, $K$3)/100)),"")</f>
        <v/>
      </c>
      <c r="EX14" s="72" t="str">
        <f>IFERROR(IF(OR($B14="",EX$3=""),"",IF(AND($EW$4="No",_xll.ciqfunctions.udf.CIQ($B14, "IQ_SGA_MARGIN", EX$3, $I$3, $N$3, , $J$3, $K$3)&lt;=0),"",_xll.ciqfunctions.udf.CIQ($B14, "IQ_SGA_MARGIN", EX$3, $I$3, $N$3, , $J$3, $K$3)/100)),"")</f>
        <v/>
      </c>
      <c r="EY14" s="72" t="str">
        <f>IFERROR(IF(OR($B14="",EY$3=""),"",IF(AND($EW$4="No",_xll.ciqfunctions.udf.CIQ($B14, "IQ_SGA_MARGIN", EY$3, $I$3, $N$3, , $J$3, $K$3)&lt;=0),"",_xll.ciqfunctions.udf.CIQ($B14, "IQ_SGA_MARGIN", EY$3, $I$3, $N$3, , $J$3, $K$3)/100)),"")</f>
        <v/>
      </c>
      <c r="EZ14" s="72" t="str">
        <f>IFERROR(IF(OR($B14="",EZ$3=""),"",IF(AND($EW$4="No",_xll.ciqfunctions.udf.CIQ($B14, "IQ_SGA_MARGIN", EZ$3, $I$3, $N$3, , $J$3, $K$3)&lt;=0),"",_xll.ciqfunctions.udf.CIQ($B14, "IQ_SGA_MARGIN", EZ$3, $I$3, $N$3, , $J$3, $K$3)/100)),"")</f>
        <v/>
      </c>
      <c r="FA14" s="72" t="str">
        <f>IFERROR(IF(OR($B14="",FA$3=""),"",IF(AND($EW$4="No",_xll.ciqfunctions.udf.CIQ($B14, "IQ_SGA_MARGIN", FA$3, $I$3, $N$3, , $J$3, $K$3)&lt;=0),"",_xll.ciqfunctions.udf.CIQ($B14, "IQ_SGA_MARGIN", FA$3, $I$3, $N$3, , $J$3, $K$3)/100)),"")</f>
        <v/>
      </c>
      <c r="FB14" s="72" t="str">
        <f>IFERROR(IF(OR($B14="",FB$3=""),"",IF(AND($EW$4="No",_xll.ciqfunctions.udf.CIQ($B14, "IQ_SGA_MARGIN", FB$3, $I$3, $N$3, , $J$3, $K$3)&lt;=0),"",_xll.ciqfunctions.udf.CIQ($B14, "IQ_SGA_MARGIN", FB$3, $I$3, $N$3, , $J$3, $K$3)/100)),"")</f>
        <v/>
      </c>
      <c r="FC14" s="72" t="str">
        <f>IFERROR(IF(OR($B14="",FC$3=""),"",IF(AND($EW$4="No",_xll.ciqfunctions.udf.CIQ($B14, "IQ_SGA_MARGIN", FC$3, $I$3, $N$3, , $J$3, $K$3)&lt;=0),"",_xll.ciqfunctions.udf.CIQ($B14, "IQ_SGA_MARGIN", FC$3, $I$3, $N$3, , $J$3, $K$3)/100)),"")</f>
        <v/>
      </c>
      <c r="FD14" s="72" t="str">
        <f>IFERROR(IF(OR($B14="",FD$3=""),"",IF(AND($EW$4="No",_xll.ciqfunctions.udf.CIQ($B14, "IQ_SGA_MARGIN", FD$3, $I$3, $N$3, , $J$3, $K$3)&lt;=0),"",_xll.ciqfunctions.udf.CIQ($B14, "IQ_SGA_MARGIN", FD$3, $I$3, $N$3, , $J$3, $K$3)/100)),"")</f>
        <v/>
      </c>
      <c r="FE14" s="72" t="str">
        <f>IFERROR(IF(OR($B14="",FE$3=""),"",IF(AND($EW$4="No",_xll.ciqfunctions.udf.CIQ($B14, "IQ_SGA_MARGIN", FE$3, $I$3, $N$3, , $J$3, $K$3)&lt;=0),"",_xll.ciqfunctions.udf.CIQ($B14, "IQ_SGA_MARGIN", FE$3, $I$3, $N$3, , $J$3, $K$3)/100)),"")</f>
        <v/>
      </c>
      <c r="FF14" s="72" t="str">
        <f>IFERROR(IF(OR($B14="",FF$3=""),"",IF(AND($EW$4="No",_xll.ciqfunctions.udf.CIQ($B14, "IQ_SGA_MARGIN", FF$3, $I$3, $N$3, , $J$3, $K$3)&lt;=0),"",_xll.ciqfunctions.udf.CIQ($B14, "IQ_SGA_MARGIN", FF$3, $I$3, $N$3, , $J$3, $K$3)/100)),"")</f>
        <v/>
      </c>
      <c r="FG14" s="72" t="str">
        <f>IFERROR(IF(OR($B14="",FG$3=""),"",IF(AND($EW$4="No",_xll.ciqfunctions.udf.CIQ($B14, "IQ_SGA_MARGIN", FG$3, $I$3, $N$3, , $J$3, $K$3)&lt;=0),"",_xll.ciqfunctions.udf.CIQ($B14, "IQ_SGA_MARGIN", FG$3, $I$3, $N$3, , $J$3, $K$3)/100)),"")</f>
        <v/>
      </c>
      <c r="FH14" s="72" t="str">
        <f>IFERROR(IF(OR($B14="",FH$3=""),"",IF(AND($EW$4="No",_xll.ciqfunctions.udf.CIQ($B14, "IQ_SGA_MARGIN", FH$3, $I$3, $N$3, , $J$3, $K$3)&lt;=0),"",_xll.ciqfunctions.udf.CIQ($B14, "IQ_SGA_MARGIN", FH$3, $I$3, $N$3, , $J$3, $K$3)/100)),"")</f>
        <v/>
      </c>
      <c r="FI14" s="72" t="str">
        <f>IFERROR(IF(OR($B14="",FI$3=""),"",IF(AND($EW$4="No",_xll.ciqfunctions.udf.CIQ($B14, "IQ_SGA_MARGIN", FI$3, $I$3, $N$3, , $J$3, $K$3)&lt;=0),"",_xll.ciqfunctions.udf.CIQ($B14, "IQ_SGA_MARGIN", FI$3, $I$3, $N$3, , $J$3, $K$3)/100)),"")</f>
        <v/>
      </c>
      <c r="FJ14" s="72" t="str">
        <f>IFERROR(IF(OR($B14="",FJ$3=""),"",IF(AND($EW$4="No",_xll.ciqfunctions.udf.CIQ($B14, "IQ_SGA_MARGIN", FJ$3, $I$3, $N$3, , $J$3, $K$3)&lt;=0),"",_xll.ciqfunctions.udf.CIQ($B14, "IQ_SGA_MARGIN", FJ$3, $I$3, $N$3, , $J$3, $K$3)/100)),"")</f>
        <v/>
      </c>
      <c r="FK14" s="72" t="str">
        <f>IFERROR(IF(OR($B14="",FK$3=""),"",IF(AND($EW$4="No",_xll.ciqfunctions.udf.CIQ($B14, "IQ_SGA_MARGIN", FK$3, $I$3, $N$3, , $J$3, $K$3)&lt;=0),"",_xll.ciqfunctions.udf.CIQ($B14, "IQ_SGA_MARGIN", FK$3, $I$3, $N$3, , $J$3, $K$3)/100)),"")</f>
        <v/>
      </c>
      <c r="FL14" s="72" t="str">
        <f>IFERROR(IF(OR($B14="",FL$3=""),"",IF(AND($EW$4="No",_xll.ciqfunctions.udf.CIQ($B14, "IQ_SGA_MARGIN", FL$3, $I$3, $N$3, , $J$3, $K$3)&lt;=0),"",_xll.ciqfunctions.udf.CIQ($B14, "IQ_SGA_MARGIN", FL$3, $I$3, $N$3, , $J$3, $K$3)/100)),"")</f>
        <v/>
      </c>
      <c r="FM14" s="72" t="str">
        <f>IFERROR(IF(OR($B14="",FM$3=""),"",IF(AND($EW$4="No",_xll.ciqfunctions.udf.CIQ($B14, "IQ_SGA_MARGIN", FM$3, $I$3, $N$3, , $J$3, $K$3)&lt;=0),"",_xll.ciqfunctions.udf.CIQ($B14, "IQ_SGA_MARGIN", FM$3, $I$3, $N$3, , $J$3, $K$3)/100)),"")</f>
        <v/>
      </c>
      <c r="FN14" s="72" t="str">
        <f>IFERROR(IF(OR($B14="",FN$3=""),"",IF(AND($EW$4="No",_xll.ciqfunctions.udf.CIQ($B14, "IQ_SGA_MARGIN", FN$3, $I$3, $N$3, , $J$3, $K$3)&lt;=0),"",_xll.ciqfunctions.udf.CIQ($B14, "IQ_SGA_MARGIN", FN$3, $I$3, $N$3, , $J$3, $K$3)/100)),"")</f>
        <v/>
      </c>
      <c r="FO14" s="72" t="str">
        <f>IFERROR(IF(OR($B14="",FO$3=""),"",IF(AND($EW$4="No",_xll.ciqfunctions.udf.CIQ($B14, "IQ_SGA_MARGIN", FO$3, $I$3, $N$3, , $J$3, $K$3)&lt;=0),"",_xll.ciqfunctions.udf.CIQ($B14, "IQ_SGA_MARGIN", FO$3, $I$3, $N$3, , $J$3, $K$3)/100)),"")</f>
        <v/>
      </c>
      <c r="FP14" s="72" t="str">
        <f>IFERROR(IF(OR($B14="",FP$3=""),"",IF(AND($EW$4="No",_xll.ciqfunctions.udf.CIQ($B14, "IQ_SGA_MARGIN", FP$3, $I$3, $N$3, , $J$3, $K$3)&lt;=0),"",_xll.ciqfunctions.udf.CIQ($B14, "IQ_SGA_MARGIN", FP$3, $I$3, $N$3, , $J$3, $K$3)/100)),"")</f>
        <v/>
      </c>
      <c r="FQ14" s="86" t="str">
        <f>IFERROR(IF(OR($B14="",FQ$3=""),"",IF(AND($FQ$4="No",_xll.ciqfunctions.udf.CIQ($B14, "IQ_RD_EXP",FQ$3, $I$3, $N$3, , $J$3, $K$3)&lt;=0),"",_xll.ciqfunctions.udf.CIQ($B14, "IQ_RD_EXP",FQ$3, $I$3, $N$3, , $J$3, $K$3)/_xll.ciqfunctions.udf.CIQ($B14,"IQ_TOTAL_REV",FQ$3, $I$3, $N$3, , $J$3, $K$3))),"")</f>
        <v/>
      </c>
      <c r="FR14" s="87" t="str">
        <f>IFERROR(IF(OR($B14="",FR$3=""),"",IF(AND($FQ$4="No",_xll.ciqfunctions.udf.CIQ($B14, "IQ_RD_EXP",FR$3, $I$3, $N$3, , $J$3, $K$3)&lt;=0),"",_xll.ciqfunctions.udf.CIQ($B14, "IQ_RD_EXP",FR$3, $I$3, $N$3, , $J$3, $K$3)/_xll.ciqfunctions.udf.CIQ($B14,"IQ_TOTAL_REV",FR$3, $I$3, $N$3, , $J$3, $K$3))),"")</f>
        <v/>
      </c>
      <c r="FS14" s="87" t="str">
        <f>IFERROR(IF(OR($B14="",FS$3=""),"",IF(AND($FQ$4="No",_xll.ciqfunctions.udf.CIQ($B14, "IQ_RD_EXP",FS$3, $I$3, $N$3, , $J$3, $K$3)&lt;=0),"",_xll.ciqfunctions.udf.CIQ($B14, "IQ_RD_EXP",FS$3, $I$3, $N$3, , $J$3, $K$3)/_xll.ciqfunctions.udf.CIQ($B14,"IQ_TOTAL_REV",FS$3, $I$3, $N$3, , $J$3, $K$3))),"")</f>
        <v/>
      </c>
      <c r="FT14" s="87" t="str">
        <f>IFERROR(IF(OR($B14="",FT$3=""),"",IF(AND($FQ$4="No",_xll.ciqfunctions.udf.CIQ($B14, "IQ_RD_EXP",FT$3, $I$3, $N$3, , $J$3, $K$3)&lt;=0),"",_xll.ciqfunctions.udf.CIQ($B14, "IQ_RD_EXP",FT$3, $I$3, $N$3, , $J$3, $K$3)/_xll.ciqfunctions.udf.CIQ($B14,"IQ_TOTAL_REV",FT$3, $I$3, $N$3, , $J$3, $K$3))),"")</f>
        <v/>
      </c>
      <c r="FU14" s="87" t="str">
        <f>IFERROR(IF(OR($B14="",FU$3=""),"",IF(AND($FQ$4="No",_xll.ciqfunctions.udf.CIQ($B14, "IQ_RD_EXP",FU$3, $I$3, $N$3, , $J$3, $K$3)&lt;=0),"",_xll.ciqfunctions.udf.CIQ($B14, "IQ_RD_EXP",FU$3, $I$3, $N$3, , $J$3, $K$3)/_xll.ciqfunctions.udf.CIQ($B14,"IQ_TOTAL_REV",FU$3, $I$3, $N$3, , $J$3, $K$3))),"")</f>
        <v/>
      </c>
      <c r="FV14" s="87" t="str">
        <f>IFERROR(IF(OR($B14="",FV$3=""),"",IF(AND($FQ$4="No",_xll.ciqfunctions.udf.CIQ($B14, "IQ_RD_EXP",FV$3, $I$3, $N$3, , $J$3, $K$3)&lt;=0),"",_xll.ciqfunctions.udf.CIQ($B14, "IQ_RD_EXP",FV$3, $I$3, $N$3, , $J$3, $K$3)/_xll.ciqfunctions.udf.CIQ($B14,"IQ_TOTAL_REV",FV$3, $I$3, $N$3, , $J$3, $K$3))),"")</f>
        <v/>
      </c>
      <c r="FW14" s="87" t="str">
        <f>IFERROR(IF(OR($B14="",FW$3=""),"",IF(AND($FQ$4="No",_xll.ciqfunctions.udf.CIQ($B14, "IQ_RD_EXP",FW$3, $I$3, $N$3, , $J$3, $K$3)&lt;=0),"",_xll.ciqfunctions.udf.CIQ($B14, "IQ_RD_EXP",FW$3, $I$3, $N$3, , $J$3, $K$3)/_xll.ciqfunctions.udf.CIQ($B14,"IQ_TOTAL_REV",FW$3, $I$3, $N$3, , $J$3, $K$3))),"")</f>
        <v/>
      </c>
      <c r="FX14" s="87" t="str">
        <f>IFERROR(IF(OR($B14="",FX$3=""),"",IF(AND($FQ$4="No",_xll.ciqfunctions.udf.CIQ($B14, "IQ_RD_EXP",FX$3, $I$3, $N$3, , $J$3, $K$3)&lt;=0),"",_xll.ciqfunctions.udf.CIQ($B14, "IQ_RD_EXP",FX$3, $I$3, $N$3, , $J$3, $K$3)/_xll.ciqfunctions.udf.CIQ($B14,"IQ_TOTAL_REV",FX$3, $I$3, $N$3, , $J$3, $K$3))),"")</f>
        <v/>
      </c>
      <c r="FY14" s="87" t="str">
        <f>IFERROR(IF(OR($B14="",FY$3=""),"",IF(AND($FQ$4="No",_xll.ciqfunctions.udf.CIQ($B14, "IQ_RD_EXP",FY$3, $I$3, $N$3, , $J$3, $K$3)&lt;=0),"",_xll.ciqfunctions.udf.CIQ($B14, "IQ_RD_EXP",FY$3, $I$3, $N$3, , $J$3, $K$3)/_xll.ciqfunctions.udf.CIQ($B14,"IQ_TOTAL_REV",FY$3, $I$3, $N$3, , $J$3, $K$3))),"")</f>
        <v/>
      </c>
      <c r="FZ14" s="87" t="str">
        <f>IFERROR(IF(OR($B14="",FZ$3=""),"",IF(AND($FQ$4="No",_xll.ciqfunctions.udf.CIQ($B14, "IQ_RD_EXP",FZ$3, $I$3, $N$3, , $J$3, $K$3)&lt;=0),"",_xll.ciqfunctions.udf.CIQ($B14, "IQ_RD_EXP",FZ$3, $I$3, $N$3, , $J$3, $K$3)/_xll.ciqfunctions.udf.CIQ($B14,"IQ_TOTAL_REV",FZ$3, $I$3, $N$3, , $J$3, $K$3))),"")</f>
        <v/>
      </c>
      <c r="GA14" s="87" t="str">
        <f>IFERROR(IF(OR($B14="",GA$3=""),"",IF(AND($FQ$4="No",_xll.ciqfunctions.udf.CIQ($B14, "IQ_RD_EXP",GA$3, $I$3, $N$3, , $J$3, $K$3)&lt;=0),"",_xll.ciqfunctions.udf.CIQ($B14, "IQ_RD_EXP",GA$3, $I$3, $N$3, , $J$3, $K$3)/_xll.ciqfunctions.udf.CIQ($B14,"IQ_TOTAL_REV",GA$3, $I$3, $N$3, , $J$3, $K$3))),"")</f>
        <v/>
      </c>
      <c r="GB14" s="87" t="str">
        <f>IFERROR(IF(OR($B14="",GB$3=""),"",IF(AND($FQ$4="No",_xll.ciqfunctions.udf.CIQ($B14, "IQ_RD_EXP",GB$3, $I$3, $N$3, , $J$3, $K$3)&lt;=0),"",_xll.ciqfunctions.udf.CIQ($B14, "IQ_RD_EXP",GB$3, $I$3, $N$3, , $J$3, $K$3)/_xll.ciqfunctions.udf.CIQ($B14,"IQ_TOTAL_REV",GB$3, $I$3, $N$3, , $J$3, $K$3))),"")</f>
        <v/>
      </c>
      <c r="GC14" s="87" t="str">
        <f>IFERROR(IF(OR($B14="",GC$3=""),"",IF(AND($FQ$4="No",_xll.ciqfunctions.udf.CIQ($B14, "IQ_RD_EXP",GC$3, $I$3, $N$3, , $J$3, $K$3)&lt;=0),"",_xll.ciqfunctions.udf.CIQ($B14, "IQ_RD_EXP",GC$3, $I$3, $N$3, , $J$3, $K$3)/_xll.ciqfunctions.udf.CIQ($B14,"IQ_TOTAL_REV",GC$3, $I$3, $N$3, , $J$3, $K$3))),"")</f>
        <v/>
      </c>
      <c r="GD14" s="87" t="str">
        <f>IFERROR(IF(OR($B14="",GD$3=""),"",IF(AND($FQ$4="No",_xll.ciqfunctions.udf.CIQ($B14, "IQ_RD_EXP",GD$3, $I$3, $N$3, , $J$3, $K$3)&lt;=0),"",_xll.ciqfunctions.udf.CIQ($B14, "IQ_RD_EXP",GD$3, $I$3, $N$3, , $J$3, $K$3)/_xll.ciqfunctions.udf.CIQ($B14,"IQ_TOTAL_REV",GD$3, $I$3, $N$3, , $J$3, $K$3))),"")</f>
        <v/>
      </c>
      <c r="GE14" s="87" t="str">
        <f>IFERROR(IF(OR($B14="",GE$3=""),"",IF(AND($FQ$4="No",_xll.ciqfunctions.udf.CIQ($B14, "IQ_RD_EXP",GE$3, $I$3, $N$3, , $J$3, $K$3)&lt;=0),"",_xll.ciqfunctions.udf.CIQ($B14, "IQ_RD_EXP",GE$3, $I$3, $N$3, , $J$3, $K$3)/_xll.ciqfunctions.udf.CIQ($B14,"IQ_TOTAL_REV",GE$3, $I$3, $N$3, , $J$3, $K$3))),"")</f>
        <v/>
      </c>
      <c r="GF14" s="87" t="str">
        <f>IFERROR(IF(OR($B14="",GF$3=""),"",IF(AND($FQ$4="No",_xll.ciqfunctions.udf.CIQ($B14, "IQ_RD_EXP",GF$3, $I$3, $N$3, , $J$3, $K$3)&lt;=0),"",_xll.ciqfunctions.udf.CIQ($B14, "IQ_RD_EXP",GF$3, $I$3, $N$3, , $J$3, $K$3)/_xll.ciqfunctions.udf.CIQ($B14,"IQ_TOTAL_REV",GF$3, $I$3, $N$3, , $J$3, $K$3))),"")</f>
        <v/>
      </c>
      <c r="GG14" s="87" t="str">
        <f>IFERROR(IF(OR($B14="",GG$3=""),"",IF(AND($FQ$4="No",_xll.ciqfunctions.udf.CIQ($B14, "IQ_RD_EXP",GG$3, $I$3, $N$3, , $J$3, $K$3)&lt;=0),"",_xll.ciqfunctions.udf.CIQ($B14, "IQ_RD_EXP",GG$3, $I$3, $N$3, , $J$3, $K$3)/_xll.ciqfunctions.udf.CIQ($B14,"IQ_TOTAL_REV",GG$3, $I$3, $N$3, , $J$3, $K$3))),"")</f>
        <v/>
      </c>
      <c r="GH14" s="87" t="str">
        <f>IFERROR(IF(OR($B14="",GH$3=""),"",IF(AND($FQ$4="No",_xll.ciqfunctions.udf.CIQ($B14, "IQ_RD_EXP",GH$3, $I$3, $N$3, , $J$3, $K$3)&lt;=0),"",_xll.ciqfunctions.udf.CIQ($B14, "IQ_RD_EXP",GH$3, $I$3, $N$3, , $J$3, $K$3)/_xll.ciqfunctions.udf.CIQ($B14,"IQ_TOTAL_REV",GH$3, $I$3, $N$3, , $J$3, $K$3))),"")</f>
        <v/>
      </c>
      <c r="GI14" s="87" t="str">
        <f>IFERROR(IF(OR($B14="",GI$3=""),"",IF(AND($FQ$4="No",_xll.ciqfunctions.udf.CIQ($B14, "IQ_RD_EXP",GI$3, $I$3, $N$3, , $J$3, $K$3)&lt;=0),"",_xll.ciqfunctions.udf.CIQ($B14, "IQ_RD_EXP",GI$3, $I$3, $N$3, , $J$3, $K$3)/_xll.ciqfunctions.udf.CIQ($B14,"IQ_TOTAL_REV",GI$3, $I$3, $N$3, , $J$3, $K$3))),"")</f>
        <v/>
      </c>
      <c r="GJ14" s="88" t="str">
        <f>IFERROR(IF(OR($B14="",GJ$3=""),"",IF(AND($FQ$4="No",_xll.ciqfunctions.udf.CIQ($B14, "IQ_RD_EXP",GJ$3, $I$3, $N$3, , $J$3, $K$3)&lt;=0),"",_xll.ciqfunctions.udf.CIQ($B14, "IQ_RD_EXP",GJ$3, $I$3, $N$3, , $J$3, $K$3)/_xll.ciqfunctions.udf.CIQ($B14,"IQ_TOTAL_REV",GJ$3, $I$3, $N$3, , $J$3, $K$3))),"")</f>
        <v/>
      </c>
      <c r="GK14" s="89" t="str">
        <f>IFERROR(IF(OR($B14="",GK$3=""),"",IF(AND($GK$4="No",(_xll.ciqfunctions.udf.CIQ($B14,"IQ_AR",GK$3, $I$3, $N$3, , $J$3, $K$3)+_xll.ciqfunctions.udf.CIQ($B14,"IQ_AR","IQ_" &amp; LEFT(GK$3,2) &amp; "-1",GK$3, $N$3, , $J$3, $K$3))&lt;=0),"",$GK$2*0.5*(_xll.ciqfunctions.udf.CIQ($B14,"IQ_AR",GK$3, $I$3, $N$3, , $J$3, $K$3)+_xll.ciqfunctions.udf.CIQ($B14,"IQ_AR","IQ_" &amp; LEFT(GK$3,2) &amp; "-1",GK$3, $N$3, , $J$3, $K$3))/_xll.ciqfunctions.udf.CIQ($B14,"IQ_TOTAL_REVENUE",GK$3, $I$3, $N$3, , $J$3, $K$3))),"")</f>
        <v/>
      </c>
      <c r="GL14" s="90" t="str">
        <f>IFERROR(IF(OR($B14="",GL$3=""),"",IF(AND($GK$4="No",(_xll.ciqfunctions.udf.CIQ($B14,"IQ_AR",GL$3, $I$3, $N$3, , $J$3, $K$3)+_xll.ciqfunctions.udf.CIQ($B14,"IQ_AR","IQ_" &amp; LEFT(GL$3,2) &amp; "-1",GL$3, $N$3, , $J$3, $K$3))&lt;=0),"",$GK$2*0.5*(_xll.ciqfunctions.udf.CIQ($B14,"IQ_AR",GL$3, $I$3, $N$3, , $J$3, $K$3)+_xll.ciqfunctions.udf.CIQ($B14,"IQ_AR","IQ_" &amp; LEFT(GL$3,2) &amp; "-1",GL$3, $N$3, , $J$3, $K$3))/_xll.ciqfunctions.udf.CIQ($B14,"IQ_TOTAL_REVENUE",GL$3, $I$3, $N$3, , $J$3, $K$3))),"")</f>
        <v/>
      </c>
      <c r="GM14" s="90" t="str">
        <f>IFERROR(IF(OR($B14="",GM$3=""),"",IF(AND($GK$4="No",(_xll.ciqfunctions.udf.CIQ($B14,"IQ_AR",GM$3, $I$3, $N$3, , $J$3, $K$3)+_xll.ciqfunctions.udf.CIQ($B14,"IQ_AR","IQ_" &amp; LEFT(GM$3,2) &amp; "-1",GM$3, $N$3, , $J$3, $K$3))&lt;=0),"",$GK$2*0.5*(_xll.ciqfunctions.udf.CIQ($B14,"IQ_AR",GM$3, $I$3, $N$3, , $J$3, $K$3)+_xll.ciqfunctions.udf.CIQ($B14,"IQ_AR","IQ_" &amp; LEFT(GM$3,2) &amp; "-1",GM$3, $N$3, , $J$3, $K$3))/_xll.ciqfunctions.udf.CIQ($B14,"IQ_TOTAL_REVENUE",GM$3, $I$3, $N$3, , $J$3, $K$3))),"")</f>
        <v/>
      </c>
      <c r="GN14" s="90" t="str">
        <f>IFERROR(IF(OR($B14="",GN$3=""),"",IF(AND($GK$4="No",(_xll.ciqfunctions.udf.CIQ($B14,"IQ_AR",GN$3, $I$3, $N$3, , $J$3, $K$3)+_xll.ciqfunctions.udf.CIQ($B14,"IQ_AR","IQ_" &amp; LEFT(GN$3,2) &amp; "-1",GN$3, $N$3, , $J$3, $K$3))&lt;=0),"",$GK$2*0.5*(_xll.ciqfunctions.udf.CIQ($B14,"IQ_AR",GN$3, $I$3, $N$3, , $J$3, $K$3)+_xll.ciqfunctions.udf.CIQ($B14,"IQ_AR","IQ_" &amp; LEFT(GN$3,2) &amp; "-1",GN$3, $N$3, , $J$3, $K$3))/_xll.ciqfunctions.udf.CIQ($B14,"IQ_TOTAL_REVENUE",GN$3, $I$3, $N$3, , $J$3, $K$3))),"")</f>
        <v/>
      </c>
      <c r="GO14" s="90" t="str">
        <f>IFERROR(IF(OR($B14="",GO$3=""),"",IF(AND($GK$4="No",(_xll.ciqfunctions.udf.CIQ($B14,"IQ_AR",GO$3, $I$3, $N$3, , $J$3, $K$3)+_xll.ciqfunctions.udf.CIQ($B14,"IQ_AR","IQ_" &amp; LEFT(GO$3,2) &amp; "-1",GO$3, $N$3, , $J$3, $K$3))&lt;=0),"",$GK$2*0.5*(_xll.ciqfunctions.udf.CIQ($B14,"IQ_AR",GO$3, $I$3, $N$3, , $J$3, $K$3)+_xll.ciqfunctions.udf.CIQ($B14,"IQ_AR","IQ_" &amp; LEFT(GO$3,2) &amp; "-1",GO$3, $N$3, , $J$3, $K$3))/_xll.ciqfunctions.udf.CIQ($B14,"IQ_TOTAL_REVENUE",GO$3, $I$3, $N$3, , $J$3, $K$3))),"")</f>
        <v/>
      </c>
      <c r="GP14" s="90" t="str">
        <f>IFERROR(IF(OR($B14="",GP$3=""),"",IF(AND($GK$4="No",(_xll.ciqfunctions.udf.CIQ($B14,"IQ_AR",GP$3, $I$3, $N$3, , $J$3, $K$3)+_xll.ciqfunctions.udf.CIQ($B14,"IQ_AR","IQ_" &amp; LEFT(GP$3,2) &amp; "-1",GP$3, $N$3, , $J$3, $K$3))&lt;=0),"",$GK$2*0.5*(_xll.ciqfunctions.udf.CIQ($B14,"IQ_AR",GP$3, $I$3, $N$3, , $J$3, $K$3)+_xll.ciqfunctions.udf.CIQ($B14,"IQ_AR","IQ_" &amp; LEFT(GP$3,2) &amp; "-1",GP$3, $N$3, , $J$3, $K$3))/_xll.ciqfunctions.udf.CIQ($B14,"IQ_TOTAL_REVENUE",GP$3, $I$3, $N$3, , $J$3, $K$3))),"")</f>
        <v/>
      </c>
      <c r="GQ14" s="90" t="str">
        <f>IFERROR(IF(OR($B14="",GQ$3=""),"",IF(AND($GK$4="No",(_xll.ciqfunctions.udf.CIQ($B14,"IQ_AR",GQ$3, $I$3, $N$3, , $J$3, $K$3)+_xll.ciqfunctions.udf.CIQ($B14,"IQ_AR","IQ_" &amp; LEFT(GQ$3,2) &amp; "-1",GQ$3, $N$3, , $J$3, $K$3))&lt;=0),"",$GK$2*0.5*(_xll.ciqfunctions.udf.CIQ($B14,"IQ_AR",GQ$3, $I$3, $N$3, , $J$3, $K$3)+_xll.ciqfunctions.udf.CIQ($B14,"IQ_AR","IQ_" &amp; LEFT(GQ$3,2) &amp; "-1",GQ$3, $N$3, , $J$3, $K$3))/_xll.ciqfunctions.udf.CIQ($B14,"IQ_TOTAL_REVENUE",GQ$3, $I$3, $N$3, , $J$3, $K$3))),"")</f>
        <v/>
      </c>
      <c r="GR14" s="90" t="str">
        <f>IFERROR(IF(OR($B14="",GR$3=""),"",IF(AND($GK$4="No",(_xll.ciqfunctions.udf.CIQ($B14,"IQ_AR",GR$3, $I$3, $N$3, , $J$3, $K$3)+_xll.ciqfunctions.udf.CIQ($B14,"IQ_AR","IQ_" &amp; LEFT(GR$3,2) &amp; "-1",GR$3, $N$3, , $J$3, $K$3))&lt;=0),"",$GK$2*0.5*(_xll.ciqfunctions.udf.CIQ($B14,"IQ_AR",GR$3, $I$3, $N$3, , $J$3, $K$3)+_xll.ciqfunctions.udf.CIQ($B14,"IQ_AR","IQ_" &amp; LEFT(GR$3,2) &amp; "-1",GR$3, $N$3, , $J$3, $K$3))/_xll.ciqfunctions.udf.CIQ($B14,"IQ_TOTAL_REVENUE",GR$3, $I$3, $N$3, , $J$3, $K$3))),"")</f>
        <v/>
      </c>
      <c r="GS14" s="90" t="str">
        <f>IFERROR(IF(OR($B14="",GS$3=""),"",IF(AND($GK$4="No",(_xll.ciqfunctions.udf.CIQ($B14,"IQ_AR",GS$3, $I$3, $N$3, , $J$3, $K$3)+_xll.ciqfunctions.udf.CIQ($B14,"IQ_AR","IQ_" &amp; LEFT(GS$3,2) &amp; "-1",GS$3, $N$3, , $J$3, $K$3))&lt;=0),"",$GK$2*0.5*(_xll.ciqfunctions.udf.CIQ($B14,"IQ_AR",GS$3, $I$3, $N$3, , $J$3, $K$3)+_xll.ciqfunctions.udf.CIQ($B14,"IQ_AR","IQ_" &amp; LEFT(GS$3,2) &amp; "-1",GS$3, $N$3, , $J$3, $K$3))/_xll.ciqfunctions.udf.CIQ($B14,"IQ_TOTAL_REVENUE",GS$3, $I$3, $N$3, , $J$3, $K$3))),"")</f>
        <v/>
      </c>
      <c r="GT14" s="90" t="str">
        <f>IFERROR(IF(OR($B14="",GT$3=""),"",IF(AND($GK$4="No",(_xll.ciqfunctions.udf.CIQ($B14,"IQ_AR",GT$3, $I$3, $N$3, , $J$3, $K$3)+_xll.ciqfunctions.udf.CIQ($B14,"IQ_AR","IQ_" &amp; LEFT(GT$3,2) &amp; "-1",GT$3, $N$3, , $J$3, $K$3))&lt;=0),"",$GK$2*0.5*(_xll.ciqfunctions.udf.CIQ($B14,"IQ_AR",GT$3, $I$3, $N$3, , $J$3, $K$3)+_xll.ciqfunctions.udf.CIQ($B14,"IQ_AR","IQ_" &amp; LEFT(GT$3,2) &amp; "-1",GT$3, $N$3, , $J$3, $K$3))/_xll.ciqfunctions.udf.CIQ($B14,"IQ_TOTAL_REVENUE",GT$3, $I$3, $N$3, , $J$3, $K$3))),"")</f>
        <v/>
      </c>
      <c r="GU14" s="90" t="str">
        <f>IFERROR(IF(OR($B14="",GU$3=""),"",IF(AND($GK$4="No",(_xll.ciqfunctions.udf.CIQ($B14,"IQ_AR",GU$3, $I$3, $N$3, , $J$3, $K$3)+_xll.ciqfunctions.udf.CIQ($B14,"IQ_AR","IQ_" &amp; LEFT(GU$3,2) &amp; "-1",GU$3, $N$3, , $J$3, $K$3))&lt;=0),"",$GK$2*0.5*(_xll.ciqfunctions.udf.CIQ($B14,"IQ_AR",GU$3, $I$3, $N$3, , $J$3, $K$3)+_xll.ciqfunctions.udf.CIQ($B14,"IQ_AR","IQ_" &amp; LEFT(GU$3,2) &amp; "-1",GU$3, $N$3, , $J$3, $K$3))/_xll.ciqfunctions.udf.CIQ($B14,"IQ_TOTAL_REVENUE",GU$3, $I$3, $N$3, , $J$3, $K$3))),"")</f>
        <v/>
      </c>
      <c r="GV14" s="90" t="str">
        <f>IFERROR(IF(OR($B14="",GV$3=""),"",IF(AND($GK$4="No",(_xll.ciqfunctions.udf.CIQ($B14,"IQ_AR",GV$3, $I$3, $N$3, , $J$3, $K$3)+_xll.ciqfunctions.udf.CIQ($B14,"IQ_AR","IQ_" &amp; LEFT(GV$3,2) &amp; "-1",GV$3, $N$3, , $J$3, $K$3))&lt;=0),"",$GK$2*0.5*(_xll.ciqfunctions.udf.CIQ($B14,"IQ_AR",GV$3, $I$3, $N$3, , $J$3, $K$3)+_xll.ciqfunctions.udf.CIQ($B14,"IQ_AR","IQ_" &amp; LEFT(GV$3,2) &amp; "-1",GV$3, $N$3, , $J$3, $K$3))/_xll.ciqfunctions.udf.CIQ($B14,"IQ_TOTAL_REVENUE",GV$3, $I$3, $N$3, , $J$3, $K$3))),"")</f>
        <v/>
      </c>
      <c r="GW14" s="90" t="str">
        <f>IFERROR(IF(OR($B14="",GW$3=""),"",IF(AND($GK$4="No",(_xll.ciqfunctions.udf.CIQ($B14,"IQ_AR",GW$3, $I$3, $N$3, , $J$3, $K$3)+_xll.ciqfunctions.udf.CIQ($B14,"IQ_AR","IQ_" &amp; LEFT(GW$3,2) &amp; "-1",GW$3, $N$3, , $J$3, $K$3))&lt;=0),"",$GK$2*0.5*(_xll.ciqfunctions.udf.CIQ($B14,"IQ_AR",GW$3, $I$3, $N$3, , $J$3, $K$3)+_xll.ciqfunctions.udf.CIQ($B14,"IQ_AR","IQ_" &amp; LEFT(GW$3,2) &amp; "-1",GW$3, $N$3, , $J$3, $K$3))/_xll.ciqfunctions.udf.CIQ($B14,"IQ_TOTAL_REVENUE",GW$3, $I$3, $N$3, , $J$3, $K$3))),"")</f>
        <v/>
      </c>
      <c r="GX14" s="90" t="str">
        <f>IFERROR(IF(OR($B14="",GX$3=""),"",IF(AND($GK$4="No",(_xll.ciqfunctions.udf.CIQ($B14,"IQ_AR",GX$3, $I$3, $N$3, , $J$3, $K$3)+_xll.ciqfunctions.udf.CIQ($B14,"IQ_AR","IQ_" &amp; LEFT(GX$3,2) &amp; "-1",GX$3, $N$3, , $J$3, $K$3))&lt;=0),"",$GK$2*0.5*(_xll.ciqfunctions.udf.CIQ($B14,"IQ_AR",GX$3, $I$3, $N$3, , $J$3, $K$3)+_xll.ciqfunctions.udf.CIQ($B14,"IQ_AR","IQ_" &amp; LEFT(GX$3,2) &amp; "-1",GX$3, $N$3, , $J$3, $K$3))/_xll.ciqfunctions.udf.CIQ($B14,"IQ_TOTAL_REVENUE",GX$3, $I$3, $N$3, , $J$3, $K$3))),"")</f>
        <v/>
      </c>
      <c r="GY14" s="90" t="str">
        <f>IFERROR(IF(OR($B14="",GY$3=""),"",IF(AND($GK$4="No",(_xll.ciqfunctions.udf.CIQ($B14,"IQ_AR",GY$3, $I$3, $N$3, , $J$3, $K$3)+_xll.ciqfunctions.udf.CIQ($B14,"IQ_AR","IQ_" &amp; LEFT(GY$3,2) &amp; "-1",GY$3, $N$3, , $J$3, $K$3))&lt;=0),"",$GK$2*0.5*(_xll.ciqfunctions.udf.CIQ($B14,"IQ_AR",GY$3, $I$3, $N$3, , $J$3, $K$3)+_xll.ciqfunctions.udf.CIQ($B14,"IQ_AR","IQ_" &amp; LEFT(GY$3,2) &amp; "-1",GY$3, $N$3, , $J$3, $K$3))/_xll.ciqfunctions.udf.CIQ($B14,"IQ_TOTAL_REVENUE",GY$3, $I$3, $N$3, , $J$3, $K$3))),"")</f>
        <v/>
      </c>
      <c r="GZ14" s="90" t="str">
        <f>IFERROR(IF(OR($B14="",GZ$3=""),"",IF(AND($GK$4="No",(_xll.ciqfunctions.udf.CIQ($B14,"IQ_AR",GZ$3, $I$3, $N$3, , $J$3, $K$3)+_xll.ciqfunctions.udf.CIQ($B14,"IQ_AR","IQ_" &amp; LEFT(GZ$3,2) &amp; "-1",GZ$3, $N$3, , $J$3, $K$3))&lt;=0),"",$GK$2*0.5*(_xll.ciqfunctions.udf.CIQ($B14,"IQ_AR",GZ$3, $I$3, $N$3, , $J$3, $K$3)+_xll.ciqfunctions.udf.CIQ($B14,"IQ_AR","IQ_" &amp; LEFT(GZ$3,2) &amp; "-1",GZ$3, $N$3, , $J$3, $K$3))/_xll.ciqfunctions.udf.CIQ($B14,"IQ_TOTAL_REVENUE",GZ$3, $I$3, $N$3, , $J$3, $K$3))),"")</f>
        <v/>
      </c>
      <c r="HA14" s="90" t="str">
        <f>IFERROR(IF(OR($B14="",HA$3=""),"",IF(AND($GK$4="No",(_xll.ciqfunctions.udf.CIQ($B14,"IQ_AR",HA$3, $I$3, $N$3, , $J$3, $K$3)+_xll.ciqfunctions.udf.CIQ($B14,"IQ_AR","IQ_" &amp; LEFT(HA$3,2) &amp; "-1",HA$3, $N$3, , $J$3, $K$3))&lt;=0),"",$GK$2*0.5*(_xll.ciqfunctions.udf.CIQ($B14,"IQ_AR",HA$3, $I$3, $N$3, , $J$3, $K$3)+_xll.ciqfunctions.udf.CIQ($B14,"IQ_AR","IQ_" &amp; LEFT(HA$3,2) &amp; "-1",HA$3, $N$3, , $J$3, $K$3))/_xll.ciqfunctions.udf.CIQ($B14,"IQ_TOTAL_REVENUE",HA$3, $I$3, $N$3, , $J$3, $K$3))),"")</f>
        <v/>
      </c>
      <c r="HB14" s="90" t="str">
        <f>IFERROR(IF(OR($B14="",HB$3=""),"",IF(AND($GK$4="No",(_xll.ciqfunctions.udf.CIQ($B14,"IQ_AR",HB$3, $I$3, $N$3, , $J$3, $K$3)+_xll.ciqfunctions.udf.CIQ($B14,"IQ_AR","IQ_" &amp; LEFT(HB$3,2) &amp; "-1",HB$3, $N$3, , $J$3, $K$3))&lt;=0),"",$GK$2*0.5*(_xll.ciqfunctions.udf.CIQ($B14,"IQ_AR",HB$3, $I$3, $N$3, , $J$3, $K$3)+_xll.ciqfunctions.udf.CIQ($B14,"IQ_AR","IQ_" &amp; LEFT(HB$3,2) &amp; "-1",HB$3, $N$3, , $J$3, $K$3))/_xll.ciqfunctions.udf.CIQ($B14,"IQ_TOTAL_REVENUE",HB$3, $I$3, $N$3, , $J$3, $K$3))),"")</f>
        <v/>
      </c>
      <c r="HC14" s="90" t="str">
        <f>IFERROR(IF(OR($B14="",HC$3=""),"",IF(AND($GK$4="No",(_xll.ciqfunctions.udf.CIQ($B14,"IQ_AR",HC$3, $I$3, $N$3, , $J$3, $K$3)+_xll.ciqfunctions.udf.CIQ($B14,"IQ_AR","IQ_" &amp; LEFT(HC$3,2) &amp; "-1",HC$3, $N$3, , $J$3, $K$3))&lt;=0),"",$GK$2*0.5*(_xll.ciqfunctions.udf.CIQ($B14,"IQ_AR",HC$3, $I$3, $N$3, , $J$3, $K$3)+_xll.ciqfunctions.udf.CIQ($B14,"IQ_AR","IQ_" &amp; LEFT(HC$3,2) &amp; "-1",HC$3, $N$3, , $J$3, $K$3))/_xll.ciqfunctions.udf.CIQ($B14,"IQ_TOTAL_REVENUE",HC$3, $I$3, $N$3, , $J$3, $K$3))),"")</f>
        <v/>
      </c>
      <c r="HD14" s="91" t="str">
        <f>IFERROR(IF(OR($B14="",HD$3=""),"",IF(AND($GK$4="No",(_xll.ciqfunctions.udf.CIQ($B14,"IQ_AR",HD$3, $I$3, $N$3, , $J$3, $K$3)+_xll.ciqfunctions.udf.CIQ($B14,"IQ_AR","IQ_" &amp; LEFT(HD$3,2) &amp; "-1",HD$3, $N$3, , $J$3, $K$3))&lt;=0),"",$GK$2*0.5*(_xll.ciqfunctions.udf.CIQ($B14,"IQ_AR",HD$3, $I$3, $N$3, , $J$3, $K$3)+_xll.ciqfunctions.udf.CIQ($B14,"IQ_AR","IQ_" &amp; LEFT(HD$3,2) &amp; "-1",HD$3, $N$3, , $J$3, $K$3))/_xll.ciqfunctions.udf.CIQ($B14,"IQ_TOTAL_REVENUE",HD$3, $I$3, $N$3, , $J$3, $K$3))),"")</f>
        <v/>
      </c>
      <c r="HE14" s="89" t="str">
        <f>IFERROR(IF(OR($B14="",HE$3=""),"",IF(AND($HE$4="No",(_xll.ciqfunctions.udf.CIQ($B14,"IQ_INVENTORY",HE$3,$I$3, $N$3, , $J$3, $K$3)+_xll.ciqfunctions.udf.CIQ($B14,"IQ_INVENTORY","IQ_" &amp; LEFT(HE$3,2) &amp; "-1", HE$3, $N$3, , $J$3, $K$3))&lt;=0),0,$HE$2*0.5*(_xll.ciqfunctions.udf.CIQ($B14,"IQ_INVENTORY",HE$3,$I$3, $N$3, , $J$3, $K$3)+_xll.ciqfunctions.udf.CIQ($B14,"IQ_INVENTORY","IQ_" &amp; LEFT(HE$3,2) &amp; "-1", HE$3, $N$3, , $J$3, $K$3))/_xll.ciqfunctions.udf.CIQ($B14,"IQ_COGS",HE$3,$I$3, $N$3, , $J$3, $K$3))),"")</f>
        <v/>
      </c>
      <c r="HF14" s="90" t="str">
        <f>IFERROR(IF(OR($B14="",HF$3=""),"",IF(AND($HE$4="No",(_xll.ciqfunctions.udf.CIQ($B14,"IQ_INVENTORY",HF$3,$I$3, $N$3, , $J$3, $K$3)+_xll.ciqfunctions.udf.CIQ($B14,"IQ_INVENTORY","IQ_" &amp; LEFT(HF$3,2) &amp; "-1", HF$3, $N$3, , $J$3, $K$3))&lt;=0),0,$HE$2*0.5*(_xll.ciqfunctions.udf.CIQ($B14,"IQ_INVENTORY",HF$3,$I$3, $N$3, , $J$3, $K$3)+_xll.ciqfunctions.udf.CIQ($B14,"IQ_INVENTORY","IQ_" &amp; LEFT(HF$3,2) &amp; "-1", HF$3, $N$3, , $J$3, $K$3))/_xll.ciqfunctions.udf.CIQ($B14,"IQ_COGS",HF$3,$I$3, $N$3, , $J$3, $K$3))),"")</f>
        <v/>
      </c>
      <c r="HG14" s="90" t="str">
        <f>IFERROR(IF(OR($B14="",HG$3=""),"",IF(AND($HE$4="No",(_xll.ciqfunctions.udf.CIQ($B14,"IQ_INVENTORY",HG$3,$I$3, $N$3, , $J$3, $K$3)+_xll.ciqfunctions.udf.CIQ($B14,"IQ_INVENTORY","IQ_" &amp; LEFT(HG$3,2) &amp; "-1", HG$3, $N$3, , $J$3, $K$3))&lt;=0),0,$HE$2*0.5*(_xll.ciqfunctions.udf.CIQ($B14,"IQ_INVENTORY",HG$3,$I$3, $N$3, , $J$3, $K$3)+_xll.ciqfunctions.udf.CIQ($B14,"IQ_INVENTORY","IQ_" &amp; LEFT(HG$3,2) &amp; "-1", HG$3, $N$3, , $J$3, $K$3))/_xll.ciqfunctions.udf.CIQ($B14,"IQ_COGS",HG$3,$I$3, $N$3, , $J$3, $K$3))),"")</f>
        <v/>
      </c>
      <c r="HH14" s="90" t="str">
        <f>IFERROR(IF(OR($B14="",HH$3=""),"",IF(AND($HE$4="No",(_xll.ciqfunctions.udf.CIQ($B14,"IQ_INVENTORY",HH$3,$I$3, $N$3, , $J$3, $K$3)+_xll.ciqfunctions.udf.CIQ($B14,"IQ_INVENTORY","IQ_" &amp; LEFT(HH$3,2) &amp; "-1", HH$3, $N$3, , $J$3, $K$3))&lt;=0),0,$HE$2*0.5*(_xll.ciqfunctions.udf.CIQ($B14,"IQ_INVENTORY",HH$3,$I$3, $N$3, , $J$3, $K$3)+_xll.ciqfunctions.udf.CIQ($B14,"IQ_INVENTORY","IQ_" &amp; LEFT(HH$3,2) &amp; "-1", HH$3, $N$3, , $J$3, $K$3))/_xll.ciqfunctions.udf.CIQ($B14,"IQ_COGS",HH$3,$I$3, $N$3, , $J$3, $K$3))),"")</f>
        <v/>
      </c>
      <c r="HI14" s="90" t="str">
        <f>IFERROR(IF(OR($B14="",HI$3=""),"",IF(AND($HE$4="No",(_xll.ciqfunctions.udf.CIQ($B14,"IQ_INVENTORY",HI$3,$I$3, $N$3, , $J$3, $K$3)+_xll.ciqfunctions.udf.CIQ($B14,"IQ_INVENTORY","IQ_" &amp; LEFT(HI$3,2) &amp; "-1", HI$3, $N$3, , $J$3, $K$3))&lt;=0),0,$HE$2*0.5*(_xll.ciqfunctions.udf.CIQ($B14,"IQ_INVENTORY",HI$3,$I$3, $N$3, , $J$3, $K$3)+_xll.ciqfunctions.udf.CIQ($B14,"IQ_INVENTORY","IQ_" &amp; LEFT(HI$3,2) &amp; "-1", HI$3, $N$3, , $J$3, $K$3))/_xll.ciqfunctions.udf.CIQ($B14,"IQ_COGS",HI$3,$I$3, $N$3, , $J$3, $K$3))),"")</f>
        <v/>
      </c>
      <c r="HJ14" s="90" t="str">
        <f>IFERROR(IF(OR($B14="",HJ$3=""),"",IF(AND($HE$4="No",(_xll.ciqfunctions.udf.CIQ($B14,"IQ_INVENTORY",HJ$3,$I$3, $N$3, , $J$3, $K$3)+_xll.ciqfunctions.udf.CIQ($B14,"IQ_INVENTORY","IQ_" &amp; LEFT(HJ$3,2) &amp; "-1", HJ$3, $N$3, , $J$3, $K$3))&lt;=0),0,$HE$2*0.5*(_xll.ciqfunctions.udf.CIQ($B14,"IQ_INVENTORY",HJ$3,$I$3, $N$3, , $J$3, $K$3)+_xll.ciqfunctions.udf.CIQ($B14,"IQ_INVENTORY","IQ_" &amp; LEFT(HJ$3,2) &amp; "-1", HJ$3, $N$3, , $J$3, $K$3))/_xll.ciqfunctions.udf.CIQ($B14,"IQ_COGS",HJ$3,$I$3, $N$3, , $J$3, $K$3))),"")</f>
        <v/>
      </c>
      <c r="HK14" s="90" t="str">
        <f>IFERROR(IF(OR($B14="",HK$3=""),"",IF(AND($HE$4="No",(_xll.ciqfunctions.udf.CIQ($B14,"IQ_INVENTORY",HK$3,$I$3, $N$3, , $J$3, $K$3)+_xll.ciqfunctions.udf.CIQ($B14,"IQ_INVENTORY","IQ_" &amp; LEFT(HK$3,2) &amp; "-1", HK$3, $N$3, , $J$3, $K$3))&lt;=0),0,$HE$2*0.5*(_xll.ciqfunctions.udf.CIQ($B14,"IQ_INVENTORY",HK$3,$I$3, $N$3, , $J$3, $K$3)+_xll.ciqfunctions.udf.CIQ($B14,"IQ_INVENTORY","IQ_" &amp; LEFT(HK$3,2) &amp; "-1", HK$3, $N$3, , $J$3, $K$3))/_xll.ciqfunctions.udf.CIQ($B14,"IQ_COGS",HK$3,$I$3, $N$3, , $J$3, $K$3))),"")</f>
        <v/>
      </c>
      <c r="HL14" s="90" t="str">
        <f>IFERROR(IF(OR($B14="",HL$3=""),"",IF(AND($HE$4="No",(_xll.ciqfunctions.udf.CIQ($B14,"IQ_INVENTORY",HL$3,$I$3, $N$3, , $J$3, $K$3)+_xll.ciqfunctions.udf.CIQ($B14,"IQ_INVENTORY","IQ_" &amp; LEFT(HL$3,2) &amp; "-1", HL$3, $N$3, , $J$3, $K$3))&lt;=0),0,$HE$2*0.5*(_xll.ciqfunctions.udf.CIQ($B14,"IQ_INVENTORY",HL$3,$I$3, $N$3, , $J$3, $K$3)+_xll.ciqfunctions.udf.CIQ($B14,"IQ_INVENTORY","IQ_" &amp; LEFT(HL$3,2) &amp; "-1", HL$3, $N$3, , $J$3, $K$3))/_xll.ciqfunctions.udf.CIQ($B14,"IQ_COGS",HL$3,$I$3, $N$3, , $J$3, $K$3))),"")</f>
        <v/>
      </c>
      <c r="HM14" s="90" t="str">
        <f>IFERROR(IF(OR($B14="",HM$3=""),"",IF(AND($HE$4="No",(_xll.ciqfunctions.udf.CIQ($B14,"IQ_INVENTORY",HM$3,$I$3, $N$3, , $J$3, $K$3)+_xll.ciqfunctions.udf.CIQ($B14,"IQ_INVENTORY","IQ_" &amp; LEFT(HM$3,2) &amp; "-1", HM$3, $N$3, , $J$3, $K$3))&lt;=0),0,$HE$2*0.5*(_xll.ciqfunctions.udf.CIQ($B14,"IQ_INVENTORY",HM$3,$I$3, $N$3, , $J$3, $K$3)+_xll.ciqfunctions.udf.CIQ($B14,"IQ_INVENTORY","IQ_" &amp; LEFT(HM$3,2) &amp; "-1", HM$3, $N$3, , $J$3, $K$3))/_xll.ciqfunctions.udf.CIQ($B14,"IQ_COGS",HM$3,$I$3, $N$3, , $J$3, $K$3))),"")</f>
        <v/>
      </c>
      <c r="HN14" s="90" t="str">
        <f>IFERROR(IF(OR($B14="",HN$3=""),"",IF(AND($HE$4="No",(_xll.ciqfunctions.udf.CIQ($B14,"IQ_INVENTORY",HN$3,$I$3, $N$3, , $J$3, $K$3)+_xll.ciqfunctions.udf.CIQ($B14,"IQ_INVENTORY","IQ_" &amp; LEFT(HN$3,2) &amp; "-1", HN$3, $N$3, , $J$3, $K$3))&lt;=0),0,$HE$2*0.5*(_xll.ciqfunctions.udf.CIQ($B14,"IQ_INVENTORY",HN$3,$I$3, $N$3, , $J$3, $K$3)+_xll.ciqfunctions.udf.CIQ($B14,"IQ_INVENTORY","IQ_" &amp; LEFT(HN$3,2) &amp; "-1", HN$3, $N$3, , $J$3, $K$3))/_xll.ciqfunctions.udf.CIQ($B14,"IQ_COGS",HN$3,$I$3, $N$3, , $J$3, $K$3))),"")</f>
        <v/>
      </c>
      <c r="HO14" s="90" t="str">
        <f>IFERROR(IF(OR($B14="",HO$3=""),"",IF(AND($HE$4="No",(_xll.ciqfunctions.udf.CIQ($B14,"IQ_INVENTORY",HO$3,$I$3, $N$3, , $J$3, $K$3)+_xll.ciqfunctions.udf.CIQ($B14,"IQ_INVENTORY","IQ_" &amp; LEFT(HO$3,2) &amp; "-1", HO$3, $N$3, , $J$3, $K$3))&lt;=0),0,$HE$2*0.5*(_xll.ciqfunctions.udf.CIQ($B14,"IQ_INVENTORY",HO$3,$I$3, $N$3, , $J$3, $K$3)+_xll.ciqfunctions.udf.CIQ($B14,"IQ_INVENTORY","IQ_" &amp; LEFT(HO$3,2) &amp; "-1", HO$3, $N$3, , $J$3, $K$3))/_xll.ciqfunctions.udf.CIQ($B14,"IQ_COGS",HO$3,$I$3, $N$3, , $J$3, $K$3))),"")</f>
        <v/>
      </c>
      <c r="HP14" s="90" t="str">
        <f>IFERROR(IF(OR($B14="",HP$3=""),"",IF(AND($HE$4="No",(_xll.ciqfunctions.udf.CIQ($B14,"IQ_INVENTORY",HP$3,$I$3, $N$3, , $J$3, $K$3)+_xll.ciqfunctions.udf.CIQ($B14,"IQ_INVENTORY","IQ_" &amp; LEFT(HP$3,2) &amp; "-1", HP$3, $N$3, , $J$3, $K$3))&lt;=0),0,$HE$2*0.5*(_xll.ciqfunctions.udf.CIQ($B14,"IQ_INVENTORY",HP$3,$I$3, $N$3, , $J$3, $K$3)+_xll.ciqfunctions.udf.CIQ($B14,"IQ_INVENTORY","IQ_" &amp; LEFT(HP$3,2) &amp; "-1", HP$3, $N$3, , $J$3, $K$3))/_xll.ciqfunctions.udf.CIQ($B14,"IQ_COGS",HP$3,$I$3, $N$3, , $J$3, $K$3))),"")</f>
        <v/>
      </c>
      <c r="HQ14" s="90" t="str">
        <f>IFERROR(IF(OR($B14="",HQ$3=""),"",IF(AND($HE$4="No",(_xll.ciqfunctions.udf.CIQ($B14,"IQ_INVENTORY",HQ$3,$I$3, $N$3, , $J$3, $K$3)+_xll.ciqfunctions.udf.CIQ($B14,"IQ_INVENTORY","IQ_" &amp; LEFT(HQ$3,2) &amp; "-1", HQ$3, $N$3, , $J$3, $K$3))&lt;=0),0,$HE$2*0.5*(_xll.ciqfunctions.udf.CIQ($B14,"IQ_INVENTORY",HQ$3,$I$3, $N$3, , $J$3, $K$3)+_xll.ciqfunctions.udf.CIQ($B14,"IQ_INVENTORY","IQ_" &amp; LEFT(HQ$3,2) &amp; "-1", HQ$3, $N$3, , $J$3, $K$3))/_xll.ciqfunctions.udf.CIQ($B14,"IQ_COGS",HQ$3,$I$3, $N$3, , $J$3, $K$3))),"")</f>
        <v/>
      </c>
      <c r="HR14" s="90" t="str">
        <f>IFERROR(IF(OR($B14="",HR$3=""),"",IF(AND($HE$4="No",(_xll.ciqfunctions.udf.CIQ($B14,"IQ_INVENTORY",HR$3,$I$3, $N$3, , $J$3, $K$3)+_xll.ciqfunctions.udf.CIQ($B14,"IQ_INVENTORY","IQ_" &amp; LEFT(HR$3,2) &amp; "-1", HR$3, $N$3, , $J$3, $K$3))&lt;=0),0,$HE$2*0.5*(_xll.ciqfunctions.udf.CIQ($B14,"IQ_INVENTORY",HR$3,$I$3, $N$3, , $J$3, $K$3)+_xll.ciqfunctions.udf.CIQ($B14,"IQ_INVENTORY","IQ_" &amp; LEFT(HR$3,2) &amp; "-1", HR$3, $N$3, , $J$3, $K$3))/_xll.ciqfunctions.udf.CIQ($B14,"IQ_COGS",HR$3,$I$3, $N$3, , $J$3, $K$3))),"")</f>
        <v/>
      </c>
      <c r="HS14" s="90" t="str">
        <f>IFERROR(IF(OR($B14="",HS$3=""),"",IF(AND($HE$4="No",(_xll.ciqfunctions.udf.CIQ($B14,"IQ_INVENTORY",HS$3,$I$3, $N$3, , $J$3, $K$3)+_xll.ciqfunctions.udf.CIQ($B14,"IQ_INVENTORY","IQ_" &amp; LEFT(HS$3,2) &amp; "-1", HS$3, $N$3, , $J$3, $K$3))&lt;=0),0,$HE$2*0.5*(_xll.ciqfunctions.udf.CIQ($B14,"IQ_INVENTORY",HS$3,$I$3, $N$3, , $J$3, $K$3)+_xll.ciqfunctions.udf.CIQ($B14,"IQ_INVENTORY","IQ_" &amp; LEFT(HS$3,2) &amp; "-1", HS$3, $N$3, , $J$3, $K$3))/_xll.ciqfunctions.udf.CIQ($B14,"IQ_COGS",HS$3,$I$3, $N$3, , $J$3, $K$3))),"")</f>
        <v/>
      </c>
      <c r="HT14" s="90" t="str">
        <f>IFERROR(IF(OR($B14="",HT$3=""),"",IF(AND($HE$4="No",(_xll.ciqfunctions.udf.CIQ($B14,"IQ_INVENTORY",HT$3,$I$3, $N$3, , $J$3, $K$3)+_xll.ciqfunctions.udf.CIQ($B14,"IQ_INVENTORY","IQ_" &amp; LEFT(HT$3,2) &amp; "-1", HT$3, $N$3, , $J$3, $K$3))&lt;=0),0,$HE$2*0.5*(_xll.ciqfunctions.udf.CIQ($B14,"IQ_INVENTORY",HT$3,$I$3, $N$3, , $J$3, $K$3)+_xll.ciqfunctions.udf.CIQ($B14,"IQ_INVENTORY","IQ_" &amp; LEFT(HT$3,2) &amp; "-1", HT$3, $N$3, , $J$3, $K$3))/_xll.ciqfunctions.udf.CIQ($B14,"IQ_COGS",HT$3,$I$3, $N$3, , $J$3, $K$3))),"")</f>
        <v/>
      </c>
      <c r="HU14" s="90" t="str">
        <f>IFERROR(IF(OR($B14="",HU$3=""),"",IF(AND($HE$4="No",(_xll.ciqfunctions.udf.CIQ($B14,"IQ_INVENTORY",HU$3,$I$3, $N$3, , $J$3, $K$3)+_xll.ciqfunctions.udf.CIQ($B14,"IQ_INVENTORY","IQ_" &amp; LEFT(HU$3,2) &amp; "-1", HU$3, $N$3, , $J$3, $K$3))&lt;=0),0,$HE$2*0.5*(_xll.ciqfunctions.udf.CIQ($B14,"IQ_INVENTORY",HU$3,$I$3, $N$3, , $J$3, $K$3)+_xll.ciqfunctions.udf.CIQ($B14,"IQ_INVENTORY","IQ_" &amp; LEFT(HU$3,2) &amp; "-1", HU$3, $N$3, , $J$3, $K$3))/_xll.ciqfunctions.udf.CIQ($B14,"IQ_COGS",HU$3,$I$3, $N$3, , $J$3, $K$3))),"")</f>
        <v/>
      </c>
      <c r="HV14" s="90" t="str">
        <f>IFERROR(IF(OR($B14="",HV$3=""),"",IF(AND($HE$4="No",(_xll.ciqfunctions.udf.CIQ($B14,"IQ_INVENTORY",HV$3,$I$3, $N$3, , $J$3, $K$3)+_xll.ciqfunctions.udf.CIQ($B14,"IQ_INVENTORY","IQ_" &amp; LEFT(HV$3,2) &amp; "-1", HV$3, $N$3, , $J$3, $K$3))&lt;=0),0,$HE$2*0.5*(_xll.ciqfunctions.udf.CIQ($B14,"IQ_INVENTORY",HV$3,$I$3, $N$3, , $J$3, $K$3)+_xll.ciqfunctions.udf.CIQ($B14,"IQ_INVENTORY","IQ_" &amp; LEFT(HV$3,2) &amp; "-1", HV$3, $N$3, , $J$3, $K$3))/_xll.ciqfunctions.udf.CIQ($B14,"IQ_COGS",HV$3,$I$3, $N$3, , $J$3, $K$3))),"")</f>
        <v/>
      </c>
      <c r="HW14" s="90" t="str">
        <f>IFERROR(IF(OR($B14="",HW$3=""),"",IF(AND($HE$4="No",(_xll.ciqfunctions.udf.CIQ($B14,"IQ_INVENTORY",HW$3,$I$3, $N$3, , $J$3, $K$3)+_xll.ciqfunctions.udf.CIQ($B14,"IQ_INVENTORY","IQ_" &amp; LEFT(HW$3,2) &amp; "-1", HW$3, $N$3, , $J$3, $K$3))&lt;=0),0,$HE$2*0.5*(_xll.ciqfunctions.udf.CIQ($B14,"IQ_INVENTORY",HW$3,$I$3, $N$3, , $J$3, $K$3)+_xll.ciqfunctions.udf.CIQ($B14,"IQ_INVENTORY","IQ_" &amp; LEFT(HW$3,2) &amp; "-1", HW$3, $N$3, , $J$3, $K$3))/_xll.ciqfunctions.udf.CIQ($B14,"IQ_COGS",HW$3,$I$3, $N$3, , $J$3, $K$3))),"")</f>
        <v/>
      </c>
      <c r="HX14" s="91" t="str">
        <f>IFERROR(IF(OR($B14="",HX$3=""),"",IF(AND($HE$4="No",(_xll.ciqfunctions.udf.CIQ($B14,"IQ_INVENTORY",HX$3,$I$3, $N$3, , $J$3, $K$3)+_xll.ciqfunctions.udf.CIQ($B14,"IQ_INVENTORY","IQ_" &amp; LEFT(HX$3,2) &amp; "-1", HX$3, $N$3, , $J$3, $K$3))&lt;=0),0,$HE$2*0.5*(_xll.ciqfunctions.udf.CIQ($B14,"IQ_INVENTORY",HX$3,$I$3, $N$3, , $J$3, $K$3)+_xll.ciqfunctions.udf.CIQ($B14,"IQ_INVENTORY","IQ_" &amp; LEFT(HX$3,2) &amp; "-1", HX$3, $N$3, , $J$3, $K$3))/_xll.ciqfunctions.udf.CIQ($B14,"IQ_COGS",HX$3,$I$3, $N$3, , $J$3, $K$3))),"")</f>
        <v/>
      </c>
      <c r="HY14" s="89" t="str">
        <f>IFERROR(IF(OR($B14="",HY$3=""),"",IF(AND($HY$4="No",(_xll.ciqfunctions.udf.CIQ($B14,"IQ_AP",HY$3,$I$3, $N$3, , $J$3, $K$3)+_xll.ciqfunctions.udf.CIQ($B14,"IQ_AP","IQ_" &amp; LEFT(HY$3,2) &amp; "-1", HY$3, $N$3, , $J$3, $K$3))&lt;=0),"",(_xll.ciqfunctions.udf.CIQ($B14,"IQ_AP",HY$3,$I$3, $N$3, , $J$3, $K$3)+_xll.ciqfunctions.udf.CIQ($B14,"IQ_AP","IQ_" &amp; LEFT(HY$3,2) &amp; "-1", HY$3, $N$3, , $J$3, $K$3))/_xll.ciqfunctions.udf.CIQ($B14,"IQ_COGS",HY$3,$I$3, $N$3, , $J$3, $K$3)*$HY$2*0.5)),"")</f>
        <v/>
      </c>
      <c r="HZ14" s="90" t="str">
        <f>IFERROR(IF(OR($B14="",HZ$3=""),"",IF(AND($HY$4="No",(_xll.ciqfunctions.udf.CIQ($B14,"IQ_AP",HZ$3,$I$3, $N$3, , $J$3, $K$3)+_xll.ciqfunctions.udf.CIQ($B14,"IQ_AP","IQ_" &amp; LEFT(HZ$3,2) &amp; "-1", HZ$3, $N$3, , $J$3, $K$3))&lt;=0),"",(_xll.ciqfunctions.udf.CIQ($B14,"IQ_AP",HZ$3,$I$3, $N$3, , $J$3, $K$3)+_xll.ciqfunctions.udf.CIQ($B14,"IQ_AP","IQ_" &amp; LEFT(HZ$3,2) &amp; "-1", HZ$3, $N$3, , $J$3, $K$3))/_xll.ciqfunctions.udf.CIQ($B14,"IQ_COGS",HZ$3,$I$3, $N$3, , $J$3, $K$3)*$HY$2*0.5)),"")</f>
        <v/>
      </c>
      <c r="IA14" s="90" t="str">
        <f>IFERROR(IF(OR($B14="",IA$3=""),"",IF(AND($HY$4="No",(_xll.ciqfunctions.udf.CIQ($B14,"IQ_AP",IA$3,$I$3, $N$3, , $J$3, $K$3)+_xll.ciqfunctions.udf.CIQ($B14,"IQ_AP","IQ_" &amp; LEFT(IA$3,2) &amp; "-1", IA$3, $N$3, , $J$3, $K$3))&lt;=0),"",(_xll.ciqfunctions.udf.CIQ($B14,"IQ_AP",IA$3,$I$3, $N$3, , $J$3, $K$3)+_xll.ciqfunctions.udf.CIQ($B14,"IQ_AP","IQ_" &amp; LEFT(IA$3,2) &amp; "-1", IA$3, $N$3, , $J$3, $K$3))/_xll.ciqfunctions.udf.CIQ($B14,"IQ_COGS",IA$3,$I$3, $N$3, , $J$3, $K$3)*$HY$2*0.5)),"")</f>
        <v/>
      </c>
      <c r="IB14" s="90" t="str">
        <f>IFERROR(IF(OR($B14="",IB$3=""),"",IF(AND($HY$4="No",(_xll.ciqfunctions.udf.CIQ($B14,"IQ_AP",IB$3,$I$3, $N$3, , $J$3, $K$3)+_xll.ciqfunctions.udf.CIQ($B14,"IQ_AP","IQ_" &amp; LEFT(IB$3,2) &amp; "-1", IB$3, $N$3, , $J$3, $K$3))&lt;=0),"",(_xll.ciqfunctions.udf.CIQ($B14,"IQ_AP",IB$3,$I$3, $N$3, , $J$3, $K$3)+_xll.ciqfunctions.udf.CIQ($B14,"IQ_AP","IQ_" &amp; LEFT(IB$3,2) &amp; "-1", IB$3, $N$3, , $J$3, $K$3))/_xll.ciqfunctions.udf.CIQ($B14,"IQ_COGS",IB$3,$I$3, $N$3, , $J$3, $K$3)*$HY$2*0.5)),"")</f>
        <v/>
      </c>
      <c r="IC14" s="90" t="str">
        <f>IFERROR(IF(OR($B14="",IC$3=""),"",IF(AND($HY$4="No",(_xll.ciqfunctions.udf.CIQ($B14,"IQ_AP",IC$3,$I$3, $N$3, , $J$3, $K$3)+_xll.ciqfunctions.udf.CIQ($B14,"IQ_AP","IQ_" &amp; LEFT(IC$3,2) &amp; "-1", IC$3, $N$3, , $J$3, $K$3))&lt;=0),"",(_xll.ciqfunctions.udf.CIQ($B14,"IQ_AP",IC$3,$I$3, $N$3, , $J$3, $K$3)+_xll.ciqfunctions.udf.CIQ($B14,"IQ_AP","IQ_" &amp; LEFT(IC$3,2) &amp; "-1", IC$3, $N$3, , $J$3, $K$3))/_xll.ciqfunctions.udf.CIQ($B14,"IQ_COGS",IC$3,$I$3, $N$3, , $J$3, $K$3)*$HY$2*0.5)),"")</f>
        <v/>
      </c>
      <c r="ID14" s="90" t="str">
        <f>IFERROR(IF(OR($B14="",ID$3=""),"",IF(AND($HY$4="No",(_xll.ciqfunctions.udf.CIQ($B14,"IQ_AP",ID$3,$I$3, $N$3, , $J$3, $K$3)+_xll.ciqfunctions.udf.CIQ($B14,"IQ_AP","IQ_" &amp; LEFT(ID$3,2) &amp; "-1", ID$3, $N$3, , $J$3, $K$3))&lt;=0),"",(_xll.ciqfunctions.udf.CIQ($B14,"IQ_AP",ID$3,$I$3, $N$3, , $J$3, $K$3)+_xll.ciqfunctions.udf.CIQ($B14,"IQ_AP","IQ_" &amp; LEFT(ID$3,2) &amp; "-1", ID$3, $N$3, , $J$3, $K$3))/_xll.ciqfunctions.udf.CIQ($B14,"IQ_COGS",ID$3,$I$3, $N$3, , $J$3, $K$3)*$HY$2*0.5)),"")</f>
        <v/>
      </c>
      <c r="IE14" s="90" t="str">
        <f>IFERROR(IF(OR($B14="",IE$3=""),"",IF(AND($HY$4="No",(_xll.ciqfunctions.udf.CIQ($B14,"IQ_AP",IE$3,$I$3, $N$3, , $J$3, $K$3)+_xll.ciqfunctions.udf.CIQ($B14,"IQ_AP","IQ_" &amp; LEFT(IE$3,2) &amp; "-1", IE$3, $N$3, , $J$3, $K$3))&lt;=0),"",(_xll.ciqfunctions.udf.CIQ($B14,"IQ_AP",IE$3,$I$3, $N$3, , $J$3, $K$3)+_xll.ciqfunctions.udf.CIQ($B14,"IQ_AP","IQ_" &amp; LEFT(IE$3,2) &amp; "-1", IE$3, $N$3, , $J$3, $K$3))/_xll.ciqfunctions.udf.CIQ($B14,"IQ_COGS",IE$3,$I$3, $N$3, , $J$3, $K$3)*$HY$2*0.5)),"")</f>
        <v/>
      </c>
      <c r="IF14" s="90" t="str">
        <f>IFERROR(IF(OR($B14="",IF$3=""),"",IF(AND($HY$4="No",(_xll.ciqfunctions.udf.CIQ($B14,"IQ_AP",IF$3,$I$3, $N$3, , $J$3, $K$3)+_xll.ciqfunctions.udf.CIQ($B14,"IQ_AP","IQ_" &amp; LEFT(IF$3,2) &amp; "-1", IF$3, $N$3, , $J$3, $K$3))&lt;=0),"",(_xll.ciqfunctions.udf.CIQ($B14,"IQ_AP",IF$3,$I$3, $N$3, , $J$3, $K$3)+_xll.ciqfunctions.udf.CIQ($B14,"IQ_AP","IQ_" &amp; LEFT(IF$3,2) &amp; "-1", IF$3, $N$3, , $J$3, $K$3))/_xll.ciqfunctions.udf.CIQ($B14,"IQ_COGS",IF$3,$I$3, $N$3, , $J$3, $K$3)*$HY$2*0.5)),"")</f>
        <v/>
      </c>
      <c r="IG14" s="90" t="str">
        <f>IFERROR(IF(OR($B14="",IG$3=""),"",IF(AND($HY$4="No",(_xll.ciqfunctions.udf.CIQ($B14,"IQ_AP",IG$3,$I$3, $N$3, , $J$3, $K$3)+_xll.ciqfunctions.udf.CIQ($B14,"IQ_AP","IQ_" &amp; LEFT(IG$3,2) &amp; "-1", IG$3, $N$3, , $J$3, $K$3))&lt;=0),"",(_xll.ciqfunctions.udf.CIQ($B14,"IQ_AP",IG$3,$I$3, $N$3, , $J$3, $K$3)+_xll.ciqfunctions.udf.CIQ($B14,"IQ_AP","IQ_" &amp; LEFT(IG$3,2) &amp; "-1", IG$3, $N$3, , $J$3, $K$3))/_xll.ciqfunctions.udf.CIQ($B14,"IQ_COGS",IG$3,$I$3, $N$3, , $J$3, $K$3)*$HY$2*0.5)),"")</f>
        <v/>
      </c>
      <c r="IH14" s="90" t="str">
        <f>IFERROR(IF(OR($B14="",IH$3=""),"",IF(AND($HY$4="No",(_xll.ciqfunctions.udf.CIQ($B14,"IQ_AP",IH$3,$I$3, $N$3, , $J$3, $K$3)+_xll.ciqfunctions.udf.CIQ($B14,"IQ_AP","IQ_" &amp; LEFT(IH$3,2) &amp; "-1", IH$3, $N$3, , $J$3, $K$3))&lt;=0),"",(_xll.ciqfunctions.udf.CIQ($B14,"IQ_AP",IH$3,$I$3, $N$3, , $J$3, $K$3)+_xll.ciqfunctions.udf.CIQ($B14,"IQ_AP","IQ_" &amp; LEFT(IH$3,2) &amp; "-1", IH$3, $N$3, , $J$3, $K$3))/_xll.ciqfunctions.udf.CIQ($B14,"IQ_COGS",IH$3,$I$3, $N$3, , $J$3, $K$3)*$HY$2*0.5)),"")</f>
        <v/>
      </c>
      <c r="II14" s="90" t="str">
        <f>IFERROR(IF(OR($B14="",II$3=""),"",IF(AND($HY$4="No",(_xll.ciqfunctions.udf.CIQ($B14,"IQ_AP",II$3,$I$3, $N$3, , $J$3, $K$3)+_xll.ciqfunctions.udf.CIQ($B14,"IQ_AP","IQ_" &amp; LEFT(II$3,2) &amp; "-1", II$3, $N$3, , $J$3, $K$3))&lt;=0),"",(_xll.ciqfunctions.udf.CIQ($B14,"IQ_AP",II$3,$I$3, $N$3, , $J$3, $K$3)+_xll.ciqfunctions.udf.CIQ($B14,"IQ_AP","IQ_" &amp; LEFT(II$3,2) &amp; "-1", II$3, $N$3, , $J$3, $K$3))/_xll.ciqfunctions.udf.CIQ($B14,"IQ_COGS",II$3,$I$3, $N$3, , $J$3, $K$3)*$HY$2*0.5)),"")</f>
        <v/>
      </c>
      <c r="IJ14" s="90" t="str">
        <f>IFERROR(IF(OR($B14="",IJ$3=""),"",IF(AND($HY$4="No",(_xll.ciqfunctions.udf.CIQ($B14,"IQ_AP",IJ$3,$I$3, $N$3, , $J$3, $K$3)+_xll.ciqfunctions.udf.CIQ($B14,"IQ_AP","IQ_" &amp; LEFT(IJ$3,2) &amp; "-1", IJ$3, $N$3, , $J$3, $K$3))&lt;=0),"",(_xll.ciqfunctions.udf.CIQ($B14,"IQ_AP",IJ$3,$I$3, $N$3, , $J$3, $K$3)+_xll.ciqfunctions.udf.CIQ($B14,"IQ_AP","IQ_" &amp; LEFT(IJ$3,2) &amp; "-1", IJ$3, $N$3, , $J$3, $K$3))/_xll.ciqfunctions.udf.CIQ($B14,"IQ_COGS",IJ$3,$I$3, $N$3, , $J$3, $K$3)*$HY$2*0.5)),"")</f>
        <v/>
      </c>
      <c r="IK14" s="90" t="str">
        <f>IFERROR(IF(OR($B14="",IK$3=""),"",IF(AND($HY$4="No",(_xll.ciqfunctions.udf.CIQ($B14,"IQ_AP",IK$3,$I$3, $N$3, , $J$3, $K$3)+_xll.ciqfunctions.udf.CIQ($B14,"IQ_AP","IQ_" &amp; LEFT(IK$3,2) &amp; "-1", IK$3, $N$3, , $J$3, $K$3))&lt;=0),"",(_xll.ciqfunctions.udf.CIQ($B14,"IQ_AP",IK$3,$I$3, $N$3, , $J$3, $K$3)+_xll.ciqfunctions.udf.CIQ($B14,"IQ_AP","IQ_" &amp; LEFT(IK$3,2) &amp; "-1", IK$3, $N$3, , $J$3, $K$3))/_xll.ciqfunctions.udf.CIQ($B14,"IQ_COGS",IK$3,$I$3, $N$3, , $J$3, $K$3)*$HY$2*0.5)),"")</f>
        <v/>
      </c>
      <c r="IL14" s="90" t="str">
        <f>IFERROR(IF(OR($B14="",IL$3=""),"",IF(AND($HY$4="No",(_xll.ciqfunctions.udf.CIQ($B14,"IQ_AP",IL$3,$I$3, $N$3, , $J$3, $K$3)+_xll.ciqfunctions.udf.CIQ($B14,"IQ_AP","IQ_" &amp; LEFT(IL$3,2) &amp; "-1", IL$3, $N$3, , $J$3, $K$3))&lt;=0),"",(_xll.ciqfunctions.udf.CIQ($B14,"IQ_AP",IL$3,$I$3, $N$3, , $J$3, $K$3)+_xll.ciqfunctions.udf.CIQ($B14,"IQ_AP","IQ_" &amp; LEFT(IL$3,2) &amp; "-1", IL$3, $N$3, , $J$3, $K$3))/_xll.ciqfunctions.udf.CIQ($B14,"IQ_COGS",IL$3,$I$3, $N$3, , $J$3, $K$3)*$HY$2*0.5)),"")</f>
        <v/>
      </c>
      <c r="IM14" s="90" t="str">
        <f>IFERROR(IF(OR($B14="",IM$3=""),"",IF(AND($HY$4="No",(_xll.ciqfunctions.udf.CIQ($B14,"IQ_AP",IM$3,$I$3, $N$3, , $J$3, $K$3)+_xll.ciqfunctions.udf.CIQ($B14,"IQ_AP","IQ_" &amp; LEFT(IM$3,2) &amp; "-1", IM$3, $N$3, , $J$3, $K$3))&lt;=0),"",(_xll.ciqfunctions.udf.CIQ($B14,"IQ_AP",IM$3,$I$3, $N$3, , $J$3, $K$3)+_xll.ciqfunctions.udf.CIQ($B14,"IQ_AP","IQ_" &amp; LEFT(IM$3,2) &amp; "-1", IM$3, $N$3, , $J$3, $K$3))/_xll.ciqfunctions.udf.CIQ($B14,"IQ_COGS",IM$3,$I$3, $N$3, , $J$3, $K$3)*$HY$2*0.5)),"")</f>
        <v/>
      </c>
      <c r="IN14" s="90" t="str">
        <f>IFERROR(IF(OR($B14="",IN$3=""),"",IF(AND($HY$4="No",(_xll.ciqfunctions.udf.CIQ($B14,"IQ_AP",IN$3,$I$3, $N$3, , $J$3, $K$3)+_xll.ciqfunctions.udf.CIQ($B14,"IQ_AP","IQ_" &amp; LEFT(IN$3,2) &amp; "-1", IN$3, $N$3, , $J$3, $K$3))&lt;=0),"",(_xll.ciqfunctions.udf.CIQ($B14,"IQ_AP",IN$3,$I$3, $N$3, , $J$3, $K$3)+_xll.ciqfunctions.udf.CIQ($B14,"IQ_AP","IQ_" &amp; LEFT(IN$3,2) &amp; "-1", IN$3, $N$3, , $J$3, $K$3))/_xll.ciqfunctions.udf.CIQ($B14,"IQ_COGS",IN$3,$I$3, $N$3, , $J$3, $K$3)*$HY$2*0.5)),"")</f>
        <v/>
      </c>
      <c r="IO14" s="90" t="str">
        <f>IFERROR(IF(OR($B14="",IO$3=""),"",IF(AND($HY$4="No",(_xll.ciqfunctions.udf.CIQ($B14,"IQ_AP",IO$3,$I$3, $N$3, , $J$3, $K$3)+_xll.ciqfunctions.udf.CIQ($B14,"IQ_AP","IQ_" &amp; LEFT(IO$3,2) &amp; "-1", IO$3, $N$3, , $J$3, $K$3))&lt;=0),"",(_xll.ciqfunctions.udf.CIQ($B14,"IQ_AP",IO$3,$I$3, $N$3, , $J$3, $K$3)+_xll.ciqfunctions.udf.CIQ($B14,"IQ_AP","IQ_" &amp; LEFT(IO$3,2) &amp; "-1", IO$3, $N$3, , $J$3, $K$3))/_xll.ciqfunctions.udf.CIQ($B14,"IQ_COGS",IO$3,$I$3, $N$3, , $J$3, $K$3)*$HY$2*0.5)),"")</f>
        <v/>
      </c>
      <c r="IP14" s="90" t="str">
        <f>IFERROR(IF(OR($B14="",IP$3=""),"",IF(AND($HY$4="No",(_xll.ciqfunctions.udf.CIQ($B14,"IQ_AP",IP$3,$I$3, $N$3, , $J$3, $K$3)+_xll.ciqfunctions.udf.CIQ($B14,"IQ_AP","IQ_" &amp; LEFT(IP$3,2) &amp; "-1", IP$3, $N$3, , $J$3, $K$3))&lt;=0),"",(_xll.ciqfunctions.udf.CIQ($B14,"IQ_AP",IP$3,$I$3, $N$3, , $J$3, $K$3)+_xll.ciqfunctions.udf.CIQ($B14,"IQ_AP","IQ_" &amp; LEFT(IP$3,2) &amp; "-1", IP$3, $N$3, , $J$3, $K$3))/_xll.ciqfunctions.udf.CIQ($B14,"IQ_COGS",IP$3,$I$3, $N$3, , $J$3, $K$3)*$HY$2*0.5)),"")</f>
        <v/>
      </c>
      <c r="IQ14" s="90" t="str">
        <f>IFERROR(IF(OR($B14="",IQ$3=""),"",IF(AND($HY$4="No",(_xll.ciqfunctions.udf.CIQ($B14,"IQ_AP",IQ$3,$I$3, $N$3, , $J$3, $K$3)+_xll.ciqfunctions.udf.CIQ($B14,"IQ_AP","IQ_" &amp; LEFT(IQ$3,2) &amp; "-1", IQ$3, $N$3, , $J$3, $K$3))&lt;=0),"",(_xll.ciqfunctions.udf.CIQ($B14,"IQ_AP",IQ$3,$I$3, $N$3, , $J$3, $K$3)+_xll.ciqfunctions.udf.CIQ($B14,"IQ_AP","IQ_" &amp; LEFT(IQ$3,2) &amp; "-1", IQ$3, $N$3, , $J$3, $K$3))/_xll.ciqfunctions.udf.CIQ($B14,"IQ_COGS",IQ$3,$I$3, $N$3, , $J$3, $K$3)*$HY$2*0.5)),"")</f>
        <v/>
      </c>
      <c r="IR14" s="91" t="str">
        <f>IFERROR(IF(OR($B14="",IR$3=""),"",IF(AND($HY$4="No",(_xll.ciqfunctions.udf.CIQ($B14,"IQ_AP",IR$3,$I$3, $N$3, , $J$3, $K$3)+_xll.ciqfunctions.udf.CIQ($B14,"IQ_AP","IQ_" &amp; LEFT(IR$3,2) &amp; "-1", IR$3, $N$3, , $J$3, $K$3))&lt;=0),"",(_xll.ciqfunctions.udf.CIQ($B14,"IQ_AP",IR$3,$I$3, $N$3, , $J$3, $K$3)+_xll.ciqfunctions.udf.CIQ($B14,"IQ_AP","IQ_" &amp; LEFT(IR$3,2) &amp; "-1", IR$3, $N$3, , $J$3, $K$3))/_xll.ciqfunctions.udf.CIQ($B14,"IQ_COGS",IR$3,$I$3, $N$3, , $J$3, $K$3)*$HY$2*0.5)),"")</f>
        <v/>
      </c>
      <c r="IS14" s="89" t="str">
        <f t="shared" si="343"/>
        <v/>
      </c>
      <c r="IT14" s="90" t="str">
        <f t="shared" si="344"/>
        <v/>
      </c>
      <c r="IU14" s="90" t="str">
        <f t="shared" si="345"/>
        <v/>
      </c>
      <c r="IV14" s="90" t="str">
        <f t="shared" si="346"/>
        <v/>
      </c>
      <c r="IW14" s="90" t="str">
        <f t="shared" si="347"/>
        <v/>
      </c>
      <c r="IX14" s="90" t="str">
        <f t="shared" si="348"/>
        <v/>
      </c>
      <c r="IY14" s="90" t="str">
        <f t="shared" si="349"/>
        <v/>
      </c>
      <c r="IZ14" s="90" t="str">
        <f t="shared" si="350"/>
        <v/>
      </c>
      <c r="JA14" s="90" t="str">
        <f t="shared" si="351"/>
        <v/>
      </c>
      <c r="JB14" s="90" t="str">
        <f t="shared" si="352"/>
        <v/>
      </c>
      <c r="JC14" s="90" t="str">
        <f t="shared" si="353"/>
        <v/>
      </c>
      <c r="JD14" s="90" t="str">
        <f t="shared" si="354"/>
        <v/>
      </c>
      <c r="JE14" s="90" t="str">
        <f t="shared" si="355"/>
        <v/>
      </c>
      <c r="JF14" s="90" t="str">
        <f t="shared" si="356"/>
        <v/>
      </c>
      <c r="JG14" s="90" t="str">
        <f t="shared" si="357"/>
        <v/>
      </c>
      <c r="JH14" s="90" t="str">
        <f t="shared" si="358"/>
        <v/>
      </c>
      <c r="JI14" s="90" t="str">
        <f t="shared" si="359"/>
        <v/>
      </c>
      <c r="JJ14" s="90" t="str">
        <f t="shared" si="360"/>
        <v/>
      </c>
      <c r="JK14" s="90" t="str">
        <f t="shared" si="361"/>
        <v/>
      </c>
      <c r="JL14" s="91" t="str">
        <f t="shared" si="362"/>
        <v/>
      </c>
      <c r="JM14" s="86" t="str">
        <f>IFERROR(IF(OR($B14="",JM$3=""),"",_xll.ciqfunctions.udf.CIQ($B14,"IQ_CASH_OPER",JM$3,$I$3, $N$3, , $J$3, $K$3)/_xll.ciqfunctions.udf.CIQ($B14,"IQ_TOTAL_REV",JM$3,$I$3, $N$3, , $J$3, $K$3)),"")</f>
        <v/>
      </c>
      <c r="JN14" s="87" t="str">
        <f>IFERROR(IF(OR($B14="",JN$3=""),"",_xll.ciqfunctions.udf.CIQ($B14,"IQ_CASH_OPER",JN$3,$I$3, $N$3, , $J$3, $K$3)/_xll.ciqfunctions.udf.CIQ($B14,"IQ_TOTAL_REV",JN$3,$I$3, $N$3, , $J$3, $K$3)),"")</f>
        <v/>
      </c>
      <c r="JO14" s="87" t="str">
        <f>IFERROR(IF(OR($B14="",JO$3=""),"",_xll.ciqfunctions.udf.CIQ($B14,"IQ_CASH_OPER",JO$3,$I$3, $N$3, , $J$3, $K$3)/_xll.ciqfunctions.udf.CIQ($B14,"IQ_TOTAL_REV",JO$3,$I$3, $N$3, , $J$3, $K$3)),"")</f>
        <v/>
      </c>
      <c r="JP14" s="87" t="str">
        <f>IFERROR(IF(OR($B14="",JP$3=""),"",_xll.ciqfunctions.udf.CIQ($B14,"IQ_CASH_OPER",JP$3,$I$3, $N$3, , $J$3, $K$3)/_xll.ciqfunctions.udf.CIQ($B14,"IQ_TOTAL_REV",JP$3,$I$3, $N$3, , $J$3, $K$3)),"")</f>
        <v/>
      </c>
      <c r="JQ14" s="87" t="str">
        <f>IFERROR(IF(OR($B14="",JQ$3=""),"",_xll.ciqfunctions.udf.CIQ($B14,"IQ_CASH_OPER",JQ$3,$I$3, $N$3, , $J$3, $K$3)/_xll.ciqfunctions.udf.CIQ($B14,"IQ_TOTAL_REV",JQ$3,$I$3, $N$3, , $J$3, $K$3)),"")</f>
        <v/>
      </c>
      <c r="JR14" s="87" t="str">
        <f>IFERROR(IF(OR($B14="",JR$3=""),"",_xll.ciqfunctions.udf.CIQ($B14,"IQ_CASH_OPER",JR$3,$I$3, $N$3, , $J$3, $K$3)/_xll.ciqfunctions.udf.CIQ($B14,"IQ_TOTAL_REV",JR$3,$I$3, $N$3, , $J$3, $K$3)),"")</f>
        <v/>
      </c>
      <c r="JS14" s="87" t="str">
        <f>IFERROR(IF(OR($B14="",JS$3=""),"",_xll.ciqfunctions.udf.CIQ($B14,"IQ_CASH_OPER",JS$3,$I$3, $N$3, , $J$3, $K$3)/_xll.ciqfunctions.udf.CIQ($B14,"IQ_TOTAL_REV",JS$3,$I$3, $N$3, , $J$3, $K$3)),"")</f>
        <v/>
      </c>
      <c r="JT14" s="87" t="str">
        <f>IFERROR(IF(OR($B14="",JT$3=""),"",_xll.ciqfunctions.udf.CIQ($B14,"IQ_CASH_OPER",JT$3,$I$3, $N$3, , $J$3, $K$3)/_xll.ciqfunctions.udf.CIQ($B14,"IQ_TOTAL_REV",JT$3,$I$3, $N$3, , $J$3, $K$3)),"")</f>
        <v/>
      </c>
      <c r="JU14" s="87" t="str">
        <f>IFERROR(IF(OR($B14="",JU$3=""),"",_xll.ciqfunctions.udf.CIQ($B14,"IQ_CASH_OPER",JU$3,$I$3, $N$3, , $J$3, $K$3)/_xll.ciqfunctions.udf.CIQ($B14,"IQ_TOTAL_REV",JU$3,$I$3, $N$3, , $J$3, $K$3)),"")</f>
        <v/>
      </c>
      <c r="JV14" s="87" t="str">
        <f>IFERROR(IF(OR($B14="",JV$3=""),"",_xll.ciqfunctions.udf.CIQ($B14,"IQ_CASH_OPER",JV$3,$I$3, $N$3, , $J$3, $K$3)/_xll.ciqfunctions.udf.CIQ($B14,"IQ_TOTAL_REV",JV$3,$I$3, $N$3, , $J$3, $K$3)),"")</f>
        <v/>
      </c>
      <c r="JW14" s="87" t="str">
        <f>IFERROR(IF(OR($B14="",JW$3=""),"",_xll.ciqfunctions.udf.CIQ($B14,"IQ_CASH_OPER",JW$3,$I$3, $N$3, , $J$3, $K$3)/_xll.ciqfunctions.udf.CIQ($B14,"IQ_TOTAL_REV",JW$3,$I$3, $N$3, , $J$3, $K$3)),"")</f>
        <v/>
      </c>
      <c r="JX14" s="87" t="str">
        <f>IFERROR(IF(OR($B14="",JX$3=""),"",_xll.ciqfunctions.udf.CIQ($B14,"IQ_CASH_OPER",JX$3,$I$3, $N$3, , $J$3, $K$3)/_xll.ciqfunctions.udf.CIQ($B14,"IQ_TOTAL_REV",JX$3,$I$3, $N$3, , $J$3, $K$3)),"")</f>
        <v/>
      </c>
      <c r="JY14" s="87" t="str">
        <f>IFERROR(IF(OR($B14="",JY$3=""),"",_xll.ciqfunctions.udf.CIQ($B14,"IQ_CASH_OPER",JY$3,$I$3, $N$3, , $J$3, $K$3)/_xll.ciqfunctions.udf.CIQ($B14,"IQ_TOTAL_REV",JY$3,$I$3, $N$3, , $J$3, $K$3)),"")</f>
        <v/>
      </c>
      <c r="JZ14" s="87" t="str">
        <f>IFERROR(IF(OR($B14="",JZ$3=""),"",_xll.ciqfunctions.udf.CIQ($B14,"IQ_CASH_OPER",JZ$3,$I$3, $N$3, , $J$3, $K$3)/_xll.ciqfunctions.udf.CIQ($B14,"IQ_TOTAL_REV",JZ$3,$I$3, $N$3, , $J$3, $K$3)),"")</f>
        <v/>
      </c>
      <c r="KA14" s="87" t="str">
        <f>IFERROR(IF(OR($B14="",KA$3=""),"",_xll.ciqfunctions.udf.CIQ($B14,"IQ_CASH_OPER",KA$3,$I$3, $N$3, , $J$3, $K$3)/_xll.ciqfunctions.udf.CIQ($B14,"IQ_TOTAL_REV",KA$3,$I$3, $N$3, , $J$3, $K$3)),"")</f>
        <v/>
      </c>
      <c r="KB14" s="87" t="str">
        <f>IFERROR(IF(OR($B14="",KB$3=""),"",_xll.ciqfunctions.udf.CIQ($B14,"IQ_CASH_OPER",KB$3,$I$3, $N$3, , $J$3, $K$3)/_xll.ciqfunctions.udf.CIQ($B14,"IQ_TOTAL_REV",KB$3,$I$3, $N$3, , $J$3, $K$3)),"")</f>
        <v/>
      </c>
      <c r="KC14" s="87" t="str">
        <f>IFERROR(IF(OR($B14="",KC$3=""),"",_xll.ciqfunctions.udf.CIQ($B14,"IQ_CASH_OPER",KC$3,$I$3, $N$3, , $J$3, $K$3)/_xll.ciqfunctions.udf.CIQ($B14,"IQ_TOTAL_REV",KC$3,$I$3, $N$3, , $J$3, $K$3)),"")</f>
        <v/>
      </c>
      <c r="KD14" s="87" t="str">
        <f>IFERROR(IF(OR($B14="",KD$3=""),"",_xll.ciqfunctions.udf.CIQ($B14,"IQ_CASH_OPER",KD$3,$I$3, $N$3, , $J$3, $K$3)/_xll.ciqfunctions.udf.CIQ($B14,"IQ_TOTAL_REV",KD$3,$I$3, $N$3, , $J$3, $K$3)),"")</f>
        <v/>
      </c>
      <c r="KE14" s="87" t="str">
        <f>IFERROR(IF(OR($B14="",KE$3=""),"",_xll.ciqfunctions.udf.CIQ($B14,"IQ_CASH_OPER",KE$3,$I$3, $N$3, , $J$3, $K$3)/_xll.ciqfunctions.udf.CIQ($B14,"IQ_TOTAL_REV",KE$3,$I$3, $N$3, , $J$3, $K$3)),"")</f>
        <v/>
      </c>
      <c r="KF14" s="88" t="str">
        <f>IFERROR(IF(OR($B14="",KF$3=""),"",_xll.ciqfunctions.udf.CIQ($B14,"IQ_CASH_OPER",KF$3,$I$3, $N$3, , $J$3, $K$3)/_xll.ciqfunctions.udf.CIQ($B14,"IQ_TOTAL_REV",KF$3,$I$3, $N$3, , $J$3, $K$3)),"")</f>
        <v/>
      </c>
      <c r="KG14" s="89" t="str">
        <f>IFERROR(IF(OR($B14="",KG$3=""),"",IF(NOT(ISNUMBER(_xll.ciqfunctions.udf.CIQ($B14, "IQ_ASSET_TURNS", KG$3, $E$3, $N$3, , $J$3, $K$3))),"",_xll.ciqfunctions.udf.CIQ($B14, "IQ_ASSET_TURNS", KG$3, $E$3, $N$3, , $J$3, $K$3))),"")</f>
        <v/>
      </c>
      <c r="KH14" s="90" t="str">
        <f>IFERROR(IF(OR($B14="",KH$3=""),"",IF(NOT(ISNUMBER(_xll.ciqfunctions.udf.CIQ($B14, "IQ_ASSET_TURNS", KH$3, $E$3, $N$3, , $J$3, $K$3))),"",_xll.ciqfunctions.udf.CIQ($B14, "IQ_ASSET_TURNS", KH$3, $E$3, $N$3, , $J$3, $K$3))),"")</f>
        <v/>
      </c>
      <c r="KI14" s="90" t="str">
        <f>IFERROR(IF(OR($B14="",KI$3=""),"",IF(NOT(ISNUMBER(_xll.ciqfunctions.udf.CIQ($B14, "IQ_ASSET_TURNS", KI$3, $E$3, $N$3, , $J$3, $K$3))),"",_xll.ciqfunctions.udf.CIQ($B14, "IQ_ASSET_TURNS", KI$3, $E$3, $N$3, , $J$3, $K$3))),"")</f>
        <v/>
      </c>
      <c r="KJ14" s="90" t="str">
        <f>IFERROR(IF(OR($B14="",KJ$3=""),"",IF(NOT(ISNUMBER(_xll.ciqfunctions.udf.CIQ($B14, "IQ_ASSET_TURNS", KJ$3, $E$3, $N$3, , $J$3, $K$3))),"",_xll.ciqfunctions.udf.CIQ($B14, "IQ_ASSET_TURNS", KJ$3, $E$3, $N$3, , $J$3, $K$3))),"")</f>
        <v/>
      </c>
      <c r="KK14" s="90" t="str">
        <f>IFERROR(IF(OR($B14="",KK$3=""),"",IF(NOT(ISNUMBER(_xll.ciqfunctions.udf.CIQ($B14, "IQ_ASSET_TURNS", KK$3, $E$3, $N$3, , $J$3, $K$3))),"",_xll.ciqfunctions.udf.CIQ($B14, "IQ_ASSET_TURNS", KK$3, $E$3, $N$3, , $J$3, $K$3))),"")</f>
        <v/>
      </c>
      <c r="KL14" s="90" t="str">
        <f>IFERROR(IF(OR($B14="",KL$3=""),"",IF(NOT(ISNUMBER(_xll.ciqfunctions.udf.CIQ($B14, "IQ_ASSET_TURNS", KL$3, $E$3, $N$3, , $J$3, $K$3))),"",_xll.ciqfunctions.udf.CIQ($B14, "IQ_ASSET_TURNS", KL$3, $E$3, $N$3, , $J$3, $K$3))),"")</f>
        <v/>
      </c>
      <c r="KM14" s="90" t="str">
        <f>IFERROR(IF(OR($B14="",KM$3=""),"",IF(NOT(ISNUMBER(_xll.ciqfunctions.udf.CIQ($B14, "IQ_ASSET_TURNS", KM$3, $E$3, $N$3, , $J$3, $K$3))),"",_xll.ciqfunctions.udf.CIQ($B14, "IQ_ASSET_TURNS", KM$3, $E$3, $N$3, , $J$3, $K$3))),"")</f>
        <v/>
      </c>
      <c r="KN14" s="90" t="str">
        <f>IFERROR(IF(OR($B14="",KN$3=""),"",IF(NOT(ISNUMBER(_xll.ciqfunctions.udf.CIQ($B14, "IQ_ASSET_TURNS", KN$3, $E$3, $N$3, , $J$3, $K$3))),"",_xll.ciqfunctions.udf.CIQ($B14, "IQ_ASSET_TURNS", KN$3, $E$3, $N$3, , $J$3, $K$3))),"")</f>
        <v/>
      </c>
      <c r="KO14" s="90" t="str">
        <f>IFERROR(IF(OR($B14="",KO$3=""),"",IF(NOT(ISNUMBER(_xll.ciqfunctions.udf.CIQ($B14, "IQ_ASSET_TURNS", KO$3, $E$3, $N$3, , $J$3, $K$3))),"",_xll.ciqfunctions.udf.CIQ($B14, "IQ_ASSET_TURNS", KO$3, $E$3, $N$3, , $J$3, $K$3))),"")</f>
        <v/>
      </c>
      <c r="KP14" s="90" t="str">
        <f>IFERROR(IF(OR($B14="",KP$3=""),"",IF(NOT(ISNUMBER(_xll.ciqfunctions.udf.CIQ($B14, "IQ_ASSET_TURNS", KP$3, $E$3, $N$3, , $J$3, $K$3))),"",_xll.ciqfunctions.udf.CIQ($B14, "IQ_ASSET_TURNS", KP$3, $E$3, $N$3, , $J$3, $K$3))),"")</f>
        <v/>
      </c>
      <c r="KQ14" s="90" t="str">
        <f>IFERROR(IF(OR($B14="",KQ$3=""),"",IF(NOT(ISNUMBER(_xll.ciqfunctions.udf.CIQ($B14, "IQ_ASSET_TURNS", KQ$3, $E$3, $N$3, , $J$3, $K$3))),"",_xll.ciqfunctions.udf.CIQ($B14, "IQ_ASSET_TURNS", KQ$3, $E$3, $N$3, , $J$3, $K$3))),"")</f>
        <v/>
      </c>
      <c r="KR14" s="90" t="str">
        <f>IFERROR(IF(OR($B14="",KR$3=""),"",IF(NOT(ISNUMBER(_xll.ciqfunctions.udf.CIQ($B14, "IQ_ASSET_TURNS", KR$3, $E$3, $N$3, , $J$3, $K$3))),"",_xll.ciqfunctions.udf.CIQ($B14, "IQ_ASSET_TURNS", KR$3, $E$3, $N$3, , $J$3, $K$3))),"")</f>
        <v/>
      </c>
      <c r="KS14" s="90" t="str">
        <f>IFERROR(IF(OR($B14="",KS$3=""),"",IF(NOT(ISNUMBER(_xll.ciqfunctions.udf.CIQ($B14, "IQ_ASSET_TURNS", KS$3, $E$3, $N$3, , $J$3, $K$3))),"",_xll.ciqfunctions.udf.CIQ($B14, "IQ_ASSET_TURNS", KS$3, $E$3, $N$3, , $J$3, $K$3))),"")</f>
        <v/>
      </c>
      <c r="KT14" s="90" t="str">
        <f>IFERROR(IF(OR($B14="",KT$3=""),"",IF(NOT(ISNUMBER(_xll.ciqfunctions.udf.CIQ($B14, "IQ_ASSET_TURNS", KT$3, $E$3, $N$3, , $J$3, $K$3))),"",_xll.ciqfunctions.udf.CIQ($B14, "IQ_ASSET_TURNS", KT$3, $E$3, $N$3, , $J$3, $K$3))),"")</f>
        <v/>
      </c>
      <c r="KU14" s="90" t="str">
        <f>IFERROR(IF(OR($B14="",KU$3=""),"",IF(NOT(ISNUMBER(_xll.ciqfunctions.udf.CIQ($B14, "IQ_ASSET_TURNS", KU$3, $E$3, $N$3, , $J$3, $K$3))),"",_xll.ciqfunctions.udf.CIQ($B14, "IQ_ASSET_TURNS", KU$3, $E$3, $N$3, , $J$3, $K$3))),"")</f>
        <v/>
      </c>
      <c r="KV14" s="90" t="str">
        <f>IFERROR(IF(OR($B14="",KV$3=""),"",IF(NOT(ISNUMBER(_xll.ciqfunctions.udf.CIQ($B14, "IQ_ASSET_TURNS", KV$3, $E$3, $N$3, , $J$3, $K$3))),"",_xll.ciqfunctions.udf.CIQ($B14, "IQ_ASSET_TURNS", KV$3, $E$3, $N$3, , $J$3, $K$3))),"")</f>
        <v/>
      </c>
      <c r="KW14" s="90" t="str">
        <f>IFERROR(IF(OR($B14="",KW$3=""),"",IF(NOT(ISNUMBER(_xll.ciqfunctions.udf.CIQ($B14, "IQ_ASSET_TURNS", KW$3, $E$3, $N$3, , $J$3, $K$3))),"",_xll.ciqfunctions.udf.CIQ($B14, "IQ_ASSET_TURNS", KW$3, $E$3, $N$3, , $J$3, $K$3))),"")</f>
        <v/>
      </c>
      <c r="KX14" s="90" t="str">
        <f>IFERROR(IF(OR($B14="",KX$3=""),"",IF(NOT(ISNUMBER(_xll.ciqfunctions.udf.CIQ($B14, "IQ_ASSET_TURNS", KX$3, $E$3, $N$3, , $J$3, $K$3))),"",_xll.ciqfunctions.udf.CIQ($B14, "IQ_ASSET_TURNS", KX$3, $E$3, $N$3, , $J$3, $K$3))),"")</f>
        <v/>
      </c>
      <c r="KY14" s="90" t="str">
        <f>IFERROR(IF(OR($B14="",KY$3=""),"",IF(NOT(ISNUMBER(_xll.ciqfunctions.udf.CIQ($B14, "IQ_ASSET_TURNS", KY$3, $E$3, $N$3, , $J$3, $K$3))),"",_xll.ciqfunctions.udf.CIQ($B14, "IQ_ASSET_TURNS", KY$3, $E$3, $N$3, , $J$3, $K$3))),"")</f>
        <v/>
      </c>
      <c r="KZ14" s="91" t="str">
        <f>IFERROR(IF(OR($B14="",KZ$3=""),"",IF(NOT(ISNUMBER(_xll.ciqfunctions.udf.CIQ($B14, "IQ_ASSET_TURNS", KZ$3, $E$3, $N$3, , $J$3, $K$3))),"",_xll.ciqfunctions.udf.CIQ($B14, "IQ_ASSET_TURNS", KZ$3, $E$3, $N$3, , $J$3, $K$3))),"")</f>
        <v/>
      </c>
      <c r="LA14" s="75" t="str">
        <f>IFERROR(IF(OR($B14="",LA$3=""),"",IF(NOT(ISNUMBER(_xll.ciqfunctions.udf.CIQ($B14, "IQ_INVENTORY_TURNS", LA$3, $E$3, $N$3, , $J$3, $K$3))),"",_xll.ciqfunctions.udf.CIQ($B14, "IQ_INVENTORY_TURNS", LA$3, $E$3, $N$3, , $J$3, $K$3))),"")</f>
        <v/>
      </c>
      <c r="LB14" s="75" t="str">
        <f>IFERROR(IF(OR($B14="",LB$3=""),"",IF(NOT(ISNUMBER(_xll.ciqfunctions.udf.CIQ($B14, "IQ_INVENTORY_TURNS", LB$3, $E$3, $N$3, , $J$3, $K$3))),"",_xll.ciqfunctions.udf.CIQ($B14, "IQ_INVENTORY_TURNS", LB$3, $E$3, $N$3, , $J$3, $K$3))),"")</f>
        <v/>
      </c>
      <c r="LC14" s="75" t="str">
        <f>IFERROR(IF(OR($B14="",LC$3=""),"",IF(NOT(ISNUMBER(_xll.ciqfunctions.udf.CIQ($B14, "IQ_INVENTORY_TURNS", LC$3, $E$3, $N$3, , $J$3, $K$3))),"",_xll.ciqfunctions.udf.CIQ($B14, "IQ_INVENTORY_TURNS", LC$3, $E$3, $N$3, , $J$3, $K$3))),"")</f>
        <v/>
      </c>
      <c r="LD14" s="75" t="str">
        <f>IFERROR(IF(OR($B14="",LD$3=""),"",IF(NOT(ISNUMBER(_xll.ciqfunctions.udf.CIQ($B14, "IQ_INVENTORY_TURNS", LD$3, $E$3, $N$3, , $J$3, $K$3))),"",_xll.ciqfunctions.udf.CIQ($B14, "IQ_INVENTORY_TURNS", LD$3, $E$3, $N$3, , $J$3, $K$3))),"")</f>
        <v/>
      </c>
      <c r="LE14" s="75" t="str">
        <f>IFERROR(IF(OR($B14="",LE$3=""),"",IF(NOT(ISNUMBER(_xll.ciqfunctions.udf.CIQ($B14, "IQ_INVENTORY_TURNS", LE$3, $E$3, $N$3, , $J$3, $K$3))),"",_xll.ciqfunctions.udf.CIQ($B14, "IQ_INVENTORY_TURNS", LE$3, $E$3, $N$3, , $J$3, $K$3))),"")</f>
        <v/>
      </c>
      <c r="LF14" s="75" t="str">
        <f>IFERROR(IF(OR($B14="",LF$3=""),"",IF(NOT(ISNUMBER(_xll.ciqfunctions.udf.CIQ($B14, "IQ_INVENTORY_TURNS", LF$3, $E$3, $N$3, , $J$3, $K$3))),"",_xll.ciqfunctions.udf.CIQ($B14, "IQ_INVENTORY_TURNS", LF$3, $E$3, $N$3, , $J$3, $K$3))),"")</f>
        <v/>
      </c>
      <c r="LG14" s="75" t="str">
        <f>IFERROR(IF(OR($B14="",LG$3=""),"",IF(NOT(ISNUMBER(_xll.ciqfunctions.udf.CIQ($B14, "IQ_INVENTORY_TURNS", LG$3, $E$3, $N$3, , $J$3, $K$3))),"",_xll.ciqfunctions.udf.CIQ($B14, "IQ_INVENTORY_TURNS", LG$3, $E$3, $N$3, , $J$3, $K$3))),"")</f>
        <v/>
      </c>
      <c r="LH14" s="75" t="str">
        <f>IFERROR(IF(OR($B14="",LH$3=""),"",IF(NOT(ISNUMBER(_xll.ciqfunctions.udf.CIQ($B14, "IQ_INVENTORY_TURNS", LH$3, $E$3, $N$3, , $J$3, $K$3))),"",_xll.ciqfunctions.udf.CIQ($B14, "IQ_INVENTORY_TURNS", LH$3, $E$3, $N$3, , $J$3, $K$3))),"")</f>
        <v/>
      </c>
      <c r="LI14" s="75" t="str">
        <f>IFERROR(IF(OR($B14="",LI$3=""),"",IF(NOT(ISNUMBER(_xll.ciqfunctions.udf.CIQ($B14, "IQ_INVENTORY_TURNS", LI$3, $E$3, $N$3, , $J$3, $K$3))),"",_xll.ciqfunctions.udf.CIQ($B14, "IQ_INVENTORY_TURNS", LI$3, $E$3, $N$3, , $J$3, $K$3))),"")</f>
        <v/>
      </c>
      <c r="LJ14" s="75" t="str">
        <f>IFERROR(IF(OR($B14="",LJ$3=""),"",IF(NOT(ISNUMBER(_xll.ciqfunctions.udf.CIQ($B14, "IQ_INVENTORY_TURNS", LJ$3, $E$3, $N$3, , $J$3, $K$3))),"",_xll.ciqfunctions.udf.CIQ($B14, "IQ_INVENTORY_TURNS", LJ$3, $E$3, $N$3, , $J$3, $K$3))),"")</f>
        <v/>
      </c>
      <c r="LK14" s="75" t="str">
        <f>IFERROR(IF(OR($B14="",LK$3=""),"",IF(NOT(ISNUMBER(_xll.ciqfunctions.udf.CIQ($B14, "IQ_INVENTORY_TURNS", LK$3, $E$3, $N$3, , $J$3, $K$3))),"",_xll.ciqfunctions.udf.CIQ($B14, "IQ_INVENTORY_TURNS", LK$3, $E$3, $N$3, , $J$3, $K$3))),"")</f>
        <v/>
      </c>
      <c r="LL14" s="75" t="str">
        <f>IFERROR(IF(OR($B14="",LL$3=""),"",IF(NOT(ISNUMBER(_xll.ciqfunctions.udf.CIQ($B14, "IQ_INVENTORY_TURNS", LL$3, $E$3, $N$3, , $J$3, $K$3))),"",_xll.ciqfunctions.udf.CIQ($B14, "IQ_INVENTORY_TURNS", LL$3, $E$3, $N$3, , $J$3, $K$3))),"")</f>
        <v/>
      </c>
      <c r="LM14" s="75" t="str">
        <f>IFERROR(IF(OR($B14="",LM$3=""),"",IF(NOT(ISNUMBER(_xll.ciqfunctions.udf.CIQ($B14, "IQ_INVENTORY_TURNS", LM$3, $E$3, $N$3, , $J$3, $K$3))),"",_xll.ciqfunctions.udf.CIQ($B14, "IQ_INVENTORY_TURNS", LM$3, $E$3, $N$3, , $J$3, $K$3))),"")</f>
        <v/>
      </c>
      <c r="LN14" s="75" t="str">
        <f>IFERROR(IF(OR($B14="",LN$3=""),"",IF(NOT(ISNUMBER(_xll.ciqfunctions.udf.CIQ($B14, "IQ_INVENTORY_TURNS", LN$3, $E$3, $N$3, , $J$3, $K$3))),"",_xll.ciqfunctions.udf.CIQ($B14, "IQ_INVENTORY_TURNS", LN$3, $E$3, $N$3, , $J$3, $K$3))),"")</f>
        <v/>
      </c>
      <c r="LO14" s="75" t="str">
        <f>IFERROR(IF(OR($B14="",LO$3=""),"",IF(NOT(ISNUMBER(_xll.ciqfunctions.udf.CIQ($B14, "IQ_INVENTORY_TURNS", LO$3, $E$3, $N$3, , $J$3, $K$3))),"",_xll.ciqfunctions.udf.CIQ($B14, "IQ_INVENTORY_TURNS", LO$3, $E$3, $N$3, , $J$3, $K$3))),"")</f>
        <v/>
      </c>
      <c r="LP14" s="75" t="str">
        <f>IFERROR(IF(OR($B14="",LP$3=""),"",IF(NOT(ISNUMBER(_xll.ciqfunctions.udf.CIQ($B14, "IQ_INVENTORY_TURNS", LP$3, $E$3, $N$3, , $J$3, $K$3))),"",_xll.ciqfunctions.udf.CIQ($B14, "IQ_INVENTORY_TURNS", LP$3, $E$3, $N$3, , $J$3, $K$3))),"")</f>
        <v/>
      </c>
      <c r="LQ14" s="75" t="str">
        <f>IFERROR(IF(OR($B14="",LQ$3=""),"",IF(NOT(ISNUMBER(_xll.ciqfunctions.udf.CIQ($B14, "IQ_INVENTORY_TURNS", LQ$3, $E$3, $N$3, , $J$3, $K$3))),"",_xll.ciqfunctions.udf.CIQ($B14, "IQ_INVENTORY_TURNS", LQ$3, $E$3, $N$3, , $J$3, $K$3))),"")</f>
        <v/>
      </c>
      <c r="LR14" s="75" t="str">
        <f>IFERROR(IF(OR($B14="",LR$3=""),"",IF(NOT(ISNUMBER(_xll.ciqfunctions.udf.CIQ($B14, "IQ_INVENTORY_TURNS", LR$3, $E$3, $N$3, , $J$3, $K$3))),"",_xll.ciqfunctions.udf.CIQ($B14, "IQ_INVENTORY_TURNS", LR$3, $E$3, $N$3, , $J$3, $K$3))),"")</f>
        <v/>
      </c>
      <c r="LS14" s="75" t="str">
        <f>IFERROR(IF(OR($B14="",LS$3=""),"",IF(NOT(ISNUMBER(_xll.ciqfunctions.udf.CIQ($B14, "IQ_INVENTORY_TURNS", LS$3, $E$3, $N$3, , $J$3, $K$3))),"",_xll.ciqfunctions.udf.CIQ($B14, "IQ_INVENTORY_TURNS", LS$3, $E$3, $N$3, , $J$3, $K$3))),"")</f>
        <v/>
      </c>
      <c r="LT14" s="75" t="str">
        <f>IFERROR(IF(OR($B14="",LT$3=""),"",IF(NOT(ISNUMBER(_xll.ciqfunctions.udf.CIQ($B14, "IQ_INVENTORY_TURNS", LT$3, $E$3, $N$3, , $J$3, $K$3))),"",_xll.ciqfunctions.udf.CIQ($B14, "IQ_INVENTORY_TURNS", LT$3, $E$3, $N$3, , $J$3, $K$3))),"")</f>
        <v/>
      </c>
      <c r="LU14" s="75" t="str">
        <f>IFERROR(IF(OR($B14="",LU$3=""),"",IF(NOT(ISNUMBER(_xll.ciqfunctions.udf.CIQ($B14, "IQ_AR_TURNS", LU$3, $E$3, $N$3, , $J$3, $K$3))),"",_xll.ciqfunctions.udf.CIQ($B14, "IQ_AR_TURNS", LU$3, $E$3, $N$3, , $J$3, $K$3))),"")</f>
        <v/>
      </c>
      <c r="LV14" s="75" t="str">
        <f>IFERROR(IF(OR($B14="",LV$3=""),"",IF(NOT(ISNUMBER(_xll.ciqfunctions.udf.CIQ($B14, "IQ_AR_TURNS", LV$3, $E$3, $N$3, , $J$3, $K$3))),"",_xll.ciqfunctions.udf.CIQ($B14, "IQ_AR_TURNS", LV$3, $E$3, $N$3, , $J$3, $K$3))),"")</f>
        <v/>
      </c>
      <c r="LW14" s="75" t="str">
        <f>IFERROR(IF(OR($B14="",LW$3=""),"",IF(NOT(ISNUMBER(_xll.ciqfunctions.udf.CIQ($B14, "IQ_AR_TURNS", LW$3, $E$3, $N$3, , $J$3, $K$3))),"",_xll.ciqfunctions.udf.CIQ($B14, "IQ_AR_TURNS", LW$3, $E$3, $N$3, , $J$3, $K$3))),"")</f>
        <v/>
      </c>
      <c r="LX14" s="75" t="str">
        <f>IFERROR(IF(OR($B14="",LX$3=""),"",IF(NOT(ISNUMBER(_xll.ciqfunctions.udf.CIQ($B14, "IQ_AR_TURNS", LX$3, $E$3, $N$3, , $J$3, $K$3))),"",_xll.ciqfunctions.udf.CIQ($B14, "IQ_AR_TURNS", LX$3, $E$3, $N$3, , $J$3, $K$3))),"")</f>
        <v/>
      </c>
      <c r="LY14" s="75" t="str">
        <f>IFERROR(IF(OR($B14="",LY$3=""),"",IF(NOT(ISNUMBER(_xll.ciqfunctions.udf.CIQ($B14, "IQ_AR_TURNS", LY$3, $E$3, $N$3, , $J$3, $K$3))),"",_xll.ciqfunctions.udf.CIQ($B14, "IQ_AR_TURNS", LY$3, $E$3, $N$3, , $J$3, $K$3))),"")</f>
        <v/>
      </c>
      <c r="LZ14" s="75" t="str">
        <f>IFERROR(IF(OR($B14="",LZ$3=""),"",IF(NOT(ISNUMBER(_xll.ciqfunctions.udf.CIQ($B14, "IQ_AR_TURNS", LZ$3, $E$3, $N$3, , $J$3, $K$3))),"",_xll.ciqfunctions.udf.CIQ($B14, "IQ_AR_TURNS", LZ$3, $E$3, $N$3, , $J$3, $K$3))),"")</f>
        <v/>
      </c>
      <c r="MA14" s="75" t="str">
        <f>IFERROR(IF(OR($B14="",MA$3=""),"",IF(NOT(ISNUMBER(_xll.ciqfunctions.udf.CIQ($B14, "IQ_AR_TURNS", MA$3, $E$3, $N$3, , $J$3, $K$3))),"",_xll.ciqfunctions.udf.CIQ($B14, "IQ_AR_TURNS", MA$3, $E$3, $N$3, , $J$3, $K$3))),"")</f>
        <v/>
      </c>
      <c r="MB14" s="75" t="str">
        <f>IFERROR(IF(OR($B14="",MB$3=""),"",IF(NOT(ISNUMBER(_xll.ciqfunctions.udf.CIQ($B14, "IQ_AR_TURNS", MB$3, $E$3, $N$3, , $J$3, $K$3))),"",_xll.ciqfunctions.udf.CIQ($B14, "IQ_AR_TURNS", MB$3, $E$3, $N$3, , $J$3, $K$3))),"")</f>
        <v/>
      </c>
      <c r="MC14" s="75" t="str">
        <f>IFERROR(IF(OR($B14="",MC$3=""),"",IF(NOT(ISNUMBER(_xll.ciqfunctions.udf.CIQ($B14, "IQ_AR_TURNS", MC$3, $E$3, $N$3, , $J$3, $K$3))),"",_xll.ciqfunctions.udf.CIQ($B14, "IQ_AR_TURNS", MC$3, $E$3, $N$3, , $J$3, $K$3))),"")</f>
        <v/>
      </c>
      <c r="MD14" s="75" t="str">
        <f>IFERROR(IF(OR($B14="",MD$3=""),"",IF(NOT(ISNUMBER(_xll.ciqfunctions.udf.CIQ($B14, "IQ_AR_TURNS", MD$3, $E$3, $N$3, , $J$3, $K$3))),"",_xll.ciqfunctions.udf.CIQ($B14, "IQ_AR_TURNS", MD$3, $E$3, $N$3, , $J$3, $K$3))),"")</f>
        <v/>
      </c>
      <c r="ME14" s="75" t="str">
        <f>IFERROR(IF(OR($B14="",ME$3=""),"",IF(NOT(ISNUMBER(_xll.ciqfunctions.udf.CIQ($B14, "IQ_AR_TURNS", ME$3, $E$3, $N$3, , $J$3, $K$3))),"",_xll.ciqfunctions.udf.CIQ($B14, "IQ_AR_TURNS", ME$3, $E$3, $N$3, , $J$3, $K$3))),"")</f>
        <v/>
      </c>
      <c r="MF14" s="75" t="str">
        <f>IFERROR(IF(OR($B14="",MF$3=""),"",IF(NOT(ISNUMBER(_xll.ciqfunctions.udf.CIQ($B14, "IQ_AR_TURNS", MF$3, $E$3, $N$3, , $J$3, $K$3))),"",_xll.ciqfunctions.udf.CIQ($B14, "IQ_AR_TURNS", MF$3, $E$3, $N$3, , $J$3, $K$3))),"")</f>
        <v/>
      </c>
      <c r="MG14" s="75" t="str">
        <f>IFERROR(IF(OR($B14="",MG$3=""),"",IF(NOT(ISNUMBER(_xll.ciqfunctions.udf.CIQ($B14, "IQ_AR_TURNS", MG$3, $E$3, $N$3, , $J$3, $K$3))),"",_xll.ciqfunctions.udf.CIQ($B14, "IQ_AR_TURNS", MG$3, $E$3, $N$3, , $J$3, $K$3))),"")</f>
        <v/>
      </c>
      <c r="MH14" s="75" t="str">
        <f>IFERROR(IF(OR($B14="",MH$3=""),"",IF(NOT(ISNUMBER(_xll.ciqfunctions.udf.CIQ($B14, "IQ_AR_TURNS", MH$3, $E$3, $N$3, , $J$3, $K$3))),"",_xll.ciqfunctions.udf.CIQ($B14, "IQ_AR_TURNS", MH$3, $E$3, $N$3, , $J$3, $K$3))),"")</f>
        <v/>
      </c>
      <c r="MI14" s="75" t="str">
        <f>IFERROR(IF(OR($B14="",MI$3=""),"",IF(NOT(ISNUMBER(_xll.ciqfunctions.udf.CIQ($B14, "IQ_AR_TURNS", MI$3, $E$3, $N$3, , $J$3, $K$3))),"",_xll.ciqfunctions.udf.CIQ($B14, "IQ_AR_TURNS", MI$3, $E$3, $N$3, , $J$3, $K$3))),"")</f>
        <v/>
      </c>
      <c r="MJ14" s="75" t="str">
        <f>IFERROR(IF(OR($B14="",MJ$3=""),"",IF(NOT(ISNUMBER(_xll.ciqfunctions.udf.CIQ($B14, "IQ_AR_TURNS", MJ$3, $E$3, $N$3, , $J$3, $K$3))),"",_xll.ciqfunctions.udf.CIQ($B14, "IQ_AR_TURNS", MJ$3, $E$3, $N$3, , $J$3, $K$3))),"")</f>
        <v/>
      </c>
      <c r="MK14" s="75" t="str">
        <f>IFERROR(IF(OR($B14="",MK$3=""),"",IF(NOT(ISNUMBER(_xll.ciqfunctions.udf.CIQ($B14, "IQ_AR_TURNS", MK$3, $E$3, $N$3, , $J$3, $K$3))),"",_xll.ciqfunctions.udf.CIQ($B14, "IQ_AR_TURNS", MK$3, $E$3, $N$3, , $J$3, $K$3))),"")</f>
        <v/>
      </c>
      <c r="ML14" s="75" t="str">
        <f>IFERROR(IF(OR($B14="",ML$3=""),"",IF(NOT(ISNUMBER(_xll.ciqfunctions.udf.CIQ($B14, "IQ_AR_TURNS", ML$3, $E$3, $N$3, , $J$3, $K$3))),"",_xll.ciqfunctions.udf.CIQ($B14, "IQ_AR_TURNS", ML$3, $E$3, $N$3, , $J$3, $K$3))),"")</f>
        <v/>
      </c>
      <c r="MM14" s="75" t="str">
        <f>IFERROR(IF(OR($B14="",MM$3=""),"",IF(NOT(ISNUMBER(_xll.ciqfunctions.udf.CIQ($B14, "IQ_AR_TURNS", MM$3, $E$3, $N$3, , $J$3, $K$3))),"",_xll.ciqfunctions.udf.CIQ($B14, "IQ_AR_TURNS", MM$3, $E$3, $N$3, , $J$3, $K$3))),"")</f>
        <v/>
      </c>
      <c r="MN14" s="75" t="str">
        <f>IFERROR(IF(OR($B14="",MN$3=""),"",IF(NOT(ISNUMBER(_xll.ciqfunctions.udf.CIQ($B14, "IQ_AR_TURNS", MN$3, $E$3, $N$3, , $J$3, $K$3))),"",_xll.ciqfunctions.udf.CIQ($B14, "IQ_AR_TURNS", MN$3, $E$3, $N$3, , $J$3, $K$3))),"")</f>
        <v/>
      </c>
      <c r="MO14" s="588" t="str">
        <f>IFERROR(IF(OR($B14="",MO$3=""),"",_xll.ciqfunctions.udf.CIQ($B14, "IQ_LEVERED_FCF", $O$3, MO$3, $N$3, , $J$3, $K$3)*2/(_xll.ciqfunctions.udf.CIQ($B14, "IQ_TOTAL_DEBT", MO$3, $E$3, $N$3, , $J$3, $K$3)+_xll.ciqfunctions.udf.CIQ($B14, "IQ_TOTAL_DEBT", "IQ_" &amp; LEFT(MO$3,2) &amp; "-1", MO$3, $N$3, , $J$3, $K$3)) ),"")</f>
        <v/>
      </c>
      <c r="MP14" s="588" t="str">
        <f>IFERROR(IF(OR($B14="",MP$3=""),"",_xll.ciqfunctions.udf.CIQ($B14, "IQ_LEVERED_FCF", $O$3, MP$3, $N$3, , $J$3, $K$3)*2/(_xll.ciqfunctions.udf.CIQ($B14, "IQ_TOTAL_DEBT", MP$3, $E$3, $N$3, , $J$3, $K$3)+_xll.ciqfunctions.udf.CIQ($B14, "IQ_TOTAL_DEBT", "IQ_" &amp; LEFT(MP$3,2) &amp; "-1", MP$3, $N$3, , $J$3, $K$3)) ),"")</f>
        <v/>
      </c>
      <c r="MQ14" s="588" t="str">
        <f>IFERROR(IF(OR($B14="",MQ$3=""),"",_xll.ciqfunctions.udf.CIQ($B14, "IQ_LEVERED_FCF", $O$3, MQ$3, $N$3, , $J$3, $K$3)*2/(_xll.ciqfunctions.udf.CIQ($B14, "IQ_TOTAL_DEBT", MQ$3, $E$3, $N$3, , $J$3, $K$3)+_xll.ciqfunctions.udf.CIQ($B14, "IQ_TOTAL_DEBT", "IQ_" &amp; LEFT(MQ$3,2) &amp; "-1", MQ$3, $N$3, , $J$3, $K$3)) ),"")</f>
        <v/>
      </c>
      <c r="MR14" s="588" t="str">
        <f>IFERROR(IF(OR($B14="",MR$3=""),"",_xll.ciqfunctions.udf.CIQ($B14, "IQ_LEVERED_FCF", $O$3, MR$3, $N$3, , $J$3, $K$3)*2/(_xll.ciqfunctions.udf.CIQ($B14, "IQ_TOTAL_DEBT", MR$3, $E$3, $N$3, , $J$3, $K$3)+_xll.ciqfunctions.udf.CIQ($B14, "IQ_TOTAL_DEBT", "IQ_" &amp; LEFT(MR$3,2) &amp; "-1", MR$3, $N$3, , $J$3, $K$3)) ),"")</f>
        <v/>
      </c>
      <c r="MS14" s="588" t="str">
        <f>IFERROR(IF(OR($B14="",MS$3=""),"",_xll.ciqfunctions.udf.CIQ($B14, "IQ_LEVERED_FCF", $O$3, MS$3, $N$3, , $J$3, $K$3)*2/(_xll.ciqfunctions.udf.CIQ($B14, "IQ_TOTAL_DEBT", MS$3, $E$3, $N$3, , $J$3, $K$3)+_xll.ciqfunctions.udf.CIQ($B14, "IQ_TOTAL_DEBT", "IQ_" &amp; LEFT(MS$3,2) &amp; "-1", MS$3, $N$3, , $J$3, $K$3)) ),"")</f>
        <v/>
      </c>
      <c r="MT14" s="588" t="str">
        <f>IFERROR(IF(OR($B14="",MT$3=""),"",_xll.ciqfunctions.udf.CIQ($B14, "IQ_LEVERED_FCF", $O$3, MT$3, $N$3, , $J$3, $K$3)*2/(_xll.ciqfunctions.udf.CIQ($B14, "IQ_TOTAL_DEBT", MT$3, $E$3, $N$3, , $J$3, $K$3)+_xll.ciqfunctions.udf.CIQ($B14, "IQ_TOTAL_DEBT", "IQ_" &amp; LEFT(MT$3,2) &amp; "-1", MT$3, $N$3, , $J$3, $K$3)) ),"")</f>
        <v/>
      </c>
      <c r="MU14" s="588" t="str">
        <f>IFERROR(IF(OR($B14="",MU$3=""),"",_xll.ciqfunctions.udf.CIQ($B14, "IQ_LEVERED_FCF", $O$3, MU$3, $N$3, , $J$3, $K$3)*2/(_xll.ciqfunctions.udf.CIQ($B14, "IQ_TOTAL_DEBT", MU$3, $E$3, $N$3, , $J$3, $K$3)+_xll.ciqfunctions.udf.CIQ($B14, "IQ_TOTAL_DEBT", "IQ_" &amp; LEFT(MU$3,2) &amp; "-1", MU$3, $N$3, , $J$3, $K$3)) ),"")</f>
        <v/>
      </c>
      <c r="MV14" s="588" t="str">
        <f>IFERROR(IF(OR($B14="",MV$3=""),"",_xll.ciqfunctions.udf.CIQ($B14, "IQ_LEVERED_FCF", $O$3, MV$3, $N$3, , $J$3, $K$3)*2/(_xll.ciqfunctions.udf.CIQ($B14, "IQ_TOTAL_DEBT", MV$3, $E$3, $N$3, , $J$3, $K$3)+_xll.ciqfunctions.udf.CIQ($B14, "IQ_TOTAL_DEBT", "IQ_" &amp; LEFT(MV$3,2) &amp; "-1", MV$3, $N$3, , $J$3, $K$3)) ),"")</f>
        <v/>
      </c>
      <c r="MW14" s="588" t="str">
        <f>IFERROR(IF(OR($B14="",MW$3=""),"",_xll.ciqfunctions.udf.CIQ($B14, "IQ_LEVERED_FCF", $O$3, MW$3, $N$3, , $J$3, $K$3)*2/(_xll.ciqfunctions.udf.CIQ($B14, "IQ_TOTAL_DEBT", MW$3, $E$3, $N$3, , $J$3, $K$3)+_xll.ciqfunctions.udf.CIQ($B14, "IQ_TOTAL_DEBT", "IQ_" &amp; LEFT(MW$3,2) &amp; "-1", MW$3, $N$3, , $J$3, $K$3)) ),"")</f>
        <v/>
      </c>
      <c r="MX14" s="588" t="str">
        <f>IFERROR(IF(OR($B14="",MX$3=""),"",_xll.ciqfunctions.udf.CIQ($B14, "IQ_LEVERED_FCF", $O$3, MX$3, $N$3, , $J$3, $K$3)*2/(_xll.ciqfunctions.udf.CIQ($B14, "IQ_TOTAL_DEBT", MX$3, $E$3, $N$3, , $J$3, $K$3)+_xll.ciqfunctions.udf.CIQ($B14, "IQ_TOTAL_DEBT", "IQ_" &amp; LEFT(MX$3,2) &amp; "-1", MX$3, $N$3, , $J$3, $K$3)) ),"")</f>
        <v/>
      </c>
      <c r="MY14" s="588" t="str">
        <f>IFERROR(IF(OR($B14="",MY$3=""),"",_xll.ciqfunctions.udf.CIQ($B14, "IQ_LEVERED_FCF", $O$3, MY$3, $N$3, , $J$3, $K$3)*2/(_xll.ciqfunctions.udf.CIQ($B14, "IQ_TOTAL_DEBT", MY$3, $E$3, $N$3, , $J$3, $K$3)+_xll.ciqfunctions.udf.CIQ($B14, "IQ_TOTAL_DEBT", "IQ_" &amp; LEFT(MY$3,2) &amp; "-1", MY$3, $N$3, , $J$3, $K$3)) ),"")</f>
        <v/>
      </c>
      <c r="MZ14" s="588" t="str">
        <f>IFERROR(IF(OR($B14="",MZ$3=""),"",_xll.ciqfunctions.udf.CIQ($B14, "IQ_LEVERED_FCF", $O$3, MZ$3, $N$3, , $J$3, $K$3)*2/(_xll.ciqfunctions.udf.CIQ($B14, "IQ_TOTAL_DEBT", MZ$3, $E$3, $N$3, , $J$3, $K$3)+_xll.ciqfunctions.udf.CIQ($B14, "IQ_TOTAL_DEBT", "IQ_" &amp; LEFT(MZ$3,2) &amp; "-1", MZ$3, $N$3, , $J$3, $K$3)) ),"")</f>
        <v/>
      </c>
      <c r="NA14" s="588" t="str">
        <f>IFERROR(IF(OR($B14="",NA$3=""),"",_xll.ciqfunctions.udf.CIQ($B14, "IQ_LEVERED_FCF", $O$3, NA$3, $N$3, , $J$3, $K$3)*2/(_xll.ciqfunctions.udf.CIQ($B14, "IQ_TOTAL_DEBT", NA$3, $E$3, $N$3, , $J$3, $K$3)+_xll.ciqfunctions.udf.CIQ($B14, "IQ_TOTAL_DEBT", "IQ_" &amp; LEFT(NA$3,2) &amp; "-1", NA$3, $N$3, , $J$3, $K$3)) ),"")</f>
        <v/>
      </c>
      <c r="NB14" s="588" t="str">
        <f>IFERROR(IF(OR($B14="",NB$3=""),"",_xll.ciqfunctions.udf.CIQ($B14, "IQ_LEVERED_FCF", $O$3, NB$3, $N$3, , $J$3, $K$3)*2/(_xll.ciqfunctions.udf.CIQ($B14, "IQ_TOTAL_DEBT", NB$3, $E$3, $N$3, , $J$3, $K$3)+_xll.ciqfunctions.udf.CIQ($B14, "IQ_TOTAL_DEBT", "IQ_" &amp; LEFT(NB$3,2) &amp; "-1", NB$3, $N$3, , $J$3, $K$3)) ),"")</f>
        <v/>
      </c>
      <c r="NC14" s="588" t="str">
        <f>IFERROR(IF(OR($B14="",NC$3=""),"",_xll.ciqfunctions.udf.CIQ($B14, "IQ_LEVERED_FCF", $O$3, NC$3, $N$3, , $J$3, $K$3)*2/(_xll.ciqfunctions.udf.CIQ($B14, "IQ_TOTAL_DEBT", NC$3, $E$3, $N$3, , $J$3, $K$3)+_xll.ciqfunctions.udf.CIQ($B14, "IQ_TOTAL_DEBT", "IQ_" &amp; LEFT(NC$3,2) &amp; "-1", NC$3, $N$3, , $J$3, $K$3)) ),"")</f>
        <v/>
      </c>
      <c r="ND14" s="588" t="str">
        <f>IFERROR(IF(OR($B14="",ND$3=""),"",_xll.ciqfunctions.udf.CIQ($B14, "IQ_LEVERED_FCF", $O$3, ND$3, $N$3, , $J$3, $K$3)*2/(_xll.ciqfunctions.udf.CIQ($B14, "IQ_TOTAL_DEBT", ND$3, $E$3, $N$3, , $J$3, $K$3)+_xll.ciqfunctions.udf.CIQ($B14, "IQ_TOTAL_DEBT", "IQ_" &amp; LEFT(ND$3,2) &amp; "-1", ND$3, $N$3, , $J$3, $K$3)) ),"")</f>
        <v/>
      </c>
      <c r="NE14" s="588" t="str">
        <f>IFERROR(IF(OR($B14="",NE$3=""),"",_xll.ciqfunctions.udf.CIQ($B14, "IQ_LEVERED_FCF", $O$3, NE$3, $N$3, , $J$3, $K$3)*2/(_xll.ciqfunctions.udf.CIQ($B14, "IQ_TOTAL_DEBT", NE$3, $E$3, $N$3, , $J$3, $K$3)+_xll.ciqfunctions.udf.CIQ($B14, "IQ_TOTAL_DEBT", "IQ_" &amp; LEFT(NE$3,2) &amp; "-1", NE$3, $N$3, , $J$3, $K$3)) ),"")</f>
        <v/>
      </c>
      <c r="NF14" s="588" t="str">
        <f>IFERROR(IF(OR($B14="",NF$3=""),"",_xll.ciqfunctions.udf.CIQ($B14, "IQ_LEVERED_FCF", $O$3, NF$3, $N$3, , $J$3, $K$3)*2/(_xll.ciqfunctions.udf.CIQ($B14, "IQ_TOTAL_DEBT", NF$3, $E$3, $N$3, , $J$3, $K$3)+_xll.ciqfunctions.udf.CIQ($B14, "IQ_TOTAL_DEBT", "IQ_" &amp; LEFT(NF$3,2) &amp; "-1", NF$3, $N$3, , $J$3, $K$3)) ),"")</f>
        <v/>
      </c>
      <c r="NG14" s="588" t="str">
        <f>IFERROR(IF(OR($B14="",NG$3=""),"",_xll.ciqfunctions.udf.CIQ($B14, "IQ_LEVERED_FCF", $O$3, NG$3, $N$3, , $J$3, $K$3)*2/(_xll.ciqfunctions.udf.CIQ($B14, "IQ_TOTAL_DEBT", NG$3, $E$3, $N$3, , $J$3, $K$3)+_xll.ciqfunctions.udf.CIQ($B14, "IQ_TOTAL_DEBT", "IQ_" &amp; LEFT(NG$3,2) &amp; "-1", NG$3, $N$3, , $J$3, $K$3)) ),"")</f>
        <v/>
      </c>
      <c r="NH14" s="588" t="str">
        <f>IFERROR(IF(OR($B14="",NH$3=""),"",_xll.ciqfunctions.udf.CIQ($B14, "IQ_LEVERED_FCF", $O$3, NH$3, $N$3, , $J$3, $K$3)*2/(_xll.ciqfunctions.udf.CIQ($B14, "IQ_TOTAL_DEBT", NH$3, $E$3, $N$3, , $J$3, $K$3)+_xll.ciqfunctions.udf.CIQ($B14, "IQ_TOTAL_DEBT", "IQ_" &amp; LEFT(NH$3,2) &amp; "-1", NH$3, $N$3, , $J$3, $K$3)) ),"")</f>
        <v/>
      </c>
      <c r="NI14" s="588" t="str">
        <f>IFERROR(IF(OR($B14="",NI$3=""),"",_xll.ciqfunctions.udf.CIQ($B14, "IQ_CASH_OPER", $O$3, NI$3, $N$3, , $J$3, $K$3)/_xll.ciqfunctions.udf.CIQ($B14, "IQ_NI", NI$3, $E$3, $N$3, , $J$3, $K$3)),"")</f>
        <v/>
      </c>
      <c r="NJ14" s="588" t="str">
        <f>IFERROR(IF(OR($B14="",NJ$3=""),"",_xll.ciqfunctions.udf.CIQ($B14, "IQ_CASH_OPER", $O$3, NJ$3, $N$3, , $J$3, $K$3)/_xll.ciqfunctions.udf.CIQ($B14, "IQ_NI", NJ$3, $E$3, $N$3, , $J$3, $K$3)),"")</f>
        <v/>
      </c>
      <c r="NK14" s="588" t="str">
        <f>IFERROR(IF(OR($B14="",NK$3=""),"",_xll.ciqfunctions.udf.CIQ($B14, "IQ_CASH_OPER", $O$3, NK$3, $N$3, , $J$3, $K$3)/_xll.ciqfunctions.udf.CIQ($B14, "IQ_NI", NK$3, $E$3, $N$3, , $J$3, $K$3)),"")</f>
        <v/>
      </c>
      <c r="NL14" s="588" t="str">
        <f>IFERROR(IF(OR($B14="",NL$3=""),"",_xll.ciqfunctions.udf.CIQ($B14, "IQ_CASH_OPER", $O$3, NL$3, $N$3, , $J$3, $K$3)/_xll.ciqfunctions.udf.CIQ($B14, "IQ_NI", NL$3, $E$3, $N$3, , $J$3, $K$3)),"")</f>
        <v/>
      </c>
      <c r="NM14" s="588" t="str">
        <f>IFERROR(IF(OR($B14="",NM$3=""),"",_xll.ciqfunctions.udf.CIQ($B14, "IQ_CASH_OPER", $O$3, NM$3, $N$3, , $J$3, $K$3)/_xll.ciqfunctions.udf.CIQ($B14, "IQ_NI", NM$3, $E$3, $N$3, , $J$3, $K$3)),"")</f>
        <v/>
      </c>
      <c r="NN14" s="588" t="str">
        <f>IFERROR(IF(OR($B14="",NN$3=""),"",_xll.ciqfunctions.udf.CIQ($B14, "IQ_CASH_OPER", $O$3, NN$3, $N$3, , $J$3, $K$3)/_xll.ciqfunctions.udf.CIQ($B14, "IQ_NI", NN$3, $E$3, $N$3, , $J$3, $K$3)),"")</f>
        <v/>
      </c>
      <c r="NO14" s="588" t="str">
        <f>IFERROR(IF(OR($B14="",NO$3=""),"",_xll.ciqfunctions.udf.CIQ($B14, "IQ_CASH_OPER", $O$3, NO$3, $N$3, , $J$3, $K$3)/_xll.ciqfunctions.udf.CIQ($B14, "IQ_NI", NO$3, $E$3, $N$3, , $J$3, $K$3)),"")</f>
        <v/>
      </c>
      <c r="NP14" s="588" t="str">
        <f>IFERROR(IF(OR($B14="",NP$3=""),"",_xll.ciqfunctions.udf.CIQ($B14, "IQ_CASH_OPER", $O$3, NP$3, $N$3, , $J$3, $K$3)/_xll.ciqfunctions.udf.CIQ($B14, "IQ_NI", NP$3, $E$3, $N$3, , $J$3, $K$3)),"")</f>
        <v/>
      </c>
      <c r="NQ14" s="588" t="str">
        <f>IFERROR(IF(OR($B14="",NQ$3=""),"",_xll.ciqfunctions.udf.CIQ($B14, "IQ_CASH_OPER", $O$3, NQ$3, $N$3, , $J$3, $K$3)/_xll.ciqfunctions.udf.CIQ($B14, "IQ_NI", NQ$3, $E$3, $N$3, , $J$3, $K$3)),"")</f>
        <v/>
      </c>
      <c r="NR14" s="588" t="str">
        <f>IFERROR(IF(OR($B14="",NR$3=""),"",_xll.ciqfunctions.udf.CIQ($B14, "IQ_CASH_OPER", $O$3, NR$3, $N$3, , $J$3, $K$3)/_xll.ciqfunctions.udf.CIQ($B14, "IQ_NI", NR$3, $E$3, $N$3, , $J$3, $K$3)),"")</f>
        <v/>
      </c>
      <c r="NS14" s="588" t="str">
        <f>IFERROR(IF(OR($B14="",NS$3=""),"",_xll.ciqfunctions.udf.CIQ($B14, "IQ_CASH_OPER", $O$3, NS$3, $N$3, , $J$3, $K$3)/_xll.ciqfunctions.udf.CIQ($B14, "IQ_NI", NS$3, $E$3, $N$3, , $J$3, $K$3)),"")</f>
        <v/>
      </c>
      <c r="NT14" s="588" t="str">
        <f>IFERROR(IF(OR($B14="",NT$3=""),"",_xll.ciqfunctions.udf.CIQ($B14, "IQ_CASH_OPER", $O$3, NT$3, $N$3, , $J$3, $K$3)/_xll.ciqfunctions.udf.CIQ($B14, "IQ_NI", NT$3, $E$3, $N$3, , $J$3, $K$3)),"")</f>
        <v/>
      </c>
      <c r="NU14" s="588" t="str">
        <f>IFERROR(IF(OR($B14="",NU$3=""),"",_xll.ciqfunctions.udf.CIQ($B14, "IQ_CASH_OPER", $O$3, NU$3, $N$3, , $J$3, $K$3)/_xll.ciqfunctions.udf.CIQ($B14, "IQ_NI", NU$3, $E$3, $N$3, , $J$3, $K$3)),"")</f>
        <v/>
      </c>
      <c r="NV14" s="588" t="str">
        <f>IFERROR(IF(OR($B14="",NV$3=""),"",_xll.ciqfunctions.udf.CIQ($B14, "IQ_CASH_OPER", $O$3, NV$3, $N$3, , $J$3, $K$3)/_xll.ciqfunctions.udf.CIQ($B14, "IQ_NI", NV$3, $E$3, $N$3, , $J$3, $K$3)),"")</f>
        <v/>
      </c>
      <c r="NW14" s="588" t="str">
        <f>IFERROR(IF(OR($B14="",NW$3=""),"",_xll.ciqfunctions.udf.CIQ($B14, "IQ_CASH_OPER", $O$3, NW$3, $N$3, , $J$3, $K$3)/_xll.ciqfunctions.udf.CIQ($B14, "IQ_NI", NW$3, $E$3, $N$3, , $J$3, $K$3)),"")</f>
        <v/>
      </c>
      <c r="NX14" s="588" t="str">
        <f>IFERROR(IF(OR($B14="",NX$3=""),"",_xll.ciqfunctions.udf.CIQ($B14, "IQ_CASH_OPER", $O$3, NX$3, $N$3, , $J$3, $K$3)/_xll.ciqfunctions.udf.CIQ($B14, "IQ_NI", NX$3, $E$3, $N$3, , $J$3, $K$3)),"")</f>
        <v/>
      </c>
      <c r="NY14" s="588" t="str">
        <f>IFERROR(IF(OR($B14="",NY$3=""),"",_xll.ciqfunctions.udf.CIQ($B14, "IQ_CASH_OPER", $O$3, NY$3, $N$3, , $J$3, $K$3)/_xll.ciqfunctions.udf.CIQ($B14, "IQ_NI", NY$3, $E$3, $N$3, , $J$3, $K$3)),"")</f>
        <v/>
      </c>
      <c r="NZ14" s="588" t="str">
        <f>IFERROR(IF(OR($B14="",NZ$3=""),"",_xll.ciqfunctions.udf.CIQ($B14, "IQ_CASH_OPER", $O$3, NZ$3, $N$3, , $J$3, $K$3)/_xll.ciqfunctions.udf.CIQ($B14, "IQ_NI", NZ$3, $E$3, $N$3, , $J$3, $K$3)),"")</f>
        <v/>
      </c>
      <c r="OA14" s="588" t="str">
        <f>IFERROR(IF(OR($B14="",OA$3=""),"",_xll.ciqfunctions.udf.CIQ($B14, "IQ_CASH_OPER", $O$3, OA$3, $N$3, , $J$3, $K$3)/_xll.ciqfunctions.udf.CIQ($B14, "IQ_NI", OA$3, $E$3, $N$3, , $J$3, $K$3)),"")</f>
        <v/>
      </c>
      <c r="OB14" s="588" t="str">
        <f>IFERROR(IF(OR($B14="",OB$3=""),"",_xll.ciqfunctions.udf.CIQ($B14, "IQ_CASH_OPER", $O$3, OB$3, $N$3, , $J$3, $K$3)/_xll.ciqfunctions.udf.CIQ($B14, "IQ_NI", OB$3, $E$3, $N$3, , $J$3, $K$3)),"")</f>
        <v/>
      </c>
      <c r="OC14" s="86" t="str">
        <f>IFERROR(IF(OR($B14="",OC$3=""),"",_xll.ciqfunctions.udf.CIQ($B14,"IQ_NI",$O$3, OC$3, $N$3, , $J$3, $K$3)*2/(_xll.ciqfunctions.udf.CIQ($B14,"IQ_TOTAL_ASSETS",OC$3,$I$3, $N$3, , $J$3, $K$3)+_xll.ciqfunctions.udf.CIQ($B14,"IQ_TOTAL_ASSETS", "IQ_" &amp; LEFT(OC$3,2) &amp; "-1", OC$3, $N$3, , $J$3, $K$3))),"")</f>
        <v/>
      </c>
      <c r="OD14" s="87" t="str">
        <f>IFERROR(IF(OR($B14="",OD$3=""),"",_xll.ciqfunctions.udf.CIQ($B14,"IQ_NI",$O$3, OD$3, $N$3, , $J$3, $K$3)*2/(_xll.ciqfunctions.udf.CIQ($B14,"IQ_TOTAL_ASSETS",OD$3,$I$3, $N$3, , $J$3, $K$3)+_xll.ciqfunctions.udf.CIQ($B14,"IQ_TOTAL_ASSETS", "IQ_" &amp; LEFT(OD$3,2) &amp; "-1", OD$3, $N$3, , $J$3, $K$3))),"")</f>
        <v/>
      </c>
      <c r="OE14" s="87" t="str">
        <f>IFERROR(IF(OR($B14="",OE$3=""),"",_xll.ciqfunctions.udf.CIQ($B14,"IQ_NI",$O$3, OE$3, $N$3, , $J$3, $K$3)*2/(_xll.ciqfunctions.udf.CIQ($B14,"IQ_TOTAL_ASSETS",OE$3,$I$3, $N$3, , $J$3, $K$3)+_xll.ciqfunctions.udf.CIQ($B14,"IQ_TOTAL_ASSETS", "IQ_" &amp; LEFT(OE$3,2) &amp; "-1", OE$3, $N$3, , $J$3, $K$3))),"")</f>
        <v/>
      </c>
      <c r="OF14" s="87" t="str">
        <f>IFERROR(IF(OR($B14="",OF$3=""),"",_xll.ciqfunctions.udf.CIQ($B14,"IQ_NI",$O$3, OF$3, $N$3, , $J$3, $K$3)*2/(_xll.ciqfunctions.udf.CIQ($B14,"IQ_TOTAL_ASSETS",OF$3,$I$3, $N$3, , $J$3, $K$3)+_xll.ciqfunctions.udf.CIQ($B14,"IQ_TOTAL_ASSETS", "IQ_" &amp; LEFT(OF$3,2) &amp; "-1", OF$3, $N$3, , $J$3, $K$3))),"")</f>
        <v/>
      </c>
      <c r="OG14" s="87" t="str">
        <f>IFERROR(IF(OR($B14="",OG$3=""),"",_xll.ciqfunctions.udf.CIQ($B14,"IQ_NI",$O$3, OG$3, $N$3, , $J$3, $K$3)*2/(_xll.ciqfunctions.udf.CIQ($B14,"IQ_TOTAL_ASSETS",OG$3,$I$3, $N$3, , $J$3, $K$3)+_xll.ciqfunctions.udf.CIQ($B14,"IQ_TOTAL_ASSETS", "IQ_" &amp; LEFT(OG$3,2) &amp; "-1", OG$3, $N$3, , $J$3, $K$3))),"")</f>
        <v/>
      </c>
      <c r="OH14" s="87" t="str">
        <f>IFERROR(IF(OR($B14="",OH$3=""),"",_xll.ciqfunctions.udf.CIQ($B14,"IQ_NI",$O$3, OH$3, $N$3, , $J$3, $K$3)*2/(_xll.ciqfunctions.udf.CIQ($B14,"IQ_TOTAL_ASSETS",OH$3,$I$3, $N$3, , $J$3, $K$3)+_xll.ciqfunctions.udf.CIQ($B14,"IQ_TOTAL_ASSETS", "IQ_" &amp; LEFT(OH$3,2) &amp; "-1", OH$3, $N$3, , $J$3, $K$3))),"")</f>
        <v/>
      </c>
      <c r="OI14" s="87" t="str">
        <f>IFERROR(IF(OR($B14="",OI$3=""),"",_xll.ciqfunctions.udf.CIQ($B14,"IQ_NI",$O$3, OI$3, $N$3, , $J$3, $K$3)*2/(_xll.ciqfunctions.udf.CIQ($B14,"IQ_TOTAL_ASSETS",OI$3,$I$3, $N$3, , $J$3, $K$3)+_xll.ciqfunctions.udf.CIQ($B14,"IQ_TOTAL_ASSETS", "IQ_" &amp; LEFT(OI$3,2) &amp; "-1", OI$3, $N$3, , $J$3, $K$3))),"")</f>
        <v/>
      </c>
      <c r="OJ14" s="87" t="str">
        <f>IFERROR(IF(OR($B14="",OJ$3=""),"",_xll.ciqfunctions.udf.CIQ($B14,"IQ_NI",$O$3, OJ$3, $N$3, , $J$3, $K$3)*2/(_xll.ciqfunctions.udf.CIQ($B14,"IQ_TOTAL_ASSETS",OJ$3,$I$3, $N$3, , $J$3, $K$3)+_xll.ciqfunctions.udf.CIQ($B14,"IQ_TOTAL_ASSETS", "IQ_" &amp; LEFT(OJ$3,2) &amp; "-1", OJ$3, $N$3, , $J$3, $K$3))),"")</f>
        <v/>
      </c>
      <c r="OK14" s="87" t="str">
        <f>IFERROR(IF(OR($B14="",OK$3=""),"",_xll.ciqfunctions.udf.CIQ($B14,"IQ_NI",$O$3, OK$3, $N$3, , $J$3, $K$3)*2/(_xll.ciqfunctions.udf.CIQ($B14,"IQ_TOTAL_ASSETS",OK$3,$I$3, $N$3, , $J$3, $K$3)+_xll.ciqfunctions.udf.CIQ($B14,"IQ_TOTAL_ASSETS", "IQ_" &amp; LEFT(OK$3,2) &amp; "-1", OK$3, $N$3, , $J$3, $K$3))),"")</f>
        <v/>
      </c>
      <c r="OL14" s="87" t="str">
        <f>IFERROR(IF(OR($B14="",OL$3=""),"",_xll.ciqfunctions.udf.CIQ($B14,"IQ_NI",$O$3, OL$3, $N$3, , $J$3, $K$3)*2/(_xll.ciqfunctions.udf.CIQ($B14,"IQ_TOTAL_ASSETS",OL$3,$I$3, $N$3, , $J$3, $K$3)+_xll.ciqfunctions.udf.CIQ($B14,"IQ_TOTAL_ASSETS", "IQ_" &amp; LEFT(OL$3,2) &amp; "-1", OL$3, $N$3, , $J$3, $K$3))),"")</f>
        <v/>
      </c>
      <c r="OM14" s="87" t="str">
        <f>IFERROR(IF(OR($B14="",OM$3=""),"",_xll.ciqfunctions.udf.CIQ($B14,"IQ_NI",$O$3, OM$3, $N$3, , $J$3, $K$3)*2/(_xll.ciqfunctions.udf.CIQ($B14,"IQ_TOTAL_ASSETS",OM$3,$I$3, $N$3, , $J$3, $K$3)+_xll.ciqfunctions.udf.CIQ($B14,"IQ_TOTAL_ASSETS", "IQ_" &amp; LEFT(OM$3,2) &amp; "-1", OM$3, $N$3, , $J$3, $K$3))),"")</f>
        <v/>
      </c>
      <c r="ON14" s="87" t="str">
        <f>IFERROR(IF(OR($B14="",ON$3=""),"",_xll.ciqfunctions.udf.CIQ($B14,"IQ_NI",$O$3, ON$3, $N$3, , $J$3, $K$3)*2/(_xll.ciqfunctions.udf.CIQ($B14,"IQ_TOTAL_ASSETS",ON$3,$I$3, $N$3, , $J$3, $K$3)+_xll.ciqfunctions.udf.CIQ($B14,"IQ_TOTAL_ASSETS", "IQ_" &amp; LEFT(ON$3,2) &amp; "-1", ON$3, $N$3, , $J$3, $K$3))),"")</f>
        <v/>
      </c>
      <c r="OO14" s="87" t="str">
        <f>IFERROR(IF(OR($B14="",OO$3=""),"",_xll.ciqfunctions.udf.CIQ($B14,"IQ_NI",$O$3, OO$3, $N$3, , $J$3, $K$3)*2/(_xll.ciqfunctions.udf.CIQ($B14,"IQ_TOTAL_ASSETS",OO$3,$I$3, $N$3, , $J$3, $K$3)+_xll.ciqfunctions.udf.CIQ($B14,"IQ_TOTAL_ASSETS", "IQ_" &amp; LEFT(OO$3,2) &amp; "-1", OO$3, $N$3, , $J$3, $K$3))),"")</f>
        <v/>
      </c>
      <c r="OP14" s="87" t="str">
        <f>IFERROR(IF(OR($B14="",OP$3=""),"",_xll.ciqfunctions.udf.CIQ($B14,"IQ_NI",$O$3, OP$3, $N$3, , $J$3, $K$3)*2/(_xll.ciqfunctions.udf.CIQ($B14,"IQ_TOTAL_ASSETS",OP$3,$I$3, $N$3, , $J$3, $K$3)+_xll.ciqfunctions.udf.CIQ($B14,"IQ_TOTAL_ASSETS", "IQ_" &amp; LEFT(OP$3,2) &amp; "-1", OP$3, $N$3, , $J$3, $K$3))),"")</f>
        <v/>
      </c>
      <c r="OQ14" s="87" t="str">
        <f>IFERROR(IF(OR($B14="",OQ$3=""),"",_xll.ciqfunctions.udf.CIQ($B14,"IQ_NI",$O$3, OQ$3, $N$3, , $J$3, $K$3)*2/(_xll.ciqfunctions.udf.CIQ($B14,"IQ_TOTAL_ASSETS",OQ$3,$I$3, $N$3, , $J$3, $K$3)+_xll.ciqfunctions.udf.CIQ($B14,"IQ_TOTAL_ASSETS", "IQ_" &amp; LEFT(OQ$3,2) &amp; "-1", OQ$3, $N$3, , $J$3, $K$3))),"")</f>
        <v/>
      </c>
      <c r="OR14" s="87" t="str">
        <f>IFERROR(IF(OR($B14="",OR$3=""),"",_xll.ciqfunctions.udf.CIQ($B14,"IQ_NI",$O$3, OR$3, $N$3, , $J$3, $K$3)*2/(_xll.ciqfunctions.udf.CIQ($B14,"IQ_TOTAL_ASSETS",OR$3,$I$3, $N$3, , $J$3, $K$3)+_xll.ciqfunctions.udf.CIQ($B14,"IQ_TOTAL_ASSETS", "IQ_" &amp; LEFT(OR$3,2) &amp; "-1", OR$3, $N$3, , $J$3, $K$3))),"")</f>
        <v/>
      </c>
      <c r="OS14" s="87" t="str">
        <f>IFERROR(IF(OR($B14="",OS$3=""),"",_xll.ciqfunctions.udf.CIQ($B14,"IQ_NI",$O$3, OS$3, $N$3, , $J$3, $K$3)*2/(_xll.ciqfunctions.udf.CIQ($B14,"IQ_TOTAL_ASSETS",OS$3,$I$3, $N$3, , $J$3, $K$3)+_xll.ciqfunctions.udf.CIQ($B14,"IQ_TOTAL_ASSETS", "IQ_" &amp; LEFT(OS$3,2) &amp; "-1", OS$3, $N$3, , $J$3, $K$3))),"")</f>
        <v/>
      </c>
      <c r="OT14" s="87" t="str">
        <f>IFERROR(IF(OR($B14="",OT$3=""),"",_xll.ciqfunctions.udf.CIQ($B14,"IQ_NI",$O$3, OT$3, $N$3, , $J$3, $K$3)*2/(_xll.ciqfunctions.udf.CIQ($B14,"IQ_TOTAL_ASSETS",OT$3,$I$3, $N$3, , $J$3, $K$3)+_xll.ciqfunctions.udf.CIQ($B14,"IQ_TOTAL_ASSETS", "IQ_" &amp; LEFT(OT$3,2) &amp; "-1", OT$3, $N$3, , $J$3, $K$3))),"")</f>
        <v/>
      </c>
      <c r="OU14" s="87" t="str">
        <f>IFERROR(IF(OR($B14="",OU$3=""),"",_xll.ciqfunctions.udf.CIQ($B14,"IQ_NI",$O$3, OU$3, $N$3, , $J$3, $K$3)*2/(_xll.ciqfunctions.udf.CIQ($B14,"IQ_TOTAL_ASSETS",OU$3,$I$3, $N$3, , $J$3, $K$3)+_xll.ciqfunctions.udf.CIQ($B14,"IQ_TOTAL_ASSETS", "IQ_" &amp; LEFT(OU$3,2) &amp; "-1", OU$3, $N$3, , $J$3, $K$3))),"")</f>
        <v/>
      </c>
      <c r="OV14" s="88" t="str">
        <f>IFERROR(IF(OR($B14="",OV$3=""),"",_xll.ciqfunctions.udf.CIQ($B14,"IQ_NI",$O$3, OV$3, $N$3, , $J$3, $K$3)*2/(_xll.ciqfunctions.udf.CIQ($B14,"IQ_TOTAL_ASSETS",OV$3,$I$3, $N$3, , $J$3, $K$3)+_xll.ciqfunctions.udf.CIQ($B14,"IQ_TOTAL_ASSETS", "IQ_" &amp; LEFT(OV$3,2) &amp; "-1", OV$3, $N$3, , $J$3, $K$3))),"")</f>
        <v/>
      </c>
      <c r="OW14" s="86" t="str">
        <f>IFERROR(IF(OR($B14="",OW$3=""),"",_xll.ciqfunctions.udf.CIQ($B14, "IQ_NI", $O$3, OW$3, $N$3, , $J$3, $K$3)*2/(_xll.ciqfunctions.udf.CIQ($B14, "IQ_TOTAL_ASSETS", OW$3, $I$3, $N$3, , $J$3, $K$3)+_xll.ciqfunctions.udf.CIQ($B14, "IQ_TOTAL_ASSETS", "IQ_" &amp; LEFT(OW$3,2) &amp; "-1", OW$3, $N$3, , $J$3, $K$3)-_xll.ciqfunctions.udf.CIQ($B14, "IQ_TOTAL_CL", OW$3, $I$3, $N$3, , $J$3, $K$3)-_xll.ciqfunctions.udf.CIQ($B14, "IQ_TOTAL_CL", "IQ_" &amp; LEFT(OW$3,2) &amp; "-1", OW$3, $N$3, , $J$3, $K$3))),"")</f>
        <v/>
      </c>
      <c r="OX14" s="87" t="str">
        <f>IFERROR(IF(OR($B14="",OX$3=""),"",_xll.ciqfunctions.udf.CIQ($B14, "IQ_NI", $O$3, OX$3, $N$3, , $J$3, $K$3)*2/(_xll.ciqfunctions.udf.CIQ($B14, "IQ_TOTAL_ASSETS", OX$3, $I$3, $N$3, , $J$3, $K$3)+_xll.ciqfunctions.udf.CIQ($B14, "IQ_TOTAL_ASSETS", "IQ_" &amp; LEFT(OX$3,2) &amp; "-1", OX$3, $N$3, , $J$3, $K$3)-_xll.ciqfunctions.udf.CIQ($B14, "IQ_TOTAL_CL", OX$3, $I$3, $N$3, , $J$3, $K$3)-_xll.ciqfunctions.udf.CIQ($B14, "IQ_TOTAL_CL", "IQ_" &amp; LEFT(OX$3,2) &amp; "-1", OX$3, $N$3, , $J$3, $K$3))),"")</f>
        <v/>
      </c>
      <c r="OY14" s="87" t="str">
        <f>IFERROR(IF(OR($B14="",OY$3=""),"",_xll.ciqfunctions.udf.CIQ($B14, "IQ_NI", $O$3, OY$3, $N$3, , $J$3, $K$3)*2/(_xll.ciqfunctions.udf.CIQ($B14, "IQ_TOTAL_ASSETS", OY$3, $I$3, $N$3, , $J$3, $K$3)+_xll.ciqfunctions.udf.CIQ($B14, "IQ_TOTAL_ASSETS", "IQ_" &amp; LEFT(OY$3,2) &amp; "-1", OY$3, $N$3, , $J$3, $K$3)-_xll.ciqfunctions.udf.CIQ($B14, "IQ_TOTAL_CL", OY$3, $I$3, $N$3, , $J$3, $K$3)-_xll.ciqfunctions.udf.CIQ($B14, "IQ_TOTAL_CL", "IQ_" &amp; LEFT(OY$3,2) &amp; "-1", OY$3, $N$3, , $J$3, $K$3))),"")</f>
        <v/>
      </c>
      <c r="OZ14" s="87" t="str">
        <f>IFERROR(IF(OR($B14="",OZ$3=""),"",_xll.ciqfunctions.udf.CIQ($B14, "IQ_NI", $O$3, OZ$3, $N$3, , $J$3, $K$3)*2/(_xll.ciqfunctions.udf.CIQ($B14, "IQ_TOTAL_ASSETS", OZ$3, $I$3, $N$3, , $J$3, $K$3)+_xll.ciqfunctions.udf.CIQ($B14, "IQ_TOTAL_ASSETS", "IQ_" &amp; LEFT(OZ$3,2) &amp; "-1", OZ$3, $N$3, , $J$3, $K$3)-_xll.ciqfunctions.udf.CIQ($B14, "IQ_TOTAL_CL", OZ$3, $I$3, $N$3, , $J$3, $K$3)-_xll.ciqfunctions.udf.CIQ($B14, "IQ_TOTAL_CL", "IQ_" &amp; LEFT(OZ$3,2) &amp; "-1", OZ$3, $N$3, , $J$3, $K$3))),"")</f>
        <v/>
      </c>
      <c r="PA14" s="87" t="str">
        <f>IFERROR(IF(OR($B14="",PA$3=""),"",_xll.ciqfunctions.udf.CIQ($B14, "IQ_NI", $O$3, PA$3, $N$3, , $J$3, $K$3)*2/(_xll.ciqfunctions.udf.CIQ($B14, "IQ_TOTAL_ASSETS", PA$3, $I$3, $N$3, , $J$3, $K$3)+_xll.ciqfunctions.udf.CIQ($B14, "IQ_TOTAL_ASSETS", "IQ_" &amp; LEFT(PA$3,2) &amp; "-1", PA$3, $N$3, , $J$3, $K$3)-_xll.ciqfunctions.udf.CIQ($B14, "IQ_TOTAL_CL", PA$3, $I$3, $N$3, , $J$3, $K$3)-_xll.ciqfunctions.udf.CIQ($B14, "IQ_TOTAL_CL", "IQ_" &amp; LEFT(PA$3,2) &amp; "-1", PA$3, $N$3, , $J$3, $K$3))),"")</f>
        <v/>
      </c>
      <c r="PB14" s="87" t="str">
        <f>IFERROR(IF(OR($B14="",PB$3=""),"",_xll.ciqfunctions.udf.CIQ($B14, "IQ_NI", $O$3, PB$3, $N$3, , $J$3, $K$3)*2/(_xll.ciqfunctions.udf.CIQ($B14, "IQ_TOTAL_ASSETS", PB$3, $I$3, $N$3, , $J$3, $K$3)+_xll.ciqfunctions.udf.CIQ($B14, "IQ_TOTAL_ASSETS", "IQ_" &amp; LEFT(PB$3,2) &amp; "-1", PB$3, $N$3, , $J$3, $K$3)-_xll.ciqfunctions.udf.CIQ($B14, "IQ_TOTAL_CL", PB$3, $I$3, $N$3, , $J$3, $K$3)-_xll.ciqfunctions.udf.CIQ($B14, "IQ_TOTAL_CL", "IQ_" &amp; LEFT(PB$3,2) &amp; "-1", PB$3, $N$3, , $J$3, $K$3))),"")</f>
        <v/>
      </c>
      <c r="PC14" s="87" t="str">
        <f>IFERROR(IF(OR($B14="",PC$3=""),"",_xll.ciqfunctions.udf.CIQ($B14, "IQ_NI", $O$3, PC$3, $N$3, , $J$3, $K$3)*2/(_xll.ciqfunctions.udf.CIQ($B14, "IQ_TOTAL_ASSETS", PC$3, $I$3, $N$3, , $J$3, $K$3)+_xll.ciqfunctions.udf.CIQ($B14, "IQ_TOTAL_ASSETS", "IQ_" &amp; LEFT(PC$3,2) &amp; "-1", PC$3, $N$3, , $J$3, $K$3)-_xll.ciqfunctions.udf.CIQ($B14, "IQ_TOTAL_CL", PC$3, $I$3, $N$3, , $J$3, $K$3)-_xll.ciqfunctions.udf.CIQ($B14, "IQ_TOTAL_CL", "IQ_" &amp; LEFT(PC$3,2) &amp; "-1", PC$3, $N$3, , $J$3, $K$3))),"")</f>
        <v/>
      </c>
      <c r="PD14" s="87" t="str">
        <f>IFERROR(IF(OR($B14="",PD$3=""),"",_xll.ciqfunctions.udf.CIQ($B14, "IQ_NI", $O$3, PD$3, $N$3, , $J$3, $K$3)*2/(_xll.ciqfunctions.udf.CIQ($B14, "IQ_TOTAL_ASSETS", PD$3, $I$3, $N$3, , $J$3, $K$3)+_xll.ciqfunctions.udf.CIQ($B14, "IQ_TOTAL_ASSETS", "IQ_" &amp; LEFT(PD$3,2) &amp; "-1", PD$3, $N$3, , $J$3, $K$3)-_xll.ciqfunctions.udf.CIQ($B14, "IQ_TOTAL_CL", PD$3, $I$3, $N$3, , $J$3, $K$3)-_xll.ciqfunctions.udf.CIQ($B14, "IQ_TOTAL_CL", "IQ_" &amp; LEFT(PD$3,2) &amp; "-1", PD$3, $N$3, , $J$3, $K$3))),"")</f>
        <v/>
      </c>
      <c r="PE14" s="87" t="str">
        <f>IFERROR(IF(OR($B14="",PE$3=""),"",_xll.ciqfunctions.udf.CIQ($B14, "IQ_NI", $O$3, PE$3, $N$3, , $J$3, $K$3)*2/(_xll.ciqfunctions.udf.CIQ($B14, "IQ_TOTAL_ASSETS", PE$3, $I$3, $N$3, , $J$3, $K$3)+_xll.ciqfunctions.udf.CIQ($B14, "IQ_TOTAL_ASSETS", "IQ_" &amp; LEFT(PE$3,2) &amp; "-1", PE$3, $N$3, , $J$3, $K$3)-_xll.ciqfunctions.udf.CIQ($B14, "IQ_TOTAL_CL", PE$3, $I$3, $N$3, , $J$3, $K$3)-_xll.ciqfunctions.udf.CIQ($B14, "IQ_TOTAL_CL", "IQ_" &amp; LEFT(PE$3,2) &amp; "-1", PE$3, $N$3, , $J$3, $K$3))),"")</f>
        <v/>
      </c>
      <c r="PF14" s="87" t="str">
        <f>IFERROR(IF(OR($B14="",PF$3=""),"",_xll.ciqfunctions.udf.CIQ($B14, "IQ_NI", $O$3, PF$3, $N$3, , $J$3, $K$3)*2/(_xll.ciqfunctions.udf.CIQ($B14, "IQ_TOTAL_ASSETS", PF$3, $I$3, $N$3, , $J$3, $K$3)+_xll.ciqfunctions.udf.CIQ($B14, "IQ_TOTAL_ASSETS", "IQ_" &amp; LEFT(PF$3,2) &amp; "-1", PF$3, $N$3, , $J$3, $K$3)-_xll.ciqfunctions.udf.CIQ($B14, "IQ_TOTAL_CL", PF$3, $I$3, $N$3, , $J$3, $K$3)-_xll.ciqfunctions.udf.CIQ($B14, "IQ_TOTAL_CL", "IQ_" &amp; LEFT(PF$3,2) &amp; "-1", PF$3, $N$3, , $J$3, $K$3))),"")</f>
        <v/>
      </c>
      <c r="PG14" s="87" t="str">
        <f>IFERROR(IF(OR($B14="",PG$3=""),"",_xll.ciqfunctions.udf.CIQ($B14, "IQ_NI", $O$3, PG$3, $N$3, , $J$3, $K$3)*2/(_xll.ciqfunctions.udf.CIQ($B14, "IQ_TOTAL_ASSETS", PG$3, $I$3, $N$3, , $J$3, $K$3)+_xll.ciqfunctions.udf.CIQ($B14, "IQ_TOTAL_ASSETS", "IQ_" &amp; LEFT(PG$3,2) &amp; "-1", PG$3, $N$3, , $J$3, $K$3)-_xll.ciqfunctions.udf.CIQ($B14, "IQ_TOTAL_CL", PG$3, $I$3, $N$3, , $J$3, $K$3)-_xll.ciqfunctions.udf.CIQ($B14, "IQ_TOTAL_CL", "IQ_" &amp; LEFT(PG$3,2) &amp; "-1", PG$3, $N$3, , $J$3, $K$3))),"")</f>
        <v/>
      </c>
      <c r="PH14" s="87" t="str">
        <f>IFERROR(IF(OR($B14="",PH$3=""),"",_xll.ciqfunctions.udf.CIQ($B14, "IQ_NI", $O$3, PH$3, $N$3, , $J$3, $K$3)*2/(_xll.ciqfunctions.udf.CIQ($B14, "IQ_TOTAL_ASSETS", PH$3, $I$3, $N$3, , $J$3, $K$3)+_xll.ciqfunctions.udf.CIQ($B14, "IQ_TOTAL_ASSETS", "IQ_" &amp; LEFT(PH$3,2) &amp; "-1", PH$3, $N$3, , $J$3, $K$3)-_xll.ciqfunctions.udf.CIQ($B14, "IQ_TOTAL_CL", PH$3, $I$3, $N$3, , $J$3, $K$3)-_xll.ciqfunctions.udf.CIQ($B14, "IQ_TOTAL_CL", "IQ_" &amp; LEFT(PH$3,2) &amp; "-1", PH$3, $N$3, , $J$3, $K$3))),"")</f>
        <v/>
      </c>
      <c r="PI14" s="87" t="str">
        <f>IFERROR(IF(OR($B14="",PI$3=""),"",_xll.ciqfunctions.udf.CIQ($B14, "IQ_NI", $O$3, PI$3, $N$3, , $J$3, $K$3)*2/(_xll.ciqfunctions.udf.CIQ($B14, "IQ_TOTAL_ASSETS", PI$3, $I$3, $N$3, , $J$3, $K$3)+_xll.ciqfunctions.udf.CIQ($B14, "IQ_TOTAL_ASSETS", "IQ_" &amp; LEFT(PI$3,2) &amp; "-1", PI$3, $N$3, , $J$3, $K$3)-_xll.ciqfunctions.udf.CIQ($B14, "IQ_TOTAL_CL", PI$3, $I$3, $N$3, , $J$3, $K$3)-_xll.ciqfunctions.udf.CIQ($B14, "IQ_TOTAL_CL", "IQ_" &amp; LEFT(PI$3,2) &amp; "-1", PI$3, $N$3, , $J$3, $K$3))),"")</f>
        <v/>
      </c>
      <c r="PJ14" s="87" t="str">
        <f>IFERROR(IF(OR($B14="",PJ$3=""),"",_xll.ciqfunctions.udf.CIQ($B14, "IQ_NI", $O$3, PJ$3, $N$3, , $J$3, $K$3)*2/(_xll.ciqfunctions.udf.CIQ($B14, "IQ_TOTAL_ASSETS", PJ$3, $I$3, $N$3, , $J$3, $K$3)+_xll.ciqfunctions.udf.CIQ($B14, "IQ_TOTAL_ASSETS", "IQ_" &amp; LEFT(PJ$3,2) &amp; "-1", PJ$3, $N$3, , $J$3, $K$3)-_xll.ciqfunctions.udf.CIQ($B14, "IQ_TOTAL_CL", PJ$3, $I$3, $N$3, , $J$3, $K$3)-_xll.ciqfunctions.udf.CIQ($B14, "IQ_TOTAL_CL", "IQ_" &amp; LEFT(PJ$3,2) &amp; "-1", PJ$3, $N$3, , $J$3, $K$3))),"")</f>
        <v/>
      </c>
      <c r="PK14" s="87" t="str">
        <f>IFERROR(IF(OR($B14="",PK$3=""),"",_xll.ciqfunctions.udf.CIQ($B14, "IQ_NI", $O$3, PK$3, $N$3, , $J$3, $K$3)*2/(_xll.ciqfunctions.udf.CIQ($B14, "IQ_TOTAL_ASSETS", PK$3, $I$3, $N$3, , $J$3, $K$3)+_xll.ciqfunctions.udf.CIQ($B14, "IQ_TOTAL_ASSETS", "IQ_" &amp; LEFT(PK$3,2) &amp; "-1", PK$3, $N$3, , $J$3, $K$3)-_xll.ciqfunctions.udf.CIQ($B14, "IQ_TOTAL_CL", PK$3, $I$3, $N$3, , $J$3, $K$3)-_xll.ciqfunctions.udf.CIQ($B14, "IQ_TOTAL_CL", "IQ_" &amp; LEFT(PK$3,2) &amp; "-1", PK$3, $N$3, , $J$3, $K$3))),"")</f>
        <v/>
      </c>
      <c r="PL14" s="87" t="str">
        <f>IFERROR(IF(OR($B14="",PL$3=""),"",_xll.ciqfunctions.udf.CIQ($B14, "IQ_NI", $O$3, PL$3, $N$3, , $J$3, $K$3)*2/(_xll.ciqfunctions.udf.CIQ($B14, "IQ_TOTAL_ASSETS", PL$3, $I$3, $N$3, , $J$3, $K$3)+_xll.ciqfunctions.udf.CIQ($B14, "IQ_TOTAL_ASSETS", "IQ_" &amp; LEFT(PL$3,2) &amp; "-1", PL$3, $N$3, , $J$3, $K$3)-_xll.ciqfunctions.udf.CIQ($B14, "IQ_TOTAL_CL", PL$3, $I$3, $N$3, , $J$3, $K$3)-_xll.ciqfunctions.udf.CIQ($B14, "IQ_TOTAL_CL", "IQ_" &amp; LEFT(PL$3,2) &amp; "-1", PL$3, $N$3, , $J$3, $K$3))),"")</f>
        <v/>
      </c>
      <c r="PM14" s="87" t="str">
        <f>IFERROR(IF(OR($B14="",PM$3=""),"",_xll.ciqfunctions.udf.CIQ($B14, "IQ_NI", $O$3, PM$3, $N$3, , $J$3, $K$3)*2/(_xll.ciqfunctions.udf.CIQ($B14, "IQ_TOTAL_ASSETS", PM$3, $I$3, $N$3, , $J$3, $K$3)+_xll.ciqfunctions.udf.CIQ($B14, "IQ_TOTAL_ASSETS", "IQ_" &amp; LEFT(PM$3,2) &amp; "-1", PM$3, $N$3, , $J$3, $K$3)-_xll.ciqfunctions.udf.CIQ($B14, "IQ_TOTAL_CL", PM$3, $I$3, $N$3, , $J$3, $K$3)-_xll.ciqfunctions.udf.CIQ($B14, "IQ_TOTAL_CL", "IQ_" &amp; LEFT(PM$3,2) &amp; "-1", PM$3, $N$3, , $J$3, $K$3))),"")</f>
        <v/>
      </c>
      <c r="PN14" s="87" t="str">
        <f>IFERROR(IF(OR($B14="",PN$3=""),"",_xll.ciqfunctions.udf.CIQ($B14, "IQ_NI", $O$3, PN$3, $N$3, , $J$3, $K$3)*2/(_xll.ciqfunctions.udf.CIQ($B14, "IQ_TOTAL_ASSETS", PN$3, $I$3, $N$3, , $J$3, $K$3)+_xll.ciqfunctions.udf.CIQ($B14, "IQ_TOTAL_ASSETS", "IQ_" &amp; LEFT(PN$3,2) &amp; "-1", PN$3, $N$3, , $J$3, $K$3)-_xll.ciqfunctions.udf.CIQ($B14, "IQ_TOTAL_CL", PN$3, $I$3, $N$3, , $J$3, $K$3)-_xll.ciqfunctions.udf.CIQ($B14, "IQ_TOTAL_CL", "IQ_" &amp; LEFT(PN$3,2) &amp; "-1", PN$3, $N$3, , $J$3, $K$3))),"")</f>
        <v/>
      </c>
      <c r="PO14" s="87" t="str">
        <f>IFERROR(IF(OR($B14="",PO$3=""),"",_xll.ciqfunctions.udf.CIQ($B14, "IQ_NI", $O$3, PO$3, $N$3, , $J$3, $K$3)*2/(_xll.ciqfunctions.udf.CIQ($B14, "IQ_TOTAL_ASSETS", PO$3, $I$3, $N$3, , $J$3, $K$3)+_xll.ciqfunctions.udf.CIQ($B14, "IQ_TOTAL_ASSETS", "IQ_" &amp; LEFT(PO$3,2) &amp; "-1", PO$3, $N$3, , $J$3, $K$3)-_xll.ciqfunctions.udf.CIQ($B14, "IQ_TOTAL_CL", PO$3, $I$3, $N$3, , $J$3, $K$3)-_xll.ciqfunctions.udf.CIQ($B14, "IQ_TOTAL_CL", "IQ_" &amp; LEFT(PO$3,2) &amp; "-1", PO$3, $N$3, , $J$3, $K$3))),"")</f>
        <v/>
      </c>
      <c r="PP14" s="88" t="str">
        <f>IFERROR(IF(OR($B14="",PP$3=""),"",_xll.ciqfunctions.udf.CIQ($B14, "IQ_NI", $O$3, PP$3, $N$3, , $J$3, $K$3)*2/(_xll.ciqfunctions.udf.CIQ($B14, "IQ_TOTAL_ASSETS", PP$3, $I$3, $N$3, , $J$3, $K$3)+_xll.ciqfunctions.udf.CIQ($B14, "IQ_TOTAL_ASSETS", "IQ_" &amp; LEFT(PP$3,2) &amp; "-1", PP$3, $N$3, , $J$3, $K$3)-_xll.ciqfunctions.udf.CIQ($B14, "IQ_TOTAL_CL", PP$3, $I$3, $N$3, , $J$3, $K$3)-_xll.ciqfunctions.udf.CIQ($B14, "IQ_TOTAL_CL", "IQ_" &amp; LEFT(PP$3,2) &amp; "-1", PP$3, $N$3, , $J$3, $K$3))),"")</f>
        <v/>
      </c>
      <c r="PQ14" s="89" t="str">
        <f>IFERROR(IF(OR($B14="",PQ$3=""),"",_xll.ciqfunctions.udf.CIQ($B14,"IQ_TOTAL_ASSETS",PQ$3, $I$3, $N$3, , $J$3, $K$3)/_xll.ciqfunctions.udf.CIQ($B14,"IQ_TOTAL_COMMON_EQUITY",PQ$3, $I$3, $N$3, , $J$3, $K$3)),"")</f>
        <v/>
      </c>
      <c r="PR14" s="90" t="str">
        <f>IFERROR(IF(OR($B14="",PR$3=""),"",_xll.ciqfunctions.udf.CIQ($B14,"IQ_TOTAL_ASSETS",PR$3, $I$3, $N$3, , $J$3, $K$3)/_xll.ciqfunctions.udf.CIQ($B14,"IQ_TOTAL_COMMON_EQUITY",PR$3, $I$3, $N$3, , $J$3, $K$3)),"")</f>
        <v/>
      </c>
      <c r="PS14" s="90" t="str">
        <f>IFERROR(IF(OR($B14="",PS$3=""),"",_xll.ciqfunctions.udf.CIQ($B14,"IQ_TOTAL_ASSETS",PS$3, $I$3, $N$3, , $J$3, $K$3)/_xll.ciqfunctions.udf.CIQ($B14,"IQ_TOTAL_COMMON_EQUITY",PS$3, $I$3, $N$3, , $J$3, $K$3)),"")</f>
        <v/>
      </c>
      <c r="PT14" s="90" t="str">
        <f>IFERROR(IF(OR($B14="",PT$3=""),"",_xll.ciqfunctions.udf.CIQ($B14,"IQ_TOTAL_ASSETS",PT$3, $I$3, $N$3, , $J$3, $K$3)/_xll.ciqfunctions.udf.CIQ($B14,"IQ_TOTAL_COMMON_EQUITY",PT$3, $I$3, $N$3, , $J$3, $K$3)),"")</f>
        <v/>
      </c>
      <c r="PU14" s="90" t="str">
        <f>IFERROR(IF(OR($B14="",PU$3=""),"",_xll.ciqfunctions.udf.CIQ($B14,"IQ_TOTAL_ASSETS",PU$3, $I$3, $N$3, , $J$3, $K$3)/_xll.ciqfunctions.udf.CIQ($B14,"IQ_TOTAL_COMMON_EQUITY",PU$3, $I$3, $N$3, , $J$3, $K$3)),"")</f>
        <v/>
      </c>
      <c r="PV14" s="90" t="str">
        <f>IFERROR(IF(OR($B14="",PV$3=""),"",_xll.ciqfunctions.udf.CIQ($B14,"IQ_TOTAL_ASSETS",PV$3, $I$3, $N$3, , $J$3, $K$3)/_xll.ciqfunctions.udf.CIQ($B14,"IQ_TOTAL_COMMON_EQUITY",PV$3, $I$3, $N$3, , $J$3, $K$3)),"")</f>
        <v/>
      </c>
      <c r="PW14" s="90" t="str">
        <f>IFERROR(IF(OR($B14="",PW$3=""),"",_xll.ciqfunctions.udf.CIQ($B14,"IQ_TOTAL_ASSETS",PW$3, $I$3, $N$3, , $J$3, $K$3)/_xll.ciqfunctions.udf.CIQ($B14,"IQ_TOTAL_COMMON_EQUITY",PW$3, $I$3, $N$3, , $J$3, $K$3)),"")</f>
        <v/>
      </c>
      <c r="PX14" s="90" t="str">
        <f>IFERROR(IF(OR($B14="",PX$3=""),"",_xll.ciqfunctions.udf.CIQ($B14,"IQ_TOTAL_ASSETS",PX$3, $I$3, $N$3, , $J$3, $K$3)/_xll.ciqfunctions.udf.CIQ($B14,"IQ_TOTAL_COMMON_EQUITY",PX$3, $I$3, $N$3, , $J$3, $K$3)),"")</f>
        <v/>
      </c>
      <c r="PY14" s="90" t="str">
        <f>IFERROR(IF(OR($B14="",PY$3=""),"",_xll.ciqfunctions.udf.CIQ($B14,"IQ_TOTAL_ASSETS",PY$3, $I$3, $N$3, , $J$3, $K$3)/_xll.ciqfunctions.udf.CIQ($B14,"IQ_TOTAL_COMMON_EQUITY",PY$3, $I$3, $N$3, , $J$3, $K$3)),"")</f>
        <v/>
      </c>
      <c r="PZ14" s="90" t="str">
        <f>IFERROR(IF(OR($B14="",PZ$3=""),"",_xll.ciqfunctions.udf.CIQ($B14,"IQ_TOTAL_ASSETS",PZ$3, $I$3, $N$3, , $J$3, $K$3)/_xll.ciqfunctions.udf.CIQ($B14,"IQ_TOTAL_COMMON_EQUITY",PZ$3, $I$3, $N$3, , $J$3, $K$3)),"")</f>
        <v/>
      </c>
      <c r="QA14" s="90" t="str">
        <f>IFERROR(IF(OR($B14="",QA$3=""),"",_xll.ciqfunctions.udf.CIQ($B14,"IQ_TOTAL_ASSETS",QA$3, $I$3, $N$3, , $J$3, $K$3)/_xll.ciqfunctions.udf.CIQ($B14,"IQ_TOTAL_COMMON_EQUITY",QA$3, $I$3, $N$3, , $J$3, $K$3)),"")</f>
        <v/>
      </c>
      <c r="QB14" s="90" t="str">
        <f>IFERROR(IF(OR($B14="",QB$3=""),"",_xll.ciqfunctions.udf.CIQ($B14,"IQ_TOTAL_ASSETS",QB$3, $I$3, $N$3, , $J$3, $K$3)/_xll.ciqfunctions.udf.CIQ($B14,"IQ_TOTAL_COMMON_EQUITY",QB$3, $I$3, $N$3, , $J$3, $K$3)),"")</f>
        <v/>
      </c>
      <c r="QC14" s="90" t="str">
        <f>IFERROR(IF(OR($B14="",QC$3=""),"",_xll.ciqfunctions.udf.CIQ($B14,"IQ_TOTAL_ASSETS",QC$3, $I$3, $N$3, , $J$3, $K$3)/_xll.ciqfunctions.udf.CIQ($B14,"IQ_TOTAL_COMMON_EQUITY",QC$3, $I$3, $N$3, , $J$3, $K$3)),"")</f>
        <v/>
      </c>
      <c r="QD14" s="90" t="str">
        <f>IFERROR(IF(OR($B14="",QD$3=""),"",_xll.ciqfunctions.udf.CIQ($B14,"IQ_TOTAL_ASSETS",QD$3, $I$3, $N$3, , $J$3, $K$3)/_xll.ciqfunctions.udf.CIQ($B14,"IQ_TOTAL_COMMON_EQUITY",QD$3, $I$3, $N$3, , $J$3, $K$3)),"")</f>
        <v/>
      </c>
      <c r="QE14" s="90" t="str">
        <f>IFERROR(IF(OR($B14="",QE$3=""),"",_xll.ciqfunctions.udf.CIQ($B14,"IQ_TOTAL_ASSETS",QE$3, $I$3, $N$3, , $J$3, $K$3)/_xll.ciqfunctions.udf.CIQ($B14,"IQ_TOTAL_COMMON_EQUITY",QE$3, $I$3, $N$3, , $J$3, $K$3)),"")</f>
        <v/>
      </c>
      <c r="QF14" s="90" t="str">
        <f>IFERROR(IF(OR($B14="",QF$3=""),"",_xll.ciqfunctions.udf.CIQ($B14,"IQ_TOTAL_ASSETS",QF$3, $I$3, $N$3, , $J$3, $K$3)/_xll.ciqfunctions.udf.CIQ($B14,"IQ_TOTAL_COMMON_EQUITY",QF$3, $I$3, $N$3, , $J$3, $K$3)),"")</f>
        <v/>
      </c>
      <c r="QG14" s="90" t="str">
        <f>IFERROR(IF(OR($B14="",QG$3=""),"",_xll.ciqfunctions.udf.CIQ($B14,"IQ_TOTAL_ASSETS",QG$3, $I$3, $N$3, , $J$3, $K$3)/_xll.ciqfunctions.udf.CIQ($B14,"IQ_TOTAL_COMMON_EQUITY",QG$3, $I$3, $N$3, , $J$3, $K$3)),"")</f>
        <v/>
      </c>
      <c r="QH14" s="90" t="str">
        <f>IFERROR(IF(OR($B14="",QH$3=""),"",_xll.ciqfunctions.udf.CIQ($B14,"IQ_TOTAL_ASSETS",QH$3, $I$3, $N$3, , $J$3, $K$3)/_xll.ciqfunctions.udf.CIQ($B14,"IQ_TOTAL_COMMON_EQUITY",QH$3, $I$3, $N$3, , $J$3, $K$3)),"")</f>
        <v/>
      </c>
      <c r="QI14" s="90" t="str">
        <f>IFERROR(IF(OR($B14="",QI$3=""),"",_xll.ciqfunctions.udf.CIQ($B14,"IQ_TOTAL_ASSETS",QI$3, $I$3, $N$3, , $J$3, $K$3)/_xll.ciqfunctions.udf.CIQ($B14,"IQ_TOTAL_COMMON_EQUITY",QI$3, $I$3, $N$3, , $J$3, $K$3)),"")</f>
        <v/>
      </c>
      <c r="QJ14" s="91" t="str">
        <f>IFERROR(IF(OR($B14="",QJ$3=""),"",_xll.ciqfunctions.udf.CIQ($B14,"IQ_TOTAL_ASSETS",QJ$3, $I$3, $N$3, , $J$3, $K$3)/_xll.ciqfunctions.udf.CIQ($B14,"IQ_TOTAL_COMMON_EQUITY",QJ$3, $I$3, $N$3, , $J$3, $K$3)),"")</f>
        <v/>
      </c>
      <c r="QK14" s="86" t="str">
        <f>IFERROR(IF(QK$3="","",_xll.ciqfunctions.udf.CIQ($B14, "IQ_NI", $O$3, QK$3, $N$3, , $J$3, $K$3)/_xll.ciqfunctions.udf.CIQ($B14, "IQ_TOTAL_REV", $O$3, QK$3, $N$3, , $J$3, $K$3)),"")</f>
        <v/>
      </c>
      <c r="QL14" s="87" t="str">
        <f>IFERROR(IF(QL$3="","",_xll.ciqfunctions.udf.CIQ($B14, "IQ_NI", $O$3, QL$3, $N$3, , $J$3, $K$3)/_xll.ciqfunctions.udf.CIQ($B14, "IQ_TOTAL_REV", $O$3, QL$3, $N$3, , $J$3, $K$3)),"")</f>
        <v/>
      </c>
      <c r="QM14" s="87" t="str">
        <f>IFERROR(IF(QM$3="","",_xll.ciqfunctions.udf.CIQ($B14, "IQ_NI", $O$3, QM$3, $N$3, , $J$3, $K$3)/_xll.ciqfunctions.udf.CIQ($B14, "IQ_TOTAL_REV", $O$3, QM$3, $N$3, , $J$3, $K$3)),"")</f>
        <v/>
      </c>
      <c r="QN14" s="87" t="str">
        <f>IFERROR(IF(QN$3="","",_xll.ciqfunctions.udf.CIQ($B14, "IQ_NI", $O$3, QN$3, $N$3, , $J$3, $K$3)/_xll.ciqfunctions.udf.CIQ($B14, "IQ_TOTAL_REV", $O$3, QN$3, $N$3, , $J$3, $K$3)),"")</f>
        <v/>
      </c>
      <c r="QO14" s="87" t="str">
        <f>IFERROR(IF(QO$3="","",_xll.ciqfunctions.udf.CIQ($B14, "IQ_NI", $O$3, QO$3, $N$3, , $J$3, $K$3)/_xll.ciqfunctions.udf.CIQ($B14, "IQ_TOTAL_REV", $O$3, QO$3, $N$3, , $J$3, $K$3)),"")</f>
        <v/>
      </c>
      <c r="QP14" s="87" t="str">
        <f>IFERROR(IF(QP$3="","",_xll.ciqfunctions.udf.CIQ($B14, "IQ_NI", $O$3, QP$3, $N$3, , $J$3, $K$3)/_xll.ciqfunctions.udf.CIQ($B14, "IQ_TOTAL_REV", $O$3, QP$3, $N$3, , $J$3, $K$3)),"")</f>
        <v/>
      </c>
      <c r="QQ14" s="87" t="str">
        <f>IFERROR(IF(QQ$3="","",_xll.ciqfunctions.udf.CIQ($B14, "IQ_NI", $O$3, QQ$3, $N$3, , $J$3, $K$3)/_xll.ciqfunctions.udf.CIQ($B14, "IQ_TOTAL_REV", $O$3, QQ$3, $N$3, , $J$3, $K$3)),"")</f>
        <v/>
      </c>
      <c r="QR14" s="87" t="str">
        <f>IFERROR(IF(QR$3="","",_xll.ciqfunctions.udf.CIQ($B14, "IQ_NI", $O$3, QR$3, $N$3, , $J$3, $K$3)/_xll.ciqfunctions.udf.CIQ($B14, "IQ_TOTAL_REV", $O$3, QR$3, $N$3, , $J$3, $K$3)),"")</f>
        <v/>
      </c>
      <c r="QS14" s="87" t="str">
        <f>IFERROR(IF(QS$3="","",_xll.ciqfunctions.udf.CIQ($B14, "IQ_NI", $O$3, QS$3, $N$3, , $J$3, $K$3)/_xll.ciqfunctions.udf.CIQ($B14, "IQ_TOTAL_REV", $O$3, QS$3, $N$3, , $J$3, $K$3)),"")</f>
        <v/>
      </c>
      <c r="QT14" s="87" t="str">
        <f>IFERROR(IF(QT$3="","",_xll.ciqfunctions.udf.CIQ($B14, "IQ_NI", $O$3, QT$3, $N$3, , $J$3, $K$3)/_xll.ciqfunctions.udf.CIQ($B14, "IQ_TOTAL_REV", $O$3, QT$3, $N$3, , $J$3, $K$3)),"")</f>
        <v/>
      </c>
      <c r="QU14" s="87" t="str">
        <f>IFERROR(IF(QU$3="","",_xll.ciqfunctions.udf.CIQ($B14, "IQ_NI", $O$3, QU$3, $N$3, , $J$3, $K$3)/_xll.ciqfunctions.udf.CIQ($B14, "IQ_TOTAL_REV", $O$3, QU$3, $N$3, , $J$3, $K$3)),"")</f>
        <v/>
      </c>
      <c r="QV14" s="87" t="str">
        <f>IFERROR(IF(QV$3="","",_xll.ciqfunctions.udf.CIQ($B14, "IQ_NI", $O$3, QV$3, $N$3, , $J$3, $K$3)/_xll.ciqfunctions.udf.CIQ($B14, "IQ_TOTAL_REV", $O$3, QV$3, $N$3, , $J$3, $K$3)),"")</f>
        <v/>
      </c>
      <c r="QW14" s="87" t="str">
        <f>IFERROR(IF(QW$3="","",_xll.ciqfunctions.udf.CIQ($B14, "IQ_NI", $O$3, QW$3, $N$3, , $J$3, $K$3)/_xll.ciqfunctions.udf.CIQ($B14, "IQ_TOTAL_REV", $O$3, QW$3, $N$3, , $J$3, $K$3)),"")</f>
        <v/>
      </c>
      <c r="QX14" s="87" t="str">
        <f>IFERROR(IF(QX$3="","",_xll.ciqfunctions.udf.CIQ($B14, "IQ_NI", $O$3, QX$3, $N$3, , $J$3, $K$3)/_xll.ciqfunctions.udf.CIQ($B14, "IQ_TOTAL_REV", $O$3, QX$3, $N$3, , $J$3, $K$3)),"")</f>
        <v/>
      </c>
      <c r="QY14" s="87" t="str">
        <f>IFERROR(IF(QY$3="","",_xll.ciqfunctions.udf.CIQ($B14, "IQ_NI", $O$3, QY$3, $N$3, , $J$3, $K$3)/_xll.ciqfunctions.udf.CIQ($B14, "IQ_TOTAL_REV", $O$3, QY$3, $N$3, , $J$3, $K$3)),"")</f>
        <v/>
      </c>
      <c r="QZ14" s="87" t="str">
        <f>IFERROR(IF(QZ$3="","",_xll.ciqfunctions.udf.CIQ($B14, "IQ_NI", $O$3, QZ$3, $N$3, , $J$3, $K$3)/_xll.ciqfunctions.udf.CIQ($B14, "IQ_TOTAL_REV", $O$3, QZ$3, $N$3, , $J$3, $K$3)),"")</f>
        <v/>
      </c>
      <c r="RA14" s="87" t="str">
        <f>IFERROR(IF(RA$3="","",_xll.ciqfunctions.udf.CIQ($B14, "IQ_NI", $O$3, RA$3, $N$3, , $J$3, $K$3)/_xll.ciqfunctions.udf.CIQ($B14, "IQ_TOTAL_REV", $O$3, RA$3, $N$3, , $J$3, $K$3)),"")</f>
        <v/>
      </c>
      <c r="RB14" s="87" t="str">
        <f>IFERROR(IF(RB$3="","",_xll.ciqfunctions.udf.CIQ($B14, "IQ_NI", $O$3, RB$3, $N$3, , $J$3, $K$3)/_xll.ciqfunctions.udf.CIQ($B14, "IQ_TOTAL_REV", $O$3, RB$3, $N$3, , $J$3, $K$3)),"")</f>
        <v/>
      </c>
      <c r="RC14" s="87" t="str">
        <f>IFERROR(IF(RC$3="","",_xll.ciqfunctions.udf.CIQ($B14, "IQ_NI", $O$3, RC$3, $N$3, , $J$3, $K$3)/_xll.ciqfunctions.udf.CIQ($B14, "IQ_TOTAL_REV", $O$3, RC$3, $N$3, , $J$3, $K$3)),"")</f>
        <v/>
      </c>
      <c r="RD14" s="88" t="str">
        <f>IFERROR(IF(RD$3="","",_xll.ciqfunctions.udf.CIQ($B14, "IQ_NI", $O$3, RD$3, $N$3, , $J$3, $K$3)/_xll.ciqfunctions.udf.CIQ($B14, "IQ_TOTAL_REV", $O$3, RD$3, $N$3, , $J$3, $K$3)),"")</f>
        <v/>
      </c>
      <c r="RE14" s="86" t="str">
        <f>IFERROR(IF(OR($B14="",OC$3=""),"",_xll.ciqfunctions.udf.CIQ($B14,"IQ_NI",$O$3, RE$3, $N$3, , $J$3, $K$3)*2/(_xll.ciqfunctions.udf.CIQ($B14,"IQ_TOTAL_EQUITY", RE$3,$I$3, $N$3, , $J$3, $K$3)+_xll.ciqfunctions.udf.CIQ($B14,"IQ_TOTAL_EQUITY", "IQ_" &amp; LEFT(RE$3,2) &amp; "-1", RE$3, $N$3, , $J$3, $K$3))),"")</f>
        <v/>
      </c>
      <c r="RF14" s="86" t="str">
        <f>IFERROR(IF(OR($B14="",OD$3=""),"",_xll.ciqfunctions.udf.CIQ($B14,"IQ_NI",$O$3, RF$3, $N$3, , $J$3, $K$3)*2/(_xll.ciqfunctions.udf.CIQ($B14,"IQ_TOTAL_EQUITY", RF$3,$I$3, $N$3, , $J$3, $K$3)+_xll.ciqfunctions.udf.CIQ($B14,"IQ_TOTAL_EQUITY", "IQ_" &amp; LEFT(RF$3,2) &amp; "-1", RF$3, $N$3, , $J$3, $K$3))),"")</f>
        <v/>
      </c>
      <c r="RG14" s="86" t="str">
        <f>IFERROR(IF(OR($B14="",OE$3=""),"",_xll.ciqfunctions.udf.CIQ($B14,"IQ_NI",$O$3, RG$3, $N$3, , $J$3, $K$3)*2/(_xll.ciqfunctions.udf.CIQ($B14,"IQ_TOTAL_EQUITY", RG$3,$I$3, $N$3, , $J$3, $K$3)+_xll.ciqfunctions.udf.CIQ($B14,"IQ_TOTAL_EQUITY", "IQ_" &amp; LEFT(RG$3,2) &amp; "-1", RG$3, $N$3, , $J$3, $K$3))),"")</f>
        <v/>
      </c>
      <c r="RH14" s="86" t="str">
        <f>IFERROR(IF(OR($B14="",OF$3=""),"",_xll.ciqfunctions.udf.CIQ($B14,"IQ_NI",$O$3, RH$3, $N$3, , $J$3, $K$3)*2/(_xll.ciqfunctions.udf.CIQ($B14,"IQ_TOTAL_EQUITY", RH$3,$I$3, $N$3, , $J$3, $K$3)+_xll.ciqfunctions.udf.CIQ($B14,"IQ_TOTAL_EQUITY", "IQ_" &amp; LEFT(RH$3,2) &amp; "-1", RH$3, $N$3, , $J$3, $K$3))),"")</f>
        <v/>
      </c>
      <c r="RI14" s="86" t="str">
        <f>IFERROR(IF(OR($B14="",OG$3=""),"",_xll.ciqfunctions.udf.CIQ($B14,"IQ_NI",$O$3, RI$3, $N$3, , $J$3, $K$3)*2/(_xll.ciqfunctions.udf.CIQ($B14,"IQ_TOTAL_EQUITY", RI$3,$I$3, $N$3, , $J$3, $K$3)+_xll.ciqfunctions.udf.CIQ($B14,"IQ_TOTAL_EQUITY", "IQ_" &amp; LEFT(RI$3,2) &amp; "-1", RI$3, $N$3, , $J$3, $K$3))),"")</f>
        <v/>
      </c>
      <c r="RJ14" s="86" t="str">
        <f>IFERROR(IF(OR($B14="",OH$3=""),"",_xll.ciqfunctions.udf.CIQ($B14,"IQ_NI",$O$3, RJ$3, $N$3, , $J$3, $K$3)*2/(_xll.ciqfunctions.udf.CIQ($B14,"IQ_TOTAL_EQUITY", RJ$3,$I$3, $N$3, , $J$3, $K$3)+_xll.ciqfunctions.udf.CIQ($B14,"IQ_TOTAL_EQUITY", "IQ_" &amp; LEFT(RJ$3,2) &amp; "-1", RJ$3, $N$3, , $J$3, $K$3))),"")</f>
        <v/>
      </c>
      <c r="RK14" s="86" t="str">
        <f>IFERROR(IF(OR($B14="",OI$3=""),"",_xll.ciqfunctions.udf.CIQ($B14,"IQ_NI",$O$3, RK$3, $N$3, , $J$3, $K$3)*2/(_xll.ciqfunctions.udf.CIQ($B14,"IQ_TOTAL_EQUITY", RK$3,$I$3, $N$3, , $J$3, $K$3)+_xll.ciqfunctions.udf.CIQ($B14,"IQ_TOTAL_EQUITY", "IQ_" &amp; LEFT(RK$3,2) &amp; "-1", RK$3, $N$3, , $J$3, $K$3))),"")</f>
        <v/>
      </c>
      <c r="RL14" s="86" t="str">
        <f>IFERROR(IF(OR($B14="",OJ$3=""),"",_xll.ciqfunctions.udf.CIQ($B14,"IQ_NI",$O$3, RL$3, $N$3, , $J$3, $K$3)*2/(_xll.ciqfunctions.udf.CIQ($B14,"IQ_TOTAL_EQUITY", RL$3,$I$3, $N$3, , $J$3, $K$3)+_xll.ciqfunctions.udf.CIQ($B14,"IQ_TOTAL_EQUITY", "IQ_" &amp; LEFT(RL$3,2) &amp; "-1", RL$3, $N$3, , $J$3, $K$3))),"")</f>
        <v/>
      </c>
      <c r="RM14" s="86" t="str">
        <f>IFERROR(IF(OR($B14="",OK$3=""),"",_xll.ciqfunctions.udf.CIQ($B14,"IQ_NI",$O$3, RM$3, $N$3, , $J$3, $K$3)*2/(_xll.ciqfunctions.udf.CIQ($B14,"IQ_TOTAL_EQUITY", RM$3,$I$3, $N$3, , $J$3, $K$3)+_xll.ciqfunctions.udf.CIQ($B14,"IQ_TOTAL_EQUITY", "IQ_" &amp; LEFT(RM$3,2) &amp; "-1", RM$3, $N$3, , $J$3, $K$3))),"")</f>
        <v/>
      </c>
      <c r="RN14" s="86" t="str">
        <f>IFERROR(IF(OR($B14="",OL$3=""),"",_xll.ciqfunctions.udf.CIQ($B14,"IQ_NI",$O$3, RN$3, $N$3, , $J$3, $K$3)*2/(_xll.ciqfunctions.udf.CIQ($B14,"IQ_TOTAL_EQUITY", RN$3,$I$3, $N$3, , $J$3, $K$3)+_xll.ciqfunctions.udf.CIQ($B14,"IQ_TOTAL_EQUITY", "IQ_" &amp; LEFT(RN$3,2) &amp; "-1", RN$3, $N$3, , $J$3, $K$3))),"")</f>
        <v/>
      </c>
      <c r="RO14" s="86" t="str">
        <f>IFERROR(IF(OR($B14="",OM$3=""),"",_xll.ciqfunctions.udf.CIQ($B14,"IQ_NI",$O$3, RO$3, $N$3, , $J$3, $K$3)*2/(_xll.ciqfunctions.udf.CIQ($B14,"IQ_TOTAL_EQUITY", RO$3,$I$3, $N$3, , $J$3, $K$3)+_xll.ciqfunctions.udf.CIQ($B14,"IQ_TOTAL_EQUITY", "IQ_" &amp; LEFT(RO$3,2) &amp; "-1", RO$3, $N$3, , $J$3, $K$3))),"")</f>
        <v/>
      </c>
      <c r="RP14" s="86" t="str">
        <f>IFERROR(IF(OR($B14="",ON$3=""),"",_xll.ciqfunctions.udf.CIQ($B14,"IQ_NI",$O$3, RP$3, $N$3, , $J$3, $K$3)*2/(_xll.ciqfunctions.udf.CIQ($B14,"IQ_TOTAL_EQUITY", RP$3,$I$3, $N$3, , $J$3, $K$3)+_xll.ciqfunctions.udf.CIQ($B14,"IQ_TOTAL_EQUITY", "IQ_" &amp; LEFT(RP$3,2) &amp; "-1", RP$3, $N$3, , $J$3, $K$3))),"")</f>
        <v/>
      </c>
      <c r="RQ14" s="86" t="str">
        <f>IFERROR(IF(OR($B14="",OO$3=""),"",_xll.ciqfunctions.udf.CIQ($B14,"IQ_NI",$O$3, RQ$3, $N$3, , $J$3, $K$3)*2/(_xll.ciqfunctions.udf.CIQ($B14,"IQ_TOTAL_EQUITY", RQ$3,$I$3, $N$3, , $J$3, $K$3)+_xll.ciqfunctions.udf.CIQ($B14,"IQ_TOTAL_EQUITY", "IQ_" &amp; LEFT(RQ$3,2) &amp; "-1", RQ$3, $N$3, , $J$3, $K$3))),"")</f>
        <v/>
      </c>
      <c r="RR14" s="86" t="str">
        <f>IFERROR(IF(OR($B14="",OP$3=""),"",_xll.ciqfunctions.udf.CIQ($B14,"IQ_NI",$O$3, RR$3, $N$3, , $J$3, $K$3)*2/(_xll.ciqfunctions.udf.CIQ($B14,"IQ_TOTAL_EQUITY", RR$3,$I$3, $N$3, , $J$3, $K$3)+_xll.ciqfunctions.udf.CIQ($B14,"IQ_TOTAL_EQUITY", "IQ_" &amp; LEFT(RR$3,2) &amp; "-1", RR$3, $N$3, , $J$3, $K$3))),"")</f>
        <v/>
      </c>
      <c r="RS14" s="86" t="str">
        <f>IFERROR(IF(OR($B14="",OQ$3=""),"",_xll.ciqfunctions.udf.CIQ($B14,"IQ_NI",$O$3, RS$3, $N$3, , $J$3, $K$3)*2/(_xll.ciqfunctions.udf.CIQ($B14,"IQ_TOTAL_EQUITY", RS$3,$I$3, $N$3, , $J$3, $K$3)+_xll.ciqfunctions.udf.CIQ($B14,"IQ_TOTAL_EQUITY", "IQ_" &amp; LEFT(RS$3,2) &amp; "-1", RS$3, $N$3, , $J$3, $K$3))),"")</f>
        <v/>
      </c>
      <c r="RT14" s="86" t="str">
        <f>IFERROR(IF(OR($B14="",OR$3=""),"",_xll.ciqfunctions.udf.CIQ($B14,"IQ_NI",$O$3, RT$3, $N$3, , $J$3, $K$3)*2/(_xll.ciqfunctions.udf.CIQ($B14,"IQ_TOTAL_EQUITY", RT$3,$I$3, $N$3, , $J$3, $K$3)+_xll.ciqfunctions.udf.CIQ($B14,"IQ_TOTAL_EQUITY", "IQ_" &amp; LEFT(RT$3,2) &amp; "-1", RT$3, $N$3, , $J$3, $K$3))),"")</f>
        <v/>
      </c>
      <c r="RU14" s="86" t="str">
        <f>IFERROR(IF(OR($B14="",OS$3=""),"",_xll.ciqfunctions.udf.CIQ($B14,"IQ_NI",$O$3, RU$3, $N$3, , $J$3, $K$3)*2/(_xll.ciqfunctions.udf.CIQ($B14,"IQ_TOTAL_EQUITY", RU$3,$I$3, $N$3, , $J$3, $K$3)+_xll.ciqfunctions.udf.CIQ($B14,"IQ_TOTAL_EQUITY", "IQ_" &amp; LEFT(RU$3,2) &amp; "-1", RU$3, $N$3, , $J$3, $K$3))),"")</f>
        <v/>
      </c>
      <c r="RV14" s="86" t="str">
        <f>IFERROR(IF(OR($B14="",OT$3=""),"",_xll.ciqfunctions.udf.CIQ($B14,"IQ_NI",$O$3, RV$3, $N$3, , $J$3, $K$3)*2/(_xll.ciqfunctions.udf.CIQ($B14,"IQ_TOTAL_EQUITY", RV$3,$I$3, $N$3, , $J$3, $K$3)+_xll.ciqfunctions.udf.CIQ($B14,"IQ_TOTAL_EQUITY", "IQ_" &amp; LEFT(RV$3,2) &amp; "-1", RV$3, $N$3, , $J$3, $K$3))),"")</f>
        <v/>
      </c>
      <c r="RW14" s="86" t="str">
        <f>IFERROR(IF(OR($B14="",OU$3=""),"",_xll.ciqfunctions.udf.CIQ($B14,"IQ_NI",$O$3, RW$3, $N$3, , $J$3, $K$3)*2/(_xll.ciqfunctions.udf.CIQ($B14,"IQ_TOTAL_EQUITY", RW$3,$I$3, $N$3, , $J$3, $K$3)+_xll.ciqfunctions.udf.CIQ($B14,"IQ_TOTAL_EQUITY", "IQ_" &amp; LEFT(RW$3,2) &amp; "-1", RW$3, $N$3, , $J$3, $K$3))),"")</f>
        <v/>
      </c>
      <c r="RX14" s="86" t="str">
        <f>IFERROR(IF(OR($B14="",OV$3=""),"",_xll.ciqfunctions.udf.CIQ($B14,"IQ_NI",$O$3, RX$3, $N$3, , $J$3, $K$3)*2/(_xll.ciqfunctions.udf.CIQ($B14,"IQ_TOTAL_EQUITY", RX$3,$I$3, $N$3, , $J$3, $K$3)+_xll.ciqfunctions.udf.CIQ($B14,"IQ_TOTAL_EQUITY", "IQ_" &amp; LEFT(RX$3,2) &amp; "-1", RX$3, $N$3, , $J$3, $K$3))),"")</f>
        <v/>
      </c>
      <c r="RY14" s="86" t="str">
        <f>IFERROR(IF(OR($B14="",RY$3=""),"",_xll.ciqfunctions.udf.CIQ($B14,"IQ_CASH_OPER",$O$3, RY$3, $N$3, , $J$3, $K$3)*2/(_xll.ciqfunctions.udf.CIQ($B14,"IQ_TOTAL_CL",RY$3,$I$3, $N$3, , $J$3, $K$3)+_xll.ciqfunctions.udf.CIQ($B14,"IQ_TOTAL_CL","IQ_" &amp; LEFT(RY$3,2) &amp; "-1", RY$3, $N$3, , $J$3, $K$3))),"")</f>
        <v/>
      </c>
      <c r="RZ14" s="87" t="str">
        <f>IFERROR(IF(OR($B14="",RZ$3=""),"",_xll.ciqfunctions.udf.CIQ($B14,"IQ_CASH_OPER",$O$3, RZ$3, $N$3, , $J$3, $K$3)*2/(_xll.ciqfunctions.udf.CIQ($B14,"IQ_TOTAL_CL",RZ$3,$I$3, $N$3, , $J$3, $K$3)+_xll.ciqfunctions.udf.CIQ($B14,"IQ_TOTAL_CL","IQ_" &amp; LEFT(RZ$3,2) &amp; "-1", RZ$3, $N$3, , $J$3, $K$3))),"")</f>
        <v/>
      </c>
      <c r="SA14" s="87" t="str">
        <f>IFERROR(IF(OR($B14="",SA$3=""),"",_xll.ciqfunctions.udf.CIQ($B14,"IQ_CASH_OPER",$O$3, SA$3, $N$3, , $J$3, $K$3)*2/(_xll.ciqfunctions.udf.CIQ($B14,"IQ_TOTAL_CL",SA$3,$I$3, $N$3, , $J$3, $K$3)+_xll.ciqfunctions.udf.CIQ($B14,"IQ_TOTAL_CL","IQ_" &amp; LEFT(SA$3,2) &amp; "-1", SA$3, $N$3, , $J$3, $K$3))),"")</f>
        <v/>
      </c>
      <c r="SB14" s="87" t="str">
        <f>IFERROR(IF(OR($B14="",SB$3=""),"",_xll.ciqfunctions.udf.CIQ($B14,"IQ_CASH_OPER",$O$3, SB$3, $N$3, , $J$3, $K$3)*2/(_xll.ciqfunctions.udf.CIQ($B14,"IQ_TOTAL_CL",SB$3,$I$3, $N$3, , $J$3, $K$3)+_xll.ciqfunctions.udf.CIQ($B14,"IQ_TOTAL_CL","IQ_" &amp; LEFT(SB$3,2) &amp; "-1", SB$3, $N$3, , $J$3, $K$3))),"")</f>
        <v/>
      </c>
      <c r="SC14" s="87" t="str">
        <f>IFERROR(IF(OR($B14="",SC$3=""),"",_xll.ciqfunctions.udf.CIQ($B14,"IQ_CASH_OPER",$O$3, SC$3, $N$3, , $J$3, $K$3)*2/(_xll.ciqfunctions.udf.CIQ($B14,"IQ_TOTAL_CL",SC$3,$I$3, $N$3, , $J$3, $K$3)+_xll.ciqfunctions.udf.CIQ($B14,"IQ_TOTAL_CL","IQ_" &amp; LEFT(SC$3,2) &amp; "-1", SC$3, $N$3, , $J$3, $K$3))),"")</f>
        <v/>
      </c>
      <c r="SD14" s="87" t="str">
        <f>IFERROR(IF(OR($B14="",SD$3=""),"",_xll.ciqfunctions.udf.CIQ($B14,"IQ_CASH_OPER",$O$3, SD$3, $N$3, , $J$3, $K$3)*2/(_xll.ciqfunctions.udf.CIQ($B14,"IQ_TOTAL_CL",SD$3,$I$3, $N$3, , $J$3, $K$3)+_xll.ciqfunctions.udf.CIQ($B14,"IQ_TOTAL_CL","IQ_" &amp; LEFT(SD$3,2) &amp; "-1", SD$3, $N$3, , $J$3, $K$3))),"")</f>
        <v/>
      </c>
      <c r="SE14" s="87" t="str">
        <f>IFERROR(IF(OR($B14="",SE$3=""),"",_xll.ciqfunctions.udf.CIQ($B14,"IQ_CASH_OPER",$O$3, SE$3, $N$3, , $J$3, $K$3)*2/(_xll.ciqfunctions.udf.CIQ($B14,"IQ_TOTAL_CL",SE$3,$I$3, $N$3, , $J$3, $K$3)+_xll.ciqfunctions.udf.CIQ($B14,"IQ_TOTAL_CL","IQ_" &amp; LEFT(SE$3,2) &amp; "-1", SE$3, $N$3, , $J$3, $K$3))),"")</f>
        <v/>
      </c>
      <c r="SF14" s="87" t="str">
        <f>IFERROR(IF(OR($B14="",SF$3=""),"",_xll.ciqfunctions.udf.CIQ($B14,"IQ_CASH_OPER",$O$3, SF$3, $N$3, , $J$3, $K$3)*2/(_xll.ciqfunctions.udf.CIQ($B14,"IQ_TOTAL_CL",SF$3,$I$3, $N$3, , $J$3, $K$3)+_xll.ciqfunctions.udf.CIQ($B14,"IQ_TOTAL_CL","IQ_" &amp; LEFT(SF$3,2) &amp; "-1", SF$3, $N$3, , $J$3, $K$3))),"")</f>
        <v/>
      </c>
      <c r="SG14" s="87" t="str">
        <f>IFERROR(IF(OR($B14="",SG$3=""),"",_xll.ciqfunctions.udf.CIQ($B14,"IQ_CASH_OPER",$O$3, SG$3, $N$3, , $J$3, $K$3)*2/(_xll.ciqfunctions.udf.CIQ($B14,"IQ_TOTAL_CL",SG$3,$I$3, $N$3, , $J$3, $K$3)+_xll.ciqfunctions.udf.CIQ($B14,"IQ_TOTAL_CL","IQ_" &amp; LEFT(SG$3,2) &amp; "-1", SG$3, $N$3, , $J$3, $K$3))),"")</f>
        <v/>
      </c>
      <c r="SH14" s="87" t="str">
        <f>IFERROR(IF(OR($B14="",SH$3=""),"",_xll.ciqfunctions.udf.CIQ($B14,"IQ_CASH_OPER",$O$3, SH$3, $N$3, , $J$3, $K$3)*2/(_xll.ciqfunctions.udf.CIQ($B14,"IQ_TOTAL_CL",SH$3,$I$3, $N$3, , $J$3, $K$3)+_xll.ciqfunctions.udf.CIQ($B14,"IQ_TOTAL_CL","IQ_" &amp; LEFT(SH$3,2) &amp; "-1", SH$3, $N$3, , $J$3, $K$3))),"")</f>
        <v/>
      </c>
      <c r="SI14" s="87" t="str">
        <f>IFERROR(IF(OR($B14="",SI$3=""),"",_xll.ciqfunctions.udf.CIQ($B14,"IQ_CASH_OPER",$O$3, SI$3, $N$3, , $J$3, $K$3)*2/(_xll.ciqfunctions.udf.CIQ($B14,"IQ_TOTAL_CL",SI$3,$I$3, $N$3, , $J$3, $K$3)+_xll.ciqfunctions.udf.CIQ($B14,"IQ_TOTAL_CL","IQ_" &amp; LEFT(SI$3,2) &amp; "-1", SI$3, $N$3, , $J$3, $K$3))),"")</f>
        <v/>
      </c>
      <c r="SJ14" s="87" t="str">
        <f>IFERROR(IF(OR($B14="",SJ$3=""),"",_xll.ciqfunctions.udf.CIQ($B14,"IQ_CASH_OPER",$O$3, SJ$3, $N$3, , $J$3, $K$3)*2/(_xll.ciqfunctions.udf.CIQ($B14,"IQ_TOTAL_CL",SJ$3,$I$3, $N$3, , $J$3, $K$3)+_xll.ciqfunctions.udf.CIQ($B14,"IQ_TOTAL_CL","IQ_" &amp; LEFT(SJ$3,2) &amp; "-1", SJ$3, $N$3, , $J$3, $K$3))),"")</f>
        <v/>
      </c>
      <c r="SK14" s="87" t="str">
        <f>IFERROR(IF(OR($B14="",SK$3=""),"",_xll.ciqfunctions.udf.CIQ($B14,"IQ_CASH_OPER",$O$3, SK$3, $N$3, , $J$3, $K$3)*2/(_xll.ciqfunctions.udf.CIQ($B14,"IQ_TOTAL_CL",SK$3,$I$3, $N$3, , $J$3, $K$3)+_xll.ciqfunctions.udf.CIQ($B14,"IQ_TOTAL_CL","IQ_" &amp; LEFT(SK$3,2) &amp; "-1", SK$3, $N$3, , $J$3, $K$3))),"")</f>
        <v/>
      </c>
      <c r="SL14" s="87" t="str">
        <f>IFERROR(IF(OR($B14="",SL$3=""),"",_xll.ciqfunctions.udf.CIQ($B14,"IQ_CASH_OPER",$O$3, SL$3, $N$3, , $J$3, $K$3)*2/(_xll.ciqfunctions.udf.CIQ($B14,"IQ_TOTAL_CL",SL$3,$I$3, $N$3, , $J$3, $K$3)+_xll.ciqfunctions.udf.CIQ($B14,"IQ_TOTAL_CL","IQ_" &amp; LEFT(SL$3,2) &amp; "-1", SL$3, $N$3, , $J$3, $K$3))),"")</f>
        <v/>
      </c>
      <c r="SM14" s="87" t="str">
        <f>IFERROR(IF(OR($B14="",SM$3=""),"",_xll.ciqfunctions.udf.CIQ($B14,"IQ_CASH_OPER",$O$3, SM$3, $N$3, , $J$3, $K$3)*2/(_xll.ciqfunctions.udf.CIQ($B14,"IQ_TOTAL_CL",SM$3,$I$3, $N$3, , $J$3, $K$3)+_xll.ciqfunctions.udf.CIQ($B14,"IQ_TOTAL_CL","IQ_" &amp; LEFT(SM$3,2) &amp; "-1", SM$3, $N$3, , $J$3, $K$3))),"")</f>
        <v/>
      </c>
      <c r="SN14" s="87" t="str">
        <f>IFERROR(IF(OR($B14="",SN$3=""),"",_xll.ciqfunctions.udf.CIQ($B14,"IQ_CASH_OPER",$O$3, SN$3, $N$3, , $J$3, $K$3)*2/(_xll.ciqfunctions.udf.CIQ($B14,"IQ_TOTAL_CL",SN$3,$I$3, $N$3, , $J$3, $K$3)+_xll.ciqfunctions.udf.CIQ($B14,"IQ_TOTAL_CL","IQ_" &amp; LEFT(SN$3,2) &amp; "-1", SN$3, $N$3, , $J$3, $K$3))),"")</f>
        <v/>
      </c>
      <c r="SO14" s="87" t="str">
        <f>IFERROR(IF(OR($B14="",SO$3=""),"",_xll.ciqfunctions.udf.CIQ($B14,"IQ_CASH_OPER",$O$3, SO$3, $N$3, , $J$3, $K$3)*2/(_xll.ciqfunctions.udf.CIQ($B14,"IQ_TOTAL_CL",SO$3,$I$3, $N$3, , $J$3, $K$3)+_xll.ciqfunctions.udf.CIQ($B14,"IQ_TOTAL_CL","IQ_" &amp; LEFT(SO$3,2) &amp; "-1", SO$3, $N$3, , $J$3, $K$3))),"")</f>
        <v/>
      </c>
      <c r="SP14" s="87" t="str">
        <f>IFERROR(IF(OR($B14="",SP$3=""),"",_xll.ciqfunctions.udf.CIQ($B14,"IQ_CASH_OPER",$O$3, SP$3, $N$3, , $J$3, $K$3)*2/(_xll.ciqfunctions.udf.CIQ($B14,"IQ_TOTAL_CL",SP$3,$I$3, $N$3, , $J$3, $K$3)+_xll.ciqfunctions.udf.CIQ($B14,"IQ_TOTAL_CL","IQ_" &amp; LEFT(SP$3,2) &amp; "-1", SP$3, $N$3, , $J$3, $K$3))),"")</f>
        <v/>
      </c>
      <c r="SQ14" s="87" t="str">
        <f>IFERROR(IF(OR($B14="",SQ$3=""),"",_xll.ciqfunctions.udf.CIQ($B14,"IQ_CASH_OPER",$O$3, SQ$3, $N$3, , $J$3, $K$3)*2/(_xll.ciqfunctions.udf.CIQ($B14,"IQ_TOTAL_CL",SQ$3,$I$3, $N$3, , $J$3, $K$3)+_xll.ciqfunctions.udf.CIQ($B14,"IQ_TOTAL_CL","IQ_" &amp; LEFT(SQ$3,2) &amp; "-1", SQ$3, $N$3, , $J$3, $K$3))),"")</f>
        <v/>
      </c>
      <c r="SR14" s="88" t="str">
        <f>IFERROR(IF(OR($B14="",SR$3=""),"",_xll.ciqfunctions.udf.CIQ($B14,"IQ_CASH_OPER",$O$3, SR$3, $N$3, , $J$3, $K$3)*2/(_xll.ciqfunctions.udf.CIQ($B14,"IQ_TOTAL_CL",SR$3,$I$3, $N$3, , $J$3, $K$3)+_xll.ciqfunctions.udf.CIQ($B14,"IQ_TOTAL_CL","IQ_" &amp; LEFT(SR$3,2) &amp; "-1", SR$3, $N$3, , $J$3, $K$3))),"")</f>
        <v/>
      </c>
      <c r="SS14" s="86" t="str">
        <f>IFERROR(IF(OR($B14="",SS$3=""),"",MAX(_xll.ciqfunctions.udf.CIQ($B14,"IQ_INC_TAX",SS$3,$I$3, $N$3, , $J$3, $K$3)/ABS(_xll.ciqfunctions.udf.CIQ($B14,"IQ_EBT",SS$3,$I$3, $N$3, , $J$3, $K$3)),0)),"")</f>
        <v/>
      </c>
      <c r="ST14" s="87" t="str">
        <f>IFERROR(IF(OR($B14="",ST$3=""),"",MAX(_xll.ciqfunctions.udf.CIQ($B14,"IQ_INC_TAX",ST$3,$I$3, $N$3, , $J$3, $K$3)/ABS(_xll.ciqfunctions.udf.CIQ($B14,"IQ_EBT",ST$3,$I$3, $N$3, , $J$3, $K$3)),0)),"")</f>
        <v/>
      </c>
      <c r="SU14" s="87" t="str">
        <f>IFERROR(IF(OR($B14="",SU$3=""),"",MAX(_xll.ciqfunctions.udf.CIQ($B14,"IQ_INC_TAX",SU$3,$I$3, $N$3, , $J$3, $K$3)/ABS(_xll.ciqfunctions.udf.CIQ($B14,"IQ_EBT",SU$3,$I$3, $N$3, , $J$3, $K$3)),0)),"")</f>
        <v/>
      </c>
      <c r="SV14" s="87" t="str">
        <f>IFERROR(IF(OR($B14="",SV$3=""),"",MAX(_xll.ciqfunctions.udf.CIQ($B14,"IQ_INC_TAX",SV$3,$I$3, $N$3, , $J$3, $K$3)/ABS(_xll.ciqfunctions.udf.CIQ($B14,"IQ_EBT",SV$3,$I$3, $N$3, , $J$3, $K$3)),0)),"")</f>
        <v/>
      </c>
      <c r="SW14" s="87" t="str">
        <f>IFERROR(IF(OR($B14="",SW$3=""),"",MAX(_xll.ciqfunctions.udf.CIQ($B14,"IQ_INC_TAX",SW$3,$I$3, $N$3, , $J$3, $K$3)/ABS(_xll.ciqfunctions.udf.CIQ($B14,"IQ_EBT",SW$3,$I$3, $N$3, , $J$3, $K$3)),0)),"")</f>
        <v/>
      </c>
      <c r="SX14" s="87" t="str">
        <f>IFERROR(IF(OR($B14="",SX$3=""),"",MAX(_xll.ciqfunctions.udf.CIQ($B14,"IQ_INC_TAX",SX$3,$I$3, $N$3, , $J$3, $K$3)/ABS(_xll.ciqfunctions.udf.CIQ($B14,"IQ_EBT",SX$3,$I$3, $N$3, , $J$3, $K$3)),0)),"")</f>
        <v/>
      </c>
      <c r="SY14" s="87" t="str">
        <f>IFERROR(IF(OR($B14="",SY$3=""),"",MAX(_xll.ciqfunctions.udf.CIQ($B14,"IQ_INC_TAX",SY$3,$I$3, $N$3, , $J$3, $K$3)/ABS(_xll.ciqfunctions.udf.CIQ($B14,"IQ_EBT",SY$3,$I$3, $N$3, , $J$3, $K$3)),0)),"")</f>
        <v/>
      </c>
      <c r="SZ14" s="87" t="str">
        <f>IFERROR(IF(OR($B14="",SZ$3=""),"",MAX(_xll.ciqfunctions.udf.CIQ($B14,"IQ_INC_TAX",SZ$3,$I$3, $N$3, , $J$3, $K$3)/ABS(_xll.ciqfunctions.udf.CIQ($B14,"IQ_EBT",SZ$3,$I$3, $N$3, , $J$3, $K$3)),0)),"")</f>
        <v/>
      </c>
      <c r="TA14" s="87" t="str">
        <f>IFERROR(IF(OR($B14="",TA$3=""),"",MAX(_xll.ciqfunctions.udf.CIQ($B14,"IQ_INC_TAX",TA$3,$I$3, $N$3, , $J$3, $K$3)/ABS(_xll.ciqfunctions.udf.CIQ($B14,"IQ_EBT",TA$3,$I$3, $N$3, , $J$3, $K$3)),0)),"")</f>
        <v/>
      </c>
      <c r="TB14" s="87" t="str">
        <f>IFERROR(IF(OR($B14="",TB$3=""),"",MAX(_xll.ciqfunctions.udf.CIQ($B14,"IQ_INC_TAX",TB$3,$I$3, $N$3, , $J$3, $K$3)/ABS(_xll.ciqfunctions.udf.CIQ($B14,"IQ_EBT",TB$3,$I$3, $N$3, , $J$3, $K$3)),0)),"")</f>
        <v/>
      </c>
      <c r="TC14" s="87" t="str">
        <f>IFERROR(IF(OR($B14="",TC$3=""),"",MAX(_xll.ciqfunctions.udf.CIQ($B14,"IQ_INC_TAX",TC$3,$I$3, $N$3, , $J$3, $K$3)/ABS(_xll.ciqfunctions.udf.CIQ($B14,"IQ_EBT",TC$3,$I$3, $N$3, , $J$3, $K$3)),0)),"")</f>
        <v/>
      </c>
      <c r="TD14" s="87" t="str">
        <f>IFERROR(IF(OR($B14="",TD$3=""),"",MAX(_xll.ciqfunctions.udf.CIQ($B14,"IQ_INC_TAX",TD$3,$I$3, $N$3, , $J$3, $K$3)/ABS(_xll.ciqfunctions.udf.CIQ($B14,"IQ_EBT",TD$3,$I$3, $N$3, , $J$3, $K$3)),0)),"")</f>
        <v/>
      </c>
      <c r="TE14" s="87" t="str">
        <f>IFERROR(IF(OR($B14="",TE$3=""),"",MAX(_xll.ciqfunctions.udf.CIQ($B14,"IQ_INC_TAX",TE$3,$I$3, $N$3, , $J$3, $K$3)/ABS(_xll.ciqfunctions.udf.CIQ($B14,"IQ_EBT",TE$3,$I$3, $N$3, , $J$3, $K$3)),0)),"")</f>
        <v/>
      </c>
      <c r="TF14" s="87" t="str">
        <f>IFERROR(IF(OR($B14="",TF$3=""),"",MAX(_xll.ciqfunctions.udf.CIQ($B14,"IQ_INC_TAX",TF$3,$I$3, $N$3, , $J$3, $K$3)/ABS(_xll.ciqfunctions.udf.CIQ($B14,"IQ_EBT",TF$3,$I$3, $N$3, , $J$3, $K$3)),0)),"")</f>
        <v/>
      </c>
      <c r="TG14" s="87" t="str">
        <f>IFERROR(IF(OR($B14="",TG$3=""),"",MAX(_xll.ciqfunctions.udf.CIQ($B14,"IQ_INC_TAX",TG$3,$I$3, $N$3, , $J$3, $K$3)/ABS(_xll.ciqfunctions.udf.CIQ($B14,"IQ_EBT",TG$3,$I$3, $N$3, , $J$3, $K$3)),0)),"")</f>
        <v/>
      </c>
      <c r="TH14" s="87" t="str">
        <f>IFERROR(IF(OR($B14="",TH$3=""),"",MAX(_xll.ciqfunctions.udf.CIQ($B14,"IQ_INC_TAX",TH$3,$I$3, $N$3, , $J$3, $K$3)/ABS(_xll.ciqfunctions.udf.CIQ($B14,"IQ_EBT",TH$3,$I$3, $N$3, , $J$3, $K$3)),0)),"")</f>
        <v/>
      </c>
      <c r="TI14" s="87" t="str">
        <f>IFERROR(IF(OR($B14="",TI$3=""),"",MAX(_xll.ciqfunctions.udf.CIQ($B14,"IQ_INC_TAX",TI$3,$I$3, $N$3, , $J$3, $K$3)/ABS(_xll.ciqfunctions.udf.CIQ($B14,"IQ_EBT",TI$3,$I$3, $N$3, , $J$3, $K$3)),0)),"")</f>
        <v/>
      </c>
      <c r="TJ14" s="87" t="str">
        <f>IFERROR(IF(OR($B14="",TJ$3=""),"",MAX(_xll.ciqfunctions.udf.CIQ($B14,"IQ_INC_TAX",TJ$3,$I$3, $N$3, , $J$3, $K$3)/ABS(_xll.ciqfunctions.udf.CIQ($B14,"IQ_EBT",TJ$3,$I$3, $N$3, , $J$3, $K$3)),0)),"")</f>
        <v/>
      </c>
      <c r="TK14" s="87" t="str">
        <f>IFERROR(IF(OR($B14="",TK$3=""),"",MAX(_xll.ciqfunctions.udf.CIQ($B14,"IQ_INC_TAX",TK$3,$I$3, $N$3, , $J$3, $K$3)/ABS(_xll.ciqfunctions.udf.CIQ($B14,"IQ_EBT",TK$3,$I$3, $N$3, , $J$3, $K$3)),0)),"")</f>
        <v/>
      </c>
      <c r="TL14" s="88" t="str">
        <f>IFERROR(IF(OR($B14="",TL$3=""),"",MAX(_xll.ciqfunctions.udf.CIQ($B14,"IQ_INC_TAX",TL$3,$I$3, $N$3, , $J$3, $K$3)/ABS(_xll.ciqfunctions.udf.CIQ($B14,"IQ_EBT",TL$3,$I$3, $N$3, , $J$3, $K$3)),0)),"")</f>
        <v/>
      </c>
      <c r="TM14" s="92" t="str">
        <f>IFERROR(IF(OR($B14="",TM$3=""),"",_xll.ciqfunctions.udf.CIQ($B14,"IQ_TOTAL_REVENUE",TM$3,$I$3, $N$3, , $J$3, $K$3)*1000000/_xll.ciqfunctions.udf.CIQ($B14,"IQ_EMPLOYEES",TM$3,$I$3, $N$3, , $J$3, $K$3)),"")</f>
        <v/>
      </c>
      <c r="TN14" s="93" t="str">
        <f>IFERROR(IF(OR($B14="",TN$3=""),"",_xll.ciqfunctions.udf.CIQ($B14,"IQ_TOTAL_REVENUE",TN$3,$I$3, $N$3, , $J$3, $K$3)*1000000/_xll.ciqfunctions.udf.CIQ($B14,"IQ_EMPLOYEES",TN$3,$I$3, $N$3, , $J$3, $K$3)),"")</f>
        <v/>
      </c>
      <c r="TO14" s="93" t="str">
        <f>IFERROR(IF(OR($B14="",TO$3=""),"",_xll.ciqfunctions.udf.CIQ($B14,"IQ_TOTAL_REVENUE",TO$3,$I$3, $N$3, , $J$3, $K$3)*1000000/_xll.ciqfunctions.udf.CIQ($B14,"IQ_EMPLOYEES",TO$3,$I$3, $N$3, , $J$3, $K$3)),"")</f>
        <v/>
      </c>
      <c r="TP14" s="93" t="str">
        <f>IFERROR(IF(OR($B14="",TP$3=""),"",_xll.ciqfunctions.udf.CIQ($B14,"IQ_TOTAL_REVENUE",TP$3,$I$3, $N$3, , $J$3, $K$3)*1000000/_xll.ciqfunctions.udf.CIQ($B14,"IQ_EMPLOYEES",TP$3,$I$3, $N$3, , $J$3, $K$3)),"")</f>
        <v/>
      </c>
      <c r="TQ14" s="93" t="str">
        <f>IFERROR(IF(OR($B14="",TQ$3=""),"",_xll.ciqfunctions.udf.CIQ($B14,"IQ_TOTAL_REVENUE",TQ$3,$I$3, $N$3, , $J$3, $K$3)*1000000/_xll.ciqfunctions.udf.CIQ($B14,"IQ_EMPLOYEES",TQ$3,$I$3, $N$3, , $J$3, $K$3)),"")</f>
        <v/>
      </c>
      <c r="TR14" s="93" t="str">
        <f>IFERROR(IF(OR($B14="",TR$3=""),"",_xll.ciqfunctions.udf.CIQ($B14,"IQ_TOTAL_REVENUE",TR$3,$I$3, $N$3, , $J$3, $K$3)*1000000/_xll.ciqfunctions.udf.CIQ($B14,"IQ_EMPLOYEES",TR$3,$I$3, $N$3, , $J$3, $K$3)),"")</f>
        <v/>
      </c>
      <c r="TS14" s="93" t="str">
        <f>IFERROR(IF(OR($B14="",TS$3=""),"",_xll.ciqfunctions.udf.CIQ($B14,"IQ_TOTAL_REVENUE",TS$3,$I$3, $N$3, , $J$3, $K$3)*1000000/_xll.ciqfunctions.udf.CIQ($B14,"IQ_EMPLOYEES",TS$3,$I$3, $N$3, , $J$3, $K$3)),"")</f>
        <v/>
      </c>
      <c r="TT14" s="93" t="str">
        <f>IFERROR(IF(OR($B14="",TT$3=""),"",_xll.ciqfunctions.udf.CIQ($B14,"IQ_TOTAL_REVENUE",TT$3,$I$3, $N$3, , $J$3, $K$3)*1000000/_xll.ciqfunctions.udf.CIQ($B14,"IQ_EMPLOYEES",TT$3,$I$3, $N$3, , $J$3, $K$3)),"")</f>
        <v/>
      </c>
      <c r="TU14" s="93" t="str">
        <f>IFERROR(IF(OR($B14="",TU$3=""),"",_xll.ciqfunctions.udf.CIQ($B14,"IQ_TOTAL_REVENUE",TU$3,$I$3, $N$3, , $J$3, $K$3)*1000000/_xll.ciqfunctions.udf.CIQ($B14,"IQ_EMPLOYEES",TU$3,$I$3, $N$3, , $J$3, $K$3)),"")</f>
        <v/>
      </c>
      <c r="TV14" s="93" t="str">
        <f>IFERROR(IF(OR($B14="",TV$3=""),"",_xll.ciqfunctions.udf.CIQ($B14,"IQ_TOTAL_REVENUE",TV$3,$I$3, $N$3, , $J$3, $K$3)*1000000/_xll.ciqfunctions.udf.CIQ($B14,"IQ_EMPLOYEES",TV$3,$I$3, $N$3, , $J$3, $K$3)),"")</f>
        <v/>
      </c>
      <c r="TW14" s="93" t="str">
        <f>IFERROR(IF(OR($B14="",TW$3=""),"",_xll.ciqfunctions.udf.CIQ($B14,"IQ_TOTAL_REVENUE",TW$3,$I$3, $N$3, , $J$3, $K$3)*1000000/_xll.ciqfunctions.udf.CIQ($B14,"IQ_EMPLOYEES",TW$3,$I$3, $N$3, , $J$3, $K$3)),"")</f>
        <v/>
      </c>
      <c r="TX14" s="93" t="str">
        <f>IFERROR(IF(OR($B14="",TX$3=""),"",_xll.ciqfunctions.udf.CIQ($B14,"IQ_TOTAL_REVENUE",TX$3,$I$3, $N$3, , $J$3, $K$3)*1000000/_xll.ciqfunctions.udf.CIQ($B14,"IQ_EMPLOYEES",TX$3,$I$3, $N$3, , $J$3, $K$3)),"")</f>
        <v/>
      </c>
      <c r="TY14" s="93" t="str">
        <f>IFERROR(IF(OR($B14="",TY$3=""),"",_xll.ciqfunctions.udf.CIQ($B14,"IQ_TOTAL_REVENUE",TY$3,$I$3, $N$3, , $J$3, $K$3)*1000000/_xll.ciqfunctions.udf.CIQ($B14,"IQ_EMPLOYEES",TY$3,$I$3, $N$3, , $J$3, $K$3)),"")</f>
        <v/>
      </c>
      <c r="TZ14" s="93" t="str">
        <f>IFERROR(IF(OR($B14="",TZ$3=""),"",_xll.ciqfunctions.udf.CIQ($B14,"IQ_TOTAL_REVENUE",TZ$3,$I$3, $N$3, , $J$3, $K$3)*1000000/_xll.ciqfunctions.udf.CIQ($B14,"IQ_EMPLOYEES",TZ$3,$I$3, $N$3, , $J$3, $K$3)),"")</f>
        <v/>
      </c>
      <c r="UA14" s="93" t="str">
        <f>IFERROR(IF(OR($B14="",UA$3=""),"",_xll.ciqfunctions.udf.CIQ($B14,"IQ_TOTAL_REVENUE",UA$3,$I$3, $N$3, , $J$3, $K$3)*1000000/_xll.ciqfunctions.udf.CIQ($B14,"IQ_EMPLOYEES",UA$3,$I$3, $N$3, , $J$3, $K$3)),"")</f>
        <v/>
      </c>
      <c r="UB14" s="93" t="str">
        <f>IFERROR(IF(OR($B14="",UB$3=""),"",_xll.ciqfunctions.udf.CIQ($B14,"IQ_TOTAL_REVENUE",UB$3,$I$3, $N$3, , $J$3, $K$3)*1000000/_xll.ciqfunctions.udf.CIQ($B14,"IQ_EMPLOYEES",UB$3,$I$3, $N$3, , $J$3, $K$3)),"")</f>
        <v/>
      </c>
      <c r="UC14" s="93" t="str">
        <f>IFERROR(IF(OR($B14="",UC$3=""),"",_xll.ciqfunctions.udf.CIQ($B14,"IQ_TOTAL_REVENUE",UC$3,$I$3, $N$3, , $J$3, $K$3)*1000000/_xll.ciqfunctions.udf.CIQ($B14,"IQ_EMPLOYEES",UC$3,$I$3, $N$3, , $J$3, $K$3)),"")</f>
        <v/>
      </c>
      <c r="UD14" s="93" t="str">
        <f>IFERROR(IF(OR($B14="",UD$3=""),"",_xll.ciqfunctions.udf.CIQ($B14,"IQ_TOTAL_REVENUE",UD$3,$I$3, $N$3, , $J$3, $K$3)*1000000/_xll.ciqfunctions.udf.CIQ($B14,"IQ_EMPLOYEES",UD$3,$I$3, $N$3, , $J$3, $K$3)),"")</f>
        <v/>
      </c>
      <c r="UE14" s="93" t="str">
        <f>IFERROR(IF(OR($B14="",UE$3=""),"",_xll.ciqfunctions.udf.CIQ($B14,"IQ_TOTAL_REVENUE",UE$3,$I$3, $N$3, , $J$3, $K$3)*1000000/_xll.ciqfunctions.udf.CIQ($B14,"IQ_EMPLOYEES",UE$3,$I$3, $N$3, , $J$3, $K$3)),"")</f>
        <v/>
      </c>
      <c r="UF14" s="94" t="str">
        <f>IFERROR(IF(OR($B14="",UF$3=""),"",_xll.ciqfunctions.udf.CIQ($B14,"IQ_TOTAL_REVENUE",UF$3,$I$3, $N$3, , $J$3, $K$3)*1000000/_xll.ciqfunctions.udf.CIQ($B14,"IQ_EMPLOYEES",UF$3,$I$3, $N$3, , $J$3, $K$3)),"")</f>
        <v/>
      </c>
      <c r="UG14" s="92" t="str">
        <f>IFERROR(IF(OR($B14="",UG$3=""),"",(_xll.ciqfunctions.udf.CIQ($B14,"IQ_TOTAL_REVENUE",UG$3,$I$3, $N$3, , $J$3, $K$3)-_xll.ciqfunctions.udf.CIQ($B14,"IQ_COGS",UG$3,$I$3, $N$3, , $J$3, $K$3)-_xll.ciqfunctions.udf.CIQ($B14,"IQ_EBIT",UG$3,$I$3, $N$3, , $J$3, $K$3))*1000000/_xll.ciqfunctions.udf.CIQ($B14,"IQ_EMPLOYEES",UG$3,$I$3, $N$3, , $J$3, $K$3)),"")</f>
        <v/>
      </c>
      <c r="UH14" s="93" t="str">
        <f>IFERROR(IF(OR($B14="",UH$3=""),"",(_xll.ciqfunctions.udf.CIQ($B14,"IQ_TOTAL_REVENUE",UH$3,$I$3, $N$3, , $J$3, $K$3)-_xll.ciqfunctions.udf.CIQ($B14,"IQ_COGS",UH$3,$I$3, $N$3, , $J$3, $K$3)-_xll.ciqfunctions.udf.CIQ($B14,"IQ_EBIT",UH$3,$I$3, $N$3, , $J$3, $K$3))*1000000/_xll.ciqfunctions.udf.CIQ($B14,"IQ_EMPLOYEES",UH$3,$I$3, $N$3, , $J$3, $K$3)),"")</f>
        <v/>
      </c>
      <c r="UI14" s="93" t="str">
        <f>IFERROR(IF(OR($B14="",UI$3=""),"",(_xll.ciqfunctions.udf.CIQ($B14,"IQ_TOTAL_REVENUE",UI$3,$I$3, $N$3, , $J$3, $K$3)-_xll.ciqfunctions.udf.CIQ($B14,"IQ_COGS",UI$3,$I$3, $N$3, , $J$3, $K$3)-_xll.ciqfunctions.udf.CIQ($B14,"IQ_EBIT",UI$3,$I$3, $N$3, , $J$3, $K$3))*1000000/_xll.ciqfunctions.udf.CIQ($B14,"IQ_EMPLOYEES",UI$3,$I$3, $N$3, , $J$3, $K$3)),"")</f>
        <v/>
      </c>
      <c r="UJ14" s="93" t="str">
        <f>IFERROR(IF(OR($B14="",UJ$3=""),"",(_xll.ciqfunctions.udf.CIQ($B14,"IQ_TOTAL_REVENUE",UJ$3,$I$3, $N$3, , $J$3, $K$3)-_xll.ciqfunctions.udf.CIQ($B14,"IQ_COGS",UJ$3,$I$3, $N$3, , $J$3, $K$3)-_xll.ciqfunctions.udf.CIQ($B14,"IQ_EBIT",UJ$3,$I$3, $N$3, , $J$3, $K$3))*1000000/_xll.ciqfunctions.udf.CIQ($B14,"IQ_EMPLOYEES",UJ$3,$I$3, $N$3, , $J$3, $K$3)),"")</f>
        <v/>
      </c>
      <c r="UK14" s="93" t="str">
        <f>IFERROR(IF(OR($B14="",UK$3=""),"",(_xll.ciqfunctions.udf.CIQ($B14,"IQ_TOTAL_REVENUE",UK$3,$I$3, $N$3, , $J$3, $K$3)-_xll.ciqfunctions.udf.CIQ($B14,"IQ_COGS",UK$3,$I$3, $N$3, , $J$3, $K$3)-_xll.ciqfunctions.udf.CIQ($B14,"IQ_EBIT",UK$3,$I$3, $N$3, , $J$3, $K$3))*1000000/_xll.ciqfunctions.udf.CIQ($B14,"IQ_EMPLOYEES",UK$3,$I$3, $N$3, , $J$3, $K$3)),"")</f>
        <v/>
      </c>
      <c r="UL14" s="93" t="str">
        <f>IFERROR(IF(OR($B14="",UL$3=""),"",(_xll.ciqfunctions.udf.CIQ($B14,"IQ_TOTAL_REVENUE",UL$3,$I$3, $N$3, , $J$3, $K$3)-_xll.ciqfunctions.udf.CIQ($B14,"IQ_COGS",UL$3,$I$3, $N$3, , $J$3, $K$3)-_xll.ciqfunctions.udf.CIQ($B14,"IQ_EBIT",UL$3,$I$3, $N$3, , $J$3, $K$3))*1000000/_xll.ciqfunctions.udf.CIQ($B14,"IQ_EMPLOYEES",UL$3,$I$3, $N$3, , $J$3, $K$3)),"")</f>
        <v/>
      </c>
      <c r="UM14" s="93" t="str">
        <f>IFERROR(IF(OR($B14="",UM$3=""),"",(_xll.ciqfunctions.udf.CIQ($B14,"IQ_TOTAL_REVENUE",UM$3,$I$3, $N$3, , $J$3, $K$3)-_xll.ciqfunctions.udf.CIQ($B14,"IQ_COGS",UM$3,$I$3, $N$3, , $J$3, $K$3)-_xll.ciqfunctions.udf.CIQ($B14,"IQ_EBIT",UM$3,$I$3, $N$3, , $J$3, $K$3))*1000000/_xll.ciqfunctions.udf.CIQ($B14,"IQ_EMPLOYEES",UM$3,$I$3, $N$3, , $J$3, $K$3)),"")</f>
        <v/>
      </c>
      <c r="UN14" s="93" t="str">
        <f>IFERROR(IF(OR($B14="",UN$3=""),"",(_xll.ciqfunctions.udf.CIQ($B14,"IQ_TOTAL_REVENUE",UN$3,$I$3, $N$3, , $J$3, $K$3)-_xll.ciqfunctions.udf.CIQ($B14,"IQ_COGS",UN$3,$I$3, $N$3, , $J$3, $K$3)-_xll.ciqfunctions.udf.CIQ($B14,"IQ_EBIT",UN$3,$I$3, $N$3, , $J$3, $K$3))*1000000/_xll.ciqfunctions.udf.CIQ($B14,"IQ_EMPLOYEES",UN$3,$I$3, $N$3, , $J$3, $K$3)),"")</f>
        <v/>
      </c>
      <c r="UO14" s="93" t="str">
        <f>IFERROR(IF(OR($B14="",UO$3=""),"",(_xll.ciqfunctions.udf.CIQ($B14,"IQ_TOTAL_REVENUE",UO$3,$I$3, $N$3, , $J$3, $K$3)-_xll.ciqfunctions.udf.CIQ($B14,"IQ_COGS",UO$3,$I$3, $N$3, , $J$3, $K$3)-_xll.ciqfunctions.udf.CIQ($B14,"IQ_EBIT",UO$3,$I$3, $N$3, , $J$3, $K$3))*1000000/_xll.ciqfunctions.udf.CIQ($B14,"IQ_EMPLOYEES",UO$3,$I$3, $N$3, , $J$3, $K$3)),"")</f>
        <v/>
      </c>
      <c r="UP14" s="93" t="str">
        <f>IFERROR(IF(OR($B14="",UP$3=""),"",(_xll.ciqfunctions.udf.CIQ($B14,"IQ_TOTAL_REVENUE",UP$3,$I$3, $N$3, , $J$3, $K$3)-_xll.ciqfunctions.udf.CIQ($B14,"IQ_COGS",UP$3,$I$3, $N$3, , $J$3, $K$3)-_xll.ciqfunctions.udf.CIQ($B14,"IQ_EBIT",UP$3,$I$3, $N$3, , $J$3, $K$3))*1000000/_xll.ciqfunctions.udf.CIQ($B14,"IQ_EMPLOYEES",UP$3,$I$3, $N$3, , $J$3, $K$3)),"")</f>
        <v/>
      </c>
      <c r="UQ14" s="93" t="str">
        <f>IFERROR(IF(OR($B14="",UQ$3=""),"",(_xll.ciqfunctions.udf.CIQ($B14,"IQ_TOTAL_REVENUE",UQ$3,$I$3, $N$3, , $J$3, $K$3)-_xll.ciqfunctions.udf.CIQ($B14,"IQ_COGS",UQ$3,$I$3, $N$3, , $J$3, $K$3)-_xll.ciqfunctions.udf.CIQ($B14,"IQ_EBIT",UQ$3,$I$3, $N$3, , $J$3, $K$3))*1000000/_xll.ciqfunctions.udf.CIQ($B14,"IQ_EMPLOYEES",UQ$3,$I$3, $N$3, , $J$3, $K$3)),"")</f>
        <v/>
      </c>
      <c r="UR14" s="93" t="str">
        <f>IFERROR(IF(OR($B14="",UR$3=""),"",(_xll.ciqfunctions.udf.CIQ($B14,"IQ_TOTAL_REVENUE",UR$3,$I$3, $N$3, , $J$3, $K$3)-_xll.ciqfunctions.udf.CIQ($B14,"IQ_COGS",UR$3,$I$3, $N$3, , $J$3, $K$3)-_xll.ciqfunctions.udf.CIQ($B14,"IQ_EBIT",UR$3,$I$3, $N$3, , $J$3, $K$3))*1000000/_xll.ciqfunctions.udf.CIQ($B14,"IQ_EMPLOYEES",UR$3,$I$3, $N$3, , $J$3, $K$3)),"")</f>
        <v/>
      </c>
      <c r="US14" s="93" t="str">
        <f>IFERROR(IF(OR($B14="",US$3=""),"",(_xll.ciqfunctions.udf.CIQ($B14,"IQ_TOTAL_REVENUE",US$3,$I$3, $N$3, , $J$3, $K$3)-_xll.ciqfunctions.udf.CIQ($B14,"IQ_COGS",US$3,$I$3, $N$3, , $J$3, $K$3)-_xll.ciqfunctions.udf.CIQ($B14,"IQ_EBIT",US$3,$I$3, $N$3, , $J$3, $K$3))*1000000/_xll.ciqfunctions.udf.CIQ($B14,"IQ_EMPLOYEES",US$3,$I$3, $N$3, , $J$3, $K$3)),"")</f>
        <v/>
      </c>
      <c r="UT14" s="93" t="str">
        <f>IFERROR(IF(OR($B14="",UT$3=""),"",(_xll.ciqfunctions.udf.CIQ($B14,"IQ_TOTAL_REVENUE",UT$3,$I$3, $N$3, , $J$3, $K$3)-_xll.ciqfunctions.udf.CIQ($B14,"IQ_COGS",UT$3,$I$3, $N$3, , $J$3, $K$3)-_xll.ciqfunctions.udf.CIQ($B14,"IQ_EBIT",UT$3,$I$3, $N$3, , $J$3, $K$3))*1000000/_xll.ciqfunctions.udf.CIQ($B14,"IQ_EMPLOYEES",UT$3,$I$3, $N$3, , $J$3, $K$3)),"")</f>
        <v/>
      </c>
      <c r="UU14" s="93" t="str">
        <f>IFERROR(IF(OR($B14="",UU$3=""),"",(_xll.ciqfunctions.udf.CIQ($B14,"IQ_TOTAL_REVENUE",UU$3,$I$3, $N$3, , $J$3, $K$3)-_xll.ciqfunctions.udf.CIQ($B14,"IQ_COGS",UU$3,$I$3, $N$3, , $J$3, $K$3)-_xll.ciqfunctions.udf.CIQ($B14,"IQ_EBIT",UU$3,$I$3, $N$3, , $J$3, $K$3))*1000000/_xll.ciqfunctions.udf.CIQ($B14,"IQ_EMPLOYEES",UU$3,$I$3, $N$3, , $J$3, $K$3)),"")</f>
        <v/>
      </c>
      <c r="UV14" s="93" t="str">
        <f>IFERROR(IF(OR($B14="",UV$3=""),"",(_xll.ciqfunctions.udf.CIQ($B14,"IQ_TOTAL_REVENUE",UV$3,$I$3, $N$3, , $J$3, $K$3)-_xll.ciqfunctions.udf.CIQ($B14,"IQ_COGS",UV$3,$I$3, $N$3, , $J$3, $K$3)-_xll.ciqfunctions.udf.CIQ($B14,"IQ_EBIT",UV$3,$I$3, $N$3, , $J$3, $K$3))*1000000/_xll.ciqfunctions.udf.CIQ($B14,"IQ_EMPLOYEES",UV$3,$I$3, $N$3, , $J$3, $K$3)),"")</f>
        <v/>
      </c>
      <c r="UW14" s="93" t="str">
        <f>IFERROR(IF(OR($B14="",UW$3=""),"",(_xll.ciqfunctions.udf.CIQ($B14,"IQ_TOTAL_REVENUE",UW$3,$I$3, $N$3, , $J$3, $K$3)-_xll.ciqfunctions.udf.CIQ($B14,"IQ_COGS",UW$3,$I$3, $N$3, , $J$3, $K$3)-_xll.ciqfunctions.udf.CIQ($B14,"IQ_EBIT",UW$3,$I$3, $N$3, , $J$3, $K$3))*1000000/_xll.ciqfunctions.udf.CIQ($B14,"IQ_EMPLOYEES",UW$3,$I$3, $N$3, , $J$3, $K$3)),"")</f>
        <v/>
      </c>
      <c r="UX14" s="93" t="str">
        <f>IFERROR(IF(OR($B14="",UX$3=""),"",(_xll.ciqfunctions.udf.CIQ($B14,"IQ_TOTAL_REVENUE",UX$3,$I$3, $N$3, , $J$3, $K$3)-_xll.ciqfunctions.udf.CIQ($B14,"IQ_COGS",UX$3,$I$3, $N$3, , $J$3, $K$3)-_xll.ciqfunctions.udf.CIQ($B14,"IQ_EBIT",UX$3,$I$3, $N$3, , $J$3, $K$3))*1000000/_xll.ciqfunctions.udf.CIQ($B14,"IQ_EMPLOYEES",UX$3,$I$3, $N$3, , $J$3, $K$3)),"")</f>
        <v/>
      </c>
      <c r="UY14" s="93" t="str">
        <f>IFERROR(IF(OR($B14="",UY$3=""),"",(_xll.ciqfunctions.udf.CIQ($B14,"IQ_TOTAL_REVENUE",UY$3,$I$3, $N$3, , $J$3, $K$3)-_xll.ciqfunctions.udf.CIQ($B14,"IQ_COGS",UY$3,$I$3, $N$3, , $J$3, $K$3)-_xll.ciqfunctions.udf.CIQ($B14,"IQ_EBIT",UY$3,$I$3, $N$3, , $J$3, $K$3))*1000000/_xll.ciqfunctions.udf.CIQ($B14,"IQ_EMPLOYEES",UY$3,$I$3, $N$3, , $J$3, $K$3)),"")</f>
        <v/>
      </c>
      <c r="UZ14" s="94" t="str">
        <f>IFERROR(IF(OR($B14="",UZ$3=""),"",(_xll.ciqfunctions.udf.CIQ($B14,"IQ_TOTAL_REVENUE",UZ$3,$I$3, $N$3, , $J$3, $K$3)-_xll.ciqfunctions.udf.CIQ($B14,"IQ_COGS",UZ$3,$I$3, $N$3, , $J$3, $K$3)-_xll.ciqfunctions.udf.CIQ($B14,"IQ_EBIT",UZ$3,$I$3, $N$3, , $J$3, $K$3))*1000000/_xll.ciqfunctions.udf.CIQ($B14,"IQ_EMPLOYEES",UZ$3,$I$3, $N$3, , $J$3, $K$3)),"")</f>
        <v/>
      </c>
      <c r="VA14" s="92" t="str">
        <f>IFERROR(IF(OR($B14="",VA$3=""),"",_xll.ciqfunctions.udf.CIQ($B14,"IQ_SGA_SUPPL",VA$3,$I$3, $N$3, , $J$3, $K$3)*1000000/_xll.ciqfunctions.udf.CIQ($B14,"IQ_EMPLOYEES",VA$3,$I$3, $N$3, , $J$3, $K$3)),"")</f>
        <v/>
      </c>
      <c r="VB14" s="93" t="str">
        <f>IFERROR(IF(OR($B14="",VB$3=""),"",_xll.ciqfunctions.udf.CIQ($B14,"IQ_SGA_SUPPL",VB$3,$I$3, $N$3, , $J$3, $K$3)*1000000/_xll.ciqfunctions.udf.CIQ($B14,"IQ_EMPLOYEES",VB$3,$I$3, $N$3, , $J$3, $K$3)),"")</f>
        <v/>
      </c>
      <c r="VC14" s="93" t="str">
        <f>IFERROR(IF(OR($B14="",VC$3=""),"",_xll.ciqfunctions.udf.CIQ($B14,"IQ_SGA_SUPPL",VC$3,$I$3, $N$3, , $J$3, $K$3)*1000000/_xll.ciqfunctions.udf.CIQ($B14,"IQ_EMPLOYEES",VC$3,$I$3, $N$3, , $J$3, $K$3)),"")</f>
        <v/>
      </c>
      <c r="VD14" s="93" t="str">
        <f>IFERROR(IF(OR($B14="",VD$3=""),"",_xll.ciqfunctions.udf.CIQ($B14,"IQ_SGA_SUPPL",VD$3,$I$3, $N$3, , $J$3, $K$3)*1000000/_xll.ciqfunctions.udf.CIQ($B14,"IQ_EMPLOYEES",VD$3,$I$3, $N$3, , $J$3, $K$3)),"")</f>
        <v/>
      </c>
      <c r="VE14" s="93" t="str">
        <f>IFERROR(IF(OR($B14="",VE$3=""),"",_xll.ciqfunctions.udf.CIQ($B14,"IQ_SGA_SUPPL",VE$3,$I$3, $N$3, , $J$3, $K$3)*1000000/_xll.ciqfunctions.udf.CIQ($B14,"IQ_EMPLOYEES",VE$3,$I$3, $N$3, , $J$3, $K$3)),"")</f>
        <v/>
      </c>
      <c r="VF14" s="93" t="str">
        <f>IFERROR(IF(OR($B14="",VF$3=""),"",_xll.ciqfunctions.udf.CIQ($B14,"IQ_SGA_SUPPL",VF$3,$I$3, $N$3, , $J$3, $K$3)*1000000/_xll.ciqfunctions.udf.CIQ($B14,"IQ_EMPLOYEES",VF$3,$I$3, $N$3, , $J$3, $K$3)),"")</f>
        <v/>
      </c>
      <c r="VG14" s="93" t="str">
        <f>IFERROR(IF(OR($B14="",VG$3=""),"",_xll.ciqfunctions.udf.CIQ($B14,"IQ_SGA_SUPPL",VG$3,$I$3, $N$3, , $J$3, $K$3)*1000000/_xll.ciqfunctions.udf.CIQ($B14,"IQ_EMPLOYEES",VG$3,$I$3, $N$3, , $J$3, $K$3)),"")</f>
        <v/>
      </c>
      <c r="VH14" s="93" t="str">
        <f>IFERROR(IF(OR($B14="",VH$3=""),"",_xll.ciqfunctions.udf.CIQ($B14,"IQ_SGA_SUPPL",VH$3,$I$3, $N$3, , $J$3, $K$3)*1000000/_xll.ciqfunctions.udf.CIQ($B14,"IQ_EMPLOYEES",VH$3,$I$3, $N$3, , $J$3, $K$3)),"")</f>
        <v/>
      </c>
      <c r="VI14" s="93" t="str">
        <f>IFERROR(IF(OR($B14="",VI$3=""),"",_xll.ciqfunctions.udf.CIQ($B14,"IQ_SGA_SUPPL",VI$3,$I$3, $N$3, , $J$3, $K$3)*1000000/_xll.ciqfunctions.udf.CIQ($B14,"IQ_EMPLOYEES",VI$3,$I$3, $N$3, , $J$3, $K$3)),"")</f>
        <v/>
      </c>
      <c r="VJ14" s="93" t="str">
        <f>IFERROR(IF(OR($B14="",VJ$3=""),"",_xll.ciqfunctions.udf.CIQ($B14,"IQ_SGA_SUPPL",VJ$3,$I$3, $N$3, , $J$3, $K$3)*1000000/_xll.ciqfunctions.udf.CIQ($B14,"IQ_EMPLOYEES",VJ$3,$I$3, $N$3, , $J$3, $K$3)),"")</f>
        <v/>
      </c>
      <c r="VK14" s="93" t="str">
        <f>IFERROR(IF(OR($B14="",VK$3=""),"",_xll.ciqfunctions.udf.CIQ($B14,"IQ_SGA_SUPPL",VK$3,$I$3, $N$3, , $J$3, $K$3)*1000000/_xll.ciqfunctions.udf.CIQ($B14,"IQ_EMPLOYEES",VK$3,$I$3, $N$3, , $J$3, $K$3)),"")</f>
        <v/>
      </c>
      <c r="VL14" s="93" t="str">
        <f>IFERROR(IF(OR($B14="",VL$3=""),"",_xll.ciqfunctions.udf.CIQ($B14,"IQ_SGA_SUPPL",VL$3,$I$3, $N$3, , $J$3, $K$3)*1000000/_xll.ciqfunctions.udf.CIQ($B14,"IQ_EMPLOYEES",VL$3,$I$3, $N$3, , $J$3, $K$3)),"")</f>
        <v/>
      </c>
      <c r="VM14" s="93" t="str">
        <f>IFERROR(IF(OR($B14="",VM$3=""),"",_xll.ciqfunctions.udf.CIQ($B14,"IQ_SGA_SUPPL",VM$3,$I$3, $N$3, , $J$3, $K$3)*1000000/_xll.ciqfunctions.udf.CIQ($B14,"IQ_EMPLOYEES",VM$3,$I$3, $N$3, , $J$3, $K$3)),"")</f>
        <v/>
      </c>
      <c r="VN14" s="93" t="str">
        <f>IFERROR(IF(OR($B14="",VN$3=""),"",_xll.ciqfunctions.udf.CIQ($B14,"IQ_SGA_SUPPL",VN$3,$I$3, $N$3, , $J$3, $K$3)*1000000/_xll.ciqfunctions.udf.CIQ($B14,"IQ_EMPLOYEES",VN$3,$I$3, $N$3, , $J$3, $K$3)),"")</f>
        <v/>
      </c>
      <c r="VO14" s="93" t="str">
        <f>IFERROR(IF(OR($B14="",VO$3=""),"",_xll.ciqfunctions.udf.CIQ($B14,"IQ_SGA_SUPPL",VO$3,$I$3, $N$3, , $J$3, $K$3)*1000000/_xll.ciqfunctions.udf.CIQ($B14,"IQ_EMPLOYEES",VO$3,$I$3, $N$3, , $J$3, $K$3)),"")</f>
        <v/>
      </c>
      <c r="VP14" s="93" t="str">
        <f>IFERROR(IF(OR($B14="",VP$3=""),"",_xll.ciqfunctions.udf.CIQ($B14,"IQ_SGA_SUPPL",VP$3,$I$3, $N$3, , $J$3, $K$3)*1000000/_xll.ciqfunctions.udf.CIQ($B14,"IQ_EMPLOYEES",VP$3,$I$3, $N$3, , $J$3, $K$3)),"")</f>
        <v/>
      </c>
      <c r="VQ14" s="93" t="str">
        <f>IFERROR(IF(OR($B14="",VQ$3=""),"",_xll.ciqfunctions.udf.CIQ($B14,"IQ_SGA_SUPPL",VQ$3,$I$3, $N$3, , $J$3, $K$3)*1000000/_xll.ciqfunctions.udf.CIQ($B14,"IQ_EMPLOYEES",VQ$3,$I$3, $N$3, , $J$3, $K$3)),"")</f>
        <v/>
      </c>
      <c r="VR14" s="93" t="str">
        <f>IFERROR(IF(OR($B14="",VR$3=""),"",_xll.ciqfunctions.udf.CIQ($B14,"IQ_SGA_SUPPL",VR$3,$I$3, $N$3, , $J$3, $K$3)*1000000/_xll.ciqfunctions.udf.CIQ($B14,"IQ_EMPLOYEES",VR$3,$I$3, $N$3, , $J$3, $K$3)),"")</f>
        <v/>
      </c>
      <c r="VS14" s="93" t="str">
        <f>IFERROR(IF(OR($B14="",VS$3=""),"",_xll.ciqfunctions.udf.CIQ($B14,"IQ_SGA_SUPPL",VS$3,$I$3, $N$3, , $J$3, $K$3)*1000000/_xll.ciqfunctions.udf.CIQ($B14,"IQ_EMPLOYEES",VS$3,$I$3, $N$3, , $J$3, $K$3)),"")</f>
        <v/>
      </c>
      <c r="VT14" s="94" t="str">
        <f>IFERROR(IF(OR($B14="",VT$3=""),"",_xll.ciqfunctions.udf.CIQ($B14,"IQ_SGA_SUPPL",VT$3,$I$3, $N$3, , $J$3, $K$3)*1000000/_xll.ciqfunctions.udf.CIQ($B14,"IQ_EMPLOYEES",VT$3,$I$3, $N$3, , $J$3, $K$3)),"")</f>
        <v/>
      </c>
      <c r="VU14" s="92" t="str">
        <f>IFERROR(IF(OR($B14="",VU$3=""),"",_xll.ciqfunctions.udf.CIQ($B14,"IQ_RD_EXP",VU$3,$I$3, $N$3, , $J$3, $K$3)*1000000/_xll.ciqfunctions.udf.CIQ($B14,"IQ_EMPLOYEES",VU$3,$I$3, $N$3, , $J$3, $K$3)),"")</f>
        <v/>
      </c>
      <c r="VV14" s="93" t="str">
        <f>IFERROR(IF(OR($B14="",VV$3=""),"",_xll.ciqfunctions.udf.CIQ($B14,"IQ_RD_EXP",VV$3,$I$3, $N$3, , $J$3, $K$3)*1000000/_xll.ciqfunctions.udf.CIQ($B14,"IQ_EMPLOYEES",VV$3,$I$3, $N$3, , $J$3, $K$3)),"")</f>
        <v/>
      </c>
      <c r="VW14" s="93" t="str">
        <f>IFERROR(IF(OR($B14="",VW$3=""),"",_xll.ciqfunctions.udf.CIQ($B14,"IQ_RD_EXP",VW$3,$I$3, $N$3, , $J$3, $K$3)*1000000/_xll.ciqfunctions.udf.CIQ($B14,"IQ_EMPLOYEES",VW$3,$I$3, $N$3, , $J$3, $K$3)),"")</f>
        <v/>
      </c>
      <c r="VX14" s="93" t="str">
        <f>IFERROR(IF(OR($B14="",VX$3=""),"",_xll.ciqfunctions.udf.CIQ($B14,"IQ_RD_EXP",VX$3,$I$3, $N$3, , $J$3, $K$3)*1000000/_xll.ciqfunctions.udf.CIQ($B14,"IQ_EMPLOYEES",VX$3,$I$3, $N$3, , $J$3, $K$3)),"")</f>
        <v/>
      </c>
      <c r="VY14" s="93" t="str">
        <f>IFERROR(IF(OR($B14="",VY$3=""),"",_xll.ciqfunctions.udf.CIQ($B14,"IQ_RD_EXP",VY$3,$I$3, $N$3, , $J$3, $K$3)*1000000/_xll.ciqfunctions.udf.CIQ($B14,"IQ_EMPLOYEES",VY$3,$I$3, $N$3, , $J$3, $K$3)),"")</f>
        <v/>
      </c>
      <c r="VZ14" s="93" t="str">
        <f>IFERROR(IF(OR($B14="",VZ$3=""),"",_xll.ciqfunctions.udf.CIQ($B14,"IQ_RD_EXP",VZ$3,$I$3, $N$3, , $J$3, $K$3)*1000000/_xll.ciqfunctions.udf.CIQ($B14,"IQ_EMPLOYEES",VZ$3,$I$3, $N$3, , $J$3, $K$3)),"")</f>
        <v/>
      </c>
      <c r="WA14" s="93" t="str">
        <f>IFERROR(IF(OR($B14="",WA$3=""),"",_xll.ciqfunctions.udf.CIQ($B14,"IQ_RD_EXP",WA$3,$I$3, $N$3, , $J$3, $K$3)*1000000/_xll.ciqfunctions.udf.CIQ($B14,"IQ_EMPLOYEES",WA$3,$I$3, $N$3, , $J$3, $K$3)),"")</f>
        <v/>
      </c>
      <c r="WB14" s="93" t="str">
        <f>IFERROR(IF(OR($B14="",WB$3=""),"",_xll.ciqfunctions.udf.CIQ($B14,"IQ_RD_EXP",WB$3,$I$3, $N$3, , $J$3, $K$3)*1000000/_xll.ciqfunctions.udf.CIQ($B14,"IQ_EMPLOYEES",WB$3,$I$3, $N$3, , $J$3, $K$3)),"")</f>
        <v/>
      </c>
      <c r="WC14" s="93" t="str">
        <f>IFERROR(IF(OR($B14="",WC$3=""),"",_xll.ciqfunctions.udf.CIQ($B14,"IQ_RD_EXP",WC$3,$I$3, $N$3, , $J$3, $K$3)*1000000/_xll.ciqfunctions.udf.CIQ($B14,"IQ_EMPLOYEES",WC$3,$I$3, $N$3, , $J$3, $K$3)),"")</f>
        <v/>
      </c>
      <c r="WD14" s="93" t="str">
        <f>IFERROR(IF(OR($B14="",WD$3=""),"",_xll.ciqfunctions.udf.CIQ($B14,"IQ_RD_EXP",WD$3,$I$3, $N$3, , $J$3, $K$3)*1000000/_xll.ciqfunctions.udf.CIQ($B14,"IQ_EMPLOYEES",WD$3,$I$3, $N$3, , $J$3, $K$3)),"")</f>
        <v/>
      </c>
      <c r="WE14" s="93" t="str">
        <f>IFERROR(IF(OR($B14="",WE$3=""),"",_xll.ciqfunctions.udf.CIQ($B14,"IQ_RD_EXP",WE$3,$I$3, $N$3, , $J$3, $K$3)*1000000/_xll.ciqfunctions.udf.CIQ($B14,"IQ_EMPLOYEES",WE$3,$I$3, $N$3, , $J$3, $K$3)),"")</f>
        <v/>
      </c>
      <c r="WF14" s="93" t="str">
        <f>IFERROR(IF(OR($B14="",WF$3=""),"",_xll.ciqfunctions.udf.CIQ($B14,"IQ_RD_EXP",WF$3,$I$3, $N$3, , $J$3, $K$3)*1000000/_xll.ciqfunctions.udf.CIQ($B14,"IQ_EMPLOYEES",WF$3,$I$3, $N$3, , $J$3, $K$3)),"")</f>
        <v/>
      </c>
      <c r="WG14" s="93" t="str">
        <f>IFERROR(IF(OR($B14="",WG$3=""),"",_xll.ciqfunctions.udf.CIQ($B14,"IQ_RD_EXP",WG$3,$I$3, $N$3, , $J$3, $K$3)*1000000/_xll.ciqfunctions.udf.CIQ($B14,"IQ_EMPLOYEES",WG$3,$I$3, $N$3, , $J$3, $K$3)),"")</f>
        <v/>
      </c>
      <c r="WH14" s="93" t="str">
        <f>IFERROR(IF(OR($B14="",WH$3=""),"",_xll.ciqfunctions.udf.CIQ($B14,"IQ_RD_EXP",WH$3,$I$3, $N$3, , $J$3, $K$3)*1000000/_xll.ciqfunctions.udf.CIQ($B14,"IQ_EMPLOYEES",WH$3,$I$3, $N$3, , $J$3, $K$3)),"")</f>
        <v/>
      </c>
      <c r="WI14" s="93" t="str">
        <f>IFERROR(IF(OR($B14="",WI$3=""),"",_xll.ciqfunctions.udf.CIQ($B14,"IQ_RD_EXP",WI$3,$I$3, $N$3, , $J$3, $K$3)*1000000/_xll.ciqfunctions.udf.CIQ($B14,"IQ_EMPLOYEES",WI$3,$I$3, $N$3, , $J$3, $K$3)),"")</f>
        <v/>
      </c>
      <c r="WJ14" s="93" t="str">
        <f>IFERROR(IF(OR($B14="",WJ$3=""),"",_xll.ciqfunctions.udf.CIQ($B14,"IQ_RD_EXP",WJ$3,$I$3, $N$3, , $J$3, $K$3)*1000000/_xll.ciqfunctions.udf.CIQ($B14,"IQ_EMPLOYEES",WJ$3,$I$3, $N$3, , $J$3, $K$3)),"")</f>
        <v/>
      </c>
      <c r="WK14" s="93" t="str">
        <f>IFERROR(IF(OR($B14="",WK$3=""),"",_xll.ciqfunctions.udf.CIQ($B14,"IQ_RD_EXP",WK$3,$I$3, $N$3, , $J$3, $K$3)*1000000/_xll.ciqfunctions.udf.CIQ($B14,"IQ_EMPLOYEES",WK$3,$I$3, $N$3, , $J$3, $K$3)),"")</f>
        <v/>
      </c>
      <c r="WL14" s="93" t="str">
        <f>IFERROR(IF(OR($B14="",TJ$3=""),"",_xll.ciqfunctions.udf.CIQ($B14,"IQ_RD_EXP",GH$3,,,,"USD")*1000000/_xll.ciqfunctions.udf.CIQ($B14,"IQ_EMPLOYEES",WL$3,,,,"USD")),"")</f>
        <v/>
      </c>
      <c r="WM14" s="93" t="str">
        <f>IFERROR(IF(OR($B14="",TK$3=""),"",_xll.ciqfunctions.udf.CIQ($B14,"IQ_RD_EXP",GI$3,,,,"USD")*1000000/_xll.ciqfunctions.udf.CIQ($B14,"IQ_EMPLOYEES",WM$3,,,,"USD")),"")</f>
        <v/>
      </c>
      <c r="WN14" s="94" t="str">
        <f>IFERROR(IF(OR($B14="",TL$3=""),"",_xll.ciqfunctions.udf.CIQ($B14,"IQ_RD_EXP",GJ$3,,,,"USD")*1000000/_xll.ciqfunctions.udf.CIQ($B14,"IQ_EMPLOYEES",WN$3,,,,"USD")),"")</f>
        <v/>
      </c>
      <c r="WO14" s="620" t="str">
        <f>IFERROR(IF(OR($B14="",WO$4=""),"",_xll.ciqfunctions.udf.CIQ($B14,"IQ_LASTSALEPRICE",WO$4)),"")</f>
        <v/>
      </c>
      <c r="WP14" s="620" t="str">
        <f>IFERROR(IF(OR($B14="",WP$4=""),"",_xll.ciqfunctions.udf.CIQ($B14,"IQ_LASTSALEPRICE",WP$4)),"")</f>
        <v/>
      </c>
      <c r="WQ14" s="620" t="str">
        <f>IFERROR(IF(OR($B14="",WQ$4=""),"",_xll.ciqfunctions.udf.CIQ($B14,"IQ_LASTSALEPRICE",WQ$4)),"")</f>
        <v/>
      </c>
      <c r="WR14" s="620" t="str">
        <f>IFERROR(IF(OR($B14="",WR$4=""),"",_xll.ciqfunctions.udf.CIQ($B14,"IQ_LASTSALEPRICE",WR$4)),"")</f>
        <v/>
      </c>
      <c r="WS14" s="620" t="str">
        <f>IFERROR(IF(OR($B14="",WS$4=""),"",_xll.ciqfunctions.udf.CIQ($B14,"IQ_LASTSALEPRICE",WS$4)),"")</f>
        <v/>
      </c>
      <c r="WT14" s="620" t="str">
        <f>IFERROR(IF(OR($B14="",WT$4=""),"",_xll.ciqfunctions.udf.CIQ($B14,"IQ_LASTSALEPRICE",WT$4)),"")</f>
        <v/>
      </c>
      <c r="WU14" s="620" t="str">
        <f>IFERROR(IF(OR($B14="",WU$4=""),"",_xll.ciqfunctions.udf.CIQ($B14,"IQ_LASTSALEPRICE",WU$4)),"")</f>
        <v/>
      </c>
      <c r="WV14" s="620" t="str">
        <f>IFERROR(IF(OR($B14="",WV$4=""),"",_xll.ciqfunctions.udf.CIQ($B14,"IQ_LASTSALEPRICE",WV$4)),"")</f>
        <v/>
      </c>
      <c r="WW14" s="620" t="str">
        <f>IFERROR(IF(OR($B14="",WW$4=""),"",_xll.ciqfunctions.udf.CIQ($B14,"IQ_LASTSALEPRICE",WW$4)),"")</f>
        <v/>
      </c>
      <c r="WX14" s="620" t="str">
        <f>IFERROR(IF(OR($B14="",WX$4=""),"",_xll.ciqfunctions.udf.CIQ($B14,"IQ_LASTSALEPRICE",WX$4)),"")</f>
        <v/>
      </c>
      <c r="WY14" s="620" t="str">
        <f>IFERROR(IF(OR($B14="",WY$4=""),"",_xll.ciqfunctions.udf.CIQ($B14,"IQ_LASTSALEPRICE",WY$4)),"")</f>
        <v/>
      </c>
      <c r="WZ14" s="620" t="str">
        <f>IFERROR(IF(OR($B14="",WZ$4=""),"",_xll.ciqfunctions.udf.CIQ($B14,"IQ_LASTSALEPRICE",WZ$4)),"")</f>
        <v/>
      </c>
      <c r="XA14" s="620" t="str">
        <f>IFERROR(IF(OR($B14="",XA$4=""),"",_xll.ciqfunctions.udf.CIQ($B14,"IQ_LASTSALEPRICE",XA$4)),"")</f>
        <v/>
      </c>
      <c r="XB14" s="620" t="str">
        <f>IFERROR(IF(OR($B14="",XB$4=""),"",_xll.ciqfunctions.udf.CIQ($B14,"IQ_LASTSALEPRICE",XB$4)),"")</f>
        <v/>
      </c>
      <c r="XC14" s="620" t="str">
        <f>IFERROR(IF(OR($B14="",XC$4=""),"",_xll.ciqfunctions.udf.CIQ($B14,"IQ_LASTSALEPRICE",XC$4)),"")</f>
        <v/>
      </c>
      <c r="XD14" s="620" t="str">
        <f>IFERROR(IF(OR($B14="",XD$4=""),"",_xll.ciqfunctions.udf.CIQ($B14,"IQ_LASTSALEPRICE",XD$4)),"")</f>
        <v/>
      </c>
      <c r="XE14" s="620" t="str">
        <f>IFERROR(IF(OR($B14="",XE$4=""),"",_xll.ciqfunctions.udf.CIQ($B14,"IQ_LASTSALEPRICE",XE$4)),"")</f>
        <v/>
      </c>
      <c r="XF14" s="620" t="str">
        <f>IFERROR(IF(OR($B14="",XF$4=""),"",_xll.ciqfunctions.udf.CIQ($B14,"IQ_LASTSALEPRICE",XF$4)),"")</f>
        <v/>
      </c>
      <c r="XG14" s="620" t="str">
        <f>IFERROR(IF(OR($B14="",XG$4=""),"",_xll.ciqfunctions.udf.CIQ($B14,"IQ_LASTSALEPRICE",XG$4)),"")</f>
        <v/>
      </c>
      <c r="XH14" s="620" t="str">
        <f>IFERROR(IF(OR($B14="",XH$4=""),"",_xll.ciqfunctions.udf.CIQ($B14,"IQ_LASTSALEPRICE",XH$4)),"")</f>
        <v/>
      </c>
      <c r="XI14" s="72" t="str">
        <f>IFERROR(IF(OR($B14="",XI$3=""),"",_xll.ciqfunctions.udf.CIQ($B14,"IQ_TOTAL_REV_1YR_ANN_GROWTH",XI$3,$I$3, $N$3, , $J$3, $K$3)/100),"")</f>
        <v/>
      </c>
      <c r="XJ14" s="72" t="str">
        <f>IFERROR(IF(OR($B14="",XJ$3=""),"",_xll.ciqfunctions.udf.CIQ($B14,"IQ_TOTAL_REV_1YR_ANN_GROWTH",XJ$3,$I$3, $N$3, , $J$3, $K$3)/100),"")</f>
        <v/>
      </c>
      <c r="XK14" s="72" t="str">
        <f>IFERROR(IF(OR($B14="",XK$3=""),"",_xll.ciqfunctions.udf.CIQ($B14,"IQ_TOTAL_REV_1YR_ANN_GROWTH",XK$3,$I$3, $N$3, , $J$3, $K$3)/100),"")</f>
        <v/>
      </c>
      <c r="XL14" s="72" t="str">
        <f>IFERROR(IF(OR($B14="",XL$3=""),"",_xll.ciqfunctions.udf.CIQ($B14,"IQ_TOTAL_REV_1YR_ANN_GROWTH",XL$3,$I$3, $N$3, , $J$3, $K$3)/100),"")</f>
        <v/>
      </c>
      <c r="XM14" s="72" t="str">
        <f>IFERROR(IF(OR($B14="",XM$3=""),"",_xll.ciqfunctions.udf.CIQ($B14,"IQ_TOTAL_REV_1YR_ANN_GROWTH",XM$3,$I$3, $N$3, , $J$3, $K$3)/100),"")</f>
        <v/>
      </c>
      <c r="XN14" s="72" t="str">
        <f>IFERROR(IF(OR($B14="",XN$3=""),"",_xll.ciqfunctions.udf.CIQ($B14,"IQ_TOTAL_REV_1YR_ANN_GROWTH",XN$3,$I$3, $N$3, , $J$3, $K$3)/100),"")</f>
        <v/>
      </c>
      <c r="XO14" s="72" t="str">
        <f>IFERROR(IF(OR($B14="",XO$3=""),"",_xll.ciqfunctions.udf.CIQ($B14,"IQ_TOTAL_REV_1YR_ANN_GROWTH",XO$3,$I$3, $N$3, , $J$3, $K$3)/100),"")</f>
        <v/>
      </c>
      <c r="XP14" s="72" t="str">
        <f>IFERROR(IF(OR($B14="",XP$3=""),"",_xll.ciqfunctions.udf.CIQ($B14,"IQ_TOTAL_REV_1YR_ANN_GROWTH",XP$3,$I$3, $N$3, , $J$3, $K$3)/100),"")</f>
        <v/>
      </c>
      <c r="XQ14" s="72" t="str">
        <f>IFERROR(IF(OR($B14="",XQ$3=""),"",_xll.ciqfunctions.udf.CIQ($B14,"IQ_TOTAL_REV_1YR_ANN_GROWTH",XQ$3,$I$3, $N$3, , $J$3, $K$3)/100),"")</f>
        <v/>
      </c>
      <c r="XR14" s="72" t="str">
        <f>IFERROR(IF(OR($B14="",XR$3=""),"",_xll.ciqfunctions.udf.CIQ($B14,"IQ_TOTAL_REV_1YR_ANN_GROWTH",XR$3,$I$3, $N$3, , $J$3, $K$3)/100),"")</f>
        <v/>
      </c>
      <c r="XS14" s="72" t="str">
        <f>IFERROR(IF(OR($B14="",XS$3=""),"",_xll.ciqfunctions.udf.CIQ($B14,"IQ_TOTAL_REV_1YR_ANN_GROWTH",XS$3,$I$3, $N$3, , $J$3, $K$3)/100),"")</f>
        <v/>
      </c>
      <c r="XT14" s="72" t="str">
        <f>IFERROR(IF(OR($B14="",XT$3=""),"",_xll.ciqfunctions.udf.CIQ($B14,"IQ_TOTAL_REV_1YR_ANN_GROWTH",XT$3,$I$3, $N$3, , $J$3, $K$3)/100),"")</f>
        <v/>
      </c>
      <c r="XU14" s="72" t="str">
        <f>IFERROR(IF(OR($B14="",XU$3=""),"",_xll.ciqfunctions.udf.CIQ($B14,"IQ_TOTAL_REV_1YR_ANN_GROWTH",XU$3,$I$3, $N$3, , $J$3, $K$3)/100),"")</f>
        <v/>
      </c>
      <c r="XV14" s="72" t="str">
        <f>IFERROR(IF(OR($B14="",XV$3=""),"",_xll.ciqfunctions.udf.CIQ($B14,"IQ_TOTAL_REV_1YR_ANN_GROWTH",XV$3,$I$3, $N$3, , $J$3, $K$3)/100),"")</f>
        <v/>
      </c>
      <c r="XW14" s="72" t="str">
        <f>IFERROR(IF(OR($B14="",XW$3=""),"",_xll.ciqfunctions.udf.CIQ($B14,"IQ_TOTAL_REV_1YR_ANN_GROWTH",XW$3,$I$3, $N$3, , $J$3, $K$3)/100),"")</f>
        <v/>
      </c>
      <c r="XX14" s="72" t="str">
        <f>IFERROR(IF(OR($B14="",XX$3=""),"",_xll.ciqfunctions.udf.CIQ($B14,"IQ_TOTAL_REV_1YR_ANN_GROWTH",XX$3,$I$3, $N$3, , $J$3, $K$3)/100),"")</f>
        <v/>
      </c>
      <c r="XY14" s="72" t="str">
        <f>IFERROR(IF(OR($B14="",XY$3=""),"",_xll.ciqfunctions.udf.CIQ($B14,"IQ_TOTAL_REV_1YR_ANN_GROWTH",XY$3,$I$3, $N$3, , $J$3, $K$3)/100),"")</f>
        <v/>
      </c>
      <c r="XZ14" s="72" t="str">
        <f>IFERROR(IF(OR($B14="",XZ$3=""),"",_xll.ciqfunctions.udf.CIQ($B14,"IQ_TOTAL_REV_1YR_ANN_GROWTH",XZ$3,$I$3, $N$3, , $J$3, $K$3)/100),"")</f>
        <v/>
      </c>
      <c r="YA14" s="72" t="str">
        <f>IFERROR(IF(OR($B14="",YA$3=""),"",_xll.ciqfunctions.udf.CIQ($B14,"IQ_TOTAL_REV_1YR_ANN_GROWTH",YA$3,$I$3, $N$3, , $J$3, $K$3)/100),"")</f>
        <v/>
      </c>
      <c r="YB14" s="72" t="str">
        <f>IFERROR(IF(OR($B14="",YB$3=""),"",_xll.ciqfunctions.udf.CIQ($B14,"IQ_TOTAL_REV_1YR_ANN_GROWTH",YB$3,$I$3, $N$3, , $J$3, $K$3)/100),"")</f>
        <v/>
      </c>
      <c r="YC14" s="627" t="str">
        <f>IFERROR(IF(OR($B14="",YC$4=""),"",_xll.ciqfunctions.udf.CIQ($B14,"IQ_TEV",YC$4)),"")</f>
        <v/>
      </c>
      <c r="YD14" s="627" t="str">
        <f>IFERROR(IF(OR($B14="",YD$4=""),"",_xll.ciqfunctions.udf.CIQ($B14,"IQ_TEV",YD$4)),"")</f>
        <v/>
      </c>
      <c r="YE14" s="627" t="str">
        <f>IFERROR(IF(OR($B14="",YE$4=""),"",_xll.ciqfunctions.udf.CIQ($B14,"IQ_TEV",YE$4)),"")</f>
        <v/>
      </c>
      <c r="YF14" s="627" t="str">
        <f>IFERROR(IF(OR($B14="",YF$4=""),"",_xll.ciqfunctions.udf.CIQ($B14,"IQ_TEV",YF$4)),"")</f>
        <v/>
      </c>
      <c r="YG14" s="627" t="str">
        <f>IFERROR(IF(OR($B14="",YG$4=""),"",_xll.ciqfunctions.udf.CIQ($B14,"IQ_TEV",YG$4)),"")</f>
        <v/>
      </c>
      <c r="YH14" s="627" t="str">
        <f>IFERROR(IF(OR($B14="",YH$4=""),"",_xll.ciqfunctions.udf.CIQ($B14,"IQ_TEV",YH$4)),"")</f>
        <v/>
      </c>
      <c r="YI14" s="627" t="str">
        <f>IFERROR(IF(OR($B14="",YI$4=""),"",_xll.ciqfunctions.udf.CIQ($B14,"IQ_TEV",YI$4)),"")</f>
        <v/>
      </c>
      <c r="YJ14" s="627" t="str">
        <f>IFERROR(IF(OR($B14="",YJ$4=""),"",_xll.ciqfunctions.udf.CIQ($B14,"IQ_TEV",YJ$4)),"")</f>
        <v/>
      </c>
      <c r="YK14" s="627" t="str">
        <f>IFERROR(IF(OR($B14="",YK$4=""),"",_xll.ciqfunctions.udf.CIQ($B14,"IQ_TEV",YK$4)),"")</f>
        <v/>
      </c>
      <c r="YL14" s="627" t="str">
        <f>IFERROR(IF(OR($B14="",YL$4=""),"",_xll.ciqfunctions.udf.CIQ($B14,"IQ_TEV",YL$4)),"")</f>
        <v/>
      </c>
      <c r="YM14" s="627" t="str">
        <f>IFERROR(IF(OR($B14="",YM$4=""),"",_xll.ciqfunctions.udf.CIQ($B14,"IQ_TEV",YM$4)),"")</f>
        <v/>
      </c>
      <c r="YN14" s="627" t="str">
        <f>IFERROR(IF(OR($B14="",YN$4=""),"",_xll.ciqfunctions.udf.CIQ($B14,"IQ_TEV",YN$4)),"")</f>
        <v/>
      </c>
      <c r="YO14" s="627" t="str">
        <f>IFERROR(IF(OR($B14="",YO$4=""),"",_xll.ciqfunctions.udf.CIQ($B14,"IQ_TEV",YO$4)),"")</f>
        <v/>
      </c>
      <c r="YP14" s="627" t="str">
        <f>IFERROR(IF(OR($B14="",YP$4=""),"",_xll.ciqfunctions.udf.CIQ($B14,"IQ_TEV",YP$4)),"")</f>
        <v/>
      </c>
      <c r="YQ14" s="627" t="str">
        <f>IFERROR(IF(OR($B14="",YQ$4=""),"",_xll.ciqfunctions.udf.CIQ($B14,"IQ_TEV",YQ$4)),"")</f>
        <v/>
      </c>
      <c r="YR14" s="627" t="str">
        <f>IFERROR(IF(OR($B14="",YR$4=""),"",_xll.ciqfunctions.udf.CIQ($B14,"IQ_TEV",YR$4)),"")</f>
        <v/>
      </c>
      <c r="YS14" s="627" t="str">
        <f>IFERROR(IF(OR($B14="",YS$4=""),"",_xll.ciqfunctions.udf.CIQ($B14,"IQ_TEV",YS$4)),"")</f>
        <v/>
      </c>
      <c r="YT14" s="627" t="str">
        <f>IFERROR(IF(OR($B14="",YT$4=""),"",_xll.ciqfunctions.udf.CIQ($B14,"IQ_TEV",YT$4)),"")</f>
        <v/>
      </c>
      <c r="YU14" s="627" t="str">
        <f>IFERROR(IF(OR($B14="",YU$4=""),"",_xll.ciqfunctions.udf.CIQ($B14,"IQ_TEV",YU$4)),"")</f>
        <v/>
      </c>
      <c r="YV14" s="627" t="str">
        <f>IFERROR(IF(OR($B14="",YV$4=""),"",_xll.ciqfunctions.udf.CIQ($B14,"IQ_TEV",YV$4)),"")</f>
        <v/>
      </c>
      <c r="YW14" s="72" t="str">
        <f>IFERROR(IF(OR($B14="",YW$3=""),"",(_xll.ciqfunctions.udf.CIQ($B14,"IQ_LASTSALEPRICE",YW$4)/_xll.ciqfunctions.udf.CIQ($B14,"IQ_LASTSALEPRICE",YW$2)-1)+(_xll.ciqfunctions.udf.CIQ($B14, "IQ_DPS_1YR_ANN_GROWTH", "IQ_LTM", YW$4)/100)),"")</f>
        <v/>
      </c>
      <c r="YX14" s="72" t="str">
        <f>IFERROR(IF(OR($B14="",YX$3=""),"",(_xll.ciqfunctions.udf.CIQ($B14,"IQ_LASTSALEPRICE",YX$4)/_xll.ciqfunctions.udf.CIQ($B14,"IQ_LASTSALEPRICE",YX$2)-1)+(_xll.ciqfunctions.udf.CIQ($B14, "IQ_DPS_1YR_ANN_GROWTH", "IQ_LTM", YX$4)/100)),"")</f>
        <v/>
      </c>
      <c r="YY14" s="72" t="str">
        <f>IFERROR(IF(OR($B14="",YY$3=""),"",(_xll.ciqfunctions.udf.CIQ($B14,"IQ_LASTSALEPRICE",YY$4)/_xll.ciqfunctions.udf.CIQ($B14,"IQ_LASTSALEPRICE",YY$2)-1)+(_xll.ciqfunctions.udf.CIQ($B14, "IQ_DPS_1YR_ANN_GROWTH", "IQ_LTM", YY$4)/100)),"")</f>
        <v/>
      </c>
      <c r="YZ14" s="72" t="str">
        <f>IFERROR(IF(OR($B14="",YZ$3=""),"",(_xll.ciqfunctions.udf.CIQ($B14,"IQ_LASTSALEPRICE",YZ$4)/_xll.ciqfunctions.udf.CIQ($B14,"IQ_LASTSALEPRICE",YZ$2)-1)+(_xll.ciqfunctions.udf.CIQ($B14, "IQ_DPS_1YR_ANN_GROWTH", "IQ_LTM", YZ$4)/100)),"")</f>
        <v/>
      </c>
      <c r="ZA14" s="72" t="str">
        <f>IFERROR(IF(OR($B14="",ZA$3=""),"",(_xll.ciqfunctions.udf.CIQ($B14,"IQ_LASTSALEPRICE",ZA$4)/_xll.ciqfunctions.udf.CIQ($B14,"IQ_LASTSALEPRICE",ZA$2)-1)+(_xll.ciqfunctions.udf.CIQ($B14, "IQ_DPS_1YR_ANN_GROWTH", "IQ_LTM", ZA$4)/100)),"")</f>
        <v/>
      </c>
      <c r="ZB14" s="72" t="str">
        <f>IFERROR(IF(OR($B14="",ZB$3=""),"",(_xll.ciqfunctions.udf.CIQ($B14,"IQ_LASTSALEPRICE",ZB$4)/_xll.ciqfunctions.udf.CIQ($B14,"IQ_LASTSALEPRICE",ZB$2)-1)+(_xll.ciqfunctions.udf.CIQ($B14, "IQ_DPS_1YR_ANN_GROWTH", "IQ_LTM", ZB$4)/100)),"")</f>
        <v/>
      </c>
      <c r="ZC14" s="72" t="str">
        <f>IFERROR(IF(OR($B14="",ZC$3=""),"",(_xll.ciqfunctions.udf.CIQ($B14,"IQ_LASTSALEPRICE",ZC$4)/_xll.ciqfunctions.udf.CIQ($B14,"IQ_LASTSALEPRICE",ZC$2)-1)+(_xll.ciqfunctions.udf.CIQ($B14, "IQ_DPS_1YR_ANN_GROWTH", "IQ_LTM", ZC$4)/100)),"")</f>
        <v/>
      </c>
      <c r="ZD14" s="72" t="str">
        <f>IFERROR(IF(OR($B14="",ZD$3=""),"",(_xll.ciqfunctions.udf.CIQ($B14,"IQ_LASTSALEPRICE",ZD$4)/_xll.ciqfunctions.udf.CIQ($B14,"IQ_LASTSALEPRICE",ZD$2)-1)+(_xll.ciqfunctions.udf.CIQ($B14, "IQ_DPS_1YR_ANN_GROWTH", "IQ_LTM", ZD$4)/100)),"")</f>
        <v/>
      </c>
      <c r="ZE14" s="72" t="str">
        <f>IFERROR(IF(OR($B14="",ZE$3=""),"",(_xll.ciqfunctions.udf.CIQ($B14,"IQ_LASTSALEPRICE",ZE$4)/_xll.ciqfunctions.udf.CIQ($B14,"IQ_LASTSALEPRICE",ZE$2)-1)+(_xll.ciqfunctions.udf.CIQ($B14, "IQ_DPS_1YR_ANN_GROWTH", "IQ_LTM", ZE$4)/100)),"")</f>
        <v/>
      </c>
      <c r="ZF14" s="72" t="str">
        <f>IFERROR(IF(OR($B14="",ZF$3=""),"",(_xll.ciqfunctions.udf.CIQ($B14,"IQ_LASTSALEPRICE",ZF$4)/_xll.ciqfunctions.udf.CIQ($B14,"IQ_LASTSALEPRICE",ZF$2)-1)+(_xll.ciqfunctions.udf.CIQ($B14, "IQ_DPS_1YR_ANN_GROWTH", "IQ_LTM", ZF$4)/100)),"")</f>
        <v/>
      </c>
      <c r="ZG14" s="72" t="str">
        <f>IFERROR(IF(OR($B14="",ZG$3=""),"",(_xll.ciqfunctions.udf.CIQ($B14,"IQ_LASTSALEPRICE",ZG$4)/_xll.ciqfunctions.udf.CIQ($B14,"IQ_LASTSALEPRICE",ZG$2)-1)+(_xll.ciqfunctions.udf.CIQ($B14, "IQ_DPS_1YR_ANN_GROWTH", "IQ_LTM", ZG$4)/100)),"")</f>
        <v/>
      </c>
      <c r="ZH14" s="72" t="str">
        <f>IFERROR(IF(OR($B14="",ZH$3=""),"",(_xll.ciqfunctions.udf.CIQ($B14,"IQ_LASTSALEPRICE",ZH$4)/_xll.ciqfunctions.udf.CIQ($B14,"IQ_LASTSALEPRICE",ZH$2)-1)+(_xll.ciqfunctions.udf.CIQ($B14, "IQ_DPS_1YR_ANN_GROWTH", "IQ_LTM", ZH$4)/100)),"")</f>
        <v/>
      </c>
      <c r="ZI14" s="72" t="str">
        <f>IFERROR(IF(OR($B14="",ZI$3=""),"",(_xll.ciqfunctions.udf.CIQ($B14,"IQ_LASTSALEPRICE",ZI$4)/_xll.ciqfunctions.udf.CIQ($B14,"IQ_LASTSALEPRICE",ZI$2)-1)+(_xll.ciqfunctions.udf.CIQ($B14, "IQ_DPS_1YR_ANN_GROWTH", "IQ_LTM", ZI$4)/100)),"")</f>
        <v/>
      </c>
      <c r="ZJ14" s="72" t="str">
        <f>IFERROR(IF(OR($B14="",ZJ$3=""),"",(_xll.ciqfunctions.udf.CIQ($B14,"IQ_LASTSALEPRICE",ZJ$4)/_xll.ciqfunctions.udf.CIQ($B14,"IQ_LASTSALEPRICE",ZJ$2)-1)+(_xll.ciqfunctions.udf.CIQ($B14, "IQ_DPS_1YR_ANN_GROWTH", "IQ_LTM", ZJ$4)/100)),"")</f>
        <v/>
      </c>
      <c r="ZK14" s="72" t="str">
        <f>IFERROR(IF(OR($B14="",ZK$3=""),"",(_xll.ciqfunctions.udf.CIQ($B14,"IQ_LASTSALEPRICE",ZK$4)/_xll.ciqfunctions.udf.CIQ($B14,"IQ_LASTSALEPRICE",ZK$2)-1)+(_xll.ciqfunctions.udf.CIQ($B14, "IQ_DPS_1YR_ANN_GROWTH", "IQ_LTM", ZK$4)/100)),"")</f>
        <v/>
      </c>
      <c r="ZL14" s="72" t="str">
        <f>IFERROR(IF(OR($B14="",ZL$3=""),"",(_xll.ciqfunctions.udf.CIQ($B14,"IQ_LASTSALEPRICE",ZL$4)/_xll.ciqfunctions.udf.CIQ($B14,"IQ_LASTSALEPRICE",ZL$2)-1)+(_xll.ciqfunctions.udf.CIQ($B14, "IQ_DPS_1YR_ANN_GROWTH", "IQ_LTM", ZL$4)/100)),"")</f>
        <v/>
      </c>
      <c r="ZM14" s="72" t="str">
        <f>IFERROR(IF(OR($B14="",ZM$3=""),"",(_xll.ciqfunctions.udf.CIQ($B14,"IQ_LASTSALEPRICE",ZM$4)/_xll.ciqfunctions.udf.CIQ($B14,"IQ_LASTSALEPRICE",ZM$2)-1)+(_xll.ciqfunctions.udf.CIQ($B14, "IQ_DPS_1YR_ANN_GROWTH", "IQ_LTM", ZM$4)/100)),"")</f>
        <v/>
      </c>
      <c r="ZN14" s="72" t="str">
        <f>IFERROR(IF(OR($B14="",ZN$3=""),"",(_xll.ciqfunctions.udf.CIQ($B14,"IQ_LASTSALEPRICE",ZN$4)/_xll.ciqfunctions.udf.CIQ($B14,"IQ_LASTSALEPRICE",ZN$2)-1)+(_xll.ciqfunctions.udf.CIQ($B14, "IQ_DPS_1YR_ANN_GROWTH", "IQ_LTM", ZN$4)/100)),"")</f>
        <v/>
      </c>
      <c r="ZO14" s="72" t="str">
        <f>IFERROR(IF(OR($B14="",ZO$3=""),"",(_xll.ciqfunctions.udf.CIQ($B14,"IQ_LASTSALEPRICE",ZO$4)/_xll.ciqfunctions.udf.CIQ($B14,"IQ_LASTSALEPRICE",ZO$2)-1)+(_xll.ciqfunctions.udf.CIQ($B14, "IQ_DPS_1YR_ANN_GROWTH", "IQ_LTM", ZO$4)/100)),"")</f>
        <v/>
      </c>
      <c r="ZP14" s="72" t="str">
        <f>IFERROR(IF(OR($B14="",ZP$3=""),"",(_xll.ciqfunctions.udf.CIQ($B14,"IQ_LASTSALEPRICE",ZP$4)/_xll.ciqfunctions.udf.CIQ($B14,"IQ_LASTSALEPRICE",ZP$2)-1)+(_xll.ciqfunctions.udf.CIQ($B14, "IQ_DPS_1YR_ANN_GROWTH", "IQ_LTM", ZP$4)/100)),"")</f>
        <v/>
      </c>
      <c r="ZQ14" s="72" t="str">
        <f>IFERROR(IF(OR($B14="",ZQ$3=""),"",_xll.ciqfunctions.udf.CIQ($B14,"IQ_NI",$O$3,ZQ$3, $N$3, , $J$3, $K$3)*2/(_xll.ciqfunctions.udf.CIQ($B14,"IQ_TOTAL_CAP",ZQ$3,$I$3, $N$3, , $J$3, $K$3)+_xll.ciqfunctions.udf.CIQ($B14,"IQ_TOTAL_CAP","IQ_" &amp; LEFT(ZQ$3,2) &amp; "-1", ZQ$3, $N$3, , $J$3, $K$3))),"")</f>
        <v/>
      </c>
      <c r="ZR14" s="72" t="str">
        <f>IFERROR(IF(OR($B14="",ZR$3=""),"",_xll.ciqfunctions.udf.CIQ($B14,"IQ_NI",$O$3,ZR$3, $N$3, , $J$3, $K$3)*2/(_xll.ciqfunctions.udf.CIQ($B14,"IQ_TOTAL_CAP",ZR$3,$I$3, $N$3, , $J$3, $K$3)+_xll.ciqfunctions.udf.CIQ($B14,"IQ_TOTAL_CAP","IQ_" &amp; LEFT(ZR$3,2) &amp; "-1", ZR$3, $N$3, , $J$3, $K$3))),"")</f>
        <v/>
      </c>
      <c r="ZS14" s="72" t="str">
        <f>IFERROR(IF(OR($B14="",ZS$3=""),"",_xll.ciqfunctions.udf.CIQ($B14,"IQ_NI",$O$3,ZS$3, $N$3, , $J$3, $K$3)*2/(_xll.ciqfunctions.udf.CIQ($B14,"IQ_TOTAL_CAP",ZS$3,$I$3, $N$3, , $J$3, $K$3)+_xll.ciqfunctions.udf.CIQ($B14,"IQ_TOTAL_CAP","IQ_" &amp; LEFT(ZS$3,2) &amp; "-1", ZS$3, $N$3, , $J$3, $K$3))),"")</f>
        <v/>
      </c>
      <c r="ZT14" s="72" t="str">
        <f>IFERROR(IF(OR($B14="",ZT$3=""),"",_xll.ciqfunctions.udf.CIQ($B14,"IQ_NI",$O$3,ZT$3, $N$3, , $J$3, $K$3)*2/(_xll.ciqfunctions.udf.CIQ($B14,"IQ_TOTAL_CAP",ZT$3,$I$3, $N$3, , $J$3, $K$3)+_xll.ciqfunctions.udf.CIQ($B14,"IQ_TOTAL_CAP","IQ_" &amp; LEFT(ZT$3,2) &amp; "-1", ZT$3, $N$3, , $J$3, $K$3))),"")</f>
        <v/>
      </c>
      <c r="ZU14" s="72" t="str">
        <f>IFERROR(IF(OR($B14="",ZU$3=""),"",_xll.ciqfunctions.udf.CIQ($B14,"IQ_NI",$O$3,ZU$3, $N$3, , $J$3, $K$3)*2/(_xll.ciqfunctions.udf.CIQ($B14,"IQ_TOTAL_CAP",ZU$3,$I$3, $N$3, , $J$3, $K$3)+_xll.ciqfunctions.udf.CIQ($B14,"IQ_TOTAL_CAP","IQ_" &amp; LEFT(ZU$3,2) &amp; "-1", ZU$3, $N$3, , $J$3, $K$3))),"")</f>
        <v/>
      </c>
      <c r="ZV14" s="72" t="str">
        <f>IFERROR(IF(OR($B14="",ZV$3=""),"",_xll.ciqfunctions.udf.CIQ($B14,"IQ_NI",$O$3,ZV$3, $N$3, , $J$3, $K$3)*2/(_xll.ciqfunctions.udf.CIQ($B14,"IQ_TOTAL_CAP",ZV$3,$I$3, $N$3, , $J$3, $K$3)+_xll.ciqfunctions.udf.CIQ($B14,"IQ_TOTAL_CAP","IQ_" &amp; LEFT(ZV$3,2) &amp; "-1", ZV$3, $N$3, , $J$3, $K$3))),"")</f>
        <v/>
      </c>
      <c r="ZW14" s="72" t="str">
        <f>IFERROR(IF(OR($B14="",ZW$3=""),"",_xll.ciqfunctions.udf.CIQ($B14,"IQ_NI",$O$3,ZW$3, $N$3, , $J$3, $K$3)*2/(_xll.ciqfunctions.udf.CIQ($B14,"IQ_TOTAL_CAP",ZW$3,$I$3, $N$3, , $J$3, $K$3)+_xll.ciqfunctions.udf.CIQ($B14,"IQ_TOTAL_CAP","IQ_" &amp; LEFT(ZW$3,2) &amp; "-1", ZW$3, $N$3, , $J$3, $K$3))),"")</f>
        <v/>
      </c>
      <c r="ZX14" s="72" t="str">
        <f>IFERROR(IF(OR($B14="",ZX$3=""),"",_xll.ciqfunctions.udf.CIQ($B14,"IQ_NI",$O$3,ZX$3, $N$3, , $J$3, $K$3)*2/(_xll.ciqfunctions.udf.CIQ($B14,"IQ_TOTAL_CAP",ZX$3,$I$3, $N$3, , $J$3, $K$3)+_xll.ciqfunctions.udf.CIQ($B14,"IQ_TOTAL_CAP","IQ_" &amp; LEFT(ZX$3,2) &amp; "-1", ZX$3, $N$3, , $J$3, $K$3))),"")</f>
        <v/>
      </c>
      <c r="ZY14" s="72" t="str">
        <f>IFERROR(IF(OR($B14="",ZY$3=""),"",_xll.ciqfunctions.udf.CIQ($B14,"IQ_NI",$O$3,ZY$3, $N$3, , $J$3, $K$3)*2/(_xll.ciqfunctions.udf.CIQ($B14,"IQ_TOTAL_CAP",ZY$3,$I$3, $N$3, , $J$3, $K$3)+_xll.ciqfunctions.udf.CIQ($B14,"IQ_TOTAL_CAP","IQ_" &amp; LEFT(ZY$3,2) &amp; "-1", ZY$3, $N$3, , $J$3, $K$3))),"")</f>
        <v/>
      </c>
      <c r="ZZ14" s="72" t="str">
        <f>IFERROR(IF(OR($B14="",ZZ$3=""),"",_xll.ciqfunctions.udf.CIQ($B14,"IQ_NI",$O$3,ZZ$3, $N$3, , $J$3, $K$3)*2/(_xll.ciqfunctions.udf.CIQ($B14,"IQ_TOTAL_CAP",ZZ$3,$I$3, $N$3, , $J$3, $K$3)+_xll.ciqfunctions.udf.CIQ($B14,"IQ_TOTAL_CAP","IQ_" &amp; LEFT(ZZ$3,2) &amp; "-1", ZZ$3, $N$3, , $J$3, $K$3))),"")</f>
        <v/>
      </c>
      <c r="AAA14" s="72" t="str">
        <f>IFERROR(IF(OR($B14="",AAA$3=""),"",_xll.ciqfunctions.udf.CIQ($B14,"IQ_NI",$O$3,AAA$3, $N$3, , $J$3, $K$3)*2/(_xll.ciqfunctions.udf.CIQ($B14,"IQ_TOTAL_CAP",AAA$3,$I$3, $N$3, , $J$3, $K$3)+_xll.ciqfunctions.udf.CIQ($B14,"IQ_TOTAL_CAP","IQ_" &amp; LEFT(AAA$3,2) &amp; "-1", AAA$3, $N$3, , $J$3, $K$3))),"")</f>
        <v/>
      </c>
      <c r="AAB14" s="72" t="str">
        <f>IFERROR(IF(OR($B14="",AAB$3=""),"",_xll.ciqfunctions.udf.CIQ($B14,"IQ_NI",$O$3,AAB$3, $N$3, , $J$3, $K$3)*2/(_xll.ciqfunctions.udf.CIQ($B14,"IQ_TOTAL_CAP",AAB$3,$I$3, $N$3, , $J$3, $K$3)+_xll.ciqfunctions.udf.CIQ($B14,"IQ_TOTAL_CAP","IQ_" &amp; LEFT(AAB$3,2) &amp; "-1", AAB$3, $N$3, , $J$3, $K$3))),"")</f>
        <v/>
      </c>
      <c r="AAC14" s="72" t="str">
        <f>IFERROR(IF(OR($B14="",AAC$3=""),"",_xll.ciqfunctions.udf.CIQ($B14,"IQ_NI",$O$3,AAC$3, $N$3, , $J$3, $K$3)*2/(_xll.ciqfunctions.udf.CIQ($B14,"IQ_TOTAL_CAP",AAC$3,$I$3, $N$3, , $J$3, $K$3)+_xll.ciqfunctions.udf.CIQ($B14,"IQ_TOTAL_CAP","IQ_" &amp; LEFT(AAC$3,2) &amp; "-1", AAC$3, $N$3, , $J$3, $K$3))),"")</f>
        <v/>
      </c>
      <c r="AAD14" s="72" t="str">
        <f>IFERROR(IF(OR($B14="",AAD$3=""),"",_xll.ciqfunctions.udf.CIQ($B14,"IQ_NI",$O$3,AAD$3, $N$3, , $J$3, $K$3)*2/(_xll.ciqfunctions.udf.CIQ($B14,"IQ_TOTAL_CAP",AAD$3,$I$3, $N$3, , $J$3, $K$3)+_xll.ciqfunctions.udf.CIQ($B14,"IQ_TOTAL_CAP","IQ_" &amp; LEFT(AAD$3,2) &amp; "-1", AAD$3, $N$3, , $J$3, $K$3))),"")</f>
        <v/>
      </c>
      <c r="AAE14" s="72" t="str">
        <f>IFERROR(IF(OR($B14="",AAE$3=""),"",_xll.ciqfunctions.udf.CIQ($B14,"IQ_NI",$O$3,AAE$3, $N$3, , $J$3, $K$3)*2/(_xll.ciqfunctions.udf.CIQ($B14,"IQ_TOTAL_CAP",AAE$3,$I$3, $N$3, , $J$3, $K$3)+_xll.ciqfunctions.udf.CIQ($B14,"IQ_TOTAL_CAP","IQ_" &amp; LEFT(AAE$3,2) &amp; "-1", AAE$3, $N$3, , $J$3, $K$3))),"")</f>
        <v/>
      </c>
      <c r="AAF14" s="72" t="str">
        <f>IFERROR(IF(OR($B14="",AAF$3=""),"",_xll.ciqfunctions.udf.CIQ($B14,"IQ_NI",$O$3,AAF$3, $N$3, , $J$3, $K$3)*2/(_xll.ciqfunctions.udf.CIQ($B14,"IQ_TOTAL_CAP",AAF$3,$I$3, $N$3, , $J$3, $K$3)+_xll.ciqfunctions.udf.CIQ($B14,"IQ_TOTAL_CAP","IQ_" &amp; LEFT(AAF$3,2) &amp; "-1", AAF$3, $N$3, , $J$3, $K$3))),"")</f>
        <v/>
      </c>
      <c r="AAG14" s="72" t="str">
        <f>IFERROR(IF(OR($B14="",AAG$3=""),"",_xll.ciqfunctions.udf.CIQ($B14,"IQ_NI",$O$3,AAG$3, $N$3, , $J$3, $K$3)*2/(_xll.ciqfunctions.udf.CIQ($B14,"IQ_TOTAL_CAP",AAG$3,$I$3, $N$3, , $J$3, $K$3)+_xll.ciqfunctions.udf.CIQ($B14,"IQ_TOTAL_CAP","IQ_" &amp; LEFT(AAG$3,2) &amp; "-1", AAG$3, $N$3, , $J$3, $K$3))),"")</f>
        <v/>
      </c>
      <c r="AAH14" s="72" t="str">
        <f>IFERROR(IF(OR($B14="",AAH$3=""),"",_xll.ciqfunctions.udf.CIQ($B14,"IQ_NI",$O$3,AAH$3, $N$3, , $J$3, $K$3)*2/(_xll.ciqfunctions.udf.CIQ($B14,"IQ_TOTAL_CAP",AAH$3,$I$3, $N$3, , $J$3, $K$3)+_xll.ciqfunctions.udf.CIQ($B14,"IQ_TOTAL_CAP","IQ_" &amp; LEFT(AAH$3,2) &amp; "-1", AAH$3, $N$3, , $J$3, $K$3))),"")</f>
        <v/>
      </c>
      <c r="AAI14" s="72" t="str">
        <f>IFERROR(IF(OR($B14="",AAI$3=""),"",_xll.ciqfunctions.udf.CIQ($B14,"IQ_NI",$O$3,AAI$3, $N$3, , $J$3, $K$3)*2/(_xll.ciqfunctions.udf.CIQ($B14,"IQ_TOTAL_CAP",AAI$3,$I$3, $N$3, , $J$3, $K$3)+_xll.ciqfunctions.udf.CIQ($B14,"IQ_TOTAL_CAP","IQ_" &amp; LEFT(AAI$3,2) &amp; "-1", AAI$3, $N$3, , $J$3, $K$3))),"")</f>
        <v/>
      </c>
      <c r="AAJ14" s="72" t="str">
        <f>IFERROR(IF(OR($B14="",AAJ$3=""),"",_xll.ciqfunctions.udf.CIQ($B14,"IQ_NI",$O$3,AAJ$3, $N$3, , $J$3, $K$3)*2/(_xll.ciqfunctions.udf.CIQ($B14,"IQ_TOTAL_CAP",AAJ$3,$I$3, $N$3, , $J$3, $K$3)+_xll.ciqfunctions.udf.CIQ($B14,"IQ_TOTAL_CAP","IQ_" &amp; LEFT(AAJ$3,2) &amp; "-1", AAJ$3, $N$3, , $J$3, $K$3))),"")</f>
        <v/>
      </c>
      <c r="AAK14" s="628" t="str">
        <f>IFERROR(IF(OR($B14="",AAK$4=""),"",_xll.ciqfunctions.udf.CIQ($B14,"IQ_TEV",AAK$4)/_xll.ciqfunctions.udf.CIQ($B14,"IQ_TOTAL_CAP",ZQ$3,$I$3, $N$3, , $J$3, $K$3)),"")</f>
        <v/>
      </c>
      <c r="AAL14" s="628" t="str">
        <f>IFERROR(IF(OR($B14="",AAL$4=""),"",_xll.ciqfunctions.udf.CIQ($B14,"IQ_TEV",AAL$4)/_xll.ciqfunctions.udf.CIQ($B14,"IQ_TOTAL_CAP",ZR$3,$I$3, $N$3, , $J$3, $K$3)),"")</f>
        <v/>
      </c>
      <c r="AAM14" s="628" t="str">
        <f>IFERROR(IF(OR($B14="",AAM$4=""),"",_xll.ciqfunctions.udf.CIQ($B14,"IQ_TEV",AAM$4)/_xll.ciqfunctions.udf.CIQ($B14,"IQ_TOTAL_CAP",ZS$3,$I$3, $N$3, , $J$3, $K$3)),"")</f>
        <v/>
      </c>
      <c r="AAN14" s="628" t="str">
        <f>IFERROR(IF(OR($B14="",AAN$4=""),"",_xll.ciqfunctions.udf.CIQ($B14,"IQ_TEV",AAN$4)/_xll.ciqfunctions.udf.CIQ($B14,"IQ_TOTAL_CAP",ZT$3,$I$3, $N$3, , $J$3, $K$3)),"")</f>
        <v/>
      </c>
      <c r="AAO14" s="628" t="str">
        <f>IFERROR(IF(OR($B14="",AAO$4=""),"",_xll.ciqfunctions.udf.CIQ($B14,"IQ_TEV",AAO$4)/_xll.ciqfunctions.udf.CIQ($B14,"IQ_TOTAL_CAP",ZU$3,$I$3, $N$3, , $J$3, $K$3)),"")</f>
        <v/>
      </c>
      <c r="AAP14" s="628" t="str">
        <f>IFERROR(IF(OR($B14="",AAP$4=""),"",_xll.ciqfunctions.udf.CIQ($B14,"IQ_TEV",AAP$4)/_xll.ciqfunctions.udf.CIQ($B14,"IQ_TOTAL_CAP",ZV$3,$I$3, $N$3, , $J$3, $K$3)),"")</f>
        <v/>
      </c>
      <c r="AAQ14" s="628" t="str">
        <f>IFERROR(IF(OR($B14="",AAQ$4=""),"",_xll.ciqfunctions.udf.CIQ($B14,"IQ_TEV",AAQ$4)/_xll.ciqfunctions.udf.CIQ($B14,"IQ_TOTAL_CAP",ZW$3,$I$3, $N$3, , $J$3, $K$3)),"")</f>
        <v/>
      </c>
      <c r="AAR14" s="628" t="str">
        <f>IFERROR(IF(OR($B14="",AAR$4=""),"",_xll.ciqfunctions.udf.CIQ($B14,"IQ_TEV",AAR$4)/_xll.ciqfunctions.udf.CIQ($B14,"IQ_TOTAL_CAP",ZX$3,$I$3, $N$3, , $J$3, $K$3)),"")</f>
        <v/>
      </c>
      <c r="AAS14" s="628" t="str">
        <f>IFERROR(IF(OR($B14="",AAS$4=""),"",_xll.ciqfunctions.udf.CIQ($B14,"IQ_TEV",AAS$4)/_xll.ciqfunctions.udf.CIQ($B14,"IQ_TOTAL_CAP",ZY$3,$I$3, $N$3, , $J$3, $K$3)),"")</f>
        <v/>
      </c>
      <c r="AAT14" s="628" t="str">
        <f>IFERROR(IF(OR($B14="",AAT$4=""),"",_xll.ciqfunctions.udf.CIQ($B14,"IQ_TEV",AAT$4)/_xll.ciqfunctions.udf.CIQ($B14,"IQ_TOTAL_CAP",ZZ$3,$I$3, $N$3, , $J$3, $K$3)),"")</f>
        <v/>
      </c>
      <c r="AAU14" s="628" t="str">
        <f>IFERROR(IF(OR($B14="",AAU$4=""),"",_xll.ciqfunctions.udf.CIQ($B14,"IQ_TEV",AAU$4)/_xll.ciqfunctions.udf.CIQ($B14,"IQ_TOTAL_CAP",AAA$3,$I$3, $N$3, , $J$3, $K$3)),"")</f>
        <v/>
      </c>
      <c r="AAV14" s="628" t="str">
        <f>IFERROR(IF(OR($B14="",AAV$4=""),"",_xll.ciqfunctions.udf.CIQ($B14,"IQ_TEV",AAV$4)/_xll.ciqfunctions.udf.CIQ($B14,"IQ_TOTAL_CAP",AAB$3,$I$3, $N$3, , $J$3, $K$3)),"")</f>
        <v/>
      </c>
      <c r="AAW14" s="628" t="str">
        <f>IFERROR(IF(OR($B14="",AAW$4=""),"",_xll.ciqfunctions.udf.CIQ($B14,"IQ_TEV",AAW$4)/_xll.ciqfunctions.udf.CIQ($B14,"IQ_TOTAL_CAP",AAC$3,$I$3, $N$3, , $J$3, $K$3)),"")</f>
        <v/>
      </c>
      <c r="AAX14" s="628" t="str">
        <f>IFERROR(IF(OR($B14="",AAX$4=""),"",_xll.ciqfunctions.udf.CIQ($B14,"IQ_TEV",AAX$4)/_xll.ciqfunctions.udf.CIQ($B14,"IQ_TOTAL_CAP",AAD$3,$I$3, $N$3, , $J$3, $K$3)),"")</f>
        <v/>
      </c>
      <c r="AAY14" s="628" t="str">
        <f>IFERROR(IF(OR($B14="",AAY$4=""),"",_xll.ciqfunctions.udf.CIQ($B14,"IQ_TEV",AAY$4)/_xll.ciqfunctions.udf.CIQ($B14,"IQ_TOTAL_CAP",AAE$3,$I$3, $N$3, , $J$3, $K$3)),"")</f>
        <v/>
      </c>
      <c r="AAZ14" s="628" t="str">
        <f>IFERROR(IF(OR($B14="",AAZ$4=""),"",_xll.ciqfunctions.udf.CIQ($B14,"IQ_TEV",AAZ$4)/_xll.ciqfunctions.udf.CIQ($B14,"IQ_TOTAL_CAP",AAF$3,$I$3, $N$3, , $J$3, $K$3)),"")</f>
        <v/>
      </c>
      <c r="ABA14" s="628" t="str">
        <f>IFERROR(IF(OR($B14="",ABA$4=""),"",_xll.ciqfunctions.udf.CIQ($B14,"IQ_TEV",ABA$4)/_xll.ciqfunctions.udf.CIQ($B14,"IQ_TOTAL_CAP",AAG$3,$I$3, $N$3, , $J$3, $K$3)),"")</f>
        <v/>
      </c>
      <c r="ABB14" s="628" t="str">
        <f>IFERROR(IF(OR($B14="",ABB$4=""),"",_xll.ciqfunctions.udf.CIQ($B14,"IQ_TEV",ABB$4)/_xll.ciqfunctions.udf.CIQ($B14,"IQ_TOTAL_CAP",AAH$3,$I$3, $N$3, , $J$3, $K$3)),"")</f>
        <v/>
      </c>
      <c r="ABC14" s="628" t="str">
        <f>IFERROR(IF(OR($B14="",ABC$4=""),"",_xll.ciqfunctions.udf.CIQ($B14,"IQ_TEV",ABC$4)/_xll.ciqfunctions.udf.CIQ($B14,"IQ_TOTAL_CAP",AAI$3,$I$3, $N$3, , $J$3, $K$3)),"")</f>
        <v/>
      </c>
      <c r="ABD14" s="628" t="str">
        <f>IFERROR(IF(OR($B14="",ABD$4=""),"",_xll.ciqfunctions.udf.CIQ($B14,"IQ_TEV",ABD$4)/_xll.ciqfunctions.udf.CIQ($B14,"IQ_TOTAL_CAP",AAJ$3,$I$3, $N$3, , $J$3, $K$3)),"")</f>
        <v/>
      </c>
      <c r="ABE14" s="72" t="str">
        <f t="shared" si="363"/>
        <v/>
      </c>
      <c r="ABF14" s="72" t="str">
        <f t="shared" si="364"/>
        <v/>
      </c>
      <c r="ABG14" s="72" t="str">
        <f t="shared" si="365"/>
        <v/>
      </c>
      <c r="ABH14" s="72" t="str">
        <f t="shared" si="366"/>
        <v/>
      </c>
      <c r="ABI14" s="72" t="str">
        <f t="shared" si="367"/>
        <v/>
      </c>
      <c r="ABJ14" s="72" t="str">
        <f t="shared" si="368"/>
        <v/>
      </c>
      <c r="ABK14" s="72" t="str">
        <f t="shared" si="369"/>
        <v/>
      </c>
      <c r="ABL14" s="72" t="str">
        <f t="shared" si="370"/>
        <v/>
      </c>
      <c r="ABM14" s="72" t="str">
        <f t="shared" si="371"/>
        <v/>
      </c>
      <c r="ABN14" s="72" t="str">
        <f t="shared" si="372"/>
        <v/>
      </c>
      <c r="ABO14" s="72" t="str">
        <f t="shared" si="373"/>
        <v/>
      </c>
      <c r="ABP14" s="72" t="str">
        <f t="shared" si="374"/>
        <v/>
      </c>
      <c r="ABQ14" s="72" t="str">
        <f t="shared" si="375"/>
        <v/>
      </c>
      <c r="ABR14" s="72" t="str">
        <f t="shared" si="376"/>
        <v/>
      </c>
      <c r="ABS14" s="72" t="str">
        <f t="shared" si="377"/>
        <v/>
      </c>
      <c r="ABT14" s="72" t="str">
        <f t="shared" si="378"/>
        <v/>
      </c>
      <c r="ABU14" s="72" t="str">
        <f t="shared" si="379"/>
        <v/>
      </c>
      <c r="ABV14" s="72" t="str">
        <f t="shared" si="380"/>
        <v/>
      </c>
      <c r="ABW14" s="72" t="str">
        <f t="shared" si="381"/>
        <v/>
      </c>
      <c r="ABX14" s="72" t="str">
        <f t="shared" si="382"/>
        <v/>
      </c>
      <c r="ABY14" s="89" t="str">
        <f>IFERROR(IF(OR($B14="",ABY$3=""),"",IF(NOT(ISNUMBER(_xll.ciqfunctions.udf.CIQ($B14, "IQ_FIXED_ASSET_TURNS", ABY$3, $E$3, $N$3, , $J$3, $K$3))),"",_xll.ciqfunctions.udf.CIQ($B14, "IQ_FIXED_ASSET_TURNS", ABY$3, $E$3, $N$3, , $J$3, $K$3))),"")</f>
        <v/>
      </c>
      <c r="ABZ14" s="90" t="str">
        <f>IFERROR(IF(OR($B14="",ABZ$3=""),"",IF(NOT(ISNUMBER(_xll.ciqfunctions.udf.CIQ($B14, "IQ_FIXED_ASSET_TURNS", ABZ$3, $E$3, $N$3, , $J$3, $K$3))),"",_xll.ciqfunctions.udf.CIQ($B14, "IQ_FIXED_ASSET_TURNS", ABZ$3, $E$3, $N$3, , $J$3, $K$3))),"")</f>
        <v/>
      </c>
      <c r="ACA14" s="90" t="str">
        <f>IFERROR(IF(OR($B14="",ACA$3=""),"",IF(NOT(ISNUMBER(_xll.ciqfunctions.udf.CIQ($B14, "IQ_FIXED_ASSET_TURNS", ACA$3, $E$3, $N$3, , $J$3, $K$3))),"",_xll.ciqfunctions.udf.CIQ($B14, "IQ_FIXED_ASSET_TURNS", ACA$3, $E$3, $N$3, , $J$3, $K$3))),"")</f>
        <v/>
      </c>
      <c r="ACB14" s="90" t="str">
        <f>IFERROR(IF(OR($B14="",ACB$3=""),"",IF(NOT(ISNUMBER(_xll.ciqfunctions.udf.CIQ($B14, "IQ_FIXED_ASSET_TURNS", ACB$3, $E$3, $N$3, , $J$3, $K$3))),"",_xll.ciqfunctions.udf.CIQ($B14, "IQ_FIXED_ASSET_TURNS", ACB$3, $E$3, $N$3, , $J$3, $K$3))),"")</f>
        <v/>
      </c>
      <c r="ACC14" s="90" t="str">
        <f>IFERROR(IF(OR($B14="",ACC$3=""),"",IF(NOT(ISNUMBER(_xll.ciqfunctions.udf.CIQ($B14, "IQ_FIXED_ASSET_TURNS", ACC$3, $E$3, $N$3, , $J$3, $K$3))),"",_xll.ciqfunctions.udf.CIQ($B14, "IQ_FIXED_ASSET_TURNS", ACC$3, $E$3, $N$3, , $J$3, $K$3))),"")</f>
        <v/>
      </c>
      <c r="ACD14" s="90" t="str">
        <f>IFERROR(IF(OR($B14="",ACD$3=""),"",IF(NOT(ISNUMBER(_xll.ciqfunctions.udf.CIQ($B14, "IQ_FIXED_ASSET_TURNS", ACD$3, $E$3, $N$3, , $J$3, $K$3))),"",_xll.ciqfunctions.udf.CIQ($B14, "IQ_FIXED_ASSET_TURNS", ACD$3, $E$3, $N$3, , $J$3, $K$3))),"")</f>
        <v/>
      </c>
      <c r="ACE14" s="90" t="str">
        <f>IFERROR(IF(OR($B14="",ACE$3=""),"",IF(NOT(ISNUMBER(_xll.ciqfunctions.udf.CIQ($B14, "IQ_FIXED_ASSET_TURNS", ACE$3, $E$3, $N$3, , $J$3, $K$3))),"",_xll.ciqfunctions.udf.CIQ($B14, "IQ_FIXED_ASSET_TURNS", ACE$3, $E$3, $N$3, , $J$3, $K$3))),"")</f>
        <v/>
      </c>
      <c r="ACF14" s="90" t="str">
        <f>IFERROR(IF(OR($B14="",ACF$3=""),"",IF(NOT(ISNUMBER(_xll.ciqfunctions.udf.CIQ($B14, "IQ_FIXED_ASSET_TURNS", ACF$3, $E$3, $N$3, , $J$3, $K$3))),"",_xll.ciqfunctions.udf.CIQ($B14, "IQ_FIXED_ASSET_TURNS", ACF$3, $E$3, $N$3, , $J$3, $K$3))),"")</f>
        <v/>
      </c>
      <c r="ACG14" s="90" t="str">
        <f>IFERROR(IF(OR($B14="",ACG$3=""),"",IF(NOT(ISNUMBER(_xll.ciqfunctions.udf.CIQ($B14, "IQ_FIXED_ASSET_TURNS", ACG$3, $E$3, $N$3, , $J$3, $K$3))),"",_xll.ciqfunctions.udf.CIQ($B14, "IQ_FIXED_ASSET_TURNS", ACG$3, $E$3, $N$3, , $J$3, $K$3))),"")</f>
        <v/>
      </c>
      <c r="ACH14" s="90" t="str">
        <f>IFERROR(IF(OR($B14="",ACH$3=""),"",IF(NOT(ISNUMBER(_xll.ciqfunctions.udf.CIQ($B14, "IQ_FIXED_ASSET_TURNS", ACH$3, $E$3, $N$3, , $J$3, $K$3))),"",_xll.ciqfunctions.udf.CIQ($B14, "IQ_FIXED_ASSET_TURNS", ACH$3, $E$3, $N$3, , $J$3, $K$3))),"")</f>
        <v/>
      </c>
      <c r="ACI14" s="90" t="str">
        <f>IFERROR(IF(OR($B14="",ACI$3=""),"",IF(NOT(ISNUMBER(_xll.ciqfunctions.udf.CIQ($B14, "IQ_FIXED_ASSET_TURNS", ACI$3, $E$3, $N$3, , $J$3, $K$3))),"",_xll.ciqfunctions.udf.CIQ($B14, "IQ_FIXED_ASSET_TURNS", ACI$3, $E$3, $N$3, , $J$3, $K$3))),"")</f>
        <v/>
      </c>
      <c r="ACJ14" s="90" t="str">
        <f>IFERROR(IF(OR($B14="",ACJ$3=""),"",IF(NOT(ISNUMBER(_xll.ciqfunctions.udf.CIQ($B14, "IQ_FIXED_ASSET_TURNS", ACJ$3, $E$3, $N$3, , $J$3, $K$3))),"",_xll.ciqfunctions.udf.CIQ($B14, "IQ_FIXED_ASSET_TURNS", ACJ$3, $E$3, $N$3, , $J$3, $K$3))),"")</f>
        <v/>
      </c>
      <c r="ACK14" s="90" t="str">
        <f>IFERROR(IF(OR($B14="",ACK$3=""),"",IF(NOT(ISNUMBER(_xll.ciqfunctions.udf.CIQ($B14, "IQ_FIXED_ASSET_TURNS", ACK$3, $E$3, $N$3, , $J$3, $K$3))),"",_xll.ciqfunctions.udf.CIQ($B14, "IQ_FIXED_ASSET_TURNS", ACK$3, $E$3, $N$3, , $J$3, $K$3))),"")</f>
        <v/>
      </c>
      <c r="ACL14" s="90" t="str">
        <f>IFERROR(IF(OR($B14="",ACL$3=""),"",IF(NOT(ISNUMBER(_xll.ciqfunctions.udf.CIQ($B14, "IQ_FIXED_ASSET_TURNS", ACL$3, $E$3, $N$3, , $J$3, $K$3))),"",_xll.ciqfunctions.udf.CIQ($B14, "IQ_FIXED_ASSET_TURNS", ACL$3, $E$3, $N$3, , $J$3, $K$3))),"")</f>
        <v/>
      </c>
      <c r="ACM14" s="90" t="str">
        <f>IFERROR(IF(OR($B14="",ACM$3=""),"",IF(NOT(ISNUMBER(_xll.ciqfunctions.udf.CIQ($B14, "IQ_FIXED_ASSET_TURNS", ACM$3, $E$3, $N$3, , $J$3, $K$3))),"",_xll.ciqfunctions.udf.CIQ($B14, "IQ_FIXED_ASSET_TURNS", ACM$3, $E$3, $N$3, , $J$3, $K$3))),"")</f>
        <v/>
      </c>
      <c r="ACN14" s="90" t="str">
        <f>IFERROR(IF(OR($B14="",ACN$3=""),"",IF(NOT(ISNUMBER(_xll.ciqfunctions.udf.CIQ($B14, "IQ_FIXED_ASSET_TURNS", ACN$3, $E$3, $N$3, , $J$3, $K$3))),"",_xll.ciqfunctions.udf.CIQ($B14, "IQ_FIXED_ASSET_TURNS", ACN$3, $E$3, $N$3, , $J$3, $K$3))),"")</f>
        <v/>
      </c>
      <c r="ACO14" s="90" t="str">
        <f>IFERROR(IF(OR($B14="",ACO$3=""),"",IF(NOT(ISNUMBER(_xll.ciqfunctions.udf.CIQ($B14, "IQ_FIXED_ASSET_TURNS", ACO$3, $E$3, $N$3, , $J$3, $K$3))),"",_xll.ciqfunctions.udf.CIQ($B14, "IQ_FIXED_ASSET_TURNS", ACO$3, $E$3, $N$3, , $J$3, $K$3))),"")</f>
        <v/>
      </c>
      <c r="ACP14" s="90" t="str">
        <f>IFERROR(IF(OR($B14="",ACP$3=""),"",IF(NOT(ISNUMBER(_xll.ciqfunctions.udf.CIQ($B14, "IQ_FIXED_ASSET_TURNS", ACP$3, $E$3, $N$3, , $J$3, $K$3))),"",_xll.ciqfunctions.udf.CIQ($B14, "IQ_FIXED_ASSET_TURNS", ACP$3, $E$3, $N$3, , $J$3, $K$3))),"")</f>
        <v/>
      </c>
      <c r="ACQ14" s="90" t="str">
        <f>IFERROR(IF(OR($B14="",ACQ$3=""),"",IF(NOT(ISNUMBER(_xll.ciqfunctions.udf.CIQ($B14, "IQ_FIXED_ASSET_TURNS", ACQ$3, $E$3, $N$3, , $J$3, $K$3))),"",_xll.ciqfunctions.udf.CIQ($B14, "IQ_FIXED_ASSET_TURNS", ACQ$3, $E$3, $N$3, , $J$3, $K$3))),"")</f>
        <v/>
      </c>
      <c r="ACR14" s="91" t="str">
        <f>IFERROR(IF(OR($B14="",ACR$3=""),"",IF(NOT(ISNUMBER(_xll.ciqfunctions.udf.CIQ($B14, "IQ_FIXED_ASSET_TURNS", ACR$3, $E$3, $N$3, , $J$3, $K$3))),"",_xll.ciqfunctions.udf.CIQ($B14, "IQ_FIXED_ASSET_TURNS", ACR$3, $E$3, $N$3, , $J$3, $K$3))),"")</f>
        <v/>
      </c>
    </row>
    <row r="15" spans="1:772" ht="15" customHeight="1" x14ac:dyDescent="0.2">
      <c r="A15" s="267" t="str">
        <f>IF(B15="","",_xll.ciqfunctions.udf.CIQ($B15,"IQ_COMPANY_NAME"))</f>
        <v/>
      </c>
      <c r="B15" s="81" t="str">
        <f>IF(Input!B27="","",Input!B27)</f>
        <v/>
      </c>
      <c r="C15" s="81">
        <f>Input!E27</f>
        <v>0</v>
      </c>
      <c r="D15" s="67" t="str">
        <f>IF(B15="","",_xll.ciqfunctions.udf.CIQ($B15,"IQ_PRIMARY_INDUSTRY"))</f>
        <v/>
      </c>
      <c r="E15" s="95" t="str">
        <f>IFERROR(IF(B15="","",IF(NOT(ISNUMBER(_xll.ciqfunctions.udf.CIQ($B15,"IQ_LASTSALEPRICE",$E$3))),"",_xll.ciqfunctions.udf.CIQ($B15,"IQ_LASTSALEPRICE",$E$3))),"")</f>
        <v/>
      </c>
      <c r="F15" s="82" t="str">
        <f>IFERROR(IF(B15="","",IF(NOT(ISNUMBER(_xll.ciqfunctions.udf.CIQ($B15,"IQ_LASTSALEPRICE",$E$4))),"",_xll.ciqfunctions.udf.CIQ($B15,"IQ_LASTSALEPRICE",$E$4))),"")</f>
        <v/>
      </c>
      <c r="G15" s="83" t="str">
        <f t="shared" si="383"/>
        <v/>
      </c>
      <c r="H15" s="83" t="str">
        <f>IFERROR(IF(B15="","",IF(NOT(ISNUMBER(_xll.ciqfunctions.udf.CIQ($B15,"IQ_TOTAL_REV_1YR_ANN_GROWTH",$O$3, $I$3, $N$3, , $J$3, $K$3))),"",_xll.ciqfunctions.udf.CIQ($B15,"IQ_TOTAL_REV_1YR_ANN_GROWTH",$O$3, $I$3, $N$3, , $J$3, $K$3))/100),"")</f>
        <v/>
      </c>
      <c r="I15" s="83" t="str">
        <f>IFERROR(IF(B15="","",IF(NOT(ISNUMBER(_xll.ciqfunctions.udf.CIQ($B15,"IQ_GROSS_MARGIN",$O$3, $I$3, $N$3, , $J$3, $K$3))),"",_xll.ciqfunctions.udf.CIQ($B15,"IQ_GROSS_MARGIN",$O$3, $I$3, $N$3, , $J$3, $K$3))/100),"")</f>
        <v/>
      </c>
      <c r="J15" s="83" t="str">
        <f>IFERROR(IF(B15="","",IF(NOT(ISNUMBER(_xll.ciqfunctions.udf.CIQ($B15,"IQ_EBITDA_MARGIN",$O$3, $I$3, $N$3, , $J$3, $K$3))),"",_xll.ciqfunctions.udf.CIQ($B15,"IQ_EBITDA_MARGIN",$O$3, $I$3, $N$3, , $J$3, $K$3))/100),"")</f>
        <v/>
      </c>
      <c r="K15" s="83" t="str">
        <f>IFERROR(IF(A15="","",IF(NOT(ISNUMBER(_xll.ciqfunctions.udf.CIQ($B15,"IQ_EBIT_MARGIN",$O$3, $I$3, $N$3, , $J$3, $K$3))),"",_xll.ciqfunctions.udf.CIQ($B15,"IQ_EBIT_MARGIN",$O$3, $I$3, $N$3, , $J$3, $K$3))/100),"")</f>
        <v/>
      </c>
      <c r="L15" s="83" t="str">
        <f>IFERROR(IF(B15="","",IF(NOT(ISNUMBER(_xll.ciqfunctions.udf.CIQ($B15,"IQ_NI_MARGIN",$O$3, $I$3, $N$3, , $J$3, $K$3))),"",_xll.ciqfunctions.udf.CIQ($B15,"IQ_NI_MARGIN",$O$3, $I$3, $N$3, , $J$3, $K$3))/100),"")</f>
        <v/>
      </c>
      <c r="M15" s="83" t="str">
        <f>IFERROR(IF($B15="","",IF(AND(N$4="Yes",NOT(ISNUMBER(_xll.ciqfunctions.udf.CIQ($B15,"IQ_COGS",$O$3, $I$3, $N$3, , $J$3, $K$3))),NOT(ISNUMBER(_xll.ciqfunctions.udf.CIQ($B15,"IQ_TOTAL_REVENUE",$O$3, $I$3, $N$3, , $J$3, $K$3)))),"",_xll.ciqfunctions.udf.CIQ($B15,"IQ_COGS",$O$3, $I$3, $N$3, , $J$3, $K$3)/_xll.ciqfunctions.udf.CIQ($B15,"IQ_TOTAL_REVENUE",$O$3, $I$3, $N$3, , $J$3, $K$3))),"")</f>
        <v/>
      </c>
      <c r="N15" s="83" t="str">
        <f>IFERROR(IF($B15="","",(IF(NOT(ISNUMBER(_xll.ciqfunctions.udf.CIQ($B15,"IQ_TOTAL_REVENUE",$O$3, $I$3, $N$3, , $J$3, $K$3))),"",_xll.ciqfunctions.udf.CIQ($B15,"IQ_TOTAL_REVENUE",$O$3, $I$3, $N$3, , $J$3, $K$3))-IF(NOT(ISNUMBER(_xll.ciqfunctions.udf.CIQ($B15,"IQ_COGS",$O$3, $I$3, $N$3, , $J$3, $K$3))),"",_xll.ciqfunctions.udf.CIQ($B15,"IQ_COGS",$O$3, $I$3, $N$3, , $J$3, $K$3))-IF(NOT(ISNUMBER(_xll.ciqfunctions.udf.CIQ($B15,"IQ_EBITDA",$O$3, $I$3, $N$3, , $J$3, $K$3))),"",_xll.ciqfunctions.udf.CIQ($B15,"IQ_EBITDA",$O$3, $I$3, $N$3, , $J$3, $K$3)))/IF(NOT(ISNUMBER(_xll.ciqfunctions.udf.CIQ($B15,"IQ_TOTAL_REVENUE",$O$3, $I$3, $N$3, , $J$3, $K$3))),"",_xll.ciqfunctions.udf.CIQ($B15,"IQ_TOTAL_REVENUE",$O$3, $I$3, $N$3, , $J$3, $K$3))),"")</f>
        <v/>
      </c>
      <c r="O15" s="83" t="str">
        <f>IFERROR(IF($B15="","",IF(AND(P$4="Yes",NOT(ISNUMBER(_xll.ciqfunctions.udf.CIQ($B15,"IQ_SGA_MARGIN",$O$3, $I$3, $N$3, , $J$3, $K$3)))),"",_xll.ciqfunctions.udf.CIQ($B15,"IQ_SGA_MARGIN",$O$3, $I$3, $N$3, , $J$3, $K$3)/100)),"")</f>
        <v/>
      </c>
      <c r="P15" s="83" t="str">
        <f>IFERROR(IF($B15="","",IF(AND(Q$4="No",OR(NOT(ISNUMBER(_xll.ciqfunctions.udf.CIQ($B15, "IQ_RD_EXP",$O$3, $I$3, $N$3, , $J$3, $K$3))),_xll.ciqfunctions.udf.CIQ($B15, "IQ_RD_EXP",$O$3, $I$3, $N$3, , $J$3, $K$3)&lt;0,NOT(ISNUMBER(_xll.ciqfunctions.udf.CIQ($B15,"IQ_TOTAL_REV",$O$3, $I$3, $N$3, , $J$3, $K$3))))),"",_xll.ciqfunctions.udf.CIQ($B15, "IQ_RD_EXP",$O$3, $I$3, $N$3, , $J$3, $K$3)/_xll.ciqfunctions.udf.CIQ($B15,"IQ_TOTAL_REV",$O$3, $I$3, $N$3, , $J$3, $K$3))),"")</f>
        <v/>
      </c>
      <c r="Q15" s="84" t="str">
        <f>IFERROR(IF($B15="","",IF(AND(R$4="No",OR(NOT(ISNUMBER(_xll.ciqfunctions.udf.CIQ($B15,"IQ_AR",$O$3, $I$3, $N$3, , $J$3, $K$3,,,,"USD"))),_xll.ciqfunctions.udf.CIQ($B15,"IQ_AR",$O$3, $I$3, $N$3, , $J$3, $K$3,,,,"USD")&lt;0,NOT(ISNUMBER(_xll.ciqfunctions.udf.CIQ($B15,"IQ_REVENUE",$O$3, $I$3, $N$3, , $J$3, $K$3))))),"",0.5*(_xll.ciqfunctions.udf.CIQ($B15,"IQ_AR",$O$3, $I$3, $N$3, , $J$3, $K$3)+_xll.ciqfunctions.udf.CIQ($B15,"IQ_AR",$O$3&amp;"-4", $I$3, $N$3, , $J$3, $K$3))/_xll.ciqfunctions.udf.CIQ($B15,"IQ_REVENUE",$O$3, $I$3, $N$3, , $J$3, $K$3)*365)),"")</f>
        <v/>
      </c>
      <c r="R15" s="84" t="str">
        <f>IFERROR(IF($B15="","",IF(AND(S$4="No",OR(NOT(ISNUMBER(_xll.ciqfunctions.udf.CIQ($B15,"IQ_INVENTORY",$O$3, $I$3, $N$3, , $J$3, $K$3))),_xll.ciqfunctions.udf.CIQ($B15,"IQ_INVENTORY",$O$3, $I$3, $N$3, , $J$3, $K$3)&lt;0,NOT(ISNUMBER(_xll.ciqfunctions.udf.CIQ($B15,"IQ_COGS",$O$3, $I$3, $N$3, , $J$3, $K$3))),_xll.ciqfunctions.udf.CIQ($B15,"IQ_COGS",$O$3, $I$3, $N$3, , $J$3, $K$3)&lt;0)),"",0.5*(_xll.ciqfunctions.udf.CIQ($B15,"IQ_INVENTORY",$O$3, $I$3, $N$3, , $J$3, $K$3)+_xll.ciqfunctions.udf.CIQ($B15,"IQ_INVENTORY",$O$3&amp;"-4", $I$3, $N$3, , $J$3, $K$3))/_xll.ciqfunctions.udf.CIQ($B15,"IQ_COGS",$O$3, $I$3, $N$3, , $J$3, $K$3)*365)),"")</f>
        <v/>
      </c>
      <c r="S15" s="84" t="str">
        <f>IFERROR(IF(B15="","",IF($B15="","",IF(AND(T$4="No",OR(NOT(ISNUMBER(_xll.ciqfunctions.udf.CIQ($B15,"IQ_AP",$O$3, $I$3, $N$3, , $J$3, $K$3))),_xll.ciqfunctions.udf.CIQ($B15,"IQ_AP",$O$3, $I$3, $N$3, , $J$3, $K$3)&lt;0,NOT(ISNUMBER(_xll.ciqfunctions.udf.CIQ($B15,"IQ_COGS",$O$3, $I$3, $N$3, , $J$3, $K$3))),_xll.ciqfunctions.udf.CIQ($B15,"IQ_COGS",$O$3, $I$3, $N$3, , $J$3, $K$3)&lt;0)),"",0.5*(_xll.ciqfunctions.udf.CIQ($B15,"IQ_AP",$O$3, $I$3, $N$3, , $J$3, $K$3)+_xll.ciqfunctions.udf.CIQ($B15,"IQ_AP",$O$3&amp;"-4", $I$3, $N$3, , $J$3, $K$3))/_xll.ciqfunctions.udf.CIQ($B15,"IQ_COGS",$O$3, $I$3, $N$3, , $J$3, $K$3)*365))),"")</f>
        <v/>
      </c>
      <c r="T15" s="84" t="str">
        <f t="shared" si="342"/>
        <v/>
      </c>
      <c r="U15" s="83" t="str">
        <f>IFERROR(IF(OR(NOT(ISNUMBER(_xll.ciqfunctions.udf.CIQ($B15,"IQ_NI",$O$3, $I$3, $N$3, , $J$3, $K$3))),NOT(ISNUMBER(_xll.ciqfunctions.udf.CIQ($B15,"IQ_TOTAL_ASSETS",$O$3, $I$3, $N$3, , $J$3, $K$3)))),"",_xll.ciqfunctions.udf.CIQ($B15,"IQ_NI",$O$3, $I$3, $N$3, , $J$3, $K$3)/(0.5*(_xll.ciqfunctions.udf.CIQ($B15,"IQ_TOTAL_ASSETS",$O$3, $I$3, $N$3, , $J$3, $K$3)+_xll.ciqfunctions.udf.CIQ($B15,"IQ_TOTAL_ASSETS",$O$3&amp;"-4", $I$3, $N$3, , $J$3, $K$3)))),"")</f>
        <v/>
      </c>
      <c r="V15" s="83" t="str">
        <f>IFERROR(_xll.ciqfunctions.udf.CIQ($B15,"IQ_NI",$O$3, $I$3, $N$3, , $J$3, $K$3)*2/(_xll.ciqfunctions.udf.CIQ($B15,"IQ_TOTAL_ASSETS",$O$3, $I$3, $N$3, , $J$3, $K$3)+_xll.ciqfunctions.udf.CIQ($B15,"IQ_TOTAL_ASSETS",$O$3 &amp; "-4", $I$3, $N$3, , $J$3, $K$3)-_xll.ciqfunctions.udf.CIQ($B15,"IQ_TOTAL_CL",$O$3, $I$3, $N$3, , $J$3, $K$3)-_xll.ciqfunctions.udf.CIQ($B15,"IQ_TOTAL_CL",$O$3 &amp; "-4", $I$3, $N$3, , $J$3, $K$3)),"")</f>
        <v/>
      </c>
      <c r="W15" s="83" t="str">
        <f>IFERROR(IF(OR(NOT(ISNUMBER(_xll.ciqfunctions.udf.CIQ($B15,"IQ_NI",$O$3, $I$3, $N$3, , $J$3, $K$3))),NOT(ISNUMBER(_xll.ciqfunctions.udf.CIQ($B15,"IQ_TOTAL_EQUITY",$O$3, $I$3, $N$3, , $J$3, $K$3)))),"",_xll.ciqfunctions.udf.CIQ($B15,"IQ_NI",$O$3, $I$3, $N$3, , $J$3, $K$3)/(0.5*(_xll.ciqfunctions.udf.CIQ($B15,"IQ_TOTAL_EQUITY",$O$3, $I$3, $N$3, , $J$3, $K$3)+_xll.ciqfunctions.udf.CIQ($B15,"IQ_TOTAL_EQUITY",$O$3&amp;"-4", $I$3, $N$3, , $J$3, $K$3)))),"")</f>
        <v/>
      </c>
      <c r="X15" s="1026" t="str">
        <f>IFERROR(IF($B15="","",IF(NOT(ISNUMBER(_xll.ciqfunctions.udf.CIQ($B15,"IQ_ASSET_TURNS",$O$3, $I$3, $N$3, , $J$3, $K$3))),"",_xll.ciqfunctions.udf.CIQ($B15,"IQ_ASSET_TURNS",$O$3, $I$3, $N$3, , $J$3, $K$3))),"")</f>
        <v/>
      </c>
      <c r="Y15" s="1026" t="str">
        <f>IFERROR(IF($B15="","",IF(NOT(ISNUMBER(_xll.ciqfunctions.udf.CIQ($B15,"IQ_FIXED_ASSET_TURNS",$O$3, $I$3, $N$3, , $J$3, $K$3))),"",_xll.ciqfunctions.udf.CIQ($B15,"IQ_FIXED_ASSET_TURNS",$O$3, $I$3, $N$3, , $J$3, $K$3))),"")</f>
        <v/>
      </c>
      <c r="Z15" s="83" t="str">
        <f>IFERROR(IF(B15="","",IF(OR(NOT(ISNUMBER(_xll.ciqfunctions.udf.CIQ($B15,"IQ_CASH_OPER",$O$3, $I$3, $N$3, , $J$3, $K$3))),NOT(ISNUMBER(_xll.ciqfunctions.udf.CIQ($B15,"IQ_TOTAL_REV",$O$3, $I$3, $N$3, , $J$3, $K$3)))),"",_xll.ciqfunctions.udf.CIQ($B15,"IQ_CASH_OPER",$O$3, $I$3, $N$3, , $J$3, $K$3)/_xll.ciqfunctions.udf.CIQ($B15,"IQ_TOTAL_REV",$O$3, $I$3, $N$3, , $J$3, $K$3))),"")</f>
        <v/>
      </c>
      <c r="AA15" s="84" t="str">
        <f>IFERROR(IF(B15="","",IF(OR(NOT(ISNUMBER(_xll.ciqfunctions.udf.CIQ($B15,"IQ_TOTAL_ASSETS",IQ_LTM, $I$3, $N$3, , $J$3, $K$3))),NOT(ISNUMBER(_xll.ciqfunctions.udf.CIQ($B15,"IQ_TOTAL_COMMON_EQUITY",IQ_LTM, $I$3, $N$3, , $J$3, $K$3)))),"",_xll.ciqfunctions.udf.CIQ($B15,"IQ_TOTAL_ASSETS",IQ_LTM, $I$3, $N$3, , $J$3, $K$3)/_xll.ciqfunctions.udf.CIQ($B15,"IQ_TOTAL_COMMON_EQUITY",IQ_LTM, $I$3, $N$3, , $J$3, $K$3))),"")</f>
        <v/>
      </c>
      <c r="AB15" s="83" t="str">
        <f>IFERROR(IF(B15="","",IF(OR(NOT(ISNUMBER(_xll.ciqfunctions.udf.CIQ($B15,"IQ_EBT",$O$3, $I$3, $N$3, , $J$3, $K$3))),NOT(ISNUMBER(_xll.ciqfunctions.udf.CIQ($B15,"IQ_TOTAL_REV",$O$3, $I$3, $N$3, , $J$3, $K$3)))),"",_xll.ciqfunctions.udf.CIQ($B15,"IQ_EBT",$O$3, $I$3, $N$3, , $J$3, $K$3)/_xll.ciqfunctions.udf.CIQ($B15,"IQ_TOTAL_REV",$O$3, $I$3, $N$3, , $J$3, $K$3))),"")</f>
        <v/>
      </c>
      <c r="AC15" s="83" t="str">
        <f>IFERROR(IF(E15="","",IF(OR(NOT(ISNUMBER(_xll.ciqfunctions.udf.CIQ($B15,"IQ_INC_TAX",$O$3, $I$3, $N$3, , $J$3, $K$3))),NOT(ISNUMBER(_xll.ciqfunctions.udf.CIQ($B15,"IQ_EBT",$O$3, $I$3, $N$3, , $J$3, $K$3))),_xll.ciqfunctions.udf.CIQ($B15,"IQ_INC_TAX",$O$3, $I$3, $N$3, , $J$3, $K$3)&lt;0),"",_xll.ciqfunctions.udf.CIQ($B15,"IQ_INC_TAX",$O$3, $I$3, $N$3, , $J$3, $K$3)/ABS(_xll.ciqfunctions.udf.CIQ($B15,"IQ_EBT",$O$3, $I$3, $N$3, , $J$3, $K$3)))),"")</f>
        <v/>
      </c>
      <c r="AD15" s="84" t="str">
        <f>IFERROR(IF(B15="","",IF(NOT(ISNUMBER(_xll.ciqfunctions.udf.CIQ($B15,"IQ_Z_SCORE",$O$3, $I$3, $N$3, , $J$3, $K$3))),"",_xll.ciqfunctions.udf.CIQ($B15,"IQ_Z_SCORE",$O$3, $I$3, $N$3, , $J$3, $K$3))),"")</f>
        <v/>
      </c>
      <c r="AE15" s="85" t="str">
        <f>IF($A15="","",IF(NOT(ISNUMBER(_xll.ciqfunctions.udf.CIQ($B15, "IQ_BETA_5YR", $E$3))),"",_xll.ciqfunctions.udf.CIQ($B15, "IQ_BETA_5YR", $E$3)))</f>
        <v/>
      </c>
      <c r="AF15" s="19"/>
      <c r="AG15" s="274" t="str">
        <f>IFERROR(IF(OR($B15="",AG$3=""),"",IF(NOT(ISNUMBER(_xll.ciqfunctions.udf.CIQ($B15, "IQ_GROSS_MARGIN", AG$3, $I$3, $N$3, , $J$3, $K$3))),"",_xll.ciqfunctions.udf.CIQ($B15, "IQ_GROSS_MARGIN", AG$3, $I$3, $N$3, , $J$3, $K$3)/100)),"")</f>
        <v/>
      </c>
      <c r="AH15" s="87" t="str">
        <f>IFERROR(IF(OR($B15="",AH$3=""),"",IF(NOT(ISNUMBER(_xll.ciqfunctions.udf.CIQ($B15, "IQ_GROSS_MARGIN", AH$3, $I$3, $N$3, , $J$3, $K$3))),"",_xll.ciqfunctions.udf.CIQ($B15, "IQ_GROSS_MARGIN", AH$3, $I$3, $N$3, , $J$3, $K$3)/100)),"")</f>
        <v/>
      </c>
      <c r="AI15" s="87" t="str">
        <f>IFERROR(IF(OR($B15="",AI$3=""),"",IF(NOT(ISNUMBER(_xll.ciqfunctions.udf.CIQ($B15, "IQ_GROSS_MARGIN", AI$3, $I$3, $N$3, , $J$3, $K$3))),"",_xll.ciqfunctions.udf.CIQ($B15, "IQ_GROSS_MARGIN", AI$3, $I$3, $N$3, , $J$3, $K$3)/100)),"")</f>
        <v/>
      </c>
      <c r="AJ15" s="87" t="str">
        <f>IFERROR(IF(OR($B15="",AJ$3=""),"",IF(NOT(ISNUMBER(_xll.ciqfunctions.udf.CIQ($B15, "IQ_GROSS_MARGIN", AJ$3, $I$3, $N$3, , $J$3, $K$3))),"",_xll.ciqfunctions.udf.CIQ($B15, "IQ_GROSS_MARGIN", AJ$3, $I$3, $N$3, , $J$3, $K$3)/100)),"")</f>
        <v/>
      </c>
      <c r="AK15" s="87" t="str">
        <f>IFERROR(IF(OR($B15="",AK$3=""),"",IF(NOT(ISNUMBER(_xll.ciqfunctions.udf.CIQ($B15, "IQ_GROSS_MARGIN", AK$3, $I$3, $N$3, , $J$3, $K$3))),"",_xll.ciqfunctions.udf.CIQ($B15, "IQ_GROSS_MARGIN", AK$3, $I$3, $N$3, , $J$3, $K$3)/100)),"")</f>
        <v/>
      </c>
      <c r="AL15" s="87" t="str">
        <f>IFERROR(IF(OR($B15="",AL$3=""),"",IF(NOT(ISNUMBER(_xll.ciqfunctions.udf.CIQ($B15, "IQ_GROSS_MARGIN", AL$3, $I$3, $N$3, , $J$3, $K$3))),"",_xll.ciqfunctions.udf.CIQ($B15, "IQ_GROSS_MARGIN", AL$3, $I$3, $N$3, , $J$3, $K$3)/100)),"")</f>
        <v/>
      </c>
      <c r="AM15" s="87" t="str">
        <f>IFERROR(IF(OR($B15="",AM$3=""),"",IF(NOT(ISNUMBER(_xll.ciqfunctions.udf.CIQ($B15, "IQ_GROSS_MARGIN", AM$3, $I$3, $N$3, , $J$3, $K$3))),"",_xll.ciqfunctions.udf.CIQ($B15, "IQ_GROSS_MARGIN", AM$3, $I$3, $N$3, , $J$3, $K$3)/100)),"")</f>
        <v/>
      </c>
      <c r="AN15" s="87" t="str">
        <f>IFERROR(IF(OR($B15="",AN$3=""),"",IF(NOT(ISNUMBER(_xll.ciqfunctions.udf.CIQ($B15, "IQ_GROSS_MARGIN", AN$3, $I$3, $N$3, , $J$3, $K$3))),"",_xll.ciqfunctions.udf.CIQ($B15, "IQ_GROSS_MARGIN", AN$3, $I$3, $N$3, , $J$3, $K$3)/100)),"")</f>
        <v/>
      </c>
      <c r="AO15" s="87" t="str">
        <f>IFERROR(IF(OR($B15="",AO$3=""),"",IF(NOT(ISNUMBER(_xll.ciqfunctions.udf.CIQ($B15, "IQ_GROSS_MARGIN", AO$3, $I$3, $N$3, , $J$3, $K$3))),"",_xll.ciqfunctions.udf.CIQ($B15, "IQ_GROSS_MARGIN", AO$3, $I$3, $N$3, , $J$3, $K$3)/100)),"")</f>
        <v/>
      </c>
      <c r="AP15" s="87" t="str">
        <f>IFERROR(IF(OR($B15="",AP$3=""),"",IF(NOT(ISNUMBER(_xll.ciqfunctions.udf.CIQ($B15, "IQ_GROSS_MARGIN", AP$3, $I$3, $N$3, , $J$3, $K$3))),"",_xll.ciqfunctions.udf.CIQ($B15, "IQ_GROSS_MARGIN", AP$3, $I$3, $N$3, , $J$3, $K$3)/100)),"")</f>
        <v/>
      </c>
      <c r="AQ15" s="87" t="str">
        <f>IFERROR(IF(OR($B15="",AQ$3=""),"",IF(NOT(ISNUMBER(_xll.ciqfunctions.udf.CIQ($B15, "IQ_GROSS_MARGIN", AQ$3, $I$3, $N$3, , $J$3, $K$3))),"",_xll.ciqfunctions.udf.CIQ($B15, "IQ_GROSS_MARGIN", AQ$3, $I$3, $N$3, , $J$3, $K$3)/100)),"")</f>
        <v/>
      </c>
      <c r="AR15" s="87" t="str">
        <f>IFERROR(IF(OR($B15="",AR$3=""),"",IF(NOT(ISNUMBER(_xll.ciqfunctions.udf.CIQ($B15, "IQ_GROSS_MARGIN", AR$3, $I$3, $N$3, , $J$3, $K$3))),"",_xll.ciqfunctions.udf.CIQ($B15, "IQ_GROSS_MARGIN", AR$3, $I$3, $N$3, , $J$3, $K$3)/100)),"")</f>
        <v/>
      </c>
      <c r="AS15" s="87" t="str">
        <f>IFERROR(IF(OR($B15="",AS$3=""),"",IF(NOT(ISNUMBER(_xll.ciqfunctions.udf.CIQ($B15, "IQ_GROSS_MARGIN", AS$3, $I$3, $N$3, , $J$3, $K$3))),"",_xll.ciqfunctions.udf.CIQ($B15, "IQ_GROSS_MARGIN", AS$3, $I$3, $N$3, , $J$3, $K$3)/100)),"")</f>
        <v/>
      </c>
      <c r="AT15" s="87" t="str">
        <f>IFERROR(IF(OR($B15="",AT$3=""),"",IF(NOT(ISNUMBER(_xll.ciqfunctions.udf.CIQ($B15, "IQ_GROSS_MARGIN", AT$3, $I$3, $N$3, , $J$3, $K$3))),"",_xll.ciqfunctions.udf.CIQ($B15, "IQ_GROSS_MARGIN", AT$3, $I$3, $N$3, , $J$3, $K$3)/100)),"")</f>
        <v/>
      </c>
      <c r="AU15" s="87" t="str">
        <f>IFERROR(IF(OR($B15="",AU$3=""),"",IF(NOT(ISNUMBER(_xll.ciqfunctions.udf.CIQ($B15, "IQ_GROSS_MARGIN", AU$3, $I$3, $N$3, , $J$3, $K$3))),"",_xll.ciqfunctions.udf.CIQ($B15, "IQ_GROSS_MARGIN", AU$3, $I$3, $N$3, , $J$3, $K$3)/100)),"")</f>
        <v/>
      </c>
      <c r="AV15" s="87" t="str">
        <f>IFERROR(IF(OR($B15="",AV$3=""),"",IF(NOT(ISNUMBER(_xll.ciqfunctions.udf.CIQ($B15, "IQ_GROSS_MARGIN", AV$3, $I$3, $N$3, , $J$3, $K$3))),"",_xll.ciqfunctions.udf.CIQ($B15, "IQ_GROSS_MARGIN", AV$3, $I$3, $N$3, , $J$3, $K$3)/100)),"")</f>
        <v/>
      </c>
      <c r="AW15" s="87" t="str">
        <f>IFERROR(IF(OR($B15="",AW$3=""),"",IF(NOT(ISNUMBER(_xll.ciqfunctions.udf.CIQ($B15, "IQ_GROSS_MARGIN", AW$3, $I$3, $N$3, , $J$3, $K$3))),"",_xll.ciqfunctions.udf.CIQ($B15, "IQ_GROSS_MARGIN", AW$3, $I$3, $N$3, , $J$3, $K$3)/100)),"")</f>
        <v/>
      </c>
      <c r="AX15" s="87" t="str">
        <f>IFERROR(IF(OR($B15="",AX$3=""),"",IF(NOT(ISNUMBER(_xll.ciqfunctions.udf.CIQ($B15, "IQ_GROSS_MARGIN", AX$3, $I$3, $N$3, , $J$3, $K$3))),"",_xll.ciqfunctions.udf.CIQ($B15, "IQ_GROSS_MARGIN", AX$3, $I$3, $N$3, , $J$3, $K$3)/100)),"")</f>
        <v/>
      </c>
      <c r="AY15" s="87" t="str">
        <f>IFERROR(IF(OR($B15="",AY$3=""),"",IF(NOT(ISNUMBER(_xll.ciqfunctions.udf.CIQ($B15, "IQ_GROSS_MARGIN", AY$3, $I$3, $N$3, , $J$3, $K$3))),"",_xll.ciqfunctions.udf.CIQ($B15, "IQ_GROSS_MARGIN", AY$3, $I$3, $N$3, , $J$3, $K$3)/100)),"")</f>
        <v/>
      </c>
      <c r="AZ15" s="88" t="str">
        <f>IFERROR(IF(OR($B15="",AZ$3=""),"",IF(NOT(ISNUMBER(_xll.ciqfunctions.udf.CIQ($B15, "IQ_GROSS_MARGIN", AZ$3, $I$3, $N$3, , $J$3, $K$3))),"",_xll.ciqfunctions.udf.CIQ($B15, "IQ_GROSS_MARGIN", AZ$3, $I$3, $N$3, , $J$3, $K$3)/100)),"")</f>
        <v/>
      </c>
      <c r="BA15" s="73" t="str">
        <f>IFERROR(IF(OR($B15="",BA$3=""),"",IF(NOT(ISNUMBER(_xll.ciqfunctions.udf.CIQ($B15, "IQ_EBITDA_MARGIN", BA$3, $I$3, $N$3, , $J$3, $K$3))),"",_xll.ciqfunctions.udf.CIQ($B15, "IQ_EBITDA_MARGIN", BA$3, $I$3, $N$3, , $J$3, $K$3)/100)),"")</f>
        <v/>
      </c>
      <c r="BB15" s="73" t="str">
        <f>IFERROR(IF(OR($B15="",BB$3=""),"",IF(NOT(ISNUMBER(_xll.ciqfunctions.udf.CIQ($B15, "IQ_EBITDA_MARGIN", BB$3, $I$3, $N$3, , $J$3, $K$3))),"",_xll.ciqfunctions.udf.CIQ($B15, "IQ_EBITDA_MARGIN", BB$3, $I$3, $N$3, , $J$3, $K$3)/100)),"")</f>
        <v/>
      </c>
      <c r="BC15" s="73" t="str">
        <f>IFERROR(IF(OR($B15="",BC$3=""),"",IF(NOT(ISNUMBER(_xll.ciqfunctions.udf.CIQ($B15, "IQ_EBITDA_MARGIN", BC$3, $I$3, $N$3, , $J$3, $K$3))),"",_xll.ciqfunctions.udf.CIQ($B15, "IQ_EBITDA_MARGIN", BC$3, $I$3, $N$3, , $J$3, $K$3)/100)),"")</f>
        <v/>
      </c>
      <c r="BD15" s="73" t="str">
        <f>IFERROR(IF(OR($B15="",BD$3=""),"",IF(NOT(ISNUMBER(_xll.ciqfunctions.udf.CIQ($B15, "IQ_EBITDA_MARGIN", BD$3, $I$3, $N$3, , $J$3, $K$3))),"",_xll.ciqfunctions.udf.CIQ($B15, "IQ_EBITDA_MARGIN", BD$3, $I$3, $N$3, , $J$3, $K$3)/100)),"")</f>
        <v/>
      </c>
      <c r="BE15" s="720" t="str">
        <f>IFERROR(IF(OR($B15="",BE$3=""),"",IF(NOT(ISNUMBER(_xll.ciqfunctions.udf.CIQ($B15, "IQ_EBITDA_MARGIN", BE$3, $I$3, $N$3, , $J$3, $K$3))),"",_xll.ciqfunctions.udf.CIQ($B15, "IQ_EBITDA_MARGIN", BE$3, $I$3, $N$3, , $J$3, $K$3)/100)),"")</f>
        <v/>
      </c>
      <c r="BF15" s="73" t="str">
        <f>IFERROR(IF(OR($B15="",BF$3=""),"",IF(NOT(ISNUMBER(_xll.ciqfunctions.udf.CIQ($B15, "IQ_EBITDA_MARGIN", BF$3, $I$3, $N$3, , $J$3, $K$3))),"",_xll.ciqfunctions.udf.CIQ($B15, "IQ_EBITDA_MARGIN", BF$3, $I$3, $N$3, , $J$3, $K$3)/100)),"")</f>
        <v/>
      </c>
      <c r="BG15" s="73" t="str">
        <f>IFERROR(IF(OR($B15="",BG$3=""),"",IF(NOT(ISNUMBER(_xll.ciqfunctions.udf.CIQ($B15, "IQ_EBITDA_MARGIN", BG$3, $I$3, $N$3, , $J$3, $K$3))),"",_xll.ciqfunctions.udf.CIQ($B15, "IQ_EBITDA_MARGIN", BG$3, $I$3, $N$3, , $J$3, $K$3)/100)),"")</f>
        <v/>
      </c>
      <c r="BH15" s="73" t="str">
        <f>IFERROR(IF(OR($B15="",BH$3=""),"",IF(NOT(ISNUMBER(_xll.ciqfunctions.udf.CIQ($B15, "IQ_EBITDA_MARGIN", BH$3, $I$3, $N$3, , $J$3, $K$3))),"",_xll.ciqfunctions.udf.CIQ($B15, "IQ_EBITDA_MARGIN", BH$3, $I$3, $N$3, , $J$3, $K$3)/100)),"")</f>
        <v/>
      </c>
      <c r="BI15" s="73" t="str">
        <f>IFERROR(IF(OR($B15="",BI$3=""),"",IF(NOT(ISNUMBER(_xll.ciqfunctions.udf.CIQ($B15, "IQ_EBITDA_MARGIN", BI$3, $I$3, $N$3, , $J$3, $K$3))),"",_xll.ciqfunctions.udf.CIQ($B15, "IQ_EBITDA_MARGIN", BI$3, $I$3, $N$3, , $J$3, $K$3)/100)),"")</f>
        <v/>
      </c>
      <c r="BJ15" s="73" t="str">
        <f>IFERROR(IF(OR($B15="",BJ$3=""),"",IF(NOT(ISNUMBER(_xll.ciqfunctions.udf.CIQ($B15, "IQ_EBITDA_MARGIN", BJ$3, $I$3, $N$3, , $J$3, $K$3))),"",_xll.ciqfunctions.udf.CIQ($B15, "IQ_EBITDA_MARGIN", BJ$3, $I$3, $N$3, , $J$3, $K$3)/100)),"")</f>
        <v/>
      </c>
      <c r="BK15" s="73" t="str">
        <f>IFERROR(IF(OR($B15="",BK$3=""),"",IF(NOT(ISNUMBER(_xll.ciqfunctions.udf.CIQ($B15, "IQ_EBITDA_MARGIN", BK$3, $I$3, $N$3, , $J$3, $K$3))),"",_xll.ciqfunctions.udf.CIQ($B15, "IQ_EBITDA_MARGIN", BK$3, $I$3, $N$3, , $J$3, $K$3)/100)),"")</f>
        <v/>
      </c>
      <c r="BL15" s="73" t="str">
        <f>IFERROR(IF(OR($B15="",BL$3=""),"",IF(NOT(ISNUMBER(_xll.ciqfunctions.udf.CIQ($B15, "IQ_EBITDA_MARGIN", BL$3, $I$3, $N$3, , $J$3, $K$3))),"",_xll.ciqfunctions.udf.CIQ($B15, "IQ_EBITDA_MARGIN", BL$3, $I$3, $N$3, , $J$3, $K$3)/100)),"")</f>
        <v/>
      </c>
      <c r="BM15" s="73" t="str">
        <f>IFERROR(IF(OR($B15="",BM$3=""),"",IF(NOT(ISNUMBER(_xll.ciqfunctions.udf.CIQ($B15, "IQ_EBITDA_MARGIN", BM$3, $I$3, $N$3, , $J$3, $K$3))),"",_xll.ciqfunctions.udf.CIQ($B15, "IQ_EBITDA_MARGIN", BM$3, $I$3, $N$3, , $J$3, $K$3)/100)),"")</f>
        <v/>
      </c>
      <c r="BN15" s="73" t="str">
        <f>IFERROR(IF(OR($B15="",BN$3=""),"",IF(NOT(ISNUMBER(_xll.ciqfunctions.udf.CIQ($B15, "IQ_EBITDA_MARGIN", BN$3, $I$3, $N$3, , $J$3, $K$3))),"",_xll.ciqfunctions.udf.CIQ($B15, "IQ_EBITDA_MARGIN", BN$3, $I$3, $N$3, , $J$3, $K$3)/100)),"")</f>
        <v/>
      </c>
      <c r="BO15" s="73" t="str">
        <f>IFERROR(IF(OR($B15="",BO$3=""),"",IF(NOT(ISNUMBER(_xll.ciqfunctions.udf.CIQ($B15, "IQ_EBITDA_MARGIN", BO$3, $I$3, $N$3, , $J$3, $K$3))),"",_xll.ciqfunctions.udf.CIQ($B15, "IQ_EBITDA_MARGIN", BO$3, $I$3, $N$3, , $J$3, $K$3)/100)),"")</f>
        <v/>
      </c>
      <c r="BP15" s="73" t="str">
        <f>IFERROR(IF(OR($B15="",BP$3=""),"",IF(NOT(ISNUMBER(_xll.ciqfunctions.udf.CIQ($B15, "IQ_EBITDA_MARGIN", BP$3, $I$3, $N$3, , $J$3, $K$3))),"",_xll.ciqfunctions.udf.CIQ($B15, "IQ_EBITDA_MARGIN", BP$3, $I$3, $N$3, , $J$3, $K$3)/100)),"")</f>
        <v/>
      </c>
      <c r="BQ15" s="73" t="str">
        <f>IFERROR(IF(OR($B15="",BQ$3=""),"",IF(NOT(ISNUMBER(_xll.ciqfunctions.udf.CIQ($B15, "IQ_EBITDA_MARGIN", BQ$3, $I$3, $N$3, , $J$3, $K$3))),"",_xll.ciqfunctions.udf.CIQ($B15, "IQ_EBITDA_MARGIN", BQ$3, $I$3, $N$3, , $J$3, $K$3)/100)),"")</f>
        <v/>
      </c>
      <c r="BR15" s="73" t="str">
        <f>IFERROR(IF(OR($B15="",BR$3=""),"",IF(NOT(ISNUMBER(_xll.ciqfunctions.udf.CIQ($B15, "IQ_EBITDA_MARGIN", BR$3, $I$3, $N$3, , $J$3, $K$3))),"",_xll.ciqfunctions.udf.CIQ($B15, "IQ_EBITDA_MARGIN", BR$3, $I$3, $N$3, , $J$3, $K$3)/100)),"")</f>
        <v/>
      </c>
      <c r="BS15" s="73" t="str">
        <f>IFERROR(IF(OR($B15="",BS$3=""),"",IF(NOT(ISNUMBER(_xll.ciqfunctions.udf.CIQ($B15, "IQ_EBITDA_MARGIN", BS$3, $I$3, $N$3, , $J$3, $K$3))),"",_xll.ciqfunctions.udf.CIQ($B15, "IQ_EBITDA_MARGIN", BS$3, $I$3, $N$3, , $J$3, $K$3)/100)),"")</f>
        <v/>
      </c>
      <c r="BT15" s="73" t="str">
        <f>IFERROR(IF(OR($B15="",BT$3=""),"",IF(NOT(ISNUMBER(_xll.ciqfunctions.udf.CIQ($B15, "IQ_EBITDA_MARGIN", BT$3, $I$3, $N$3, , $J$3, $K$3))),"",_xll.ciqfunctions.udf.CIQ($B15, "IQ_EBITDA_MARGIN", BT$3, $I$3, $N$3, , $J$3, $K$3)/100)),"")</f>
        <v/>
      </c>
      <c r="BU15" s="86" t="str">
        <f>IFERROR(IF(OR($B15="",BU$3=""),"",IF(NOT(ISNUMBER(_xll.ciqfunctions.udf.CIQ($B15, "IQ_EBIT_MARGIN", BU$3, $I$3, $N$3, , $J$3, $K$3))),"",_xll.ciqfunctions.udf.CIQ($B15, "IQ_EBIT_MARGIN", BU$3, $I$3, $N$3, , $J$3, $K$3)/100)),"")</f>
        <v/>
      </c>
      <c r="BV15" s="87" t="str">
        <f>IFERROR(IF(OR($B15="",BV$3=""),"",IF(NOT(ISNUMBER(_xll.ciqfunctions.udf.CIQ($B15, "IQ_EBIT_MARGIN", BV$3, $I$3, $N$3, , $J$3, $K$3))),"",_xll.ciqfunctions.udf.CIQ($B15, "IQ_EBIT_MARGIN", BV$3, $I$3, $N$3, , $J$3, $K$3)/100)),"")</f>
        <v/>
      </c>
      <c r="BW15" s="87" t="str">
        <f>IFERROR(IF(OR($B15="",BW$3=""),"",IF(NOT(ISNUMBER(_xll.ciqfunctions.udf.CIQ($B15, "IQ_EBIT_MARGIN", BW$3, $I$3, $N$3, , $J$3, $K$3))),"",_xll.ciqfunctions.udf.CIQ($B15, "IQ_EBIT_MARGIN", BW$3, $I$3, $N$3, , $J$3, $K$3)/100)),"")</f>
        <v/>
      </c>
      <c r="BX15" s="87" t="str">
        <f>IFERROR(IF(OR($B15="",BX$3=""),"",IF(NOT(ISNUMBER(_xll.ciqfunctions.udf.CIQ($B15, "IQ_EBIT_MARGIN", BX$3, $I$3, $N$3, , $J$3, $K$3))),"",_xll.ciqfunctions.udf.CIQ($B15, "IQ_EBIT_MARGIN", BX$3, $I$3, $N$3, , $J$3, $K$3)/100)),"")</f>
        <v/>
      </c>
      <c r="BY15" s="87" t="str">
        <f>IFERROR(IF(OR($B15="",BY$3=""),"",IF(NOT(ISNUMBER(_xll.ciqfunctions.udf.CIQ($B15, "IQ_EBIT_MARGIN", BY$3, $I$3, $N$3, , $J$3, $K$3))),"",_xll.ciqfunctions.udf.CIQ($B15, "IQ_EBIT_MARGIN", BY$3, $I$3, $N$3, , $J$3, $K$3)/100)),"")</f>
        <v/>
      </c>
      <c r="BZ15" s="87" t="str">
        <f>IFERROR(IF(OR($B15="",BZ$3=""),"",IF(NOT(ISNUMBER(_xll.ciqfunctions.udf.CIQ($B15, "IQ_EBIT_MARGIN", BZ$3, $I$3, $N$3, , $J$3, $K$3))),"",_xll.ciqfunctions.udf.CIQ($B15, "IQ_EBIT_MARGIN", BZ$3, $I$3, $N$3, , $J$3, $K$3)/100)),"")</f>
        <v/>
      </c>
      <c r="CA15" s="87" t="str">
        <f>IFERROR(IF(OR($B15="",CA$3=""),"",IF(NOT(ISNUMBER(_xll.ciqfunctions.udf.CIQ($B15, "IQ_EBIT_MARGIN", CA$3, $I$3, $N$3, , $J$3, $K$3))),"",_xll.ciqfunctions.udf.CIQ($B15, "IQ_EBIT_MARGIN", CA$3, $I$3, $N$3, , $J$3, $K$3)/100)),"")</f>
        <v/>
      </c>
      <c r="CB15" s="87" t="str">
        <f>IFERROR(IF(OR($B15="",CB$3=""),"",IF(NOT(ISNUMBER(_xll.ciqfunctions.udf.CIQ($B15, "IQ_EBIT_MARGIN", CB$3, $I$3, $N$3, , $J$3, $K$3))),"",_xll.ciqfunctions.udf.CIQ($B15, "IQ_EBIT_MARGIN", CB$3, $I$3, $N$3, , $J$3, $K$3)/100)),"")</f>
        <v/>
      </c>
      <c r="CC15" s="87" t="str">
        <f>IFERROR(IF(OR($B15="",CC$3=""),"",IF(NOT(ISNUMBER(_xll.ciqfunctions.udf.CIQ($B15, "IQ_EBIT_MARGIN", CC$3, $I$3, $N$3, , $J$3, $K$3))),"",_xll.ciqfunctions.udf.CIQ($B15, "IQ_EBIT_MARGIN", CC$3, $I$3, $N$3, , $J$3, $K$3)/100)),"")</f>
        <v/>
      </c>
      <c r="CD15" s="87" t="str">
        <f>IFERROR(IF(OR($B15="",CD$3=""),"",IF(NOT(ISNUMBER(_xll.ciqfunctions.udf.CIQ($B15, "IQ_EBIT_MARGIN", CD$3, $I$3, $N$3, , $J$3, $K$3))),"",_xll.ciqfunctions.udf.CIQ($B15, "IQ_EBIT_MARGIN", CD$3, $I$3, $N$3, , $J$3, $K$3)/100)),"")</f>
        <v/>
      </c>
      <c r="CE15" s="87" t="str">
        <f>IFERROR(IF(OR($B15="",CE$3=""),"",IF(NOT(ISNUMBER(_xll.ciqfunctions.udf.CIQ($B15, "IQ_EBIT_MARGIN", CE$3, $I$3, $N$3, , $J$3, $K$3))),"",_xll.ciqfunctions.udf.CIQ($B15, "IQ_EBIT_MARGIN", CE$3, $I$3, $N$3, , $J$3, $K$3)/100)),"")</f>
        <v/>
      </c>
      <c r="CF15" s="87" t="str">
        <f>IFERROR(IF(OR($B15="",CF$3=""),"",IF(NOT(ISNUMBER(_xll.ciqfunctions.udf.CIQ($B15, "IQ_EBIT_MARGIN", CF$3, $I$3, $N$3, , $J$3, $K$3))),"",_xll.ciqfunctions.udf.CIQ($B15, "IQ_EBIT_MARGIN", CF$3, $I$3, $N$3, , $J$3, $K$3)/100)),"")</f>
        <v/>
      </c>
      <c r="CG15" s="87" t="str">
        <f>IFERROR(IF(OR($B15="",CG$3=""),"",IF(NOT(ISNUMBER(_xll.ciqfunctions.udf.CIQ($B15, "IQ_EBIT_MARGIN", CG$3, $I$3, $N$3, , $J$3, $K$3))),"",_xll.ciqfunctions.udf.CIQ($B15, "IQ_EBIT_MARGIN", CG$3, $I$3, $N$3, , $J$3, $K$3)/100)),"")</f>
        <v/>
      </c>
      <c r="CH15" s="87" t="str">
        <f>IFERROR(IF(OR($B15="",CH$3=""),"",IF(NOT(ISNUMBER(_xll.ciqfunctions.udf.CIQ($B15, "IQ_EBIT_MARGIN", CH$3, $I$3, $N$3, , $J$3, $K$3))),"",_xll.ciqfunctions.udf.CIQ($B15, "IQ_EBIT_MARGIN", CH$3, $I$3, $N$3, , $J$3, $K$3)/100)),"")</f>
        <v/>
      </c>
      <c r="CI15" s="87" t="str">
        <f>IFERROR(IF(OR($B15="",CI$3=""),"",IF(NOT(ISNUMBER(_xll.ciqfunctions.udf.CIQ($B15, "IQ_EBIT_MARGIN", CI$3, $I$3, $N$3, , $J$3, $K$3))),"",_xll.ciqfunctions.udf.CIQ($B15, "IQ_EBIT_MARGIN", CI$3, $I$3, $N$3, , $J$3, $K$3)/100)),"")</f>
        <v/>
      </c>
      <c r="CJ15" s="87" t="str">
        <f>IFERROR(IF(OR($B15="",CJ$3=""),"",IF(NOT(ISNUMBER(_xll.ciqfunctions.udf.CIQ($B15, "IQ_EBIT_MARGIN", CJ$3, $I$3, $N$3, , $J$3, $K$3))),"",_xll.ciqfunctions.udf.CIQ($B15, "IQ_EBIT_MARGIN", CJ$3, $I$3, $N$3, , $J$3, $K$3)/100)),"")</f>
        <v/>
      </c>
      <c r="CK15" s="87" t="str">
        <f>IFERROR(IF(OR($B15="",CK$3=""),"",IF(NOT(ISNUMBER(_xll.ciqfunctions.udf.CIQ($B15, "IQ_EBIT_MARGIN", CK$3, $I$3, $N$3, , $J$3, $K$3))),"",_xll.ciqfunctions.udf.CIQ($B15, "IQ_EBIT_MARGIN", CK$3, $I$3, $N$3, , $J$3, $K$3)/100)),"")</f>
        <v/>
      </c>
      <c r="CL15" s="87" t="str">
        <f>IFERROR(IF(OR($B15="",CL$3=""),"",IF(NOT(ISNUMBER(_xll.ciqfunctions.udf.CIQ($B15, "IQ_EBIT_MARGIN", CL$3, $I$3, $N$3, , $J$3, $K$3))),"",_xll.ciqfunctions.udf.CIQ($B15, "IQ_EBIT_MARGIN", CL$3, $I$3, $N$3, , $J$3, $K$3)/100)),"")</f>
        <v/>
      </c>
      <c r="CM15" s="87" t="str">
        <f>IFERROR(IF(OR($B15="",CM$3=""),"",IF(NOT(ISNUMBER(_xll.ciqfunctions.udf.CIQ($B15, "IQ_EBIT_MARGIN", CM$3, $I$3, $N$3, , $J$3, $K$3))),"",_xll.ciqfunctions.udf.CIQ($B15, "IQ_EBIT_MARGIN", CM$3, $I$3, $N$3, , $J$3, $K$3)/100)),"")</f>
        <v/>
      </c>
      <c r="CN15" s="88" t="str">
        <f>IFERROR(IF(OR($B15="",CN$3=""),"",IF(NOT(ISNUMBER(_xll.ciqfunctions.udf.CIQ($B15, "IQ_EBIT_MARGIN", CN$3, $I$3, $N$3, , $J$3, $K$3))),"",_xll.ciqfunctions.udf.CIQ($B15, "IQ_EBIT_MARGIN", CN$3, $I$3, $N$3, , $J$3, $K$3)/100)),"")</f>
        <v/>
      </c>
      <c r="CO15" s="86" t="str">
        <f>IFERROR(IF(OR($B15="",CO$3=""),"",IF(NOT(ISNUMBER(_xll.ciqfunctions.udf.CIQ($B15, "IQ_NI_MARGIN", CO$3, $I$3, $N$3, , $J$3, $K$3))),"",_xll.ciqfunctions.udf.CIQ($B15, "IQ_NI_MARGIN", CO$3, $I$3, $N$3, , $J$3, $K$3)/100)),"")</f>
        <v/>
      </c>
      <c r="CP15" s="87" t="str">
        <f>IFERROR(IF(OR($B15="",CP$3=""),"",IF(NOT(ISNUMBER(_xll.ciqfunctions.udf.CIQ($B15, "IQ_NI_MARGIN", CP$3, $I$3, $N$3, , $J$3, $K$3))),"",_xll.ciqfunctions.udf.CIQ($B15, "IQ_NI_MARGIN", CP$3, $I$3, $N$3, , $J$3, $K$3)/100)),"")</f>
        <v/>
      </c>
      <c r="CQ15" s="87" t="str">
        <f>IFERROR(IF(OR($B15="",CQ$3=""),"",IF(NOT(ISNUMBER(_xll.ciqfunctions.udf.CIQ($B15, "IQ_NI_MARGIN", CQ$3, $I$3, $N$3, , $J$3, $K$3))),"",_xll.ciqfunctions.udf.CIQ($B15, "IQ_NI_MARGIN", CQ$3, $I$3, $N$3, , $J$3, $K$3)/100)),"")</f>
        <v/>
      </c>
      <c r="CR15" s="87" t="str">
        <f>IFERROR(IF(OR($B15="",CR$3=""),"",IF(NOT(ISNUMBER(_xll.ciqfunctions.udf.CIQ($B15, "IQ_NI_MARGIN", CR$3, $I$3, $N$3, , $J$3, $K$3))),"",_xll.ciqfunctions.udf.CIQ($B15, "IQ_NI_MARGIN", CR$3, $I$3, $N$3, , $J$3, $K$3)/100)),"")</f>
        <v/>
      </c>
      <c r="CS15" s="87" t="str">
        <f>IFERROR(IF(OR($B15="",CS$3=""),"",IF(NOT(ISNUMBER(_xll.ciqfunctions.udf.CIQ($B15, "IQ_NI_MARGIN", CS$3, $I$3, $N$3, , $J$3, $K$3))),"",_xll.ciqfunctions.udf.CIQ($B15, "IQ_NI_MARGIN", CS$3, $I$3, $N$3, , $J$3, $K$3)/100)),"")</f>
        <v/>
      </c>
      <c r="CT15" s="87" t="str">
        <f>IFERROR(IF(OR($B15="",CT$3=""),"",IF(NOT(ISNUMBER(_xll.ciqfunctions.udf.CIQ($B15, "IQ_NI_MARGIN", CT$3, $I$3, $N$3, , $J$3, $K$3))),"",_xll.ciqfunctions.udf.CIQ($B15, "IQ_NI_MARGIN", CT$3, $I$3, $N$3, , $J$3, $K$3)/100)),"")</f>
        <v/>
      </c>
      <c r="CU15" s="87" t="str">
        <f>IFERROR(IF(OR($B15="",CU$3=""),"",IF(NOT(ISNUMBER(_xll.ciqfunctions.udf.CIQ($B15, "IQ_NI_MARGIN", CU$3, $I$3, $N$3, , $J$3, $K$3))),"",_xll.ciqfunctions.udf.CIQ($B15, "IQ_NI_MARGIN", CU$3, $I$3, $N$3, , $J$3, $K$3)/100)),"")</f>
        <v/>
      </c>
      <c r="CV15" s="87" t="str">
        <f>IFERROR(IF(OR($B15="",CV$3=""),"",IF(NOT(ISNUMBER(_xll.ciqfunctions.udf.CIQ($B15, "IQ_NI_MARGIN", CV$3, $I$3, $N$3, , $J$3, $K$3))),"",_xll.ciqfunctions.udf.CIQ($B15, "IQ_NI_MARGIN", CV$3, $I$3, $N$3, , $J$3, $K$3)/100)),"")</f>
        <v/>
      </c>
      <c r="CW15" s="87" t="str">
        <f>IFERROR(IF(OR($B15="",CW$3=""),"",IF(NOT(ISNUMBER(_xll.ciqfunctions.udf.CIQ($B15, "IQ_NI_MARGIN", CW$3, $I$3, $N$3, , $J$3, $K$3))),"",_xll.ciqfunctions.udf.CIQ($B15, "IQ_NI_MARGIN", CW$3, $I$3, $N$3, , $J$3, $K$3)/100)),"")</f>
        <v/>
      </c>
      <c r="CX15" s="87" t="str">
        <f>IFERROR(IF(OR($B15="",CX$3=""),"",IF(NOT(ISNUMBER(_xll.ciqfunctions.udf.CIQ($B15, "IQ_NI_MARGIN", CX$3, $I$3, $N$3, , $J$3, $K$3))),"",_xll.ciqfunctions.udf.CIQ($B15, "IQ_NI_MARGIN", CX$3, $I$3, $N$3, , $J$3, $K$3)/100)),"")</f>
        <v/>
      </c>
      <c r="CY15" s="87" t="str">
        <f>IFERROR(IF(OR($B15="",CY$3=""),"",IF(NOT(ISNUMBER(_xll.ciqfunctions.udf.CIQ($B15, "IQ_NI_MARGIN", CY$3, $I$3, $N$3, , $J$3, $K$3))),"",_xll.ciqfunctions.udf.CIQ($B15, "IQ_NI_MARGIN", CY$3, $I$3, $N$3, , $J$3, $K$3)/100)),"")</f>
        <v/>
      </c>
      <c r="CZ15" s="87" t="str">
        <f>IFERROR(IF(OR($B15="",CZ$3=""),"",IF(NOT(ISNUMBER(_xll.ciqfunctions.udf.CIQ($B15, "IQ_NI_MARGIN", CZ$3, $I$3, $N$3, , $J$3, $K$3))),"",_xll.ciqfunctions.udf.CIQ($B15, "IQ_NI_MARGIN", CZ$3, $I$3, $N$3, , $J$3, $K$3)/100)),"")</f>
        <v/>
      </c>
      <c r="DA15" s="87" t="str">
        <f>IFERROR(IF(OR($B15="",DA$3=""),"",IF(NOT(ISNUMBER(_xll.ciqfunctions.udf.CIQ($B15, "IQ_NI_MARGIN", DA$3, $I$3, $N$3, , $J$3, $K$3))),"",_xll.ciqfunctions.udf.CIQ($B15, "IQ_NI_MARGIN", DA$3, $I$3, $N$3, , $J$3, $K$3)/100)),"")</f>
        <v/>
      </c>
      <c r="DB15" s="87" t="str">
        <f>IFERROR(IF(OR($B15="",DB$3=""),"",IF(NOT(ISNUMBER(_xll.ciqfunctions.udf.CIQ($B15, "IQ_NI_MARGIN", DB$3, $I$3, $N$3, , $J$3, $K$3))),"",_xll.ciqfunctions.udf.CIQ($B15, "IQ_NI_MARGIN", DB$3, $I$3, $N$3, , $J$3, $K$3)/100)),"")</f>
        <v/>
      </c>
      <c r="DC15" s="87" t="str">
        <f>IFERROR(IF(OR($B15="",DC$3=""),"",IF(NOT(ISNUMBER(_xll.ciqfunctions.udf.CIQ($B15, "IQ_NI_MARGIN", DC$3, $I$3, $N$3, , $J$3, $K$3))),"",_xll.ciqfunctions.udf.CIQ($B15, "IQ_NI_MARGIN", DC$3, $I$3, $N$3, , $J$3, $K$3)/100)),"")</f>
        <v/>
      </c>
      <c r="DD15" s="87" t="str">
        <f>IFERROR(IF(OR($B15="",DD$3=""),"",IF(NOT(ISNUMBER(_xll.ciqfunctions.udf.CIQ($B15, "IQ_NI_MARGIN", DD$3, $I$3, $N$3, , $J$3, $K$3))),"",_xll.ciqfunctions.udf.CIQ($B15, "IQ_NI_MARGIN", DD$3, $I$3, $N$3, , $J$3, $K$3)/100)),"")</f>
        <v/>
      </c>
      <c r="DE15" s="87" t="str">
        <f>IFERROR(IF(OR($B15="",DE$3=""),"",IF(NOT(ISNUMBER(_xll.ciqfunctions.udf.CIQ($B15, "IQ_NI_MARGIN", DE$3, $I$3, $N$3, , $J$3, $K$3))),"",_xll.ciqfunctions.udf.CIQ($B15, "IQ_NI_MARGIN", DE$3, $I$3, $N$3, , $J$3, $K$3)/100)),"")</f>
        <v/>
      </c>
      <c r="DF15" s="87" t="str">
        <f>IFERROR(IF(OR($B15="",DF$3=""),"",IF(NOT(ISNUMBER(_xll.ciqfunctions.udf.CIQ($B15, "IQ_NI_MARGIN", DF$3, $I$3, $N$3, , $J$3, $K$3))),"",_xll.ciqfunctions.udf.CIQ($B15, "IQ_NI_MARGIN", DF$3, $I$3, $N$3, , $J$3, $K$3)/100)),"")</f>
        <v/>
      </c>
      <c r="DG15" s="87" t="str">
        <f>IFERROR(IF(OR($B15="",DG$3=""),"",IF(NOT(ISNUMBER(_xll.ciqfunctions.udf.CIQ($B15, "IQ_NI_MARGIN", DG$3, $I$3, $N$3, , $J$3, $K$3))),"",_xll.ciqfunctions.udf.CIQ($B15, "IQ_NI_MARGIN", DG$3, $I$3, $N$3, , $J$3, $K$3)/100)),"")</f>
        <v/>
      </c>
      <c r="DH15" s="88" t="str">
        <f>IFERROR(IF(OR($B15="",DH$3=""),"",IF(NOT(ISNUMBER(_xll.ciqfunctions.udf.CIQ($B15, "IQ_NI_MARGIN", DH$3, $I$3, $N$3, , $J$3, $K$3))),"",_xll.ciqfunctions.udf.CIQ($B15, "IQ_NI_MARGIN", DH$3, $I$3, $N$3, , $J$3, $K$3)/100)),"")</f>
        <v/>
      </c>
      <c r="DI15" s="86" t="str">
        <f>IFERROR(IF(OR($B15="",DI$3=""),"",IF(OR(NOT(ISNUMBER(_xll.ciqfunctions.udf.CIQ($B15, "IQ_COGS", DI$3, $I$3, $N$3, , $J$3, $K$3))),NOT(ISNUMBER(_xll.ciqfunctions.udf.CIQ($B15, "IQ_TOTAL_REVENUE", DI$3, $I$3, $N$3, , $J$3, $K$3)))),"",_xll.ciqfunctions.udf.CIQ($B15, "IQ_COGS", DI$3, $I$3, $N$3, , $J$3, $K$3)/_xll.ciqfunctions.udf.CIQ($B15, "IQ_TOTAL_REVENUE", DI$3, $I$3, $N$3, , $J$3, $K$3))),"")</f>
        <v/>
      </c>
      <c r="DJ15" s="87" t="str">
        <f>IFERROR(IF(OR($B15="",DJ$3=""),"",IF(OR(NOT(ISNUMBER(_xll.ciqfunctions.udf.CIQ($B15, "IQ_COGS", DJ$3, $I$3, $N$3, , $J$3, $K$3))),NOT(ISNUMBER(_xll.ciqfunctions.udf.CIQ($B15, "IQ_TOTAL_REVENUE", DJ$3, $I$3, $N$3, , $J$3, $K$3)))),"",_xll.ciqfunctions.udf.CIQ($B15, "IQ_COGS", DJ$3, $I$3, $N$3, , $J$3, $K$3)/_xll.ciqfunctions.udf.CIQ($B15, "IQ_TOTAL_REVENUE", DJ$3, $I$3, $N$3, , $J$3, $K$3))),"")</f>
        <v/>
      </c>
      <c r="DK15" s="87" t="str">
        <f>IFERROR(IF(OR($B15="",DK$3=""),"",IF(OR(NOT(ISNUMBER(_xll.ciqfunctions.udf.CIQ($B15, "IQ_COGS", DK$3, $I$3, $N$3, , $J$3, $K$3))),NOT(ISNUMBER(_xll.ciqfunctions.udf.CIQ($B15, "IQ_TOTAL_REVENUE", DK$3, $I$3, $N$3, , $J$3, $K$3)))),"",_xll.ciqfunctions.udf.CIQ($B15, "IQ_COGS", DK$3, $I$3, $N$3, , $J$3, $K$3)/_xll.ciqfunctions.udf.CIQ($B15, "IQ_TOTAL_REVENUE", DK$3, $I$3, $N$3, , $J$3, $K$3))),"")</f>
        <v/>
      </c>
      <c r="DL15" s="87" t="str">
        <f>IFERROR(IF(OR($B15="",DL$3=""),"",IF(OR(NOT(ISNUMBER(_xll.ciqfunctions.udf.CIQ($B15, "IQ_COGS", DL$3, $I$3, $N$3, , $J$3, $K$3))),NOT(ISNUMBER(_xll.ciqfunctions.udf.CIQ($B15, "IQ_TOTAL_REVENUE", DL$3, $I$3, $N$3, , $J$3, $K$3)))),"",_xll.ciqfunctions.udf.CIQ($B15, "IQ_COGS", DL$3, $I$3, $N$3, , $J$3, $K$3)/_xll.ciqfunctions.udf.CIQ($B15, "IQ_TOTAL_REVENUE", DL$3, $I$3, $N$3, , $J$3, $K$3))),"")</f>
        <v/>
      </c>
      <c r="DM15" s="87" t="str">
        <f>IFERROR(IF(OR($B15="",DM$3=""),"",IF(OR(NOT(ISNUMBER(_xll.ciqfunctions.udf.CIQ($B15, "IQ_COGS", DM$3, $I$3, $N$3, , $J$3, $K$3))),NOT(ISNUMBER(_xll.ciqfunctions.udf.CIQ($B15, "IQ_TOTAL_REVENUE", DM$3, $I$3, $N$3, , $J$3, $K$3)))),"",_xll.ciqfunctions.udf.CIQ($B15, "IQ_COGS", DM$3, $I$3, $N$3, , $J$3, $K$3)/_xll.ciqfunctions.udf.CIQ($B15, "IQ_TOTAL_REVENUE", DM$3, $I$3, $N$3, , $J$3, $K$3))),"")</f>
        <v/>
      </c>
      <c r="DN15" s="87" t="str">
        <f>IFERROR(IF(OR($B15="",DN$3=""),"",IF(OR(NOT(ISNUMBER(_xll.ciqfunctions.udf.CIQ($B15, "IQ_COGS", DN$3, $I$3, $N$3, , $J$3, $K$3))),NOT(ISNUMBER(_xll.ciqfunctions.udf.CIQ($B15, "IQ_TOTAL_REVENUE", DN$3, $I$3, $N$3, , $J$3, $K$3)))),"",_xll.ciqfunctions.udf.CIQ($B15, "IQ_COGS", DN$3, $I$3, $N$3, , $J$3, $K$3)/_xll.ciqfunctions.udf.CIQ($B15, "IQ_TOTAL_REVENUE", DN$3, $I$3, $N$3, , $J$3, $K$3))),"")</f>
        <v/>
      </c>
      <c r="DO15" s="87" t="str">
        <f>IFERROR(IF(OR($B15="",DO$3=""),"",IF(OR(NOT(ISNUMBER(_xll.ciqfunctions.udf.CIQ($B15, "IQ_COGS", DO$3, $I$3, $N$3, , $J$3, $K$3))),NOT(ISNUMBER(_xll.ciqfunctions.udf.CIQ($B15, "IQ_TOTAL_REVENUE", DO$3, $I$3, $N$3, , $J$3, $K$3)))),"",_xll.ciqfunctions.udf.CIQ($B15, "IQ_COGS", DO$3, $I$3, $N$3, , $J$3, $K$3)/_xll.ciqfunctions.udf.CIQ($B15, "IQ_TOTAL_REVENUE", DO$3, $I$3, $N$3, , $J$3, $K$3))),"")</f>
        <v/>
      </c>
      <c r="DP15" s="87" t="str">
        <f>IFERROR(IF(OR($B15="",DP$3=""),"",IF(OR(NOT(ISNUMBER(_xll.ciqfunctions.udf.CIQ($B15, "IQ_COGS", DP$3, $I$3, $N$3, , $J$3, $K$3))),NOT(ISNUMBER(_xll.ciqfunctions.udf.CIQ($B15, "IQ_TOTAL_REVENUE", DP$3, $I$3, $N$3, , $J$3, $K$3)))),"",_xll.ciqfunctions.udf.CIQ($B15, "IQ_COGS", DP$3, $I$3, $N$3, , $J$3, $K$3)/_xll.ciqfunctions.udf.CIQ($B15, "IQ_TOTAL_REVENUE", DP$3, $I$3, $N$3, , $J$3, $K$3))),"")</f>
        <v/>
      </c>
      <c r="DQ15" s="87" t="str">
        <f>IFERROR(IF(OR($B15="",DQ$3=""),"",IF(OR(NOT(ISNUMBER(_xll.ciqfunctions.udf.CIQ($B15, "IQ_COGS", DQ$3, $I$3, $N$3, , $J$3, $K$3))),NOT(ISNUMBER(_xll.ciqfunctions.udf.CIQ($B15, "IQ_TOTAL_REVENUE", DQ$3, $I$3, $N$3, , $J$3, $K$3)))),"",_xll.ciqfunctions.udf.CIQ($B15, "IQ_COGS", DQ$3, $I$3, $N$3, , $J$3, $K$3)/_xll.ciqfunctions.udf.CIQ($B15, "IQ_TOTAL_REVENUE", DQ$3, $I$3, $N$3, , $J$3, $K$3))),"")</f>
        <v/>
      </c>
      <c r="DR15" s="87" t="str">
        <f>IFERROR(IF(OR($B15="",DR$3=""),"",IF(OR(NOT(ISNUMBER(_xll.ciqfunctions.udf.CIQ($B15, "IQ_COGS", DR$3, $I$3, $N$3, , $J$3, $K$3))),NOT(ISNUMBER(_xll.ciqfunctions.udf.CIQ($B15, "IQ_TOTAL_REVENUE", DR$3, $I$3, $N$3, , $J$3, $K$3)))),"",_xll.ciqfunctions.udf.CIQ($B15, "IQ_COGS", DR$3, $I$3, $N$3, , $J$3, $K$3)/_xll.ciqfunctions.udf.CIQ($B15, "IQ_TOTAL_REVENUE", DR$3, $I$3, $N$3, , $J$3, $K$3))),"")</f>
        <v/>
      </c>
      <c r="DS15" s="87" t="str">
        <f>IFERROR(IF(OR($B15="",DS$3=""),"",IF(OR(NOT(ISNUMBER(_xll.ciqfunctions.udf.CIQ($B15, "IQ_COGS", DS$3, $I$3, $N$3, , $J$3, $K$3))),NOT(ISNUMBER(_xll.ciqfunctions.udf.CIQ($B15, "IQ_TOTAL_REVENUE", DS$3, $I$3, $N$3, , $J$3, $K$3)))),"",_xll.ciqfunctions.udf.CIQ($B15, "IQ_COGS", DS$3, $I$3, $N$3, , $J$3, $K$3)/_xll.ciqfunctions.udf.CIQ($B15, "IQ_TOTAL_REVENUE", DS$3, $I$3, $N$3, , $J$3, $K$3))),"")</f>
        <v/>
      </c>
      <c r="DT15" s="87" t="str">
        <f>IFERROR(IF(OR($B15="",DT$3=""),"",IF(OR(NOT(ISNUMBER(_xll.ciqfunctions.udf.CIQ($B15, "IQ_COGS", DT$3, $I$3, $N$3, , $J$3, $K$3))),NOT(ISNUMBER(_xll.ciqfunctions.udf.CIQ($B15, "IQ_TOTAL_REVENUE", DT$3, $I$3, $N$3, , $J$3, $K$3)))),"",_xll.ciqfunctions.udf.CIQ($B15, "IQ_COGS", DT$3, $I$3, $N$3, , $J$3, $K$3)/_xll.ciqfunctions.udf.CIQ($B15, "IQ_TOTAL_REVENUE", DT$3, $I$3, $N$3, , $J$3, $K$3))),"")</f>
        <v/>
      </c>
      <c r="DU15" s="87" t="str">
        <f>IFERROR(IF(OR($B15="",DU$3=""),"",IF(OR(NOT(ISNUMBER(_xll.ciqfunctions.udf.CIQ($B15, "IQ_COGS", DU$3, $I$3, $N$3, , $J$3, $K$3))),NOT(ISNUMBER(_xll.ciqfunctions.udf.CIQ($B15, "IQ_TOTAL_REVENUE", DU$3, $I$3, $N$3, , $J$3, $K$3)))),"",_xll.ciqfunctions.udf.CIQ($B15, "IQ_COGS", DU$3, $I$3, $N$3, , $J$3, $K$3)/_xll.ciqfunctions.udf.CIQ($B15, "IQ_TOTAL_REVENUE", DU$3, $I$3, $N$3, , $J$3, $K$3))),"")</f>
        <v/>
      </c>
      <c r="DV15" s="87" t="str">
        <f>IFERROR(IF(OR($B15="",DV$3=""),"",IF(OR(NOT(ISNUMBER(_xll.ciqfunctions.udf.CIQ($B15, "IQ_COGS", DV$3, $I$3, $N$3, , $J$3, $K$3))),NOT(ISNUMBER(_xll.ciqfunctions.udf.CIQ($B15, "IQ_TOTAL_REVENUE", DV$3, $I$3, $N$3, , $J$3, $K$3)))),"",_xll.ciqfunctions.udf.CIQ($B15, "IQ_COGS", DV$3, $I$3, $N$3, , $J$3, $K$3)/_xll.ciqfunctions.udf.CIQ($B15, "IQ_TOTAL_REVENUE", DV$3, $I$3, $N$3, , $J$3, $K$3))),"")</f>
        <v/>
      </c>
      <c r="DW15" s="87" t="str">
        <f>IFERROR(IF(OR($B15="",DW$3=""),"",IF(OR(NOT(ISNUMBER(_xll.ciqfunctions.udf.CIQ($B15, "IQ_COGS", DW$3, $I$3, $N$3, , $J$3, $K$3))),NOT(ISNUMBER(_xll.ciqfunctions.udf.CIQ($B15, "IQ_TOTAL_REVENUE", DW$3, $I$3, $N$3, , $J$3, $K$3)))),"",_xll.ciqfunctions.udf.CIQ($B15, "IQ_COGS", DW$3, $I$3, $N$3, , $J$3, $K$3)/_xll.ciqfunctions.udf.CIQ($B15, "IQ_TOTAL_REVENUE", DW$3, $I$3, $N$3, , $J$3, $K$3))),"")</f>
        <v/>
      </c>
      <c r="DX15" s="87" t="str">
        <f>IFERROR(IF(OR($B15="",DX$3=""),"",IF(OR(NOT(ISNUMBER(_xll.ciqfunctions.udf.CIQ($B15, "IQ_COGS", DX$3, $I$3, $N$3, , $J$3, $K$3))),NOT(ISNUMBER(_xll.ciqfunctions.udf.CIQ($B15, "IQ_TOTAL_REVENUE", DX$3, $I$3, $N$3, , $J$3, $K$3)))),"",_xll.ciqfunctions.udf.CIQ($B15, "IQ_COGS", DX$3, $I$3, $N$3, , $J$3, $K$3)/_xll.ciqfunctions.udf.CIQ($B15, "IQ_TOTAL_REVENUE", DX$3, $I$3, $N$3, , $J$3, $K$3))),"")</f>
        <v/>
      </c>
      <c r="DY15" s="87" t="str">
        <f>IFERROR(IF(OR($B15="",DY$3=""),"",IF(OR(NOT(ISNUMBER(_xll.ciqfunctions.udf.CIQ($B15, "IQ_COGS", DY$3, $I$3, $N$3, , $J$3, $K$3))),NOT(ISNUMBER(_xll.ciqfunctions.udf.CIQ($B15, "IQ_TOTAL_REVENUE", DY$3, $I$3, $N$3, , $J$3, $K$3)))),"",_xll.ciqfunctions.udf.CIQ($B15, "IQ_COGS", DY$3, $I$3, $N$3, , $J$3, $K$3)/_xll.ciqfunctions.udf.CIQ($B15, "IQ_TOTAL_REVENUE", DY$3, $I$3, $N$3, , $J$3, $K$3))),"")</f>
        <v/>
      </c>
      <c r="DZ15" s="87" t="str">
        <f>IFERROR(IF(OR($B15="",DZ$3=""),"",IF(OR(NOT(ISNUMBER(_xll.ciqfunctions.udf.CIQ($B15, "IQ_COGS", DZ$3, $I$3, $N$3, , $J$3, $K$3))),NOT(ISNUMBER(_xll.ciqfunctions.udf.CIQ($B15, "IQ_TOTAL_REVENUE", DZ$3, $I$3, $N$3, , $J$3, $K$3)))),"",_xll.ciqfunctions.udf.CIQ($B15, "IQ_COGS", DZ$3, $I$3, $N$3, , $J$3, $K$3)/_xll.ciqfunctions.udf.CIQ($B15, "IQ_TOTAL_REVENUE", DZ$3, $I$3, $N$3, , $J$3, $K$3))),"")</f>
        <v/>
      </c>
      <c r="EA15" s="87" t="str">
        <f>IFERROR(IF(OR($B15="",EA$3=""),"",IF(OR(NOT(ISNUMBER(_xll.ciqfunctions.udf.CIQ($B15, "IQ_COGS", EA$3, $I$3, $N$3, , $J$3, $K$3))),NOT(ISNUMBER(_xll.ciqfunctions.udf.CIQ($B15, "IQ_TOTAL_REVENUE", EA$3, $I$3, $N$3, , $J$3, $K$3)))),"",_xll.ciqfunctions.udf.CIQ($B15, "IQ_COGS", EA$3, $I$3, $N$3, , $J$3, $K$3)/_xll.ciqfunctions.udf.CIQ($B15, "IQ_TOTAL_REVENUE", EA$3, $I$3, $N$3, , $J$3, $K$3))),"")</f>
        <v/>
      </c>
      <c r="EB15" s="88" t="str">
        <f>IFERROR(IF(OR($B15="",EB$3=""),"",IF(OR(NOT(ISNUMBER(_xll.ciqfunctions.udf.CIQ($B15, "IQ_COGS", EB$3, $I$3, $N$3, , $J$3, $K$3))),NOT(ISNUMBER(_xll.ciqfunctions.udf.CIQ($B15, "IQ_TOTAL_REVENUE", EB$3, $I$3, $N$3, , $J$3, $K$3)))),"",_xll.ciqfunctions.udf.CIQ($B15, "IQ_COGS", EB$3, $I$3, $N$3, , $J$3, $K$3)/_xll.ciqfunctions.udf.CIQ($B15, "IQ_TOTAL_REVENUE", EB$3, $I$3, $N$3, , $J$3, $K$3))),"")</f>
        <v/>
      </c>
      <c r="EC15" s="86" t="str">
        <f>IFERROR(IF(OR($B15="",EC$3=""),"",(_xll.ciqfunctions.udf.CIQ($B15,"IQ_TOTAL_REVENUE",EC$3, $I$3, $N$3, , $J$3, $K$3)-_xll.ciqfunctions.udf.CIQ($B15,"IQ_COGS",EC$3, $I$3, $N$3, , $J$3, $K$3)-_xll.ciqfunctions.udf.CIQ($B15,"IQ_EBITDA",EC$3, $I$3, $N$3, , $J$3, $K$3))/_xll.ciqfunctions.udf.CIQ($B15,"IQ_TOTAL_REVENUE",EC$3, $I$3, $N$3, , $J$3, $K$3)),"")</f>
        <v/>
      </c>
      <c r="ED15" s="87" t="str">
        <f>IFERROR(IF(OR($B15="",ED$3=""),"",(_xll.ciqfunctions.udf.CIQ($B15,"IQ_TOTAL_REVENUE",ED$3, $I$3, $N$3, , $J$3, $K$3)-_xll.ciqfunctions.udf.CIQ($B15,"IQ_COGS",ED$3, $I$3, $N$3, , $J$3, $K$3)-_xll.ciqfunctions.udf.CIQ($B15,"IQ_EBITDA",ED$3, $I$3, $N$3, , $J$3, $K$3))/_xll.ciqfunctions.udf.CIQ($B15,"IQ_TOTAL_REVENUE",ED$3, $I$3, $N$3, , $J$3, $K$3)),"")</f>
        <v/>
      </c>
      <c r="EE15" s="87" t="str">
        <f>IFERROR(IF(OR($B15="",EE$3=""),"",(_xll.ciqfunctions.udf.CIQ($B15,"IQ_TOTAL_REVENUE",EE$3, $I$3, $N$3, , $J$3, $K$3)-_xll.ciqfunctions.udf.CIQ($B15,"IQ_COGS",EE$3, $I$3, $N$3, , $J$3, $K$3)-_xll.ciqfunctions.udf.CIQ($B15,"IQ_EBITDA",EE$3, $I$3, $N$3, , $J$3, $K$3))/_xll.ciqfunctions.udf.CIQ($B15,"IQ_TOTAL_REVENUE",EE$3, $I$3, $N$3, , $J$3, $K$3)),"")</f>
        <v/>
      </c>
      <c r="EF15" s="87" t="str">
        <f>IFERROR(IF(OR($B15="",EF$3=""),"",(_xll.ciqfunctions.udf.CIQ($B15,"IQ_TOTAL_REVENUE",EF$3, $I$3, $N$3, , $J$3, $K$3)-_xll.ciqfunctions.udf.CIQ($B15,"IQ_COGS",EF$3, $I$3, $N$3, , $J$3, $K$3)-_xll.ciqfunctions.udf.CIQ($B15,"IQ_EBITDA",EF$3, $I$3, $N$3, , $J$3, $K$3))/_xll.ciqfunctions.udf.CIQ($B15,"IQ_TOTAL_REVENUE",EF$3, $I$3, $N$3, , $J$3, $K$3)),"")</f>
        <v/>
      </c>
      <c r="EG15" s="87" t="str">
        <f>IFERROR(IF(OR($B15="",EG$3=""),"",(_xll.ciqfunctions.udf.CIQ($B15,"IQ_TOTAL_REVENUE",EG$3, $I$3, $N$3, , $J$3, $K$3)-_xll.ciqfunctions.udf.CIQ($B15,"IQ_COGS",EG$3, $I$3, $N$3, , $J$3, $K$3)-_xll.ciqfunctions.udf.CIQ($B15,"IQ_EBITDA",EG$3, $I$3, $N$3, , $J$3, $K$3))/_xll.ciqfunctions.udf.CIQ($B15,"IQ_TOTAL_REVENUE",EG$3, $I$3, $N$3, , $J$3, $K$3)),"")</f>
        <v/>
      </c>
      <c r="EH15" s="87" t="str">
        <f>IFERROR(IF(OR($B15="",EH$3=""),"",(_xll.ciqfunctions.udf.CIQ($B15,"IQ_TOTAL_REVENUE",EH$3, $I$3, $N$3, , $J$3, $K$3)-_xll.ciqfunctions.udf.CIQ($B15,"IQ_COGS",EH$3, $I$3, $N$3, , $J$3, $K$3)-_xll.ciqfunctions.udf.CIQ($B15,"IQ_EBITDA",EH$3, $I$3, $N$3, , $J$3, $K$3))/_xll.ciqfunctions.udf.CIQ($B15,"IQ_TOTAL_REVENUE",EH$3, $I$3, $N$3, , $J$3, $K$3)),"")</f>
        <v/>
      </c>
      <c r="EI15" s="87" t="str">
        <f>IFERROR(IF(OR($B15="",EI$3=""),"",(_xll.ciqfunctions.udf.CIQ($B15,"IQ_TOTAL_REVENUE",EI$3, $I$3, $N$3, , $J$3, $K$3)-_xll.ciqfunctions.udf.CIQ($B15,"IQ_COGS",EI$3, $I$3, $N$3, , $J$3, $K$3)-_xll.ciqfunctions.udf.CIQ($B15,"IQ_EBITDA",EI$3, $I$3, $N$3, , $J$3, $K$3))/_xll.ciqfunctions.udf.CIQ($B15,"IQ_TOTAL_REVENUE",EI$3, $I$3, $N$3, , $J$3, $K$3)),"")</f>
        <v/>
      </c>
      <c r="EJ15" s="87" t="str">
        <f>IFERROR(IF(OR($B15="",EJ$3=""),"",(_xll.ciqfunctions.udf.CIQ($B15,"IQ_TOTAL_REVENUE",EJ$3, $I$3, $N$3, , $J$3, $K$3)-_xll.ciqfunctions.udf.CIQ($B15,"IQ_COGS",EJ$3, $I$3, $N$3, , $J$3, $K$3)-_xll.ciqfunctions.udf.CIQ($B15,"IQ_EBITDA",EJ$3, $I$3, $N$3, , $J$3, $K$3))/_xll.ciqfunctions.udf.CIQ($B15,"IQ_TOTAL_REVENUE",EJ$3, $I$3, $N$3, , $J$3, $K$3)),"")</f>
        <v/>
      </c>
      <c r="EK15" s="87" t="str">
        <f>IFERROR(IF(OR($B15="",EK$3=""),"",(_xll.ciqfunctions.udf.CIQ($B15,"IQ_TOTAL_REVENUE",EK$3, $I$3, $N$3, , $J$3, $K$3)-_xll.ciqfunctions.udf.CIQ($B15,"IQ_COGS",EK$3, $I$3, $N$3, , $J$3, $K$3)-_xll.ciqfunctions.udf.CIQ($B15,"IQ_EBITDA",EK$3, $I$3, $N$3, , $J$3, $K$3))/_xll.ciqfunctions.udf.CIQ($B15,"IQ_TOTAL_REVENUE",EK$3, $I$3, $N$3, , $J$3, $K$3)),"")</f>
        <v/>
      </c>
      <c r="EL15" s="87" t="str">
        <f>IFERROR(IF(OR($B15="",EL$3=""),"",(_xll.ciqfunctions.udf.CIQ($B15,"IQ_TOTAL_REVENUE",EL$3, $I$3, $N$3, , $J$3, $K$3)-_xll.ciqfunctions.udf.CIQ($B15,"IQ_COGS",EL$3, $I$3, $N$3, , $J$3, $K$3)-_xll.ciqfunctions.udf.CIQ($B15,"IQ_EBITDA",EL$3, $I$3, $N$3, , $J$3, $K$3))/_xll.ciqfunctions.udf.CIQ($B15,"IQ_TOTAL_REVENUE",EL$3, $I$3, $N$3, , $J$3, $K$3)),"")</f>
        <v/>
      </c>
      <c r="EM15" s="87" t="str">
        <f>IFERROR(IF(OR($B15="",EM$3=""),"",(_xll.ciqfunctions.udf.CIQ($B15,"IQ_TOTAL_REVENUE",EM$3, $I$3, $N$3, , $J$3, $K$3)-_xll.ciqfunctions.udf.CIQ($B15,"IQ_COGS",EM$3, $I$3, $N$3, , $J$3, $K$3)-_xll.ciqfunctions.udf.CIQ($B15,"IQ_EBITDA",EM$3, $I$3, $N$3, , $J$3, $K$3))/_xll.ciqfunctions.udf.CIQ($B15,"IQ_TOTAL_REVENUE",EM$3, $I$3, $N$3, , $J$3, $K$3)),"")</f>
        <v/>
      </c>
      <c r="EN15" s="87" t="str">
        <f>IFERROR(IF(OR($B15="",EN$3=""),"",(_xll.ciqfunctions.udf.CIQ($B15,"IQ_TOTAL_REVENUE",EN$3, $I$3, $N$3, , $J$3, $K$3)-_xll.ciqfunctions.udf.CIQ($B15,"IQ_COGS",EN$3, $I$3, $N$3, , $J$3, $K$3)-_xll.ciqfunctions.udf.CIQ($B15,"IQ_EBITDA",EN$3, $I$3, $N$3, , $J$3, $K$3))/_xll.ciqfunctions.udf.CIQ($B15,"IQ_TOTAL_REVENUE",EN$3, $I$3, $N$3, , $J$3, $K$3)),"")</f>
        <v/>
      </c>
      <c r="EO15" s="87" t="str">
        <f>IFERROR(IF(OR($B15="",EO$3=""),"",(_xll.ciqfunctions.udf.CIQ($B15,"IQ_TOTAL_REVENUE",EO$3, $I$3, $N$3, , $J$3, $K$3)-_xll.ciqfunctions.udf.CIQ($B15,"IQ_COGS",EO$3, $I$3, $N$3, , $J$3, $K$3)-_xll.ciqfunctions.udf.CIQ($B15,"IQ_EBITDA",EO$3, $I$3, $N$3, , $J$3, $K$3))/_xll.ciqfunctions.udf.CIQ($B15,"IQ_TOTAL_REVENUE",EO$3, $I$3, $N$3, , $J$3, $K$3)),"")</f>
        <v/>
      </c>
      <c r="EP15" s="87" t="str">
        <f>IFERROR(IF(OR($B15="",EP$3=""),"",(_xll.ciqfunctions.udf.CIQ($B15,"IQ_TOTAL_REVENUE",EP$3, $I$3, $N$3, , $J$3, $K$3)-_xll.ciqfunctions.udf.CIQ($B15,"IQ_COGS",EP$3, $I$3, $N$3, , $J$3, $K$3)-_xll.ciqfunctions.udf.CIQ($B15,"IQ_EBITDA",EP$3, $I$3, $N$3, , $J$3, $K$3))/_xll.ciqfunctions.udf.CIQ($B15,"IQ_TOTAL_REVENUE",EP$3, $I$3, $N$3, , $J$3, $K$3)),"")</f>
        <v/>
      </c>
      <c r="EQ15" s="87" t="str">
        <f>IFERROR(IF(OR($B15="",EQ$3=""),"",(_xll.ciqfunctions.udf.CIQ($B15,"IQ_TOTAL_REVENUE",EQ$3, $I$3, $N$3, , $J$3, $K$3)-_xll.ciqfunctions.udf.CIQ($B15,"IQ_COGS",EQ$3, $I$3, $N$3, , $J$3, $K$3)-_xll.ciqfunctions.udf.CIQ($B15,"IQ_EBITDA",EQ$3, $I$3, $N$3, , $J$3, $K$3))/_xll.ciqfunctions.udf.CIQ($B15,"IQ_TOTAL_REVENUE",EQ$3, $I$3, $N$3, , $J$3, $K$3)),"")</f>
        <v/>
      </c>
      <c r="ER15" s="87" t="str">
        <f>IFERROR(IF(OR($B15="",ER$3=""),"",(_xll.ciqfunctions.udf.CIQ($B15,"IQ_TOTAL_REVENUE",ER$3, $I$3, $N$3, , $J$3, $K$3)-_xll.ciqfunctions.udf.CIQ($B15,"IQ_COGS",ER$3, $I$3, $N$3, , $J$3, $K$3)-_xll.ciqfunctions.udf.CIQ($B15,"IQ_EBITDA",ER$3, $I$3, $N$3, , $J$3, $K$3))/_xll.ciqfunctions.udf.CIQ($B15,"IQ_TOTAL_REVENUE",ER$3, $I$3, $N$3, , $J$3, $K$3)),"")</f>
        <v/>
      </c>
      <c r="ES15" s="87" t="str">
        <f>IFERROR(IF(OR($B15="",ES$3=""),"",(_xll.ciqfunctions.udf.CIQ($B15,"IQ_TOTAL_REVENUE",ES$3, $I$3, $N$3, , $J$3, $K$3)-_xll.ciqfunctions.udf.CIQ($B15,"IQ_COGS",ES$3, $I$3, $N$3, , $J$3, $K$3)-_xll.ciqfunctions.udf.CIQ($B15,"IQ_EBITDA",ES$3, $I$3, $N$3, , $J$3, $K$3))/_xll.ciqfunctions.udf.CIQ($B15,"IQ_TOTAL_REVENUE",ES$3, $I$3, $N$3, , $J$3, $K$3)),"")</f>
        <v/>
      </c>
      <c r="ET15" s="87" t="str">
        <f>IFERROR(IF(OR($B15="",ET$3=""),"",(_xll.ciqfunctions.udf.CIQ($B15,"IQ_TOTAL_REVENUE",ET$3, $I$3, $N$3, , $J$3, $K$3)-_xll.ciqfunctions.udf.CIQ($B15,"IQ_COGS",ET$3, $I$3, $N$3, , $J$3, $K$3)-_xll.ciqfunctions.udf.CIQ($B15,"IQ_EBITDA",ET$3, $I$3, $N$3, , $J$3, $K$3))/_xll.ciqfunctions.udf.CIQ($B15,"IQ_TOTAL_REVENUE",ET$3, $I$3, $N$3, , $J$3, $K$3)),"")</f>
        <v/>
      </c>
      <c r="EU15" s="87" t="str">
        <f>IFERROR(IF(OR($B15="",EU$3=""),"",(_xll.ciqfunctions.udf.CIQ($B15,"IQ_TOTAL_REVENUE",EU$3, $I$3, $N$3, , $J$3, $K$3)-_xll.ciqfunctions.udf.CIQ($B15,"IQ_COGS",EU$3, $I$3, $N$3, , $J$3, $K$3)-_xll.ciqfunctions.udf.CIQ($B15,"IQ_EBITDA",EU$3, $I$3, $N$3, , $J$3, $K$3))/_xll.ciqfunctions.udf.CIQ($B15,"IQ_TOTAL_REVENUE",EU$3, $I$3, $N$3, , $J$3, $K$3)),"")</f>
        <v/>
      </c>
      <c r="EV15" s="88" t="str">
        <f>IFERROR(IF(OR($B15="",EV$3=""),"",(_xll.ciqfunctions.udf.CIQ($B15,"IQ_TOTAL_REVENUE",EV$3, $I$3, $N$3, , $J$3, $K$3)-_xll.ciqfunctions.udf.CIQ($B15,"IQ_COGS",EV$3, $I$3, $N$3, , $J$3, $K$3)-_xll.ciqfunctions.udf.CIQ($B15,"IQ_EBITDA",EV$3, $I$3, $N$3, , $J$3, $K$3))/_xll.ciqfunctions.udf.CIQ($B15,"IQ_TOTAL_REVENUE",EV$3, $I$3, $N$3, , $J$3, $K$3)),"")</f>
        <v/>
      </c>
      <c r="EW15" s="72" t="str">
        <f>IFERROR(IF(OR($B15="",EW$3=""),"",IF(AND($EW$4="No",_xll.ciqfunctions.udf.CIQ($B15, "IQ_SGA_MARGIN", EW$3, $I$3, $N$3, , $J$3, $K$3)&lt;=0),"",_xll.ciqfunctions.udf.CIQ($B15, "IQ_SGA_MARGIN", EW$3, $I$3, $N$3, , $J$3, $K$3)/100)),"")</f>
        <v/>
      </c>
      <c r="EX15" s="72" t="str">
        <f>IFERROR(IF(OR($B15="",EX$3=""),"",IF(AND($EW$4="No",_xll.ciqfunctions.udf.CIQ($B15, "IQ_SGA_MARGIN", EX$3, $I$3, $N$3, , $J$3, $K$3)&lt;=0),"",_xll.ciqfunctions.udf.CIQ($B15, "IQ_SGA_MARGIN", EX$3, $I$3, $N$3, , $J$3, $K$3)/100)),"")</f>
        <v/>
      </c>
      <c r="EY15" s="72" t="str">
        <f>IFERROR(IF(OR($B15="",EY$3=""),"",IF(AND($EW$4="No",_xll.ciqfunctions.udf.CIQ($B15, "IQ_SGA_MARGIN", EY$3, $I$3, $N$3, , $J$3, $K$3)&lt;=0),"",_xll.ciqfunctions.udf.CIQ($B15, "IQ_SGA_MARGIN", EY$3, $I$3, $N$3, , $J$3, $K$3)/100)),"")</f>
        <v/>
      </c>
      <c r="EZ15" s="72" t="str">
        <f>IFERROR(IF(OR($B15="",EZ$3=""),"",IF(AND($EW$4="No",_xll.ciqfunctions.udf.CIQ($B15, "IQ_SGA_MARGIN", EZ$3, $I$3, $N$3, , $J$3, $K$3)&lt;=0),"",_xll.ciqfunctions.udf.CIQ($B15, "IQ_SGA_MARGIN", EZ$3, $I$3, $N$3, , $J$3, $K$3)/100)),"")</f>
        <v/>
      </c>
      <c r="FA15" s="72" t="str">
        <f>IFERROR(IF(OR($B15="",FA$3=""),"",IF(AND($EW$4="No",_xll.ciqfunctions.udf.CIQ($B15, "IQ_SGA_MARGIN", FA$3, $I$3, $N$3, , $J$3, $K$3)&lt;=0),"",_xll.ciqfunctions.udf.CIQ($B15, "IQ_SGA_MARGIN", FA$3, $I$3, $N$3, , $J$3, $K$3)/100)),"")</f>
        <v/>
      </c>
      <c r="FB15" s="72" t="str">
        <f>IFERROR(IF(OR($B15="",FB$3=""),"",IF(AND($EW$4="No",_xll.ciqfunctions.udf.CIQ($B15, "IQ_SGA_MARGIN", FB$3, $I$3, $N$3, , $J$3, $K$3)&lt;=0),"",_xll.ciqfunctions.udf.CIQ($B15, "IQ_SGA_MARGIN", FB$3, $I$3, $N$3, , $J$3, $K$3)/100)),"")</f>
        <v/>
      </c>
      <c r="FC15" s="72" t="str">
        <f>IFERROR(IF(OR($B15="",FC$3=""),"",IF(AND($EW$4="No",_xll.ciqfunctions.udf.CIQ($B15, "IQ_SGA_MARGIN", FC$3, $I$3, $N$3, , $J$3, $K$3)&lt;=0),"",_xll.ciqfunctions.udf.CIQ($B15, "IQ_SGA_MARGIN", FC$3, $I$3, $N$3, , $J$3, $K$3)/100)),"")</f>
        <v/>
      </c>
      <c r="FD15" s="72" t="str">
        <f>IFERROR(IF(OR($B15="",FD$3=""),"",IF(AND($EW$4="No",_xll.ciqfunctions.udf.CIQ($B15, "IQ_SGA_MARGIN", FD$3, $I$3, $N$3, , $J$3, $K$3)&lt;=0),"",_xll.ciqfunctions.udf.CIQ($B15, "IQ_SGA_MARGIN", FD$3, $I$3, $N$3, , $J$3, $K$3)/100)),"")</f>
        <v/>
      </c>
      <c r="FE15" s="72" t="str">
        <f>IFERROR(IF(OR($B15="",FE$3=""),"",IF(AND($EW$4="No",_xll.ciqfunctions.udf.CIQ($B15, "IQ_SGA_MARGIN", FE$3, $I$3, $N$3, , $J$3, $K$3)&lt;=0),"",_xll.ciqfunctions.udf.CIQ($B15, "IQ_SGA_MARGIN", FE$3, $I$3, $N$3, , $J$3, $K$3)/100)),"")</f>
        <v/>
      </c>
      <c r="FF15" s="72" t="str">
        <f>IFERROR(IF(OR($B15="",FF$3=""),"",IF(AND($EW$4="No",_xll.ciqfunctions.udf.CIQ($B15, "IQ_SGA_MARGIN", FF$3, $I$3, $N$3, , $J$3, $K$3)&lt;=0),"",_xll.ciqfunctions.udf.CIQ($B15, "IQ_SGA_MARGIN", FF$3, $I$3, $N$3, , $J$3, $K$3)/100)),"")</f>
        <v/>
      </c>
      <c r="FG15" s="72" t="str">
        <f>IFERROR(IF(OR($B15="",FG$3=""),"",IF(AND($EW$4="No",_xll.ciqfunctions.udf.CIQ($B15, "IQ_SGA_MARGIN", FG$3, $I$3, $N$3, , $J$3, $K$3)&lt;=0),"",_xll.ciqfunctions.udf.CIQ($B15, "IQ_SGA_MARGIN", FG$3, $I$3, $N$3, , $J$3, $K$3)/100)),"")</f>
        <v/>
      </c>
      <c r="FH15" s="72" t="str">
        <f>IFERROR(IF(OR($B15="",FH$3=""),"",IF(AND($EW$4="No",_xll.ciqfunctions.udf.CIQ($B15, "IQ_SGA_MARGIN", FH$3, $I$3, $N$3, , $J$3, $K$3)&lt;=0),"",_xll.ciqfunctions.udf.CIQ($B15, "IQ_SGA_MARGIN", FH$3, $I$3, $N$3, , $J$3, $K$3)/100)),"")</f>
        <v/>
      </c>
      <c r="FI15" s="72" t="str">
        <f>IFERROR(IF(OR($B15="",FI$3=""),"",IF(AND($EW$4="No",_xll.ciqfunctions.udf.CIQ($B15, "IQ_SGA_MARGIN", FI$3, $I$3, $N$3, , $J$3, $K$3)&lt;=0),"",_xll.ciqfunctions.udf.CIQ($B15, "IQ_SGA_MARGIN", FI$3, $I$3, $N$3, , $J$3, $K$3)/100)),"")</f>
        <v/>
      </c>
      <c r="FJ15" s="72" t="str">
        <f>IFERROR(IF(OR($B15="",FJ$3=""),"",IF(AND($EW$4="No",_xll.ciqfunctions.udf.CIQ($B15, "IQ_SGA_MARGIN", FJ$3, $I$3, $N$3, , $J$3, $K$3)&lt;=0),"",_xll.ciqfunctions.udf.CIQ($B15, "IQ_SGA_MARGIN", FJ$3, $I$3, $N$3, , $J$3, $K$3)/100)),"")</f>
        <v/>
      </c>
      <c r="FK15" s="72" t="str">
        <f>IFERROR(IF(OR($B15="",FK$3=""),"",IF(AND($EW$4="No",_xll.ciqfunctions.udf.CIQ($B15, "IQ_SGA_MARGIN", FK$3, $I$3, $N$3, , $J$3, $K$3)&lt;=0),"",_xll.ciqfunctions.udf.CIQ($B15, "IQ_SGA_MARGIN", FK$3, $I$3, $N$3, , $J$3, $K$3)/100)),"")</f>
        <v/>
      </c>
      <c r="FL15" s="72" t="str">
        <f>IFERROR(IF(OR($B15="",FL$3=""),"",IF(AND($EW$4="No",_xll.ciqfunctions.udf.CIQ($B15, "IQ_SGA_MARGIN", FL$3, $I$3, $N$3, , $J$3, $K$3)&lt;=0),"",_xll.ciqfunctions.udf.CIQ($B15, "IQ_SGA_MARGIN", FL$3, $I$3, $N$3, , $J$3, $K$3)/100)),"")</f>
        <v/>
      </c>
      <c r="FM15" s="72" t="str">
        <f>IFERROR(IF(OR($B15="",FM$3=""),"",IF(AND($EW$4="No",_xll.ciqfunctions.udf.CIQ($B15, "IQ_SGA_MARGIN", FM$3, $I$3, $N$3, , $J$3, $K$3)&lt;=0),"",_xll.ciqfunctions.udf.CIQ($B15, "IQ_SGA_MARGIN", FM$3, $I$3, $N$3, , $J$3, $K$3)/100)),"")</f>
        <v/>
      </c>
      <c r="FN15" s="72" t="str">
        <f>IFERROR(IF(OR($B15="",FN$3=""),"",IF(AND($EW$4="No",_xll.ciqfunctions.udf.CIQ($B15, "IQ_SGA_MARGIN", FN$3, $I$3, $N$3, , $J$3, $K$3)&lt;=0),"",_xll.ciqfunctions.udf.CIQ($B15, "IQ_SGA_MARGIN", FN$3, $I$3, $N$3, , $J$3, $K$3)/100)),"")</f>
        <v/>
      </c>
      <c r="FO15" s="72" t="str">
        <f>IFERROR(IF(OR($B15="",FO$3=""),"",IF(AND($EW$4="No",_xll.ciqfunctions.udf.CIQ($B15, "IQ_SGA_MARGIN", FO$3, $I$3, $N$3, , $J$3, $K$3)&lt;=0),"",_xll.ciqfunctions.udf.CIQ($B15, "IQ_SGA_MARGIN", FO$3, $I$3, $N$3, , $J$3, $K$3)/100)),"")</f>
        <v/>
      </c>
      <c r="FP15" s="72" t="str">
        <f>IFERROR(IF(OR($B15="",FP$3=""),"",IF(AND($EW$4="No",_xll.ciqfunctions.udf.CIQ($B15, "IQ_SGA_MARGIN", FP$3, $I$3, $N$3, , $J$3, $K$3)&lt;=0),"",_xll.ciqfunctions.udf.CIQ($B15, "IQ_SGA_MARGIN", FP$3, $I$3, $N$3, , $J$3, $K$3)/100)),"")</f>
        <v/>
      </c>
      <c r="FQ15" s="86" t="str">
        <f>IFERROR(IF(OR($B15="",FQ$3=""),"",IF(AND($FQ$4="No",_xll.ciqfunctions.udf.CIQ($B15, "IQ_RD_EXP",FQ$3, $I$3, $N$3, , $J$3, $K$3)&lt;=0),"",_xll.ciqfunctions.udf.CIQ($B15, "IQ_RD_EXP",FQ$3, $I$3, $N$3, , $J$3, $K$3)/_xll.ciqfunctions.udf.CIQ($B15,"IQ_TOTAL_REV",FQ$3, $I$3, $N$3, , $J$3, $K$3))),"")</f>
        <v/>
      </c>
      <c r="FR15" s="87" t="str">
        <f>IFERROR(IF(OR($B15="",FR$3=""),"",IF(AND($FQ$4="No",_xll.ciqfunctions.udf.CIQ($B15, "IQ_RD_EXP",FR$3, $I$3, $N$3, , $J$3, $K$3)&lt;=0),"",_xll.ciqfunctions.udf.CIQ($B15, "IQ_RD_EXP",FR$3, $I$3, $N$3, , $J$3, $K$3)/_xll.ciqfunctions.udf.CIQ($B15,"IQ_TOTAL_REV",FR$3, $I$3, $N$3, , $J$3, $K$3))),"")</f>
        <v/>
      </c>
      <c r="FS15" s="87" t="str">
        <f>IFERROR(IF(OR($B15="",FS$3=""),"",IF(AND($FQ$4="No",_xll.ciqfunctions.udf.CIQ($B15, "IQ_RD_EXP",FS$3, $I$3, $N$3, , $J$3, $K$3)&lt;=0),"",_xll.ciqfunctions.udf.CIQ($B15, "IQ_RD_EXP",FS$3, $I$3, $N$3, , $J$3, $K$3)/_xll.ciqfunctions.udf.CIQ($B15,"IQ_TOTAL_REV",FS$3, $I$3, $N$3, , $J$3, $K$3))),"")</f>
        <v/>
      </c>
      <c r="FT15" s="87" t="str">
        <f>IFERROR(IF(OR($B15="",FT$3=""),"",IF(AND($FQ$4="No",_xll.ciqfunctions.udf.CIQ($B15, "IQ_RD_EXP",FT$3, $I$3, $N$3, , $J$3, $K$3)&lt;=0),"",_xll.ciqfunctions.udf.CIQ($B15, "IQ_RD_EXP",FT$3, $I$3, $N$3, , $J$3, $K$3)/_xll.ciqfunctions.udf.CIQ($B15,"IQ_TOTAL_REV",FT$3, $I$3, $N$3, , $J$3, $K$3))),"")</f>
        <v/>
      </c>
      <c r="FU15" s="87" t="str">
        <f>IFERROR(IF(OR($B15="",FU$3=""),"",IF(AND($FQ$4="No",_xll.ciqfunctions.udf.CIQ($B15, "IQ_RD_EXP",FU$3, $I$3, $N$3, , $J$3, $K$3)&lt;=0),"",_xll.ciqfunctions.udf.CIQ($B15, "IQ_RD_EXP",FU$3, $I$3, $N$3, , $J$3, $K$3)/_xll.ciqfunctions.udf.CIQ($B15,"IQ_TOTAL_REV",FU$3, $I$3, $N$3, , $J$3, $K$3))),"")</f>
        <v/>
      </c>
      <c r="FV15" s="87" t="str">
        <f>IFERROR(IF(OR($B15="",FV$3=""),"",IF(AND($FQ$4="No",_xll.ciqfunctions.udf.CIQ($B15, "IQ_RD_EXP",FV$3, $I$3, $N$3, , $J$3, $K$3)&lt;=0),"",_xll.ciqfunctions.udf.CIQ($B15, "IQ_RD_EXP",FV$3, $I$3, $N$3, , $J$3, $K$3)/_xll.ciqfunctions.udf.CIQ($B15,"IQ_TOTAL_REV",FV$3, $I$3, $N$3, , $J$3, $K$3))),"")</f>
        <v/>
      </c>
      <c r="FW15" s="87" t="str">
        <f>IFERROR(IF(OR($B15="",FW$3=""),"",IF(AND($FQ$4="No",_xll.ciqfunctions.udf.CIQ($B15, "IQ_RD_EXP",FW$3, $I$3, $N$3, , $J$3, $K$3)&lt;=0),"",_xll.ciqfunctions.udf.CIQ($B15, "IQ_RD_EXP",FW$3, $I$3, $N$3, , $J$3, $K$3)/_xll.ciqfunctions.udf.CIQ($B15,"IQ_TOTAL_REV",FW$3, $I$3, $N$3, , $J$3, $K$3))),"")</f>
        <v/>
      </c>
      <c r="FX15" s="87" t="str">
        <f>IFERROR(IF(OR($B15="",FX$3=""),"",IF(AND($FQ$4="No",_xll.ciqfunctions.udf.CIQ($B15, "IQ_RD_EXP",FX$3, $I$3, $N$3, , $J$3, $K$3)&lt;=0),"",_xll.ciqfunctions.udf.CIQ($B15, "IQ_RD_EXP",FX$3, $I$3, $N$3, , $J$3, $K$3)/_xll.ciqfunctions.udf.CIQ($B15,"IQ_TOTAL_REV",FX$3, $I$3, $N$3, , $J$3, $K$3))),"")</f>
        <v/>
      </c>
      <c r="FY15" s="87" t="str">
        <f>IFERROR(IF(OR($B15="",FY$3=""),"",IF(AND($FQ$4="No",_xll.ciqfunctions.udf.CIQ($B15, "IQ_RD_EXP",FY$3, $I$3, $N$3, , $J$3, $K$3)&lt;=0),"",_xll.ciqfunctions.udf.CIQ($B15, "IQ_RD_EXP",FY$3, $I$3, $N$3, , $J$3, $K$3)/_xll.ciqfunctions.udf.CIQ($B15,"IQ_TOTAL_REV",FY$3, $I$3, $N$3, , $J$3, $K$3))),"")</f>
        <v/>
      </c>
      <c r="FZ15" s="87" t="str">
        <f>IFERROR(IF(OR($B15="",FZ$3=""),"",IF(AND($FQ$4="No",_xll.ciqfunctions.udf.CIQ($B15, "IQ_RD_EXP",FZ$3, $I$3, $N$3, , $J$3, $K$3)&lt;=0),"",_xll.ciqfunctions.udf.CIQ($B15, "IQ_RD_EXP",FZ$3, $I$3, $N$3, , $J$3, $K$3)/_xll.ciqfunctions.udf.CIQ($B15,"IQ_TOTAL_REV",FZ$3, $I$3, $N$3, , $J$3, $K$3))),"")</f>
        <v/>
      </c>
      <c r="GA15" s="87" t="str">
        <f>IFERROR(IF(OR($B15="",GA$3=""),"",IF(AND($FQ$4="No",_xll.ciqfunctions.udf.CIQ($B15, "IQ_RD_EXP",GA$3, $I$3, $N$3, , $J$3, $K$3)&lt;=0),"",_xll.ciqfunctions.udf.CIQ($B15, "IQ_RD_EXP",GA$3, $I$3, $N$3, , $J$3, $K$3)/_xll.ciqfunctions.udf.CIQ($B15,"IQ_TOTAL_REV",GA$3, $I$3, $N$3, , $J$3, $K$3))),"")</f>
        <v/>
      </c>
      <c r="GB15" s="87" t="str">
        <f>IFERROR(IF(OR($B15="",GB$3=""),"",IF(AND($FQ$4="No",_xll.ciqfunctions.udf.CIQ($B15, "IQ_RD_EXP",GB$3, $I$3, $N$3, , $J$3, $K$3)&lt;=0),"",_xll.ciqfunctions.udf.CIQ($B15, "IQ_RD_EXP",GB$3, $I$3, $N$3, , $J$3, $K$3)/_xll.ciqfunctions.udf.CIQ($B15,"IQ_TOTAL_REV",GB$3, $I$3, $N$3, , $J$3, $K$3))),"")</f>
        <v/>
      </c>
      <c r="GC15" s="87" t="str">
        <f>IFERROR(IF(OR($B15="",GC$3=""),"",IF(AND($FQ$4="No",_xll.ciqfunctions.udf.CIQ($B15, "IQ_RD_EXP",GC$3, $I$3, $N$3, , $J$3, $K$3)&lt;=0),"",_xll.ciqfunctions.udf.CIQ($B15, "IQ_RD_EXP",GC$3, $I$3, $N$3, , $J$3, $K$3)/_xll.ciqfunctions.udf.CIQ($B15,"IQ_TOTAL_REV",GC$3, $I$3, $N$3, , $J$3, $K$3))),"")</f>
        <v/>
      </c>
      <c r="GD15" s="87" t="str">
        <f>IFERROR(IF(OR($B15="",GD$3=""),"",IF(AND($FQ$4="No",_xll.ciqfunctions.udf.CIQ($B15, "IQ_RD_EXP",GD$3, $I$3, $N$3, , $J$3, $K$3)&lt;=0),"",_xll.ciqfunctions.udf.CIQ($B15, "IQ_RD_EXP",GD$3, $I$3, $N$3, , $J$3, $K$3)/_xll.ciqfunctions.udf.CIQ($B15,"IQ_TOTAL_REV",GD$3, $I$3, $N$3, , $J$3, $K$3))),"")</f>
        <v/>
      </c>
      <c r="GE15" s="87" t="str">
        <f>IFERROR(IF(OR($B15="",GE$3=""),"",IF(AND($FQ$4="No",_xll.ciqfunctions.udf.CIQ($B15, "IQ_RD_EXP",GE$3, $I$3, $N$3, , $J$3, $K$3)&lt;=0),"",_xll.ciqfunctions.udf.CIQ($B15, "IQ_RD_EXP",GE$3, $I$3, $N$3, , $J$3, $K$3)/_xll.ciqfunctions.udf.CIQ($B15,"IQ_TOTAL_REV",GE$3, $I$3, $N$3, , $J$3, $K$3))),"")</f>
        <v/>
      </c>
      <c r="GF15" s="87" t="str">
        <f>IFERROR(IF(OR($B15="",GF$3=""),"",IF(AND($FQ$4="No",_xll.ciqfunctions.udf.CIQ($B15, "IQ_RD_EXP",GF$3, $I$3, $N$3, , $J$3, $K$3)&lt;=0),"",_xll.ciqfunctions.udf.CIQ($B15, "IQ_RD_EXP",GF$3, $I$3, $N$3, , $J$3, $K$3)/_xll.ciqfunctions.udf.CIQ($B15,"IQ_TOTAL_REV",GF$3, $I$3, $N$3, , $J$3, $K$3))),"")</f>
        <v/>
      </c>
      <c r="GG15" s="87" t="str">
        <f>IFERROR(IF(OR($B15="",GG$3=""),"",IF(AND($FQ$4="No",_xll.ciqfunctions.udf.CIQ($B15, "IQ_RD_EXP",GG$3, $I$3, $N$3, , $J$3, $K$3)&lt;=0),"",_xll.ciqfunctions.udf.CIQ($B15, "IQ_RD_EXP",GG$3, $I$3, $N$3, , $J$3, $K$3)/_xll.ciqfunctions.udf.CIQ($B15,"IQ_TOTAL_REV",GG$3, $I$3, $N$3, , $J$3, $K$3))),"")</f>
        <v/>
      </c>
      <c r="GH15" s="87" t="str">
        <f>IFERROR(IF(OR($B15="",GH$3=""),"",IF(AND($FQ$4="No",_xll.ciqfunctions.udf.CIQ($B15, "IQ_RD_EXP",GH$3, $I$3, $N$3, , $J$3, $K$3)&lt;=0),"",_xll.ciqfunctions.udf.CIQ($B15, "IQ_RD_EXP",GH$3, $I$3, $N$3, , $J$3, $K$3)/_xll.ciqfunctions.udf.CIQ($B15,"IQ_TOTAL_REV",GH$3, $I$3, $N$3, , $J$3, $K$3))),"")</f>
        <v/>
      </c>
      <c r="GI15" s="87" t="str">
        <f>IFERROR(IF(OR($B15="",GI$3=""),"",IF(AND($FQ$4="No",_xll.ciqfunctions.udf.CIQ($B15, "IQ_RD_EXP",GI$3, $I$3, $N$3, , $J$3, $K$3)&lt;=0),"",_xll.ciqfunctions.udf.CIQ($B15, "IQ_RD_EXP",GI$3, $I$3, $N$3, , $J$3, $K$3)/_xll.ciqfunctions.udf.CIQ($B15,"IQ_TOTAL_REV",GI$3, $I$3, $N$3, , $J$3, $K$3))),"")</f>
        <v/>
      </c>
      <c r="GJ15" s="88" t="str">
        <f>IFERROR(IF(OR($B15="",GJ$3=""),"",IF(AND($FQ$4="No",_xll.ciqfunctions.udf.CIQ($B15, "IQ_RD_EXP",GJ$3, $I$3, $N$3, , $J$3, $K$3)&lt;=0),"",_xll.ciqfunctions.udf.CIQ($B15, "IQ_RD_EXP",GJ$3, $I$3, $N$3, , $J$3, $K$3)/_xll.ciqfunctions.udf.CIQ($B15,"IQ_TOTAL_REV",GJ$3, $I$3, $N$3, , $J$3, $K$3))),"")</f>
        <v/>
      </c>
      <c r="GK15" s="89" t="str">
        <f>IFERROR(IF(OR($B15="",GK$3=""),"",IF(AND($GK$4="No",(_xll.ciqfunctions.udf.CIQ($B15,"IQ_AR",GK$3, $I$3, $N$3, , $J$3, $K$3)+_xll.ciqfunctions.udf.CIQ($B15,"IQ_AR","IQ_" &amp; LEFT(GK$3,2) &amp; "-1",GK$3, $N$3, , $J$3, $K$3))&lt;=0),"",$GK$2*0.5*(_xll.ciqfunctions.udf.CIQ($B15,"IQ_AR",GK$3, $I$3, $N$3, , $J$3, $K$3)+_xll.ciqfunctions.udf.CIQ($B15,"IQ_AR","IQ_" &amp; LEFT(GK$3,2) &amp; "-1",GK$3, $N$3, , $J$3, $K$3))/_xll.ciqfunctions.udf.CIQ($B15,"IQ_TOTAL_REVENUE",GK$3, $I$3, $N$3, , $J$3, $K$3))),"")</f>
        <v/>
      </c>
      <c r="GL15" s="90" t="str">
        <f>IFERROR(IF(OR($B15="",GL$3=""),"",IF(AND($GK$4="No",(_xll.ciqfunctions.udf.CIQ($B15,"IQ_AR",GL$3, $I$3, $N$3, , $J$3, $K$3)+_xll.ciqfunctions.udf.CIQ($B15,"IQ_AR","IQ_" &amp; LEFT(GL$3,2) &amp; "-1",GL$3, $N$3, , $J$3, $K$3))&lt;=0),"",$GK$2*0.5*(_xll.ciqfunctions.udf.CIQ($B15,"IQ_AR",GL$3, $I$3, $N$3, , $J$3, $K$3)+_xll.ciqfunctions.udf.CIQ($B15,"IQ_AR","IQ_" &amp; LEFT(GL$3,2) &amp; "-1",GL$3, $N$3, , $J$3, $K$3))/_xll.ciqfunctions.udf.CIQ($B15,"IQ_TOTAL_REVENUE",GL$3, $I$3, $N$3, , $J$3, $K$3))),"")</f>
        <v/>
      </c>
      <c r="GM15" s="90" t="str">
        <f>IFERROR(IF(OR($B15="",GM$3=""),"",IF(AND($GK$4="No",(_xll.ciqfunctions.udf.CIQ($B15,"IQ_AR",GM$3, $I$3, $N$3, , $J$3, $K$3)+_xll.ciqfunctions.udf.CIQ($B15,"IQ_AR","IQ_" &amp; LEFT(GM$3,2) &amp; "-1",GM$3, $N$3, , $J$3, $K$3))&lt;=0),"",$GK$2*0.5*(_xll.ciqfunctions.udf.CIQ($B15,"IQ_AR",GM$3, $I$3, $N$3, , $J$3, $K$3)+_xll.ciqfunctions.udf.CIQ($B15,"IQ_AR","IQ_" &amp; LEFT(GM$3,2) &amp; "-1",GM$3, $N$3, , $J$3, $K$3))/_xll.ciqfunctions.udf.CIQ($B15,"IQ_TOTAL_REVENUE",GM$3, $I$3, $N$3, , $J$3, $K$3))),"")</f>
        <v/>
      </c>
      <c r="GN15" s="90" t="str">
        <f>IFERROR(IF(OR($B15="",GN$3=""),"",IF(AND($GK$4="No",(_xll.ciqfunctions.udf.CIQ($B15,"IQ_AR",GN$3, $I$3, $N$3, , $J$3, $K$3)+_xll.ciqfunctions.udf.CIQ($B15,"IQ_AR","IQ_" &amp; LEFT(GN$3,2) &amp; "-1",GN$3, $N$3, , $J$3, $K$3))&lt;=0),"",$GK$2*0.5*(_xll.ciqfunctions.udf.CIQ($B15,"IQ_AR",GN$3, $I$3, $N$3, , $J$3, $K$3)+_xll.ciqfunctions.udf.CIQ($B15,"IQ_AR","IQ_" &amp; LEFT(GN$3,2) &amp; "-1",GN$3, $N$3, , $J$3, $K$3))/_xll.ciqfunctions.udf.CIQ($B15,"IQ_TOTAL_REVENUE",GN$3, $I$3, $N$3, , $J$3, $K$3))),"")</f>
        <v/>
      </c>
      <c r="GO15" s="90" t="str">
        <f>IFERROR(IF(OR($B15="",GO$3=""),"",IF(AND($GK$4="No",(_xll.ciqfunctions.udf.CIQ($B15,"IQ_AR",GO$3, $I$3, $N$3, , $J$3, $K$3)+_xll.ciqfunctions.udf.CIQ($B15,"IQ_AR","IQ_" &amp; LEFT(GO$3,2) &amp; "-1",GO$3, $N$3, , $J$3, $K$3))&lt;=0),"",$GK$2*0.5*(_xll.ciqfunctions.udf.CIQ($B15,"IQ_AR",GO$3, $I$3, $N$3, , $J$3, $K$3)+_xll.ciqfunctions.udf.CIQ($B15,"IQ_AR","IQ_" &amp; LEFT(GO$3,2) &amp; "-1",GO$3, $N$3, , $J$3, $K$3))/_xll.ciqfunctions.udf.CIQ($B15,"IQ_TOTAL_REVENUE",GO$3, $I$3, $N$3, , $J$3, $K$3))),"")</f>
        <v/>
      </c>
      <c r="GP15" s="90" t="str">
        <f>IFERROR(IF(OR($B15="",GP$3=""),"",IF(AND($GK$4="No",(_xll.ciqfunctions.udf.CIQ($B15,"IQ_AR",GP$3, $I$3, $N$3, , $J$3, $K$3)+_xll.ciqfunctions.udf.CIQ($B15,"IQ_AR","IQ_" &amp; LEFT(GP$3,2) &amp; "-1",GP$3, $N$3, , $J$3, $K$3))&lt;=0),"",$GK$2*0.5*(_xll.ciqfunctions.udf.CIQ($B15,"IQ_AR",GP$3, $I$3, $N$3, , $J$3, $K$3)+_xll.ciqfunctions.udf.CIQ($B15,"IQ_AR","IQ_" &amp; LEFT(GP$3,2) &amp; "-1",GP$3, $N$3, , $J$3, $K$3))/_xll.ciqfunctions.udf.CIQ($B15,"IQ_TOTAL_REVENUE",GP$3, $I$3, $N$3, , $J$3, $K$3))),"")</f>
        <v/>
      </c>
      <c r="GQ15" s="90" t="str">
        <f>IFERROR(IF(OR($B15="",GQ$3=""),"",IF(AND($GK$4="No",(_xll.ciqfunctions.udf.CIQ($B15,"IQ_AR",GQ$3, $I$3, $N$3, , $J$3, $K$3)+_xll.ciqfunctions.udf.CIQ($B15,"IQ_AR","IQ_" &amp; LEFT(GQ$3,2) &amp; "-1",GQ$3, $N$3, , $J$3, $K$3))&lt;=0),"",$GK$2*0.5*(_xll.ciqfunctions.udf.CIQ($B15,"IQ_AR",GQ$3, $I$3, $N$3, , $J$3, $K$3)+_xll.ciqfunctions.udf.CIQ($B15,"IQ_AR","IQ_" &amp; LEFT(GQ$3,2) &amp; "-1",GQ$3, $N$3, , $J$3, $K$3))/_xll.ciqfunctions.udf.CIQ($B15,"IQ_TOTAL_REVENUE",GQ$3, $I$3, $N$3, , $J$3, $K$3))),"")</f>
        <v/>
      </c>
      <c r="GR15" s="90" t="str">
        <f>IFERROR(IF(OR($B15="",GR$3=""),"",IF(AND($GK$4="No",(_xll.ciqfunctions.udf.CIQ($B15,"IQ_AR",GR$3, $I$3, $N$3, , $J$3, $K$3)+_xll.ciqfunctions.udf.CIQ($B15,"IQ_AR","IQ_" &amp; LEFT(GR$3,2) &amp; "-1",GR$3, $N$3, , $J$3, $K$3))&lt;=0),"",$GK$2*0.5*(_xll.ciqfunctions.udf.CIQ($B15,"IQ_AR",GR$3, $I$3, $N$3, , $J$3, $K$3)+_xll.ciqfunctions.udf.CIQ($B15,"IQ_AR","IQ_" &amp; LEFT(GR$3,2) &amp; "-1",GR$3, $N$3, , $J$3, $K$3))/_xll.ciqfunctions.udf.CIQ($B15,"IQ_TOTAL_REVENUE",GR$3, $I$3, $N$3, , $J$3, $K$3))),"")</f>
        <v/>
      </c>
      <c r="GS15" s="90" t="str">
        <f>IFERROR(IF(OR($B15="",GS$3=""),"",IF(AND($GK$4="No",(_xll.ciqfunctions.udf.CIQ($B15,"IQ_AR",GS$3, $I$3, $N$3, , $J$3, $K$3)+_xll.ciqfunctions.udf.CIQ($B15,"IQ_AR","IQ_" &amp; LEFT(GS$3,2) &amp; "-1",GS$3, $N$3, , $J$3, $K$3))&lt;=0),"",$GK$2*0.5*(_xll.ciqfunctions.udf.CIQ($B15,"IQ_AR",GS$3, $I$3, $N$3, , $J$3, $K$3)+_xll.ciqfunctions.udf.CIQ($B15,"IQ_AR","IQ_" &amp; LEFT(GS$3,2) &amp; "-1",GS$3, $N$3, , $J$3, $K$3))/_xll.ciqfunctions.udf.CIQ($B15,"IQ_TOTAL_REVENUE",GS$3, $I$3, $N$3, , $J$3, $K$3))),"")</f>
        <v/>
      </c>
      <c r="GT15" s="90" t="str">
        <f>IFERROR(IF(OR($B15="",GT$3=""),"",IF(AND($GK$4="No",(_xll.ciqfunctions.udf.CIQ($B15,"IQ_AR",GT$3, $I$3, $N$3, , $J$3, $K$3)+_xll.ciqfunctions.udf.CIQ($B15,"IQ_AR","IQ_" &amp; LEFT(GT$3,2) &amp; "-1",GT$3, $N$3, , $J$3, $K$3))&lt;=0),"",$GK$2*0.5*(_xll.ciqfunctions.udf.CIQ($B15,"IQ_AR",GT$3, $I$3, $N$3, , $J$3, $K$3)+_xll.ciqfunctions.udf.CIQ($B15,"IQ_AR","IQ_" &amp; LEFT(GT$3,2) &amp; "-1",GT$3, $N$3, , $J$3, $K$3))/_xll.ciqfunctions.udf.CIQ($B15,"IQ_TOTAL_REVENUE",GT$3, $I$3, $N$3, , $J$3, $K$3))),"")</f>
        <v/>
      </c>
      <c r="GU15" s="90" t="str">
        <f>IFERROR(IF(OR($B15="",GU$3=""),"",IF(AND($GK$4="No",(_xll.ciqfunctions.udf.CIQ($B15,"IQ_AR",GU$3, $I$3, $N$3, , $J$3, $K$3)+_xll.ciqfunctions.udf.CIQ($B15,"IQ_AR","IQ_" &amp; LEFT(GU$3,2) &amp; "-1",GU$3, $N$3, , $J$3, $K$3))&lt;=0),"",$GK$2*0.5*(_xll.ciqfunctions.udf.CIQ($B15,"IQ_AR",GU$3, $I$3, $N$3, , $J$3, $K$3)+_xll.ciqfunctions.udf.CIQ($B15,"IQ_AR","IQ_" &amp; LEFT(GU$3,2) &amp; "-1",GU$3, $N$3, , $J$3, $K$3))/_xll.ciqfunctions.udf.CIQ($B15,"IQ_TOTAL_REVENUE",GU$3, $I$3, $N$3, , $J$3, $K$3))),"")</f>
        <v/>
      </c>
      <c r="GV15" s="90" t="str">
        <f>IFERROR(IF(OR($B15="",GV$3=""),"",IF(AND($GK$4="No",(_xll.ciqfunctions.udf.CIQ($B15,"IQ_AR",GV$3, $I$3, $N$3, , $J$3, $K$3)+_xll.ciqfunctions.udf.CIQ($B15,"IQ_AR","IQ_" &amp; LEFT(GV$3,2) &amp; "-1",GV$3, $N$3, , $J$3, $K$3))&lt;=0),"",$GK$2*0.5*(_xll.ciqfunctions.udf.CIQ($B15,"IQ_AR",GV$3, $I$3, $N$3, , $J$3, $K$3)+_xll.ciqfunctions.udf.CIQ($B15,"IQ_AR","IQ_" &amp; LEFT(GV$3,2) &amp; "-1",GV$3, $N$3, , $J$3, $K$3))/_xll.ciqfunctions.udf.CIQ($B15,"IQ_TOTAL_REVENUE",GV$3, $I$3, $N$3, , $J$3, $K$3))),"")</f>
        <v/>
      </c>
      <c r="GW15" s="90" t="str">
        <f>IFERROR(IF(OR($B15="",GW$3=""),"",IF(AND($GK$4="No",(_xll.ciqfunctions.udf.CIQ($B15,"IQ_AR",GW$3, $I$3, $N$3, , $J$3, $K$3)+_xll.ciqfunctions.udf.CIQ($B15,"IQ_AR","IQ_" &amp; LEFT(GW$3,2) &amp; "-1",GW$3, $N$3, , $J$3, $K$3))&lt;=0),"",$GK$2*0.5*(_xll.ciqfunctions.udf.CIQ($B15,"IQ_AR",GW$3, $I$3, $N$3, , $J$3, $K$3)+_xll.ciqfunctions.udf.CIQ($B15,"IQ_AR","IQ_" &amp; LEFT(GW$3,2) &amp; "-1",GW$3, $N$3, , $J$3, $K$3))/_xll.ciqfunctions.udf.CIQ($B15,"IQ_TOTAL_REVENUE",GW$3, $I$3, $N$3, , $J$3, $K$3))),"")</f>
        <v/>
      </c>
      <c r="GX15" s="90" t="str">
        <f>IFERROR(IF(OR($B15="",GX$3=""),"",IF(AND($GK$4="No",(_xll.ciqfunctions.udf.CIQ($B15,"IQ_AR",GX$3, $I$3, $N$3, , $J$3, $K$3)+_xll.ciqfunctions.udf.CIQ($B15,"IQ_AR","IQ_" &amp; LEFT(GX$3,2) &amp; "-1",GX$3, $N$3, , $J$3, $K$3))&lt;=0),"",$GK$2*0.5*(_xll.ciqfunctions.udf.CIQ($B15,"IQ_AR",GX$3, $I$3, $N$3, , $J$3, $K$3)+_xll.ciqfunctions.udf.CIQ($B15,"IQ_AR","IQ_" &amp; LEFT(GX$3,2) &amp; "-1",GX$3, $N$3, , $J$3, $K$3))/_xll.ciqfunctions.udf.CIQ($B15,"IQ_TOTAL_REVENUE",GX$3, $I$3, $N$3, , $J$3, $K$3))),"")</f>
        <v/>
      </c>
      <c r="GY15" s="90" t="str">
        <f>IFERROR(IF(OR($B15="",GY$3=""),"",IF(AND($GK$4="No",(_xll.ciqfunctions.udf.CIQ($B15,"IQ_AR",GY$3, $I$3, $N$3, , $J$3, $K$3)+_xll.ciqfunctions.udf.CIQ($B15,"IQ_AR","IQ_" &amp; LEFT(GY$3,2) &amp; "-1",GY$3, $N$3, , $J$3, $K$3))&lt;=0),"",$GK$2*0.5*(_xll.ciqfunctions.udf.CIQ($B15,"IQ_AR",GY$3, $I$3, $N$3, , $J$3, $K$3)+_xll.ciqfunctions.udf.CIQ($B15,"IQ_AR","IQ_" &amp; LEFT(GY$3,2) &amp; "-1",GY$3, $N$3, , $J$3, $K$3))/_xll.ciqfunctions.udf.CIQ($B15,"IQ_TOTAL_REVENUE",GY$3, $I$3, $N$3, , $J$3, $K$3))),"")</f>
        <v/>
      </c>
      <c r="GZ15" s="90" t="str">
        <f>IFERROR(IF(OR($B15="",GZ$3=""),"",IF(AND($GK$4="No",(_xll.ciqfunctions.udf.CIQ($B15,"IQ_AR",GZ$3, $I$3, $N$3, , $J$3, $K$3)+_xll.ciqfunctions.udf.CIQ($B15,"IQ_AR","IQ_" &amp; LEFT(GZ$3,2) &amp; "-1",GZ$3, $N$3, , $J$3, $K$3))&lt;=0),"",$GK$2*0.5*(_xll.ciqfunctions.udf.CIQ($B15,"IQ_AR",GZ$3, $I$3, $N$3, , $J$3, $K$3)+_xll.ciqfunctions.udf.CIQ($B15,"IQ_AR","IQ_" &amp; LEFT(GZ$3,2) &amp; "-1",GZ$3, $N$3, , $J$3, $K$3))/_xll.ciqfunctions.udf.CIQ($B15,"IQ_TOTAL_REVENUE",GZ$3, $I$3, $N$3, , $J$3, $K$3))),"")</f>
        <v/>
      </c>
      <c r="HA15" s="90" t="str">
        <f>IFERROR(IF(OR($B15="",HA$3=""),"",IF(AND($GK$4="No",(_xll.ciqfunctions.udf.CIQ($B15,"IQ_AR",HA$3, $I$3, $N$3, , $J$3, $K$3)+_xll.ciqfunctions.udf.CIQ($B15,"IQ_AR","IQ_" &amp; LEFT(HA$3,2) &amp; "-1",HA$3, $N$3, , $J$3, $K$3))&lt;=0),"",$GK$2*0.5*(_xll.ciqfunctions.udf.CIQ($B15,"IQ_AR",HA$3, $I$3, $N$3, , $J$3, $K$3)+_xll.ciqfunctions.udf.CIQ($B15,"IQ_AR","IQ_" &amp; LEFT(HA$3,2) &amp; "-1",HA$3, $N$3, , $J$3, $K$3))/_xll.ciqfunctions.udf.CIQ($B15,"IQ_TOTAL_REVENUE",HA$3, $I$3, $N$3, , $J$3, $K$3))),"")</f>
        <v/>
      </c>
      <c r="HB15" s="90" t="str">
        <f>IFERROR(IF(OR($B15="",HB$3=""),"",IF(AND($GK$4="No",(_xll.ciqfunctions.udf.CIQ($B15,"IQ_AR",HB$3, $I$3, $N$3, , $J$3, $K$3)+_xll.ciqfunctions.udf.CIQ($B15,"IQ_AR","IQ_" &amp; LEFT(HB$3,2) &amp; "-1",HB$3, $N$3, , $J$3, $K$3))&lt;=0),"",$GK$2*0.5*(_xll.ciqfunctions.udf.CIQ($B15,"IQ_AR",HB$3, $I$3, $N$3, , $J$3, $K$3)+_xll.ciqfunctions.udf.CIQ($B15,"IQ_AR","IQ_" &amp; LEFT(HB$3,2) &amp; "-1",HB$3, $N$3, , $J$3, $K$3))/_xll.ciqfunctions.udf.CIQ($B15,"IQ_TOTAL_REVENUE",HB$3, $I$3, $N$3, , $J$3, $K$3))),"")</f>
        <v/>
      </c>
      <c r="HC15" s="90" t="str">
        <f>IFERROR(IF(OR($B15="",HC$3=""),"",IF(AND($GK$4="No",(_xll.ciqfunctions.udf.CIQ($B15,"IQ_AR",HC$3, $I$3, $N$3, , $J$3, $K$3)+_xll.ciqfunctions.udf.CIQ($B15,"IQ_AR","IQ_" &amp; LEFT(HC$3,2) &amp; "-1",HC$3, $N$3, , $J$3, $K$3))&lt;=0),"",$GK$2*0.5*(_xll.ciqfunctions.udf.CIQ($B15,"IQ_AR",HC$3, $I$3, $N$3, , $J$3, $K$3)+_xll.ciqfunctions.udf.CIQ($B15,"IQ_AR","IQ_" &amp; LEFT(HC$3,2) &amp; "-1",HC$3, $N$3, , $J$3, $K$3))/_xll.ciqfunctions.udf.CIQ($B15,"IQ_TOTAL_REVENUE",HC$3, $I$3, $N$3, , $J$3, $K$3))),"")</f>
        <v/>
      </c>
      <c r="HD15" s="91" t="str">
        <f>IFERROR(IF(OR($B15="",HD$3=""),"",IF(AND($GK$4="No",(_xll.ciqfunctions.udf.CIQ($B15,"IQ_AR",HD$3, $I$3, $N$3, , $J$3, $K$3)+_xll.ciqfunctions.udf.CIQ($B15,"IQ_AR","IQ_" &amp; LEFT(HD$3,2) &amp; "-1",HD$3, $N$3, , $J$3, $K$3))&lt;=0),"",$GK$2*0.5*(_xll.ciqfunctions.udf.CIQ($B15,"IQ_AR",HD$3, $I$3, $N$3, , $J$3, $K$3)+_xll.ciqfunctions.udf.CIQ($B15,"IQ_AR","IQ_" &amp; LEFT(HD$3,2) &amp; "-1",HD$3, $N$3, , $J$3, $K$3))/_xll.ciqfunctions.udf.CIQ($B15,"IQ_TOTAL_REVENUE",HD$3, $I$3, $N$3, , $J$3, $K$3))),"")</f>
        <v/>
      </c>
      <c r="HE15" s="89" t="str">
        <f>IFERROR(IF(OR($B15="",HE$3=""),"",IF(AND($HE$4="No",(_xll.ciqfunctions.udf.CIQ($B15,"IQ_INVENTORY",HE$3,$I$3, $N$3, , $J$3, $K$3)+_xll.ciqfunctions.udf.CIQ($B15,"IQ_INVENTORY","IQ_" &amp; LEFT(HE$3,2) &amp; "-1", HE$3, $N$3, , $J$3, $K$3))&lt;=0),0,$HE$2*0.5*(_xll.ciqfunctions.udf.CIQ($B15,"IQ_INVENTORY",HE$3,$I$3, $N$3, , $J$3, $K$3)+_xll.ciqfunctions.udf.CIQ($B15,"IQ_INVENTORY","IQ_" &amp; LEFT(HE$3,2) &amp; "-1", HE$3, $N$3, , $J$3, $K$3))/_xll.ciqfunctions.udf.CIQ($B15,"IQ_COGS",HE$3,$I$3, $N$3, , $J$3, $K$3))),"")</f>
        <v/>
      </c>
      <c r="HF15" s="90" t="str">
        <f>IFERROR(IF(OR($B15="",HF$3=""),"",IF(AND($HE$4="No",(_xll.ciqfunctions.udf.CIQ($B15,"IQ_INVENTORY",HF$3,$I$3, $N$3, , $J$3, $K$3)+_xll.ciqfunctions.udf.CIQ($B15,"IQ_INVENTORY","IQ_" &amp; LEFT(HF$3,2) &amp; "-1", HF$3, $N$3, , $J$3, $K$3))&lt;=0),0,$HE$2*0.5*(_xll.ciqfunctions.udf.CIQ($B15,"IQ_INVENTORY",HF$3,$I$3, $N$3, , $J$3, $K$3)+_xll.ciqfunctions.udf.CIQ($B15,"IQ_INVENTORY","IQ_" &amp; LEFT(HF$3,2) &amp; "-1", HF$3, $N$3, , $J$3, $K$3))/_xll.ciqfunctions.udf.CIQ($B15,"IQ_COGS",HF$3,$I$3, $N$3, , $J$3, $K$3))),"")</f>
        <v/>
      </c>
      <c r="HG15" s="90" t="str">
        <f>IFERROR(IF(OR($B15="",HG$3=""),"",IF(AND($HE$4="No",(_xll.ciqfunctions.udf.CIQ($B15,"IQ_INVENTORY",HG$3,$I$3, $N$3, , $J$3, $K$3)+_xll.ciqfunctions.udf.CIQ($B15,"IQ_INVENTORY","IQ_" &amp; LEFT(HG$3,2) &amp; "-1", HG$3, $N$3, , $J$3, $K$3))&lt;=0),0,$HE$2*0.5*(_xll.ciqfunctions.udf.CIQ($B15,"IQ_INVENTORY",HG$3,$I$3, $N$3, , $J$3, $K$3)+_xll.ciqfunctions.udf.CIQ($B15,"IQ_INVENTORY","IQ_" &amp; LEFT(HG$3,2) &amp; "-1", HG$3, $N$3, , $J$3, $K$3))/_xll.ciqfunctions.udf.CIQ($B15,"IQ_COGS",HG$3,$I$3, $N$3, , $J$3, $K$3))),"")</f>
        <v/>
      </c>
      <c r="HH15" s="90" t="str">
        <f>IFERROR(IF(OR($B15="",HH$3=""),"",IF(AND($HE$4="No",(_xll.ciqfunctions.udf.CIQ($B15,"IQ_INVENTORY",HH$3,$I$3, $N$3, , $J$3, $K$3)+_xll.ciqfunctions.udf.CIQ($B15,"IQ_INVENTORY","IQ_" &amp; LEFT(HH$3,2) &amp; "-1", HH$3, $N$3, , $J$3, $K$3))&lt;=0),0,$HE$2*0.5*(_xll.ciqfunctions.udf.CIQ($B15,"IQ_INVENTORY",HH$3,$I$3, $N$3, , $J$3, $K$3)+_xll.ciqfunctions.udf.CIQ($B15,"IQ_INVENTORY","IQ_" &amp; LEFT(HH$3,2) &amp; "-1", HH$3, $N$3, , $J$3, $K$3))/_xll.ciqfunctions.udf.CIQ($B15,"IQ_COGS",HH$3,$I$3, $N$3, , $J$3, $K$3))),"")</f>
        <v/>
      </c>
      <c r="HI15" s="90" t="str">
        <f>IFERROR(IF(OR($B15="",HI$3=""),"",IF(AND($HE$4="No",(_xll.ciqfunctions.udf.CIQ($B15,"IQ_INVENTORY",HI$3,$I$3, $N$3, , $J$3, $K$3)+_xll.ciqfunctions.udf.CIQ($B15,"IQ_INVENTORY","IQ_" &amp; LEFT(HI$3,2) &amp; "-1", HI$3, $N$3, , $J$3, $K$3))&lt;=0),0,$HE$2*0.5*(_xll.ciqfunctions.udf.CIQ($B15,"IQ_INVENTORY",HI$3,$I$3, $N$3, , $J$3, $K$3)+_xll.ciqfunctions.udf.CIQ($B15,"IQ_INVENTORY","IQ_" &amp; LEFT(HI$3,2) &amp; "-1", HI$3, $N$3, , $J$3, $K$3))/_xll.ciqfunctions.udf.CIQ($B15,"IQ_COGS",HI$3,$I$3, $N$3, , $J$3, $K$3))),"")</f>
        <v/>
      </c>
      <c r="HJ15" s="90" t="str">
        <f>IFERROR(IF(OR($B15="",HJ$3=""),"",IF(AND($HE$4="No",(_xll.ciqfunctions.udf.CIQ($B15,"IQ_INVENTORY",HJ$3,$I$3, $N$3, , $J$3, $K$3)+_xll.ciqfunctions.udf.CIQ($B15,"IQ_INVENTORY","IQ_" &amp; LEFT(HJ$3,2) &amp; "-1", HJ$3, $N$3, , $J$3, $K$3))&lt;=0),0,$HE$2*0.5*(_xll.ciqfunctions.udf.CIQ($B15,"IQ_INVENTORY",HJ$3,$I$3, $N$3, , $J$3, $K$3)+_xll.ciqfunctions.udf.CIQ($B15,"IQ_INVENTORY","IQ_" &amp; LEFT(HJ$3,2) &amp; "-1", HJ$3, $N$3, , $J$3, $K$3))/_xll.ciqfunctions.udf.CIQ($B15,"IQ_COGS",HJ$3,$I$3, $N$3, , $J$3, $K$3))),"")</f>
        <v/>
      </c>
      <c r="HK15" s="90" t="str">
        <f>IFERROR(IF(OR($B15="",HK$3=""),"",IF(AND($HE$4="No",(_xll.ciqfunctions.udf.CIQ($B15,"IQ_INVENTORY",HK$3,$I$3, $N$3, , $J$3, $K$3)+_xll.ciqfunctions.udf.CIQ($B15,"IQ_INVENTORY","IQ_" &amp; LEFT(HK$3,2) &amp; "-1", HK$3, $N$3, , $J$3, $K$3))&lt;=0),0,$HE$2*0.5*(_xll.ciqfunctions.udf.CIQ($B15,"IQ_INVENTORY",HK$3,$I$3, $N$3, , $J$3, $K$3)+_xll.ciqfunctions.udf.CIQ($B15,"IQ_INVENTORY","IQ_" &amp; LEFT(HK$3,2) &amp; "-1", HK$3, $N$3, , $J$3, $K$3))/_xll.ciqfunctions.udf.CIQ($B15,"IQ_COGS",HK$3,$I$3, $N$3, , $J$3, $K$3))),"")</f>
        <v/>
      </c>
      <c r="HL15" s="90" t="str">
        <f>IFERROR(IF(OR($B15="",HL$3=""),"",IF(AND($HE$4="No",(_xll.ciqfunctions.udf.CIQ($B15,"IQ_INVENTORY",HL$3,$I$3, $N$3, , $J$3, $K$3)+_xll.ciqfunctions.udf.CIQ($B15,"IQ_INVENTORY","IQ_" &amp; LEFT(HL$3,2) &amp; "-1", HL$3, $N$3, , $J$3, $K$3))&lt;=0),0,$HE$2*0.5*(_xll.ciqfunctions.udf.CIQ($B15,"IQ_INVENTORY",HL$3,$I$3, $N$3, , $J$3, $K$3)+_xll.ciqfunctions.udf.CIQ($B15,"IQ_INVENTORY","IQ_" &amp; LEFT(HL$3,2) &amp; "-1", HL$3, $N$3, , $J$3, $K$3))/_xll.ciqfunctions.udf.CIQ($B15,"IQ_COGS",HL$3,$I$3, $N$3, , $J$3, $K$3))),"")</f>
        <v/>
      </c>
      <c r="HM15" s="90" t="str">
        <f>IFERROR(IF(OR($B15="",HM$3=""),"",IF(AND($HE$4="No",(_xll.ciqfunctions.udf.CIQ($B15,"IQ_INVENTORY",HM$3,$I$3, $N$3, , $J$3, $K$3)+_xll.ciqfunctions.udf.CIQ($B15,"IQ_INVENTORY","IQ_" &amp; LEFT(HM$3,2) &amp; "-1", HM$3, $N$3, , $J$3, $K$3))&lt;=0),0,$HE$2*0.5*(_xll.ciqfunctions.udf.CIQ($B15,"IQ_INVENTORY",HM$3,$I$3, $N$3, , $J$3, $K$3)+_xll.ciqfunctions.udf.CIQ($B15,"IQ_INVENTORY","IQ_" &amp; LEFT(HM$3,2) &amp; "-1", HM$3, $N$3, , $J$3, $K$3))/_xll.ciqfunctions.udf.CIQ($B15,"IQ_COGS",HM$3,$I$3, $N$3, , $J$3, $K$3))),"")</f>
        <v/>
      </c>
      <c r="HN15" s="90" t="str">
        <f>IFERROR(IF(OR($B15="",HN$3=""),"",IF(AND($HE$4="No",(_xll.ciqfunctions.udf.CIQ($B15,"IQ_INVENTORY",HN$3,$I$3, $N$3, , $J$3, $K$3)+_xll.ciqfunctions.udf.CIQ($B15,"IQ_INVENTORY","IQ_" &amp; LEFT(HN$3,2) &amp; "-1", HN$3, $N$3, , $J$3, $K$3))&lt;=0),0,$HE$2*0.5*(_xll.ciqfunctions.udf.CIQ($B15,"IQ_INVENTORY",HN$3,$I$3, $N$3, , $J$3, $K$3)+_xll.ciqfunctions.udf.CIQ($B15,"IQ_INVENTORY","IQ_" &amp; LEFT(HN$3,2) &amp; "-1", HN$3, $N$3, , $J$3, $K$3))/_xll.ciqfunctions.udf.CIQ($B15,"IQ_COGS",HN$3,$I$3, $N$3, , $J$3, $K$3))),"")</f>
        <v/>
      </c>
      <c r="HO15" s="90" t="str">
        <f>IFERROR(IF(OR($B15="",HO$3=""),"",IF(AND($HE$4="No",(_xll.ciqfunctions.udf.CIQ($B15,"IQ_INVENTORY",HO$3,$I$3, $N$3, , $J$3, $K$3)+_xll.ciqfunctions.udf.CIQ($B15,"IQ_INVENTORY","IQ_" &amp; LEFT(HO$3,2) &amp; "-1", HO$3, $N$3, , $J$3, $K$3))&lt;=0),0,$HE$2*0.5*(_xll.ciqfunctions.udf.CIQ($B15,"IQ_INVENTORY",HO$3,$I$3, $N$3, , $J$3, $K$3)+_xll.ciqfunctions.udf.CIQ($B15,"IQ_INVENTORY","IQ_" &amp; LEFT(HO$3,2) &amp; "-1", HO$3, $N$3, , $J$3, $K$3))/_xll.ciqfunctions.udf.CIQ($B15,"IQ_COGS",HO$3,$I$3, $N$3, , $J$3, $K$3))),"")</f>
        <v/>
      </c>
      <c r="HP15" s="90" t="str">
        <f>IFERROR(IF(OR($B15="",HP$3=""),"",IF(AND($HE$4="No",(_xll.ciqfunctions.udf.CIQ($B15,"IQ_INVENTORY",HP$3,$I$3, $N$3, , $J$3, $K$3)+_xll.ciqfunctions.udf.CIQ($B15,"IQ_INVENTORY","IQ_" &amp; LEFT(HP$3,2) &amp; "-1", HP$3, $N$3, , $J$3, $K$3))&lt;=0),0,$HE$2*0.5*(_xll.ciqfunctions.udf.CIQ($B15,"IQ_INVENTORY",HP$3,$I$3, $N$3, , $J$3, $K$3)+_xll.ciqfunctions.udf.CIQ($B15,"IQ_INVENTORY","IQ_" &amp; LEFT(HP$3,2) &amp; "-1", HP$3, $N$3, , $J$3, $K$3))/_xll.ciqfunctions.udf.CIQ($B15,"IQ_COGS",HP$3,$I$3, $N$3, , $J$3, $K$3))),"")</f>
        <v/>
      </c>
      <c r="HQ15" s="90" t="str">
        <f>IFERROR(IF(OR($B15="",HQ$3=""),"",IF(AND($HE$4="No",(_xll.ciqfunctions.udf.CIQ($B15,"IQ_INVENTORY",HQ$3,$I$3, $N$3, , $J$3, $K$3)+_xll.ciqfunctions.udf.CIQ($B15,"IQ_INVENTORY","IQ_" &amp; LEFT(HQ$3,2) &amp; "-1", HQ$3, $N$3, , $J$3, $K$3))&lt;=0),0,$HE$2*0.5*(_xll.ciqfunctions.udf.CIQ($B15,"IQ_INVENTORY",HQ$3,$I$3, $N$3, , $J$3, $K$3)+_xll.ciqfunctions.udf.CIQ($B15,"IQ_INVENTORY","IQ_" &amp; LEFT(HQ$3,2) &amp; "-1", HQ$3, $N$3, , $J$3, $K$3))/_xll.ciqfunctions.udf.CIQ($B15,"IQ_COGS",HQ$3,$I$3, $N$3, , $J$3, $K$3))),"")</f>
        <v/>
      </c>
      <c r="HR15" s="90" t="str">
        <f>IFERROR(IF(OR($B15="",HR$3=""),"",IF(AND($HE$4="No",(_xll.ciqfunctions.udf.CIQ($B15,"IQ_INVENTORY",HR$3,$I$3, $N$3, , $J$3, $K$3)+_xll.ciqfunctions.udf.CIQ($B15,"IQ_INVENTORY","IQ_" &amp; LEFT(HR$3,2) &amp; "-1", HR$3, $N$3, , $J$3, $K$3))&lt;=0),0,$HE$2*0.5*(_xll.ciqfunctions.udf.CIQ($B15,"IQ_INVENTORY",HR$3,$I$3, $N$3, , $J$3, $K$3)+_xll.ciqfunctions.udf.CIQ($B15,"IQ_INVENTORY","IQ_" &amp; LEFT(HR$3,2) &amp; "-1", HR$3, $N$3, , $J$3, $K$3))/_xll.ciqfunctions.udf.CIQ($B15,"IQ_COGS",HR$3,$I$3, $N$3, , $J$3, $K$3))),"")</f>
        <v/>
      </c>
      <c r="HS15" s="90" t="str">
        <f>IFERROR(IF(OR($B15="",HS$3=""),"",IF(AND($HE$4="No",(_xll.ciqfunctions.udf.CIQ($B15,"IQ_INVENTORY",HS$3,$I$3, $N$3, , $J$3, $K$3)+_xll.ciqfunctions.udf.CIQ($B15,"IQ_INVENTORY","IQ_" &amp; LEFT(HS$3,2) &amp; "-1", HS$3, $N$3, , $J$3, $K$3))&lt;=0),0,$HE$2*0.5*(_xll.ciqfunctions.udf.CIQ($B15,"IQ_INVENTORY",HS$3,$I$3, $N$3, , $J$3, $K$3)+_xll.ciqfunctions.udf.CIQ($B15,"IQ_INVENTORY","IQ_" &amp; LEFT(HS$3,2) &amp; "-1", HS$3, $N$3, , $J$3, $K$3))/_xll.ciqfunctions.udf.CIQ($B15,"IQ_COGS",HS$3,$I$3, $N$3, , $J$3, $K$3))),"")</f>
        <v/>
      </c>
      <c r="HT15" s="90" t="str">
        <f>IFERROR(IF(OR($B15="",HT$3=""),"",IF(AND($HE$4="No",(_xll.ciqfunctions.udf.CIQ($B15,"IQ_INVENTORY",HT$3,$I$3, $N$3, , $J$3, $K$3)+_xll.ciqfunctions.udf.CIQ($B15,"IQ_INVENTORY","IQ_" &amp; LEFT(HT$3,2) &amp; "-1", HT$3, $N$3, , $J$3, $K$3))&lt;=0),0,$HE$2*0.5*(_xll.ciqfunctions.udf.CIQ($B15,"IQ_INVENTORY",HT$3,$I$3, $N$3, , $J$3, $K$3)+_xll.ciqfunctions.udf.CIQ($B15,"IQ_INVENTORY","IQ_" &amp; LEFT(HT$3,2) &amp; "-1", HT$3, $N$3, , $J$3, $K$3))/_xll.ciqfunctions.udf.CIQ($B15,"IQ_COGS",HT$3,$I$3, $N$3, , $J$3, $K$3))),"")</f>
        <v/>
      </c>
      <c r="HU15" s="90" t="str">
        <f>IFERROR(IF(OR($B15="",HU$3=""),"",IF(AND($HE$4="No",(_xll.ciqfunctions.udf.CIQ($B15,"IQ_INVENTORY",HU$3,$I$3, $N$3, , $J$3, $K$3)+_xll.ciqfunctions.udf.CIQ($B15,"IQ_INVENTORY","IQ_" &amp; LEFT(HU$3,2) &amp; "-1", HU$3, $N$3, , $J$3, $K$3))&lt;=0),0,$HE$2*0.5*(_xll.ciqfunctions.udf.CIQ($B15,"IQ_INVENTORY",HU$3,$I$3, $N$3, , $J$3, $K$3)+_xll.ciqfunctions.udf.CIQ($B15,"IQ_INVENTORY","IQ_" &amp; LEFT(HU$3,2) &amp; "-1", HU$3, $N$3, , $J$3, $K$3))/_xll.ciqfunctions.udf.CIQ($B15,"IQ_COGS",HU$3,$I$3, $N$3, , $J$3, $K$3))),"")</f>
        <v/>
      </c>
      <c r="HV15" s="90" t="str">
        <f>IFERROR(IF(OR($B15="",HV$3=""),"",IF(AND($HE$4="No",(_xll.ciqfunctions.udf.CIQ($B15,"IQ_INVENTORY",HV$3,$I$3, $N$3, , $J$3, $K$3)+_xll.ciqfunctions.udf.CIQ($B15,"IQ_INVENTORY","IQ_" &amp; LEFT(HV$3,2) &amp; "-1", HV$3, $N$3, , $J$3, $K$3))&lt;=0),0,$HE$2*0.5*(_xll.ciqfunctions.udf.CIQ($B15,"IQ_INVENTORY",HV$3,$I$3, $N$3, , $J$3, $K$3)+_xll.ciqfunctions.udf.CIQ($B15,"IQ_INVENTORY","IQ_" &amp; LEFT(HV$3,2) &amp; "-1", HV$3, $N$3, , $J$3, $K$3))/_xll.ciqfunctions.udf.CIQ($B15,"IQ_COGS",HV$3,$I$3, $N$3, , $J$3, $K$3))),"")</f>
        <v/>
      </c>
      <c r="HW15" s="90" t="str">
        <f>IFERROR(IF(OR($B15="",HW$3=""),"",IF(AND($HE$4="No",(_xll.ciqfunctions.udf.CIQ($B15,"IQ_INVENTORY",HW$3,$I$3, $N$3, , $J$3, $K$3)+_xll.ciqfunctions.udf.CIQ($B15,"IQ_INVENTORY","IQ_" &amp; LEFT(HW$3,2) &amp; "-1", HW$3, $N$3, , $J$3, $K$3))&lt;=0),0,$HE$2*0.5*(_xll.ciqfunctions.udf.CIQ($B15,"IQ_INVENTORY",HW$3,$I$3, $N$3, , $J$3, $K$3)+_xll.ciqfunctions.udf.CIQ($B15,"IQ_INVENTORY","IQ_" &amp; LEFT(HW$3,2) &amp; "-1", HW$3, $N$3, , $J$3, $K$3))/_xll.ciqfunctions.udf.CIQ($B15,"IQ_COGS",HW$3,$I$3, $N$3, , $J$3, $K$3))),"")</f>
        <v/>
      </c>
      <c r="HX15" s="91" t="str">
        <f>IFERROR(IF(OR($B15="",HX$3=""),"",IF(AND($HE$4="No",(_xll.ciqfunctions.udf.CIQ($B15,"IQ_INVENTORY",HX$3,$I$3, $N$3, , $J$3, $K$3)+_xll.ciqfunctions.udf.CIQ($B15,"IQ_INVENTORY","IQ_" &amp; LEFT(HX$3,2) &amp; "-1", HX$3, $N$3, , $J$3, $K$3))&lt;=0),0,$HE$2*0.5*(_xll.ciqfunctions.udf.CIQ($B15,"IQ_INVENTORY",HX$3,$I$3, $N$3, , $J$3, $K$3)+_xll.ciqfunctions.udf.CIQ($B15,"IQ_INVENTORY","IQ_" &amp; LEFT(HX$3,2) &amp; "-1", HX$3, $N$3, , $J$3, $K$3))/_xll.ciqfunctions.udf.CIQ($B15,"IQ_COGS",HX$3,$I$3, $N$3, , $J$3, $K$3))),"")</f>
        <v/>
      </c>
      <c r="HY15" s="89" t="str">
        <f>IFERROR(IF(OR($B15="",HY$3=""),"",IF(AND($HY$4="No",(_xll.ciqfunctions.udf.CIQ($B15,"IQ_AP",HY$3,$I$3, $N$3, , $J$3, $K$3)+_xll.ciqfunctions.udf.CIQ($B15,"IQ_AP","IQ_" &amp; LEFT(HY$3,2) &amp; "-1", HY$3, $N$3, , $J$3, $K$3))&lt;=0),"",(_xll.ciqfunctions.udf.CIQ($B15,"IQ_AP",HY$3,$I$3, $N$3, , $J$3, $K$3)+_xll.ciqfunctions.udf.CIQ($B15,"IQ_AP","IQ_" &amp; LEFT(HY$3,2) &amp; "-1", HY$3, $N$3, , $J$3, $K$3))/_xll.ciqfunctions.udf.CIQ($B15,"IQ_COGS",HY$3,$I$3, $N$3, , $J$3, $K$3)*$HY$2*0.5)),"")</f>
        <v/>
      </c>
      <c r="HZ15" s="90" t="str">
        <f>IFERROR(IF(OR($B15="",HZ$3=""),"",IF(AND($HY$4="No",(_xll.ciqfunctions.udf.CIQ($B15,"IQ_AP",HZ$3,$I$3, $N$3, , $J$3, $K$3)+_xll.ciqfunctions.udf.CIQ($B15,"IQ_AP","IQ_" &amp; LEFT(HZ$3,2) &amp; "-1", HZ$3, $N$3, , $J$3, $K$3))&lt;=0),"",(_xll.ciqfunctions.udf.CIQ($B15,"IQ_AP",HZ$3,$I$3, $N$3, , $J$3, $K$3)+_xll.ciqfunctions.udf.CIQ($B15,"IQ_AP","IQ_" &amp; LEFT(HZ$3,2) &amp; "-1", HZ$3, $N$3, , $J$3, $K$3))/_xll.ciqfunctions.udf.CIQ($B15,"IQ_COGS",HZ$3,$I$3, $N$3, , $J$3, $K$3)*$HY$2*0.5)),"")</f>
        <v/>
      </c>
      <c r="IA15" s="90" t="str">
        <f>IFERROR(IF(OR($B15="",IA$3=""),"",IF(AND($HY$4="No",(_xll.ciqfunctions.udf.CIQ($B15,"IQ_AP",IA$3,$I$3, $N$3, , $J$3, $K$3)+_xll.ciqfunctions.udf.CIQ($B15,"IQ_AP","IQ_" &amp; LEFT(IA$3,2) &amp; "-1", IA$3, $N$3, , $J$3, $K$3))&lt;=0),"",(_xll.ciqfunctions.udf.CIQ($B15,"IQ_AP",IA$3,$I$3, $N$3, , $J$3, $K$3)+_xll.ciqfunctions.udf.CIQ($B15,"IQ_AP","IQ_" &amp; LEFT(IA$3,2) &amp; "-1", IA$3, $N$3, , $J$3, $K$3))/_xll.ciqfunctions.udf.CIQ($B15,"IQ_COGS",IA$3,$I$3, $N$3, , $J$3, $K$3)*$HY$2*0.5)),"")</f>
        <v/>
      </c>
      <c r="IB15" s="90" t="str">
        <f>IFERROR(IF(OR($B15="",IB$3=""),"",IF(AND($HY$4="No",(_xll.ciqfunctions.udf.CIQ($B15,"IQ_AP",IB$3,$I$3, $N$3, , $J$3, $K$3)+_xll.ciqfunctions.udf.CIQ($B15,"IQ_AP","IQ_" &amp; LEFT(IB$3,2) &amp; "-1", IB$3, $N$3, , $J$3, $K$3))&lt;=0),"",(_xll.ciqfunctions.udf.CIQ($B15,"IQ_AP",IB$3,$I$3, $N$3, , $J$3, $K$3)+_xll.ciqfunctions.udf.CIQ($B15,"IQ_AP","IQ_" &amp; LEFT(IB$3,2) &amp; "-1", IB$3, $N$3, , $J$3, $K$3))/_xll.ciqfunctions.udf.CIQ($B15,"IQ_COGS",IB$3,$I$3, $N$3, , $J$3, $K$3)*$HY$2*0.5)),"")</f>
        <v/>
      </c>
      <c r="IC15" s="90" t="str">
        <f>IFERROR(IF(OR($B15="",IC$3=""),"",IF(AND($HY$4="No",(_xll.ciqfunctions.udf.CIQ($B15,"IQ_AP",IC$3,$I$3, $N$3, , $J$3, $K$3)+_xll.ciqfunctions.udf.CIQ($B15,"IQ_AP","IQ_" &amp; LEFT(IC$3,2) &amp; "-1", IC$3, $N$3, , $J$3, $K$3))&lt;=0),"",(_xll.ciqfunctions.udf.CIQ($B15,"IQ_AP",IC$3,$I$3, $N$3, , $J$3, $K$3)+_xll.ciqfunctions.udf.CIQ($B15,"IQ_AP","IQ_" &amp; LEFT(IC$3,2) &amp; "-1", IC$3, $N$3, , $J$3, $K$3))/_xll.ciqfunctions.udf.CIQ($B15,"IQ_COGS",IC$3,$I$3, $N$3, , $J$3, $K$3)*$HY$2*0.5)),"")</f>
        <v/>
      </c>
      <c r="ID15" s="90" t="str">
        <f>IFERROR(IF(OR($B15="",ID$3=""),"",IF(AND($HY$4="No",(_xll.ciqfunctions.udf.CIQ($B15,"IQ_AP",ID$3,$I$3, $N$3, , $J$3, $K$3)+_xll.ciqfunctions.udf.CIQ($B15,"IQ_AP","IQ_" &amp; LEFT(ID$3,2) &amp; "-1", ID$3, $N$3, , $J$3, $K$3))&lt;=0),"",(_xll.ciqfunctions.udf.CIQ($B15,"IQ_AP",ID$3,$I$3, $N$3, , $J$3, $K$3)+_xll.ciqfunctions.udf.CIQ($B15,"IQ_AP","IQ_" &amp; LEFT(ID$3,2) &amp; "-1", ID$3, $N$3, , $J$3, $K$3))/_xll.ciqfunctions.udf.CIQ($B15,"IQ_COGS",ID$3,$I$3, $N$3, , $J$3, $K$3)*$HY$2*0.5)),"")</f>
        <v/>
      </c>
      <c r="IE15" s="90" t="str">
        <f>IFERROR(IF(OR($B15="",IE$3=""),"",IF(AND($HY$4="No",(_xll.ciqfunctions.udf.CIQ($B15,"IQ_AP",IE$3,$I$3, $N$3, , $J$3, $K$3)+_xll.ciqfunctions.udf.CIQ($B15,"IQ_AP","IQ_" &amp; LEFT(IE$3,2) &amp; "-1", IE$3, $N$3, , $J$3, $K$3))&lt;=0),"",(_xll.ciqfunctions.udf.CIQ($B15,"IQ_AP",IE$3,$I$3, $N$3, , $J$3, $K$3)+_xll.ciqfunctions.udf.CIQ($B15,"IQ_AP","IQ_" &amp; LEFT(IE$3,2) &amp; "-1", IE$3, $N$3, , $J$3, $K$3))/_xll.ciqfunctions.udf.CIQ($B15,"IQ_COGS",IE$3,$I$3, $N$3, , $J$3, $K$3)*$HY$2*0.5)),"")</f>
        <v/>
      </c>
      <c r="IF15" s="90" t="str">
        <f>IFERROR(IF(OR($B15="",IF$3=""),"",IF(AND($HY$4="No",(_xll.ciqfunctions.udf.CIQ($B15,"IQ_AP",IF$3,$I$3, $N$3, , $J$3, $K$3)+_xll.ciqfunctions.udf.CIQ($B15,"IQ_AP","IQ_" &amp; LEFT(IF$3,2) &amp; "-1", IF$3, $N$3, , $J$3, $K$3))&lt;=0),"",(_xll.ciqfunctions.udf.CIQ($B15,"IQ_AP",IF$3,$I$3, $N$3, , $J$3, $K$3)+_xll.ciqfunctions.udf.CIQ($B15,"IQ_AP","IQ_" &amp; LEFT(IF$3,2) &amp; "-1", IF$3, $N$3, , $J$3, $K$3))/_xll.ciqfunctions.udf.CIQ($B15,"IQ_COGS",IF$3,$I$3, $N$3, , $J$3, $K$3)*$HY$2*0.5)),"")</f>
        <v/>
      </c>
      <c r="IG15" s="90" t="str">
        <f>IFERROR(IF(OR($B15="",IG$3=""),"",IF(AND($HY$4="No",(_xll.ciqfunctions.udf.CIQ($B15,"IQ_AP",IG$3,$I$3, $N$3, , $J$3, $K$3)+_xll.ciqfunctions.udf.CIQ($B15,"IQ_AP","IQ_" &amp; LEFT(IG$3,2) &amp; "-1", IG$3, $N$3, , $J$3, $K$3))&lt;=0),"",(_xll.ciqfunctions.udf.CIQ($B15,"IQ_AP",IG$3,$I$3, $N$3, , $J$3, $K$3)+_xll.ciqfunctions.udf.CIQ($B15,"IQ_AP","IQ_" &amp; LEFT(IG$3,2) &amp; "-1", IG$3, $N$3, , $J$3, $K$3))/_xll.ciqfunctions.udf.CIQ($B15,"IQ_COGS",IG$3,$I$3, $N$3, , $J$3, $K$3)*$HY$2*0.5)),"")</f>
        <v/>
      </c>
      <c r="IH15" s="90" t="str">
        <f>IFERROR(IF(OR($B15="",IH$3=""),"",IF(AND($HY$4="No",(_xll.ciqfunctions.udf.CIQ($B15,"IQ_AP",IH$3,$I$3, $N$3, , $J$3, $K$3)+_xll.ciqfunctions.udf.CIQ($B15,"IQ_AP","IQ_" &amp; LEFT(IH$3,2) &amp; "-1", IH$3, $N$3, , $J$3, $K$3))&lt;=0),"",(_xll.ciqfunctions.udf.CIQ($B15,"IQ_AP",IH$3,$I$3, $N$3, , $J$3, $K$3)+_xll.ciqfunctions.udf.CIQ($B15,"IQ_AP","IQ_" &amp; LEFT(IH$3,2) &amp; "-1", IH$3, $N$3, , $J$3, $K$3))/_xll.ciqfunctions.udf.CIQ($B15,"IQ_COGS",IH$3,$I$3, $N$3, , $J$3, $K$3)*$HY$2*0.5)),"")</f>
        <v/>
      </c>
      <c r="II15" s="90" t="str">
        <f>IFERROR(IF(OR($B15="",II$3=""),"",IF(AND($HY$4="No",(_xll.ciqfunctions.udf.CIQ($B15,"IQ_AP",II$3,$I$3, $N$3, , $J$3, $K$3)+_xll.ciqfunctions.udf.CIQ($B15,"IQ_AP","IQ_" &amp; LEFT(II$3,2) &amp; "-1", II$3, $N$3, , $J$3, $K$3))&lt;=0),"",(_xll.ciqfunctions.udf.CIQ($B15,"IQ_AP",II$3,$I$3, $N$3, , $J$3, $K$3)+_xll.ciqfunctions.udf.CIQ($B15,"IQ_AP","IQ_" &amp; LEFT(II$3,2) &amp; "-1", II$3, $N$3, , $J$3, $K$3))/_xll.ciqfunctions.udf.CIQ($B15,"IQ_COGS",II$3,$I$3, $N$3, , $J$3, $K$3)*$HY$2*0.5)),"")</f>
        <v/>
      </c>
      <c r="IJ15" s="90" t="str">
        <f>IFERROR(IF(OR($B15="",IJ$3=""),"",IF(AND($HY$4="No",(_xll.ciqfunctions.udf.CIQ($B15,"IQ_AP",IJ$3,$I$3, $N$3, , $J$3, $K$3)+_xll.ciqfunctions.udf.CIQ($B15,"IQ_AP","IQ_" &amp; LEFT(IJ$3,2) &amp; "-1", IJ$3, $N$3, , $J$3, $K$3))&lt;=0),"",(_xll.ciqfunctions.udf.CIQ($B15,"IQ_AP",IJ$3,$I$3, $N$3, , $J$3, $K$3)+_xll.ciqfunctions.udf.CIQ($B15,"IQ_AP","IQ_" &amp; LEFT(IJ$3,2) &amp; "-1", IJ$3, $N$3, , $J$3, $K$3))/_xll.ciqfunctions.udf.CIQ($B15,"IQ_COGS",IJ$3,$I$3, $N$3, , $J$3, $K$3)*$HY$2*0.5)),"")</f>
        <v/>
      </c>
      <c r="IK15" s="90" t="str">
        <f>IFERROR(IF(OR($B15="",IK$3=""),"",IF(AND($HY$4="No",(_xll.ciqfunctions.udf.CIQ($B15,"IQ_AP",IK$3,$I$3, $N$3, , $J$3, $K$3)+_xll.ciqfunctions.udf.CIQ($B15,"IQ_AP","IQ_" &amp; LEFT(IK$3,2) &amp; "-1", IK$3, $N$3, , $J$3, $K$3))&lt;=0),"",(_xll.ciqfunctions.udf.CIQ($B15,"IQ_AP",IK$3,$I$3, $N$3, , $J$3, $K$3)+_xll.ciqfunctions.udf.CIQ($B15,"IQ_AP","IQ_" &amp; LEFT(IK$3,2) &amp; "-1", IK$3, $N$3, , $J$3, $K$3))/_xll.ciqfunctions.udf.CIQ($B15,"IQ_COGS",IK$3,$I$3, $N$3, , $J$3, $K$3)*$HY$2*0.5)),"")</f>
        <v/>
      </c>
      <c r="IL15" s="90" t="str">
        <f>IFERROR(IF(OR($B15="",IL$3=""),"",IF(AND($HY$4="No",(_xll.ciqfunctions.udf.CIQ($B15,"IQ_AP",IL$3,$I$3, $N$3, , $J$3, $K$3)+_xll.ciqfunctions.udf.CIQ($B15,"IQ_AP","IQ_" &amp; LEFT(IL$3,2) &amp; "-1", IL$3, $N$3, , $J$3, $K$3))&lt;=0),"",(_xll.ciqfunctions.udf.CIQ($B15,"IQ_AP",IL$3,$I$3, $N$3, , $J$3, $K$3)+_xll.ciqfunctions.udf.CIQ($B15,"IQ_AP","IQ_" &amp; LEFT(IL$3,2) &amp; "-1", IL$3, $N$3, , $J$3, $K$3))/_xll.ciqfunctions.udf.CIQ($B15,"IQ_COGS",IL$3,$I$3, $N$3, , $J$3, $K$3)*$HY$2*0.5)),"")</f>
        <v/>
      </c>
      <c r="IM15" s="90" t="str">
        <f>IFERROR(IF(OR($B15="",IM$3=""),"",IF(AND($HY$4="No",(_xll.ciqfunctions.udf.CIQ($B15,"IQ_AP",IM$3,$I$3, $N$3, , $J$3, $K$3)+_xll.ciqfunctions.udf.CIQ($B15,"IQ_AP","IQ_" &amp; LEFT(IM$3,2) &amp; "-1", IM$3, $N$3, , $J$3, $K$3))&lt;=0),"",(_xll.ciqfunctions.udf.CIQ($B15,"IQ_AP",IM$3,$I$3, $N$3, , $J$3, $K$3)+_xll.ciqfunctions.udf.CIQ($B15,"IQ_AP","IQ_" &amp; LEFT(IM$3,2) &amp; "-1", IM$3, $N$3, , $J$3, $K$3))/_xll.ciqfunctions.udf.CIQ($B15,"IQ_COGS",IM$3,$I$3, $N$3, , $J$3, $K$3)*$HY$2*0.5)),"")</f>
        <v/>
      </c>
      <c r="IN15" s="90" t="str">
        <f>IFERROR(IF(OR($B15="",IN$3=""),"",IF(AND($HY$4="No",(_xll.ciqfunctions.udf.CIQ($B15,"IQ_AP",IN$3,$I$3, $N$3, , $J$3, $K$3)+_xll.ciqfunctions.udf.CIQ($B15,"IQ_AP","IQ_" &amp; LEFT(IN$3,2) &amp; "-1", IN$3, $N$3, , $J$3, $K$3))&lt;=0),"",(_xll.ciqfunctions.udf.CIQ($B15,"IQ_AP",IN$3,$I$3, $N$3, , $J$3, $K$3)+_xll.ciqfunctions.udf.CIQ($B15,"IQ_AP","IQ_" &amp; LEFT(IN$3,2) &amp; "-1", IN$3, $N$3, , $J$3, $K$3))/_xll.ciqfunctions.udf.CIQ($B15,"IQ_COGS",IN$3,$I$3, $N$3, , $J$3, $K$3)*$HY$2*0.5)),"")</f>
        <v/>
      </c>
      <c r="IO15" s="90" t="str">
        <f>IFERROR(IF(OR($B15="",IO$3=""),"",IF(AND($HY$4="No",(_xll.ciqfunctions.udf.CIQ($B15,"IQ_AP",IO$3,$I$3, $N$3, , $J$3, $K$3)+_xll.ciqfunctions.udf.CIQ($B15,"IQ_AP","IQ_" &amp; LEFT(IO$3,2) &amp; "-1", IO$3, $N$3, , $J$3, $K$3))&lt;=0),"",(_xll.ciqfunctions.udf.CIQ($B15,"IQ_AP",IO$3,$I$3, $N$3, , $J$3, $K$3)+_xll.ciqfunctions.udf.CIQ($B15,"IQ_AP","IQ_" &amp; LEFT(IO$3,2) &amp; "-1", IO$3, $N$3, , $J$3, $K$3))/_xll.ciqfunctions.udf.CIQ($B15,"IQ_COGS",IO$3,$I$3, $N$3, , $J$3, $K$3)*$HY$2*0.5)),"")</f>
        <v/>
      </c>
      <c r="IP15" s="90" t="str">
        <f>IFERROR(IF(OR($B15="",IP$3=""),"",IF(AND($HY$4="No",(_xll.ciqfunctions.udf.CIQ($B15,"IQ_AP",IP$3,$I$3, $N$3, , $J$3, $K$3)+_xll.ciqfunctions.udf.CIQ($B15,"IQ_AP","IQ_" &amp; LEFT(IP$3,2) &amp; "-1", IP$3, $N$3, , $J$3, $K$3))&lt;=0),"",(_xll.ciqfunctions.udf.CIQ($B15,"IQ_AP",IP$3,$I$3, $N$3, , $J$3, $K$3)+_xll.ciqfunctions.udf.CIQ($B15,"IQ_AP","IQ_" &amp; LEFT(IP$3,2) &amp; "-1", IP$3, $N$3, , $J$3, $K$3))/_xll.ciqfunctions.udf.CIQ($B15,"IQ_COGS",IP$3,$I$3, $N$3, , $J$3, $K$3)*$HY$2*0.5)),"")</f>
        <v/>
      </c>
      <c r="IQ15" s="90" t="str">
        <f>IFERROR(IF(OR($B15="",IQ$3=""),"",IF(AND($HY$4="No",(_xll.ciqfunctions.udf.CIQ($B15,"IQ_AP",IQ$3,$I$3, $N$3, , $J$3, $K$3)+_xll.ciqfunctions.udf.CIQ($B15,"IQ_AP","IQ_" &amp; LEFT(IQ$3,2) &amp; "-1", IQ$3, $N$3, , $J$3, $K$3))&lt;=0),"",(_xll.ciqfunctions.udf.CIQ($B15,"IQ_AP",IQ$3,$I$3, $N$3, , $J$3, $K$3)+_xll.ciqfunctions.udf.CIQ($B15,"IQ_AP","IQ_" &amp; LEFT(IQ$3,2) &amp; "-1", IQ$3, $N$3, , $J$3, $K$3))/_xll.ciqfunctions.udf.CIQ($B15,"IQ_COGS",IQ$3,$I$3, $N$3, , $J$3, $K$3)*$HY$2*0.5)),"")</f>
        <v/>
      </c>
      <c r="IR15" s="91" t="str">
        <f>IFERROR(IF(OR($B15="",IR$3=""),"",IF(AND($HY$4="No",(_xll.ciqfunctions.udf.CIQ($B15,"IQ_AP",IR$3,$I$3, $N$3, , $J$3, $K$3)+_xll.ciqfunctions.udf.CIQ($B15,"IQ_AP","IQ_" &amp; LEFT(IR$3,2) &amp; "-1", IR$3, $N$3, , $J$3, $K$3))&lt;=0),"",(_xll.ciqfunctions.udf.CIQ($B15,"IQ_AP",IR$3,$I$3, $N$3, , $J$3, $K$3)+_xll.ciqfunctions.udf.CIQ($B15,"IQ_AP","IQ_" &amp; LEFT(IR$3,2) &amp; "-1", IR$3, $N$3, , $J$3, $K$3))/_xll.ciqfunctions.udf.CIQ($B15,"IQ_COGS",IR$3,$I$3, $N$3, , $J$3, $K$3)*$HY$2*0.5)),"")</f>
        <v/>
      </c>
      <c r="IS15" s="89" t="str">
        <f t="shared" si="343"/>
        <v/>
      </c>
      <c r="IT15" s="90" t="str">
        <f t="shared" si="344"/>
        <v/>
      </c>
      <c r="IU15" s="90" t="str">
        <f t="shared" si="345"/>
        <v/>
      </c>
      <c r="IV15" s="90" t="str">
        <f t="shared" si="346"/>
        <v/>
      </c>
      <c r="IW15" s="90" t="str">
        <f t="shared" si="347"/>
        <v/>
      </c>
      <c r="IX15" s="90" t="str">
        <f t="shared" si="348"/>
        <v/>
      </c>
      <c r="IY15" s="90" t="str">
        <f t="shared" si="349"/>
        <v/>
      </c>
      <c r="IZ15" s="90" t="str">
        <f t="shared" si="350"/>
        <v/>
      </c>
      <c r="JA15" s="90" t="str">
        <f t="shared" si="351"/>
        <v/>
      </c>
      <c r="JB15" s="90" t="str">
        <f t="shared" si="352"/>
        <v/>
      </c>
      <c r="JC15" s="90" t="str">
        <f t="shared" si="353"/>
        <v/>
      </c>
      <c r="JD15" s="90" t="str">
        <f t="shared" si="354"/>
        <v/>
      </c>
      <c r="JE15" s="90" t="str">
        <f t="shared" si="355"/>
        <v/>
      </c>
      <c r="JF15" s="90" t="str">
        <f t="shared" si="356"/>
        <v/>
      </c>
      <c r="JG15" s="90" t="str">
        <f t="shared" si="357"/>
        <v/>
      </c>
      <c r="JH15" s="90" t="str">
        <f t="shared" si="358"/>
        <v/>
      </c>
      <c r="JI15" s="90" t="str">
        <f t="shared" si="359"/>
        <v/>
      </c>
      <c r="JJ15" s="90" t="str">
        <f t="shared" si="360"/>
        <v/>
      </c>
      <c r="JK15" s="90" t="str">
        <f t="shared" si="361"/>
        <v/>
      </c>
      <c r="JL15" s="91" t="str">
        <f t="shared" si="362"/>
        <v/>
      </c>
      <c r="JM15" s="86" t="str">
        <f>IFERROR(IF(OR($B15="",JM$3=""),"",_xll.ciqfunctions.udf.CIQ($B15,"IQ_CASH_OPER",JM$3,$I$3, $N$3, , $J$3, $K$3)/_xll.ciqfunctions.udf.CIQ($B15,"IQ_TOTAL_REV",JM$3,$I$3, $N$3, , $J$3, $K$3)),"")</f>
        <v/>
      </c>
      <c r="JN15" s="87" t="str">
        <f>IFERROR(IF(OR($B15="",JN$3=""),"",_xll.ciqfunctions.udf.CIQ($B15,"IQ_CASH_OPER",JN$3,$I$3, $N$3, , $J$3, $K$3)/_xll.ciqfunctions.udf.CIQ($B15,"IQ_TOTAL_REV",JN$3,$I$3, $N$3, , $J$3, $K$3)),"")</f>
        <v/>
      </c>
      <c r="JO15" s="87" t="str">
        <f>IFERROR(IF(OR($B15="",JO$3=""),"",_xll.ciqfunctions.udf.CIQ($B15,"IQ_CASH_OPER",JO$3,$I$3, $N$3, , $J$3, $K$3)/_xll.ciqfunctions.udf.CIQ($B15,"IQ_TOTAL_REV",JO$3,$I$3, $N$3, , $J$3, $K$3)),"")</f>
        <v/>
      </c>
      <c r="JP15" s="87" t="str">
        <f>IFERROR(IF(OR($B15="",JP$3=""),"",_xll.ciqfunctions.udf.CIQ($B15,"IQ_CASH_OPER",JP$3,$I$3, $N$3, , $J$3, $K$3)/_xll.ciqfunctions.udf.CIQ($B15,"IQ_TOTAL_REV",JP$3,$I$3, $N$3, , $J$3, $K$3)),"")</f>
        <v/>
      </c>
      <c r="JQ15" s="87" t="str">
        <f>IFERROR(IF(OR($B15="",JQ$3=""),"",_xll.ciqfunctions.udf.CIQ($B15,"IQ_CASH_OPER",JQ$3,$I$3, $N$3, , $J$3, $K$3)/_xll.ciqfunctions.udf.CIQ($B15,"IQ_TOTAL_REV",JQ$3,$I$3, $N$3, , $J$3, $K$3)),"")</f>
        <v/>
      </c>
      <c r="JR15" s="87" t="str">
        <f>IFERROR(IF(OR($B15="",JR$3=""),"",_xll.ciqfunctions.udf.CIQ($B15,"IQ_CASH_OPER",JR$3,$I$3, $N$3, , $J$3, $K$3)/_xll.ciqfunctions.udf.CIQ($B15,"IQ_TOTAL_REV",JR$3,$I$3, $N$3, , $J$3, $K$3)),"")</f>
        <v/>
      </c>
      <c r="JS15" s="87" t="str">
        <f>IFERROR(IF(OR($B15="",JS$3=""),"",_xll.ciqfunctions.udf.CIQ($B15,"IQ_CASH_OPER",JS$3,$I$3, $N$3, , $J$3, $K$3)/_xll.ciqfunctions.udf.CIQ($B15,"IQ_TOTAL_REV",JS$3,$I$3, $N$3, , $J$3, $K$3)),"")</f>
        <v/>
      </c>
      <c r="JT15" s="87" t="str">
        <f>IFERROR(IF(OR($B15="",JT$3=""),"",_xll.ciqfunctions.udf.CIQ($B15,"IQ_CASH_OPER",JT$3,$I$3, $N$3, , $J$3, $K$3)/_xll.ciqfunctions.udf.CIQ($B15,"IQ_TOTAL_REV",JT$3,$I$3, $N$3, , $J$3, $K$3)),"")</f>
        <v/>
      </c>
      <c r="JU15" s="87" t="str">
        <f>IFERROR(IF(OR($B15="",JU$3=""),"",_xll.ciqfunctions.udf.CIQ($B15,"IQ_CASH_OPER",JU$3,$I$3, $N$3, , $J$3, $K$3)/_xll.ciqfunctions.udf.CIQ($B15,"IQ_TOTAL_REV",JU$3,$I$3, $N$3, , $J$3, $K$3)),"")</f>
        <v/>
      </c>
      <c r="JV15" s="87" t="str">
        <f>IFERROR(IF(OR($B15="",JV$3=""),"",_xll.ciqfunctions.udf.CIQ($B15,"IQ_CASH_OPER",JV$3,$I$3, $N$3, , $J$3, $K$3)/_xll.ciqfunctions.udf.CIQ($B15,"IQ_TOTAL_REV",JV$3,$I$3, $N$3, , $J$3, $K$3)),"")</f>
        <v/>
      </c>
      <c r="JW15" s="87" t="str">
        <f>IFERROR(IF(OR($B15="",JW$3=""),"",_xll.ciqfunctions.udf.CIQ($B15,"IQ_CASH_OPER",JW$3,$I$3, $N$3, , $J$3, $K$3)/_xll.ciqfunctions.udf.CIQ($B15,"IQ_TOTAL_REV",JW$3,$I$3, $N$3, , $J$3, $K$3)),"")</f>
        <v/>
      </c>
      <c r="JX15" s="87" t="str">
        <f>IFERROR(IF(OR($B15="",JX$3=""),"",_xll.ciqfunctions.udf.CIQ($B15,"IQ_CASH_OPER",JX$3,$I$3, $N$3, , $J$3, $K$3)/_xll.ciqfunctions.udf.CIQ($B15,"IQ_TOTAL_REV",JX$3,$I$3, $N$3, , $J$3, $K$3)),"")</f>
        <v/>
      </c>
      <c r="JY15" s="87" t="str">
        <f>IFERROR(IF(OR($B15="",JY$3=""),"",_xll.ciqfunctions.udf.CIQ($B15,"IQ_CASH_OPER",JY$3,$I$3, $N$3, , $J$3, $K$3)/_xll.ciqfunctions.udf.CIQ($B15,"IQ_TOTAL_REV",JY$3,$I$3, $N$3, , $J$3, $K$3)),"")</f>
        <v/>
      </c>
      <c r="JZ15" s="87" t="str">
        <f>IFERROR(IF(OR($B15="",JZ$3=""),"",_xll.ciqfunctions.udf.CIQ($B15,"IQ_CASH_OPER",JZ$3,$I$3, $N$3, , $J$3, $K$3)/_xll.ciqfunctions.udf.CIQ($B15,"IQ_TOTAL_REV",JZ$3,$I$3, $N$3, , $J$3, $K$3)),"")</f>
        <v/>
      </c>
      <c r="KA15" s="87" t="str">
        <f>IFERROR(IF(OR($B15="",KA$3=""),"",_xll.ciqfunctions.udf.CIQ($B15,"IQ_CASH_OPER",KA$3,$I$3, $N$3, , $J$3, $K$3)/_xll.ciqfunctions.udf.CIQ($B15,"IQ_TOTAL_REV",KA$3,$I$3, $N$3, , $J$3, $K$3)),"")</f>
        <v/>
      </c>
      <c r="KB15" s="87" t="str">
        <f>IFERROR(IF(OR($B15="",KB$3=""),"",_xll.ciqfunctions.udf.CIQ($B15,"IQ_CASH_OPER",KB$3,$I$3, $N$3, , $J$3, $K$3)/_xll.ciqfunctions.udf.CIQ($B15,"IQ_TOTAL_REV",KB$3,$I$3, $N$3, , $J$3, $K$3)),"")</f>
        <v/>
      </c>
      <c r="KC15" s="87" t="str">
        <f>IFERROR(IF(OR($B15="",KC$3=""),"",_xll.ciqfunctions.udf.CIQ($B15,"IQ_CASH_OPER",KC$3,$I$3, $N$3, , $J$3, $K$3)/_xll.ciqfunctions.udf.CIQ($B15,"IQ_TOTAL_REV",KC$3,$I$3, $N$3, , $J$3, $K$3)),"")</f>
        <v/>
      </c>
      <c r="KD15" s="87" t="str">
        <f>IFERROR(IF(OR($B15="",KD$3=""),"",_xll.ciqfunctions.udf.CIQ($B15,"IQ_CASH_OPER",KD$3,$I$3, $N$3, , $J$3, $K$3)/_xll.ciqfunctions.udf.CIQ($B15,"IQ_TOTAL_REV",KD$3,$I$3, $N$3, , $J$3, $K$3)),"")</f>
        <v/>
      </c>
      <c r="KE15" s="87" t="str">
        <f>IFERROR(IF(OR($B15="",KE$3=""),"",_xll.ciqfunctions.udf.CIQ($B15,"IQ_CASH_OPER",KE$3,$I$3, $N$3, , $J$3, $K$3)/_xll.ciqfunctions.udf.CIQ($B15,"IQ_TOTAL_REV",KE$3,$I$3, $N$3, , $J$3, $K$3)),"")</f>
        <v/>
      </c>
      <c r="KF15" s="88" t="str">
        <f>IFERROR(IF(OR($B15="",KF$3=""),"",_xll.ciqfunctions.udf.CIQ($B15,"IQ_CASH_OPER",KF$3,$I$3, $N$3, , $J$3, $K$3)/_xll.ciqfunctions.udf.CIQ($B15,"IQ_TOTAL_REV",KF$3,$I$3, $N$3, , $J$3, $K$3)),"")</f>
        <v/>
      </c>
      <c r="KG15" s="89" t="str">
        <f>IFERROR(IF(OR($B15="",KG$3=""),"",IF(NOT(ISNUMBER(_xll.ciqfunctions.udf.CIQ($B15, "IQ_ASSET_TURNS", KG$3, $E$3, $N$3, , $J$3, $K$3))),"",_xll.ciqfunctions.udf.CIQ($B15, "IQ_ASSET_TURNS", KG$3, $E$3, $N$3, , $J$3, $K$3))),"")</f>
        <v/>
      </c>
      <c r="KH15" s="90" t="str">
        <f>IFERROR(IF(OR($B15="",KH$3=""),"",IF(NOT(ISNUMBER(_xll.ciqfunctions.udf.CIQ($B15, "IQ_ASSET_TURNS", KH$3, $E$3, $N$3, , $J$3, $K$3))),"",_xll.ciqfunctions.udf.CIQ($B15, "IQ_ASSET_TURNS", KH$3, $E$3, $N$3, , $J$3, $K$3))),"")</f>
        <v/>
      </c>
      <c r="KI15" s="90" t="str">
        <f>IFERROR(IF(OR($B15="",KI$3=""),"",IF(NOT(ISNUMBER(_xll.ciqfunctions.udf.CIQ($B15, "IQ_ASSET_TURNS", KI$3, $E$3, $N$3, , $J$3, $K$3))),"",_xll.ciqfunctions.udf.CIQ($B15, "IQ_ASSET_TURNS", KI$3, $E$3, $N$3, , $J$3, $K$3))),"")</f>
        <v/>
      </c>
      <c r="KJ15" s="90" t="str">
        <f>IFERROR(IF(OR($B15="",KJ$3=""),"",IF(NOT(ISNUMBER(_xll.ciqfunctions.udf.CIQ($B15, "IQ_ASSET_TURNS", KJ$3, $E$3, $N$3, , $J$3, $K$3))),"",_xll.ciqfunctions.udf.CIQ($B15, "IQ_ASSET_TURNS", KJ$3, $E$3, $N$3, , $J$3, $K$3))),"")</f>
        <v/>
      </c>
      <c r="KK15" s="90" t="str">
        <f>IFERROR(IF(OR($B15="",KK$3=""),"",IF(NOT(ISNUMBER(_xll.ciqfunctions.udf.CIQ($B15, "IQ_ASSET_TURNS", KK$3, $E$3, $N$3, , $J$3, $K$3))),"",_xll.ciqfunctions.udf.CIQ($B15, "IQ_ASSET_TURNS", KK$3, $E$3, $N$3, , $J$3, $K$3))),"")</f>
        <v/>
      </c>
      <c r="KL15" s="90" t="str">
        <f>IFERROR(IF(OR($B15="",KL$3=""),"",IF(NOT(ISNUMBER(_xll.ciqfunctions.udf.CIQ($B15, "IQ_ASSET_TURNS", KL$3, $E$3, $N$3, , $J$3, $K$3))),"",_xll.ciqfunctions.udf.CIQ($B15, "IQ_ASSET_TURNS", KL$3, $E$3, $N$3, , $J$3, $K$3))),"")</f>
        <v/>
      </c>
      <c r="KM15" s="90" t="str">
        <f>IFERROR(IF(OR($B15="",KM$3=""),"",IF(NOT(ISNUMBER(_xll.ciqfunctions.udf.CIQ($B15, "IQ_ASSET_TURNS", KM$3, $E$3, $N$3, , $J$3, $K$3))),"",_xll.ciqfunctions.udf.CIQ($B15, "IQ_ASSET_TURNS", KM$3, $E$3, $N$3, , $J$3, $K$3))),"")</f>
        <v/>
      </c>
      <c r="KN15" s="90" t="str">
        <f>IFERROR(IF(OR($B15="",KN$3=""),"",IF(NOT(ISNUMBER(_xll.ciqfunctions.udf.CIQ($B15, "IQ_ASSET_TURNS", KN$3, $E$3, $N$3, , $J$3, $K$3))),"",_xll.ciqfunctions.udf.CIQ($B15, "IQ_ASSET_TURNS", KN$3, $E$3, $N$3, , $J$3, $K$3))),"")</f>
        <v/>
      </c>
      <c r="KO15" s="90" t="str">
        <f>IFERROR(IF(OR($B15="",KO$3=""),"",IF(NOT(ISNUMBER(_xll.ciqfunctions.udf.CIQ($B15, "IQ_ASSET_TURNS", KO$3, $E$3, $N$3, , $J$3, $K$3))),"",_xll.ciqfunctions.udf.CIQ($B15, "IQ_ASSET_TURNS", KO$3, $E$3, $N$3, , $J$3, $K$3))),"")</f>
        <v/>
      </c>
      <c r="KP15" s="90" t="str">
        <f>IFERROR(IF(OR($B15="",KP$3=""),"",IF(NOT(ISNUMBER(_xll.ciqfunctions.udf.CIQ($B15, "IQ_ASSET_TURNS", KP$3, $E$3, $N$3, , $J$3, $K$3))),"",_xll.ciqfunctions.udf.CIQ($B15, "IQ_ASSET_TURNS", KP$3, $E$3, $N$3, , $J$3, $K$3))),"")</f>
        <v/>
      </c>
      <c r="KQ15" s="90" t="str">
        <f>IFERROR(IF(OR($B15="",KQ$3=""),"",IF(NOT(ISNUMBER(_xll.ciqfunctions.udf.CIQ($B15, "IQ_ASSET_TURNS", KQ$3, $E$3, $N$3, , $J$3, $K$3))),"",_xll.ciqfunctions.udf.CIQ($B15, "IQ_ASSET_TURNS", KQ$3, $E$3, $N$3, , $J$3, $K$3))),"")</f>
        <v/>
      </c>
      <c r="KR15" s="90" t="str">
        <f>IFERROR(IF(OR($B15="",KR$3=""),"",IF(NOT(ISNUMBER(_xll.ciqfunctions.udf.CIQ($B15, "IQ_ASSET_TURNS", KR$3, $E$3, $N$3, , $J$3, $K$3))),"",_xll.ciqfunctions.udf.CIQ($B15, "IQ_ASSET_TURNS", KR$3, $E$3, $N$3, , $J$3, $K$3))),"")</f>
        <v/>
      </c>
      <c r="KS15" s="90" t="str">
        <f>IFERROR(IF(OR($B15="",KS$3=""),"",IF(NOT(ISNUMBER(_xll.ciqfunctions.udf.CIQ($B15, "IQ_ASSET_TURNS", KS$3, $E$3, $N$3, , $J$3, $K$3))),"",_xll.ciqfunctions.udf.CIQ($B15, "IQ_ASSET_TURNS", KS$3, $E$3, $N$3, , $J$3, $K$3))),"")</f>
        <v/>
      </c>
      <c r="KT15" s="90" t="str">
        <f>IFERROR(IF(OR($B15="",KT$3=""),"",IF(NOT(ISNUMBER(_xll.ciqfunctions.udf.CIQ($B15, "IQ_ASSET_TURNS", KT$3, $E$3, $N$3, , $J$3, $K$3))),"",_xll.ciqfunctions.udf.CIQ($B15, "IQ_ASSET_TURNS", KT$3, $E$3, $N$3, , $J$3, $K$3))),"")</f>
        <v/>
      </c>
      <c r="KU15" s="90" t="str">
        <f>IFERROR(IF(OR($B15="",KU$3=""),"",IF(NOT(ISNUMBER(_xll.ciqfunctions.udf.CIQ($B15, "IQ_ASSET_TURNS", KU$3, $E$3, $N$3, , $J$3, $K$3))),"",_xll.ciqfunctions.udf.CIQ($B15, "IQ_ASSET_TURNS", KU$3, $E$3, $N$3, , $J$3, $K$3))),"")</f>
        <v/>
      </c>
      <c r="KV15" s="90" t="str">
        <f>IFERROR(IF(OR($B15="",KV$3=""),"",IF(NOT(ISNUMBER(_xll.ciqfunctions.udf.CIQ($B15, "IQ_ASSET_TURNS", KV$3, $E$3, $N$3, , $J$3, $K$3))),"",_xll.ciqfunctions.udf.CIQ($B15, "IQ_ASSET_TURNS", KV$3, $E$3, $N$3, , $J$3, $K$3))),"")</f>
        <v/>
      </c>
      <c r="KW15" s="90" t="str">
        <f>IFERROR(IF(OR($B15="",KW$3=""),"",IF(NOT(ISNUMBER(_xll.ciqfunctions.udf.CIQ($B15, "IQ_ASSET_TURNS", KW$3, $E$3, $N$3, , $J$3, $K$3))),"",_xll.ciqfunctions.udf.CIQ($B15, "IQ_ASSET_TURNS", KW$3, $E$3, $N$3, , $J$3, $K$3))),"")</f>
        <v/>
      </c>
      <c r="KX15" s="90" t="str">
        <f>IFERROR(IF(OR($B15="",KX$3=""),"",IF(NOT(ISNUMBER(_xll.ciqfunctions.udf.CIQ($B15, "IQ_ASSET_TURNS", KX$3, $E$3, $N$3, , $J$3, $K$3))),"",_xll.ciqfunctions.udf.CIQ($B15, "IQ_ASSET_TURNS", KX$3, $E$3, $N$3, , $J$3, $K$3))),"")</f>
        <v/>
      </c>
      <c r="KY15" s="90" t="str">
        <f>IFERROR(IF(OR($B15="",KY$3=""),"",IF(NOT(ISNUMBER(_xll.ciqfunctions.udf.CIQ($B15, "IQ_ASSET_TURNS", KY$3, $E$3, $N$3, , $J$3, $K$3))),"",_xll.ciqfunctions.udf.CIQ($B15, "IQ_ASSET_TURNS", KY$3, $E$3, $N$3, , $J$3, $K$3))),"")</f>
        <v/>
      </c>
      <c r="KZ15" s="91" t="str">
        <f>IFERROR(IF(OR($B15="",KZ$3=""),"",IF(NOT(ISNUMBER(_xll.ciqfunctions.udf.CIQ($B15, "IQ_ASSET_TURNS", KZ$3, $E$3, $N$3, , $J$3, $K$3))),"",_xll.ciqfunctions.udf.CIQ($B15, "IQ_ASSET_TURNS", KZ$3, $E$3, $N$3, , $J$3, $K$3))),"")</f>
        <v/>
      </c>
      <c r="LA15" s="75" t="str">
        <f>IFERROR(IF(OR($B15="",LA$3=""),"",IF(NOT(ISNUMBER(_xll.ciqfunctions.udf.CIQ($B15, "IQ_INVENTORY_TURNS", LA$3, $E$3, $N$3, , $J$3, $K$3))),"",_xll.ciqfunctions.udf.CIQ($B15, "IQ_INVENTORY_TURNS", LA$3, $E$3, $N$3, , $J$3, $K$3))),"")</f>
        <v/>
      </c>
      <c r="LB15" s="75" t="str">
        <f>IFERROR(IF(OR($B15="",LB$3=""),"",IF(NOT(ISNUMBER(_xll.ciqfunctions.udf.CIQ($B15, "IQ_INVENTORY_TURNS", LB$3, $E$3, $N$3, , $J$3, $K$3))),"",_xll.ciqfunctions.udf.CIQ($B15, "IQ_INVENTORY_TURNS", LB$3, $E$3, $N$3, , $J$3, $K$3))),"")</f>
        <v/>
      </c>
      <c r="LC15" s="75" t="str">
        <f>IFERROR(IF(OR($B15="",LC$3=""),"",IF(NOT(ISNUMBER(_xll.ciqfunctions.udf.CIQ($B15, "IQ_INVENTORY_TURNS", LC$3, $E$3, $N$3, , $J$3, $K$3))),"",_xll.ciqfunctions.udf.CIQ($B15, "IQ_INVENTORY_TURNS", LC$3, $E$3, $N$3, , $J$3, $K$3))),"")</f>
        <v/>
      </c>
      <c r="LD15" s="75" t="str">
        <f>IFERROR(IF(OR($B15="",LD$3=""),"",IF(NOT(ISNUMBER(_xll.ciqfunctions.udf.CIQ($B15, "IQ_INVENTORY_TURNS", LD$3, $E$3, $N$3, , $J$3, $K$3))),"",_xll.ciqfunctions.udf.CIQ($B15, "IQ_INVENTORY_TURNS", LD$3, $E$3, $N$3, , $J$3, $K$3))),"")</f>
        <v/>
      </c>
      <c r="LE15" s="75" t="str">
        <f>IFERROR(IF(OR($B15="",LE$3=""),"",IF(NOT(ISNUMBER(_xll.ciqfunctions.udf.CIQ($B15, "IQ_INVENTORY_TURNS", LE$3, $E$3, $N$3, , $J$3, $K$3))),"",_xll.ciqfunctions.udf.CIQ($B15, "IQ_INVENTORY_TURNS", LE$3, $E$3, $N$3, , $J$3, $K$3))),"")</f>
        <v/>
      </c>
      <c r="LF15" s="75" t="str">
        <f>IFERROR(IF(OR($B15="",LF$3=""),"",IF(NOT(ISNUMBER(_xll.ciqfunctions.udf.CIQ($B15, "IQ_INVENTORY_TURNS", LF$3, $E$3, $N$3, , $J$3, $K$3))),"",_xll.ciqfunctions.udf.CIQ($B15, "IQ_INVENTORY_TURNS", LF$3, $E$3, $N$3, , $J$3, $K$3))),"")</f>
        <v/>
      </c>
      <c r="LG15" s="75" t="str">
        <f>IFERROR(IF(OR($B15="",LG$3=""),"",IF(NOT(ISNUMBER(_xll.ciqfunctions.udf.CIQ($B15, "IQ_INVENTORY_TURNS", LG$3, $E$3, $N$3, , $J$3, $K$3))),"",_xll.ciqfunctions.udf.CIQ($B15, "IQ_INVENTORY_TURNS", LG$3, $E$3, $N$3, , $J$3, $K$3))),"")</f>
        <v/>
      </c>
      <c r="LH15" s="75" t="str">
        <f>IFERROR(IF(OR($B15="",LH$3=""),"",IF(NOT(ISNUMBER(_xll.ciqfunctions.udf.CIQ($B15, "IQ_INVENTORY_TURNS", LH$3, $E$3, $N$3, , $J$3, $K$3))),"",_xll.ciqfunctions.udf.CIQ($B15, "IQ_INVENTORY_TURNS", LH$3, $E$3, $N$3, , $J$3, $K$3))),"")</f>
        <v/>
      </c>
      <c r="LI15" s="75" t="str">
        <f>IFERROR(IF(OR($B15="",LI$3=""),"",IF(NOT(ISNUMBER(_xll.ciqfunctions.udf.CIQ($B15, "IQ_INVENTORY_TURNS", LI$3, $E$3, $N$3, , $J$3, $K$3))),"",_xll.ciqfunctions.udf.CIQ($B15, "IQ_INVENTORY_TURNS", LI$3, $E$3, $N$3, , $J$3, $K$3))),"")</f>
        <v/>
      </c>
      <c r="LJ15" s="75" t="str">
        <f>IFERROR(IF(OR($B15="",LJ$3=""),"",IF(NOT(ISNUMBER(_xll.ciqfunctions.udf.CIQ($B15, "IQ_INVENTORY_TURNS", LJ$3, $E$3, $N$3, , $J$3, $K$3))),"",_xll.ciqfunctions.udf.CIQ($B15, "IQ_INVENTORY_TURNS", LJ$3, $E$3, $N$3, , $J$3, $K$3))),"")</f>
        <v/>
      </c>
      <c r="LK15" s="75" t="str">
        <f>IFERROR(IF(OR($B15="",LK$3=""),"",IF(NOT(ISNUMBER(_xll.ciqfunctions.udf.CIQ($B15, "IQ_INVENTORY_TURNS", LK$3, $E$3, $N$3, , $J$3, $K$3))),"",_xll.ciqfunctions.udf.CIQ($B15, "IQ_INVENTORY_TURNS", LK$3, $E$3, $N$3, , $J$3, $K$3))),"")</f>
        <v/>
      </c>
      <c r="LL15" s="75" t="str">
        <f>IFERROR(IF(OR($B15="",LL$3=""),"",IF(NOT(ISNUMBER(_xll.ciqfunctions.udf.CIQ($B15, "IQ_INVENTORY_TURNS", LL$3, $E$3, $N$3, , $J$3, $K$3))),"",_xll.ciqfunctions.udf.CIQ($B15, "IQ_INVENTORY_TURNS", LL$3, $E$3, $N$3, , $J$3, $K$3))),"")</f>
        <v/>
      </c>
      <c r="LM15" s="75" t="str">
        <f>IFERROR(IF(OR($B15="",LM$3=""),"",IF(NOT(ISNUMBER(_xll.ciqfunctions.udf.CIQ($B15, "IQ_INVENTORY_TURNS", LM$3, $E$3, $N$3, , $J$3, $K$3))),"",_xll.ciqfunctions.udf.CIQ($B15, "IQ_INVENTORY_TURNS", LM$3, $E$3, $N$3, , $J$3, $K$3))),"")</f>
        <v/>
      </c>
      <c r="LN15" s="75" t="str">
        <f>IFERROR(IF(OR($B15="",LN$3=""),"",IF(NOT(ISNUMBER(_xll.ciqfunctions.udf.CIQ($B15, "IQ_INVENTORY_TURNS", LN$3, $E$3, $N$3, , $J$3, $K$3))),"",_xll.ciqfunctions.udf.CIQ($B15, "IQ_INVENTORY_TURNS", LN$3, $E$3, $N$3, , $J$3, $K$3))),"")</f>
        <v/>
      </c>
      <c r="LO15" s="75" t="str">
        <f>IFERROR(IF(OR($B15="",LO$3=""),"",IF(NOT(ISNUMBER(_xll.ciqfunctions.udf.CIQ($B15, "IQ_INVENTORY_TURNS", LO$3, $E$3, $N$3, , $J$3, $K$3))),"",_xll.ciqfunctions.udf.CIQ($B15, "IQ_INVENTORY_TURNS", LO$3, $E$3, $N$3, , $J$3, $K$3))),"")</f>
        <v/>
      </c>
      <c r="LP15" s="75" t="str">
        <f>IFERROR(IF(OR($B15="",LP$3=""),"",IF(NOT(ISNUMBER(_xll.ciqfunctions.udf.CIQ($B15, "IQ_INVENTORY_TURNS", LP$3, $E$3, $N$3, , $J$3, $K$3))),"",_xll.ciqfunctions.udf.CIQ($B15, "IQ_INVENTORY_TURNS", LP$3, $E$3, $N$3, , $J$3, $K$3))),"")</f>
        <v/>
      </c>
      <c r="LQ15" s="75" t="str">
        <f>IFERROR(IF(OR($B15="",LQ$3=""),"",IF(NOT(ISNUMBER(_xll.ciqfunctions.udf.CIQ($B15, "IQ_INVENTORY_TURNS", LQ$3, $E$3, $N$3, , $J$3, $K$3))),"",_xll.ciqfunctions.udf.CIQ($B15, "IQ_INVENTORY_TURNS", LQ$3, $E$3, $N$3, , $J$3, $K$3))),"")</f>
        <v/>
      </c>
      <c r="LR15" s="75" t="str">
        <f>IFERROR(IF(OR($B15="",LR$3=""),"",IF(NOT(ISNUMBER(_xll.ciqfunctions.udf.CIQ($B15, "IQ_INVENTORY_TURNS", LR$3, $E$3, $N$3, , $J$3, $K$3))),"",_xll.ciqfunctions.udf.CIQ($B15, "IQ_INVENTORY_TURNS", LR$3, $E$3, $N$3, , $J$3, $K$3))),"")</f>
        <v/>
      </c>
      <c r="LS15" s="75" t="str">
        <f>IFERROR(IF(OR($B15="",LS$3=""),"",IF(NOT(ISNUMBER(_xll.ciqfunctions.udf.CIQ($B15, "IQ_INVENTORY_TURNS", LS$3, $E$3, $N$3, , $J$3, $K$3))),"",_xll.ciqfunctions.udf.CIQ($B15, "IQ_INVENTORY_TURNS", LS$3, $E$3, $N$3, , $J$3, $K$3))),"")</f>
        <v/>
      </c>
      <c r="LT15" s="75" t="str">
        <f>IFERROR(IF(OR($B15="",LT$3=""),"",IF(NOT(ISNUMBER(_xll.ciqfunctions.udf.CIQ($B15, "IQ_INVENTORY_TURNS", LT$3, $E$3, $N$3, , $J$3, $K$3))),"",_xll.ciqfunctions.udf.CIQ($B15, "IQ_INVENTORY_TURNS", LT$3, $E$3, $N$3, , $J$3, $K$3))),"")</f>
        <v/>
      </c>
      <c r="LU15" s="75" t="str">
        <f>IFERROR(IF(OR($B15="",LU$3=""),"",IF(NOT(ISNUMBER(_xll.ciqfunctions.udf.CIQ($B15, "IQ_AR_TURNS", LU$3, $E$3, $N$3, , $J$3, $K$3))),"",_xll.ciqfunctions.udf.CIQ($B15, "IQ_AR_TURNS", LU$3, $E$3, $N$3, , $J$3, $K$3))),"")</f>
        <v/>
      </c>
      <c r="LV15" s="75" t="str">
        <f>IFERROR(IF(OR($B15="",LV$3=""),"",IF(NOT(ISNUMBER(_xll.ciqfunctions.udf.CIQ($B15, "IQ_AR_TURNS", LV$3, $E$3, $N$3, , $J$3, $K$3))),"",_xll.ciqfunctions.udf.CIQ($B15, "IQ_AR_TURNS", LV$3, $E$3, $N$3, , $J$3, $K$3))),"")</f>
        <v/>
      </c>
      <c r="LW15" s="75" t="str">
        <f>IFERROR(IF(OR($B15="",LW$3=""),"",IF(NOT(ISNUMBER(_xll.ciqfunctions.udf.CIQ($B15, "IQ_AR_TURNS", LW$3, $E$3, $N$3, , $J$3, $K$3))),"",_xll.ciqfunctions.udf.CIQ($B15, "IQ_AR_TURNS", LW$3, $E$3, $N$3, , $J$3, $K$3))),"")</f>
        <v/>
      </c>
      <c r="LX15" s="75" t="str">
        <f>IFERROR(IF(OR($B15="",LX$3=""),"",IF(NOT(ISNUMBER(_xll.ciqfunctions.udf.CIQ($B15, "IQ_AR_TURNS", LX$3, $E$3, $N$3, , $J$3, $K$3))),"",_xll.ciqfunctions.udf.CIQ($B15, "IQ_AR_TURNS", LX$3, $E$3, $N$3, , $J$3, $K$3))),"")</f>
        <v/>
      </c>
      <c r="LY15" s="75" t="str">
        <f>IFERROR(IF(OR($B15="",LY$3=""),"",IF(NOT(ISNUMBER(_xll.ciqfunctions.udf.CIQ($B15, "IQ_AR_TURNS", LY$3, $E$3, $N$3, , $J$3, $K$3))),"",_xll.ciqfunctions.udf.CIQ($B15, "IQ_AR_TURNS", LY$3, $E$3, $N$3, , $J$3, $K$3))),"")</f>
        <v/>
      </c>
      <c r="LZ15" s="75" t="str">
        <f>IFERROR(IF(OR($B15="",LZ$3=""),"",IF(NOT(ISNUMBER(_xll.ciqfunctions.udf.CIQ($B15, "IQ_AR_TURNS", LZ$3, $E$3, $N$3, , $J$3, $K$3))),"",_xll.ciqfunctions.udf.CIQ($B15, "IQ_AR_TURNS", LZ$3, $E$3, $N$3, , $J$3, $K$3))),"")</f>
        <v/>
      </c>
      <c r="MA15" s="75" t="str">
        <f>IFERROR(IF(OR($B15="",MA$3=""),"",IF(NOT(ISNUMBER(_xll.ciqfunctions.udf.CIQ($B15, "IQ_AR_TURNS", MA$3, $E$3, $N$3, , $J$3, $K$3))),"",_xll.ciqfunctions.udf.CIQ($B15, "IQ_AR_TURNS", MA$3, $E$3, $N$3, , $J$3, $K$3))),"")</f>
        <v/>
      </c>
      <c r="MB15" s="75" t="str">
        <f>IFERROR(IF(OR($B15="",MB$3=""),"",IF(NOT(ISNUMBER(_xll.ciqfunctions.udf.CIQ($B15, "IQ_AR_TURNS", MB$3, $E$3, $N$3, , $J$3, $K$3))),"",_xll.ciqfunctions.udf.CIQ($B15, "IQ_AR_TURNS", MB$3, $E$3, $N$3, , $J$3, $K$3))),"")</f>
        <v/>
      </c>
      <c r="MC15" s="75" t="str">
        <f>IFERROR(IF(OR($B15="",MC$3=""),"",IF(NOT(ISNUMBER(_xll.ciqfunctions.udf.CIQ($B15, "IQ_AR_TURNS", MC$3, $E$3, $N$3, , $J$3, $K$3))),"",_xll.ciqfunctions.udf.CIQ($B15, "IQ_AR_TURNS", MC$3, $E$3, $N$3, , $J$3, $K$3))),"")</f>
        <v/>
      </c>
      <c r="MD15" s="75" t="str">
        <f>IFERROR(IF(OR($B15="",MD$3=""),"",IF(NOT(ISNUMBER(_xll.ciqfunctions.udf.CIQ($B15, "IQ_AR_TURNS", MD$3, $E$3, $N$3, , $J$3, $K$3))),"",_xll.ciqfunctions.udf.CIQ($B15, "IQ_AR_TURNS", MD$3, $E$3, $N$3, , $J$3, $K$3))),"")</f>
        <v/>
      </c>
      <c r="ME15" s="75" t="str">
        <f>IFERROR(IF(OR($B15="",ME$3=""),"",IF(NOT(ISNUMBER(_xll.ciqfunctions.udf.CIQ($B15, "IQ_AR_TURNS", ME$3, $E$3, $N$3, , $J$3, $K$3))),"",_xll.ciqfunctions.udf.CIQ($B15, "IQ_AR_TURNS", ME$3, $E$3, $N$3, , $J$3, $K$3))),"")</f>
        <v/>
      </c>
      <c r="MF15" s="75" t="str">
        <f>IFERROR(IF(OR($B15="",MF$3=""),"",IF(NOT(ISNUMBER(_xll.ciqfunctions.udf.CIQ($B15, "IQ_AR_TURNS", MF$3, $E$3, $N$3, , $J$3, $K$3))),"",_xll.ciqfunctions.udf.CIQ($B15, "IQ_AR_TURNS", MF$3, $E$3, $N$3, , $J$3, $K$3))),"")</f>
        <v/>
      </c>
      <c r="MG15" s="75" t="str">
        <f>IFERROR(IF(OR($B15="",MG$3=""),"",IF(NOT(ISNUMBER(_xll.ciqfunctions.udf.CIQ($B15, "IQ_AR_TURNS", MG$3, $E$3, $N$3, , $J$3, $K$3))),"",_xll.ciqfunctions.udf.CIQ($B15, "IQ_AR_TURNS", MG$3, $E$3, $N$3, , $J$3, $K$3))),"")</f>
        <v/>
      </c>
      <c r="MH15" s="75" t="str">
        <f>IFERROR(IF(OR($B15="",MH$3=""),"",IF(NOT(ISNUMBER(_xll.ciqfunctions.udf.CIQ($B15, "IQ_AR_TURNS", MH$3, $E$3, $N$3, , $J$3, $K$3))),"",_xll.ciqfunctions.udf.CIQ($B15, "IQ_AR_TURNS", MH$3, $E$3, $N$3, , $J$3, $K$3))),"")</f>
        <v/>
      </c>
      <c r="MI15" s="75" t="str">
        <f>IFERROR(IF(OR($B15="",MI$3=""),"",IF(NOT(ISNUMBER(_xll.ciqfunctions.udf.CIQ($B15, "IQ_AR_TURNS", MI$3, $E$3, $N$3, , $J$3, $K$3))),"",_xll.ciqfunctions.udf.CIQ($B15, "IQ_AR_TURNS", MI$3, $E$3, $N$3, , $J$3, $K$3))),"")</f>
        <v/>
      </c>
      <c r="MJ15" s="75" t="str">
        <f>IFERROR(IF(OR($B15="",MJ$3=""),"",IF(NOT(ISNUMBER(_xll.ciqfunctions.udf.CIQ($B15, "IQ_AR_TURNS", MJ$3, $E$3, $N$3, , $J$3, $K$3))),"",_xll.ciqfunctions.udf.CIQ($B15, "IQ_AR_TURNS", MJ$3, $E$3, $N$3, , $J$3, $K$3))),"")</f>
        <v/>
      </c>
      <c r="MK15" s="75" t="str">
        <f>IFERROR(IF(OR($B15="",MK$3=""),"",IF(NOT(ISNUMBER(_xll.ciqfunctions.udf.CIQ($B15, "IQ_AR_TURNS", MK$3, $E$3, $N$3, , $J$3, $K$3))),"",_xll.ciqfunctions.udf.CIQ($B15, "IQ_AR_TURNS", MK$3, $E$3, $N$3, , $J$3, $K$3))),"")</f>
        <v/>
      </c>
      <c r="ML15" s="75" t="str">
        <f>IFERROR(IF(OR($B15="",ML$3=""),"",IF(NOT(ISNUMBER(_xll.ciqfunctions.udf.CIQ($B15, "IQ_AR_TURNS", ML$3, $E$3, $N$3, , $J$3, $K$3))),"",_xll.ciqfunctions.udf.CIQ($B15, "IQ_AR_TURNS", ML$3, $E$3, $N$3, , $J$3, $K$3))),"")</f>
        <v/>
      </c>
      <c r="MM15" s="75" t="str">
        <f>IFERROR(IF(OR($B15="",MM$3=""),"",IF(NOT(ISNUMBER(_xll.ciqfunctions.udf.CIQ($B15, "IQ_AR_TURNS", MM$3, $E$3, $N$3, , $J$3, $K$3))),"",_xll.ciqfunctions.udf.CIQ($B15, "IQ_AR_TURNS", MM$3, $E$3, $N$3, , $J$3, $K$3))),"")</f>
        <v/>
      </c>
      <c r="MN15" s="75" t="str">
        <f>IFERROR(IF(OR($B15="",MN$3=""),"",IF(NOT(ISNUMBER(_xll.ciqfunctions.udf.CIQ($B15, "IQ_AR_TURNS", MN$3, $E$3, $N$3, , $J$3, $K$3))),"",_xll.ciqfunctions.udf.CIQ($B15, "IQ_AR_TURNS", MN$3, $E$3, $N$3, , $J$3, $K$3))),"")</f>
        <v/>
      </c>
      <c r="MO15" s="588" t="str">
        <f>IFERROR(IF(OR($B15="",MO$3=""),"",_xll.ciqfunctions.udf.CIQ($B15, "IQ_LEVERED_FCF", $O$3, MO$3, $N$3, , $J$3, $K$3)*2/(_xll.ciqfunctions.udf.CIQ($B15, "IQ_TOTAL_DEBT", MO$3, $E$3, $N$3, , $J$3, $K$3)+_xll.ciqfunctions.udf.CIQ($B15, "IQ_TOTAL_DEBT", "IQ_" &amp; LEFT(MO$3,2) &amp; "-1", MO$3, $N$3, , $J$3, $K$3)) ),"")</f>
        <v/>
      </c>
      <c r="MP15" s="588" t="str">
        <f>IFERROR(IF(OR($B15="",MP$3=""),"",_xll.ciqfunctions.udf.CIQ($B15, "IQ_LEVERED_FCF", $O$3, MP$3, $N$3, , $J$3, $K$3)*2/(_xll.ciqfunctions.udf.CIQ($B15, "IQ_TOTAL_DEBT", MP$3, $E$3, $N$3, , $J$3, $K$3)+_xll.ciqfunctions.udf.CIQ($B15, "IQ_TOTAL_DEBT", "IQ_" &amp; LEFT(MP$3,2) &amp; "-1", MP$3, $N$3, , $J$3, $K$3)) ),"")</f>
        <v/>
      </c>
      <c r="MQ15" s="588" t="str">
        <f>IFERROR(IF(OR($B15="",MQ$3=""),"",_xll.ciqfunctions.udf.CIQ($B15, "IQ_LEVERED_FCF", $O$3, MQ$3, $N$3, , $J$3, $K$3)*2/(_xll.ciqfunctions.udf.CIQ($B15, "IQ_TOTAL_DEBT", MQ$3, $E$3, $N$3, , $J$3, $K$3)+_xll.ciqfunctions.udf.CIQ($B15, "IQ_TOTAL_DEBT", "IQ_" &amp; LEFT(MQ$3,2) &amp; "-1", MQ$3, $N$3, , $J$3, $K$3)) ),"")</f>
        <v/>
      </c>
      <c r="MR15" s="588" t="str">
        <f>IFERROR(IF(OR($B15="",MR$3=""),"",_xll.ciqfunctions.udf.CIQ($B15, "IQ_LEVERED_FCF", $O$3, MR$3, $N$3, , $J$3, $K$3)*2/(_xll.ciqfunctions.udf.CIQ($B15, "IQ_TOTAL_DEBT", MR$3, $E$3, $N$3, , $J$3, $K$3)+_xll.ciqfunctions.udf.CIQ($B15, "IQ_TOTAL_DEBT", "IQ_" &amp; LEFT(MR$3,2) &amp; "-1", MR$3, $N$3, , $J$3, $K$3)) ),"")</f>
        <v/>
      </c>
      <c r="MS15" s="588" t="str">
        <f>IFERROR(IF(OR($B15="",MS$3=""),"",_xll.ciqfunctions.udf.CIQ($B15, "IQ_LEVERED_FCF", $O$3, MS$3, $N$3, , $J$3, $K$3)*2/(_xll.ciqfunctions.udf.CIQ($B15, "IQ_TOTAL_DEBT", MS$3, $E$3, $N$3, , $J$3, $K$3)+_xll.ciqfunctions.udf.CIQ($B15, "IQ_TOTAL_DEBT", "IQ_" &amp; LEFT(MS$3,2) &amp; "-1", MS$3, $N$3, , $J$3, $K$3)) ),"")</f>
        <v/>
      </c>
      <c r="MT15" s="588" t="str">
        <f>IFERROR(IF(OR($B15="",MT$3=""),"",_xll.ciqfunctions.udf.CIQ($B15, "IQ_LEVERED_FCF", $O$3, MT$3, $N$3, , $J$3, $K$3)*2/(_xll.ciqfunctions.udf.CIQ($B15, "IQ_TOTAL_DEBT", MT$3, $E$3, $N$3, , $J$3, $K$3)+_xll.ciqfunctions.udf.CIQ($B15, "IQ_TOTAL_DEBT", "IQ_" &amp; LEFT(MT$3,2) &amp; "-1", MT$3, $N$3, , $J$3, $K$3)) ),"")</f>
        <v/>
      </c>
      <c r="MU15" s="588" t="str">
        <f>IFERROR(IF(OR($B15="",MU$3=""),"",_xll.ciqfunctions.udf.CIQ($B15, "IQ_LEVERED_FCF", $O$3, MU$3, $N$3, , $J$3, $K$3)*2/(_xll.ciqfunctions.udf.CIQ($B15, "IQ_TOTAL_DEBT", MU$3, $E$3, $N$3, , $J$3, $K$3)+_xll.ciqfunctions.udf.CIQ($B15, "IQ_TOTAL_DEBT", "IQ_" &amp; LEFT(MU$3,2) &amp; "-1", MU$3, $N$3, , $J$3, $K$3)) ),"")</f>
        <v/>
      </c>
      <c r="MV15" s="588" t="str">
        <f>IFERROR(IF(OR($B15="",MV$3=""),"",_xll.ciqfunctions.udf.CIQ($B15, "IQ_LEVERED_FCF", $O$3, MV$3, $N$3, , $J$3, $K$3)*2/(_xll.ciqfunctions.udf.CIQ($B15, "IQ_TOTAL_DEBT", MV$3, $E$3, $N$3, , $J$3, $K$3)+_xll.ciqfunctions.udf.CIQ($B15, "IQ_TOTAL_DEBT", "IQ_" &amp; LEFT(MV$3,2) &amp; "-1", MV$3, $N$3, , $J$3, $K$3)) ),"")</f>
        <v/>
      </c>
      <c r="MW15" s="588" t="str">
        <f>IFERROR(IF(OR($B15="",MW$3=""),"",_xll.ciqfunctions.udf.CIQ($B15, "IQ_LEVERED_FCF", $O$3, MW$3, $N$3, , $J$3, $K$3)*2/(_xll.ciqfunctions.udf.CIQ($B15, "IQ_TOTAL_DEBT", MW$3, $E$3, $N$3, , $J$3, $K$3)+_xll.ciqfunctions.udf.CIQ($B15, "IQ_TOTAL_DEBT", "IQ_" &amp; LEFT(MW$3,2) &amp; "-1", MW$3, $N$3, , $J$3, $K$3)) ),"")</f>
        <v/>
      </c>
      <c r="MX15" s="588" t="str">
        <f>IFERROR(IF(OR($B15="",MX$3=""),"",_xll.ciqfunctions.udf.CIQ($B15, "IQ_LEVERED_FCF", $O$3, MX$3, $N$3, , $J$3, $K$3)*2/(_xll.ciqfunctions.udf.CIQ($B15, "IQ_TOTAL_DEBT", MX$3, $E$3, $N$3, , $J$3, $K$3)+_xll.ciqfunctions.udf.CIQ($B15, "IQ_TOTAL_DEBT", "IQ_" &amp; LEFT(MX$3,2) &amp; "-1", MX$3, $N$3, , $J$3, $K$3)) ),"")</f>
        <v/>
      </c>
      <c r="MY15" s="588" t="str">
        <f>IFERROR(IF(OR($B15="",MY$3=""),"",_xll.ciqfunctions.udf.CIQ($B15, "IQ_LEVERED_FCF", $O$3, MY$3, $N$3, , $J$3, $K$3)*2/(_xll.ciqfunctions.udf.CIQ($B15, "IQ_TOTAL_DEBT", MY$3, $E$3, $N$3, , $J$3, $K$3)+_xll.ciqfunctions.udf.CIQ($B15, "IQ_TOTAL_DEBT", "IQ_" &amp; LEFT(MY$3,2) &amp; "-1", MY$3, $N$3, , $J$3, $K$3)) ),"")</f>
        <v/>
      </c>
      <c r="MZ15" s="588" t="str">
        <f>IFERROR(IF(OR($B15="",MZ$3=""),"",_xll.ciqfunctions.udf.CIQ($B15, "IQ_LEVERED_FCF", $O$3, MZ$3, $N$3, , $J$3, $K$3)*2/(_xll.ciqfunctions.udf.CIQ($B15, "IQ_TOTAL_DEBT", MZ$3, $E$3, $N$3, , $J$3, $K$3)+_xll.ciqfunctions.udf.CIQ($B15, "IQ_TOTAL_DEBT", "IQ_" &amp; LEFT(MZ$3,2) &amp; "-1", MZ$3, $N$3, , $J$3, $K$3)) ),"")</f>
        <v/>
      </c>
      <c r="NA15" s="588" t="str">
        <f>IFERROR(IF(OR($B15="",NA$3=""),"",_xll.ciqfunctions.udf.CIQ($B15, "IQ_LEVERED_FCF", $O$3, NA$3, $N$3, , $J$3, $K$3)*2/(_xll.ciqfunctions.udf.CIQ($B15, "IQ_TOTAL_DEBT", NA$3, $E$3, $N$3, , $J$3, $K$3)+_xll.ciqfunctions.udf.CIQ($B15, "IQ_TOTAL_DEBT", "IQ_" &amp; LEFT(NA$3,2) &amp; "-1", NA$3, $N$3, , $J$3, $K$3)) ),"")</f>
        <v/>
      </c>
      <c r="NB15" s="588" t="str">
        <f>IFERROR(IF(OR($B15="",NB$3=""),"",_xll.ciqfunctions.udf.CIQ($B15, "IQ_LEVERED_FCF", $O$3, NB$3, $N$3, , $J$3, $K$3)*2/(_xll.ciqfunctions.udf.CIQ($B15, "IQ_TOTAL_DEBT", NB$3, $E$3, $N$3, , $J$3, $K$3)+_xll.ciqfunctions.udf.CIQ($B15, "IQ_TOTAL_DEBT", "IQ_" &amp; LEFT(NB$3,2) &amp; "-1", NB$3, $N$3, , $J$3, $K$3)) ),"")</f>
        <v/>
      </c>
      <c r="NC15" s="588" t="str">
        <f>IFERROR(IF(OR($B15="",NC$3=""),"",_xll.ciqfunctions.udf.CIQ($B15, "IQ_LEVERED_FCF", $O$3, NC$3, $N$3, , $J$3, $K$3)*2/(_xll.ciqfunctions.udf.CIQ($B15, "IQ_TOTAL_DEBT", NC$3, $E$3, $N$3, , $J$3, $K$3)+_xll.ciqfunctions.udf.CIQ($B15, "IQ_TOTAL_DEBT", "IQ_" &amp; LEFT(NC$3,2) &amp; "-1", NC$3, $N$3, , $J$3, $K$3)) ),"")</f>
        <v/>
      </c>
      <c r="ND15" s="588" t="str">
        <f>IFERROR(IF(OR($B15="",ND$3=""),"",_xll.ciqfunctions.udf.CIQ($B15, "IQ_LEVERED_FCF", $O$3, ND$3, $N$3, , $J$3, $K$3)*2/(_xll.ciqfunctions.udf.CIQ($B15, "IQ_TOTAL_DEBT", ND$3, $E$3, $N$3, , $J$3, $K$3)+_xll.ciqfunctions.udf.CIQ($B15, "IQ_TOTAL_DEBT", "IQ_" &amp; LEFT(ND$3,2) &amp; "-1", ND$3, $N$3, , $J$3, $K$3)) ),"")</f>
        <v/>
      </c>
      <c r="NE15" s="588" t="str">
        <f>IFERROR(IF(OR($B15="",NE$3=""),"",_xll.ciqfunctions.udf.CIQ($B15, "IQ_LEVERED_FCF", $O$3, NE$3, $N$3, , $J$3, $K$3)*2/(_xll.ciqfunctions.udf.CIQ($B15, "IQ_TOTAL_DEBT", NE$3, $E$3, $N$3, , $J$3, $K$3)+_xll.ciqfunctions.udf.CIQ($B15, "IQ_TOTAL_DEBT", "IQ_" &amp; LEFT(NE$3,2) &amp; "-1", NE$3, $N$3, , $J$3, $K$3)) ),"")</f>
        <v/>
      </c>
      <c r="NF15" s="588" t="str">
        <f>IFERROR(IF(OR($B15="",NF$3=""),"",_xll.ciqfunctions.udf.CIQ($B15, "IQ_LEVERED_FCF", $O$3, NF$3, $N$3, , $J$3, $K$3)*2/(_xll.ciqfunctions.udf.CIQ($B15, "IQ_TOTAL_DEBT", NF$3, $E$3, $N$3, , $J$3, $K$3)+_xll.ciqfunctions.udf.CIQ($B15, "IQ_TOTAL_DEBT", "IQ_" &amp; LEFT(NF$3,2) &amp; "-1", NF$3, $N$3, , $J$3, $K$3)) ),"")</f>
        <v/>
      </c>
      <c r="NG15" s="588" t="str">
        <f>IFERROR(IF(OR($B15="",NG$3=""),"",_xll.ciqfunctions.udf.CIQ($B15, "IQ_LEVERED_FCF", $O$3, NG$3, $N$3, , $J$3, $K$3)*2/(_xll.ciqfunctions.udf.CIQ($B15, "IQ_TOTAL_DEBT", NG$3, $E$3, $N$3, , $J$3, $K$3)+_xll.ciqfunctions.udf.CIQ($B15, "IQ_TOTAL_DEBT", "IQ_" &amp; LEFT(NG$3,2) &amp; "-1", NG$3, $N$3, , $J$3, $K$3)) ),"")</f>
        <v/>
      </c>
      <c r="NH15" s="588" t="str">
        <f>IFERROR(IF(OR($B15="",NH$3=""),"",_xll.ciqfunctions.udf.CIQ($B15, "IQ_LEVERED_FCF", $O$3, NH$3, $N$3, , $J$3, $K$3)*2/(_xll.ciqfunctions.udf.CIQ($B15, "IQ_TOTAL_DEBT", NH$3, $E$3, $N$3, , $J$3, $K$3)+_xll.ciqfunctions.udf.CIQ($B15, "IQ_TOTAL_DEBT", "IQ_" &amp; LEFT(NH$3,2) &amp; "-1", NH$3, $N$3, , $J$3, $K$3)) ),"")</f>
        <v/>
      </c>
      <c r="NI15" s="588" t="str">
        <f>IFERROR(IF(OR($B15="",NI$3=""),"",_xll.ciqfunctions.udf.CIQ($B15, "IQ_CASH_OPER", $O$3, NI$3, $N$3, , $J$3, $K$3)/_xll.ciqfunctions.udf.CIQ($B15, "IQ_NI", NI$3, $E$3, $N$3, , $J$3, $K$3)),"")</f>
        <v/>
      </c>
      <c r="NJ15" s="588" t="str">
        <f>IFERROR(IF(OR($B15="",NJ$3=""),"",_xll.ciqfunctions.udf.CIQ($B15, "IQ_CASH_OPER", $O$3, NJ$3, $N$3, , $J$3, $K$3)/_xll.ciqfunctions.udf.CIQ($B15, "IQ_NI", NJ$3, $E$3, $N$3, , $J$3, $K$3)),"")</f>
        <v/>
      </c>
      <c r="NK15" s="588" t="str">
        <f>IFERROR(IF(OR($B15="",NK$3=""),"",_xll.ciqfunctions.udf.CIQ($B15, "IQ_CASH_OPER", $O$3, NK$3, $N$3, , $J$3, $K$3)/_xll.ciqfunctions.udf.CIQ($B15, "IQ_NI", NK$3, $E$3, $N$3, , $J$3, $K$3)),"")</f>
        <v/>
      </c>
      <c r="NL15" s="588" t="str">
        <f>IFERROR(IF(OR($B15="",NL$3=""),"",_xll.ciqfunctions.udf.CIQ($B15, "IQ_CASH_OPER", $O$3, NL$3, $N$3, , $J$3, $K$3)/_xll.ciqfunctions.udf.CIQ($B15, "IQ_NI", NL$3, $E$3, $N$3, , $J$3, $K$3)),"")</f>
        <v/>
      </c>
      <c r="NM15" s="588" t="str">
        <f>IFERROR(IF(OR($B15="",NM$3=""),"",_xll.ciqfunctions.udf.CIQ($B15, "IQ_CASH_OPER", $O$3, NM$3, $N$3, , $J$3, $K$3)/_xll.ciqfunctions.udf.CIQ($B15, "IQ_NI", NM$3, $E$3, $N$3, , $J$3, $K$3)),"")</f>
        <v/>
      </c>
      <c r="NN15" s="588" t="str">
        <f>IFERROR(IF(OR($B15="",NN$3=""),"",_xll.ciqfunctions.udf.CIQ($B15, "IQ_CASH_OPER", $O$3, NN$3, $N$3, , $J$3, $K$3)/_xll.ciqfunctions.udf.CIQ($B15, "IQ_NI", NN$3, $E$3, $N$3, , $J$3, $K$3)),"")</f>
        <v/>
      </c>
      <c r="NO15" s="588" t="str">
        <f>IFERROR(IF(OR($B15="",NO$3=""),"",_xll.ciqfunctions.udf.CIQ($B15, "IQ_CASH_OPER", $O$3, NO$3, $N$3, , $J$3, $K$3)/_xll.ciqfunctions.udf.CIQ($B15, "IQ_NI", NO$3, $E$3, $N$3, , $J$3, $K$3)),"")</f>
        <v/>
      </c>
      <c r="NP15" s="588" t="str">
        <f>IFERROR(IF(OR($B15="",NP$3=""),"",_xll.ciqfunctions.udf.CIQ($B15, "IQ_CASH_OPER", $O$3, NP$3, $N$3, , $J$3, $K$3)/_xll.ciqfunctions.udf.CIQ($B15, "IQ_NI", NP$3, $E$3, $N$3, , $J$3, $K$3)),"")</f>
        <v/>
      </c>
      <c r="NQ15" s="588" t="str">
        <f>IFERROR(IF(OR($B15="",NQ$3=""),"",_xll.ciqfunctions.udf.CIQ($B15, "IQ_CASH_OPER", $O$3, NQ$3, $N$3, , $J$3, $K$3)/_xll.ciqfunctions.udf.CIQ($B15, "IQ_NI", NQ$3, $E$3, $N$3, , $J$3, $K$3)),"")</f>
        <v/>
      </c>
      <c r="NR15" s="588" t="str">
        <f>IFERROR(IF(OR($B15="",NR$3=""),"",_xll.ciqfunctions.udf.CIQ($B15, "IQ_CASH_OPER", $O$3, NR$3, $N$3, , $J$3, $K$3)/_xll.ciqfunctions.udf.CIQ($B15, "IQ_NI", NR$3, $E$3, $N$3, , $J$3, $K$3)),"")</f>
        <v/>
      </c>
      <c r="NS15" s="588" t="str">
        <f>IFERROR(IF(OR($B15="",NS$3=""),"",_xll.ciqfunctions.udf.CIQ($B15, "IQ_CASH_OPER", $O$3, NS$3, $N$3, , $J$3, $K$3)/_xll.ciqfunctions.udf.CIQ($B15, "IQ_NI", NS$3, $E$3, $N$3, , $J$3, $K$3)),"")</f>
        <v/>
      </c>
      <c r="NT15" s="588" t="str">
        <f>IFERROR(IF(OR($B15="",NT$3=""),"",_xll.ciqfunctions.udf.CIQ($B15, "IQ_CASH_OPER", $O$3, NT$3, $N$3, , $J$3, $K$3)/_xll.ciqfunctions.udf.CIQ($B15, "IQ_NI", NT$3, $E$3, $N$3, , $J$3, $K$3)),"")</f>
        <v/>
      </c>
      <c r="NU15" s="588" t="str">
        <f>IFERROR(IF(OR($B15="",NU$3=""),"",_xll.ciqfunctions.udf.CIQ($B15, "IQ_CASH_OPER", $O$3, NU$3, $N$3, , $J$3, $K$3)/_xll.ciqfunctions.udf.CIQ($B15, "IQ_NI", NU$3, $E$3, $N$3, , $J$3, $K$3)),"")</f>
        <v/>
      </c>
      <c r="NV15" s="588" t="str">
        <f>IFERROR(IF(OR($B15="",NV$3=""),"",_xll.ciqfunctions.udf.CIQ($B15, "IQ_CASH_OPER", $O$3, NV$3, $N$3, , $J$3, $K$3)/_xll.ciqfunctions.udf.CIQ($B15, "IQ_NI", NV$3, $E$3, $N$3, , $J$3, $K$3)),"")</f>
        <v/>
      </c>
      <c r="NW15" s="588" t="str">
        <f>IFERROR(IF(OR($B15="",NW$3=""),"",_xll.ciqfunctions.udf.CIQ($B15, "IQ_CASH_OPER", $O$3, NW$3, $N$3, , $J$3, $K$3)/_xll.ciqfunctions.udf.CIQ($B15, "IQ_NI", NW$3, $E$3, $N$3, , $J$3, $K$3)),"")</f>
        <v/>
      </c>
      <c r="NX15" s="588" t="str">
        <f>IFERROR(IF(OR($B15="",NX$3=""),"",_xll.ciqfunctions.udf.CIQ($B15, "IQ_CASH_OPER", $O$3, NX$3, $N$3, , $J$3, $K$3)/_xll.ciqfunctions.udf.CIQ($B15, "IQ_NI", NX$3, $E$3, $N$3, , $J$3, $K$3)),"")</f>
        <v/>
      </c>
      <c r="NY15" s="588" t="str">
        <f>IFERROR(IF(OR($B15="",NY$3=""),"",_xll.ciqfunctions.udf.CIQ($B15, "IQ_CASH_OPER", $O$3, NY$3, $N$3, , $J$3, $K$3)/_xll.ciqfunctions.udf.CIQ($B15, "IQ_NI", NY$3, $E$3, $N$3, , $J$3, $K$3)),"")</f>
        <v/>
      </c>
      <c r="NZ15" s="588" t="str">
        <f>IFERROR(IF(OR($B15="",NZ$3=""),"",_xll.ciqfunctions.udf.CIQ($B15, "IQ_CASH_OPER", $O$3, NZ$3, $N$3, , $J$3, $K$3)/_xll.ciqfunctions.udf.CIQ($B15, "IQ_NI", NZ$3, $E$3, $N$3, , $J$3, $K$3)),"")</f>
        <v/>
      </c>
      <c r="OA15" s="588" t="str">
        <f>IFERROR(IF(OR($B15="",OA$3=""),"",_xll.ciqfunctions.udf.CIQ($B15, "IQ_CASH_OPER", $O$3, OA$3, $N$3, , $J$3, $K$3)/_xll.ciqfunctions.udf.CIQ($B15, "IQ_NI", OA$3, $E$3, $N$3, , $J$3, $K$3)),"")</f>
        <v/>
      </c>
      <c r="OB15" s="588" t="str">
        <f>IFERROR(IF(OR($B15="",OB$3=""),"",_xll.ciqfunctions.udf.CIQ($B15, "IQ_CASH_OPER", $O$3, OB$3, $N$3, , $J$3, $K$3)/_xll.ciqfunctions.udf.CIQ($B15, "IQ_NI", OB$3, $E$3, $N$3, , $J$3, $K$3)),"")</f>
        <v/>
      </c>
      <c r="OC15" s="86" t="str">
        <f>IFERROR(IF(OR($B15="",OC$3=""),"",_xll.ciqfunctions.udf.CIQ($B15,"IQ_NI",$O$3, OC$3, $N$3, , $J$3, $K$3)*2/(_xll.ciqfunctions.udf.CIQ($B15,"IQ_TOTAL_ASSETS",OC$3,$I$3, $N$3, , $J$3, $K$3)+_xll.ciqfunctions.udf.CIQ($B15,"IQ_TOTAL_ASSETS", "IQ_" &amp; LEFT(OC$3,2) &amp; "-1", OC$3, $N$3, , $J$3, $K$3))),"")</f>
        <v/>
      </c>
      <c r="OD15" s="87" t="str">
        <f>IFERROR(IF(OR($B15="",OD$3=""),"",_xll.ciqfunctions.udf.CIQ($B15,"IQ_NI",$O$3, OD$3, $N$3, , $J$3, $K$3)*2/(_xll.ciqfunctions.udf.CIQ($B15,"IQ_TOTAL_ASSETS",OD$3,$I$3, $N$3, , $J$3, $K$3)+_xll.ciqfunctions.udf.CIQ($B15,"IQ_TOTAL_ASSETS", "IQ_" &amp; LEFT(OD$3,2) &amp; "-1", OD$3, $N$3, , $J$3, $K$3))),"")</f>
        <v/>
      </c>
      <c r="OE15" s="87" t="str">
        <f>IFERROR(IF(OR($B15="",OE$3=""),"",_xll.ciqfunctions.udf.CIQ($B15,"IQ_NI",$O$3, OE$3, $N$3, , $J$3, $K$3)*2/(_xll.ciqfunctions.udf.CIQ($B15,"IQ_TOTAL_ASSETS",OE$3,$I$3, $N$3, , $J$3, $K$3)+_xll.ciqfunctions.udf.CIQ($B15,"IQ_TOTAL_ASSETS", "IQ_" &amp; LEFT(OE$3,2) &amp; "-1", OE$3, $N$3, , $J$3, $K$3))),"")</f>
        <v/>
      </c>
      <c r="OF15" s="87" t="str">
        <f>IFERROR(IF(OR($B15="",OF$3=""),"",_xll.ciqfunctions.udf.CIQ($B15,"IQ_NI",$O$3, OF$3, $N$3, , $J$3, $K$3)*2/(_xll.ciqfunctions.udf.CIQ($B15,"IQ_TOTAL_ASSETS",OF$3,$I$3, $N$3, , $J$3, $K$3)+_xll.ciqfunctions.udf.CIQ($B15,"IQ_TOTAL_ASSETS", "IQ_" &amp; LEFT(OF$3,2) &amp; "-1", OF$3, $N$3, , $J$3, $K$3))),"")</f>
        <v/>
      </c>
      <c r="OG15" s="87" t="str">
        <f>IFERROR(IF(OR($B15="",OG$3=""),"",_xll.ciqfunctions.udf.CIQ($B15,"IQ_NI",$O$3, OG$3, $N$3, , $J$3, $K$3)*2/(_xll.ciqfunctions.udf.CIQ($B15,"IQ_TOTAL_ASSETS",OG$3,$I$3, $N$3, , $J$3, $K$3)+_xll.ciqfunctions.udf.CIQ($B15,"IQ_TOTAL_ASSETS", "IQ_" &amp; LEFT(OG$3,2) &amp; "-1", OG$3, $N$3, , $J$3, $K$3))),"")</f>
        <v/>
      </c>
      <c r="OH15" s="87" t="str">
        <f>IFERROR(IF(OR($B15="",OH$3=""),"",_xll.ciqfunctions.udf.CIQ($B15,"IQ_NI",$O$3, OH$3, $N$3, , $J$3, $K$3)*2/(_xll.ciqfunctions.udf.CIQ($B15,"IQ_TOTAL_ASSETS",OH$3,$I$3, $N$3, , $J$3, $K$3)+_xll.ciqfunctions.udf.CIQ($B15,"IQ_TOTAL_ASSETS", "IQ_" &amp; LEFT(OH$3,2) &amp; "-1", OH$3, $N$3, , $J$3, $K$3))),"")</f>
        <v/>
      </c>
      <c r="OI15" s="87" t="str">
        <f>IFERROR(IF(OR($B15="",OI$3=""),"",_xll.ciqfunctions.udf.CIQ($B15,"IQ_NI",$O$3, OI$3, $N$3, , $J$3, $K$3)*2/(_xll.ciqfunctions.udf.CIQ($B15,"IQ_TOTAL_ASSETS",OI$3,$I$3, $N$3, , $J$3, $K$3)+_xll.ciqfunctions.udf.CIQ($B15,"IQ_TOTAL_ASSETS", "IQ_" &amp; LEFT(OI$3,2) &amp; "-1", OI$3, $N$3, , $J$3, $K$3))),"")</f>
        <v/>
      </c>
      <c r="OJ15" s="87" t="str">
        <f>IFERROR(IF(OR($B15="",OJ$3=""),"",_xll.ciqfunctions.udf.CIQ($B15,"IQ_NI",$O$3, OJ$3, $N$3, , $J$3, $K$3)*2/(_xll.ciqfunctions.udf.CIQ($B15,"IQ_TOTAL_ASSETS",OJ$3,$I$3, $N$3, , $J$3, $K$3)+_xll.ciqfunctions.udf.CIQ($B15,"IQ_TOTAL_ASSETS", "IQ_" &amp; LEFT(OJ$3,2) &amp; "-1", OJ$3, $N$3, , $J$3, $K$3))),"")</f>
        <v/>
      </c>
      <c r="OK15" s="87" t="str">
        <f>IFERROR(IF(OR($B15="",OK$3=""),"",_xll.ciqfunctions.udf.CIQ($B15,"IQ_NI",$O$3, OK$3, $N$3, , $J$3, $K$3)*2/(_xll.ciqfunctions.udf.CIQ($B15,"IQ_TOTAL_ASSETS",OK$3,$I$3, $N$3, , $J$3, $K$3)+_xll.ciqfunctions.udf.CIQ($B15,"IQ_TOTAL_ASSETS", "IQ_" &amp; LEFT(OK$3,2) &amp; "-1", OK$3, $N$3, , $J$3, $K$3))),"")</f>
        <v/>
      </c>
      <c r="OL15" s="87" t="str">
        <f>IFERROR(IF(OR($B15="",OL$3=""),"",_xll.ciqfunctions.udf.CIQ($B15,"IQ_NI",$O$3, OL$3, $N$3, , $J$3, $K$3)*2/(_xll.ciqfunctions.udf.CIQ($B15,"IQ_TOTAL_ASSETS",OL$3,$I$3, $N$3, , $J$3, $K$3)+_xll.ciqfunctions.udf.CIQ($B15,"IQ_TOTAL_ASSETS", "IQ_" &amp; LEFT(OL$3,2) &amp; "-1", OL$3, $N$3, , $J$3, $K$3))),"")</f>
        <v/>
      </c>
      <c r="OM15" s="87" t="str">
        <f>IFERROR(IF(OR($B15="",OM$3=""),"",_xll.ciqfunctions.udf.CIQ($B15,"IQ_NI",$O$3, OM$3, $N$3, , $J$3, $K$3)*2/(_xll.ciqfunctions.udf.CIQ($B15,"IQ_TOTAL_ASSETS",OM$3,$I$3, $N$3, , $J$3, $K$3)+_xll.ciqfunctions.udf.CIQ($B15,"IQ_TOTAL_ASSETS", "IQ_" &amp; LEFT(OM$3,2) &amp; "-1", OM$3, $N$3, , $J$3, $K$3))),"")</f>
        <v/>
      </c>
      <c r="ON15" s="87" t="str">
        <f>IFERROR(IF(OR($B15="",ON$3=""),"",_xll.ciqfunctions.udf.CIQ($B15,"IQ_NI",$O$3, ON$3, $N$3, , $J$3, $K$3)*2/(_xll.ciqfunctions.udf.CIQ($B15,"IQ_TOTAL_ASSETS",ON$3,$I$3, $N$3, , $J$3, $K$3)+_xll.ciqfunctions.udf.CIQ($B15,"IQ_TOTAL_ASSETS", "IQ_" &amp; LEFT(ON$3,2) &amp; "-1", ON$3, $N$3, , $J$3, $K$3))),"")</f>
        <v/>
      </c>
      <c r="OO15" s="87" t="str">
        <f>IFERROR(IF(OR($B15="",OO$3=""),"",_xll.ciqfunctions.udf.CIQ($B15,"IQ_NI",$O$3, OO$3, $N$3, , $J$3, $K$3)*2/(_xll.ciqfunctions.udf.CIQ($B15,"IQ_TOTAL_ASSETS",OO$3,$I$3, $N$3, , $J$3, $K$3)+_xll.ciqfunctions.udf.CIQ($B15,"IQ_TOTAL_ASSETS", "IQ_" &amp; LEFT(OO$3,2) &amp; "-1", OO$3, $N$3, , $J$3, $K$3))),"")</f>
        <v/>
      </c>
      <c r="OP15" s="87" t="str">
        <f>IFERROR(IF(OR($B15="",OP$3=""),"",_xll.ciqfunctions.udf.CIQ($B15,"IQ_NI",$O$3, OP$3, $N$3, , $J$3, $K$3)*2/(_xll.ciqfunctions.udf.CIQ($B15,"IQ_TOTAL_ASSETS",OP$3,$I$3, $N$3, , $J$3, $K$3)+_xll.ciqfunctions.udf.CIQ($B15,"IQ_TOTAL_ASSETS", "IQ_" &amp; LEFT(OP$3,2) &amp; "-1", OP$3, $N$3, , $J$3, $K$3))),"")</f>
        <v/>
      </c>
      <c r="OQ15" s="87" t="str">
        <f>IFERROR(IF(OR($B15="",OQ$3=""),"",_xll.ciqfunctions.udf.CIQ($B15,"IQ_NI",$O$3, OQ$3, $N$3, , $J$3, $K$3)*2/(_xll.ciqfunctions.udf.CIQ($B15,"IQ_TOTAL_ASSETS",OQ$3,$I$3, $N$3, , $J$3, $K$3)+_xll.ciqfunctions.udf.CIQ($B15,"IQ_TOTAL_ASSETS", "IQ_" &amp; LEFT(OQ$3,2) &amp; "-1", OQ$3, $N$3, , $J$3, $K$3))),"")</f>
        <v/>
      </c>
      <c r="OR15" s="87" t="str">
        <f>IFERROR(IF(OR($B15="",OR$3=""),"",_xll.ciqfunctions.udf.CIQ($B15,"IQ_NI",$O$3, OR$3, $N$3, , $J$3, $K$3)*2/(_xll.ciqfunctions.udf.CIQ($B15,"IQ_TOTAL_ASSETS",OR$3,$I$3, $N$3, , $J$3, $K$3)+_xll.ciqfunctions.udf.CIQ($B15,"IQ_TOTAL_ASSETS", "IQ_" &amp; LEFT(OR$3,2) &amp; "-1", OR$3, $N$3, , $J$3, $K$3))),"")</f>
        <v/>
      </c>
      <c r="OS15" s="87" t="str">
        <f>IFERROR(IF(OR($B15="",OS$3=""),"",_xll.ciqfunctions.udf.CIQ($B15,"IQ_NI",$O$3, OS$3, $N$3, , $J$3, $K$3)*2/(_xll.ciqfunctions.udf.CIQ($B15,"IQ_TOTAL_ASSETS",OS$3,$I$3, $N$3, , $J$3, $K$3)+_xll.ciqfunctions.udf.CIQ($B15,"IQ_TOTAL_ASSETS", "IQ_" &amp; LEFT(OS$3,2) &amp; "-1", OS$3, $N$3, , $J$3, $K$3))),"")</f>
        <v/>
      </c>
      <c r="OT15" s="87" t="str">
        <f>IFERROR(IF(OR($B15="",OT$3=""),"",_xll.ciqfunctions.udf.CIQ($B15,"IQ_NI",$O$3, OT$3, $N$3, , $J$3, $K$3)*2/(_xll.ciqfunctions.udf.CIQ($B15,"IQ_TOTAL_ASSETS",OT$3,$I$3, $N$3, , $J$3, $K$3)+_xll.ciqfunctions.udf.CIQ($B15,"IQ_TOTAL_ASSETS", "IQ_" &amp; LEFT(OT$3,2) &amp; "-1", OT$3, $N$3, , $J$3, $K$3))),"")</f>
        <v/>
      </c>
      <c r="OU15" s="87" t="str">
        <f>IFERROR(IF(OR($B15="",OU$3=""),"",_xll.ciqfunctions.udf.CIQ($B15,"IQ_NI",$O$3, OU$3, $N$3, , $J$3, $K$3)*2/(_xll.ciqfunctions.udf.CIQ($B15,"IQ_TOTAL_ASSETS",OU$3,$I$3, $N$3, , $J$3, $K$3)+_xll.ciqfunctions.udf.CIQ($B15,"IQ_TOTAL_ASSETS", "IQ_" &amp; LEFT(OU$3,2) &amp; "-1", OU$3, $N$3, , $J$3, $K$3))),"")</f>
        <v/>
      </c>
      <c r="OV15" s="88" t="str">
        <f>IFERROR(IF(OR($B15="",OV$3=""),"",_xll.ciqfunctions.udf.CIQ($B15,"IQ_NI",$O$3, OV$3, $N$3, , $J$3, $K$3)*2/(_xll.ciqfunctions.udf.CIQ($B15,"IQ_TOTAL_ASSETS",OV$3,$I$3, $N$3, , $J$3, $K$3)+_xll.ciqfunctions.udf.CIQ($B15,"IQ_TOTAL_ASSETS", "IQ_" &amp; LEFT(OV$3,2) &amp; "-1", OV$3, $N$3, , $J$3, $K$3))),"")</f>
        <v/>
      </c>
      <c r="OW15" s="86" t="str">
        <f>IFERROR(IF(OR($B15="",OW$3=""),"",_xll.ciqfunctions.udf.CIQ($B15, "IQ_NI", $O$3, OW$3, $N$3, , $J$3, $K$3)*2/(_xll.ciqfunctions.udf.CIQ($B15, "IQ_TOTAL_ASSETS", OW$3, $I$3, $N$3, , $J$3, $K$3)+_xll.ciqfunctions.udf.CIQ($B15, "IQ_TOTAL_ASSETS", "IQ_" &amp; LEFT(OW$3,2) &amp; "-1", OW$3, $N$3, , $J$3, $K$3)-_xll.ciqfunctions.udf.CIQ($B15, "IQ_TOTAL_CL", OW$3, $I$3, $N$3, , $J$3, $K$3)-_xll.ciqfunctions.udf.CIQ($B15, "IQ_TOTAL_CL", "IQ_" &amp; LEFT(OW$3,2) &amp; "-1", OW$3, $N$3, , $J$3, $K$3))),"")</f>
        <v/>
      </c>
      <c r="OX15" s="87" t="str">
        <f>IFERROR(IF(OR($B15="",OX$3=""),"",_xll.ciqfunctions.udf.CIQ($B15, "IQ_NI", $O$3, OX$3, $N$3, , $J$3, $K$3)*2/(_xll.ciqfunctions.udf.CIQ($B15, "IQ_TOTAL_ASSETS", OX$3, $I$3, $N$3, , $J$3, $K$3)+_xll.ciqfunctions.udf.CIQ($B15, "IQ_TOTAL_ASSETS", "IQ_" &amp; LEFT(OX$3,2) &amp; "-1", OX$3, $N$3, , $J$3, $K$3)-_xll.ciqfunctions.udf.CIQ($B15, "IQ_TOTAL_CL", OX$3, $I$3, $N$3, , $J$3, $K$3)-_xll.ciqfunctions.udf.CIQ($B15, "IQ_TOTAL_CL", "IQ_" &amp; LEFT(OX$3,2) &amp; "-1", OX$3, $N$3, , $J$3, $K$3))),"")</f>
        <v/>
      </c>
      <c r="OY15" s="87" t="str">
        <f>IFERROR(IF(OR($B15="",OY$3=""),"",_xll.ciqfunctions.udf.CIQ($B15, "IQ_NI", $O$3, OY$3, $N$3, , $J$3, $K$3)*2/(_xll.ciqfunctions.udf.CIQ($B15, "IQ_TOTAL_ASSETS", OY$3, $I$3, $N$3, , $J$3, $K$3)+_xll.ciqfunctions.udf.CIQ($B15, "IQ_TOTAL_ASSETS", "IQ_" &amp; LEFT(OY$3,2) &amp; "-1", OY$3, $N$3, , $J$3, $K$3)-_xll.ciqfunctions.udf.CIQ($B15, "IQ_TOTAL_CL", OY$3, $I$3, $N$3, , $J$3, $K$3)-_xll.ciqfunctions.udf.CIQ($B15, "IQ_TOTAL_CL", "IQ_" &amp; LEFT(OY$3,2) &amp; "-1", OY$3, $N$3, , $J$3, $K$3))),"")</f>
        <v/>
      </c>
      <c r="OZ15" s="87" t="str">
        <f>IFERROR(IF(OR($B15="",OZ$3=""),"",_xll.ciqfunctions.udf.CIQ($B15, "IQ_NI", $O$3, OZ$3, $N$3, , $J$3, $K$3)*2/(_xll.ciqfunctions.udf.CIQ($B15, "IQ_TOTAL_ASSETS", OZ$3, $I$3, $N$3, , $J$3, $K$3)+_xll.ciqfunctions.udf.CIQ($B15, "IQ_TOTAL_ASSETS", "IQ_" &amp; LEFT(OZ$3,2) &amp; "-1", OZ$3, $N$3, , $J$3, $K$3)-_xll.ciqfunctions.udf.CIQ($B15, "IQ_TOTAL_CL", OZ$3, $I$3, $N$3, , $J$3, $K$3)-_xll.ciqfunctions.udf.CIQ($B15, "IQ_TOTAL_CL", "IQ_" &amp; LEFT(OZ$3,2) &amp; "-1", OZ$3, $N$3, , $J$3, $K$3))),"")</f>
        <v/>
      </c>
      <c r="PA15" s="87" t="str">
        <f>IFERROR(IF(OR($B15="",PA$3=""),"",_xll.ciqfunctions.udf.CIQ($B15, "IQ_NI", $O$3, PA$3, $N$3, , $J$3, $K$3)*2/(_xll.ciqfunctions.udf.CIQ($B15, "IQ_TOTAL_ASSETS", PA$3, $I$3, $N$3, , $J$3, $K$3)+_xll.ciqfunctions.udf.CIQ($B15, "IQ_TOTAL_ASSETS", "IQ_" &amp; LEFT(PA$3,2) &amp; "-1", PA$3, $N$3, , $J$3, $K$3)-_xll.ciqfunctions.udf.CIQ($B15, "IQ_TOTAL_CL", PA$3, $I$3, $N$3, , $J$3, $K$3)-_xll.ciqfunctions.udf.CIQ($B15, "IQ_TOTAL_CL", "IQ_" &amp; LEFT(PA$3,2) &amp; "-1", PA$3, $N$3, , $J$3, $K$3))),"")</f>
        <v/>
      </c>
      <c r="PB15" s="87" t="str">
        <f>IFERROR(IF(OR($B15="",PB$3=""),"",_xll.ciqfunctions.udf.CIQ($B15, "IQ_NI", $O$3, PB$3, $N$3, , $J$3, $K$3)*2/(_xll.ciqfunctions.udf.CIQ($B15, "IQ_TOTAL_ASSETS", PB$3, $I$3, $N$3, , $J$3, $K$3)+_xll.ciqfunctions.udf.CIQ($B15, "IQ_TOTAL_ASSETS", "IQ_" &amp; LEFT(PB$3,2) &amp; "-1", PB$3, $N$3, , $J$3, $K$3)-_xll.ciqfunctions.udf.CIQ($B15, "IQ_TOTAL_CL", PB$3, $I$3, $N$3, , $J$3, $K$3)-_xll.ciqfunctions.udf.CIQ($B15, "IQ_TOTAL_CL", "IQ_" &amp; LEFT(PB$3,2) &amp; "-1", PB$3, $N$3, , $J$3, $K$3))),"")</f>
        <v/>
      </c>
      <c r="PC15" s="87" t="str">
        <f>IFERROR(IF(OR($B15="",PC$3=""),"",_xll.ciqfunctions.udf.CIQ($B15, "IQ_NI", $O$3, PC$3, $N$3, , $J$3, $K$3)*2/(_xll.ciqfunctions.udf.CIQ($B15, "IQ_TOTAL_ASSETS", PC$3, $I$3, $N$3, , $J$3, $K$3)+_xll.ciqfunctions.udf.CIQ($B15, "IQ_TOTAL_ASSETS", "IQ_" &amp; LEFT(PC$3,2) &amp; "-1", PC$3, $N$3, , $J$3, $K$3)-_xll.ciqfunctions.udf.CIQ($B15, "IQ_TOTAL_CL", PC$3, $I$3, $N$3, , $J$3, $K$3)-_xll.ciqfunctions.udf.CIQ($B15, "IQ_TOTAL_CL", "IQ_" &amp; LEFT(PC$3,2) &amp; "-1", PC$3, $N$3, , $J$3, $K$3))),"")</f>
        <v/>
      </c>
      <c r="PD15" s="87" t="str">
        <f>IFERROR(IF(OR($B15="",PD$3=""),"",_xll.ciqfunctions.udf.CIQ($B15, "IQ_NI", $O$3, PD$3, $N$3, , $J$3, $K$3)*2/(_xll.ciqfunctions.udf.CIQ($B15, "IQ_TOTAL_ASSETS", PD$3, $I$3, $N$3, , $J$3, $K$3)+_xll.ciqfunctions.udf.CIQ($B15, "IQ_TOTAL_ASSETS", "IQ_" &amp; LEFT(PD$3,2) &amp; "-1", PD$3, $N$3, , $J$3, $K$3)-_xll.ciqfunctions.udf.CIQ($B15, "IQ_TOTAL_CL", PD$3, $I$3, $N$3, , $J$3, $K$3)-_xll.ciqfunctions.udf.CIQ($B15, "IQ_TOTAL_CL", "IQ_" &amp; LEFT(PD$3,2) &amp; "-1", PD$3, $N$3, , $J$3, $K$3))),"")</f>
        <v/>
      </c>
      <c r="PE15" s="87" t="str">
        <f>IFERROR(IF(OR($B15="",PE$3=""),"",_xll.ciqfunctions.udf.CIQ($B15, "IQ_NI", $O$3, PE$3, $N$3, , $J$3, $K$3)*2/(_xll.ciqfunctions.udf.CIQ($B15, "IQ_TOTAL_ASSETS", PE$3, $I$3, $N$3, , $J$3, $K$3)+_xll.ciqfunctions.udf.CIQ($B15, "IQ_TOTAL_ASSETS", "IQ_" &amp; LEFT(PE$3,2) &amp; "-1", PE$3, $N$3, , $J$3, $K$3)-_xll.ciqfunctions.udf.CIQ($B15, "IQ_TOTAL_CL", PE$3, $I$3, $N$3, , $J$3, $K$3)-_xll.ciqfunctions.udf.CIQ($B15, "IQ_TOTAL_CL", "IQ_" &amp; LEFT(PE$3,2) &amp; "-1", PE$3, $N$3, , $J$3, $K$3))),"")</f>
        <v/>
      </c>
      <c r="PF15" s="87" t="str">
        <f>IFERROR(IF(OR($B15="",PF$3=""),"",_xll.ciqfunctions.udf.CIQ($B15, "IQ_NI", $O$3, PF$3, $N$3, , $J$3, $K$3)*2/(_xll.ciqfunctions.udf.CIQ($B15, "IQ_TOTAL_ASSETS", PF$3, $I$3, $N$3, , $J$3, $K$3)+_xll.ciqfunctions.udf.CIQ($B15, "IQ_TOTAL_ASSETS", "IQ_" &amp; LEFT(PF$3,2) &amp; "-1", PF$3, $N$3, , $J$3, $K$3)-_xll.ciqfunctions.udf.CIQ($B15, "IQ_TOTAL_CL", PF$3, $I$3, $N$3, , $J$3, $K$3)-_xll.ciqfunctions.udf.CIQ($B15, "IQ_TOTAL_CL", "IQ_" &amp; LEFT(PF$3,2) &amp; "-1", PF$3, $N$3, , $J$3, $K$3))),"")</f>
        <v/>
      </c>
      <c r="PG15" s="87" t="str">
        <f>IFERROR(IF(OR($B15="",PG$3=""),"",_xll.ciqfunctions.udf.CIQ($B15, "IQ_NI", $O$3, PG$3, $N$3, , $J$3, $K$3)*2/(_xll.ciqfunctions.udf.CIQ($B15, "IQ_TOTAL_ASSETS", PG$3, $I$3, $N$3, , $J$3, $K$3)+_xll.ciqfunctions.udf.CIQ($B15, "IQ_TOTAL_ASSETS", "IQ_" &amp; LEFT(PG$3,2) &amp; "-1", PG$3, $N$3, , $J$3, $K$3)-_xll.ciqfunctions.udf.CIQ($B15, "IQ_TOTAL_CL", PG$3, $I$3, $N$3, , $J$3, $K$3)-_xll.ciqfunctions.udf.CIQ($B15, "IQ_TOTAL_CL", "IQ_" &amp; LEFT(PG$3,2) &amp; "-1", PG$3, $N$3, , $J$3, $K$3))),"")</f>
        <v/>
      </c>
      <c r="PH15" s="87" t="str">
        <f>IFERROR(IF(OR($B15="",PH$3=""),"",_xll.ciqfunctions.udf.CIQ($B15, "IQ_NI", $O$3, PH$3, $N$3, , $J$3, $K$3)*2/(_xll.ciqfunctions.udf.CIQ($B15, "IQ_TOTAL_ASSETS", PH$3, $I$3, $N$3, , $J$3, $K$3)+_xll.ciqfunctions.udf.CIQ($B15, "IQ_TOTAL_ASSETS", "IQ_" &amp; LEFT(PH$3,2) &amp; "-1", PH$3, $N$3, , $J$3, $K$3)-_xll.ciqfunctions.udf.CIQ($B15, "IQ_TOTAL_CL", PH$3, $I$3, $N$3, , $J$3, $K$3)-_xll.ciqfunctions.udf.CIQ($B15, "IQ_TOTAL_CL", "IQ_" &amp; LEFT(PH$3,2) &amp; "-1", PH$3, $N$3, , $J$3, $K$3))),"")</f>
        <v/>
      </c>
      <c r="PI15" s="87" t="str">
        <f>IFERROR(IF(OR($B15="",PI$3=""),"",_xll.ciqfunctions.udf.CIQ($B15, "IQ_NI", $O$3, PI$3, $N$3, , $J$3, $K$3)*2/(_xll.ciqfunctions.udf.CIQ($B15, "IQ_TOTAL_ASSETS", PI$3, $I$3, $N$3, , $J$3, $K$3)+_xll.ciqfunctions.udf.CIQ($B15, "IQ_TOTAL_ASSETS", "IQ_" &amp; LEFT(PI$3,2) &amp; "-1", PI$3, $N$3, , $J$3, $K$3)-_xll.ciqfunctions.udf.CIQ($B15, "IQ_TOTAL_CL", PI$3, $I$3, $N$3, , $J$3, $K$3)-_xll.ciqfunctions.udf.CIQ($B15, "IQ_TOTAL_CL", "IQ_" &amp; LEFT(PI$3,2) &amp; "-1", PI$3, $N$3, , $J$3, $K$3))),"")</f>
        <v/>
      </c>
      <c r="PJ15" s="87" t="str">
        <f>IFERROR(IF(OR($B15="",PJ$3=""),"",_xll.ciqfunctions.udf.CIQ($B15, "IQ_NI", $O$3, PJ$3, $N$3, , $J$3, $K$3)*2/(_xll.ciqfunctions.udf.CIQ($B15, "IQ_TOTAL_ASSETS", PJ$3, $I$3, $N$3, , $J$3, $K$3)+_xll.ciqfunctions.udf.CIQ($B15, "IQ_TOTAL_ASSETS", "IQ_" &amp; LEFT(PJ$3,2) &amp; "-1", PJ$3, $N$3, , $J$3, $K$3)-_xll.ciqfunctions.udf.CIQ($B15, "IQ_TOTAL_CL", PJ$3, $I$3, $N$3, , $J$3, $K$3)-_xll.ciqfunctions.udf.CIQ($B15, "IQ_TOTAL_CL", "IQ_" &amp; LEFT(PJ$3,2) &amp; "-1", PJ$3, $N$3, , $J$3, $K$3))),"")</f>
        <v/>
      </c>
      <c r="PK15" s="87" t="str">
        <f>IFERROR(IF(OR($B15="",PK$3=""),"",_xll.ciqfunctions.udf.CIQ($B15, "IQ_NI", $O$3, PK$3, $N$3, , $J$3, $K$3)*2/(_xll.ciqfunctions.udf.CIQ($B15, "IQ_TOTAL_ASSETS", PK$3, $I$3, $N$3, , $J$3, $K$3)+_xll.ciqfunctions.udf.CIQ($B15, "IQ_TOTAL_ASSETS", "IQ_" &amp; LEFT(PK$3,2) &amp; "-1", PK$3, $N$3, , $J$3, $K$3)-_xll.ciqfunctions.udf.CIQ($B15, "IQ_TOTAL_CL", PK$3, $I$3, $N$3, , $J$3, $K$3)-_xll.ciqfunctions.udf.CIQ($B15, "IQ_TOTAL_CL", "IQ_" &amp; LEFT(PK$3,2) &amp; "-1", PK$3, $N$3, , $J$3, $K$3))),"")</f>
        <v/>
      </c>
      <c r="PL15" s="87" t="str">
        <f>IFERROR(IF(OR($B15="",PL$3=""),"",_xll.ciqfunctions.udf.CIQ($B15, "IQ_NI", $O$3, PL$3, $N$3, , $J$3, $K$3)*2/(_xll.ciqfunctions.udf.CIQ($B15, "IQ_TOTAL_ASSETS", PL$3, $I$3, $N$3, , $J$3, $K$3)+_xll.ciqfunctions.udf.CIQ($B15, "IQ_TOTAL_ASSETS", "IQ_" &amp; LEFT(PL$3,2) &amp; "-1", PL$3, $N$3, , $J$3, $K$3)-_xll.ciqfunctions.udf.CIQ($B15, "IQ_TOTAL_CL", PL$3, $I$3, $N$3, , $J$3, $K$3)-_xll.ciqfunctions.udf.CIQ($B15, "IQ_TOTAL_CL", "IQ_" &amp; LEFT(PL$3,2) &amp; "-1", PL$3, $N$3, , $J$3, $K$3))),"")</f>
        <v/>
      </c>
      <c r="PM15" s="87" t="str">
        <f>IFERROR(IF(OR($B15="",PM$3=""),"",_xll.ciqfunctions.udf.CIQ($B15, "IQ_NI", $O$3, PM$3, $N$3, , $J$3, $K$3)*2/(_xll.ciqfunctions.udf.CIQ($B15, "IQ_TOTAL_ASSETS", PM$3, $I$3, $N$3, , $J$3, $K$3)+_xll.ciqfunctions.udf.CIQ($B15, "IQ_TOTAL_ASSETS", "IQ_" &amp; LEFT(PM$3,2) &amp; "-1", PM$3, $N$3, , $J$3, $K$3)-_xll.ciqfunctions.udf.CIQ($B15, "IQ_TOTAL_CL", PM$3, $I$3, $N$3, , $J$3, $K$3)-_xll.ciqfunctions.udf.CIQ($B15, "IQ_TOTAL_CL", "IQ_" &amp; LEFT(PM$3,2) &amp; "-1", PM$3, $N$3, , $J$3, $K$3))),"")</f>
        <v/>
      </c>
      <c r="PN15" s="87" t="str">
        <f>IFERROR(IF(OR($B15="",PN$3=""),"",_xll.ciqfunctions.udf.CIQ($B15, "IQ_NI", $O$3, PN$3, $N$3, , $J$3, $K$3)*2/(_xll.ciqfunctions.udf.CIQ($B15, "IQ_TOTAL_ASSETS", PN$3, $I$3, $N$3, , $J$3, $K$3)+_xll.ciqfunctions.udf.CIQ($B15, "IQ_TOTAL_ASSETS", "IQ_" &amp; LEFT(PN$3,2) &amp; "-1", PN$3, $N$3, , $J$3, $K$3)-_xll.ciqfunctions.udf.CIQ($B15, "IQ_TOTAL_CL", PN$3, $I$3, $N$3, , $J$3, $K$3)-_xll.ciqfunctions.udf.CIQ($B15, "IQ_TOTAL_CL", "IQ_" &amp; LEFT(PN$3,2) &amp; "-1", PN$3, $N$3, , $J$3, $K$3))),"")</f>
        <v/>
      </c>
      <c r="PO15" s="87" t="str">
        <f>IFERROR(IF(OR($B15="",PO$3=""),"",_xll.ciqfunctions.udf.CIQ($B15, "IQ_NI", $O$3, PO$3, $N$3, , $J$3, $K$3)*2/(_xll.ciqfunctions.udf.CIQ($B15, "IQ_TOTAL_ASSETS", PO$3, $I$3, $N$3, , $J$3, $K$3)+_xll.ciqfunctions.udf.CIQ($B15, "IQ_TOTAL_ASSETS", "IQ_" &amp; LEFT(PO$3,2) &amp; "-1", PO$3, $N$3, , $J$3, $K$3)-_xll.ciqfunctions.udf.CIQ($B15, "IQ_TOTAL_CL", PO$3, $I$3, $N$3, , $J$3, $K$3)-_xll.ciqfunctions.udf.CIQ($B15, "IQ_TOTAL_CL", "IQ_" &amp; LEFT(PO$3,2) &amp; "-1", PO$3, $N$3, , $J$3, $K$3))),"")</f>
        <v/>
      </c>
      <c r="PP15" s="88" t="str">
        <f>IFERROR(IF(OR($B15="",PP$3=""),"",_xll.ciqfunctions.udf.CIQ($B15, "IQ_NI", $O$3, PP$3, $N$3, , $J$3, $K$3)*2/(_xll.ciqfunctions.udf.CIQ($B15, "IQ_TOTAL_ASSETS", PP$3, $I$3, $N$3, , $J$3, $K$3)+_xll.ciqfunctions.udf.CIQ($B15, "IQ_TOTAL_ASSETS", "IQ_" &amp; LEFT(PP$3,2) &amp; "-1", PP$3, $N$3, , $J$3, $K$3)-_xll.ciqfunctions.udf.CIQ($B15, "IQ_TOTAL_CL", PP$3, $I$3, $N$3, , $J$3, $K$3)-_xll.ciqfunctions.udf.CIQ($B15, "IQ_TOTAL_CL", "IQ_" &amp; LEFT(PP$3,2) &amp; "-1", PP$3, $N$3, , $J$3, $K$3))),"")</f>
        <v/>
      </c>
      <c r="PQ15" s="89" t="str">
        <f>IFERROR(IF(OR($B15="",PQ$3=""),"",_xll.ciqfunctions.udf.CIQ($B15,"IQ_TOTAL_ASSETS",PQ$3, $I$3, $N$3, , $J$3, $K$3)/_xll.ciqfunctions.udf.CIQ($B15,"IQ_TOTAL_COMMON_EQUITY",PQ$3, $I$3, $N$3, , $J$3, $K$3)),"")</f>
        <v/>
      </c>
      <c r="PR15" s="90" t="str">
        <f>IFERROR(IF(OR($B15="",PR$3=""),"",_xll.ciqfunctions.udf.CIQ($B15,"IQ_TOTAL_ASSETS",PR$3, $I$3, $N$3, , $J$3, $K$3)/_xll.ciqfunctions.udf.CIQ($B15,"IQ_TOTAL_COMMON_EQUITY",PR$3, $I$3, $N$3, , $J$3, $K$3)),"")</f>
        <v/>
      </c>
      <c r="PS15" s="90" t="str">
        <f>IFERROR(IF(OR($B15="",PS$3=""),"",_xll.ciqfunctions.udf.CIQ($B15,"IQ_TOTAL_ASSETS",PS$3, $I$3, $N$3, , $J$3, $K$3)/_xll.ciqfunctions.udf.CIQ($B15,"IQ_TOTAL_COMMON_EQUITY",PS$3, $I$3, $N$3, , $J$3, $K$3)),"")</f>
        <v/>
      </c>
      <c r="PT15" s="90" t="str">
        <f>IFERROR(IF(OR($B15="",PT$3=""),"",_xll.ciqfunctions.udf.CIQ($B15,"IQ_TOTAL_ASSETS",PT$3, $I$3, $N$3, , $J$3, $K$3)/_xll.ciqfunctions.udf.CIQ($B15,"IQ_TOTAL_COMMON_EQUITY",PT$3, $I$3, $N$3, , $J$3, $K$3)),"")</f>
        <v/>
      </c>
      <c r="PU15" s="90" t="str">
        <f>IFERROR(IF(OR($B15="",PU$3=""),"",_xll.ciqfunctions.udf.CIQ($B15,"IQ_TOTAL_ASSETS",PU$3, $I$3, $N$3, , $J$3, $K$3)/_xll.ciqfunctions.udf.CIQ($B15,"IQ_TOTAL_COMMON_EQUITY",PU$3, $I$3, $N$3, , $J$3, $K$3)),"")</f>
        <v/>
      </c>
      <c r="PV15" s="90" t="str">
        <f>IFERROR(IF(OR($B15="",PV$3=""),"",_xll.ciqfunctions.udf.CIQ($B15,"IQ_TOTAL_ASSETS",PV$3, $I$3, $N$3, , $J$3, $K$3)/_xll.ciqfunctions.udf.CIQ($B15,"IQ_TOTAL_COMMON_EQUITY",PV$3, $I$3, $N$3, , $J$3, $K$3)),"")</f>
        <v/>
      </c>
      <c r="PW15" s="90" t="str">
        <f>IFERROR(IF(OR($B15="",PW$3=""),"",_xll.ciqfunctions.udf.CIQ($B15,"IQ_TOTAL_ASSETS",PW$3, $I$3, $N$3, , $J$3, $K$3)/_xll.ciqfunctions.udf.CIQ($B15,"IQ_TOTAL_COMMON_EQUITY",PW$3, $I$3, $N$3, , $J$3, $K$3)),"")</f>
        <v/>
      </c>
      <c r="PX15" s="90" t="str">
        <f>IFERROR(IF(OR($B15="",PX$3=""),"",_xll.ciqfunctions.udf.CIQ($B15,"IQ_TOTAL_ASSETS",PX$3, $I$3, $N$3, , $J$3, $K$3)/_xll.ciqfunctions.udf.CIQ($B15,"IQ_TOTAL_COMMON_EQUITY",PX$3, $I$3, $N$3, , $J$3, $K$3)),"")</f>
        <v/>
      </c>
      <c r="PY15" s="90" t="str">
        <f>IFERROR(IF(OR($B15="",PY$3=""),"",_xll.ciqfunctions.udf.CIQ($B15,"IQ_TOTAL_ASSETS",PY$3, $I$3, $N$3, , $J$3, $K$3)/_xll.ciqfunctions.udf.CIQ($B15,"IQ_TOTAL_COMMON_EQUITY",PY$3, $I$3, $N$3, , $J$3, $K$3)),"")</f>
        <v/>
      </c>
      <c r="PZ15" s="90" t="str">
        <f>IFERROR(IF(OR($B15="",PZ$3=""),"",_xll.ciqfunctions.udf.CIQ($B15,"IQ_TOTAL_ASSETS",PZ$3, $I$3, $N$3, , $J$3, $K$3)/_xll.ciqfunctions.udf.CIQ($B15,"IQ_TOTAL_COMMON_EQUITY",PZ$3, $I$3, $N$3, , $J$3, $K$3)),"")</f>
        <v/>
      </c>
      <c r="QA15" s="90" t="str">
        <f>IFERROR(IF(OR($B15="",QA$3=""),"",_xll.ciqfunctions.udf.CIQ($B15,"IQ_TOTAL_ASSETS",QA$3, $I$3, $N$3, , $J$3, $K$3)/_xll.ciqfunctions.udf.CIQ($B15,"IQ_TOTAL_COMMON_EQUITY",QA$3, $I$3, $N$3, , $J$3, $K$3)),"")</f>
        <v/>
      </c>
      <c r="QB15" s="90" t="str">
        <f>IFERROR(IF(OR($B15="",QB$3=""),"",_xll.ciqfunctions.udf.CIQ($B15,"IQ_TOTAL_ASSETS",QB$3, $I$3, $N$3, , $J$3, $K$3)/_xll.ciqfunctions.udf.CIQ($B15,"IQ_TOTAL_COMMON_EQUITY",QB$3, $I$3, $N$3, , $J$3, $K$3)),"")</f>
        <v/>
      </c>
      <c r="QC15" s="90" t="str">
        <f>IFERROR(IF(OR($B15="",QC$3=""),"",_xll.ciqfunctions.udf.CIQ($B15,"IQ_TOTAL_ASSETS",QC$3, $I$3, $N$3, , $J$3, $K$3)/_xll.ciqfunctions.udf.CIQ($B15,"IQ_TOTAL_COMMON_EQUITY",QC$3, $I$3, $N$3, , $J$3, $K$3)),"")</f>
        <v/>
      </c>
      <c r="QD15" s="90" t="str">
        <f>IFERROR(IF(OR($B15="",QD$3=""),"",_xll.ciqfunctions.udf.CIQ($B15,"IQ_TOTAL_ASSETS",QD$3, $I$3, $N$3, , $J$3, $K$3)/_xll.ciqfunctions.udf.CIQ($B15,"IQ_TOTAL_COMMON_EQUITY",QD$3, $I$3, $N$3, , $J$3, $K$3)),"")</f>
        <v/>
      </c>
      <c r="QE15" s="90" t="str">
        <f>IFERROR(IF(OR($B15="",QE$3=""),"",_xll.ciqfunctions.udf.CIQ($B15,"IQ_TOTAL_ASSETS",QE$3, $I$3, $N$3, , $J$3, $K$3)/_xll.ciqfunctions.udf.CIQ($B15,"IQ_TOTAL_COMMON_EQUITY",QE$3, $I$3, $N$3, , $J$3, $K$3)),"")</f>
        <v/>
      </c>
      <c r="QF15" s="90" t="str">
        <f>IFERROR(IF(OR($B15="",QF$3=""),"",_xll.ciqfunctions.udf.CIQ($B15,"IQ_TOTAL_ASSETS",QF$3, $I$3, $N$3, , $J$3, $K$3)/_xll.ciqfunctions.udf.CIQ($B15,"IQ_TOTAL_COMMON_EQUITY",QF$3, $I$3, $N$3, , $J$3, $K$3)),"")</f>
        <v/>
      </c>
      <c r="QG15" s="90" t="str">
        <f>IFERROR(IF(OR($B15="",QG$3=""),"",_xll.ciqfunctions.udf.CIQ($B15,"IQ_TOTAL_ASSETS",QG$3, $I$3, $N$3, , $J$3, $K$3)/_xll.ciqfunctions.udf.CIQ($B15,"IQ_TOTAL_COMMON_EQUITY",QG$3, $I$3, $N$3, , $J$3, $K$3)),"")</f>
        <v/>
      </c>
      <c r="QH15" s="90" t="str">
        <f>IFERROR(IF(OR($B15="",QH$3=""),"",_xll.ciqfunctions.udf.CIQ($B15,"IQ_TOTAL_ASSETS",QH$3, $I$3, $N$3, , $J$3, $K$3)/_xll.ciqfunctions.udf.CIQ($B15,"IQ_TOTAL_COMMON_EQUITY",QH$3, $I$3, $N$3, , $J$3, $K$3)),"")</f>
        <v/>
      </c>
      <c r="QI15" s="90" t="str">
        <f>IFERROR(IF(OR($B15="",QI$3=""),"",_xll.ciqfunctions.udf.CIQ($B15,"IQ_TOTAL_ASSETS",QI$3, $I$3, $N$3, , $J$3, $K$3)/_xll.ciqfunctions.udf.CIQ($B15,"IQ_TOTAL_COMMON_EQUITY",QI$3, $I$3, $N$3, , $J$3, $K$3)),"")</f>
        <v/>
      </c>
      <c r="QJ15" s="91" t="str">
        <f>IFERROR(IF(OR($B15="",QJ$3=""),"",_xll.ciqfunctions.udf.CIQ($B15,"IQ_TOTAL_ASSETS",QJ$3, $I$3, $N$3, , $J$3, $K$3)/_xll.ciqfunctions.udf.CIQ($B15,"IQ_TOTAL_COMMON_EQUITY",QJ$3, $I$3, $N$3, , $J$3, $K$3)),"")</f>
        <v/>
      </c>
      <c r="QK15" s="86" t="str">
        <f>IFERROR(IF(QK$3="","",_xll.ciqfunctions.udf.CIQ($B15, "IQ_NI", $O$3, QK$3, $N$3, , $J$3, $K$3)/_xll.ciqfunctions.udf.CIQ($B15, "IQ_TOTAL_REV", $O$3, QK$3, $N$3, , $J$3, $K$3)),"")</f>
        <v/>
      </c>
      <c r="QL15" s="87" t="str">
        <f>IFERROR(IF(QL$3="","",_xll.ciqfunctions.udf.CIQ($B15, "IQ_NI", $O$3, QL$3, $N$3, , $J$3, $K$3)/_xll.ciqfunctions.udf.CIQ($B15, "IQ_TOTAL_REV", $O$3, QL$3, $N$3, , $J$3, $K$3)),"")</f>
        <v/>
      </c>
      <c r="QM15" s="87" t="str">
        <f>IFERROR(IF(QM$3="","",_xll.ciqfunctions.udf.CIQ($B15, "IQ_NI", $O$3, QM$3, $N$3, , $J$3, $K$3)/_xll.ciqfunctions.udf.CIQ($B15, "IQ_TOTAL_REV", $O$3, QM$3, $N$3, , $J$3, $K$3)),"")</f>
        <v/>
      </c>
      <c r="QN15" s="87" t="str">
        <f>IFERROR(IF(QN$3="","",_xll.ciqfunctions.udf.CIQ($B15, "IQ_NI", $O$3, QN$3, $N$3, , $J$3, $K$3)/_xll.ciqfunctions.udf.CIQ($B15, "IQ_TOTAL_REV", $O$3, QN$3, $N$3, , $J$3, $K$3)),"")</f>
        <v/>
      </c>
      <c r="QO15" s="87" t="str">
        <f>IFERROR(IF(QO$3="","",_xll.ciqfunctions.udf.CIQ($B15, "IQ_NI", $O$3, QO$3, $N$3, , $J$3, $K$3)/_xll.ciqfunctions.udf.CIQ($B15, "IQ_TOTAL_REV", $O$3, QO$3, $N$3, , $J$3, $K$3)),"")</f>
        <v/>
      </c>
      <c r="QP15" s="87" t="str">
        <f>IFERROR(IF(QP$3="","",_xll.ciqfunctions.udf.CIQ($B15, "IQ_NI", $O$3, QP$3, $N$3, , $J$3, $K$3)/_xll.ciqfunctions.udf.CIQ($B15, "IQ_TOTAL_REV", $O$3, QP$3, $N$3, , $J$3, $K$3)),"")</f>
        <v/>
      </c>
      <c r="QQ15" s="87" t="str">
        <f>IFERROR(IF(QQ$3="","",_xll.ciqfunctions.udf.CIQ($B15, "IQ_NI", $O$3, QQ$3, $N$3, , $J$3, $K$3)/_xll.ciqfunctions.udf.CIQ($B15, "IQ_TOTAL_REV", $O$3, QQ$3, $N$3, , $J$3, $K$3)),"")</f>
        <v/>
      </c>
      <c r="QR15" s="87" t="str">
        <f>IFERROR(IF(QR$3="","",_xll.ciqfunctions.udf.CIQ($B15, "IQ_NI", $O$3, QR$3, $N$3, , $J$3, $K$3)/_xll.ciqfunctions.udf.CIQ($B15, "IQ_TOTAL_REV", $O$3, QR$3, $N$3, , $J$3, $K$3)),"")</f>
        <v/>
      </c>
      <c r="QS15" s="87" t="str">
        <f>IFERROR(IF(QS$3="","",_xll.ciqfunctions.udf.CIQ($B15, "IQ_NI", $O$3, QS$3, $N$3, , $J$3, $K$3)/_xll.ciqfunctions.udf.CIQ($B15, "IQ_TOTAL_REV", $O$3, QS$3, $N$3, , $J$3, $K$3)),"")</f>
        <v/>
      </c>
      <c r="QT15" s="87" t="str">
        <f>IFERROR(IF(QT$3="","",_xll.ciqfunctions.udf.CIQ($B15, "IQ_NI", $O$3, QT$3, $N$3, , $J$3, $K$3)/_xll.ciqfunctions.udf.CIQ($B15, "IQ_TOTAL_REV", $O$3, QT$3, $N$3, , $J$3, $K$3)),"")</f>
        <v/>
      </c>
      <c r="QU15" s="87" t="str">
        <f>IFERROR(IF(QU$3="","",_xll.ciqfunctions.udf.CIQ($B15, "IQ_NI", $O$3, QU$3, $N$3, , $J$3, $K$3)/_xll.ciqfunctions.udf.CIQ($B15, "IQ_TOTAL_REV", $O$3, QU$3, $N$3, , $J$3, $K$3)),"")</f>
        <v/>
      </c>
      <c r="QV15" s="87" t="str">
        <f>IFERROR(IF(QV$3="","",_xll.ciqfunctions.udf.CIQ($B15, "IQ_NI", $O$3, QV$3, $N$3, , $J$3, $K$3)/_xll.ciqfunctions.udf.CIQ($B15, "IQ_TOTAL_REV", $O$3, QV$3, $N$3, , $J$3, $K$3)),"")</f>
        <v/>
      </c>
      <c r="QW15" s="87" t="str">
        <f>IFERROR(IF(QW$3="","",_xll.ciqfunctions.udf.CIQ($B15, "IQ_NI", $O$3, QW$3, $N$3, , $J$3, $K$3)/_xll.ciqfunctions.udf.CIQ($B15, "IQ_TOTAL_REV", $O$3, QW$3, $N$3, , $J$3, $K$3)),"")</f>
        <v/>
      </c>
      <c r="QX15" s="87" t="str">
        <f>IFERROR(IF(QX$3="","",_xll.ciqfunctions.udf.CIQ($B15, "IQ_NI", $O$3, QX$3, $N$3, , $J$3, $K$3)/_xll.ciqfunctions.udf.CIQ($B15, "IQ_TOTAL_REV", $O$3, QX$3, $N$3, , $J$3, $K$3)),"")</f>
        <v/>
      </c>
      <c r="QY15" s="87" t="str">
        <f>IFERROR(IF(QY$3="","",_xll.ciqfunctions.udf.CIQ($B15, "IQ_NI", $O$3, QY$3, $N$3, , $J$3, $K$3)/_xll.ciqfunctions.udf.CIQ($B15, "IQ_TOTAL_REV", $O$3, QY$3, $N$3, , $J$3, $K$3)),"")</f>
        <v/>
      </c>
      <c r="QZ15" s="87" t="str">
        <f>IFERROR(IF(QZ$3="","",_xll.ciqfunctions.udf.CIQ($B15, "IQ_NI", $O$3, QZ$3, $N$3, , $J$3, $K$3)/_xll.ciqfunctions.udf.CIQ($B15, "IQ_TOTAL_REV", $O$3, QZ$3, $N$3, , $J$3, $K$3)),"")</f>
        <v/>
      </c>
      <c r="RA15" s="87" t="str">
        <f>IFERROR(IF(RA$3="","",_xll.ciqfunctions.udf.CIQ($B15, "IQ_NI", $O$3, RA$3, $N$3, , $J$3, $K$3)/_xll.ciqfunctions.udf.CIQ($B15, "IQ_TOTAL_REV", $O$3, RA$3, $N$3, , $J$3, $K$3)),"")</f>
        <v/>
      </c>
      <c r="RB15" s="87" t="str">
        <f>IFERROR(IF(RB$3="","",_xll.ciqfunctions.udf.CIQ($B15, "IQ_NI", $O$3, RB$3, $N$3, , $J$3, $K$3)/_xll.ciqfunctions.udf.CIQ($B15, "IQ_TOTAL_REV", $O$3, RB$3, $N$3, , $J$3, $K$3)),"")</f>
        <v/>
      </c>
      <c r="RC15" s="87" t="str">
        <f>IFERROR(IF(RC$3="","",_xll.ciqfunctions.udf.CIQ($B15, "IQ_NI", $O$3, RC$3, $N$3, , $J$3, $K$3)/_xll.ciqfunctions.udf.CIQ($B15, "IQ_TOTAL_REV", $O$3, RC$3, $N$3, , $J$3, $K$3)),"")</f>
        <v/>
      </c>
      <c r="RD15" s="88" t="str">
        <f>IFERROR(IF(RD$3="","",_xll.ciqfunctions.udf.CIQ($B15, "IQ_NI", $O$3, RD$3, $N$3, , $J$3, $K$3)/_xll.ciqfunctions.udf.CIQ($B15, "IQ_TOTAL_REV", $O$3, RD$3, $N$3, , $J$3, $K$3)),"")</f>
        <v/>
      </c>
      <c r="RE15" s="86" t="str">
        <f>IFERROR(IF(OR($B15="",OC$3=""),"",_xll.ciqfunctions.udf.CIQ($B15,"IQ_NI",$O$3, RE$3, $N$3, , $J$3, $K$3)*2/(_xll.ciqfunctions.udf.CIQ($B15,"IQ_TOTAL_EQUITY", RE$3,$I$3, $N$3, , $J$3, $K$3)+_xll.ciqfunctions.udf.CIQ($B15,"IQ_TOTAL_EQUITY", "IQ_" &amp; LEFT(RE$3,2) &amp; "-1", RE$3, $N$3, , $J$3, $K$3))),"")</f>
        <v/>
      </c>
      <c r="RF15" s="86" t="str">
        <f>IFERROR(IF(OR($B15="",OD$3=""),"",_xll.ciqfunctions.udf.CIQ($B15,"IQ_NI",$O$3, RF$3, $N$3, , $J$3, $K$3)*2/(_xll.ciqfunctions.udf.CIQ($B15,"IQ_TOTAL_EQUITY", RF$3,$I$3, $N$3, , $J$3, $K$3)+_xll.ciqfunctions.udf.CIQ($B15,"IQ_TOTAL_EQUITY", "IQ_" &amp; LEFT(RF$3,2) &amp; "-1", RF$3, $N$3, , $J$3, $K$3))),"")</f>
        <v/>
      </c>
      <c r="RG15" s="86" t="str">
        <f>IFERROR(IF(OR($B15="",OE$3=""),"",_xll.ciqfunctions.udf.CIQ($B15,"IQ_NI",$O$3, RG$3, $N$3, , $J$3, $K$3)*2/(_xll.ciqfunctions.udf.CIQ($B15,"IQ_TOTAL_EQUITY", RG$3,$I$3, $N$3, , $J$3, $K$3)+_xll.ciqfunctions.udf.CIQ($B15,"IQ_TOTAL_EQUITY", "IQ_" &amp; LEFT(RG$3,2) &amp; "-1", RG$3, $N$3, , $J$3, $K$3))),"")</f>
        <v/>
      </c>
      <c r="RH15" s="86" t="str">
        <f>IFERROR(IF(OR($B15="",OF$3=""),"",_xll.ciqfunctions.udf.CIQ($B15,"IQ_NI",$O$3, RH$3, $N$3, , $J$3, $K$3)*2/(_xll.ciqfunctions.udf.CIQ($B15,"IQ_TOTAL_EQUITY", RH$3,$I$3, $N$3, , $J$3, $K$3)+_xll.ciqfunctions.udf.CIQ($B15,"IQ_TOTAL_EQUITY", "IQ_" &amp; LEFT(RH$3,2) &amp; "-1", RH$3, $N$3, , $J$3, $K$3))),"")</f>
        <v/>
      </c>
      <c r="RI15" s="86" t="str">
        <f>IFERROR(IF(OR($B15="",OG$3=""),"",_xll.ciqfunctions.udf.CIQ($B15,"IQ_NI",$O$3, RI$3, $N$3, , $J$3, $K$3)*2/(_xll.ciqfunctions.udf.CIQ($B15,"IQ_TOTAL_EQUITY", RI$3,$I$3, $N$3, , $J$3, $K$3)+_xll.ciqfunctions.udf.CIQ($B15,"IQ_TOTAL_EQUITY", "IQ_" &amp; LEFT(RI$3,2) &amp; "-1", RI$3, $N$3, , $J$3, $K$3))),"")</f>
        <v/>
      </c>
      <c r="RJ15" s="86" t="str">
        <f>IFERROR(IF(OR($B15="",OH$3=""),"",_xll.ciqfunctions.udf.CIQ($B15,"IQ_NI",$O$3, RJ$3, $N$3, , $J$3, $K$3)*2/(_xll.ciqfunctions.udf.CIQ($B15,"IQ_TOTAL_EQUITY", RJ$3,$I$3, $N$3, , $J$3, $K$3)+_xll.ciqfunctions.udf.CIQ($B15,"IQ_TOTAL_EQUITY", "IQ_" &amp; LEFT(RJ$3,2) &amp; "-1", RJ$3, $N$3, , $J$3, $K$3))),"")</f>
        <v/>
      </c>
      <c r="RK15" s="86" t="str">
        <f>IFERROR(IF(OR($B15="",OI$3=""),"",_xll.ciqfunctions.udf.CIQ($B15,"IQ_NI",$O$3, RK$3, $N$3, , $J$3, $K$3)*2/(_xll.ciqfunctions.udf.CIQ($B15,"IQ_TOTAL_EQUITY", RK$3,$I$3, $N$3, , $J$3, $K$3)+_xll.ciqfunctions.udf.CIQ($B15,"IQ_TOTAL_EQUITY", "IQ_" &amp; LEFT(RK$3,2) &amp; "-1", RK$3, $N$3, , $J$3, $K$3))),"")</f>
        <v/>
      </c>
      <c r="RL15" s="86" t="str">
        <f>IFERROR(IF(OR($B15="",OJ$3=""),"",_xll.ciqfunctions.udf.CIQ($B15,"IQ_NI",$O$3, RL$3, $N$3, , $J$3, $K$3)*2/(_xll.ciqfunctions.udf.CIQ($B15,"IQ_TOTAL_EQUITY", RL$3,$I$3, $N$3, , $J$3, $K$3)+_xll.ciqfunctions.udf.CIQ($B15,"IQ_TOTAL_EQUITY", "IQ_" &amp; LEFT(RL$3,2) &amp; "-1", RL$3, $N$3, , $J$3, $K$3))),"")</f>
        <v/>
      </c>
      <c r="RM15" s="86" t="str">
        <f>IFERROR(IF(OR($B15="",OK$3=""),"",_xll.ciqfunctions.udf.CIQ($B15,"IQ_NI",$O$3, RM$3, $N$3, , $J$3, $K$3)*2/(_xll.ciqfunctions.udf.CIQ($B15,"IQ_TOTAL_EQUITY", RM$3,$I$3, $N$3, , $J$3, $K$3)+_xll.ciqfunctions.udf.CIQ($B15,"IQ_TOTAL_EQUITY", "IQ_" &amp; LEFT(RM$3,2) &amp; "-1", RM$3, $N$3, , $J$3, $K$3))),"")</f>
        <v/>
      </c>
      <c r="RN15" s="86" t="str">
        <f>IFERROR(IF(OR($B15="",OL$3=""),"",_xll.ciqfunctions.udf.CIQ($B15,"IQ_NI",$O$3, RN$3, $N$3, , $J$3, $K$3)*2/(_xll.ciqfunctions.udf.CIQ($B15,"IQ_TOTAL_EQUITY", RN$3,$I$3, $N$3, , $J$3, $K$3)+_xll.ciqfunctions.udf.CIQ($B15,"IQ_TOTAL_EQUITY", "IQ_" &amp; LEFT(RN$3,2) &amp; "-1", RN$3, $N$3, , $J$3, $K$3))),"")</f>
        <v/>
      </c>
      <c r="RO15" s="86" t="str">
        <f>IFERROR(IF(OR($B15="",OM$3=""),"",_xll.ciqfunctions.udf.CIQ($B15,"IQ_NI",$O$3, RO$3, $N$3, , $J$3, $K$3)*2/(_xll.ciqfunctions.udf.CIQ($B15,"IQ_TOTAL_EQUITY", RO$3,$I$3, $N$3, , $J$3, $K$3)+_xll.ciqfunctions.udf.CIQ($B15,"IQ_TOTAL_EQUITY", "IQ_" &amp; LEFT(RO$3,2) &amp; "-1", RO$3, $N$3, , $J$3, $K$3))),"")</f>
        <v/>
      </c>
      <c r="RP15" s="86" t="str">
        <f>IFERROR(IF(OR($B15="",ON$3=""),"",_xll.ciqfunctions.udf.CIQ($B15,"IQ_NI",$O$3, RP$3, $N$3, , $J$3, $K$3)*2/(_xll.ciqfunctions.udf.CIQ($B15,"IQ_TOTAL_EQUITY", RP$3,$I$3, $N$3, , $J$3, $K$3)+_xll.ciqfunctions.udf.CIQ($B15,"IQ_TOTAL_EQUITY", "IQ_" &amp; LEFT(RP$3,2) &amp; "-1", RP$3, $N$3, , $J$3, $K$3))),"")</f>
        <v/>
      </c>
      <c r="RQ15" s="86" t="str">
        <f>IFERROR(IF(OR($B15="",OO$3=""),"",_xll.ciqfunctions.udf.CIQ($B15,"IQ_NI",$O$3, RQ$3, $N$3, , $J$3, $K$3)*2/(_xll.ciqfunctions.udf.CIQ($B15,"IQ_TOTAL_EQUITY", RQ$3,$I$3, $N$3, , $J$3, $K$3)+_xll.ciqfunctions.udf.CIQ($B15,"IQ_TOTAL_EQUITY", "IQ_" &amp; LEFT(RQ$3,2) &amp; "-1", RQ$3, $N$3, , $J$3, $K$3))),"")</f>
        <v/>
      </c>
      <c r="RR15" s="86" t="str">
        <f>IFERROR(IF(OR($B15="",OP$3=""),"",_xll.ciqfunctions.udf.CIQ($B15,"IQ_NI",$O$3, RR$3, $N$3, , $J$3, $K$3)*2/(_xll.ciqfunctions.udf.CIQ($B15,"IQ_TOTAL_EQUITY", RR$3,$I$3, $N$3, , $J$3, $K$3)+_xll.ciqfunctions.udf.CIQ($B15,"IQ_TOTAL_EQUITY", "IQ_" &amp; LEFT(RR$3,2) &amp; "-1", RR$3, $N$3, , $J$3, $K$3))),"")</f>
        <v/>
      </c>
      <c r="RS15" s="86" t="str">
        <f>IFERROR(IF(OR($B15="",OQ$3=""),"",_xll.ciqfunctions.udf.CIQ($B15,"IQ_NI",$O$3, RS$3, $N$3, , $J$3, $K$3)*2/(_xll.ciqfunctions.udf.CIQ($B15,"IQ_TOTAL_EQUITY", RS$3,$I$3, $N$3, , $J$3, $K$3)+_xll.ciqfunctions.udf.CIQ($B15,"IQ_TOTAL_EQUITY", "IQ_" &amp; LEFT(RS$3,2) &amp; "-1", RS$3, $N$3, , $J$3, $K$3))),"")</f>
        <v/>
      </c>
      <c r="RT15" s="86" t="str">
        <f>IFERROR(IF(OR($B15="",OR$3=""),"",_xll.ciqfunctions.udf.CIQ($B15,"IQ_NI",$O$3, RT$3, $N$3, , $J$3, $K$3)*2/(_xll.ciqfunctions.udf.CIQ($B15,"IQ_TOTAL_EQUITY", RT$3,$I$3, $N$3, , $J$3, $K$3)+_xll.ciqfunctions.udf.CIQ($B15,"IQ_TOTAL_EQUITY", "IQ_" &amp; LEFT(RT$3,2) &amp; "-1", RT$3, $N$3, , $J$3, $K$3))),"")</f>
        <v/>
      </c>
      <c r="RU15" s="86" t="str">
        <f>IFERROR(IF(OR($B15="",OS$3=""),"",_xll.ciqfunctions.udf.CIQ($B15,"IQ_NI",$O$3, RU$3, $N$3, , $J$3, $K$3)*2/(_xll.ciqfunctions.udf.CIQ($B15,"IQ_TOTAL_EQUITY", RU$3,$I$3, $N$3, , $J$3, $K$3)+_xll.ciqfunctions.udf.CIQ($B15,"IQ_TOTAL_EQUITY", "IQ_" &amp; LEFT(RU$3,2) &amp; "-1", RU$3, $N$3, , $J$3, $K$3))),"")</f>
        <v/>
      </c>
      <c r="RV15" s="86" t="str">
        <f>IFERROR(IF(OR($B15="",OT$3=""),"",_xll.ciqfunctions.udf.CIQ($B15,"IQ_NI",$O$3, RV$3, $N$3, , $J$3, $K$3)*2/(_xll.ciqfunctions.udf.CIQ($B15,"IQ_TOTAL_EQUITY", RV$3,$I$3, $N$3, , $J$3, $K$3)+_xll.ciqfunctions.udf.CIQ($B15,"IQ_TOTAL_EQUITY", "IQ_" &amp; LEFT(RV$3,2) &amp; "-1", RV$3, $N$3, , $J$3, $K$3))),"")</f>
        <v/>
      </c>
      <c r="RW15" s="86" t="str">
        <f>IFERROR(IF(OR($B15="",OU$3=""),"",_xll.ciqfunctions.udf.CIQ($B15,"IQ_NI",$O$3, RW$3, $N$3, , $J$3, $K$3)*2/(_xll.ciqfunctions.udf.CIQ($B15,"IQ_TOTAL_EQUITY", RW$3,$I$3, $N$3, , $J$3, $K$3)+_xll.ciqfunctions.udf.CIQ($B15,"IQ_TOTAL_EQUITY", "IQ_" &amp; LEFT(RW$3,2) &amp; "-1", RW$3, $N$3, , $J$3, $K$3))),"")</f>
        <v/>
      </c>
      <c r="RX15" s="86" t="str">
        <f>IFERROR(IF(OR($B15="",OV$3=""),"",_xll.ciqfunctions.udf.CIQ($B15,"IQ_NI",$O$3, RX$3, $N$3, , $J$3, $K$3)*2/(_xll.ciqfunctions.udf.CIQ($B15,"IQ_TOTAL_EQUITY", RX$3,$I$3, $N$3, , $J$3, $K$3)+_xll.ciqfunctions.udf.CIQ($B15,"IQ_TOTAL_EQUITY", "IQ_" &amp; LEFT(RX$3,2) &amp; "-1", RX$3, $N$3, , $J$3, $K$3))),"")</f>
        <v/>
      </c>
      <c r="RY15" s="86" t="str">
        <f>IFERROR(IF(OR($B15="",RY$3=""),"",_xll.ciqfunctions.udf.CIQ($B15,"IQ_CASH_OPER",$O$3, RY$3, $N$3, , $J$3, $K$3)*2/(_xll.ciqfunctions.udf.CIQ($B15,"IQ_TOTAL_CL",RY$3,$I$3, $N$3, , $J$3, $K$3)+_xll.ciqfunctions.udf.CIQ($B15,"IQ_TOTAL_CL","IQ_" &amp; LEFT(RY$3,2) &amp; "-1", RY$3, $N$3, , $J$3, $K$3))),"")</f>
        <v/>
      </c>
      <c r="RZ15" s="87" t="str">
        <f>IFERROR(IF(OR($B15="",RZ$3=""),"",_xll.ciqfunctions.udf.CIQ($B15,"IQ_CASH_OPER",$O$3, RZ$3, $N$3, , $J$3, $K$3)*2/(_xll.ciqfunctions.udf.CIQ($B15,"IQ_TOTAL_CL",RZ$3,$I$3, $N$3, , $J$3, $K$3)+_xll.ciqfunctions.udf.CIQ($B15,"IQ_TOTAL_CL","IQ_" &amp; LEFT(RZ$3,2) &amp; "-1", RZ$3, $N$3, , $J$3, $K$3))),"")</f>
        <v/>
      </c>
      <c r="SA15" s="87" t="str">
        <f>IFERROR(IF(OR($B15="",SA$3=""),"",_xll.ciqfunctions.udf.CIQ($B15,"IQ_CASH_OPER",$O$3, SA$3, $N$3, , $J$3, $K$3)*2/(_xll.ciqfunctions.udf.CIQ($B15,"IQ_TOTAL_CL",SA$3,$I$3, $N$3, , $J$3, $K$3)+_xll.ciqfunctions.udf.CIQ($B15,"IQ_TOTAL_CL","IQ_" &amp; LEFT(SA$3,2) &amp; "-1", SA$3, $N$3, , $J$3, $K$3))),"")</f>
        <v/>
      </c>
      <c r="SB15" s="87" t="str">
        <f>IFERROR(IF(OR($B15="",SB$3=""),"",_xll.ciqfunctions.udf.CIQ($B15,"IQ_CASH_OPER",$O$3, SB$3, $N$3, , $J$3, $K$3)*2/(_xll.ciqfunctions.udf.CIQ($B15,"IQ_TOTAL_CL",SB$3,$I$3, $N$3, , $J$3, $K$3)+_xll.ciqfunctions.udf.CIQ($B15,"IQ_TOTAL_CL","IQ_" &amp; LEFT(SB$3,2) &amp; "-1", SB$3, $N$3, , $J$3, $K$3))),"")</f>
        <v/>
      </c>
      <c r="SC15" s="87" t="str">
        <f>IFERROR(IF(OR($B15="",SC$3=""),"",_xll.ciqfunctions.udf.CIQ($B15,"IQ_CASH_OPER",$O$3, SC$3, $N$3, , $J$3, $K$3)*2/(_xll.ciqfunctions.udf.CIQ($B15,"IQ_TOTAL_CL",SC$3,$I$3, $N$3, , $J$3, $K$3)+_xll.ciqfunctions.udf.CIQ($B15,"IQ_TOTAL_CL","IQ_" &amp; LEFT(SC$3,2) &amp; "-1", SC$3, $N$3, , $J$3, $K$3))),"")</f>
        <v/>
      </c>
      <c r="SD15" s="87" t="str">
        <f>IFERROR(IF(OR($B15="",SD$3=""),"",_xll.ciqfunctions.udf.CIQ($B15,"IQ_CASH_OPER",$O$3, SD$3, $N$3, , $J$3, $K$3)*2/(_xll.ciqfunctions.udf.CIQ($B15,"IQ_TOTAL_CL",SD$3,$I$3, $N$3, , $J$3, $K$3)+_xll.ciqfunctions.udf.CIQ($B15,"IQ_TOTAL_CL","IQ_" &amp; LEFT(SD$3,2) &amp; "-1", SD$3, $N$3, , $J$3, $K$3))),"")</f>
        <v/>
      </c>
      <c r="SE15" s="87" t="str">
        <f>IFERROR(IF(OR($B15="",SE$3=""),"",_xll.ciqfunctions.udf.CIQ($B15,"IQ_CASH_OPER",$O$3, SE$3, $N$3, , $J$3, $K$3)*2/(_xll.ciqfunctions.udf.CIQ($B15,"IQ_TOTAL_CL",SE$3,$I$3, $N$3, , $J$3, $K$3)+_xll.ciqfunctions.udf.CIQ($B15,"IQ_TOTAL_CL","IQ_" &amp; LEFT(SE$3,2) &amp; "-1", SE$3, $N$3, , $J$3, $K$3))),"")</f>
        <v/>
      </c>
      <c r="SF15" s="87" t="str">
        <f>IFERROR(IF(OR($B15="",SF$3=""),"",_xll.ciqfunctions.udf.CIQ($B15,"IQ_CASH_OPER",$O$3, SF$3, $N$3, , $J$3, $K$3)*2/(_xll.ciqfunctions.udf.CIQ($B15,"IQ_TOTAL_CL",SF$3,$I$3, $N$3, , $J$3, $K$3)+_xll.ciqfunctions.udf.CIQ($B15,"IQ_TOTAL_CL","IQ_" &amp; LEFT(SF$3,2) &amp; "-1", SF$3, $N$3, , $J$3, $K$3))),"")</f>
        <v/>
      </c>
      <c r="SG15" s="87" t="str">
        <f>IFERROR(IF(OR($B15="",SG$3=""),"",_xll.ciqfunctions.udf.CIQ($B15,"IQ_CASH_OPER",$O$3, SG$3, $N$3, , $J$3, $K$3)*2/(_xll.ciqfunctions.udf.CIQ($B15,"IQ_TOTAL_CL",SG$3,$I$3, $N$3, , $J$3, $K$3)+_xll.ciqfunctions.udf.CIQ($B15,"IQ_TOTAL_CL","IQ_" &amp; LEFT(SG$3,2) &amp; "-1", SG$3, $N$3, , $J$3, $K$3))),"")</f>
        <v/>
      </c>
      <c r="SH15" s="87" t="str">
        <f>IFERROR(IF(OR($B15="",SH$3=""),"",_xll.ciqfunctions.udf.CIQ($B15,"IQ_CASH_OPER",$O$3, SH$3, $N$3, , $J$3, $K$3)*2/(_xll.ciqfunctions.udf.CIQ($B15,"IQ_TOTAL_CL",SH$3,$I$3, $N$3, , $J$3, $K$3)+_xll.ciqfunctions.udf.CIQ($B15,"IQ_TOTAL_CL","IQ_" &amp; LEFT(SH$3,2) &amp; "-1", SH$3, $N$3, , $J$3, $K$3))),"")</f>
        <v/>
      </c>
      <c r="SI15" s="87" t="str">
        <f>IFERROR(IF(OR($B15="",SI$3=""),"",_xll.ciqfunctions.udf.CIQ($B15,"IQ_CASH_OPER",$O$3, SI$3, $N$3, , $J$3, $K$3)*2/(_xll.ciqfunctions.udf.CIQ($B15,"IQ_TOTAL_CL",SI$3,$I$3, $N$3, , $J$3, $K$3)+_xll.ciqfunctions.udf.CIQ($B15,"IQ_TOTAL_CL","IQ_" &amp; LEFT(SI$3,2) &amp; "-1", SI$3, $N$3, , $J$3, $K$3))),"")</f>
        <v/>
      </c>
      <c r="SJ15" s="87" t="str">
        <f>IFERROR(IF(OR($B15="",SJ$3=""),"",_xll.ciqfunctions.udf.CIQ($B15,"IQ_CASH_OPER",$O$3, SJ$3, $N$3, , $J$3, $K$3)*2/(_xll.ciqfunctions.udf.CIQ($B15,"IQ_TOTAL_CL",SJ$3,$I$3, $N$3, , $J$3, $K$3)+_xll.ciqfunctions.udf.CIQ($B15,"IQ_TOTAL_CL","IQ_" &amp; LEFT(SJ$3,2) &amp; "-1", SJ$3, $N$3, , $J$3, $K$3))),"")</f>
        <v/>
      </c>
      <c r="SK15" s="87" t="str">
        <f>IFERROR(IF(OR($B15="",SK$3=""),"",_xll.ciqfunctions.udf.CIQ($B15,"IQ_CASH_OPER",$O$3, SK$3, $N$3, , $J$3, $K$3)*2/(_xll.ciqfunctions.udf.CIQ($B15,"IQ_TOTAL_CL",SK$3,$I$3, $N$3, , $J$3, $K$3)+_xll.ciqfunctions.udf.CIQ($B15,"IQ_TOTAL_CL","IQ_" &amp; LEFT(SK$3,2) &amp; "-1", SK$3, $N$3, , $J$3, $K$3))),"")</f>
        <v/>
      </c>
      <c r="SL15" s="87" t="str">
        <f>IFERROR(IF(OR($B15="",SL$3=""),"",_xll.ciqfunctions.udf.CIQ($B15,"IQ_CASH_OPER",$O$3, SL$3, $N$3, , $J$3, $K$3)*2/(_xll.ciqfunctions.udf.CIQ($B15,"IQ_TOTAL_CL",SL$3,$I$3, $N$3, , $J$3, $K$3)+_xll.ciqfunctions.udf.CIQ($B15,"IQ_TOTAL_CL","IQ_" &amp; LEFT(SL$3,2) &amp; "-1", SL$3, $N$3, , $J$3, $K$3))),"")</f>
        <v/>
      </c>
      <c r="SM15" s="87" t="str">
        <f>IFERROR(IF(OR($B15="",SM$3=""),"",_xll.ciqfunctions.udf.CIQ($B15,"IQ_CASH_OPER",$O$3, SM$3, $N$3, , $J$3, $K$3)*2/(_xll.ciqfunctions.udf.CIQ($B15,"IQ_TOTAL_CL",SM$3,$I$3, $N$3, , $J$3, $K$3)+_xll.ciqfunctions.udf.CIQ($B15,"IQ_TOTAL_CL","IQ_" &amp; LEFT(SM$3,2) &amp; "-1", SM$3, $N$3, , $J$3, $K$3))),"")</f>
        <v/>
      </c>
      <c r="SN15" s="87" t="str">
        <f>IFERROR(IF(OR($B15="",SN$3=""),"",_xll.ciqfunctions.udf.CIQ($B15,"IQ_CASH_OPER",$O$3, SN$3, $N$3, , $J$3, $K$3)*2/(_xll.ciqfunctions.udf.CIQ($B15,"IQ_TOTAL_CL",SN$3,$I$3, $N$3, , $J$3, $K$3)+_xll.ciqfunctions.udf.CIQ($B15,"IQ_TOTAL_CL","IQ_" &amp; LEFT(SN$3,2) &amp; "-1", SN$3, $N$3, , $J$3, $K$3))),"")</f>
        <v/>
      </c>
      <c r="SO15" s="87" t="str">
        <f>IFERROR(IF(OR($B15="",SO$3=""),"",_xll.ciqfunctions.udf.CIQ($B15,"IQ_CASH_OPER",$O$3, SO$3, $N$3, , $J$3, $K$3)*2/(_xll.ciqfunctions.udf.CIQ($B15,"IQ_TOTAL_CL",SO$3,$I$3, $N$3, , $J$3, $K$3)+_xll.ciqfunctions.udf.CIQ($B15,"IQ_TOTAL_CL","IQ_" &amp; LEFT(SO$3,2) &amp; "-1", SO$3, $N$3, , $J$3, $K$3))),"")</f>
        <v/>
      </c>
      <c r="SP15" s="87" t="str">
        <f>IFERROR(IF(OR($B15="",SP$3=""),"",_xll.ciqfunctions.udf.CIQ($B15,"IQ_CASH_OPER",$O$3, SP$3, $N$3, , $J$3, $K$3)*2/(_xll.ciqfunctions.udf.CIQ($B15,"IQ_TOTAL_CL",SP$3,$I$3, $N$3, , $J$3, $K$3)+_xll.ciqfunctions.udf.CIQ($B15,"IQ_TOTAL_CL","IQ_" &amp; LEFT(SP$3,2) &amp; "-1", SP$3, $N$3, , $J$3, $K$3))),"")</f>
        <v/>
      </c>
      <c r="SQ15" s="87" t="str">
        <f>IFERROR(IF(OR($B15="",SQ$3=""),"",_xll.ciqfunctions.udf.CIQ($B15,"IQ_CASH_OPER",$O$3, SQ$3, $N$3, , $J$3, $K$3)*2/(_xll.ciqfunctions.udf.CIQ($B15,"IQ_TOTAL_CL",SQ$3,$I$3, $N$3, , $J$3, $K$3)+_xll.ciqfunctions.udf.CIQ($B15,"IQ_TOTAL_CL","IQ_" &amp; LEFT(SQ$3,2) &amp; "-1", SQ$3, $N$3, , $J$3, $K$3))),"")</f>
        <v/>
      </c>
      <c r="SR15" s="88" t="str">
        <f>IFERROR(IF(OR($B15="",SR$3=""),"",_xll.ciqfunctions.udf.CIQ($B15,"IQ_CASH_OPER",$O$3, SR$3, $N$3, , $J$3, $K$3)*2/(_xll.ciqfunctions.udf.CIQ($B15,"IQ_TOTAL_CL",SR$3,$I$3, $N$3, , $J$3, $K$3)+_xll.ciqfunctions.udf.CIQ($B15,"IQ_TOTAL_CL","IQ_" &amp; LEFT(SR$3,2) &amp; "-1", SR$3, $N$3, , $J$3, $K$3))),"")</f>
        <v/>
      </c>
      <c r="SS15" s="86" t="str">
        <f>IFERROR(IF(OR($B15="",SS$3=""),"",MAX(_xll.ciqfunctions.udf.CIQ($B15,"IQ_INC_TAX",SS$3,$I$3, $N$3, , $J$3, $K$3)/ABS(_xll.ciqfunctions.udf.CIQ($B15,"IQ_EBT",SS$3,$I$3, $N$3, , $J$3, $K$3)),0)),"")</f>
        <v/>
      </c>
      <c r="ST15" s="87" t="str">
        <f>IFERROR(IF(OR($B15="",ST$3=""),"",MAX(_xll.ciqfunctions.udf.CIQ($B15,"IQ_INC_TAX",ST$3,$I$3, $N$3, , $J$3, $K$3)/ABS(_xll.ciqfunctions.udf.CIQ($B15,"IQ_EBT",ST$3,$I$3, $N$3, , $J$3, $K$3)),0)),"")</f>
        <v/>
      </c>
      <c r="SU15" s="87" t="str">
        <f>IFERROR(IF(OR($B15="",SU$3=""),"",MAX(_xll.ciqfunctions.udf.CIQ($B15,"IQ_INC_TAX",SU$3,$I$3, $N$3, , $J$3, $K$3)/ABS(_xll.ciqfunctions.udf.CIQ($B15,"IQ_EBT",SU$3,$I$3, $N$3, , $J$3, $K$3)),0)),"")</f>
        <v/>
      </c>
      <c r="SV15" s="87" t="str">
        <f>IFERROR(IF(OR($B15="",SV$3=""),"",MAX(_xll.ciqfunctions.udf.CIQ($B15,"IQ_INC_TAX",SV$3,$I$3, $N$3, , $J$3, $K$3)/ABS(_xll.ciqfunctions.udf.CIQ($B15,"IQ_EBT",SV$3,$I$3, $N$3, , $J$3, $K$3)),0)),"")</f>
        <v/>
      </c>
      <c r="SW15" s="87" t="str">
        <f>IFERROR(IF(OR($B15="",SW$3=""),"",MAX(_xll.ciqfunctions.udf.CIQ($B15,"IQ_INC_TAX",SW$3,$I$3, $N$3, , $J$3, $K$3)/ABS(_xll.ciqfunctions.udf.CIQ($B15,"IQ_EBT",SW$3,$I$3, $N$3, , $J$3, $K$3)),0)),"")</f>
        <v/>
      </c>
      <c r="SX15" s="87" t="str">
        <f>IFERROR(IF(OR($B15="",SX$3=""),"",MAX(_xll.ciqfunctions.udf.CIQ($B15,"IQ_INC_TAX",SX$3,$I$3, $N$3, , $J$3, $K$3)/ABS(_xll.ciqfunctions.udf.CIQ($B15,"IQ_EBT",SX$3,$I$3, $N$3, , $J$3, $K$3)),0)),"")</f>
        <v/>
      </c>
      <c r="SY15" s="87" t="str">
        <f>IFERROR(IF(OR($B15="",SY$3=""),"",MAX(_xll.ciqfunctions.udf.CIQ($B15,"IQ_INC_TAX",SY$3,$I$3, $N$3, , $J$3, $K$3)/ABS(_xll.ciqfunctions.udf.CIQ($B15,"IQ_EBT",SY$3,$I$3, $N$3, , $J$3, $K$3)),0)),"")</f>
        <v/>
      </c>
      <c r="SZ15" s="87" t="str">
        <f>IFERROR(IF(OR($B15="",SZ$3=""),"",MAX(_xll.ciqfunctions.udf.CIQ($B15,"IQ_INC_TAX",SZ$3,$I$3, $N$3, , $J$3, $K$3)/ABS(_xll.ciqfunctions.udf.CIQ($B15,"IQ_EBT",SZ$3,$I$3, $N$3, , $J$3, $K$3)),0)),"")</f>
        <v/>
      </c>
      <c r="TA15" s="87" t="str">
        <f>IFERROR(IF(OR($B15="",TA$3=""),"",MAX(_xll.ciqfunctions.udf.CIQ($B15,"IQ_INC_TAX",TA$3,$I$3, $N$3, , $J$3, $K$3)/ABS(_xll.ciqfunctions.udf.CIQ($B15,"IQ_EBT",TA$3,$I$3, $N$3, , $J$3, $K$3)),0)),"")</f>
        <v/>
      </c>
      <c r="TB15" s="87" t="str">
        <f>IFERROR(IF(OR($B15="",TB$3=""),"",MAX(_xll.ciqfunctions.udf.CIQ($B15,"IQ_INC_TAX",TB$3,$I$3, $N$3, , $J$3, $K$3)/ABS(_xll.ciqfunctions.udf.CIQ($B15,"IQ_EBT",TB$3,$I$3, $N$3, , $J$3, $K$3)),0)),"")</f>
        <v/>
      </c>
      <c r="TC15" s="87" t="str">
        <f>IFERROR(IF(OR($B15="",TC$3=""),"",MAX(_xll.ciqfunctions.udf.CIQ($B15,"IQ_INC_TAX",TC$3,$I$3, $N$3, , $J$3, $K$3)/ABS(_xll.ciqfunctions.udf.CIQ($B15,"IQ_EBT",TC$3,$I$3, $N$3, , $J$3, $K$3)),0)),"")</f>
        <v/>
      </c>
      <c r="TD15" s="87" t="str">
        <f>IFERROR(IF(OR($B15="",TD$3=""),"",MAX(_xll.ciqfunctions.udf.CIQ($B15,"IQ_INC_TAX",TD$3,$I$3, $N$3, , $J$3, $K$3)/ABS(_xll.ciqfunctions.udf.CIQ($B15,"IQ_EBT",TD$3,$I$3, $N$3, , $J$3, $K$3)),0)),"")</f>
        <v/>
      </c>
      <c r="TE15" s="87" t="str">
        <f>IFERROR(IF(OR($B15="",TE$3=""),"",MAX(_xll.ciqfunctions.udf.CIQ($B15,"IQ_INC_TAX",TE$3,$I$3, $N$3, , $J$3, $K$3)/ABS(_xll.ciqfunctions.udf.CIQ($B15,"IQ_EBT",TE$3,$I$3, $N$3, , $J$3, $K$3)),0)),"")</f>
        <v/>
      </c>
      <c r="TF15" s="87" t="str">
        <f>IFERROR(IF(OR($B15="",TF$3=""),"",MAX(_xll.ciqfunctions.udf.CIQ($B15,"IQ_INC_TAX",TF$3,$I$3, $N$3, , $J$3, $K$3)/ABS(_xll.ciqfunctions.udf.CIQ($B15,"IQ_EBT",TF$3,$I$3, $N$3, , $J$3, $K$3)),0)),"")</f>
        <v/>
      </c>
      <c r="TG15" s="87" t="str">
        <f>IFERROR(IF(OR($B15="",TG$3=""),"",MAX(_xll.ciqfunctions.udf.CIQ($B15,"IQ_INC_TAX",TG$3,$I$3, $N$3, , $J$3, $K$3)/ABS(_xll.ciqfunctions.udf.CIQ($B15,"IQ_EBT",TG$3,$I$3, $N$3, , $J$3, $K$3)),0)),"")</f>
        <v/>
      </c>
      <c r="TH15" s="87" t="str">
        <f>IFERROR(IF(OR($B15="",TH$3=""),"",MAX(_xll.ciqfunctions.udf.CIQ($B15,"IQ_INC_TAX",TH$3,$I$3, $N$3, , $J$3, $K$3)/ABS(_xll.ciqfunctions.udf.CIQ($B15,"IQ_EBT",TH$3,$I$3, $N$3, , $J$3, $K$3)),0)),"")</f>
        <v/>
      </c>
      <c r="TI15" s="87" t="str">
        <f>IFERROR(IF(OR($B15="",TI$3=""),"",MAX(_xll.ciqfunctions.udf.CIQ($B15,"IQ_INC_TAX",TI$3,$I$3, $N$3, , $J$3, $K$3)/ABS(_xll.ciqfunctions.udf.CIQ($B15,"IQ_EBT",TI$3,$I$3, $N$3, , $J$3, $K$3)),0)),"")</f>
        <v/>
      </c>
      <c r="TJ15" s="87" t="str">
        <f>IFERROR(IF(OR($B15="",TJ$3=""),"",MAX(_xll.ciqfunctions.udf.CIQ($B15,"IQ_INC_TAX",TJ$3,$I$3, $N$3, , $J$3, $K$3)/ABS(_xll.ciqfunctions.udf.CIQ($B15,"IQ_EBT",TJ$3,$I$3, $N$3, , $J$3, $K$3)),0)),"")</f>
        <v/>
      </c>
      <c r="TK15" s="87" t="str">
        <f>IFERROR(IF(OR($B15="",TK$3=""),"",MAX(_xll.ciqfunctions.udf.CIQ($B15,"IQ_INC_TAX",TK$3,$I$3, $N$3, , $J$3, $K$3)/ABS(_xll.ciqfunctions.udf.CIQ($B15,"IQ_EBT",TK$3,$I$3, $N$3, , $J$3, $K$3)),0)),"")</f>
        <v/>
      </c>
      <c r="TL15" s="88" t="str">
        <f>IFERROR(IF(OR($B15="",TL$3=""),"",MAX(_xll.ciqfunctions.udf.CIQ($B15,"IQ_INC_TAX",TL$3,$I$3, $N$3, , $J$3, $K$3)/ABS(_xll.ciqfunctions.udf.CIQ($B15,"IQ_EBT",TL$3,$I$3, $N$3, , $J$3, $K$3)),0)),"")</f>
        <v/>
      </c>
      <c r="TM15" s="92" t="str">
        <f>IFERROR(IF(OR($B15="",TM$3=""),"",_xll.ciqfunctions.udf.CIQ($B15,"IQ_TOTAL_REVENUE",TM$3,$I$3, $N$3, , $J$3, $K$3)*1000000/_xll.ciqfunctions.udf.CIQ($B15,"IQ_EMPLOYEES",TM$3,$I$3, $N$3, , $J$3, $K$3)),"")</f>
        <v/>
      </c>
      <c r="TN15" s="93" t="str">
        <f>IFERROR(IF(OR($B15="",TN$3=""),"",_xll.ciqfunctions.udf.CIQ($B15,"IQ_TOTAL_REVENUE",TN$3,$I$3, $N$3, , $J$3, $K$3)*1000000/_xll.ciqfunctions.udf.CIQ($B15,"IQ_EMPLOYEES",TN$3,$I$3, $N$3, , $J$3, $K$3)),"")</f>
        <v/>
      </c>
      <c r="TO15" s="93" t="str">
        <f>IFERROR(IF(OR($B15="",TO$3=""),"",_xll.ciqfunctions.udf.CIQ($B15,"IQ_TOTAL_REVENUE",TO$3,$I$3, $N$3, , $J$3, $K$3)*1000000/_xll.ciqfunctions.udf.CIQ($B15,"IQ_EMPLOYEES",TO$3,$I$3, $N$3, , $J$3, $K$3)),"")</f>
        <v/>
      </c>
      <c r="TP15" s="93" t="str">
        <f>IFERROR(IF(OR($B15="",TP$3=""),"",_xll.ciqfunctions.udf.CIQ($B15,"IQ_TOTAL_REVENUE",TP$3,$I$3, $N$3, , $J$3, $K$3)*1000000/_xll.ciqfunctions.udf.CIQ($B15,"IQ_EMPLOYEES",TP$3,$I$3, $N$3, , $J$3, $K$3)),"")</f>
        <v/>
      </c>
      <c r="TQ15" s="93" t="str">
        <f>IFERROR(IF(OR($B15="",TQ$3=""),"",_xll.ciqfunctions.udf.CIQ($B15,"IQ_TOTAL_REVENUE",TQ$3,$I$3, $N$3, , $J$3, $K$3)*1000000/_xll.ciqfunctions.udf.CIQ($B15,"IQ_EMPLOYEES",TQ$3,$I$3, $N$3, , $J$3, $K$3)),"")</f>
        <v/>
      </c>
      <c r="TR15" s="93" t="str">
        <f>IFERROR(IF(OR($B15="",TR$3=""),"",_xll.ciqfunctions.udf.CIQ($B15,"IQ_TOTAL_REVENUE",TR$3,$I$3, $N$3, , $J$3, $K$3)*1000000/_xll.ciqfunctions.udf.CIQ($B15,"IQ_EMPLOYEES",TR$3,$I$3, $N$3, , $J$3, $K$3)),"")</f>
        <v/>
      </c>
      <c r="TS15" s="93" t="str">
        <f>IFERROR(IF(OR($B15="",TS$3=""),"",_xll.ciqfunctions.udf.CIQ($B15,"IQ_TOTAL_REVENUE",TS$3,$I$3, $N$3, , $J$3, $K$3)*1000000/_xll.ciqfunctions.udf.CIQ($B15,"IQ_EMPLOYEES",TS$3,$I$3, $N$3, , $J$3, $K$3)),"")</f>
        <v/>
      </c>
      <c r="TT15" s="93" t="str">
        <f>IFERROR(IF(OR($B15="",TT$3=""),"",_xll.ciqfunctions.udf.CIQ($B15,"IQ_TOTAL_REVENUE",TT$3,$I$3, $N$3, , $J$3, $K$3)*1000000/_xll.ciqfunctions.udf.CIQ($B15,"IQ_EMPLOYEES",TT$3,$I$3, $N$3, , $J$3, $K$3)),"")</f>
        <v/>
      </c>
      <c r="TU15" s="93" t="str">
        <f>IFERROR(IF(OR($B15="",TU$3=""),"",_xll.ciqfunctions.udf.CIQ($B15,"IQ_TOTAL_REVENUE",TU$3,$I$3, $N$3, , $J$3, $K$3)*1000000/_xll.ciqfunctions.udf.CIQ($B15,"IQ_EMPLOYEES",TU$3,$I$3, $N$3, , $J$3, $K$3)),"")</f>
        <v/>
      </c>
      <c r="TV15" s="93" t="str">
        <f>IFERROR(IF(OR($B15="",TV$3=""),"",_xll.ciqfunctions.udf.CIQ($B15,"IQ_TOTAL_REVENUE",TV$3,$I$3, $N$3, , $J$3, $K$3)*1000000/_xll.ciqfunctions.udf.CIQ($B15,"IQ_EMPLOYEES",TV$3,$I$3, $N$3, , $J$3, $K$3)),"")</f>
        <v/>
      </c>
      <c r="TW15" s="93" t="str">
        <f>IFERROR(IF(OR($B15="",TW$3=""),"",_xll.ciqfunctions.udf.CIQ($B15,"IQ_TOTAL_REVENUE",TW$3,$I$3, $N$3, , $J$3, $K$3)*1000000/_xll.ciqfunctions.udf.CIQ($B15,"IQ_EMPLOYEES",TW$3,$I$3, $N$3, , $J$3, $K$3)),"")</f>
        <v/>
      </c>
      <c r="TX15" s="93" t="str">
        <f>IFERROR(IF(OR($B15="",TX$3=""),"",_xll.ciqfunctions.udf.CIQ($B15,"IQ_TOTAL_REVENUE",TX$3,$I$3, $N$3, , $J$3, $K$3)*1000000/_xll.ciqfunctions.udf.CIQ($B15,"IQ_EMPLOYEES",TX$3,$I$3, $N$3, , $J$3, $K$3)),"")</f>
        <v/>
      </c>
      <c r="TY15" s="93" t="str">
        <f>IFERROR(IF(OR($B15="",TY$3=""),"",_xll.ciqfunctions.udf.CIQ($B15,"IQ_TOTAL_REVENUE",TY$3,$I$3, $N$3, , $J$3, $K$3)*1000000/_xll.ciqfunctions.udf.CIQ($B15,"IQ_EMPLOYEES",TY$3,$I$3, $N$3, , $J$3, $K$3)),"")</f>
        <v/>
      </c>
      <c r="TZ15" s="93" t="str">
        <f>IFERROR(IF(OR($B15="",TZ$3=""),"",_xll.ciqfunctions.udf.CIQ($B15,"IQ_TOTAL_REVENUE",TZ$3,$I$3, $N$3, , $J$3, $K$3)*1000000/_xll.ciqfunctions.udf.CIQ($B15,"IQ_EMPLOYEES",TZ$3,$I$3, $N$3, , $J$3, $K$3)),"")</f>
        <v/>
      </c>
      <c r="UA15" s="93" t="str">
        <f>IFERROR(IF(OR($B15="",UA$3=""),"",_xll.ciqfunctions.udf.CIQ($B15,"IQ_TOTAL_REVENUE",UA$3,$I$3, $N$3, , $J$3, $K$3)*1000000/_xll.ciqfunctions.udf.CIQ($B15,"IQ_EMPLOYEES",UA$3,$I$3, $N$3, , $J$3, $K$3)),"")</f>
        <v/>
      </c>
      <c r="UB15" s="93" t="str">
        <f>IFERROR(IF(OR($B15="",UB$3=""),"",_xll.ciqfunctions.udf.CIQ($B15,"IQ_TOTAL_REVENUE",UB$3,$I$3, $N$3, , $J$3, $K$3)*1000000/_xll.ciqfunctions.udf.CIQ($B15,"IQ_EMPLOYEES",UB$3,$I$3, $N$3, , $J$3, $K$3)),"")</f>
        <v/>
      </c>
      <c r="UC15" s="93" t="str">
        <f>IFERROR(IF(OR($B15="",UC$3=""),"",_xll.ciqfunctions.udf.CIQ($B15,"IQ_TOTAL_REVENUE",UC$3,$I$3, $N$3, , $J$3, $K$3)*1000000/_xll.ciqfunctions.udf.CIQ($B15,"IQ_EMPLOYEES",UC$3,$I$3, $N$3, , $J$3, $K$3)),"")</f>
        <v/>
      </c>
      <c r="UD15" s="93" t="str">
        <f>IFERROR(IF(OR($B15="",UD$3=""),"",_xll.ciqfunctions.udf.CIQ($B15,"IQ_TOTAL_REVENUE",UD$3,$I$3, $N$3, , $J$3, $K$3)*1000000/_xll.ciqfunctions.udf.CIQ($B15,"IQ_EMPLOYEES",UD$3,$I$3, $N$3, , $J$3, $K$3)),"")</f>
        <v/>
      </c>
      <c r="UE15" s="93" t="str">
        <f>IFERROR(IF(OR($B15="",UE$3=""),"",_xll.ciqfunctions.udf.CIQ($B15,"IQ_TOTAL_REVENUE",UE$3,$I$3, $N$3, , $J$3, $K$3)*1000000/_xll.ciqfunctions.udf.CIQ($B15,"IQ_EMPLOYEES",UE$3,$I$3, $N$3, , $J$3, $K$3)),"")</f>
        <v/>
      </c>
      <c r="UF15" s="94" t="str">
        <f>IFERROR(IF(OR($B15="",UF$3=""),"",_xll.ciqfunctions.udf.CIQ($B15,"IQ_TOTAL_REVENUE",UF$3,$I$3, $N$3, , $J$3, $K$3)*1000000/_xll.ciqfunctions.udf.CIQ($B15,"IQ_EMPLOYEES",UF$3,$I$3, $N$3, , $J$3, $K$3)),"")</f>
        <v/>
      </c>
      <c r="UG15" s="92" t="str">
        <f>IFERROR(IF(OR($B15="",UG$3=""),"",(_xll.ciqfunctions.udf.CIQ($B15,"IQ_TOTAL_REVENUE",UG$3,$I$3, $N$3, , $J$3, $K$3)-_xll.ciqfunctions.udf.CIQ($B15,"IQ_COGS",UG$3,$I$3, $N$3, , $J$3, $K$3)-_xll.ciqfunctions.udf.CIQ($B15,"IQ_EBIT",UG$3,$I$3, $N$3, , $J$3, $K$3))*1000000/_xll.ciqfunctions.udf.CIQ($B15,"IQ_EMPLOYEES",UG$3,$I$3, $N$3, , $J$3, $K$3)),"")</f>
        <v/>
      </c>
      <c r="UH15" s="93" t="str">
        <f>IFERROR(IF(OR($B15="",UH$3=""),"",(_xll.ciqfunctions.udf.CIQ($B15,"IQ_TOTAL_REVENUE",UH$3,$I$3, $N$3, , $J$3, $K$3)-_xll.ciqfunctions.udf.CIQ($B15,"IQ_COGS",UH$3,$I$3, $N$3, , $J$3, $K$3)-_xll.ciqfunctions.udf.CIQ($B15,"IQ_EBIT",UH$3,$I$3, $N$3, , $J$3, $K$3))*1000000/_xll.ciqfunctions.udf.CIQ($B15,"IQ_EMPLOYEES",UH$3,$I$3, $N$3, , $J$3, $K$3)),"")</f>
        <v/>
      </c>
      <c r="UI15" s="93" t="str">
        <f>IFERROR(IF(OR($B15="",UI$3=""),"",(_xll.ciqfunctions.udf.CIQ($B15,"IQ_TOTAL_REVENUE",UI$3,$I$3, $N$3, , $J$3, $K$3)-_xll.ciqfunctions.udf.CIQ($B15,"IQ_COGS",UI$3,$I$3, $N$3, , $J$3, $K$3)-_xll.ciqfunctions.udf.CIQ($B15,"IQ_EBIT",UI$3,$I$3, $N$3, , $J$3, $K$3))*1000000/_xll.ciqfunctions.udf.CIQ($B15,"IQ_EMPLOYEES",UI$3,$I$3, $N$3, , $J$3, $K$3)),"")</f>
        <v/>
      </c>
      <c r="UJ15" s="93" t="str">
        <f>IFERROR(IF(OR($B15="",UJ$3=""),"",(_xll.ciqfunctions.udf.CIQ($B15,"IQ_TOTAL_REVENUE",UJ$3,$I$3, $N$3, , $J$3, $K$3)-_xll.ciqfunctions.udf.CIQ($B15,"IQ_COGS",UJ$3,$I$3, $N$3, , $J$3, $K$3)-_xll.ciqfunctions.udf.CIQ($B15,"IQ_EBIT",UJ$3,$I$3, $N$3, , $J$3, $K$3))*1000000/_xll.ciqfunctions.udf.CIQ($B15,"IQ_EMPLOYEES",UJ$3,$I$3, $N$3, , $J$3, $K$3)),"")</f>
        <v/>
      </c>
      <c r="UK15" s="93" t="str">
        <f>IFERROR(IF(OR($B15="",UK$3=""),"",(_xll.ciqfunctions.udf.CIQ($B15,"IQ_TOTAL_REVENUE",UK$3,$I$3, $N$3, , $J$3, $K$3)-_xll.ciqfunctions.udf.CIQ($B15,"IQ_COGS",UK$3,$I$3, $N$3, , $J$3, $K$3)-_xll.ciqfunctions.udf.CIQ($B15,"IQ_EBIT",UK$3,$I$3, $N$3, , $J$3, $K$3))*1000000/_xll.ciqfunctions.udf.CIQ($B15,"IQ_EMPLOYEES",UK$3,$I$3, $N$3, , $J$3, $K$3)),"")</f>
        <v/>
      </c>
      <c r="UL15" s="93" t="str">
        <f>IFERROR(IF(OR($B15="",UL$3=""),"",(_xll.ciqfunctions.udf.CIQ($B15,"IQ_TOTAL_REVENUE",UL$3,$I$3, $N$3, , $J$3, $K$3)-_xll.ciqfunctions.udf.CIQ($B15,"IQ_COGS",UL$3,$I$3, $N$3, , $J$3, $K$3)-_xll.ciqfunctions.udf.CIQ($B15,"IQ_EBIT",UL$3,$I$3, $N$3, , $J$3, $K$3))*1000000/_xll.ciqfunctions.udf.CIQ($B15,"IQ_EMPLOYEES",UL$3,$I$3, $N$3, , $J$3, $K$3)),"")</f>
        <v/>
      </c>
      <c r="UM15" s="93" t="str">
        <f>IFERROR(IF(OR($B15="",UM$3=""),"",(_xll.ciqfunctions.udf.CIQ($B15,"IQ_TOTAL_REVENUE",UM$3,$I$3, $N$3, , $J$3, $K$3)-_xll.ciqfunctions.udf.CIQ($B15,"IQ_COGS",UM$3,$I$3, $N$3, , $J$3, $K$3)-_xll.ciqfunctions.udf.CIQ($B15,"IQ_EBIT",UM$3,$I$3, $N$3, , $J$3, $K$3))*1000000/_xll.ciqfunctions.udf.CIQ($B15,"IQ_EMPLOYEES",UM$3,$I$3, $N$3, , $J$3, $K$3)),"")</f>
        <v/>
      </c>
      <c r="UN15" s="93" t="str">
        <f>IFERROR(IF(OR($B15="",UN$3=""),"",(_xll.ciqfunctions.udf.CIQ($B15,"IQ_TOTAL_REVENUE",UN$3,$I$3, $N$3, , $J$3, $K$3)-_xll.ciqfunctions.udf.CIQ($B15,"IQ_COGS",UN$3,$I$3, $N$3, , $J$3, $K$3)-_xll.ciqfunctions.udf.CIQ($B15,"IQ_EBIT",UN$3,$I$3, $N$3, , $J$3, $K$3))*1000000/_xll.ciqfunctions.udf.CIQ($B15,"IQ_EMPLOYEES",UN$3,$I$3, $N$3, , $J$3, $K$3)),"")</f>
        <v/>
      </c>
      <c r="UO15" s="93" t="str">
        <f>IFERROR(IF(OR($B15="",UO$3=""),"",(_xll.ciqfunctions.udf.CIQ($B15,"IQ_TOTAL_REVENUE",UO$3,$I$3, $N$3, , $J$3, $K$3)-_xll.ciqfunctions.udf.CIQ($B15,"IQ_COGS",UO$3,$I$3, $N$3, , $J$3, $K$3)-_xll.ciqfunctions.udf.CIQ($B15,"IQ_EBIT",UO$3,$I$3, $N$3, , $J$3, $K$3))*1000000/_xll.ciqfunctions.udf.CIQ($B15,"IQ_EMPLOYEES",UO$3,$I$3, $N$3, , $J$3, $K$3)),"")</f>
        <v/>
      </c>
      <c r="UP15" s="93" t="str">
        <f>IFERROR(IF(OR($B15="",UP$3=""),"",(_xll.ciqfunctions.udf.CIQ($B15,"IQ_TOTAL_REVENUE",UP$3,$I$3, $N$3, , $J$3, $K$3)-_xll.ciqfunctions.udf.CIQ($B15,"IQ_COGS",UP$3,$I$3, $N$3, , $J$3, $K$3)-_xll.ciqfunctions.udf.CIQ($B15,"IQ_EBIT",UP$3,$I$3, $N$3, , $J$3, $K$3))*1000000/_xll.ciqfunctions.udf.CIQ($B15,"IQ_EMPLOYEES",UP$3,$I$3, $N$3, , $J$3, $K$3)),"")</f>
        <v/>
      </c>
      <c r="UQ15" s="93" t="str">
        <f>IFERROR(IF(OR($B15="",UQ$3=""),"",(_xll.ciqfunctions.udf.CIQ($B15,"IQ_TOTAL_REVENUE",UQ$3,$I$3, $N$3, , $J$3, $K$3)-_xll.ciqfunctions.udf.CIQ($B15,"IQ_COGS",UQ$3,$I$3, $N$3, , $J$3, $K$3)-_xll.ciqfunctions.udf.CIQ($B15,"IQ_EBIT",UQ$3,$I$3, $N$3, , $J$3, $K$3))*1000000/_xll.ciqfunctions.udf.CIQ($B15,"IQ_EMPLOYEES",UQ$3,$I$3, $N$3, , $J$3, $K$3)),"")</f>
        <v/>
      </c>
      <c r="UR15" s="93" t="str">
        <f>IFERROR(IF(OR($B15="",UR$3=""),"",(_xll.ciqfunctions.udf.CIQ($B15,"IQ_TOTAL_REVENUE",UR$3,$I$3, $N$3, , $J$3, $K$3)-_xll.ciqfunctions.udf.CIQ($B15,"IQ_COGS",UR$3,$I$3, $N$3, , $J$3, $K$3)-_xll.ciqfunctions.udf.CIQ($B15,"IQ_EBIT",UR$3,$I$3, $N$3, , $J$3, $K$3))*1000000/_xll.ciqfunctions.udf.CIQ($B15,"IQ_EMPLOYEES",UR$3,$I$3, $N$3, , $J$3, $K$3)),"")</f>
        <v/>
      </c>
      <c r="US15" s="93" t="str">
        <f>IFERROR(IF(OR($B15="",US$3=""),"",(_xll.ciqfunctions.udf.CIQ($B15,"IQ_TOTAL_REVENUE",US$3,$I$3, $N$3, , $J$3, $K$3)-_xll.ciqfunctions.udf.CIQ($B15,"IQ_COGS",US$3,$I$3, $N$3, , $J$3, $K$3)-_xll.ciqfunctions.udf.CIQ($B15,"IQ_EBIT",US$3,$I$3, $N$3, , $J$3, $K$3))*1000000/_xll.ciqfunctions.udf.CIQ($B15,"IQ_EMPLOYEES",US$3,$I$3, $N$3, , $J$3, $K$3)),"")</f>
        <v/>
      </c>
      <c r="UT15" s="93" t="str">
        <f>IFERROR(IF(OR($B15="",UT$3=""),"",(_xll.ciqfunctions.udf.CIQ($B15,"IQ_TOTAL_REVENUE",UT$3,$I$3, $N$3, , $J$3, $K$3)-_xll.ciqfunctions.udf.CIQ($B15,"IQ_COGS",UT$3,$I$3, $N$3, , $J$3, $K$3)-_xll.ciqfunctions.udf.CIQ($B15,"IQ_EBIT",UT$3,$I$3, $N$3, , $J$3, $K$3))*1000000/_xll.ciqfunctions.udf.CIQ($B15,"IQ_EMPLOYEES",UT$3,$I$3, $N$3, , $J$3, $K$3)),"")</f>
        <v/>
      </c>
      <c r="UU15" s="93" t="str">
        <f>IFERROR(IF(OR($B15="",UU$3=""),"",(_xll.ciqfunctions.udf.CIQ($B15,"IQ_TOTAL_REVENUE",UU$3,$I$3, $N$3, , $J$3, $K$3)-_xll.ciqfunctions.udf.CIQ($B15,"IQ_COGS",UU$3,$I$3, $N$3, , $J$3, $K$3)-_xll.ciqfunctions.udf.CIQ($B15,"IQ_EBIT",UU$3,$I$3, $N$3, , $J$3, $K$3))*1000000/_xll.ciqfunctions.udf.CIQ($B15,"IQ_EMPLOYEES",UU$3,$I$3, $N$3, , $J$3, $K$3)),"")</f>
        <v/>
      </c>
      <c r="UV15" s="93" t="str">
        <f>IFERROR(IF(OR($B15="",UV$3=""),"",(_xll.ciqfunctions.udf.CIQ($B15,"IQ_TOTAL_REVENUE",UV$3,$I$3, $N$3, , $J$3, $K$3)-_xll.ciqfunctions.udf.CIQ($B15,"IQ_COGS",UV$3,$I$3, $N$3, , $J$3, $K$3)-_xll.ciqfunctions.udf.CIQ($B15,"IQ_EBIT",UV$3,$I$3, $N$3, , $J$3, $K$3))*1000000/_xll.ciqfunctions.udf.CIQ($B15,"IQ_EMPLOYEES",UV$3,$I$3, $N$3, , $J$3, $K$3)),"")</f>
        <v/>
      </c>
      <c r="UW15" s="93" t="str">
        <f>IFERROR(IF(OR($B15="",UW$3=""),"",(_xll.ciqfunctions.udf.CIQ($B15,"IQ_TOTAL_REVENUE",UW$3,$I$3, $N$3, , $J$3, $K$3)-_xll.ciqfunctions.udf.CIQ($B15,"IQ_COGS",UW$3,$I$3, $N$3, , $J$3, $K$3)-_xll.ciqfunctions.udf.CIQ($B15,"IQ_EBIT",UW$3,$I$3, $N$3, , $J$3, $K$3))*1000000/_xll.ciqfunctions.udf.CIQ($B15,"IQ_EMPLOYEES",UW$3,$I$3, $N$3, , $J$3, $K$3)),"")</f>
        <v/>
      </c>
      <c r="UX15" s="93" t="str">
        <f>IFERROR(IF(OR($B15="",UX$3=""),"",(_xll.ciqfunctions.udf.CIQ($B15,"IQ_TOTAL_REVENUE",UX$3,$I$3, $N$3, , $J$3, $K$3)-_xll.ciqfunctions.udf.CIQ($B15,"IQ_COGS",UX$3,$I$3, $N$3, , $J$3, $K$3)-_xll.ciqfunctions.udf.CIQ($B15,"IQ_EBIT",UX$3,$I$3, $N$3, , $J$3, $K$3))*1000000/_xll.ciqfunctions.udf.CIQ($B15,"IQ_EMPLOYEES",UX$3,$I$3, $N$3, , $J$3, $K$3)),"")</f>
        <v/>
      </c>
      <c r="UY15" s="93" t="str">
        <f>IFERROR(IF(OR($B15="",UY$3=""),"",(_xll.ciqfunctions.udf.CIQ($B15,"IQ_TOTAL_REVENUE",UY$3,$I$3, $N$3, , $J$3, $K$3)-_xll.ciqfunctions.udf.CIQ($B15,"IQ_COGS",UY$3,$I$3, $N$3, , $J$3, $K$3)-_xll.ciqfunctions.udf.CIQ($B15,"IQ_EBIT",UY$3,$I$3, $N$3, , $J$3, $K$3))*1000000/_xll.ciqfunctions.udf.CIQ($B15,"IQ_EMPLOYEES",UY$3,$I$3, $N$3, , $J$3, $K$3)),"")</f>
        <v/>
      </c>
      <c r="UZ15" s="94" t="str">
        <f>IFERROR(IF(OR($B15="",UZ$3=""),"",(_xll.ciqfunctions.udf.CIQ($B15,"IQ_TOTAL_REVENUE",UZ$3,$I$3, $N$3, , $J$3, $K$3)-_xll.ciqfunctions.udf.CIQ($B15,"IQ_COGS",UZ$3,$I$3, $N$3, , $J$3, $K$3)-_xll.ciqfunctions.udf.CIQ($B15,"IQ_EBIT",UZ$3,$I$3, $N$3, , $J$3, $K$3))*1000000/_xll.ciqfunctions.udf.CIQ($B15,"IQ_EMPLOYEES",UZ$3,$I$3, $N$3, , $J$3, $K$3)),"")</f>
        <v/>
      </c>
      <c r="VA15" s="92" t="str">
        <f>IFERROR(IF(OR($B15="",VA$3=""),"",_xll.ciqfunctions.udf.CIQ($B15,"IQ_SGA_SUPPL",VA$3,$I$3, $N$3, , $J$3, $K$3)*1000000/_xll.ciqfunctions.udf.CIQ($B15,"IQ_EMPLOYEES",VA$3,$I$3, $N$3, , $J$3, $K$3)),"")</f>
        <v/>
      </c>
      <c r="VB15" s="93" t="str">
        <f>IFERROR(IF(OR($B15="",VB$3=""),"",_xll.ciqfunctions.udf.CIQ($B15,"IQ_SGA_SUPPL",VB$3,$I$3, $N$3, , $J$3, $K$3)*1000000/_xll.ciqfunctions.udf.CIQ($B15,"IQ_EMPLOYEES",VB$3,$I$3, $N$3, , $J$3, $K$3)),"")</f>
        <v/>
      </c>
      <c r="VC15" s="93" t="str">
        <f>IFERROR(IF(OR($B15="",VC$3=""),"",_xll.ciqfunctions.udf.CIQ($B15,"IQ_SGA_SUPPL",VC$3,$I$3, $N$3, , $J$3, $K$3)*1000000/_xll.ciqfunctions.udf.CIQ($B15,"IQ_EMPLOYEES",VC$3,$I$3, $N$3, , $J$3, $K$3)),"")</f>
        <v/>
      </c>
      <c r="VD15" s="93" t="str">
        <f>IFERROR(IF(OR($B15="",VD$3=""),"",_xll.ciqfunctions.udf.CIQ($B15,"IQ_SGA_SUPPL",VD$3,$I$3, $N$3, , $J$3, $K$3)*1000000/_xll.ciqfunctions.udf.CIQ($B15,"IQ_EMPLOYEES",VD$3,$I$3, $N$3, , $J$3, $K$3)),"")</f>
        <v/>
      </c>
      <c r="VE15" s="93" t="str">
        <f>IFERROR(IF(OR($B15="",VE$3=""),"",_xll.ciqfunctions.udf.CIQ($B15,"IQ_SGA_SUPPL",VE$3,$I$3, $N$3, , $J$3, $K$3)*1000000/_xll.ciqfunctions.udf.CIQ($B15,"IQ_EMPLOYEES",VE$3,$I$3, $N$3, , $J$3, $K$3)),"")</f>
        <v/>
      </c>
      <c r="VF15" s="93" t="str">
        <f>IFERROR(IF(OR($B15="",VF$3=""),"",_xll.ciqfunctions.udf.CIQ($B15,"IQ_SGA_SUPPL",VF$3,$I$3, $N$3, , $J$3, $K$3)*1000000/_xll.ciqfunctions.udf.CIQ($B15,"IQ_EMPLOYEES",VF$3,$I$3, $N$3, , $J$3, $K$3)),"")</f>
        <v/>
      </c>
      <c r="VG15" s="93" t="str">
        <f>IFERROR(IF(OR($B15="",VG$3=""),"",_xll.ciqfunctions.udf.CIQ($B15,"IQ_SGA_SUPPL",VG$3,$I$3, $N$3, , $J$3, $K$3)*1000000/_xll.ciqfunctions.udf.CIQ($B15,"IQ_EMPLOYEES",VG$3,$I$3, $N$3, , $J$3, $K$3)),"")</f>
        <v/>
      </c>
      <c r="VH15" s="93" t="str">
        <f>IFERROR(IF(OR($B15="",VH$3=""),"",_xll.ciqfunctions.udf.CIQ($B15,"IQ_SGA_SUPPL",VH$3,$I$3, $N$3, , $J$3, $K$3)*1000000/_xll.ciqfunctions.udf.CIQ($B15,"IQ_EMPLOYEES",VH$3,$I$3, $N$3, , $J$3, $K$3)),"")</f>
        <v/>
      </c>
      <c r="VI15" s="93" t="str">
        <f>IFERROR(IF(OR($B15="",VI$3=""),"",_xll.ciqfunctions.udf.CIQ($B15,"IQ_SGA_SUPPL",VI$3,$I$3, $N$3, , $J$3, $K$3)*1000000/_xll.ciqfunctions.udf.CIQ($B15,"IQ_EMPLOYEES",VI$3,$I$3, $N$3, , $J$3, $K$3)),"")</f>
        <v/>
      </c>
      <c r="VJ15" s="93" t="str">
        <f>IFERROR(IF(OR($B15="",VJ$3=""),"",_xll.ciqfunctions.udf.CIQ($B15,"IQ_SGA_SUPPL",VJ$3,$I$3, $N$3, , $J$3, $K$3)*1000000/_xll.ciqfunctions.udf.CIQ($B15,"IQ_EMPLOYEES",VJ$3,$I$3, $N$3, , $J$3, $K$3)),"")</f>
        <v/>
      </c>
      <c r="VK15" s="93" t="str">
        <f>IFERROR(IF(OR($B15="",VK$3=""),"",_xll.ciqfunctions.udf.CIQ($B15,"IQ_SGA_SUPPL",VK$3,$I$3, $N$3, , $J$3, $K$3)*1000000/_xll.ciqfunctions.udf.CIQ($B15,"IQ_EMPLOYEES",VK$3,$I$3, $N$3, , $J$3, $K$3)),"")</f>
        <v/>
      </c>
      <c r="VL15" s="93" t="str">
        <f>IFERROR(IF(OR($B15="",VL$3=""),"",_xll.ciqfunctions.udf.CIQ($B15,"IQ_SGA_SUPPL",VL$3,$I$3, $N$3, , $J$3, $K$3)*1000000/_xll.ciqfunctions.udf.CIQ($B15,"IQ_EMPLOYEES",VL$3,$I$3, $N$3, , $J$3, $K$3)),"")</f>
        <v/>
      </c>
      <c r="VM15" s="93" t="str">
        <f>IFERROR(IF(OR($B15="",VM$3=""),"",_xll.ciqfunctions.udf.CIQ($B15,"IQ_SGA_SUPPL",VM$3,$I$3, $N$3, , $J$3, $K$3)*1000000/_xll.ciqfunctions.udf.CIQ($B15,"IQ_EMPLOYEES",VM$3,$I$3, $N$3, , $J$3, $K$3)),"")</f>
        <v/>
      </c>
      <c r="VN15" s="93" t="str">
        <f>IFERROR(IF(OR($B15="",VN$3=""),"",_xll.ciqfunctions.udf.CIQ($B15,"IQ_SGA_SUPPL",VN$3,$I$3, $N$3, , $J$3, $K$3)*1000000/_xll.ciqfunctions.udf.CIQ($B15,"IQ_EMPLOYEES",VN$3,$I$3, $N$3, , $J$3, $K$3)),"")</f>
        <v/>
      </c>
      <c r="VO15" s="93" t="str">
        <f>IFERROR(IF(OR($B15="",VO$3=""),"",_xll.ciqfunctions.udf.CIQ($B15,"IQ_SGA_SUPPL",VO$3,$I$3, $N$3, , $J$3, $K$3)*1000000/_xll.ciqfunctions.udf.CIQ($B15,"IQ_EMPLOYEES",VO$3,$I$3, $N$3, , $J$3, $K$3)),"")</f>
        <v/>
      </c>
      <c r="VP15" s="93" t="str">
        <f>IFERROR(IF(OR($B15="",VP$3=""),"",_xll.ciqfunctions.udf.CIQ($B15,"IQ_SGA_SUPPL",VP$3,$I$3, $N$3, , $J$3, $K$3)*1000000/_xll.ciqfunctions.udf.CIQ($B15,"IQ_EMPLOYEES",VP$3,$I$3, $N$3, , $J$3, $K$3)),"")</f>
        <v/>
      </c>
      <c r="VQ15" s="93" t="str">
        <f>IFERROR(IF(OR($B15="",VQ$3=""),"",_xll.ciqfunctions.udf.CIQ($B15,"IQ_SGA_SUPPL",VQ$3,$I$3, $N$3, , $J$3, $K$3)*1000000/_xll.ciqfunctions.udf.CIQ($B15,"IQ_EMPLOYEES",VQ$3,$I$3, $N$3, , $J$3, $K$3)),"")</f>
        <v/>
      </c>
      <c r="VR15" s="93" t="str">
        <f>IFERROR(IF(OR($B15="",VR$3=""),"",_xll.ciqfunctions.udf.CIQ($B15,"IQ_SGA_SUPPL",VR$3,$I$3, $N$3, , $J$3, $K$3)*1000000/_xll.ciqfunctions.udf.CIQ($B15,"IQ_EMPLOYEES",VR$3,$I$3, $N$3, , $J$3, $K$3)),"")</f>
        <v/>
      </c>
      <c r="VS15" s="93" t="str">
        <f>IFERROR(IF(OR($B15="",VS$3=""),"",_xll.ciqfunctions.udf.CIQ($B15,"IQ_SGA_SUPPL",VS$3,$I$3, $N$3, , $J$3, $K$3)*1000000/_xll.ciqfunctions.udf.CIQ($B15,"IQ_EMPLOYEES",VS$3,$I$3, $N$3, , $J$3, $K$3)),"")</f>
        <v/>
      </c>
      <c r="VT15" s="94" t="str">
        <f>IFERROR(IF(OR($B15="",VT$3=""),"",_xll.ciqfunctions.udf.CIQ($B15,"IQ_SGA_SUPPL",VT$3,$I$3, $N$3, , $J$3, $K$3)*1000000/_xll.ciqfunctions.udf.CIQ($B15,"IQ_EMPLOYEES",VT$3,$I$3, $N$3, , $J$3, $K$3)),"")</f>
        <v/>
      </c>
      <c r="VU15" s="92" t="str">
        <f>IFERROR(IF(OR($B15="",VU$3=""),"",_xll.ciqfunctions.udf.CIQ($B15,"IQ_RD_EXP",VU$3,$I$3, $N$3, , $J$3, $K$3)*1000000/_xll.ciqfunctions.udf.CIQ($B15,"IQ_EMPLOYEES",VU$3,$I$3, $N$3, , $J$3, $K$3)),"")</f>
        <v/>
      </c>
      <c r="VV15" s="93" t="str">
        <f>IFERROR(IF(OR($B15="",VV$3=""),"",_xll.ciqfunctions.udf.CIQ($B15,"IQ_RD_EXP",VV$3,$I$3, $N$3, , $J$3, $K$3)*1000000/_xll.ciqfunctions.udf.CIQ($B15,"IQ_EMPLOYEES",VV$3,$I$3, $N$3, , $J$3, $K$3)),"")</f>
        <v/>
      </c>
      <c r="VW15" s="93" t="str">
        <f>IFERROR(IF(OR($B15="",VW$3=""),"",_xll.ciqfunctions.udf.CIQ($B15,"IQ_RD_EXP",VW$3,$I$3, $N$3, , $J$3, $K$3)*1000000/_xll.ciqfunctions.udf.CIQ($B15,"IQ_EMPLOYEES",VW$3,$I$3, $N$3, , $J$3, $K$3)),"")</f>
        <v/>
      </c>
      <c r="VX15" s="93" t="str">
        <f>IFERROR(IF(OR($B15="",VX$3=""),"",_xll.ciqfunctions.udf.CIQ($B15,"IQ_RD_EXP",VX$3,$I$3, $N$3, , $J$3, $K$3)*1000000/_xll.ciqfunctions.udf.CIQ($B15,"IQ_EMPLOYEES",VX$3,$I$3, $N$3, , $J$3, $K$3)),"")</f>
        <v/>
      </c>
      <c r="VY15" s="93" t="str">
        <f>IFERROR(IF(OR($B15="",VY$3=""),"",_xll.ciqfunctions.udf.CIQ($B15,"IQ_RD_EXP",VY$3,$I$3, $N$3, , $J$3, $K$3)*1000000/_xll.ciqfunctions.udf.CIQ($B15,"IQ_EMPLOYEES",VY$3,$I$3, $N$3, , $J$3, $K$3)),"")</f>
        <v/>
      </c>
      <c r="VZ15" s="93" t="str">
        <f>IFERROR(IF(OR($B15="",VZ$3=""),"",_xll.ciqfunctions.udf.CIQ($B15,"IQ_RD_EXP",VZ$3,$I$3, $N$3, , $J$3, $K$3)*1000000/_xll.ciqfunctions.udf.CIQ($B15,"IQ_EMPLOYEES",VZ$3,$I$3, $N$3, , $J$3, $K$3)),"")</f>
        <v/>
      </c>
      <c r="WA15" s="93" t="str">
        <f>IFERROR(IF(OR($B15="",WA$3=""),"",_xll.ciqfunctions.udf.CIQ($B15,"IQ_RD_EXP",WA$3,$I$3, $N$3, , $J$3, $K$3)*1000000/_xll.ciqfunctions.udf.CIQ($B15,"IQ_EMPLOYEES",WA$3,$I$3, $N$3, , $J$3, $K$3)),"")</f>
        <v/>
      </c>
      <c r="WB15" s="93" t="str">
        <f>IFERROR(IF(OR($B15="",WB$3=""),"",_xll.ciqfunctions.udf.CIQ($B15,"IQ_RD_EXP",WB$3,$I$3, $N$3, , $J$3, $K$3)*1000000/_xll.ciqfunctions.udf.CIQ($B15,"IQ_EMPLOYEES",WB$3,$I$3, $N$3, , $J$3, $K$3)),"")</f>
        <v/>
      </c>
      <c r="WC15" s="93" t="str">
        <f>IFERROR(IF(OR($B15="",WC$3=""),"",_xll.ciqfunctions.udf.CIQ($B15,"IQ_RD_EXP",WC$3,$I$3, $N$3, , $J$3, $K$3)*1000000/_xll.ciqfunctions.udf.CIQ($B15,"IQ_EMPLOYEES",WC$3,$I$3, $N$3, , $J$3, $K$3)),"")</f>
        <v/>
      </c>
      <c r="WD15" s="93" t="str">
        <f>IFERROR(IF(OR($B15="",WD$3=""),"",_xll.ciqfunctions.udf.CIQ($B15,"IQ_RD_EXP",WD$3,$I$3, $N$3, , $J$3, $K$3)*1000000/_xll.ciqfunctions.udf.CIQ($B15,"IQ_EMPLOYEES",WD$3,$I$3, $N$3, , $J$3, $K$3)),"")</f>
        <v/>
      </c>
      <c r="WE15" s="93" t="str">
        <f>IFERROR(IF(OR($B15="",WE$3=""),"",_xll.ciqfunctions.udf.CIQ($B15,"IQ_RD_EXP",WE$3,$I$3, $N$3, , $J$3, $K$3)*1000000/_xll.ciqfunctions.udf.CIQ($B15,"IQ_EMPLOYEES",WE$3,$I$3, $N$3, , $J$3, $K$3)),"")</f>
        <v/>
      </c>
      <c r="WF15" s="93" t="str">
        <f>IFERROR(IF(OR($B15="",WF$3=""),"",_xll.ciqfunctions.udf.CIQ($B15,"IQ_RD_EXP",WF$3,$I$3, $N$3, , $J$3, $K$3)*1000000/_xll.ciqfunctions.udf.CIQ($B15,"IQ_EMPLOYEES",WF$3,$I$3, $N$3, , $J$3, $K$3)),"")</f>
        <v/>
      </c>
      <c r="WG15" s="93" t="str">
        <f>IFERROR(IF(OR($B15="",WG$3=""),"",_xll.ciqfunctions.udf.CIQ($B15,"IQ_RD_EXP",WG$3,$I$3, $N$3, , $J$3, $K$3)*1000000/_xll.ciqfunctions.udf.CIQ($B15,"IQ_EMPLOYEES",WG$3,$I$3, $N$3, , $J$3, $K$3)),"")</f>
        <v/>
      </c>
      <c r="WH15" s="93" t="str">
        <f>IFERROR(IF(OR($B15="",WH$3=""),"",_xll.ciqfunctions.udf.CIQ($B15,"IQ_RD_EXP",WH$3,$I$3, $N$3, , $J$3, $K$3)*1000000/_xll.ciqfunctions.udf.CIQ($B15,"IQ_EMPLOYEES",WH$3,$I$3, $N$3, , $J$3, $K$3)),"")</f>
        <v/>
      </c>
      <c r="WI15" s="93" t="str">
        <f>IFERROR(IF(OR($B15="",WI$3=""),"",_xll.ciqfunctions.udf.CIQ($B15,"IQ_RD_EXP",WI$3,$I$3, $N$3, , $J$3, $K$3)*1000000/_xll.ciqfunctions.udf.CIQ($B15,"IQ_EMPLOYEES",WI$3,$I$3, $N$3, , $J$3, $K$3)),"")</f>
        <v/>
      </c>
      <c r="WJ15" s="93" t="str">
        <f>IFERROR(IF(OR($B15="",WJ$3=""),"",_xll.ciqfunctions.udf.CIQ($B15,"IQ_RD_EXP",WJ$3,$I$3, $N$3, , $J$3, $K$3)*1000000/_xll.ciqfunctions.udf.CIQ($B15,"IQ_EMPLOYEES",WJ$3,$I$3, $N$3, , $J$3, $K$3)),"")</f>
        <v/>
      </c>
      <c r="WK15" s="93" t="str">
        <f>IFERROR(IF(OR($B15="",WK$3=""),"",_xll.ciqfunctions.udf.CIQ($B15,"IQ_RD_EXP",WK$3,$I$3, $N$3, , $J$3, $K$3)*1000000/_xll.ciqfunctions.udf.CIQ($B15,"IQ_EMPLOYEES",WK$3,$I$3, $N$3, , $J$3, $K$3)),"")</f>
        <v/>
      </c>
      <c r="WL15" s="93" t="str">
        <f>IFERROR(IF(OR($B15="",TJ$3=""),"",_xll.ciqfunctions.udf.CIQ($B15,"IQ_RD_EXP",GH$3,,,,"USD")*1000000/_xll.ciqfunctions.udf.CIQ($B15,"IQ_EMPLOYEES",WL$3,,,,"USD")),"")</f>
        <v/>
      </c>
      <c r="WM15" s="93" t="str">
        <f>IFERROR(IF(OR($B15="",TK$3=""),"",_xll.ciqfunctions.udf.CIQ($B15,"IQ_RD_EXP",GI$3,,,,"USD")*1000000/_xll.ciqfunctions.udf.CIQ($B15,"IQ_EMPLOYEES",WM$3,,,,"USD")),"")</f>
        <v/>
      </c>
      <c r="WN15" s="94" t="str">
        <f>IFERROR(IF(OR($B15="",TL$3=""),"",_xll.ciqfunctions.udf.CIQ($B15,"IQ_RD_EXP",GJ$3,,,,"USD")*1000000/_xll.ciqfunctions.udf.CIQ($B15,"IQ_EMPLOYEES",WN$3,,,,"USD")),"")</f>
        <v/>
      </c>
      <c r="WO15" s="620" t="str">
        <f>IFERROR(IF(OR($B15="",WO$4=""),"",_xll.ciqfunctions.udf.CIQ($B15,"IQ_LASTSALEPRICE",WO$4)),"")</f>
        <v/>
      </c>
      <c r="WP15" s="620" t="str">
        <f>IFERROR(IF(OR($B15="",WP$4=""),"",_xll.ciqfunctions.udf.CIQ($B15,"IQ_LASTSALEPRICE",WP$4)),"")</f>
        <v/>
      </c>
      <c r="WQ15" s="620" t="str">
        <f>IFERROR(IF(OR($B15="",WQ$4=""),"",_xll.ciqfunctions.udf.CIQ($B15,"IQ_LASTSALEPRICE",WQ$4)),"")</f>
        <v/>
      </c>
      <c r="WR15" s="620" t="str">
        <f>IFERROR(IF(OR($B15="",WR$4=""),"",_xll.ciqfunctions.udf.CIQ($B15,"IQ_LASTSALEPRICE",WR$4)),"")</f>
        <v/>
      </c>
      <c r="WS15" s="620" t="str">
        <f>IFERROR(IF(OR($B15="",WS$4=""),"",_xll.ciqfunctions.udf.CIQ($B15,"IQ_LASTSALEPRICE",WS$4)),"")</f>
        <v/>
      </c>
      <c r="WT15" s="620" t="str">
        <f>IFERROR(IF(OR($B15="",WT$4=""),"",_xll.ciqfunctions.udf.CIQ($B15,"IQ_LASTSALEPRICE",WT$4)),"")</f>
        <v/>
      </c>
      <c r="WU15" s="620" t="str">
        <f>IFERROR(IF(OR($B15="",WU$4=""),"",_xll.ciqfunctions.udf.CIQ($B15,"IQ_LASTSALEPRICE",WU$4)),"")</f>
        <v/>
      </c>
      <c r="WV15" s="620" t="str">
        <f>IFERROR(IF(OR($B15="",WV$4=""),"",_xll.ciqfunctions.udf.CIQ($B15,"IQ_LASTSALEPRICE",WV$4)),"")</f>
        <v/>
      </c>
      <c r="WW15" s="620" t="str">
        <f>IFERROR(IF(OR($B15="",WW$4=""),"",_xll.ciqfunctions.udf.CIQ($B15,"IQ_LASTSALEPRICE",WW$4)),"")</f>
        <v/>
      </c>
      <c r="WX15" s="620" t="str">
        <f>IFERROR(IF(OR($B15="",WX$4=""),"",_xll.ciqfunctions.udf.CIQ($B15,"IQ_LASTSALEPRICE",WX$4)),"")</f>
        <v/>
      </c>
      <c r="WY15" s="620" t="str">
        <f>IFERROR(IF(OR($B15="",WY$4=""),"",_xll.ciqfunctions.udf.CIQ($B15,"IQ_LASTSALEPRICE",WY$4)),"")</f>
        <v/>
      </c>
      <c r="WZ15" s="620" t="str">
        <f>IFERROR(IF(OR($B15="",WZ$4=""),"",_xll.ciqfunctions.udf.CIQ($B15,"IQ_LASTSALEPRICE",WZ$4)),"")</f>
        <v/>
      </c>
      <c r="XA15" s="620" t="str">
        <f>IFERROR(IF(OR($B15="",XA$4=""),"",_xll.ciqfunctions.udf.CIQ($B15,"IQ_LASTSALEPRICE",XA$4)),"")</f>
        <v/>
      </c>
      <c r="XB15" s="620" t="str">
        <f>IFERROR(IF(OR($B15="",XB$4=""),"",_xll.ciqfunctions.udf.CIQ($B15,"IQ_LASTSALEPRICE",XB$4)),"")</f>
        <v/>
      </c>
      <c r="XC15" s="620" t="str">
        <f>IFERROR(IF(OR($B15="",XC$4=""),"",_xll.ciqfunctions.udf.CIQ($B15,"IQ_LASTSALEPRICE",XC$4)),"")</f>
        <v/>
      </c>
      <c r="XD15" s="620" t="str">
        <f>IFERROR(IF(OR($B15="",XD$4=""),"",_xll.ciqfunctions.udf.CIQ($B15,"IQ_LASTSALEPRICE",XD$4)),"")</f>
        <v/>
      </c>
      <c r="XE15" s="620" t="str">
        <f>IFERROR(IF(OR($B15="",XE$4=""),"",_xll.ciqfunctions.udf.CIQ($B15,"IQ_LASTSALEPRICE",XE$4)),"")</f>
        <v/>
      </c>
      <c r="XF15" s="620" t="str">
        <f>IFERROR(IF(OR($B15="",XF$4=""),"",_xll.ciqfunctions.udf.CIQ($B15,"IQ_LASTSALEPRICE",XF$4)),"")</f>
        <v/>
      </c>
      <c r="XG15" s="620" t="str">
        <f>IFERROR(IF(OR($B15="",XG$4=""),"",_xll.ciqfunctions.udf.CIQ($B15,"IQ_LASTSALEPRICE",XG$4)),"")</f>
        <v/>
      </c>
      <c r="XH15" s="620" t="str">
        <f>IFERROR(IF(OR($B15="",XH$4=""),"",_xll.ciqfunctions.udf.CIQ($B15,"IQ_LASTSALEPRICE",XH$4)),"")</f>
        <v/>
      </c>
      <c r="XI15" s="72" t="str">
        <f>IFERROR(IF(OR($B15="",XI$3=""),"",_xll.ciqfunctions.udf.CIQ($B15,"IQ_TOTAL_REV_1YR_ANN_GROWTH",XI$3,$I$3, $N$3, , $J$3, $K$3)/100),"")</f>
        <v/>
      </c>
      <c r="XJ15" s="72" t="str">
        <f>IFERROR(IF(OR($B15="",XJ$3=""),"",_xll.ciqfunctions.udf.CIQ($B15,"IQ_TOTAL_REV_1YR_ANN_GROWTH",XJ$3,$I$3, $N$3, , $J$3, $K$3)/100),"")</f>
        <v/>
      </c>
      <c r="XK15" s="72" t="str">
        <f>IFERROR(IF(OR($B15="",XK$3=""),"",_xll.ciqfunctions.udf.CIQ($B15,"IQ_TOTAL_REV_1YR_ANN_GROWTH",XK$3,$I$3, $N$3, , $J$3, $K$3)/100),"")</f>
        <v/>
      </c>
      <c r="XL15" s="72" t="str">
        <f>IFERROR(IF(OR($B15="",XL$3=""),"",_xll.ciqfunctions.udf.CIQ($B15,"IQ_TOTAL_REV_1YR_ANN_GROWTH",XL$3,$I$3, $N$3, , $J$3, $K$3)/100),"")</f>
        <v/>
      </c>
      <c r="XM15" s="72" t="str">
        <f>IFERROR(IF(OR($B15="",XM$3=""),"",_xll.ciqfunctions.udf.CIQ($B15,"IQ_TOTAL_REV_1YR_ANN_GROWTH",XM$3,$I$3, $N$3, , $J$3, $K$3)/100),"")</f>
        <v/>
      </c>
      <c r="XN15" s="72" t="str">
        <f>IFERROR(IF(OR($B15="",XN$3=""),"",_xll.ciqfunctions.udf.CIQ($B15,"IQ_TOTAL_REV_1YR_ANN_GROWTH",XN$3,$I$3, $N$3, , $J$3, $K$3)/100),"")</f>
        <v/>
      </c>
      <c r="XO15" s="72" t="str">
        <f>IFERROR(IF(OR($B15="",XO$3=""),"",_xll.ciqfunctions.udf.CIQ($B15,"IQ_TOTAL_REV_1YR_ANN_GROWTH",XO$3,$I$3, $N$3, , $J$3, $K$3)/100),"")</f>
        <v/>
      </c>
      <c r="XP15" s="72" t="str">
        <f>IFERROR(IF(OR($B15="",XP$3=""),"",_xll.ciqfunctions.udf.CIQ($B15,"IQ_TOTAL_REV_1YR_ANN_GROWTH",XP$3,$I$3, $N$3, , $J$3, $K$3)/100),"")</f>
        <v/>
      </c>
      <c r="XQ15" s="72" t="str">
        <f>IFERROR(IF(OR($B15="",XQ$3=""),"",_xll.ciqfunctions.udf.CIQ($B15,"IQ_TOTAL_REV_1YR_ANN_GROWTH",XQ$3,$I$3, $N$3, , $J$3, $K$3)/100),"")</f>
        <v/>
      </c>
      <c r="XR15" s="72" t="str">
        <f>IFERROR(IF(OR($B15="",XR$3=""),"",_xll.ciqfunctions.udf.CIQ($B15,"IQ_TOTAL_REV_1YR_ANN_GROWTH",XR$3,$I$3, $N$3, , $J$3, $K$3)/100),"")</f>
        <v/>
      </c>
      <c r="XS15" s="72" t="str">
        <f>IFERROR(IF(OR($B15="",XS$3=""),"",_xll.ciqfunctions.udf.CIQ($B15,"IQ_TOTAL_REV_1YR_ANN_GROWTH",XS$3,$I$3, $N$3, , $J$3, $K$3)/100),"")</f>
        <v/>
      </c>
      <c r="XT15" s="72" t="str">
        <f>IFERROR(IF(OR($B15="",XT$3=""),"",_xll.ciqfunctions.udf.CIQ($B15,"IQ_TOTAL_REV_1YR_ANN_GROWTH",XT$3,$I$3, $N$3, , $J$3, $K$3)/100),"")</f>
        <v/>
      </c>
      <c r="XU15" s="72" t="str">
        <f>IFERROR(IF(OR($B15="",XU$3=""),"",_xll.ciqfunctions.udf.CIQ($B15,"IQ_TOTAL_REV_1YR_ANN_GROWTH",XU$3,$I$3, $N$3, , $J$3, $K$3)/100),"")</f>
        <v/>
      </c>
      <c r="XV15" s="72" t="str">
        <f>IFERROR(IF(OR($B15="",XV$3=""),"",_xll.ciqfunctions.udf.CIQ($B15,"IQ_TOTAL_REV_1YR_ANN_GROWTH",XV$3,$I$3, $N$3, , $J$3, $K$3)/100),"")</f>
        <v/>
      </c>
      <c r="XW15" s="72" t="str">
        <f>IFERROR(IF(OR($B15="",XW$3=""),"",_xll.ciqfunctions.udf.CIQ($B15,"IQ_TOTAL_REV_1YR_ANN_GROWTH",XW$3,$I$3, $N$3, , $J$3, $K$3)/100),"")</f>
        <v/>
      </c>
      <c r="XX15" s="72" t="str">
        <f>IFERROR(IF(OR($B15="",XX$3=""),"",_xll.ciqfunctions.udf.CIQ($B15,"IQ_TOTAL_REV_1YR_ANN_GROWTH",XX$3,$I$3, $N$3, , $J$3, $K$3)/100),"")</f>
        <v/>
      </c>
      <c r="XY15" s="72" t="str">
        <f>IFERROR(IF(OR($B15="",XY$3=""),"",_xll.ciqfunctions.udf.CIQ($B15,"IQ_TOTAL_REV_1YR_ANN_GROWTH",XY$3,$I$3, $N$3, , $J$3, $K$3)/100),"")</f>
        <v/>
      </c>
      <c r="XZ15" s="72" t="str">
        <f>IFERROR(IF(OR($B15="",XZ$3=""),"",_xll.ciqfunctions.udf.CIQ($B15,"IQ_TOTAL_REV_1YR_ANN_GROWTH",XZ$3,$I$3, $N$3, , $J$3, $K$3)/100),"")</f>
        <v/>
      </c>
      <c r="YA15" s="72" t="str">
        <f>IFERROR(IF(OR($B15="",YA$3=""),"",_xll.ciqfunctions.udf.CIQ($B15,"IQ_TOTAL_REV_1YR_ANN_GROWTH",YA$3,$I$3, $N$3, , $J$3, $K$3)/100),"")</f>
        <v/>
      </c>
      <c r="YB15" s="72" t="str">
        <f>IFERROR(IF(OR($B15="",YB$3=""),"",_xll.ciqfunctions.udf.CIQ($B15,"IQ_TOTAL_REV_1YR_ANN_GROWTH",YB$3,$I$3, $N$3, , $J$3, $K$3)/100),"")</f>
        <v/>
      </c>
      <c r="YC15" s="627" t="str">
        <f>IFERROR(IF(OR($B15="",YC$4=""),"",_xll.ciqfunctions.udf.CIQ($B15,"IQ_TEV",YC$4)),"")</f>
        <v/>
      </c>
      <c r="YD15" s="627" t="str">
        <f>IFERROR(IF(OR($B15="",YD$4=""),"",_xll.ciqfunctions.udf.CIQ($B15,"IQ_TEV",YD$4)),"")</f>
        <v/>
      </c>
      <c r="YE15" s="627" t="str">
        <f>IFERROR(IF(OR($B15="",YE$4=""),"",_xll.ciqfunctions.udf.CIQ($B15,"IQ_TEV",YE$4)),"")</f>
        <v/>
      </c>
      <c r="YF15" s="627" t="str">
        <f>IFERROR(IF(OR($B15="",YF$4=""),"",_xll.ciqfunctions.udf.CIQ($B15,"IQ_TEV",YF$4)),"")</f>
        <v/>
      </c>
      <c r="YG15" s="627" t="str">
        <f>IFERROR(IF(OR($B15="",YG$4=""),"",_xll.ciqfunctions.udf.CIQ($B15,"IQ_TEV",YG$4)),"")</f>
        <v/>
      </c>
      <c r="YH15" s="627" t="str">
        <f>IFERROR(IF(OR($B15="",YH$4=""),"",_xll.ciqfunctions.udf.CIQ($B15,"IQ_TEV",YH$4)),"")</f>
        <v/>
      </c>
      <c r="YI15" s="627" t="str">
        <f>IFERROR(IF(OR($B15="",YI$4=""),"",_xll.ciqfunctions.udf.CIQ($B15,"IQ_TEV",YI$4)),"")</f>
        <v/>
      </c>
      <c r="YJ15" s="627" t="str">
        <f>IFERROR(IF(OR($B15="",YJ$4=""),"",_xll.ciqfunctions.udf.CIQ($B15,"IQ_TEV",YJ$4)),"")</f>
        <v/>
      </c>
      <c r="YK15" s="627" t="str">
        <f>IFERROR(IF(OR($B15="",YK$4=""),"",_xll.ciqfunctions.udf.CIQ($B15,"IQ_TEV",YK$4)),"")</f>
        <v/>
      </c>
      <c r="YL15" s="627" t="str">
        <f>IFERROR(IF(OR($B15="",YL$4=""),"",_xll.ciqfunctions.udf.CIQ($B15,"IQ_TEV",YL$4)),"")</f>
        <v/>
      </c>
      <c r="YM15" s="627" t="str">
        <f>IFERROR(IF(OR($B15="",YM$4=""),"",_xll.ciqfunctions.udf.CIQ($B15,"IQ_TEV",YM$4)),"")</f>
        <v/>
      </c>
      <c r="YN15" s="627" t="str">
        <f>IFERROR(IF(OR($B15="",YN$4=""),"",_xll.ciqfunctions.udf.CIQ($B15,"IQ_TEV",YN$4)),"")</f>
        <v/>
      </c>
      <c r="YO15" s="627" t="str">
        <f>IFERROR(IF(OR($B15="",YO$4=""),"",_xll.ciqfunctions.udf.CIQ($B15,"IQ_TEV",YO$4)),"")</f>
        <v/>
      </c>
      <c r="YP15" s="627" t="str">
        <f>IFERROR(IF(OR($B15="",YP$4=""),"",_xll.ciqfunctions.udf.CIQ($B15,"IQ_TEV",YP$4)),"")</f>
        <v/>
      </c>
      <c r="YQ15" s="627" t="str">
        <f>IFERROR(IF(OR($B15="",YQ$4=""),"",_xll.ciqfunctions.udf.CIQ($B15,"IQ_TEV",YQ$4)),"")</f>
        <v/>
      </c>
      <c r="YR15" s="627" t="str">
        <f>IFERROR(IF(OR($B15="",YR$4=""),"",_xll.ciqfunctions.udf.CIQ($B15,"IQ_TEV",YR$4)),"")</f>
        <v/>
      </c>
      <c r="YS15" s="627" t="str">
        <f>IFERROR(IF(OR($B15="",YS$4=""),"",_xll.ciqfunctions.udf.CIQ($B15,"IQ_TEV",YS$4)),"")</f>
        <v/>
      </c>
      <c r="YT15" s="627" t="str">
        <f>IFERROR(IF(OR($B15="",YT$4=""),"",_xll.ciqfunctions.udf.CIQ($B15,"IQ_TEV",YT$4)),"")</f>
        <v/>
      </c>
      <c r="YU15" s="627" t="str">
        <f>IFERROR(IF(OR($B15="",YU$4=""),"",_xll.ciqfunctions.udf.CIQ($B15,"IQ_TEV",YU$4)),"")</f>
        <v/>
      </c>
      <c r="YV15" s="627" t="str">
        <f>IFERROR(IF(OR($B15="",YV$4=""),"",_xll.ciqfunctions.udf.CIQ($B15,"IQ_TEV",YV$4)),"")</f>
        <v/>
      </c>
      <c r="YW15" s="72" t="str">
        <f>IFERROR(IF(OR($B15="",YW$3=""),"",(_xll.ciqfunctions.udf.CIQ($B15,"IQ_LASTSALEPRICE",YW$4)/_xll.ciqfunctions.udf.CIQ($B15,"IQ_LASTSALEPRICE",YW$2)-1)+(_xll.ciqfunctions.udf.CIQ($B15, "IQ_DPS_1YR_ANN_GROWTH", "IQ_LTM", YW$4)/100)),"")</f>
        <v/>
      </c>
      <c r="YX15" s="72" t="str">
        <f>IFERROR(IF(OR($B15="",YX$3=""),"",(_xll.ciqfunctions.udf.CIQ($B15,"IQ_LASTSALEPRICE",YX$4)/_xll.ciqfunctions.udf.CIQ($B15,"IQ_LASTSALEPRICE",YX$2)-1)+(_xll.ciqfunctions.udf.CIQ($B15, "IQ_DPS_1YR_ANN_GROWTH", "IQ_LTM", YX$4)/100)),"")</f>
        <v/>
      </c>
      <c r="YY15" s="72" t="str">
        <f>IFERROR(IF(OR($B15="",YY$3=""),"",(_xll.ciqfunctions.udf.CIQ($B15,"IQ_LASTSALEPRICE",YY$4)/_xll.ciqfunctions.udf.CIQ($B15,"IQ_LASTSALEPRICE",YY$2)-1)+(_xll.ciqfunctions.udf.CIQ($B15, "IQ_DPS_1YR_ANN_GROWTH", "IQ_LTM", YY$4)/100)),"")</f>
        <v/>
      </c>
      <c r="YZ15" s="72" t="str">
        <f>IFERROR(IF(OR($B15="",YZ$3=""),"",(_xll.ciqfunctions.udf.CIQ($B15,"IQ_LASTSALEPRICE",YZ$4)/_xll.ciqfunctions.udf.CIQ($B15,"IQ_LASTSALEPRICE",YZ$2)-1)+(_xll.ciqfunctions.udf.CIQ($B15, "IQ_DPS_1YR_ANN_GROWTH", "IQ_LTM", YZ$4)/100)),"")</f>
        <v/>
      </c>
      <c r="ZA15" s="72" t="str">
        <f>IFERROR(IF(OR($B15="",ZA$3=""),"",(_xll.ciqfunctions.udf.CIQ($B15,"IQ_LASTSALEPRICE",ZA$4)/_xll.ciqfunctions.udf.CIQ($B15,"IQ_LASTSALEPRICE",ZA$2)-1)+(_xll.ciqfunctions.udf.CIQ($B15, "IQ_DPS_1YR_ANN_GROWTH", "IQ_LTM", ZA$4)/100)),"")</f>
        <v/>
      </c>
      <c r="ZB15" s="72" t="str">
        <f>IFERROR(IF(OR($B15="",ZB$3=""),"",(_xll.ciqfunctions.udf.CIQ($B15,"IQ_LASTSALEPRICE",ZB$4)/_xll.ciqfunctions.udf.CIQ($B15,"IQ_LASTSALEPRICE",ZB$2)-1)+(_xll.ciqfunctions.udf.CIQ($B15, "IQ_DPS_1YR_ANN_GROWTH", "IQ_LTM", ZB$4)/100)),"")</f>
        <v/>
      </c>
      <c r="ZC15" s="72" t="str">
        <f>IFERROR(IF(OR($B15="",ZC$3=""),"",(_xll.ciqfunctions.udf.CIQ($B15,"IQ_LASTSALEPRICE",ZC$4)/_xll.ciqfunctions.udf.CIQ($B15,"IQ_LASTSALEPRICE",ZC$2)-1)+(_xll.ciqfunctions.udf.CIQ($B15, "IQ_DPS_1YR_ANN_GROWTH", "IQ_LTM", ZC$4)/100)),"")</f>
        <v/>
      </c>
      <c r="ZD15" s="72" t="str">
        <f>IFERROR(IF(OR($B15="",ZD$3=""),"",(_xll.ciqfunctions.udf.CIQ($B15,"IQ_LASTSALEPRICE",ZD$4)/_xll.ciqfunctions.udf.CIQ($B15,"IQ_LASTSALEPRICE",ZD$2)-1)+(_xll.ciqfunctions.udf.CIQ($B15, "IQ_DPS_1YR_ANN_GROWTH", "IQ_LTM", ZD$4)/100)),"")</f>
        <v/>
      </c>
      <c r="ZE15" s="72" t="str">
        <f>IFERROR(IF(OR($B15="",ZE$3=""),"",(_xll.ciqfunctions.udf.CIQ($B15,"IQ_LASTSALEPRICE",ZE$4)/_xll.ciqfunctions.udf.CIQ($B15,"IQ_LASTSALEPRICE",ZE$2)-1)+(_xll.ciqfunctions.udf.CIQ($B15, "IQ_DPS_1YR_ANN_GROWTH", "IQ_LTM", ZE$4)/100)),"")</f>
        <v/>
      </c>
      <c r="ZF15" s="72" t="str">
        <f>IFERROR(IF(OR($B15="",ZF$3=""),"",(_xll.ciqfunctions.udf.CIQ($B15,"IQ_LASTSALEPRICE",ZF$4)/_xll.ciqfunctions.udf.CIQ($B15,"IQ_LASTSALEPRICE",ZF$2)-1)+(_xll.ciqfunctions.udf.CIQ($B15, "IQ_DPS_1YR_ANN_GROWTH", "IQ_LTM", ZF$4)/100)),"")</f>
        <v/>
      </c>
      <c r="ZG15" s="72" t="str">
        <f>IFERROR(IF(OR($B15="",ZG$3=""),"",(_xll.ciqfunctions.udf.CIQ($B15,"IQ_LASTSALEPRICE",ZG$4)/_xll.ciqfunctions.udf.CIQ($B15,"IQ_LASTSALEPRICE",ZG$2)-1)+(_xll.ciqfunctions.udf.CIQ($B15, "IQ_DPS_1YR_ANN_GROWTH", "IQ_LTM", ZG$4)/100)),"")</f>
        <v/>
      </c>
      <c r="ZH15" s="72" t="str">
        <f>IFERROR(IF(OR($B15="",ZH$3=""),"",(_xll.ciqfunctions.udf.CIQ($B15,"IQ_LASTSALEPRICE",ZH$4)/_xll.ciqfunctions.udf.CIQ($B15,"IQ_LASTSALEPRICE",ZH$2)-1)+(_xll.ciqfunctions.udf.CIQ($B15, "IQ_DPS_1YR_ANN_GROWTH", "IQ_LTM", ZH$4)/100)),"")</f>
        <v/>
      </c>
      <c r="ZI15" s="72" t="str">
        <f>IFERROR(IF(OR($B15="",ZI$3=""),"",(_xll.ciqfunctions.udf.CIQ($B15,"IQ_LASTSALEPRICE",ZI$4)/_xll.ciqfunctions.udf.CIQ($B15,"IQ_LASTSALEPRICE",ZI$2)-1)+(_xll.ciqfunctions.udf.CIQ($B15, "IQ_DPS_1YR_ANN_GROWTH", "IQ_LTM", ZI$4)/100)),"")</f>
        <v/>
      </c>
      <c r="ZJ15" s="72" t="str">
        <f>IFERROR(IF(OR($B15="",ZJ$3=""),"",(_xll.ciqfunctions.udf.CIQ($B15,"IQ_LASTSALEPRICE",ZJ$4)/_xll.ciqfunctions.udf.CIQ($B15,"IQ_LASTSALEPRICE",ZJ$2)-1)+(_xll.ciqfunctions.udf.CIQ($B15, "IQ_DPS_1YR_ANN_GROWTH", "IQ_LTM", ZJ$4)/100)),"")</f>
        <v/>
      </c>
      <c r="ZK15" s="72" t="str">
        <f>IFERROR(IF(OR($B15="",ZK$3=""),"",(_xll.ciqfunctions.udf.CIQ($B15,"IQ_LASTSALEPRICE",ZK$4)/_xll.ciqfunctions.udf.CIQ($B15,"IQ_LASTSALEPRICE",ZK$2)-1)+(_xll.ciqfunctions.udf.CIQ($B15, "IQ_DPS_1YR_ANN_GROWTH", "IQ_LTM", ZK$4)/100)),"")</f>
        <v/>
      </c>
      <c r="ZL15" s="72" t="str">
        <f>IFERROR(IF(OR($B15="",ZL$3=""),"",(_xll.ciqfunctions.udf.CIQ($B15,"IQ_LASTSALEPRICE",ZL$4)/_xll.ciqfunctions.udf.CIQ($B15,"IQ_LASTSALEPRICE",ZL$2)-1)+(_xll.ciqfunctions.udf.CIQ($B15, "IQ_DPS_1YR_ANN_GROWTH", "IQ_LTM", ZL$4)/100)),"")</f>
        <v/>
      </c>
      <c r="ZM15" s="72" t="str">
        <f>IFERROR(IF(OR($B15="",ZM$3=""),"",(_xll.ciqfunctions.udf.CIQ($B15,"IQ_LASTSALEPRICE",ZM$4)/_xll.ciqfunctions.udf.CIQ($B15,"IQ_LASTSALEPRICE",ZM$2)-1)+(_xll.ciqfunctions.udf.CIQ($B15, "IQ_DPS_1YR_ANN_GROWTH", "IQ_LTM", ZM$4)/100)),"")</f>
        <v/>
      </c>
      <c r="ZN15" s="72" t="str">
        <f>IFERROR(IF(OR($B15="",ZN$3=""),"",(_xll.ciqfunctions.udf.CIQ($B15,"IQ_LASTSALEPRICE",ZN$4)/_xll.ciqfunctions.udf.CIQ($B15,"IQ_LASTSALEPRICE",ZN$2)-1)+(_xll.ciqfunctions.udf.CIQ($B15, "IQ_DPS_1YR_ANN_GROWTH", "IQ_LTM", ZN$4)/100)),"")</f>
        <v/>
      </c>
      <c r="ZO15" s="72" t="str">
        <f>IFERROR(IF(OR($B15="",ZO$3=""),"",(_xll.ciqfunctions.udf.CIQ($B15,"IQ_LASTSALEPRICE",ZO$4)/_xll.ciqfunctions.udf.CIQ($B15,"IQ_LASTSALEPRICE",ZO$2)-1)+(_xll.ciqfunctions.udf.CIQ($B15, "IQ_DPS_1YR_ANN_GROWTH", "IQ_LTM", ZO$4)/100)),"")</f>
        <v/>
      </c>
      <c r="ZP15" s="72" t="str">
        <f>IFERROR(IF(OR($B15="",ZP$3=""),"",(_xll.ciqfunctions.udf.CIQ($B15,"IQ_LASTSALEPRICE",ZP$4)/_xll.ciqfunctions.udf.CIQ($B15,"IQ_LASTSALEPRICE",ZP$2)-1)+(_xll.ciqfunctions.udf.CIQ($B15, "IQ_DPS_1YR_ANN_GROWTH", "IQ_LTM", ZP$4)/100)),"")</f>
        <v/>
      </c>
      <c r="ZQ15" s="72" t="str">
        <f>IFERROR(IF(OR($B15="",ZQ$3=""),"",_xll.ciqfunctions.udf.CIQ($B15,"IQ_NI",$O$3,ZQ$3, $N$3, , $J$3, $K$3)*2/(_xll.ciqfunctions.udf.CIQ($B15,"IQ_TOTAL_CAP",ZQ$3,$I$3, $N$3, , $J$3, $K$3)+_xll.ciqfunctions.udf.CIQ($B15,"IQ_TOTAL_CAP","IQ_" &amp; LEFT(ZQ$3,2) &amp; "-1", ZQ$3, $N$3, , $J$3, $K$3))),"")</f>
        <v/>
      </c>
      <c r="ZR15" s="72" t="str">
        <f>IFERROR(IF(OR($B15="",ZR$3=""),"",_xll.ciqfunctions.udf.CIQ($B15,"IQ_NI",$O$3,ZR$3, $N$3, , $J$3, $K$3)*2/(_xll.ciqfunctions.udf.CIQ($B15,"IQ_TOTAL_CAP",ZR$3,$I$3, $N$3, , $J$3, $K$3)+_xll.ciqfunctions.udf.CIQ($B15,"IQ_TOTAL_CAP","IQ_" &amp; LEFT(ZR$3,2) &amp; "-1", ZR$3, $N$3, , $J$3, $K$3))),"")</f>
        <v/>
      </c>
      <c r="ZS15" s="72" t="str">
        <f>IFERROR(IF(OR($B15="",ZS$3=""),"",_xll.ciqfunctions.udf.CIQ($B15,"IQ_NI",$O$3,ZS$3, $N$3, , $J$3, $K$3)*2/(_xll.ciqfunctions.udf.CIQ($B15,"IQ_TOTAL_CAP",ZS$3,$I$3, $N$3, , $J$3, $K$3)+_xll.ciqfunctions.udf.CIQ($B15,"IQ_TOTAL_CAP","IQ_" &amp; LEFT(ZS$3,2) &amp; "-1", ZS$3, $N$3, , $J$3, $K$3))),"")</f>
        <v/>
      </c>
      <c r="ZT15" s="72" t="str">
        <f>IFERROR(IF(OR($B15="",ZT$3=""),"",_xll.ciqfunctions.udf.CIQ($B15,"IQ_NI",$O$3,ZT$3, $N$3, , $J$3, $K$3)*2/(_xll.ciqfunctions.udf.CIQ($B15,"IQ_TOTAL_CAP",ZT$3,$I$3, $N$3, , $J$3, $K$3)+_xll.ciqfunctions.udf.CIQ($B15,"IQ_TOTAL_CAP","IQ_" &amp; LEFT(ZT$3,2) &amp; "-1", ZT$3, $N$3, , $J$3, $K$3))),"")</f>
        <v/>
      </c>
      <c r="ZU15" s="72" t="str">
        <f>IFERROR(IF(OR($B15="",ZU$3=""),"",_xll.ciqfunctions.udf.CIQ($B15,"IQ_NI",$O$3,ZU$3, $N$3, , $J$3, $K$3)*2/(_xll.ciqfunctions.udf.CIQ($B15,"IQ_TOTAL_CAP",ZU$3,$I$3, $N$3, , $J$3, $K$3)+_xll.ciqfunctions.udf.CIQ($B15,"IQ_TOTAL_CAP","IQ_" &amp; LEFT(ZU$3,2) &amp; "-1", ZU$3, $N$3, , $J$3, $K$3))),"")</f>
        <v/>
      </c>
      <c r="ZV15" s="72" t="str">
        <f>IFERROR(IF(OR($B15="",ZV$3=""),"",_xll.ciqfunctions.udf.CIQ($B15,"IQ_NI",$O$3,ZV$3, $N$3, , $J$3, $K$3)*2/(_xll.ciqfunctions.udf.CIQ($B15,"IQ_TOTAL_CAP",ZV$3,$I$3, $N$3, , $J$3, $K$3)+_xll.ciqfunctions.udf.CIQ($B15,"IQ_TOTAL_CAP","IQ_" &amp; LEFT(ZV$3,2) &amp; "-1", ZV$3, $N$3, , $J$3, $K$3))),"")</f>
        <v/>
      </c>
      <c r="ZW15" s="72" t="str">
        <f>IFERROR(IF(OR($B15="",ZW$3=""),"",_xll.ciqfunctions.udf.CIQ($B15,"IQ_NI",$O$3,ZW$3, $N$3, , $J$3, $K$3)*2/(_xll.ciqfunctions.udf.CIQ($B15,"IQ_TOTAL_CAP",ZW$3,$I$3, $N$3, , $J$3, $K$3)+_xll.ciqfunctions.udf.CIQ($B15,"IQ_TOTAL_CAP","IQ_" &amp; LEFT(ZW$3,2) &amp; "-1", ZW$3, $N$3, , $J$3, $K$3))),"")</f>
        <v/>
      </c>
      <c r="ZX15" s="72" t="str">
        <f>IFERROR(IF(OR($B15="",ZX$3=""),"",_xll.ciqfunctions.udf.CIQ($B15,"IQ_NI",$O$3,ZX$3, $N$3, , $J$3, $K$3)*2/(_xll.ciqfunctions.udf.CIQ($B15,"IQ_TOTAL_CAP",ZX$3,$I$3, $N$3, , $J$3, $K$3)+_xll.ciqfunctions.udf.CIQ($B15,"IQ_TOTAL_CAP","IQ_" &amp; LEFT(ZX$3,2) &amp; "-1", ZX$3, $N$3, , $J$3, $K$3))),"")</f>
        <v/>
      </c>
      <c r="ZY15" s="72" t="str">
        <f>IFERROR(IF(OR($B15="",ZY$3=""),"",_xll.ciqfunctions.udf.CIQ($B15,"IQ_NI",$O$3,ZY$3, $N$3, , $J$3, $K$3)*2/(_xll.ciqfunctions.udf.CIQ($B15,"IQ_TOTAL_CAP",ZY$3,$I$3, $N$3, , $J$3, $K$3)+_xll.ciqfunctions.udf.CIQ($B15,"IQ_TOTAL_CAP","IQ_" &amp; LEFT(ZY$3,2) &amp; "-1", ZY$3, $N$3, , $J$3, $K$3))),"")</f>
        <v/>
      </c>
      <c r="ZZ15" s="72" t="str">
        <f>IFERROR(IF(OR($B15="",ZZ$3=""),"",_xll.ciqfunctions.udf.CIQ($B15,"IQ_NI",$O$3,ZZ$3, $N$3, , $J$3, $K$3)*2/(_xll.ciqfunctions.udf.CIQ($B15,"IQ_TOTAL_CAP",ZZ$3,$I$3, $N$3, , $J$3, $K$3)+_xll.ciqfunctions.udf.CIQ($B15,"IQ_TOTAL_CAP","IQ_" &amp; LEFT(ZZ$3,2) &amp; "-1", ZZ$3, $N$3, , $J$3, $K$3))),"")</f>
        <v/>
      </c>
      <c r="AAA15" s="72" t="str">
        <f>IFERROR(IF(OR($B15="",AAA$3=""),"",_xll.ciqfunctions.udf.CIQ($B15,"IQ_NI",$O$3,AAA$3, $N$3, , $J$3, $K$3)*2/(_xll.ciqfunctions.udf.CIQ($B15,"IQ_TOTAL_CAP",AAA$3,$I$3, $N$3, , $J$3, $K$3)+_xll.ciqfunctions.udf.CIQ($B15,"IQ_TOTAL_CAP","IQ_" &amp; LEFT(AAA$3,2) &amp; "-1", AAA$3, $N$3, , $J$3, $K$3))),"")</f>
        <v/>
      </c>
      <c r="AAB15" s="72" t="str">
        <f>IFERROR(IF(OR($B15="",AAB$3=""),"",_xll.ciqfunctions.udf.CIQ($B15,"IQ_NI",$O$3,AAB$3, $N$3, , $J$3, $K$3)*2/(_xll.ciqfunctions.udf.CIQ($B15,"IQ_TOTAL_CAP",AAB$3,$I$3, $N$3, , $J$3, $K$3)+_xll.ciqfunctions.udf.CIQ($B15,"IQ_TOTAL_CAP","IQ_" &amp; LEFT(AAB$3,2) &amp; "-1", AAB$3, $N$3, , $J$3, $K$3))),"")</f>
        <v/>
      </c>
      <c r="AAC15" s="72" t="str">
        <f>IFERROR(IF(OR($B15="",AAC$3=""),"",_xll.ciqfunctions.udf.CIQ($B15,"IQ_NI",$O$3,AAC$3, $N$3, , $J$3, $K$3)*2/(_xll.ciqfunctions.udf.CIQ($B15,"IQ_TOTAL_CAP",AAC$3,$I$3, $N$3, , $J$3, $K$3)+_xll.ciqfunctions.udf.CIQ($B15,"IQ_TOTAL_CAP","IQ_" &amp; LEFT(AAC$3,2) &amp; "-1", AAC$3, $N$3, , $J$3, $K$3))),"")</f>
        <v/>
      </c>
      <c r="AAD15" s="72" t="str">
        <f>IFERROR(IF(OR($B15="",AAD$3=""),"",_xll.ciqfunctions.udf.CIQ($B15,"IQ_NI",$O$3,AAD$3, $N$3, , $J$3, $K$3)*2/(_xll.ciqfunctions.udf.CIQ($B15,"IQ_TOTAL_CAP",AAD$3,$I$3, $N$3, , $J$3, $K$3)+_xll.ciqfunctions.udf.CIQ($B15,"IQ_TOTAL_CAP","IQ_" &amp; LEFT(AAD$3,2) &amp; "-1", AAD$3, $N$3, , $J$3, $K$3))),"")</f>
        <v/>
      </c>
      <c r="AAE15" s="72" t="str">
        <f>IFERROR(IF(OR($B15="",AAE$3=""),"",_xll.ciqfunctions.udf.CIQ($B15,"IQ_NI",$O$3,AAE$3, $N$3, , $J$3, $K$3)*2/(_xll.ciqfunctions.udf.CIQ($B15,"IQ_TOTAL_CAP",AAE$3,$I$3, $N$3, , $J$3, $K$3)+_xll.ciqfunctions.udf.CIQ($B15,"IQ_TOTAL_CAP","IQ_" &amp; LEFT(AAE$3,2) &amp; "-1", AAE$3, $N$3, , $J$3, $K$3))),"")</f>
        <v/>
      </c>
      <c r="AAF15" s="72" t="str">
        <f>IFERROR(IF(OR($B15="",AAF$3=""),"",_xll.ciqfunctions.udf.CIQ($B15,"IQ_NI",$O$3,AAF$3, $N$3, , $J$3, $K$3)*2/(_xll.ciqfunctions.udf.CIQ($B15,"IQ_TOTAL_CAP",AAF$3,$I$3, $N$3, , $J$3, $K$3)+_xll.ciqfunctions.udf.CIQ($B15,"IQ_TOTAL_CAP","IQ_" &amp; LEFT(AAF$3,2) &amp; "-1", AAF$3, $N$3, , $J$3, $K$3))),"")</f>
        <v/>
      </c>
      <c r="AAG15" s="72" t="str">
        <f>IFERROR(IF(OR($B15="",AAG$3=""),"",_xll.ciqfunctions.udf.CIQ($B15,"IQ_NI",$O$3,AAG$3, $N$3, , $J$3, $K$3)*2/(_xll.ciqfunctions.udf.CIQ($B15,"IQ_TOTAL_CAP",AAG$3,$I$3, $N$3, , $J$3, $K$3)+_xll.ciqfunctions.udf.CIQ($B15,"IQ_TOTAL_CAP","IQ_" &amp; LEFT(AAG$3,2) &amp; "-1", AAG$3, $N$3, , $J$3, $K$3))),"")</f>
        <v/>
      </c>
      <c r="AAH15" s="72" t="str">
        <f>IFERROR(IF(OR($B15="",AAH$3=""),"",_xll.ciqfunctions.udf.CIQ($B15,"IQ_NI",$O$3,AAH$3, $N$3, , $J$3, $K$3)*2/(_xll.ciqfunctions.udf.CIQ($B15,"IQ_TOTAL_CAP",AAH$3,$I$3, $N$3, , $J$3, $K$3)+_xll.ciqfunctions.udf.CIQ($B15,"IQ_TOTAL_CAP","IQ_" &amp; LEFT(AAH$3,2) &amp; "-1", AAH$3, $N$3, , $J$3, $K$3))),"")</f>
        <v/>
      </c>
      <c r="AAI15" s="72" t="str">
        <f>IFERROR(IF(OR($B15="",AAI$3=""),"",_xll.ciqfunctions.udf.CIQ($B15,"IQ_NI",$O$3,AAI$3, $N$3, , $J$3, $K$3)*2/(_xll.ciqfunctions.udf.CIQ($B15,"IQ_TOTAL_CAP",AAI$3,$I$3, $N$3, , $J$3, $K$3)+_xll.ciqfunctions.udf.CIQ($B15,"IQ_TOTAL_CAP","IQ_" &amp; LEFT(AAI$3,2) &amp; "-1", AAI$3, $N$3, , $J$3, $K$3))),"")</f>
        <v/>
      </c>
      <c r="AAJ15" s="72" t="str">
        <f>IFERROR(IF(OR($B15="",AAJ$3=""),"",_xll.ciqfunctions.udf.CIQ($B15,"IQ_NI",$O$3,AAJ$3, $N$3, , $J$3, $K$3)*2/(_xll.ciqfunctions.udf.CIQ($B15,"IQ_TOTAL_CAP",AAJ$3,$I$3, $N$3, , $J$3, $K$3)+_xll.ciqfunctions.udf.CIQ($B15,"IQ_TOTAL_CAP","IQ_" &amp; LEFT(AAJ$3,2) &amp; "-1", AAJ$3, $N$3, , $J$3, $K$3))),"")</f>
        <v/>
      </c>
      <c r="AAK15" s="628" t="str">
        <f>IFERROR(IF(OR($B15="",AAK$4=""),"",_xll.ciqfunctions.udf.CIQ($B15,"IQ_TEV",AAK$4)/_xll.ciqfunctions.udf.CIQ($B15,"IQ_TOTAL_CAP",ZQ$3,$I$3, $N$3, , $J$3, $K$3)),"")</f>
        <v/>
      </c>
      <c r="AAL15" s="628" t="str">
        <f>IFERROR(IF(OR($B15="",AAL$4=""),"",_xll.ciqfunctions.udf.CIQ($B15,"IQ_TEV",AAL$4)/_xll.ciqfunctions.udf.CIQ($B15,"IQ_TOTAL_CAP",ZR$3,$I$3, $N$3, , $J$3, $K$3)),"")</f>
        <v/>
      </c>
      <c r="AAM15" s="628" t="str">
        <f>IFERROR(IF(OR($B15="",AAM$4=""),"",_xll.ciqfunctions.udf.CIQ($B15,"IQ_TEV",AAM$4)/_xll.ciqfunctions.udf.CIQ($B15,"IQ_TOTAL_CAP",ZS$3,$I$3, $N$3, , $J$3, $K$3)),"")</f>
        <v/>
      </c>
      <c r="AAN15" s="628" t="str">
        <f>IFERROR(IF(OR($B15="",AAN$4=""),"",_xll.ciqfunctions.udf.CIQ($B15,"IQ_TEV",AAN$4)/_xll.ciqfunctions.udf.CIQ($B15,"IQ_TOTAL_CAP",ZT$3,$I$3, $N$3, , $J$3, $K$3)),"")</f>
        <v/>
      </c>
      <c r="AAO15" s="628" t="str">
        <f>IFERROR(IF(OR($B15="",AAO$4=""),"",_xll.ciqfunctions.udf.CIQ($B15,"IQ_TEV",AAO$4)/_xll.ciqfunctions.udf.CIQ($B15,"IQ_TOTAL_CAP",ZU$3,$I$3, $N$3, , $J$3, $K$3)),"")</f>
        <v/>
      </c>
      <c r="AAP15" s="628" t="str">
        <f>IFERROR(IF(OR($B15="",AAP$4=""),"",_xll.ciqfunctions.udf.CIQ($B15,"IQ_TEV",AAP$4)/_xll.ciqfunctions.udf.CIQ($B15,"IQ_TOTAL_CAP",ZV$3,$I$3, $N$3, , $J$3, $K$3)),"")</f>
        <v/>
      </c>
      <c r="AAQ15" s="628" t="str">
        <f>IFERROR(IF(OR($B15="",AAQ$4=""),"",_xll.ciqfunctions.udf.CIQ($B15,"IQ_TEV",AAQ$4)/_xll.ciqfunctions.udf.CIQ($B15,"IQ_TOTAL_CAP",ZW$3,$I$3, $N$3, , $J$3, $K$3)),"")</f>
        <v/>
      </c>
      <c r="AAR15" s="628" t="str">
        <f>IFERROR(IF(OR($B15="",AAR$4=""),"",_xll.ciqfunctions.udf.CIQ($B15,"IQ_TEV",AAR$4)/_xll.ciqfunctions.udf.CIQ($B15,"IQ_TOTAL_CAP",ZX$3,$I$3, $N$3, , $J$3, $K$3)),"")</f>
        <v/>
      </c>
      <c r="AAS15" s="628" t="str">
        <f>IFERROR(IF(OR($B15="",AAS$4=""),"",_xll.ciqfunctions.udf.CIQ($B15,"IQ_TEV",AAS$4)/_xll.ciqfunctions.udf.CIQ($B15,"IQ_TOTAL_CAP",ZY$3,$I$3, $N$3, , $J$3, $K$3)),"")</f>
        <v/>
      </c>
      <c r="AAT15" s="628" t="str">
        <f>IFERROR(IF(OR($B15="",AAT$4=""),"",_xll.ciqfunctions.udf.CIQ($B15,"IQ_TEV",AAT$4)/_xll.ciqfunctions.udf.CIQ($B15,"IQ_TOTAL_CAP",ZZ$3,$I$3, $N$3, , $J$3, $K$3)),"")</f>
        <v/>
      </c>
      <c r="AAU15" s="628" t="str">
        <f>IFERROR(IF(OR($B15="",AAU$4=""),"",_xll.ciqfunctions.udf.CIQ($B15,"IQ_TEV",AAU$4)/_xll.ciqfunctions.udf.CIQ($B15,"IQ_TOTAL_CAP",AAA$3,$I$3, $N$3, , $J$3, $K$3)),"")</f>
        <v/>
      </c>
      <c r="AAV15" s="628" t="str">
        <f>IFERROR(IF(OR($B15="",AAV$4=""),"",_xll.ciqfunctions.udf.CIQ($B15,"IQ_TEV",AAV$4)/_xll.ciqfunctions.udf.CIQ($B15,"IQ_TOTAL_CAP",AAB$3,$I$3, $N$3, , $J$3, $K$3)),"")</f>
        <v/>
      </c>
      <c r="AAW15" s="628" t="str">
        <f>IFERROR(IF(OR($B15="",AAW$4=""),"",_xll.ciqfunctions.udf.CIQ($B15,"IQ_TEV",AAW$4)/_xll.ciqfunctions.udf.CIQ($B15,"IQ_TOTAL_CAP",AAC$3,$I$3, $N$3, , $J$3, $K$3)),"")</f>
        <v/>
      </c>
      <c r="AAX15" s="628" t="str">
        <f>IFERROR(IF(OR($B15="",AAX$4=""),"",_xll.ciqfunctions.udf.CIQ($B15,"IQ_TEV",AAX$4)/_xll.ciqfunctions.udf.CIQ($B15,"IQ_TOTAL_CAP",AAD$3,$I$3, $N$3, , $J$3, $K$3)),"")</f>
        <v/>
      </c>
      <c r="AAY15" s="628" t="str">
        <f>IFERROR(IF(OR($B15="",AAY$4=""),"",_xll.ciqfunctions.udf.CIQ($B15,"IQ_TEV",AAY$4)/_xll.ciqfunctions.udf.CIQ($B15,"IQ_TOTAL_CAP",AAE$3,$I$3, $N$3, , $J$3, $K$3)),"")</f>
        <v/>
      </c>
      <c r="AAZ15" s="628" t="str">
        <f>IFERROR(IF(OR($B15="",AAZ$4=""),"",_xll.ciqfunctions.udf.CIQ($B15,"IQ_TEV",AAZ$4)/_xll.ciqfunctions.udf.CIQ($B15,"IQ_TOTAL_CAP",AAF$3,$I$3, $N$3, , $J$3, $K$3)),"")</f>
        <v/>
      </c>
      <c r="ABA15" s="628" t="str">
        <f>IFERROR(IF(OR($B15="",ABA$4=""),"",_xll.ciqfunctions.udf.CIQ($B15,"IQ_TEV",ABA$4)/_xll.ciqfunctions.udf.CIQ($B15,"IQ_TOTAL_CAP",AAG$3,$I$3, $N$3, , $J$3, $K$3)),"")</f>
        <v/>
      </c>
      <c r="ABB15" s="628" t="str">
        <f>IFERROR(IF(OR($B15="",ABB$4=""),"",_xll.ciqfunctions.udf.CIQ($B15,"IQ_TEV",ABB$4)/_xll.ciqfunctions.udf.CIQ($B15,"IQ_TOTAL_CAP",AAH$3,$I$3, $N$3, , $J$3, $K$3)),"")</f>
        <v/>
      </c>
      <c r="ABC15" s="628" t="str">
        <f>IFERROR(IF(OR($B15="",ABC$4=""),"",_xll.ciqfunctions.udf.CIQ($B15,"IQ_TEV",ABC$4)/_xll.ciqfunctions.udf.CIQ($B15,"IQ_TOTAL_CAP",AAI$3,$I$3, $N$3, , $J$3, $K$3)),"")</f>
        <v/>
      </c>
      <c r="ABD15" s="628" t="str">
        <f>IFERROR(IF(OR($B15="",ABD$4=""),"",_xll.ciqfunctions.udf.CIQ($B15,"IQ_TEV",ABD$4)/_xll.ciqfunctions.udf.CIQ($B15,"IQ_TOTAL_CAP",AAJ$3,$I$3, $N$3, , $J$3, $K$3)),"")</f>
        <v/>
      </c>
      <c r="ABE15" s="72" t="str">
        <f t="shared" si="363"/>
        <v/>
      </c>
      <c r="ABF15" s="72" t="str">
        <f t="shared" si="364"/>
        <v/>
      </c>
      <c r="ABG15" s="72" t="str">
        <f t="shared" si="365"/>
        <v/>
      </c>
      <c r="ABH15" s="72" t="str">
        <f t="shared" si="366"/>
        <v/>
      </c>
      <c r="ABI15" s="72" t="str">
        <f t="shared" si="367"/>
        <v/>
      </c>
      <c r="ABJ15" s="72" t="str">
        <f t="shared" si="368"/>
        <v/>
      </c>
      <c r="ABK15" s="72" t="str">
        <f t="shared" si="369"/>
        <v/>
      </c>
      <c r="ABL15" s="72" t="str">
        <f t="shared" si="370"/>
        <v/>
      </c>
      <c r="ABM15" s="72" t="str">
        <f t="shared" si="371"/>
        <v/>
      </c>
      <c r="ABN15" s="72" t="str">
        <f t="shared" si="372"/>
        <v/>
      </c>
      <c r="ABO15" s="72" t="str">
        <f t="shared" si="373"/>
        <v/>
      </c>
      <c r="ABP15" s="72" t="str">
        <f t="shared" si="374"/>
        <v/>
      </c>
      <c r="ABQ15" s="72" t="str">
        <f t="shared" si="375"/>
        <v/>
      </c>
      <c r="ABR15" s="72" t="str">
        <f t="shared" si="376"/>
        <v/>
      </c>
      <c r="ABS15" s="72" t="str">
        <f t="shared" si="377"/>
        <v/>
      </c>
      <c r="ABT15" s="72" t="str">
        <f t="shared" si="378"/>
        <v/>
      </c>
      <c r="ABU15" s="72" t="str">
        <f t="shared" si="379"/>
        <v/>
      </c>
      <c r="ABV15" s="72" t="str">
        <f t="shared" si="380"/>
        <v/>
      </c>
      <c r="ABW15" s="72" t="str">
        <f t="shared" si="381"/>
        <v/>
      </c>
      <c r="ABX15" s="72" t="str">
        <f t="shared" si="382"/>
        <v/>
      </c>
      <c r="ABY15" s="89" t="str">
        <f>IFERROR(IF(OR($B15="",ABY$3=""),"",IF(NOT(ISNUMBER(_xll.ciqfunctions.udf.CIQ($B15, "IQ_FIXED_ASSET_TURNS", ABY$3, $E$3, $N$3, , $J$3, $K$3))),"",_xll.ciqfunctions.udf.CIQ($B15, "IQ_FIXED_ASSET_TURNS", ABY$3, $E$3, $N$3, , $J$3, $K$3))),"")</f>
        <v/>
      </c>
      <c r="ABZ15" s="90" t="str">
        <f>IFERROR(IF(OR($B15="",ABZ$3=""),"",IF(NOT(ISNUMBER(_xll.ciqfunctions.udf.CIQ($B15, "IQ_FIXED_ASSET_TURNS", ABZ$3, $E$3, $N$3, , $J$3, $K$3))),"",_xll.ciqfunctions.udf.CIQ($B15, "IQ_FIXED_ASSET_TURNS", ABZ$3, $E$3, $N$3, , $J$3, $K$3))),"")</f>
        <v/>
      </c>
      <c r="ACA15" s="90" t="str">
        <f>IFERROR(IF(OR($B15="",ACA$3=""),"",IF(NOT(ISNUMBER(_xll.ciqfunctions.udf.CIQ($B15, "IQ_FIXED_ASSET_TURNS", ACA$3, $E$3, $N$3, , $J$3, $K$3))),"",_xll.ciqfunctions.udf.CIQ($B15, "IQ_FIXED_ASSET_TURNS", ACA$3, $E$3, $N$3, , $J$3, $K$3))),"")</f>
        <v/>
      </c>
      <c r="ACB15" s="90" t="str">
        <f>IFERROR(IF(OR($B15="",ACB$3=""),"",IF(NOT(ISNUMBER(_xll.ciqfunctions.udf.CIQ($B15, "IQ_FIXED_ASSET_TURNS", ACB$3, $E$3, $N$3, , $J$3, $K$3))),"",_xll.ciqfunctions.udf.CIQ($B15, "IQ_FIXED_ASSET_TURNS", ACB$3, $E$3, $N$3, , $J$3, $K$3))),"")</f>
        <v/>
      </c>
      <c r="ACC15" s="90" t="str">
        <f>IFERROR(IF(OR($B15="",ACC$3=""),"",IF(NOT(ISNUMBER(_xll.ciqfunctions.udf.CIQ($B15, "IQ_FIXED_ASSET_TURNS", ACC$3, $E$3, $N$3, , $J$3, $K$3))),"",_xll.ciqfunctions.udf.CIQ($B15, "IQ_FIXED_ASSET_TURNS", ACC$3, $E$3, $N$3, , $J$3, $K$3))),"")</f>
        <v/>
      </c>
      <c r="ACD15" s="90" t="str">
        <f>IFERROR(IF(OR($B15="",ACD$3=""),"",IF(NOT(ISNUMBER(_xll.ciqfunctions.udf.CIQ($B15, "IQ_FIXED_ASSET_TURNS", ACD$3, $E$3, $N$3, , $J$3, $K$3))),"",_xll.ciqfunctions.udf.CIQ($B15, "IQ_FIXED_ASSET_TURNS", ACD$3, $E$3, $N$3, , $J$3, $K$3))),"")</f>
        <v/>
      </c>
      <c r="ACE15" s="90" t="str">
        <f>IFERROR(IF(OR($B15="",ACE$3=""),"",IF(NOT(ISNUMBER(_xll.ciqfunctions.udf.CIQ($B15, "IQ_FIXED_ASSET_TURNS", ACE$3, $E$3, $N$3, , $J$3, $K$3))),"",_xll.ciqfunctions.udf.CIQ($B15, "IQ_FIXED_ASSET_TURNS", ACE$3, $E$3, $N$3, , $J$3, $K$3))),"")</f>
        <v/>
      </c>
      <c r="ACF15" s="90" t="str">
        <f>IFERROR(IF(OR($B15="",ACF$3=""),"",IF(NOT(ISNUMBER(_xll.ciqfunctions.udf.CIQ($B15, "IQ_FIXED_ASSET_TURNS", ACF$3, $E$3, $N$3, , $J$3, $K$3))),"",_xll.ciqfunctions.udf.CIQ($B15, "IQ_FIXED_ASSET_TURNS", ACF$3, $E$3, $N$3, , $J$3, $K$3))),"")</f>
        <v/>
      </c>
      <c r="ACG15" s="90" t="str">
        <f>IFERROR(IF(OR($B15="",ACG$3=""),"",IF(NOT(ISNUMBER(_xll.ciqfunctions.udf.CIQ($B15, "IQ_FIXED_ASSET_TURNS", ACG$3, $E$3, $N$3, , $J$3, $K$3))),"",_xll.ciqfunctions.udf.CIQ($B15, "IQ_FIXED_ASSET_TURNS", ACG$3, $E$3, $N$3, , $J$3, $K$3))),"")</f>
        <v/>
      </c>
      <c r="ACH15" s="90" t="str">
        <f>IFERROR(IF(OR($B15="",ACH$3=""),"",IF(NOT(ISNUMBER(_xll.ciqfunctions.udf.CIQ($B15, "IQ_FIXED_ASSET_TURNS", ACH$3, $E$3, $N$3, , $J$3, $K$3))),"",_xll.ciqfunctions.udf.CIQ($B15, "IQ_FIXED_ASSET_TURNS", ACH$3, $E$3, $N$3, , $J$3, $K$3))),"")</f>
        <v/>
      </c>
      <c r="ACI15" s="90" t="str">
        <f>IFERROR(IF(OR($B15="",ACI$3=""),"",IF(NOT(ISNUMBER(_xll.ciqfunctions.udf.CIQ($B15, "IQ_FIXED_ASSET_TURNS", ACI$3, $E$3, $N$3, , $J$3, $K$3))),"",_xll.ciqfunctions.udf.CIQ($B15, "IQ_FIXED_ASSET_TURNS", ACI$3, $E$3, $N$3, , $J$3, $K$3))),"")</f>
        <v/>
      </c>
      <c r="ACJ15" s="90" t="str">
        <f>IFERROR(IF(OR($B15="",ACJ$3=""),"",IF(NOT(ISNUMBER(_xll.ciqfunctions.udf.CIQ($B15, "IQ_FIXED_ASSET_TURNS", ACJ$3, $E$3, $N$3, , $J$3, $K$3))),"",_xll.ciqfunctions.udf.CIQ($B15, "IQ_FIXED_ASSET_TURNS", ACJ$3, $E$3, $N$3, , $J$3, $K$3))),"")</f>
        <v/>
      </c>
      <c r="ACK15" s="90" t="str">
        <f>IFERROR(IF(OR($B15="",ACK$3=""),"",IF(NOT(ISNUMBER(_xll.ciqfunctions.udf.CIQ($B15, "IQ_FIXED_ASSET_TURNS", ACK$3, $E$3, $N$3, , $J$3, $K$3))),"",_xll.ciqfunctions.udf.CIQ($B15, "IQ_FIXED_ASSET_TURNS", ACK$3, $E$3, $N$3, , $J$3, $K$3))),"")</f>
        <v/>
      </c>
      <c r="ACL15" s="90" t="str">
        <f>IFERROR(IF(OR($B15="",ACL$3=""),"",IF(NOT(ISNUMBER(_xll.ciqfunctions.udf.CIQ($B15, "IQ_FIXED_ASSET_TURNS", ACL$3, $E$3, $N$3, , $J$3, $K$3))),"",_xll.ciqfunctions.udf.CIQ($B15, "IQ_FIXED_ASSET_TURNS", ACL$3, $E$3, $N$3, , $J$3, $K$3))),"")</f>
        <v/>
      </c>
      <c r="ACM15" s="90" t="str">
        <f>IFERROR(IF(OR($B15="",ACM$3=""),"",IF(NOT(ISNUMBER(_xll.ciqfunctions.udf.CIQ($B15, "IQ_FIXED_ASSET_TURNS", ACM$3, $E$3, $N$3, , $J$3, $K$3))),"",_xll.ciqfunctions.udf.CIQ($B15, "IQ_FIXED_ASSET_TURNS", ACM$3, $E$3, $N$3, , $J$3, $K$3))),"")</f>
        <v/>
      </c>
      <c r="ACN15" s="90" t="str">
        <f>IFERROR(IF(OR($B15="",ACN$3=""),"",IF(NOT(ISNUMBER(_xll.ciqfunctions.udf.CIQ($B15, "IQ_FIXED_ASSET_TURNS", ACN$3, $E$3, $N$3, , $J$3, $K$3))),"",_xll.ciqfunctions.udf.CIQ($B15, "IQ_FIXED_ASSET_TURNS", ACN$3, $E$3, $N$3, , $J$3, $K$3))),"")</f>
        <v/>
      </c>
      <c r="ACO15" s="90" t="str">
        <f>IFERROR(IF(OR($B15="",ACO$3=""),"",IF(NOT(ISNUMBER(_xll.ciqfunctions.udf.CIQ($B15, "IQ_FIXED_ASSET_TURNS", ACO$3, $E$3, $N$3, , $J$3, $K$3))),"",_xll.ciqfunctions.udf.CIQ($B15, "IQ_FIXED_ASSET_TURNS", ACO$3, $E$3, $N$3, , $J$3, $K$3))),"")</f>
        <v/>
      </c>
      <c r="ACP15" s="90" t="str">
        <f>IFERROR(IF(OR($B15="",ACP$3=""),"",IF(NOT(ISNUMBER(_xll.ciqfunctions.udf.CIQ($B15, "IQ_FIXED_ASSET_TURNS", ACP$3, $E$3, $N$3, , $J$3, $K$3))),"",_xll.ciqfunctions.udf.CIQ($B15, "IQ_FIXED_ASSET_TURNS", ACP$3, $E$3, $N$3, , $J$3, $K$3))),"")</f>
        <v/>
      </c>
      <c r="ACQ15" s="90" t="str">
        <f>IFERROR(IF(OR($B15="",ACQ$3=""),"",IF(NOT(ISNUMBER(_xll.ciqfunctions.udf.CIQ($B15, "IQ_FIXED_ASSET_TURNS", ACQ$3, $E$3, $N$3, , $J$3, $K$3))),"",_xll.ciqfunctions.udf.CIQ($B15, "IQ_FIXED_ASSET_TURNS", ACQ$3, $E$3, $N$3, , $J$3, $K$3))),"")</f>
        <v/>
      </c>
      <c r="ACR15" s="91" t="str">
        <f>IFERROR(IF(OR($B15="",ACR$3=""),"",IF(NOT(ISNUMBER(_xll.ciqfunctions.udf.CIQ($B15, "IQ_FIXED_ASSET_TURNS", ACR$3, $E$3, $N$3, , $J$3, $K$3))),"",_xll.ciqfunctions.udf.CIQ($B15, "IQ_FIXED_ASSET_TURNS", ACR$3, $E$3, $N$3, , $J$3, $K$3))),"")</f>
        <v/>
      </c>
    </row>
    <row r="16" spans="1:772" ht="15" customHeight="1" x14ac:dyDescent="0.2">
      <c r="A16" s="267" t="str">
        <f>IF(B16="","",_xll.ciqfunctions.udf.CIQ($B16,"IQ_COMPANY_NAME"))</f>
        <v/>
      </c>
      <c r="B16" s="81" t="str">
        <f>IF(Input!B28="","",Input!B28)</f>
        <v/>
      </c>
      <c r="C16" s="81">
        <f>Input!E28</f>
        <v>0</v>
      </c>
      <c r="D16" s="67" t="str">
        <f>IF(B16="","",_xll.ciqfunctions.udf.CIQ($B16,"IQ_PRIMARY_INDUSTRY"))</f>
        <v/>
      </c>
      <c r="E16" s="95" t="str">
        <f>IFERROR(IF(B16="","",IF(NOT(ISNUMBER(_xll.ciqfunctions.udf.CIQ($B16,"IQ_LASTSALEPRICE",$E$3))),"",_xll.ciqfunctions.udf.CIQ($B16,"IQ_LASTSALEPRICE",$E$3))),"")</f>
        <v/>
      </c>
      <c r="F16" s="82" t="str">
        <f>IFERROR(IF(B16="","",IF(NOT(ISNUMBER(_xll.ciqfunctions.udf.CIQ($B16,"IQ_LASTSALEPRICE",$E$4))),"",_xll.ciqfunctions.udf.CIQ($B16,"IQ_LASTSALEPRICE",$E$4))),"")</f>
        <v/>
      </c>
      <c r="G16" s="83" t="str">
        <f t="shared" si="383"/>
        <v/>
      </c>
      <c r="H16" s="83" t="str">
        <f>IFERROR(IF(B16="","",IF(NOT(ISNUMBER(_xll.ciqfunctions.udf.CIQ($B16,"IQ_TOTAL_REV_1YR_ANN_GROWTH",$O$3, $I$3, $N$3, , $J$3, $K$3))),"",_xll.ciqfunctions.udf.CIQ($B16,"IQ_TOTAL_REV_1YR_ANN_GROWTH",$O$3, $I$3, $N$3, , $J$3, $K$3))/100),"")</f>
        <v/>
      </c>
      <c r="I16" s="83" t="str">
        <f>IFERROR(IF(B16="","",IF(NOT(ISNUMBER(_xll.ciqfunctions.udf.CIQ($B16,"IQ_GROSS_MARGIN",$O$3, $I$3, $N$3, , $J$3, $K$3))),"",_xll.ciqfunctions.udf.CIQ($B16,"IQ_GROSS_MARGIN",$O$3, $I$3, $N$3, , $J$3, $K$3))/100),"")</f>
        <v/>
      </c>
      <c r="J16" s="83" t="str">
        <f>IFERROR(IF(B16="","",IF(NOT(ISNUMBER(_xll.ciqfunctions.udf.CIQ($B16,"IQ_EBITDA_MARGIN",$O$3, $I$3, $N$3, , $J$3, $K$3))),"",_xll.ciqfunctions.udf.CIQ($B16,"IQ_EBITDA_MARGIN",$O$3, $I$3, $N$3, , $J$3, $K$3))/100),"")</f>
        <v/>
      </c>
      <c r="K16" s="83" t="str">
        <f>IFERROR(IF(A16="","",IF(NOT(ISNUMBER(_xll.ciqfunctions.udf.CIQ($B16,"IQ_EBIT_MARGIN",$O$3, $I$3, $N$3, , $J$3, $K$3))),"",_xll.ciqfunctions.udf.CIQ($B16,"IQ_EBIT_MARGIN",$O$3, $I$3, $N$3, , $J$3, $K$3))/100),"")</f>
        <v/>
      </c>
      <c r="L16" s="83" t="str">
        <f>IFERROR(IF(B16="","",IF(NOT(ISNUMBER(_xll.ciqfunctions.udf.CIQ($B16,"IQ_NI_MARGIN",$O$3, $I$3, $N$3, , $J$3, $K$3))),"",_xll.ciqfunctions.udf.CIQ($B16,"IQ_NI_MARGIN",$O$3, $I$3, $N$3, , $J$3, $K$3))/100),"")</f>
        <v/>
      </c>
      <c r="M16" s="83" t="str">
        <f>IFERROR(IF($B16="","",IF(AND(N$4="Yes",NOT(ISNUMBER(_xll.ciqfunctions.udf.CIQ($B16,"IQ_COGS",$O$3, $I$3, $N$3, , $J$3, $K$3))),NOT(ISNUMBER(_xll.ciqfunctions.udf.CIQ($B16,"IQ_TOTAL_REVENUE",$O$3, $I$3, $N$3, , $J$3, $K$3)))),"",_xll.ciqfunctions.udf.CIQ($B16,"IQ_COGS",$O$3, $I$3, $N$3, , $J$3, $K$3)/_xll.ciqfunctions.udf.CIQ($B16,"IQ_TOTAL_REVENUE",$O$3, $I$3, $N$3, , $J$3, $K$3))),"")</f>
        <v/>
      </c>
      <c r="N16" s="83" t="str">
        <f>IFERROR(IF($B16="","",(IF(NOT(ISNUMBER(_xll.ciqfunctions.udf.CIQ($B16,"IQ_TOTAL_REVENUE",$O$3, $I$3, $N$3, , $J$3, $K$3))),"",_xll.ciqfunctions.udf.CIQ($B16,"IQ_TOTAL_REVENUE",$O$3, $I$3, $N$3, , $J$3, $K$3))-IF(NOT(ISNUMBER(_xll.ciqfunctions.udf.CIQ($B16,"IQ_COGS",$O$3, $I$3, $N$3, , $J$3, $K$3))),"",_xll.ciqfunctions.udf.CIQ($B16,"IQ_COGS",$O$3, $I$3, $N$3, , $J$3, $K$3))-IF(NOT(ISNUMBER(_xll.ciqfunctions.udf.CIQ($B16,"IQ_EBITDA",$O$3, $I$3, $N$3, , $J$3, $K$3))),"",_xll.ciqfunctions.udf.CIQ($B16,"IQ_EBITDA",$O$3, $I$3, $N$3, , $J$3, $K$3)))/IF(NOT(ISNUMBER(_xll.ciqfunctions.udf.CIQ($B16,"IQ_TOTAL_REVENUE",$O$3, $I$3, $N$3, , $J$3, $K$3))),"",_xll.ciqfunctions.udf.CIQ($B16,"IQ_TOTAL_REVENUE",$O$3, $I$3, $N$3, , $J$3, $K$3))),"")</f>
        <v/>
      </c>
      <c r="O16" s="83" t="str">
        <f>IFERROR(IF($B16="","",IF(AND(P$4="Yes",NOT(ISNUMBER(_xll.ciqfunctions.udf.CIQ($B16,"IQ_SGA_MARGIN",$O$3, $I$3, $N$3, , $J$3, $K$3)))),"",_xll.ciqfunctions.udf.CIQ($B16,"IQ_SGA_MARGIN",$O$3, $I$3, $N$3, , $J$3, $K$3)/100)),"")</f>
        <v/>
      </c>
      <c r="P16" s="83" t="str">
        <f>IFERROR(IF($B16="","",IF(AND(Q$4="No",OR(NOT(ISNUMBER(_xll.ciqfunctions.udf.CIQ($B16, "IQ_RD_EXP",$O$3, $I$3, $N$3, , $J$3, $K$3))),_xll.ciqfunctions.udf.CIQ($B16, "IQ_RD_EXP",$O$3, $I$3, $N$3, , $J$3, $K$3)&lt;0,NOT(ISNUMBER(_xll.ciqfunctions.udf.CIQ($B16,"IQ_TOTAL_REV",$O$3, $I$3, $N$3, , $J$3, $K$3))))),"",_xll.ciqfunctions.udf.CIQ($B16, "IQ_RD_EXP",$O$3, $I$3, $N$3, , $J$3, $K$3)/_xll.ciqfunctions.udf.CIQ($B16,"IQ_TOTAL_REV",$O$3, $I$3, $N$3, , $J$3, $K$3))),"")</f>
        <v/>
      </c>
      <c r="Q16" s="84" t="str">
        <f>IFERROR(IF($B16="","",IF(AND(R$4="No",OR(NOT(ISNUMBER(_xll.ciqfunctions.udf.CIQ($B16,"IQ_AR",$O$3, $I$3, $N$3, , $J$3, $K$3,,,,"USD"))),_xll.ciqfunctions.udf.CIQ($B16,"IQ_AR",$O$3, $I$3, $N$3, , $J$3, $K$3,,,,"USD")&lt;0,NOT(ISNUMBER(_xll.ciqfunctions.udf.CIQ($B16,"IQ_REVENUE",$O$3, $I$3, $N$3, , $J$3, $K$3))))),"",0.5*(_xll.ciqfunctions.udf.CIQ($B16,"IQ_AR",$O$3, $I$3, $N$3, , $J$3, $K$3)+_xll.ciqfunctions.udf.CIQ($B16,"IQ_AR",$O$3&amp;"-4", $I$3, $N$3, , $J$3, $K$3))/_xll.ciqfunctions.udf.CIQ($B16,"IQ_REVENUE",$O$3, $I$3, $N$3, , $J$3, $K$3)*365)),"")</f>
        <v/>
      </c>
      <c r="R16" s="84" t="str">
        <f>IFERROR(IF($B16="","",IF(AND(S$4="No",OR(NOT(ISNUMBER(_xll.ciqfunctions.udf.CIQ($B16,"IQ_INVENTORY",$O$3, $I$3, $N$3, , $J$3, $K$3))),_xll.ciqfunctions.udf.CIQ($B16,"IQ_INVENTORY",$O$3, $I$3, $N$3, , $J$3, $K$3)&lt;0,NOT(ISNUMBER(_xll.ciqfunctions.udf.CIQ($B16,"IQ_COGS",$O$3, $I$3, $N$3, , $J$3, $K$3))),_xll.ciqfunctions.udf.CIQ($B16,"IQ_COGS",$O$3, $I$3, $N$3, , $J$3, $K$3)&lt;0)),"",0.5*(_xll.ciqfunctions.udf.CIQ($B16,"IQ_INVENTORY",$O$3, $I$3, $N$3, , $J$3, $K$3)+_xll.ciqfunctions.udf.CIQ($B16,"IQ_INVENTORY",$O$3&amp;"-4", $I$3, $N$3, , $J$3, $K$3))/_xll.ciqfunctions.udf.CIQ($B16,"IQ_COGS",$O$3, $I$3, $N$3, , $J$3, $K$3)*365)),"")</f>
        <v/>
      </c>
      <c r="S16" s="84" t="str">
        <f>IFERROR(IF(B16="","",IF($B16="","",IF(AND(T$4="No",OR(NOT(ISNUMBER(_xll.ciqfunctions.udf.CIQ($B16,"IQ_AP",$O$3, $I$3, $N$3, , $J$3, $K$3))),_xll.ciqfunctions.udf.CIQ($B16,"IQ_AP",$O$3, $I$3, $N$3, , $J$3, $K$3)&lt;0,NOT(ISNUMBER(_xll.ciqfunctions.udf.CIQ($B16,"IQ_COGS",$O$3, $I$3, $N$3, , $J$3, $K$3))),_xll.ciqfunctions.udf.CIQ($B16,"IQ_COGS",$O$3, $I$3, $N$3, , $J$3, $K$3)&lt;0)),"",0.5*(_xll.ciqfunctions.udf.CIQ($B16,"IQ_AP",$O$3, $I$3, $N$3, , $J$3, $K$3)+_xll.ciqfunctions.udf.CIQ($B16,"IQ_AP",$O$3&amp;"-4", $I$3, $N$3, , $J$3, $K$3))/_xll.ciqfunctions.udf.CIQ($B16,"IQ_COGS",$O$3, $I$3, $N$3, , $J$3, $K$3)*365))),"")</f>
        <v/>
      </c>
      <c r="T16" s="84" t="str">
        <f t="shared" si="342"/>
        <v/>
      </c>
      <c r="U16" s="83" t="str">
        <f>IFERROR(IF(OR(NOT(ISNUMBER(_xll.ciqfunctions.udf.CIQ($B16,"IQ_NI",$O$3, $I$3, $N$3, , $J$3, $K$3))),NOT(ISNUMBER(_xll.ciqfunctions.udf.CIQ($B16,"IQ_TOTAL_ASSETS",$O$3, $I$3, $N$3, , $J$3, $K$3)))),"",_xll.ciqfunctions.udf.CIQ($B16,"IQ_NI",$O$3, $I$3, $N$3, , $J$3, $K$3)/(0.5*(_xll.ciqfunctions.udf.CIQ($B16,"IQ_TOTAL_ASSETS",$O$3, $I$3, $N$3, , $J$3, $K$3)+_xll.ciqfunctions.udf.CIQ($B16,"IQ_TOTAL_ASSETS",$O$3&amp;"-4", $I$3, $N$3, , $J$3, $K$3)))),"")</f>
        <v/>
      </c>
      <c r="V16" s="83" t="str">
        <f>IFERROR(_xll.ciqfunctions.udf.CIQ($B16,"IQ_NI",$O$3, $I$3, $N$3, , $J$3, $K$3)*2/(_xll.ciqfunctions.udf.CIQ($B16,"IQ_TOTAL_ASSETS",$O$3, $I$3, $N$3, , $J$3, $K$3)+_xll.ciqfunctions.udf.CIQ($B16,"IQ_TOTAL_ASSETS",$O$3 &amp; "-4", $I$3, $N$3, , $J$3, $K$3)-_xll.ciqfunctions.udf.CIQ($B16,"IQ_TOTAL_CL",$O$3, $I$3, $N$3, , $J$3, $K$3)-_xll.ciqfunctions.udf.CIQ($B16,"IQ_TOTAL_CL",$O$3 &amp; "-4", $I$3, $N$3, , $J$3, $K$3)),"")</f>
        <v/>
      </c>
      <c r="W16" s="83" t="str">
        <f>IFERROR(IF(OR(NOT(ISNUMBER(_xll.ciqfunctions.udf.CIQ($B16,"IQ_NI",$O$3, $I$3, $N$3, , $J$3, $K$3))),NOT(ISNUMBER(_xll.ciqfunctions.udf.CIQ($B16,"IQ_TOTAL_EQUITY",$O$3, $I$3, $N$3, , $J$3, $K$3)))),"",_xll.ciqfunctions.udf.CIQ($B16,"IQ_NI",$O$3, $I$3, $N$3, , $J$3, $K$3)/(0.5*(_xll.ciqfunctions.udf.CIQ($B16,"IQ_TOTAL_EQUITY",$O$3, $I$3, $N$3, , $J$3, $K$3)+_xll.ciqfunctions.udf.CIQ($B16,"IQ_TOTAL_EQUITY",$O$3&amp;"-4", $I$3, $N$3, , $J$3, $K$3)))),"")</f>
        <v/>
      </c>
      <c r="X16" s="1026" t="str">
        <f>IFERROR(IF($B16="","",IF(NOT(ISNUMBER(_xll.ciqfunctions.udf.CIQ($B16,"IQ_ASSET_TURNS",$O$3, $I$3, $N$3, , $J$3, $K$3))),"",_xll.ciqfunctions.udf.CIQ($B16,"IQ_ASSET_TURNS",$O$3, $I$3, $N$3, , $J$3, $K$3))),"")</f>
        <v/>
      </c>
      <c r="Y16" s="1026" t="str">
        <f>IFERROR(IF($B16="","",IF(NOT(ISNUMBER(_xll.ciqfunctions.udf.CIQ($B16,"IQ_FIXED_ASSET_TURNS",$O$3, $I$3, $N$3, , $J$3, $K$3))),"",_xll.ciqfunctions.udf.CIQ($B16,"IQ_FIXED_ASSET_TURNS",$O$3, $I$3, $N$3, , $J$3, $K$3))),"")</f>
        <v/>
      </c>
      <c r="Z16" s="83" t="str">
        <f>IFERROR(IF(B16="","",IF(OR(NOT(ISNUMBER(_xll.ciqfunctions.udf.CIQ($B16,"IQ_CASH_OPER",$O$3, $I$3, $N$3, , $J$3, $K$3))),NOT(ISNUMBER(_xll.ciqfunctions.udf.CIQ($B16,"IQ_TOTAL_REV",$O$3, $I$3, $N$3, , $J$3, $K$3)))),"",_xll.ciqfunctions.udf.CIQ($B16,"IQ_CASH_OPER",$O$3, $I$3, $N$3, , $J$3, $K$3)/_xll.ciqfunctions.udf.CIQ($B16,"IQ_TOTAL_REV",$O$3, $I$3, $N$3, , $J$3, $K$3))),"")</f>
        <v/>
      </c>
      <c r="AA16" s="84" t="str">
        <f>IFERROR(IF(B16="","",IF(OR(NOT(ISNUMBER(_xll.ciqfunctions.udf.CIQ($B16,"IQ_TOTAL_ASSETS",IQ_LTM, $I$3, $N$3, , $J$3, $K$3))),NOT(ISNUMBER(_xll.ciqfunctions.udf.CIQ($B16,"IQ_TOTAL_COMMON_EQUITY",IQ_LTM, $I$3, $N$3, , $J$3, $K$3)))),"",_xll.ciqfunctions.udf.CIQ($B16,"IQ_TOTAL_ASSETS",IQ_LTM, $I$3, $N$3, , $J$3, $K$3)/_xll.ciqfunctions.udf.CIQ($B16,"IQ_TOTAL_COMMON_EQUITY",IQ_LTM, $I$3, $N$3, , $J$3, $K$3))),"")</f>
        <v/>
      </c>
      <c r="AB16" s="83" t="str">
        <f>IFERROR(IF(B16="","",IF(OR(NOT(ISNUMBER(_xll.ciqfunctions.udf.CIQ($B16,"IQ_EBT",$O$3, $I$3, $N$3, , $J$3, $K$3))),NOT(ISNUMBER(_xll.ciqfunctions.udf.CIQ($B16,"IQ_TOTAL_REV",$O$3, $I$3, $N$3, , $J$3, $K$3)))),"",_xll.ciqfunctions.udf.CIQ($B16,"IQ_EBT",$O$3, $I$3, $N$3, , $J$3, $K$3)/_xll.ciqfunctions.udf.CIQ($B16,"IQ_TOTAL_REV",$O$3, $I$3, $N$3, , $J$3, $K$3))),"")</f>
        <v/>
      </c>
      <c r="AC16" s="83" t="str">
        <f>IFERROR(IF(E16="","",IF(OR(NOT(ISNUMBER(_xll.ciqfunctions.udf.CIQ($B16,"IQ_INC_TAX",$O$3, $I$3, $N$3, , $J$3, $K$3))),NOT(ISNUMBER(_xll.ciqfunctions.udf.CIQ($B16,"IQ_EBT",$O$3, $I$3, $N$3, , $J$3, $K$3))),_xll.ciqfunctions.udf.CIQ($B16,"IQ_INC_TAX",$O$3, $I$3, $N$3, , $J$3, $K$3)&lt;0),"",_xll.ciqfunctions.udf.CIQ($B16,"IQ_INC_TAX",$O$3, $I$3, $N$3, , $J$3, $K$3)/ABS(_xll.ciqfunctions.udf.CIQ($B16,"IQ_EBT",$O$3, $I$3, $N$3, , $J$3, $K$3)))),"")</f>
        <v/>
      </c>
      <c r="AD16" s="84" t="str">
        <f>IFERROR(IF(B16="","",IF(NOT(ISNUMBER(_xll.ciqfunctions.udf.CIQ($B16,"IQ_Z_SCORE",$O$3, $I$3, $N$3, , $J$3, $K$3))),"",_xll.ciqfunctions.udf.CIQ($B16,"IQ_Z_SCORE",$O$3, $I$3, $N$3, , $J$3, $K$3))),"")</f>
        <v/>
      </c>
      <c r="AE16" s="85" t="str">
        <f>IF($A16="","",IF(NOT(ISNUMBER(_xll.ciqfunctions.udf.CIQ($B16, "IQ_BETA_5YR", $E$3))),"",_xll.ciqfunctions.udf.CIQ($B16, "IQ_BETA_5YR", $E$3)))</f>
        <v/>
      </c>
      <c r="AF16" s="19"/>
      <c r="AG16" s="274" t="str">
        <f>IFERROR(IF(OR($B16="",AG$3=""),"",IF(NOT(ISNUMBER(_xll.ciqfunctions.udf.CIQ($B16, "IQ_GROSS_MARGIN", AG$3, $I$3, $N$3, , $J$3, $K$3))),"",_xll.ciqfunctions.udf.CIQ($B16, "IQ_GROSS_MARGIN", AG$3, $I$3, $N$3, , $J$3, $K$3)/100)),"")</f>
        <v/>
      </c>
      <c r="AH16" s="87" t="str">
        <f>IFERROR(IF(OR($B16="",AH$3=""),"",IF(NOT(ISNUMBER(_xll.ciqfunctions.udf.CIQ($B16, "IQ_GROSS_MARGIN", AH$3, $I$3, $N$3, , $J$3, $K$3))),"",_xll.ciqfunctions.udf.CIQ($B16, "IQ_GROSS_MARGIN", AH$3, $I$3, $N$3, , $J$3, $K$3)/100)),"")</f>
        <v/>
      </c>
      <c r="AI16" s="87" t="str">
        <f>IFERROR(IF(OR($B16="",AI$3=""),"",IF(NOT(ISNUMBER(_xll.ciqfunctions.udf.CIQ($B16, "IQ_GROSS_MARGIN", AI$3, $I$3, $N$3, , $J$3, $K$3))),"",_xll.ciqfunctions.udf.CIQ($B16, "IQ_GROSS_MARGIN", AI$3, $I$3, $N$3, , $J$3, $K$3)/100)),"")</f>
        <v/>
      </c>
      <c r="AJ16" s="87" t="str">
        <f>IFERROR(IF(OR($B16="",AJ$3=""),"",IF(NOT(ISNUMBER(_xll.ciqfunctions.udf.CIQ($B16, "IQ_GROSS_MARGIN", AJ$3, $I$3, $N$3, , $J$3, $K$3))),"",_xll.ciqfunctions.udf.CIQ($B16, "IQ_GROSS_MARGIN", AJ$3, $I$3, $N$3, , $J$3, $K$3)/100)),"")</f>
        <v/>
      </c>
      <c r="AK16" s="87" t="str">
        <f>IFERROR(IF(OR($B16="",AK$3=""),"",IF(NOT(ISNUMBER(_xll.ciqfunctions.udf.CIQ($B16, "IQ_GROSS_MARGIN", AK$3, $I$3, $N$3, , $J$3, $K$3))),"",_xll.ciqfunctions.udf.CIQ($B16, "IQ_GROSS_MARGIN", AK$3, $I$3, $N$3, , $J$3, $K$3)/100)),"")</f>
        <v/>
      </c>
      <c r="AL16" s="87" t="str">
        <f>IFERROR(IF(OR($B16="",AL$3=""),"",IF(NOT(ISNUMBER(_xll.ciqfunctions.udf.CIQ($B16, "IQ_GROSS_MARGIN", AL$3, $I$3, $N$3, , $J$3, $K$3))),"",_xll.ciqfunctions.udf.CIQ($B16, "IQ_GROSS_MARGIN", AL$3, $I$3, $N$3, , $J$3, $K$3)/100)),"")</f>
        <v/>
      </c>
      <c r="AM16" s="87" t="str">
        <f>IFERROR(IF(OR($B16="",AM$3=""),"",IF(NOT(ISNUMBER(_xll.ciqfunctions.udf.CIQ($B16, "IQ_GROSS_MARGIN", AM$3, $I$3, $N$3, , $J$3, $K$3))),"",_xll.ciqfunctions.udf.CIQ($B16, "IQ_GROSS_MARGIN", AM$3, $I$3, $N$3, , $J$3, $K$3)/100)),"")</f>
        <v/>
      </c>
      <c r="AN16" s="87" t="str">
        <f>IFERROR(IF(OR($B16="",AN$3=""),"",IF(NOT(ISNUMBER(_xll.ciqfunctions.udf.CIQ($B16, "IQ_GROSS_MARGIN", AN$3, $I$3, $N$3, , $J$3, $K$3))),"",_xll.ciqfunctions.udf.CIQ($B16, "IQ_GROSS_MARGIN", AN$3, $I$3, $N$3, , $J$3, $K$3)/100)),"")</f>
        <v/>
      </c>
      <c r="AO16" s="87" t="str">
        <f>IFERROR(IF(OR($B16="",AO$3=""),"",IF(NOT(ISNUMBER(_xll.ciqfunctions.udf.CIQ($B16, "IQ_GROSS_MARGIN", AO$3, $I$3, $N$3, , $J$3, $K$3))),"",_xll.ciqfunctions.udf.CIQ($B16, "IQ_GROSS_MARGIN", AO$3, $I$3, $N$3, , $J$3, $K$3)/100)),"")</f>
        <v/>
      </c>
      <c r="AP16" s="87" t="str">
        <f>IFERROR(IF(OR($B16="",AP$3=""),"",IF(NOT(ISNUMBER(_xll.ciqfunctions.udf.CIQ($B16, "IQ_GROSS_MARGIN", AP$3, $I$3, $N$3, , $J$3, $K$3))),"",_xll.ciqfunctions.udf.CIQ($B16, "IQ_GROSS_MARGIN", AP$3, $I$3, $N$3, , $J$3, $K$3)/100)),"")</f>
        <v/>
      </c>
      <c r="AQ16" s="87" t="str">
        <f>IFERROR(IF(OR($B16="",AQ$3=""),"",IF(NOT(ISNUMBER(_xll.ciqfunctions.udf.CIQ($B16, "IQ_GROSS_MARGIN", AQ$3, $I$3, $N$3, , $J$3, $K$3))),"",_xll.ciqfunctions.udf.CIQ($B16, "IQ_GROSS_MARGIN", AQ$3, $I$3, $N$3, , $J$3, $K$3)/100)),"")</f>
        <v/>
      </c>
      <c r="AR16" s="87" t="str">
        <f>IFERROR(IF(OR($B16="",AR$3=""),"",IF(NOT(ISNUMBER(_xll.ciqfunctions.udf.CIQ($B16, "IQ_GROSS_MARGIN", AR$3, $I$3, $N$3, , $J$3, $K$3))),"",_xll.ciqfunctions.udf.CIQ($B16, "IQ_GROSS_MARGIN", AR$3, $I$3, $N$3, , $J$3, $K$3)/100)),"")</f>
        <v/>
      </c>
      <c r="AS16" s="87" t="str">
        <f>IFERROR(IF(OR($B16="",AS$3=""),"",IF(NOT(ISNUMBER(_xll.ciqfunctions.udf.CIQ($B16, "IQ_GROSS_MARGIN", AS$3, $I$3, $N$3, , $J$3, $K$3))),"",_xll.ciqfunctions.udf.CIQ($B16, "IQ_GROSS_MARGIN", AS$3, $I$3, $N$3, , $J$3, $K$3)/100)),"")</f>
        <v/>
      </c>
      <c r="AT16" s="87" t="str">
        <f>IFERROR(IF(OR($B16="",AT$3=""),"",IF(NOT(ISNUMBER(_xll.ciqfunctions.udf.CIQ($B16, "IQ_GROSS_MARGIN", AT$3, $I$3, $N$3, , $J$3, $K$3))),"",_xll.ciqfunctions.udf.CIQ($B16, "IQ_GROSS_MARGIN", AT$3, $I$3, $N$3, , $J$3, $K$3)/100)),"")</f>
        <v/>
      </c>
      <c r="AU16" s="87" t="str">
        <f>IFERROR(IF(OR($B16="",AU$3=""),"",IF(NOT(ISNUMBER(_xll.ciqfunctions.udf.CIQ($B16, "IQ_GROSS_MARGIN", AU$3, $I$3, $N$3, , $J$3, $K$3))),"",_xll.ciqfunctions.udf.CIQ($B16, "IQ_GROSS_MARGIN", AU$3, $I$3, $N$3, , $J$3, $K$3)/100)),"")</f>
        <v/>
      </c>
      <c r="AV16" s="87" t="str">
        <f>IFERROR(IF(OR($B16="",AV$3=""),"",IF(NOT(ISNUMBER(_xll.ciqfunctions.udf.CIQ($B16, "IQ_GROSS_MARGIN", AV$3, $I$3, $N$3, , $J$3, $K$3))),"",_xll.ciqfunctions.udf.CIQ($B16, "IQ_GROSS_MARGIN", AV$3, $I$3, $N$3, , $J$3, $K$3)/100)),"")</f>
        <v/>
      </c>
      <c r="AW16" s="87" t="str">
        <f>IFERROR(IF(OR($B16="",AW$3=""),"",IF(NOT(ISNUMBER(_xll.ciqfunctions.udf.CIQ($B16, "IQ_GROSS_MARGIN", AW$3, $I$3, $N$3, , $J$3, $K$3))),"",_xll.ciqfunctions.udf.CIQ($B16, "IQ_GROSS_MARGIN", AW$3, $I$3, $N$3, , $J$3, $K$3)/100)),"")</f>
        <v/>
      </c>
      <c r="AX16" s="87" t="str">
        <f>IFERROR(IF(OR($B16="",AX$3=""),"",IF(NOT(ISNUMBER(_xll.ciqfunctions.udf.CIQ($B16, "IQ_GROSS_MARGIN", AX$3, $I$3, $N$3, , $J$3, $K$3))),"",_xll.ciqfunctions.udf.CIQ($B16, "IQ_GROSS_MARGIN", AX$3, $I$3, $N$3, , $J$3, $K$3)/100)),"")</f>
        <v/>
      </c>
      <c r="AY16" s="87" t="str">
        <f>IFERROR(IF(OR($B16="",AY$3=""),"",IF(NOT(ISNUMBER(_xll.ciqfunctions.udf.CIQ($B16, "IQ_GROSS_MARGIN", AY$3, $I$3, $N$3, , $J$3, $K$3))),"",_xll.ciqfunctions.udf.CIQ($B16, "IQ_GROSS_MARGIN", AY$3, $I$3, $N$3, , $J$3, $K$3)/100)),"")</f>
        <v/>
      </c>
      <c r="AZ16" s="88" t="str">
        <f>IFERROR(IF(OR($B16="",AZ$3=""),"",IF(NOT(ISNUMBER(_xll.ciqfunctions.udf.CIQ($B16, "IQ_GROSS_MARGIN", AZ$3, $I$3, $N$3, , $J$3, $K$3))),"",_xll.ciqfunctions.udf.CIQ($B16, "IQ_GROSS_MARGIN", AZ$3, $I$3, $N$3, , $J$3, $K$3)/100)),"")</f>
        <v/>
      </c>
      <c r="BA16" s="73" t="str">
        <f>IFERROR(IF(OR($B16="",BA$3=""),"",IF(NOT(ISNUMBER(_xll.ciqfunctions.udf.CIQ($B16, "IQ_EBITDA_MARGIN", BA$3, $I$3, $N$3, , $J$3, $K$3))),"",_xll.ciqfunctions.udf.CIQ($B16, "IQ_EBITDA_MARGIN", BA$3, $I$3, $N$3, , $J$3, $K$3)/100)),"")</f>
        <v/>
      </c>
      <c r="BB16" s="73" t="str">
        <f>IFERROR(IF(OR($B16="",BB$3=""),"",IF(NOT(ISNUMBER(_xll.ciqfunctions.udf.CIQ($B16, "IQ_EBITDA_MARGIN", BB$3, $I$3, $N$3, , $J$3, $K$3))),"",_xll.ciqfunctions.udf.CIQ($B16, "IQ_EBITDA_MARGIN", BB$3, $I$3, $N$3, , $J$3, $K$3)/100)),"")</f>
        <v/>
      </c>
      <c r="BC16" s="73" t="str">
        <f>IFERROR(IF(OR($B16="",BC$3=""),"",IF(NOT(ISNUMBER(_xll.ciqfunctions.udf.CIQ($B16, "IQ_EBITDA_MARGIN", BC$3, $I$3, $N$3, , $J$3, $K$3))),"",_xll.ciqfunctions.udf.CIQ($B16, "IQ_EBITDA_MARGIN", BC$3, $I$3, $N$3, , $J$3, $K$3)/100)),"")</f>
        <v/>
      </c>
      <c r="BD16" s="73" t="str">
        <f>IFERROR(IF(OR($B16="",BD$3=""),"",IF(NOT(ISNUMBER(_xll.ciqfunctions.udf.CIQ($B16, "IQ_EBITDA_MARGIN", BD$3, $I$3, $N$3, , $J$3, $K$3))),"",_xll.ciqfunctions.udf.CIQ($B16, "IQ_EBITDA_MARGIN", BD$3, $I$3, $N$3, , $J$3, $K$3)/100)),"")</f>
        <v/>
      </c>
      <c r="BE16" s="720" t="str">
        <f>IFERROR(IF(OR($B16="",BE$3=""),"",IF(NOT(ISNUMBER(_xll.ciqfunctions.udf.CIQ($B16, "IQ_EBITDA_MARGIN", BE$3, $I$3, $N$3, , $J$3, $K$3))),"",_xll.ciqfunctions.udf.CIQ($B16, "IQ_EBITDA_MARGIN", BE$3, $I$3, $N$3, , $J$3, $K$3)/100)),"")</f>
        <v/>
      </c>
      <c r="BF16" s="73" t="str">
        <f>IFERROR(IF(OR($B16="",BF$3=""),"",IF(NOT(ISNUMBER(_xll.ciqfunctions.udf.CIQ($B16, "IQ_EBITDA_MARGIN", BF$3, $I$3, $N$3, , $J$3, $K$3))),"",_xll.ciqfunctions.udf.CIQ($B16, "IQ_EBITDA_MARGIN", BF$3, $I$3, $N$3, , $J$3, $K$3)/100)),"")</f>
        <v/>
      </c>
      <c r="BG16" s="73" t="str">
        <f>IFERROR(IF(OR($B16="",BG$3=""),"",IF(NOT(ISNUMBER(_xll.ciqfunctions.udf.CIQ($B16, "IQ_EBITDA_MARGIN", BG$3, $I$3, $N$3, , $J$3, $K$3))),"",_xll.ciqfunctions.udf.CIQ($B16, "IQ_EBITDA_MARGIN", BG$3, $I$3, $N$3, , $J$3, $K$3)/100)),"")</f>
        <v/>
      </c>
      <c r="BH16" s="73" t="str">
        <f>IFERROR(IF(OR($B16="",BH$3=""),"",IF(NOT(ISNUMBER(_xll.ciqfunctions.udf.CIQ($B16, "IQ_EBITDA_MARGIN", BH$3, $I$3, $N$3, , $J$3, $K$3))),"",_xll.ciqfunctions.udf.CIQ($B16, "IQ_EBITDA_MARGIN", BH$3, $I$3, $N$3, , $J$3, $K$3)/100)),"")</f>
        <v/>
      </c>
      <c r="BI16" s="73" t="str">
        <f>IFERROR(IF(OR($B16="",BI$3=""),"",IF(NOT(ISNUMBER(_xll.ciqfunctions.udf.CIQ($B16, "IQ_EBITDA_MARGIN", BI$3, $I$3, $N$3, , $J$3, $K$3))),"",_xll.ciqfunctions.udf.CIQ($B16, "IQ_EBITDA_MARGIN", BI$3, $I$3, $N$3, , $J$3, $K$3)/100)),"")</f>
        <v/>
      </c>
      <c r="BJ16" s="73" t="str">
        <f>IFERROR(IF(OR($B16="",BJ$3=""),"",IF(NOT(ISNUMBER(_xll.ciqfunctions.udf.CIQ($B16, "IQ_EBITDA_MARGIN", BJ$3, $I$3, $N$3, , $J$3, $K$3))),"",_xll.ciqfunctions.udf.CIQ($B16, "IQ_EBITDA_MARGIN", BJ$3, $I$3, $N$3, , $J$3, $K$3)/100)),"")</f>
        <v/>
      </c>
      <c r="BK16" s="73" t="str">
        <f>IFERROR(IF(OR($B16="",BK$3=""),"",IF(NOT(ISNUMBER(_xll.ciqfunctions.udf.CIQ($B16, "IQ_EBITDA_MARGIN", BK$3, $I$3, $N$3, , $J$3, $K$3))),"",_xll.ciqfunctions.udf.CIQ($B16, "IQ_EBITDA_MARGIN", BK$3, $I$3, $N$3, , $J$3, $K$3)/100)),"")</f>
        <v/>
      </c>
      <c r="BL16" s="73" t="str">
        <f>IFERROR(IF(OR($B16="",BL$3=""),"",IF(NOT(ISNUMBER(_xll.ciqfunctions.udf.CIQ($B16, "IQ_EBITDA_MARGIN", BL$3, $I$3, $N$3, , $J$3, $K$3))),"",_xll.ciqfunctions.udf.CIQ($B16, "IQ_EBITDA_MARGIN", BL$3, $I$3, $N$3, , $J$3, $K$3)/100)),"")</f>
        <v/>
      </c>
      <c r="BM16" s="73" t="str">
        <f>IFERROR(IF(OR($B16="",BM$3=""),"",IF(NOT(ISNUMBER(_xll.ciqfunctions.udf.CIQ($B16, "IQ_EBITDA_MARGIN", BM$3, $I$3, $N$3, , $J$3, $K$3))),"",_xll.ciqfunctions.udf.CIQ($B16, "IQ_EBITDA_MARGIN", BM$3, $I$3, $N$3, , $J$3, $K$3)/100)),"")</f>
        <v/>
      </c>
      <c r="BN16" s="73" t="str">
        <f>IFERROR(IF(OR($B16="",BN$3=""),"",IF(NOT(ISNUMBER(_xll.ciqfunctions.udf.CIQ($B16, "IQ_EBITDA_MARGIN", BN$3, $I$3, $N$3, , $J$3, $K$3))),"",_xll.ciqfunctions.udf.CIQ($B16, "IQ_EBITDA_MARGIN", BN$3, $I$3, $N$3, , $J$3, $K$3)/100)),"")</f>
        <v/>
      </c>
      <c r="BO16" s="73" t="str">
        <f>IFERROR(IF(OR($B16="",BO$3=""),"",IF(NOT(ISNUMBER(_xll.ciqfunctions.udf.CIQ($B16, "IQ_EBITDA_MARGIN", BO$3, $I$3, $N$3, , $J$3, $K$3))),"",_xll.ciqfunctions.udf.CIQ($B16, "IQ_EBITDA_MARGIN", BO$3, $I$3, $N$3, , $J$3, $K$3)/100)),"")</f>
        <v/>
      </c>
      <c r="BP16" s="73" t="str">
        <f>IFERROR(IF(OR($B16="",BP$3=""),"",IF(NOT(ISNUMBER(_xll.ciqfunctions.udf.CIQ($B16, "IQ_EBITDA_MARGIN", BP$3, $I$3, $N$3, , $J$3, $K$3))),"",_xll.ciqfunctions.udf.CIQ($B16, "IQ_EBITDA_MARGIN", BP$3, $I$3, $N$3, , $J$3, $K$3)/100)),"")</f>
        <v/>
      </c>
      <c r="BQ16" s="73" t="str">
        <f>IFERROR(IF(OR($B16="",BQ$3=""),"",IF(NOT(ISNUMBER(_xll.ciqfunctions.udf.CIQ($B16, "IQ_EBITDA_MARGIN", BQ$3, $I$3, $N$3, , $J$3, $K$3))),"",_xll.ciqfunctions.udf.CIQ($B16, "IQ_EBITDA_MARGIN", BQ$3, $I$3, $N$3, , $J$3, $K$3)/100)),"")</f>
        <v/>
      </c>
      <c r="BR16" s="73" t="str">
        <f>IFERROR(IF(OR($B16="",BR$3=""),"",IF(NOT(ISNUMBER(_xll.ciqfunctions.udf.CIQ($B16, "IQ_EBITDA_MARGIN", BR$3, $I$3, $N$3, , $J$3, $K$3))),"",_xll.ciqfunctions.udf.CIQ($B16, "IQ_EBITDA_MARGIN", BR$3, $I$3, $N$3, , $J$3, $K$3)/100)),"")</f>
        <v/>
      </c>
      <c r="BS16" s="73" t="str">
        <f>IFERROR(IF(OR($B16="",BS$3=""),"",IF(NOT(ISNUMBER(_xll.ciqfunctions.udf.CIQ($B16, "IQ_EBITDA_MARGIN", BS$3, $I$3, $N$3, , $J$3, $K$3))),"",_xll.ciqfunctions.udf.CIQ($B16, "IQ_EBITDA_MARGIN", BS$3, $I$3, $N$3, , $J$3, $K$3)/100)),"")</f>
        <v/>
      </c>
      <c r="BT16" s="73" t="str">
        <f>IFERROR(IF(OR($B16="",BT$3=""),"",IF(NOT(ISNUMBER(_xll.ciqfunctions.udf.CIQ($B16, "IQ_EBITDA_MARGIN", BT$3, $I$3, $N$3, , $J$3, $K$3))),"",_xll.ciqfunctions.udf.CIQ($B16, "IQ_EBITDA_MARGIN", BT$3, $I$3, $N$3, , $J$3, $K$3)/100)),"")</f>
        <v/>
      </c>
      <c r="BU16" s="86" t="str">
        <f>IFERROR(IF(OR($B16="",BU$3=""),"",IF(NOT(ISNUMBER(_xll.ciqfunctions.udf.CIQ($B16, "IQ_EBIT_MARGIN", BU$3, $I$3, $N$3, , $J$3, $K$3))),"",_xll.ciqfunctions.udf.CIQ($B16, "IQ_EBIT_MARGIN", BU$3, $I$3, $N$3, , $J$3, $K$3)/100)),"")</f>
        <v/>
      </c>
      <c r="BV16" s="87" t="str">
        <f>IFERROR(IF(OR($B16="",BV$3=""),"",IF(NOT(ISNUMBER(_xll.ciqfunctions.udf.CIQ($B16, "IQ_EBIT_MARGIN", BV$3, $I$3, $N$3, , $J$3, $K$3))),"",_xll.ciqfunctions.udf.CIQ($B16, "IQ_EBIT_MARGIN", BV$3, $I$3, $N$3, , $J$3, $K$3)/100)),"")</f>
        <v/>
      </c>
      <c r="BW16" s="87" t="str">
        <f>IFERROR(IF(OR($B16="",BW$3=""),"",IF(NOT(ISNUMBER(_xll.ciqfunctions.udf.CIQ($B16, "IQ_EBIT_MARGIN", BW$3, $I$3, $N$3, , $J$3, $K$3))),"",_xll.ciqfunctions.udf.CIQ($B16, "IQ_EBIT_MARGIN", BW$3, $I$3, $N$3, , $J$3, $K$3)/100)),"")</f>
        <v/>
      </c>
      <c r="BX16" s="87" t="str">
        <f>IFERROR(IF(OR($B16="",BX$3=""),"",IF(NOT(ISNUMBER(_xll.ciqfunctions.udf.CIQ($B16, "IQ_EBIT_MARGIN", BX$3, $I$3, $N$3, , $J$3, $K$3))),"",_xll.ciqfunctions.udf.CIQ($B16, "IQ_EBIT_MARGIN", BX$3, $I$3, $N$3, , $J$3, $K$3)/100)),"")</f>
        <v/>
      </c>
      <c r="BY16" s="87" t="str">
        <f>IFERROR(IF(OR($B16="",BY$3=""),"",IF(NOT(ISNUMBER(_xll.ciqfunctions.udf.CIQ($B16, "IQ_EBIT_MARGIN", BY$3, $I$3, $N$3, , $J$3, $K$3))),"",_xll.ciqfunctions.udf.CIQ($B16, "IQ_EBIT_MARGIN", BY$3, $I$3, $N$3, , $J$3, $K$3)/100)),"")</f>
        <v/>
      </c>
      <c r="BZ16" s="87" t="str">
        <f>IFERROR(IF(OR($B16="",BZ$3=""),"",IF(NOT(ISNUMBER(_xll.ciqfunctions.udf.CIQ($B16, "IQ_EBIT_MARGIN", BZ$3, $I$3, $N$3, , $J$3, $K$3))),"",_xll.ciqfunctions.udf.CIQ($B16, "IQ_EBIT_MARGIN", BZ$3, $I$3, $N$3, , $J$3, $K$3)/100)),"")</f>
        <v/>
      </c>
      <c r="CA16" s="87" t="str">
        <f>IFERROR(IF(OR($B16="",CA$3=""),"",IF(NOT(ISNUMBER(_xll.ciqfunctions.udf.CIQ($B16, "IQ_EBIT_MARGIN", CA$3, $I$3, $N$3, , $J$3, $K$3))),"",_xll.ciqfunctions.udf.CIQ($B16, "IQ_EBIT_MARGIN", CA$3, $I$3, $N$3, , $J$3, $K$3)/100)),"")</f>
        <v/>
      </c>
      <c r="CB16" s="87" t="str">
        <f>IFERROR(IF(OR($B16="",CB$3=""),"",IF(NOT(ISNUMBER(_xll.ciqfunctions.udf.CIQ($B16, "IQ_EBIT_MARGIN", CB$3, $I$3, $N$3, , $J$3, $K$3))),"",_xll.ciqfunctions.udf.CIQ($B16, "IQ_EBIT_MARGIN", CB$3, $I$3, $N$3, , $J$3, $K$3)/100)),"")</f>
        <v/>
      </c>
      <c r="CC16" s="87" t="str">
        <f>IFERROR(IF(OR($B16="",CC$3=""),"",IF(NOT(ISNUMBER(_xll.ciqfunctions.udf.CIQ($B16, "IQ_EBIT_MARGIN", CC$3, $I$3, $N$3, , $J$3, $K$3))),"",_xll.ciqfunctions.udf.CIQ($B16, "IQ_EBIT_MARGIN", CC$3, $I$3, $N$3, , $J$3, $K$3)/100)),"")</f>
        <v/>
      </c>
      <c r="CD16" s="87" t="str">
        <f>IFERROR(IF(OR($B16="",CD$3=""),"",IF(NOT(ISNUMBER(_xll.ciqfunctions.udf.CIQ($B16, "IQ_EBIT_MARGIN", CD$3, $I$3, $N$3, , $J$3, $K$3))),"",_xll.ciqfunctions.udf.CIQ($B16, "IQ_EBIT_MARGIN", CD$3, $I$3, $N$3, , $J$3, $K$3)/100)),"")</f>
        <v/>
      </c>
      <c r="CE16" s="87" t="str">
        <f>IFERROR(IF(OR($B16="",CE$3=""),"",IF(NOT(ISNUMBER(_xll.ciqfunctions.udf.CIQ($B16, "IQ_EBIT_MARGIN", CE$3, $I$3, $N$3, , $J$3, $K$3))),"",_xll.ciqfunctions.udf.CIQ($B16, "IQ_EBIT_MARGIN", CE$3, $I$3, $N$3, , $J$3, $K$3)/100)),"")</f>
        <v/>
      </c>
      <c r="CF16" s="87" t="str">
        <f>IFERROR(IF(OR($B16="",CF$3=""),"",IF(NOT(ISNUMBER(_xll.ciqfunctions.udf.CIQ($B16, "IQ_EBIT_MARGIN", CF$3, $I$3, $N$3, , $J$3, $K$3))),"",_xll.ciqfunctions.udf.CIQ($B16, "IQ_EBIT_MARGIN", CF$3, $I$3, $N$3, , $J$3, $K$3)/100)),"")</f>
        <v/>
      </c>
      <c r="CG16" s="87" t="str">
        <f>IFERROR(IF(OR($B16="",CG$3=""),"",IF(NOT(ISNUMBER(_xll.ciqfunctions.udf.CIQ($B16, "IQ_EBIT_MARGIN", CG$3, $I$3, $N$3, , $J$3, $K$3))),"",_xll.ciqfunctions.udf.CIQ($B16, "IQ_EBIT_MARGIN", CG$3, $I$3, $N$3, , $J$3, $K$3)/100)),"")</f>
        <v/>
      </c>
      <c r="CH16" s="87" t="str">
        <f>IFERROR(IF(OR($B16="",CH$3=""),"",IF(NOT(ISNUMBER(_xll.ciqfunctions.udf.CIQ($B16, "IQ_EBIT_MARGIN", CH$3, $I$3, $N$3, , $J$3, $K$3))),"",_xll.ciqfunctions.udf.CIQ($B16, "IQ_EBIT_MARGIN", CH$3, $I$3, $N$3, , $J$3, $K$3)/100)),"")</f>
        <v/>
      </c>
      <c r="CI16" s="87" t="str">
        <f>IFERROR(IF(OR($B16="",CI$3=""),"",IF(NOT(ISNUMBER(_xll.ciqfunctions.udf.CIQ($B16, "IQ_EBIT_MARGIN", CI$3, $I$3, $N$3, , $J$3, $K$3))),"",_xll.ciqfunctions.udf.CIQ($B16, "IQ_EBIT_MARGIN", CI$3, $I$3, $N$3, , $J$3, $K$3)/100)),"")</f>
        <v/>
      </c>
      <c r="CJ16" s="87" t="str">
        <f>IFERROR(IF(OR($B16="",CJ$3=""),"",IF(NOT(ISNUMBER(_xll.ciqfunctions.udf.CIQ($B16, "IQ_EBIT_MARGIN", CJ$3, $I$3, $N$3, , $J$3, $K$3))),"",_xll.ciqfunctions.udf.CIQ($B16, "IQ_EBIT_MARGIN", CJ$3, $I$3, $N$3, , $J$3, $K$3)/100)),"")</f>
        <v/>
      </c>
      <c r="CK16" s="87" t="str">
        <f>IFERROR(IF(OR($B16="",CK$3=""),"",IF(NOT(ISNUMBER(_xll.ciqfunctions.udf.CIQ($B16, "IQ_EBIT_MARGIN", CK$3, $I$3, $N$3, , $J$3, $K$3))),"",_xll.ciqfunctions.udf.CIQ($B16, "IQ_EBIT_MARGIN", CK$3, $I$3, $N$3, , $J$3, $K$3)/100)),"")</f>
        <v/>
      </c>
      <c r="CL16" s="87" t="str">
        <f>IFERROR(IF(OR($B16="",CL$3=""),"",IF(NOT(ISNUMBER(_xll.ciqfunctions.udf.CIQ($B16, "IQ_EBIT_MARGIN", CL$3, $I$3, $N$3, , $J$3, $K$3))),"",_xll.ciqfunctions.udf.CIQ($B16, "IQ_EBIT_MARGIN", CL$3, $I$3, $N$3, , $J$3, $K$3)/100)),"")</f>
        <v/>
      </c>
      <c r="CM16" s="87" t="str">
        <f>IFERROR(IF(OR($B16="",CM$3=""),"",IF(NOT(ISNUMBER(_xll.ciqfunctions.udf.CIQ($B16, "IQ_EBIT_MARGIN", CM$3, $I$3, $N$3, , $J$3, $K$3))),"",_xll.ciqfunctions.udf.CIQ($B16, "IQ_EBIT_MARGIN", CM$3, $I$3, $N$3, , $J$3, $K$3)/100)),"")</f>
        <v/>
      </c>
      <c r="CN16" s="88" t="str">
        <f>IFERROR(IF(OR($B16="",CN$3=""),"",IF(NOT(ISNUMBER(_xll.ciqfunctions.udf.CIQ($B16, "IQ_EBIT_MARGIN", CN$3, $I$3, $N$3, , $J$3, $K$3))),"",_xll.ciqfunctions.udf.CIQ($B16, "IQ_EBIT_MARGIN", CN$3, $I$3, $N$3, , $J$3, $K$3)/100)),"")</f>
        <v/>
      </c>
      <c r="CO16" s="86" t="str">
        <f>IFERROR(IF(OR($B16="",CO$3=""),"",IF(NOT(ISNUMBER(_xll.ciqfunctions.udf.CIQ($B16, "IQ_NI_MARGIN", CO$3, $I$3, $N$3, , $J$3, $K$3))),"",_xll.ciqfunctions.udf.CIQ($B16, "IQ_NI_MARGIN", CO$3, $I$3, $N$3, , $J$3, $K$3)/100)),"")</f>
        <v/>
      </c>
      <c r="CP16" s="87" t="str">
        <f>IFERROR(IF(OR($B16="",CP$3=""),"",IF(NOT(ISNUMBER(_xll.ciqfunctions.udf.CIQ($B16, "IQ_NI_MARGIN", CP$3, $I$3, $N$3, , $J$3, $K$3))),"",_xll.ciqfunctions.udf.CIQ($B16, "IQ_NI_MARGIN", CP$3, $I$3, $N$3, , $J$3, $K$3)/100)),"")</f>
        <v/>
      </c>
      <c r="CQ16" s="87" t="str">
        <f>IFERROR(IF(OR($B16="",CQ$3=""),"",IF(NOT(ISNUMBER(_xll.ciqfunctions.udf.CIQ($B16, "IQ_NI_MARGIN", CQ$3, $I$3, $N$3, , $J$3, $K$3))),"",_xll.ciqfunctions.udf.CIQ($B16, "IQ_NI_MARGIN", CQ$3, $I$3, $N$3, , $J$3, $K$3)/100)),"")</f>
        <v/>
      </c>
      <c r="CR16" s="87" t="str">
        <f>IFERROR(IF(OR($B16="",CR$3=""),"",IF(NOT(ISNUMBER(_xll.ciqfunctions.udf.CIQ($B16, "IQ_NI_MARGIN", CR$3, $I$3, $N$3, , $J$3, $K$3))),"",_xll.ciqfunctions.udf.CIQ($B16, "IQ_NI_MARGIN", CR$3, $I$3, $N$3, , $J$3, $K$3)/100)),"")</f>
        <v/>
      </c>
      <c r="CS16" s="87" t="str">
        <f>IFERROR(IF(OR($B16="",CS$3=""),"",IF(NOT(ISNUMBER(_xll.ciqfunctions.udf.CIQ($B16, "IQ_NI_MARGIN", CS$3, $I$3, $N$3, , $J$3, $K$3))),"",_xll.ciqfunctions.udf.CIQ($B16, "IQ_NI_MARGIN", CS$3, $I$3, $N$3, , $J$3, $K$3)/100)),"")</f>
        <v/>
      </c>
      <c r="CT16" s="87" t="str">
        <f>IFERROR(IF(OR($B16="",CT$3=""),"",IF(NOT(ISNUMBER(_xll.ciqfunctions.udf.CIQ($B16, "IQ_NI_MARGIN", CT$3, $I$3, $N$3, , $J$3, $K$3))),"",_xll.ciqfunctions.udf.CIQ($B16, "IQ_NI_MARGIN", CT$3, $I$3, $N$3, , $J$3, $K$3)/100)),"")</f>
        <v/>
      </c>
      <c r="CU16" s="87" t="str">
        <f>IFERROR(IF(OR($B16="",CU$3=""),"",IF(NOT(ISNUMBER(_xll.ciqfunctions.udf.CIQ($B16, "IQ_NI_MARGIN", CU$3, $I$3, $N$3, , $J$3, $K$3))),"",_xll.ciqfunctions.udf.CIQ($B16, "IQ_NI_MARGIN", CU$3, $I$3, $N$3, , $J$3, $K$3)/100)),"")</f>
        <v/>
      </c>
      <c r="CV16" s="87" t="str">
        <f>IFERROR(IF(OR($B16="",CV$3=""),"",IF(NOT(ISNUMBER(_xll.ciqfunctions.udf.CIQ($B16, "IQ_NI_MARGIN", CV$3, $I$3, $N$3, , $J$3, $K$3))),"",_xll.ciqfunctions.udf.CIQ($B16, "IQ_NI_MARGIN", CV$3, $I$3, $N$3, , $J$3, $K$3)/100)),"")</f>
        <v/>
      </c>
      <c r="CW16" s="87" t="str">
        <f>IFERROR(IF(OR($B16="",CW$3=""),"",IF(NOT(ISNUMBER(_xll.ciqfunctions.udf.CIQ($B16, "IQ_NI_MARGIN", CW$3, $I$3, $N$3, , $J$3, $K$3))),"",_xll.ciqfunctions.udf.CIQ($B16, "IQ_NI_MARGIN", CW$3, $I$3, $N$3, , $J$3, $K$3)/100)),"")</f>
        <v/>
      </c>
      <c r="CX16" s="87" t="str">
        <f>IFERROR(IF(OR($B16="",CX$3=""),"",IF(NOT(ISNUMBER(_xll.ciqfunctions.udf.CIQ($B16, "IQ_NI_MARGIN", CX$3, $I$3, $N$3, , $J$3, $K$3))),"",_xll.ciqfunctions.udf.CIQ($B16, "IQ_NI_MARGIN", CX$3, $I$3, $N$3, , $J$3, $K$3)/100)),"")</f>
        <v/>
      </c>
      <c r="CY16" s="87" t="str">
        <f>IFERROR(IF(OR($B16="",CY$3=""),"",IF(NOT(ISNUMBER(_xll.ciqfunctions.udf.CIQ($B16, "IQ_NI_MARGIN", CY$3, $I$3, $N$3, , $J$3, $K$3))),"",_xll.ciqfunctions.udf.CIQ($B16, "IQ_NI_MARGIN", CY$3, $I$3, $N$3, , $J$3, $K$3)/100)),"")</f>
        <v/>
      </c>
      <c r="CZ16" s="87" t="str">
        <f>IFERROR(IF(OR($B16="",CZ$3=""),"",IF(NOT(ISNUMBER(_xll.ciqfunctions.udf.CIQ($B16, "IQ_NI_MARGIN", CZ$3, $I$3, $N$3, , $J$3, $K$3))),"",_xll.ciqfunctions.udf.CIQ($B16, "IQ_NI_MARGIN", CZ$3, $I$3, $N$3, , $J$3, $K$3)/100)),"")</f>
        <v/>
      </c>
      <c r="DA16" s="87" t="str">
        <f>IFERROR(IF(OR($B16="",DA$3=""),"",IF(NOT(ISNUMBER(_xll.ciqfunctions.udf.CIQ($B16, "IQ_NI_MARGIN", DA$3, $I$3, $N$3, , $J$3, $K$3))),"",_xll.ciqfunctions.udf.CIQ($B16, "IQ_NI_MARGIN", DA$3, $I$3, $N$3, , $J$3, $K$3)/100)),"")</f>
        <v/>
      </c>
      <c r="DB16" s="87" t="str">
        <f>IFERROR(IF(OR($B16="",DB$3=""),"",IF(NOT(ISNUMBER(_xll.ciqfunctions.udf.CIQ($B16, "IQ_NI_MARGIN", DB$3, $I$3, $N$3, , $J$3, $K$3))),"",_xll.ciqfunctions.udf.CIQ($B16, "IQ_NI_MARGIN", DB$3, $I$3, $N$3, , $J$3, $K$3)/100)),"")</f>
        <v/>
      </c>
      <c r="DC16" s="87" t="str">
        <f>IFERROR(IF(OR($B16="",DC$3=""),"",IF(NOT(ISNUMBER(_xll.ciqfunctions.udf.CIQ($B16, "IQ_NI_MARGIN", DC$3, $I$3, $N$3, , $J$3, $K$3))),"",_xll.ciqfunctions.udf.CIQ($B16, "IQ_NI_MARGIN", DC$3, $I$3, $N$3, , $J$3, $K$3)/100)),"")</f>
        <v/>
      </c>
      <c r="DD16" s="87" t="str">
        <f>IFERROR(IF(OR($B16="",DD$3=""),"",IF(NOT(ISNUMBER(_xll.ciqfunctions.udf.CIQ($B16, "IQ_NI_MARGIN", DD$3, $I$3, $N$3, , $J$3, $K$3))),"",_xll.ciqfunctions.udf.CIQ($B16, "IQ_NI_MARGIN", DD$3, $I$3, $N$3, , $J$3, $K$3)/100)),"")</f>
        <v/>
      </c>
      <c r="DE16" s="87" t="str">
        <f>IFERROR(IF(OR($B16="",DE$3=""),"",IF(NOT(ISNUMBER(_xll.ciqfunctions.udf.CIQ($B16, "IQ_NI_MARGIN", DE$3, $I$3, $N$3, , $J$3, $K$3))),"",_xll.ciqfunctions.udf.CIQ($B16, "IQ_NI_MARGIN", DE$3, $I$3, $N$3, , $J$3, $K$3)/100)),"")</f>
        <v/>
      </c>
      <c r="DF16" s="87" t="str">
        <f>IFERROR(IF(OR($B16="",DF$3=""),"",IF(NOT(ISNUMBER(_xll.ciqfunctions.udf.CIQ($B16, "IQ_NI_MARGIN", DF$3, $I$3, $N$3, , $J$3, $K$3))),"",_xll.ciqfunctions.udf.CIQ($B16, "IQ_NI_MARGIN", DF$3, $I$3, $N$3, , $J$3, $K$3)/100)),"")</f>
        <v/>
      </c>
      <c r="DG16" s="87" t="str">
        <f>IFERROR(IF(OR($B16="",DG$3=""),"",IF(NOT(ISNUMBER(_xll.ciqfunctions.udf.CIQ($B16, "IQ_NI_MARGIN", DG$3, $I$3, $N$3, , $J$3, $K$3))),"",_xll.ciqfunctions.udf.CIQ($B16, "IQ_NI_MARGIN", DG$3, $I$3, $N$3, , $J$3, $K$3)/100)),"")</f>
        <v/>
      </c>
      <c r="DH16" s="88" t="str">
        <f>IFERROR(IF(OR($B16="",DH$3=""),"",IF(NOT(ISNUMBER(_xll.ciqfunctions.udf.CIQ($B16, "IQ_NI_MARGIN", DH$3, $I$3, $N$3, , $J$3, $K$3))),"",_xll.ciqfunctions.udf.CIQ($B16, "IQ_NI_MARGIN", DH$3, $I$3, $N$3, , $J$3, $K$3)/100)),"")</f>
        <v/>
      </c>
      <c r="DI16" s="86" t="str">
        <f>IFERROR(IF(OR($B16="",DI$3=""),"",IF(OR(NOT(ISNUMBER(_xll.ciqfunctions.udf.CIQ($B16, "IQ_COGS", DI$3, $I$3, $N$3, , $J$3, $K$3))),NOT(ISNUMBER(_xll.ciqfunctions.udf.CIQ($B16, "IQ_TOTAL_REVENUE", DI$3, $I$3, $N$3, , $J$3, $K$3)))),"",_xll.ciqfunctions.udf.CIQ($B16, "IQ_COGS", DI$3, $I$3, $N$3, , $J$3, $K$3)/_xll.ciqfunctions.udf.CIQ($B16, "IQ_TOTAL_REVENUE", DI$3, $I$3, $N$3, , $J$3, $K$3))),"")</f>
        <v/>
      </c>
      <c r="DJ16" s="87" t="str">
        <f>IFERROR(IF(OR($B16="",DJ$3=""),"",IF(OR(NOT(ISNUMBER(_xll.ciqfunctions.udf.CIQ($B16, "IQ_COGS", DJ$3, $I$3, $N$3, , $J$3, $K$3))),NOT(ISNUMBER(_xll.ciqfunctions.udf.CIQ($B16, "IQ_TOTAL_REVENUE", DJ$3, $I$3, $N$3, , $J$3, $K$3)))),"",_xll.ciqfunctions.udf.CIQ($B16, "IQ_COGS", DJ$3, $I$3, $N$3, , $J$3, $K$3)/_xll.ciqfunctions.udf.CIQ($B16, "IQ_TOTAL_REVENUE", DJ$3, $I$3, $N$3, , $J$3, $K$3))),"")</f>
        <v/>
      </c>
      <c r="DK16" s="87" t="str">
        <f>IFERROR(IF(OR($B16="",DK$3=""),"",IF(OR(NOT(ISNUMBER(_xll.ciqfunctions.udf.CIQ($B16, "IQ_COGS", DK$3, $I$3, $N$3, , $J$3, $K$3))),NOT(ISNUMBER(_xll.ciqfunctions.udf.CIQ($B16, "IQ_TOTAL_REVENUE", DK$3, $I$3, $N$3, , $J$3, $K$3)))),"",_xll.ciqfunctions.udf.CIQ($B16, "IQ_COGS", DK$3, $I$3, $N$3, , $J$3, $K$3)/_xll.ciqfunctions.udf.CIQ($B16, "IQ_TOTAL_REVENUE", DK$3, $I$3, $N$3, , $J$3, $K$3))),"")</f>
        <v/>
      </c>
      <c r="DL16" s="87" t="str">
        <f>IFERROR(IF(OR($B16="",DL$3=""),"",IF(OR(NOT(ISNUMBER(_xll.ciqfunctions.udf.CIQ($B16, "IQ_COGS", DL$3, $I$3, $N$3, , $J$3, $K$3))),NOT(ISNUMBER(_xll.ciqfunctions.udf.CIQ($B16, "IQ_TOTAL_REVENUE", DL$3, $I$3, $N$3, , $J$3, $K$3)))),"",_xll.ciqfunctions.udf.CIQ($B16, "IQ_COGS", DL$3, $I$3, $N$3, , $J$3, $K$3)/_xll.ciqfunctions.udf.CIQ($B16, "IQ_TOTAL_REVENUE", DL$3, $I$3, $N$3, , $J$3, $K$3))),"")</f>
        <v/>
      </c>
      <c r="DM16" s="87" t="str">
        <f>IFERROR(IF(OR($B16="",DM$3=""),"",IF(OR(NOT(ISNUMBER(_xll.ciqfunctions.udf.CIQ($B16, "IQ_COGS", DM$3, $I$3, $N$3, , $J$3, $K$3))),NOT(ISNUMBER(_xll.ciqfunctions.udf.CIQ($B16, "IQ_TOTAL_REVENUE", DM$3, $I$3, $N$3, , $J$3, $K$3)))),"",_xll.ciqfunctions.udf.CIQ($B16, "IQ_COGS", DM$3, $I$3, $N$3, , $J$3, $K$3)/_xll.ciqfunctions.udf.CIQ($B16, "IQ_TOTAL_REVENUE", DM$3, $I$3, $N$3, , $J$3, $K$3))),"")</f>
        <v/>
      </c>
      <c r="DN16" s="87" t="str">
        <f>IFERROR(IF(OR($B16="",DN$3=""),"",IF(OR(NOT(ISNUMBER(_xll.ciqfunctions.udf.CIQ($B16, "IQ_COGS", DN$3, $I$3, $N$3, , $J$3, $K$3))),NOT(ISNUMBER(_xll.ciqfunctions.udf.CIQ($B16, "IQ_TOTAL_REVENUE", DN$3, $I$3, $N$3, , $J$3, $K$3)))),"",_xll.ciqfunctions.udf.CIQ($B16, "IQ_COGS", DN$3, $I$3, $N$3, , $J$3, $K$3)/_xll.ciqfunctions.udf.CIQ($B16, "IQ_TOTAL_REVENUE", DN$3, $I$3, $N$3, , $J$3, $K$3))),"")</f>
        <v/>
      </c>
      <c r="DO16" s="87" t="str">
        <f>IFERROR(IF(OR($B16="",DO$3=""),"",IF(OR(NOT(ISNUMBER(_xll.ciqfunctions.udf.CIQ($B16, "IQ_COGS", DO$3, $I$3, $N$3, , $J$3, $K$3))),NOT(ISNUMBER(_xll.ciqfunctions.udf.CIQ($B16, "IQ_TOTAL_REVENUE", DO$3, $I$3, $N$3, , $J$3, $K$3)))),"",_xll.ciqfunctions.udf.CIQ($B16, "IQ_COGS", DO$3, $I$3, $N$3, , $J$3, $K$3)/_xll.ciqfunctions.udf.CIQ($B16, "IQ_TOTAL_REVENUE", DO$3, $I$3, $N$3, , $J$3, $K$3))),"")</f>
        <v/>
      </c>
      <c r="DP16" s="87" t="str">
        <f>IFERROR(IF(OR($B16="",DP$3=""),"",IF(OR(NOT(ISNUMBER(_xll.ciqfunctions.udf.CIQ($B16, "IQ_COGS", DP$3, $I$3, $N$3, , $J$3, $K$3))),NOT(ISNUMBER(_xll.ciqfunctions.udf.CIQ($B16, "IQ_TOTAL_REVENUE", DP$3, $I$3, $N$3, , $J$3, $K$3)))),"",_xll.ciqfunctions.udf.CIQ($B16, "IQ_COGS", DP$3, $I$3, $N$3, , $J$3, $K$3)/_xll.ciqfunctions.udf.CIQ($B16, "IQ_TOTAL_REVENUE", DP$3, $I$3, $N$3, , $J$3, $K$3))),"")</f>
        <v/>
      </c>
      <c r="DQ16" s="87" t="str">
        <f>IFERROR(IF(OR($B16="",DQ$3=""),"",IF(OR(NOT(ISNUMBER(_xll.ciqfunctions.udf.CIQ($B16, "IQ_COGS", DQ$3, $I$3, $N$3, , $J$3, $K$3))),NOT(ISNUMBER(_xll.ciqfunctions.udf.CIQ($B16, "IQ_TOTAL_REVENUE", DQ$3, $I$3, $N$3, , $J$3, $K$3)))),"",_xll.ciqfunctions.udf.CIQ($B16, "IQ_COGS", DQ$3, $I$3, $N$3, , $J$3, $K$3)/_xll.ciqfunctions.udf.CIQ($B16, "IQ_TOTAL_REVENUE", DQ$3, $I$3, $N$3, , $J$3, $K$3))),"")</f>
        <v/>
      </c>
      <c r="DR16" s="87" t="str">
        <f>IFERROR(IF(OR($B16="",DR$3=""),"",IF(OR(NOT(ISNUMBER(_xll.ciqfunctions.udf.CIQ($B16, "IQ_COGS", DR$3, $I$3, $N$3, , $J$3, $K$3))),NOT(ISNUMBER(_xll.ciqfunctions.udf.CIQ($B16, "IQ_TOTAL_REVENUE", DR$3, $I$3, $N$3, , $J$3, $K$3)))),"",_xll.ciqfunctions.udf.CIQ($B16, "IQ_COGS", DR$3, $I$3, $N$3, , $J$3, $K$3)/_xll.ciqfunctions.udf.CIQ($B16, "IQ_TOTAL_REVENUE", DR$3, $I$3, $N$3, , $J$3, $K$3))),"")</f>
        <v/>
      </c>
      <c r="DS16" s="87" t="str">
        <f>IFERROR(IF(OR($B16="",DS$3=""),"",IF(OR(NOT(ISNUMBER(_xll.ciqfunctions.udf.CIQ($B16, "IQ_COGS", DS$3, $I$3, $N$3, , $J$3, $K$3))),NOT(ISNUMBER(_xll.ciqfunctions.udf.CIQ($B16, "IQ_TOTAL_REVENUE", DS$3, $I$3, $N$3, , $J$3, $K$3)))),"",_xll.ciqfunctions.udf.CIQ($B16, "IQ_COGS", DS$3, $I$3, $N$3, , $J$3, $K$3)/_xll.ciqfunctions.udf.CIQ($B16, "IQ_TOTAL_REVENUE", DS$3, $I$3, $N$3, , $J$3, $K$3))),"")</f>
        <v/>
      </c>
      <c r="DT16" s="87" t="str">
        <f>IFERROR(IF(OR($B16="",DT$3=""),"",IF(OR(NOT(ISNUMBER(_xll.ciqfunctions.udf.CIQ($B16, "IQ_COGS", DT$3, $I$3, $N$3, , $J$3, $K$3))),NOT(ISNUMBER(_xll.ciqfunctions.udf.CIQ($B16, "IQ_TOTAL_REVENUE", DT$3, $I$3, $N$3, , $J$3, $K$3)))),"",_xll.ciqfunctions.udf.CIQ($B16, "IQ_COGS", DT$3, $I$3, $N$3, , $J$3, $K$3)/_xll.ciqfunctions.udf.CIQ($B16, "IQ_TOTAL_REVENUE", DT$3, $I$3, $N$3, , $J$3, $K$3))),"")</f>
        <v/>
      </c>
      <c r="DU16" s="87" t="str">
        <f>IFERROR(IF(OR($B16="",DU$3=""),"",IF(OR(NOT(ISNUMBER(_xll.ciqfunctions.udf.CIQ($B16, "IQ_COGS", DU$3, $I$3, $N$3, , $J$3, $K$3))),NOT(ISNUMBER(_xll.ciqfunctions.udf.CIQ($B16, "IQ_TOTAL_REVENUE", DU$3, $I$3, $N$3, , $J$3, $K$3)))),"",_xll.ciqfunctions.udf.CIQ($B16, "IQ_COGS", DU$3, $I$3, $N$3, , $J$3, $K$3)/_xll.ciqfunctions.udf.CIQ($B16, "IQ_TOTAL_REVENUE", DU$3, $I$3, $N$3, , $J$3, $K$3))),"")</f>
        <v/>
      </c>
      <c r="DV16" s="87" t="str">
        <f>IFERROR(IF(OR($B16="",DV$3=""),"",IF(OR(NOT(ISNUMBER(_xll.ciqfunctions.udf.CIQ($B16, "IQ_COGS", DV$3, $I$3, $N$3, , $J$3, $K$3))),NOT(ISNUMBER(_xll.ciqfunctions.udf.CIQ($B16, "IQ_TOTAL_REVENUE", DV$3, $I$3, $N$3, , $J$3, $K$3)))),"",_xll.ciqfunctions.udf.CIQ($B16, "IQ_COGS", DV$3, $I$3, $N$3, , $J$3, $K$3)/_xll.ciqfunctions.udf.CIQ($B16, "IQ_TOTAL_REVENUE", DV$3, $I$3, $N$3, , $J$3, $K$3))),"")</f>
        <v/>
      </c>
      <c r="DW16" s="87" t="str">
        <f>IFERROR(IF(OR($B16="",DW$3=""),"",IF(OR(NOT(ISNUMBER(_xll.ciqfunctions.udf.CIQ($B16, "IQ_COGS", DW$3, $I$3, $N$3, , $J$3, $K$3))),NOT(ISNUMBER(_xll.ciqfunctions.udf.CIQ($B16, "IQ_TOTAL_REVENUE", DW$3, $I$3, $N$3, , $J$3, $K$3)))),"",_xll.ciqfunctions.udf.CIQ($B16, "IQ_COGS", DW$3, $I$3, $N$3, , $J$3, $K$3)/_xll.ciqfunctions.udf.CIQ($B16, "IQ_TOTAL_REVENUE", DW$3, $I$3, $N$3, , $J$3, $K$3))),"")</f>
        <v/>
      </c>
      <c r="DX16" s="87" t="str">
        <f>IFERROR(IF(OR($B16="",DX$3=""),"",IF(OR(NOT(ISNUMBER(_xll.ciqfunctions.udf.CIQ($B16, "IQ_COGS", DX$3, $I$3, $N$3, , $J$3, $K$3))),NOT(ISNUMBER(_xll.ciqfunctions.udf.CIQ($B16, "IQ_TOTAL_REVENUE", DX$3, $I$3, $N$3, , $J$3, $K$3)))),"",_xll.ciqfunctions.udf.CIQ($B16, "IQ_COGS", DX$3, $I$3, $N$3, , $J$3, $K$3)/_xll.ciqfunctions.udf.CIQ($B16, "IQ_TOTAL_REVENUE", DX$3, $I$3, $N$3, , $J$3, $K$3))),"")</f>
        <v/>
      </c>
      <c r="DY16" s="87" t="str">
        <f>IFERROR(IF(OR($B16="",DY$3=""),"",IF(OR(NOT(ISNUMBER(_xll.ciqfunctions.udf.CIQ($B16, "IQ_COGS", DY$3, $I$3, $N$3, , $J$3, $K$3))),NOT(ISNUMBER(_xll.ciqfunctions.udf.CIQ($B16, "IQ_TOTAL_REVENUE", DY$3, $I$3, $N$3, , $J$3, $K$3)))),"",_xll.ciqfunctions.udf.CIQ($B16, "IQ_COGS", DY$3, $I$3, $N$3, , $J$3, $K$3)/_xll.ciqfunctions.udf.CIQ($B16, "IQ_TOTAL_REVENUE", DY$3, $I$3, $N$3, , $J$3, $K$3))),"")</f>
        <v/>
      </c>
      <c r="DZ16" s="87" t="str">
        <f>IFERROR(IF(OR($B16="",DZ$3=""),"",IF(OR(NOT(ISNUMBER(_xll.ciqfunctions.udf.CIQ($B16, "IQ_COGS", DZ$3, $I$3, $N$3, , $J$3, $K$3))),NOT(ISNUMBER(_xll.ciqfunctions.udf.CIQ($B16, "IQ_TOTAL_REVENUE", DZ$3, $I$3, $N$3, , $J$3, $K$3)))),"",_xll.ciqfunctions.udf.CIQ($B16, "IQ_COGS", DZ$3, $I$3, $N$3, , $J$3, $K$3)/_xll.ciqfunctions.udf.CIQ($B16, "IQ_TOTAL_REVENUE", DZ$3, $I$3, $N$3, , $J$3, $K$3))),"")</f>
        <v/>
      </c>
      <c r="EA16" s="87" t="str">
        <f>IFERROR(IF(OR($B16="",EA$3=""),"",IF(OR(NOT(ISNUMBER(_xll.ciqfunctions.udf.CIQ($B16, "IQ_COGS", EA$3, $I$3, $N$3, , $J$3, $K$3))),NOT(ISNUMBER(_xll.ciqfunctions.udf.CIQ($B16, "IQ_TOTAL_REVENUE", EA$3, $I$3, $N$3, , $J$3, $K$3)))),"",_xll.ciqfunctions.udf.CIQ($B16, "IQ_COGS", EA$3, $I$3, $N$3, , $J$3, $K$3)/_xll.ciqfunctions.udf.CIQ($B16, "IQ_TOTAL_REVENUE", EA$3, $I$3, $N$3, , $J$3, $K$3))),"")</f>
        <v/>
      </c>
      <c r="EB16" s="88" t="str">
        <f>IFERROR(IF(OR($B16="",EB$3=""),"",IF(OR(NOT(ISNUMBER(_xll.ciqfunctions.udf.CIQ($B16, "IQ_COGS", EB$3, $I$3, $N$3, , $J$3, $K$3))),NOT(ISNUMBER(_xll.ciqfunctions.udf.CIQ($B16, "IQ_TOTAL_REVENUE", EB$3, $I$3, $N$3, , $J$3, $K$3)))),"",_xll.ciqfunctions.udf.CIQ($B16, "IQ_COGS", EB$3, $I$3, $N$3, , $J$3, $K$3)/_xll.ciqfunctions.udf.CIQ($B16, "IQ_TOTAL_REVENUE", EB$3, $I$3, $N$3, , $J$3, $K$3))),"")</f>
        <v/>
      </c>
      <c r="EC16" s="86" t="str">
        <f>IFERROR(IF(OR($B16="",EC$3=""),"",(_xll.ciqfunctions.udf.CIQ($B16,"IQ_TOTAL_REVENUE",EC$3, $I$3, $N$3, , $J$3, $K$3)-_xll.ciqfunctions.udf.CIQ($B16,"IQ_COGS",EC$3, $I$3, $N$3, , $J$3, $K$3)-_xll.ciqfunctions.udf.CIQ($B16,"IQ_EBITDA",EC$3, $I$3, $N$3, , $J$3, $K$3))/_xll.ciqfunctions.udf.CIQ($B16,"IQ_TOTAL_REVENUE",EC$3, $I$3, $N$3, , $J$3, $K$3)),"")</f>
        <v/>
      </c>
      <c r="ED16" s="87" t="str">
        <f>IFERROR(IF(OR($B16="",ED$3=""),"",(_xll.ciqfunctions.udf.CIQ($B16,"IQ_TOTAL_REVENUE",ED$3, $I$3, $N$3, , $J$3, $K$3)-_xll.ciqfunctions.udf.CIQ($B16,"IQ_COGS",ED$3, $I$3, $N$3, , $J$3, $K$3)-_xll.ciqfunctions.udf.CIQ($B16,"IQ_EBITDA",ED$3, $I$3, $N$3, , $J$3, $K$3))/_xll.ciqfunctions.udf.CIQ($B16,"IQ_TOTAL_REVENUE",ED$3, $I$3, $N$3, , $J$3, $K$3)),"")</f>
        <v/>
      </c>
      <c r="EE16" s="87" t="str">
        <f>IFERROR(IF(OR($B16="",EE$3=""),"",(_xll.ciqfunctions.udf.CIQ($B16,"IQ_TOTAL_REVENUE",EE$3, $I$3, $N$3, , $J$3, $K$3)-_xll.ciqfunctions.udf.CIQ($B16,"IQ_COGS",EE$3, $I$3, $N$3, , $J$3, $K$3)-_xll.ciqfunctions.udf.CIQ($B16,"IQ_EBITDA",EE$3, $I$3, $N$3, , $J$3, $K$3))/_xll.ciqfunctions.udf.CIQ($B16,"IQ_TOTAL_REVENUE",EE$3, $I$3, $N$3, , $J$3, $K$3)),"")</f>
        <v/>
      </c>
      <c r="EF16" s="87" t="str">
        <f>IFERROR(IF(OR($B16="",EF$3=""),"",(_xll.ciqfunctions.udf.CIQ($B16,"IQ_TOTAL_REVENUE",EF$3, $I$3, $N$3, , $J$3, $K$3)-_xll.ciqfunctions.udf.CIQ($B16,"IQ_COGS",EF$3, $I$3, $N$3, , $J$3, $K$3)-_xll.ciqfunctions.udf.CIQ($B16,"IQ_EBITDA",EF$3, $I$3, $N$3, , $J$3, $K$3))/_xll.ciqfunctions.udf.CIQ($B16,"IQ_TOTAL_REVENUE",EF$3, $I$3, $N$3, , $J$3, $K$3)),"")</f>
        <v/>
      </c>
      <c r="EG16" s="87" t="str">
        <f>IFERROR(IF(OR($B16="",EG$3=""),"",(_xll.ciqfunctions.udf.CIQ($B16,"IQ_TOTAL_REVENUE",EG$3, $I$3, $N$3, , $J$3, $K$3)-_xll.ciqfunctions.udf.CIQ($B16,"IQ_COGS",EG$3, $I$3, $N$3, , $J$3, $K$3)-_xll.ciqfunctions.udf.CIQ($B16,"IQ_EBITDA",EG$3, $I$3, $N$3, , $J$3, $K$3))/_xll.ciqfunctions.udf.CIQ($B16,"IQ_TOTAL_REVENUE",EG$3, $I$3, $N$3, , $J$3, $K$3)),"")</f>
        <v/>
      </c>
      <c r="EH16" s="87" t="str">
        <f>IFERROR(IF(OR($B16="",EH$3=""),"",(_xll.ciqfunctions.udf.CIQ($B16,"IQ_TOTAL_REVENUE",EH$3, $I$3, $N$3, , $J$3, $K$3)-_xll.ciqfunctions.udf.CIQ($B16,"IQ_COGS",EH$3, $I$3, $N$3, , $J$3, $K$3)-_xll.ciqfunctions.udf.CIQ($B16,"IQ_EBITDA",EH$3, $I$3, $N$3, , $J$3, $K$3))/_xll.ciqfunctions.udf.CIQ($B16,"IQ_TOTAL_REVENUE",EH$3, $I$3, $N$3, , $J$3, $K$3)),"")</f>
        <v/>
      </c>
      <c r="EI16" s="87" t="str">
        <f>IFERROR(IF(OR($B16="",EI$3=""),"",(_xll.ciqfunctions.udf.CIQ($B16,"IQ_TOTAL_REVENUE",EI$3, $I$3, $N$3, , $J$3, $K$3)-_xll.ciqfunctions.udf.CIQ($B16,"IQ_COGS",EI$3, $I$3, $N$3, , $J$3, $K$3)-_xll.ciqfunctions.udf.CIQ($B16,"IQ_EBITDA",EI$3, $I$3, $N$3, , $J$3, $K$3))/_xll.ciqfunctions.udf.CIQ($B16,"IQ_TOTAL_REVENUE",EI$3, $I$3, $N$3, , $J$3, $K$3)),"")</f>
        <v/>
      </c>
      <c r="EJ16" s="87" t="str">
        <f>IFERROR(IF(OR($B16="",EJ$3=""),"",(_xll.ciqfunctions.udf.CIQ($B16,"IQ_TOTAL_REVENUE",EJ$3, $I$3, $N$3, , $J$3, $K$3)-_xll.ciqfunctions.udf.CIQ($B16,"IQ_COGS",EJ$3, $I$3, $N$3, , $J$3, $K$3)-_xll.ciqfunctions.udf.CIQ($B16,"IQ_EBITDA",EJ$3, $I$3, $N$3, , $J$3, $K$3))/_xll.ciqfunctions.udf.CIQ($B16,"IQ_TOTAL_REVENUE",EJ$3, $I$3, $N$3, , $J$3, $K$3)),"")</f>
        <v/>
      </c>
      <c r="EK16" s="87" t="str">
        <f>IFERROR(IF(OR($B16="",EK$3=""),"",(_xll.ciqfunctions.udf.CIQ($B16,"IQ_TOTAL_REVENUE",EK$3, $I$3, $N$3, , $J$3, $K$3)-_xll.ciqfunctions.udf.CIQ($B16,"IQ_COGS",EK$3, $I$3, $N$3, , $J$3, $K$3)-_xll.ciqfunctions.udf.CIQ($B16,"IQ_EBITDA",EK$3, $I$3, $N$3, , $J$3, $K$3))/_xll.ciqfunctions.udf.CIQ($B16,"IQ_TOTAL_REVENUE",EK$3, $I$3, $N$3, , $J$3, $K$3)),"")</f>
        <v/>
      </c>
      <c r="EL16" s="87" t="str">
        <f>IFERROR(IF(OR($B16="",EL$3=""),"",(_xll.ciqfunctions.udf.CIQ($B16,"IQ_TOTAL_REVENUE",EL$3, $I$3, $N$3, , $J$3, $K$3)-_xll.ciqfunctions.udf.CIQ($B16,"IQ_COGS",EL$3, $I$3, $N$3, , $J$3, $K$3)-_xll.ciqfunctions.udf.CIQ($B16,"IQ_EBITDA",EL$3, $I$3, $N$3, , $J$3, $K$3))/_xll.ciqfunctions.udf.CIQ($B16,"IQ_TOTAL_REVENUE",EL$3, $I$3, $N$3, , $J$3, $K$3)),"")</f>
        <v/>
      </c>
      <c r="EM16" s="87" t="str">
        <f>IFERROR(IF(OR($B16="",EM$3=""),"",(_xll.ciqfunctions.udf.CIQ($B16,"IQ_TOTAL_REVENUE",EM$3, $I$3, $N$3, , $J$3, $K$3)-_xll.ciqfunctions.udf.CIQ($B16,"IQ_COGS",EM$3, $I$3, $N$3, , $J$3, $K$3)-_xll.ciqfunctions.udf.CIQ($B16,"IQ_EBITDA",EM$3, $I$3, $N$3, , $J$3, $K$3))/_xll.ciqfunctions.udf.CIQ($B16,"IQ_TOTAL_REVENUE",EM$3, $I$3, $N$3, , $J$3, $K$3)),"")</f>
        <v/>
      </c>
      <c r="EN16" s="87" t="str">
        <f>IFERROR(IF(OR($B16="",EN$3=""),"",(_xll.ciqfunctions.udf.CIQ($B16,"IQ_TOTAL_REVENUE",EN$3, $I$3, $N$3, , $J$3, $K$3)-_xll.ciqfunctions.udf.CIQ($B16,"IQ_COGS",EN$3, $I$3, $N$3, , $J$3, $K$3)-_xll.ciqfunctions.udf.CIQ($B16,"IQ_EBITDA",EN$3, $I$3, $N$3, , $J$3, $K$3))/_xll.ciqfunctions.udf.CIQ($B16,"IQ_TOTAL_REVENUE",EN$3, $I$3, $N$3, , $J$3, $K$3)),"")</f>
        <v/>
      </c>
      <c r="EO16" s="87" t="str">
        <f>IFERROR(IF(OR($B16="",EO$3=""),"",(_xll.ciqfunctions.udf.CIQ($B16,"IQ_TOTAL_REVENUE",EO$3, $I$3, $N$3, , $J$3, $K$3)-_xll.ciqfunctions.udf.CIQ($B16,"IQ_COGS",EO$3, $I$3, $N$3, , $J$3, $K$3)-_xll.ciqfunctions.udf.CIQ($B16,"IQ_EBITDA",EO$3, $I$3, $N$3, , $J$3, $K$3))/_xll.ciqfunctions.udf.CIQ($B16,"IQ_TOTAL_REVENUE",EO$3, $I$3, $N$3, , $J$3, $K$3)),"")</f>
        <v/>
      </c>
      <c r="EP16" s="87" t="str">
        <f>IFERROR(IF(OR($B16="",EP$3=""),"",(_xll.ciqfunctions.udf.CIQ($B16,"IQ_TOTAL_REVENUE",EP$3, $I$3, $N$3, , $J$3, $K$3)-_xll.ciqfunctions.udf.CIQ($B16,"IQ_COGS",EP$3, $I$3, $N$3, , $J$3, $K$3)-_xll.ciqfunctions.udf.CIQ($B16,"IQ_EBITDA",EP$3, $I$3, $N$3, , $J$3, $K$3))/_xll.ciqfunctions.udf.CIQ($B16,"IQ_TOTAL_REVENUE",EP$3, $I$3, $N$3, , $J$3, $K$3)),"")</f>
        <v/>
      </c>
      <c r="EQ16" s="87" t="str">
        <f>IFERROR(IF(OR($B16="",EQ$3=""),"",(_xll.ciqfunctions.udf.CIQ($B16,"IQ_TOTAL_REVENUE",EQ$3, $I$3, $N$3, , $J$3, $K$3)-_xll.ciqfunctions.udf.CIQ($B16,"IQ_COGS",EQ$3, $I$3, $N$3, , $J$3, $K$3)-_xll.ciqfunctions.udf.CIQ($B16,"IQ_EBITDA",EQ$3, $I$3, $N$3, , $J$3, $K$3))/_xll.ciqfunctions.udf.CIQ($B16,"IQ_TOTAL_REVENUE",EQ$3, $I$3, $N$3, , $J$3, $K$3)),"")</f>
        <v/>
      </c>
      <c r="ER16" s="87" t="str">
        <f>IFERROR(IF(OR($B16="",ER$3=""),"",(_xll.ciqfunctions.udf.CIQ($B16,"IQ_TOTAL_REVENUE",ER$3, $I$3, $N$3, , $J$3, $K$3)-_xll.ciqfunctions.udf.CIQ($B16,"IQ_COGS",ER$3, $I$3, $N$3, , $J$3, $K$3)-_xll.ciqfunctions.udf.CIQ($B16,"IQ_EBITDA",ER$3, $I$3, $N$3, , $J$3, $K$3))/_xll.ciqfunctions.udf.CIQ($B16,"IQ_TOTAL_REVENUE",ER$3, $I$3, $N$3, , $J$3, $K$3)),"")</f>
        <v/>
      </c>
      <c r="ES16" s="87" t="str">
        <f>IFERROR(IF(OR($B16="",ES$3=""),"",(_xll.ciqfunctions.udf.CIQ($B16,"IQ_TOTAL_REVENUE",ES$3, $I$3, $N$3, , $J$3, $K$3)-_xll.ciqfunctions.udf.CIQ($B16,"IQ_COGS",ES$3, $I$3, $N$3, , $J$3, $K$3)-_xll.ciqfunctions.udf.CIQ($B16,"IQ_EBITDA",ES$3, $I$3, $N$3, , $J$3, $K$3))/_xll.ciqfunctions.udf.CIQ($B16,"IQ_TOTAL_REVENUE",ES$3, $I$3, $N$3, , $J$3, $K$3)),"")</f>
        <v/>
      </c>
      <c r="ET16" s="87" t="str">
        <f>IFERROR(IF(OR($B16="",ET$3=""),"",(_xll.ciqfunctions.udf.CIQ($B16,"IQ_TOTAL_REVENUE",ET$3, $I$3, $N$3, , $J$3, $K$3)-_xll.ciqfunctions.udf.CIQ($B16,"IQ_COGS",ET$3, $I$3, $N$3, , $J$3, $K$3)-_xll.ciqfunctions.udf.CIQ($B16,"IQ_EBITDA",ET$3, $I$3, $N$3, , $J$3, $K$3))/_xll.ciqfunctions.udf.CIQ($B16,"IQ_TOTAL_REVENUE",ET$3, $I$3, $N$3, , $J$3, $K$3)),"")</f>
        <v/>
      </c>
      <c r="EU16" s="87" t="str">
        <f>IFERROR(IF(OR($B16="",EU$3=""),"",(_xll.ciqfunctions.udf.CIQ($B16,"IQ_TOTAL_REVENUE",EU$3, $I$3, $N$3, , $J$3, $K$3)-_xll.ciqfunctions.udf.CIQ($B16,"IQ_COGS",EU$3, $I$3, $N$3, , $J$3, $K$3)-_xll.ciqfunctions.udf.CIQ($B16,"IQ_EBITDA",EU$3, $I$3, $N$3, , $J$3, $K$3))/_xll.ciqfunctions.udf.CIQ($B16,"IQ_TOTAL_REVENUE",EU$3, $I$3, $N$3, , $J$3, $K$3)),"")</f>
        <v/>
      </c>
      <c r="EV16" s="88" t="str">
        <f>IFERROR(IF(OR($B16="",EV$3=""),"",(_xll.ciqfunctions.udf.CIQ($B16,"IQ_TOTAL_REVENUE",EV$3, $I$3, $N$3, , $J$3, $K$3)-_xll.ciqfunctions.udf.CIQ($B16,"IQ_COGS",EV$3, $I$3, $N$3, , $J$3, $K$3)-_xll.ciqfunctions.udf.CIQ($B16,"IQ_EBITDA",EV$3, $I$3, $N$3, , $J$3, $K$3))/_xll.ciqfunctions.udf.CIQ($B16,"IQ_TOTAL_REVENUE",EV$3, $I$3, $N$3, , $J$3, $K$3)),"")</f>
        <v/>
      </c>
      <c r="EW16" s="72" t="str">
        <f>IFERROR(IF(OR($B16="",EW$3=""),"",IF(AND($EW$4="No",_xll.ciqfunctions.udf.CIQ($B16, "IQ_SGA_MARGIN", EW$3, $I$3, $N$3, , $J$3, $K$3)&lt;=0),"",_xll.ciqfunctions.udf.CIQ($B16, "IQ_SGA_MARGIN", EW$3, $I$3, $N$3, , $J$3, $K$3)/100)),"")</f>
        <v/>
      </c>
      <c r="EX16" s="72" t="str">
        <f>IFERROR(IF(OR($B16="",EX$3=""),"",IF(AND($EW$4="No",_xll.ciqfunctions.udf.CIQ($B16, "IQ_SGA_MARGIN", EX$3, $I$3, $N$3, , $J$3, $K$3)&lt;=0),"",_xll.ciqfunctions.udf.CIQ($B16, "IQ_SGA_MARGIN", EX$3, $I$3, $N$3, , $J$3, $K$3)/100)),"")</f>
        <v/>
      </c>
      <c r="EY16" s="72" t="str">
        <f>IFERROR(IF(OR($B16="",EY$3=""),"",IF(AND($EW$4="No",_xll.ciqfunctions.udf.CIQ($B16, "IQ_SGA_MARGIN", EY$3, $I$3, $N$3, , $J$3, $K$3)&lt;=0),"",_xll.ciqfunctions.udf.CIQ($B16, "IQ_SGA_MARGIN", EY$3, $I$3, $N$3, , $J$3, $K$3)/100)),"")</f>
        <v/>
      </c>
      <c r="EZ16" s="72" t="str">
        <f>IFERROR(IF(OR($B16="",EZ$3=""),"",IF(AND($EW$4="No",_xll.ciqfunctions.udf.CIQ($B16, "IQ_SGA_MARGIN", EZ$3, $I$3, $N$3, , $J$3, $K$3)&lt;=0),"",_xll.ciqfunctions.udf.CIQ($B16, "IQ_SGA_MARGIN", EZ$3, $I$3, $N$3, , $J$3, $K$3)/100)),"")</f>
        <v/>
      </c>
      <c r="FA16" s="72" t="str">
        <f>IFERROR(IF(OR($B16="",FA$3=""),"",IF(AND($EW$4="No",_xll.ciqfunctions.udf.CIQ($B16, "IQ_SGA_MARGIN", FA$3, $I$3, $N$3, , $J$3, $K$3)&lt;=0),"",_xll.ciqfunctions.udf.CIQ($B16, "IQ_SGA_MARGIN", FA$3, $I$3, $N$3, , $J$3, $K$3)/100)),"")</f>
        <v/>
      </c>
      <c r="FB16" s="72" t="str">
        <f>IFERROR(IF(OR($B16="",FB$3=""),"",IF(AND($EW$4="No",_xll.ciqfunctions.udf.CIQ($B16, "IQ_SGA_MARGIN", FB$3, $I$3, $N$3, , $J$3, $K$3)&lt;=0),"",_xll.ciqfunctions.udf.CIQ($B16, "IQ_SGA_MARGIN", FB$3, $I$3, $N$3, , $J$3, $K$3)/100)),"")</f>
        <v/>
      </c>
      <c r="FC16" s="72" t="str">
        <f>IFERROR(IF(OR($B16="",FC$3=""),"",IF(AND($EW$4="No",_xll.ciqfunctions.udf.CIQ($B16, "IQ_SGA_MARGIN", FC$3, $I$3, $N$3, , $J$3, $K$3)&lt;=0),"",_xll.ciqfunctions.udf.CIQ($B16, "IQ_SGA_MARGIN", FC$3, $I$3, $N$3, , $J$3, $K$3)/100)),"")</f>
        <v/>
      </c>
      <c r="FD16" s="72" t="str">
        <f>IFERROR(IF(OR($B16="",FD$3=""),"",IF(AND($EW$4="No",_xll.ciqfunctions.udf.CIQ($B16, "IQ_SGA_MARGIN", FD$3, $I$3, $N$3, , $J$3, $K$3)&lt;=0),"",_xll.ciqfunctions.udf.CIQ($B16, "IQ_SGA_MARGIN", FD$3, $I$3, $N$3, , $J$3, $K$3)/100)),"")</f>
        <v/>
      </c>
      <c r="FE16" s="72" t="str">
        <f>IFERROR(IF(OR($B16="",FE$3=""),"",IF(AND($EW$4="No",_xll.ciqfunctions.udf.CIQ($B16, "IQ_SGA_MARGIN", FE$3, $I$3, $N$3, , $J$3, $K$3)&lt;=0),"",_xll.ciqfunctions.udf.CIQ($B16, "IQ_SGA_MARGIN", FE$3, $I$3, $N$3, , $J$3, $K$3)/100)),"")</f>
        <v/>
      </c>
      <c r="FF16" s="72" t="str">
        <f>IFERROR(IF(OR($B16="",FF$3=""),"",IF(AND($EW$4="No",_xll.ciqfunctions.udf.CIQ($B16, "IQ_SGA_MARGIN", FF$3, $I$3, $N$3, , $J$3, $K$3)&lt;=0),"",_xll.ciqfunctions.udf.CIQ($B16, "IQ_SGA_MARGIN", FF$3, $I$3, $N$3, , $J$3, $K$3)/100)),"")</f>
        <v/>
      </c>
      <c r="FG16" s="72" t="str">
        <f>IFERROR(IF(OR($B16="",FG$3=""),"",IF(AND($EW$4="No",_xll.ciqfunctions.udf.CIQ($B16, "IQ_SGA_MARGIN", FG$3, $I$3, $N$3, , $J$3, $K$3)&lt;=0),"",_xll.ciqfunctions.udf.CIQ($B16, "IQ_SGA_MARGIN", FG$3, $I$3, $N$3, , $J$3, $K$3)/100)),"")</f>
        <v/>
      </c>
      <c r="FH16" s="72" t="str">
        <f>IFERROR(IF(OR($B16="",FH$3=""),"",IF(AND($EW$4="No",_xll.ciqfunctions.udf.CIQ($B16, "IQ_SGA_MARGIN", FH$3, $I$3, $N$3, , $J$3, $K$3)&lt;=0),"",_xll.ciqfunctions.udf.CIQ($B16, "IQ_SGA_MARGIN", FH$3, $I$3, $N$3, , $J$3, $K$3)/100)),"")</f>
        <v/>
      </c>
      <c r="FI16" s="72" t="str">
        <f>IFERROR(IF(OR($B16="",FI$3=""),"",IF(AND($EW$4="No",_xll.ciqfunctions.udf.CIQ($B16, "IQ_SGA_MARGIN", FI$3, $I$3, $N$3, , $J$3, $K$3)&lt;=0),"",_xll.ciqfunctions.udf.CIQ($B16, "IQ_SGA_MARGIN", FI$3, $I$3, $N$3, , $J$3, $K$3)/100)),"")</f>
        <v/>
      </c>
      <c r="FJ16" s="72" t="str">
        <f>IFERROR(IF(OR($B16="",FJ$3=""),"",IF(AND($EW$4="No",_xll.ciqfunctions.udf.CIQ($B16, "IQ_SGA_MARGIN", FJ$3, $I$3, $N$3, , $J$3, $K$3)&lt;=0),"",_xll.ciqfunctions.udf.CIQ($B16, "IQ_SGA_MARGIN", FJ$3, $I$3, $N$3, , $J$3, $K$3)/100)),"")</f>
        <v/>
      </c>
      <c r="FK16" s="72" t="str">
        <f>IFERROR(IF(OR($B16="",FK$3=""),"",IF(AND($EW$4="No",_xll.ciqfunctions.udf.CIQ($B16, "IQ_SGA_MARGIN", FK$3, $I$3, $N$3, , $J$3, $K$3)&lt;=0),"",_xll.ciqfunctions.udf.CIQ($B16, "IQ_SGA_MARGIN", FK$3, $I$3, $N$3, , $J$3, $K$3)/100)),"")</f>
        <v/>
      </c>
      <c r="FL16" s="72" t="str">
        <f>IFERROR(IF(OR($B16="",FL$3=""),"",IF(AND($EW$4="No",_xll.ciqfunctions.udf.CIQ($B16, "IQ_SGA_MARGIN", FL$3, $I$3, $N$3, , $J$3, $K$3)&lt;=0),"",_xll.ciqfunctions.udf.CIQ($B16, "IQ_SGA_MARGIN", FL$3, $I$3, $N$3, , $J$3, $K$3)/100)),"")</f>
        <v/>
      </c>
      <c r="FM16" s="72" t="str">
        <f>IFERROR(IF(OR($B16="",FM$3=""),"",IF(AND($EW$4="No",_xll.ciqfunctions.udf.CIQ($B16, "IQ_SGA_MARGIN", FM$3, $I$3, $N$3, , $J$3, $K$3)&lt;=0),"",_xll.ciqfunctions.udf.CIQ($B16, "IQ_SGA_MARGIN", FM$3, $I$3, $N$3, , $J$3, $K$3)/100)),"")</f>
        <v/>
      </c>
      <c r="FN16" s="72" t="str">
        <f>IFERROR(IF(OR($B16="",FN$3=""),"",IF(AND($EW$4="No",_xll.ciqfunctions.udf.CIQ($B16, "IQ_SGA_MARGIN", FN$3, $I$3, $N$3, , $J$3, $K$3)&lt;=0),"",_xll.ciqfunctions.udf.CIQ($B16, "IQ_SGA_MARGIN", FN$3, $I$3, $N$3, , $J$3, $K$3)/100)),"")</f>
        <v/>
      </c>
      <c r="FO16" s="72" t="str">
        <f>IFERROR(IF(OR($B16="",FO$3=""),"",IF(AND($EW$4="No",_xll.ciqfunctions.udf.CIQ($B16, "IQ_SGA_MARGIN", FO$3, $I$3, $N$3, , $J$3, $K$3)&lt;=0),"",_xll.ciqfunctions.udf.CIQ($B16, "IQ_SGA_MARGIN", FO$3, $I$3, $N$3, , $J$3, $K$3)/100)),"")</f>
        <v/>
      </c>
      <c r="FP16" s="72" t="str">
        <f>IFERROR(IF(OR($B16="",FP$3=""),"",IF(AND($EW$4="No",_xll.ciqfunctions.udf.CIQ($B16, "IQ_SGA_MARGIN", FP$3, $I$3, $N$3, , $J$3, $K$3)&lt;=0),"",_xll.ciqfunctions.udf.CIQ($B16, "IQ_SGA_MARGIN", FP$3, $I$3, $N$3, , $J$3, $K$3)/100)),"")</f>
        <v/>
      </c>
      <c r="FQ16" s="86" t="str">
        <f>IFERROR(IF(OR($B16="",FQ$3=""),"",IF(AND($FQ$4="No",_xll.ciqfunctions.udf.CIQ($B16, "IQ_RD_EXP",FQ$3, $I$3, $N$3, , $J$3, $K$3)&lt;=0),"",_xll.ciqfunctions.udf.CIQ($B16, "IQ_RD_EXP",FQ$3, $I$3, $N$3, , $J$3, $K$3)/_xll.ciqfunctions.udf.CIQ($B16,"IQ_TOTAL_REV",FQ$3, $I$3, $N$3, , $J$3, $K$3))),"")</f>
        <v/>
      </c>
      <c r="FR16" s="87" t="str">
        <f>IFERROR(IF(OR($B16="",FR$3=""),"",IF(AND($FQ$4="No",_xll.ciqfunctions.udf.CIQ($B16, "IQ_RD_EXP",FR$3, $I$3, $N$3, , $J$3, $K$3)&lt;=0),"",_xll.ciqfunctions.udf.CIQ($B16, "IQ_RD_EXP",FR$3, $I$3, $N$3, , $J$3, $K$3)/_xll.ciqfunctions.udf.CIQ($B16,"IQ_TOTAL_REV",FR$3, $I$3, $N$3, , $J$3, $K$3))),"")</f>
        <v/>
      </c>
      <c r="FS16" s="87" t="str">
        <f>IFERROR(IF(OR($B16="",FS$3=""),"",IF(AND($FQ$4="No",_xll.ciqfunctions.udf.CIQ($B16, "IQ_RD_EXP",FS$3, $I$3, $N$3, , $J$3, $K$3)&lt;=0),"",_xll.ciqfunctions.udf.CIQ($B16, "IQ_RD_EXP",FS$3, $I$3, $N$3, , $J$3, $K$3)/_xll.ciqfunctions.udf.CIQ($B16,"IQ_TOTAL_REV",FS$3, $I$3, $N$3, , $J$3, $K$3))),"")</f>
        <v/>
      </c>
      <c r="FT16" s="87" t="str">
        <f>IFERROR(IF(OR($B16="",FT$3=""),"",IF(AND($FQ$4="No",_xll.ciqfunctions.udf.CIQ($B16, "IQ_RD_EXP",FT$3, $I$3, $N$3, , $J$3, $K$3)&lt;=0),"",_xll.ciqfunctions.udf.CIQ($B16, "IQ_RD_EXP",FT$3, $I$3, $N$3, , $J$3, $K$3)/_xll.ciqfunctions.udf.CIQ($B16,"IQ_TOTAL_REV",FT$3, $I$3, $N$3, , $J$3, $K$3))),"")</f>
        <v/>
      </c>
      <c r="FU16" s="87" t="str">
        <f>IFERROR(IF(OR($B16="",FU$3=""),"",IF(AND($FQ$4="No",_xll.ciqfunctions.udf.CIQ($B16, "IQ_RD_EXP",FU$3, $I$3, $N$3, , $J$3, $K$3)&lt;=0),"",_xll.ciqfunctions.udf.CIQ($B16, "IQ_RD_EXP",FU$3, $I$3, $N$3, , $J$3, $K$3)/_xll.ciqfunctions.udf.CIQ($B16,"IQ_TOTAL_REV",FU$3, $I$3, $N$3, , $J$3, $K$3))),"")</f>
        <v/>
      </c>
      <c r="FV16" s="87" t="str">
        <f>IFERROR(IF(OR($B16="",FV$3=""),"",IF(AND($FQ$4="No",_xll.ciqfunctions.udf.CIQ($B16, "IQ_RD_EXP",FV$3, $I$3, $N$3, , $J$3, $K$3)&lt;=0),"",_xll.ciqfunctions.udf.CIQ($B16, "IQ_RD_EXP",FV$3, $I$3, $N$3, , $J$3, $K$3)/_xll.ciqfunctions.udf.CIQ($B16,"IQ_TOTAL_REV",FV$3, $I$3, $N$3, , $J$3, $K$3))),"")</f>
        <v/>
      </c>
      <c r="FW16" s="87" t="str">
        <f>IFERROR(IF(OR($B16="",FW$3=""),"",IF(AND($FQ$4="No",_xll.ciqfunctions.udf.CIQ($B16, "IQ_RD_EXP",FW$3, $I$3, $N$3, , $J$3, $K$3)&lt;=0),"",_xll.ciqfunctions.udf.CIQ($B16, "IQ_RD_EXP",FW$3, $I$3, $N$3, , $J$3, $K$3)/_xll.ciqfunctions.udf.CIQ($B16,"IQ_TOTAL_REV",FW$3, $I$3, $N$3, , $J$3, $K$3))),"")</f>
        <v/>
      </c>
      <c r="FX16" s="87" t="str">
        <f>IFERROR(IF(OR($B16="",FX$3=""),"",IF(AND($FQ$4="No",_xll.ciqfunctions.udf.CIQ($B16, "IQ_RD_EXP",FX$3, $I$3, $N$3, , $J$3, $K$3)&lt;=0),"",_xll.ciqfunctions.udf.CIQ($B16, "IQ_RD_EXP",FX$3, $I$3, $N$3, , $J$3, $K$3)/_xll.ciqfunctions.udf.CIQ($B16,"IQ_TOTAL_REV",FX$3, $I$3, $N$3, , $J$3, $K$3))),"")</f>
        <v/>
      </c>
      <c r="FY16" s="87" t="str">
        <f>IFERROR(IF(OR($B16="",FY$3=""),"",IF(AND($FQ$4="No",_xll.ciqfunctions.udf.CIQ($B16, "IQ_RD_EXP",FY$3, $I$3, $N$3, , $J$3, $K$3)&lt;=0),"",_xll.ciqfunctions.udf.CIQ($B16, "IQ_RD_EXP",FY$3, $I$3, $N$3, , $J$3, $K$3)/_xll.ciqfunctions.udf.CIQ($B16,"IQ_TOTAL_REV",FY$3, $I$3, $N$3, , $J$3, $K$3))),"")</f>
        <v/>
      </c>
      <c r="FZ16" s="87" t="str">
        <f>IFERROR(IF(OR($B16="",FZ$3=""),"",IF(AND($FQ$4="No",_xll.ciqfunctions.udf.CIQ($B16, "IQ_RD_EXP",FZ$3, $I$3, $N$3, , $J$3, $K$3)&lt;=0),"",_xll.ciqfunctions.udf.CIQ($B16, "IQ_RD_EXP",FZ$3, $I$3, $N$3, , $J$3, $K$3)/_xll.ciqfunctions.udf.CIQ($B16,"IQ_TOTAL_REV",FZ$3, $I$3, $N$3, , $J$3, $K$3))),"")</f>
        <v/>
      </c>
      <c r="GA16" s="87" t="str">
        <f>IFERROR(IF(OR($B16="",GA$3=""),"",IF(AND($FQ$4="No",_xll.ciqfunctions.udf.CIQ($B16, "IQ_RD_EXP",GA$3, $I$3, $N$3, , $J$3, $K$3)&lt;=0),"",_xll.ciqfunctions.udf.CIQ($B16, "IQ_RD_EXP",GA$3, $I$3, $N$3, , $J$3, $K$3)/_xll.ciqfunctions.udf.CIQ($B16,"IQ_TOTAL_REV",GA$3, $I$3, $N$3, , $J$3, $K$3))),"")</f>
        <v/>
      </c>
      <c r="GB16" s="87" t="str">
        <f>IFERROR(IF(OR($B16="",GB$3=""),"",IF(AND($FQ$4="No",_xll.ciqfunctions.udf.CIQ($B16, "IQ_RD_EXP",GB$3, $I$3, $N$3, , $J$3, $K$3)&lt;=0),"",_xll.ciqfunctions.udf.CIQ($B16, "IQ_RD_EXP",GB$3, $I$3, $N$3, , $J$3, $K$3)/_xll.ciqfunctions.udf.CIQ($B16,"IQ_TOTAL_REV",GB$3, $I$3, $N$3, , $J$3, $K$3))),"")</f>
        <v/>
      </c>
      <c r="GC16" s="87" t="str">
        <f>IFERROR(IF(OR($B16="",GC$3=""),"",IF(AND($FQ$4="No",_xll.ciqfunctions.udf.CIQ($B16, "IQ_RD_EXP",GC$3, $I$3, $N$3, , $J$3, $K$3)&lt;=0),"",_xll.ciqfunctions.udf.CIQ($B16, "IQ_RD_EXP",GC$3, $I$3, $N$3, , $J$3, $K$3)/_xll.ciqfunctions.udf.CIQ($B16,"IQ_TOTAL_REV",GC$3, $I$3, $N$3, , $J$3, $K$3))),"")</f>
        <v/>
      </c>
      <c r="GD16" s="87" t="str">
        <f>IFERROR(IF(OR($B16="",GD$3=""),"",IF(AND($FQ$4="No",_xll.ciqfunctions.udf.CIQ($B16, "IQ_RD_EXP",GD$3, $I$3, $N$3, , $J$3, $K$3)&lt;=0),"",_xll.ciqfunctions.udf.CIQ($B16, "IQ_RD_EXP",GD$3, $I$3, $N$3, , $J$3, $K$3)/_xll.ciqfunctions.udf.CIQ($B16,"IQ_TOTAL_REV",GD$3, $I$3, $N$3, , $J$3, $K$3))),"")</f>
        <v/>
      </c>
      <c r="GE16" s="87" t="str">
        <f>IFERROR(IF(OR($B16="",GE$3=""),"",IF(AND($FQ$4="No",_xll.ciqfunctions.udf.CIQ($B16, "IQ_RD_EXP",GE$3, $I$3, $N$3, , $J$3, $K$3)&lt;=0),"",_xll.ciqfunctions.udf.CIQ($B16, "IQ_RD_EXP",GE$3, $I$3, $N$3, , $J$3, $K$3)/_xll.ciqfunctions.udf.CIQ($B16,"IQ_TOTAL_REV",GE$3, $I$3, $N$3, , $J$3, $K$3))),"")</f>
        <v/>
      </c>
      <c r="GF16" s="87" t="str">
        <f>IFERROR(IF(OR($B16="",GF$3=""),"",IF(AND($FQ$4="No",_xll.ciqfunctions.udf.CIQ($B16, "IQ_RD_EXP",GF$3, $I$3, $N$3, , $J$3, $K$3)&lt;=0),"",_xll.ciqfunctions.udf.CIQ($B16, "IQ_RD_EXP",GF$3, $I$3, $N$3, , $J$3, $K$3)/_xll.ciqfunctions.udf.CIQ($B16,"IQ_TOTAL_REV",GF$3, $I$3, $N$3, , $J$3, $K$3))),"")</f>
        <v/>
      </c>
      <c r="GG16" s="87" t="str">
        <f>IFERROR(IF(OR($B16="",GG$3=""),"",IF(AND($FQ$4="No",_xll.ciqfunctions.udf.CIQ($B16, "IQ_RD_EXP",GG$3, $I$3, $N$3, , $J$3, $K$3)&lt;=0),"",_xll.ciqfunctions.udf.CIQ($B16, "IQ_RD_EXP",GG$3, $I$3, $N$3, , $J$3, $K$3)/_xll.ciqfunctions.udf.CIQ($B16,"IQ_TOTAL_REV",GG$3, $I$3, $N$3, , $J$3, $K$3))),"")</f>
        <v/>
      </c>
      <c r="GH16" s="87" t="str">
        <f>IFERROR(IF(OR($B16="",GH$3=""),"",IF(AND($FQ$4="No",_xll.ciqfunctions.udf.CIQ($B16, "IQ_RD_EXP",GH$3, $I$3, $N$3, , $J$3, $K$3)&lt;=0),"",_xll.ciqfunctions.udf.CIQ($B16, "IQ_RD_EXP",GH$3, $I$3, $N$3, , $J$3, $K$3)/_xll.ciqfunctions.udf.CIQ($B16,"IQ_TOTAL_REV",GH$3, $I$3, $N$3, , $J$3, $K$3))),"")</f>
        <v/>
      </c>
      <c r="GI16" s="87" t="str">
        <f>IFERROR(IF(OR($B16="",GI$3=""),"",IF(AND($FQ$4="No",_xll.ciqfunctions.udf.CIQ($B16, "IQ_RD_EXP",GI$3, $I$3, $N$3, , $J$3, $K$3)&lt;=0),"",_xll.ciqfunctions.udf.CIQ($B16, "IQ_RD_EXP",GI$3, $I$3, $N$3, , $J$3, $K$3)/_xll.ciqfunctions.udf.CIQ($B16,"IQ_TOTAL_REV",GI$3, $I$3, $N$3, , $J$3, $K$3))),"")</f>
        <v/>
      </c>
      <c r="GJ16" s="88" t="str">
        <f>IFERROR(IF(OR($B16="",GJ$3=""),"",IF(AND($FQ$4="No",_xll.ciqfunctions.udf.CIQ($B16, "IQ_RD_EXP",GJ$3, $I$3, $N$3, , $J$3, $K$3)&lt;=0),"",_xll.ciqfunctions.udf.CIQ($B16, "IQ_RD_EXP",GJ$3, $I$3, $N$3, , $J$3, $K$3)/_xll.ciqfunctions.udf.CIQ($B16,"IQ_TOTAL_REV",GJ$3, $I$3, $N$3, , $J$3, $K$3))),"")</f>
        <v/>
      </c>
      <c r="GK16" s="89" t="str">
        <f>IFERROR(IF(OR($B16="",GK$3=""),"",IF(AND($GK$4="No",(_xll.ciqfunctions.udf.CIQ($B16,"IQ_AR",GK$3, $I$3, $N$3, , $J$3, $K$3)+_xll.ciqfunctions.udf.CIQ($B16,"IQ_AR","IQ_" &amp; LEFT(GK$3,2) &amp; "-1",GK$3, $N$3, , $J$3, $K$3))&lt;=0),"",$GK$2*0.5*(_xll.ciqfunctions.udf.CIQ($B16,"IQ_AR",GK$3, $I$3, $N$3, , $J$3, $K$3)+_xll.ciqfunctions.udf.CIQ($B16,"IQ_AR","IQ_" &amp; LEFT(GK$3,2) &amp; "-1",GK$3, $N$3, , $J$3, $K$3))/_xll.ciqfunctions.udf.CIQ($B16,"IQ_TOTAL_REVENUE",GK$3, $I$3, $N$3, , $J$3, $K$3))),"")</f>
        <v/>
      </c>
      <c r="GL16" s="90" t="str">
        <f>IFERROR(IF(OR($B16="",GL$3=""),"",IF(AND($GK$4="No",(_xll.ciqfunctions.udf.CIQ($B16,"IQ_AR",GL$3, $I$3, $N$3, , $J$3, $K$3)+_xll.ciqfunctions.udf.CIQ($B16,"IQ_AR","IQ_" &amp; LEFT(GL$3,2) &amp; "-1",GL$3, $N$3, , $J$3, $K$3))&lt;=0),"",$GK$2*0.5*(_xll.ciqfunctions.udf.CIQ($B16,"IQ_AR",GL$3, $I$3, $N$3, , $J$3, $K$3)+_xll.ciqfunctions.udf.CIQ($B16,"IQ_AR","IQ_" &amp; LEFT(GL$3,2) &amp; "-1",GL$3, $N$3, , $J$3, $K$3))/_xll.ciqfunctions.udf.CIQ($B16,"IQ_TOTAL_REVENUE",GL$3, $I$3, $N$3, , $J$3, $K$3))),"")</f>
        <v/>
      </c>
      <c r="GM16" s="90" t="str">
        <f>IFERROR(IF(OR($B16="",GM$3=""),"",IF(AND($GK$4="No",(_xll.ciqfunctions.udf.CIQ($B16,"IQ_AR",GM$3, $I$3, $N$3, , $J$3, $K$3)+_xll.ciqfunctions.udf.CIQ($B16,"IQ_AR","IQ_" &amp; LEFT(GM$3,2) &amp; "-1",GM$3, $N$3, , $J$3, $K$3))&lt;=0),"",$GK$2*0.5*(_xll.ciqfunctions.udf.CIQ($B16,"IQ_AR",GM$3, $I$3, $N$3, , $J$3, $K$3)+_xll.ciqfunctions.udf.CIQ($B16,"IQ_AR","IQ_" &amp; LEFT(GM$3,2) &amp; "-1",GM$3, $N$3, , $J$3, $K$3))/_xll.ciqfunctions.udf.CIQ($B16,"IQ_TOTAL_REVENUE",GM$3, $I$3, $N$3, , $J$3, $K$3))),"")</f>
        <v/>
      </c>
      <c r="GN16" s="90" t="str">
        <f>IFERROR(IF(OR($B16="",GN$3=""),"",IF(AND($GK$4="No",(_xll.ciqfunctions.udf.CIQ($B16,"IQ_AR",GN$3, $I$3, $N$3, , $J$3, $K$3)+_xll.ciqfunctions.udf.CIQ($B16,"IQ_AR","IQ_" &amp; LEFT(GN$3,2) &amp; "-1",GN$3, $N$3, , $J$3, $K$3))&lt;=0),"",$GK$2*0.5*(_xll.ciqfunctions.udf.CIQ($B16,"IQ_AR",GN$3, $I$3, $N$3, , $J$3, $K$3)+_xll.ciqfunctions.udf.CIQ($B16,"IQ_AR","IQ_" &amp; LEFT(GN$3,2) &amp; "-1",GN$3, $N$3, , $J$3, $K$3))/_xll.ciqfunctions.udf.CIQ($B16,"IQ_TOTAL_REVENUE",GN$3, $I$3, $N$3, , $J$3, $K$3))),"")</f>
        <v/>
      </c>
      <c r="GO16" s="90" t="str">
        <f>IFERROR(IF(OR($B16="",GO$3=""),"",IF(AND($GK$4="No",(_xll.ciqfunctions.udf.CIQ($B16,"IQ_AR",GO$3, $I$3, $N$3, , $J$3, $K$3)+_xll.ciqfunctions.udf.CIQ($B16,"IQ_AR","IQ_" &amp; LEFT(GO$3,2) &amp; "-1",GO$3, $N$3, , $J$3, $K$3))&lt;=0),"",$GK$2*0.5*(_xll.ciqfunctions.udf.CIQ($B16,"IQ_AR",GO$3, $I$3, $N$3, , $J$3, $K$3)+_xll.ciqfunctions.udf.CIQ($B16,"IQ_AR","IQ_" &amp; LEFT(GO$3,2) &amp; "-1",GO$3, $N$3, , $J$3, $K$3))/_xll.ciqfunctions.udf.CIQ($B16,"IQ_TOTAL_REVENUE",GO$3, $I$3, $N$3, , $J$3, $K$3))),"")</f>
        <v/>
      </c>
      <c r="GP16" s="90" t="str">
        <f>IFERROR(IF(OR($B16="",GP$3=""),"",IF(AND($GK$4="No",(_xll.ciqfunctions.udf.CIQ($B16,"IQ_AR",GP$3, $I$3, $N$3, , $J$3, $K$3)+_xll.ciqfunctions.udf.CIQ($B16,"IQ_AR","IQ_" &amp; LEFT(GP$3,2) &amp; "-1",GP$3, $N$3, , $J$3, $K$3))&lt;=0),"",$GK$2*0.5*(_xll.ciqfunctions.udf.CIQ($B16,"IQ_AR",GP$3, $I$3, $N$3, , $J$3, $K$3)+_xll.ciqfunctions.udf.CIQ($B16,"IQ_AR","IQ_" &amp; LEFT(GP$3,2) &amp; "-1",GP$3, $N$3, , $J$3, $K$3))/_xll.ciqfunctions.udf.CIQ($B16,"IQ_TOTAL_REVENUE",GP$3, $I$3, $N$3, , $J$3, $K$3))),"")</f>
        <v/>
      </c>
      <c r="GQ16" s="90" t="str">
        <f>IFERROR(IF(OR($B16="",GQ$3=""),"",IF(AND($GK$4="No",(_xll.ciqfunctions.udf.CIQ($B16,"IQ_AR",GQ$3, $I$3, $N$3, , $J$3, $K$3)+_xll.ciqfunctions.udf.CIQ($B16,"IQ_AR","IQ_" &amp; LEFT(GQ$3,2) &amp; "-1",GQ$3, $N$3, , $J$3, $K$3))&lt;=0),"",$GK$2*0.5*(_xll.ciqfunctions.udf.CIQ($B16,"IQ_AR",GQ$3, $I$3, $N$3, , $J$3, $K$3)+_xll.ciqfunctions.udf.CIQ($B16,"IQ_AR","IQ_" &amp; LEFT(GQ$3,2) &amp; "-1",GQ$3, $N$3, , $J$3, $K$3))/_xll.ciqfunctions.udf.CIQ($B16,"IQ_TOTAL_REVENUE",GQ$3, $I$3, $N$3, , $J$3, $K$3))),"")</f>
        <v/>
      </c>
      <c r="GR16" s="90" t="str">
        <f>IFERROR(IF(OR($B16="",GR$3=""),"",IF(AND($GK$4="No",(_xll.ciqfunctions.udf.CIQ($B16,"IQ_AR",GR$3, $I$3, $N$3, , $J$3, $K$3)+_xll.ciqfunctions.udf.CIQ($B16,"IQ_AR","IQ_" &amp; LEFT(GR$3,2) &amp; "-1",GR$3, $N$3, , $J$3, $K$3))&lt;=0),"",$GK$2*0.5*(_xll.ciqfunctions.udf.CIQ($B16,"IQ_AR",GR$3, $I$3, $N$3, , $J$3, $K$3)+_xll.ciqfunctions.udf.CIQ($B16,"IQ_AR","IQ_" &amp; LEFT(GR$3,2) &amp; "-1",GR$3, $N$3, , $J$3, $K$3))/_xll.ciqfunctions.udf.CIQ($B16,"IQ_TOTAL_REVENUE",GR$3, $I$3, $N$3, , $J$3, $K$3))),"")</f>
        <v/>
      </c>
      <c r="GS16" s="90" t="str">
        <f>IFERROR(IF(OR($B16="",GS$3=""),"",IF(AND($GK$4="No",(_xll.ciqfunctions.udf.CIQ($B16,"IQ_AR",GS$3, $I$3, $N$3, , $J$3, $K$3)+_xll.ciqfunctions.udf.CIQ($B16,"IQ_AR","IQ_" &amp; LEFT(GS$3,2) &amp; "-1",GS$3, $N$3, , $J$3, $K$3))&lt;=0),"",$GK$2*0.5*(_xll.ciqfunctions.udf.CIQ($B16,"IQ_AR",GS$3, $I$3, $N$3, , $J$3, $K$3)+_xll.ciqfunctions.udf.CIQ($B16,"IQ_AR","IQ_" &amp; LEFT(GS$3,2) &amp; "-1",GS$3, $N$3, , $J$3, $K$3))/_xll.ciqfunctions.udf.CIQ($B16,"IQ_TOTAL_REVENUE",GS$3, $I$3, $N$3, , $J$3, $K$3))),"")</f>
        <v/>
      </c>
      <c r="GT16" s="90" t="str">
        <f>IFERROR(IF(OR($B16="",GT$3=""),"",IF(AND($GK$4="No",(_xll.ciqfunctions.udf.CIQ($B16,"IQ_AR",GT$3, $I$3, $N$3, , $J$3, $K$3)+_xll.ciqfunctions.udf.CIQ($B16,"IQ_AR","IQ_" &amp; LEFT(GT$3,2) &amp; "-1",GT$3, $N$3, , $J$3, $K$3))&lt;=0),"",$GK$2*0.5*(_xll.ciqfunctions.udf.CIQ($B16,"IQ_AR",GT$3, $I$3, $N$3, , $J$3, $K$3)+_xll.ciqfunctions.udf.CIQ($B16,"IQ_AR","IQ_" &amp; LEFT(GT$3,2) &amp; "-1",GT$3, $N$3, , $J$3, $K$3))/_xll.ciqfunctions.udf.CIQ($B16,"IQ_TOTAL_REVENUE",GT$3, $I$3, $N$3, , $J$3, $K$3))),"")</f>
        <v/>
      </c>
      <c r="GU16" s="90" t="str">
        <f>IFERROR(IF(OR($B16="",GU$3=""),"",IF(AND($GK$4="No",(_xll.ciqfunctions.udf.CIQ($B16,"IQ_AR",GU$3, $I$3, $N$3, , $J$3, $K$3)+_xll.ciqfunctions.udf.CIQ($B16,"IQ_AR","IQ_" &amp; LEFT(GU$3,2) &amp; "-1",GU$3, $N$3, , $J$3, $K$3))&lt;=0),"",$GK$2*0.5*(_xll.ciqfunctions.udf.CIQ($B16,"IQ_AR",GU$3, $I$3, $N$3, , $J$3, $K$3)+_xll.ciqfunctions.udf.CIQ($B16,"IQ_AR","IQ_" &amp; LEFT(GU$3,2) &amp; "-1",GU$3, $N$3, , $J$3, $K$3))/_xll.ciqfunctions.udf.CIQ($B16,"IQ_TOTAL_REVENUE",GU$3, $I$3, $N$3, , $J$3, $K$3))),"")</f>
        <v/>
      </c>
      <c r="GV16" s="90" t="str">
        <f>IFERROR(IF(OR($B16="",GV$3=""),"",IF(AND($GK$4="No",(_xll.ciqfunctions.udf.CIQ($B16,"IQ_AR",GV$3, $I$3, $N$3, , $J$3, $K$3)+_xll.ciqfunctions.udf.CIQ($B16,"IQ_AR","IQ_" &amp; LEFT(GV$3,2) &amp; "-1",GV$3, $N$3, , $J$3, $K$3))&lt;=0),"",$GK$2*0.5*(_xll.ciqfunctions.udf.CIQ($B16,"IQ_AR",GV$3, $I$3, $N$3, , $J$3, $K$3)+_xll.ciqfunctions.udf.CIQ($B16,"IQ_AR","IQ_" &amp; LEFT(GV$3,2) &amp; "-1",GV$3, $N$3, , $J$3, $K$3))/_xll.ciqfunctions.udf.CIQ($B16,"IQ_TOTAL_REVENUE",GV$3, $I$3, $N$3, , $J$3, $K$3))),"")</f>
        <v/>
      </c>
      <c r="GW16" s="90" t="str">
        <f>IFERROR(IF(OR($B16="",GW$3=""),"",IF(AND($GK$4="No",(_xll.ciqfunctions.udf.CIQ($B16,"IQ_AR",GW$3, $I$3, $N$3, , $J$3, $K$3)+_xll.ciqfunctions.udf.CIQ($B16,"IQ_AR","IQ_" &amp; LEFT(GW$3,2) &amp; "-1",GW$3, $N$3, , $J$3, $K$3))&lt;=0),"",$GK$2*0.5*(_xll.ciqfunctions.udf.CIQ($B16,"IQ_AR",GW$3, $I$3, $N$3, , $J$3, $K$3)+_xll.ciqfunctions.udf.CIQ($B16,"IQ_AR","IQ_" &amp; LEFT(GW$3,2) &amp; "-1",GW$3, $N$3, , $J$3, $K$3))/_xll.ciqfunctions.udf.CIQ($B16,"IQ_TOTAL_REVENUE",GW$3, $I$3, $N$3, , $J$3, $K$3))),"")</f>
        <v/>
      </c>
      <c r="GX16" s="90" t="str">
        <f>IFERROR(IF(OR($B16="",GX$3=""),"",IF(AND($GK$4="No",(_xll.ciqfunctions.udf.CIQ($B16,"IQ_AR",GX$3, $I$3, $N$3, , $J$3, $K$3)+_xll.ciqfunctions.udf.CIQ($B16,"IQ_AR","IQ_" &amp; LEFT(GX$3,2) &amp; "-1",GX$3, $N$3, , $J$3, $K$3))&lt;=0),"",$GK$2*0.5*(_xll.ciqfunctions.udf.CIQ($B16,"IQ_AR",GX$3, $I$3, $N$3, , $J$3, $K$3)+_xll.ciqfunctions.udf.CIQ($B16,"IQ_AR","IQ_" &amp; LEFT(GX$3,2) &amp; "-1",GX$3, $N$3, , $J$3, $K$3))/_xll.ciqfunctions.udf.CIQ($B16,"IQ_TOTAL_REVENUE",GX$3, $I$3, $N$3, , $J$3, $K$3))),"")</f>
        <v/>
      </c>
      <c r="GY16" s="90" t="str">
        <f>IFERROR(IF(OR($B16="",GY$3=""),"",IF(AND($GK$4="No",(_xll.ciqfunctions.udf.CIQ($B16,"IQ_AR",GY$3, $I$3, $N$3, , $J$3, $K$3)+_xll.ciqfunctions.udf.CIQ($B16,"IQ_AR","IQ_" &amp; LEFT(GY$3,2) &amp; "-1",GY$3, $N$3, , $J$3, $K$3))&lt;=0),"",$GK$2*0.5*(_xll.ciqfunctions.udf.CIQ($B16,"IQ_AR",GY$3, $I$3, $N$3, , $J$3, $K$3)+_xll.ciqfunctions.udf.CIQ($B16,"IQ_AR","IQ_" &amp; LEFT(GY$3,2) &amp; "-1",GY$3, $N$3, , $J$3, $K$3))/_xll.ciqfunctions.udf.CIQ($B16,"IQ_TOTAL_REVENUE",GY$3, $I$3, $N$3, , $J$3, $K$3))),"")</f>
        <v/>
      </c>
      <c r="GZ16" s="90" t="str">
        <f>IFERROR(IF(OR($B16="",GZ$3=""),"",IF(AND($GK$4="No",(_xll.ciqfunctions.udf.CIQ($B16,"IQ_AR",GZ$3, $I$3, $N$3, , $J$3, $K$3)+_xll.ciqfunctions.udf.CIQ($B16,"IQ_AR","IQ_" &amp; LEFT(GZ$3,2) &amp; "-1",GZ$3, $N$3, , $J$3, $K$3))&lt;=0),"",$GK$2*0.5*(_xll.ciqfunctions.udf.CIQ($B16,"IQ_AR",GZ$3, $I$3, $N$3, , $J$3, $K$3)+_xll.ciqfunctions.udf.CIQ($B16,"IQ_AR","IQ_" &amp; LEFT(GZ$3,2) &amp; "-1",GZ$3, $N$3, , $J$3, $K$3))/_xll.ciqfunctions.udf.CIQ($B16,"IQ_TOTAL_REVENUE",GZ$3, $I$3, $N$3, , $J$3, $K$3))),"")</f>
        <v/>
      </c>
      <c r="HA16" s="90" t="str">
        <f>IFERROR(IF(OR($B16="",HA$3=""),"",IF(AND($GK$4="No",(_xll.ciqfunctions.udf.CIQ($B16,"IQ_AR",HA$3, $I$3, $N$3, , $J$3, $K$3)+_xll.ciqfunctions.udf.CIQ($B16,"IQ_AR","IQ_" &amp; LEFT(HA$3,2) &amp; "-1",HA$3, $N$3, , $J$3, $K$3))&lt;=0),"",$GK$2*0.5*(_xll.ciqfunctions.udf.CIQ($B16,"IQ_AR",HA$3, $I$3, $N$3, , $J$3, $K$3)+_xll.ciqfunctions.udf.CIQ($B16,"IQ_AR","IQ_" &amp; LEFT(HA$3,2) &amp; "-1",HA$3, $N$3, , $J$3, $K$3))/_xll.ciqfunctions.udf.CIQ($B16,"IQ_TOTAL_REVENUE",HA$3, $I$3, $N$3, , $J$3, $K$3))),"")</f>
        <v/>
      </c>
      <c r="HB16" s="90" t="str">
        <f>IFERROR(IF(OR($B16="",HB$3=""),"",IF(AND($GK$4="No",(_xll.ciqfunctions.udf.CIQ($B16,"IQ_AR",HB$3, $I$3, $N$3, , $J$3, $K$3)+_xll.ciqfunctions.udf.CIQ($B16,"IQ_AR","IQ_" &amp; LEFT(HB$3,2) &amp; "-1",HB$3, $N$3, , $J$3, $K$3))&lt;=0),"",$GK$2*0.5*(_xll.ciqfunctions.udf.CIQ($B16,"IQ_AR",HB$3, $I$3, $N$3, , $J$3, $K$3)+_xll.ciqfunctions.udf.CIQ($B16,"IQ_AR","IQ_" &amp; LEFT(HB$3,2) &amp; "-1",HB$3, $N$3, , $J$3, $K$3))/_xll.ciqfunctions.udf.CIQ($B16,"IQ_TOTAL_REVENUE",HB$3, $I$3, $N$3, , $J$3, $K$3))),"")</f>
        <v/>
      </c>
      <c r="HC16" s="90" t="str">
        <f>IFERROR(IF(OR($B16="",HC$3=""),"",IF(AND($GK$4="No",(_xll.ciqfunctions.udf.CIQ($B16,"IQ_AR",HC$3, $I$3, $N$3, , $J$3, $K$3)+_xll.ciqfunctions.udf.CIQ($B16,"IQ_AR","IQ_" &amp; LEFT(HC$3,2) &amp; "-1",HC$3, $N$3, , $J$3, $K$3))&lt;=0),"",$GK$2*0.5*(_xll.ciqfunctions.udf.CIQ($B16,"IQ_AR",HC$3, $I$3, $N$3, , $J$3, $K$3)+_xll.ciqfunctions.udf.CIQ($B16,"IQ_AR","IQ_" &amp; LEFT(HC$3,2) &amp; "-1",HC$3, $N$3, , $J$3, $K$3))/_xll.ciqfunctions.udf.CIQ($B16,"IQ_TOTAL_REVENUE",HC$3, $I$3, $N$3, , $J$3, $K$3))),"")</f>
        <v/>
      </c>
      <c r="HD16" s="91" t="str">
        <f>IFERROR(IF(OR($B16="",HD$3=""),"",IF(AND($GK$4="No",(_xll.ciqfunctions.udf.CIQ($B16,"IQ_AR",HD$3, $I$3, $N$3, , $J$3, $K$3)+_xll.ciqfunctions.udf.CIQ($B16,"IQ_AR","IQ_" &amp; LEFT(HD$3,2) &amp; "-1",HD$3, $N$3, , $J$3, $K$3))&lt;=0),"",$GK$2*0.5*(_xll.ciqfunctions.udf.CIQ($B16,"IQ_AR",HD$3, $I$3, $N$3, , $J$3, $K$3)+_xll.ciqfunctions.udf.CIQ($B16,"IQ_AR","IQ_" &amp; LEFT(HD$3,2) &amp; "-1",HD$3, $N$3, , $J$3, $K$3))/_xll.ciqfunctions.udf.CIQ($B16,"IQ_TOTAL_REVENUE",HD$3, $I$3, $N$3, , $J$3, $K$3))),"")</f>
        <v/>
      </c>
      <c r="HE16" s="89" t="str">
        <f>IFERROR(IF(OR($B16="",HE$3=""),"",IF(AND($HE$4="No",(_xll.ciqfunctions.udf.CIQ($B16,"IQ_INVENTORY",HE$3,$I$3, $N$3, , $J$3, $K$3)+_xll.ciqfunctions.udf.CIQ($B16,"IQ_INVENTORY","IQ_" &amp; LEFT(HE$3,2) &amp; "-1", HE$3, $N$3, , $J$3, $K$3))&lt;=0),0,$HE$2*0.5*(_xll.ciqfunctions.udf.CIQ($B16,"IQ_INVENTORY",HE$3,$I$3, $N$3, , $J$3, $K$3)+_xll.ciqfunctions.udf.CIQ($B16,"IQ_INVENTORY","IQ_" &amp; LEFT(HE$3,2) &amp; "-1", HE$3, $N$3, , $J$3, $K$3))/_xll.ciqfunctions.udf.CIQ($B16,"IQ_COGS",HE$3,$I$3, $N$3, , $J$3, $K$3))),"")</f>
        <v/>
      </c>
      <c r="HF16" s="90" t="str">
        <f>IFERROR(IF(OR($B16="",HF$3=""),"",IF(AND($HE$4="No",(_xll.ciqfunctions.udf.CIQ($B16,"IQ_INVENTORY",HF$3,$I$3, $N$3, , $J$3, $K$3)+_xll.ciqfunctions.udf.CIQ($B16,"IQ_INVENTORY","IQ_" &amp; LEFT(HF$3,2) &amp; "-1", HF$3, $N$3, , $J$3, $K$3))&lt;=0),0,$HE$2*0.5*(_xll.ciqfunctions.udf.CIQ($B16,"IQ_INVENTORY",HF$3,$I$3, $N$3, , $J$3, $K$3)+_xll.ciqfunctions.udf.CIQ($B16,"IQ_INVENTORY","IQ_" &amp; LEFT(HF$3,2) &amp; "-1", HF$3, $N$3, , $J$3, $K$3))/_xll.ciqfunctions.udf.CIQ($B16,"IQ_COGS",HF$3,$I$3, $N$3, , $J$3, $K$3))),"")</f>
        <v/>
      </c>
      <c r="HG16" s="90" t="str">
        <f>IFERROR(IF(OR($B16="",HG$3=""),"",IF(AND($HE$4="No",(_xll.ciqfunctions.udf.CIQ($B16,"IQ_INVENTORY",HG$3,$I$3, $N$3, , $J$3, $K$3)+_xll.ciqfunctions.udf.CIQ($B16,"IQ_INVENTORY","IQ_" &amp; LEFT(HG$3,2) &amp; "-1", HG$3, $N$3, , $J$3, $K$3))&lt;=0),0,$HE$2*0.5*(_xll.ciqfunctions.udf.CIQ($B16,"IQ_INVENTORY",HG$3,$I$3, $N$3, , $J$3, $K$3)+_xll.ciqfunctions.udf.CIQ($B16,"IQ_INVENTORY","IQ_" &amp; LEFT(HG$3,2) &amp; "-1", HG$3, $N$3, , $J$3, $K$3))/_xll.ciqfunctions.udf.CIQ($B16,"IQ_COGS",HG$3,$I$3, $N$3, , $J$3, $K$3))),"")</f>
        <v/>
      </c>
      <c r="HH16" s="90" t="str">
        <f>IFERROR(IF(OR($B16="",HH$3=""),"",IF(AND($HE$4="No",(_xll.ciqfunctions.udf.CIQ($B16,"IQ_INVENTORY",HH$3,$I$3, $N$3, , $J$3, $K$3)+_xll.ciqfunctions.udf.CIQ($B16,"IQ_INVENTORY","IQ_" &amp; LEFT(HH$3,2) &amp; "-1", HH$3, $N$3, , $J$3, $K$3))&lt;=0),0,$HE$2*0.5*(_xll.ciqfunctions.udf.CIQ($B16,"IQ_INVENTORY",HH$3,$I$3, $N$3, , $J$3, $K$3)+_xll.ciqfunctions.udf.CIQ($B16,"IQ_INVENTORY","IQ_" &amp; LEFT(HH$3,2) &amp; "-1", HH$3, $N$3, , $J$3, $K$3))/_xll.ciqfunctions.udf.CIQ($B16,"IQ_COGS",HH$3,$I$3, $N$3, , $J$3, $K$3))),"")</f>
        <v/>
      </c>
      <c r="HI16" s="90" t="str">
        <f>IFERROR(IF(OR($B16="",HI$3=""),"",IF(AND($HE$4="No",(_xll.ciqfunctions.udf.CIQ($B16,"IQ_INVENTORY",HI$3,$I$3, $N$3, , $J$3, $K$3)+_xll.ciqfunctions.udf.CIQ($B16,"IQ_INVENTORY","IQ_" &amp; LEFT(HI$3,2) &amp; "-1", HI$3, $N$3, , $J$3, $K$3))&lt;=0),0,$HE$2*0.5*(_xll.ciqfunctions.udf.CIQ($B16,"IQ_INVENTORY",HI$3,$I$3, $N$3, , $J$3, $K$3)+_xll.ciqfunctions.udf.CIQ($B16,"IQ_INVENTORY","IQ_" &amp; LEFT(HI$3,2) &amp; "-1", HI$3, $N$3, , $J$3, $K$3))/_xll.ciqfunctions.udf.CIQ($B16,"IQ_COGS",HI$3,$I$3, $N$3, , $J$3, $K$3))),"")</f>
        <v/>
      </c>
      <c r="HJ16" s="90" t="str">
        <f>IFERROR(IF(OR($B16="",HJ$3=""),"",IF(AND($HE$4="No",(_xll.ciqfunctions.udf.CIQ($B16,"IQ_INVENTORY",HJ$3,$I$3, $N$3, , $J$3, $K$3)+_xll.ciqfunctions.udf.CIQ($B16,"IQ_INVENTORY","IQ_" &amp; LEFT(HJ$3,2) &amp; "-1", HJ$3, $N$3, , $J$3, $K$3))&lt;=0),0,$HE$2*0.5*(_xll.ciqfunctions.udf.CIQ($B16,"IQ_INVENTORY",HJ$3,$I$3, $N$3, , $J$3, $K$3)+_xll.ciqfunctions.udf.CIQ($B16,"IQ_INVENTORY","IQ_" &amp; LEFT(HJ$3,2) &amp; "-1", HJ$3, $N$3, , $J$3, $K$3))/_xll.ciqfunctions.udf.CIQ($B16,"IQ_COGS",HJ$3,$I$3, $N$3, , $J$3, $K$3))),"")</f>
        <v/>
      </c>
      <c r="HK16" s="90" t="str">
        <f>IFERROR(IF(OR($B16="",HK$3=""),"",IF(AND($HE$4="No",(_xll.ciqfunctions.udf.CIQ($B16,"IQ_INVENTORY",HK$3,$I$3, $N$3, , $J$3, $K$3)+_xll.ciqfunctions.udf.CIQ($B16,"IQ_INVENTORY","IQ_" &amp; LEFT(HK$3,2) &amp; "-1", HK$3, $N$3, , $J$3, $K$3))&lt;=0),0,$HE$2*0.5*(_xll.ciqfunctions.udf.CIQ($B16,"IQ_INVENTORY",HK$3,$I$3, $N$3, , $J$3, $K$3)+_xll.ciqfunctions.udf.CIQ($B16,"IQ_INVENTORY","IQ_" &amp; LEFT(HK$3,2) &amp; "-1", HK$3, $N$3, , $J$3, $K$3))/_xll.ciqfunctions.udf.CIQ($B16,"IQ_COGS",HK$3,$I$3, $N$3, , $J$3, $K$3))),"")</f>
        <v/>
      </c>
      <c r="HL16" s="90" t="str">
        <f>IFERROR(IF(OR($B16="",HL$3=""),"",IF(AND($HE$4="No",(_xll.ciqfunctions.udf.CIQ($B16,"IQ_INVENTORY",HL$3,$I$3, $N$3, , $J$3, $K$3)+_xll.ciqfunctions.udf.CIQ($B16,"IQ_INVENTORY","IQ_" &amp; LEFT(HL$3,2) &amp; "-1", HL$3, $N$3, , $J$3, $K$3))&lt;=0),0,$HE$2*0.5*(_xll.ciqfunctions.udf.CIQ($B16,"IQ_INVENTORY",HL$3,$I$3, $N$3, , $J$3, $K$3)+_xll.ciqfunctions.udf.CIQ($B16,"IQ_INVENTORY","IQ_" &amp; LEFT(HL$3,2) &amp; "-1", HL$3, $N$3, , $J$3, $K$3))/_xll.ciqfunctions.udf.CIQ($B16,"IQ_COGS",HL$3,$I$3, $N$3, , $J$3, $K$3))),"")</f>
        <v/>
      </c>
      <c r="HM16" s="90" t="str">
        <f>IFERROR(IF(OR($B16="",HM$3=""),"",IF(AND($HE$4="No",(_xll.ciqfunctions.udf.CIQ($B16,"IQ_INVENTORY",HM$3,$I$3, $N$3, , $J$3, $K$3)+_xll.ciqfunctions.udf.CIQ($B16,"IQ_INVENTORY","IQ_" &amp; LEFT(HM$3,2) &amp; "-1", HM$3, $N$3, , $J$3, $K$3))&lt;=0),0,$HE$2*0.5*(_xll.ciqfunctions.udf.CIQ($B16,"IQ_INVENTORY",HM$3,$I$3, $N$3, , $J$3, $K$3)+_xll.ciqfunctions.udf.CIQ($B16,"IQ_INVENTORY","IQ_" &amp; LEFT(HM$3,2) &amp; "-1", HM$3, $N$3, , $J$3, $K$3))/_xll.ciqfunctions.udf.CIQ($B16,"IQ_COGS",HM$3,$I$3, $N$3, , $J$3, $K$3))),"")</f>
        <v/>
      </c>
      <c r="HN16" s="90" t="str">
        <f>IFERROR(IF(OR($B16="",HN$3=""),"",IF(AND($HE$4="No",(_xll.ciqfunctions.udf.CIQ($B16,"IQ_INVENTORY",HN$3,$I$3, $N$3, , $J$3, $K$3)+_xll.ciqfunctions.udf.CIQ($B16,"IQ_INVENTORY","IQ_" &amp; LEFT(HN$3,2) &amp; "-1", HN$3, $N$3, , $J$3, $K$3))&lt;=0),0,$HE$2*0.5*(_xll.ciqfunctions.udf.CIQ($B16,"IQ_INVENTORY",HN$3,$I$3, $N$3, , $J$3, $K$3)+_xll.ciqfunctions.udf.CIQ($B16,"IQ_INVENTORY","IQ_" &amp; LEFT(HN$3,2) &amp; "-1", HN$3, $N$3, , $J$3, $K$3))/_xll.ciqfunctions.udf.CIQ($B16,"IQ_COGS",HN$3,$I$3, $N$3, , $J$3, $K$3))),"")</f>
        <v/>
      </c>
      <c r="HO16" s="90" t="str">
        <f>IFERROR(IF(OR($B16="",HO$3=""),"",IF(AND($HE$4="No",(_xll.ciqfunctions.udf.CIQ($B16,"IQ_INVENTORY",HO$3,$I$3, $N$3, , $J$3, $K$3)+_xll.ciqfunctions.udf.CIQ($B16,"IQ_INVENTORY","IQ_" &amp; LEFT(HO$3,2) &amp; "-1", HO$3, $N$3, , $J$3, $K$3))&lt;=0),0,$HE$2*0.5*(_xll.ciqfunctions.udf.CIQ($B16,"IQ_INVENTORY",HO$3,$I$3, $N$3, , $J$3, $K$3)+_xll.ciqfunctions.udf.CIQ($B16,"IQ_INVENTORY","IQ_" &amp; LEFT(HO$3,2) &amp; "-1", HO$3, $N$3, , $J$3, $K$3))/_xll.ciqfunctions.udf.CIQ($B16,"IQ_COGS",HO$3,$I$3, $N$3, , $J$3, $K$3))),"")</f>
        <v/>
      </c>
      <c r="HP16" s="90" t="str">
        <f>IFERROR(IF(OR($B16="",HP$3=""),"",IF(AND($HE$4="No",(_xll.ciqfunctions.udf.CIQ($B16,"IQ_INVENTORY",HP$3,$I$3, $N$3, , $J$3, $K$3)+_xll.ciqfunctions.udf.CIQ($B16,"IQ_INVENTORY","IQ_" &amp; LEFT(HP$3,2) &amp; "-1", HP$3, $N$3, , $J$3, $K$3))&lt;=0),0,$HE$2*0.5*(_xll.ciqfunctions.udf.CIQ($B16,"IQ_INVENTORY",HP$3,$I$3, $N$3, , $J$3, $K$3)+_xll.ciqfunctions.udf.CIQ($B16,"IQ_INVENTORY","IQ_" &amp; LEFT(HP$3,2) &amp; "-1", HP$3, $N$3, , $J$3, $K$3))/_xll.ciqfunctions.udf.CIQ($B16,"IQ_COGS",HP$3,$I$3, $N$3, , $J$3, $K$3))),"")</f>
        <v/>
      </c>
      <c r="HQ16" s="90" t="str">
        <f>IFERROR(IF(OR($B16="",HQ$3=""),"",IF(AND($HE$4="No",(_xll.ciqfunctions.udf.CIQ($B16,"IQ_INVENTORY",HQ$3,$I$3, $N$3, , $J$3, $K$3)+_xll.ciqfunctions.udf.CIQ($B16,"IQ_INVENTORY","IQ_" &amp; LEFT(HQ$3,2) &amp; "-1", HQ$3, $N$3, , $J$3, $K$3))&lt;=0),0,$HE$2*0.5*(_xll.ciqfunctions.udf.CIQ($B16,"IQ_INVENTORY",HQ$3,$I$3, $N$3, , $J$3, $K$3)+_xll.ciqfunctions.udf.CIQ($B16,"IQ_INVENTORY","IQ_" &amp; LEFT(HQ$3,2) &amp; "-1", HQ$3, $N$3, , $J$3, $K$3))/_xll.ciqfunctions.udf.CIQ($B16,"IQ_COGS",HQ$3,$I$3, $N$3, , $J$3, $K$3))),"")</f>
        <v/>
      </c>
      <c r="HR16" s="90" t="str">
        <f>IFERROR(IF(OR($B16="",HR$3=""),"",IF(AND($HE$4="No",(_xll.ciqfunctions.udf.CIQ($B16,"IQ_INVENTORY",HR$3,$I$3, $N$3, , $J$3, $K$3)+_xll.ciqfunctions.udf.CIQ($B16,"IQ_INVENTORY","IQ_" &amp; LEFT(HR$3,2) &amp; "-1", HR$3, $N$3, , $J$3, $K$3))&lt;=0),0,$HE$2*0.5*(_xll.ciqfunctions.udf.CIQ($B16,"IQ_INVENTORY",HR$3,$I$3, $N$3, , $J$3, $K$3)+_xll.ciqfunctions.udf.CIQ($B16,"IQ_INVENTORY","IQ_" &amp; LEFT(HR$3,2) &amp; "-1", HR$3, $N$3, , $J$3, $K$3))/_xll.ciqfunctions.udf.CIQ($B16,"IQ_COGS",HR$3,$I$3, $N$3, , $J$3, $K$3))),"")</f>
        <v/>
      </c>
      <c r="HS16" s="90" t="str">
        <f>IFERROR(IF(OR($B16="",HS$3=""),"",IF(AND($HE$4="No",(_xll.ciqfunctions.udf.CIQ($B16,"IQ_INVENTORY",HS$3,$I$3, $N$3, , $J$3, $K$3)+_xll.ciqfunctions.udf.CIQ($B16,"IQ_INVENTORY","IQ_" &amp; LEFT(HS$3,2) &amp; "-1", HS$3, $N$3, , $J$3, $K$3))&lt;=0),0,$HE$2*0.5*(_xll.ciqfunctions.udf.CIQ($B16,"IQ_INVENTORY",HS$3,$I$3, $N$3, , $J$3, $K$3)+_xll.ciqfunctions.udf.CIQ($B16,"IQ_INVENTORY","IQ_" &amp; LEFT(HS$3,2) &amp; "-1", HS$3, $N$3, , $J$3, $K$3))/_xll.ciqfunctions.udf.CIQ($B16,"IQ_COGS",HS$3,$I$3, $N$3, , $J$3, $K$3))),"")</f>
        <v/>
      </c>
      <c r="HT16" s="90" t="str">
        <f>IFERROR(IF(OR($B16="",HT$3=""),"",IF(AND($HE$4="No",(_xll.ciqfunctions.udf.CIQ($B16,"IQ_INVENTORY",HT$3,$I$3, $N$3, , $J$3, $K$3)+_xll.ciqfunctions.udf.CIQ($B16,"IQ_INVENTORY","IQ_" &amp; LEFT(HT$3,2) &amp; "-1", HT$3, $N$3, , $J$3, $K$3))&lt;=0),0,$HE$2*0.5*(_xll.ciqfunctions.udf.CIQ($B16,"IQ_INVENTORY",HT$3,$I$3, $N$3, , $J$3, $K$3)+_xll.ciqfunctions.udf.CIQ($B16,"IQ_INVENTORY","IQ_" &amp; LEFT(HT$3,2) &amp; "-1", HT$3, $N$3, , $J$3, $K$3))/_xll.ciqfunctions.udf.CIQ($B16,"IQ_COGS",HT$3,$I$3, $N$3, , $J$3, $K$3))),"")</f>
        <v/>
      </c>
      <c r="HU16" s="90" t="str">
        <f>IFERROR(IF(OR($B16="",HU$3=""),"",IF(AND($HE$4="No",(_xll.ciqfunctions.udf.CIQ($B16,"IQ_INVENTORY",HU$3,$I$3, $N$3, , $J$3, $K$3)+_xll.ciqfunctions.udf.CIQ($B16,"IQ_INVENTORY","IQ_" &amp; LEFT(HU$3,2) &amp; "-1", HU$3, $N$3, , $J$3, $K$3))&lt;=0),0,$HE$2*0.5*(_xll.ciqfunctions.udf.CIQ($B16,"IQ_INVENTORY",HU$3,$I$3, $N$3, , $J$3, $K$3)+_xll.ciqfunctions.udf.CIQ($B16,"IQ_INVENTORY","IQ_" &amp; LEFT(HU$3,2) &amp; "-1", HU$3, $N$3, , $J$3, $K$3))/_xll.ciqfunctions.udf.CIQ($B16,"IQ_COGS",HU$3,$I$3, $N$3, , $J$3, $K$3))),"")</f>
        <v/>
      </c>
      <c r="HV16" s="90" t="str">
        <f>IFERROR(IF(OR($B16="",HV$3=""),"",IF(AND($HE$4="No",(_xll.ciqfunctions.udf.CIQ($B16,"IQ_INVENTORY",HV$3,$I$3, $N$3, , $J$3, $K$3)+_xll.ciqfunctions.udf.CIQ($B16,"IQ_INVENTORY","IQ_" &amp; LEFT(HV$3,2) &amp; "-1", HV$3, $N$3, , $J$3, $K$3))&lt;=0),0,$HE$2*0.5*(_xll.ciqfunctions.udf.CIQ($B16,"IQ_INVENTORY",HV$3,$I$3, $N$3, , $J$3, $K$3)+_xll.ciqfunctions.udf.CIQ($B16,"IQ_INVENTORY","IQ_" &amp; LEFT(HV$3,2) &amp; "-1", HV$3, $N$3, , $J$3, $K$3))/_xll.ciqfunctions.udf.CIQ($B16,"IQ_COGS",HV$3,$I$3, $N$3, , $J$3, $K$3))),"")</f>
        <v/>
      </c>
      <c r="HW16" s="90" t="str">
        <f>IFERROR(IF(OR($B16="",HW$3=""),"",IF(AND($HE$4="No",(_xll.ciqfunctions.udf.CIQ($B16,"IQ_INVENTORY",HW$3,$I$3, $N$3, , $J$3, $K$3)+_xll.ciqfunctions.udf.CIQ($B16,"IQ_INVENTORY","IQ_" &amp; LEFT(HW$3,2) &amp; "-1", HW$3, $N$3, , $J$3, $K$3))&lt;=0),0,$HE$2*0.5*(_xll.ciqfunctions.udf.CIQ($B16,"IQ_INVENTORY",HW$3,$I$3, $N$3, , $J$3, $K$3)+_xll.ciqfunctions.udf.CIQ($B16,"IQ_INVENTORY","IQ_" &amp; LEFT(HW$3,2) &amp; "-1", HW$3, $N$3, , $J$3, $K$3))/_xll.ciqfunctions.udf.CIQ($B16,"IQ_COGS",HW$3,$I$3, $N$3, , $J$3, $K$3))),"")</f>
        <v/>
      </c>
      <c r="HX16" s="91" t="str">
        <f>IFERROR(IF(OR($B16="",HX$3=""),"",IF(AND($HE$4="No",(_xll.ciqfunctions.udf.CIQ($B16,"IQ_INVENTORY",HX$3,$I$3, $N$3, , $J$3, $K$3)+_xll.ciqfunctions.udf.CIQ($B16,"IQ_INVENTORY","IQ_" &amp; LEFT(HX$3,2) &amp; "-1", HX$3, $N$3, , $J$3, $K$3))&lt;=0),0,$HE$2*0.5*(_xll.ciqfunctions.udf.CIQ($B16,"IQ_INVENTORY",HX$3,$I$3, $N$3, , $J$3, $K$3)+_xll.ciqfunctions.udf.CIQ($B16,"IQ_INVENTORY","IQ_" &amp; LEFT(HX$3,2) &amp; "-1", HX$3, $N$3, , $J$3, $K$3))/_xll.ciqfunctions.udf.CIQ($B16,"IQ_COGS",HX$3,$I$3, $N$3, , $J$3, $K$3))),"")</f>
        <v/>
      </c>
      <c r="HY16" s="89" t="str">
        <f>IFERROR(IF(OR($B16="",HY$3=""),"",IF(AND($HY$4="No",(_xll.ciqfunctions.udf.CIQ($B16,"IQ_AP",HY$3,$I$3, $N$3, , $J$3, $K$3)+_xll.ciqfunctions.udf.CIQ($B16,"IQ_AP","IQ_" &amp; LEFT(HY$3,2) &amp; "-1", HY$3, $N$3, , $J$3, $K$3))&lt;=0),"",(_xll.ciqfunctions.udf.CIQ($B16,"IQ_AP",HY$3,$I$3, $N$3, , $J$3, $K$3)+_xll.ciqfunctions.udf.CIQ($B16,"IQ_AP","IQ_" &amp; LEFT(HY$3,2) &amp; "-1", HY$3, $N$3, , $J$3, $K$3))/_xll.ciqfunctions.udf.CIQ($B16,"IQ_COGS",HY$3,$I$3, $N$3, , $J$3, $K$3)*$HY$2*0.5)),"")</f>
        <v/>
      </c>
      <c r="HZ16" s="90" t="str">
        <f>IFERROR(IF(OR($B16="",HZ$3=""),"",IF(AND($HY$4="No",(_xll.ciqfunctions.udf.CIQ($B16,"IQ_AP",HZ$3,$I$3, $N$3, , $J$3, $K$3)+_xll.ciqfunctions.udf.CIQ($B16,"IQ_AP","IQ_" &amp; LEFT(HZ$3,2) &amp; "-1", HZ$3, $N$3, , $J$3, $K$3))&lt;=0),"",(_xll.ciqfunctions.udf.CIQ($B16,"IQ_AP",HZ$3,$I$3, $N$3, , $J$3, $K$3)+_xll.ciqfunctions.udf.CIQ($B16,"IQ_AP","IQ_" &amp; LEFT(HZ$3,2) &amp; "-1", HZ$3, $N$3, , $J$3, $K$3))/_xll.ciqfunctions.udf.CIQ($B16,"IQ_COGS",HZ$3,$I$3, $N$3, , $J$3, $K$3)*$HY$2*0.5)),"")</f>
        <v/>
      </c>
      <c r="IA16" s="90" t="str">
        <f>IFERROR(IF(OR($B16="",IA$3=""),"",IF(AND($HY$4="No",(_xll.ciqfunctions.udf.CIQ($B16,"IQ_AP",IA$3,$I$3, $N$3, , $J$3, $K$3)+_xll.ciqfunctions.udf.CIQ($B16,"IQ_AP","IQ_" &amp; LEFT(IA$3,2) &amp; "-1", IA$3, $N$3, , $J$3, $K$3))&lt;=0),"",(_xll.ciqfunctions.udf.CIQ($B16,"IQ_AP",IA$3,$I$3, $N$3, , $J$3, $K$3)+_xll.ciqfunctions.udf.CIQ($B16,"IQ_AP","IQ_" &amp; LEFT(IA$3,2) &amp; "-1", IA$3, $N$3, , $J$3, $K$3))/_xll.ciqfunctions.udf.CIQ($B16,"IQ_COGS",IA$3,$I$3, $N$3, , $J$3, $K$3)*$HY$2*0.5)),"")</f>
        <v/>
      </c>
      <c r="IB16" s="90" t="str">
        <f>IFERROR(IF(OR($B16="",IB$3=""),"",IF(AND($HY$4="No",(_xll.ciqfunctions.udf.CIQ($B16,"IQ_AP",IB$3,$I$3, $N$3, , $J$3, $K$3)+_xll.ciqfunctions.udf.CIQ($B16,"IQ_AP","IQ_" &amp; LEFT(IB$3,2) &amp; "-1", IB$3, $N$3, , $J$3, $K$3))&lt;=0),"",(_xll.ciqfunctions.udf.CIQ($B16,"IQ_AP",IB$3,$I$3, $N$3, , $J$3, $K$3)+_xll.ciqfunctions.udf.CIQ($B16,"IQ_AP","IQ_" &amp; LEFT(IB$3,2) &amp; "-1", IB$3, $N$3, , $J$3, $K$3))/_xll.ciqfunctions.udf.CIQ($B16,"IQ_COGS",IB$3,$I$3, $N$3, , $J$3, $K$3)*$HY$2*0.5)),"")</f>
        <v/>
      </c>
      <c r="IC16" s="90" t="str">
        <f>IFERROR(IF(OR($B16="",IC$3=""),"",IF(AND($HY$4="No",(_xll.ciqfunctions.udf.CIQ($B16,"IQ_AP",IC$3,$I$3, $N$3, , $J$3, $K$3)+_xll.ciqfunctions.udf.CIQ($B16,"IQ_AP","IQ_" &amp; LEFT(IC$3,2) &amp; "-1", IC$3, $N$3, , $J$3, $K$3))&lt;=0),"",(_xll.ciqfunctions.udf.CIQ($B16,"IQ_AP",IC$3,$I$3, $N$3, , $J$3, $K$3)+_xll.ciqfunctions.udf.CIQ($B16,"IQ_AP","IQ_" &amp; LEFT(IC$3,2) &amp; "-1", IC$3, $N$3, , $J$3, $K$3))/_xll.ciqfunctions.udf.CIQ($B16,"IQ_COGS",IC$3,$I$3, $N$3, , $J$3, $K$3)*$HY$2*0.5)),"")</f>
        <v/>
      </c>
      <c r="ID16" s="90" t="str">
        <f>IFERROR(IF(OR($B16="",ID$3=""),"",IF(AND($HY$4="No",(_xll.ciqfunctions.udf.CIQ($B16,"IQ_AP",ID$3,$I$3, $N$3, , $J$3, $K$3)+_xll.ciqfunctions.udf.CIQ($B16,"IQ_AP","IQ_" &amp; LEFT(ID$3,2) &amp; "-1", ID$3, $N$3, , $J$3, $K$3))&lt;=0),"",(_xll.ciqfunctions.udf.CIQ($B16,"IQ_AP",ID$3,$I$3, $N$3, , $J$3, $K$3)+_xll.ciqfunctions.udf.CIQ($B16,"IQ_AP","IQ_" &amp; LEFT(ID$3,2) &amp; "-1", ID$3, $N$3, , $J$3, $K$3))/_xll.ciqfunctions.udf.CIQ($B16,"IQ_COGS",ID$3,$I$3, $N$3, , $J$3, $K$3)*$HY$2*0.5)),"")</f>
        <v/>
      </c>
      <c r="IE16" s="90" t="str">
        <f>IFERROR(IF(OR($B16="",IE$3=""),"",IF(AND($HY$4="No",(_xll.ciqfunctions.udf.CIQ($B16,"IQ_AP",IE$3,$I$3, $N$3, , $J$3, $K$3)+_xll.ciqfunctions.udf.CIQ($B16,"IQ_AP","IQ_" &amp; LEFT(IE$3,2) &amp; "-1", IE$3, $N$3, , $J$3, $K$3))&lt;=0),"",(_xll.ciqfunctions.udf.CIQ($B16,"IQ_AP",IE$3,$I$3, $N$3, , $J$3, $K$3)+_xll.ciqfunctions.udf.CIQ($B16,"IQ_AP","IQ_" &amp; LEFT(IE$3,2) &amp; "-1", IE$3, $N$3, , $J$3, $K$3))/_xll.ciqfunctions.udf.CIQ($B16,"IQ_COGS",IE$3,$I$3, $N$3, , $J$3, $K$3)*$HY$2*0.5)),"")</f>
        <v/>
      </c>
      <c r="IF16" s="90" t="str">
        <f>IFERROR(IF(OR($B16="",IF$3=""),"",IF(AND($HY$4="No",(_xll.ciqfunctions.udf.CIQ($B16,"IQ_AP",IF$3,$I$3, $N$3, , $J$3, $K$3)+_xll.ciqfunctions.udf.CIQ($B16,"IQ_AP","IQ_" &amp; LEFT(IF$3,2) &amp; "-1", IF$3, $N$3, , $J$3, $K$3))&lt;=0),"",(_xll.ciqfunctions.udf.CIQ($B16,"IQ_AP",IF$3,$I$3, $N$3, , $J$3, $K$3)+_xll.ciqfunctions.udf.CIQ($B16,"IQ_AP","IQ_" &amp; LEFT(IF$3,2) &amp; "-1", IF$3, $N$3, , $J$3, $K$3))/_xll.ciqfunctions.udf.CIQ($B16,"IQ_COGS",IF$3,$I$3, $N$3, , $J$3, $K$3)*$HY$2*0.5)),"")</f>
        <v/>
      </c>
      <c r="IG16" s="90" t="str">
        <f>IFERROR(IF(OR($B16="",IG$3=""),"",IF(AND($HY$4="No",(_xll.ciqfunctions.udf.CIQ($B16,"IQ_AP",IG$3,$I$3, $N$3, , $J$3, $K$3)+_xll.ciqfunctions.udf.CIQ($B16,"IQ_AP","IQ_" &amp; LEFT(IG$3,2) &amp; "-1", IG$3, $N$3, , $J$3, $K$3))&lt;=0),"",(_xll.ciqfunctions.udf.CIQ($B16,"IQ_AP",IG$3,$I$3, $N$3, , $J$3, $K$3)+_xll.ciqfunctions.udf.CIQ($B16,"IQ_AP","IQ_" &amp; LEFT(IG$3,2) &amp; "-1", IG$3, $N$3, , $J$3, $K$3))/_xll.ciqfunctions.udf.CIQ($B16,"IQ_COGS",IG$3,$I$3, $N$3, , $J$3, $K$3)*$HY$2*0.5)),"")</f>
        <v/>
      </c>
      <c r="IH16" s="90" t="str">
        <f>IFERROR(IF(OR($B16="",IH$3=""),"",IF(AND($HY$4="No",(_xll.ciqfunctions.udf.CIQ($B16,"IQ_AP",IH$3,$I$3, $N$3, , $J$3, $K$3)+_xll.ciqfunctions.udf.CIQ($B16,"IQ_AP","IQ_" &amp; LEFT(IH$3,2) &amp; "-1", IH$3, $N$3, , $J$3, $K$3))&lt;=0),"",(_xll.ciqfunctions.udf.CIQ($B16,"IQ_AP",IH$3,$I$3, $N$3, , $J$3, $K$3)+_xll.ciqfunctions.udf.CIQ($B16,"IQ_AP","IQ_" &amp; LEFT(IH$3,2) &amp; "-1", IH$3, $N$3, , $J$3, $K$3))/_xll.ciqfunctions.udf.CIQ($B16,"IQ_COGS",IH$3,$I$3, $N$3, , $J$3, $K$3)*$HY$2*0.5)),"")</f>
        <v/>
      </c>
      <c r="II16" s="90" t="str">
        <f>IFERROR(IF(OR($B16="",II$3=""),"",IF(AND($HY$4="No",(_xll.ciqfunctions.udf.CIQ($B16,"IQ_AP",II$3,$I$3, $N$3, , $J$3, $K$3)+_xll.ciqfunctions.udf.CIQ($B16,"IQ_AP","IQ_" &amp; LEFT(II$3,2) &amp; "-1", II$3, $N$3, , $J$3, $K$3))&lt;=0),"",(_xll.ciqfunctions.udf.CIQ($B16,"IQ_AP",II$3,$I$3, $N$3, , $J$3, $K$3)+_xll.ciqfunctions.udf.CIQ($B16,"IQ_AP","IQ_" &amp; LEFT(II$3,2) &amp; "-1", II$3, $N$3, , $J$3, $K$3))/_xll.ciqfunctions.udf.CIQ($B16,"IQ_COGS",II$3,$I$3, $N$3, , $J$3, $K$3)*$HY$2*0.5)),"")</f>
        <v/>
      </c>
      <c r="IJ16" s="90" t="str">
        <f>IFERROR(IF(OR($B16="",IJ$3=""),"",IF(AND($HY$4="No",(_xll.ciqfunctions.udf.CIQ($B16,"IQ_AP",IJ$3,$I$3, $N$3, , $J$3, $K$3)+_xll.ciqfunctions.udf.CIQ($B16,"IQ_AP","IQ_" &amp; LEFT(IJ$3,2) &amp; "-1", IJ$3, $N$3, , $J$3, $K$3))&lt;=0),"",(_xll.ciqfunctions.udf.CIQ($B16,"IQ_AP",IJ$3,$I$3, $N$3, , $J$3, $K$3)+_xll.ciqfunctions.udf.CIQ($B16,"IQ_AP","IQ_" &amp; LEFT(IJ$3,2) &amp; "-1", IJ$3, $N$3, , $J$3, $K$3))/_xll.ciqfunctions.udf.CIQ($B16,"IQ_COGS",IJ$3,$I$3, $N$3, , $J$3, $K$3)*$HY$2*0.5)),"")</f>
        <v/>
      </c>
      <c r="IK16" s="90" t="str">
        <f>IFERROR(IF(OR($B16="",IK$3=""),"",IF(AND($HY$4="No",(_xll.ciqfunctions.udf.CIQ($B16,"IQ_AP",IK$3,$I$3, $N$3, , $J$3, $K$3)+_xll.ciqfunctions.udf.CIQ($B16,"IQ_AP","IQ_" &amp; LEFT(IK$3,2) &amp; "-1", IK$3, $N$3, , $J$3, $K$3))&lt;=0),"",(_xll.ciqfunctions.udf.CIQ($B16,"IQ_AP",IK$3,$I$3, $N$3, , $J$3, $K$3)+_xll.ciqfunctions.udf.CIQ($B16,"IQ_AP","IQ_" &amp; LEFT(IK$3,2) &amp; "-1", IK$3, $N$3, , $J$3, $K$3))/_xll.ciqfunctions.udf.CIQ($B16,"IQ_COGS",IK$3,$I$3, $N$3, , $J$3, $K$3)*$HY$2*0.5)),"")</f>
        <v/>
      </c>
      <c r="IL16" s="90" t="str">
        <f>IFERROR(IF(OR($B16="",IL$3=""),"",IF(AND($HY$4="No",(_xll.ciqfunctions.udf.CIQ($B16,"IQ_AP",IL$3,$I$3, $N$3, , $J$3, $K$3)+_xll.ciqfunctions.udf.CIQ($B16,"IQ_AP","IQ_" &amp; LEFT(IL$3,2) &amp; "-1", IL$3, $N$3, , $J$3, $K$3))&lt;=0),"",(_xll.ciqfunctions.udf.CIQ($B16,"IQ_AP",IL$3,$I$3, $N$3, , $J$3, $K$3)+_xll.ciqfunctions.udf.CIQ($B16,"IQ_AP","IQ_" &amp; LEFT(IL$3,2) &amp; "-1", IL$3, $N$3, , $J$3, $K$3))/_xll.ciqfunctions.udf.CIQ($B16,"IQ_COGS",IL$3,$I$3, $N$3, , $J$3, $K$3)*$HY$2*0.5)),"")</f>
        <v/>
      </c>
      <c r="IM16" s="90" t="str">
        <f>IFERROR(IF(OR($B16="",IM$3=""),"",IF(AND($HY$4="No",(_xll.ciqfunctions.udf.CIQ($B16,"IQ_AP",IM$3,$I$3, $N$3, , $J$3, $K$3)+_xll.ciqfunctions.udf.CIQ($B16,"IQ_AP","IQ_" &amp; LEFT(IM$3,2) &amp; "-1", IM$3, $N$3, , $J$3, $K$3))&lt;=0),"",(_xll.ciqfunctions.udf.CIQ($B16,"IQ_AP",IM$3,$I$3, $N$3, , $J$3, $K$3)+_xll.ciqfunctions.udf.CIQ($B16,"IQ_AP","IQ_" &amp; LEFT(IM$3,2) &amp; "-1", IM$3, $N$3, , $J$3, $K$3))/_xll.ciqfunctions.udf.CIQ($B16,"IQ_COGS",IM$3,$I$3, $N$3, , $J$3, $K$3)*$HY$2*0.5)),"")</f>
        <v/>
      </c>
      <c r="IN16" s="90" t="str">
        <f>IFERROR(IF(OR($B16="",IN$3=""),"",IF(AND($HY$4="No",(_xll.ciqfunctions.udf.CIQ($B16,"IQ_AP",IN$3,$I$3, $N$3, , $J$3, $K$3)+_xll.ciqfunctions.udf.CIQ($B16,"IQ_AP","IQ_" &amp; LEFT(IN$3,2) &amp; "-1", IN$3, $N$3, , $J$3, $K$3))&lt;=0),"",(_xll.ciqfunctions.udf.CIQ($B16,"IQ_AP",IN$3,$I$3, $N$3, , $J$3, $K$3)+_xll.ciqfunctions.udf.CIQ($B16,"IQ_AP","IQ_" &amp; LEFT(IN$3,2) &amp; "-1", IN$3, $N$3, , $J$3, $K$3))/_xll.ciqfunctions.udf.CIQ($B16,"IQ_COGS",IN$3,$I$3, $N$3, , $J$3, $K$3)*$HY$2*0.5)),"")</f>
        <v/>
      </c>
      <c r="IO16" s="90" t="str">
        <f>IFERROR(IF(OR($B16="",IO$3=""),"",IF(AND($HY$4="No",(_xll.ciqfunctions.udf.CIQ($B16,"IQ_AP",IO$3,$I$3, $N$3, , $J$3, $K$3)+_xll.ciqfunctions.udf.CIQ($B16,"IQ_AP","IQ_" &amp; LEFT(IO$3,2) &amp; "-1", IO$3, $N$3, , $J$3, $K$3))&lt;=0),"",(_xll.ciqfunctions.udf.CIQ($B16,"IQ_AP",IO$3,$I$3, $N$3, , $J$3, $K$3)+_xll.ciqfunctions.udf.CIQ($B16,"IQ_AP","IQ_" &amp; LEFT(IO$3,2) &amp; "-1", IO$3, $N$3, , $J$3, $K$3))/_xll.ciqfunctions.udf.CIQ($B16,"IQ_COGS",IO$3,$I$3, $N$3, , $J$3, $K$3)*$HY$2*0.5)),"")</f>
        <v/>
      </c>
      <c r="IP16" s="90" t="str">
        <f>IFERROR(IF(OR($B16="",IP$3=""),"",IF(AND($HY$4="No",(_xll.ciqfunctions.udf.CIQ($B16,"IQ_AP",IP$3,$I$3, $N$3, , $J$3, $K$3)+_xll.ciqfunctions.udf.CIQ($B16,"IQ_AP","IQ_" &amp; LEFT(IP$3,2) &amp; "-1", IP$3, $N$3, , $J$3, $K$3))&lt;=0),"",(_xll.ciqfunctions.udf.CIQ($B16,"IQ_AP",IP$3,$I$3, $N$3, , $J$3, $K$3)+_xll.ciqfunctions.udf.CIQ($B16,"IQ_AP","IQ_" &amp; LEFT(IP$3,2) &amp; "-1", IP$3, $N$3, , $J$3, $K$3))/_xll.ciqfunctions.udf.CIQ($B16,"IQ_COGS",IP$3,$I$3, $N$3, , $J$3, $K$3)*$HY$2*0.5)),"")</f>
        <v/>
      </c>
      <c r="IQ16" s="90" t="str">
        <f>IFERROR(IF(OR($B16="",IQ$3=""),"",IF(AND($HY$4="No",(_xll.ciqfunctions.udf.CIQ($B16,"IQ_AP",IQ$3,$I$3, $N$3, , $J$3, $K$3)+_xll.ciqfunctions.udf.CIQ($B16,"IQ_AP","IQ_" &amp; LEFT(IQ$3,2) &amp; "-1", IQ$3, $N$3, , $J$3, $K$3))&lt;=0),"",(_xll.ciqfunctions.udf.CIQ($B16,"IQ_AP",IQ$3,$I$3, $N$3, , $J$3, $K$3)+_xll.ciqfunctions.udf.CIQ($B16,"IQ_AP","IQ_" &amp; LEFT(IQ$3,2) &amp; "-1", IQ$3, $N$3, , $J$3, $K$3))/_xll.ciqfunctions.udf.CIQ($B16,"IQ_COGS",IQ$3,$I$3, $N$3, , $J$3, $K$3)*$HY$2*0.5)),"")</f>
        <v/>
      </c>
      <c r="IR16" s="91" t="str">
        <f>IFERROR(IF(OR($B16="",IR$3=""),"",IF(AND($HY$4="No",(_xll.ciqfunctions.udf.CIQ($B16,"IQ_AP",IR$3,$I$3, $N$3, , $J$3, $K$3)+_xll.ciqfunctions.udf.CIQ($B16,"IQ_AP","IQ_" &amp; LEFT(IR$3,2) &amp; "-1", IR$3, $N$3, , $J$3, $K$3))&lt;=0),"",(_xll.ciqfunctions.udf.CIQ($B16,"IQ_AP",IR$3,$I$3, $N$3, , $J$3, $K$3)+_xll.ciqfunctions.udf.CIQ($B16,"IQ_AP","IQ_" &amp; LEFT(IR$3,2) &amp; "-1", IR$3, $N$3, , $J$3, $K$3))/_xll.ciqfunctions.udf.CIQ($B16,"IQ_COGS",IR$3,$I$3, $N$3, , $J$3, $K$3)*$HY$2*0.5)),"")</f>
        <v/>
      </c>
      <c r="IS16" s="89" t="str">
        <f t="shared" si="343"/>
        <v/>
      </c>
      <c r="IT16" s="90" t="str">
        <f t="shared" si="344"/>
        <v/>
      </c>
      <c r="IU16" s="90" t="str">
        <f t="shared" si="345"/>
        <v/>
      </c>
      <c r="IV16" s="90" t="str">
        <f t="shared" si="346"/>
        <v/>
      </c>
      <c r="IW16" s="90" t="str">
        <f t="shared" si="347"/>
        <v/>
      </c>
      <c r="IX16" s="90" t="str">
        <f t="shared" si="348"/>
        <v/>
      </c>
      <c r="IY16" s="90" t="str">
        <f t="shared" si="349"/>
        <v/>
      </c>
      <c r="IZ16" s="90" t="str">
        <f t="shared" si="350"/>
        <v/>
      </c>
      <c r="JA16" s="90" t="str">
        <f t="shared" si="351"/>
        <v/>
      </c>
      <c r="JB16" s="90" t="str">
        <f t="shared" si="352"/>
        <v/>
      </c>
      <c r="JC16" s="90" t="str">
        <f t="shared" si="353"/>
        <v/>
      </c>
      <c r="JD16" s="90" t="str">
        <f t="shared" si="354"/>
        <v/>
      </c>
      <c r="JE16" s="90" t="str">
        <f t="shared" si="355"/>
        <v/>
      </c>
      <c r="JF16" s="90" t="str">
        <f t="shared" si="356"/>
        <v/>
      </c>
      <c r="JG16" s="90" t="str">
        <f t="shared" si="357"/>
        <v/>
      </c>
      <c r="JH16" s="90" t="str">
        <f t="shared" si="358"/>
        <v/>
      </c>
      <c r="JI16" s="90" t="str">
        <f t="shared" si="359"/>
        <v/>
      </c>
      <c r="JJ16" s="90" t="str">
        <f t="shared" si="360"/>
        <v/>
      </c>
      <c r="JK16" s="90" t="str">
        <f t="shared" si="361"/>
        <v/>
      </c>
      <c r="JL16" s="91" t="str">
        <f t="shared" si="362"/>
        <v/>
      </c>
      <c r="JM16" s="86" t="str">
        <f>IFERROR(IF(OR($B16="",JM$3=""),"",_xll.ciqfunctions.udf.CIQ($B16,"IQ_CASH_OPER",JM$3,$I$3, $N$3, , $J$3, $K$3)/_xll.ciqfunctions.udf.CIQ($B16,"IQ_TOTAL_REV",JM$3,$I$3, $N$3, , $J$3, $K$3)),"")</f>
        <v/>
      </c>
      <c r="JN16" s="87" t="str">
        <f>IFERROR(IF(OR($B16="",JN$3=""),"",_xll.ciqfunctions.udf.CIQ($B16,"IQ_CASH_OPER",JN$3,$I$3, $N$3, , $J$3, $K$3)/_xll.ciqfunctions.udf.CIQ($B16,"IQ_TOTAL_REV",JN$3,$I$3, $N$3, , $J$3, $K$3)),"")</f>
        <v/>
      </c>
      <c r="JO16" s="87" t="str">
        <f>IFERROR(IF(OR($B16="",JO$3=""),"",_xll.ciqfunctions.udf.CIQ($B16,"IQ_CASH_OPER",JO$3,$I$3, $N$3, , $J$3, $K$3)/_xll.ciqfunctions.udf.CIQ($B16,"IQ_TOTAL_REV",JO$3,$I$3, $N$3, , $J$3, $K$3)),"")</f>
        <v/>
      </c>
      <c r="JP16" s="87" t="str">
        <f>IFERROR(IF(OR($B16="",JP$3=""),"",_xll.ciqfunctions.udf.CIQ($B16,"IQ_CASH_OPER",JP$3,$I$3, $N$3, , $J$3, $K$3)/_xll.ciqfunctions.udf.CIQ($B16,"IQ_TOTAL_REV",JP$3,$I$3, $N$3, , $J$3, $K$3)),"")</f>
        <v/>
      </c>
      <c r="JQ16" s="87" t="str">
        <f>IFERROR(IF(OR($B16="",JQ$3=""),"",_xll.ciqfunctions.udf.CIQ($B16,"IQ_CASH_OPER",JQ$3,$I$3, $N$3, , $J$3, $K$3)/_xll.ciqfunctions.udf.CIQ($B16,"IQ_TOTAL_REV",JQ$3,$I$3, $N$3, , $J$3, $K$3)),"")</f>
        <v/>
      </c>
      <c r="JR16" s="87" t="str">
        <f>IFERROR(IF(OR($B16="",JR$3=""),"",_xll.ciqfunctions.udf.CIQ($B16,"IQ_CASH_OPER",JR$3,$I$3, $N$3, , $J$3, $K$3)/_xll.ciqfunctions.udf.CIQ($B16,"IQ_TOTAL_REV",JR$3,$I$3, $N$3, , $J$3, $K$3)),"")</f>
        <v/>
      </c>
      <c r="JS16" s="87" t="str">
        <f>IFERROR(IF(OR($B16="",JS$3=""),"",_xll.ciqfunctions.udf.CIQ($B16,"IQ_CASH_OPER",JS$3,$I$3, $N$3, , $J$3, $K$3)/_xll.ciqfunctions.udf.CIQ($B16,"IQ_TOTAL_REV",JS$3,$I$3, $N$3, , $J$3, $K$3)),"")</f>
        <v/>
      </c>
      <c r="JT16" s="87" t="str">
        <f>IFERROR(IF(OR($B16="",JT$3=""),"",_xll.ciqfunctions.udf.CIQ($B16,"IQ_CASH_OPER",JT$3,$I$3, $N$3, , $J$3, $K$3)/_xll.ciqfunctions.udf.CIQ($B16,"IQ_TOTAL_REV",JT$3,$I$3, $N$3, , $J$3, $K$3)),"")</f>
        <v/>
      </c>
      <c r="JU16" s="87" t="str">
        <f>IFERROR(IF(OR($B16="",JU$3=""),"",_xll.ciqfunctions.udf.CIQ($B16,"IQ_CASH_OPER",JU$3,$I$3, $N$3, , $J$3, $K$3)/_xll.ciqfunctions.udf.CIQ($B16,"IQ_TOTAL_REV",JU$3,$I$3, $N$3, , $J$3, $K$3)),"")</f>
        <v/>
      </c>
      <c r="JV16" s="87" t="str">
        <f>IFERROR(IF(OR($B16="",JV$3=""),"",_xll.ciqfunctions.udf.CIQ($B16,"IQ_CASH_OPER",JV$3,$I$3, $N$3, , $J$3, $K$3)/_xll.ciqfunctions.udf.CIQ($B16,"IQ_TOTAL_REV",JV$3,$I$3, $N$3, , $J$3, $K$3)),"")</f>
        <v/>
      </c>
      <c r="JW16" s="87" t="str">
        <f>IFERROR(IF(OR($B16="",JW$3=""),"",_xll.ciqfunctions.udf.CIQ($B16,"IQ_CASH_OPER",JW$3,$I$3, $N$3, , $J$3, $K$3)/_xll.ciqfunctions.udf.CIQ($B16,"IQ_TOTAL_REV",JW$3,$I$3, $N$3, , $J$3, $K$3)),"")</f>
        <v/>
      </c>
      <c r="JX16" s="87" t="str">
        <f>IFERROR(IF(OR($B16="",JX$3=""),"",_xll.ciqfunctions.udf.CIQ($B16,"IQ_CASH_OPER",JX$3,$I$3, $N$3, , $J$3, $K$3)/_xll.ciqfunctions.udf.CIQ($B16,"IQ_TOTAL_REV",JX$3,$I$3, $N$3, , $J$3, $K$3)),"")</f>
        <v/>
      </c>
      <c r="JY16" s="87" t="str">
        <f>IFERROR(IF(OR($B16="",JY$3=""),"",_xll.ciqfunctions.udf.CIQ($B16,"IQ_CASH_OPER",JY$3,$I$3, $N$3, , $J$3, $K$3)/_xll.ciqfunctions.udf.CIQ($B16,"IQ_TOTAL_REV",JY$3,$I$3, $N$3, , $J$3, $K$3)),"")</f>
        <v/>
      </c>
      <c r="JZ16" s="87" t="str">
        <f>IFERROR(IF(OR($B16="",JZ$3=""),"",_xll.ciqfunctions.udf.CIQ($B16,"IQ_CASH_OPER",JZ$3,$I$3, $N$3, , $J$3, $K$3)/_xll.ciqfunctions.udf.CIQ($B16,"IQ_TOTAL_REV",JZ$3,$I$3, $N$3, , $J$3, $K$3)),"")</f>
        <v/>
      </c>
      <c r="KA16" s="87" t="str">
        <f>IFERROR(IF(OR($B16="",KA$3=""),"",_xll.ciqfunctions.udf.CIQ($B16,"IQ_CASH_OPER",KA$3,$I$3, $N$3, , $J$3, $K$3)/_xll.ciqfunctions.udf.CIQ($B16,"IQ_TOTAL_REV",KA$3,$I$3, $N$3, , $J$3, $K$3)),"")</f>
        <v/>
      </c>
      <c r="KB16" s="87" t="str">
        <f>IFERROR(IF(OR($B16="",KB$3=""),"",_xll.ciqfunctions.udf.CIQ($B16,"IQ_CASH_OPER",KB$3,$I$3, $N$3, , $J$3, $K$3)/_xll.ciqfunctions.udf.CIQ($B16,"IQ_TOTAL_REV",KB$3,$I$3, $N$3, , $J$3, $K$3)),"")</f>
        <v/>
      </c>
      <c r="KC16" s="87" t="str">
        <f>IFERROR(IF(OR($B16="",KC$3=""),"",_xll.ciqfunctions.udf.CIQ($B16,"IQ_CASH_OPER",KC$3,$I$3, $N$3, , $J$3, $K$3)/_xll.ciqfunctions.udf.CIQ($B16,"IQ_TOTAL_REV",KC$3,$I$3, $N$3, , $J$3, $K$3)),"")</f>
        <v/>
      </c>
      <c r="KD16" s="87" t="str">
        <f>IFERROR(IF(OR($B16="",KD$3=""),"",_xll.ciqfunctions.udf.CIQ($B16,"IQ_CASH_OPER",KD$3,$I$3, $N$3, , $J$3, $K$3)/_xll.ciqfunctions.udf.CIQ($B16,"IQ_TOTAL_REV",KD$3,$I$3, $N$3, , $J$3, $K$3)),"")</f>
        <v/>
      </c>
      <c r="KE16" s="87" t="str">
        <f>IFERROR(IF(OR($B16="",KE$3=""),"",_xll.ciqfunctions.udf.CIQ($B16,"IQ_CASH_OPER",KE$3,$I$3, $N$3, , $J$3, $K$3)/_xll.ciqfunctions.udf.CIQ($B16,"IQ_TOTAL_REV",KE$3,$I$3, $N$3, , $J$3, $K$3)),"")</f>
        <v/>
      </c>
      <c r="KF16" s="88" t="str">
        <f>IFERROR(IF(OR($B16="",KF$3=""),"",_xll.ciqfunctions.udf.CIQ($B16,"IQ_CASH_OPER",KF$3,$I$3, $N$3, , $J$3, $K$3)/_xll.ciqfunctions.udf.CIQ($B16,"IQ_TOTAL_REV",KF$3,$I$3, $N$3, , $J$3, $K$3)),"")</f>
        <v/>
      </c>
      <c r="KG16" s="89" t="str">
        <f>IFERROR(IF(OR($B16="",KG$3=""),"",IF(NOT(ISNUMBER(_xll.ciqfunctions.udf.CIQ($B16, "IQ_ASSET_TURNS", KG$3, $E$3, $N$3, , $J$3, $K$3))),"",_xll.ciqfunctions.udf.CIQ($B16, "IQ_ASSET_TURNS", KG$3, $E$3, $N$3, , $J$3, $K$3))),"")</f>
        <v/>
      </c>
      <c r="KH16" s="90" t="str">
        <f>IFERROR(IF(OR($B16="",KH$3=""),"",IF(NOT(ISNUMBER(_xll.ciqfunctions.udf.CIQ($B16, "IQ_ASSET_TURNS", KH$3, $E$3, $N$3, , $J$3, $K$3))),"",_xll.ciqfunctions.udf.CIQ($B16, "IQ_ASSET_TURNS", KH$3, $E$3, $N$3, , $J$3, $K$3))),"")</f>
        <v/>
      </c>
      <c r="KI16" s="90" t="str">
        <f>IFERROR(IF(OR($B16="",KI$3=""),"",IF(NOT(ISNUMBER(_xll.ciqfunctions.udf.CIQ($B16, "IQ_ASSET_TURNS", KI$3, $E$3, $N$3, , $J$3, $K$3))),"",_xll.ciqfunctions.udf.CIQ($B16, "IQ_ASSET_TURNS", KI$3, $E$3, $N$3, , $J$3, $K$3))),"")</f>
        <v/>
      </c>
      <c r="KJ16" s="90" t="str">
        <f>IFERROR(IF(OR($B16="",KJ$3=""),"",IF(NOT(ISNUMBER(_xll.ciqfunctions.udf.CIQ($B16, "IQ_ASSET_TURNS", KJ$3, $E$3, $N$3, , $J$3, $K$3))),"",_xll.ciqfunctions.udf.CIQ($B16, "IQ_ASSET_TURNS", KJ$3, $E$3, $N$3, , $J$3, $K$3))),"")</f>
        <v/>
      </c>
      <c r="KK16" s="90" t="str">
        <f>IFERROR(IF(OR($B16="",KK$3=""),"",IF(NOT(ISNUMBER(_xll.ciqfunctions.udf.CIQ($B16, "IQ_ASSET_TURNS", KK$3, $E$3, $N$3, , $J$3, $K$3))),"",_xll.ciqfunctions.udf.CIQ($B16, "IQ_ASSET_TURNS", KK$3, $E$3, $N$3, , $J$3, $K$3))),"")</f>
        <v/>
      </c>
      <c r="KL16" s="90" t="str">
        <f>IFERROR(IF(OR($B16="",KL$3=""),"",IF(NOT(ISNUMBER(_xll.ciqfunctions.udf.CIQ($B16, "IQ_ASSET_TURNS", KL$3, $E$3, $N$3, , $J$3, $K$3))),"",_xll.ciqfunctions.udf.CIQ($B16, "IQ_ASSET_TURNS", KL$3, $E$3, $N$3, , $J$3, $K$3))),"")</f>
        <v/>
      </c>
      <c r="KM16" s="90" t="str">
        <f>IFERROR(IF(OR($B16="",KM$3=""),"",IF(NOT(ISNUMBER(_xll.ciqfunctions.udf.CIQ($B16, "IQ_ASSET_TURNS", KM$3, $E$3, $N$3, , $J$3, $K$3))),"",_xll.ciqfunctions.udf.CIQ($B16, "IQ_ASSET_TURNS", KM$3, $E$3, $N$3, , $J$3, $K$3))),"")</f>
        <v/>
      </c>
      <c r="KN16" s="90" t="str">
        <f>IFERROR(IF(OR($B16="",KN$3=""),"",IF(NOT(ISNUMBER(_xll.ciqfunctions.udf.CIQ($B16, "IQ_ASSET_TURNS", KN$3, $E$3, $N$3, , $J$3, $K$3))),"",_xll.ciqfunctions.udf.CIQ($B16, "IQ_ASSET_TURNS", KN$3, $E$3, $N$3, , $J$3, $K$3))),"")</f>
        <v/>
      </c>
      <c r="KO16" s="90" t="str">
        <f>IFERROR(IF(OR($B16="",KO$3=""),"",IF(NOT(ISNUMBER(_xll.ciqfunctions.udf.CIQ($B16, "IQ_ASSET_TURNS", KO$3, $E$3, $N$3, , $J$3, $K$3))),"",_xll.ciqfunctions.udf.CIQ($B16, "IQ_ASSET_TURNS", KO$3, $E$3, $N$3, , $J$3, $K$3))),"")</f>
        <v/>
      </c>
      <c r="KP16" s="90" t="str">
        <f>IFERROR(IF(OR($B16="",KP$3=""),"",IF(NOT(ISNUMBER(_xll.ciqfunctions.udf.CIQ($B16, "IQ_ASSET_TURNS", KP$3, $E$3, $N$3, , $J$3, $K$3))),"",_xll.ciqfunctions.udf.CIQ($B16, "IQ_ASSET_TURNS", KP$3, $E$3, $N$3, , $J$3, $K$3))),"")</f>
        <v/>
      </c>
      <c r="KQ16" s="90" t="str">
        <f>IFERROR(IF(OR($B16="",KQ$3=""),"",IF(NOT(ISNUMBER(_xll.ciqfunctions.udf.CIQ($B16, "IQ_ASSET_TURNS", KQ$3, $E$3, $N$3, , $J$3, $K$3))),"",_xll.ciqfunctions.udf.CIQ($B16, "IQ_ASSET_TURNS", KQ$3, $E$3, $N$3, , $J$3, $K$3))),"")</f>
        <v/>
      </c>
      <c r="KR16" s="90" t="str">
        <f>IFERROR(IF(OR($B16="",KR$3=""),"",IF(NOT(ISNUMBER(_xll.ciqfunctions.udf.CIQ($B16, "IQ_ASSET_TURNS", KR$3, $E$3, $N$3, , $J$3, $K$3))),"",_xll.ciqfunctions.udf.CIQ($B16, "IQ_ASSET_TURNS", KR$3, $E$3, $N$3, , $J$3, $K$3))),"")</f>
        <v/>
      </c>
      <c r="KS16" s="90" t="str">
        <f>IFERROR(IF(OR($B16="",KS$3=""),"",IF(NOT(ISNUMBER(_xll.ciqfunctions.udf.CIQ($B16, "IQ_ASSET_TURNS", KS$3, $E$3, $N$3, , $J$3, $K$3))),"",_xll.ciqfunctions.udf.CIQ($B16, "IQ_ASSET_TURNS", KS$3, $E$3, $N$3, , $J$3, $K$3))),"")</f>
        <v/>
      </c>
      <c r="KT16" s="90" t="str">
        <f>IFERROR(IF(OR($B16="",KT$3=""),"",IF(NOT(ISNUMBER(_xll.ciqfunctions.udf.CIQ($B16, "IQ_ASSET_TURNS", KT$3, $E$3, $N$3, , $J$3, $K$3))),"",_xll.ciqfunctions.udf.CIQ($B16, "IQ_ASSET_TURNS", KT$3, $E$3, $N$3, , $J$3, $K$3))),"")</f>
        <v/>
      </c>
      <c r="KU16" s="90" t="str">
        <f>IFERROR(IF(OR($B16="",KU$3=""),"",IF(NOT(ISNUMBER(_xll.ciqfunctions.udf.CIQ($B16, "IQ_ASSET_TURNS", KU$3, $E$3, $N$3, , $J$3, $K$3))),"",_xll.ciqfunctions.udf.CIQ($B16, "IQ_ASSET_TURNS", KU$3, $E$3, $N$3, , $J$3, $K$3))),"")</f>
        <v/>
      </c>
      <c r="KV16" s="90" t="str">
        <f>IFERROR(IF(OR($B16="",KV$3=""),"",IF(NOT(ISNUMBER(_xll.ciqfunctions.udf.CIQ($B16, "IQ_ASSET_TURNS", KV$3, $E$3, $N$3, , $J$3, $K$3))),"",_xll.ciqfunctions.udf.CIQ($B16, "IQ_ASSET_TURNS", KV$3, $E$3, $N$3, , $J$3, $K$3))),"")</f>
        <v/>
      </c>
      <c r="KW16" s="90" t="str">
        <f>IFERROR(IF(OR($B16="",KW$3=""),"",IF(NOT(ISNUMBER(_xll.ciqfunctions.udf.CIQ($B16, "IQ_ASSET_TURNS", KW$3, $E$3, $N$3, , $J$3, $K$3))),"",_xll.ciqfunctions.udf.CIQ($B16, "IQ_ASSET_TURNS", KW$3, $E$3, $N$3, , $J$3, $K$3))),"")</f>
        <v/>
      </c>
      <c r="KX16" s="90" t="str">
        <f>IFERROR(IF(OR($B16="",KX$3=""),"",IF(NOT(ISNUMBER(_xll.ciqfunctions.udf.CIQ($B16, "IQ_ASSET_TURNS", KX$3, $E$3, $N$3, , $J$3, $K$3))),"",_xll.ciqfunctions.udf.CIQ($B16, "IQ_ASSET_TURNS", KX$3, $E$3, $N$3, , $J$3, $K$3))),"")</f>
        <v/>
      </c>
      <c r="KY16" s="90" t="str">
        <f>IFERROR(IF(OR($B16="",KY$3=""),"",IF(NOT(ISNUMBER(_xll.ciqfunctions.udf.CIQ($B16, "IQ_ASSET_TURNS", KY$3, $E$3, $N$3, , $J$3, $K$3))),"",_xll.ciqfunctions.udf.CIQ($B16, "IQ_ASSET_TURNS", KY$3, $E$3, $N$3, , $J$3, $K$3))),"")</f>
        <v/>
      </c>
      <c r="KZ16" s="91" t="str">
        <f>IFERROR(IF(OR($B16="",KZ$3=""),"",IF(NOT(ISNUMBER(_xll.ciqfunctions.udf.CIQ($B16, "IQ_ASSET_TURNS", KZ$3, $E$3, $N$3, , $J$3, $K$3))),"",_xll.ciqfunctions.udf.CIQ($B16, "IQ_ASSET_TURNS", KZ$3, $E$3, $N$3, , $J$3, $K$3))),"")</f>
        <v/>
      </c>
      <c r="LA16" s="75" t="str">
        <f>IFERROR(IF(OR($B16="",LA$3=""),"",IF(NOT(ISNUMBER(_xll.ciqfunctions.udf.CIQ($B16, "IQ_INVENTORY_TURNS", LA$3, $E$3, $N$3, , $J$3, $K$3))),"",_xll.ciqfunctions.udf.CIQ($B16, "IQ_INVENTORY_TURNS", LA$3, $E$3, $N$3, , $J$3, $K$3))),"")</f>
        <v/>
      </c>
      <c r="LB16" s="75" t="str">
        <f>IFERROR(IF(OR($B16="",LB$3=""),"",IF(NOT(ISNUMBER(_xll.ciqfunctions.udf.CIQ($B16, "IQ_INVENTORY_TURNS", LB$3, $E$3, $N$3, , $J$3, $K$3))),"",_xll.ciqfunctions.udf.CIQ($B16, "IQ_INVENTORY_TURNS", LB$3, $E$3, $N$3, , $J$3, $K$3))),"")</f>
        <v/>
      </c>
      <c r="LC16" s="75" t="str">
        <f>IFERROR(IF(OR($B16="",LC$3=""),"",IF(NOT(ISNUMBER(_xll.ciqfunctions.udf.CIQ($B16, "IQ_INVENTORY_TURNS", LC$3, $E$3, $N$3, , $J$3, $K$3))),"",_xll.ciqfunctions.udf.CIQ($B16, "IQ_INVENTORY_TURNS", LC$3, $E$3, $N$3, , $J$3, $K$3))),"")</f>
        <v/>
      </c>
      <c r="LD16" s="75" t="str">
        <f>IFERROR(IF(OR($B16="",LD$3=""),"",IF(NOT(ISNUMBER(_xll.ciqfunctions.udf.CIQ($B16, "IQ_INVENTORY_TURNS", LD$3, $E$3, $N$3, , $J$3, $K$3))),"",_xll.ciqfunctions.udf.CIQ($B16, "IQ_INVENTORY_TURNS", LD$3, $E$3, $N$3, , $J$3, $K$3))),"")</f>
        <v/>
      </c>
      <c r="LE16" s="75" t="str">
        <f>IFERROR(IF(OR($B16="",LE$3=""),"",IF(NOT(ISNUMBER(_xll.ciqfunctions.udf.CIQ($B16, "IQ_INVENTORY_TURNS", LE$3, $E$3, $N$3, , $J$3, $K$3))),"",_xll.ciqfunctions.udf.CIQ($B16, "IQ_INVENTORY_TURNS", LE$3, $E$3, $N$3, , $J$3, $K$3))),"")</f>
        <v/>
      </c>
      <c r="LF16" s="75" t="str">
        <f>IFERROR(IF(OR($B16="",LF$3=""),"",IF(NOT(ISNUMBER(_xll.ciqfunctions.udf.CIQ($B16, "IQ_INVENTORY_TURNS", LF$3, $E$3, $N$3, , $J$3, $K$3))),"",_xll.ciqfunctions.udf.CIQ($B16, "IQ_INVENTORY_TURNS", LF$3, $E$3, $N$3, , $J$3, $K$3))),"")</f>
        <v/>
      </c>
      <c r="LG16" s="75" t="str">
        <f>IFERROR(IF(OR($B16="",LG$3=""),"",IF(NOT(ISNUMBER(_xll.ciqfunctions.udf.CIQ($B16, "IQ_INVENTORY_TURNS", LG$3, $E$3, $N$3, , $J$3, $K$3))),"",_xll.ciqfunctions.udf.CIQ($B16, "IQ_INVENTORY_TURNS", LG$3, $E$3, $N$3, , $J$3, $K$3))),"")</f>
        <v/>
      </c>
      <c r="LH16" s="75" t="str">
        <f>IFERROR(IF(OR($B16="",LH$3=""),"",IF(NOT(ISNUMBER(_xll.ciqfunctions.udf.CIQ($B16, "IQ_INVENTORY_TURNS", LH$3, $E$3, $N$3, , $J$3, $K$3))),"",_xll.ciqfunctions.udf.CIQ($B16, "IQ_INVENTORY_TURNS", LH$3, $E$3, $N$3, , $J$3, $K$3))),"")</f>
        <v/>
      </c>
      <c r="LI16" s="75" t="str">
        <f>IFERROR(IF(OR($B16="",LI$3=""),"",IF(NOT(ISNUMBER(_xll.ciqfunctions.udf.CIQ($B16, "IQ_INVENTORY_TURNS", LI$3, $E$3, $N$3, , $J$3, $K$3))),"",_xll.ciqfunctions.udf.CIQ($B16, "IQ_INVENTORY_TURNS", LI$3, $E$3, $N$3, , $J$3, $K$3))),"")</f>
        <v/>
      </c>
      <c r="LJ16" s="75" t="str">
        <f>IFERROR(IF(OR($B16="",LJ$3=""),"",IF(NOT(ISNUMBER(_xll.ciqfunctions.udf.CIQ($B16, "IQ_INVENTORY_TURNS", LJ$3, $E$3, $N$3, , $J$3, $K$3))),"",_xll.ciqfunctions.udf.CIQ($B16, "IQ_INVENTORY_TURNS", LJ$3, $E$3, $N$3, , $J$3, $K$3))),"")</f>
        <v/>
      </c>
      <c r="LK16" s="75" t="str">
        <f>IFERROR(IF(OR($B16="",LK$3=""),"",IF(NOT(ISNUMBER(_xll.ciqfunctions.udf.CIQ($B16, "IQ_INVENTORY_TURNS", LK$3, $E$3, $N$3, , $J$3, $K$3))),"",_xll.ciqfunctions.udf.CIQ($B16, "IQ_INVENTORY_TURNS", LK$3, $E$3, $N$3, , $J$3, $K$3))),"")</f>
        <v/>
      </c>
      <c r="LL16" s="75" t="str">
        <f>IFERROR(IF(OR($B16="",LL$3=""),"",IF(NOT(ISNUMBER(_xll.ciqfunctions.udf.CIQ($B16, "IQ_INVENTORY_TURNS", LL$3, $E$3, $N$3, , $J$3, $K$3))),"",_xll.ciqfunctions.udf.CIQ($B16, "IQ_INVENTORY_TURNS", LL$3, $E$3, $N$3, , $J$3, $K$3))),"")</f>
        <v/>
      </c>
      <c r="LM16" s="75" t="str">
        <f>IFERROR(IF(OR($B16="",LM$3=""),"",IF(NOT(ISNUMBER(_xll.ciqfunctions.udf.CIQ($B16, "IQ_INVENTORY_TURNS", LM$3, $E$3, $N$3, , $J$3, $K$3))),"",_xll.ciqfunctions.udf.CIQ($B16, "IQ_INVENTORY_TURNS", LM$3, $E$3, $N$3, , $J$3, $K$3))),"")</f>
        <v/>
      </c>
      <c r="LN16" s="75" t="str">
        <f>IFERROR(IF(OR($B16="",LN$3=""),"",IF(NOT(ISNUMBER(_xll.ciqfunctions.udf.CIQ($B16, "IQ_INVENTORY_TURNS", LN$3, $E$3, $N$3, , $J$3, $K$3))),"",_xll.ciqfunctions.udf.CIQ($B16, "IQ_INVENTORY_TURNS", LN$3, $E$3, $N$3, , $J$3, $K$3))),"")</f>
        <v/>
      </c>
      <c r="LO16" s="75" t="str">
        <f>IFERROR(IF(OR($B16="",LO$3=""),"",IF(NOT(ISNUMBER(_xll.ciqfunctions.udf.CIQ($B16, "IQ_INVENTORY_TURNS", LO$3, $E$3, $N$3, , $J$3, $K$3))),"",_xll.ciqfunctions.udf.CIQ($B16, "IQ_INVENTORY_TURNS", LO$3, $E$3, $N$3, , $J$3, $K$3))),"")</f>
        <v/>
      </c>
      <c r="LP16" s="75" t="str">
        <f>IFERROR(IF(OR($B16="",LP$3=""),"",IF(NOT(ISNUMBER(_xll.ciqfunctions.udf.CIQ($B16, "IQ_INVENTORY_TURNS", LP$3, $E$3, $N$3, , $J$3, $K$3))),"",_xll.ciqfunctions.udf.CIQ($B16, "IQ_INVENTORY_TURNS", LP$3, $E$3, $N$3, , $J$3, $K$3))),"")</f>
        <v/>
      </c>
      <c r="LQ16" s="75" t="str">
        <f>IFERROR(IF(OR($B16="",LQ$3=""),"",IF(NOT(ISNUMBER(_xll.ciqfunctions.udf.CIQ($B16, "IQ_INVENTORY_TURNS", LQ$3, $E$3, $N$3, , $J$3, $K$3))),"",_xll.ciqfunctions.udf.CIQ($B16, "IQ_INVENTORY_TURNS", LQ$3, $E$3, $N$3, , $J$3, $K$3))),"")</f>
        <v/>
      </c>
      <c r="LR16" s="75" t="str">
        <f>IFERROR(IF(OR($B16="",LR$3=""),"",IF(NOT(ISNUMBER(_xll.ciqfunctions.udf.CIQ($B16, "IQ_INVENTORY_TURNS", LR$3, $E$3, $N$3, , $J$3, $K$3))),"",_xll.ciqfunctions.udf.CIQ($B16, "IQ_INVENTORY_TURNS", LR$3, $E$3, $N$3, , $J$3, $K$3))),"")</f>
        <v/>
      </c>
      <c r="LS16" s="75" t="str">
        <f>IFERROR(IF(OR($B16="",LS$3=""),"",IF(NOT(ISNUMBER(_xll.ciqfunctions.udf.CIQ($B16, "IQ_INVENTORY_TURNS", LS$3, $E$3, $N$3, , $J$3, $K$3))),"",_xll.ciqfunctions.udf.CIQ($B16, "IQ_INVENTORY_TURNS", LS$3, $E$3, $N$3, , $J$3, $K$3))),"")</f>
        <v/>
      </c>
      <c r="LT16" s="75" t="str">
        <f>IFERROR(IF(OR($B16="",LT$3=""),"",IF(NOT(ISNUMBER(_xll.ciqfunctions.udf.CIQ($B16, "IQ_INVENTORY_TURNS", LT$3, $E$3, $N$3, , $J$3, $K$3))),"",_xll.ciqfunctions.udf.CIQ($B16, "IQ_INVENTORY_TURNS", LT$3, $E$3, $N$3, , $J$3, $K$3))),"")</f>
        <v/>
      </c>
      <c r="LU16" s="75" t="str">
        <f>IFERROR(IF(OR($B16="",LU$3=""),"",IF(NOT(ISNUMBER(_xll.ciqfunctions.udf.CIQ($B16, "IQ_AR_TURNS", LU$3, $E$3, $N$3, , $J$3, $K$3))),"",_xll.ciqfunctions.udf.CIQ($B16, "IQ_AR_TURNS", LU$3, $E$3, $N$3, , $J$3, $K$3))),"")</f>
        <v/>
      </c>
      <c r="LV16" s="75" t="str">
        <f>IFERROR(IF(OR($B16="",LV$3=""),"",IF(NOT(ISNUMBER(_xll.ciqfunctions.udf.CIQ($B16, "IQ_AR_TURNS", LV$3, $E$3, $N$3, , $J$3, $K$3))),"",_xll.ciqfunctions.udf.CIQ($B16, "IQ_AR_TURNS", LV$3, $E$3, $N$3, , $J$3, $K$3))),"")</f>
        <v/>
      </c>
      <c r="LW16" s="75" t="str">
        <f>IFERROR(IF(OR($B16="",LW$3=""),"",IF(NOT(ISNUMBER(_xll.ciqfunctions.udf.CIQ($B16, "IQ_AR_TURNS", LW$3, $E$3, $N$3, , $J$3, $K$3))),"",_xll.ciqfunctions.udf.CIQ($B16, "IQ_AR_TURNS", LW$3, $E$3, $N$3, , $J$3, $K$3))),"")</f>
        <v/>
      </c>
      <c r="LX16" s="75" t="str">
        <f>IFERROR(IF(OR($B16="",LX$3=""),"",IF(NOT(ISNUMBER(_xll.ciqfunctions.udf.CIQ($B16, "IQ_AR_TURNS", LX$3, $E$3, $N$3, , $J$3, $K$3))),"",_xll.ciqfunctions.udf.CIQ($B16, "IQ_AR_TURNS", LX$3, $E$3, $N$3, , $J$3, $K$3))),"")</f>
        <v/>
      </c>
      <c r="LY16" s="75" t="str">
        <f>IFERROR(IF(OR($B16="",LY$3=""),"",IF(NOT(ISNUMBER(_xll.ciqfunctions.udf.CIQ($B16, "IQ_AR_TURNS", LY$3, $E$3, $N$3, , $J$3, $K$3))),"",_xll.ciqfunctions.udf.CIQ($B16, "IQ_AR_TURNS", LY$3, $E$3, $N$3, , $J$3, $K$3))),"")</f>
        <v/>
      </c>
      <c r="LZ16" s="75" t="str">
        <f>IFERROR(IF(OR($B16="",LZ$3=""),"",IF(NOT(ISNUMBER(_xll.ciqfunctions.udf.CIQ($B16, "IQ_AR_TURNS", LZ$3, $E$3, $N$3, , $J$3, $K$3))),"",_xll.ciqfunctions.udf.CIQ($B16, "IQ_AR_TURNS", LZ$3, $E$3, $N$3, , $J$3, $K$3))),"")</f>
        <v/>
      </c>
      <c r="MA16" s="75" t="str">
        <f>IFERROR(IF(OR($B16="",MA$3=""),"",IF(NOT(ISNUMBER(_xll.ciqfunctions.udf.CIQ($B16, "IQ_AR_TURNS", MA$3, $E$3, $N$3, , $J$3, $K$3))),"",_xll.ciqfunctions.udf.CIQ($B16, "IQ_AR_TURNS", MA$3, $E$3, $N$3, , $J$3, $K$3))),"")</f>
        <v/>
      </c>
      <c r="MB16" s="75" t="str">
        <f>IFERROR(IF(OR($B16="",MB$3=""),"",IF(NOT(ISNUMBER(_xll.ciqfunctions.udf.CIQ($B16, "IQ_AR_TURNS", MB$3, $E$3, $N$3, , $J$3, $K$3))),"",_xll.ciqfunctions.udf.CIQ($B16, "IQ_AR_TURNS", MB$3, $E$3, $N$3, , $J$3, $K$3))),"")</f>
        <v/>
      </c>
      <c r="MC16" s="75" t="str">
        <f>IFERROR(IF(OR($B16="",MC$3=""),"",IF(NOT(ISNUMBER(_xll.ciqfunctions.udf.CIQ($B16, "IQ_AR_TURNS", MC$3, $E$3, $N$3, , $J$3, $K$3))),"",_xll.ciqfunctions.udf.CIQ($B16, "IQ_AR_TURNS", MC$3, $E$3, $N$3, , $J$3, $K$3))),"")</f>
        <v/>
      </c>
      <c r="MD16" s="75" t="str">
        <f>IFERROR(IF(OR($B16="",MD$3=""),"",IF(NOT(ISNUMBER(_xll.ciqfunctions.udf.CIQ($B16, "IQ_AR_TURNS", MD$3, $E$3, $N$3, , $J$3, $K$3))),"",_xll.ciqfunctions.udf.CIQ($B16, "IQ_AR_TURNS", MD$3, $E$3, $N$3, , $J$3, $K$3))),"")</f>
        <v/>
      </c>
      <c r="ME16" s="75" t="str">
        <f>IFERROR(IF(OR($B16="",ME$3=""),"",IF(NOT(ISNUMBER(_xll.ciqfunctions.udf.CIQ($B16, "IQ_AR_TURNS", ME$3, $E$3, $N$3, , $J$3, $K$3))),"",_xll.ciqfunctions.udf.CIQ($B16, "IQ_AR_TURNS", ME$3, $E$3, $N$3, , $J$3, $K$3))),"")</f>
        <v/>
      </c>
      <c r="MF16" s="75" t="str">
        <f>IFERROR(IF(OR($B16="",MF$3=""),"",IF(NOT(ISNUMBER(_xll.ciqfunctions.udf.CIQ($B16, "IQ_AR_TURNS", MF$3, $E$3, $N$3, , $J$3, $K$3))),"",_xll.ciqfunctions.udf.CIQ($B16, "IQ_AR_TURNS", MF$3, $E$3, $N$3, , $J$3, $K$3))),"")</f>
        <v/>
      </c>
      <c r="MG16" s="75" t="str">
        <f>IFERROR(IF(OR($B16="",MG$3=""),"",IF(NOT(ISNUMBER(_xll.ciqfunctions.udf.CIQ($B16, "IQ_AR_TURNS", MG$3, $E$3, $N$3, , $J$3, $K$3))),"",_xll.ciqfunctions.udf.CIQ($B16, "IQ_AR_TURNS", MG$3, $E$3, $N$3, , $J$3, $K$3))),"")</f>
        <v/>
      </c>
      <c r="MH16" s="75" t="str">
        <f>IFERROR(IF(OR($B16="",MH$3=""),"",IF(NOT(ISNUMBER(_xll.ciqfunctions.udf.CIQ($B16, "IQ_AR_TURNS", MH$3, $E$3, $N$3, , $J$3, $K$3))),"",_xll.ciqfunctions.udf.CIQ($B16, "IQ_AR_TURNS", MH$3, $E$3, $N$3, , $J$3, $K$3))),"")</f>
        <v/>
      </c>
      <c r="MI16" s="75" t="str">
        <f>IFERROR(IF(OR($B16="",MI$3=""),"",IF(NOT(ISNUMBER(_xll.ciqfunctions.udf.CIQ($B16, "IQ_AR_TURNS", MI$3, $E$3, $N$3, , $J$3, $K$3))),"",_xll.ciqfunctions.udf.CIQ($B16, "IQ_AR_TURNS", MI$3, $E$3, $N$3, , $J$3, $K$3))),"")</f>
        <v/>
      </c>
      <c r="MJ16" s="75" t="str">
        <f>IFERROR(IF(OR($B16="",MJ$3=""),"",IF(NOT(ISNUMBER(_xll.ciqfunctions.udf.CIQ($B16, "IQ_AR_TURNS", MJ$3, $E$3, $N$3, , $J$3, $K$3))),"",_xll.ciqfunctions.udf.CIQ($B16, "IQ_AR_TURNS", MJ$3, $E$3, $N$3, , $J$3, $K$3))),"")</f>
        <v/>
      </c>
      <c r="MK16" s="75" t="str">
        <f>IFERROR(IF(OR($B16="",MK$3=""),"",IF(NOT(ISNUMBER(_xll.ciqfunctions.udf.CIQ($B16, "IQ_AR_TURNS", MK$3, $E$3, $N$3, , $J$3, $K$3))),"",_xll.ciqfunctions.udf.CIQ($B16, "IQ_AR_TURNS", MK$3, $E$3, $N$3, , $J$3, $K$3))),"")</f>
        <v/>
      </c>
      <c r="ML16" s="75" t="str">
        <f>IFERROR(IF(OR($B16="",ML$3=""),"",IF(NOT(ISNUMBER(_xll.ciqfunctions.udf.CIQ($B16, "IQ_AR_TURNS", ML$3, $E$3, $N$3, , $J$3, $K$3))),"",_xll.ciqfunctions.udf.CIQ($B16, "IQ_AR_TURNS", ML$3, $E$3, $N$3, , $J$3, $K$3))),"")</f>
        <v/>
      </c>
      <c r="MM16" s="75" t="str">
        <f>IFERROR(IF(OR($B16="",MM$3=""),"",IF(NOT(ISNUMBER(_xll.ciqfunctions.udf.CIQ($B16, "IQ_AR_TURNS", MM$3, $E$3, $N$3, , $J$3, $K$3))),"",_xll.ciqfunctions.udf.CIQ($B16, "IQ_AR_TURNS", MM$3, $E$3, $N$3, , $J$3, $K$3))),"")</f>
        <v/>
      </c>
      <c r="MN16" s="75" t="str">
        <f>IFERROR(IF(OR($B16="",MN$3=""),"",IF(NOT(ISNUMBER(_xll.ciqfunctions.udf.CIQ($B16, "IQ_AR_TURNS", MN$3, $E$3, $N$3, , $J$3, $K$3))),"",_xll.ciqfunctions.udf.CIQ($B16, "IQ_AR_TURNS", MN$3, $E$3, $N$3, , $J$3, $K$3))),"")</f>
        <v/>
      </c>
      <c r="MO16" s="588" t="str">
        <f>IFERROR(IF(OR($B16="",MO$3=""),"",_xll.ciqfunctions.udf.CIQ($B16, "IQ_LEVERED_FCF", $O$3, MO$3, $N$3, , $J$3, $K$3)*2/(_xll.ciqfunctions.udf.CIQ($B16, "IQ_TOTAL_DEBT", MO$3, $E$3, $N$3, , $J$3, $K$3)+_xll.ciqfunctions.udf.CIQ($B16, "IQ_TOTAL_DEBT", "IQ_" &amp; LEFT(MO$3,2) &amp; "-1", MO$3, $N$3, , $J$3, $K$3)) ),"")</f>
        <v/>
      </c>
      <c r="MP16" s="588" t="str">
        <f>IFERROR(IF(OR($B16="",MP$3=""),"",_xll.ciqfunctions.udf.CIQ($B16, "IQ_LEVERED_FCF", $O$3, MP$3, $N$3, , $J$3, $K$3)*2/(_xll.ciqfunctions.udf.CIQ($B16, "IQ_TOTAL_DEBT", MP$3, $E$3, $N$3, , $J$3, $K$3)+_xll.ciqfunctions.udf.CIQ($B16, "IQ_TOTAL_DEBT", "IQ_" &amp; LEFT(MP$3,2) &amp; "-1", MP$3, $N$3, , $J$3, $K$3)) ),"")</f>
        <v/>
      </c>
      <c r="MQ16" s="588" t="str">
        <f>IFERROR(IF(OR($B16="",MQ$3=""),"",_xll.ciqfunctions.udf.CIQ($B16, "IQ_LEVERED_FCF", $O$3, MQ$3, $N$3, , $J$3, $K$3)*2/(_xll.ciqfunctions.udf.CIQ($B16, "IQ_TOTAL_DEBT", MQ$3, $E$3, $N$3, , $J$3, $K$3)+_xll.ciqfunctions.udf.CIQ($B16, "IQ_TOTAL_DEBT", "IQ_" &amp; LEFT(MQ$3,2) &amp; "-1", MQ$3, $N$3, , $J$3, $K$3)) ),"")</f>
        <v/>
      </c>
      <c r="MR16" s="588" t="str">
        <f>IFERROR(IF(OR($B16="",MR$3=""),"",_xll.ciqfunctions.udf.CIQ($B16, "IQ_LEVERED_FCF", $O$3, MR$3, $N$3, , $J$3, $K$3)*2/(_xll.ciqfunctions.udf.CIQ($B16, "IQ_TOTAL_DEBT", MR$3, $E$3, $N$3, , $J$3, $K$3)+_xll.ciqfunctions.udf.CIQ($B16, "IQ_TOTAL_DEBT", "IQ_" &amp; LEFT(MR$3,2) &amp; "-1", MR$3, $N$3, , $J$3, $K$3)) ),"")</f>
        <v/>
      </c>
      <c r="MS16" s="588" t="str">
        <f>IFERROR(IF(OR($B16="",MS$3=""),"",_xll.ciqfunctions.udf.CIQ($B16, "IQ_LEVERED_FCF", $O$3, MS$3, $N$3, , $J$3, $K$3)*2/(_xll.ciqfunctions.udf.CIQ($B16, "IQ_TOTAL_DEBT", MS$3, $E$3, $N$3, , $J$3, $K$3)+_xll.ciqfunctions.udf.CIQ($B16, "IQ_TOTAL_DEBT", "IQ_" &amp; LEFT(MS$3,2) &amp; "-1", MS$3, $N$3, , $J$3, $K$3)) ),"")</f>
        <v/>
      </c>
      <c r="MT16" s="588" t="str">
        <f>IFERROR(IF(OR($B16="",MT$3=""),"",_xll.ciqfunctions.udf.CIQ($B16, "IQ_LEVERED_FCF", $O$3, MT$3, $N$3, , $J$3, $K$3)*2/(_xll.ciqfunctions.udf.CIQ($B16, "IQ_TOTAL_DEBT", MT$3, $E$3, $N$3, , $J$3, $K$3)+_xll.ciqfunctions.udf.CIQ($B16, "IQ_TOTAL_DEBT", "IQ_" &amp; LEFT(MT$3,2) &amp; "-1", MT$3, $N$3, , $J$3, $K$3)) ),"")</f>
        <v/>
      </c>
      <c r="MU16" s="588" t="str">
        <f>IFERROR(IF(OR($B16="",MU$3=""),"",_xll.ciqfunctions.udf.CIQ($B16, "IQ_LEVERED_FCF", $O$3, MU$3, $N$3, , $J$3, $K$3)*2/(_xll.ciqfunctions.udf.CIQ($B16, "IQ_TOTAL_DEBT", MU$3, $E$3, $N$3, , $J$3, $K$3)+_xll.ciqfunctions.udf.CIQ($B16, "IQ_TOTAL_DEBT", "IQ_" &amp; LEFT(MU$3,2) &amp; "-1", MU$3, $N$3, , $J$3, $K$3)) ),"")</f>
        <v/>
      </c>
      <c r="MV16" s="588" t="str">
        <f>IFERROR(IF(OR($B16="",MV$3=""),"",_xll.ciqfunctions.udf.CIQ($B16, "IQ_LEVERED_FCF", $O$3, MV$3, $N$3, , $J$3, $K$3)*2/(_xll.ciqfunctions.udf.CIQ($B16, "IQ_TOTAL_DEBT", MV$3, $E$3, $N$3, , $J$3, $K$3)+_xll.ciqfunctions.udf.CIQ($B16, "IQ_TOTAL_DEBT", "IQ_" &amp; LEFT(MV$3,2) &amp; "-1", MV$3, $N$3, , $J$3, $K$3)) ),"")</f>
        <v/>
      </c>
      <c r="MW16" s="588" t="str">
        <f>IFERROR(IF(OR($B16="",MW$3=""),"",_xll.ciqfunctions.udf.CIQ($B16, "IQ_LEVERED_FCF", $O$3, MW$3, $N$3, , $J$3, $K$3)*2/(_xll.ciqfunctions.udf.CIQ($B16, "IQ_TOTAL_DEBT", MW$3, $E$3, $N$3, , $J$3, $K$3)+_xll.ciqfunctions.udf.CIQ($B16, "IQ_TOTAL_DEBT", "IQ_" &amp; LEFT(MW$3,2) &amp; "-1", MW$3, $N$3, , $J$3, $K$3)) ),"")</f>
        <v/>
      </c>
      <c r="MX16" s="588" t="str">
        <f>IFERROR(IF(OR($B16="",MX$3=""),"",_xll.ciqfunctions.udf.CIQ($B16, "IQ_LEVERED_FCF", $O$3, MX$3, $N$3, , $J$3, $K$3)*2/(_xll.ciqfunctions.udf.CIQ($B16, "IQ_TOTAL_DEBT", MX$3, $E$3, $N$3, , $J$3, $K$3)+_xll.ciqfunctions.udf.CIQ($B16, "IQ_TOTAL_DEBT", "IQ_" &amp; LEFT(MX$3,2) &amp; "-1", MX$3, $N$3, , $J$3, $K$3)) ),"")</f>
        <v/>
      </c>
      <c r="MY16" s="588" t="str">
        <f>IFERROR(IF(OR($B16="",MY$3=""),"",_xll.ciqfunctions.udf.CIQ($B16, "IQ_LEVERED_FCF", $O$3, MY$3, $N$3, , $J$3, $K$3)*2/(_xll.ciqfunctions.udf.CIQ($B16, "IQ_TOTAL_DEBT", MY$3, $E$3, $N$3, , $J$3, $K$3)+_xll.ciqfunctions.udf.CIQ($B16, "IQ_TOTAL_DEBT", "IQ_" &amp; LEFT(MY$3,2) &amp; "-1", MY$3, $N$3, , $J$3, $K$3)) ),"")</f>
        <v/>
      </c>
      <c r="MZ16" s="588" t="str">
        <f>IFERROR(IF(OR($B16="",MZ$3=""),"",_xll.ciqfunctions.udf.CIQ($B16, "IQ_LEVERED_FCF", $O$3, MZ$3, $N$3, , $J$3, $K$3)*2/(_xll.ciqfunctions.udf.CIQ($B16, "IQ_TOTAL_DEBT", MZ$3, $E$3, $N$3, , $J$3, $K$3)+_xll.ciqfunctions.udf.CIQ($B16, "IQ_TOTAL_DEBT", "IQ_" &amp; LEFT(MZ$3,2) &amp; "-1", MZ$3, $N$3, , $J$3, $K$3)) ),"")</f>
        <v/>
      </c>
      <c r="NA16" s="588" t="str">
        <f>IFERROR(IF(OR($B16="",NA$3=""),"",_xll.ciqfunctions.udf.CIQ($B16, "IQ_LEVERED_FCF", $O$3, NA$3, $N$3, , $J$3, $K$3)*2/(_xll.ciqfunctions.udf.CIQ($B16, "IQ_TOTAL_DEBT", NA$3, $E$3, $N$3, , $J$3, $K$3)+_xll.ciqfunctions.udf.CIQ($B16, "IQ_TOTAL_DEBT", "IQ_" &amp; LEFT(NA$3,2) &amp; "-1", NA$3, $N$3, , $J$3, $K$3)) ),"")</f>
        <v/>
      </c>
      <c r="NB16" s="588" t="str">
        <f>IFERROR(IF(OR($B16="",NB$3=""),"",_xll.ciqfunctions.udf.CIQ($B16, "IQ_LEVERED_FCF", $O$3, NB$3, $N$3, , $J$3, $K$3)*2/(_xll.ciqfunctions.udf.CIQ($B16, "IQ_TOTAL_DEBT", NB$3, $E$3, $N$3, , $J$3, $K$3)+_xll.ciqfunctions.udf.CIQ($B16, "IQ_TOTAL_DEBT", "IQ_" &amp; LEFT(NB$3,2) &amp; "-1", NB$3, $N$3, , $J$3, $K$3)) ),"")</f>
        <v/>
      </c>
      <c r="NC16" s="588" t="str">
        <f>IFERROR(IF(OR($B16="",NC$3=""),"",_xll.ciqfunctions.udf.CIQ($B16, "IQ_LEVERED_FCF", $O$3, NC$3, $N$3, , $J$3, $K$3)*2/(_xll.ciqfunctions.udf.CIQ($B16, "IQ_TOTAL_DEBT", NC$3, $E$3, $N$3, , $J$3, $K$3)+_xll.ciqfunctions.udf.CIQ($B16, "IQ_TOTAL_DEBT", "IQ_" &amp; LEFT(NC$3,2) &amp; "-1", NC$3, $N$3, , $J$3, $K$3)) ),"")</f>
        <v/>
      </c>
      <c r="ND16" s="588" t="str">
        <f>IFERROR(IF(OR($B16="",ND$3=""),"",_xll.ciqfunctions.udf.CIQ($B16, "IQ_LEVERED_FCF", $O$3, ND$3, $N$3, , $J$3, $K$3)*2/(_xll.ciqfunctions.udf.CIQ($B16, "IQ_TOTAL_DEBT", ND$3, $E$3, $N$3, , $J$3, $K$3)+_xll.ciqfunctions.udf.CIQ($B16, "IQ_TOTAL_DEBT", "IQ_" &amp; LEFT(ND$3,2) &amp; "-1", ND$3, $N$3, , $J$3, $K$3)) ),"")</f>
        <v/>
      </c>
      <c r="NE16" s="588" t="str">
        <f>IFERROR(IF(OR($B16="",NE$3=""),"",_xll.ciqfunctions.udf.CIQ($B16, "IQ_LEVERED_FCF", $O$3, NE$3, $N$3, , $J$3, $K$3)*2/(_xll.ciqfunctions.udf.CIQ($B16, "IQ_TOTAL_DEBT", NE$3, $E$3, $N$3, , $J$3, $K$3)+_xll.ciqfunctions.udf.CIQ($B16, "IQ_TOTAL_DEBT", "IQ_" &amp; LEFT(NE$3,2) &amp; "-1", NE$3, $N$3, , $J$3, $K$3)) ),"")</f>
        <v/>
      </c>
      <c r="NF16" s="588" t="str">
        <f>IFERROR(IF(OR($B16="",NF$3=""),"",_xll.ciqfunctions.udf.CIQ($B16, "IQ_LEVERED_FCF", $O$3, NF$3, $N$3, , $J$3, $K$3)*2/(_xll.ciqfunctions.udf.CIQ($B16, "IQ_TOTAL_DEBT", NF$3, $E$3, $N$3, , $J$3, $K$3)+_xll.ciqfunctions.udf.CIQ($B16, "IQ_TOTAL_DEBT", "IQ_" &amp; LEFT(NF$3,2) &amp; "-1", NF$3, $N$3, , $J$3, $K$3)) ),"")</f>
        <v/>
      </c>
      <c r="NG16" s="588" t="str">
        <f>IFERROR(IF(OR($B16="",NG$3=""),"",_xll.ciqfunctions.udf.CIQ($B16, "IQ_LEVERED_FCF", $O$3, NG$3, $N$3, , $J$3, $K$3)*2/(_xll.ciqfunctions.udf.CIQ($B16, "IQ_TOTAL_DEBT", NG$3, $E$3, $N$3, , $J$3, $K$3)+_xll.ciqfunctions.udf.CIQ($B16, "IQ_TOTAL_DEBT", "IQ_" &amp; LEFT(NG$3,2) &amp; "-1", NG$3, $N$3, , $J$3, $K$3)) ),"")</f>
        <v/>
      </c>
      <c r="NH16" s="588" t="str">
        <f>IFERROR(IF(OR($B16="",NH$3=""),"",_xll.ciqfunctions.udf.CIQ($B16, "IQ_LEVERED_FCF", $O$3, NH$3, $N$3, , $J$3, $K$3)*2/(_xll.ciqfunctions.udf.CIQ($B16, "IQ_TOTAL_DEBT", NH$3, $E$3, $N$3, , $J$3, $K$3)+_xll.ciqfunctions.udf.CIQ($B16, "IQ_TOTAL_DEBT", "IQ_" &amp; LEFT(NH$3,2) &amp; "-1", NH$3, $N$3, , $J$3, $K$3)) ),"")</f>
        <v/>
      </c>
      <c r="NI16" s="588" t="str">
        <f>IFERROR(IF(OR($B16="",NI$3=""),"",_xll.ciqfunctions.udf.CIQ($B16, "IQ_CASH_OPER", $O$3, NI$3, $N$3, , $J$3, $K$3)/_xll.ciqfunctions.udf.CIQ($B16, "IQ_NI", NI$3, $E$3, $N$3, , $J$3, $K$3)),"")</f>
        <v/>
      </c>
      <c r="NJ16" s="588" t="str">
        <f>IFERROR(IF(OR($B16="",NJ$3=""),"",_xll.ciqfunctions.udf.CIQ($B16, "IQ_CASH_OPER", $O$3, NJ$3, $N$3, , $J$3, $K$3)/_xll.ciqfunctions.udf.CIQ($B16, "IQ_NI", NJ$3, $E$3, $N$3, , $J$3, $K$3)),"")</f>
        <v/>
      </c>
      <c r="NK16" s="588" t="str">
        <f>IFERROR(IF(OR($B16="",NK$3=""),"",_xll.ciqfunctions.udf.CIQ($B16, "IQ_CASH_OPER", $O$3, NK$3, $N$3, , $J$3, $K$3)/_xll.ciqfunctions.udf.CIQ($B16, "IQ_NI", NK$3, $E$3, $N$3, , $J$3, $K$3)),"")</f>
        <v/>
      </c>
      <c r="NL16" s="588" t="str">
        <f>IFERROR(IF(OR($B16="",NL$3=""),"",_xll.ciqfunctions.udf.CIQ($B16, "IQ_CASH_OPER", $O$3, NL$3, $N$3, , $J$3, $K$3)/_xll.ciqfunctions.udf.CIQ($B16, "IQ_NI", NL$3, $E$3, $N$3, , $J$3, $K$3)),"")</f>
        <v/>
      </c>
      <c r="NM16" s="588" t="str">
        <f>IFERROR(IF(OR($B16="",NM$3=""),"",_xll.ciqfunctions.udf.CIQ($B16, "IQ_CASH_OPER", $O$3, NM$3, $N$3, , $J$3, $K$3)/_xll.ciqfunctions.udf.CIQ($B16, "IQ_NI", NM$3, $E$3, $N$3, , $J$3, $K$3)),"")</f>
        <v/>
      </c>
      <c r="NN16" s="588" t="str">
        <f>IFERROR(IF(OR($B16="",NN$3=""),"",_xll.ciqfunctions.udf.CIQ($B16, "IQ_CASH_OPER", $O$3, NN$3, $N$3, , $J$3, $K$3)/_xll.ciqfunctions.udf.CIQ($B16, "IQ_NI", NN$3, $E$3, $N$3, , $J$3, $K$3)),"")</f>
        <v/>
      </c>
      <c r="NO16" s="588" t="str">
        <f>IFERROR(IF(OR($B16="",NO$3=""),"",_xll.ciqfunctions.udf.CIQ($B16, "IQ_CASH_OPER", $O$3, NO$3, $N$3, , $J$3, $K$3)/_xll.ciqfunctions.udf.CIQ($B16, "IQ_NI", NO$3, $E$3, $N$3, , $J$3, $K$3)),"")</f>
        <v/>
      </c>
      <c r="NP16" s="588" t="str">
        <f>IFERROR(IF(OR($B16="",NP$3=""),"",_xll.ciqfunctions.udf.CIQ($B16, "IQ_CASH_OPER", $O$3, NP$3, $N$3, , $J$3, $K$3)/_xll.ciqfunctions.udf.CIQ($B16, "IQ_NI", NP$3, $E$3, $N$3, , $J$3, $K$3)),"")</f>
        <v/>
      </c>
      <c r="NQ16" s="588" t="str">
        <f>IFERROR(IF(OR($B16="",NQ$3=""),"",_xll.ciqfunctions.udf.CIQ($B16, "IQ_CASH_OPER", $O$3, NQ$3, $N$3, , $J$3, $K$3)/_xll.ciqfunctions.udf.CIQ($B16, "IQ_NI", NQ$3, $E$3, $N$3, , $J$3, $K$3)),"")</f>
        <v/>
      </c>
      <c r="NR16" s="588" t="str">
        <f>IFERROR(IF(OR($B16="",NR$3=""),"",_xll.ciqfunctions.udf.CIQ($B16, "IQ_CASH_OPER", $O$3, NR$3, $N$3, , $J$3, $K$3)/_xll.ciqfunctions.udf.CIQ($B16, "IQ_NI", NR$3, $E$3, $N$3, , $J$3, $K$3)),"")</f>
        <v/>
      </c>
      <c r="NS16" s="588" t="str">
        <f>IFERROR(IF(OR($B16="",NS$3=""),"",_xll.ciqfunctions.udf.CIQ($B16, "IQ_CASH_OPER", $O$3, NS$3, $N$3, , $J$3, $K$3)/_xll.ciqfunctions.udf.CIQ($B16, "IQ_NI", NS$3, $E$3, $N$3, , $J$3, $K$3)),"")</f>
        <v/>
      </c>
      <c r="NT16" s="588" t="str">
        <f>IFERROR(IF(OR($B16="",NT$3=""),"",_xll.ciqfunctions.udf.CIQ($B16, "IQ_CASH_OPER", $O$3, NT$3, $N$3, , $J$3, $K$3)/_xll.ciqfunctions.udf.CIQ($B16, "IQ_NI", NT$3, $E$3, $N$3, , $J$3, $K$3)),"")</f>
        <v/>
      </c>
      <c r="NU16" s="588" t="str">
        <f>IFERROR(IF(OR($B16="",NU$3=""),"",_xll.ciqfunctions.udf.CIQ($B16, "IQ_CASH_OPER", $O$3, NU$3, $N$3, , $J$3, $K$3)/_xll.ciqfunctions.udf.CIQ($B16, "IQ_NI", NU$3, $E$3, $N$3, , $J$3, $K$3)),"")</f>
        <v/>
      </c>
      <c r="NV16" s="588" t="str">
        <f>IFERROR(IF(OR($B16="",NV$3=""),"",_xll.ciqfunctions.udf.CIQ($B16, "IQ_CASH_OPER", $O$3, NV$3, $N$3, , $J$3, $K$3)/_xll.ciqfunctions.udf.CIQ($B16, "IQ_NI", NV$3, $E$3, $N$3, , $J$3, $K$3)),"")</f>
        <v/>
      </c>
      <c r="NW16" s="588" t="str">
        <f>IFERROR(IF(OR($B16="",NW$3=""),"",_xll.ciqfunctions.udf.CIQ($B16, "IQ_CASH_OPER", $O$3, NW$3, $N$3, , $J$3, $K$3)/_xll.ciqfunctions.udf.CIQ($B16, "IQ_NI", NW$3, $E$3, $N$3, , $J$3, $K$3)),"")</f>
        <v/>
      </c>
      <c r="NX16" s="588" t="str">
        <f>IFERROR(IF(OR($B16="",NX$3=""),"",_xll.ciqfunctions.udf.CIQ($B16, "IQ_CASH_OPER", $O$3, NX$3, $N$3, , $J$3, $K$3)/_xll.ciqfunctions.udf.CIQ($B16, "IQ_NI", NX$3, $E$3, $N$3, , $J$3, $K$3)),"")</f>
        <v/>
      </c>
      <c r="NY16" s="588" t="str">
        <f>IFERROR(IF(OR($B16="",NY$3=""),"",_xll.ciqfunctions.udf.CIQ($B16, "IQ_CASH_OPER", $O$3, NY$3, $N$3, , $J$3, $K$3)/_xll.ciqfunctions.udf.CIQ($B16, "IQ_NI", NY$3, $E$3, $N$3, , $J$3, $K$3)),"")</f>
        <v/>
      </c>
      <c r="NZ16" s="588" t="str">
        <f>IFERROR(IF(OR($B16="",NZ$3=""),"",_xll.ciqfunctions.udf.CIQ($B16, "IQ_CASH_OPER", $O$3, NZ$3, $N$3, , $J$3, $K$3)/_xll.ciqfunctions.udf.CIQ($B16, "IQ_NI", NZ$3, $E$3, $N$3, , $J$3, $K$3)),"")</f>
        <v/>
      </c>
      <c r="OA16" s="588" t="str">
        <f>IFERROR(IF(OR($B16="",OA$3=""),"",_xll.ciqfunctions.udf.CIQ($B16, "IQ_CASH_OPER", $O$3, OA$3, $N$3, , $J$3, $K$3)/_xll.ciqfunctions.udf.CIQ($B16, "IQ_NI", OA$3, $E$3, $N$3, , $J$3, $K$3)),"")</f>
        <v/>
      </c>
      <c r="OB16" s="588" t="str">
        <f>IFERROR(IF(OR($B16="",OB$3=""),"",_xll.ciqfunctions.udf.CIQ($B16, "IQ_CASH_OPER", $O$3, OB$3, $N$3, , $J$3, $K$3)/_xll.ciqfunctions.udf.CIQ($B16, "IQ_NI", OB$3, $E$3, $N$3, , $J$3, $K$3)),"")</f>
        <v/>
      </c>
      <c r="OC16" s="86" t="str">
        <f>IFERROR(IF(OR($B16="",OC$3=""),"",_xll.ciqfunctions.udf.CIQ($B16,"IQ_NI",$O$3, OC$3, $N$3, , $J$3, $K$3)*2/(_xll.ciqfunctions.udf.CIQ($B16,"IQ_TOTAL_ASSETS",OC$3,$I$3, $N$3, , $J$3, $K$3)+_xll.ciqfunctions.udf.CIQ($B16,"IQ_TOTAL_ASSETS", "IQ_" &amp; LEFT(OC$3,2) &amp; "-1", OC$3, $N$3, , $J$3, $K$3))),"")</f>
        <v/>
      </c>
      <c r="OD16" s="87" t="str">
        <f>IFERROR(IF(OR($B16="",OD$3=""),"",_xll.ciqfunctions.udf.CIQ($B16,"IQ_NI",$O$3, OD$3, $N$3, , $J$3, $K$3)*2/(_xll.ciqfunctions.udf.CIQ($B16,"IQ_TOTAL_ASSETS",OD$3,$I$3, $N$3, , $J$3, $K$3)+_xll.ciqfunctions.udf.CIQ($B16,"IQ_TOTAL_ASSETS", "IQ_" &amp; LEFT(OD$3,2) &amp; "-1", OD$3, $N$3, , $J$3, $K$3))),"")</f>
        <v/>
      </c>
      <c r="OE16" s="87" t="str">
        <f>IFERROR(IF(OR($B16="",OE$3=""),"",_xll.ciqfunctions.udf.CIQ($B16,"IQ_NI",$O$3, OE$3, $N$3, , $J$3, $K$3)*2/(_xll.ciqfunctions.udf.CIQ($B16,"IQ_TOTAL_ASSETS",OE$3,$I$3, $N$3, , $J$3, $K$3)+_xll.ciqfunctions.udf.CIQ($B16,"IQ_TOTAL_ASSETS", "IQ_" &amp; LEFT(OE$3,2) &amp; "-1", OE$3, $N$3, , $J$3, $K$3))),"")</f>
        <v/>
      </c>
      <c r="OF16" s="87" t="str">
        <f>IFERROR(IF(OR($B16="",OF$3=""),"",_xll.ciqfunctions.udf.CIQ($B16,"IQ_NI",$O$3, OF$3, $N$3, , $J$3, $K$3)*2/(_xll.ciqfunctions.udf.CIQ($B16,"IQ_TOTAL_ASSETS",OF$3,$I$3, $N$3, , $J$3, $K$3)+_xll.ciqfunctions.udf.CIQ($B16,"IQ_TOTAL_ASSETS", "IQ_" &amp; LEFT(OF$3,2) &amp; "-1", OF$3, $N$3, , $J$3, $K$3))),"")</f>
        <v/>
      </c>
      <c r="OG16" s="87" t="str">
        <f>IFERROR(IF(OR($B16="",OG$3=""),"",_xll.ciqfunctions.udf.CIQ($B16,"IQ_NI",$O$3, OG$3, $N$3, , $J$3, $K$3)*2/(_xll.ciqfunctions.udf.CIQ($B16,"IQ_TOTAL_ASSETS",OG$3,$I$3, $N$3, , $J$3, $K$3)+_xll.ciqfunctions.udf.CIQ($B16,"IQ_TOTAL_ASSETS", "IQ_" &amp; LEFT(OG$3,2) &amp; "-1", OG$3, $N$3, , $J$3, $K$3))),"")</f>
        <v/>
      </c>
      <c r="OH16" s="87" t="str">
        <f>IFERROR(IF(OR($B16="",OH$3=""),"",_xll.ciqfunctions.udf.CIQ($B16,"IQ_NI",$O$3, OH$3, $N$3, , $J$3, $K$3)*2/(_xll.ciqfunctions.udf.CIQ($B16,"IQ_TOTAL_ASSETS",OH$3,$I$3, $N$3, , $J$3, $K$3)+_xll.ciqfunctions.udf.CIQ($B16,"IQ_TOTAL_ASSETS", "IQ_" &amp; LEFT(OH$3,2) &amp; "-1", OH$3, $N$3, , $J$3, $K$3))),"")</f>
        <v/>
      </c>
      <c r="OI16" s="87" t="str">
        <f>IFERROR(IF(OR($B16="",OI$3=""),"",_xll.ciqfunctions.udf.CIQ($B16,"IQ_NI",$O$3, OI$3, $N$3, , $J$3, $K$3)*2/(_xll.ciqfunctions.udf.CIQ($B16,"IQ_TOTAL_ASSETS",OI$3,$I$3, $N$3, , $J$3, $K$3)+_xll.ciqfunctions.udf.CIQ($B16,"IQ_TOTAL_ASSETS", "IQ_" &amp; LEFT(OI$3,2) &amp; "-1", OI$3, $N$3, , $J$3, $K$3))),"")</f>
        <v/>
      </c>
      <c r="OJ16" s="87" t="str">
        <f>IFERROR(IF(OR($B16="",OJ$3=""),"",_xll.ciqfunctions.udf.CIQ($B16,"IQ_NI",$O$3, OJ$3, $N$3, , $J$3, $K$3)*2/(_xll.ciqfunctions.udf.CIQ($B16,"IQ_TOTAL_ASSETS",OJ$3,$I$3, $N$3, , $J$3, $K$3)+_xll.ciqfunctions.udf.CIQ($B16,"IQ_TOTAL_ASSETS", "IQ_" &amp; LEFT(OJ$3,2) &amp; "-1", OJ$3, $N$3, , $J$3, $K$3))),"")</f>
        <v/>
      </c>
      <c r="OK16" s="87" t="str">
        <f>IFERROR(IF(OR($B16="",OK$3=""),"",_xll.ciqfunctions.udf.CIQ($B16,"IQ_NI",$O$3, OK$3, $N$3, , $J$3, $K$3)*2/(_xll.ciqfunctions.udf.CIQ($B16,"IQ_TOTAL_ASSETS",OK$3,$I$3, $N$3, , $J$3, $K$3)+_xll.ciqfunctions.udf.CIQ($B16,"IQ_TOTAL_ASSETS", "IQ_" &amp; LEFT(OK$3,2) &amp; "-1", OK$3, $N$3, , $J$3, $K$3))),"")</f>
        <v/>
      </c>
      <c r="OL16" s="87" t="str">
        <f>IFERROR(IF(OR($B16="",OL$3=""),"",_xll.ciqfunctions.udf.CIQ($B16,"IQ_NI",$O$3, OL$3, $N$3, , $J$3, $K$3)*2/(_xll.ciqfunctions.udf.CIQ($B16,"IQ_TOTAL_ASSETS",OL$3,$I$3, $N$3, , $J$3, $K$3)+_xll.ciqfunctions.udf.CIQ($B16,"IQ_TOTAL_ASSETS", "IQ_" &amp; LEFT(OL$3,2) &amp; "-1", OL$3, $N$3, , $J$3, $K$3))),"")</f>
        <v/>
      </c>
      <c r="OM16" s="87" t="str">
        <f>IFERROR(IF(OR($B16="",OM$3=""),"",_xll.ciqfunctions.udf.CIQ($B16,"IQ_NI",$O$3, OM$3, $N$3, , $J$3, $K$3)*2/(_xll.ciqfunctions.udf.CIQ($B16,"IQ_TOTAL_ASSETS",OM$3,$I$3, $N$3, , $J$3, $K$3)+_xll.ciqfunctions.udf.CIQ($B16,"IQ_TOTAL_ASSETS", "IQ_" &amp; LEFT(OM$3,2) &amp; "-1", OM$3, $N$3, , $J$3, $K$3))),"")</f>
        <v/>
      </c>
      <c r="ON16" s="87" t="str">
        <f>IFERROR(IF(OR($B16="",ON$3=""),"",_xll.ciqfunctions.udf.CIQ($B16,"IQ_NI",$O$3, ON$3, $N$3, , $J$3, $K$3)*2/(_xll.ciqfunctions.udf.CIQ($B16,"IQ_TOTAL_ASSETS",ON$3,$I$3, $N$3, , $J$3, $K$3)+_xll.ciqfunctions.udf.CIQ($B16,"IQ_TOTAL_ASSETS", "IQ_" &amp; LEFT(ON$3,2) &amp; "-1", ON$3, $N$3, , $J$3, $K$3))),"")</f>
        <v/>
      </c>
      <c r="OO16" s="87" t="str">
        <f>IFERROR(IF(OR($B16="",OO$3=""),"",_xll.ciqfunctions.udf.CIQ($B16,"IQ_NI",$O$3, OO$3, $N$3, , $J$3, $K$3)*2/(_xll.ciqfunctions.udf.CIQ($B16,"IQ_TOTAL_ASSETS",OO$3,$I$3, $N$3, , $J$3, $K$3)+_xll.ciqfunctions.udf.CIQ($B16,"IQ_TOTAL_ASSETS", "IQ_" &amp; LEFT(OO$3,2) &amp; "-1", OO$3, $N$3, , $J$3, $K$3))),"")</f>
        <v/>
      </c>
      <c r="OP16" s="87" t="str">
        <f>IFERROR(IF(OR($B16="",OP$3=""),"",_xll.ciqfunctions.udf.CIQ($B16,"IQ_NI",$O$3, OP$3, $N$3, , $J$3, $K$3)*2/(_xll.ciqfunctions.udf.CIQ($B16,"IQ_TOTAL_ASSETS",OP$3,$I$3, $N$3, , $J$3, $K$3)+_xll.ciqfunctions.udf.CIQ($B16,"IQ_TOTAL_ASSETS", "IQ_" &amp; LEFT(OP$3,2) &amp; "-1", OP$3, $N$3, , $J$3, $K$3))),"")</f>
        <v/>
      </c>
      <c r="OQ16" s="87" t="str">
        <f>IFERROR(IF(OR($B16="",OQ$3=""),"",_xll.ciqfunctions.udf.CIQ($B16,"IQ_NI",$O$3, OQ$3, $N$3, , $J$3, $K$3)*2/(_xll.ciqfunctions.udf.CIQ($B16,"IQ_TOTAL_ASSETS",OQ$3,$I$3, $N$3, , $J$3, $K$3)+_xll.ciqfunctions.udf.CIQ($B16,"IQ_TOTAL_ASSETS", "IQ_" &amp; LEFT(OQ$3,2) &amp; "-1", OQ$3, $N$3, , $J$3, $K$3))),"")</f>
        <v/>
      </c>
      <c r="OR16" s="87" t="str">
        <f>IFERROR(IF(OR($B16="",OR$3=""),"",_xll.ciqfunctions.udf.CIQ($B16,"IQ_NI",$O$3, OR$3, $N$3, , $J$3, $K$3)*2/(_xll.ciqfunctions.udf.CIQ($B16,"IQ_TOTAL_ASSETS",OR$3,$I$3, $N$3, , $J$3, $K$3)+_xll.ciqfunctions.udf.CIQ($B16,"IQ_TOTAL_ASSETS", "IQ_" &amp; LEFT(OR$3,2) &amp; "-1", OR$3, $N$3, , $J$3, $K$3))),"")</f>
        <v/>
      </c>
      <c r="OS16" s="87" t="str">
        <f>IFERROR(IF(OR($B16="",OS$3=""),"",_xll.ciqfunctions.udf.CIQ($B16,"IQ_NI",$O$3, OS$3, $N$3, , $J$3, $K$3)*2/(_xll.ciqfunctions.udf.CIQ($B16,"IQ_TOTAL_ASSETS",OS$3,$I$3, $N$3, , $J$3, $K$3)+_xll.ciqfunctions.udf.CIQ($B16,"IQ_TOTAL_ASSETS", "IQ_" &amp; LEFT(OS$3,2) &amp; "-1", OS$3, $N$3, , $J$3, $K$3))),"")</f>
        <v/>
      </c>
      <c r="OT16" s="87" t="str">
        <f>IFERROR(IF(OR($B16="",OT$3=""),"",_xll.ciqfunctions.udf.CIQ($B16,"IQ_NI",$O$3, OT$3, $N$3, , $J$3, $K$3)*2/(_xll.ciqfunctions.udf.CIQ($B16,"IQ_TOTAL_ASSETS",OT$3,$I$3, $N$3, , $J$3, $K$3)+_xll.ciqfunctions.udf.CIQ($B16,"IQ_TOTAL_ASSETS", "IQ_" &amp; LEFT(OT$3,2) &amp; "-1", OT$3, $N$3, , $J$3, $K$3))),"")</f>
        <v/>
      </c>
      <c r="OU16" s="87" t="str">
        <f>IFERROR(IF(OR($B16="",OU$3=""),"",_xll.ciqfunctions.udf.CIQ($B16,"IQ_NI",$O$3, OU$3, $N$3, , $J$3, $K$3)*2/(_xll.ciqfunctions.udf.CIQ($B16,"IQ_TOTAL_ASSETS",OU$3,$I$3, $N$3, , $J$3, $K$3)+_xll.ciqfunctions.udf.CIQ($B16,"IQ_TOTAL_ASSETS", "IQ_" &amp; LEFT(OU$3,2) &amp; "-1", OU$3, $N$3, , $J$3, $K$3))),"")</f>
        <v/>
      </c>
      <c r="OV16" s="88" t="str">
        <f>IFERROR(IF(OR($B16="",OV$3=""),"",_xll.ciqfunctions.udf.CIQ($B16,"IQ_NI",$O$3, OV$3, $N$3, , $J$3, $K$3)*2/(_xll.ciqfunctions.udf.CIQ($B16,"IQ_TOTAL_ASSETS",OV$3,$I$3, $N$3, , $J$3, $K$3)+_xll.ciqfunctions.udf.CIQ($B16,"IQ_TOTAL_ASSETS", "IQ_" &amp; LEFT(OV$3,2) &amp; "-1", OV$3, $N$3, , $J$3, $K$3))),"")</f>
        <v/>
      </c>
      <c r="OW16" s="86" t="str">
        <f>IFERROR(IF(OR($B16="",OW$3=""),"",_xll.ciqfunctions.udf.CIQ($B16, "IQ_NI", $O$3, OW$3, $N$3, , $J$3, $K$3)*2/(_xll.ciqfunctions.udf.CIQ($B16, "IQ_TOTAL_ASSETS", OW$3, $I$3, $N$3, , $J$3, $K$3)+_xll.ciqfunctions.udf.CIQ($B16, "IQ_TOTAL_ASSETS", "IQ_" &amp; LEFT(OW$3,2) &amp; "-1", OW$3, $N$3, , $J$3, $K$3)-_xll.ciqfunctions.udf.CIQ($B16, "IQ_TOTAL_CL", OW$3, $I$3, $N$3, , $J$3, $K$3)-_xll.ciqfunctions.udf.CIQ($B16, "IQ_TOTAL_CL", "IQ_" &amp; LEFT(OW$3,2) &amp; "-1", OW$3, $N$3, , $J$3, $K$3))),"")</f>
        <v/>
      </c>
      <c r="OX16" s="87" t="str">
        <f>IFERROR(IF(OR($B16="",OX$3=""),"",_xll.ciqfunctions.udf.CIQ($B16, "IQ_NI", $O$3, OX$3, $N$3, , $J$3, $K$3)*2/(_xll.ciqfunctions.udf.CIQ($B16, "IQ_TOTAL_ASSETS", OX$3, $I$3, $N$3, , $J$3, $K$3)+_xll.ciqfunctions.udf.CIQ($B16, "IQ_TOTAL_ASSETS", "IQ_" &amp; LEFT(OX$3,2) &amp; "-1", OX$3, $N$3, , $J$3, $K$3)-_xll.ciqfunctions.udf.CIQ($B16, "IQ_TOTAL_CL", OX$3, $I$3, $N$3, , $J$3, $K$3)-_xll.ciqfunctions.udf.CIQ($B16, "IQ_TOTAL_CL", "IQ_" &amp; LEFT(OX$3,2) &amp; "-1", OX$3, $N$3, , $J$3, $K$3))),"")</f>
        <v/>
      </c>
      <c r="OY16" s="87" t="str">
        <f>IFERROR(IF(OR($B16="",OY$3=""),"",_xll.ciqfunctions.udf.CIQ($B16, "IQ_NI", $O$3, OY$3, $N$3, , $J$3, $K$3)*2/(_xll.ciqfunctions.udf.CIQ($B16, "IQ_TOTAL_ASSETS", OY$3, $I$3, $N$3, , $J$3, $K$3)+_xll.ciqfunctions.udf.CIQ($B16, "IQ_TOTAL_ASSETS", "IQ_" &amp; LEFT(OY$3,2) &amp; "-1", OY$3, $N$3, , $J$3, $K$3)-_xll.ciqfunctions.udf.CIQ($B16, "IQ_TOTAL_CL", OY$3, $I$3, $N$3, , $J$3, $K$3)-_xll.ciqfunctions.udf.CIQ($B16, "IQ_TOTAL_CL", "IQ_" &amp; LEFT(OY$3,2) &amp; "-1", OY$3, $N$3, , $J$3, $K$3))),"")</f>
        <v/>
      </c>
      <c r="OZ16" s="87" t="str">
        <f>IFERROR(IF(OR($B16="",OZ$3=""),"",_xll.ciqfunctions.udf.CIQ($B16, "IQ_NI", $O$3, OZ$3, $N$3, , $J$3, $K$3)*2/(_xll.ciqfunctions.udf.CIQ($B16, "IQ_TOTAL_ASSETS", OZ$3, $I$3, $N$3, , $J$3, $K$3)+_xll.ciqfunctions.udf.CIQ($B16, "IQ_TOTAL_ASSETS", "IQ_" &amp; LEFT(OZ$3,2) &amp; "-1", OZ$3, $N$3, , $J$3, $K$3)-_xll.ciqfunctions.udf.CIQ($B16, "IQ_TOTAL_CL", OZ$3, $I$3, $N$3, , $J$3, $K$3)-_xll.ciqfunctions.udf.CIQ($B16, "IQ_TOTAL_CL", "IQ_" &amp; LEFT(OZ$3,2) &amp; "-1", OZ$3, $N$3, , $J$3, $K$3))),"")</f>
        <v/>
      </c>
      <c r="PA16" s="87" t="str">
        <f>IFERROR(IF(OR($B16="",PA$3=""),"",_xll.ciqfunctions.udf.CIQ($B16, "IQ_NI", $O$3, PA$3, $N$3, , $J$3, $K$3)*2/(_xll.ciqfunctions.udf.CIQ($B16, "IQ_TOTAL_ASSETS", PA$3, $I$3, $N$3, , $J$3, $K$3)+_xll.ciqfunctions.udf.CIQ($B16, "IQ_TOTAL_ASSETS", "IQ_" &amp; LEFT(PA$3,2) &amp; "-1", PA$3, $N$3, , $J$3, $K$3)-_xll.ciqfunctions.udf.CIQ($B16, "IQ_TOTAL_CL", PA$3, $I$3, $N$3, , $J$3, $K$3)-_xll.ciqfunctions.udf.CIQ($B16, "IQ_TOTAL_CL", "IQ_" &amp; LEFT(PA$3,2) &amp; "-1", PA$3, $N$3, , $J$3, $K$3))),"")</f>
        <v/>
      </c>
      <c r="PB16" s="87" t="str">
        <f>IFERROR(IF(OR($B16="",PB$3=""),"",_xll.ciqfunctions.udf.CIQ($B16, "IQ_NI", $O$3, PB$3, $N$3, , $J$3, $K$3)*2/(_xll.ciqfunctions.udf.CIQ($B16, "IQ_TOTAL_ASSETS", PB$3, $I$3, $N$3, , $J$3, $K$3)+_xll.ciqfunctions.udf.CIQ($B16, "IQ_TOTAL_ASSETS", "IQ_" &amp; LEFT(PB$3,2) &amp; "-1", PB$3, $N$3, , $J$3, $K$3)-_xll.ciqfunctions.udf.CIQ($B16, "IQ_TOTAL_CL", PB$3, $I$3, $N$3, , $J$3, $K$3)-_xll.ciqfunctions.udf.CIQ($B16, "IQ_TOTAL_CL", "IQ_" &amp; LEFT(PB$3,2) &amp; "-1", PB$3, $N$3, , $J$3, $K$3))),"")</f>
        <v/>
      </c>
      <c r="PC16" s="87" t="str">
        <f>IFERROR(IF(OR($B16="",PC$3=""),"",_xll.ciqfunctions.udf.CIQ($B16, "IQ_NI", $O$3, PC$3, $N$3, , $J$3, $K$3)*2/(_xll.ciqfunctions.udf.CIQ($B16, "IQ_TOTAL_ASSETS", PC$3, $I$3, $N$3, , $J$3, $K$3)+_xll.ciqfunctions.udf.CIQ($B16, "IQ_TOTAL_ASSETS", "IQ_" &amp; LEFT(PC$3,2) &amp; "-1", PC$3, $N$3, , $J$3, $K$3)-_xll.ciqfunctions.udf.CIQ($B16, "IQ_TOTAL_CL", PC$3, $I$3, $N$3, , $J$3, $K$3)-_xll.ciqfunctions.udf.CIQ($B16, "IQ_TOTAL_CL", "IQ_" &amp; LEFT(PC$3,2) &amp; "-1", PC$3, $N$3, , $J$3, $K$3))),"")</f>
        <v/>
      </c>
      <c r="PD16" s="87" t="str">
        <f>IFERROR(IF(OR($B16="",PD$3=""),"",_xll.ciqfunctions.udf.CIQ($B16, "IQ_NI", $O$3, PD$3, $N$3, , $J$3, $K$3)*2/(_xll.ciqfunctions.udf.CIQ($B16, "IQ_TOTAL_ASSETS", PD$3, $I$3, $N$3, , $J$3, $K$3)+_xll.ciqfunctions.udf.CIQ($B16, "IQ_TOTAL_ASSETS", "IQ_" &amp; LEFT(PD$3,2) &amp; "-1", PD$3, $N$3, , $J$3, $K$3)-_xll.ciqfunctions.udf.CIQ($B16, "IQ_TOTAL_CL", PD$3, $I$3, $N$3, , $J$3, $K$3)-_xll.ciqfunctions.udf.CIQ($B16, "IQ_TOTAL_CL", "IQ_" &amp; LEFT(PD$3,2) &amp; "-1", PD$3, $N$3, , $J$3, $K$3))),"")</f>
        <v/>
      </c>
      <c r="PE16" s="87" t="str">
        <f>IFERROR(IF(OR($B16="",PE$3=""),"",_xll.ciqfunctions.udf.CIQ($B16, "IQ_NI", $O$3, PE$3, $N$3, , $J$3, $K$3)*2/(_xll.ciqfunctions.udf.CIQ($B16, "IQ_TOTAL_ASSETS", PE$3, $I$3, $N$3, , $J$3, $K$3)+_xll.ciqfunctions.udf.CIQ($B16, "IQ_TOTAL_ASSETS", "IQ_" &amp; LEFT(PE$3,2) &amp; "-1", PE$3, $N$3, , $J$3, $K$3)-_xll.ciqfunctions.udf.CIQ($B16, "IQ_TOTAL_CL", PE$3, $I$3, $N$3, , $J$3, $K$3)-_xll.ciqfunctions.udf.CIQ($B16, "IQ_TOTAL_CL", "IQ_" &amp; LEFT(PE$3,2) &amp; "-1", PE$3, $N$3, , $J$3, $K$3))),"")</f>
        <v/>
      </c>
      <c r="PF16" s="87" t="str">
        <f>IFERROR(IF(OR($B16="",PF$3=""),"",_xll.ciqfunctions.udf.CIQ($B16, "IQ_NI", $O$3, PF$3, $N$3, , $J$3, $K$3)*2/(_xll.ciqfunctions.udf.CIQ($B16, "IQ_TOTAL_ASSETS", PF$3, $I$3, $N$3, , $J$3, $K$3)+_xll.ciqfunctions.udf.CIQ($B16, "IQ_TOTAL_ASSETS", "IQ_" &amp; LEFT(PF$3,2) &amp; "-1", PF$3, $N$3, , $J$3, $K$3)-_xll.ciqfunctions.udf.CIQ($B16, "IQ_TOTAL_CL", PF$3, $I$3, $N$3, , $J$3, $K$3)-_xll.ciqfunctions.udf.CIQ($B16, "IQ_TOTAL_CL", "IQ_" &amp; LEFT(PF$3,2) &amp; "-1", PF$3, $N$3, , $J$3, $K$3))),"")</f>
        <v/>
      </c>
      <c r="PG16" s="87" t="str">
        <f>IFERROR(IF(OR($B16="",PG$3=""),"",_xll.ciqfunctions.udf.CIQ($B16, "IQ_NI", $O$3, PG$3, $N$3, , $J$3, $K$3)*2/(_xll.ciqfunctions.udf.CIQ($B16, "IQ_TOTAL_ASSETS", PG$3, $I$3, $N$3, , $J$3, $K$3)+_xll.ciqfunctions.udf.CIQ($B16, "IQ_TOTAL_ASSETS", "IQ_" &amp; LEFT(PG$3,2) &amp; "-1", PG$3, $N$3, , $J$3, $K$3)-_xll.ciqfunctions.udf.CIQ($B16, "IQ_TOTAL_CL", PG$3, $I$3, $N$3, , $J$3, $K$3)-_xll.ciqfunctions.udf.CIQ($B16, "IQ_TOTAL_CL", "IQ_" &amp; LEFT(PG$3,2) &amp; "-1", PG$3, $N$3, , $J$3, $K$3))),"")</f>
        <v/>
      </c>
      <c r="PH16" s="87" t="str">
        <f>IFERROR(IF(OR($B16="",PH$3=""),"",_xll.ciqfunctions.udf.CIQ($B16, "IQ_NI", $O$3, PH$3, $N$3, , $J$3, $K$3)*2/(_xll.ciqfunctions.udf.CIQ($B16, "IQ_TOTAL_ASSETS", PH$3, $I$3, $N$3, , $J$3, $K$3)+_xll.ciqfunctions.udf.CIQ($B16, "IQ_TOTAL_ASSETS", "IQ_" &amp; LEFT(PH$3,2) &amp; "-1", PH$3, $N$3, , $J$3, $K$3)-_xll.ciqfunctions.udf.CIQ($B16, "IQ_TOTAL_CL", PH$3, $I$3, $N$3, , $J$3, $K$3)-_xll.ciqfunctions.udf.CIQ($B16, "IQ_TOTAL_CL", "IQ_" &amp; LEFT(PH$3,2) &amp; "-1", PH$3, $N$3, , $J$3, $K$3))),"")</f>
        <v/>
      </c>
      <c r="PI16" s="87" t="str">
        <f>IFERROR(IF(OR($B16="",PI$3=""),"",_xll.ciqfunctions.udf.CIQ($B16, "IQ_NI", $O$3, PI$3, $N$3, , $J$3, $K$3)*2/(_xll.ciqfunctions.udf.CIQ($B16, "IQ_TOTAL_ASSETS", PI$3, $I$3, $N$3, , $J$3, $K$3)+_xll.ciqfunctions.udf.CIQ($B16, "IQ_TOTAL_ASSETS", "IQ_" &amp; LEFT(PI$3,2) &amp; "-1", PI$3, $N$3, , $J$3, $K$3)-_xll.ciqfunctions.udf.CIQ($B16, "IQ_TOTAL_CL", PI$3, $I$3, $N$3, , $J$3, $K$3)-_xll.ciqfunctions.udf.CIQ($B16, "IQ_TOTAL_CL", "IQ_" &amp; LEFT(PI$3,2) &amp; "-1", PI$3, $N$3, , $J$3, $K$3))),"")</f>
        <v/>
      </c>
      <c r="PJ16" s="87" t="str">
        <f>IFERROR(IF(OR($B16="",PJ$3=""),"",_xll.ciqfunctions.udf.CIQ($B16, "IQ_NI", $O$3, PJ$3, $N$3, , $J$3, $K$3)*2/(_xll.ciqfunctions.udf.CIQ($B16, "IQ_TOTAL_ASSETS", PJ$3, $I$3, $N$3, , $J$3, $K$3)+_xll.ciqfunctions.udf.CIQ($B16, "IQ_TOTAL_ASSETS", "IQ_" &amp; LEFT(PJ$3,2) &amp; "-1", PJ$3, $N$3, , $J$3, $K$3)-_xll.ciqfunctions.udf.CIQ($B16, "IQ_TOTAL_CL", PJ$3, $I$3, $N$3, , $J$3, $K$3)-_xll.ciqfunctions.udf.CIQ($B16, "IQ_TOTAL_CL", "IQ_" &amp; LEFT(PJ$3,2) &amp; "-1", PJ$3, $N$3, , $J$3, $K$3))),"")</f>
        <v/>
      </c>
      <c r="PK16" s="87" t="str">
        <f>IFERROR(IF(OR($B16="",PK$3=""),"",_xll.ciqfunctions.udf.CIQ($B16, "IQ_NI", $O$3, PK$3, $N$3, , $J$3, $K$3)*2/(_xll.ciqfunctions.udf.CIQ($B16, "IQ_TOTAL_ASSETS", PK$3, $I$3, $N$3, , $J$3, $K$3)+_xll.ciqfunctions.udf.CIQ($B16, "IQ_TOTAL_ASSETS", "IQ_" &amp; LEFT(PK$3,2) &amp; "-1", PK$3, $N$3, , $J$3, $K$3)-_xll.ciqfunctions.udf.CIQ($B16, "IQ_TOTAL_CL", PK$3, $I$3, $N$3, , $J$3, $K$3)-_xll.ciqfunctions.udf.CIQ($B16, "IQ_TOTAL_CL", "IQ_" &amp; LEFT(PK$3,2) &amp; "-1", PK$3, $N$3, , $J$3, $K$3))),"")</f>
        <v/>
      </c>
      <c r="PL16" s="87" t="str">
        <f>IFERROR(IF(OR($B16="",PL$3=""),"",_xll.ciqfunctions.udf.CIQ($B16, "IQ_NI", $O$3, PL$3, $N$3, , $J$3, $K$3)*2/(_xll.ciqfunctions.udf.CIQ($B16, "IQ_TOTAL_ASSETS", PL$3, $I$3, $N$3, , $J$3, $K$3)+_xll.ciqfunctions.udf.CIQ($B16, "IQ_TOTAL_ASSETS", "IQ_" &amp; LEFT(PL$3,2) &amp; "-1", PL$3, $N$3, , $J$3, $K$3)-_xll.ciqfunctions.udf.CIQ($B16, "IQ_TOTAL_CL", PL$3, $I$3, $N$3, , $J$3, $K$3)-_xll.ciqfunctions.udf.CIQ($B16, "IQ_TOTAL_CL", "IQ_" &amp; LEFT(PL$3,2) &amp; "-1", PL$3, $N$3, , $J$3, $K$3))),"")</f>
        <v/>
      </c>
      <c r="PM16" s="87" t="str">
        <f>IFERROR(IF(OR($B16="",PM$3=""),"",_xll.ciqfunctions.udf.CIQ($B16, "IQ_NI", $O$3, PM$3, $N$3, , $J$3, $K$3)*2/(_xll.ciqfunctions.udf.CIQ($B16, "IQ_TOTAL_ASSETS", PM$3, $I$3, $N$3, , $J$3, $K$3)+_xll.ciqfunctions.udf.CIQ($B16, "IQ_TOTAL_ASSETS", "IQ_" &amp; LEFT(PM$3,2) &amp; "-1", PM$3, $N$3, , $J$3, $K$3)-_xll.ciqfunctions.udf.CIQ($B16, "IQ_TOTAL_CL", PM$3, $I$3, $N$3, , $J$3, $K$3)-_xll.ciqfunctions.udf.CIQ($B16, "IQ_TOTAL_CL", "IQ_" &amp; LEFT(PM$3,2) &amp; "-1", PM$3, $N$3, , $J$3, $K$3))),"")</f>
        <v/>
      </c>
      <c r="PN16" s="87" t="str">
        <f>IFERROR(IF(OR($B16="",PN$3=""),"",_xll.ciqfunctions.udf.CIQ($B16, "IQ_NI", $O$3, PN$3, $N$3, , $J$3, $K$3)*2/(_xll.ciqfunctions.udf.CIQ($B16, "IQ_TOTAL_ASSETS", PN$3, $I$3, $N$3, , $J$3, $K$3)+_xll.ciqfunctions.udf.CIQ($B16, "IQ_TOTAL_ASSETS", "IQ_" &amp; LEFT(PN$3,2) &amp; "-1", PN$3, $N$3, , $J$3, $K$3)-_xll.ciqfunctions.udf.CIQ($B16, "IQ_TOTAL_CL", PN$3, $I$3, $N$3, , $J$3, $K$3)-_xll.ciqfunctions.udf.CIQ($B16, "IQ_TOTAL_CL", "IQ_" &amp; LEFT(PN$3,2) &amp; "-1", PN$3, $N$3, , $J$3, $K$3))),"")</f>
        <v/>
      </c>
      <c r="PO16" s="87" t="str">
        <f>IFERROR(IF(OR($B16="",PO$3=""),"",_xll.ciqfunctions.udf.CIQ($B16, "IQ_NI", $O$3, PO$3, $N$3, , $J$3, $K$3)*2/(_xll.ciqfunctions.udf.CIQ($B16, "IQ_TOTAL_ASSETS", PO$3, $I$3, $N$3, , $J$3, $K$3)+_xll.ciqfunctions.udf.CIQ($B16, "IQ_TOTAL_ASSETS", "IQ_" &amp; LEFT(PO$3,2) &amp; "-1", PO$3, $N$3, , $J$3, $K$3)-_xll.ciqfunctions.udf.CIQ($B16, "IQ_TOTAL_CL", PO$3, $I$3, $N$3, , $J$3, $K$3)-_xll.ciqfunctions.udf.CIQ($B16, "IQ_TOTAL_CL", "IQ_" &amp; LEFT(PO$3,2) &amp; "-1", PO$3, $N$3, , $J$3, $K$3))),"")</f>
        <v/>
      </c>
      <c r="PP16" s="88" t="str">
        <f>IFERROR(IF(OR($B16="",PP$3=""),"",_xll.ciqfunctions.udf.CIQ($B16, "IQ_NI", $O$3, PP$3, $N$3, , $J$3, $K$3)*2/(_xll.ciqfunctions.udf.CIQ($B16, "IQ_TOTAL_ASSETS", PP$3, $I$3, $N$3, , $J$3, $K$3)+_xll.ciqfunctions.udf.CIQ($B16, "IQ_TOTAL_ASSETS", "IQ_" &amp; LEFT(PP$3,2) &amp; "-1", PP$3, $N$3, , $J$3, $K$3)-_xll.ciqfunctions.udf.CIQ($B16, "IQ_TOTAL_CL", PP$3, $I$3, $N$3, , $J$3, $K$3)-_xll.ciqfunctions.udf.CIQ($B16, "IQ_TOTAL_CL", "IQ_" &amp; LEFT(PP$3,2) &amp; "-1", PP$3, $N$3, , $J$3, $K$3))),"")</f>
        <v/>
      </c>
      <c r="PQ16" s="89" t="str">
        <f>IFERROR(IF(OR($B16="",PQ$3=""),"",_xll.ciqfunctions.udf.CIQ($B16,"IQ_TOTAL_ASSETS",PQ$3, $I$3, $N$3, , $J$3, $K$3)/_xll.ciqfunctions.udf.CIQ($B16,"IQ_TOTAL_COMMON_EQUITY",PQ$3, $I$3, $N$3, , $J$3, $K$3)),"")</f>
        <v/>
      </c>
      <c r="PR16" s="90" t="str">
        <f>IFERROR(IF(OR($B16="",PR$3=""),"",_xll.ciqfunctions.udf.CIQ($B16,"IQ_TOTAL_ASSETS",PR$3, $I$3, $N$3, , $J$3, $K$3)/_xll.ciqfunctions.udf.CIQ($B16,"IQ_TOTAL_COMMON_EQUITY",PR$3, $I$3, $N$3, , $J$3, $K$3)),"")</f>
        <v/>
      </c>
      <c r="PS16" s="90" t="str">
        <f>IFERROR(IF(OR($B16="",PS$3=""),"",_xll.ciqfunctions.udf.CIQ($B16,"IQ_TOTAL_ASSETS",PS$3, $I$3, $N$3, , $J$3, $K$3)/_xll.ciqfunctions.udf.CIQ($B16,"IQ_TOTAL_COMMON_EQUITY",PS$3, $I$3, $N$3, , $J$3, $K$3)),"")</f>
        <v/>
      </c>
      <c r="PT16" s="90" t="str">
        <f>IFERROR(IF(OR($B16="",PT$3=""),"",_xll.ciqfunctions.udf.CIQ($B16,"IQ_TOTAL_ASSETS",PT$3, $I$3, $N$3, , $J$3, $K$3)/_xll.ciqfunctions.udf.CIQ($B16,"IQ_TOTAL_COMMON_EQUITY",PT$3, $I$3, $N$3, , $J$3, $K$3)),"")</f>
        <v/>
      </c>
      <c r="PU16" s="90" t="str">
        <f>IFERROR(IF(OR($B16="",PU$3=""),"",_xll.ciqfunctions.udf.CIQ($B16,"IQ_TOTAL_ASSETS",PU$3, $I$3, $N$3, , $J$3, $K$3)/_xll.ciqfunctions.udf.CIQ($B16,"IQ_TOTAL_COMMON_EQUITY",PU$3, $I$3, $N$3, , $J$3, $K$3)),"")</f>
        <v/>
      </c>
      <c r="PV16" s="90" t="str">
        <f>IFERROR(IF(OR($B16="",PV$3=""),"",_xll.ciqfunctions.udf.CIQ($B16,"IQ_TOTAL_ASSETS",PV$3, $I$3, $N$3, , $J$3, $K$3)/_xll.ciqfunctions.udf.CIQ($B16,"IQ_TOTAL_COMMON_EQUITY",PV$3, $I$3, $N$3, , $J$3, $K$3)),"")</f>
        <v/>
      </c>
      <c r="PW16" s="90" t="str">
        <f>IFERROR(IF(OR($B16="",PW$3=""),"",_xll.ciqfunctions.udf.CIQ($B16,"IQ_TOTAL_ASSETS",PW$3, $I$3, $N$3, , $J$3, $K$3)/_xll.ciqfunctions.udf.CIQ($B16,"IQ_TOTAL_COMMON_EQUITY",PW$3, $I$3, $N$3, , $J$3, $K$3)),"")</f>
        <v/>
      </c>
      <c r="PX16" s="90" t="str">
        <f>IFERROR(IF(OR($B16="",PX$3=""),"",_xll.ciqfunctions.udf.CIQ($B16,"IQ_TOTAL_ASSETS",PX$3, $I$3, $N$3, , $J$3, $K$3)/_xll.ciqfunctions.udf.CIQ($B16,"IQ_TOTAL_COMMON_EQUITY",PX$3, $I$3, $N$3, , $J$3, $K$3)),"")</f>
        <v/>
      </c>
      <c r="PY16" s="90" t="str">
        <f>IFERROR(IF(OR($B16="",PY$3=""),"",_xll.ciqfunctions.udf.CIQ($B16,"IQ_TOTAL_ASSETS",PY$3, $I$3, $N$3, , $J$3, $K$3)/_xll.ciqfunctions.udf.CIQ($B16,"IQ_TOTAL_COMMON_EQUITY",PY$3, $I$3, $N$3, , $J$3, $K$3)),"")</f>
        <v/>
      </c>
      <c r="PZ16" s="90" t="str">
        <f>IFERROR(IF(OR($B16="",PZ$3=""),"",_xll.ciqfunctions.udf.CIQ($B16,"IQ_TOTAL_ASSETS",PZ$3, $I$3, $N$3, , $J$3, $K$3)/_xll.ciqfunctions.udf.CIQ($B16,"IQ_TOTAL_COMMON_EQUITY",PZ$3, $I$3, $N$3, , $J$3, $K$3)),"")</f>
        <v/>
      </c>
      <c r="QA16" s="90" t="str">
        <f>IFERROR(IF(OR($B16="",QA$3=""),"",_xll.ciqfunctions.udf.CIQ($B16,"IQ_TOTAL_ASSETS",QA$3, $I$3, $N$3, , $J$3, $K$3)/_xll.ciqfunctions.udf.CIQ($B16,"IQ_TOTAL_COMMON_EQUITY",QA$3, $I$3, $N$3, , $J$3, $K$3)),"")</f>
        <v/>
      </c>
      <c r="QB16" s="90" t="str">
        <f>IFERROR(IF(OR($B16="",QB$3=""),"",_xll.ciqfunctions.udf.CIQ($B16,"IQ_TOTAL_ASSETS",QB$3, $I$3, $N$3, , $J$3, $K$3)/_xll.ciqfunctions.udf.CIQ($B16,"IQ_TOTAL_COMMON_EQUITY",QB$3, $I$3, $N$3, , $J$3, $K$3)),"")</f>
        <v/>
      </c>
      <c r="QC16" s="90" t="str">
        <f>IFERROR(IF(OR($B16="",QC$3=""),"",_xll.ciqfunctions.udf.CIQ($B16,"IQ_TOTAL_ASSETS",QC$3, $I$3, $N$3, , $J$3, $K$3)/_xll.ciqfunctions.udf.CIQ($B16,"IQ_TOTAL_COMMON_EQUITY",QC$3, $I$3, $N$3, , $J$3, $K$3)),"")</f>
        <v/>
      </c>
      <c r="QD16" s="90" t="str">
        <f>IFERROR(IF(OR($B16="",QD$3=""),"",_xll.ciqfunctions.udf.CIQ($B16,"IQ_TOTAL_ASSETS",QD$3, $I$3, $N$3, , $J$3, $K$3)/_xll.ciqfunctions.udf.CIQ($B16,"IQ_TOTAL_COMMON_EQUITY",QD$3, $I$3, $N$3, , $J$3, $K$3)),"")</f>
        <v/>
      </c>
      <c r="QE16" s="90" t="str">
        <f>IFERROR(IF(OR($B16="",QE$3=""),"",_xll.ciqfunctions.udf.CIQ($B16,"IQ_TOTAL_ASSETS",QE$3, $I$3, $N$3, , $J$3, $K$3)/_xll.ciqfunctions.udf.CIQ($B16,"IQ_TOTAL_COMMON_EQUITY",QE$3, $I$3, $N$3, , $J$3, $K$3)),"")</f>
        <v/>
      </c>
      <c r="QF16" s="90" t="str">
        <f>IFERROR(IF(OR($B16="",QF$3=""),"",_xll.ciqfunctions.udf.CIQ($B16,"IQ_TOTAL_ASSETS",QF$3, $I$3, $N$3, , $J$3, $K$3)/_xll.ciqfunctions.udf.CIQ($B16,"IQ_TOTAL_COMMON_EQUITY",QF$3, $I$3, $N$3, , $J$3, $K$3)),"")</f>
        <v/>
      </c>
      <c r="QG16" s="90" t="str">
        <f>IFERROR(IF(OR($B16="",QG$3=""),"",_xll.ciqfunctions.udf.CIQ($B16,"IQ_TOTAL_ASSETS",QG$3, $I$3, $N$3, , $J$3, $K$3)/_xll.ciqfunctions.udf.CIQ($B16,"IQ_TOTAL_COMMON_EQUITY",QG$3, $I$3, $N$3, , $J$3, $K$3)),"")</f>
        <v/>
      </c>
      <c r="QH16" s="90" t="str">
        <f>IFERROR(IF(OR($B16="",QH$3=""),"",_xll.ciqfunctions.udf.CIQ($B16,"IQ_TOTAL_ASSETS",QH$3, $I$3, $N$3, , $J$3, $K$3)/_xll.ciqfunctions.udf.CIQ($B16,"IQ_TOTAL_COMMON_EQUITY",QH$3, $I$3, $N$3, , $J$3, $K$3)),"")</f>
        <v/>
      </c>
      <c r="QI16" s="90" t="str">
        <f>IFERROR(IF(OR($B16="",QI$3=""),"",_xll.ciqfunctions.udf.CIQ($B16,"IQ_TOTAL_ASSETS",QI$3, $I$3, $N$3, , $J$3, $K$3)/_xll.ciqfunctions.udf.CIQ($B16,"IQ_TOTAL_COMMON_EQUITY",QI$3, $I$3, $N$3, , $J$3, $K$3)),"")</f>
        <v/>
      </c>
      <c r="QJ16" s="91" t="str">
        <f>IFERROR(IF(OR($B16="",QJ$3=""),"",_xll.ciqfunctions.udf.CIQ($B16,"IQ_TOTAL_ASSETS",QJ$3, $I$3, $N$3, , $J$3, $K$3)/_xll.ciqfunctions.udf.CIQ($B16,"IQ_TOTAL_COMMON_EQUITY",QJ$3, $I$3, $N$3, , $J$3, $K$3)),"")</f>
        <v/>
      </c>
      <c r="QK16" s="86" t="str">
        <f>IFERROR(IF(QK$3="","",_xll.ciqfunctions.udf.CIQ($B16, "IQ_NI", $O$3, QK$3, $N$3, , $J$3, $K$3)/_xll.ciqfunctions.udf.CIQ($B16, "IQ_TOTAL_REV", $O$3, QK$3, $N$3, , $J$3, $K$3)),"")</f>
        <v/>
      </c>
      <c r="QL16" s="87" t="str">
        <f>IFERROR(IF(QL$3="","",_xll.ciqfunctions.udf.CIQ($B16, "IQ_NI", $O$3, QL$3, $N$3, , $J$3, $K$3)/_xll.ciqfunctions.udf.CIQ($B16, "IQ_TOTAL_REV", $O$3, QL$3, $N$3, , $J$3, $K$3)),"")</f>
        <v/>
      </c>
      <c r="QM16" s="87" t="str">
        <f>IFERROR(IF(QM$3="","",_xll.ciqfunctions.udf.CIQ($B16, "IQ_NI", $O$3, QM$3, $N$3, , $J$3, $K$3)/_xll.ciqfunctions.udf.CIQ($B16, "IQ_TOTAL_REV", $O$3, QM$3, $N$3, , $J$3, $K$3)),"")</f>
        <v/>
      </c>
      <c r="QN16" s="87" t="str">
        <f>IFERROR(IF(QN$3="","",_xll.ciqfunctions.udf.CIQ($B16, "IQ_NI", $O$3, QN$3, $N$3, , $J$3, $K$3)/_xll.ciqfunctions.udf.CIQ($B16, "IQ_TOTAL_REV", $O$3, QN$3, $N$3, , $J$3, $K$3)),"")</f>
        <v/>
      </c>
      <c r="QO16" s="87" t="str">
        <f>IFERROR(IF(QO$3="","",_xll.ciqfunctions.udf.CIQ($B16, "IQ_NI", $O$3, QO$3, $N$3, , $J$3, $K$3)/_xll.ciqfunctions.udf.CIQ($B16, "IQ_TOTAL_REV", $O$3, QO$3, $N$3, , $J$3, $K$3)),"")</f>
        <v/>
      </c>
      <c r="QP16" s="87" t="str">
        <f>IFERROR(IF(QP$3="","",_xll.ciqfunctions.udf.CIQ($B16, "IQ_NI", $O$3, QP$3, $N$3, , $J$3, $K$3)/_xll.ciqfunctions.udf.CIQ($B16, "IQ_TOTAL_REV", $O$3, QP$3, $N$3, , $J$3, $K$3)),"")</f>
        <v/>
      </c>
      <c r="QQ16" s="87" t="str">
        <f>IFERROR(IF(QQ$3="","",_xll.ciqfunctions.udf.CIQ($B16, "IQ_NI", $O$3, QQ$3, $N$3, , $J$3, $K$3)/_xll.ciqfunctions.udf.CIQ($B16, "IQ_TOTAL_REV", $O$3, QQ$3, $N$3, , $J$3, $K$3)),"")</f>
        <v/>
      </c>
      <c r="QR16" s="87" t="str">
        <f>IFERROR(IF(QR$3="","",_xll.ciqfunctions.udf.CIQ($B16, "IQ_NI", $O$3, QR$3, $N$3, , $J$3, $K$3)/_xll.ciqfunctions.udf.CIQ($B16, "IQ_TOTAL_REV", $O$3, QR$3, $N$3, , $J$3, $K$3)),"")</f>
        <v/>
      </c>
      <c r="QS16" s="87" t="str">
        <f>IFERROR(IF(QS$3="","",_xll.ciqfunctions.udf.CIQ($B16, "IQ_NI", $O$3, QS$3, $N$3, , $J$3, $K$3)/_xll.ciqfunctions.udf.CIQ($B16, "IQ_TOTAL_REV", $O$3, QS$3, $N$3, , $J$3, $K$3)),"")</f>
        <v/>
      </c>
      <c r="QT16" s="87" t="str">
        <f>IFERROR(IF(QT$3="","",_xll.ciqfunctions.udf.CIQ($B16, "IQ_NI", $O$3, QT$3, $N$3, , $J$3, $K$3)/_xll.ciqfunctions.udf.CIQ($B16, "IQ_TOTAL_REV", $O$3, QT$3, $N$3, , $J$3, $K$3)),"")</f>
        <v/>
      </c>
      <c r="QU16" s="87" t="str">
        <f>IFERROR(IF(QU$3="","",_xll.ciqfunctions.udf.CIQ($B16, "IQ_NI", $O$3, QU$3, $N$3, , $J$3, $K$3)/_xll.ciqfunctions.udf.CIQ($B16, "IQ_TOTAL_REV", $O$3, QU$3, $N$3, , $J$3, $K$3)),"")</f>
        <v/>
      </c>
      <c r="QV16" s="87" t="str">
        <f>IFERROR(IF(QV$3="","",_xll.ciqfunctions.udf.CIQ($B16, "IQ_NI", $O$3, QV$3, $N$3, , $J$3, $K$3)/_xll.ciqfunctions.udf.CIQ($B16, "IQ_TOTAL_REV", $O$3, QV$3, $N$3, , $J$3, $K$3)),"")</f>
        <v/>
      </c>
      <c r="QW16" s="87" t="str">
        <f>IFERROR(IF(QW$3="","",_xll.ciqfunctions.udf.CIQ($B16, "IQ_NI", $O$3, QW$3, $N$3, , $J$3, $K$3)/_xll.ciqfunctions.udf.CIQ($B16, "IQ_TOTAL_REV", $O$3, QW$3, $N$3, , $J$3, $K$3)),"")</f>
        <v/>
      </c>
      <c r="QX16" s="87" t="str">
        <f>IFERROR(IF(QX$3="","",_xll.ciqfunctions.udf.CIQ($B16, "IQ_NI", $O$3, QX$3, $N$3, , $J$3, $K$3)/_xll.ciqfunctions.udf.CIQ($B16, "IQ_TOTAL_REV", $O$3, QX$3, $N$3, , $J$3, $K$3)),"")</f>
        <v/>
      </c>
      <c r="QY16" s="87" t="str">
        <f>IFERROR(IF(QY$3="","",_xll.ciqfunctions.udf.CIQ($B16, "IQ_NI", $O$3, QY$3, $N$3, , $J$3, $K$3)/_xll.ciqfunctions.udf.CIQ($B16, "IQ_TOTAL_REV", $O$3, QY$3, $N$3, , $J$3, $K$3)),"")</f>
        <v/>
      </c>
      <c r="QZ16" s="87" t="str">
        <f>IFERROR(IF(QZ$3="","",_xll.ciqfunctions.udf.CIQ($B16, "IQ_NI", $O$3, QZ$3, $N$3, , $J$3, $K$3)/_xll.ciqfunctions.udf.CIQ($B16, "IQ_TOTAL_REV", $O$3, QZ$3, $N$3, , $J$3, $K$3)),"")</f>
        <v/>
      </c>
      <c r="RA16" s="87" t="str">
        <f>IFERROR(IF(RA$3="","",_xll.ciqfunctions.udf.CIQ($B16, "IQ_NI", $O$3, RA$3, $N$3, , $J$3, $K$3)/_xll.ciqfunctions.udf.CIQ($B16, "IQ_TOTAL_REV", $O$3, RA$3, $N$3, , $J$3, $K$3)),"")</f>
        <v/>
      </c>
      <c r="RB16" s="87" t="str">
        <f>IFERROR(IF(RB$3="","",_xll.ciqfunctions.udf.CIQ($B16, "IQ_NI", $O$3, RB$3, $N$3, , $J$3, $K$3)/_xll.ciqfunctions.udf.CIQ($B16, "IQ_TOTAL_REV", $O$3, RB$3, $N$3, , $J$3, $K$3)),"")</f>
        <v/>
      </c>
      <c r="RC16" s="87" t="str">
        <f>IFERROR(IF(RC$3="","",_xll.ciqfunctions.udf.CIQ($B16, "IQ_NI", $O$3, RC$3, $N$3, , $J$3, $K$3)/_xll.ciqfunctions.udf.CIQ($B16, "IQ_TOTAL_REV", $O$3, RC$3, $N$3, , $J$3, $K$3)),"")</f>
        <v/>
      </c>
      <c r="RD16" s="88" t="str">
        <f>IFERROR(IF(RD$3="","",_xll.ciqfunctions.udf.CIQ($B16, "IQ_NI", $O$3, RD$3, $N$3, , $J$3, $K$3)/_xll.ciqfunctions.udf.CIQ($B16, "IQ_TOTAL_REV", $O$3, RD$3, $N$3, , $J$3, $K$3)),"")</f>
        <v/>
      </c>
      <c r="RE16" s="86" t="str">
        <f>IFERROR(IF(OR($B16="",OC$3=""),"",_xll.ciqfunctions.udf.CIQ($B16,"IQ_NI",$O$3, RE$3, $N$3, , $J$3, $K$3)*2/(_xll.ciqfunctions.udf.CIQ($B16,"IQ_TOTAL_EQUITY", RE$3,$I$3, $N$3, , $J$3, $K$3)+_xll.ciqfunctions.udf.CIQ($B16,"IQ_TOTAL_EQUITY", "IQ_" &amp; LEFT(RE$3,2) &amp; "-1", RE$3, $N$3, , $J$3, $K$3))),"")</f>
        <v/>
      </c>
      <c r="RF16" s="86" t="str">
        <f>IFERROR(IF(OR($B16="",OD$3=""),"",_xll.ciqfunctions.udf.CIQ($B16,"IQ_NI",$O$3, RF$3, $N$3, , $J$3, $K$3)*2/(_xll.ciqfunctions.udf.CIQ($B16,"IQ_TOTAL_EQUITY", RF$3,$I$3, $N$3, , $J$3, $K$3)+_xll.ciqfunctions.udf.CIQ($B16,"IQ_TOTAL_EQUITY", "IQ_" &amp; LEFT(RF$3,2) &amp; "-1", RF$3, $N$3, , $J$3, $K$3))),"")</f>
        <v/>
      </c>
      <c r="RG16" s="86" t="str">
        <f>IFERROR(IF(OR($B16="",OE$3=""),"",_xll.ciqfunctions.udf.CIQ($B16,"IQ_NI",$O$3, RG$3, $N$3, , $J$3, $K$3)*2/(_xll.ciqfunctions.udf.CIQ($B16,"IQ_TOTAL_EQUITY", RG$3,$I$3, $N$3, , $J$3, $K$3)+_xll.ciqfunctions.udf.CIQ($B16,"IQ_TOTAL_EQUITY", "IQ_" &amp; LEFT(RG$3,2) &amp; "-1", RG$3, $N$3, , $J$3, $K$3))),"")</f>
        <v/>
      </c>
      <c r="RH16" s="86" t="str">
        <f>IFERROR(IF(OR($B16="",OF$3=""),"",_xll.ciqfunctions.udf.CIQ($B16,"IQ_NI",$O$3, RH$3, $N$3, , $J$3, $K$3)*2/(_xll.ciqfunctions.udf.CIQ($B16,"IQ_TOTAL_EQUITY", RH$3,$I$3, $N$3, , $J$3, $K$3)+_xll.ciqfunctions.udf.CIQ($B16,"IQ_TOTAL_EQUITY", "IQ_" &amp; LEFT(RH$3,2) &amp; "-1", RH$3, $N$3, , $J$3, $K$3))),"")</f>
        <v/>
      </c>
      <c r="RI16" s="86" t="str">
        <f>IFERROR(IF(OR($B16="",OG$3=""),"",_xll.ciqfunctions.udf.CIQ($B16,"IQ_NI",$O$3, RI$3, $N$3, , $J$3, $K$3)*2/(_xll.ciqfunctions.udf.CIQ($B16,"IQ_TOTAL_EQUITY", RI$3,$I$3, $N$3, , $J$3, $K$3)+_xll.ciqfunctions.udf.CIQ($B16,"IQ_TOTAL_EQUITY", "IQ_" &amp; LEFT(RI$3,2) &amp; "-1", RI$3, $N$3, , $J$3, $K$3))),"")</f>
        <v/>
      </c>
      <c r="RJ16" s="86" t="str">
        <f>IFERROR(IF(OR($B16="",OH$3=""),"",_xll.ciqfunctions.udf.CIQ($B16,"IQ_NI",$O$3, RJ$3, $N$3, , $J$3, $K$3)*2/(_xll.ciqfunctions.udf.CIQ($B16,"IQ_TOTAL_EQUITY", RJ$3,$I$3, $N$3, , $J$3, $K$3)+_xll.ciqfunctions.udf.CIQ($B16,"IQ_TOTAL_EQUITY", "IQ_" &amp; LEFT(RJ$3,2) &amp; "-1", RJ$3, $N$3, , $J$3, $K$3))),"")</f>
        <v/>
      </c>
      <c r="RK16" s="86" t="str">
        <f>IFERROR(IF(OR($B16="",OI$3=""),"",_xll.ciqfunctions.udf.CIQ($B16,"IQ_NI",$O$3, RK$3, $N$3, , $J$3, $K$3)*2/(_xll.ciqfunctions.udf.CIQ($B16,"IQ_TOTAL_EQUITY", RK$3,$I$3, $N$3, , $J$3, $K$3)+_xll.ciqfunctions.udf.CIQ($B16,"IQ_TOTAL_EQUITY", "IQ_" &amp; LEFT(RK$3,2) &amp; "-1", RK$3, $N$3, , $J$3, $K$3))),"")</f>
        <v/>
      </c>
      <c r="RL16" s="86" t="str">
        <f>IFERROR(IF(OR($B16="",OJ$3=""),"",_xll.ciqfunctions.udf.CIQ($B16,"IQ_NI",$O$3, RL$3, $N$3, , $J$3, $K$3)*2/(_xll.ciqfunctions.udf.CIQ($B16,"IQ_TOTAL_EQUITY", RL$3,$I$3, $N$3, , $J$3, $K$3)+_xll.ciqfunctions.udf.CIQ($B16,"IQ_TOTAL_EQUITY", "IQ_" &amp; LEFT(RL$3,2) &amp; "-1", RL$3, $N$3, , $J$3, $K$3))),"")</f>
        <v/>
      </c>
      <c r="RM16" s="86" t="str">
        <f>IFERROR(IF(OR($B16="",OK$3=""),"",_xll.ciqfunctions.udf.CIQ($B16,"IQ_NI",$O$3, RM$3, $N$3, , $J$3, $K$3)*2/(_xll.ciqfunctions.udf.CIQ($B16,"IQ_TOTAL_EQUITY", RM$3,$I$3, $N$3, , $J$3, $K$3)+_xll.ciqfunctions.udf.CIQ($B16,"IQ_TOTAL_EQUITY", "IQ_" &amp; LEFT(RM$3,2) &amp; "-1", RM$3, $N$3, , $J$3, $K$3))),"")</f>
        <v/>
      </c>
      <c r="RN16" s="86" t="str">
        <f>IFERROR(IF(OR($B16="",OL$3=""),"",_xll.ciqfunctions.udf.CIQ($B16,"IQ_NI",$O$3, RN$3, $N$3, , $J$3, $K$3)*2/(_xll.ciqfunctions.udf.CIQ($B16,"IQ_TOTAL_EQUITY", RN$3,$I$3, $N$3, , $J$3, $K$3)+_xll.ciqfunctions.udf.CIQ($B16,"IQ_TOTAL_EQUITY", "IQ_" &amp; LEFT(RN$3,2) &amp; "-1", RN$3, $N$3, , $J$3, $K$3))),"")</f>
        <v/>
      </c>
      <c r="RO16" s="86" t="str">
        <f>IFERROR(IF(OR($B16="",OM$3=""),"",_xll.ciqfunctions.udf.CIQ($B16,"IQ_NI",$O$3, RO$3, $N$3, , $J$3, $K$3)*2/(_xll.ciqfunctions.udf.CIQ($B16,"IQ_TOTAL_EQUITY", RO$3,$I$3, $N$3, , $J$3, $K$3)+_xll.ciqfunctions.udf.CIQ($B16,"IQ_TOTAL_EQUITY", "IQ_" &amp; LEFT(RO$3,2) &amp; "-1", RO$3, $N$3, , $J$3, $K$3))),"")</f>
        <v/>
      </c>
      <c r="RP16" s="86" t="str">
        <f>IFERROR(IF(OR($B16="",ON$3=""),"",_xll.ciqfunctions.udf.CIQ($B16,"IQ_NI",$O$3, RP$3, $N$3, , $J$3, $K$3)*2/(_xll.ciqfunctions.udf.CIQ($B16,"IQ_TOTAL_EQUITY", RP$3,$I$3, $N$3, , $J$3, $K$3)+_xll.ciqfunctions.udf.CIQ($B16,"IQ_TOTAL_EQUITY", "IQ_" &amp; LEFT(RP$3,2) &amp; "-1", RP$3, $N$3, , $J$3, $K$3))),"")</f>
        <v/>
      </c>
      <c r="RQ16" s="86" t="str">
        <f>IFERROR(IF(OR($B16="",OO$3=""),"",_xll.ciqfunctions.udf.CIQ($B16,"IQ_NI",$O$3, RQ$3, $N$3, , $J$3, $K$3)*2/(_xll.ciqfunctions.udf.CIQ($B16,"IQ_TOTAL_EQUITY", RQ$3,$I$3, $N$3, , $J$3, $K$3)+_xll.ciqfunctions.udf.CIQ($B16,"IQ_TOTAL_EQUITY", "IQ_" &amp; LEFT(RQ$3,2) &amp; "-1", RQ$3, $N$3, , $J$3, $K$3))),"")</f>
        <v/>
      </c>
      <c r="RR16" s="86" t="str">
        <f>IFERROR(IF(OR($B16="",OP$3=""),"",_xll.ciqfunctions.udf.CIQ($B16,"IQ_NI",$O$3, RR$3, $N$3, , $J$3, $K$3)*2/(_xll.ciqfunctions.udf.CIQ($B16,"IQ_TOTAL_EQUITY", RR$3,$I$3, $N$3, , $J$3, $K$3)+_xll.ciqfunctions.udf.CIQ($B16,"IQ_TOTAL_EQUITY", "IQ_" &amp; LEFT(RR$3,2) &amp; "-1", RR$3, $N$3, , $J$3, $K$3))),"")</f>
        <v/>
      </c>
      <c r="RS16" s="86" t="str">
        <f>IFERROR(IF(OR($B16="",OQ$3=""),"",_xll.ciqfunctions.udf.CIQ($B16,"IQ_NI",$O$3, RS$3, $N$3, , $J$3, $K$3)*2/(_xll.ciqfunctions.udf.CIQ($B16,"IQ_TOTAL_EQUITY", RS$3,$I$3, $N$3, , $J$3, $K$3)+_xll.ciqfunctions.udf.CIQ($B16,"IQ_TOTAL_EQUITY", "IQ_" &amp; LEFT(RS$3,2) &amp; "-1", RS$3, $N$3, , $J$3, $K$3))),"")</f>
        <v/>
      </c>
      <c r="RT16" s="86" t="str">
        <f>IFERROR(IF(OR($B16="",OR$3=""),"",_xll.ciqfunctions.udf.CIQ($B16,"IQ_NI",$O$3, RT$3, $N$3, , $J$3, $K$3)*2/(_xll.ciqfunctions.udf.CIQ($B16,"IQ_TOTAL_EQUITY", RT$3,$I$3, $N$3, , $J$3, $K$3)+_xll.ciqfunctions.udf.CIQ($B16,"IQ_TOTAL_EQUITY", "IQ_" &amp; LEFT(RT$3,2) &amp; "-1", RT$3, $N$3, , $J$3, $K$3))),"")</f>
        <v/>
      </c>
      <c r="RU16" s="86" t="str">
        <f>IFERROR(IF(OR($B16="",OS$3=""),"",_xll.ciqfunctions.udf.CIQ($B16,"IQ_NI",$O$3, RU$3, $N$3, , $J$3, $K$3)*2/(_xll.ciqfunctions.udf.CIQ($B16,"IQ_TOTAL_EQUITY", RU$3,$I$3, $N$3, , $J$3, $K$3)+_xll.ciqfunctions.udf.CIQ($B16,"IQ_TOTAL_EQUITY", "IQ_" &amp; LEFT(RU$3,2) &amp; "-1", RU$3, $N$3, , $J$3, $K$3))),"")</f>
        <v/>
      </c>
      <c r="RV16" s="86" t="str">
        <f>IFERROR(IF(OR($B16="",OT$3=""),"",_xll.ciqfunctions.udf.CIQ($B16,"IQ_NI",$O$3, RV$3, $N$3, , $J$3, $K$3)*2/(_xll.ciqfunctions.udf.CIQ($B16,"IQ_TOTAL_EQUITY", RV$3,$I$3, $N$3, , $J$3, $K$3)+_xll.ciqfunctions.udf.CIQ($B16,"IQ_TOTAL_EQUITY", "IQ_" &amp; LEFT(RV$3,2) &amp; "-1", RV$3, $N$3, , $J$3, $K$3))),"")</f>
        <v/>
      </c>
      <c r="RW16" s="86" t="str">
        <f>IFERROR(IF(OR($B16="",OU$3=""),"",_xll.ciqfunctions.udf.CIQ($B16,"IQ_NI",$O$3, RW$3, $N$3, , $J$3, $K$3)*2/(_xll.ciqfunctions.udf.CIQ($B16,"IQ_TOTAL_EQUITY", RW$3,$I$3, $N$3, , $J$3, $K$3)+_xll.ciqfunctions.udf.CIQ($B16,"IQ_TOTAL_EQUITY", "IQ_" &amp; LEFT(RW$3,2) &amp; "-1", RW$3, $N$3, , $J$3, $K$3))),"")</f>
        <v/>
      </c>
      <c r="RX16" s="86" t="str">
        <f>IFERROR(IF(OR($B16="",OV$3=""),"",_xll.ciqfunctions.udf.CIQ($B16,"IQ_NI",$O$3, RX$3, $N$3, , $J$3, $K$3)*2/(_xll.ciqfunctions.udf.CIQ($B16,"IQ_TOTAL_EQUITY", RX$3,$I$3, $N$3, , $J$3, $K$3)+_xll.ciqfunctions.udf.CIQ($B16,"IQ_TOTAL_EQUITY", "IQ_" &amp; LEFT(RX$3,2) &amp; "-1", RX$3, $N$3, , $J$3, $K$3))),"")</f>
        <v/>
      </c>
      <c r="RY16" s="86" t="str">
        <f>IFERROR(IF(OR($B16="",RY$3=""),"",_xll.ciqfunctions.udf.CIQ($B16,"IQ_CASH_OPER",$O$3, RY$3, $N$3, , $J$3, $K$3)*2/(_xll.ciqfunctions.udf.CIQ($B16,"IQ_TOTAL_CL",RY$3,$I$3, $N$3, , $J$3, $K$3)+_xll.ciqfunctions.udf.CIQ($B16,"IQ_TOTAL_CL","IQ_" &amp; LEFT(RY$3,2) &amp; "-1", RY$3, $N$3, , $J$3, $K$3))),"")</f>
        <v/>
      </c>
      <c r="RZ16" s="87" t="str">
        <f>IFERROR(IF(OR($B16="",RZ$3=""),"",_xll.ciqfunctions.udf.CIQ($B16,"IQ_CASH_OPER",$O$3, RZ$3, $N$3, , $J$3, $K$3)*2/(_xll.ciqfunctions.udf.CIQ($B16,"IQ_TOTAL_CL",RZ$3,$I$3, $N$3, , $J$3, $K$3)+_xll.ciqfunctions.udf.CIQ($B16,"IQ_TOTAL_CL","IQ_" &amp; LEFT(RZ$3,2) &amp; "-1", RZ$3, $N$3, , $J$3, $K$3))),"")</f>
        <v/>
      </c>
      <c r="SA16" s="87" t="str">
        <f>IFERROR(IF(OR($B16="",SA$3=""),"",_xll.ciqfunctions.udf.CIQ($B16,"IQ_CASH_OPER",$O$3, SA$3, $N$3, , $J$3, $K$3)*2/(_xll.ciqfunctions.udf.CIQ($B16,"IQ_TOTAL_CL",SA$3,$I$3, $N$3, , $J$3, $K$3)+_xll.ciqfunctions.udf.CIQ($B16,"IQ_TOTAL_CL","IQ_" &amp; LEFT(SA$3,2) &amp; "-1", SA$3, $N$3, , $J$3, $K$3))),"")</f>
        <v/>
      </c>
      <c r="SB16" s="87" t="str">
        <f>IFERROR(IF(OR($B16="",SB$3=""),"",_xll.ciqfunctions.udf.CIQ($B16,"IQ_CASH_OPER",$O$3, SB$3, $N$3, , $J$3, $K$3)*2/(_xll.ciqfunctions.udf.CIQ($B16,"IQ_TOTAL_CL",SB$3,$I$3, $N$3, , $J$3, $K$3)+_xll.ciqfunctions.udf.CIQ($B16,"IQ_TOTAL_CL","IQ_" &amp; LEFT(SB$3,2) &amp; "-1", SB$3, $N$3, , $J$3, $K$3))),"")</f>
        <v/>
      </c>
      <c r="SC16" s="87" t="str">
        <f>IFERROR(IF(OR($B16="",SC$3=""),"",_xll.ciqfunctions.udf.CIQ($B16,"IQ_CASH_OPER",$O$3, SC$3, $N$3, , $J$3, $K$3)*2/(_xll.ciqfunctions.udf.CIQ($B16,"IQ_TOTAL_CL",SC$3,$I$3, $N$3, , $J$3, $K$3)+_xll.ciqfunctions.udf.CIQ($B16,"IQ_TOTAL_CL","IQ_" &amp; LEFT(SC$3,2) &amp; "-1", SC$3, $N$3, , $J$3, $K$3))),"")</f>
        <v/>
      </c>
      <c r="SD16" s="87" t="str">
        <f>IFERROR(IF(OR($B16="",SD$3=""),"",_xll.ciqfunctions.udf.CIQ($B16,"IQ_CASH_OPER",$O$3, SD$3, $N$3, , $J$3, $K$3)*2/(_xll.ciqfunctions.udf.CIQ($B16,"IQ_TOTAL_CL",SD$3,$I$3, $N$3, , $J$3, $K$3)+_xll.ciqfunctions.udf.CIQ($B16,"IQ_TOTAL_CL","IQ_" &amp; LEFT(SD$3,2) &amp; "-1", SD$3, $N$3, , $J$3, $K$3))),"")</f>
        <v/>
      </c>
      <c r="SE16" s="87" t="str">
        <f>IFERROR(IF(OR($B16="",SE$3=""),"",_xll.ciqfunctions.udf.CIQ($B16,"IQ_CASH_OPER",$O$3, SE$3, $N$3, , $J$3, $K$3)*2/(_xll.ciqfunctions.udf.CIQ($B16,"IQ_TOTAL_CL",SE$3,$I$3, $N$3, , $J$3, $K$3)+_xll.ciqfunctions.udf.CIQ($B16,"IQ_TOTAL_CL","IQ_" &amp; LEFT(SE$3,2) &amp; "-1", SE$3, $N$3, , $J$3, $K$3))),"")</f>
        <v/>
      </c>
      <c r="SF16" s="87" t="str">
        <f>IFERROR(IF(OR($B16="",SF$3=""),"",_xll.ciqfunctions.udf.CIQ($B16,"IQ_CASH_OPER",$O$3, SF$3, $N$3, , $J$3, $K$3)*2/(_xll.ciqfunctions.udf.CIQ($B16,"IQ_TOTAL_CL",SF$3,$I$3, $N$3, , $J$3, $K$3)+_xll.ciqfunctions.udf.CIQ($B16,"IQ_TOTAL_CL","IQ_" &amp; LEFT(SF$3,2) &amp; "-1", SF$3, $N$3, , $J$3, $K$3))),"")</f>
        <v/>
      </c>
      <c r="SG16" s="87" t="str">
        <f>IFERROR(IF(OR($B16="",SG$3=""),"",_xll.ciqfunctions.udf.CIQ($B16,"IQ_CASH_OPER",$O$3, SG$3, $N$3, , $J$3, $K$3)*2/(_xll.ciqfunctions.udf.CIQ($B16,"IQ_TOTAL_CL",SG$3,$I$3, $N$3, , $J$3, $K$3)+_xll.ciqfunctions.udf.CIQ($B16,"IQ_TOTAL_CL","IQ_" &amp; LEFT(SG$3,2) &amp; "-1", SG$3, $N$3, , $J$3, $K$3))),"")</f>
        <v/>
      </c>
      <c r="SH16" s="87" t="str">
        <f>IFERROR(IF(OR($B16="",SH$3=""),"",_xll.ciqfunctions.udf.CIQ($B16,"IQ_CASH_OPER",$O$3, SH$3, $N$3, , $J$3, $K$3)*2/(_xll.ciqfunctions.udf.CIQ($B16,"IQ_TOTAL_CL",SH$3,$I$3, $N$3, , $J$3, $K$3)+_xll.ciqfunctions.udf.CIQ($B16,"IQ_TOTAL_CL","IQ_" &amp; LEFT(SH$3,2) &amp; "-1", SH$3, $N$3, , $J$3, $K$3))),"")</f>
        <v/>
      </c>
      <c r="SI16" s="87" t="str">
        <f>IFERROR(IF(OR($B16="",SI$3=""),"",_xll.ciqfunctions.udf.CIQ($B16,"IQ_CASH_OPER",$O$3, SI$3, $N$3, , $J$3, $K$3)*2/(_xll.ciqfunctions.udf.CIQ($B16,"IQ_TOTAL_CL",SI$3,$I$3, $N$3, , $J$3, $K$3)+_xll.ciqfunctions.udf.CIQ($B16,"IQ_TOTAL_CL","IQ_" &amp; LEFT(SI$3,2) &amp; "-1", SI$3, $N$3, , $J$3, $K$3))),"")</f>
        <v/>
      </c>
      <c r="SJ16" s="87" t="str">
        <f>IFERROR(IF(OR($B16="",SJ$3=""),"",_xll.ciqfunctions.udf.CIQ($B16,"IQ_CASH_OPER",$O$3, SJ$3, $N$3, , $J$3, $K$3)*2/(_xll.ciqfunctions.udf.CIQ($B16,"IQ_TOTAL_CL",SJ$3,$I$3, $N$3, , $J$3, $K$3)+_xll.ciqfunctions.udf.CIQ($B16,"IQ_TOTAL_CL","IQ_" &amp; LEFT(SJ$3,2) &amp; "-1", SJ$3, $N$3, , $J$3, $K$3))),"")</f>
        <v/>
      </c>
      <c r="SK16" s="87" t="str">
        <f>IFERROR(IF(OR($B16="",SK$3=""),"",_xll.ciqfunctions.udf.CIQ($B16,"IQ_CASH_OPER",$O$3, SK$3, $N$3, , $J$3, $K$3)*2/(_xll.ciqfunctions.udf.CIQ($B16,"IQ_TOTAL_CL",SK$3,$I$3, $N$3, , $J$3, $K$3)+_xll.ciqfunctions.udf.CIQ($B16,"IQ_TOTAL_CL","IQ_" &amp; LEFT(SK$3,2) &amp; "-1", SK$3, $N$3, , $J$3, $K$3))),"")</f>
        <v/>
      </c>
      <c r="SL16" s="87" t="str">
        <f>IFERROR(IF(OR($B16="",SL$3=""),"",_xll.ciqfunctions.udf.CIQ($B16,"IQ_CASH_OPER",$O$3, SL$3, $N$3, , $J$3, $K$3)*2/(_xll.ciqfunctions.udf.CIQ($B16,"IQ_TOTAL_CL",SL$3,$I$3, $N$3, , $J$3, $K$3)+_xll.ciqfunctions.udf.CIQ($B16,"IQ_TOTAL_CL","IQ_" &amp; LEFT(SL$3,2) &amp; "-1", SL$3, $N$3, , $J$3, $K$3))),"")</f>
        <v/>
      </c>
      <c r="SM16" s="87" t="str">
        <f>IFERROR(IF(OR($B16="",SM$3=""),"",_xll.ciqfunctions.udf.CIQ($B16,"IQ_CASH_OPER",$O$3, SM$3, $N$3, , $J$3, $K$3)*2/(_xll.ciqfunctions.udf.CIQ($B16,"IQ_TOTAL_CL",SM$3,$I$3, $N$3, , $J$3, $K$3)+_xll.ciqfunctions.udf.CIQ($B16,"IQ_TOTAL_CL","IQ_" &amp; LEFT(SM$3,2) &amp; "-1", SM$3, $N$3, , $J$3, $K$3))),"")</f>
        <v/>
      </c>
      <c r="SN16" s="87" t="str">
        <f>IFERROR(IF(OR($B16="",SN$3=""),"",_xll.ciqfunctions.udf.CIQ($B16,"IQ_CASH_OPER",$O$3, SN$3, $N$3, , $J$3, $K$3)*2/(_xll.ciqfunctions.udf.CIQ($B16,"IQ_TOTAL_CL",SN$3,$I$3, $N$3, , $J$3, $K$3)+_xll.ciqfunctions.udf.CIQ($B16,"IQ_TOTAL_CL","IQ_" &amp; LEFT(SN$3,2) &amp; "-1", SN$3, $N$3, , $J$3, $K$3))),"")</f>
        <v/>
      </c>
      <c r="SO16" s="87" t="str">
        <f>IFERROR(IF(OR($B16="",SO$3=""),"",_xll.ciqfunctions.udf.CIQ($B16,"IQ_CASH_OPER",$O$3, SO$3, $N$3, , $J$3, $K$3)*2/(_xll.ciqfunctions.udf.CIQ($B16,"IQ_TOTAL_CL",SO$3,$I$3, $N$3, , $J$3, $K$3)+_xll.ciqfunctions.udf.CIQ($B16,"IQ_TOTAL_CL","IQ_" &amp; LEFT(SO$3,2) &amp; "-1", SO$3, $N$3, , $J$3, $K$3))),"")</f>
        <v/>
      </c>
      <c r="SP16" s="87" t="str">
        <f>IFERROR(IF(OR($B16="",SP$3=""),"",_xll.ciqfunctions.udf.CIQ($B16,"IQ_CASH_OPER",$O$3, SP$3, $N$3, , $J$3, $K$3)*2/(_xll.ciqfunctions.udf.CIQ($B16,"IQ_TOTAL_CL",SP$3,$I$3, $N$3, , $J$3, $K$3)+_xll.ciqfunctions.udf.CIQ($B16,"IQ_TOTAL_CL","IQ_" &amp; LEFT(SP$3,2) &amp; "-1", SP$3, $N$3, , $J$3, $K$3))),"")</f>
        <v/>
      </c>
      <c r="SQ16" s="87" t="str">
        <f>IFERROR(IF(OR($B16="",SQ$3=""),"",_xll.ciqfunctions.udf.CIQ($B16,"IQ_CASH_OPER",$O$3, SQ$3, $N$3, , $J$3, $K$3)*2/(_xll.ciqfunctions.udf.CIQ($B16,"IQ_TOTAL_CL",SQ$3,$I$3, $N$3, , $J$3, $K$3)+_xll.ciqfunctions.udf.CIQ($B16,"IQ_TOTAL_CL","IQ_" &amp; LEFT(SQ$3,2) &amp; "-1", SQ$3, $N$3, , $J$3, $K$3))),"")</f>
        <v/>
      </c>
      <c r="SR16" s="88" t="str">
        <f>IFERROR(IF(OR($B16="",SR$3=""),"",_xll.ciqfunctions.udf.CIQ($B16,"IQ_CASH_OPER",$O$3, SR$3, $N$3, , $J$3, $K$3)*2/(_xll.ciqfunctions.udf.CIQ($B16,"IQ_TOTAL_CL",SR$3,$I$3, $N$3, , $J$3, $K$3)+_xll.ciqfunctions.udf.CIQ($B16,"IQ_TOTAL_CL","IQ_" &amp; LEFT(SR$3,2) &amp; "-1", SR$3, $N$3, , $J$3, $K$3))),"")</f>
        <v/>
      </c>
      <c r="SS16" s="86" t="str">
        <f>IFERROR(IF(OR($B16="",SS$3=""),"",MAX(_xll.ciqfunctions.udf.CIQ($B16,"IQ_INC_TAX",SS$3,$I$3, $N$3, , $J$3, $K$3)/ABS(_xll.ciqfunctions.udf.CIQ($B16,"IQ_EBT",SS$3,$I$3, $N$3, , $J$3, $K$3)),0)),"")</f>
        <v/>
      </c>
      <c r="ST16" s="87" t="str">
        <f>IFERROR(IF(OR($B16="",ST$3=""),"",MAX(_xll.ciqfunctions.udf.CIQ($B16,"IQ_INC_TAX",ST$3,$I$3, $N$3, , $J$3, $K$3)/ABS(_xll.ciqfunctions.udf.CIQ($B16,"IQ_EBT",ST$3,$I$3, $N$3, , $J$3, $K$3)),0)),"")</f>
        <v/>
      </c>
      <c r="SU16" s="87" t="str">
        <f>IFERROR(IF(OR($B16="",SU$3=""),"",MAX(_xll.ciqfunctions.udf.CIQ($B16,"IQ_INC_TAX",SU$3,$I$3, $N$3, , $J$3, $K$3)/ABS(_xll.ciqfunctions.udf.CIQ($B16,"IQ_EBT",SU$3,$I$3, $N$3, , $J$3, $K$3)),0)),"")</f>
        <v/>
      </c>
      <c r="SV16" s="87" t="str">
        <f>IFERROR(IF(OR($B16="",SV$3=""),"",MAX(_xll.ciqfunctions.udf.CIQ($B16,"IQ_INC_TAX",SV$3,$I$3, $N$3, , $J$3, $K$3)/ABS(_xll.ciqfunctions.udf.CIQ($B16,"IQ_EBT",SV$3,$I$3, $N$3, , $J$3, $K$3)),0)),"")</f>
        <v/>
      </c>
      <c r="SW16" s="87" t="str">
        <f>IFERROR(IF(OR($B16="",SW$3=""),"",MAX(_xll.ciqfunctions.udf.CIQ($B16,"IQ_INC_TAX",SW$3,$I$3, $N$3, , $J$3, $K$3)/ABS(_xll.ciqfunctions.udf.CIQ($B16,"IQ_EBT",SW$3,$I$3, $N$3, , $J$3, $K$3)),0)),"")</f>
        <v/>
      </c>
      <c r="SX16" s="87" t="str">
        <f>IFERROR(IF(OR($B16="",SX$3=""),"",MAX(_xll.ciqfunctions.udf.CIQ($B16,"IQ_INC_TAX",SX$3,$I$3, $N$3, , $J$3, $K$3)/ABS(_xll.ciqfunctions.udf.CIQ($B16,"IQ_EBT",SX$3,$I$3, $N$3, , $J$3, $K$3)),0)),"")</f>
        <v/>
      </c>
      <c r="SY16" s="87" t="str">
        <f>IFERROR(IF(OR($B16="",SY$3=""),"",MAX(_xll.ciqfunctions.udf.CIQ($B16,"IQ_INC_TAX",SY$3,$I$3, $N$3, , $J$3, $K$3)/ABS(_xll.ciqfunctions.udf.CIQ($B16,"IQ_EBT",SY$3,$I$3, $N$3, , $J$3, $K$3)),0)),"")</f>
        <v/>
      </c>
      <c r="SZ16" s="87" t="str">
        <f>IFERROR(IF(OR($B16="",SZ$3=""),"",MAX(_xll.ciqfunctions.udf.CIQ($B16,"IQ_INC_TAX",SZ$3,$I$3, $N$3, , $J$3, $K$3)/ABS(_xll.ciqfunctions.udf.CIQ($B16,"IQ_EBT",SZ$3,$I$3, $N$3, , $J$3, $K$3)),0)),"")</f>
        <v/>
      </c>
      <c r="TA16" s="87" t="str">
        <f>IFERROR(IF(OR($B16="",TA$3=""),"",MAX(_xll.ciqfunctions.udf.CIQ($B16,"IQ_INC_TAX",TA$3,$I$3, $N$3, , $J$3, $K$3)/ABS(_xll.ciqfunctions.udf.CIQ($B16,"IQ_EBT",TA$3,$I$3, $N$3, , $J$3, $K$3)),0)),"")</f>
        <v/>
      </c>
      <c r="TB16" s="87" t="str">
        <f>IFERROR(IF(OR($B16="",TB$3=""),"",MAX(_xll.ciqfunctions.udf.CIQ($B16,"IQ_INC_TAX",TB$3,$I$3, $N$3, , $J$3, $K$3)/ABS(_xll.ciqfunctions.udf.CIQ($B16,"IQ_EBT",TB$3,$I$3, $N$3, , $J$3, $K$3)),0)),"")</f>
        <v/>
      </c>
      <c r="TC16" s="87" t="str">
        <f>IFERROR(IF(OR($B16="",TC$3=""),"",MAX(_xll.ciqfunctions.udf.CIQ($B16,"IQ_INC_TAX",TC$3,$I$3, $N$3, , $J$3, $K$3)/ABS(_xll.ciqfunctions.udf.CIQ($B16,"IQ_EBT",TC$3,$I$3, $N$3, , $J$3, $K$3)),0)),"")</f>
        <v/>
      </c>
      <c r="TD16" s="87" t="str">
        <f>IFERROR(IF(OR($B16="",TD$3=""),"",MAX(_xll.ciqfunctions.udf.CIQ($B16,"IQ_INC_TAX",TD$3,$I$3, $N$3, , $J$3, $K$3)/ABS(_xll.ciqfunctions.udf.CIQ($B16,"IQ_EBT",TD$3,$I$3, $N$3, , $J$3, $K$3)),0)),"")</f>
        <v/>
      </c>
      <c r="TE16" s="87" t="str">
        <f>IFERROR(IF(OR($B16="",TE$3=""),"",MAX(_xll.ciqfunctions.udf.CIQ($B16,"IQ_INC_TAX",TE$3,$I$3, $N$3, , $J$3, $K$3)/ABS(_xll.ciqfunctions.udf.CIQ($B16,"IQ_EBT",TE$3,$I$3, $N$3, , $J$3, $K$3)),0)),"")</f>
        <v/>
      </c>
      <c r="TF16" s="87" t="str">
        <f>IFERROR(IF(OR($B16="",TF$3=""),"",MAX(_xll.ciqfunctions.udf.CIQ($B16,"IQ_INC_TAX",TF$3,$I$3, $N$3, , $J$3, $K$3)/ABS(_xll.ciqfunctions.udf.CIQ($B16,"IQ_EBT",TF$3,$I$3, $N$3, , $J$3, $K$3)),0)),"")</f>
        <v/>
      </c>
      <c r="TG16" s="87" t="str">
        <f>IFERROR(IF(OR($B16="",TG$3=""),"",MAX(_xll.ciqfunctions.udf.CIQ($B16,"IQ_INC_TAX",TG$3,$I$3, $N$3, , $J$3, $K$3)/ABS(_xll.ciqfunctions.udf.CIQ($B16,"IQ_EBT",TG$3,$I$3, $N$3, , $J$3, $K$3)),0)),"")</f>
        <v/>
      </c>
      <c r="TH16" s="87" t="str">
        <f>IFERROR(IF(OR($B16="",TH$3=""),"",MAX(_xll.ciqfunctions.udf.CIQ($B16,"IQ_INC_TAX",TH$3,$I$3, $N$3, , $J$3, $K$3)/ABS(_xll.ciqfunctions.udf.CIQ($B16,"IQ_EBT",TH$3,$I$3, $N$3, , $J$3, $K$3)),0)),"")</f>
        <v/>
      </c>
      <c r="TI16" s="87" t="str">
        <f>IFERROR(IF(OR($B16="",TI$3=""),"",MAX(_xll.ciqfunctions.udf.CIQ($B16,"IQ_INC_TAX",TI$3,$I$3, $N$3, , $J$3, $K$3)/ABS(_xll.ciqfunctions.udf.CIQ($B16,"IQ_EBT",TI$3,$I$3, $N$3, , $J$3, $K$3)),0)),"")</f>
        <v/>
      </c>
      <c r="TJ16" s="87" t="str">
        <f>IFERROR(IF(OR($B16="",TJ$3=""),"",MAX(_xll.ciqfunctions.udf.CIQ($B16,"IQ_INC_TAX",TJ$3,$I$3, $N$3, , $J$3, $K$3)/ABS(_xll.ciqfunctions.udf.CIQ($B16,"IQ_EBT",TJ$3,$I$3, $N$3, , $J$3, $K$3)),0)),"")</f>
        <v/>
      </c>
      <c r="TK16" s="87" t="str">
        <f>IFERROR(IF(OR($B16="",TK$3=""),"",MAX(_xll.ciqfunctions.udf.CIQ($B16,"IQ_INC_TAX",TK$3,$I$3, $N$3, , $J$3, $K$3)/ABS(_xll.ciqfunctions.udf.CIQ($B16,"IQ_EBT",TK$3,$I$3, $N$3, , $J$3, $K$3)),0)),"")</f>
        <v/>
      </c>
      <c r="TL16" s="88" t="str">
        <f>IFERROR(IF(OR($B16="",TL$3=""),"",MAX(_xll.ciqfunctions.udf.CIQ($B16,"IQ_INC_TAX",TL$3,$I$3, $N$3, , $J$3, $K$3)/ABS(_xll.ciqfunctions.udf.CIQ($B16,"IQ_EBT",TL$3,$I$3, $N$3, , $J$3, $K$3)),0)),"")</f>
        <v/>
      </c>
      <c r="TM16" s="92" t="str">
        <f>IFERROR(IF(OR($B16="",TM$3=""),"",_xll.ciqfunctions.udf.CIQ($B16,"IQ_TOTAL_REVENUE",TM$3,$I$3, $N$3, , $J$3, $K$3)*1000000/_xll.ciqfunctions.udf.CIQ($B16,"IQ_EMPLOYEES",TM$3,$I$3, $N$3, , $J$3, $K$3)),"")</f>
        <v/>
      </c>
      <c r="TN16" s="93" t="str">
        <f>IFERROR(IF(OR($B16="",TN$3=""),"",_xll.ciqfunctions.udf.CIQ($B16,"IQ_TOTAL_REVENUE",TN$3,$I$3, $N$3, , $J$3, $K$3)*1000000/_xll.ciqfunctions.udf.CIQ($B16,"IQ_EMPLOYEES",TN$3,$I$3, $N$3, , $J$3, $K$3)),"")</f>
        <v/>
      </c>
      <c r="TO16" s="93" t="str">
        <f>IFERROR(IF(OR($B16="",TO$3=""),"",_xll.ciqfunctions.udf.CIQ($B16,"IQ_TOTAL_REVENUE",TO$3,$I$3, $N$3, , $J$3, $K$3)*1000000/_xll.ciqfunctions.udf.CIQ($B16,"IQ_EMPLOYEES",TO$3,$I$3, $N$3, , $J$3, $K$3)),"")</f>
        <v/>
      </c>
      <c r="TP16" s="93" t="str">
        <f>IFERROR(IF(OR($B16="",TP$3=""),"",_xll.ciqfunctions.udf.CIQ($B16,"IQ_TOTAL_REVENUE",TP$3,$I$3, $N$3, , $J$3, $K$3)*1000000/_xll.ciqfunctions.udf.CIQ($B16,"IQ_EMPLOYEES",TP$3,$I$3, $N$3, , $J$3, $K$3)),"")</f>
        <v/>
      </c>
      <c r="TQ16" s="93" t="str">
        <f>IFERROR(IF(OR($B16="",TQ$3=""),"",_xll.ciqfunctions.udf.CIQ($B16,"IQ_TOTAL_REVENUE",TQ$3,$I$3, $N$3, , $J$3, $K$3)*1000000/_xll.ciqfunctions.udf.CIQ($B16,"IQ_EMPLOYEES",TQ$3,$I$3, $N$3, , $J$3, $K$3)),"")</f>
        <v/>
      </c>
      <c r="TR16" s="93" t="str">
        <f>IFERROR(IF(OR($B16="",TR$3=""),"",_xll.ciqfunctions.udf.CIQ($B16,"IQ_TOTAL_REVENUE",TR$3,$I$3, $N$3, , $J$3, $K$3)*1000000/_xll.ciqfunctions.udf.CIQ($B16,"IQ_EMPLOYEES",TR$3,$I$3, $N$3, , $J$3, $K$3)),"")</f>
        <v/>
      </c>
      <c r="TS16" s="93" t="str">
        <f>IFERROR(IF(OR($B16="",TS$3=""),"",_xll.ciqfunctions.udf.CIQ($B16,"IQ_TOTAL_REVENUE",TS$3,$I$3, $N$3, , $J$3, $K$3)*1000000/_xll.ciqfunctions.udf.CIQ($B16,"IQ_EMPLOYEES",TS$3,$I$3, $N$3, , $J$3, $K$3)),"")</f>
        <v/>
      </c>
      <c r="TT16" s="93" t="str">
        <f>IFERROR(IF(OR($B16="",TT$3=""),"",_xll.ciqfunctions.udf.CIQ($B16,"IQ_TOTAL_REVENUE",TT$3,$I$3, $N$3, , $J$3, $K$3)*1000000/_xll.ciqfunctions.udf.CIQ($B16,"IQ_EMPLOYEES",TT$3,$I$3, $N$3, , $J$3, $K$3)),"")</f>
        <v/>
      </c>
      <c r="TU16" s="93" t="str">
        <f>IFERROR(IF(OR($B16="",TU$3=""),"",_xll.ciqfunctions.udf.CIQ($B16,"IQ_TOTAL_REVENUE",TU$3,$I$3, $N$3, , $J$3, $K$3)*1000000/_xll.ciqfunctions.udf.CIQ($B16,"IQ_EMPLOYEES",TU$3,$I$3, $N$3, , $J$3, $K$3)),"")</f>
        <v/>
      </c>
      <c r="TV16" s="93" t="str">
        <f>IFERROR(IF(OR($B16="",TV$3=""),"",_xll.ciqfunctions.udf.CIQ($B16,"IQ_TOTAL_REVENUE",TV$3,$I$3, $N$3, , $J$3, $K$3)*1000000/_xll.ciqfunctions.udf.CIQ($B16,"IQ_EMPLOYEES",TV$3,$I$3, $N$3, , $J$3, $K$3)),"")</f>
        <v/>
      </c>
      <c r="TW16" s="93" t="str">
        <f>IFERROR(IF(OR($B16="",TW$3=""),"",_xll.ciqfunctions.udf.CIQ($B16,"IQ_TOTAL_REVENUE",TW$3,$I$3, $N$3, , $J$3, $K$3)*1000000/_xll.ciqfunctions.udf.CIQ($B16,"IQ_EMPLOYEES",TW$3,$I$3, $N$3, , $J$3, $K$3)),"")</f>
        <v/>
      </c>
      <c r="TX16" s="93" t="str">
        <f>IFERROR(IF(OR($B16="",TX$3=""),"",_xll.ciqfunctions.udf.CIQ($B16,"IQ_TOTAL_REVENUE",TX$3,$I$3, $N$3, , $J$3, $K$3)*1000000/_xll.ciqfunctions.udf.CIQ($B16,"IQ_EMPLOYEES",TX$3,$I$3, $N$3, , $J$3, $K$3)),"")</f>
        <v/>
      </c>
      <c r="TY16" s="93" t="str">
        <f>IFERROR(IF(OR($B16="",TY$3=""),"",_xll.ciqfunctions.udf.CIQ($B16,"IQ_TOTAL_REVENUE",TY$3,$I$3, $N$3, , $J$3, $K$3)*1000000/_xll.ciqfunctions.udf.CIQ($B16,"IQ_EMPLOYEES",TY$3,$I$3, $N$3, , $J$3, $K$3)),"")</f>
        <v/>
      </c>
      <c r="TZ16" s="93" t="str">
        <f>IFERROR(IF(OR($B16="",TZ$3=""),"",_xll.ciqfunctions.udf.CIQ($B16,"IQ_TOTAL_REVENUE",TZ$3,$I$3, $N$3, , $J$3, $K$3)*1000000/_xll.ciqfunctions.udf.CIQ($B16,"IQ_EMPLOYEES",TZ$3,$I$3, $N$3, , $J$3, $K$3)),"")</f>
        <v/>
      </c>
      <c r="UA16" s="93" t="str">
        <f>IFERROR(IF(OR($B16="",UA$3=""),"",_xll.ciqfunctions.udf.CIQ($B16,"IQ_TOTAL_REVENUE",UA$3,$I$3, $N$3, , $J$3, $K$3)*1000000/_xll.ciqfunctions.udf.CIQ($B16,"IQ_EMPLOYEES",UA$3,$I$3, $N$3, , $J$3, $K$3)),"")</f>
        <v/>
      </c>
      <c r="UB16" s="93" t="str">
        <f>IFERROR(IF(OR($B16="",UB$3=""),"",_xll.ciqfunctions.udf.CIQ($B16,"IQ_TOTAL_REVENUE",UB$3,$I$3, $N$3, , $J$3, $K$3)*1000000/_xll.ciqfunctions.udf.CIQ($B16,"IQ_EMPLOYEES",UB$3,$I$3, $N$3, , $J$3, $K$3)),"")</f>
        <v/>
      </c>
      <c r="UC16" s="93" t="str">
        <f>IFERROR(IF(OR($B16="",UC$3=""),"",_xll.ciqfunctions.udf.CIQ($B16,"IQ_TOTAL_REVENUE",UC$3,$I$3, $N$3, , $J$3, $K$3)*1000000/_xll.ciqfunctions.udf.CIQ($B16,"IQ_EMPLOYEES",UC$3,$I$3, $N$3, , $J$3, $K$3)),"")</f>
        <v/>
      </c>
      <c r="UD16" s="93" t="str">
        <f>IFERROR(IF(OR($B16="",UD$3=""),"",_xll.ciqfunctions.udf.CIQ($B16,"IQ_TOTAL_REVENUE",UD$3,$I$3, $N$3, , $J$3, $K$3)*1000000/_xll.ciqfunctions.udf.CIQ($B16,"IQ_EMPLOYEES",UD$3,$I$3, $N$3, , $J$3, $K$3)),"")</f>
        <v/>
      </c>
      <c r="UE16" s="93" t="str">
        <f>IFERROR(IF(OR($B16="",UE$3=""),"",_xll.ciqfunctions.udf.CIQ($B16,"IQ_TOTAL_REVENUE",UE$3,$I$3, $N$3, , $J$3, $K$3)*1000000/_xll.ciqfunctions.udf.CIQ($B16,"IQ_EMPLOYEES",UE$3,$I$3, $N$3, , $J$3, $K$3)),"")</f>
        <v/>
      </c>
      <c r="UF16" s="94" t="str">
        <f>IFERROR(IF(OR($B16="",UF$3=""),"",_xll.ciqfunctions.udf.CIQ($B16,"IQ_TOTAL_REVENUE",UF$3,$I$3, $N$3, , $J$3, $K$3)*1000000/_xll.ciqfunctions.udf.CIQ($B16,"IQ_EMPLOYEES",UF$3,$I$3, $N$3, , $J$3, $K$3)),"")</f>
        <v/>
      </c>
      <c r="UG16" s="92" t="str">
        <f>IFERROR(IF(OR($B16="",UG$3=""),"",(_xll.ciqfunctions.udf.CIQ($B16,"IQ_TOTAL_REVENUE",UG$3,$I$3, $N$3, , $J$3, $K$3)-_xll.ciqfunctions.udf.CIQ($B16,"IQ_COGS",UG$3,$I$3, $N$3, , $J$3, $K$3)-_xll.ciqfunctions.udf.CIQ($B16,"IQ_EBIT",UG$3,$I$3, $N$3, , $J$3, $K$3))*1000000/_xll.ciqfunctions.udf.CIQ($B16,"IQ_EMPLOYEES",UG$3,$I$3, $N$3, , $J$3, $K$3)),"")</f>
        <v/>
      </c>
      <c r="UH16" s="93" t="str">
        <f>IFERROR(IF(OR($B16="",UH$3=""),"",(_xll.ciqfunctions.udf.CIQ($B16,"IQ_TOTAL_REVENUE",UH$3,$I$3, $N$3, , $J$3, $K$3)-_xll.ciqfunctions.udf.CIQ($B16,"IQ_COGS",UH$3,$I$3, $N$3, , $J$3, $K$3)-_xll.ciqfunctions.udf.CIQ($B16,"IQ_EBIT",UH$3,$I$3, $N$3, , $J$3, $K$3))*1000000/_xll.ciqfunctions.udf.CIQ($B16,"IQ_EMPLOYEES",UH$3,$I$3, $N$3, , $J$3, $K$3)),"")</f>
        <v/>
      </c>
      <c r="UI16" s="93" t="str">
        <f>IFERROR(IF(OR($B16="",UI$3=""),"",(_xll.ciqfunctions.udf.CIQ($B16,"IQ_TOTAL_REVENUE",UI$3,$I$3, $N$3, , $J$3, $K$3)-_xll.ciqfunctions.udf.CIQ($B16,"IQ_COGS",UI$3,$I$3, $N$3, , $J$3, $K$3)-_xll.ciqfunctions.udf.CIQ($B16,"IQ_EBIT",UI$3,$I$3, $N$3, , $J$3, $K$3))*1000000/_xll.ciqfunctions.udf.CIQ($B16,"IQ_EMPLOYEES",UI$3,$I$3, $N$3, , $J$3, $K$3)),"")</f>
        <v/>
      </c>
      <c r="UJ16" s="93" t="str">
        <f>IFERROR(IF(OR($B16="",UJ$3=""),"",(_xll.ciqfunctions.udf.CIQ($B16,"IQ_TOTAL_REVENUE",UJ$3,$I$3, $N$3, , $J$3, $K$3)-_xll.ciqfunctions.udf.CIQ($B16,"IQ_COGS",UJ$3,$I$3, $N$3, , $J$3, $K$3)-_xll.ciqfunctions.udf.CIQ($B16,"IQ_EBIT",UJ$3,$I$3, $N$3, , $J$3, $K$3))*1000000/_xll.ciqfunctions.udf.CIQ($B16,"IQ_EMPLOYEES",UJ$3,$I$3, $N$3, , $J$3, $K$3)),"")</f>
        <v/>
      </c>
      <c r="UK16" s="93" t="str">
        <f>IFERROR(IF(OR($B16="",UK$3=""),"",(_xll.ciqfunctions.udf.CIQ($B16,"IQ_TOTAL_REVENUE",UK$3,$I$3, $N$3, , $J$3, $K$3)-_xll.ciqfunctions.udf.CIQ($B16,"IQ_COGS",UK$3,$I$3, $N$3, , $J$3, $K$3)-_xll.ciqfunctions.udf.CIQ($B16,"IQ_EBIT",UK$3,$I$3, $N$3, , $J$3, $K$3))*1000000/_xll.ciqfunctions.udf.CIQ($B16,"IQ_EMPLOYEES",UK$3,$I$3, $N$3, , $J$3, $K$3)),"")</f>
        <v/>
      </c>
      <c r="UL16" s="93" t="str">
        <f>IFERROR(IF(OR($B16="",UL$3=""),"",(_xll.ciqfunctions.udf.CIQ($B16,"IQ_TOTAL_REVENUE",UL$3,$I$3, $N$3, , $J$3, $K$3)-_xll.ciqfunctions.udf.CIQ($B16,"IQ_COGS",UL$3,$I$3, $N$3, , $J$3, $K$3)-_xll.ciqfunctions.udf.CIQ($B16,"IQ_EBIT",UL$3,$I$3, $N$3, , $J$3, $K$3))*1000000/_xll.ciqfunctions.udf.CIQ($B16,"IQ_EMPLOYEES",UL$3,$I$3, $N$3, , $J$3, $K$3)),"")</f>
        <v/>
      </c>
      <c r="UM16" s="93" t="str">
        <f>IFERROR(IF(OR($B16="",UM$3=""),"",(_xll.ciqfunctions.udf.CIQ($B16,"IQ_TOTAL_REVENUE",UM$3,$I$3, $N$3, , $J$3, $K$3)-_xll.ciqfunctions.udf.CIQ($B16,"IQ_COGS",UM$3,$I$3, $N$3, , $J$3, $K$3)-_xll.ciqfunctions.udf.CIQ($B16,"IQ_EBIT",UM$3,$I$3, $N$3, , $J$3, $K$3))*1000000/_xll.ciqfunctions.udf.CIQ($B16,"IQ_EMPLOYEES",UM$3,$I$3, $N$3, , $J$3, $K$3)),"")</f>
        <v/>
      </c>
      <c r="UN16" s="93" t="str">
        <f>IFERROR(IF(OR($B16="",UN$3=""),"",(_xll.ciqfunctions.udf.CIQ($B16,"IQ_TOTAL_REVENUE",UN$3,$I$3, $N$3, , $J$3, $K$3)-_xll.ciqfunctions.udf.CIQ($B16,"IQ_COGS",UN$3,$I$3, $N$3, , $J$3, $K$3)-_xll.ciqfunctions.udf.CIQ($B16,"IQ_EBIT",UN$3,$I$3, $N$3, , $J$3, $K$3))*1000000/_xll.ciqfunctions.udf.CIQ($B16,"IQ_EMPLOYEES",UN$3,$I$3, $N$3, , $J$3, $K$3)),"")</f>
        <v/>
      </c>
      <c r="UO16" s="93" t="str">
        <f>IFERROR(IF(OR($B16="",UO$3=""),"",(_xll.ciqfunctions.udf.CIQ($B16,"IQ_TOTAL_REVENUE",UO$3,$I$3, $N$3, , $J$3, $K$3)-_xll.ciqfunctions.udf.CIQ($B16,"IQ_COGS",UO$3,$I$3, $N$3, , $J$3, $K$3)-_xll.ciqfunctions.udf.CIQ($B16,"IQ_EBIT",UO$3,$I$3, $N$3, , $J$3, $K$3))*1000000/_xll.ciqfunctions.udf.CIQ($B16,"IQ_EMPLOYEES",UO$3,$I$3, $N$3, , $J$3, $K$3)),"")</f>
        <v/>
      </c>
      <c r="UP16" s="93" t="str">
        <f>IFERROR(IF(OR($B16="",UP$3=""),"",(_xll.ciqfunctions.udf.CIQ($B16,"IQ_TOTAL_REVENUE",UP$3,$I$3, $N$3, , $J$3, $K$3)-_xll.ciqfunctions.udf.CIQ($B16,"IQ_COGS",UP$3,$I$3, $N$3, , $J$3, $K$3)-_xll.ciqfunctions.udf.CIQ($B16,"IQ_EBIT",UP$3,$I$3, $N$3, , $J$3, $K$3))*1000000/_xll.ciqfunctions.udf.CIQ($B16,"IQ_EMPLOYEES",UP$3,$I$3, $N$3, , $J$3, $K$3)),"")</f>
        <v/>
      </c>
      <c r="UQ16" s="93" t="str">
        <f>IFERROR(IF(OR($B16="",UQ$3=""),"",(_xll.ciqfunctions.udf.CIQ($B16,"IQ_TOTAL_REVENUE",UQ$3,$I$3, $N$3, , $J$3, $K$3)-_xll.ciqfunctions.udf.CIQ($B16,"IQ_COGS",UQ$3,$I$3, $N$3, , $J$3, $K$3)-_xll.ciqfunctions.udf.CIQ($B16,"IQ_EBIT",UQ$3,$I$3, $N$3, , $J$3, $K$3))*1000000/_xll.ciqfunctions.udf.CIQ($B16,"IQ_EMPLOYEES",UQ$3,$I$3, $N$3, , $J$3, $K$3)),"")</f>
        <v/>
      </c>
      <c r="UR16" s="93" t="str">
        <f>IFERROR(IF(OR($B16="",UR$3=""),"",(_xll.ciqfunctions.udf.CIQ($B16,"IQ_TOTAL_REVENUE",UR$3,$I$3, $N$3, , $J$3, $K$3)-_xll.ciqfunctions.udf.CIQ($B16,"IQ_COGS",UR$3,$I$3, $N$3, , $J$3, $K$3)-_xll.ciqfunctions.udf.CIQ($B16,"IQ_EBIT",UR$3,$I$3, $N$3, , $J$3, $K$3))*1000000/_xll.ciqfunctions.udf.CIQ($B16,"IQ_EMPLOYEES",UR$3,$I$3, $N$3, , $J$3, $K$3)),"")</f>
        <v/>
      </c>
      <c r="US16" s="93" t="str">
        <f>IFERROR(IF(OR($B16="",US$3=""),"",(_xll.ciqfunctions.udf.CIQ($B16,"IQ_TOTAL_REVENUE",US$3,$I$3, $N$3, , $J$3, $K$3)-_xll.ciqfunctions.udf.CIQ($B16,"IQ_COGS",US$3,$I$3, $N$3, , $J$3, $K$3)-_xll.ciqfunctions.udf.CIQ($B16,"IQ_EBIT",US$3,$I$3, $N$3, , $J$3, $K$3))*1000000/_xll.ciqfunctions.udf.CIQ($B16,"IQ_EMPLOYEES",US$3,$I$3, $N$3, , $J$3, $K$3)),"")</f>
        <v/>
      </c>
      <c r="UT16" s="93" t="str">
        <f>IFERROR(IF(OR($B16="",UT$3=""),"",(_xll.ciqfunctions.udf.CIQ($B16,"IQ_TOTAL_REVENUE",UT$3,$I$3, $N$3, , $J$3, $K$3)-_xll.ciqfunctions.udf.CIQ($B16,"IQ_COGS",UT$3,$I$3, $N$3, , $J$3, $K$3)-_xll.ciqfunctions.udf.CIQ($B16,"IQ_EBIT",UT$3,$I$3, $N$3, , $J$3, $K$3))*1000000/_xll.ciqfunctions.udf.CIQ($B16,"IQ_EMPLOYEES",UT$3,$I$3, $N$3, , $J$3, $K$3)),"")</f>
        <v/>
      </c>
      <c r="UU16" s="93" t="str">
        <f>IFERROR(IF(OR($B16="",UU$3=""),"",(_xll.ciqfunctions.udf.CIQ($B16,"IQ_TOTAL_REVENUE",UU$3,$I$3, $N$3, , $J$3, $K$3)-_xll.ciqfunctions.udf.CIQ($B16,"IQ_COGS",UU$3,$I$3, $N$3, , $J$3, $K$3)-_xll.ciqfunctions.udf.CIQ($B16,"IQ_EBIT",UU$3,$I$3, $N$3, , $J$3, $K$3))*1000000/_xll.ciqfunctions.udf.CIQ($B16,"IQ_EMPLOYEES",UU$3,$I$3, $N$3, , $J$3, $K$3)),"")</f>
        <v/>
      </c>
      <c r="UV16" s="93" t="str">
        <f>IFERROR(IF(OR($B16="",UV$3=""),"",(_xll.ciqfunctions.udf.CIQ($B16,"IQ_TOTAL_REVENUE",UV$3,$I$3, $N$3, , $J$3, $K$3)-_xll.ciqfunctions.udf.CIQ($B16,"IQ_COGS",UV$3,$I$3, $N$3, , $J$3, $K$3)-_xll.ciqfunctions.udf.CIQ($B16,"IQ_EBIT",UV$3,$I$3, $N$3, , $J$3, $K$3))*1000000/_xll.ciqfunctions.udf.CIQ($B16,"IQ_EMPLOYEES",UV$3,$I$3, $N$3, , $J$3, $K$3)),"")</f>
        <v/>
      </c>
      <c r="UW16" s="93" t="str">
        <f>IFERROR(IF(OR($B16="",UW$3=""),"",(_xll.ciqfunctions.udf.CIQ($B16,"IQ_TOTAL_REVENUE",UW$3,$I$3, $N$3, , $J$3, $K$3)-_xll.ciqfunctions.udf.CIQ($B16,"IQ_COGS",UW$3,$I$3, $N$3, , $J$3, $K$3)-_xll.ciqfunctions.udf.CIQ($B16,"IQ_EBIT",UW$3,$I$3, $N$3, , $J$3, $K$3))*1000000/_xll.ciqfunctions.udf.CIQ($B16,"IQ_EMPLOYEES",UW$3,$I$3, $N$3, , $J$3, $K$3)),"")</f>
        <v/>
      </c>
      <c r="UX16" s="93" t="str">
        <f>IFERROR(IF(OR($B16="",UX$3=""),"",(_xll.ciqfunctions.udf.CIQ($B16,"IQ_TOTAL_REVENUE",UX$3,$I$3, $N$3, , $J$3, $K$3)-_xll.ciqfunctions.udf.CIQ($B16,"IQ_COGS",UX$3,$I$3, $N$3, , $J$3, $K$3)-_xll.ciqfunctions.udf.CIQ($B16,"IQ_EBIT",UX$3,$I$3, $N$3, , $J$3, $K$3))*1000000/_xll.ciqfunctions.udf.CIQ($B16,"IQ_EMPLOYEES",UX$3,$I$3, $N$3, , $J$3, $K$3)),"")</f>
        <v/>
      </c>
      <c r="UY16" s="93" t="str">
        <f>IFERROR(IF(OR($B16="",UY$3=""),"",(_xll.ciqfunctions.udf.CIQ($B16,"IQ_TOTAL_REVENUE",UY$3,$I$3, $N$3, , $J$3, $K$3)-_xll.ciqfunctions.udf.CIQ($B16,"IQ_COGS",UY$3,$I$3, $N$3, , $J$3, $K$3)-_xll.ciqfunctions.udf.CIQ($B16,"IQ_EBIT",UY$3,$I$3, $N$3, , $J$3, $K$3))*1000000/_xll.ciqfunctions.udf.CIQ($B16,"IQ_EMPLOYEES",UY$3,$I$3, $N$3, , $J$3, $K$3)),"")</f>
        <v/>
      </c>
      <c r="UZ16" s="94" t="str">
        <f>IFERROR(IF(OR($B16="",UZ$3=""),"",(_xll.ciqfunctions.udf.CIQ($B16,"IQ_TOTAL_REVENUE",UZ$3,$I$3, $N$3, , $J$3, $K$3)-_xll.ciqfunctions.udf.CIQ($B16,"IQ_COGS",UZ$3,$I$3, $N$3, , $J$3, $K$3)-_xll.ciqfunctions.udf.CIQ($B16,"IQ_EBIT",UZ$3,$I$3, $N$3, , $J$3, $K$3))*1000000/_xll.ciqfunctions.udf.CIQ($B16,"IQ_EMPLOYEES",UZ$3,$I$3, $N$3, , $J$3, $K$3)),"")</f>
        <v/>
      </c>
      <c r="VA16" s="92" t="str">
        <f>IFERROR(IF(OR($B16="",VA$3=""),"",_xll.ciqfunctions.udf.CIQ($B16,"IQ_SGA_SUPPL",VA$3,$I$3, $N$3, , $J$3, $K$3)*1000000/_xll.ciqfunctions.udf.CIQ($B16,"IQ_EMPLOYEES",VA$3,$I$3, $N$3, , $J$3, $K$3)),"")</f>
        <v/>
      </c>
      <c r="VB16" s="93" t="str">
        <f>IFERROR(IF(OR($B16="",VB$3=""),"",_xll.ciqfunctions.udf.CIQ($B16,"IQ_SGA_SUPPL",VB$3,$I$3, $N$3, , $J$3, $K$3)*1000000/_xll.ciqfunctions.udf.CIQ($B16,"IQ_EMPLOYEES",VB$3,$I$3, $N$3, , $J$3, $K$3)),"")</f>
        <v/>
      </c>
      <c r="VC16" s="93" t="str">
        <f>IFERROR(IF(OR($B16="",VC$3=""),"",_xll.ciqfunctions.udf.CIQ($B16,"IQ_SGA_SUPPL",VC$3,$I$3, $N$3, , $J$3, $K$3)*1000000/_xll.ciqfunctions.udf.CIQ($B16,"IQ_EMPLOYEES",VC$3,$I$3, $N$3, , $J$3, $K$3)),"")</f>
        <v/>
      </c>
      <c r="VD16" s="93" t="str">
        <f>IFERROR(IF(OR($B16="",VD$3=""),"",_xll.ciqfunctions.udf.CIQ($B16,"IQ_SGA_SUPPL",VD$3,$I$3, $N$3, , $J$3, $K$3)*1000000/_xll.ciqfunctions.udf.CIQ($B16,"IQ_EMPLOYEES",VD$3,$I$3, $N$3, , $J$3, $K$3)),"")</f>
        <v/>
      </c>
      <c r="VE16" s="93" t="str">
        <f>IFERROR(IF(OR($B16="",VE$3=""),"",_xll.ciqfunctions.udf.CIQ($B16,"IQ_SGA_SUPPL",VE$3,$I$3, $N$3, , $J$3, $K$3)*1000000/_xll.ciqfunctions.udf.CIQ($B16,"IQ_EMPLOYEES",VE$3,$I$3, $N$3, , $J$3, $K$3)),"")</f>
        <v/>
      </c>
      <c r="VF16" s="93" t="str">
        <f>IFERROR(IF(OR($B16="",VF$3=""),"",_xll.ciqfunctions.udf.CIQ($B16,"IQ_SGA_SUPPL",VF$3,$I$3, $N$3, , $J$3, $K$3)*1000000/_xll.ciqfunctions.udf.CIQ($B16,"IQ_EMPLOYEES",VF$3,$I$3, $N$3, , $J$3, $K$3)),"")</f>
        <v/>
      </c>
      <c r="VG16" s="93" t="str">
        <f>IFERROR(IF(OR($B16="",VG$3=""),"",_xll.ciqfunctions.udf.CIQ($B16,"IQ_SGA_SUPPL",VG$3,$I$3, $N$3, , $J$3, $K$3)*1000000/_xll.ciqfunctions.udf.CIQ($B16,"IQ_EMPLOYEES",VG$3,$I$3, $N$3, , $J$3, $K$3)),"")</f>
        <v/>
      </c>
      <c r="VH16" s="93" t="str">
        <f>IFERROR(IF(OR($B16="",VH$3=""),"",_xll.ciqfunctions.udf.CIQ($B16,"IQ_SGA_SUPPL",VH$3,$I$3, $N$3, , $J$3, $K$3)*1000000/_xll.ciqfunctions.udf.CIQ($B16,"IQ_EMPLOYEES",VH$3,$I$3, $N$3, , $J$3, $K$3)),"")</f>
        <v/>
      </c>
      <c r="VI16" s="93" t="str">
        <f>IFERROR(IF(OR($B16="",VI$3=""),"",_xll.ciqfunctions.udf.CIQ($B16,"IQ_SGA_SUPPL",VI$3,$I$3, $N$3, , $J$3, $K$3)*1000000/_xll.ciqfunctions.udf.CIQ($B16,"IQ_EMPLOYEES",VI$3,$I$3, $N$3, , $J$3, $K$3)),"")</f>
        <v/>
      </c>
      <c r="VJ16" s="93" t="str">
        <f>IFERROR(IF(OR($B16="",VJ$3=""),"",_xll.ciqfunctions.udf.CIQ($B16,"IQ_SGA_SUPPL",VJ$3,$I$3, $N$3, , $J$3, $K$3)*1000000/_xll.ciqfunctions.udf.CIQ($B16,"IQ_EMPLOYEES",VJ$3,$I$3, $N$3, , $J$3, $K$3)),"")</f>
        <v/>
      </c>
      <c r="VK16" s="93" t="str">
        <f>IFERROR(IF(OR($B16="",VK$3=""),"",_xll.ciqfunctions.udf.CIQ($B16,"IQ_SGA_SUPPL",VK$3,$I$3, $N$3, , $J$3, $K$3)*1000000/_xll.ciqfunctions.udf.CIQ($B16,"IQ_EMPLOYEES",VK$3,$I$3, $N$3, , $J$3, $K$3)),"")</f>
        <v/>
      </c>
      <c r="VL16" s="93" t="str">
        <f>IFERROR(IF(OR($B16="",VL$3=""),"",_xll.ciqfunctions.udf.CIQ($B16,"IQ_SGA_SUPPL",VL$3,$I$3, $N$3, , $J$3, $K$3)*1000000/_xll.ciqfunctions.udf.CIQ($B16,"IQ_EMPLOYEES",VL$3,$I$3, $N$3, , $J$3, $K$3)),"")</f>
        <v/>
      </c>
      <c r="VM16" s="93" t="str">
        <f>IFERROR(IF(OR($B16="",VM$3=""),"",_xll.ciqfunctions.udf.CIQ($B16,"IQ_SGA_SUPPL",VM$3,$I$3, $N$3, , $J$3, $K$3)*1000000/_xll.ciqfunctions.udf.CIQ($B16,"IQ_EMPLOYEES",VM$3,$I$3, $N$3, , $J$3, $K$3)),"")</f>
        <v/>
      </c>
      <c r="VN16" s="93" t="str">
        <f>IFERROR(IF(OR($B16="",VN$3=""),"",_xll.ciqfunctions.udf.CIQ($B16,"IQ_SGA_SUPPL",VN$3,$I$3, $N$3, , $J$3, $K$3)*1000000/_xll.ciqfunctions.udf.CIQ($B16,"IQ_EMPLOYEES",VN$3,$I$3, $N$3, , $J$3, $K$3)),"")</f>
        <v/>
      </c>
      <c r="VO16" s="93" t="str">
        <f>IFERROR(IF(OR($B16="",VO$3=""),"",_xll.ciqfunctions.udf.CIQ($B16,"IQ_SGA_SUPPL",VO$3,$I$3, $N$3, , $J$3, $K$3)*1000000/_xll.ciqfunctions.udf.CIQ($B16,"IQ_EMPLOYEES",VO$3,$I$3, $N$3, , $J$3, $K$3)),"")</f>
        <v/>
      </c>
      <c r="VP16" s="93" t="str">
        <f>IFERROR(IF(OR($B16="",VP$3=""),"",_xll.ciqfunctions.udf.CIQ($B16,"IQ_SGA_SUPPL",VP$3,$I$3, $N$3, , $J$3, $K$3)*1000000/_xll.ciqfunctions.udf.CIQ($B16,"IQ_EMPLOYEES",VP$3,$I$3, $N$3, , $J$3, $K$3)),"")</f>
        <v/>
      </c>
      <c r="VQ16" s="93" t="str">
        <f>IFERROR(IF(OR($B16="",VQ$3=""),"",_xll.ciqfunctions.udf.CIQ($B16,"IQ_SGA_SUPPL",VQ$3,$I$3, $N$3, , $J$3, $K$3)*1000000/_xll.ciqfunctions.udf.CIQ($B16,"IQ_EMPLOYEES",VQ$3,$I$3, $N$3, , $J$3, $K$3)),"")</f>
        <v/>
      </c>
      <c r="VR16" s="93" t="str">
        <f>IFERROR(IF(OR($B16="",VR$3=""),"",_xll.ciqfunctions.udf.CIQ($B16,"IQ_SGA_SUPPL",VR$3,$I$3, $N$3, , $J$3, $K$3)*1000000/_xll.ciqfunctions.udf.CIQ($B16,"IQ_EMPLOYEES",VR$3,$I$3, $N$3, , $J$3, $K$3)),"")</f>
        <v/>
      </c>
      <c r="VS16" s="93" t="str">
        <f>IFERROR(IF(OR($B16="",VS$3=""),"",_xll.ciqfunctions.udf.CIQ($B16,"IQ_SGA_SUPPL",VS$3,$I$3, $N$3, , $J$3, $K$3)*1000000/_xll.ciqfunctions.udf.CIQ($B16,"IQ_EMPLOYEES",VS$3,$I$3, $N$3, , $J$3, $K$3)),"")</f>
        <v/>
      </c>
      <c r="VT16" s="94" t="str">
        <f>IFERROR(IF(OR($B16="",VT$3=""),"",_xll.ciqfunctions.udf.CIQ($B16,"IQ_SGA_SUPPL",VT$3,$I$3, $N$3, , $J$3, $K$3)*1000000/_xll.ciqfunctions.udf.CIQ($B16,"IQ_EMPLOYEES",VT$3,$I$3, $N$3, , $J$3, $K$3)),"")</f>
        <v/>
      </c>
      <c r="VU16" s="92" t="str">
        <f>IFERROR(IF(OR($B16="",VU$3=""),"",_xll.ciqfunctions.udf.CIQ($B16,"IQ_RD_EXP",VU$3,$I$3, $N$3, , $J$3, $K$3)*1000000/_xll.ciqfunctions.udf.CIQ($B16,"IQ_EMPLOYEES",VU$3,$I$3, $N$3, , $J$3, $K$3)),"")</f>
        <v/>
      </c>
      <c r="VV16" s="93" t="str">
        <f>IFERROR(IF(OR($B16="",VV$3=""),"",_xll.ciqfunctions.udf.CIQ($B16,"IQ_RD_EXP",VV$3,$I$3, $N$3, , $J$3, $K$3)*1000000/_xll.ciqfunctions.udf.CIQ($B16,"IQ_EMPLOYEES",VV$3,$I$3, $N$3, , $J$3, $K$3)),"")</f>
        <v/>
      </c>
      <c r="VW16" s="93" t="str">
        <f>IFERROR(IF(OR($B16="",VW$3=""),"",_xll.ciqfunctions.udf.CIQ($B16,"IQ_RD_EXP",VW$3,$I$3, $N$3, , $J$3, $K$3)*1000000/_xll.ciqfunctions.udf.CIQ($B16,"IQ_EMPLOYEES",VW$3,$I$3, $N$3, , $J$3, $K$3)),"")</f>
        <v/>
      </c>
      <c r="VX16" s="93" t="str">
        <f>IFERROR(IF(OR($B16="",VX$3=""),"",_xll.ciqfunctions.udf.CIQ($B16,"IQ_RD_EXP",VX$3,$I$3, $N$3, , $J$3, $K$3)*1000000/_xll.ciqfunctions.udf.CIQ($B16,"IQ_EMPLOYEES",VX$3,$I$3, $N$3, , $J$3, $K$3)),"")</f>
        <v/>
      </c>
      <c r="VY16" s="93" t="str">
        <f>IFERROR(IF(OR($B16="",VY$3=""),"",_xll.ciqfunctions.udf.CIQ($B16,"IQ_RD_EXP",VY$3,$I$3, $N$3, , $J$3, $K$3)*1000000/_xll.ciqfunctions.udf.CIQ($B16,"IQ_EMPLOYEES",VY$3,$I$3, $N$3, , $J$3, $K$3)),"")</f>
        <v/>
      </c>
      <c r="VZ16" s="93" t="str">
        <f>IFERROR(IF(OR($B16="",VZ$3=""),"",_xll.ciqfunctions.udf.CIQ($B16,"IQ_RD_EXP",VZ$3,$I$3, $N$3, , $J$3, $K$3)*1000000/_xll.ciqfunctions.udf.CIQ($B16,"IQ_EMPLOYEES",VZ$3,$I$3, $N$3, , $J$3, $K$3)),"")</f>
        <v/>
      </c>
      <c r="WA16" s="93" t="str">
        <f>IFERROR(IF(OR($B16="",WA$3=""),"",_xll.ciqfunctions.udf.CIQ($B16,"IQ_RD_EXP",WA$3,$I$3, $N$3, , $J$3, $K$3)*1000000/_xll.ciqfunctions.udf.CIQ($B16,"IQ_EMPLOYEES",WA$3,$I$3, $N$3, , $J$3, $K$3)),"")</f>
        <v/>
      </c>
      <c r="WB16" s="93" t="str">
        <f>IFERROR(IF(OR($B16="",WB$3=""),"",_xll.ciqfunctions.udf.CIQ($B16,"IQ_RD_EXP",WB$3,$I$3, $N$3, , $J$3, $K$3)*1000000/_xll.ciqfunctions.udf.CIQ($B16,"IQ_EMPLOYEES",WB$3,$I$3, $N$3, , $J$3, $K$3)),"")</f>
        <v/>
      </c>
      <c r="WC16" s="93" t="str">
        <f>IFERROR(IF(OR($B16="",WC$3=""),"",_xll.ciqfunctions.udf.CIQ($B16,"IQ_RD_EXP",WC$3,$I$3, $N$3, , $J$3, $K$3)*1000000/_xll.ciqfunctions.udf.CIQ($B16,"IQ_EMPLOYEES",WC$3,$I$3, $N$3, , $J$3, $K$3)),"")</f>
        <v/>
      </c>
      <c r="WD16" s="93" t="str">
        <f>IFERROR(IF(OR($B16="",WD$3=""),"",_xll.ciqfunctions.udf.CIQ($B16,"IQ_RD_EXP",WD$3,$I$3, $N$3, , $J$3, $K$3)*1000000/_xll.ciqfunctions.udf.CIQ($B16,"IQ_EMPLOYEES",WD$3,$I$3, $N$3, , $J$3, $K$3)),"")</f>
        <v/>
      </c>
      <c r="WE16" s="93" t="str">
        <f>IFERROR(IF(OR($B16="",WE$3=""),"",_xll.ciqfunctions.udf.CIQ($B16,"IQ_RD_EXP",WE$3,$I$3, $N$3, , $J$3, $K$3)*1000000/_xll.ciqfunctions.udf.CIQ($B16,"IQ_EMPLOYEES",WE$3,$I$3, $N$3, , $J$3, $K$3)),"")</f>
        <v/>
      </c>
      <c r="WF16" s="93" t="str">
        <f>IFERROR(IF(OR($B16="",WF$3=""),"",_xll.ciqfunctions.udf.CIQ($B16,"IQ_RD_EXP",WF$3,$I$3, $N$3, , $J$3, $K$3)*1000000/_xll.ciqfunctions.udf.CIQ($B16,"IQ_EMPLOYEES",WF$3,$I$3, $N$3, , $J$3, $K$3)),"")</f>
        <v/>
      </c>
      <c r="WG16" s="93" t="str">
        <f>IFERROR(IF(OR($B16="",WG$3=""),"",_xll.ciqfunctions.udf.CIQ($B16,"IQ_RD_EXP",WG$3,$I$3, $N$3, , $J$3, $K$3)*1000000/_xll.ciqfunctions.udf.CIQ($B16,"IQ_EMPLOYEES",WG$3,$I$3, $N$3, , $J$3, $K$3)),"")</f>
        <v/>
      </c>
      <c r="WH16" s="93" t="str">
        <f>IFERROR(IF(OR($B16="",WH$3=""),"",_xll.ciqfunctions.udf.CIQ($B16,"IQ_RD_EXP",WH$3,$I$3, $N$3, , $J$3, $K$3)*1000000/_xll.ciqfunctions.udf.CIQ($B16,"IQ_EMPLOYEES",WH$3,$I$3, $N$3, , $J$3, $K$3)),"")</f>
        <v/>
      </c>
      <c r="WI16" s="93" t="str">
        <f>IFERROR(IF(OR($B16="",WI$3=""),"",_xll.ciqfunctions.udf.CIQ($B16,"IQ_RD_EXP",WI$3,$I$3, $N$3, , $J$3, $K$3)*1000000/_xll.ciqfunctions.udf.CIQ($B16,"IQ_EMPLOYEES",WI$3,$I$3, $N$3, , $J$3, $K$3)),"")</f>
        <v/>
      </c>
      <c r="WJ16" s="93" t="str">
        <f>IFERROR(IF(OR($B16="",WJ$3=""),"",_xll.ciqfunctions.udf.CIQ($B16,"IQ_RD_EXP",WJ$3,$I$3, $N$3, , $J$3, $K$3)*1000000/_xll.ciqfunctions.udf.CIQ($B16,"IQ_EMPLOYEES",WJ$3,$I$3, $N$3, , $J$3, $K$3)),"")</f>
        <v/>
      </c>
      <c r="WK16" s="93" t="str">
        <f>IFERROR(IF(OR($B16="",WK$3=""),"",_xll.ciqfunctions.udf.CIQ($B16,"IQ_RD_EXP",WK$3,$I$3, $N$3, , $J$3, $K$3)*1000000/_xll.ciqfunctions.udf.CIQ($B16,"IQ_EMPLOYEES",WK$3,$I$3, $N$3, , $J$3, $K$3)),"")</f>
        <v/>
      </c>
      <c r="WL16" s="93" t="str">
        <f>IFERROR(IF(OR($B16="",TJ$3=""),"",_xll.ciqfunctions.udf.CIQ($B16,"IQ_RD_EXP",GH$3,,,,"USD")*1000000/_xll.ciqfunctions.udf.CIQ($B16,"IQ_EMPLOYEES",WL$3,,,,"USD")),"")</f>
        <v/>
      </c>
      <c r="WM16" s="93" t="str">
        <f>IFERROR(IF(OR($B16="",TK$3=""),"",_xll.ciqfunctions.udf.CIQ($B16,"IQ_RD_EXP",GI$3,,,,"USD")*1000000/_xll.ciqfunctions.udf.CIQ($B16,"IQ_EMPLOYEES",WM$3,,,,"USD")),"")</f>
        <v/>
      </c>
      <c r="WN16" s="94" t="str">
        <f>IFERROR(IF(OR($B16="",TL$3=""),"",_xll.ciqfunctions.udf.CIQ($B16,"IQ_RD_EXP",GJ$3,,,,"USD")*1000000/_xll.ciqfunctions.udf.CIQ($B16,"IQ_EMPLOYEES",WN$3,,,,"USD")),"")</f>
        <v/>
      </c>
      <c r="WO16" s="620" t="str">
        <f>IFERROR(IF(OR($B16="",WO$4=""),"",_xll.ciqfunctions.udf.CIQ($B16,"IQ_LASTSALEPRICE",WO$4)),"")</f>
        <v/>
      </c>
      <c r="WP16" s="620" t="str">
        <f>IFERROR(IF(OR($B16="",WP$4=""),"",_xll.ciqfunctions.udf.CIQ($B16,"IQ_LASTSALEPRICE",WP$4)),"")</f>
        <v/>
      </c>
      <c r="WQ16" s="620" t="str">
        <f>IFERROR(IF(OR($B16="",WQ$4=""),"",_xll.ciqfunctions.udf.CIQ($B16,"IQ_LASTSALEPRICE",WQ$4)),"")</f>
        <v/>
      </c>
      <c r="WR16" s="620" t="str">
        <f>IFERROR(IF(OR($B16="",WR$4=""),"",_xll.ciqfunctions.udf.CIQ($B16,"IQ_LASTSALEPRICE",WR$4)),"")</f>
        <v/>
      </c>
      <c r="WS16" s="620" t="str">
        <f>IFERROR(IF(OR($B16="",WS$4=""),"",_xll.ciqfunctions.udf.CIQ($B16,"IQ_LASTSALEPRICE",WS$4)),"")</f>
        <v/>
      </c>
      <c r="WT16" s="620" t="str">
        <f>IFERROR(IF(OR($B16="",WT$4=""),"",_xll.ciqfunctions.udf.CIQ($B16,"IQ_LASTSALEPRICE",WT$4)),"")</f>
        <v/>
      </c>
      <c r="WU16" s="620" t="str">
        <f>IFERROR(IF(OR($B16="",WU$4=""),"",_xll.ciqfunctions.udf.CIQ($B16,"IQ_LASTSALEPRICE",WU$4)),"")</f>
        <v/>
      </c>
      <c r="WV16" s="620" t="str">
        <f>IFERROR(IF(OR($B16="",WV$4=""),"",_xll.ciqfunctions.udf.CIQ($B16,"IQ_LASTSALEPRICE",WV$4)),"")</f>
        <v/>
      </c>
      <c r="WW16" s="620" t="str">
        <f>IFERROR(IF(OR($B16="",WW$4=""),"",_xll.ciqfunctions.udf.CIQ($B16,"IQ_LASTSALEPRICE",WW$4)),"")</f>
        <v/>
      </c>
      <c r="WX16" s="620" t="str">
        <f>IFERROR(IF(OR($B16="",WX$4=""),"",_xll.ciqfunctions.udf.CIQ($B16,"IQ_LASTSALEPRICE",WX$4)),"")</f>
        <v/>
      </c>
      <c r="WY16" s="620" t="str">
        <f>IFERROR(IF(OR($B16="",WY$4=""),"",_xll.ciqfunctions.udf.CIQ($B16,"IQ_LASTSALEPRICE",WY$4)),"")</f>
        <v/>
      </c>
      <c r="WZ16" s="620" t="str">
        <f>IFERROR(IF(OR($B16="",WZ$4=""),"",_xll.ciqfunctions.udf.CIQ($B16,"IQ_LASTSALEPRICE",WZ$4)),"")</f>
        <v/>
      </c>
      <c r="XA16" s="620" t="str">
        <f>IFERROR(IF(OR($B16="",XA$4=""),"",_xll.ciqfunctions.udf.CIQ($B16,"IQ_LASTSALEPRICE",XA$4)),"")</f>
        <v/>
      </c>
      <c r="XB16" s="620" t="str">
        <f>IFERROR(IF(OR($B16="",XB$4=""),"",_xll.ciqfunctions.udf.CIQ($B16,"IQ_LASTSALEPRICE",XB$4)),"")</f>
        <v/>
      </c>
      <c r="XC16" s="620" t="str">
        <f>IFERROR(IF(OR($B16="",XC$4=""),"",_xll.ciqfunctions.udf.CIQ($B16,"IQ_LASTSALEPRICE",XC$4)),"")</f>
        <v/>
      </c>
      <c r="XD16" s="620" t="str">
        <f>IFERROR(IF(OR($B16="",XD$4=""),"",_xll.ciqfunctions.udf.CIQ($B16,"IQ_LASTSALEPRICE",XD$4)),"")</f>
        <v/>
      </c>
      <c r="XE16" s="620" t="str">
        <f>IFERROR(IF(OR($B16="",XE$4=""),"",_xll.ciqfunctions.udf.CIQ($B16,"IQ_LASTSALEPRICE",XE$4)),"")</f>
        <v/>
      </c>
      <c r="XF16" s="620" t="str">
        <f>IFERROR(IF(OR($B16="",XF$4=""),"",_xll.ciqfunctions.udf.CIQ($B16,"IQ_LASTSALEPRICE",XF$4)),"")</f>
        <v/>
      </c>
      <c r="XG16" s="620" t="str">
        <f>IFERROR(IF(OR($B16="",XG$4=""),"",_xll.ciqfunctions.udf.CIQ($B16,"IQ_LASTSALEPRICE",XG$4)),"")</f>
        <v/>
      </c>
      <c r="XH16" s="620" t="str">
        <f>IFERROR(IF(OR($B16="",XH$4=""),"",_xll.ciqfunctions.udf.CIQ($B16,"IQ_LASTSALEPRICE",XH$4)),"")</f>
        <v/>
      </c>
      <c r="XI16" s="72" t="str">
        <f>IFERROR(IF(OR($B16="",XI$3=""),"",_xll.ciqfunctions.udf.CIQ($B16,"IQ_TOTAL_REV_1YR_ANN_GROWTH",XI$3,$I$3, $N$3, , $J$3, $K$3)/100),"")</f>
        <v/>
      </c>
      <c r="XJ16" s="72" t="str">
        <f>IFERROR(IF(OR($B16="",XJ$3=""),"",_xll.ciqfunctions.udf.CIQ($B16,"IQ_TOTAL_REV_1YR_ANN_GROWTH",XJ$3,$I$3, $N$3, , $J$3, $K$3)/100),"")</f>
        <v/>
      </c>
      <c r="XK16" s="72" t="str">
        <f>IFERROR(IF(OR($B16="",XK$3=""),"",_xll.ciqfunctions.udf.CIQ($B16,"IQ_TOTAL_REV_1YR_ANN_GROWTH",XK$3,$I$3, $N$3, , $J$3, $K$3)/100),"")</f>
        <v/>
      </c>
      <c r="XL16" s="72" t="str">
        <f>IFERROR(IF(OR($B16="",XL$3=""),"",_xll.ciqfunctions.udf.CIQ($B16,"IQ_TOTAL_REV_1YR_ANN_GROWTH",XL$3,$I$3, $N$3, , $J$3, $K$3)/100),"")</f>
        <v/>
      </c>
      <c r="XM16" s="72" t="str">
        <f>IFERROR(IF(OR($B16="",XM$3=""),"",_xll.ciqfunctions.udf.CIQ($B16,"IQ_TOTAL_REV_1YR_ANN_GROWTH",XM$3,$I$3, $N$3, , $J$3, $K$3)/100),"")</f>
        <v/>
      </c>
      <c r="XN16" s="72" t="str">
        <f>IFERROR(IF(OR($B16="",XN$3=""),"",_xll.ciqfunctions.udf.CIQ($B16,"IQ_TOTAL_REV_1YR_ANN_GROWTH",XN$3,$I$3, $N$3, , $J$3, $K$3)/100),"")</f>
        <v/>
      </c>
      <c r="XO16" s="72" t="str">
        <f>IFERROR(IF(OR($B16="",XO$3=""),"",_xll.ciqfunctions.udf.CIQ($B16,"IQ_TOTAL_REV_1YR_ANN_GROWTH",XO$3,$I$3, $N$3, , $J$3, $K$3)/100),"")</f>
        <v/>
      </c>
      <c r="XP16" s="72" t="str">
        <f>IFERROR(IF(OR($B16="",XP$3=""),"",_xll.ciqfunctions.udf.CIQ($B16,"IQ_TOTAL_REV_1YR_ANN_GROWTH",XP$3,$I$3, $N$3, , $J$3, $K$3)/100),"")</f>
        <v/>
      </c>
      <c r="XQ16" s="72" t="str">
        <f>IFERROR(IF(OR($B16="",XQ$3=""),"",_xll.ciqfunctions.udf.CIQ($B16,"IQ_TOTAL_REV_1YR_ANN_GROWTH",XQ$3,$I$3, $N$3, , $J$3, $K$3)/100),"")</f>
        <v/>
      </c>
      <c r="XR16" s="72" t="str">
        <f>IFERROR(IF(OR($B16="",XR$3=""),"",_xll.ciqfunctions.udf.CIQ($B16,"IQ_TOTAL_REV_1YR_ANN_GROWTH",XR$3,$I$3, $N$3, , $J$3, $K$3)/100),"")</f>
        <v/>
      </c>
      <c r="XS16" s="72" t="str">
        <f>IFERROR(IF(OR($B16="",XS$3=""),"",_xll.ciqfunctions.udf.CIQ($B16,"IQ_TOTAL_REV_1YR_ANN_GROWTH",XS$3,$I$3, $N$3, , $J$3, $K$3)/100),"")</f>
        <v/>
      </c>
      <c r="XT16" s="72" t="str">
        <f>IFERROR(IF(OR($B16="",XT$3=""),"",_xll.ciqfunctions.udf.CIQ($B16,"IQ_TOTAL_REV_1YR_ANN_GROWTH",XT$3,$I$3, $N$3, , $J$3, $K$3)/100),"")</f>
        <v/>
      </c>
      <c r="XU16" s="72" t="str">
        <f>IFERROR(IF(OR($B16="",XU$3=""),"",_xll.ciqfunctions.udf.CIQ($B16,"IQ_TOTAL_REV_1YR_ANN_GROWTH",XU$3,$I$3, $N$3, , $J$3, $K$3)/100),"")</f>
        <v/>
      </c>
      <c r="XV16" s="72" t="str">
        <f>IFERROR(IF(OR($B16="",XV$3=""),"",_xll.ciqfunctions.udf.CIQ($B16,"IQ_TOTAL_REV_1YR_ANN_GROWTH",XV$3,$I$3, $N$3, , $J$3, $K$3)/100),"")</f>
        <v/>
      </c>
      <c r="XW16" s="72" t="str">
        <f>IFERROR(IF(OR($B16="",XW$3=""),"",_xll.ciqfunctions.udf.CIQ($B16,"IQ_TOTAL_REV_1YR_ANN_GROWTH",XW$3,$I$3, $N$3, , $J$3, $K$3)/100),"")</f>
        <v/>
      </c>
      <c r="XX16" s="72" t="str">
        <f>IFERROR(IF(OR($B16="",XX$3=""),"",_xll.ciqfunctions.udf.CIQ($B16,"IQ_TOTAL_REV_1YR_ANN_GROWTH",XX$3,$I$3, $N$3, , $J$3, $K$3)/100),"")</f>
        <v/>
      </c>
      <c r="XY16" s="72" t="str">
        <f>IFERROR(IF(OR($B16="",XY$3=""),"",_xll.ciqfunctions.udf.CIQ($B16,"IQ_TOTAL_REV_1YR_ANN_GROWTH",XY$3,$I$3, $N$3, , $J$3, $K$3)/100),"")</f>
        <v/>
      </c>
      <c r="XZ16" s="72" t="str">
        <f>IFERROR(IF(OR($B16="",XZ$3=""),"",_xll.ciqfunctions.udf.CIQ($B16,"IQ_TOTAL_REV_1YR_ANN_GROWTH",XZ$3,$I$3, $N$3, , $J$3, $K$3)/100),"")</f>
        <v/>
      </c>
      <c r="YA16" s="72" t="str">
        <f>IFERROR(IF(OR($B16="",YA$3=""),"",_xll.ciqfunctions.udf.CIQ($B16,"IQ_TOTAL_REV_1YR_ANN_GROWTH",YA$3,$I$3, $N$3, , $J$3, $K$3)/100),"")</f>
        <v/>
      </c>
      <c r="YB16" s="72" t="str">
        <f>IFERROR(IF(OR($B16="",YB$3=""),"",_xll.ciqfunctions.udf.CIQ($B16,"IQ_TOTAL_REV_1YR_ANN_GROWTH",YB$3,$I$3, $N$3, , $J$3, $K$3)/100),"")</f>
        <v/>
      </c>
      <c r="YC16" s="627" t="str">
        <f>IFERROR(IF(OR($B16="",YC$4=""),"",_xll.ciqfunctions.udf.CIQ($B16,"IQ_TEV",YC$4)),"")</f>
        <v/>
      </c>
      <c r="YD16" s="627" t="str">
        <f>IFERROR(IF(OR($B16="",YD$4=""),"",_xll.ciqfunctions.udf.CIQ($B16,"IQ_TEV",YD$4)),"")</f>
        <v/>
      </c>
      <c r="YE16" s="627" t="str">
        <f>IFERROR(IF(OR($B16="",YE$4=""),"",_xll.ciqfunctions.udf.CIQ($B16,"IQ_TEV",YE$4)),"")</f>
        <v/>
      </c>
      <c r="YF16" s="627" t="str">
        <f>IFERROR(IF(OR($B16="",YF$4=""),"",_xll.ciqfunctions.udf.CIQ($B16,"IQ_TEV",YF$4)),"")</f>
        <v/>
      </c>
      <c r="YG16" s="627" t="str">
        <f>IFERROR(IF(OR($B16="",YG$4=""),"",_xll.ciqfunctions.udf.CIQ($B16,"IQ_TEV",YG$4)),"")</f>
        <v/>
      </c>
      <c r="YH16" s="627" t="str">
        <f>IFERROR(IF(OR($B16="",YH$4=""),"",_xll.ciqfunctions.udf.CIQ($B16,"IQ_TEV",YH$4)),"")</f>
        <v/>
      </c>
      <c r="YI16" s="627" t="str">
        <f>IFERROR(IF(OR($B16="",YI$4=""),"",_xll.ciqfunctions.udf.CIQ($B16,"IQ_TEV",YI$4)),"")</f>
        <v/>
      </c>
      <c r="YJ16" s="627" t="str">
        <f>IFERROR(IF(OR($B16="",YJ$4=""),"",_xll.ciqfunctions.udf.CIQ($B16,"IQ_TEV",YJ$4)),"")</f>
        <v/>
      </c>
      <c r="YK16" s="627" t="str">
        <f>IFERROR(IF(OR($B16="",YK$4=""),"",_xll.ciqfunctions.udf.CIQ($B16,"IQ_TEV",YK$4)),"")</f>
        <v/>
      </c>
      <c r="YL16" s="627" t="str">
        <f>IFERROR(IF(OR($B16="",YL$4=""),"",_xll.ciqfunctions.udf.CIQ($B16,"IQ_TEV",YL$4)),"")</f>
        <v/>
      </c>
      <c r="YM16" s="627" t="str">
        <f>IFERROR(IF(OR($B16="",YM$4=""),"",_xll.ciqfunctions.udf.CIQ($B16,"IQ_TEV",YM$4)),"")</f>
        <v/>
      </c>
      <c r="YN16" s="627" t="str">
        <f>IFERROR(IF(OR($B16="",YN$4=""),"",_xll.ciqfunctions.udf.CIQ($B16,"IQ_TEV",YN$4)),"")</f>
        <v/>
      </c>
      <c r="YO16" s="627" t="str">
        <f>IFERROR(IF(OR($B16="",YO$4=""),"",_xll.ciqfunctions.udf.CIQ($B16,"IQ_TEV",YO$4)),"")</f>
        <v/>
      </c>
      <c r="YP16" s="627" t="str">
        <f>IFERROR(IF(OR($B16="",YP$4=""),"",_xll.ciqfunctions.udf.CIQ($B16,"IQ_TEV",YP$4)),"")</f>
        <v/>
      </c>
      <c r="YQ16" s="627" t="str">
        <f>IFERROR(IF(OR($B16="",YQ$4=""),"",_xll.ciqfunctions.udf.CIQ($B16,"IQ_TEV",YQ$4)),"")</f>
        <v/>
      </c>
      <c r="YR16" s="627" t="str">
        <f>IFERROR(IF(OR($B16="",YR$4=""),"",_xll.ciqfunctions.udf.CIQ($B16,"IQ_TEV",YR$4)),"")</f>
        <v/>
      </c>
      <c r="YS16" s="627" t="str">
        <f>IFERROR(IF(OR($B16="",YS$4=""),"",_xll.ciqfunctions.udf.CIQ($B16,"IQ_TEV",YS$4)),"")</f>
        <v/>
      </c>
      <c r="YT16" s="627" t="str">
        <f>IFERROR(IF(OR($B16="",YT$4=""),"",_xll.ciqfunctions.udf.CIQ($B16,"IQ_TEV",YT$4)),"")</f>
        <v/>
      </c>
      <c r="YU16" s="627" t="str">
        <f>IFERROR(IF(OR($B16="",YU$4=""),"",_xll.ciqfunctions.udf.CIQ($B16,"IQ_TEV",YU$4)),"")</f>
        <v/>
      </c>
      <c r="YV16" s="627" t="str">
        <f>IFERROR(IF(OR($B16="",YV$4=""),"",_xll.ciqfunctions.udf.CIQ($B16,"IQ_TEV",YV$4)),"")</f>
        <v/>
      </c>
      <c r="YW16" s="72" t="str">
        <f>IFERROR(IF(OR($B16="",YW$3=""),"",(_xll.ciqfunctions.udf.CIQ($B16,"IQ_LASTSALEPRICE",YW$4)/_xll.ciqfunctions.udf.CIQ($B16,"IQ_LASTSALEPRICE",YW$2)-1)+(_xll.ciqfunctions.udf.CIQ($B16, "IQ_DPS_1YR_ANN_GROWTH", "IQ_LTM", YW$4)/100)),"")</f>
        <v/>
      </c>
      <c r="YX16" s="72" t="str">
        <f>IFERROR(IF(OR($B16="",YX$3=""),"",(_xll.ciqfunctions.udf.CIQ($B16,"IQ_LASTSALEPRICE",YX$4)/_xll.ciqfunctions.udf.CIQ($B16,"IQ_LASTSALEPRICE",YX$2)-1)+(_xll.ciqfunctions.udf.CIQ($B16, "IQ_DPS_1YR_ANN_GROWTH", "IQ_LTM", YX$4)/100)),"")</f>
        <v/>
      </c>
      <c r="YY16" s="72" t="str">
        <f>IFERROR(IF(OR($B16="",YY$3=""),"",(_xll.ciqfunctions.udf.CIQ($B16,"IQ_LASTSALEPRICE",YY$4)/_xll.ciqfunctions.udf.CIQ($B16,"IQ_LASTSALEPRICE",YY$2)-1)+(_xll.ciqfunctions.udf.CIQ($B16, "IQ_DPS_1YR_ANN_GROWTH", "IQ_LTM", YY$4)/100)),"")</f>
        <v/>
      </c>
      <c r="YZ16" s="72" t="str">
        <f>IFERROR(IF(OR($B16="",YZ$3=""),"",(_xll.ciqfunctions.udf.CIQ($B16,"IQ_LASTSALEPRICE",YZ$4)/_xll.ciqfunctions.udf.CIQ($B16,"IQ_LASTSALEPRICE",YZ$2)-1)+(_xll.ciqfunctions.udf.CIQ($B16, "IQ_DPS_1YR_ANN_GROWTH", "IQ_LTM", YZ$4)/100)),"")</f>
        <v/>
      </c>
      <c r="ZA16" s="72" t="str">
        <f>IFERROR(IF(OR($B16="",ZA$3=""),"",(_xll.ciqfunctions.udf.CIQ($B16,"IQ_LASTSALEPRICE",ZA$4)/_xll.ciqfunctions.udf.CIQ($B16,"IQ_LASTSALEPRICE",ZA$2)-1)+(_xll.ciqfunctions.udf.CIQ($B16, "IQ_DPS_1YR_ANN_GROWTH", "IQ_LTM", ZA$4)/100)),"")</f>
        <v/>
      </c>
      <c r="ZB16" s="72" t="str">
        <f>IFERROR(IF(OR($B16="",ZB$3=""),"",(_xll.ciqfunctions.udf.CIQ($B16,"IQ_LASTSALEPRICE",ZB$4)/_xll.ciqfunctions.udf.CIQ($B16,"IQ_LASTSALEPRICE",ZB$2)-1)+(_xll.ciqfunctions.udf.CIQ($B16, "IQ_DPS_1YR_ANN_GROWTH", "IQ_LTM", ZB$4)/100)),"")</f>
        <v/>
      </c>
      <c r="ZC16" s="72" t="str">
        <f>IFERROR(IF(OR($B16="",ZC$3=""),"",(_xll.ciqfunctions.udf.CIQ($B16,"IQ_LASTSALEPRICE",ZC$4)/_xll.ciqfunctions.udf.CIQ($B16,"IQ_LASTSALEPRICE",ZC$2)-1)+(_xll.ciqfunctions.udf.CIQ($B16, "IQ_DPS_1YR_ANN_GROWTH", "IQ_LTM", ZC$4)/100)),"")</f>
        <v/>
      </c>
      <c r="ZD16" s="72" t="str">
        <f>IFERROR(IF(OR($B16="",ZD$3=""),"",(_xll.ciqfunctions.udf.CIQ($B16,"IQ_LASTSALEPRICE",ZD$4)/_xll.ciqfunctions.udf.CIQ($B16,"IQ_LASTSALEPRICE",ZD$2)-1)+(_xll.ciqfunctions.udf.CIQ($B16, "IQ_DPS_1YR_ANN_GROWTH", "IQ_LTM", ZD$4)/100)),"")</f>
        <v/>
      </c>
      <c r="ZE16" s="72" t="str">
        <f>IFERROR(IF(OR($B16="",ZE$3=""),"",(_xll.ciqfunctions.udf.CIQ($B16,"IQ_LASTSALEPRICE",ZE$4)/_xll.ciqfunctions.udf.CIQ($B16,"IQ_LASTSALEPRICE",ZE$2)-1)+(_xll.ciqfunctions.udf.CIQ($B16, "IQ_DPS_1YR_ANN_GROWTH", "IQ_LTM", ZE$4)/100)),"")</f>
        <v/>
      </c>
      <c r="ZF16" s="72" t="str">
        <f>IFERROR(IF(OR($B16="",ZF$3=""),"",(_xll.ciqfunctions.udf.CIQ($B16,"IQ_LASTSALEPRICE",ZF$4)/_xll.ciqfunctions.udf.CIQ($B16,"IQ_LASTSALEPRICE",ZF$2)-1)+(_xll.ciqfunctions.udf.CIQ($B16, "IQ_DPS_1YR_ANN_GROWTH", "IQ_LTM", ZF$4)/100)),"")</f>
        <v/>
      </c>
      <c r="ZG16" s="72" t="str">
        <f>IFERROR(IF(OR($B16="",ZG$3=""),"",(_xll.ciqfunctions.udf.CIQ($B16,"IQ_LASTSALEPRICE",ZG$4)/_xll.ciqfunctions.udf.CIQ($B16,"IQ_LASTSALEPRICE",ZG$2)-1)+(_xll.ciqfunctions.udf.CIQ($B16, "IQ_DPS_1YR_ANN_GROWTH", "IQ_LTM", ZG$4)/100)),"")</f>
        <v/>
      </c>
      <c r="ZH16" s="72" t="str">
        <f>IFERROR(IF(OR($B16="",ZH$3=""),"",(_xll.ciqfunctions.udf.CIQ($B16,"IQ_LASTSALEPRICE",ZH$4)/_xll.ciqfunctions.udf.CIQ($B16,"IQ_LASTSALEPRICE",ZH$2)-1)+(_xll.ciqfunctions.udf.CIQ($B16, "IQ_DPS_1YR_ANN_GROWTH", "IQ_LTM", ZH$4)/100)),"")</f>
        <v/>
      </c>
      <c r="ZI16" s="72" t="str">
        <f>IFERROR(IF(OR($B16="",ZI$3=""),"",(_xll.ciqfunctions.udf.CIQ($B16,"IQ_LASTSALEPRICE",ZI$4)/_xll.ciqfunctions.udf.CIQ($B16,"IQ_LASTSALEPRICE",ZI$2)-1)+(_xll.ciqfunctions.udf.CIQ($B16, "IQ_DPS_1YR_ANN_GROWTH", "IQ_LTM", ZI$4)/100)),"")</f>
        <v/>
      </c>
      <c r="ZJ16" s="72" t="str">
        <f>IFERROR(IF(OR($B16="",ZJ$3=""),"",(_xll.ciqfunctions.udf.CIQ($B16,"IQ_LASTSALEPRICE",ZJ$4)/_xll.ciqfunctions.udf.CIQ($B16,"IQ_LASTSALEPRICE",ZJ$2)-1)+(_xll.ciqfunctions.udf.CIQ($B16, "IQ_DPS_1YR_ANN_GROWTH", "IQ_LTM", ZJ$4)/100)),"")</f>
        <v/>
      </c>
      <c r="ZK16" s="72" t="str">
        <f>IFERROR(IF(OR($B16="",ZK$3=""),"",(_xll.ciqfunctions.udf.CIQ($B16,"IQ_LASTSALEPRICE",ZK$4)/_xll.ciqfunctions.udf.CIQ($B16,"IQ_LASTSALEPRICE",ZK$2)-1)+(_xll.ciqfunctions.udf.CIQ($B16, "IQ_DPS_1YR_ANN_GROWTH", "IQ_LTM", ZK$4)/100)),"")</f>
        <v/>
      </c>
      <c r="ZL16" s="72" t="str">
        <f>IFERROR(IF(OR($B16="",ZL$3=""),"",(_xll.ciqfunctions.udf.CIQ($B16,"IQ_LASTSALEPRICE",ZL$4)/_xll.ciqfunctions.udf.CIQ($B16,"IQ_LASTSALEPRICE",ZL$2)-1)+(_xll.ciqfunctions.udf.CIQ($B16, "IQ_DPS_1YR_ANN_GROWTH", "IQ_LTM", ZL$4)/100)),"")</f>
        <v/>
      </c>
      <c r="ZM16" s="72" t="str">
        <f>IFERROR(IF(OR($B16="",ZM$3=""),"",(_xll.ciqfunctions.udf.CIQ($B16,"IQ_LASTSALEPRICE",ZM$4)/_xll.ciqfunctions.udf.CIQ($B16,"IQ_LASTSALEPRICE",ZM$2)-1)+(_xll.ciqfunctions.udf.CIQ($B16, "IQ_DPS_1YR_ANN_GROWTH", "IQ_LTM", ZM$4)/100)),"")</f>
        <v/>
      </c>
      <c r="ZN16" s="72" t="str">
        <f>IFERROR(IF(OR($B16="",ZN$3=""),"",(_xll.ciqfunctions.udf.CIQ($B16,"IQ_LASTSALEPRICE",ZN$4)/_xll.ciqfunctions.udf.CIQ($B16,"IQ_LASTSALEPRICE",ZN$2)-1)+(_xll.ciqfunctions.udf.CIQ($B16, "IQ_DPS_1YR_ANN_GROWTH", "IQ_LTM", ZN$4)/100)),"")</f>
        <v/>
      </c>
      <c r="ZO16" s="72" t="str">
        <f>IFERROR(IF(OR($B16="",ZO$3=""),"",(_xll.ciqfunctions.udf.CIQ($B16,"IQ_LASTSALEPRICE",ZO$4)/_xll.ciqfunctions.udf.CIQ($B16,"IQ_LASTSALEPRICE",ZO$2)-1)+(_xll.ciqfunctions.udf.CIQ($B16, "IQ_DPS_1YR_ANN_GROWTH", "IQ_LTM", ZO$4)/100)),"")</f>
        <v/>
      </c>
      <c r="ZP16" s="72" t="str">
        <f>IFERROR(IF(OR($B16="",ZP$3=""),"",(_xll.ciqfunctions.udf.CIQ($B16,"IQ_LASTSALEPRICE",ZP$4)/_xll.ciqfunctions.udf.CIQ($B16,"IQ_LASTSALEPRICE",ZP$2)-1)+(_xll.ciqfunctions.udf.CIQ($B16, "IQ_DPS_1YR_ANN_GROWTH", "IQ_LTM", ZP$4)/100)),"")</f>
        <v/>
      </c>
      <c r="ZQ16" s="72" t="str">
        <f>IFERROR(IF(OR($B16="",ZQ$3=""),"",_xll.ciqfunctions.udf.CIQ($B16,"IQ_NI",$O$3,ZQ$3, $N$3, , $J$3, $K$3)*2/(_xll.ciqfunctions.udf.CIQ($B16,"IQ_TOTAL_CAP",ZQ$3,$I$3, $N$3, , $J$3, $K$3)+_xll.ciqfunctions.udf.CIQ($B16,"IQ_TOTAL_CAP","IQ_" &amp; LEFT(ZQ$3,2) &amp; "-1", ZQ$3, $N$3, , $J$3, $K$3))),"")</f>
        <v/>
      </c>
      <c r="ZR16" s="72" t="str">
        <f>IFERROR(IF(OR($B16="",ZR$3=""),"",_xll.ciqfunctions.udf.CIQ($B16,"IQ_NI",$O$3,ZR$3, $N$3, , $J$3, $K$3)*2/(_xll.ciqfunctions.udf.CIQ($B16,"IQ_TOTAL_CAP",ZR$3,$I$3, $N$3, , $J$3, $K$3)+_xll.ciqfunctions.udf.CIQ($B16,"IQ_TOTAL_CAP","IQ_" &amp; LEFT(ZR$3,2) &amp; "-1", ZR$3, $N$3, , $J$3, $K$3))),"")</f>
        <v/>
      </c>
      <c r="ZS16" s="72" t="str">
        <f>IFERROR(IF(OR($B16="",ZS$3=""),"",_xll.ciqfunctions.udf.CIQ($B16,"IQ_NI",$O$3,ZS$3, $N$3, , $J$3, $K$3)*2/(_xll.ciqfunctions.udf.CIQ($B16,"IQ_TOTAL_CAP",ZS$3,$I$3, $N$3, , $J$3, $K$3)+_xll.ciqfunctions.udf.CIQ($B16,"IQ_TOTAL_CAP","IQ_" &amp; LEFT(ZS$3,2) &amp; "-1", ZS$3, $N$3, , $J$3, $K$3))),"")</f>
        <v/>
      </c>
      <c r="ZT16" s="72" t="str">
        <f>IFERROR(IF(OR($B16="",ZT$3=""),"",_xll.ciqfunctions.udf.CIQ($B16,"IQ_NI",$O$3,ZT$3, $N$3, , $J$3, $K$3)*2/(_xll.ciqfunctions.udf.CIQ($B16,"IQ_TOTAL_CAP",ZT$3,$I$3, $N$3, , $J$3, $K$3)+_xll.ciqfunctions.udf.CIQ($B16,"IQ_TOTAL_CAP","IQ_" &amp; LEFT(ZT$3,2) &amp; "-1", ZT$3, $N$3, , $J$3, $K$3))),"")</f>
        <v/>
      </c>
      <c r="ZU16" s="72" t="str">
        <f>IFERROR(IF(OR($B16="",ZU$3=""),"",_xll.ciqfunctions.udf.CIQ($B16,"IQ_NI",$O$3,ZU$3, $N$3, , $J$3, $K$3)*2/(_xll.ciqfunctions.udf.CIQ($B16,"IQ_TOTAL_CAP",ZU$3,$I$3, $N$3, , $J$3, $K$3)+_xll.ciqfunctions.udf.CIQ($B16,"IQ_TOTAL_CAP","IQ_" &amp; LEFT(ZU$3,2) &amp; "-1", ZU$3, $N$3, , $J$3, $K$3))),"")</f>
        <v/>
      </c>
      <c r="ZV16" s="72" t="str">
        <f>IFERROR(IF(OR($B16="",ZV$3=""),"",_xll.ciqfunctions.udf.CIQ($B16,"IQ_NI",$O$3,ZV$3, $N$3, , $J$3, $K$3)*2/(_xll.ciqfunctions.udf.CIQ($B16,"IQ_TOTAL_CAP",ZV$3,$I$3, $N$3, , $J$3, $K$3)+_xll.ciqfunctions.udf.CIQ($B16,"IQ_TOTAL_CAP","IQ_" &amp; LEFT(ZV$3,2) &amp; "-1", ZV$3, $N$3, , $J$3, $K$3))),"")</f>
        <v/>
      </c>
      <c r="ZW16" s="72" t="str">
        <f>IFERROR(IF(OR($B16="",ZW$3=""),"",_xll.ciqfunctions.udf.CIQ($B16,"IQ_NI",$O$3,ZW$3, $N$3, , $J$3, $K$3)*2/(_xll.ciqfunctions.udf.CIQ($B16,"IQ_TOTAL_CAP",ZW$3,$I$3, $N$3, , $J$3, $K$3)+_xll.ciqfunctions.udf.CIQ($B16,"IQ_TOTAL_CAP","IQ_" &amp; LEFT(ZW$3,2) &amp; "-1", ZW$3, $N$3, , $J$3, $K$3))),"")</f>
        <v/>
      </c>
      <c r="ZX16" s="72" t="str">
        <f>IFERROR(IF(OR($B16="",ZX$3=""),"",_xll.ciqfunctions.udf.CIQ($B16,"IQ_NI",$O$3,ZX$3, $N$3, , $J$3, $K$3)*2/(_xll.ciqfunctions.udf.CIQ($B16,"IQ_TOTAL_CAP",ZX$3,$I$3, $N$3, , $J$3, $K$3)+_xll.ciqfunctions.udf.CIQ($B16,"IQ_TOTAL_CAP","IQ_" &amp; LEFT(ZX$3,2) &amp; "-1", ZX$3, $N$3, , $J$3, $K$3))),"")</f>
        <v/>
      </c>
      <c r="ZY16" s="72" t="str">
        <f>IFERROR(IF(OR($B16="",ZY$3=""),"",_xll.ciqfunctions.udf.CIQ($B16,"IQ_NI",$O$3,ZY$3, $N$3, , $J$3, $K$3)*2/(_xll.ciqfunctions.udf.CIQ($B16,"IQ_TOTAL_CAP",ZY$3,$I$3, $N$3, , $J$3, $K$3)+_xll.ciqfunctions.udf.CIQ($B16,"IQ_TOTAL_CAP","IQ_" &amp; LEFT(ZY$3,2) &amp; "-1", ZY$3, $N$3, , $J$3, $K$3))),"")</f>
        <v/>
      </c>
      <c r="ZZ16" s="72" t="str">
        <f>IFERROR(IF(OR($B16="",ZZ$3=""),"",_xll.ciqfunctions.udf.CIQ($B16,"IQ_NI",$O$3,ZZ$3, $N$3, , $J$3, $K$3)*2/(_xll.ciqfunctions.udf.CIQ($B16,"IQ_TOTAL_CAP",ZZ$3,$I$3, $N$3, , $J$3, $K$3)+_xll.ciqfunctions.udf.CIQ($B16,"IQ_TOTAL_CAP","IQ_" &amp; LEFT(ZZ$3,2) &amp; "-1", ZZ$3, $N$3, , $J$3, $K$3))),"")</f>
        <v/>
      </c>
      <c r="AAA16" s="72" t="str">
        <f>IFERROR(IF(OR($B16="",AAA$3=""),"",_xll.ciqfunctions.udf.CIQ($B16,"IQ_NI",$O$3,AAA$3, $N$3, , $J$3, $K$3)*2/(_xll.ciqfunctions.udf.CIQ($B16,"IQ_TOTAL_CAP",AAA$3,$I$3, $N$3, , $J$3, $K$3)+_xll.ciqfunctions.udf.CIQ($B16,"IQ_TOTAL_CAP","IQ_" &amp; LEFT(AAA$3,2) &amp; "-1", AAA$3, $N$3, , $J$3, $K$3))),"")</f>
        <v/>
      </c>
      <c r="AAB16" s="72" t="str">
        <f>IFERROR(IF(OR($B16="",AAB$3=""),"",_xll.ciqfunctions.udf.CIQ($B16,"IQ_NI",$O$3,AAB$3, $N$3, , $J$3, $K$3)*2/(_xll.ciqfunctions.udf.CIQ($B16,"IQ_TOTAL_CAP",AAB$3,$I$3, $N$3, , $J$3, $K$3)+_xll.ciqfunctions.udf.CIQ($B16,"IQ_TOTAL_CAP","IQ_" &amp; LEFT(AAB$3,2) &amp; "-1", AAB$3, $N$3, , $J$3, $K$3))),"")</f>
        <v/>
      </c>
      <c r="AAC16" s="72" t="str">
        <f>IFERROR(IF(OR($B16="",AAC$3=""),"",_xll.ciqfunctions.udf.CIQ($B16,"IQ_NI",$O$3,AAC$3, $N$3, , $J$3, $K$3)*2/(_xll.ciqfunctions.udf.CIQ($B16,"IQ_TOTAL_CAP",AAC$3,$I$3, $N$3, , $J$3, $K$3)+_xll.ciqfunctions.udf.CIQ($B16,"IQ_TOTAL_CAP","IQ_" &amp; LEFT(AAC$3,2) &amp; "-1", AAC$3, $N$3, , $J$3, $K$3))),"")</f>
        <v/>
      </c>
      <c r="AAD16" s="72" t="str">
        <f>IFERROR(IF(OR($B16="",AAD$3=""),"",_xll.ciqfunctions.udf.CIQ($B16,"IQ_NI",$O$3,AAD$3, $N$3, , $J$3, $K$3)*2/(_xll.ciqfunctions.udf.CIQ($B16,"IQ_TOTAL_CAP",AAD$3,$I$3, $N$3, , $J$3, $K$3)+_xll.ciqfunctions.udf.CIQ($B16,"IQ_TOTAL_CAP","IQ_" &amp; LEFT(AAD$3,2) &amp; "-1", AAD$3, $N$3, , $J$3, $K$3))),"")</f>
        <v/>
      </c>
      <c r="AAE16" s="72" t="str">
        <f>IFERROR(IF(OR($B16="",AAE$3=""),"",_xll.ciqfunctions.udf.CIQ($B16,"IQ_NI",$O$3,AAE$3, $N$3, , $J$3, $K$3)*2/(_xll.ciqfunctions.udf.CIQ($B16,"IQ_TOTAL_CAP",AAE$3,$I$3, $N$3, , $J$3, $K$3)+_xll.ciqfunctions.udf.CIQ($B16,"IQ_TOTAL_CAP","IQ_" &amp; LEFT(AAE$3,2) &amp; "-1", AAE$3, $N$3, , $J$3, $K$3))),"")</f>
        <v/>
      </c>
      <c r="AAF16" s="72" t="str">
        <f>IFERROR(IF(OR($B16="",AAF$3=""),"",_xll.ciqfunctions.udf.CIQ($B16,"IQ_NI",$O$3,AAF$3, $N$3, , $J$3, $K$3)*2/(_xll.ciqfunctions.udf.CIQ($B16,"IQ_TOTAL_CAP",AAF$3,$I$3, $N$3, , $J$3, $K$3)+_xll.ciqfunctions.udf.CIQ($B16,"IQ_TOTAL_CAP","IQ_" &amp; LEFT(AAF$3,2) &amp; "-1", AAF$3, $N$3, , $J$3, $K$3))),"")</f>
        <v/>
      </c>
      <c r="AAG16" s="72" t="str">
        <f>IFERROR(IF(OR($B16="",AAG$3=""),"",_xll.ciqfunctions.udf.CIQ($B16,"IQ_NI",$O$3,AAG$3, $N$3, , $J$3, $K$3)*2/(_xll.ciqfunctions.udf.CIQ($B16,"IQ_TOTAL_CAP",AAG$3,$I$3, $N$3, , $J$3, $K$3)+_xll.ciqfunctions.udf.CIQ($B16,"IQ_TOTAL_CAP","IQ_" &amp; LEFT(AAG$3,2) &amp; "-1", AAG$3, $N$3, , $J$3, $K$3))),"")</f>
        <v/>
      </c>
      <c r="AAH16" s="72" t="str">
        <f>IFERROR(IF(OR($B16="",AAH$3=""),"",_xll.ciqfunctions.udf.CIQ($B16,"IQ_NI",$O$3,AAH$3, $N$3, , $J$3, $K$3)*2/(_xll.ciqfunctions.udf.CIQ($B16,"IQ_TOTAL_CAP",AAH$3,$I$3, $N$3, , $J$3, $K$3)+_xll.ciqfunctions.udf.CIQ($B16,"IQ_TOTAL_CAP","IQ_" &amp; LEFT(AAH$3,2) &amp; "-1", AAH$3, $N$3, , $J$3, $K$3))),"")</f>
        <v/>
      </c>
      <c r="AAI16" s="72" t="str">
        <f>IFERROR(IF(OR($B16="",AAI$3=""),"",_xll.ciqfunctions.udf.CIQ($B16,"IQ_NI",$O$3,AAI$3, $N$3, , $J$3, $K$3)*2/(_xll.ciqfunctions.udf.CIQ($B16,"IQ_TOTAL_CAP",AAI$3,$I$3, $N$3, , $J$3, $K$3)+_xll.ciqfunctions.udf.CIQ($B16,"IQ_TOTAL_CAP","IQ_" &amp; LEFT(AAI$3,2) &amp; "-1", AAI$3, $N$3, , $J$3, $K$3))),"")</f>
        <v/>
      </c>
      <c r="AAJ16" s="72" t="str">
        <f>IFERROR(IF(OR($B16="",AAJ$3=""),"",_xll.ciqfunctions.udf.CIQ($B16,"IQ_NI",$O$3,AAJ$3, $N$3, , $J$3, $K$3)*2/(_xll.ciqfunctions.udf.CIQ($B16,"IQ_TOTAL_CAP",AAJ$3,$I$3, $N$3, , $J$3, $K$3)+_xll.ciqfunctions.udf.CIQ($B16,"IQ_TOTAL_CAP","IQ_" &amp; LEFT(AAJ$3,2) &amp; "-1", AAJ$3, $N$3, , $J$3, $K$3))),"")</f>
        <v/>
      </c>
      <c r="AAK16" s="628" t="str">
        <f>IFERROR(IF(OR($B16="",AAK$4=""),"",_xll.ciqfunctions.udf.CIQ($B16,"IQ_TEV",AAK$4)/_xll.ciqfunctions.udf.CIQ($B16,"IQ_TOTAL_CAP",ZQ$3,$I$3, $N$3, , $J$3, $K$3)),"")</f>
        <v/>
      </c>
      <c r="AAL16" s="628" t="str">
        <f>IFERROR(IF(OR($B16="",AAL$4=""),"",_xll.ciqfunctions.udf.CIQ($B16,"IQ_TEV",AAL$4)/_xll.ciqfunctions.udf.CIQ($B16,"IQ_TOTAL_CAP",ZR$3,$I$3, $N$3, , $J$3, $K$3)),"")</f>
        <v/>
      </c>
      <c r="AAM16" s="628" t="str">
        <f>IFERROR(IF(OR($B16="",AAM$4=""),"",_xll.ciqfunctions.udf.CIQ($B16,"IQ_TEV",AAM$4)/_xll.ciqfunctions.udf.CIQ($B16,"IQ_TOTAL_CAP",ZS$3,$I$3, $N$3, , $J$3, $K$3)),"")</f>
        <v/>
      </c>
      <c r="AAN16" s="628" t="str">
        <f>IFERROR(IF(OR($B16="",AAN$4=""),"",_xll.ciqfunctions.udf.CIQ($B16,"IQ_TEV",AAN$4)/_xll.ciqfunctions.udf.CIQ($B16,"IQ_TOTAL_CAP",ZT$3,$I$3, $N$3, , $J$3, $K$3)),"")</f>
        <v/>
      </c>
      <c r="AAO16" s="628" t="str">
        <f>IFERROR(IF(OR($B16="",AAO$4=""),"",_xll.ciqfunctions.udf.CIQ($B16,"IQ_TEV",AAO$4)/_xll.ciqfunctions.udf.CIQ($B16,"IQ_TOTAL_CAP",ZU$3,$I$3, $N$3, , $J$3, $K$3)),"")</f>
        <v/>
      </c>
      <c r="AAP16" s="628" t="str">
        <f>IFERROR(IF(OR($B16="",AAP$4=""),"",_xll.ciqfunctions.udf.CIQ($B16,"IQ_TEV",AAP$4)/_xll.ciqfunctions.udf.CIQ($B16,"IQ_TOTAL_CAP",ZV$3,$I$3, $N$3, , $J$3, $K$3)),"")</f>
        <v/>
      </c>
      <c r="AAQ16" s="628" t="str">
        <f>IFERROR(IF(OR($B16="",AAQ$4=""),"",_xll.ciqfunctions.udf.CIQ($B16,"IQ_TEV",AAQ$4)/_xll.ciqfunctions.udf.CIQ($B16,"IQ_TOTAL_CAP",ZW$3,$I$3, $N$3, , $J$3, $K$3)),"")</f>
        <v/>
      </c>
      <c r="AAR16" s="628" t="str">
        <f>IFERROR(IF(OR($B16="",AAR$4=""),"",_xll.ciqfunctions.udf.CIQ($B16,"IQ_TEV",AAR$4)/_xll.ciqfunctions.udf.CIQ($B16,"IQ_TOTAL_CAP",ZX$3,$I$3, $N$3, , $J$3, $K$3)),"")</f>
        <v/>
      </c>
      <c r="AAS16" s="628" t="str">
        <f>IFERROR(IF(OR($B16="",AAS$4=""),"",_xll.ciqfunctions.udf.CIQ($B16,"IQ_TEV",AAS$4)/_xll.ciqfunctions.udf.CIQ($B16,"IQ_TOTAL_CAP",ZY$3,$I$3, $N$3, , $J$3, $K$3)),"")</f>
        <v/>
      </c>
      <c r="AAT16" s="628" t="str">
        <f>IFERROR(IF(OR($B16="",AAT$4=""),"",_xll.ciqfunctions.udf.CIQ($B16,"IQ_TEV",AAT$4)/_xll.ciqfunctions.udf.CIQ($B16,"IQ_TOTAL_CAP",ZZ$3,$I$3, $N$3, , $J$3, $K$3)),"")</f>
        <v/>
      </c>
      <c r="AAU16" s="628" t="str">
        <f>IFERROR(IF(OR($B16="",AAU$4=""),"",_xll.ciqfunctions.udf.CIQ($B16,"IQ_TEV",AAU$4)/_xll.ciqfunctions.udf.CIQ($B16,"IQ_TOTAL_CAP",AAA$3,$I$3, $N$3, , $J$3, $K$3)),"")</f>
        <v/>
      </c>
      <c r="AAV16" s="628" t="str">
        <f>IFERROR(IF(OR($B16="",AAV$4=""),"",_xll.ciqfunctions.udf.CIQ($B16,"IQ_TEV",AAV$4)/_xll.ciqfunctions.udf.CIQ($B16,"IQ_TOTAL_CAP",AAB$3,$I$3, $N$3, , $J$3, $K$3)),"")</f>
        <v/>
      </c>
      <c r="AAW16" s="628" t="str">
        <f>IFERROR(IF(OR($B16="",AAW$4=""),"",_xll.ciqfunctions.udf.CIQ($B16,"IQ_TEV",AAW$4)/_xll.ciqfunctions.udf.CIQ($B16,"IQ_TOTAL_CAP",AAC$3,$I$3, $N$3, , $J$3, $K$3)),"")</f>
        <v/>
      </c>
      <c r="AAX16" s="628" t="str">
        <f>IFERROR(IF(OR($B16="",AAX$4=""),"",_xll.ciqfunctions.udf.CIQ($B16,"IQ_TEV",AAX$4)/_xll.ciqfunctions.udf.CIQ($B16,"IQ_TOTAL_CAP",AAD$3,$I$3, $N$3, , $J$3, $K$3)),"")</f>
        <v/>
      </c>
      <c r="AAY16" s="628" t="str">
        <f>IFERROR(IF(OR($B16="",AAY$4=""),"",_xll.ciqfunctions.udf.CIQ($B16,"IQ_TEV",AAY$4)/_xll.ciqfunctions.udf.CIQ($B16,"IQ_TOTAL_CAP",AAE$3,$I$3, $N$3, , $J$3, $K$3)),"")</f>
        <v/>
      </c>
      <c r="AAZ16" s="628" t="str">
        <f>IFERROR(IF(OR($B16="",AAZ$4=""),"",_xll.ciqfunctions.udf.CIQ($B16,"IQ_TEV",AAZ$4)/_xll.ciqfunctions.udf.CIQ($B16,"IQ_TOTAL_CAP",AAF$3,$I$3, $N$3, , $J$3, $K$3)),"")</f>
        <v/>
      </c>
      <c r="ABA16" s="628" t="str">
        <f>IFERROR(IF(OR($B16="",ABA$4=""),"",_xll.ciqfunctions.udf.CIQ($B16,"IQ_TEV",ABA$4)/_xll.ciqfunctions.udf.CIQ($B16,"IQ_TOTAL_CAP",AAG$3,$I$3, $N$3, , $J$3, $K$3)),"")</f>
        <v/>
      </c>
      <c r="ABB16" s="628" t="str">
        <f>IFERROR(IF(OR($B16="",ABB$4=""),"",_xll.ciqfunctions.udf.CIQ($B16,"IQ_TEV",ABB$4)/_xll.ciqfunctions.udf.CIQ($B16,"IQ_TOTAL_CAP",AAH$3,$I$3, $N$3, , $J$3, $K$3)),"")</f>
        <v/>
      </c>
      <c r="ABC16" s="628" t="str">
        <f>IFERROR(IF(OR($B16="",ABC$4=""),"",_xll.ciqfunctions.udf.CIQ($B16,"IQ_TEV",ABC$4)/_xll.ciqfunctions.udf.CIQ($B16,"IQ_TOTAL_CAP",AAI$3,$I$3, $N$3, , $J$3, $K$3)),"")</f>
        <v/>
      </c>
      <c r="ABD16" s="628" t="str">
        <f>IFERROR(IF(OR($B16="",ABD$4=""),"",_xll.ciqfunctions.udf.CIQ($B16,"IQ_TEV",ABD$4)/_xll.ciqfunctions.udf.CIQ($B16,"IQ_TOTAL_CAP",AAJ$3,$I$3, $N$3, , $J$3, $K$3)),"")</f>
        <v/>
      </c>
      <c r="ABE16" s="72" t="str">
        <f t="shared" si="363"/>
        <v/>
      </c>
      <c r="ABF16" s="72" t="str">
        <f t="shared" si="364"/>
        <v/>
      </c>
      <c r="ABG16" s="72" t="str">
        <f t="shared" si="365"/>
        <v/>
      </c>
      <c r="ABH16" s="72" t="str">
        <f t="shared" si="366"/>
        <v/>
      </c>
      <c r="ABI16" s="72" t="str">
        <f t="shared" si="367"/>
        <v/>
      </c>
      <c r="ABJ16" s="72" t="str">
        <f t="shared" si="368"/>
        <v/>
      </c>
      <c r="ABK16" s="72" t="str">
        <f t="shared" si="369"/>
        <v/>
      </c>
      <c r="ABL16" s="72" t="str">
        <f t="shared" si="370"/>
        <v/>
      </c>
      <c r="ABM16" s="72" t="str">
        <f t="shared" si="371"/>
        <v/>
      </c>
      <c r="ABN16" s="72" t="str">
        <f t="shared" si="372"/>
        <v/>
      </c>
      <c r="ABO16" s="72" t="str">
        <f t="shared" si="373"/>
        <v/>
      </c>
      <c r="ABP16" s="72" t="str">
        <f t="shared" si="374"/>
        <v/>
      </c>
      <c r="ABQ16" s="72" t="str">
        <f t="shared" si="375"/>
        <v/>
      </c>
      <c r="ABR16" s="72" t="str">
        <f t="shared" si="376"/>
        <v/>
      </c>
      <c r="ABS16" s="72" t="str">
        <f t="shared" si="377"/>
        <v/>
      </c>
      <c r="ABT16" s="72" t="str">
        <f t="shared" si="378"/>
        <v/>
      </c>
      <c r="ABU16" s="72" t="str">
        <f t="shared" si="379"/>
        <v/>
      </c>
      <c r="ABV16" s="72" t="str">
        <f t="shared" si="380"/>
        <v/>
      </c>
      <c r="ABW16" s="72" t="str">
        <f t="shared" si="381"/>
        <v/>
      </c>
      <c r="ABX16" s="72" t="str">
        <f t="shared" si="382"/>
        <v/>
      </c>
      <c r="ABY16" s="89" t="str">
        <f>IFERROR(IF(OR($B16="",ABY$3=""),"",IF(NOT(ISNUMBER(_xll.ciqfunctions.udf.CIQ($B16, "IQ_FIXED_ASSET_TURNS", ABY$3, $E$3, $N$3, , $J$3, $K$3))),"",_xll.ciqfunctions.udf.CIQ($B16, "IQ_FIXED_ASSET_TURNS", ABY$3, $E$3, $N$3, , $J$3, $K$3))),"")</f>
        <v/>
      </c>
      <c r="ABZ16" s="90" t="str">
        <f>IFERROR(IF(OR($B16="",ABZ$3=""),"",IF(NOT(ISNUMBER(_xll.ciqfunctions.udf.CIQ($B16, "IQ_FIXED_ASSET_TURNS", ABZ$3, $E$3, $N$3, , $J$3, $K$3))),"",_xll.ciqfunctions.udf.CIQ($B16, "IQ_FIXED_ASSET_TURNS", ABZ$3, $E$3, $N$3, , $J$3, $K$3))),"")</f>
        <v/>
      </c>
      <c r="ACA16" s="90" t="str">
        <f>IFERROR(IF(OR($B16="",ACA$3=""),"",IF(NOT(ISNUMBER(_xll.ciqfunctions.udf.CIQ($B16, "IQ_FIXED_ASSET_TURNS", ACA$3, $E$3, $N$3, , $J$3, $K$3))),"",_xll.ciqfunctions.udf.CIQ($B16, "IQ_FIXED_ASSET_TURNS", ACA$3, $E$3, $N$3, , $J$3, $K$3))),"")</f>
        <v/>
      </c>
      <c r="ACB16" s="90" t="str">
        <f>IFERROR(IF(OR($B16="",ACB$3=""),"",IF(NOT(ISNUMBER(_xll.ciqfunctions.udf.CIQ($B16, "IQ_FIXED_ASSET_TURNS", ACB$3, $E$3, $N$3, , $J$3, $K$3))),"",_xll.ciqfunctions.udf.CIQ($B16, "IQ_FIXED_ASSET_TURNS", ACB$3, $E$3, $N$3, , $J$3, $K$3))),"")</f>
        <v/>
      </c>
      <c r="ACC16" s="90" t="str">
        <f>IFERROR(IF(OR($B16="",ACC$3=""),"",IF(NOT(ISNUMBER(_xll.ciqfunctions.udf.CIQ($B16, "IQ_FIXED_ASSET_TURNS", ACC$3, $E$3, $N$3, , $J$3, $K$3))),"",_xll.ciqfunctions.udf.CIQ($B16, "IQ_FIXED_ASSET_TURNS", ACC$3, $E$3, $N$3, , $J$3, $K$3))),"")</f>
        <v/>
      </c>
      <c r="ACD16" s="90" t="str">
        <f>IFERROR(IF(OR($B16="",ACD$3=""),"",IF(NOT(ISNUMBER(_xll.ciqfunctions.udf.CIQ($B16, "IQ_FIXED_ASSET_TURNS", ACD$3, $E$3, $N$3, , $J$3, $K$3))),"",_xll.ciqfunctions.udf.CIQ($B16, "IQ_FIXED_ASSET_TURNS", ACD$3, $E$3, $N$3, , $J$3, $K$3))),"")</f>
        <v/>
      </c>
      <c r="ACE16" s="90" t="str">
        <f>IFERROR(IF(OR($B16="",ACE$3=""),"",IF(NOT(ISNUMBER(_xll.ciqfunctions.udf.CIQ($B16, "IQ_FIXED_ASSET_TURNS", ACE$3, $E$3, $N$3, , $J$3, $K$3))),"",_xll.ciqfunctions.udf.CIQ($B16, "IQ_FIXED_ASSET_TURNS", ACE$3, $E$3, $N$3, , $J$3, $K$3))),"")</f>
        <v/>
      </c>
      <c r="ACF16" s="90" t="str">
        <f>IFERROR(IF(OR($B16="",ACF$3=""),"",IF(NOT(ISNUMBER(_xll.ciqfunctions.udf.CIQ($B16, "IQ_FIXED_ASSET_TURNS", ACF$3, $E$3, $N$3, , $J$3, $K$3))),"",_xll.ciqfunctions.udf.CIQ($B16, "IQ_FIXED_ASSET_TURNS", ACF$3, $E$3, $N$3, , $J$3, $K$3))),"")</f>
        <v/>
      </c>
      <c r="ACG16" s="90" t="str">
        <f>IFERROR(IF(OR($B16="",ACG$3=""),"",IF(NOT(ISNUMBER(_xll.ciqfunctions.udf.CIQ($B16, "IQ_FIXED_ASSET_TURNS", ACG$3, $E$3, $N$3, , $J$3, $K$3))),"",_xll.ciqfunctions.udf.CIQ($B16, "IQ_FIXED_ASSET_TURNS", ACG$3, $E$3, $N$3, , $J$3, $K$3))),"")</f>
        <v/>
      </c>
      <c r="ACH16" s="90" t="str">
        <f>IFERROR(IF(OR($B16="",ACH$3=""),"",IF(NOT(ISNUMBER(_xll.ciqfunctions.udf.CIQ($B16, "IQ_FIXED_ASSET_TURNS", ACH$3, $E$3, $N$3, , $J$3, $K$3))),"",_xll.ciqfunctions.udf.CIQ($B16, "IQ_FIXED_ASSET_TURNS", ACH$3, $E$3, $N$3, , $J$3, $K$3))),"")</f>
        <v/>
      </c>
      <c r="ACI16" s="90" t="str">
        <f>IFERROR(IF(OR($B16="",ACI$3=""),"",IF(NOT(ISNUMBER(_xll.ciqfunctions.udf.CIQ($B16, "IQ_FIXED_ASSET_TURNS", ACI$3, $E$3, $N$3, , $J$3, $K$3))),"",_xll.ciqfunctions.udf.CIQ($B16, "IQ_FIXED_ASSET_TURNS", ACI$3, $E$3, $N$3, , $J$3, $K$3))),"")</f>
        <v/>
      </c>
      <c r="ACJ16" s="90" t="str">
        <f>IFERROR(IF(OR($B16="",ACJ$3=""),"",IF(NOT(ISNUMBER(_xll.ciqfunctions.udf.CIQ($B16, "IQ_FIXED_ASSET_TURNS", ACJ$3, $E$3, $N$3, , $J$3, $K$3))),"",_xll.ciqfunctions.udf.CIQ($B16, "IQ_FIXED_ASSET_TURNS", ACJ$3, $E$3, $N$3, , $J$3, $K$3))),"")</f>
        <v/>
      </c>
      <c r="ACK16" s="90" t="str">
        <f>IFERROR(IF(OR($B16="",ACK$3=""),"",IF(NOT(ISNUMBER(_xll.ciqfunctions.udf.CIQ($B16, "IQ_FIXED_ASSET_TURNS", ACK$3, $E$3, $N$3, , $J$3, $K$3))),"",_xll.ciqfunctions.udf.CIQ($B16, "IQ_FIXED_ASSET_TURNS", ACK$3, $E$3, $N$3, , $J$3, $K$3))),"")</f>
        <v/>
      </c>
      <c r="ACL16" s="90" t="str">
        <f>IFERROR(IF(OR($B16="",ACL$3=""),"",IF(NOT(ISNUMBER(_xll.ciqfunctions.udf.CIQ($B16, "IQ_FIXED_ASSET_TURNS", ACL$3, $E$3, $N$3, , $J$3, $K$3))),"",_xll.ciqfunctions.udf.CIQ($B16, "IQ_FIXED_ASSET_TURNS", ACL$3, $E$3, $N$3, , $J$3, $K$3))),"")</f>
        <v/>
      </c>
      <c r="ACM16" s="90" t="str">
        <f>IFERROR(IF(OR($B16="",ACM$3=""),"",IF(NOT(ISNUMBER(_xll.ciqfunctions.udf.CIQ($B16, "IQ_FIXED_ASSET_TURNS", ACM$3, $E$3, $N$3, , $J$3, $K$3))),"",_xll.ciqfunctions.udf.CIQ($B16, "IQ_FIXED_ASSET_TURNS", ACM$3, $E$3, $N$3, , $J$3, $K$3))),"")</f>
        <v/>
      </c>
      <c r="ACN16" s="90" t="str">
        <f>IFERROR(IF(OR($B16="",ACN$3=""),"",IF(NOT(ISNUMBER(_xll.ciqfunctions.udf.CIQ($B16, "IQ_FIXED_ASSET_TURNS", ACN$3, $E$3, $N$3, , $J$3, $K$3))),"",_xll.ciqfunctions.udf.CIQ($B16, "IQ_FIXED_ASSET_TURNS", ACN$3, $E$3, $N$3, , $J$3, $K$3))),"")</f>
        <v/>
      </c>
      <c r="ACO16" s="90" t="str">
        <f>IFERROR(IF(OR($B16="",ACO$3=""),"",IF(NOT(ISNUMBER(_xll.ciqfunctions.udf.CIQ($B16, "IQ_FIXED_ASSET_TURNS", ACO$3, $E$3, $N$3, , $J$3, $K$3))),"",_xll.ciqfunctions.udf.CIQ($B16, "IQ_FIXED_ASSET_TURNS", ACO$3, $E$3, $N$3, , $J$3, $K$3))),"")</f>
        <v/>
      </c>
      <c r="ACP16" s="90" t="str">
        <f>IFERROR(IF(OR($B16="",ACP$3=""),"",IF(NOT(ISNUMBER(_xll.ciqfunctions.udf.CIQ($B16, "IQ_FIXED_ASSET_TURNS", ACP$3, $E$3, $N$3, , $J$3, $K$3))),"",_xll.ciqfunctions.udf.CIQ($B16, "IQ_FIXED_ASSET_TURNS", ACP$3, $E$3, $N$3, , $J$3, $K$3))),"")</f>
        <v/>
      </c>
      <c r="ACQ16" s="90" t="str">
        <f>IFERROR(IF(OR($B16="",ACQ$3=""),"",IF(NOT(ISNUMBER(_xll.ciqfunctions.udf.CIQ($B16, "IQ_FIXED_ASSET_TURNS", ACQ$3, $E$3, $N$3, , $J$3, $K$3))),"",_xll.ciqfunctions.udf.CIQ($B16, "IQ_FIXED_ASSET_TURNS", ACQ$3, $E$3, $N$3, , $J$3, $K$3))),"")</f>
        <v/>
      </c>
      <c r="ACR16" s="91" t="str">
        <f>IFERROR(IF(OR($B16="",ACR$3=""),"",IF(NOT(ISNUMBER(_xll.ciqfunctions.udf.CIQ($B16, "IQ_FIXED_ASSET_TURNS", ACR$3, $E$3, $N$3, , $J$3, $K$3))),"",_xll.ciqfunctions.udf.CIQ($B16, "IQ_FIXED_ASSET_TURNS", ACR$3, $E$3, $N$3, , $J$3, $K$3))),"")</f>
        <v/>
      </c>
    </row>
    <row r="17" spans="1:772" ht="15" customHeight="1" x14ac:dyDescent="0.2">
      <c r="A17" s="277" t="str">
        <f>IF(B17="","",_xll.ciqfunctions.udf.CIQ($B17,"IQ_COMPANY_NAME"))</f>
        <v/>
      </c>
      <c r="B17" s="278" t="str">
        <f>IF(Input!B29="","",Input!B29)</f>
        <v/>
      </c>
      <c r="C17" s="278">
        <f>Input!E29</f>
        <v>0</v>
      </c>
      <c r="D17" s="279" t="str">
        <f>IF(B17="","",_xll.ciqfunctions.udf.CIQ($B17,"IQ_PRIMARY_INDUSTRY"))</f>
        <v/>
      </c>
      <c r="E17" s="280" t="str">
        <f>IFERROR(IF(B17="","",IF(NOT(ISNUMBER(_xll.ciqfunctions.udf.CIQ($B17,"IQ_LASTSALEPRICE",$E$3))),"",_xll.ciqfunctions.udf.CIQ($B17,"IQ_LASTSALEPRICE",$E$3))),"")</f>
        <v/>
      </c>
      <c r="F17" s="281" t="str">
        <f>IFERROR(IF(B17="","",IF(NOT(ISNUMBER(_xll.ciqfunctions.udf.CIQ($B17,"IQ_LASTSALEPRICE",$E$4))),"",_xll.ciqfunctions.udf.CIQ($B17,"IQ_LASTSALEPRICE",$E$4))),"")</f>
        <v/>
      </c>
      <c r="G17" s="282" t="str">
        <f t="shared" si="383"/>
        <v/>
      </c>
      <c r="H17" s="282" t="str">
        <f>IFERROR(IF(B17="","",IF(NOT(ISNUMBER(_xll.ciqfunctions.udf.CIQ($B17,"IQ_TOTAL_REV_1YR_ANN_GROWTH",$O$3, $I$3, $N$3, , $J$3, $K$3))),"",_xll.ciqfunctions.udf.CIQ($B17,"IQ_TOTAL_REV_1YR_ANN_GROWTH",$O$3, $I$3, $N$3, , $J$3, $K$3))/100),"")</f>
        <v/>
      </c>
      <c r="I17" s="282" t="str">
        <f>IFERROR(IF(B17="","",IF(NOT(ISNUMBER(_xll.ciqfunctions.udf.CIQ($B17,"IQ_GROSS_MARGIN",$O$3, $I$3, $N$3, , $J$3, $K$3))),"",_xll.ciqfunctions.udf.CIQ($B17,"IQ_GROSS_MARGIN",$O$3, $I$3, $N$3, , $J$3, $K$3))/100),"")</f>
        <v/>
      </c>
      <c r="J17" s="282" t="str">
        <f>IFERROR(IF(B17="","",IF(NOT(ISNUMBER(_xll.ciqfunctions.udf.CIQ($B17,"IQ_EBITDA_MARGIN",$O$3, $I$3, $N$3, , $J$3, $K$3))),"",_xll.ciqfunctions.udf.CIQ($B17,"IQ_EBITDA_MARGIN",$O$3, $I$3, $N$3, , $J$3, $K$3))/100),"")</f>
        <v/>
      </c>
      <c r="K17" s="282" t="str">
        <f>IFERROR(IF(A17="","",IF(NOT(ISNUMBER(_xll.ciqfunctions.udf.CIQ($B17,"IQ_EBIT_MARGIN",$O$3, $I$3, $N$3, , $J$3, $K$3))),"",_xll.ciqfunctions.udf.CIQ($B17,"IQ_EBIT_MARGIN",$O$3, $I$3, $N$3, , $J$3, $K$3))/100),"")</f>
        <v/>
      </c>
      <c r="L17" s="282" t="str">
        <f>IFERROR(IF(B17="","",IF(NOT(ISNUMBER(_xll.ciqfunctions.udf.CIQ($B17,"IQ_NI_MARGIN",$O$3, $I$3, $N$3, , $J$3, $K$3))),"",_xll.ciqfunctions.udf.CIQ($B17,"IQ_NI_MARGIN",$O$3, $I$3, $N$3, , $J$3, $K$3))/100),"")</f>
        <v/>
      </c>
      <c r="M17" s="282" t="str">
        <f>IFERROR(IF($B17="","",IF(AND(N$4="Yes",NOT(ISNUMBER(_xll.ciqfunctions.udf.CIQ($B17,"IQ_COGS",$O$3, $I$3, $N$3, , $J$3, $K$3))),NOT(ISNUMBER(_xll.ciqfunctions.udf.CIQ($B17,"IQ_TOTAL_REVENUE",$O$3, $I$3, $N$3, , $J$3, $K$3)))),"",_xll.ciqfunctions.udf.CIQ($B17,"IQ_COGS",$O$3, $I$3, $N$3, , $J$3, $K$3)/_xll.ciqfunctions.udf.CIQ($B17,"IQ_TOTAL_REVENUE",$O$3, $I$3, $N$3, , $J$3, $K$3))),"")</f>
        <v/>
      </c>
      <c r="N17" s="282" t="str">
        <f>IFERROR(IF($B17="","",(IF(NOT(ISNUMBER(_xll.ciqfunctions.udf.CIQ($B17,"IQ_TOTAL_REVENUE",$O$3, $I$3, $N$3, , $J$3, $K$3))),"",_xll.ciqfunctions.udf.CIQ($B17,"IQ_TOTAL_REVENUE",$O$3, $I$3, $N$3, , $J$3, $K$3))-IF(NOT(ISNUMBER(_xll.ciqfunctions.udf.CIQ($B17,"IQ_COGS",$O$3, $I$3, $N$3, , $J$3, $K$3))),"",_xll.ciqfunctions.udf.CIQ($B17,"IQ_COGS",$O$3, $I$3, $N$3, , $J$3, $K$3))-IF(NOT(ISNUMBER(_xll.ciqfunctions.udf.CIQ($B17,"IQ_EBITDA",$O$3, $I$3, $N$3, , $J$3, $K$3))),"",_xll.ciqfunctions.udf.CIQ($B17,"IQ_EBITDA",$O$3, $I$3, $N$3, , $J$3, $K$3)))/IF(NOT(ISNUMBER(_xll.ciqfunctions.udf.CIQ($B17,"IQ_TOTAL_REVENUE",$O$3, $I$3, $N$3, , $J$3, $K$3))),"",_xll.ciqfunctions.udf.CIQ($B17,"IQ_TOTAL_REVENUE",$O$3, $I$3, $N$3, , $J$3, $K$3))),"")</f>
        <v/>
      </c>
      <c r="O17" s="282" t="str">
        <f>IFERROR(IF($B17="","",IF(AND(P$4="Yes",NOT(ISNUMBER(_xll.ciqfunctions.udf.CIQ($B17,"IQ_SGA_MARGIN",$O$3, $I$3, $N$3, , $J$3, $K$3)))),"",_xll.ciqfunctions.udf.CIQ($B17,"IQ_SGA_MARGIN",$O$3, $I$3, $N$3, , $J$3, $K$3)/100)),"")</f>
        <v/>
      </c>
      <c r="P17" s="282" t="str">
        <f>IFERROR(IF($B17="","",IF(AND(Q$4="No",OR(NOT(ISNUMBER(_xll.ciqfunctions.udf.CIQ($B17, "IQ_RD_EXP",$O$3, $I$3, $N$3, , $J$3, $K$3))),_xll.ciqfunctions.udf.CIQ($B17, "IQ_RD_EXP",$O$3, $I$3, $N$3, , $J$3, $K$3)&lt;0,NOT(ISNUMBER(_xll.ciqfunctions.udf.CIQ($B17,"IQ_TOTAL_REV",$O$3, $I$3, $N$3, , $J$3, $K$3))))),"",_xll.ciqfunctions.udf.CIQ($B17, "IQ_RD_EXP",$O$3, $I$3, $N$3, , $J$3, $K$3)/_xll.ciqfunctions.udf.CIQ($B17,"IQ_TOTAL_REV",$O$3, $I$3, $N$3, , $J$3, $K$3))),"")</f>
        <v/>
      </c>
      <c r="Q17" s="283" t="str">
        <f>IFERROR(IF($B17="","",IF(AND(R$4="No",OR(NOT(ISNUMBER(_xll.ciqfunctions.udf.CIQ($B17,"IQ_AR",$O$3, $I$3, $N$3, , $J$3, $K$3,,,,"USD"))),_xll.ciqfunctions.udf.CIQ($B17,"IQ_AR",$O$3, $I$3, $N$3, , $J$3, $K$3,,,,"USD")&lt;0,NOT(ISNUMBER(_xll.ciqfunctions.udf.CIQ($B17,"IQ_REVENUE",$O$3, $I$3, $N$3, , $J$3, $K$3))))),"",0.5*(_xll.ciqfunctions.udf.CIQ($B17,"IQ_AR",$O$3, $I$3, $N$3, , $J$3, $K$3)+_xll.ciqfunctions.udf.CIQ($B17,"IQ_AR",$O$3&amp;"-4", $I$3, $N$3, , $J$3, $K$3))/_xll.ciqfunctions.udf.CIQ($B17,"IQ_REVENUE",$O$3, $I$3, $N$3, , $J$3, $K$3)*365)),"")</f>
        <v/>
      </c>
      <c r="R17" s="283" t="str">
        <f>IFERROR(IF($B17="","",IF(AND(S$4="No",OR(NOT(ISNUMBER(_xll.ciqfunctions.udf.CIQ($B17,"IQ_INVENTORY",$O$3, $I$3, $N$3, , $J$3, $K$3))),_xll.ciqfunctions.udf.CIQ($B17,"IQ_INVENTORY",$O$3, $I$3, $N$3, , $J$3, $K$3)&lt;0,NOT(ISNUMBER(_xll.ciqfunctions.udf.CIQ($B17,"IQ_COGS",$O$3, $I$3, $N$3, , $J$3, $K$3))),_xll.ciqfunctions.udf.CIQ($B17,"IQ_COGS",$O$3, $I$3, $N$3, , $J$3, $K$3)&lt;0)),"",0.5*(_xll.ciqfunctions.udf.CIQ($B17,"IQ_INVENTORY",$O$3, $I$3, $N$3, , $J$3, $K$3)+_xll.ciqfunctions.udf.CIQ($B17,"IQ_INVENTORY",$O$3&amp;"-4", $I$3, $N$3, , $J$3, $K$3))/_xll.ciqfunctions.udf.CIQ($B17,"IQ_COGS",$O$3, $I$3, $N$3, , $J$3, $K$3)*365)),"")</f>
        <v/>
      </c>
      <c r="S17" s="283" t="str">
        <f>IFERROR(IF(B17="","",IF($B17="","",IF(AND(T$4="No",OR(NOT(ISNUMBER(_xll.ciqfunctions.udf.CIQ($B17,"IQ_AP",$O$3, $I$3, $N$3, , $J$3, $K$3))),_xll.ciqfunctions.udf.CIQ($B17,"IQ_AP",$O$3, $I$3, $N$3, , $J$3, $K$3)&lt;0,NOT(ISNUMBER(_xll.ciqfunctions.udf.CIQ($B17,"IQ_COGS",$O$3, $I$3, $N$3, , $J$3, $K$3))),_xll.ciqfunctions.udf.CIQ($B17,"IQ_COGS",$O$3, $I$3, $N$3, , $J$3, $K$3)&lt;0)),"",0.5*(_xll.ciqfunctions.udf.CIQ($B17,"IQ_AP",$O$3, $I$3, $N$3, , $J$3, $K$3)+_xll.ciqfunctions.udf.CIQ($B17,"IQ_AP",$O$3&amp;"-4", $I$3, $N$3, , $J$3, $K$3))/_xll.ciqfunctions.udf.CIQ($B17,"IQ_COGS",$O$3, $I$3, $N$3, , $J$3, $K$3)*365))),"")</f>
        <v/>
      </c>
      <c r="T17" s="283" t="str">
        <f t="shared" si="342"/>
        <v/>
      </c>
      <c r="U17" s="282" t="str">
        <f>IFERROR(IF(OR(NOT(ISNUMBER(_xll.ciqfunctions.udf.CIQ($B17,"IQ_NI",$O$3, $I$3, $N$3, , $J$3, $K$3))),NOT(ISNUMBER(_xll.ciqfunctions.udf.CIQ($B17,"IQ_TOTAL_ASSETS",$O$3, $I$3, $N$3, , $J$3, $K$3)))),"",_xll.ciqfunctions.udf.CIQ($B17,"IQ_NI",$O$3, $I$3, $N$3, , $J$3, $K$3)/(0.5*(_xll.ciqfunctions.udf.CIQ($B17,"IQ_TOTAL_ASSETS",$O$3, $I$3, $N$3, , $J$3, $K$3)+_xll.ciqfunctions.udf.CIQ($B17,"IQ_TOTAL_ASSETS",$O$3&amp;"-4", $I$3, $N$3, , $J$3, $K$3)))),"")</f>
        <v/>
      </c>
      <c r="V17" s="282" t="str">
        <f>IFERROR(_xll.ciqfunctions.udf.CIQ($B17,"IQ_NI",$O$3, $I$3, $N$3, , $J$3, $K$3)*2/(_xll.ciqfunctions.udf.CIQ($B17,"IQ_TOTAL_ASSETS",$O$3, $I$3, $N$3, , $J$3, $K$3)+_xll.ciqfunctions.udf.CIQ($B17,"IQ_TOTAL_ASSETS",$O$3 &amp; "-4", $I$3, $N$3, , $J$3, $K$3)-_xll.ciqfunctions.udf.CIQ($B17,"IQ_TOTAL_CL",$O$3, $I$3, $N$3, , $J$3, $K$3)-_xll.ciqfunctions.udf.CIQ($B17,"IQ_TOTAL_CL",$O$3 &amp; "-4", $I$3, $N$3, , $J$3, $K$3)),"")</f>
        <v/>
      </c>
      <c r="W17" s="282" t="str">
        <f>IFERROR(IF(OR(NOT(ISNUMBER(_xll.ciqfunctions.udf.CIQ($B17,"IQ_NI",$O$3, $I$3, $N$3, , $J$3, $K$3))),NOT(ISNUMBER(_xll.ciqfunctions.udf.CIQ($B17,"IQ_TOTAL_EQUITY",$O$3, $I$3, $N$3, , $J$3, $K$3)))),"",_xll.ciqfunctions.udf.CIQ($B17,"IQ_NI",$O$3, $I$3, $N$3, , $J$3, $K$3)/(0.5*(_xll.ciqfunctions.udf.CIQ($B17,"IQ_TOTAL_EQUITY",$O$3, $I$3, $N$3, , $J$3, $K$3)+_xll.ciqfunctions.udf.CIQ($B17,"IQ_TOTAL_EQUITY",$O$3&amp;"-4", $I$3, $N$3, , $J$3, $K$3)))),"")</f>
        <v/>
      </c>
      <c r="X17" s="1027" t="str">
        <f>IFERROR(IF($B17="","",IF(NOT(ISNUMBER(_xll.ciqfunctions.udf.CIQ($B17,"IQ_ASSET_TURNS",$O$3, $I$3, $N$3, , $J$3, $K$3))),"",_xll.ciqfunctions.udf.CIQ($B17,"IQ_ASSET_TURNS",$O$3, $I$3, $N$3, , $J$3, $K$3))),"")</f>
        <v/>
      </c>
      <c r="Y17" s="1027" t="str">
        <f>IFERROR(IF($B17="","",IF(NOT(ISNUMBER(_xll.ciqfunctions.udf.CIQ($B17,"IQ_FIXED_ASSET_TURNS",$O$3, $I$3, $N$3, , $J$3, $K$3))),"",_xll.ciqfunctions.udf.CIQ($B17,"IQ_FIXED_ASSET_TURNS",$O$3, $I$3, $N$3, , $J$3, $K$3))),"")</f>
        <v/>
      </c>
      <c r="Z17" s="282" t="str">
        <f>IFERROR(IF(B17="","",IF(OR(NOT(ISNUMBER(_xll.ciqfunctions.udf.CIQ($B17,"IQ_CASH_OPER",$O$3, $I$3, $N$3, , $J$3, $K$3))),NOT(ISNUMBER(_xll.ciqfunctions.udf.CIQ($B17,"IQ_TOTAL_REV",$O$3, $I$3, $N$3, , $J$3, $K$3)))),"",_xll.ciqfunctions.udf.CIQ($B17,"IQ_CASH_OPER",$O$3, $I$3, $N$3, , $J$3, $K$3)/_xll.ciqfunctions.udf.CIQ($B17,"IQ_TOTAL_REV",$O$3, $I$3, $N$3, , $J$3, $K$3))),"")</f>
        <v/>
      </c>
      <c r="AA17" s="283" t="str">
        <f>IFERROR(IF(B17="","",IF(OR(NOT(ISNUMBER(_xll.ciqfunctions.udf.CIQ($B17,"IQ_TOTAL_ASSETS",IQ_LTM, $I$3, $N$3, , $J$3, $K$3))),NOT(ISNUMBER(_xll.ciqfunctions.udf.CIQ($B17,"IQ_TOTAL_COMMON_EQUITY",IQ_LTM, $I$3, $N$3, , $J$3, $K$3)))),"",_xll.ciqfunctions.udf.CIQ($B17,"IQ_TOTAL_ASSETS",IQ_LTM, $I$3, $N$3, , $J$3, $K$3)/_xll.ciqfunctions.udf.CIQ($B17,"IQ_TOTAL_COMMON_EQUITY",IQ_LTM, $I$3, $N$3, , $J$3, $K$3))),"")</f>
        <v/>
      </c>
      <c r="AB17" s="282" t="str">
        <f>IFERROR(IF(B17="","",IF(OR(NOT(ISNUMBER(_xll.ciqfunctions.udf.CIQ($B17,"IQ_EBT",$O$3, $I$3, $N$3, , $J$3, $K$3))),NOT(ISNUMBER(_xll.ciqfunctions.udf.CIQ($B17,"IQ_TOTAL_REV",$O$3, $I$3, $N$3, , $J$3, $K$3)))),"",_xll.ciqfunctions.udf.CIQ($B17,"IQ_EBT",$O$3, $I$3, $N$3, , $J$3, $K$3)/_xll.ciqfunctions.udf.CIQ($B17,"IQ_TOTAL_REV",$O$3, $I$3, $N$3, , $J$3, $K$3))),"")</f>
        <v/>
      </c>
      <c r="AC17" s="282" t="str">
        <f>IFERROR(IF(E17="","",IF(OR(NOT(ISNUMBER(_xll.ciqfunctions.udf.CIQ($B17,"IQ_INC_TAX",$O$3, $I$3, $N$3, , $J$3, $K$3))),NOT(ISNUMBER(_xll.ciqfunctions.udf.CIQ($B17,"IQ_EBT",$O$3, $I$3, $N$3, , $J$3, $K$3))),_xll.ciqfunctions.udf.CIQ($B17,"IQ_INC_TAX",$O$3, $I$3, $N$3, , $J$3, $K$3)&lt;0),"",_xll.ciqfunctions.udf.CIQ($B17,"IQ_INC_TAX",$O$3, $I$3, $N$3, , $J$3, $K$3)/ABS(_xll.ciqfunctions.udf.CIQ($B17,"IQ_EBT",$O$3, $I$3, $N$3, , $J$3, $K$3)))),"")</f>
        <v/>
      </c>
      <c r="AD17" s="283" t="str">
        <f>IFERROR(IF(B17="","",IF(NOT(ISNUMBER(_xll.ciqfunctions.udf.CIQ($B17,"IQ_Z_SCORE",$O$3, $I$3, $N$3, , $J$3, $K$3))),"",_xll.ciqfunctions.udf.CIQ($B17,"IQ_Z_SCORE",$O$3, $I$3, $N$3, , $J$3, $K$3))),"")</f>
        <v/>
      </c>
      <c r="AE17" s="284" t="str">
        <f>IF($A17="","",IF(NOT(ISNUMBER(_xll.ciqfunctions.udf.CIQ($B17, "IQ_BETA_5YR", $E$3))),"",_xll.ciqfunctions.udf.CIQ($B17, "IQ_BETA_5YR", $E$3)))</f>
        <v/>
      </c>
      <c r="AF17" s="19"/>
      <c r="AG17" s="291" t="str">
        <f>IFERROR(IF(OR($B17="",AG$3=""),"",IF(NOT(ISNUMBER(_xll.ciqfunctions.udf.CIQ($B17, "IQ_GROSS_MARGIN", AG$3, $I$3, $N$3, , $J$3, $K$3))),"",_xll.ciqfunctions.udf.CIQ($B17, "IQ_GROSS_MARGIN", AG$3, $I$3, $N$3, , $J$3, $K$3)/100)),"")</f>
        <v/>
      </c>
      <c r="AH17" s="292" t="str">
        <f>IFERROR(IF(OR($B17="",AH$3=""),"",IF(NOT(ISNUMBER(_xll.ciqfunctions.udf.CIQ($B17, "IQ_GROSS_MARGIN", AH$3, $I$3, $N$3, , $J$3, $K$3))),"",_xll.ciqfunctions.udf.CIQ($B17, "IQ_GROSS_MARGIN", AH$3, $I$3, $N$3, , $J$3, $K$3)/100)),"")</f>
        <v/>
      </c>
      <c r="AI17" s="292" t="str">
        <f>IFERROR(IF(OR($B17="",AI$3=""),"",IF(NOT(ISNUMBER(_xll.ciqfunctions.udf.CIQ($B17, "IQ_GROSS_MARGIN", AI$3, $I$3, $N$3, , $J$3, $K$3))),"",_xll.ciqfunctions.udf.CIQ($B17, "IQ_GROSS_MARGIN", AI$3, $I$3, $N$3, , $J$3, $K$3)/100)),"")</f>
        <v/>
      </c>
      <c r="AJ17" s="292" t="str">
        <f>IFERROR(IF(OR($B17="",AJ$3=""),"",IF(NOT(ISNUMBER(_xll.ciqfunctions.udf.CIQ($B17, "IQ_GROSS_MARGIN", AJ$3, $I$3, $N$3, , $J$3, $K$3))),"",_xll.ciqfunctions.udf.CIQ($B17, "IQ_GROSS_MARGIN", AJ$3, $I$3, $N$3, , $J$3, $K$3)/100)),"")</f>
        <v/>
      </c>
      <c r="AK17" s="292" t="str">
        <f>IFERROR(IF(OR($B17="",AK$3=""),"",IF(NOT(ISNUMBER(_xll.ciqfunctions.udf.CIQ($B17, "IQ_GROSS_MARGIN", AK$3, $I$3, $N$3, , $J$3, $K$3))),"",_xll.ciqfunctions.udf.CIQ($B17, "IQ_GROSS_MARGIN", AK$3, $I$3, $N$3, , $J$3, $K$3)/100)),"")</f>
        <v/>
      </c>
      <c r="AL17" s="292" t="str">
        <f>IFERROR(IF(OR($B17="",AL$3=""),"",IF(NOT(ISNUMBER(_xll.ciqfunctions.udf.CIQ($B17, "IQ_GROSS_MARGIN", AL$3, $I$3, $N$3, , $J$3, $K$3))),"",_xll.ciqfunctions.udf.CIQ($B17, "IQ_GROSS_MARGIN", AL$3, $I$3, $N$3, , $J$3, $K$3)/100)),"")</f>
        <v/>
      </c>
      <c r="AM17" s="292" t="str">
        <f>IFERROR(IF(OR($B17="",AM$3=""),"",IF(NOT(ISNUMBER(_xll.ciqfunctions.udf.CIQ($B17, "IQ_GROSS_MARGIN", AM$3, $I$3, $N$3, , $J$3, $K$3))),"",_xll.ciqfunctions.udf.CIQ($B17, "IQ_GROSS_MARGIN", AM$3, $I$3, $N$3, , $J$3, $K$3)/100)),"")</f>
        <v/>
      </c>
      <c r="AN17" s="292" t="str">
        <f>IFERROR(IF(OR($B17="",AN$3=""),"",IF(NOT(ISNUMBER(_xll.ciqfunctions.udf.CIQ($B17, "IQ_GROSS_MARGIN", AN$3, $I$3, $N$3, , $J$3, $K$3))),"",_xll.ciqfunctions.udf.CIQ($B17, "IQ_GROSS_MARGIN", AN$3, $I$3, $N$3, , $J$3, $K$3)/100)),"")</f>
        <v/>
      </c>
      <c r="AO17" s="292" t="str">
        <f>IFERROR(IF(OR($B17="",AO$3=""),"",IF(NOT(ISNUMBER(_xll.ciqfunctions.udf.CIQ($B17, "IQ_GROSS_MARGIN", AO$3, $I$3, $N$3, , $J$3, $K$3))),"",_xll.ciqfunctions.udf.CIQ($B17, "IQ_GROSS_MARGIN", AO$3, $I$3, $N$3, , $J$3, $K$3)/100)),"")</f>
        <v/>
      </c>
      <c r="AP17" s="292" t="str">
        <f>IFERROR(IF(OR($B17="",AP$3=""),"",IF(NOT(ISNUMBER(_xll.ciqfunctions.udf.CIQ($B17, "IQ_GROSS_MARGIN", AP$3, $I$3, $N$3, , $J$3, $K$3))),"",_xll.ciqfunctions.udf.CIQ($B17, "IQ_GROSS_MARGIN", AP$3, $I$3, $N$3, , $J$3, $K$3)/100)),"")</f>
        <v/>
      </c>
      <c r="AQ17" s="292" t="str">
        <f>IFERROR(IF(OR($B17="",AQ$3=""),"",IF(NOT(ISNUMBER(_xll.ciqfunctions.udf.CIQ($B17, "IQ_GROSS_MARGIN", AQ$3, $I$3, $N$3, , $J$3, $K$3))),"",_xll.ciqfunctions.udf.CIQ($B17, "IQ_GROSS_MARGIN", AQ$3, $I$3, $N$3, , $J$3, $K$3)/100)),"")</f>
        <v/>
      </c>
      <c r="AR17" s="292" t="str">
        <f>IFERROR(IF(OR($B17="",AR$3=""),"",IF(NOT(ISNUMBER(_xll.ciqfunctions.udf.CIQ($B17, "IQ_GROSS_MARGIN", AR$3, $I$3, $N$3, , $J$3, $K$3))),"",_xll.ciqfunctions.udf.CIQ($B17, "IQ_GROSS_MARGIN", AR$3, $I$3, $N$3, , $J$3, $K$3)/100)),"")</f>
        <v/>
      </c>
      <c r="AS17" s="292" t="str">
        <f>IFERROR(IF(OR($B17="",AS$3=""),"",IF(NOT(ISNUMBER(_xll.ciqfunctions.udf.CIQ($B17, "IQ_GROSS_MARGIN", AS$3, $I$3, $N$3, , $J$3, $K$3))),"",_xll.ciqfunctions.udf.CIQ($B17, "IQ_GROSS_MARGIN", AS$3, $I$3, $N$3, , $J$3, $K$3)/100)),"")</f>
        <v/>
      </c>
      <c r="AT17" s="292" t="str">
        <f>IFERROR(IF(OR($B17="",AT$3=""),"",IF(NOT(ISNUMBER(_xll.ciqfunctions.udf.CIQ($B17, "IQ_GROSS_MARGIN", AT$3, $I$3, $N$3, , $J$3, $K$3))),"",_xll.ciqfunctions.udf.CIQ($B17, "IQ_GROSS_MARGIN", AT$3, $I$3, $N$3, , $J$3, $K$3)/100)),"")</f>
        <v/>
      </c>
      <c r="AU17" s="292" t="str">
        <f>IFERROR(IF(OR($B17="",AU$3=""),"",IF(NOT(ISNUMBER(_xll.ciqfunctions.udf.CIQ($B17, "IQ_GROSS_MARGIN", AU$3, $I$3, $N$3, , $J$3, $K$3))),"",_xll.ciqfunctions.udf.CIQ($B17, "IQ_GROSS_MARGIN", AU$3, $I$3, $N$3, , $J$3, $K$3)/100)),"")</f>
        <v/>
      </c>
      <c r="AV17" s="292" t="str">
        <f>IFERROR(IF(OR($B17="",AV$3=""),"",IF(NOT(ISNUMBER(_xll.ciqfunctions.udf.CIQ($B17, "IQ_GROSS_MARGIN", AV$3, $I$3, $N$3, , $J$3, $K$3))),"",_xll.ciqfunctions.udf.CIQ($B17, "IQ_GROSS_MARGIN", AV$3, $I$3, $N$3, , $J$3, $K$3)/100)),"")</f>
        <v/>
      </c>
      <c r="AW17" s="292" t="str">
        <f>IFERROR(IF(OR($B17="",AW$3=""),"",IF(NOT(ISNUMBER(_xll.ciqfunctions.udf.CIQ($B17, "IQ_GROSS_MARGIN", AW$3, $I$3, $N$3, , $J$3, $K$3))),"",_xll.ciqfunctions.udf.CIQ($B17, "IQ_GROSS_MARGIN", AW$3, $I$3, $N$3, , $J$3, $K$3)/100)),"")</f>
        <v/>
      </c>
      <c r="AX17" s="292" t="str">
        <f>IFERROR(IF(OR($B17="",AX$3=""),"",IF(NOT(ISNUMBER(_xll.ciqfunctions.udf.CIQ($B17, "IQ_GROSS_MARGIN", AX$3, $I$3, $N$3, , $J$3, $K$3))),"",_xll.ciqfunctions.udf.CIQ($B17, "IQ_GROSS_MARGIN", AX$3, $I$3, $N$3, , $J$3, $K$3)/100)),"")</f>
        <v/>
      </c>
      <c r="AY17" s="292" t="str">
        <f>IFERROR(IF(OR($B17="",AY$3=""),"",IF(NOT(ISNUMBER(_xll.ciqfunctions.udf.CIQ($B17, "IQ_GROSS_MARGIN", AY$3, $I$3, $N$3, , $J$3, $K$3))),"",_xll.ciqfunctions.udf.CIQ($B17, "IQ_GROSS_MARGIN", AY$3, $I$3, $N$3, , $J$3, $K$3)/100)),"")</f>
        <v/>
      </c>
      <c r="AZ17" s="293" t="str">
        <f>IFERROR(IF(OR($B17="",AZ$3=""),"",IF(NOT(ISNUMBER(_xll.ciqfunctions.udf.CIQ($B17, "IQ_GROSS_MARGIN", AZ$3, $I$3, $N$3, , $J$3, $K$3))),"",_xll.ciqfunctions.udf.CIQ($B17, "IQ_GROSS_MARGIN", AZ$3, $I$3, $N$3, , $J$3, $K$3)/100)),"")</f>
        <v/>
      </c>
      <c r="BA17" s="73" t="str">
        <f>IFERROR(IF(OR($B17="",BA$3=""),"",IF(NOT(ISNUMBER(_xll.ciqfunctions.udf.CIQ($B17, "IQ_EBITDA_MARGIN", BA$3, $I$3, $N$3, , $J$3, $K$3))),"",_xll.ciqfunctions.udf.CIQ($B17, "IQ_EBITDA_MARGIN", BA$3, $I$3, $N$3, , $J$3, $K$3)/100)),"")</f>
        <v/>
      </c>
      <c r="BB17" s="73" t="str">
        <f>IFERROR(IF(OR($B17="",BB$3=""),"",IF(NOT(ISNUMBER(_xll.ciqfunctions.udf.CIQ($B17, "IQ_EBITDA_MARGIN", BB$3, $I$3, $N$3, , $J$3, $K$3))),"",_xll.ciqfunctions.udf.CIQ($B17, "IQ_EBITDA_MARGIN", BB$3, $I$3, $N$3, , $J$3, $K$3)/100)),"")</f>
        <v/>
      </c>
      <c r="BC17" s="73" t="str">
        <f>IFERROR(IF(OR($B17="",BC$3=""),"",IF(NOT(ISNUMBER(_xll.ciqfunctions.udf.CIQ($B17, "IQ_EBITDA_MARGIN", BC$3, $I$3, $N$3, , $J$3, $K$3))),"",_xll.ciqfunctions.udf.CIQ($B17, "IQ_EBITDA_MARGIN", BC$3, $I$3, $N$3, , $J$3, $K$3)/100)),"")</f>
        <v/>
      </c>
      <c r="BD17" s="73" t="str">
        <f>IFERROR(IF(OR($B17="",BD$3=""),"",IF(NOT(ISNUMBER(_xll.ciqfunctions.udf.CIQ($B17, "IQ_EBITDA_MARGIN", BD$3, $I$3, $N$3, , $J$3, $K$3))),"",_xll.ciqfunctions.udf.CIQ($B17, "IQ_EBITDA_MARGIN", BD$3, $I$3, $N$3, , $J$3, $K$3)/100)),"")</f>
        <v/>
      </c>
      <c r="BE17" s="720" t="str">
        <f>IFERROR(IF(OR($B17="",BE$3=""),"",IF(NOT(ISNUMBER(_xll.ciqfunctions.udf.CIQ($B17, "IQ_EBITDA_MARGIN", BE$3, $I$3, $N$3, , $J$3, $K$3))),"",_xll.ciqfunctions.udf.CIQ($B17, "IQ_EBITDA_MARGIN", BE$3, $I$3, $N$3, , $J$3, $K$3)/100)),"")</f>
        <v/>
      </c>
      <c r="BF17" s="73" t="str">
        <f>IFERROR(IF(OR($B17="",BF$3=""),"",IF(NOT(ISNUMBER(_xll.ciqfunctions.udf.CIQ($B17, "IQ_EBITDA_MARGIN", BF$3, $I$3, $N$3, , $J$3, $K$3))),"",_xll.ciqfunctions.udf.CIQ($B17, "IQ_EBITDA_MARGIN", BF$3, $I$3, $N$3, , $J$3, $K$3)/100)),"")</f>
        <v/>
      </c>
      <c r="BG17" s="73" t="str">
        <f>IFERROR(IF(OR($B17="",BG$3=""),"",IF(NOT(ISNUMBER(_xll.ciqfunctions.udf.CIQ($B17, "IQ_EBITDA_MARGIN", BG$3, $I$3, $N$3, , $J$3, $K$3))),"",_xll.ciqfunctions.udf.CIQ($B17, "IQ_EBITDA_MARGIN", BG$3, $I$3, $N$3, , $J$3, $K$3)/100)),"")</f>
        <v/>
      </c>
      <c r="BH17" s="73" t="str">
        <f>IFERROR(IF(OR($B17="",BH$3=""),"",IF(NOT(ISNUMBER(_xll.ciqfunctions.udf.CIQ($B17, "IQ_EBITDA_MARGIN", BH$3, $I$3, $N$3, , $J$3, $K$3))),"",_xll.ciqfunctions.udf.CIQ($B17, "IQ_EBITDA_MARGIN", BH$3, $I$3, $N$3, , $J$3, $K$3)/100)),"")</f>
        <v/>
      </c>
      <c r="BI17" s="73" t="str">
        <f>IFERROR(IF(OR($B17="",BI$3=""),"",IF(NOT(ISNUMBER(_xll.ciqfunctions.udf.CIQ($B17, "IQ_EBITDA_MARGIN", BI$3, $I$3, $N$3, , $J$3, $K$3))),"",_xll.ciqfunctions.udf.CIQ($B17, "IQ_EBITDA_MARGIN", BI$3, $I$3, $N$3, , $J$3, $K$3)/100)),"")</f>
        <v/>
      </c>
      <c r="BJ17" s="73" t="str">
        <f>IFERROR(IF(OR($B17="",BJ$3=""),"",IF(NOT(ISNUMBER(_xll.ciqfunctions.udf.CIQ($B17, "IQ_EBITDA_MARGIN", BJ$3, $I$3, $N$3, , $J$3, $K$3))),"",_xll.ciqfunctions.udf.CIQ($B17, "IQ_EBITDA_MARGIN", BJ$3, $I$3, $N$3, , $J$3, $K$3)/100)),"")</f>
        <v/>
      </c>
      <c r="BK17" s="73" t="str">
        <f>IFERROR(IF(OR($B17="",BK$3=""),"",IF(NOT(ISNUMBER(_xll.ciqfunctions.udf.CIQ($B17, "IQ_EBITDA_MARGIN", BK$3, $I$3, $N$3, , $J$3, $K$3))),"",_xll.ciqfunctions.udf.CIQ($B17, "IQ_EBITDA_MARGIN", BK$3, $I$3, $N$3, , $J$3, $K$3)/100)),"")</f>
        <v/>
      </c>
      <c r="BL17" s="73" t="str">
        <f>IFERROR(IF(OR($B17="",BL$3=""),"",IF(NOT(ISNUMBER(_xll.ciqfunctions.udf.CIQ($B17, "IQ_EBITDA_MARGIN", BL$3, $I$3, $N$3, , $J$3, $K$3))),"",_xll.ciqfunctions.udf.CIQ($B17, "IQ_EBITDA_MARGIN", BL$3, $I$3, $N$3, , $J$3, $K$3)/100)),"")</f>
        <v/>
      </c>
      <c r="BM17" s="73" t="str">
        <f>IFERROR(IF(OR($B17="",BM$3=""),"",IF(NOT(ISNUMBER(_xll.ciqfunctions.udf.CIQ($B17, "IQ_EBITDA_MARGIN", BM$3, $I$3, $N$3, , $J$3, $K$3))),"",_xll.ciqfunctions.udf.CIQ($B17, "IQ_EBITDA_MARGIN", BM$3, $I$3, $N$3, , $J$3, $K$3)/100)),"")</f>
        <v/>
      </c>
      <c r="BN17" s="73" t="str">
        <f>IFERROR(IF(OR($B17="",BN$3=""),"",IF(NOT(ISNUMBER(_xll.ciqfunctions.udf.CIQ($B17, "IQ_EBITDA_MARGIN", BN$3, $I$3, $N$3, , $J$3, $K$3))),"",_xll.ciqfunctions.udf.CIQ($B17, "IQ_EBITDA_MARGIN", BN$3, $I$3, $N$3, , $J$3, $K$3)/100)),"")</f>
        <v/>
      </c>
      <c r="BO17" s="73" t="str">
        <f>IFERROR(IF(OR($B17="",BO$3=""),"",IF(NOT(ISNUMBER(_xll.ciqfunctions.udf.CIQ($B17, "IQ_EBITDA_MARGIN", BO$3, $I$3, $N$3, , $J$3, $K$3))),"",_xll.ciqfunctions.udf.CIQ($B17, "IQ_EBITDA_MARGIN", BO$3, $I$3, $N$3, , $J$3, $K$3)/100)),"")</f>
        <v/>
      </c>
      <c r="BP17" s="73" t="str">
        <f>IFERROR(IF(OR($B17="",BP$3=""),"",IF(NOT(ISNUMBER(_xll.ciqfunctions.udf.CIQ($B17, "IQ_EBITDA_MARGIN", BP$3, $I$3, $N$3, , $J$3, $K$3))),"",_xll.ciqfunctions.udf.CIQ($B17, "IQ_EBITDA_MARGIN", BP$3, $I$3, $N$3, , $J$3, $K$3)/100)),"")</f>
        <v/>
      </c>
      <c r="BQ17" s="73" t="str">
        <f>IFERROR(IF(OR($B17="",BQ$3=""),"",IF(NOT(ISNUMBER(_xll.ciqfunctions.udf.CIQ($B17, "IQ_EBITDA_MARGIN", BQ$3, $I$3, $N$3, , $J$3, $K$3))),"",_xll.ciqfunctions.udf.CIQ($B17, "IQ_EBITDA_MARGIN", BQ$3, $I$3, $N$3, , $J$3, $K$3)/100)),"")</f>
        <v/>
      </c>
      <c r="BR17" s="73" t="str">
        <f>IFERROR(IF(OR($B17="",BR$3=""),"",IF(NOT(ISNUMBER(_xll.ciqfunctions.udf.CIQ($B17, "IQ_EBITDA_MARGIN", BR$3, $I$3, $N$3, , $J$3, $K$3))),"",_xll.ciqfunctions.udf.CIQ($B17, "IQ_EBITDA_MARGIN", BR$3, $I$3, $N$3, , $J$3, $K$3)/100)),"")</f>
        <v/>
      </c>
      <c r="BS17" s="73" t="str">
        <f>IFERROR(IF(OR($B17="",BS$3=""),"",IF(NOT(ISNUMBER(_xll.ciqfunctions.udf.CIQ($B17, "IQ_EBITDA_MARGIN", BS$3, $I$3, $N$3, , $J$3, $K$3))),"",_xll.ciqfunctions.udf.CIQ($B17, "IQ_EBITDA_MARGIN", BS$3, $I$3, $N$3, , $J$3, $K$3)/100)),"")</f>
        <v/>
      </c>
      <c r="BT17" s="73" t="str">
        <f>IFERROR(IF(OR($B17="",BT$3=""),"",IF(NOT(ISNUMBER(_xll.ciqfunctions.udf.CIQ($B17, "IQ_EBITDA_MARGIN", BT$3, $I$3, $N$3, , $J$3, $K$3))),"",_xll.ciqfunctions.udf.CIQ($B17, "IQ_EBITDA_MARGIN", BT$3, $I$3, $N$3, , $J$3, $K$3)/100)),"")</f>
        <v/>
      </c>
      <c r="BU17" s="294" t="str">
        <f>IFERROR(IF(OR($B17="",BU$3=""),"",IF(NOT(ISNUMBER(_xll.ciqfunctions.udf.CIQ($B17, "IQ_EBIT_MARGIN", BU$3, $I$3, $N$3, , $J$3, $K$3))),"",_xll.ciqfunctions.udf.CIQ($B17, "IQ_EBIT_MARGIN", BU$3, $I$3, $N$3, , $J$3, $K$3)/100)),"")</f>
        <v/>
      </c>
      <c r="BV17" s="292" t="str">
        <f>IFERROR(IF(OR($B17="",BV$3=""),"",IF(NOT(ISNUMBER(_xll.ciqfunctions.udf.CIQ($B17, "IQ_EBIT_MARGIN", BV$3, $I$3, $N$3, , $J$3, $K$3))),"",_xll.ciqfunctions.udf.CIQ($B17, "IQ_EBIT_MARGIN", BV$3, $I$3, $N$3, , $J$3, $K$3)/100)),"")</f>
        <v/>
      </c>
      <c r="BW17" s="292" t="str">
        <f>IFERROR(IF(OR($B17="",BW$3=""),"",IF(NOT(ISNUMBER(_xll.ciqfunctions.udf.CIQ($B17, "IQ_EBIT_MARGIN", BW$3, $I$3, $N$3, , $J$3, $K$3))),"",_xll.ciqfunctions.udf.CIQ($B17, "IQ_EBIT_MARGIN", BW$3, $I$3, $N$3, , $J$3, $K$3)/100)),"")</f>
        <v/>
      </c>
      <c r="BX17" s="292" t="str">
        <f>IFERROR(IF(OR($B17="",BX$3=""),"",IF(NOT(ISNUMBER(_xll.ciqfunctions.udf.CIQ($B17, "IQ_EBIT_MARGIN", BX$3, $I$3, $N$3, , $J$3, $K$3))),"",_xll.ciqfunctions.udf.CIQ($B17, "IQ_EBIT_MARGIN", BX$3, $I$3, $N$3, , $J$3, $K$3)/100)),"")</f>
        <v/>
      </c>
      <c r="BY17" s="292" t="str">
        <f>IFERROR(IF(OR($B17="",BY$3=""),"",IF(NOT(ISNUMBER(_xll.ciqfunctions.udf.CIQ($B17, "IQ_EBIT_MARGIN", BY$3, $I$3, $N$3, , $J$3, $K$3))),"",_xll.ciqfunctions.udf.CIQ($B17, "IQ_EBIT_MARGIN", BY$3, $I$3, $N$3, , $J$3, $K$3)/100)),"")</f>
        <v/>
      </c>
      <c r="BZ17" s="292" t="str">
        <f>IFERROR(IF(OR($B17="",BZ$3=""),"",IF(NOT(ISNUMBER(_xll.ciqfunctions.udf.CIQ($B17, "IQ_EBIT_MARGIN", BZ$3, $I$3, $N$3, , $J$3, $K$3))),"",_xll.ciqfunctions.udf.CIQ($B17, "IQ_EBIT_MARGIN", BZ$3, $I$3, $N$3, , $J$3, $K$3)/100)),"")</f>
        <v/>
      </c>
      <c r="CA17" s="292" t="str">
        <f>IFERROR(IF(OR($B17="",CA$3=""),"",IF(NOT(ISNUMBER(_xll.ciqfunctions.udf.CIQ($B17, "IQ_EBIT_MARGIN", CA$3, $I$3, $N$3, , $J$3, $K$3))),"",_xll.ciqfunctions.udf.CIQ($B17, "IQ_EBIT_MARGIN", CA$3, $I$3, $N$3, , $J$3, $K$3)/100)),"")</f>
        <v/>
      </c>
      <c r="CB17" s="292" t="str">
        <f>IFERROR(IF(OR($B17="",CB$3=""),"",IF(NOT(ISNUMBER(_xll.ciqfunctions.udf.CIQ($B17, "IQ_EBIT_MARGIN", CB$3, $I$3, $N$3, , $J$3, $K$3))),"",_xll.ciqfunctions.udf.CIQ($B17, "IQ_EBIT_MARGIN", CB$3, $I$3, $N$3, , $J$3, $K$3)/100)),"")</f>
        <v/>
      </c>
      <c r="CC17" s="292" t="str">
        <f>IFERROR(IF(OR($B17="",CC$3=""),"",IF(NOT(ISNUMBER(_xll.ciqfunctions.udf.CIQ($B17, "IQ_EBIT_MARGIN", CC$3, $I$3, $N$3, , $J$3, $K$3))),"",_xll.ciqfunctions.udf.CIQ($B17, "IQ_EBIT_MARGIN", CC$3, $I$3, $N$3, , $J$3, $K$3)/100)),"")</f>
        <v/>
      </c>
      <c r="CD17" s="292" t="str">
        <f>IFERROR(IF(OR($B17="",CD$3=""),"",IF(NOT(ISNUMBER(_xll.ciqfunctions.udf.CIQ($B17, "IQ_EBIT_MARGIN", CD$3, $I$3, $N$3, , $J$3, $K$3))),"",_xll.ciqfunctions.udf.CIQ($B17, "IQ_EBIT_MARGIN", CD$3, $I$3, $N$3, , $J$3, $K$3)/100)),"")</f>
        <v/>
      </c>
      <c r="CE17" s="292" t="str">
        <f>IFERROR(IF(OR($B17="",CE$3=""),"",IF(NOT(ISNUMBER(_xll.ciqfunctions.udf.CIQ($B17, "IQ_EBIT_MARGIN", CE$3, $I$3, $N$3, , $J$3, $K$3))),"",_xll.ciqfunctions.udf.CIQ($B17, "IQ_EBIT_MARGIN", CE$3, $I$3, $N$3, , $J$3, $K$3)/100)),"")</f>
        <v/>
      </c>
      <c r="CF17" s="292" t="str">
        <f>IFERROR(IF(OR($B17="",CF$3=""),"",IF(NOT(ISNUMBER(_xll.ciqfunctions.udf.CIQ($B17, "IQ_EBIT_MARGIN", CF$3, $I$3, $N$3, , $J$3, $K$3))),"",_xll.ciqfunctions.udf.CIQ($B17, "IQ_EBIT_MARGIN", CF$3, $I$3, $N$3, , $J$3, $K$3)/100)),"")</f>
        <v/>
      </c>
      <c r="CG17" s="292" t="str">
        <f>IFERROR(IF(OR($B17="",CG$3=""),"",IF(NOT(ISNUMBER(_xll.ciqfunctions.udf.CIQ($B17, "IQ_EBIT_MARGIN", CG$3, $I$3, $N$3, , $J$3, $K$3))),"",_xll.ciqfunctions.udf.CIQ($B17, "IQ_EBIT_MARGIN", CG$3, $I$3, $N$3, , $J$3, $K$3)/100)),"")</f>
        <v/>
      </c>
      <c r="CH17" s="292" t="str">
        <f>IFERROR(IF(OR($B17="",CH$3=""),"",IF(NOT(ISNUMBER(_xll.ciqfunctions.udf.CIQ($B17, "IQ_EBIT_MARGIN", CH$3, $I$3, $N$3, , $J$3, $K$3))),"",_xll.ciqfunctions.udf.CIQ($B17, "IQ_EBIT_MARGIN", CH$3, $I$3, $N$3, , $J$3, $K$3)/100)),"")</f>
        <v/>
      </c>
      <c r="CI17" s="292" t="str">
        <f>IFERROR(IF(OR($B17="",CI$3=""),"",IF(NOT(ISNUMBER(_xll.ciqfunctions.udf.CIQ($B17, "IQ_EBIT_MARGIN", CI$3, $I$3, $N$3, , $J$3, $K$3))),"",_xll.ciqfunctions.udf.CIQ($B17, "IQ_EBIT_MARGIN", CI$3, $I$3, $N$3, , $J$3, $K$3)/100)),"")</f>
        <v/>
      </c>
      <c r="CJ17" s="292" t="str">
        <f>IFERROR(IF(OR($B17="",CJ$3=""),"",IF(NOT(ISNUMBER(_xll.ciqfunctions.udf.CIQ($B17, "IQ_EBIT_MARGIN", CJ$3, $I$3, $N$3, , $J$3, $K$3))),"",_xll.ciqfunctions.udf.CIQ($B17, "IQ_EBIT_MARGIN", CJ$3, $I$3, $N$3, , $J$3, $K$3)/100)),"")</f>
        <v/>
      </c>
      <c r="CK17" s="292" t="str">
        <f>IFERROR(IF(OR($B17="",CK$3=""),"",IF(NOT(ISNUMBER(_xll.ciqfunctions.udf.CIQ($B17, "IQ_EBIT_MARGIN", CK$3, $I$3, $N$3, , $J$3, $K$3))),"",_xll.ciqfunctions.udf.CIQ($B17, "IQ_EBIT_MARGIN", CK$3, $I$3, $N$3, , $J$3, $K$3)/100)),"")</f>
        <v/>
      </c>
      <c r="CL17" s="292" t="str">
        <f>IFERROR(IF(OR($B17="",CL$3=""),"",IF(NOT(ISNUMBER(_xll.ciqfunctions.udf.CIQ($B17, "IQ_EBIT_MARGIN", CL$3, $I$3, $N$3, , $J$3, $K$3))),"",_xll.ciqfunctions.udf.CIQ($B17, "IQ_EBIT_MARGIN", CL$3, $I$3, $N$3, , $J$3, $K$3)/100)),"")</f>
        <v/>
      </c>
      <c r="CM17" s="292" t="str">
        <f>IFERROR(IF(OR($B17="",CM$3=""),"",IF(NOT(ISNUMBER(_xll.ciqfunctions.udf.CIQ($B17, "IQ_EBIT_MARGIN", CM$3, $I$3, $N$3, , $J$3, $K$3))),"",_xll.ciqfunctions.udf.CIQ($B17, "IQ_EBIT_MARGIN", CM$3, $I$3, $N$3, , $J$3, $K$3)/100)),"")</f>
        <v/>
      </c>
      <c r="CN17" s="293" t="str">
        <f>IFERROR(IF(OR($B17="",CN$3=""),"",IF(NOT(ISNUMBER(_xll.ciqfunctions.udf.CIQ($B17, "IQ_EBIT_MARGIN", CN$3, $I$3, $N$3, , $J$3, $K$3))),"",_xll.ciqfunctions.udf.CIQ($B17, "IQ_EBIT_MARGIN", CN$3, $I$3, $N$3, , $J$3, $K$3)/100)),"")</f>
        <v/>
      </c>
      <c r="CO17" s="294" t="str">
        <f>IFERROR(IF(OR($B17="",CO$3=""),"",IF(NOT(ISNUMBER(_xll.ciqfunctions.udf.CIQ($B17, "IQ_NI_MARGIN", CO$3, $I$3, $N$3, , $J$3, $K$3))),"",_xll.ciqfunctions.udf.CIQ($B17, "IQ_NI_MARGIN", CO$3, $I$3, $N$3, , $J$3, $K$3)/100)),"")</f>
        <v/>
      </c>
      <c r="CP17" s="292" t="str">
        <f>IFERROR(IF(OR($B17="",CP$3=""),"",IF(NOT(ISNUMBER(_xll.ciqfunctions.udf.CIQ($B17, "IQ_NI_MARGIN", CP$3, $I$3, $N$3, , $J$3, $K$3))),"",_xll.ciqfunctions.udf.CIQ($B17, "IQ_NI_MARGIN", CP$3, $I$3, $N$3, , $J$3, $K$3)/100)),"")</f>
        <v/>
      </c>
      <c r="CQ17" s="292" t="str">
        <f>IFERROR(IF(OR($B17="",CQ$3=""),"",IF(NOT(ISNUMBER(_xll.ciqfunctions.udf.CIQ($B17, "IQ_NI_MARGIN", CQ$3, $I$3, $N$3, , $J$3, $K$3))),"",_xll.ciqfunctions.udf.CIQ($B17, "IQ_NI_MARGIN", CQ$3, $I$3, $N$3, , $J$3, $K$3)/100)),"")</f>
        <v/>
      </c>
      <c r="CR17" s="292" t="str">
        <f>IFERROR(IF(OR($B17="",CR$3=""),"",IF(NOT(ISNUMBER(_xll.ciqfunctions.udf.CIQ($B17, "IQ_NI_MARGIN", CR$3, $I$3, $N$3, , $J$3, $K$3))),"",_xll.ciqfunctions.udf.CIQ($B17, "IQ_NI_MARGIN", CR$3, $I$3, $N$3, , $J$3, $K$3)/100)),"")</f>
        <v/>
      </c>
      <c r="CS17" s="292" t="str">
        <f>IFERROR(IF(OR($B17="",CS$3=""),"",IF(NOT(ISNUMBER(_xll.ciqfunctions.udf.CIQ($B17, "IQ_NI_MARGIN", CS$3, $I$3, $N$3, , $J$3, $K$3))),"",_xll.ciqfunctions.udf.CIQ($B17, "IQ_NI_MARGIN", CS$3, $I$3, $N$3, , $J$3, $K$3)/100)),"")</f>
        <v/>
      </c>
      <c r="CT17" s="292" t="str">
        <f>IFERROR(IF(OR($B17="",CT$3=""),"",IF(NOT(ISNUMBER(_xll.ciqfunctions.udf.CIQ($B17, "IQ_NI_MARGIN", CT$3, $I$3, $N$3, , $J$3, $K$3))),"",_xll.ciqfunctions.udf.CIQ($B17, "IQ_NI_MARGIN", CT$3, $I$3, $N$3, , $J$3, $K$3)/100)),"")</f>
        <v/>
      </c>
      <c r="CU17" s="292" t="str">
        <f>IFERROR(IF(OR($B17="",CU$3=""),"",IF(NOT(ISNUMBER(_xll.ciqfunctions.udf.CIQ($B17, "IQ_NI_MARGIN", CU$3, $I$3, $N$3, , $J$3, $K$3))),"",_xll.ciqfunctions.udf.CIQ($B17, "IQ_NI_MARGIN", CU$3, $I$3, $N$3, , $J$3, $K$3)/100)),"")</f>
        <v/>
      </c>
      <c r="CV17" s="292" t="str">
        <f>IFERROR(IF(OR($B17="",CV$3=""),"",IF(NOT(ISNUMBER(_xll.ciqfunctions.udf.CIQ($B17, "IQ_NI_MARGIN", CV$3, $I$3, $N$3, , $J$3, $K$3))),"",_xll.ciqfunctions.udf.CIQ($B17, "IQ_NI_MARGIN", CV$3, $I$3, $N$3, , $J$3, $K$3)/100)),"")</f>
        <v/>
      </c>
      <c r="CW17" s="292" t="str">
        <f>IFERROR(IF(OR($B17="",CW$3=""),"",IF(NOT(ISNUMBER(_xll.ciqfunctions.udf.CIQ($B17, "IQ_NI_MARGIN", CW$3, $I$3, $N$3, , $J$3, $K$3))),"",_xll.ciqfunctions.udf.CIQ($B17, "IQ_NI_MARGIN", CW$3, $I$3, $N$3, , $J$3, $K$3)/100)),"")</f>
        <v/>
      </c>
      <c r="CX17" s="292" t="str">
        <f>IFERROR(IF(OR($B17="",CX$3=""),"",IF(NOT(ISNUMBER(_xll.ciqfunctions.udf.CIQ($B17, "IQ_NI_MARGIN", CX$3, $I$3, $N$3, , $J$3, $K$3))),"",_xll.ciqfunctions.udf.CIQ($B17, "IQ_NI_MARGIN", CX$3, $I$3, $N$3, , $J$3, $K$3)/100)),"")</f>
        <v/>
      </c>
      <c r="CY17" s="292" t="str">
        <f>IFERROR(IF(OR($B17="",CY$3=""),"",IF(NOT(ISNUMBER(_xll.ciqfunctions.udf.CIQ($B17, "IQ_NI_MARGIN", CY$3, $I$3, $N$3, , $J$3, $K$3))),"",_xll.ciqfunctions.udf.CIQ($B17, "IQ_NI_MARGIN", CY$3, $I$3, $N$3, , $J$3, $K$3)/100)),"")</f>
        <v/>
      </c>
      <c r="CZ17" s="292" t="str">
        <f>IFERROR(IF(OR($B17="",CZ$3=""),"",IF(NOT(ISNUMBER(_xll.ciqfunctions.udf.CIQ($B17, "IQ_NI_MARGIN", CZ$3, $I$3, $N$3, , $J$3, $K$3))),"",_xll.ciqfunctions.udf.CIQ($B17, "IQ_NI_MARGIN", CZ$3, $I$3, $N$3, , $J$3, $K$3)/100)),"")</f>
        <v/>
      </c>
      <c r="DA17" s="292" t="str">
        <f>IFERROR(IF(OR($B17="",DA$3=""),"",IF(NOT(ISNUMBER(_xll.ciqfunctions.udf.CIQ($B17, "IQ_NI_MARGIN", DA$3, $I$3, $N$3, , $J$3, $K$3))),"",_xll.ciqfunctions.udf.CIQ($B17, "IQ_NI_MARGIN", DA$3, $I$3, $N$3, , $J$3, $K$3)/100)),"")</f>
        <v/>
      </c>
      <c r="DB17" s="292" t="str">
        <f>IFERROR(IF(OR($B17="",DB$3=""),"",IF(NOT(ISNUMBER(_xll.ciqfunctions.udf.CIQ($B17, "IQ_NI_MARGIN", DB$3, $I$3, $N$3, , $J$3, $K$3))),"",_xll.ciqfunctions.udf.CIQ($B17, "IQ_NI_MARGIN", DB$3, $I$3, $N$3, , $J$3, $K$3)/100)),"")</f>
        <v/>
      </c>
      <c r="DC17" s="292" t="str">
        <f>IFERROR(IF(OR($B17="",DC$3=""),"",IF(NOT(ISNUMBER(_xll.ciqfunctions.udf.CIQ($B17, "IQ_NI_MARGIN", DC$3, $I$3, $N$3, , $J$3, $K$3))),"",_xll.ciqfunctions.udf.CIQ($B17, "IQ_NI_MARGIN", DC$3, $I$3, $N$3, , $J$3, $K$3)/100)),"")</f>
        <v/>
      </c>
      <c r="DD17" s="292" t="str">
        <f>IFERROR(IF(OR($B17="",DD$3=""),"",IF(NOT(ISNUMBER(_xll.ciqfunctions.udf.CIQ($B17, "IQ_NI_MARGIN", DD$3, $I$3, $N$3, , $J$3, $K$3))),"",_xll.ciqfunctions.udf.CIQ($B17, "IQ_NI_MARGIN", DD$3, $I$3, $N$3, , $J$3, $K$3)/100)),"")</f>
        <v/>
      </c>
      <c r="DE17" s="292" t="str">
        <f>IFERROR(IF(OR($B17="",DE$3=""),"",IF(NOT(ISNUMBER(_xll.ciqfunctions.udf.CIQ($B17, "IQ_NI_MARGIN", DE$3, $I$3, $N$3, , $J$3, $K$3))),"",_xll.ciqfunctions.udf.CIQ($B17, "IQ_NI_MARGIN", DE$3, $I$3, $N$3, , $J$3, $K$3)/100)),"")</f>
        <v/>
      </c>
      <c r="DF17" s="292" t="str">
        <f>IFERROR(IF(OR($B17="",DF$3=""),"",IF(NOT(ISNUMBER(_xll.ciqfunctions.udf.CIQ($B17, "IQ_NI_MARGIN", DF$3, $I$3, $N$3, , $J$3, $K$3))),"",_xll.ciqfunctions.udf.CIQ($B17, "IQ_NI_MARGIN", DF$3, $I$3, $N$3, , $J$3, $K$3)/100)),"")</f>
        <v/>
      </c>
      <c r="DG17" s="292" t="str">
        <f>IFERROR(IF(OR($B17="",DG$3=""),"",IF(NOT(ISNUMBER(_xll.ciqfunctions.udf.CIQ($B17, "IQ_NI_MARGIN", DG$3, $I$3, $N$3, , $J$3, $K$3))),"",_xll.ciqfunctions.udf.CIQ($B17, "IQ_NI_MARGIN", DG$3, $I$3, $N$3, , $J$3, $K$3)/100)),"")</f>
        <v/>
      </c>
      <c r="DH17" s="293" t="str">
        <f>IFERROR(IF(OR($B17="",DH$3=""),"",IF(NOT(ISNUMBER(_xll.ciqfunctions.udf.CIQ($B17, "IQ_NI_MARGIN", DH$3, $I$3, $N$3, , $J$3, $K$3))),"",_xll.ciqfunctions.udf.CIQ($B17, "IQ_NI_MARGIN", DH$3, $I$3, $N$3, , $J$3, $K$3)/100)),"")</f>
        <v/>
      </c>
      <c r="DI17" s="294" t="str">
        <f>IFERROR(IF(OR($B17="",DI$3=""),"",IF(OR(NOT(ISNUMBER(_xll.ciqfunctions.udf.CIQ($B17, "IQ_COGS", DI$3, $I$3, $N$3, , $J$3, $K$3))),NOT(ISNUMBER(_xll.ciqfunctions.udf.CIQ($B17, "IQ_TOTAL_REVENUE", DI$3, $I$3, $N$3, , $J$3, $K$3)))),"",_xll.ciqfunctions.udf.CIQ($B17, "IQ_COGS", DI$3, $I$3, $N$3, , $J$3, $K$3)/_xll.ciqfunctions.udf.CIQ($B17, "IQ_TOTAL_REVENUE", DI$3, $I$3, $N$3, , $J$3, $K$3))),"")</f>
        <v/>
      </c>
      <c r="DJ17" s="292" t="str">
        <f>IFERROR(IF(OR($B17="",DJ$3=""),"",IF(OR(NOT(ISNUMBER(_xll.ciqfunctions.udf.CIQ($B17, "IQ_COGS", DJ$3, $I$3, $N$3, , $J$3, $K$3))),NOT(ISNUMBER(_xll.ciqfunctions.udf.CIQ($B17, "IQ_TOTAL_REVENUE", DJ$3, $I$3, $N$3, , $J$3, $K$3)))),"",_xll.ciqfunctions.udf.CIQ($B17, "IQ_COGS", DJ$3, $I$3, $N$3, , $J$3, $K$3)/_xll.ciqfunctions.udf.CIQ($B17, "IQ_TOTAL_REVENUE", DJ$3, $I$3, $N$3, , $J$3, $K$3))),"")</f>
        <v/>
      </c>
      <c r="DK17" s="292" t="str">
        <f>IFERROR(IF(OR($B17="",DK$3=""),"",IF(OR(NOT(ISNUMBER(_xll.ciqfunctions.udf.CIQ($B17, "IQ_COGS", DK$3, $I$3, $N$3, , $J$3, $K$3))),NOT(ISNUMBER(_xll.ciqfunctions.udf.CIQ($B17, "IQ_TOTAL_REVENUE", DK$3, $I$3, $N$3, , $J$3, $K$3)))),"",_xll.ciqfunctions.udf.CIQ($B17, "IQ_COGS", DK$3, $I$3, $N$3, , $J$3, $K$3)/_xll.ciqfunctions.udf.CIQ($B17, "IQ_TOTAL_REVENUE", DK$3, $I$3, $N$3, , $J$3, $K$3))),"")</f>
        <v/>
      </c>
      <c r="DL17" s="292" t="str">
        <f>IFERROR(IF(OR($B17="",DL$3=""),"",IF(OR(NOT(ISNUMBER(_xll.ciqfunctions.udf.CIQ($B17, "IQ_COGS", DL$3, $I$3, $N$3, , $J$3, $K$3))),NOT(ISNUMBER(_xll.ciqfunctions.udf.CIQ($B17, "IQ_TOTAL_REVENUE", DL$3, $I$3, $N$3, , $J$3, $K$3)))),"",_xll.ciqfunctions.udf.CIQ($B17, "IQ_COGS", DL$3, $I$3, $N$3, , $J$3, $K$3)/_xll.ciqfunctions.udf.CIQ($B17, "IQ_TOTAL_REVENUE", DL$3, $I$3, $N$3, , $J$3, $K$3))),"")</f>
        <v/>
      </c>
      <c r="DM17" s="292" t="str">
        <f>IFERROR(IF(OR($B17="",DM$3=""),"",IF(OR(NOT(ISNUMBER(_xll.ciqfunctions.udf.CIQ($B17, "IQ_COGS", DM$3, $I$3, $N$3, , $J$3, $K$3))),NOT(ISNUMBER(_xll.ciqfunctions.udf.CIQ($B17, "IQ_TOTAL_REVENUE", DM$3, $I$3, $N$3, , $J$3, $K$3)))),"",_xll.ciqfunctions.udf.CIQ($B17, "IQ_COGS", DM$3, $I$3, $N$3, , $J$3, $K$3)/_xll.ciqfunctions.udf.CIQ($B17, "IQ_TOTAL_REVENUE", DM$3, $I$3, $N$3, , $J$3, $K$3))),"")</f>
        <v/>
      </c>
      <c r="DN17" s="292" t="str">
        <f>IFERROR(IF(OR($B17="",DN$3=""),"",IF(OR(NOT(ISNUMBER(_xll.ciqfunctions.udf.CIQ($B17, "IQ_COGS", DN$3, $I$3, $N$3, , $J$3, $K$3))),NOT(ISNUMBER(_xll.ciqfunctions.udf.CIQ($B17, "IQ_TOTAL_REVENUE", DN$3, $I$3, $N$3, , $J$3, $K$3)))),"",_xll.ciqfunctions.udf.CIQ($B17, "IQ_COGS", DN$3, $I$3, $N$3, , $J$3, $K$3)/_xll.ciqfunctions.udf.CIQ($B17, "IQ_TOTAL_REVENUE", DN$3, $I$3, $N$3, , $J$3, $K$3))),"")</f>
        <v/>
      </c>
      <c r="DO17" s="292" t="str">
        <f>IFERROR(IF(OR($B17="",DO$3=""),"",IF(OR(NOT(ISNUMBER(_xll.ciqfunctions.udf.CIQ($B17, "IQ_COGS", DO$3, $I$3, $N$3, , $J$3, $K$3))),NOT(ISNUMBER(_xll.ciqfunctions.udf.CIQ($B17, "IQ_TOTAL_REVENUE", DO$3, $I$3, $N$3, , $J$3, $K$3)))),"",_xll.ciqfunctions.udf.CIQ($B17, "IQ_COGS", DO$3, $I$3, $N$3, , $J$3, $K$3)/_xll.ciqfunctions.udf.CIQ($B17, "IQ_TOTAL_REVENUE", DO$3, $I$3, $N$3, , $J$3, $K$3))),"")</f>
        <v/>
      </c>
      <c r="DP17" s="292" t="str">
        <f>IFERROR(IF(OR($B17="",DP$3=""),"",IF(OR(NOT(ISNUMBER(_xll.ciqfunctions.udf.CIQ($B17, "IQ_COGS", DP$3, $I$3, $N$3, , $J$3, $K$3))),NOT(ISNUMBER(_xll.ciqfunctions.udf.CIQ($B17, "IQ_TOTAL_REVENUE", DP$3, $I$3, $N$3, , $J$3, $K$3)))),"",_xll.ciqfunctions.udf.CIQ($B17, "IQ_COGS", DP$3, $I$3, $N$3, , $J$3, $K$3)/_xll.ciqfunctions.udf.CIQ($B17, "IQ_TOTAL_REVENUE", DP$3, $I$3, $N$3, , $J$3, $K$3))),"")</f>
        <v/>
      </c>
      <c r="DQ17" s="292" t="str">
        <f>IFERROR(IF(OR($B17="",DQ$3=""),"",IF(OR(NOT(ISNUMBER(_xll.ciqfunctions.udf.CIQ($B17, "IQ_COGS", DQ$3, $I$3, $N$3, , $J$3, $K$3))),NOT(ISNUMBER(_xll.ciqfunctions.udf.CIQ($B17, "IQ_TOTAL_REVENUE", DQ$3, $I$3, $N$3, , $J$3, $K$3)))),"",_xll.ciqfunctions.udf.CIQ($B17, "IQ_COGS", DQ$3, $I$3, $N$3, , $J$3, $K$3)/_xll.ciqfunctions.udf.CIQ($B17, "IQ_TOTAL_REVENUE", DQ$3, $I$3, $N$3, , $J$3, $K$3))),"")</f>
        <v/>
      </c>
      <c r="DR17" s="292" t="str">
        <f>IFERROR(IF(OR($B17="",DR$3=""),"",IF(OR(NOT(ISNUMBER(_xll.ciqfunctions.udf.CIQ($B17, "IQ_COGS", DR$3, $I$3, $N$3, , $J$3, $K$3))),NOT(ISNUMBER(_xll.ciqfunctions.udf.CIQ($B17, "IQ_TOTAL_REVENUE", DR$3, $I$3, $N$3, , $J$3, $K$3)))),"",_xll.ciqfunctions.udf.CIQ($B17, "IQ_COGS", DR$3, $I$3, $N$3, , $J$3, $K$3)/_xll.ciqfunctions.udf.CIQ($B17, "IQ_TOTAL_REVENUE", DR$3, $I$3, $N$3, , $J$3, $K$3))),"")</f>
        <v/>
      </c>
      <c r="DS17" s="292" t="str">
        <f>IFERROR(IF(OR($B17="",DS$3=""),"",IF(OR(NOT(ISNUMBER(_xll.ciqfunctions.udf.CIQ($B17, "IQ_COGS", DS$3, $I$3, $N$3, , $J$3, $K$3))),NOT(ISNUMBER(_xll.ciqfunctions.udf.CIQ($B17, "IQ_TOTAL_REVENUE", DS$3, $I$3, $N$3, , $J$3, $K$3)))),"",_xll.ciqfunctions.udf.CIQ($B17, "IQ_COGS", DS$3, $I$3, $N$3, , $J$3, $K$3)/_xll.ciqfunctions.udf.CIQ($B17, "IQ_TOTAL_REVENUE", DS$3, $I$3, $N$3, , $J$3, $K$3))),"")</f>
        <v/>
      </c>
      <c r="DT17" s="292" t="str">
        <f>IFERROR(IF(OR($B17="",DT$3=""),"",IF(OR(NOT(ISNUMBER(_xll.ciqfunctions.udf.CIQ($B17, "IQ_COGS", DT$3, $I$3, $N$3, , $J$3, $K$3))),NOT(ISNUMBER(_xll.ciqfunctions.udf.CIQ($B17, "IQ_TOTAL_REVENUE", DT$3, $I$3, $N$3, , $J$3, $K$3)))),"",_xll.ciqfunctions.udf.CIQ($B17, "IQ_COGS", DT$3, $I$3, $N$3, , $J$3, $K$3)/_xll.ciqfunctions.udf.CIQ($B17, "IQ_TOTAL_REVENUE", DT$3, $I$3, $N$3, , $J$3, $K$3))),"")</f>
        <v/>
      </c>
      <c r="DU17" s="292" t="str">
        <f>IFERROR(IF(OR($B17="",DU$3=""),"",IF(OR(NOT(ISNUMBER(_xll.ciqfunctions.udf.CIQ($B17, "IQ_COGS", DU$3, $I$3, $N$3, , $J$3, $K$3))),NOT(ISNUMBER(_xll.ciqfunctions.udf.CIQ($B17, "IQ_TOTAL_REVENUE", DU$3, $I$3, $N$3, , $J$3, $K$3)))),"",_xll.ciqfunctions.udf.CIQ($B17, "IQ_COGS", DU$3, $I$3, $N$3, , $J$3, $K$3)/_xll.ciqfunctions.udf.CIQ($B17, "IQ_TOTAL_REVENUE", DU$3, $I$3, $N$3, , $J$3, $K$3))),"")</f>
        <v/>
      </c>
      <c r="DV17" s="292" t="str">
        <f>IFERROR(IF(OR($B17="",DV$3=""),"",IF(OR(NOT(ISNUMBER(_xll.ciqfunctions.udf.CIQ($B17, "IQ_COGS", DV$3, $I$3, $N$3, , $J$3, $K$3))),NOT(ISNUMBER(_xll.ciqfunctions.udf.CIQ($B17, "IQ_TOTAL_REVENUE", DV$3, $I$3, $N$3, , $J$3, $K$3)))),"",_xll.ciqfunctions.udf.CIQ($B17, "IQ_COGS", DV$3, $I$3, $N$3, , $J$3, $K$3)/_xll.ciqfunctions.udf.CIQ($B17, "IQ_TOTAL_REVENUE", DV$3, $I$3, $N$3, , $J$3, $K$3))),"")</f>
        <v/>
      </c>
      <c r="DW17" s="292" t="str">
        <f>IFERROR(IF(OR($B17="",DW$3=""),"",IF(OR(NOT(ISNUMBER(_xll.ciqfunctions.udf.CIQ($B17, "IQ_COGS", DW$3, $I$3, $N$3, , $J$3, $K$3))),NOT(ISNUMBER(_xll.ciqfunctions.udf.CIQ($B17, "IQ_TOTAL_REVENUE", DW$3, $I$3, $N$3, , $J$3, $K$3)))),"",_xll.ciqfunctions.udf.CIQ($B17, "IQ_COGS", DW$3, $I$3, $N$3, , $J$3, $K$3)/_xll.ciqfunctions.udf.CIQ($B17, "IQ_TOTAL_REVENUE", DW$3, $I$3, $N$3, , $J$3, $K$3))),"")</f>
        <v/>
      </c>
      <c r="DX17" s="292" t="str">
        <f>IFERROR(IF(OR($B17="",DX$3=""),"",IF(OR(NOT(ISNUMBER(_xll.ciqfunctions.udf.CIQ($B17, "IQ_COGS", DX$3, $I$3, $N$3, , $J$3, $K$3))),NOT(ISNUMBER(_xll.ciqfunctions.udf.CIQ($B17, "IQ_TOTAL_REVENUE", DX$3, $I$3, $N$3, , $J$3, $K$3)))),"",_xll.ciqfunctions.udf.CIQ($B17, "IQ_COGS", DX$3, $I$3, $N$3, , $J$3, $K$3)/_xll.ciqfunctions.udf.CIQ($B17, "IQ_TOTAL_REVENUE", DX$3, $I$3, $N$3, , $J$3, $K$3))),"")</f>
        <v/>
      </c>
      <c r="DY17" s="292" t="str">
        <f>IFERROR(IF(OR($B17="",DY$3=""),"",IF(OR(NOT(ISNUMBER(_xll.ciqfunctions.udf.CIQ($B17, "IQ_COGS", DY$3, $I$3, $N$3, , $J$3, $K$3))),NOT(ISNUMBER(_xll.ciqfunctions.udf.CIQ($B17, "IQ_TOTAL_REVENUE", DY$3, $I$3, $N$3, , $J$3, $K$3)))),"",_xll.ciqfunctions.udf.CIQ($B17, "IQ_COGS", DY$3, $I$3, $N$3, , $J$3, $K$3)/_xll.ciqfunctions.udf.CIQ($B17, "IQ_TOTAL_REVENUE", DY$3, $I$3, $N$3, , $J$3, $K$3))),"")</f>
        <v/>
      </c>
      <c r="DZ17" s="292" t="str">
        <f>IFERROR(IF(OR($B17="",DZ$3=""),"",IF(OR(NOT(ISNUMBER(_xll.ciqfunctions.udf.CIQ($B17, "IQ_COGS", DZ$3, $I$3, $N$3, , $J$3, $K$3))),NOT(ISNUMBER(_xll.ciqfunctions.udf.CIQ($B17, "IQ_TOTAL_REVENUE", DZ$3, $I$3, $N$3, , $J$3, $K$3)))),"",_xll.ciqfunctions.udf.CIQ($B17, "IQ_COGS", DZ$3, $I$3, $N$3, , $J$3, $K$3)/_xll.ciqfunctions.udf.CIQ($B17, "IQ_TOTAL_REVENUE", DZ$3, $I$3, $N$3, , $J$3, $K$3))),"")</f>
        <v/>
      </c>
      <c r="EA17" s="292" t="str">
        <f>IFERROR(IF(OR($B17="",EA$3=""),"",IF(OR(NOT(ISNUMBER(_xll.ciqfunctions.udf.CIQ($B17, "IQ_COGS", EA$3, $I$3, $N$3, , $J$3, $K$3))),NOT(ISNUMBER(_xll.ciqfunctions.udf.CIQ($B17, "IQ_TOTAL_REVENUE", EA$3, $I$3, $N$3, , $J$3, $K$3)))),"",_xll.ciqfunctions.udf.CIQ($B17, "IQ_COGS", EA$3, $I$3, $N$3, , $J$3, $K$3)/_xll.ciqfunctions.udf.CIQ($B17, "IQ_TOTAL_REVENUE", EA$3, $I$3, $N$3, , $J$3, $K$3))),"")</f>
        <v/>
      </c>
      <c r="EB17" s="293" t="str">
        <f>IFERROR(IF(OR($B17="",EB$3=""),"",IF(OR(NOT(ISNUMBER(_xll.ciqfunctions.udf.CIQ($B17, "IQ_COGS", EB$3, $I$3, $N$3, , $J$3, $K$3))),NOT(ISNUMBER(_xll.ciqfunctions.udf.CIQ($B17, "IQ_TOTAL_REVENUE", EB$3, $I$3, $N$3, , $J$3, $K$3)))),"",_xll.ciqfunctions.udf.CIQ($B17, "IQ_COGS", EB$3, $I$3, $N$3, , $J$3, $K$3)/_xll.ciqfunctions.udf.CIQ($B17, "IQ_TOTAL_REVENUE", EB$3, $I$3, $N$3, , $J$3, $K$3))),"")</f>
        <v/>
      </c>
      <c r="EC17" s="294" t="str">
        <f>IFERROR(IF(OR($B17="",EC$3=""),"",(_xll.ciqfunctions.udf.CIQ($B17,"IQ_TOTAL_REVENUE",EC$3, $I$3, $N$3, , $J$3, $K$3)-_xll.ciqfunctions.udf.CIQ($B17,"IQ_COGS",EC$3, $I$3, $N$3, , $J$3, $K$3)-_xll.ciqfunctions.udf.CIQ($B17,"IQ_EBITDA",EC$3, $I$3, $N$3, , $J$3, $K$3))/_xll.ciqfunctions.udf.CIQ($B17,"IQ_TOTAL_REVENUE",EC$3, $I$3, $N$3, , $J$3, $K$3)),"")</f>
        <v/>
      </c>
      <c r="ED17" s="292" t="str">
        <f>IFERROR(IF(OR($B17="",ED$3=""),"",(_xll.ciqfunctions.udf.CIQ($B17,"IQ_TOTAL_REVENUE",ED$3, $I$3, $N$3, , $J$3, $K$3)-_xll.ciqfunctions.udf.CIQ($B17,"IQ_COGS",ED$3, $I$3, $N$3, , $J$3, $K$3)-_xll.ciqfunctions.udf.CIQ($B17,"IQ_EBITDA",ED$3, $I$3, $N$3, , $J$3, $K$3))/_xll.ciqfunctions.udf.CIQ($B17,"IQ_TOTAL_REVENUE",ED$3, $I$3, $N$3, , $J$3, $K$3)),"")</f>
        <v/>
      </c>
      <c r="EE17" s="292" t="str">
        <f>IFERROR(IF(OR($B17="",EE$3=""),"",(_xll.ciqfunctions.udf.CIQ($B17,"IQ_TOTAL_REVENUE",EE$3, $I$3, $N$3, , $J$3, $K$3)-_xll.ciqfunctions.udf.CIQ($B17,"IQ_COGS",EE$3, $I$3, $N$3, , $J$3, $K$3)-_xll.ciqfunctions.udf.CIQ($B17,"IQ_EBITDA",EE$3, $I$3, $N$3, , $J$3, $K$3))/_xll.ciqfunctions.udf.CIQ($B17,"IQ_TOTAL_REVENUE",EE$3, $I$3, $N$3, , $J$3, $K$3)),"")</f>
        <v/>
      </c>
      <c r="EF17" s="292" t="str">
        <f>IFERROR(IF(OR($B17="",EF$3=""),"",(_xll.ciqfunctions.udf.CIQ($B17,"IQ_TOTAL_REVENUE",EF$3, $I$3, $N$3, , $J$3, $K$3)-_xll.ciqfunctions.udf.CIQ($B17,"IQ_COGS",EF$3, $I$3, $N$3, , $J$3, $K$3)-_xll.ciqfunctions.udf.CIQ($B17,"IQ_EBITDA",EF$3, $I$3, $N$3, , $J$3, $K$3))/_xll.ciqfunctions.udf.CIQ($B17,"IQ_TOTAL_REVENUE",EF$3, $I$3, $N$3, , $J$3, $K$3)),"")</f>
        <v/>
      </c>
      <c r="EG17" s="292" t="str">
        <f>IFERROR(IF(OR($B17="",EG$3=""),"",(_xll.ciqfunctions.udf.CIQ($B17,"IQ_TOTAL_REVENUE",EG$3, $I$3, $N$3, , $J$3, $K$3)-_xll.ciqfunctions.udf.CIQ($B17,"IQ_COGS",EG$3, $I$3, $N$3, , $J$3, $K$3)-_xll.ciqfunctions.udf.CIQ($B17,"IQ_EBITDA",EG$3, $I$3, $N$3, , $J$3, $K$3))/_xll.ciqfunctions.udf.CIQ($B17,"IQ_TOTAL_REVENUE",EG$3, $I$3, $N$3, , $J$3, $K$3)),"")</f>
        <v/>
      </c>
      <c r="EH17" s="292" t="str">
        <f>IFERROR(IF(OR($B17="",EH$3=""),"",(_xll.ciqfunctions.udf.CIQ($B17,"IQ_TOTAL_REVENUE",EH$3, $I$3, $N$3, , $J$3, $K$3)-_xll.ciqfunctions.udf.CIQ($B17,"IQ_COGS",EH$3, $I$3, $N$3, , $J$3, $K$3)-_xll.ciqfunctions.udf.CIQ($B17,"IQ_EBITDA",EH$3, $I$3, $N$3, , $J$3, $K$3))/_xll.ciqfunctions.udf.CIQ($B17,"IQ_TOTAL_REVENUE",EH$3, $I$3, $N$3, , $J$3, $K$3)),"")</f>
        <v/>
      </c>
      <c r="EI17" s="292" t="str">
        <f>IFERROR(IF(OR($B17="",EI$3=""),"",(_xll.ciqfunctions.udf.CIQ($B17,"IQ_TOTAL_REVENUE",EI$3, $I$3, $N$3, , $J$3, $K$3)-_xll.ciqfunctions.udf.CIQ($B17,"IQ_COGS",EI$3, $I$3, $N$3, , $J$3, $K$3)-_xll.ciqfunctions.udf.CIQ($B17,"IQ_EBITDA",EI$3, $I$3, $N$3, , $J$3, $K$3))/_xll.ciqfunctions.udf.CIQ($B17,"IQ_TOTAL_REVENUE",EI$3, $I$3, $N$3, , $J$3, $K$3)),"")</f>
        <v/>
      </c>
      <c r="EJ17" s="292" t="str">
        <f>IFERROR(IF(OR($B17="",EJ$3=""),"",(_xll.ciqfunctions.udf.CIQ($B17,"IQ_TOTAL_REVENUE",EJ$3, $I$3, $N$3, , $J$3, $K$3)-_xll.ciqfunctions.udf.CIQ($B17,"IQ_COGS",EJ$3, $I$3, $N$3, , $J$3, $K$3)-_xll.ciqfunctions.udf.CIQ($B17,"IQ_EBITDA",EJ$3, $I$3, $N$3, , $J$3, $K$3))/_xll.ciqfunctions.udf.CIQ($B17,"IQ_TOTAL_REVENUE",EJ$3, $I$3, $N$3, , $J$3, $K$3)),"")</f>
        <v/>
      </c>
      <c r="EK17" s="292" t="str">
        <f>IFERROR(IF(OR($B17="",EK$3=""),"",(_xll.ciqfunctions.udf.CIQ($B17,"IQ_TOTAL_REVENUE",EK$3, $I$3, $N$3, , $J$3, $K$3)-_xll.ciqfunctions.udf.CIQ($B17,"IQ_COGS",EK$3, $I$3, $N$3, , $J$3, $K$3)-_xll.ciqfunctions.udf.CIQ($B17,"IQ_EBITDA",EK$3, $I$3, $N$3, , $J$3, $K$3))/_xll.ciqfunctions.udf.CIQ($B17,"IQ_TOTAL_REVENUE",EK$3, $I$3, $N$3, , $J$3, $K$3)),"")</f>
        <v/>
      </c>
      <c r="EL17" s="292" t="str">
        <f>IFERROR(IF(OR($B17="",EL$3=""),"",(_xll.ciqfunctions.udf.CIQ($B17,"IQ_TOTAL_REVENUE",EL$3, $I$3, $N$3, , $J$3, $K$3)-_xll.ciqfunctions.udf.CIQ($B17,"IQ_COGS",EL$3, $I$3, $N$3, , $J$3, $K$3)-_xll.ciqfunctions.udf.CIQ($B17,"IQ_EBITDA",EL$3, $I$3, $N$3, , $J$3, $K$3))/_xll.ciqfunctions.udf.CIQ($B17,"IQ_TOTAL_REVENUE",EL$3, $I$3, $N$3, , $J$3, $K$3)),"")</f>
        <v/>
      </c>
      <c r="EM17" s="292" t="str">
        <f>IFERROR(IF(OR($B17="",EM$3=""),"",(_xll.ciqfunctions.udf.CIQ($B17,"IQ_TOTAL_REVENUE",EM$3, $I$3, $N$3, , $J$3, $K$3)-_xll.ciqfunctions.udf.CIQ($B17,"IQ_COGS",EM$3, $I$3, $N$3, , $J$3, $K$3)-_xll.ciqfunctions.udf.CIQ($B17,"IQ_EBITDA",EM$3, $I$3, $N$3, , $J$3, $K$3))/_xll.ciqfunctions.udf.CIQ($B17,"IQ_TOTAL_REVENUE",EM$3, $I$3, $N$3, , $J$3, $K$3)),"")</f>
        <v/>
      </c>
      <c r="EN17" s="292" t="str">
        <f>IFERROR(IF(OR($B17="",EN$3=""),"",(_xll.ciqfunctions.udf.CIQ($B17,"IQ_TOTAL_REVENUE",EN$3, $I$3, $N$3, , $J$3, $K$3)-_xll.ciqfunctions.udf.CIQ($B17,"IQ_COGS",EN$3, $I$3, $N$3, , $J$3, $K$3)-_xll.ciqfunctions.udf.CIQ($B17,"IQ_EBITDA",EN$3, $I$3, $N$3, , $J$3, $K$3))/_xll.ciqfunctions.udf.CIQ($B17,"IQ_TOTAL_REVENUE",EN$3, $I$3, $N$3, , $J$3, $K$3)),"")</f>
        <v/>
      </c>
      <c r="EO17" s="292" t="str">
        <f>IFERROR(IF(OR($B17="",EO$3=""),"",(_xll.ciqfunctions.udf.CIQ($B17,"IQ_TOTAL_REVENUE",EO$3, $I$3, $N$3, , $J$3, $K$3)-_xll.ciqfunctions.udf.CIQ($B17,"IQ_COGS",EO$3, $I$3, $N$3, , $J$3, $K$3)-_xll.ciqfunctions.udf.CIQ($B17,"IQ_EBITDA",EO$3, $I$3, $N$3, , $J$3, $K$3))/_xll.ciqfunctions.udf.CIQ($B17,"IQ_TOTAL_REVENUE",EO$3, $I$3, $N$3, , $J$3, $K$3)),"")</f>
        <v/>
      </c>
      <c r="EP17" s="292" t="str">
        <f>IFERROR(IF(OR($B17="",EP$3=""),"",(_xll.ciqfunctions.udf.CIQ($B17,"IQ_TOTAL_REVENUE",EP$3, $I$3, $N$3, , $J$3, $K$3)-_xll.ciqfunctions.udf.CIQ($B17,"IQ_COGS",EP$3, $I$3, $N$3, , $J$3, $K$3)-_xll.ciqfunctions.udf.CIQ($B17,"IQ_EBITDA",EP$3, $I$3, $N$3, , $J$3, $K$3))/_xll.ciqfunctions.udf.CIQ($B17,"IQ_TOTAL_REVENUE",EP$3, $I$3, $N$3, , $J$3, $K$3)),"")</f>
        <v/>
      </c>
      <c r="EQ17" s="292" t="str">
        <f>IFERROR(IF(OR($B17="",EQ$3=""),"",(_xll.ciqfunctions.udf.CIQ($B17,"IQ_TOTAL_REVENUE",EQ$3, $I$3, $N$3, , $J$3, $K$3)-_xll.ciqfunctions.udf.CIQ($B17,"IQ_COGS",EQ$3, $I$3, $N$3, , $J$3, $K$3)-_xll.ciqfunctions.udf.CIQ($B17,"IQ_EBITDA",EQ$3, $I$3, $N$3, , $J$3, $K$3))/_xll.ciqfunctions.udf.CIQ($B17,"IQ_TOTAL_REVENUE",EQ$3, $I$3, $N$3, , $J$3, $K$3)),"")</f>
        <v/>
      </c>
      <c r="ER17" s="292" t="str">
        <f>IFERROR(IF(OR($B17="",ER$3=""),"",(_xll.ciqfunctions.udf.CIQ($B17,"IQ_TOTAL_REVENUE",ER$3, $I$3, $N$3, , $J$3, $K$3)-_xll.ciqfunctions.udf.CIQ($B17,"IQ_COGS",ER$3, $I$3, $N$3, , $J$3, $K$3)-_xll.ciqfunctions.udf.CIQ($B17,"IQ_EBITDA",ER$3, $I$3, $N$3, , $J$3, $K$3))/_xll.ciqfunctions.udf.CIQ($B17,"IQ_TOTAL_REVENUE",ER$3, $I$3, $N$3, , $J$3, $K$3)),"")</f>
        <v/>
      </c>
      <c r="ES17" s="292" t="str">
        <f>IFERROR(IF(OR($B17="",ES$3=""),"",(_xll.ciqfunctions.udf.CIQ($B17,"IQ_TOTAL_REVENUE",ES$3, $I$3, $N$3, , $J$3, $K$3)-_xll.ciqfunctions.udf.CIQ($B17,"IQ_COGS",ES$3, $I$3, $N$3, , $J$3, $K$3)-_xll.ciqfunctions.udf.CIQ($B17,"IQ_EBITDA",ES$3, $I$3, $N$3, , $J$3, $K$3))/_xll.ciqfunctions.udf.CIQ($B17,"IQ_TOTAL_REVENUE",ES$3, $I$3, $N$3, , $J$3, $K$3)),"")</f>
        <v/>
      </c>
      <c r="ET17" s="292" t="str">
        <f>IFERROR(IF(OR($B17="",ET$3=""),"",(_xll.ciqfunctions.udf.CIQ($B17,"IQ_TOTAL_REVENUE",ET$3, $I$3, $N$3, , $J$3, $K$3)-_xll.ciqfunctions.udf.CIQ($B17,"IQ_COGS",ET$3, $I$3, $N$3, , $J$3, $K$3)-_xll.ciqfunctions.udf.CIQ($B17,"IQ_EBITDA",ET$3, $I$3, $N$3, , $J$3, $K$3))/_xll.ciqfunctions.udf.CIQ($B17,"IQ_TOTAL_REVENUE",ET$3, $I$3, $N$3, , $J$3, $K$3)),"")</f>
        <v/>
      </c>
      <c r="EU17" s="292" t="str">
        <f>IFERROR(IF(OR($B17="",EU$3=""),"",(_xll.ciqfunctions.udf.CIQ($B17,"IQ_TOTAL_REVENUE",EU$3, $I$3, $N$3, , $J$3, $K$3)-_xll.ciqfunctions.udf.CIQ($B17,"IQ_COGS",EU$3, $I$3, $N$3, , $J$3, $K$3)-_xll.ciqfunctions.udf.CIQ($B17,"IQ_EBITDA",EU$3, $I$3, $N$3, , $J$3, $K$3))/_xll.ciqfunctions.udf.CIQ($B17,"IQ_TOTAL_REVENUE",EU$3, $I$3, $N$3, , $J$3, $K$3)),"")</f>
        <v/>
      </c>
      <c r="EV17" s="293" t="str">
        <f>IFERROR(IF(OR($B17="",EV$3=""),"",(_xll.ciqfunctions.udf.CIQ($B17,"IQ_TOTAL_REVENUE",EV$3, $I$3, $N$3, , $J$3, $K$3)-_xll.ciqfunctions.udf.CIQ($B17,"IQ_COGS",EV$3, $I$3, $N$3, , $J$3, $K$3)-_xll.ciqfunctions.udf.CIQ($B17,"IQ_EBITDA",EV$3, $I$3, $N$3, , $J$3, $K$3))/_xll.ciqfunctions.udf.CIQ($B17,"IQ_TOTAL_REVENUE",EV$3, $I$3, $N$3, , $J$3, $K$3)),"")</f>
        <v/>
      </c>
      <c r="EW17" s="72" t="str">
        <f>IFERROR(IF(OR($B17="",EW$3=""),"",IF(AND($EW$4="No",_xll.ciqfunctions.udf.CIQ($B17, "IQ_SGA_MARGIN", EW$3, $I$3, $N$3, , $J$3, $K$3)&lt;=0),"",_xll.ciqfunctions.udf.CIQ($B17, "IQ_SGA_MARGIN", EW$3, $I$3, $N$3, , $J$3, $K$3)/100)),"")</f>
        <v/>
      </c>
      <c r="EX17" s="72" t="str">
        <f>IFERROR(IF(OR($B17="",EX$3=""),"",IF(AND($EW$4="No",_xll.ciqfunctions.udf.CIQ($B17, "IQ_SGA_MARGIN", EX$3, $I$3, $N$3, , $J$3, $K$3)&lt;=0),"",_xll.ciqfunctions.udf.CIQ($B17, "IQ_SGA_MARGIN", EX$3, $I$3, $N$3, , $J$3, $K$3)/100)),"")</f>
        <v/>
      </c>
      <c r="EY17" s="72" t="str">
        <f>IFERROR(IF(OR($B17="",EY$3=""),"",IF(AND($EW$4="No",_xll.ciqfunctions.udf.CIQ($B17, "IQ_SGA_MARGIN", EY$3, $I$3, $N$3, , $J$3, $K$3)&lt;=0),"",_xll.ciqfunctions.udf.CIQ($B17, "IQ_SGA_MARGIN", EY$3, $I$3, $N$3, , $J$3, $K$3)/100)),"")</f>
        <v/>
      </c>
      <c r="EZ17" s="72" t="str">
        <f>IFERROR(IF(OR($B17="",EZ$3=""),"",IF(AND($EW$4="No",_xll.ciqfunctions.udf.CIQ($B17, "IQ_SGA_MARGIN", EZ$3, $I$3, $N$3, , $J$3, $K$3)&lt;=0),"",_xll.ciqfunctions.udf.CIQ($B17, "IQ_SGA_MARGIN", EZ$3, $I$3, $N$3, , $J$3, $K$3)/100)),"")</f>
        <v/>
      </c>
      <c r="FA17" s="72" t="str">
        <f>IFERROR(IF(OR($B17="",FA$3=""),"",IF(AND($EW$4="No",_xll.ciqfunctions.udf.CIQ($B17, "IQ_SGA_MARGIN", FA$3, $I$3, $N$3, , $J$3, $K$3)&lt;=0),"",_xll.ciqfunctions.udf.CIQ($B17, "IQ_SGA_MARGIN", FA$3, $I$3, $N$3, , $J$3, $K$3)/100)),"")</f>
        <v/>
      </c>
      <c r="FB17" s="72" t="str">
        <f>IFERROR(IF(OR($B17="",FB$3=""),"",IF(AND($EW$4="No",_xll.ciqfunctions.udf.CIQ($B17, "IQ_SGA_MARGIN", FB$3, $I$3, $N$3, , $J$3, $K$3)&lt;=0),"",_xll.ciqfunctions.udf.CIQ($B17, "IQ_SGA_MARGIN", FB$3, $I$3, $N$3, , $J$3, $K$3)/100)),"")</f>
        <v/>
      </c>
      <c r="FC17" s="72" t="str">
        <f>IFERROR(IF(OR($B17="",FC$3=""),"",IF(AND($EW$4="No",_xll.ciqfunctions.udf.CIQ($B17, "IQ_SGA_MARGIN", FC$3, $I$3, $N$3, , $J$3, $K$3)&lt;=0),"",_xll.ciqfunctions.udf.CIQ($B17, "IQ_SGA_MARGIN", FC$3, $I$3, $N$3, , $J$3, $K$3)/100)),"")</f>
        <v/>
      </c>
      <c r="FD17" s="72" t="str">
        <f>IFERROR(IF(OR($B17="",FD$3=""),"",IF(AND($EW$4="No",_xll.ciqfunctions.udf.CIQ($B17, "IQ_SGA_MARGIN", FD$3, $I$3, $N$3, , $J$3, $K$3)&lt;=0),"",_xll.ciqfunctions.udf.CIQ($B17, "IQ_SGA_MARGIN", FD$3, $I$3, $N$3, , $J$3, $K$3)/100)),"")</f>
        <v/>
      </c>
      <c r="FE17" s="72" t="str">
        <f>IFERROR(IF(OR($B17="",FE$3=""),"",IF(AND($EW$4="No",_xll.ciqfunctions.udf.CIQ($B17, "IQ_SGA_MARGIN", FE$3, $I$3, $N$3, , $J$3, $K$3)&lt;=0),"",_xll.ciqfunctions.udf.CIQ($B17, "IQ_SGA_MARGIN", FE$3, $I$3, $N$3, , $J$3, $K$3)/100)),"")</f>
        <v/>
      </c>
      <c r="FF17" s="72" t="str">
        <f>IFERROR(IF(OR($B17="",FF$3=""),"",IF(AND($EW$4="No",_xll.ciqfunctions.udf.CIQ($B17, "IQ_SGA_MARGIN", FF$3, $I$3, $N$3, , $J$3, $K$3)&lt;=0),"",_xll.ciqfunctions.udf.CIQ($B17, "IQ_SGA_MARGIN", FF$3, $I$3, $N$3, , $J$3, $K$3)/100)),"")</f>
        <v/>
      </c>
      <c r="FG17" s="72" t="str">
        <f>IFERROR(IF(OR($B17="",FG$3=""),"",IF(AND($EW$4="No",_xll.ciqfunctions.udf.CIQ($B17, "IQ_SGA_MARGIN", FG$3, $I$3, $N$3, , $J$3, $K$3)&lt;=0),"",_xll.ciqfunctions.udf.CIQ($B17, "IQ_SGA_MARGIN", FG$3, $I$3, $N$3, , $J$3, $K$3)/100)),"")</f>
        <v/>
      </c>
      <c r="FH17" s="72" t="str">
        <f>IFERROR(IF(OR($B17="",FH$3=""),"",IF(AND($EW$4="No",_xll.ciqfunctions.udf.CIQ($B17, "IQ_SGA_MARGIN", FH$3, $I$3, $N$3, , $J$3, $K$3)&lt;=0),"",_xll.ciqfunctions.udf.CIQ($B17, "IQ_SGA_MARGIN", FH$3, $I$3, $N$3, , $J$3, $K$3)/100)),"")</f>
        <v/>
      </c>
      <c r="FI17" s="72" t="str">
        <f>IFERROR(IF(OR($B17="",FI$3=""),"",IF(AND($EW$4="No",_xll.ciqfunctions.udf.CIQ($B17, "IQ_SGA_MARGIN", FI$3, $I$3, $N$3, , $J$3, $K$3)&lt;=0),"",_xll.ciqfunctions.udf.CIQ($B17, "IQ_SGA_MARGIN", FI$3, $I$3, $N$3, , $J$3, $K$3)/100)),"")</f>
        <v/>
      </c>
      <c r="FJ17" s="72" t="str">
        <f>IFERROR(IF(OR($B17="",FJ$3=""),"",IF(AND($EW$4="No",_xll.ciqfunctions.udf.CIQ($B17, "IQ_SGA_MARGIN", FJ$3, $I$3, $N$3, , $J$3, $K$3)&lt;=0),"",_xll.ciqfunctions.udf.CIQ($B17, "IQ_SGA_MARGIN", FJ$3, $I$3, $N$3, , $J$3, $K$3)/100)),"")</f>
        <v/>
      </c>
      <c r="FK17" s="72" t="str">
        <f>IFERROR(IF(OR($B17="",FK$3=""),"",IF(AND($EW$4="No",_xll.ciqfunctions.udf.CIQ($B17, "IQ_SGA_MARGIN", FK$3, $I$3, $N$3, , $J$3, $K$3)&lt;=0),"",_xll.ciqfunctions.udf.CIQ($B17, "IQ_SGA_MARGIN", FK$3, $I$3, $N$3, , $J$3, $K$3)/100)),"")</f>
        <v/>
      </c>
      <c r="FL17" s="72" t="str">
        <f>IFERROR(IF(OR($B17="",FL$3=""),"",IF(AND($EW$4="No",_xll.ciqfunctions.udf.CIQ($B17, "IQ_SGA_MARGIN", FL$3, $I$3, $N$3, , $J$3, $K$3)&lt;=0),"",_xll.ciqfunctions.udf.CIQ($B17, "IQ_SGA_MARGIN", FL$3, $I$3, $N$3, , $J$3, $K$3)/100)),"")</f>
        <v/>
      </c>
      <c r="FM17" s="72" t="str">
        <f>IFERROR(IF(OR($B17="",FM$3=""),"",IF(AND($EW$4="No",_xll.ciqfunctions.udf.CIQ($B17, "IQ_SGA_MARGIN", FM$3, $I$3, $N$3, , $J$3, $K$3)&lt;=0),"",_xll.ciqfunctions.udf.CIQ($B17, "IQ_SGA_MARGIN", FM$3, $I$3, $N$3, , $J$3, $K$3)/100)),"")</f>
        <v/>
      </c>
      <c r="FN17" s="72" t="str">
        <f>IFERROR(IF(OR($B17="",FN$3=""),"",IF(AND($EW$4="No",_xll.ciqfunctions.udf.CIQ($B17, "IQ_SGA_MARGIN", FN$3, $I$3, $N$3, , $J$3, $K$3)&lt;=0),"",_xll.ciqfunctions.udf.CIQ($B17, "IQ_SGA_MARGIN", FN$3, $I$3, $N$3, , $J$3, $K$3)/100)),"")</f>
        <v/>
      </c>
      <c r="FO17" s="72" t="str">
        <f>IFERROR(IF(OR($B17="",FO$3=""),"",IF(AND($EW$4="No",_xll.ciqfunctions.udf.CIQ($B17, "IQ_SGA_MARGIN", FO$3, $I$3, $N$3, , $J$3, $K$3)&lt;=0),"",_xll.ciqfunctions.udf.CIQ($B17, "IQ_SGA_MARGIN", FO$3, $I$3, $N$3, , $J$3, $K$3)/100)),"")</f>
        <v/>
      </c>
      <c r="FP17" s="72" t="str">
        <f>IFERROR(IF(OR($B17="",FP$3=""),"",IF(AND($EW$4="No",_xll.ciqfunctions.udf.CIQ($B17, "IQ_SGA_MARGIN", FP$3, $I$3, $N$3, , $J$3, $K$3)&lt;=0),"",_xll.ciqfunctions.udf.CIQ($B17, "IQ_SGA_MARGIN", FP$3, $I$3, $N$3, , $J$3, $K$3)/100)),"")</f>
        <v/>
      </c>
      <c r="FQ17" s="294" t="str">
        <f>IFERROR(IF(OR($B17="",FQ$3=""),"",IF(AND($FQ$4="No",_xll.ciqfunctions.udf.CIQ($B17, "IQ_RD_EXP",FQ$3, $I$3, $N$3, , $J$3, $K$3)&lt;=0),"",_xll.ciqfunctions.udf.CIQ($B17, "IQ_RD_EXP",FQ$3, $I$3, $N$3, , $J$3, $K$3)/_xll.ciqfunctions.udf.CIQ($B17,"IQ_TOTAL_REV",FQ$3, $I$3, $N$3, , $J$3, $K$3))),"")</f>
        <v/>
      </c>
      <c r="FR17" s="292" t="str">
        <f>IFERROR(IF(OR($B17="",FR$3=""),"",IF(AND($FQ$4="No",_xll.ciqfunctions.udf.CIQ($B17, "IQ_RD_EXP",FR$3, $I$3, $N$3, , $J$3, $K$3)&lt;=0),"",_xll.ciqfunctions.udf.CIQ($B17, "IQ_RD_EXP",FR$3, $I$3, $N$3, , $J$3, $K$3)/_xll.ciqfunctions.udf.CIQ($B17,"IQ_TOTAL_REV",FR$3, $I$3, $N$3, , $J$3, $K$3))),"")</f>
        <v/>
      </c>
      <c r="FS17" s="292" t="str">
        <f>IFERROR(IF(OR($B17="",FS$3=""),"",IF(AND($FQ$4="No",_xll.ciqfunctions.udf.CIQ($B17, "IQ_RD_EXP",FS$3, $I$3, $N$3, , $J$3, $K$3)&lt;=0),"",_xll.ciqfunctions.udf.CIQ($B17, "IQ_RD_EXP",FS$3, $I$3, $N$3, , $J$3, $K$3)/_xll.ciqfunctions.udf.CIQ($B17,"IQ_TOTAL_REV",FS$3, $I$3, $N$3, , $J$3, $K$3))),"")</f>
        <v/>
      </c>
      <c r="FT17" s="292" t="str">
        <f>IFERROR(IF(OR($B17="",FT$3=""),"",IF(AND($FQ$4="No",_xll.ciqfunctions.udf.CIQ($B17, "IQ_RD_EXP",FT$3, $I$3, $N$3, , $J$3, $K$3)&lt;=0),"",_xll.ciqfunctions.udf.CIQ($B17, "IQ_RD_EXP",FT$3, $I$3, $N$3, , $J$3, $K$3)/_xll.ciqfunctions.udf.CIQ($B17,"IQ_TOTAL_REV",FT$3, $I$3, $N$3, , $J$3, $K$3))),"")</f>
        <v/>
      </c>
      <c r="FU17" s="292" t="str">
        <f>IFERROR(IF(OR($B17="",FU$3=""),"",IF(AND($FQ$4="No",_xll.ciqfunctions.udf.CIQ($B17, "IQ_RD_EXP",FU$3, $I$3, $N$3, , $J$3, $K$3)&lt;=0),"",_xll.ciqfunctions.udf.CIQ($B17, "IQ_RD_EXP",FU$3, $I$3, $N$3, , $J$3, $K$3)/_xll.ciqfunctions.udf.CIQ($B17,"IQ_TOTAL_REV",FU$3, $I$3, $N$3, , $J$3, $K$3))),"")</f>
        <v/>
      </c>
      <c r="FV17" s="292" t="str">
        <f>IFERROR(IF(OR($B17="",FV$3=""),"",IF(AND($FQ$4="No",_xll.ciqfunctions.udf.CIQ($B17, "IQ_RD_EXP",FV$3, $I$3, $N$3, , $J$3, $K$3)&lt;=0),"",_xll.ciqfunctions.udf.CIQ($B17, "IQ_RD_EXP",FV$3, $I$3, $N$3, , $J$3, $K$3)/_xll.ciqfunctions.udf.CIQ($B17,"IQ_TOTAL_REV",FV$3, $I$3, $N$3, , $J$3, $K$3))),"")</f>
        <v/>
      </c>
      <c r="FW17" s="292" t="str">
        <f>IFERROR(IF(OR($B17="",FW$3=""),"",IF(AND($FQ$4="No",_xll.ciqfunctions.udf.CIQ($B17, "IQ_RD_EXP",FW$3, $I$3, $N$3, , $J$3, $K$3)&lt;=0),"",_xll.ciqfunctions.udf.CIQ($B17, "IQ_RD_EXP",FW$3, $I$3, $N$3, , $J$3, $K$3)/_xll.ciqfunctions.udf.CIQ($B17,"IQ_TOTAL_REV",FW$3, $I$3, $N$3, , $J$3, $K$3))),"")</f>
        <v/>
      </c>
      <c r="FX17" s="292" t="str">
        <f>IFERROR(IF(OR($B17="",FX$3=""),"",IF(AND($FQ$4="No",_xll.ciqfunctions.udf.CIQ($B17, "IQ_RD_EXP",FX$3, $I$3, $N$3, , $J$3, $K$3)&lt;=0),"",_xll.ciqfunctions.udf.CIQ($B17, "IQ_RD_EXP",FX$3, $I$3, $N$3, , $J$3, $K$3)/_xll.ciqfunctions.udf.CIQ($B17,"IQ_TOTAL_REV",FX$3, $I$3, $N$3, , $J$3, $K$3))),"")</f>
        <v/>
      </c>
      <c r="FY17" s="292" t="str">
        <f>IFERROR(IF(OR($B17="",FY$3=""),"",IF(AND($FQ$4="No",_xll.ciqfunctions.udf.CIQ($B17, "IQ_RD_EXP",FY$3, $I$3, $N$3, , $J$3, $K$3)&lt;=0),"",_xll.ciqfunctions.udf.CIQ($B17, "IQ_RD_EXP",FY$3, $I$3, $N$3, , $J$3, $K$3)/_xll.ciqfunctions.udf.CIQ($B17,"IQ_TOTAL_REV",FY$3, $I$3, $N$3, , $J$3, $K$3))),"")</f>
        <v/>
      </c>
      <c r="FZ17" s="292" t="str">
        <f>IFERROR(IF(OR($B17="",FZ$3=""),"",IF(AND($FQ$4="No",_xll.ciqfunctions.udf.CIQ($B17, "IQ_RD_EXP",FZ$3, $I$3, $N$3, , $J$3, $K$3)&lt;=0),"",_xll.ciqfunctions.udf.CIQ($B17, "IQ_RD_EXP",FZ$3, $I$3, $N$3, , $J$3, $K$3)/_xll.ciqfunctions.udf.CIQ($B17,"IQ_TOTAL_REV",FZ$3, $I$3, $N$3, , $J$3, $K$3))),"")</f>
        <v/>
      </c>
      <c r="GA17" s="292" t="str">
        <f>IFERROR(IF(OR($B17="",GA$3=""),"",IF(AND($FQ$4="No",_xll.ciqfunctions.udf.CIQ($B17, "IQ_RD_EXP",GA$3, $I$3, $N$3, , $J$3, $K$3)&lt;=0),"",_xll.ciqfunctions.udf.CIQ($B17, "IQ_RD_EXP",GA$3, $I$3, $N$3, , $J$3, $K$3)/_xll.ciqfunctions.udf.CIQ($B17,"IQ_TOTAL_REV",GA$3, $I$3, $N$3, , $J$3, $K$3))),"")</f>
        <v/>
      </c>
      <c r="GB17" s="292" t="str">
        <f>IFERROR(IF(OR($B17="",GB$3=""),"",IF(AND($FQ$4="No",_xll.ciqfunctions.udf.CIQ($B17, "IQ_RD_EXP",GB$3, $I$3, $N$3, , $J$3, $K$3)&lt;=0),"",_xll.ciqfunctions.udf.CIQ($B17, "IQ_RD_EXP",GB$3, $I$3, $N$3, , $J$3, $K$3)/_xll.ciqfunctions.udf.CIQ($B17,"IQ_TOTAL_REV",GB$3, $I$3, $N$3, , $J$3, $K$3))),"")</f>
        <v/>
      </c>
      <c r="GC17" s="292" t="str">
        <f>IFERROR(IF(OR($B17="",GC$3=""),"",IF(AND($FQ$4="No",_xll.ciqfunctions.udf.CIQ($B17, "IQ_RD_EXP",GC$3, $I$3, $N$3, , $J$3, $K$3)&lt;=0),"",_xll.ciqfunctions.udf.CIQ($B17, "IQ_RD_EXP",GC$3, $I$3, $N$3, , $J$3, $K$3)/_xll.ciqfunctions.udf.CIQ($B17,"IQ_TOTAL_REV",GC$3, $I$3, $N$3, , $J$3, $K$3))),"")</f>
        <v/>
      </c>
      <c r="GD17" s="292" t="str">
        <f>IFERROR(IF(OR($B17="",GD$3=""),"",IF(AND($FQ$4="No",_xll.ciqfunctions.udf.CIQ($B17, "IQ_RD_EXP",GD$3, $I$3, $N$3, , $J$3, $K$3)&lt;=0),"",_xll.ciqfunctions.udf.CIQ($B17, "IQ_RD_EXP",GD$3, $I$3, $N$3, , $J$3, $K$3)/_xll.ciqfunctions.udf.CIQ($B17,"IQ_TOTAL_REV",GD$3, $I$3, $N$3, , $J$3, $K$3))),"")</f>
        <v/>
      </c>
      <c r="GE17" s="292" t="str">
        <f>IFERROR(IF(OR($B17="",GE$3=""),"",IF(AND($FQ$4="No",_xll.ciqfunctions.udf.CIQ($B17, "IQ_RD_EXP",GE$3, $I$3, $N$3, , $J$3, $K$3)&lt;=0),"",_xll.ciqfunctions.udf.CIQ($B17, "IQ_RD_EXP",GE$3, $I$3, $N$3, , $J$3, $K$3)/_xll.ciqfunctions.udf.CIQ($B17,"IQ_TOTAL_REV",GE$3, $I$3, $N$3, , $J$3, $K$3))),"")</f>
        <v/>
      </c>
      <c r="GF17" s="292" t="str">
        <f>IFERROR(IF(OR($B17="",GF$3=""),"",IF(AND($FQ$4="No",_xll.ciqfunctions.udf.CIQ($B17, "IQ_RD_EXP",GF$3, $I$3, $N$3, , $J$3, $K$3)&lt;=0),"",_xll.ciqfunctions.udf.CIQ($B17, "IQ_RD_EXP",GF$3, $I$3, $N$3, , $J$3, $K$3)/_xll.ciqfunctions.udf.CIQ($B17,"IQ_TOTAL_REV",GF$3, $I$3, $N$3, , $J$3, $K$3))),"")</f>
        <v/>
      </c>
      <c r="GG17" s="292" t="str">
        <f>IFERROR(IF(OR($B17="",GG$3=""),"",IF(AND($FQ$4="No",_xll.ciqfunctions.udf.CIQ($B17, "IQ_RD_EXP",GG$3, $I$3, $N$3, , $J$3, $K$3)&lt;=0),"",_xll.ciqfunctions.udf.CIQ($B17, "IQ_RD_EXP",GG$3, $I$3, $N$3, , $J$3, $K$3)/_xll.ciqfunctions.udf.CIQ($B17,"IQ_TOTAL_REV",GG$3, $I$3, $N$3, , $J$3, $K$3))),"")</f>
        <v/>
      </c>
      <c r="GH17" s="292" t="str">
        <f>IFERROR(IF(OR($B17="",GH$3=""),"",IF(AND($FQ$4="No",_xll.ciqfunctions.udf.CIQ($B17, "IQ_RD_EXP",GH$3, $I$3, $N$3, , $J$3, $K$3)&lt;=0),"",_xll.ciqfunctions.udf.CIQ($B17, "IQ_RD_EXP",GH$3, $I$3, $N$3, , $J$3, $K$3)/_xll.ciqfunctions.udf.CIQ($B17,"IQ_TOTAL_REV",GH$3, $I$3, $N$3, , $J$3, $K$3))),"")</f>
        <v/>
      </c>
      <c r="GI17" s="292" t="str">
        <f>IFERROR(IF(OR($B17="",GI$3=""),"",IF(AND($FQ$4="No",_xll.ciqfunctions.udf.CIQ($B17, "IQ_RD_EXP",GI$3, $I$3, $N$3, , $J$3, $K$3)&lt;=0),"",_xll.ciqfunctions.udf.CIQ($B17, "IQ_RD_EXP",GI$3, $I$3, $N$3, , $J$3, $K$3)/_xll.ciqfunctions.udf.CIQ($B17,"IQ_TOTAL_REV",GI$3, $I$3, $N$3, , $J$3, $K$3))),"")</f>
        <v/>
      </c>
      <c r="GJ17" s="293" t="str">
        <f>IFERROR(IF(OR($B17="",GJ$3=""),"",IF(AND($FQ$4="No",_xll.ciqfunctions.udf.CIQ($B17, "IQ_RD_EXP",GJ$3, $I$3, $N$3, , $J$3, $K$3)&lt;=0),"",_xll.ciqfunctions.udf.CIQ($B17, "IQ_RD_EXP",GJ$3, $I$3, $N$3, , $J$3, $K$3)/_xll.ciqfunctions.udf.CIQ($B17,"IQ_TOTAL_REV",GJ$3, $I$3, $N$3, , $J$3, $K$3))),"")</f>
        <v/>
      </c>
      <c r="GK17" s="295" t="str">
        <f>IFERROR(IF(OR($B17="",GK$3=""),"",IF(AND($GK$4="No",(_xll.ciqfunctions.udf.CIQ($B17,"IQ_AR",GK$3, $I$3, $N$3, , $J$3, $K$3)+_xll.ciqfunctions.udf.CIQ($B17,"IQ_AR","IQ_" &amp; LEFT(GK$3,2) &amp; "-1",GK$3, $N$3, , $J$3, $K$3))&lt;=0),"",$GK$2*0.5*(_xll.ciqfunctions.udf.CIQ($B17,"IQ_AR",GK$3, $I$3, $N$3, , $J$3, $K$3)+_xll.ciqfunctions.udf.CIQ($B17,"IQ_AR","IQ_" &amp; LEFT(GK$3,2) &amp; "-1",GK$3, $N$3, , $J$3, $K$3))/_xll.ciqfunctions.udf.CIQ($B17,"IQ_TOTAL_REVENUE",GK$3, $I$3, $N$3, , $J$3, $K$3))),"")</f>
        <v/>
      </c>
      <c r="GL17" s="296" t="str">
        <f>IFERROR(IF(OR($B17="",GL$3=""),"",IF(AND($GK$4="No",(_xll.ciqfunctions.udf.CIQ($B17,"IQ_AR",GL$3, $I$3, $N$3, , $J$3, $K$3)+_xll.ciqfunctions.udf.CIQ($B17,"IQ_AR","IQ_" &amp; LEFT(GL$3,2) &amp; "-1",GL$3, $N$3, , $J$3, $K$3))&lt;=0),"",$GK$2*0.5*(_xll.ciqfunctions.udf.CIQ($B17,"IQ_AR",GL$3, $I$3, $N$3, , $J$3, $K$3)+_xll.ciqfunctions.udf.CIQ($B17,"IQ_AR","IQ_" &amp; LEFT(GL$3,2) &amp; "-1",GL$3, $N$3, , $J$3, $K$3))/_xll.ciqfunctions.udf.CIQ($B17,"IQ_TOTAL_REVENUE",GL$3, $I$3, $N$3, , $J$3, $K$3))),"")</f>
        <v/>
      </c>
      <c r="GM17" s="296" t="str">
        <f>IFERROR(IF(OR($B17="",GM$3=""),"",IF(AND($GK$4="No",(_xll.ciqfunctions.udf.CIQ($B17,"IQ_AR",GM$3, $I$3, $N$3, , $J$3, $K$3)+_xll.ciqfunctions.udf.CIQ($B17,"IQ_AR","IQ_" &amp; LEFT(GM$3,2) &amp; "-1",GM$3, $N$3, , $J$3, $K$3))&lt;=0),"",$GK$2*0.5*(_xll.ciqfunctions.udf.CIQ($B17,"IQ_AR",GM$3, $I$3, $N$3, , $J$3, $K$3)+_xll.ciqfunctions.udf.CIQ($B17,"IQ_AR","IQ_" &amp; LEFT(GM$3,2) &amp; "-1",GM$3, $N$3, , $J$3, $K$3))/_xll.ciqfunctions.udf.CIQ($B17,"IQ_TOTAL_REVENUE",GM$3, $I$3, $N$3, , $J$3, $K$3))),"")</f>
        <v/>
      </c>
      <c r="GN17" s="296" t="str">
        <f>IFERROR(IF(OR($B17="",GN$3=""),"",IF(AND($GK$4="No",(_xll.ciqfunctions.udf.CIQ($B17,"IQ_AR",GN$3, $I$3, $N$3, , $J$3, $K$3)+_xll.ciqfunctions.udf.CIQ($B17,"IQ_AR","IQ_" &amp; LEFT(GN$3,2) &amp; "-1",GN$3, $N$3, , $J$3, $K$3))&lt;=0),"",$GK$2*0.5*(_xll.ciqfunctions.udf.CIQ($B17,"IQ_AR",GN$3, $I$3, $N$3, , $J$3, $K$3)+_xll.ciqfunctions.udf.CIQ($B17,"IQ_AR","IQ_" &amp; LEFT(GN$3,2) &amp; "-1",GN$3, $N$3, , $J$3, $K$3))/_xll.ciqfunctions.udf.CIQ($B17,"IQ_TOTAL_REVENUE",GN$3, $I$3, $N$3, , $J$3, $K$3))),"")</f>
        <v/>
      </c>
      <c r="GO17" s="296" t="str">
        <f>IFERROR(IF(OR($B17="",GO$3=""),"",IF(AND($GK$4="No",(_xll.ciqfunctions.udf.CIQ($B17,"IQ_AR",GO$3, $I$3, $N$3, , $J$3, $K$3)+_xll.ciqfunctions.udf.CIQ($B17,"IQ_AR","IQ_" &amp; LEFT(GO$3,2) &amp; "-1",GO$3, $N$3, , $J$3, $K$3))&lt;=0),"",$GK$2*0.5*(_xll.ciqfunctions.udf.CIQ($B17,"IQ_AR",GO$3, $I$3, $N$3, , $J$3, $K$3)+_xll.ciqfunctions.udf.CIQ($B17,"IQ_AR","IQ_" &amp; LEFT(GO$3,2) &amp; "-1",GO$3, $N$3, , $J$3, $K$3))/_xll.ciqfunctions.udf.CIQ($B17,"IQ_TOTAL_REVENUE",GO$3, $I$3, $N$3, , $J$3, $K$3))),"")</f>
        <v/>
      </c>
      <c r="GP17" s="296" t="str">
        <f>IFERROR(IF(OR($B17="",GP$3=""),"",IF(AND($GK$4="No",(_xll.ciqfunctions.udf.CIQ($B17,"IQ_AR",GP$3, $I$3, $N$3, , $J$3, $K$3)+_xll.ciqfunctions.udf.CIQ($B17,"IQ_AR","IQ_" &amp; LEFT(GP$3,2) &amp; "-1",GP$3, $N$3, , $J$3, $K$3))&lt;=0),"",$GK$2*0.5*(_xll.ciqfunctions.udf.CIQ($B17,"IQ_AR",GP$3, $I$3, $N$3, , $J$3, $K$3)+_xll.ciqfunctions.udf.CIQ($B17,"IQ_AR","IQ_" &amp; LEFT(GP$3,2) &amp; "-1",GP$3, $N$3, , $J$3, $K$3))/_xll.ciqfunctions.udf.CIQ($B17,"IQ_TOTAL_REVENUE",GP$3, $I$3, $N$3, , $J$3, $K$3))),"")</f>
        <v/>
      </c>
      <c r="GQ17" s="296" t="str">
        <f>IFERROR(IF(OR($B17="",GQ$3=""),"",IF(AND($GK$4="No",(_xll.ciqfunctions.udf.CIQ($B17,"IQ_AR",GQ$3, $I$3, $N$3, , $J$3, $K$3)+_xll.ciqfunctions.udf.CIQ($B17,"IQ_AR","IQ_" &amp; LEFT(GQ$3,2) &amp; "-1",GQ$3, $N$3, , $J$3, $K$3))&lt;=0),"",$GK$2*0.5*(_xll.ciqfunctions.udf.CIQ($B17,"IQ_AR",GQ$3, $I$3, $N$3, , $J$3, $K$3)+_xll.ciqfunctions.udf.CIQ($B17,"IQ_AR","IQ_" &amp; LEFT(GQ$3,2) &amp; "-1",GQ$3, $N$3, , $J$3, $K$3))/_xll.ciqfunctions.udf.CIQ($B17,"IQ_TOTAL_REVENUE",GQ$3, $I$3, $N$3, , $J$3, $K$3))),"")</f>
        <v/>
      </c>
      <c r="GR17" s="296" t="str">
        <f>IFERROR(IF(OR($B17="",GR$3=""),"",IF(AND($GK$4="No",(_xll.ciqfunctions.udf.CIQ($B17,"IQ_AR",GR$3, $I$3, $N$3, , $J$3, $K$3)+_xll.ciqfunctions.udf.CIQ($B17,"IQ_AR","IQ_" &amp; LEFT(GR$3,2) &amp; "-1",GR$3, $N$3, , $J$3, $K$3))&lt;=0),"",$GK$2*0.5*(_xll.ciqfunctions.udf.CIQ($B17,"IQ_AR",GR$3, $I$3, $N$3, , $J$3, $K$3)+_xll.ciqfunctions.udf.CIQ($B17,"IQ_AR","IQ_" &amp; LEFT(GR$3,2) &amp; "-1",GR$3, $N$3, , $J$3, $K$3))/_xll.ciqfunctions.udf.CIQ($B17,"IQ_TOTAL_REVENUE",GR$3, $I$3, $N$3, , $J$3, $K$3))),"")</f>
        <v/>
      </c>
      <c r="GS17" s="296" t="str">
        <f>IFERROR(IF(OR($B17="",GS$3=""),"",IF(AND($GK$4="No",(_xll.ciqfunctions.udf.CIQ($B17,"IQ_AR",GS$3, $I$3, $N$3, , $J$3, $K$3)+_xll.ciqfunctions.udf.CIQ($B17,"IQ_AR","IQ_" &amp; LEFT(GS$3,2) &amp; "-1",GS$3, $N$3, , $J$3, $K$3))&lt;=0),"",$GK$2*0.5*(_xll.ciqfunctions.udf.CIQ($B17,"IQ_AR",GS$3, $I$3, $N$3, , $J$3, $K$3)+_xll.ciqfunctions.udf.CIQ($B17,"IQ_AR","IQ_" &amp; LEFT(GS$3,2) &amp; "-1",GS$3, $N$3, , $J$3, $K$3))/_xll.ciqfunctions.udf.CIQ($B17,"IQ_TOTAL_REVENUE",GS$3, $I$3, $N$3, , $J$3, $K$3))),"")</f>
        <v/>
      </c>
      <c r="GT17" s="296" t="str">
        <f>IFERROR(IF(OR($B17="",GT$3=""),"",IF(AND($GK$4="No",(_xll.ciqfunctions.udf.CIQ($B17,"IQ_AR",GT$3, $I$3, $N$3, , $J$3, $K$3)+_xll.ciqfunctions.udf.CIQ($B17,"IQ_AR","IQ_" &amp; LEFT(GT$3,2) &amp; "-1",GT$3, $N$3, , $J$3, $K$3))&lt;=0),"",$GK$2*0.5*(_xll.ciqfunctions.udf.CIQ($B17,"IQ_AR",GT$3, $I$3, $N$3, , $J$3, $K$3)+_xll.ciqfunctions.udf.CIQ($B17,"IQ_AR","IQ_" &amp; LEFT(GT$3,2) &amp; "-1",GT$3, $N$3, , $J$3, $K$3))/_xll.ciqfunctions.udf.CIQ($B17,"IQ_TOTAL_REVENUE",GT$3, $I$3, $N$3, , $J$3, $K$3))),"")</f>
        <v/>
      </c>
      <c r="GU17" s="296" t="str">
        <f>IFERROR(IF(OR($B17="",GU$3=""),"",IF(AND($GK$4="No",(_xll.ciqfunctions.udf.CIQ($B17,"IQ_AR",GU$3, $I$3, $N$3, , $J$3, $K$3)+_xll.ciqfunctions.udf.CIQ($B17,"IQ_AR","IQ_" &amp; LEFT(GU$3,2) &amp; "-1",GU$3, $N$3, , $J$3, $K$3))&lt;=0),"",$GK$2*0.5*(_xll.ciqfunctions.udf.CIQ($B17,"IQ_AR",GU$3, $I$3, $N$3, , $J$3, $K$3)+_xll.ciqfunctions.udf.CIQ($B17,"IQ_AR","IQ_" &amp; LEFT(GU$3,2) &amp; "-1",GU$3, $N$3, , $J$3, $K$3))/_xll.ciqfunctions.udf.CIQ($B17,"IQ_TOTAL_REVENUE",GU$3, $I$3, $N$3, , $J$3, $K$3))),"")</f>
        <v/>
      </c>
      <c r="GV17" s="296" t="str">
        <f>IFERROR(IF(OR($B17="",GV$3=""),"",IF(AND($GK$4="No",(_xll.ciqfunctions.udf.CIQ($B17,"IQ_AR",GV$3, $I$3, $N$3, , $J$3, $K$3)+_xll.ciqfunctions.udf.CIQ($B17,"IQ_AR","IQ_" &amp; LEFT(GV$3,2) &amp; "-1",GV$3, $N$3, , $J$3, $K$3))&lt;=0),"",$GK$2*0.5*(_xll.ciqfunctions.udf.CIQ($B17,"IQ_AR",GV$3, $I$3, $N$3, , $J$3, $K$3)+_xll.ciqfunctions.udf.CIQ($B17,"IQ_AR","IQ_" &amp; LEFT(GV$3,2) &amp; "-1",GV$3, $N$3, , $J$3, $K$3))/_xll.ciqfunctions.udf.CIQ($B17,"IQ_TOTAL_REVENUE",GV$3, $I$3, $N$3, , $J$3, $K$3))),"")</f>
        <v/>
      </c>
      <c r="GW17" s="296" t="str">
        <f>IFERROR(IF(OR($B17="",GW$3=""),"",IF(AND($GK$4="No",(_xll.ciqfunctions.udf.CIQ($B17,"IQ_AR",GW$3, $I$3, $N$3, , $J$3, $K$3)+_xll.ciqfunctions.udf.CIQ($B17,"IQ_AR","IQ_" &amp; LEFT(GW$3,2) &amp; "-1",GW$3, $N$3, , $J$3, $K$3))&lt;=0),"",$GK$2*0.5*(_xll.ciqfunctions.udf.CIQ($B17,"IQ_AR",GW$3, $I$3, $N$3, , $J$3, $K$3)+_xll.ciqfunctions.udf.CIQ($B17,"IQ_AR","IQ_" &amp; LEFT(GW$3,2) &amp; "-1",GW$3, $N$3, , $J$3, $K$3))/_xll.ciqfunctions.udf.CIQ($B17,"IQ_TOTAL_REVENUE",GW$3, $I$3, $N$3, , $J$3, $K$3))),"")</f>
        <v/>
      </c>
      <c r="GX17" s="296" t="str">
        <f>IFERROR(IF(OR($B17="",GX$3=""),"",IF(AND($GK$4="No",(_xll.ciqfunctions.udf.CIQ($B17,"IQ_AR",GX$3, $I$3, $N$3, , $J$3, $K$3)+_xll.ciqfunctions.udf.CIQ($B17,"IQ_AR","IQ_" &amp; LEFT(GX$3,2) &amp; "-1",GX$3, $N$3, , $J$3, $K$3))&lt;=0),"",$GK$2*0.5*(_xll.ciqfunctions.udf.CIQ($B17,"IQ_AR",GX$3, $I$3, $N$3, , $J$3, $K$3)+_xll.ciqfunctions.udf.CIQ($B17,"IQ_AR","IQ_" &amp; LEFT(GX$3,2) &amp; "-1",GX$3, $N$3, , $J$3, $K$3))/_xll.ciqfunctions.udf.CIQ($B17,"IQ_TOTAL_REVENUE",GX$3, $I$3, $N$3, , $J$3, $K$3))),"")</f>
        <v/>
      </c>
      <c r="GY17" s="296" t="str">
        <f>IFERROR(IF(OR($B17="",GY$3=""),"",IF(AND($GK$4="No",(_xll.ciqfunctions.udf.CIQ($B17,"IQ_AR",GY$3, $I$3, $N$3, , $J$3, $K$3)+_xll.ciqfunctions.udf.CIQ($B17,"IQ_AR","IQ_" &amp; LEFT(GY$3,2) &amp; "-1",GY$3, $N$3, , $J$3, $K$3))&lt;=0),"",$GK$2*0.5*(_xll.ciqfunctions.udf.CIQ($B17,"IQ_AR",GY$3, $I$3, $N$3, , $J$3, $K$3)+_xll.ciqfunctions.udf.CIQ($B17,"IQ_AR","IQ_" &amp; LEFT(GY$3,2) &amp; "-1",GY$3, $N$3, , $J$3, $K$3))/_xll.ciqfunctions.udf.CIQ($B17,"IQ_TOTAL_REVENUE",GY$3, $I$3, $N$3, , $J$3, $K$3))),"")</f>
        <v/>
      </c>
      <c r="GZ17" s="296" t="str">
        <f>IFERROR(IF(OR($B17="",GZ$3=""),"",IF(AND($GK$4="No",(_xll.ciqfunctions.udf.CIQ($B17,"IQ_AR",GZ$3, $I$3, $N$3, , $J$3, $K$3)+_xll.ciqfunctions.udf.CIQ($B17,"IQ_AR","IQ_" &amp; LEFT(GZ$3,2) &amp; "-1",GZ$3, $N$3, , $J$3, $K$3))&lt;=0),"",$GK$2*0.5*(_xll.ciqfunctions.udf.CIQ($B17,"IQ_AR",GZ$3, $I$3, $N$3, , $J$3, $K$3)+_xll.ciqfunctions.udf.CIQ($B17,"IQ_AR","IQ_" &amp; LEFT(GZ$3,2) &amp; "-1",GZ$3, $N$3, , $J$3, $K$3))/_xll.ciqfunctions.udf.CIQ($B17,"IQ_TOTAL_REVENUE",GZ$3, $I$3, $N$3, , $J$3, $K$3))),"")</f>
        <v/>
      </c>
      <c r="HA17" s="296" t="str">
        <f>IFERROR(IF(OR($B17="",HA$3=""),"",IF(AND($GK$4="No",(_xll.ciqfunctions.udf.CIQ($B17,"IQ_AR",HA$3, $I$3, $N$3, , $J$3, $K$3)+_xll.ciqfunctions.udf.CIQ($B17,"IQ_AR","IQ_" &amp; LEFT(HA$3,2) &amp; "-1",HA$3, $N$3, , $J$3, $K$3))&lt;=0),"",$GK$2*0.5*(_xll.ciqfunctions.udf.CIQ($B17,"IQ_AR",HA$3, $I$3, $N$3, , $J$3, $K$3)+_xll.ciqfunctions.udf.CIQ($B17,"IQ_AR","IQ_" &amp; LEFT(HA$3,2) &amp; "-1",HA$3, $N$3, , $J$3, $K$3))/_xll.ciqfunctions.udf.CIQ($B17,"IQ_TOTAL_REVENUE",HA$3, $I$3, $N$3, , $J$3, $K$3))),"")</f>
        <v/>
      </c>
      <c r="HB17" s="296" t="str">
        <f>IFERROR(IF(OR($B17="",HB$3=""),"",IF(AND($GK$4="No",(_xll.ciqfunctions.udf.CIQ($B17,"IQ_AR",HB$3, $I$3, $N$3, , $J$3, $K$3)+_xll.ciqfunctions.udf.CIQ($B17,"IQ_AR","IQ_" &amp; LEFT(HB$3,2) &amp; "-1",HB$3, $N$3, , $J$3, $K$3))&lt;=0),"",$GK$2*0.5*(_xll.ciqfunctions.udf.CIQ($B17,"IQ_AR",HB$3, $I$3, $N$3, , $J$3, $K$3)+_xll.ciqfunctions.udf.CIQ($B17,"IQ_AR","IQ_" &amp; LEFT(HB$3,2) &amp; "-1",HB$3, $N$3, , $J$3, $K$3))/_xll.ciqfunctions.udf.CIQ($B17,"IQ_TOTAL_REVENUE",HB$3, $I$3, $N$3, , $J$3, $K$3))),"")</f>
        <v/>
      </c>
      <c r="HC17" s="296" t="str">
        <f>IFERROR(IF(OR($B17="",HC$3=""),"",IF(AND($GK$4="No",(_xll.ciqfunctions.udf.CIQ($B17,"IQ_AR",HC$3, $I$3, $N$3, , $J$3, $K$3)+_xll.ciqfunctions.udf.CIQ($B17,"IQ_AR","IQ_" &amp; LEFT(HC$3,2) &amp; "-1",HC$3, $N$3, , $J$3, $K$3))&lt;=0),"",$GK$2*0.5*(_xll.ciqfunctions.udf.CIQ($B17,"IQ_AR",HC$3, $I$3, $N$3, , $J$3, $K$3)+_xll.ciqfunctions.udf.CIQ($B17,"IQ_AR","IQ_" &amp; LEFT(HC$3,2) &amp; "-1",HC$3, $N$3, , $J$3, $K$3))/_xll.ciqfunctions.udf.CIQ($B17,"IQ_TOTAL_REVENUE",HC$3, $I$3, $N$3, , $J$3, $K$3))),"")</f>
        <v/>
      </c>
      <c r="HD17" s="297" t="str">
        <f>IFERROR(IF(OR($B17="",HD$3=""),"",IF(AND($GK$4="No",(_xll.ciqfunctions.udf.CIQ($B17,"IQ_AR",HD$3, $I$3, $N$3, , $J$3, $K$3)+_xll.ciqfunctions.udf.CIQ($B17,"IQ_AR","IQ_" &amp; LEFT(HD$3,2) &amp; "-1",HD$3, $N$3, , $J$3, $K$3))&lt;=0),"",$GK$2*0.5*(_xll.ciqfunctions.udf.CIQ($B17,"IQ_AR",HD$3, $I$3, $N$3, , $J$3, $K$3)+_xll.ciqfunctions.udf.CIQ($B17,"IQ_AR","IQ_" &amp; LEFT(HD$3,2) &amp; "-1",HD$3, $N$3, , $J$3, $K$3))/_xll.ciqfunctions.udf.CIQ($B17,"IQ_TOTAL_REVENUE",HD$3, $I$3, $N$3, , $J$3, $K$3))),"")</f>
        <v/>
      </c>
      <c r="HE17" s="295" t="str">
        <f>IFERROR(IF(OR($B17="",HE$3=""),"",IF(AND($HE$4="No",(_xll.ciqfunctions.udf.CIQ($B17,"IQ_INVENTORY",HE$3,$I$3, $N$3, , $J$3, $K$3)+_xll.ciqfunctions.udf.CIQ($B17,"IQ_INVENTORY","IQ_" &amp; LEFT(HE$3,2) &amp; "-1", HE$3, $N$3, , $J$3, $K$3))&lt;=0),0,$HE$2*0.5*(_xll.ciqfunctions.udf.CIQ($B17,"IQ_INVENTORY",HE$3,$I$3, $N$3, , $J$3, $K$3)+_xll.ciqfunctions.udf.CIQ($B17,"IQ_INVENTORY","IQ_" &amp; LEFT(HE$3,2) &amp; "-1", HE$3, $N$3, , $J$3, $K$3))/_xll.ciqfunctions.udf.CIQ($B17,"IQ_COGS",HE$3,$I$3, $N$3, , $J$3, $K$3))),"")</f>
        <v/>
      </c>
      <c r="HF17" s="296" t="str">
        <f>IFERROR(IF(OR($B17="",HF$3=""),"",IF(AND($HE$4="No",(_xll.ciqfunctions.udf.CIQ($B17,"IQ_INVENTORY",HF$3,$I$3, $N$3, , $J$3, $K$3)+_xll.ciqfunctions.udf.CIQ($B17,"IQ_INVENTORY","IQ_" &amp; LEFT(HF$3,2) &amp; "-1", HF$3, $N$3, , $J$3, $K$3))&lt;=0),0,$HE$2*0.5*(_xll.ciqfunctions.udf.CIQ($B17,"IQ_INVENTORY",HF$3,$I$3, $N$3, , $J$3, $K$3)+_xll.ciqfunctions.udf.CIQ($B17,"IQ_INVENTORY","IQ_" &amp; LEFT(HF$3,2) &amp; "-1", HF$3, $N$3, , $J$3, $K$3))/_xll.ciqfunctions.udf.CIQ($B17,"IQ_COGS",HF$3,$I$3, $N$3, , $J$3, $K$3))),"")</f>
        <v/>
      </c>
      <c r="HG17" s="296" t="str">
        <f>IFERROR(IF(OR($B17="",HG$3=""),"",IF(AND($HE$4="No",(_xll.ciqfunctions.udf.CIQ($B17,"IQ_INVENTORY",HG$3,$I$3, $N$3, , $J$3, $K$3)+_xll.ciqfunctions.udf.CIQ($B17,"IQ_INVENTORY","IQ_" &amp; LEFT(HG$3,2) &amp; "-1", HG$3, $N$3, , $J$3, $K$3))&lt;=0),0,$HE$2*0.5*(_xll.ciqfunctions.udf.CIQ($B17,"IQ_INVENTORY",HG$3,$I$3, $N$3, , $J$3, $K$3)+_xll.ciqfunctions.udf.CIQ($B17,"IQ_INVENTORY","IQ_" &amp; LEFT(HG$3,2) &amp; "-1", HG$3, $N$3, , $J$3, $K$3))/_xll.ciqfunctions.udf.CIQ($B17,"IQ_COGS",HG$3,$I$3, $N$3, , $J$3, $K$3))),"")</f>
        <v/>
      </c>
      <c r="HH17" s="296" t="str">
        <f>IFERROR(IF(OR($B17="",HH$3=""),"",IF(AND($HE$4="No",(_xll.ciqfunctions.udf.CIQ($B17,"IQ_INVENTORY",HH$3,$I$3, $N$3, , $J$3, $K$3)+_xll.ciqfunctions.udf.CIQ($B17,"IQ_INVENTORY","IQ_" &amp; LEFT(HH$3,2) &amp; "-1", HH$3, $N$3, , $J$3, $K$3))&lt;=0),0,$HE$2*0.5*(_xll.ciqfunctions.udf.CIQ($B17,"IQ_INVENTORY",HH$3,$I$3, $N$3, , $J$3, $K$3)+_xll.ciqfunctions.udf.CIQ($B17,"IQ_INVENTORY","IQ_" &amp; LEFT(HH$3,2) &amp; "-1", HH$3, $N$3, , $J$3, $K$3))/_xll.ciqfunctions.udf.CIQ($B17,"IQ_COGS",HH$3,$I$3, $N$3, , $J$3, $K$3))),"")</f>
        <v/>
      </c>
      <c r="HI17" s="296" t="str">
        <f>IFERROR(IF(OR($B17="",HI$3=""),"",IF(AND($HE$4="No",(_xll.ciqfunctions.udf.CIQ($B17,"IQ_INVENTORY",HI$3,$I$3, $N$3, , $J$3, $K$3)+_xll.ciqfunctions.udf.CIQ($B17,"IQ_INVENTORY","IQ_" &amp; LEFT(HI$3,2) &amp; "-1", HI$3, $N$3, , $J$3, $K$3))&lt;=0),0,$HE$2*0.5*(_xll.ciqfunctions.udf.CIQ($B17,"IQ_INVENTORY",HI$3,$I$3, $N$3, , $J$3, $K$3)+_xll.ciqfunctions.udf.CIQ($B17,"IQ_INVENTORY","IQ_" &amp; LEFT(HI$3,2) &amp; "-1", HI$3, $N$3, , $J$3, $K$3))/_xll.ciqfunctions.udf.CIQ($B17,"IQ_COGS",HI$3,$I$3, $N$3, , $J$3, $K$3))),"")</f>
        <v/>
      </c>
      <c r="HJ17" s="296" t="str">
        <f>IFERROR(IF(OR($B17="",HJ$3=""),"",IF(AND($HE$4="No",(_xll.ciqfunctions.udf.CIQ($B17,"IQ_INVENTORY",HJ$3,$I$3, $N$3, , $J$3, $K$3)+_xll.ciqfunctions.udf.CIQ($B17,"IQ_INVENTORY","IQ_" &amp; LEFT(HJ$3,2) &amp; "-1", HJ$3, $N$3, , $J$3, $K$3))&lt;=0),0,$HE$2*0.5*(_xll.ciqfunctions.udf.CIQ($B17,"IQ_INVENTORY",HJ$3,$I$3, $N$3, , $J$3, $K$3)+_xll.ciqfunctions.udf.CIQ($B17,"IQ_INVENTORY","IQ_" &amp; LEFT(HJ$3,2) &amp; "-1", HJ$3, $N$3, , $J$3, $K$3))/_xll.ciqfunctions.udf.CIQ($B17,"IQ_COGS",HJ$3,$I$3, $N$3, , $J$3, $K$3))),"")</f>
        <v/>
      </c>
      <c r="HK17" s="296" t="str">
        <f>IFERROR(IF(OR($B17="",HK$3=""),"",IF(AND($HE$4="No",(_xll.ciqfunctions.udf.CIQ($B17,"IQ_INVENTORY",HK$3,$I$3, $N$3, , $J$3, $K$3)+_xll.ciqfunctions.udf.CIQ($B17,"IQ_INVENTORY","IQ_" &amp; LEFT(HK$3,2) &amp; "-1", HK$3, $N$3, , $J$3, $K$3))&lt;=0),0,$HE$2*0.5*(_xll.ciqfunctions.udf.CIQ($B17,"IQ_INVENTORY",HK$3,$I$3, $N$3, , $J$3, $K$3)+_xll.ciqfunctions.udf.CIQ($B17,"IQ_INVENTORY","IQ_" &amp; LEFT(HK$3,2) &amp; "-1", HK$3, $N$3, , $J$3, $K$3))/_xll.ciqfunctions.udf.CIQ($B17,"IQ_COGS",HK$3,$I$3, $N$3, , $J$3, $K$3))),"")</f>
        <v/>
      </c>
      <c r="HL17" s="296" t="str">
        <f>IFERROR(IF(OR($B17="",HL$3=""),"",IF(AND($HE$4="No",(_xll.ciqfunctions.udf.CIQ($B17,"IQ_INVENTORY",HL$3,$I$3, $N$3, , $J$3, $K$3)+_xll.ciqfunctions.udf.CIQ($B17,"IQ_INVENTORY","IQ_" &amp; LEFT(HL$3,2) &amp; "-1", HL$3, $N$3, , $J$3, $K$3))&lt;=0),0,$HE$2*0.5*(_xll.ciqfunctions.udf.CIQ($B17,"IQ_INVENTORY",HL$3,$I$3, $N$3, , $J$3, $K$3)+_xll.ciqfunctions.udf.CIQ($B17,"IQ_INVENTORY","IQ_" &amp; LEFT(HL$3,2) &amp; "-1", HL$3, $N$3, , $J$3, $K$3))/_xll.ciqfunctions.udf.CIQ($B17,"IQ_COGS",HL$3,$I$3, $N$3, , $J$3, $K$3))),"")</f>
        <v/>
      </c>
      <c r="HM17" s="296" t="str">
        <f>IFERROR(IF(OR($B17="",HM$3=""),"",IF(AND($HE$4="No",(_xll.ciqfunctions.udf.CIQ($B17,"IQ_INVENTORY",HM$3,$I$3, $N$3, , $J$3, $K$3)+_xll.ciqfunctions.udf.CIQ($B17,"IQ_INVENTORY","IQ_" &amp; LEFT(HM$3,2) &amp; "-1", HM$3, $N$3, , $J$3, $K$3))&lt;=0),0,$HE$2*0.5*(_xll.ciqfunctions.udf.CIQ($B17,"IQ_INVENTORY",HM$3,$I$3, $N$3, , $J$3, $K$3)+_xll.ciqfunctions.udf.CIQ($B17,"IQ_INVENTORY","IQ_" &amp; LEFT(HM$3,2) &amp; "-1", HM$3, $N$3, , $J$3, $K$3))/_xll.ciqfunctions.udf.CIQ($B17,"IQ_COGS",HM$3,$I$3, $N$3, , $J$3, $K$3))),"")</f>
        <v/>
      </c>
      <c r="HN17" s="296" t="str">
        <f>IFERROR(IF(OR($B17="",HN$3=""),"",IF(AND($HE$4="No",(_xll.ciqfunctions.udf.CIQ($B17,"IQ_INVENTORY",HN$3,$I$3, $N$3, , $J$3, $K$3)+_xll.ciqfunctions.udf.CIQ($B17,"IQ_INVENTORY","IQ_" &amp; LEFT(HN$3,2) &amp; "-1", HN$3, $N$3, , $J$3, $K$3))&lt;=0),0,$HE$2*0.5*(_xll.ciqfunctions.udf.CIQ($B17,"IQ_INVENTORY",HN$3,$I$3, $N$3, , $J$3, $K$3)+_xll.ciqfunctions.udf.CIQ($B17,"IQ_INVENTORY","IQ_" &amp; LEFT(HN$3,2) &amp; "-1", HN$3, $N$3, , $J$3, $K$3))/_xll.ciqfunctions.udf.CIQ($B17,"IQ_COGS",HN$3,$I$3, $N$3, , $J$3, $K$3))),"")</f>
        <v/>
      </c>
      <c r="HO17" s="296" t="str">
        <f>IFERROR(IF(OR($B17="",HO$3=""),"",IF(AND($HE$4="No",(_xll.ciqfunctions.udf.CIQ($B17,"IQ_INVENTORY",HO$3,$I$3, $N$3, , $J$3, $K$3)+_xll.ciqfunctions.udf.CIQ($B17,"IQ_INVENTORY","IQ_" &amp; LEFT(HO$3,2) &amp; "-1", HO$3, $N$3, , $J$3, $K$3))&lt;=0),0,$HE$2*0.5*(_xll.ciqfunctions.udf.CIQ($B17,"IQ_INVENTORY",HO$3,$I$3, $N$3, , $J$3, $K$3)+_xll.ciqfunctions.udf.CIQ($B17,"IQ_INVENTORY","IQ_" &amp; LEFT(HO$3,2) &amp; "-1", HO$3, $N$3, , $J$3, $K$3))/_xll.ciqfunctions.udf.CIQ($B17,"IQ_COGS",HO$3,$I$3, $N$3, , $J$3, $K$3))),"")</f>
        <v/>
      </c>
      <c r="HP17" s="296" t="str">
        <f>IFERROR(IF(OR($B17="",HP$3=""),"",IF(AND($HE$4="No",(_xll.ciqfunctions.udf.CIQ($B17,"IQ_INVENTORY",HP$3,$I$3, $N$3, , $J$3, $K$3)+_xll.ciqfunctions.udf.CIQ($B17,"IQ_INVENTORY","IQ_" &amp; LEFT(HP$3,2) &amp; "-1", HP$3, $N$3, , $J$3, $K$3))&lt;=0),0,$HE$2*0.5*(_xll.ciqfunctions.udf.CIQ($B17,"IQ_INVENTORY",HP$3,$I$3, $N$3, , $J$3, $K$3)+_xll.ciqfunctions.udf.CIQ($B17,"IQ_INVENTORY","IQ_" &amp; LEFT(HP$3,2) &amp; "-1", HP$3, $N$3, , $J$3, $K$3))/_xll.ciqfunctions.udf.CIQ($B17,"IQ_COGS",HP$3,$I$3, $N$3, , $J$3, $K$3))),"")</f>
        <v/>
      </c>
      <c r="HQ17" s="296" t="str">
        <f>IFERROR(IF(OR($B17="",HQ$3=""),"",IF(AND($HE$4="No",(_xll.ciqfunctions.udf.CIQ($B17,"IQ_INVENTORY",HQ$3,$I$3, $N$3, , $J$3, $K$3)+_xll.ciqfunctions.udf.CIQ($B17,"IQ_INVENTORY","IQ_" &amp; LEFT(HQ$3,2) &amp; "-1", HQ$3, $N$3, , $J$3, $K$3))&lt;=0),0,$HE$2*0.5*(_xll.ciqfunctions.udf.CIQ($B17,"IQ_INVENTORY",HQ$3,$I$3, $N$3, , $J$3, $K$3)+_xll.ciqfunctions.udf.CIQ($B17,"IQ_INVENTORY","IQ_" &amp; LEFT(HQ$3,2) &amp; "-1", HQ$3, $N$3, , $J$3, $K$3))/_xll.ciqfunctions.udf.CIQ($B17,"IQ_COGS",HQ$3,$I$3, $N$3, , $J$3, $K$3))),"")</f>
        <v/>
      </c>
      <c r="HR17" s="296" t="str">
        <f>IFERROR(IF(OR($B17="",HR$3=""),"",IF(AND($HE$4="No",(_xll.ciqfunctions.udf.CIQ($B17,"IQ_INVENTORY",HR$3,$I$3, $N$3, , $J$3, $K$3)+_xll.ciqfunctions.udf.CIQ($B17,"IQ_INVENTORY","IQ_" &amp; LEFT(HR$3,2) &amp; "-1", HR$3, $N$3, , $J$3, $K$3))&lt;=0),0,$HE$2*0.5*(_xll.ciqfunctions.udf.CIQ($B17,"IQ_INVENTORY",HR$3,$I$3, $N$3, , $J$3, $K$3)+_xll.ciqfunctions.udf.CIQ($B17,"IQ_INVENTORY","IQ_" &amp; LEFT(HR$3,2) &amp; "-1", HR$3, $N$3, , $J$3, $K$3))/_xll.ciqfunctions.udf.CIQ($B17,"IQ_COGS",HR$3,$I$3, $N$3, , $J$3, $K$3))),"")</f>
        <v/>
      </c>
      <c r="HS17" s="296" t="str">
        <f>IFERROR(IF(OR($B17="",HS$3=""),"",IF(AND($HE$4="No",(_xll.ciqfunctions.udf.CIQ($B17,"IQ_INVENTORY",HS$3,$I$3, $N$3, , $J$3, $K$3)+_xll.ciqfunctions.udf.CIQ($B17,"IQ_INVENTORY","IQ_" &amp; LEFT(HS$3,2) &amp; "-1", HS$3, $N$3, , $J$3, $K$3))&lt;=0),0,$HE$2*0.5*(_xll.ciqfunctions.udf.CIQ($B17,"IQ_INVENTORY",HS$3,$I$3, $N$3, , $J$3, $K$3)+_xll.ciqfunctions.udf.CIQ($B17,"IQ_INVENTORY","IQ_" &amp; LEFT(HS$3,2) &amp; "-1", HS$3, $N$3, , $J$3, $K$3))/_xll.ciqfunctions.udf.CIQ($B17,"IQ_COGS",HS$3,$I$3, $N$3, , $J$3, $K$3))),"")</f>
        <v/>
      </c>
      <c r="HT17" s="296" t="str">
        <f>IFERROR(IF(OR($B17="",HT$3=""),"",IF(AND($HE$4="No",(_xll.ciqfunctions.udf.CIQ($B17,"IQ_INVENTORY",HT$3,$I$3, $N$3, , $J$3, $K$3)+_xll.ciqfunctions.udf.CIQ($B17,"IQ_INVENTORY","IQ_" &amp; LEFT(HT$3,2) &amp; "-1", HT$3, $N$3, , $J$3, $K$3))&lt;=0),0,$HE$2*0.5*(_xll.ciqfunctions.udf.CIQ($B17,"IQ_INVENTORY",HT$3,$I$3, $N$3, , $J$3, $K$3)+_xll.ciqfunctions.udf.CIQ($B17,"IQ_INVENTORY","IQ_" &amp; LEFT(HT$3,2) &amp; "-1", HT$3, $N$3, , $J$3, $K$3))/_xll.ciqfunctions.udf.CIQ($B17,"IQ_COGS",HT$3,$I$3, $N$3, , $J$3, $K$3))),"")</f>
        <v/>
      </c>
      <c r="HU17" s="296" t="str">
        <f>IFERROR(IF(OR($B17="",HU$3=""),"",IF(AND($HE$4="No",(_xll.ciqfunctions.udf.CIQ($B17,"IQ_INVENTORY",HU$3,$I$3, $N$3, , $J$3, $K$3)+_xll.ciqfunctions.udf.CIQ($B17,"IQ_INVENTORY","IQ_" &amp; LEFT(HU$3,2) &amp; "-1", HU$3, $N$3, , $J$3, $K$3))&lt;=0),0,$HE$2*0.5*(_xll.ciqfunctions.udf.CIQ($B17,"IQ_INVENTORY",HU$3,$I$3, $N$3, , $J$3, $K$3)+_xll.ciqfunctions.udf.CIQ($B17,"IQ_INVENTORY","IQ_" &amp; LEFT(HU$3,2) &amp; "-1", HU$3, $N$3, , $J$3, $K$3))/_xll.ciqfunctions.udf.CIQ($B17,"IQ_COGS",HU$3,$I$3, $N$3, , $J$3, $K$3))),"")</f>
        <v/>
      </c>
      <c r="HV17" s="296" t="str">
        <f>IFERROR(IF(OR($B17="",HV$3=""),"",IF(AND($HE$4="No",(_xll.ciqfunctions.udf.CIQ($B17,"IQ_INVENTORY",HV$3,$I$3, $N$3, , $J$3, $K$3)+_xll.ciqfunctions.udf.CIQ($B17,"IQ_INVENTORY","IQ_" &amp; LEFT(HV$3,2) &amp; "-1", HV$3, $N$3, , $J$3, $K$3))&lt;=0),0,$HE$2*0.5*(_xll.ciqfunctions.udf.CIQ($B17,"IQ_INVENTORY",HV$3,$I$3, $N$3, , $J$3, $K$3)+_xll.ciqfunctions.udf.CIQ($B17,"IQ_INVENTORY","IQ_" &amp; LEFT(HV$3,2) &amp; "-1", HV$3, $N$3, , $J$3, $K$3))/_xll.ciqfunctions.udf.CIQ($B17,"IQ_COGS",HV$3,$I$3, $N$3, , $J$3, $K$3))),"")</f>
        <v/>
      </c>
      <c r="HW17" s="296" t="str">
        <f>IFERROR(IF(OR($B17="",HW$3=""),"",IF(AND($HE$4="No",(_xll.ciqfunctions.udf.CIQ($B17,"IQ_INVENTORY",HW$3,$I$3, $N$3, , $J$3, $K$3)+_xll.ciqfunctions.udf.CIQ($B17,"IQ_INVENTORY","IQ_" &amp; LEFT(HW$3,2) &amp; "-1", HW$3, $N$3, , $J$3, $K$3))&lt;=0),0,$HE$2*0.5*(_xll.ciqfunctions.udf.CIQ($B17,"IQ_INVENTORY",HW$3,$I$3, $N$3, , $J$3, $K$3)+_xll.ciqfunctions.udf.CIQ($B17,"IQ_INVENTORY","IQ_" &amp; LEFT(HW$3,2) &amp; "-1", HW$3, $N$3, , $J$3, $K$3))/_xll.ciqfunctions.udf.CIQ($B17,"IQ_COGS",HW$3,$I$3, $N$3, , $J$3, $K$3))),"")</f>
        <v/>
      </c>
      <c r="HX17" s="297" t="str">
        <f>IFERROR(IF(OR($B17="",HX$3=""),"",IF(AND($HE$4="No",(_xll.ciqfunctions.udf.CIQ($B17,"IQ_INVENTORY",HX$3,$I$3, $N$3, , $J$3, $K$3)+_xll.ciqfunctions.udf.CIQ($B17,"IQ_INVENTORY","IQ_" &amp; LEFT(HX$3,2) &amp; "-1", HX$3, $N$3, , $J$3, $K$3))&lt;=0),0,$HE$2*0.5*(_xll.ciqfunctions.udf.CIQ($B17,"IQ_INVENTORY",HX$3,$I$3, $N$3, , $J$3, $K$3)+_xll.ciqfunctions.udf.CIQ($B17,"IQ_INVENTORY","IQ_" &amp; LEFT(HX$3,2) &amp; "-1", HX$3, $N$3, , $J$3, $K$3))/_xll.ciqfunctions.udf.CIQ($B17,"IQ_COGS",HX$3,$I$3, $N$3, , $J$3, $K$3))),"")</f>
        <v/>
      </c>
      <c r="HY17" s="295" t="str">
        <f>IFERROR(IF(OR($B17="",HY$3=""),"",IF(AND($HY$4="No",(_xll.ciqfunctions.udf.CIQ($B17,"IQ_AP",HY$3,$I$3, $N$3, , $J$3, $K$3)+_xll.ciqfunctions.udf.CIQ($B17,"IQ_AP","IQ_" &amp; LEFT(HY$3,2) &amp; "-1", HY$3, $N$3, , $J$3, $K$3))&lt;=0),"",(_xll.ciqfunctions.udf.CIQ($B17,"IQ_AP",HY$3,$I$3, $N$3, , $J$3, $K$3)+_xll.ciqfunctions.udf.CIQ($B17,"IQ_AP","IQ_" &amp; LEFT(HY$3,2) &amp; "-1", HY$3, $N$3, , $J$3, $K$3))/_xll.ciqfunctions.udf.CIQ($B17,"IQ_COGS",HY$3,$I$3, $N$3, , $J$3, $K$3)*$HY$2*0.5)),"")</f>
        <v/>
      </c>
      <c r="HZ17" s="296" t="str">
        <f>IFERROR(IF(OR($B17="",HZ$3=""),"",IF(AND($HY$4="No",(_xll.ciqfunctions.udf.CIQ($B17,"IQ_AP",HZ$3,$I$3, $N$3, , $J$3, $K$3)+_xll.ciqfunctions.udf.CIQ($B17,"IQ_AP","IQ_" &amp; LEFT(HZ$3,2) &amp; "-1", HZ$3, $N$3, , $J$3, $K$3))&lt;=0),"",(_xll.ciqfunctions.udf.CIQ($B17,"IQ_AP",HZ$3,$I$3, $N$3, , $J$3, $K$3)+_xll.ciqfunctions.udf.CIQ($B17,"IQ_AP","IQ_" &amp; LEFT(HZ$3,2) &amp; "-1", HZ$3, $N$3, , $J$3, $K$3))/_xll.ciqfunctions.udf.CIQ($B17,"IQ_COGS",HZ$3,$I$3, $N$3, , $J$3, $K$3)*$HY$2*0.5)),"")</f>
        <v/>
      </c>
      <c r="IA17" s="296" t="str">
        <f>IFERROR(IF(OR($B17="",IA$3=""),"",IF(AND($HY$4="No",(_xll.ciqfunctions.udf.CIQ($B17,"IQ_AP",IA$3,$I$3, $N$3, , $J$3, $K$3)+_xll.ciqfunctions.udf.CIQ($B17,"IQ_AP","IQ_" &amp; LEFT(IA$3,2) &amp; "-1", IA$3, $N$3, , $J$3, $K$3))&lt;=0),"",(_xll.ciqfunctions.udf.CIQ($B17,"IQ_AP",IA$3,$I$3, $N$3, , $J$3, $K$3)+_xll.ciqfunctions.udf.CIQ($B17,"IQ_AP","IQ_" &amp; LEFT(IA$3,2) &amp; "-1", IA$3, $N$3, , $J$3, $K$3))/_xll.ciqfunctions.udf.CIQ($B17,"IQ_COGS",IA$3,$I$3, $N$3, , $J$3, $K$3)*$HY$2*0.5)),"")</f>
        <v/>
      </c>
      <c r="IB17" s="296" t="str">
        <f>IFERROR(IF(OR($B17="",IB$3=""),"",IF(AND($HY$4="No",(_xll.ciqfunctions.udf.CIQ($B17,"IQ_AP",IB$3,$I$3, $N$3, , $J$3, $K$3)+_xll.ciqfunctions.udf.CIQ($B17,"IQ_AP","IQ_" &amp; LEFT(IB$3,2) &amp; "-1", IB$3, $N$3, , $J$3, $K$3))&lt;=0),"",(_xll.ciqfunctions.udf.CIQ($B17,"IQ_AP",IB$3,$I$3, $N$3, , $J$3, $K$3)+_xll.ciqfunctions.udf.CIQ($B17,"IQ_AP","IQ_" &amp; LEFT(IB$3,2) &amp; "-1", IB$3, $N$3, , $J$3, $K$3))/_xll.ciqfunctions.udf.CIQ($B17,"IQ_COGS",IB$3,$I$3, $N$3, , $J$3, $K$3)*$HY$2*0.5)),"")</f>
        <v/>
      </c>
      <c r="IC17" s="296" t="str">
        <f>IFERROR(IF(OR($B17="",IC$3=""),"",IF(AND($HY$4="No",(_xll.ciqfunctions.udf.CIQ($B17,"IQ_AP",IC$3,$I$3, $N$3, , $J$3, $K$3)+_xll.ciqfunctions.udf.CIQ($B17,"IQ_AP","IQ_" &amp; LEFT(IC$3,2) &amp; "-1", IC$3, $N$3, , $J$3, $K$3))&lt;=0),"",(_xll.ciqfunctions.udf.CIQ($B17,"IQ_AP",IC$3,$I$3, $N$3, , $J$3, $K$3)+_xll.ciqfunctions.udf.CIQ($B17,"IQ_AP","IQ_" &amp; LEFT(IC$3,2) &amp; "-1", IC$3, $N$3, , $J$3, $K$3))/_xll.ciqfunctions.udf.CIQ($B17,"IQ_COGS",IC$3,$I$3, $N$3, , $J$3, $K$3)*$HY$2*0.5)),"")</f>
        <v/>
      </c>
      <c r="ID17" s="296" t="str">
        <f>IFERROR(IF(OR($B17="",ID$3=""),"",IF(AND($HY$4="No",(_xll.ciqfunctions.udf.CIQ($B17,"IQ_AP",ID$3,$I$3, $N$3, , $J$3, $K$3)+_xll.ciqfunctions.udf.CIQ($B17,"IQ_AP","IQ_" &amp; LEFT(ID$3,2) &amp; "-1", ID$3, $N$3, , $J$3, $K$3))&lt;=0),"",(_xll.ciqfunctions.udf.CIQ($B17,"IQ_AP",ID$3,$I$3, $N$3, , $J$3, $K$3)+_xll.ciqfunctions.udf.CIQ($B17,"IQ_AP","IQ_" &amp; LEFT(ID$3,2) &amp; "-1", ID$3, $N$3, , $J$3, $K$3))/_xll.ciqfunctions.udf.CIQ($B17,"IQ_COGS",ID$3,$I$3, $N$3, , $J$3, $K$3)*$HY$2*0.5)),"")</f>
        <v/>
      </c>
      <c r="IE17" s="296" t="str">
        <f>IFERROR(IF(OR($B17="",IE$3=""),"",IF(AND($HY$4="No",(_xll.ciqfunctions.udf.CIQ($B17,"IQ_AP",IE$3,$I$3, $N$3, , $J$3, $K$3)+_xll.ciqfunctions.udf.CIQ($B17,"IQ_AP","IQ_" &amp; LEFT(IE$3,2) &amp; "-1", IE$3, $N$3, , $J$3, $K$3))&lt;=0),"",(_xll.ciqfunctions.udf.CIQ($B17,"IQ_AP",IE$3,$I$3, $N$3, , $J$3, $K$3)+_xll.ciqfunctions.udf.CIQ($B17,"IQ_AP","IQ_" &amp; LEFT(IE$3,2) &amp; "-1", IE$3, $N$3, , $J$3, $K$3))/_xll.ciqfunctions.udf.CIQ($B17,"IQ_COGS",IE$3,$I$3, $N$3, , $J$3, $K$3)*$HY$2*0.5)),"")</f>
        <v/>
      </c>
      <c r="IF17" s="296" t="str">
        <f>IFERROR(IF(OR($B17="",IF$3=""),"",IF(AND($HY$4="No",(_xll.ciqfunctions.udf.CIQ($B17,"IQ_AP",IF$3,$I$3, $N$3, , $J$3, $K$3)+_xll.ciqfunctions.udf.CIQ($B17,"IQ_AP","IQ_" &amp; LEFT(IF$3,2) &amp; "-1", IF$3, $N$3, , $J$3, $K$3))&lt;=0),"",(_xll.ciqfunctions.udf.CIQ($B17,"IQ_AP",IF$3,$I$3, $N$3, , $J$3, $K$3)+_xll.ciqfunctions.udf.CIQ($B17,"IQ_AP","IQ_" &amp; LEFT(IF$3,2) &amp; "-1", IF$3, $N$3, , $J$3, $K$3))/_xll.ciqfunctions.udf.CIQ($B17,"IQ_COGS",IF$3,$I$3, $N$3, , $J$3, $K$3)*$HY$2*0.5)),"")</f>
        <v/>
      </c>
      <c r="IG17" s="296" t="str">
        <f>IFERROR(IF(OR($B17="",IG$3=""),"",IF(AND($HY$4="No",(_xll.ciqfunctions.udf.CIQ($B17,"IQ_AP",IG$3,$I$3, $N$3, , $J$3, $K$3)+_xll.ciqfunctions.udf.CIQ($B17,"IQ_AP","IQ_" &amp; LEFT(IG$3,2) &amp; "-1", IG$3, $N$3, , $J$3, $K$3))&lt;=0),"",(_xll.ciqfunctions.udf.CIQ($B17,"IQ_AP",IG$3,$I$3, $N$3, , $J$3, $K$3)+_xll.ciqfunctions.udf.CIQ($B17,"IQ_AP","IQ_" &amp; LEFT(IG$3,2) &amp; "-1", IG$3, $N$3, , $J$3, $K$3))/_xll.ciqfunctions.udf.CIQ($B17,"IQ_COGS",IG$3,$I$3, $N$3, , $J$3, $K$3)*$HY$2*0.5)),"")</f>
        <v/>
      </c>
      <c r="IH17" s="296" t="str">
        <f>IFERROR(IF(OR($B17="",IH$3=""),"",IF(AND($HY$4="No",(_xll.ciqfunctions.udf.CIQ($B17,"IQ_AP",IH$3,$I$3, $N$3, , $J$3, $K$3)+_xll.ciqfunctions.udf.CIQ($B17,"IQ_AP","IQ_" &amp; LEFT(IH$3,2) &amp; "-1", IH$3, $N$3, , $J$3, $K$3))&lt;=0),"",(_xll.ciqfunctions.udf.CIQ($B17,"IQ_AP",IH$3,$I$3, $N$3, , $J$3, $K$3)+_xll.ciqfunctions.udf.CIQ($B17,"IQ_AP","IQ_" &amp; LEFT(IH$3,2) &amp; "-1", IH$3, $N$3, , $J$3, $K$3))/_xll.ciqfunctions.udf.CIQ($B17,"IQ_COGS",IH$3,$I$3, $N$3, , $J$3, $K$3)*$HY$2*0.5)),"")</f>
        <v/>
      </c>
      <c r="II17" s="296" t="str">
        <f>IFERROR(IF(OR($B17="",II$3=""),"",IF(AND($HY$4="No",(_xll.ciqfunctions.udf.CIQ($B17,"IQ_AP",II$3,$I$3, $N$3, , $J$3, $K$3)+_xll.ciqfunctions.udf.CIQ($B17,"IQ_AP","IQ_" &amp; LEFT(II$3,2) &amp; "-1", II$3, $N$3, , $J$3, $K$3))&lt;=0),"",(_xll.ciqfunctions.udf.CIQ($B17,"IQ_AP",II$3,$I$3, $N$3, , $J$3, $K$3)+_xll.ciqfunctions.udf.CIQ($B17,"IQ_AP","IQ_" &amp; LEFT(II$3,2) &amp; "-1", II$3, $N$3, , $J$3, $K$3))/_xll.ciqfunctions.udf.CIQ($B17,"IQ_COGS",II$3,$I$3, $N$3, , $J$3, $K$3)*$HY$2*0.5)),"")</f>
        <v/>
      </c>
      <c r="IJ17" s="296" t="str">
        <f>IFERROR(IF(OR($B17="",IJ$3=""),"",IF(AND($HY$4="No",(_xll.ciqfunctions.udf.CIQ($B17,"IQ_AP",IJ$3,$I$3, $N$3, , $J$3, $K$3)+_xll.ciqfunctions.udf.CIQ($B17,"IQ_AP","IQ_" &amp; LEFT(IJ$3,2) &amp; "-1", IJ$3, $N$3, , $J$3, $K$3))&lt;=0),"",(_xll.ciqfunctions.udf.CIQ($B17,"IQ_AP",IJ$3,$I$3, $N$3, , $J$3, $K$3)+_xll.ciqfunctions.udf.CIQ($B17,"IQ_AP","IQ_" &amp; LEFT(IJ$3,2) &amp; "-1", IJ$3, $N$3, , $J$3, $K$3))/_xll.ciqfunctions.udf.CIQ($B17,"IQ_COGS",IJ$3,$I$3, $N$3, , $J$3, $K$3)*$HY$2*0.5)),"")</f>
        <v/>
      </c>
      <c r="IK17" s="296" t="str">
        <f>IFERROR(IF(OR($B17="",IK$3=""),"",IF(AND($HY$4="No",(_xll.ciqfunctions.udf.CIQ($B17,"IQ_AP",IK$3,$I$3, $N$3, , $J$3, $K$3)+_xll.ciqfunctions.udf.CIQ($B17,"IQ_AP","IQ_" &amp; LEFT(IK$3,2) &amp; "-1", IK$3, $N$3, , $J$3, $K$3))&lt;=0),"",(_xll.ciqfunctions.udf.CIQ($B17,"IQ_AP",IK$3,$I$3, $N$3, , $J$3, $K$3)+_xll.ciqfunctions.udf.CIQ($B17,"IQ_AP","IQ_" &amp; LEFT(IK$3,2) &amp; "-1", IK$3, $N$3, , $J$3, $K$3))/_xll.ciqfunctions.udf.CIQ($B17,"IQ_COGS",IK$3,$I$3, $N$3, , $J$3, $K$3)*$HY$2*0.5)),"")</f>
        <v/>
      </c>
      <c r="IL17" s="296" t="str">
        <f>IFERROR(IF(OR($B17="",IL$3=""),"",IF(AND($HY$4="No",(_xll.ciqfunctions.udf.CIQ($B17,"IQ_AP",IL$3,$I$3, $N$3, , $J$3, $K$3)+_xll.ciqfunctions.udf.CIQ($B17,"IQ_AP","IQ_" &amp; LEFT(IL$3,2) &amp; "-1", IL$3, $N$3, , $J$3, $K$3))&lt;=0),"",(_xll.ciqfunctions.udf.CIQ($B17,"IQ_AP",IL$3,$I$3, $N$3, , $J$3, $K$3)+_xll.ciqfunctions.udf.CIQ($B17,"IQ_AP","IQ_" &amp; LEFT(IL$3,2) &amp; "-1", IL$3, $N$3, , $J$3, $K$3))/_xll.ciqfunctions.udf.CIQ($B17,"IQ_COGS",IL$3,$I$3, $N$3, , $J$3, $K$3)*$HY$2*0.5)),"")</f>
        <v/>
      </c>
      <c r="IM17" s="296" t="str">
        <f>IFERROR(IF(OR($B17="",IM$3=""),"",IF(AND($HY$4="No",(_xll.ciqfunctions.udf.CIQ($B17,"IQ_AP",IM$3,$I$3, $N$3, , $J$3, $K$3)+_xll.ciqfunctions.udf.CIQ($B17,"IQ_AP","IQ_" &amp; LEFT(IM$3,2) &amp; "-1", IM$3, $N$3, , $J$3, $K$3))&lt;=0),"",(_xll.ciqfunctions.udf.CIQ($B17,"IQ_AP",IM$3,$I$3, $N$3, , $J$3, $K$3)+_xll.ciqfunctions.udf.CIQ($B17,"IQ_AP","IQ_" &amp; LEFT(IM$3,2) &amp; "-1", IM$3, $N$3, , $J$3, $K$3))/_xll.ciqfunctions.udf.CIQ($B17,"IQ_COGS",IM$3,$I$3, $N$3, , $J$3, $K$3)*$HY$2*0.5)),"")</f>
        <v/>
      </c>
      <c r="IN17" s="296" t="str">
        <f>IFERROR(IF(OR($B17="",IN$3=""),"",IF(AND($HY$4="No",(_xll.ciqfunctions.udf.CIQ($B17,"IQ_AP",IN$3,$I$3, $N$3, , $J$3, $K$3)+_xll.ciqfunctions.udf.CIQ($B17,"IQ_AP","IQ_" &amp; LEFT(IN$3,2) &amp; "-1", IN$3, $N$3, , $J$3, $K$3))&lt;=0),"",(_xll.ciqfunctions.udf.CIQ($B17,"IQ_AP",IN$3,$I$3, $N$3, , $J$3, $K$3)+_xll.ciqfunctions.udf.CIQ($B17,"IQ_AP","IQ_" &amp; LEFT(IN$3,2) &amp; "-1", IN$3, $N$3, , $J$3, $K$3))/_xll.ciqfunctions.udf.CIQ($B17,"IQ_COGS",IN$3,$I$3, $N$3, , $J$3, $K$3)*$HY$2*0.5)),"")</f>
        <v/>
      </c>
      <c r="IO17" s="296" t="str">
        <f>IFERROR(IF(OR($B17="",IO$3=""),"",IF(AND($HY$4="No",(_xll.ciqfunctions.udf.CIQ($B17,"IQ_AP",IO$3,$I$3, $N$3, , $J$3, $K$3)+_xll.ciqfunctions.udf.CIQ($B17,"IQ_AP","IQ_" &amp; LEFT(IO$3,2) &amp; "-1", IO$3, $N$3, , $J$3, $K$3))&lt;=0),"",(_xll.ciqfunctions.udf.CIQ($B17,"IQ_AP",IO$3,$I$3, $N$3, , $J$3, $K$3)+_xll.ciqfunctions.udf.CIQ($B17,"IQ_AP","IQ_" &amp; LEFT(IO$3,2) &amp; "-1", IO$3, $N$3, , $J$3, $K$3))/_xll.ciqfunctions.udf.CIQ($B17,"IQ_COGS",IO$3,$I$3, $N$3, , $J$3, $K$3)*$HY$2*0.5)),"")</f>
        <v/>
      </c>
      <c r="IP17" s="296" t="str">
        <f>IFERROR(IF(OR($B17="",IP$3=""),"",IF(AND($HY$4="No",(_xll.ciqfunctions.udf.CIQ($B17,"IQ_AP",IP$3,$I$3, $N$3, , $J$3, $K$3)+_xll.ciqfunctions.udf.CIQ($B17,"IQ_AP","IQ_" &amp; LEFT(IP$3,2) &amp; "-1", IP$3, $N$3, , $J$3, $K$3))&lt;=0),"",(_xll.ciqfunctions.udf.CIQ($B17,"IQ_AP",IP$3,$I$3, $N$3, , $J$3, $K$3)+_xll.ciqfunctions.udf.CIQ($B17,"IQ_AP","IQ_" &amp; LEFT(IP$3,2) &amp; "-1", IP$3, $N$3, , $J$3, $K$3))/_xll.ciqfunctions.udf.CIQ($B17,"IQ_COGS",IP$3,$I$3, $N$3, , $J$3, $K$3)*$HY$2*0.5)),"")</f>
        <v/>
      </c>
      <c r="IQ17" s="296" t="str">
        <f>IFERROR(IF(OR($B17="",IQ$3=""),"",IF(AND($HY$4="No",(_xll.ciqfunctions.udf.CIQ($B17,"IQ_AP",IQ$3,$I$3, $N$3, , $J$3, $K$3)+_xll.ciqfunctions.udf.CIQ($B17,"IQ_AP","IQ_" &amp; LEFT(IQ$3,2) &amp; "-1", IQ$3, $N$3, , $J$3, $K$3))&lt;=0),"",(_xll.ciqfunctions.udf.CIQ($B17,"IQ_AP",IQ$3,$I$3, $N$3, , $J$3, $K$3)+_xll.ciqfunctions.udf.CIQ($B17,"IQ_AP","IQ_" &amp; LEFT(IQ$3,2) &amp; "-1", IQ$3, $N$3, , $J$3, $K$3))/_xll.ciqfunctions.udf.CIQ($B17,"IQ_COGS",IQ$3,$I$3, $N$3, , $J$3, $K$3)*$HY$2*0.5)),"")</f>
        <v/>
      </c>
      <c r="IR17" s="297" t="str">
        <f>IFERROR(IF(OR($B17="",IR$3=""),"",IF(AND($HY$4="No",(_xll.ciqfunctions.udf.CIQ($B17,"IQ_AP",IR$3,$I$3, $N$3, , $J$3, $K$3)+_xll.ciqfunctions.udf.CIQ($B17,"IQ_AP","IQ_" &amp; LEFT(IR$3,2) &amp; "-1", IR$3, $N$3, , $J$3, $K$3))&lt;=0),"",(_xll.ciqfunctions.udf.CIQ($B17,"IQ_AP",IR$3,$I$3, $N$3, , $J$3, $K$3)+_xll.ciqfunctions.udf.CIQ($B17,"IQ_AP","IQ_" &amp; LEFT(IR$3,2) &amp; "-1", IR$3, $N$3, , $J$3, $K$3))/_xll.ciqfunctions.udf.CIQ($B17,"IQ_COGS",IR$3,$I$3, $N$3, , $J$3, $K$3)*$HY$2*0.5)),"")</f>
        <v/>
      </c>
      <c r="IS17" s="295" t="str">
        <f t="shared" si="343"/>
        <v/>
      </c>
      <c r="IT17" s="296" t="str">
        <f t="shared" si="344"/>
        <v/>
      </c>
      <c r="IU17" s="296" t="str">
        <f t="shared" si="345"/>
        <v/>
      </c>
      <c r="IV17" s="296" t="str">
        <f t="shared" si="346"/>
        <v/>
      </c>
      <c r="IW17" s="296" t="str">
        <f t="shared" si="347"/>
        <v/>
      </c>
      <c r="IX17" s="296" t="str">
        <f t="shared" si="348"/>
        <v/>
      </c>
      <c r="IY17" s="296" t="str">
        <f t="shared" si="349"/>
        <v/>
      </c>
      <c r="IZ17" s="296" t="str">
        <f t="shared" si="350"/>
        <v/>
      </c>
      <c r="JA17" s="296" t="str">
        <f t="shared" si="351"/>
        <v/>
      </c>
      <c r="JB17" s="296" t="str">
        <f t="shared" si="352"/>
        <v/>
      </c>
      <c r="JC17" s="296" t="str">
        <f t="shared" si="353"/>
        <v/>
      </c>
      <c r="JD17" s="296" t="str">
        <f t="shared" si="354"/>
        <v/>
      </c>
      <c r="JE17" s="296" t="str">
        <f t="shared" si="355"/>
        <v/>
      </c>
      <c r="JF17" s="296" t="str">
        <f t="shared" si="356"/>
        <v/>
      </c>
      <c r="JG17" s="296" t="str">
        <f t="shared" si="357"/>
        <v/>
      </c>
      <c r="JH17" s="296" t="str">
        <f t="shared" si="358"/>
        <v/>
      </c>
      <c r="JI17" s="296" t="str">
        <f t="shared" si="359"/>
        <v/>
      </c>
      <c r="JJ17" s="296" t="str">
        <f t="shared" si="360"/>
        <v/>
      </c>
      <c r="JK17" s="296" t="str">
        <f t="shared" si="361"/>
        <v/>
      </c>
      <c r="JL17" s="297" t="str">
        <f t="shared" si="362"/>
        <v/>
      </c>
      <c r="JM17" s="294" t="str">
        <f>IFERROR(IF(OR($B17="",JM$3=""),"",_xll.ciqfunctions.udf.CIQ($B17,"IQ_CASH_OPER",JM$3,$I$3, $N$3, , $J$3, $K$3)/_xll.ciqfunctions.udf.CIQ($B17,"IQ_TOTAL_REV",JM$3,$I$3, $N$3, , $J$3, $K$3)),"")</f>
        <v/>
      </c>
      <c r="JN17" s="292" t="str">
        <f>IFERROR(IF(OR($B17="",JN$3=""),"",_xll.ciqfunctions.udf.CIQ($B17,"IQ_CASH_OPER",JN$3,$I$3, $N$3, , $J$3, $K$3)/_xll.ciqfunctions.udf.CIQ($B17,"IQ_TOTAL_REV",JN$3,$I$3, $N$3, , $J$3, $K$3)),"")</f>
        <v/>
      </c>
      <c r="JO17" s="292" t="str">
        <f>IFERROR(IF(OR($B17="",JO$3=""),"",_xll.ciqfunctions.udf.CIQ($B17,"IQ_CASH_OPER",JO$3,$I$3, $N$3, , $J$3, $K$3)/_xll.ciqfunctions.udf.CIQ($B17,"IQ_TOTAL_REV",JO$3,$I$3, $N$3, , $J$3, $K$3)),"")</f>
        <v/>
      </c>
      <c r="JP17" s="292" t="str">
        <f>IFERROR(IF(OR($B17="",JP$3=""),"",_xll.ciqfunctions.udf.CIQ($B17,"IQ_CASH_OPER",JP$3,$I$3, $N$3, , $J$3, $K$3)/_xll.ciqfunctions.udf.CIQ($B17,"IQ_TOTAL_REV",JP$3,$I$3, $N$3, , $J$3, $K$3)),"")</f>
        <v/>
      </c>
      <c r="JQ17" s="292" t="str">
        <f>IFERROR(IF(OR($B17="",JQ$3=""),"",_xll.ciqfunctions.udf.CIQ($B17,"IQ_CASH_OPER",JQ$3,$I$3, $N$3, , $J$3, $K$3)/_xll.ciqfunctions.udf.CIQ($B17,"IQ_TOTAL_REV",JQ$3,$I$3, $N$3, , $J$3, $K$3)),"")</f>
        <v/>
      </c>
      <c r="JR17" s="292" t="str">
        <f>IFERROR(IF(OR($B17="",JR$3=""),"",_xll.ciqfunctions.udf.CIQ($B17,"IQ_CASH_OPER",JR$3,$I$3, $N$3, , $J$3, $K$3)/_xll.ciqfunctions.udf.CIQ($B17,"IQ_TOTAL_REV",JR$3,$I$3, $N$3, , $J$3, $K$3)),"")</f>
        <v/>
      </c>
      <c r="JS17" s="292" t="str">
        <f>IFERROR(IF(OR($B17="",JS$3=""),"",_xll.ciqfunctions.udf.CIQ($B17,"IQ_CASH_OPER",JS$3,$I$3, $N$3, , $J$3, $K$3)/_xll.ciqfunctions.udf.CIQ($B17,"IQ_TOTAL_REV",JS$3,$I$3, $N$3, , $J$3, $K$3)),"")</f>
        <v/>
      </c>
      <c r="JT17" s="292" t="str">
        <f>IFERROR(IF(OR($B17="",JT$3=""),"",_xll.ciqfunctions.udf.CIQ($B17,"IQ_CASH_OPER",JT$3,$I$3, $N$3, , $J$3, $K$3)/_xll.ciqfunctions.udf.CIQ($B17,"IQ_TOTAL_REV",JT$3,$I$3, $N$3, , $J$3, $K$3)),"")</f>
        <v/>
      </c>
      <c r="JU17" s="292" t="str">
        <f>IFERROR(IF(OR($B17="",JU$3=""),"",_xll.ciqfunctions.udf.CIQ($B17,"IQ_CASH_OPER",JU$3,$I$3, $N$3, , $J$3, $K$3)/_xll.ciqfunctions.udf.CIQ($B17,"IQ_TOTAL_REV",JU$3,$I$3, $N$3, , $J$3, $K$3)),"")</f>
        <v/>
      </c>
      <c r="JV17" s="292" t="str">
        <f>IFERROR(IF(OR($B17="",JV$3=""),"",_xll.ciqfunctions.udf.CIQ($B17,"IQ_CASH_OPER",JV$3,$I$3, $N$3, , $J$3, $K$3)/_xll.ciqfunctions.udf.CIQ($B17,"IQ_TOTAL_REV",JV$3,$I$3, $N$3, , $J$3, $K$3)),"")</f>
        <v/>
      </c>
      <c r="JW17" s="292" t="str">
        <f>IFERROR(IF(OR($B17="",JW$3=""),"",_xll.ciqfunctions.udf.CIQ($B17,"IQ_CASH_OPER",JW$3,$I$3, $N$3, , $J$3, $K$3)/_xll.ciqfunctions.udf.CIQ($B17,"IQ_TOTAL_REV",JW$3,$I$3, $N$3, , $J$3, $K$3)),"")</f>
        <v/>
      </c>
      <c r="JX17" s="292" t="str">
        <f>IFERROR(IF(OR($B17="",JX$3=""),"",_xll.ciqfunctions.udf.CIQ($B17,"IQ_CASH_OPER",JX$3,$I$3, $N$3, , $J$3, $K$3)/_xll.ciqfunctions.udf.CIQ($B17,"IQ_TOTAL_REV",JX$3,$I$3, $N$3, , $J$3, $K$3)),"")</f>
        <v/>
      </c>
      <c r="JY17" s="292" t="str">
        <f>IFERROR(IF(OR($B17="",JY$3=""),"",_xll.ciqfunctions.udf.CIQ($B17,"IQ_CASH_OPER",JY$3,$I$3, $N$3, , $J$3, $K$3)/_xll.ciqfunctions.udf.CIQ($B17,"IQ_TOTAL_REV",JY$3,$I$3, $N$3, , $J$3, $K$3)),"")</f>
        <v/>
      </c>
      <c r="JZ17" s="292" t="str">
        <f>IFERROR(IF(OR($B17="",JZ$3=""),"",_xll.ciqfunctions.udf.CIQ($B17,"IQ_CASH_OPER",JZ$3,$I$3, $N$3, , $J$3, $K$3)/_xll.ciqfunctions.udf.CIQ($B17,"IQ_TOTAL_REV",JZ$3,$I$3, $N$3, , $J$3, $K$3)),"")</f>
        <v/>
      </c>
      <c r="KA17" s="292" t="str">
        <f>IFERROR(IF(OR($B17="",KA$3=""),"",_xll.ciqfunctions.udf.CIQ($B17,"IQ_CASH_OPER",KA$3,$I$3, $N$3, , $J$3, $K$3)/_xll.ciqfunctions.udf.CIQ($B17,"IQ_TOTAL_REV",KA$3,$I$3, $N$3, , $J$3, $K$3)),"")</f>
        <v/>
      </c>
      <c r="KB17" s="292" t="str">
        <f>IFERROR(IF(OR($B17="",KB$3=""),"",_xll.ciqfunctions.udf.CIQ($B17,"IQ_CASH_OPER",KB$3,$I$3, $N$3, , $J$3, $K$3)/_xll.ciqfunctions.udf.CIQ($B17,"IQ_TOTAL_REV",KB$3,$I$3, $N$3, , $J$3, $K$3)),"")</f>
        <v/>
      </c>
      <c r="KC17" s="292" t="str">
        <f>IFERROR(IF(OR($B17="",KC$3=""),"",_xll.ciqfunctions.udf.CIQ($B17,"IQ_CASH_OPER",KC$3,$I$3, $N$3, , $J$3, $K$3)/_xll.ciqfunctions.udf.CIQ($B17,"IQ_TOTAL_REV",KC$3,$I$3, $N$3, , $J$3, $K$3)),"")</f>
        <v/>
      </c>
      <c r="KD17" s="292" t="str">
        <f>IFERROR(IF(OR($B17="",KD$3=""),"",_xll.ciqfunctions.udf.CIQ($B17,"IQ_CASH_OPER",KD$3,$I$3, $N$3, , $J$3, $K$3)/_xll.ciqfunctions.udf.CIQ($B17,"IQ_TOTAL_REV",KD$3,$I$3, $N$3, , $J$3, $K$3)),"")</f>
        <v/>
      </c>
      <c r="KE17" s="292" t="str">
        <f>IFERROR(IF(OR($B17="",KE$3=""),"",_xll.ciqfunctions.udf.CIQ($B17,"IQ_CASH_OPER",KE$3,$I$3, $N$3, , $J$3, $K$3)/_xll.ciqfunctions.udf.CIQ($B17,"IQ_TOTAL_REV",KE$3,$I$3, $N$3, , $J$3, $K$3)),"")</f>
        <v/>
      </c>
      <c r="KF17" s="293" t="str">
        <f>IFERROR(IF(OR($B17="",KF$3=""),"",_xll.ciqfunctions.udf.CIQ($B17,"IQ_CASH_OPER",KF$3,$I$3, $N$3, , $J$3, $K$3)/_xll.ciqfunctions.udf.CIQ($B17,"IQ_TOTAL_REV",KF$3,$I$3, $N$3, , $J$3, $K$3)),"")</f>
        <v/>
      </c>
      <c r="KG17" s="295" t="str">
        <f>IFERROR(IF(OR($B17="",KG$3=""),"",IF(NOT(ISNUMBER(_xll.ciqfunctions.udf.CIQ($B17, "IQ_ASSET_TURNS", KG$3, $E$3, $N$3, , $J$3, $K$3))),"",_xll.ciqfunctions.udf.CIQ($B17, "IQ_ASSET_TURNS", KG$3, $E$3, $N$3, , $J$3, $K$3))),"")</f>
        <v/>
      </c>
      <c r="KH17" s="296" t="str">
        <f>IFERROR(IF(OR($B17="",KH$3=""),"",IF(NOT(ISNUMBER(_xll.ciqfunctions.udf.CIQ($B17, "IQ_ASSET_TURNS", KH$3, $E$3, $N$3, , $J$3, $K$3))),"",_xll.ciqfunctions.udf.CIQ($B17, "IQ_ASSET_TURNS", KH$3, $E$3, $N$3, , $J$3, $K$3))),"")</f>
        <v/>
      </c>
      <c r="KI17" s="296" t="str">
        <f>IFERROR(IF(OR($B17="",KI$3=""),"",IF(NOT(ISNUMBER(_xll.ciqfunctions.udf.CIQ($B17, "IQ_ASSET_TURNS", KI$3, $E$3, $N$3, , $J$3, $K$3))),"",_xll.ciqfunctions.udf.CIQ($B17, "IQ_ASSET_TURNS", KI$3, $E$3, $N$3, , $J$3, $K$3))),"")</f>
        <v/>
      </c>
      <c r="KJ17" s="296" t="str">
        <f>IFERROR(IF(OR($B17="",KJ$3=""),"",IF(NOT(ISNUMBER(_xll.ciqfunctions.udf.CIQ($B17, "IQ_ASSET_TURNS", KJ$3, $E$3, $N$3, , $J$3, $K$3))),"",_xll.ciqfunctions.udf.CIQ($B17, "IQ_ASSET_TURNS", KJ$3, $E$3, $N$3, , $J$3, $K$3))),"")</f>
        <v/>
      </c>
      <c r="KK17" s="296" t="str">
        <f>IFERROR(IF(OR($B17="",KK$3=""),"",IF(NOT(ISNUMBER(_xll.ciqfunctions.udf.CIQ($B17, "IQ_ASSET_TURNS", KK$3, $E$3, $N$3, , $J$3, $K$3))),"",_xll.ciqfunctions.udf.CIQ($B17, "IQ_ASSET_TURNS", KK$3, $E$3, $N$3, , $J$3, $K$3))),"")</f>
        <v/>
      </c>
      <c r="KL17" s="296" t="str">
        <f>IFERROR(IF(OR($B17="",KL$3=""),"",IF(NOT(ISNUMBER(_xll.ciqfunctions.udf.CIQ($B17, "IQ_ASSET_TURNS", KL$3, $E$3, $N$3, , $J$3, $K$3))),"",_xll.ciqfunctions.udf.CIQ($B17, "IQ_ASSET_TURNS", KL$3, $E$3, $N$3, , $J$3, $K$3))),"")</f>
        <v/>
      </c>
      <c r="KM17" s="296" t="str">
        <f>IFERROR(IF(OR($B17="",KM$3=""),"",IF(NOT(ISNUMBER(_xll.ciqfunctions.udf.CIQ($B17, "IQ_ASSET_TURNS", KM$3, $E$3, $N$3, , $J$3, $K$3))),"",_xll.ciqfunctions.udf.CIQ($B17, "IQ_ASSET_TURNS", KM$3, $E$3, $N$3, , $J$3, $K$3))),"")</f>
        <v/>
      </c>
      <c r="KN17" s="296" t="str">
        <f>IFERROR(IF(OR($B17="",KN$3=""),"",IF(NOT(ISNUMBER(_xll.ciqfunctions.udf.CIQ($B17, "IQ_ASSET_TURNS", KN$3, $E$3, $N$3, , $J$3, $K$3))),"",_xll.ciqfunctions.udf.CIQ($B17, "IQ_ASSET_TURNS", KN$3, $E$3, $N$3, , $J$3, $K$3))),"")</f>
        <v/>
      </c>
      <c r="KO17" s="296" t="str">
        <f>IFERROR(IF(OR($B17="",KO$3=""),"",IF(NOT(ISNUMBER(_xll.ciqfunctions.udf.CIQ($B17, "IQ_ASSET_TURNS", KO$3, $E$3, $N$3, , $J$3, $K$3))),"",_xll.ciqfunctions.udf.CIQ($B17, "IQ_ASSET_TURNS", KO$3, $E$3, $N$3, , $J$3, $K$3))),"")</f>
        <v/>
      </c>
      <c r="KP17" s="296" t="str">
        <f>IFERROR(IF(OR($B17="",KP$3=""),"",IF(NOT(ISNUMBER(_xll.ciqfunctions.udf.CIQ($B17, "IQ_ASSET_TURNS", KP$3, $E$3, $N$3, , $J$3, $K$3))),"",_xll.ciqfunctions.udf.CIQ($B17, "IQ_ASSET_TURNS", KP$3, $E$3, $N$3, , $J$3, $K$3))),"")</f>
        <v/>
      </c>
      <c r="KQ17" s="296" t="str">
        <f>IFERROR(IF(OR($B17="",KQ$3=""),"",IF(NOT(ISNUMBER(_xll.ciqfunctions.udf.CIQ($B17, "IQ_ASSET_TURNS", KQ$3, $E$3, $N$3, , $J$3, $K$3))),"",_xll.ciqfunctions.udf.CIQ($B17, "IQ_ASSET_TURNS", KQ$3, $E$3, $N$3, , $J$3, $K$3))),"")</f>
        <v/>
      </c>
      <c r="KR17" s="296" t="str">
        <f>IFERROR(IF(OR($B17="",KR$3=""),"",IF(NOT(ISNUMBER(_xll.ciqfunctions.udf.CIQ($B17, "IQ_ASSET_TURNS", KR$3, $E$3, $N$3, , $J$3, $K$3))),"",_xll.ciqfunctions.udf.CIQ($B17, "IQ_ASSET_TURNS", KR$3, $E$3, $N$3, , $J$3, $K$3))),"")</f>
        <v/>
      </c>
      <c r="KS17" s="296" t="str">
        <f>IFERROR(IF(OR($B17="",KS$3=""),"",IF(NOT(ISNUMBER(_xll.ciqfunctions.udf.CIQ($B17, "IQ_ASSET_TURNS", KS$3, $E$3, $N$3, , $J$3, $K$3))),"",_xll.ciqfunctions.udf.CIQ($B17, "IQ_ASSET_TURNS", KS$3, $E$3, $N$3, , $J$3, $K$3))),"")</f>
        <v/>
      </c>
      <c r="KT17" s="296" t="str">
        <f>IFERROR(IF(OR($B17="",KT$3=""),"",IF(NOT(ISNUMBER(_xll.ciqfunctions.udf.CIQ($B17, "IQ_ASSET_TURNS", KT$3, $E$3, $N$3, , $J$3, $K$3))),"",_xll.ciqfunctions.udf.CIQ($B17, "IQ_ASSET_TURNS", KT$3, $E$3, $N$3, , $J$3, $K$3))),"")</f>
        <v/>
      </c>
      <c r="KU17" s="296" t="str">
        <f>IFERROR(IF(OR($B17="",KU$3=""),"",IF(NOT(ISNUMBER(_xll.ciqfunctions.udf.CIQ($B17, "IQ_ASSET_TURNS", KU$3, $E$3, $N$3, , $J$3, $K$3))),"",_xll.ciqfunctions.udf.CIQ($B17, "IQ_ASSET_TURNS", KU$3, $E$3, $N$3, , $J$3, $K$3))),"")</f>
        <v/>
      </c>
      <c r="KV17" s="296" t="str">
        <f>IFERROR(IF(OR($B17="",KV$3=""),"",IF(NOT(ISNUMBER(_xll.ciqfunctions.udf.CIQ($B17, "IQ_ASSET_TURNS", KV$3, $E$3, $N$3, , $J$3, $K$3))),"",_xll.ciqfunctions.udf.CIQ($B17, "IQ_ASSET_TURNS", KV$3, $E$3, $N$3, , $J$3, $K$3))),"")</f>
        <v/>
      </c>
      <c r="KW17" s="296" t="str">
        <f>IFERROR(IF(OR($B17="",KW$3=""),"",IF(NOT(ISNUMBER(_xll.ciqfunctions.udf.CIQ($B17, "IQ_ASSET_TURNS", KW$3, $E$3, $N$3, , $J$3, $K$3))),"",_xll.ciqfunctions.udf.CIQ($B17, "IQ_ASSET_TURNS", KW$3, $E$3, $N$3, , $J$3, $K$3))),"")</f>
        <v/>
      </c>
      <c r="KX17" s="296" t="str">
        <f>IFERROR(IF(OR($B17="",KX$3=""),"",IF(NOT(ISNUMBER(_xll.ciqfunctions.udf.CIQ($B17, "IQ_ASSET_TURNS", KX$3, $E$3, $N$3, , $J$3, $K$3))),"",_xll.ciqfunctions.udf.CIQ($B17, "IQ_ASSET_TURNS", KX$3, $E$3, $N$3, , $J$3, $K$3))),"")</f>
        <v/>
      </c>
      <c r="KY17" s="296" t="str">
        <f>IFERROR(IF(OR($B17="",KY$3=""),"",IF(NOT(ISNUMBER(_xll.ciqfunctions.udf.CIQ($B17, "IQ_ASSET_TURNS", KY$3, $E$3, $N$3, , $J$3, $K$3))),"",_xll.ciqfunctions.udf.CIQ($B17, "IQ_ASSET_TURNS", KY$3, $E$3, $N$3, , $J$3, $K$3))),"")</f>
        <v/>
      </c>
      <c r="KZ17" s="297" t="str">
        <f>IFERROR(IF(OR($B17="",KZ$3=""),"",IF(NOT(ISNUMBER(_xll.ciqfunctions.udf.CIQ($B17, "IQ_ASSET_TURNS", KZ$3, $E$3, $N$3, , $J$3, $K$3))),"",_xll.ciqfunctions.udf.CIQ($B17, "IQ_ASSET_TURNS", KZ$3, $E$3, $N$3, , $J$3, $K$3))),"")</f>
        <v/>
      </c>
      <c r="LA17" s="75" t="str">
        <f>IFERROR(IF(OR($B17="",LA$3=""),"",IF(NOT(ISNUMBER(_xll.ciqfunctions.udf.CIQ($B17, "IQ_INVENTORY_TURNS", LA$3, $E$3, $N$3, , $J$3, $K$3))),"",_xll.ciqfunctions.udf.CIQ($B17, "IQ_INVENTORY_TURNS", LA$3, $E$3, $N$3, , $J$3, $K$3))),"")</f>
        <v/>
      </c>
      <c r="LB17" s="75" t="str">
        <f>IFERROR(IF(OR($B17="",LB$3=""),"",IF(NOT(ISNUMBER(_xll.ciqfunctions.udf.CIQ($B17, "IQ_INVENTORY_TURNS", LB$3, $E$3, $N$3, , $J$3, $K$3))),"",_xll.ciqfunctions.udf.CIQ($B17, "IQ_INVENTORY_TURNS", LB$3, $E$3, $N$3, , $J$3, $K$3))),"")</f>
        <v/>
      </c>
      <c r="LC17" s="75" t="str">
        <f>IFERROR(IF(OR($B17="",LC$3=""),"",IF(NOT(ISNUMBER(_xll.ciqfunctions.udf.CIQ($B17, "IQ_INVENTORY_TURNS", LC$3, $E$3, $N$3, , $J$3, $K$3))),"",_xll.ciqfunctions.udf.CIQ($B17, "IQ_INVENTORY_TURNS", LC$3, $E$3, $N$3, , $J$3, $K$3))),"")</f>
        <v/>
      </c>
      <c r="LD17" s="75" t="str">
        <f>IFERROR(IF(OR($B17="",LD$3=""),"",IF(NOT(ISNUMBER(_xll.ciqfunctions.udf.CIQ($B17, "IQ_INVENTORY_TURNS", LD$3, $E$3, $N$3, , $J$3, $K$3))),"",_xll.ciqfunctions.udf.CIQ($B17, "IQ_INVENTORY_TURNS", LD$3, $E$3, $N$3, , $J$3, $K$3))),"")</f>
        <v/>
      </c>
      <c r="LE17" s="75" t="str">
        <f>IFERROR(IF(OR($B17="",LE$3=""),"",IF(NOT(ISNUMBER(_xll.ciqfunctions.udf.CIQ($B17, "IQ_INVENTORY_TURNS", LE$3, $E$3, $N$3, , $J$3, $K$3))),"",_xll.ciqfunctions.udf.CIQ($B17, "IQ_INVENTORY_TURNS", LE$3, $E$3, $N$3, , $J$3, $K$3))),"")</f>
        <v/>
      </c>
      <c r="LF17" s="75" t="str">
        <f>IFERROR(IF(OR($B17="",LF$3=""),"",IF(NOT(ISNUMBER(_xll.ciqfunctions.udf.CIQ($B17, "IQ_INVENTORY_TURNS", LF$3, $E$3, $N$3, , $J$3, $K$3))),"",_xll.ciqfunctions.udf.CIQ($B17, "IQ_INVENTORY_TURNS", LF$3, $E$3, $N$3, , $J$3, $K$3))),"")</f>
        <v/>
      </c>
      <c r="LG17" s="75" t="str">
        <f>IFERROR(IF(OR($B17="",LG$3=""),"",IF(NOT(ISNUMBER(_xll.ciqfunctions.udf.CIQ($B17, "IQ_INVENTORY_TURNS", LG$3, $E$3, $N$3, , $J$3, $K$3))),"",_xll.ciqfunctions.udf.CIQ($B17, "IQ_INVENTORY_TURNS", LG$3, $E$3, $N$3, , $J$3, $K$3))),"")</f>
        <v/>
      </c>
      <c r="LH17" s="75" t="str">
        <f>IFERROR(IF(OR($B17="",LH$3=""),"",IF(NOT(ISNUMBER(_xll.ciqfunctions.udf.CIQ($B17, "IQ_INVENTORY_TURNS", LH$3, $E$3, $N$3, , $J$3, $K$3))),"",_xll.ciqfunctions.udf.CIQ($B17, "IQ_INVENTORY_TURNS", LH$3, $E$3, $N$3, , $J$3, $K$3))),"")</f>
        <v/>
      </c>
      <c r="LI17" s="75" t="str">
        <f>IFERROR(IF(OR($B17="",LI$3=""),"",IF(NOT(ISNUMBER(_xll.ciqfunctions.udf.CIQ($B17, "IQ_INVENTORY_TURNS", LI$3, $E$3, $N$3, , $J$3, $K$3))),"",_xll.ciqfunctions.udf.CIQ($B17, "IQ_INVENTORY_TURNS", LI$3, $E$3, $N$3, , $J$3, $K$3))),"")</f>
        <v/>
      </c>
      <c r="LJ17" s="75" t="str">
        <f>IFERROR(IF(OR($B17="",LJ$3=""),"",IF(NOT(ISNUMBER(_xll.ciqfunctions.udf.CIQ($B17, "IQ_INVENTORY_TURNS", LJ$3, $E$3, $N$3, , $J$3, $K$3))),"",_xll.ciqfunctions.udf.CIQ($B17, "IQ_INVENTORY_TURNS", LJ$3, $E$3, $N$3, , $J$3, $K$3))),"")</f>
        <v/>
      </c>
      <c r="LK17" s="75" t="str">
        <f>IFERROR(IF(OR($B17="",LK$3=""),"",IF(NOT(ISNUMBER(_xll.ciqfunctions.udf.CIQ($B17, "IQ_INVENTORY_TURNS", LK$3, $E$3, $N$3, , $J$3, $K$3))),"",_xll.ciqfunctions.udf.CIQ($B17, "IQ_INVENTORY_TURNS", LK$3, $E$3, $N$3, , $J$3, $K$3))),"")</f>
        <v/>
      </c>
      <c r="LL17" s="75" t="str">
        <f>IFERROR(IF(OR($B17="",LL$3=""),"",IF(NOT(ISNUMBER(_xll.ciqfunctions.udf.CIQ($B17, "IQ_INVENTORY_TURNS", LL$3, $E$3, $N$3, , $J$3, $K$3))),"",_xll.ciqfunctions.udf.CIQ($B17, "IQ_INVENTORY_TURNS", LL$3, $E$3, $N$3, , $J$3, $K$3))),"")</f>
        <v/>
      </c>
      <c r="LM17" s="75" t="str">
        <f>IFERROR(IF(OR($B17="",LM$3=""),"",IF(NOT(ISNUMBER(_xll.ciqfunctions.udf.CIQ($B17, "IQ_INVENTORY_TURNS", LM$3, $E$3, $N$3, , $J$3, $K$3))),"",_xll.ciqfunctions.udf.CIQ($B17, "IQ_INVENTORY_TURNS", LM$3, $E$3, $N$3, , $J$3, $K$3))),"")</f>
        <v/>
      </c>
      <c r="LN17" s="75" t="str">
        <f>IFERROR(IF(OR($B17="",LN$3=""),"",IF(NOT(ISNUMBER(_xll.ciqfunctions.udf.CIQ($B17, "IQ_INVENTORY_TURNS", LN$3, $E$3, $N$3, , $J$3, $K$3))),"",_xll.ciqfunctions.udf.CIQ($B17, "IQ_INVENTORY_TURNS", LN$3, $E$3, $N$3, , $J$3, $K$3))),"")</f>
        <v/>
      </c>
      <c r="LO17" s="75" t="str">
        <f>IFERROR(IF(OR($B17="",LO$3=""),"",IF(NOT(ISNUMBER(_xll.ciqfunctions.udf.CIQ($B17, "IQ_INVENTORY_TURNS", LO$3, $E$3, $N$3, , $J$3, $K$3))),"",_xll.ciqfunctions.udf.CIQ($B17, "IQ_INVENTORY_TURNS", LO$3, $E$3, $N$3, , $J$3, $K$3))),"")</f>
        <v/>
      </c>
      <c r="LP17" s="75" t="str">
        <f>IFERROR(IF(OR($B17="",LP$3=""),"",IF(NOT(ISNUMBER(_xll.ciqfunctions.udf.CIQ($B17, "IQ_INVENTORY_TURNS", LP$3, $E$3, $N$3, , $J$3, $K$3))),"",_xll.ciqfunctions.udf.CIQ($B17, "IQ_INVENTORY_TURNS", LP$3, $E$3, $N$3, , $J$3, $K$3))),"")</f>
        <v/>
      </c>
      <c r="LQ17" s="75" t="str">
        <f>IFERROR(IF(OR($B17="",LQ$3=""),"",IF(NOT(ISNUMBER(_xll.ciqfunctions.udf.CIQ($B17, "IQ_INVENTORY_TURNS", LQ$3, $E$3, $N$3, , $J$3, $K$3))),"",_xll.ciqfunctions.udf.CIQ($B17, "IQ_INVENTORY_TURNS", LQ$3, $E$3, $N$3, , $J$3, $K$3))),"")</f>
        <v/>
      </c>
      <c r="LR17" s="75" t="str">
        <f>IFERROR(IF(OR($B17="",LR$3=""),"",IF(NOT(ISNUMBER(_xll.ciqfunctions.udf.CIQ($B17, "IQ_INVENTORY_TURNS", LR$3, $E$3, $N$3, , $J$3, $K$3))),"",_xll.ciqfunctions.udf.CIQ($B17, "IQ_INVENTORY_TURNS", LR$3, $E$3, $N$3, , $J$3, $K$3))),"")</f>
        <v/>
      </c>
      <c r="LS17" s="75" t="str">
        <f>IFERROR(IF(OR($B17="",LS$3=""),"",IF(NOT(ISNUMBER(_xll.ciqfunctions.udf.CIQ($B17, "IQ_INVENTORY_TURNS", LS$3, $E$3, $N$3, , $J$3, $K$3))),"",_xll.ciqfunctions.udf.CIQ($B17, "IQ_INVENTORY_TURNS", LS$3, $E$3, $N$3, , $J$3, $K$3))),"")</f>
        <v/>
      </c>
      <c r="LT17" s="75" t="str">
        <f>IFERROR(IF(OR($B17="",LT$3=""),"",IF(NOT(ISNUMBER(_xll.ciqfunctions.udf.CIQ($B17, "IQ_INVENTORY_TURNS", LT$3, $E$3, $N$3, , $J$3, $K$3))),"",_xll.ciqfunctions.udf.CIQ($B17, "IQ_INVENTORY_TURNS", LT$3, $E$3, $N$3, , $J$3, $K$3))),"")</f>
        <v/>
      </c>
      <c r="LU17" s="75" t="str">
        <f>IFERROR(IF(OR($B17="",LU$3=""),"",IF(NOT(ISNUMBER(_xll.ciqfunctions.udf.CIQ($B17, "IQ_AR_TURNS", LU$3, $E$3, $N$3, , $J$3, $K$3))),"",_xll.ciqfunctions.udf.CIQ($B17, "IQ_AR_TURNS", LU$3, $E$3, $N$3, , $J$3, $K$3))),"")</f>
        <v/>
      </c>
      <c r="LV17" s="75" t="str">
        <f>IFERROR(IF(OR($B17="",LV$3=""),"",IF(NOT(ISNUMBER(_xll.ciqfunctions.udf.CIQ($B17, "IQ_AR_TURNS", LV$3, $E$3, $N$3, , $J$3, $K$3))),"",_xll.ciqfunctions.udf.CIQ($B17, "IQ_AR_TURNS", LV$3, $E$3, $N$3, , $J$3, $K$3))),"")</f>
        <v/>
      </c>
      <c r="LW17" s="75" t="str">
        <f>IFERROR(IF(OR($B17="",LW$3=""),"",IF(NOT(ISNUMBER(_xll.ciqfunctions.udf.CIQ($B17, "IQ_AR_TURNS", LW$3, $E$3, $N$3, , $J$3, $K$3))),"",_xll.ciqfunctions.udf.CIQ($B17, "IQ_AR_TURNS", LW$3, $E$3, $N$3, , $J$3, $K$3))),"")</f>
        <v/>
      </c>
      <c r="LX17" s="75" t="str">
        <f>IFERROR(IF(OR($B17="",LX$3=""),"",IF(NOT(ISNUMBER(_xll.ciqfunctions.udf.CIQ($B17, "IQ_AR_TURNS", LX$3, $E$3, $N$3, , $J$3, $K$3))),"",_xll.ciqfunctions.udf.CIQ($B17, "IQ_AR_TURNS", LX$3, $E$3, $N$3, , $J$3, $K$3))),"")</f>
        <v/>
      </c>
      <c r="LY17" s="75" t="str">
        <f>IFERROR(IF(OR($B17="",LY$3=""),"",IF(NOT(ISNUMBER(_xll.ciqfunctions.udf.CIQ($B17, "IQ_AR_TURNS", LY$3, $E$3, $N$3, , $J$3, $K$3))),"",_xll.ciqfunctions.udf.CIQ($B17, "IQ_AR_TURNS", LY$3, $E$3, $N$3, , $J$3, $K$3))),"")</f>
        <v/>
      </c>
      <c r="LZ17" s="75" t="str">
        <f>IFERROR(IF(OR($B17="",LZ$3=""),"",IF(NOT(ISNUMBER(_xll.ciqfunctions.udf.CIQ($B17, "IQ_AR_TURNS", LZ$3, $E$3, $N$3, , $J$3, $K$3))),"",_xll.ciqfunctions.udf.CIQ($B17, "IQ_AR_TURNS", LZ$3, $E$3, $N$3, , $J$3, $K$3))),"")</f>
        <v/>
      </c>
      <c r="MA17" s="75" t="str">
        <f>IFERROR(IF(OR($B17="",MA$3=""),"",IF(NOT(ISNUMBER(_xll.ciqfunctions.udf.CIQ($B17, "IQ_AR_TURNS", MA$3, $E$3, $N$3, , $J$3, $K$3))),"",_xll.ciqfunctions.udf.CIQ($B17, "IQ_AR_TURNS", MA$3, $E$3, $N$3, , $J$3, $K$3))),"")</f>
        <v/>
      </c>
      <c r="MB17" s="75" t="str">
        <f>IFERROR(IF(OR($B17="",MB$3=""),"",IF(NOT(ISNUMBER(_xll.ciqfunctions.udf.CIQ($B17, "IQ_AR_TURNS", MB$3, $E$3, $N$3, , $J$3, $K$3))),"",_xll.ciqfunctions.udf.CIQ($B17, "IQ_AR_TURNS", MB$3, $E$3, $N$3, , $J$3, $K$3))),"")</f>
        <v/>
      </c>
      <c r="MC17" s="75" t="str">
        <f>IFERROR(IF(OR($B17="",MC$3=""),"",IF(NOT(ISNUMBER(_xll.ciqfunctions.udf.CIQ($B17, "IQ_AR_TURNS", MC$3, $E$3, $N$3, , $J$3, $K$3))),"",_xll.ciqfunctions.udf.CIQ($B17, "IQ_AR_TURNS", MC$3, $E$3, $N$3, , $J$3, $K$3))),"")</f>
        <v/>
      </c>
      <c r="MD17" s="75" t="str">
        <f>IFERROR(IF(OR($B17="",MD$3=""),"",IF(NOT(ISNUMBER(_xll.ciqfunctions.udf.CIQ($B17, "IQ_AR_TURNS", MD$3, $E$3, $N$3, , $J$3, $K$3))),"",_xll.ciqfunctions.udf.CIQ($B17, "IQ_AR_TURNS", MD$3, $E$3, $N$3, , $J$3, $K$3))),"")</f>
        <v/>
      </c>
      <c r="ME17" s="75" t="str">
        <f>IFERROR(IF(OR($B17="",ME$3=""),"",IF(NOT(ISNUMBER(_xll.ciqfunctions.udf.CIQ($B17, "IQ_AR_TURNS", ME$3, $E$3, $N$3, , $J$3, $K$3))),"",_xll.ciqfunctions.udf.CIQ($B17, "IQ_AR_TURNS", ME$3, $E$3, $N$3, , $J$3, $K$3))),"")</f>
        <v/>
      </c>
      <c r="MF17" s="75" t="str">
        <f>IFERROR(IF(OR($B17="",MF$3=""),"",IF(NOT(ISNUMBER(_xll.ciqfunctions.udf.CIQ($B17, "IQ_AR_TURNS", MF$3, $E$3, $N$3, , $J$3, $K$3))),"",_xll.ciqfunctions.udf.CIQ($B17, "IQ_AR_TURNS", MF$3, $E$3, $N$3, , $J$3, $K$3))),"")</f>
        <v/>
      </c>
      <c r="MG17" s="75" t="str">
        <f>IFERROR(IF(OR($B17="",MG$3=""),"",IF(NOT(ISNUMBER(_xll.ciqfunctions.udf.CIQ($B17, "IQ_AR_TURNS", MG$3, $E$3, $N$3, , $J$3, $K$3))),"",_xll.ciqfunctions.udf.CIQ($B17, "IQ_AR_TURNS", MG$3, $E$3, $N$3, , $J$3, $K$3))),"")</f>
        <v/>
      </c>
      <c r="MH17" s="75" t="str">
        <f>IFERROR(IF(OR($B17="",MH$3=""),"",IF(NOT(ISNUMBER(_xll.ciqfunctions.udf.CIQ($B17, "IQ_AR_TURNS", MH$3, $E$3, $N$3, , $J$3, $K$3))),"",_xll.ciqfunctions.udf.CIQ($B17, "IQ_AR_TURNS", MH$3, $E$3, $N$3, , $J$3, $K$3))),"")</f>
        <v/>
      </c>
      <c r="MI17" s="75" t="str">
        <f>IFERROR(IF(OR($B17="",MI$3=""),"",IF(NOT(ISNUMBER(_xll.ciqfunctions.udf.CIQ($B17, "IQ_AR_TURNS", MI$3, $E$3, $N$3, , $J$3, $K$3))),"",_xll.ciqfunctions.udf.CIQ($B17, "IQ_AR_TURNS", MI$3, $E$3, $N$3, , $J$3, $K$3))),"")</f>
        <v/>
      </c>
      <c r="MJ17" s="75" t="str">
        <f>IFERROR(IF(OR($B17="",MJ$3=""),"",IF(NOT(ISNUMBER(_xll.ciqfunctions.udf.CIQ($B17, "IQ_AR_TURNS", MJ$3, $E$3, $N$3, , $J$3, $K$3))),"",_xll.ciqfunctions.udf.CIQ($B17, "IQ_AR_TURNS", MJ$3, $E$3, $N$3, , $J$3, $K$3))),"")</f>
        <v/>
      </c>
      <c r="MK17" s="75" t="str">
        <f>IFERROR(IF(OR($B17="",MK$3=""),"",IF(NOT(ISNUMBER(_xll.ciqfunctions.udf.CIQ($B17, "IQ_AR_TURNS", MK$3, $E$3, $N$3, , $J$3, $K$3))),"",_xll.ciqfunctions.udf.CIQ($B17, "IQ_AR_TURNS", MK$3, $E$3, $N$3, , $J$3, $K$3))),"")</f>
        <v/>
      </c>
      <c r="ML17" s="75" t="str">
        <f>IFERROR(IF(OR($B17="",ML$3=""),"",IF(NOT(ISNUMBER(_xll.ciqfunctions.udf.CIQ($B17, "IQ_AR_TURNS", ML$3, $E$3, $N$3, , $J$3, $K$3))),"",_xll.ciqfunctions.udf.CIQ($B17, "IQ_AR_TURNS", ML$3, $E$3, $N$3, , $J$3, $K$3))),"")</f>
        <v/>
      </c>
      <c r="MM17" s="75" t="str">
        <f>IFERROR(IF(OR($B17="",MM$3=""),"",IF(NOT(ISNUMBER(_xll.ciqfunctions.udf.CIQ($B17, "IQ_AR_TURNS", MM$3, $E$3, $N$3, , $J$3, $K$3))),"",_xll.ciqfunctions.udf.CIQ($B17, "IQ_AR_TURNS", MM$3, $E$3, $N$3, , $J$3, $K$3))),"")</f>
        <v/>
      </c>
      <c r="MN17" s="75" t="str">
        <f>IFERROR(IF(OR($B17="",MN$3=""),"",IF(NOT(ISNUMBER(_xll.ciqfunctions.udf.CIQ($B17, "IQ_AR_TURNS", MN$3, $E$3, $N$3, , $J$3, $K$3))),"",_xll.ciqfunctions.udf.CIQ($B17, "IQ_AR_TURNS", MN$3, $E$3, $N$3, , $J$3, $K$3))),"")</f>
        <v/>
      </c>
      <c r="MO17" s="588" t="str">
        <f>IFERROR(IF(OR($B17="",MO$3=""),"",_xll.ciqfunctions.udf.CIQ($B17, "IQ_LEVERED_FCF", $O$3, MO$3, $N$3, , $J$3, $K$3)*2/(_xll.ciqfunctions.udf.CIQ($B17, "IQ_TOTAL_DEBT", MO$3, $E$3, $N$3, , $J$3, $K$3)+_xll.ciqfunctions.udf.CIQ($B17, "IQ_TOTAL_DEBT", "IQ_" &amp; LEFT(MO$3,2) &amp; "-1", MO$3, $N$3, , $J$3, $K$3)) ),"")</f>
        <v/>
      </c>
      <c r="MP17" s="588" t="str">
        <f>IFERROR(IF(OR($B17="",MP$3=""),"",_xll.ciqfunctions.udf.CIQ($B17, "IQ_LEVERED_FCF", $O$3, MP$3, $N$3, , $J$3, $K$3)*2/(_xll.ciqfunctions.udf.CIQ($B17, "IQ_TOTAL_DEBT", MP$3, $E$3, $N$3, , $J$3, $K$3)+_xll.ciqfunctions.udf.CIQ($B17, "IQ_TOTAL_DEBT", "IQ_" &amp; LEFT(MP$3,2) &amp; "-1", MP$3, $N$3, , $J$3, $K$3)) ),"")</f>
        <v/>
      </c>
      <c r="MQ17" s="588" t="str">
        <f>IFERROR(IF(OR($B17="",MQ$3=""),"",_xll.ciqfunctions.udf.CIQ($B17, "IQ_LEVERED_FCF", $O$3, MQ$3, $N$3, , $J$3, $K$3)*2/(_xll.ciqfunctions.udf.CIQ($B17, "IQ_TOTAL_DEBT", MQ$3, $E$3, $N$3, , $J$3, $K$3)+_xll.ciqfunctions.udf.CIQ($B17, "IQ_TOTAL_DEBT", "IQ_" &amp; LEFT(MQ$3,2) &amp; "-1", MQ$3, $N$3, , $J$3, $K$3)) ),"")</f>
        <v/>
      </c>
      <c r="MR17" s="588" t="str">
        <f>IFERROR(IF(OR($B17="",MR$3=""),"",_xll.ciqfunctions.udf.CIQ($B17, "IQ_LEVERED_FCF", $O$3, MR$3, $N$3, , $J$3, $K$3)*2/(_xll.ciqfunctions.udf.CIQ($B17, "IQ_TOTAL_DEBT", MR$3, $E$3, $N$3, , $J$3, $K$3)+_xll.ciqfunctions.udf.CIQ($B17, "IQ_TOTAL_DEBT", "IQ_" &amp; LEFT(MR$3,2) &amp; "-1", MR$3, $N$3, , $J$3, $K$3)) ),"")</f>
        <v/>
      </c>
      <c r="MS17" s="588" t="str">
        <f>IFERROR(IF(OR($B17="",MS$3=""),"",_xll.ciqfunctions.udf.CIQ($B17, "IQ_LEVERED_FCF", $O$3, MS$3, $N$3, , $J$3, $K$3)*2/(_xll.ciqfunctions.udf.CIQ($B17, "IQ_TOTAL_DEBT", MS$3, $E$3, $N$3, , $J$3, $K$3)+_xll.ciqfunctions.udf.CIQ($B17, "IQ_TOTAL_DEBT", "IQ_" &amp; LEFT(MS$3,2) &amp; "-1", MS$3, $N$3, , $J$3, $K$3)) ),"")</f>
        <v/>
      </c>
      <c r="MT17" s="588" t="str">
        <f>IFERROR(IF(OR($B17="",MT$3=""),"",_xll.ciqfunctions.udf.CIQ($B17, "IQ_LEVERED_FCF", $O$3, MT$3, $N$3, , $J$3, $K$3)*2/(_xll.ciqfunctions.udf.CIQ($B17, "IQ_TOTAL_DEBT", MT$3, $E$3, $N$3, , $J$3, $K$3)+_xll.ciqfunctions.udf.CIQ($B17, "IQ_TOTAL_DEBT", "IQ_" &amp; LEFT(MT$3,2) &amp; "-1", MT$3, $N$3, , $J$3, $K$3)) ),"")</f>
        <v/>
      </c>
      <c r="MU17" s="588" t="str">
        <f>IFERROR(IF(OR($B17="",MU$3=""),"",_xll.ciqfunctions.udf.CIQ($B17, "IQ_LEVERED_FCF", $O$3, MU$3, $N$3, , $J$3, $K$3)*2/(_xll.ciqfunctions.udf.CIQ($B17, "IQ_TOTAL_DEBT", MU$3, $E$3, $N$3, , $J$3, $K$3)+_xll.ciqfunctions.udf.CIQ($B17, "IQ_TOTAL_DEBT", "IQ_" &amp; LEFT(MU$3,2) &amp; "-1", MU$3, $N$3, , $J$3, $K$3)) ),"")</f>
        <v/>
      </c>
      <c r="MV17" s="588" t="str">
        <f>IFERROR(IF(OR($B17="",MV$3=""),"",_xll.ciqfunctions.udf.CIQ($B17, "IQ_LEVERED_FCF", $O$3, MV$3, $N$3, , $J$3, $K$3)*2/(_xll.ciqfunctions.udf.CIQ($B17, "IQ_TOTAL_DEBT", MV$3, $E$3, $N$3, , $J$3, $K$3)+_xll.ciqfunctions.udf.CIQ($B17, "IQ_TOTAL_DEBT", "IQ_" &amp; LEFT(MV$3,2) &amp; "-1", MV$3, $N$3, , $J$3, $K$3)) ),"")</f>
        <v/>
      </c>
      <c r="MW17" s="588" t="str">
        <f>IFERROR(IF(OR($B17="",MW$3=""),"",_xll.ciqfunctions.udf.CIQ($B17, "IQ_LEVERED_FCF", $O$3, MW$3, $N$3, , $J$3, $K$3)*2/(_xll.ciqfunctions.udf.CIQ($B17, "IQ_TOTAL_DEBT", MW$3, $E$3, $N$3, , $J$3, $K$3)+_xll.ciqfunctions.udf.CIQ($B17, "IQ_TOTAL_DEBT", "IQ_" &amp; LEFT(MW$3,2) &amp; "-1", MW$3, $N$3, , $J$3, $K$3)) ),"")</f>
        <v/>
      </c>
      <c r="MX17" s="588" t="str">
        <f>IFERROR(IF(OR($B17="",MX$3=""),"",_xll.ciqfunctions.udf.CIQ($B17, "IQ_LEVERED_FCF", $O$3, MX$3, $N$3, , $J$3, $K$3)*2/(_xll.ciqfunctions.udf.CIQ($B17, "IQ_TOTAL_DEBT", MX$3, $E$3, $N$3, , $J$3, $K$3)+_xll.ciqfunctions.udf.CIQ($B17, "IQ_TOTAL_DEBT", "IQ_" &amp; LEFT(MX$3,2) &amp; "-1", MX$3, $N$3, , $J$3, $K$3)) ),"")</f>
        <v/>
      </c>
      <c r="MY17" s="588" t="str">
        <f>IFERROR(IF(OR($B17="",MY$3=""),"",_xll.ciqfunctions.udf.CIQ($B17, "IQ_LEVERED_FCF", $O$3, MY$3, $N$3, , $J$3, $K$3)*2/(_xll.ciqfunctions.udf.CIQ($B17, "IQ_TOTAL_DEBT", MY$3, $E$3, $N$3, , $J$3, $K$3)+_xll.ciqfunctions.udf.CIQ($B17, "IQ_TOTAL_DEBT", "IQ_" &amp; LEFT(MY$3,2) &amp; "-1", MY$3, $N$3, , $J$3, $K$3)) ),"")</f>
        <v/>
      </c>
      <c r="MZ17" s="588" t="str">
        <f>IFERROR(IF(OR($B17="",MZ$3=""),"",_xll.ciqfunctions.udf.CIQ($B17, "IQ_LEVERED_FCF", $O$3, MZ$3, $N$3, , $J$3, $K$3)*2/(_xll.ciqfunctions.udf.CIQ($B17, "IQ_TOTAL_DEBT", MZ$3, $E$3, $N$3, , $J$3, $K$3)+_xll.ciqfunctions.udf.CIQ($B17, "IQ_TOTAL_DEBT", "IQ_" &amp; LEFT(MZ$3,2) &amp; "-1", MZ$3, $N$3, , $J$3, $K$3)) ),"")</f>
        <v/>
      </c>
      <c r="NA17" s="588" t="str">
        <f>IFERROR(IF(OR($B17="",NA$3=""),"",_xll.ciqfunctions.udf.CIQ($B17, "IQ_LEVERED_FCF", $O$3, NA$3, $N$3, , $J$3, $K$3)*2/(_xll.ciqfunctions.udf.CIQ($B17, "IQ_TOTAL_DEBT", NA$3, $E$3, $N$3, , $J$3, $K$3)+_xll.ciqfunctions.udf.CIQ($B17, "IQ_TOTAL_DEBT", "IQ_" &amp; LEFT(NA$3,2) &amp; "-1", NA$3, $N$3, , $J$3, $K$3)) ),"")</f>
        <v/>
      </c>
      <c r="NB17" s="588" t="str">
        <f>IFERROR(IF(OR($B17="",NB$3=""),"",_xll.ciqfunctions.udf.CIQ($B17, "IQ_LEVERED_FCF", $O$3, NB$3, $N$3, , $J$3, $K$3)*2/(_xll.ciqfunctions.udf.CIQ($B17, "IQ_TOTAL_DEBT", NB$3, $E$3, $N$3, , $J$3, $K$3)+_xll.ciqfunctions.udf.CIQ($B17, "IQ_TOTAL_DEBT", "IQ_" &amp; LEFT(NB$3,2) &amp; "-1", NB$3, $N$3, , $J$3, $K$3)) ),"")</f>
        <v/>
      </c>
      <c r="NC17" s="588" t="str">
        <f>IFERROR(IF(OR($B17="",NC$3=""),"",_xll.ciqfunctions.udf.CIQ($B17, "IQ_LEVERED_FCF", $O$3, NC$3, $N$3, , $J$3, $K$3)*2/(_xll.ciqfunctions.udf.CIQ($B17, "IQ_TOTAL_DEBT", NC$3, $E$3, $N$3, , $J$3, $K$3)+_xll.ciqfunctions.udf.CIQ($B17, "IQ_TOTAL_DEBT", "IQ_" &amp; LEFT(NC$3,2) &amp; "-1", NC$3, $N$3, , $J$3, $K$3)) ),"")</f>
        <v/>
      </c>
      <c r="ND17" s="588" t="str">
        <f>IFERROR(IF(OR($B17="",ND$3=""),"",_xll.ciqfunctions.udf.CIQ($B17, "IQ_LEVERED_FCF", $O$3, ND$3, $N$3, , $J$3, $K$3)*2/(_xll.ciqfunctions.udf.CIQ($B17, "IQ_TOTAL_DEBT", ND$3, $E$3, $N$3, , $J$3, $K$3)+_xll.ciqfunctions.udf.CIQ($B17, "IQ_TOTAL_DEBT", "IQ_" &amp; LEFT(ND$3,2) &amp; "-1", ND$3, $N$3, , $J$3, $K$3)) ),"")</f>
        <v/>
      </c>
      <c r="NE17" s="588" t="str">
        <f>IFERROR(IF(OR($B17="",NE$3=""),"",_xll.ciqfunctions.udf.CIQ($B17, "IQ_LEVERED_FCF", $O$3, NE$3, $N$3, , $J$3, $K$3)*2/(_xll.ciqfunctions.udf.CIQ($B17, "IQ_TOTAL_DEBT", NE$3, $E$3, $N$3, , $J$3, $K$3)+_xll.ciqfunctions.udf.CIQ($B17, "IQ_TOTAL_DEBT", "IQ_" &amp; LEFT(NE$3,2) &amp; "-1", NE$3, $N$3, , $J$3, $K$3)) ),"")</f>
        <v/>
      </c>
      <c r="NF17" s="588" t="str">
        <f>IFERROR(IF(OR($B17="",NF$3=""),"",_xll.ciqfunctions.udf.CIQ($B17, "IQ_LEVERED_FCF", $O$3, NF$3, $N$3, , $J$3, $K$3)*2/(_xll.ciqfunctions.udf.CIQ($B17, "IQ_TOTAL_DEBT", NF$3, $E$3, $N$3, , $J$3, $K$3)+_xll.ciqfunctions.udf.CIQ($B17, "IQ_TOTAL_DEBT", "IQ_" &amp; LEFT(NF$3,2) &amp; "-1", NF$3, $N$3, , $J$3, $K$3)) ),"")</f>
        <v/>
      </c>
      <c r="NG17" s="588" t="str">
        <f>IFERROR(IF(OR($B17="",NG$3=""),"",_xll.ciqfunctions.udf.CIQ($B17, "IQ_LEVERED_FCF", $O$3, NG$3, $N$3, , $J$3, $K$3)*2/(_xll.ciqfunctions.udf.CIQ($B17, "IQ_TOTAL_DEBT", NG$3, $E$3, $N$3, , $J$3, $K$3)+_xll.ciqfunctions.udf.CIQ($B17, "IQ_TOTAL_DEBT", "IQ_" &amp; LEFT(NG$3,2) &amp; "-1", NG$3, $N$3, , $J$3, $K$3)) ),"")</f>
        <v/>
      </c>
      <c r="NH17" s="588" t="str">
        <f>IFERROR(IF(OR($B17="",NH$3=""),"",_xll.ciqfunctions.udf.CIQ($B17, "IQ_LEVERED_FCF", $O$3, NH$3, $N$3, , $J$3, $K$3)*2/(_xll.ciqfunctions.udf.CIQ($B17, "IQ_TOTAL_DEBT", NH$3, $E$3, $N$3, , $J$3, $K$3)+_xll.ciqfunctions.udf.CIQ($B17, "IQ_TOTAL_DEBT", "IQ_" &amp; LEFT(NH$3,2) &amp; "-1", NH$3, $N$3, , $J$3, $K$3)) ),"")</f>
        <v/>
      </c>
      <c r="NI17" s="588" t="str">
        <f>IFERROR(IF(OR($B17="",NI$3=""),"",_xll.ciqfunctions.udf.CIQ($B17, "IQ_CASH_OPER", $O$3, NI$3, $N$3, , $J$3, $K$3)/_xll.ciqfunctions.udf.CIQ($B17, "IQ_NI", NI$3, $E$3, $N$3, , $J$3, $K$3)),"")</f>
        <v/>
      </c>
      <c r="NJ17" s="588" t="str">
        <f>IFERROR(IF(OR($B17="",NJ$3=""),"",_xll.ciqfunctions.udf.CIQ($B17, "IQ_CASH_OPER", $O$3, NJ$3, $N$3, , $J$3, $K$3)/_xll.ciqfunctions.udf.CIQ($B17, "IQ_NI", NJ$3, $E$3, $N$3, , $J$3, $K$3)),"")</f>
        <v/>
      </c>
      <c r="NK17" s="588" t="str">
        <f>IFERROR(IF(OR($B17="",NK$3=""),"",_xll.ciqfunctions.udf.CIQ($B17, "IQ_CASH_OPER", $O$3, NK$3, $N$3, , $J$3, $K$3)/_xll.ciqfunctions.udf.CIQ($B17, "IQ_NI", NK$3, $E$3, $N$3, , $J$3, $K$3)),"")</f>
        <v/>
      </c>
      <c r="NL17" s="588" t="str">
        <f>IFERROR(IF(OR($B17="",NL$3=""),"",_xll.ciqfunctions.udf.CIQ($B17, "IQ_CASH_OPER", $O$3, NL$3, $N$3, , $J$3, $K$3)/_xll.ciqfunctions.udf.CIQ($B17, "IQ_NI", NL$3, $E$3, $N$3, , $J$3, $K$3)),"")</f>
        <v/>
      </c>
      <c r="NM17" s="588" t="str">
        <f>IFERROR(IF(OR($B17="",NM$3=""),"",_xll.ciqfunctions.udf.CIQ($B17, "IQ_CASH_OPER", $O$3, NM$3, $N$3, , $J$3, $K$3)/_xll.ciqfunctions.udf.CIQ($B17, "IQ_NI", NM$3, $E$3, $N$3, , $J$3, $K$3)),"")</f>
        <v/>
      </c>
      <c r="NN17" s="588" t="str">
        <f>IFERROR(IF(OR($B17="",NN$3=""),"",_xll.ciqfunctions.udf.CIQ($B17, "IQ_CASH_OPER", $O$3, NN$3, $N$3, , $J$3, $K$3)/_xll.ciqfunctions.udf.CIQ($B17, "IQ_NI", NN$3, $E$3, $N$3, , $J$3, $K$3)),"")</f>
        <v/>
      </c>
      <c r="NO17" s="588" t="str">
        <f>IFERROR(IF(OR($B17="",NO$3=""),"",_xll.ciqfunctions.udf.CIQ($B17, "IQ_CASH_OPER", $O$3, NO$3, $N$3, , $J$3, $K$3)/_xll.ciqfunctions.udf.CIQ($B17, "IQ_NI", NO$3, $E$3, $N$3, , $J$3, $K$3)),"")</f>
        <v/>
      </c>
      <c r="NP17" s="588" t="str">
        <f>IFERROR(IF(OR($B17="",NP$3=""),"",_xll.ciqfunctions.udf.CIQ($B17, "IQ_CASH_OPER", $O$3, NP$3, $N$3, , $J$3, $K$3)/_xll.ciqfunctions.udf.CIQ($B17, "IQ_NI", NP$3, $E$3, $N$3, , $J$3, $K$3)),"")</f>
        <v/>
      </c>
      <c r="NQ17" s="588" t="str">
        <f>IFERROR(IF(OR($B17="",NQ$3=""),"",_xll.ciqfunctions.udf.CIQ($B17, "IQ_CASH_OPER", $O$3, NQ$3, $N$3, , $J$3, $K$3)/_xll.ciqfunctions.udf.CIQ($B17, "IQ_NI", NQ$3, $E$3, $N$3, , $J$3, $K$3)),"")</f>
        <v/>
      </c>
      <c r="NR17" s="588" t="str">
        <f>IFERROR(IF(OR($B17="",NR$3=""),"",_xll.ciqfunctions.udf.CIQ($B17, "IQ_CASH_OPER", $O$3, NR$3, $N$3, , $J$3, $K$3)/_xll.ciqfunctions.udf.CIQ($B17, "IQ_NI", NR$3, $E$3, $N$3, , $J$3, $K$3)),"")</f>
        <v/>
      </c>
      <c r="NS17" s="588" t="str">
        <f>IFERROR(IF(OR($B17="",NS$3=""),"",_xll.ciqfunctions.udf.CIQ($B17, "IQ_CASH_OPER", $O$3, NS$3, $N$3, , $J$3, $K$3)/_xll.ciqfunctions.udf.CIQ($B17, "IQ_NI", NS$3, $E$3, $N$3, , $J$3, $K$3)),"")</f>
        <v/>
      </c>
      <c r="NT17" s="588" t="str">
        <f>IFERROR(IF(OR($B17="",NT$3=""),"",_xll.ciqfunctions.udf.CIQ($B17, "IQ_CASH_OPER", $O$3, NT$3, $N$3, , $J$3, $K$3)/_xll.ciqfunctions.udf.CIQ($B17, "IQ_NI", NT$3, $E$3, $N$3, , $J$3, $K$3)),"")</f>
        <v/>
      </c>
      <c r="NU17" s="588" t="str">
        <f>IFERROR(IF(OR($B17="",NU$3=""),"",_xll.ciqfunctions.udf.CIQ($B17, "IQ_CASH_OPER", $O$3, NU$3, $N$3, , $J$3, $K$3)/_xll.ciqfunctions.udf.CIQ($B17, "IQ_NI", NU$3, $E$3, $N$3, , $J$3, $K$3)),"")</f>
        <v/>
      </c>
      <c r="NV17" s="588" t="str">
        <f>IFERROR(IF(OR($B17="",NV$3=""),"",_xll.ciqfunctions.udf.CIQ($B17, "IQ_CASH_OPER", $O$3, NV$3, $N$3, , $J$3, $K$3)/_xll.ciqfunctions.udf.CIQ($B17, "IQ_NI", NV$3, $E$3, $N$3, , $J$3, $K$3)),"")</f>
        <v/>
      </c>
      <c r="NW17" s="588" t="str">
        <f>IFERROR(IF(OR($B17="",NW$3=""),"",_xll.ciqfunctions.udf.CIQ($B17, "IQ_CASH_OPER", $O$3, NW$3, $N$3, , $J$3, $K$3)/_xll.ciqfunctions.udf.CIQ($B17, "IQ_NI", NW$3, $E$3, $N$3, , $J$3, $K$3)),"")</f>
        <v/>
      </c>
      <c r="NX17" s="588" t="str">
        <f>IFERROR(IF(OR($B17="",NX$3=""),"",_xll.ciqfunctions.udf.CIQ($B17, "IQ_CASH_OPER", $O$3, NX$3, $N$3, , $J$3, $K$3)/_xll.ciqfunctions.udf.CIQ($B17, "IQ_NI", NX$3, $E$3, $N$3, , $J$3, $K$3)),"")</f>
        <v/>
      </c>
      <c r="NY17" s="588" t="str">
        <f>IFERROR(IF(OR($B17="",NY$3=""),"",_xll.ciqfunctions.udf.CIQ($B17, "IQ_CASH_OPER", $O$3, NY$3, $N$3, , $J$3, $K$3)/_xll.ciqfunctions.udf.CIQ($B17, "IQ_NI", NY$3, $E$3, $N$3, , $J$3, $K$3)),"")</f>
        <v/>
      </c>
      <c r="NZ17" s="588" t="str">
        <f>IFERROR(IF(OR($B17="",NZ$3=""),"",_xll.ciqfunctions.udf.CIQ($B17, "IQ_CASH_OPER", $O$3, NZ$3, $N$3, , $J$3, $K$3)/_xll.ciqfunctions.udf.CIQ($B17, "IQ_NI", NZ$3, $E$3, $N$3, , $J$3, $K$3)),"")</f>
        <v/>
      </c>
      <c r="OA17" s="588" t="str">
        <f>IFERROR(IF(OR($B17="",OA$3=""),"",_xll.ciqfunctions.udf.CIQ($B17, "IQ_CASH_OPER", $O$3, OA$3, $N$3, , $J$3, $K$3)/_xll.ciqfunctions.udf.CIQ($B17, "IQ_NI", OA$3, $E$3, $N$3, , $J$3, $K$3)),"")</f>
        <v/>
      </c>
      <c r="OB17" s="588" t="str">
        <f>IFERROR(IF(OR($B17="",OB$3=""),"",_xll.ciqfunctions.udf.CIQ($B17, "IQ_CASH_OPER", $O$3, OB$3, $N$3, , $J$3, $K$3)/_xll.ciqfunctions.udf.CIQ($B17, "IQ_NI", OB$3, $E$3, $N$3, , $J$3, $K$3)),"")</f>
        <v/>
      </c>
      <c r="OC17" s="294" t="str">
        <f>IFERROR(IF(OR($B17="",OC$3=""),"",_xll.ciqfunctions.udf.CIQ($B17,"IQ_NI",$O$3, OC$3, $N$3, , $J$3, $K$3)*2/(_xll.ciqfunctions.udf.CIQ($B17,"IQ_TOTAL_ASSETS",OC$3,$I$3, $N$3, , $J$3, $K$3)+_xll.ciqfunctions.udf.CIQ($B17,"IQ_TOTAL_ASSETS", "IQ_" &amp; LEFT(OC$3,2) &amp; "-1", OC$3, $N$3, , $J$3, $K$3))),"")</f>
        <v/>
      </c>
      <c r="OD17" s="292" t="str">
        <f>IFERROR(IF(OR($B17="",OD$3=""),"",_xll.ciqfunctions.udf.CIQ($B17,"IQ_NI",$O$3, OD$3, $N$3, , $J$3, $K$3)*2/(_xll.ciqfunctions.udf.CIQ($B17,"IQ_TOTAL_ASSETS",OD$3,$I$3, $N$3, , $J$3, $K$3)+_xll.ciqfunctions.udf.CIQ($B17,"IQ_TOTAL_ASSETS", "IQ_" &amp; LEFT(OD$3,2) &amp; "-1", OD$3, $N$3, , $J$3, $K$3))),"")</f>
        <v/>
      </c>
      <c r="OE17" s="292" t="str">
        <f>IFERROR(IF(OR($B17="",OE$3=""),"",_xll.ciqfunctions.udf.CIQ($B17,"IQ_NI",$O$3, OE$3, $N$3, , $J$3, $K$3)*2/(_xll.ciqfunctions.udf.CIQ($B17,"IQ_TOTAL_ASSETS",OE$3,$I$3, $N$3, , $J$3, $K$3)+_xll.ciqfunctions.udf.CIQ($B17,"IQ_TOTAL_ASSETS", "IQ_" &amp; LEFT(OE$3,2) &amp; "-1", OE$3, $N$3, , $J$3, $K$3))),"")</f>
        <v/>
      </c>
      <c r="OF17" s="292" t="str">
        <f>IFERROR(IF(OR($B17="",OF$3=""),"",_xll.ciqfunctions.udf.CIQ($B17,"IQ_NI",$O$3, OF$3, $N$3, , $J$3, $K$3)*2/(_xll.ciqfunctions.udf.CIQ($B17,"IQ_TOTAL_ASSETS",OF$3,$I$3, $N$3, , $J$3, $K$3)+_xll.ciqfunctions.udf.CIQ($B17,"IQ_TOTAL_ASSETS", "IQ_" &amp; LEFT(OF$3,2) &amp; "-1", OF$3, $N$3, , $J$3, $K$3))),"")</f>
        <v/>
      </c>
      <c r="OG17" s="292" t="str">
        <f>IFERROR(IF(OR($B17="",OG$3=""),"",_xll.ciqfunctions.udf.CIQ($B17,"IQ_NI",$O$3, OG$3, $N$3, , $J$3, $K$3)*2/(_xll.ciqfunctions.udf.CIQ($B17,"IQ_TOTAL_ASSETS",OG$3,$I$3, $N$3, , $J$3, $K$3)+_xll.ciqfunctions.udf.CIQ($B17,"IQ_TOTAL_ASSETS", "IQ_" &amp; LEFT(OG$3,2) &amp; "-1", OG$3, $N$3, , $J$3, $K$3))),"")</f>
        <v/>
      </c>
      <c r="OH17" s="292" t="str">
        <f>IFERROR(IF(OR($B17="",OH$3=""),"",_xll.ciqfunctions.udf.CIQ($B17,"IQ_NI",$O$3, OH$3, $N$3, , $J$3, $K$3)*2/(_xll.ciqfunctions.udf.CIQ($B17,"IQ_TOTAL_ASSETS",OH$3,$I$3, $N$3, , $J$3, $K$3)+_xll.ciqfunctions.udf.CIQ($B17,"IQ_TOTAL_ASSETS", "IQ_" &amp; LEFT(OH$3,2) &amp; "-1", OH$3, $N$3, , $J$3, $K$3))),"")</f>
        <v/>
      </c>
      <c r="OI17" s="292" t="str">
        <f>IFERROR(IF(OR($B17="",OI$3=""),"",_xll.ciqfunctions.udf.CIQ($B17,"IQ_NI",$O$3, OI$3, $N$3, , $J$3, $K$3)*2/(_xll.ciqfunctions.udf.CIQ($B17,"IQ_TOTAL_ASSETS",OI$3,$I$3, $N$3, , $J$3, $K$3)+_xll.ciqfunctions.udf.CIQ($B17,"IQ_TOTAL_ASSETS", "IQ_" &amp; LEFT(OI$3,2) &amp; "-1", OI$3, $N$3, , $J$3, $K$3))),"")</f>
        <v/>
      </c>
      <c r="OJ17" s="292" t="str">
        <f>IFERROR(IF(OR($B17="",OJ$3=""),"",_xll.ciqfunctions.udf.CIQ($B17,"IQ_NI",$O$3, OJ$3, $N$3, , $J$3, $K$3)*2/(_xll.ciqfunctions.udf.CIQ($B17,"IQ_TOTAL_ASSETS",OJ$3,$I$3, $N$3, , $J$3, $K$3)+_xll.ciqfunctions.udf.CIQ($B17,"IQ_TOTAL_ASSETS", "IQ_" &amp; LEFT(OJ$3,2) &amp; "-1", OJ$3, $N$3, , $J$3, $K$3))),"")</f>
        <v/>
      </c>
      <c r="OK17" s="292" t="str">
        <f>IFERROR(IF(OR($B17="",OK$3=""),"",_xll.ciqfunctions.udf.CIQ($B17,"IQ_NI",$O$3, OK$3, $N$3, , $J$3, $K$3)*2/(_xll.ciqfunctions.udf.CIQ($B17,"IQ_TOTAL_ASSETS",OK$3,$I$3, $N$3, , $J$3, $K$3)+_xll.ciqfunctions.udf.CIQ($B17,"IQ_TOTAL_ASSETS", "IQ_" &amp; LEFT(OK$3,2) &amp; "-1", OK$3, $N$3, , $J$3, $K$3))),"")</f>
        <v/>
      </c>
      <c r="OL17" s="292" t="str">
        <f>IFERROR(IF(OR($B17="",OL$3=""),"",_xll.ciqfunctions.udf.CIQ($B17,"IQ_NI",$O$3, OL$3, $N$3, , $J$3, $K$3)*2/(_xll.ciqfunctions.udf.CIQ($B17,"IQ_TOTAL_ASSETS",OL$3,$I$3, $N$3, , $J$3, $K$3)+_xll.ciqfunctions.udf.CIQ($B17,"IQ_TOTAL_ASSETS", "IQ_" &amp; LEFT(OL$3,2) &amp; "-1", OL$3, $N$3, , $J$3, $K$3))),"")</f>
        <v/>
      </c>
      <c r="OM17" s="292" t="str">
        <f>IFERROR(IF(OR($B17="",OM$3=""),"",_xll.ciqfunctions.udf.CIQ($B17,"IQ_NI",$O$3, OM$3, $N$3, , $J$3, $K$3)*2/(_xll.ciqfunctions.udf.CIQ($B17,"IQ_TOTAL_ASSETS",OM$3,$I$3, $N$3, , $J$3, $K$3)+_xll.ciqfunctions.udf.CIQ($B17,"IQ_TOTAL_ASSETS", "IQ_" &amp; LEFT(OM$3,2) &amp; "-1", OM$3, $N$3, , $J$3, $K$3))),"")</f>
        <v/>
      </c>
      <c r="ON17" s="292" t="str">
        <f>IFERROR(IF(OR($B17="",ON$3=""),"",_xll.ciqfunctions.udf.CIQ($B17,"IQ_NI",$O$3, ON$3, $N$3, , $J$3, $K$3)*2/(_xll.ciqfunctions.udf.CIQ($B17,"IQ_TOTAL_ASSETS",ON$3,$I$3, $N$3, , $J$3, $K$3)+_xll.ciqfunctions.udf.CIQ($B17,"IQ_TOTAL_ASSETS", "IQ_" &amp; LEFT(ON$3,2) &amp; "-1", ON$3, $N$3, , $J$3, $K$3))),"")</f>
        <v/>
      </c>
      <c r="OO17" s="292" t="str">
        <f>IFERROR(IF(OR($B17="",OO$3=""),"",_xll.ciqfunctions.udf.CIQ($B17,"IQ_NI",$O$3, OO$3, $N$3, , $J$3, $K$3)*2/(_xll.ciqfunctions.udf.CIQ($B17,"IQ_TOTAL_ASSETS",OO$3,$I$3, $N$3, , $J$3, $K$3)+_xll.ciqfunctions.udf.CIQ($B17,"IQ_TOTAL_ASSETS", "IQ_" &amp; LEFT(OO$3,2) &amp; "-1", OO$3, $N$3, , $J$3, $K$3))),"")</f>
        <v/>
      </c>
      <c r="OP17" s="292" t="str">
        <f>IFERROR(IF(OR($B17="",OP$3=""),"",_xll.ciqfunctions.udf.CIQ($B17,"IQ_NI",$O$3, OP$3, $N$3, , $J$3, $K$3)*2/(_xll.ciqfunctions.udf.CIQ($B17,"IQ_TOTAL_ASSETS",OP$3,$I$3, $N$3, , $J$3, $K$3)+_xll.ciqfunctions.udf.CIQ($B17,"IQ_TOTAL_ASSETS", "IQ_" &amp; LEFT(OP$3,2) &amp; "-1", OP$3, $N$3, , $J$3, $K$3))),"")</f>
        <v/>
      </c>
      <c r="OQ17" s="292" t="str">
        <f>IFERROR(IF(OR($B17="",OQ$3=""),"",_xll.ciqfunctions.udf.CIQ($B17,"IQ_NI",$O$3, OQ$3, $N$3, , $J$3, $K$3)*2/(_xll.ciqfunctions.udf.CIQ($B17,"IQ_TOTAL_ASSETS",OQ$3,$I$3, $N$3, , $J$3, $K$3)+_xll.ciqfunctions.udf.CIQ($B17,"IQ_TOTAL_ASSETS", "IQ_" &amp; LEFT(OQ$3,2) &amp; "-1", OQ$3, $N$3, , $J$3, $K$3))),"")</f>
        <v/>
      </c>
      <c r="OR17" s="292" t="str">
        <f>IFERROR(IF(OR($B17="",OR$3=""),"",_xll.ciqfunctions.udf.CIQ($B17,"IQ_NI",$O$3, OR$3, $N$3, , $J$3, $K$3)*2/(_xll.ciqfunctions.udf.CIQ($B17,"IQ_TOTAL_ASSETS",OR$3,$I$3, $N$3, , $J$3, $K$3)+_xll.ciqfunctions.udf.CIQ($B17,"IQ_TOTAL_ASSETS", "IQ_" &amp; LEFT(OR$3,2) &amp; "-1", OR$3, $N$3, , $J$3, $K$3))),"")</f>
        <v/>
      </c>
      <c r="OS17" s="292" t="str">
        <f>IFERROR(IF(OR($B17="",OS$3=""),"",_xll.ciqfunctions.udf.CIQ($B17,"IQ_NI",$O$3, OS$3, $N$3, , $J$3, $K$3)*2/(_xll.ciqfunctions.udf.CIQ($B17,"IQ_TOTAL_ASSETS",OS$3,$I$3, $N$3, , $J$3, $K$3)+_xll.ciqfunctions.udf.CIQ($B17,"IQ_TOTAL_ASSETS", "IQ_" &amp; LEFT(OS$3,2) &amp; "-1", OS$3, $N$3, , $J$3, $K$3))),"")</f>
        <v/>
      </c>
      <c r="OT17" s="292" t="str">
        <f>IFERROR(IF(OR($B17="",OT$3=""),"",_xll.ciqfunctions.udf.CIQ($B17,"IQ_NI",$O$3, OT$3, $N$3, , $J$3, $K$3)*2/(_xll.ciqfunctions.udf.CIQ($B17,"IQ_TOTAL_ASSETS",OT$3,$I$3, $N$3, , $J$3, $K$3)+_xll.ciqfunctions.udf.CIQ($B17,"IQ_TOTAL_ASSETS", "IQ_" &amp; LEFT(OT$3,2) &amp; "-1", OT$3, $N$3, , $J$3, $K$3))),"")</f>
        <v/>
      </c>
      <c r="OU17" s="292" t="str">
        <f>IFERROR(IF(OR($B17="",OU$3=""),"",_xll.ciqfunctions.udf.CIQ($B17,"IQ_NI",$O$3, OU$3, $N$3, , $J$3, $K$3)*2/(_xll.ciqfunctions.udf.CIQ($B17,"IQ_TOTAL_ASSETS",OU$3,$I$3, $N$3, , $J$3, $K$3)+_xll.ciqfunctions.udf.CIQ($B17,"IQ_TOTAL_ASSETS", "IQ_" &amp; LEFT(OU$3,2) &amp; "-1", OU$3, $N$3, , $J$3, $K$3))),"")</f>
        <v/>
      </c>
      <c r="OV17" s="293" t="str">
        <f>IFERROR(IF(OR($B17="",OV$3=""),"",_xll.ciqfunctions.udf.CIQ($B17,"IQ_NI",$O$3, OV$3, $N$3, , $J$3, $K$3)*2/(_xll.ciqfunctions.udf.CIQ($B17,"IQ_TOTAL_ASSETS",OV$3,$I$3, $N$3, , $J$3, $K$3)+_xll.ciqfunctions.udf.CIQ($B17,"IQ_TOTAL_ASSETS", "IQ_" &amp; LEFT(OV$3,2) &amp; "-1", OV$3, $N$3, , $J$3, $K$3))),"")</f>
        <v/>
      </c>
      <c r="OW17" s="294" t="str">
        <f>IFERROR(IF(OR($B17="",OW$3=""),"",_xll.ciqfunctions.udf.CIQ($B17, "IQ_NI", $O$3, OW$3, $N$3, , $J$3, $K$3)*2/(_xll.ciqfunctions.udf.CIQ($B17, "IQ_TOTAL_ASSETS", OW$3, $I$3, $N$3, , $J$3, $K$3)+_xll.ciqfunctions.udf.CIQ($B17, "IQ_TOTAL_ASSETS", "IQ_" &amp; LEFT(OW$3,2) &amp; "-1", OW$3, $N$3, , $J$3, $K$3)-_xll.ciqfunctions.udf.CIQ($B17, "IQ_TOTAL_CL", OW$3, $I$3, $N$3, , $J$3, $K$3)-_xll.ciqfunctions.udf.CIQ($B17, "IQ_TOTAL_CL", "IQ_" &amp; LEFT(OW$3,2) &amp; "-1", OW$3, $N$3, , $J$3, $K$3))),"")</f>
        <v/>
      </c>
      <c r="OX17" s="292" t="str">
        <f>IFERROR(IF(OR($B17="",OX$3=""),"",_xll.ciqfunctions.udf.CIQ($B17, "IQ_NI", $O$3, OX$3, $N$3, , $J$3, $K$3)*2/(_xll.ciqfunctions.udf.CIQ($B17, "IQ_TOTAL_ASSETS", OX$3, $I$3, $N$3, , $J$3, $K$3)+_xll.ciqfunctions.udf.CIQ($B17, "IQ_TOTAL_ASSETS", "IQ_" &amp; LEFT(OX$3,2) &amp; "-1", OX$3, $N$3, , $J$3, $K$3)-_xll.ciqfunctions.udf.CIQ($B17, "IQ_TOTAL_CL", OX$3, $I$3, $N$3, , $J$3, $K$3)-_xll.ciqfunctions.udf.CIQ($B17, "IQ_TOTAL_CL", "IQ_" &amp; LEFT(OX$3,2) &amp; "-1", OX$3, $N$3, , $J$3, $K$3))),"")</f>
        <v/>
      </c>
      <c r="OY17" s="292" t="str">
        <f>IFERROR(IF(OR($B17="",OY$3=""),"",_xll.ciqfunctions.udf.CIQ($B17, "IQ_NI", $O$3, OY$3, $N$3, , $J$3, $K$3)*2/(_xll.ciqfunctions.udf.CIQ($B17, "IQ_TOTAL_ASSETS", OY$3, $I$3, $N$3, , $J$3, $K$3)+_xll.ciqfunctions.udf.CIQ($B17, "IQ_TOTAL_ASSETS", "IQ_" &amp; LEFT(OY$3,2) &amp; "-1", OY$3, $N$3, , $J$3, $K$3)-_xll.ciqfunctions.udf.CIQ($B17, "IQ_TOTAL_CL", OY$3, $I$3, $N$3, , $J$3, $K$3)-_xll.ciqfunctions.udf.CIQ($B17, "IQ_TOTAL_CL", "IQ_" &amp; LEFT(OY$3,2) &amp; "-1", OY$3, $N$3, , $J$3, $K$3))),"")</f>
        <v/>
      </c>
      <c r="OZ17" s="292" t="str">
        <f>IFERROR(IF(OR($B17="",OZ$3=""),"",_xll.ciqfunctions.udf.CIQ($B17, "IQ_NI", $O$3, OZ$3, $N$3, , $J$3, $K$3)*2/(_xll.ciqfunctions.udf.CIQ($B17, "IQ_TOTAL_ASSETS", OZ$3, $I$3, $N$3, , $J$3, $K$3)+_xll.ciqfunctions.udf.CIQ($B17, "IQ_TOTAL_ASSETS", "IQ_" &amp; LEFT(OZ$3,2) &amp; "-1", OZ$3, $N$3, , $J$3, $K$3)-_xll.ciqfunctions.udf.CIQ($B17, "IQ_TOTAL_CL", OZ$3, $I$3, $N$3, , $J$3, $K$3)-_xll.ciqfunctions.udf.CIQ($B17, "IQ_TOTAL_CL", "IQ_" &amp; LEFT(OZ$3,2) &amp; "-1", OZ$3, $N$3, , $J$3, $K$3))),"")</f>
        <v/>
      </c>
      <c r="PA17" s="292" t="str">
        <f>IFERROR(IF(OR($B17="",PA$3=""),"",_xll.ciqfunctions.udf.CIQ($B17, "IQ_NI", $O$3, PA$3, $N$3, , $J$3, $K$3)*2/(_xll.ciqfunctions.udf.CIQ($B17, "IQ_TOTAL_ASSETS", PA$3, $I$3, $N$3, , $J$3, $K$3)+_xll.ciqfunctions.udf.CIQ($B17, "IQ_TOTAL_ASSETS", "IQ_" &amp; LEFT(PA$3,2) &amp; "-1", PA$3, $N$3, , $J$3, $K$3)-_xll.ciqfunctions.udf.CIQ($B17, "IQ_TOTAL_CL", PA$3, $I$3, $N$3, , $J$3, $K$3)-_xll.ciqfunctions.udf.CIQ($B17, "IQ_TOTAL_CL", "IQ_" &amp; LEFT(PA$3,2) &amp; "-1", PA$3, $N$3, , $J$3, $K$3))),"")</f>
        <v/>
      </c>
      <c r="PB17" s="292" t="str">
        <f>IFERROR(IF(OR($B17="",PB$3=""),"",_xll.ciqfunctions.udf.CIQ($B17, "IQ_NI", $O$3, PB$3, $N$3, , $J$3, $K$3)*2/(_xll.ciqfunctions.udf.CIQ($B17, "IQ_TOTAL_ASSETS", PB$3, $I$3, $N$3, , $J$3, $K$3)+_xll.ciqfunctions.udf.CIQ($B17, "IQ_TOTAL_ASSETS", "IQ_" &amp; LEFT(PB$3,2) &amp; "-1", PB$3, $N$3, , $J$3, $K$3)-_xll.ciqfunctions.udf.CIQ($B17, "IQ_TOTAL_CL", PB$3, $I$3, $N$3, , $J$3, $K$3)-_xll.ciqfunctions.udf.CIQ($B17, "IQ_TOTAL_CL", "IQ_" &amp; LEFT(PB$3,2) &amp; "-1", PB$3, $N$3, , $J$3, $K$3))),"")</f>
        <v/>
      </c>
      <c r="PC17" s="292" t="str">
        <f>IFERROR(IF(OR($B17="",PC$3=""),"",_xll.ciqfunctions.udf.CIQ($B17, "IQ_NI", $O$3, PC$3, $N$3, , $J$3, $K$3)*2/(_xll.ciqfunctions.udf.CIQ($B17, "IQ_TOTAL_ASSETS", PC$3, $I$3, $N$3, , $J$3, $K$3)+_xll.ciqfunctions.udf.CIQ($B17, "IQ_TOTAL_ASSETS", "IQ_" &amp; LEFT(PC$3,2) &amp; "-1", PC$3, $N$3, , $J$3, $K$3)-_xll.ciqfunctions.udf.CIQ($B17, "IQ_TOTAL_CL", PC$3, $I$3, $N$3, , $J$3, $K$3)-_xll.ciqfunctions.udf.CIQ($B17, "IQ_TOTAL_CL", "IQ_" &amp; LEFT(PC$3,2) &amp; "-1", PC$3, $N$3, , $J$3, $K$3))),"")</f>
        <v/>
      </c>
      <c r="PD17" s="292" t="str">
        <f>IFERROR(IF(OR($B17="",PD$3=""),"",_xll.ciqfunctions.udf.CIQ($B17, "IQ_NI", $O$3, PD$3, $N$3, , $J$3, $K$3)*2/(_xll.ciqfunctions.udf.CIQ($B17, "IQ_TOTAL_ASSETS", PD$3, $I$3, $N$3, , $J$3, $K$3)+_xll.ciqfunctions.udf.CIQ($B17, "IQ_TOTAL_ASSETS", "IQ_" &amp; LEFT(PD$3,2) &amp; "-1", PD$3, $N$3, , $J$3, $K$3)-_xll.ciqfunctions.udf.CIQ($B17, "IQ_TOTAL_CL", PD$3, $I$3, $N$3, , $J$3, $K$3)-_xll.ciqfunctions.udf.CIQ($B17, "IQ_TOTAL_CL", "IQ_" &amp; LEFT(PD$3,2) &amp; "-1", PD$3, $N$3, , $J$3, $K$3))),"")</f>
        <v/>
      </c>
      <c r="PE17" s="292" t="str">
        <f>IFERROR(IF(OR($B17="",PE$3=""),"",_xll.ciqfunctions.udf.CIQ($B17, "IQ_NI", $O$3, PE$3, $N$3, , $J$3, $K$3)*2/(_xll.ciqfunctions.udf.CIQ($B17, "IQ_TOTAL_ASSETS", PE$3, $I$3, $N$3, , $J$3, $K$3)+_xll.ciqfunctions.udf.CIQ($B17, "IQ_TOTAL_ASSETS", "IQ_" &amp; LEFT(PE$3,2) &amp; "-1", PE$3, $N$3, , $J$3, $K$3)-_xll.ciqfunctions.udf.CIQ($B17, "IQ_TOTAL_CL", PE$3, $I$3, $N$3, , $J$3, $K$3)-_xll.ciqfunctions.udf.CIQ($B17, "IQ_TOTAL_CL", "IQ_" &amp; LEFT(PE$3,2) &amp; "-1", PE$3, $N$3, , $J$3, $K$3))),"")</f>
        <v/>
      </c>
      <c r="PF17" s="292" t="str">
        <f>IFERROR(IF(OR($B17="",PF$3=""),"",_xll.ciqfunctions.udf.CIQ($B17, "IQ_NI", $O$3, PF$3, $N$3, , $J$3, $K$3)*2/(_xll.ciqfunctions.udf.CIQ($B17, "IQ_TOTAL_ASSETS", PF$3, $I$3, $N$3, , $J$3, $K$3)+_xll.ciqfunctions.udf.CIQ($B17, "IQ_TOTAL_ASSETS", "IQ_" &amp; LEFT(PF$3,2) &amp; "-1", PF$3, $N$3, , $J$3, $K$3)-_xll.ciqfunctions.udf.CIQ($B17, "IQ_TOTAL_CL", PF$3, $I$3, $N$3, , $J$3, $K$3)-_xll.ciqfunctions.udf.CIQ($B17, "IQ_TOTAL_CL", "IQ_" &amp; LEFT(PF$3,2) &amp; "-1", PF$3, $N$3, , $J$3, $K$3))),"")</f>
        <v/>
      </c>
      <c r="PG17" s="292" t="str">
        <f>IFERROR(IF(OR($B17="",PG$3=""),"",_xll.ciqfunctions.udf.CIQ($B17, "IQ_NI", $O$3, PG$3, $N$3, , $J$3, $K$3)*2/(_xll.ciqfunctions.udf.CIQ($B17, "IQ_TOTAL_ASSETS", PG$3, $I$3, $N$3, , $J$3, $K$3)+_xll.ciqfunctions.udf.CIQ($B17, "IQ_TOTAL_ASSETS", "IQ_" &amp; LEFT(PG$3,2) &amp; "-1", PG$3, $N$3, , $J$3, $K$3)-_xll.ciqfunctions.udf.CIQ($B17, "IQ_TOTAL_CL", PG$3, $I$3, $N$3, , $J$3, $K$3)-_xll.ciqfunctions.udf.CIQ($B17, "IQ_TOTAL_CL", "IQ_" &amp; LEFT(PG$3,2) &amp; "-1", PG$3, $N$3, , $J$3, $K$3))),"")</f>
        <v/>
      </c>
      <c r="PH17" s="292" t="str">
        <f>IFERROR(IF(OR($B17="",PH$3=""),"",_xll.ciqfunctions.udf.CIQ($B17, "IQ_NI", $O$3, PH$3, $N$3, , $J$3, $K$3)*2/(_xll.ciqfunctions.udf.CIQ($B17, "IQ_TOTAL_ASSETS", PH$3, $I$3, $N$3, , $J$3, $K$3)+_xll.ciqfunctions.udf.CIQ($B17, "IQ_TOTAL_ASSETS", "IQ_" &amp; LEFT(PH$3,2) &amp; "-1", PH$3, $N$3, , $J$3, $K$3)-_xll.ciqfunctions.udf.CIQ($B17, "IQ_TOTAL_CL", PH$3, $I$3, $N$3, , $J$3, $K$3)-_xll.ciqfunctions.udf.CIQ($B17, "IQ_TOTAL_CL", "IQ_" &amp; LEFT(PH$3,2) &amp; "-1", PH$3, $N$3, , $J$3, $K$3))),"")</f>
        <v/>
      </c>
      <c r="PI17" s="292" t="str">
        <f>IFERROR(IF(OR($B17="",PI$3=""),"",_xll.ciqfunctions.udf.CIQ($B17, "IQ_NI", $O$3, PI$3, $N$3, , $J$3, $K$3)*2/(_xll.ciqfunctions.udf.CIQ($B17, "IQ_TOTAL_ASSETS", PI$3, $I$3, $N$3, , $J$3, $K$3)+_xll.ciqfunctions.udf.CIQ($B17, "IQ_TOTAL_ASSETS", "IQ_" &amp; LEFT(PI$3,2) &amp; "-1", PI$3, $N$3, , $J$3, $K$3)-_xll.ciqfunctions.udf.CIQ($B17, "IQ_TOTAL_CL", PI$3, $I$3, $N$3, , $J$3, $K$3)-_xll.ciqfunctions.udf.CIQ($B17, "IQ_TOTAL_CL", "IQ_" &amp; LEFT(PI$3,2) &amp; "-1", PI$3, $N$3, , $J$3, $K$3))),"")</f>
        <v/>
      </c>
      <c r="PJ17" s="292" t="str">
        <f>IFERROR(IF(OR($B17="",PJ$3=""),"",_xll.ciqfunctions.udf.CIQ($B17, "IQ_NI", $O$3, PJ$3, $N$3, , $J$3, $K$3)*2/(_xll.ciqfunctions.udf.CIQ($B17, "IQ_TOTAL_ASSETS", PJ$3, $I$3, $N$3, , $J$3, $K$3)+_xll.ciqfunctions.udf.CIQ($B17, "IQ_TOTAL_ASSETS", "IQ_" &amp; LEFT(PJ$3,2) &amp; "-1", PJ$3, $N$3, , $J$3, $K$3)-_xll.ciqfunctions.udf.CIQ($B17, "IQ_TOTAL_CL", PJ$3, $I$3, $N$3, , $J$3, $K$3)-_xll.ciqfunctions.udf.CIQ($B17, "IQ_TOTAL_CL", "IQ_" &amp; LEFT(PJ$3,2) &amp; "-1", PJ$3, $N$3, , $J$3, $K$3))),"")</f>
        <v/>
      </c>
      <c r="PK17" s="292" t="str">
        <f>IFERROR(IF(OR($B17="",PK$3=""),"",_xll.ciqfunctions.udf.CIQ($B17, "IQ_NI", $O$3, PK$3, $N$3, , $J$3, $K$3)*2/(_xll.ciqfunctions.udf.CIQ($B17, "IQ_TOTAL_ASSETS", PK$3, $I$3, $N$3, , $J$3, $K$3)+_xll.ciqfunctions.udf.CIQ($B17, "IQ_TOTAL_ASSETS", "IQ_" &amp; LEFT(PK$3,2) &amp; "-1", PK$3, $N$3, , $J$3, $K$3)-_xll.ciqfunctions.udf.CIQ($B17, "IQ_TOTAL_CL", PK$3, $I$3, $N$3, , $J$3, $K$3)-_xll.ciqfunctions.udf.CIQ($B17, "IQ_TOTAL_CL", "IQ_" &amp; LEFT(PK$3,2) &amp; "-1", PK$3, $N$3, , $J$3, $K$3))),"")</f>
        <v/>
      </c>
      <c r="PL17" s="292" t="str">
        <f>IFERROR(IF(OR($B17="",PL$3=""),"",_xll.ciqfunctions.udf.CIQ($B17, "IQ_NI", $O$3, PL$3, $N$3, , $J$3, $K$3)*2/(_xll.ciqfunctions.udf.CIQ($B17, "IQ_TOTAL_ASSETS", PL$3, $I$3, $N$3, , $J$3, $K$3)+_xll.ciqfunctions.udf.CIQ($B17, "IQ_TOTAL_ASSETS", "IQ_" &amp; LEFT(PL$3,2) &amp; "-1", PL$3, $N$3, , $J$3, $K$3)-_xll.ciqfunctions.udf.CIQ($B17, "IQ_TOTAL_CL", PL$3, $I$3, $N$3, , $J$3, $K$3)-_xll.ciqfunctions.udf.CIQ($B17, "IQ_TOTAL_CL", "IQ_" &amp; LEFT(PL$3,2) &amp; "-1", PL$3, $N$3, , $J$3, $K$3))),"")</f>
        <v/>
      </c>
      <c r="PM17" s="292" t="str">
        <f>IFERROR(IF(OR($B17="",PM$3=""),"",_xll.ciqfunctions.udf.CIQ($B17, "IQ_NI", $O$3, PM$3, $N$3, , $J$3, $K$3)*2/(_xll.ciqfunctions.udf.CIQ($B17, "IQ_TOTAL_ASSETS", PM$3, $I$3, $N$3, , $J$3, $K$3)+_xll.ciqfunctions.udf.CIQ($B17, "IQ_TOTAL_ASSETS", "IQ_" &amp; LEFT(PM$3,2) &amp; "-1", PM$3, $N$3, , $J$3, $K$3)-_xll.ciqfunctions.udf.CIQ($B17, "IQ_TOTAL_CL", PM$3, $I$3, $N$3, , $J$3, $K$3)-_xll.ciqfunctions.udf.CIQ($B17, "IQ_TOTAL_CL", "IQ_" &amp; LEFT(PM$3,2) &amp; "-1", PM$3, $N$3, , $J$3, $K$3))),"")</f>
        <v/>
      </c>
      <c r="PN17" s="292" t="str">
        <f>IFERROR(IF(OR($B17="",PN$3=""),"",_xll.ciqfunctions.udf.CIQ($B17, "IQ_NI", $O$3, PN$3, $N$3, , $J$3, $K$3)*2/(_xll.ciqfunctions.udf.CIQ($B17, "IQ_TOTAL_ASSETS", PN$3, $I$3, $N$3, , $J$3, $K$3)+_xll.ciqfunctions.udf.CIQ($B17, "IQ_TOTAL_ASSETS", "IQ_" &amp; LEFT(PN$3,2) &amp; "-1", PN$3, $N$3, , $J$3, $K$3)-_xll.ciqfunctions.udf.CIQ($B17, "IQ_TOTAL_CL", PN$3, $I$3, $N$3, , $J$3, $K$3)-_xll.ciqfunctions.udf.CIQ($B17, "IQ_TOTAL_CL", "IQ_" &amp; LEFT(PN$3,2) &amp; "-1", PN$3, $N$3, , $J$3, $K$3))),"")</f>
        <v/>
      </c>
      <c r="PO17" s="292" t="str">
        <f>IFERROR(IF(OR($B17="",PO$3=""),"",_xll.ciqfunctions.udf.CIQ($B17, "IQ_NI", $O$3, PO$3, $N$3, , $J$3, $K$3)*2/(_xll.ciqfunctions.udf.CIQ($B17, "IQ_TOTAL_ASSETS", PO$3, $I$3, $N$3, , $J$3, $K$3)+_xll.ciqfunctions.udf.CIQ($B17, "IQ_TOTAL_ASSETS", "IQ_" &amp; LEFT(PO$3,2) &amp; "-1", PO$3, $N$3, , $J$3, $K$3)-_xll.ciqfunctions.udf.CIQ($B17, "IQ_TOTAL_CL", PO$3, $I$3, $N$3, , $J$3, $K$3)-_xll.ciqfunctions.udf.CIQ($B17, "IQ_TOTAL_CL", "IQ_" &amp; LEFT(PO$3,2) &amp; "-1", PO$3, $N$3, , $J$3, $K$3))),"")</f>
        <v/>
      </c>
      <c r="PP17" s="293" t="str">
        <f>IFERROR(IF(OR($B17="",PP$3=""),"",_xll.ciqfunctions.udf.CIQ($B17, "IQ_NI", $O$3, PP$3, $N$3, , $J$3, $K$3)*2/(_xll.ciqfunctions.udf.CIQ($B17, "IQ_TOTAL_ASSETS", PP$3, $I$3, $N$3, , $J$3, $K$3)+_xll.ciqfunctions.udf.CIQ($B17, "IQ_TOTAL_ASSETS", "IQ_" &amp; LEFT(PP$3,2) &amp; "-1", PP$3, $N$3, , $J$3, $K$3)-_xll.ciqfunctions.udf.CIQ($B17, "IQ_TOTAL_CL", PP$3, $I$3, $N$3, , $J$3, $K$3)-_xll.ciqfunctions.udf.CIQ($B17, "IQ_TOTAL_CL", "IQ_" &amp; LEFT(PP$3,2) &amp; "-1", PP$3, $N$3, , $J$3, $K$3))),"")</f>
        <v/>
      </c>
      <c r="PQ17" s="295" t="str">
        <f>IFERROR(IF(OR($B17="",PQ$3=""),"",_xll.ciqfunctions.udf.CIQ($B17,"IQ_TOTAL_ASSETS",PQ$3, $I$3, $N$3, , $J$3, $K$3)/_xll.ciqfunctions.udf.CIQ($B17,"IQ_TOTAL_COMMON_EQUITY",PQ$3, $I$3, $N$3, , $J$3, $K$3)),"")</f>
        <v/>
      </c>
      <c r="PR17" s="296" t="str">
        <f>IFERROR(IF(OR($B17="",PR$3=""),"",_xll.ciqfunctions.udf.CIQ($B17,"IQ_TOTAL_ASSETS",PR$3, $I$3, $N$3, , $J$3, $K$3)/_xll.ciqfunctions.udf.CIQ($B17,"IQ_TOTAL_COMMON_EQUITY",PR$3, $I$3, $N$3, , $J$3, $K$3)),"")</f>
        <v/>
      </c>
      <c r="PS17" s="296" t="str">
        <f>IFERROR(IF(OR($B17="",PS$3=""),"",_xll.ciqfunctions.udf.CIQ($B17,"IQ_TOTAL_ASSETS",PS$3, $I$3, $N$3, , $J$3, $K$3)/_xll.ciqfunctions.udf.CIQ($B17,"IQ_TOTAL_COMMON_EQUITY",PS$3, $I$3, $N$3, , $J$3, $K$3)),"")</f>
        <v/>
      </c>
      <c r="PT17" s="296" t="str">
        <f>IFERROR(IF(OR($B17="",PT$3=""),"",_xll.ciqfunctions.udf.CIQ($B17,"IQ_TOTAL_ASSETS",PT$3, $I$3, $N$3, , $J$3, $K$3)/_xll.ciqfunctions.udf.CIQ($B17,"IQ_TOTAL_COMMON_EQUITY",PT$3, $I$3, $N$3, , $J$3, $K$3)),"")</f>
        <v/>
      </c>
      <c r="PU17" s="296" t="str">
        <f>IFERROR(IF(OR($B17="",PU$3=""),"",_xll.ciqfunctions.udf.CIQ($B17,"IQ_TOTAL_ASSETS",PU$3, $I$3, $N$3, , $J$3, $K$3)/_xll.ciqfunctions.udf.CIQ($B17,"IQ_TOTAL_COMMON_EQUITY",PU$3, $I$3, $N$3, , $J$3, $K$3)),"")</f>
        <v/>
      </c>
      <c r="PV17" s="296" t="str">
        <f>IFERROR(IF(OR($B17="",PV$3=""),"",_xll.ciqfunctions.udf.CIQ($B17,"IQ_TOTAL_ASSETS",PV$3, $I$3, $N$3, , $J$3, $K$3)/_xll.ciqfunctions.udf.CIQ($B17,"IQ_TOTAL_COMMON_EQUITY",PV$3, $I$3, $N$3, , $J$3, $K$3)),"")</f>
        <v/>
      </c>
      <c r="PW17" s="296" t="str">
        <f>IFERROR(IF(OR($B17="",PW$3=""),"",_xll.ciqfunctions.udf.CIQ($B17,"IQ_TOTAL_ASSETS",PW$3, $I$3, $N$3, , $J$3, $K$3)/_xll.ciqfunctions.udf.CIQ($B17,"IQ_TOTAL_COMMON_EQUITY",PW$3, $I$3, $N$3, , $J$3, $K$3)),"")</f>
        <v/>
      </c>
      <c r="PX17" s="296" t="str">
        <f>IFERROR(IF(OR($B17="",PX$3=""),"",_xll.ciqfunctions.udf.CIQ($B17,"IQ_TOTAL_ASSETS",PX$3, $I$3, $N$3, , $J$3, $K$3)/_xll.ciqfunctions.udf.CIQ($B17,"IQ_TOTAL_COMMON_EQUITY",PX$3, $I$3, $N$3, , $J$3, $K$3)),"")</f>
        <v/>
      </c>
      <c r="PY17" s="296" t="str">
        <f>IFERROR(IF(OR($B17="",PY$3=""),"",_xll.ciqfunctions.udf.CIQ($B17,"IQ_TOTAL_ASSETS",PY$3, $I$3, $N$3, , $J$3, $K$3)/_xll.ciqfunctions.udf.CIQ($B17,"IQ_TOTAL_COMMON_EQUITY",PY$3, $I$3, $N$3, , $J$3, $K$3)),"")</f>
        <v/>
      </c>
      <c r="PZ17" s="296" t="str">
        <f>IFERROR(IF(OR($B17="",PZ$3=""),"",_xll.ciqfunctions.udf.CIQ($B17,"IQ_TOTAL_ASSETS",PZ$3, $I$3, $N$3, , $J$3, $K$3)/_xll.ciqfunctions.udf.CIQ($B17,"IQ_TOTAL_COMMON_EQUITY",PZ$3, $I$3, $N$3, , $J$3, $K$3)),"")</f>
        <v/>
      </c>
      <c r="QA17" s="296" t="str">
        <f>IFERROR(IF(OR($B17="",QA$3=""),"",_xll.ciqfunctions.udf.CIQ($B17,"IQ_TOTAL_ASSETS",QA$3, $I$3, $N$3, , $J$3, $K$3)/_xll.ciqfunctions.udf.CIQ($B17,"IQ_TOTAL_COMMON_EQUITY",QA$3, $I$3, $N$3, , $J$3, $K$3)),"")</f>
        <v/>
      </c>
      <c r="QB17" s="296" t="str">
        <f>IFERROR(IF(OR($B17="",QB$3=""),"",_xll.ciqfunctions.udf.CIQ($B17,"IQ_TOTAL_ASSETS",QB$3, $I$3, $N$3, , $J$3, $K$3)/_xll.ciqfunctions.udf.CIQ($B17,"IQ_TOTAL_COMMON_EQUITY",QB$3, $I$3, $N$3, , $J$3, $K$3)),"")</f>
        <v/>
      </c>
      <c r="QC17" s="296" t="str">
        <f>IFERROR(IF(OR($B17="",QC$3=""),"",_xll.ciqfunctions.udf.CIQ($B17,"IQ_TOTAL_ASSETS",QC$3, $I$3, $N$3, , $J$3, $K$3)/_xll.ciqfunctions.udf.CIQ($B17,"IQ_TOTAL_COMMON_EQUITY",QC$3, $I$3, $N$3, , $J$3, $K$3)),"")</f>
        <v/>
      </c>
      <c r="QD17" s="296" t="str">
        <f>IFERROR(IF(OR($B17="",QD$3=""),"",_xll.ciqfunctions.udf.CIQ($B17,"IQ_TOTAL_ASSETS",QD$3, $I$3, $N$3, , $J$3, $K$3)/_xll.ciqfunctions.udf.CIQ($B17,"IQ_TOTAL_COMMON_EQUITY",QD$3, $I$3, $N$3, , $J$3, $K$3)),"")</f>
        <v/>
      </c>
      <c r="QE17" s="296" t="str">
        <f>IFERROR(IF(OR($B17="",QE$3=""),"",_xll.ciqfunctions.udf.CIQ($B17,"IQ_TOTAL_ASSETS",QE$3, $I$3, $N$3, , $J$3, $K$3)/_xll.ciqfunctions.udf.CIQ($B17,"IQ_TOTAL_COMMON_EQUITY",QE$3, $I$3, $N$3, , $J$3, $K$3)),"")</f>
        <v/>
      </c>
      <c r="QF17" s="296" t="str">
        <f>IFERROR(IF(OR($B17="",QF$3=""),"",_xll.ciqfunctions.udf.CIQ($B17,"IQ_TOTAL_ASSETS",QF$3, $I$3, $N$3, , $J$3, $K$3)/_xll.ciqfunctions.udf.CIQ($B17,"IQ_TOTAL_COMMON_EQUITY",QF$3, $I$3, $N$3, , $J$3, $K$3)),"")</f>
        <v/>
      </c>
      <c r="QG17" s="296" t="str">
        <f>IFERROR(IF(OR($B17="",QG$3=""),"",_xll.ciqfunctions.udf.CIQ($B17,"IQ_TOTAL_ASSETS",QG$3, $I$3, $N$3, , $J$3, $K$3)/_xll.ciqfunctions.udf.CIQ($B17,"IQ_TOTAL_COMMON_EQUITY",QG$3, $I$3, $N$3, , $J$3, $K$3)),"")</f>
        <v/>
      </c>
      <c r="QH17" s="296" t="str">
        <f>IFERROR(IF(OR($B17="",QH$3=""),"",_xll.ciqfunctions.udf.CIQ($B17,"IQ_TOTAL_ASSETS",QH$3, $I$3, $N$3, , $J$3, $K$3)/_xll.ciqfunctions.udf.CIQ($B17,"IQ_TOTAL_COMMON_EQUITY",QH$3, $I$3, $N$3, , $J$3, $K$3)),"")</f>
        <v/>
      </c>
      <c r="QI17" s="296" t="str">
        <f>IFERROR(IF(OR($B17="",QI$3=""),"",_xll.ciqfunctions.udf.CIQ($B17,"IQ_TOTAL_ASSETS",QI$3, $I$3, $N$3, , $J$3, $K$3)/_xll.ciqfunctions.udf.CIQ($B17,"IQ_TOTAL_COMMON_EQUITY",QI$3, $I$3, $N$3, , $J$3, $K$3)),"")</f>
        <v/>
      </c>
      <c r="QJ17" s="297" t="str">
        <f>IFERROR(IF(OR($B17="",QJ$3=""),"",_xll.ciqfunctions.udf.CIQ($B17,"IQ_TOTAL_ASSETS",QJ$3, $I$3, $N$3, , $J$3, $K$3)/_xll.ciqfunctions.udf.CIQ($B17,"IQ_TOTAL_COMMON_EQUITY",QJ$3, $I$3, $N$3, , $J$3, $K$3)),"")</f>
        <v/>
      </c>
      <c r="QK17" s="294" t="str">
        <f>IFERROR(IF(QK$3="","",_xll.ciqfunctions.udf.CIQ($B17, "IQ_NI", $O$3, QK$3, $N$3, , $J$3, $K$3)/_xll.ciqfunctions.udf.CIQ($B17, "IQ_TOTAL_REV", $O$3, QK$3, $N$3, , $J$3, $K$3)),"")</f>
        <v/>
      </c>
      <c r="QL17" s="292" t="str">
        <f>IFERROR(IF(QL$3="","",_xll.ciqfunctions.udf.CIQ($B17, "IQ_NI", $O$3, QL$3, $N$3, , $J$3, $K$3)/_xll.ciqfunctions.udf.CIQ($B17, "IQ_TOTAL_REV", $O$3, QL$3, $N$3, , $J$3, $K$3)),"")</f>
        <v/>
      </c>
      <c r="QM17" s="292" t="str">
        <f>IFERROR(IF(QM$3="","",_xll.ciqfunctions.udf.CIQ($B17, "IQ_NI", $O$3, QM$3, $N$3, , $J$3, $K$3)/_xll.ciqfunctions.udf.CIQ($B17, "IQ_TOTAL_REV", $O$3, QM$3, $N$3, , $J$3, $K$3)),"")</f>
        <v/>
      </c>
      <c r="QN17" s="292" t="str">
        <f>IFERROR(IF(QN$3="","",_xll.ciqfunctions.udf.CIQ($B17, "IQ_NI", $O$3, QN$3, $N$3, , $J$3, $K$3)/_xll.ciqfunctions.udf.CIQ($B17, "IQ_TOTAL_REV", $O$3, QN$3, $N$3, , $J$3, $K$3)),"")</f>
        <v/>
      </c>
      <c r="QO17" s="292" t="str">
        <f>IFERROR(IF(QO$3="","",_xll.ciqfunctions.udf.CIQ($B17, "IQ_NI", $O$3, QO$3, $N$3, , $J$3, $K$3)/_xll.ciqfunctions.udf.CIQ($B17, "IQ_TOTAL_REV", $O$3, QO$3, $N$3, , $J$3, $K$3)),"")</f>
        <v/>
      </c>
      <c r="QP17" s="292" t="str">
        <f>IFERROR(IF(QP$3="","",_xll.ciqfunctions.udf.CIQ($B17, "IQ_NI", $O$3, QP$3, $N$3, , $J$3, $K$3)/_xll.ciqfunctions.udf.CIQ($B17, "IQ_TOTAL_REV", $O$3, QP$3, $N$3, , $J$3, $K$3)),"")</f>
        <v/>
      </c>
      <c r="QQ17" s="292" t="str">
        <f>IFERROR(IF(QQ$3="","",_xll.ciqfunctions.udf.CIQ($B17, "IQ_NI", $O$3, QQ$3, $N$3, , $J$3, $K$3)/_xll.ciqfunctions.udf.CIQ($B17, "IQ_TOTAL_REV", $O$3, QQ$3, $N$3, , $J$3, $K$3)),"")</f>
        <v/>
      </c>
      <c r="QR17" s="292" t="str">
        <f>IFERROR(IF(QR$3="","",_xll.ciqfunctions.udf.CIQ($B17, "IQ_NI", $O$3, QR$3, $N$3, , $J$3, $K$3)/_xll.ciqfunctions.udf.CIQ($B17, "IQ_TOTAL_REV", $O$3, QR$3, $N$3, , $J$3, $K$3)),"")</f>
        <v/>
      </c>
      <c r="QS17" s="292" t="str">
        <f>IFERROR(IF(QS$3="","",_xll.ciqfunctions.udf.CIQ($B17, "IQ_NI", $O$3, QS$3, $N$3, , $J$3, $K$3)/_xll.ciqfunctions.udf.CIQ($B17, "IQ_TOTAL_REV", $O$3, QS$3, $N$3, , $J$3, $K$3)),"")</f>
        <v/>
      </c>
      <c r="QT17" s="292" t="str">
        <f>IFERROR(IF(QT$3="","",_xll.ciqfunctions.udf.CIQ($B17, "IQ_NI", $O$3, QT$3, $N$3, , $J$3, $K$3)/_xll.ciqfunctions.udf.CIQ($B17, "IQ_TOTAL_REV", $O$3, QT$3, $N$3, , $J$3, $K$3)),"")</f>
        <v/>
      </c>
      <c r="QU17" s="292" t="str">
        <f>IFERROR(IF(QU$3="","",_xll.ciqfunctions.udf.CIQ($B17, "IQ_NI", $O$3, QU$3, $N$3, , $J$3, $K$3)/_xll.ciqfunctions.udf.CIQ($B17, "IQ_TOTAL_REV", $O$3, QU$3, $N$3, , $J$3, $K$3)),"")</f>
        <v/>
      </c>
      <c r="QV17" s="292" t="str">
        <f>IFERROR(IF(QV$3="","",_xll.ciqfunctions.udf.CIQ($B17, "IQ_NI", $O$3, QV$3, $N$3, , $J$3, $K$3)/_xll.ciqfunctions.udf.CIQ($B17, "IQ_TOTAL_REV", $O$3, QV$3, $N$3, , $J$3, $K$3)),"")</f>
        <v/>
      </c>
      <c r="QW17" s="292" t="str">
        <f>IFERROR(IF(QW$3="","",_xll.ciqfunctions.udf.CIQ($B17, "IQ_NI", $O$3, QW$3, $N$3, , $J$3, $K$3)/_xll.ciqfunctions.udf.CIQ($B17, "IQ_TOTAL_REV", $O$3, QW$3, $N$3, , $J$3, $K$3)),"")</f>
        <v/>
      </c>
      <c r="QX17" s="292" t="str">
        <f>IFERROR(IF(QX$3="","",_xll.ciqfunctions.udf.CIQ($B17, "IQ_NI", $O$3, QX$3, $N$3, , $J$3, $K$3)/_xll.ciqfunctions.udf.CIQ($B17, "IQ_TOTAL_REV", $O$3, QX$3, $N$3, , $J$3, $K$3)),"")</f>
        <v/>
      </c>
      <c r="QY17" s="292" t="str">
        <f>IFERROR(IF(QY$3="","",_xll.ciqfunctions.udf.CIQ($B17, "IQ_NI", $O$3, QY$3, $N$3, , $J$3, $K$3)/_xll.ciqfunctions.udf.CIQ($B17, "IQ_TOTAL_REV", $O$3, QY$3, $N$3, , $J$3, $K$3)),"")</f>
        <v/>
      </c>
      <c r="QZ17" s="292" t="str">
        <f>IFERROR(IF(QZ$3="","",_xll.ciqfunctions.udf.CIQ($B17, "IQ_NI", $O$3, QZ$3, $N$3, , $J$3, $K$3)/_xll.ciqfunctions.udf.CIQ($B17, "IQ_TOTAL_REV", $O$3, QZ$3, $N$3, , $J$3, $K$3)),"")</f>
        <v/>
      </c>
      <c r="RA17" s="292" t="str">
        <f>IFERROR(IF(RA$3="","",_xll.ciqfunctions.udf.CIQ($B17, "IQ_NI", $O$3, RA$3, $N$3, , $J$3, $K$3)/_xll.ciqfunctions.udf.CIQ($B17, "IQ_TOTAL_REV", $O$3, RA$3, $N$3, , $J$3, $K$3)),"")</f>
        <v/>
      </c>
      <c r="RB17" s="292" t="str">
        <f>IFERROR(IF(RB$3="","",_xll.ciqfunctions.udf.CIQ($B17, "IQ_NI", $O$3, RB$3, $N$3, , $J$3, $K$3)/_xll.ciqfunctions.udf.CIQ($B17, "IQ_TOTAL_REV", $O$3, RB$3, $N$3, , $J$3, $K$3)),"")</f>
        <v/>
      </c>
      <c r="RC17" s="292" t="str">
        <f>IFERROR(IF(RC$3="","",_xll.ciqfunctions.udf.CIQ($B17, "IQ_NI", $O$3, RC$3, $N$3, , $J$3, $K$3)/_xll.ciqfunctions.udf.CIQ($B17, "IQ_TOTAL_REV", $O$3, RC$3, $N$3, , $J$3, $K$3)),"")</f>
        <v/>
      </c>
      <c r="RD17" s="293" t="str">
        <f>IFERROR(IF(RD$3="","",_xll.ciqfunctions.udf.CIQ($B17, "IQ_NI", $O$3, RD$3, $N$3, , $J$3, $K$3)/_xll.ciqfunctions.udf.CIQ($B17, "IQ_TOTAL_REV", $O$3, RD$3, $N$3, , $J$3, $K$3)),"")</f>
        <v/>
      </c>
      <c r="RE17" s="294" t="str">
        <f>IFERROR(IF(OR($B17="",OC$3=""),"",_xll.ciqfunctions.udf.CIQ($B17,"IQ_NI",$O$3, RE$3, $N$3, , $J$3, $K$3)*2/(_xll.ciqfunctions.udf.CIQ($B17,"IQ_TOTAL_EQUITY", RE$3,$I$3, $N$3, , $J$3, $K$3)+_xll.ciqfunctions.udf.CIQ($B17,"IQ_TOTAL_EQUITY", "IQ_" &amp; LEFT(RE$3,2) &amp; "-1", RE$3, $N$3, , $J$3, $K$3))),"")</f>
        <v/>
      </c>
      <c r="RF17" s="294" t="str">
        <f>IFERROR(IF(OR($B17="",OD$3=""),"",_xll.ciqfunctions.udf.CIQ($B17,"IQ_NI",$O$3, RF$3, $N$3, , $J$3, $K$3)*2/(_xll.ciqfunctions.udf.CIQ($B17,"IQ_TOTAL_EQUITY", RF$3,$I$3, $N$3, , $J$3, $K$3)+_xll.ciqfunctions.udf.CIQ($B17,"IQ_TOTAL_EQUITY", "IQ_" &amp; LEFT(RF$3,2) &amp; "-1", RF$3, $N$3, , $J$3, $K$3))),"")</f>
        <v/>
      </c>
      <c r="RG17" s="294" t="str">
        <f>IFERROR(IF(OR($B17="",OE$3=""),"",_xll.ciqfunctions.udf.CIQ($B17,"IQ_NI",$O$3, RG$3, $N$3, , $J$3, $K$3)*2/(_xll.ciqfunctions.udf.CIQ($B17,"IQ_TOTAL_EQUITY", RG$3,$I$3, $N$3, , $J$3, $K$3)+_xll.ciqfunctions.udf.CIQ($B17,"IQ_TOTAL_EQUITY", "IQ_" &amp; LEFT(RG$3,2) &amp; "-1", RG$3, $N$3, , $J$3, $K$3))),"")</f>
        <v/>
      </c>
      <c r="RH17" s="294" t="str">
        <f>IFERROR(IF(OR($B17="",OF$3=""),"",_xll.ciqfunctions.udf.CIQ($B17,"IQ_NI",$O$3, RH$3, $N$3, , $J$3, $K$3)*2/(_xll.ciqfunctions.udf.CIQ($B17,"IQ_TOTAL_EQUITY", RH$3,$I$3, $N$3, , $J$3, $K$3)+_xll.ciqfunctions.udf.CIQ($B17,"IQ_TOTAL_EQUITY", "IQ_" &amp; LEFT(RH$3,2) &amp; "-1", RH$3, $N$3, , $J$3, $K$3))),"")</f>
        <v/>
      </c>
      <c r="RI17" s="294" t="str">
        <f>IFERROR(IF(OR($B17="",OG$3=""),"",_xll.ciqfunctions.udf.CIQ($B17,"IQ_NI",$O$3, RI$3, $N$3, , $J$3, $K$3)*2/(_xll.ciqfunctions.udf.CIQ($B17,"IQ_TOTAL_EQUITY", RI$3,$I$3, $N$3, , $J$3, $K$3)+_xll.ciqfunctions.udf.CIQ($B17,"IQ_TOTAL_EQUITY", "IQ_" &amp; LEFT(RI$3,2) &amp; "-1", RI$3, $N$3, , $J$3, $K$3))),"")</f>
        <v/>
      </c>
      <c r="RJ17" s="294" t="str">
        <f>IFERROR(IF(OR($B17="",OH$3=""),"",_xll.ciqfunctions.udf.CIQ($B17,"IQ_NI",$O$3, RJ$3, $N$3, , $J$3, $K$3)*2/(_xll.ciqfunctions.udf.CIQ($B17,"IQ_TOTAL_EQUITY", RJ$3,$I$3, $N$3, , $J$3, $K$3)+_xll.ciqfunctions.udf.CIQ($B17,"IQ_TOTAL_EQUITY", "IQ_" &amp; LEFT(RJ$3,2) &amp; "-1", RJ$3, $N$3, , $J$3, $K$3))),"")</f>
        <v/>
      </c>
      <c r="RK17" s="294" t="str">
        <f>IFERROR(IF(OR($B17="",OI$3=""),"",_xll.ciqfunctions.udf.CIQ($B17,"IQ_NI",$O$3, RK$3, $N$3, , $J$3, $K$3)*2/(_xll.ciqfunctions.udf.CIQ($B17,"IQ_TOTAL_EQUITY", RK$3,$I$3, $N$3, , $J$3, $K$3)+_xll.ciqfunctions.udf.CIQ($B17,"IQ_TOTAL_EQUITY", "IQ_" &amp; LEFT(RK$3,2) &amp; "-1", RK$3, $N$3, , $J$3, $K$3))),"")</f>
        <v/>
      </c>
      <c r="RL17" s="294" t="str">
        <f>IFERROR(IF(OR($B17="",OJ$3=""),"",_xll.ciqfunctions.udf.CIQ($B17,"IQ_NI",$O$3, RL$3, $N$3, , $J$3, $K$3)*2/(_xll.ciqfunctions.udf.CIQ($B17,"IQ_TOTAL_EQUITY", RL$3,$I$3, $N$3, , $J$3, $K$3)+_xll.ciqfunctions.udf.CIQ($B17,"IQ_TOTAL_EQUITY", "IQ_" &amp; LEFT(RL$3,2) &amp; "-1", RL$3, $N$3, , $J$3, $K$3))),"")</f>
        <v/>
      </c>
      <c r="RM17" s="294" t="str">
        <f>IFERROR(IF(OR($B17="",OK$3=""),"",_xll.ciqfunctions.udf.CIQ($B17,"IQ_NI",$O$3, RM$3, $N$3, , $J$3, $K$3)*2/(_xll.ciqfunctions.udf.CIQ($B17,"IQ_TOTAL_EQUITY", RM$3,$I$3, $N$3, , $J$3, $K$3)+_xll.ciqfunctions.udf.CIQ($B17,"IQ_TOTAL_EQUITY", "IQ_" &amp; LEFT(RM$3,2) &amp; "-1", RM$3, $N$3, , $J$3, $K$3))),"")</f>
        <v/>
      </c>
      <c r="RN17" s="294" t="str">
        <f>IFERROR(IF(OR($B17="",OL$3=""),"",_xll.ciqfunctions.udf.CIQ($B17,"IQ_NI",$O$3, RN$3, $N$3, , $J$3, $K$3)*2/(_xll.ciqfunctions.udf.CIQ($B17,"IQ_TOTAL_EQUITY", RN$3,$I$3, $N$3, , $J$3, $K$3)+_xll.ciqfunctions.udf.CIQ($B17,"IQ_TOTAL_EQUITY", "IQ_" &amp; LEFT(RN$3,2) &amp; "-1", RN$3, $N$3, , $J$3, $K$3))),"")</f>
        <v/>
      </c>
      <c r="RO17" s="294" t="str">
        <f>IFERROR(IF(OR($B17="",OM$3=""),"",_xll.ciqfunctions.udf.CIQ($B17,"IQ_NI",$O$3, RO$3, $N$3, , $J$3, $K$3)*2/(_xll.ciqfunctions.udf.CIQ($B17,"IQ_TOTAL_EQUITY", RO$3,$I$3, $N$3, , $J$3, $K$3)+_xll.ciqfunctions.udf.CIQ($B17,"IQ_TOTAL_EQUITY", "IQ_" &amp; LEFT(RO$3,2) &amp; "-1", RO$3, $N$3, , $J$3, $K$3))),"")</f>
        <v/>
      </c>
      <c r="RP17" s="294" t="str">
        <f>IFERROR(IF(OR($B17="",ON$3=""),"",_xll.ciqfunctions.udf.CIQ($B17,"IQ_NI",$O$3, RP$3, $N$3, , $J$3, $K$3)*2/(_xll.ciqfunctions.udf.CIQ($B17,"IQ_TOTAL_EQUITY", RP$3,$I$3, $N$3, , $J$3, $K$3)+_xll.ciqfunctions.udf.CIQ($B17,"IQ_TOTAL_EQUITY", "IQ_" &amp; LEFT(RP$3,2) &amp; "-1", RP$3, $N$3, , $J$3, $K$3))),"")</f>
        <v/>
      </c>
      <c r="RQ17" s="294" t="str">
        <f>IFERROR(IF(OR($B17="",OO$3=""),"",_xll.ciqfunctions.udf.CIQ($B17,"IQ_NI",$O$3, RQ$3, $N$3, , $J$3, $K$3)*2/(_xll.ciqfunctions.udf.CIQ($B17,"IQ_TOTAL_EQUITY", RQ$3,$I$3, $N$3, , $J$3, $K$3)+_xll.ciqfunctions.udf.CIQ($B17,"IQ_TOTAL_EQUITY", "IQ_" &amp; LEFT(RQ$3,2) &amp; "-1", RQ$3, $N$3, , $J$3, $K$3))),"")</f>
        <v/>
      </c>
      <c r="RR17" s="294" t="str">
        <f>IFERROR(IF(OR($B17="",OP$3=""),"",_xll.ciqfunctions.udf.CIQ($B17,"IQ_NI",$O$3, RR$3, $N$3, , $J$3, $K$3)*2/(_xll.ciqfunctions.udf.CIQ($B17,"IQ_TOTAL_EQUITY", RR$3,$I$3, $N$3, , $J$3, $K$3)+_xll.ciqfunctions.udf.CIQ($B17,"IQ_TOTAL_EQUITY", "IQ_" &amp; LEFT(RR$3,2) &amp; "-1", RR$3, $N$3, , $J$3, $K$3))),"")</f>
        <v/>
      </c>
      <c r="RS17" s="294" t="str">
        <f>IFERROR(IF(OR($B17="",OQ$3=""),"",_xll.ciqfunctions.udf.CIQ($B17,"IQ_NI",$O$3, RS$3, $N$3, , $J$3, $K$3)*2/(_xll.ciqfunctions.udf.CIQ($B17,"IQ_TOTAL_EQUITY", RS$3,$I$3, $N$3, , $J$3, $K$3)+_xll.ciqfunctions.udf.CIQ($B17,"IQ_TOTAL_EQUITY", "IQ_" &amp; LEFT(RS$3,2) &amp; "-1", RS$3, $N$3, , $J$3, $K$3))),"")</f>
        <v/>
      </c>
      <c r="RT17" s="294" t="str">
        <f>IFERROR(IF(OR($B17="",OR$3=""),"",_xll.ciqfunctions.udf.CIQ($B17,"IQ_NI",$O$3, RT$3, $N$3, , $J$3, $K$3)*2/(_xll.ciqfunctions.udf.CIQ($B17,"IQ_TOTAL_EQUITY", RT$3,$I$3, $N$3, , $J$3, $K$3)+_xll.ciqfunctions.udf.CIQ($B17,"IQ_TOTAL_EQUITY", "IQ_" &amp; LEFT(RT$3,2) &amp; "-1", RT$3, $N$3, , $J$3, $K$3))),"")</f>
        <v/>
      </c>
      <c r="RU17" s="294" t="str">
        <f>IFERROR(IF(OR($B17="",OS$3=""),"",_xll.ciqfunctions.udf.CIQ($B17,"IQ_NI",$O$3, RU$3, $N$3, , $J$3, $K$3)*2/(_xll.ciqfunctions.udf.CIQ($B17,"IQ_TOTAL_EQUITY", RU$3,$I$3, $N$3, , $J$3, $K$3)+_xll.ciqfunctions.udf.CIQ($B17,"IQ_TOTAL_EQUITY", "IQ_" &amp; LEFT(RU$3,2) &amp; "-1", RU$3, $N$3, , $J$3, $K$3))),"")</f>
        <v/>
      </c>
      <c r="RV17" s="294" t="str">
        <f>IFERROR(IF(OR($B17="",OT$3=""),"",_xll.ciqfunctions.udf.CIQ($B17,"IQ_NI",$O$3, RV$3, $N$3, , $J$3, $K$3)*2/(_xll.ciqfunctions.udf.CIQ($B17,"IQ_TOTAL_EQUITY", RV$3,$I$3, $N$3, , $J$3, $K$3)+_xll.ciqfunctions.udf.CIQ($B17,"IQ_TOTAL_EQUITY", "IQ_" &amp; LEFT(RV$3,2) &amp; "-1", RV$3, $N$3, , $J$3, $K$3))),"")</f>
        <v/>
      </c>
      <c r="RW17" s="294" t="str">
        <f>IFERROR(IF(OR($B17="",OU$3=""),"",_xll.ciqfunctions.udf.CIQ($B17,"IQ_NI",$O$3, RW$3, $N$3, , $J$3, $K$3)*2/(_xll.ciqfunctions.udf.CIQ($B17,"IQ_TOTAL_EQUITY", RW$3,$I$3, $N$3, , $J$3, $K$3)+_xll.ciqfunctions.udf.CIQ($B17,"IQ_TOTAL_EQUITY", "IQ_" &amp; LEFT(RW$3,2) &amp; "-1", RW$3, $N$3, , $J$3, $K$3))),"")</f>
        <v/>
      </c>
      <c r="RX17" s="294" t="str">
        <f>IFERROR(IF(OR($B17="",OV$3=""),"",_xll.ciqfunctions.udf.CIQ($B17,"IQ_NI",$O$3, RX$3, $N$3, , $J$3, $K$3)*2/(_xll.ciqfunctions.udf.CIQ($B17,"IQ_TOTAL_EQUITY", RX$3,$I$3, $N$3, , $J$3, $K$3)+_xll.ciqfunctions.udf.CIQ($B17,"IQ_TOTAL_EQUITY", "IQ_" &amp; LEFT(RX$3,2) &amp; "-1", RX$3, $N$3, , $J$3, $K$3))),"")</f>
        <v/>
      </c>
      <c r="RY17" s="294" t="str">
        <f>IFERROR(IF(OR($B17="",RY$3=""),"",_xll.ciqfunctions.udf.CIQ($B17,"IQ_CASH_OPER",$O$3, RY$3, $N$3, , $J$3, $K$3)*2/(_xll.ciqfunctions.udf.CIQ($B17,"IQ_TOTAL_CL",RY$3,$I$3, $N$3, , $J$3, $K$3)+_xll.ciqfunctions.udf.CIQ($B17,"IQ_TOTAL_CL","IQ_" &amp; LEFT(RY$3,2) &amp; "-1", RY$3, $N$3, , $J$3, $K$3))),"")</f>
        <v/>
      </c>
      <c r="RZ17" s="292" t="str">
        <f>IFERROR(IF(OR($B17="",RZ$3=""),"",_xll.ciqfunctions.udf.CIQ($B17,"IQ_CASH_OPER",$O$3, RZ$3, $N$3, , $J$3, $K$3)*2/(_xll.ciqfunctions.udf.CIQ($B17,"IQ_TOTAL_CL",RZ$3,$I$3, $N$3, , $J$3, $K$3)+_xll.ciqfunctions.udf.CIQ($B17,"IQ_TOTAL_CL","IQ_" &amp; LEFT(RZ$3,2) &amp; "-1", RZ$3, $N$3, , $J$3, $K$3))),"")</f>
        <v/>
      </c>
      <c r="SA17" s="292" t="str">
        <f>IFERROR(IF(OR($B17="",SA$3=""),"",_xll.ciqfunctions.udf.CIQ($B17,"IQ_CASH_OPER",$O$3, SA$3, $N$3, , $J$3, $K$3)*2/(_xll.ciqfunctions.udf.CIQ($B17,"IQ_TOTAL_CL",SA$3,$I$3, $N$3, , $J$3, $K$3)+_xll.ciqfunctions.udf.CIQ($B17,"IQ_TOTAL_CL","IQ_" &amp; LEFT(SA$3,2) &amp; "-1", SA$3, $N$3, , $J$3, $K$3))),"")</f>
        <v/>
      </c>
      <c r="SB17" s="292" t="str">
        <f>IFERROR(IF(OR($B17="",SB$3=""),"",_xll.ciqfunctions.udf.CIQ($B17,"IQ_CASH_OPER",$O$3, SB$3, $N$3, , $J$3, $K$3)*2/(_xll.ciqfunctions.udf.CIQ($B17,"IQ_TOTAL_CL",SB$3,$I$3, $N$3, , $J$3, $K$3)+_xll.ciqfunctions.udf.CIQ($B17,"IQ_TOTAL_CL","IQ_" &amp; LEFT(SB$3,2) &amp; "-1", SB$3, $N$3, , $J$3, $K$3))),"")</f>
        <v/>
      </c>
      <c r="SC17" s="292" t="str">
        <f>IFERROR(IF(OR($B17="",SC$3=""),"",_xll.ciqfunctions.udf.CIQ($B17,"IQ_CASH_OPER",$O$3, SC$3, $N$3, , $J$3, $K$3)*2/(_xll.ciqfunctions.udf.CIQ($B17,"IQ_TOTAL_CL",SC$3,$I$3, $N$3, , $J$3, $K$3)+_xll.ciqfunctions.udf.CIQ($B17,"IQ_TOTAL_CL","IQ_" &amp; LEFT(SC$3,2) &amp; "-1", SC$3, $N$3, , $J$3, $K$3))),"")</f>
        <v/>
      </c>
      <c r="SD17" s="292" t="str">
        <f>IFERROR(IF(OR($B17="",SD$3=""),"",_xll.ciqfunctions.udf.CIQ($B17,"IQ_CASH_OPER",$O$3, SD$3, $N$3, , $J$3, $K$3)*2/(_xll.ciqfunctions.udf.CIQ($B17,"IQ_TOTAL_CL",SD$3,$I$3, $N$3, , $J$3, $K$3)+_xll.ciqfunctions.udf.CIQ($B17,"IQ_TOTAL_CL","IQ_" &amp; LEFT(SD$3,2) &amp; "-1", SD$3, $N$3, , $J$3, $K$3))),"")</f>
        <v/>
      </c>
      <c r="SE17" s="292" t="str">
        <f>IFERROR(IF(OR($B17="",SE$3=""),"",_xll.ciqfunctions.udf.CIQ($B17,"IQ_CASH_OPER",$O$3, SE$3, $N$3, , $J$3, $K$3)*2/(_xll.ciqfunctions.udf.CIQ($B17,"IQ_TOTAL_CL",SE$3,$I$3, $N$3, , $J$3, $K$3)+_xll.ciqfunctions.udf.CIQ($B17,"IQ_TOTAL_CL","IQ_" &amp; LEFT(SE$3,2) &amp; "-1", SE$3, $N$3, , $J$3, $K$3))),"")</f>
        <v/>
      </c>
      <c r="SF17" s="292" t="str">
        <f>IFERROR(IF(OR($B17="",SF$3=""),"",_xll.ciqfunctions.udf.CIQ($B17,"IQ_CASH_OPER",$O$3, SF$3, $N$3, , $J$3, $K$3)*2/(_xll.ciqfunctions.udf.CIQ($B17,"IQ_TOTAL_CL",SF$3,$I$3, $N$3, , $J$3, $K$3)+_xll.ciqfunctions.udf.CIQ($B17,"IQ_TOTAL_CL","IQ_" &amp; LEFT(SF$3,2) &amp; "-1", SF$3, $N$3, , $J$3, $K$3))),"")</f>
        <v/>
      </c>
      <c r="SG17" s="292" t="str">
        <f>IFERROR(IF(OR($B17="",SG$3=""),"",_xll.ciqfunctions.udf.CIQ($B17,"IQ_CASH_OPER",$O$3, SG$3, $N$3, , $J$3, $K$3)*2/(_xll.ciqfunctions.udf.CIQ($B17,"IQ_TOTAL_CL",SG$3,$I$3, $N$3, , $J$3, $K$3)+_xll.ciqfunctions.udf.CIQ($B17,"IQ_TOTAL_CL","IQ_" &amp; LEFT(SG$3,2) &amp; "-1", SG$3, $N$3, , $J$3, $K$3))),"")</f>
        <v/>
      </c>
      <c r="SH17" s="292" t="str">
        <f>IFERROR(IF(OR($B17="",SH$3=""),"",_xll.ciqfunctions.udf.CIQ($B17,"IQ_CASH_OPER",$O$3, SH$3, $N$3, , $J$3, $K$3)*2/(_xll.ciqfunctions.udf.CIQ($B17,"IQ_TOTAL_CL",SH$3,$I$3, $N$3, , $J$3, $K$3)+_xll.ciqfunctions.udf.CIQ($B17,"IQ_TOTAL_CL","IQ_" &amp; LEFT(SH$3,2) &amp; "-1", SH$3, $N$3, , $J$3, $K$3))),"")</f>
        <v/>
      </c>
      <c r="SI17" s="292" t="str">
        <f>IFERROR(IF(OR($B17="",SI$3=""),"",_xll.ciqfunctions.udf.CIQ($B17,"IQ_CASH_OPER",$O$3, SI$3, $N$3, , $J$3, $K$3)*2/(_xll.ciqfunctions.udf.CIQ($B17,"IQ_TOTAL_CL",SI$3,$I$3, $N$3, , $J$3, $K$3)+_xll.ciqfunctions.udf.CIQ($B17,"IQ_TOTAL_CL","IQ_" &amp; LEFT(SI$3,2) &amp; "-1", SI$3, $N$3, , $J$3, $K$3))),"")</f>
        <v/>
      </c>
      <c r="SJ17" s="292" t="str">
        <f>IFERROR(IF(OR($B17="",SJ$3=""),"",_xll.ciqfunctions.udf.CIQ($B17,"IQ_CASH_OPER",$O$3, SJ$3, $N$3, , $J$3, $K$3)*2/(_xll.ciqfunctions.udf.CIQ($B17,"IQ_TOTAL_CL",SJ$3,$I$3, $N$3, , $J$3, $K$3)+_xll.ciqfunctions.udf.CIQ($B17,"IQ_TOTAL_CL","IQ_" &amp; LEFT(SJ$3,2) &amp; "-1", SJ$3, $N$3, , $J$3, $K$3))),"")</f>
        <v/>
      </c>
      <c r="SK17" s="292" t="str">
        <f>IFERROR(IF(OR($B17="",SK$3=""),"",_xll.ciqfunctions.udf.CIQ($B17,"IQ_CASH_OPER",$O$3, SK$3, $N$3, , $J$3, $K$3)*2/(_xll.ciqfunctions.udf.CIQ($B17,"IQ_TOTAL_CL",SK$3,$I$3, $N$3, , $J$3, $K$3)+_xll.ciqfunctions.udf.CIQ($B17,"IQ_TOTAL_CL","IQ_" &amp; LEFT(SK$3,2) &amp; "-1", SK$3, $N$3, , $J$3, $K$3))),"")</f>
        <v/>
      </c>
      <c r="SL17" s="292" t="str">
        <f>IFERROR(IF(OR($B17="",SL$3=""),"",_xll.ciqfunctions.udf.CIQ($B17,"IQ_CASH_OPER",$O$3, SL$3, $N$3, , $J$3, $K$3)*2/(_xll.ciqfunctions.udf.CIQ($B17,"IQ_TOTAL_CL",SL$3,$I$3, $N$3, , $J$3, $K$3)+_xll.ciqfunctions.udf.CIQ($B17,"IQ_TOTAL_CL","IQ_" &amp; LEFT(SL$3,2) &amp; "-1", SL$3, $N$3, , $J$3, $K$3))),"")</f>
        <v/>
      </c>
      <c r="SM17" s="292" t="str">
        <f>IFERROR(IF(OR($B17="",SM$3=""),"",_xll.ciqfunctions.udf.CIQ($B17,"IQ_CASH_OPER",$O$3, SM$3, $N$3, , $J$3, $K$3)*2/(_xll.ciqfunctions.udf.CIQ($B17,"IQ_TOTAL_CL",SM$3,$I$3, $N$3, , $J$3, $K$3)+_xll.ciqfunctions.udf.CIQ($B17,"IQ_TOTAL_CL","IQ_" &amp; LEFT(SM$3,2) &amp; "-1", SM$3, $N$3, , $J$3, $K$3))),"")</f>
        <v/>
      </c>
      <c r="SN17" s="292" t="str">
        <f>IFERROR(IF(OR($B17="",SN$3=""),"",_xll.ciqfunctions.udf.CIQ($B17,"IQ_CASH_OPER",$O$3, SN$3, $N$3, , $J$3, $K$3)*2/(_xll.ciqfunctions.udf.CIQ($B17,"IQ_TOTAL_CL",SN$3,$I$3, $N$3, , $J$3, $K$3)+_xll.ciqfunctions.udf.CIQ($B17,"IQ_TOTAL_CL","IQ_" &amp; LEFT(SN$3,2) &amp; "-1", SN$3, $N$3, , $J$3, $K$3))),"")</f>
        <v/>
      </c>
      <c r="SO17" s="292" t="str">
        <f>IFERROR(IF(OR($B17="",SO$3=""),"",_xll.ciqfunctions.udf.CIQ($B17,"IQ_CASH_OPER",$O$3, SO$3, $N$3, , $J$3, $K$3)*2/(_xll.ciqfunctions.udf.CIQ($B17,"IQ_TOTAL_CL",SO$3,$I$3, $N$3, , $J$3, $K$3)+_xll.ciqfunctions.udf.CIQ($B17,"IQ_TOTAL_CL","IQ_" &amp; LEFT(SO$3,2) &amp; "-1", SO$3, $N$3, , $J$3, $K$3))),"")</f>
        <v/>
      </c>
      <c r="SP17" s="292" t="str">
        <f>IFERROR(IF(OR($B17="",SP$3=""),"",_xll.ciqfunctions.udf.CIQ($B17,"IQ_CASH_OPER",$O$3, SP$3, $N$3, , $J$3, $K$3)*2/(_xll.ciqfunctions.udf.CIQ($B17,"IQ_TOTAL_CL",SP$3,$I$3, $N$3, , $J$3, $K$3)+_xll.ciqfunctions.udf.CIQ($B17,"IQ_TOTAL_CL","IQ_" &amp; LEFT(SP$3,2) &amp; "-1", SP$3, $N$3, , $J$3, $K$3))),"")</f>
        <v/>
      </c>
      <c r="SQ17" s="292" t="str">
        <f>IFERROR(IF(OR($B17="",SQ$3=""),"",_xll.ciqfunctions.udf.CIQ($B17,"IQ_CASH_OPER",$O$3, SQ$3, $N$3, , $J$3, $K$3)*2/(_xll.ciqfunctions.udf.CIQ($B17,"IQ_TOTAL_CL",SQ$3,$I$3, $N$3, , $J$3, $K$3)+_xll.ciqfunctions.udf.CIQ($B17,"IQ_TOTAL_CL","IQ_" &amp; LEFT(SQ$3,2) &amp; "-1", SQ$3, $N$3, , $J$3, $K$3))),"")</f>
        <v/>
      </c>
      <c r="SR17" s="293" t="str">
        <f>IFERROR(IF(OR($B17="",SR$3=""),"",_xll.ciqfunctions.udf.CIQ($B17,"IQ_CASH_OPER",$O$3, SR$3, $N$3, , $J$3, $K$3)*2/(_xll.ciqfunctions.udf.CIQ($B17,"IQ_TOTAL_CL",SR$3,$I$3, $N$3, , $J$3, $K$3)+_xll.ciqfunctions.udf.CIQ($B17,"IQ_TOTAL_CL","IQ_" &amp; LEFT(SR$3,2) &amp; "-1", SR$3, $N$3, , $J$3, $K$3))),"")</f>
        <v/>
      </c>
      <c r="SS17" s="294" t="str">
        <f>IFERROR(IF(OR($B17="",SS$3=""),"",MAX(_xll.ciqfunctions.udf.CIQ($B17,"IQ_INC_TAX",SS$3,$I$3, $N$3, , $J$3, $K$3)/ABS(_xll.ciqfunctions.udf.CIQ($B17,"IQ_EBT",SS$3,$I$3, $N$3, , $J$3, $K$3)),0)),"")</f>
        <v/>
      </c>
      <c r="ST17" s="292" t="str">
        <f>IFERROR(IF(OR($B17="",ST$3=""),"",MAX(_xll.ciqfunctions.udf.CIQ($B17,"IQ_INC_TAX",ST$3,$I$3, $N$3, , $J$3, $K$3)/ABS(_xll.ciqfunctions.udf.CIQ($B17,"IQ_EBT",ST$3,$I$3, $N$3, , $J$3, $K$3)),0)),"")</f>
        <v/>
      </c>
      <c r="SU17" s="292" t="str">
        <f>IFERROR(IF(OR($B17="",SU$3=""),"",MAX(_xll.ciqfunctions.udf.CIQ($B17,"IQ_INC_TAX",SU$3,$I$3, $N$3, , $J$3, $K$3)/ABS(_xll.ciqfunctions.udf.CIQ($B17,"IQ_EBT",SU$3,$I$3, $N$3, , $J$3, $K$3)),0)),"")</f>
        <v/>
      </c>
      <c r="SV17" s="292" t="str">
        <f>IFERROR(IF(OR($B17="",SV$3=""),"",MAX(_xll.ciqfunctions.udf.CIQ($B17,"IQ_INC_TAX",SV$3,$I$3, $N$3, , $J$3, $K$3)/ABS(_xll.ciqfunctions.udf.CIQ($B17,"IQ_EBT",SV$3,$I$3, $N$3, , $J$3, $K$3)),0)),"")</f>
        <v/>
      </c>
      <c r="SW17" s="292" t="str">
        <f>IFERROR(IF(OR($B17="",SW$3=""),"",MAX(_xll.ciqfunctions.udf.CIQ($B17,"IQ_INC_TAX",SW$3,$I$3, $N$3, , $J$3, $K$3)/ABS(_xll.ciqfunctions.udf.CIQ($B17,"IQ_EBT",SW$3,$I$3, $N$3, , $J$3, $K$3)),0)),"")</f>
        <v/>
      </c>
      <c r="SX17" s="292" t="str">
        <f>IFERROR(IF(OR($B17="",SX$3=""),"",MAX(_xll.ciqfunctions.udf.CIQ($B17,"IQ_INC_TAX",SX$3,$I$3, $N$3, , $J$3, $K$3)/ABS(_xll.ciqfunctions.udf.CIQ($B17,"IQ_EBT",SX$3,$I$3, $N$3, , $J$3, $K$3)),0)),"")</f>
        <v/>
      </c>
      <c r="SY17" s="292" t="str">
        <f>IFERROR(IF(OR($B17="",SY$3=""),"",MAX(_xll.ciqfunctions.udf.CIQ($B17,"IQ_INC_TAX",SY$3,$I$3, $N$3, , $J$3, $K$3)/ABS(_xll.ciqfunctions.udf.CIQ($B17,"IQ_EBT",SY$3,$I$3, $N$3, , $J$3, $K$3)),0)),"")</f>
        <v/>
      </c>
      <c r="SZ17" s="292" t="str">
        <f>IFERROR(IF(OR($B17="",SZ$3=""),"",MAX(_xll.ciqfunctions.udf.CIQ($B17,"IQ_INC_TAX",SZ$3,$I$3, $N$3, , $J$3, $K$3)/ABS(_xll.ciqfunctions.udf.CIQ($B17,"IQ_EBT",SZ$3,$I$3, $N$3, , $J$3, $K$3)),0)),"")</f>
        <v/>
      </c>
      <c r="TA17" s="292" t="str">
        <f>IFERROR(IF(OR($B17="",TA$3=""),"",MAX(_xll.ciqfunctions.udf.CIQ($B17,"IQ_INC_TAX",TA$3,$I$3, $N$3, , $J$3, $K$3)/ABS(_xll.ciqfunctions.udf.CIQ($B17,"IQ_EBT",TA$3,$I$3, $N$3, , $J$3, $K$3)),0)),"")</f>
        <v/>
      </c>
      <c r="TB17" s="292" t="str">
        <f>IFERROR(IF(OR($B17="",TB$3=""),"",MAX(_xll.ciqfunctions.udf.CIQ($B17,"IQ_INC_TAX",TB$3,$I$3, $N$3, , $J$3, $K$3)/ABS(_xll.ciqfunctions.udf.CIQ($B17,"IQ_EBT",TB$3,$I$3, $N$3, , $J$3, $K$3)),0)),"")</f>
        <v/>
      </c>
      <c r="TC17" s="292" t="str">
        <f>IFERROR(IF(OR($B17="",TC$3=""),"",MAX(_xll.ciqfunctions.udf.CIQ($B17,"IQ_INC_TAX",TC$3,$I$3, $N$3, , $J$3, $K$3)/ABS(_xll.ciqfunctions.udf.CIQ($B17,"IQ_EBT",TC$3,$I$3, $N$3, , $J$3, $K$3)),0)),"")</f>
        <v/>
      </c>
      <c r="TD17" s="292" t="str">
        <f>IFERROR(IF(OR($B17="",TD$3=""),"",MAX(_xll.ciqfunctions.udf.CIQ($B17,"IQ_INC_TAX",TD$3,$I$3, $N$3, , $J$3, $K$3)/ABS(_xll.ciqfunctions.udf.CIQ($B17,"IQ_EBT",TD$3,$I$3, $N$3, , $J$3, $K$3)),0)),"")</f>
        <v/>
      </c>
      <c r="TE17" s="292" t="str">
        <f>IFERROR(IF(OR($B17="",TE$3=""),"",MAX(_xll.ciqfunctions.udf.CIQ($B17,"IQ_INC_TAX",TE$3,$I$3, $N$3, , $J$3, $K$3)/ABS(_xll.ciqfunctions.udf.CIQ($B17,"IQ_EBT",TE$3,$I$3, $N$3, , $J$3, $K$3)),0)),"")</f>
        <v/>
      </c>
      <c r="TF17" s="292" t="str">
        <f>IFERROR(IF(OR($B17="",TF$3=""),"",MAX(_xll.ciqfunctions.udf.CIQ($B17,"IQ_INC_TAX",TF$3,$I$3, $N$3, , $J$3, $K$3)/ABS(_xll.ciqfunctions.udf.CIQ($B17,"IQ_EBT",TF$3,$I$3, $N$3, , $J$3, $K$3)),0)),"")</f>
        <v/>
      </c>
      <c r="TG17" s="292" t="str">
        <f>IFERROR(IF(OR($B17="",TG$3=""),"",MAX(_xll.ciqfunctions.udf.CIQ($B17,"IQ_INC_TAX",TG$3,$I$3, $N$3, , $J$3, $K$3)/ABS(_xll.ciqfunctions.udf.CIQ($B17,"IQ_EBT",TG$3,$I$3, $N$3, , $J$3, $K$3)),0)),"")</f>
        <v/>
      </c>
      <c r="TH17" s="292" t="str">
        <f>IFERROR(IF(OR($B17="",TH$3=""),"",MAX(_xll.ciqfunctions.udf.CIQ($B17,"IQ_INC_TAX",TH$3,$I$3, $N$3, , $J$3, $K$3)/ABS(_xll.ciqfunctions.udf.CIQ($B17,"IQ_EBT",TH$3,$I$3, $N$3, , $J$3, $K$3)),0)),"")</f>
        <v/>
      </c>
      <c r="TI17" s="292" t="str">
        <f>IFERROR(IF(OR($B17="",TI$3=""),"",MAX(_xll.ciqfunctions.udf.CIQ($B17,"IQ_INC_TAX",TI$3,$I$3, $N$3, , $J$3, $K$3)/ABS(_xll.ciqfunctions.udf.CIQ($B17,"IQ_EBT",TI$3,$I$3, $N$3, , $J$3, $K$3)),0)),"")</f>
        <v/>
      </c>
      <c r="TJ17" s="292" t="str">
        <f>IFERROR(IF(OR($B17="",TJ$3=""),"",MAX(_xll.ciqfunctions.udf.CIQ($B17,"IQ_INC_TAX",TJ$3,$I$3, $N$3, , $J$3, $K$3)/ABS(_xll.ciqfunctions.udf.CIQ($B17,"IQ_EBT",TJ$3,$I$3, $N$3, , $J$3, $K$3)),0)),"")</f>
        <v/>
      </c>
      <c r="TK17" s="292" t="str">
        <f>IFERROR(IF(OR($B17="",TK$3=""),"",MAX(_xll.ciqfunctions.udf.CIQ($B17,"IQ_INC_TAX",TK$3,$I$3, $N$3, , $J$3, $K$3)/ABS(_xll.ciqfunctions.udf.CIQ($B17,"IQ_EBT",TK$3,$I$3, $N$3, , $J$3, $K$3)),0)),"")</f>
        <v/>
      </c>
      <c r="TL17" s="293" t="str">
        <f>IFERROR(IF(OR($B17="",TL$3=""),"",MAX(_xll.ciqfunctions.udf.CIQ($B17,"IQ_INC_TAX",TL$3,$I$3, $N$3, , $J$3, $K$3)/ABS(_xll.ciqfunctions.udf.CIQ($B17,"IQ_EBT",TL$3,$I$3, $N$3, , $J$3, $K$3)),0)),"")</f>
        <v/>
      </c>
      <c r="TM17" s="298" t="str">
        <f>IFERROR(IF(OR($B17="",TM$3=""),"",_xll.ciqfunctions.udf.CIQ($B17,"IQ_TOTAL_REVENUE",TM$3,$I$3, $N$3, , $J$3, $K$3)*1000000/_xll.ciqfunctions.udf.CIQ($B17,"IQ_EMPLOYEES",TM$3,$I$3, $N$3, , $J$3, $K$3)),"")</f>
        <v/>
      </c>
      <c r="TN17" s="299" t="str">
        <f>IFERROR(IF(OR($B17="",TN$3=""),"",_xll.ciqfunctions.udf.CIQ($B17,"IQ_TOTAL_REVENUE",TN$3,$I$3, $N$3, , $J$3, $K$3)*1000000/_xll.ciqfunctions.udf.CIQ($B17,"IQ_EMPLOYEES",TN$3,$I$3, $N$3, , $J$3, $K$3)),"")</f>
        <v/>
      </c>
      <c r="TO17" s="299" t="str">
        <f>IFERROR(IF(OR($B17="",TO$3=""),"",_xll.ciqfunctions.udf.CIQ($B17,"IQ_TOTAL_REVENUE",TO$3,$I$3, $N$3, , $J$3, $K$3)*1000000/_xll.ciqfunctions.udf.CIQ($B17,"IQ_EMPLOYEES",TO$3,$I$3, $N$3, , $J$3, $K$3)),"")</f>
        <v/>
      </c>
      <c r="TP17" s="299" t="str">
        <f>IFERROR(IF(OR($B17="",TP$3=""),"",_xll.ciqfunctions.udf.CIQ($B17,"IQ_TOTAL_REVENUE",TP$3,$I$3, $N$3, , $J$3, $K$3)*1000000/_xll.ciqfunctions.udf.CIQ($B17,"IQ_EMPLOYEES",TP$3,$I$3, $N$3, , $J$3, $K$3)),"")</f>
        <v/>
      </c>
      <c r="TQ17" s="299" t="str">
        <f>IFERROR(IF(OR($B17="",TQ$3=""),"",_xll.ciqfunctions.udf.CIQ($B17,"IQ_TOTAL_REVENUE",TQ$3,$I$3, $N$3, , $J$3, $K$3)*1000000/_xll.ciqfunctions.udf.CIQ($B17,"IQ_EMPLOYEES",TQ$3,$I$3, $N$3, , $J$3, $K$3)),"")</f>
        <v/>
      </c>
      <c r="TR17" s="299" t="str">
        <f>IFERROR(IF(OR($B17="",TR$3=""),"",_xll.ciqfunctions.udf.CIQ($B17,"IQ_TOTAL_REVENUE",TR$3,$I$3, $N$3, , $J$3, $K$3)*1000000/_xll.ciqfunctions.udf.CIQ($B17,"IQ_EMPLOYEES",TR$3,$I$3, $N$3, , $J$3, $K$3)),"")</f>
        <v/>
      </c>
      <c r="TS17" s="299" t="str">
        <f>IFERROR(IF(OR($B17="",TS$3=""),"",_xll.ciqfunctions.udf.CIQ($B17,"IQ_TOTAL_REVENUE",TS$3,$I$3, $N$3, , $J$3, $K$3)*1000000/_xll.ciqfunctions.udf.CIQ($B17,"IQ_EMPLOYEES",TS$3,$I$3, $N$3, , $J$3, $K$3)),"")</f>
        <v/>
      </c>
      <c r="TT17" s="299" t="str">
        <f>IFERROR(IF(OR($B17="",TT$3=""),"",_xll.ciqfunctions.udf.CIQ($B17,"IQ_TOTAL_REVENUE",TT$3,$I$3, $N$3, , $J$3, $K$3)*1000000/_xll.ciqfunctions.udf.CIQ($B17,"IQ_EMPLOYEES",TT$3,$I$3, $N$3, , $J$3, $K$3)),"")</f>
        <v/>
      </c>
      <c r="TU17" s="299" t="str">
        <f>IFERROR(IF(OR($B17="",TU$3=""),"",_xll.ciqfunctions.udf.CIQ($B17,"IQ_TOTAL_REVENUE",TU$3,$I$3, $N$3, , $J$3, $K$3)*1000000/_xll.ciqfunctions.udf.CIQ($B17,"IQ_EMPLOYEES",TU$3,$I$3, $N$3, , $J$3, $K$3)),"")</f>
        <v/>
      </c>
      <c r="TV17" s="299" t="str">
        <f>IFERROR(IF(OR($B17="",TV$3=""),"",_xll.ciqfunctions.udf.CIQ($B17,"IQ_TOTAL_REVENUE",TV$3,$I$3, $N$3, , $J$3, $K$3)*1000000/_xll.ciqfunctions.udf.CIQ($B17,"IQ_EMPLOYEES",TV$3,$I$3, $N$3, , $J$3, $K$3)),"")</f>
        <v/>
      </c>
      <c r="TW17" s="299" t="str">
        <f>IFERROR(IF(OR($B17="",TW$3=""),"",_xll.ciqfunctions.udf.CIQ($B17,"IQ_TOTAL_REVENUE",TW$3,$I$3, $N$3, , $J$3, $K$3)*1000000/_xll.ciqfunctions.udf.CIQ($B17,"IQ_EMPLOYEES",TW$3,$I$3, $N$3, , $J$3, $K$3)),"")</f>
        <v/>
      </c>
      <c r="TX17" s="299" t="str">
        <f>IFERROR(IF(OR($B17="",TX$3=""),"",_xll.ciqfunctions.udf.CIQ($B17,"IQ_TOTAL_REVENUE",TX$3,$I$3, $N$3, , $J$3, $K$3)*1000000/_xll.ciqfunctions.udf.CIQ($B17,"IQ_EMPLOYEES",TX$3,$I$3, $N$3, , $J$3, $K$3)),"")</f>
        <v/>
      </c>
      <c r="TY17" s="299" t="str">
        <f>IFERROR(IF(OR($B17="",TY$3=""),"",_xll.ciqfunctions.udf.CIQ($B17,"IQ_TOTAL_REVENUE",TY$3,$I$3, $N$3, , $J$3, $K$3)*1000000/_xll.ciqfunctions.udf.CIQ($B17,"IQ_EMPLOYEES",TY$3,$I$3, $N$3, , $J$3, $K$3)),"")</f>
        <v/>
      </c>
      <c r="TZ17" s="299" t="str">
        <f>IFERROR(IF(OR($B17="",TZ$3=""),"",_xll.ciqfunctions.udf.CIQ($B17,"IQ_TOTAL_REVENUE",TZ$3,$I$3, $N$3, , $J$3, $K$3)*1000000/_xll.ciqfunctions.udf.CIQ($B17,"IQ_EMPLOYEES",TZ$3,$I$3, $N$3, , $J$3, $K$3)),"")</f>
        <v/>
      </c>
      <c r="UA17" s="299" t="str">
        <f>IFERROR(IF(OR($B17="",UA$3=""),"",_xll.ciqfunctions.udf.CIQ($B17,"IQ_TOTAL_REVENUE",UA$3,$I$3, $N$3, , $J$3, $K$3)*1000000/_xll.ciqfunctions.udf.CIQ($B17,"IQ_EMPLOYEES",UA$3,$I$3, $N$3, , $J$3, $K$3)),"")</f>
        <v/>
      </c>
      <c r="UB17" s="299" t="str">
        <f>IFERROR(IF(OR($B17="",UB$3=""),"",_xll.ciqfunctions.udf.CIQ($B17,"IQ_TOTAL_REVENUE",UB$3,$I$3, $N$3, , $J$3, $K$3)*1000000/_xll.ciqfunctions.udf.CIQ($B17,"IQ_EMPLOYEES",UB$3,$I$3, $N$3, , $J$3, $K$3)),"")</f>
        <v/>
      </c>
      <c r="UC17" s="299" t="str">
        <f>IFERROR(IF(OR($B17="",UC$3=""),"",_xll.ciqfunctions.udf.CIQ($B17,"IQ_TOTAL_REVENUE",UC$3,$I$3, $N$3, , $J$3, $K$3)*1000000/_xll.ciqfunctions.udf.CIQ($B17,"IQ_EMPLOYEES",UC$3,$I$3, $N$3, , $J$3, $K$3)),"")</f>
        <v/>
      </c>
      <c r="UD17" s="299" t="str">
        <f>IFERROR(IF(OR($B17="",UD$3=""),"",_xll.ciqfunctions.udf.CIQ($B17,"IQ_TOTAL_REVENUE",UD$3,$I$3, $N$3, , $J$3, $K$3)*1000000/_xll.ciqfunctions.udf.CIQ($B17,"IQ_EMPLOYEES",UD$3,$I$3, $N$3, , $J$3, $K$3)),"")</f>
        <v/>
      </c>
      <c r="UE17" s="299" t="str">
        <f>IFERROR(IF(OR($B17="",UE$3=""),"",_xll.ciqfunctions.udf.CIQ($B17,"IQ_TOTAL_REVENUE",UE$3,$I$3, $N$3, , $J$3, $K$3)*1000000/_xll.ciqfunctions.udf.CIQ($B17,"IQ_EMPLOYEES",UE$3,$I$3, $N$3, , $J$3, $K$3)),"")</f>
        <v/>
      </c>
      <c r="UF17" s="300" t="str">
        <f>IFERROR(IF(OR($B17="",UF$3=""),"",_xll.ciqfunctions.udf.CIQ($B17,"IQ_TOTAL_REVENUE",UF$3,$I$3, $N$3, , $J$3, $K$3)*1000000/_xll.ciqfunctions.udf.CIQ($B17,"IQ_EMPLOYEES",UF$3,$I$3, $N$3, , $J$3, $K$3)),"")</f>
        <v/>
      </c>
      <c r="UG17" s="298" t="str">
        <f>IFERROR(IF(OR($B17="",UG$3=""),"",(_xll.ciqfunctions.udf.CIQ($B17,"IQ_TOTAL_REVENUE",UG$3,$I$3, $N$3, , $J$3, $K$3)-_xll.ciqfunctions.udf.CIQ($B17,"IQ_COGS",UG$3,$I$3, $N$3, , $J$3, $K$3)-_xll.ciqfunctions.udf.CIQ($B17,"IQ_EBIT",UG$3,$I$3, $N$3, , $J$3, $K$3))*1000000/_xll.ciqfunctions.udf.CIQ($B17,"IQ_EMPLOYEES",UG$3,$I$3, $N$3, , $J$3, $K$3)),"")</f>
        <v/>
      </c>
      <c r="UH17" s="299" t="str">
        <f>IFERROR(IF(OR($B17="",UH$3=""),"",(_xll.ciqfunctions.udf.CIQ($B17,"IQ_TOTAL_REVENUE",UH$3,$I$3, $N$3, , $J$3, $K$3)-_xll.ciqfunctions.udf.CIQ($B17,"IQ_COGS",UH$3,$I$3, $N$3, , $J$3, $K$3)-_xll.ciqfunctions.udf.CIQ($B17,"IQ_EBIT",UH$3,$I$3, $N$3, , $J$3, $K$3))*1000000/_xll.ciqfunctions.udf.CIQ($B17,"IQ_EMPLOYEES",UH$3,$I$3, $N$3, , $J$3, $K$3)),"")</f>
        <v/>
      </c>
      <c r="UI17" s="299" t="str">
        <f>IFERROR(IF(OR($B17="",UI$3=""),"",(_xll.ciqfunctions.udf.CIQ($B17,"IQ_TOTAL_REVENUE",UI$3,$I$3, $N$3, , $J$3, $K$3)-_xll.ciqfunctions.udf.CIQ($B17,"IQ_COGS",UI$3,$I$3, $N$3, , $J$3, $K$3)-_xll.ciqfunctions.udf.CIQ($B17,"IQ_EBIT",UI$3,$I$3, $N$3, , $J$3, $K$3))*1000000/_xll.ciqfunctions.udf.CIQ($B17,"IQ_EMPLOYEES",UI$3,$I$3, $N$3, , $J$3, $K$3)),"")</f>
        <v/>
      </c>
      <c r="UJ17" s="299" t="str">
        <f>IFERROR(IF(OR($B17="",UJ$3=""),"",(_xll.ciqfunctions.udf.CIQ($B17,"IQ_TOTAL_REVENUE",UJ$3,$I$3, $N$3, , $J$3, $K$3)-_xll.ciqfunctions.udf.CIQ($B17,"IQ_COGS",UJ$3,$I$3, $N$3, , $J$3, $K$3)-_xll.ciqfunctions.udf.CIQ($B17,"IQ_EBIT",UJ$3,$I$3, $N$3, , $J$3, $K$3))*1000000/_xll.ciqfunctions.udf.CIQ($B17,"IQ_EMPLOYEES",UJ$3,$I$3, $N$3, , $J$3, $K$3)),"")</f>
        <v/>
      </c>
      <c r="UK17" s="299" t="str">
        <f>IFERROR(IF(OR($B17="",UK$3=""),"",(_xll.ciqfunctions.udf.CIQ($B17,"IQ_TOTAL_REVENUE",UK$3,$I$3, $N$3, , $J$3, $K$3)-_xll.ciqfunctions.udf.CIQ($B17,"IQ_COGS",UK$3,$I$3, $N$3, , $J$3, $K$3)-_xll.ciqfunctions.udf.CIQ($B17,"IQ_EBIT",UK$3,$I$3, $N$3, , $J$3, $K$3))*1000000/_xll.ciqfunctions.udf.CIQ($B17,"IQ_EMPLOYEES",UK$3,$I$3, $N$3, , $J$3, $K$3)),"")</f>
        <v/>
      </c>
      <c r="UL17" s="299" t="str">
        <f>IFERROR(IF(OR($B17="",UL$3=""),"",(_xll.ciqfunctions.udf.CIQ($B17,"IQ_TOTAL_REVENUE",UL$3,$I$3, $N$3, , $J$3, $K$3)-_xll.ciqfunctions.udf.CIQ($B17,"IQ_COGS",UL$3,$I$3, $N$3, , $J$3, $K$3)-_xll.ciqfunctions.udf.CIQ($B17,"IQ_EBIT",UL$3,$I$3, $N$3, , $J$3, $K$3))*1000000/_xll.ciqfunctions.udf.CIQ($B17,"IQ_EMPLOYEES",UL$3,$I$3, $N$3, , $J$3, $K$3)),"")</f>
        <v/>
      </c>
      <c r="UM17" s="299" t="str">
        <f>IFERROR(IF(OR($B17="",UM$3=""),"",(_xll.ciqfunctions.udf.CIQ($B17,"IQ_TOTAL_REVENUE",UM$3,$I$3, $N$3, , $J$3, $K$3)-_xll.ciqfunctions.udf.CIQ($B17,"IQ_COGS",UM$3,$I$3, $N$3, , $J$3, $K$3)-_xll.ciqfunctions.udf.CIQ($B17,"IQ_EBIT",UM$3,$I$3, $N$3, , $J$3, $K$3))*1000000/_xll.ciqfunctions.udf.CIQ($B17,"IQ_EMPLOYEES",UM$3,$I$3, $N$3, , $J$3, $K$3)),"")</f>
        <v/>
      </c>
      <c r="UN17" s="299" t="str">
        <f>IFERROR(IF(OR($B17="",UN$3=""),"",(_xll.ciqfunctions.udf.CIQ($B17,"IQ_TOTAL_REVENUE",UN$3,$I$3, $N$3, , $J$3, $K$3)-_xll.ciqfunctions.udf.CIQ($B17,"IQ_COGS",UN$3,$I$3, $N$3, , $J$3, $K$3)-_xll.ciqfunctions.udf.CIQ($B17,"IQ_EBIT",UN$3,$I$3, $N$3, , $J$3, $K$3))*1000000/_xll.ciqfunctions.udf.CIQ($B17,"IQ_EMPLOYEES",UN$3,$I$3, $N$3, , $J$3, $K$3)),"")</f>
        <v/>
      </c>
      <c r="UO17" s="299" t="str">
        <f>IFERROR(IF(OR($B17="",UO$3=""),"",(_xll.ciqfunctions.udf.CIQ($B17,"IQ_TOTAL_REVENUE",UO$3,$I$3, $N$3, , $J$3, $K$3)-_xll.ciqfunctions.udf.CIQ($B17,"IQ_COGS",UO$3,$I$3, $N$3, , $J$3, $K$3)-_xll.ciqfunctions.udf.CIQ($B17,"IQ_EBIT",UO$3,$I$3, $N$3, , $J$3, $K$3))*1000000/_xll.ciqfunctions.udf.CIQ($B17,"IQ_EMPLOYEES",UO$3,$I$3, $N$3, , $J$3, $K$3)),"")</f>
        <v/>
      </c>
      <c r="UP17" s="299" t="str">
        <f>IFERROR(IF(OR($B17="",UP$3=""),"",(_xll.ciqfunctions.udf.CIQ($B17,"IQ_TOTAL_REVENUE",UP$3,$I$3, $N$3, , $J$3, $K$3)-_xll.ciqfunctions.udf.CIQ($B17,"IQ_COGS",UP$3,$I$3, $N$3, , $J$3, $K$3)-_xll.ciqfunctions.udf.CIQ($B17,"IQ_EBIT",UP$3,$I$3, $N$3, , $J$3, $K$3))*1000000/_xll.ciqfunctions.udf.CIQ($B17,"IQ_EMPLOYEES",UP$3,$I$3, $N$3, , $J$3, $K$3)),"")</f>
        <v/>
      </c>
      <c r="UQ17" s="299" t="str">
        <f>IFERROR(IF(OR($B17="",UQ$3=""),"",(_xll.ciqfunctions.udf.CIQ($B17,"IQ_TOTAL_REVENUE",UQ$3,$I$3, $N$3, , $J$3, $K$3)-_xll.ciqfunctions.udf.CIQ($B17,"IQ_COGS",UQ$3,$I$3, $N$3, , $J$3, $K$3)-_xll.ciqfunctions.udf.CIQ($B17,"IQ_EBIT",UQ$3,$I$3, $N$3, , $J$3, $K$3))*1000000/_xll.ciqfunctions.udf.CIQ($B17,"IQ_EMPLOYEES",UQ$3,$I$3, $N$3, , $J$3, $K$3)),"")</f>
        <v/>
      </c>
      <c r="UR17" s="299" t="str">
        <f>IFERROR(IF(OR($B17="",UR$3=""),"",(_xll.ciqfunctions.udf.CIQ($B17,"IQ_TOTAL_REVENUE",UR$3,$I$3, $N$3, , $J$3, $K$3)-_xll.ciqfunctions.udf.CIQ($B17,"IQ_COGS",UR$3,$I$3, $N$3, , $J$3, $K$3)-_xll.ciqfunctions.udf.CIQ($B17,"IQ_EBIT",UR$3,$I$3, $N$3, , $J$3, $K$3))*1000000/_xll.ciqfunctions.udf.CIQ($B17,"IQ_EMPLOYEES",UR$3,$I$3, $N$3, , $J$3, $K$3)),"")</f>
        <v/>
      </c>
      <c r="US17" s="299" t="str">
        <f>IFERROR(IF(OR($B17="",US$3=""),"",(_xll.ciqfunctions.udf.CIQ($B17,"IQ_TOTAL_REVENUE",US$3,$I$3, $N$3, , $J$3, $K$3)-_xll.ciqfunctions.udf.CIQ($B17,"IQ_COGS",US$3,$I$3, $N$3, , $J$3, $K$3)-_xll.ciqfunctions.udf.CIQ($B17,"IQ_EBIT",US$3,$I$3, $N$3, , $J$3, $K$3))*1000000/_xll.ciqfunctions.udf.CIQ($B17,"IQ_EMPLOYEES",US$3,$I$3, $N$3, , $J$3, $K$3)),"")</f>
        <v/>
      </c>
      <c r="UT17" s="299" t="str">
        <f>IFERROR(IF(OR($B17="",UT$3=""),"",(_xll.ciqfunctions.udf.CIQ($B17,"IQ_TOTAL_REVENUE",UT$3,$I$3, $N$3, , $J$3, $K$3)-_xll.ciqfunctions.udf.CIQ($B17,"IQ_COGS",UT$3,$I$3, $N$3, , $J$3, $K$3)-_xll.ciqfunctions.udf.CIQ($B17,"IQ_EBIT",UT$3,$I$3, $N$3, , $J$3, $K$3))*1000000/_xll.ciqfunctions.udf.CIQ($B17,"IQ_EMPLOYEES",UT$3,$I$3, $N$3, , $J$3, $K$3)),"")</f>
        <v/>
      </c>
      <c r="UU17" s="299" t="str">
        <f>IFERROR(IF(OR($B17="",UU$3=""),"",(_xll.ciqfunctions.udf.CIQ($B17,"IQ_TOTAL_REVENUE",UU$3,$I$3, $N$3, , $J$3, $K$3)-_xll.ciqfunctions.udf.CIQ($B17,"IQ_COGS",UU$3,$I$3, $N$3, , $J$3, $K$3)-_xll.ciqfunctions.udf.CIQ($B17,"IQ_EBIT",UU$3,$I$3, $N$3, , $J$3, $K$3))*1000000/_xll.ciqfunctions.udf.CIQ($B17,"IQ_EMPLOYEES",UU$3,$I$3, $N$3, , $J$3, $K$3)),"")</f>
        <v/>
      </c>
      <c r="UV17" s="299" t="str">
        <f>IFERROR(IF(OR($B17="",UV$3=""),"",(_xll.ciqfunctions.udf.CIQ($B17,"IQ_TOTAL_REVENUE",UV$3,$I$3, $N$3, , $J$3, $K$3)-_xll.ciqfunctions.udf.CIQ($B17,"IQ_COGS",UV$3,$I$3, $N$3, , $J$3, $K$3)-_xll.ciqfunctions.udf.CIQ($B17,"IQ_EBIT",UV$3,$I$3, $N$3, , $J$3, $K$3))*1000000/_xll.ciqfunctions.udf.CIQ($B17,"IQ_EMPLOYEES",UV$3,$I$3, $N$3, , $J$3, $K$3)),"")</f>
        <v/>
      </c>
      <c r="UW17" s="299" t="str">
        <f>IFERROR(IF(OR($B17="",UW$3=""),"",(_xll.ciqfunctions.udf.CIQ($B17,"IQ_TOTAL_REVENUE",UW$3,$I$3, $N$3, , $J$3, $K$3)-_xll.ciqfunctions.udf.CIQ($B17,"IQ_COGS",UW$3,$I$3, $N$3, , $J$3, $K$3)-_xll.ciqfunctions.udf.CIQ($B17,"IQ_EBIT",UW$3,$I$3, $N$3, , $J$3, $K$3))*1000000/_xll.ciqfunctions.udf.CIQ($B17,"IQ_EMPLOYEES",UW$3,$I$3, $N$3, , $J$3, $K$3)),"")</f>
        <v/>
      </c>
      <c r="UX17" s="299" t="str">
        <f>IFERROR(IF(OR($B17="",UX$3=""),"",(_xll.ciqfunctions.udf.CIQ($B17,"IQ_TOTAL_REVENUE",UX$3,$I$3, $N$3, , $J$3, $K$3)-_xll.ciqfunctions.udf.CIQ($B17,"IQ_COGS",UX$3,$I$3, $N$3, , $J$3, $K$3)-_xll.ciqfunctions.udf.CIQ($B17,"IQ_EBIT",UX$3,$I$3, $N$3, , $J$3, $K$3))*1000000/_xll.ciqfunctions.udf.CIQ($B17,"IQ_EMPLOYEES",UX$3,$I$3, $N$3, , $J$3, $K$3)),"")</f>
        <v/>
      </c>
      <c r="UY17" s="299" t="str">
        <f>IFERROR(IF(OR($B17="",UY$3=""),"",(_xll.ciqfunctions.udf.CIQ($B17,"IQ_TOTAL_REVENUE",UY$3,$I$3, $N$3, , $J$3, $K$3)-_xll.ciqfunctions.udf.CIQ($B17,"IQ_COGS",UY$3,$I$3, $N$3, , $J$3, $K$3)-_xll.ciqfunctions.udf.CIQ($B17,"IQ_EBIT",UY$3,$I$3, $N$3, , $J$3, $K$3))*1000000/_xll.ciqfunctions.udf.CIQ($B17,"IQ_EMPLOYEES",UY$3,$I$3, $N$3, , $J$3, $K$3)),"")</f>
        <v/>
      </c>
      <c r="UZ17" s="300" t="str">
        <f>IFERROR(IF(OR($B17="",UZ$3=""),"",(_xll.ciqfunctions.udf.CIQ($B17,"IQ_TOTAL_REVENUE",UZ$3,$I$3, $N$3, , $J$3, $K$3)-_xll.ciqfunctions.udf.CIQ($B17,"IQ_COGS",UZ$3,$I$3, $N$3, , $J$3, $K$3)-_xll.ciqfunctions.udf.CIQ($B17,"IQ_EBIT",UZ$3,$I$3, $N$3, , $J$3, $K$3))*1000000/_xll.ciqfunctions.udf.CIQ($B17,"IQ_EMPLOYEES",UZ$3,$I$3, $N$3, , $J$3, $K$3)),"")</f>
        <v/>
      </c>
      <c r="VA17" s="298" t="str">
        <f>IFERROR(IF(OR($B17="",VA$3=""),"",_xll.ciqfunctions.udf.CIQ($B17,"IQ_SGA_SUPPL",VA$3,$I$3, $N$3, , $J$3, $K$3)*1000000/_xll.ciqfunctions.udf.CIQ($B17,"IQ_EMPLOYEES",VA$3,$I$3, $N$3, , $J$3, $K$3)),"")</f>
        <v/>
      </c>
      <c r="VB17" s="299" t="str">
        <f>IFERROR(IF(OR($B17="",VB$3=""),"",_xll.ciqfunctions.udf.CIQ($B17,"IQ_SGA_SUPPL",VB$3,$I$3, $N$3, , $J$3, $K$3)*1000000/_xll.ciqfunctions.udf.CIQ($B17,"IQ_EMPLOYEES",VB$3,$I$3, $N$3, , $J$3, $K$3)),"")</f>
        <v/>
      </c>
      <c r="VC17" s="299" t="str">
        <f>IFERROR(IF(OR($B17="",VC$3=""),"",_xll.ciqfunctions.udf.CIQ($B17,"IQ_SGA_SUPPL",VC$3,$I$3, $N$3, , $J$3, $K$3)*1000000/_xll.ciqfunctions.udf.CIQ($B17,"IQ_EMPLOYEES",VC$3,$I$3, $N$3, , $J$3, $K$3)),"")</f>
        <v/>
      </c>
      <c r="VD17" s="299" t="str">
        <f>IFERROR(IF(OR($B17="",VD$3=""),"",_xll.ciqfunctions.udf.CIQ($B17,"IQ_SGA_SUPPL",VD$3,$I$3, $N$3, , $J$3, $K$3)*1000000/_xll.ciqfunctions.udf.CIQ($B17,"IQ_EMPLOYEES",VD$3,$I$3, $N$3, , $J$3, $K$3)),"")</f>
        <v/>
      </c>
      <c r="VE17" s="299" t="str">
        <f>IFERROR(IF(OR($B17="",VE$3=""),"",_xll.ciqfunctions.udf.CIQ($B17,"IQ_SGA_SUPPL",VE$3,$I$3, $N$3, , $J$3, $K$3)*1000000/_xll.ciqfunctions.udf.CIQ($B17,"IQ_EMPLOYEES",VE$3,$I$3, $N$3, , $J$3, $K$3)),"")</f>
        <v/>
      </c>
      <c r="VF17" s="299" t="str">
        <f>IFERROR(IF(OR($B17="",VF$3=""),"",_xll.ciqfunctions.udf.CIQ($B17,"IQ_SGA_SUPPL",VF$3,$I$3, $N$3, , $J$3, $K$3)*1000000/_xll.ciqfunctions.udf.CIQ($B17,"IQ_EMPLOYEES",VF$3,$I$3, $N$3, , $J$3, $K$3)),"")</f>
        <v/>
      </c>
      <c r="VG17" s="299" t="str">
        <f>IFERROR(IF(OR($B17="",VG$3=""),"",_xll.ciqfunctions.udf.CIQ($B17,"IQ_SGA_SUPPL",VG$3,$I$3, $N$3, , $J$3, $K$3)*1000000/_xll.ciqfunctions.udf.CIQ($B17,"IQ_EMPLOYEES",VG$3,$I$3, $N$3, , $J$3, $K$3)),"")</f>
        <v/>
      </c>
      <c r="VH17" s="299" t="str">
        <f>IFERROR(IF(OR($B17="",VH$3=""),"",_xll.ciqfunctions.udf.CIQ($B17,"IQ_SGA_SUPPL",VH$3,$I$3, $N$3, , $J$3, $K$3)*1000000/_xll.ciqfunctions.udf.CIQ($B17,"IQ_EMPLOYEES",VH$3,$I$3, $N$3, , $J$3, $K$3)),"")</f>
        <v/>
      </c>
      <c r="VI17" s="299" t="str">
        <f>IFERROR(IF(OR($B17="",VI$3=""),"",_xll.ciqfunctions.udf.CIQ($B17,"IQ_SGA_SUPPL",VI$3,$I$3, $N$3, , $J$3, $K$3)*1000000/_xll.ciqfunctions.udf.CIQ($B17,"IQ_EMPLOYEES",VI$3,$I$3, $N$3, , $J$3, $K$3)),"")</f>
        <v/>
      </c>
      <c r="VJ17" s="299" t="str">
        <f>IFERROR(IF(OR($B17="",VJ$3=""),"",_xll.ciqfunctions.udf.CIQ($B17,"IQ_SGA_SUPPL",VJ$3,$I$3, $N$3, , $J$3, $K$3)*1000000/_xll.ciqfunctions.udf.CIQ($B17,"IQ_EMPLOYEES",VJ$3,$I$3, $N$3, , $J$3, $K$3)),"")</f>
        <v/>
      </c>
      <c r="VK17" s="299" t="str">
        <f>IFERROR(IF(OR($B17="",VK$3=""),"",_xll.ciqfunctions.udf.CIQ($B17,"IQ_SGA_SUPPL",VK$3,$I$3, $N$3, , $J$3, $K$3)*1000000/_xll.ciqfunctions.udf.CIQ($B17,"IQ_EMPLOYEES",VK$3,$I$3, $N$3, , $J$3, $K$3)),"")</f>
        <v/>
      </c>
      <c r="VL17" s="299" t="str">
        <f>IFERROR(IF(OR($B17="",VL$3=""),"",_xll.ciqfunctions.udf.CIQ($B17,"IQ_SGA_SUPPL",VL$3,$I$3, $N$3, , $J$3, $K$3)*1000000/_xll.ciqfunctions.udf.CIQ($B17,"IQ_EMPLOYEES",VL$3,$I$3, $N$3, , $J$3, $K$3)),"")</f>
        <v/>
      </c>
      <c r="VM17" s="299" t="str">
        <f>IFERROR(IF(OR($B17="",VM$3=""),"",_xll.ciqfunctions.udf.CIQ($B17,"IQ_SGA_SUPPL",VM$3,$I$3, $N$3, , $J$3, $K$3)*1000000/_xll.ciqfunctions.udf.CIQ($B17,"IQ_EMPLOYEES",VM$3,$I$3, $N$3, , $J$3, $K$3)),"")</f>
        <v/>
      </c>
      <c r="VN17" s="299" t="str">
        <f>IFERROR(IF(OR($B17="",VN$3=""),"",_xll.ciqfunctions.udf.CIQ($B17,"IQ_SGA_SUPPL",VN$3,$I$3, $N$3, , $J$3, $K$3)*1000000/_xll.ciqfunctions.udf.CIQ($B17,"IQ_EMPLOYEES",VN$3,$I$3, $N$3, , $J$3, $K$3)),"")</f>
        <v/>
      </c>
      <c r="VO17" s="299" t="str">
        <f>IFERROR(IF(OR($B17="",VO$3=""),"",_xll.ciqfunctions.udf.CIQ($B17,"IQ_SGA_SUPPL",VO$3,$I$3, $N$3, , $J$3, $K$3)*1000000/_xll.ciqfunctions.udf.CIQ($B17,"IQ_EMPLOYEES",VO$3,$I$3, $N$3, , $J$3, $K$3)),"")</f>
        <v/>
      </c>
      <c r="VP17" s="299" t="str">
        <f>IFERROR(IF(OR($B17="",VP$3=""),"",_xll.ciqfunctions.udf.CIQ($B17,"IQ_SGA_SUPPL",VP$3,$I$3, $N$3, , $J$3, $K$3)*1000000/_xll.ciqfunctions.udf.CIQ($B17,"IQ_EMPLOYEES",VP$3,$I$3, $N$3, , $J$3, $K$3)),"")</f>
        <v/>
      </c>
      <c r="VQ17" s="299" t="str">
        <f>IFERROR(IF(OR($B17="",VQ$3=""),"",_xll.ciqfunctions.udf.CIQ($B17,"IQ_SGA_SUPPL",VQ$3,$I$3, $N$3, , $J$3, $K$3)*1000000/_xll.ciqfunctions.udf.CIQ($B17,"IQ_EMPLOYEES",VQ$3,$I$3, $N$3, , $J$3, $K$3)),"")</f>
        <v/>
      </c>
      <c r="VR17" s="299" t="str">
        <f>IFERROR(IF(OR($B17="",VR$3=""),"",_xll.ciqfunctions.udf.CIQ($B17,"IQ_SGA_SUPPL",VR$3,$I$3, $N$3, , $J$3, $K$3)*1000000/_xll.ciqfunctions.udf.CIQ($B17,"IQ_EMPLOYEES",VR$3,$I$3, $N$3, , $J$3, $K$3)),"")</f>
        <v/>
      </c>
      <c r="VS17" s="299" t="str">
        <f>IFERROR(IF(OR($B17="",VS$3=""),"",_xll.ciqfunctions.udf.CIQ($B17,"IQ_SGA_SUPPL",VS$3,$I$3, $N$3, , $J$3, $K$3)*1000000/_xll.ciqfunctions.udf.CIQ($B17,"IQ_EMPLOYEES",VS$3,$I$3, $N$3, , $J$3, $K$3)),"")</f>
        <v/>
      </c>
      <c r="VT17" s="300" t="str">
        <f>IFERROR(IF(OR($B17="",VT$3=""),"",_xll.ciqfunctions.udf.CIQ($B17,"IQ_SGA_SUPPL",VT$3,$I$3, $N$3, , $J$3, $K$3)*1000000/_xll.ciqfunctions.udf.CIQ($B17,"IQ_EMPLOYEES",VT$3,$I$3, $N$3, , $J$3, $K$3)),"")</f>
        <v/>
      </c>
      <c r="VU17" s="298" t="str">
        <f>IFERROR(IF(OR($B17="",VU$3=""),"",_xll.ciqfunctions.udf.CIQ($B17,"IQ_RD_EXP",VU$3,$I$3, $N$3, , $J$3, $K$3)*1000000/_xll.ciqfunctions.udf.CIQ($B17,"IQ_EMPLOYEES",VU$3,$I$3, $N$3, , $J$3, $K$3)),"")</f>
        <v/>
      </c>
      <c r="VV17" s="299" t="str">
        <f>IFERROR(IF(OR($B17="",VV$3=""),"",_xll.ciqfunctions.udf.CIQ($B17,"IQ_RD_EXP",VV$3,$I$3, $N$3, , $J$3, $K$3)*1000000/_xll.ciqfunctions.udf.CIQ($B17,"IQ_EMPLOYEES",VV$3,$I$3, $N$3, , $J$3, $K$3)),"")</f>
        <v/>
      </c>
      <c r="VW17" s="299" t="str">
        <f>IFERROR(IF(OR($B17="",VW$3=""),"",_xll.ciqfunctions.udf.CIQ($B17,"IQ_RD_EXP",VW$3,$I$3, $N$3, , $J$3, $K$3)*1000000/_xll.ciqfunctions.udf.CIQ($B17,"IQ_EMPLOYEES",VW$3,$I$3, $N$3, , $J$3, $K$3)),"")</f>
        <v/>
      </c>
      <c r="VX17" s="299" t="str">
        <f>IFERROR(IF(OR($B17="",VX$3=""),"",_xll.ciqfunctions.udf.CIQ($B17,"IQ_RD_EXP",VX$3,$I$3, $N$3, , $J$3, $K$3)*1000000/_xll.ciqfunctions.udf.CIQ($B17,"IQ_EMPLOYEES",VX$3,$I$3, $N$3, , $J$3, $K$3)),"")</f>
        <v/>
      </c>
      <c r="VY17" s="299" t="str">
        <f>IFERROR(IF(OR($B17="",VY$3=""),"",_xll.ciqfunctions.udf.CIQ($B17,"IQ_RD_EXP",VY$3,$I$3, $N$3, , $J$3, $K$3)*1000000/_xll.ciqfunctions.udf.CIQ($B17,"IQ_EMPLOYEES",VY$3,$I$3, $N$3, , $J$3, $K$3)),"")</f>
        <v/>
      </c>
      <c r="VZ17" s="299" t="str">
        <f>IFERROR(IF(OR($B17="",VZ$3=""),"",_xll.ciqfunctions.udf.CIQ($B17,"IQ_RD_EXP",VZ$3,$I$3, $N$3, , $J$3, $K$3)*1000000/_xll.ciqfunctions.udf.CIQ($B17,"IQ_EMPLOYEES",VZ$3,$I$3, $N$3, , $J$3, $K$3)),"")</f>
        <v/>
      </c>
      <c r="WA17" s="299" t="str">
        <f>IFERROR(IF(OR($B17="",WA$3=""),"",_xll.ciqfunctions.udf.CIQ($B17,"IQ_RD_EXP",WA$3,$I$3, $N$3, , $J$3, $K$3)*1000000/_xll.ciqfunctions.udf.CIQ($B17,"IQ_EMPLOYEES",WA$3,$I$3, $N$3, , $J$3, $K$3)),"")</f>
        <v/>
      </c>
      <c r="WB17" s="299" t="str">
        <f>IFERROR(IF(OR($B17="",WB$3=""),"",_xll.ciqfunctions.udf.CIQ($B17,"IQ_RD_EXP",WB$3,$I$3, $N$3, , $J$3, $K$3)*1000000/_xll.ciqfunctions.udf.CIQ($B17,"IQ_EMPLOYEES",WB$3,$I$3, $N$3, , $J$3, $K$3)),"")</f>
        <v/>
      </c>
      <c r="WC17" s="299" t="str">
        <f>IFERROR(IF(OR($B17="",WC$3=""),"",_xll.ciqfunctions.udf.CIQ($B17,"IQ_RD_EXP",WC$3,$I$3, $N$3, , $J$3, $K$3)*1000000/_xll.ciqfunctions.udf.CIQ($B17,"IQ_EMPLOYEES",WC$3,$I$3, $N$3, , $J$3, $K$3)),"")</f>
        <v/>
      </c>
      <c r="WD17" s="299" t="str">
        <f>IFERROR(IF(OR($B17="",WD$3=""),"",_xll.ciqfunctions.udf.CIQ($B17,"IQ_RD_EXP",WD$3,$I$3, $N$3, , $J$3, $K$3)*1000000/_xll.ciqfunctions.udf.CIQ($B17,"IQ_EMPLOYEES",WD$3,$I$3, $N$3, , $J$3, $K$3)),"")</f>
        <v/>
      </c>
      <c r="WE17" s="299" t="str">
        <f>IFERROR(IF(OR($B17="",WE$3=""),"",_xll.ciqfunctions.udf.CIQ($B17,"IQ_RD_EXP",WE$3,$I$3, $N$3, , $J$3, $K$3)*1000000/_xll.ciqfunctions.udf.CIQ($B17,"IQ_EMPLOYEES",WE$3,$I$3, $N$3, , $J$3, $K$3)),"")</f>
        <v/>
      </c>
      <c r="WF17" s="299" t="str">
        <f>IFERROR(IF(OR($B17="",WF$3=""),"",_xll.ciqfunctions.udf.CIQ($B17,"IQ_RD_EXP",WF$3,$I$3, $N$3, , $J$3, $K$3)*1000000/_xll.ciqfunctions.udf.CIQ($B17,"IQ_EMPLOYEES",WF$3,$I$3, $N$3, , $J$3, $K$3)),"")</f>
        <v/>
      </c>
      <c r="WG17" s="299" t="str">
        <f>IFERROR(IF(OR($B17="",WG$3=""),"",_xll.ciqfunctions.udf.CIQ($B17,"IQ_RD_EXP",WG$3,$I$3, $N$3, , $J$3, $K$3)*1000000/_xll.ciqfunctions.udf.CIQ($B17,"IQ_EMPLOYEES",WG$3,$I$3, $N$3, , $J$3, $K$3)),"")</f>
        <v/>
      </c>
      <c r="WH17" s="299" t="str">
        <f>IFERROR(IF(OR($B17="",WH$3=""),"",_xll.ciqfunctions.udf.CIQ($B17,"IQ_RD_EXP",WH$3,$I$3, $N$3, , $J$3, $K$3)*1000000/_xll.ciqfunctions.udf.CIQ($B17,"IQ_EMPLOYEES",WH$3,$I$3, $N$3, , $J$3, $K$3)),"")</f>
        <v/>
      </c>
      <c r="WI17" s="299" t="str">
        <f>IFERROR(IF(OR($B17="",WI$3=""),"",_xll.ciqfunctions.udf.CIQ($B17,"IQ_RD_EXP",WI$3,$I$3, $N$3, , $J$3, $K$3)*1000000/_xll.ciqfunctions.udf.CIQ($B17,"IQ_EMPLOYEES",WI$3,$I$3, $N$3, , $J$3, $K$3)),"")</f>
        <v/>
      </c>
      <c r="WJ17" s="299" t="str">
        <f>IFERROR(IF(OR($B17="",WJ$3=""),"",_xll.ciqfunctions.udf.CIQ($B17,"IQ_RD_EXP",WJ$3,$I$3, $N$3, , $J$3, $K$3)*1000000/_xll.ciqfunctions.udf.CIQ($B17,"IQ_EMPLOYEES",WJ$3,$I$3, $N$3, , $J$3, $K$3)),"")</f>
        <v/>
      </c>
      <c r="WK17" s="299" t="str">
        <f>IFERROR(IF(OR($B17="",WK$3=""),"",_xll.ciqfunctions.udf.CIQ($B17,"IQ_RD_EXP",WK$3,$I$3, $N$3, , $J$3, $K$3)*1000000/_xll.ciqfunctions.udf.CIQ($B17,"IQ_EMPLOYEES",WK$3,$I$3, $N$3, , $J$3, $K$3)),"")</f>
        <v/>
      </c>
      <c r="WL17" s="299" t="str">
        <f>IFERROR(IF(OR($B17="",TJ$3=""),"",_xll.ciqfunctions.udf.CIQ($B17,"IQ_RD_EXP",GH$3,,,,"USD")*1000000/_xll.ciqfunctions.udf.CIQ($B17,"IQ_EMPLOYEES",WL$3,,,,"USD")),"")</f>
        <v/>
      </c>
      <c r="WM17" s="299" t="str">
        <f>IFERROR(IF(OR($B17="",TK$3=""),"",_xll.ciqfunctions.udf.CIQ($B17,"IQ_RD_EXP",GI$3,,,,"USD")*1000000/_xll.ciqfunctions.udf.CIQ($B17,"IQ_EMPLOYEES",WM$3,,,,"USD")),"")</f>
        <v/>
      </c>
      <c r="WN17" s="300" t="str">
        <f>IFERROR(IF(OR($B17="",TL$3=""),"",_xll.ciqfunctions.udf.CIQ($B17,"IQ_RD_EXP",GJ$3,,,,"USD")*1000000/_xll.ciqfunctions.udf.CIQ($B17,"IQ_EMPLOYEES",WN$3,,,,"USD")),"")</f>
        <v/>
      </c>
      <c r="WO17" s="620" t="str">
        <f>IFERROR(IF(OR($B17="",WO$4=""),"",_xll.ciqfunctions.udf.CIQ($B17,"IQ_LASTSALEPRICE",WO$4)),"")</f>
        <v/>
      </c>
      <c r="WP17" s="620" t="str">
        <f>IFERROR(IF(OR($B17="",WP$4=""),"",_xll.ciqfunctions.udf.CIQ($B17,"IQ_LASTSALEPRICE",WP$4)),"")</f>
        <v/>
      </c>
      <c r="WQ17" s="620" t="str">
        <f>IFERROR(IF(OR($B17="",WQ$4=""),"",_xll.ciqfunctions.udf.CIQ($B17,"IQ_LASTSALEPRICE",WQ$4)),"")</f>
        <v/>
      </c>
      <c r="WR17" s="620" t="str">
        <f>IFERROR(IF(OR($B17="",WR$4=""),"",_xll.ciqfunctions.udf.CIQ($B17,"IQ_LASTSALEPRICE",WR$4)),"")</f>
        <v/>
      </c>
      <c r="WS17" s="620" t="str">
        <f>IFERROR(IF(OR($B17="",WS$4=""),"",_xll.ciqfunctions.udf.CIQ($B17,"IQ_LASTSALEPRICE",WS$4)),"")</f>
        <v/>
      </c>
      <c r="WT17" s="620" t="str">
        <f>IFERROR(IF(OR($B17="",WT$4=""),"",_xll.ciqfunctions.udf.CIQ($B17,"IQ_LASTSALEPRICE",WT$4)),"")</f>
        <v/>
      </c>
      <c r="WU17" s="620" t="str">
        <f>IFERROR(IF(OR($B17="",WU$4=""),"",_xll.ciqfunctions.udf.CIQ($B17,"IQ_LASTSALEPRICE",WU$4)),"")</f>
        <v/>
      </c>
      <c r="WV17" s="620" t="str">
        <f>IFERROR(IF(OR($B17="",WV$4=""),"",_xll.ciqfunctions.udf.CIQ($B17,"IQ_LASTSALEPRICE",WV$4)),"")</f>
        <v/>
      </c>
      <c r="WW17" s="620" t="str">
        <f>IFERROR(IF(OR($B17="",WW$4=""),"",_xll.ciqfunctions.udf.CIQ($B17,"IQ_LASTSALEPRICE",WW$4)),"")</f>
        <v/>
      </c>
      <c r="WX17" s="620" t="str">
        <f>IFERROR(IF(OR($B17="",WX$4=""),"",_xll.ciqfunctions.udf.CIQ($B17,"IQ_LASTSALEPRICE",WX$4)),"")</f>
        <v/>
      </c>
      <c r="WY17" s="620" t="str">
        <f>IFERROR(IF(OR($B17="",WY$4=""),"",_xll.ciqfunctions.udf.CIQ($B17,"IQ_LASTSALEPRICE",WY$4)),"")</f>
        <v/>
      </c>
      <c r="WZ17" s="620" t="str">
        <f>IFERROR(IF(OR($B17="",WZ$4=""),"",_xll.ciqfunctions.udf.CIQ($B17,"IQ_LASTSALEPRICE",WZ$4)),"")</f>
        <v/>
      </c>
      <c r="XA17" s="620" t="str">
        <f>IFERROR(IF(OR($B17="",XA$4=""),"",_xll.ciqfunctions.udf.CIQ($B17,"IQ_LASTSALEPRICE",XA$4)),"")</f>
        <v/>
      </c>
      <c r="XB17" s="620" t="str">
        <f>IFERROR(IF(OR($B17="",XB$4=""),"",_xll.ciqfunctions.udf.CIQ($B17,"IQ_LASTSALEPRICE",XB$4)),"")</f>
        <v/>
      </c>
      <c r="XC17" s="620" t="str">
        <f>IFERROR(IF(OR($B17="",XC$4=""),"",_xll.ciqfunctions.udf.CIQ($B17,"IQ_LASTSALEPRICE",XC$4)),"")</f>
        <v/>
      </c>
      <c r="XD17" s="620" t="str">
        <f>IFERROR(IF(OR($B17="",XD$4=""),"",_xll.ciqfunctions.udf.CIQ($B17,"IQ_LASTSALEPRICE",XD$4)),"")</f>
        <v/>
      </c>
      <c r="XE17" s="620" t="str">
        <f>IFERROR(IF(OR($B17="",XE$4=""),"",_xll.ciqfunctions.udf.CIQ($B17,"IQ_LASTSALEPRICE",XE$4)),"")</f>
        <v/>
      </c>
      <c r="XF17" s="620" t="str">
        <f>IFERROR(IF(OR($B17="",XF$4=""),"",_xll.ciqfunctions.udf.CIQ($B17,"IQ_LASTSALEPRICE",XF$4)),"")</f>
        <v/>
      </c>
      <c r="XG17" s="620" t="str">
        <f>IFERROR(IF(OR($B17="",XG$4=""),"",_xll.ciqfunctions.udf.CIQ($B17,"IQ_LASTSALEPRICE",XG$4)),"")</f>
        <v/>
      </c>
      <c r="XH17" s="620" t="str">
        <f>IFERROR(IF(OR($B17="",XH$4=""),"",_xll.ciqfunctions.udf.CIQ($B17,"IQ_LASTSALEPRICE",XH$4)),"")</f>
        <v/>
      </c>
      <c r="XI17" s="72" t="str">
        <f>IFERROR(IF(OR($B17="",XI$3=""),"",_xll.ciqfunctions.udf.CIQ($B17,"IQ_TOTAL_REV_1YR_ANN_GROWTH",XI$3,$I$3, $N$3, , $J$3, $K$3)/100),"")</f>
        <v/>
      </c>
      <c r="XJ17" s="72" t="str">
        <f>IFERROR(IF(OR($B17="",XJ$3=""),"",_xll.ciqfunctions.udf.CIQ($B17,"IQ_TOTAL_REV_1YR_ANN_GROWTH",XJ$3,$I$3, $N$3, , $J$3, $K$3)/100),"")</f>
        <v/>
      </c>
      <c r="XK17" s="72" t="str">
        <f>IFERROR(IF(OR($B17="",XK$3=""),"",_xll.ciqfunctions.udf.CIQ($B17,"IQ_TOTAL_REV_1YR_ANN_GROWTH",XK$3,$I$3, $N$3, , $J$3, $K$3)/100),"")</f>
        <v/>
      </c>
      <c r="XL17" s="72" t="str">
        <f>IFERROR(IF(OR($B17="",XL$3=""),"",_xll.ciqfunctions.udf.CIQ($B17,"IQ_TOTAL_REV_1YR_ANN_GROWTH",XL$3,$I$3, $N$3, , $J$3, $K$3)/100),"")</f>
        <v/>
      </c>
      <c r="XM17" s="72" t="str">
        <f>IFERROR(IF(OR($B17="",XM$3=""),"",_xll.ciqfunctions.udf.CIQ($B17,"IQ_TOTAL_REV_1YR_ANN_GROWTH",XM$3,$I$3, $N$3, , $J$3, $K$3)/100),"")</f>
        <v/>
      </c>
      <c r="XN17" s="72" t="str">
        <f>IFERROR(IF(OR($B17="",XN$3=""),"",_xll.ciqfunctions.udf.CIQ($B17,"IQ_TOTAL_REV_1YR_ANN_GROWTH",XN$3,$I$3, $N$3, , $J$3, $K$3)/100),"")</f>
        <v/>
      </c>
      <c r="XO17" s="72" t="str">
        <f>IFERROR(IF(OR($B17="",XO$3=""),"",_xll.ciqfunctions.udf.CIQ($B17,"IQ_TOTAL_REV_1YR_ANN_GROWTH",XO$3,$I$3, $N$3, , $J$3, $K$3)/100),"")</f>
        <v/>
      </c>
      <c r="XP17" s="72" t="str">
        <f>IFERROR(IF(OR($B17="",XP$3=""),"",_xll.ciqfunctions.udf.CIQ($B17,"IQ_TOTAL_REV_1YR_ANN_GROWTH",XP$3,$I$3, $N$3, , $J$3, $K$3)/100),"")</f>
        <v/>
      </c>
      <c r="XQ17" s="72" t="str">
        <f>IFERROR(IF(OR($B17="",XQ$3=""),"",_xll.ciqfunctions.udf.CIQ($B17,"IQ_TOTAL_REV_1YR_ANN_GROWTH",XQ$3,$I$3, $N$3, , $J$3, $K$3)/100),"")</f>
        <v/>
      </c>
      <c r="XR17" s="72" t="str">
        <f>IFERROR(IF(OR($B17="",XR$3=""),"",_xll.ciqfunctions.udf.CIQ($B17,"IQ_TOTAL_REV_1YR_ANN_GROWTH",XR$3,$I$3, $N$3, , $J$3, $K$3)/100),"")</f>
        <v/>
      </c>
      <c r="XS17" s="72" t="str">
        <f>IFERROR(IF(OR($B17="",XS$3=""),"",_xll.ciqfunctions.udf.CIQ($B17,"IQ_TOTAL_REV_1YR_ANN_GROWTH",XS$3,$I$3, $N$3, , $J$3, $K$3)/100),"")</f>
        <v/>
      </c>
      <c r="XT17" s="72" t="str">
        <f>IFERROR(IF(OR($B17="",XT$3=""),"",_xll.ciqfunctions.udf.CIQ($B17,"IQ_TOTAL_REV_1YR_ANN_GROWTH",XT$3,$I$3, $N$3, , $J$3, $K$3)/100),"")</f>
        <v/>
      </c>
      <c r="XU17" s="72" t="str">
        <f>IFERROR(IF(OR($B17="",XU$3=""),"",_xll.ciqfunctions.udf.CIQ($B17,"IQ_TOTAL_REV_1YR_ANN_GROWTH",XU$3,$I$3, $N$3, , $J$3, $K$3)/100),"")</f>
        <v/>
      </c>
      <c r="XV17" s="72" t="str">
        <f>IFERROR(IF(OR($B17="",XV$3=""),"",_xll.ciqfunctions.udf.CIQ($B17,"IQ_TOTAL_REV_1YR_ANN_GROWTH",XV$3,$I$3, $N$3, , $J$3, $K$3)/100),"")</f>
        <v/>
      </c>
      <c r="XW17" s="72" t="str">
        <f>IFERROR(IF(OR($B17="",XW$3=""),"",_xll.ciqfunctions.udf.CIQ($B17,"IQ_TOTAL_REV_1YR_ANN_GROWTH",XW$3,$I$3, $N$3, , $J$3, $K$3)/100),"")</f>
        <v/>
      </c>
      <c r="XX17" s="72" t="str">
        <f>IFERROR(IF(OR($B17="",XX$3=""),"",_xll.ciqfunctions.udf.CIQ($B17,"IQ_TOTAL_REV_1YR_ANN_GROWTH",XX$3,$I$3, $N$3, , $J$3, $K$3)/100),"")</f>
        <v/>
      </c>
      <c r="XY17" s="72" t="str">
        <f>IFERROR(IF(OR($B17="",XY$3=""),"",_xll.ciqfunctions.udf.CIQ($B17,"IQ_TOTAL_REV_1YR_ANN_GROWTH",XY$3,$I$3, $N$3, , $J$3, $K$3)/100),"")</f>
        <v/>
      </c>
      <c r="XZ17" s="72" t="str">
        <f>IFERROR(IF(OR($B17="",XZ$3=""),"",_xll.ciqfunctions.udf.CIQ($B17,"IQ_TOTAL_REV_1YR_ANN_GROWTH",XZ$3,$I$3, $N$3, , $J$3, $K$3)/100),"")</f>
        <v/>
      </c>
      <c r="YA17" s="72" t="str">
        <f>IFERROR(IF(OR($B17="",YA$3=""),"",_xll.ciqfunctions.udf.CIQ($B17,"IQ_TOTAL_REV_1YR_ANN_GROWTH",YA$3,$I$3, $N$3, , $J$3, $K$3)/100),"")</f>
        <v/>
      </c>
      <c r="YB17" s="72" t="str">
        <f>IFERROR(IF(OR($B17="",YB$3=""),"",_xll.ciqfunctions.udf.CIQ($B17,"IQ_TOTAL_REV_1YR_ANN_GROWTH",YB$3,$I$3, $N$3, , $J$3, $K$3)/100),"")</f>
        <v/>
      </c>
      <c r="YC17" s="627" t="str">
        <f>IFERROR(IF(OR($B17="",YC$4=""),"",_xll.ciqfunctions.udf.CIQ($B17,"IQ_TEV",YC$4)),"")</f>
        <v/>
      </c>
      <c r="YD17" s="627" t="str">
        <f>IFERROR(IF(OR($B17="",YD$4=""),"",_xll.ciqfunctions.udf.CIQ($B17,"IQ_TEV",YD$4)),"")</f>
        <v/>
      </c>
      <c r="YE17" s="627" t="str">
        <f>IFERROR(IF(OR($B17="",YE$4=""),"",_xll.ciqfunctions.udf.CIQ($B17,"IQ_TEV",YE$4)),"")</f>
        <v/>
      </c>
      <c r="YF17" s="627" t="str">
        <f>IFERROR(IF(OR($B17="",YF$4=""),"",_xll.ciqfunctions.udf.CIQ($B17,"IQ_TEV",YF$4)),"")</f>
        <v/>
      </c>
      <c r="YG17" s="627" t="str">
        <f>IFERROR(IF(OR($B17="",YG$4=""),"",_xll.ciqfunctions.udf.CIQ($B17,"IQ_TEV",YG$4)),"")</f>
        <v/>
      </c>
      <c r="YH17" s="627" t="str">
        <f>IFERROR(IF(OR($B17="",YH$4=""),"",_xll.ciqfunctions.udf.CIQ($B17,"IQ_TEV",YH$4)),"")</f>
        <v/>
      </c>
      <c r="YI17" s="627" t="str">
        <f>IFERROR(IF(OR($B17="",YI$4=""),"",_xll.ciqfunctions.udf.CIQ($B17,"IQ_TEV",YI$4)),"")</f>
        <v/>
      </c>
      <c r="YJ17" s="627" t="str">
        <f>IFERROR(IF(OR($B17="",YJ$4=""),"",_xll.ciqfunctions.udf.CIQ($B17,"IQ_TEV",YJ$4)),"")</f>
        <v/>
      </c>
      <c r="YK17" s="627" t="str">
        <f>IFERROR(IF(OR($B17="",YK$4=""),"",_xll.ciqfunctions.udf.CIQ($B17,"IQ_TEV",YK$4)),"")</f>
        <v/>
      </c>
      <c r="YL17" s="627" t="str">
        <f>IFERROR(IF(OR($B17="",YL$4=""),"",_xll.ciqfunctions.udf.CIQ($B17,"IQ_TEV",YL$4)),"")</f>
        <v/>
      </c>
      <c r="YM17" s="627" t="str">
        <f>IFERROR(IF(OR($B17="",YM$4=""),"",_xll.ciqfunctions.udf.CIQ($B17,"IQ_TEV",YM$4)),"")</f>
        <v/>
      </c>
      <c r="YN17" s="627" t="str">
        <f>IFERROR(IF(OR($B17="",YN$4=""),"",_xll.ciqfunctions.udf.CIQ($B17,"IQ_TEV",YN$4)),"")</f>
        <v/>
      </c>
      <c r="YO17" s="627" t="str">
        <f>IFERROR(IF(OR($B17="",YO$4=""),"",_xll.ciqfunctions.udf.CIQ($B17,"IQ_TEV",YO$4)),"")</f>
        <v/>
      </c>
      <c r="YP17" s="627" t="str">
        <f>IFERROR(IF(OR($B17="",YP$4=""),"",_xll.ciqfunctions.udf.CIQ($B17,"IQ_TEV",YP$4)),"")</f>
        <v/>
      </c>
      <c r="YQ17" s="627" t="str">
        <f>IFERROR(IF(OR($B17="",YQ$4=""),"",_xll.ciqfunctions.udf.CIQ($B17,"IQ_TEV",YQ$4)),"")</f>
        <v/>
      </c>
      <c r="YR17" s="627" t="str">
        <f>IFERROR(IF(OR($B17="",YR$4=""),"",_xll.ciqfunctions.udf.CIQ($B17,"IQ_TEV",YR$4)),"")</f>
        <v/>
      </c>
      <c r="YS17" s="627" t="str">
        <f>IFERROR(IF(OR($B17="",YS$4=""),"",_xll.ciqfunctions.udf.CIQ($B17,"IQ_TEV",YS$4)),"")</f>
        <v/>
      </c>
      <c r="YT17" s="627" t="str">
        <f>IFERROR(IF(OR($B17="",YT$4=""),"",_xll.ciqfunctions.udf.CIQ($B17,"IQ_TEV",YT$4)),"")</f>
        <v/>
      </c>
      <c r="YU17" s="627" t="str">
        <f>IFERROR(IF(OR($B17="",YU$4=""),"",_xll.ciqfunctions.udf.CIQ($B17,"IQ_TEV",YU$4)),"")</f>
        <v/>
      </c>
      <c r="YV17" s="627" t="str">
        <f>IFERROR(IF(OR($B17="",YV$4=""),"",_xll.ciqfunctions.udf.CIQ($B17,"IQ_TEV",YV$4)),"")</f>
        <v/>
      </c>
      <c r="YW17" s="72" t="str">
        <f>IFERROR(IF(OR($B17="",YW$3=""),"",(_xll.ciqfunctions.udf.CIQ($B17,"IQ_LASTSALEPRICE",YW$4)/_xll.ciqfunctions.udf.CIQ($B17,"IQ_LASTSALEPRICE",YW$2)-1)+(_xll.ciqfunctions.udf.CIQ($B17, "IQ_DPS_1YR_ANN_GROWTH", "IQ_LTM", YW$4)/100)),"")</f>
        <v/>
      </c>
      <c r="YX17" s="72" t="str">
        <f>IFERROR(IF(OR($B17="",YX$3=""),"",(_xll.ciqfunctions.udf.CIQ($B17,"IQ_LASTSALEPRICE",YX$4)/_xll.ciqfunctions.udf.CIQ($B17,"IQ_LASTSALEPRICE",YX$2)-1)+(_xll.ciqfunctions.udf.CIQ($B17, "IQ_DPS_1YR_ANN_GROWTH", "IQ_LTM", YX$4)/100)),"")</f>
        <v/>
      </c>
      <c r="YY17" s="72" t="str">
        <f>IFERROR(IF(OR($B17="",YY$3=""),"",(_xll.ciqfunctions.udf.CIQ($B17,"IQ_LASTSALEPRICE",YY$4)/_xll.ciqfunctions.udf.CIQ($B17,"IQ_LASTSALEPRICE",YY$2)-1)+(_xll.ciqfunctions.udf.CIQ($B17, "IQ_DPS_1YR_ANN_GROWTH", "IQ_LTM", YY$4)/100)),"")</f>
        <v/>
      </c>
      <c r="YZ17" s="72" t="str">
        <f>IFERROR(IF(OR($B17="",YZ$3=""),"",(_xll.ciqfunctions.udf.CIQ($B17,"IQ_LASTSALEPRICE",YZ$4)/_xll.ciqfunctions.udf.CIQ($B17,"IQ_LASTSALEPRICE",YZ$2)-1)+(_xll.ciqfunctions.udf.CIQ($B17, "IQ_DPS_1YR_ANN_GROWTH", "IQ_LTM", YZ$4)/100)),"")</f>
        <v/>
      </c>
      <c r="ZA17" s="72" t="str">
        <f>IFERROR(IF(OR($B17="",ZA$3=""),"",(_xll.ciqfunctions.udf.CIQ($B17,"IQ_LASTSALEPRICE",ZA$4)/_xll.ciqfunctions.udf.CIQ($B17,"IQ_LASTSALEPRICE",ZA$2)-1)+(_xll.ciqfunctions.udf.CIQ($B17, "IQ_DPS_1YR_ANN_GROWTH", "IQ_LTM", ZA$4)/100)),"")</f>
        <v/>
      </c>
      <c r="ZB17" s="72" t="str">
        <f>IFERROR(IF(OR($B17="",ZB$3=""),"",(_xll.ciqfunctions.udf.CIQ($B17,"IQ_LASTSALEPRICE",ZB$4)/_xll.ciqfunctions.udf.CIQ($B17,"IQ_LASTSALEPRICE",ZB$2)-1)+(_xll.ciqfunctions.udf.CIQ($B17, "IQ_DPS_1YR_ANN_GROWTH", "IQ_LTM", ZB$4)/100)),"")</f>
        <v/>
      </c>
      <c r="ZC17" s="72" t="str">
        <f>IFERROR(IF(OR($B17="",ZC$3=""),"",(_xll.ciqfunctions.udf.CIQ($B17,"IQ_LASTSALEPRICE",ZC$4)/_xll.ciqfunctions.udf.CIQ($B17,"IQ_LASTSALEPRICE",ZC$2)-1)+(_xll.ciqfunctions.udf.CIQ($B17, "IQ_DPS_1YR_ANN_GROWTH", "IQ_LTM", ZC$4)/100)),"")</f>
        <v/>
      </c>
      <c r="ZD17" s="72" t="str">
        <f>IFERROR(IF(OR($B17="",ZD$3=""),"",(_xll.ciqfunctions.udf.CIQ($B17,"IQ_LASTSALEPRICE",ZD$4)/_xll.ciqfunctions.udf.CIQ($B17,"IQ_LASTSALEPRICE",ZD$2)-1)+(_xll.ciqfunctions.udf.CIQ($B17, "IQ_DPS_1YR_ANN_GROWTH", "IQ_LTM", ZD$4)/100)),"")</f>
        <v/>
      </c>
      <c r="ZE17" s="72" t="str">
        <f>IFERROR(IF(OR($B17="",ZE$3=""),"",(_xll.ciqfunctions.udf.CIQ($B17,"IQ_LASTSALEPRICE",ZE$4)/_xll.ciqfunctions.udf.CIQ($B17,"IQ_LASTSALEPRICE",ZE$2)-1)+(_xll.ciqfunctions.udf.CIQ($B17, "IQ_DPS_1YR_ANN_GROWTH", "IQ_LTM", ZE$4)/100)),"")</f>
        <v/>
      </c>
      <c r="ZF17" s="72" t="str">
        <f>IFERROR(IF(OR($B17="",ZF$3=""),"",(_xll.ciqfunctions.udf.CIQ($B17,"IQ_LASTSALEPRICE",ZF$4)/_xll.ciqfunctions.udf.CIQ($B17,"IQ_LASTSALEPRICE",ZF$2)-1)+(_xll.ciqfunctions.udf.CIQ($B17, "IQ_DPS_1YR_ANN_GROWTH", "IQ_LTM", ZF$4)/100)),"")</f>
        <v/>
      </c>
      <c r="ZG17" s="72" t="str">
        <f>IFERROR(IF(OR($B17="",ZG$3=""),"",(_xll.ciqfunctions.udf.CIQ($B17,"IQ_LASTSALEPRICE",ZG$4)/_xll.ciqfunctions.udf.CIQ($B17,"IQ_LASTSALEPRICE",ZG$2)-1)+(_xll.ciqfunctions.udf.CIQ($B17, "IQ_DPS_1YR_ANN_GROWTH", "IQ_LTM", ZG$4)/100)),"")</f>
        <v/>
      </c>
      <c r="ZH17" s="72" t="str">
        <f>IFERROR(IF(OR($B17="",ZH$3=""),"",(_xll.ciqfunctions.udf.CIQ($B17,"IQ_LASTSALEPRICE",ZH$4)/_xll.ciqfunctions.udf.CIQ($B17,"IQ_LASTSALEPRICE",ZH$2)-1)+(_xll.ciqfunctions.udf.CIQ($B17, "IQ_DPS_1YR_ANN_GROWTH", "IQ_LTM", ZH$4)/100)),"")</f>
        <v/>
      </c>
      <c r="ZI17" s="72" t="str">
        <f>IFERROR(IF(OR($B17="",ZI$3=""),"",(_xll.ciqfunctions.udf.CIQ($B17,"IQ_LASTSALEPRICE",ZI$4)/_xll.ciqfunctions.udf.CIQ($B17,"IQ_LASTSALEPRICE",ZI$2)-1)+(_xll.ciqfunctions.udf.CIQ($B17, "IQ_DPS_1YR_ANN_GROWTH", "IQ_LTM", ZI$4)/100)),"")</f>
        <v/>
      </c>
      <c r="ZJ17" s="72" t="str">
        <f>IFERROR(IF(OR($B17="",ZJ$3=""),"",(_xll.ciqfunctions.udf.CIQ($B17,"IQ_LASTSALEPRICE",ZJ$4)/_xll.ciqfunctions.udf.CIQ($B17,"IQ_LASTSALEPRICE",ZJ$2)-1)+(_xll.ciqfunctions.udf.CIQ($B17, "IQ_DPS_1YR_ANN_GROWTH", "IQ_LTM", ZJ$4)/100)),"")</f>
        <v/>
      </c>
      <c r="ZK17" s="72" t="str">
        <f>IFERROR(IF(OR($B17="",ZK$3=""),"",(_xll.ciqfunctions.udf.CIQ($B17,"IQ_LASTSALEPRICE",ZK$4)/_xll.ciqfunctions.udf.CIQ($B17,"IQ_LASTSALEPRICE",ZK$2)-1)+(_xll.ciqfunctions.udf.CIQ($B17, "IQ_DPS_1YR_ANN_GROWTH", "IQ_LTM", ZK$4)/100)),"")</f>
        <v/>
      </c>
      <c r="ZL17" s="72" t="str">
        <f>IFERROR(IF(OR($B17="",ZL$3=""),"",(_xll.ciqfunctions.udf.CIQ($B17,"IQ_LASTSALEPRICE",ZL$4)/_xll.ciqfunctions.udf.CIQ($B17,"IQ_LASTSALEPRICE",ZL$2)-1)+(_xll.ciqfunctions.udf.CIQ($B17, "IQ_DPS_1YR_ANN_GROWTH", "IQ_LTM", ZL$4)/100)),"")</f>
        <v/>
      </c>
      <c r="ZM17" s="72" t="str">
        <f>IFERROR(IF(OR($B17="",ZM$3=""),"",(_xll.ciqfunctions.udf.CIQ($B17,"IQ_LASTSALEPRICE",ZM$4)/_xll.ciqfunctions.udf.CIQ($B17,"IQ_LASTSALEPRICE",ZM$2)-1)+(_xll.ciqfunctions.udf.CIQ($B17, "IQ_DPS_1YR_ANN_GROWTH", "IQ_LTM", ZM$4)/100)),"")</f>
        <v/>
      </c>
      <c r="ZN17" s="72" t="str">
        <f>IFERROR(IF(OR($B17="",ZN$3=""),"",(_xll.ciqfunctions.udf.CIQ($B17,"IQ_LASTSALEPRICE",ZN$4)/_xll.ciqfunctions.udf.CIQ($B17,"IQ_LASTSALEPRICE",ZN$2)-1)+(_xll.ciqfunctions.udf.CIQ($B17, "IQ_DPS_1YR_ANN_GROWTH", "IQ_LTM", ZN$4)/100)),"")</f>
        <v/>
      </c>
      <c r="ZO17" s="72" t="str">
        <f>IFERROR(IF(OR($B17="",ZO$3=""),"",(_xll.ciqfunctions.udf.CIQ($B17,"IQ_LASTSALEPRICE",ZO$4)/_xll.ciqfunctions.udf.CIQ($B17,"IQ_LASTSALEPRICE",ZO$2)-1)+(_xll.ciqfunctions.udf.CIQ($B17, "IQ_DPS_1YR_ANN_GROWTH", "IQ_LTM", ZO$4)/100)),"")</f>
        <v/>
      </c>
      <c r="ZP17" s="72" t="str">
        <f>IFERROR(IF(OR($B17="",ZP$3=""),"",(_xll.ciqfunctions.udf.CIQ($B17,"IQ_LASTSALEPRICE",ZP$4)/_xll.ciqfunctions.udf.CIQ($B17,"IQ_LASTSALEPRICE",ZP$2)-1)+(_xll.ciqfunctions.udf.CIQ($B17, "IQ_DPS_1YR_ANN_GROWTH", "IQ_LTM", ZP$4)/100)),"")</f>
        <v/>
      </c>
      <c r="ZQ17" s="72" t="str">
        <f>IFERROR(IF(OR($B17="",ZQ$3=""),"",_xll.ciqfunctions.udf.CIQ($B17,"IQ_NI",$O$3,ZQ$3, $N$3, , $J$3, $K$3)*2/(_xll.ciqfunctions.udf.CIQ($B17,"IQ_TOTAL_CAP",ZQ$3,$I$3, $N$3, , $J$3, $K$3)+_xll.ciqfunctions.udf.CIQ($B17,"IQ_TOTAL_CAP","IQ_" &amp; LEFT(ZQ$3,2) &amp; "-1", ZQ$3, $N$3, , $J$3, $K$3))),"")</f>
        <v/>
      </c>
      <c r="ZR17" s="72" t="str">
        <f>IFERROR(IF(OR($B17="",ZR$3=""),"",_xll.ciqfunctions.udf.CIQ($B17,"IQ_NI",$O$3,ZR$3, $N$3, , $J$3, $K$3)*2/(_xll.ciqfunctions.udf.CIQ($B17,"IQ_TOTAL_CAP",ZR$3,$I$3, $N$3, , $J$3, $K$3)+_xll.ciqfunctions.udf.CIQ($B17,"IQ_TOTAL_CAP","IQ_" &amp; LEFT(ZR$3,2) &amp; "-1", ZR$3, $N$3, , $J$3, $K$3))),"")</f>
        <v/>
      </c>
      <c r="ZS17" s="72" t="str">
        <f>IFERROR(IF(OR($B17="",ZS$3=""),"",_xll.ciqfunctions.udf.CIQ($B17,"IQ_NI",$O$3,ZS$3, $N$3, , $J$3, $K$3)*2/(_xll.ciqfunctions.udf.CIQ($B17,"IQ_TOTAL_CAP",ZS$3,$I$3, $N$3, , $J$3, $K$3)+_xll.ciqfunctions.udf.CIQ($B17,"IQ_TOTAL_CAP","IQ_" &amp; LEFT(ZS$3,2) &amp; "-1", ZS$3, $N$3, , $J$3, $K$3))),"")</f>
        <v/>
      </c>
      <c r="ZT17" s="72" t="str">
        <f>IFERROR(IF(OR($B17="",ZT$3=""),"",_xll.ciqfunctions.udf.CIQ($B17,"IQ_NI",$O$3,ZT$3, $N$3, , $J$3, $K$3)*2/(_xll.ciqfunctions.udf.CIQ($B17,"IQ_TOTAL_CAP",ZT$3,$I$3, $N$3, , $J$3, $K$3)+_xll.ciqfunctions.udf.CIQ($B17,"IQ_TOTAL_CAP","IQ_" &amp; LEFT(ZT$3,2) &amp; "-1", ZT$3, $N$3, , $J$3, $K$3))),"")</f>
        <v/>
      </c>
      <c r="ZU17" s="72" t="str">
        <f>IFERROR(IF(OR($B17="",ZU$3=""),"",_xll.ciqfunctions.udf.CIQ($B17,"IQ_NI",$O$3,ZU$3, $N$3, , $J$3, $K$3)*2/(_xll.ciqfunctions.udf.CIQ($B17,"IQ_TOTAL_CAP",ZU$3,$I$3, $N$3, , $J$3, $K$3)+_xll.ciqfunctions.udf.CIQ($B17,"IQ_TOTAL_CAP","IQ_" &amp; LEFT(ZU$3,2) &amp; "-1", ZU$3, $N$3, , $J$3, $K$3))),"")</f>
        <v/>
      </c>
      <c r="ZV17" s="72" t="str">
        <f>IFERROR(IF(OR($B17="",ZV$3=""),"",_xll.ciqfunctions.udf.CIQ($B17,"IQ_NI",$O$3,ZV$3, $N$3, , $J$3, $K$3)*2/(_xll.ciqfunctions.udf.CIQ($B17,"IQ_TOTAL_CAP",ZV$3,$I$3, $N$3, , $J$3, $K$3)+_xll.ciqfunctions.udf.CIQ($B17,"IQ_TOTAL_CAP","IQ_" &amp; LEFT(ZV$3,2) &amp; "-1", ZV$3, $N$3, , $J$3, $K$3))),"")</f>
        <v/>
      </c>
      <c r="ZW17" s="72" t="str">
        <f>IFERROR(IF(OR($B17="",ZW$3=""),"",_xll.ciqfunctions.udf.CIQ($B17,"IQ_NI",$O$3,ZW$3, $N$3, , $J$3, $K$3)*2/(_xll.ciqfunctions.udf.CIQ($B17,"IQ_TOTAL_CAP",ZW$3,$I$3, $N$3, , $J$3, $K$3)+_xll.ciqfunctions.udf.CIQ($B17,"IQ_TOTAL_CAP","IQ_" &amp; LEFT(ZW$3,2) &amp; "-1", ZW$3, $N$3, , $J$3, $K$3))),"")</f>
        <v/>
      </c>
      <c r="ZX17" s="72" t="str">
        <f>IFERROR(IF(OR($B17="",ZX$3=""),"",_xll.ciqfunctions.udf.CIQ($B17,"IQ_NI",$O$3,ZX$3, $N$3, , $J$3, $K$3)*2/(_xll.ciqfunctions.udf.CIQ($B17,"IQ_TOTAL_CAP",ZX$3,$I$3, $N$3, , $J$3, $K$3)+_xll.ciqfunctions.udf.CIQ($B17,"IQ_TOTAL_CAP","IQ_" &amp; LEFT(ZX$3,2) &amp; "-1", ZX$3, $N$3, , $J$3, $K$3))),"")</f>
        <v/>
      </c>
      <c r="ZY17" s="72" t="str">
        <f>IFERROR(IF(OR($B17="",ZY$3=""),"",_xll.ciqfunctions.udf.CIQ($B17,"IQ_NI",$O$3,ZY$3, $N$3, , $J$3, $K$3)*2/(_xll.ciqfunctions.udf.CIQ($B17,"IQ_TOTAL_CAP",ZY$3,$I$3, $N$3, , $J$3, $K$3)+_xll.ciqfunctions.udf.CIQ($B17,"IQ_TOTAL_CAP","IQ_" &amp; LEFT(ZY$3,2) &amp; "-1", ZY$3, $N$3, , $J$3, $K$3))),"")</f>
        <v/>
      </c>
      <c r="ZZ17" s="72" t="str">
        <f>IFERROR(IF(OR($B17="",ZZ$3=""),"",_xll.ciqfunctions.udf.CIQ($B17,"IQ_NI",$O$3,ZZ$3, $N$3, , $J$3, $K$3)*2/(_xll.ciqfunctions.udf.CIQ($B17,"IQ_TOTAL_CAP",ZZ$3,$I$3, $N$3, , $J$3, $K$3)+_xll.ciqfunctions.udf.CIQ($B17,"IQ_TOTAL_CAP","IQ_" &amp; LEFT(ZZ$3,2) &amp; "-1", ZZ$3, $N$3, , $J$3, $K$3))),"")</f>
        <v/>
      </c>
      <c r="AAA17" s="72" t="str">
        <f>IFERROR(IF(OR($B17="",AAA$3=""),"",_xll.ciqfunctions.udf.CIQ($B17,"IQ_NI",$O$3,AAA$3, $N$3, , $J$3, $K$3)*2/(_xll.ciqfunctions.udf.CIQ($B17,"IQ_TOTAL_CAP",AAA$3,$I$3, $N$3, , $J$3, $K$3)+_xll.ciqfunctions.udf.CIQ($B17,"IQ_TOTAL_CAP","IQ_" &amp; LEFT(AAA$3,2) &amp; "-1", AAA$3, $N$3, , $J$3, $K$3))),"")</f>
        <v/>
      </c>
      <c r="AAB17" s="72" t="str">
        <f>IFERROR(IF(OR($B17="",AAB$3=""),"",_xll.ciqfunctions.udf.CIQ($B17,"IQ_NI",$O$3,AAB$3, $N$3, , $J$3, $K$3)*2/(_xll.ciqfunctions.udf.CIQ($B17,"IQ_TOTAL_CAP",AAB$3,$I$3, $N$3, , $J$3, $K$3)+_xll.ciqfunctions.udf.CIQ($B17,"IQ_TOTAL_CAP","IQ_" &amp; LEFT(AAB$3,2) &amp; "-1", AAB$3, $N$3, , $J$3, $K$3))),"")</f>
        <v/>
      </c>
      <c r="AAC17" s="72" t="str">
        <f>IFERROR(IF(OR($B17="",AAC$3=""),"",_xll.ciqfunctions.udf.CIQ($B17,"IQ_NI",$O$3,AAC$3, $N$3, , $J$3, $K$3)*2/(_xll.ciqfunctions.udf.CIQ($B17,"IQ_TOTAL_CAP",AAC$3,$I$3, $N$3, , $J$3, $K$3)+_xll.ciqfunctions.udf.CIQ($B17,"IQ_TOTAL_CAP","IQ_" &amp; LEFT(AAC$3,2) &amp; "-1", AAC$3, $N$3, , $J$3, $K$3))),"")</f>
        <v/>
      </c>
      <c r="AAD17" s="72" t="str">
        <f>IFERROR(IF(OR($B17="",AAD$3=""),"",_xll.ciqfunctions.udf.CIQ($B17,"IQ_NI",$O$3,AAD$3, $N$3, , $J$3, $K$3)*2/(_xll.ciqfunctions.udf.CIQ($B17,"IQ_TOTAL_CAP",AAD$3,$I$3, $N$3, , $J$3, $K$3)+_xll.ciqfunctions.udf.CIQ($B17,"IQ_TOTAL_CAP","IQ_" &amp; LEFT(AAD$3,2) &amp; "-1", AAD$3, $N$3, , $J$3, $K$3))),"")</f>
        <v/>
      </c>
      <c r="AAE17" s="72" t="str">
        <f>IFERROR(IF(OR($B17="",AAE$3=""),"",_xll.ciqfunctions.udf.CIQ($B17,"IQ_NI",$O$3,AAE$3, $N$3, , $J$3, $K$3)*2/(_xll.ciqfunctions.udf.CIQ($B17,"IQ_TOTAL_CAP",AAE$3,$I$3, $N$3, , $J$3, $K$3)+_xll.ciqfunctions.udf.CIQ($B17,"IQ_TOTAL_CAP","IQ_" &amp; LEFT(AAE$3,2) &amp; "-1", AAE$3, $N$3, , $J$3, $K$3))),"")</f>
        <v/>
      </c>
      <c r="AAF17" s="72" t="str">
        <f>IFERROR(IF(OR($B17="",AAF$3=""),"",_xll.ciqfunctions.udf.CIQ($B17,"IQ_NI",$O$3,AAF$3, $N$3, , $J$3, $K$3)*2/(_xll.ciqfunctions.udf.CIQ($B17,"IQ_TOTAL_CAP",AAF$3,$I$3, $N$3, , $J$3, $K$3)+_xll.ciqfunctions.udf.CIQ($B17,"IQ_TOTAL_CAP","IQ_" &amp; LEFT(AAF$3,2) &amp; "-1", AAF$3, $N$3, , $J$3, $K$3))),"")</f>
        <v/>
      </c>
      <c r="AAG17" s="72" t="str">
        <f>IFERROR(IF(OR($B17="",AAG$3=""),"",_xll.ciqfunctions.udf.CIQ($B17,"IQ_NI",$O$3,AAG$3, $N$3, , $J$3, $K$3)*2/(_xll.ciqfunctions.udf.CIQ($B17,"IQ_TOTAL_CAP",AAG$3,$I$3, $N$3, , $J$3, $K$3)+_xll.ciqfunctions.udf.CIQ($B17,"IQ_TOTAL_CAP","IQ_" &amp; LEFT(AAG$3,2) &amp; "-1", AAG$3, $N$3, , $J$3, $K$3))),"")</f>
        <v/>
      </c>
      <c r="AAH17" s="72" t="str">
        <f>IFERROR(IF(OR($B17="",AAH$3=""),"",_xll.ciqfunctions.udf.CIQ($B17,"IQ_NI",$O$3,AAH$3, $N$3, , $J$3, $K$3)*2/(_xll.ciqfunctions.udf.CIQ($B17,"IQ_TOTAL_CAP",AAH$3,$I$3, $N$3, , $J$3, $K$3)+_xll.ciqfunctions.udf.CIQ($B17,"IQ_TOTAL_CAP","IQ_" &amp; LEFT(AAH$3,2) &amp; "-1", AAH$3, $N$3, , $J$3, $K$3))),"")</f>
        <v/>
      </c>
      <c r="AAI17" s="72" t="str">
        <f>IFERROR(IF(OR($B17="",AAI$3=""),"",_xll.ciqfunctions.udf.CIQ($B17,"IQ_NI",$O$3,AAI$3, $N$3, , $J$3, $K$3)*2/(_xll.ciqfunctions.udf.CIQ($B17,"IQ_TOTAL_CAP",AAI$3,$I$3, $N$3, , $J$3, $K$3)+_xll.ciqfunctions.udf.CIQ($B17,"IQ_TOTAL_CAP","IQ_" &amp; LEFT(AAI$3,2) &amp; "-1", AAI$3, $N$3, , $J$3, $K$3))),"")</f>
        <v/>
      </c>
      <c r="AAJ17" s="72" t="str">
        <f>IFERROR(IF(OR($B17="",AAJ$3=""),"",_xll.ciqfunctions.udf.CIQ($B17,"IQ_NI",$O$3,AAJ$3, $N$3, , $J$3, $K$3)*2/(_xll.ciqfunctions.udf.CIQ($B17,"IQ_TOTAL_CAP",AAJ$3,$I$3, $N$3, , $J$3, $K$3)+_xll.ciqfunctions.udf.CIQ($B17,"IQ_TOTAL_CAP","IQ_" &amp; LEFT(AAJ$3,2) &amp; "-1", AAJ$3, $N$3, , $J$3, $K$3))),"")</f>
        <v/>
      </c>
      <c r="AAK17" s="628" t="str">
        <f>IFERROR(IF(OR($B17="",AAK$4=""),"",_xll.ciqfunctions.udf.CIQ($B17,"IQ_TEV",AAK$4)/_xll.ciqfunctions.udf.CIQ($B17,"IQ_TOTAL_CAP",ZQ$3,$I$3, $N$3, , $J$3, $K$3)),"")</f>
        <v/>
      </c>
      <c r="AAL17" s="628" t="str">
        <f>IFERROR(IF(OR($B17="",AAL$4=""),"",_xll.ciqfunctions.udf.CIQ($B17,"IQ_TEV",AAL$4)/_xll.ciqfunctions.udf.CIQ($B17,"IQ_TOTAL_CAP",ZR$3,$I$3, $N$3, , $J$3, $K$3)),"")</f>
        <v/>
      </c>
      <c r="AAM17" s="628" t="str">
        <f>IFERROR(IF(OR($B17="",AAM$4=""),"",_xll.ciqfunctions.udf.CIQ($B17,"IQ_TEV",AAM$4)/_xll.ciqfunctions.udf.CIQ($B17,"IQ_TOTAL_CAP",ZS$3,$I$3, $N$3, , $J$3, $K$3)),"")</f>
        <v/>
      </c>
      <c r="AAN17" s="628" t="str">
        <f>IFERROR(IF(OR($B17="",AAN$4=""),"",_xll.ciqfunctions.udf.CIQ($B17,"IQ_TEV",AAN$4)/_xll.ciqfunctions.udf.CIQ($B17,"IQ_TOTAL_CAP",ZT$3,$I$3, $N$3, , $J$3, $K$3)),"")</f>
        <v/>
      </c>
      <c r="AAO17" s="628" t="str">
        <f>IFERROR(IF(OR($B17="",AAO$4=""),"",_xll.ciqfunctions.udf.CIQ($B17,"IQ_TEV",AAO$4)/_xll.ciqfunctions.udf.CIQ($B17,"IQ_TOTAL_CAP",ZU$3,$I$3, $N$3, , $J$3, $K$3)),"")</f>
        <v/>
      </c>
      <c r="AAP17" s="628" t="str">
        <f>IFERROR(IF(OR($B17="",AAP$4=""),"",_xll.ciqfunctions.udf.CIQ($B17,"IQ_TEV",AAP$4)/_xll.ciqfunctions.udf.CIQ($B17,"IQ_TOTAL_CAP",ZV$3,$I$3, $N$3, , $J$3, $K$3)),"")</f>
        <v/>
      </c>
      <c r="AAQ17" s="628" t="str">
        <f>IFERROR(IF(OR($B17="",AAQ$4=""),"",_xll.ciqfunctions.udf.CIQ($B17,"IQ_TEV",AAQ$4)/_xll.ciqfunctions.udf.CIQ($B17,"IQ_TOTAL_CAP",ZW$3,$I$3, $N$3, , $J$3, $K$3)),"")</f>
        <v/>
      </c>
      <c r="AAR17" s="628" t="str">
        <f>IFERROR(IF(OR($B17="",AAR$4=""),"",_xll.ciqfunctions.udf.CIQ($B17,"IQ_TEV",AAR$4)/_xll.ciqfunctions.udf.CIQ($B17,"IQ_TOTAL_CAP",ZX$3,$I$3, $N$3, , $J$3, $K$3)),"")</f>
        <v/>
      </c>
      <c r="AAS17" s="628" t="str">
        <f>IFERROR(IF(OR($B17="",AAS$4=""),"",_xll.ciqfunctions.udf.CIQ($B17,"IQ_TEV",AAS$4)/_xll.ciqfunctions.udf.CIQ($B17,"IQ_TOTAL_CAP",ZY$3,$I$3, $N$3, , $J$3, $K$3)),"")</f>
        <v/>
      </c>
      <c r="AAT17" s="628" t="str">
        <f>IFERROR(IF(OR($B17="",AAT$4=""),"",_xll.ciqfunctions.udf.CIQ($B17,"IQ_TEV",AAT$4)/_xll.ciqfunctions.udf.CIQ($B17,"IQ_TOTAL_CAP",ZZ$3,$I$3, $N$3, , $J$3, $K$3)),"")</f>
        <v/>
      </c>
      <c r="AAU17" s="628" t="str">
        <f>IFERROR(IF(OR($B17="",AAU$4=""),"",_xll.ciqfunctions.udf.CIQ($B17,"IQ_TEV",AAU$4)/_xll.ciqfunctions.udf.CIQ($B17,"IQ_TOTAL_CAP",AAA$3,$I$3, $N$3, , $J$3, $K$3)),"")</f>
        <v/>
      </c>
      <c r="AAV17" s="628" t="str">
        <f>IFERROR(IF(OR($B17="",AAV$4=""),"",_xll.ciqfunctions.udf.CIQ($B17,"IQ_TEV",AAV$4)/_xll.ciqfunctions.udf.CIQ($B17,"IQ_TOTAL_CAP",AAB$3,$I$3, $N$3, , $J$3, $K$3)),"")</f>
        <v/>
      </c>
      <c r="AAW17" s="628" t="str">
        <f>IFERROR(IF(OR($B17="",AAW$4=""),"",_xll.ciqfunctions.udf.CIQ($B17,"IQ_TEV",AAW$4)/_xll.ciqfunctions.udf.CIQ($B17,"IQ_TOTAL_CAP",AAC$3,$I$3, $N$3, , $J$3, $K$3)),"")</f>
        <v/>
      </c>
      <c r="AAX17" s="628" t="str">
        <f>IFERROR(IF(OR($B17="",AAX$4=""),"",_xll.ciqfunctions.udf.CIQ($B17,"IQ_TEV",AAX$4)/_xll.ciqfunctions.udf.CIQ($B17,"IQ_TOTAL_CAP",AAD$3,$I$3, $N$3, , $J$3, $K$3)),"")</f>
        <v/>
      </c>
      <c r="AAY17" s="628" t="str">
        <f>IFERROR(IF(OR($B17="",AAY$4=""),"",_xll.ciqfunctions.udf.CIQ($B17,"IQ_TEV",AAY$4)/_xll.ciqfunctions.udf.CIQ($B17,"IQ_TOTAL_CAP",AAE$3,$I$3, $N$3, , $J$3, $K$3)),"")</f>
        <v/>
      </c>
      <c r="AAZ17" s="628" t="str">
        <f>IFERROR(IF(OR($B17="",AAZ$4=""),"",_xll.ciqfunctions.udf.CIQ($B17,"IQ_TEV",AAZ$4)/_xll.ciqfunctions.udf.CIQ($B17,"IQ_TOTAL_CAP",AAF$3,$I$3, $N$3, , $J$3, $K$3)),"")</f>
        <v/>
      </c>
      <c r="ABA17" s="628" t="str">
        <f>IFERROR(IF(OR($B17="",ABA$4=""),"",_xll.ciqfunctions.udf.CIQ($B17,"IQ_TEV",ABA$4)/_xll.ciqfunctions.udf.CIQ($B17,"IQ_TOTAL_CAP",AAG$3,$I$3, $N$3, , $J$3, $K$3)),"")</f>
        <v/>
      </c>
      <c r="ABB17" s="628" t="str">
        <f>IFERROR(IF(OR($B17="",ABB$4=""),"",_xll.ciqfunctions.udf.CIQ($B17,"IQ_TEV",ABB$4)/_xll.ciqfunctions.udf.CIQ($B17,"IQ_TOTAL_CAP",AAH$3,$I$3, $N$3, , $J$3, $K$3)),"")</f>
        <v/>
      </c>
      <c r="ABC17" s="628" t="str">
        <f>IFERROR(IF(OR($B17="",ABC$4=""),"",_xll.ciqfunctions.udf.CIQ($B17,"IQ_TEV",ABC$4)/_xll.ciqfunctions.udf.CIQ($B17,"IQ_TOTAL_CAP",AAI$3,$I$3, $N$3, , $J$3, $K$3)),"")</f>
        <v/>
      </c>
      <c r="ABD17" s="628" t="str">
        <f>IFERROR(IF(OR($B17="",ABD$4=""),"",_xll.ciqfunctions.udf.CIQ($B17,"IQ_TEV",ABD$4)/_xll.ciqfunctions.udf.CIQ($B17,"IQ_TOTAL_CAP",AAJ$3,$I$3, $N$3, , $J$3, $K$3)),"")</f>
        <v/>
      </c>
      <c r="ABE17" s="72" t="str">
        <f t="shared" si="363"/>
        <v/>
      </c>
      <c r="ABF17" s="72" t="str">
        <f t="shared" si="364"/>
        <v/>
      </c>
      <c r="ABG17" s="72" t="str">
        <f t="shared" si="365"/>
        <v/>
      </c>
      <c r="ABH17" s="72" t="str">
        <f t="shared" si="366"/>
        <v/>
      </c>
      <c r="ABI17" s="72" t="str">
        <f t="shared" si="367"/>
        <v/>
      </c>
      <c r="ABJ17" s="72" t="str">
        <f t="shared" si="368"/>
        <v/>
      </c>
      <c r="ABK17" s="72" t="str">
        <f t="shared" si="369"/>
        <v/>
      </c>
      <c r="ABL17" s="72" t="str">
        <f t="shared" si="370"/>
        <v/>
      </c>
      <c r="ABM17" s="72" t="str">
        <f t="shared" si="371"/>
        <v/>
      </c>
      <c r="ABN17" s="72" t="str">
        <f t="shared" si="372"/>
        <v/>
      </c>
      <c r="ABO17" s="72" t="str">
        <f t="shared" si="373"/>
        <v/>
      </c>
      <c r="ABP17" s="72" t="str">
        <f t="shared" si="374"/>
        <v/>
      </c>
      <c r="ABQ17" s="72" t="str">
        <f t="shared" si="375"/>
        <v/>
      </c>
      <c r="ABR17" s="72" t="str">
        <f t="shared" si="376"/>
        <v/>
      </c>
      <c r="ABS17" s="72" t="str">
        <f t="shared" si="377"/>
        <v/>
      </c>
      <c r="ABT17" s="72" t="str">
        <f t="shared" si="378"/>
        <v/>
      </c>
      <c r="ABU17" s="72" t="str">
        <f t="shared" si="379"/>
        <v/>
      </c>
      <c r="ABV17" s="72" t="str">
        <f t="shared" si="380"/>
        <v/>
      </c>
      <c r="ABW17" s="72" t="str">
        <f t="shared" si="381"/>
        <v/>
      </c>
      <c r="ABX17" s="72" t="str">
        <f t="shared" si="382"/>
        <v/>
      </c>
      <c r="ABY17" s="295" t="str">
        <f>IFERROR(IF(OR($B17="",ABY$3=""),"",IF(NOT(ISNUMBER(_xll.ciqfunctions.udf.CIQ($B17, "IQ_FIXED_ASSET_TURNS", ABY$3, $E$3, $N$3, , $J$3, $K$3))),"",_xll.ciqfunctions.udf.CIQ($B17, "IQ_FIXED_ASSET_TURNS", ABY$3, $E$3, $N$3, , $J$3, $K$3))),"")</f>
        <v/>
      </c>
      <c r="ABZ17" s="296" t="str">
        <f>IFERROR(IF(OR($B17="",ABZ$3=""),"",IF(NOT(ISNUMBER(_xll.ciqfunctions.udf.CIQ($B17, "IQ_FIXED_ASSET_TURNS", ABZ$3, $E$3, $N$3, , $J$3, $K$3))),"",_xll.ciqfunctions.udf.CIQ($B17, "IQ_FIXED_ASSET_TURNS", ABZ$3, $E$3, $N$3, , $J$3, $K$3))),"")</f>
        <v/>
      </c>
      <c r="ACA17" s="296" t="str">
        <f>IFERROR(IF(OR($B17="",ACA$3=""),"",IF(NOT(ISNUMBER(_xll.ciqfunctions.udf.CIQ($B17, "IQ_FIXED_ASSET_TURNS", ACA$3, $E$3, $N$3, , $J$3, $K$3))),"",_xll.ciqfunctions.udf.CIQ($B17, "IQ_FIXED_ASSET_TURNS", ACA$3, $E$3, $N$3, , $J$3, $K$3))),"")</f>
        <v/>
      </c>
      <c r="ACB17" s="296" t="str">
        <f>IFERROR(IF(OR($B17="",ACB$3=""),"",IF(NOT(ISNUMBER(_xll.ciqfunctions.udf.CIQ($B17, "IQ_FIXED_ASSET_TURNS", ACB$3, $E$3, $N$3, , $J$3, $K$3))),"",_xll.ciqfunctions.udf.CIQ($B17, "IQ_FIXED_ASSET_TURNS", ACB$3, $E$3, $N$3, , $J$3, $K$3))),"")</f>
        <v/>
      </c>
      <c r="ACC17" s="296" t="str">
        <f>IFERROR(IF(OR($B17="",ACC$3=""),"",IF(NOT(ISNUMBER(_xll.ciqfunctions.udf.CIQ($B17, "IQ_FIXED_ASSET_TURNS", ACC$3, $E$3, $N$3, , $J$3, $K$3))),"",_xll.ciqfunctions.udf.CIQ($B17, "IQ_FIXED_ASSET_TURNS", ACC$3, $E$3, $N$3, , $J$3, $K$3))),"")</f>
        <v/>
      </c>
      <c r="ACD17" s="296" t="str">
        <f>IFERROR(IF(OR($B17="",ACD$3=""),"",IF(NOT(ISNUMBER(_xll.ciqfunctions.udf.CIQ($B17, "IQ_FIXED_ASSET_TURNS", ACD$3, $E$3, $N$3, , $J$3, $K$3))),"",_xll.ciqfunctions.udf.CIQ($B17, "IQ_FIXED_ASSET_TURNS", ACD$3, $E$3, $N$3, , $J$3, $K$3))),"")</f>
        <v/>
      </c>
      <c r="ACE17" s="296" t="str">
        <f>IFERROR(IF(OR($B17="",ACE$3=""),"",IF(NOT(ISNUMBER(_xll.ciqfunctions.udf.CIQ($B17, "IQ_FIXED_ASSET_TURNS", ACE$3, $E$3, $N$3, , $J$3, $K$3))),"",_xll.ciqfunctions.udf.CIQ($B17, "IQ_FIXED_ASSET_TURNS", ACE$3, $E$3, $N$3, , $J$3, $K$3))),"")</f>
        <v/>
      </c>
      <c r="ACF17" s="296" t="str">
        <f>IFERROR(IF(OR($B17="",ACF$3=""),"",IF(NOT(ISNUMBER(_xll.ciqfunctions.udf.CIQ($B17, "IQ_FIXED_ASSET_TURNS", ACF$3, $E$3, $N$3, , $J$3, $K$3))),"",_xll.ciqfunctions.udf.CIQ($B17, "IQ_FIXED_ASSET_TURNS", ACF$3, $E$3, $N$3, , $J$3, $K$3))),"")</f>
        <v/>
      </c>
      <c r="ACG17" s="296" t="str">
        <f>IFERROR(IF(OR($B17="",ACG$3=""),"",IF(NOT(ISNUMBER(_xll.ciqfunctions.udf.CIQ($B17, "IQ_FIXED_ASSET_TURNS", ACG$3, $E$3, $N$3, , $J$3, $K$3))),"",_xll.ciqfunctions.udf.CIQ($B17, "IQ_FIXED_ASSET_TURNS", ACG$3, $E$3, $N$3, , $J$3, $K$3))),"")</f>
        <v/>
      </c>
      <c r="ACH17" s="296" t="str">
        <f>IFERROR(IF(OR($B17="",ACH$3=""),"",IF(NOT(ISNUMBER(_xll.ciqfunctions.udf.CIQ($B17, "IQ_FIXED_ASSET_TURNS", ACH$3, $E$3, $N$3, , $J$3, $K$3))),"",_xll.ciqfunctions.udf.CIQ($B17, "IQ_FIXED_ASSET_TURNS", ACH$3, $E$3, $N$3, , $J$3, $K$3))),"")</f>
        <v/>
      </c>
      <c r="ACI17" s="296" t="str">
        <f>IFERROR(IF(OR($B17="",ACI$3=""),"",IF(NOT(ISNUMBER(_xll.ciqfunctions.udf.CIQ($B17, "IQ_FIXED_ASSET_TURNS", ACI$3, $E$3, $N$3, , $J$3, $K$3))),"",_xll.ciqfunctions.udf.CIQ($B17, "IQ_FIXED_ASSET_TURNS", ACI$3, $E$3, $N$3, , $J$3, $K$3))),"")</f>
        <v/>
      </c>
      <c r="ACJ17" s="296" t="str">
        <f>IFERROR(IF(OR($B17="",ACJ$3=""),"",IF(NOT(ISNUMBER(_xll.ciqfunctions.udf.CIQ($B17, "IQ_FIXED_ASSET_TURNS", ACJ$3, $E$3, $N$3, , $J$3, $K$3))),"",_xll.ciqfunctions.udf.CIQ($B17, "IQ_FIXED_ASSET_TURNS", ACJ$3, $E$3, $N$3, , $J$3, $K$3))),"")</f>
        <v/>
      </c>
      <c r="ACK17" s="296" t="str">
        <f>IFERROR(IF(OR($B17="",ACK$3=""),"",IF(NOT(ISNUMBER(_xll.ciqfunctions.udf.CIQ($B17, "IQ_FIXED_ASSET_TURNS", ACK$3, $E$3, $N$3, , $J$3, $K$3))),"",_xll.ciqfunctions.udf.CIQ($B17, "IQ_FIXED_ASSET_TURNS", ACK$3, $E$3, $N$3, , $J$3, $K$3))),"")</f>
        <v/>
      </c>
      <c r="ACL17" s="296" t="str">
        <f>IFERROR(IF(OR($B17="",ACL$3=""),"",IF(NOT(ISNUMBER(_xll.ciqfunctions.udf.CIQ($B17, "IQ_FIXED_ASSET_TURNS", ACL$3, $E$3, $N$3, , $J$3, $K$3))),"",_xll.ciqfunctions.udf.CIQ($B17, "IQ_FIXED_ASSET_TURNS", ACL$3, $E$3, $N$3, , $J$3, $K$3))),"")</f>
        <v/>
      </c>
      <c r="ACM17" s="296" t="str">
        <f>IFERROR(IF(OR($B17="",ACM$3=""),"",IF(NOT(ISNUMBER(_xll.ciqfunctions.udf.CIQ($B17, "IQ_FIXED_ASSET_TURNS", ACM$3, $E$3, $N$3, , $J$3, $K$3))),"",_xll.ciqfunctions.udf.CIQ($B17, "IQ_FIXED_ASSET_TURNS", ACM$3, $E$3, $N$3, , $J$3, $K$3))),"")</f>
        <v/>
      </c>
      <c r="ACN17" s="296" t="str">
        <f>IFERROR(IF(OR($B17="",ACN$3=""),"",IF(NOT(ISNUMBER(_xll.ciqfunctions.udf.CIQ($B17, "IQ_FIXED_ASSET_TURNS", ACN$3, $E$3, $N$3, , $J$3, $K$3))),"",_xll.ciqfunctions.udf.CIQ($B17, "IQ_FIXED_ASSET_TURNS", ACN$3, $E$3, $N$3, , $J$3, $K$3))),"")</f>
        <v/>
      </c>
      <c r="ACO17" s="296" t="str">
        <f>IFERROR(IF(OR($B17="",ACO$3=""),"",IF(NOT(ISNUMBER(_xll.ciqfunctions.udf.CIQ($B17, "IQ_FIXED_ASSET_TURNS", ACO$3, $E$3, $N$3, , $J$3, $K$3))),"",_xll.ciqfunctions.udf.CIQ($B17, "IQ_FIXED_ASSET_TURNS", ACO$3, $E$3, $N$3, , $J$3, $K$3))),"")</f>
        <v/>
      </c>
      <c r="ACP17" s="296" t="str">
        <f>IFERROR(IF(OR($B17="",ACP$3=""),"",IF(NOT(ISNUMBER(_xll.ciqfunctions.udf.CIQ($B17, "IQ_FIXED_ASSET_TURNS", ACP$3, $E$3, $N$3, , $J$3, $K$3))),"",_xll.ciqfunctions.udf.CIQ($B17, "IQ_FIXED_ASSET_TURNS", ACP$3, $E$3, $N$3, , $J$3, $K$3))),"")</f>
        <v/>
      </c>
      <c r="ACQ17" s="296" t="str">
        <f>IFERROR(IF(OR($B17="",ACQ$3=""),"",IF(NOT(ISNUMBER(_xll.ciqfunctions.udf.CIQ($B17, "IQ_FIXED_ASSET_TURNS", ACQ$3, $E$3, $N$3, , $J$3, $K$3))),"",_xll.ciqfunctions.udf.CIQ($B17, "IQ_FIXED_ASSET_TURNS", ACQ$3, $E$3, $N$3, , $J$3, $K$3))),"")</f>
        <v/>
      </c>
      <c r="ACR17" s="297" t="str">
        <f>IFERROR(IF(OR($B17="",ACR$3=""),"",IF(NOT(ISNUMBER(_xll.ciqfunctions.udf.CIQ($B17, "IQ_FIXED_ASSET_TURNS", ACR$3, $E$3, $N$3, , $J$3, $K$3))),"",_xll.ciqfunctions.udf.CIQ($B17, "IQ_FIXED_ASSET_TURNS", ACR$3, $E$3, $N$3, , $J$3, $K$3))),"")</f>
        <v/>
      </c>
    </row>
    <row r="18" spans="1:772" ht="15" customHeight="1" x14ac:dyDescent="0.2">
      <c r="A18" s="285" t="s">
        <v>76</v>
      </c>
      <c r="B18" s="286"/>
      <c r="C18" s="286"/>
      <c r="D18" s="287"/>
      <c r="E18" s="288"/>
      <c r="F18" s="288"/>
      <c r="G18" s="289">
        <f t="shared" ref="G18:AE18" si="384">IFERROR(MEDIAN(G8:G17),"")</f>
        <v>0.61000750707397366</v>
      </c>
      <c r="H18" s="289">
        <f>IFERROR(MEDIAN(H8:H17),"")</f>
        <v>0.176866</v>
      </c>
      <c r="I18" s="289">
        <f t="shared" si="384"/>
        <v>0.12654400000000002</v>
      </c>
      <c r="J18" s="289">
        <f t="shared" si="384"/>
        <v>4.7117000000000006E-2</v>
      </c>
      <c r="K18" s="289">
        <f t="shared" si="384"/>
        <v>3.8417E-2</v>
      </c>
      <c r="L18" s="289">
        <f t="shared" si="384"/>
        <v>2.6225000000000002E-2</v>
      </c>
      <c r="M18" s="289">
        <f t="shared" si="384"/>
        <v>0.87345577707057875</v>
      </c>
      <c r="N18" s="289">
        <f t="shared" si="384"/>
        <v>7.9426693115275018E-2</v>
      </c>
      <c r="O18" s="289">
        <f t="shared" si="384"/>
        <v>8.776500000000001E-2</v>
      </c>
      <c r="P18" s="289">
        <f t="shared" si="384"/>
        <v>0</v>
      </c>
      <c r="Q18" s="288">
        <f t="shared" si="384"/>
        <v>3.6166806996513161</v>
      </c>
      <c r="R18" s="288">
        <f t="shared" si="384"/>
        <v>30.165371398073162</v>
      </c>
      <c r="S18" s="288">
        <f t="shared" si="384"/>
        <v>31.28054591895086</v>
      </c>
      <c r="T18" s="288">
        <f t="shared" si="384"/>
        <v>2.5015061787736208</v>
      </c>
      <c r="U18" s="289">
        <f>IFERROR(MEDIAN(U8:U17),"")</f>
        <v>9.344384555408658E-2</v>
      </c>
      <c r="V18" s="289">
        <f>IFERROR(MEDIAN(V8:V17),"")</f>
        <v>0.18411341359560507</v>
      </c>
      <c r="W18" s="289">
        <f>IFERROR(MEDIAN(W8:W17),"")</f>
        <v>0.3053870655033929</v>
      </c>
      <c r="X18" s="1028">
        <f t="shared" si="384"/>
        <v>3.5631499999999998</v>
      </c>
      <c r="Y18" s="1028">
        <f t="shared" ref="Y18" si="385">IFERROR(MEDIAN(Y8:Y17),"")</f>
        <v>8.0374300000000005</v>
      </c>
      <c r="Z18" s="289">
        <f>IFERROR(MEDIAN(Z8:Z17),"")</f>
        <v>4.7245967300767293E-2</v>
      </c>
      <c r="AA18" s="288">
        <f t="shared" si="384"/>
        <v>3.2484292924091052</v>
      </c>
      <c r="AB18" s="289">
        <f>IFERROR(MEDIAN(AB8:AB17),"")</f>
        <v>3.5382149092137244E-2</v>
      </c>
      <c r="AC18" s="289">
        <f t="shared" si="384"/>
        <v>0.24818499596665769</v>
      </c>
      <c r="AD18" s="288">
        <f t="shared" si="384"/>
        <v>6.7716200000000004</v>
      </c>
      <c r="AE18" s="290">
        <f t="shared" si="384"/>
        <v>0.66174999999999995</v>
      </c>
      <c r="AF18" s="104"/>
      <c r="AG18" s="695">
        <f t="shared" ref="AG18:CR18" si="386">IFERROR(MEDIAN(AG8:AG17),"")</f>
        <v>0.12756200000000001</v>
      </c>
      <c r="AH18" s="696" t="str">
        <f t="shared" si="386"/>
        <v/>
      </c>
      <c r="AI18" s="696" t="str">
        <f t="shared" si="386"/>
        <v/>
      </c>
      <c r="AJ18" s="696" t="str">
        <f t="shared" si="386"/>
        <v/>
      </c>
      <c r="AK18" s="696" t="str">
        <f t="shared" si="386"/>
        <v/>
      </c>
      <c r="AL18" s="696" t="str">
        <f t="shared" si="386"/>
        <v/>
      </c>
      <c r="AM18" s="696" t="str">
        <f t="shared" si="386"/>
        <v/>
      </c>
      <c r="AN18" s="696" t="str">
        <f t="shared" si="386"/>
        <v/>
      </c>
      <c r="AO18" s="696" t="str">
        <f t="shared" si="386"/>
        <v/>
      </c>
      <c r="AP18" s="696" t="str">
        <f t="shared" si="386"/>
        <v/>
      </c>
      <c r="AQ18" s="696" t="str">
        <f t="shared" si="386"/>
        <v/>
      </c>
      <c r="AR18" s="696" t="str">
        <f t="shared" si="386"/>
        <v/>
      </c>
      <c r="AS18" s="696" t="str">
        <f t="shared" si="386"/>
        <v/>
      </c>
      <c r="AT18" s="696" t="str">
        <f t="shared" si="386"/>
        <v/>
      </c>
      <c r="AU18" s="696" t="str">
        <f t="shared" si="386"/>
        <v/>
      </c>
      <c r="AV18" s="696" t="str">
        <f t="shared" si="386"/>
        <v/>
      </c>
      <c r="AW18" s="696" t="str">
        <f t="shared" si="386"/>
        <v/>
      </c>
      <c r="AX18" s="696" t="str">
        <f t="shared" si="386"/>
        <v/>
      </c>
      <c r="AY18" s="696" t="str">
        <f t="shared" si="386"/>
        <v/>
      </c>
      <c r="AZ18" s="697" t="str">
        <f t="shared" si="386"/>
        <v/>
      </c>
      <c r="BA18" s="698">
        <f t="shared" si="386"/>
        <v>4.6349999999999995E-2</v>
      </c>
      <c r="BB18" s="696" t="str">
        <f t="shared" si="386"/>
        <v/>
      </c>
      <c r="BC18" s="696" t="str">
        <f t="shared" si="386"/>
        <v/>
      </c>
      <c r="BD18" s="696" t="str">
        <f t="shared" si="386"/>
        <v/>
      </c>
      <c r="BE18" s="696" t="str">
        <f>IFERROR(MEDIAN(BE8:BE17),"")</f>
        <v/>
      </c>
      <c r="BF18" s="696" t="str">
        <f t="shared" si="386"/>
        <v/>
      </c>
      <c r="BG18" s="696" t="str">
        <f t="shared" si="386"/>
        <v/>
      </c>
      <c r="BH18" s="696" t="str">
        <f t="shared" si="386"/>
        <v/>
      </c>
      <c r="BI18" s="696" t="str">
        <f t="shared" si="386"/>
        <v/>
      </c>
      <c r="BJ18" s="696" t="str">
        <f t="shared" si="386"/>
        <v/>
      </c>
      <c r="BK18" s="696" t="str">
        <f t="shared" si="386"/>
        <v/>
      </c>
      <c r="BL18" s="696" t="str">
        <f t="shared" si="386"/>
        <v/>
      </c>
      <c r="BM18" s="696" t="str">
        <f t="shared" si="386"/>
        <v/>
      </c>
      <c r="BN18" s="696" t="str">
        <f t="shared" si="386"/>
        <v/>
      </c>
      <c r="BO18" s="696" t="str">
        <f t="shared" si="386"/>
        <v/>
      </c>
      <c r="BP18" s="696" t="str">
        <f t="shared" si="386"/>
        <v/>
      </c>
      <c r="BQ18" s="696" t="str">
        <f t="shared" si="386"/>
        <v/>
      </c>
      <c r="BR18" s="696" t="str">
        <f t="shared" si="386"/>
        <v/>
      </c>
      <c r="BS18" s="696" t="str">
        <f t="shared" si="386"/>
        <v/>
      </c>
      <c r="BT18" s="697" t="str">
        <f t="shared" si="386"/>
        <v/>
      </c>
      <c r="BU18" s="698">
        <f t="shared" si="386"/>
        <v>3.7442000000000003E-2</v>
      </c>
      <c r="BV18" s="696" t="str">
        <f t="shared" si="386"/>
        <v/>
      </c>
      <c r="BW18" s="696" t="str">
        <f t="shared" si="386"/>
        <v/>
      </c>
      <c r="BX18" s="696" t="str">
        <f t="shared" si="386"/>
        <v/>
      </c>
      <c r="BY18" s="696" t="str">
        <f t="shared" si="386"/>
        <v/>
      </c>
      <c r="BZ18" s="696" t="str">
        <f t="shared" si="386"/>
        <v/>
      </c>
      <c r="CA18" s="696" t="str">
        <f t="shared" si="386"/>
        <v/>
      </c>
      <c r="CB18" s="696" t="str">
        <f t="shared" si="386"/>
        <v/>
      </c>
      <c r="CC18" s="696" t="str">
        <f t="shared" si="386"/>
        <v/>
      </c>
      <c r="CD18" s="696" t="str">
        <f t="shared" si="386"/>
        <v/>
      </c>
      <c r="CE18" s="696" t="str">
        <f t="shared" si="386"/>
        <v/>
      </c>
      <c r="CF18" s="696" t="str">
        <f t="shared" si="386"/>
        <v/>
      </c>
      <c r="CG18" s="696" t="str">
        <f t="shared" si="386"/>
        <v/>
      </c>
      <c r="CH18" s="696" t="str">
        <f t="shared" si="386"/>
        <v/>
      </c>
      <c r="CI18" s="696" t="str">
        <f t="shared" si="386"/>
        <v/>
      </c>
      <c r="CJ18" s="696" t="str">
        <f t="shared" si="386"/>
        <v/>
      </c>
      <c r="CK18" s="696" t="str">
        <f t="shared" si="386"/>
        <v/>
      </c>
      <c r="CL18" s="696" t="str">
        <f t="shared" si="386"/>
        <v/>
      </c>
      <c r="CM18" s="696" t="str">
        <f t="shared" si="386"/>
        <v/>
      </c>
      <c r="CN18" s="697" t="str">
        <f t="shared" si="386"/>
        <v/>
      </c>
      <c r="CO18" s="698">
        <f t="shared" si="386"/>
        <v>2.5432E-2</v>
      </c>
      <c r="CP18" s="696" t="str">
        <f t="shared" si="386"/>
        <v/>
      </c>
      <c r="CQ18" s="696" t="str">
        <f t="shared" si="386"/>
        <v/>
      </c>
      <c r="CR18" s="696" t="str">
        <f t="shared" si="386"/>
        <v/>
      </c>
      <c r="CS18" s="696" t="str">
        <f t="shared" ref="CS18:FD18" si="387">IFERROR(MEDIAN(CS8:CS17),"")</f>
        <v/>
      </c>
      <c r="CT18" s="696" t="str">
        <f t="shared" si="387"/>
        <v/>
      </c>
      <c r="CU18" s="696" t="str">
        <f t="shared" si="387"/>
        <v/>
      </c>
      <c r="CV18" s="696" t="str">
        <f t="shared" si="387"/>
        <v/>
      </c>
      <c r="CW18" s="696" t="str">
        <f t="shared" si="387"/>
        <v/>
      </c>
      <c r="CX18" s="696" t="str">
        <f t="shared" si="387"/>
        <v/>
      </c>
      <c r="CY18" s="696" t="str">
        <f t="shared" si="387"/>
        <v/>
      </c>
      <c r="CZ18" s="696" t="str">
        <f t="shared" si="387"/>
        <v/>
      </c>
      <c r="DA18" s="696" t="str">
        <f t="shared" si="387"/>
        <v/>
      </c>
      <c r="DB18" s="696" t="str">
        <f t="shared" si="387"/>
        <v/>
      </c>
      <c r="DC18" s="696" t="str">
        <f t="shared" si="387"/>
        <v/>
      </c>
      <c r="DD18" s="696" t="str">
        <f t="shared" si="387"/>
        <v/>
      </c>
      <c r="DE18" s="696" t="str">
        <f t="shared" si="387"/>
        <v/>
      </c>
      <c r="DF18" s="696" t="str">
        <f t="shared" si="387"/>
        <v/>
      </c>
      <c r="DG18" s="696" t="str">
        <f t="shared" si="387"/>
        <v/>
      </c>
      <c r="DH18" s="697" t="str">
        <f t="shared" si="387"/>
        <v/>
      </c>
      <c r="DI18" s="698">
        <f t="shared" si="387"/>
        <v>0.87243702113411203</v>
      </c>
      <c r="DJ18" s="696" t="str">
        <f t="shared" si="387"/>
        <v/>
      </c>
      <c r="DK18" s="696" t="str">
        <f t="shared" si="387"/>
        <v/>
      </c>
      <c r="DL18" s="696" t="str">
        <f t="shared" si="387"/>
        <v/>
      </c>
      <c r="DM18" s="696" t="str">
        <f t="shared" si="387"/>
        <v/>
      </c>
      <c r="DN18" s="696" t="str">
        <f t="shared" si="387"/>
        <v/>
      </c>
      <c r="DO18" s="696" t="str">
        <f t="shared" si="387"/>
        <v/>
      </c>
      <c r="DP18" s="696" t="str">
        <f t="shared" si="387"/>
        <v/>
      </c>
      <c r="DQ18" s="696" t="str">
        <f t="shared" si="387"/>
        <v/>
      </c>
      <c r="DR18" s="696" t="str">
        <f t="shared" si="387"/>
        <v/>
      </c>
      <c r="DS18" s="696" t="str">
        <f t="shared" si="387"/>
        <v/>
      </c>
      <c r="DT18" s="696" t="str">
        <f t="shared" si="387"/>
        <v/>
      </c>
      <c r="DU18" s="696" t="str">
        <f t="shared" si="387"/>
        <v/>
      </c>
      <c r="DV18" s="696" t="str">
        <f t="shared" si="387"/>
        <v/>
      </c>
      <c r="DW18" s="696" t="str">
        <f t="shared" si="387"/>
        <v/>
      </c>
      <c r="DX18" s="696" t="str">
        <f t="shared" si="387"/>
        <v/>
      </c>
      <c r="DY18" s="696" t="str">
        <f t="shared" si="387"/>
        <v/>
      </c>
      <c r="DZ18" s="696" t="str">
        <f t="shared" si="387"/>
        <v/>
      </c>
      <c r="EA18" s="696" t="str">
        <f t="shared" si="387"/>
        <v/>
      </c>
      <c r="EB18" s="697" t="str">
        <f t="shared" si="387"/>
        <v/>
      </c>
      <c r="EC18" s="698">
        <f t="shared" si="387"/>
        <v>8.1212700163479146E-2</v>
      </c>
      <c r="ED18" s="696" t="str">
        <f t="shared" si="387"/>
        <v/>
      </c>
      <c r="EE18" s="696" t="str">
        <f t="shared" si="387"/>
        <v/>
      </c>
      <c r="EF18" s="696" t="str">
        <f t="shared" si="387"/>
        <v/>
      </c>
      <c r="EG18" s="696" t="str">
        <f t="shared" si="387"/>
        <v/>
      </c>
      <c r="EH18" s="696" t="str">
        <f t="shared" si="387"/>
        <v/>
      </c>
      <c r="EI18" s="696" t="str">
        <f t="shared" si="387"/>
        <v/>
      </c>
      <c r="EJ18" s="696" t="str">
        <f t="shared" si="387"/>
        <v/>
      </c>
      <c r="EK18" s="696" t="str">
        <f t="shared" si="387"/>
        <v/>
      </c>
      <c r="EL18" s="696" t="str">
        <f t="shared" si="387"/>
        <v/>
      </c>
      <c r="EM18" s="696" t="str">
        <f t="shared" si="387"/>
        <v/>
      </c>
      <c r="EN18" s="696" t="str">
        <f t="shared" si="387"/>
        <v/>
      </c>
      <c r="EO18" s="696" t="str">
        <f t="shared" si="387"/>
        <v/>
      </c>
      <c r="EP18" s="696" t="str">
        <f t="shared" si="387"/>
        <v/>
      </c>
      <c r="EQ18" s="696" t="str">
        <f t="shared" si="387"/>
        <v/>
      </c>
      <c r="ER18" s="696" t="str">
        <f t="shared" si="387"/>
        <v/>
      </c>
      <c r="ES18" s="696" t="str">
        <f t="shared" si="387"/>
        <v/>
      </c>
      <c r="ET18" s="696" t="str">
        <f t="shared" si="387"/>
        <v/>
      </c>
      <c r="EU18" s="696" t="str">
        <f t="shared" si="387"/>
        <v/>
      </c>
      <c r="EV18" s="697" t="str">
        <f t="shared" si="387"/>
        <v/>
      </c>
      <c r="EW18" s="698">
        <f t="shared" si="387"/>
        <v>8.9746000000000006E-2</v>
      </c>
      <c r="EX18" s="696" t="str">
        <f t="shared" si="387"/>
        <v/>
      </c>
      <c r="EY18" s="696" t="str">
        <f t="shared" si="387"/>
        <v/>
      </c>
      <c r="EZ18" s="696" t="str">
        <f t="shared" si="387"/>
        <v/>
      </c>
      <c r="FA18" s="696" t="str">
        <f t="shared" si="387"/>
        <v/>
      </c>
      <c r="FB18" s="696" t="str">
        <f t="shared" si="387"/>
        <v/>
      </c>
      <c r="FC18" s="696" t="str">
        <f t="shared" si="387"/>
        <v/>
      </c>
      <c r="FD18" s="696" t="str">
        <f t="shared" si="387"/>
        <v/>
      </c>
      <c r="FE18" s="696" t="str">
        <f t="shared" ref="FE18:HP18" si="388">IFERROR(MEDIAN(FE8:FE17),"")</f>
        <v/>
      </c>
      <c r="FF18" s="696" t="str">
        <f t="shared" si="388"/>
        <v/>
      </c>
      <c r="FG18" s="696" t="str">
        <f t="shared" si="388"/>
        <v/>
      </c>
      <c r="FH18" s="696" t="str">
        <f t="shared" si="388"/>
        <v/>
      </c>
      <c r="FI18" s="696" t="str">
        <f t="shared" si="388"/>
        <v/>
      </c>
      <c r="FJ18" s="696" t="str">
        <f t="shared" si="388"/>
        <v/>
      </c>
      <c r="FK18" s="696" t="str">
        <f t="shared" si="388"/>
        <v/>
      </c>
      <c r="FL18" s="696" t="str">
        <f t="shared" si="388"/>
        <v/>
      </c>
      <c r="FM18" s="696" t="str">
        <f t="shared" si="388"/>
        <v/>
      </c>
      <c r="FN18" s="696" t="str">
        <f t="shared" si="388"/>
        <v/>
      </c>
      <c r="FO18" s="696" t="str">
        <f t="shared" si="388"/>
        <v/>
      </c>
      <c r="FP18" s="697" t="str">
        <f t="shared" si="388"/>
        <v/>
      </c>
      <c r="FQ18" s="698">
        <f t="shared" si="388"/>
        <v>0</v>
      </c>
      <c r="FR18" s="696" t="str">
        <f t="shared" si="388"/>
        <v/>
      </c>
      <c r="FS18" s="696" t="str">
        <f t="shared" si="388"/>
        <v/>
      </c>
      <c r="FT18" s="696" t="str">
        <f t="shared" si="388"/>
        <v/>
      </c>
      <c r="FU18" s="696" t="str">
        <f t="shared" si="388"/>
        <v/>
      </c>
      <c r="FV18" s="696" t="str">
        <f t="shared" si="388"/>
        <v/>
      </c>
      <c r="FW18" s="696" t="str">
        <f t="shared" si="388"/>
        <v/>
      </c>
      <c r="FX18" s="696" t="str">
        <f t="shared" si="388"/>
        <v/>
      </c>
      <c r="FY18" s="696" t="str">
        <f t="shared" si="388"/>
        <v/>
      </c>
      <c r="FZ18" s="696" t="str">
        <f t="shared" si="388"/>
        <v/>
      </c>
      <c r="GA18" s="696" t="str">
        <f t="shared" si="388"/>
        <v/>
      </c>
      <c r="GB18" s="696" t="str">
        <f t="shared" si="388"/>
        <v/>
      </c>
      <c r="GC18" s="696" t="str">
        <f t="shared" si="388"/>
        <v/>
      </c>
      <c r="GD18" s="696" t="str">
        <f t="shared" si="388"/>
        <v/>
      </c>
      <c r="GE18" s="696" t="str">
        <f t="shared" si="388"/>
        <v/>
      </c>
      <c r="GF18" s="696" t="str">
        <f t="shared" si="388"/>
        <v/>
      </c>
      <c r="GG18" s="696" t="str">
        <f t="shared" si="388"/>
        <v/>
      </c>
      <c r="GH18" s="696" t="str">
        <f t="shared" si="388"/>
        <v/>
      </c>
      <c r="GI18" s="696" t="str">
        <f t="shared" si="388"/>
        <v/>
      </c>
      <c r="GJ18" s="697" t="str">
        <f t="shared" si="388"/>
        <v/>
      </c>
      <c r="GK18" s="595">
        <f t="shared" si="388"/>
        <v>3.2153443895136986</v>
      </c>
      <c r="GL18" s="596" t="str">
        <f t="shared" si="388"/>
        <v/>
      </c>
      <c r="GM18" s="596" t="str">
        <f t="shared" si="388"/>
        <v/>
      </c>
      <c r="GN18" s="596" t="str">
        <f t="shared" si="388"/>
        <v/>
      </c>
      <c r="GO18" s="596" t="str">
        <f t="shared" si="388"/>
        <v/>
      </c>
      <c r="GP18" s="596" t="str">
        <f t="shared" si="388"/>
        <v/>
      </c>
      <c r="GQ18" s="596" t="str">
        <f t="shared" si="388"/>
        <v/>
      </c>
      <c r="GR18" s="596" t="str">
        <f t="shared" si="388"/>
        <v/>
      </c>
      <c r="GS18" s="596" t="str">
        <f t="shared" si="388"/>
        <v/>
      </c>
      <c r="GT18" s="596" t="str">
        <f t="shared" si="388"/>
        <v/>
      </c>
      <c r="GU18" s="596" t="str">
        <f t="shared" si="388"/>
        <v/>
      </c>
      <c r="GV18" s="596" t="str">
        <f t="shared" si="388"/>
        <v/>
      </c>
      <c r="GW18" s="596" t="str">
        <f t="shared" si="388"/>
        <v/>
      </c>
      <c r="GX18" s="596" t="str">
        <f t="shared" si="388"/>
        <v/>
      </c>
      <c r="GY18" s="596" t="str">
        <f t="shared" si="388"/>
        <v/>
      </c>
      <c r="GZ18" s="596" t="str">
        <f t="shared" si="388"/>
        <v/>
      </c>
      <c r="HA18" s="596" t="str">
        <f t="shared" si="388"/>
        <v/>
      </c>
      <c r="HB18" s="596" t="str">
        <f t="shared" si="388"/>
        <v/>
      </c>
      <c r="HC18" s="596" t="str">
        <f t="shared" si="388"/>
        <v/>
      </c>
      <c r="HD18" s="597" t="str">
        <f t="shared" si="388"/>
        <v/>
      </c>
      <c r="HE18" s="595">
        <f t="shared" si="388"/>
        <v>32.799486956619894</v>
      </c>
      <c r="HF18" s="596" t="str">
        <f t="shared" si="388"/>
        <v/>
      </c>
      <c r="HG18" s="596" t="str">
        <f t="shared" si="388"/>
        <v/>
      </c>
      <c r="HH18" s="596" t="str">
        <f t="shared" si="388"/>
        <v/>
      </c>
      <c r="HI18" s="596" t="str">
        <f t="shared" si="388"/>
        <v/>
      </c>
      <c r="HJ18" s="596" t="str">
        <f t="shared" si="388"/>
        <v/>
      </c>
      <c r="HK18" s="596" t="str">
        <f t="shared" si="388"/>
        <v/>
      </c>
      <c r="HL18" s="596" t="str">
        <f t="shared" si="388"/>
        <v/>
      </c>
      <c r="HM18" s="596" t="str">
        <f t="shared" si="388"/>
        <v/>
      </c>
      <c r="HN18" s="596" t="str">
        <f t="shared" si="388"/>
        <v/>
      </c>
      <c r="HO18" s="596" t="str">
        <f t="shared" si="388"/>
        <v/>
      </c>
      <c r="HP18" s="596" t="str">
        <f t="shared" si="388"/>
        <v/>
      </c>
      <c r="HQ18" s="596" t="str">
        <f t="shared" ref="HQ18:KB18" si="389">IFERROR(MEDIAN(HQ8:HQ17),"")</f>
        <v/>
      </c>
      <c r="HR18" s="596" t="str">
        <f t="shared" si="389"/>
        <v/>
      </c>
      <c r="HS18" s="596" t="str">
        <f t="shared" si="389"/>
        <v/>
      </c>
      <c r="HT18" s="596" t="str">
        <f t="shared" si="389"/>
        <v/>
      </c>
      <c r="HU18" s="596" t="str">
        <f t="shared" si="389"/>
        <v/>
      </c>
      <c r="HV18" s="596" t="str">
        <f t="shared" si="389"/>
        <v/>
      </c>
      <c r="HW18" s="596" t="str">
        <f t="shared" si="389"/>
        <v/>
      </c>
      <c r="HX18" s="597" t="str">
        <f t="shared" si="389"/>
        <v/>
      </c>
      <c r="HY18" s="595">
        <f t="shared" si="389"/>
        <v>37.673624829267737</v>
      </c>
      <c r="HZ18" s="596" t="str">
        <f t="shared" si="389"/>
        <v/>
      </c>
      <c r="IA18" s="596" t="str">
        <f t="shared" si="389"/>
        <v/>
      </c>
      <c r="IB18" s="596" t="str">
        <f t="shared" si="389"/>
        <v/>
      </c>
      <c r="IC18" s="596" t="str">
        <f t="shared" si="389"/>
        <v/>
      </c>
      <c r="ID18" s="596" t="str">
        <f t="shared" si="389"/>
        <v/>
      </c>
      <c r="IE18" s="596" t="str">
        <f t="shared" si="389"/>
        <v/>
      </c>
      <c r="IF18" s="596" t="str">
        <f t="shared" si="389"/>
        <v/>
      </c>
      <c r="IG18" s="596" t="str">
        <f t="shared" si="389"/>
        <v/>
      </c>
      <c r="IH18" s="596" t="str">
        <f t="shared" si="389"/>
        <v/>
      </c>
      <c r="II18" s="596" t="str">
        <f t="shared" si="389"/>
        <v/>
      </c>
      <c r="IJ18" s="596" t="str">
        <f t="shared" si="389"/>
        <v/>
      </c>
      <c r="IK18" s="596" t="str">
        <f t="shared" si="389"/>
        <v/>
      </c>
      <c r="IL18" s="596" t="str">
        <f t="shared" si="389"/>
        <v/>
      </c>
      <c r="IM18" s="596" t="str">
        <f t="shared" si="389"/>
        <v/>
      </c>
      <c r="IN18" s="596" t="str">
        <f t="shared" si="389"/>
        <v/>
      </c>
      <c r="IO18" s="596" t="str">
        <f t="shared" si="389"/>
        <v/>
      </c>
      <c r="IP18" s="596" t="str">
        <f t="shared" si="389"/>
        <v/>
      </c>
      <c r="IQ18" s="596" t="str">
        <f t="shared" si="389"/>
        <v/>
      </c>
      <c r="IR18" s="597" t="str">
        <f t="shared" si="389"/>
        <v/>
      </c>
      <c r="IS18" s="595">
        <f t="shared" si="389"/>
        <v>-1.6587934831341471</v>
      </c>
      <c r="IT18" s="596" t="str">
        <f t="shared" si="389"/>
        <v/>
      </c>
      <c r="IU18" s="596" t="str">
        <f t="shared" si="389"/>
        <v/>
      </c>
      <c r="IV18" s="596" t="str">
        <f t="shared" si="389"/>
        <v/>
      </c>
      <c r="IW18" s="596" t="str">
        <f t="shared" si="389"/>
        <v/>
      </c>
      <c r="IX18" s="596" t="str">
        <f t="shared" si="389"/>
        <v/>
      </c>
      <c r="IY18" s="596" t="str">
        <f t="shared" si="389"/>
        <v/>
      </c>
      <c r="IZ18" s="596" t="str">
        <f t="shared" si="389"/>
        <v/>
      </c>
      <c r="JA18" s="596" t="str">
        <f t="shared" si="389"/>
        <v/>
      </c>
      <c r="JB18" s="596" t="str">
        <f t="shared" si="389"/>
        <v/>
      </c>
      <c r="JC18" s="596" t="str">
        <f t="shared" si="389"/>
        <v/>
      </c>
      <c r="JD18" s="596" t="str">
        <f t="shared" si="389"/>
        <v/>
      </c>
      <c r="JE18" s="596" t="str">
        <f t="shared" si="389"/>
        <v/>
      </c>
      <c r="JF18" s="596" t="str">
        <f t="shared" si="389"/>
        <v/>
      </c>
      <c r="JG18" s="596" t="str">
        <f t="shared" si="389"/>
        <v/>
      </c>
      <c r="JH18" s="596" t="str">
        <f t="shared" si="389"/>
        <v/>
      </c>
      <c r="JI18" s="596" t="str">
        <f t="shared" si="389"/>
        <v/>
      </c>
      <c r="JJ18" s="596" t="str">
        <f t="shared" si="389"/>
        <v/>
      </c>
      <c r="JK18" s="596" t="str">
        <f t="shared" si="389"/>
        <v/>
      </c>
      <c r="JL18" s="597" t="str">
        <f t="shared" si="389"/>
        <v/>
      </c>
      <c r="JM18" s="698">
        <f t="shared" si="389"/>
        <v>4.711843375155108E-2</v>
      </c>
      <c r="JN18" s="696" t="str">
        <f t="shared" si="389"/>
        <v/>
      </c>
      <c r="JO18" s="696" t="str">
        <f t="shared" si="389"/>
        <v/>
      </c>
      <c r="JP18" s="696" t="str">
        <f t="shared" si="389"/>
        <v/>
      </c>
      <c r="JQ18" s="696" t="str">
        <f t="shared" si="389"/>
        <v/>
      </c>
      <c r="JR18" s="696" t="str">
        <f t="shared" si="389"/>
        <v/>
      </c>
      <c r="JS18" s="696" t="str">
        <f t="shared" si="389"/>
        <v/>
      </c>
      <c r="JT18" s="696" t="str">
        <f t="shared" si="389"/>
        <v/>
      </c>
      <c r="JU18" s="696" t="str">
        <f t="shared" si="389"/>
        <v/>
      </c>
      <c r="JV18" s="696" t="str">
        <f t="shared" si="389"/>
        <v/>
      </c>
      <c r="JW18" s="696" t="str">
        <f t="shared" si="389"/>
        <v/>
      </c>
      <c r="JX18" s="696" t="str">
        <f t="shared" si="389"/>
        <v/>
      </c>
      <c r="JY18" s="696" t="str">
        <f t="shared" si="389"/>
        <v/>
      </c>
      <c r="JZ18" s="696" t="str">
        <f t="shared" si="389"/>
        <v/>
      </c>
      <c r="KA18" s="696" t="str">
        <f t="shared" si="389"/>
        <v/>
      </c>
      <c r="KB18" s="696" t="str">
        <f t="shared" si="389"/>
        <v/>
      </c>
      <c r="KC18" s="696" t="str">
        <f t="shared" ref="KC18:MN18" si="390">IFERROR(MEDIAN(KC8:KC17),"")</f>
        <v/>
      </c>
      <c r="KD18" s="696" t="str">
        <f t="shared" si="390"/>
        <v/>
      </c>
      <c r="KE18" s="696" t="str">
        <f t="shared" si="390"/>
        <v/>
      </c>
      <c r="KF18" s="697" t="str">
        <f t="shared" si="390"/>
        <v/>
      </c>
      <c r="KG18" s="301">
        <f t="shared" si="390"/>
        <v>3.2659099999999999</v>
      </c>
      <c r="KH18" s="302" t="str">
        <f t="shared" si="390"/>
        <v/>
      </c>
      <c r="KI18" s="302" t="str">
        <f t="shared" si="390"/>
        <v/>
      </c>
      <c r="KJ18" s="302" t="str">
        <f t="shared" si="390"/>
        <v/>
      </c>
      <c r="KK18" s="302" t="str">
        <f t="shared" si="390"/>
        <v/>
      </c>
      <c r="KL18" s="302" t="str">
        <f t="shared" si="390"/>
        <v/>
      </c>
      <c r="KM18" s="302" t="str">
        <f t="shared" si="390"/>
        <v/>
      </c>
      <c r="KN18" s="302" t="str">
        <f t="shared" si="390"/>
        <v/>
      </c>
      <c r="KO18" s="302" t="str">
        <f t="shared" si="390"/>
        <v/>
      </c>
      <c r="KP18" s="302" t="str">
        <f t="shared" si="390"/>
        <v/>
      </c>
      <c r="KQ18" s="302" t="str">
        <f t="shared" si="390"/>
        <v/>
      </c>
      <c r="KR18" s="302" t="str">
        <f t="shared" si="390"/>
        <v/>
      </c>
      <c r="KS18" s="302" t="str">
        <f t="shared" si="390"/>
        <v/>
      </c>
      <c r="KT18" s="302" t="str">
        <f t="shared" si="390"/>
        <v/>
      </c>
      <c r="KU18" s="302" t="str">
        <f t="shared" si="390"/>
        <v/>
      </c>
      <c r="KV18" s="302" t="str">
        <f t="shared" si="390"/>
        <v/>
      </c>
      <c r="KW18" s="302" t="str">
        <f t="shared" si="390"/>
        <v/>
      </c>
      <c r="KX18" s="302" t="str">
        <f t="shared" si="390"/>
        <v/>
      </c>
      <c r="KY18" s="302" t="str">
        <f t="shared" si="390"/>
        <v/>
      </c>
      <c r="KZ18" s="303" t="str">
        <f t="shared" si="390"/>
        <v/>
      </c>
      <c r="LA18" s="301">
        <f t="shared" si="390"/>
        <v>11.128220000000001</v>
      </c>
      <c r="LB18" s="301" t="str">
        <f t="shared" si="390"/>
        <v/>
      </c>
      <c r="LC18" s="301" t="str">
        <f t="shared" si="390"/>
        <v/>
      </c>
      <c r="LD18" s="301" t="str">
        <f t="shared" si="390"/>
        <v/>
      </c>
      <c r="LE18" s="301" t="str">
        <f t="shared" si="390"/>
        <v/>
      </c>
      <c r="LF18" s="301" t="str">
        <f t="shared" si="390"/>
        <v/>
      </c>
      <c r="LG18" s="301" t="str">
        <f t="shared" si="390"/>
        <v/>
      </c>
      <c r="LH18" s="301" t="str">
        <f t="shared" si="390"/>
        <v/>
      </c>
      <c r="LI18" s="301" t="str">
        <f t="shared" si="390"/>
        <v/>
      </c>
      <c r="LJ18" s="301" t="str">
        <f t="shared" si="390"/>
        <v/>
      </c>
      <c r="LK18" s="301" t="str">
        <f t="shared" si="390"/>
        <v/>
      </c>
      <c r="LL18" s="301" t="str">
        <f t="shared" si="390"/>
        <v/>
      </c>
      <c r="LM18" s="301" t="str">
        <f t="shared" si="390"/>
        <v/>
      </c>
      <c r="LN18" s="301" t="str">
        <f t="shared" si="390"/>
        <v/>
      </c>
      <c r="LO18" s="301" t="str">
        <f t="shared" si="390"/>
        <v/>
      </c>
      <c r="LP18" s="301" t="str">
        <f t="shared" si="390"/>
        <v/>
      </c>
      <c r="LQ18" s="301" t="str">
        <f t="shared" si="390"/>
        <v/>
      </c>
      <c r="LR18" s="301" t="str">
        <f t="shared" si="390"/>
        <v/>
      </c>
      <c r="LS18" s="301" t="str">
        <f t="shared" si="390"/>
        <v/>
      </c>
      <c r="LT18" s="301" t="str">
        <f t="shared" si="390"/>
        <v/>
      </c>
      <c r="LU18" s="301">
        <f t="shared" si="390"/>
        <v>113.51817</v>
      </c>
      <c r="LV18" s="301" t="str">
        <f t="shared" si="390"/>
        <v/>
      </c>
      <c r="LW18" s="301" t="str">
        <f t="shared" si="390"/>
        <v/>
      </c>
      <c r="LX18" s="301" t="str">
        <f t="shared" si="390"/>
        <v/>
      </c>
      <c r="LY18" s="301" t="str">
        <f t="shared" si="390"/>
        <v/>
      </c>
      <c r="LZ18" s="301" t="str">
        <f t="shared" si="390"/>
        <v/>
      </c>
      <c r="MA18" s="301" t="str">
        <f t="shared" si="390"/>
        <v/>
      </c>
      <c r="MB18" s="301" t="str">
        <f t="shared" si="390"/>
        <v/>
      </c>
      <c r="MC18" s="301" t="str">
        <f t="shared" si="390"/>
        <v/>
      </c>
      <c r="MD18" s="301" t="str">
        <f t="shared" si="390"/>
        <v/>
      </c>
      <c r="ME18" s="301" t="str">
        <f t="shared" si="390"/>
        <v/>
      </c>
      <c r="MF18" s="301" t="str">
        <f t="shared" si="390"/>
        <v/>
      </c>
      <c r="MG18" s="301" t="str">
        <f t="shared" si="390"/>
        <v/>
      </c>
      <c r="MH18" s="301" t="str">
        <f t="shared" si="390"/>
        <v/>
      </c>
      <c r="MI18" s="301" t="str">
        <f t="shared" si="390"/>
        <v/>
      </c>
      <c r="MJ18" s="301" t="str">
        <f t="shared" si="390"/>
        <v/>
      </c>
      <c r="MK18" s="301" t="str">
        <f t="shared" si="390"/>
        <v/>
      </c>
      <c r="ML18" s="301" t="str">
        <f t="shared" si="390"/>
        <v/>
      </c>
      <c r="MM18" s="301" t="str">
        <f t="shared" si="390"/>
        <v/>
      </c>
      <c r="MN18" s="301" t="str">
        <f t="shared" si="390"/>
        <v/>
      </c>
      <c r="MO18" s="698">
        <f t="shared" ref="MO18:OZ18" si="391">IFERROR(MEDIAN(MO8:MO17),"")</f>
        <v>0.45402185684749435</v>
      </c>
      <c r="MP18" s="698" t="str">
        <f t="shared" si="391"/>
        <v/>
      </c>
      <c r="MQ18" s="698" t="str">
        <f t="shared" si="391"/>
        <v/>
      </c>
      <c r="MR18" s="698" t="str">
        <f t="shared" si="391"/>
        <v/>
      </c>
      <c r="MS18" s="698" t="str">
        <f t="shared" si="391"/>
        <v/>
      </c>
      <c r="MT18" s="698" t="str">
        <f t="shared" si="391"/>
        <v/>
      </c>
      <c r="MU18" s="698" t="str">
        <f t="shared" si="391"/>
        <v/>
      </c>
      <c r="MV18" s="698" t="str">
        <f t="shared" si="391"/>
        <v/>
      </c>
      <c r="MW18" s="698" t="str">
        <f t="shared" si="391"/>
        <v/>
      </c>
      <c r="MX18" s="698" t="str">
        <f t="shared" si="391"/>
        <v/>
      </c>
      <c r="MY18" s="698" t="str">
        <f t="shared" si="391"/>
        <v/>
      </c>
      <c r="MZ18" s="698" t="str">
        <f t="shared" si="391"/>
        <v/>
      </c>
      <c r="NA18" s="698" t="str">
        <f t="shared" si="391"/>
        <v/>
      </c>
      <c r="NB18" s="698" t="str">
        <f t="shared" si="391"/>
        <v/>
      </c>
      <c r="NC18" s="698" t="str">
        <f t="shared" si="391"/>
        <v/>
      </c>
      <c r="ND18" s="698" t="str">
        <f t="shared" si="391"/>
        <v/>
      </c>
      <c r="NE18" s="698" t="str">
        <f t="shared" si="391"/>
        <v/>
      </c>
      <c r="NF18" s="698" t="str">
        <f t="shared" si="391"/>
        <v/>
      </c>
      <c r="NG18" s="698" t="str">
        <f t="shared" si="391"/>
        <v/>
      </c>
      <c r="NH18" s="698" t="str">
        <f t="shared" si="391"/>
        <v/>
      </c>
      <c r="NI18" s="698">
        <f t="shared" si="391"/>
        <v>1.7343659244917715</v>
      </c>
      <c r="NJ18" s="698" t="str">
        <f t="shared" si="391"/>
        <v/>
      </c>
      <c r="NK18" s="698" t="str">
        <f t="shared" si="391"/>
        <v/>
      </c>
      <c r="NL18" s="698" t="str">
        <f t="shared" si="391"/>
        <v/>
      </c>
      <c r="NM18" s="698" t="str">
        <f t="shared" si="391"/>
        <v/>
      </c>
      <c r="NN18" s="698" t="str">
        <f t="shared" si="391"/>
        <v/>
      </c>
      <c r="NO18" s="698" t="str">
        <f t="shared" si="391"/>
        <v/>
      </c>
      <c r="NP18" s="698" t="str">
        <f t="shared" si="391"/>
        <v/>
      </c>
      <c r="NQ18" s="698" t="str">
        <f t="shared" si="391"/>
        <v/>
      </c>
      <c r="NR18" s="698" t="str">
        <f t="shared" si="391"/>
        <v/>
      </c>
      <c r="NS18" s="698" t="str">
        <f t="shared" si="391"/>
        <v/>
      </c>
      <c r="NT18" s="698" t="str">
        <f t="shared" si="391"/>
        <v/>
      </c>
      <c r="NU18" s="698" t="str">
        <f t="shared" si="391"/>
        <v/>
      </c>
      <c r="NV18" s="698" t="str">
        <f t="shared" si="391"/>
        <v/>
      </c>
      <c r="NW18" s="698" t="str">
        <f t="shared" si="391"/>
        <v/>
      </c>
      <c r="NX18" s="698" t="str">
        <f t="shared" si="391"/>
        <v/>
      </c>
      <c r="NY18" s="698" t="str">
        <f t="shared" si="391"/>
        <v/>
      </c>
      <c r="NZ18" s="698" t="str">
        <f t="shared" si="391"/>
        <v/>
      </c>
      <c r="OA18" s="698" t="str">
        <f t="shared" si="391"/>
        <v/>
      </c>
      <c r="OB18" s="698" t="str">
        <f t="shared" si="391"/>
        <v/>
      </c>
      <c r="OC18" s="698">
        <f t="shared" si="391"/>
        <v>8.0520399466092019E-2</v>
      </c>
      <c r="OD18" s="696" t="str">
        <f t="shared" si="391"/>
        <v/>
      </c>
      <c r="OE18" s="696" t="str">
        <f t="shared" si="391"/>
        <v/>
      </c>
      <c r="OF18" s="696" t="str">
        <f t="shared" si="391"/>
        <v/>
      </c>
      <c r="OG18" s="696" t="str">
        <f t="shared" si="391"/>
        <v/>
      </c>
      <c r="OH18" s="696" t="str">
        <f t="shared" si="391"/>
        <v/>
      </c>
      <c r="OI18" s="696" t="str">
        <f t="shared" si="391"/>
        <v/>
      </c>
      <c r="OJ18" s="696" t="str">
        <f t="shared" si="391"/>
        <v/>
      </c>
      <c r="OK18" s="696" t="str">
        <f t="shared" si="391"/>
        <v/>
      </c>
      <c r="OL18" s="696" t="str">
        <f t="shared" si="391"/>
        <v/>
      </c>
      <c r="OM18" s="696" t="str">
        <f t="shared" si="391"/>
        <v/>
      </c>
      <c r="ON18" s="696" t="str">
        <f t="shared" si="391"/>
        <v/>
      </c>
      <c r="OO18" s="696" t="str">
        <f t="shared" si="391"/>
        <v/>
      </c>
      <c r="OP18" s="696" t="str">
        <f t="shared" si="391"/>
        <v/>
      </c>
      <c r="OQ18" s="696" t="str">
        <f t="shared" si="391"/>
        <v/>
      </c>
      <c r="OR18" s="696" t="str">
        <f t="shared" si="391"/>
        <v/>
      </c>
      <c r="OS18" s="696" t="str">
        <f t="shared" si="391"/>
        <v/>
      </c>
      <c r="OT18" s="696" t="str">
        <f t="shared" si="391"/>
        <v/>
      </c>
      <c r="OU18" s="696" t="str">
        <f t="shared" si="391"/>
        <v/>
      </c>
      <c r="OV18" s="697" t="str">
        <f t="shared" si="391"/>
        <v/>
      </c>
      <c r="OW18" s="698">
        <f t="shared" si="391"/>
        <v>0.17159895128262248</v>
      </c>
      <c r="OX18" s="696" t="str">
        <f t="shared" si="391"/>
        <v/>
      </c>
      <c r="OY18" s="696" t="str">
        <f t="shared" si="391"/>
        <v/>
      </c>
      <c r="OZ18" s="696" t="str">
        <f t="shared" si="391"/>
        <v/>
      </c>
      <c r="PA18" s="696" t="str">
        <f t="shared" ref="PA18:RL18" si="392">IFERROR(MEDIAN(PA8:PA17),"")</f>
        <v/>
      </c>
      <c r="PB18" s="696" t="str">
        <f t="shared" si="392"/>
        <v/>
      </c>
      <c r="PC18" s="696" t="str">
        <f t="shared" si="392"/>
        <v/>
      </c>
      <c r="PD18" s="696" t="str">
        <f t="shared" si="392"/>
        <v/>
      </c>
      <c r="PE18" s="696" t="str">
        <f t="shared" si="392"/>
        <v/>
      </c>
      <c r="PF18" s="696" t="str">
        <f t="shared" si="392"/>
        <v/>
      </c>
      <c r="PG18" s="696" t="str">
        <f t="shared" si="392"/>
        <v/>
      </c>
      <c r="PH18" s="696" t="str">
        <f t="shared" si="392"/>
        <v/>
      </c>
      <c r="PI18" s="696" t="str">
        <f t="shared" si="392"/>
        <v/>
      </c>
      <c r="PJ18" s="696" t="str">
        <f t="shared" si="392"/>
        <v/>
      </c>
      <c r="PK18" s="696" t="str">
        <f t="shared" si="392"/>
        <v/>
      </c>
      <c r="PL18" s="696" t="str">
        <f t="shared" si="392"/>
        <v/>
      </c>
      <c r="PM18" s="696" t="str">
        <f t="shared" si="392"/>
        <v/>
      </c>
      <c r="PN18" s="696" t="str">
        <f t="shared" si="392"/>
        <v/>
      </c>
      <c r="PO18" s="696" t="str">
        <f t="shared" si="392"/>
        <v/>
      </c>
      <c r="PP18" s="697" t="str">
        <f t="shared" si="392"/>
        <v/>
      </c>
      <c r="PQ18" s="301">
        <f t="shared" si="392"/>
        <v>3.4744624383902942</v>
      </c>
      <c r="PR18" s="302" t="str">
        <f t="shared" si="392"/>
        <v/>
      </c>
      <c r="PS18" s="302" t="str">
        <f t="shared" si="392"/>
        <v/>
      </c>
      <c r="PT18" s="302" t="str">
        <f t="shared" si="392"/>
        <v/>
      </c>
      <c r="PU18" s="302" t="str">
        <f t="shared" si="392"/>
        <v/>
      </c>
      <c r="PV18" s="302" t="str">
        <f t="shared" si="392"/>
        <v/>
      </c>
      <c r="PW18" s="302" t="str">
        <f t="shared" si="392"/>
        <v/>
      </c>
      <c r="PX18" s="302" t="str">
        <f t="shared" si="392"/>
        <v/>
      </c>
      <c r="PY18" s="302" t="str">
        <f t="shared" si="392"/>
        <v/>
      </c>
      <c r="PZ18" s="302" t="str">
        <f t="shared" si="392"/>
        <v/>
      </c>
      <c r="QA18" s="302" t="str">
        <f t="shared" si="392"/>
        <v/>
      </c>
      <c r="QB18" s="302" t="str">
        <f t="shared" si="392"/>
        <v/>
      </c>
      <c r="QC18" s="302" t="str">
        <f t="shared" si="392"/>
        <v/>
      </c>
      <c r="QD18" s="302" t="str">
        <f t="shared" si="392"/>
        <v/>
      </c>
      <c r="QE18" s="302" t="str">
        <f t="shared" si="392"/>
        <v/>
      </c>
      <c r="QF18" s="302" t="str">
        <f t="shared" si="392"/>
        <v/>
      </c>
      <c r="QG18" s="302" t="str">
        <f t="shared" si="392"/>
        <v/>
      </c>
      <c r="QH18" s="302" t="str">
        <f t="shared" si="392"/>
        <v/>
      </c>
      <c r="QI18" s="302" t="str">
        <f t="shared" si="392"/>
        <v/>
      </c>
      <c r="QJ18" s="303" t="str">
        <f t="shared" si="392"/>
        <v/>
      </c>
      <c r="QK18" s="698">
        <f t="shared" si="392"/>
        <v>2.5555175599324246E-2</v>
      </c>
      <c r="QL18" s="696" t="str">
        <f t="shared" si="392"/>
        <v/>
      </c>
      <c r="QM18" s="696" t="str">
        <f t="shared" si="392"/>
        <v/>
      </c>
      <c r="QN18" s="696" t="str">
        <f t="shared" si="392"/>
        <v/>
      </c>
      <c r="QO18" s="696" t="str">
        <f t="shared" si="392"/>
        <v/>
      </c>
      <c r="QP18" s="696" t="str">
        <f t="shared" si="392"/>
        <v/>
      </c>
      <c r="QQ18" s="696" t="str">
        <f t="shared" si="392"/>
        <v/>
      </c>
      <c r="QR18" s="696" t="str">
        <f t="shared" si="392"/>
        <v/>
      </c>
      <c r="QS18" s="696" t="str">
        <f t="shared" si="392"/>
        <v/>
      </c>
      <c r="QT18" s="696" t="str">
        <f t="shared" si="392"/>
        <v/>
      </c>
      <c r="QU18" s="696" t="str">
        <f t="shared" si="392"/>
        <v/>
      </c>
      <c r="QV18" s="696" t="str">
        <f t="shared" si="392"/>
        <v/>
      </c>
      <c r="QW18" s="696" t="str">
        <f t="shared" si="392"/>
        <v/>
      </c>
      <c r="QX18" s="696" t="str">
        <f t="shared" si="392"/>
        <v/>
      </c>
      <c r="QY18" s="696" t="str">
        <f t="shared" si="392"/>
        <v/>
      </c>
      <c r="QZ18" s="696" t="str">
        <f t="shared" si="392"/>
        <v/>
      </c>
      <c r="RA18" s="696" t="str">
        <f t="shared" si="392"/>
        <v/>
      </c>
      <c r="RB18" s="696" t="str">
        <f t="shared" si="392"/>
        <v/>
      </c>
      <c r="RC18" s="696" t="str">
        <f t="shared" si="392"/>
        <v/>
      </c>
      <c r="RD18" s="697" t="str">
        <f t="shared" si="392"/>
        <v/>
      </c>
      <c r="RE18" s="698">
        <f t="shared" si="392"/>
        <v>0.2918767670290594</v>
      </c>
      <c r="RF18" s="696" t="str">
        <f t="shared" si="392"/>
        <v/>
      </c>
      <c r="RG18" s="696" t="str">
        <f t="shared" si="392"/>
        <v/>
      </c>
      <c r="RH18" s="696" t="str">
        <f t="shared" si="392"/>
        <v/>
      </c>
      <c r="RI18" s="696" t="str">
        <f t="shared" si="392"/>
        <v/>
      </c>
      <c r="RJ18" s="696" t="str">
        <f t="shared" si="392"/>
        <v/>
      </c>
      <c r="RK18" s="696" t="str">
        <f t="shared" si="392"/>
        <v/>
      </c>
      <c r="RL18" s="696" t="str">
        <f t="shared" si="392"/>
        <v/>
      </c>
      <c r="RM18" s="696" t="str">
        <f t="shared" ref="RM18:TX18" si="393">IFERROR(MEDIAN(RM8:RM17),"")</f>
        <v/>
      </c>
      <c r="RN18" s="696" t="str">
        <f t="shared" si="393"/>
        <v/>
      </c>
      <c r="RO18" s="696" t="str">
        <f t="shared" si="393"/>
        <v/>
      </c>
      <c r="RP18" s="696" t="str">
        <f t="shared" si="393"/>
        <v/>
      </c>
      <c r="RQ18" s="696" t="str">
        <f t="shared" si="393"/>
        <v/>
      </c>
      <c r="RR18" s="696" t="str">
        <f t="shared" si="393"/>
        <v/>
      </c>
      <c r="RS18" s="696" t="str">
        <f t="shared" si="393"/>
        <v/>
      </c>
      <c r="RT18" s="696" t="str">
        <f t="shared" si="393"/>
        <v/>
      </c>
      <c r="RU18" s="696" t="str">
        <f t="shared" si="393"/>
        <v/>
      </c>
      <c r="RV18" s="696" t="str">
        <f t="shared" si="393"/>
        <v/>
      </c>
      <c r="RW18" s="696" t="str">
        <f t="shared" si="393"/>
        <v/>
      </c>
      <c r="RX18" s="697" t="str">
        <f t="shared" si="393"/>
        <v/>
      </c>
      <c r="RY18" s="698">
        <f t="shared" si="393"/>
        <v>0.27141753397264007</v>
      </c>
      <c r="RZ18" s="696" t="str">
        <f t="shared" si="393"/>
        <v/>
      </c>
      <c r="SA18" s="696" t="str">
        <f t="shared" si="393"/>
        <v/>
      </c>
      <c r="SB18" s="696" t="str">
        <f t="shared" si="393"/>
        <v/>
      </c>
      <c r="SC18" s="696" t="str">
        <f t="shared" si="393"/>
        <v/>
      </c>
      <c r="SD18" s="696" t="str">
        <f t="shared" si="393"/>
        <v/>
      </c>
      <c r="SE18" s="696" t="str">
        <f t="shared" si="393"/>
        <v/>
      </c>
      <c r="SF18" s="696" t="str">
        <f t="shared" si="393"/>
        <v/>
      </c>
      <c r="SG18" s="696" t="str">
        <f t="shared" si="393"/>
        <v/>
      </c>
      <c r="SH18" s="696" t="str">
        <f t="shared" si="393"/>
        <v/>
      </c>
      <c r="SI18" s="696" t="str">
        <f t="shared" si="393"/>
        <v/>
      </c>
      <c r="SJ18" s="696" t="str">
        <f t="shared" si="393"/>
        <v/>
      </c>
      <c r="SK18" s="696" t="str">
        <f t="shared" si="393"/>
        <v/>
      </c>
      <c r="SL18" s="696" t="str">
        <f t="shared" si="393"/>
        <v/>
      </c>
      <c r="SM18" s="696" t="str">
        <f t="shared" si="393"/>
        <v/>
      </c>
      <c r="SN18" s="696" t="str">
        <f t="shared" si="393"/>
        <v/>
      </c>
      <c r="SO18" s="696" t="str">
        <f t="shared" si="393"/>
        <v/>
      </c>
      <c r="SP18" s="696" t="str">
        <f t="shared" si="393"/>
        <v/>
      </c>
      <c r="SQ18" s="696" t="str">
        <f t="shared" si="393"/>
        <v/>
      </c>
      <c r="SR18" s="697" t="str">
        <f t="shared" si="393"/>
        <v/>
      </c>
      <c r="SS18" s="698">
        <f t="shared" si="393"/>
        <v>0.24626221966647499</v>
      </c>
      <c r="ST18" s="696" t="str">
        <f t="shared" si="393"/>
        <v/>
      </c>
      <c r="SU18" s="696" t="str">
        <f t="shared" si="393"/>
        <v/>
      </c>
      <c r="SV18" s="696" t="str">
        <f t="shared" si="393"/>
        <v/>
      </c>
      <c r="SW18" s="696" t="str">
        <f t="shared" si="393"/>
        <v/>
      </c>
      <c r="SX18" s="696" t="str">
        <f t="shared" si="393"/>
        <v/>
      </c>
      <c r="SY18" s="696" t="str">
        <f t="shared" si="393"/>
        <v/>
      </c>
      <c r="SZ18" s="696" t="str">
        <f t="shared" si="393"/>
        <v/>
      </c>
      <c r="TA18" s="696" t="str">
        <f t="shared" si="393"/>
        <v/>
      </c>
      <c r="TB18" s="696" t="str">
        <f t="shared" si="393"/>
        <v/>
      </c>
      <c r="TC18" s="696" t="str">
        <f t="shared" si="393"/>
        <v/>
      </c>
      <c r="TD18" s="696" t="str">
        <f t="shared" si="393"/>
        <v/>
      </c>
      <c r="TE18" s="696" t="str">
        <f t="shared" si="393"/>
        <v/>
      </c>
      <c r="TF18" s="696" t="str">
        <f t="shared" si="393"/>
        <v/>
      </c>
      <c r="TG18" s="696" t="str">
        <f t="shared" si="393"/>
        <v/>
      </c>
      <c r="TH18" s="696" t="str">
        <f t="shared" si="393"/>
        <v/>
      </c>
      <c r="TI18" s="696" t="str">
        <f t="shared" si="393"/>
        <v/>
      </c>
      <c r="TJ18" s="696" t="str">
        <f t="shared" si="393"/>
        <v/>
      </c>
      <c r="TK18" s="696" t="str">
        <f t="shared" si="393"/>
        <v/>
      </c>
      <c r="TL18" s="697" t="str">
        <f t="shared" si="393"/>
        <v/>
      </c>
      <c r="TM18" s="304">
        <f t="shared" si="393"/>
        <v>705152.77777777775</v>
      </c>
      <c r="TN18" s="305" t="str">
        <f t="shared" si="393"/>
        <v/>
      </c>
      <c r="TO18" s="305" t="str">
        <f t="shared" si="393"/>
        <v/>
      </c>
      <c r="TP18" s="305" t="str">
        <f t="shared" si="393"/>
        <v/>
      </c>
      <c r="TQ18" s="305" t="str">
        <f t="shared" si="393"/>
        <v/>
      </c>
      <c r="TR18" s="305" t="str">
        <f t="shared" si="393"/>
        <v/>
      </c>
      <c r="TS18" s="305" t="str">
        <f t="shared" si="393"/>
        <v/>
      </c>
      <c r="TT18" s="305" t="str">
        <f t="shared" si="393"/>
        <v/>
      </c>
      <c r="TU18" s="305" t="str">
        <f t="shared" si="393"/>
        <v/>
      </c>
      <c r="TV18" s="305" t="str">
        <f t="shared" si="393"/>
        <v/>
      </c>
      <c r="TW18" s="305" t="str">
        <f t="shared" si="393"/>
        <v/>
      </c>
      <c r="TX18" s="305" t="str">
        <f t="shared" si="393"/>
        <v/>
      </c>
      <c r="TY18" s="305" t="str">
        <f t="shared" ref="TY18:WJ18" si="394">IFERROR(MEDIAN(TY8:TY17),"")</f>
        <v/>
      </c>
      <c r="TZ18" s="305" t="str">
        <f t="shared" si="394"/>
        <v/>
      </c>
      <c r="UA18" s="305" t="str">
        <f t="shared" si="394"/>
        <v/>
      </c>
      <c r="UB18" s="305" t="str">
        <f t="shared" si="394"/>
        <v/>
      </c>
      <c r="UC18" s="305" t="str">
        <f t="shared" si="394"/>
        <v/>
      </c>
      <c r="UD18" s="305" t="str">
        <f t="shared" si="394"/>
        <v/>
      </c>
      <c r="UE18" s="305" t="str">
        <f t="shared" si="394"/>
        <v/>
      </c>
      <c r="UF18" s="306" t="str">
        <f t="shared" si="394"/>
        <v/>
      </c>
      <c r="UG18" s="304">
        <f t="shared" si="394"/>
        <v>63548.611111111109</v>
      </c>
      <c r="UH18" s="305" t="str">
        <f t="shared" si="394"/>
        <v/>
      </c>
      <c r="UI18" s="305" t="str">
        <f t="shared" si="394"/>
        <v/>
      </c>
      <c r="UJ18" s="305" t="str">
        <f t="shared" si="394"/>
        <v/>
      </c>
      <c r="UK18" s="305" t="str">
        <f t="shared" si="394"/>
        <v/>
      </c>
      <c r="UL18" s="305" t="str">
        <f t="shared" si="394"/>
        <v/>
      </c>
      <c r="UM18" s="305" t="str">
        <f t="shared" si="394"/>
        <v/>
      </c>
      <c r="UN18" s="305" t="str">
        <f t="shared" si="394"/>
        <v/>
      </c>
      <c r="UO18" s="305" t="str">
        <f t="shared" si="394"/>
        <v/>
      </c>
      <c r="UP18" s="305" t="str">
        <f t="shared" si="394"/>
        <v/>
      </c>
      <c r="UQ18" s="305" t="str">
        <f t="shared" si="394"/>
        <v/>
      </c>
      <c r="UR18" s="305" t="str">
        <f t="shared" si="394"/>
        <v/>
      </c>
      <c r="US18" s="305" t="str">
        <f t="shared" si="394"/>
        <v/>
      </c>
      <c r="UT18" s="305" t="str">
        <f t="shared" si="394"/>
        <v/>
      </c>
      <c r="UU18" s="305" t="str">
        <f t="shared" si="394"/>
        <v/>
      </c>
      <c r="UV18" s="305" t="str">
        <f t="shared" si="394"/>
        <v/>
      </c>
      <c r="UW18" s="305" t="str">
        <f t="shared" si="394"/>
        <v/>
      </c>
      <c r="UX18" s="305" t="str">
        <f t="shared" si="394"/>
        <v/>
      </c>
      <c r="UY18" s="305" t="str">
        <f t="shared" si="394"/>
        <v/>
      </c>
      <c r="UZ18" s="306" t="str">
        <f t="shared" si="394"/>
        <v/>
      </c>
      <c r="VA18" s="304">
        <f t="shared" si="394"/>
        <v>63284.722222222219</v>
      </c>
      <c r="VB18" s="305" t="str">
        <f t="shared" si="394"/>
        <v/>
      </c>
      <c r="VC18" s="305" t="str">
        <f t="shared" si="394"/>
        <v/>
      </c>
      <c r="VD18" s="305" t="str">
        <f t="shared" si="394"/>
        <v/>
      </c>
      <c r="VE18" s="305" t="str">
        <f t="shared" si="394"/>
        <v/>
      </c>
      <c r="VF18" s="305" t="str">
        <f t="shared" si="394"/>
        <v/>
      </c>
      <c r="VG18" s="305" t="str">
        <f t="shared" si="394"/>
        <v/>
      </c>
      <c r="VH18" s="305" t="str">
        <f t="shared" si="394"/>
        <v/>
      </c>
      <c r="VI18" s="305" t="str">
        <f t="shared" si="394"/>
        <v/>
      </c>
      <c r="VJ18" s="305" t="str">
        <f t="shared" si="394"/>
        <v/>
      </c>
      <c r="VK18" s="305" t="str">
        <f t="shared" si="394"/>
        <v/>
      </c>
      <c r="VL18" s="305" t="str">
        <f t="shared" si="394"/>
        <v/>
      </c>
      <c r="VM18" s="305" t="str">
        <f t="shared" si="394"/>
        <v/>
      </c>
      <c r="VN18" s="305" t="str">
        <f t="shared" si="394"/>
        <v/>
      </c>
      <c r="VO18" s="305" t="str">
        <f t="shared" si="394"/>
        <v/>
      </c>
      <c r="VP18" s="305" t="str">
        <f t="shared" si="394"/>
        <v/>
      </c>
      <c r="VQ18" s="305" t="str">
        <f t="shared" si="394"/>
        <v/>
      </c>
      <c r="VR18" s="305" t="str">
        <f t="shared" si="394"/>
        <v/>
      </c>
      <c r="VS18" s="305" t="str">
        <f t="shared" si="394"/>
        <v/>
      </c>
      <c r="VT18" s="306" t="str">
        <f t="shared" si="394"/>
        <v/>
      </c>
      <c r="VU18" s="304">
        <f t="shared" si="394"/>
        <v>0</v>
      </c>
      <c r="VV18" s="305" t="str">
        <f t="shared" si="394"/>
        <v/>
      </c>
      <c r="VW18" s="305" t="str">
        <f t="shared" si="394"/>
        <v/>
      </c>
      <c r="VX18" s="305" t="str">
        <f t="shared" si="394"/>
        <v/>
      </c>
      <c r="VY18" s="305" t="str">
        <f t="shared" si="394"/>
        <v/>
      </c>
      <c r="VZ18" s="305" t="str">
        <f t="shared" si="394"/>
        <v/>
      </c>
      <c r="WA18" s="305" t="str">
        <f t="shared" si="394"/>
        <v/>
      </c>
      <c r="WB18" s="305" t="str">
        <f t="shared" si="394"/>
        <v/>
      </c>
      <c r="WC18" s="305" t="str">
        <f t="shared" si="394"/>
        <v/>
      </c>
      <c r="WD18" s="305" t="str">
        <f t="shared" si="394"/>
        <v/>
      </c>
      <c r="WE18" s="305" t="str">
        <f t="shared" si="394"/>
        <v/>
      </c>
      <c r="WF18" s="305" t="str">
        <f t="shared" si="394"/>
        <v/>
      </c>
      <c r="WG18" s="305" t="str">
        <f t="shared" si="394"/>
        <v/>
      </c>
      <c r="WH18" s="305" t="str">
        <f t="shared" si="394"/>
        <v/>
      </c>
      <c r="WI18" s="305" t="str">
        <f t="shared" si="394"/>
        <v/>
      </c>
      <c r="WJ18" s="305" t="str">
        <f t="shared" si="394"/>
        <v/>
      </c>
      <c r="WK18" s="305" t="str">
        <f>IFERROR(MEDIAN(WK8:WK17),"")</f>
        <v/>
      </c>
      <c r="WL18" s="305" t="str">
        <f>IFERROR(MEDIAN(WL8:WL17),"")</f>
        <v/>
      </c>
      <c r="WM18" s="305" t="str">
        <f>IFERROR(MEDIAN(WM8:WM17),"")</f>
        <v/>
      </c>
      <c r="WN18" s="306" t="str">
        <f>IFERROR(MEDIAN(WN8:WN17),"")</f>
        <v/>
      </c>
      <c r="WO18" s="304">
        <f t="shared" ref="WO18:XH18" si="395">IFERROR(MEDIAN(WO8:WO17),"")</f>
        <v>567.70000000000005</v>
      </c>
      <c r="WP18" s="305" t="str">
        <f t="shared" si="395"/>
        <v/>
      </c>
      <c r="WQ18" s="305" t="str">
        <f t="shared" si="395"/>
        <v/>
      </c>
      <c r="WR18" s="305" t="str">
        <f t="shared" si="395"/>
        <v/>
      </c>
      <c r="WS18" s="305" t="str">
        <f t="shared" si="395"/>
        <v/>
      </c>
      <c r="WT18" s="305" t="str">
        <f t="shared" si="395"/>
        <v/>
      </c>
      <c r="WU18" s="305" t="str">
        <f t="shared" si="395"/>
        <v/>
      </c>
      <c r="WV18" s="305" t="str">
        <f t="shared" si="395"/>
        <v/>
      </c>
      <c r="WW18" s="305" t="str">
        <f t="shared" si="395"/>
        <v/>
      </c>
      <c r="WX18" s="305" t="str">
        <f t="shared" si="395"/>
        <v/>
      </c>
      <c r="WY18" s="305" t="str">
        <f t="shared" si="395"/>
        <v/>
      </c>
      <c r="WZ18" s="305" t="str">
        <f t="shared" si="395"/>
        <v/>
      </c>
      <c r="XA18" s="305" t="str">
        <f t="shared" si="395"/>
        <v/>
      </c>
      <c r="XB18" s="305" t="str">
        <f t="shared" si="395"/>
        <v/>
      </c>
      <c r="XC18" s="305" t="str">
        <f t="shared" si="395"/>
        <v/>
      </c>
      <c r="XD18" s="305" t="str">
        <f t="shared" si="395"/>
        <v/>
      </c>
      <c r="XE18" s="305" t="str">
        <f t="shared" si="395"/>
        <v/>
      </c>
      <c r="XF18" s="305" t="str">
        <f t="shared" si="395"/>
        <v/>
      </c>
      <c r="XG18" s="305" t="str">
        <f t="shared" si="395"/>
        <v/>
      </c>
      <c r="XH18" s="306" t="str">
        <f t="shared" si="395"/>
        <v/>
      </c>
      <c r="XI18" s="698">
        <f t="shared" ref="XI18:YV18" si="396">IFERROR(MEDIAN(XI8:XI17),"")</f>
        <v>0.174377</v>
      </c>
      <c r="XJ18" s="696" t="str">
        <f t="shared" si="396"/>
        <v/>
      </c>
      <c r="XK18" s="696" t="str">
        <f t="shared" si="396"/>
        <v/>
      </c>
      <c r="XL18" s="696" t="str">
        <f t="shared" si="396"/>
        <v/>
      </c>
      <c r="XM18" s="696" t="str">
        <f t="shared" si="396"/>
        <v/>
      </c>
      <c r="XN18" s="696" t="str">
        <f t="shared" si="396"/>
        <v/>
      </c>
      <c r="XO18" s="696" t="str">
        <f t="shared" si="396"/>
        <v/>
      </c>
      <c r="XP18" s="696" t="str">
        <f t="shared" si="396"/>
        <v/>
      </c>
      <c r="XQ18" s="696" t="str">
        <f t="shared" si="396"/>
        <v/>
      </c>
      <c r="XR18" s="696" t="str">
        <f t="shared" si="396"/>
        <v/>
      </c>
      <c r="XS18" s="696" t="str">
        <f t="shared" si="396"/>
        <v/>
      </c>
      <c r="XT18" s="696" t="str">
        <f t="shared" si="396"/>
        <v/>
      </c>
      <c r="XU18" s="696" t="str">
        <f t="shared" si="396"/>
        <v/>
      </c>
      <c r="XV18" s="696" t="str">
        <f t="shared" si="396"/>
        <v/>
      </c>
      <c r="XW18" s="696" t="str">
        <f t="shared" si="396"/>
        <v/>
      </c>
      <c r="XX18" s="696" t="str">
        <f t="shared" si="396"/>
        <v/>
      </c>
      <c r="XY18" s="696" t="str">
        <f t="shared" si="396"/>
        <v/>
      </c>
      <c r="XZ18" s="696" t="str">
        <f t="shared" si="396"/>
        <v/>
      </c>
      <c r="YA18" s="696" t="str">
        <f t="shared" si="396"/>
        <v/>
      </c>
      <c r="YB18" s="697" t="str">
        <f t="shared" si="396"/>
        <v/>
      </c>
      <c r="YC18" s="304">
        <f t="shared" si="396"/>
        <v>248912.62229999999</v>
      </c>
      <c r="YD18" s="305" t="str">
        <f t="shared" si="396"/>
        <v/>
      </c>
      <c r="YE18" s="305" t="str">
        <f t="shared" si="396"/>
        <v/>
      </c>
      <c r="YF18" s="305" t="str">
        <f t="shared" si="396"/>
        <v/>
      </c>
      <c r="YG18" s="305" t="str">
        <f t="shared" si="396"/>
        <v/>
      </c>
      <c r="YH18" s="305" t="str">
        <f t="shared" si="396"/>
        <v/>
      </c>
      <c r="YI18" s="305" t="str">
        <f t="shared" si="396"/>
        <v/>
      </c>
      <c r="YJ18" s="305" t="str">
        <f t="shared" si="396"/>
        <v/>
      </c>
      <c r="YK18" s="305" t="str">
        <f t="shared" si="396"/>
        <v/>
      </c>
      <c r="YL18" s="305" t="str">
        <f t="shared" si="396"/>
        <v/>
      </c>
      <c r="YM18" s="305" t="str">
        <f t="shared" si="396"/>
        <v/>
      </c>
      <c r="YN18" s="305" t="str">
        <f t="shared" si="396"/>
        <v/>
      </c>
      <c r="YO18" s="305" t="str">
        <f t="shared" si="396"/>
        <v/>
      </c>
      <c r="YP18" s="305" t="str">
        <f t="shared" si="396"/>
        <v/>
      </c>
      <c r="YQ18" s="305" t="str">
        <f t="shared" si="396"/>
        <v/>
      </c>
      <c r="YR18" s="305" t="str">
        <f t="shared" si="396"/>
        <v/>
      </c>
      <c r="YS18" s="305" t="str">
        <f t="shared" si="396"/>
        <v/>
      </c>
      <c r="YT18" s="305" t="str">
        <f t="shared" si="396"/>
        <v/>
      </c>
      <c r="YU18" s="305" t="str">
        <f t="shared" si="396"/>
        <v/>
      </c>
      <c r="YV18" s="306" t="str">
        <f t="shared" si="396"/>
        <v/>
      </c>
      <c r="YW18" s="698">
        <f t="shared" ref="YW18:ZP18" si="397">IFERROR(MEDIAN(YW8:YW17),"")</f>
        <v>0.62307779377886319</v>
      </c>
      <c r="YX18" s="696" t="str">
        <f t="shared" si="397"/>
        <v/>
      </c>
      <c r="YY18" s="696" t="str">
        <f t="shared" si="397"/>
        <v/>
      </c>
      <c r="YZ18" s="696" t="str">
        <f t="shared" si="397"/>
        <v/>
      </c>
      <c r="ZA18" s="696" t="str">
        <f t="shared" si="397"/>
        <v/>
      </c>
      <c r="ZB18" s="696" t="str">
        <f t="shared" si="397"/>
        <v/>
      </c>
      <c r="ZC18" s="696" t="str">
        <f t="shared" si="397"/>
        <v/>
      </c>
      <c r="ZD18" s="696" t="str">
        <f t="shared" si="397"/>
        <v/>
      </c>
      <c r="ZE18" s="696" t="str">
        <f t="shared" si="397"/>
        <v/>
      </c>
      <c r="ZF18" s="696" t="str">
        <f t="shared" si="397"/>
        <v/>
      </c>
      <c r="ZG18" s="696" t="str">
        <f t="shared" si="397"/>
        <v/>
      </c>
      <c r="ZH18" s="696" t="str">
        <f t="shared" si="397"/>
        <v/>
      </c>
      <c r="ZI18" s="696" t="str">
        <f t="shared" si="397"/>
        <v/>
      </c>
      <c r="ZJ18" s="696" t="str">
        <f t="shared" si="397"/>
        <v/>
      </c>
      <c r="ZK18" s="696" t="str">
        <f t="shared" si="397"/>
        <v/>
      </c>
      <c r="ZL18" s="696" t="str">
        <f t="shared" si="397"/>
        <v/>
      </c>
      <c r="ZM18" s="696" t="str">
        <f t="shared" si="397"/>
        <v/>
      </c>
      <c r="ZN18" s="696" t="str">
        <f t="shared" si="397"/>
        <v/>
      </c>
      <c r="ZO18" s="696" t="str">
        <f t="shared" si="397"/>
        <v/>
      </c>
      <c r="ZP18" s="697" t="str">
        <f t="shared" si="397"/>
        <v/>
      </c>
      <c r="ZQ18" s="698">
        <f t="shared" ref="ZQ18:ABD18" si="398">IFERROR(MEDIAN(ZQ8:ZQ17),"")</f>
        <v>0.18332936675027003</v>
      </c>
      <c r="ZR18" s="696" t="str">
        <f t="shared" si="398"/>
        <v/>
      </c>
      <c r="ZS18" s="696" t="str">
        <f t="shared" si="398"/>
        <v/>
      </c>
      <c r="ZT18" s="696" t="str">
        <f t="shared" si="398"/>
        <v/>
      </c>
      <c r="ZU18" s="696" t="str">
        <f t="shared" si="398"/>
        <v/>
      </c>
      <c r="ZV18" s="696" t="str">
        <f t="shared" si="398"/>
        <v/>
      </c>
      <c r="ZW18" s="696" t="str">
        <f t="shared" si="398"/>
        <v/>
      </c>
      <c r="ZX18" s="696" t="str">
        <f t="shared" si="398"/>
        <v/>
      </c>
      <c r="ZY18" s="696" t="str">
        <f t="shared" si="398"/>
        <v/>
      </c>
      <c r="ZZ18" s="696" t="str">
        <f t="shared" si="398"/>
        <v/>
      </c>
      <c r="AAA18" s="696" t="str">
        <f t="shared" si="398"/>
        <v/>
      </c>
      <c r="AAB18" s="696" t="str">
        <f t="shared" si="398"/>
        <v/>
      </c>
      <c r="AAC18" s="696" t="str">
        <f t="shared" si="398"/>
        <v/>
      </c>
      <c r="AAD18" s="696" t="str">
        <f t="shared" si="398"/>
        <v/>
      </c>
      <c r="AAE18" s="696" t="str">
        <f t="shared" si="398"/>
        <v/>
      </c>
      <c r="AAF18" s="696" t="str">
        <f t="shared" si="398"/>
        <v/>
      </c>
      <c r="AAG18" s="696" t="str">
        <f t="shared" si="398"/>
        <v/>
      </c>
      <c r="AAH18" s="696" t="str">
        <f t="shared" si="398"/>
        <v/>
      </c>
      <c r="AAI18" s="696" t="str">
        <f t="shared" si="398"/>
        <v/>
      </c>
      <c r="AAJ18" s="697" t="str">
        <f t="shared" si="398"/>
        <v/>
      </c>
      <c r="AAK18" s="621">
        <f t="shared" si="398"/>
        <v>8.5492915095311695</v>
      </c>
      <c r="AAL18" s="622" t="str">
        <f t="shared" si="398"/>
        <v/>
      </c>
      <c r="AAM18" s="622" t="str">
        <f t="shared" si="398"/>
        <v/>
      </c>
      <c r="AAN18" s="622" t="str">
        <f t="shared" si="398"/>
        <v/>
      </c>
      <c r="AAO18" s="622" t="str">
        <f t="shared" si="398"/>
        <v/>
      </c>
      <c r="AAP18" s="622" t="str">
        <f t="shared" si="398"/>
        <v/>
      </c>
      <c r="AAQ18" s="622" t="str">
        <f t="shared" si="398"/>
        <v/>
      </c>
      <c r="AAR18" s="622" t="str">
        <f t="shared" si="398"/>
        <v/>
      </c>
      <c r="AAS18" s="622" t="str">
        <f t="shared" si="398"/>
        <v/>
      </c>
      <c r="AAT18" s="622" t="str">
        <f t="shared" si="398"/>
        <v/>
      </c>
      <c r="AAU18" s="622" t="str">
        <f t="shared" si="398"/>
        <v/>
      </c>
      <c r="AAV18" s="622" t="str">
        <f t="shared" si="398"/>
        <v/>
      </c>
      <c r="AAW18" s="622" t="str">
        <f t="shared" si="398"/>
        <v/>
      </c>
      <c r="AAX18" s="622" t="str">
        <f t="shared" si="398"/>
        <v/>
      </c>
      <c r="AAY18" s="622" t="str">
        <f t="shared" si="398"/>
        <v/>
      </c>
      <c r="AAZ18" s="622" t="str">
        <f t="shared" si="398"/>
        <v/>
      </c>
      <c r="ABA18" s="622" t="str">
        <f t="shared" si="398"/>
        <v/>
      </c>
      <c r="ABB18" s="622" t="str">
        <f t="shared" si="398"/>
        <v/>
      </c>
      <c r="ABC18" s="622" t="str">
        <f t="shared" si="398"/>
        <v/>
      </c>
      <c r="ABD18" s="623" t="str">
        <f t="shared" si="398"/>
        <v/>
      </c>
      <c r="ABE18" s="698">
        <f t="shared" ref="ABE18:ACR18" si="399">IFERROR(MEDIAN(ABE8:ABE17),"")</f>
        <v>0.93601453124732248</v>
      </c>
      <c r="ABF18" s="696" t="str">
        <f t="shared" si="399"/>
        <v/>
      </c>
      <c r="ABG18" s="696" t="str">
        <f t="shared" si="399"/>
        <v/>
      </c>
      <c r="ABH18" s="696" t="str">
        <f t="shared" si="399"/>
        <v/>
      </c>
      <c r="ABI18" s="696" t="str">
        <f t="shared" si="399"/>
        <v/>
      </c>
      <c r="ABJ18" s="696" t="str">
        <f t="shared" si="399"/>
        <v/>
      </c>
      <c r="ABK18" s="696" t="str">
        <f t="shared" si="399"/>
        <v/>
      </c>
      <c r="ABL18" s="696" t="str">
        <f t="shared" si="399"/>
        <v/>
      </c>
      <c r="ABM18" s="696" t="str">
        <f t="shared" si="399"/>
        <v/>
      </c>
      <c r="ABN18" s="696" t="str">
        <f t="shared" si="399"/>
        <v/>
      </c>
      <c r="ABO18" s="696" t="str">
        <f t="shared" si="399"/>
        <v/>
      </c>
      <c r="ABP18" s="696" t="str">
        <f t="shared" si="399"/>
        <v/>
      </c>
      <c r="ABQ18" s="696" t="str">
        <f t="shared" si="399"/>
        <v/>
      </c>
      <c r="ABR18" s="696" t="str">
        <f t="shared" si="399"/>
        <v/>
      </c>
      <c r="ABS18" s="696" t="str">
        <f t="shared" si="399"/>
        <v/>
      </c>
      <c r="ABT18" s="696" t="str">
        <f t="shared" si="399"/>
        <v/>
      </c>
      <c r="ABU18" s="696" t="str">
        <f t="shared" si="399"/>
        <v/>
      </c>
      <c r="ABV18" s="696" t="str">
        <f t="shared" si="399"/>
        <v/>
      </c>
      <c r="ABW18" s="696" t="str">
        <f t="shared" si="399"/>
        <v/>
      </c>
      <c r="ABX18" s="697" t="str">
        <f t="shared" si="399"/>
        <v/>
      </c>
      <c r="ABY18" s="301">
        <f t="shared" si="399"/>
        <v>7.8315599999999996</v>
      </c>
      <c r="ABZ18" s="302" t="str">
        <f t="shared" si="399"/>
        <v/>
      </c>
      <c r="ACA18" s="302" t="str">
        <f t="shared" si="399"/>
        <v/>
      </c>
      <c r="ACB18" s="302" t="str">
        <f t="shared" si="399"/>
        <v/>
      </c>
      <c r="ACC18" s="302" t="str">
        <f t="shared" si="399"/>
        <v/>
      </c>
      <c r="ACD18" s="302" t="str">
        <f t="shared" si="399"/>
        <v/>
      </c>
      <c r="ACE18" s="302" t="str">
        <f t="shared" si="399"/>
        <v/>
      </c>
      <c r="ACF18" s="302" t="str">
        <f t="shared" si="399"/>
        <v/>
      </c>
      <c r="ACG18" s="302" t="str">
        <f t="shared" si="399"/>
        <v/>
      </c>
      <c r="ACH18" s="302" t="str">
        <f t="shared" si="399"/>
        <v/>
      </c>
      <c r="ACI18" s="302" t="str">
        <f t="shared" si="399"/>
        <v/>
      </c>
      <c r="ACJ18" s="302" t="str">
        <f t="shared" si="399"/>
        <v/>
      </c>
      <c r="ACK18" s="302" t="str">
        <f t="shared" si="399"/>
        <v/>
      </c>
      <c r="ACL18" s="302" t="str">
        <f t="shared" si="399"/>
        <v/>
      </c>
      <c r="ACM18" s="302" t="str">
        <f t="shared" si="399"/>
        <v/>
      </c>
      <c r="ACN18" s="302" t="str">
        <f t="shared" si="399"/>
        <v/>
      </c>
      <c r="ACO18" s="302" t="str">
        <f t="shared" si="399"/>
        <v/>
      </c>
      <c r="ACP18" s="302" t="str">
        <f t="shared" si="399"/>
        <v/>
      </c>
      <c r="ACQ18" s="302" t="str">
        <f t="shared" si="399"/>
        <v/>
      </c>
      <c r="ACR18" s="303" t="str">
        <f t="shared" si="399"/>
        <v/>
      </c>
    </row>
    <row r="19" spans="1:772" ht="15" customHeight="1" x14ac:dyDescent="0.2">
      <c r="A19" s="99" t="s">
        <v>77</v>
      </c>
      <c r="B19" s="100"/>
      <c r="C19" s="100"/>
      <c r="D19" s="100"/>
      <c r="E19" s="101"/>
      <c r="F19" s="101"/>
      <c r="G19" s="102">
        <f t="shared" ref="G19:AE19" si="400">IFERROR(AVERAGE(G8:G17),"")</f>
        <v>0.61000750707397366</v>
      </c>
      <c r="H19" s="102">
        <f>IFERROR(AVERAGE(H8:H17),"")</f>
        <v>0.176866</v>
      </c>
      <c r="I19" s="102">
        <f t="shared" si="400"/>
        <v>0.12654400000000002</v>
      </c>
      <c r="J19" s="102">
        <f t="shared" si="400"/>
        <v>4.7117000000000006E-2</v>
      </c>
      <c r="K19" s="102">
        <f t="shared" si="400"/>
        <v>3.8417E-2</v>
      </c>
      <c r="L19" s="102">
        <f t="shared" si="400"/>
        <v>2.6225000000000002E-2</v>
      </c>
      <c r="M19" s="102">
        <f t="shared" si="400"/>
        <v>0.87345577707057875</v>
      </c>
      <c r="N19" s="102">
        <f t="shared" si="400"/>
        <v>7.9426693115275018E-2</v>
      </c>
      <c r="O19" s="102">
        <f t="shared" si="400"/>
        <v>8.776500000000001E-2</v>
      </c>
      <c r="P19" s="102">
        <f t="shared" si="400"/>
        <v>0</v>
      </c>
      <c r="Q19" s="101">
        <f t="shared" si="400"/>
        <v>3.6166806996513161</v>
      </c>
      <c r="R19" s="101">
        <f t="shared" si="400"/>
        <v>30.165371398073162</v>
      </c>
      <c r="S19" s="101">
        <f t="shared" si="400"/>
        <v>31.28054591895086</v>
      </c>
      <c r="T19" s="101">
        <f t="shared" si="400"/>
        <v>2.5015061787736208</v>
      </c>
      <c r="U19" s="102">
        <f>IFERROR(AVERAGE(U8:U17),"")</f>
        <v>9.344384555408658E-2</v>
      </c>
      <c r="V19" s="102">
        <f>IFERROR(AVERAGE(V8:V17),"")</f>
        <v>0.18411341359560507</v>
      </c>
      <c r="W19" s="102">
        <f>IFERROR(AVERAGE(W8:W17),"")</f>
        <v>0.3053870655033929</v>
      </c>
      <c r="X19" s="1029">
        <f t="shared" si="400"/>
        <v>3.5631499999999998</v>
      </c>
      <c r="Y19" s="1029">
        <f t="shared" ref="Y19" si="401">IFERROR(AVERAGE(Y8:Y17),"")</f>
        <v>8.0374300000000005</v>
      </c>
      <c r="Z19" s="102">
        <f>IFERROR(AVERAGE(Z8:Z17),"")</f>
        <v>4.7245967300767293E-2</v>
      </c>
      <c r="AA19" s="101">
        <f t="shared" si="400"/>
        <v>3.2484292924091052</v>
      </c>
      <c r="AB19" s="102">
        <f>IFERROR(AVERAGE(AB8:AB17),"")</f>
        <v>3.5382149092137244E-2</v>
      </c>
      <c r="AC19" s="102">
        <f t="shared" si="400"/>
        <v>0.24818499596665769</v>
      </c>
      <c r="AD19" s="101">
        <f t="shared" si="400"/>
        <v>6.7716200000000004</v>
      </c>
      <c r="AE19" s="103">
        <f t="shared" si="400"/>
        <v>0.66174999999999995</v>
      </c>
      <c r="AF19" s="104"/>
      <c r="AG19" s="702">
        <f t="shared" ref="AG19:CR19" si="402">IFERROR(AVERAGE(AG8:AG17),"")</f>
        <v>0.12756200000000001</v>
      </c>
      <c r="AH19" s="700" t="str">
        <f t="shared" si="402"/>
        <v/>
      </c>
      <c r="AI19" s="700" t="str">
        <f t="shared" si="402"/>
        <v/>
      </c>
      <c r="AJ19" s="700" t="str">
        <f t="shared" si="402"/>
        <v/>
      </c>
      <c r="AK19" s="700" t="str">
        <f t="shared" si="402"/>
        <v/>
      </c>
      <c r="AL19" s="700" t="str">
        <f t="shared" si="402"/>
        <v/>
      </c>
      <c r="AM19" s="700" t="str">
        <f t="shared" si="402"/>
        <v/>
      </c>
      <c r="AN19" s="700" t="str">
        <f t="shared" si="402"/>
        <v/>
      </c>
      <c r="AO19" s="700" t="str">
        <f t="shared" si="402"/>
        <v/>
      </c>
      <c r="AP19" s="700" t="str">
        <f t="shared" si="402"/>
        <v/>
      </c>
      <c r="AQ19" s="700" t="str">
        <f t="shared" si="402"/>
        <v/>
      </c>
      <c r="AR19" s="700" t="str">
        <f t="shared" si="402"/>
        <v/>
      </c>
      <c r="AS19" s="700" t="str">
        <f t="shared" si="402"/>
        <v/>
      </c>
      <c r="AT19" s="700" t="str">
        <f t="shared" si="402"/>
        <v/>
      </c>
      <c r="AU19" s="700" t="str">
        <f t="shared" si="402"/>
        <v/>
      </c>
      <c r="AV19" s="700" t="str">
        <f t="shared" si="402"/>
        <v/>
      </c>
      <c r="AW19" s="700" t="str">
        <f t="shared" si="402"/>
        <v/>
      </c>
      <c r="AX19" s="700" t="str">
        <f t="shared" si="402"/>
        <v/>
      </c>
      <c r="AY19" s="700" t="str">
        <f t="shared" si="402"/>
        <v/>
      </c>
      <c r="AZ19" s="701" t="str">
        <f t="shared" si="402"/>
        <v/>
      </c>
      <c r="BA19" s="699">
        <f t="shared" si="402"/>
        <v>4.6349999999999995E-2</v>
      </c>
      <c r="BB19" s="700" t="str">
        <f t="shared" si="402"/>
        <v/>
      </c>
      <c r="BC19" s="700" t="str">
        <f t="shared" si="402"/>
        <v/>
      </c>
      <c r="BD19" s="700" t="str">
        <f t="shared" si="402"/>
        <v/>
      </c>
      <c r="BE19" s="700" t="str">
        <f t="shared" si="402"/>
        <v/>
      </c>
      <c r="BF19" s="700" t="str">
        <f t="shared" si="402"/>
        <v/>
      </c>
      <c r="BG19" s="700" t="str">
        <f t="shared" si="402"/>
        <v/>
      </c>
      <c r="BH19" s="700" t="str">
        <f t="shared" si="402"/>
        <v/>
      </c>
      <c r="BI19" s="700" t="str">
        <f t="shared" si="402"/>
        <v/>
      </c>
      <c r="BJ19" s="700" t="str">
        <f t="shared" si="402"/>
        <v/>
      </c>
      <c r="BK19" s="700" t="str">
        <f t="shared" si="402"/>
        <v/>
      </c>
      <c r="BL19" s="700" t="str">
        <f t="shared" si="402"/>
        <v/>
      </c>
      <c r="BM19" s="700" t="str">
        <f t="shared" si="402"/>
        <v/>
      </c>
      <c r="BN19" s="700" t="str">
        <f t="shared" si="402"/>
        <v/>
      </c>
      <c r="BO19" s="700" t="str">
        <f t="shared" si="402"/>
        <v/>
      </c>
      <c r="BP19" s="700" t="str">
        <f t="shared" si="402"/>
        <v/>
      </c>
      <c r="BQ19" s="700" t="str">
        <f t="shared" si="402"/>
        <v/>
      </c>
      <c r="BR19" s="700" t="str">
        <f t="shared" si="402"/>
        <v/>
      </c>
      <c r="BS19" s="700" t="str">
        <f t="shared" si="402"/>
        <v/>
      </c>
      <c r="BT19" s="701" t="str">
        <f t="shared" si="402"/>
        <v/>
      </c>
      <c r="BU19" s="699">
        <f t="shared" si="402"/>
        <v>3.7442000000000003E-2</v>
      </c>
      <c r="BV19" s="700" t="str">
        <f t="shared" si="402"/>
        <v/>
      </c>
      <c r="BW19" s="700" t="str">
        <f t="shared" si="402"/>
        <v/>
      </c>
      <c r="BX19" s="700" t="str">
        <f t="shared" si="402"/>
        <v/>
      </c>
      <c r="BY19" s="700" t="str">
        <f t="shared" si="402"/>
        <v/>
      </c>
      <c r="BZ19" s="700" t="str">
        <f t="shared" si="402"/>
        <v/>
      </c>
      <c r="CA19" s="700" t="str">
        <f t="shared" si="402"/>
        <v/>
      </c>
      <c r="CB19" s="700" t="str">
        <f t="shared" si="402"/>
        <v/>
      </c>
      <c r="CC19" s="700" t="str">
        <f t="shared" si="402"/>
        <v/>
      </c>
      <c r="CD19" s="700" t="str">
        <f t="shared" si="402"/>
        <v/>
      </c>
      <c r="CE19" s="700" t="str">
        <f t="shared" si="402"/>
        <v/>
      </c>
      <c r="CF19" s="700" t="str">
        <f t="shared" si="402"/>
        <v/>
      </c>
      <c r="CG19" s="700" t="str">
        <f t="shared" si="402"/>
        <v/>
      </c>
      <c r="CH19" s="700" t="str">
        <f t="shared" si="402"/>
        <v/>
      </c>
      <c r="CI19" s="700" t="str">
        <f t="shared" si="402"/>
        <v/>
      </c>
      <c r="CJ19" s="700" t="str">
        <f t="shared" si="402"/>
        <v/>
      </c>
      <c r="CK19" s="700" t="str">
        <f t="shared" si="402"/>
        <v/>
      </c>
      <c r="CL19" s="700" t="str">
        <f t="shared" si="402"/>
        <v/>
      </c>
      <c r="CM19" s="700" t="str">
        <f t="shared" si="402"/>
        <v/>
      </c>
      <c r="CN19" s="701" t="str">
        <f t="shared" si="402"/>
        <v/>
      </c>
      <c r="CO19" s="699">
        <f t="shared" si="402"/>
        <v>2.5432E-2</v>
      </c>
      <c r="CP19" s="700" t="str">
        <f t="shared" si="402"/>
        <v/>
      </c>
      <c r="CQ19" s="700" t="str">
        <f t="shared" si="402"/>
        <v/>
      </c>
      <c r="CR19" s="700" t="str">
        <f t="shared" si="402"/>
        <v/>
      </c>
      <c r="CS19" s="700" t="str">
        <f t="shared" ref="CS19:FD19" si="403">IFERROR(AVERAGE(CS8:CS17),"")</f>
        <v/>
      </c>
      <c r="CT19" s="700" t="str">
        <f t="shared" si="403"/>
        <v/>
      </c>
      <c r="CU19" s="700" t="str">
        <f t="shared" si="403"/>
        <v/>
      </c>
      <c r="CV19" s="700" t="str">
        <f t="shared" si="403"/>
        <v/>
      </c>
      <c r="CW19" s="700" t="str">
        <f t="shared" si="403"/>
        <v/>
      </c>
      <c r="CX19" s="700" t="str">
        <f t="shared" si="403"/>
        <v/>
      </c>
      <c r="CY19" s="700" t="str">
        <f t="shared" si="403"/>
        <v/>
      </c>
      <c r="CZ19" s="700" t="str">
        <f t="shared" si="403"/>
        <v/>
      </c>
      <c r="DA19" s="700" t="str">
        <f t="shared" si="403"/>
        <v/>
      </c>
      <c r="DB19" s="700" t="str">
        <f t="shared" si="403"/>
        <v/>
      </c>
      <c r="DC19" s="700" t="str">
        <f t="shared" si="403"/>
        <v/>
      </c>
      <c r="DD19" s="700" t="str">
        <f t="shared" si="403"/>
        <v/>
      </c>
      <c r="DE19" s="700" t="str">
        <f t="shared" si="403"/>
        <v/>
      </c>
      <c r="DF19" s="700" t="str">
        <f t="shared" si="403"/>
        <v/>
      </c>
      <c r="DG19" s="700" t="str">
        <f t="shared" si="403"/>
        <v/>
      </c>
      <c r="DH19" s="701" t="str">
        <f t="shared" si="403"/>
        <v/>
      </c>
      <c r="DI19" s="699">
        <f t="shared" si="403"/>
        <v>0.87243702113411203</v>
      </c>
      <c r="DJ19" s="700" t="str">
        <f t="shared" si="403"/>
        <v/>
      </c>
      <c r="DK19" s="700" t="str">
        <f t="shared" si="403"/>
        <v/>
      </c>
      <c r="DL19" s="700" t="str">
        <f t="shared" si="403"/>
        <v/>
      </c>
      <c r="DM19" s="700" t="str">
        <f t="shared" si="403"/>
        <v/>
      </c>
      <c r="DN19" s="700" t="str">
        <f t="shared" si="403"/>
        <v/>
      </c>
      <c r="DO19" s="700" t="str">
        <f t="shared" si="403"/>
        <v/>
      </c>
      <c r="DP19" s="700" t="str">
        <f t="shared" si="403"/>
        <v/>
      </c>
      <c r="DQ19" s="700" t="str">
        <f t="shared" si="403"/>
        <v/>
      </c>
      <c r="DR19" s="700" t="str">
        <f t="shared" si="403"/>
        <v/>
      </c>
      <c r="DS19" s="700" t="str">
        <f t="shared" si="403"/>
        <v/>
      </c>
      <c r="DT19" s="700" t="str">
        <f t="shared" si="403"/>
        <v/>
      </c>
      <c r="DU19" s="700" t="str">
        <f t="shared" si="403"/>
        <v/>
      </c>
      <c r="DV19" s="700" t="str">
        <f t="shared" si="403"/>
        <v/>
      </c>
      <c r="DW19" s="700" t="str">
        <f t="shared" si="403"/>
        <v/>
      </c>
      <c r="DX19" s="700" t="str">
        <f t="shared" si="403"/>
        <v/>
      </c>
      <c r="DY19" s="700" t="str">
        <f t="shared" si="403"/>
        <v/>
      </c>
      <c r="DZ19" s="700" t="str">
        <f t="shared" si="403"/>
        <v/>
      </c>
      <c r="EA19" s="700" t="str">
        <f t="shared" si="403"/>
        <v/>
      </c>
      <c r="EB19" s="701" t="str">
        <f t="shared" si="403"/>
        <v/>
      </c>
      <c r="EC19" s="699">
        <f t="shared" si="403"/>
        <v>8.1212700163479146E-2</v>
      </c>
      <c r="ED19" s="700" t="str">
        <f t="shared" si="403"/>
        <v/>
      </c>
      <c r="EE19" s="700" t="str">
        <f t="shared" si="403"/>
        <v/>
      </c>
      <c r="EF19" s="700" t="str">
        <f t="shared" si="403"/>
        <v/>
      </c>
      <c r="EG19" s="700" t="str">
        <f t="shared" si="403"/>
        <v/>
      </c>
      <c r="EH19" s="700" t="str">
        <f t="shared" si="403"/>
        <v/>
      </c>
      <c r="EI19" s="700" t="str">
        <f t="shared" si="403"/>
        <v/>
      </c>
      <c r="EJ19" s="700" t="str">
        <f t="shared" si="403"/>
        <v/>
      </c>
      <c r="EK19" s="700" t="str">
        <f t="shared" si="403"/>
        <v/>
      </c>
      <c r="EL19" s="700" t="str">
        <f t="shared" si="403"/>
        <v/>
      </c>
      <c r="EM19" s="700" t="str">
        <f t="shared" si="403"/>
        <v/>
      </c>
      <c r="EN19" s="700" t="str">
        <f t="shared" si="403"/>
        <v/>
      </c>
      <c r="EO19" s="700" t="str">
        <f t="shared" si="403"/>
        <v/>
      </c>
      <c r="EP19" s="700" t="str">
        <f t="shared" si="403"/>
        <v/>
      </c>
      <c r="EQ19" s="700" t="str">
        <f t="shared" si="403"/>
        <v/>
      </c>
      <c r="ER19" s="700" t="str">
        <f t="shared" si="403"/>
        <v/>
      </c>
      <c r="ES19" s="700" t="str">
        <f t="shared" si="403"/>
        <v/>
      </c>
      <c r="ET19" s="700" t="str">
        <f t="shared" si="403"/>
        <v/>
      </c>
      <c r="EU19" s="700" t="str">
        <f t="shared" si="403"/>
        <v/>
      </c>
      <c r="EV19" s="701" t="str">
        <f t="shared" si="403"/>
        <v/>
      </c>
      <c r="EW19" s="699">
        <f t="shared" si="403"/>
        <v>8.9746000000000006E-2</v>
      </c>
      <c r="EX19" s="700" t="str">
        <f t="shared" si="403"/>
        <v/>
      </c>
      <c r="EY19" s="700" t="str">
        <f t="shared" si="403"/>
        <v/>
      </c>
      <c r="EZ19" s="700" t="str">
        <f t="shared" si="403"/>
        <v/>
      </c>
      <c r="FA19" s="700" t="str">
        <f t="shared" si="403"/>
        <v/>
      </c>
      <c r="FB19" s="700" t="str">
        <f t="shared" si="403"/>
        <v/>
      </c>
      <c r="FC19" s="700" t="str">
        <f t="shared" si="403"/>
        <v/>
      </c>
      <c r="FD19" s="700" t="str">
        <f t="shared" si="403"/>
        <v/>
      </c>
      <c r="FE19" s="700" t="str">
        <f t="shared" ref="FE19:HP19" si="404">IFERROR(AVERAGE(FE8:FE17),"")</f>
        <v/>
      </c>
      <c r="FF19" s="700" t="str">
        <f t="shared" si="404"/>
        <v/>
      </c>
      <c r="FG19" s="700" t="str">
        <f t="shared" si="404"/>
        <v/>
      </c>
      <c r="FH19" s="700" t="str">
        <f t="shared" si="404"/>
        <v/>
      </c>
      <c r="FI19" s="700" t="str">
        <f t="shared" si="404"/>
        <v/>
      </c>
      <c r="FJ19" s="700" t="str">
        <f t="shared" si="404"/>
        <v/>
      </c>
      <c r="FK19" s="700" t="str">
        <f t="shared" si="404"/>
        <v/>
      </c>
      <c r="FL19" s="700" t="str">
        <f t="shared" si="404"/>
        <v/>
      </c>
      <c r="FM19" s="700" t="str">
        <f t="shared" si="404"/>
        <v/>
      </c>
      <c r="FN19" s="700" t="str">
        <f t="shared" si="404"/>
        <v/>
      </c>
      <c r="FO19" s="700" t="str">
        <f t="shared" si="404"/>
        <v/>
      </c>
      <c r="FP19" s="701" t="str">
        <f t="shared" si="404"/>
        <v/>
      </c>
      <c r="FQ19" s="699">
        <f t="shared" si="404"/>
        <v>0</v>
      </c>
      <c r="FR19" s="700" t="str">
        <f t="shared" si="404"/>
        <v/>
      </c>
      <c r="FS19" s="700" t="str">
        <f t="shared" si="404"/>
        <v/>
      </c>
      <c r="FT19" s="700" t="str">
        <f t="shared" si="404"/>
        <v/>
      </c>
      <c r="FU19" s="700" t="str">
        <f t="shared" si="404"/>
        <v/>
      </c>
      <c r="FV19" s="700" t="str">
        <f t="shared" si="404"/>
        <v/>
      </c>
      <c r="FW19" s="700" t="str">
        <f t="shared" si="404"/>
        <v/>
      </c>
      <c r="FX19" s="700" t="str">
        <f t="shared" si="404"/>
        <v/>
      </c>
      <c r="FY19" s="700" t="str">
        <f t="shared" si="404"/>
        <v/>
      </c>
      <c r="FZ19" s="700" t="str">
        <f t="shared" si="404"/>
        <v/>
      </c>
      <c r="GA19" s="700" t="str">
        <f t="shared" si="404"/>
        <v/>
      </c>
      <c r="GB19" s="700" t="str">
        <f t="shared" si="404"/>
        <v/>
      </c>
      <c r="GC19" s="700" t="str">
        <f t="shared" si="404"/>
        <v/>
      </c>
      <c r="GD19" s="700" t="str">
        <f t="shared" si="404"/>
        <v/>
      </c>
      <c r="GE19" s="700" t="str">
        <f t="shared" si="404"/>
        <v/>
      </c>
      <c r="GF19" s="700" t="str">
        <f t="shared" si="404"/>
        <v/>
      </c>
      <c r="GG19" s="700" t="str">
        <f t="shared" si="404"/>
        <v/>
      </c>
      <c r="GH19" s="700" t="str">
        <f t="shared" si="404"/>
        <v/>
      </c>
      <c r="GI19" s="700" t="str">
        <f t="shared" si="404"/>
        <v/>
      </c>
      <c r="GJ19" s="701" t="str">
        <f t="shared" si="404"/>
        <v/>
      </c>
      <c r="GK19" s="598">
        <f t="shared" si="404"/>
        <v>3.2153443895136986</v>
      </c>
      <c r="GL19" s="599" t="str">
        <f t="shared" si="404"/>
        <v/>
      </c>
      <c r="GM19" s="599" t="str">
        <f t="shared" si="404"/>
        <v/>
      </c>
      <c r="GN19" s="599" t="str">
        <f t="shared" si="404"/>
        <v/>
      </c>
      <c r="GO19" s="599" t="str">
        <f t="shared" si="404"/>
        <v/>
      </c>
      <c r="GP19" s="599" t="str">
        <f t="shared" si="404"/>
        <v/>
      </c>
      <c r="GQ19" s="599" t="str">
        <f t="shared" si="404"/>
        <v/>
      </c>
      <c r="GR19" s="599" t="str">
        <f t="shared" si="404"/>
        <v/>
      </c>
      <c r="GS19" s="599" t="str">
        <f t="shared" si="404"/>
        <v/>
      </c>
      <c r="GT19" s="599" t="str">
        <f t="shared" si="404"/>
        <v/>
      </c>
      <c r="GU19" s="599" t="str">
        <f t="shared" si="404"/>
        <v/>
      </c>
      <c r="GV19" s="599" t="str">
        <f t="shared" si="404"/>
        <v/>
      </c>
      <c r="GW19" s="599" t="str">
        <f t="shared" si="404"/>
        <v/>
      </c>
      <c r="GX19" s="599" t="str">
        <f t="shared" si="404"/>
        <v/>
      </c>
      <c r="GY19" s="599" t="str">
        <f t="shared" si="404"/>
        <v/>
      </c>
      <c r="GZ19" s="599" t="str">
        <f t="shared" si="404"/>
        <v/>
      </c>
      <c r="HA19" s="599" t="str">
        <f t="shared" si="404"/>
        <v/>
      </c>
      <c r="HB19" s="599" t="str">
        <f t="shared" si="404"/>
        <v/>
      </c>
      <c r="HC19" s="599" t="str">
        <f t="shared" si="404"/>
        <v/>
      </c>
      <c r="HD19" s="600" t="str">
        <f t="shared" si="404"/>
        <v/>
      </c>
      <c r="HE19" s="598">
        <f t="shared" si="404"/>
        <v>32.799486956619894</v>
      </c>
      <c r="HF19" s="599" t="str">
        <f t="shared" si="404"/>
        <v/>
      </c>
      <c r="HG19" s="599" t="str">
        <f t="shared" si="404"/>
        <v/>
      </c>
      <c r="HH19" s="599" t="str">
        <f t="shared" si="404"/>
        <v/>
      </c>
      <c r="HI19" s="599" t="str">
        <f t="shared" si="404"/>
        <v/>
      </c>
      <c r="HJ19" s="599" t="str">
        <f t="shared" si="404"/>
        <v/>
      </c>
      <c r="HK19" s="599" t="str">
        <f t="shared" si="404"/>
        <v/>
      </c>
      <c r="HL19" s="599" t="str">
        <f t="shared" si="404"/>
        <v/>
      </c>
      <c r="HM19" s="599" t="str">
        <f t="shared" si="404"/>
        <v/>
      </c>
      <c r="HN19" s="599" t="str">
        <f t="shared" si="404"/>
        <v/>
      </c>
      <c r="HO19" s="599" t="str">
        <f t="shared" si="404"/>
        <v/>
      </c>
      <c r="HP19" s="599" t="str">
        <f t="shared" si="404"/>
        <v/>
      </c>
      <c r="HQ19" s="599" t="str">
        <f t="shared" ref="HQ19:KB19" si="405">IFERROR(AVERAGE(HQ8:HQ17),"")</f>
        <v/>
      </c>
      <c r="HR19" s="599" t="str">
        <f t="shared" si="405"/>
        <v/>
      </c>
      <c r="HS19" s="599" t="str">
        <f t="shared" si="405"/>
        <v/>
      </c>
      <c r="HT19" s="599" t="str">
        <f t="shared" si="405"/>
        <v/>
      </c>
      <c r="HU19" s="599" t="str">
        <f t="shared" si="405"/>
        <v/>
      </c>
      <c r="HV19" s="599" t="str">
        <f t="shared" si="405"/>
        <v/>
      </c>
      <c r="HW19" s="599" t="str">
        <f t="shared" si="405"/>
        <v/>
      </c>
      <c r="HX19" s="600" t="str">
        <f t="shared" si="405"/>
        <v/>
      </c>
      <c r="HY19" s="598">
        <f t="shared" si="405"/>
        <v>37.673624829267737</v>
      </c>
      <c r="HZ19" s="599" t="str">
        <f t="shared" si="405"/>
        <v/>
      </c>
      <c r="IA19" s="599" t="str">
        <f t="shared" si="405"/>
        <v/>
      </c>
      <c r="IB19" s="599" t="str">
        <f t="shared" si="405"/>
        <v/>
      </c>
      <c r="IC19" s="599" t="str">
        <f t="shared" si="405"/>
        <v/>
      </c>
      <c r="ID19" s="599" t="str">
        <f t="shared" si="405"/>
        <v/>
      </c>
      <c r="IE19" s="599" t="str">
        <f t="shared" si="405"/>
        <v/>
      </c>
      <c r="IF19" s="599" t="str">
        <f t="shared" si="405"/>
        <v/>
      </c>
      <c r="IG19" s="599" t="str">
        <f t="shared" si="405"/>
        <v/>
      </c>
      <c r="IH19" s="599" t="str">
        <f t="shared" si="405"/>
        <v/>
      </c>
      <c r="II19" s="599" t="str">
        <f t="shared" si="405"/>
        <v/>
      </c>
      <c r="IJ19" s="599" t="str">
        <f t="shared" si="405"/>
        <v/>
      </c>
      <c r="IK19" s="599" t="str">
        <f t="shared" si="405"/>
        <v/>
      </c>
      <c r="IL19" s="599" t="str">
        <f t="shared" si="405"/>
        <v/>
      </c>
      <c r="IM19" s="599" t="str">
        <f t="shared" si="405"/>
        <v/>
      </c>
      <c r="IN19" s="599" t="str">
        <f t="shared" si="405"/>
        <v/>
      </c>
      <c r="IO19" s="599" t="str">
        <f t="shared" si="405"/>
        <v/>
      </c>
      <c r="IP19" s="599" t="str">
        <f t="shared" si="405"/>
        <v/>
      </c>
      <c r="IQ19" s="599" t="str">
        <f t="shared" si="405"/>
        <v/>
      </c>
      <c r="IR19" s="600" t="str">
        <f t="shared" si="405"/>
        <v/>
      </c>
      <c r="IS19" s="598">
        <f t="shared" si="405"/>
        <v>-1.6587934831341471</v>
      </c>
      <c r="IT19" s="599" t="str">
        <f t="shared" si="405"/>
        <v/>
      </c>
      <c r="IU19" s="599" t="str">
        <f t="shared" si="405"/>
        <v/>
      </c>
      <c r="IV19" s="599" t="str">
        <f t="shared" si="405"/>
        <v/>
      </c>
      <c r="IW19" s="599" t="str">
        <f t="shared" si="405"/>
        <v/>
      </c>
      <c r="IX19" s="599" t="str">
        <f t="shared" si="405"/>
        <v/>
      </c>
      <c r="IY19" s="599" t="str">
        <f t="shared" si="405"/>
        <v/>
      </c>
      <c r="IZ19" s="599" t="str">
        <f t="shared" si="405"/>
        <v/>
      </c>
      <c r="JA19" s="599" t="str">
        <f t="shared" si="405"/>
        <v/>
      </c>
      <c r="JB19" s="599" t="str">
        <f t="shared" si="405"/>
        <v/>
      </c>
      <c r="JC19" s="599" t="str">
        <f t="shared" si="405"/>
        <v/>
      </c>
      <c r="JD19" s="599" t="str">
        <f t="shared" si="405"/>
        <v/>
      </c>
      <c r="JE19" s="599" t="str">
        <f t="shared" si="405"/>
        <v/>
      </c>
      <c r="JF19" s="599" t="str">
        <f t="shared" si="405"/>
        <v/>
      </c>
      <c r="JG19" s="599" t="str">
        <f t="shared" si="405"/>
        <v/>
      </c>
      <c r="JH19" s="599" t="str">
        <f t="shared" si="405"/>
        <v/>
      </c>
      <c r="JI19" s="599" t="str">
        <f t="shared" si="405"/>
        <v/>
      </c>
      <c r="JJ19" s="599" t="str">
        <f t="shared" si="405"/>
        <v/>
      </c>
      <c r="JK19" s="599" t="str">
        <f t="shared" si="405"/>
        <v/>
      </c>
      <c r="JL19" s="600" t="str">
        <f t="shared" si="405"/>
        <v/>
      </c>
      <c r="JM19" s="699">
        <f t="shared" si="405"/>
        <v>4.711843375155108E-2</v>
      </c>
      <c r="JN19" s="700" t="str">
        <f t="shared" si="405"/>
        <v/>
      </c>
      <c r="JO19" s="700" t="str">
        <f t="shared" si="405"/>
        <v/>
      </c>
      <c r="JP19" s="700" t="str">
        <f t="shared" si="405"/>
        <v/>
      </c>
      <c r="JQ19" s="700" t="str">
        <f t="shared" si="405"/>
        <v/>
      </c>
      <c r="JR19" s="700" t="str">
        <f t="shared" si="405"/>
        <v/>
      </c>
      <c r="JS19" s="700" t="str">
        <f t="shared" si="405"/>
        <v/>
      </c>
      <c r="JT19" s="700" t="str">
        <f t="shared" si="405"/>
        <v/>
      </c>
      <c r="JU19" s="700" t="str">
        <f t="shared" si="405"/>
        <v/>
      </c>
      <c r="JV19" s="700" t="str">
        <f t="shared" si="405"/>
        <v/>
      </c>
      <c r="JW19" s="700" t="str">
        <f t="shared" si="405"/>
        <v/>
      </c>
      <c r="JX19" s="700" t="str">
        <f t="shared" si="405"/>
        <v/>
      </c>
      <c r="JY19" s="700" t="str">
        <f t="shared" si="405"/>
        <v/>
      </c>
      <c r="JZ19" s="700" t="str">
        <f t="shared" si="405"/>
        <v/>
      </c>
      <c r="KA19" s="700" t="str">
        <f t="shared" si="405"/>
        <v/>
      </c>
      <c r="KB19" s="700" t="str">
        <f t="shared" si="405"/>
        <v/>
      </c>
      <c r="KC19" s="700" t="str">
        <f t="shared" ref="KC19:MN19" si="406">IFERROR(AVERAGE(KC8:KC17),"")</f>
        <v/>
      </c>
      <c r="KD19" s="700" t="str">
        <f t="shared" si="406"/>
        <v/>
      </c>
      <c r="KE19" s="700" t="str">
        <f t="shared" si="406"/>
        <v/>
      </c>
      <c r="KF19" s="701" t="str">
        <f t="shared" si="406"/>
        <v/>
      </c>
      <c r="KG19" s="108">
        <f t="shared" si="406"/>
        <v>3.2659099999999999</v>
      </c>
      <c r="KH19" s="109" t="str">
        <f t="shared" si="406"/>
        <v/>
      </c>
      <c r="KI19" s="109" t="str">
        <f t="shared" si="406"/>
        <v/>
      </c>
      <c r="KJ19" s="109" t="str">
        <f t="shared" si="406"/>
        <v/>
      </c>
      <c r="KK19" s="109" t="str">
        <f t="shared" si="406"/>
        <v/>
      </c>
      <c r="KL19" s="109" t="str">
        <f t="shared" si="406"/>
        <v/>
      </c>
      <c r="KM19" s="109" t="str">
        <f t="shared" si="406"/>
        <v/>
      </c>
      <c r="KN19" s="109" t="str">
        <f t="shared" si="406"/>
        <v/>
      </c>
      <c r="KO19" s="109" t="str">
        <f t="shared" si="406"/>
        <v/>
      </c>
      <c r="KP19" s="109" t="str">
        <f t="shared" si="406"/>
        <v/>
      </c>
      <c r="KQ19" s="109" t="str">
        <f t="shared" si="406"/>
        <v/>
      </c>
      <c r="KR19" s="109" t="str">
        <f t="shared" si="406"/>
        <v/>
      </c>
      <c r="KS19" s="109" t="str">
        <f t="shared" si="406"/>
        <v/>
      </c>
      <c r="KT19" s="109" t="str">
        <f t="shared" si="406"/>
        <v/>
      </c>
      <c r="KU19" s="109" t="str">
        <f t="shared" si="406"/>
        <v/>
      </c>
      <c r="KV19" s="109" t="str">
        <f t="shared" si="406"/>
        <v/>
      </c>
      <c r="KW19" s="109" t="str">
        <f t="shared" si="406"/>
        <v/>
      </c>
      <c r="KX19" s="109" t="str">
        <f t="shared" si="406"/>
        <v/>
      </c>
      <c r="KY19" s="109" t="str">
        <f t="shared" si="406"/>
        <v/>
      </c>
      <c r="KZ19" s="110" t="str">
        <f t="shared" si="406"/>
        <v/>
      </c>
      <c r="LA19" s="108">
        <f t="shared" si="406"/>
        <v>11.128220000000001</v>
      </c>
      <c r="LB19" s="108" t="str">
        <f t="shared" si="406"/>
        <v/>
      </c>
      <c r="LC19" s="108" t="str">
        <f t="shared" si="406"/>
        <v/>
      </c>
      <c r="LD19" s="108" t="str">
        <f t="shared" si="406"/>
        <v/>
      </c>
      <c r="LE19" s="108" t="str">
        <f t="shared" si="406"/>
        <v/>
      </c>
      <c r="LF19" s="108" t="str">
        <f t="shared" si="406"/>
        <v/>
      </c>
      <c r="LG19" s="108" t="str">
        <f t="shared" si="406"/>
        <v/>
      </c>
      <c r="LH19" s="108" t="str">
        <f t="shared" si="406"/>
        <v/>
      </c>
      <c r="LI19" s="108" t="str">
        <f t="shared" si="406"/>
        <v/>
      </c>
      <c r="LJ19" s="108" t="str">
        <f t="shared" si="406"/>
        <v/>
      </c>
      <c r="LK19" s="108" t="str">
        <f t="shared" si="406"/>
        <v/>
      </c>
      <c r="LL19" s="108" t="str">
        <f t="shared" si="406"/>
        <v/>
      </c>
      <c r="LM19" s="108" t="str">
        <f t="shared" si="406"/>
        <v/>
      </c>
      <c r="LN19" s="108" t="str">
        <f t="shared" si="406"/>
        <v/>
      </c>
      <c r="LO19" s="108" t="str">
        <f t="shared" si="406"/>
        <v/>
      </c>
      <c r="LP19" s="108" t="str">
        <f t="shared" si="406"/>
        <v/>
      </c>
      <c r="LQ19" s="108" t="str">
        <f t="shared" si="406"/>
        <v/>
      </c>
      <c r="LR19" s="108" t="str">
        <f t="shared" si="406"/>
        <v/>
      </c>
      <c r="LS19" s="108" t="str">
        <f t="shared" si="406"/>
        <v/>
      </c>
      <c r="LT19" s="108" t="str">
        <f t="shared" si="406"/>
        <v/>
      </c>
      <c r="LU19" s="108">
        <f t="shared" si="406"/>
        <v>113.51817</v>
      </c>
      <c r="LV19" s="108" t="str">
        <f t="shared" si="406"/>
        <v/>
      </c>
      <c r="LW19" s="108" t="str">
        <f t="shared" si="406"/>
        <v/>
      </c>
      <c r="LX19" s="108" t="str">
        <f t="shared" si="406"/>
        <v/>
      </c>
      <c r="LY19" s="108" t="str">
        <f t="shared" si="406"/>
        <v/>
      </c>
      <c r="LZ19" s="108" t="str">
        <f t="shared" si="406"/>
        <v/>
      </c>
      <c r="MA19" s="108" t="str">
        <f t="shared" si="406"/>
        <v/>
      </c>
      <c r="MB19" s="108" t="str">
        <f t="shared" si="406"/>
        <v/>
      </c>
      <c r="MC19" s="108" t="str">
        <f t="shared" si="406"/>
        <v/>
      </c>
      <c r="MD19" s="108" t="str">
        <f t="shared" si="406"/>
        <v/>
      </c>
      <c r="ME19" s="108" t="str">
        <f t="shared" si="406"/>
        <v/>
      </c>
      <c r="MF19" s="108" t="str">
        <f t="shared" si="406"/>
        <v/>
      </c>
      <c r="MG19" s="108" t="str">
        <f t="shared" si="406"/>
        <v/>
      </c>
      <c r="MH19" s="108" t="str">
        <f t="shared" si="406"/>
        <v/>
      </c>
      <c r="MI19" s="108" t="str">
        <f t="shared" si="406"/>
        <v/>
      </c>
      <c r="MJ19" s="108" t="str">
        <f t="shared" si="406"/>
        <v/>
      </c>
      <c r="MK19" s="108" t="str">
        <f t="shared" si="406"/>
        <v/>
      </c>
      <c r="ML19" s="108" t="str">
        <f t="shared" si="406"/>
        <v/>
      </c>
      <c r="MM19" s="108" t="str">
        <f t="shared" si="406"/>
        <v/>
      </c>
      <c r="MN19" s="108" t="str">
        <f t="shared" si="406"/>
        <v/>
      </c>
      <c r="MO19" s="699">
        <f t="shared" ref="MO19:OZ19" si="407">IFERROR(AVERAGE(MO8:MO17),"")</f>
        <v>0.45402185684749435</v>
      </c>
      <c r="MP19" s="699" t="str">
        <f t="shared" si="407"/>
        <v/>
      </c>
      <c r="MQ19" s="699" t="str">
        <f t="shared" si="407"/>
        <v/>
      </c>
      <c r="MR19" s="699" t="str">
        <f t="shared" si="407"/>
        <v/>
      </c>
      <c r="MS19" s="699" t="str">
        <f t="shared" si="407"/>
        <v/>
      </c>
      <c r="MT19" s="699" t="str">
        <f t="shared" si="407"/>
        <v/>
      </c>
      <c r="MU19" s="699" t="str">
        <f t="shared" si="407"/>
        <v/>
      </c>
      <c r="MV19" s="699" t="str">
        <f t="shared" si="407"/>
        <v/>
      </c>
      <c r="MW19" s="699" t="str">
        <f t="shared" si="407"/>
        <v/>
      </c>
      <c r="MX19" s="699" t="str">
        <f t="shared" si="407"/>
        <v/>
      </c>
      <c r="MY19" s="699" t="str">
        <f t="shared" si="407"/>
        <v/>
      </c>
      <c r="MZ19" s="699" t="str">
        <f t="shared" si="407"/>
        <v/>
      </c>
      <c r="NA19" s="699" t="str">
        <f t="shared" si="407"/>
        <v/>
      </c>
      <c r="NB19" s="699" t="str">
        <f t="shared" si="407"/>
        <v/>
      </c>
      <c r="NC19" s="699" t="str">
        <f t="shared" si="407"/>
        <v/>
      </c>
      <c r="ND19" s="699" t="str">
        <f t="shared" si="407"/>
        <v/>
      </c>
      <c r="NE19" s="699" t="str">
        <f t="shared" si="407"/>
        <v/>
      </c>
      <c r="NF19" s="699" t="str">
        <f t="shared" si="407"/>
        <v/>
      </c>
      <c r="NG19" s="699" t="str">
        <f t="shared" si="407"/>
        <v/>
      </c>
      <c r="NH19" s="699" t="str">
        <f t="shared" si="407"/>
        <v/>
      </c>
      <c r="NI19" s="699">
        <f t="shared" si="407"/>
        <v>1.7343659244917715</v>
      </c>
      <c r="NJ19" s="699" t="str">
        <f t="shared" si="407"/>
        <v/>
      </c>
      <c r="NK19" s="699" t="str">
        <f t="shared" si="407"/>
        <v/>
      </c>
      <c r="NL19" s="699" t="str">
        <f t="shared" si="407"/>
        <v/>
      </c>
      <c r="NM19" s="699" t="str">
        <f t="shared" si="407"/>
        <v/>
      </c>
      <c r="NN19" s="699" t="str">
        <f t="shared" si="407"/>
        <v/>
      </c>
      <c r="NO19" s="699" t="str">
        <f t="shared" si="407"/>
        <v/>
      </c>
      <c r="NP19" s="699" t="str">
        <f t="shared" si="407"/>
        <v/>
      </c>
      <c r="NQ19" s="699" t="str">
        <f t="shared" si="407"/>
        <v/>
      </c>
      <c r="NR19" s="699" t="str">
        <f t="shared" si="407"/>
        <v/>
      </c>
      <c r="NS19" s="699" t="str">
        <f t="shared" si="407"/>
        <v/>
      </c>
      <c r="NT19" s="699" t="str">
        <f t="shared" si="407"/>
        <v/>
      </c>
      <c r="NU19" s="699" t="str">
        <f t="shared" si="407"/>
        <v/>
      </c>
      <c r="NV19" s="699" t="str">
        <f t="shared" si="407"/>
        <v/>
      </c>
      <c r="NW19" s="699" t="str">
        <f t="shared" si="407"/>
        <v/>
      </c>
      <c r="NX19" s="699" t="str">
        <f t="shared" si="407"/>
        <v/>
      </c>
      <c r="NY19" s="699" t="str">
        <f t="shared" si="407"/>
        <v/>
      </c>
      <c r="NZ19" s="699" t="str">
        <f t="shared" si="407"/>
        <v/>
      </c>
      <c r="OA19" s="699" t="str">
        <f t="shared" si="407"/>
        <v/>
      </c>
      <c r="OB19" s="699" t="str">
        <f t="shared" si="407"/>
        <v/>
      </c>
      <c r="OC19" s="699">
        <f t="shared" si="407"/>
        <v>8.0520399466092019E-2</v>
      </c>
      <c r="OD19" s="700" t="str">
        <f t="shared" si="407"/>
        <v/>
      </c>
      <c r="OE19" s="700" t="str">
        <f t="shared" si="407"/>
        <v/>
      </c>
      <c r="OF19" s="700" t="str">
        <f t="shared" si="407"/>
        <v/>
      </c>
      <c r="OG19" s="700" t="str">
        <f t="shared" si="407"/>
        <v/>
      </c>
      <c r="OH19" s="700" t="str">
        <f t="shared" si="407"/>
        <v/>
      </c>
      <c r="OI19" s="700" t="str">
        <f t="shared" si="407"/>
        <v/>
      </c>
      <c r="OJ19" s="700" t="str">
        <f t="shared" si="407"/>
        <v/>
      </c>
      <c r="OK19" s="700" t="str">
        <f t="shared" si="407"/>
        <v/>
      </c>
      <c r="OL19" s="700" t="str">
        <f t="shared" si="407"/>
        <v/>
      </c>
      <c r="OM19" s="700" t="str">
        <f t="shared" si="407"/>
        <v/>
      </c>
      <c r="ON19" s="700" t="str">
        <f t="shared" si="407"/>
        <v/>
      </c>
      <c r="OO19" s="700" t="str">
        <f t="shared" si="407"/>
        <v/>
      </c>
      <c r="OP19" s="700" t="str">
        <f t="shared" si="407"/>
        <v/>
      </c>
      <c r="OQ19" s="700" t="str">
        <f t="shared" si="407"/>
        <v/>
      </c>
      <c r="OR19" s="700" t="str">
        <f t="shared" si="407"/>
        <v/>
      </c>
      <c r="OS19" s="700" t="str">
        <f t="shared" si="407"/>
        <v/>
      </c>
      <c r="OT19" s="700" t="str">
        <f t="shared" si="407"/>
        <v/>
      </c>
      <c r="OU19" s="700" t="str">
        <f t="shared" si="407"/>
        <v/>
      </c>
      <c r="OV19" s="701" t="str">
        <f t="shared" si="407"/>
        <v/>
      </c>
      <c r="OW19" s="699">
        <f t="shared" si="407"/>
        <v>0.17159895128262248</v>
      </c>
      <c r="OX19" s="700" t="str">
        <f t="shared" si="407"/>
        <v/>
      </c>
      <c r="OY19" s="700" t="str">
        <f t="shared" si="407"/>
        <v/>
      </c>
      <c r="OZ19" s="700" t="str">
        <f t="shared" si="407"/>
        <v/>
      </c>
      <c r="PA19" s="700" t="str">
        <f t="shared" ref="PA19:RL19" si="408">IFERROR(AVERAGE(PA8:PA17),"")</f>
        <v/>
      </c>
      <c r="PB19" s="700" t="str">
        <f t="shared" si="408"/>
        <v/>
      </c>
      <c r="PC19" s="700" t="str">
        <f t="shared" si="408"/>
        <v/>
      </c>
      <c r="PD19" s="700" t="str">
        <f t="shared" si="408"/>
        <v/>
      </c>
      <c r="PE19" s="700" t="str">
        <f t="shared" si="408"/>
        <v/>
      </c>
      <c r="PF19" s="700" t="str">
        <f t="shared" si="408"/>
        <v/>
      </c>
      <c r="PG19" s="700" t="str">
        <f t="shared" si="408"/>
        <v/>
      </c>
      <c r="PH19" s="700" t="str">
        <f t="shared" si="408"/>
        <v/>
      </c>
      <c r="PI19" s="700" t="str">
        <f t="shared" si="408"/>
        <v/>
      </c>
      <c r="PJ19" s="700" t="str">
        <f t="shared" si="408"/>
        <v/>
      </c>
      <c r="PK19" s="700" t="str">
        <f t="shared" si="408"/>
        <v/>
      </c>
      <c r="PL19" s="700" t="str">
        <f t="shared" si="408"/>
        <v/>
      </c>
      <c r="PM19" s="700" t="str">
        <f t="shared" si="408"/>
        <v/>
      </c>
      <c r="PN19" s="700" t="str">
        <f t="shared" si="408"/>
        <v/>
      </c>
      <c r="PO19" s="700" t="str">
        <f t="shared" si="408"/>
        <v/>
      </c>
      <c r="PP19" s="701" t="str">
        <f t="shared" si="408"/>
        <v/>
      </c>
      <c r="PQ19" s="108">
        <f t="shared" si="408"/>
        <v>3.4744624383902942</v>
      </c>
      <c r="PR19" s="109" t="str">
        <f t="shared" si="408"/>
        <v/>
      </c>
      <c r="PS19" s="109" t="str">
        <f t="shared" si="408"/>
        <v/>
      </c>
      <c r="PT19" s="109" t="str">
        <f t="shared" si="408"/>
        <v/>
      </c>
      <c r="PU19" s="109" t="str">
        <f t="shared" si="408"/>
        <v/>
      </c>
      <c r="PV19" s="109" t="str">
        <f t="shared" si="408"/>
        <v/>
      </c>
      <c r="PW19" s="109" t="str">
        <f t="shared" si="408"/>
        <v/>
      </c>
      <c r="PX19" s="109" t="str">
        <f t="shared" si="408"/>
        <v/>
      </c>
      <c r="PY19" s="109" t="str">
        <f t="shared" si="408"/>
        <v/>
      </c>
      <c r="PZ19" s="109" t="str">
        <f t="shared" si="408"/>
        <v/>
      </c>
      <c r="QA19" s="109" t="str">
        <f t="shared" si="408"/>
        <v/>
      </c>
      <c r="QB19" s="109" t="str">
        <f t="shared" si="408"/>
        <v/>
      </c>
      <c r="QC19" s="109" t="str">
        <f t="shared" si="408"/>
        <v/>
      </c>
      <c r="QD19" s="109" t="str">
        <f t="shared" si="408"/>
        <v/>
      </c>
      <c r="QE19" s="109" t="str">
        <f t="shared" si="408"/>
        <v/>
      </c>
      <c r="QF19" s="109" t="str">
        <f t="shared" si="408"/>
        <v/>
      </c>
      <c r="QG19" s="109" t="str">
        <f t="shared" si="408"/>
        <v/>
      </c>
      <c r="QH19" s="109" t="str">
        <f t="shared" si="408"/>
        <v/>
      </c>
      <c r="QI19" s="109" t="str">
        <f t="shared" si="408"/>
        <v/>
      </c>
      <c r="QJ19" s="110" t="str">
        <f t="shared" si="408"/>
        <v/>
      </c>
      <c r="QK19" s="699">
        <f t="shared" si="408"/>
        <v>2.5555175599324246E-2</v>
      </c>
      <c r="QL19" s="700" t="str">
        <f t="shared" si="408"/>
        <v/>
      </c>
      <c r="QM19" s="700" t="str">
        <f t="shared" si="408"/>
        <v/>
      </c>
      <c r="QN19" s="700" t="str">
        <f t="shared" si="408"/>
        <v/>
      </c>
      <c r="QO19" s="700" t="str">
        <f t="shared" si="408"/>
        <v/>
      </c>
      <c r="QP19" s="700" t="str">
        <f t="shared" si="408"/>
        <v/>
      </c>
      <c r="QQ19" s="700" t="str">
        <f t="shared" si="408"/>
        <v/>
      </c>
      <c r="QR19" s="700" t="str">
        <f t="shared" si="408"/>
        <v/>
      </c>
      <c r="QS19" s="700" t="str">
        <f t="shared" si="408"/>
        <v/>
      </c>
      <c r="QT19" s="700" t="str">
        <f t="shared" si="408"/>
        <v/>
      </c>
      <c r="QU19" s="700" t="str">
        <f t="shared" si="408"/>
        <v/>
      </c>
      <c r="QV19" s="700" t="str">
        <f t="shared" si="408"/>
        <v/>
      </c>
      <c r="QW19" s="700" t="str">
        <f t="shared" si="408"/>
        <v/>
      </c>
      <c r="QX19" s="700" t="str">
        <f t="shared" si="408"/>
        <v/>
      </c>
      <c r="QY19" s="700" t="str">
        <f t="shared" si="408"/>
        <v/>
      </c>
      <c r="QZ19" s="700" t="str">
        <f t="shared" si="408"/>
        <v/>
      </c>
      <c r="RA19" s="700" t="str">
        <f t="shared" si="408"/>
        <v/>
      </c>
      <c r="RB19" s="700" t="str">
        <f t="shared" si="408"/>
        <v/>
      </c>
      <c r="RC19" s="700" t="str">
        <f t="shared" si="408"/>
        <v/>
      </c>
      <c r="RD19" s="701" t="str">
        <f t="shared" si="408"/>
        <v/>
      </c>
      <c r="RE19" s="699">
        <f t="shared" si="408"/>
        <v>0.2918767670290594</v>
      </c>
      <c r="RF19" s="700" t="str">
        <f t="shared" si="408"/>
        <v/>
      </c>
      <c r="RG19" s="700" t="str">
        <f t="shared" si="408"/>
        <v/>
      </c>
      <c r="RH19" s="700" t="str">
        <f t="shared" si="408"/>
        <v/>
      </c>
      <c r="RI19" s="700" t="str">
        <f t="shared" si="408"/>
        <v/>
      </c>
      <c r="RJ19" s="700" t="str">
        <f t="shared" si="408"/>
        <v/>
      </c>
      <c r="RK19" s="700" t="str">
        <f t="shared" si="408"/>
        <v/>
      </c>
      <c r="RL19" s="700" t="str">
        <f t="shared" si="408"/>
        <v/>
      </c>
      <c r="RM19" s="700" t="str">
        <f t="shared" ref="RM19:TX19" si="409">IFERROR(AVERAGE(RM8:RM17),"")</f>
        <v/>
      </c>
      <c r="RN19" s="700" t="str">
        <f t="shared" si="409"/>
        <v/>
      </c>
      <c r="RO19" s="700" t="str">
        <f t="shared" si="409"/>
        <v/>
      </c>
      <c r="RP19" s="700" t="str">
        <f t="shared" si="409"/>
        <v/>
      </c>
      <c r="RQ19" s="700" t="str">
        <f t="shared" si="409"/>
        <v/>
      </c>
      <c r="RR19" s="700" t="str">
        <f t="shared" si="409"/>
        <v/>
      </c>
      <c r="RS19" s="700" t="str">
        <f t="shared" si="409"/>
        <v/>
      </c>
      <c r="RT19" s="700" t="str">
        <f t="shared" si="409"/>
        <v/>
      </c>
      <c r="RU19" s="700" t="str">
        <f t="shared" si="409"/>
        <v/>
      </c>
      <c r="RV19" s="700" t="str">
        <f t="shared" si="409"/>
        <v/>
      </c>
      <c r="RW19" s="700" t="str">
        <f t="shared" si="409"/>
        <v/>
      </c>
      <c r="RX19" s="701" t="str">
        <f t="shared" si="409"/>
        <v/>
      </c>
      <c r="RY19" s="699">
        <f t="shared" si="409"/>
        <v>0.27141753397264007</v>
      </c>
      <c r="RZ19" s="700" t="str">
        <f t="shared" si="409"/>
        <v/>
      </c>
      <c r="SA19" s="700" t="str">
        <f t="shared" si="409"/>
        <v/>
      </c>
      <c r="SB19" s="700" t="str">
        <f t="shared" si="409"/>
        <v/>
      </c>
      <c r="SC19" s="700" t="str">
        <f t="shared" si="409"/>
        <v/>
      </c>
      <c r="SD19" s="700" t="str">
        <f t="shared" si="409"/>
        <v/>
      </c>
      <c r="SE19" s="700" t="str">
        <f t="shared" si="409"/>
        <v/>
      </c>
      <c r="SF19" s="700" t="str">
        <f t="shared" si="409"/>
        <v/>
      </c>
      <c r="SG19" s="700" t="str">
        <f t="shared" si="409"/>
        <v/>
      </c>
      <c r="SH19" s="700" t="str">
        <f t="shared" si="409"/>
        <v/>
      </c>
      <c r="SI19" s="700" t="str">
        <f t="shared" si="409"/>
        <v/>
      </c>
      <c r="SJ19" s="700" t="str">
        <f t="shared" si="409"/>
        <v/>
      </c>
      <c r="SK19" s="700" t="str">
        <f t="shared" si="409"/>
        <v/>
      </c>
      <c r="SL19" s="700" t="str">
        <f t="shared" si="409"/>
        <v/>
      </c>
      <c r="SM19" s="700" t="str">
        <f t="shared" si="409"/>
        <v/>
      </c>
      <c r="SN19" s="700" t="str">
        <f t="shared" si="409"/>
        <v/>
      </c>
      <c r="SO19" s="700" t="str">
        <f t="shared" si="409"/>
        <v/>
      </c>
      <c r="SP19" s="700" t="str">
        <f t="shared" si="409"/>
        <v/>
      </c>
      <c r="SQ19" s="700" t="str">
        <f t="shared" si="409"/>
        <v/>
      </c>
      <c r="SR19" s="701" t="str">
        <f t="shared" si="409"/>
        <v/>
      </c>
      <c r="SS19" s="699">
        <f t="shared" si="409"/>
        <v>0.24626221966647499</v>
      </c>
      <c r="ST19" s="700" t="str">
        <f t="shared" si="409"/>
        <v/>
      </c>
      <c r="SU19" s="700" t="str">
        <f t="shared" si="409"/>
        <v/>
      </c>
      <c r="SV19" s="700" t="str">
        <f t="shared" si="409"/>
        <v/>
      </c>
      <c r="SW19" s="700" t="str">
        <f t="shared" si="409"/>
        <v/>
      </c>
      <c r="SX19" s="700" t="str">
        <f t="shared" si="409"/>
        <v/>
      </c>
      <c r="SY19" s="700" t="str">
        <f t="shared" si="409"/>
        <v/>
      </c>
      <c r="SZ19" s="700" t="str">
        <f t="shared" si="409"/>
        <v/>
      </c>
      <c r="TA19" s="700" t="str">
        <f t="shared" si="409"/>
        <v/>
      </c>
      <c r="TB19" s="700" t="str">
        <f t="shared" si="409"/>
        <v/>
      </c>
      <c r="TC19" s="700" t="str">
        <f t="shared" si="409"/>
        <v/>
      </c>
      <c r="TD19" s="700" t="str">
        <f t="shared" si="409"/>
        <v/>
      </c>
      <c r="TE19" s="700" t="str">
        <f t="shared" si="409"/>
        <v/>
      </c>
      <c r="TF19" s="700" t="str">
        <f t="shared" si="409"/>
        <v/>
      </c>
      <c r="TG19" s="700" t="str">
        <f t="shared" si="409"/>
        <v/>
      </c>
      <c r="TH19" s="700" t="str">
        <f t="shared" si="409"/>
        <v/>
      </c>
      <c r="TI19" s="700" t="str">
        <f t="shared" si="409"/>
        <v/>
      </c>
      <c r="TJ19" s="700" t="str">
        <f t="shared" si="409"/>
        <v/>
      </c>
      <c r="TK19" s="700" t="str">
        <f t="shared" si="409"/>
        <v/>
      </c>
      <c r="TL19" s="701" t="str">
        <f t="shared" si="409"/>
        <v/>
      </c>
      <c r="TM19" s="111">
        <f t="shared" si="409"/>
        <v>705152.77777777775</v>
      </c>
      <c r="TN19" s="112" t="str">
        <f t="shared" si="409"/>
        <v/>
      </c>
      <c r="TO19" s="112" t="str">
        <f t="shared" si="409"/>
        <v/>
      </c>
      <c r="TP19" s="112" t="str">
        <f t="shared" si="409"/>
        <v/>
      </c>
      <c r="TQ19" s="112" t="str">
        <f t="shared" si="409"/>
        <v/>
      </c>
      <c r="TR19" s="112" t="str">
        <f t="shared" si="409"/>
        <v/>
      </c>
      <c r="TS19" s="112" t="str">
        <f t="shared" si="409"/>
        <v/>
      </c>
      <c r="TT19" s="112" t="str">
        <f t="shared" si="409"/>
        <v/>
      </c>
      <c r="TU19" s="112" t="str">
        <f t="shared" si="409"/>
        <v/>
      </c>
      <c r="TV19" s="112" t="str">
        <f t="shared" si="409"/>
        <v/>
      </c>
      <c r="TW19" s="112" t="str">
        <f t="shared" si="409"/>
        <v/>
      </c>
      <c r="TX19" s="112" t="str">
        <f t="shared" si="409"/>
        <v/>
      </c>
      <c r="TY19" s="112" t="str">
        <f t="shared" ref="TY19:WN19" si="410">IFERROR(AVERAGE(TY8:TY17),"")</f>
        <v/>
      </c>
      <c r="TZ19" s="112" t="str">
        <f t="shared" si="410"/>
        <v/>
      </c>
      <c r="UA19" s="112" t="str">
        <f t="shared" si="410"/>
        <v/>
      </c>
      <c r="UB19" s="112" t="str">
        <f t="shared" si="410"/>
        <v/>
      </c>
      <c r="UC19" s="112" t="str">
        <f t="shared" si="410"/>
        <v/>
      </c>
      <c r="UD19" s="112" t="str">
        <f t="shared" si="410"/>
        <v/>
      </c>
      <c r="UE19" s="112" t="str">
        <f t="shared" si="410"/>
        <v/>
      </c>
      <c r="UF19" s="113" t="str">
        <f t="shared" si="410"/>
        <v/>
      </c>
      <c r="UG19" s="111">
        <f t="shared" si="410"/>
        <v>63548.611111111109</v>
      </c>
      <c r="UH19" s="112" t="str">
        <f t="shared" si="410"/>
        <v/>
      </c>
      <c r="UI19" s="112" t="str">
        <f t="shared" si="410"/>
        <v/>
      </c>
      <c r="UJ19" s="112" t="str">
        <f t="shared" si="410"/>
        <v/>
      </c>
      <c r="UK19" s="112" t="str">
        <f t="shared" si="410"/>
        <v/>
      </c>
      <c r="UL19" s="112" t="str">
        <f t="shared" si="410"/>
        <v/>
      </c>
      <c r="UM19" s="112" t="str">
        <f t="shared" si="410"/>
        <v/>
      </c>
      <c r="UN19" s="112" t="str">
        <f t="shared" si="410"/>
        <v/>
      </c>
      <c r="UO19" s="112" t="str">
        <f t="shared" si="410"/>
        <v/>
      </c>
      <c r="UP19" s="112" t="str">
        <f t="shared" si="410"/>
        <v/>
      </c>
      <c r="UQ19" s="112" t="str">
        <f t="shared" si="410"/>
        <v/>
      </c>
      <c r="UR19" s="112" t="str">
        <f t="shared" si="410"/>
        <v/>
      </c>
      <c r="US19" s="112" t="str">
        <f t="shared" si="410"/>
        <v/>
      </c>
      <c r="UT19" s="112" t="str">
        <f t="shared" si="410"/>
        <v/>
      </c>
      <c r="UU19" s="112" t="str">
        <f t="shared" si="410"/>
        <v/>
      </c>
      <c r="UV19" s="112" t="str">
        <f t="shared" si="410"/>
        <v/>
      </c>
      <c r="UW19" s="112" t="str">
        <f t="shared" si="410"/>
        <v/>
      </c>
      <c r="UX19" s="112" t="str">
        <f t="shared" si="410"/>
        <v/>
      </c>
      <c r="UY19" s="112" t="str">
        <f t="shared" si="410"/>
        <v/>
      </c>
      <c r="UZ19" s="113" t="str">
        <f t="shared" si="410"/>
        <v/>
      </c>
      <c r="VA19" s="111">
        <f t="shared" si="410"/>
        <v>63284.722222222219</v>
      </c>
      <c r="VB19" s="112" t="str">
        <f t="shared" si="410"/>
        <v/>
      </c>
      <c r="VC19" s="112" t="str">
        <f t="shared" si="410"/>
        <v/>
      </c>
      <c r="VD19" s="112" t="str">
        <f t="shared" si="410"/>
        <v/>
      </c>
      <c r="VE19" s="112" t="str">
        <f t="shared" si="410"/>
        <v/>
      </c>
      <c r="VF19" s="112" t="str">
        <f t="shared" si="410"/>
        <v/>
      </c>
      <c r="VG19" s="112" t="str">
        <f t="shared" si="410"/>
        <v/>
      </c>
      <c r="VH19" s="112" t="str">
        <f t="shared" si="410"/>
        <v/>
      </c>
      <c r="VI19" s="112" t="str">
        <f t="shared" si="410"/>
        <v/>
      </c>
      <c r="VJ19" s="112" t="str">
        <f t="shared" si="410"/>
        <v/>
      </c>
      <c r="VK19" s="112" t="str">
        <f t="shared" si="410"/>
        <v/>
      </c>
      <c r="VL19" s="112" t="str">
        <f t="shared" si="410"/>
        <v/>
      </c>
      <c r="VM19" s="112" t="str">
        <f t="shared" si="410"/>
        <v/>
      </c>
      <c r="VN19" s="112" t="str">
        <f t="shared" si="410"/>
        <v/>
      </c>
      <c r="VO19" s="112" t="str">
        <f t="shared" si="410"/>
        <v/>
      </c>
      <c r="VP19" s="112" t="str">
        <f t="shared" si="410"/>
        <v/>
      </c>
      <c r="VQ19" s="112" t="str">
        <f t="shared" si="410"/>
        <v/>
      </c>
      <c r="VR19" s="112" t="str">
        <f t="shared" si="410"/>
        <v/>
      </c>
      <c r="VS19" s="112" t="str">
        <f t="shared" si="410"/>
        <v/>
      </c>
      <c r="VT19" s="113" t="str">
        <f t="shared" si="410"/>
        <v/>
      </c>
      <c r="VU19" s="111">
        <f t="shared" si="410"/>
        <v>0</v>
      </c>
      <c r="VV19" s="112" t="str">
        <f t="shared" si="410"/>
        <v/>
      </c>
      <c r="VW19" s="112" t="str">
        <f t="shared" si="410"/>
        <v/>
      </c>
      <c r="VX19" s="112" t="str">
        <f t="shared" si="410"/>
        <v/>
      </c>
      <c r="VY19" s="112" t="str">
        <f t="shared" si="410"/>
        <v/>
      </c>
      <c r="VZ19" s="112" t="str">
        <f t="shared" si="410"/>
        <v/>
      </c>
      <c r="WA19" s="112" t="str">
        <f t="shared" si="410"/>
        <v/>
      </c>
      <c r="WB19" s="112" t="str">
        <f t="shared" si="410"/>
        <v/>
      </c>
      <c r="WC19" s="112" t="str">
        <f t="shared" si="410"/>
        <v/>
      </c>
      <c r="WD19" s="112" t="str">
        <f t="shared" si="410"/>
        <v/>
      </c>
      <c r="WE19" s="112" t="str">
        <f t="shared" si="410"/>
        <v/>
      </c>
      <c r="WF19" s="112" t="str">
        <f t="shared" si="410"/>
        <v/>
      </c>
      <c r="WG19" s="112" t="str">
        <f t="shared" si="410"/>
        <v/>
      </c>
      <c r="WH19" s="112" t="str">
        <f t="shared" si="410"/>
        <v/>
      </c>
      <c r="WI19" s="112" t="str">
        <f t="shared" si="410"/>
        <v/>
      </c>
      <c r="WJ19" s="112" t="str">
        <f t="shared" si="410"/>
        <v/>
      </c>
      <c r="WK19" s="112" t="str">
        <f t="shared" si="410"/>
        <v/>
      </c>
      <c r="WL19" s="112" t="str">
        <f t="shared" si="410"/>
        <v/>
      </c>
      <c r="WM19" s="112" t="str">
        <f t="shared" si="410"/>
        <v/>
      </c>
      <c r="WN19" s="113" t="str">
        <f t="shared" si="410"/>
        <v/>
      </c>
      <c r="WO19" s="111">
        <f t="shared" ref="WO19:XH19" si="411">IFERROR(AVERAGE(WO8:WO17),"")</f>
        <v>567.70000000000005</v>
      </c>
      <c r="WP19" s="112" t="str">
        <f t="shared" si="411"/>
        <v/>
      </c>
      <c r="WQ19" s="112" t="str">
        <f t="shared" si="411"/>
        <v/>
      </c>
      <c r="WR19" s="112" t="str">
        <f t="shared" si="411"/>
        <v/>
      </c>
      <c r="WS19" s="112" t="str">
        <f t="shared" si="411"/>
        <v/>
      </c>
      <c r="WT19" s="112" t="str">
        <f t="shared" si="411"/>
        <v/>
      </c>
      <c r="WU19" s="112" t="str">
        <f t="shared" si="411"/>
        <v/>
      </c>
      <c r="WV19" s="112" t="str">
        <f t="shared" si="411"/>
        <v/>
      </c>
      <c r="WW19" s="112" t="str">
        <f t="shared" si="411"/>
        <v/>
      </c>
      <c r="WX19" s="112" t="str">
        <f t="shared" si="411"/>
        <v/>
      </c>
      <c r="WY19" s="112" t="str">
        <f t="shared" si="411"/>
        <v/>
      </c>
      <c r="WZ19" s="112" t="str">
        <f t="shared" si="411"/>
        <v/>
      </c>
      <c r="XA19" s="112" t="str">
        <f t="shared" si="411"/>
        <v/>
      </c>
      <c r="XB19" s="112" t="str">
        <f t="shared" si="411"/>
        <v/>
      </c>
      <c r="XC19" s="112" t="str">
        <f t="shared" si="411"/>
        <v/>
      </c>
      <c r="XD19" s="112" t="str">
        <f t="shared" si="411"/>
        <v/>
      </c>
      <c r="XE19" s="112" t="str">
        <f t="shared" si="411"/>
        <v/>
      </c>
      <c r="XF19" s="112" t="str">
        <f t="shared" si="411"/>
        <v/>
      </c>
      <c r="XG19" s="112" t="str">
        <f t="shared" si="411"/>
        <v/>
      </c>
      <c r="XH19" s="113" t="str">
        <f t="shared" si="411"/>
        <v/>
      </c>
      <c r="XI19" s="699">
        <f t="shared" ref="XI19:YV19" si="412">IFERROR(AVERAGE(XI8:XI17),"")</f>
        <v>0.174377</v>
      </c>
      <c r="XJ19" s="700" t="str">
        <f t="shared" si="412"/>
        <v/>
      </c>
      <c r="XK19" s="700" t="str">
        <f t="shared" si="412"/>
        <v/>
      </c>
      <c r="XL19" s="700" t="str">
        <f t="shared" si="412"/>
        <v/>
      </c>
      <c r="XM19" s="700" t="str">
        <f t="shared" si="412"/>
        <v/>
      </c>
      <c r="XN19" s="700" t="str">
        <f t="shared" si="412"/>
        <v/>
      </c>
      <c r="XO19" s="700" t="str">
        <f t="shared" si="412"/>
        <v/>
      </c>
      <c r="XP19" s="700" t="str">
        <f t="shared" si="412"/>
        <v/>
      </c>
      <c r="XQ19" s="700" t="str">
        <f t="shared" si="412"/>
        <v/>
      </c>
      <c r="XR19" s="700" t="str">
        <f t="shared" si="412"/>
        <v/>
      </c>
      <c r="XS19" s="700" t="str">
        <f t="shared" si="412"/>
        <v/>
      </c>
      <c r="XT19" s="700" t="str">
        <f t="shared" si="412"/>
        <v/>
      </c>
      <c r="XU19" s="700" t="str">
        <f t="shared" si="412"/>
        <v/>
      </c>
      <c r="XV19" s="700" t="str">
        <f t="shared" si="412"/>
        <v/>
      </c>
      <c r="XW19" s="700" t="str">
        <f t="shared" si="412"/>
        <v/>
      </c>
      <c r="XX19" s="700" t="str">
        <f t="shared" si="412"/>
        <v/>
      </c>
      <c r="XY19" s="700" t="str">
        <f t="shared" si="412"/>
        <v/>
      </c>
      <c r="XZ19" s="700" t="str">
        <f t="shared" si="412"/>
        <v/>
      </c>
      <c r="YA19" s="700" t="str">
        <f t="shared" si="412"/>
        <v/>
      </c>
      <c r="YB19" s="701" t="str">
        <f t="shared" si="412"/>
        <v/>
      </c>
      <c r="YC19" s="111">
        <f t="shared" si="412"/>
        <v>248912.62229999999</v>
      </c>
      <c r="YD19" s="112" t="str">
        <f t="shared" si="412"/>
        <v/>
      </c>
      <c r="YE19" s="112" t="str">
        <f t="shared" si="412"/>
        <v/>
      </c>
      <c r="YF19" s="112" t="str">
        <f t="shared" si="412"/>
        <v/>
      </c>
      <c r="YG19" s="112" t="str">
        <f t="shared" si="412"/>
        <v/>
      </c>
      <c r="YH19" s="112" t="str">
        <f t="shared" si="412"/>
        <v/>
      </c>
      <c r="YI19" s="112" t="str">
        <f t="shared" si="412"/>
        <v/>
      </c>
      <c r="YJ19" s="112" t="str">
        <f t="shared" si="412"/>
        <v/>
      </c>
      <c r="YK19" s="112" t="str">
        <f t="shared" si="412"/>
        <v/>
      </c>
      <c r="YL19" s="112" t="str">
        <f t="shared" si="412"/>
        <v/>
      </c>
      <c r="YM19" s="112" t="str">
        <f t="shared" si="412"/>
        <v/>
      </c>
      <c r="YN19" s="112" t="str">
        <f t="shared" si="412"/>
        <v/>
      </c>
      <c r="YO19" s="112" t="str">
        <f t="shared" si="412"/>
        <v/>
      </c>
      <c r="YP19" s="112" t="str">
        <f t="shared" si="412"/>
        <v/>
      </c>
      <c r="YQ19" s="112" t="str">
        <f t="shared" si="412"/>
        <v/>
      </c>
      <c r="YR19" s="112" t="str">
        <f t="shared" si="412"/>
        <v/>
      </c>
      <c r="YS19" s="112" t="str">
        <f t="shared" si="412"/>
        <v/>
      </c>
      <c r="YT19" s="112" t="str">
        <f t="shared" si="412"/>
        <v/>
      </c>
      <c r="YU19" s="112" t="str">
        <f t="shared" si="412"/>
        <v/>
      </c>
      <c r="YV19" s="113" t="str">
        <f t="shared" si="412"/>
        <v/>
      </c>
      <c r="YW19" s="699">
        <f t="shared" ref="YW19:ZP19" si="413">IFERROR(AVERAGE(YW8:YW17),"")</f>
        <v>0.62307779377886319</v>
      </c>
      <c r="YX19" s="700" t="str">
        <f t="shared" si="413"/>
        <v/>
      </c>
      <c r="YY19" s="700" t="str">
        <f t="shared" si="413"/>
        <v/>
      </c>
      <c r="YZ19" s="700" t="str">
        <f t="shared" si="413"/>
        <v/>
      </c>
      <c r="ZA19" s="700" t="str">
        <f t="shared" si="413"/>
        <v/>
      </c>
      <c r="ZB19" s="700" t="str">
        <f t="shared" si="413"/>
        <v/>
      </c>
      <c r="ZC19" s="700" t="str">
        <f t="shared" si="413"/>
        <v/>
      </c>
      <c r="ZD19" s="700" t="str">
        <f t="shared" si="413"/>
        <v/>
      </c>
      <c r="ZE19" s="700" t="str">
        <f t="shared" si="413"/>
        <v/>
      </c>
      <c r="ZF19" s="700" t="str">
        <f t="shared" si="413"/>
        <v/>
      </c>
      <c r="ZG19" s="700" t="str">
        <f t="shared" si="413"/>
        <v/>
      </c>
      <c r="ZH19" s="700" t="str">
        <f t="shared" si="413"/>
        <v/>
      </c>
      <c r="ZI19" s="700" t="str">
        <f t="shared" si="413"/>
        <v/>
      </c>
      <c r="ZJ19" s="700" t="str">
        <f t="shared" si="413"/>
        <v/>
      </c>
      <c r="ZK19" s="700" t="str">
        <f t="shared" si="413"/>
        <v/>
      </c>
      <c r="ZL19" s="700" t="str">
        <f t="shared" si="413"/>
        <v/>
      </c>
      <c r="ZM19" s="700" t="str">
        <f t="shared" si="413"/>
        <v/>
      </c>
      <c r="ZN19" s="700" t="str">
        <f t="shared" si="413"/>
        <v/>
      </c>
      <c r="ZO19" s="700" t="str">
        <f t="shared" si="413"/>
        <v/>
      </c>
      <c r="ZP19" s="701" t="str">
        <f t="shared" si="413"/>
        <v/>
      </c>
      <c r="ZQ19" s="699">
        <f t="shared" ref="ZQ19:ABD19" si="414">IFERROR(AVERAGE(ZQ8:ZQ17),"")</f>
        <v>0.18332936675027003</v>
      </c>
      <c r="ZR19" s="700" t="str">
        <f t="shared" si="414"/>
        <v/>
      </c>
      <c r="ZS19" s="700" t="str">
        <f t="shared" si="414"/>
        <v/>
      </c>
      <c r="ZT19" s="700" t="str">
        <f t="shared" si="414"/>
        <v/>
      </c>
      <c r="ZU19" s="700" t="str">
        <f t="shared" si="414"/>
        <v/>
      </c>
      <c r="ZV19" s="700" t="str">
        <f t="shared" si="414"/>
        <v/>
      </c>
      <c r="ZW19" s="700" t="str">
        <f t="shared" si="414"/>
        <v/>
      </c>
      <c r="ZX19" s="700" t="str">
        <f t="shared" si="414"/>
        <v/>
      </c>
      <c r="ZY19" s="700" t="str">
        <f t="shared" si="414"/>
        <v/>
      </c>
      <c r="ZZ19" s="700" t="str">
        <f t="shared" si="414"/>
        <v/>
      </c>
      <c r="AAA19" s="700" t="str">
        <f t="shared" si="414"/>
        <v/>
      </c>
      <c r="AAB19" s="700" t="str">
        <f t="shared" si="414"/>
        <v/>
      </c>
      <c r="AAC19" s="700" t="str">
        <f t="shared" si="414"/>
        <v/>
      </c>
      <c r="AAD19" s="700" t="str">
        <f t="shared" si="414"/>
        <v/>
      </c>
      <c r="AAE19" s="700" t="str">
        <f t="shared" si="414"/>
        <v/>
      </c>
      <c r="AAF19" s="700" t="str">
        <f t="shared" si="414"/>
        <v/>
      </c>
      <c r="AAG19" s="700" t="str">
        <f t="shared" si="414"/>
        <v/>
      </c>
      <c r="AAH19" s="700" t="str">
        <f t="shared" si="414"/>
        <v/>
      </c>
      <c r="AAI19" s="700" t="str">
        <f t="shared" si="414"/>
        <v/>
      </c>
      <c r="AAJ19" s="701" t="str">
        <f t="shared" si="414"/>
        <v/>
      </c>
      <c r="AAK19" s="624">
        <f t="shared" si="414"/>
        <v>8.5492915095311695</v>
      </c>
      <c r="AAL19" s="625" t="str">
        <f t="shared" si="414"/>
        <v/>
      </c>
      <c r="AAM19" s="625" t="str">
        <f t="shared" si="414"/>
        <v/>
      </c>
      <c r="AAN19" s="625" t="str">
        <f t="shared" si="414"/>
        <v/>
      </c>
      <c r="AAO19" s="625" t="str">
        <f t="shared" si="414"/>
        <v/>
      </c>
      <c r="AAP19" s="625" t="str">
        <f t="shared" si="414"/>
        <v/>
      </c>
      <c r="AAQ19" s="625" t="str">
        <f t="shared" si="414"/>
        <v/>
      </c>
      <c r="AAR19" s="625" t="str">
        <f t="shared" si="414"/>
        <v/>
      </c>
      <c r="AAS19" s="625" t="str">
        <f t="shared" si="414"/>
        <v/>
      </c>
      <c r="AAT19" s="625" t="str">
        <f t="shared" si="414"/>
        <v/>
      </c>
      <c r="AAU19" s="625" t="str">
        <f t="shared" si="414"/>
        <v/>
      </c>
      <c r="AAV19" s="625" t="str">
        <f t="shared" si="414"/>
        <v/>
      </c>
      <c r="AAW19" s="625" t="str">
        <f t="shared" si="414"/>
        <v/>
      </c>
      <c r="AAX19" s="625" t="str">
        <f t="shared" si="414"/>
        <v/>
      </c>
      <c r="AAY19" s="625" t="str">
        <f t="shared" si="414"/>
        <v/>
      </c>
      <c r="AAZ19" s="625" t="str">
        <f t="shared" si="414"/>
        <v/>
      </c>
      <c r="ABA19" s="625" t="str">
        <f t="shared" si="414"/>
        <v/>
      </c>
      <c r="ABB19" s="625" t="str">
        <f t="shared" si="414"/>
        <v/>
      </c>
      <c r="ABC19" s="625" t="str">
        <f t="shared" si="414"/>
        <v/>
      </c>
      <c r="ABD19" s="626" t="str">
        <f t="shared" si="414"/>
        <v/>
      </c>
      <c r="ABE19" s="699">
        <f t="shared" ref="ABE19:ACR19" si="415">IFERROR(AVERAGE(ABE8:ABE17),"")</f>
        <v>0.93601453124732248</v>
      </c>
      <c r="ABF19" s="700" t="str">
        <f t="shared" si="415"/>
        <v/>
      </c>
      <c r="ABG19" s="700" t="str">
        <f t="shared" si="415"/>
        <v/>
      </c>
      <c r="ABH19" s="700" t="str">
        <f t="shared" si="415"/>
        <v/>
      </c>
      <c r="ABI19" s="700" t="str">
        <f t="shared" si="415"/>
        <v/>
      </c>
      <c r="ABJ19" s="700" t="str">
        <f t="shared" si="415"/>
        <v/>
      </c>
      <c r="ABK19" s="700" t="str">
        <f t="shared" si="415"/>
        <v/>
      </c>
      <c r="ABL19" s="700" t="str">
        <f t="shared" si="415"/>
        <v/>
      </c>
      <c r="ABM19" s="700" t="str">
        <f t="shared" si="415"/>
        <v/>
      </c>
      <c r="ABN19" s="700" t="str">
        <f t="shared" si="415"/>
        <v/>
      </c>
      <c r="ABO19" s="700" t="str">
        <f t="shared" si="415"/>
        <v/>
      </c>
      <c r="ABP19" s="700" t="str">
        <f t="shared" si="415"/>
        <v/>
      </c>
      <c r="ABQ19" s="700" t="str">
        <f t="shared" si="415"/>
        <v/>
      </c>
      <c r="ABR19" s="700" t="str">
        <f t="shared" si="415"/>
        <v/>
      </c>
      <c r="ABS19" s="700" t="str">
        <f t="shared" si="415"/>
        <v/>
      </c>
      <c r="ABT19" s="700" t="str">
        <f t="shared" si="415"/>
        <v/>
      </c>
      <c r="ABU19" s="700" t="str">
        <f t="shared" si="415"/>
        <v/>
      </c>
      <c r="ABV19" s="700" t="str">
        <f t="shared" si="415"/>
        <v/>
      </c>
      <c r="ABW19" s="700" t="str">
        <f t="shared" si="415"/>
        <v/>
      </c>
      <c r="ABX19" s="701" t="str">
        <f t="shared" si="415"/>
        <v/>
      </c>
      <c r="ABY19" s="108">
        <f t="shared" si="415"/>
        <v>7.8315599999999996</v>
      </c>
      <c r="ABZ19" s="109" t="str">
        <f t="shared" si="415"/>
        <v/>
      </c>
      <c r="ACA19" s="109" t="str">
        <f t="shared" si="415"/>
        <v/>
      </c>
      <c r="ACB19" s="109" t="str">
        <f t="shared" si="415"/>
        <v/>
      </c>
      <c r="ACC19" s="109" t="str">
        <f t="shared" si="415"/>
        <v/>
      </c>
      <c r="ACD19" s="109" t="str">
        <f t="shared" si="415"/>
        <v/>
      </c>
      <c r="ACE19" s="109" t="str">
        <f t="shared" si="415"/>
        <v/>
      </c>
      <c r="ACF19" s="109" t="str">
        <f t="shared" si="415"/>
        <v/>
      </c>
      <c r="ACG19" s="109" t="str">
        <f t="shared" si="415"/>
        <v/>
      </c>
      <c r="ACH19" s="109" t="str">
        <f t="shared" si="415"/>
        <v/>
      </c>
      <c r="ACI19" s="109" t="str">
        <f t="shared" si="415"/>
        <v/>
      </c>
      <c r="ACJ19" s="109" t="str">
        <f t="shared" si="415"/>
        <v/>
      </c>
      <c r="ACK19" s="109" t="str">
        <f t="shared" si="415"/>
        <v/>
      </c>
      <c r="ACL19" s="109" t="str">
        <f t="shared" si="415"/>
        <v/>
      </c>
      <c r="ACM19" s="109" t="str">
        <f t="shared" si="415"/>
        <v/>
      </c>
      <c r="ACN19" s="109" t="str">
        <f t="shared" si="415"/>
        <v/>
      </c>
      <c r="ACO19" s="109" t="str">
        <f t="shared" si="415"/>
        <v/>
      </c>
      <c r="ACP19" s="109" t="str">
        <f t="shared" si="415"/>
        <v/>
      </c>
      <c r="ACQ19" s="109" t="str">
        <f t="shared" si="415"/>
        <v/>
      </c>
      <c r="ACR19" s="110" t="str">
        <f t="shared" si="415"/>
        <v/>
      </c>
    </row>
    <row r="20" spans="1:772" ht="15" customHeight="1" x14ac:dyDescent="0.2">
      <c r="A20" s="99" t="s">
        <v>78</v>
      </c>
      <c r="B20" s="100"/>
      <c r="C20" s="100"/>
      <c r="D20" s="100"/>
      <c r="E20" s="101"/>
      <c r="F20" s="101"/>
      <c r="G20" s="102">
        <f t="shared" ref="G20:AE20" si="416">IFERROR(IF(COUNT(G8:G17)&gt;0, MAX(G8:G17),""),"")</f>
        <v>0.61000750707397366</v>
      </c>
      <c r="H20" s="102">
        <f t="shared" si="416"/>
        <v>0.176866</v>
      </c>
      <c r="I20" s="102">
        <f t="shared" si="416"/>
        <v>0.12654400000000002</v>
      </c>
      <c r="J20" s="102">
        <f t="shared" si="416"/>
        <v>4.7117000000000006E-2</v>
      </c>
      <c r="K20" s="102">
        <f t="shared" si="416"/>
        <v>3.8417E-2</v>
      </c>
      <c r="L20" s="102">
        <f t="shared" si="416"/>
        <v>2.6225000000000002E-2</v>
      </c>
      <c r="M20" s="102">
        <f t="shared" si="416"/>
        <v>0.87345577707057875</v>
      </c>
      <c r="N20" s="102">
        <f t="shared" si="416"/>
        <v>7.9426693115275018E-2</v>
      </c>
      <c r="O20" s="102">
        <f t="shared" si="416"/>
        <v>8.776500000000001E-2</v>
      </c>
      <c r="P20" s="102">
        <f t="shared" si="416"/>
        <v>0</v>
      </c>
      <c r="Q20" s="101">
        <f t="shared" si="416"/>
        <v>3.6166806996513161</v>
      </c>
      <c r="R20" s="101">
        <f t="shared" si="416"/>
        <v>30.165371398073162</v>
      </c>
      <c r="S20" s="101">
        <f t="shared" si="416"/>
        <v>31.28054591895086</v>
      </c>
      <c r="T20" s="101">
        <f t="shared" si="416"/>
        <v>2.5015061787736208</v>
      </c>
      <c r="U20" s="102">
        <f t="shared" si="416"/>
        <v>9.344384555408658E-2</v>
      </c>
      <c r="V20" s="102">
        <f t="shared" si="416"/>
        <v>0.18411341359560507</v>
      </c>
      <c r="W20" s="102">
        <f t="shared" si="416"/>
        <v>0.3053870655033929</v>
      </c>
      <c r="X20" s="1029">
        <f t="shared" si="416"/>
        <v>3.5631499999999998</v>
      </c>
      <c r="Y20" s="1029">
        <f t="shared" si="416"/>
        <v>8.0374300000000005</v>
      </c>
      <c r="Z20" s="102">
        <f t="shared" si="416"/>
        <v>4.7245967300767293E-2</v>
      </c>
      <c r="AA20" s="101">
        <f t="shared" si="416"/>
        <v>3.2484292924091052</v>
      </c>
      <c r="AB20" s="102">
        <f t="shared" si="416"/>
        <v>3.5382149092137244E-2</v>
      </c>
      <c r="AC20" s="102">
        <f t="shared" si="416"/>
        <v>0.24818499596665769</v>
      </c>
      <c r="AD20" s="101">
        <f t="shared" si="416"/>
        <v>6.7716200000000004</v>
      </c>
      <c r="AE20" s="103">
        <f t="shared" si="416"/>
        <v>0.66174999999999995</v>
      </c>
      <c r="AF20" s="104"/>
      <c r="AG20" s="702">
        <f t="shared" ref="AG20:CR20" si="417">IFERROR(MAX(AG8:AG17),"")</f>
        <v>0.12756200000000001</v>
      </c>
      <c r="AH20" s="700">
        <f t="shared" si="417"/>
        <v>0</v>
      </c>
      <c r="AI20" s="700">
        <f t="shared" si="417"/>
        <v>0</v>
      </c>
      <c r="AJ20" s="700">
        <f t="shared" si="417"/>
        <v>0</v>
      </c>
      <c r="AK20" s="700">
        <f t="shared" si="417"/>
        <v>0</v>
      </c>
      <c r="AL20" s="700">
        <f t="shared" si="417"/>
        <v>0</v>
      </c>
      <c r="AM20" s="700">
        <f t="shared" si="417"/>
        <v>0</v>
      </c>
      <c r="AN20" s="700">
        <f t="shared" si="417"/>
        <v>0</v>
      </c>
      <c r="AO20" s="700">
        <f t="shared" si="417"/>
        <v>0</v>
      </c>
      <c r="AP20" s="700">
        <f t="shared" si="417"/>
        <v>0</v>
      </c>
      <c r="AQ20" s="700">
        <f t="shared" si="417"/>
        <v>0</v>
      </c>
      <c r="AR20" s="700">
        <f t="shared" si="417"/>
        <v>0</v>
      </c>
      <c r="AS20" s="700">
        <f t="shared" si="417"/>
        <v>0</v>
      </c>
      <c r="AT20" s="700">
        <f t="shared" si="417"/>
        <v>0</v>
      </c>
      <c r="AU20" s="700">
        <f t="shared" si="417"/>
        <v>0</v>
      </c>
      <c r="AV20" s="700">
        <f t="shared" si="417"/>
        <v>0</v>
      </c>
      <c r="AW20" s="700">
        <f t="shared" si="417"/>
        <v>0</v>
      </c>
      <c r="AX20" s="700">
        <f t="shared" si="417"/>
        <v>0</v>
      </c>
      <c r="AY20" s="700">
        <f t="shared" si="417"/>
        <v>0</v>
      </c>
      <c r="AZ20" s="701">
        <f t="shared" si="417"/>
        <v>0</v>
      </c>
      <c r="BA20" s="699">
        <f t="shared" si="417"/>
        <v>4.6349999999999995E-2</v>
      </c>
      <c r="BB20" s="700">
        <f t="shared" si="417"/>
        <v>0</v>
      </c>
      <c r="BC20" s="700">
        <f t="shared" si="417"/>
        <v>0</v>
      </c>
      <c r="BD20" s="700">
        <f t="shared" si="417"/>
        <v>0</v>
      </c>
      <c r="BE20" s="700">
        <f t="shared" si="417"/>
        <v>0</v>
      </c>
      <c r="BF20" s="700">
        <f t="shared" si="417"/>
        <v>0</v>
      </c>
      <c r="BG20" s="700">
        <f t="shared" si="417"/>
        <v>0</v>
      </c>
      <c r="BH20" s="700">
        <f t="shared" si="417"/>
        <v>0</v>
      </c>
      <c r="BI20" s="700">
        <f t="shared" si="417"/>
        <v>0</v>
      </c>
      <c r="BJ20" s="700">
        <f t="shared" si="417"/>
        <v>0</v>
      </c>
      <c r="BK20" s="700">
        <f t="shared" si="417"/>
        <v>0</v>
      </c>
      <c r="BL20" s="700">
        <f t="shared" si="417"/>
        <v>0</v>
      </c>
      <c r="BM20" s="700">
        <f t="shared" si="417"/>
        <v>0</v>
      </c>
      <c r="BN20" s="700">
        <f t="shared" si="417"/>
        <v>0</v>
      </c>
      <c r="BO20" s="700">
        <f t="shared" si="417"/>
        <v>0</v>
      </c>
      <c r="BP20" s="700">
        <f t="shared" si="417"/>
        <v>0</v>
      </c>
      <c r="BQ20" s="700">
        <f t="shared" si="417"/>
        <v>0</v>
      </c>
      <c r="BR20" s="700">
        <f t="shared" si="417"/>
        <v>0</v>
      </c>
      <c r="BS20" s="700">
        <f t="shared" si="417"/>
        <v>0</v>
      </c>
      <c r="BT20" s="701">
        <f t="shared" si="417"/>
        <v>0</v>
      </c>
      <c r="BU20" s="699">
        <f t="shared" si="417"/>
        <v>3.7442000000000003E-2</v>
      </c>
      <c r="BV20" s="700">
        <f t="shared" si="417"/>
        <v>0</v>
      </c>
      <c r="BW20" s="700">
        <f t="shared" si="417"/>
        <v>0</v>
      </c>
      <c r="BX20" s="700">
        <f t="shared" si="417"/>
        <v>0</v>
      </c>
      <c r="BY20" s="700">
        <f t="shared" si="417"/>
        <v>0</v>
      </c>
      <c r="BZ20" s="700">
        <f t="shared" si="417"/>
        <v>0</v>
      </c>
      <c r="CA20" s="700">
        <f t="shared" si="417"/>
        <v>0</v>
      </c>
      <c r="CB20" s="700">
        <f t="shared" si="417"/>
        <v>0</v>
      </c>
      <c r="CC20" s="700">
        <f t="shared" si="417"/>
        <v>0</v>
      </c>
      <c r="CD20" s="700">
        <f t="shared" si="417"/>
        <v>0</v>
      </c>
      <c r="CE20" s="700">
        <f t="shared" si="417"/>
        <v>0</v>
      </c>
      <c r="CF20" s="700">
        <f t="shared" si="417"/>
        <v>0</v>
      </c>
      <c r="CG20" s="700">
        <f t="shared" si="417"/>
        <v>0</v>
      </c>
      <c r="CH20" s="700">
        <f t="shared" si="417"/>
        <v>0</v>
      </c>
      <c r="CI20" s="700">
        <f t="shared" si="417"/>
        <v>0</v>
      </c>
      <c r="CJ20" s="700">
        <f t="shared" si="417"/>
        <v>0</v>
      </c>
      <c r="CK20" s="700">
        <f t="shared" si="417"/>
        <v>0</v>
      </c>
      <c r="CL20" s="700">
        <f t="shared" si="417"/>
        <v>0</v>
      </c>
      <c r="CM20" s="700">
        <f t="shared" si="417"/>
        <v>0</v>
      </c>
      <c r="CN20" s="701">
        <f t="shared" si="417"/>
        <v>0</v>
      </c>
      <c r="CO20" s="699">
        <f t="shared" si="417"/>
        <v>2.5432E-2</v>
      </c>
      <c r="CP20" s="700">
        <f t="shared" si="417"/>
        <v>0</v>
      </c>
      <c r="CQ20" s="700">
        <f t="shared" si="417"/>
        <v>0</v>
      </c>
      <c r="CR20" s="700">
        <f t="shared" si="417"/>
        <v>0</v>
      </c>
      <c r="CS20" s="700">
        <f t="shared" ref="CS20:FD20" si="418">IFERROR(MAX(CS8:CS17),"")</f>
        <v>0</v>
      </c>
      <c r="CT20" s="700">
        <f t="shared" si="418"/>
        <v>0</v>
      </c>
      <c r="CU20" s="700">
        <f t="shared" si="418"/>
        <v>0</v>
      </c>
      <c r="CV20" s="700">
        <f t="shared" si="418"/>
        <v>0</v>
      </c>
      <c r="CW20" s="700">
        <f t="shared" si="418"/>
        <v>0</v>
      </c>
      <c r="CX20" s="700">
        <f t="shared" si="418"/>
        <v>0</v>
      </c>
      <c r="CY20" s="700">
        <f t="shared" si="418"/>
        <v>0</v>
      </c>
      <c r="CZ20" s="700">
        <f t="shared" si="418"/>
        <v>0</v>
      </c>
      <c r="DA20" s="700">
        <f t="shared" si="418"/>
        <v>0</v>
      </c>
      <c r="DB20" s="700">
        <f t="shared" si="418"/>
        <v>0</v>
      </c>
      <c r="DC20" s="700">
        <f t="shared" si="418"/>
        <v>0</v>
      </c>
      <c r="DD20" s="700">
        <f t="shared" si="418"/>
        <v>0</v>
      </c>
      <c r="DE20" s="700">
        <f t="shared" si="418"/>
        <v>0</v>
      </c>
      <c r="DF20" s="700">
        <f t="shared" si="418"/>
        <v>0</v>
      </c>
      <c r="DG20" s="700">
        <f t="shared" si="418"/>
        <v>0</v>
      </c>
      <c r="DH20" s="701">
        <f t="shared" si="418"/>
        <v>0</v>
      </c>
      <c r="DI20" s="699">
        <f t="shared" si="418"/>
        <v>0.87243702113411203</v>
      </c>
      <c r="DJ20" s="700">
        <f t="shared" si="418"/>
        <v>0</v>
      </c>
      <c r="DK20" s="700">
        <f t="shared" si="418"/>
        <v>0</v>
      </c>
      <c r="DL20" s="700">
        <f t="shared" si="418"/>
        <v>0</v>
      </c>
      <c r="DM20" s="700">
        <f t="shared" si="418"/>
        <v>0</v>
      </c>
      <c r="DN20" s="700">
        <f t="shared" si="418"/>
        <v>0</v>
      </c>
      <c r="DO20" s="700">
        <f t="shared" si="418"/>
        <v>0</v>
      </c>
      <c r="DP20" s="700">
        <f t="shared" si="418"/>
        <v>0</v>
      </c>
      <c r="DQ20" s="700">
        <f t="shared" si="418"/>
        <v>0</v>
      </c>
      <c r="DR20" s="700">
        <f t="shared" si="418"/>
        <v>0</v>
      </c>
      <c r="DS20" s="700">
        <f t="shared" si="418"/>
        <v>0</v>
      </c>
      <c r="DT20" s="700">
        <f t="shared" si="418"/>
        <v>0</v>
      </c>
      <c r="DU20" s="700">
        <f t="shared" si="418"/>
        <v>0</v>
      </c>
      <c r="DV20" s="700">
        <f t="shared" si="418"/>
        <v>0</v>
      </c>
      <c r="DW20" s="700">
        <f t="shared" si="418"/>
        <v>0</v>
      </c>
      <c r="DX20" s="700">
        <f t="shared" si="418"/>
        <v>0</v>
      </c>
      <c r="DY20" s="700">
        <f t="shared" si="418"/>
        <v>0</v>
      </c>
      <c r="DZ20" s="700">
        <f t="shared" si="418"/>
        <v>0</v>
      </c>
      <c r="EA20" s="700">
        <f t="shared" si="418"/>
        <v>0</v>
      </c>
      <c r="EB20" s="701">
        <f t="shared" si="418"/>
        <v>0</v>
      </c>
      <c r="EC20" s="699">
        <f t="shared" si="418"/>
        <v>8.1212700163479146E-2</v>
      </c>
      <c r="ED20" s="700">
        <f t="shared" si="418"/>
        <v>0</v>
      </c>
      <c r="EE20" s="700">
        <f t="shared" si="418"/>
        <v>0</v>
      </c>
      <c r="EF20" s="700">
        <f t="shared" si="418"/>
        <v>0</v>
      </c>
      <c r="EG20" s="700">
        <f t="shared" si="418"/>
        <v>0</v>
      </c>
      <c r="EH20" s="700">
        <f t="shared" si="418"/>
        <v>0</v>
      </c>
      <c r="EI20" s="700">
        <f t="shared" si="418"/>
        <v>0</v>
      </c>
      <c r="EJ20" s="700">
        <f t="shared" si="418"/>
        <v>0</v>
      </c>
      <c r="EK20" s="700">
        <f t="shared" si="418"/>
        <v>0</v>
      </c>
      <c r="EL20" s="700">
        <f t="shared" si="418"/>
        <v>0</v>
      </c>
      <c r="EM20" s="700">
        <f t="shared" si="418"/>
        <v>0</v>
      </c>
      <c r="EN20" s="700">
        <f t="shared" si="418"/>
        <v>0</v>
      </c>
      <c r="EO20" s="700">
        <f t="shared" si="418"/>
        <v>0</v>
      </c>
      <c r="EP20" s="700">
        <f t="shared" si="418"/>
        <v>0</v>
      </c>
      <c r="EQ20" s="700">
        <f t="shared" si="418"/>
        <v>0</v>
      </c>
      <c r="ER20" s="700">
        <f t="shared" si="418"/>
        <v>0</v>
      </c>
      <c r="ES20" s="700">
        <f t="shared" si="418"/>
        <v>0</v>
      </c>
      <c r="ET20" s="700">
        <f t="shared" si="418"/>
        <v>0</v>
      </c>
      <c r="EU20" s="700">
        <f t="shared" si="418"/>
        <v>0</v>
      </c>
      <c r="EV20" s="701">
        <f t="shared" si="418"/>
        <v>0</v>
      </c>
      <c r="EW20" s="699">
        <f t="shared" si="418"/>
        <v>8.9746000000000006E-2</v>
      </c>
      <c r="EX20" s="700">
        <f t="shared" si="418"/>
        <v>0</v>
      </c>
      <c r="EY20" s="700">
        <f t="shared" si="418"/>
        <v>0</v>
      </c>
      <c r="EZ20" s="700">
        <f t="shared" si="418"/>
        <v>0</v>
      </c>
      <c r="FA20" s="700">
        <f t="shared" si="418"/>
        <v>0</v>
      </c>
      <c r="FB20" s="700">
        <f t="shared" si="418"/>
        <v>0</v>
      </c>
      <c r="FC20" s="700">
        <f t="shared" si="418"/>
        <v>0</v>
      </c>
      <c r="FD20" s="700">
        <f t="shared" si="418"/>
        <v>0</v>
      </c>
      <c r="FE20" s="700">
        <f t="shared" ref="FE20:HP20" si="419">IFERROR(MAX(FE8:FE17),"")</f>
        <v>0</v>
      </c>
      <c r="FF20" s="700">
        <f t="shared" si="419"/>
        <v>0</v>
      </c>
      <c r="FG20" s="700">
        <f t="shared" si="419"/>
        <v>0</v>
      </c>
      <c r="FH20" s="700">
        <f t="shared" si="419"/>
        <v>0</v>
      </c>
      <c r="FI20" s="700">
        <f t="shared" si="419"/>
        <v>0</v>
      </c>
      <c r="FJ20" s="700">
        <f t="shared" si="419"/>
        <v>0</v>
      </c>
      <c r="FK20" s="700">
        <f t="shared" si="419"/>
        <v>0</v>
      </c>
      <c r="FL20" s="700">
        <f t="shared" si="419"/>
        <v>0</v>
      </c>
      <c r="FM20" s="700">
        <f t="shared" si="419"/>
        <v>0</v>
      </c>
      <c r="FN20" s="700">
        <f t="shared" si="419"/>
        <v>0</v>
      </c>
      <c r="FO20" s="700">
        <f t="shared" si="419"/>
        <v>0</v>
      </c>
      <c r="FP20" s="701">
        <f t="shared" si="419"/>
        <v>0</v>
      </c>
      <c r="FQ20" s="699">
        <f t="shared" si="419"/>
        <v>0</v>
      </c>
      <c r="FR20" s="700">
        <f t="shared" si="419"/>
        <v>0</v>
      </c>
      <c r="FS20" s="700">
        <f t="shared" si="419"/>
        <v>0</v>
      </c>
      <c r="FT20" s="700">
        <f t="shared" si="419"/>
        <v>0</v>
      </c>
      <c r="FU20" s="700">
        <f t="shared" si="419"/>
        <v>0</v>
      </c>
      <c r="FV20" s="700">
        <f t="shared" si="419"/>
        <v>0</v>
      </c>
      <c r="FW20" s="700">
        <f t="shared" si="419"/>
        <v>0</v>
      </c>
      <c r="FX20" s="700">
        <f t="shared" si="419"/>
        <v>0</v>
      </c>
      <c r="FY20" s="700">
        <f t="shared" si="419"/>
        <v>0</v>
      </c>
      <c r="FZ20" s="700">
        <f t="shared" si="419"/>
        <v>0</v>
      </c>
      <c r="GA20" s="700">
        <f t="shared" si="419"/>
        <v>0</v>
      </c>
      <c r="GB20" s="700">
        <f t="shared" si="419"/>
        <v>0</v>
      </c>
      <c r="GC20" s="700">
        <f t="shared" si="419"/>
        <v>0</v>
      </c>
      <c r="GD20" s="700">
        <f t="shared" si="419"/>
        <v>0</v>
      </c>
      <c r="GE20" s="700">
        <f t="shared" si="419"/>
        <v>0</v>
      </c>
      <c r="GF20" s="700">
        <f t="shared" si="419"/>
        <v>0</v>
      </c>
      <c r="GG20" s="700">
        <f t="shared" si="419"/>
        <v>0</v>
      </c>
      <c r="GH20" s="700">
        <f t="shared" si="419"/>
        <v>0</v>
      </c>
      <c r="GI20" s="700">
        <f t="shared" si="419"/>
        <v>0</v>
      </c>
      <c r="GJ20" s="701">
        <f t="shared" si="419"/>
        <v>0</v>
      </c>
      <c r="GK20" s="598">
        <f t="shared" si="419"/>
        <v>3.2153443895136986</v>
      </c>
      <c r="GL20" s="599">
        <f t="shared" si="419"/>
        <v>0</v>
      </c>
      <c r="GM20" s="599">
        <f t="shared" si="419"/>
        <v>0</v>
      </c>
      <c r="GN20" s="599">
        <f t="shared" si="419"/>
        <v>0</v>
      </c>
      <c r="GO20" s="599">
        <f t="shared" si="419"/>
        <v>0</v>
      </c>
      <c r="GP20" s="599">
        <f t="shared" si="419"/>
        <v>0</v>
      </c>
      <c r="GQ20" s="599">
        <f t="shared" si="419"/>
        <v>0</v>
      </c>
      <c r="GR20" s="599">
        <f t="shared" si="419"/>
        <v>0</v>
      </c>
      <c r="GS20" s="599">
        <f t="shared" si="419"/>
        <v>0</v>
      </c>
      <c r="GT20" s="599">
        <f t="shared" si="419"/>
        <v>0</v>
      </c>
      <c r="GU20" s="599">
        <f t="shared" si="419"/>
        <v>0</v>
      </c>
      <c r="GV20" s="599">
        <f t="shared" si="419"/>
        <v>0</v>
      </c>
      <c r="GW20" s="599">
        <f t="shared" si="419"/>
        <v>0</v>
      </c>
      <c r="GX20" s="599">
        <f t="shared" si="419"/>
        <v>0</v>
      </c>
      <c r="GY20" s="599">
        <f t="shared" si="419"/>
        <v>0</v>
      </c>
      <c r="GZ20" s="599">
        <f t="shared" si="419"/>
        <v>0</v>
      </c>
      <c r="HA20" s="599">
        <f t="shared" si="419"/>
        <v>0</v>
      </c>
      <c r="HB20" s="599">
        <f t="shared" si="419"/>
        <v>0</v>
      </c>
      <c r="HC20" s="599">
        <f t="shared" si="419"/>
        <v>0</v>
      </c>
      <c r="HD20" s="600">
        <f t="shared" si="419"/>
        <v>0</v>
      </c>
      <c r="HE20" s="598">
        <f t="shared" si="419"/>
        <v>32.799486956619894</v>
      </c>
      <c r="HF20" s="599">
        <f t="shared" si="419"/>
        <v>0</v>
      </c>
      <c r="HG20" s="599">
        <f t="shared" si="419"/>
        <v>0</v>
      </c>
      <c r="HH20" s="599">
        <f t="shared" si="419"/>
        <v>0</v>
      </c>
      <c r="HI20" s="599">
        <f t="shared" si="419"/>
        <v>0</v>
      </c>
      <c r="HJ20" s="599">
        <f t="shared" si="419"/>
        <v>0</v>
      </c>
      <c r="HK20" s="599">
        <f t="shared" si="419"/>
        <v>0</v>
      </c>
      <c r="HL20" s="599">
        <f t="shared" si="419"/>
        <v>0</v>
      </c>
      <c r="HM20" s="599">
        <f t="shared" si="419"/>
        <v>0</v>
      </c>
      <c r="HN20" s="599">
        <f t="shared" si="419"/>
        <v>0</v>
      </c>
      <c r="HO20" s="599">
        <f t="shared" si="419"/>
        <v>0</v>
      </c>
      <c r="HP20" s="599">
        <f t="shared" si="419"/>
        <v>0</v>
      </c>
      <c r="HQ20" s="599">
        <f t="shared" ref="HQ20:KB20" si="420">IFERROR(MAX(HQ8:HQ17),"")</f>
        <v>0</v>
      </c>
      <c r="HR20" s="599">
        <f t="shared" si="420"/>
        <v>0</v>
      </c>
      <c r="HS20" s="599">
        <f t="shared" si="420"/>
        <v>0</v>
      </c>
      <c r="HT20" s="599">
        <f t="shared" si="420"/>
        <v>0</v>
      </c>
      <c r="HU20" s="599">
        <f t="shared" si="420"/>
        <v>0</v>
      </c>
      <c r="HV20" s="599">
        <f t="shared" si="420"/>
        <v>0</v>
      </c>
      <c r="HW20" s="599">
        <f t="shared" si="420"/>
        <v>0</v>
      </c>
      <c r="HX20" s="600">
        <f t="shared" si="420"/>
        <v>0</v>
      </c>
      <c r="HY20" s="598">
        <f t="shared" si="420"/>
        <v>37.673624829267737</v>
      </c>
      <c r="HZ20" s="599">
        <f t="shared" si="420"/>
        <v>0</v>
      </c>
      <c r="IA20" s="599">
        <f t="shared" si="420"/>
        <v>0</v>
      </c>
      <c r="IB20" s="599">
        <f t="shared" si="420"/>
        <v>0</v>
      </c>
      <c r="IC20" s="599">
        <f t="shared" si="420"/>
        <v>0</v>
      </c>
      <c r="ID20" s="599">
        <f t="shared" si="420"/>
        <v>0</v>
      </c>
      <c r="IE20" s="599">
        <f t="shared" si="420"/>
        <v>0</v>
      </c>
      <c r="IF20" s="599">
        <f t="shared" si="420"/>
        <v>0</v>
      </c>
      <c r="IG20" s="599">
        <f t="shared" si="420"/>
        <v>0</v>
      </c>
      <c r="IH20" s="599">
        <f t="shared" si="420"/>
        <v>0</v>
      </c>
      <c r="II20" s="599">
        <f t="shared" si="420"/>
        <v>0</v>
      </c>
      <c r="IJ20" s="599">
        <f t="shared" si="420"/>
        <v>0</v>
      </c>
      <c r="IK20" s="599">
        <f t="shared" si="420"/>
        <v>0</v>
      </c>
      <c r="IL20" s="599">
        <f t="shared" si="420"/>
        <v>0</v>
      </c>
      <c r="IM20" s="599">
        <f t="shared" si="420"/>
        <v>0</v>
      </c>
      <c r="IN20" s="599">
        <f t="shared" si="420"/>
        <v>0</v>
      </c>
      <c r="IO20" s="599">
        <f t="shared" si="420"/>
        <v>0</v>
      </c>
      <c r="IP20" s="599">
        <f t="shared" si="420"/>
        <v>0</v>
      </c>
      <c r="IQ20" s="599">
        <f t="shared" si="420"/>
        <v>0</v>
      </c>
      <c r="IR20" s="600">
        <f t="shared" si="420"/>
        <v>0</v>
      </c>
      <c r="IS20" s="598">
        <f t="shared" si="420"/>
        <v>-1.6587934831341471</v>
      </c>
      <c r="IT20" s="599">
        <f t="shared" si="420"/>
        <v>0</v>
      </c>
      <c r="IU20" s="599">
        <f t="shared" si="420"/>
        <v>0</v>
      </c>
      <c r="IV20" s="599">
        <f t="shared" si="420"/>
        <v>0</v>
      </c>
      <c r="IW20" s="599">
        <f t="shared" si="420"/>
        <v>0</v>
      </c>
      <c r="IX20" s="599">
        <f t="shared" si="420"/>
        <v>0</v>
      </c>
      <c r="IY20" s="599">
        <f t="shared" si="420"/>
        <v>0</v>
      </c>
      <c r="IZ20" s="599">
        <f t="shared" si="420"/>
        <v>0</v>
      </c>
      <c r="JA20" s="599">
        <f t="shared" si="420"/>
        <v>0</v>
      </c>
      <c r="JB20" s="599">
        <f t="shared" si="420"/>
        <v>0</v>
      </c>
      <c r="JC20" s="599">
        <f t="shared" si="420"/>
        <v>0</v>
      </c>
      <c r="JD20" s="599">
        <f t="shared" si="420"/>
        <v>0</v>
      </c>
      <c r="JE20" s="599">
        <f t="shared" si="420"/>
        <v>0</v>
      </c>
      <c r="JF20" s="599">
        <f t="shared" si="420"/>
        <v>0</v>
      </c>
      <c r="JG20" s="599">
        <f t="shared" si="420"/>
        <v>0</v>
      </c>
      <c r="JH20" s="599">
        <f t="shared" si="420"/>
        <v>0</v>
      </c>
      <c r="JI20" s="599">
        <f t="shared" si="420"/>
        <v>0</v>
      </c>
      <c r="JJ20" s="599">
        <f t="shared" si="420"/>
        <v>0</v>
      </c>
      <c r="JK20" s="599">
        <f t="shared" si="420"/>
        <v>0</v>
      </c>
      <c r="JL20" s="600">
        <f t="shared" si="420"/>
        <v>0</v>
      </c>
      <c r="JM20" s="699">
        <f t="shared" si="420"/>
        <v>4.711843375155108E-2</v>
      </c>
      <c r="JN20" s="700">
        <f t="shared" si="420"/>
        <v>0</v>
      </c>
      <c r="JO20" s="700">
        <f t="shared" si="420"/>
        <v>0</v>
      </c>
      <c r="JP20" s="700">
        <f t="shared" si="420"/>
        <v>0</v>
      </c>
      <c r="JQ20" s="700">
        <f t="shared" si="420"/>
        <v>0</v>
      </c>
      <c r="JR20" s="700">
        <f t="shared" si="420"/>
        <v>0</v>
      </c>
      <c r="JS20" s="700">
        <f t="shared" si="420"/>
        <v>0</v>
      </c>
      <c r="JT20" s="700">
        <f t="shared" si="420"/>
        <v>0</v>
      </c>
      <c r="JU20" s="700">
        <f t="shared" si="420"/>
        <v>0</v>
      </c>
      <c r="JV20" s="700">
        <f t="shared" si="420"/>
        <v>0</v>
      </c>
      <c r="JW20" s="700">
        <f t="shared" si="420"/>
        <v>0</v>
      </c>
      <c r="JX20" s="700">
        <f t="shared" si="420"/>
        <v>0</v>
      </c>
      <c r="JY20" s="700">
        <f t="shared" si="420"/>
        <v>0</v>
      </c>
      <c r="JZ20" s="700">
        <f t="shared" si="420"/>
        <v>0</v>
      </c>
      <c r="KA20" s="700">
        <f t="shared" si="420"/>
        <v>0</v>
      </c>
      <c r="KB20" s="700">
        <f t="shared" si="420"/>
        <v>0</v>
      </c>
      <c r="KC20" s="700">
        <f t="shared" ref="KC20:MN20" si="421">IFERROR(MAX(KC8:KC17),"")</f>
        <v>0</v>
      </c>
      <c r="KD20" s="700">
        <f t="shared" si="421"/>
        <v>0</v>
      </c>
      <c r="KE20" s="700">
        <f t="shared" si="421"/>
        <v>0</v>
      </c>
      <c r="KF20" s="701">
        <f t="shared" si="421"/>
        <v>0</v>
      </c>
      <c r="KG20" s="108">
        <f t="shared" si="421"/>
        <v>3.2659099999999999</v>
      </c>
      <c r="KH20" s="109">
        <f t="shared" si="421"/>
        <v>0</v>
      </c>
      <c r="KI20" s="109">
        <f t="shared" si="421"/>
        <v>0</v>
      </c>
      <c r="KJ20" s="109">
        <f t="shared" si="421"/>
        <v>0</v>
      </c>
      <c r="KK20" s="109">
        <f t="shared" si="421"/>
        <v>0</v>
      </c>
      <c r="KL20" s="109">
        <f t="shared" si="421"/>
        <v>0</v>
      </c>
      <c r="KM20" s="109">
        <f t="shared" si="421"/>
        <v>0</v>
      </c>
      <c r="KN20" s="109">
        <f t="shared" si="421"/>
        <v>0</v>
      </c>
      <c r="KO20" s="109">
        <f t="shared" si="421"/>
        <v>0</v>
      </c>
      <c r="KP20" s="109">
        <f t="shared" si="421"/>
        <v>0</v>
      </c>
      <c r="KQ20" s="109">
        <f t="shared" si="421"/>
        <v>0</v>
      </c>
      <c r="KR20" s="109">
        <f t="shared" si="421"/>
        <v>0</v>
      </c>
      <c r="KS20" s="109">
        <f t="shared" si="421"/>
        <v>0</v>
      </c>
      <c r="KT20" s="109">
        <f t="shared" si="421"/>
        <v>0</v>
      </c>
      <c r="KU20" s="109">
        <f t="shared" si="421"/>
        <v>0</v>
      </c>
      <c r="KV20" s="109">
        <f t="shared" si="421"/>
        <v>0</v>
      </c>
      <c r="KW20" s="109">
        <f t="shared" si="421"/>
        <v>0</v>
      </c>
      <c r="KX20" s="109">
        <f t="shared" si="421"/>
        <v>0</v>
      </c>
      <c r="KY20" s="109">
        <f t="shared" si="421"/>
        <v>0</v>
      </c>
      <c r="KZ20" s="110">
        <f t="shared" si="421"/>
        <v>0</v>
      </c>
      <c r="LA20" s="108">
        <f t="shared" si="421"/>
        <v>11.128220000000001</v>
      </c>
      <c r="LB20" s="108">
        <f t="shared" si="421"/>
        <v>0</v>
      </c>
      <c r="LC20" s="108">
        <f t="shared" si="421"/>
        <v>0</v>
      </c>
      <c r="LD20" s="108">
        <f t="shared" si="421"/>
        <v>0</v>
      </c>
      <c r="LE20" s="108">
        <f t="shared" si="421"/>
        <v>0</v>
      </c>
      <c r="LF20" s="108">
        <f t="shared" si="421"/>
        <v>0</v>
      </c>
      <c r="LG20" s="108">
        <f t="shared" si="421"/>
        <v>0</v>
      </c>
      <c r="LH20" s="108">
        <f t="shared" si="421"/>
        <v>0</v>
      </c>
      <c r="LI20" s="108">
        <f t="shared" si="421"/>
        <v>0</v>
      </c>
      <c r="LJ20" s="108">
        <f t="shared" si="421"/>
        <v>0</v>
      </c>
      <c r="LK20" s="108">
        <f t="shared" si="421"/>
        <v>0</v>
      </c>
      <c r="LL20" s="108">
        <f t="shared" si="421"/>
        <v>0</v>
      </c>
      <c r="LM20" s="108">
        <f t="shared" si="421"/>
        <v>0</v>
      </c>
      <c r="LN20" s="108">
        <f t="shared" si="421"/>
        <v>0</v>
      </c>
      <c r="LO20" s="108">
        <f t="shared" si="421"/>
        <v>0</v>
      </c>
      <c r="LP20" s="108">
        <f t="shared" si="421"/>
        <v>0</v>
      </c>
      <c r="LQ20" s="108">
        <f t="shared" si="421"/>
        <v>0</v>
      </c>
      <c r="LR20" s="108">
        <f t="shared" si="421"/>
        <v>0</v>
      </c>
      <c r="LS20" s="108">
        <f t="shared" si="421"/>
        <v>0</v>
      </c>
      <c r="LT20" s="108">
        <f t="shared" si="421"/>
        <v>0</v>
      </c>
      <c r="LU20" s="108">
        <f t="shared" si="421"/>
        <v>113.51817</v>
      </c>
      <c r="LV20" s="108">
        <f t="shared" si="421"/>
        <v>0</v>
      </c>
      <c r="LW20" s="108">
        <f t="shared" si="421"/>
        <v>0</v>
      </c>
      <c r="LX20" s="108">
        <f t="shared" si="421"/>
        <v>0</v>
      </c>
      <c r="LY20" s="108">
        <f t="shared" si="421"/>
        <v>0</v>
      </c>
      <c r="LZ20" s="108">
        <f t="shared" si="421"/>
        <v>0</v>
      </c>
      <c r="MA20" s="108">
        <f t="shared" si="421"/>
        <v>0</v>
      </c>
      <c r="MB20" s="108">
        <f t="shared" si="421"/>
        <v>0</v>
      </c>
      <c r="MC20" s="108">
        <f t="shared" si="421"/>
        <v>0</v>
      </c>
      <c r="MD20" s="108">
        <f t="shared" si="421"/>
        <v>0</v>
      </c>
      <c r="ME20" s="108">
        <f t="shared" si="421"/>
        <v>0</v>
      </c>
      <c r="MF20" s="108">
        <f t="shared" si="421"/>
        <v>0</v>
      </c>
      <c r="MG20" s="108">
        <f t="shared" si="421"/>
        <v>0</v>
      </c>
      <c r="MH20" s="108">
        <f t="shared" si="421"/>
        <v>0</v>
      </c>
      <c r="MI20" s="108">
        <f t="shared" si="421"/>
        <v>0</v>
      </c>
      <c r="MJ20" s="108">
        <f t="shared" si="421"/>
        <v>0</v>
      </c>
      <c r="MK20" s="108">
        <f t="shared" si="421"/>
        <v>0</v>
      </c>
      <c r="ML20" s="108">
        <f t="shared" si="421"/>
        <v>0</v>
      </c>
      <c r="MM20" s="108">
        <f t="shared" si="421"/>
        <v>0</v>
      </c>
      <c r="MN20" s="108">
        <f t="shared" si="421"/>
        <v>0</v>
      </c>
      <c r="MO20" s="699">
        <f t="shared" ref="MO20:OZ20" si="422">IFERROR(MAX(MO8:MO17),"")</f>
        <v>0.45402185684749435</v>
      </c>
      <c r="MP20" s="699">
        <f t="shared" si="422"/>
        <v>0</v>
      </c>
      <c r="MQ20" s="699">
        <f t="shared" si="422"/>
        <v>0</v>
      </c>
      <c r="MR20" s="699">
        <f t="shared" si="422"/>
        <v>0</v>
      </c>
      <c r="MS20" s="699">
        <f t="shared" si="422"/>
        <v>0</v>
      </c>
      <c r="MT20" s="699">
        <f t="shared" si="422"/>
        <v>0</v>
      </c>
      <c r="MU20" s="699">
        <f t="shared" si="422"/>
        <v>0</v>
      </c>
      <c r="MV20" s="699">
        <f t="shared" si="422"/>
        <v>0</v>
      </c>
      <c r="MW20" s="699">
        <f t="shared" si="422"/>
        <v>0</v>
      </c>
      <c r="MX20" s="699">
        <f t="shared" si="422"/>
        <v>0</v>
      </c>
      <c r="MY20" s="699">
        <f t="shared" si="422"/>
        <v>0</v>
      </c>
      <c r="MZ20" s="699">
        <f t="shared" si="422"/>
        <v>0</v>
      </c>
      <c r="NA20" s="699">
        <f t="shared" si="422"/>
        <v>0</v>
      </c>
      <c r="NB20" s="699">
        <f t="shared" si="422"/>
        <v>0</v>
      </c>
      <c r="NC20" s="699">
        <f t="shared" si="422"/>
        <v>0</v>
      </c>
      <c r="ND20" s="699">
        <f t="shared" si="422"/>
        <v>0</v>
      </c>
      <c r="NE20" s="699">
        <f t="shared" si="422"/>
        <v>0</v>
      </c>
      <c r="NF20" s="699">
        <f t="shared" si="422"/>
        <v>0</v>
      </c>
      <c r="NG20" s="699">
        <f t="shared" si="422"/>
        <v>0</v>
      </c>
      <c r="NH20" s="699">
        <f t="shared" si="422"/>
        <v>0</v>
      </c>
      <c r="NI20" s="699">
        <f t="shared" si="422"/>
        <v>1.7343659244917715</v>
      </c>
      <c r="NJ20" s="699">
        <f t="shared" si="422"/>
        <v>0</v>
      </c>
      <c r="NK20" s="699">
        <f t="shared" si="422"/>
        <v>0</v>
      </c>
      <c r="NL20" s="699">
        <f t="shared" si="422"/>
        <v>0</v>
      </c>
      <c r="NM20" s="699">
        <f t="shared" si="422"/>
        <v>0</v>
      </c>
      <c r="NN20" s="699">
        <f t="shared" si="422"/>
        <v>0</v>
      </c>
      <c r="NO20" s="699">
        <f t="shared" si="422"/>
        <v>0</v>
      </c>
      <c r="NP20" s="699">
        <f t="shared" si="422"/>
        <v>0</v>
      </c>
      <c r="NQ20" s="699">
        <f t="shared" si="422"/>
        <v>0</v>
      </c>
      <c r="NR20" s="699">
        <f t="shared" si="422"/>
        <v>0</v>
      </c>
      <c r="NS20" s="699">
        <f t="shared" si="422"/>
        <v>0</v>
      </c>
      <c r="NT20" s="699">
        <f t="shared" si="422"/>
        <v>0</v>
      </c>
      <c r="NU20" s="699">
        <f t="shared" si="422"/>
        <v>0</v>
      </c>
      <c r="NV20" s="699">
        <f t="shared" si="422"/>
        <v>0</v>
      </c>
      <c r="NW20" s="699">
        <f t="shared" si="422"/>
        <v>0</v>
      </c>
      <c r="NX20" s="699">
        <f t="shared" si="422"/>
        <v>0</v>
      </c>
      <c r="NY20" s="699">
        <f t="shared" si="422"/>
        <v>0</v>
      </c>
      <c r="NZ20" s="699">
        <f t="shared" si="422"/>
        <v>0</v>
      </c>
      <c r="OA20" s="699">
        <f t="shared" si="422"/>
        <v>0</v>
      </c>
      <c r="OB20" s="699">
        <f t="shared" si="422"/>
        <v>0</v>
      </c>
      <c r="OC20" s="699">
        <f t="shared" si="422"/>
        <v>8.0520399466092019E-2</v>
      </c>
      <c r="OD20" s="700">
        <f t="shared" si="422"/>
        <v>0</v>
      </c>
      <c r="OE20" s="700">
        <f t="shared" si="422"/>
        <v>0</v>
      </c>
      <c r="OF20" s="700">
        <f t="shared" si="422"/>
        <v>0</v>
      </c>
      <c r="OG20" s="700">
        <f t="shared" si="422"/>
        <v>0</v>
      </c>
      <c r="OH20" s="700">
        <f t="shared" si="422"/>
        <v>0</v>
      </c>
      <c r="OI20" s="700">
        <f t="shared" si="422"/>
        <v>0</v>
      </c>
      <c r="OJ20" s="700">
        <f t="shared" si="422"/>
        <v>0</v>
      </c>
      <c r="OK20" s="700">
        <f t="shared" si="422"/>
        <v>0</v>
      </c>
      <c r="OL20" s="700">
        <f t="shared" si="422"/>
        <v>0</v>
      </c>
      <c r="OM20" s="700">
        <f t="shared" si="422"/>
        <v>0</v>
      </c>
      <c r="ON20" s="700">
        <f t="shared" si="422"/>
        <v>0</v>
      </c>
      <c r="OO20" s="700">
        <f t="shared" si="422"/>
        <v>0</v>
      </c>
      <c r="OP20" s="700">
        <f t="shared" si="422"/>
        <v>0</v>
      </c>
      <c r="OQ20" s="700">
        <f t="shared" si="422"/>
        <v>0</v>
      </c>
      <c r="OR20" s="700">
        <f t="shared" si="422"/>
        <v>0</v>
      </c>
      <c r="OS20" s="700">
        <f t="shared" si="422"/>
        <v>0</v>
      </c>
      <c r="OT20" s="700">
        <f t="shared" si="422"/>
        <v>0</v>
      </c>
      <c r="OU20" s="700">
        <f t="shared" si="422"/>
        <v>0</v>
      </c>
      <c r="OV20" s="701">
        <f t="shared" si="422"/>
        <v>0</v>
      </c>
      <c r="OW20" s="699">
        <f t="shared" si="422"/>
        <v>0.17159895128262248</v>
      </c>
      <c r="OX20" s="700">
        <f t="shared" si="422"/>
        <v>0</v>
      </c>
      <c r="OY20" s="700">
        <f t="shared" si="422"/>
        <v>0</v>
      </c>
      <c r="OZ20" s="700">
        <f t="shared" si="422"/>
        <v>0</v>
      </c>
      <c r="PA20" s="700">
        <f t="shared" ref="PA20:RL20" si="423">IFERROR(MAX(PA8:PA17),"")</f>
        <v>0</v>
      </c>
      <c r="PB20" s="700">
        <f t="shared" si="423"/>
        <v>0</v>
      </c>
      <c r="PC20" s="700">
        <f t="shared" si="423"/>
        <v>0</v>
      </c>
      <c r="PD20" s="700">
        <f t="shared" si="423"/>
        <v>0</v>
      </c>
      <c r="PE20" s="700">
        <f t="shared" si="423"/>
        <v>0</v>
      </c>
      <c r="PF20" s="700">
        <f t="shared" si="423"/>
        <v>0</v>
      </c>
      <c r="PG20" s="700">
        <f t="shared" si="423"/>
        <v>0</v>
      </c>
      <c r="PH20" s="700">
        <f t="shared" si="423"/>
        <v>0</v>
      </c>
      <c r="PI20" s="700">
        <f t="shared" si="423"/>
        <v>0</v>
      </c>
      <c r="PJ20" s="700">
        <f t="shared" si="423"/>
        <v>0</v>
      </c>
      <c r="PK20" s="700">
        <f t="shared" si="423"/>
        <v>0</v>
      </c>
      <c r="PL20" s="700">
        <f t="shared" si="423"/>
        <v>0</v>
      </c>
      <c r="PM20" s="700">
        <f t="shared" si="423"/>
        <v>0</v>
      </c>
      <c r="PN20" s="700">
        <f t="shared" si="423"/>
        <v>0</v>
      </c>
      <c r="PO20" s="700">
        <f t="shared" si="423"/>
        <v>0</v>
      </c>
      <c r="PP20" s="701">
        <f t="shared" si="423"/>
        <v>0</v>
      </c>
      <c r="PQ20" s="108">
        <f t="shared" si="423"/>
        <v>3.4744624383902942</v>
      </c>
      <c r="PR20" s="109">
        <f t="shared" si="423"/>
        <v>0</v>
      </c>
      <c r="PS20" s="109">
        <f t="shared" si="423"/>
        <v>0</v>
      </c>
      <c r="PT20" s="109">
        <f t="shared" si="423"/>
        <v>0</v>
      </c>
      <c r="PU20" s="109">
        <f t="shared" si="423"/>
        <v>0</v>
      </c>
      <c r="PV20" s="109">
        <f t="shared" si="423"/>
        <v>0</v>
      </c>
      <c r="PW20" s="109">
        <f t="shared" si="423"/>
        <v>0</v>
      </c>
      <c r="PX20" s="109">
        <f t="shared" si="423"/>
        <v>0</v>
      </c>
      <c r="PY20" s="109">
        <f t="shared" si="423"/>
        <v>0</v>
      </c>
      <c r="PZ20" s="109">
        <f t="shared" si="423"/>
        <v>0</v>
      </c>
      <c r="QA20" s="109">
        <f t="shared" si="423"/>
        <v>0</v>
      </c>
      <c r="QB20" s="109">
        <f t="shared" si="423"/>
        <v>0</v>
      </c>
      <c r="QC20" s="109">
        <f t="shared" si="423"/>
        <v>0</v>
      </c>
      <c r="QD20" s="109">
        <f t="shared" si="423"/>
        <v>0</v>
      </c>
      <c r="QE20" s="109">
        <f t="shared" si="423"/>
        <v>0</v>
      </c>
      <c r="QF20" s="109">
        <f t="shared" si="423"/>
        <v>0</v>
      </c>
      <c r="QG20" s="109">
        <f t="shared" si="423"/>
        <v>0</v>
      </c>
      <c r="QH20" s="109">
        <f t="shared" si="423"/>
        <v>0</v>
      </c>
      <c r="QI20" s="109">
        <f t="shared" si="423"/>
        <v>0</v>
      </c>
      <c r="QJ20" s="110">
        <f t="shared" si="423"/>
        <v>0</v>
      </c>
      <c r="QK20" s="699">
        <f t="shared" si="423"/>
        <v>2.5555175599324246E-2</v>
      </c>
      <c r="QL20" s="700">
        <f t="shared" si="423"/>
        <v>0</v>
      </c>
      <c r="QM20" s="700">
        <f t="shared" si="423"/>
        <v>0</v>
      </c>
      <c r="QN20" s="700">
        <f t="shared" si="423"/>
        <v>0</v>
      </c>
      <c r="QO20" s="700">
        <f t="shared" si="423"/>
        <v>0</v>
      </c>
      <c r="QP20" s="700">
        <f t="shared" si="423"/>
        <v>0</v>
      </c>
      <c r="QQ20" s="700">
        <f t="shared" si="423"/>
        <v>0</v>
      </c>
      <c r="QR20" s="700">
        <f t="shared" si="423"/>
        <v>0</v>
      </c>
      <c r="QS20" s="700">
        <f t="shared" si="423"/>
        <v>0</v>
      </c>
      <c r="QT20" s="700">
        <f t="shared" si="423"/>
        <v>0</v>
      </c>
      <c r="QU20" s="700">
        <f t="shared" si="423"/>
        <v>0</v>
      </c>
      <c r="QV20" s="700">
        <f t="shared" si="423"/>
        <v>0</v>
      </c>
      <c r="QW20" s="700">
        <f t="shared" si="423"/>
        <v>0</v>
      </c>
      <c r="QX20" s="700">
        <f t="shared" si="423"/>
        <v>0</v>
      </c>
      <c r="QY20" s="700">
        <f t="shared" si="423"/>
        <v>0</v>
      </c>
      <c r="QZ20" s="700">
        <f t="shared" si="423"/>
        <v>0</v>
      </c>
      <c r="RA20" s="700">
        <f t="shared" si="423"/>
        <v>0</v>
      </c>
      <c r="RB20" s="700">
        <f t="shared" si="423"/>
        <v>0</v>
      </c>
      <c r="RC20" s="700">
        <f t="shared" si="423"/>
        <v>0</v>
      </c>
      <c r="RD20" s="701">
        <f t="shared" si="423"/>
        <v>0</v>
      </c>
      <c r="RE20" s="699">
        <f t="shared" si="423"/>
        <v>0.2918767670290594</v>
      </c>
      <c r="RF20" s="700">
        <f t="shared" si="423"/>
        <v>0</v>
      </c>
      <c r="RG20" s="700">
        <f t="shared" si="423"/>
        <v>0</v>
      </c>
      <c r="RH20" s="700">
        <f t="shared" si="423"/>
        <v>0</v>
      </c>
      <c r="RI20" s="700">
        <f t="shared" si="423"/>
        <v>0</v>
      </c>
      <c r="RJ20" s="700">
        <f t="shared" si="423"/>
        <v>0</v>
      </c>
      <c r="RK20" s="700">
        <f t="shared" si="423"/>
        <v>0</v>
      </c>
      <c r="RL20" s="700">
        <f t="shared" si="423"/>
        <v>0</v>
      </c>
      <c r="RM20" s="700">
        <f t="shared" ref="RM20:TX20" si="424">IFERROR(MAX(RM8:RM17),"")</f>
        <v>0</v>
      </c>
      <c r="RN20" s="700">
        <f t="shared" si="424"/>
        <v>0</v>
      </c>
      <c r="RO20" s="700">
        <f t="shared" si="424"/>
        <v>0</v>
      </c>
      <c r="RP20" s="700">
        <f t="shared" si="424"/>
        <v>0</v>
      </c>
      <c r="RQ20" s="700">
        <f t="shared" si="424"/>
        <v>0</v>
      </c>
      <c r="RR20" s="700">
        <f t="shared" si="424"/>
        <v>0</v>
      </c>
      <c r="RS20" s="700">
        <f t="shared" si="424"/>
        <v>0</v>
      </c>
      <c r="RT20" s="700">
        <f t="shared" si="424"/>
        <v>0</v>
      </c>
      <c r="RU20" s="700">
        <f t="shared" si="424"/>
        <v>0</v>
      </c>
      <c r="RV20" s="700">
        <f t="shared" si="424"/>
        <v>0</v>
      </c>
      <c r="RW20" s="700">
        <f t="shared" si="424"/>
        <v>0</v>
      </c>
      <c r="RX20" s="701">
        <f t="shared" si="424"/>
        <v>0</v>
      </c>
      <c r="RY20" s="699">
        <f t="shared" si="424"/>
        <v>0.27141753397264007</v>
      </c>
      <c r="RZ20" s="700">
        <f t="shared" si="424"/>
        <v>0</v>
      </c>
      <c r="SA20" s="700">
        <f t="shared" si="424"/>
        <v>0</v>
      </c>
      <c r="SB20" s="700">
        <f t="shared" si="424"/>
        <v>0</v>
      </c>
      <c r="SC20" s="700">
        <f t="shared" si="424"/>
        <v>0</v>
      </c>
      <c r="SD20" s="700">
        <f t="shared" si="424"/>
        <v>0</v>
      </c>
      <c r="SE20" s="700">
        <f t="shared" si="424"/>
        <v>0</v>
      </c>
      <c r="SF20" s="700">
        <f t="shared" si="424"/>
        <v>0</v>
      </c>
      <c r="SG20" s="700">
        <f t="shared" si="424"/>
        <v>0</v>
      </c>
      <c r="SH20" s="700">
        <f t="shared" si="424"/>
        <v>0</v>
      </c>
      <c r="SI20" s="700">
        <f t="shared" si="424"/>
        <v>0</v>
      </c>
      <c r="SJ20" s="700">
        <f t="shared" si="424"/>
        <v>0</v>
      </c>
      <c r="SK20" s="700">
        <f t="shared" si="424"/>
        <v>0</v>
      </c>
      <c r="SL20" s="700">
        <f t="shared" si="424"/>
        <v>0</v>
      </c>
      <c r="SM20" s="700">
        <f t="shared" si="424"/>
        <v>0</v>
      </c>
      <c r="SN20" s="700">
        <f t="shared" si="424"/>
        <v>0</v>
      </c>
      <c r="SO20" s="700">
        <f t="shared" si="424"/>
        <v>0</v>
      </c>
      <c r="SP20" s="700">
        <f t="shared" si="424"/>
        <v>0</v>
      </c>
      <c r="SQ20" s="700">
        <f t="shared" si="424"/>
        <v>0</v>
      </c>
      <c r="SR20" s="701">
        <f t="shared" si="424"/>
        <v>0</v>
      </c>
      <c r="SS20" s="699">
        <f t="shared" si="424"/>
        <v>0.24626221966647499</v>
      </c>
      <c r="ST20" s="700">
        <f t="shared" si="424"/>
        <v>0</v>
      </c>
      <c r="SU20" s="700">
        <f t="shared" si="424"/>
        <v>0</v>
      </c>
      <c r="SV20" s="700">
        <f t="shared" si="424"/>
        <v>0</v>
      </c>
      <c r="SW20" s="700">
        <f t="shared" si="424"/>
        <v>0</v>
      </c>
      <c r="SX20" s="700">
        <f t="shared" si="424"/>
        <v>0</v>
      </c>
      <c r="SY20" s="700">
        <f t="shared" si="424"/>
        <v>0</v>
      </c>
      <c r="SZ20" s="700">
        <f t="shared" si="424"/>
        <v>0</v>
      </c>
      <c r="TA20" s="700">
        <f t="shared" si="424"/>
        <v>0</v>
      </c>
      <c r="TB20" s="700">
        <f t="shared" si="424"/>
        <v>0</v>
      </c>
      <c r="TC20" s="700">
        <f t="shared" si="424"/>
        <v>0</v>
      </c>
      <c r="TD20" s="700">
        <f t="shared" si="424"/>
        <v>0</v>
      </c>
      <c r="TE20" s="700">
        <f t="shared" si="424"/>
        <v>0</v>
      </c>
      <c r="TF20" s="700">
        <f t="shared" si="424"/>
        <v>0</v>
      </c>
      <c r="TG20" s="700">
        <f t="shared" si="424"/>
        <v>0</v>
      </c>
      <c r="TH20" s="700">
        <f t="shared" si="424"/>
        <v>0</v>
      </c>
      <c r="TI20" s="700">
        <f t="shared" si="424"/>
        <v>0</v>
      </c>
      <c r="TJ20" s="700">
        <f t="shared" si="424"/>
        <v>0</v>
      </c>
      <c r="TK20" s="700">
        <f t="shared" si="424"/>
        <v>0</v>
      </c>
      <c r="TL20" s="701">
        <f t="shared" si="424"/>
        <v>0</v>
      </c>
      <c r="TM20" s="111">
        <f t="shared" si="424"/>
        <v>705152.77777777775</v>
      </c>
      <c r="TN20" s="112">
        <f t="shared" si="424"/>
        <v>0</v>
      </c>
      <c r="TO20" s="112">
        <f t="shared" si="424"/>
        <v>0</v>
      </c>
      <c r="TP20" s="112">
        <f t="shared" si="424"/>
        <v>0</v>
      </c>
      <c r="TQ20" s="112">
        <f t="shared" si="424"/>
        <v>0</v>
      </c>
      <c r="TR20" s="112">
        <f t="shared" si="424"/>
        <v>0</v>
      </c>
      <c r="TS20" s="112">
        <f t="shared" si="424"/>
        <v>0</v>
      </c>
      <c r="TT20" s="112">
        <f t="shared" si="424"/>
        <v>0</v>
      </c>
      <c r="TU20" s="112">
        <f t="shared" si="424"/>
        <v>0</v>
      </c>
      <c r="TV20" s="112">
        <f t="shared" si="424"/>
        <v>0</v>
      </c>
      <c r="TW20" s="112">
        <f t="shared" si="424"/>
        <v>0</v>
      </c>
      <c r="TX20" s="112">
        <f t="shared" si="424"/>
        <v>0</v>
      </c>
      <c r="TY20" s="112">
        <f t="shared" ref="TY20:WN20" si="425">IFERROR(MAX(TY8:TY17),"")</f>
        <v>0</v>
      </c>
      <c r="TZ20" s="112">
        <f t="shared" si="425"/>
        <v>0</v>
      </c>
      <c r="UA20" s="112">
        <f t="shared" si="425"/>
        <v>0</v>
      </c>
      <c r="UB20" s="112">
        <f t="shared" si="425"/>
        <v>0</v>
      </c>
      <c r="UC20" s="112">
        <f t="shared" si="425"/>
        <v>0</v>
      </c>
      <c r="UD20" s="112">
        <f t="shared" si="425"/>
        <v>0</v>
      </c>
      <c r="UE20" s="112">
        <f t="shared" si="425"/>
        <v>0</v>
      </c>
      <c r="UF20" s="113">
        <f t="shared" si="425"/>
        <v>0</v>
      </c>
      <c r="UG20" s="111">
        <f t="shared" si="425"/>
        <v>63548.611111111109</v>
      </c>
      <c r="UH20" s="112">
        <f t="shared" si="425"/>
        <v>0</v>
      </c>
      <c r="UI20" s="112">
        <f t="shared" si="425"/>
        <v>0</v>
      </c>
      <c r="UJ20" s="112">
        <f t="shared" si="425"/>
        <v>0</v>
      </c>
      <c r="UK20" s="112">
        <f t="shared" si="425"/>
        <v>0</v>
      </c>
      <c r="UL20" s="112">
        <f t="shared" si="425"/>
        <v>0</v>
      </c>
      <c r="UM20" s="112">
        <f t="shared" si="425"/>
        <v>0</v>
      </c>
      <c r="UN20" s="112">
        <f t="shared" si="425"/>
        <v>0</v>
      </c>
      <c r="UO20" s="112">
        <f t="shared" si="425"/>
        <v>0</v>
      </c>
      <c r="UP20" s="112">
        <f t="shared" si="425"/>
        <v>0</v>
      </c>
      <c r="UQ20" s="112">
        <f t="shared" si="425"/>
        <v>0</v>
      </c>
      <c r="UR20" s="112">
        <f t="shared" si="425"/>
        <v>0</v>
      </c>
      <c r="US20" s="112">
        <f t="shared" si="425"/>
        <v>0</v>
      </c>
      <c r="UT20" s="112">
        <f t="shared" si="425"/>
        <v>0</v>
      </c>
      <c r="UU20" s="112">
        <f t="shared" si="425"/>
        <v>0</v>
      </c>
      <c r="UV20" s="112">
        <f t="shared" si="425"/>
        <v>0</v>
      </c>
      <c r="UW20" s="112">
        <f t="shared" si="425"/>
        <v>0</v>
      </c>
      <c r="UX20" s="112">
        <f t="shared" si="425"/>
        <v>0</v>
      </c>
      <c r="UY20" s="112">
        <f t="shared" si="425"/>
        <v>0</v>
      </c>
      <c r="UZ20" s="113">
        <f t="shared" si="425"/>
        <v>0</v>
      </c>
      <c r="VA20" s="111">
        <f t="shared" si="425"/>
        <v>63284.722222222219</v>
      </c>
      <c r="VB20" s="112">
        <f t="shared" si="425"/>
        <v>0</v>
      </c>
      <c r="VC20" s="112">
        <f t="shared" si="425"/>
        <v>0</v>
      </c>
      <c r="VD20" s="112">
        <f t="shared" si="425"/>
        <v>0</v>
      </c>
      <c r="VE20" s="112">
        <f t="shared" si="425"/>
        <v>0</v>
      </c>
      <c r="VF20" s="112">
        <f t="shared" si="425"/>
        <v>0</v>
      </c>
      <c r="VG20" s="112">
        <f t="shared" si="425"/>
        <v>0</v>
      </c>
      <c r="VH20" s="112">
        <f t="shared" si="425"/>
        <v>0</v>
      </c>
      <c r="VI20" s="112">
        <f t="shared" si="425"/>
        <v>0</v>
      </c>
      <c r="VJ20" s="112">
        <f t="shared" si="425"/>
        <v>0</v>
      </c>
      <c r="VK20" s="112">
        <f t="shared" si="425"/>
        <v>0</v>
      </c>
      <c r="VL20" s="112">
        <f t="shared" si="425"/>
        <v>0</v>
      </c>
      <c r="VM20" s="112">
        <f t="shared" si="425"/>
        <v>0</v>
      </c>
      <c r="VN20" s="112">
        <f t="shared" si="425"/>
        <v>0</v>
      </c>
      <c r="VO20" s="112">
        <f t="shared" si="425"/>
        <v>0</v>
      </c>
      <c r="VP20" s="112">
        <f t="shared" si="425"/>
        <v>0</v>
      </c>
      <c r="VQ20" s="112">
        <f t="shared" si="425"/>
        <v>0</v>
      </c>
      <c r="VR20" s="112">
        <f t="shared" si="425"/>
        <v>0</v>
      </c>
      <c r="VS20" s="112">
        <f t="shared" si="425"/>
        <v>0</v>
      </c>
      <c r="VT20" s="113">
        <f t="shared" si="425"/>
        <v>0</v>
      </c>
      <c r="VU20" s="111">
        <f t="shared" si="425"/>
        <v>0</v>
      </c>
      <c r="VV20" s="112">
        <f t="shared" si="425"/>
        <v>0</v>
      </c>
      <c r="VW20" s="112">
        <f t="shared" si="425"/>
        <v>0</v>
      </c>
      <c r="VX20" s="112">
        <f t="shared" si="425"/>
        <v>0</v>
      </c>
      <c r="VY20" s="112">
        <f t="shared" si="425"/>
        <v>0</v>
      </c>
      <c r="VZ20" s="112">
        <f t="shared" si="425"/>
        <v>0</v>
      </c>
      <c r="WA20" s="112">
        <f t="shared" si="425"/>
        <v>0</v>
      </c>
      <c r="WB20" s="112">
        <f t="shared" si="425"/>
        <v>0</v>
      </c>
      <c r="WC20" s="112">
        <f t="shared" si="425"/>
        <v>0</v>
      </c>
      <c r="WD20" s="112">
        <f t="shared" si="425"/>
        <v>0</v>
      </c>
      <c r="WE20" s="112">
        <f t="shared" si="425"/>
        <v>0</v>
      </c>
      <c r="WF20" s="112">
        <f t="shared" si="425"/>
        <v>0</v>
      </c>
      <c r="WG20" s="112">
        <f t="shared" si="425"/>
        <v>0</v>
      </c>
      <c r="WH20" s="112">
        <f t="shared" si="425"/>
        <v>0</v>
      </c>
      <c r="WI20" s="112">
        <f t="shared" si="425"/>
        <v>0</v>
      </c>
      <c r="WJ20" s="112">
        <f t="shared" si="425"/>
        <v>0</v>
      </c>
      <c r="WK20" s="112">
        <f t="shared" si="425"/>
        <v>0</v>
      </c>
      <c r="WL20" s="112">
        <f t="shared" si="425"/>
        <v>0</v>
      </c>
      <c r="WM20" s="112">
        <f t="shared" si="425"/>
        <v>0</v>
      </c>
      <c r="WN20" s="113">
        <f t="shared" si="425"/>
        <v>0</v>
      </c>
      <c r="WO20" s="111">
        <f t="shared" ref="WO20:XH20" si="426">IFERROR(MAX(WO8:WO17),"")</f>
        <v>567.70000000000005</v>
      </c>
      <c r="WP20" s="112">
        <f t="shared" si="426"/>
        <v>0</v>
      </c>
      <c r="WQ20" s="112">
        <f t="shared" si="426"/>
        <v>0</v>
      </c>
      <c r="WR20" s="112">
        <f t="shared" si="426"/>
        <v>0</v>
      </c>
      <c r="WS20" s="112">
        <f t="shared" si="426"/>
        <v>0</v>
      </c>
      <c r="WT20" s="112">
        <f t="shared" si="426"/>
        <v>0</v>
      </c>
      <c r="WU20" s="112">
        <f t="shared" si="426"/>
        <v>0</v>
      </c>
      <c r="WV20" s="112">
        <f t="shared" si="426"/>
        <v>0</v>
      </c>
      <c r="WW20" s="112">
        <f t="shared" si="426"/>
        <v>0</v>
      </c>
      <c r="WX20" s="112">
        <f t="shared" si="426"/>
        <v>0</v>
      </c>
      <c r="WY20" s="112">
        <f t="shared" si="426"/>
        <v>0</v>
      </c>
      <c r="WZ20" s="112">
        <f t="shared" si="426"/>
        <v>0</v>
      </c>
      <c r="XA20" s="112">
        <f t="shared" si="426"/>
        <v>0</v>
      </c>
      <c r="XB20" s="112">
        <f t="shared" si="426"/>
        <v>0</v>
      </c>
      <c r="XC20" s="112">
        <f t="shared" si="426"/>
        <v>0</v>
      </c>
      <c r="XD20" s="112">
        <f t="shared" si="426"/>
        <v>0</v>
      </c>
      <c r="XE20" s="112">
        <f t="shared" si="426"/>
        <v>0</v>
      </c>
      <c r="XF20" s="112">
        <f t="shared" si="426"/>
        <v>0</v>
      </c>
      <c r="XG20" s="112">
        <f t="shared" si="426"/>
        <v>0</v>
      </c>
      <c r="XH20" s="113">
        <f t="shared" si="426"/>
        <v>0</v>
      </c>
      <c r="XI20" s="699">
        <f t="shared" ref="XI20:YV20" si="427">IFERROR(MAX(XI8:XI17),"")</f>
        <v>0.174377</v>
      </c>
      <c r="XJ20" s="700">
        <f t="shared" si="427"/>
        <v>0</v>
      </c>
      <c r="XK20" s="700">
        <f t="shared" si="427"/>
        <v>0</v>
      </c>
      <c r="XL20" s="700">
        <f t="shared" si="427"/>
        <v>0</v>
      </c>
      <c r="XM20" s="700">
        <f t="shared" si="427"/>
        <v>0</v>
      </c>
      <c r="XN20" s="700">
        <f t="shared" si="427"/>
        <v>0</v>
      </c>
      <c r="XO20" s="700">
        <f t="shared" si="427"/>
        <v>0</v>
      </c>
      <c r="XP20" s="700">
        <f t="shared" si="427"/>
        <v>0</v>
      </c>
      <c r="XQ20" s="700">
        <f t="shared" si="427"/>
        <v>0</v>
      </c>
      <c r="XR20" s="700">
        <f t="shared" si="427"/>
        <v>0</v>
      </c>
      <c r="XS20" s="700">
        <f t="shared" si="427"/>
        <v>0</v>
      </c>
      <c r="XT20" s="700">
        <f t="shared" si="427"/>
        <v>0</v>
      </c>
      <c r="XU20" s="700">
        <f t="shared" si="427"/>
        <v>0</v>
      </c>
      <c r="XV20" s="700">
        <f t="shared" si="427"/>
        <v>0</v>
      </c>
      <c r="XW20" s="700">
        <f t="shared" si="427"/>
        <v>0</v>
      </c>
      <c r="XX20" s="700">
        <f t="shared" si="427"/>
        <v>0</v>
      </c>
      <c r="XY20" s="700">
        <f t="shared" si="427"/>
        <v>0</v>
      </c>
      <c r="XZ20" s="700">
        <f t="shared" si="427"/>
        <v>0</v>
      </c>
      <c r="YA20" s="700">
        <f t="shared" si="427"/>
        <v>0</v>
      </c>
      <c r="YB20" s="701">
        <f t="shared" si="427"/>
        <v>0</v>
      </c>
      <c r="YC20" s="111">
        <f t="shared" si="427"/>
        <v>248912.62229999999</v>
      </c>
      <c r="YD20" s="112">
        <f t="shared" si="427"/>
        <v>0</v>
      </c>
      <c r="YE20" s="112">
        <f t="shared" si="427"/>
        <v>0</v>
      </c>
      <c r="YF20" s="112">
        <f t="shared" si="427"/>
        <v>0</v>
      </c>
      <c r="YG20" s="112">
        <f t="shared" si="427"/>
        <v>0</v>
      </c>
      <c r="YH20" s="112">
        <f t="shared" si="427"/>
        <v>0</v>
      </c>
      <c r="YI20" s="112">
        <f t="shared" si="427"/>
        <v>0</v>
      </c>
      <c r="YJ20" s="112">
        <f t="shared" si="427"/>
        <v>0</v>
      </c>
      <c r="YK20" s="112">
        <f t="shared" si="427"/>
        <v>0</v>
      </c>
      <c r="YL20" s="112">
        <f t="shared" si="427"/>
        <v>0</v>
      </c>
      <c r="YM20" s="112">
        <f t="shared" si="427"/>
        <v>0</v>
      </c>
      <c r="YN20" s="112">
        <f t="shared" si="427"/>
        <v>0</v>
      </c>
      <c r="YO20" s="112">
        <f t="shared" si="427"/>
        <v>0</v>
      </c>
      <c r="YP20" s="112">
        <f t="shared" si="427"/>
        <v>0</v>
      </c>
      <c r="YQ20" s="112">
        <f t="shared" si="427"/>
        <v>0</v>
      </c>
      <c r="YR20" s="112">
        <f t="shared" si="427"/>
        <v>0</v>
      </c>
      <c r="YS20" s="112">
        <f t="shared" si="427"/>
        <v>0</v>
      </c>
      <c r="YT20" s="112">
        <f t="shared" si="427"/>
        <v>0</v>
      </c>
      <c r="YU20" s="112">
        <f t="shared" si="427"/>
        <v>0</v>
      </c>
      <c r="YV20" s="113">
        <f t="shared" si="427"/>
        <v>0</v>
      </c>
      <c r="YW20" s="699">
        <f t="shared" ref="YW20:ZP20" si="428">IFERROR(MAX(YW8:YW17),"")</f>
        <v>0.62307779377886319</v>
      </c>
      <c r="YX20" s="700">
        <f t="shared" si="428"/>
        <v>0</v>
      </c>
      <c r="YY20" s="700">
        <f t="shared" si="428"/>
        <v>0</v>
      </c>
      <c r="YZ20" s="700">
        <f t="shared" si="428"/>
        <v>0</v>
      </c>
      <c r="ZA20" s="700">
        <f t="shared" si="428"/>
        <v>0</v>
      </c>
      <c r="ZB20" s="700">
        <f t="shared" si="428"/>
        <v>0</v>
      </c>
      <c r="ZC20" s="700">
        <f t="shared" si="428"/>
        <v>0</v>
      </c>
      <c r="ZD20" s="700">
        <f t="shared" si="428"/>
        <v>0</v>
      </c>
      <c r="ZE20" s="700">
        <f t="shared" si="428"/>
        <v>0</v>
      </c>
      <c r="ZF20" s="700">
        <f t="shared" si="428"/>
        <v>0</v>
      </c>
      <c r="ZG20" s="700">
        <f t="shared" si="428"/>
        <v>0</v>
      </c>
      <c r="ZH20" s="700">
        <f t="shared" si="428"/>
        <v>0</v>
      </c>
      <c r="ZI20" s="700">
        <f t="shared" si="428"/>
        <v>0</v>
      </c>
      <c r="ZJ20" s="700">
        <f t="shared" si="428"/>
        <v>0</v>
      </c>
      <c r="ZK20" s="700">
        <f t="shared" si="428"/>
        <v>0</v>
      </c>
      <c r="ZL20" s="700">
        <f t="shared" si="428"/>
        <v>0</v>
      </c>
      <c r="ZM20" s="700">
        <f t="shared" si="428"/>
        <v>0</v>
      </c>
      <c r="ZN20" s="700">
        <f t="shared" si="428"/>
        <v>0</v>
      </c>
      <c r="ZO20" s="700">
        <f t="shared" si="428"/>
        <v>0</v>
      </c>
      <c r="ZP20" s="701">
        <f t="shared" si="428"/>
        <v>0</v>
      </c>
      <c r="ZQ20" s="699">
        <f t="shared" ref="ZQ20:ABD20" si="429">IFERROR(MAX(ZQ8:ZQ17),"")</f>
        <v>0.18332936675027003</v>
      </c>
      <c r="ZR20" s="700">
        <f t="shared" si="429"/>
        <v>0</v>
      </c>
      <c r="ZS20" s="700">
        <f t="shared" si="429"/>
        <v>0</v>
      </c>
      <c r="ZT20" s="700">
        <f t="shared" si="429"/>
        <v>0</v>
      </c>
      <c r="ZU20" s="700">
        <f t="shared" si="429"/>
        <v>0</v>
      </c>
      <c r="ZV20" s="700">
        <f t="shared" si="429"/>
        <v>0</v>
      </c>
      <c r="ZW20" s="700">
        <f t="shared" si="429"/>
        <v>0</v>
      </c>
      <c r="ZX20" s="700">
        <f t="shared" si="429"/>
        <v>0</v>
      </c>
      <c r="ZY20" s="700">
        <f t="shared" si="429"/>
        <v>0</v>
      </c>
      <c r="ZZ20" s="700">
        <f t="shared" si="429"/>
        <v>0</v>
      </c>
      <c r="AAA20" s="700">
        <f t="shared" si="429"/>
        <v>0</v>
      </c>
      <c r="AAB20" s="700">
        <f t="shared" si="429"/>
        <v>0</v>
      </c>
      <c r="AAC20" s="700">
        <f t="shared" si="429"/>
        <v>0</v>
      </c>
      <c r="AAD20" s="700">
        <f t="shared" si="429"/>
        <v>0</v>
      </c>
      <c r="AAE20" s="700">
        <f t="shared" si="429"/>
        <v>0</v>
      </c>
      <c r="AAF20" s="700">
        <f t="shared" si="429"/>
        <v>0</v>
      </c>
      <c r="AAG20" s="700">
        <f t="shared" si="429"/>
        <v>0</v>
      </c>
      <c r="AAH20" s="700">
        <f t="shared" si="429"/>
        <v>0</v>
      </c>
      <c r="AAI20" s="700">
        <f t="shared" si="429"/>
        <v>0</v>
      </c>
      <c r="AAJ20" s="701">
        <f t="shared" si="429"/>
        <v>0</v>
      </c>
      <c r="AAK20" s="624">
        <f t="shared" si="429"/>
        <v>8.5492915095311695</v>
      </c>
      <c r="AAL20" s="625">
        <f t="shared" si="429"/>
        <v>0</v>
      </c>
      <c r="AAM20" s="625">
        <f t="shared" si="429"/>
        <v>0</v>
      </c>
      <c r="AAN20" s="625">
        <f t="shared" si="429"/>
        <v>0</v>
      </c>
      <c r="AAO20" s="625">
        <f t="shared" si="429"/>
        <v>0</v>
      </c>
      <c r="AAP20" s="625">
        <f t="shared" si="429"/>
        <v>0</v>
      </c>
      <c r="AAQ20" s="625">
        <f t="shared" si="429"/>
        <v>0</v>
      </c>
      <c r="AAR20" s="625">
        <f t="shared" si="429"/>
        <v>0</v>
      </c>
      <c r="AAS20" s="625">
        <f t="shared" si="429"/>
        <v>0</v>
      </c>
      <c r="AAT20" s="625">
        <f t="shared" si="429"/>
        <v>0</v>
      </c>
      <c r="AAU20" s="625">
        <f t="shared" si="429"/>
        <v>0</v>
      </c>
      <c r="AAV20" s="625">
        <f t="shared" si="429"/>
        <v>0</v>
      </c>
      <c r="AAW20" s="625">
        <f t="shared" si="429"/>
        <v>0</v>
      </c>
      <c r="AAX20" s="625">
        <f t="shared" si="429"/>
        <v>0</v>
      </c>
      <c r="AAY20" s="625">
        <f t="shared" si="429"/>
        <v>0</v>
      </c>
      <c r="AAZ20" s="625">
        <f t="shared" si="429"/>
        <v>0</v>
      </c>
      <c r="ABA20" s="625">
        <f t="shared" si="429"/>
        <v>0</v>
      </c>
      <c r="ABB20" s="625">
        <f t="shared" si="429"/>
        <v>0</v>
      </c>
      <c r="ABC20" s="625">
        <f t="shared" si="429"/>
        <v>0</v>
      </c>
      <c r="ABD20" s="626">
        <f t="shared" si="429"/>
        <v>0</v>
      </c>
      <c r="ABE20" s="699">
        <f t="shared" ref="ABE20:ACR20" si="430">IFERROR(MAX(ABE8:ABE17),"")</f>
        <v>0.93601453124732248</v>
      </c>
      <c r="ABF20" s="700">
        <f t="shared" si="430"/>
        <v>0</v>
      </c>
      <c r="ABG20" s="700">
        <f t="shared" si="430"/>
        <v>0</v>
      </c>
      <c r="ABH20" s="700">
        <f t="shared" si="430"/>
        <v>0</v>
      </c>
      <c r="ABI20" s="700">
        <f t="shared" si="430"/>
        <v>0</v>
      </c>
      <c r="ABJ20" s="700">
        <f t="shared" si="430"/>
        <v>0</v>
      </c>
      <c r="ABK20" s="700">
        <f t="shared" si="430"/>
        <v>0</v>
      </c>
      <c r="ABL20" s="700">
        <f t="shared" si="430"/>
        <v>0</v>
      </c>
      <c r="ABM20" s="700">
        <f t="shared" si="430"/>
        <v>0</v>
      </c>
      <c r="ABN20" s="700">
        <f t="shared" si="430"/>
        <v>0</v>
      </c>
      <c r="ABO20" s="700">
        <f t="shared" si="430"/>
        <v>0</v>
      </c>
      <c r="ABP20" s="700">
        <f t="shared" si="430"/>
        <v>0</v>
      </c>
      <c r="ABQ20" s="700">
        <f t="shared" si="430"/>
        <v>0</v>
      </c>
      <c r="ABR20" s="700">
        <f t="shared" si="430"/>
        <v>0</v>
      </c>
      <c r="ABS20" s="700">
        <f t="shared" si="430"/>
        <v>0</v>
      </c>
      <c r="ABT20" s="700">
        <f t="shared" si="430"/>
        <v>0</v>
      </c>
      <c r="ABU20" s="700">
        <f t="shared" si="430"/>
        <v>0</v>
      </c>
      <c r="ABV20" s="700">
        <f t="shared" si="430"/>
        <v>0</v>
      </c>
      <c r="ABW20" s="700">
        <f t="shared" si="430"/>
        <v>0</v>
      </c>
      <c r="ABX20" s="701">
        <f t="shared" si="430"/>
        <v>0</v>
      </c>
      <c r="ABY20" s="108">
        <f t="shared" si="430"/>
        <v>7.8315599999999996</v>
      </c>
      <c r="ABZ20" s="109">
        <f t="shared" si="430"/>
        <v>0</v>
      </c>
      <c r="ACA20" s="109">
        <f t="shared" si="430"/>
        <v>0</v>
      </c>
      <c r="ACB20" s="109">
        <f t="shared" si="430"/>
        <v>0</v>
      </c>
      <c r="ACC20" s="109">
        <f t="shared" si="430"/>
        <v>0</v>
      </c>
      <c r="ACD20" s="109">
        <f t="shared" si="430"/>
        <v>0</v>
      </c>
      <c r="ACE20" s="109">
        <f t="shared" si="430"/>
        <v>0</v>
      </c>
      <c r="ACF20" s="109">
        <f t="shared" si="430"/>
        <v>0</v>
      </c>
      <c r="ACG20" s="109">
        <f t="shared" si="430"/>
        <v>0</v>
      </c>
      <c r="ACH20" s="109">
        <f t="shared" si="430"/>
        <v>0</v>
      </c>
      <c r="ACI20" s="109">
        <f t="shared" si="430"/>
        <v>0</v>
      </c>
      <c r="ACJ20" s="109">
        <f t="shared" si="430"/>
        <v>0</v>
      </c>
      <c r="ACK20" s="109">
        <f t="shared" si="430"/>
        <v>0</v>
      </c>
      <c r="ACL20" s="109">
        <f t="shared" si="430"/>
        <v>0</v>
      </c>
      <c r="ACM20" s="109">
        <f t="shared" si="430"/>
        <v>0</v>
      </c>
      <c r="ACN20" s="109">
        <f t="shared" si="430"/>
        <v>0</v>
      </c>
      <c r="ACO20" s="109">
        <f t="shared" si="430"/>
        <v>0</v>
      </c>
      <c r="ACP20" s="109">
        <f t="shared" si="430"/>
        <v>0</v>
      </c>
      <c r="ACQ20" s="109">
        <f t="shared" si="430"/>
        <v>0</v>
      </c>
      <c r="ACR20" s="110">
        <f t="shared" si="430"/>
        <v>0</v>
      </c>
    </row>
    <row r="21" spans="1:772" ht="15" customHeight="1" x14ac:dyDescent="0.2">
      <c r="A21" s="99" t="s">
        <v>79</v>
      </c>
      <c r="B21" s="100"/>
      <c r="C21" s="100"/>
      <c r="D21" s="100"/>
      <c r="E21" s="101"/>
      <c r="F21" s="101"/>
      <c r="G21" s="102">
        <f t="shared" ref="G21:AE21" si="431">IFERROR(IF(COUNT(G8:G17)&gt;0,MIN(G8:G17),""),"")</f>
        <v>0.61000750707397366</v>
      </c>
      <c r="H21" s="102">
        <f t="shared" si="431"/>
        <v>0.176866</v>
      </c>
      <c r="I21" s="102">
        <f t="shared" si="431"/>
        <v>0.12654400000000002</v>
      </c>
      <c r="J21" s="102">
        <f t="shared" si="431"/>
        <v>4.7117000000000006E-2</v>
      </c>
      <c r="K21" s="102">
        <f t="shared" si="431"/>
        <v>3.8417E-2</v>
      </c>
      <c r="L21" s="102">
        <f t="shared" si="431"/>
        <v>2.6225000000000002E-2</v>
      </c>
      <c r="M21" s="102">
        <f t="shared" si="431"/>
        <v>0.87345577707057875</v>
      </c>
      <c r="N21" s="102">
        <f t="shared" si="431"/>
        <v>7.9426693115275018E-2</v>
      </c>
      <c r="O21" s="102">
        <f t="shared" si="431"/>
        <v>8.776500000000001E-2</v>
      </c>
      <c r="P21" s="102">
        <f t="shared" si="431"/>
        <v>0</v>
      </c>
      <c r="Q21" s="101">
        <f t="shared" si="431"/>
        <v>3.6166806996513161</v>
      </c>
      <c r="R21" s="101">
        <f t="shared" si="431"/>
        <v>30.165371398073162</v>
      </c>
      <c r="S21" s="101">
        <f t="shared" si="431"/>
        <v>31.28054591895086</v>
      </c>
      <c r="T21" s="101">
        <f t="shared" si="431"/>
        <v>2.5015061787736208</v>
      </c>
      <c r="U21" s="102">
        <f t="shared" si="431"/>
        <v>9.344384555408658E-2</v>
      </c>
      <c r="V21" s="102">
        <f t="shared" si="431"/>
        <v>0.18411341359560507</v>
      </c>
      <c r="W21" s="102">
        <f t="shared" si="431"/>
        <v>0.3053870655033929</v>
      </c>
      <c r="X21" s="1029">
        <f t="shared" si="431"/>
        <v>3.5631499999999998</v>
      </c>
      <c r="Y21" s="1029">
        <f t="shared" si="431"/>
        <v>8.0374300000000005</v>
      </c>
      <c r="Z21" s="102">
        <f t="shared" si="431"/>
        <v>4.7245967300767293E-2</v>
      </c>
      <c r="AA21" s="101">
        <f t="shared" si="431"/>
        <v>3.2484292924091052</v>
      </c>
      <c r="AB21" s="102">
        <f t="shared" si="431"/>
        <v>3.5382149092137244E-2</v>
      </c>
      <c r="AC21" s="102">
        <f t="shared" si="431"/>
        <v>0.24818499596665769</v>
      </c>
      <c r="AD21" s="101">
        <f t="shared" si="431"/>
        <v>6.7716200000000004</v>
      </c>
      <c r="AE21" s="103">
        <f t="shared" si="431"/>
        <v>0.66174999999999995</v>
      </c>
      <c r="AF21" s="104"/>
      <c r="AG21" s="702">
        <f t="shared" ref="AG21:CR21" si="432">IFERROR(MIN(AG8:AG17),"")</f>
        <v>0.12756200000000001</v>
      </c>
      <c r="AH21" s="700">
        <f t="shared" si="432"/>
        <v>0</v>
      </c>
      <c r="AI21" s="700">
        <f t="shared" si="432"/>
        <v>0</v>
      </c>
      <c r="AJ21" s="700">
        <f t="shared" si="432"/>
        <v>0</v>
      </c>
      <c r="AK21" s="700">
        <f t="shared" si="432"/>
        <v>0</v>
      </c>
      <c r="AL21" s="700">
        <f t="shared" si="432"/>
        <v>0</v>
      </c>
      <c r="AM21" s="700">
        <f t="shared" si="432"/>
        <v>0</v>
      </c>
      <c r="AN21" s="700">
        <f t="shared" si="432"/>
        <v>0</v>
      </c>
      <c r="AO21" s="700">
        <f t="shared" si="432"/>
        <v>0</v>
      </c>
      <c r="AP21" s="700">
        <f t="shared" si="432"/>
        <v>0</v>
      </c>
      <c r="AQ21" s="700">
        <f t="shared" si="432"/>
        <v>0</v>
      </c>
      <c r="AR21" s="700">
        <f t="shared" si="432"/>
        <v>0</v>
      </c>
      <c r="AS21" s="700">
        <f t="shared" si="432"/>
        <v>0</v>
      </c>
      <c r="AT21" s="700">
        <f t="shared" si="432"/>
        <v>0</v>
      </c>
      <c r="AU21" s="700">
        <f t="shared" si="432"/>
        <v>0</v>
      </c>
      <c r="AV21" s="700">
        <f t="shared" si="432"/>
        <v>0</v>
      </c>
      <c r="AW21" s="700">
        <f t="shared" si="432"/>
        <v>0</v>
      </c>
      <c r="AX21" s="700">
        <f t="shared" si="432"/>
        <v>0</v>
      </c>
      <c r="AY21" s="700">
        <f t="shared" si="432"/>
        <v>0</v>
      </c>
      <c r="AZ21" s="701">
        <f t="shared" si="432"/>
        <v>0</v>
      </c>
      <c r="BA21" s="699">
        <f t="shared" si="432"/>
        <v>4.6349999999999995E-2</v>
      </c>
      <c r="BB21" s="700">
        <f t="shared" si="432"/>
        <v>0</v>
      </c>
      <c r="BC21" s="700">
        <f t="shared" si="432"/>
        <v>0</v>
      </c>
      <c r="BD21" s="700">
        <f t="shared" si="432"/>
        <v>0</v>
      </c>
      <c r="BE21" s="700">
        <f t="shared" si="432"/>
        <v>0</v>
      </c>
      <c r="BF21" s="700">
        <f t="shared" si="432"/>
        <v>0</v>
      </c>
      <c r="BG21" s="700">
        <f t="shared" si="432"/>
        <v>0</v>
      </c>
      <c r="BH21" s="700">
        <f t="shared" si="432"/>
        <v>0</v>
      </c>
      <c r="BI21" s="700">
        <f t="shared" si="432"/>
        <v>0</v>
      </c>
      <c r="BJ21" s="700">
        <f t="shared" si="432"/>
        <v>0</v>
      </c>
      <c r="BK21" s="700">
        <f t="shared" si="432"/>
        <v>0</v>
      </c>
      <c r="BL21" s="700">
        <f t="shared" si="432"/>
        <v>0</v>
      </c>
      <c r="BM21" s="700">
        <f t="shared" si="432"/>
        <v>0</v>
      </c>
      <c r="BN21" s="700">
        <f t="shared" si="432"/>
        <v>0</v>
      </c>
      <c r="BO21" s="700">
        <f t="shared" si="432"/>
        <v>0</v>
      </c>
      <c r="BP21" s="700">
        <f t="shared" si="432"/>
        <v>0</v>
      </c>
      <c r="BQ21" s="700">
        <f t="shared" si="432"/>
        <v>0</v>
      </c>
      <c r="BR21" s="700">
        <f t="shared" si="432"/>
        <v>0</v>
      </c>
      <c r="BS21" s="700">
        <f t="shared" si="432"/>
        <v>0</v>
      </c>
      <c r="BT21" s="701">
        <f t="shared" si="432"/>
        <v>0</v>
      </c>
      <c r="BU21" s="699">
        <f t="shared" si="432"/>
        <v>3.7442000000000003E-2</v>
      </c>
      <c r="BV21" s="700">
        <f t="shared" si="432"/>
        <v>0</v>
      </c>
      <c r="BW21" s="700">
        <f t="shared" si="432"/>
        <v>0</v>
      </c>
      <c r="BX21" s="700">
        <f t="shared" si="432"/>
        <v>0</v>
      </c>
      <c r="BY21" s="700">
        <f t="shared" si="432"/>
        <v>0</v>
      </c>
      <c r="BZ21" s="700">
        <f t="shared" si="432"/>
        <v>0</v>
      </c>
      <c r="CA21" s="700">
        <f t="shared" si="432"/>
        <v>0</v>
      </c>
      <c r="CB21" s="700">
        <f t="shared" si="432"/>
        <v>0</v>
      </c>
      <c r="CC21" s="700">
        <f t="shared" si="432"/>
        <v>0</v>
      </c>
      <c r="CD21" s="700">
        <f t="shared" si="432"/>
        <v>0</v>
      </c>
      <c r="CE21" s="700">
        <f t="shared" si="432"/>
        <v>0</v>
      </c>
      <c r="CF21" s="700">
        <f t="shared" si="432"/>
        <v>0</v>
      </c>
      <c r="CG21" s="700">
        <f t="shared" si="432"/>
        <v>0</v>
      </c>
      <c r="CH21" s="700">
        <f t="shared" si="432"/>
        <v>0</v>
      </c>
      <c r="CI21" s="700">
        <f t="shared" si="432"/>
        <v>0</v>
      </c>
      <c r="CJ21" s="700">
        <f t="shared" si="432"/>
        <v>0</v>
      </c>
      <c r="CK21" s="700">
        <f t="shared" si="432"/>
        <v>0</v>
      </c>
      <c r="CL21" s="700">
        <f t="shared" si="432"/>
        <v>0</v>
      </c>
      <c r="CM21" s="700">
        <f t="shared" si="432"/>
        <v>0</v>
      </c>
      <c r="CN21" s="701">
        <f t="shared" si="432"/>
        <v>0</v>
      </c>
      <c r="CO21" s="699">
        <f t="shared" si="432"/>
        <v>2.5432E-2</v>
      </c>
      <c r="CP21" s="700">
        <f t="shared" si="432"/>
        <v>0</v>
      </c>
      <c r="CQ21" s="700">
        <f t="shared" si="432"/>
        <v>0</v>
      </c>
      <c r="CR21" s="700">
        <f t="shared" si="432"/>
        <v>0</v>
      </c>
      <c r="CS21" s="700">
        <f t="shared" ref="CS21:FD21" si="433">IFERROR(MIN(CS8:CS17),"")</f>
        <v>0</v>
      </c>
      <c r="CT21" s="700">
        <f t="shared" si="433"/>
        <v>0</v>
      </c>
      <c r="CU21" s="700">
        <f t="shared" si="433"/>
        <v>0</v>
      </c>
      <c r="CV21" s="700">
        <f t="shared" si="433"/>
        <v>0</v>
      </c>
      <c r="CW21" s="700">
        <f t="shared" si="433"/>
        <v>0</v>
      </c>
      <c r="CX21" s="700">
        <f t="shared" si="433"/>
        <v>0</v>
      </c>
      <c r="CY21" s="700">
        <f t="shared" si="433"/>
        <v>0</v>
      </c>
      <c r="CZ21" s="700">
        <f t="shared" si="433"/>
        <v>0</v>
      </c>
      <c r="DA21" s="700">
        <f t="shared" si="433"/>
        <v>0</v>
      </c>
      <c r="DB21" s="700">
        <f t="shared" si="433"/>
        <v>0</v>
      </c>
      <c r="DC21" s="700">
        <f t="shared" si="433"/>
        <v>0</v>
      </c>
      <c r="DD21" s="700">
        <f t="shared" si="433"/>
        <v>0</v>
      </c>
      <c r="DE21" s="700">
        <f t="shared" si="433"/>
        <v>0</v>
      </c>
      <c r="DF21" s="700">
        <f t="shared" si="433"/>
        <v>0</v>
      </c>
      <c r="DG21" s="700">
        <f t="shared" si="433"/>
        <v>0</v>
      </c>
      <c r="DH21" s="701">
        <f t="shared" si="433"/>
        <v>0</v>
      </c>
      <c r="DI21" s="699">
        <f t="shared" si="433"/>
        <v>0.87243702113411203</v>
      </c>
      <c r="DJ21" s="700">
        <f t="shared" si="433"/>
        <v>0</v>
      </c>
      <c r="DK21" s="700">
        <f t="shared" si="433"/>
        <v>0</v>
      </c>
      <c r="DL21" s="700">
        <f t="shared" si="433"/>
        <v>0</v>
      </c>
      <c r="DM21" s="700">
        <f t="shared" si="433"/>
        <v>0</v>
      </c>
      <c r="DN21" s="700">
        <f t="shared" si="433"/>
        <v>0</v>
      </c>
      <c r="DO21" s="700">
        <f t="shared" si="433"/>
        <v>0</v>
      </c>
      <c r="DP21" s="700">
        <f t="shared" si="433"/>
        <v>0</v>
      </c>
      <c r="DQ21" s="700">
        <f t="shared" si="433"/>
        <v>0</v>
      </c>
      <c r="DR21" s="700">
        <f t="shared" si="433"/>
        <v>0</v>
      </c>
      <c r="DS21" s="700">
        <f t="shared" si="433"/>
        <v>0</v>
      </c>
      <c r="DT21" s="700">
        <f t="shared" si="433"/>
        <v>0</v>
      </c>
      <c r="DU21" s="700">
        <f t="shared" si="433"/>
        <v>0</v>
      </c>
      <c r="DV21" s="700">
        <f t="shared" si="433"/>
        <v>0</v>
      </c>
      <c r="DW21" s="700">
        <f t="shared" si="433"/>
        <v>0</v>
      </c>
      <c r="DX21" s="700">
        <f t="shared" si="433"/>
        <v>0</v>
      </c>
      <c r="DY21" s="700">
        <f t="shared" si="433"/>
        <v>0</v>
      </c>
      <c r="DZ21" s="700">
        <f t="shared" si="433"/>
        <v>0</v>
      </c>
      <c r="EA21" s="700">
        <f t="shared" si="433"/>
        <v>0</v>
      </c>
      <c r="EB21" s="701">
        <f t="shared" si="433"/>
        <v>0</v>
      </c>
      <c r="EC21" s="699">
        <f t="shared" si="433"/>
        <v>8.1212700163479146E-2</v>
      </c>
      <c r="ED21" s="700">
        <f t="shared" si="433"/>
        <v>0</v>
      </c>
      <c r="EE21" s="700">
        <f t="shared" si="433"/>
        <v>0</v>
      </c>
      <c r="EF21" s="700">
        <f t="shared" si="433"/>
        <v>0</v>
      </c>
      <c r="EG21" s="700">
        <f t="shared" si="433"/>
        <v>0</v>
      </c>
      <c r="EH21" s="700">
        <f t="shared" si="433"/>
        <v>0</v>
      </c>
      <c r="EI21" s="700">
        <f t="shared" si="433"/>
        <v>0</v>
      </c>
      <c r="EJ21" s="700">
        <f t="shared" si="433"/>
        <v>0</v>
      </c>
      <c r="EK21" s="700">
        <f t="shared" si="433"/>
        <v>0</v>
      </c>
      <c r="EL21" s="700">
        <f t="shared" si="433"/>
        <v>0</v>
      </c>
      <c r="EM21" s="700">
        <f t="shared" si="433"/>
        <v>0</v>
      </c>
      <c r="EN21" s="700">
        <f t="shared" si="433"/>
        <v>0</v>
      </c>
      <c r="EO21" s="700">
        <f t="shared" si="433"/>
        <v>0</v>
      </c>
      <c r="EP21" s="700">
        <f t="shared" si="433"/>
        <v>0</v>
      </c>
      <c r="EQ21" s="700">
        <f t="shared" si="433"/>
        <v>0</v>
      </c>
      <c r="ER21" s="700">
        <f t="shared" si="433"/>
        <v>0</v>
      </c>
      <c r="ES21" s="700">
        <f t="shared" si="433"/>
        <v>0</v>
      </c>
      <c r="ET21" s="700">
        <f t="shared" si="433"/>
        <v>0</v>
      </c>
      <c r="EU21" s="700">
        <f t="shared" si="433"/>
        <v>0</v>
      </c>
      <c r="EV21" s="701">
        <f t="shared" si="433"/>
        <v>0</v>
      </c>
      <c r="EW21" s="699">
        <f t="shared" si="433"/>
        <v>8.9746000000000006E-2</v>
      </c>
      <c r="EX21" s="700">
        <f t="shared" si="433"/>
        <v>0</v>
      </c>
      <c r="EY21" s="700">
        <f t="shared" si="433"/>
        <v>0</v>
      </c>
      <c r="EZ21" s="700">
        <f t="shared" si="433"/>
        <v>0</v>
      </c>
      <c r="FA21" s="700">
        <f t="shared" si="433"/>
        <v>0</v>
      </c>
      <c r="FB21" s="700">
        <f t="shared" si="433"/>
        <v>0</v>
      </c>
      <c r="FC21" s="700">
        <f t="shared" si="433"/>
        <v>0</v>
      </c>
      <c r="FD21" s="700">
        <f t="shared" si="433"/>
        <v>0</v>
      </c>
      <c r="FE21" s="700">
        <f t="shared" ref="FE21:HP21" si="434">IFERROR(MIN(FE8:FE17),"")</f>
        <v>0</v>
      </c>
      <c r="FF21" s="700">
        <f t="shared" si="434"/>
        <v>0</v>
      </c>
      <c r="FG21" s="700">
        <f t="shared" si="434"/>
        <v>0</v>
      </c>
      <c r="FH21" s="700">
        <f t="shared" si="434"/>
        <v>0</v>
      </c>
      <c r="FI21" s="700">
        <f t="shared" si="434"/>
        <v>0</v>
      </c>
      <c r="FJ21" s="700">
        <f t="shared" si="434"/>
        <v>0</v>
      </c>
      <c r="FK21" s="700">
        <f t="shared" si="434"/>
        <v>0</v>
      </c>
      <c r="FL21" s="700">
        <f t="shared" si="434"/>
        <v>0</v>
      </c>
      <c r="FM21" s="700">
        <f t="shared" si="434"/>
        <v>0</v>
      </c>
      <c r="FN21" s="700">
        <f t="shared" si="434"/>
        <v>0</v>
      </c>
      <c r="FO21" s="700">
        <f t="shared" si="434"/>
        <v>0</v>
      </c>
      <c r="FP21" s="701">
        <f t="shared" si="434"/>
        <v>0</v>
      </c>
      <c r="FQ21" s="699">
        <f t="shared" si="434"/>
        <v>0</v>
      </c>
      <c r="FR21" s="700">
        <f t="shared" si="434"/>
        <v>0</v>
      </c>
      <c r="FS21" s="700">
        <f t="shared" si="434"/>
        <v>0</v>
      </c>
      <c r="FT21" s="700">
        <f t="shared" si="434"/>
        <v>0</v>
      </c>
      <c r="FU21" s="700">
        <f t="shared" si="434"/>
        <v>0</v>
      </c>
      <c r="FV21" s="700">
        <f t="shared" si="434"/>
        <v>0</v>
      </c>
      <c r="FW21" s="700">
        <f t="shared" si="434"/>
        <v>0</v>
      </c>
      <c r="FX21" s="700">
        <f t="shared" si="434"/>
        <v>0</v>
      </c>
      <c r="FY21" s="700">
        <f t="shared" si="434"/>
        <v>0</v>
      </c>
      <c r="FZ21" s="700">
        <f t="shared" si="434"/>
        <v>0</v>
      </c>
      <c r="GA21" s="700">
        <f t="shared" si="434"/>
        <v>0</v>
      </c>
      <c r="GB21" s="700">
        <f t="shared" si="434"/>
        <v>0</v>
      </c>
      <c r="GC21" s="700">
        <f t="shared" si="434"/>
        <v>0</v>
      </c>
      <c r="GD21" s="700">
        <f t="shared" si="434"/>
        <v>0</v>
      </c>
      <c r="GE21" s="700">
        <f t="shared" si="434"/>
        <v>0</v>
      </c>
      <c r="GF21" s="700">
        <f t="shared" si="434"/>
        <v>0</v>
      </c>
      <c r="GG21" s="700">
        <f t="shared" si="434"/>
        <v>0</v>
      </c>
      <c r="GH21" s="700">
        <f t="shared" si="434"/>
        <v>0</v>
      </c>
      <c r="GI21" s="700">
        <f t="shared" si="434"/>
        <v>0</v>
      </c>
      <c r="GJ21" s="701">
        <f t="shared" si="434"/>
        <v>0</v>
      </c>
      <c r="GK21" s="598">
        <f t="shared" si="434"/>
        <v>3.2153443895136986</v>
      </c>
      <c r="GL21" s="599">
        <f t="shared" si="434"/>
        <v>0</v>
      </c>
      <c r="GM21" s="599">
        <f t="shared" si="434"/>
        <v>0</v>
      </c>
      <c r="GN21" s="599">
        <f t="shared" si="434"/>
        <v>0</v>
      </c>
      <c r="GO21" s="599">
        <f t="shared" si="434"/>
        <v>0</v>
      </c>
      <c r="GP21" s="599">
        <f t="shared" si="434"/>
        <v>0</v>
      </c>
      <c r="GQ21" s="599">
        <f t="shared" si="434"/>
        <v>0</v>
      </c>
      <c r="GR21" s="599">
        <f t="shared" si="434"/>
        <v>0</v>
      </c>
      <c r="GS21" s="599">
        <f t="shared" si="434"/>
        <v>0</v>
      </c>
      <c r="GT21" s="599">
        <f t="shared" si="434"/>
        <v>0</v>
      </c>
      <c r="GU21" s="599">
        <f t="shared" si="434"/>
        <v>0</v>
      </c>
      <c r="GV21" s="599">
        <f t="shared" si="434"/>
        <v>0</v>
      </c>
      <c r="GW21" s="599">
        <f t="shared" si="434"/>
        <v>0</v>
      </c>
      <c r="GX21" s="599">
        <f t="shared" si="434"/>
        <v>0</v>
      </c>
      <c r="GY21" s="599">
        <f t="shared" si="434"/>
        <v>0</v>
      </c>
      <c r="GZ21" s="599">
        <f t="shared" si="434"/>
        <v>0</v>
      </c>
      <c r="HA21" s="599">
        <f t="shared" si="434"/>
        <v>0</v>
      </c>
      <c r="HB21" s="599">
        <f t="shared" si="434"/>
        <v>0</v>
      </c>
      <c r="HC21" s="599">
        <f t="shared" si="434"/>
        <v>0</v>
      </c>
      <c r="HD21" s="600">
        <f t="shared" si="434"/>
        <v>0</v>
      </c>
      <c r="HE21" s="598">
        <f t="shared" si="434"/>
        <v>32.799486956619894</v>
      </c>
      <c r="HF21" s="599">
        <f t="shared" si="434"/>
        <v>0</v>
      </c>
      <c r="HG21" s="599">
        <f t="shared" si="434"/>
        <v>0</v>
      </c>
      <c r="HH21" s="599">
        <f t="shared" si="434"/>
        <v>0</v>
      </c>
      <c r="HI21" s="599">
        <f t="shared" si="434"/>
        <v>0</v>
      </c>
      <c r="HJ21" s="599">
        <f t="shared" si="434"/>
        <v>0</v>
      </c>
      <c r="HK21" s="599">
        <f t="shared" si="434"/>
        <v>0</v>
      </c>
      <c r="HL21" s="599">
        <f t="shared" si="434"/>
        <v>0</v>
      </c>
      <c r="HM21" s="599">
        <f t="shared" si="434"/>
        <v>0</v>
      </c>
      <c r="HN21" s="599">
        <f t="shared" si="434"/>
        <v>0</v>
      </c>
      <c r="HO21" s="599">
        <f t="shared" si="434"/>
        <v>0</v>
      </c>
      <c r="HP21" s="599">
        <f t="shared" si="434"/>
        <v>0</v>
      </c>
      <c r="HQ21" s="599">
        <f t="shared" ref="HQ21:KB21" si="435">IFERROR(MIN(HQ8:HQ17),"")</f>
        <v>0</v>
      </c>
      <c r="HR21" s="599">
        <f t="shared" si="435"/>
        <v>0</v>
      </c>
      <c r="HS21" s="599">
        <f t="shared" si="435"/>
        <v>0</v>
      </c>
      <c r="HT21" s="599">
        <f t="shared" si="435"/>
        <v>0</v>
      </c>
      <c r="HU21" s="599">
        <f t="shared" si="435"/>
        <v>0</v>
      </c>
      <c r="HV21" s="599">
        <f t="shared" si="435"/>
        <v>0</v>
      </c>
      <c r="HW21" s="599">
        <f t="shared" si="435"/>
        <v>0</v>
      </c>
      <c r="HX21" s="600">
        <f t="shared" si="435"/>
        <v>0</v>
      </c>
      <c r="HY21" s="598">
        <f t="shared" si="435"/>
        <v>37.673624829267737</v>
      </c>
      <c r="HZ21" s="599">
        <f t="shared" si="435"/>
        <v>0</v>
      </c>
      <c r="IA21" s="599">
        <f t="shared" si="435"/>
        <v>0</v>
      </c>
      <c r="IB21" s="599">
        <f t="shared" si="435"/>
        <v>0</v>
      </c>
      <c r="IC21" s="599">
        <f t="shared" si="435"/>
        <v>0</v>
      </c>
      <c r="ID21" s="599">
        <f t="shared" si="435"/>
        <v>0</v>
      </c>
      <c r="IE21" s="599">
        <f t="shared" si="435"/>
        <v>0</v>
      </c>
      <c r="IF21" s="599">
        <f t="shared" si="435"/>
        <v>0</v>
      </c>
      <c r="IG21" s="599">
        <f t="shared" si="435"/>
        <v>0</v>
      </c>
      <c r="IH21" s="599">
        <f t="shared" si="435"/>
        <v>0</v>
      </c>
      <c r="II21" s="599">
        <f t="shared" si="435"/>
        <v>0</v>
      </c>
      <c r="IJ21" s="599">
        <f t="shared" si="435"/>
        <v>0</v>
      </c>
      <c r="IK21" s="599">
        <f t="shared" si="435"/>
        <v>0</v>
      </c>
      <c r="IL21" s="599">
        <f t="shared" si="435"/>
        <v>0</v>
      </c>
      <c r="IM21" s="599">
        <f t="shared" si="435"/>
        <v>0</v>
      </c>
      <c r="IN21" s="599">
        <f t="shared" si="435"/>
        <v>0</v>
      </c>
      <c r="IO21" s="599">
        <f t="shared" si="435"/>
        <v>0</v>
      </c>
      <c r="IP21" s="599">
        <f t="shared" si="435"/>
        <v>0</v>
      </c>
      <c r="IQ21" s="599">
        <f t="shared" si="435"/>
        <v>0</v>
      </c>
      <c r="IR21" s="600">
        <f t="shared" si="435"/>
        <v>0</v>
      </c>
      <c r="IS21" s="598">
        <f t="shared" si="435"/>
        <v>-1.6587934831341471</v>
      </c>
      <c r="IT21" s="599">
        <f t="shared" si="435"/>
        <v>0</v>
      </c>
      <c r="IU21" s="599">
        <f t="shared" si="435"/>
        <v>0</v>
      </c>
      <c r="IV21" s="599">
        <f t="shared" si="435"/>
        <v>0</v>
      </c>
      <c r="IW21" s="599">
        <f t="shared" si="435"/>
        <v>0</v>
      </c>
      <c r="IX21" s="599">
        <f t="shared" si="435"/>
        <v>0</v>
      </c>
      <c r="IY21" s="599">
        <f t="shared" si="435"/>
        <v>0</v>
      </c>
      <c r="IZ21" s="599">
        <f t="shared" si="435"/>
        <v>0</v>
      </c>
      <c r="JA21" s="599">
        <f t="shared" si="435"/>
        <v>0</v>
      </c>
      <c r="JB21" s="599">
        <f t="shared" si="435"/>
        <v>0</v>
      </c>
      <c r="JC21" s="599">
        <f t="shared" si="435"/>
        <v>0</v>
      </c>
      <c r="JD21" s="599">
        <f t="shared" si="435"/>
        <v>0</v>
      </c>
      <c r="JE21" s="599">
        <f t="shared" si="435"/>
        <v>0</v>
      </c>
      <c r="JF21" s="599">
        <f t="shared" si="435"/>
        <v>0</v>
      </c>
      <c r="JG21" s="599">
        <f t="shared" si="435"/>
        <v>0</v>
      </c>
      <c r="JH21" s="599">
        <f t="shared" si="435"/>
        <v>0</v>
      </c>
      <c r="JI21" s="599">
        <f t="shared" si="435"/>
        <v>0</v>
      </c>
      <c r="JJ21" s="599">
        <f t="shared" si="435"/>
        <v>0</v>
      </c>
      <c r="JK21" s="599">
        <f t="shared" si="435"/>
        <v>0</v>
      </c>
      <c r="JL21" s="600">
        <f t="shared" si="435"/>
        <v>0</v>
      </c>
      <c r="JM21" s="699">
        <f t="shared" si="435"/>
        <v>4.711843375155108E-2</v>
      </c>
      <c r="JN21" s="700">
        <f t="shared" si="435"/>
        <v>0</v>
      </c>
      <c r="JO21" s="700">
        <f t="shared" si="435"/>
        <v>0</v>
      </c>
      <c r="JP21" s="700">
        <f t="shared" si="435"/>
        <v>0</v>
      </c>
      <c r="JQ21" s="700">
        <f t="shared" si="435"/>
        <v>0</v>
      </c>
      <c r="JR21" s="700">
        <f t="shared" si="435"/>
        <v>0</v>
      </c>
      <c r="JS21" s="700">
        <f t="shared" si="435"/>
        <v>0</v>
      </c>
      <c r="JT21" s="700">
        <f t="shared" si="435"/>
        <v>0</v>
      </c>
      <c r="JU21" s="700">
        <f t="shared" si="435"/>
        <v>0</v>
      </c>
      <c r="JV21" s="700">
        <f t="shared" si="435"/>
        <v>0</v>
      </c>
      <c r="JW21" s="700">
        <f t="shared" si="435"/>
        <v>0</v>
      </c>
      <c r="JX21" s="700">
        <f t="shared" si="435"/>
        <v>0</v>
      </c>
      <c r="JY21" s="700">
        <f t="shared" si="435"/>
        <v>0</v>
      </c>
      <c r="JZ21" s="700">
        <f t="shared" si="435"/>
        <v>0</v>
      </c>
      <c r="KA21" s="700">
        <f t="shared" si="435"/>
        <v>0</v>
      </c>
      <c r="KB21" s="700">
        <f t="shared" si="435"/>
        <v>0</v>
      </c>
      <c r="KC21" s="700">
        <f t="shared" ref="KC21:MN21" si="436">IFERROR(MIN(KC8:KC17),"")</f>
        <v>0</v>
      </c>
      <c r="KD21" s="700">
        <f t="shared" si="436"/>
        <v>0</v>
      </c>
      <c r="KE21" s="700">
        <f t="shared" si="436"/>
        <v>0</v>
      </c>
      <c r="KF21" s="701">
        <f t="shared" si="436"/>
        <v>0</v>
      </c>
      <c r="KG21" s="108">
        <f t="shared" si="436"/>
        <v>3.2659099999999999</v>
      </c>
      <c r="KH21" s="109">
        <f t="shared" si="436"/>
        <v>0</v>
      </c>
      <c r="KI21" s="109">
        <f t="shared" si="436"/>
        <v>0</v>
      </c>
      <c r="KJ21" s="109">
        <f t="shared" si="436"/>
        <v>0</v>
      </c>
      <c r="KK21" s="109">
        <f t="shared" si="436"/>
        <v>0</v>
      </c>
      <c r="KL21" s="109">
        <f t="shared" si="436"/>
        <v>0</v>
      </c>
      <c r="KM21" s="109">
        <f t="shared" si="436"/>
        <v>0</v>
      </c>
      <c r="KN21" s="109">
        <f t="shared" si="436"/>
        <v>0</v>
      </c>
      <c r="KO21" s="109">
        <f t="shared" si="436"/>
        <v>0</v>
      </c>
      <c r="KP21" s="109">
        <f t="shared" si="436"/>
        <v>0</v>
      </c>
      <c r="KQ21" s="109">
        <f t="shared" si="436"/>
        <v>0</v>
      </c>
      <c r="KR21" s="109">
        <f t="shared" si="436"/>
        <v>0</v>
      </c>
      <c r="KS21" s="109">
        <f t="shared" si="436"/>
        <v>0</v>
      </c>
      <c r="KT21" s="109">
        <f t="shared" si="436"/>
        <v>0</v>
      </c>
      <c r="KU21" s="109">
        <f t="shared" si="436"/>
        <v>0</v>
      </c>
      <c r="KV21" s="109">
        <f t="shared" si="436"/>
        <v>0</v>
      </c>
      <c r="KW21" s="109">
        <f t="shared" si="436"/>
        <v>0</v>
      </c>
      <c r="KX21" s="109">
        <f t="shared" si="436"/>
        <v>0</v>
      </c>
      <c r="KY21" s="109">
        <f t="shared" si="436"/>
        <v>0</v>
      </c>
      <c r="KZ21" s="110">
        <f t="shared" si="436"/>
        <v>0</v>
      </c>
      <c r="LA21" s="108">
        <f t="shared" si="436"/>
        <v>11.128220000000001</v>
      </c>
      <c r="LB21" s="108">
        <f t="shared" si="436"/>
        <v>0</v>
      </c>
      <c r="LC21" s="108">
        <f t="shared" si="436"/>
        <v>0</v>
      </c>
      <c r="LD21" s="108">
        <f t="shared" si="436"/>
        <v>0</v>
      </c>
      <c r="LE21" s="108">
        <f t="shared" si="436"/>
        <v>0</v>
      </c>
      <c r="LF21" s="108">
        <f t="shared" si="436"/>
        <v>0</v>
      </c>
      <c r="LG21" s="108">
        <f t="shared" si="436"/>
        <v>0</v>
      </c>
      <c r="LH21" s="108">
        <f t="shared" si="436"/>
        <v>0</v>
      </c>
      <c r="LI21" s="108">
        <f t="shared" si="436"/>
        <v>0</v>
      </c>
      <c r="LJ21" s="108">
        <f t="shared" si="436"/>
        <v>0</v>
      </c>
      <c r="LK21" s="108">
        <f t="shared" si="436"/>
        <v>0</v>
      </c>
      <c r="LL21" s="108">
        <f t="shared" si="436"/>
        <v>0</v>
      </c>
      <c r="LM21" s="108">
        <f t="shared" si="436"/>
        <v>0</v>
      </c>
      <c r="LN21" s="108">
        <f t="shared" si="436"/>
        <v>0</v>
      </c>
      <c r="LO21" s="108">
        <f t="shared" si="436"/>
        <v>0</v>
      </c>
      <c r="LP21" s="108">
        <f t="shared" si="436"/>
        <v>0</v>
      </c>
      <c r="LQ21" s="108">
        <f t="shared" si="436"/>
        <v>0</v>
      </c>
      <c r="LR21" s="108">
        <f t="shared" si="436"/>
        <v>0</v>
      </c>
      <c r="LS21" s="108">
        <f t="shared" si="436"/>
        <v>0</v>
      </c>
      <c r="LT21" s="108">
        <f t="shared" si="436"/>
        <v>0</v>
      </c>
      <c r="LU21" s="108">
        <f t="shared" si="436"/>
        <v>113.51817</v>
      </c>
      <c r="LV21" s="108">
        <f t="shared" si="436"/>
        <v>0</v>
      </c>
      <c r="LW21" s="108">
        <f t="shared" si="436"/>
        <v>0</v>
      </c>
      <c r="LX21" s="108">
        <f t="shared" si="436"/>
        <v>0</v>
      </c>
      <c r="LY21" s="108">
        <f t="shared" si="436"/>
        <v>0</v>
      </c>
      <c r="LZ21" s="108">
        <f t="shared" si="436"/>
        <v>0</v>
      </c>
      <c r="MA21" s="108">
        <f t="shared" si="436"/>
        <v>0</v>
      </c>
      <c r="MB21" s="108">
        <f t="shared" si="436"/>
        <v>0</v>
      </c>
      <c r="MC21" s="108">
        <f t="shared" si="436"/>
        <v>0</v>
      </c>
      <c r="MD21" s="108">
        <f t="shared" si="436"/>
        <v>0</v>
      </c>
      <c r="ME21" s="108">
        <f t="shared" si="436"/>
        <v>0</v>
      </c>
      <c r="MF21" s="108">
        <f t="shared" si="436"/>
        <v>0</v>
      </c>
      <c r="MG21" s="108">
        <f t="shared" si="436"/>
        <v>0</v>
      </c>
      <c r="MH21" s="108">
        <f t="shared" si="436"/>
        <v>0</v>
      </c>
      <c r="MI21" s="108">
        <f t="shared" si="436"/>
        <v>0</v>
      </c>
      <c r="MJ21" s="108">
        <f t="shared" si="436"/>
        <v>0</v>
      </c>
      <c r="MK21" s="108">
        <f t="shared" si="436"/>
        <v>0</v>
      </c>
      <c r="ML21" s="108">
        <f t="shared" si="436"/>
        <v>0</v>
      </c>
      <c r="MM21" s="108">
        <f t="shared" si="436"/>
        <v>0</v>
      </c>
      <c r="MN21" s="108">
        <f t="shared" si="436"/>
        <v>0</v>
      </c>
      <c r="MO21" s="699">
        <f t="shared" ref="MO21:OZ21" si="437">IFERROR(MIN(MO8:MO17),"")</f>
        <v>0.45402185684749435</v>
      </c>
      <c r="MP21" s="699">
        <f t="shared" si="437"/>
        <v>0</v>
      </c>
      <c r="MQ21" s="699">
        <f t="shared" si="437"/>
        <v>0</v>
      </c>
      <c r="MR21" s="699">
        <f t="shared" si="437"/>
        <v>0</v>
      </c>
      <c r="MS21" s="699">
        <f t="shared" si="437"/>
        <v>0</v>
      </c>
      <c r="MT21" s="699">
        <f t="shared" si="437"/>
        <v>0</v>
      </c>
      <c r="MU21" s="699">
        <f t="shared" si="437"/>
        <v>0</v>
      </c>
      <c r="MV21" s="699">
        <f t="shared" si="437"/>
        <v>0</v>
      </c>
      <c r="MW21" s="699">
        <f t="shared" si="437"/>
        <v>0</v>
      </c>
      <c r="MX21" s="699">
        <f t="shared" si="437"/>
        <v>0</v>
      </c>
      <c r="MY21" s="699">
        <f t="shared" si="437"/>
        <v>0</v>
      </c>
      <c r="MZ21" s="699">
        <f t="shared" si="437"/>
        <v>0</v>
      </c>
      <c r="NA21" s="699">
        <f t="shared" si="437"/>
        <v>0</v>
      </c>
      <c r="NB21" s="699">
        <f t="shared" si="437"/>
        <v>0</v>
      </c>
      <c r="NC21" s="699">
        <f t="shared" si="437"/>
        <v>0</v>
      </c>
      <c r="ND21" s="699">
        <f t="shared" si="437"/>
        <v>0</v>
      </c>
      <c r="NE21" s="699">
        <f t="shared" si="437"/>
        <v>0</v>
      </c>
      <c r="NF21" s="699">
        <f t="shared" si="437"/>
        <v>0</v>
      </c>
      <c r="NG21" s="699">
        <f t="shared" si="437"/>
        <v>0</v>
      </c>
      <c r="NH21" s="699">
        <f t="shared" si="437"/>
        <v>0</v>
      </c>
      <c r="NI21" s="699">
        <f t="shared" si="437"/>
        <v>1.7343659244917715</v>
      </c>
      <c r="NJ21" s="699">
        <f t="shared" si="437"/>
        <v>0</v>
      </c>
      <c r="NK21" s="699">
        <f t="shared" si="437"/>
        <v>0</v>
      </c>
      <c r="NL21" s="699">
        <f t="shared" si="437"/>
        <v>0</v>
      </c>
      <c r="NM21" s="699">
        <f t="shared" si="437"/>
        <v>0</v>
      </c>
      <c r="NN21" s="699">
        <f t="shared" si="437"/>
        <v>0</v>
      </c>
      <c r="NO21" s="699">
        <f t="shared" si="437"/>
        <v>0</v>
      </c>
      <c r="NP21" s="699">
        <f t="shared" si="437"/>
        <v>0</v>
      </c>
      <c r="NQ21" s="699">
        <f t="shared" si="437"/>
        <v>0</v>
      </c>
      <c r="NR21" s="699">
        <f t="shared" si="437"/>
        <v>0</v>
      </c>
      <c r="NS21" s="699">
        <f t="shared" si="437"/>
        <v>0</v>
      </c>
      <c r="NT21" s="699">
        <f t="shared" si="437"/>
        <v>0</v>
      </c>
      <c r="NU21" s="699">
        <f t="shared" si="437"/>
        <v>0</v>
      </c>
      <c r="NV21" s="699">
        <f t="shared" si="437"/>
        <v>0</v>
      </c>
      <c r="NW21" s="699">
        <f t="shared" si="437"/>
        <v>0</v>
      </c>
      <c r="NX21" s="699">
        <f t="shared" si="437"/>
        <v>0</v>
      </c>
      <c r="NY21" s="699">
        <f t="shared" si="437"/>
        <v>0</v>
      </c>
      <c r="NZ21" s="699">
        <f t="shared" si="437"/>
        <v>0</v>
      </c>
      <c r="OA21" s="699">
        <f t="shared" si="437"/>
        <v>0</v>
      </c>
      <c r="OB21" s="699">
        <f t="shared" si="437"/>
        <v>0</v>
      </c>
      <c r="OC21" s="699">
        <f t="shared" si="437"/>
        <v>8.0520399466092019E-2</v>
      </c>
      <c r="OD21" s="700">
        <f t="shared" si="437"/>
        <v>0</v>
      </c>
      <c r="OE21" s="700">
        <f t="shared" si="437"/>
        <v>0</v>
      </c>
      <c r="OF21" s="700">
        <f t="shared" si="437"/>
        <v>0</v>
      </c>
      <c r="OG21" s="700">
        <f t="shared" si="437"/>
        <v>0</v>
      </c>
      <c r="OH21" s="700">
        <f t="shared" si="437"/>
        <v>0</v>
      </c>
      <c r="OI21" s="700">
        <f t="shared" si="437"/>
        <v>0</v>
      </c>
      <c r="OJ21" s="700">
        <f t="shared" si="437"/>
        <v>0</v>
      </c>
      <c r="OK21" s="700">
        <f t="shared" si="437"/>
        <v>0</v>
      </c>
      <c r="OL21" s="700">
        <f t="shared" si="437"/>
        <v>0</v>
      </c>
      <c r="OM21" s="700">
        <f t="shared" si="437"/>
        <v>0</v>
      </c>
      <c r="ON21" s="700">
        <f t="shared" si="437"/>
        <v>0</v>
      </c>
      <c r="OO21" s="700">
        <f t="shared" si="437"/>
        <v>0</v>
      </c>
      <c r="OP21" s="700">
        <f t="shared" si="437"/>
        <v>0</v>
      </c>
      <c r="OQ21" s="700">
        <f t="shared" si="437"/>
        <v>0</v>
      </c>
      <c r="OR21" s="700">
        <f t="shared" si="437"/>
        <v>0</v>
      </c>
      <c r="OS21" s="700">
        <f t="shared" si="437"/>
        <v>0</v>
      </c>
      <c r="OT21" s="700">
        <f t="shared" si="437"/>
        <v>0</v>
      </c>
      <c r="OU21" s="700">
        <f t="shared" si="437"/>
        <v>0</v>
      </c>
      <c r="OV21" s="701">
        <f t="shared" si="437"/>
        <v>0</v>
      </c>
      <c r="OW21" s="699">
        <f t="shared" si="437"/>
        <v>0.17159895128262248</v>
      </c>
      <c r="OX21" s="700">
        <f t="shared" si="437"/>
        <v>0</v>
      </c>
      <c r="OY21" s="700">
        <f t="shared" si="437"/>
        <v>0</v>
      </c>
      <c r="OZ21" s="700">
        <f t="shared" si="437"/>
        <v>0</v>
      </c>
      <c r="PA21" s="700">
        <f t="shared" ref="PA21:PP21" si="438">IFERROR(MIN(PA8:PA17),"")</f>
        <v>0</v>
      </c>
      <c r="PB21" s="700">
        <f t="shared" si="438"/>
        <v>0</v>
      </c>
      <c r="PC21" s="700">
        <f t="shared" si="438"/>
        <v>0</v>
      </c>
      <c r="PD21" s="700">
        <f t="shared" si="438"/>
        <v>0</v>
      </c>
      <c r="PE21" s="700">
        <f t="shared" si="438"/>
        <v>0</v>
      </c>
      <c r="PF21" s="700">
        <f t="shared" si="438"/>
        <v>0</v>
      </c>
      <c r="PG21" s="700">
        <f t="shared" si="438"/>
        <v>0</v>
      </c>
      <c r="PH21" s="700">
        <f t="shared" si="438"/>
        <v>0</v>
      </c>
      <c r="PI21" s="700">
        <f t="shared" si="438"/>
        <v>0</v>
      </c>
      <c r="PJ21" s="700">
        <f t="shared" si="438"/>
        <v>0</v>
      </c>
      <c r="PK21" s="700">
        <f t="shared" si="438"/>
        <v>0</v>
      </c>
      <c r="PL21" s="700">
        <f t="shared" si="438"/>
        <v>0</v>
      </c>
      <c r="PM21" s="700">
        <f t="shared" si="438"/>
        <v>0</v>
      </c>
      <c r="PN21" s="700">
        <f t="shared" si="438"/>
        <v>0</v>
      </c>
      <c r="PO21" s="700">
        <f t="shared" si="438"/>
        <v>0</v>
      </c>
      <c r="PP21" s="701">
        <f t="shared" si="438"/>
        <v>0</v>
      </c>
      <c r="PQ21" s="108">
        <f t="array" ref="PQ21">MIN(IF(PQ8:PQ17&gt;0,PQ8:PQ17))</f>
        <v>3.4744624383902942</v>
      </c>
      <c r="PR21" s="109">
        <f t="array" ref="PR21">MIN(IF(PR8:PR17&gt;0,PR8:PR17))</f>
        <v>0</v>
      </c>
      <c r="PS21" s="109">
        <f t="array" ref="PS21">MIN(IF(PS8:PS17&gt;0,PS8:PS17))</f>
        <v>0</v>
      </c>
      <c r="PT21" s="109">
        <f t="array" ref="PT21">MIN(IF(PT8:PT17&gt;0,PT8:PT17))</f>
        <v>0</v>
      </c>
      <c r="PU21" s="109">
        <f t="array" ref="PU21">MIN(IF(PU8:PU17&gt;0,PU8:PU17))</f>
        <v>0</v>
      </c>
      <c r="PV21" s="109">
        <f t="array" ref="PV21">MIN(IF(PV8:PV17&gt;0,PV8:PV17))</f>
        <v>0</v>
      </c>
      <c r="PW21" s="109">
        <f t="array" ref="PW21">MIN(IF(PW8:PW17&gt;0,PW8:PW17))</f>
        <v>0</v>
      </c>
      <c r="PX21" s="109">
        <f t="array" ref="PX21">MIN(IF(PX8:PX17&gt;0,PX8:PX17))</f>
        <v>0</v>
      </c>
      <c r="PY21" s="109">
        <f t="array" ref="PY21">MIN(IF(PY8:PY17&gt;0,PY8:PY17))</f>
        <v>0</v>
      </c>
      <c r="PZ21" s="109">
        <f t="array" ref="PZ21">MIN(IF(PZ8:PZ17&gt;0,PZ8:PZ17))</f>
        <v>0</v>
      </c>
      <c r="QA21" s="109">
        <f t="array" ref="QA21">MIN(IF(QA8:QA17&gt;0,QA8:QA17))</f>
        <v>0</v>
      </c>
      <c r="QB21" s="109">
        <f t="array" ref="QB21">MIN(IF(QB8:QB17&gt;0,QB8:QB17))</f>
        <v>0</v>
      </c>
      <c r="QC21" s="109">
        <f t="array" ref="QC21">MIN(IF(QC8:QC17&gt;0,QC8:QC17))</f>
        <v>0</v>
      </c>
      <c r="QD21" s="109">
        <f t="array" ref="QD21">MIN(IF(QD8:QD17&gt;0,QD8:QD17))</f>
        <v>0</v>
      </c>
      <c r="QE21" s="109">
        <f t="array" ref="QE21">MIN(IF(QE8:QE17&gt;0,QE8:QE17))</f>
        <v>0</v>
      </c>
      <c r="QF21" s="109">
        <f t="array" ref="QF21">MIN(IF(QF8:QF17&gt;0,QF8:QF17))</f>
        <v>0</v>
      </c>
      <c r="QG21" s="109">
        <f t="array" ref="QG21">MIN(IF(QG8:QG17&gt;0,QG8:QG17))</f>
        <v>0</v>
      </c>
      <c r="QH21" s="109">
        <f t="array" ref="QH21">MIN(IF(QH8:QH17&gt;0,QH8:QH17))</f>
        <v>0</v>
      </c>
      <c r="QI21" s="109">
        <f t="array" ref="QI21">MIN(IF(QI8:QI17&gt;0,QI8:QI17))</f>
        <v>0</v>
      </c>
      <c r="QJ21" s="110">
        <f t="array" ref="QJ21">MIN(IF(QJ8:QJ17&gt;0,QJ8:QJ17))</f>
        <v>0</v>
      </c>
      <c r="QK21" s="699">
        <f t="shared" ref="QK21:RP21" si="439">IFERROR(MIN(QK8:QK17),"")</f>
        <v>2.5555175599324246E-2</v>
      </c>
      <c r="QL21" s="700">
        <f t="shared" si="439"/>
        <v>0</v>
      </c>
      <c r="QM21" s="700">
        <f t="shared" si="439"/>
        <v>0</v>
      </c>
      <c r="QN21" s="700">
        <f t="shared" si="439"/>
        <v>0</v>
      </c>
      <c r="QO21" s="700">
        <f t="shared" si="439"/>
        <v>0</v>
      </c>
      <c r="QP21" s="700">
        <f t="shared" si="439"/>
        <v>0</v>
      </c>
      <c r="QQ21" s="700">
        <f t="shared" si="439"/>
        <v>0</v>
      </c>
      <c r="QR21" s="700">
        <f t="shared" si="439"/>
        <v>0</v>
      </c>
      <c r="QS21" s="700">
        <f t="shared" si="439"/>
        <v>0</v>
      </c>
      <c r="QT21" s="700">
        <f t="shared" si="439"/>
        <v>0</v>
      </c>
      <c r="QU21" s="700">
        <f t="shared" si="439"/>
        <v>0</v>
      </c>
      <c r="QV21" s="700">
        <f t="shared" si="439"/>
        <v>0</v>
      </c>
      <c r="QW21" s="700">
        <f t="shared" si="439"/>
        <v>0</v>
      </c>
      <c r="QX21" s="700">
        <f t="shared" si="439"/>
        <v>0</v>
      </c>
      <c r="QY21" s="700">
        <f t="shared" si="439"/>
        <v>0</v>
      </c>
      <c r="QZ21" s="700">
        <f t="shared" si="439"/>
        <v>0</v>
      </c>
      <c r="RA21" s="700">
        <f t="shared" si="439"/>
        <v>0</v>
      </c>
      <c r="RB21" s="700">
        <f t="shared" si="439"/>
        <v>0</v>
      </c>
      <c r="RC21" s="700">
        <f t="shared" si="439"/>
        <v>0</v>
      </c>
      <c r="RD21" s="701">
        <f t="shared" si="439"/>
        <v>0</v>
      </c>
      <c r="RE21" s="699">
        <f t="shared" si="439"/>
        <v>0.2918767670290594</v>
      </c>
      <c r="RF21" s="700">
        <f t="shared" si="439"/>
        <v>0</v>
      </c>
      <c r="RG21" s="700">
        <f t="shared" si="439"/>
        <v>0</v>
      </c>
      <c r="RH21" s="700">
        <f t="shared" si="439"/>
        <v>0</v>
      </c>
      <c r="RI21" s="700">
        <f t="shared" si="439"/>
        <v>0</v>
      </c>
      <c r="RJ21" s="700">
        <f t="shared" si="439"/>
        <v>0</v>
      </c>
      <c r="RK21" s="700">
        <f t="shared" si="439"/>
        <v>0</v>
      </c>
      <c r="RL21" s="700">
        <f t="shared" si="439"/>
        <v>0</v>
      </c>
      <c r="RM21" s="700">
        <f t="shared" si="439"/>
        <v>0</v>
      </c>
      <c r="RN21" s="700">
        <f t="shared" si="439"/>
        <v>0</v>
      </c>
      <c r="RO21" s="700">
        <f t="shared" si="439"/>
        <v>0</v>
      </c>
      <c r="RP21" s="700">
        <f t="shared" si="439"/>
        <v>0</v>
      </c>
      <c r="RQ21" s="700">
        <f t="shared" ref="RQ21:SV21" si="440">IFERROR(MIN(RQ8:RQ17),"")</f>
        <v>0</v>
      </c>
      <c r="RR21" s="700">
        <f t="shared" si="440"/>
        <v>0</v>
      </c>
      <c r="RS21" s="700">
        <f t="shared" si="440"/>
        <v>0</v>
      </c>
      <c r="RT21" s="700">
        <f t="shared" si="440"/>
        <v>0</v>
      </c>
      <c r="RU21" s="700">
        <f t="shared" si="440"/>
        <v>0</v>
      </c>
      <c r="RV21" s="700">
        <f t="shared" si="440"/>
        <v>0</v>
      </c>
      <c r="RW21" s="700">
        <f t="shared" si="440"/>
        <v>0</v>
      </c>
      <c r="RX21" s="701">
        <f t="shared" si="440"/>
        <v>0</v>
      </c>
      <c r="RY21" s="699">
        <f t="shared" si="440"/>
        <v>0.27141753397264007</v>
      </c>
      <c r="RZ21" s="700">
        <f t="shared" si="440"/>
        <v>0</v>
      </c>
      <c r="SA21" s="700">
        <f t="shared" si="440"/>
        <v>0</v>
      </c>
      <c r="SB21" s="700">
        <f t="shared" si="440"/>
        <v>0</v>
      </c>
      <c r="SC21" s="700">
        <f t="shared" si="440"/>
        <v>0</v>
      </c>
      <c r="SD21" s="700">
        <f t="shared" si="440"/>
        <v>0</v>
      </c>
      <c r="SE21" s="700">
        <f t="shared" si="440"/>
        <v>0</v>
      </c>
      <c r="SF21" s="700">
        <f t="shared" si="440"/>
        <v>0</v>
      </c>
      <c r="SG21" s="700">
        <f t="shared" si="440"/>
        <v>0</v>
      </c>
      <c r="SH21" s="700">
        <f t="shared" si="440"/>
        <v>0</v>
      </c>
      <c r="SI21" s="700">
        <f t="shared" si="440"/>
        <v>0</v>
      </c>
      <c r="SJ21" s="700">
        <f t="shared" si="440"/>
        <v>0</v>
      </c>
      <c r="SK21" s="700">
        <f t="shared" si="440"/>
        <v>0</v>
      </c>
      <c r="SL21" s="700">
        <f t="shared" si="440"/>
        <v>0</v>
      </c>
      <c r="SM21" s="700">
        <f t="shared" si="440"/>
        <v>0</v>
      </c>
      <c r="SN21" s="700">
        <f t="shared" si="440"/>
        <v>0</v>
      </c>
      <c r="SO21" s="700">
        <f t="shared" si="440"/>
        <v>0</v>
      </c>
      <c r="SP21" s="700">
        <f t="shared" si="440"/>
        <v>0</v>
      </c>
      <c r="SQ21" s="700">
        <f t="shared" si="440"/>
        <v>0</v>
      </c>
      <c r="SR21" s="701">
        <f t="shared" si="440"/>
        <v>0</v>
      </c>
      <c r="SS21" s="699">
        <f t="shared" si="440"/>
        <v>0.24626221966647499</v>
      </c>
      <c r="ST21" s="700">
        <f t="shared" si="440"/>
        <v>0</v>
      </c>
      <c r="SU21" s="700">
        <f t="shared" si="440"/>
        <v>0</v>
      </c>
      <c r="SV21" s="700">
        <f t="shared" si="440"/>
        <v>0</v>
      </c>
      <c r="SW21" s="700">
        <f t="shared" ref="SW21:UB21" si="441">IFERROR(MIN(SW8:SW17),"")</f>
        <v>0</v>
      </c>
      <c r="SX21" s="700">
        <f t="shared" si="441"/>
        <v>0</v>
      </c>
      <c r="SY21" s="700">
        <f t="shared" si="441"/>
        <v>0</v>
      </c>
      <c r="SZ21" s="700">
        <f t="shared" si="441"/>
        <v>0</v>
      </c>
      <c r="TA21" s="700">
        <f t="shared" si="441"/>
        <v>0</v>
      </c>
      <c r="TB21" s="700">
        <f t="shared" si="441"/>
        <v>0</v>
      </c>
      <c r="TC21" s="700">
        <f t="shared" si="441"/>
        <v>0</v>
      </c>
      <c r="TD21" s="700">
        <f t="shared" si="441"/>
        <v>0</v>
      </c>
      <c r="TE21" s="700">
        <f t="shared" si="441"/>
        <v>0</v>
      </c>
      <c r="TF21" s="700">
        <f t="shared" si="441"/>
        <v>0</v>
      </c>
      <c r="TG21" s="700">
        <f t="shared" si="441"/>
        <v>0</v>
      </c>
      <c r="TH21" s="700">
        <f t="shared" si="441"/>
        <v>0</v>
      </c>
      <c r="TI21" s="700">
        <f t="shared" si="441"/>
        <v>0</v>
      </c>
      <c r="TJ21" s="700">
        <f t="shared" si="441"/>
        <v>0</v>
      </c>
      <c r="TK21" s="700">
        <f t="shared" si="441"/>
        <v>0</v>
      </c>
      <c r="TL21" s="701">
        <f t="shared" si="441"/>
        <v>0</v>
      </c>
      <c r="TM21" s="111">
        <f t="shared" si="441"/>
        <v>705152.77777777775</v>
      </c>
      <c r="TN21" s="112">
        <f t="shared" si="441"/>
        <v>0</v>
      </c>
      <c r="TO21" s="112">
        <f t="shared" si="441"/>
        <v>0</v>
      </c>
      <c r="TP21" s="112">
        <f t="shared" si="441"/>
        <v>0</v>
      </c>
      <c r="TQ21" s="112">
        <f t="shared" si="441"/>
        <v>0</v>
      </c>
      <c r="TR21" s="112">
        <f t="shared" si="441"/>
        <v>0</v>
      </c>
      <c r="TS21" s="112">
        <f t="shared" si="441"/>
        <v>0</v>
      </c>
      <c r="TT21" s="112">
        <f t="shared" si="441"/>
        <v>0</v>
      </c>
      <c r="TU21" s="112">
        <f t="shared" si="441"/>
        <v>0</v>
      </c>
      <c r="TV21" s="112">
        <f t="shared" si="441"/>
        <v>0</v>
      </c>
      <c r="TW21" s="112">
        <f t="shared" si="441"/>
        <v>0</v>
      </c>
      <c r="TX21" s="112">
        <f t="shared" si="441"/>
        <v>0</v>
      </c>
      <c r="TY21" s="112">
        <f t="shared" si="441"/>
        <v>0</v>
      </c>
      <c r="TZ21" s="112">
        <f t="shared" si="441"/>
        <v>0</v>
      </c>
      <c r="UA21" s="112">
        <f t="shared" si="441"/>
        <v>0</v>
      </c>
      <c r="UB21" s="112">
        <f t="shared" si="441"/>
        <v>0</v>
      </c>
      <c r="UC21" s="112">
        <f t="shared" ref="UC21:VH21" si="442">IFERROR(MIN(UC8:UC17),"")</f>
        <v>0</v>
      </c>
      <c r="UD21" s="112">
        <f t="shared" si="442"/>
        <v>0</v>
      </c>
      <c r="UE21" s="112">
        <f t="shared" si="442"/>
        <v>0</v>
      </c>
      <c r="UF21" s="113">
        <f t="shared" si="442"/>
        <v>0</v>
      </c>
      <c r="UG21" s="111">
        <f t="shared" si="442"/>
        <v>63548.611111111109</v>
      </c>
      <c r="UH21" s="112">
        <f t="shared" si="442"/>
        <v>0</v>
      </c>
      <c r="UI21" s="112">
        <f t="shared" si="442"/>
        <v>0</v>
      </c>
      <c r="UJ21" s="112">
        <f t="shared" si="442"/>
        <v>0</v>
      </c>
      <c r="UK21" s="112">
        <f t="shared" si="442"/>
        <v>0</v>
      </c>
      <c r="UL21" s="112">
        <f t="shared" si="442"/>
        <v>0</v>
      </c>
      <c r="UM21" s="112">
        <f t="shared" si="442"/>
        <v>0</v>
      </c>
      <c r="UN21" s="112">
        <f t="shared" si="442"/>
        <v>0</v>
      </c>
      <c r="UO21" s="112">
        <f t="shared" si="442"/>
        <v>0</v>
      </c>
      <c r="UP21" s="112">
        <f t="shared" si="442"/>
        <v>0</v>
      </c>
      <c r="UQ21" s="112">
        <f t="shared" si="442"/>
        <v>0</v>
      </c>
      <c r="UR21" s="112">
        <f t="shared" si="442"/>
        <v>0</v>
      </c>
      <c r="US21" s="112">
        <f t="shared" si="442"/>
        <v>0</v>
      </c>
      <c r="UT21" s="112">
        <f t="shared" si="442"/>
        <v>0</v>
      </c>
      <c r="UU21" s="112">
        <f t="shared" si="442"/>
        <v>0</v>
      </c>
      <c r="UV21" s="112">
        <f t="shared" si="442"/>
        <v>0</v>
      </c>
      <c r="UW21" s="112">
        <f t="shared" si="442"/>
        <v>0</v>
      </c>
      <c r="UX21" s="112">
        <f t="shared" si="442"/>
        <v>0</v>
      </c>
      <c r="UY21" s="112">
        <f t="shared" si="442"/>
        <v>0</v>
      </c>
      <c r="UZ21" s="113">
        <f t="shared" si="442"/>
        <v>0</v>
      </c>
      <c r="VA21" s="111">
        <f t="shared" si="442"/>
        <v>63284.722222222219</v>
      </c>
      <c r="VB21" s="112">
        <f t="shared" si="442"/>
        <v>0</v>
      </c>
      <c r="VC21" s="112">
        <f t="shared" si="442"/>
        <v>0</v>
      </c>
      <c r="VD21" s="112">
        <f t="shared" si="442"/>
        <v>0</v>
      </c>
      <c r="VE21" s="112">
        <f t="shared" si="442"/>
        <v>0</v>
      </c>
      <c r="VF21" s="112">
        <f t="shared" si="442"/>
        <v>0</v>
      </c>
      <c r="VG21" s="112">
        <f t="shared" si="442"/>
        <v>0</v>
      </c>
      <c r="VH21" s="112">
        <f t="shared" si="442"/>
        <v>0</v>
      </c>
      <c r="VI21" s="112">
        <f t="shared" ref="VI21:XH21" si="443">IFERROR(MIN(VI8:VI17),"")</f>
        <v>0</v>
      </c>
      <c r="VJ21" s="112">
        <f t="shared" si="443"/>
        <v>0</v>
      </c>
      <c r="VK21" s="112">
        <f t="shared" si="443"/>
        <v>0</v>
      </c>
      <c r="VL21" s="112">
        <f t="shared" si="443"/>
        <v>0</v>
      </c>
      <c r="VM21" s="112">
        <f t="shared" si="443"/>
        <v>0</v>
      </c>
      <c r="VN21" s="112">
        <f t="shared" si="443"/>
        <v>0</v>
      </c>
      <c r="VO21" s="112">
        <f t="shared" si="443"/>
        <v>0</v>
      </c>
      <c r="VP21" s="112">
        <f t="shared" si="443"/>
        <v>0</v>
      </c>
      <c r="VQ21" s="112">
        <f t="shared" si="443"/>
        <v>0</v>
      </c>
      <c r="VR21" s="112">
        <f t="shared" si="443"/>
        <v>0</v>
      </c>
      <c r="VS21" s="112">
        <f t="shared" si="443"/>
        <v>0</v>
      </c>
      <c r="VT21" s="113">
        <f t="shared" si="443"/>
        <v>0</v>
      </c>
      <c r="VU21" s="111">
        <f t="shared" si="443"/>
        <v>0</v>
      </c>
      <c r="VV21" s="112">
        <f t="shared" si="443"/>
        <v>0</v>
      </c>
      <c r="VW21" s="112">
        <f t="shared" si="443"/>
        <v>0</v>
      </c>
      <c r="VX21" s="112">
        <f t="shared" si="443"/>
        <v>0</v>
      </c>
      <c r="VY21" s="112">
        <f t="shared" si="443"/>
        <v>0</v>
      </c>
      <c r="VZ21" s="112">
        <f t="shared" si="443"/>
        <v>0</v>
      </c>
      <c r="WA21" s="112">
        <f t="shared" si="443"/>
        <v>0</v>
      </c>
      <c r="WB21" s="112">
        <f t="shared" si="443"/>
        <v>0</v>
      </c>
      <c r="WC21" s="112">
        <f t="shared" si="443"/>
        <v>0</v>
      </c>
      <c r="WD21" s="112">
        <f t="shared" si="443"/>
        <v>0</v>
      </c>
      <c r="WE21" s="112">
        <f t="shared" si="443"/>
        <v>0</v>
      </c>
      <c r="WF21" s="112">
        <f t="shared" si="443"/>
        <v>0</v>
      </c>
      <c r="WG21" s="112">
        <f t="shared" si="443"/>
        <v>0</v>
      </c>
      <c r="WH21" s="112">
        <f t="shared" si="443"/>
        <v>0</v>
      </c>
      <c r="WI21" s="112">
        <f t="shared" si="443"/>
        <v>0</v>
      </c>
      <c r="WJ21" s="112">
        <f t="shared" si="443"/>
        <v>0</v>
      </c>
      <c r="WK21" s="112">
        <f t="shared" si="443"/>
        <v>0</v>
      </c>
      <c r="WL21" s="112">
        <f t="shared" si="443"/>
        <v>0</v>
      </c>
      <c r="WM21" s="112">
        <f t="shared" si="443"/>
        <v>0</v>
      </c>
      <c r="WN21" s="113">
        <f t="shared" si="443"/>
        <v>0</v>
      </c>
      <c r="WO21" s="111">
        <f t="shared" si="443"/>
        <v>567.70000000000005</v>
      </c>
      <c r="WP21" s="112">
        <f t="shared" si="443"/>
        <v>0</v>
      </c>
      <c r="WQ21" s="112">
        <f t="shared" si="443"/>
        <v>0</v>
      </c>
      <c r="WR21" s="112">
        <f t="shared" si="443"/>
        <v>0</v>
      </c>
      <c r="WS21" s="112">
        <f t="shared" si="443"/>
        <v>0</v>
      </c>
      <c r="WT21" s="112">
        <f t="shared" si="443"/>
        <v>0</v>
      </c>
      <c r="WU21" s="112">
        <f t="shared" si="443"/>
        <v>0</v>
      </c>
      <c r="WV21" s="112">
        <f t="shared" si="443"/>
        <v>0</v>
      </c>
      <c r="WW21" s="112">
        <f t="shared" si="443"/>
        <v>0</v>
      </c>
      <c r="WX21" s="112">
        <f t="shared" si="443"/>
        <v>0</v>
      </c>
      <c r="WY21" s="112">
        <f t="shared" si="443"/>
        <v>0</v>
      </c>
      <c r="WZ21" s="112">
        <f t="shared" si="443"/>
        <v>0</v>
      </c>
      <c r="XA21" s="112">
        <f t="shared" si="443"/>
        <v>0</v>
      </c>
      <c r="XB21" s="112">
        <f t="shared" si="443"/>
        <v>0</v>
      </c>
      <c r="XC21" s="112">
        <f t="shared" si="443"/>
        <v>0</v>
      </c>
      <c r="XD21" s="112">
        <f t="shared" si="443"/>
        <v>0</v>
      </c>
      <c r="XE21" s="112">
        <f t="shared" si="443"/>
        <v>0</v>
      </c>
      <c r="XF21" s="112">
        <f t="shared" si="443"/>
        <v>0</v>
      </c>
      <c r="XG21" s="112">
        <f t="shared" si="443"/>
        <v>0</v>
      </c>
      <c r="XH21" s="113">
        <f t="shared" si="443"/>
        <v>0</v>
      </c>
      <c r="XI21" s="699">
        <f t="shared" ref="XI21:YV21" si="444">IFERROR(MIN(XI8:XI17),"")</f>
        <v>0.174377</v>
      </c>
      <c r="XJ21" s="700">
        <f t="shared" si="444"/>
        <v>0</v>
      </c>
      <c r="XK21" s="700">
        <f t="shared" si="444"/>
        <v>0</v>
      </c>
      <c r="XL21" s="700">
        <f t="shared" si="444"/>
        <v>0</v>
      </c>
      <c r="XM21" s="700">
        <f t="shared" si="444"/>
        <v>0</v>
      </c>
      <c r="XN21" s="700">
        <f t="shared" si="444"/>
        <v>0</v>
      </c>
      <c r="XO21" s="700">
        <f t="shared" si="444"/>
        <v>0</v>
      </c>
      <c r="XP21" s="700">
        <f t="shared" si="444"/>
        <v>0</v>
      </c>
      <c r="XQ21" s="700">
        <f t="shared" si="444"/>
        <v>0</v>
      </c>
      <c r="XR21" s="700">
        <f t="shared" si="444"/>
        <v>0</v>
      </c>
      <c r="XS21" s="700">
        <f t="shared" si="444"/>
        <v>0</v>
      </c>
      <c r="XT21" s="700">
        <f t="shared" si="444"/>
        <v>0</v>
      </c>
      <c r="XU21" s="700">
        <f t="shared" si="444"/>
        <v>0</v>
      </c>
      <c r="XV21" s="700">
        <f t="shared" si="444"/>
        <v>0</v>
      </c>
      <c r="XW21" s="700">
        <f t="shared" si="444"/>
        <v>0</v>
      </c>
      <c r="XX21" s="700">
        <f t="shared" si="444"/>
        <v>0</v>
      </c>
      <c r="XY21" s="700">
        <f t="shared" si="444"/>
        <v>0</v>
      </c>
      <c r="XZ21" s="700">
        <f t="shared" si="444"/>
        <v>0</v>
      </c>
      <c r="YA21" s="700">
        <f t="shared" si="444"/>
        <v>0</v>
      </c>
      <c r="YB21" s="701">
        <f t="shared" si="444"/>
        <v>0</v>
      </c>
      <c r="YC21" s="111">
        <f t="shared" si="444"/>
        <v>248912.62229999999</v>
      </c>
      <c r="YD21" s="112">
        <f t="shared" si="444"/>
        <v>0</v>
      </c>
      <c r="YE21" s="112">
        <f t="shared" si="444"/>
        <v>0</v>
      </c>
      <c r="YF21" s="112">
        <f t="shared" si="444"/>
        <v>0</v>
      </c>
      <c r="YG21" s="112">
        <f t="shared" si="444"/>
        <v>0</v>
      </c>
      <c r="YH21" s="112">
        <f t="shared" si="444"/>
        <v>0</v>
      </c>
      <c r="YI21" s="112">
        <f t="shared" si="444"/>
        <v>0</v>
      </c>
      <c r="YJ21" s="112">
        <f t="shared" si="444"/>
        <v>0</v>
      </c>
      <c r="YK21" s="112">
        <f t="shared" si="444"/>
        <v>0</v>
      </c>
      <c r="YL21" s="112">
        <f t="shared" si="444"/>
        <v>0</v>
      </c>
      <c r="YM21" s="112">
        <f t="shared" si="444"/>
        <v>0</v>
      </c>
      <c r="YN21" s="112">
        <f t="shared" si="444"/>
        <v>0</v>
      </c>
      <c r="YO21" s="112">
        <f t="shared" si="444"/>
        <v>0</v>
      </c>
      <c r="YP21" s="112">
        <f t="shared" si="444"/>
        <v>0</v>
      </c>
      <c r="YQ21" s="112">
        <f t="shared" si="444"/>
        <v>0</v>
      </c>
      <c r="YR21" s="112">
        <f t="shared" si="444"/>
        <v>0</v>
      </c>
      <c r="YS21" s="112">
        <f t="shared" si="444"/>
        <v>0</v>
      </c>
      <c r="YT21" s="112">
        <f t="shared" si="444"/>
        <v>0</v>
      </c>
      <c r="YU21" s="112">
        <f t="shared" si="444"/>
        <v>0</v>
      </c>
      <c r="YV21" s="113">
        <f t="shared" si="444"/>
        <v>0</v>
      </c>
      <c r="YW21" s="699">
        <f t="shared" ref="YW21:ZP21" si="445">IFERROR(MIN(YW8:YW17),"")</f>
        <v>0.62307779377886319</v>
      </c>
      <c r="YX21" s="700">
        <f t="shared" si="445"/>
        <v>0</v>
      </c>
      <c r="YY21" s="700">
        <f t="shared" si="445"/>
        <v>0</v>
      </c>
      <c r="YZ21" s="700">
        <f t="shared" si="445"/>
        <v>0</v>
      </c>
      <c r="ZA21" s="700">
        <f t="shared" si="445"/>
        <v>0</v>
      </c>
      <c r="ZB21" s="700">
        <f t="shared" si="445"/>
        <v>0</v>
      </c>
      <c r="ZC21" s="700">
        <f t="shared" si="445"/>
        <v>0</v>
      </c>
      <c r="ZD21" s="700">
        <f t="shared" si="445"/>
        <v>0</v>
      </c>
      <c r="ZE21" s="700">
        <f t="shared" si="445"/>
        <v>0</v>
      </c>
      <c r="ZF21" s="700">
        <f t="shared" si="445"/>
        <v>0</v>
      </c>
      <c r="ZG21" s="700">
        <f t="shared" si="445"/>
        <v>0</v>
      </c>
      <c r="ZH21" s="700">
        <f t="shared" si="445"/>
        <v>0</v>
      </c>
      <c r="ZI21" s="700">
        <f t="shared" si="445"/>
        <v>0</v>
      </c>
      <c r="ZJ21" s="700">
        <f t="shared" si="445"/>
        <v>0</v>
      </c>
      <c r="ZK21" s="700">
        <f t="shared" si="445"/>
        <v>0</v>
      </c>
      <c r="ZL21" s="700">
        <f t="shared" si="445"/>
        <v>0</v>
      </c>
      <c r="ZM21" s="700">
        <f t="shared" si="445"/>
        <v>0</v>
      </c>
      <c r="ZN21" s="700">
        <f t="shared" si="445"/>
        <v>0</v>
      </c>
      <c r="ZO21" s="700">
        <f t="shared" si="445"/>
        <v>0</v>
      </c>
      <c r="ZP21" s="701">
        <f t="shared" si="445"/>
        <v>0</v>
      </c>
      <c r="ZQ21" s="699">
        <f t="shared" ref="ZQ21:ABD21" si="446">IFERROR(MIN(ZQ8:ZQ17),"")</f>
        <v>0.18332936675027003</v>
      </c>
      <c r="ZR21" s="700">
        <f t="shared" si="446"/>
        <v>0</v>
      </c>
      <c r="ZS21" s="700">
        <f t="shared" si="446"/>
        <v>0</v>
      </c>
      <c r="ZT21" s="700">
        <f t="shared" si="446"/>
        <v>0</v>
      </c>
      <c r="ZU21" s="700">
        <f t="shared" si="446"/>
        <v>0</v>
      </c>
      <c r="ZV21" s="700">
        <f t="shared" si="446"/>
        <v>0</v>
      </c>
      <c r="ZW21" s="700">
        <f t="shared" si="446"/>
        <v>0</v>
      </c>
      <c r="ZX21" s="700">
        <f t="shared" si="446"/>
        <v>0</v>
      </c>
      <c r="ZY21" s="700">
        <f t="shared" si="446"/>
        <v>0</v>
      </c>
      <c r="ZZ21" s="700">
        <f t="shared" si="446"/>
        <v>0</v>
      </c>
      <c r="AAA21" s="700">
        <f t="shared" si="446"/>
        <v>0</v>
      </c>
      <c r="AAB21" s="700">
        <f t="shared" si="446"/>
        <v>0</v>
      </c>
      <c r="AAC21" s="700">
        <f t="shared" si="446"/>
        <v>0</v>
      </c>
      <c r="AAD21" s="700">
        <f t="shared" si="446"/>
        <v>0</v>
      </c>
      <c r="AAE21" s="700">
        <f t="shared" si="446"/>
        <v>0</v>
      </c>
      <c r="AAF21" s="700">
        <f t="shared" si="446"/>
        <v>0</v>
      </c>
      <c r="AAG21" s="700">
        <f t="shared" si="446"/>
        <v>0</v>
      </c>
      <c r="AAH21" s="700">
        <f t="shared" si="446"/>
        <v>0</v>
      </c>
      <c r="AAI21" s="700">
        <f t="shared" si="446"/>
        <v>0</v>
      </c>
      <c r="AAJ21" s="701">
        <f t="shared" si="446"/>
        <v>0</v>
      </c>
      <c r="AAK21" s="624">
        <f t="shared" si="446"/>
        <v>8.5492915095311695</v>
      </c>
      <c r="AAL21" s="625">
        <f t="shared" si="446"/>
        <v>0</v>
      </c>
      <c r="AAM21" s="625">
        <f t="shared" si="446"/>
        <v>0</v>
      </c>
      <c r="AAN21" s="625">
        <f t="shared" si="446"/>
        <v>0</v>
      </c>
      <c r="AAO21" s="625">
        <f t="shared" si="446"/>
        <v>0</v>
      </c>
      <c r="AAP21" s="625">
        <f t="shared" si="446"/>
        <v>0</v>
      </c>
      <c r="AAQ21" s="625">
        <f t="shared" si="446"/>
        <v>0</v>
      </c>
      <c r="AAR21" s="625">
        <f t="shared" si="446"/>
        <v>0</v>
      </c>
      <c r="AAS21" s="625">
        <f t="shared" si="446"/>
        <v>0</v>
      </c>
      <c r="AAT21" s="625">
        <f t="shared" si="446"/>
        <v>0</v>
      </c>
      <c r="AAU21" s="625">
        <f t="shared" si="446"/>
        <v>0</v>
      </c>
      <c r="AAV21" s="625">
        <f t="shared" si="446"/>
        <v>0</v>
      </c>
      <c r="AAW21" s="625">
        <f t="shared" si="446"/>
        <v>0</v>
      </c>
      <c r="AAX21" s="625">
        <f t="shared" si="446"/>
        <v>0</v>
      </c>
      <c r="AAY21" s="625">
        <f t="shared" si="446"/>
        <v>0</v>
      </c>
      <c r="AAZ21" s="625">
        <f t="shared" si="446"/>
        <v>0</v>
      </c>
      <c r="ABA21" s="625">
        <f t="shared" si="446"/>
        <v>0</v>
      </c>
      <c r="ABB21" s="625">
        <f t="shared" si="446"/>
        <v>0</v>
      </c>
      <c r="ABC21" s="625">
        <f t="shared" si="446"/>
        <v>0</v>
      </c>
      <c r="ABD21" s="626">
        <f t="shared" si="446"/>
        <v>0</v>
      </c>
      <c r="ABE21" s="699">
        <f t="shared" ref="ABE21:ACR21" si="447">IFERROR(MIN(ABE8:ABE17),"")</f>
        <v>0.93601453124732248</v>
      </c>
      <c r="ABF21" s="700">
        <f t="shared" si="447"/>
        <v>0</v>
      </c>
      <c r="ABG21" s="700">
        <f t="shared" si="447"/>
        <v>0</v>
      </c>
      <c r="ABH21" s="700">
        <f t="shared" si="447"/>
        <v>0</v>
      </c>
      <c r="ABI21" s="700">
        <f t="shared" si="447"/>
        <v>0</v>
      </c>
      <c r="ABJ21" s="700">
        <f t="shared" si="447"/>
        <v>0</v>
      </c>
      <c r="ABK21" s="700">
        <f t="shared" si="447"/>
        <v>0</v>
      </c>
      <c r="ABL21" s="700">
        <f t="shared" si="447"/>
        <v>0</v>
      </c>
      <c r="ABM21" s="700">
        <f t="shared" si="447"/>
        <v>0</v>
      </c>
      <c r="ABN21" s="700">
        <f t="shared" si="447"/>
        <v>0</v>
      </c>
      <c r="ABO21" s="700">
        <f t="shared" si="447"/>
        <v>0</v>
      </c>
      <c r="ABP21" s="700">
        <f t="shared" si="447"/>
        <v>0</v>
      </c>
      <c r="ABQ21" s="700">
        <f t="shared" si="447"/>
        <v>0</v>
      </c>
      <c r="ABR21" s="700">
        <f t="shared" si="447"/>
        <v>0</v>
      </c>
      <c r="ABS21" s="700">
        <f t="shared" si="447"/>
        <v>0</v>
      </c>
      <c r="ABT21" s="700">
        <f t="shared" si="447"/>
        <v>0</v>
      </c>
      <c r="ABU21" s="700">
        <f t="shared" si="447"/>
        <v>0</v>
      </c>
      <c r="ABV21" s="700">
        <f t="shared" si="447"/>
        <v>0</v>
      </c>
      <c r="ABW21" s="700">
        <f t="shared" si="447"/>
        <v>0</v>
      </c>
      <c r="ABX21" s="701">
        <f t="shared" si="447"/>
        <v>0</v>
      </c>
      <c r="ABY21" s="108">
        <f t="shared" si="447"/>
        <v>7.8315599999999996</v>
      </c>
      <c r="ABZ21" s="109">
        <f t="shared" si="447"/>
        <v>0</v>
      </c>
      <c r="ACA21" s="109">
        <f t="shared" si="447"/>
        <v>0</v>
      </c>
      <c r="ACB21" s="109">
        <f t="shared" si="447"/>
        <v>0</v>
      </c>
      <c r="ACC21" s="109">
        <f t="shared" si="447"/>
        <v>0</v>
      </c>
      <c r="ACD21" s="109">
        <f t="shared" si="447"/>
        <v>0</v>
      </c>
      <c r="ACE21" s="109">
        <f t="shared" si="447"/>
        <v>0</v>
      </c>
      <c r="ACF21" s="109">
        <f t="shared" si="447"/>
        <v>0</v>
      </c>
      <c r="ACG21" s="109">
        <f t="shared" si="447"/>
        <v>0</v>
      </c>
      <c r="ACH21" s="109">
        <f t="shared" si="447"/>
        <v>0</v>
      </c>
      <c r="ACI21" s="109">
        <f t="shared" si="447"/>
        <v>0</v>
      </c>
      <c r="ACJ21" s="109">
        <f t="shared" si="447"/>
        <v>0</v>
      </c>
      <c r="ACK21" s="109">
        <f t="shared" si="447"/>
        <v>0</v>
      </c>
      <c r="ACL21" s="109">
        <f t="shared" si="447"/>
        <v>0</v>
      </c>
      <c r="ACM21" s="109">
        <f t="shared" si="447"/>
        <v>0</v>
      </c>
      <c r="ACN21" s="109">
        <f t="shared" si="447"/>
        <v>0</v>
      </c>
      <c r="ACO21" s="109">
        <f t="shared" si="447"/>
        <v>0</v>
      </c>
      <c r="ACP21" s="109">
        <f t="shared" si="447"/>
        <v>0</v>
      </c>
      <c r="ACQ21" s="109">
        <f t="shared" si="447"/>
        <v>0</v>
      </c>
      <c r="ACR21" s="110">
        <f t="shared" si="447"/>
        <v>0</v>
      </c>
    </row>
    <row r="22" spans="1:772" ht="15" customHeight="1" x14ac:dyDescent="0.2">
      <c r="A22" s="99" t="s">
        <v>83</v>
      </c>
      <c r="B22" s="100"/>
      <c r="C22" s="100"/>
      <c r="D22" s="100"/>
      <c r="E22" s="101"/>
      <c r="F22" s="101"/>
      <c r="G22" s="102" t="str">
        <f t="shared" ref="G22:AE22" si="448">IFERROR(STDEV(G8:G17),"")</f>
        <v/>
      </c>
      <c r="H22" s="102" t="str">
        <f>IFERROR(STDEV(H8:H17),"")</f>
        <v/>
      </c>
      <c r="I22" s="102" t="str">
        <f t="shared" si="448"/>
        <v/>
      </c>
      <c r="J22" s="102" t="str">
        <f t="shared" si="448"/>
        <v/>
      </c>
      <c r="K22" s="102" t="str">
        <f t="shared" si="448"/>
        <v/>
      </c>
      <c r="L22" s="102" t="str">
        <f t="shared" si="448"/>
        <v/>
      </c>
      <c r="M22" s="102" t="str">
        <f t="shared" si="448"/>
        <v/>
      </c>
      <c r="N22" s="102" t="str">
        <f t="shared" si="448"/>
        <v/>
      </c>
      <c r="O22" s="102" t="str">
        <f t="shared" si="448"/>
        <v/>
      </c>
      <c r="P22" s="102" t="str">
        <f t="shared" si="448"/>
        <v/>
      </c>
      <c r="Q22" s="101" t="str">
        <f t="shared" si="448"/>
        <v/>
      </c>
      <c r="R22" s="101" t="str">
        <f t="shared" si="448"/>
        <v/>
      </c>
      <c r="S22" s="101" t="str">
        <f t="shared" si="448"/>
        <v/>
      </c>
      <c r="T22" s="101" t="str">
        <f t="shared" si="448"/>
        <v/>
      </c>
      <c r="U22" s="102" t="str">
        <f>IFERROR(STDEV(U8:U17),"")</f>
        <v/>
      </c>
      <c r="V22" s="102" t="str">
        <f>IFERROR(STDEV(V8:V17),"")</f>
        <v/>
      </c>
      <c r="W22" s="102" t="str">
        <f>IFERROR(STDEV(W8:W17),"")</f>
        <v/>
      </c>
      <c r="X22" s="1029" t="str">
        <f t="shared" si="448"/>
        <v/>
      </c>
      <c r="Y22" s="1029" t="str">
        <f t="shared" ref="Y22" si="449">IFERROR(STDEV(Y8:Y17),"")</f>
        <v/>
      </c>
      <c r="Z22" s="102" t="str">
        <f>IFERROR(STDEV(Z8:Z17),"")</f>
        <v/>
      </c>
      <c r="AA22" s="101" t="str">
        <f t="shared" si="448"/>
        <v/>
      </c>
      <c r="AB22" s="102" t="str">
        <f>IFERROR(STDEV(AB8:AB17),"")</f>
        <v/>
      </c>
      <c r="AC22" s="102" t="str">
        <f t="shared" si="448"/>
        <v/>
      </c>
      <c r="AD22" s="101" t="str">
        <f t="shared" si="448"/>
        <v/>
      </c>
      <c r="AE22" s="103" t="str">
        <f t="shared" si="448"/>
        <v/>
      </c>
      <c r="AF22" s="104"/>
      <c r="AG22" s="702" t="str">
        <f t="shared" ref="AG22:CR22" si="450">IFERROR(STDEV(AG8:AG17),"")</f>
        <v/>
      </c>
      <c r="AH22" s="700" t="str">
        <f t="shared" si="450"/>
        <v/>
      </c>
      <c r="AI22" s="700" t="str">
        <f t="shared" si="450"/>
        <v/>
      </c>
      <c r="AJ22" s="700" t="str">
        <f t="shared" si="450"/>
        <v/>
      </c>
      <c r="AK22" s="700" t="str">
        <f t="shared" si="450"/>
        <v/>
      </c>
      <c r="AL22" s="700" t="str">
        <f t="shared" si="450"/>
        <v/>
      </c>
      <c r="AM22" s="700" t="str">
        <f t="shared" si="450"/>
        <v/>
      </c>
      <c r="AN22" s="700" t="str">
        <f t="shared" si="450"/>
        <v/>
      </c>
      <c r="AO22" s="700" t="str">
        <f t="shared" si="450"/>
        <v/>
      </c>
      <c r="AP22" s="700" t="str">
        <f t="shared" si="450"/>
        <v/>
      </c>
      <c r="AQ22" s="700" t="str">
        <f t="shared" si="450"/>
        <v/>
      </c>
      <c r="AR22" s="700" t="str">
        <f t="shared" si="450"/>
        <v/>
      </c>
      <c r="AS22" s="700" t="str">
        <f t="shared" si="450"/>
        <v/>
      </c>
      <c r="AT22" s="700" t="str">
        <f t="shared" si="450"/>
        <v/>
      </c>
      <c r="AU22" s="700" t="str">
        <f t="shared" si="450"/>
        <v/>
      </c>
      <c r="AV22" s="700" t="str">
        <f t="shared" si="450"/>
        <v/>
      </c>
      <c r="AW22" s="700" t="str">
        <f t="shared" si="450"/>
        <v/>
      </c>
      <c r="AX22" s="700" t="str">
        <f t="shared" si="450"/>
        <v/>
      </c>
      <c r="AY22" s="700" t="str">
        <f t="shared" si="450"/>
        <v/>
      </c>
      <c r="AZ22" s="701" t="str">
        <f t="shared" si="450"/>
        <v/>
      </c>
      <c r="BA22" s="699" t="str">
        <f t="shared" si="450"/>
        <v/>
      </c>
      <c r="BB22" s="700" t="str">
        <f t="shared" si="450"/>
        <v/>
      </c>
      <c r="BC22" s="700" t="str">
        <f t="shared" si="450"/>
        <v/>
      </c>
      <c r="BD22" s="700" t="str">
        <f t="shared" si="450"/>
        <v/>
      </c>
      <c r="BE22" s="700" t="str">
        <f t="shared" si="450"/>
        <v/>
      </c>
      <c r="BF22" s="700" t="str">
        <f t="shared" si="450"/>
        <v/>
      </c>
      <c r="BG22" s="700" t="str">
        <f t="shared" si="450"/>
        <v/>
      </c>
      <c r="BH22" s="700" t="str">
        <f t="shared" si="450"/>
        <v/>
      </c>
      <c r="BI22" s="700" t="str">
        <f t="shared" si="450"/>
        <v/>
      </c>
      <c r="BJ22" s="700" t="str">
        <f t="shared" si="450"/>
        <v/>
      </c>
      <c r="BK22" s="700" t="str">
        <f t="shared" si="450"/>
        <v/>
      </c>
      <c r="BL22" s="700" t="str">
        <f t="shared" si="450"/>
        <v/>
      </c>
      <c r="BM22" s="700" t="str">
        <f t="shared" si="450"/>
        <v/>
      </c>
      <c r="BN22" s="700" t="str">
        <f t="shared" si="450"/>
        <v/>
      </c>
      <c r="BO22" s="700" t="str">
        <f t="shared" si="450"/>
        <v/>
      </c>
      <c r="BP22" s="700" t="str">
        <f t="shared" si="450"/>
        <v/>
      </c>
      <c r="BQ22" s="700" t="str">
        <f t="shared" si="450"/>
        <v/>
      </c>
      <c r="BR22" s="700" t="str">
        <f t="shared" si="450"/>
        <v/>
      </c>
      <c r="BS22" s="700" t="str">
        <f t="shared" si="450"/>
        <v/>
      </c>
      <c r="BT22" s="701" t="str">
        <f t="shared" si="450"/>
        <v/>
      </c>
      <c r="BU22" s="699" t="str">
        <f t="shared" si="450"/>
        <v/>
      </c>
      <c r="BV22" s="700" t="str">
        <f t="shared" si="450"/>
        <v/>
      </c>
      <c r="BW22" s="700" t="str">
        <f t="shared" si="450"/>
        <v/>
      </c>
      <c r="BX22" s="700" t="str">
        <f t="shared" si="450"/>
        <v/>
      </c>
      <c r="BY22" s="700" t="str">
        <f t="shared" si="450"/>
        <v/>
      </c>
      <c r="BZ22" s="700" t="str">
        <f t="shared" si="450"/>
        <v/>
      </c>
      <c r="CA22" s="700" t="str">
        <f t="shared" si="450"/>
        <v/>
      </c>
      <c r="CB22" s="700" t="str">
        <f t="shared" si="450"/>
        <v/>
      </c>
      <c r="CC22" s="700" t="str">
        <f t="shared" si="450"/>
        <v/>
      </c>
      <c r="CD22" s="700" t="str">
        <f t="shared" si="450"/>
        <v/>
      </c>
      <c r="CE22" s="700" t="str">
        <f t="shared" si="450"/>
        <v/>
      </c>
      <c r="CF22" s="700" t="str">
        <f t="shared" si="450"/>
        <v/>
      </c>
      <c r="CG22" s="700" t="str">
        <f t="shared" si="450"/>
        <v/>
      </c>
      <c r="CH22" s="700" t="str">
        <f t="shared" si="450"/>
        <v/>
      </c>
      <c r="CI22" s="700" t="str">
        <f t="shared" si="450"/>
        <v/>
      </c>
      <c r="CJ22" s="700" t="str">
        <f t="shared" si="450"/>
        <v/>
      </c>
      <c r="CK22" s="700" t="str">
        <f t="shared" si="450"/>
        <v/>
      </c>
      <c r="CL22" s="700" t="str">
        <f t="shared" si="450"/>
        <v/>
      </c>
      <c r="CM22" s="700" t="str">
        <f t="shared" si="450"/>
        <v/>
      </c>
      <c r="CN22" s="701" t="str">
        <f t="shared" si="450"/>
        <v/>
      </c>
      <c r="CO22" s="699" t="str">
        <f t="shared" si="450"/>
        <v/>
      </c>
      <c r="CP22" s="700" t="str">
        <f t="shared" si="450"/>
        <v/>
      </c>
      <c r="CQ22" s="700" t="str">
        <f t="shared" si="450"/>
        <v/>
      </c>
      <c r="CR22" s="700" t="str">
        <f t="shared" si="450"/>
        <v/>
      </c>
      <c r="CS22" s="700" t="str">
        <f t="shared" ref="CS22:FD22" si="451">IFERROR(STDEV(CS8:CS17),"")</f>
        <v/>
      </c>
      <c r="CT22" s="700" t="str">
        <f t="shared" si="451"/>
        <v/>
      </c>
      <c r="CU22" s="700" t="str">
        <f t="shared" si="451"/>
        <v/>
      </c>
      <c r="CV22" s="700" t="str">
        <f t="shared" si="451"/>
        <v/>
      </c>
      <c r="CW22" s="700" t="str">
        <f t="shared" si="451"/>
        <v/>
      </c>
      <c r="CX22" s="700" t="str">
        <f t="shared" si="451"/>
        <v/>
      </c>
      <c r="CY22" s="700" t="str">
        <f t="shared" si="451"/>
        <v/>
      </c>
      <c r="CZ22" s="700" t="str">
        <f t="shared" si="451"/>
        <v/>
      </c>
      <c r="DA22" s="700" t="str">
        <f t="shared" si="451"/>
        <v/>
      </c>
      <c r="DB22" s="700" t="str">
        <f t="shared" si="451"/>
        <v/>
      </c>
      <c r="DC22" s="700" t="str">
        <f t="shared" si="451"/>
        <v/>
      </c>
      <c r="DD22" s="700" t="str">
        <f t="shared" si="451"/>
        <v/>
      </c>
      <c r="DE22" s="700" t="str">
        <f t="shared" si="451"/>
        <v/>
      </c>
      <c r="DF22" s="700" t="str">
        <f t="shared" si="451"/>
        <v/>
      </c>
      <c r="DG22" s="700" t="str">
        <f t="shared" si="451"/>
        <v/>
      </c>
      <c r="DH22" s="701" t="str">
        <f t="shared" si="451"/>
        <v/>
      </c>
      <c r="DI22" s="699" t="str">
        <f t="shared" si="451"/>
        <v/>
      </c>
      <c r="DJ22" s="700" t="str">
        <f t="shared" si="451"/>
        <v/>
      </c>
      <c r="DK22" s="700" t="str">
        <f t="shared" si="451"/>
        <v/>
      </c>
      <c r="DL22" s="700" t="str">
        <f t="shared" si="451"/>
        <v/>
      </c>
      <c r="DM22" s="700" t="str">
        <f t="shared" si="451"/>
        <v/>
      </c>
      <c r="DN22" s="700" t="str">
        <f t="shared" si="451"/>
        <v/>
      </c>
      <c r="DO22" s="700" t="str">
        <f t="shared" si="451"/>
        <v/>
      </c>
      <c r="DP22" s="700" t="str">
        <f t="shared" si="451"/>
        <v/>
      </c>
      <c r="DQ22" s="700" t="str">
        <f t="shared" si="451"/>
        <v/>
      </c>
      <c r="DR22" s="700" t="str">
        <f t="shared" si="451"/>
        <v/>
      </c>
      <c r="DS22" s="700" t="str">
        <f t="shared" si="451"/>
        <v/>
      </c>
      <c r="DT22" s="700" t="str">
        <f t="shared" si="451"/>
        <v/>
      </c>
      <c r="DU22" s="700" t="str">
        <f t="shared" si="451"/>
        <v/>
      </c>
      <c r="DV22" s="700" t="str">
        <f t="shared" si="451"/>
        <v/>
      </c>
      <c r="DW22" s="700" t="str">
        <f t="shared" si="451"/>
        <v/>
      </c>
      <c r="DX22" s="700" t="str">
        <f t="shared" si="451"/>
        <v/>
      </c>
      <c r="DY22" s="700" t="str">
        <f t="shared" si="451"/>
        <v/>
      </c>
      <c r="DZ22" s="700" t="str">
        <f t="shared" si="451"/>
        <v/>
      </c>
      <c r="EA22" s="700" t="str">
        <f t="shared" si="451"/>
        <v/>
      </c>
      <c r="EB22" s="701" t="str">
        <f t="shared" si="451"/>
        <v/>
      </c>
      <c r="EC22" s="699" t="str">
        <f t="shared" si="451"/>
        <v/>
      </c>
      <c r="ED22" s="700" t="str">
        <f t="shared" si="451"/>
        <v/>
      </c>
      <c r="EE22" s="700" t="str">
        <f t="shared" si="451"/>
        <v/>
      </c>
      <c r="EF22" s="700" t="str">
        <f t="shared" si="451"/>
        <v/>
      </c>
      <c r="EG22" s="700" t="str">
        <f t="shared" si="451"/>
        <v/>
      </c>
      <c r="EH22" s="700" t="str">
        <f t="shared" si="451"/>
        <v/>
      </c>
      <c r="EI22" s="700" t="str">
        <f t="shared" si="451"/>
        <v/>
      </c>
      <c r="EJ22" s="700" t="str">
        <f t="shared" si="451"/>
        <v/>
      </c>
      <c r="EK22" s="700" t="str">
        <f t="shared" si="451"/>
        <v/>
      </c>
      <c r="EL22" s="700" t="str">
        <f t="shared" si="451"/>
        <v/>
      </c>
      <c r="EM22" s="700" t="str">
        <f t="shared" si="451"/>
        <v/>
      </c>
      <c r="EN22" s="700" t="str">
        <f t="shared" si="451"/>
        <v/>
      </c>
      <c r="EO22" s="700" t="str">
        <f t="shared" si="451"/>
        <v/>
      </c>
      <c r="EP22" s="700" t="str">
        <f t="shared" si="451"/>
        <v/>
      </c>
      <c r="EQ22" s="700" t="str">
        <f t="shared" si="451"/>
        <v/>
      </c>
      <c r="ER22" s="700" t="str">
        <f t="shared" si="451"/>
        <v/>
      </c>
      <c r="ES22" s="700" t="str">
        <f t="shared" si="451"/>
        <v/>
      </c>
      <c r="ET22" s="700" t="str">
        <f t="shared" si="451"/>
        <v/>
      </c>
      <c r="EU22" s="700" t="str">
        <f t="shared" si="451"/>
        <v/>
      </c>
      <c r="EV22" s="701" t="str">
        <f t="shared" si="451"/>
        <v/>
      </c>
      <c r="EW22" s="699" t="str">
        <f t="shared" si="451"/>
        <v/>
      </c>
      <c r="EX22" s="700" t="str">
        <f t="shared" si="451"/>
        <v/>
      </c>
      <c r="EY22" s="700" t="str">
        <f t="shared" si="451"/>
        <v/>
      </c>
      <c r="EZ22" s="700" t="str">
        <f t="shared" si="451"/>
        <v/>
      </c>
      <c r="FA22" s="700" t="str">
        <f t="shared" si="451"/>
        <v/>
      </c>
      <c r="FB22" s="700" t="str">
        <f t="shared" si="451"/>
        <v/>
      </c>
      <c r="FC22" s="700" t="str">
        <f t="shared" si="451"/>
        <v/>
      </c>
      <c r="FD22" s="700" t="str">
        <f t="shared" si="451"/>
        <v/>
      </c>
      <c r="FE22" s="700" t="str">
        <f t="shared" ref="FE22:HP22" si="452">IFERROR(STDEV(FE8:FE17),"")</f>
        <v/>
      </c>
      <c r="FF22" s="700" t="str">
        <f t="shared" si="452"/>
        <v/>
      </c>
      <c r="FG22" s="700" t="str">
        <f t="shared" si="452"/>
        <v/>
      </c>
      <c r="FH22" s="700" t="str">
        <f t="shared" si="452"/>
        <v/>
      </c>
      <c r="FI22" s="700" t="str">
        <f t="shared" si="452"/>
        <v/>
      </c>
      <c r="FJ22" s="700" t="str">
        <f t="shared" si="452"/>
        <v/>
      </c>
      <c r="FK22" s="700" t="str">
        <f t="shared" si="452"/>
        <v/>
      </c>
      <c r="FL22" s="700" t="str">
        <f t="shared" si="452"/>
        <v/>
      </c>
      <c r="FM22" s="700" t="str">
        <f t="shared" si="452"/>
        <v/>
      </c>
      <c r="FN22" s="700" t="str">
        <f t="shared" si="452"/>
        <v/>
      </c>
      <c r="FO22" s="700" t="str">
        <f t="shared" si="452"/>
        <v/>
      </c>
      <c r="FP22" s="701" t="str">
        <f t="shared" si="452"/>
        <v/>
      </c>
      <c r="FQ22" s="699" t="str">
        <f t="shared" si="452"/>
        <v/>
      </c>
      <c r="FR22" s="700" t="str">
        <f t="shared" si="452"/>
        <v/>
      </c>
      <c r="FS22" s="700" t="str">
        <f t="shared" si="452"/>
        <v/>
      </c>
      <c r="FT22" s="700" t="str">
        <f t="shared" si="452"/>
        <v/>
      </c>
      <c r="FU22" s="700" t="str">
        <f t="shared" si="452"/>
        <v/>
      </c>
      <c r="FV22" s="700" t="str">
        <f t="shared" si="452"/>
        <v/>
      </c>
      <c r="FW22" s="700" t="str">
        <f t="shared" si="452"/>
        <v/>
      </c>
      <c r="FX22" s="700" t="str">
        <f t="shared" si="452"/>
        <v/>
      </c>
      <c r="FY22" s="700" t="str">
        <f t="shared" si="452"/>
        <v/>
      </c>
      <c r="FZ22" s="700" t="str">
        <f t="shared" si="452"/>
        <v/>
      </c>
      <c r="GA22" s="700" t="str">
        <f t="shared" si="452"/>
        <v/>
      </c>
      <c r="GB22" s="700" t="str">
        <f t="shared" si="452"/>
        <v/>
      </c>
      <c r="GC22" s="700" t="str">
        <f t="shared" si="452"/>
        <v/>
      </c>
      <c r="GD22" s="700" t="str">
        <f t="shared" si="452"/>
        <v/>
      </c>
      <c r="GE22" s="700" t="str">
        <f t="shared" si="452"/>
        <v/>
      </c>
      <c r="GF22" s="700" t="str">
        <f t="shared" si="452"/>
        <v/>
      </c>
      <c r="GG22" s="700" t="str">
        <f t="shared" si="452"/>
        <v/>
      </c>
      <c r="GH22" s="700" t="str">
        <f t="shared" si="452"/>
        <v/>
      </c>
      <c r="GI22" s="700" t="str">
        <f t="shared" si="452"/>
        <v/>
      </c>
      <c r="GJ22" s="701" t="str">
        <f t="shared" si="452"/>
        <v/>
      </c>
      <c r="GK22" s="598" t="str">
        <f t="shared" si="452"/>
        <v/>
      </c>
      <c r="GL22" s="599" t="str">
        <f t="shared" si="452"/>
        <v/>
      </c>
      <c r="GM22" s="599" t="str">
        <f t="shared" si="452"/>
        <v/>
      </c>
      <c r="GN22" s="599" t="str">
        <f t="shared" si="452"/>
        <v/>
      </c>
      <c r="GO22" s="599" t="str">
        <f t="shared" si="452"/>
        <v/>
      </c>
      <c r="GP22" s="599" t="str">
        <f t="shared" si="452"/>
        <v/>
      </c>
      <c r="GQ22" s="599" t="str">
        <f t="shared" si="452"/>
        <v/>
      </c>
      <c r="GR22" s="599" t="str">
        <f t="shared" si="452"/>
        <v/>
      </c>
      <c r="GS22" s="599" t="str">
        <f t="shared" si="452"/>
        <v/>
      </c>
      <c r="GT22" s="599" t="str">
        <f t="shared" si="452"/>
        <v/>
      </c>
      <c r="GU22" s="599" t="str">
        <f t="shared" si="452"/>
        <v/>
      </c>
      <c r="GV22" s="599" t="str">
        <f t="shared" si="452"/>
        <v/>
      </c>
      <c r="GW22" s="599" t="str">
        <f t="shared" si="452"/>
        <v/>
      </c>
      <c r="GX22" s="599" t="str">
        <f t="shared" si="452"/>
        <v/>
      </c>
      <c r="GY22" s="599" t="str">
        <f t="shared" si="452"/>
        <v/>
      </c>
      <c r="GZ22" s="599" t="str">
        <f t="shared" si="452"/>
        <v/>
      </c>
      <c r="HA22" s="599" t="str">
        <f t="shared" si="452"/>
        <v/>
      </c>
      <c r="HB22" s="599" t="str">
        <f t="shared" si="452"/>
        <v/>
      </c>
      <c r="HC22" s="599" t="str">
        <f t="shared" si="452"/>
        <v/>
      </c>
      <c r="HD22" s="600" t="str">
        <f t="shared" si="452"/>
        <v/>
      </c>
      <c r="HE22" s="598" t="str">
        <f t="shared" si="452"/>
        <v/>
      </c>
      <c r="HF22" s="599" t="str">
        <f t="shared" si="452"/>
        <v/>
      </c>
      <c r="HG22" s="599" t="str">
        <f t="shared" si="452"/>
        <v/>
      </c>
      <c r="HH22" s="599" t="str">
        <f t="shared" si="452"/>
        <v/>
      </c>
      <c r="HI22" s="599" t="str">
        <f t="shared" si="452"/>
        <v/>
      </c>
      <c r="HJ22" s="599" t="str">
        <f t="shared" si="452"/>
        <v/>
      </c>
      <c r="HK22" s="599" t="str">
        <f t="shared" si="452"/>
        <v/>
      </c>
      <c r="HL22" s="599" t="str">
        <f t="shared" si="452"/>
        <v/>
      </c>
      <c r="HM22" s="599" t="str">
        <f t="shared" si="452"/>
        <v/>
      </c>
      <c r="HN22" s="599" t="str">
        <f t="shared" si="452"/>
        <v/>
      </c>
      <c r="HO22" s="599" t="str">
        <f t="shared" si="452"/>
        <v/>
      </c>
      <c r="HP22" s="599" t="str">
        <f t="shared" si="452"/>
        <v/>
      </c>
      <c r="HQ22" s="599" t="str">
        <f t="shared" ref="HQ22:KB22" si="453">IFERROR(STDEV(HQ8:HQ17),"")</f>
        <v/>
      </c>
      <c r="HR22" s="599" t="str">
        <f t="shared" si="453"/>
        <v/>
      </c>
      <c r="HS22" s="599" t="str">
        <f t="shared" si="453"/>
        <v/>
      </c>
      <c r="HT22" s="599" t="str">
        <f t="shared" si="453"/>
        <v/>
      </c>
      <c r="HU22" s="599" t="str">
        <f t="shared" si="453"/>
        <v/>
      </c>
      <c r="HV22" s="599" t="str">
        <f t="shared" si="453"/>
        <v/>
      </c>
      <c r="HW22" s="599" t="str">
        <f t="shared" si="453"/>
        <v/>
      </c>
      <c r="HX22" s="600" t="str">
        <f t="shared" si="453"/>
        <v/>
      </c>
      <c r="HY22" s="598" t="str">
        <f t="shared" si="453"/>
        <v/>
      </c>
      <c r="HZ22" s="599" t="str">
        <f t="shared" si="453"/>
        <v/>
      </c>
      <c r="IA22" s="599" t="str">
        <f t="shared" si="453"/>
        <v/>
      </c>
      <c r="IB22" s="599" t="str">
        <f t="shared" si="453"/>
        <v/>
      </c>
      <c r="IC22" s="599" t="str">
        <f t="shared" si="453"/>
        <v/>
      </c>
      <c r="ID22" s="599" t="str">
        <f t="shared" si="453"/>
        <v/>
      </c>
      <c r="IE22" s="599" t="str">
        <f t="shared" si="453"/>
        <v/>
      </c>
      <c r="IF22" s="599" t="str">
        <f t="shared" si="453"/>
        <v/>
      </c>
      <c r="IG22" s="599" t="str">
        <f t="shared" si="453"/>
        <v/>
      </c>
      <c r="IH22" s="599" t="str">
        <f t="shared" si="453"/>
        <v/>
      </c>
      <c r="II22" s="599" t="str">
        <f t="shared" si="453"/>
        <v/>
      </c>
      <c r="IJ22" s="599" t="str">
        <f t="shared" si="453"/>
        <v/>
      </c>
      <c r="IK22" s="599" t="str">
        <f t="shared" si="453"/>
        <v/>
      </c>
      <c r="IL22" s="599" t="str">
        <f t="shared" si="453"/>
        <v/>
      </c>
      <c r="IM22" s="599" t="str">
        <f t="shared" si="453"/>
        <v/>
      </c>
      <c r="IN22" s="599" t="str">
        <f t="shared" si="453"/>
        <v/>
      </c>
      <c r="IO22" s="599" t="str">
        <f t="shared" si="453"/>
        <v/>
      </c>
      <c r="IP22" s="599" t="str">
        <f t="shared" si="453"/>
        <v/>
      </c>
      <c r="IQ22" s="599" t="str">
        <f t="shared" si="453"/>
        <v/>
      </c>
      <c r="IR22" s="600" t="str">
        <f t="shared" si="453"/>
        <v/>
      </c>
      <c r="IS22" s="598" t="str">
        <f t="shared" si="453"/>
        <v/>
      </c>
      <c r="IT22" s="599" t="str">
        <f t="shared" si="453"/>
        <v/>
      </c>
      <c r="IU22" s="599" t="str">
        <f t="shared" si="453"/>
        <v/>
      </c>
      <c r="IV22" s="599" t="str">
        <f t="shared" si="453"/>
        <v/>
      </c>
      <c r="IW22" s="599" t="str">
        <f t="shared" si="453"/>
        <v/>
      </c>
      <c r="IX22" s="599" t="str">
        <f t="shared" si="453"/>
        <v/>
      </c>
      <c r="IY22" s="599" t="str">
        <f t="shared" si="453"/>
        <v/>
      </c>
      <c r="IZ22" s="599" t="str">
        <f t="shared" si="453"/>
        <v/>
      </c>
      <c r="JA22" s="599" t="str">
        <f t="shared" si="453"/>
        <v/>
      </c>
      <c r="JB22" s="599" t="str">
        <f t="shared" si="453"/>
        <v/>
      </c>
      <c r="JC22" s="599" t="str">
        <f t="shared" si="453"/>
        <v/>
      </c>
      <c r="JD22" s="599" t="str">
        <f t="shared" si="453"/>
        <v/>
      </c>
      <c r="JE22" s="599" t="str">
        <f t="shared" si="453"/>
        <v/>
      </c>
      <c r="JF22" s="599" t="str">
        <f t="shared" si="453"/>
        <v/>
      </c>
      <c r="JG22" s="599" t="str">
        <f t="shared" si="453"/>
        <v/>
      </c>
      <c r="JH22" s="599" t="str">
        <f t="shared" si="453"/>
        <v/>
      </c>
      <c r="JI22" s="599" t="str">
        <f t="shared" si="453"/>
        <v/>
      </c>
      <c r="JJ22" s="599" t="str">
        <f t="shared" si="453"/>
        <v/>
      </c>
      <c r="JK22" s="599" t="str">
        <f t="shared" si="453"/>
        <v/>
      </c>
      <c r="JL22" s="600" t="str">
        <f t="shared" si="453"/>
        <v/>
      </c>
      <c r="JM22" s="699" t="str">
        <f t="shared" si="453"/>
        <v/>
      </c>
      <c r="JN22" s="700" t="str">
        <f t="shared" si="453"/>
        <v/>
      </c>
      <c r="JO22" s="700" t="str">
        <f t="shared" si="453"/>
        <v/>
      </c>
      <c r="JP22" s="700" t="str">
        <f t="shared" si="453"/>
        <v/>
      </c>
      <c r="JQ22" s="700" t="str">
        <f t="shared" si="453"/>
        <v/>
      </c>
      <c r="JR22" s="700" t="str">
        <f t="shared" si="453"/>
        <v/>
      </c>
      <c r="JS22" s="700" t="str">
        <f t="shared" si="453"/>
        <v/>
      </c>
      <c r="JT22" s="700" t="str">
        <f t="shared" si="453"/>
        <v/>
      </c>
      <c r="JU22" s="700" t="str">
        <f t="shared" si="453"/>
        <v/>
      </c>
      <c r="JV22" s="700" t="str">
        <f t="shared" si="453"/>
        <v/>
      </c>
      <c r="JW22" s="700" t="str">
        <f t="shared" si="453"/>
        <v/>
      </c>
      <c r="JX22" s="700" t="str">
        <f t="shared" si="453"/>
        <v/>
      </c>
      <c r="JY22" s="700" t="str">
        <f t="shared" si="453"/>
        <v/>
      </c>
      <c r="JZ22" s="700" t="str">
        <f t="shared" si="453"/>
        <v/>
      </c>
      <c r="KA22" s="700" t="str">
        <f t="shared" si="453"/>
        <v/>
      </c>
      <c r="KB22" s="700" t="str">
        <f t="shared" si="453"/>
        <v/>
      </c>
      <c r="KC22" s="700" t="str">
        <f t="shared" ref="KC22:MN22" si="454">IFERROR(STDEV(KC8:KC17),"")</f>
        <v/>
      </c>
      <c r="KD22" s="700" t="str">
        <f t="shared" si="454"/>
        <v/>
      </c>
      <c r="KE22" s="700" t="str">
        <f t="shared" si="454"/>
        <v/>
      </c>
      <c r="KF22" s="701" t="str">
        <f t="shared" si="454"/>
        <v/>
      </c>
      <c r="KG22" s="108" t="str">
        <f t="shared" si="454"/>
        <v/>
      </c>
      <c r="KH22" s="109" t="str">
        <f t="shared" si="454"/>
        <v/>
      </c>
      <c r="KI22" s="109" t="str">
        <f t="shared" si="454"/>
        <v/>
      </c>
      <c r="KJ22" s="109" t="str">
        <f t="shared" si="454"/>
        <v/>
      </c>
      <c r="KK22" s="109" t="str">
        <f t="shared" si="454"/>
        <v/>
      </c>
      <c r="KL22" s="109" t="str">
        <f t="shared" si="454"/>
        <v/>
      </c>
      <c r="KM22" s="109" t="str">
        <f t="shared" si="454"/>
        <v/>
      </c>
      <c r="KN22" s="109" t="str">
        <f t="shared" si="454"/>
        <v/>
      </c>
      <c r="KO22" s="109" t="str">
        <f t="shared" si="454"/>
        <v/>
      </c>
      <c r="KP22" s="109" t="str">
        <f t="shared" si="454"/>
        <v/>
      </c>
      <c r="KQ22" s="109" t="str">
        <f t="shared" si="454"/>
        <v/>
      </c>
      <c r="KR22" s="109" t="str">
        <f t="shared" si="454"/>
        <v/>
      </c>
      <c r="KS22" s="109" t="str">
        <f t="shared" si="454"/>
        <v/>
      </c>
      <c r="KT22" s="109" t="str">
        <f t="shared" si="454"/>
        <v/>
      </c>
      <c r="KU22" s="109" t="str">
        <f t="shared" si="454"/>
        <v/>
      </c>
      <c r="KV22" s="109" t="str">
        <f t="shared" si="454"/>
        <v/>
      </c>
      <c r="KW22" s="109" t="str">
        <f t="shared" si="454"/>
        <v/>
      </c>
      <c r="KX22" s="109" t="str">
        <f t="shared" si="454"/>
        <v/>
      </c>
      <c r="KY22" s="109" t="str">
        <f t="shared" si="454"/>
        <v/>
      </c>
      <c r="KZ22" s="110" t="str">
        <f t="shared" si="454"/>
        <v/>
      </c>
      <c r="LA22" s="108" t="str">
        <f t="shared" si="454"/>
        <v/>
      </c>
      <c r="LB22" s="108" t="str">
        <f t="shared" si="454"/>
        <v/>
      </c>
      <c r="LC22" s="108" t="str">
        <f t="shared" si="454"/>
        <v/>
      </c>
      <c r="LD22" s="108" t="str">
        <f t="shared" si="454"/>
        <v/>
      </c>
      <c r="LE22" s="108" t="str">
        <f t="shared" si="454"/>
        <v/>
      </c>
      <c r="LF22" s="108" t="str">
        <f t="shared" si="454"/>
        <v/>
      </c>
      <c r="LG22" s="108" t="str">
        <f t="shared" si="454"/>
        <v/>
      </c>
      <c r="LH22" s="108" t="str">
        <f t="shared" si="454"/>
        <v/>
      </c>
      <c r="LI22" s="108" t="str">
        <f t="shared" si="454"/>
        <v/>
      </c>
      <c r="LJ22" s="108" t="str">
        <f t="shared" si="454"/>
        <v/>
      </c>
      <c r="LK22" s="108" t="str">
        <f t="shared" si="454"/>
        <v/>
      </c>
      <c r="LL22" s="108" t="str">
        <f t="shared" si="454"/>
        <v/>
      </c>
      <c r="LM22" s="108" t="str">
        <f t="shared" si="454"/>
        <v/>
      </c>
      <c r="LN22" s="108" t="str">
        <f t="shared" si="454"/>
        <v/>
      </c>
      <c r="LO22" s="108" t="str">
        <f t="shared" si="454"/>
        <v/>
      </c>
      <c r="LP22" s="108" t="str">
        <f t="shared" si="454"/>
        <v/>
      </c>
      <c r="LQ22" s="108" t="str">
        <f t="shared" si="454"/>
        <v/>
      </c>
      <c r="LR22" s="108" t="str">
        <f t="shared" si="454"/>
        <v/>
      </c>
      <c r="LS22" s="108" t="str">
        <f t="shared" si="454"/>
        <v/>
      </c>
      <c r="LT22" s="108" t="str">
        <f t="shared" si="454"/>
        <v/>
      </c>
      <c r="LU22" s="108" t="str">
        <f t="shared" si="454"/>
        <v/>
      </c>
      <c r="LV22" s="108" t="str">
        <f t="shared" si="454"/>
        <v/>
      </c>
      <c r="LW22" s="108" t="str">
        <f t="shared" si="454"/>
        <v/>
      </c>
      <c r="LX22" s="108" t="str">
        <f t="shared" si="454"/>
        <v/>
      </c>
      <c r="LY22" s="108" t="str">
        <f t="shared" si="454"/>
        <v/>
      </c>
      <c r="LZ22" s="108" t="str">
        <f t="shared" si="454"/>
        <v/>
      </c>
      <c r="MA22" s="108" t="str">
        <f t="shared" si="454"/>
        <v/>
      </c>
      <c r="MB22" s="108" t="str">
        <f t="shared" si="454"/>
        <v/>
      </c>
      <c r="MC22" s="108" t="str">
        <f t="shared" si="454"/>
        <v/>
      </c>
      <c r="MD22" s="108" t="str">
        <f t="shared" si="454"/>
        <v/>
      </c>
      <c r="ME22" s="108" t="str">
        <f t="shared" si="454"/>
        <v/>
      </c>
      <c r="MF22" s="108" t="str">
        <f t="shared" si="454"/>
        <v/>
      </c>
      <c r="MG22" s="108" t="str">
        <f t="shared" si="454"/>
        <v/>
      </c>
      <c r="MH22" s="108" t="str">
        <f t="shared" si="454"/>
        <v/>
      </c>
      <c r="MI22" s="108" t="str">
        <f t="shared" si="454"/>
        <v/>
      </c>
      <c r="MJ22" s="108" t="str">
        <f t="shared" si="454"/>
        <v/>
      </c>
      <c r="MK22" s="108" t="str">
        <f t="shared" si="454"/>
        <v/>
      </c>
      <c r="ML22" s="108" t="str">
        <f t="shared" si="454"/>
        <v/>
      </c>
      <c r="MM22" s="108" t="str">
        <f t="shared" si="454"/>
        <v/>
      </c>
      <c r="MN22" s="108" t="str">
        <f t="shared" si="454"/>
        <v/>
      </c>
      <c r="MO22" s="699" t="str">
        <f t="shared" ref="MO22:OZ22" si="455">IFERROR(STDEV(MO8:MO17),"")</f>
        <v/>
      </c>
      <c r="MP22" s="699" t="str">
        <f t="shared" si="455"/>
        <v/>
      </c>
      <c r="MQ22" s="699" t="str">
        <f t="shared" si="455"/>
        <v/>
      </c>
      <c r="MR22" s="699" t="str">
        <f t="shared" si="455"/>
        <v/>
      </c>
      <c r="MS22" s="699" t="str">
        <f t="shared" si="455"/>
        <v/>
      </c>
      <c r="MT22" s="699" t="str">
        <f t="shared" si="455"/>
        <v/>
      </c>
      <c r="MU22" s="699" t="str">
        <f t="shared" si="455"/>
        <v/>
      </c>
      <c r="MV22" s="699" t="str">
        <f t="shared" si="455"/>
        <v/>
      </c>
      <c r="MW22" s="699" t="str">
        <f t="shared" si="455"/>
        <v/>
      </c>
      <c r="MX22" s="699" t="str">
        <f t="shared" si="455"/>
        <v/>
      </c>
      <c r="MY22" s="699" t="str">
        <f t="shared" si="455"/>
        <v/>
      </c>
      <c r="MZ22" s="699" t="str">
        <f t="shared" si="455"/>
        <v/>
      </c>
      <c r="NA22" s="699" t="str">
        <f t="shared" si="455"/>
        <v/>
      </c>
      <c r="NB22" s="699" t="str">
        <f t="shared" si="455"/>
        <v/>
      </c>
      <c r="NC22" s="699" t="str">
        <f t="shared" si="455"/>
        <v/>
      </c>
      <c r="ND22" s="699" t="str">
        <f t="shared" si="455"/>
        <v/>
      </c>
      <c r="NE22" s="699" t="str">
        <f t="shared" si="455"/>
        <v/>
      </c>
      <c r="NF22" s="699" t="str">
        <f t="shared" si="455"/>
        <v/>
      </c>
      <c r="NG22" s="699" t="str">
        <f t="shared" si="455"/>
        <v/>
      </c>
      <c r="NH22" s="699" t="str">
        <f t="shared" si="455"/>
        <v/>
      </c>
      <c r="NI22" s="699" t="str">
        <f t="shared" si="455"/>
        <v/>
      </c>
      <c r="NJ22" s="699" t="str">
        <f t="shared" si="455"/>
        <v/>
      </c>
      <c r="NK22" s="699" t="str">
        <f t="shared" si="455"/>
        <v/>
      </c>
      <c r="NL22" s="699" t="str">
        <f t="shared" si="455"/>
        <v/>
      </c>
      <c r="NM22" s="699" t="str">
        <f t="shared" si="455"/>
        <v/>
      </c>
      <c r="NN22" s="699" t="str">
        <f t="shared" si="455"/>
        <v/>
      </c>
      <c r="NO22" s="699" t="str">
        <f t="shared" si="455"/>
        <v/>
      </c>
      <c r="NP22" s="699" t="str">
        <f t="shared" si="455"/>
        <v/>
      </c>
      <c r="NQ22" s="699" t="str">
        <f t="shared" si="455"/>
        <v/>
      </c>
      <c r="NR22" s="699" t="str">
        <f t="shared" si="455"/>
        <v/>
      </c>
      <c r="NS22" s="699" t="str">
        <f t="shared" si="455"/>
        <v/>
      </c>
      <c r="NT22" s="699" t="str">
        <f t="shared" si="455"/>
        <v/>
      </c>
      <c r="NU22" s="699" t="str">
        <f t="shared" si="455"/>
        <v/>
      </c>
      <c r="NV22" s="699" t="str">
        <f t="shared" si="455"/>
        <v/>
      </c>
      <c r="NW22" s="699" t="str">
        <f t="shared" si="455"/>
        <v/>
      </c>
      <c r="NX22" s="699" t="str">
        <f t="shared" si="455"/>
        <v/>
      </c>
      <c r="NY22" s="699" t="str">
        <f t="shared" si="455"/>
        <v/>
      </c>
      <c r="NZ22" s="699" t="str">
        <f t="shared" si="455"/>
        <v/>
      </c>
      <c r="OA22" s="699" t="str">
        <f t="shared" si="455"/>
        <v/>
      </c>
      <c r="OB22" s="699" t="str">
        <f t="shared" si="455"/>
        <v/>
      </c>
      <c r="OC22" s="699" t="str">
        <f t="shared" si="455"/>
        <v/>
      </c>
      <c r="OD22" s="700" t="str">
        <f t="shared" si="455"/>
        <v/>
      </c>
      <c r="OE22" s="700" t="str">
        <f t="shared" si="455"/>
        <v/>
      </c>
      <c r="OF22" s="700" t="str">
        <f t="shared" si="455"/>
        <v/>
      </c>
      <c r="OG22" s="700" t="str">
        <f t="shared" si="455"/>
        <v/>
      </c>
      <c r="OH22" s="700" t="str">
        <f t="shared" si="455"/>
        <v/>
      </c>
      <c r="OI22" s="700" t="str">
        <f t="shared" si="455"/>
        <v/>
      </c>
      <c r="OJ22" s="700" t="str">
        <f t="shared" si="455"/>
        <v/>
      </c>
      <c r="OK22" s="700" t="str">
        <f t="shared" si="455"/>
        <v/>
      </c>
      <c r="OL22" s="700" t="str">
        <f t="shared" si="455"/>
        <v/>
      </c>
      <c r="OM22" s="700" t="str">
        <f t="shared" si="455"/>
        <v/>
      </c>
      <c r="ON22" s="700" t="str">
        <f t="shared" si="455"/>
        <v/>
      </c>
      <c r="OO22" s="700" t="str">
        <f t="shared" si="455"/>
        <v/>
      </c>
      <c r="OP22" s="700" t="str">
        <f t="shared" si="455"/>
        <v/>
      </c>
      <c r="OQ22" s="700" t="str">
        <f t="shared" si="455"/>
        <v/>
      </c>
      <c r="OR22" s="700" t="str">
        <f t="shared" si="455"/>
        <v/>
      </c>
      <c r="OS22" s="700" t="str">
        <f t="shared" si="455"/>
        <v/>
      </c>
      <c r="OT22" s="700" t="str">
        <f t="shared" si="455"/>
        <v/>
      </c>
      <c r="OU22" s="700" t="str">
        <f t="shared" si="455"/>
        <v/>
      </c>
      <c r="OV22" s="701" t="str">
        <f t="shared" si="455"/>
        <v/>
      </c>
      <c r="OW22" s="699" t="str">
        <f t="shared" si="455"/>
        <v/>
      </c>
      <c r="OX22" s="700" t="str">
        <f t="shared" si="455"/>
        <v/>
      </c>
      <c r="OY22" s="700" t="str">
        <f t="shared" si="455"/>
        <v/>
      </c>
      <c r="OZ22" s="700" t="str">
        <f t="shared" si="455"/>
        <v/>
      </c>
      <c r="PA22" s="700" t="str">
        <f t="shared" ref="PA22:RL22" si="456">IFERROR(STDEV(PA8:PA17),"")</f>
        <v/>
      </c>
      <c r="PB22" s="700" t="str">
        <f t="shared" si="456"/>
        <v/>
      </c>
      <c r="PC22" s="700" t="str">
        <f t="shared" si="456"/>
        <v/>
      </c>
      <c r="PD22" s="700" t="str">
        <f t="shared" si="456"/>
        <v/>
      </c>
      <c r="PE22" s="700" t="str">
        <f t="shared" si="456"/>
        <v/>
      </c>
      <c r="PF22" s="700" t="str">
        <f t="shared" si="456"/>
        <v/>
      </c>
      <c r="PG22" s="700" t="str">
        <f t="shared" si="456"/>
        <v/>
      </c>
      <c r="PH22" s="700" t="str">
        <f t="shared" si="456"/>
        <v/>
      </c>
      <c r="PI22" s="700" t="str">
        <f t="shared" si="456"/>
        <v/>
      </c>
      <c r="PJ22" s="700" t="str">
        <f t="shared" si="456"/>
        <v/>
      </c>
      <c r="PK22" s="700" t="str">
        <f t="shared" si="456"/>
        <v/>
      </c>
      <c r="PL22" s="700" t="str">
        <f t="shared" si="456"/>
        <v/>
      </c>
      <c r="PM22" s="700" t="str">
        <f t="shared" si="456"/>
        <v/>
      </c>
      <c r="PN22" s="700" t="str">
        <f t="shared" si="456"/>
        <v/>
      </c>
      <c r="PO22" s="700" t="str">
        <f t="shared" si="456"/>
        <v/>
      </c>
      <c r="PP22" s="701" t="str">
        <f t="shared" si="456"/>
        <v/>
      </c>
      <c r="PQ22" s="108" t="str">
        <f t="shared" si="456"/>
        <v/>
      </c>
      <c r="PR22" s="109" t="str">
        <f t="shared" si="456"/>
        <v/>
      </c>
      <c r="PS22" s="109" t="str">
        <f t="shared" si="456"/>
        <v/>
      </c>
      <c r="PT22" s="109" t="str">
        <f t="shared" si="456"/>
        <v/>
      </c>
      <c r="PU22" s="109" t="str">
        <f t="shared" si="456"/>
        <v/>
      </c>
      <c r="PV22" s="109" t="str">
        <f t="shared" si="456"/>
        <v/>
      </c>
      <c r="PW22" s="109" t="str">
        <f t="shared" si="456"/>
        <v/>
      </c>
      <c r="PX22" s="109" t="str">
        <f t="shared" si="456"/>
        <v/>
      </c>
      <c r="PY22" s="109" t="str">
        <f t="shared" si="456"/>
        <v/>
      </c>
      <c r="PZ22" s="109" t="str">
        <f t="shared" si="456"/>
        <v/>
      </c>
      <c r="QA22" s="109" t="str">
        <f t="shared" si="456"/>
        <v/>
      </c>
      <c r="QB22" s="109" t="str">
        <f t="shared" si="456"/>
        <v/>
      </c>
      <c r="QC22" s="109" t="str">
        <f t="shared" si="456"/>
        <v/>
      </c>
      <c r="QD22" s="109" t="str">
        <f t="shared" si="456"/>
        <v/>
      </c>
      <c r="QE22" s="109" t="str">
        <f t="shared" si="456"/>
        <v/>
      </c>
      <c r="QF22" s="109" t="str">
        <f t="shared" si="456"/>
        <v/>
      </c>
      <c r="QG22" s="109" t="str">
        <f t="shared" si="456"/>
        <v/>
      </c>
      <c r="QH22" s="109" t="str">
        <f t="shared" si="456"/>
        <v/>
      </c>
      <c r="QI22" s="109" t="str">
        <f t="shared" si="456"/>
        <v/>
      </c>
      <c r="QJ22" s="110" t="str">
        <f t="shared" si="456"/>
        <v/>
      </c>
      <c r="QK22" s="699" t="str">
        <f t="shared" si="456"/>
        <v/>
      </c>
      <c r="QL22" s="700" t="str">
        <f t="shared" si="456"/>
        <v/>
      </c>
      <c r="QM22" s="700" t="str">
        <f t="shared" si="456"/>
        <v/>
      </c>
      <c r="QN22" s="700" t="str">
        <f t="shared" si="456"/>
        <v/>
      </c>
      <c r="QO22" s="700" t="str">
        <f t="shared" si="456"/>
        <v/>
      </c>
      <c r="QP22" s="700" t="str">
        <f t="shared" si="456"/>
        <v/>
      </c>
      <c r="QQ22" s="700" t="str">
        <f t="shared" si="456"/>
        <v/>
      </c>
      <c r="QR22" s="700" t="str">
        <f t="shared" si="456"/>
        <v/>
      </c>
      <c r="QS22" s="700" t="str">
        <f t="shared" si="456"/>
        <v/>
      </c>
      <c r="QT22" s="700" t="str">
        <f t="shared" si="456"/>
        <v/>
      </c>
      <c r="QU22" s="700" t="str">
        <f t="shared" si="456"/>
        <v/>
      </c>
      <c r="QV22" s="700" t="str">
        <f t="shared" si="456"/>
        <v/>
      </c>
      <c r="QW22" s="700" t="str">
        <f t="shared" si="456"/>
        <v/>
      </c>
      <c r="QX22" s="700" t="str">
        <f t="shared" si="456"/>
        <v/>
      </c>
      <c r="QY22" s="700" t="str">
        <f t="shared" si="456"/>
        <v/>
      </c>
      <c r="QZ22" s="700" t="str">
        <f t="shared" si="456"/>
        <v/>
      </c>
      <c r="RA22" s="700" t="str">
        <f t="shared" si="456"/>
        <v/>
      </c>
      <c r="RB22" s="700" t="str">
        <f t="shared" si="456"/>
        <v/>
      </c>
      <c r="RC22" s="700" t="str">
        <f t="shared" si="456"/>
        <v/>
      </c>
      <c r="RD22" s="701" t="str">
        <f t="shared" si="456"/>
        <v/>
      </c>
      <c r="RE22" s="699" t="str">
        <f t="shared" si="456"/>
        <v/>
      </c>
      <c r="RF22" s="700" t="str">
        <f t="shared" si="456"/>
        <v/>
      </c>
      <c r="RG22" s="700" t="str">
        <f t="shared" si="456"/>
        <v/>
      </c>
      <c r="RH22" s="700" t="str">
        <f t="shared" si="456"/>
        <v/>
      </c>
      <c r="RI22" s="700" t="str">
        <f t="shared" si="456"/>
        <v/>
      </c>
      <c r="RJ22" s="700" t="str">
        <f t="shared" si="456"/>
        <v/>
      </c>
      <c r="RK22" s="700" t="str">
        <f t="shared" si="456"/>
        <v/>
      </c>
      <c r="RL22" s="700" t="str">
        <f t="shared" si="456"/>
        <v/>
      </c>
      <c r="RM22" s="700" t="str">
        <f t="shared" ref="RM22:TX22" si="457">IFERROR(STDEV(RM8:RM17),"")</f>
        <v/>
      </c>
      <c r="RN22" s="700" t="str">
        <f t="shared" si="457"/>
        <v/>
      </c>
      <c r="RO22" s="700" t="str">
        <f t="shared" si="457"/>
        <v/>
      </c>
      <c r="RP22" s="700" t="str">
        <f t="shared" si="457"/>
        <v/>
      </c>
      <c r="RQ22" s="700" t="str">
        <f t="shared" si="457"/>
        <v/>
      </c>
      <c r="RR22" s="700" t="str">
        <f t="shared" si="457"/>
        <v/>
      </c>
      <c r="RS22" s="700" t="str">
        <f t="shared" si="457"/>
        <v/>
      </c>
      <c r="RT22" s="700" t="str">
        <f t="shared" si="457"/>
        <v/>
      </c>
      <c r="RU22" s="700" t="str">
        <f t="shared" si="457"/>
        <v/>
      </c>
      <c r="RV22" s="700" t="str">
        <f t="shared" si="457"/>
        <v/>
      </c>
      <c r="RW22" s="700" t="str">
        <f t="shared" si="457"/>
        <v/>
      </c>
      <c r="RX22" s="701" t="str">
        <f t="shared" si="457"/>
        <v/>
      </c>
      <c r="RY22" s="699" t="str">
        <f t="shared" si="457"/>
        <v/>
      </c>
      <c r="RZ22" s="700" t="str">
        <f t="shared" si="457"/>
        <v/>
      </c>
      <c r="SA22" s="700" t="str">
        <f t="shared" si="457"/>
        <v/>
      </c>
      <c r="SB22" s="700" t="str">
        <f t="shared" si="457"/>
        <v/>
      </c>
      <c r="SC22" s="700" t="str">
        <f t="shared" si="457"/>
        <v/>
      </c>
      <c r="SD22" s="700" t="str">
        <f t="shared" si="457"/>
        <v/>
      </c>
      <c r="SE22" s="700" t="str">
        <f t="shared" si="457"/>
        <v/>
      </c>
      <c r="SF22" s="700" t="str">
        <f t="shared" si="457"/>
        <v/>
      </c>
      <c r="SG22" s="700" t="str">
        <f t="shared" si="457"/>
        <v/>
      </c>
      <c r="SH22" s="700" t="str">
        <f t="shared" si="457"/>
        <v/>
      </c>
      <c r="SI22" s="700" t="str">
        <f t="shared" si="457"/>
        <v/>
      </c>
      <c r="SJ22" s="700" t="str">
        <f t="shared" si="457"/>
        <v/>
      </c>
      <c r="SK22" s="700" t="str">
        <f t="shared" si="457"/>
        <v/>
      </c>
      <c r="SL22" s="700" t="str">
        <f t="shared" si="457"/>
        <v/>
      </c>
      <c r="SM22" s="700" t="str">
        <f t="shared" si="457"/>
        <v/>
      </c>
      <c r="SN22" s="700" t="str">
        <f t="shared" si="457"/>
        <v/>
      </c>
      <c r="SO22" s="700" t="str">
        <f t="shared" si="457"/>
        <v/>
      </c>
      <c r="SP22" s="700" t="str">
        <f t="shared" si="457"/>
        <v/>
      </c>
      <c r="SQ22" s="700" t="str">
        <f t="shared" si="457"/>
        <v/>
      </c>
      <c r="SR22" s="701" t="str">
        <f t="shared" si="457"/>
        <v/>
      </c>
      <c r="SS22" s="699" t="str">
        <f t="shared" si="457"/>
        <v/>
      </c>
      <c r="ST22" s="700" t="str">
        <f t="shared" si="457"/>
        <v/>
      </c>
      <c r="SU22" s="700" t="str">
        <f t="shared" si="457"/>
        <v/>
      </c>
      <c r="SV22" s="700" t="str">
        <f t="shared" si="457"/>
        <v/>
      </c>
      <c r="SW22" s="700" t="str">
        <f t="shared" si="457"/>
        <v/>
      </c>
      <c r="SX22" s="700" t="str">
        <f t="shared" si="457"/>
        <v/>
      </c>
      <c r="SY22" s="700" t="str">
        <f t="shared" si="457"/>
        <v/>
      </c>
      <c r="SZ22" s="700" t="str">
        <f t="shared" si="457"/>
        <v/>
      </c>
      <c r="TA22" s="700" t="str">
        <f t="shared" si="457"/>
        <v/>
      </c>
      <c r="TB22" s="700" t="str">
        <f t="shared" si="457"/>
        <v/>
      </c>
      <c r="TC22" s="700" t="str">
        <f t="shared" si="457"/>
        <v/>
      </c>
      <c r="TD22" s="700" t="str">
        <f t="shared" si="457"/>
        <v/>
      </c>
      <c r="TE22" s="700" t="str">
        <f t="shared" si="457"/>
        <v/>
      </c>
      <c r="TF22" s="700" t="str">
        <f t="shared" si="457"/>
        <v/>
      </c>
      <c r="TG22" s="700" t="str">
        <f t="shared" si="457"/>
        <v/>
      </c>
      <c r="TH22" s="700" t="str">
        <f t="shared" si="457"/>
        <v/>
      </c>
      <c r="TI22" s="700" t="str">
        <f t="shared" si="457"/>
        <v/>
      </c>
      <c r="TJ22" s="700" t="str">
        <f t="shared" si="457"/>
        <v/>
      </c>
      <c r="TK22" s="700" t="str">
        <f t="shared" si="457"/>
        <v/>
      </c>
      <c r="TL22" s="701" t="str">
        <f t="shared" si="457"/>
        <v/>
      </c>
      <c r="TM22" s="111" t="str">
        <f t="shared" si="457"/>
        <v/>
      </c>
      <c r="TN22" s="112" t="str">
        <f t="shared" si="457"/>
        <v/>
      </c>
      <c r="TO22" s="112" t="str">
        <f t="shared" si="457"/>
        <v/>
      </c>
      <c r="TP22" s="112" t="str">
        <f t="shared" si="457"/>
        <v/>
      </c>
      <c r="TQ22" s="112" t="str">
        <f t="shared" si="457"/>
        <v/>
      </c>
      <c r="TR22" s="112" t="str">
        <f t="shared" si="457"/>
        <v/>
      </c>
      <c r="TS22" s="112" t="str">
        <f t="shared" si="457"/>
        <v/>
      </c>
      <c r="TT22" s="112" t="str">
        <f t="shared" si="457"/>
        <v/>
      </c>
      <c r="TU22" s="112" t="str">
        <f t="shared" si="457"/>
        <v/>
      </c>
      <c r="TV22" s="112" t="str">
        <f t="shared" si="457"/>
        <v/>
      </c>
      <c r="TW22" s="112" t="str">
        <f t="shared" si="457"/>
        <v/>
      </c>
      <c r="TX22" s="112" t="str">
        <f t="shared" si="457"/>
        <v/>
      </c>
      <c r="TY22" s="112" t="str">
        <f t="shared" ref="TY22:WN22" si="458">IFERROR(STDEV(TY8:TY17),"")</f>
        <v/>
      </c>
      <c r="TZ22" s="112" t="str">
        <f t="shared" si="458"/>
        <v/>
      </c>
      <c r="UA22" s="112" t="str">
        <f t="shared" si="458"/>
        <v/>
      </c>
      <c r="UB22" s="112" t="str">
        <f t="shared" si="458"/>
        <v/>
      </c>
      <c r="UC22" s="112" t="str">
        <f t="shared" si="458"/>
        <v/>
      </c>
      <c r="UD22" s="112" t="str">
        <f t="shared" si="458"/>
        <v/>
      </c>
      <c r="UE22" s="112" t="str">
        <f t="shared" si="458"/>
        <v/>
      </c>
      <c r="UF22" s="113" t="str">
        <f t="shared" si="458"/>
        <v/>
      </c>
      <c r="UG22" s="111" t="str">
        <f t="shared" si="458"/>
        <v/>
      </c>
      <c r="UH22" s="112" t="str">
        <f t="shared" si="458"/>
        <v/>
      </c>
      <c r="UI22" s="112" t="str">
        <f t="shared" si="458"/>
        <v/>
      </c>
      <c r="UJ22" s="112" t="str">
        <f t="shared" si="458"/>
        <v/>
      </c>
      <c r="UK22" s="112" t="str">
        <f t="shared" si="458"/>
        <v/>
      </c>
      <c r="UL22" s="112" t="str">
        <f t="shared" si="458"/>
        <v/>
      </c>
      <c r="UM22" s="112" t="str">
        <f t="shared" si="458"/>
        <v/>
      </c>
      <c r="UN22" s="112" t="str">
        <f t="shared" si="458"/>
        <v/>
      </c>
      <c r="UO22" s="112" t="str">
        <f t="shared" si="458"/>
        <v/>
      </c>
      <c r="UP22" s="112" t="str">
        <f t="shared" si="458"/>
        <v/>
      </c>
      <c r="UQ22" s="112" t="str">
        <f t="shared" si="458"/>
        <v/>
      </c>
      <c r="UR22" s="112" t="str">
        <f t="shared" si="458"/>
        <v/>
      </c>
      <c r="US22" s="112" t="str">
        <f t="shared" si="458"/>
        <v/>
      </c>
      <c r="UT22" s="112" t="str">
        <f t="shared" si="458"/>
        <v/>
      </c>
      <c r="UU22" s="112" t="str">
        <f t="shared" si="458"/>
        <v/>
      </c>
      <c r="UV22" s="112" t="str">
        <f t="shared" si="458"/>
        <v/>
      </c>
      <c r="UW22" s="112" t="str">
        <f t="shared" si="458"/>
        <v/>
      </c>
      <c r="UX22" s="112" t="str">
        <f t="shared" si="458"/>
        <v/>
      </c>
      <c r="UY22" s="112" t="str">
        <f t="shared" si="458"/>
        <v/>
      </c>
      <c r="UZ22" s="113" t="str">
        <f t="shared" si="458"/>
        <v/>
      </c>
      <c r="VA22" s="111" t="str">
        <f t="shared" si="458"/>
        <v/>
      </c>
      <c r="VB22" s="112" t="str">
        <f t="shared" si="458"/>
        <v/>
      </c>
      <c r="VC22" s="112" t="str">
        <f t="shared" si="458"/>
        <v/>
      </c>
      <c r="VD22" s="112" t="str">
        <f t="shared" si="458"/>
        <v/>
      </c>
      <c r="VE22" s="112" t="str">
        <f t="shared" si="458"/>
        <v/>
      </c>
      <c r="VF22" s="112" t="str">
        <f t="shared" si="458"/>
        <v/>
      </c>
      <c r="VG22" s="112" t="str">
        <f t="shared" si="458"/>
        <v/>
      </c>
      <c r="VH22" s="112" t="str">
        <f t="shared" si="458"/>
        <v/>
      </c>
      <c r="VI22" s="112" t="str">
        <f t="shared" si="458"/>
        <v/>
      </c>
      <c r="VJ22" s="112" t="str">
        <f t="shared" si="458"/>
        <v/>
      </c>
      <c r="VK22" s="112" t="str">
        <f t="shared" si="458"/>
        <v/>
      </c>
      <c r="VL22" s="112" t="str">
        <f t="shared" si="458"/>
        <v/>
      </c>
      <c r="VM22" s="112" t="str">
        <f t="shared" si="458"/>
        <v/>
      </c>
      <c r="VN22" s="112" t="str">
        <f t="shared" si="458"/>
        <v/>
      </c>
      <c r="VO22" s="112" t="str">
        <f t="shared" si="458"/>
        <v/>
      </c>
      <c r="VP22" s="112" t="str">
        <f t="shared" si="458"/>
        <v/>
      </c>
      <c r="VQ22" s="112" t="str">
        <f t="shared" si="458"/>
        <v/>
      </c>
      <c r="VR22" s="112" t="str">
        <f t="shared" si="458"/>
        <v/>
      </c>
      <c r="VS22" s="112" t="str">
        <f t="shared" si="458"/>
        <v/>
      </c>
      <c r="VT22" s="113" t="str">
        <f t="shared" si="458"/>
        <v/>
      </c>
      <c r="VU22" s="111" t="str">
        <f t="shared" si="458"/>
        <v/>
      </c>
      <c r="VV22" s="112" t="str">
        <f t="shared" si="458"/>
        <v/>
      </c>
      <c r="VW22" s="112" t="str">
        <f t="shared" si="458"/>
        <v/>
      </c>
      <c r="VX22" s="112" t="str">
        <f t="shared" si="458"/>
        <v/>
      </c>
      <c r="VY22" s="112" t="str">
        <f t="shared" si="458"/>
        <v/>
      </c>
      <c r="VZ22" s="112" t="str">
        <f t="shared" si="458"/>
        <v/>
      </c>
      <c r="WA22" s="112" t="str">
        <f t="shared" si="458"/>
        <v/>
      </c>
      <c r="WB22" s="112" t="str">
        <f t="shared" si="458"/>
        <v/>
      </c>
      <c r="WC22" s="112" t="str">
        <f t="shared" si="458"/>
        <v/>
      </c>
      <c r="WD22" s="112" t="str">
        <f t="shared" si="458"/>
        <v/>
      </c>
      <c r="WE22" s="112" t="str">
        <f t="shared" si="458"/>
        <v/>
      </c>
      <c r="WF22" s="112" t="str">
        <f t="shared" si="458"/>
        <v/>
      </c>
      <c r="WG22" s="112" t="str">
        <f t="shared" si="458"/>
        <v/>
      </c>
      <c r="WH22" s="112" t="str">
        <f t="shared" si="458"/>
        <v/>
      </c>
      <c r="WI22" s="112" t="str">
        <f t="shared" si="458"/>
        <v/>
      </c>
      <c r="WJ22" s="112" t="str">
        <f t="shared" si="458"/>
        <v/>
      </c>
      <c r="WK22" s="112" t="str">
        <f t="shared" si="458"/>
        <v/>
      </c>
      <c r="WL22" s="112" t="str">
        <f t="shared" si="458"/>
        <v/>
      </c>
      <c r="WM22" s="112" t="str">
        <f t="shared" si="458"/>
        <v/>
      </c>
      <c r="WN22" s="113" t="str">
        <f t="shared" si="458"/>
        <v/>
      </c>
      <c r="WO22" s="111" t="str">
        <f t="shared" ref="WO22:XH22" si="459">IFERROR(STDEV(WO8:WO17),"")</f>
        <v/>
      </c>
      <c r="WP22" s="112" t="str">
        <f t="shared" si="459"/>
        <v/>
      </c>
      <c r="WQ22" s="112" t="str">
        <f t="shared" si="459"/>
        <v/>
      </c>
      <c r="WR22" s="112" t="str">
        <f t="shared" si="459"/>
        <v/>
      </c>
      <c r="WS22" s="112" t="str">
        <f t="shared" si="459"/>
        <v/>
      </c>
      <c r="WT22" s="112" t="str">
        <f t="shared" si="459"/>
        <v/>
      </c>
      <c r="WU22" s="112" t="str">
        <f t="shared" si="459"/>
        <v/>
      </c>
      <c r="WV22" s="112" t="str">
        <f t="shared" si="459"/>
        <v/>
      </c>
      <c r="WW22" s="112" t="str">
        <f t="shared" si="459"/>
        <v/>
      </c>
      <c r="WX22" s="112" t="str">
        <f t="shared" si="459"/>
        <v/>
      </c>
      <c r="WY22" s="112" t="str">
        <f t="shared" si="459"/>
        <v/>
      </c>
      <c r="WZ22" s="112" t="str">
        <f t="shared" si="459"/>
        <v/>
      </c>
      <c r="XA22" s="112" t="str">
        <f t="shared" si="459"/>
        <v/>
      </c>
      <c r="XB22" s="112" t="str">
        <f t="shared" si="459"/>
        <v/>
      </c>
      <c r="XC22" s="112" t="str">
        <f t="shared" si="459"/>
        <v/>
      </c>
      <c r="XD22" s="112" t="str">
        <f t="shared" si="459"/>
        <v/>
      </c>
      <c r="XE22" s="112" t="str">
        <f t="shared" si="459"/>
        <v/>
      </c>
      <c r="XF22" s="112" t="str">
        <f t="shared" si="459"/>
        <v/>
      </c>
      <c r="XG22" s="112" t="str">
        <f t="shared" si="459"/>
        <v/>
      </c>
      <c r="XH22" s="113" t="str">
        <f t="shared" si="459"/>
        <v/>
      </c>
      <c r="XI22" s="699" t="str">
        <f t="shared" ref="XI22:YV22" si="460">IFERROR(STDEV(XI8:XI17),"")</f>
        <v/>
      </c>
      <c r="XJ22" s="700" t="str">
        <f t="shared" si="460"/>
        <v/>
      </c>
      <c r="XK22" s="700" t="str">
        <f t="shared" si="460"/>
        <v/>
      </c>
      <c r="XL22" s="700" t="str">
        <f t="shared" si="460"/>
        <v/>
      </c>
      <c r="XM22" s="700" t="str">
        <f t="shared" si="460"/>
        <v/>
      </c>
      <c r="XN22" s="700" t="str">
        <f t="shared" si="460"/>
        <v/>
      </c>
      <c r="XO22" s="700" t="str">
        <f t="shared" si="460"/>
        <v/>
      </c>
      <c r="XP22" s="700" t="str">
        <f t="shared" si="460"/>
        <v/>
      </c>
      <c r="XQ22" s="700" t="str">
        <f t="shared" si="460"/>
        <v/>
      </c>
      <c r="XR22" s="700" t="str">
        <f t="shared" si="460"/>
        <v/>
      </c>
      <c r="XS22" s="700" t="str">
        <f t="shared" si="460"/>
        <v/>
      </c>
      <c r="XT22" s="700" t="str">
        <f t="shared" si="460"/>
        <v/>
      </c>
      <c r="XU22" s="700" t="str">
        <f t="shared" si="460"/>
        <v/>
      </c>
      <c r="XV22" s="700" t="str">
        <f t="shared" si="460"/>
        <v/>
      </c>
      <c r="XW22" s="700" t="str">
        <f t="shared" si="460"/>
        <v/>
      </c>
      <c r="XX22" s="700" t="str">
        <f t="shared" si="460"/>
        <v/>
      </c>
      <c r="XY22" s="700" t="str">
        <f t="shared" si="460"/>
        <v/>
      </c>
      <c r="XZ22" s="700" t="str">
        <f t="shared" si="460"/>
        <v/>
      </c>
      <c r="YA22" s="700" t="str">
        <f t="shared" si="460"/>
        <v/>
      </c>
      <c r="YB22" s="701" t="str">
        <f t="shared" si="460"/>
        <v/>
      </c>
      <c r="YC22" s="111" t="str">
        <f t="shared" si="460"/>
        <v/>
      </c>
      <c r="YD22" s="112" t="str">
        <f t="shared" si="460"/>
        <v/>
      </c>
      <c r="YE22" s="112" t="str">
        <f t="shared" si="460"/>
        <v/>
      </c>
      <c r="YF22" s="112" t="str">
        <f t="shared" si="460"/>
        <v/>
      </c>
      <c r="YG22" s="112" t="str">
        <f t="shared" si="460"/>
        <v/>
      </c>
      <c r="YH22" s="112" t="str">
        <f t="shared" si="460"/>
        <v/>
      </c>
      <c r="YI22" s="112" t="str">
        <f t="shared" si="460"/>
        <v/>
      </c>
      <c r="YJ22" s="112" t="str">
        <f t="shared" si="460"/>
        <v/>
      </c>
      <c r="YK22" s="112" t="str">
        <f t="shared" si="460"/>
        <v/>
      </c>
      <c r="YL22" s="112" t="str">
        <f t="shared" si="460"/>
        <v/>
      </c>
      <c r="YM22" s="112" t="str">
        <f t="shared" si="460"/>
        <v/>
      </c>
      <c r="YN22" s="112" t="str">
        <f t="shared" si="460"/>
        <v/>
      </c>
      <c r="YO22" s="112" t="str">
        <f t="shared" si="460"/>
        <v/>
      </c>
      <c r="YP22" s="112" t="str">
        <f t="shared" si="460"/>
        <v/>
      </c>
      <c r="YQ22" s="112" t="str">
        <f t="shared" si="460"/>
        <v/>
      </c>
      <c r="YR22" s="112" t="str">
        <f t="shared" si="460"/>
        <v/>
      </c>
      <c r="YS22" s="112" t="str">
        <f t="shared" si="460"/>
        <v/>
      </c>
      <c r="YT22" s="112" t="str">
        <f t="shared" si="460"/>
        <v/>
      </c>
      <c r="YU22" s="112" t="str">
        <f t="shared" si="460"/>
        <v/>
      </c>
      <c r="YV22" s="113" t="str">
        <f t="shared" si="460"/>
        <v/>
      </c>
      <c r="YW22" s="699" t="str">
        <f t="shared" ref="YW22:ZP22" si="461">IFERROR(STDEV(YW8:YW17),"")</f>
        <v/>
      </c>
      <c r="YX22" s="700" t="str">
        <f t="shared" si="461"/>
        <v/>
      </c>
      <c r="YY22" s="700" t="str">
        <f t="shared" si="461"/>
        <v/>
      </c>
      <c r="YZ22" s="700" t="str">
        <f t="shared" si="461"/>
        <v/>
      </c>
      <c r="ZA22" s="700" t="str">
        <f t="shared" si="461"/>
        <v/>
      </c>
      <c r="ZB22" s="700" t="str">
        <f t="shared" si="461"/>
        <v/>
      </c>
      <c r="ZC22" s="700" t="str">
        <f t="shared" si="461"/>
        <v/>
      </c>
      <c r="ZD22" s="700" t="str">
        <f t="shared" si="461"/>
        <v/>
      </c>
      <c r="ZE22" s="700" t="str">
        <f t="shared" si="461"/>
        <v/>
      </c>
      <c r="ZF22" s="700" t="str">
        <f t="shared" si="461"/>
        <v/>
      </c>
      <c r="ZG22" s="700" t="str">
        <f t="shared" si="461"/>
        <v/>
      </c>
      <c r="ZH22" s="700" t="str">
        <f t="shared" si="461"/>
        <v/>
      </c>
      <c r="ZI22" s="700" t="str">
        <f t="shared" si="461"/>
        <v/>
      </c>
      <c r="ZJ22" s="700" t="str">
        <f t="shared" si="461"/>
        <v/>
      </c>
      <c r="ZK22" s="700" t="str">
        <f t="shared" si="461"/>
        <v/>
      </c>
      <c r="ZL22" s="700" t="str">
        <f t="shared" si="461"/>
        <v/>
      </c>
      <c r="ZM22" s="700" t="str">
        <f t="shared" si="461"/>
        <v/>
      </c>
      <c r="ZN22" s="700" t="str">
        <f t="shared" si="461"/>
        <v/>
      </c>
      <c r="ZO22" s="700" t="str">
        <f t="shared" si="461"/>
        <v/>
      </c>
      <c r="ZP22" s="701" t="str">
        <f t="shared" si="461"/>
        <v/>
      </c>
      <c r="ZQ22" s="699" t="str">
        <f t="shared" ref="ZQ22:ABD22" si="462">IFERROR(STDEV(ZQ8:ZQ17),"")</f>
        <v/>
      </c>
      <c r="ZR22" s="700" t="str">
        <f t="shared" si="462"/>
        <v/>
      </c>
      <c r="ZS22" s="700" t="str">
        <f t="shared" si="462"/>
        <v/>
      </c>
      <c r="ZT22" s="700" t="str">
        <f t="shared" si="462"/>
        <v/>
      </c>
      <c r="ZU22" s="700" t="str">
        <f t="shared" si="462"/>
        <v/>
      </c>
      <c r="ZV22" s="700" t="str">
        <f t="shared" si="462"/>
        <v/>
      </c>
      <c r="ZW22" s="700" t="str">
        <f t="shared" si="462"/>
        <v/>
      </c>
      <c r="ZX22" s="700" t="str">
        <f t="shared" si="462"/>
        <v/>
      </c>
      <c r="ZY22" s="700" t="str">
        <f t="shared" si="462"/>
        <v/>
      </c>
      <c r="ZZ22" s="700" t="str">
        <f t="shared" si="462"/>
        <v/>
      </c>
      <c r="AAA22" s="700" t="str">
        <f t="shared" si="462"/>
        <v/>
      </c>
      <c r="AAB22" s="700" t="str">
        <f t="shared" si="462"/>
        <v/>
      </c>
      <c r="AAC22" s="700" t="str">
        <f t="shared" si="462"/>
        <v/>
      </c>
      <c r="AAD22" s="700" t="str">
        <f t="shared" si="462"/>
        <v/>
      </c>
      <c r="AAE22" s="700" t="str">
        <f t="shared" si="462"/>
        <v/>
      </c>
      <c r="AAF22" s="700" t="str">
        <f t="shared" si="462"/>
        <v/>
      </c>
      <c r="AAG22" s="700" t="str">
        <f t="shared" si="462"/>
        <v/>
      </c>
      <c r="AAH22" s="700" t="str">
        <f t="shared" si="462"/>
        <v/>
      </c>
      <c r="AAI22" s="700" t="str">
        <f t="shared" si="462"/>
        <v/>
      </c>
      <c r="AAJ22" s="701" t="str">
        <f t="shared" si="462"/>
        <v/>
      </c>
      <c r="AAK22" s="624" t="str">
        <f t="shared" si="462"/>
        <v/>
      </c>
      <c r="AAL22" s="625" t="str">
        <f t="shared" si="462"/>
        <v/>
      </c>
      <c r="AAM22" s="625" t="str">
        <f t="shared" si="462"/>
        <v/>
      </c>
      <c r="AAN22" s="625" t="str">
        <f t="shared" si="462"/>
        <v/>
      </c>
      <c r="AAO22" s="625" t="str">
        <f t="shared" si="462"/>
        <v/>
      </c>
      <c r="AAP22" s="625" t="str">
        <f t="shared" si="462"/>
        <v/>
      </c>
      <c r="AAQ22" s="625" t="str">
        <f t="shared" si="462"/>
        <v/>
      </c>
      <c r="AAR22" s="625" t="str">
        <f t="shared" si="462"/>
        <v/>
      </c>
      <c r="AAS22" s="625" t="str">
        <f t="shared" si="462"/>
        <v/>
      </c>
      <c r="AAT22" s="625" t="str">
        <f t="shared" si="462"/>
        <v/>
      </c>
      <c r="AAU22" s="625" t="str">
        <f t="shared" si="462"/>
        <v/>
      </c>
      <c r="AAV22" s="625" t="str">
        <f t="shared" si="462"/>
        <v/>
      </c>
      <c r="AAW22" s="625" t="str">
        <f t="shared" si="462"/>
        <v/>
      </c>
      <c r="AAX22" s="625" t="str">
        <f t="shared" si="462"/>
        <v/>
      </c>
      <c r="AAY22" s="625" t="str">
        <f t="shared" si="462"/>
        <v/>
      </c>
      <c r="AAZ22" s="625" t="str">
        <f t="shared" si="462"/>
        <v/>
      </c>
      <c r="ABA22" s="625" t="str">
        <f t="shared" si="462"/>
        <v/>
      </c>
      <c r="ABB22" s="625" t="str">
        <f t="shared" si="462"/>
        <v/>
      </c>
      <c r="ABC22" s="625" t="str">
        <f t="shared" si="462"/>
        <v/>
      </c>
      <c r="ABD22" s="626" t="str">
        <f t="shared" si="462"/>
        <v/>
      </c>
      <c r="ABE22" s="699" t="str">
        <f t="shared" ref="ABE22:ACR22" si="463">IFERROR(STDEV(ABE8:ABE17),"")</f>
        <v/>
      </c>
      <c r="ABF22" s="700" t="str">
        <f t="shared" si="463"/>
        <v/>
      </c>
      <c r="ABG22" s="700" t="str">
        <f t="shared" si="463"/>
        <v/>
      </c>
      <c r="ABH22" s="700" t="str">
        <f t="shared" si="463"/>
        <v/>
      </c>
      <c r="ABI22" s="700" t="str">
        <f t="shared" si="463"/>
        <v/>
      </c>
      <c r="ABJ22" s="700" t="str">
        <f t="shared" si="463"/>
        <v/>
      </c>
      <c r="ABK22" s="700" t="str">
        <f t="shared" si="463"/>
        <v/>
      </c>
      <c r="ABL22" s="700" t="str">
        <f t="shared" si="463"/>
        <v/>
      </c>
      <c r="ABM22" s="700" t="str">
        <f t="shared" si="463"/>
        <v/>
      </c>
      <c r="ABN22" s="700" t="str">
        <f t="shared" si="463"/>
        <v/>
      </c>
      <c r="ABO22" s="700" t="str">
        <f t="shared" si="463"/>
        <v/>
      </c>
      <c r="ABP22" s="700" t="str">
        <f t="shared" si="463"/>
        <v/>
      </c>
      <c r="ABQ22" s="700" t="str">
        <f t="shared" si="463"/>
        <v/>
      </c>
      <c r="ABR22" s="700" t="str">
        <f t="shared" si="463"/>
        <v/>
      </c>
      <c r="ABS22" s="700" t="str">
        <f t="shared" si="463"/>
        <v/>
      </c>
      <c r="ABT22" s="700" t="str">
        <f t="shared" si="463"/>
        <v/>
      </c>
      <c r="ABU22" s="700" t="str">
        <f t="shared" si="463"/>
        <v/>
      </c>
      <c r="ABV22" s="700" t="str">
        <f t="shared" si="463"/>
        <v/>
      </c>
      <c r="ABW22" s="700" t="str">
        <f t="shared" si="463"/>
        <v/>
      </c>
      <c r="ABX22" s="701" t="str">
        <f t="shared" si="463"/>
        <v/>
      </c>
      <c r="ABY22" s="108" t="str">
        <f t="shared" si="463"/>
        <v/>
      </c>
      <c r="ABZ22" s="109" t="str">
        <f t="shared" si="463"/>
        <v/>
      </c>
      <c r="ACA22" s="109" t="str">
        <f t="shared" si="463"/>
        <v/>
      </c>
      <c r="ACB22" s="109" t="str">
        <f t="shared" si="463"/>
        <v/>
      </c>
      <c r="ACC22" s="109" t="str">
        <f t="shared" si="463"/>
        <v/>
      </c>
      <c r="ACD22" s="109" t="str">
        <f t="shared" si="463"/>
        <v/>
      </c>
      <c r="ACE22" s="109" t="str">
        <f t="shared" si="463"/>
        <v/>
      </c>
      <c r="ACF22" s="109" t="str">
        <f t="shared" si="463"/>
        <v/>
      </c>
      <c r="ACG22" s="109" t="str">
        <f t="shared" si="463"/>
        <v/>
      </c>
      <c r="ACH22" s="109" t="str">
        <f t="shared" si="463"/>
        <v/>
      </c>
      <c r="ACI22" s="109" t="str">
        <f t="shared" si="463"/>
        <v/>
      </c>
      <c r="ACJ22" s="109" t="str">
        <f t="shared" si="463"/>
        <v/>
      </c>
      <c r="ACK22" s="109" t="str">
        <f t="shared" si="463"/>
        <v/>
      </c>
      <c r="ACL22" s="109" t="str">
        <f t="shared" si="463"/>
        <v/>
      </c>
      <c r="ACM22" s="109" t="str">
        <f t="shared" si="463"/>
        <v/>
      </c>
      <c r="ACN22" s="109" t="str">
        <f t="shared" si="463"/>
        <v/>
      </c>
      <c r="ACO22" s="109" t="str">
        <f t="shared" si="463"/>
        <v/>
      </c>
      <c r="ACP22" s="109" t="str">
        <f t="shared" si="463"/>
        <v/>
      </c>
      <c r="ACQ22" s="109" t="str">
        <f t="shared" si="463"/>
        <v/>
      </c>
      <c r="ACR22" s="110" t="str">
        <f t="shared" si="463"/>
        <v/>
      </c>
    </row>
    <row r="23" spans="1:772" ht="15" customHeight="1" x14ac:dyDescent="0.2">
      <c r="A23" s="99" t="s">
        <v>84</v>
      </c>
      <c r="B23" s="100"/>
      <c r="C23" s="100"/>
      <c r="D23" s="100"/>
      <c r="E23" s="101"/>
      <c r="F23" s="101"/>
      <c r="G23" s="102">
        <f t="shared" ref="G23:L23" si="464">IFERROR(IF(COUNT(G20,G7)&gt;0,MAX(G20,G7),""),"")</f>
        <v>0.61000750707397366</v>
      </c>
      <c r="H23" s="102">
        <f t="shared" si="464"/>
        <v>0.176866</v>
      </c>
      <c r="I23" s="102">
        <f t="shared" si="464"/>
        <v>0.25098700000000002</v>
      </c>
      <c r="J23" s="102">
        <f t="shared" si="464"/>
        <v>6.3900999999999999E-2</v>
      </c>
      <c r="K23" s="102">
        <f t="shared" si="464"/>
        <v>4.5293E-2</v>
      </c>
      <c r="L23" s="102">
        <f t="shared" si="464"/>
        <v>2.6225000000000002E-2</v>
      </c>
      <c r="M23" s="102">
        <f t="shared" ref="M23:R23" si="465">IFERROR(IF(COUNT(M21,M7)&gt;0,MIN(M21,M7),""),"")</f>
        <v>0.7490126651232466</v>
      </c>
      <c r="N23" s="102">
        <f t="shared" si="465"/>
        <v>7.9426693115275018E-2</v>
      </c>
      <c r="O23" s="102">
        <f t="shared" si="465"/>
        <v>8.776500000000001E-2</v>
      </c>
      <c r="P23" s="102">
        <f t="shared" si="465"/>
        <v>0</v>
      </c>
      <c r="Q23" s="114">
        <f t="shared" si="465"/>
        <v>3.6166806996513161</v>
      </c>
      <c r="R23" s="114">
        <f t="shared" si="465"/>
        <v>30.165371398073162</v>
      </c>
      <c r="S23" s="114">
        <f>IFERROR(IF(COUNT(S20,S7)&gt;0,MAX(S20,S7),""),"")</f>
        <v>44.413438228438231</v>
      </c>
      <c r="T23" s="114">
        <f>IFERROR(IF(COUNT(T21,T7)&gt;0,MIN(T21,T7),""),"")</f>
        <v>2.5015061787736208</v>
      </c>
      <c r="U23" s="102">
        <f t="shared" ref="U23:Z23" si="466">IFERROR(IF(COUNT(U20,U7)&gt;0,MAX(U20,U7),""),"")</f>
        <v>9.344384555408658E-2</v>
      </c>
      <c r="V23" s="102">
        <f t="shared" si="466"/>
        <v>0.18411341359560507</v>
      </c>
      <c r="W23" s="102">
        <f t="shared" si="466"/>
        <v>0.3053870655033929</v>
      </c>
      <c r="X23" s="1029">
        <f t="shared" si="466"/>
        <v>3.5631499999999998</v>
      </c>
      <c r="Y23" s="1029">
        <f t="shared" si="466"/>
        <v>8.0374300000000005</v>
      </c>
      <c r="Z23" s="102">
        <f t="shared" si="466"/>
        <v>4.7245967300767293E-2</v>
      </c>
      <c r="AA23" s="101">
        <f>IFERROR(IF(COUNT(AA21,AA7)&gt;0,MIN(AA21,AA7),""),"")</f>
        <v>2.9411552736838313</v>
      </c>
      <c r="AB23" s="102">
        <f>IFERROR(IF(COUNT(AB20,AB7)&gt;0,MAX(AB20,AB7),""),"")</f>
        <v>3.5382149092137244E-2</v>
      </c>
      <c r="AC23" s="102">
        <f>IFERROR(IF(COUNT(AC21,AC7)&gt;0,MIN(AC21,AC7),""),"")</f>
        <v>0.24818499596665769</v>
      </c>
      <c r="AD23" s="101">
        <f>IFERROR(IF(COUNT(AD20,AD7)&gt;0,MAX(AD20,AD7),""),"")</f>
        <v>6.7716200000000004</v>
      </c>
      <c r="AE23" s="103">
        <f>IFERROR(IF(COUNT(AE20,AE7)&gt;0,MAX(AE20,AE7),""),"")</f>
        <v>0.66174999999999995</v>
      </c>
      <c r="AF23" s="104"/>
      <c r="AG23" s="702">
        <f t="shared" ref="AG23:BL23" si="467">MAX(AG20,AG7)</f>
        <v>0.25098700000000002</v>
      </c>
      <c r="AH23" s="700">
        <f t="shared" si="467"/>
        <v>0</v>
      </c>
      <c r="AI23" s="700">
        <f t="shared" si="467"/>
        <v>0</v>
      </c>
      <c r="AJ23" s="700">
        <f t="shared" si="467"/>
        <v>0</v>
      </c>
      <c r="AK23" s="700">
        <f t="shared" si="467"/>
        <v>0</v>
      </c>
      <c r="AL23" s="700">
        <f t="shared" si="467"/>
        <v>0</v>
      </c>
      <c r="AM23" s="700">
        <f t="shared" si="467"/>
        <v>0</v>
      </c>
      <c r="AN23" s="700">
        <f t="shared" si="467"/>
        <v>0</v>
      </c>
      <c r="AO23" s="700">
        <f t="shared" si="467"/>
        <v>0</v>
      </c>
      <c r="AP23" s="700">
        <f t="shared" si="467"/>
        <v>0</v>
      </c>
      <c r="AQ23" s="700">
        <f t="shared" si="467"/>
        <v>0</v>
      </c>
      <c r="AR23" s="700">
        <f t="shared" si="467"/>
        <v>0</v>
      </c>
      <c r="AS23" s="700">
        <f t="shared" si="467"/>
        <v>0</v>
      </c>
      <c r="AT23" s="700">
        <f t="shared" si="467"/>
        <v>0</v>
      </c>
      <c r="AU23" s="700">
        <f t="shared" si="467"/>
        <v>0</v>
      </c>
      <c r="AV23" s="700">
        <f t="shared" si="467"/>
        <v>0</v>
      </c>
      <c r="AW23" s="700">
        <f t="shared" si="467"/>
        <v>0</v>
      </c>
      <c r="AX23" s="700">
        <f t="shared" si="467"/>
        <v>0</v>
      </c>
      <c r="AY23" s="700">
        <f t="shared" si="467"/>
        <v>0</v>
      </c>
      <c r="AZ23" s="701">
        <f t="shared" si="467"/>
        <v>0</v>
      </c>
      <c r="BA23" s="699">
        <f t="shared" si="467"/>
        <v>6.3900999999999999E-2</v>
      </c>
      <c r="BB23" s="700">
        <f t="shared" si="467"/>
        <v>0</v>
      </c>
      <c r="BC23" s="700">
        <f t="shared" si="467"/>
        <v>0</v>
      </c>
      <c r="BD23" s="700">
        <f t="shared" si="467"/>
        <v>0</v>
      </c>
      <c r="BE23" s="700">
        <f t="shared" si="467"/>
        <v>0</v>
      </c>
      <c r="BF23" s="700">
        <f t="shared" si="467"/>
        <v>0</v>
      </c>
      <c r="BG23" s="700">
        <f t="shared" si="467"/>
        <v>0</v>
      </c>
      <c r="BH23" s="700">
        <f t="shared" si="467"/>
        <v>0</v>
      </c>
      <c r="BI23" s="700">
        <f t="shared" si="467"/>
        <v>0</v>
      </c>
      <c r="BJ23" s="700">
        <f t="shared" si="467"/>
        <v>0</v>
      </c>
      <c r="BK23" s="700">
        <f t="shared" si="467"/>
        <v>0</v>
      </c>
      <c r="BL23" s="700">
        <f t="shared" si="467"/>
        <v>0</v>
      </c>
      <c r="BM23" s="700">
        <f t="shared" ref="BM23:CR23" si="468">MAX(BM20,BM7)</f>
        <v>0</v>
      </c>
      <c r="BN23" s="700">
        <f t="shared" si="468"/>
        <v>0</v>
      </c>
      <c r="BO23" s="700">
        <f t="shared" si="468"/>
        <v>0</v>
      </c>
      <c r="BP23" s="700">
        <f t="shared" si="468"/>
        <v>0</v>
      </c>
      <c r="BQ23" s="700">
        <f t="shared" si="468"/>
        <v>0</v>
      </c>
      <c r="BR23" s="700">
        <f t="shared" si="468"/>
        <v>0</v>
      </c>
      <c r="BS23" s="700">
        <f t="shared" si="468"/>
        <v>0</v>
      </c>
      <c r="BT23" s="701">
        <f t="shared" si="468"/>
        <v>0</v>
      </c>
      <c r="BU23" s="699">
        <f t="shared" si="468"/>
        <v>4.5293E-2</v>
      </c>
      <c r="BV23" s="700">
        <f t="shared" si="468"/>
        <v>0</v>
      </c>
      <c r="BW23" s="700">
        <f t="shared" si="468"/>
        <v>0</v>
      </c>
      <c r="BX23" s="700">
        <f t="shared" si="468"/>
        <v>0</v>
      </c>
      <c r="BY23" s="700">
        <f t="shared" si="468"/>
        <v>0</v>
      </c>
      <c r="BZ23" s="700">
        <f t="shared" si="468"/>
        <v>0</v>
      </c>
      <c r="CA23" s="700">
        <f t="shared" si="468"/>
        <v>0</v>
      </c>
      <c r="CB23" s="700">
        <f t="shared" si="468"/>
        <v>0</v>
      </c>
      <c r="CC23" s="700">
        <f t="shared" si="468"/>
        <v>0</v>
      </c>
      <c r="CD23" s="700">
        <f t="shared" si="468"/>
        <v>0</v>
      </c>
      <c r="CE23" s="700">
        <f t="shared" si="468"/>
        <v>0</v>
      </c>
      <c r="CF23" s="700">
        <f t="shared" si="468"/>
        <v>0</v>
      </c>
      <c r="CG23" s="700">
        <f t="shared" si="468"/>
        <v>0</v>
      </c>
      <c r="CH23" s="700">
        <f t="shared" si="468"/>
        <v>0</v>
      </c>
      <c r="CI23" s="700">
        <f t="shared" si="468"/>
        <v>0</v>
      </c>
      <c r="CJ23" s="700">
        <f t="shared" si="468"/>
        <v>0</v>
      </c>
      <c r="CK23" s="700">
        <f t="shared" si="468"/>
        <v>0</v>
      </c>
      <c r="CL23" s="700">
        <f t="shared" si="468"/>
        <v>0</v>
      </c>
      <c r="CM23" s="700">
        <f t="shared" si="468"/>
        <v>0</v>
      </c>
      <c r="CN23" s="701">
        <f t="shared" si="468"/>
        <v>0</v>
      </c>
      <c r="CO23" s="699">
        <f t="shared" si="468"/>
        <v>2.5432E-2</v>
      </c>
      <c r="CP23" s="700">
        <f t="shared" si="468"/>
        <v>0</v>
      </c>
      <c r="CQ23" s="700">
        <f t="shared" si="468"/>
        <v>0</v>
      </c>
      <c r="CR23" s="700">
        <f t="shared" si="468"/>
        <v>0</v>
      </c>
      <c r="CS23" s="700">
        <f t="shared" ref="CS23:DH23" si="469">MAX(CS20,CS7)</f>
        <v>0</v>
      </c>
      <c r="CT23" s="700">
        <f t="shared" si="469"/>
        <v>0</v>
      </c>
      <c r="CU23" s="700">
        <f t="shared" si="469"/>
        <v>0</v>
      </c>
      <c r="CV23" s="700">
        <f t="shared" si="469"/>
        <v>0</v>
      </c>
      <c r="CW23" s="700">
        <f t="shared" si="469"/>
        <v>0</v>
      </c>
      <c r="CX23" s="700">
        <f t="shared" si="469"/>
        <v>0</v>
      </c>
      <c r="CY23" s="700">
        <f t="shared" si="469"/>
        <v>0</v>
      </c>
      <c r="CZ23" s="700">
        <f t="shared" si="469"/>
        <v>0</v>
      </c>
      <c r="DA23" s="700">
        <f t="shared" si="469"/>
        <v>0</v>
      </c>
      <c r="DB23" s="700">
        <f t="shared" si="469"/>
        <v>0</v>
      </c>
      <c r="DC23" s="700">
        <f t="shared" si="469"/>
        <v>0</v>
      </c>
      <c r="DD23" s="700">
        <f t="shared" si="469"/>
        <v>0</v>
      </c>
      <c r="DE23" s="700">
        <f t="shared" si="469"/>
        <v>0</v>
      </c>
      <c r="DF23" s="700">
        <f t="shared" si="469"/>
        <v>0</v>
      </c>
      <c r="DG23" s="700">
        <f t="shared" si="469"/>
        <v>0</v>
      </c>
      <c r="DH23" s="701">
        <f t="shared" si="469"/>
        <v>0</v>
      </c>
      <c r="DI23" s="699">
        <f t="shared" ref="DI23:EN23" si="470">MIN(DI21,DI7)</f>
        <v>0.7490126651232466</v>
      </c>
      <c r="DJ23" s="700">
        <f t="shared" si="470"/>
        <v>0</v>
      </c>
      <c r="DK23" s="700">
        <f t="shared" si="470"/>
        <v>0</v>
      </c>
      <c r="DL23" s="700">
        <f t="shared" si="470"/>
        <v>0</v>
      </c>
      <c r="DM23" s="700">
        <f t="shared" si="470"/>
        <v>0</v>
      </c>
      <c r="DN23" s="700">
        <f t="shared" si="470"/>
        <v>0</v>
      </c>
      <c r="DO23" s="700">
        <f t="shared" si="470"/>
        <v>0</v>
      </c>
      <c r="DP23" s="700">
        <f t="shared" si="470"/>
        <v>0</v>
      </c>
      <c r="DQ23" s="700">
        <f t="shared" si="470"/>
        <v>0</v>
      </c>
      <c r="DR23" s="700">
        <f t="shared" si="470"/>
        <v>0</v>
      </c>
      <c r="DS23" s="700">
        <f t="shared" si="470"/>
        <v>0</v>
      </c>
      <c r="DT23" s="700">
        <f t="shared" si="470"/>
        <v>0</v>
      </c>
      <c r="DU23" s="700">
        <f t="shared" si="470"/>
        <v>0</v>
      </c>
      <c r="DV23" s="700">
        <f t="shared" si="470"/>
        <v>0</v>
      </c>
      <c r="DW23" s="700">
        <f t="shared" si="470"/>
        <v>0</v>
      </c>
      <c r="DX23" s="700">
        <f t="shared" si="470"/>
        <v>0</v>
      </c>
      <c r="DY23" s="700">
        <f t="shared" si="470"/>
        <v>0</v>
      </c>
      <c r="DZ23" s="700">
        <f t="shared" si="470"/>
        <v>0</v>
      </c>
      <c r="EA23" s="700">
        <f t="shared" si="470"/>
        <v>0</v>
      </c>
      <c r="EB23" s="701">
        <f t="shared" si="470"/>
        <v>0</v>
      </c>
      <c r="EC23" s="699">
        <f t="shared" si="470"/>
        <v>8.1212700163479146E-2</v>
      </c>
      <c r="ED23" s="700">
        <f t="shared" si="470"/>
        <v>0</v>
      </c>
      <c r="EE23" s="700">
        <f t="shared" si="470"/>
        <v>0</v>
      </c>
      <c r="EF23" s="700">
        <f t="shared" si="470"/>
        <v>0</v>
      </c>
      <c r="EG23" s="700">
        <f t="shared" si="470"/>
        <v>0</v>
      </c>
      <c r="EH23" s="700">
        <f t="shared" si="470"/>
        <v>0</v>
      </c>
      <c r="EI23" s="700">
        <f t="shared" si="470"/>
        <v>0</v>
      </c>
      <c r="EJ23" s="700">
        <f t="shared" si="470"/>
        <v>0</v>
      </c>
      <c r="EK23" s="700">
        <f t="shared" si="470"/>
        <v>0</v>
      </c>
      <c r="EL23" s="700">
        <f t="shared" si="470"/>
        <v>0</v>
      </c>
      <c r="EM23" s="700">
        <f t="shared" si="470"/>
        <v>0</v>
      </c>
      <c r="EN23" s="700">
        <f t="shared" si="470"/>
        <v>0</v>
      </c>
      <c r="EO23" s="700">
        <f t="shared" ref="EO23:FT23" si="471">MIN(EO21,EO7)</f>
        <v>0</v>
      </c>
      <c r="EP23" s="700">
        <f t="shared" si="471"/>
        <v>0</v>
      </c>
      <c r="EQ23" s="700">
        <f t="shared" si="471"/>
        <v>0</v>
      </c>
      <c r="ER23" s="700">
        <f t="shared" si="471"/>
        <v>0</v>
      </c>
      <c r="ES23" s="700">
        <f t="shared" si="471"/>
        <v>0</v>
      </c>
      <c r="ET23" s="700">
        <f t="shared" si="471"/>
        <v>0</v>
      </c>
      <c r="EU23" s="700">
        <f t="shared" si="471"/>
        <v>0</v>
      </c>
      <c r="EV23" s="701">
        <f t="shared" si="471"/>
        <v>0</v>
      </c>
      <c r="EW23" s="699">
        <f t="shared" si="471"/>
        <v>8.9746000000000006E-2</v>
      </c>
      <c r="EX23" s="700">
        <f t="shared" si="471"/>
        <v>0</v>
      </c>
      <c r="EY23" s="700">
        <f t="shared" si="471"/>
        <v>0</v>
      </c>
      <c r="EZ23" s="700">
        <f t="shared" si="471"/>
        <v>0</v>
      </c>
      <c r="FA23" s="700">
        <f t="shared" si="471"/>
        <v>0</v>
      </c>
      <c r="FB23" s="700">
        <f t="shared" si="471"/>
        <v>0</v>
      </c>
      <c r="FC23" s="700">
        <f t="shared" si="471"/>
        <v>0</v>
      </c>
      <c r="FD23" s="700">
        <f t="shared" si="471"/>
        <v>0</v>
      </c>
      <c r="FE23" s="700">
        <f t="shared" si="471"/>
        <v>0</v>
      </c>
      <c r="FF23" s="700">
        <f t="shared" si="471"/>
        <v>0</v>
      </c>
      <c r="FG23" s="700">
        <f t="shared" si="471"/>
        <v>0</v>
      </c>
      <c r="FH23" s="700">
        <f t="shared" si="471"/>
        <v>0</v>
      </c>
      <c r="FI23" s="700">
        <f t="shared" si="471"/>
        <v>0</v>
      </c>
      <c r="FJ23" s="700">
        <f t="shared" si="471"/>
        <v>0</v>
      </c>
      <c r="FK23" s="700">
        <f t="shared" si="471"/>
        <v>0</v>
      </c>
      <c r="FL23" s="700">
        <f t="shared" si="471"/>
        <v>0</v>
      </c>
      <c r="FM23" s="700">
        <f t="shared" si="471"/>
        <v>0</v>
      </c>
      <c r="FN23" s="700">
        <f t="shared" si="471"/>
        <v>0</v>
      </c>
      <c r="FO23" s="700">
        <f t="shared" si="471"/>
        <v>0</v>
      </c>
      <c r="FP23" s="701">
        <f t="shared" si="471"/>
        <v>0</v>
      </c>
      <c r="FQ23" s="699">
        <f t="shared" si="471"/>
        <v>0</v>
      </c>
      <c r="FR23" s="700">
        <f t="shared" si="471"/>
        <v>0</v>
      </c>
      <c r="FS23" s="700">
        <f t="shared" si="471"/>
        <v>0</v>
      </c>
      <c r="FT23" s="700">
        <f t="shared" si="471"/>
        <v>0</v>
      </c>
      <c r="FU23" s="700">
        <f t="shared" ref="FU23:GZ23" si="472">MIN(FU21,FU7)</f>
        <v>0</v>
      </c>
      <c r="FV23" s="700">
        <f t="shared" si="472"/>
        <v>0</v>
      </c>
      <c r="FW23" s="700">
        <f t="shared" si="472"/>
        <v>0</v>
      </c>
      <c r="FX23" s="700">
        <f t="shared" si="472"/>
        <v>0</v>
      </c>
      <c r="FY23" s="700">
        <f t="shared" si="472"/>
        <v>0</v>
      </c>
      <c r="FZ23" s="700">
        <f t="shared" si="472"/>
        <v>0</v>
      </c>
      <c r="GA23" s="700">
        <f t="shared" si="472"/>
        <v>0</v>
      </c>
      <c r="GB23" s="700">
        <f t="shared" si="472"/>
        <v>0</v>
      </c>
      <c r="GC23" s="700">
        <f t="shared" si="472"/>
        <v>0</v>
      </c>
      <c r="GD23" s="700">
        <f t="shared" si="472"/>
        <v>0</v>
      </c>
      <c r="GE23" s="700">
        <f t="shared" si="472"/>
        <v>0</v>
      </c>
      <c r="GF23" s="700">
        <f t="shared" si="472"/>
        <v>0</v>
      </c>
      <c r="GG23" s="700">
        <f t="shared" si="472"/>
        <v>0</v>
      </c>
      <c r="GH23" s="700">
        <f t="shared" si="472"/>
        <v>0</v>
      </c>
      <c r="GI23" s="700">
        <f t="shared" si="472"/>
        <v>0</v>
      </c>
      <c r="GJ23" s="701">
        <f t="shared" si="472"/>
        <v>0</v>
      </c>
      <c r="GK23" s="598">
        <f t="shared" si="472"/>
        <v>3.2153443895136986</v>
      </c>
      <c r="GL23" s="599">
        <f t="shared" si="472"/>
        <v>0</v>
      </c>
      <c r="GM23" s="599">
        <f t="shared" si="472"/>
        <v>0</v>
      </c>
      <c r="GN23" s="599">
        <f t="shared" si="472"/>
        <v>0</v>
      </c>
      <c r="GO23" s="599">
        <f t="shared" si="472"/>
        <v>0</v>
      </c>
      <c r="GP23" s="599">
        <f t="shared" si="472"/>
        <v>0</v>
      </c>
      <c r="GQ23" s="599">
        <f t="shared" si="472"/>
        <v>0</v>
      </c>
      <c r="GR23" s="599">
        <f t="shared" si="472"/>
        <v>0</v>
      </c>
      <c r="GS23" s="599">
        <f t="shared" si="472"/>
        <v>0</v>
      </c>
      <c r="GT23" s="599">
        <f t="shared" si="472"/>
        <v>0</v>
      </c>
      <c r="GU23" s="599">
        <f t="shared" si="472"/>
        <v>0</v>
      </c>
      <c r="GV23" s="599">
        <f t="shared" si="472"/>
        <v>0</v>
      </c>
      <c r="GW23" s="599">
        <f t="shared" si="472"/>
        <v>0</v>
      </c>
      <c r="GX23" s="599">
        <f t="shared" si="472"/>
        <v>0</v>
      </c>
      <c r="GY23" s="599">
        <f t="shared" si="472"/>
        <v>0</v>
      </c>
      <c r="GZ23" s="599">
        <f t="shared" si="472"/>
        <v>0</v>
      </c>
      <c r="HA23" s="599">
        <f t="shared" ref="HA23:HX23" si="473">MIN(HA21,HA7)</f>
        <v>0</v>
      </c>
      <c r="HB23" s="599">
        <f t="shared" si="473"/>
        <v>0</v>
      </c>
      <c r="HC23" s="599">
        <f t="shared" si="473"/>
        <v>0</v>
      </c>
      <c r="HD23" s="600">
        <f t="shared" si="473"/>
        <v>0</v>
      </c>
      <c r="HE23" s="598">
        <f t="shared" si="473"/>
        <v>32.799486956619894</v>
      </c>
      <c r="HF23" s="599">
        <f t="shared" si="473"/>
        <v>0</v>
      </c>
      <c r="HG23" s="599">
        <f t="shared" si="473"/>
        <v>0</v>
      </c>
      <c r="HH23" s="599">
        <f t="shared" si="473"/>
        <v>0</v>
      </c>
      <c r="HI23" s="599">
        <f t="shared" si="473"/>
        <v>0</v>
      </c>
      <c r="HJ23" s="599">
        <f t="shared" si="473"/>
        <v>0</v>
      </c>
      <c r="HK23" s="599">
        <f t="shared" si="473"/>
        <v>0</v>
      </c>
      <c r="HL23" s="599">
        <f t="shared" si="473"/>
        <v>0</v>
      </c>
      <c r="HM23" s="599">
        <f t="shared" si="473"/>
        <v>0</v>
      </c>
      <c r="HN23" s="599">
        <f t="shared" si="473"/>
        <v>0</v>
      </c>
      <c r="HO23" s="599">
        <f t="shared" si="473"/>
        <v>0</v>
      </c>
      <c r="HP23" s="599">
        <f t="shared" si="473"/>
        <v>0</v>
      </c>
      <c r="HQ23" s="599">
        <f t="shared" si="473"/>
        <v>0</v>
      </c>
      <c r="HR23" s="599">
        <f t="shared" si="473"/>
        <v>0</v>
      </c>
      <c r="HS23" s="599">
        <f t="shared" si="473"/>
        <v>0</v>
      </c>
      <c r="HT23" s="599">
        <f t="shared" si="473"/>
        <v>0</v>
      </c>
      <c r="HU23" s="599">
        <f t="shared" si="473"/>
        <v>0</v>
      </c>
      <c r="HV23" s="599">
        <f t="shared" si="473"/>
        <v>0</v>
      </c>
      <c r="HW23" s="599">
        <f t="shared" si="473"/>
        <v>0</v>
      </c>
      <c r="HX23" s="600">
        <f t="shared" si="473"/>
        <v>0</v>
      </c>
      <c r="HY23" s="598">
        <f t="shared" ref="HY23:IR23" si="474">MAX(HY20,HY7)</f>
        <v>44.413438228438231</v>
      </c>
      <c r="HZ23" s="599">
        <f t="shared" si="474"/>
        <v>0</v>
      </c>
      <c r="IA23" s="599">
        <f t="shared" si="474"/>
        <v>0</v>
      </c>
      <c r="IB23" s="599">
        <f t="shared" si="474"/>
        <v>0</v>
      </c>
      <c r="IC23" s="599">
        <f t="shared" si="474"/>
        <v>0</v>
      </c>
      <c r="ID23" s="599">
        <f t="shared" si="474"/>
        <v>0</v>
      </c>
      <c r="IE23" s="599">
        <f t="shared" si="474"/>
        <v>0</v>
      </c>
      <c r="IF23" s="599">
        <f t="shared" si="474"/>
        <v>0</v>
      </c>
      <c r="IG23" s="599">
        <f t="shared" si="474"/>
        <v>0</v>
      </c>
      <c r="IH23" s="599">
        <f t="shared" si="474"/>
        <v>0</v>
      </c>
      <c r="II23" s="599">
        <f t="shared" si="474"/>
        <v>0</v>
      </c>
      <c r="IJ23" s="599">
        <f t="shared" si="474"/>
        <v>0</v>
      </c>
      <c r="IK23" s="599">
        <f t="shared" si="474"/>
        <v>0</v>
      </c>
      <c r="IL23" s="599">
        <f t="shared" si="474"/>
        <v>0</v>
      </c>
      <c r="IM23" s="599">
        <f t="shared" si="474"/>
        <v>0</v>
      </c>
      <c r="IN23" s="599">
        <f t="shared" si="474"/>
        <v>0</v>
      </c>
      <c r="IO23" s="599">
        <f t="shared" si="474"/>
        <v>0</v>
      </c>
      <c r="IP23" s="599">
        <f t="shared" si="474"/>
        <v>0</v>
      </c>
      <c r="IQ23" s="599">
        <f t="shared" si="474"/>
        <v>0</v>
      </c>
      <c r="IR23" s="600">
        <f t="shared" si="474"/>
        <v>0</v>
      </c>
      <c r="IS23" s="598">
        <f t="shared" ref="IS23:JL23" si="475">MIN(IS21,IS7)</f>
        <v>-1.6587934831341471</v>
      </c>
      <c r="IT23" s="599">
        <f t="shared" si="475"/>
        <v>0</v>
      </c>
      <c r="IU23" s="599">
        <f t="shared" si="475"/>
        <v>0</v>
      </c>
      <c r="IV23" s="599">
        <f t="shared" si="475"/>
        <v>0</v>
      </c>
      <c r="IW23" s="599">
        <f t="shared" si="475"/>
        <v>0</v>
      </c>
      <c r="IX23" s="599">
        <f t="shared" si="475"/>
        <v>0</v>
      </c>
      <c r="IY23" s="599">
        <f t="shared" si="475"/>
        <v>0</v>
      </c>
      <c r="IZ23" s="599">
        <f t="shared" si="475"/>
        <v>0</v>
      </c>
      <c r="JA23" s="599">
        <f t="shared" si="475"/>
        <v>0</v>
      </c>
      <c r="JB23" s="599">
        <f t="shared" si="475"/>
        <v>0</v>
      </c>
      <c r="JC23" s="599">
        <f t="shared" si="475"/>
        <v>0</v>
      </c>
      <c r="JD23" s="599">
        <f t="shared" si="475"/>
        <v>0</v>
      </c>
      <c r="JE23" s="599">
        <f t="shared" si="475"/>
        <v>0</v>
      </c>
      <c r="JF23" s="599">
        <f t="shared" si="475"/>
        <v>0</v>
      </c>
      <c r="JG23" s="599">
        <f t="shared" si="475"/>
        <v>0</v>
      </c>
      <c r="JH23" s="599">
        <f t="shared" si="475"/>
        <v>0</v>
      </c>
      <c r="JI23" s="599">
        <f t="shared" si="475"/>
        <v>0</v>
      </c>
      <c r="JJ23" s="599">
        <f t="shared" si="475"/>
        <v>0</v>
      </c>
      <c r="JK23" s="599">
        <f t="shared" si="475"/>
        <v>0</v>
      </c>
      <c r="JL23" s="600">
        <f t="shared" si="475"/>
        <v>0</v>
      </c>
      <c r="JM23" s="699">
        <f t="shared" ref="JM23:KR23" si="476">MAX(JM20,JM7)</f>
        <v>4.711843375155108E-2</v>
      </c>
      <c r="JN23" s="700">
        <f t="shared" si="476"/>
        <v>0</v>
      </c>
      <c r="JO23" s="700">
        <f t="shared" si="476"/>
        <v>0</v>
      </c>
      <c r="JP23" s="700">
        <f t="shared" si="476"/>
        <v>0</v>
      </c>
      <c r="JQ23" s="700">
        <f t="shared" si="476"/>
        <v>0</v>
      </c>
      <c r="JR23" s="700">
        <f t="shared" si="476"/>
        <v>0</v>
      </c>
      <c r="JS23" s="700">
        <f t="shared" si="476"/>
        <v>0</v>
      </c>
      <c r="JT23" s="700">
        <f t="shared" si="476"/>
        <v>0</v>
      </c>
      <c r="JU23" s="700">
        <f t="shared" si="476"/>
        <v>0</v>
      </c>
      <c r="JV23" s="700">
        <f t="shared" si="476"/>
        <v>0</v>
      </c>
      <c r="JW23" s="700">
        <f t="shared" si="476"/>
        <v>0</v>
      </c>
      <c r="JX23" s="700">
        <f t="shared" si="476"/>
        <v>0</v>
      </c>
      <c r="JY23" s="700">
        <f t="shared" si="476"/>
        <v>0</v>
      </c>
      <c r="JZ23" s="700">
        <f t="shared" si="476"/>
        <v>0</v>
      </c>
      <c r="KA23" s="700">
        <f t="shared" si="476"/>
        <v>0</v>
      </c>
      <c r="KB23" s="700">
        <f t="shared" si="476"/>
        <v>0</v>
      </c>
      <c r="KC23" s="700">
        <f t="shared" si="476"/>
        <v>0</v>
      </c>
      <c r="KD23" s="700">
        <f t="shared" si="476"/>
        <v>0</v>
      </c>
      <c r="KE23" s="700">
        <f t="shared" si="476"/>
        <v>0</v>
      </c>
      <c r="KF23" s="701">
        <f t="shared" si="476"/>
        <v>0</v>
      </c>
      <c r="KG23" s="108">
        <f t="shared" si="476"/>
        <v>3.2659099999999999</v>
      </c>
      <c r="KH23" s="109">
        <f t="shared" si="476"/>
        <v>0</v>
      </c>
      <c r="KI23" s="109">
        <f t="shared" si="476"/>
        <v>0</v>
      </c>
      <c r="KJ23" s="109">
        <f t="shared" si="476"/>
        <v>0</v>
      </c>
      <c r="KK23" s="109">
        <f t="shared" si="476"/>
        <v>0</v>
      </c>
      <c r="KL23" s="109">
        <f t="shared" si="476"/>
        <v>0</v>
      </c>
      <c r="KM23" s="109">
        <f t="shared" si="476"/>
        <v>0</v>
      </c>
      <c r="KN23" s="109">
        <f t="shared" si="476"/>
        <v>0</v>
      </c>
      <c r="KO23" s="109">
        <f t="shared" si="476"/>
        <v>0</v>
      </c>
      <c r="KP23" s="109">
        <f t="shared" si="476"/>
        <v>0</v>
      </c>
      <c r="KQ23" s="109">
        <f t="shared" si="476"/>
        <v>0</v>
      </c>
      <c r="KR23" s="109">
        <f t="shared" si="476"/>
        <v>0</v>
      </c>
      <c r="KS23" s="109">
        <f t="shared" ref="KS23:LX23" si="477">MAX(KS20,KS7)</f>
        <v>0</v>
      </c>
      <c r="KT23" s="109">
        <f t="shared" si="477"/>
        <v>0</v>
      </c>
      <c r="KU23" s="109">
        <f t="shared" si="477"/>
        <v>0</v>
      </c>
      <c r="KV23" s="109">
        <f t="shared" si="477"/>
        <v>0</v>
      </c>
      <c r="KW23" s="109">
        <f t="shared" si="477"/>
        <v>0</v>
      </c>
      <c r="KX23" s="109">
        <f t="shared" si="477"/>
        <v>0</v>
      </c>
      <c r="KY23" s="109">
        <f t="shared" si="477"/>
        <v>0</v>
      </c>
      <c r="KZ23" s="110">
        <f t="shared" si="477"/>
        <v>0</v>
      </c>
      <c r="LA23" s="108">
        <f t="shared" si="477"/>
        <v>11.128220000000001</v>
      </c>
      <c r="LB23" s="108">
        <f t="shared" si="477"/>
        <v>0</v>
      </c>
      <c r="LC23" s="108">
        <f t="shared" si="477"/>
        <v>0</v>
      </c>
      <c r="LD23" s="108">
        <f t="shared" si="477"/>
        <v>0</v>
      </c>
      <c r="LE23" s="108">
        <f t="shared" si="477"/>
        <v>0</v>
      </c>
      <c r="LF23" s="108">
        <f t="shared" si="477"/>
        <v>0</v>
      </c>
      <c r="LG23" s="108">
        <f t="shared" si="477"/>
        <v>0</v>
      </c>
      <c r="LH23" s="108">
        <f t="shared" si="477"/>
        <v>0</v>
      </c>
      <c r="LI23" s="108">
        <f t="shared" si="477"/>
        <v>0</v>
      </c>
      <c r="LJ23" s="108">
        <f t="shared" si="477"/>
        <v>0</v>
      </c>
      <c r="LK23" s="108">
        <f t="shared" si="477"/>
        <v>0</v>
      </c>
      <c r="LL23" s="108">
        <f t="shared" si="477"/>
        <v>0</v>
      </c>
      <c r="LM23" s="108">
        <f t="shared" si="477"/>
        <v>0</v>
      </c>
      <c r="LN23" s="108">
        <f t="shared" si="477"/>
        <v>0</v>
      </c>
      <c r="LO23" s="108">
        <f t="shared" si="477"/>
        <v>0</v>
      </c>
      <c r="LP23" s="108">
        <f t="shared" si="477"/>
        <v>0</v>
      </c>
      <c r="LQ23" s="108">
        <f t="shared" si="477"/>
        <v>0</v>
      </c>
      <c r="LR23" s="108">
        <f t="shared" si="477"/>
        <v>0</v>
      </c>
      <c r="LS23" s="108">
        <f t="shared" si="477"/>
        <v>0</v>
      </c>
      <c r="LT23" s="108">
        <f t="shared" si="477"/>
        <v>0</v>
      </c>
      <c r="LU23" s="108">
        <f t="shared" si="477"/>
        <v>113.51817</v>
      </c>
      <c r="LV23" s="108">
        <f t="shared" si="477"/>
        <v>0</v>
      </c>
      <c r="LW23" s="108">
        <f t="shared" si="477"/>
        <v>0</v>
      </c>
      <c r="LX23" s="108">
        <f t="shared" si="477"/>
        <v>0</v>
      </c>
      <c r="LY23" s="108">
        <f t="shared" ref="LY23:ND23" si="478">MAX(LY20,LY7)</f>
        <v>0</v>
      </c>
      <c r="LZ23" s="108">
        <f t="shared" si="478"/>
        <v>0</v>
      </c>
      <c r="MA23" s="108">
        <f t="shared" si="478"/>
        <v>0</v>
      </c>
      <c r="MB23" s="108">
        <f t="shared" si="478"/>
        <v>0</v>
      </c>
      <c r="MC23" s="108">
        <f t="shared" si="478"/>
        <v>0</v>
      </c>
      <c r="MD23" s="108">
        <f t="shared" si="478"/>
        <v>0</v>
      </c>
      <c r="ME23" s="108">
        <f t="shared" si="478"/>
        <v>0</v>
      </c>
      <c r="MF23" s="108">
        <f t="shared" si="478"/>
        <v>0</v>
      </c>
      <c r="MG23" s="108">
        <f t="shared" si="478"/>
        <v>0</v>
      </c>
      <c r="MH23" s="108">
        <f t="shared" si="478"/>
        <v>0</v>
      </c>
      <c r="MI23" s="108">
        <f t="shared" si="478"/>
        <v>0</v>
      </c>
      <c r="MJ23" s="108">
        <f t="shared" si="478"/>
        <v>0</v>
      </c>
      <c r="MK23" s="108">
        <f t="shared" si="478"/>
        <v>0</v>
      </c>
      <c r="ML23" s="108">
        <f t="shared" si="478"/>
        <v>0</v>
      </c>
      <c r="MM23" s="108">
        <f t="shared" si="478"/>
        <v>0</v>
      </c>
      <c r="MN23" s="108">
        <f t="shared" si="478"/>
        <v>0</v>
      </c>
      <c r="MO23" s="699">
        <f t="shared" si="478"/>
        <v>0.45402185684749435</v>
      </c>
      <c r="MP23" s="699">
        <f t="shared" si="478"/>
        <v>0</v>
      </c>
      <c r="MQ23" s="699">
        <f t="shared" si="478"/>
        <v>0</v>
      </c>
      <c r="MR23" s="699">
        <f t="shared" si="478"/>
        <v>0</v>
      </c>
      <c r="MS23" s="699">
        <f t="shared" si="478"/>
        <v>0</v>
      </c>
      <c r="MT23" s="699">
        <f t="shared" si="478"/>
        <v>0</v>
      </c>
      <c r="MU23" s="699">
        <f t="shared" si="478"/>
        <v>0</v>
      </c>
      <c r="MV23" s="699">
        <f t="shared" si="478"/>
        <v>0</v>
      </c>
      <c r="MW23" s="699">
        <f t="shared" si="478"/>
        <v>0</v>
      </c>
      <c r="MX23" s="699">
        <f t="shared" si="478"/>
        <v>0</v>
      </c>
      <c r="MY23" s="699">
        <f t="shared" si="478"/>
        <v>0</v>
      </c>
      <c r="MZ23" s="699">
        <f t="shared" si="478"/>
        <v>0</v>
      </c>
      <c r="NA23" s="699">
        <f t="shared" si="478"/>
        <v>0</v>
      </c>
      <c r="NB23" s="699">
        <f t="shared" si="478"/>
        <v>0</v>
      </c>
      <c r="NC23" s="699">
        <f t="shared" si="478"/>
        <v>0</v>
      </c>
      <c r="ND23" s="699">
        <f t="shared" si="478"/>
        <v>0</v>
      </c>
      <c r="NE23" s="699">
        <f t="shared" ref="NE23:OJ23" si="479">MAX(NE20,NE7)</f>
        <v>0</v>
      </c>
      <c r="NF23" s="699">
        <f t="shared" si="479"/>
        <v>0</v>
      </c>
      <c r="NG23" s="699">
        <f t="shared" si="479"/>
        <v>0</v>
      </c>
      <c r="NH23" s="699">
        <f t="shared" si="479"/>
        <v>0</v>
      </c>
      <c r="NI23" s="699">
        <f t="shared" si="479"/>
        <v>2.6383383310173336</v>
      </c>
      <c r="NJ23" s="699">
        <f t="shared" si="479"/>
        <v>0</v>
      </c>
      <c r="NK23" s="699">
        <f t="shared" si="479"/>
        <v>0</v>
      </c>
      <c r="NL23" s="699">
        <f t="shared" si="479"/>
        <v>0</v>
      </c>
      <c r="NM23" s="699">
        <f t="shared" si="479"/>
        <v>0</v>
      </c>
      <c r="NN23" s="699">
        <f t="shared" si="479"/>
        <v>0</v>
      </c>
      <c r="NO23" s="699">
        <f t="shared" si="479"/>
        <v>0</v>
      </c>
      <c r="NP23" s="699">
        <f t="shared" si="479"/>
        <v>0</v>
      </c>
      <c r="NQ23" s="699">
        <f t="shared" si="479"/>
        <v>0</v>
      </c>
      <c r="NR23" s="699">
        <f t="shared" si="479"/>
        <v>0</v>
      </c>
      <c r="NS23" s="699">
        <f t="shared" si="479"/>
        <v>0</v>
      </c>
      <c r="NT23" s="699">
        <f t="shared" si="479"/>
        <v>0</v>
      </c>
      <c r="NU23" s="699">
        <f t="shared" si="479"/>
        <v>0</v>
      </c>
      <c r="NV23" s="699">
        <f t="shared" si="479"/>
        <v>0</v>
      </c>
      <c r="NW23" s="699">
        <f t="shared" si="479"/>
        <v>0</v>
      </c>
      <c r="NX23" s="699">
        <f t="shared" si="479"/>
        <v>0</v>
      </c>
      <c r="NY23" s="699">
        <f t="shared" si="479"/>
        <v>0</v>
      </c>
      <c r="NZ23" s="699">
        <f t="shared" si="479"/>
        <v>0</v>
      </c>
      <c r="OA23" s="699">
        <f t="shared" si="479"/>
        <v>0</v>
      </c>
      <c r="OB23" s="699">
        <f t="shared" si="479"/>
        <v>0</v>
      </c>
      <c r="OC23" s="699">
        <f t="shared" si="479"/>
        <v>8.0520399466092019E-2</v>
      </c>
      <c r="OD23" s="700">
        <f t="shared" si="479"/>
        <v>0</v>
      </c>
      <c r="OE23" s="700">
        <f t="shared" si="479"/>
        <v>0</v>
      </c>
      <c r="OF23" s="700">
        <f t="shared" si="479"/>
        <v>0</v>
      </c>
      <c r="OG23" s="700">
        <f t="shared" si="479"/>
        <v>0</v>
      </c>
      <c r="OH23" s="700">
        <f t="shared" si="479"/>
        <v>0</v>
      </c>
      <c r="OI23" s="700">
        <f t="shared" si="479"/>
        <v>0</v>
      </c>
      <c r="OJ23" s="700">
        <f t="shared" si="479"/>
        <v>0</v>
      </c>
      <c r="OK23" s="700">
        <f t="shared" ref="OK23:PP23" si="480">MAX(OK20,OK7)</f>
        <v>0</v>
      </c>
      <c r="OL23" s="700">
        <f t="shared" si="480"/>
        <v>0</v>
      </c>
      <c r="OM23" s="700">
        <f t="shared" si="480"/>
        <v>0</v>
      </c>
      <c r="ON23" s="700">
        <f t="shared" si="480"/>
        <v>0</v>
      </c>
      <c r="OO23" s="700">
        <f t="shared" si="480"/>
        <v>0</v>
      </c>
      <c r="OP23" s="700">
        <f t="shared" si="480"/>
        <v>0</v>
      </c>
      <c r="OQ23" s="700">
        <f t="shared" si="480"/>
        <v>0</v>
      </c>
      <c r="OR23" s="700">
        <f t="shared" si="480"/>
        <v>0</v>
      </c>
      <c r="OS23" s="700">
        <f t="shared" si="480"/>
        <v>0</v>
      </c>
      <c r="OT23" s="700">
        <f t="shared" si="480"/>
        <v>0</v>
      </c>
      <c r="OU23" s="700">
        <f t="shared" si="480"/>
        <v>0</v>
      </c>
      <c r="OV23" s="701">
        <f t="shared" si="480"/>
        <v>0</v>
      </c>
      <c r="OW23" s="699">
        <f t="shared" si="480"/>
        <v>0.17159895128262248</v>
      </c>
      <c r="OX23" s="700">
        <f t="shared" si="480"/>
        <v>0</v>
      </c>
      <c r="OY23" s="700">
        <f t="shared" si="480"/>
        <v>0</v>
      </c>
      <c r="OZ23" s="700">
        <f t="shared" si="480"/>
        <v>0</v>
      </c>
      <c r="PA23" s="700">
        <f t="shared" si="480"/>
        <v>0</v>
      </c>
      <c r="PB23" s="700">
        <f t="shared" si="480"/>
        <v>0</v>
      </c>
      <c r="PC23" s="700">
        <f t="shared" si="480"/>
        <v>0</v>
      </c>
      <c r="PD23" s="700">
        <f t="shared" si="480"/>
        <v>0</v>
      </c>
      <c r="PE23" s="700">
        <f t="shared" si="480"/>
        <v>0</v>
      </c>
      <c r="PF23" s="700">
        <f t="shared" si="480"/>
        <v>0</v>
      </c>
      <c r="PG23" s="700">
        <f t="shared" si="480"/>
        <v>0</v>
      </c>
      <c r="PH23" s="700">
        <f t="shared" si="480"/>
        <v>0</v>
      </c>
      <c r="PI23" s="700">
        <f t="shared" si="480"/>
        <v>0</v>
      </c>
      <c r="PJ23" s="700">
        <f t="shared" si="480"/>
        <v>0</v>
      </c>
      <c r="PK23" s="700">
        <f t="shared" si="480"/>
        <v>0</v>
      </c>
      <c r="PL23" s="700">
        <f t="shared" si="480"/>
        <v>0</v>
      </c>
      <c r="PM23" s="700">
        <f t="shared" si="480"/>
        <v>0</v>
      </c>
      <c r="PN23" s="700">
        <f t="shared" si="480"/>
        <v>0</v>
      </c>
      <c r="PO23" s="700">
        <f t="shared" si="480"/>
        <v>0</v>
      </c>
      <c r="PP23" s="701">
        <f t="shared" si="480"/>
        <v>0</v>
      </c>
      <c r="PQ23" s="108">
        <f t="array" ref="PQ23">MIN(PQ21,PQ7)</f>
        <v>2.9411552736838313</v>
      </c>
      <c r="PR23" s="109">
        <f t="shared" ref="PR23:QJ23" si="481">MIN(PR21,PR7)</f>
        <v>0</v>
      </c>
      <c r="PS23" s="109">
        <f t="shared" si="481"/>
        <v>0</v>
      </c>
      <c r="PT23" s="109">
        <f t="shared" si="481"/>
        <v>0</v>
      </c>
      <c r="PU23" s="109">
        <f t="shared" si="481"/>
        <v>0</v>
      </c>
      <c r="PV23" s="109">
        <f t="shared" si="481"/>
        <v>0</v>
      </c>
      <c r="PW23" s="109">
        <f t="shared" si="481"/>
        <v>0</v>
      </c>
      <c r="PX23" s="109">
        <f t="shared" si="481"/>
        <v>0</v>
      </c>
      <c r="PY23" s="109">
        <f t="shared" si="481"/>
        <v>0</v>
      </c>
      <c r="PZ23" s="109">
        <f t="shared" si="481"/>
        <v>0</v>
      </c>
      <c r="QA23" s="109">
        <f t="shared" si="481"/>
        <v>0</v>
      </c>
      <c r="QB23" s="109">
        <f t="shared" si="481"/>
        <v>0</v>
      </c>
      <c r="QC23" s="109">
        <f t="shared" si="481"/>
        <v>0</v>
      </c>
      <c r="QD23" s="109">
        <f t="shared" si="481"/>
        <v>0</v>
      </c>
      <c r="QE23" s="109">
        <f t="shared" si="481"/>
        <v>0</v>
      </c>
      <c r="QF23" s="109">
        <f t="shared" si="481"/>
        <v>0</v>
      </c>
      <c r="QG23" s="109">
        <f t="shared" si="481"/>
        <v>0</v>
      </c>
      <c r="QH23" s="109">
        <f t="shared" si="481"/>
        <v>0</v>
      </c>
      <c r="QI23" s="109">
        <f t="shared" si="481"/>
        <v>0</v>
      </c>
      <c r="QJ23" s="110">
        <f t="shared" si="481"/>
        <v>0</v>
      </c>
      <c r="QK23" s="699">
        <f t="shared" ref="QK23:RP23" si="482">MAX(QK20,QK7)</f>
        <v>2.5555175599324246E-2</v>
      </c>
      <c r="QL23" s="700">
        <f t="shared" si="482"/>
        <v>0</v>
      </c>
      <c r="QM23" s="700">
        <f t="shared" si="482"/>
        <v>0</v>
      </c>
      <c r="QN23" s="700">
        <f t="shared" si="482"/>
        <v>0</v>
      </c>
      <c r="QO23" s="700">
        <f t="shared" si="482"/>
        <v>0</v>
      </c>
      <c r="QP23" s="700">
        <f t="shared" si="482"/>
        <v>0</v>
      </c>
      <c r="QQ23" s="700">
        <f t="shared" si="482"/>
        <v>0</v>
      </c>
      <c r="QR23" s="700">
        <f t="shared" si="482"/>
        <v>0</v>
      </c>
      <c r="QS23" s="700">
        <f t="shared" si="482"/>
        <v>0</v>
      </c>
      <c r="QT23" s="700">
        <f t="shared" si="482"/>
        <v>0</v>
      </c>
      <c r="QU23" s="700">
        <f t="shared" si="482"/>
        <v>0</v>
      </c>
      <c r="QV23" s="700">
        <f t="shared" si="482"/>
        <v>0</v>
      </c>
      <c r="QW23" s="700">
        <f t="shared" si="482"/>
        <v>0</v>
      </c>
      <c r="QX23" s="700">
        <f t="shared" si="482"/>
        <v>0</v>
      </c>
      <c r="QY23" s="700">
        <f t="shared" si="482"/>
        <v>0</v>
      </c>
      <c r="QZ23" s="700">
        <f t="shared" si="482"/>
        <v>0</v>
      </c>
      <c r="RA23" s="700">
        <f t="shared" si="482"/>
        <v>0</v>
      </c>
      <c r="RB23" s="700">
        <f t="shared" si="482"/>
        <v>0</v>
      </c>
      <c r="RC23" s="700">
        <f t="shared" si="482"/>
        <v>0</v>
      </c>
      <c r="RD23" s="701">
        <f t="shared" si="482"/>
        <v>0</v>
      </c>
      <c r="RE23" s="699">
        <f t="shared" si="482"/>
        <v>0.2918767670290594</v>
      </c>
      <c r="RF23" s="700">
        <f t="shared" si="482"/>
        <v>0</v>
      </c>
      <c r="RG23" s="700">
        <f t="shared" si="482"/>
        <v>0</v>
      </c>
      <c r="RH23" s="700">
        <f t="shared" si="482"/>
        <v>0</v>
      </c>
      <c r="RI23" s="700">
        <f t="shared" si="482"/>
        <v>0</v>
      </c>
      <c r="RJ23" s="700">
        <f t="shared" si="482"/>
        <v>0</v>
      </c>
      <c r="RK23" s="700">
        <f t="shared" si="482"/>
        <v>0</v>
      </c>
      <c r="RL23" s="700">
        <f t="shared" si="482"/>
        <v>0</v>
      </c>
      <c r="RM23" s="700">
        <f t="shared" si="482"/>
        <v>0</v>
      </c>
      <c r="RN23" s="700">
        <f t="shared" si="482"/>
        <v>0</v>
      </c>
      <c r="RO23" s="700">
        <f t="shared" si="482"/>
        <v>0</v>
      </c>
      <c r="RP23" s="700">
        <f t="shared" si="482"/>
        <v>0</v>
      </c>
      <c r="RQ23" s="700">
        <f t="shared" ref="RQ23:SR23" si="483">MAX(RQ20,RQ7)</f>
        <v>0</v>
      </c>
      <c r="RR23" s="700">
        <f t="shared" si="483"/>
        <v>0</v>
      </c>
      <c r="RS23" s="700">
        <f t="shared" si="483"/>
        <v>0</v>
      </c>
      <c r="RT23" s="700">
        <f t="shared" si="483"/>
        <v>0</v>
      </c>
      <c r="RU23" s="700">
        <f t="shared" si="483"/>
        <v>0</v>
      </c>
      <c r="RV23" s="700">
        <f t="shared" si="483"/>
        <v>0</v>
      </c>
      <c r="RW23" s="700">
        <f t="shared" si="483"/>
        <v>0</v>
      </c>
      <c r="RX23" s="701">
        <f t="shared" si="483"/>
        <v>0</v>
      </c>
      <c r="RY23" s="699">
        <f t="shared" si="483"/>
        <v>0.40076878638403768</v>
      </c>
      <c r="RZ23" s="700">
        <f t="shared" si="483"/>
        <v>0</v>
      </c>
      <c r="SA23" s="700">
        <f t="shared" si="483"/>
        <v>0</v>
      </c>
      <c r="SB23" s="700">
        <f t="shared" si="483"/>
        <v>0</v>
      </c>
      <c r="SC23" s="700">
        <f t="shared" si="483"/>
        <v>0</v>
      </c>
      <c r="SD23" s="700">
        <f t="shared" si="483"/>
        <v>0</v>
      </c>
      <c r="SE23" s="700">
        <f t="shared" si="483"/>
        <v>0</v>
      </c>
      <c r="SF23" s="700">
        <f t="shared" si="483"/>
        <v>0</v>
      </c>
      <c r="SG23" s="700">
        <f t="shared" si="483"/>
        <v>0</v>
      </c>
      <c r="SH23" s="700">
        <f t="shared" si="483"/>
        <v>0</v>
      </c>
      <c r="SI23" s="700">
        <f t="shared" si="483"/>
        <v>0</v>
      </c>
      <c r="SJ23" s="700">
        <f t="shared" si="483"/>
        <v>0</v>
      </c>
      <c r="SK23" s="700">
        <f t="shared" si="483"/>
        <v>0</v>
      </c>
      <c r="SL23" s="700">
        <f t="shared" si="483"/>
        <v>0</v>
      </c>
      <c r="SM23" s="700">
        <f t="shared" si="483"/>
        <v>0</v>
      </c>
      <c r="SN23" s="700">
        <f t="shared" si="483"/>
        <v>0</v>
      </c>
      <c r="SO23" s="700">
        <f t="shared" si="483"/>
        <v>0</v>
      </c>
      <c r="SP23" s="700">
        <f t="shared" si="483"/>
        <v>0</v>
      </c>
      <c r="SQ23" s="700">
        <f t="shared" si="483"/>
        <v>0</v>
      </c>
      <c r="SR23" s="701">
        <f t="shared" si="483"/>
        <v>0</v>
      </c>
      <c r="SS23" s="699">
        <f>SS21</f>
        <v>0.24626221966647499</v>
      </c>
      <c r="ST23" s="700">
        <f t="shared" ref="ST23:TL23" si="484">ST21</f>
        <v>0</v>
      </c>
      <c r="SU23" s="700">
        <f t="shared" si="484"/>
        <v>0</v>
      </c>
      <c r="SV23" s="700">
        <f t="shared" si="484"/>
        <v>0</v>
      </c>
      <c r="SW23" s="700">
        <f t="shared" si="484"/>
        <v>0</v>
      </c>
      <c r="SX23" s="700">
        <f t="shared" si="484"/>
        <v>0</v>
      </c>
      <c r="SY23" s="700">
        <f t="shared" si="484"/>
        <v>0</v>
      </c>
      <c r="SZ23" s="700">
        <f t="shared" si="484"/>
        <v>0</v>
      </c>
      <c r="TA23" s="700">
        <f t="shared" si="484"/>
        <v>0</v>
      </c>
      <c r="TB23" s="700">
        <f t="shared" si="484"/>
        <v>0</v>
      </c>
      <c r="TC23" s="700">
        <f t="shared" si="484"/>
        <v>0</v>
      </c>
      <c r="TD23" s="700">
        <f t="shared" si="484"/>
        <v>0</v>
      </c>
      <c r="TE23" s="700">
        <f t="shared" si="484"/>
        <v>0</v>
      </c>
      <c r="TF23" s="700">
        <f t="shared" si="484"/>
        <v>0</v>
      </c>
      <c r="TG23" s="700">
        <f t="shared" si="484"/>
        <v>0</v>
      </c>
      <c r="TH23" s="700">
        <f t="shared" si="484"/>
        <v>0</v>
      </c>
      <c r="TI23" s="700">
        <f t="shared" si="484"/>
        <v>0</v>
      </c>
      <c r="TJ23" s="700">
        <f t="shared" si="484"/>
        <v>0</v>
      </c>
      <c r="TK23" s="700">
        <f t="shared" si="484"/>
        <v>0</v>
      </c>
      <c r="TL23" s="701">
        <f t="shared" si="484"/>
        <v>0</v>
      </c>
      <c r="TM23" s="111">
        <f t="shared" ref="TM23:UF23" si="485">MAX(TM20,TM7)</f>
        <v>705152.77777777775</v>
      </c>
      <c r="TN23" s="112">
        <f t="shared" si="485"/>
        <v>0</v>
      </c>
      <c r="TO23" s="112">
        <f t="shared" si="485"/>
        <v>0</v>
      </c>
      <c r="TP23" s="112">
        <f t="shared" si="485"/>
        <v>0</v>
      </c>
      <c r="TQ23" s="112">
        <f t="shared" si="485"/>
        <v>0</v>
      </c>
      <c r="TR23" s="112">
        <f t="shared" si="485"/>
        <v>0</v>
      </c>
      <c r="TS23" s="112">
        <f t="shared" si="485"/>
        <v>0</v>
      </c>
      <c r="TT23" s="112">
        <f t="shared" si="485"/>
        <v>0</v>
      </c>
      <c r="TU23" s="112">
        <f t="shared" si="485"/>
        <v>0</v>
      </c>
      <c r="TV23" s="112">
        <f t="shared" si="485"/>
        <v>0</v>
      </c>
      <c r="TW23" s="112">
        <f t="shared" si="485"/>
        <v>0</v>
      </c>
      <c r="TX23" s="112">
        <f t="shared" si="485"/>
        <v>0</v>
      </c>
      <c r="TY23" s="112">
        <f t="shared" si="485"/>
        <v>0</v>
      </c>
      <c r="TZ23" s="112">
        <f t="shared" si="485"/>
        <v>0</v>
      </c>
      <c r="UA23" s="112">
        <f t="shared" si="485"/>
        <v>0</v>
      </c>
      <c r="UB23" s="112">
        <f t="shared" si="485"/>
        <v>0</v>
      </c>
      <c r="UC23" s="112">
        <f t="shared" si="485"/>
        <v>0</v>
      </c>
      <c r="UD23" s="112">
        <f t="shared" si="485"/>
        <v>0</v>
      </c>
      <c r="UE23" s="112">
        <f t="shared" si="485"/>
        <v>0</v>
      </c>
      <c r="UF23" s="113">
        <f t="shared" si="485"/>
        <v>0</v>
      </c>
      <c r="UG23" s="111">
        <f>UG21</f>
        <v>63548.611111111109</v>
      </c>
      <c r="UH23" s="112">
        <f t="shared" ref="UH23:UZ23" si="486">UH21</f>
        <v>0</v>
      </c>
      <c r="UI23" s="112">
        <f t="shared" si="486"/>
        <v>0</v>
      </c>
      <c r="UJ23" s="112">
        <f t="shared" si="486"/>
        <v>0</v>
      </c>
      <c r="UK23" s="112">
        <f t="shared" si="486"/>
        <v>0</v>
      </c>
      <c r="UL23" s="112">
        <f t="shared" si="486"/>
        <v>0</v>
      </c>
      <c r="UM23" s="112">
        <f t="shared" si="486"/>
        <v>0</v>
      </c>
      <c r="UN23" s="112">
        <f t="shared" si="486"/>
        <v>0</v>
      </c>
      <c r="UO23" s="112">
        <f t="shared" si="486"/>
        <v>0</v>
      </c>
      <c r="UP23" s="112">
        <f t="shared" si="486"/>
        <v>0</v>
      </c>
      <c r="UQ23" s="112">
        <f t="shared" si="486"/>
        <v>0</v>
      </c>
      <c r="UR23" s="112">
        <f t="shared" si="486"/>
        <v>0</v>
      </c>
      <c r="US23" s="112">
        <f t="shared" si="486"/>
        <v>0</v>
      </c>
      <c r="UT23" s="112">
        <f t="shared" si="486"/>
        <v>0</v>
      </c>
      <c r="UU23" s="112">
        <f t="shared" si="486"/>
        <v>0</v>
      </c>
      <c r="UV23" s="112">
        <f t="shared" si="486"/>
        <v>0</v>
      </c>
      <c r="UW23" s="112">
        <f t="shared" si="486"/>
        <v>0</v>
      </c>
      <c r="UX23" s="112">
        <f t="shared" si="486"/>
        <v>0</v>
      </c>
      <c r="UY23" s="112">
        <f t="shared" si="486"/>
        <v>0</v>
      </c>
      <c r="UZ23" s="113">
        <f t="shared" si="486"/>
        <v>0</v>
      </c>
      <c r="VA23" s="111">
        <f>VA21</f>
        <v>63284.722222222219</v>
      </c>
      <c r="VB23" s="112">
        <f t="shared" ref="VB23:VT23" si="487">VB21</f>
        <v>0</v>
      </c>
      <c r="VC23" s="112">
        <f t="shared" si="487"/>
        <v>0</v>
      </c>
      <c r="VD23" s="112">
        <f t="shared" si="487"/>
        <v>0</v>
      </c>
      <c r="VE23" s="112">
        <f t="shared" si="487"/>
        <v>0</v>
      </c>
      <c r="VF23" s="112">
        <f t="shared" si="487"/>
        <v>0</v>
      </c>
      <c r="VG23" s="112">
        <f t="shared" si="487"/>
        <v>0</v>
      </c>
      <c r="VH23" s="112">
        <f t="shared" si="487"/>
        <v>0</v>
      </c>
      <c r="VI23" s="112">
        <f t="shared" si="487"/>
        <v>0</v>
      </c>
      <c r="VJ23" s="112">
        <f t="shared" si="487"/>
        <v>0</v>
      </c>
      <c r="VK23" s="112">
        <f t="shared" si="487"/>
        <v>0</v>
      </c>
      <c r="VL23" s="112">
        <f t="shared" si="487"/>
        <v>0</v>
      </c>
      <c r="VM23" s="112">
        <f t="shared" si="487"/>
        <v>0</v>
      </c>
      <c r="VN23" s="112">
        <f t="shared" si="487"/>
        <v>0</v>
      </c>
      <c r="VO23" s="112">
        <f t="shared" si="487"/>
        <v>0</v>
      </c>
      <c r="VP23" s="112">
        <f t="shared" si="487"/>
        <v>0</v>
      </c>
      <c r="VQ23" s="112">
        <f t="shared" si="487"/>
        <v>0</v>
      </c>
      <c r="VR23" s="112">
        <f t="shared" si="487"/>
        <v>0</v>
      </c>
      <c r="VS23" s="112">
        <f t="shared" si="487"/>
        <v>0</v>
      </c>
      <c r="VT23" s="113">
        <f t="shared" si="487"/>
        <v>0</v>
      </c>
      <c r="VU23" s="111">
        <f>VU21</f>
        <v>0</v>
      </c>
      <c r="VV23" s="112">
        <f t="shared" ref="VV23:WN23" si="488">VV21</f>
        <v>0</v>
      </c>
      <c r="VW23" s="112">
        <f t="shared" si="488"/>
        <v>0</v>
      </c>
      <c r="VX23" s="112">
        <f t="shared" si="488"/>
        <v>0</v>
      </c>
      <c r="VY23" s="112">
        <f t="shared" si="488"/>
        <v>0</v>
      </c>
      <c r="VZ23" s="112">
        <f t="shared" si="488"/>
        <v>0</v>
      </c>
      <c r="WA23" s="112">
        <f t="shared" si="488"/>
        <v>0</v>
      </c>
      <c r="WB23" s="112">
        <f t="shared" si="488"/>
        <v>0</v>
      </c>
      <c r="WC23" s="112">
        <f t="shared" si="488"/>
        <v>0</v>
      </c>
      <c r="WD23" s="112">
        <f t="shared" si="488"/>
        <v>0</v>
      </c>
      <c r="WE23" s="112">
        <f t="shared" si="488"/>
        <v>0</v>
      </c>
      <c r="WF23" s="112">
        <f t="shared" si="488"/>
        <v>0</v>
      </c>
      <c r="WG23" s="112">
        <f t="shared" si="488"/>
        <v>0</v>
      </c>
      <c r="WH23" s="112">
        <f t="shared" si="488"/>
        <v>0</v>
      </c>
      <c r="WI23" s="112">
        <f t="shared" si="488"/>
        <v>0</v>
      </c>
      <c r="WJ23" s="112">
        <f t="shared" si="488"/>
        <v>0</v>
      </c>
      <c r="WK23" s="112">
        <f t="shared" si="488"/>
        <v>0</v>
      </c>
      <c r="WL23" s="112">
        <f t="shared" si="488"/>
        <v>0</v>
      </c>
      <c r="WM23" s="112">
        <f t="shared" si="488"/>
        <v>0</v>
      </c>
      <c r="WN23" s="113">
        <f t="shared" si="488"/>
        <v>0</v>
      </c>
      <c r="WO23" s="111">
        <f t="shared" ref="WO23:XH23" si="489">MAX(WO20,WO7)</f>
        <v>567.70000000000005</v>
      </c>
      <c r="WP23" s="112">
        <f t="shared" si="489"/>
        <v>0</v>
      </c>
      <c r="WQ23" s="112">
        <f t="shared" si="489"/>
        <v>0</v>
      </c>
      <c r="WR23" s="112">
        <f t="shared" si="489"/>
        <v>0</v>
      </c>
      <c r="WS23" s="112">
        <f t="shared" si="489"/>
        <v>0</v>
      </c>
      <c r="WT23" s="112">
        <f t="shared" si="489"/>
        <v>0</v>
      </c>
      <c r="WU23" s="112">
        <f t="shared" si="489"/>
        <v>0</v>
      </c>
      <c r="WV23" s="112">
        <f t="shared" si="489"/>
        <v>0</v>
      </c>
      <c r="WW23" s="112">
        <f t="shared" si="489"/>
        <v>0</v>
      </c>
      <c r="WX23" s="112">
        <f t="shared" si="489"/>
        <v>0</v>
      </c>
      <c r="WY23" s="112">
        <f t="shared" si="489"/>
        <v>0</v>
      </c>
      <c r="WZ23" s="112">
        <f t="shared" si="489"/>
        <v>0</v>
      </c>
      <c r="XA23" s="112">
        <f t="shared" si="489"/>
        <v>0</v>
      </c>
      <c r="XB23" s="112">
        <f t="shared" si="489"/>
        <v>0</v>
      </c>
      <c r="XC23" s="112">
        <f t="shared" si="489"/>
        <v>0</v>
      </c>
      <c r="XD23" s="112">
        <f t="shared" si="489"/>
        <v>0</v>
      </c>
      <c r="XE23" s="112">
        <f t="shared" si="489"/>
        <v>0</v>
      </c>
      <c r="XF23" s="112">
        <f t="shared" si="489"/>
        <v>0</v>
      </c>
      <c r="XG23" s="112">
        <f t="shared" si="489"/>
        <v>0</v>
      </c>
      <c r="XH23" s="113">
        <f t="shared" si="489"/>
        <v>0</v>
      </c>
      <c r="XI23" s="699">
        <f t="shared" ref="XI23:YV23" si="490">MAX(XI20,XI7)</f>
        <v>0.174377</v>
      </c>
      <c r="XJ23" s="700">
        <f t="shared" si="490"/>
        <v>0</v>
      </c>
      <c r="XK23" s="700">
        <f t="shared" si="490"/>
        <v>0</v>
      </c>
      <c r="XL23" s="700">
        <f t="shared" si="490"/>
        <v>0</v>
      </c>
      <c r="XM23" s="700">
        <f t="shared" si="490"/>
        <v>0</v>
      </c>
      <c r="XN23" s="700">
        <f t="shared" si="490"/>
        <v>0</v>
      </c>
      <c r="XO23" s="700">
        <f t="shared" si="490"/>
        <v>0</v>
      </c>
      <c r="XP23" s="700">
        <f t="shared" si="490"/>
        <v>0</v>
      </c>
      <c r="XQ23" s="700">
        <f t="shared" si="490"/>
        <v>0</v>
      </c>
      <c r="XR23" s="700">
        <f t="shared" si="490"/>
        <v>0</v>
      </c>
      <c r="XS23" s="700">
        <f t="shared" si="490"/>
        <v>0</v>
      </c>
      <c r="XT23" s="700">
        <f t="shared" si="490"/>
        <v>0</v>
      </c>
      <c r="XU23" s="700">
        <f t="shared" si="490"/>
        <v>0</v>
      </c>
      <c r="XV23" s="700">
        <f t="shared" si="490"/>
        <v>0</v>
      </c>
      <c r="XW23" s="700">
        <f t="shared" si="490"/>
        <v>0</v>
      </c>
      <c r="XX23" s="700">
        <f t="shared" si="490"/>
        <v>0</v>
      </c>
      <c r="XY23" s="700">
        <f t="shared" si="490"/>
        <v>0</v>
      </c>
      <c r="XZ23" s="700">
        <f t="shared" si="490"/>
        <v>0</v>
      </c>
      <c r="YA23" s="700">
        <f t="shared" si="490"/>
        <v>0</v>
      </c>
      <c r="YB23" s="701">
        <f t="shared" si="490"/>
        <v>0</v>
      </c>
      <c r="YC23" s="111">
        <f t="shared" si="490"/>
        <v>452202.47408999997</v>
      </c>
      <c r="YD23" s="112">
        <f t="shared" si="490"/>
        <v>0</v>
      </c>
      <c r="YE23" s="112">
        <f t="shared" si="490"/>
        <v>0</v>
      </c>
      <c r="YF23" s="112">
        <f t="shared" si="490"/>
        <v>0</v>
      </c>
      <c r="YG23" s="112">
        <f t="shared" si="490"/>
        <v>0</v>
      </c>
      <c r="YH23" s="112">
        <f t="shared" si="490"/>
        <v>0</v>
      </c>
      <c r="YI23" s="112">
        <f t="shared" si="490"/>
        <v>0</v>
      </c>
      <c r="YJ23" s="112">
        <f t="shared" si="490"/>
        <v>0</v>
      </c>
      <c r="YK23" s="112">
        <f t="shared" si="490"/>
        <v>0</v>
      </c>
      <c r="YL23" s="112">
        <f t="shared" si="490"/>
        <v>0</v>
      </c>
      <c r="YM23" s="112">
        <f t="shared" si="490"/>
        <v>0</v>
      </c>
      <c r="YN23" s="112">
        <f t="shared" si="490"/>
        <v>0</v>
      </c>
      <c r="YO23" s="112">
        <f t="shared" si="490"/>
        <v>0</v>
      </c>
      <c r="YP23" s="112">
        <f t="shared" si="490"/>
        <v>0</v>
      </c>
      <c r="YQ23" s="112">
        <f t="shared" si="490"/>
        <v>0</v>
      </c>
      <c r="YR23" s="112">
        <f t="shared" si="490"/>
        <v>0</v>
      </c>
      <c r="YS23" s="112">
        <f t="shared" si="490"/>
        <v>0</v>
      </c>
      <c r="YT23" s="112">
        <f t="shared" si="490"/>
        <v>0</v>
      </c>
      <c r="YU23" s="112">
        <f t="shared" si="490"/>
        <v>0</v>
      </c>
      <c r="YV23" s="113">
        <f t="shared" si="490"/>
        <v>0</v>
      </c>
      <c r="YW23" s="699">
        <f t="shared" ref="YW23:ZP23" si="491">MAX(YW20,YW7)</f>
        <v>0.62307779377886319</v>
      </c>
      <c r="YX23" s="700">
        <f t="shared" si="491"/>
        <v>0</v>
      </c>
      <c r="YY23" s="700">
        <f t="shared" si="491"/>
        <v>0</v>
      </c>
      <c r="YZ23" s="700">
        <f t="shared" si="491"/>
        <v>0</v>
      </c>
      <c r="ZA23" s="700">
        <f t="shared" si="491"/>
        <v>0</v>
      </c>
      <c r="ZB23" s="700">
        <f t="shared" si="491"/>
        <v>0</v>
      </c>
      <c r="ZC23" s="700">
        <f t="shared" si="491"/>
        <v>0</v>
      </c>
      <c r="ZD23" s="700">
        <f t="shared" si="491"/>
        <v>0</v>
      </c>
      <c r="ZE23" s="700">
        <f t="shared" si="491"/>
        <v>0</v>
      </c>
      <c r="ZF23" s="700">
        <f t="shared" si="491"/>
        <v>0</v>
      </c>
      <c r="ZG23" s="700">
        <f t="shared" si="491"/>
        <v>0</v>
      </c>
      <c r="ZH23" s="700">
        <f t="shared" si="491"/>
        <v>0</v>
      </c>
      <c r="ZI23" s="700">
        <f t="shared" si="491"/>
        <v>0</v>
      </c>
      <c r="ZJ23" s="700">
        <f t="shared" si="491"/>
        <v>0</v>
      </c>
      <c r="ZK23" s="700">
        <f t="shared" si="491"/>
        <v>0</v>
      </c>
      <c r="ZL23" s="700">
        <f t="shared" si="491"/>
        <v>0</v>
      </c>
      <c r="ZM23" s="700">
        <f t="shared" si="491"/>
        <v>0</v>
      </c>
      <c r="ZN23" s="700">
        <f t="shared" si="491"/>
        <v>0</v>
      </c>
      <c r="ZO23" s="700">
        <f t="shared" si="491"/>
        <v>0</v>
      </c>
      <c r="ZP23" s="701">
        <f t="shared" si="491"/>
        <v>0</v>
      </c>
      <c r="ZQ23" s="699">
        <f t="shared" ref="ZQ23:ABD23" si="492">MAX(ZQ20,ZQ7)</f>
        <v>0.18332936675027003</v>
      </c>
      <c r="ZR23" s="700">
        <f t="shared" si="492"/>
        <v>0</v>
      </c>
      <c r="ZS23" s="700">
        <f t="shared" si="492"/>
        <v>0</v>
      </c>
      <c r="ZT23" s="700">
        <f t="shared" si="492"/>
        <v>0</v>
      </c>
      <c r="ZU23" s="700">
        <f t="shared" si="492"/>
        <v>0</v>
      </c>
      <c r="ZV23" s="700">
        <f t="shared" si="492"/>
        <v>0</v>
      </c>
      <c r="ZW23" s="700">
        <f t="shared" si="492"/>
        <v>0</v>
      </c>
      <c r="ZX23" s="700">
        <f t="shared" si="492"/>
        <v>0</v>
      </c>
      <c r="ZY23" s="700">
        <f t="shared" si="492"/>
        <v>0</v>
      </c>
      <c r="ZZ23" s="700">
        <f t="shared" si="492"/>
        <v>0</v>
      </c>
      <c r="AAA23" s="700">
        <f t="shared" si="492"/>
        <v>0</v>
      </c>
      <c r="AAB23" s="700">
        <f t="shared" si="492"/>
        <v>0</v>
      </c>
      <c r="AAC23" s="700">
        <f t="shared" si="492"/>
        <v>0</v>
      </c>
      <c r="AAD23" s="700">
        <f t="shared" si="492"/>
        <v>0</v>
      </c>
      <c r="AAE23" s="700">
        <f t="shared" si="492"/>
        <v>0</v>
      </c>
      <c r="AAF23" s="700">
        <f t="shared" si="492"/>
        <v>0</v>
      </c>
      <c r="AAG23" s="700">
        <f t="shared" si="492"/>
        <v>0</v>
      </c>
      <c r="AAH23" s="700">
        <f t="shared" si="492"/>
        <v>0</v>
      </c>
      <c r="AAI23" s="700">
        <f t="shared" si="492"/>
        <v>0</v>
      </c>
      <c r="AAJ23" s="701">
        <f t="shared" si="492"/>
        <v>0</v>
      </c>
      <c r="AAK23" s="624">
        <f t="shared" si="492"/>
        <v>8.5492915095311695</v>
      </c>
      <c r="AAL23" s="625">
        <f t="shared" si="492"/>
        <v>0</v>
      </c>
      <c r="AAM23" s="625">
        <f t="shared" si="492"/>
        <v>0</v>
      </c>
      <c r="AAN23" s="625">
        <f t="shared" si="492"/>
        <v>0</v>
      </c>
      <c r="AAO23" s="625">
        <f t="shared" si="492"/>
        <v>0</v>
      </c>
      <c r="AAP23" s="625">
        <f t="shared" si="492"/>
        <v>0</v>
      </c>
      <c r="AAQ23" s="625">
        <f t="shared" si="492"/>
        <v>0</v>
      </c>
      <c r="AAR23" s="625">
        <f t="shared" si="492"/>
        <v>0</v>
      </c>
      <c r="AAS23" s="625">
        <f t="shared" si="492"/>
        <v>0</v>
      </c>
      <c r="AAT23" s="625">
        <f t="shared" si="492"/>
        <v>0</v>
      </c>
      <c r="AAU23" s="625">
        <f t="shared" si="492"/>
        <v>0</v>
      </c>
      <c r="AAV23" s="625">
        <f t="shared" si="492"/>
        <v>0</v>
      </c>
      <c r="AAW23" s="625">
        <f t="shared" si="492"/>
        <v>0</v>
      </c>
      <c r="AAX23" s="625">
        <f t="shared" si="492"/>
        <v>0</v>
      </c>
      <c r="AAY23" s="625">
        <f t="shared" si="492"/>
        <v>0</v>
      </c>
      <c r="AAZ23" s="625">
        <f t="shared" si="492"/>
        <v>0</v>
      </c>
      <c r="ABA23" s="625">
        <f t="shared" si="492"/>
        <v>0</v>
      </c>
      <c r="ABB23" s="625">
        <f t="shared" si="492"/>
        <v>0</v>
      </c>
      <c r="ABC23" s="625">
        <f t="shared" si="492"/>
        <v>0</v>
      </c>
      <c r="ABD23" s="626">
        <f t="shared" si="492"/>
        <v>0</v>
      </c>
      <c r="ABE23" s="699">
        <f t="shared" ref="ABE23:ACR23" si="493">MAX(ABE20,ABE7)</f>
        <v>0.95004600859667476</v>
      </c>
      <c r="ABF23" s="700">
        <f t="shared" si="493"/>
        <v>0</v>
      </c>
      <c r="ABG23" s="700">
        <f t="shared" si="493"/>
        <v>0</v>
      </c>
      <c r="ABH23" s="700">
        <f t="shared" si="493"/>
        <v>0</v>
      </c>
      <c r="ABI23" s="700">
        <f t="shared" si="493"/>
        <v>0</v>
      </c>
      <c r="ABJ23" s="700">
        <f t="shared" si="493"/>
        <v>0</v>
      </c>
      <c r="ABK23" s="700">
        <f t="shared" si="493"/>
        <v>0</v>
      </c>
      <c r="ABL23" s="700">
        <f t="shared" si="493"/>
        <v>0</v>
      </c>
      <c r="ABM23" s="700">
        <f t="shared" si="493"/>
        <v>0</v>
      </c>
      <c r="ABN23" s="700">
        <f t="shared" si="493"/>
        <v>0</v>
      </c>
      <c r="ABO23" s="700">
        <f t="shared" si="493"/>
        <v>0</v>
      </c>
      <c r="ABP23" s="700">
        <f t="shared" si="493"/>
        <v>0</v>
      </c>
      <c r="ABQ23" s="700">
        <f t="shared" si="493"/>
        <v>0</v>
      </c>
      <c r="ABR23" s="700">
        <f t="shared" si="493"/>
        <v>0</v>
      </c>
      <c r="ABS23" s="700">
        <f t="shared" si="493"/>
        <v>0</v>
      </c>
      <c r="ABT23" s="700">
        <f t="shared" si="493"/>
        <v>0</v>
      </c>
      <c r="ABU23" s="700">
        <f t="shared" si="493"/>
        <v>0</v>
      </c>
      <c r="ABV23" s="700">
        <f t="shared" si="493"/>
        <v>0</v>
      </c>
      <c r="ABW23" s="700">
        <f t="shared" si="493"/>
        <v>0</v>
      </c>
      <c r="ABX23" s="701">
        <f t="shared" si="493"/>
        <v>0</v>
      </c>
      <c r="ABY23" s="108">
        <f t="shared" si="493"/>
        <v>7.8315599999999996</v>
      </c>
      <c r="ABZ23" s="109">
        <f t="shared" si="493"/>
        <v>0</v>
      </c>
      <c r="ACA23" s="109">
        <f t="shared" si="493"/>
        <v>0</v>
      </c>
      <c r="ACB23" s="109">
        <f t="shared" si="493"/>
        <v>0</v>
      </c>
      <c r="ACC23" s="109">
        <f t="shared" si="493"/>
        <v>0</v>
      </c>
      <c r="ACD23" s="109">
        <f t="shared" si="493"/>
        <v>0</v>
      </c>
      <c r="ACE23" s="109">
        <f t="shared" si="493"/>
        <v>0</v>
      </c>
      <c r="ACF23" s="109">
        <f t="shared" si="493"/>
        <v>0</v>
      </c>
      <c r="ACG23" s="109">
        <f t="shared" si="493"/>
        <v>0</v>
      </c>
      <c r="ACH23" s="109">
        <f t="shared" si="493"/>
        <v>0</v>
      </c>
      <c r="ACI23" s="109">
        <f t="shared" si="493"/>
        <v>0</v>
      </c>
      <c r="ACJ23" s="109">
        <f t="shared" si="493"/>
        <v>0</v>
      </c>
      <c r="ACK23" s="109">
        <f t="shared" si="493"/>
        <v>0</v>
      </c>
      <c r="ACL23" s="109">
        <f t="shared" si="493"/>
        <v>0</v>
      </c>
      <c r="ACM23" s="109">
        <f t="shared" si="493"/>
        <v>0</v>
      </c>
      <c r="ACN23" s="109">
        <f t="shared" si="493"/>
        <v>0</v>
      </c>
      <c r="ACO23" s="109">
        <f t="shared" si="493"/>
        <v>0</v>
      </c>
      <c r="ACP23" s="109">
        <f t="shared" si="493"/>
        <v>0</v>
      </c>
      <c r="ACQ23" s="109">
        <f t="shared" si="493"/>
        <v>0</v>
      </c>
      <c r="ACR23" s="110">
        <f t="shared" si="493"/>
        <v>0</v>
      </c>
    </row>
    <row r="24" spans="1:772" ht="15" customHeight="1" x14ac:dyDescent="0.2">
      <c r="A24" s="99" t="s">
        <v>85</v>
      </c>
      <c r="B24" s="100"/>
      <c r="C24" s="100"/>
      <c r="D24" s="100"/>
      <c r="E24" s="101"/>
      <c r="F24" s="101"/>
      <c r="G24" s="102">
        <f t="shared" ref="G24:L24" si="494">IFERROR(IF(COUNT(G21,G7)&gt;0,MIN(G21,G7),""),"")</f>
        <v>7.3054249682859645E-2</v>
      </c>
      <c r="H24" s="102">
        <f t="shared" si="494"/>
        <v>2.4327000000000001E-2</v>
      </c>
      <c r="I24" s="102">
        <f t="shared" si="494"/>
        <v>0.12654400000000002</v>
      </c>
      <c r="J24" s="102">
        <f t="shared" si="494"/>
        <v>4.7117000000000006E-2</v>
      </c>
      <c r="K24" s="102">
        <f t="shared" si="494"/>
        <v>3.8417E-2</v>
      </c>
      <c r="L24" s="102">
        <f t="shared" si="494"/>
        <v>2.3872000000000001E-2</v>
      </c>
      <c r="M24" s="102">
        <f>IFERROR(IF(COUNT(M20,M7)&gt;0,MAX(M20,M7),""),"")</f>
        <v>0.87345577707057875</v>
      </c>
      <c r="N24" s="102">
        <f t="shared" ref="N24:R24" si="495">IFERROR(IF(COUNT(N20,N7)&gt;0,MAX(N20,N7),""),"")</f>
        <v>0.18708555505504981</v>
      </c>
      <c r="O24" s="102">
        <f t="shared" si="495"/>
        <v>0.20569299999999999</v>
      </c>
      <c r="P24" s="102">
        <f t="shared" si="495"/>
        <v>0</v>
      </c>
      <c r="Q24" s="114">
        <f t="shared" si="495"/>
        <v>4.7145371311243576</v>
      </c>
      <c r="R24" s="114">
        <f t="shared" si="495"/>
        <v>43.161888111888111</v>
      </c>
      <c r="S24" s="114">
        <f>IFERROR(IF(COUNT(S21,S7)&gt;0,MIN(S21,S7),""),"")</f>
        <v>31.28054591895086</v>
      </c>
      <c r="T24" s="114">
        <f>MAX(T20,T7)</f>
        <v>3.4629870145742387</v>
      </c>
      <c r="U24" s="102">
        <f t="shared" ref="U24:AE24" si="496">IFERROR(IF(COUNT(U21,U7)&gt;0,MIN(U21,U7),""),"")</f>
        <v>5.4982748775524976E-2</v>
      </c>
      <c r="V24" s="102">
        <f t="shared" si="496"/>
        <v>8.6174731826604317E-2</v>
      </c>
      <c r="W24" s="102">
        <f t="shared" si="496"/>
        <v>0.1524116329101225</v>
      </c>
      <c r="X24" s="1029">
        <f t="shared" si="496"/>
        <v>2.3031999999999999</v>
      </c>
      <c r="Y24" s="1029">
        <f t="shared" si="496"/>
        <v>5.149</v>
      </c>
      <c r="Z24" s="102">
        <f t="shared" si="496"/>
        <v>4.221882343903316E-2</v>
      </c>
      <c r="AA24" s="101">
        <f t="shared" ref="AA24" si="497">IFERROR(IF(COUNT(AA20,AA7)&gt;0,MAX(AA20,AA7),""),"")</f>
        <v>3.2484292924091052</v>
      </c>
      <c r="AB24" s="102">
        <f t="shared" si="496"/>
        <v>3.2642286217119391E-2</v>
      </c>
      <c r="AC24" s="102">
        <f t="shared" ref="AC24" si="498">IFERROR(IF(COUNT(AC20,AC7)&gt;0,MAX(AC20,AC7),""),"")</f>
        <v>0.25438596491228072</v>
      </c>
      <c r="AD24" s="101">
        <f t="shared" si="496"/>
        <v>4.7071899999999998</v>
      </c>
      <c r="AE24" s="103">
        <f t="shared" si="496"/>
        <v>0.53503999999999996</v>
      </c>
      <c r="AF24" s="104"/>
      <c r="AG24" s="702">
        <f t="shared" ref="AG24:BL24" si="499">MIN(AG21,AG7)</f>
        <v>0.12756200000000001</v>
      </c>
      <c r="AH24" s="700">
        <f t="shared" si="499"/>
        <v>0</v>
      </c>
      <c r="AI24" s="700">
        <f t="shared" si="499"/>
        <v>0</v>
      </c>
      <c r="AJ24" s="700">
        <f t="shared" si="499"/>
        <v>0</v>
      </c>
      <c r="AK24" s="700">
        <f t="shared" si="499"/>
        <v>0</v>
      </c>
      <c r="AL24" s="700">
        <f t="shared" si="499"/>
        <v>0</v>
      </c>
      <c r="AM24" s="700">
        <f t="shared" si="499"/>
        <v>0</v>
      </c>
      <c r="AN24" s="700">
        <f t="shared" si="499"/>
        <v>0</v>
      </c>
      <c r="AO24" s="700">
        <f t="shared" si="499"/>
        <v>0</v>
      </c>
      <c r="AP24" s="700">
        <f t="shared" si="499"/>
        <v>0</v>
      </c>
      <c r="AQ24" s="700">
        <f t="shared" si="499"/>
        <v>0</v>
      </c>
      <c r="AR24" s="700">
        <f t="shared" si="499"/>
        <v>0</v>
      </c>
      <c r="AS24" s="700">
        <f t="shared" si="499"/>
        <v>0</v>
      </c>
      <c r="AT24" s="700">
        <f t="shared" si="499"/>
        <v>0</v>
      </c>
      <c r="AU24" s="700">
        <f t="shared" si="499"/>
        <v>0</v>
      </c>
      <c r="AV24" s="700">
        <f t="shared" si="499"/>
        <v>0</v>
      </c>
      <c r="AW24" s="700">
        <f t="shared" si="499"/>
        <v>0</v>
      </c>
      <c r="AX24" s="700">
        <f t="shared" si="499"/>
        <v>0</v>
      </c>
      <c r="AY24" s="700">
        <f t="shared" si="499"/>
        <v>0</v>
      </c>
      <c r="AZ24" s="701">
        <f t="shared" si="499"/>
        <v>0</v>
      </c>
      <c r="BA24" s="699">
        <f t="shared" si="499"/>
        <v>4.6349999999999995E-2</v>
      </c>
      <c r="BB24" s="700">
        <f t="shared" si="499"/>
        <v>0</v>
      </c>
      <c r="BC24" s="700">
        <f t="shared" si="499"/>
        <v>0</v>
      </c>
      <c r="BD24" s="700">
        <f t="shared" si="499"/>
        <v>0</v>
      </c>
      <c r="BE24" s="700">
        <f t="shared" si="499"/>
        <v>0</v>
      </c>
      <c r="BF24" s="700">
        <f t="shared" si="499"/>
        <v>0</v>
      </c>
      <c r="BG24" s="700">
        <f t="shared" si="499"/>
        <v>0</v>
      </c>
      <c r="BH24" s="700">
        <f t="shared" si="499"/>
        <v>0</v>
      </c>
      <c r="BI24" s="700">
        <f t="shared" si="499"/>
        <v>0</v>
      </c>
      <c r="BJ24" s="700">
        <f t="shared" si="499"/>
        <v>0</v>
      </c>
      <c r="BK24" s="700">
        <f t="shared" si="499"/>
        <v>0</v>
      </c>
      <c r="BL24" s="700">
        <f t="shared" si="499"/>
        <v>0</v>
      </c>
      <c r="BM24" s="700">
        <f t="shared" ref="BM24:CR24" si="500">MIN(BM21,BM7)</f>
        <v>0</v>
      </c>
      <c r="BN24" s="700">
        <f t="shared" si="500"/>
        <v>0</v>
      </c>
      <c r="BO24" s="700">
        <f t="shared" si="500"/>
        <v>0</v>
      </c>
      <c r="BP24" s="700">
        <f t="shared" si="500"/>
        <v>0</v>
      </c>
      <c r="BQ24" s="700">
        <f t="shared" si="500"/>
        <v>0</v>
      </c>
      <c r="BR24" s="700">
        <f t="shared" si="500"/>
        <v>0</v>
      </c>
      <c r="BS24" s="700">
        <f t="shared" si="500"/>
        <v>0</v>
      </c>
      <c r="BT24" s="701">
        <f t="shared" si="500"/>
        <v>0</v>
      </c>
      <c r="BU24" s="699">
        <f t="shared" si="500"/>
        <v>3.7442000000000003E-2</v>
      </c>
      <c r="BV24" s="700">
        <f t="shared" si="500"/>
        <v>0</v>
      </c>
      <c r="BW24" s="700">
        <f t="shared" si="500"/>
        <v>0</v>
      </c>
      <c r="BX24" s="700">
        <f t="shared" si="500"/>
        <v>0</v>
      </c>
      <c r="BY24" s="700">
        <f t="shared" si="500"/>
        <v>0</v>
      </c>
      <c r="BZ24" s="700">
        <f t="shared" si="500"/>
        <v>0</v>
      </c>
      <c r="CA24" s="700">
        <f t="shared" si="500"/>
        <v>0</v>
      </c>
      <c r="CB24" s="700">
        <f t="shared" si="500"/>
        <v>0</v>
      </c>
      <c r="CC24" s="700">
        <f t="shared" si="500"/>
        <v>0</v>
      </c>
      <c r="CD24" s="700">
        <f t="shared" si="500"/>
        <v>0</v>
      </c>
      <c r="CE24" s="700">
        <f t="shared" si="500"/>
        <v>0</v>
      </c>
      <c r="CF24" s="700">
        <f t="shared" si="500"/>
        <v>0</v>
      </c>
      <c r="CG24" s="700">
        <f t="shared" si="500"/>
        <v>0</v>
      </c>
      <c r="CH24" s="700">
        <f t="shared" si="500"/>
        <v>0</v>
      </c>
      <c r="CI24" s="700">
        <f t="shared" si="500"/>
        <v>0</v>
      </c>
      <c r="CJ24" s="700">
        <f t="shared" si="500"/>
        <v>0</v>
      </c>
      <c r="CK24" s="700">
        <f t="shared" si="500"/>
        <v>0</v>
      </c>
      <c r="CL24" s="700">
        <f t="shared" si="500"/>
        <v>0</v>
      </c>
      <c r="CM24" s="700">
        <f t="shared" si="500"/>
        <v>0</v>
      </c>
      <c r="CN24" s="701">
        <f t="shared" si="500"/>
        <v>0</v>
      </c>
      <c r="CO24" s="699">
        <f t="shared" si="500"/>
        <v>2.3872000000000001E-2</v>
      </c>
      <c r="CP24" s="700">
        <f t="shared" si="500"/>
        <v>0</v>
      </c>
      <c r="CQ24" s="700">
        <f t="shared" si="500"/>
        <v>0</v>
      </c>
      <c r="CR24" s="700">
        <f t="shared" si="500"/>
        <v>0</v>
      </c>
      <c r="CS24" s="700">
        <f t="shared" ref="CS24:DH24" si="501">MIN(CS21,CS7)</f>
        <v>0</v>
      </c>
      <c r="CT24" s="700">
        <f t="shared" si="501"/>
        <v>0</v>
      </c>
      <c r="CU24" s="700">
        <f t="shared" si="501"/>
        <v>0</v>
      </c>
      <c r="CV24" s="700">
        <f t="shared" si="501"/>
        <v>0</v>
      </c>
      <c r="CW24" s="700">
        <f t="shared" si="501"/>
        <v>0</v>
      </c>
      <c r="CX24" s="700">
        <f t="shared" si="501"/>
        <v>0</v>
      </c>
      <c r="CY24" s="700">
        <f t="shared" si="501"/>
        <v>0</v>
      </c>
      <c r="CZ24" s="700">
        <f t="shared" si="501"/>
        <v>0</v>
      </c>
      <c r="DA24" s="700">
        <f t="shared" si="501"/>
        <v>0</v>
      </c>
      <c r="DB24" s="700">
        <f t="shared" si="501"/>
        <v>0</v>
      </c>
      <c r="DC24" s="700">
        <f t="shared" si="501"/>
        <v>0</v>
      </c>
      <c r="DD24" s="700">
        <f t="shared" si="501"/>
        <v>0</v>
      </c>
      <c r="DE24" s="700">
        <f t="shared" si="501"/>
        <v>0</v>
      </c>
      <c r="DF24" s="700">
        <f t="shared" si="501"/>
        <v>0</v>
      </c>
      <c r="DG24" s="700">
        <f t="shared" si="501"/>
        <v>0</v>
      </c>
      <c r="DH24" s="701">
        <f t="shared" si="501"/>
        <v>0</v>
      </c>
      <c r="DI24" s="699">
        <f t="shared" ref="DI24:EN24" si="502">MAX(DI20,DI7)</f>
        <v>0.87243702113411203</v>
      </c>
      <c r="DJ24" s="700">
        <f t="shared" si="502"/>
        <v>0</v>
      </c>
      <c r="DK24" s="700">
        <f t="shared" si="502"/>
        <v>0</v>
      </c>
      <c r="DL24" s="700">
        <f t="shared" si="502"/>
        <v>0</v>
      </c>
      <c r="DM24" s="700">
        <f t="shared" si="502"/>
        <v>0</v>
      </c>
      <c r="DN24" s="700">
        <f t="shared" si="502"/>
        <v>0</v>
      </c>
      <c r="DO24" s="700">
        <f t="shared" si="502"/>
        <v>0</v>
      </c>
      <c r="DP24" s="700">
        <f t="shared" si="502"/>
        <v>0</v>
      </c>
      <c r="DQ24" s="700">
        <f t="shared" si="502"/>
        <v>0</v>
      </c>
      <c r="DR24" s="700">
        <f t="shared" si="502"/>
        <v>0</v>
      </c>
      <c r="DS24" s="700">
        <f t="shared" si="502"/>
        <v>0</v>
      </c>
      <c r="DT24" s="700">
        <f t="shared" si="502"/>
        <v>0</v>
      </c>
      <c r="DU24" s="700">
        <f t="shared" si="502"/>
        <v>0</v>
      </c>
      <c r="DV24" s="700">
        <f t="shared" si="502"/>
        <v>0</v>
      </c>
      <c r="DW24" s="700">
        <f t="shared" si="502"/>
        <v>0</v>
      </c>
      <c r="DX24" s="700">
        <f t="shared" si="502"/>
        <v>0</v>
      </c>
      <c r="DY24" s="700">
        <f t="shared" si="502"/>
        <v>0</v>
      </c>
      <c r="DZ24" s="700">
        <f t="shared" si="502"/>
        <v>0</v>
      </c>
      <c r="EA24" s="700">
        <f t="shared" si="502"/>
        <v>0</v>
      </c>
      <c r="EB24" s="701">
        <f t="shared" si="502"/>
        <v>0</v>
      </c>
      <c r="EC24" s="699">
        <f t="shared" si="502"/>
        <v>0.18708555505504981</v>
      </c>
      <c r="ED24" s="700">
        <f t="shared" si="502"/>
        <v>0</v>
      </c>
      <c r="EE24" s="700">
        <f t="shared" si="502"/>
        <v>0</v>
      </c>
      <c r="EF24" s="700">
        <f t="shared" si="502"/>
        <v>0</v>
      </c>
      <c r="EG24" s="700">
        <f t="shared" si="502"/>
        <v>0</v>
      </c>
      <c r="EH24" s="700">
        <f t="shared" si="502"/>
        <v>0</v>
      </c>
      <c r="EI24" s="700">
        <f t="shared" si="502"/>
        <v>0</v>
      </c>
      <c r="EJ24" s="700">
        <f t="shared" si="502"/>
        <v>0</v>
      </c>
      <c r="EK24" s="700">
        <f t="shared" si="502"/>
        <v>0</v>
      </c>
      <c r="EL24" s="700">
        <f t="shared" si="502"/>
        <v>0</v>
      </c>
      <c r="EM24" s="700">
        <f t="shared" si="502"/>
        <v>0</v>
      </c>
      <c r="EN24" s="700">
        <f t="shared" si="502"/>
        <v>0</v>
      </c>
      <c r="EO24" s="700">
        <f t="shared" ref="EO24:FT24" si="503">MAX(EO20,EO7)</f>
        <v>0</v>
      </c>
      <c r="EP24" s="700">
        <f t="shared" si="503"/>
        <v>0</v>
      </c>
      <c r="EQ24" s="700">
        <f t="shared" si="503"/>
        <v>0</v>
      </c>
      <c r="ER24" s="700">
        <f t="shared" si="503"/>
        <v>0</v>
      </c>
      <c r="ES24" s="700">
        <f t="shared" si="503"/>
        <v>0</v>
      </c>
      <c r="ET24" s="700">
        <f t="shared" si="503"/>
        <v>0</v>
      </c>
      <c r="EU24" s="700">
        <f t="shared" si="503"/>
        <v>0</v>
      </c>
      <c r="EV24" s="701">
        <f t="shared" si="503"/>
        <v>0</v>
      </c>
      <c r="EW24" s="699">
        <f t="shared" si="503"/>
        <v>0.20569299999999999</v>
      </c>
      <c r="EX24" s="700">
        <f t="shared" si="503"/>
        <v>0</v>
      </c>
      <c r="EY24" s="700">
        <f t="shared" si="503"/>
        <v>0</v>
      </c>
      <c r="EZ24" s="700">
        <f t="shared" si="503"/>
        <v>0</v>
      </c>
      <c r="FA24" s="700">
        <f t="shared" si="503"/>
        <v>0</v>
      </c>
      <c r="FB24" s="700">
        <f t="shared" si="503"/>
        <v>0</v>
      </c>
      <c r="FC24" s="700">
        <f t="shared" si="503"/>
        <v>0</v>
      </c>
      <c r="FD24" s="700">
        <f t="shared" si="503"/>
        <v>0</v>
      </c>
      <c r="FE24" s="700">
        <f t="shared" si="503"/>
        <v>0</v>
      </c>
      <c r="FF24" s="700">
        <f t="shared" si="503"/>
        <v>0</v>
      </c>
      <c r="FG24" s="700">
        <f t="shared" si="503"/>
        <v>0</v>
      </c>
      <c r="FH24" s="700">
        <f t="shared" si="503"/>
        <v>0</v>
      </c>
      <c r="FI24" s="700">
        <f t="shared" si="503"/>
        <v>0</v>
      </c>
      <c r="FJ24" s="700">
        <f t="shared" si="503"/>
        <v>0</v>
      </c>
      <c r="FK24" s="700">
        <f t="shared" si="503"/>
        <v>0</v>
      </c>
      <c r="FL24" s="700">
        <f t="shared" si="503"/>
        <v>0</v>
      </c>
      <c r="FM24" s="700">
        <f t="shared" si="503"/>
        <v>0</v>
      </c>
      <c r="FN24" s="700">
        <f t="shared" si="503"/>
        <v>0</v>
      </c>
      <c r="FO24" s="700">
        <f t="shared" si="503"/>
        <v>0</v>
      </c>
      <c r="FP24" s="701">
        <f t="shared" si="503"/>
        <v>0</v>
      </c>
      <c r="FQ24" s="699">
        <f t="shared" si="503"/>
        <v>0</v>
      </c>
      <c r="FR24" s="700">
        <f t="shared" si="503"/>
        <v>0</v>
      </c>
      <c r="FS24" s="700">
        <f t="shared" si="503"/>
        <v>0</v>
      </c>
      <c r="FT24" s="700">
        <f t="shared" si="503"/>
        <v>0</v>
      </c>
      <c r="FU24" s="700">
        <f t="shared" ref="FU24:GZ24" si="504">MAX(FU20,FU7)</f>
        <v>0</v>
      </c>
      <c r="FV24" s="700">
        <f t="shared" si="504"/>
        <v>0</v>
      </c>
      <c r="FW24" s="700">
        <f t="shared" si="504"/>
        <v>0</v>
      </c>
      <c r="FX24" s="700">
        <f t="shared" si="504"/>
        <v>0</v>
      </c>
      <c r="FY24" s="700">
        <f t="shared" si="504"/>
        <v>0</v>
      </c>
      <c r="FZ24" s="700">
        <f t="shared" si="504"/>
        <v>0</v>
      </c>
      <c r="GA24" s="700">
        <f t="shared" si="504"/>
        <v>0</v>
      </c>
      <c r="GB24" s="700">
        <f t="shared" si="504"/>
        <v>0</v>
      </c>
      <c r="GC24" s="700">
        <f t="shared" si="504"/>
        <v>0</v>
      </c>
      <c r="GD24" s="700">
        <f t="shared" si="504"/>
        <v>0</v>
      </c>
      <c r="GE24" s="700">
        <f t="shared" si="504"/>
        <v>0</v>
      </c>
      <c r="GF24" s="700">
        <f t="shared" si="504"/>
        <v>0</v>
      </c>
      <c r="GG24" s="700">
        <f t="shared" si="504"/>
        <v>0</v>
      </c>
      <c r="GH24" s="700">
        <f t="shared" si="504"/>
        <v>0</v>
      </c>
      <c r="GI24" s="700">
        <f t="shared" si="504"/>
        <v>0</v>
      </c>
      <c r="GJ24" s="701">
        <f t="shared" si="504"/>
        <v>0</v>
      </c>
      <c r="GK24" s="598">
        <f t="shared" si="504"/>
        <v>4.7145371311243567</v>
      </c>
      <c r="GL24" s="599">
        <f t="shared" si="504"/>
        <v>0</v>
      </c>
      <c r="GM24" s="599">
        <f t="shared" si="504"/>
        <v>0</v>
      </c>
      <c r="GN24" s="599">
        <f t="shared" si="504"/>
        <v>0</v>
      </c>
      <c r="GO24" s="599">
        <f t="shared" si="504"/>
        <v>0</v>
      </c>
      <c r="GP24" s="599">
        <f t="shared" si="504"/>
        <v>0</v>
      </c>
      <c r="GQ24" s="599">
        <f t="shared" si="504"/>
        <v>0</v>
      </c>
      <c r="GR24" s="599">
        <f t="shared" si="504"/>
        <v>0</v>
      </c>
      <c r="GS24" s="599">
        <f t="shared" si="504"/>
        <v>0</v>
      </c>
      <c r="GT24" s="599">
        <f t="shared" si="504"/>
        <v>0</v>
      </c>
      <c r="GU24" s="599">
        <f t="shared" si="504"/>
        <v>0</v>
      </c>
      <c r="GV24" s="599">
        <f t="shared" si="504"/>
        <v>0</v>
      </c>
      <c r="GW24" s="599">
        <f t="shared" si="504"/>
        <v>0</v>
      </c>
      <c r="GX24" s="599">
        <f t="shared" si="504"/>
        <v>0</v>
      </c>
      <c r="GY24" s="599">
        <f t="shared" si="504"/>
        <v>0</v>
      </c>
      <c r="GZ24" s="599">
        <f t="shared" si="504"/>
        <v>0</v>
      </c>
      <c r="HA24" s="599">
        <f t="shared" ref="HA24:HX24" si="505">MAX(HA20,HA7)</f>
        <v>0</v>
      </c>
      <c r="HB24" s="599">
        <f t="shared" si="505"/>
        <v>0</v>
      </c>
      <c r="HC24" s="599">
        <f t="shared" si="505"/>
        <v>0</v>
      </c>
      <c r="HD24" s="600">
        <f t="shared" si="505"/>
        <v>0</v>
      </c>
      <c r="HE24" s="598">
        <f t="shared" si="505"/>
        <v>43.161888111888111</v>
      </c>
      <c r="HF24" s="599">
        <f t="shared" si="505"/>
        <v>0</v>
      </c>
      <c r="HG24" s="599">
        <f t="shared" si="505"/>
        <v>0</v>
      </c>
      <c r="HH24" s="599">
        <f t="shared" si="505"/>
        <v>0</v>
      </c>
      <c r="HI24" s="599">
        <f t="shared" si="505"/>
        <v>0</v>
      </c>
      <c r="HJ24" s="599">
        <f t="shared" si="505"/>
        <v>0</v>
      </c>
      <c r="HK24" s="599">
        <f t="shared" si="505"/>
        <v>0</v>
      </c>
      <c r="HL24" s="599">
        <f t="shared" si="505"/>
        <v>0</v>
      </c>
      <c r="HM24" s="599">
        <f t="shared" si="505"/>
        <v>0</v>
      </c>
      <c r="HN24" s="599">
        <f t="shared" si="505"/>
        <v>0</v>
      </c>
      <c r="HO24" s="599">
        <f t="shared" si="505"/>
        <v>0</v>
      </c>
      <c r="HP24" s="599">
        <f t="shared" si="505"/>
        <v>0</v>
      </c>
      <c r="HQ24" s="599">
        <f t="shared" si="505"/>
        <v>0</v>
      </c>
      <c r="HR24" s="599">
        <f t="shared" si="505"/>
        <v>0</v>
      </c>
      <c r="HS24" s="599">
        <f t="shared" si="505"/>
        <v>0</v>
      </c>
      <c r="HT24" s="599">
        <f t="shared" si="505"/>
        <v>0</v>
      </c>
      <c r="HU24" s="599">
        <f t="shared" si="505"/>
        <v>0</v>
      </c>
      <c r="HV24" s="599">
        <f t="shared" si="505"/>
        <v>0</v>
      </c>
      <c r="HW24" s="599">
        <f t="shared" si="505"/>
        <v>0</v>
      </c>
      <c r="HX24" s="600">
        <f t="shared" si="505"/>
        <v>0</v>
      </c>
      <c r="HY24" s="598">
        <f t="shared" ref="HY24:IR24" si="506">MIN(HY21,HY7)</f>
        <v>37.673624829267737</v>
      </c>
      <c r="HZ24" s="599">
        <f t="shared" si="506"/>
        <v>0</v>
      </c>
      <c r="IA24" s="599">
        <f t="shared" si="506"/>
        <v>0</v>
      </c>
      <c r="IB24" s="599">
        <f t="shared" si="506"/>
        <v>0</v>
      </c>
      <c r="IC24" s="599">
        <f t="shared" si="506"/>
        <v>0</v>
      </c>
      <c r="ID24" s="599">
        <f t="shared" si="506"/>
        <v>0</v>
      </c>
      <c r="IE24" s="599">
        <f t="shared" si="506"/>
        <v>0</v>
      </c>
      <c r="IF24" s="599">
        <f t="shared" si="506"/>
        <v>0</v>
      </c>
      <c r="IG24" s="599">
        <f t="shared" si="506"/>
        <v>0</v>
      </c>
      <c r="IH24" s="599">
        <f t="shared" si="506"/>
        <v>0</v>
      </c>
      <c r="II24" s="599">
        <f t="shared" si="506"/>
        <v>0</v>
      </c>
      <c r="IJ24" s="599">
        <f t="shared" si="506"/>
        <v>0</v>
      </c>
      <c r="IK24" s="599">
        <f t="shared" si="506"/>
        <v>0</v>
      </c>
      <c r="IL24" s="599">
        <f t="shared" si="506"/>
        <v>0</v>
      </c>
      <c r="IM24" s="599">
        <f t="shared" si="506"/>
        <v>0</v>
      </c>
      <c r="IN24" s="599">
        <f t="shared" si="506"/>
        <v>0</v>
      </c>
      <c r="IO24" s="599">
        <f t="shared" si="506"/>
        <v>0</v>
      </c>
      <c r="IP24" s="599">
        <f t="shared" si="506"/>
        <v>0</v>
      </c>
      <c r="IQ24" s="599">
        <f t="shared" si="506"/>
        <v>0</v>
      </c>
      <c r="IR24" s="600">
        <f t="shared" si="506"/>
        <v>0</v>
      </c>
      <c r="IS24" s="598">
        <f t="shared" ref="IS24:JL24" si="507">MAX(IS20,IS7)</f>
        <v>3.4629870145742387</v>
      </c>
      <c r="IT24" s="599">
        <f t="shared" si="507"/>
        <v>0</v>
      </c>
      <c r="IU24" s="599">
        <f t="shared" si="507"/>
        <v>0</v>
      </c>
      <c r="IV24" s="599">
        <f t="shared" si="507"/>
        <v>0</v>
      </c>
      <c r="IW24" s="599">
        <f t="shared" si="507"/>
        <v>0</v>
      </c>
      <c r="IX24" s="599">
        <f t="shared" si="507"/>
        <v>0</v>
      </c>
      <c r="IY24" s="599">
        <f t="shared" si="507"/>
        <v>0</v>
      </c>
      <c r="IZ24" s="599">
        <f t="shared" si="507"/>
        <v>0</v>
      </c>
      <c r="JA24" s="599">
        <f t="shared" si="507"/>
        <v>0</v>
      </c>
      <c r="JB24" s="599">
        <f t="shared" si="507"/>
        <v>0</v>
      </c>
      <c r="JC24" s="599">
        <f t="shared" si="507"/>
        <v>0</v>
      </c>
      <c r="JD24" s="599">
        <f t="shared" si="507"/>
        <v>0</v>
      </c>
      <c r="JE24" s="599">
        <f t="shared" si="507"/>
        <v>0</v>
      </c>
      <c r="JF24" s="599">
        <f t="shared" si="507"/>
        <v>0</v>
      </c>
      <c r="JG24" s="599">
        <f t="shared" si="507"/>
        <v>0</v>
      </c>
      <c r="JH24" s="599">
        <f t="shared" si="507"/>
        <v>0</v>
      </c>
      <c r="JI24" s="599">
        <f t="shared" si="507"/>
        <v>0</v>
      </c>
      <c r="JJ24" s="599">
        <f t="shared" si="507"/>
        <v>0</v>
      </c>
      <c r="JK24" s="599">
        <f t="shared" si="507"/>
        <v>0</v>
      </c>
      <c r="JL24" s="600">
        <f t="shared" si="507"/>
        <v>0</v>
      </c>
      <c r="JM24" s="699">
        <f t="shared" ref="JM24:KR24" si="508">MIN(JM21,JM7)</f>
        <v>4.221882343903316E-2</v>
      </c>
      <c r="JN24" s="700">
        <f t="shared" si="508"/>
        <v>0</v>
      </c>
      <c r="JO24" s="700">
        <f t="shared" si="508"/>
        <v>0</v>
      </c>
      <c r="JP24" s="700">
        <f t="shared" si="508"/>
        <v>0</v>
      </c>
      <c r="JQ24" s="700">
        <f t="shared" si="508"/>
        <v>0</v>
      </c>
      <c r="JR24" s="700">
        <f t="shared" si="508"/>
        <v>0</v>
      </c>
      <c r="JS24" s="700">
        <f t="shared" si="508"/>
        <v>0</v>
      </c>
      <c r="JT24" s="700">
        <f t="shared" si="508"/>
        <v>0</v>
      </c>
      <c r="JU24" s="700">
        <f t="shared" si="508"/>
        <v>0</v>
      </c>
      <c r="JV24" s="700">
        <f t="shared" si="508"/>
        <v>0</v>
      </c>
      <c r="JW24" s="700">
        <f t="shared" si="508"/>
        <v>0</v>
      </c>
      <c r="JX24" s="700">
        <f t="shared" si="508"/>
        <v>0</v>
      </c>
      <c r="JY24" s="700">
        <f t="shared" si="508"/>
        <v>0</v>
      </c>
      <c r="JZ24" s="700">
        <f t="shared" si="508"/>
        <v>0</v>
      </c>
      <c r="KA24" s="700">
        <f t="shared" si="508"/>
        <v>0</v>
      </c>
      <c r="KB24" s="700">
        <f t="shared" si="508"/>
        <v>0</v>
      </c>
      <c r="KC24" s="700">
        <f t="shared" si="508"/>
        <v>0</v>
      </c>
      <c r="KD24" s="700">
        <f t="shared" si="508"/>
        <v>0</v>
      </c>
      <c r="KE24" s="700">
        <f t="shared" si="508"/>
        <v>0</v>
      </c>
      <c r="KF24" s="701">
        <f t="shared" si="508"/>
        <v>0</v>
      </c>
      <c r="KG24" s="108">
        <f t="shared" si="508"/>
        <v>2.3031999999999999</v>
      </c>
      <c r="KH24" s="109">
        <f t="shared" si="508"/>
        <v>0</v>
      </c>
      <c r="KI24" s="109">
        <f t="shared" si="508"/>
        <v>0</v>
      </c>
      <c r="KJ24" s="109">
        <f t="shared" si="508"/>
        <v>0</v>
      </c>
      <c r="KK24" s="109">
        <f t="shared" si="508"/>
        <v>0</v>
      </c>
      <c r="KL24" s="109">
        <f t="shared" si="508"/>
        <v>0</v>
      </c>
      <c r="KM24" s="109">
        <f t="shared" si="508"/>
        <v>0</v>
      </c>
      <c r="KN24" s="109">
        <f t="shared" si="508"/>
        <v>0</v>
      </c>
      <c r="KO24" s="109">
        <f t="shared" si="508"/>
        <v>0</v>
      </c>
      <c r="KP24" s="109">
        <f t="shared" si="508"/>
        <v>0</v>
      </c>
      <c r="KQ24" s="109">
        <f t="shared" si="508"/>
        <v>0</v>
      </c>
      <c r="KR24" s="109">
        <f t="shared" si="508"/>
        <v>0</v>
      </c>
      <c r="KS24" s="109">
        <f t="shared" ref="KS24:LX24" si="509">MIN(KS21,KS7)</f>
        <v>0</v>
      </c>
      <c r="KT24" s="109">
        <f t="shared" si="509"/>
        <v>0</v>
      </c>
      <c r="KU24" s="109">
        <f t="shared" si="509"/>
        <v>0</v>
      </c>
      <c r="KV24" s="109">
        <f t="shared" si="509"/>
        <v>0</v>
      </c>
      <c r="KW24" s="109">
        <f t="shared" si="509"/>
        <v>0</v>
      </c>
      <c r="KX24" s="109">
        <f t="shared" si="509"/>
        <v>0</v>
      </c>
      <c r="KY24" s="109">
        <f t="shared" si="509"/>
        <v>0</v>
      </c>
      <c r="KZ24" s="110">
        <f t="shared" si="509"/>
        <v>0</v>
      </c>
      <c r="LA24" s="108">
        <f t="shared" si="509"/>
        <v>8.4565300000000008</v>
      </c>
      <c r="LB24" s="108">
        <f t="shared" si="509"/>
        <v>0</v>
      </c>
      <c r="LC24" s="108">
        <f t="shared" si="509"/>
        <v>0</v>
      </c>
      <c r="LD24" s="108">
        <f t="shared" si="509"/>
        <v>0</v>
      </c>
      <c r="LE24" s="108">
        <f t="shared" si="509"/>
        <v>0</v>
      </c>
      <c r="LF24" s="108">
        <f t="shared" si="509"/>
        <v>0</v>
      </c>
      <c r="LG24" s="108">
        <f t="shared" si="509"/>
        <v>0</v>
      </c>
      <c r="LH24" s="108">
        <f t="shared" si="509"/>
        <v>0</v>
      </c>
      <c r="LI24" s="108">
        <f t="shared" si="509"/>
        <v>0</v>
      </c>
      <c r="LJ24" s="108">
        <f t="shared" si="509"/>
        <v>0</v>
      </c>
      <c r="LK24" s="108">
        <f t="shared" si="509"/>
        <v>0</v>
      </c>
      <c r="LL24" s="108">
        <f t="shared" si="509"/>
        <v>0</v>
      </c>
      <c r="LM24" s="108">
        <f t="shared" si="509"/>
        <v>0</v>
      </c>
      <c r="LN24" s="108">
        <f t="shared" si="509"/>
        <v>0</v>
      </c>
      <c r="LO24" s="108">
        <f t="shared" si="509"/>
        <v>0</v>
      </c>
      <c r="LP24" s="108">
        <f t="shared" si="509"/>
        <v>0</v>
      </c>
      <c r="LQ24" s="108">
        <f t="shared" si="509"/>
        <v>0</v>
      </c>
      <c r="LR24" s="108">
        <f t="shared" si="509"/>
        <v>0</v>
      </c>
      <c r="LS24" s="108">
        <f t="shared" si="509"/>
        <v>0</v>
      </c>
      <c r="LT24" s="108">
        <f t="shared" si="509"/>
        <v>0</v>
      </c>
      <c r="LU24" s="108">
        <f t="shared" si="509"/>
        <v>77.420109999999994</v>
      </c>
      <c r="LV24" s="108">
        <f t="shared" si="509"/>
        <v>0</v>
      </c>
      <c r="LW24" s="108">
        <f t="shared" si="509"/>
        <v>0</v>
      </c>
      <c r="LX24" s="108">
        <f t="shared" si="509"/>
        <v>0</v>
      </c>
      <c r="LY24" s="108">
        <f t="shared" ref="LY24:ND24" si="510">MIN(LY21,LY7)</f>
        <v>0</v>
      </c>
      <c r="LZ24" s="108">
        <f t="shared" si="510"/>
        <v>0</v>
      </c>
      <c r="MA24" s="108">
        <f t="shared" si="510"/>
        <v>0</v>
      </c>
      <c r="MB24" s="108">
        <f t="shared" si="510"/>
        <v>0</v>
      </c>
      <c r="MC24" s="108">
        <f t="shared" si="510"/>
        <v>0</v>
      </c>
      <c r="MD24" s="108">
        <f t="shared" si="510"/>
        <v>0</v>
      </c>
      <c r="ME24" s="108">
        <f t="shared" si="510"/>
        <v>0</v>
      </c>
      <c r="MF24" s="108">
        <f t="shared" si="510"/>
        <v>0</v>
      </c>
      <c r="MG24" s="108">
        <f t="shared" si="510"/>
        <v>0</v>
      </c>
      <c r="MH24" s="108">
        <f t="shared" si="510"/>
        <v>0</v>
      </c>
      <c r="MI24" s="108">
        <f t="shared" si="510"/>
        <v>0</v>
      </c>
      <c r="MJ24" s="108">
        <f t="shared" si="510"/>
        <v>0</v>
      </c>
      <c r="MK24" s="108">
        <f t="shared" si="510"/>
        <v>0</v>
      </c>
      <c r="ML24" s="108">
        <f t="shared" si="510"/>
        <v>0</v>
      </c>
      <c r="MM24" s="108">
        <f t="shared" si="510"/>
        <v>0</v>
      </c>
      <c r="MN24" s="108">
        <f t="shared" si="510"/>
        <v>0</v>
      </c>
      <c r="MO24" s="699">
        <f t="shared" si="510"/>
        <v>0.25017000114699567</v>
      </c>
      <c r="MP24" s="699">
        <f t="shared" si="510"/>
        <v>0</v>
      </c>
      <c r="MQ24" s="699">
        <f t="shared" si="510"/>
        <v>0</v>
      </c>
      <c r="MR24" s="699">
        <f t="shared" si="510"/>
        <v>0</v>
      </c>
      <c r="MS24" s="699">
        <f t="shared" si="510"/>
        <v>0</v>
      </c>
      <c r="MT24" s="699">
        <f t="shared" si="510"/>
        <v>0</v>
      </c>
      <c r="MU24" s="699">
        <f t="shared" si="510"/>
        <v>0</v>
      </c>
      <c r="MV24" s="699">
        <f t="shared" si="510"/>
        <v>0</v>
      </c>
      <c r="MW24" s="699">
        <f t="shared" si="510"/>
        <v>0</v>
      </c>
      <c r="MX24" s="699">
        <f t="shared" si="510"/>
        <v>0</v>
      </c>
      <c r="MY24" s="699">
        <f t="shared" si="510"/>
        <v>0</v>
      </c>
      <c r="MZ24" s="699">
        <f t="shared" si="510"/>
        <v>0</v>
      </c>
      <c r="NA24" s="699">
        <f t="shared" si="510"/>
        <v>0</v>
      </c>
      <c r="NB24" s="699">
        <f t="shared" si="510"/>
        <v>0</v>
      </c>
      <c r="NC24" s="699">
        <f t="shared" si="510"/>
        <v>0</v>
      </c>
      <c r="ND24" s="699">
        <f t="shared" si="510"/>
        <v>0</v>
      </c>
      <c r="NE24" s="699">
        <f t="shared" ref="NE24:OJ24" si="511">MIN(NE21,NE7)</f>
        <v>0</v>
      </c>
      <c r="NF24" s="699">
        <f t="shared" si="511"/>
        <v>0</v>
      </c>
      <c r="NG24" s="699">
        <f t="shared" si="511"/>
        <v>0</v>
      </c>
      <c r="NH24" s="699">
        <f t="shared" si="511"/>
        <v>0</v>
      </c>
      <c r="NI24" s="699">
        <f t="shared" si="511"/>
        <v>1.7343659244917715</v>
      </c>
      <c r="NJ24" s="699">
        <f t="shared" si="511"/>
        <v>0</v>
      </c>
      <c r="NK24" s="699">
        <f t="shared" si="511"/>
        <v>0</v>
      </c>
      <c r="NL24" s="699">
        <f t="shared" si="511"/>
        <v>0</v>
      </c>
      <c r="NM24" s="699">
        <f t="shared" si="511"/>
        <v>0</v>
      </c>
      <c r="NN24" s="699">
        <f t="shared" si="511"/>
        <v>0</v>
      </c>
      <c r="NO24" s="699">
        <f t="shared" si="511"/>
        <v>0</v>
      </c>
      <c r="NP24" s="699">
        <f t="shared" si="511"/>
        <v>0</v>
      </c>
      <c r="NQ24" s="699">
        <f t="shared" si="511"/>
        <v>0</v>
      </c>
      <c r="NR24" s="699">
        <f t="shared" si="511"/>
        <v>0</v>
      </c>
      <c r="NS24" s="699">
        <f t="shared" si="511"/>
        <v>0</v>
      </c>
      <c r="NT24" s="699">
        <f t="shared" si="511"/>
        <v>0</v>
      </c>
      <c r="NU24" s="699">
        <f t="shared" si="511"/>
        <v>0</v>
      </c>
      <c r="NV24" s="699">
        <f t="shared" si="511"/>
        <v>0</v>
      </c>
      <c r="NW24" s="699">
        <f t="shared" si="511"/>
        <v>0</v>
      </c>
      <c r="NX24" s="699">
        <f t="shared" si="511"/>
        <v>0</v>
      </c>
      <c r="NY24" s="699">
        <f t="shared" si="511"/>
        <v>0</v>
      </c>
      <c r="NZ24" s="699">
        <f t="shared" si="511"/>
        <v>0</v>
      </c>
      <c r="OA24" s="699">
        <f t="shared" si="511"/>
        <v>0</v>
      </c>
      <c r="OB24" s="699">
        <f t="shared" si="511"/>
        <v>0</v>
      </c>
      <c r="OC24" s="699">
        <f t="shared" si="511"/>
        <v>5.4327282670762991E-2</v>
      </c>
      <c r="OD24" s="700">
        <f t="shared" si="511"/>
        <v>0</v>
      </c>
      <c r="OE24" s="700">
        <f t="shared" si="511"/>
        <v>0</v>
      </c>
      <c r="OF24" s="700">
        <f t="shared" si="511"/>
        <v>0</v>
      </c>
      <c r="OG24" s="700">
        <f t="shared" si="511"/>
        <v>0</v>
      </c>
      <c r="OH24" s="700">
        <f t="shared" si="511"/>
        <v>0</v>
      </c>
      <c r="OI24" s="700">
        <f t="shared" si="511"/>
        <v>0</v>
      </c>
      <c r="OJ24" s="700">
        <f t="shared" si="511"/>
        <v>0</v>
      </c>
      <c r="OK24" s="700">
        <f t="shared" ref="OK24:PP24" si="512">MIN(OK21,OK7)</f>
        <v>0</v>
      </c>
      <c r="OL24" s="700">
        <f t="shared" si="512"/>
        <v>0</v>
      </c>
      <c r="OM24" s="700">
        <f t="shared" si="512"/>
        <v>0</v>
      </c>
      <c r="ON24" s="700">
        <f t="shared" si="512"/>
        <v>0</v>
      </c>
      <c r="OO24" s="700">
        <f t="shared" si="512"/>
        <v>0</v>
      </c>
      <c r="OP24" s="700">
        <f t="shared" si="512"/>
        <v>0</v>
      </c>
      <c r="OQ24" s="700">
        <f t="shared" si="512"/>
        <v>0</v>
      </c>
      <c r="OR24" s="700">
        <f t="shared" si="512"/>
        <v>0</v>
      </c>
      <c r="OS24" s="700">
        <f t="shared" si="512"/>
        <v>0</v>
      </c>
      <c r="OT24" s="700">
        <f t="shared" si="512"/>
        <v>0</v>
      </c>
      <c r="OU24" s="700">
        <f t="shared" si="512"/>
        <v>0</v>
      </c>
      <c r="OV24" s="701">
        <f t="shared" si="512"/>
        <v>0</v>
      </c>
      <c r="OW24" s="699">
        <f t="shared" si="512"/>
        <v>8.514741658578398E-2</v>
      </c>
      <c r="OX24" s="700">
        <f t="shared" si="512"/>
        <v>0</v>
      </c>
      <c r="OY24" s="700">
        <f t="shared" si="512"/>
        <v>0</v>
      </c>
      <c r="OZ24" s="700">
        <f t="shared" si="512"/>
        <v>0</v>
      </c>
      <c r="PA24" s="700">
        <f t="shared" si="512"/>
        <v>0</v>
      </c>
      <c r="PB24" s="700">
        <f t="shared" si="512"/>
        <v>0</v>
      </c>
      <c r="PC24" s="700">
        <f t="shared" si="512"/>
        <v>0</v>
      </c>
      <c r="PD24" s="700">
        <f t="shared" si="512"/>
        <v>0</v>
      </c>
      <c r="PE24" s="700">
        <f t="shared" si="512"/>
        <v>0</v>
      </c>
      <c r="PF24" s="700">
        <f t="shared" si="512"/>
        <v>0</v>
      </c>
      <c r="PG24" s="700">
        <f t="shared" si="512"/>
        <v>0</v>
      </c>
      <c r="PH24" s="700">
        <f t="shared" si="512"/>
        <v>0</v>
      </c>
      <c r="PI24" s="700">
        <f t="shared" si="512"/>
        <v>0</v>
      </c>
      <c r="PJ24" s="700">
        <f t="shared" si="512"/>
        <v>0</v>
      </c>
      <c r="PK24" s="700">
        <f t="shared" si="512"/>
        <v>0</v>
      </c>
      <c r="PL24" s="700">
        <f t="shared" si="512"/>
        <v>0</v>
      </c>
      <c r="PM24" s="700">
        <f t="shared" si="512"/>
        <v>0</v>
      </c>
      <c r="PN24" s="700">
        <f t="shared" si="512"/>
        <v>0</v>
      </c>
      <c r="PO24" s="700">
        <f t="shared" si="512"/>
        <v>0</v>
      </c>
      <c r="PP24" s="701">
        <f t="shared" si="512"/>
        <v>0</v>
      </c>
      <c r="PQ24" s="108">
        <f t="shared" ref="PQ24:QJ24" si="513">MAX(PQ20,PQ7)</f>
        <v>3.4744624383902942</v>
      </c>
      <c r="PR24" s="109">
        <f t="shared" si="513"/>
        <v>0</v>
      </c>
      <c r="PS24" s="109">
        <f t="shared" si="513"/>
        <v>0</v>
      </c>
      <c r="PT24" s="109">
        <f t="shared" si="513"/>
        <v>0</v>
      </c>
      <c r="PU24" s="109">
        <f t="shared" si="513"/>
        <v>0</v>
      </c>
      <c r="PV24" s="109">
        <f t="shared" si="513"/>
        <v>0</v>
      </c>
      <c r="PW24" s="109">
        <f t="shared" si="513"/>
        <v>0</v>
      </c>
      <c r="PX24" s="109">
        <f t="shared" si="513"/>
        <v>0</v>
      </c>
      <c r="PY24" s="109">
        <f t="shared" si="513"/>
        <v>0</v>
      </c>
      <c r="PZ24" s="109">
        <f t="shared" si="513"/>
        <v>0</v>
      </c>
      <c r="QA24" s="109">
        <f t="shared" si="513"/>
        <v>0</v>
      </c>
      <c r="QB24" s="109">
        <f t="shared" si="513"/>
        <v>0</v>
      </c>
      <c r="QC24" s="109">
        <f t="shared" si="513"/>
        <v>0</v>
      </c>
      <c r="QD24" s="109">
        <f t="shared" si="513"/>
        <v>0</v>
      </c>
      <c r="QE24" s="109">
        <f t="shared" si="513"/>
        <v>0</v>
      </c>
      <c r="QF24" s="109">
        <f t="shared" si="513"/>
        <v>0</v>
      </c>
      <c r="QG24" s="109">
        <f t="shared" si="513"/>
        <v>0</v>
      </c>
      <c r="QH24" s="109">
        <f t="shared" si="513"/>
        <v>0</v>
      </c>
      <c r="QI24" s="109">
        <f t="shared" si="513"/>
        <v>0</v>
      </c>
      <c r="QJ24" s="110">
        <f t="shared" si="513"/>
        <v>0</v>
      </c>
      <c r="QK24" s="699">
        <f t="shared" ref="QK24:RP24" si="514">MIN(QK21,QK7)</f>
        <v>2.4161630758059986E-2</v>
      </c>
      <c r="QL24" s="700">
        <f t="shared" si="514"/>
        <v>0</v>
      </c>
      <c r="QM24" s="700">
        <f t="shared" si="514"/>
        <v>0</v>
      </c>
      <c r="QN24" s="700">
        <f t="shared" si="514"/>
        <v>0</v>
      </c>
      <c r="QO24" s="700">
        <f t="shared" si="514"/>
        <v>0</v>
      </c>
      <c r="QP24" s="700">
        <f t="shared" si="514"/>
        <v>0</v>
      </c>
      <c r="QQ24" s="700">
        <f t="shared" si="514"/>
        <v>0</v>
      </c>
      <c r="QR24" s="700">
        <f t="shared" si="514"/>
        <v>0</v>
      </c>
      <c r="QS24" s="700">
        <f t="shared" si="514"/>
        <v>0</v>
      </c>
      <c r="QT24" s="700">
        <f t="shared" si="514"/>
        <v>0</v>
      </c>
      <c r="QU24" s="700">
        <f t="shared" si="514"/>
        <v>0</v>
      </c>
      <c r="QV24" s="700">
        <f t="shared" si="514"/>
        <v>0</v>
      </c>
      <c r="QW24" s="700">
        <f t="shared" si="514"/>
        <v>0</v>
      </c>
      <c r="QX24" s="700">
        <f t="shared" si="514"/>
        <v>0</v>
      </c>
      <c r="QY24" s="700">
        <f t="shared" si="514"/>
        <v>0</v>
      </c>
      <c r="QZ24" s="700">
        <f t="shared" si="514"/>
        <v>0</v>
      </c>
      <c r="RA24" s="700">
        <f t="shared" si="514"/>
        <v>0</v>
      </c>
      <c r="RB24" s="700">
        <f t="shared" si="514"/>
        <v>0</v>
      </c>
      <c r="RC24" s="700">
        <f t="shared" si="514"/>
        <v>0</v>
      </c>
      <c r="RD24" s="701">
        <f t="shared" si="514"/>
        <v>0</v>
      </c>
      <c r="RE24" s="699">
        <f t="shared" si="514"/>
        <v>0.15059468738504755</v>
      </c>
      <c r="RF24" s="700">
        <f t="shared" si="514"/>
        <v>0</v>
      </c>
      <c r="RG24" s="700">
        <f t="shared" si="514"/>
        <v>0</v>
      </c>
      <c r="RH24" s="700">
        <f t="shared" si="514"/>
        <v>0</v>
      </c>
      <c r="RI24" s="700">
        <f t="shared" si="514"/>
        <v>0</v>
      </c>
      <c r="RJ24" s="700">
        <f t="shared" si="514"/>
        <v>0</v>
      </c>
      <c r="RK24" s="700">
        <f t="shared" si="514"/>
        <v>0</v>
      </c>
      <c r="RL24" s="700">
        <f t="shared" si="514"/>
        <v>0</v>
      </c>
      <c r="RM24" s="700">
        <f t="shared" si="514"/>
        <v>0</v>
      </c>
      <c r="RN24" s="700">
        <f t="shared" si="514"/>
        <v>0</v>
      </c>
      <c r="RO24" s="700">
        <f t="shared" si="514"/>
        <v>0</v>
      </c>
      <c r="RP24" s="700">
        <f t="shared" si="514"/>
        <v>0</v>
      </c>
      <c r="RQ24" s="700">
        <f t="shared" ref="RQ24:SR24" si="515">MIN(RQ21,RQ7)</f>
        <v>0</v>
      </c>
      <c r="RR24" s="700">
        <f t="shared" si="515"/>
        <v>0</v>
      </c>
      <c r="RS24" s="700">
        <f t="shared" si="515"/>
        <v>0</v>
      </c>
      <c r="RT24" s="700">
        <f t="shared" si="515"/>
        <v>0</v>
      </c>
      <c r="RU24" s="700">
        <f t="shared" si="515"/>
        <v>0</v>
      </c>
      <c r="RV24" s="700">
        <f t="shared" si="515"/>
        <v>0</v>
      </c>
      <c r="RW24" s="700">
        <f t="shared" si="515"/>
        <v>0</v>
      </c>
      <c r="RX24" s="701">
        <f t="shared" si="515"/>
        <v>0</v>
      </c>
      <c r="RY24" s="699">
        <f t="shared" si="515"/>
        <v>0.27141753397264007</v>
      </c>
      <c r="RZ24" s="700">
        <f t="shared" si="515"/>
        <v>0</v>
      </c>
      <c r="SA24" s="700">
        <f t="shared" si="515"/>
        <v>0</v>
      </c>
      <c r="SB24" s="700">
        <f t="shared" si="515"/>
        <v>0</v>
      </c>
      <c r="SC24" s="700">
        <f t="shared" si="515"/>
        <v>0</v>
      </c>
      <c r="SD24" s="700">
        <f t="shared" si="515"/>
        <v>0</v>
      </c>
      <c r="SE24" s="700">
        <f t="shared" si="515"/>
        <v>0</v>
      </c>
      <c r="SF24" s="700">
        <f t="shared" si="515"/>
        <v>0</v>
      </c>
      <c r="SG24" s="700">
        <f t="shared" si="515"/>
        <v>0</v>
      </c>
      <c r="SH24" s="700">
        <f t="shared" si="515"/>
        <v>0</v>
      </c>
      <c r="SI24" s="700">
        <f t="shared" si="515"/>
        <v>0</v>
      </c>
      <c r="SJ24" s="700">
        <f t="shared" si="515"/>
        <v>0</v>
      </c>
      <c r="SK24" s="700">
        <f t="shared" si="515"/>
        <v>0</v>
      </c>
      <c r="SL24" s="700">
        <f t="shared" si="515"/>
        <v>0</v>
      </c>
      <c r="SM24" s="700">
        <f t="shared" si="515"/>
        <v>0</v>
      </c>
      <c r="SN24" s="700">
        <f t="shared" si="515"/>
        <v>0</v>
      </c>
      <c r="SO24" s="700">
        <f t="shared" si="515"/>
        <v>0</v>
      </c>
      <c r="SP24" s="700">
        <f t="shared" si="515"/>
        <v>0</v>
      </c>
      <c r="SQ24" s="700">
        <f t="shared" si="515"/>
        <v>0</v>
      </c>
      <c r="SR24" s="701">
        <f t="shared" si="515"/>
        <v>0</v>
      </c>
      <c r="SS24" s="699">
        <f>SS20</f>
        <v>0.24626221966647499</v>
      </c>
      <c r="ST24" s="700">
        <f t="shared" ref="ST24:TL24" si="516">ST20</f>
        <v>0</v>
      </c>
      <c r="SU24" s="700">
        <f t="shared" si="516"/>
        <v>0</v>
      </c>
      <c r="SV24" s="700">
        <f t="shared" si="516"/>
        <v>0</v>
      </c>
      <c r="SW24" s="700">
        <f t="shared" si="516"/>
        <v>0</v>
      </c>
      <c r="SX24" s="700">
        <f t="shared" si="516"/>
        <v>0</v>
      </c>
      <c r="SY24" s="700">
        <f t="shared" si="516"/>
        <v>0</v>
      </c>
      <c r="SZ24" s="700">
        <f t="shared" si="516"/>
        <v>0</v>
      </c>
      <c r="TA24" s="700">
        <f t="shared" si="516"/>
        <v>0</v>
      </c>
      <c r="TB24" s="700">
        <f t="shared" si="516"/>
        <v>0</v>
      </c>
      <c r="TC24" s="700">
        <f t="shared" si="516"/>
        <v>0</v>
      </c>
      <c r="TD24" s="700">
        <f t="shared" si="516"/>
        <v>0</v>
      </c>
      <c r="TE24" s="700">
        <f t="shared" si="516"/>
        <v>0</v>
      </c>
      <c r="TF24" s="700">
        <f t="shared" si="516"/>
        <v>0</v>
      </c>
      <c r="TG24" s="700">
        <f t="shared" si="516"/>
        <v>0</v>
      </c>
      <c r="TH24" s="700">
        <f t="shared" si="516"/>
        <v>0</v>
      </c>
      <c r="TI24" s="700">
        <f t="shared" si="516"/>
        <v>0</v>
      </c>
      <c r="TJ24" s="700">
        <f t="shared" si="516"/>
        <v>0</v>
      </c>
      <c r="TK24" s="700">
        <f t="shared" si="516"/>
        <v>0</v>
      </c>
      <c r="TL24" s="701">
        <f t="shared" si="516"/>
        <v>0</v>
      </c>
      <c r="TM24" s="111">
        <f t="shared" ref="TM24:UF24" si="517">MIN(TM21,TM7)</f>
        <v>249023.47826086957</v>
      </c>
      <c r="TN24" s="112">
        <f t="shared" si="517"/>
        <v>0</v>
      </c>
      <c r="TO24" s="112">
        <f t="shared" si="517"/>
        <v>0</v>
      </c>
      <c r="TP24" s="112">
        <f t="shared" si="517"/>
        <v>0</v>
      </c>
      <c r="TQ24" s="112">
        <f t="shared" si="517"/>
        <v>0</v>
      </c>
      <c r="TR24" s="112">
        <f t="shared" si="517"/>
        <v>0</v>
      </c>
      <c r="TS24" s="112">
        <f t="shared" si="517"/>
        <v>0</v>
      </c>
      <c r="TT24" s="112">
        <f t="shared" si="517"/>
        <v>0</v>
      </c>
      <c r="TU24" s="112">
        <f t="shared" si="517"/>
        <v>0</v>
      </c>
      <c r="TV24" s="112">
        <f t="shared" si="517"/>
        <v>0</v>
      </c>
      <c r="TW24" s="112">
        <f t="shared" si="517"/>
        <v>0</v>
      </c>
      <c r="TX24" s="112">
        <f t="shared" si="517"/>
        <v>0</v>
      </c>
      <c r="TY24" s="112">
        <f t="shared" si="517"/>
        <v>0</v>
      </c>
      <c r="TZ24" s="112">
        <f t="shared" si="517"/>
        <v>0</v>
      </c>
      <c r="UA24" s="112">
        <f t="shared" si="517"/>
        <v>0</v>
      </c>
      <c r="UB24" s="112">
        <f t="shared" si="517"/>
        <v>0</v>
      </c>
      <c r="UC24" s="112">
        <f t="shared" si="517"/>
        <v>0</v>
      </c>
      <c r="UD24" s="112">
        <f t="shared" si="517"/>
        <v>0</v>
      </c>
      <c r="UE24" s="112">
        <f t="shared" si="517"/>
        <v>0</v>
      </c>
      <c r="UF24" s="113">
        <f t="shared" si="517"/>
        <v>0</v>
      </c>
      <c r="UG24" s="111">
        <f>UG20</f>
        <v>63548.611111111109</v>
      </c>
      <c r="UH24" s="112">
        <f t="shared" ref="UH24:UZ24" si="518">UH20</f>
        <v>0</v>
      </c>
      <c r="UI24" s="112">
        <f t="shared" si="518"/>
        <v>0</v>
      </c>
      <c r="UJ24" s="112">
        <f t="shared" si="518"/>
        <v>0</v>
      </c>
      <c r="UK24" s="112">
        <f t="shared" si="518"/>
        <v>0</v>
      </c>
      <c r="UL24" s="112">
        <f t="shared" si="518"/>
        <v>0</v>
      </c>
      <c r="UM24" s="112">
        <f t="shared" si="518"/>
        <v>0</v>
      </c>
      <c r="UN24" s="112">
        <f t="shared" si="518"/>
        <v>0</v>
      </c>
      <c r="UO24" s="112">
        <f t="shared" si="518"/>
        <v>0</v>
      </c>
      <c r="UP24" s="112">
        <f t="shared" si="518"/>
        <v>0</v>
      </c>
      <c r="UQ24" s="112">
        <f t="shared" si="518"/>
        <v>0</v>
      </c>
      <c r="UR24" s="112">
        <f t="shared" si="518"/>
        <v>0</v>
      </c>
      <c r="US24" s="112">
        <f t="shared" si="518"/>
        <v>0</v>
      </c>
      <c r="UT24" s="112">
        <f t="shared" si="518"/>
        <v>0</v>
      </c>
      <c r="UU24" s="112">
        <f t="shared" si="518"/>
        <v>0</v>
      </c>
      <c r="UV24" s="112">
        <f t="shared" si="518"/>
        <v>0</v>
      </c>
      <c r="UW24" s="112">
        <f t="shared" si="518"/>
        <v>0</v>
      </c>
      <c r="UX24" s="112">
        <f t="shared" si="518"/>
        <v>0</v>
      </c>
      <c r="UY24" s="112">
        <f t="shared" si="518"/>
        <v>0</v>
      </c>
      <c r="UZ24" s="113">
        <f t="shared" si="518"/>
        <v>0</v>
      </c>
      <c r="VA24" s="111">
        <f>VA20</f>
        <v>63284.722222222219</v>
      </c>
      <c r="VB24" s="112">
        <f t="shared" ref="VB24:VT24" si="519">VB20</f>
        <v>0</v>
      </c>
      <c r="VC24" s="112">
        <f t="shared" si="519"/>
        <v>0</v>
      </c>
      <c r="VD24" s="112">
        <f t="shared" si="519"/>
        <v>0</v>
      </c>
      <c r="VE24" s="112">
        <f t="shared" si="519"/>
        <v>0</v>
      </c>
      <c r="VF24" s="112">
        <f t="shared" si="519"/>
        <v>0</v>
      </c>
      <c r="VG24" s="112">
        <f t="shared" si="519"/>
        <v>0</v>
      </c>
      <c r="VH24" s="112">
        <f t="shared" si="519"/>
        <v>0</v>
      </c>
      <c r="VI24" s="112">
        <f t="shared" si="519"/>
        <v>0</v>
      </c>
      <c r="VJ24" s="112">
        <f t="shared" si="519"/>
        <v>0</v>
      </c>
      <c r="VK24" s="112">
        <f t="shared" si="519"/>
        <v>0</v>
      </c>
      <c r="VL24" s="112">
        <f t="shared" si="519"/>
        <v>0</v>
      </c>
      <c r="VM24" s="112">
        <f t="shared" si="519"/>
        <v>0</v>
      </c>
      <c r="VN24" s="112">
        <f t="shared" si="519"/>
        <v>0</v>
      </c>
      <c r="VO24" s="112">
        <f t="shared" si="519"/>
        <v>0</v>
      </c>
      <c r="VP24" s="112">
        <f t="shared" si="519"/>
        <v>0</v>
      </c>
      <c r="VQ24" s="112">
        <f t="shared" si="519"/>
        <v>0</v>
      </c>
      <c r="VR24" s="112">
        <f t="shared" si="519"/>
        <v>0</v>
      </c>
      <c r="VS24" s="112">
        <f t="shared" si="519"/>
        <v>0</v>
      </c>
      <c r="VT24" s="113">
        <f t="shared" si="519"/>
        <v>0</v>
      </c>
      <c r="VU24" s="111">
        <f>VU20</f>
        <v>0</v>
      </c>
      <c r="VV24" s="112">
        <f t="shared" ref="VV24:WN24" si="520">VV20</f>
        <v>0</v>
      </c>
      <c r="VW24" s="112">
        <f t="shared" si="520"/>
        <v>0</v>
      </c>
      <c r="VX24" s="112">
        <f t="shared" si="520"/>
        <v>0</v>
      </c>
      <c r="VY24" s="112">
        <f t="shared" si="520"/>
        <v>0</v>
      </c>
      <c r="VZ24" s="112">
        <f t="shared" si="520"/>
        <v>0</v>
      </c>
      <c r="WA24" s="112">
        <f t="shared" si="520"/>
        <v>0</v>
      </c>
      <c r="WB24" s="112">
        <f t="shared" si="520"/>
        <v>0</v>
      </c>
      <c r="WC24" s="112">
        <f t="shared" si="520"/>
        <v>0</v>
      </c>
      <c r="WD24" s="112">
        <f t="shared" si="520"/>
        <v>0</v>
      </c>
      <c r="WE24" s="112">
        <f t="shared" si="520"/>
        <v>0</v>
      </c>
      <c r="WF24" s="112">
        <f t="shared" si="520"/>
        <v>0</v>
      </c>
      <c r="WG24" s="112">
        <f t="shared" si="520"/>
        <v>0</v>
      </c>
      <c r="WH24" s="112">
        <f t="shared" si="520"/>
        <v>0</v>
      </c>
      <c r="WI24" s="112">
        <f t="shared" si="520"/>
        <v>0</v>
      </c>
      <c r="WJ24" s="112">
        <f t="shared" si="520"/>
        <v>0</v>
      </c>
      <c r="WK24" s="112">
        <f t="shared" si="520"/>
        <v>0</v>
      </c>
      <c r="WL24" s="112">
        <f t="shared" si="520"/>
        <v>0</v>
      </c>
      <c r="WM24" s="112">
        <f t="shared" si="520"/>
        <v>0</v>
      </c>
      <c r="WN24" s="113">
        <f t="shared" si="520"/>
        <v>0</v>
      </c>
      <c r="WO24" s="111">
        <f t="shared" ref="WO24:XH24" si="521">MIN(WO21,WO7)</f>
        <v>144.69</v>
      </c>
      <c r="WP24" s="112">
        <f t="shared" si="521"/>
        <v>0</v>
      </c>
      <c r="WQ24" s="112">
        <f t="shared" si="521"/>
        <v>0</v>
      </c>
      <c r="WR24" s="112">
        <f t="shared" si="521"/>
        <v>0</v>
      </c>
      <c r="WS24" s="112">
        <f t="shared" si="521"/>
        <v>0</v>
      </c>
      <c r="WT24" s="112">
        <f t="shared" si="521"/>
        <v>0</v>
      </c>
      <c r="WU24" s="112">
        <f t="shared" si="521"/>
        <v>0</v>
      </c>
      <c r="WV24" s="112">
        <f t="shared" si="521"/>
        <v>0</v>
      </c>
      <c r="WW24" s="112">
        <f t="shared" si="521"/>
        <v>0</v>
      </c>
      <c r="WX24" s="112">
        <f t="shared" si="521"/>
        <v>0</v>
      </c>
      <c r="WY24" s="112">
        <f t="shared" si="521"/>
        <v>0</v>
      </c>
      <c r="WZ24" s="112">
        <f t="shared" si="521"/>
        <v>0</v>
      </c>
      <c r="XA24" s="112">
        <f t="shared" si="521"/>
        <v>0</v>
      </c>
      <c r="XB24" s="112">
        <f t="shared" si="521"/>
        <v>0</v>
      </c>
      <c r="XC24" s="112">
        <f t="shared" si="521"/>
        <v>0</v>
      </c>
      <c r="XD24" s="112">
        <f t="shared" si="521"/>
        <v>0</v>
      </c>
      <c r="XE24" s="112">
        <f t="shared" si="521"/>
        <v>0</v>
      </c>
      <c r="XF24" s="112">
        <f t="shared" si="521"/>
        <v>0</v>
      </c>
      <c r="XG24" s="112">
        <f t="shared" si="521"/>
        <v>0</v>
      </c>
      <c r="XH24" s="113">
        <f t="shared" si="521"/>
        <v>0</v>
      </c>
      <c r="XI24" s="699">
        <f t="shared" ref="XI24:YV24" si="522">MIN(XI21,XI7)</f>
        <v>2.4327000000000001E-2</v>
      </c>
      <c r="XJ24" s="700">
        <f t="shared" si="522"/>
        <v>0</v>
      </c>
      <c r="XK24" s="700">
        <f t="shared" si="522"/>
        <v>0</v>
      </c>
      <c r="XL24" s="700">
        <f t="shared" si="522"/>
        <v>0</v>
      </c>
      <c r="XM24" s="700">
        <f t="shared" si="522"/>
        <v>0</v>
      </c>
      <c r="XN24" s="700">
        <f t="shared" si="522"/>
        <v>0</v>
      </c>
      <c r="XO24" s="700">
        <f t="shared" si="522"/>
        <v>0</v>
      </c>
      <c r="XP24" s="700">
        <f t="shared" si="522"/>
        <v>0</v>
      </c>
      <c r="XQ24" s="700">
        <f t="shared" si="522"/>
        <v>0</v>
      </c>
      <c r="XR24" s="700">
        <f t="shared" si="522"/>
        <v>0</v>
      </c>
      <c r="XS24" s="700">
        <f t="shared" si="522"/>
        <v>0</v>
      </c>
      <c r="XT24" s="700">
        <f t="shared" si="522"/>
        <v>0</v>
      </c>
      <c r="XU24" s="700">
        <f t="shared" si="522"/>
        <v>0</v>
      </c>
      <c r="XV24" s="700">
        <f t="shared" si="522"/>
        <v>0</v>
      </c>
      <c r="XW24" s="700">
        <f t="shared" si="522"/>
        <v>0</v>
      </c>
      <c r="XX24" s="700">
        <f t="shared" si="522"/>
        <v>0</v>
      </c>
      <c r="XY24" s="700">
        <f t="shared" si="522"/>
        <v>0</v>
      </c>
      <c r="XZ24" s="700">
        <f t="shared" si="522"/>
        <v>0</v>
      </c>
      <c r="YA24" s="700">
        <f t="shared" si="522"/>
        <v>0</v>
      </c>
      <c r="YB24" s="701">
        <f t="shared" si="522"/>
        <v>0</v>
      </c>
      <c r="YC24" s="111">
        <f t="shared" si="522"/>
        <v>248912.62229999999</v>
      </c>
      <c r="YD24" s="112">
        <f t="shared" si="522"/>
        <v>0</v>
      </c>
      <c r="YE24" s="112">
        <f t="shared" si="522"/>
        <v>0</v>
      </c>
      <c r="YF24" s="112">
        <f t="shared" si="522"/>
        <v>0</v>
      </c>
      <c r="YG24" s="112">
        <f t="shared" si="522"/>
        <v>0</v>
      </c>
      <c r="YH24" s="112">
        <f t="shared" si="522"/>
        <v>0</v>
      </c>
      <c r="YI24" s="112">
        <f t="shared" si="522"/>
        <v>0</v>
      </c>
      <c r="YJ24" s="112">
        <f t="shared" si="522"/>
        <v>0</v>
      </c>
      <c r="YK24" s="112">
        <f t="shared" si="522"/>
        <v>0</v>
      </c>
      <c r="YL24" s="112">
        <f t="shared" si="522"/>
        <v>0</v>
      </c>
      <c r="YM24" s="112">
        <f t="shared" si="522"/>
        <v>0</v>
      </c>
      <c r="YN24" s="112">
        <f t="shared" si="522"/>
        <v>0</v>
      </c>
      <c r="YO24" s="112">
        <f t="shared" si="522"/>
        <v>0</v>
      </c>
      <c r="YP24" s="112">
        <f t="shared" si="522"/>
        <v>0</v>
      </c>
      <c r="YQ24" s="112">
        <f t="shared" si="522"/>
        <v>0</v>
      </c>
      <c r="YR24" s="112">
        <f t="shared" si="522"/>
        <v>0</v>
      </c>
      <c r="YS24" s="112">
        <f t="shared" si="522"/>
        <v>0</v>
      </c>
      <c r="YT24" s="112">
        <f t="shared" si="522"/>
        <v>0</v>
      </c>
      <c r="YU24" s="112">
        <f t="shared" si="522"/>
        <v>0</v>
      </c>
      <c r="YV24" s="113">
        <f t="shared" si="522"/>
        <v>0</v>
      </c>
      <c r="YW24" s="699">
        <f t="shared" ref="YW24:ZP24" si="523">MIN(YW21,YW7)</f>
        <v>2.2350097814776305E-2</v>
      </c>
      <c r="YX24" s="700">
        <f t="shared" si="523"/>
        <v>0</v>
      </c>
      <c r="YY24" s="700">
        <f t="shared" si="523"/>
        <v>0</v>
      </c>
      <c r="YZ24" s="700">
        <f t="shared" si="523"/>
        <v>0</v>
      </c>
      <c r="ZA24" s="700">
        <f t="shared" si="523"/>
        <v>0</v>
      </c>
      <c r="ZB24" s="700">
        <f t="shared" si="523"/>
        <v>0</v>
      </c>
      <c r="ZC24" s="700">
        <f t="shared" si="523"/>
        <v>0</v>
      </c>
      <c r="ZD24" s="700">
        <f t="shared" si="523"/>
        <v>0</v>
      </c>
      <c r="ZE24" s="700">
        <f t="shared" si="523"/>
        <v>0</v>
      </c>
      <c r="ZF24" s="700">
        <f t="shared" si="523"/>
        <v>0</v>
      </c>
      <c r="ZG24" s="700">
        <f t="shared" si="523"/>
        <v>0</v>
      </c>
      <c r="ZH24" s="700">
        <f t="shared" si="523"/>
        <v>0</v>
      </c>
      <c r="ZI24" s="700">
        <f t="shared" si="523"/>
        <v>0</v>
      </c>
      <c r="ZJ24" s="700">
        <f t="shared" si="523"/>
        <v>0</v>
      </c>
      <c r="ZK24" s="700">
        <f t="shared" si="523"/>
        <v>0</v>
      </c>
      <c r="ZL24" s="700">
        <f t="shared" si="523"/>
        <v>0</v>
      </c>
      <c r="ZM24" s="700">
        <f t="shared" si="523"/>
        <v>0</v>
      </c>
      <c r="ZN24" s="700">
        <f t="shared" si="523"/>
        <v>0</v>
      </c>
      <c r="ZO24" s="700">
        <f t="shared" si="523"/>
        <v>0</v>
      </c>
      <c r="ZP24" s="701">
        <f t="shared" si="523"/>
        <v>0</v>
      </c>
      <c r="ZQ24" s="699">
        <f t="shared" ref="ZQ24:ABD24" si="524">MIN(ZQ21,ZQ7)</f>
        <v>8.9624519039405603E-2</v>
      </c>
      <c r="ZR24" s="700">
        <f t="shared" si="524"/>
        <v>0</v>
      </c>
      <c r="ZS24" s="700">
        <f t="shared" si="524"/>
        <v>0</v>
      </c>
      <c r="ZT24" s="700">
        <f t="shared" si="524"/>
        <v>0</v>
      </c>
      <c r="ZU24" s="700">
        <f t="shared" si="524"/>
        <v>0</v>
      </c>
      <c r="ZV24" s="700">
        <f t="shared" si="524"/>
        <v>0</v>
      </c>
      <c r="ZW24" s="700">
        <f t="shared" si="524"/>
        <v>0</v>
      </c>
      <c r="ZX24" s="700">
        <f t="shared" si="524"/>
        <v>0</v>
      </c>
      <c r="ZY24" s="700">
        <f t="shared" si="524"/>
        <v>0</v>
      </c>
      <c r="ZZ24" s="700">
        <f t="shared" si="524"/>
        <v>0</v>
      </c>
      <c r="AAA24" s="700">
        <f t="shared" si="524"/>
        <v>0</v>
      </c>
      <c r="AAB24" s="700">
        <f t="shared" si="524"/>
        <v>0</v>
      </c>
      <c r="AAC24" s="700">
        <f t="shared" si="524"/>
        <v>0</v>
      </c>
      <c r="AAD24" s="700">
        <f t="shared" si="524"/>
        <v>0</v>
      </c>
      <c r="AAE24" s="700">
        <f t="shared" si="524"/>
        <v>0</v>
      </c>
      <c r="AAF24" s="700">
        <f t="shared" si="524"/>
        <v>0</v>
      </c>
      <c r="AAG24" s="700">
        <f t="shared" si="524"/>
        <v>0</v>
      </c>
      <c r="AAH24" s="700">
        <f t="shared" si="524"/>
        <v>0</v>
      </c>
      <c r="AAI24" s="700">
        <f t="shared" si="524"/>
        <v>0</v>
      </c>
      <c r="AAJ24" s="701">
        <f t="shared" si="524"/>
        <v>0</v>
      </c>
      <c r="AAK24" s="624">
        <f t="shared" si="524"/>
        <v>3.0084856800989961</v>
      </c>
      <c r="AAL24" s="625">
        <f t="shared" si="524"/>
        <v>0</v>
      </c>
      <c r="AAM24" s="625">
        <f t="shared" si="524"/>
        <v>0</v>
      </c>
      <c r="AAN24" s="625">
        <f t="shared" si="524"/>
        <v>0</v>
      </c>
      <c r="AAO24" s="625">
        <f t="shared" si="524"/>
        <v>0</v>
      </c>
      <c r="AAP24" s="625">
        <f t="shared" si="524"/>
        <v>0</v>
      </c>
      <c r="AAQ24" s="625">
        <f t="shared" si="524"/>
        <v>0</v>
      </c>
      <c r="AAR24" s="625">
        <f t="shared" si="524"/>
        <v>0</v>
      </c>
      <c r="AAS24" s="625">
        <f t="shared" si="524"/>
        <v>0</v>
      </c>
      <c r="AAT24" s="625">
        <f t="shared" si="524"/>
        <v>0</v>
      </c>
      <c r="AAU24" s="625">
        <f t="shared" si="524"/>
        <v>0</v>
      </c>
      <c r="AAV24" s="625">
        <f t="shared" si="524"/>
        <v>0</v>
      </c>
      <c r="AAW24" s="625">
        <f t="shared" si="524"/>
        <v>0</v>
      </c>
      <c r="AAX24" s="625">
        <f t="shared" si="524"/>
        <v>0</v>
      </c>
      <c r="AAY24" s="625">
        <f t="shared" si="524"/>
        <v>0</v>
      </c>
      <c r="AAZ24" s="625">
        <f t="shared" si="524"/>
        <v>0</v>
      </c>
      <c r="ABA24" s="625">
        <f t="shared" si="524"/>
        <v>0</v>
      </c>
      <c r="ABB24" s="625">
        <f t="shared" si="524"/>
        <v>0</v>
      </c>
      <c r="ABC24" s="625">
        <f t="shared" si="524"/>
        <v>0</v>
      </c>
      <c r="ABD24" s="626">
        <f t="shared" si="524"/>
        <v>0</v>
      </c>
      <c r="ABE24" s="699">
        <f t="shared" ref="ABE24:ACR24" si="525">MIN(ABE21,ABE7)</f>
        <v>0.93601453124732248</v>
      </c>
      <c r="ABF24" s="700">
        <f t="shared" si="525"/>
        <v>0</v>
      </c>
      <c r="ABG24" s="700">
        <f t="shared" si="525"/>
        <v>0</v>
      </c>
      <c r="ABH24" s="700">
        <f t="shared" si="525"/>
        <v>0</v>
      </c>
      <c r="ABI24" s="700">
        <f t="shared" si="525"/>
        <v>0</v>
      </c>
      <c r="ABJ24" s="700">
        <f t="shared" si="525"/>
        <v>0</v>
      </c>
      <c r="ABK24" s="700">
        <f t="shared" si="525"/>
        <v>0</v>
      </c>
      <c r="ABL24" s="700">
        <f t="shared" si="525"/>
        <v>0</v>
      </c>
      <c r="ABM24" s="700">
        <f t="shared" si="525"/>
        <v>0</v>
      </c>
      <c r="ABN24" s="700">
        <f t="shared" si="525"/>
        <v>0</v>
      </c>
      <c r="ABO24" s="700">
        <f t="shared" si="525"/>
        <v>0</v>
      </c>
      <c r="ABP24" s="700">
        <f t="shared" si="525"/>
        <v>0</v>
      </c>
      <c r="ABQ24" s="700">
        <f t="shared" si="525"/>
        <v>0</v>
      </c>
      <c r="ABR24" s="700">
        <f t="shared" si="525"/>
        <v>0</v>
      </c>
      <c r="ABS24" s="700">
        <f t="shared" si="525"/>
        <v>0</v>
      </c>
      <c r="ABT24" s="700">
        <f t="shared" si="525"/>
        <v>0</v>
      </c>
      <c r="ABU24" s="700">
        <f t="shared" si="525"/>
        <v>0</v>
      </c>
      <c r="ABV24" s="700">
        <f t="shared" si="525"/>
        <v>0</v>
      </c>
      <c r="ABW24" s="700">
        <f t="shared" si="525"/>
        <v>0</v>
      </c>
      <c r="ABX24" s="701">
        <f t="shared" si="525"/>
        <v>0</v>
      </c>
      <c r="ABY24" s="108">
        <f t="shared" si="525"/>
        <v>5.149</v>
      </c>
      <c r="ABZ24" s="109">
        <f t="shared" si="525"/>
        <v>0</v>
      </c>
      <c r="ACA24" s="109">
        <f t="shared" si="525"/>
        <v>0</v>
      </c>
      <c r="ACB24" s="109">
        <f t="shared" si="525"/>
        <v>0</v>
      </c>
      <c r="ACC24" s="109">
        <f t="shared" si="525"/>
        <v>0</v>
      </c>
      <c r="ACD24" s="109">
        <f t="shared" si="525"/>
        <v>0</v>
      </c>
      <c r="ACE24" s="109">
        <f t="shared" si="525"/>
        <v>0</v>
      </c>
      <c r="ACF24" s="109">
        <f t="shared" si="525"/>
        <v>0</v>
      </c>
      <c r="ACG24" s="109">
        <f t="shared" si="525"/>
        <v>0</v>
      </c>
      <c r="ACH24" s="109">
        <f t="shared" si="525"/>
        <v>0</v>
      </c>
      <c r="ACI24" s="109">
        <f t="shared" si="525"/>
        <v>0</v>
      </c>
      <c r="ACJ24" s="109">
        <f t="shared" si="525"/>
        <v>0</v>
      </c>
      <c r="ACK24" s="109">
        <f t="shared" si="525"/>
        <v>0</v>
      </c>
      <c r="ACL24" s="109">
        <f t="shared" si="525"/>
        <v>0</v>
      </c>
      <c r="ACM24" s="109">
        <f t="shared" si="525"/>
        <v>0</v>
      </c>
      <c r="ACN24" s="109">
        <f t="shared" si="525"/>
        <v>0</v>
      </c>
      <c r="ACO24" s="109">
        <f t="shared" si="525"/>
        <v>0</v>
      </c>
      <c r="ACP24" s="109">
        <f t="shared" si="525"/>
        <v>0</v>
      </c>
      <c r="ACQ24" s="109">
        <f t="shared" si="525"/>
        <v>0</v>
      </c>
      <c r="ACR24" s="110">
        <f t="shared" si="525"/>
        <v>0</v>
      </c>
    </row>
    <row r="25" spans="1:772" ht="15" customHeight="1" x14ac:dyDescent="0.2">
      <c r="A25" s="99" t="s">
        <v>86</v>
      </c>
      <c r="B25" s="100"/>
      <c r="C25" s="100"/>
      <c r="D25" s="100"/>
      <c r="E25" s="101"/>
      <c r="F25" s="101"/>
      <c r="G25" s="102">
        <f t="shared" ref="G25:L25" si="526">IFERROR((G23-G7)/ABS(G7),"")</f>
        <v>7.3500619022454581</v>
      </c>
      <c r="H25" s="102">
        <f>IFERROR((H23-H7)/ABS(H7),"")</f>
        <v>6.2703580383935531</v>
      </c>
      <c r="I25" s="102">
        <f t="shared" si="526"/>
        <v>0</v>
      </c>
      <c r="J25" s="102">
        <f t="shared" si="526"/>
        <v>0</v>
      </c>
      <c r="K25" s="102">
        <f t="shared" si="526"/>
        <v>0</v>
      </c>
      <c r="L25" s="102">
        <f t="shared" si="526"/>
        <v>9.85673592493298E-2</v>
      </c>
      <c r="M25" s="102">
        <f t="shared" ref="M25:R25" si="527">IFERROR(ABS(M23-M7)/ABS(M7),"")</f>
        <v>0</v>
      </c>
      <c r="N25" s="102">
        <f t="shared" si="527"/>
        <v>0.57545256184047044</v>
      </c>
      <c r="O25" s="102">
        <f t="shared" si="527"/>
        <v>0.57332043385044695</v>
      </c>
      <c r="P25" s="102" t="str">
        <f t="shared" si="527"/>
        <v/>
      </c>
      <c r="Q25" s="114">
        <f t="shared" si="527"/>
        <v>0.23286621802705296</v>
      </c>
      <c r="R25" s="114">
        <f t="shared" si="527"/>
        <v>0.30111094028426683</v>
      </c>
      <c r="S25" s="114">
        <f>IFERROR((S23-S7)/ABS(S7),"")</f>
        <v>0</v>
      </c>
      <c r="T25" s="114">
        <f>IFERROR(ABS(T23-T7)/ABS(T7),"")</f>
        <v>0.27764494401918177</v>
      </c>
      <c r="U25" s="102">
        <f>IFERROR((U23-U7)/ABS(U7),"")</f>
        <v>0.69951207669854043</v>
      </c>
      <c r="V25" s="102">
        <f>IFERROR((V23-V7)/ABS(V7),"")</f>
        <v>1.1365127537161028</v>
      </c>
      <c r="W25" s="102">
        <f>IFERROR((W23-W7)/ABS(W7),"")</f>
        <v>1.0036991906220201</v>
      </c>
      <c r="X25" s="1030">
        <f t="shared" ref="X25:AE25" si="528">IFERROR((X23-X7)/ABS(X7),"")</f>
        <v>0.54704324418200767</v>
      </c>
      <c r="Y25" s="1030">
        <f t="shared" ref="Y25" si="529">IFERROR((Y23-Y7)/ABS(Y7),"")</f>
        <v>0.5609691202175181</v>
      </c>
      <c r="Z25" s="102">
        <f>IFERROR((Z23-Z7)/ABS(Z7),"")</f>
        <v>0.11907351868755105</v>
      </c>
      <c r="AA25" s="102">
        <f t="shared" si="528"/>
        <v>0</v>
      </c>
      <c r="AB25" s="102">
        <f>IFERROR((AB23-AB7)/ABS(AB7),"")</f>
        <v>8.3935998134251982E-2</v>
      </c>
      <c r="AC25" s="102">
        <f t="shared" si="528"/>
        <v>-2.4376222751759477E-2</v>
      </c>
      <c r="AD25" s="102">
        <f t="shared" si="528"/>
        <v>0.43856950749810414</v>
      </c>
      <c r="AE25" s="115">
        <f t="shared" si="528"/>
        <v>0.23682341507177032</v>
      </c>
      <c r="AF25" s="104"/>
      <c r="AG25" s="702">
        <f t="shared" ref="AG25:CR25" si="530">IFERROR((AG23-AG7)/ABS(AG7),"")</f>
        <v>0</v>
      </c>
      <c r="AH25" s="700" t="str">
        <f t="shared" si="530"/>
        <v/>
      </c>
      <c r="AI25" s="700" t="str">
        <f t="shared" si="530"/>
        <v/>
      </c>
      <c r="AJ25" s="700" t="str">
        <f t="shared" si="530"/>
        <v/>
      </c>
      <c r="AK25" s="700" t="str">
        <f t="shared" si="530"/>
        <v/>
      </c>
      <c r="AL25" s="700" t="str">
        <f t="shared" si="530"/>
        <v/>
      </c>
      <c r="AM25" s="700" t="str">
        <f t="shared" si="530"/>
        <v/>
      </c>
      <c r="AN25" s="700" t="str">
        <f t="shared" si="530"/>
        <v/>
      </c>
      <c r="AO25" s="700" t="str">
        <f t="shared" si="530"/>
        <v/>
      </c>
      <c r="AP25" s="700" t="str">
        <f t="shared" si="530"/>
        <v/>
      </c>
      <c r="AQ25" s="700" t="str">
        <f t="shared" si="530"/>
        <v/>
      </c>
      <c r="AR25" s="700" t="str">
        <f t="shared" si="530"/>
        <v/>
      </c>
      <c r="AS25" s="700" t="str">
        <f t="shared" si="530"/>
        <v/>
      </c>
      <c r="AT25" s="700" t="str">
        <f t="shared" si="530"/>
        <v/>
      </c>
      <c r="AU25" s="700" t="str">
        <f t="shared" si="530"/>
        <v/>
      </c>
      <c r="AV25" s="700" t="str">
        <f t="shared" si="530"/>
        <v/>
      </c>
      <c r="AW25" s="700" t="str">
        <f t="shared" si="530"/>
        <v/>
      </c>
      <c r="AX25" s="700" t="str">
        <f t="shared" si="530"/>
        <v/>
      </c>
      <c r="AY25" s="700" t="str">
        <f t="shared" si="530"/>
        <v/>
      </c>
      <c r="AZ25" s="701" t="str">
        <f t="shared" si="530"/>
        <v/>
      </c>
      <c r="BA25" s="699">
        <f t="shared" si="530"/>
        <v>0</v>
      </c>
      <c r="BB25" s="700" t="str">
        <f t="shared" si="530"/>
        <v/>
      </c>
      <c r="BC25" s="700" t="str">
        <f t="shared" si="530"/>
        <v/>
      </c>
      <c r="BD25" s="700" t="str">
        <f t="shared" si="530"/>
        <v/>
      </c>
      <c r="BE25" s="700" t="str">
        <f t="shared" si="530"/>
        <v/>
      </c>
      <c r="BF25" s="700" t="str">
        <f t="shared" si="530"/>
        <v/>
      </c>
      <c r="BG25" s="700" t="str">
        <f t="shared" si="530"/>
        <v/>
      </c>
      <c r="BH25" s="700" t="str">
        <f t="shared" si="530"/>
        <v/>
      </c>
      <c r="BI25" s="700" t="str">
        <f t="shared" si="530"/>
        <v/>
      </c>
      <c r="BJ25" s="700" t="str">
        <f t="shared" si="530"/>
        <v/>
      </c>
      <c r="BK25" s="700" t="str">
        <f t="shared" si="530"/>
        <v/>
      </c>
      <c r="BL25" s="700" t="str">
        <f t="shared" si="530"/>
        <v/>
      </c>
      <c r="BM25" s="700" t="str">
        <f t="shared" si="530"/>
        <v/>
      </c>
      <c r="BN25" s="700" t="str">
        <f t="shared" si="530"/>
        <v/>
      </c>
      <c r="BO25" s="700" t="str">
        <f t="shared" si="530"/>
        <v/>
      </c>
      <c r="BP25" s="700" t="str">
        <f t="shared" si="530"/>
        <v/>
      </c>
      <c r="BQ25" s="700" t="str">
        <f t="shared" si="530"/>
        <v/>
      </c>
      <c r="BR25" s="700" t="str">
        <f t="shared" si="530"/>
        <v/>
      </c>
      <c r="BS25" s="700" t="str">
        <f t="shared" si="530"/>
        <v/>
      </c>
      <c r="BT25" s="701" t="str">
        <f t="shared" si="530"/>
        <v/>
      </c>
      <c r="BU25" s="699">
        <f t="shared" si="530"/>
        <v>0</v>
      </c>
      <c r="BV25" s="700" t="str">
        <f t="shared" si="530"/>
        <v/>
      </c>
      <c r="BW25" s="700" t="str">
        <f t="shared" si="530"/>
        <v/>
      </c>
      <c r="BX25" s="700" t="str">
        <f t="shared" si="530"/>
        <v/>
      </c>
      <c r="BY25" s="700" t="str">
        <f t="shared" si="530"/>
        <v/>
      </c>
      <c r="BZ25" s="700" t="str">
        <f t="shared" si="530"/>
        <v/>
      </c>
      <c r="CA25" s="700" t="str">
        <f t="shared" si="530"/>
        <v/>
      </c>
      <c r="CB25" s="700" t="str">
        <f t="shared" si="530"/>
        <v/>
      </c>
      <c r="CC25" s="700" t="str">
        <f t="shared" si="530"/>
        <v/>
      </c>
      <c r="CD25" s="700" t="str">
        <f t="shared" si="530"/>
        <v/>
      </c>
      <c r="CE25" s="700" t="str">
        <f t="shared" si="530"/>
        <v/>
      </c>
      <c r="CF25" s="700" t="str">
        <f t="shared" si="530"/>
        <v/>
      </c>
      <c r="CG25" s="700" t="str">
        <f t="shared" si="530"/>
        <v/>
      </c>
      <c r="CH25" s="700" t="str">
        <f t="shared" si="530"/>
        <v/>
      </c>
      <c r="CI25" s="700" t="str">
        <f t="shared" si="530"/>
        <v/>
      </c>
      <c r="CJ25" s="700" t="str">
        <f t="shared" si="530"/>
        <v/>
      </c>
      <c r="CK25" s="700" t="str">
        <f t="shared" si="530"/>
        <v/>
      </c>
      <c r="CL25" s="700" t="str">
        <f t="shared" si="530"/>
        <v/>
      </c>
      <c r="CM25" s="700" t="str">
        <f t="shared" si="530"/>
        <v/>
      </c>
      <c r="CN25" s="701" t="str">
        <f t="shared" si="530"/>
        <v/>
      </c>
      <c r="CO25" s="699">
        <f t="shared" si="530"/>
        <v>6.5348525469168847E-2</v>
      </c>
      <c r="CP25" s="700" t="str">
        <f t="shared" si="530"/>
        <v/>
      </c>
      <c r="CQ25" s="700" t="str">
        <f t="shared" si="530"/>
        <v/>
      </c>
      <c r="CR25" s="700" t="str">
        <f t="shared" si="530"/>
        <v/>
      </c>
      <c r="CS25" s="700" t="str">
        <f t="shared" ref="CS25:FD25" si="531">IFERROR((CS23-CS7)/ABS(CS7),"")</f>
        <v/>
      </c>
      <c r="CT25" s="700" t="str">
        <f t="shared" si="531"/>
        <v/>
      </c>
      <c r="CU25" s="700" t="str">
        <f t="shared" si="531"/>
        <v/>
      </c>
      <c r="CV25" s="700" t="str">
        <f t="shared" si="531"/>
        <v/>
      </c>
      <c r="CW25" s="700" t="str">
        <f t="shared" si="531"/>
        <v/>
      </c>
      <c r="CX25" s="700" t="str">
        <f t="shared" si="531"/>
        <v/>
      </c>
      <c r="CY25" s="700" t="str">
        <f t="shared" si="531"/>
        <v/>
      </c>
      <c r="CZ25" s="700" t="str">
        <f t="shared" si="531"/>
        <v/>
      </c>
      <c r="DA25" s="700" t="str">
        <f t="shared" si="531"/>
        <v/>
      </c>
      <c r="DB25" s="700" t="str">
        <f t="shared" si="531"/>
        <v/>
      </c>
      <c r="DC25" s="700" t="str">
        <f t="shared" si="531"/>
        <v/>
      </c>
      <c r="DD25" s="700" t="str">
        <f t="shared" si="531"/>
        <v/>
      </c>
      <c r="DE25" s="700" t="str">
        <f t="shared" si="531"/>
        <v/>
      </c>
      <c r="DF25" s="700" t="str">
        <f t="shared" si="531"/>
        <v/>
      </c>
      <c r="DG25" s="700" t="str">
        <f t="shared" si="531"/>
        <v/>
      </c>
      <c r="DH25" s="701" t="str">
        <f t="shared" si="531"/>
        <v/>
      </c>
      <c r="DI25" s="699">
        <f t="shared" si="531"/>
        <v>0</v>
      </c>
      <c r="DJ25" s="700" t="str">
        <f t="shared" si="531"/>
        <v/>
      </c>
      <c r="DK25" s="700" t="str">
        <f t="shared" si="531"/>
        <v/>
      </c>
      <c r="DL25" s="700" t="str">
        <f t="shared" si="531"/>
        <v/>
      </c>
      <c r="DM25" s="700" t="str">
        <f t="shared" si="531"/>
        <v/>
      </c>
      <c r="DN25" s="700" t="str">
        <f t="shared" si="531"/>
        <v/>
      </c>
      <c r="DO25" s="700" t="str">
        <f t="shared" si="531"/>
        <v/>
      </c>
      <c r="DP25" s="700" t="str">
        <f t="shared" si="531"/>
        <v/>
      </c>
      <c r="DQ25" s="700" t="str">
        <f t="shared" si="531"/>
        <v/>
      </c>
      <c r="DR25" s="700" t="str">
        <f t="shared" si="531"/>
        <v/>
      </c>
      <c r="DS25" s="700" t="str">
        <f t="shared" si="531"/>
        <v/>
      </c>
      <c r="DT25" s="700" t="str">
        <f t="shared" si="531"/>
        <v/>
      </c>
      <c r="DU25" s="700" t="str">
        <f t="shared" si="531"/>
        <v/>
      </c>
      <c r="DV25" s="700" t="str">
        <f t="shared" si="531"/>
        <v/>
      </c>
      <c r="DW25" s="700" t="str">
        <f t="shared" si="531"/>
        <v/>
      </c>
      <c r="DX25" s="700" t="str">
        <f t="shared" si="531"/>
        <v/>
      </c>
      <c r="DY25" s="700" t="str">
        <f t="shared" si="531"/>
        <v/>
      </c>
      <c r="DZ25" s="700" t="str">
        <f t="shared" si="531"/>
        <v/>
      </c>
      <c r="EA25" s="700" t="str">
        <f t="shared" si="531"/>
        <v/>
      </c>
      <c r="EB25" s="701" t="str">
        <f t="shared" si="531"/>
        <v/>
      </c>
      <c r="EC25" s="699">
        <f t="shared" si="531"/>
        <v>-0.56590608965196509</v>
      </c>
      <c r="ED25" s="700" t="str">
        <f t="shared" si="531"/>
        <v/>
      </c>
      <c r="EE25" s="700" t="str">
        <f t="shared" si="531"/>
        <v/>
      </c>
      <c r="EF25" s="700" t="str">
        <f t="shared" si="531"/>
        <v/>
      </c>
      <c r="EG25" s="700" t="str">
        <f t="shared" si="531"/>
        <v/>
      </c>
      <c r="EH25" s="700" t="str">
        <f t="shared" si="531"/>
        <v/>
      </c>
      <c r="EI25" s="700" t="str">
        <f t="shared" si="531"/>
        <v/>
      </c>
      <c r="EJ25" s="700" t="str">
        <f t="shared" si="531"/>
        <v/>
      </c>
      <c r="EK25" s="700" t="str">
        <f t="shared" si="531"/>
        <v/>
      </c>
      <c r="EL25" s="700" t="str">
        <f t="shared" si="531"/>
        <v/>
      </c>
      <c r="EM25" s="700" t="str">
        <f t="shared" si="531"/>
        <v/>
      </c>
      <c r="EN25" s="700" t="str">
        <f t="shared" si="531"/>
        <v/>
      </c>
      <c r="EO25" s="700" t="str">
        <f t="shared" si="531"/>
        <v/>
      </c>
      <c r="EP25" s="700" t="str">
        <f t="shared" si="531"/>
        <v/>
      </c>
      <c r="EQ25" s="700" t="str">
        <f t="shared" si="531"/>
        <v/>
      </c>
      <c r="ER25" s="700" t="str">
        <f t="shared" si="531"/>
        <v/>
      </c>
      <c r="ES25" s="700" t="str">
        <f t="shared" si="531"/>
        <v/>
      </c>
      <c r="ET25" s="700" t="str">
        <f t="shared" si="531"/>
        <v/>
      </c>
      <c r="EU25" s="700" t="str">
        <f t="shared" si="531"/>
        <v/>
      </c>
      <c r="EV25" s="701" t="str">
        <f t="shared" si="531"/>
        <v/>
      </c>
      <c r="EW25" s="699">
        <f t="shared" si="531"/>
        <v>-0.56368957621309423</v>
      </c>
      <c r="EX25" s="700" t="str">
        <f t="shared" si="531"/>
        <v/>
      </c>
      <c r="EY25" s="700" t="str">
        <f t="shared" si="531"/>
        <v/>
      </c>
      <c r="EZ25" s="700" t="str">
        <f t="shared" si="531"/>
        <v/>
      </c>
      <c r="FA25" s="700" t="str">
        <f t="shared" si="531"/>
        <v/>
      </c>
      <c r="FB25" s="700" t="str">
        <f t="shared" si="531"/>
        <v/>
      </c>
      <c r="FC25" s="700" t="str">
        <f t="shared" si="531"/>
        <v/>
      </c>
      <c r="FD25" s="700" t="str">
        <f t="shared" si="531"/>
        <v/>
      </c>
      <c r="FE25" s="700" t="str">
        <f t="shared" ref="FE25:HP25" si="532">IFERROR((FE23-FE7)/ABS(FE7),"")</f>
        <v/>
      </c>
      <c r="FF25" s="700" t="str">
        <f t="shared" si="532"/>
        <v/>
      </c>
      <c r="FG25" s="700" t="str">
        <f t="shared" si="532"/>
        <v/>
      </c>
      <c r="FH25" s="700" t="str">
        <f t="shared" si="532"/>
        <v/>
      </c>
      <c r="FI25" s="700" t="str">
        <f t="shared" si="532"/>
        <v/>
      </c>
      <c r="FJ25" s="700" t="str">
        <f t="shared" si="532"/>
        <v/>
      </c>
      <c r="FK25" s="700" t="str">
        <f t="shared" si="532"/>
        <v/>
      </c>
      <c r="FL25" s="700" t="str">
        <f t="shared" si="532"/>
        <v/>
      </c>
      <c r="FM25" s="700" t="str">
        <f t="shared" si="532"/>
        <v/>
      </c>
      <c r="FN25" s="700" t="str">
        <f t="shared" si="532"/>
        <v/>
      </c>
      <c r="FO25" s="700" t="str">
        <f t="shared" si="532"/>
        <v/>
      </c>
      <c r="FP25" s="701" t="str">
        <f t="shared" si="532"/>
        <v/>
      </c>
      <c r="FQ25" s="699" t="str">
        <f t="shared" si="532"/>
        <v/>
      </c>
      <c r="FR25" s="700" t="str">
        <f t="shared" si="532"/>
        <v/>
      </c>
      <c r="FS25" s="700" t="str">
        <f t="shared" si="532"/>
        <v/>
      </c>
      <c r="FT25" s="700" t="str">
        <f t="shared" si="532"/>
        <v/>
      </c>
      <c r="FU25" s="700" t="str">
        <f t="shared" si="532"/>
        <v/>
      </c>
      <c r="FV25" s="700" t="str">
        <f t="shared" si="532"/>
        <v/>
      </c>
      <c r="FW25" s="700" t="str">
        <f t="shared" si="532"/>
        <v/>
      </c>
      <c r="FX25" s="700" t="str">
        <f t="shared" si="532"/>
        <v/>
      </c>
      <c r="FY25" s="700" t="str">
        <f t="shared" si="532"/>
        <v/>
      </c>
      <c r="FZ25" s="700" t="str">
        <f t="shared" si="532"/>
        <v/>
      </c>
      <c r="GA25" s="700" t="str">
        <f t="shared" si="532"/>
        <v/>
      </c>
      <c r="GB25" s="700" t="str">
        <f t="shared" si="532"/>
        <v/>
      </c>
      <c r="GC25" s="700" t="str">
        <f t="shared" si="532"/>
        <v/>
      </c>
      <c r="GD25" s="700" t="str">
        <f t="shared" si="532"/>
        <v/>
      </c>
      <c r="GE25" s="700" t="str">
        <f t="shared" si="532"/>
        <v/>
      </c>
      <c r="GF25" s="700" t="str">
        <f t="shared" si="532"/>
        <v/>
      </c>
      <c r="GG25" s="700" t="str">
        <f t="shared" si="532"/>
        <v/>
      </c>
      <c r="GH25" s="700" t="str">
        <f t="shared" si="532"/>
        <v/>
      </c>
      <c r="GI25" s="700" t="str">
        <f t="shared" si="532"/>
        <v/>
      </c>
      <c r="GJ25" s="701" t="str">
        <f t="shared" si="532"/>
        <v/>
      </c>
      <c r="GK25" s="598">
        <f t="shared" si="532"/>
        <v>-0.31799362268531328</v>
      </c>
      <c r="GL25" s="599" t="str">
        <f t="shared" si="532"/>
        <v/>
      </c>
      <c r="GM25" s="599" t="str">
        <f t="shared" si="532"/>
        <v/>
      </c>
      <c r="GN25" s="599" t="str">
        <f t="shared" si="532"/>
        <v/>
      </c>
      <c r="GO25" s="599" t="str">
        <f t="shared" si="532"/>
        <v/>
      </c>
      <c r="GP25" s="599" t="str">
        <f t="shared" si="532"/>
        <v/>
      </c>
      <c r="GQ25" s="599" t="str">
        <f t="shared" si="532"/>
        <v/>
      </c>
      <c r="GR25" s="599" t="str">
        <f t="shared" si="532"/>
        <v/>
      </c>
      <c r="GS25" s="599" t="str">
        <f t="shared" si="532"/>
        <v/>
      </c>
      <c r="GT25" s="599" t="str">
        <f t="shared" si="532"/>
        <v/>
      </c>
      <c r="GU25" s="599" t="str">
        <f t="shared" si="532"/>
        <v/>
      </c>
      <c r="GV25" s="599" t="str">
        <f t="shared" si="532"/>
        <v/>
      </c>
      <c r="GW25" s="599" t="str">
        <f t="shared" si="532"/>
        <v/>
      </c>
      <c r="GX25" s="599" t="str">
        <f t="shared" si="532"/>
        <v/>
      </c>
      <c r="GY25" s="599" t="str">
        <f t="shared" si="532"/>
        <v/>
      </c>
      <c r="GZ25" s="599" t="str">
        <f t="shared" si="532"/>
        <v/>
      </c>
      <c r="HA25" s="599" t="str">
        <f t="shared" si="532"/>
        <v/>
      </c>
      <c r="HB25" s="599" t="str">
        <f t="shared" si="532"/>
        <v/>
      </c>
      <c r="HC25" s="599" t="str">
        <f t="shared" si="532"/>
        <v/>
      </c>
      <c r="HD25" s="600" t="str">
        <f t="shared" si="532"/>
        <v/>
      </c>
      <c r="HE25" s="598">
        <f t="shared" si="532"/>
        <v>-0.24008220234494543</v>
      </c>
      <c r="HF25" s="599" t="str">
        <f t="shared" si="532"/>
        <v/>
      </c>
      <c r="HG25" s="599" t="str">
        <f t="shared" si="532"/>
        <v/>
      </c>
      <c r="HH25" s="599" t="str">
        <f t="shared" si="532"/>
        <v/>
      </c>
      <c r="HI25" s="599" t="str">
        <f t="shared" si="532"/>
        <v/>
      </c>
      <c r="HJ25" s="599" t="str">
        <f t="shared" si="532"/>
        <v/>
      </c>
      <c r="HK25" s="599" t="str">
        <f t="shared" si="532"/>
        <v/>
      </c>
      <c r="HL25" s="599" t="str">
        <f t="shared" si="532"/>
        <v/>
      </c>
      <c r="HM25" s="599" t="str">
        <f t="shared" si="532"/>
        <v/>
      </c>
      <c r="HN25" s="599" t="str">
        <f t="shared" si="532"/>
        <v/>
      </c>
      <c r="HO25" s="599" t="str">
        <f t="shared" si="532"/>
        <v/>
      </c>
      <c r="HP25" s="599" t="str">
        <f t="shared" si="532"/>
        <v/>
      </c>
      <c r="HQ25" s="599" t="str">
        <f t="shared" ref="HQ25:KB25" si="533">IFERROR((HQ23-HQ7)/ABS(HQ7),"")</f>
        <v/>
      </c>
      <c r="HR25" s="599" t="str">
        <f t="shared" si="533"/>
        <v/>
      </c>
      <c r="HS25" s="599" t="str">
        <f t="shared" si="533"/>
        <v/>
      </c>
      <c r="HT25" s="599" t="str">
        <f t="shared" si="533"/>
        <v/>
      </c>
      <c r="HU25" s="599" t="str">
        <f t="shared" si="533"/>
        <v/>
      </c>
      <c r="HV25" s="599" t="str">
        <f t="shared" si="533"/>
        <v/>
      </c>
      <c r="HW25" s="599" t="str">
        <f t="shared" si="533"/>
        <v/>
      </c>
      <c r="HX25" s="600" t="str">
        <f t="shared" si="533"/>
        <v/>
      </c>
      <c r="HY25" s="598">
        <f t="shared" si="533"/>
        <v>0</v>
      </c>
      <c r="HZ25" s="599" t="str">
        <f t="shared" si="533"/>
        <v/>
      </c>
      <c r="IA25" s="599" t="str">
        <f t="shared" si="533"/>
        <v/>
      </c>
      <c r="IB25" s="599" t="str">
        <f t="shared" si="533"/>
        <v/>
      </c>
      <c r="IC25" s="599" t="str">
        <f t="shared" si="533"/>
        <v/>
      </c>
      <c r="ID25" s="599" t="str">
        <f t="shared" si="533"/>
        <v/>
      </c>
      <c r="IE25" s="599" t="str">
        <f t="shared" si="533"/>
        <v/>
      </c>
      <c r="IF25" s="599" t="str">
        <f t="shared" si="533"/>
        <v/>
      </c>
      <c r="IG25" s="599" t="str">
        <f t="shared" si="533"/>
        <v/>
      </c>
      <c r="IH25" s="599" t="str">
        <f t="shared" si="533"/>
        <v/>
      </c>
      <c r="II25" s="599" t="str">
        <f t="shared" si="533"/>
        <v/>
      </c>
      <c r="IJ25" s="599" t="str">
        <f t="shared" si="533"/>
        <v/>
      </c>
      <c r="IK25" s="599" t="str">
        <f t="shared" si="533"/>
        <v/>
      </c>
      <c r="IL25" s="599" t="str">
        <f t="shared" si="533"/>
        <v/>
      </c>
      <c r="IM25" s="599" t="str">
        <f t="shared" si="533"/>
        <v/>
      </c>
      <c r="IN25" s="599" t="str">
        <f t="shared" si="533"/>
        <v/>
      </c>
      <c r="IO25" s="599" t="str">
        <f t="shared" si="533"/>
        <v/>
      </c>
      <c r="IP25" s="599" t="str">
        <f t="shared" si="533"/>
        <v/>
      </c>
      <c r="IQ25" s="599" t="str">
        <f t="shared" si="533"/>
        <v/>
      </c>
      <c r="IR25" s="600" t="str">
        <f t="shared" si="533"/>
        <v/>
      </c>
      <c r="IS25" s="598">
        <f t="shared" si="533"/>
        <v>-1.4790065559451975</v>
      </c>
      <c r="IT25" s="599" t="str">
        <f t="shared" si="533"/>
        <v/>
      </c>
      <c r="IU25" s="599" t="str">
        <f t="shared" si="533"/>
        <v/>
      </c>
      <c r="IV25" s="599" t="str">
        <f t="shared" si="533"/>
        <v/>
      </c>
      <c r="IW25" s="599" t="str">
        <f t="shared" si="533"/>
        <v/>
      </c>
      <c r="IX25" s="599" t="str">
        <f t="shared" si="533"/>
        <v/>
      </c>
      <c r="IY25" s="599" t="str">
        <f t="shared" si="533"/>
        <v/>
      </c>
      <c r="IZ25" s="599" t="str">
        <f t="shared" si="533"/>
        <v/>
      </c>
      <c r="JA25" s="599" t="str">
        <f t="shared" si="533"/>
        <v/>
      </c>
      <c r="JB25" s="599" t="str">
        <f t="shared" si="533"/>
        <v/>
      </c>
      <c r="JC25" s="599" t="str">
        <f t="shared" si="533"/>
        <v/>
      </c>
      <c r="JD25" s="599" t="str">
        <f t="shared" si="533"/>
        <v/>
      </c>
      <c r="JE25" s="599" t="str">
        <f t="shared" si="533"/>
        <v/>
      </c>
      <c r="JF25" s="599" t="str">
        <f t="shared" si="533"/>
        <v/>
      </c>
      <c r="JG25" s="599" t="str">
        <f t="shared" si="533"/>
        <v/>
      </c>
      <c r="JH25" s="599" t="str">
        <f t="shared" si="533"/>
        <v/>
      </c>
      <c r="JI25" s="599" t="str">
        <f t="shared" si="533"/>
        <v/>
      </c>
      <c r="JJ25" s="599" t="str">
        <f t="shared" si="533"/>
        <v/>
      </c>
      <c r="JK25" s="599" t="str">
        <f t="shared" si="533"/>
        <v/>
      </c>
      <c r="JL25" s="600" t="str">
        <f t="shared" si="533"/>
        <v/>
      </c>
      <c r="JM25" s="699">
        <f t="shared" si="533"/>
        <v>0.11605274409395347</v>
      </c>
      <c r="JN25" s="700" t="str">
        <f t="shared" si="533"/>
        <v/>
      </c>
      <c r="JO25" s="700" t="str">
        <f t="shared" si="533"/>
        <v/>
      </c>
      <c r="JP25" s="700" t="str">
        <f t="shared" si="533"/>
        <v/>
      </c>
      <c r="JQ25" s="700" t="str">
        <f t="shared" si="533"/>
        <v/>
      </c>
      <c r="JR25" s="700" t="str">
        <f t="shared" si="533"/>
        <v/>
      </c>
      <c r="JS25" s="700" t="str">
        <f t="shared" si="533"/>
        <v/>
      </c>
      <c r="JT25" s="700" t="str">
        <f t="shared" si="533"/>
        <v/>
      </c>
      <c r="JU25" s="700" t="str">
        <f t="shared" si="533"/>
        <v/>
      </c>
      <c r="JV25" s="700" t="str">
        <f t="shared" si="533"/>
        <v/>
      </c>
      <c r="JW25" s="700" t="str">
        <f t="shared" si="533"/>
        <v/>
      </c>
      <c r="JX25" s="700" t="str">
        <f t="shared" si="533"/>
        <v/>
      </c>
      <c r="JY25" s="700" t="str">
        <f t="shared" si="533"/>
        <v/>
      </c>
      <c r="JZ25" s="700" t="str">
        <f t="shared" si="533"/>
        <v/>
      </c>
      <c r="KA25" s="700" t="str">
        <f t="shared" si="533"/>
        <v/>
      </c>
      <c r="KB25" s="700" t="str">
        <f t="shared" si="533"/>
        <v/>
      </c>
      <c r="KC25" s="700" t="str">
        <f t="shared" ref="KC25:MN25" si="534">IFERROR((KC23-KC7)/ABS(KC7),"")</f>
        <v/>
      </c>
      <c r="KD25" s="700" t="str">
        <f t="shared" si="534"/>
        <v/>
      </c>
      <c r="KE25" s="700" t="str">
        <f t="shared" si="534"/>
        <v/>
      </c>
      <c r="KF25" s="701" t="str">
        <f t="shared" si="534"/>
        <v/>
      </c>
      <c r="KG25" s="323">
        <f t="shared" si="534"/>
        <v>0.41798801667245572</v>
      </c>
      <c r="KH25" s="324" t="str">
        <f t="shared" si="534"/>
        <v/>
      </c>
      <c r="KI25" s="324" t="str">
        <f t="shared" si="534"/>
        <v/>
      </c>
      <c r="KJ25" s="324" t="str">
        <f t="shared" si="534"/>
        <v/>
      </c>
      <c r="KK25" s="324" t="str">
        <f t="shared" si="534"/>
        <v/>
      </c>
      <c r="KL25" s="324" t="str">
        <f t="shared" si="534"/>
        <v/>
      </c>
      <c r="KM25" s="324" t="str">
        <f t="shared" si="534"/>
        <v/>
      </c>
      <c r="KN25" s="324" t="str">
        <f t="shared" si="534"/>
        <v/>
      </c>
      <c r="KO25" s="324" t="str">
        <f t="shared" si="534"/>
        <v/>
      </c>
      <c r="KP25" s="324" t="str">
        <f t="shared" si="534"/>
        <v/>
      </c>
      <c r="KQ25" s="324" t="str">
        <f t="shared" si="534"/>
        <v/>
      </c>
      <c r="KR25" s="324" t="str">
        <f t="shared" si="534"/>
        <v/>
      </c>
      <c r="KS25" s="324" t="str">
        <f t="shared" si="534"/>
        <v/>
      </c>
      <c r="KT25" s="324" t="str">
        <f t="shared" si="534"/>
        <v/>
      </c>
      <c r="KU25" s="324" t="str">
        <f t="shared" si="534"/>
        <v/>
      </c>
      <c r="KV25" s="324" t="str">
        <f t="shared" si="534"/>
        <v/>
      </c>
      <c r="KW25" s="324" t="str">
        <f t="shared" si="534"/>
        <v/>
      </c>
      <c r="KX25" s="324" t="str">
        <f t="shared" si="534"/>
        <v/>
      </c>
      <c r="KY25" s="324" t="str">
        <f t="shared" si="534"/>
        <v/>
      </c>
      <c r="KZ25" s="325" t="str">
        <f t="shared" si="534"/>
        <v/>
      </c>
      <c r="LA25" s="323">
        <f t="shared" si="534"/>
        <v>0.3159321849505648</v>
      </c>
      <c r="LB25" s="323" t="str">
        <f t="shared" si="534"/>
        <v/>
      </c>
      <c r="LC25" s="323" t="str">
        <f t="shared" si="534"/>
        <v/>
      </c>
      <c r="LD25" s="323" t="str">
        <f t="shared" si="534"/>
        <v/>
      </c>
      <c r="LE25" s="323" t="str">
        <f t="shared" si="534"/>
        <v/>
      </c>
      <c r="LF25" s="323" t="str">
        <f t="shared" si="534"/>
        <v/>
      </c>
      <c r="LG25" s="323" t="str">
        <f t="shared" si="534"/>
        <v/>
      </c>
      <c r="LH25" s="323" t="str">
        <f t="shared" si="534"/>
        <v/>
      </c>
      <c r="LI25" s="323" t="str">
        <f t="shared" si="534"/>
        <v/>
      </c>
      <c r="LJ25" s="323" t="str">
        <f t="shared" si="534"/>
        <v/>
      </c>
      <c r="LK25" s="323" t="str">
        <f t="shared" si="534"/>
        <v/>
      </c>
      <c r="LL25" s="323" t="str">
        <f t="shared" si="534"/>
        <v/>
      </c>
      <c r="LM25" s="323" t="str">
        <f t="shared" si="534"/>
        <v/>
      </c>
      <c r="LN25" s="323" t="str">
        <f t="shared" si="534"/>
        <v/>
      </c>
      <c r="LO25" s="323" t="str">
        <f t="shared" si="534"/>
        <v/>
      </c>
      <c r="LP25" s="323" t="str">
        <f t="shared" si="534"/>
        <v/>
      </c>
      <c r="LQ25" s="323" t="str">
        <f t="shared" si="534"/>
        <v/>
      </c>
      <c r="LR25" s="323" t="str">
        <f t="shared" si="534"/>
        <v/>
      </c>
      <c r="LS25" s="323" t="str">
        <f t="shared" si="534"/>
        <v/>
      </c>
      <c r="LT25" s="323" t="str">
        <f t="shared" si="534"/>
        <v/>
      </c>
      <c r="LU25" s="323">
        <f t="shared" si="534"/>
        <v>0.46626206033548656</v>
      </c>
      <c r="LV25" s="323" t="str">
        <f t="shared" si="534"/>
        <v/>
      </c>
      <c r="LW25" s="323" t="str">
        <f t="shared" si="534"/>
        <v/>
      </c>
      <c r="LX25" s="323" t="str">
        <f t="shared" si="534"/>
        <v/>
      </c>
      <c r="LY25" s="323" t="str">
        <f t="shared" si="534"/>
        <v/>
      </c>
      <c r="LZ25" s="323" t="str">
        <f t="shared" si="534"/>
        <v/>
      </c>
      <c r="MA25" s="323" t="str">
        <f t="shared" si="534"/>
        <v/>
      </c>
      <c r="MB25" s="323" t="str">
        <f t="shared" si="534"/>
        <v/>
      </c>
      <c r="MC25" s="323" t="str">
        <f t="shared" si="534"/>
        <v/>
      </c>
      <c r="MD25" s="323" t="str">
        <f t="shared" si="534"/>
        <v/>
      </c>
      <c r="ME25" s="323" t="str">
        <f t="shared" si="534"/>
        <v/>
      </c>
      <c r="MF25" s="323" t="str">
        <f t="shared" si="534"/>
        <v/>
      </c>
      <c r="MG25" s="323" t="str">
        <f t="shared" si="534"/>
        <v/>
      </c>
      <c r="MH25" s="323" t="str">
        <f t="shared" si="534"/>
        <v/>
      </c>
      <c r="MI25" s="323" t="str">
        <f t="shared" si="534"/>
        <v/>
      </c>
      <c r="MJ25" s="323" t="str">
        <f t="shared" si="534"/>
        <v/>
      </c>
      <c r="MK25" s="323" t="str">
        <f t="shared" si="534"/>
        <v/>
      </c>
      <c r="ML25" s="323" t="str">
        <f t="shared" si="534"/>
        <v/>
      </c>
      <c r="MM25" s="323" t="str">
        <f t="shared" si="534"/>
        <v/>
      </c>
      <c r="MN25" s="323" t="str">
        <f t="shared" si="534"/>
        <v/>
      </c>
      <c r="MO25" s="323">
        <f t="shared" ref="MO25:OT25" si="535">IFERROR((MO23-MO7)/ABS(MO7),"")</f>
        <v>0.81485331880667333</v>
      </c>
      <c r="MP25" s="323" t="str">
        <f t="shared" si="535"/>
        <v/>
      </c>
      <c r="MQ25" s="323" t="str">
        <f t="shared" si="535"/>
        <v/>
      </c>
      <c r="MR25" s="323" t="str">
        <f t="shared" si="535"/>
        <v/>
      </c>
      <c r="MS25" s="323" t="str">
        <f t="shared" si="535"/>
        <v/>
      </c>
      <c r="MT25" s="323" t="str">
        <f t="shared" si="535"/>
        <v/>
      </c>
      <c r="MU25" s="323" t="str">
        <f t="shared" si="535"/>
        <v/>
      </c>
      <c r="MV25" s="323" t="str">
        <f t="shared" si="535"/>
        <v/>
      </c>
      <c r="MW25" s="323" t="str">
        <f t="shared" si="535"/>
        <v/>
      </c>
      <c r="MX25" s="323" t="str">
        <f t="shared" si="535"/>
        <v/>
      </c>
      <c r="MY25" s="323" t="str">
        <f t="shared" si="535"/>
        <v/>
      </c>
      <c r="MZ25" s="323" t="str">
        <f t="shared" si="535"/>
        <v/>
      </c>
      <c r="NA25" s="323" t="str">
        <f t="shared" si="535"/>
        <v/>
      </c>
      <c r="NB25" s="323" t="str">
        <f t="shared" si="535"/>
        <v/>
      </c>
      <c r="NC25" s="323" t="str">
        <f t="shared" si="535"/>
        <v/>
      </c>
      <c r="ND25" s="323" t="str">
        <f t="shared" si="535"/>
        <v/>
      </c>
      <c r="NE25" s="323" t="str">
        <f t="shared" si="535"/>
        <v/>
      </c>
      <c r="NF25" s="323" t="str">
        <f t="shared" si="535"/>
        <v/>
      </c>
      <c r="NG25" s="323" t="str">
        <f t="shared" si="535"/>
        <v/>
      </c>
      <c r="NH25" s="323" t="str">
        <f t="shared" si="535"/>
        <v/>
      </c>
      <c r="NI25" s="323">
        <f t="shared" si="535"/>
        <v>0</v>
      </c>
      <c r="NJ25" s="323" t="str">
        <f t="shared" si="535"/>
        <v/>
      </c>
      <c r="NK25" s="323" t="str">
        <f t="shared" si="535"/>
        <v/>
      </c>
      <c r="NL25" s="323" t="str">
        <f t="shared" si="535"/>
        <v/>
      </c>
      <c r="NM25" s="323" t="str">
        <f t="shared" si="535"/>
        <v/>
      </c>
      <c r="NN25" s="323" t="str">
        <f t="shared" si="535"/>
        <v/>
      </c>
      <c r="NO25" s="323" t="str">
        <f t="shared" si="535"/>
        <v/>
      </c>
      <c r="NP25" s="323" t="str">
        <f t="shared" si="535"/>
        <v/>
      </c>
      <c r="NQ25" s="323" t="str">
        <f t="shared" si="535"/>
        <v/>
      </c>
      <c r="NR25" s="323" t="str">
        <f t="shared" si="535"/>
        <v/>
      </c>
      <c r="NS25" s="323" t="str">
        <f t="shared" si="535"/>
        <v/>
      </c>
      <c r="NT25" s="323" t="str">
        <f t="shared" si="535"/>
        <v/>
      </c>
      <c r="NU25" s="323" t="str">
        <f t="shared" si="535"/>
        <v/>
      </c>
      <c r="NV25" s="323" t="str">
        <f t="shared" si="535"/>
        <v/>
      </c>
      <c r="NW25" s="323" t="str">
        <f t="shared" si="535"/>
        <v/>
      </c>
      <c r="NX25" s="323" t="str">
        <f t="shared" si="535"/>
        <v/>
      </c>
      <c r="NY25" s="323" t="str">
        <f t="shared" si="535"/>
        <v/>
      </c>
      <c r="NZ25" s="323" t="str">
        <f t="shared" si="535"/>
        <v/>
      </c>
      <c r="OA25" s="323" t="str">
        <f t="shared" si="535"/>
        <v/>
      </c>
      <c r="OB25" s="323" t="str">
        <f t="shared" si="535"/>
        <v/>
      </c>
      <c r="OC25" s="323">
        <f t="shared" si="535"/>
        <v>0.48213559573862563</v>
      </c>
      <c r="OD25" s="324" t="str">
        <f t="shared" si="535"/>
        <v/>
      </c>
      <c r="OE25" s="324" t="str">
        <f t="shared" si="535"/>
        <v/>
      </c>
      <c r="OF25" s="324" t="str">
        <f t="shared" si="535"/>
        <v/>
      </c>
      <c r="OG25" s="324" t="str">
        <f t="shared" si="535"/>
        <v/>
      </c>
      <c r="OH25" s="324" t="str">
        <f t="shared" si="535"/>
        <v/>
      </c>
      <c r="OI25" s="324" t="str">
        <f t="shared" si="535"/>
        <v/>
      </c>
      <c r="OJ25" s="324" t="str">
        <f t="shared" si="535"/>
        <v/>
      </c>
      <c r="OK25" s="324" t="str">
        <f t="shared" si="535"/>
        <v/>
      </c>
      <c r="OL25" s="324" t="str">
        <f t="shared" si="535"/>
        <v/>
      </c>
      <c r="OM25" s="324" t="str">
        <f t="shared" si="535"/>
        <v/>
      </c>
      <c r="ON25" s="324" t="str">
        <f t="shared" si="535"/>
        <v/>
      </c>
      <c r="OO25" s="324" t="str">
        <f t="shared" si="535"/>
        <v/>
      </c>
      <c r="OP25" s="324" t="str">
        <f t="shared" si="535"/>
        <v/>
      </c>
      <c r="OQ25" s="324" t="str">
        <f t="shared" si="535"/>
        <v/>
      </c>
      <c r="OR25" s="324" t="str">
        <f t="shared" si="535"/>
        <v/>
      </c>
      <c r="OS25" s="324" t="str">
        <f t="shared" si="535"/>
        <v/>
      </c>
      <c r="OT25" s="324" t="str">
        <f t="shared" si="535"/>
        <v/>
      </c>
      <c r="OU25" s="324" t="str">
        <f>IFERROR(ABS(OU23-OU7)/ABS(OU7),"")</f>
        <v/>
      </c>
      <c r="OV25" s="325" t="str">
        <f>IFERROR(ABS(OV23-OV7)/ABS(OV7),"")</f>
        <v/>
      </c>
      <c r="OW25" s="323">
        <f t="shared" ref="OW25:PN25" si="536">IFERROR((OW23-OW7)/ABS(OW7),"")</f>
        <v>1.0153160032722854</v>
      </c>
      <c r="OX25" s="324" t="str">
        <f t="shared" si="536"/>
        <v/>
      </c>
      <c r="OY25" s="324" t="str">
        <f t="shared" si="536"/>
        <v/>
      </c>
      <c r="OZ25" s="324" t="str">
        <f t="shared" si="536"/>
        <v/>
      </c>
      <c r="PA25" s="324" t="str">
        <f t="shared" si="536"/>
        <v/>
      </c>
      <c r="PB25" s="324" t="str">
        <f t="shared" si="536"/>
        <v/>
      </c>
      <c r="PC25" s="324" t="str">
        <f t="shared" si="536"/>
        <v/>
      </c>
      <c r="PD25" s="324" t="str">
        <f t="shared" si="536"/>
        <v/>
      </c>
      <c r="PE25" s="324" t="str">
        <f t="shared" si="536"/>
        <v/>
      </c>
      <c r="PF25" s="324" t="str">
        <f t="shared" si="536"/>
        <v/>
      </c>
      <c r="PG25" s="324" t="str">
        <f t="shared" si="536"/>
        <v/>
      </c>
      <c r="PH25" s="324" t="str">
        <f t="shared" si="536"/>
        <v/>
      </c>
      <c r="PI25" s="324" t="str">
        <f t="shared" si="536"/>
        <v/>
      </c>
      <c r="PJ25" s="324" t="str">
        <f t="shared" si="536"/>
        <v/>
      </c>
      <c r="PK25" s="324" t="str">
        <f t="shared" si="536"/>
        <v/>
      </c>
      <c r="PL25" s="324" t="str">
        <f t="shared" si="536"/>
        <v/>
      </c>
      <c r="PM25" s="324" t="str">
        <f t="shared" si="536"/>
        <v/>
      </c>
      <c r="PN25" s="324" t="str">
        <f t="shared" si="536"/>
        <v/>
      </c>
      <c r="PO25" s="324" t="str">
        <f>IFERROR(ABS(PO23-PO7)/ABS(PO7),"")</f>
        <v/>
      </c>
      <c r="PP25" s="325" t="str">
        <f>IFERROR(ABS(PP23-PP7)/ABS(PP7),"")</f>
        <v/>
      </c>
      <c r="PQ25" s="323">
        <f t="shared" ref="PQ25:QV25" si="537">IFERROR((PQ23-PQ7)/ABS(PQ7),"")</f>
        <v>0</v>
      </c>
      <c r="PR25" s="324" t="str">
        <f t="shared" si="537"/>
        <v/>
      </c>
      <c r="PS25" s="324" t="str">
        <f t="shared" si="537"/>
        <v/>
      </c>
      <c r="PT25" s="324" t="str">
        <f t="shared" si="537"/>
        <v/>
      </c>
      <c r="PU25" s="324" t="str">
        <f t="shared" si="537"/>
        <v/>
      </c>
      <c r="PV25" s="324" t="str">
        <f t="shared" si="537"/>
        <v/>
      </c>
      <c r="PW25" s="324" t="str">
        <f t="shared" si="537"/>
        <v/>
      </c>
      <c r="PX25" s="324" t="str">
        <f t="shared" si="537"/>
        <v/>
      </c>
      <c r="PY25" s="324" t="str">
        <f t="shared" si="537"/>
        <v/>
      </c>
      <c r="PZ25" s="324" t="str">
        <f t="shared" si="537"/>
        <v/>
      </c>
      <c r="QA25" s="324" t="str">
        <f t="shared" si="537"/>
        <v/>
      </c>
      <c r="QB25" s="324" t="str">
        <f t="shared" si="537"/>
        <v/>
      </c>
      <c r="QC25" s="324" t="str">
        <f t="shared" si="537"/>
        <v/>
      </c>
      <c r="QD25" s="324" t="str">
        <f t="shared" si="537"/>
        <v/>
      </c>
      <c r="QE25" s="324" t="str">
        <f t="shared" si="537"/>
        <v/>
      </c>
      <c r="QF25" s="324" t="str">
        <f t="shared" si="537"/>
        <v/>
      </c>
      <c r="QG25" s="324" t="str">
        <f t="shared" si="537"/>
        <v/>
      </c>
      <c r="QH25" s="324" t="str">
        <f t="shared" si="537"/>
        <v/>
      </c>
      <c r="QI25" s="324" t="str">
        <f t="shared" si="537"/>
        <v/>
      </c>
      <c r="QJ25" s="325" t="str">
        <f t="shared" si="537"/>
        <v/>
      </c>
      <c r="QK25" s="323">
        <f t="shared" si="537"/>
        <v>5.7675943119004598E-2</v>
      </c>
      <c r="QL25" s="324" t="str">
        <f t="shared" si="537"/>
        <v/>
      </c>
      <c r="QM25" s="324" t="str">
        <f t="shared" si="537"/>
        <v/>
      </c>
      <c r="QN25" s="324" t="str">
        <f t="shared" si="537"/>
        <v/>
      </c>
      <c r="QO25" s="324" t="str">
        <f t="shared" si="537"/>
        <v/>
      </c>
      <c r="QP25" s="324" t="str">
        <f t="shared" si="537"/>
        <v/>
      </c>
      <c r="QQ25" s="324" t="str">
        <f t="shared" si="537"/>
        <v/>
      </c>
      <c r="QR25" s="324" t="str">
        <f t="shared" si="537"/>
        <v/>
      </c>
      <c r="QS25" s="324" t="str">
        <f t="shared" si="537"/>
        <v/>
      </c>
      <c r="QT25" s="324" t="str">
        <f t="shared" si="537"/>
        <v/>
      </c>
      <c r="QU25" s="324" t="str">
        <f t="shared" si="537"/>
        <v/>
      </c>
      <c r="QV25" s="324" t="str">
        <f t="shared" si="537"/>
        <v/>
      </c>
      <c r="QW25" s="324" t="str">
        <f t="shared" ref="QW25:SB25" si="538">IFERROR((QW23-QW7)/ABS(QW7),"")</f>
        <v/>
      </c>
      <c r="QX25" s="324" t="str">
        <f t="shared" si="538"/>
        <v/>
      </c>
      <c r="QY25" s="324" t="str">
        <f t="shared" si="538"/>
        <v/>
      </c>
      <c r="QZ25" s="324" t="str">
        <f t="shared" si="538"/>
        <v/>
      </c>
      <c r="RA25" s="324" t="str">
        <f t="shared" si="538"/>
        <v/>
      </c>
      <c r="RB25" s="324" t="str">
        <f t="shared" si="538"/>
        <v/>
      </c>
      <c r="RC25" s="324" t="str">
        <f t="shared" si="538"/>
        <v/>
      </c>
      <c r="RD25" s="325" t="str">
        <f t="shared" si="538"/>
        <v/>
      </c>
      <c r="RE25" s="323">
        <f t="shared" si="538"/>
        <v>0.93816111376343048</v>
      </c>
      <c r="RF25" s="324" t="str">
        <f t="shared" si="538"/>
        <v/>
      </c>
      <c r="RG25" s="324" t="str">
        <f t="shared" si="538"/>
        <v/>
      </c>
      <c r="RH25" s="324" t="str">
        <f t="shared" si="538"/>
        <v/>
      </c>
      <c r="RI25" s="324" t="str">
        <f t="shared" si="538"/>
        <v/>
      </c>
      <c r="RJ25" s="324" t="str">
        <f t="shared" si="538"/>
        <v/>
      </c>
      <c r="RK25" s="324" t="str">
        <f t="shared" si="538"/>
        <v/>
      </c>
      <c r="RL25" s="324" t="str">
        <f t="shared" si="538"/>
        <v/>
      </c>
      <c r="RM25" s="324" t="str">
        <f t="shared" si="538"/>
        <v/>
      </c>
      <c r="RN25" s="324" t="str">
        <f t="shared" si="538"/>
        <v/>
      </c>
      <c r="RO25" s="324" t="str">
        <f t="shared" si="538"/>
        <v/>
      </c>
      <c r="RP25" s="324" t="str">
        <f t="shared" si="538"/>
        <v/>
      </c>
      <c r="RQ25" s="324" t="str">
        <f t="shared" si="538"/>
        <v/>
      </c>
      <c r="RR25" s="324" t="str">
        <f t="shared" si="538"/>
        <v/>
      </c>
      <c r="RS25" s="324" t="str">
        <f t="shared" si="538"/>
        <v/>
      </c>
      <c r="RT25" s="324" t="str">
        <f t="shared" si="538"/>
        <v/>
      </c>
      <c r="RU25" s="324" t="str">
        <f t="shared" si="538"/>
        <v/>
      </c>
      <c r="RV25" s="324" t="str">
        <f t="shared" si="538"/>
        <v/>
      </c>
      <c r="RW25" s="324" t="str">
        <f t="shared" si="538"/>
        <v/>
      </c>
      <c r="RX25" s="325" t="str">
        <f t="shared" si="538"/>
        <v/>
      </c>
      <c r="RY25" s="323">
        <f t="shared" si="538"/>
        <v>0</v>
      </c>
      <c r="RZ25" s="324" t="str">
        <f t="shared" si="538"/>
        <v/>
      </c>
      <c r="SA25" s="324" t="str">
        <f t="shared" si="538"/>
        <v/>
      </c>
      <c r="SB25" s="324" t="str">
        <f t="shared" si="538"/>
        <v/>
      </c>
      <c r="SC25" s="324" t="str">
        <f t="shared" ref="SC25:SP25" si="539">IFERROR((SC23-SC7)/ABS(SC7),"")</f>
        <v/>
      </c>
      <c r="SD25" s="324" t="str">
        <f t="shared" si="539"/>
        <v/>
      </c>
      <c r="SE25" s="324" t="str">
        <f t="shared" si="539"/>
        <v/>
      </c>
      <c r="SF25" s="324" t="str">
        <f t="shared" si="539"/>
        <v/>
      </c>
      <c r="SG25" s="324" t="str">
        <f t="shared" si="539"/>
        <v/>
      </c>
      <c r="SH25" s="324" t="str">
        <f t="shared" si="539"/>
        <v/>
      </c>
      <c r="SI25" s="324" t="str">
        <f t="shared" si="539"/>
        <v/>
      </c>
      <c r="SJ25" s="324" t="str">
        <f t="shared" si="539"/>
        <v/>
      </c>
      <c r="SK25" s="324" t="str">
        <f t="shared" si="539"/>
        <v/>
      </c>
      <c r="SL25" s="324" t="str">
        <f t="shared" si="539"/>
        <v/>
      </c>
      <c r="SM25" s="324" t="str">
        <f t="shared" si="539"/>
        <v/>
      </c>
      <c r="SN25" s="324" t="str">
        <f t="shared" si="539"/>
        <v/>
      </c>
      <c r="SO25" s="324" t="str">
        <f t="shared" si="539"/>
        <v/>
      </c>
      <c r="SP25" s="324" t="str">
        <f t="shared" si="539"/>
        <v/>
      </c>
      <c r="SQ25" s="324" t="str">
        <f>IFERROR(ABS(SQ23-SQ7)/ABS(SQ7),"")</f>
        <v/>
      </c>
      <c r="SR25" s="325" t="str">
        <f>IFERROR(ABS(SR23-SR7)/ABS(SR7),"")</f>
        <v/>
      </c>
      <c r="SS25" s="323">
        <f t="shared" ref="SS25:TJ25" si="540">IFERROR((SS23-SS7)/ABS(SS7),"")</f>
        <v>-3.1934722690408708E-2</v>
      </c>
      <c r="ST25" s="324" t="str">
        <f t="shared" si="540"/>
        <v/>
      </c>
      <c r="SU25" s="324" t="str">
        <f t="shared" si="540"/>
        <v/>
      </c>
      <c r="SV25" s="324" t="str">
        <f t="shared" si="540"/>
        <v/>
      </c>
      <c r="SW25" s="324" t="str">
        <f t="shared" si="540"/>
        <v/>
      </c>
      <c r="SX25" s="324" t="str">
        <f t="shared" si="540"/>
        <v/>
      </c>
      <c r="SY25" s="324" t="str">
        <f t="shared" si="540"/>
        <v/>
      </c>
      <c r="SZ25" s="324" t="str">
        <f t="shared" si="540"/>
        <v/>
      </c>
      <c r="TA25" s="324" t="str">
        <f t="shared" si="540"/>
        <v/>
      </c>
      <c r="TB25" s="324" t="str">
        <f t="shared" si="540"/>
        <v/>
      </c>
      <c r="TC25" s="324" t="str">
        <f t="shared" si="540"/>
        <v/>
      </c>
      <c r="TD25" s="324" t="str">
        <f t="shared" si="540"/>
        <v/>
      </c>
      <c r="TE25" s="324" t="str">
        <f t="shared" si="540"/>
        <v/>
      </c>
      <c r="TF25" s="324" t="str">
        <f t="shared" si="540"/>
        <v/>
      </c>
      <c r="TG25" s="324" t="str">
        <f t="shared" si="540"/>
        <v/>
      </c>
      <c r="TH25" s="324" t="str">
        <f t="shared" si="540"/>
        <v/>
      </c>
      <c r="TI25" s="324" t="str">
        <f t="shared" si="540"/>
        <v/>
      </c>
      <c r="TJ25" s="324" t="str">
        <f t="shared" si="540"/>
        <v/>
      </c>
      <c r="TK25" s="324" t="str">
        <f>IFERROR(ABS(TK23-TK7)/ABS(TK7),"")</f>
        <v/>
      </c>
      <c r="TL25" s="325" t="str">
        <f>IFERROR(ABS(TL23-TL7)/ABS(TL7),"")</f>
        <v/>
      </c>
      <c r="TM25" s="323">
        <f t="shared" ref="TM25:UD25" si="541">IFERROR((TM23-TM7)/ABS(TM7),"")</f>
        <v>1.8316718676585215</v>
      </c>
      <c r="TN25" s="324" t="str">
        <f t="shared" si="541"/>
        <v/>
      </c>
      <c r="TO25" s="324" t="str">
        <f t="shared" si="541"/>
        <v/>
      </c>
      <c r="TP25" s="324" t="str">
        <f t="shared" si="541"/>
        <v/>
      </c>
      <c r="TQ25" s="324" t="str">
        <f t="shared" si="541"/>
        <v/>
      </c>
      <c r="TR25" s="324" t="str">
        <f t="shared" si="541"/>
        <v/>
      </c>
      <c r="TS25" s="324" t="str">
        <f t="shared" si="541"/>
        <v/>
      </c>
      <c r="TT25" s="324" t="str">
        <f t="shared" si="541"/>
        <v/>
      </c>
      <c r="TU25" s="324" t="str">
        <f t="shared" si="541"/>
        <v/>
      </c>
      <c r="TV25" s="324" t="str">
        <f t="shared" si="541"/>
        <v/>
      </c>
      <c r="TW25" s="324" t="str">
        <f t="shared" si="541"/>
        <v/>
      </c>
      <c r="TX25" s="324" t="str">
        <f t="shared" si="541"/>
        <v/>
      </c>
      <c r="TY25" s="324" t="str">
        <f t="shared" si="541"/>
        <v/>
      </c>
      <c r="TZ25" s="324" t="str">
        <f t="shared" si="541"/>
        <v/>
      </c>
      <c r="UA25" s="324" t="str">
        <f t="shared" si="541"/>
        <v/>
      </c>
      <c r="UB25" s="324" t="str">
        <f t="shared" si="541"/>
        <v/>
      </c>
      <c r="UC25" s="324" t="str">
        <f t="shared" si="541"/>
        <v/>
      </c>
      <c r="UD25" s="324" t="str">
        <f t="shared" si="541"/>
        <v/>
      </c>
      <c r="UE25" s="324" t="str">
        <f>IFERROR(ABS(UE23-UE7)/ABS(UE7),"")</f>
        <v/>
      </c>
      <c r="UF25" s="325" t="str">
        <f>IFERROR(ABS(UF23-UF7)/ABS(UF7),"")</f>
        <v/>
      </c>
      <c r="UG25" s="323">
        <f t="shared" ref="UG25:UX25" si="542">IFERROR((UG23-UG7)/ABS(UG7),"")</f>
        <v>0.24063597558445274</v>
      </c>
      <c r="UH25" s="324" t="str">
        <f t="shared" si="542"/>
        <v/>
      </c>
      <c r="UI25" s="324" t="str">
        <f t="shared" si="542"/>
        <v/>
      </c>
      <c r="UJ25" s="324" t="str">
        <f t="shared" si="542"/>
        <v/>
      </c>
      <c r="UK25" s="324" t="str">
        <f t="shared" si="542"/>
        <v/>
      </c>
      <c r="UL25" s="324" t="str">
        <f t="shared" si="542"/>
        <v/>
      </c>
      <c r="UM25" s="324" t="str">
        <f t="shared" si="542"/>
        <v/>
      </c>
      <c r="UN25" s="324" t="str">
        <f t="shared" si="542"/>
        <v/>
      </c>
      <c r="UO25" s="324" t="str">
        <f t="shared" si="542"/>
        <v/>
      </c>
      <c r="UP25" s="324" t="str">
        <f t="shared" si="542"/>
        <v/>
      </c>
      <c r="UQ25" s="324" t="str">
        <f t="shared" si="542"/>
        <v/>
      </c>
      <c r="UR25" s="324" t="str">
        <f t="shared" si="542"/>
        <v/>
      </c>
      <c r="US25" s="324" t="str">
        <f t="shared" si="542"/>
        <v/>
      </c>
      <c r="UT25" s="324" t="str">
        <f t="shared" si="542"/>
        <v/>
      </c>
      <c r="UU25" s="324" t="str">
        <f t="shared" si="542"/>
        <v/>
      </c>
      <c r="UV25" s="324" t="str">
        <f t="shared" si="542"/>
        <v/>
      </c>
      <c r="UW25" s="324" t="str">
        <f t="shared" si="542"/>
        <v/>
      </c>
      <c r="UX25" s="324" t="str">
        <f t="shared" si="542"/>
        <v/>
      </c>
      <c r="UY25" s="324" t="str">
        <f>IFERROR(ABS(UY23-UY7)/ABS(UY7),"")</f>
        <v/>
      </c>
      <c r="UZ25" s="325" t="str">
        <f>IFERROR(ABS(UZ23-UZ7)/ABS(UZ7),"")</f>
        <v/>
      </c>
      <c r="VA25" s="323">
        <f t="shared" ref="VA25:VR25" si="543">IFERROR((VA23-VA7)/ABS(VA7),"")</f>
        <v>0.23548417063721097</v>
      </c>
      <c r="VB25" s="324" t="str">
        <f t="shared" si="543"/>
        <v/>
      </c>
      <c r="VC25" s="324" t="str">
        <f t="shared" si="543"/>
        <v/>
      </c>
      <c r="VD25" s="324" t="str">
        <f t="shared" si="543"/>
        <v/>
      </c>
      <c r="VE25" s="324" t="str">
        <f t="shared" si="543"/>
        <v/>
      </c>
      <c r="VF25" s="324" t="str">
        <f t="shared" si="543"/>
        <v/>
      </c>
      <c r="VG25" s="324" t="str">
        <f t="shared" si="543"/>
        <v/>
      </c>
      <c r="VH25" s="324" t="str">
        <f t="shared" si="543"/>
        <v/>
      </c>
      <c r="VI25" s="324" t="str">
        <f t="shared" si="543"/>
        <v/>
      </c>
      <c r="VJ25" s="324" t="str">
        <f t="shared" si="543"/>
        <v/>
      </c>
      <c r="VK25" s="324" t="str">
        <f t="shared" si="543"/>
        <v/>
      </c>
      <c r="VL25" s="324" t="str">
        <f t="shared" si="543"/>
        <v/>
      </c>
      <c r="VM25" s="324" t="str">
        <f t="shared" si="543"/>
        <v/>
      </c>
      <c r="VN25" s="324" t="str">
        <f t="shared" si="543"/>
        <v/>
      </c>
      <c r="VO25" s="324" t="str">
        <f t="shared" si="543"/>
        <v/>
      </c>
      <c r="VP25" s="324" t="str">
        <f t="shared" si="543"/>
        <v/>
      </c>
      <c r="VQ25" s="324" t="str">
        <f t="shared" si="543"/>
        <v/>
      </c>
      <c r="VR25" s="324" t="str">
        <f t="shared" si="543"/>
        <v/>
      </c>
      <c r="VS25" s="324" t="str">
        <f>IFERROR(ABS(VS23-VS7)/ABS(VS7),"")</f>
        <v/>
      </c>
      <c r="VT25" s="325" t="str">
        <f>IFERROR(ABS(VT23-VT7)/ABS(VT7),"")</f>
        <v/>
      </c>
      <c r="VU25" s="323" t="str">
        <f t="shared" ref="VU25:WL25" si="544">IFERROR((VU23-VU7)/ABS(VU7),"")</f>
        <v/>
      </c>
      <c r="VV25" s="324" t="str">
        <f t="shared" si="544"/>
        <v/>
      </c>
      <c r="VW25" s="324" t="str">
        <f t="shared" si="544"/>
        <v/>
      </c>
      <c r="VX25" s="324" t="str">
        <f t="shared" si="544"/>
        <v/>
      </c>
      <c r="VY25" s="324" t="str">
        <f t="shared" si="544"/>
        <v/>
      </c>
      <c r="VZ25" s="324" t="str">
        <f t="shared" si="544"/>
        <v/>
      </c>
      <c r="WA25" s="324" t="str">
        <f t="shared" si="544"/>
        <v/>
      </c>
      <c r="WB25" s="324" t="str">
        <f t="shared" si="544"/>
        <v/>
      </c>
      <c r="WC25" s="324" t="str">
        <f t="shared" si="544"/>
        <v/>
      </c>
      <c r="WD25" s="324" t="str">
        <f t="shared" si="544"/>
        <v/>
      </c>
      <c r="WE25" s="324" t="str">
        <f t="shared" si="544"/>
        <v/>
      </c>
      <c r="WF25" s="324" t="str">
        <f t="shared" si="544"/>
        <v/>
      </c>
      <c r="WG25" s="324" t="str">
        <f t="shared" si="544"/>
        <v/>
      </c>
      <c r="WH25" s="324" t="str">
        <f t="shared" si="544"/>
        <v/>
      </c>
      <c r="WI25" s="324" t="str">
        <f t="shared" si="544"/>
        <v/>
      </c>
      <c r="WJ25" s="324" t="str">
        <f t="shared" si="544"/>
        <v/>
      </c>
      <c r="WK25" s="324" t="str">
        <f t="shared" si="544"/>
        <v/>
      </c>
      <c r="WL25" s="324" t="str">
        <f t="shared" si="544"/>
        <v/>
      </c>
      <c r="WM25" s="324" t="str">
        <f>IFERROR(ABS(WM23-WM7)/ABS(WM7),"")</f>
        <v/>
      </c>
      <c r="WN25" s="325" t="str">
        <f>IFERROR(ABS(WN23-WN7)/ABS(WN7),"")</f>
        <v/>
      </c>
      <c r="WO25" s="323">
        <f t="shared" ref="WO25:XF25" si="545">IFERROR((WO23-WO7)/ABS(WO7),"")</f>
        <v>2.9235607160135464</v>
      </c>
      <c r="WP25" s="324" t="str">
        <f t="shared" si="545"/>
        <v/>
      </c>
      <c r="WQ25" s="324" t="str">
        <f t="shared" si="545"/>
        <v/>
      </c>
      <c r="WR25" s="324" t="str">
        <f t="shared" si="545"/>
        <v/>
      </c>
      <c r="WS25" s="324" t="str">
        <f t="shared" si="545"/>
        <v/>
      </c>
      <c r="WT25" s="324" t="str">
        <f t="shared" si="545"/>
        <v/>
      </c>
      <c r="WU25" s="324" t="str">
        <f t="shared" si="545"/>
        <v/>
      </c>
      <c r="WV25" s="324" t="str">
        <f t="shared" si="545"/>
        <v/>
      </c>
      <c r="WW25" s="324" t="str">
        <f t="shared" si="545"/>
        <v/>
      </c>
      <c r="WX25" s="324" t="str">
        <f t="shared" si="545"/>
        <v/>
      </c>
      <c r="WY25" s="324" t="str">
        <f t="shared" si="545"/>
        <v/>
      </c>
      <c r="WZ25" s="324" t="str">
        <f t="shared" si="545"/>
        <v/>
      </c>
      <c r="XA25" s="324" t="str">
        <f t="shared" si="545"/>
        <v/>
      </c>
      <c r="XB25" s="324" t="str">
        <f t="shared" si="545"/>
        <v/>
      </c>
      <c r="XC25" s="324" t="str">
        <f t="shared" si="545"/>
        <v/>
      </c>
      <c r="XD25" s="324" t="str">
        <f t="shared" si="545"/>
        <v/>
      </c>
      <c r="XE25" s="324" t="str">
        <f t="shared" si="545"/>
        <v/>
      </c>
      <c r="XF25" s="324" t="str">
        <f t="shared" si="545"/>
        <v/>
      </c>
      <c r="XG25" s="324" t="str">
        <f>IFERROR(ABS(XG23-XG7)/ABS(XG7),"")</f>
        <v/>
      </c>
      <c r="XH25" s="325" t="str">
        <f>IFERROR(ABS(XH23-XH7)/ABS(XH7),"")</f>
        <v/>
      </c>
      <c r="XI25" s="323">
        <f t="shared" ref="XI25:XZ25" si="546">IFERROR((XI23-XI7)/ABS(XI7),"")</f>
        <v>6.1680437374111072</v>
      </c>
      <c r="XJ25" s="324" t="str">
        <f t="shared" si="546"/>
        <v/>
      </c>
      <c r="XK25" s="324" t="str">
        <f t="shared" si="546"/>
        <v/>
      </c>
      <c r="XL25" s="324" t="str">
        <f t="shared" si="546"/>
        <v/>
      </c>
      <c r="XM25" s="324" t="str">
        <f t="shared" si="546"/>
        <v/>
      </c>
      <c r="XN25" s="324" t="str">
        <f t="shared" si="546"/>
        <v/>
      </c>
      <c r="XO25" s="324" t="str">
        <f t="shared" si="546"/>
        <v/>
      </c>
      <c r="XP25" s="324" t="str">
        <f t="shared" si="546"/>
        <v/>
      </c>
      <c r="XQ25" s="324" t="str">
        <f t="shared" si="546"/>
        <v/>
      </c>
      <c r="XR25" s="324" t="str">
        <f t="shared" si="546"/>
        <v/>
      </c>
      <c r="XS25" s="324" t="str">
        <f t="shared" si="546"/>
        <v/>
      </c>
      <c r="XT25" s="324" t="str">
        <f t="shared" si="546"/>
        <v/>
      </c>
      <c r="XU25" s="324" t="str">
        <f t="shared" si="546"/>
        <v/>
      </c>
      <c r="XV25" s="324" t="str">
        <f t="shared" si="546"/>
        <v/>
      </c>
      <c r="XW25" s="324" t="str">
        <f t="shared" si="546"/>
        <v/>
      </c>
      <c r="XX25" s="324" t="str">
        <f t="shared" si="546"/>
        <v/>
      </c>
      <c r="XY25" s="324" t="str">
        <f t="shared" si="546"/>
        <v/>
      </c>
      <c r="XZ25" s="324" t="str">
        <f t="shared" si="546"/>
        <v/>
      </c>
      <c r="YA25" s="324" t="str">
        <f>IFERROR(ABS(YA23-YA7)/ABS(YA7),"")</f>
        <v/>
      </c>
      <c r="YB25" s="325" t="str">
        <f>IFERROR(ABS(YB23-YB7)/ABS(YB7),"")</f>
        <v/>
      </c>
      <c r="YC25" s="323">
        <f t="shared" ref="YC25:YT25" si="547">IFERROR((YC23-YC7)/ABS(YC7),"")</f>
        <v>0</v>
      </c>
      <c r="YD25" s="324" t="str">
        <f t="shared" si="547"/>
        <v/>
      </c>
      <c r="YE25" s="324" t="str">
        <f t="shared" si="547"/>
        <v/>
      </c>
      <c r="YF25" s="324" t="str">
        <f t="shared" si="547"/>
        <v/>
      </c>
      <c r="YG25" s="324" t="str">
        <f t="shared" si="547"/>
        <v/>
      </c>
      <c r="YH25" s="324" t="str">
        <f t="shared" si="547"/>
        <v/>
      </c>
      <c r="YI25" s="324" t="str">
        <f t="shared" si="547"/>
        <v/>
      </c>
      <c r="YJ25" s="324" t="str">
        <f t="shared" si="547"/>
        <v/>
      </c>
      <c r="YK25" s="324" t="str">
        <f t="shared" si="547"/>
        <v/>
      </c>
      <c r="YL25" s="324" t="str">
        <f t="shared" si="547"/>
        <v/>
      </c>
      <c r="YM25" s="324" t="str">
        <f t="shared" si="547"/>
        <v/>
      </c>
      <c r="YN25" s="324" t="str">
        <f t="shared" si="547"/>
        <v/>
      </c>
      <c r="YO25" s="324" t="str">
        <f t="shared" si="547"/>
        <v/>
      </c>
      <c r="YP25" s="324" t="str">
        <f t="shared" si="547"/>
        <v/>
      </c>
      <c r="YQ25" s="324" t="str">
        <f t="shared" si="547"/>
        <v/>
      </c>
      <c r="YR25" s="324" t="str">
        <f t="shared" si="547"/>
        <v/>
      </c>
      <c r="YS25" s="324" t="str">
        <f t="shared" si="547"/>
        <v/>
      </c>
      <c r="YT25" s="324" t="str">
        <f t="shared" si="547"/>
        <v/>
      </c>
      <c r="YU25" s="324" t="str">
        <f>IFERROR(ABS(YU23-YU7)/ABS(YU7),"")</f>
        <v/>
      </c>
      <c r="YV25" s="325" t="str">
        <f>IFERROR(ABS(YV23-YV7)/ABS(YV7),"")</f>
        <v/>
      </c>
      <c r="YW25" s="323">
        <f t="shared" ref="YW25:ZN25" si="548">IFERROR((YW23-YW7)/ABS(YW7),"")</f>
        <v>26.878079055516626</v>
      </c>
      <c r="YX25" s="324" t="str">
        <f t="shared" si="548"/>
        <v/>
      </c>
      <c r="YY25" s="324" t="str">
        <f t="shared" si="548"/>
        <v/>
      </c>
      <c r="YZ25" s="324" t="str">
        <f t="shared" si="548"/>
        <v/>
      </c>
      <c r="ZA25" s="324" t="str">
        <f t="shared" si="548"/>
        <v/>
      </c>
      <c r="ZB25" s="324" t="str">
        <f t="shared" si="548"/>
        <v/>
      </c>
      <c r="ZC25" s="324" t="str">
        <f t="shared" si="548"/>
        <v/>
      </c>
      <c r="ZD25" s="324" t="str">
        <f t="shared" si="548"/>
        <v/>
      </c>
      <c r="ZE25" s="324" t="str">
        <f t="shared" si="548"/>
        <v/>
      </c>
      <c r="ZF25" s="700" t="str">
        <f t="shared" si="548"/>
        <v/>
      </c>
      <c r="ZG25" s="324" t="str">
        <f t="shared" si="548"/>
        <v/>
      </c>
      <c r="ZH25" s="324" t="str">
        <f t="shared" si="548"/>
        <v/>
      </c>
      <c r="ZI25" s="324" t="str">
        <f t="shared" si="548"/>
        <v/>
      </c>
      <c r="ZJ25" s="324" t="str">
        <f t="shared" si="548"/>
        <v/>
      </c>
      <c r="ZK25" s="324" t="str">
        <f t="shared" si="548"/>
        <v/>
      </c>
      <c r="ZL25" s="324" t="str">
        <f t="shared" si="548"/>
        <v/>
      </c>
      <c r="ZM25" s="324" t="str">
        <f t="shared" si="548"/>
        <v/>
      </c>
      <c r="ZN25" s="324" t="str">
        <f t="shared" si="548"/>
        <v/>
      </c>
      <c r="ZO25" s="324" t="str">
        <f>IFERROR(ABS(ZO23-ZO7)/ABS(ZO7),"")</f>
        <v/>
      </c>
      <c r="ZP25" s="325" t="str">
        <f>IFERROR(ABS(ZP23-ZP7)/ABS(ZP7),"")</f>
        <v/>
      </c>
      <c r="ZQ25" s="323">
        <f t="shared" ref="ZQ25:AAH25" si="549">IFERROR((ZQ23-ZQ7)/ABS(ZQ7),"")</f>
        <v>1.0455269240514955</v>
      </c>
      <c r="ZR25" s="324" t="str">
        <f t="shared" si="549"/>
        <v/>
      </c>
      <c r="ZS25" s="324" t="str">
        <f t="shared" si="549"/>
        <v/>
      </c>
      <c r="ZT25" s="324" t="str">
        <f t="shared" si="549"/>
        <v/>
      </c>
      <c r="ZU25" s="324" t="str">
        <f t="shared" si="549"/>
        <v/>
      </c>
      <c r="ZV25" s="324" t="str">
        <f t="shared" si="549"/>
        <v/>
      </c>
      <c r="ZW25" s="324" t="str">
        <f t="shared" si="549"/>
        <v/>
      </c>
      <c r="ZX25" s="324" t="str">
        <f t="shared" si="549"/>
        <v/>
      </c>
      <c r="ZY25" s="324" t="str">
        <f t="shared" si="549"/>
        <v/>
      </c>
      <c r="ZZ25" s="324" t="str">
        <f t="shared" si="549"/>
        <v/>
      </c>
      <c r="AAA25" s="324" t="str">
        <f t="shared" si="549"/>
        <v/>
      </c>
      <c r="AAB25" s="324" t="str">
        <f t="shared" si="549"/>
        <v/>
      </c>
      <c r="AAC25" s="324" t="str">
        <f t="shared" si="549"/>
        <v/>
      </c>
      <c r="AAD25" s="324" t="str">
        <f t="shared" si="549"/>
        <v/>
      </c>
      <c r="AAE25" s="324" t="str">
        <f t="shared" si="549"/>
        <v/>
      </c>
      <c r="AAF25" s="324" t="str">
        <f t="shared" si="549"/>
        <v/>
      </c>
      <c r="AAG25" s="324" t="str">
        <f t="shared" si="549"/>
        <v/>
      </c>
      <c r="AAH25" s="324" t="str">
        <f t="shared" si="549"/>
        <v/>
      </c>
      <c r="AAI25" s="324" t="str">
        <f>IFERROR(ABS(AAI23-AAI7)/ABS(AAI7),"")</f>
        <v/>
      </c>
      <c r="AAJ25" s="325" t="str">
        <f>IFERROR(ABS(AAJ23-AAJ7)/ABS(AAJ7),"")</f>
        <v/>
      </c>
      <c r="AAK25" s="323">
        <f t="shared" ref="AAK25:ABB25" si="550">IFERROR((AAK23-AAK7)/ABS(AAK7),"")</f>
        <v>1.8417258443622873</v>
      </c>
      <c r="AAL25" s="324" t="str">
        <f t="shared" si="550"/>
        <v/>
      </c>
      <c r="AAM25" s="324" t="str">
        <f t="shared" si="550"/>
        <v/>
      </c>
      <c r="AAN25" s="324" t="str">
        <f t="shared" si="550"/>
        <v/>
      </c>
      <c r="AAO25" s="324" t="str">
        <f t="shared" si="550"/>
        <v/>
      </c>
      <c r="AAP25" s="324" t="str">
        <f t="shared" si="550"/>
        <v/>
      </c>
      <c r="AAQ25" s="324" t="str">
        <f t="shared" si="550"/>
        <v/>
      </c>
      <c r="AAR25" s="324" t="str">
        <f t="shared" si="550"/>
        <v/>
      </c>
      <c r="AAS25" s="324" t="str">
        <f t="shared" si="550"/>
        <v/>
      </c>
      <c r="AAT25" s="324" t="str">
        <f t="shared" si="550"/>
        <v/>
      </c>
      <c r="AAU25" s="324" t="str">
        <f t="shared" si="550"/>
        <v/>
      </c>
      <c r="AAV25" s="324" t="str">
        <f t="shared" si="550"/>
        <v/>
      </c>
      <c r="AAW25" s="324" t="str">
        <f t="shared" si="550"/>
        <v/>
      </c>
      <c r="AAX25" s="324" t="str">
        <f t="shared" si="550"/>
        <v/>
      </c>
      <c r="AAY25" s="324" t="str">
        <f t="shared" si="550"/>
        <v/>
      </c>
      <c r="AAZ25" s="324" t="str">
        <f t="shared" si="550"/>
        <v/>
      </c>
      <c r="ABA25" s="324" t="str">
        <f t="shared" si="550"/>
        <v/>
      </c>
      <c r="ABB25" s="324" t="str">
        <f t="shared" si="550"/>
        <v/>
      </c>
      <c r="ABC25" s="324" t="str">
        <f>IFERROR(ABS(ABC23-ABC7)/ABS(ABC7),"")</f>
        <v/>
      </c>
      <c r="ABD25" s="325" t="str">
        <f>IFERROR(ABS(ABD23-ABD7)/ABS(ABD7),"")</f>
        <v/>
      </c>
      <c r="ABE25" s="323">
        <f t="shared" ref="ABE25:ABV25" si="551">IFERROR((ABE23-ABE7)/ABS(ABE7),"")</f>
        <v>0</v>
      </c>
      <c r="ABF25" s="324" t="str">
        <f t="shared" si="551"/>
        <v/>
      </c>
      <c r="ABG25" s="324" t="str">
        <f t="shared" si="551"/>
        <v/>
      </c>
      <c r="ABH25" s="324" t="str">
        <f t="shared" si="551"/>
        <v/>
      </c>
      <c r="ABI25" s="324" t="str">
        <f t="shared" si="551"/>
        <v/>
      </c>
      <c r="ABJ25" s="324" t="str">
        <f t="shared" si="551"/>
        <v/>
      </c>
      <c r="ABK25" s="324" t="str">
        <f t="shared" si="551"/>
        <v/>
      </c>
      <c r="ABL25" s="324" t="str">
        <f t="shared" si="551"/>
        <v/>
      </c>
      <c r="ABM25" s="324" t="str">
        <f t="shared" si="551"/>
        <v/>
      </c>
      <c r="ABN25" s="324" t="str">
        <f t="shared" si="551"/>
        <v/>
      </c>
      <c r="ABO25" s="324" t="str">
        <f t="shared" si="551"/>
        <v/>
      </c>
      <c r="ABP25" s="324" t="str">
        <f t="shared" si="551"/>
        <v/>
      </c>
      <c r="ABQ25" s="324" t="str">
        <f t="shared" si="551"/>
        <v/>
      </c>
      <c r="ABR25" s="324" t="str">
        <f t="shared" si="551"/>
        <v/>
      </c>
      <c r="ABS25" s="324" t="str">
        <f t="shared" si="551"/>
        <v/>
      </c>
      <c r="ABT25" s="324" t="str">
        <f t="shared" si="551"/>
        <v/>
      </c>
      <c r="ABU25" s="324" t="str">
        <f t="shared" si="551"/>
        <v/>
      </c>
      <c r="ABV25" s="324" t="str">
        <f t="shared" si="551"/>
        <v/>
      </c>
      <c r="ABW25" s="324" t="str">
        <f>IFERROR(ABS(ABW23-ABW7)/ABS(ABW7),"")</f>
        <v/>
      </c>
      <c r="ABX25" s="325" t="str">
        <f>IFERROR(ABS(ABX23-ABX7)/ABS(ABX7),"")</f>
        <v/>
      </c>
      <c r="ABY25" s="323">
        <f t="shared" ref="ABY25:ACR25" si="552">IFERROR((ABY23-ABY7)/ABS(ABY7),"")</f>
        <v>0.5209865993396775</v>
      </c>
      <c r="ABZ25" s="324" t="str">
        <f t="shared" si="552"/>
        <v/>
      </c>
      <c r="ACA25" s="324" t="str">
        <f t="shared" si="552"/>
        <v/>
      </c>
      <c r="ACB25" s="324" t="str">
        <f t="shared" si="552"/>
        <v/>
      </c>
      <c r="ACC25" s="324" t="str">
        <f t="shared" si="552"/>
        <v/>
      </c>
      <c r="ACD25" s="324" t="str">
        <f t="shared" si="552"/>
        <v/>
      </c>
      <c r="ACE25" s="324" t="str">
        <f t="shared" si="552"/>
        <v/>
      </c>
      <c r="ACF25" s="324" t="str">
        <f t="shared" si="552"/>
        <v/>
      </c>
      <c r="ACG25" s="324" t="str">
        <f t="shared" si="552"/>
        <v/>
      </c>
      <c r="ACH25" s="324" t="str">
        <f t="shared" si="552"/>
        <v/>
      </c>
      <c r="ACI25" s="324" t="str">
        <f t="shared" si="552"/>
        <v/>
      </c>
      <c r="ACJ25" s="324" t="str">
        <f t="shared" si="552"/>
        <v/>
      </c>
      <c r="ACK25" s="324" t="str">
        <f t="shared" si="552"/>
        <v/>
      </c>
      <c r="ACL25" s="324" t="str">
        <f t="shared" si="552"/>
        <v/>
      </c>
      <c r="ACM25" s="324" t="str">
        <f t="shared" si="552"/>
        <v/>
      </c>
      <c r="ACN25" s="324" t="str">
        <f t="shared" si="552"/>
        <v/>
      </c>
      <c r="ACO25" s="324" t="str">
        <f t="shared" si="552"/>
        <v/>
      </c>
      <c r="ACP25" s="324" t="str">
        <f t="shared" si="552"/>
        <v/>
      </c>
      <c r="ACQ25" s="324" t="str">
        <f t="shared" si="552"/>
        <v/>
      </c>
      <c r="ACR25" s="325" t="str">
        <f t="shared" si="552"/>
        <v/>
      </c>
    </row>
    <row r="26" spans="1:772" ht="15" customHeight="1" x14ac:dyDescent="0.2">
      <c r="A26" s="99" t="s">
        <v>87</v>
      </c>
      <c r="B26" s="100"/>
      <c r="C26" s="100"/>
      <c r="D26" s="100"/>
      <c r="E26" s="101"/>
      <c r="F26" s="101"/>
      <c r="G26" s="102">
        <f t="shared" ref="G26:AE26" si="553">IFERROR(-ABS(G24-G7)/ABS(G7),"")</f>
        <v>0</v>
      </c>
      <c r="H26" s="102">
        <f>IFERROR(-ABS(H24-H7)/ABS(H7),"")</f>
        <v>0</v>
      </c>
      <c r="I26" s="102">
        <f t="shared" si="553"/>
        <v>-0.49581452425822847</v>
      </c>
      <c r="J26" s="102">
        <f t="shared" si="553"/>
        <v>-0.26265629645858429</v>
      </c>
      <c r="K26" s="102">
        <f t="shared" si="553"/>
        <v>-0.15181153820678692</v>
      </c>
      <c r="L26" s="102">
        <f t="shared" si="553"/>
        <v>0</v>
      </c>
      <c r="M26" s="102">
        <f t="shared" si="553"/>
        <v>-0.16614286745986545</v>
      </c>
      <c r="N26" s="102">
        <f t="shared" si="553"/>
        <v>0</v>
      </c>
      <c r="O26" s="102">
        <f t="shared" si="553"/>
        <v>0</v>
      </c>
      <c r="P26" s="102" t="str">
        <f t="shared" si="553"/>
        <v/>
      </c>
      <c r="Q26" s="114">
        <f t="shared" si="553"/>
        <v>0</v>
      </c>
      <c r="R26" s="114">
        <f t="shared" si="553"/>
        <v>0</v>
      </c>
      <c r="S26" s="114">
        <f t="shared" si="553"/>
        <v>-0.29569636653525933</v>
      </c>
      <c r="T26" s="114">
        <f t="shared" si="553"/>
        <v>0</v>
      </c>
      <c r="U26" s="102">
        <f>IFERROR(-ABS(U24-U7)/ABS(U7),"")</f>
        <v>0</v>
      </c>
      <c r="V26" s="102">
        <f>IFERROR(-ABS(V24-V7)/ABS(V7),"")</f>
        <v>0</v>
      </c>
      <c r="W26" s="102">
        <f>IFERROR(-ABS(W24-W7)/ABS(W7),"")</f>
        <v>0</v>
      </c>
      <c r="X26" s="1030">
        <f t="shared" si="553"/>
        <v>0</v>
      </c>
      <c r="Y26" s="1030">
        <f t="shared" ref="Y26" si="554">IFERROR(-ABS(Y24-Y7)/ABS(Y7),"")</f>
        <v>0</v>
      </c>
      <c r="Z26" s="102">
        <f>IFERROR(-ABS(Z24-Z7)/ABS(Z7),"")</f>
        <v>0</v>
      </c>
      <c r="AA26" s="102">
        <f t="shared" si="553"/>
        <v>-0.10447391930464436</v>
      </c>
      <c r="AB26" s="102">
        <f>IFERROR(-ABS(AB24-AB7)/ABS(AB7),"")</f>
        <v>0</v>
      </c>
      <c r="AC26" s="102">
        <f t="shared" si="553"/>
        <v>0</v>
      </c>
      <c r="AD26" s="102">
        <f t="shared" si="553"/>
        <v>0</v>
      </c>
      <c r="AE26" s="115">
        <f t="shared" si="553"/>
        <v>0</v>
      </c>
      <c r="AF26" s="104"/>
      <c r="AG26" s="702">
        <f t="shared" ref="AG26:CR26" si="555">IFERROR(-ABS(AG24-AG7)/ABS(AG7),"")</f>
        <v>-0.49175853729476027</v>
      </c>
      <c r="AH26" s="700" t="str">
        <f t="shared" si="555"/>
        <v/>
      </c>
      <c r="AI26" s="700" t="str">
        <f t="shared" si="555"/>
        <v/>
      </c>
      <c r="AJ26" s="700" t="str">
        <f t="shared" si="555"/>
        <v/>
      </c>
      <c r="AK26" s="700" t="str">
        <f t="shared" si="555"/>
        <v/>
      </c>
      <c r="AL26" s="700" t="str">
        <f t="shared" si="555"/>
        <v/>
      </c>
      <c r="AM26" s="700" t="str">
        <f t="shared" si="555"/>
        <v/>
      </c>
      <c r="AN26" s="700" t="str">
        <f t="shared" si="555"/>
        <v/>
      </c>
      <c r="AO26" s="700" t="str">
        <f t="shared" si="555"/>
        <v/>
      </c>
      <c r="AP26" s="700" t="str">
        <f t="shared" si="555"/>
        <v/>
      </c>
      <c r="AQ26" s="700" t="str">
        <f t="shared" si="555"/>
        <v/>
      </c>
      <c r="AR26" s="700" t="str">
        <f t="shared" si="555"/>
        <v/>
      </c>
      <c r="AS26" s="700" t="str">
        <f t="shared" si="555"/>
        <v/>
      </c>
      <c r="AT26" s="700" t="str">
        <f t="shared" si="555"/>
        <v/>
      </c>
      <c r="AU26" s="700" t="str">
        <f t="shared" si="555"/>
        <v/>
      </c>
      <c r="AV26" s="700" t="str">
        <f t="shared" si="555"/>
        <v/>
      </c>
      <c r="AW26" s="700" t="str">
        <f t="shared" si="555"/>
        <v/>
      </c>
      <c r="AX26" s="700" t="str">
        <f t="shared" si="555"/>
        <v/>
      </c>
      <c r="AY26" s="700" t="str">
        <f t="shared" si="555"/>
        <v/>
      </c>
      <c r="AZ26" s="701" t="str">
        <f t="shared" si="555"/>
        <v/>
      </c>
      <c r="BA26" s="699">
        <f t="shared" si="555"/>
        <v>-0.27465923850956958</v>
      </c>
      <c r="BB26" s="700" t="str">
        <f t="shared" si="555"/>
        <v/>
      </c>
      <c r="BC26" s="700" t="str">
        <f t="shared" si="555"/>
        <v/>
      </c>
      <c r="BD26" s="700" t="str">
        <f t="shared" si="555"/>
        <v/>
      </c>
      <c r="BE26" s="700" t="str">
        <f t="shared" si="555"/>
        <v/>
      </c>
      <c r="BF26" s="700" t="str">
        <f t="shared" si="555"/>
        <v/>
      </c>
      <c r="BG26" s="700" t="str">
        <f t="shared" si="555"/>
        <v/>
      </c>
      <c r="BH26" s="700" t="str">
        <f t="shared" si="555"/>
        <v/>
      </c>
      <c r="BI26" s="700" t="str">
        <f t="shared" si="555"/>
        <v/>
      </c>
      <c r="BJ26" s="700" t="str">
        <f t="shared" si="555"/>
        <v/>
      </c>
      <c r="BK26" s="700" t="str">
        <f t="shared" si="555"/>
        <v/>
      </c>
      <c r="BL26" s="700" t="str">
        <f t="shared" si="555"/>
        <v/>
      </c>
      <c r="BM26" s="700" t="str">
        <f t="shared" si="555"/>
        <v/>
      </c>
      <c r="BN26" s="700" t="str">
        <f t="shared" si="555"/>
        <v/>
      </c>
      <c r="BO26" s="700" t="str">
        <f t="shared" si="555"/>
        <v/>
      </c>
      <c r="BP26" s="700" t="str">
        <f t="shared" si="555"/>
        <v/>
      </c>
      <c r="BQ26" s="700" t="str">
        <f t="shared" si="555"/>
        <v/>
      </c>
      <c r="BR26" s="700" t="str">
        <f t="shared" si="555"/>
        <v/>
      </c>
      <c r="BS26" s="700" t="str">
        <f t="shared" si="555"/>
        <v/>
      </c>
      <c r="BT26" s="701" t="str">
        <f t="shared" si="555"/>
        <v/>
      </c>
      <c r="BU26" s="699">
        <f t="shared" si="555"/>
        <v>-0.1733380434062658</v>
      </c>
      <c r="BV26" s="700" t="str">
        <f t="shared" si="555"/>
        <v/>
      </c>
      <c r="BW26" s="700" t="str">
        <f t="shared" si="555"/>
        <v/>
      </c>
      <c r="BX26" s="700" t="str">
        <f t="shared" si="555"/>
        <v/>
      </c>
      <c r="BY26" s="700" t="str">
        <f t="shared" si="555"/>
        <v/>
      </c>
      <c r="BZ26" s="700" t="str">
        <f t="shared" si="555"/>
        <v/>
      </c>
      <c r="CA26" s="700" t="str">
        <f t="shared" si="555"/>
        <v/>
      </c>
      <c r="CB26" s="700" t="str">
        <f t="shared" si="555"/>
        <v/>
      </c>
      <c r="CC26" s="700" t="str">
        <f t="shared" si="555"/>
        <v/>
      </c>
      <c r="CD26" s="700" t="str">
        <f t="shared" si="555"/>
        <v/>
      </c>
      <c r="CE26" s="700" t="str">
        <f t="shared" si="555"/>
        <v/>
      </c>
      <c r="CF26" s="700" t="str">
        <f t="shared" si="555"/>
        <v/>
      </c>
      <c r="CG26" s="700" t="str">
        <f t="shared" si="555"/>
        <v/>
      </c>
      <c r="CH26" s="700" t="str">
        <f t="shared" si="555"/>
        <v/>
      </c>
      <c r="CI26" s="700" t="str">
        <f t="shared" si="555"/>
        <v/>
      </c>
      <c r="CJ26" s="700" t="str">
        <f t="shared" si="555"/>
        <v/>
      </c>
      <c r="CK26" s="700" t="str">
        <f t="shared" si="555"/>
        <v/>
      </c>
      <c r="CL26" s="700" t="str">
        <f t="shared" si="555"/>
        <v/>
      </c>
      <c r="CM26" s="700" t="str">
        <f t="shared" si="555"/>
        <v/>
      </c>
      <c r="CN26" s="701" t="str">
        <f t="shared" si="555"/>
        <v/>
      </c>
      <c r="CO26" s="699">
        <f t="shared" si="555"/>
        <v>0</v>
      </c>
      <c r="CP26" s="700" t="str">
        <f t="shared" si="555"/>
        <v/>
      </c>
      <c r="CQ26" s="700" t="str">
        <f t="shared" si="555"/>
        <v/>
      </c>
      <c r="CR26" s="700" t="str">
        <f t="shared" si="555"/>
        <v/>
      </c>
      <c r="CS26" s="700" t="str">
        <f t="shared" ref="CS26:FD26" si="556">IFERROR(-ABS(CS24-CS7)/ABS(CS7),"")</f>
        <v/>
      </c>
      <c r="CT26" s="700" t="str">
        <f t="shared" si="556"/>
        <v/>
      </c>
      <c r="CU26" s="700" t="str">
        <f t="shared" si="556"/>
        <v/>
      </c>
      <c r="CV26" s="700" t="str">
        <f t="shared" si="556"/>
        <v/>
      </c>
      <c r="CW26" s="700" t="str">
        <f t="shared" si="556"/>
        <v/>
      </c>
      <c r="CX26" s="700" t="str">
        <f t="shared" si="556"/>
        <v/>
      </c>
      <c r="CY26" s="700" t="str">
        <f t="shared" si="556"/>
        <v/>
      </c>
      <c r="CZ26" s="700" t="str">
        <f t="shared" si="556"/>
        <v/>
      </c>
      <c r="DA26" s="700" t="str">
        <f t="shared" si="556"/>
        <v/>
      </c>
      <c r="DB26" s="700" t="str">
        <f t="shared" si="556"/>
        <v/>
      </c>
      <c r="DC26" s="700" t="str">
        <f t="shared" si="556"/>
        <v/>
      </c>
      <c r="DD26" s="700" t="str">
        <f t="shared" si="556"/>
        <v/>
      </c>
      <c r="DE26" s="700" t="str">
        <f t="shared" si="556"/>
        <v/>
      </c>
      <c r="DF26" s="700" t="str">
        <f t="shared" si="556"/>
        <v/>
      </c>
      <c r="DG26" s="700" t="str">
        <f t="shared" si="556"/>
        <v/>
      </c>
      <c r="DH26" s="701" t="str">
        <f t="shared" si="556"/>
        <v/>
      </c>
      <c r="DI26" s="699">
        <f t="shared" si="556"/>
        <v>-0.16478273567050636</v>
      </c>
      <c r="DJ26" s="700" t="str">
        <f t="shared" si="556"/>
        <v/>
      </c>
      <c r="DK26" s="700" t="str">
        <f t="shared" si="556"/>
        <v/>
      </c>
      <c r="DL26" s="700" t="str">
        <f t="shared" si="556"/>
        <v/>
      </c>
      <c r="DM26" s="700" t="str">
        <f t="shared" si="556"/>
        <v/>
      </c>
      <c r="DN26" s="700" t="str">
        <f t="shared" si="556"/>
        <v/>
      </c>
      <c r="DO26" s="700" t="str">
        <f t="shared" si="556"/>
        <v/>
      </c>
      <c r="DP26" s="700" t="str">
        <f t="shared" si="556"/>
        <v/>
      </c>
      <c r="DQ26" s="700" t="str">
        <f t="shared" si="556"/>
        <v/>
      </c>
      <c r="DR26" s="700" t="str">
        <f t="shared" si="556"/>
        <v/>
      </c>
      <c r="DS26" s="700" t="str">
        <f t="shared" si="556"/>
        <v/>
      </c>
      <c r="DT26" s="700" t="str">
        <f t="shared" si="556"/>
        <v/>
      </c>
      <c r="DU26" s="700" t="str">
        <f t="shared" si="556"/>
        <v/>
      </c>
      <c r="DV26" s="700" t="str">
        <f t="shared" si="556"/>
        <v/>
      </c>
      <c r="DW26" s="700" t="str">
        <f t="shared" si="556"/>
        <v/>
      </c>
      <c r="DX26" s="700" t="str">
        <f t="shared" si="556"/>
        <v/>
      </c>
      <c r="DY26" s="700" t="str">
        <f t="shared" si="556"/>
        <v/>
      </c>
      <c r="DZ26" s="700" t="str">
        <f t="shared" si="556"/>
        <v/>
      </c>
      <c r="EA26" s="700" t="str">
        <f t="shared" si="556"/>
        <v/>
      </c>
      <c r="EB26" s="701" t="str">
        <f t="shared" si="556"/>
        <v/>
      </c>
      <c r="EC26" s="699">
        <f t="shared" si="556"/>
        <v>0</v>
      </c>
      <c r="ED26" s="700" t="str">
        <f t="shared" si="556"/>
        <v/>
      </c>
      <c r="EE26" s="700" t="str">
        <f t="shared" si="556"/>
        <v/>
      </c>
      <c r="EF26" s="700" t="str">
        <f t="shared" si="556"/>
        <v/>
      </c>
      <c r="EG26" s="700" t="str">
        <f t="shared" si="556"/>
        <v/>
      </c>
      <c r="EH26" s="700" t="str">
        <f t="shared" si="556"/>
        <v/>
      </c>
      <c r="EI26" s="700" t="str">
        <f t="shared" si="556"/>
        <v/>
      </c>
      <c r="EJ26" s="700" t="str">
        <f t="shared" si="556"/>
        <v/>
      </c>
      <c r="EK26" s="700" t="str">
        <f t="shared" si="556"/>
        <v/>
      </c>
      <c r="EL26" s="700" t="str">
        <f t="shared" si="556"/>
        <v/>
      </c>
      <c r="EM26" s="700" t="str">
        <f t="shared" si="556"/>
        <v/>
      </c>
      <c r="EN26" s="700" t="str">
        <f t="shared" si="556"/>
        <v/>
      </c>
      <c r="EO26" s="700" t="str">
        <f t="shared" si="556"/>
        <v/>
      </c>
      <c r="EP26" s="700" t="str">
        <f t="shared" si="556"/>
        <v/>
      </c>
      <c r="EQ26" s="700" t="str">
        <f t="shared" si="556"/>
        <v/>
      </c>
      <c r="ER26" s="700" t="str">
        <f t="shared" si="556"/>
        <v/>
      </c>
      <c r="ES26" s="700" t="str">
        <f t="shared" si="556"/>
        <v/>
      </c>
      <c r="ET26" s="700" t="str">
        <f t="shared" si="556"/>
        <v/>
      </c>
      <c r="EU26" s="700" t="str">
        <f t="shared" si="556"/>
        <v/>
      </c>
      <c r="EV26" s="701" t="str">
        <f t="shared" si="556"/>
        <v/>
      </c>
      <c r="EW26" s="699">
        <f t="shared" si="556"/>
        <v>0</v>
      </c>
      <c r="EX26" s="700" t="str">
        <f t="shared" si="556"/>
        <v/>
      </c>
      <c r="EY26" s="700" t="str">
        <f t="shared" si="556"/>
        <v/>
      </c>
      <c r="EZ26" s="700" t="str">
        <f t="shared" si="556"/>
        <v/>
      </c>
      <c r="FA26" s="700" t="str">
        <f t="shared" si="556"/>
        <v/>
      </c>
      <c r="FB26" s="700" t="str">
        <f t="shared" si="556"/>
        <v/>
      </c>
      <c r="FC26" s="700" t="str">
        <f t="shared" si="556"/>
        <v/>
      </c>
      <c r="FD26" s="700" t="str">
        <f t="shared" si="556"/>
        <v/>
      </c>
      <c r="FE26" s="700" t="str">
        <f t="shared" ref="FE26:HP26" si="557">IFERROR(-ABS(FE24-FE7)/ABS(FE7),"")</f>
        <v/>
      </c>
      <c r="FF26" s="700" t="str">
        <f t="shared" si="557"/>
        <v/>
      </c>
      <c r="FG26" s="700" t="str">
        <f t="shared" si="557"/>
        <v/>
      </c>
      <c r="FH26" s="700" t="str">
        <f t="shared" si="557"/>
        <v/>
      </c>
      <c r="FI26" s="700" t="str">
        <f t="shared" si="557"/>
        <v/>
      </c>
      <c r="FJ26" s="700" t="str">
        <f t="shared" si="557"/>
        <v/>
      </c>
      <c r="FK26" s="700" t="str">
        <f t="shared" si="557"/>
        <v/>
      </c>
      <c r="FL26" s="700" t="str">
        <f t="shared" si="557"/>
        <v/>
      </c>
      <c r="FM26" s="700" t="str">
        <f t="shared" si="557"/>
        <v/>
      </c>
      <c r="FN26" s="700" t="str">
        <f t="shared" si="557"/>
        <v/>
      </c>
      <c r="FO26" s="700" t="str">
        <f t="shared" si="557"/>
        <v/>
      </c>
      <c r="FP26" s="701" t="str">
        <f t="shared" si="557"/>
        <v/>
      </c>
      <c r="FQ26" s="699" t="str">
        <f t="shared" si="557"/>
        <v/>
      </c>
      <c r="FR26" s="700" t="str">
        <f t="shared" si="557"/>
        <v/>
      </c>
      <c r="FS26" s="700" t="str">
        <f t="shared" si="557"/>
        <v/>
      </c>
      <c r="FT26" s="700" t="str">
        <f t="shared" si="557"/>
        <v/>
      </c>
      <c r="FU26" s="700" t="str">
        <f t="shared" si="557"/>
        <v/>
      </c>
      <c r="FV26" s="700" t="str">
        <f t="shared" si="557"/>
        <v/>
      </c>
      <c r="FW26" s="700" t="str">
        <f t="shared" si="557"/>
        <v/>
      </c>
      <c r="FX26" s="700" t="str">
        <f t="shared" si="557"/>
        <v/>
      </c>
      <c r="FY26" s="700" t="str">
        <f t="shared" si="557"/>
        <v/>
      </c>
      <c r="FZ26" s="700" t="str">
        <f t="shared" si="557"/>
        <v/>
      </c>
      <c r="GA26" s="700" t="str">
        <f t="shared" si="557"/>
        <v/>
      </c>
      <c r="GB26" s="700" t="str">
        <f t="shared" si="557"/>
        <v/>
      </c>
      <c r="GC26" s="700" t="str">
        <f t="shared" si="557"/>
        <v/>
      </c>
      <c r="GD26" s="700" t="str">
        <f t="shared" si="557"/>
        <v/>
      </c>
      <c r="GE26" s="700" t="str">
        <f t="shared" si="557"/>
        <v/>
      </c>
      <c r="GF26" s="700" t="str">
        <f t="shared" si="557"/>
        <v/>
      </c>
      <c r="GG26" s="700" t="str">
        <f t="shared" si="557"/>
        <v/>
      </c>
      <c r="GH26" s="700" t="str">
        <f t="shared" si="557"/>
        <v/>
      </c>
      <c r="GI26" s="700" t="str">
        <f t="shared" si="557"/>
        <v/>
      </c>
      <c r="GJ26" s="701" t="str">
        <f t="shared" si="557"/>
        <v/>
      </c>
      <c r="GK26" s="598">
        <f t="shared" si="557"/>
        <v>0</v>
      </c>
      <c r="GL26" s="599" t="str">
        <f t="shared" si="557"/>
        <v/>
      </c>
      <c r="GM26" s="599" t="str">
        <f t="shared" si="557"/>
        <v/>
      </c>
      <c r="GN26" s="599" t="str">
        <f t="shared" si="557"/>
        <v/>
      </c>
      <c r="GO26" s="599" t="str">
        <f t="shared" si="557"/>
        <v/>
      </c>
      <c r="GP26" s="599" t="str">
        <f t="shared" si="557"/>
        <v/>
      </c>
      <c r="GQ26" s="599" t="str">
        <f t="shared" si="557"/>
        <v/>
      </c>
      <c r="GR26" s="599" t="str">
        <f t="shared" si="557"/>
        <v/>
      </c>
      <c r="GS26" s="599" t="str">
        <f t="shared" si="557"/>
        <v/>
      </c>
      <c r="GT26" s="599" t="str">
        <f t="shared" si="557"/>
        <v/>
      </c>
      <c r="GU26" s="599" t="str">
        <f t="shared" si="557"/>
        <v/>
      </c>
      <c r="GV26" s="599" t="str">
        <f t="shared" si="557"/>
        <v/>
      </c>
      <c r="GW26" s="599" t="str">
        <f t="shared" si="557"/>
        <v/>
      </c>
      <c r="GX26" s="599" t="str">
        <f t="shared" si="557"/>
        <v/>
      </c>
      <c r="GY26" s="599" t="str">
        <f t="shared" si="557"/>
        <v/>
      </c>
      <c r="GZ26" s="599" t="str">
        <f t="shared" si="557"/>
        <v/>
      </c>
      <c r="HA26" s="599" t="str">
        <f t="shared" si="557"/>
        <v/>
      </c>
      <c r="HB26" s="599" t="str">
        <f t="shared" si="557"/>
        <v/>
      </c>
      <c r="HC26" s="599" t="str">
        <f t="shared" si="557"/>
        <v/>
      </c>
      <c r="HD26" s="600" t="str">
        <f t="shared" si="557"/>
        <v/>
      </c>
      <c r="HE26" s="598">
        <f t="shared" si="557"/>
        <v>0</v>
      </c>
      <c r="HF26" s="599" t="str">
        <f t="shared" si="557"/>
        <v/>
      </c>
      <c r="HG26" s="599" t="str">
        <f t="shared" si="557"/>
        <v/>
      </c>
      <c r="HH26" s="599" t="str">
        <f t="shared" si="557"/>
        <v/>
      </c>
      <c r="HI26" s="599" t="str">
        <f t="shared" si="557"/>
        <v/>
      </c>
      <c r="HJ26" s="599" t="str">
        <f t="shared" si="557"/>
        <v/>
      </c>
      <c r="HK26" s="599" t="str">
        <f t="shared" si="557"/>
        <v/>
      </c>
      <c r="HL26" s="599" t="str">
        <f t="shared" si="557"/>
        <v/>
      </c>
      <c r="HM26" s="599" t="str">
        <f t="shared" si="557"/>
        <v/>
      </c>
      <c r="HN26" s="599" t="str">
        <f t="shared" si="557"/>
        <v/>
      </c>
      <c r="HO26" s="599" t="str">
        <f t="shared" si="557"/>
        <v/>
      </c>
      <c r="HP26" s="599" t="str">
        <f t="shared" si="557"/>
        <v/>
      </c>
      <c r="HQ26" s="599" t="str">
        <f t="shared" ref="HQ26:KB26" si="558">IFERROR(-ABS(HQ24-HQ7)/ABS(HQ7),"")</f>
        <v/>
      </c>
      <c r="HR26" s="599" t="str">
        <f t="shared" si="558"/>
        <v/>
      </c>
      <c r="HS26" s="599" t="str">
        <f t="shared" si="558"/>
        <v/>
      </c>
      <c r="HT26" s="599" t="str">
        <f t="shared" si="558"/>
        <v/>
      </c>
      <c r="HU26" s="599" t="str">
        <f t="shared" si="558"/>
        <v/>
      </c>
      <c r="HV26" s="599" t="str">
        <f t="shared" si="558"/>
        <v/>
      </c>
      <c r="HW26" s="599" t="str">
        <f t="shared" si="558"/>
        <v/>
      </c>
      <c r="HX26" s="600" t="str">
        <f t="shared" si="558"/>
        <v/>
      </c>
      <c r="HY26" s="598">
        <f t="shared" si="558"/>
        <v>-0.15175166949481847</v>
      </c>
      <c r="HZ26" s="599" t="str">
        <f t="shared" si="558"/>
        <v/>
      </c>
      <c r="IA26" s="599" t="str">
        <f t="shared" si="558"/>
        <v/>
      </c>
      <c r="IB26" s="599" t="str">
        <f t="shared" si="558"/>
        <v/>
      </c>
      <c r="IC26" s="599" t="str">
        <f t="shared" si="558"/>
        <v/>
      </c>
      <c r="ID26" s="599" t="str">
        <f t="shared" si="558"/>
        <v/>
      </c>
      <c r="IE26" s="599" t="str">
        <f t="shared" si="558"/>
        <v/>
      </c>
      <c r="IF26" s="599" t="str">
        <f t="shared" si="558"/>
        <v/>
      </c>
      <c r="IG26" s="599" t="str">
        <f t="shared" si="558"/>
        <v/>
      </c>
      <c r="IH26" s="599" t="str">
        <f t="shared" si="558"/>
        <v/>
      </c>
      <c r="II26" s="599" t="str">
        <f t="shared" si="558"/>
        <v/>
      </c>
      <c r="IJ26" s="599" t="str">
        <f t="shared" si="558"/>
        <v/>
      </c>
      <c r="IK26" s="599" t="str">
        <f t="shared" si="558"/>
        <v/>
      </c>
      <c r="IL26" s="599" t="str">
        <f t="shared" si="558"/>
        <v/>
      </c>
      <c r="IM26" s="599" t="str">
        <f t="shared" si="558"/>
        <v/>
      </c>
      <c r="IN26" s="599" t="str">
        <f t="shared" si="558"/>
        <v/>
      </c>
      <c r="IO26" s="599" t="str">
        <f t="shared" si="558"/>
        <v/>
      </c>
      <c r="IP26" s="599" t="str">
        <f t="shared" si="558"/>
        <v/>
      </c>
      <c r="IQ26" s="599" t="str">
        <f t="shared" si="558"/>
        <v/>
      </c>
      <c r="IR26" s="600" t="str">
        <f t="shared" si="558"/>
        <v/>
      </c>
      <c r="IS26" s="598">
        <f t="shared" si="558"/>
        <v>0</v>
      </c>
      <c r="IT26" s="599" t="str">
        <f t="shared" si="558"/>
        <v/>
      </c>
      <c r="IU26" s="599" t="str">
        <f t="shared" si="558"/>
        <v/>
      </c>
      <c r="IV26" s="599" t="str">
        <f t="shared" si="558"/>
        <v/>
      </c>
      <c r="IW26" s="599" t="str">
        <f t="shared" si="558"/>
        <v/>
      </c>
      <c r="IX26" s="599" t="str">
        <f t="shared" si="558"/>
        <v/>
      </c>
      <c r="IY26" s="599" t="str">
        <f t="shared" si="558"/>
        <v/>
      </c>
      <c r="IZ26" s="599" t="str">
        <f t="shared" si="558"/>
        <v/>
      </c>
      <c r="JA26" s="599" t="str">
        <f t="shared" si="558"/>
        <v/>
      </c>
      <c r="JB26" s="599" t="str">
        <f t="shared" si="558"/>
        <v/>
      </c>
      <c r="JC26" s="599" t="str">
        <f t="shared" si="558"/>
        <v/>
      </c>
      <c r="JD26" s="599" t="str">
        <f t="shared" si="558"/>
        <v/>
      </c>
      <c r="JE26" s="599" t="str">
        <f t="shared" si="558"/>
        <v/>
      </c>
      <c r="JF26" s="599" t="str">
        <f t="shared" si="558"/>
        <v/>
      </c>
      <c r="JG26" s="599" t="str">
        <f t="shared" si="558"/>
        <v/>
      </c>
      <c r="JH26" s="599" t="str">
        <f t="shared" si="558"/>
        <v/>
      </c>
      <c r="JI26" s="599" t="str">
        <f t="shared" si="558"/>
        <v/>
      </c>
      <c r="JJ26" s="599" t="str">
        <f t="shared" si="558"/>
        <v/>
      </c>
      <c r="JK26" s="599" t="str">
        <f t="shared" si="558"/>
        <v/>
      </c>
      <c r="JL26" s="600" t="str">
        <f t="shared" si="558"/>
        <v/>
      </c>
      <c r="JM26" s="699">
        <f t="shared" si="558"/>
        <v>0</v>
      </c>
      <c r="JN26" s="700" t="str">
        <f t="shared" si="558"/>
        <v/>
      </c>
      <c r="JO26" s="700" t="str">
        <f t="shared" si="558"/>
        <v/>
      </c>
      <c r="JP26" s="700" t="str">
        <f t="shared" si="558"/>
        <v/>
      </c>
      <c r="JQ26" s="700" t="str">
        <f t="shared" si="558"/>
        <v/>
      </c>
      <c r="JR26" s="700" t="str">
        <f t="shared" si="558"/>
        <v/>
      </c>
      <c r="JS26" s="700" t="str">
        <f t="shared" si="558"/>
        <v/>
      </c>
      <c r="JT26" s="700" t="str">
        <f t="shared" si="558"/>
        <v/>
      </c>
      <c r="JU26" s="700" t="str">
        <f t="shared" si="558"/>
        <v/>
      </c>
      <c r="JV26" s="700" t="str">
        <f t="shared" si="558"/>
        <v/>
      </c>
      <c r="JW26" s="700" t="str">
        <f t="shared" si="558"/>
        <v/>
      </c>
      <c r="JX26" s="700" t="str">
        <f t="shared" si="558"/>
        <v/>
      </c>
      <c r="JY26" s="700" t="str">
        <f t="shared" si="558"/>
        <v/>
      </c>
      <c r="JZ26" s="700" t="str">
        <f t="shared" si="558"/>
        <v/>
      </c>
      <c r="KA26" s="700" t="str">
        <f t="shared" si="558"/>
        <v/>
      </c>
      <c r="KB26" s="700" t="str">
        <f t="shared" si="558"/>
        <v/>
      </c>
      <c r="KC26" s="700" t="str">
        <f t="shared" ref="KC26:MN26" si="559">IFERROR(-ABS(KC24-KC7)/ABS(KC7),"")</f>
        <v/>
      </c>
      <c r="KD26" s="700" t="str">
        <f t="shared" si="559"/>
        <v/>
      </c>
      <c r="KE26" s="700" t="str">
        <f t="shared" si="559"/>
        <v/>
      </c>
      <c r="KF26" s="701" t="str">
        <f t="shared" si="559"/>
        <v/>
      </c>
      <c r="KG26" s="323">
        <f t="shared" si="559"/>
        <v>0</v>
      </c>
      <c r="KH26" s="324" t="str">
        <f t="shared" si="559"/>
        <v/>
      </c>
      <c r="KI26" s="324" t="str">
        <f t="shared" si="559"/>
        <v/>
      </c>
      <c r="KJ26" s="324" t="str">
        <f t="shared" si="559"/>
        <v/>
      </c>
      <c r="KK26" s="324" t="str">
        <f t="shared" si="559"/>
        <v/>
      </c>
      <c r="KL26" s="324" t="str">
        <f t="shared" si="559"/>
        <v/>
      </c>
      <c r="KM26" s="324" t="str">
        <f t="shared" si="559"/>
        <v/>
      </c>
      <c r="KN26" s="324" t="str">
        <f t="shared" si="559"/>
        <v/>
      </c>
      <c r="KO26" s="324" t="str">
        <f t="shared" si="559"/>
        <v/>
      </c>
      <c r="KP26" s="324" t="str">
        <f t="shared" si="559"/>
        <v/>
      </c>
      <c r="KQ26" s="324" t="str">
        <f t="shared" si="559"/>
        <v/>
      </c>
      <c r="KR26" s="324" t="str">
        <f t="shared" si="559"/>
        <v/>
      </c>
      <c r="KS26" s="324" t="str">
        <f t="shared" si="559"/>
        <v/>
      </c>
      <c r="KT26" s="324" t="str">
        <f t="shared" si="559"/>
        <v/>
      </c>
      <c r="KU26" s="324" t="str">
        <f t="shared" si="559"/>
        <v/>
      </c>
      <c r="KV26" s="324" t="str">
        <f t="shared" si="559"/>
        <v/>
      </c>
      <c r="KW26" s="324" t="str">
        <f t="shared" si="559"/>
        <v/>
      </c>
      <c r="KX26" s="324" t="str">
        <f t="shared" si="559"/>
        <v/>
      </c>
      <c r="KY26" s="324" t="str">
        <f t="shared" si="559"/>
        <v/>
      </c>
      <c r="KZ26" s="325" t="str">
        <f t="shared" si="559"/>
        <v/>
      </c>
      <c r="LA26" s="323">
        <f t="shared" si="559"/>
        <v>0</v>
      </c>
      <c r="LB26" s="323" t="str">
        <f t="shared" si="559"/>
        <v/>
      </c>
      <c r="LC26" s="323" t="str">
        <f t="shared" si="559"/>
        <v/>
      </c>
      <c r="LD26" s="323" t="str">
        <f t="shared" si="559"/>
        <v/>
      </c>
      <c r="LE26" s="323" t="str">
        <f t="shared" si="559"/>
        <v/>
      </c>
      <c r="LF26" s="323" t="str">
        <f t="shared" si="559"/>
        <v/>
      </c>
      <c r="LG26" s="323" t="str">
        <f t="shared" si="559"/>
        <v/>
      </c>
      <c r="LH26" s="323" t="str">
        <f t="shared" si="559"/>
        <v/>
      </c>
      <c r="LI26" s="323" t="str">
        <f t="shared" si="559"/>
        <v/>
      </c>
      <c r="LJ26" s="323" t="str">
        <f t="shared" si="559"/>
        <v/>
      </c>
      <c r="LK26" s="323" t="str">
        <f t="shared" si="559"/>
        <v/>
      </c>
      <c r="LL26" s="323" t="str">
        <f t="shared" si="559"/>
        <v/>
      </c>
      <c r="LM26" s="323" t="str">
        <f t="shared" si="559"/>
        <v/>
      </c>
      <c r="LN26" s="323" t="str">
        <f t="shared" si="559"/>
        <v/>
      </c>
      <c r="LO26" s="323" t="str">
        <f t="shared" si="559"/>
        <v/>
      </c>
      <c r="LP26" s="323" t="str">
        <f t="shared" si="559"/>
        <v/>
      </c>
      <c r="LQ26" s="323" t="str">
        <f t="shared" si="559"/>
        <v/>
      </c>
      <c r="LR26" s="323" t="str">
        <f t="shared" si="559"/>
        <v/>
      </c>
      <c r="LS26" s="323" t="str">
        <f t="shared" si="559"/>
        <v/>
      </c>
      <c r="LT26" s="323" t="str">
        <f t="shared" si="559"/>
        <v/>
      </c>
      <c r="LU26" s="323">
        <f t="shared" si="559"/>
        <v>0</v>
      </c>
      <c r="LV26" s="323" t="str">
        <f t="shared" si="559"/>
        <v/>
      </c>
      <c r="LW26" s="323" t="str">
        <f t="shared" si="559"/>
        <v/>
      </c>
      <c r="LX26" s="323" t="str">
        <f t="shared" si="559"/>
        <v/>
      </c>
      <c r="LY26" s="323" t="str">
        <f t="shared" si="559"/>
        <v/>
      </c>
      <c r="LZ26" s="323" t="str">
        <f t="shared" si="559"/>
        <v/>
      </c>
      <c r="MA26" s="323" t="str">
        <f t="shared" si="559"/>
        <v/>
      </c>
      <c r="MB26" s="323" t="str">
        <f t="shared" si="559"/>
        <v/>
      </c>
      <c r="MC26" s="323" t="str">
        <f t="shared" si="559"/>
        <v/>
      </c>
      <c r="MD26" s="323" t="str">
        <f t="shared" si="559"/>
        <v/>
      </c>
      <c r="ME26" s="323" t="str">
        <f t="shared" si="559"/>
        <v/>
      </c>
      <c r="MF26" s="323" t="str">
        <f t="shared" si="559"/>
        <v/>
      </c>
      <c r="MG26" s="323" t="str">
        <f t="shared" si="559"/>
        <v/>
      </c>
      <c r="MH26" s="323" t="str">
        <f t="shared" si="559"/>
        <v/>
      </c>
      <c r="MI26" s="323" t="str">
        <f t="shared" si="559"/>
        <v/>
      </c>
      <c r="MJ26" s="323" t="str">
        <f t="shared" si="559"/>
        <v/>
      </c>
      <c r="MK26" s="323" t="str">
        <f t="shared" si="559"/>
        <v/>
      </c>
      <c r="ML26" s="323" t="str">
        <f t="shared" si="559"/>
        <v/>
      </c>
      <c r="MM26" s="323" t="str">
        <f t="shared" si="559"/>
        <v/>
      </c>
      <c r="MN26" s="323" t="str">
        <f t="shared" si="559"/>
        <v/>
      </c>
      <c r="MO26" s="323">
        <f t="shared" ref="MO26:OZ26" si="560">IFERROR(-ABS(MO24-MO7)/ABS(MO7),"")</f>
        <v>0</v>
      </c>
      <c r="MP26" s="323" t="str">
        <f t="shared" si="560"/>
        <v/>
      </c>
      <c r="MQ26" s="323" t="str">
        <f t="shared" si="560"/>
        <v/>
      </c>
      <c r="MR26" s="323" t="str">
        <f t="shared" si="560"/>
        <v/>
      </c>
      <c r="MS26" s="323" t="str">
        <f t="shared" si="560"/>
        <v/>
      </c>
      <c r="MT26" s="323" t="str">
        <f t="shared" si="560"/>
        <v/>
      </c>
      <c r="MU26" s="323" t="str">
        <f t="shared" si="560"/>
        <v/>
      </c>
      <c r="MV26" s="323" t="str">
        <f t="shared" si="560"/>
        <v/>
      </c>
      <c r="MW26" s="323" t="str">
        <f t="shared" si="560"/>
        <v/>
      </c>
      <c r="MX26" s="323" t="str">
        <f t="shared" si="560"/>
        <v/>
      </c>
      <c r="MY26" s="323" t="str">
        <f t="shared" si="560"/>
        <v/>
      </c>
      <c r="MZ26" s="323" t="str">
        <f t="shared" si="560"/>
        <v/>
      </c>
      <c r="NA26" s="323" t="str">
        <f t="shared" si="560"/>
        <v/>
      </c>
      <c r="NB26" s="323" t="str">
        <f t="shared" si="560"/>
        <v/>
      </c>
      <c r="NC26" s="323" t="str">
        <f t="shared" si="560"/>
        <v/>
      </c>
      <c r="ND26" s="323" t="str">
        <f t="shared" si="560"/>
        <v/>
      </c>
      <c r="NE26" s="323" t="str">
        <f t="shared" si="560"/>
        <v/>
      </c>
      <c r="NF26" s="323" t="str">
        <f t="shared" si="560"/>
        <v/>
      </c>
      <c r="NG26" s="323" t="str">
        <f t="shared" si="560"/>
        <v/>
      </c>
      <c r="NH26" s="323" t="str">
        <f t="shared" si="560"/>
        <v/>
      </c>
      <c r="NI26" s="323">
        <f t="shared" si="560"/>
        <v>-0.34262944820158592</v>
      </c>
      <c r="NJ26" s="323" t="str">
        <f t="shared" si="560"/>
        <v/>
      </c>
      <c r="NK26" s="323" t="str">
        <f t="shared" si="560"/>
        <v/>
      </c>
      <c r="NL26" s="323" t="str">
        <f t="shared" si="560"/>
        <v/>
      </c>
      <c r="NM26" s="323" t="str">
        <f t="shared" si="560"/>
        <v/>
      </c>
      <c r="NN26" s="323" t="str">
        <f t="shared" si="560"/>
        <v/>
      </c>
      <c r="NO26" s="323" t="str">
        <f t="shared" si="560"/>
        <v/>
      </c>
      <c r="NP26" s="323" t="str">
        <f t="shared" si="560"/>
        <v/>
      </c>
      <c r="NQ26" s="323" t="str">
        <f t="shared" si="560"/>
        <v/>
      </c>
      <c r="NR26" s="323" t="str">
        <f t="shared" si="560"/>
        <v/>
      </c>
      <c r="NS26" s="323" t="str">
        <f t="shared" si="560"/>
        <v/>
      </c>
      <c r="NT26" s="323" t="str">
        <f t="shared" si="560"/>
        <v/>
      </c>
      <c r="NU26" s="323" t="str">
        <f t="shared" si="560"/>
        <v/>
      </c>
      <c r="NV26" s="323" t="str">
        <f t="shared" si="560"/>
        <v/>
      </c>
      <c r="NW26" s="323" t="str">
        <f t="shared" si="560"/>
        <v/>
      </c>
      <c r="NX26" s="323" t="str">
        <f t="shared" si="560"/>
        <v/>
      </c>
      <c r="NY26" s="323" t="str">
        <f t="shared" si="560"/>
        <v/>
      </c>
      <c r="NZ26" s="323" t="str">
        <f t="shared" si="560"/>
        <v/>
      </c>
      <c r="OA26" s="323" t="str">
        <f t="shared" si="560"/>
        <v/>
      </c>
      <c r="OB26" s="323" t="str">
        <f t="shared" si="560"/>
        <v/>
      </c>
      <c r="OC26" s="323">
        <f t="shared" si="560"/>
        <v>0</v>
      </c>
      <c r="OD26" s="324" t="str">
        <f t="shared" si="560"/>
        <v/>
      </c>
      <c r="OE26" s="324" t="str">
        <f t="shared" si="560"/>
        <v/>
      </c>
      <c r="OF26" s="324" t="str">
        <f t="shared" si="560"/>
        <v/>
      </c>
      <c r="OG26" s="324" t="str">
        <f t="shared" si="560"/>
        <v/>
      </c>
      <c r="OH26" s="324" t="str">
        <f t="shared" si="560"/>
        <v/>
      </c>
      <c r="OI26" s="324" t="str">
        <f t="shared" si="560"/>
        <v/>
      </c>
      <c r="OJ26" s="324" t="str">
        <f t="shared" si="560"/>
        <v/>
      </c>
      <c r="OK26" s="324" t="str">
        <f t="shared" si="560"/>
        <v/>
      </c>
      <c r="OL26" s="324" t="str">
        <f t="shared" si="560"/>
        <v/>
      </c>
      <c r="OM26" s="324" t="str">
        <f t="shared" si="560"/>
        <v/>
      </c>
      <c r="ON26" s="324" t="str">
        <f t="shared" si="560"/>
        <v/>
      </c>
      <c r="OO26" s="324" t="str">
        <f t="shared" si="560"/>
        <v/>
      </c>
      <c r="OP26" s="324" t="str">
        <f t="shared" si="560"/>
        <v/>
      </c>
      <c r="OQ26" s="324" t="str">
        <f t="shared" si="560"/>
        <v/>
      </c>
      <c r="OR26" s="324" t="str">
        <f t="shared" si="560"/>
        <v/>
      </c>
      <c r="OS26" s="324" t="str">
        <f t="shared" si="560"/>
        <v/>
      </c>
      <c r="OT26" s="324" t="str">
        <f t="shared" si="560"/>
        <v/>
      </c>
      <c r="OU26" s="324" t="str">
        <f t="shared" si="560"/>
        <v/>
      </c>
      <c r="OV26" s="325" t="str">
        <f t="shared" si="560"/>
        <v/>
      </c>
      <c r="OW26" s="323">
        <f t="shared" si="560"/>
        <v>0</v>
      </c>
      <c r="OX26" s="324" t="str">
        <f t="shared" si="560"/>
        <v/>
      </c>
      <c r="OY26" s="324" t="str">
        <f t="shared" si="560"/>
        <v/>
      </c>
      <c r="OZ26" s="324" t="str">
        <f t="shared" si="560"/>
        <v/>
      </c>
      <c r="PA26" s="324" t="str">
        <f t="shared" ref="PA26:RL26" si="561">IFERROR(-ABS(PA24-PA7)/ABS(PA7),"")</f>
        <v/>
      </c>
      <c r="PB26" s="324" t="str">
        <f t="shared" si="561"/>
        <v/>
      </c>
      <c r="PC26" s="324" t="str">
        <f t="shared" si="561"/>
        <v/>
      </c>
      <c r="PD26" s="324" t="str">
        <f t="shared" si="561"/>
        <v/>
      </c>
      <c r="PE26" s="324" t="str">
        <f t="shared" si="561"/>
        <v/>
      </c>
      <c r="PF26" s="324" t="str">
        <f t="shared" si="561"/>
        <v/>
      </c>
      <c r="PG26" s="324" t="str">
        <f t="shared" si="561"/>
        <v/>
      </c>
      <c r="PH26" s="324" t="str">
        <f t="shared" si="561"/>
        <v/>
      </c>
      <c r="PI26" s="324" t="str">
        <f t="shared" si="561"/>
        <v/>
      </c>
      <c r="PJ26" s="324" t="str">
        <f t="shared" si="561"/>
        <v/>
      </c>
      <c r="PK26" s="324" t="str">
        <f t="shared" si="561"/>
        <v/>
      </c>
      <c r="PL26" s="324" t="str">
        <f t="shared" si="561"/>
        <v/>
      </c>
      <c r="PM26" s="324" t="str">
        <f t="shared" si="561"/>
        <v/>
      </c>
      <c r="PN26" s="324" t="str">
        <f t="shared" si="561"/>
        <v/>
      </c>
      <c r="PO26" s="324" t="str">
        <f t="shared" si="561"/>
        <v/>
      </c>
      <c r="PP26" s="325" t="str">
        <f t="shared" si="561"/>
        <v/>
      </c>
      <c r="PQ26" s="323">
        <f t="shared" si="561"/>
        <v>-0.1813257428053057</v>
      </c>
      <c r="PR26" s="324" t="str">
        <f t="shared" si="561"/>
        <v/>
      </c>
      <c r="PS26" s="324" t="str">
        <f t="shared" si="561"/>
        <v/>
      </c>
      <c r="PT26" s="324" t="str">
        <f t="shared" si="561"/>
        <v/>
      </c>
      <c r="PU26" s="324" t="str">
        <f t="shared" si="561"/>
        <v/>
      </c>
      <c r="PV26" s="324" t="str">
        <f t="shared" si="561"/>
        <v/>
      </c>
      <c r="PW26" s="324" t="str">
        <f t="shared" si="561"/>
        <v/>
      </c>
      <c r="PX26" s="324" t="str">
        <f t="shared" si="561"/>
        <v/>
      </c>
      <c r="PY26" s="324" t="str">
        <f t="shared" si="561"/>
        <v/>
      </c>
      <c r="PZ26" s="324" t="str">
        <f t="shared" si="561"/>
        <v/>
      </c>
      <c r="QA26" s="324" t="str">
        <f t="shared" si="561"/>
        <v/>
      </c>
      <c r="QB26" s="324" t="str">
        <f t="shared" si="561"/>
        <v/>
      </c>
      <c r="QC26" s="324" t="str">
        <f t="shared" si="561"/>
        <v/>
      </c>
      <c r="QD26" s="324" t="str">
        <f t="shared" si="561"/>
        <v/>
      </c>
      <c r="QE26" s="324" t="str">
        <f t="shared" si="561"/>
        <v/>
      </c>
      <c r="QF26" s="324" t="str">
        <f t="shared" si="561"/>
        <v/>
      </c>
      <c r="QG26" s="324" t="str">
        <f t="shared" si="561"/>
        <v/>
      </c>
      <c r="QH26" s="324" t="str">
        <f t="shared" si="561"/>
        <v/>
      </c>
      <c r="QI26" s="324" t="str">
        <f t="shared" si="561"/>
        <v/>
      </c>
      <c r="QJ26" s="325" t="str">
        <f t="shared" si="561"/>
        <v/>
      </c>
      <c r="QK26" s="323">
        <f t="shared" si="561"/>
        <v>0</v>
      </c>
      <c r="QL26" s="324" t="str">
        <f t="shared" si="561"/>
        <v/>
      </c>
      <c r="QM26" s="324" t="str">
        <f t="shared" si="561"/>
        <v/>
      </c>
      <c r="QN26" s="324" t="str">
        <f t="shared" si="561"/>
        <v/>
      </c>
      <c r="QO26" s="324" t="str">
        <f t="shared" si="561"/>
        <v/>
      </c>
      <c r="QP26" s="324" t="str">
        <f t="shared" si="561"/>
        <v/>
      </c>
      <c r="QQ26" s="324" t="str">
        <f t="shared" si="561"/>
        <v/>
      </c>
      <c r="QR26" s="324" t="str">
        <f t="shared" si="561"/>
        <v/>
      </c>
      <c r="QS26" s="324" t="str">
        <f t="shared" si="561"/>
        <v/>
      </c>
      <c r="QT26" s="324" t="str">
        <f t="shared" si="561"/>
        <v/>
      </c>
      <c r="QU26" s="324" t="str">
        <f t="shared" si="561"/>
        <v/>
      </c>
      <c r="QV26" s="324" t="str">
        <f t="shared" si="561"/>
        <v/>
      </c>
      <c r="QW26" s="324" t="str">
        <f t="shared" si="561"/>
        <v/>
      </c>
      <c r="QX26" s="324" t="str">
        <f t="shared" si="561"/>
        <v/>
      </c>
      <c r="QY26" s="324" t="str">
        <f t="shared" si="561"/>
        <v/>
      </c>
      <c r="QZ26" s="324" t="str">
        <f t="shared" si="561"/>
        <v/>
      </c>
      <c r="RA26" s="324" t="str">
        <f t="shared" si="561"/>
        <v/>
      </c>
      <c r="RB26" s="324" t="str">
        <f t="shared" si="561"/>
        <v/>
      </c>
      <c r="RC26" s="324" t="str">
        <f t="shared" si="561"/>
        <v/>
      </c>
      <c r="RD26" s="325" t="str">
        <f t="shared" si="561"/>
        <v/>
      </c>
      <c r="RE26" s="323">
        <f t="shared" si="561"/>
        <v>0</v>
      </c>
      <c r="RF26" s="324" t="str">
        <f t="shared" si="561"/>
        <v/>
      </c>
      <c r="RG26" s="324" t="str">
        <f t="shared" si="561"/>
        <v/>
      </c>
      <c r="RH26" s="324" t="str">
        <f t="shared" si="561"/>
        <v/>
      </c>
      <c r="RI26" s="324" t="str">
        <f t="shared" si="561"/>
        <v/>
      </c>
      <c r="RJ26" s="324" t="str">
        <f t="shared" si="561"/>
        <v/>
      </c>
      <c r="RK26" s="324" t="str">
        <f t="shared" si="561"/>
        <v/>
      </c>
      <c r="RL26" s="324" t="str">
        <f t="shared" si="561"/>
        <v/>
      </c>
      <c r="RM26" s="324" t="str">
        <f t="shared" ref="RM26:TX26" si="562">IFERROR(-ABS(RM24-RM7)/ABS(RM7),"")</f>
        <v/>
      </c>
      <c r="RN26" s="324" t="str">
        <f t="shared" si="562"/>
        <v/>
      </c>
      <c r="RO26" s="324" t="str">
        <f t="shared" si="562"/>
        <v/>
      </c>
      <c r="RP26" s="324" t="str">
        <f t="shared" si="562"/>
        <v/>
      </c>
      <c r="RQ26" s="324" t="str">
        <f t="shared" si="562"/>
        <v/>
      </c>
      <c r="RR26" s="324" t="str">
        <f t="shared" si="562"/>
        <v/>
      </c>
      <c r="RS26" s="324" t="str">
        <f t="shared" si="562"/>
        <v/>
      </c>
      <c r="RT26" s="324" t="str">
        <f t="shared" si="562"/>
        <v/>
      </c>
      <c r="RU26" s="324" t="str">
        <f t="shared" si="562"/>
        <v/>
      </c>
      <c r="RV26" s="324" t="str">
        <f t="shared" si="562"/>
        <v/>
      </c>
      <c r="RW26" s="324" t="str">
        <f t="shared" si="562"/>
        <v/>
      </c>
      <c r="RX26" s="325" t="str">
        <f t="shared" si="562"/>
        <v/>
      </c>
      <c r="RY26" s="323">
        <f t="shared" si="562"/>
        <v>-0.32275780152061656</v>
      </c>
      <c r="RZ26" s="324" t="str">
        <f t="shared" si="562"/>
        <v/>
      </c>
      <c r="SA26" s="324" t="str">
        <f t="shared" si="562"/>
        <v/>
      </c>
      <c r="SB26" s="324" t="str">
        <f t="shared" si="562"/>
        <v/>
      </c>
      <c r="SC26" s="324" t="str">
        <f t="shared" si="562"/>
        <v/>
      </c>
      <c r="SD26" s="324" t="str">
        <f t="shared" si="562"/>
        <v/>
      </c>
      <c r="SE26" s="324" t="str">
        <f t="shared" si="562"/>
        <v/>
      </c>
      <c r="SF26" s="324" t="str">
        <f t="shared" si="562"/>
        <v/>
      </c>
      <c r="SG26" s="324" t="str">
        <f t="shared" si="562"/>
        <v/>
      </c>
      <c r="SH26" s="324" t="str">
        <f t="shared" si="562"/>
        <v/>
      </c>
      <c r="SI26" s="324" t="str">
        <f t="shared" si="562"/>
        <v/>
      </c>
      <c r="SJ26" s="324" t="str">
        <f t="shared" si="562"/>
        <v/>
      </c>
      <c r="SK26" s="324" t="str">
        <f t="shared" si="562"/>
        <v/>
      </c>
      <c r="SL26" s="324" t="str">
        <f t="shared" si="562"/>
        <v/>
      </c>
      <c r="SM26" s="324" t="str">
        <f t="shared" si="562"/>
        <v/>
      </c>
      <c r="SN26" s="324" t="str">
        <f t="shared" si="562"/>
        <v/>
      </c>
      <c r="SO26" s="324" t="str">
        <f t="shared" si="562"/>
        <v/>
      </c>
      <c r="SP26" s="324" t="str">
        <f t="shared" si="562"/>
        <v/>
      </c>
      <c r="SQ26" s="324" t="str">
        <f t="shared" si="562"/>
        <v/>
      </c>
      <c r="SR26" s="325" t="str">
        <f t="shared" si="562"/>
        <v/>
      </c>
      <c r="SS26" s="323">
        <f t="shared" si="562"/>
        <v>-3.1934722690408708E-2</v>
      </c>
      <c r="ST26" s="324" t="str">
        <f t="shared" si="562"/>
        <v/>
      </c>
      <c r="SU26" s="324" t="str">
        <f t="shared" si="562"/>
        <v/>
      </c>
      <c r="SV26" s="324" t="str">
        <f t="shared" si="562"/>
        <v/>
      </c>
      <c r="SW26" s="324" t="str">
        <f t="shared" si="562"/>
        <v/>
      </c>
      <c r="SX26" s="324" t="str">
        <f t="shared" si="562"/>
        <v/>
      </c>
      <c r="SY26" s="324" t="str">
        <f t="shared" si="562"/>
        <v/>
      </c>
      <c r="SZ26" s="324" t="str">
        <f t="shared" si="562"/>
        <v/>
      </c>
      <c r="TA26" s="324" t="str">
        <f t="shared" si="562"/>
        <v/>
      </c>
      <c r="TB26" s="324" t="str">
        <f t="shared" si="562"/>
        <v/>
      </c>
      <c r="TC26" s="324" t="str">
        <f t="shared" si="562"/>
        <v/>
      </c>
      <c r="TD26" s="324" t="str">
        <f t="shared" si="562"/>
        <v/>
      </c>
      <c r="TE26" s="324" t="str">
        <f t="shared" si="562"/>
        <v/>
      </c>
      <c r="TF26" s="324" t="str">
        <f t="shared" si="562"/>
        <v/>
      </c>
      <c r="TG26" s="324" t="str">
        <f t="shared" si="562"/>
        <v/>
      </c>
      <c r="TH26" s="324" t="str">
        <f t="shared" si="562"/>
        <v/>
      </c>
      <c r="TI26" s="324" t="str">
        <f t="shared" si="562"/>
        <v/>
      </c>
      <c r="TJ26" s="324" t="str">
        <f t="shared" si="562"/>
        <v/>
      </c>
      <c r="TK26" s="324" t="str">
        <f t="shared" si="562"/>
        <v/>
      </c>
      <c r="TL26" s="325" t="str">
        <f t="shared" si="562"/>
        <v/>
      </c>
      <c r="TM26" s="323">
        <f t="shared" si="562"/>
        <v>0</v>
      </c>
      <c r="TN26" s="324" t="str">
        <f t="shared" si="562"/>
        <v/>
      </c>
      <c r="TO26" s="324" t="str">
        <f t="shared" si="562"/>
        <v/>
      </c>
      <c r="TP26" s="324" t="str">
        <f t="shared" si="562"/>
        <v/>
      </c>
      <c r="TQ26" s="324" t="str">
        <f t="shared" si="562"/>
        <v/>
      </c>
      <c r="TR26" s="324" t="str">
        <f t="shared" si="562"/>
        <v/>
      </c>
      <c r="TS26" s="324" t="str">
        <f t="shared" si="562"/>
        <v/>
      </c>
      <c r="TT26" s="324" t="str">
        <f t="shared" si="562"/>
        <v/>
      </c>
      <c r="TU26" s="324" t="str">
        <f t="shared" si="562"/>
        <v/>
      </c>
      <c r="TV26" s="324" t="str">
        <f t="shared" si="562"/>
        <v/>
      </c>
      <c r="TW26" s="324" t="str">
        <f t="shared" si="562"/>
        <v/>
      </c>
      <c r="TX26" s="324" t="str">
        <f t="shared" si="562"/>
        <v/>
      </c>
      <c r="TY26" s="324" t="str">
        <f t="shared" ref="TY26:WN26" si="563">IFERROR(-ABS(TY24-TY7)/ABS(TY7),"")</f>
        <v/>
      </c>
      <c r="TZ26" s="324" t="str">
        <f t="shared" si="563"/>
        <v/>
      </c>
      <c r="UA26" s="324" t="str">
        <f t="shared" si="563"/>
        <v/>
      </c>
      <c r="UB26" s="324" t="str">
        <f t="shared" si="563"/>
        <v/>
      </c>
      <c r="UC26" s="324" t="str">
        <f t="shared" si="563"/>
        <v/>
      </c>
      <c r="UD26" s="324" t="str">
        <f t="shared" si="563"/>
        <v/>
      </c>
      <c r="UE26" s="324" t="str">
        <f t="shared" si="563"/>
        <v/>
      </c>
      <c r="UF26" s="325" t="str">
        <f t="shared" si="563"/>
        <v/>
      </c>
      <c r="UG26" s="323">
        <f t="shared" si="563"/>
        <v>-0.24063597558445274</v>
      </c>
      <c r="UH26" s="324" t="str">
        <f t="shared" si="563"/>
        <v/>
      </c>
      <c r="UI26" s="324" t="str">
        <f t="shared" si="563"/>
        <v/>
      </c>
      <c r="UJ26" s="324" t="str">
        <f t="shared" si="563"/>
        <v/>
      </c>
      <c r="UK26" s="324" t="str">
        <f t="shared" si="563"/>
        <v/>
      </c>
      <c r="UL26" s="324" t="str">
        <f t="shared" si="563"/>
        <v/>
      </c>
      <c r="UM26" s="324" t="str">
        <f t="shared" si="563"/>
        <v/>
      </c>
      <c r="UN26" s="324" t="str">
        <f t="shared" si="563"/>
        <v/>
      </c>
      <c r="UO26" s="324" t="str">
        <f t="shared" si="563"/>
        <v/>
      </c>
      <c r="UP26" s="324" t="str">
        <f t="shared" si="563"/>
        <v/>
      </c>
      <c r="UQ26" s="324" t="str">
        <f t="shared" si="563"/>
        <v/>
      </c>
      <c r="UR26" s="324" t="str">
        <f t="shared" si="563"/>
        <v/>
      </c>
      <c r="US26" s="324" t="str">
        <f t="shared" si="563"/>
        <v/>
      </c>
      <c r="UT26" s="324" t="str">
        <f t="shared" si="563"/>
        <v/>
      </c>
      <c r="UU26" s="324" t="str">
        <f t="shared" si="563"/>
        <v/>
      </c>
      <c r="UV26" s="324" t="str">
        <f t="shared" si="563"/>
        <v/>
      </c>
      <c r="UW26" s="324" t="str">
        <f t="shared" si="563"/>
        <v/>
      </c>
      <c r="UX26" s="324" t="str">
        <f t="shared" si="563"/>
        <v/>
      </c>
      <c r="UY26" s="324" t="str">
        <f t="shared" si="563"/>
        <v/>
      </c>
      <c r="UZ26" s="325" t="str">
        <f t="shared" si="563"/>
        <v/>
      </c>
      <c r="VA26" s="323">
        <f t="shared" si="563"/>
        <v>-0.23548417063721097</v>
      </c>
      <c r="VB26" s="324" t="str">
        <f t="shared" si="563"/>
        <v/>
      </c>
      <c r="VC26" s="324" t="str">
        <f t="shared" si="563"/>
        <v/>
      </c>
      <c r="VD26" s="324" t="str">
        <f t="shared" si="563"/>
        <v/>
      </c>
      <c r="VE26" s="324" t="str">
        <f t="shared" si="563"/>
        <v/>
      </c>
      <c r="VF26" s="324" t="str">
        <f t="shared" si="563"/>
        <v/>
      </c>
      <c r="VG26" s="324" t="str">
        <f t="shared" si="563"/>
        <v/>
      </c>
      <c r="VH26" s="324" t="str">
        <f t="shared" si="563"/>
        <v/>
      </c>
      <c r="VI26" s="324" t="str">
        <f t="shared" si="563"/>
        <v/>
      </c>
      <c r="VJ26" s="324" t="str">
        <f t="shared" si="563"/>
        <v/>
      </c>
      <c r="VK26" s="324" t="str">
        <f t="shared" si="563"/>
        <v/>
      </c>
      <c r="VL26" s="324" t="str">
        <f t="shared" si="563"/>
        <v/>
      </c>
      <c r="VM26" s="324" t="str">
        <f t="shared" si="563"/>
        <v/>
      </c>
      <c r="VN26" s="324" t="str">
        <f t="shared" si="563"/>
        <v/>
      </c>
      <c r="VO26" s="324" t="str">
        <f t="shared" si="563"/>
        <v/>
      </c>
      <c r="VP26" s="324" t="str">
        <f t="shared" si="563"/>
        <v/>
      </c>
      <c r="VQ26" s="324" t="str">
        <f t="shared" si="563"/>
        <v/>
      </c>
      <c r="VR26" s="324" t="str">
        <f t="shared" si="563"/>
        <v/>
      </c>
      <c r="VS26" s="324" t="str">
        <f t="shared" si="563"/>
        <v/>
      </c>
      <c r="VT26" s="325" t="str">
        <f t="shared" si="563"/>
        <v/>
      </c>
      <c r="VU26" s="323" t="str">
        <f t="shared" si="563"/>
        <v/>
      </c>
      <c r="VV26" s="324" t="str">
        <f t="shared" si="563"/>
        <v/>
      </c>
      <c r="VW26" s="324" t="str">
        <f t="shared" si="563"/>
        <v/>
      </c>
      <c r="VX26" s="324" t="str">
        <f t="shared" si="563"/>
        <v/>
      </c>
      <c r="VY26" s="324" t="str">
        <f t="shared" si="563"/>
        <v/>
      </c>
      <c r="VZ26" s="324" t="str">
        <f t="shared" si="563"/>
        <v/>
      </c>
      <c r="WA26" s="324" t="str">
        <f t="shared" si="563"/>
        <v/>
      </c>
      <c r="WB26" s="324" t="str">
        <f t="shared" si="563"/>
        <v/>
      </c>
      <c r="WC26" s="324" t="str">
        <f t="shared" si="563"/>
        <v/>
      </c>
      <c r="WD26" s="324" t="str">
        <f t="shared" si="563"/>
        <v/>
      </c>
      <c r="WE26" s="324" t="str">
        <f t="shared" si="563"/>
        <v/>
      </c>
      <c r="WF26" s="324" t="str">
        <f t="shared" si="563"/>
        <v/>
      </c>
      <c r="WG26" s="324" t="str">
        <f t="shared" si="563"/>
        <v/>
      </c>
      <c r="WH26" s="324" t="str">
        <f t="shared" si="563"/>
        <v/>
      </c>
      <c r="WI26" s="324" t="str">
        <f t="shared" si="563"/>
        <v/>
      </c>
      <c r="WJ26" s="324" t="str">
        <f t="shared" si="563"/>
        <v/>
      </c>
      <c r="WK26" s="324" t="str">
        <f t="shared" si="563"/>
        <v/>
      </c>
      <c r="WL26" s="324" t="str">
        <f t="shared" si="563"/>
        <v/>
      </c>
      <c r="WM26" s="324" t="str">
        <f t="shared" si="563"/>
        <v/>
      </c>
      <c r="WN26" s="325" t="str">
        <f t="shared" si="563"/>
        <v/>
      </c>
      <c r="WO26" s="323">
        <f t="shared" ref="WO26:XH26" si="564">IFERROR(-ABS(WO24-WO7)/ABS(WO7),"")</f>
        <v>0</v>
      </c>
      <c r="WP26" s="324" t="str">
        <f t="shared" si="564"/>
        <v/>
      </c>
      <c r="WQ26" s="324" t="str">
        <f t="shared" si="564"/>
        <v/>
      </c>
      <c r="WR26" s="324" t="str">
        <f t="shared" si="564"/>
        <v/>
      </c>
      <c r="WS26" s="324" t="str">
        <f t="shared" si="564"/>
        <v/>
      </c>
      <c r="WT26" s="324" t="str">
        <f t="shared" si="564"/>
        <v/>
      </c>
      <c r="WU26" s="324" t="str">
        <f t="shared" si="564"/>
        <v/>
      </c>
      <c r="WV26" s="324" t="str">
        <f t="shared" si="564"/>
        <v/>
      </c>
      <c r="WW26" s="324" t="str">
        <f t="shared" si="564"/>
        <v/>
      </c>
      <c r="WX26" s="324" t="str">
        <f t="shared" si="564"/>
        <v/>
      </c>
      <c r="WY26" s="324" t="str">
        <f t="shared" si="564"/>
        <v/>
      </c>
      <c r="WZ26" s="324" t="str">
        <f t="shared" si="564"/>
        <v/>
      </c>
      <c r="XA26" s="324" t="str">
        <f t="shared" si="564"/>
        <v/>
      </c>
      <c r="XB26" s="324" t="str">
        <f t="shared" si="564"/>
        <v/>
      </c>
      <c r="XC26" s="324" t="str">
        <f t="shared" si="564"/>
        <v/>
      </c>
      <c r="XD26" s="324" t="str">
        <f t="shared" si="564"/>
        <v/>
      </c>
      <c r="XE26" s="324" t="str">
        <f t="shared" si="564"/>
        <v/>
      </c>
      <c r="XF26" s="324" t="str">
        <f t="shared" si="564"/>
        <v/>
      </c>
      <c r="XG26" s="324" t="str">
        <f t="shared" si="564"/>
        <v/>
      </c>
      <c r="XH26" s="325" t="str">
        <f t="shared" si="564"/>
        <v/>
      </c>
      <c r="XI26" s="323">
        <f t="shared" ref="XI26:YV26" si="565">IFERROR(-ABS(XI24-XI7)/ABS(XI7),"")</f>
        <v>0</v>
      </c>
      <c r="XJ26" s="324" t="str">
        <f t="shared" si="565"/>
        <v/>
      </c>
      <c r="XK26" s="324" t="str">
        <f t="shared" si="565"/>
        <v/>
      </c>
      <c r="XL26" s="324" t="str">
        <f t="shared" si="565"/>
        <v/>
      </c>
      <c r="XM26" s="324" t="str">
        <f t="shared" si="565"/>
        <v/>
      </c>
      <c r="XN26" s="324" t="str">
        <f t="shared" si="565"/>
        <v/>
      </c>
      <c r="XO26" s="324" t="str">
        <f t="shared" si="565"/>
        <v/>
      </c>
      <c r="XP26" s="324" t="str">
        <f t="shared" si="565"/>
        <v/>
      </c>
      <c r="XQ26" s="324" t="str">
        <f t="shared" si="565"/>
        <v/>
      </c>
      <c r="XR26" s="324" t="str">
        <f t="shared" si="565"/>
        <v/>
      </c>
      <c r="XS26" s="324" t="str">
        <f t="shared" si="565"/>
        <v/>
      </c>
      <c r="XT26" s="324" t="str">
        <f t="shared" si="565"/>
        <v/>
      </c>
      <c r="XU26" s="324" t="str">
        <f t="shared" si="565"/>
        <v/>
      </c>
      <c r="XV26" s="324" t="str">
        <f t="shared" si="565"/>
        <v/>
      </c>
      <c r="XW26" s="324" t="str">
        <f t="shared" si="565"/>
        <v/>
      </c>
      <c r="XX26" s="324" t="str">
        <f t="shared" si="565"/>
        <v/>
      </c>
      <c r="XY26" s="324" t="str">
        <f t="shared" si="565"/>
        <v/>
      </c>
      <c r="XZ26" s="324" t="str">
        <f t="shared" si="565"/>
        <v/>
      </c>
      <c r="YA26" s="324" t="str">
        <f t="shared" si="565"/>
        <v/>
      </c>
      <c r="YB26" s="325" t="str">
        <f t="shared" si="565"/>
        <v/>
      </c>
      <c r="YC26" s="323">
        <f t="shared" si="565"/>
        <v>-0.4495549304525478</v>
      </c>
      <c r="YD26" s="324" t="str">
        <f t="shared" si="565"/>
        <v/>
      </c>
      <c r="YE26" s="324" t="str">
        <f t="shared" si="565"/>
        <v/>
      </c>
      <c r="YF26" s="324" t="str">
        <f t="shared" si="565"/>
        <v/>
      </c>
      <c r="YG26" s="324" t="str">
        <f t="shared" si="565"/>
        <v/>
      </c>
      <c r="YH26" s="324" t="str">
        <f t="shared" si="565"/>
        <v/>
      </c>
      <c r="YI26" s="324" t="str">
        <f t="shared" si="565"/>
        <v/>
      </c>
      <c r="YJ26" s="324" t="str">
        <f t="shared" si="565"/>
        <v/>
      </c>
      <c r="YK26" s="324" t="str">
        <f t="shared" si="565"/>
        <v/>
      </c>
      <c r="YL26" s="324" t="str">
        <f t="shared" si="565"/>
        <v/>
      </c>
      <c r="YM26" s="324" t="str">
        <f t="shared" si="565"/>
        <v/>
      </c>
      <c r="YN26" s="324" t="str">
        <f t="shared" si="565"/>
        <v/>
      </c>
      <c r="YO26" s="324" t="str">
        <f t="shared" si="565"/>
        <v/>
      </c>
      <c r="YP26" s="324" t="str">
        <f t="shared" si="565"/>
        <v/>
      </c>
      <c r="YQ26" s="324" t="str">
        <f t="shared" si="565"/>
        <v/>
      </c>
      <c r="YR26" s="324" t="str">
        <f t="shared" si="565"/>
        <v/>
      </c>
      <c r="YS26" s="324" t="str">
        <f t="shared" si="565"/>
        <v/>
      </c>
      <c r="YT26" s="324" t="str">
        <f t="shared" si="565"/>
        <v/>
      </c>
      <c r="YU26" s="324" t="str">
        <f t="shared" si="565"/>
        <v/>
      </c>
      <c r="YV26" s="325" t="str">
        <f t="shared" si="565"/>
        <v/>
      </c>
      <c r="YW26" s="323">
        <f t="shared" ref="YW26:ZP26" si="566">IFERROR(-ABS(YW24-YW7)/ABS(YW7),"")</f>
        <v>0</v>
      </c>
      <c r="YX26" s="324" t="str">
        <f t="shared" si="566"/>
        <v/>
      </c>
      <c r="YY26" s="324" t="str">
        <f t="shared" si="566"/>
        <v/>
      </c>
      <c r="YZ26" s="324" t="str">
        <f t="shared" si="566"/>
        <v/>
      </c>
      <c r="ZA26" s="324" t="str">
        <f t="shared" si="566"/>
        <v/>
      </c>
      <c r="ZB26" s="324" t="str">
        <f t="shared" si="566"/>
        <v/>
      </c>
      <c r="ZC26" s="324" t="str">
        <f t="shared" si="566"/>
        <v/>
      </c>
      <c r="ZD26" s="324" t="str">
        <f t="shared" si="566"/>
        <v/>
      </c>
      <c r="ZE26" s="324" t="str">
        <f t="shared" si="566"/>
        <v/>
      </c>
      <c r="ZF26" s="324" t="str">
        <f t="shared" si="566"/>
        <v/>
      </c>
      <c r="ZG26" s="324" t="str">
        <f t="shared" si="566"/>
        <v/>
      </c>
      <c r="ZH26" s="324" t="str">
        <f t="shared" si="566"/>
        <v/>
      </c>
      <c r="ZI26" s="324" t="str">
        <f t="shared" si="566"/>
        <v/>
      </c>
      <c r="ZJ26" s="324" t="str">
        <f t="shared" si="566"/>
        <v/>
      </c>
      <c r="ZK26" s="324" t="str">
        <f t="shared" si="566"/>
        <v/>
      </c>
      <c r="ZL26" s="324" t="str">
        <f t="shared" si="566"/>
        <v/>
      </c>
      <c r="ZM26" s="324" t="str">
        <f t="shared" si="566"/>
        <v/>
      </c>
      <c r="ZN26" s="324" t="str">
        <f t="shared" si="566"/>
        <v/>
      </c>
      <c r="ZO26" s="324" t="str">
        <f t="shared" si="566"/>
        <v/>
      </c>
      <c r="ZP26" s="325" t="str">
        <f t="shared" si="566"/>
        <v/>
      </c>
      <c r="ZQ26" s="323">
        <f t="shared" ref="ZQ26:ABD26" si="567">IFERROR(-ABS(ZQ24-ZQ7)/ABS(ZQ7),"")</f>
        <v>0</v>
      </c>
      <c r="ZR26" s="324" t="str">
        <f t="shared" si="567"/>
        <v/>
      </c>
      <c r="ZS26" s="324" t="str">
        <f t="shared" si="567"/>
        <v/>
      </c>
      <c r="ZT26" s="324" t="str">
        <f t="shared" si="567"/>
        <v/>
      </c>
      <c r="ZU26" s="324" t="str">
        <f t="shared" si="567"/>
        <v/>
      </c>
      <c r="ZV26" s="324" t="str">
        <f t="shared" si="567"/>
        <v/>
      </c>
      <c r="ZW26" s="324" t="str">
        <f t="shared" si="567"/>
        <v/>
      </c>
      <c r="ZX26" s="324" t="str">
        <f t="shared" si="567"/>
        <v/>
      </c>
      <c r="ZY26" s="324" t="str">
        <f t="shared" si="567"/>
        <v/>
      </c>
      <c r="ZZ26" s="324" t="str">
        <f t="shared" si="567"/>
        <v/>
      </c>
      <c r="AAA26" s="324" t="str">
        <f t="shared" si="567"/>
        <v/>
      </c>
      <c r="AAB26" s="324" t="str">
        <f t="shared" si="567"/>
        <v/>
      </c>
      <c r="AAC26" s="324" t="str">
        <f t="shared" si="567"/>
        <v/>
      </c>
      <c r="AAD26" s="324" t="str">
        <f t="shared" si="567"/>
        <v/>
      </c>
      <c r="AAE26" s="324" t="str">
        <f t="shared" si="567"/>
        <v/>
      </c>
      <c r="AAF26" s="324" t="str">
        <f t="shared" si="567"/>
        <v/>
      </c>
      <c r="AAG26" s="324" t="str">
        <f t="shared" si="567"/>
        <v/>
      </c>
      <c r="AAH26" s="324" t="str">
        <f t="shared" si="567"/>
        <v/>
      </c>
      <c r="AAI26" s="324" t="str">
        <f t="shared" si="567"/>
        <v/>
      </c>
      <c r="AAJ26" s="325" t="str">
        <f t="shared" si="567"/>
        <v/>
      </c>
      <c r="AAK26" s="323">
        <f t="shared" si="567"/>
        <v>0</v>
      </c>
      <c r="AAL26" s="324" t="str">
        <f t="shared" si="567"/>
        <v/>
      </c>
      <c r="AAM26" s="324" t="str">
        <f t="shared" si="567"/>
        <v/>
      </c>
      <c r="AAN26" s="324" t="str">
        <f t="shared" si="567"/>
        <v/>
      </c>
      <c r="AAO26" s="324" t="str">
        <f t="shared" si="567"/>
        <v/>
      </c>
      <c r="AAP26" s="324" t="str">
        <f t="shared" si="567"/>
        <v/>
      </c>
      <c r="AAQ26" s="324" t="str">
        <f t="shared" si="567"/>
        <v/>
      </c>
      <c r="AAR26" s="324" t="str">
        <f t="shared" si="567"/>
        <v/>
      </c>
      <c r="AAS26" s="324" t="str">
        <f t="shared" si="567"/>
        <v/>
      </c>
      <c r="AAT26" s="324" t="str">
        <f t="shared" si="567"/>
        <v/>
      </c>
      <c r="AAU26" s="324" t="str">
        <f t="shared" si="567"/>
        <v/>
      </c>
      <c r="AAV26" s="324" t="str">
        <f t="shared" si="567"/>
        <v/>
      </c>
      <c r="AAW26" s="324" t="str">
        <f t="shared" si="567"/>
        <v/>
      </c>
      <c r="AAX26" s="324" t="str">
        <f t="shared" si="567"/>
        <v/>
      </c>
      <c r="AAY26" s="324" t="str">
        <f t="shared" si="567"/>
        <v/>
      </c>
      <c r="AAZ26" s="324" t="str">
        <f t="shared" si="567"/>
        <v/>
      </c>
      <c r="ABA26" s="324" t="str">
        <f t="shared" si="567"/>
        <v/>
      </c>
      <c r="ABB26" s="324" t="str">
        <f t="shared" si="567"/>
        <v/>
      </c>
      <c r="ABC26" s="324" t="str">
        <f t="shared" si="567"/>
        <v/>
      </c>
      <c r="ABD26" s="325" t="str">
        <f t="shared" si="567"/>
        <v/>
      </c>
      <c r="ABE26" s="323">
        <f t="shared" ref="ABE26:ACR26" si="568">IFERROR(-ABS(ABE24-ABE7)/ABS(ABE7),"")</f>
        <v>-1.4769260880405529E-2</v>
      </c>
      <c r="ABF26" s="324" t="str">
        <f t="shared" si="568"/>
        <v/>
      </c>
      <c r="ABG26" s="324" t="str">
        <f t="shared" si="568"/>
        <v/>
      </c>
      <c r="ABH26" s="324" t="str">
        <f t="shared" si="568"/>
        <v/>
      </c>
      <c r="ABI26" s="324" t="str">
        <f t="shared" si="568"/>
        <v/>
      </c>
      <c r="ABJ26" s="324" t="str">
        <f t="shared" si="568"/>
        <v/>
      </c>
      <c r="ABK26" s="324" t="str">
        <f t="shared" si="568"/>
        <v/>
      </c>
      <c r="ABL26" s="324" t="str">
        <f t="shared" si="568"/>
        <v/>
      </c>
      <c r="ABM26" s="324" t="str">
        <f t="shared" si="568"/>
        <v/>
      </c>
      <c r="ABN26" s="324" t="str">
        <f t="shared" si="568"/>
        <v/>
      </c>
      <c r="ABO26" s="324" t="str">
        <f t="shared" si="568"/>
        <v/>
      </c>
      <c r="ABP26" s="324" t="str">
        <f t="shared" si="568"/>
        <v/>
      </c>
      <c r="ABQ26" s="324" t="str">
        <f t="shared" si="568"/>
        <v/>
      </c>
      <c r="ABR26" s="324" t="str">
        <f t="shared" si="568"/>
        <v/>
      </c>
      <c r="ABS26" s="324" t="str">
        <f t="shared" si="568"/>
        <v/>
      </c>
      <c r="ABT26" s="324" t="str">
        <f t="shared" si="568"/>
        <v/>
      </c>
      <c r="ABU26" s="324" t="str">
        <f t="shared" si="568"/>
        <v/>
      </c>
      <c r="ABV26" s="324" t="str">
        <f t="shared" si="568"/>
        <v/>
      </c>
      <c r="ABW26" s="324" t="str">
        <f t="shared" si="568"/>
        <v/>
      </c>
      <c r="ABX26" s="325" t="str">
        <f t="shared" si="568"/>
        <v/>
      </c>
      <c r="ABY26" s="323">
        <f t="shared" si="568"/>
        <v>0</v>
      </c>
      <c r="ABZ26" s="324" t="str">
        <f t="shared" si="568"/>
        <v/>
      </c>
      <c r="ACA26" s="324" t="str">
        <f t="shared" si="568"/>
        <v/>
      </c>
      <c r="ACB26" s="324" t="str">
        <f t="shared" si="568"/>
        <v/>
      </c>
      <c r="ACC26" s="324" t="str">
        <f t="shared" si="568"/>
        <v/>
      </c>
      <c r="ACD26" s="324" t="str">
        <f t="shared" si="568"/>
        <v/>
      </c>
      <c r="ACE26" s="324" t="str">
        <f t="shared" si="568"/>
        <v/>
      </c>
      <c r="ACF26" s="324" t="str">
        <f t="shared" si="568"/>
        <v/>
      </c>
      <c r="ACG26" s="324" t="str">
        <f t="shared" si="568"/>
        <v/>
      </c>
      <c r="ACH26" s="324" t="str">
        <f t="shared" si="568"/>
        <v/>
      </c>
      <c r="ACI26" s="324" t="str">
        <f t="shared" si="568"/>
        <v/>
      </c>
      <c r="ACJ26" s="324" t="str">
        <f t="shared" si="568"/>
        <v/>
      </c>
      <c r="ACK26" s="324" t="str">
        <f t="shared" si="568"/>
        <v/>
      </c>
      <c r="ACL26" s="324" t="str">
        <f t="shared" si="568"/>
        <v/>
      </c>
      <c r="ACM26" s="324" t="str">
        <f t="shared" si="568"/>
        <v/>
      </c>
      <c r="ACN26" s="324" t="str">
        <f t="shared" si="568"/>
        <v/>
      </c>
      <c r="ACO26" s="324" t="str">
        <f t="shared" si="568"/>
        <v/>
      </c>
      <c r="ACP26" s="324" t="str">
        <f t="shared" si="568"/>
        <v/>
      </c>
      <c r="ACQ26" s="324" t="str">
        <f t="shared" si="568"/>
        <v/>
      </c>
      <c r="ACR26" s="325" t="str">
        <f t="shared" si="568"/>
        <v/>
      </c>
    </row>
    <row r="27" spans="1:772" ht="15" customHeight="1" x14ac:dyDescent="0.2">
      <c r="A27" s="99" t="s">
        <v>88</v>
      </c>
      <c r="B27" s="100"/>
      <c r="C27" s="100"/>
      <c r="D27" s="100"/>
      <c r="E27" s="101"/>
      <c r="F27" s="101"/>
      <c r="G27" s="102">
        <f t="shared" ref="G27:L27" si="569">IFERROR(IF(G19&gt;G7,ABS(G19-G7)/ABS(G7),-ABS(G19-G7)/ABS(G7)),"")</f>
        <v>7.3500619022454581</v>
      </c>
      <c r="H27" s="102">
        <f>IFERROR(IF(H19&gt;H7,ABS(H19-H7)/ABS(H7),-ABS(H19-H7)/ABS(H7)),"")</f>
        <v>6.2703580383935531</v>
      </c>
      <c r="I27" s="102">
        <f t="shared" si="569"/>
        <v>-0.49581452425822847</v>
      </c>
      <c r="J27" s="102">
        <f t="shared" si="569"/>
        <v>-0.26265629645858429</v>
      </c>
      <c r="K27" s="102">
        <f t="shared" si="569"/>
        <v>-0.15181153820678692</v>
      </c>
      <c r="L27" s="102">
        <f t="shared" si="569"/>
        <v>9.85673592493298E-2</v>
      </c>
      <c r="M27" s="102">
        <f t="shared" ref="M27:R27" si="570">IFERROR(IF(M19&gt;M7,-ABS(M19-M7)/ABS(M7),ABS(M19-M7)/ABS(M7)),"")</f>
        <v>-0.16614286745986545</v>
      </c>
      <c r="N27" s="102">
        <f t="shared" si="570"/>
        <v>0.57545256184047044</v>
      </c>
      <c r="O27" s="102">
        <f t="shared" si="570"/>
        <v>0.57332043385044695</v>
      </c>
      <c r="P27" s="102" t="str">
        <f t="shared" si="570"/>
        <v/>
      </c>
      <c r="Q27" s="114">
        <f t="shared" si="570"/>
        <v>0.23286621802705296</v>
      </c>
      <c r="R27" s="114">
        <f t="shared" si="570"/>
        <v>0.30111094028426683</v>
      </c>
      <c r="S27" s="114">
        <f>IFERROR(IF(S19&gt;S7,ABS(S19-S7)/ABS(S7),-ABS(S19-S7)/ABS(S7)),"")</f>
        <v>-0.29569636653525933</v>
      </c>
      <c r="T27" s="114">
        <f>IFERROR(IF(T19&gt;T7,-ABS(T19-T7)/ABS(T7),ABS(T19-T7)/ABS(T7)),"")</f>
        <v>0.27764494401918177</v>
      </c>
      <c r="U27" s="102">
        <f>IFERROR(IF(U19&gt;U7,ABS(U19-U7)/ABS(U7),-ABS(U19-U7)/ABS(U7)),"")</f>
        <v>0.69951207669854043</v>
      </c>
      <c r="V27" s="102">
        <f>IFERROR(IF(V19&gt;V7,ABS(V19-V7)/ABS(V7),-ABS(V19-V7)/ABS(V7)),"")</f>
        <v>1.1365127537161028</v>
      </c>
      <c r="W27" s="102">
        <f>IFERROR(IF(W19&gt;W7,ABS(W19-W7)/ABS(W7),-ABS(W19-W7)/ABS(W7)),"")</f>
        <v>1.0036991906220201</v>
      </c>
      <c r="X27" s="1029">
        <f t="shared" ref="X27:AE27" si="571">IFERROR(IF(X19&gt;X7,ABS(X19-X7)/ABS(X7),-ABS(X19-X7)/ABS(X7)),"")</f>
        <v>0.54704324418200767</v>
      </c>
      <c r="Y27" s="1029">
        <f t="shared" ref="Y27" si="572">IFERROR(IF(Y19&gt;Y7,ABS(Y19-Y7)/ABS(Y7),-ABS(Y19-Y7)/ABS(Y7)),"")</f>
        <v>0.5609691202175181</v>
      </c>
      <c r="Z27" s="102">
        <f>IFERROR(IF(Z19&gt;Z7,ABS(Z19-Z7)/ABS(Z7),-ABS(Z19-Z7)/ABS(Z7)),"")</f>
        <v>0.11907351868755105</v>
      </c>
      <c r="AA27" s="101">
        <f t="shared" si="571"/>
        <v>0.10447391930464436</v>
      </c>
      <c r="AB27" s="102">
        <f>IFERROR(IF(AB19&gt;AB7,ABS(AB19-AB7)/ABS(AB7),-ABS(AB19-AB7)/ABS(AB7)),"")</f>
        <v>8.3935998134251982E-2</v>
      </c>
      <c r="AC27" s="102">
        <f t="shared" si="571"/>
        <v>-2.4376222751759477E-2</v>
      </c>
      <c r="AD27" s="101">
        <f t="shared" si="571"/>
        <v>0.43856950749810414</v>
      </c>
      <c r="AE27" s="103">
        <f t="shared" si="571"/>
        <v>0.23682341507177032</v>
      </c>
      <c r="AF27" s="104"/>
      <c r="AG27" s="702">
        <f t="shared" ref="AG27:BL27" si="573">IFERROR(IF(AG19&gt;AG7,ABS(AG19-AG7)/ABS(AG7),-ABS(AG19-AG7)/ABS(AG7)),"")</f>
        <v>-0.49175853729476027</v>
      </c>
      <c r="AH27" s="700" t="str">
        <f t="shared" si="573"/>
        <v/>
      </c>
      <c r="AI27" s="700" t="str">
        <f t="shared" si="573"/>
        <v/>
      </c>
      <c r="AJ27" s="700" t="str">
        <f t="shared" si="573"/>
        <v/>
      </c>
      <c r="AK27" s="700" t="str">
        <f t="shared" si="573"/>
        <v/>
      </c>
      <c r="AL27" s="700" t="str">
        <f t="shared" si="573"/>
        <v/>
      </c>
      <c r="AM27" s="700" t="str">
        <f t="shared" si="573"/>
        <v/>
      </c>
      <c r="AN27" s="700" t="str">
        <f t="shared" si="573"/>
        <v/>
      </c>
      <c r="AO27" s="700" t="str">
        <f t="shared" si="573"/>
        <v/>
      </c>
      <c r="AP27" s="700" t="str">
        <f t="shared" si="573"/>
        <v/>
      </c>
      <c r="AQ27" s="700" t="str">
        <f t="shared" si="573"/>
        <v/>
      </c>
      <c r="AR27" s="700" t="str">
        <f t="shared" si="573"/>
        <v/>
      </c>
      <c r="AS27" s="700" t="str">
        <f t="shared" si="573"/>
        <v/>
      </c>
      <c r="AT27" s="700" t="str">
        <f t="shared" si="573"/>
        <v/>
      </c>
      <c r="AU27" s="700" t="str">
        <f t="shared" si="573"/>
        <v/>
      </c>
      <c r="AV27" s="700" t="str">
        <f t="shared" si="573"/>
        <v/>
      </c>
      <c r="AW27" s="700" t="str">
        <f t="shared" si="573"/>
        <v/>
      </c>
      <c r="AX27" s="700" t="str">
        <f t="shared" si="573"/>
        <v/>
      </c>
      <c r="AY27" s="700" t="str">
        <f t="shared" si="573"/>
        <v/>
      </c>
      <c r="AZ27" s="701" t="str">
        <f t="shared" si="573"/>
        <v/>
      </c>
      <c r="BA27" s="699">
        <f t="shared" si="573"/>
        <v>-0.27465923850956958</v>
      </c>
      <c r="BB27" s="700" t="str">
        <f t="shared" si="573"/>
        <v/>
      </c>
      <c r="BC27" s="700" t="str">
        <f t="shared" si="573"/>
        <v/>
      </c>
      <c r="BD27" s="700" t="str">
        <f t="shared" si="573"/>
        <v/>
      </c>
      <c r="BE27" s="700" t="str">
        <f t="shared" si="573"/>
        <v/>
      </c>
      <c r="BF27" s="700" t="str">
        <f t="shared" si="573"/>
        <v/>
      </c>
      <c r="BG27" s="700" t="str">
        <f t="shared" si="573"/>
        <v/>
      </c>
      <c r="BH27" s="700" t="str">
        <f t="shared" si="573"/>
        <v/>
      </c>
      <c r="BI27" s="700" t="str">
        <f t="shared" si="573"/>
        <v/>
      </c>
      <c r="BJ27" s="700" t="str">
        <f t="shared" si="573"/>
        <v/>
      </c>
      <c r="BK27" s="700" t="str">
        <f t="shared" si="573"/>
        <v/>
      </c>
      <c r="BL27" s="700" t="str">
        <f t="shared" si="573"/>
        <v/>
      </c>
      <c r="BM27" s="700" t="str">
        <f t="shared" ref="BM27:CR27" si="574">IFERROR(IF(BM19&gt;BM7,ABS(BM19-BM7)/ABS(BM7),-ABS(BM19-BM7)/ABS(BM7)),"")</f>
        <v/>
      </c>
      <c r="BN27" s="700" t="str">
        <f t="shared" si="574"/>
        <v/>
      </c>
      <c r="BO27" s="700" t="str">
        <f t="shared" si="574"/>
        <v/>
      </c>
      <c r="BP27" s="700" t="str">
        <f t="shared" si="574"/>
        <v/>
      </c>
      <c r="BQ27" s="700" t="str">
        <f t="shared" si="574"/>
        <v/>
      </c>
      <c r="BR27" s="700" t="str">
        <f t="shared" si="574"/>
        <v/>
      </c>
      <c r="BS27" s="700" t="str">
        <f t="shared" si="574"/>
        <v/>
      </c>
      <c r="BT27" s="701" t="str">
        <f t="shared" si="574"/>
        <v/>
      </c>
      <c r="BU27" s="699">
        <f t="shared" si="574"/>
        <v>-0.1733380434062658</v>
      </c>
      <c r="BV27" s="700" t="str">
        <f t="shared" si="574"/>
        <v/>
      </c>
      <c r="BW27" s="700" t="str">
        <f t="shared" si="574"/>
        <v/>
      </c>
      <c r="BX27" s="700" t="str">
        <f t="shared" si="574"/>
        <v/>
      </c>
      <c r="BY27" s="700" t="str">
        <f t="shared" si="574"/>
        <v/>
      </c>
      <c r="BZ27" s="700" t="str">
        <f t="shared" si="574"/>
        <v/>
      </c>
      <c r="CA27" s="700" t="str">
        <f t="shared" si="574"/>
        <v/>
      </c>
      <c r="CB27" s="700" t="str">
        <f t="shared" si="574"/>
        <v/>
      </c>
      <c r="CC27" s="700" t="str">
        <f t="shared" si="574"/>
        <v/>
      </c>
      <c r="CD27" s="700" t="str">
        <f t="shared" si="574"/>
        <v/>
      </c>
      <c r="CE27" s="700" t="str">
        <f t="shared" si="574"/>
        <v/>
      </c>
      <c r="CF27" s="700" t="str">
        <f t="shared" si="574"/>
        <v/>
      </c>
      <c r="CG27" s="700" t="str">
        <f t="shared" si="574"/>
        <v/>
      </c>
      <c r="CH27" s="700" t="str">
        <f t="shared" si="574"/>
        <v/>
      </c>
      <c r="CI27" s="700" t="str">
        <f t="shared" si="574"/>
        <v/>
      </c>
      <c r="CJ27" s="700" t="str">
        <f t="shared" si="574"/>
        <v/>
      </c>
      <c r="CK27" s="700" t="str">
        <f t="shared" si="574"/>
        <v/>
      </c>
      <c r="CL27" s="700" t="str">
        <f t="shared" si="574"/>
        <v/>
      </c>
      <c r="CM27" s="700" t="str">
        <f t="shared" si="574"/>
        <v/>
      </c>
      <c r="CN27" s="701" t="str">
        <f t="shared" si="574"/>
        <v/>
      </c>
      <c r="CO27" s="699">
        <f t="shared" si="574"/>
        <v>6.5348525469168847E-2</v>
      </c>
      <c r="CP27" s="700" t="str">
        <f t="shared" si="574"/>
        <v/>
      </c>
      <c r="CQ27" s="700" t="str">
        <f t="shared" si="574"/>
        <v/>
      </c>
      <c r="CR27" s="700" t="str">
        <f t="shared" si="574"/>
        <v/>
      </c>
      <c r="CS27" s="700" t="str">
        <f t="shared" ref="CS27:DH27" si="575">IFERROR(IF(CS19&gt;CS7,ABS(CS19-CS7)/ABS(CS7),-ABS(CS19-CS7)/ABS(CS7)),"")</f>
        <v/>
      </c>
      <c r="CT27" s="700" t="str">
        <f t="shared" si="575"/>
        <v/>
      </c>
      <c r="CU27" s="700" t="str">
        <f t="shared" si="575"/>
        <v/>
      </c>
      <c r="CV27" s="700" t="str">
        <f t="shared" si="575"/>
        <v/>
      </c>
      <c r="CW27" s="700" t="str">
        <f t="shared" si="575"/>
        <v/>
      </c>
      <c r="CX27" s="700" t="str">
        <f t="shared" si="575"/>
        <v/>
      </c>
      <c r="CY27" s="700" t="str">
        <f t="shared" si="575"/>
        <v/>
      </c>
      <c r="CZ27" s="700" t="str">
        <f t="shared" si="575"/>
        <v/>
      </c>
      <c r="DA27" s="700" t="str">
        <f t="shared" si="575"/>
        <v/>
      </c>
      <c r="DB27" s="700" t="str">
        <f t="shared" si="575"/>
        <v/>
      </c>
      <c r="DC27" s="700" t="str">
        <f t="shared" si="575"/>
        <v/>
      </c>
      <c r="DD27" s="700" t="str">
        <f t="shared" si="575"/>
        <v/>
      </c>
      <c r="DE27" s="700" t="str">
        <f t="shared" si="575"/>
        <v/>
      </c>
      <c r="DF27" s="700" t="str">
        <f t="shared" si="575"/>
        <v/>
      </c>
      <c r="DG27" s="700" t="str">
        <f t="shared" si="575"/>
        <v/>
      </c>
      <c r="DH27" s="701" t="str">
        <f t="shared" si="575"/>
        <v/>
      </c>
      <c r="DI27" s="699">
        <f t="shared" ref="DI27:EN27" si="576">IFERROR(IF(DI19&gt;DI7,-ABS(DI19-DI7)/ABS(DI7),ABS(DI19-DI7)/ABS(DI7)),"")</f>
        <v>-0.16478273567050636</v>
      </c>
      <c r="DJ27" s="700" t="str">
        <f t="shared" si="576"/>
        <v/>
      </c>
      <c r="DK27" s="700" t="str">
        <f t="shared" si="576"/>
        <v/>
      </c>
      <c r="DL27" s="700" t="str">
        <f t="shared" si="576"/>
        <v/>
      </c>
      <c r="DM27" s="700" t="str">
        <f t="shared" si="576"/>
        <v/>
      </c>
      <c r="DN27" s="700" t="str">
        <f t="shared" si="576"/>
        <v/>
      </c>
      <c r="DO27" s="700" t="str">
        <f t="shared" si="576"/>
        <v/>
      </c>
      <c r="DP27" s="700" t="str">
        <f t="shared" si="576"/>
        <v/>
      </c>
      <c r="DQ27" s="700" t="str">
        <f t="shared" si="576"/>
        <v/>
      </c>
      <c r="DR27" s="700" t="str">
        <f t="shared" si="576"/>
        <v/>
      </c>
      <c r="DS27" s="700" t="str">
        <f t="shared" si="576"/>
        <v/>
      </c>
      <c r="DT27" s="700" t="str">
        <f t="shared" si="576"/>
        <v/>
      </c>
      <c r="DU27" s="700" t="str">
        <f t="shared" si="576"/>
        <v/>
      </c>
      <c r="DV27" s="700" t="str">
        <f t="shared" si="576"/>
        <v/>
      </c>
      <c r="DW27" s="700" t="str">
        <f t="shared" si="576"/>
        <v/>
      </c>
      <c r="DX27" s="700" t="str">
        <f t="shared" si="576"/>
        <v/>
      </c>
      <c r="DY27" s="700" t="str">
        <f t="shared" si="576"/>
        <v/>
      </c>
      <c r="DZ27" s="700" t="str">
        <f t="shared" si="576"/>
        <v/>
      </c>
      <c r="EA27" s="700" t="str">
        <f t="shared" si="576"/>
        <v/>
      </c>
      <c r="EB27" s="701" t="str">
        <f t="shared" si="576"/>
        <v/>
      </c>
      <c r="EC27" s="699">
        <f t="shared" si="576"/>
        <v>0.56590608965196509</v>
      </c>
      <c r="ED27" s="700" t="str">
        <f t="shared" si="576"/>
        <v/>
      </c>
      <c r="EE27" s="700" t="str">
        <f t="shared" si="576"/>
        <v/>
      </c>
      <c r="EF27" s="700" t="str">
        <f t="shared" si="576"/>
        <v/>
      </c>
      <c r="EG27" s="700" t="str">
        <f t="shared" si="576"/>
        <v/>
      </c>
      <c r="EH27" s="700" t="str">
        <f t="shared" si="576"/>
        <v/>
      </c>
      <c r="EI27" s="700" t="str">
        <f t="shared" si="576"/>
        <v/>
      </c>
      <c r="EJ27" s="700" t="str">
        <f t="shared" si="576"/>
        <v/>
      </c>
      <c r="EK27" s="700" t="str">
        <f t="shared" si="576"/>
        <v/>
      </c>
      <c r="EL27" s="700" t="str">
        <f t="shared" si="576"/>
        <v/>
      </c>
      <c r="EM27" s="700" t="str">
        <f t="shared" si="576"/>
        <v/>
      </c>
      <c r="EN27" s="700" t="str">
        <f t="shared" si="576"/>
        <v/>
      </c>
      <c r="EO27" s="700" t="str">
        <f t="shared" ref="EO27:FT27" si="577">IFERROR(IF(EO19&gt;EO7,-ABS(EO19-EO7)/ABS(EO7),ABS(EO19-EO7)/ABS(EO7)),"")</f>
        <v/>
      </c>
      <c r="EP27" s="700" t="str">
        <f t="shared" si="577"/>
        <v/>
      </c>
      <c r="EQ27" s="700" t="str">
        <f t="shared" si="577"/>
        <v/>
      </c>
      <c r="ER27" s="700" t="str">
        <f t="shared" si="577"/>
        <v/>
      </c>
      <c r="ES27" s="700" t="str">
        <f t="shared" si="577"/>
        <v/>
      </c>
      <c r="ET27" s="700" t="str">
        <f t="shared" si="577"/>
        <v/>
      </c>
      <c r="EU27" s="700" t="str">
        <f t="shared" si="577"/>
        <v/>
      </c>
      <c r="EV27" s="701" t="str">
        <f t="shared" si="577"/>
        <v/>
      </c>
      <c r="EW27" s="699">
        <f t="shared" si="577"/>
        <v>0.56368957621309423</v>
      </c>
      <c r="EX27" s="700" t="str">
        <f t="shared" si="577"/>
        <v/>
      </c>
      <c r="EY27" s="700" t="str">
        <f t="shared" si="577"/>
        <v/>
      </c>
      <c r="EZ27" s="700" t="str">
        <f t="shared" si="577"/>
        <v/>
      </c>
      <c r="FA27" s="700" t="str">
        <f t="shared" si="577"/>
        <v/>
      </c>
      <c r="FB27" s="700" t="str">
        <f t="shared" si="577"/>
        <v/>
      </c>
      <c r="FC27" s="700" t="str">
        <f t="shared" si="577"/>
        <v/>
      </c>
      <c r="FD27" s="700" t="str">
        <f t="shared" si="577"/>
        <v/>
      </c>
      <c r="FE27" s="700" t="str">
        <f t="shared" si="577"/>
        <v/>
      </c>
      <c r="FF27" s="700" t="str">
        <f t="shared" si="577"/>
        <v/>
      </c>
      <c r="FG27" s="700" t="str">
        <f t="shared" si="577"/>
        <v/>
      </c>
      <c r="FH27" s="700" t="str">
        <f t="shared" si="577"/>
        <v/>
      </c>
      <c r="FI27" s="700" t="str">
        <f t="shared" si="577"/>
        <v/>
      </c>
      <c r="FJ27" s="700" t="str">
        <f t="shared" si="577"/>
        <v/>
      </c>
      <c r="FK27" s="700" t="str">
        <f t="shared" si="577"/>
        <v/>
      </c>
      <c r="FL27" s="700" t="str">
        <f t="shared" si="577"/>
        <v/>
      </c>
      <c r="FM27" s="700" t="str">
        <f t="shared" si="577"/>
        <v/>
      </c>
      <c r="FN27" s="700" t="str">
        <f t="shared" si="577"/>
        <v/>
      </c>
      <c r="FO27" s="700" t="str">
        <f t="shared" si="577"/>
        <v/>
      </c>
      <c r="FP27" s="701" t="str">
        <f t="shared" si="577"/>
        <v/>
      </c>
      <c r="FQ27" s="699" t="str">
        <f t="shared" si="577"/>
        <v/>
      </c>
      <c r="FR27" s="700" t="str">
        <f t="shared" si="577"/>
        <v/>
      </c>
      <c r="FS27" s="700" t="str">
        <f t="shared" si="577"/>
        <v/>
      </c>
      <c r="FT27" s="700" t="str">
        <f t="shared" si="577"/>
        <v/>
      </c>
      <c r="FU27" s="700" t="str">
        <f t="shared" ref="FU27:GZ27" si="578">IFERROR(IF(FU19&gt;FU7,-ABS(FU19-FU7)/ABS(FU7),ABS(FU19-FU7)/ABS(FU7)),"")</f>
        <v/>
      </c>
      <c r="FV27" s="700" t="str">
        <f t="shared" si="578"/>
        <v/>
      </c>
      <c r="FW27" s="700" t="str">
        <f t="shared" si="578"/>
        <v/>
      </c>
      <c r="FX27" s="700" t="str">
        <f t="shared" si="578"/>
        <v/>
      </c>
      <c r="FY27" s="700" t="str">
        <f t="shared" si="578"/>
        <v/>
      </c>
      <c r="FZ27" s="700" t="str">
        <f t="shared" si="578"/>
        <v/>
      </c>
      <c r="GA27" s="700" t="str">
        <f t="shared" si="578"/>
        <v/>
      </c>
      <c r="GB27" s="700" t="str">
        <f t="shared" si="578"/>
        <v/>
      </c>
      <c r="GC27" s="700" t="str">
        <f t="shared" si="578"/>
        <v/>
      </c>
      <c r="GD27" s="700" t="str">
        <f t="shared" si="578"/>
        <v/>
      </c>
      <c r="GE27" s="700" t="str">
        <f t="shared" si="578"/>
        <v/>
      </c>
      <c r="GF27" s="700" t="str">
        <f t="shared" si="578"/>
        <v/>
      </c>
      <c r="GG27" s="700" t="str">
        <f t="shared" si="578"/>
        <v/>
      </c>
      <c r="GH27" s="700" t="str">
        <f t="shared" si="578"/>
        <v/>
      </c>
      <c r="GI27" s="700" t="str">
        <f t="shared" si="578"/>
        <v/>
      </c>
      <c r="GJ27" s="701" t="str">
        <f t="shared" si="578"/>
        <v/>
      </c>
      <c r="GK27" s="598">
        <f t="shared" si="578"/>
        <v>0.31799362268531328</v>
      </c>
      <c r="GL27" s="599" t="str">
        <f t="shared" si="578"/>
        <v/>
      </c>
      <c r="GM27" s="599" t="str">
        <f t="shared" si="578"/>
        <v/>
      </c>
      <c r="GN27" s="599" t="str">
        <f t="shared" si="578"/>
        <v/>
      </c>
      <c r="GO27" s="599" t="str">
        <f t="shared" si="578"/>
        <v/>
      </c>
      <c r="GP27" s="599" t="str">
        <f t="shared" si="578"/>
        <v/>
      </c>
      <c r="GQ27" s="599" t="str">
        <f t="shared" si="578"/>
        <v/>
      </c>
      <c r="GR27" s="599" t="str">
        <f t="shared" si="578"/>
        <v/>
      </c>
      <c r="GS27" s="599" t="str">
        <f t="shared" si="578"/>
        <v/>
      </c>
      <c r="GT27" s="599" t="str">
        <f t="shared" si="578"/>
        <v/>
      </c>
      <c r="GU27" s="599" t="str">
        <f t="shared" si="578"/>
        <v/>
      </c>
      <c r="GV27" s="599" t="str">
        <f t="shared" si="578"/>
        <v/>
      </c>
      <c r="GW27" s="599" t="str">
        <f t="shared" si="578"/>
        <v/>
      </c>
      <c r="GX27" s="599" t="str">
        <f t="shared" si="578"/>
        <v/>
      </c>
      <c r="GY27" s="599" t="str">
        <f t="shared" si="578"/>
        <v/>
      </c>
      <c r="GZ27" s="599" t="str">
        <f t="shared" si="578"/>
        <v/>
      </c>
      <c r="HA27" s="599" t="str">
        <f t="shared" ref="HA27:IF27" si="579">IFERROR(IF(HA19&gt;HA7,-ABS(HA19-HA7)/ABS(HA7),ABS(HA19-HA7)/ABS(HA7)),"")</f>
        <v/>
      </c>
      <c r="HB27" s="599" t="str">
        <f t="shared" si="579"/>
        <v/>
      </c>
      <c r="HC27" s="599" t="str">
        <f t="shared" si="579"/>
        <v/>
      </c>
      <c r="HD27" s="600" t="str">
        <f t="shared" si="579"/>
        <v/>
      </c>
      <c r="HE27" s="598">
        <f t="shared" si="579"/>
        <v>0.24008220234494543</v>
      </c>
      <c r="HF27" s="599" t="str">
        <f t="shared" si="579"/>
        <v/>
      </c>
      <c r="HG27" s="599" t="str">
        <f t="shared" si="579"/>
        <v/>
      </c>
      <c r="HH27" s="599" t="str">
        <f t="shared" si="579"/>
        <v/>
      </c>
      <c r="HI27" s="599" t="str">
        <f t="shared" si="579"/>
        <v/>
      </c>
      <c r="HJ27" s="599" t="str">
        <f t="shared" si="579"/>
        <v/>
      </c>
      <c r="HK27" s="599" t="str">
        <f t="shared" si="579"/>
        <v/>
      </c>
      <c r="HL27" s="599" t="str">
        <f t="shared" si="579"/>
        <v/>
      </c>
      <c r="HM27" s="599" t="str">
        <f t="shared" si="579"/>
        <v/>
      </c>
      <c r="HN27" s="599" t="str">
        <f t="shared" si="579"/>
        <v/>
      </c>
      <c r="HO27" s="599" t="str">
        <f t="shared" si="579"/>
        <v/>
      </c>
      <c r="HP27" s="599" t="str">
        <f t="shared" si="579"/>
        <v/>
      </c>
      <c r="HQ27" s="599" t="str">
        <f t="shared" si="579"/>
        <v/>
      </c>
      <c r="HR27" s="599" t="str">
        <f t="shared" si="579"/>
        <v/>
      </c>
      <c r="HS27" s="599" t="str">
        <f t="shared" si="579"/>
        <v/>
      </c>
      <c r="HT27" s="599" t="str">
        <f t="shared" si="579"/>
        <v/>
      </c>
      <c r="HU27" s="599" t="str">
        <f t="shared" si="579"/>
        <v/>
      </c>
      <c r="HV27" s="599" t="str">
        <f t="shared" si="579"/>
        <v/>
      </c>
      <c r="HW27" s="599" t="str">
        <f t="shared" si="579"/>
        <v/>
      </c>
      <c r="HX27" s="600" t="str">
        <f t="shared" si="579"/>
        <v/>
      </c>
      <c r="HY27" s="598">
        <f t="shared" si="579"/>
        <v>0.15175166949481847</v>
      </c>
      <c r="HZ27" s="599" t="str">
        <f t="shared" si="579"/>
        <v/>
      </c>
      <c r="IA27" s="599" t="str">
        <f t="shared" si="579"/>
        <v/>
      </c>
      <c r="IB27" s="599" t="str">
        <f t="shared" si="579"/>
        <v/>
      </c>
      <c r="IC27" s="599" t="str">
        <f t="shared" si="579"/>
        <v/>
      </c>
      <c r="ID27" s="599" t="str">
        <f t="shared" si="579"/>
        <v/>
      </c>
      <c r="IE27" s="599" t="str">
        <f t="shared" si="579"/>
        <v/>
      </c>
      <c r="IF27" s="599" t="str">
        <f t="shared" si="579"/>
        <v/>
      </c>
      <c r="IG27" s="599" t="str">
        <f t="shared" ref="IG27:JL27" si="580">IFERROR(IF(IG19&gt;IG7,-ABS(IG19-IG7)/ABS(IG7),ABS(IG19-IG7)/ABS(IG7)),"")</f>
        <v/>
      </c>
      <c r="IH27" s="599" t="str">
        <f t="shared" si="580"/>
        <v/>
      </c>
      <c r="II27" s="599" t="str">
        <f t="shared" si="580"/>
        <v/>
      </c>
      <c r="IJ27" s="599" t="str">
        <f t="shared" si="580"/>
        <v/>
      </c>
      <c r="IK27" s="599" t="str">
        <f t="shared" si="580"/>
        <v/>
      </c>
      <c r="IL27" s="599" t="str">
        <f t="shared" si="580"/>
        <v/>
      </c>
      <c r="IM27" s="599" t="str">
        <f t="shared" si="580"/>
        <v/>
      </c>
      <c r="IN27" s="599" t="str">
        <f t="shared" si="580"/>
        <v/>
      </c>
      <c r="IO27" s="599" t="str">
        <f t="shared" si="580"/>
        <v/>
      </c>
      <c r="IP27" s="599" t="str">
        <f t="shared" si="580"/>
        <v/>
      </c>
      <c r="IQ27" s="599" t="str">
        <f t="shared" si="580"/>
        <v/>
      </c>
      <c r="IR27" s="600" t="str">
        <f t="shared" si="580"/>
        <v/>
      </c>
      <c r="IS27" s="598">
        <f t="shared" si="580"/>
        <v>1.4790065559451975</v>
      </c>
      <c r="IT27" s="599" t="str">
        <f t="shared" si="580"/>
        <v/>
      </c>
      <c r="IU27" s="599" t="str">
        <f t="shared" si="580"/>
        <v/>
      </c>
      <c r="IV27" s="599" t="str">
        <f t="shared" si="580"/>
        <v/>
      </c>
      <c r="IW27" s="599" t="str">
        <f t="shared" si="580"/>
        <v/>
      </c>
      <c r="IX27" s="599" t="str">
        <f t="shared" si="580"/>
        <v/>
      </c>
      <c r="IY27" s="599" t="str">
        <f t="shared" si="580"/>
        <v/>
      </c>
      <c r="IZ27" s="599" t="str">
        <f t="shared" si="580"/>
        <v/>
      </c>
      <c r="JA27" s="599" t="str">
        <f t="shared" si="580"/>
        <v/>
      </c>
      <c r="JB27" s="599" t="str">
        <f t="shared" si="580"/>
        <v/>
      </c>
      <c r="JC27" s="599" t="str">
        <f t="shared" si="580"/>
        <v/>
      </c>
      <c r="JD27" s="599" t="str">
        <f t="shared" si="580"/>
        <v/>
      </c>
      <c r="JE27" s="599" t="str">
        <f t="shared" si="580"/>
        <v/>
      </c>
      <c r="JF27" s="599" t="str">
        <f t="shared" si="580"/>
        <v/>
      </c>
      <c r="JG27" s="599" t="str">
        <f t="shared" si="580"/>
        <v/>
      </c>
      <c r="JH27" s="599" t="str">
        <f t="shared" si="580"/>
        <v/>
      </c>
      <c r="JI27" s="599" t="str">
        <f t="shared" si="580"/>
        <v/>
      </c>
      <c r="JJ27" s="599" t="str">
        <f t="shared" si="580"/>
        <v/>
      </c>
      <c r="JK27" s="599" t="str">
        <f t="shared" si="580"/>
        <v/>
      </c>
      <c r="JL27" s="600" t="str">
        <f t="shared" si="580"/>
        <v/>
      </c>
      <c r="JM27" s="699">
        <f t="shared" ref="JM27:LX27" si="581">IFERROR(IF(JM19&gt;JM7,ABS(JM19-JM7)/ABS(JM7),-ABS(JM19-JM7)/ABS(JM7)),"")</f>
        <v>0.11605274409395347</v>
      </c>
      <c r="JN27" s="700" t="str">
        <f t="shared" si="581"/>
        <v/>
      </c>
      <c r="JO27" s="700" t="str">
        <f t="shared" si="581"/>
        <v/>
      </c>
      <c r="JP27" s="700" t="str">
        <f t="shared" si="581"/>
        <v/>
      </c>
      <c r="JQ27" s="700" t="str">
        <f t="shared" si="581"/>
        <v/>
      </c>
      <c r="JR27" s="700" t="str">
        <f t="shared" si="581"/>
        <v/>
      </c>
      <c r="JS27" s="700" t="str">
        <f t="shared" si="581"/>
        <v/>
      </c>
      <c r="JT27" s="700" t="str">
        <f t="shared" si="581"/>
        <v/>
      </c>
      <c r="JU27" s="700" t="str">
        <f t="shared" si="581"/>
        <v/>
      </c>
      <c r="JV27" s="700" t="str">
        <f t="shared" si="581"/>
        <v/>
      </c>
      <c r="JW27" s="700" t="str">
        <f t="shared" si="581"/>
        <v/>
      </c>
      <c r="JX27" s="700" t="str">
        <f t="shared" si="581"/>
        <v/>
      </c>
      <c r="JY27" s="700" t="str">
        <f t="shared" si="581"/>
        <v/>
      </c>
      <c r="JZ27" s="700" t="str">
        <f t="shared" si="581"/>
        <v/>
      </c>
      <c r="KA27" s="700" t="str">
        <f t="shared" si="581"/>
        <v/>
      </c>
      <c r="KB27" s="700" t="str">
        <f t="shared" si="581"/>
        <v/>
      </c>
      <c r="KC27" s="700" t="str">
        <f t="shared" si="581"/>
        <v/>
      </c>
      <c r="KD27" s="700" t="str">
        <f t="shared" si="581"/>
        <v/>
      </c>
      <c r="KE27" s="700" t="str">
        <f t="shared" si="581"/>
        <v/>
      </c>
      <c r="KF27" s="701" t="str">
        <f t="shared" si="581"/>
        <v/>
      </c>
      <c r="KG27" s="108">
        <f t="shared" si="581"/>
        <v>0.41798801667245572</v>
      </c>
      <c r="KH27" s="109" t="str">
        <f t="shared" si="581"/>
        <v/>
      </c>
      <c r="KI27" s="109" t="str">
        <f t="shared" si="581"/>
        <v/>
      </c>
      <c r="KJ27" s="109" t="str">
        <f t="shared" si="581"/>
        <v/>
      </c>
      <c r="KK27" s="109" t="str">
        <f t="shared" si="581"/>
        <v/>
      </c>
      <c r="KL27" s="109" t="str">
        <f t="shared" si="581"/>
        <v/>
      </c>
      <c r="KM27" s="109" t="str">
        <f t="shared" si="581"/>
        <v/>
      </c>
      <c r="KN27" s="109" t="str">
        <f t="shared" si="581"/>
        <v/>
      </c>
      <c r="KO27" s="109" t="str">
        <f t="shared" si="581"/>
        <v/>
      </c>
      <c r="KP27" s="109" t="str">
        <f t="shared" si="581"/>
        <v/>
      </c>
      <c r="KQ27" s="109" t="str">
        <f t="shared" si="581"/>
        <v/>
      </c>
      <c r="KR27" s="109" t="str">
        <f t="shared" si="581"/>
        <v/>
      </c>
      <c r="KS27" s="109" t="str">
        <f t="shared" si="581"/>
        <v/>
      </c>
      <c r="KT27" s="109" t="str">
        <f t="shared" si="581"/>
        <v/>
      </c>
      <c r="KU27" s="109" t="str">
        <f t="shared" si="581"/>
        <v/>
      </c>
      <c r="KV27" s="109" t="str">
        <f t="shared" si="581"/>
        <v/>
      </c>
      <c r="KW27" s="109" t="str">
        <f t="shared" si="581"/>
        <v/>
      </c>
      <c r="KX27" s="109" t="str">
        <f t="shared" si="581"/>
        <v/>
      </c>
      <c r="KY27" s="109" t="str">
        <f t="shared" si="581"/>
        <v/>
      </c>
      <c r="KZ27" s="110" t="str">
        <f t="shared" si="581"/>
        <v/>
      </c>
      <c r="LA27" s="105">
        <f t="shared" si="581"/>
        <v>0.3159321849505648</v>
      </c>
      <c r="LB27" s="105" t="str">
        <f t="shared" si="581"/>
        <v/>
      </c>
      <c r="LC27" s="105" t="str">
        <f t="shared" si="581"/>
        <v/>
      </c>
      <c r="LD27" s="105" t="str">
        <f t="shared" si="581"/>
        <v/>
      </c>
      <c r="LE27" s="105" t="str">
        <f t="shared" si="581"/>
        <v/>
      </c>
      <c r="LF27" s="105" t="str">
        <f t="shared" si="581"/>
        <v/>
      </c>
      <c r="LG27" s="105" t="str">
        <f t="shared" si="581"/>
        <v/>
      </c>
      <c r="LH27" s="105" t="str">
        <f t="shared" si="581"/>
        <v/>
      </c>
      <c r="LI27" s="105" t="str">
        <f t="shared" si="581"/>
        <v/>
      </c>
      <c r="LJ27" s="105" t="str">
        <f t="shared" si="581"/>
        <v/>
      </c>
      <c r="LK27" s="105" t="str">
        <f t="shared" si="581"/>
        <v/>
      </c>
      <c r="LL27" s="105" t="str">
        <f t="shared" si="581"/>
        <v/>
      </c>
      <c r="LM27" s="105" t="str">
        <f t="shared" si="581"/>
        <v/>
      </c>
      <c r="LN27" s="105" t="str">
        <f t="shared" si="581"/>
        <v/>
      </c>
      <c r="LO27" s="105" t="str">
        <f t="shared" si="581"/>
        <v/>
      </c>
      <c r="LP27" s="105" t="str">
        <f t="shared" si="581"/>
        <v/>
      </c>
      <c r="LQ27" s="105" t="str">
        <f t="shared" si="581"/>
        <v/>
      </c>
      <c r="LR27" s="105" t="str">
        <f t="shared" si="581"/>
        <v/>
      </c>
      <c r="LS27" s="105" t="str">
        <f t="shared" si="581"/>
        <v/>
      </c>
      <c r="LT27" s="105" t="str">
        <f t="shared" si="581"/>
        <v/>
      </c>
      <c r="LU27" s="105">
        <f t="shared" si="581"/>
        <v>0.46626206033548656</v>
      </c>
      <c r="LV27" s="105" t="str">
        <f t="shared" si="581"/>
        <v/>
      </c>
      <c r="LW27" s="105" t="str">
        <f t="shared" si="581"/>
        <v/>
      </c>
      <c r="LX27" s="105" t="str">
        <f t="shared" si="581"/>
        <v/>
      </c>
      <c r="LY27" s="105" t="str">
        <f t="shared" ref="LY27:OJ27" si="582">IFERROR(IF(LY19&gt;LY7,ABS(LY19-LY7)/ABS(LY7),-ABS(LY19-LY7)/ABS(LY7)),"")</f>
        <v/>
      </c>
      <c r="LZ27" s="105" t="str">
        <f t="shared" si="582"/>
        <v/>
      </c>
      <c r="MA27" s="105" t="str">
        <f t="shared" si="582"/>
        <v/>
      </c>
      <c r="MB27" s="105" t="str">
        <f t="shared" si="582"/>
        <v/>
      </c>
      <c r="MC27" s="105" t="str">
        <f t="shared" si="582"/>
        <v/>
      </c>
      <c r="MD27" s="105" t="str">
        <f t="shared" si="582"/>
        <v/>
      </c>
      <c r="ME27" s="105" t="str">
        <f t="shared" si="582"/>
        <v/>
      </c>
      <c r="MF27" s="105" t="str">
        <f t="shared" si="582"/>
        <v/>
      </c>
      <c r="MG27" s="105" t="str">
        <f t="shared" si="582"/>
        <v/>
      </c>
      <c r="MH27" s="105" t="str">
        <f t="shared" si="582"/>
        <v/>
      </c>
      <c r="MI27" s="105" t="str">
        <f t="shared" si="582"/>
        <v/>
      </c>
      <c r="MJ27" s="105" t="str">
        <f t="shared" si="582"/>
        <v/>
      </c>
      <c r="MK27" s="105" t="str">
        <f t="shared" si="582"/>
        <v/>
      </c>
      <c r="ML27" s="105" t="str">
        <f t="shared" si="582"/>
        <v/>
      </c>
      <c r="MM27" s="105" t="str">
        <f t="shared" si="582"/>
        <v/>
      </c>
      <c r="MN27" s="105" t="str">
        <f t="shared" si="582"/>
        <v/>
      </c>
      <c r="MO27" s="105">
        <f t="shared" si="582"/>
        <v>0.81485331880667333</v>
      </c>
      <c r="MP27" s="105" t="str">
        <f t="shared" si="582"/>
        <v/>
      </c>
      <c r="MQ27" s="105" t="str">
        <f t="shared" si="582"/>
        <v/>
      </c>
      <c r="MR27" s="105" t="str">
        <f t="shared" si="582"/>
        <v/>
      </c>
      <c r="MS27" s="105" t="str">
        <f t="shared" si="582"/>
        <v/>
      </c>
      <c r="MT27" s="105" t="str">
        <f t="shared" si="582"/>
        <v/>
      </c>
      <c r="MU27" s="105" t="str">
        <f t="shared" si="582"/>
        <v/>
      </c>
      <c r="MV27" s="105" t="str">
        <f t="shared" si="582"/>
        <v/>
      </c>
      <c r="MW27" s="105" t="str">
        <f t="shared" si="582"/>
        <v/>
      </c>
      <c r="MX27" s="105" t="str">
        <f t="shared" si="582"/>
        <v/>
      </c>
      <c r="MY27" s="105" t="str">
        <f t="shared" si="582"/>
        <v/>
      </c>
      <c r="MZ27" s="105" t="str">
        <f t="shared" si="582"/>
        <v/>
      </c>
      <c r="NA27" s="105" t="str">
        <f t="shared" si="582"/>
        <v/>
      </c>
      <c r="NB27" s="105" t="str">
        <f t="shared" si="582"/>
        <v/>
      </c>
      <c r="NC27" s="105" t="str">
        <f t="shared" si="582"/>
        <v/>
      </c>
      <c r="ND27" s="105" t="str">
        <f t="shared" si="582"/>
        <v/>
      </c>
      <c r="NE27" s="105" t="str">
        <f t="shared" si="582"/>
        <v/>
      </c>
      <c r="NF27" s="105" t="str">
        <f t="shared" si="582"/>
        <v/>
      </c>
      <c r="NG27" s="105" t="str">
        <f t="shared" si="582"/>
        <v/>
      </c>
      <c r="NH27" s="105" t="str">
        <f t="shared" si="582"/>
        <v/>
      </c>
      <c r="NI27" s="105">
        <f t="shared" si="582"/>
        <v>-0.34262944820158592</v>
      </c>
      <c r="NJ27" s="105" t="str">
        <f t="shared" si="582"/>
        <v/>
      </c>
      <c r="NK27" s="105" t="str">
        <f t="shared" si="582"/>
        <v/>
      </c>
      <c r="NL27" s="105" t="str">
        <f t="shared" si="582"/>
        <v/>
      </c>
      <c r="NM27" s="105" t="str">
        <f t="shared" si="582"/>
        <v/>
      </c>
      <c r="NN27" s="105" t="str">
        <f t="shared" si="582"/>
        <v/>
      </c>
      <c r="NO27" s="105" t="str">
        <f t="shared" si="582"/>
        <v/>
      </c>
      <c r="NP27" s="105" t="str">
        <f t="shared" si="582"/>
        <v/>
      </c>
      <c r="NQ27" s="105" t="str">
        <f t="shared" si="582"/>
        <v/>
      </c>
      <c r="NR27" s="105" t="str">
        <f t="shared" si="582"/>
        <v/>
      </c>
      <c r="NS27" s="105" t="str">
        <f t="shared" si="582"/>
        <v/>
      </c>
      <c r="NT27" s="105" t="str">
        <f t="shared" si="582"/>
        <v/>
      </c>
      <c r="NU27" s="105" t="str">
        <f t="shared" si="582"/>
        <v/>
      </c>
      <c r="NV27" s="105" t="str">
        <f t="shared" si="582"/>
        <v/>
      </c>
      <c r="NW27" s="105" t="str">
        <f t="shared" si="582"/>
        <v/>
      </c>
      <c r="NX27" s="105" t="str">
        <f t="shared" si="582"/>
        <v/>
      </c>
      <c r="NY27" s="105" t="str">
        <f t="shared" si="582"/>
        <v/>
      </c>
      <c r="NZ27" s="105" t="str">
        <f t="shared" si="582"/>
        <v/>
      </c>
      <c r="OA27" s="105" t="str">
        <f t="shared" si="582"/>
        <v/>
      </c>
      <c r="OB27" s="105" t="str">
        <f t="shared" si="582"/>
        <v/>
      </c>
      <c r="OC27" s="105">
        <f t="shared" si="582"/>
        <v>0.48213559573862563</v>
      </c>
      <c r="OD27" s="106" t="str">
        <f t="shared" si="582"/>
        <v/>
      </c>
      <c r="OE27" s="106" t="str">
        <f t="shared" si="582"/>
        <v/>
      </c>
      <c r="OF27" s="106" t="str">
        <f t="shared" si="582"/>
        <v/>
      </c>
      <c r="OG27" s="106" t="str">
        <f t="shared" si="582"/>
        <v/>
      </c>
      <c r="OH27" s="106" t="str">
        <f t="shared" si="582"/>
        <v/>
      </c>
      <c r="OI27" s="106" t="str">
        <f t="shared" si="582"/>
        <v/>
      </c>
      <c r="OJ27" s="106" t="str">
        <f t="shared" si="582"/>
        <v/>
      </c>
      <c r="OK27" s="106" t="str">
        <f t="shared" ref="OK27:QV27" si="583">IFERROR(IF(OK19&gt;OK7,ABS(OK19-OK7)/ABS(OK7),-ABS(OK19-OK7)/ABS(OK7)),"")</f>
        <v/>
      </c>
      <c r="OL27" s="106" t="str">
        <f t="shared" si="583"/>
        <v/>
      </c>
      <c r="OM27" s="106" t="str">
        <f t="shared" si="583"/>
        <v/>
      </c>
      <c r="ON27" s="106" t="str">
        <f t="shared" si="583"/>
        <v/>
      </c>
      <c r="OO27" s="106" t="str">
        <f t="shared" si="583"/>
        <v/>
      </c>
      <c r="OP27" s="106" t="str">
        <f t="shared" si="583"/>
        <v/>
      </c>
      <c r="OQ27" s="106" t="str">
        <f t="shared" si="583"/>
        <v/>
      </c>
      <c r="OR27" s="106" t="str">
        <f t="shared" si="583"/>
        <v/>
      </c>
      <c r="OS27" s="106" t="str">
        <f t="shared" si="583"/>
        <v/>
      </c>
      <c r="OT27" s="106" t="str">
        <f t="shared" si="583"/>
        <v/>
      </c>
      <c r="OU27" s="106" t="str">
        <f t="shared" si="583"/>
        <v/>
      </c>
      <c r="OV27" s="107" t="str">
        <f t="shared" si="583"/>
        <v/>
      </c>
      <c r="OW27" s="105">
        <f t="shared" si="583"/>
        <v>1.0153160032722854</v>
      </c>
      <c r="OX27" s="106" t="str">
        <f t="shared" si="583"/>
        <v/>
      </c>
      <c r="OY27" s="106" t="str">
        <f t="shared" si="583"/>
        <v/>
      </c>
      <c r="OZ27" s="106" t="str">
        <f t="shared" si="583"/>
        <v/>
      </c>
      <c r="PA27" s="106" t="str">
        <f t="shared" si="583"/>
        <v/>
      </c>
      <c r="PB27" s="106" t="str">
        <f t="shared" si="583"/>
        <v/>
      </c>
      <c r="PC27" s="106" t="str">
        <f t="shared" si="583"/>
        <v/>
      </c>
      <c r="PD27" s="106" t="str">
        <f t="shared" si="583"/>
        <v/>
      </c>
      <c r="PE27" s="106" t="str">
        <f t="shared" si="583"/>
        <v/>
      </c>
      <c r="PF27" s="106" t="str">
        <f t="shared" si="583"/>
        <v/>
      </c>
      <c r="PG27" s="106" t="str">
        <f t="shared" si="583"/>
        <v/>
      </c>
      <c r="PH27" s="106" t="str">
        <f t="shared" si="583"/>
        <v/>
      </c>
      <c r="PI27" s="106" t="str">
        <f t="shared" si="583"/>
        <v/>
      </c>
      <c r="PJ27" s="106" t="str">
        <f t="shared" si="583"/>
        <v/>
      </c>
      <c r="PK27" s="106" t="str">
        <f t="shared" si="583"/>
        <v/>
      </c>
      <c r="PL27" s="106" t="str">
        <f t="shared" si="583"/>
        <v/>
      </c>
      <c r="PM27" s="106" t="str">
        <f t="shared" si="583"/>
        <v/>
      </c>
      <c r="PN27" s="106" t="str">
        <f t="shared" si="583"/>
        <v/>
      </c>
      <c r="PO27" s="106" t="str">
        <f t="shared" si="583"/>
        <v/>
      </c>
      <c r="PP27" s="107" t="str">
        <f t="shared" si="583"/>
        <v/>
      </c>
      <c r="PQ27" s="108">
        <f t="shared" si="583"/>
        <v>0.1813257428053057</v>
      </c>
      <c r="PR27" s="109" t="str">
        <f t="shared" si="583"/>
        <v/>
      </c>
      <c r="PS27" s="109" t="str">
        <f t="shared" si="583"/>
        <v/>
      </c>
      <c r="PT27" s="109" t="str">
        <f t="shared" si="583"/>
        <v/>
      </c>
      <c r="PU27" s="109" t="str">
        <f t="shared" si="583"/>
        <v/>
      </c>
      <c r="PV27" s="109" t="str">
        <f t="shared" si="583"/>
        <v/>
      </c>
      <c r="PW27" s="109" t="str">
        <f t="shared" si="583"/>
        <v/>
      </c>
      <c r="PX27" s="109" t="str">
        <f t="shared" si="583"/>
        <v/>
      </c>
      <c r="PY27" s="109" t="str">
        <f t="shared" si="583"/>
        <v/>
      </c>
      <c r="PZ27" s="109" t="str">
        <f t="shared" si="583"/>
        <v/>
      </c>
      <c r="QA27" s="109" t="str">
        <f t="shared" si="583"/>
        <v/>
      </c>
      <c r="QB27" s="109" t="str">
        <f t="shared" si="583"/>
        <v/>
      </c>
      <c r="QC27" s="109" t="str">
        <f t="shared" si="583"/>
        <v/>
      </c>
      <c r="QD27" s="109" t="str">
        <f t="shared" si="583"/>
        <v/>
      </c>
      <c r="QE27" s="109" t="str">
        <f t="shared" si="583"/>
        <v/>
      </c>
      <c r="QF27" s="109" t="str">
        <f t="shared" si="583"/>
        <v/>
      </c>
      <c r="QG27" s="109" t="str">
        <f t="shared" si="583"/>
        <v/>
      </c>
      <c r="QH27" s="109" t="str">
        <f t="shared" si="583"/>
        <v/>
      </c>
      <c r="QI27" s="109" t="str">
        <f t="shared" si="583"/>
        <v/>
      </c>
      <c r="QJ27" s="110" t="str">
        <f t="shared" si="583"/>
        <v/>
      </c>
      <c r="QK27" s="105">
        <f t="shared" si="583"/>
        <v>5.7675943119004598E-2</v>
      </c>
      <c r="QL27" s="106" t="str">
        <f t="shared" si="583"/>
        <v/>
      </c>
      <c r="QM27" s="106" t="str">
        <f t="shared" si="583"/>
        <v/>
      </c>
      <c r="QN27" s="106" t="str">
        <f t="shared" si="583"/>
        <v/>
      </c>
      <c r="QO27" s="106" t="str">
        <f t="shared" si="583"/>
        <v/>
      </c>
      <c r="QP27" s="106" t="str">
        <f t="shared" si="583"/>
        <v/>
      </c>
      <c r="QQ27" s="106" t="str">
        <f t="shared" si="583"/>
        <v/>
      </c>
      <c r="QR27" s="106" t="str">
        <f t="shared" si="583"/>
        <v/>
      </c>
      <c r="QS27" s="106" t="str">
        <f t="shared" si="583"/>
        <v/>
      </c>
      <c r="QT27" s="106" t="str">
        <f t="shared" si="583"/>
        <v/>
      </c>
      <c r="QU27" s="106" t="str">
        <f t="shared" si="583"/>
        <v/>
      </c>
      <c r="QV27" s="106" t="str">
        <f t="shared" si="583"/>
        <v/>
      </c>
      <c r="QW27" s="106" t="str">
        <f t="shared" ref="QW27:TH27" si="584">IFERROR(IF(QW19&gt;QW7,ABS(QW19-QW7)/ABS(QW7),-ABS(QW19-QW7)/ABS(QW7)),"")</f>
        <v/>
      </c>
      <c r="QX27" s="106" t="str">
        <f t="shared" si="584"/>
        <v/>
      </c>
      <c r="QY27" s="106" t="str">
        <f t="shared" si="584"/>
        <v/>
      </c>
      <c r="QZ27" s="106" t="str">
        <f t="shared" si="584"/>
        <v/>
      </c>
      <c r="RA27" s="106" t="str">
        <f t="shared" si="584"/>
        <v/>
      </c>
      <c r="RB27" s="106" t="str">
        <f t="shared" si="584"/>
        <v/>
      </c>
      <c r="RC27" s="106" t="str">
        <f t="shared" si="584"/>
        <v/>
      </c>
      <c r="RD27" s="107" t="str">
        <f t="shared" si="584"/>
        <v/>
      </c>
      <c r="RE27" s="105">
        <f t="shared" si="584"/>
        <v>0.93816111376343048</v>
      </c>
      <c r="RF27" s="106" t="str">
        <f t="shared" si="584"/>
        <v/>
      </c>
      <c r="RG27" s="106" t="str">
        <f t="shared" si="584"/>
        <v/>
      </c>
      <c r="RH27" s="106" t="str">
        <f t="shared" si="584"/>
        <v/>
      </c>
      <c r="RI27" s="106" t="str">
        <f t="shared" si="584"/>
        <v/>
      </c>
      <c r="RJ27" s="106" t="str">
        <f t="shared" si="584"/>
        <v/>
      </c>
      <c r="RK27" s="106" t="str">
        <f t="shared" si="584"/>
        <v/>
      </c>
      <c r="RL27" s="106" t="str">
        <f t="shared" si="584"/>
        <v/>
      </c>
      <c r="RM27" s="106" t="str">
        <f t="shared" si="584"/>
        <v/>
      </c>
      <c r="RN27" s="106" t="str">
        <f t="shared" si="584"/>
        <v/>
      </c>
      <c r="RO27" s="106" t="str">
        <f t="shared" si="584"/>
        <v/>
      </c>
      <c r="RP27" s="106" t="str">
        <f t="shared" si="584"/>
        <v/>
      </c>
      <c r="RQ27" s="106" t="str">
        <f t="shared" si="584"/>
        <v/>
      </c>
      <c r="RR27" s="106" t="str">
        <f t="shared" si="584"/>
        <v/>
      </c>
      <c r="RS27" s="106" t="str">
        <f t="shared" si="584"/>
        <v/>
      </c>
      <c r="RT27" s="106" t="str">
        <f t="shared" si="584"/>
        <v/>
      </c>
      <c r="RU27" s="106" t="str">
        <f t="shared" si="584"/>
        <v/>
      </c>
      <c r="RV27" s="106" t="str">
        <f t="shared" si="584"/>
        <v/>
      </c>
      <c r="RW27" s="106" t="str">
        <f t="shared" si="584"/>
        <v/>
      </c>
      <c r="RX27" s="107" t="str">
        <f t="shared" si="584"/>
        <v/>
      </c>
      <c r="RY27" s="105">
        <f t="shared" si="584"/>
        <v>-0.32275780152061656</v>
      </c>
      <c r="RZ27" s="106" t="str">
        <f t="shared" si="584"/>
        <v/>
      </c>
      <c r="SA27" s="106" t="str">
        <f t="shared" si="584"/>
        <v/>
      </c>
      <c r="SB27" s="106" t="str">
        <f t="shared" si="584"/>
        <v/>
      </c>
      <c r="SC27" s="106" t="str">
        <f t="shared" si="584"/>
        <v/>
      </c>
      <c r="SD27" s="106" t="str">
        <f t="shared" si="584"/>
        <v/>
      </c>
      <c r="SE27" s="106" t="str">
        <f t="shared" si="584"/>
        <v/>
      </c>
      <c r="SF27" s="106" t="str">
        <f t="shared" si="584"/>
        <v/>
      </c>
      <c r="SG27" s="106" t="str">
        <f t="shared" si="584"/>
        <v/>
      </c>
      <c r="SH27" s="106" t="str">
        <f t="shared" si="584"/>
        <v/>
      </c>
      <c r="SI27" s="106" t="str">
        <f t="shared" si="584"/>
        <v/>
      </c>
      <c r="SJ27" s="106" t="str">
        <f t="shared" si="584"/>
        <v/>
      </c>
      <c r="SK27" s="106" t="str">
        <f t="shared" si="584"/>
        <v/>
      </c>
      <c r="SL27" s="106" t="str">
        <f t="shared" si="584"/>
        <v/>
      </c>
      <c r="SM27" s="106" t="str">
        <f t="shared" si="584"/>
        <v/>
      </c>
      <c r="SN27" s="106" t="str">
        <f t="shared" si="584"/>
        <v/>
      </c>
      <c r="SO27" s="106" t="str">
        <f t="shared" si="584"/>
        <v/>
      </c>
      <c r="SP27" s="106" t="str">
        <f t="shared" si="584"/>
        <v/>
      </c>
      <c r="SQ27" s="106" t="str">
        <f t="shared" si="584"/>
        <v/>
      </c>
      <c r="SR27" s="107" t="str">
        <f t="shared" si="584"/>
        <v/>
      </c>
      <c r="SS27" s="105">
        <f t="shared" si="584"/>
        <v>-3.1934722690408708E-2</v>
      </c>
      <c r="ST27" s="106" t="str">
        <f t="shared" si="584"/>
        <v/>
      </c>
      <c r="SU27" s="106" t="str">
        <f t="shared" si="584"/>
        <v/>
      </c>
      <c r="SV27" s="106" t="str">
        <f t="shared" si="584"/>
        <v/>
      </c>
      <c r="SW27" s="106" t="str">
        <f t="shared" si="584"/>
        <v/>
      </c>
      <c r="SX27" s="106" t="str">
        <f t="shared" si="584"/>
        <v/>
      </c>
      <c r="SY27" s="106" t="str">
        <f t="shared" si="584"/>
        <v/>
      </c>
      <c r="SZ27" s="106" t="str">
        <f t="shared" si="584"/>
        <v/>
      </c>
      <c r="TA27" s="106" t="str">
        <f t="shared" si="584"/>
        <v/>
      </c>
      <c r="TB27" s="106" t="str">
        <f t="shared" si="584"/>
        <v/>
      </c>
      <c r="TC27" s="106" t="str">
        <f t="shared" si="584"/>
        <v/>
      </c>
      <c r="TD27" s="106" t="str">
        <f t="shared" si="584"/>
        <v/>
      </c>
      <c r="TE27" s="106" t="str">
        <f t="shared" si="584"/>
        <v/>
      </c>
      <c r="TF27" s="106" t="str">
        <f t="shared" si="584"/>
        <v/>
      </c>
      <c r="TG27" s="106" t="str">
        <f t="shared" si="584"/>
        <v/>
      </c>
      <c r="TH27" s="106" t="str">
        <f t="shared" si="584"/>
        <v/>
      </c>
      <c r="TI27" s="106" t="str">
        <f t="shared" ref="TI27:VT27" si="585">IFERROR(IF(TI19&gt;TI7,ABS(TI19-TI7)/ABS(TI7),-ABS(TI19-TI7)/ABS(TI7)),"")</f>
        <v/>
      </c>
      <c r="TJ27" s="106" t="str">
        <f t="shared" si="585"/>
        <v/>
      </c>
      <c r="TK27" s="106" t="str">
        <f t="shared" si="585"/>
        <v/>
      </c>
      <c r="TL27" s="107" t="str">
        <f t="shared" si="585"/>
        <v/>
      </c>
      <c r="TM27" s="111">
        <f t="shared" si="585"/>
        <v>1.8316718676585215</v>
      </c>
      <c r="TN27" s="112" t="str">
        <f t="shared" si="585"/>
        <v/>
      </c>
      <c r="TO27" s="112" t="str">
        <f t="shared" si="585"/>
        <v/>
      </c>
      <c r="TP27" s="112" t="str">
        <f t="shared" si="585"/>
        <v/>
      </c>
      <c r="TQ27" s="112" t="str">
        <f t="shared" si="585"/>
        <v/>
      </c>
      <c r="TR27" s="112" t="str">
        <f t="shared" si="585"/>
        <v/>
      </c>
      <c r="TS27" s="112" t="str">
        <f t="shared" si="585"/>
        <v/>
      </c>
      <c r="TT27" s="112" t="str">
        <f t="shared" si="585"/>
        <v/>
      </c>
      <c r="TU27" s="112" t="str">
        <f t="shared" si="585"/>
        <v/>
      </c>
      <c r="TV27" s="112" t="str">
        <f t="shared" si="585"/>
        <v/>
      </c>
      <c r="TW27" s="112" t="str">
        <f t="shared" si="585"/>
        <v/>
      </c>
      <c r="TX27" s="112" t="str">
        <f t="shared" si="585"/>
        <v/>
      </c>
      <c r="TY27" s="112" t="str">
        <f t="shared" si="585"/>
        <v/>
      </c>
      <c r="TZ27" s="112" t="str">
        <f t="shared" si="585"/>
        <v/>
      </c>
      <c r="UA27" s="112" t="str">
        <f t="shared" si="585"/>
        <v/>
      </c>
      <c r="UB27" s="112" t="str">
        <f t="shared" si="585"/>
        <v/>
      </c>
      <c r="UC27" s="112" t="str">
        <f t="shared" si="585"/>
        <v/>
      </c>
      <c r="UD27" s="112" t="str">
        <f t="shared" si="585"/>
        <v/>
      </c>
      <c r="UE27" s="112" t="str">
        <f t="shared" si="585"/>
        <v/>
      </c>
      <c r="UF27" s="113" t="str">
        <f t="shared" si="585"/>
        <v/>
      </c>
      <c r="UG27" s="111">
        <f t="shared" si="585"/>
        <v>0.24063597558445274</v>
      </c>
      <c r="UH27" s="112" t="str">
        <f t="shared" si="585"/>
        <v/>
      </c>
      <c r="UI27" s="112" t="str">
        <f t="shared" si="585"/>
        <v/>
      </c>
      <c r="UJ27" s="112" t="str">
        <f t="shared" si="585"/>
        <v/>
      </c>
      <c r="UK27" s="112" t="str">
        <f t="shared" si="585"/>
        <v/>
      </c>
      <c r="UL27" s="112" t="str">
        <f t="shared" si="585"/>
        <v/>
      </c>
      <c r="UM27" s="112" t="str">
        <f t="shared" si="585"/>
        <v/>
      </c>
      <c r="UN27" s="112" t="str">
        <f t="shared" si="585"/>
        <v/>
      </c>
      <c r="UO27" s="112" t="str">
        <f t="shared" si="585"/>
        <v/>
      </c>
      <c r="UP27" s="112" t="str">
        <f t="shared" si="585"/>
        <v/>
      </c>
      <c r="UQ27" s="112" t="str">
        <f t="shared" si="585"/>
        <v/>
      </c>
      <c r="UR27" s="112" t="str">
        <f t="shared" si="585"/>
        <v/>
      </c>
      <c r="US27" s="112" t="str">
        <f t="shared" si="585"/>
        <v/>
      </c>
      <c r="UT27" s="112" t="str">
        <f t="shared" si="585"/>
        <v/>
      </c>
      <c r="UU27" s="112" t="str">
        <f t="shared" si="585"/>
        <v/>
      </c>
      <c r="UV27" s="112" t="str">
        <f t="shared" si="585"/>
        <v/>
      </c>
      <c r="UW27" s="112" t="str">
        <f t="shared" si="585"/>
        <v/>
      </c>
      <c r="UX27" s="112" t="str">
        <f t="shared" si="585"/>
        <v/>
      </c>
      <c r="UY27" s="112" t="str">
        <f t="shared" si="585"/>
        <v/>
      </c>
      <c r="UZ27" s="113" t="str">
        <f t="shared" si="585"/>
        <v/>
      </c>
      <c r="VA27" s="111">
        <f t="shared" si="585"/>
        <v>0.23548417063721097</v>
      </c>
      <c r="VB27" s="112" t="str">
        <f t="shared" si="585"/>
        <v/>
      </c>
      <c r="VC27" s="112" t="str">
        <f t="shared" si="585"/>
        <v/>
      </c>
      <c r="VD27" s="112" t="str">
        <f t="shared" si="585"/>
        <v/>
      </c>
      <c r="VE27" s="112" t="str">
        <f t="shared" si="585"/>
        <v/>
      </c>
      <c r="VF27" s="112" t="str">
        <f t="shared" si="585"/>
        <v/>
      </c>
      <c r="VG27" s="112" t="str">
        <f t="shared" si="585"/>
        <v/>
      </c>
      <c r="VH27" s="112" t="str">
        <f t="shared" si="585"/>
        <v/>
      </c>
      <c r="VI27" s="112" t="str">
        <f t="shared" si="585"/>
        <v/>
      </c>
      <c r="VJ27" s="112" t="str">
        <f t="shared" si="585"/>
        <v/>
      </c>
      <c r="VK27" s="112" t="str">
        <f t="shared" si="585"/>
        <v/>
      </c>
      <c r="VL27" s="112" t="str">
        <f t="shared" si="585"/>
        <v/>
      </c>
      <c r="VM27" s="112" t="str">
        <f t="shared" si="585"/>
        <v/>
      </c>
      <c r="VN27" s="112" t="str">
        <f t="shared" si="585"/>
        <v/>
      </c>
      <c r="VO27" s="112" t="str">
        <f t="shared" si="585"/>
        <v/>
      </c>
      <c r="VP27" s="112" t="str">
        <f t="shared" si="585"/>
        <v/>
      </c>
      <c r="VQ27" s="112" t="str">
        <f t="shared" si="585"/>
        <v/>
      </c>
      <c r="VR27" s="112" t="str">
        <f t="shared" si="585"/>
        <v/>
      </c>
      <c r="VS27" s="112" t="str">
        <f t="shared" si="585"/>
        <v/>
      </c>
      <c r="VT27" s="113" t="str">
        <f t="shared" si="585"/>
        <v/>
      </c>
      <c r="VU27" s="111" t="str">
        <f t="shared" ref="VU27:XH27" si="586">IFERROR(IF(VU19&gt;VU7,ABS(VU19-VU7)/ABS(VU7),-ABS(VU19-VU7)/ABS(VU7)),"")</f>
        <v/>
      </c>
      <c r="VV27" s="112" t="str">
        <f t="shared" si="586"/>
        <v/>
      </c>
      <c r="VW27" s="112" t="str">
        <f t="shared" si="586"/>
        <v/>
      </c>
      <c r="VX27" s="112" t="str">
        <f t="shared" si="586"/>
        <v/>
      </c>
      <c r="VY27" s="112" t="str">
        <f t="shared" si="586"/>
        <v/>
      </c>
      <c r="VZ27" s="112" t="str">
        <f t="shared" si="586"/>
        <v/>
      </c>
      <c r="WA27" s="112" t="str">
        <f t="shared" si="586"/>
        <v/>
      </c>
      <c r="WB27" s="112" t="str">
        <f t="shared" si="586"/>
        <v/>
      </c>
      <c r="WC27" s="112" t="str">
        <f t="shared" si="586"/>
        <v/>
      </c>
      <c r="WD27" s="112" t="str">
        <f t="shared" si="586"/>
        <v/>
      </c>
      <c r="WE27" s="112" t="str">
        <f t="shared" si="586"/>
        <v/>
      </c>
      <c r="WF27" s="112" t="str">
        <f t="shared" si="586"/>
        <v/>
      </c>
      <c r="WG27" s="112" t="str">
        <f t="shared" si="586"/>
        <v/>
      </c>
      <c r="WH27" s="112" t="str">
        <f t="shared" si="586"/>
        <v/>
      </c>
      <c r="WI27" s="112" t="str">
        <f t="shared" si="586"/>
        <v/>
      </c>
      <c r="WJ27" s="112" t="str">
        <f t="shared" si="586"/>
        <v/>
      </c>
      <c r="WK27" s="112" t="str">
        <f t="shared" si="586"/>
        <v/>
      </c>
      <c r="WL27" s="112" t="str">
        <f t="shared" si="586"/>
        <v/>
      </c>
      <c r="WM27" s="112" t="str">
        <f t="shared" si="586"/>
        <v/>
      </c>
      <c r="WN27" s="113" t="str">
        <f t="shared" si="586"/>
        <v/>
      </c>
      <c r="WO27" s="105">
        <f t="shared" si="586"/>
        <v>2.9235607160135464</v>
      </c>
      <c r="WP27" s="106" t="str">
        <f t="shared" si="586"/>
        <v/>
      </c>
      <c r="WQ27" s="106" t="str">
        <f t="shared" si="586"/>
        <v/>
      </c>
      <c r="WR27" s="106" t="str">
        <f t="shared" si="586"/>
        <v/>
      </c>
      <c r="WS27" s="106" t="str">
        <f t="shared" si="586"/>
        <v/>
      </c>
      <c r="WT27" s="106" t="str">
        <f t="shared" si="586"/>
        <v/>
      </c>
      <c r="WU27" s="106" t="str">
        <f t="shared" si="586"/>
        <v/>
      </c>
      <c r="WV27" s="106" t="str">
        <f t="shared" si="586"/>
        <v/>
      </c>
      <c r="WW27" s="106" t="str">
        <f t="shared" si="586"/>
        <v/>
      </c>
      <c r="WX27" s="106" t="str">
        <f t="shared" si="586"/>
        <v/>
      </c>
      <c r="WY27" s="106" t="str">
        <f t="shared" si="586"/>
        <v/>
      </c>
      <c r="WZ27" s="106" t="str">
        <f t="shared" si="586"/>
        <v/>
      </c>
      <c r="XA27" s="106" t="str">
        <f t="shared" si="586"/>
        <v/>
      </c>
      <c r="XB27" s="106" t="str">
        <f t="shared" si="586"/>
        <v/>
      </c>
      <c r="XC27" s="106" t="str">
        <f t="shared" si="586"/>
        <v/>
      </c>
      <c r="XD27" s="106" t="str">
        <f t="shared" si="586"/>
        <v/>
      </c>
      <c r="XE27" s="106" t="str">
        <f t="shared" si="586"/>
        <v/>
      </c>
      <c r="XF27" s="106" t="str">
        <f t="shared" si="586"/>
        <v/>
      </c>
      <c r="XG27" s="106" t="str">
        <f t="shared" si="586"/>
        <v/>
      </c>
      <c r="XH27" s="107" t="str">
        <f t="shared" si="586"/>
        <v/>
      </c>
      <c r="XI27" s="105">
        <f t="shared" ref="XI27:YV27" si="587">IFERROR(IF(XI19&gt;XI7,ABS(XI19-XI7)/ABS(XI7),-ABS(XI19-XI7)/ABS(XI7)),"")</f>
        <v>6.1680437374111072</v>
      </c>
      <c r="XJ27" s="106" t="str">
        <f t="shared" si="587"/>
        <v/>
      </c>
      <c r="XK27" s="106" t="str">
        <f t="shared" si="587"/>
        <v/>
      </c>
      <c r="XL27" s="106" t="str">
        <f t="shared" si="587"/>
        <v/>
      </c>
      <c r="XM27" s="106" t="str">
        <f t="shared" si="587"/>
        <v/>
      </c>
      <c r="XN27" s="106" t="str">
        <f t="shared" si="587"/>
        <v/>
      </c>
      <c r="XO27" s="106" t="str">
        <f t="shared" si="587"/>
        <v/>
      </c>
      <c r="XP27" s="106" t="str">
        <f t="shared" si="587"/>
        <v/>
      </c>
      <c r="XQ27" s="106" t="str">
        <f t="shared" si="587"/>
        <v/>
      </c>
      <c r="XR27" s="106" t="str">
        <f t="shared" si="587"/>
        <v/>
      </c>
      <c r="XS27" s="106" t="str">
        <f t="shared" si="587"/>
        <v/>
      </c>
      <c r="XT27" s="106" t="str">
        <f t="shared" si="587"/>
        <v/>
      </c>
      <c r="XU27" s="106" t="str">
        <f t="shared" si="587"/>
        <v/>
      </c>
      <c r="XV27" s="106" t="str">
        <f t="shared" si="587"/>
        <v/>
      </c>
      <c r="XW27" s="106" t="str">
        <f t="shared" si="587"/>
        <v/>
      </c>
      <c r="XX27" s="106" t="str">
        <f t="shared" si="587"/>
        <v/>
      </c>
      <c r="XY27" s="106" t="str">
        <f t="shared" si="587"/>
        <v/>
      </c>
      <c r="XZ27" s="106" t="str">
        <f t="shared" si="587"/>
        <v/>
      </c>
      <c r="YA27" s="106" t="str">
        <f t="shared" si="587"/>
        <v/>
      </c>
      <c r="YB27" s="107" t="str">
        <f t="shared" si="587"/>
        <v/>
      </c>
      <c r="YC27" s="111">
        <f t="shared" si="587"/>
        <v>-0.4495549304525478</v>
      </c>
      <c r="YD27" s="112" t="str">
        <f t="shared" si="587"/>
        <v/>
      </c>
      <c r="YE27" s="112" t="str">
        <f t="shared" si="587"/>
        <v/>
      </c>
      <c r="YF27" s="112" t="str">
        <f t="shared" si="587"/>
        <v/>
      </c>
      <c r="YG27" s="112" t="str">
        <f t="shared" si="587"/>
        <v/>
      </c>
      <c r="YH27" s="112" t="str">
        <f t="shared" si="587"/>
        <v/>
      </c>
      <c r="YI27" s="112" t="str">
        <f t="shared" si="587"/>
        <v/>
      </c>
      <c r="YJ27" s="112" t="str">
        <f t="shared" si="587"/>
        <v/>
      </c>
      <c r="YK27" s="112" t="str">
        <f t="shared" si="587"/>
        <v/>
      </c>
      <c r="YL27" s="112" t="str">
        <f t="shared" si="587"/>
        <v/>
      </c>
      <c r="YM27" s="112" t="str">
        <f t="shared" si="587"/>
        <v/>
      </c>
      <c r="YN27" s="112" t="str">
        <f t="shared" si="587"/>
        <v/>
      </c>
      <c r="YO27" s="112" t="str">
        <f t="shared" si="587"/>
        <v/>
      </c>
      <c r="YP27" s="112" t="str">
        <f t="shared" si="587"/>
        <v/>
      </c>
      <c r="YQ27" s="112" t="str">
        <f t="shared" si="587"/>
        <v/>
      </c>
      <c r="YR27" s="112" t="str">
        <f t="shared" si="587"/>
        <v/>
      </c>
      <c r="YS27" s="112" t="str">
        <f t="shared" si="587"/>
        <v/>
      </c>
      <c r="YT27" s="112" t="str">
        <f t="shared" si="587"/>
        <v/>
      </c>
      <c r="YU27" s="112" t="str">
        <f t="shared" si="587"/>
        <v/>
      </c>
      <c r="YV27" s="113" t="str">
        <f t="shared" si="587"/>
        <v/>
      </c>
      <c r="YW27" s="105">
        <f t="shared" ref="YW27:ZP27" si="588">IFERROR(IF(YW19&gt;YW7,ABS(YW19-YW7)/ABS(YW7),-ABS(YW19-YW7)/ABS(YW7)),"")</f>
        <v>26.878079055516626</v>
      </c>
      <c r="YX27" s="106" t="str">
        <f t="shared" si="588"/>
        <v/>
      </c>
      <c r="YY27" s="106" t="str">
        <f t="shared" si="588"/>
        <v/>
      </c>
      <c r="YZ27" s="106" t="str">
        <f t="shared" si="588"/>
        <v/>
      </c>
      <c r="ZA27" s="106" t="str">
        <f t="shared" si="588"/>
        <v/>
      </c>
      <c r="ZB27" s="106" t="str">
        <f t="shared" si="588"/>
        <v/>
      </c>
      <c r="ZC27" s="106" t="str">
        <f t="shared" si="588"/>
        <v/>
      </c>
      <c r="ZD27" s="106" t="str">
        <f t="shared" si="588"/>
        <v/>
      </c>
      <c r="ZE27" s="106" t="str">
        <f t="shared" si="588"/>
        <v/>
      </c>
      <c r="ZF27" s="106" t="str">
        <f t="shared" si="588"/>
        <v/>
      </c>
      <c r="ZG27" s="106" t="str">
        <f t="shared" si="588"/>
        <v/>
      </c>
      <c r="ZH27" s="106" t="str">
        <f t="shared" si="588"/>
        <v/>
      </c>
      <c r="ZI27" s="106" t="str">
        <f t="shared" si="588"/>
        <v/>
      </c>
      <c r="ZJ27" s="106" t="str">
        <f t="shared" si="588"/>
        <v/>
      </c>
      <c r="ZK27" s="106" t="str">
        <f t="shared" si="588"/>
        <v/>
      </c>
      <c r="ZL27" s="106" t="str">
        <f t="shared" si="588"/>
        <v/>
      </c>
      <c r="ZM27" s="106" t="str">
        <f t="shared" si="588"/>
        <v/>
      </c>
      <c r="ZN27" s="106" t="str">
        <f t="shared" si="588"/>
        <v/>
      </c>
      <c r="ZO27" s="106" t="str">
        <f t="shared" si="588"/>
        <v/>
      </c>
      <c r="ZP27" s="107" t="str">
        <f t="shared" si="588"/>
        <v/>
      </c>
      <c r="ZQ27" s="105">
        <f t="shared" ref="ZQ27:ABD27" si="589">IFERROR(IF(ZQ19&gt;ZQ7,ABS(ZQ19-ZQ7)/ABS(ZQ7),-ABS(ZQ19-ZQ7)/ABS(ZQ7)),"")</f>
        <v>1.0455269240514955</v>
      </c>
      <c r="ZR27" s="106" t="str">
        <f t="shared" si="589"/>
        <v/>
      </c>
      <c r="ZS27" s="106" t="str">
        <f t="shared" si="589"/>
        <v/>
      </c>
      <c r="ZT27" s="106" t="str">
        <f t="shared" si="589"/>
        <v/>
      </c>
      <c r="ZU27" s="106" t="str">
        <f t="shared" si="589"/>
        <v/>
      </c>
      <c r="ZV27" s="106" t="str">
        <f t="shared" si="589"/>
        <v/>
      </c>
      <c r="ZW27" s="106" t="str">
        <f t="shared" si="589"/>
        <v/>
      </c>
      <c r="ZX27" s="106" t="str">
        <f t="shared" si="589"/>
        <v/>
      </c>
      <c r="ZY27" s="106" t="str">
        <f t="shared" si="589"/>
        <v/>
      </c>
      <c r="ZZ27" s="106" t="str">
        <f t="shared" si="589"/>
        <v/>
      </c>
      <c r="AAA27" s="106" t="str">
        <f t="shared" si="589"/>
        <v/>
      </c>
      <c r="AAB27" s="106" t="str">
        <f t="shared" si="589"/>
        <v/>
      </c>
      <c r="AAC27" s="106" t="str">
        <f t="shared" si="589"/>
        <v/>
      </c>
      <c r="AAD27" s="106" t="str">
        <f t="shared" si="589"/>
        <v/>
      </c>
      <c r="AAE27" s="106" t="str">
        <f t="shared" si="589"/>
        <v/>
      </c>
      <c r="AAF27" s="106" t="str">
        <f t="shared" si="589"/>
        <v/>
      </c>
      <c r="AAG27" s="106" t="str">
        <f t="shared" si="589"/>
        <v/>
      </c>
      <c r="AAH27" s="106" t="str">
        <f t="shared" si="589"/>
        <v/>
      </c>
      <c r="AAI27" s="106" t="str">
        <f t="shared" si="589"/>
        <v/>
      </c>
      <c r="AAJ27" s="107" t="str">
        <f t="shared" si="589"/>
        <v/>
      </c>
      <c r="AAK27" s="105">
        <f t="shared" si="589"/>
        <v>1.8417258443622873</v>
      </c>
      <c r="AAL27" s="106" t="str">
        <f t="shared" si="589"/>
        <v/>
      </c>
      <c r="AAM27" s="106" t="str">
        <f t="shared" si="589"/>
        <v/>
      </c>
      <c r="AAN27" s="106" t="str">
        <f t="shared" si="589"/>
        <v/>
      </c>
      <c r="AAO27" s="106" t="str">
        <f t="shared" si="589"/>
        <v/>
      </c>
      <c r="AAP27" s="106" t="str">
        <f t="shared" si="589"/>
        <v/>
      </c>
      <c r="AAQ27" s="106" t="str">
        <f t="shared" si="589"/>
        <v/>
      </c>
      <c r="AAR27" s="106" t="str">
        <f t="shared" si="589"/>
        <v/>
      </c>
      <c r="AAS27" s="106" t="str">
        <f t="shared" si="589"/>
        <v/>
      </c>
      <c r="AAT27" s="106" t="str">
        <f t="shared" si="589"/>
        <v/>
      </c>
      <c r="AAU27" s="106" t="str">
        <f t="shared" si="589"/>
        <v/>
      </c>
      <c r="AAV27" s="106" t="str">
        <f t="shared" si="589"/>
        <v/>
      </c>
      <c r="AAW27" s="106" t="str">
        <f t="shared" si="589"/>
        <v/>
      </c>
      <c r="AAX27" s="106" t="str">
        <f t="shared" si="589"/>
        <v/>
      </c>
      <c r="AAY27" s="106" t="str">
        <f t="shared" si="589"/>
        <v/>
      </c>
      <c r="AAZ27" s="106" t="str">
        <f t="shared" si="589"/>
        <v/>
      </c>
      <c r="ABA27" s="106" t="str">
        <f t="shared" si="589"/>
        <v/>
      </c>
      <c r="ABB27" s="106" t="str">
        <f t="shared" si="589"/>
        <v/>
      </c>
      <c r="ABC27" s="106" t="str">
        <f t="shared" si="589"/>
        <v/>
      </c>
      <c r="ABD27" s="107" t="str">
        <f t="shared" si="589"/>
        <v/>
      </c>
      <c r="ABE27" s="105">
        <f t="shared" ref="ABE27:ACR27" si="590">IFERROR(IF(ABE19&gt;ABE7,ABS(ABE19-ABE7)/ABS(ABE7),-ABS(ABE19-ABE7)/ABS(ABE7)),"")</f>
        <v>-1.4769260880405529E-2</v>
      </c>
      <c r="ABF27" s="106" t="str">
        <f t="shared" si="590"/>
        <v/>
      </c>
      <c r="ABG27" s="106" t="str">
        <f t="shared" si="590"/>
        <v/>
      </c>
      <c r="ABH27" s="106" t="str">
        <f t="shared" si="590"/>
        <v/>
      </c>
      <c r="ABI27" s="106" t="str">
        <f t="shared" si="590"/>
        <v/>
      </c>
      <c r="ABJ27" s="106" t="str">
        <f t="shared" si="590"/>
        <v/>
      </c>
      <c r="ABK27" s="106" t="str">
        <f t="shared" si="590"/>
        <v/>
      </c>
      <c r="ABL27" s="106" t="str">
        <f t="shared" si="590"/>
        <v/>
      </c>
      <c r="ABM27" s="106" t="str">
        <f t="shared" si="590"/>
        <v/>
      </c>
      <c r="ABN27" s="106" t="str">
        <f t="shared" si="590"/>
        <v/>
      </c>
      <c r="ABO27" s="106" t="str">
        <f t="shared" si="590"/>
        <v/>
      </c>
      <c r="ABP27" s="106" t="str">
        <f t="shared" si="590"/>
        <v/>
      </c>
      <c r="ABQ27" s="106" t="str">
        <f t="shared" si="590"/>
        <v/>
      </c>
      <c r="ABR27" s="106" t="str">
        <f t="shared" si="590"/>
        <v/>
      </c>
      <c r="ABS27" s="106" t="str">
        <f t="shared" si="590"/>
        <v/>
      </c>
      <c r="ABT27" s="106" t="str">
        <f t="shared" si="590"/>
        <v/>
      </c>
      <c r="ABU27" s="106" t="str">
        <f t="shared" si="590"/>
        <v/>
      </c>
      <c r="ABV27" s="106" t="str">
        <f t="shared" si="590"/>
        <v/>
      </c>
      <c r="ABW27" s="106" t="str">
        <f t="shared" si="590"/>
        <v/>
      </c>
      <c r="ABX27" s="107" t="str">
        <f t="shared" si="590"/>
        <v/>
      </c>
      <c r="ABY27" s="108">
        <f t="shared" si="590"/>
        <v>0.5209865993396775</v>
      </c>
      <c r="ABZ27" s="109" t="str">
        <f t="shared" si="590"/>
        <v/>
      </c>
      <c r="ACA27" s="109" t="str">
        <f t="shared" si="590"/>
        <v/>
      </c>
      <c r="ACB27" s="109" t="str">
        <f t="shared" si="590"/>
        <v/>
      </c>
      <c r="ACC27" s="109" t="str">
        <f t="shared" si="590"/>
        <v/>
      </c>
      <c r="ACD27" s="109" t="str">
        <f t="shared" si="590"/>
        <v/>
      </c>
      <c r="ACE27" s="109" t="str">
        <f t="shared" si="590"/>
        <v/>
      </c>
      <c r="ACF27" s="109" t="str">
        <f t="shared" si="590"/>
        <v/>
      </c>
      <c r="ACG27" s="109" t="str">
        <f t="shared" si="590"/>
        <v/>
      </c>
      <c r="ACH27" s="109" t="str">
        <f t="shared" si="590"/>
        <v/>
      </c>
      <c r="ACI27" s="109" t="str">
        <f t="shared" si="590"/>
        <v/>
      </c>
      <c r="ACJ27" s="109" t="str">
        <f t="shared" si="590"/>
        <v/>
      </c>
      <c r="ACK27" s="109" t="str">
        <f t="shared" si="590"/>
        <v/>
      </c>
      <c r="ACL27" s="109" t="str">
        <f t="shared" si="590"/>
        <v/>
      </c>
      <c r="ACM27" s="109" t="str">
        <f t="shared" si="590"/>
        <v/>
      </c>
      <c r="ACN27" s="109" t="str">
        <f t="shared" si="590"/>
        <v/>
      </c>
      <c r="ACO27" s="109" t="str">
        <f t="shared" si="590"/>
        <v/>
      </c>
      <c r="ACP27" s="109" t="str">
        <f t="shared" si="590"/>
        <v/>
      </c>
      <c r="ACQ27" s="109" t="str">
        <f t="shared" si="590"/>
        <v/>
      </c>
      <c r="ACR27" s="110" t="str">
        <f t="shared" si="590"/>
        <v/>
      </c>
    </row>
    <row r="28" spans="1:772" ht="15" customHeight="1" x14ac:dyDescent="0.2">
      <c r="A28" s="99" t="s">
        <v>1022</v>
      </c>
      <c r="B28" s="100"/>
      <c r="C28" s="100"/>
      <c r="D28" s="100"/>
      <c r="E28" s="101"/>
      <c r="F28" s="101"/>
      <c r="G28" s="102">
        <f t="shared" ref="G28:AE28" si="591">IFERROR(IF(G18&gt;G7,ABS(G18-G7)/ABS(G7),-ABS(G18-G7)/ABS(G7)),"")</f>
        <v>7.3500619022454581</v>
      </c>
      <c r="H28" s="102">
        <f>IFERROR(IF(H18&gt;H7,ABS(H18-H7)/ABS(H7),-ABS(H18-H7)/ABS(H7)),"")</f>
        <v>6.2703580383935531</v>
      </c>
      <c r="I28" s="102">
        <f t="shared" si="591"/>
        <v>-0.49581452425822847</v>
      </c>
      <c r="J28" s="102">
        <f t="shared" si="591"/>
        <v>-0.26265629645858429</v>
      </c>
      <c r="K28" s="102">
        <f t="shared" si="591"/>
        <v>-0.15181153820678692</v>
      </c>
      <c r="L28" s="102">
        <f t="shared" si="591"/>
        <v>9.85673592493298E-2</v>
      </c>
      <c r="M28" s="102">
        <f t="shared" si="591"/>
        <v>0.16614286745986545</v>
      </c>
      <c r="N28" s="102">
        <f t="shared" si="591"/>
        <v>-0.57545256184047044</v>
      </c>
      <c r="O28" s="102">
        <f t="shared" si="591"/>
        <v>-0.57332043385044695</v>
      </c>
      <c r="P28" s="102" t="str">
        <f t="shared" si="591"/>
        <v/>
      </c>
      <c r="Q28" s="114">
        <f t="shared" si="591"/>
        <v>-0.23286621802705296</v>
      </c>
      <c r="R28" s="114">
        <f t="shared" si="591"/>
        <v>-0.30111094028426683</v>
      </c>
      <c r="S28" s="114">
        <f t="shared" si="591"/>
        <v>-0.29569636653525933</v>
      </c>
      <c r="T28" s="114">
        <f t="shared" si="591"/>
        <v>-0.27764494401918177</v>
      </c>
      <c r="U28" s="102">
        <f>IFERROR(IF(U18&gt;U7,ABS(U18-U7)/ABS(U7),-ABS(U18-U7)/ABS(U7)),"")</f>
        <v>0.69951207669854043</v>
      </c>
      <c r="V28" s="102">
        <f>IFERROR(IF(V18&gt;V7,ABS(V18-V7)/ABS(V7),-ABS(V18-V7)/ABS(V7)),"")</f>
        <v>1.1365127537161028</v>
      </c>
      <c r="W28" s="102">
        <f>IFERROR(IF(W18&gt;W7,ABS(W18-W7)/ABS(W7),-ABS(W18-W7)/ABS(W7)),"")</f>
        <v>1.0036991906220201</v>
      </c>
      <c r="X28" s="1029">
        <f t="shared" si="591"/>
        <v>0.54704324418200767</v>
      </c>
      <c r="Y28" s="1029">
        <f t="shared" ref="Y28" si="592">IFERROR(IF(Y18&gt;Y7,ABS(Y18-Y7)/ABS(Y7),-ABS(Y18-Y7)/ABS(Y7)),"")</f>
        <v>0.5609691202175181</v>
      </c>
      <c r="Z28" s="102">
        <f>IFERROR(IF(Z18&gt;Z7,ABS(Z18-Z7)/ABS(Z7),-ABS(Z18-Z7)/ABS(Z7)),"")</f>
        <v>0.11907351868755105</v>
      </c>
      <c r="AA28" s="101">
        <f t="shared" si="591"/>
        <v>0.10447391930464436</v>
      </c>
      <c r="AB28" s="102">
        <f>IFERROR(IF(AB18&gt;AB7,ABS(AB18-AB7)/ABS(AB7),-ABS(AB18-AB7)/ABS(AB7)),"")</f>
        <v>8.3935998134251982E-2</v>
      </c>
      <c r="AC28" s="102">
        <f t="shared" si="591"/>
        <v>-2.4376222751759477E-2</v>
      </c>
      <c r="AD28" s="101">
        <f t="shared" si="591"/>
        <v>0.43856950749810414</v>
      </c>
      <c r="AE28" s="103">
        <f t="shared" si="591"/>
        <v>0.23682341507177032</v>
      </c>
      <c r="AF28" s="104"/>
      <c r="AG28" s="275"/>
      <c r="AH28" s="106"/>
      <c r="AI28" s="106"/>
      <c r="AJ28" s="106"/>
      <c r="AK28" s="106"/>
      <c r="AL28" s="106"/>
      <c r="AM28" s="106"/>
      <c r="AN28" s="106"/>
      <c r="AO28" s="106"/>
      <c r="AP28" s="106"/>
      <c r="AQ28" s="106"/>
      <c r="AR28" s="106"/>
      <c r="AS28" s="106"/>
      <c r="AT28" s="106"/>
      <c r="AU28" s="106"/>
      <c r="AV28" s="106"/>
      <c r="AW28" s="106"/>
      <c r="AX28" s="106"/>
      <c r="AY28" s="106"/>
      <c r="AZ28" s="107"/>
      <c r="BA28" s="105"/>
      <c r="BB28" s="106"/>
      <c r="BC28" s="106"/>
      <c r="BD28" s="106"/>
      <c r="BE28" s="106"/>
      <c r="BF28" s="106"/>
      <c r="BG28" s="106"/>
      <c r="BH28" s="106"/>
      <c r="BI28" s="106"/>
      <c r="BJ28" s="106"/>
      <c r="BK28" s="106"/>
      <c r="BL28" s="106"/>
      <c r="BM28" s="106"/>
      <c r="BN28" s="106"/>
      <c r="BO28" s="106"/>
      <c r="BP28" s="106"/>
      <c r="BQ28" s="106"/>
      <c r="BR28" s="106"/>
      <c r="BS28" s="106"/>
      <c r="BT28" s="107"/>
      <c r="BU28" s="105"/>
      <c r="BV28" s="106"/>
      <c r="BW28" s="106"/>
      <c r="BX28" s="106"/>
      <c r="BY28" s="106"/>
      <c r="BZ28" s="106"/>
      <c r="CA28" s="106"/>
      <c r="CB28" s="106"/>
      <c r="CC28" s="106"/>
      <c r="CD28" s="106"/>
      <c r="CE28" s="106"/>
      <c r="CF28" s="106"/>
      <c r="CG28" s="106"/>
      <c r="CH28" s="106"/>
      <c r="CI28" s="106"/>
      <c r="CJ28" s="106"/>
      <c r="CK28" s="106"/>
      <c r="CL28" s="106"/>
      <c r="CM28" s="106"/>
      <c r="CN28" s="107"/>
      <c r="CO28" s="105"/>
      <c r="CP28" s="106"/>
      <c r="CQ28" s="106"/>
      <c r="CR28" s="106"/>
      <c r="CS28" s="106"/>
      <c r="CT28" s="106"/>
      <c r="CU28" s="106"/>
      <c r="CV28" s="106"/>
      <c r="CW28" s="106"/>
      <c r="CX28" s="106"/>
      <c r="CY28" s="106"/>
      <c r="CZ28" s="106"/>
      <c r="DA28" s="106"/>
      <c r="DB28" s="106"/>
      <c r="DC28" s="106"/>
      <c r="DD28" s="106"/>
      <c r="DE28" s="106"/>
      <c r="DF28" s="106"/>
      <c r="DG28" s="106"/>
      <c r="DH28" s="107"/>
      <c r="DI28" s="105"/>
      <c r="DJ28" s="106"/>
      <c r="DK28" s="106"/>
      <c r="DL28" s="106"/>
      <c r="DM28" s="106"/>
      <c r="DN28" s="106"/>
      <c r="DO28" s="106"/>
      <c r="DP28" s="106"/>
      <c r="DQ28" s="106"/>
      <c r="DR28" s="106"/>
      <c r="DS28" s="106"/>
      <c r="DT28" s="106"/>
      <c r="DU28" s="106"/>
      <c r="DV28" s="106"/>
      <c r="DW28" s="106"/>
      <c r="DX28" s="106"/>
      <c r="DY28" s="106"/>
      <c r="DZ28" s="106"/>
      <c r="EA28" s="106"/>
      <c r="EB28" s="107"/>
      <c r="EC28" s="105"/>
      <c r="ED28" s="106"/>
      <c r="EE28" s="106"/>
      <c r="EF28" s="106"/>
      <c r="EG28" s="106"/>
      <c r="EH28" s="106"/>
      <c r="EI28" s="106"/>
      <c r="EJ28" s="106"/>
      <c r="EK28" s="106"/>
      <c r="EL28" s="106"/>
      <c r="EM28" s="106"/>
      <c r="EN28" s="106"/>
      <c r="EO28" s="106"/>
      <c r="EP28" s="106"/>
      <c r="EQ28" s="106"/>
      <c r="ER28" s="106"/>
      <c r="ES28" s="106"/>
      <c r="ET28" s="106"/>
      <c r="EU28" s="106"/>
      <c r="EV28" s="107"/>
      <c r="EW28" s="105"/>
      <c r="EX28" s="106"/>
      <c r="EY28" s="106"/>
      <c r="EZ28" s="106"/>
      <c r="FA28" s="106"/>
      <c r="FB28" s="106"/>
      <c r="FC28" s="106"/>
      <c r="FD28" s="106"/>
      <c r="FE28" s="106"/>
      <c r="FF28" s="106"/>
      <c r="FG28" s="106"/>
      <c r="FH28" s="106"/>
      <c r="FI28" s="106"/>
      <c r="FJ28" s="106"/>
      <c r="FK28" s="106"/>
      <c r="FL28" s="106"/>
      <c r="FM28" s="106"/>
      <c r="FN28" s="106"/>
      <c r="FO28" s="106"/>
      <c r="FP28" s="107"/>
      <c r="FQ28" s="105"/>
      <c r="FR28" s="106"/>
      <c r="FS28" s="106"/>
      <c r="FT28" s="106"/>
      <c r="FU28" s="106"/>
      <c r="FV28" s="106"/>
      <c r="FW28" s="106"/>
      <c r="FX28" s="106"/>
      <c r="FY28" s="106"/>
      <c r="FZ28" s="106"/>
      <c r="GA28" s="106"/>
      <c r="GB28" s="106"/>
      <c r="GC28" s="106"/>
      <c r="GD28" s="106"/>
      <c r="GE28" s="106"/>
      <c r="GF28" s="106"/>
      <c r="GG28" s="106"/>
      <c r="GH28" s="106"/>
      <c r="GI28" s="106"/>
      <c r="GJ28" s="107"/>
      <c r="GK28" s="598"/>
      <c r="GL28" s="599"/>
      <c r="GM28" s="599"/>
      <c r="GN28" s="599"/>
      <c r="GO28" s="599"/>
      <c r="GP28" s="599"/>
      <c r="GQ28" s="599"/>
      <c r="GR28" s="599"/>
      <c r="GS28" s="599"/>
      <c r="GT28" s="599"/>
      <c r="GU28" s="599"/>
      <c r="GV28" s="599"/>
      <c r="GW28" s="599"/>
      <c r="GX28" s="599"/>
      <c r="GY28" s="599"/>
      <c r="GZ28" s="599"/>
      <c r="HA28" s="599"/>
      <c r="HB28" s="599"/>
      <c r="HC28" s="599"/>
      <c r="HD28" s="600"/>
      <c r="HE28" s="598"/>
      <c r="HF28" s="599"/>
      <c r="HG28" s="599"/>
      <c r="HH28" s="599"/>
      <c r="HI28" s="599"/>
      <c r="HJ28" s="599"/>
      <c r="HK28" s="599"/>
      <c r="HL28" s="599"/>
      <c r="HM28" s="599"/>
      <c r="HN28" s="599"/>
      <c r="HO28" s="599"/>
      <c r="HP28" s="599"/>
      <c r="HQ28" s="599"/>
      <c r="HR28" s="599"/>
      <c r="HS28" s="599"/>
      <c r="HT28" s="599"/>
      <c r="HU28" s="599"/>
      <c r="HV28" s="599"/>
      <c r="HW28" s="599"/>
      <c r="HX28" s="600"/>
      <c r="HY28" s="598"/>
      <c r="HZ28" s="599"/>
      <c r="IA28" s="599"/>
      <c r="IB28" s="599"/>
      <c r="IC28" s="599"/>
      <c r="ID28" s="599"/>
      <c r="IE28" s="599"/>
      <c r="IF28" s="599"/>
      <c r="IG28" s="599"/>
      <c r="IH28" s="599"/>
      <c r="II28" s="599"/>
      <c r="IJ28" s="599"/>
      <c r="IK28" s="599"/>
      <c r="IL28" s="599"/>
      <c r="IM28" s="599"/>
      <c r="IN28" s="599"/>
      <c r="IO28" s="599"/>
      <c r="IP28" s="599"/>
      <c r="IQ28" s="599"/>
      <c r="IR28" s="600"/>
      <c r="IS28" s="598"/>
      <c r="IT28" s="599"/>
      <c r="IU28" s="599"/>
      <c r="IV28" s="599"/>
      <c r="IW28" s="599"/>
      <c r="IX28" s="599"/>
      <c r="IY28" s="599"/>
      <c r="IZ28" s="599"/>
      <c r="JA28" s="599"/>
      <c r="JB28" s="599"/>
      <c r="JC28" s="599"/>
      <c r="JD28" s="599"/>
      <c r="JE28" s="599"/>
      <c r="JF28" s="599"/>
      <c r="JG28" s="599"/>
      <c r="JH28" s="599"/>
      <c r="JI28" s="599"/>
      <c r="JJ28" s="599"/>
      <c r="JK28" s="599"/>
      <c r="JL28" s="600"/>
      <c r="JM28" s="105"/>
      <c r="JN28" s="106"/>
      <c r="JO28" s="106"/>
      <c r="JP28" s="106"/>
      <c r="JQ28" s="106"/>
      <c r="JR28" s="106"/>
      <c r="JS28" s="106"/>
      <c r="JT28" s="106"/>
      <c r="JU28" s="106"/>
      <c r="JV28" s="106"/>
      <c r="JW28" s="106"/>
      <c r="JX28" s="106"/>
      <c r="JY28" s="106"/>
      <c r="JZ28" s="106"/>
      <c r="KA28" s="106"/>
      <c r="KB28" s="106"/>
      <c r="KC28" s="106"/>
      <c r="KD28" s="106"/>
      <c r="KE28" s="106"/>
      <c r="KF28" s="107"/>
      <c r="KG28" s="108"/>
      <c r="KH28" s="109"/>
      <c r="KI28" s="109"/>
      <c r="KJ28" s="109"/>
      <c r="KK28" s="109"/>
      <c r="KL28" s="109"/>
      <c r="KM28" s="109"/>
      <c r="KN28" s="109"/>
      <c r="KO28" s="109"/>
      <c r="KP28" s="109"/>
      <c r="KQ28" s="109"/>
      <c r="KR28" s="109"/>
      <c r="KS28" s="109"/>
      <c r="KT28" s="109"/>
      <c r="KU28" s="109"/>
      <c r="KV28" s="109"/>
      <c r="KW28" s="109"/>
      <c r="KX28" s="109"/>
      <c r="KY28" s="109"/>
      <c r="KZ28" s="110"/>
      <c r="LA28" s="105"/>
      <c r="LB28" s="105"/>
      <c r="LC28" s="105"/>
      <c r="LD28" s="105"/>
      <c r="LE28" s="105"/>
      <c r="LF28" s="105"/>
      <c r="LG28" s="105"/>
      <c r="LH28" s="105"/>
      <c r="LI28" s="105"/>
      <c r="LJ28" s="105"/>
      <c r="LK28" s="105"/>
      <c r="LL28" s="105"/>
      <c r="LM28" s="105"/>
      <c r="LN28" s="105"/>
      <c r="LO28" s="105"/>
      <c r="LP28" s="105"/>
      <c r="LQ28" s="105"/>
      <c r="LR28" s="105"/>
      <c r="LS28" s="105"/>
      <c r="LT28" s="105"/>
      <c r="LU28" s="105"/>
      <c r="LV28" s="105"/>
      <c r="LW28" s="105"/>
      <c r="LX28" s="105"/>
      <c r="LY28" s="105"/>
      <c r="LZ28" s="105"/>
      <c r="MA28" s="105"/>
      <c r="MB28" s="105"/>
      <c r="MC28" s="105"/>
      <c r="MD28" s="105"/>
      <c r="ME28" s="105"/>
      <c r="MF28" s="105"/>
      <c r="MG28" s="105"/>
      <c r="MH28" s="105"/>
      <c r="MI28" s="105"/>
      <c r="MJ28" s="105"/>
      <c r="MK28" s="105"/>
      <c r="ML28" s="105"/>
      <c r="MM28" s="105"/>
      <c r="MN28" s="105"/>
      <c r="MO28" s="105"/>
      <c r="MP28" s="105"/>
      <c r="MQ28" s="105"/>
      <c r="MR28" s="105"/>
      <c r="MS28" s="105"/>
      <c r="MT28" s="105"/>
      <c r="MU28" s="105"/>
      <c r="MV28" s="105"/>
      <c r="MW28" s="105"/>
      <c r="MX28" s="105"/>
      <c r="MY28" s="105"/>
      <c r="MZ28" s="105"/>
      <c r="NA28" s="105"/>
      <c r="NB28" s="105"/>
      <c r="NC28" s="105"/>
      <c r="ND28" s="105"/>
      <c r="NE28" s="105"/>
      <c r="NF28" s="105"/>
      <c r="NG28" s="105"/>
      <c r="NH28" s="105"/>
      <c r="NI28" s="105"/>
      <c r="NJ28" s="105"/>
      <c r="NK28" s="105"/>
      <c r="NL28" s="105"/>
      <c r="NM28" s="105"/>
      <c r="NN28" s="105"/>
      <c r="NO28" s="105"/>
      <c r="NP28" s="105"/>
      <c r="NQ28" s="105"/>
      <c r="NR28" s="105"/>
      <c r="NS28" s="105"/>
      <c r="NT28" s="105"/>
      <c r="NU28" s="105"/>
      <c r="NV28" s="105"/>
      <c r="NW28" s="105"/>
      <c r="NX28" s="105"/>
      <c r="NY28" s="105"/>
      <c r="NZ28" s="105"/>
      <c r="OA28" s="105"/>
      <c r="OB28" s="105"/>
      <c r="OC28" s="105"/>
      <c r="OD28" s="106"/>
      <c r="OE28" s="106"/>
      <c r="OF28" s="106"/>
      <c r="OG28" s="106"/>
      <c r="OH28" s="106"/>
      <c r="OI28" s="106"/>
      <c r="OJ28" s="106"/>
      <c r="OK28" s="106"/>
      <c r="OL28" s="106"/>
      <c r="OM28" s="106"/>
      <c r="ON28" s="106"/>
      <c r="OO28" s="106"/>
      <c r="OP28" s="106"/>
      <c r="OQ28" s="106"/>
      <c r="OR28" s="106"/>
      <c r="OS28" s="106"/>
      <c r="OT28" s="106"/>
      <c r="OU28" s="106"/>
      <c r="OV28" s="107"/>
      <c r="OW28" s="105"/>
      <c r="OX28" s="106"/>
      <c r="OY28" s="106"/>
      <c r="OZ28" s="106"/>
      <c r="PA28" s="106"/>
      <c r="PB28" s="106"/>
      <c r="PC28" s="106"/>
      <c r="PD28" s="106"/>
      <c r="PE28" s="106"/>
      <c r="PF28" s="106"/>
      <c r="PG28" s="106"/>
      <c r="PH28" s="106"/>
      <c r="PI28" s="106"/>
      <c r="PJ28" s="106"/>
      <c r="PK28" s="106"/>
      <c r="PL28" s="106"/>
      <c r="PM28" s="106"/>
      <c r="PN28" s="106"/>
      <c r="PO28" s="106"/>
      <c r="PP28" s="107"/>
      <c r="PQ28" s="108"/>
      <c r="PR28" s="109"/>
      <c r="PS28" s="109"/>
      <c r="PT28" s="109"/>
      <c r="PU28" s="109"/>
      <c r="PV28" s="109"/>
      <c r="PW28" s="109"/>
      <c r="PX28" s="109"/>
      <c r="PY28" s="109"/>
      <c r="PZ28" s="109"/>
      <c r="QA28" s="109"/>
      <c r="QB28" s="109"/>
      <c r="QC28" s="109"/>
      <c r="QD28" s="109"/>
      <c r="QE28" s="109"/>
      <c r="QF28" s="109"/>
      <c r="QG28" s="109"/>
      <c r="QH28" s="109"/>
      <c r="QI28" s="109"/>
      <c r="QJ28" s="110"/>
      <c r="QK28" s="105"/>
      <c r="QL28" s="106"/>
      <c r="QM28" s="106"/>
      <c r="QN28" s="106"/>
      <c r="QO28" s="106"/>
      <c r="QP28" s="106"/>
      <c r="QQ28" s="106"/>
      <c r="QR28" s="106"/>
      <c r="QS28" s="106"/>
      <c r="QT28" s="106"/>
      <c r="QU28" s="106"/>
      <c r="QV28" s="106"/>
      <c r="QW28" s="106"/>
      <c r="QX28" s="106"/>
      <c r="QY28" s="106"/>
      <c r="QZ28" s="106"/>
      <c r="RA28" s="106"/>
      <c r="RB28" s="106"/>
      <c r="RC28" s="106"/>
      <c r="RD28" s="107"/>
      <c r="RE28" s="105"/>
      <c r="RF28" s="106"/>
      <c r="RG28" s="106"/>
      <c r="RH28" s="106"/>
      <c r="RI28" s="106"/>
      <c r="RJ28" s="106"/>
      <c r="RK28" s="106"/>
      <c r="RL28" s="106"/>
      <c r="RM28" s="106"/>
      <c r="RN28" s="106"/>
      <c r="RO28" s="106"/>
      <c r="RP28" s="106"/>
      <c r="RQ28" s="106"/>
      <c r="RR28" s="106"/>
      <c r="RS28" s="106"/>
      <c r="RT28" s="106"/>
      <c r="RU28" s="106"/>
      <c r="RV28" s="106"/>
      <c r="RW28" s="106"/>
      <c r="RX28" s="107"/>
      <c r="RY28" s="105"/>
      <c r="RZ28" s="106"/>
      <c r="SA28" s="106"/>
      <c r="SB28" s="106"/>
      <c r="SC28" s="106"/>
      <c r="SD28" s="106"/>
      <c r="SE28" s="106"/>
      <c r="SF28" s="106"/>
      <c r="SG28" s="106"/>
      <c r="SH28" s="106"/>
      <c r="SI28" s="106"/>
      <c r="SJ28" s="106"/>
      <c r="SK28" s="106"/>
      <c r="SL28" s="106"/>
      <c r="SM28" s="106"/>
      <c r="SN28" s="106"/>
      <c r="SO28" s="106"/>
      <c r="SP28" s="106"/>
      <c r="SQ28" s="106"/>
      <c r="SR28" s="107"/>
      <c r="SS28" s="105"/>
      <c r="ST28" s="106"/>
      <c r="SU28" s="106"/>
      <c r="SV28" s="106"/>
      <c r="SW28" s="106"/>
      <c r="SX28" s="106"/>
      <c r="SY28" s="106"/>
      <c r="SZ28" s="106"/>
      <c r="TA28" s="106"/>
      <c r="TB28" s="106"/>
      <c r="TC28" s="106"/>
      <c r="TD28" s="106"/>
      <c r="TE28" s="106"/>
      <c r="TF28" s="106"/>
      <c r="TG28" s="106"/>
      <c r="TH28" s="106"/>
      <c r="TI28" s="106"/>
      <c r="TJ28" s="106"/>
      <c r="TK28" s="106"/>
      <c r="TL28" s="107"/>
      <c r="TM28" s="111"/>
      <c r="TN28" s="112"/>
      <c r="TO28" s="112"/>
      <c r="TP28" s="112"/>
      <c r="TQ28" s="112"/>
      <c r="TR28" s="112"/>
      <c r="TS28" s="112"/>
      <c r="TT28" s="112"/>
      <c r="TU28" s="112"/>
      <c r="TV28" s="112"/>
      <c r="TW28" s="112"/>
      <c r="TX28" s="112"/>
      <c r="TY28" s="112"/>
      <c r="TZ28" s="112"/>
      <c r="UA28" s="112"/>
      <c r="UB28" s="112"/>
      <c r="UC28" s="112"/>
      <c r="UD28" s="112"/>
      <c r="UE28" s="112"/>
      <c r="UF28" s="113"/>
      <c r="UG28" s="111"/>
      <c r="UH28" s="112"/>
      <c r="UI28" s="112"/>
      <c r="UJ28" s="112"/>
      <c r="UK28" s="112"/>
      <c r="UL28" s="112"/>
      <c r="UM28" s="112"/>
      <c r="UN28" s="112"/>
      <c r="UO28" s="112"/>
      <c r="UP28" s="112"/>
      <c r="UQ28" s="112"/>
      <c r="UR28" s="112"/>
      <c r="US28" s="112"/>
      <c r="UT28" s="112"/>
      <c r="UU28" s="112"/>
      <c r="UV28" s="112"/>
      <c r="UW28" s="112"/>
      <c r="UX28" s="112"/>
      <c r="UY28" s="112"/>
      <c r="UZ28" s="113"/>
      <c r="VA28" s="111"/>
      <c r="VB28" s="112"/>
      <c r="VC28" s="112"/>
      <c r="VD28" s="112"/>
      <c r="VE28" s="112"/>
      <c r="VF28" s="112"/>
      <c r="VG28" s="112"/>
      <c r="VH28" s="112"/>
      <c r="VI28" s="112"/>
      <c r="VJ28" s="112"/>
      <c r="VK28" s="112"/>
      <c r="VL28" s="112"/>
      <c r="VM28" s="112"/>
      <c r="VN28" s="112"/>
      <c r="VO28" s="112"/>
      <c r="VP28" s="112"/>
      <c r="VQ28" s="112"/>
      <c r="VR28" s="112"/>
      <c r="VS28" s="112"/>
      <c r="VT28" s="113"/>
      <c r="VU28" s="111"/>
      <c r="VV28" s="112"/>
      <c r="VW28" s="112"/>
      <c r="VX28" s="112"/>
      <c r="VY28" s="112"/>
      <c r="VZ28" s="112"/>
      <c r="WA28" s="112"/>
      <c r="WB28" s="112"/>
      <c r="WC28" s="112"/>
      <c r="WD28" s="112"/>
      <c r="WE28" s="112"/>
      <c r="WF28" s="112"/>
      <c r="WG28" s="112"/>
      <c r="WH28" s="112"/>
      <c r="WI28" s="112"/>
      <c r="WJ28" s="112"/>
      <c r="WK28" s="112"/>
      <c r="WL28" s="112"/>
      <c r="WM28" s="112"/>
      <c r="WN28" s="113"/>
      <c r="WO28" s="105"/>
      <c r="WP28" s="106"/>
      <c r="WQ28" s="106"/>
      <c r="WR28" s="106"/>
      <c r="WS28" s="106"/>
      <c r="WT28" s="106"/>
      <c r="WU28" s="106"/>
      <c r="WV28" s="106"/>
      <c r="WW28" s="106"/>
      <c r="WX28" s="106"/>
      <c r="WY28" s="106"/>
      <c r="WZ28" s="106"/>
      <c r="XA28" s="106"/>
      <c r="XB28" s="106"/>
      <c r="XC28" s="106"/>
      <c r="XD28" s="106"/>
      <c r="XE28" s="106"/>
      <c r="XF28" s="106"/>
      <c r="XG28" s="106"/>
      <c r="XH28" s="107"/>
      <c r="XI28" s="105"/>
      <c r="XJ28" s="106"/>
      <c r="XK28" s="106"/>
      <c r="XL28" s="106"/>
      <c r="XM28" s="106"/>
      <c r="XN28" s="106"/>
      <c r="XO28" s="106"/>
      <c r="XP28" s="106"/>
      <c r="XQ28" s="106"/>
      <c r="XR28" s="106"/>
      <c r="XS28" s="106"/>
      <c r="XT28" s="106"/>
      <c r="XU28" s="106"/>
      <c r="XV28" s="106"/>
      <c r="XW28" s="106"/>
      <c r="XX28" s="106"/>
      <c r="XY28" s="106"/>
      <c r="XZ28" s="106"/>
      <c r="YA28" s="106"/>
      <c r="YB28" s="107"/>
      <c r="YC28" s="111"/>
      <c r="YD28" s="112"/>
      <c r="YE28" s="112"/>
      <c r="YF28" s="112"/>
      <c r="YG28" s="112"/>
      <c r="YH28" s="112"/>
      <c r="YI28" s="112"/>
      <c r="YJ28" s="112"/>
      <c r="YK28" s="112"/>
      <c r="YL28" s="112"/>
      <c r="YM28" s="112"/>
      <c r="YN28" s="112"/>
      <c r="YO28" s="112"/>
      <c r="YP28" s="112"/>
      <c r="YQ28" s="112"/>
      <c r="YR28" s="112"/>
      <c r="YS28" s="112"/>
      <c r="YT28" s="112"/>
      <c r="YU28" s="112"/>
      <c r="YV28" s="113"/>
      <c r="YW28" s="105"/>
      <c r="YX28" s="106"/>
      <c r="YY28" s="106"/>
      <c r="YZ28" s="106"/>
      <c r="ZA28" s="106"/>
      <c r="ZB28" s="106"/>
      <c r="ZC28" s="106"/>
      <c r="ZD28" s="106"/>
      <c r="ZE28" s="106"/>
      <c r="ZF28" s="106"/>
      <c r="ZG28" s="106"/>
      <c r="ZH28" s="106"/>
      <c r="ZI28" s="106"/>
      <c r="ZJ28" s="106"/>
      <c r="ZK28" s="106"/>
      <c r="ZL28" s="106"/>
      <c r="ZM28" s="106"/>
      <c r="ZN28" s="106"/>
      <c r="ZO28" s="106"/>
      <c r="ZP28" s="107"/>
      <c r="ZQ28" s="105"/>
      <c r="ZR28" s="106"/>
      <c r="ZS28" s="106"/>
      <c r="ZT28" s="106"/>
      <c r="ZU28" s="106"/>
      <c r="ZV28" s="106"/>
      <c r="ZW28" s="106"/>
      <c r="ZX28" s="106"/>
      <c r="ZY28" s="106"/>
      <c r="ZZ28" s="106"/>
      <c r="AAA28" s="106"/>
      <c r="AAB28" s="106"/>
      <c r="AAC28" s="106"/>
      <c r="AAD28" s="106"/>
      <c r="AAE28" s="106"/>
      <c r="AAF28" s="106"/>
      <c r="AAG28" s="106"/>
      <c r="AAH28" s="106"/>
      <c r="AAI28" s="106"/>
      <c r="AAJ28" s="107"/>
      <c r="AAK28" s="105"/>
      <c r="AAL28" s="106"/>
      <c r="AAM28" s="106"/>
      <c r="AAN28" s="106"/>
      <c r="AAO28" s="106"/>
      <c r="AAP28" s="106"/>
      <c r="AAQ28" s="106"/>
      <c r="AAR28" s="106"/>
      <c r="AAS28" s="106"/>
      <c r="AAT28" s="106"/>
      <c r="AAU28" s="106"/>
      <c r="AAV28" s="106"/>
      <c r="AAW28" s="106"/>
      <c r="AAX28" s="106"/>
      <c r="AAY28" s="106"/>
      <c r="AAZ28" s="106"/>
      <c r="ABA28" s="106"/>
      <c r="ABB28" s="106"/>
      <c r="ABC28" s="106"/>
      <c r="ABD28" s="107"/>
      <c r="ABE28" s="105"/>
      <c r="ABF28" s="106"/>
      <c r="ABG28" s="106"/>
      <c r="ABH28" s="106"/>
      <c r="ABI28" s="106"/>
      <c r="ABJ28" s="106"/>
      <c r="ABK28" s="106"/>
      <c r="ABL28" s="106"/>
      <c r="ABM28" s="106"/>
      <c r="ABN28" s="106"/>
      <c r="ABO28" s="106"/>
      <c r="ABP28" s="106"/>
      <c r="ABQ28" s="106"/>
      <c r="ABR28" s="106"/>
      <c r="ABS28" s="106"/>
      <c r="ABT28" s="106"/>
      <c r="ABU28" s="106"/>
      <c r="ABV28" s="106"/>
      <c r="ABW28" s="106"/>
      <c r="ABX28" s="107"/>
      <c r="ABY28" s="108"/>
      <c r="ABZ28" s="109"/>
      <c r="ACA28" s="109"/>
      <c r="ACB28" s="109"/>
      <c r="ACC28" s="109"/>
      <c r="ACD28" s="109"/>
      <c r="ACE28" s="109"/>
      <c r="ACF28" s="109"/>
      <c r="ACG28" s="109"/>
      <c r="ACH28" s="109"/>
      <c r="ACI28" s="109"/>
      <c r="ACJ28" s="109"/>
      <c r="ACK28" s="109"/>
      <c r="ACL28" s="109"/>
      <c r="ACM28" s="109"/>
      <c r="ACN28" s="109"/>
      <c r="ACO28" s="109"/>
      <c r="ACP28" s="109"/>
      <c r="ACQ28" s="109"/>
      <c r="ACR28" s="110"/>
    </row>
    <row r="29" spans="1:772" ht="15" customHeight="1" x14ac:dyDescent="0.2">
      <c r="A29" s="99" t="s">
        <v>80</v>
      </c>
      <c r="B29" s="100"/>
      <c r="C29" s="100"/>
      <c r="D29" s="100"/>
      <c r="E29" s="100"/>
      <c r="F29" s="100"/>
      <c r="G29" s="100">
        <f t="shared" ref="G29:L29" si="593">IFERROR(RANK(G7,G7:G17,0),"")</f>
        <v>2</v>
      </c>
      <c r="H29" s="100">
        <f>IFERROR(RANK(H7,H7:H17,0),"")</f>
        <v>2</v>
      </c>
      <c r="I29" s="100">
        <f t="shared" si="593"/>
        <v>1</v>
      </c>
      <c r="J29" s="100">
        <f t="shared" si="593"/>
        <v>1</v>
      </c>
      <c r="K29" s="100">
        <f t="shared" si="593"/>
        <v>1</v>
      </c>
      <c r="L29" s="100">
        <f t="shared" si="593"/>
        <v>2</v>
      </c>
      <c r="M29" s="100">
        <f t="shared" ref="M29:R29" si="594">IFERROR(RANK(M7,M7:M17,1),"")</f>
        <v>1</v>
      </c>
      <c r="N29" s="100">
        <f t="shared" si="594"/>
        <v>2</v>
      </c>
      <c r="O29" s="100">
        <f t="shared" si="594"/>
        <v>2</v>
      </c>
      <c r="P29" s="100">
        <f t="shared" si="594"/>
        <v>1</v>
      </c>
      <c r="Q29" s="100">
        <f t="shared" si="594"/>
        <v>2</v>
      </c>
      <c r="R29" s="100">
        <f t="shared" si="594"/>
        <v>2</v>
      </c>
      <c r="S29" s="100">
        <f>IFERROR(RANK(S7,S7:S17,0),"")</f>
        <v>1</v>
      </c>
      <c r="T29" s="116">
        <f>IFERROR(RANK(T7,T7:T17,1),"")</f>
        <v>2</v>
      </c>
      <c r="U29" s="100">
        <f>IFERROR(RANK(U7,U7:U17,0),"")</f>
        <v>2</v>
      </c>
      <c r="V29" s="100">
        <f>IFERROR(RANK(V7,V7:V17,0),"")</f>
        <v>2</v>
      </c>
      <c r="W29" s="100">
        <f>IFERROR(RANK(W7,W7:W17,0),"")</f>
        <v>2</v>
      </c>
      <c r="X29" s="100">
        <f t="shared" ref="X29:AE29" si="595">IFERROR(RANK(X7,X7:X17,0),"")</f>
        <v>2</v>
      </c>
      <c r="Y29" s="100">
        <f t="shared" ref="Y29" si="596">IFERROR(RANK(Y7,Y7:Y17,0),"")</f>
        <v>2</v>
      </c>
      <c r="Z29" s="100">
        <f>IFERROR(RANK(Z7,Z7:Z17,0),"")</f>
        <v>2</v>
      </c>
      <c r="AA29" s="100">
        <f>IFERROR(RANK(AA7,AA7:AA17,1),"")</f>
        <v>1</v>
      </c>
      <c r="AB29" s="100">
        <f>IFERROR(RANK(AB7,AB7:AB17,0),"")</f>
        <v>2</v>
      </c>
      <c r="AC29" s="100">
        <f t="shared" si="595"/>
        <v>1</v>
      </c>
      <c r="AD29" s="100">
        <f t="shared" si="595"/>
        <v>2</v>
      </c>
      <c r="AE29" s="117">
        <f t="shared" si="595"/>
        <v>2</v>
      </c>
      <c r="AF29" s="118"/>
      <c r="AG29" s="276">
        <f t="shared" ref="AG29:CR29" si="597">IFERROR(RANK(AG7,AG7:AG17,0),"")</f>
        <v>1</v>
      </c>
      <c r="AH29" s="120" t="str">
        <f t="shared" si="597"/>
        <v/>
      </c>
      <c r="AI29" s="120" t="str">
        <f t="shared" si="597"/>
        <v/>
      </c>
      <c r="AJ29" s="120" t="str">
        <f t="shared" si="597"/>
        <v/>
      </c>
      <c r="AK29" s="120" t="str">
        <f t="shared" si="597"/>
        <v/>
      </c>
      <c r="AL29" s="120" t="str">
        <f t="shared" si="597"/>
        <v/>
      </c>
      <c r="AM29" s="120" t="str">
        <f t="shared" si="597"/>
        <v/>
      </c>
      <c r="AN29" s="120" t="str">
        <f t="shared" si="597"/>
        <v/>
      </c>
      <c r="AO29" s="120" t="str">
        <f t="shared" si="597"/>
        <v/>
      </c>
      <c r="AP29" s="120" t="str">
        <f t="shared" si="597"/>
        <v/>
      </c>
      <c r="AQ29" s="120" t="str">
        <f t="shared" si="597"/>
        <v/>
      </c>
      <c r="AR29" s="120" t="str">
        <f t="shared" si="597"/>
        <v/>
      </c>
      <c r="AS29" s="120" t="str">
        <f t="shared" si="597"/>
        <v/>
      </c>
      <c r="AT29" s="120" t="str">
        <f t="shared" si="597"/>
        <v/>
      </c>
      <c r="AU29" s="120" t="str">
        <f t="shared" si="597"/>
        <v/>
      </c>
      <c r="AV29" s="120" t="str">
        <f t="shared" si="597"/>
        <v/>
      </c>
      <c r="AW29" s="120" t="str">
        <f t="shared" si="597"/>
        <v/>
      </c>
      <c r="AX29" s="120" t="str">
        <f t="shared" si="597"/>
        <v/>
      </c>
      <c r="AY29" s="120" t="str">
        <f t="shared" si="597"/>
        <v/>
      </c>
      <c r="AZ29" s="121" t="str">
        <f t="shared" si="597"/>
        <v/>
      </c>
      <c r="BA29" s="119">
        <f t="shared" si="597"/>
        <v>1</v>
      </c>
      <c r="BB29" s="120" t="str">
        <f t="shared" si="597"/>
        <v/>
      </c>
      <c r="BC29" s="120" t="str">
        <f t="shared" si="597"/>
        <v/>
      </c>
      <c r="BD29" s="120" t="str">
        <f t="shared" si="597"/>
        <v/>
      </c>
      <c r="BE29" s="120" t="str">
        <f t="shared" si="597"/>
        <v/>
      </c>
      <c r="BF29" s="120" t="str">
        <f t="shared" si="597"/>
        <v/>
      </c>
      <c r="BG29" s="120" t="str">
        <f t="shared" si="597"/>
        <v/>
      </c>
      <c r="BH29" s="120" t="str">
        <f t="shared" si="597"/>
        <v/>
      </c>
      <c r="BI29" s="120" t="str">
        <f t="shared" si="597"/>
        <v/>
      </c>
      <c r="BJ29" s="120" t="str">
        <f t="shared" si="597"/>
        <v/>
      </c>
      <c r="BK29" s="120" t="str">
        <f t="shared" si="597"/>
        <v/>
      </c>
      <c r="BL29" s="120" t="str">
        <f t="shared" si="597"/>
        <v/>
      </c>
      <c r="BM29" s="120" t="str">
        <f t="shared" si="597"/>
        <v/>
      </c>
      <c r="BN29" s="120" t="str">
        <f t="shared" si="597"/>
        <v/>
      </c>
      <c r="BO29" s="120" t="str">
        <f t="shared" si="597"/>
        <v/>
      </c>
      <c r="BP29" s="120" t="str">
        <f t="shared" si="597"/>
        <v/>
      </c>
      <c r="BQ29" s="120" t="str">
        <f t="shared" si="597"/>
        <v/>
      </c>
      <c r="BR29" s="120" t="str">
        <f t="shared" si="597"/>
        <v/>
      </c>
      <c r="BS29" s="120" t="str">
        <f t="shared" si="597"/>
        <v/>
      </c>
      <c r="BT29" s="121" t="str">
        <f t="shared" si="597"/>
        <v/>
      </c>
      <c r="BU29" s="119">
        <f t="shared" si="597"/>
        <v>1</v>
      </c>
      <c r="BV29" s="120" t="str">
        <f t="shared" si="597"/>
        <v/>
      </c>
      <c r="BW29" s="120" t="str">
        <f t="shared" si="597"/>
        <v/>
      </c>
      <c r="BX29" s="120" t="str">
        <f t="shared" si="597"/>
        <v/>
      </c>
      <c r="BY29" s="120" t="str">
        <f t="shared" si="597"/>
        <v/>
      </c>
      <c r="BZ29" s="120" t="str">
        <f t="shared" si="597"/>
        <v/>
      </c>
      <c r="CA29" s="120" t="str">
        <f t="shared" si="597"/>
        <v/>
      </c>
      <c r="CB29" s="120" t="str">
        <f t="shared" si="597"/>
        <v/>
      </c>
      <c r="CC29" s="120" t="str">
        <f t="shared" si="597"/>
        <v/>
      </c>
      <c r="CD29" s="120" t="str">
        <f t="shared" si="597"/>
        <v/>
      </c>
      <c r="CE29" s="120" t="str">
        <f t="shared" si="597"/>
        <v/>
      </c>
      <c r="CF29" s="120" t="str">
        <f t="shared" si="597"/>
        <v/>
      </c>
      <c r="CG29" s="120" t="str">
        <f t="shared" si="597"/>
        <v/>
      </c>
      <c r="CH29" s="120" t="str">
        <f t="shared" si="597"/>
        <v/>
      </c>
      <c r="CI29" s="120" t="str">
        <f t="shared" si="597"/>
        <v/>
      </c>
      <c r="CJ29" s="120" t="str">
        <f t="shared" si="597"/>
        <v/>
      </c>
      <c r="CK29" s="120" t="str">
        <f t="shared" si="597"/>
        <v/>
      </c>
      <c r="CL29" s="120" t="str">
        <f t="shared" si="597"/>
        <v/>
      </c>
      <c r="CM29" s="120" t="str">
        <f t="shared" si="597"/>
        <v/>
      </c>
      <c r="CN29" s="121" t="str">
        <f t="shared" si="597"/>
        <v/>
      </c>
      <c r="CO29" s="119">
        <f t="shared" si="597"/>
        <v>2</v>
      </c>
      <c r="CP29" s="120" t="str">
        <f t="shared" si="597"/>
        <v/>
      </c>
      <c r="CQ29" s="120" t="str">
        <f t="shared" si="597"/>
        <v/>
      </c>
      <c r="CR29" s="120" t="str">
        <f t="shared" si="597"/>
        <v/>
      </c>
      <c r="CS29" s="120" t="str">
        <f t="shared" ref="CS29:FD29" si="598">IFERROR(RANK(CS7,CS7:CS17,0),"")</f>
        <v/>
      </c>
      <c r="CT29" s="120" t="str">
        <f t="shared" si="598"/>
        <v/>
      </c>
      <c r="CU29" s="120" t="str">
        <f t="shared" si="598"/>
        <v/>
      </c>
      <c r="CV29" s="120" t="str">
        <f t="shared" si="598"/>
        <v/>
      </c>
      <c r="CW29" s="120" t="str">
        <f t="shared" si="598"/>
        <v/>
      </c>
      <c r="CX29" s="120" t="str">
        <f t="shared" si="598"/>
        <v/>
      </c>
      <c r="CY29" s="120" t="str">
        <f t="shared" si="598"/>
        <v/>
      </c>
      <c r="CZ29" s="120" t="str">
        <f t="shared" si="598"/>
        <v/>
      </c>
      <c r="DA29" s="120" t="str">
        <f t="shared" si="598"/>
        <v/>
      </c>
      <c r="DB29" s="120" t="str">
        <f t="shared" si="598"/>
        <v/>
      </c>
      <c r="DC29" s="120" t="str">
        <f t="shared" si="598"/>
        <v/>
      </c>
      <c r="DD29" s="120" t="str">
        <f t="shared" si="598"/>
        <v/>
      </c>
      <c r="DE29" s="120" t="str">
        <f t="shared" si="598"/>
        <v/>
      </c>
      <c r="DF29" s="120" t="str">
        <f t="shared" si="598"/>
        <v/>
      </c>
      <c r="DG29" s="120" t="str">
        <f t="shared" si="598"/>
        <v/>
      </c>
      <c r="DH29" s="121" t="str">
        <f t="shared" si="598"/>
        <v/>
      </c>
      <c r="DI29" s="119">
        <f t="shared" si="598"/>
        <v>2</v>
      </c>
      <c r="DJ29" s="120" t="str">
        <f t="shared" si="598"/>
        <v/>
      </c>
      <c r="DK29" s="120" t="str">
        <f t="shared" si="598"/>
        <v/>
      </c>
      <c r="DL29" s="120" t="str">
        <f t="shared" si="598"/>
        <v/>
      </c>
      <c r="DM29" s="120" t="str">
        <f t="shared" si="598"/>
        <v/>
      </c>
      <c r="DN29" s="120" t="str">
        <f t="shared" si="598"/>
        <v/>
      </c>
      <c r="DO29" s="120" t="str">
        <f t="shared" si="598"/>
        <v/>
      </c>
      <c r="DP29" s="120" t="str">
        <f t="shared" si="598"/>
        <v/>
      </c>
      <c r="DQ29" s="120" t="str">
        <f t="shared" si="598"/>
        <v/>
      </c>
      <c r="DR29" s="120" t="str">
        <f t="shared" si="598"/>
        <v/>
      </c>
      <c r="DS29" s="120" t="str">
        <f t="shared" si="598"/>
        <v/>
      </c>
      <c r="DT29" s="120" t="str">
        <f t="shared" si="598"/>
        <v/>
      </c>
      <c r="DU29" s="120" t="str">
        <f t="shared" si="598"/>
        <v/>
      </c>
      <c r="DV29" s="120" t="str">
        <f t="shared" si="598"/>
        <v/>
      </c>
      <c r="DW29" s="120" t="str">
        <f t="shared" si="598"/>
        <v/>
      </c>
      <c r="DX29" s="120" t="str">
        <f t="shared" si="598"/>
        <v/>
      </c>
      <c r="DY29" s="120" t="str">
        <f t="shared" si="598"/>
        <v/>
      </c>
      <c r="DZ29" s="120" t="str">
        <f t="shared" si="598"/>
        <v/>
      </c>
      <c r="EA29" s="120" t="str">
        <f t="shared" si="598"/>
        <v/>
      </c>
      <c r="EB29" s="121" t="str">
        <f t="shared" si="598"/>
        <v/>
      </c>
      <c r="EC29" s="119">
        <f t="shared" si="598"/>
        <v>1</v>
      </c>
      <c r="ED29" s="120" t="str">
        <f t="shared" si="598"/>
        <v/>
      </c>
      <c r="EE29" s="120" t="str">
        <f t="shared" si="598"/>
        <v/>
      </c>
      <c r="EF29" s="120" t="str">
        <f t="shared" si="598"/>
        <v/>
      </c>
      <c r="EG29" s="120" t="str">
        <f t="shared" si="598"/>
        <v/>
      </c>
      <c r="EH29" s="120" t="str">
        <f t="shared" si="598"/>
        <v/>
      </c>
      <c r="EI29" s="120" t="str">
        <f t="shared" si="598"/>
        <v/>
      </c>
      <c r="EJ29" s="120" t="str">
        <f t="shared" si="598"/>
        <v/>
      </c>
      <c r="EK29" s="120" t="str">
        <f t="shared" si="598"/>
        <v/>
      </c>
      <c r="EL29" s="120" t="str">
        <f t="shared" si="598"/>
        <v/>
      </c>
      <c r="EM29" s="120" t="str">
        <f t="shared" si="598"/>
        <v/>
      </c>
      <c r="EN29" s="120" t="str">
        <f t="shared" si="598"/>
        <v/>
      </c>
      <c r="EO29" s="120" t="str">
        <f t="shared" si="598"/>
        <v/>
      </c>
      <c r="EP29" s="120" t="str">
        <f t="shared" si="598"/>
        <v/>
      </c>
      <c r="EQ29" s="120" t="str">
        <f t="shared" si="598"/>
        <v/>
      </c>
      <c r="ER29" s="120" t="str">
        <f t="shared" si="598"/>
        <v/>
      </c>
      <c r="ES29" s="120" t="str">
        <f t="shared" si="598"/>
        <v/>
      </c>
      <c r="ET29" s="120" t="str">
        <f t="shared" si="598"/>
        <v/>
      </c>
      <c r="EU29" s="120" t="str">
        <f t="shared" si="598"/>
        <v/>
      </c>
      <c r="EV29" s="121" t="str">
        <f t="shared" si="598"/>
        <v/>
      </c>
      <c r="EW29" s="119">
        <f t="shared" si="598"/>
        <v>1</v>
      </c>
      <c r="EX29" s="120" t="str">
        <f t="shared" si="598"/>
        <v/>
      </c>
      <c r="EY29" s="120" t="str">
        <f t="shared" si="598"/>
        <v/>
      </c>
      <c r="EZ29" s="120" t="str">
        <f t="shared" si="598"/>
        <v/>
      </c>
      <c r="FA29" s="120" t="str">
        <f t="shared" si="598"/>
        <v/>
      </c>
      <c r="FB29" s="120" t="str">
        <f t="shared" si="598"/>
        <v/>
      </c>
      <c r="FC29" s="120" t="str">
        <f t="shared" si="598"/>
        <v/>
      </c>
      <c r="FD29" s="120" t="str">
        <f t="shared" si="598"/>
        <v/>
      </c>
      <c r="FE29" s="120" t="str">
        <f t="shared" ref="FE29:HP29" si="599">IFERROR(RANK(FE7,FE7:FE17,0),"")</f>
        <v/>
      </c>
      <c r="FF29" s="120" t="str">
        <f t="shared" si="599"/>
        <v/>
      </c>
      <c r="FG29" s="120" t="str">
        <f t="shared" si="599"/>
        <v/>
      </c>
      <c r="FH29" s="120" t="str">
        <f t="shared" si="599"/>
        <v/>
      </c>
      <c r="FI29" s="120" t="str">
        <f t="shared" si="599"/>
        <v/>
      </c>
      <c r="FJ29" s="120" t="str">
        <f t="shared" si="599"/>
        <v/>
      </c>
      <c r="FK29" s="120" t="str">
        <f t="shared" si="599"/>
        <v/>
      </c>
      <c r="FL29" s="120" t="str">
        <f t="shared" si="599"/>
        <v/>
      </c>
      <c r="FM29" s="120" t="str">
        <f t="shared" si="599"/>
        <v/>
      </c>
      <c r="FN29" s="120" t="str">
        <f t="shared" si="599"/>
        <v/>
      </c>
      <c r="FO29" s="120" t="str">
        <f t="shared" si="599"/>
        <v/>
      </c>
      <c r="FP29" s="121" t="str">
        <f t="shared" si="599"/>
        <v/>
      </c>
      <c r="FQ29" s="119">
        <f t="shared" si="599"/>
        <v>1</v>
      </c>
      <c r="FR29" s="120" t="str">
        <f t="shared" si="599"/>
        <v/>
      </c>
      <c r="FS29" s="120" t="str">
        <f t="shared" si="599"/>
        <v/>
      </c>
      <c r="FT29" s="120" t="str">
        <f t="shared" si="599"/>
        <v/>
      </c>
      <c r="FU29" s="120" t="str">
        <f t="shared" si="599"/>
        <v/>
      </c>
      <c r="FV29" s="120" t="str">
        <f t="shared" si="599"/>
        <v/>
      </c>
      <c r="FW29" s="120" t="str">
        <f t="shared" si="599"/>
        <v/>
      </c>
      <c r="FX29" s="120" t="str">
        <f t="shared" si="599"/>
        <v/>
      </c>
      <c r="FY29" s="120" t="str">
        <f t="shared" si="599"/>
        <v/>
      </c>
      <c r="FZ29" s="120" t="str">
        <f t="shared" si="599"/>
        <v/>
      </c>
      <c r="GA29" s="120" t="str">
        <f t="shared" si="599"/>
        <v/>
      </c>
      <c r="GB29" s="120" t="str">
        <f t="shared" si="599"/>
        <v/>
      </c>
      <c r="GC29" s="120" t="str">
        <f t="shared" si="599"/>
        <v/>
      </c>
      <c r="GD29" s="120" t="str">
        <f t="shared" si="599"/>
        <v/>
      </c>
      <c r="GE29" s="120" t="str">
        <f t="shared" si="599"/>
        <v/>
      </c>
      <c r="GF29" s="120" t="str">
        <f t="shared" si="599"/>
        <v/>
      </c>
      <c r="GG29" s="120" t="str">
        <f t="shared" si="599"/>
        <v/>
      </c>
      <c r="GH29" s="120" t="str">
        <f t="shared" si="599"/>
        <v/>
      </c>
      <c r="GI29" s="120" t="str">
        <f t="shared" si="599"/>
        <v/>
      </c>
      <c r="GJ29" s="121" t="str">
        <f t="shared" si="599"/>
        <v/>
      </c>
      <c r="GK29" s="601">
        <f t="shared" si="599"/>
        <v>1</v>
      </c>
      <c r="GL29" s="602" t="str">
        <f t="shared" si="599"/>
        <v/>
      </c>
      <c r="GM29" s="602" t="str">
        <f t="shared" si="599"/>
        <v/>
      </c>
      <c r="GN29" s="602" t="str">
        <f t="shared" si="599"/>
        <v/>
      </c>
      <c r="GO29" s="602" t="str">
        <f t="shared" si="599"/>
        <v/>
      </c>
      <c r="GP29" s="602" t="str">
        <f t="shared" si="599"/>
        <v/>
      </c>
      <c r="GQ29" s="602" t="str">
        <f t="shared" si="599"/>
        <v/>
      </c>
      <c r="GR29" s="602" t="str">
        <f t="shared" si="599"/>
        <v/>
      </c>
      <c r="GS29" s="602" t="str">
        <f t="shared" si="599"/>
        <v/>
      </c>
      <c r="GT29" s="602" t="str">
        <f t="shared" si="599"/>
        <v/>
      </c>
      <c r="GU29" s="602" t="str">
        <f t="shared" si="599"/>
        <v/>
      </c>
      <c r="GV29" s="602" t="str">
        <f t="shared" si="599"/>
        <v/>
      </c>
      <c r="GW29" s="602" t="str">
        <f t="shared" si="599"/>
        <v/>
      </c>
      <c r="GX29" s="602" t="str">
        <f t="shared" si="599"/>
        <v/>
      </c>
      <c r="GY29" s="602" t="str">
        <f t="shared" si="599"/>
        <v/>
      </c>
      <c r="GZ29" s="602" t="str">
        <f t="shared" si="599"/>
        <v/>
      </c>
      <c r="HA29" s="602" t="str">
        <f t="shared" si="599"/>
        <v/>
      </c>
      <c r="HB29" s="602" t="str">
        <f t="shared" si="599"/>
        <v/>
      </c>
      <c r="HC29" s="602" t="str">
        <f t="shared" si="599"/>
        <v/>
      </c>
      <c r="HD29" s="603" t="str">
        <f t="shared" si="599"/>
        <v/>
      </c>
      <c r="HE29" s="601">
        <f t="shared" si="599"/>
        <v>1</v>
      </c>
      <c r="HF29" s="602" t="str">
        <f t="shared" si="599"/>
        <v/>
      </c>
      <c r="HG29" s="602" t="str">
        <f t="shared" si="599"/>
        <v/>
      </c>
      <c r="HH29" s="602" t="str">
        <f t="shared" si="599"/>
        <v/>
      </c>
      <c r="HI29" s="602" t="str">
        <f t="shared" si="599"/>
        <v/>
      </c>
      <c r="HJ29" s="602" t="str">
        <f t="shared" si="599"/>
        <v/>
      </c>
      <c r="HK29" s="602" t="str">
        <f t="shared" si="599"/>
        <v/>
      </c>
      <c r="HL29" s="602" t="str">
        <f t="shared" si="599"/>
        <v/>
      </c>
      <c r="HM29" s="602" t="str">
        <f t="shared" si="599"/>
        <v/>
      </c>
      <c r="HN29" s="602" t="str">
        <f t="shared" si="599"/>
        <v/>
      </c>
      <c r="HO29" s="602" t="str">
        <f t="shared" si="599"/>
        <v/>
      </c>
      <c r="HP29" s="602" t="str">
        <f t="shared" si="599"/>
        <v/>
      </c>
      <c r="HQ29" s="602" t="str">
        <f t="shared" ref="HQ29:KB29" si="600">IFERROR(RANK(HQ7,HQ7:HQ17,0),"")</f>
        <v/>
      </c>
      <c r="HR29" s="602" t="str">
        <f t="shared" si="600"/>
        <v/>
      </c>
      <c r="HS29" s="602" t="str">
        <f t="shared" si="600"/>
        <v/>
      </c>
      <c r="HT29" s="602" t="str">
        <f t="shared" si="600"/>
        <v/>
      </c>
      <c r="HU29" s="602" t="str">
        <f t="shared" si="600"/>
        <v/>
      </c>
      <c r="HV29" s="602" t="str">
        <f t="shared" si="600"/>
        <v/>
      </c>
      <c r="HW29" s="602" t="str">
        <f t="shared" si="600"/>
        <v/>
      </c>
      <c r="HX29" s="603" t="str">
        <f t="shared" si="600"/>
        <v/>
      </c>
      <c r="HY29" s="601">
        <f t="shared" si="600"/>
        <v>1</v>
      </c>
      <c r="HZ29" s="602" t="str">
        <f t="shared" si="600"/>
        <v/>
      </c>
      <c r="IA29" s="602" t="str">
        <f t="shared" si="600"/>
        <v/>
      </c>
      <c r="IB29" s="602" t="str">
        <f t="shared" si="600"/>
        <v/>
      </c>
      <c r="IC29" s="602" t="str">
        <f t="shared" si="600"/>
        <v/>
      </c>
      <c r="ID29" s="602" t="str">
        <f t="shared" si="600"/>
        <v/>
      </c>
      <c r="IE29" s="602" t="str">
        <f t="shared" si="600"/>
        <v/>
      </c>
      <c r="IF29" s="602" t="str">
        <f t="shared" si="600"/>
        <v/>
      </c>
      <c r="IG29" s="602" t="str">
        <f t="shared" si="600"/>
        <v/>
      </c>
      <c r="IH29" s="602" t="str">
        <f t="shared" si="600"/>
        <v/>
      </c>
      <c r="II29" s="602" t="str">
        <f t="shared" si="600"/>
        <v/>
      </c>
      <c r="IJ29" s="602" t="str">
        <f t="shared" si="600"/>
        <v/>
      </c>
      <c r="IK29" s="602" t="str">
        <f t="shared" si="600"/>
        <v/>
      </c>
      <c r="IL29" s="602" t="str">
        <f t="shared" si="600"/>
        <v/>
      </c>
      <c r="IM29" s="602" t="str">
        <f t="shared" si="600"/>
        <v/>
      </c>
      <c r="IN29" s="602" t="str">
        <f t="shared" si="600"/>
        <v/>
      </c>
      <c r="IO29" s="602" t="str">
        <f t="shared" si="600"/>
        <v/>
      </c>
      <c r="IP29" s="602" t="str">
        <f t="shared" si="600"/>
        <v/>
      </c>
      <c r="IQ29" s="602" t="str">
        <f t="shared" si="600"/>
        <v/>
      </c>
      <c r="IR29" s="603" t="str">
        <f t="shared" si="600"/>
        <v/>
      </c>
      <c r="IS29" s="601">
        <f t="shared" si="600"/>
        <v>1</v>
      </c>
      <c r="IT29" s="602" t="str">
        <f t="shared" si="600"/>
        <v/>
      </c>
      <c r="IU29" s="602" t="str">
        <f t="shared" si="600"/>
        <v/>
      </c>
      <c r="IV29" s="602" t="str">
        <f t="shared" si="600"/>
        <v/>
      </c>
      <c r="IW29" s="602" t="str">
        <f t="shared" si="600"/>
        <v/>
      </c>
      <c r="IX29" s="602" t="str">
        <f t="shared" si="600"/>
        <v/>
      </c>
      <c r="IY29" s="602" t="str">
        <f t="shared" si="600"/>
        <v/>
      </c>
      <c r="IZ29" s="602" t="str">
        <f t="shared" si="600"/>
        <v/>
      </c>
      <c r="JA29" s="602" t="str">
        <f t="shared" si="600"/>
        <v/>
      </c>
      <c r="JB29" s="602" t="str">
        <f t="shared" si="600"/>
        <v/>
      </c>
      <c r="JC29" s="602" t="str">
        <f t="shared" si="600"/>
        <v/>
      </c>
      <c r="JD29" s="602" t="str">
        <f t="shared" si="600"/>
        <v/>
      </c>
      <c r="JE29" s="602" t="str">
        <f t="shared" si="600"/>
        <v/>
      </c>
      <c r="JF29" s="602" t="str">
        <f t="shared" si="600"/>
        <v/>
      </c>
      <c r="JG29" s="602" t="str">
        <f t="shared" si="600"/>
        <v/>
      </c>
      <c r="JH29" s="602" t="str">
        <f t="shared" si="600"/>
        <v/>
      </c>
      <c r="JI29" s="602" t="str">
        <f t="shared" si="600"/>
        <v/>
      </c>
      <c r="JJ29" s="602" t="str">
        <f t="shared" si="600"/>
        <v/>
      </c>
      <c r="JK29" s="602" t="str">
        <f t="shared" si="600"/>
        <v/>
      </c>
      <c r="JL29" s="603" t="str">
        <f t="shared" si="600"/>
        <v/>
      </c>
      <c r="JM29" s="119">
        <f t="shared" si="600"/>
        <v>2</v>
      </c>
      <c r="JN29" s="120" t="str">
        <f t="shared" si="600"/>
        <v/>
      </c>
      <c r="JO29" s="120" t="str">
        <f t="shared" si="600"/>
        <v/>
      </c>
      <c r="JP29" s="120" t="str">
        <f t="shared" si="600"/>
        <v/>
      </c>
      <c r="JQ29" s="120" t="str">
        <f t="shared" si="600"/>
        <v/>
      </c>
      <c r="JR29" s="120" t="str">
        <f t="shared" si="600"/>
        <v/>
      </c>
      <c r="JS29" s="120" t="str">
        <f t="shared" si="600"/>
        <v/>
      </c>
      <c r="JT29" s="120" t="str">
        <f t="shared" si="600"/>
        <v/>
      </c>
      <c r="JU29" s="120" t="str">
        <f t="shared" si="600"/>
        <v/>
      </c>
      <c r="JV29" s="120" t="str">
        <f t="shared" si="600"/>
        <v/>
      </c>
      <c r="JW29" s="120" t="str">
        <f t="shared" si="600"/>
        <v/>
      </c>
      <c r="JX29" s="120" t="str">
        <f t="shared" si="600"/>
        <v/>
      </c>
      <c r="JY29" s="120" t="str">
        <f t="shared" si="600"/>
        <v/>
      </c>
      <c r="JZ29" s="120" t="str">
        <f t="shared" si="600"/>
        <v/>
      </c>
      <c r="KA29" s="120" t="str">
        <f t="shared" si="600"/>
        <v/>
      </c>
      <c r="KB29" s="120" t="str">
        <f t="shared" si="600"/>
        <v/>
      </c>
      <c r="KC29" s="120" t="str">
        <f t="shared" ref="KC29:MN29" si="601">IFERROR(RANK(KC7,KC7:KC17,0),"")</f>
        <v/>
      </c>
      <c r="KD29" s="120" t="str">
        <f t="shared" si="601"/>
        <v/>
      </c>
      <c r="KE29" s="120" t="str">
        <f t="shared" si="601"/>
        <v/>
      </c>
      <c r="KF29" s="121" t="str">
        <f t="shared" si="601"/>
        <v/>
      </c>
      <c r="KG29" s="119">
        <f t="shared" si="601"/>
        <v>2</v>
      </c>
      <c r="KH29" s="120" t="str">
        <f t="shared" si="601"/>
        <v/>
      </c>
      <c r="KI29" s="120" t="str">
        <f t="shared" si="601"/>
        <v/>
      </c>
      <c r="KJ29" s="120" t="str">
        <f t="shared" si="601"/>
        <v/>
      </c>
      <c r="KK29" s="120" t="str">
        <f t="shared" si="601"/>
        <v/>
      </c>
      <c r="KL29" s="120" t="str">
        <f t="shared" si="601"/>
        <v/>
      </c>
      <c r="KM29" s="120" t="str">
        <f t="shared" si="601"/>
        <v/>
      </c>
      <c r="KN29" s="120" t="str">
        <f t="shared" si="601"/>
        <v/>
      </c>
      <c r="KO29" s="120" t="str">
        <f t="shared" si="601"/>
        <v/>
      </c>
      <c r="KP29" s="120" t="str">
        <f t="shared" si="601"/>
        <v/>
      </c>
      <c r="KQ29" s="120" t="str">
        <f t="shared" si="601"/>
        <v/>
      </c>
      <c r="KR29" s="120" t="str">
        <f t="shared" si="601"/>
        <v/>
      </c>
      <c r="KS29" s="120" t="str">
        <f t="shared" si="601"/>
        <v/>
      </c>
      <c r="KT29" s="120" t="str">
        <f t="shared" si="601"/>
        <v/>
      </c>
      <c r="KU29" s="120" t="str">
        <f t="shared" si="601"/>
        <v/>
      </c>
      <c r="KV29" s="120" t="str">
        <f t="shared" si="601"/>
        <v/>
      </c>
      <c r="KW29" s="120" t="str">
        <f t="shared" si="601"/>
        <v/>
      </c>
      <c r="KX29" s="120" t="str">
        <f t="shared" si="601"/>
        <v/>
      </c>
      <c r="KY29" s="120" t="str">
        <f t="shared" si="601"/>
        <v/>
      </c>
      <c r="KZ29" s="121" t="str">
        <f t="shared" si="601"/>
        <v/>
      </c>
      <c r="LA29" s="119">
        <f t="shared" si="601"/>
        <v>2</v>
      </c>
      <c r="LB29" s="119" t="str">
        <f t="shared" si="601"/>
        <v/>
      </c>
      <c r="LC29" s="119" t="str">
        <f t="shared" si="601"/>
        <v/>
      </c>
      <c r="LD29" s="119" t="str">
        <f t="shared" si="601"/>
        <v/>
      </c>
      <c r="LE29" s="119" t="str">
        <f t="shared" si="601"/>
        <v/>
      </c>
      <c r="LF29" s="119" t="str">
        <f t="shared" si="601"/>
        <v/>
      </c>
      <c r="LG29" s="119" t="str">
        <f t="shared" si="601"/>
        <v/>
      </c>
      <c r="LH29" s="119" t="str">
        <f t="shared" si="601"/>
        <v/>
      </c>
      <c r="LI29" s="119" t="str">
        <f t="shared" si="601"/>
        <v/>
      </c>
      <c r="LJ29" s="119" t="str">
        <f t="shared" si="601"/>
        <v/>
      </c>
      <c r="LK29" s="119" t="str">
        <f t="shared" si="601"/>
        <v/>
      </c>
      <c r="LL29" s="119" t="str">
        <f t="shared" si="601"/>
        <v/>
      </c>
      <c r="LM29" s="119" t="str">
        <f t="shared" si="601"/>
        <v/>
      </c>
      <c r="LN29" s="119" t="str">
        <f t="shared" si="601"/>
        <v/>
      </c>
      <c r="LO29" s="119" t="str">
        <f t="shared" si="601"/>
        <v/>
      </c>
      <c r="LP29" s="119" t="str">
        <f t="shared" si="601"/>
        <v/>
      </c>
      <c r="LQ29" s="119" t="str">
        <f t="shared" si="601"/>
        <v/>
      </c>
      <c r="LR29" s="119" t="str">
        <f t="shared" si="601"/>
        <v/>
      </c>
      <c r="LS29" s="119" t="str">
        <f t="shared" si="601"/>
        <v/>
      </c>
      <c r="LT29" s="119" t="str">
        <f t="shared" si="601"/>
        <v/>
      </c>
      <c r="LU29" s="119">
        <f t="shared" si="601"/>
        <v>2</v>
      </c>
      <c r="LV29" s="119" t="str">
        <f t="shared" si="601"/>
        <v/>
      </c>
      <c r="LW29" s="119" t="str">
        <f t="shared" si="601"/>
        <v/>
      </c>
      <c r="LX29" s="119" t="str">
        <f t="shared" si="601"/>
        <v/>
      </c>
      <c r="LY29" s="119" t="str">
        <f t="shared" si="601"/>
        <v/>
      </c>
      <c r="LZ29" s="119" t="str">
        <f t="shared" si="601"/>
        <v/>
      </c>
      <c r="MA29" s="119" t="str">
        <f t="shared" si="601"/>
        <v/>
      </c>
      <c r="MB29" s="119" t="str">
        <f t="shared" si="601"/>
        <v/>
      </c>
      <c r="MC29" s="119" t="str">
        <f t="shared" si="601"/>
        <v/>
      </c>
      <c r="MD29" s="119" t="str">
        <f t="shared" si="601"/>
        <v/>
      </c>
      <c r="ME29" s="119" t="str">
        <f t="shared" si="601"/>
        <v/>
      </c>
      <c r="MF29" s="119" t="str">
        <f t="shared" si="601"/>
        <v/>
      </c>
      <c r="MG29" s="119" t="str">
        <f t="shared" si="601"/>
        <v/>
      </c>
      <c r="MH29" s="119" t="str">
        <f t="shared" si="601"/>
        <v/>
      </c>
      <c r="MI29" s="119" t="str">
        <f t="shared" si="601"/>
        <v/>
      </c>
      <c r="MJ29" s="119" t="str">
        <f t="shared" si="601"/>
        <v/>
      </c>
      <c r="MK29" s="119" t="str">
        <f t="shared" si="601"/>
        <v/>
      </c>
      <c r="ML29" s="119" t="str">
        <f t="shared" si="601"/>
        <v/>
      </c>
      <c r="MM29" s="119" t="str">
        <f t="shared" si="601"/>
        <v/>
      </c>
      <c r="MN29" s="119" t="str">
        <f t="shared" si="601"/>
        <v/>
      </c>
      <c r="MO29" s="119">
        <f t="shared" ref="MO29:OZ29" si="602">IFERROR(RANK(MO7,MO7:MO17,0),"")</f>
        <v>2</v>
      </c>
      <c r="MP29" s="119" t="str">
        <f t="shared" si="602"/>
        <v/>
      </c>
      <c r="MQ29" s="119" t="str">
        <f t="shared" si="602"/>
        <v/>
      </c>
      <c r="MR29" s="119" t="str">
        <f t="shared" si="602"/>
        <v/>
      </c>
      <c r="MS29" s="119" t="str">
        <f t="shared" si="602"/>
        <v/>
      </c>
      <c r="MT29" s="119" t="str">
        <f t="shared" si="602"/>
        <v/>
      </c>
      <c r="MU29" s="119" t="str">
        <f t="shared" si="602"/>
        <v/>
      </c>
      <c r="MV29" s="119" t="str">
        <f t="shared" si="602"/>
        <v/>
      </c>
      <c r="MW29" s="119" t="str">
        <f t="shared" si="602"/>
        <v/>
      </c>
      <c r="MX29" s="119" t="str">
        <f t="shared" si="602"/>
        <v/>
      </c>
      <c r="MY29" s="119" t="str">
        <f t="shared" si="602"/>
        <v/>
      </c>
      <c r="MZ29" s="119" t="str">
        <f t="shared" si="602"/>
        <v/>
      </c>
      <c r="NA29" s="119" t="str">
        <f t="shared" si="602"/>
        <v/>
      </c>
      <c r="NB29" s="119" t="str">
        <f t="shared" si="602"/>
        <v/>
      </c>
      <c r="NC29" s="119" t="str">
        <f t="shared" si="602"/>
        <v/>
      </c>
      <c r="ND29" s="119" t="str">
        <f t="shared" si="602"/>
        <v/>
      </c>
      <c r="NE29" s="119" t="str">
        <f t="shared" si="602"/>
        <v/>
      </c>
      <c r="NF29" s="119" t="str">
        <f t="shared" si="602"/>
        <v/>
      </c>
      <c r="NG29" s="119" t="str">
        <f t="shared" si="602"/>
        <v/>
      </c>
      <c r="NH29" s="119" t="str">
        <f t="shared" si="602"/>
        <v/>
      </c>
      <c r="NI29" s="119">
        <f t="shared" si="602"/>
        <v>1</v>
      </c>
      <c r="NJ29" s="119" t="str">
        <f t="shared" si="602"/>
        <v/>
      </c>
      <c r="NK29" s="119" t="str">
        <f t="shared" si="602"/>
        <v/>
      </c>
      <c r="NL29" s="119" t="str">
        <f t="shared" si="602"/>
        <v/>
      </c>
      <c r="NM29" s="119" t="str">
        <f t="shared" si="602"/>
        <v/>
      </c>
      <c r="NN29" s="119" t="str">
        <f t="shared" si="602"/>
        <v/>
      </c>
      <c r="NO29" s="119" t="str">
        <f t="shared" si="602"/>
        <v/>
      </c>
      <c r="NP29" s="119" t="str">
        <f t="shared" si="602"/>
        <v/>
      </c>
      <c r="NQ29" s="119" t="str">
        <f t="shared" si="602"/>
        <v/>
      </c>
      <c r="NR29" s="119" t="str">
        <f t="shared" si="602"/>
        <v/>
      </c>
      <c r="NS29" s="119" t="str">
        <f t="shared" si="602"/>
        <v/>
      </c>
      <c r="NT29" s="119" t="str">
        <f t="shared" si="602"/>
        <v/>
      </c>
      <c r="NU29" s="119" t="str">
        <f t="shared" si="602"/>
        <v/>
      </c>
      <c r="NV29" s="119" t="str">
        <f t="shared" si="602"/>
        <v/>
      </c>
      <c r="NW29" s="119" t="str">
        <f t="shared" si="602"/>
        <v/>
      </c>
      <c r="NX29" s="119" t="str">
        <f t="shared" si="602"/>
        <v/>
      </c>
      <c r="NY29" s="119" t="str">
        <f t="shared" si="602"/>
        <v/>
      </c>
      <c r="NZ29" s="119" t="str">
        <f t="shared" si="602"/>
        <v/>
      </c>
      <c r="OA29" s="119" t="str">
        <f t="shared" si="602"/>
        <v/>
      </c>
      <c r="OB29" s="119" t="str">
        <f t="shared" si="602"/>
        <v/>
      </c>
      <c r="OC29" s="119">
        <f t="shared" si="602"/>
        <v>2</v>
      </c>
      <c r="OD29" s="120" t="str">
        <f t="shared" si="602"/>
        <v/>
      </c>
      <c r="OE29" s="120" t="str">
        <f t="shared" si="602"/>
        <v/>
      </c>
      <c r="OF29" s="120" t="str">
        <f t="shared" si="602"/>
        <v/>
      </c>
      <c r="OG29" s="120" t="str">
        <f t="shared" si="602"/>
        <v/>
      </c>
      <c r="OH29" s="120" t="str">
        <f t="shared" si="602"/>
        <v/>
      </c>
      <c r="OI29" s="120" t="str">
        <f t="shared" si="602"/>
        <v/>
      </c>
      <c r="OJ29" s="120" t="str">
        <f t="shared" si="602"/>
        <v/>
      </c>
      <c r="OK29" s="120" t="str">
        <f t="shared" si="602"/>
        <v/>
      </c>
      <c r="OL29" s="120" t="str">
        <f t="shared" si="602"/>
        <v/>
      </c>
      <c r="OM29" s="120" t="str">
        <f t="shared" si="602"/>
        <v/>
      </c>
      <c r="ON29" s="120" t="str">
        <f t="shared" si="602"/>
        <v/>
      </c>
      <c r="OO29" s="120" t="str">
        <f t="shared" si="602"/>
        <v/>
      </c>
      <c r="OP29" s="120" t="str">
        <f t="shared" si="602"/>
        <v/>
      </c>
      <c r="OQ29" s="120" t="str">
        <f t="shared" si="602"/>
        <v/>
      </c>
      <c r="OR29" s="120" t="str">
        <f t="shared" si="602"/>
        <v/>
      </c>
      <c r="OS29" s="120" t="str">
        <f t="shared" si="602"/>
        <v/>
      </c>
      <c r="OT29" s="120" t="str">
        <f t="shared" si="602"/>
        <v/>
      </c>
      <c r="OU29" s="120" t="str">
        <f t="shared" si="602"/>
        <v/>
      </c>
      <c r="OV29" s="121" t="str">
        <f t="shared" si="602"/>
        <v/>
      </c>
      <c r="OW29" s="119">
        <f t="shared" si="602"/>
        <v>2</v>
      </c>
      <c r="OX29" s="120" t="str">
        <f t="shared" si="602"/>
        <v/>
      </c>
      <c r="OY29" s="120" t="str">
        <f t="shared" si="602"/>
        <v/>
      </c>
      <c r="OZ29" s="120" t="str">
        <f t="shared" si="602"/>
        <v/>
      </c>
      <c r="PA29" s="120" t="str">
        <f t="shared" ref="PA29:RL29" si="603">IFERROR(RANK(PA7,PA7:PA17,0),"")</f>
        <v/>
      </c>
      <c r="PB29" s="120" t="str">
        <f t="shared" si="603"/>
        <v/>
      </c>
      <c r="PC29" s="120" t="str">
        <f t="shared" si="603"/>
        <v/>
      </c>
      <c r="PD29" s="120" t="str">
        <f t="shared" si="603"/>
        <v/>
      </c>
      <c r="PE29" s="120" t="str">
        <f t="shared" si="603"/>
        <v/>
      </c>
      <c r="PF29" s="120" t="str">
        <f t="shared" si="603"/>
        <v/>
      </c>
      <c r="PG29" s="120" t="str">
        <f t="shared" si="603"/>
        <v/>
      </c>
      <c r="PH29" s="120" t="str">
        <f t="shared" si="603"/>
        <v/>
      </c>
      <c r="PI29" s="120" t="str">
        <f t="shared" si="603"/>
        <v/>
      </c>
      <c r="PJ29" s="120" t="str">
        <f t="shared" si="603"/>
        <v/>
      </c>
      <c r="PK29" s="120" t="str">
        <f t="shared" si="603"/>
        <v/>
      </c>
      <c r="PL29" s="120" t="str">
        <f t="shared" si="603"/>
        <v/>
      </c>
      <c r="PM29" s="120" t="str">
        <f t="shared" si="603"/>
        <v/>
      </c>
      <c r="PN29" s="120" t="str">
        <f t="shared" si="603"/>
        <v/>
      </c>
      <c r="PO29" s="120" t="str">
        <f t="shared" si="603"/>
        <v/>
      </c>
      <c r="PP29" s="121" t="str">
        <f t="shared" si="603"/>
        <v/>
      </c>
      <c r="PQ29" s="119">
        <f t="shared" si="603"/>
        <v>2</v>
      </c>
      <c r="PR29" s="120" t="str">
        <f t="shared" si="603"/>
        <v/>
      </c>
      <c r="PS29" s="120" t="str">
        <f t="shared" si="603"/>
        <v/>
      </c>
      <c r="PT29" s="120" t="str">
        <f t="shared" si="603"/>
        <v/>
      </c>
      <c r="PU29" s="120" t="str">
        <f t="shared" si="603"/>
        <v/>
      </c>
      <c r="PV29" s="120" t="str">
        <f t="shared" si="603"/>
        <v/>
      </c>
      <c r="PW29" s="120" t="str">
        <f t="shared" si="603"/>
        <v/>
      </c>
      <c r="PX29" s="120" t="str">
        <f t="shared" si="603"/>
        <v/>
      </c>
      <c r="PY29" s="120" t="str">
        <f t="shared" si="603"/>
        <v/>
      </c>
      <c r="PZ29" s="120" t="str">
        <f t="shared" si="603"/>
        <v/>
      </c>
      <c r="QA29" s="120" t="str">
        <f t="shared" si="603"/>
        <v/>
      </c>
      <c r="QB29" s="120" t="str">
        <f t="shared" si="603"/>
        <v/>
      </c>
      <c r="QC29" s="120" t="str">
        <f t="shared" si="603"/>
        <v/>
      </c>
      <c r="QD29" s="120" t="str">
        <f t="shared" si="603"/>
        <v/>
      </c>
      <c r="QE29" s="120" t="str">
        <f t="shared" si="603"/>
        <v/>
      </c>
      <c r="QF29" s="120" t="str">
        <f t="shared" si="603"/>
        <v/>
      </c>
      <c r="QG29" s="120" t="str">
        <f t="shared" si="603"/>
        <v/>
      </c>
      <c r="QH29" s="120" t="str">
        <f t="shared" si="603"/>
        <v/>
      </c>
      <c r="QI29" s="120" t="str">
        <f t="shared" si="603"/>
        <v/>
      </c>
      <c r="QJ29" s="121" t="str">
        <f t="shared" si="603"/>
        <v/>
      </c>
      <c r="QK29" s="119">
        <f t="shared" si="603"/>
        <v>2</v>
      </c>
      <c r="QL29" s="120" t="str">
        <f t="shared" si="603"/>
        <v/>
      </c>
      <c r="QM29" s="120" t="str">
        <f t="shared" si="603"/>
        <v/>
      </c>
      <c r="QN29" s="120" t="str">
        <f t="shared" si="603"/>
        <v/>
      </c>
      <c r="QO29" s="120" t="str">
        <f t="shared" si="603"/>
        <v/>
      </c>
      <c r="QP29" s="120" t="str">
        <f t="shared" si="603"/>
        <v/>
      </c>
      <c r="QQ29" s="120" t="str">
        <f t="shared" si="603"/>
        <v/>
      </c>
      <c r="QR29" s="120" t="str">
        <f t="shared" si="603"/>
        <v/>
      </c>
      <c r="QS29" s="120" t="str">
        <f t="shared" si="603"/>
        <v/>
      </c>
      <c r="QT29" s="120" t="str">
        <f t="shared" si="603"/>
        <v/>
      </c>
      <c r="QU29" s="120" t="str">
        <f t="shared" si="603"/>
        <v/>
      </c>
      <c r="QV29" s="120" t="str">
        <f t="shared" si="603"/>
        <v/>
      </c>
      <c r="QW29" s="120" t="str">
        <f t="shared" si="603"/>
        <v/>
      </c>
      <c r="QX29" s="120" t="str">
        <f t="shared" si="603"/>
        <v/>
      </c>
      <c r="QY29" s="120" t="str">
        <f t="shared" si="603"/>
        <v/>
      </c>
      <c r="QZ29" s="120" t="str">
        <f t="shared" si="603"/>
        <v/>
      </c>
      <c r="RA29" s="120" t="str">
        <f t="shared" si="603"/>
        <v/>
      </c>
      <c r="RB29" s="120" t="str">
        <f t="shared" si="603"/>
        <v/>
      </c>
      <c r="RC29" s="120" t="str">
        <f t="shared" si="603"/>
        <v/>
      </c>
      <c r="RD29" s="121" t="str">
        <f t="shared" si="603"/>
        <v/>
      </c>
      <c r="RE29" s="119">
        <f t="shared" si="603"/>
        <v>2</v>
      </c>
      <c r="RF29" s="120" t="str">
        <f t="shared" si="603"/>
        <v/>
      </c>
      <c r="RG29" s="120" t="str">
        <f t="shared" si="603"/>
        <v/>
      </c>
      <c r="RH29" s="120" t="str">
        <f t="shared" si="603"/>
        <v/>
      </c>
      <c r="RI29" s="120" t="str">
        <f t="shared" si="603"/>
        <v/>
      </c>
      <c r="RJ29" s="120" t="str">
        <f t="shared" si="603"/>
        <v/>
      </c>
      <c r="RK29" s="120" t="str">
        <f t="shared" si="603"/>
        <v/>
      </c>
      <c r="RL29" s="120" t="str">
        <f t="shared" si="603"/>
        <v/>
      </c>
      <c r="RM29" s="120" t="str">
        <f t="shared" ref="RM29:TX29" si="604">IFERROR(RANK(RM7,RM7:RM17,0),"")</f>
        <v/>
      </c>
      <c r="RN29" s="120" t="str">
        <f t="shared" si="604"/>
        <v/>
      </c>
      <c r="RO29" s="120" t="str">
        <f t="shared" si="604"/>
        <v/>
      </c>
      <c r="RP29" s="120" t="str">
        <f t="shared" si="604"/>
        <v/>
      </c>
      <c r="RQ29" s="120" t="str">
        <f t="shared" si="604"/>
        <v/>
      </c>
      <c r="RR29" s="120" t="str">
        <f t="shared" si="604"/>
        <v/>
      </c>
      <c r="RS29" s="120" t="str">
        <f t="shared" si="604"/>
        <v/>
      </c>
      <c r="RT29" s="120" t="str">
        <f t="shared" si="604"/>
        <v/>
      </c>
      <c r="RU29" s="120" t="str">
        <f t="shared" si="604"/>
        <v/>
      </c>
      <c r="RV29" s="120" t="str">
        <f t="shared" si="604"/>
        <v/>
      </c>
      <c r="RW29" s="120" t="str">
        <f t="shared" si="604"/>
        <v/>
      </c>
      <c r="RX29" s="121" t="str">
        <f t="shared" si="604"/>
        <v/>
      </c>
      <c r="RY29" s="119">
        <f t="shared" si="604"/>
        <v>1</v>
      </c>
      <c r="RZ29" s="120" t="str">
        <f t="shared" si="604"/>
        <v/>
      </c>
      <c r="SA29" s="120" t="str">
        <f t="shared" si="604"/>
        <v/>
      </c>
      <c r="SB29" s="120" t="str">
        <f t="shared" si="604"/>
        <v/>
      </c>
      <c r="SC29" s="120" t="str">
        <f t="shared" si="604"/>
        <v/>
      </c>
      <c r="SD29" s="120" t="str">
        <f t="shared" si="604"/>
        <v/>
      </c>
      <c r="SE29" s="120" t="str">
        <f t="shared" si="604"/>
        <v/>
      </c>
      <c r="SF29" s="120" t="str">
        <f t="shared" si="604"/>
        <v/>
      </c>
      <c r="SG29" s="120" t="str">
        <f t="shared" si="604"/>
        <v/>
      </c>
      <c r="SH29" s="120" t="str">
        <f t="shared" si="604"/>
        <v/>
      </c>
      <c r="SI29" s="120" t="str">
        <f t="shared" si="604"/>
        <v/>
      </c>
      <c r="SJ29" s="120" t="str">
        <f t="shared" si="604"/>
        <v/>
      </c>
      <c r="SK29" s="120" t="str">
        <f t="shared" si="604"/>
        <v/>
      </c>
      <c r="SL29" s="120" t="str">
        <f t="shared" si="604"/>
        <v/>
      </c>
      <c r="SM29" s="120" t="str">
        <f t="shared" si="604"/>
        <v/>
      </c>
      <c r="SN29" s="120" t="str">
        <f t="shared" si="604"/>
        <v/>
      </c>
      <c r="SO29" s="120" t="str">
        <f t="shared" si="604"/>
        <v/>
      </c>
      <c r="SP29" s="120" t="str">
        <f t="shared" si="604"/>
        <v/>
      </c>
      <c r="SQ29" s="120" t="str">
        <f t="shared" si="604"/>
        <v/>
      </c>
      <c r="SR29" s="121" t="str">
        <f t="shared" si="604"/>
        <v/>
      </c>
      <c r="SS29" s="119">
        <f t="shared" si="604"/>
        <v>1</v>
      </c>
      <c r="ST29" s="120" t="str">
        <f t="shared" si="604"/>
        <v/>
      </c>
      <c r="SU29" s="120" t="str">
        <f t="shared" si="604"/>
        <v/>
      </c>
      <c r="SV29" s="120" t="str">
        <f t="shared" si="604"/>
        <v/>
      </c>
      <c r="SW29" s="120" t="str">
        <f t="shared" si="604"/>
        <v/>
      </c>
      <c r="SX29" s="120" t="str">
        <f t="shared" si="604"/>
        <v/>
      </c>
      <c r="SY29" s="120" t="str">
        <f t="shared" si="604"/>
        <v/>
      </c>
      <c r="SZ29" s="120" t="str">
        <f t="shared" si="604"/>
        <v/>
      </c>
      <c r="TA29" s="120" t="str">
        <f t="shared" si="604"/>
        <v/>
      </c>
      <c r="TB29" s="120" t="str">
        <f t="shared" si="604"/>
        <v/>
      </c>
      <c r="TC29" s="120" t="str">
        <f t="shared" si="604"/>
        <v/>
      </c>
      <c r="TD29" s="120" t="str">
        <f t="shared" si="604"/>
        <v/>
      </c>
      <c r="TE29" s="120" t="str">
        <f t="shared" si="604"/>
        <v/>
      </c>
      <c r="TF29" s="120" t="str">
        <f t="shared" si="604"/>
        <v/>
      </c>
      <c r="TG29" s="120" t="str">
        <f t="shared" si="604"/>
        <v/>
      </c>
      <c r="TH29" s="120" t="str">
        <f t="shared" si="604"/>
        <v/>
      </c>
      <c r="TI29" s="120" t="str">
        <f t="shared" si="604"/>
        <v/>
      </c>
      <c r="TJ29" s="120" t="str">
        <f t="shared" si="604"/>
        <v/>
      </c>
      <c r="TK29" s="120" t="str">
        <f t="shared" si="604"/>
        <v/>
      </c>
      <c r="TL29" s="121" t="str">
        <f t="shared" si="604"/>
        <v/>
      </c>
      <c r="TM29" s="122">
        <f t="shared" si="604"/>
        <v>2</v>
      </c>
      <c r="TN29" s="123" t="str">
        <f t="shared" si="604"/>
        <v/>
      </c>
      <c r="TO29" s="123" t="str">
        <f t="shared" si="604"/>
        <v/>
      </c>
      <c r="TP29" s="123" t="str">
        <f t="shared" si="604"/>
        <v/>
      </c>
      <c r="TQ29" s="123" t="str">
        <f t="shared" si="604"/>
        <v/>
      </c>
      <c r="TR29" s="123" t="str">
        <f t="shared" si="604"/>
        <v/>
      </c>
      <c r="TS29" s="123" t="str">
        <f t="shared" si="604"/>
        <v/>
      </c>
      <c r="TT29" s="123" t="str">
        <f t="shared" si="604"/>
        <v/>
      </c>
      <c r="TU29" s="123" t="str">
        <f t="shared" si="604"/>
        <v/>
      </c>
      <c r="TV29" s="123" t="str">
        <f t="shared" si="604"/>
        <v/>
      </c>
      <c r="TW29" s="123" t="str">
        <f t="shared" si="604"/>
        <v/>
      </c>
      <c r="TX29" s="123" t="str">
        <f t="shared" si="604"/>
        <v/>
      </c>
      <c r="TY29" s="123" t="str">
        <f t="shared" ref="TY29:WN29" si="605">IFERROR(RANK(TY7,TY7:TY17,0),"")</f>
        <v/>
      </c>
      <c r="TZ29" s="123" t="str">
        <f t="shared" si="605"/>
        <v/>
      </c>
      <c r="UA29" s="123" t="str">
        <f t="shared" si="605"/>
        <v/>
      </c>
      <c r="UB29" s="123" t="str">
        <f t="shared" si="605"/>
        <v/>
      </c>
      <c r="UC29" s="123" t="str">
        <f t="shared" si="605"/>
        <v/>
      </c>
      <c r="UD29" s="123" t="str">
        <f t="shared" si="605"/>
        <v/>
      </c>
      <c r="UE29" s="123" t="str">
        <f t="shared" si="605"/>
        <v/>
      </c>
      <c r="UF29" s="124" t="str">
        <f t="shared" si="605"/>
        <v/>
      </c>
      <c r="UG29" s="122">
        <f t="shared" si="605"/>
        <v>2</v>
      </c>
      <c r="UH29" s="123" t="str">
        <f t="shared" si="605"/>
        <v/>
      </c>
      <c r="UI29" s="123" t="str">
        <f t="shared" si="605"/>
        <v/>
      </c>
      <c r="UJ29" s="123" t="str">
        <f t="shared" si="605"/>
        <v/>
      </c>
      <c r="UK29" s="123" t="str">
        <f t="shared" si="605"/>
        <v/>
      </c>
      <c r="UL29" s="123" t="str">
        <f t="shared" si="605"/>
        <v/>
      </c>
      <c r="UM29" s="123" t="str">
        <f t="shared" si="605"/>
        <v/>
      </c>
      <c r="UN29" s="123" t="str">
        <f t="shared" si="605"/>
        <v/>
      </c>
      <c r="UO29" s="123" t="str">
        <f t="shared" si="605"/>
        <v/>
      </c>
      <c r="UP29" s="123" t="str">
        <f t="shared" si="605"/>
        <v/>
      </c>
      <c r="UQ29" s="123" t="str">
        <f t="shared" si="605"/>
        <v/>
      </c>
      <c r="UR29" s="123" t="str">
        <f t="shared" si="605"/>
        <v/>
      </c>
      <c r="US29" s="123" t="str">
        <f t="shared" si="605"/>
        <v/>
      </c>
      <c r="UT29" s="123" t="str">
        <f t="shared" si="605"/>
        <v/>
      </c>
      <c r="UU29" s="123" t="str">
        <f t="shared" si="605"/>
        <v/>
      </c>
      <c r="UV29" s="123" t="str">
        <f t="shared" si="605"/>
        <v/>
      </c>
      <c r="UW29" s="123" t="str">
        <f t="shared" si="605"/>
        <v/>
      </c>
      <c r="UX29" s="123" t="str">
        <f t="shared" si="605"/>
        <v/>
      </c>
      <c r="UY29" s="123" t="str">
        <f t="shared" si="605"/>
        <v/>
      </c>
      <c r="UZ29" s="124" t="str">
        <f t="shared" si="605"/>
        <v/>
      </c>
      <c r="VA29" s="122">
        <f t="shared" si="605"/>
        <v>2</v>
      </c>
      <c r="VB29" s="123" t="str">
        <f t="shared" si="605"/>
        <v/>
      </c>
      <c r="VC29" s="123" t="str">
        <f t="shared" si="605"/>
        <v/>
      </c>
      <c r="VD29" s="123" t="str">
        <f t="shared" si="605"/>
        <v/>
      </c>
      <c r="VE29" s="123" t="str">
        <f t="shared" si="605"/>
        <v/>
      </c>
      <c r="VF29" s="123" t="str">
        <f t="shared" si="605"/>
        <v/>
      </c>
      <c r="VG29" s="123" t="str">
        <f t="shared" si="605"/>
        <v/>
      </c>
      <c r="VH29" s="123" t="str">
        <f t="shared" si="605"/>
        <v/>
      </c>
      <c r="VI29" s="123" t="str">
        <f t="shared" si="605"/>
        <v/>
      </c>
      <c r="VJ29" s="123" t="str">
        <f t="shared" si="605"/>
        <v/>
      </c>
      <c r="VK29" s="123" t="str">
        <f t="shared" si="605"/>
        <v/>
      </c>
      <c r="VL29" s="123" t="str">
        <f t="shared" si="605"/>
        <v/>
      </c>
      <c r="VM29" s="123" t="str">
        <f t="shared" si="605"/>
        <v/>
      </c>
      <c r="VN29" s="123" t="str">
        <f t="shared" si="605"/>
        <v/>
      </c>
      <c r="VO29" s="123" t="str">
        <f t="shared" si="605"/>
        <v/>
      </c>
      <c r="VP29" s="123" t="str">
        <f t="shared" si="605"/>
        <v/>
      </c>
      <c r="VQ29" s="123" t="str">
        <f t="shared" si="605"/>
        <v/>
      </c>
      <c r="VR29" s="123" t="str">
        <f t="shared" si="605"/>
        <v/>
      </c>
      <c r="VS29" s="123" t="str">
        <f t="shared" si="605"/>
        <v/>
      </c>
      <c r="VT29" s="124" t="str">
        <f t="shared" si="605"/>
        <v/>
      </c>
      <c r="VU29" s="122">
        <f t="shared" si="605"/>
        <v>1</v>
      </c>
      <c r="VV29" s="123" t="str">
        <f t="shared" si="605"/>
        <v/>
      </c>
      <c r="VW29" s="123" t="str">
        <f t="shared" si="605"/>
        <v/>
      </c>
      <c r="VX29" s="123" t="str">
        <f t="shared" si="605"/>
        <v/>
      </c>
      <c r="VY29" s="123" t="str">
        <f t="shared" si="605"/>
        <v/>
      </c>
      <c r="VZ29" s="123" t="str">
        <f t="shared" si="605"/>
        <v/>
      </c>
      <c r="WA29" s="123" t="str">
        <f t="shared" si="605"/>
        <v/>
      </c>
      <c r="WB29" s="123" t="str">
        <f t="shared" si="605"/>
        <v/>
      </c>
      <c r="WC29" s="123" t="str">
        <f t="shared" si="605"/>
        <v/>
      </c>
      <c r="WD29" s="123" t="str">
        <f t="shared" si="605"/>
        <v/>
      </c>
      <c r="WE29" s="123" t="str">
        <f t="shared" si="605"/>
        <v/>
      </c>
      <c r="WF29" s="123" t="str">
        <f t="shared" si="605"/>
        <v/>
      </c>
      <c r="WG29" s="123" t="str">
        <f t="shared" si="605"/>
        <v/>
      </c>
      <c r="WH29" s="123" t="str">
        <f t="shared" si="605"/>
        <v/>
      </c>
      <c r="WI29" s="123" t="str">
        <f t="shared" si="605"/>
        <v/>
      </c>
      <c r="WJ29" s="123" t="str">
        <f t="shared" si="605"/>
        <v/>
      </c>
      <c r="WK29" s="123" t="str">
        <f t="shared" si="605"/>
        <v/>
      </c>
      <c r="WL29" s="123" t="str">
        <f t="shared" si="605"/>
        <v/>
      </c>
      <c r="WM29" s="123" t="str">
        <f t="shared" si="605"/>
        <v/>
      </c>
      <c r="WN29" s="124" t="str">
        <f t="shared" si="605"/>
        <v/>
      </c>
      <c r="WO29" s="122">
        <f t="shared" ref="WO29:XH29" si="606">IFERROR(RANK(WO7,WO7:WO17,0),"")</f>
        <v>2</v>
      </c>
      <c r="WP29" s="123" t="str">
        <f t="shared" si="606"/>
        <v/>
      </c>
      <c r="WQ29" s="123" t="str">
        <f t="shared" si="606"/>
        <v/>
      </c>
      <c r="WR29" s="123" t="str">
        <f t="shared" si="606"/>
        <v/>
      </c>
      <c r="WS29" s="123" t="str">
        <f t="shared" si="606"/>
        <v/>
      </c>
      <c r="WT29" s="123" t="str">
        <f t="shared" si="606"/>
        <v/>
      </c>
      <c r="WU29" s="123" t="str">
        <f t="shared" si="606"/>
        <v/>
      </c>
      <c r="WV29" s="123" t="str">
        <f t="shared" si="606"/>
        <v/>
      </c>
      <c r="WW29" s="123" t="str">
        <f t="shared" si="606"/>
        <v/>
      </c>
      <c r="WX29" s="123" t="str">
        <f t="shared" si="606"/>
        <v/>
      </c>
      <c r="WY29" s="123" t="str">
        <f t="shared" si="606"/>
        <v/>
      </c>
      <c r="WZ29" s="123" t="str">
        <f t="shared" si="606"/>
        <v/>
      </c>
      <c r="XA29" s="123" t="str">
        <f t="shared" si="606"/>
        <v/>
      </c>
      <c r="XB29" s="123" t="str">
        <f t="shared" si="606"/>
        <v/>
      </c>
      <c r="XC29" s="123" t="str">
        <f t="shared" si="606"/>
        <v/>
      </c>
      <c r="XD29" s="123" t="str">
        <f t="shared" si="606"/>
        <v/>
      </c>
      <c r="XE29" s="123" t="str">
        <f t="shared" si="606"/>
        <v/>
      </c>
      <c r="XF29" s="123" t="str">
        <f t="shared" si="606"/>
        <v/>
      </c>
      <c r="XG29" s="123" t="str">
        <f t="shared" si="606"/>
        <v/>
      </c>
      <c r="XH29" s="124" t="str">
        <f t="shared" si="606"/>
        <v/>
      </c>
      <c r="XI29" s="122">
        <f t="shared" ref="XI29:YV29" si="607">IFERROR(RANK(XI7,XI7:XI17,0),"")</f>
        <v>2</v>
      </c>
      <c r="XJ29" s="123" t="str">
        <f t="shared" si="607"/>
        <v/>
      </c>
      <c r="XK29" s="123" t="str">
        <f t="shared" si="607"/>
        <v/>
      </c>
      <c r="XL29" s="123" t="str">
        <f t="shared" si="607"/>
        <v/>
      </c>
      <c r="XM29" s="123" t="str">
        <f t="shared" si="607"/>
        <v/>
      </c>
      <c r="XN29" s="123" t="str">
        <f t="shared" si="607"/>
        <v/>
      </c>
      <c r="XO29" s="123" t="str">
        <f t="shared" si="607"/>
        <v/>
      </c>
      <c r="XP29" s="123" t="str">
        <f t="shared" si="607"/>
        <v/>
      </c>
      <c r="XQ29" s="123" t="str">
        <f t="shared" si="607"/>
        <v/>
      </c>
      <c r="XR29" s="123" t="str">
        <f t="shared" si="607"/>
        <v/>
      </c>
      <c r="XS29" s="123" t="str">
        <f t="shared" si="607"/>
        <v/>
      </c>
      <c r="XT29" s="123" t="str">
        <f t="shared" si="607"/>
        <v/>
      </c>
      <c r="XU29" s="123" t="str">
        <f t="shared" si="607"/>
        <v/>
      </c>
      <c r="XV29" s="123" t="str">
        <f t="shared" si="607"/>
        <v/>
      </c>
      <c r="XW29" s="123" t="str">
        <f t="shared" si="607"/>
        <v/>
      </c>
      <c r="XX29" s="123" t="str">
        <f t="shared" si="607"/>
        <v/>
      </c>
      <c r="XY29" s="123" t="str">
        <f t="shared" si="607"/>
        <v/>
      </c>
      <c r="XZ29" s="123" t="str">
        <f t="shared" si="607"/>
        <v/>
      </c>
      <c r="YA29" s="123" t="str">
        <f t="shared" si="607"/>
        <v/>
      </c>
      <c r="YB29" s="124" t="str">
        <f t="shared" si="607"/>
        <v/>
      </c>
      <c r="YC29" s="122">
        <f t="shared" si="607"/>
        <v>1</v>
      </c>
      <c r="YD29" s="123" t="str">
        <f t="shared" si="607"/>
        <v/>
      </c>
      <c r="YE29" s="123" t="str">
        <f t="shared" si="607"/>
        <v/>
      </c>
      <c r="YF29" s="123" t="str">
        <f t="shared" si="607"/>
        <v/>
      </c>
      <c r="YG29" s="123" t="str">
        <f t="shared" si="607"/>
        <v/>
      </c>
      <c r="YH29" s="123" t="str">
        <f t="shared" si="607"/>
        <v/>
      </c>
      <c r="YI29" s="123" t="str">
        <f t="shared" si="607"/>
        <v/>
      </c>
      <c r="YJ29" s="123" t="str">
        <f t="shared" si="607"/>
        <v/>
      </c>
      <c r="YK29" s="123" t="str">
        <f t="shared" si="607"/>
        <v/>
      </c>
      <c r="YL29" s="123" t="str">
        <f t="shared" si="607"/>
        <v/>
      </c>
      <c r="YM29" s="123" t="str">
        <f t="shared" si="607"/>
        <v/>
      </c>
      <c r="YN29" s="123" t="str">
        <f t="shared" si="607"/>
        <v/>
      </c>
      <c r="YO29" s="123" t="str">
        <f t="shared" si="607"/>
        <v/>
      </c>
      <c r="YP29" s="123" t="str">
        <f t="shared" si="607"/>
        <v/>
      </c>
      <c r="YQ29" s="123" t="str">
        <f t="shared" si="607"/>
        <v/>
      </c>
      <c r="YR29" s="123" t="str">
        <f t="shared" si="607"/>
        <v/>
      </c>
      <c r="YS29" s="123" t="str">
        <f t="shared" si="607"/>
        <v/>
      </c>
      <c r="YT29" s="123" t="str">
        <f t="shared" si="607"/>
        <v/>
      </c>
      <c r="YU29" s="123" t="str">
        <f t="shared" si="607"/>
        <v/>
      </c>
      <c r="YV29" s="124" t="str">
        <f t="shared" si="607"/>
        <v/>
      </c>
      <c r="YW29" s="122">
        <f t="shared" ref="YW29:AAN29" si="608">IFERROR(RANK(YW7,YW7:YW17,0),"")</f>
        <v>2</v>
      </c>
      <c r="YX29" s="123" t="str">
        <f t="shared" si="608"/>
        <v/>
      </c>
      <c r="YY29" s="123" t="str">
        <f t="shared" si="608"/>
        <v/>
      </c>
      <c r="YZ29" s="123" t="str">
        <f t="shared" si="608"/>
        <v/>
      </c>
      <c r="ZA29" s="123" t="str">
        <f t="shared" si="608"/>
        <v/>
      </c>
      <c r="ZB29" s="123" t="str">
        <f t="shared" si="608"/>
        <v/>
      </c>
      <c r="ZC29" s="123" t="str">
        <f t="shared" si="608"/>
        <v/>
      </c>
      <c r="ZD29" s="123" t="str">
        <f t="shared" si="608"/>
        <v/>
      </c>
      <c r="ZE29" s="123" t="str">
        <f t="shared" si="608"/>
        <v/>
      </c>
      <c r="ZF29" s="123" t="str">
        <f t="shared" si="608"/>
        <v/>
      </c>
      <c r="ZG29" s="123" t="str">
        <f t="shared" si="608"/>
        <v/>
      </c>
      <c r="ZH29" s="123" t="str">
        <f t="shared" si="608"/>
        <v/>
      </c>
      <c r="ZI29" s="123" t="str">
        <f t="shared" si="608"/>
        <v/>
      </c>
      <c r="ZJ29" s="123" t="str">
        <f t="shared" si="608"/>
        <v/>
      </c>
      <c r="ZK29" s="123" t="str">
        <f t="shared" si="608"/>
        <v/>
      </c>
      <c r="ZL29" s="123" t="str">
        <f t="shared" si="608"/>
        <v/>
      </c>
      <c r="ZM29" s="123" t="str">
        <f t="shared" si="608"/>
        <v/>
      </c>
      <c r="ZN29" s="123" t="str">
        <f t="shared" si="608"/>
        <v/>
      </c>
      <c r="ZO29" s="123" t="str">
        <f t="shared" si="608"/>
        <v/>
      </c>
      <c r="ZP29" s="124" t="str">
        <f t="shared" si="608"/>
        <v/>
      </c>
      <c r="ZQ29" s="122">
        <f t="shared" si="608"/>
        <v>2</v>
      </c>
      <c r="ZR29" s="123" t="str">
        <f t="shared" si="608"/>
        <v/>
      </c>
      <c r="ZS29" s="123" t="str">
        <f t="shared" si="608"/>
        <v/>
      </c>
      <c r="ZT29" s="123" t="str">
        <f t="shared" si="608"/>
        <v/>
      </c>
      <c r="ZU29" s="123" t="str">
        <f t="shared" si="608"/>
        <v/>
      </c>
      <c r="ZV29" s="123" t="str">
        <f t="shared" si="608"/>
        <v/>
      </c>
      <c r="ZW29" s="123" t="str">
        <f t="shared" si="608"/>
        <v/>
      </c>
      <c r="ZX29" s="123" t="str">
        <f t="shared" si="608"/>
        <v/>
      </c>
      <c r="ZY29" s="123" t="str">
        <f t="shared" si="608"/>
        <v/>
      </c>
      <c r="ZZ29" s="123" t="str">
        <f t="shared" si="608"/>
        <v/>
      </c>
      <c r="AAA29" s="123" t="str">
        <f t="shared" si="608"/>
        <v/>
      </c>
      <c r="AAB29" s="123" t="str">
        <f t="shared" si="608"/>
        <v/>
      </c>
      <c r="AAC29" s="123" t="str">
        <f t="shared" si="608"/>
        <v/>
      </c>
      <c r="AAD29" s="123" t="str">
        <f t="shared" si="608"/>
        <v/>
      </c>
      <c r="AAE29" s="123" t="str">
        <f t="shared" si="608"/>
        <v/>
      </c>
      <c r="AAF29" s="123" t="str">
        <f t="shared" si="608"/>
        <v/>
      </c>
      <c r="AAG29" s="123" t="str">
        <f t="shared" si="608"/>
        <v/>
      </c>
      <c r="AAH29" s="123" t="str">
        <f t="shared" si="608"/>
        <v/>
      </c>
      <c r="AAI29" s="123" t="str">
        <f t="shared" si="608"/>
        <v/>
      </c>
      <c r="AAJ29" s="124" t="str">
        <f t="shared" si="608"/>
        <v/>
      </c>
      <c r="AAK29" s="122">
        <f t="shared" si="608"/>
        <v>2</v>
      </c>
      <c r="AAL29" s="123" t="str">
        <f t="shared" si="608"/>
        <v/>
      </c>
      <c r="AAM29" s="123" t="str">
        <f t="shared" si="608"/>
        <v/>
      </c>
      <c r="AAN29" s="123" t="str">
        <f t="shared" si="608"/>
        <v/>
      </c>
      <c r="AAO29" s="123" t="str">
        <f t="shared" ref="AAO29:ABD29" si="609">IFERROR(RANK(AAO7,AAO7:AAO17,0),"")</f>
        <v/>
      </c>
      <c r="AAP29" s="123" t="str">
        <f t="shared" si="609"/>
        <v/>
      </c>
      <c r="AAQ29" s="123" t="str">
        <f t="shared" si="609"/>
        <v/>
      </c>
      <c r="AAR29" s="123" t="str">
        <f t="shared" si="609"/>
        <v/>
      </c>
      <c r="AAS29" s="123" t="str">
        <f t="shared" si="609"/>
        <v/>
      </c>
      <c r="AAT29" s="123" t="str">
        <f t="shared" si="609"/>
        <v/>
      </c>
      <c r="AAU29" s="123" t="str">
        <f t="shared" si="609"/>
        <v/>
      </c>
      <c r="AAV29" s="123" t="str">
        <f t="shared" si="609"/>
        <v/>
      </c>
      <c r="AAW29" s="123" t="str">
        <f t="shared" si="609"/>
        <v/>
      </c>
      <c r="AAX29" s="123" t="str">
        <f t="shared" si="609"/>
        <v/>
      </c>
      <c r="AAY29" s="123" t="str">
        <f t="shared" si="609"/>
        <v/>
      </c>
      <c r="AAZ29" s="123" t="str">
        <f t="shared" si="609"/>
        <v/>
      </c>
      <c r="ABA29" s="123" t="str">
        <f t="shared" si="609"/>
        <v/>
      </c>
      <c r="ABB29" s="123" t="str">
        <f t="shared" si="609"/>
        <v/>
      </c>
      <c r="ABC29" s="123" t="str">
        <f t="shared" si="609"/>
        <v/>
      </c>
      <c r="ABD29" s="124" t="str">
        <f t="shared" si="609"/>
        <v/>
      </c>
      <c r="ABE29" s="122">
        <f t="shared" ref="ABE29:ACR29" si="610">IFERROR(RANK(ABE7,ABE7:ABE17,0),"")</f>
        <v>1</v>
      </c>
      <c r="ABF29" s="123" t="str">
        <f t="shared" si="610"/>
        <v/>
      </c>
      <c r="ABG29" s="123" t="str">
        <f t="shared" si="610"/>
        <v/>
      </c>
      <c r="ABH29" s="123" t="str">
        <f t="shared" si="610"/>
        <v/>
      </c>
      <c r="ABI29" s="123" t="str">
        <f t="shared" si="610"/>
        <v/>
      </c>
      <c r="ABJ29" s="123" t="str">
        <f t="shared" si="610"/>
        <v/>
      </c>
      <c r="ABK29" s="123" t="str">
        <f t="shared" si="610"/>
        <v/>
      </c>
      <c r="ABL29" s="123" t="str">
        <f t="shared" si="610"/>
        <v/>
      </c>
      <c r="ABM29" s="123" t="str">
        <f t="shared" si="610"/>
        <v/>
      </c>
      <c r="ABN29" s="123" t="str">
        <f t="shared" si="610"/>
        <v/>
      </c>
      <c r="ABO29" s="123" t="str">
        <f t="shared" si="610"/>
        <v/>
      </c>
      <c r="ABP29" s="123" t="str">
        <f t="shared" si="610"/>
        <v/>
      </c>
      <c r="ABQ29" s="123" t="str">
        <f t="shared" si="610"/>
        <v/>
      </c>
      <c r="ABR29" s="123" t="str">
        <f t="shared" si="610"/>
        <v/>
      </c>
      <c r="ABS29" s="123" t="str">
        <f t="shared" si="610"/>
        <v/>
      </c>
      <c r="ABT29" s="123" t="str">
        <f t="shared" si="610"/>
        <v/>
      </c>
      <c r="ABU29" s="123" t="str">
        <f t="shared" si="610"/>
        <v/>
      </c>
      <c r="ABV29" s="123" t="str">
        <f t="shared" si="610"/>
        <v/>
      </c>
      <c r="ABW29" s="123" t="str">
        <f t="shared" si="610"/>
        <v/>
      </c>
      <c r="ABX29" s="124" t="str">
        <f t="shared" si="610"/>
        <v/>
      </c>
      <c r="ABY29" s="119">
        <f t="shared" si="610"/>
        <v>2</v>
      </c>
      <c r="ABZ29" s="120" t="str">
        <f t="shared" si="610"/>
        <v/>
      </c>
      <c r="ACA29" s="120" t="str">
        <f t="shared" si="610"/>
        <v/>
      </c>
      <c r="ACB29" s="120" t="str">
        <f t="shared" si="610"/>
        <v/>
      </c>
      <c r="ACC29" s="120" t="str">
        <f t="shared" si="610"/>
        <v/>
      </c>
      <c r="ACD29" s="120" t="str">
        <f t="shared" si="610"/>
        <v/>
      </c>
      <c r="ACE29" s="120" t="str">
        <f t="shared" si="610"/>
        <v/>
      </c>
      <c r="ACF29" s="120" t="str">
        <f t="shared" si="610"/>
        <v/>
      </c>
      <c r="ACG29" s="120" t="str">
        <f t="shared" si="610"/>
        <v/>
      </c>
      <c r="ACH29" s="120" t="str">
        <f t="shared" si="610"/>
        <v/>
      </c>
      <c r="ACI29" s="120" t="str">
        <f t="shared" si="610"/>
        <v/>
      </c>
      <c r="ACJ29" s="120" t="str">
        <f t="shared" si="610"/>
        <v/>
      </c>
      <c r="ACK29" s="120" t="str">
        <f t="shared" si="610"/>
        <v/>
      </c>
      <c r="ACL29" s="120" t="str">
        <f t="shared" si="610"/>
        <v/>
      </c>
      <c r="ACM29" s="120" t="str">
        <f t="shared" si="610"/>
        <v/>
      </c>
      <c r="ACN29" s="120" t="str">
        <f t="shared" si="610"/>
        <v/>
      </c>
      <c r="ACO29" s="120" t="str">
        <f t="shared" si="610"/>
        <v/>
      </c>
      <c r="ACP29" s="120" t="str">
        <f t="shared" si="610"/>
        <v/>
      </c>
      <c r="ACQ29" s="120" t="str">
        <f t="shared" si="610"/>
        <v/>
      </c>
      <c r="ACR29" s="121" t="str">
        <f t="shared" si="610"/>
        <v/>
      </c>
    </row>
    <row r="30" spans="1:772" s="97" customFormat="1" ht="15" customHeight="1" x14ac:dyDescent="0.2">
      <c r="A30" s="125" t="s">
        <v>81</v>
      </c>
      <c r="B30" s="126"/>
      <c r="C30" s="126"/>
      <c r="D30" s="126"/>
      <c r="E30" s="127"/>
      <c r="F30" s="127"/>
      <c r="G30" s="327" t="str">
        <f t="shared" ref="G30:O30" si="611">IFERROR(IF(G23="","",INDEX($C$7:$C$17,MATCH(G23,G7:G17,0),1)),"")</f>
        <v>Costco</v>
      </c>
      <c r="H30" s="327" t="str">
        <f t="shared" si="611"/>
        <v>Costco</v>
      </c>
      <c r="I30" s="327" t="str">
        <f t="shared" si="611"/>
        <v>Walmart</v>
      </c>
      <c r="J30" s="327" t="str">
        <f t="shared" si="611"/>
        <v>Walmart</v>
      </c>
      <c r="K30" s="327" t="str">
        <f t="shared" si="611"/>
        <v>Walmart</v>
      </c>
      <c r="L30" s="327" t="str">
        <f t="shared" si="611"/>
        <v>Costco</v>
      </c>
      <c r="M30" s="327" t="str">
        <f t="shared" si="611"/>
        <v>Walmart</v>
      </c>
      <c r="N30" s="327" t="str">
        <f t="shared" si="611"/>
        <v>Costco</v>
      </c>
      <c r="O30" s="327" t="str">
        <f t="shared" si="611"/>
        <v>Costco</v>
      </c>
      <c r="P30" s="327" t="str">
        <f>IFERROR(IF(P23="","",INDEX($C$7:$C$17,MATCH(P23,P7:P17,0),1)),"")</f>
        <v>Walmart</v>
      </c>
      <c r="Q30" s="327" t="str">
        <f t="shared" ref="Q30:AE30" si="612">IFERROR(IF(Q23="","",INDEX($C$7:$C$17,MATCH(Q23,Q7:Q17,0),1)),"")</f>
        <v>Costco</v>
      </c>
      <c r="R30" s="327" t="str">
        <f t="shared" si="612"/>
        <v>Costco</v>
      </c>
      <c r="S30" s="327" t="str">
        <f t="shared" si="612"/>
        <v>Walmart</v>
      </c>
      <c r="T30" s="327" t="str">
        <f t="shared" si="612"/>
        <v>Costco</v>
      </c>
      <c r="U30" s="327" t="str">
        <f t="shared" si="612"/>
        <v>Costco</v>
      </c>
      <c r="V30" s="327" t="str">
        <f t="shared" si="612"/>
        <v>Costco</v>
      </c>
      <c r="W30" s="327" t="str">
        <f t="shared" si="612"/>
        <v>Costco</v>
      </c>
      <c r="X30" s="327" t="str">
        <f t="shared" si="612"/>
        <v>Costco</v>
      </c>
      <c r="Y30" s="327" t="str">
        <f t="shared" si="612"/>
        <v>Costco</v>
      </c>
      <c r="Z30" s="327" t="str">
        <f t="shared" si="612"/>
        <v>Costco</v>
      </c>
      <c r="AA30" s="327" t="str">
        <f t="shared" si="612"/>
        <v>Walmart</v>
      </c>
      <c r="AB30" s="327" t="str">
        <f t="shared" si="612"/>
        <v>Costco</v>
      </c>
      <c r="AC30" s="327" t="str">
        <f t="shared" si="612"/>
        <v>Costco</v>
      </c>
      <c r="AD30" s="327" t="str">
        <f t="shared" si="612"/>
        <v>Costco</v>
      </c>
      <c r="AE30" s="328" t="str">
        <f t="shared" si="612"/>
        <v>Costco</v>
      </c>
      <c r="AF30" s="129"/>
      <c r="AG30" s="326" t="str">
        <f t="shared" ref="AG30:CR30" si="613">IFERROR(INDEX($C$7:$C$17,MATCH(AG23,AG7:AG17,0),1),"")</f>
        <v>Walmart</v>
      </c>
      <c r="AH30" s="327" t="str">
        <f t="shared" si="613"/>
        <v/>
      </c>
      <c r="AI30" s="327" t="str">
        <f t="shared" si="613"/>
        <v/>
      </c>
      <c r="AJ30" s="327" t="str">
        <f t="shared" si="613"/>
        <v/>
      </c>
      <c r="AK30" s="327" t="str">
        <f t="shared" si="613"/>
        <v/>
      </c>
      <c r="AL30" s="327" t="str">
        <f t="shared" si="613"/>
        <v/>
      </c>
      <c r="AM30" s="327" t="str">
        <f t="shared" si="613"/>
        <v/>
      </c>
      <c r="AN30" s="327" t="str">
        <f t="shared" si="613"/>
        <v/>
      </c>
      <c r="AO30" s="327" t="str">
        <f t="shared" si="613"/>
        <v/>
      </c>
      <c r="AP30" s="327" t="str">
        <f t="shared" si="613"/>
        <v/>
      </c>
      <c r="AQ30" s="327" t="str">
        <f t="shared" si="613"/>
        <v/>
      </c>
      <c r="AR30" s="327" t="str">
        <f t="shared" si="613"/>
        <v/>
      </c>
      <c r="AS30" s="327" t="str">
        <f t="shared" si="613"/>
        <v/>
      </c>
      <c r="AT30" s="327" t="str">
        <f t="shared" si="613"/>
        <v/>
      </c>
      <c r="AU30" s="327" t="str">
        <f t="shared" si="613"/>
        <v/>
      </c>
      <c r="AV30" s="327" t="str">
        <f t="shared" si="613"/>
        <v/>
      </c>
      <c r="AW30" s="327" t="str">
        <f t="shared" si="613"/>
        <v/>
      </c>
      <c r="AX30" s="327" t="str">
        <f t="shared" si="613"/>
        <v/>
      </c>
      <c r="AY30" s="327" t="str">
        <f t="shared" si="613"/>
        <v/>
      </c>
      <c r="AZ30" s="328" t="str">
        <f t="shared" si="613"/>
        <v/>
      </c>
      <c r="BA30" s="329" t="str">
        <f t="shared" si="613"/>
        <v>Walmart</v>
      </c>
      <c r="BB30" s="327" t="str">
        <f t="shared" si="613"/>
        <v/>
      </c>
      <c r="BC30" s="327" t="str">
        <f t="shared" si="613"/>
        <v/>
      </c>
      <c r="BD30" s="327" t="str">
        <f t="shared" si="613"/>
        <v/>
      </c>
      <c r="BE30" s="327" t="str">
        <f t="shared" si="613"/>
        <v/>
      </c>
      <c r="BF30" s="327" t="str">
        <f t="shared" si="613"/>
        <v/>
      </c>
      <c r="BG30" s="327" t="str">
        <f t="shared" si="613"/>
        <v/>
      </c>
      <c r="BH30" s="327" t="str">
        <f t="shared" si="613"/>
        <v/>
      </c>
      <c r="BI30" s="327" t="str">
        <f t="shared" si="613"/>
        <v/>
      </c>
      <c r="BJ30" s="327" t="str">
        <f t="shared" si="613"/>
        <v/>
      </c>
      <c r="BK30" s="327" t="str">
        <f t="shared" si="613"/>
        <v/>
      </c>
      <c r="BL30" s="327" t="str">
        <f t="shared" si="613"/>
        <v/>
      </c>
      <c r="BM30" s="327" t="str">
        <f t="shared" si="613"/>
        <v/>
      </c>
      <c r="BN30" s="327" t="str">
        <f t="shared" si="613"/>
        <v/>
      </c>
      <c r="BO30" s="327" t="str">
        <f t="shared" si="613"/>
        <v/>
      </c>
      <c r="BP30" s="327" t="str">
        <f t="shared" si="613"/>
        <v/>
      </c>
      <c r="BQ30" s="327" t="str">
        <f t="shared" si="613"/>
        <v/>
      </c>
      <c r="BR30" s="327" t="str">
        <f t="shared" si="613"/>
        <v/>
      </c>
      <c r="BS30" s="327" t="str">
        <f t="shared" si="613"/>
        <v/>
      </c>
      <c r="BT30" s="328" t="str">
        <f t="shared" si="613"/>
        <v/>
      </c>
      <c r="BU30" s="329" t="str">
        <f t="shared" si="613"/>
        <v>Walmart</v>
      </c>
      <c r="BV30" s="327" t="str">
        <f t="shared" si="613"/>
        <v/>
      </c>
      <c r="BW30" s="327" t="str">
        <f t="shared" si="613"/>
        <v/>
      </c>
      <c r="BX30" s="327" t="str">
        <f t="shared" si="613"/>
        <v/>
      </c>
      <c r="BY30" s="327" t="str">
        <f t="shared" si="613"/>
        <v/>
      </c>
      <c r="BZ30" s="327" t="str">
        <f t="shared" si="613"/>
        <v/>
      </c>
      <c r="CA30" s="327" t="str">
        <f t="shared" si="613"/>
        <v/>
      </c>
      <c r="CB30" s="327" t="str">
        <f t="shared" si="613"/>
        <v/>
      </c>
      <c r="CC30" s="327" t="str">
        <f t="shared" si="613"/>
        <v/>
      </c>
      <c r="CD30" s="327" t="str">
        <f t="shared" si="613"/>
        <v/>
      </c>
      <c r="CE30" s="327" t="str">
        <f t="shared" si="613"/>
        <v/>
      </c>
      <c r="CF30" s="327" t="str">
        <f t="shared" si="613"/>
        <v/>
      </c>
      <c r="CG30" s="327" t="str">
        <f t="shared" si="613"/>
        <v/>
      </c>
      <c r="CH30" s="327" t="str">
        <f t="shared" si="613"/>
        <v/>
      </c>
      <c r="CI30" s="327" t="str">
        <f t="shared" si="613"/>
        <v/>
      </c>
      <c r="CJ30" s="327" t="str">
        <f t="shared" si="613"/>
        <v/>
      </c>
      <c r="CK30" s="327" t="str">
        <f t="shared" si="613"/>
        <v/>
      </c>
      <c r="CL30" s="327" t="str">
        <f t="shared" si="613"/>
        <v/>
      </c>
      <c r="CM30" s="327" t="str">
        <f t="shared" si="613"/>
        <v/>
      </c>
      <c r="CN30" s="328" t="str">
        <f t="shared" si="613"/>
        <v/>
      </c>
      <c r="CO30" s="329" t="str">
        <f t="shared" si="613"/>
        <v>Costco</v>
      </c>
      <c r="CP30" s="327" t="str">
        <f t="shared" si="613"/>
        <v/>
      </c>
      <c r="CQ30" s="327" t="str">
        <f t="shared" si="613"/>
        <v/>
      </c>
      <c r="CR30" s="327" t="str">
        <f t="shared" si="613"/>
        <v/>
      </c>
      <c r="CS30" s="327" t="str">
        <f t="shared" ref="CS30:FD30" si="614">IFERROR(INDEX($C$7:$C$17,MATCH(CS23,CS7:CS17,0),1),"")</f>
        <v/>
      </c>
      <c r="CT30" s="327" t="str">
        <f t="shared" si="614"/>
        <v/>
      </c>
      <c r="CU30" s="327" t="str">
        <f t="shared" si="614"/>
        <v/>
      </c>
      <c r="CV30" s="327" t="str">
        <f t="shared" si="614"/>
        <v/>
      </c>
      <c r="CW30" s="327" t="str">
        <f t="shared" si="614"/>
        <v/>
      </c>
      <c r="CX30" s="327" t="str">
        <f t="shared" si="614"/>
        <v/>
      </c>
      <c r="CY30" s="327" t="str">
        <f t="shared" si="614"/>
        <v/>
      </c>
      <c r="CZ30" s="327" t="str">
        <f t="shared" si="614"/>
        <v/>
      </c>
      <c r="DA30" s="327" t="str">
        <f t="shared" si="614"/>
        <v/>
      </c>
      <c r="DB30" s="327" t="str">
        <f t="shared" si="614"/>
        <v/>
      </c>
      <c r="DC30" s="327" t="str">
        <f t="shared" si="614"/>
        <v/>
      </c>
      <c r="DD30" s="327" t="str">
        <f t="shared" si="614"/>
        <v/>
      </c>
      <c r="DE30" s="327" t="str">
        <f t="shared" si="614"/>
        <v/>
      </c>
      <c r="DF30" s="327" t="str">
        <f t="shared" si="614"/>
        <v/>
      </c>
      <c r="DG30" s="327" t="str">
        <f t="shared" si="614"/>
        <v/>
      </c>
      <c r="DH30" s="328" t="str">
        <f t="shared" si="614"/>
        <v/>
      </c>
      <c r="DI30" s="329" t="str">
        <f t="shared" si="614"/>
        <v>Walmart</v>
      </c>
      <c r="DJ30" s="327" t="str">
        <f t="shared" si="614"/>
        <v/>
      </c>
      <c r="DK30" s="327" t="str">
        <f t="shared" si="614"/>
        <v/>
      </c>
      <c r="DL30" s="327" t="str">
        <f t="shared" si="614"/>
        <v/>
      </c>
      <c r="DM30" s="327" t="str">
        <f t="shared" si="614"/>
        <v/>
      </c>
      <c r="DN30" s="327" t="str">
        <f t="shared" si="614"/>
        <v/>
      </c>
      <c r="DO30" s="327" t="str">
        <f t="shared" si="614"/>
        <v/>
      </c>
      <c r="DP30" s="327" t="str">
        <f t="shared" si="614"/>
        <v/>
      </c>
      <c r="DQ30" s="327" t="str">
        <f t="shared" si="614"/>
        <v/>
      </c>
      <c r="DR30" s="327" t="str">
        <f t="shared" si="614"/>
        <v/>
      </c>
      <c r="DS30" s="327" t="str">
        <f t="shared" si="614"/>
        <v/>
      </c>
      <c r="DT30" s="327" t="str">
        <f t="shared" si="614"/>
        <v/>
      </c>
      <c r="DU30" s="327" t="str">
        <f t="shared" si="614"/>
        <v/>
      </c>
      <c r="DV30" s="327" t="str">
        <f t="shared" si="614"/>
        <v/>
      </c>
      <c r="DW30" s="327" t="str">
        <f t="shared" si="614"/>
        <v/>
      </c>
      <c r="DX30" s="327" t="str">
        <f t="shared" si="614"/>
        <v/>
      </c>
      <c r="DY30" s="327" t="str">
        <f t="shared" si="614"/>
        <v/>
      </c>
      <c r="DZ30" s="327" t="str">
        <f t="shared" si="614"/>
        <v/>
      </c>
      <c r="EA30" s="327" t="str">
        <f t="shared" si="614"/>
        <v/>
      </c>
      <c r="EB30" s="328" t="str">
        <f t="shared" si="614"/>
        <v/>
      </c>
      <c r="EC30" s="329" t="str">
        <f t="shared" si="614"/>
        <v>Costco</v>
      </c>
      <c r="ED30" s="327" t="str">
        <f t="shared" si="614"/>
        <v/>
      </c>
      <c r="EE30" s="327" t="str">
        <f t="shared" si="614"/>
        <v/>
      </c>
      <c r="EF30" s="327" t="str">
        <f t="shared" si="614"/>
        <v/>
      </c>
      <c r="EG30" s="327" t="str">
        <f t="shared" si="614"/>
        <v/>
      </c>
      <c r="EH30" s="327" t="str">
        <f t="shared" si="614"/>
        <v/>
      </c>
      <c r="EI30" s="327" t="str">
        <f t="shared" si="614"/>
        <v/>
      </c>
      <c r="EJ30" s="327" t="str">
        <f t="shared" si="614"/>
        <v/>
      </c>
      <c r="EK30" s="327" t="str">
        <f t="shared" si="614"/>
        <v/>
      </c>
      <c r="EL30" s="327" t="str">
        <f t="shared" si="614"/>
        <v/>
      </c>
      <c r="EM30" s="327" t="str">
        <f t="shared" si="614"/>
        <v/>
      </c>
      <c r="EN30" s="327" t="str">
        <f t="shared" si="614"/>
        <v/>
      </c>
      <c r="EO30" s="327" t="str">
        <f t="shared" si="614"/>
        <v/>
      </c>
      <c r="EP30" s="327" t="str">
        <f t="shared" si="614"/>
        <v/>
      </c>
      <c r="EQ30" s="327" t="str">
        <f t="shared" si="614"/>
        <v/>
      </c>
      <c r="ER30" s="327" t="str">
        <f t="shared" si="614"/>
        <v/>
      </c>
      <c r="ES30" s="327" t="str">
        <f t="shared" si="614"/>
        <v/>
      </c>
      <c r="ET30" s="327" t="str">
        <f t="shared" si="614"/>
        <v/>
      </c>
      <c r="EU30" s="327" t="str">
        <f t="shared" si="614"/>
        <v/>
      </c>
      <c r="EV30" s="328" t="str">
        <f t="shared" si="614"/>
        <v/>
      </c>
      <c r="EW30" s="329" t="str">
        <f t="shared" si="614"/>
        <v>Costco</v>
      </c>
      <c r="EX30" s="327" t="str">
        <f t="shared" si="614"/>
        <v/>
      </c>
      <c r="EY30" s="327" t="str">
        <f t="shared" si="614"/>
        <v/>
      </c>
      <c r="EZ30" s="327" t="str">
        <f t="shared" si="614"/>
        <v/>
      </c>
      <c r="FA30" s="327" t="str">
        <f t="shared" si="614"/>
        <v/>
      </c>
      <c r="FB30" s="327" t="str">
        <f t="shared" si="614"/>
        <v/>
      </c>
      <c r="FC30" s="327" t="str">
        <f t="shared" si="614"/>
        <v/>
      </c>
      <c r="FD30" s="327" t="str">
        <f t="shared" si="614"/>
        <v/>
      </c>
      <c r="FE30" s="327" t="str">
        <f t="shared" ref="FE30:HP30" si="615">IFERROR(INDEX($C$7:$C$17,MATCH(FE23,FE7:FE17,0),1),"")</f>
        <v/>
      </c>
      <c r="FF30" s="327" t="str">
        <f t="shared" si="615"/>
        <v/>
      </c>
      <c r="FG30" s="327" t="str">
        <f t="shared" si="615"/>
        <v/>
      </c>
      <c r="FH30" s="327" t="str">
        <f t="shared" si="615"/>
        <v/>
      </c>
      <c r="FI30" s="327" t="str">
        <f t="shared" si="615"/>
        <v/>
      </c>
      <c r="FJ30" s="327" t="str">
        <f t="shared" si="615"/>
        <v/>
      </c>
      <c r="FK30" s="327" t="str">
        <f t="shared" si="615"/>
        <v/>
      </c>
      <c r="FL30" s="327" t="str">
        <f t="shared" si="615"/>
        <v/>
      </c>
      <c r="FM30" s="327" t="str">
        <f t="shared" si="615"/>
        <v/>
      </c>
      <c r="FN30" s="327" t="str">
        <f t="shared" si="615"/>
        <v/>
      </c>
      <c r="FO30" s="327" t="str">
        <f t="shared" si="615"/>
        <v/>
      </c>
      <c r="FP30" s="328" t="str">
        <f t="shared" si="615"/>
        <v/>
      </c>
      <c r="FQ30" s="329" t="str">
        <f t="shared" si="615"/>
        <v>Walmart</v>
      </c>
      <c r="FR30" s="327" t="str">
        <f t="shared" si="615"/>
        <v/>
      </c>
      <c r="FS30" s="327" t="str">
        <f t="shared" si="615"/>
        <v/>
      </c>
      <c r="FT30" s="327" t="str">
        <f t="shared" si="615"/>
        <v/>
      </c>
      <c r="FU30" s="327" t="str">
        <f t="shared" si="615"/>
        <v/>
      </c>
      <c r="FV30" s="327" t="str">
        <f t="shared" si="615"/>
        <v/>
      </c>
      <c r="FW30" s="327" t="str">
        <f t="shared" si="615"/>
        <v/>
      </c>
      <c r="FX30" s="327" t="str">
        <f t="shared" si="615"/>
        <v/>
      </c>
      <c r="FY30" s="327" t="str">
        <f t="shared" si="615"/>
        <v/>
      </c>
      <c r="FZ30" s="327" t="str">
        <f t="shared" si="615"/>
        <v/>
      </c>
      <c r="GA30" s="327" t="str">
        <f t="shared" si="615"/>
        <v/>
      </c>
      <c r="GB30" s="327" t="str">
        <f t="shared" si="615"/>
        <v/>
      </c>
      <c r="GC30" s="327" t="str">
        <f t="shared" si="615"/>
        <v/>
      </c>
      <c r="GD30" s="327" t="str">
        <f t="shared" si="615"/>
        <v/>
      </c>
      <c r="GE30" s="327" t="str">
        <f t="shared" si="615"/>
        <v/>
      </c>
      <c r="GF30" s="327" t="str">
        <f t="shared" si="615"/>
        <v/>
      </c>
      <c r="GG30" s="327" t="str">
        <f t="shared" si="615"/>
        <v/>
      </c>
      <c r="GH30" s="327" t="str">
        <f t="shared" si="615"/>
        <v/>
      </c>
      <c r="GI30" s="327" t="str">
        <f t="shared" si="615"/>
        <v/>
      </c>
      <c r="GJ30" s="328" t="str">
        <f t="shared" si="615"/>
        <v/>
      </c>
      <c r="GK30" s="604" t="str">
        <f t="shared" si="615"/>
        <v>Costco</v>
      </c>
      <c r="GL30" s="605" t="str">
        <f t="shared" si="615"/>
        <v/>
      </c>
      <c r="GM30" s="605" t="str">
        <f t="shared" si="615"/>
        <v/>
      </c>
      <c r="GN30" s="605" t="str">
        <f t="shared" si="615"/>
        <v/>
      </c>
      <c r="GO30" s="605" t="str">
        <f t="shared" si="615"/>
        <v/>
      </c>
      <c r="GP30" s="605" t="str">
        <f t="shared" si="615"/>
        <v/>
      </c>
      <c r="GQ30" s="605" t="str">
        <f t="shared" si="615"/>
        <v/>
      </c>
      <c r="GR30" s="605" t="str">
        <f t="shared" si="615"/>
        <v/>
      </c>
      <c r="GS30" s="605" t="str">
        <f t="shared" si="615"/>
        <v/>
      </c>
      <c r="GT30" s="605" t="str">
        <f t="shared" si="615"/>
        <v/>
      </c>
      <c r="GU30" s="605" t="str">
        <f t="shared" si="615"/>
        <v/>
      </c>
      <c r="GV30" s="605" t="str">
        <f t="shared" si="615"/>
        <v/>
      </c>
      <c r="GW30" s="605" t="str">
        <f t="shared" si="615"/>
        <v/>
      </c>
      <c r="GX30" s="605" t="str">
        <f t="shared" si="615"/>
        <v/>
      </c>
      <c r="GY30" s="605" t="str">
        <f t="shared" si="615"/>
        <v/>
      </c>
      <c r="GZ30" s="605" t="str">
        <f t="shared" si="615"/>
        <v/>
      </c>
      <c r="HA30" s="605" t="str">
        <f t="shared" si="615"/>
        <v/>
      </c>
      <c r="HB30" s="605" t="str">
        <f t="shared" si="615"/>
        <v/>
      </c>
      <c r="HC30" s="605" t="str">
        <f t="shared" si="615"/>
        <v/>
      </c>
      <c r="HD30" s="606" t="str">
        <f t="shared" si="615"/>
        <v/>
      </c>
      <c r="HE30" s="604" t="str">
        <f t="shared" si="615"/>
        <v>Costco</v>
      </c>
      <c r="HF30" s="605" t="str">
        <f t="shared" si="615"/>
        <v/>
      </c>
      <c r="HG30" s="605" t="str">
        <f t="shared" si="615"/>
        <v/>
      </c>
      <c r="HH30" s="605" t="str">
        <f t="shared" si="615"/>
        <v/>
      </c>
      <c r="HI30" s="605" t="str">
        <f t="shared" si="615"/>
        <v/>
      </c>
      <c r="HJ30" s="605" t="str">
        <f t="shared" si="615"/>
        <v/>
      </c>
      <c r="HK30" s="605" t="str">
        <f t="shared" si="615"/>
        <v/>
      </c>
      <c r="HL30" s="605" t="str">
        <f t="shared" si="615"/>
        <v/>
      </c>
      <c r="HM30" s="605" t="str">
        <f t="shared" si="615"/>
        <v/>
      </c>
      <c r="HN30" s="605" t="str">
        <f t="shared" si="615"/>
        <v/>
      </c>
      <c r="HO30" s="605" t="str">
        <f t="shared" si="615"/>
        <v/>
      </c>
      <c r="HP30" s="605" t="str">
        <f t="shared" si="615"/>
        <v/>
      </c>
      <c r="HQ30" s="605" t="str">
        <f t="shared" ref="HQ30:KB30" si="616">IFERROR(INDEX($C$7:$C$17,MATCH(HQ23,HQ7:HQ17,0),1),"")</f>
        <v/>
      </c>
      <c r="HR30" s="605" t="str">
        <f t="shared" si="616"/>
        <v/>
      </c>
      <c r="HS30" s="605" t="str">
        <f t="shared" si="616"/>
        <v/>
      </c>
      <c r="HT30" s="605" t="str">
        <f t="shared" si="616"/>
        <v/>
      </c>
      <c r="HU30" s="605" t="str">
        <f t="shared" si="616"/>
        <v/>
      </c>
      <c r="HV30" s="605" t="str">
        <f t="shared" si="616"/>
        <v/>
      </c>
      <c r="HW30" s="605" t="str">
        <f t="shared" si="616"/>
        <v/>
      </c>
      <c r="HX30" s="606" t="str">
        <f t="shared" si="616"/>
        <v/>
      </c>
      <c r="HY30" s="604" t="str">
        <f t="shared" si="616"/>
        <v>Walmart</v>
      </c>
      <c r="HZ30" s="605" t="str">
        <f t="shared" si="616"/>
        <v/>
      </c>
      <c r="IA30" s="605" t="str">
        <f t="shared" si="616"/>
        <v/>
      </c>
      <c r="IB30" s="605" t="str">
        <f t="shared" si="616"/>
        <v/>
      </c>
      <c r="IC30" s="605" t="str">
        <f t="shared" si="616"/>
        <v/>
      </c>
      <c r="ID30" s="605" t="str">
        <f t="shared" si="616"/>
        <v/>
      </c>
      <c r="IE30" s="605" t="str">
        <f t="shared" si="616"/>
        <v/>
      </c>
      <c r="IF30" s="605" t="str">
        <f t="shared" si="616"/>
        <v/>
      </c>
      <c r="IG30" s="605" t="str">
        <f t="shared" si="616"/>
        <v/>
      </c>
      <c r="IH30" s="605" t="str">
        <f t="shared" si="616"/>
        <v/>
      </c>
      <c r="II30" s="605" t="str">
        <f t="shared" si="616"/>
        <v/>
      </c>
      <c r="IJ30" s="605" t="str">
        <f t="shared" si="616"/>
        <v/>
      </c>
      <c r="IK30" s="605" t="str">
        <f t="shared" si="616"/>
        <v/>
      </c>
      <c r="IL30" s="605" t="str">
        <f t="shared" si="616"/>
        <v/>
      </c>
      <c r="IM30" s="605" t="str">
        <f t="shared" si="616"/>
        <v/>
      </c>
      <c r="IN30" s="605" t="str">
        <f t="shared" si="616"/>
        <v/>
      </c>
      <c r="IO30" s="605" t="str">
        <f t="shared" si="616"/>
        <v/>
      </c>
      <c r="IP30" s="605" t="str">
        <f t="shared" si="616"/>
        <v/>
      </c>
      <c r="IQ30" s="605" t="str">
        <f t="shared" si="616"/>
        <v/>
      </c>
      <c r="IR30" s="606" t="str">
        <f t="shared" si="616"/>
        <v/>
      </c>
      <c r="IS30" s="604" t="str">
        <f t="shared" si="616"/>
        <v>Costco</v>
      </c>
      <c r="IT30" s="605" t="str">
        <f t="shared" si="616"/>
        <v/>
      </c>
      <c r="IU30" s="605" t="str">
        <f t="shared" si="616"/>
        <v/>
      </c>
      <c r="IV30" s="605" t="str">
        <f t="shared" si="616"/>
        <v/>
      </c>
      <c r="IW30" s="605" t="str">
        <f t="shared" si="616"/>
        <v/>
      </c>
      <c r="IX30" s="605" t="str">
        <f t="shared" si="616"/>
        <v/>
      </c>
      <c r="IY30" s="605" t="str">
        <f t="shared" si="616"/>
        <v/>
      </c>
      <c r="IZ30" s="605" t="str">
        <f t="shared" si="616"/>
        <v/>
      </c>
      <c r="JA30" s="605" t="str">
        <f t="shared" si="616"/>
        <v/>
      </c>
      <c r="JB30" s="605" t="str">
        <f t="shared" si="616"/>
        <v/>
      </c>
      <c r="JC30" s="605" t="str">
        <f t="shared" si="616"/>
        <v/>
      </c>
      <c r="JD30" s="605" t="str">
        <f t="shared" si="616"/>
        <v/>
      </c>
      <c r="JE30" s="605" t="str">
        <f t="shared" si="616"/>
        <v/>
      </c>
      <c r="JF30" s="605" t="str">
        <f t="shared" si="616"/>
        <v/>
      </c>
      <c r="JG30" s="605" t="str">
        <f t="shared" si="616"/>
        <v/>
      </c>
      <c r="JH30" s="605" t="str">
        <f t="shared" si="616"/>
        <v/>
      </c>
      <c r="JI30" s="605" t="str">
        <f t="shared" si="616"/>
        <v/>
      </c>
      <c r="JJ30" s="605" t="str">
        <f t="shared" si="616"/>
        <v/>
      </c>
      <c r="JK30" s="605" t="str">
        <f t="shared" si="616"/>
        <v/>
      </c>
      <c r="JL30" s="606" t="str">
        <f t="shared" si="616"/>
        <v/>
      </c>
      <c r="JM30" s="329" t="str">
        <f t="shared" si="616"/>
        <v>Costco</v>
      </c>
      <c r="JN30" s="327" t="str">
        <f t="shared" si="616"/>
        <v/>
      </c>
      <c r="JO30" s="327" t="str">
        <f t="shared" si="616"/>
        <v/>
      </c>
      <c r="JP30" s="327" t="str">
        <f t="shared" si="616"/>
        <v/>
      </c>
      <c r="JQ30" s="327" t="str">
        <f t="shared" si="616"/>
        <v/>
      </c>
      <c r="JR30" s="327" t="str">
        <f t="shared" si="616"/>
        <v/>
      </c>
      <c r="JS30" s="327" t="str">
        <f t="shared" si="616"/>
        <v/>
      </c>
      <c r="JT30" s="327" t="str">
        <f t="shared" si="616"/>
        <v/>
      </c>
      <c r="JU30" s="327" t="str">
        <f t="shared" si="616"/>
        <v/>
      </c>
      <c r="JV30" s="327" t="str">
        <f t="shared" si="616"/>
        <v/>
      </c>
      <c r="JW30" s="327" t="str">
        <f t="shared" si="616"/>
        <v/>
      </c>
      <c r="JX30" s="327" t="str">
        <f t="shared" si="616"/>
        <v/>
      </c>
      <c r="JY30" s="327" t="str">
        <f t="shared" si="616"/>
        <v/>
      </c>
      <c r="JZ30" s="327" t="str">
        <f t="shared" si="616"/>
        <v/>
      </c>
      <c r="KA30" s="327" t="str">
        <f t="shared" si="616"/>
        <v/>
      </c>
      <c r="KB30" s="327" t="str">
        <f t="shared" si="616"/>
        <v/>
      </c>
      <c r="KC30" s="327" t="str">
        <f t="shared" ref="KC30:MN30" si="617">IFERROR(INDEX($C$7:$C$17,MATCH(KC23,KC7:KC17,0),1),"")</f>
        <v/>
      </c>
      <c r="KD30" s="327" t="str">
        <f t="shared" si="617"/>
        <v/>
      </c>
      <c r="KE30" s="327" t="str">
        <f t="shared" si="617"/>
        <v/>
      </c>
      <c r="KF30" s="328" t="str">
        <f t="shared" si="617"/>
        <v/>
      </c>
      <c r="KG30" s="329" t="str">
        <f t="shared" si="617"/>
        <v>Costco</v>
      </c>
      <c r="KH30" s="327" t="str">
        <f t="shared" si="617"/>
        <v/>
      </c>
      <c r="KI30" s="327" t="str">
        <f t="shared" si="617"/>
        <v/>
      </c>
      <c r="KJ30" s="327" t="str">
        <f t="shared" si="617"/>
        <v/>
      </c>
      <c r="KK30" s="327" t="str">
        <f t="shared" si="617"/>
        <v/>
      </c>
      <c r="KL30" s="327" t="str">
        <f t="shared" si="617"/>
        <v/>
      </c>
      <c r="KM30" s="327" t="str">
        <f t="shared" si="617"/>
        <v/>
      </c>
      <c r="KN30" s="327" t="str">
        <f t="shared" si="617"/>
        <v/>
      </c>
      <c r="KO30" s="327" t="str">
        <f t="shared" si="617"/>
        <v/>
      </c>
      <c r="KP30" s="327" t="str">
        <f t="shared" si="617"/>
        <v/>
      </c>
      <c r="KQ30" s="327" t="str">
        <f t="shared" si="617"/>
        <v/>
      </c>
      <c r="KR30" s="327" t="str">
        <f t="shared" si="617"/>
        <v/>
      </c>
      <c r="KS30" s="327" t="str">
        <f t="shared" si="617"/>
        <v/>
      </c>
      <c r="KT30" s="327" t="str">
        <f t="shared" si="617"/>
        <v/>
      </c>
      <c r="KU30" s="327" t="str">
        <f t="shared" si="617"/>
        <v/>
      </c>
      <c r="KV30" s="327" t="str">
        <f t="shared" si="617"/>
        <v/>
      </c>
      <c r="KW30" s="327" t="str">
        <f t="shared" si="617"/>
        <v/>
      </c>
      <c r="KX30" s="327" t="str">
        <f t="shared" si="617"/>
        <v/>
      </c>
      <c r="KY30" s="327" t="str">
        <f t="shared" si="617"/>
        <v/>
      </c>
      <c r="KZ30" s="328" t="str">
        <f t="shared" si="617"/>
        <v/>
      </c>
      <c r="LA30" s="329" t="str">
        <f t="shared" si="617"/>
        <v>Costco</v>
      </c>
      <c r="LB30" s="329" t="str">
        <f t="shared" si="617"/>
        <v/>
      </c>
      <c r="LC30" s="329" t="str">
        <f t="shared" si="617"/>
        <v/>
      </c>
      <c r="LD30" s="329" t="str">
        <f t="shared" si="617"/>
        <v/>
      </c>
      <c r="LE30" s="329" t="str">
        <f t="shared" si="617"/>
        <v/>
      </c>
      <c r="LF30" s="329" t="str">
        <f t="shared" si="617"/>
        <v/>
      </c>
      <c r="LG30" s="329" t="str">
        <f t="shared" si="617"/>
        <v/>
      </c>
      <c r="LH30" s="329" t="str">
        <f t="shared" si="617"/>
        <v/>
      </c>
      <c r="LI30" s="329" t="str">
        <f t="shared" si="617"/>
        <v/>
      </c>
      <c r="LJ30" s="329" t="str">
        <f t="shared" si="617"/>
        <v/>
      </c>
      <c r="LK30" s="329" t="str">
        <f t="shared" si="617"/>
        <v/>
      </c>
      <c r="LL30" s="329" t="str">
        <f t="shared" si="617"/>
        <v/>
      </c>
      <c r="LM30" s="329" t="str">
        <f t="shared" si="617"/>
        <v/>
      </c>
      <c r="LN30" s="329" t="str">
        <f t="shared" si="617"/>
        <v/>
      </c>
      <c r="LO30" s="329" t="str">
        <f t="shared" si="617"/>
        <v/>
      </c>
      <c r="LP30" s="329" t="str">
        <f t="shared" si="617"/>
        <v/>
      </c>
      <c r="LQ30" s="329" t="str">
        <f t="shared" si="617"/>
        <v/>
      </c>
      <c r="LR30" s="329" t="str">
        <f t="shared" si="617"/>
        <v/>
      </c>
      <c r="LS30" s="329" t="str">
        <f t="shared" si="617"/>
        <v/>
      </c>
      <c r="LT30" s="329" t="str">
        <f t="shared" si="617"/>
        <v/>
      </c>
      <c r="LU30" s="329" t="str">
        <f t="shared" si="617"/>
        <v>Costco</v>
      </c>
      <c r="LV30" s="329" t="str">
        <f t="shared" si="617"/>
        <v/>
      </c>
      <c r="LW30" s="329" t="str">
        <f t="shared" si="617"/>
        <v/>
      </c>
      <c r="LX30" s="329" t="str">
        <f t="shared" si="617"/>
        <v/>
      </c>
      <c r="LY30" s="329" t="str">
        <f t="shared" si="617"/>
        <v/>
      </c>
      <c r="LZ30" s="329" t="str">
        <f t="shared" si="617"/>
        <v/>
      </c>
      <c r="MA30" s="329" t="str">
        <f t="shared" si="617"/>
        <v/>
      </c>
      <c r="MB30" s="329" t="str">
        <f t="shared" si="617"/>
        <v/>
      </c>
      <c r="MC30" s="329" t="str">
        <f t="shared" si="617"/>
        <v/>
      </c>
      <c r="MD30" s="329" t="str">
        <f t="shared" si="617"/>
        <v/>
      </c>
      <c r="ME30" s="329" t="str">
        <f t="shared" si="617"/>
        <v/>
      </c>
      <c r="MF30" s="329" t="str">
        <f t="shared" si="617"/>
        <v/>
      </c>
      <c r="MG30" s="329" t="str">
        <f t="shared" si="617"/>
        <v/>
      </c>
      <c r="MH30" s="329" t="str">
        <f t="shared" si="617"/>
        <v/>
      </c>
      <c r="MI30" s="329" t="str">
        <f t="shared" si="617"/>
        <v/>
      </c>
      <c r="MJ30" s="329" t="str">
        <f t="shared" si="617"/>
        <v/>
      </c>
      <c r="MK30" s="329" t="str">
        <f t="shared" si="617"/>
        <v/>
      </c>
      <c r="ML30" s="329" t="str">
        <f t="shared" si="617"/>
        <v/>
      </c>
      <c r="MM30" s="329" t="str">
        <f t="shared" si="617"/>
        <v/>
      </c>
      <c r="MN30" s="329" t="str">
        <f t="shared" si="617"/>
        <v/>
      </c>
      <c r="MO30" s="329" t="str">
        <f t="shared" ref="MO30:OZ30" si="618">IFERROR(INDEX($C$7:$C$17,MATCH(MO23,MO7:MO17,0),1),"")</f>
        <v>Costco</v>
      </c>
      <c r="MP30" s="329" t="str">
        <f t="shared" si="618"/>
        <v/>
      </c>
      <c r="MQ30" s="329" t="str">
        <f t="shared" si="618"/>
        <v/>
      </c>
      <c r="MR30" s="329" t="str">
        <f t="shared" si="618"/>
        <v/>
      </c>
      <c r="MS30" s="329" t="str">
        <f t="shared" si="618"/>
        <v/>
      </c>
      <c r="MT30" s="329" t="str">
        <f t="shared" si="618"/>
        <v/>
      </c>
      <c r="MU30" s="329" t="str">
        <f t="shared" si="618"/>
        <v/>
      </c>
      <c r="MV30" s="329" t="str">
        <f t="shared" si="618"/>
        <v/>
      </c>
      <c r="MW30" s="329" t="str">
        <f t="shared" si="618"/>
        <v/>
      </c>
      <c r="MX30" s="329" t="str">
        <f t="shared" si="618"/>
        <v/>
      </c>
      <c r="MY30" s="329" t="str">
        <f t="shared" si="618"/>
        <v/>
      </c>
      <c r="MZ30" s="329" t="str">
        <f t="shared" si="618"/>
        <v/>
      </c>
      <c r="NA30" s="329" t="str">
        <f t="shared" si="618"/>
        <v/>
      </c>
      <c r="NB30" s="329" t="str">
        <f t="shared" si="618"/>
        <v/>
      </c>
      <c r="NC30" s="329" t="str">
        <f t="shared" si="618"/>
        <v/>
      </c>
      <c r="ND30" s="329" t="str">
        <f t="shared" si="618"/>
        <v/>
      </c>
      <c r="NE30" s="329" t="str">
        <f t="shared" si="618"/>
        <v/>
      </c>
      <c r="NF30" s="329" t="str">
        <f t="shared" si="618"/>
        <v/>
      </c>
      <c r="NG30" s="329" t="str">
        <f t="shared" si="618"/>
        <v/>
      </c>
      <c r="NH30" s="329" t="str">
        <f t="shared" si="618"/>
        <v/>
      </c>
      <c r="NI30" s="329" t="str">
        <f t="shared" si="618"/>
        <v>Walmart</v>
      </c>
      <c r="NJ30" s="329" t="str">
        <f t="shared" si="618"/>
        <v/>
      </c>
      <c r="NK30" s="329" t="str">
        <f t="shared" si="618"/>
        <v/>
      </c>
      <c r="NL30" s="329" t="str">
        <f t="shared" si="618"/>
        <v/>
      </c>
      <c r="NM30" s="329" t="str">
        <f t="shared" si="618"/>
        <v/>
      </c>
      <c r="NN30" s="329" t="str">
        <f t="shared" si="618"/>
        <v/>
      </c>
      <c r="NO30" s="329" t="str">
        <f t="shared" si="618"/>
        <v/>
      </c>
      <c r="NP30" s="329" t="str">
        <f t="shared" si="618"/>
        <v/>
      </c>
      <c r="NQ30" s="329" t="str">
        <f t="shared" si="618"/>
        <v/>
      </c>
      <c r="NR30" s="329" t="str">
        <f t="shared" si="618"/>
        <v/>
      </c>
      <c r="NS30" s="329" t="str">
        <f t="shared" si="618"/>
        <v/>
      </c>
      <c r="NT30" s="329" t="str">
        <f t="shared" si="618"/>
        <v/>
      </c>
      <c r="NU30" s="329" t="str">
        <f t="shared" si="618"/>
        <v/>
      </c>
      <c r="NV30" s="329" t="str">
        <f t="shared" si="618"/>
        <v/>
      </c>
      <c r="NW30" s="329" t="str">
        <f t="shared" si="618"/>
        <v/>
      </c>
      <c r="NX30" s="329" t="str">
        <f t="shared" si="618"/>
        <v/>
      </c>
      <c r="NY30" s="329" t="str">
        <f t="shared" si="618"/>
        <v/>
      </c>
      <c r="NZ30" s="329" t="str">
        <f t="shared" si="618"/>
        <v/>
      </c>
      <c r="OA30" s="329" t="str">
        <f t="shared" si="618"/>
        <v/>
      </c>
      <c r="OB30" s="329" t="str">
        <f t="shared" si="618"/>
        <v/>
      </c>
      <c r="OC30" s="329" t="str">
        <f t="shared" si="618"/>
        <v>Costco</v>
      </c>
      <c r="OD30" s="327" t="str">
        <f t="shared" si="618"/>
        <v/>
      </c>
      <c r="OE30" s="327" t="str">
        <f t="shared" si="618"/>
        <v/>
      </c>
      <c r="OF30" s="327" t="str">
        <f t="shared" si="618"/>
        <v/>
      </c>
      <c r="OG30" s="327" t="str">
        <f t="shared" si="618"/>
        <v/>
      </c>
      <c r="OH30" s="327" t="str">
        <f t="shared" si="618"/>
        <v/>
      </c>
      <c r="OI30" s="327" t="str">
        <f t="shared" si="618"/>
        <v/>
      </c>
      <c r="OJ30" s="327" t="str">
        <f t="shared" si="618"/>
        <v/>
      </c>
      <c r="OK30" s="327" t="str">
        <f t="shared" si="618"/>
        <v/>
      </c>
      <c r="OL30" s="327" t="str">
        <f t="shared" si="618"/>
        <v/>
      </c>
      <c r="OM30" s="327" t="str">
        <f t="shared" si="618"/>
        <v/>
      </c>
      <c r="ON30" s="327" t="str">
        <f t="shared" si="618"/>
        <v/>
      </c>
      <c r="OO30" s="327" t="str">
        <f t="shared" si="618"/>
        <v/>
      </c>
      <c r="OP30" s="327" t="str">
        <f t="shared" si="618"/>
        <v/>
      </c>
      <c r="OQ30" s="327" t="str">
        <f t="shared" si="618"/>
        <v/>
      </c>
      <c r="OR30" s="327" t="str">
        <f t="shared" si="618"/>
        <v/>
      </c>
      <c r="OS30" s="327" t="str">
        <f t="shared" si="618"/>
        <v/>
      </c>
      <c r="OT30" s="327" t="str">
        <f t="shared" si="618"/>
        <v/>
      </c>
      <c r="OU30" s="327" t="str">
        <f t="shared" si="618"/>
        <v/>
      </c>
      <c r="OV30" s="328" t="str">
        <f t="shared" si="618"/>
        <v/>
      </c>
      <c r="OW30" s="329" t="str">
        <f t="shared" si="618"/>
        <v>Costco</v>
      </c>
      <c r="OX30" s="327" t="str">
        <f t="shared" si="618"/>
        <v/>
      </c>
      <c r="OY30" s="327" t="str">
        <f t="shared" si="618"/>
        <v/>
      </c>
      <c r="OZ30" s="327" t="str">
        <f t="shared" si="618"/>
        <v/>
      </c>
      <c r="PA30" s="327" t="str">
        <f t="shared" ref="PA30:RL30" si="619">IFERROR(INDEX($C$7:$C$17,MATCH(PA23,PA7:PA17,0),1),"")</f>
        <v/>
      </c>
      <c r="PB30" s="327" t="str">
        <f t="shared" si="619"/>
        <v/>
      </c>
      <c r="PC30" s="327" t="str">
        <f t="shared" si="619"/>
        <v/>
      </c>
      <c r="PD30" s="327" t="str">
        <f t="shared" si="619"/>
        <v/>
      </c>
      <c r="PE30" s="327" t="str">
        <f t="shared" si="619"/>
        <v/>
      </c>
      <c r="PF30" s="327" t="str">
        <f t="shared" si="619"/>
        <v/>
      </c>
      <c r="PG30" s="327" t="str">
        <f t="shared" si="619"/>
        <v/>
      </c>
      <c r="PH30" s="327" t="str">
        <f t="shared" si="619"/>
        <v/>
      </c>
      <c r="PI30" s="327" t="str">
        <f t="shared" si="619"/>
        <v/>
      </c>
      <c r="PJ30" s="327" t="str">
        <f t="shared" si="619"/>
        <v/>
      </c>
      <c r="PK30" s="327" t="str">
        <f t="shared" si="619"/>
        <v/>
      </c>
      <c r="PL30" s="327" t="str">
        <f t="shared" si="619"/>
        <v/>
      </c>
      <c r="PM30" s="327" t="str">
        <f t="shared" si="619"/>
        <v/>
      </c>
      <c r="PN30" s="327" t="str">
        <f t="shared" si="619"/>
        <v/>
      </c>
      <c r="PO30" s="327" t="str">
        <f t="shared" si="619"/>
        <v/>
      </c>
      <c r="PP30" s="328" t="str">
        <f t="shared" si="619"/>
        <v/>
      </c>
      <c r="PQ30" s="329" t="str">
        <f t="shared" si="619"/>
        <v>Walmart</v>
      </c>
      <c r="PR30" s="327" t="str">
        <f t="shared" si="619"/>
        <v/>
      </c>
      <c r="PS30" s="327" t="str">
        <f t="shared" si="619"/>
        <v/>
      </c>
      <c r="PT30" s="327" t="str">
        <f t="shared" si="619"/>
        <v/>
      </c>
      <c r="PU30" s="327" t="str">
        <f t="shared" si="619"/>
        <v/>
      </c>
      <c r="PV30" s="327" t="str">
        <f t="shared" si="619"/>
        <v/>
      </c>
      <c r="PW30" s="327" t="str">
        <f t="shared" si="619"/>
        <v/>
      </c>
      <c r="PX30" s="327" t="str">
        <f t="shared" si="619"/>
        <v/>
      </c>
      <c r="PY30" s="327" t="str">
        <f t="shared" si="619"/>
        <v/>
      </c>
      <c r="PZ30" s="327" t="str">
        <f t="shared" si="619"/>
        <v/>
      </c>
      <c r="QA30" s="327" t="str">
        <f t="shared" si="619"/>
        <v/>
      </c>
      <c r="QB30" s="327" t="str">
        <f t="shared" si="619"/>
        <v/>
      </c>
      <c r="QC30" s="327" t="str">
        <f t="shared" si="619"/>
        <v/>
      </c>
      <c r="QD30" s="327" t="str">
        <f t="shared" si="619"/>
        <v/>
      </c>
      <c r="QE30" s="327" t="str">
        <f t="shared" si="619"/>
        <v/>
      </c>
      <c r="QF30" s="327" t="str">
        <f t="shared" si="619"/>
        <v/>
      </c>
      <c r="QG30" s="327" t="str">
        <f t="shared" si="619"/>
        <v/>
      </c>
      <c r="QH30" s="327" t="str">
        <f t="shared" si="619"/>
        <v/>
      </c>
      <c r="QI30" s="327" t="str">
        <f t="shared" si="619"/>
        <v/>
      </c>
      <c r="QJ30" s="328" t="str">
        <f t="shared" si="619"/>
        <v/>
      </c>
      <c r="QK30" s="329" t="str">
        <f t="shared" si="619"/>
        <v>Costco</v>
      </c>
      <c r="QL30" s="327" t="str">
        <f t="shared" si="619"/>
        <v/>
      </c>
      <c r="QM30" s="327" t="str">
        <f t="shared" si="619"/>
        <v/>
      </c>
      <c r="QN30" s="327" t="str">
        <f t="shared" si="619"/>
        <v/>
      </c>
      <c r="QO30" s="327" t="str">
        <f t="shared" si="619"/>
        <v/>
      </c>
      <c r="QP30" s="327" t="str">
        <f t="shared" si="619"/>
        <v/>
      </c>
      <c r="QQ30" s="327" t="str">
        <f t="shared" si="619"/>
        <v/>
      </c>
      <c r="QR30" s="327" t="str">
        <f t="shared" si="619"/>
        <v/>
      </c>
      <c r="QS30" s="327" t="str">
        <f t="shared" si="619"/>
        <v/>
      </c>
      <c r="QT30" s="327" t="str">
        <f t="shared" si="619"/>
        <v/>
      </c>
      <c r="QU30" s="327" t="str">
        <f t="shared" si="619"/>
        <v/>
      </c>
      <c r="QV30" s="327" t="str">
        <f t="shared" si="619"/>
        <v/>
      </c>
      <c r="QW30" s="327" t="str">
        <f t="shared" si="619"/>
        <v/>
      </c>
      <c r="QX30" s="327" t="str">
        <f t="shared" si="619"/>
        <v/>
      </c>
      <c r="QY30" s="327" t="str">
        <f t="shared" si="619"/>
        <v/>
      </c>
      <c r="QZ30" s="327" t="str">
        <f t="shared" si="619"/>
        <v/>
      </c>
      <c r="RA30" s="327" t="str">
        <f t="shared" si="619"/>
        <v/>
      </c>
      <c r="RB30" s="327" t="str">
        <f t="shared" si="619"/>
        <v/>
      </c>
      <c r="RC30" s="327" t="str">
        <f t="shared" si="619"/>
        <v/>
      </c>
      <c r="RD30" s="328" t="str">
        <f t="shared" si="619"/>
        <v/>
      </c>
      <c r="RE30" s="329" t="str">
        <f t="shared" si="619"/>
        <v>Costco</v>
      </c>
      <c r="RF30" s="327" t="str">
        <f t="shared" si="619"/>
        <v/>
      </c>
      <c r="RG30" s="327" t="str">
        <f t="shared" si="619"/>
        <v/>
      </c>
      <c r="RH30" s="327" t="str">
        <f t="shared" si="619"/>
        <v/>
      </c>
      <c r="RI30" s="327" t="str">
        <f t="shared" si="619"/>
        <v/>
      </c>
      <c r="RJ30" s="327" t="str">
        <f t="shared" si="619"/>
        <v/>
      </c>
      <c r="RK30" s="327" t="str">
        <f t="shared" si="619"/>
        <v/>
      </c>
      <c r="RL30" s="327" t="str">
        <f t="shared" si="619"/>
        <v/>
      </c>
      <c r="RM30" s="327" t="str">
        <f t="shared" ref="RM30:TX30" si="620">IFERROR(INDEX($C$7:$C$17,MATCH(RM23,RM7:RM17,0),1),"")</f>
        <v/>
      </c>
      <c r="RN30" s="327" t="str">
        <f t="shared" si="620"/>
        <v/>
      </c>
      <c r="RO30" s="327" t="str">
        <f t="shared" si="620"/>
        <v/>
      </c>
      <c r="RP30" s="327" t="str">
        <f t="shared" si="620"/>
        <v/>
      </c>
      <c r="RQ30" s="327" t="str">
        <f t="shared" si="620"/>
        <v/>
      </c>
      <c r="RR30" s="327" t="str">
        <f t="shared" si="620"/>
        <v/>
      </c>
      <c r="RS30" s="327" t="str">
        <f t="shared" si="620"/>
        <v/>
      </c>
      <c r="RT30" s="327" t="str">
        <f t="shared" si="620"/>
        <v/>
      </c>
      <c r="RU30" s="327" t="str">
        <f t="shared" si="620"/>
        <v/>
      </c>
      <c r="RV30" s="327" t="str">
        <f t="shared" si="620"/>
        <v/>
      </c>
      <c r="RW30" s="327" t="str">
        <f t="shared" si="620"/>
        <v/>
      </c>
      <c r="RX30" s="328" t="str">
        <f t="shared" si="620"/>
        <v/>
      </c>
      <c r="RY30" s="329" t="str">
        <f t="shared" si="620"/>
        <v>Walmart</v>
      </c>
      <c r="RZ30" s="327" t="str">
        <f t="shared" si="620"/>
        <v/>
      </c>
      <c r="SA30" s="327" t="str">
        <f t="shared" si="620"/>
        <v/>
      </c>
      <c r="SB30" s="327" t="str">
        <f t="shared" si="620"/>
        <v/>
      </c>
      <c r="SC30" s="327" t="str">
        <f t="shared" si="620"/>
        <v/>
      </c>
      <c r="SD30" s="327" t="str">
        <f t="shared" si="620"/>
        <v/>
      </c>
      <c r="SE30" s="327" t="str">
        <f t="shared" si="620"/>
        <v/>
      </c>
      <c r="SF30" s="327" t="str">
        <f t="shared" si="620"/>
        <v/>
      </c>
      <c r="SG30" s="327" t="str">
        <f t="shared" si="620"/>
        <v/>
      </c>
      <c r="SH30" s="327" t="str">
        <f t="shared" si="620"/>
        <v/>
      </c>
      <c r="SI30" s="327" t="str">
        <f t="shared" si="620"/>
        <v/>
      </c>
      <c r="SJ30" s="327" t="str">
        <f t="shared" si="620"/>
        <v/>
      </c>
      <c r="SK30" s="327" t="str">
        <f t="shared" si="620"/>
        <v/>
      </c>
      <c r="SL30" s="327" t="str">
        <f t="shared" si="620"/>
        <v/>
      </c>
      <c r="SM30" s="327" t="str">
        <f t="shared" si="620"/>
        <v/>
      </c>
      <c r="SN30" s="327" t="str">
        <f t="shared" si="620"/>
        <v/>
      </c>
      <c r="SO30" s="327" t="str">
        <f t="shared" si="620"/>
        <v/>
      </c>
      <c r="SP30" s="327" t="str">
        <f t="shared" si="620"/>
        <v/>
      </c>
      <c r="SQ30" s="327" t="str">
        <f t="shared" si="620"/>
        <v/>
      </c>
      <c r="SR30" s="328" t="str">
        <f t="shared" si="620"/>
        <v/>
      </c>
      <c r="SS30" s="329" t="str">
        <f t="shared" si="620"/>
        <v>Costco</v>
      </c>
      <c r="ST30" s="327" t="str">
        <f t="shared" si="620"/>
        <v/>
      </c>
      <c r="SU30" s="327" t="str">
        <f t="shared" si="620"/>
        <v/>
      </c>
      <c r="SV30" s="327" t="str">
        <f t="shared" si="620"/>
        <v/>
      </c>
      <c r="SW30" s="327" t="str">
        <f t="shared" si="620"/>
        <v/>
      </c>
      <c r="SX30" s="327" t="str">
        <f t="shared" si="620"/>
        <v/>
      </c>
      <c r="SY30" s="327" t="str">
        <f t="shared" si="620"/>
        <v/>
      </c>
      <c r="SZ30" s="327" t="str">
        <f t="shared" si="620"/>
        <v/>
      </c>
      <c r="TA30" s="327" t="str">
        <f t="shared" si="620"/>
        <v/>
      </c>
      <c r="TB30" s="327" t="str">
        <f t="shared" si="620"/>
        <v/>
      </c>
      <c r="TC30" s="327" t="str">
        <f t="shared" si="620"/>
        <v/>
      </c>
      <c r="TD30" s="327" t="str">
        <f t="shared" si="620"/>
        <v/>
      </c>
      <c r="TE30" s="327" t="str">
        <f t="shared" si="620"/>
        <v/>
      </c>
      <c r="TF30" s="327" t="str">
        <f t="shared" si="620"/>
        <v/>
      </c>
      <c r="TG30" s="327" t="str">
        <f t="shared" si="620"/>
        <v/>
      </c>
      <c r="TH30" s="327" t="str">
        <f t="shared" si="620"/>
        <v/>
      </c>
      <c r="TI30" s="327" t="str">
        <f t="shared" si="620"/>
        <v/>
      </c>
      <c r="TJ30" s="327" t="str">
        <f t="shared" si="620"/>
        <v/>
      </c>
      <c r="TK30" s="327" t="str">
        <f t="shared" si="620"/>
        <v/>
      </c>
      <c r="TL30" s="328" t="str">
        <f t="shared" si="620"/>
        <v/>
      </c>
      <c r="TM30" s="330" t="str">
        <f t="shared" si="620"/>
        <v>Costco</v>
      </c>
      <c r="TN30" s="331" t="str">
        <f t="shared" si="620"/>
        <v/>
      </c>
      <c r="TO30" s="331" t="str">
        <f t="shared" si="620"/>
        <v/>
      </c>
      <c r="TP30" s="331" t="str">
        <f t="shared" si="620"/>
        <v/>
      </c>
      <c r="TQ30" s="331" t="str">
        <f t="shared" si="620"/>
        <v/>
      </c>
      <c r="TR30" s="331" t="str">
        <f t="shared" si="620"/>
        <v/>
      </c>
      <c r="TS30" s="331" t="str">
        <f t="shared" si="620"/>
        <v/>
      </c>
      <c r="TT30" s="331" t="str">
        <f t="shared" si="620"/>
        <v/>
      </c>
      <c r="TU30" s="331" t="str">
        <f t="shared" si="620"/>
        <v/>
      </c>
      <c r="TV30" s="331" t="str">
        <f t="shared" si="620"/>
        <v/>
      </c>
      <c r="TW30" s="331" t="str">
        <f t="shared" si="620"/>
        <v/>
      </c>
      <c r="TX30" s="331" t="str">
        <f t="shared" si="620"/>
        <v/>
      </c>
      <c r="TY30" s="331" t="str">
        <f t="shared" ref="TY30:WN30" si="621">IFERROR(INDEX($C$7:$C$17,MATCH(TY23,TY7:TY17,0),1),"")</f>
        <v/>
      </c>
      <c r="TZ30" s="331" t="str">
        <f t="shared" si="621"/>
        <v/>
      </c>
      <c r="UA30" s="331" t="str">
        <f t="shared" si="621"/>
        <v/>
      </c>
      <c r="UB30" s="331" t="str">
        <f t="shared" si="621"/>
        <v/>
      </c>
      <c r="UC30" s="331" t="str">
        <f t="shared" si="621"/>
        <v/>
      </c>
      <c r="UD30" s="331" t="str">
        <f t="shared" si="621"/>
        <v/>
      </c>
      <c r="UE30" s="331" t="str">
        <f t="shared" si="621"/>
        <v/>
      </c>
      <c r="UF30" s="332" t="str">
        <f t="shared" si="621"/>
        <v/>
      </c>
      <c r="UG30" s="330" t="str">
        <f t="shared" si="621"/>
        <v>Costco</v>
      </c>
      <c r="UH30" s="331" t="str">
        <f t="shared" si="621"/>
        <v/>
      </c>
      <c r="UI30" s="331" t="str">
        <f t="shared" si="621"/>
        <v/>
      </c>
      <c r="UJ30" s="331" t="str">
        <f t="shared" si="621"/>
        <v/>
      </c>
      <c r="UK30" s="331" t="str">
        <f t="shared" si="621"/>
        <v/>
      </c>
      <c r="UL30" s="331" t="str">
        <f t="shared" si="621"/>
        <v/>
      </c>
      <c r="UM30" s="331" t="str">
        <f t="shared" si="621"/>
        <v/>
      </c>
      <c r="UN30" s="331" t="str">
        <f t="shared" si="621"/>
        <v/>
      </c>
      <c r="UO30" s="331" t="str">
        <f t="shared" si="621"/>
        <v/>
      </c>
      <c r="UP30" s="331" t="str">
        <f t="shared" si="621"/>
        <v/>
      </c>
      <c r="UQ30" s="331" t="str">
        <f t="shared" si="621"/>
        <v/>
      </c>
      <c r="UR30" s="331" t="str">
        <f t="shared" si="621"/>
        <v/>
      </c>
      <c r="US30" s="331" t="str">
        <f t="shared" si="621"/>
        <v/>
      </c>
      <c r="UT30" s="331" t="str">
        <f t="shared" si="621"/>
        <v/>
      </c>
      <c r="UU30" s="331" t="str">
        <f t="shared" si="621"/>
        <v/>
      </c>
      <c r="UV30" s="331" t="str">
        <f t="shared" si="621"/>
        <v/>
      </c>
      <c r="UW30" s="331" t="str">
        <f t="shared" si="621"/>
        <v/>
      </c>
      <c r="UX30" s="331" t="str">
        <f t="shared" si="621"/>
        <v/>
      </c>
      <c r="UY30" s="331" t="str">
        <f t="shared" si="621"/>
        <v/>
      </c>
      <c r="UZ30" s="332" t="str">
        <f t="shared" si="621"/>
        <v/>
      </c>
      <c r="VA30" s="330" t="str">
        <f t="shared" si="621"/>
        <v>Costco</v>
      </c>
      <c r="VB30" s="331" t="str">
        <f t="shared" si="621"/>
        <v/>
      </c>
      <c r="VC30" s="331" t="str">
        <f t="shared" si="621"/>
        <v/>
      </c>
      <c r="VD30" s="331" t="str">
        <f t="shared" si="621"/>
        <v/>
      </c>
      <c r="VE30" s="331" t="str">
        <f t="shared" si="621"/>
        <v/>
      </c>
      <c r="VF30" s="331" t="str">
        <f t="shared" si="621"/>
        <v/>
      </c>
      <c r="VG30" s="331" t="str">
        <f t="shared" si="621"/>
        <v/>
      </c>
      <c r="VH30" s="331" t="str">
        <f t="shared" si="621"/>
        <v/>
      </c>
      <c r="VI30" s="331" t="str">
        <f t="shared" si="621"/>
        <v/>
      </c>
      <c r="VJ30" s="331" t="str">
        <f t="shared" si="621"/>
        <v/>
      </c>
      <c r="VK30" s="331" t="str">
        <f t="shared" si="621"/>
        <v/>
      </c>
      <c r="VL30" s="331" t="str">
        <f t="shared" si="621"/>
        <v/>
      </c>
      <c r="VM30" s="331" t="str">
        <f t="shared" si="621"/>
        <v/>
      </c>
      <c r="VN30" s="331" t="str">
        <f t="shared" si="621"/>
        <v/>
      </c>
      <c r="VO30" s="331" t="str">
        <f t="shared" si="621"/>
        <v/>
      </c>
      <c r="VP30" s="331" t="str">
        <f t="shared" si="621"/>
        <v/>
      </c>
      <c r="VQ30" s="331" t="str">
        <f t="shared" si="621"/>
        <v/>
      </c>
      <c r="VR30" s="331" t="str">
        <f t="shared" si="621"/>
        <v/>
      </c>
      <c r="VS30" s="331" t="str">
        <f t="shared" si="621"/>
        <v/>
      </c>
      <c r="VT30" s="332" t="str">
        <f t="shared" si="621"/>
        <v/>
      </c>
      <c r="VU30" s="330" t="str">
        <f t="shared" si="621"/>
        <v>Walmart</v>
      </c>
      <c r="VV30" s="331" t="str">
        <f t="shared" si="621"/>
        <v/>
      </c>
      <c r="VW30" s="331" t="str">
        <f t="shared" si="621"/>
        <v/>
      </c>
      <c r="VX30" s="331" t="str">
        <f t="shared" si="621"/>
        <v/>
      </c>
      <c r="VY30" s="331" t="str">
        <f t="shared" si="621"/>
        <v/>
      </c>
      <c r="VZ30" s="331" t="str">
        <f t="shared" si="621"/>
        <v/>
      </c>
      <c r="WA30" s="331" t="str">
        <f t="shared" si="621"/>
        <v/>
      </c>
      <c r="WB30" s="331" t="str">
        <f t="shared" si="621"/>
        <v/>
      </c>
      <c r="WC30" s="331" t="str">
        <f t="shared" si="621"/>
        <v/>
      </c>
      <c r="WD30" s="331" t="str">
        <f t="shared" si="621"/>
        <v/>
      </c>
      <c r="WE30" s="130" t="str">
        <f t="shared" si="621"/>
        <v/>
      </c>
      <c r="WF30" s="130" t="str">
        <f t="shared" si="621"/>
        <v/>
      </c>
      <c r="WG30" s="130" t="str">
        <f t="shared" si="621"/>
        <v/>
      </c>
      <c r="WH30" s="130" t="str">
        <f t="shared" si="621"/>
        <v/>
      </c>
      <c r="WI30" s="130" t="str">
        <f t="shared" si="621"/>
        <v/>
      </c>
      <c r="WJ30" s="130" t="str">
        <f t="shared" si="621"/>
        <v/>
      </c>
      <c r="WK30" s="130" t="str">
        <f t="shared" si="621"/>
        <v/>
      </c>
      <c r="WL30" s="130" t="str">
        <f t="shared" si="621"/>
        <v/>
      </c>
      <c r="WM30" s="130" t="str">
        <f t="shared" si="621"/>
        <v/>
      </c>
      <c r="WN30" s="131" t="str">
        <f t="shared" si="621"/>
        <v/>
      </c>
      <c r="WO30" s="330" t="str">
        <f t="shared" ref="WO30:XH30" si="622">IFERROR(INDEX($C$7:$C$17,MATCH(WO23,WO7:WO17,0),1),"")</f>
        <v>Costco</v>
      </c>
      <c r="WP30" s="331" t="str">
        <f t="shared" si="622"/>
        <v/>
      </c>
      <c r="WQ30" s="331" t="str">
        <f t="shared" si="622"/>
        <v/>
      </c>
      <c r="WR30" s="331" t="str">
        <f t="shared" si="622"/>
        <v/>
      </c>
      <c r="WS30" s="331" t="str">
        <f t="shared" si="622"/>
        <v/>
      </c>
      <c r="WT30" s="331" t="str">
        <f t="shared" si="622"/>
        <v/>
      </c>
      <c r="WU30" s="331" t="str">
        <f t="shared" si="622"/>
        <v/>
      </c>
      <c r="WV30" s="331" t="str">
        <f t="shared" si="622"/>
        <v/>
      </c>
      <c r="WW30" s="331" t="str">
        <f t="shared" si="622"/>
        <v/>
      </c>
      <c r="WX30" s="331" t="str">
        <f t="shared" si="622"/>
        <v/>
      </c>
      <c r="WY30" s="331" t="str">
        <f t="shared" si="622"/>
        <v/>
      </c>
      <c r="WZ30" s="331" t="str">
        <f t="shared" si="622"/>
        <v/>
      </c>
      <c r="XA30" s="331" t="str">
        <f t="shared" si="622"/>
        <v/>
      </c>
      <c r="XB30" s="331" t="str">
        <f t="shared" si="622"/>
        <v/>
      </c>
      <c r="XC30" s="331" t="str">
        <f t="shared" si="622"/>
        <v/>
      </c>
      <c r="XD30" s="331" t="str">
        <f t="shared" si="622"/>
        <v/>
      </c>
      <c r="XE30" s="331" t="str">
        <f t="shared" si="622"/>
        <v/>
      </c>
      <c r="XF30" s="331" t="str">
        <f t="shared" si="622"/>
        <v/>
      </c>
      <c r="XG30" s="331" t="str">
        <f t="shared" si="622"/>
        <v/>
      </c>
      <c r="XH30" s="332" t="str">
        <f t="shared" si="622"/>
        <v/>
      </c>
      <c r="XI30" s="330" t="str">
        <f t="shared" ref="XI30:YV30" si="623">IFERROR(INDEX($C$7:$C$17,MATCH(XI23,XI7:XI17,0),1),"")</f>
        <v>Costco</v>
      </c>
      <c r="XJ30" s="331" t="str">
        <f t="shared" si="623"/>
        <v/>
      </c>
      <c r="XK30" s="331" t="str">
        <f t="shared" si="623"/>
        <v/>
      </c>
      <c r="XL30" s="331" t="str">
        <f t="shared" si="623"/>
        <v/>
      </c>
      <c r="XM30" s="331" t="str">
        <f t="shared" si="623"/>
        <v/>
      </c>
      <c r="XN30" s="331" t="str">
        <f t="shared" si="623"/>
        <v/>
      </c>
      <c r="XO30" s="331" t="str">
        <f t="shared" si="623"/>
        <v/>
      </c>
      <c r="XP30" s="331" t="str">
        <f t="shared" si="623"/>
        <v/>
      </c>
      <c r="XQ30" s="331" t="str">
        <f t="shared" si="623"/>
        <v/>
      </c>
      <c r="XR30" s="331" t="str">
        <f t="shared" si="623"/>
        <v/>
      </c>
      <c r="XS30" s="331" t="str">
        <f t="shared" si="623"/>
        <v/>
      </c>
      <c r="XT30" s="331" t="str">
        <f t="shared" si="623"/>
        <v/>
      </c>
      <c r="XU30" s="331" t="str">
        <f t="shared" si="623"/>
        <v/>
      </c>
      <c r="XV30" s="331" t="str">
        <f t="shared" si="623"/>
        <v/>
      </c>
      <c r="XW30" s="331" t="str">
        <f t="shared" si="623"/>
        <v/>
      </c>
      <c r="XX30" s="331" t="str">
        <f t="shared" si="623"/>
        <v/>
      </c>
      <c r="XY30" s="331" t="str">
        <f t="shared" si="623"/>
        <v/>
      </c>
      <c r="XZ30" s="331" t="str">
        <f t="shared" si="623"/>
        <v/>
      </c>
      <c r="YA30" s="331" t="str">
        <f t="shared" si="623"/>
        <v/>
      </c>
      <c r="YB30" s="332" t="str">
        <f t="shared" si="623"/>
        <v/>
      </c>
      <c r="YC30" s="330" t="str">
        <f t="shared" si="623"/>
        <v>Walmart</v>
      </c>
      <c r="YD30" s="331" t="str">
        <f t="shared" si="623"/>
        <v/>
      </c>
      <c r="YE30" s="331" t="str">
        <f t="shared" si="623"/>
        <v/>
      </c>
      <c r="YF30" s="331" t="str">
        <f t="shared" si="623"/>
        <v/>
      </c>
      <c r="YG30" s="331" t="str">
        <f t="shared" si="623"/>
        <v/>
      </c>
      <c r="YH30" s="331" t="str">
        <f t="shared" si="623"/>
        <v/>
      </c>
      <c r="YI30" s="331" t="str">
        <f t="shared" si="623"/>
        <v/>
      </c>
      <c r="YJ30" s="331" t="str">
        <f t="shared" si="623"/>
        <v/>
      </c>
      <c r="YK30" s="331" t="str">
        <f t="shared" si="623"/>
        <v/>
      </c>
      <c r="YL30" s="331" t="str">
        <f t="shared" si="623"/>
        <v/>
      </c>
      <c r="YM30" s="331" t="str">
        <f t="shared" si="623"/>
        <v/>
      </c>
      <c r="YN30" s="331" t="str">
        <f t="shared" si="623"/>
        <v/>
      </c>
      <c r="YO30" s="331" t="str">
        <f t="shared" si="623"/>
        <v/>
      </c>
      <c r="YP30" s="331" t="str">
        <f t="shared" si="623"/>
        <v/>
      </c>
      <c r="YQ30" s="331" t="str">
        <f t="shared" si="623"/>
        <v/>
      </c>
      <c r="YR30" s="331" t="str">
        <f t="shared" si="623"/>
        <v/>
      </c>
      <c r="YS30" s="331" t="str">
        <f t="shared" si="623"/>
        <v/>
      </c>
      <c r="YT30" s="331" t="str">
        <f t="shared" si="623"/>
        <v/>
      </c>
      <c r="YU30" s="331" t="str">
        <f t="shared" si="623"/>
        <v/>
      </c>
      <c r="YV30" s="332" t="str">
        <f t="shared" si="623"/>
        <v/>
      </c>
      <c r="YW30" s="330" t="str">
        <f t="shared" ref="YW30:AAN30" si="624">IFERROR(INDEX($C$7:$C$17,MATCH(YW23,YW7:YW17,0),1),"")</f>
        <v>Costco</v>
      </c>
      <c r="YX30" s="331" t="str">
        <f t="shared" si="624"/>
        <v/>
      </c>
      <c r="YY30" s="331" t="str">
        <f t="shared" si="624"/>
        <v/>
      </c>
      <c r="YZ30" s="331" t="str">
        <f t="shared" si="624"/>
        <v/>
      </c>
      <c r="ZA30" s="331" t="str">
        <f t="shared" si="624"/>
        <v/>
      </c>
      <c r="ZB30" s="331" t="str">
        <f t="shared" si="624"/>
        <v/>
      </c>
      <c r="ZC30" s="331" t="str">
        <f t="shared" si="624"/>
        <v/>
      </c>
      <c r="ZD30" s="331" t="str">
        <f t="shared" si="624"/>
        <v/>
      </c>
      <c r="ZE30" s="331" t="str">
        <f t="shared" si="624"/>
        <v/>
      </c>
      <c r="ZF30" s="331" t="str">
        <f t="shared" si="624"/>
        <v/>
      </c>
      <c r="ZG30" s="331" t="str">
        <f t="shared" si="624"/>
        <v/>
      </c>
      <c r="ZH30" s="331" t="str">
        <f t="shared" si="624"/>
        <v/>
      </c>
      <c r="ZI30" s="331" t="str">
        <f t="shared" si="624"/>
        <v/>
      </c>
      <c r="ZJ30" s="331" t="str">
        <f t="shared" si="624"/>
        <v/>
      </c>
      <c r="ZK30" s="331" t="str">
        <f t="shared" si="624"/>
        <v/>
      </c>
      <c r="ZL30" s="331" t="str">
        <f t="shared" si="624"/>
        <v/>
      </c>
      <c r="ZM30" s="331" t="str">
        <f t="shared" si="624"/>
        <v/>
      </c>
      <c r="ZN30" s="331" t="str">
        <f t="shared" si="624"/>
        <v/>
      </c>
      <c r="ZO30" s="331" t="str">
        <f t="shared" si="624"/>
        <v/>
      </c>
      <c r="ZP30" s="332" t="str">
        <f t="shared" si="624"/>
        <v/>
      </c>
      <c r="ZQ30" s="330" t="str">
        <f t="shared" si="624"/>
        <v>Costco</v>
      </c>
      <c r="ZR30" s="331" t="str">
        <f t="shared" si="624"/>
        <v/>
      </c>
      <c r="ZS30" s="331" t="str">
        <f t="shared" si="624"/>
        <v/>
      </c>
      <c r="ZT30" s="331" t="str">
        <f t="shared" si="624"/>
        <v/>
      </c>
      <c r="ZU30" s="331" t="str">
        <f t="shared" si="624"/>
        <v/>
      </c>
      <c r="ZV30" s="331" t="str">
        <f t="shared" si="624"/>
        <v/>
      </c>
      <c r="ZW30" s="331" t="str">
        <f t="shared" si="624"/>
        <v/>
      </c>
      <c r="ZX30" s="331" t="str">
        <f t="shared" si="624"/>
        <v/>
      </c>
      <c r="ZY30" s="331" t="str">
        <f t="shared" si="624"/>
        <v/>
      </c>
      <c r="ZZ30" s="331" t="str">
        <f t="shared" si="624"/>
        <v/>
      </c>
      <c r="AAA30" s="331" t="str">
        <f t="shared" si="624"/>
        <v/>
      </c>
      <c r="AAB30" s="331" t="str">
        <f t="shared" si="624"/>
        <v/>
      </c>
      <c r="AAC30" s="331" t="str">
        <f t="shared" si="624"/>
        <v/>
      </c>
      <c r="AAD30" s="331" t="str">
        <f t="shared" si="624"/>
        <v/>
      </c>
      <c r="AAE30" s="331" t="str">
        <f t="shared" si="624"/>
        <v/>
      </c>
      <c r="AAF30" s="331" t="str">
        <f t="shared" si="624"/>
        <v/>
      </c>
      <c r="AAG30" s="331" t="str">
        <f t="shared" si="624"/>
        <v/>
      </c>
      <c r="AAH30" s="331" t="str">
        <f t="shared" si="624"/>
        <v/>
      </c>
      <c r="AAI30" s="331" t="str">
        <f t="shared" si="624"/>
        <v/>
      </c>
      <c r="AAJ30" s="332" t="str">
        <f t="shared" si="624"/>
        <v/>
      </c>
      <c r="AAK30" s="330" t="str">
        <f t="shared" si="624"/>
        <v>Costco</v>
      </c>
      <c r="AAL30" s="331" t="str">
        <f t="shared" si="624"/>
        <v/>
      </c>
      <c r="AAM30" s="331" t="str">
        <f t="shared" si="624"/>
        <v/>
      </c>
      <c r="AAN30" s="331" t="str">
        <f t="shared" si="624"/>
        <v/>
      </c>
      <c r="AAO30" s="331" t="str">
        <f t="shared" ref="AAO30:ABD30" si="625">IFERROR(INDEX($C$7:$C$17,MATCH(AAO23,AAO7:AAO17,0),1),"")</f>
        <v/>
      </c>
      <c r="AAP30" s="331" t="str">
        <f t="shared" si="625"/>
        <v/>
      </c>
      <c r="AAQ30" s="331" t="str">
        <f t="shared" si="625"/>
        <v/>
      </c>
      <c r="AAR30" s="331" t="str">
        <f t="shared" si="625"/>
        <v/>
      </c>
      <c r="AAS30" s="331" t="str">
        <f t="shared" si="625"/>
        <v/>
      </c>
      <c r="AAT30" s="331" t="str">
        <f t="shared" si="625"/>
        <v/>
      </c>
      <c r="AAU30" s="331" t="str">
        <f t="shared" si="625"/>
        <v/>
      </c>
      <c r="AAV30" s="331" t="str">
        <f t="shared" si="625"/>
        <v/>
      </c>
      <c r="AAW30" s="331" t="str">
        <f t="shared" si="625"/>
        <v/>
      </c>
      <c r="AAX30" s="331" t="str">
        <f t="shared" si="625"/>
        <v/>
      </c>
      <c r="AAY30" s="331" t="str">
        <f t="shared" si="625"/>
        <v/>
      </c>
      <c r="AAZ30" s="331" t="str">
        <f t="shared" si="625"/>
        <v/>
      </c>
      <c r="ABA30" s="331" t="str">
        <f t="shared" si="625"/>
        <v/>
      </c>
      <c r="ABB30" s="331" t="str">
        <f t="shared" si="625"/>
        <v/>
      </c>
      <c r="ABC30" s="331" t="str">
        <f t="shared" si="625"/>
        <v/>
      </c>
      <c r="ABD30" s="332" t="str">
        <f t="shared" si="625"/>
        <v/>
      </c>
      <c r="ABE30" s="330" t="str">
        <f t="shared" ref="ABE30:ACR30" si="626">IFERROR(INDEX($C$7:$C$17,MATCH(ABE23,ABE7:ABE17,0),1),"")</f>
        <v>Walmart</v>
      </c>
      <c r="ABF30" s="331" t="str">
        <f t="shared" si="626"/>
        <v/>
      </c>
      <c r="ABG30" s="331" t="str">
        <f t="shared" si="626"/>
        <v/>
      </c>
      <c r="ABH30" s="331" t="str">
        <f t="shared" si="626"/>
        <v/>
      </c>
      <c r="ABI30" s="331" t="str">
        <f t="shared" si="626"/>
        <v/>
      </c>
      <c r="ABJ30" s="331" t="str">
        <f t="shared" si="626"/>
        <v/>
      </c>
      <c r="ABK30" s="331" t="str">
        <f t="shared" si="626"/>
        <v/>
      </c>
      <c r="ABL30" s="331" t="str">
        <f t="shared" si="626"/>
        <v/>
      </c>
      <c r="ABM30" s="331" t="str">
        <f t="shared" si="626"/>
        <v/>
      </c>
      <c r="ABN30" s="331" t="str">
        <f t="shared" si="626"/>
        <v/>
      </c>
      <c r="ABO30" s="331" t="str">
        <f t="shared" si="626"/>
        <v/>
      </c>
      <c r="ABP30" s="331" t="str">
        <f t="shared" si="626"/>
        <v/>
      </c>
      <c r="ABQ30" s="331" t="str">
        <f t="shared" si="626"/>
        <v/>
      </c>
      <c r="ABR30" s="331" t="str">
        <f t="shared" si="626"/>
        <v/>
      </c>
      <c r="ABS30" s="331" t="str">
        <f t="shared" si="626"/>
        <v/>
      </c>
      <c r="ABT30" s="331" t="str">
        <f t="shared" si="626"/>
        <v/>
      </c>
      <c r="ABU30" s="331" t="str">
        <f t="shared" si="626"/>
        <v/>
      </c>
      <c r="ABV30" s="331" t="str">
        <f t="shared" si="626"/>
        <v/>
      </c>
      <c r="ABW30" s="331" t="str">
        <f t="shared" si="626"/>
        <v/>
      </c>
      <c r="ABX30" s="332" t="str">
        <f t="shared" si="626"/>
        <v/>
      </c>
      <c r="ABY30" s="329" t="str">
        <f t="shared" si="626"/>
        <v>Costco</v>
      </c>
      <c r="ABZ30" s="327" t="str">
        <f t="shared" si="626"/>
        <v/>
      </c>
      <c r="ACA30" s="327" t="str">
        <f t="shared" si="626"/>
        <v/>
      </c>
      <c r="ACB30" s="327" t="str">
        <f t="shared" si="626"/>
        <v/>
      </c>
      <c r="ACC30" s="327" t="str">
        <f t="shared" si="626"/>
        <v/>
      </c>
      <c r="ACD30" s="327" t="str">
        <f t="shared" si="626"/>
        <v/>
      </c>
      <c r="ACE30" s="327" t="str">
        <f t="shared" si="626"/>
        <v/>
      </c>
      <c r="ACF30" s="327" t="str">
        <f t="shared" si="626"/>
        <v/>
      </c>
      <c r="ACG30" s="327" t="str">
        <f t="shared" si="626"/>
        <v/>
      </c>
      <c r="ACH30" s="327" t="str">
        <f t="shared" si="626"/>
        <v/>
      </c>
      <c r="ACI30" s="327" t="str">
        <f t="shared" si="626"/>
        <v/>
      </c>
      <c r="ACJ30" s="327" t="str">
        <f t="shared" si="626"/>
        <v/>
      </c>
      <c r="ACK30" s="327" t="str">
        <f t="shared" si="626"/>
        <v/>
      </c>
      <c r="ACL30" s="327" t="str">
        <f t="shared" si="626"/>
        <v/>
      </c>
      <c r="ACM30" s="327" t="str">
        <f t="shared" si="626"/>
        <v/>
      </c>
      <c r="ACN30" s="327" t="str">
        <f t="shared" si="626"/>
        <v/>
      </c>
      <c r="ACO30" s="327" t="str">
        <f t="shared" si="626"/>
        <v/>
      </c>
      <c r="ACP30" s="327" t="str">
        <f t="shared" si="626"/>
        <v/>
      </c>
      <c r="ACQ30" s="327" t="str">
        <f t="shared" si="626"/>
        <v/>
      </c>
      <c r="ACR30" s="328" t="str">
        <f t="shared" si="626"/>
        <v/>
      </c>
    </row>
    <row r="31" spans="1:772" s="97" customFormat="1" ht="15" customHeight="1" x14ac:dyDescent="0.2">
      <c r="A31" s="99" t="s">
        <v>1039</v>
      </c>
      <c r="B31" s="590"/>
      <c r="C31" s="590"/>
      <c r="D31" s="590"/>
      <c r="E31" s="591"/>
      <c r="F31" s="591"/>
      <c r="G31" s="592"/>
      <c r="H31" s="592"/>
      <c r="I31" s="592"/>
      <c r="J31" s="592"/>
      <c r="K31" s="592"/>
      <c r="L31" s="592"/>
      <c r="M31" s="592"/>
      <c r="N31" s="592"/>
      <c r="O31" s="592"/>
      <c r="P31" s="592"/>
      <c r="Q31" s="592"/>
      <c r="R31" s="592"/>
      <c r="S31" s="592"/>
      <c r="T31" s="592"/>
      <c r="U31" s="592"/>
      <c r="V31" s="592"/>
      <c r="W31" s="592"/>
      <c r="X31" s="592"/>
      <c r="Y31" s="592"/>
      <c r="Z31" s="592"/>
      <c r="AA31" s="592"/>
      <c r="AB31" s="592"/>
      <c r="AC31" s="592"/>
      <c r="AD31" s="592"/>
      <c r="AE31" s="593"/>
      <c r="AF31" s="129"/>
      <c r="AG31" s="695">
        <f>IF(PeerAnalysisChartType_NonFin="Absolute",AG7,100)</f>
        <v>0.25098700000000002</v>
      </c>
      <c r="AH31" s="696" t="str">
        <f t="shared" ref="AH31:AZ31" si="627">IF(PeerAnalysisChartType_NonFin="Absolute",AH7,IFERROR((AG31/AG7)*AH7,""))</f>
        <v/>
      </c>
      <c r="AI31" s="696" t="str">
        <f t="shared" si="627"/>
        <v/>
      </c>
      <c r="AJ31" s="696" t="str">
        <f t="shared" si="627"/>
        <v/>
      </c>
      <c r="AK31" s="696" t="str">
        <f t="shared" si="627"/>
        <v/>
      </c>
      <c r="AL31" s="696" t="str">
        <f t="shared" si="627"/>
        <v/>
      </c>
      <c r="AM31" s="696" t="str">
        <f t="shared" si="627"/>
        <v/>
      </c>
      <c r="AN31" s="696" t="str">
        <f t="shared" si="627"/>
        <v/>
      </c>
      <c r="AO31" s="696" t="str">
        <f t="shared" si="627"/>
        <v/>
      </c>
      <c r="AP31" s="696" t="str">
        <f t="shared" si="627"/>
        <v/>
      </c>
      <c r="AQ31" s="696" t="str">
        <f t="shared" si="627"/>
        <v/>
      </c>
      <c r="AR31" s="696" t="str">
        <f t="shared" si="627"/>
        <v/>
      </c>
      <c r="AS31" s="696" t="str">
        <f t="shared" si="627"/>
        <v/>
      </c>
      <c r="AT31" s="696" t="str">
        <f t="shared" si="627"/>
        <v/>
      </c>
      <c r="AU31" s="696" t="str">
        <f t="shared" si="627"/>
        <v/>
      </c>
      <c r="AV31" s="696" t="str">
        <f t="shared" si="627"/>
        <v/>
      </c>
      <c r="AW31" s="696" t="str">
        <f t="shared" si="627"/>
        <v/>
      </c>
      <c r="AX31" s="696" t="str">
        <f t="shared" si="627"/>
        <v/>
      </c>
      <c r="AY31" s="696" t="str">
        <f t="shared" si="627"/>
        <v/>
      </c>
      <c r="AZ31" s="697" t="str">
        <f t="shared" si="627"/>
        <v/>
      </c>
      <c r="BA31" s="698">
        <f>IF(PeerAnalysisChartType_NonFin="Absolute",BA7,100)</f>
        <v>6.3900999999999999E-2</v>
      </c>
      <c r="BB31" s="696" t="str">
        <f t="shared" ref="BB31:BT31" si="628">IF(PeerAnalysisChartType_NonFin="Absolute",BB7,IFERROR((BA31/BA7)*BB7,""))</f>
        <v/>
      </c>
      <c r="BC31" s="696" t="str">
        <f t="shared" si="628"/>
        <v/>
      </c>
      <c r="BD31" s="696" t="str">
        <f t="shared" si="628"/>
        <v/>
      </c>
      <c r="BE31" s="696" t="str">
        <f t="shared" si="628"/>
        <v/>
      </c>
      <c r="BF31" s="696" t="str">
        <f t="shared" si="628"/>
        <v/>
      </c>
      <c r="BG31" s="696" t="str">
        <f t="shared" si="628"/>
        <v/>
      </c>
      <c r="BH31" s="696" t="str">
        <f t="shared" si="628"/>
        <v/>
      </c>
      <c r="BI31" s="696" t="str">
        <f t="shared" si="628"/>
        <v/>
      </c>
      <c r="BJ31" s="696" t="str">
        <f t="shared" si="628"/>
        <v/>
      </c>
      <c r="BK31" s="696" t="str">
        <f t="shared" si="628"/>
        <v/>
      </c>
      <c r="BL31" s="696" t="str">
        <f t="shared" si="628"/>
        <v/>
      </c>
      <c r="BM31" s="696" t="str">
        <f t="shared" si="628"/>
        <v/>
      </c>
      <c r="BN31" s="696" t="str">
        <f t="shared" si="628"/>
        <v/>
      </c>
      <c r="BO31" s="696" t="str">
        <f t="shared" si="628"/>
        <v/>
      </c>
      <c r="BP31" s="696" t="str">
        <f t="shared" si="628"/>
        <v/>
      </c>
      <c r="BQ31" s="696" t="str">
        <f t="shared" si="628"/>
        <v/>
      </c>
      <c r="BR31" s="696" t="str">
        <f t="shared" si="628"/>
        <v/>
      </c>
      <c r="BS31" s="696" t="str">
        <f t="shared" si="628"/>
        <v/>
      </c>
      <c r="BT31" s="697" t="str">
        <f t="shared" si="628"/>
        <v/>
      </c>
      <c r="BU31" s="698">
        <f>IF(PeerAnalysisChartType_NonFin="Absolute",BU7,100)</f>
        <v>4.5293E-2</v>
      </c>
      <c r="BV31" s="696" t="str">
        <f t="shared" ref="BV31:CN31" si="629">IF(PeerAnalysisChartType_NonFin="Absolute",BV7,IFERROR((BU31/BU7)*BV7,""))</f>
        <v/>
      </c>
      <c r="BW31" s="696" t="str">
        <f t="shared" si="629"/>
        <v/>
      </c>
      <c r="BX31" s="696" t="str">
        <f t="shared" si="629"/>
        <v/>
      </c>
      <c r="BY31" s="696" t="str">
        <f t="shared" si="629"/>
        <v/>
      </c>
      <c r="BZ31" s="696" t="str">
        <f t="shared" si="629"/>
        <v/>
      </c>
      <c r="CA31" s="696" t="str">
        <f t="shared" si="629"/>
        <v/>
      </c>
      <c r="CB31" s="696" t="str">
        <f t="shared" si="629"/>
        <v/>
      </c>
      <c r="CC31" s="696" t="str">
        <f t="shared" si="629"/>
        <v/>
      </c>
      <c r="CD31" s="696" t="str">
        <f t="shared" si="629"/>
        <v/>
      </c>
      <c r="CE31" s="696" t="str">
        <f t="shared" si="629"/>
        <v/>
      </c>
      <c r="CF31" s="696" t="str">
        <f t="shared" si="629"/>
        <v/>
      </c>
      <c r="CG31" s="696" t="str">
        <f t="shared" si="629"/>
        <v/>
      </c>
      <c r="CH31" s="696" t="str">
        <f t="shared" si="629"/>
        <v/>
      </c>
      <c r="CI31" s="696" t="str">
        <f t="shared" si="629"/>
        <v/>
      </c>
      <c r="CJ31" s="696" t="str">
        <f t="shared" si="629"/>
        <v/>
      </c>
      <c r="CK31" s="696" t="str">
        <f t="shared" si="629"/>
        <v/>
      </c>
      <c r="CL31" s="696" t="str">
        <f t="shared" si="629"/>
        <v/>
      </c>
      <c r="CM31" s="696" t="str">
        <f t="shared" si="629"/>
        <v/>
      </c>
      <c r="CN31" s="697" t="str">
        <f t="shared" si="629"/>
        <v/>
      </c>
      <c r="CO31" s="698">
        <f>IF(PeerAnalysisChartType_NonFin="Absolute",CO7,100)</f>
        <v>2.3872000000000001E-2</v>
      </c>
      <c r="CP31" s="696" t="str">
        <f t="shared" ref="CP31:DH31" si="630">IF(PeerAnalysisChartType_NonFin="Absolute",CP7,IFERROR((CO31/CO7)*CP7,""))</f>
        <v/>
      </c>
      <c r="CQ31" s="696" t="str">
        <f t="shared" si="630"/>
        <v/>
      </c>
      <c r="CR31" s="696" t="str">
        <f t="shared" si="630"/>
        <v/>
      </c>
      <c r="CS31" s="696" t="str">
        <f t="shared" si="630"/>
        <v/>
      </c>
      <c r="CT31" s="696" t="str">
        <f t="shared" si="630"/>
        <v/>
      </c>
      <c r="CU31" s="696" t="str">
        <f t="shared" si="630"/>
        <v/>
      </c>
      <c r="CV31" s="696" t="str">
        <f t="shared" si="630"/>
        <v/>
      </c>
      <c r="CW31" s="696" t="str">
        <f t="shared" si="630"/>
        <v/>
      </c>
      <c r="CX31" s="696" t="str">
        <f t="shared" si="630"/>
        <v/>
      </c>
      <c r="CY31" s="696" t="str">
        <f t="shared" si="630"/>
        <v/>
      </c>
      <c r="CZ31" s="696" t="str">
        <f t="shared" si="630"/>
        <v/>
      </c>
      <c r="DA31" s="696" t="str">
        <f t="shared" si="630"/>
        <v/>
      </c>
      <c r="DB31" s="696" t="str">
        <f t="shared" si="630"/>
        <v/>
      </c>
      <c r="DC31" s="696" t="str">
        <f t="shared" si="630"/>
        <v/>
      </c>
      <c r="DD31" s="696" t="str">
        <f t="shared" si="630"/>
        <v/>
      </c>
      <c r="DE31" s="696" t="str">
        <f t="shared" si="630"/>
        <v/>
      </c>
      <c r="DF31" s="696" t="str">
        <f t="shared" si="630"/>
        <v/>
      </c>
      <c r="DG31" s="696" t="str">
        <f t="shared" si="630"/>
        <v/>
      </c>
      <c r="DH31" s="697" t="str">
        <f t="shared" si="630"/>
        <v/>
      </c>
      <c r="DI31" s="698">
        <f>IF(PeerAnalysisChartType_NonFin="Absolute",DI7,100)</f>
        <v>0.7490126651232466</v>
      </c>
      <c r="DJ31" s="696" t="str">
        <f t="shared" ref="DJ31:EB31" si="631">IF(PeerAnalysisChartType_NonFin="Absolute",DJ7,IFERROR((DI31/DI7)*DJ7,""))</f>
        <v/>
      </c>
      <c r="DK31" s="696" t="str">
        <f t="shared" si="631"/>
        <v/>
      </c>
      <c r="DL31" s="696" t="str">
        <f t="shared" si="631"/>
        <v/>
      </c>
      <c r="DM31" s="696" t="str">
        <f t="shared" si="631"/>
        <v/>
      </c>
      <c r="DN31" s="696" t="str">
        <f t="shared" si="631"/>
        <v/>
      </c>
      <c r="DO31" s="696" t="str">
        <f t="shared" si="631"/>
        <v/>
      </c>
      <c r="DP31" s="696" t="str">
        <f t="shared" si="631"/>
        <v/>
      </c>
      <c r="DQ31" s="696" t="str">
        <f t="shared" si="631"/>
        <v/>
      </c>
      <c r="DR31" s="696" t="str">
        <f t="shared" si="631"/>
        <v/>
      </c>
      <c r="DS31" s="696" t="str">
        <f t="shared" si="631"/>
        <v/>
      </c>
      <c r="DT31" s="696" t="str">
        <f t="shared" si="631"/>
        <v/>
      </c>
      <c r="DU31" s="696" t="str">
        <f t="shared" si="631"/>
        <v/>
      </c>
      <c r="DV31" s="696" t="str">
        <f t="shared" si="631"/>
        <v/>
      </c>
      <c r="DW31" s="696" t="str">
        <f t="shared" si="631"/>
        <v/>
      </c>
      <c r="DX31" s="696" t="str">
        <f t="shared" si="631"/>
        <v/>
      </c>
      <c r="DY31" s="696" t="str">
        <f t="shared" si="631"/>
        <v/>
      </c>
      <c r="DZ31" s="696" t="str">
        <f t="shared" si="631"/>
        <v/>
      </c>
      <c r="EA31" s="696" t="str">
        <f t="shared" si="631"/>
        <v/>
      </c>
      <c r="EB31" s="697" t="str">
        <f t="shared" si="631"/>
        <v/>
      </c>
      <c r="EC31" s="698">
        <f>IF(PeerAnalysisChartType_NonFin="Absolute",EC7,100)</f>
        <v>0.18708555505504981</v>
      </c>
      <c r="ED31" s="696" t="str">
        <f t="shared" ref="ED31:EV31" si="632">IF(PeerAnalysisChartType_NonFin="Absolute",ED7,IFERROR((EC31/EC7)*ED7,""))</f>
        <v/>
      </c>
      <c r="EE31" s="696" t="str">
        <f t="shared" si="632"/>
        <v/>
      </c>
      <c r="EF31" s="696" t="str">
        <f t="shared" si="632"/>
        <v/>
      </c>
      <c r="EG31" s="696" t="str">
        <f t="shared" si="632"/>
        <v/>
      </c>
      <c r="EH31" s="696" t="str">
        <f t="shared" si="632"/>
        <v/>
      </c>
      <c r="EI31" s="696" t="str">
        <f t="shared" si="632"/>
        <v/>
      </c>
      <c r="EJ31" s="696" t="str">
        <f t="shared" si="632"/>
        <v/>
      </c>
      <c r="EK31" s="696" t="str">
        <f t="shared" si="632"/>
        <v/>
      </c>
      <c r="EL31" s="696" t="str">
        <f t="shared" si="632"/>
        <v/>
      </c>
      <c r="EM31" s="696" t="str">
        <f t="shared" si="632"/>
        <v/>
      </c>
      <c r="EN31" s="696" t="str">
        <f t="shared" si="632"/>
        <v/>
      </c>
      <c r="EO31" s="696" t="str">
        <f t="shared" si="632"/>
        <v/>
      </c>
      <c r="EP31" s="696" t="str">
        <f t="shared" si="632"/>
        <v/>
      </c>
      <c r="EQ31" s="696" t="str">
        <f t="shared" si="632"/>
        <v/>
      </c>
      <c r="ER31" s="696" t="str">
        <f t="shared" si="632"/>
        <v/>
      </c>
      <c r="ES31" s="696" t="str">
        <f t="shared" si="632"/>
        <v/>
      </c>
      <c r="ET31" s="696" t="str">
        <f t="shared" si="632"/>
        <v/>
      </c>
      <c r="EU31" s="696" t="str">
        <f t="shared" si="632"/>
        <v/>
      </c>
      <c r="EV31" s="697" t="str">
        <f t="shared" si="632"/>
        <v/>
      </c>
      <c r="EW31" s="698">
        <f>IF(PeerAnalysisChartType_NonFin="Absolute",EW7,100)</f>
        <v>0.20569299999999999</v>
      </c>
      <c r="EX31" s="696" t="str">
        <f t="shared" ref="EX31:FP31" si="633">IF(PeerAnalysisChartType_NonFin="Absolute",EX7,IFERROR((EW31/EW7)*EX7,""))</f>
        <v/>
      </c>
      <c r="EY31" s="696" t="str">
        <f t="shared" si="633"/>
        <v/>
      </c>
      <c r="EZ31" s="696" t="str">
        <f t="shared" si="633"/>
        <v/>
      </c>
      <c r="FA31" s="696" t="str">
        <f t="shared" si="633"/>
        <v/>
      </c>
      <c r="FB31" s="696" t="str">
        <f t="shared" si="633"/>
        <v/>
      </c>
      <c r="FC31" s="696" t="str">
        <f t="shared" si="633"/>
        <v/>
      </c>
      <c r="FD31" s="696" t="str">
        <f t="shared" si="633"/>
        <v/>
      </c>
      <c r="FE31" s="696" t="str">
        <f t="shared" si="633"/>
        <v/>
      </c>
      <c r="FF31" s="696" t="str">
        <f t="shared" si="633"/>
        <v/>
      </c>
      <c r="FG31" s="696" t="str">
        <f t="shared" si="633"/>
        <v/>
      </c>
      <c r="FH31" s="696" t="str">
        <f t="shared" si="633"/>
        <v/>
      </c>
      <c r="FI31" s="696" t="str">
        <f t="shared" si="633"/>
        <v/>
      </c>
      <c r="FJ31" s="696" t="str">
        <f t="shared" si="633"/>
        <v/>
      </c>
      <c r="FK31" s="696" t="str">
        <f t="shared" si="633"/>
        <v/>
      </c>
      <c r="FL31" s="696" t="str">
        <f t="shared" si="633"/>
        <v/>
      </c>
      <c r="FM31" s="696" t="str">
        <f t="shared" si="633"/>
        <v/>
      </c>
      <c r="FN31" s="696" t="str">
        <f t="shared" si="633"/>
        <v/>
      </c>
      <c r="FO31" s="696" t="str">
        <f t="shared" si="633"/>
        <v/>
      </c>
      <c r="FP31" s="697" t="str">
        <f t="shared" si="633"/>
        <v/>
      </c>
      <c r="FQ31" s="698">
        <f>IF(PeerAnalysisChartType_NonFin="Absolute",FQ7,100)</f>
        <v>0</v>
      </c>
      <c r="FR31" s="696" t="str">
        <f t="shared" ref="FR31:GJ31" si="634">IF(PeerAnalysisChartType_NonFin="Absolute",FR7,IFERROR((FQ31/FQ7)*FR7,""))</f>
        <v/>
      </c>
      <c r="FS31" s="696" t="str">
        <f t="shared" si="634"/>
        <v/>
      </c>
      <c r="FT31" s="696" t="str">
        <f t="shared" si="634"/>
        <v/>
      </c>
      <c r="FU31" s="696" t="str">
        <f t="shared" si="634"/>
        <v/>
      </c>
      <c r="FV31" s="696" t="str">
        <f t="shared" si="634"/>
        <v/>
      </c>
      <c r="FW31" s="696" t="str">
        <f t="shared" si="634"/>
        <v/>
      </c>
      <c r="FX31" s="696" t="str">
        <f t="shared" si="634"/>
        <v/>
      </c>
      <c r="FY31" s="696" t="str">
        <f t="shared" si="634"/>
        <v/>
      </c>
      <c r="FZ31" s="696" t="str">
        <f t="shared" si="634"/>
        <v/>
      </c>
      <c r="GA31" s="696" t="str">
        <f t="shared" si="634"/>
        <v/>
      </c>
      <c r="GB31" s="696" t="str">
        <f t="shared" si="634"/>
        <v/>
      </c>
      <c r="GC31" s="696" t="str">
        <f t="shared" si="634"/>
        <v/>
      </c>
      <c r="GD31" s="696" t="str">
        <f t="shared" si="634"/>
        <v/>
      </c>
      <c r="GE31" s="696" t="str">
        <f t="shared" si="634"/>
        <v/>
      </c>
      <c r="GF31" s="696" t="str">
        <f t="shared" si="634"/>
        <v/>
      </c>
      <c r="GG31" s="696" t="str">
        <f t="shared" si="634"/>
        <v/>
      </c>
      <c r="GH31" s="696" t="str">
        <f t="shared" si="634"/>
        <v/>
      </c>
      <c r="GI31" s="696" t="str">
        <f t="shared" si="634"/>
        <v/>
      </c>
      <c r="GJ31" s="697" t="str">
        <f t="shared" si="634"/>
        <v/>
      </c>
      <c r="GK31" s="595">
        <f>IF(PeerAnalysisChartType_NonFin="Absolute",GK7,100)</f>
        <v>4.7145371311243567</v>
      </c>
      <c r="GL31" s="596" t="str">
        <f t="shared" ref="GL31:HD31" si="635">IF(PeerAnalysisChartType_NonFin="Absolute",GL7,IFERROR((GK31/GK7)*GL7,""))</f>
        <v/>
      </c>
      <c r="GM31" s="596" t="str">
        <f t="shared" si="635"/>
        <v/>
      </c>
      <c r="GN31" s="596" t="str">
        <f t="shared" si="635"/>
        <v/>
      </c>
      <c r="GO31" s="596" t="str">
        <f t="shared" si="635"/>
        <v/>
      </c>
      <c r="GP31" s="596" t="str">
        <f t="shared" si="635"/>
        <v/>
      </c>
      <c r="GQ31" s="596" t="str">
        <f t="shared" si="635"/>
        <v/>
      </c>
      <c r="GR31" s="596" t="str">
        <f t="shared" si="635"/>
        <v/>
      </c>
      <c r="GS31" s="596" t="str">
        <f t="shared" si="635"/>
        <v/>
      </c>
      <c r="GT31" s="596" t="str">
        <f t="shared" si="635"/>
        <v/>
      </c>
      <c r="GU31" s="596" t="str">
        <f t="shared" si="635"/>
        <v/>
      </c>
      <c r="GV31" s="596" t="str">
        <f t="shared" si="635"/>
        <v/>
      </c>
      <c r="GW31" s="596" t="str">
        <f t="shared" si="635"/>
        <v/>
      </c>
      <c r="GX31" s="596" t="str">
        <f t="shared" si="635"/>
        <v/>
      </c>
      <c r="GY31" s="596" t="str">
        <f t="shared" si="635"/>
        <v/>
      </c>
      <c r="GZ31" s="596" t="str">
        <f t="shared" si="635"/>
        <v/>
      </c>
      <c r="HA31" s="596" t="str">
        <f t="shared" si="635"/>
        <v/>
      </c>
      <c r="HB31" s="596" t="str">
        <f t="shared" si="635"/>
        <v/>
      </c>
      <c r="HC31" s="596" t="str">
        <f t="shared" si="635"/>
        <v/>
      </c>
      <c r="HD31" s="597" t="str">
        <f t="shared" si="635"/>
        <v/>
      </c>
      <c r="HE31" s="595">
        <f>IF(PeerAnalysisChartType_NonFin="Absolute",HE7,100)</f>
        <v>43.161888111888111</v>
      </c>
      <c r="HF31" s="596" t="str">
        <f t="shared" ref="HF31:HX31" si="636">IF(PeerAnalysisChartType_NonFin="Absolute",HF7,IFERROR((HE31/HE7)*HF7,""))</f>
        <v/>
      </c>
      <c r="HG31" s="596" t="str">
        <f t="shared" si="636"/>
        <v/>
      </c>
      <c r="HH31" s="596" t="str">
        <f t="shared" si="636"/>
        <v/>
      </c>
      <c r="HI31" s="596" t="str">
        <f t="shared" si="636"/>
        <v/>
      </c>
      <c r="HJ31" s="596" t="str">
        <f t="shared" si="636"/>
        <v/>
      </c>
      <c r="HK31" s="596" t="str">
        <f t="shared" si="636"/>
        <v/>
      </c>
      <c r="HL31" s="596" t="str">
        <f t="shared" si="636"/>
        <v/>
      </c>
      <c r="HM31" s="596" t="str">
        <f t="shared" si="636"/>
        <v/>
      </c>
      <c r="HN31" s="596" t="str">
        <f t="shared" si="636"/>
        <v/>
      </c>
      <c r="HO31" s="596" t="str">
        <f t="shared" si="636"/>
        <v/>
      </c>
      <c r="HP31" s="596" t="str">
        <f t="shared" si="636"/>
        <v/>
      </c>
      <c r="HQ31" s="596" t="str">
        <f t="shared" si="636"/>
        <v/>
      </c>
      <c r="HR31" s="596" t="str">
        <f t="shared" si="636"/>
        <v/>
      </c>
      <c r="HS31" s="596" t="str">
        <f t="shared" si="636"/>
        <v/>
      </c>
      <c r="HT31" s="596" t="str">
        <f t="shared" si="636"/>
        <v/>
      </c>
      <c r="HU31" s="596" t="str">
        <f t="shared" si="636"/>
        <v/>
      </c>
      <c r="HV31" s="596" t="str">
        <f t="shared" si="636"/>
        <v/>
      </c>
      <c r="HW31" s="596" t="str">
        <f t="shared" si="636"/>
        <v/>
      </c>
      <c r="HX31" s="597" t="str">
        <f t="shared" si="636"/>
        <v/>
      </c>
      <c r="HY31" s="595">
        <f>IF(PeerAnalysisChartType_NonFin="Absolute",HY7,100)</f>
        <v>44.413438228438231</v>
      </c>
      <c r="HZ31" s="596" t="str">
        <f t="shared" ref="HZ31:IR31" si="637">IF(PeerAnalysisChartType_NonFin="Absolute",HZ7,IFERROR((HY31/HY7)*HZ7,""))</f>
        <v/>
      </c>
      <c r="IA31" s="596" t="str">
        <f t="shared" si="637"/>
        <v/>
      </c>
      <c r="IB31" s="596" t="str">
        <f t="shared" si="637"/>
        <v/>
      </c>
      <c r="IC31" s="596" t="str">
        <f t="shared" si="637"/>
        <v/>
      </c>
      <c r="ID31" s="596" t="str">
        <f t="shared" si="637"/>
        <v/>
      </c>
      <c r="IE31" s="596" t="str">
        <f t="shared" si="637"/>
        <v/>
      </c>
      <c r="IF31" s="596" t="str">
        <f t="shared" si="637"/>
        <v/>
      </c>
      <c r="IG31" s="596" t="str">
        <f t="shared" si="637"/>
        <v/>
      </c>
      <c r="IH31" s="596" t="str">
        <f t="shared" si="637"/>
        <v/>
      </c>
      <c r="II31" s="596" t="str">
        <f t="shared" si="637"/>
        <v/>
      </c>
      <c r="IJ31" s="596" t="str">
        <f t="shared" si="637"/>
        <v/>
      </c>
      <c r="IK31" s="596" t="str">
        <f t="shared" si="637"/>
        <v/>
      </c>
      <c r="IL31" s="596" t="str">
        <f t="shared" si="637"/>
        <v/>
      </c>
      <c r="IM31" s="596" t="str">
        <f t="shared" si="637"/>
        <v/>
      </c>
      <c r="IN31" s="596" t="str">
        <f t="shared" si="637"/>
        <v/>
      </c>
      <c r="IO31" s="596" t="str">
        <f t="shared" si="637"/>
        <v/>
      </c>
      <c r="IP31" s="596" t="str">
        <f t="shared" si="637"/>
        <v/>
      </c>
      <c r="IQ31" s="596" t="str">
        <f t="shared" si="637"/>
        <v/>
      </c>
      <c r="IR31" s="597" t="str">
        <f t="shared" si="637"/>
        <v/>
      </c>
      <c r="IS31" s="595">
        <f>IF(PeerAnalysisChartType_NonFin="Absolute",IS7,100)</f>
        <v>3.4629870145742387</v>
      </c>
      <c r="IT31" s="596" t="str">
        <f t="shared" ref="IT31:JL31" si="638">IF(PeerAnalysisChartType_NonFin="Absolute",IT7,IFERROR((IS31/IS7)*IT7,""))</f>
        <v/>
      </c>
      <c r="IU31" s="596" t="str">
        <f t="shared" si="638"/>
        <v/>
      </c>
      <c r="IV31" s="596" t="str">
        <f t="shared" si="638"/>
        <v/>
      </c>
      <c r="IW31" s="596" t="str">
        <f t="shared" si="638"/>
        <v/>
      </c>
      <c r="IX31" s="596" t="str">
        <f t="shared" si="638"/>
        <v/>
      </c>
      <c r="IY31" s="596" t="str">
        <f t="shared" si="638"/>
        <v/>
      </c>
      <c r="IZ31" s="596" t="str">
        <f t="shared" si="638"/>
        <v/>
      </c>
      <c r="JA31" s="596" t="str">
        <f t="shared" si="638"/>
        <v/>
      </c>
      <c r="JB31" s="596" t="str">
        <f t="shared" si="638"/>
        <v/>
      </c>
      <c r="JC31" s="596" t="str">
        <f t="shared" si="638"/>
        <v/>
      </c>
      <c r="JD31" s="596" t="str">
        <f t="shared" si="638"/>
        <v/>
      </c>
      <c r="JE31" s="596" t="str">
        <f t="shared" si="638"/>
        <v/>
      </c>
      <c r="JF31" s="596" t="str">
        <f t="shared" si="638"/>
        <v/>
      </c>
      <c r="JG31" s="596" t="str">
        <f t="shared" si="638"/>
        <v/>
      </c>
      <c r="JH31" s="596" t="str">
        <f t="shared" si="638"/>
        <v/>
      </c>
      <c r="JI31" s="596" t="str">
        <f t="shared" si="638"/>
        <v/>
      </c>
      <c r="JJ31" s="596" t="str">
        <f t="shared" si="638"/>
        <v/>
      </c>
      <c r="JK31" s="596" t="str">
        <f t="shared" si="638"/>
        <v/>
      </c>
      <c r="JL31" s="597" t="str">
        <f t="shared" si="638"/>
        <v/>
      </c>
      <c r="JM31" s="698">
        <f>IF(PeerAnalysisChartType_NonFin="Absolute",JM7,100)</f>
        <v>4.221882343903316E-2</v>
      </c>
      <c r="JN31" s="696" t="str">
        <f t="shared" ref="JN31:KF31" si="639">IF(PeerAnalysisChartType_NonFin="Absolute",JN7,IFERROR((JM31/JM7)*JN7,""))</f>
        <v/>
      </c>
      <c r="JO31" s="696" t="str">
        <f t="shared" si="639"/>
        <v/>
      </c>
      <c r="JP31" s="696" t="str">
        <f t="shared" si="639"/>
        <v/>
      </c>
      <c r="JQ31" s="696" t="str">
        <f t="shared" si="639"/>
        <v/>
      </c>
      <c r="JR31" s="696" t="str">
        <f t="shared" si="639"/>
        <v/>
      </c>
      <c r="JS31" s="696" t="str">
        <f t="shared" si="639"/>
        <v/>
      </c>
      <c r="JT31" s="696" t="str">
        <f t="shared" si="639"/>
        <v/>
      </c>
      <c r="JU31" s="696" t="str">
        <f t="shared" si="639"/>
        <v/>
      </c>
      <c r="JV31" s="696" t="str">
        <f t="shared" si="639"/>
        <v/>
      </c>
      <c r="JW31" s="696" t="str">
        <f t="shared" si="639"/>
        <v/>
      </c>
      <c r="JX31" s="696" t="str">
        <f t="shared" si="639"/>
        <v/>
      </c>
      <c r="JY31" s="696" t="str">
        <f t="shared" si="639"/>
        <v/>
      </c>
      <c r="JZ31" s="696" t="str">
        <f t="shared" si="639"/>
        <v/>
      </c>
      <c r="KA31" s="696" t="str">
        <f t="shared" si="639"/>
        <v/>
      </c>
      <c r="KB31" s="696" t="str">
        <f t="shared" si="639"/>
        <v/>
      </c>
      <c r="KC31" s="696" t="str">
        <f t="shared" si="639"/>
        <v/>
      </c>
      <c r="KD31" s="696" t="str">
        <f t="shared" si="639"/>
        <v/>
      </c>
      <c r="KE31" s="696" t="str">
        <f t="shared" si="639"/>
        <v/>
      </c>
      <c r="KF31" s="697" t="str">
        <f t="shared" si="639"/>
        <v/>
      </c>
      <c r="KG31" s="301">
        <f>IF(PeerAnalysisChartType_NonFin="Absolute",KG7,100)</f>
        <v>2.3031999999999999</v>
      </c>
      <c r="KH31" s="302" t="str">
        <f t="shared" ref="KH31:KZ31" si="640">IF(PeerAnalysisChartType_NonFin="Absolute",KH7,IFERROR((KG31/KG7)*KH7,""))</f>
        <v/>
      </c>
      <c r="KI31" s="302" t="str">
        <f t="shared" si="640"/>
        <v/>
      </c>
      <c r="KJ31" s="302" t="str">
        <f t="shared" si="640"/>
        <v/>
      </c>
      <c r="KK31" s="302" t="str">
        <f t="shared" si="640"/>
        <v/>
      </c>
      <c r="KL31" s="302" t="str">
        <f t="shared" si="640"/>
        <v/>
      </c>
      <c r="KM31" s="302" t="str">
        <f t="shared" si="640"/>
        <v/>
      </c>
      <c r="KN31" s="302" t="str">
        <f t="shared" si="640"/>
        <v/>
      </c>
      <c r="KO31" s="302" t="str">
        <f t="shared" si="640"/>
        <v/>
      </c>
      <c r="KP31" s="302" t="str">
        <f t="shared" si="640"/>
        <v/>
      </c>
      <c r="KQ31" s="302" t="str">
        <f t="shared" si="640"/>
        <v/>
      </c>
      <c r="KR31" s="302" t="str">
        <f t="shared" si="640"/>
        <v/>
      </c>
      <c r="KS31" s="302" t="str">
        <f t="shared" si="640"/>
        <v/>
      </c>
      <c r="KT31" s="302" t="str">
        <f t="shared" si="640"/>
        <v/>
      </c>
      <c r="KU31" s="302" t="str">
        <f t="shared" si="640"/>
        <v/>
      </c>
      <c r="KV31" s="302" t="str">
        <f t="shared" si="640"/>
        <v/>
      </c>
      <c r="KW31" s="302" t="str">
        <f t="shared" si="640"/>
        <v/>
      </c>
      <c r="KX31" s="302" t="str">
        <f t="shared" si="640"/>
        <v/>
      </c>
      <c r="KY31" s="302" t="str">
        <f t="shared" si="640"/>
        <v/>
      </c>
      <c r="KZ31" s="303" t="str">
        <f t="shared" si="640"/>
        <v/>
      </c>
      <c r="LA31" s="301">
        <f>IF(PeerAnalysisChartType_NonFin="Absolute",LA7,100)</f>
        <v>8.4565300000000008</v>
      </c>
      <c r="LB31" s="301" t="str">
        <f t="shared" ref="LB31:LT31" si="641">IF(PeerAnalysisChartType_NonFin="Absolute",LB7,IFERROR((LA31/LA7)*LB7,""))</f>
        <v/>
      </c>
      <c r="LC31" s="301" t="str">
        <f t="shared" si="641"/>
        <v/>
      </c>
      <c r="LD31" s="301" t="str">
        <f t="shared" si="641"/>
        <v/>
      </c>
      <c r="LE31" s="301" t="str">
        <f t="shared" si="641"/>
        <v/>
      </c>
      <c r="LF31" s="301" t="str">
        <f t="shared" si="641"/>
        <v/>
      </c>
      <c r="LG31" s="301" t="str">
        <f t="shared" si="641"/>
        <v/>
      </c>
      <c r="LH31" s="301" t="str">
        <f t="shared" si="641"/>
        <v/>
      </c>
      <c r="LI31" s="301" t="str">
        <f t="shared" si="641"/>
        <v/>
      </c>
      <c r="LJ31" s="301" t="str">
        <f t="shared" si="641"/>
        <v/>
      </c>
      <c r="LK31" s="301" t="str">
        <f t="shared" si="641"/>
        <v/>
      </c>
      <c r="LL31" s="301" t="str">
        <f t="shared" si="641"/>
        <v/>
      </c>
      <c r="LM31" s="301" t="str">
        <f t="shared" si="641"/>
        <v/>
      </c>
      <c r="LN31" s="301" t="str">
        <f t="shared" si="641"/>
        <v/>
      </c>
      <c r="LO31" s="301" t="str">
        <f t="shared" si="641"/>
        <v/>
      </c>
      <c r="LP31" s="301" t="str">
        <f t="shared" si="641"/>
        <v/>
      </c>
      <c r="LQ31" s="301" t="str">
        <f t="shared" si="641"/>
        <v/>
      </c>
      <c r="LR31" s="301" t="str">
        <f t="shared" si="641"/>
        <v/>
      </c>
      <c r="LS31" s="301" t="str">
        <f t="shared" si="641"/>
        <v/>
      </c>
      <c r="LT31" s="301" t="str">
        <f t="shared" si="641"/>
        <v/>
      </c>
      <c r="LU31" s="301">
        <f>IF(PeerAnalysisChartType_NonFin="Absolute",LU7,100)</f>
        <v>77.420109999999994</v>
      </c>
      <c r="LV31" s="301" t="str">
        <f t="shared" ref="LV31:MN31" si="642">IF(PeerAnalysisChartType_NonFin="Absolute",LV7,IFERROR((LU31/LU7)*LV7,""))</f>
        <v/>
      </c>
      <c r="LW31" s="301" t="str">
        <f t="shared" si="642"/>
        <v/>
      </c>
      <c r="LX31" s="301" t="str">
        <f t="shared" si="642"/>
        <v/>
      </c>
      <c r="LY31" s="301" t="str">
        <f t="shared" si="642"/>
        <v/>
      </c>
      <c r="LZ31" s="301" t="str">
        <f t="shared" si="642"/>
        <v/>
      </c>
      <c r="MA31" s="301" t="str">
        <f t="shared" si="642"/>
        <v/>
      </c>
      <c r="MB31" s="301" t="str">
        <f t="shared" si="642"/>
        <v/>
      </c>
      <c r="MC31" s="301" t="str">
        <f t="shared" si="642"/>
        <v/>
      </c>
      <c r="MD31" s="301" t="str">
        <f t="shared" si="642"/>
        <v/>
      </c>
      <c r="ME31" s="301" t="str">
        <f t="shared" si="642"/>
        <v/>
      </c>
      <c r="MF31" s="301" t="str">
        <f t="shared" si="642"/>
        <v/>
      </c>
      <c r="MG31" s="301" t="str">
        <f t="shared" si="642"/>
        <v/>
      </c>
      <c r="MH31" s="301" t="str">
        <f t="shared" si="642"/>
        <v/>
      </c>
      <c r="MI31" s="301" t="str">
        <f t="shared" si="642"/>
        <v/>
      </c>
      <c r="MJ31" s="301" t="str">
        <f t="shared" si="642"/>
        <v/>
      </c>
      <c r="MK31" s="301" t="str">
        <f t="shared" si="642"/>
        <v/>
      </c>
      <c r="ML31" s="301" t="str">
        <f t="shared" si="642"/>
        <v/>
      </c>
      <c r="MM31" s="301" t="str">
        <f t="shared" si="642"/>
        <v/>
      </c>
      <c r="MN31" s="301" t="str">
        <f t="shared" si="642"/>
        <v/>
      </c>
      <c r="MO31" s="698">
        <f>IF(PeerAnalysisChartType_NonFin="Absolute",MO7,100)</f>
        <v>0.25017000114699567</v>
      </c>
      <c r="MP31" s="698" t="str">
        <f t="shared" ref="MP31:NH31" si="643">IF(PeerAnalysisChartType_NonFin="Absolute",MP7,IFERROR((MO31/MO7)*MP7,""))</f>
        <v/>
      </c>
      <c r="MQ31" s="698" t="str">
        <f t="shared" si="643"/>
        <v/>
      </c>
      <c r="MR31" s="698" t="str">
        <f t="shared" si="643"/>
        <v/>
      </c>
      <c r="MS31" s="698" t="str">
        <f t="shared" si="643"/>
        <v/>
      </c>
      <c r="MT31" s="698" t="str">
        <f t="shared" si="643"/>
        <v/>
      </c>
      <c r="MU31" s="698" t="str">
        <f t="shared" si="643"/>
        <v/>
      </c>
      <c r="MV31" s="698" t="str">
        <f t="shared" si="643"/>
        <v/>
      </c>
      <c r="MW31" s="698" t="str">
        <f t="shared" si="643"/>
        <v/>
      </c>
      <c r="MX31" s="698" t="str">
        <f t="shared" si="643"/>
        <v/>
      </c>
      <c r="MY31" s="698" t="str">
        <f t="shared" si="643"/>
        <v/>
      </c>
      <c r="MZ31" s="698" t="str">
        <f t="shared" si="643"/>
        <v/>
      </c>
      <c r="NA31" s="698" t="str">
        <f t="shared" si="643"/>
        <v/>
      </c>
      <c r="NB31" s="698" t="str">
        <f t="shared" si="643"/>
        <v/>
      </c>
      <c r="NC31" s="698" t="str">
        <f t="shared" si="643"/>
        <v/>
      </c>
      <c r="ND31" s="698" t="str">
        <f t="shared" si="643"/>
        <v/>
      </c>
      <c r="NE31" s="698" t="str">
        <f t="shared" si="643"/>
        <v/>
      </c>
      <c r="NF31" s="698" t="str">
        <f t="shared" si="643"/>
        <v/>
      </c>
      <c r="NG31" s="698" t="str">
        <f t="shared" si="643"/>
        <v/>
      </c>
      <c r="NH31" s="698" t="str">
        <f t="shared" si="643"/>
        <v/>
      </c>
      <c r="NI31" s="698">
        <f>IF(PeerAnalysisChartType_NonFin="Absolute",NI7,100)</f>
        <v>2.6383383310173336</v>
      </c>
      <c r="NJ31" s="698" t="str">
        <f t="shared" ref="NJ31:OB31" si="644">IF(PeerAnalysisChartType_NonFin="Absolute",NJ7,IFERROR((NI31/NI7)*NJ7,""))</f>
        <v/>
      </c>
      <c r="NK31" s="698" t="str">
        <f t="shared" si="644"/>
        <v/>
      </c>
      <c r="NL31" s="698" t="str">
        <f t="shared" si="644"/>
        <v/>
      </c>
      <c r="NM31" s="698" t="str">
        <f t="shared" si="644"/>
        <v/>
      </c>
      <c r="NN31" s="698" t="str">
        <f t="shared" si="644"/>
        <v/>
      </c>
      <c r="NO31" s="698" t="str">
        <f t="shared" si="644"/>
        <v/>
      </c>
      <c r="NP31" s="698" t="str">
        <f t="shared" si="644"/>
        <v/>
      </c>
      <c r="NQ31" s="698" t="str">
        <f t="shared" si="644"/>
        <v/>
      </c>
      <c r="NR31" s="698" t="str">
        <f t="shared" si="644"/>
        <v/>
      </c>
      <c r="NS31" s="698" t="str">
        <f t="shared" si="644"/>
        <v/>
      </c>
      <c r="NT31" s="698" t="str">
        <f t="shared" si="644"/>
        <v/>
      </c>
      <c r="NU31" s="698" t="str">
        <f t="shared" si="644"/>
        <v/>
      </c>
      <c r="NV31" s="698" t="str">
        <f t="shared" si="644"/>
        <v/>
      </c>
      <c r="NW31" s="698" t="str">
        <f t="shared" si="644"/>
        <v/>
      </c>
      <c r="NX31" s="698" t="str">
        <f t="shared" si="644"/>
        <v/>
      </c>
      <c r="NY31" s="698" t="str">
        <f t="shared" si="644"/>
        <v/>
      </c>
      <c r="NZ31" s="698" t="str">
        <f t="shared" si="644"/>
        <v/>
      </c>
      <c r="OA31" s="698" t="str">
        <f t="shared" si="644"/>
        <v/>
      </c>
      <c r="OB31" s="698" t="str">
        <f t="shared" si="644"/>
        <v/>
      </c>
      <c r="OC31" s="698">
        <f>IF(PeerAnalysisChartType_NonFin="Absolute",OC7,100)</f>
        <v>5.4327282670762991E-2</v>
      </c>
      <c r="OD31" s="696" t="str">
        <f t="shared" ref="OD31:OV31" si="645">IF(PeerAnalysisChartType_NonFin="Absolute",OD7,IFERROR((OC31/OC7)*OD7,""))</f>
        <v/>
      </c>
      <c r="OE31" s="696" t="str">
        <f t="shared" si="645"/>
        <v/>
      </c>
      <c r="OF31" s="696" t="str">
        <f t="shared" si="645"/>
        <v/>
      </c>
      <c r="OG31" s="696" t="str">
        <f t="shared" si="645"/>
        <v/>
      </c>
      <c r="OH31" s="696" t="str">
        <f t="shared" si="645"/>
        <v/>
      </c>
      <c r="OI31" s="696" t="str">
        <f t="shared" si="645"/>
        <v/>
      </c>
      <c r="OJ31" s="696" t="str">
        <f t="shared" si="645"/>
        <v/>
      </c>
      <c r="OK31" s="696" t="str">
        <f t="shared" si="645"/>
        <v/>
      </c>
      <c r="OL31" s="696" t="str">
        <f t="shared" si="645"/>
        <v/>
      </c>
      <c r="OM31" s="696" t="str">
        <f t="shared" si="645"/>
        <v/>
      </c>
      <c r="ON31" s="696" t="str">
        <f t="shared" si="645"/>
        <v/>
      </c>
      <c r="OO31" s="696" t="str">
        <f t="shared" si="645"/>
        <v/>
      </c>
      <c r="OP31" s="696" t="str">
        <f t="shared" si="645"/>
        <v/>
      </c>
      <c r="OQ31" s="696" t="str">
        <f t="shared" si="645"/>
        <v/>
      </c>
      <c r="OR31" s="696" t="str">
        <f t="shared" si="645"/>
        <v/>
      </c>
      <c r="OS31" s="696" t="str">
        <f t="shared" si="645"/>
        <v/>
      </c>
      <c r="OT31" s="696" t="str">
        <f t="shared" si="645"/>
        <v/>
      </c>
      <c r="OU31" s="696" t="str">
        <f t="shared" si="645"/>
        <v/>
      </c>
      <c r="OV31" s="697" t="str">
        <f t="shared" si="645"/>
        <v/>
      </c>
      <c r="OW31" s="698">
        <f>IF(PeerAnalysisChartType_NonFin="Absolute",OW7,100)</f>
        <v>8.514741658578398E-2</v>
      </c>
      <c r="OX31" s="696" t="str">
        <f t="shared" ref="OX31:PP31" si="646">IF(PeerAnalysisChartType_NonFin="Absolute",OX7,IFERROR((OW31/OW7)*OX7,""))</f>
        <v/>
      </c>
      <c r="OY31" s="696" t="str">
        <f t="shared" si="646"/>
        <v/>
      </c>
      <c r="OZ31" s="696" t="str">
        <f t="shared" si="646"/>
        <v/>
      </c>
      <c r="PA31" s="696" t="str">
        <f t="shared" si="646"/>
        <v/>
      </c>
      <c r="PB31" s="696" t="str">
        <f t="shared" si="646"/>
        <v/>
      </c>
      <c r="PC31" s="696" t="str">
        <f t="shared" si="646"/>
        <v/>
      </c>
      <c r="PD31" s="696" t="str">
        <f t="shared" si="646"/>
        <v/>
      </c>
      <c r="PE31" s="696" t="str">
        <f t="shared" si="646"/>
        <v/>
      </c>
      <c r="PF31" s="696" t="str">
        <f t="shared" si="646"/>
        <v/>
      </c>
      <c r="PG31" s="696" t="str">
        <f t="shared" si="646"/>
        <v/>
      </c>
      <c r="PH31" s="696" t="str">
        <f t="shared" si="646"/>
        <v/>
      </c>
      <c r="PI31" s="696" t="str">
        <f t="shared" si="646"/>
        <v/>
      </c>
      <c r="PJ31" s="696" t="str">
        <f t="shared" si="646"/>
        <v/>
      </c>
      <c r="PK31" s="696" t="str">
        <f t="shared" si="646"/>
        <v/>
      </c>
      <c r="PL31" s="696" t="str">
        <f t="shared" si="646"/>
        <v/>
      </c>
      <c r="PM31" s="696" t="str">
        <f t="shared" si="646"/>
        <v/>
      </c>
      <c r="PN31" s="696" t="str">
        <f t="shared" si="646"/>
        <v/>
      </c>
      <c r="PO31" s="696" t="str">
        <f t="shared" si="646"/>
        <v/>
      </c>
      <c r="PP31" s="697" t="str">
        <f t="shared" si="646"/>
        <v/>
      </c>
      <c r="PQ31" s="301">
        <f>IF(PeerAnalysisChartType_NonFin="Absolute",PQ7,100)</f>
        <v>2.9411552736838313</v>
      </c>
      <c r="PR31" s="302" t="str">
        <f t="shared" ref="PR31:QJ31" si="647">IF(PeerAnalysisChartType_NonFin="Absolute",PR7,IFERROR((PQ31/PQ7)*PR7,""))</f>
        <v/>
      </c>
      <c r="PS31" s="302" t="str">
        <f t="shared" si="647"/>
        <v/>
      </c>
      <c r="PT31" s="302" t="str">
        <f t="shared" si="647"/>
        <v/>
      </c>
      <c r="PU31" s="302" t="str">
        <f t="shared" si="647"/>
        <v/>
      </c>
      <c r="PV31" s="302" t="str">
        <f t="shared" si="647"/>
        <v/>
      </c>
      <c r="PW31" s="302" t="str">
        <f t="shared" si="647"/>
        <v/>
      </c>
      <c r="PX31" s="302" t="str">
        <f t="shared" si="647"/>
        <v/>
      </c>
      <c r="PY31" s="302" t="str">
        <f t="shared" si="647"/>
        <v/>
      </c>
      <c r="PZ31" s="302" t="str">
        <f t="shared" si="647"/>
        <v/>
      </c>
      <c r="QA31" s="302" t="str">
        <f t="shared" si="647"/>
        <v/>
      </c>
      <c r="QB31" s="302" t="str">
        <f t="shared" si="647"/>
        <v/>
      </c>
      <c r="QC31" s="302" t="str">
        <f t="shared" si="647"/>
        <v/>
      </c>
      <c r="QD31" s="302" t="str">
        <f t="shared" si="647"/>
        <v/>
      </c>
      <c r="QE31" s="302" t="str">
        <f t="shared" si="647"/>
        <v/>
      </c>
      <c r="QF31" s="302" t="str">
        <f t="shared" si="647"/>
        <v/>
      </c>
      <c r="QG31" s="302" t="str">
        <f t="shared" si="647"/>
        <v/>
      </c>
      <c r="QH31" s="302" t="str">
        <f t="shared" si="647"/>
        <v/>
      </c>
      <c r="QI31" s="302" t="str">
        <f t="shared" si="647"/>
        <v/>
      </c>
      <c r="QJ31" s="303" t="str">
        <f t="shared" si="647"/>
        <v/>
      </c>
      <c r="QK31" s="698">
        <f>IF(PeerAnalysisChartType_NonFin="Absolute",QK7,100)</f>
        <v>2.4161630758059986E-2</v>
      </c>
      <c r="QL31" s="696" t="str">
        <f t="shared" ref="QL31:RD31" si="648">IF(PeerAnalysisChartType_NonFin="Absolute",QL7,IFERROR((QK31/QK7)*QL7,""))</f>
        <v/>
      </c>
      <c r="QM31" s="696" t="str">
        <f t="shared" si="648"/>
        <v/>
      </c>
      <c r="QN31" s="696" t="str">
        <f t="shared" si="648"/>
        <v/>
      </c>
      <c r="QO31" s="696" t="str">
        <f t="shared" si="648"/>
        <v/>
      </c>
      <c r="QP31" s="696" t="str">
        <f t="shared" si="648"/>
        <v/>
      </c>
      <c r="QQ31" s="696" t="str">
        <f t="shared" si="648"/>
        <v/>
      </c>
      <c r="QR31" s="696" t="str">
        <f t="shared" si="648"/>
        <v/>
      </c>
      <c r="QS31" s="696" t="str">
        <f t="shared" si="648"/>
        <v/>
      </c>
      <c r="QT31" s="696" t="str">
        <f t="shared" si="648"/>
        <v/>
      </c>
      <c r="QU31" s="696" t="str">
        <f t="shared" si="648"/>
        <v/>
      </c>
      <c r="QV31" s="696" t="str">
        <f t="shared" si="648"/>
        <v/>
      </c>
      <c r="QW31" s="696" t="str">
        <f t="shared" si="648"/>
        <v/>
      </c>
      <c r="QX31" s="696" t="str">
        <f t="shared" si="648"/>
        <v/>
      </c>
      <c r="QY31" s="696" t="str">
        <f t="shared" si="648"/>
        <v/>
      </c>
      <c r="QZ31" s="696" t="str">
        <f t="shared" si="648"/>
        <v/>
      </c>
      <c r="RA31" s="696" t="str">
        <f t="shared" si="648"/>
        <v/>
      </c>
      <c r="RB31" s="696" t="str">
        <f t="shared" si="648"/>
        <v/>
      </c>
      <c r="RC31" s="696" t="str">
        <f t="shared" si="648"/>
        <v/>
      </c>
      <c r="RD31" s="697" t="str">
        <f t="shared" si="648"/>
        <v/>
      </c>
      <c r="RE31" s="698">
        <f>IF(PeerAnalysisChartType_NonFin="Absolute",RE7,100)</f>
        <v>0.15059468738504755</v>
      </c>
      <c r="RF31" s="696" t="str">
        <f t="shared" ref="RF31:RX31" si="649">IF(PeerAnalysisChartType_NonFin="Absolute",RF7,IFERROR((RE31/RE7)*RF7,""))</f>
        <v/>
      </c>
      <c r="RG31" s="696" t="str">
        <f t="shared" si="649"/>
        <v/>
      </c>
      <c r="RH31" s="696" t="str">
        <f t="shared" si="649"/>
        <v/>
      </c>
      <c r="RI31" s="696" t="str">
        <f t="shared" si="649"/>
        <v/>
      </c>
      <c r="RJ31" s="696" t="str">
        <f t="shared" si="649"/>
        <v/>
      </c>
      <c r="RK31" s="696" t="str">
        <f t="shared" si="649"/>
        <v/>
      </c>
      <c r="RL31" s="696" t="str">
        <f t="shared" si="649"/>
        <v/>
      </c>
      <c r="RM31" s="696" t="str">
        <f t="shared" si="649"/>
        <v/>
      </c>
      <c r="RN31" s="696" t="str">
        <f t="shared" si="649"/>
        <v/>
      </c>
      <c r="RO31" s="696" t="str">
        <f t="shared" si="649"/>
        <v/>
      </c>
      <c r="RP31" s="696" t="str">
        <f t="shared" si="649"/>
        <v/>
      </c>
      <c r="RQ31" s="696" t="str">
        <f t="shared" si="649"/>
        <v/>
      </c>
      <c r="RR31" s="696" t="str">
        <f t="shared" si="649"/>
        <v/>
      </c>
      <c r="RS31" s="696" t="str">
        <f t="shared" si="649"/>
        <v/>
      </c>
      <c r="RT31" s="696" t="str">
        <f t="shared" si="649"/>
        <v/>
      </c>
      <c r="RU31" s="696" t="str">
        <f t="shared" si="649"/>
        <v/>
      </c>
      <c r="RV31" s="696" t="str">
        <f t="shared" si="649"/>
        <v/>
      </c>
      <c r="RW31" s="696" t="str">
        <f t="shared" si="649"/>
        <v/>
      </c>
      <c r="RX31" s="697" t="str">
        <f t="shared" si="649"/>
        <v/>
      </c>
      <c r="RY31" s="698">
        <f>IF(PeerAnalysisChartType_NonFin="Absolute",RY7,100)</f>
        <v>0.40076878638403768</v>
      </c>
      <c r="RZ31" s="696" t="str">
        <f t="shared" ref="RZ31:SR31" si="650">IF(PeerAnalysisChartType_NonFin="Absolute",RZ7,IFERROR((RY31/RY7)*RZ7,""))</f>
        <v/>
      </c>
      <c r="SA31" s="696" t="str">
        <f t="shared" si="650"/>
        <v/>
      </c>
      <c r="SB31" s="696" t="str">
        <f t="shared" si="650"/>
        <v/>
      </c>
      <c r="SC31" s="696" t="str">
        <f t="shared" si="650"/>
        <v/>
      </c>
      <c r="SD31" s="696" t="str">
        <f t="shared" si="650"/>
        <v/>
      </c>
      <c r="SE31" s="696" t="str">
        <f t="shared" si="650"/>
        <v/>
      </c>
      <c r="SF31" s="696" t="str">
        <f t="shared" si="650"/>
        <v/>
      </c>
      <c r="SG31" s="696" t="str">
        <f t="shared" si="650"/>
        <v/>
      </c>
      <c r="SH31" s="696" t="str">
        <f t="shared" si="650"/>
        <v/>
      </c>
      <c r="SI31" s="696" t="str">
        <f t="shared" si="650"/>
        <v/>
      </c>
      <c r="SJ31" s="696" t="str">
        <f t="shared" si="650"/>
        <v/>
      </c>
      <c r="SK31" s="696" t="str">
        <f t="shared" si="650"/>
        <v/>
      </c>
      <c r="SL31" s="696" t="str">
        <f t="shared" si="650"/>
        <v/>
      </c>
      <c r="SM31" s="696" t="str">
        <f t="shared" si="650"/>
        <v/>
      </c>
      <c r="SN31" s="696" t="str">
        <f t="shared" si="650"/>
        <v/>
      </c>
      <c r="SO31" s="696" t="str">
        <f t="shared" si="650"/>
        <v/>
      </c>
      <c r="SP31" s="696" t="str">
        <f t="shared" si="650"/>
        <v/>
      </c>
      <c r="SQ31" s="696" t="str">
        <f t="shared" si="650"/>
        <v/>
      </c>
      <c r="SR31" s="697" t="str">
        <f t="shared" si="650"/>
        <v/>
      </c>
      <c r="SS31" s="698">
        <f>IF(PeerAnalysisChartType_NonFin="Absolute",SS7,100)</f>
        <v>0.25438596491228072</v>
      </c>
      <c r="ST31" s="696" t="str">
        <f t="shared" ref="ST31:TL31" si="651">IF(PeerAnalysisChartType_NonFin="Absolute",ST7,IFERROR((SS31/SS7)*ST7,""))</f>
        <v/>
      </c>
      <c r="SU31" s="696" t="str">
        <f t="shared" si="651"/>
        <v/>
      </c>
      <c r="SV31" s="696" t="str">
        <f t="shared" si="651"/>
        <v/>
      </c>
      <c r="SW31" s="696" t="str">
        <f t="shared" si="651"/>
        <v/>
      </c>
      <c r="SX31" s="696" t="str">
        <f t="shared" si="651"/>
        <v/>
      </c>
      <c r="SY31" s="696" t="str">
        <f t="shared" si="651"/>
        <v/>
      </c>
      <c r="SZ31" s="696" t="str">
        <f t="shared" si="651"/>
        <v/>
      </c>
      <c r="TA31" s="696" t="str">
        <f t="shared" si="651"/>
        <v/>
      </c>
      <c r="TB31" s="696" t="str">
        <f t="shared" si="651"/>
        <v/>
      </c>
      <c r="TC31" s="696" t="str">
        <f t="shared" si="651"/>
        <v/>
      </c>
      <c r="TD31" s="696" t="str">
        <f t="shared" si="651"/>
        <v/>
      </c>
      <c r="TE31" s="696" t="str">
        <f t="shared" si="651"/>
        <v/>
      </c>
      <c r="TF31" s="696" t="str">
        <f t="shared" si="651"/>
        <v/>
      </c>
      <c r="TG31" s="696" t="str">
        <f t="shared" si="651"/>
        <v/>
      </c>
      <c r="TH31" s="696" t="str">
        <f t="shared" si="651"/>
        <v/>
      </c>
      <c r="TI31" s="696" t="str">
        <f t="shared" si="651"/>
        <v/>
      </c>
      <c r="TJ31" s="696" t="str">
        <f t="shared" si="651"/>
        <v/>
      </c>
      <c r="TK31" s="696" t="str">
        <f t="shared" si="651"/>
        <v/>
      </c>
      <c r="TL31" s="697" t="str">
        <f t="shared" si="651"/>
        <v/>
      </c>
      <c r="TM31" s="304">
        <f>IF(PeerAnalysisChartType_NonFin="Absolute",TM7,100)</f>
        <v>249023.47826086957</v>
      </c>
      <c r="TN31" s="305" t="str">
        <f t="shared" ref="TN31:UF31" si="652">IF(PeerAnalysisChartType_NonFin="Absolute",TN7,IFERROR((TM31/TM7)*TN7,""))</f>
        <v/>
      </c>
      <c r="TO31" s="305" t="str">
        <f t="shared" si="652"/>
        <v/>
      </c>
      <c r="TP31" s="305" t="str">
        <f t="shared" si="652"/>
        <v/>
      </c>
      <c r="TQ31" s="305" t="str">
        <f t="shared" si="652"/>
        <v/>
      </c>
      <c r="TR31" s="305" t="str">
        <f t="shared" si="652"/>
        <v/>
      </c>
      <c r="TS31" s="305" t="str">
        <f t="shared" si="652"/>
        <v/>
      </c>
      <c r="TT31" s="305" t="str">
        <f t="shared" si="652"/>
        <v/>
      </c>
      <c r="TU31" s="305" t="str">
        <f t="shared" si="652"/>
        <v/>
      </c>
      <c r="TV31" s="305" t="str">
        <f t="shared" si="652"/>
        <v/>
      </c>
      <c r="TW31" s="305" t="str">
        <f t="shared" si="652"/>
        <v/>
      </c>
      <c r="TX31" s="305" t="str">
        <f t="shared" si="652"/>
        <v/>
      </c>
      <c r="TY31" s="305" t="str">
        <f t="shared" si="652"/>
        <v/>
      </c>
      <c r="TZ31" s="305" t="str">
        <f t="shared" si="652"/>
        <v/>
      </c>
      <c r="UA31" s="305" t="str">
        <f t="shared" si="652"/>
        <v/>
      </c>
      <c r="UB31" s="305" t="str">
        <f t="shared" si="652"/>
        <v/>
      </c>
      <c r="UC31" s="305" t="str">
        <f t="shared" si="652"/>
        <v/>
      </c>
      <c r="UD31" s="305" t="str">
        <f t="shared" si="652"/>
        <v/>
      </c>
      <c r="UE31" s="305" t="str">
        <f t="shared" si="652"/>
        <v/>
      </c>
      <c r="UF31" s="306" t="str">
        <f t="shared" si="652"/>
        <v/>
      </c>
      <c r="UG31" s="304">
        <f>IF(PeerAnalysisChartType_NonFin="Absolute",UG7,100)</f>
        <v>51222.608695652176</v>
      </c>
      <c r="UH31" s="305" t="str">
        <f t="shared" ref="UH31:UZ31" si="653">IF(PeerAnalysisChartType_NonFin="Absolute",UH7,IFERROR((UG31/UG7)*UH7,""))</f>
        <v/>
      </c>
      <c r="UI31" s="305" t="str">
        <f t="shared" si="653"/>
        <v/>
      </c>
      <c r="UJ31" s="305" t="str">
        <f t="shared" si="653"/>
        <v/>
      </c>
      <c r="UK31" s="305" t="str">
        <f t="shared" si="653"/>
        <v/>
      </c>
      <c r="UL31" s="305" t="str">
        <f t="shared" si="653"/>
        <v/>
      </c>
      <c r="UM31" s="305" t="str">
        <f t="shared" si="653"/>
        <v/>
      </c>
      <c r="UN31" s="305" t="str">
        <f t="shared" si="653"/>
        <v/>
      </c>
      <c r="UO31" s="305" t="str">
        <f t="shared" si="653"/>
        <v/>
      </c>
      <c r="UP31" s="305" t="str">
        <f t="shared" si="653"/>
        <v/>
      </c>
      <c r="UQ31" s="305" t="str">
        <f t="shared" si="653"/>
        <v/>
      </c>
      <c r="UR31" s="305" t="str">
        <f t="shared" si="653"/>
        <v/>
      </c>
      <c r="US31" s="305" t="str">
        <f t="shared" si="653"/>
        <v/>
      </c>
      <c r="UT31" s="305" t="str">
        <f t="shared" si="653"/>
        <v/>
      </c>
      <c r="UU31" s="305" t="str">
        <f t="shared" si="653"/>
        <v/>
      </c>
      <c r="UV31" s="305" t="str">
        <f t="shared" si="653"/>
        <v/>
      </c>
      <c r="UW31" s="305" t="str">
        <f t="shared" si="653"/>
        <v/>
      </c>
      <c r="UX31" s="305" t="str">
        <f t="shared" si="653"/>
        <v/>
      </c>
      <c r="UY31" s="305" t="str">
        <f t="shared" si="653"/>
        <v/>
      </c>
      <c r="UZ31" s="306" t="str">
        <f t="shared" si="653"/>
        <v/>
      </c>
      <c r="VA31" s="304">
        <f>IF(PeerAnalysisChartType_NonFin="Absolute",VA7,100)</f>
        <v>51222.608695652176</v>
      </c>
      <c r="VB31" s="305" t="str">
        <f t="shared" ref="VB31:VT31" si="654">IF(PeerAnalysisChartType_NonFin="Absolute",VB7,IFERROR((VA31/VA7)*VB7,""))</f>
        <v/>
      </c>
      <c r="VC31" s="305" t="str">
        <f t="shared" si="654"/>
        <v/>
      </c>
      <c r="VD31" s="305" t="str">
        <f t="shared" si="654"/>
        <v/>
      </c>
      <c r="VE31" s="305" t="str">
        <f t="shared" si="654"/>
        <v/>
      </c>
      <c r="VF31" s="305" t="str">
        <f t="shared" si="654"/>
        <v/>
      </c>
      <c r="VG31" s="305" t="str">
        <f t="shared" si="654"/>
        <v/>
      </c>
      <c r="VH31" s="305" t="str">
        <f t="shared" si="654"/>
        <v/>
      </c>
      <c r="VI31" s="305" t="str">
        <f t="shared" si="654"/>
        <v/>
      </c>
      <c r="VJ31" s="305" t="str">
        <f t="shared" si="654"/>
        <v/>
      </c>
      <c r="VK31" s="305" t="str">
        <f t="shared" si="654"/>
        <v/>
      </c>
      <c r="VL31" s="305" t="str">
        <f t="shared" si="654"/>
        <v/>
      </c>
      <c r="VM31" s="305" t="str">
        <f t="shared" si="654"/>
        <v/>
      </c>
      <c r="VN31" s="305" t="str">
        <f t="shared" si="654"/>
        <v/>
      </c>
      <c r="VO31" s="305" t="str">
        <f t="shared" si="654"/>
        <v/>
      </c>
      <c r="VP31" s="305" t="str">
        <f t="shared" si="654"/>
        <v/>
      </c>
      <c r="VQ31" s="305" t="str">
        <f t="shared" si="654"/>
        <v/>
      </c>
      <c r="VR31" s="305" t="str">
        <f t="shared" si="654"/>
        <v/>
      </c>
      <c r="VS31" s="305" t="str">
        <f t="shared" si="654"/>
        <v/>
      </c>
      <c r="VT31" s="306" t="str">
        <f t="shared" si="654"/>
        <v/>
      </c>
      <c r="VU31" s="304">
        <f>IF(PeerAnalysisChartType_NonFin="Absolute",VU7,100)</f>
        <v>0</v>
      </c>
      <c r="VV31" s="305" t="str">
        <f t="shared" ref="VV31:WN31" si="655">IF(PeerAnalysisChartType_NonFin="Absolute",VV7,IFERROR((VU31/VU7)*VV7,""))</f>
        <v/>
      </c>
      <c r="VW31" s="305" t="str">
        <f t="shared" si="655"/>
        <v/>
      </c>
      <c r="VX31" s="305" t="str">
        <f t="shared" si="655"/>
        <v/>
      </c>
      <c r="VY31" s="305" t="str">
        <f t="shared" si="655"/>
        <v/>
      </c>
      <c r="VZ31" s="305" t="str">
        <f t="shared" si="655"/>
        <v/>
      </c>
      <c r="WA31" s="305" t="str">
        <f t="shared" si="655"/>
        <v/>
      </c>
      <c r="WB31" s="305" t="str">
        <f t="shared" si="655"/>
        <v/>
      </c>
      <c r="WC31" s="305" t="str">
        <f t="shared" si="655"/>
        <v/>
      </c>
      <c r="WD31" s="305" t="str">
        <f t="shared" si="655"/>
        <v/>
      </c>
      <c r="WE31" s="305" t="str">
        <f t="shared" si="655"/>
        <v/>
      </c>
      <c r="WF31" s="305" t="str">
        <f t="shared" si="655"/>
        <v/>
      </c>
      <c r="WG31" s="305" t="str">
        <f t="shared" si="655"/>
        <v/>
      </c>
      <c r="WH31" s="305" t="str">
        <f t="shared" si="655"/>
        <v/>
      </c>
      <c r="WI31" s="305" t="str">
        <f t="shared" si="655"/>
        <v/>
      </c>
      <c r="WJ31" s="305" t="str">
        <f t="shared" si="655"/>
        <v/>
      </c>
      <c r="WK31" s="305" t="str">
        <f t="shared" si="655"/>
        <v/>
      </c>
      <c r="WL31" s="305" t="str">
        <f t="shared" si="655"/>
        <v/>
      </c>
      <c r="WM31" s="305" t="str">
        <f t="shared" si="655"/>
        <v/>
      </c>
      <c r="WN31" s="306" t="str">
        <f t="shared" si="655"/>
        <v/>
      </c>
      <c r="WO31" s="304">
        <f>IF(PeerAnalysisChartType_NonFin="Absolute",WO7,100)</f>
        <v>144.69</v>
      </c>
      <c r="WP31" s="305" t="str">
        <f t="shared" ref="WP31" si="656">IF(PeerAnalysisChartType_NonFin="Absolute",WP7,IFERROR((WO31/WO7)*WP7,""))</f>
        <v/>
      </c>
      <c r="WQ31" s="305" t="str">
        <f t="shared" ref="WQ31" si="657">IF(PeerAnalysisChartType_NonFin="Absolute",WQ7,IFERROR((WP31/WP7)*WQ7,""))</f>
        <v/>
      </c>
      <c r="WR31" s="305" t="str">
        <f t="shared" ref="WR31" si="658">IF(PeerAnalysisChartType_NonFin="Absolute",WR7,IFERROR((WQ31/WQ7)*WR7,""))</f>
        <v/>
      </c>
      <c r="WS31" s="305" t="str">
        <f t="shared" ref="WS31" si="659">IF(PeerAnalysisChartType_NonFin="Absolute",WS7,IFERROR((WR31/WR7)*WS7,""))</f>
        <v/>
      </c>
      <c r="WT31" s="305" t="str">
        <f t="shared" ref="WT31" si="660">IF(PeerAnalysisChartType_NonFin="Absolute",WT7,IFERROR((WS31/WS7)*WT7,""))</f>
        <v/>
      </c>
      <c r="WU31" s="305" t="str">
        <f t="shared" ref="WU31" si="661">IF(PeerAnalysisChartType_NonFin="Absolute",WU7,IFERROR((WT31/WT7)*WU7,""))</f>
        <v/>
      </c>
      <c r="WV31" s="305" t="str">
        <f t="shared" ref="WV31" si="662">IF(PeerAnalysisChartType_NonFin="Absolute",WV7,IFERROR((WU31/WU7)*WV7,""))</f>
        <v/>
      </c>
      <c r="WW31" s="305" t="str">
        <f t="shared" ref="WW31" si="663">IF(PeerAnalysisChartType_NonFin="Absolute",WW7,IFERROR((WV31/WV7)*WW7,""))</f>
        <v/>
      </c>
      <c r="WX31" s="305" t="str">
        <f t="shared" ref="WX31" si="664">IF(PeerAnalysisChartType_NonFin="Absolute",WX7,IFERROR((WW31/WW7)*WX7,""))</f>
        <v/>
      </c>
      <c r="WY31" s="305" t="str">
        <f t="shared" ref="WY31" si="665">IF(PeerAnalysisChartType_NonFin="Absolute",WY7,IFERROR((WX31/WX7)*WY7,""))</f>
        <v/>
      </c>
      <c r="WZ31" s="305" t="str">
        <f t="shared" ref="WZ31" si="666">IF(PeerAnalysisChartType_NonFin="Absolute",WZ7,IFERROR((WY31/WY7)*WZ7,""))</f>
        <v/>
      </c>
      <c r="XA31" s="305" t="str">
        <f t="shared" ref="XA31" si="667">IF(PeerAnalysisChartType_NonFin="Absolute",XA7,IFERROR((WZ31/WZ7)*XA7,""))</f>
        <v/>
      </c>
      <c r="XB31" s="305" t="str">
        <f t="shared" ref="XB31" si="668">IF(PeerAnalysisChartType_NonFin="Absolute",XB7,IFERROR((XA31/XA7)*XB7,""))</f>
        <v/>
      </c>
      <c r="XC31" s="305" t="str">
        <f t="shared" ref="XC31" si="669">IF(PeerAnalysisChartType_NonFin="Absolute",XC7,IFERROR((XB31/XB7)*XC7,""))</f>
        <v/>
      </c>
      <c r="XD31" s="305" t="str">
        <f t="shared" ref="XD31" si="670">IF(PeerAnalysisChartType_NonFin="Absolute",XD7,IFERROR((XC31/XC7)*XD7,""))</f>
        <v/>
      </c>
      <c r="XE31" s="305" t="str">
        <f t="shared" ref="XE31" si="671">IF(PeerAnalysisChartType_NonFin="Absolute",XE7,IFERROR((XD31/XD7)*XE7,""))</f>
        <v/>
      </c>
      <c r="XF31" s="305" t="str">
        <f t="shared" ref="XF31" si="672">IF(PeerAnalysisChartType_NonFin="Absolute",XF7,IFERROR((XE31/XE7)*XF7,""))</f>
        <v/>
      </c>
      <c r="XG31" s="305" t="str">
        <f t="shared" ref="XG31" si="673">IF(PeerAnalysisChartType_NonFin="Absolute",XG7,IFERROR((XF31/XF7)*XG7,""))</f>
        <v/>
      </c>
      <c r="XH31" s="306" t="str">
        <f t="shared" ref="XH31" si="674">IF(PeerAnalysisChartType_NonFin="Absolute",XH7,IFERROR((XG31/XG7)*XH7,""))</f>
        <v/>
      </c>
      <c r="XI31" s="698">
        <f>IF(PeerAnalysisChartType_NonFin="Absolute",XI7,100)</f>
        <v>2.4327000000000001E-2</v>
      </c>
      <c r="XJ31" s="696" t="str">
        <f t="shared" ref="XJ31" si="675">IF(PeerAnalysisChartType_NonFin="Absolute",XJ7,IFERROR((XI31/XI7)*XJ7,""))</f>
        <v/>
      </c>
      <c r="XK31" s="696" t="str">
        <f t="shared" ref="XK31" si="676">IF(PeerAnalysisChartType_NonFin="Absolute",XK7,IFERROR((XJ31/XJ7)*XK7,""))</f>
        <v/>
      </c>
      <c r="XL31" s="696" t="str">
        <f t="shared" ref="XL31" si="677">IF(PeerAnalysisChartType_NonFin="Absolute",XL7,IFERROR((XK31/XK7)*XL7,""))</f>
        <v/>
      </c>
      <c r="XM31" s="696" t="str">
        <f t="shared" ref="XM31" si="678">IF(PeerAnalysisChartType_NonFin="Absolute",XM7,IFERROR((XL31/XL7)*XM7,""))</f>
        <v/>
      </c>
      <c r="XN31" s="696" t="str">
        <f t="shared" ref="XN31" si="679">IF(PeerAnalysisChartType_NonFin="Absolute",XN7,IFERROR((XM31/XM7)*XN7,""))</f>
        <v/>
      </c>
      <c r="XO31" s="696" t="str">
        <f t="shared" ref="XO31" si="680">IF(PeerAnalysisChartType_NonFin="Absolute",XO7,IFERROR((XN31/XN7)*XO7,""))</f>
        <v/>
      </c>
      <c r="XP31" s="696" t="str">
        <f t="shared" ref="XP31" si="681">IF(PeerAnalysisChartType_NonFin="Absolute",XP7,IFERROR((XO31/XO7)*XP7,""))</f>
        <v/>
      </c>
      <c r="XQ31" s="696" t="str">
        <f t="shared" ref="XQ31" si="682">IF(PeerAnalysisChartType_NonFin="Absolute",XQ7,IFERROR((XP31/XP7)*XQ7,""))</f>
        <v/>
      </c>
      <c r="XR31" s="696" t="str">
        <f t="shared" ref="XR31" si="683">IF(PeerAnalysisChartType_NonFin="Absolute",XR7,IFERROR((XQ31/XQ7)*XR7,""))</f>
        <v/>
      </c>
      <c r="XS31" s="696" t="str">
        <f t="shared" ref="XS31" si="684">IF(PeerAnalysisChartType_NonFin="Absolute",XS7,IFERROR((XR31/XR7)*XS7,""))</f>
        <v/>
      </c>
      <c r="XT31" s="696" t="str">
        <f t="shared" ref="XT31" si="685">IF(PeerAnalysisChartType_NonFin="Absolute",XT7,IFERROR((XS31/XS7)*XT7,""))</f>
        <v/>
      </c>
      <c r="XU31" s="696" t="str">
        <f t="shared" ref="XU31" si="686">IF(PeerAnalysisChartType_NonFin="Absolute",XU7,IFERROR((XT31/XT7)*XU7,""))</f>
        <v/>
      </c>
      <c r="XV31" s="696" t="str">
        <f t="shared" ref="XV31" si="687">IF(PeerAnalysisChartType_NonFin="Absolute",XV7,IFERROR((XU31/XU7)*XV7,""))</f>
        <v/>
      </c>
      <c r="XW31" s="696" t="str">
        <f t="shared" ref="XW31" si="688">IF(PeerAnalysisChartType_NonFin="Absolute",XW7,IFERROR((XV31/XV7)*XW7,""))</f>
        <v/>
      </c>
      <c r="XX31" s="696" t="str">
        <f t="shared" ref="XX31" si="689">IF(PeerAnalysisChartType_NonFin="Absolute",XX7,IFERROR((XW31/XW7)*XX7,""))</f>
        <v/>
      </c>
      <c r="XY31" s="696" t="str">
        <f t="shared" ref="XY31" si="690">IF(PeerAnalysisChartType_NonFin="Absolute",XY7,IFERROR((XX31/XX7)*XY7,""))</f>
        <v/>
      </c>
      <c r="XZ31" s="696" t="str">
        <f t="shared" ref="XZ31" si="691">IF(PeerAnalysisChartType_NonFin="Absolute",XZ7,IFERROR((XY31/XY7)*XZ7,""))</f>
        <v/>
      </c>
      <c r="YA31" s="696" t="str">
        <f t="shared" ref="YA31" si="692">IF(PeerAnalysisChartType_NonFin="Absolute",YA7,IFERROR((XZ31/XZ7)*YA7,""))</f>
        <v/>
      </c>
      <c r="YB31" s="697" t="str">
        <f t="shared" ref="YB31" si="693">IF(PeerAnalysisChartType_NonFin="Absolute",YB7,IFERROR((YA31/YA7)*YB7,""))</f>
        <v/>
      </c>
      <c r="YC31" s="304">
        <f>IF(PeerAnalysisChartType_NonFin="Absolute",YC7,100)</f>
        <v>452202.47408999997</v>
      </c>
      <c r="YD31" s="305" t="str">
        <f t="shared" ref="YD31" si="694">IF(PeerAnalysisChartType_NonFin="Absolute",YD7,IFERROR((YC31/YC7)*YD7,""))</f>
        <v/>
      </c>
      <c r="YE31" s="305" t="str">
        <f t="shared" ref="YE31" si="695">IF(PeerAnalysisChartType_NonFin="Absolute",YE7,IFERROR((YD31/YD7)*YE7,""))</f>
        <v/>
      </c>
      <c r="YF31" s="305" t="str">
        <f t="shared" ref="YF31" si="696">IF(PeerAnalysisChartType_NonFin="Absolute",YF7,IFERROR((YE31/YE7)*YF7,""))</f>
        <v/>
      </c>
      <c r="YG31" s="305" t="str">
        <f t="shared" ref="YG31" si="697">IF(PeerAnalysisChartType_NonFin="Absolute",YG7,IFERROR((YF31/YF7)*YG7,""))</f>
        <v/>
      </c>
      <c r="YH31" s="305" t="str">
        <f t="shared" ref="YH31" si="698">IF(PeerAnalysisChartType_NonFin="Absolute",YH7,IFERROR((YG31/YG7)*YH7,""))</f>
        <v/>
      </c>
      <c r="YI31" s="305" t="str">
        <f t="shared" ref="YI31" si="699">IF(PeerAnalysisChartType_NonFin="Absolute",YI7,IFERROR((YH31/YH7)*YI7,""))</f>
        <v/>
      </c>
      <c r="YJ31" s="305" t="str">
        <f t="shared" ref="YJ31" si="700">IF(PeerAnalysisChartType_NonFin="Absolute",YJ7,IFERROR((YI31/YI7)*YJ7,""))</f>
        <v/>
      </c>
      <c r="YK31" s="305" t="str">
        <f t="shared" ref="YK31" si="701">IF(PeerAnalysisChartType_NonFin="Absolute",YK7,IFERROR((YJ31/YJ7)*YK7,""))</f>
        <v/>
      </c>
      <c r="YL31" s="305" t="str">
        <f t="shared" ref="YL31" si="702">IF(PeerAnalysisChartType_NonFin="Absolute",YL7,IFERROR((YK31/YK7)*YL7,""))</f>
        <v/>
      </c>
      <c r="YM31" s="305" t="str">
        <f t="shared" ref="YM31" si="703">IF(PeerAnalysisChartType_NonFin="Absolute",YM7,IFERROR((YL31/YL7)*YM7,""))</f>
        <v/>
      </c>
      <c r="YN31" s="305" t="str">
        <f t="shared" ref="YN31" si="704">IF(PeerAnalysisChartType_NonFin="Absolute",YN7,IFERROR((YM31/YM7)*YN7,""))</f>
        <v/>
      </c>
      <c r="YO31" s="305" t="str">
        <f t="shared" ref="YO31" si="705">IF(PeerAnalysisChartType_NonFin="Absolute",YO7,IFERROR((YN31/YN7)*YO7,""))</f>
        <v/>
      </c>
      <c r="YP31" s="305" t="str">
        <f t="shared" ref="YP31" si="706">IF(PeerAnalysisChartType_NonFin="Absolute",YP7,IFERROR((YO31/YO7)*YP7,""))</f>
        <v/>
      </c>
      <c r="YQ31" s="305" t="str">
        <f t="shared" ref="YQ31" si="707">IF(PeerAnalysisChartType_NonFin="Absolute",YQ7,IFERROR((YP31/YP7)*YQ7,""))</f>
        <v/>
      </c>
      <c r="YR31" s="305" t="str">
        <f t="shared" ref="YR31" si="708">IF(PeerAnalysisChartType_NonFin="Absolute",YR7,IFERROR((YQ31/YQ7)*YR7,""))</f>
        <v/>
      </c>
      <c r="YS31" s="305" t="str">
        <f t="shared" ref="YS31" si="709">IF(PeerAnalysisChartType_NonFin="Absolute",YS7,IFERROR((YR31/YR7)*YS7,""))</f>
        <v/>
      </c>
      <c r="YT31" s="305" t="str">
        <f t="shared" ref="YT31" si="710">IF(PeerAnalysisChartType_NonFin="Absolute",YT7,IFERROR((YS31/YS7)*YT7,""))</f>
        <v/>
      </c>
      <c r="YU31" s="305" t="str">
        <f t="shared" ref="YU31" si="711">IF(PeerAnalysisChartType_NonFin="Absolute",YU7,IFERROR((YT31/YT7)*YU7,""))</f>
        <v/>
      </c>
      <c r="YV31" s="306" t="str">
        <f t="shared" ref="YV31" si="712">IF(PeerAnalysisChartType_NonFin="Absolute",YV7,IFERROR((YU31/YU7)*YV7,""))</f>
        <v/>
      </c>
      <c r="YW31" s="698">
        <f>IF(PeerAnalysisChartType_NonFin="Absolute",YW7,100)</f>
        <v>2.2350097814776305E-2</v>
      </c>
      <c r="YX31" s="696" t="str">
        <f t="shared" ref="YX31" si="713">IF(PeerAnalysisChartType_NonFin="Absolute",YX7,IFERROR((YW31/YW7)*YX7,""))</f>
        <v/>
      </c>
      <c r="YY31" s="696" t="str">
        <f t="shared" ref="YY31" si="714">IF(PeerAnalysisChartType_NonFin="Absolute",YY7,IFERROR((YX31/YX7)*YY7,""))</f>
        <v/>
      </c>
      <c r="YZ31" s="696" t="str">
        <f t="shared" ref="YZ31" si="715">IF(PeerAnalysisChartType_NonFin="Absolute",YZ7,IFERROR((YY31/YY7)*YZ7,""))</f>
        <v/>
      </c>
      <c r="ZA31" s="696" t="str">
        <f t="shared" ref="ZA31" si="716">IF(PeerAnalysisChartType_NonFin="Absolute",ZA7,IFERROR((YZ31/YZ7)*ZA7,""))</f>
        <v/>
      </c>
      <c r="ZB31" s="696" t="str">
        <f t="shared" ref="ZB31" si="717">IF(PeerAnalysisChartType_NonFin="Absolute",ZB7,IFERROR((ZA31/ZA7)*ZB7,""))</f>
        <v/>
      </c>
      <c r="ZC31" s="696" t="str">
        <f t="shared" ref="ZC31" si="718">IF(PeerAnalysisChartType_NonFin="Absolute",ZC7,IFERROR((ZB31/ZB7)*ZC7,""))</f>
        <v/>
      </c>
      <c r="ZD31" s="696" t="str">
        <f t="shared" ref="ZD31" si="719">IF(PeerAnalysisChartType_NonFin="Absolute",ZD7,IFERROR((ZC31/ZC7)*ZD7,""))</f>
        <v/>
      </c>
      <c r="ZE31" s="696" t="str">
        <f t="shared" ref="ZE31" si="720">IF(PeerAnalysisChartType_NonFin="Absolute",ZE7,IFERROR((ZD31/ZD7)*ZE7,""))</f>
        <v/>
      </c>
      <c r="ZF31" s="696" t="str">
        <f t="shared" ref="ZF31" si="721">IF(PeerAnalysisChartType_NonFin="Absolute",ZF7,IFERROR((ZE31/ZE7)*ZF7,""))</f>
        <v/>
      </c>
      <c r="ZG31" s="696" t="str">
        <f t="shared" ref="ZG31" si="722">IF(PeerAnalysisChartType_NonFin="Absolute",ZG7,IFERROR((ZF31/ZF7)*ZG7,""))</f>
        <v/>
      </c>
      <c r="ZH31" s="696" t="str">
        <f t="shared" ref="ZH31" si="723">IF(PeerAnalysisChartType_NonFin="Absolute",ZH7,IFERROR((ZG31/ZG7)*ZH7,""))</f>
        <v/>
      </c>
      <c r="ZI31" s="696" t="str">
        <f t="shared" ref="ZI31" si="724">IF(PeerAnalysisChartType_NonFin="Absolute",ZI7,IFERROR((ZH31/ZH7)*ZI7,""))</f>
        <v/>
      </c>
      <c r="ZJ31" s="696" t="str">
        <f t="shared" ref="ZJ31" si="725">IF(PeerAnalysisChartType_NonFin="Absolute",ZJ7,IFERROR((ZI31/ZI7)*ZJ7,""))</f>
        <v/>
      </c>
      <c r="ZK31" s="696" t="str">
        <f t="shared" ref="ZK31" si="726">IF(PeerAnalysisChartType_NonFin="Absolute",ZK7,IFERROR((ZJ31/ZJ7)*ZK7,""))</f>
        <v/>
      </c>
      <c r="ZL31" s="696" t="str">
        <f t="shared" ref="ZL31" si="727">IF(PeerAnalysisChartType_NonFin="Absolute",ZL7,IFERROR((ZK31/ZK7)*ZL7,""))</f>
        <v/>
      </c>
      <c r="ZM31" s="696" t="str">
        <f t="shared" ref="ZM31" si="728">IF(PeerAnalysisChartType_NonFin="Absolute",ZM7,IFERROR((ZL31/ZL7)*ZM7,""))</f>
        <v/>
      </c>
      <c r="ZN31" s="696" t="str">
        <f t="shared" ref="ZN31" si="729">IF(PeerAnalysisChartType_NonFin="Absolute",ZN7,IFERROR((ZM31/ZM7)*ZN7,""))</f>
        <v/>
      </c>
      <c r="ZO31" s="696" t="str">
        <f t="shared" ref="ZO31" si="730">IF(PeerAnalysisChartType_NonFin="Absolute",ZO7,IFERROR((ZN31/ZN7)*ZO7,""))</f>
        <v/>
      </c>
      <c r="ZP31" s="697" t="str">
        <f t="shared" ref="ZP31" si="731">IF(PeerAnalysisChartType_NonFin="Absolute",ZP7,IFERROR((ZO31/ZO7)*ZP7,""))</f>
        <v/>
      </c>
      <c r="ZQ31" s="698">
        <f>IF(PeerAnalysisChartType_NonFin="Absolute",ZQ7,100)</f>
        <v>8.9624519039405603E-2</v>
      </c>
      <c r="ZR31" s="696" t="str">
        <f t="shared" ref="ZR31" si="732">IF(PeerAnalysisChartType_NonFin="Absolute",ZR7,IFERROR((ZQ31/ZQ7)*ZR7,""))</f>
        <v/>
      </c>
      <c r="ZS31" s="696" t="str">
        <f t="shared" ref="ZS31" si="733">IF(PeerAnalysisChartType_NonFin="Absolute",ZS7,IFERROR((ZR31/ZR7)*ZS7,""))</f>
        <v/>
      </c>
      <c r="ZT31" s="696" t="str">
        <f t="shared" ref="ZT31" si="734">IF(PeerAnalysisChartType_NonFin="Absolute",ZT7,IFERROR((ZS31/ZS7)*ZT7,""))</f>
        <v/>
      </c>
      <c r="ZU31" s="696" t="str">
        <f t="shared" ref="ZU31" si="735">IF(PeerAnalysisChartType_NonFin="Absolute",ZU7,IFERROR((ZT31/ZT7)*ZU7,""))</f>
        <v/>
      </c>
      <c r="ZV31" s="696" t="str">
        <f t="shared" ref="ZV31" si="736">IF(PeerAnalysisChartType_NonFin="Absolute",ZV7,IFERROR((ZU31/ZU7)*ZV7,""))</f>
        <v/>
      </c>
      <c r="ZW31" s="696" t="str">
        <f t="shared" ref="ZW31" si="737">IF(PeerAnalysisChartType_NonFin="Absolute",ZW7,IFERROR((ZV31/ZV7)*ZW7,""))</f>
        <v/>
      </c>
      <c r="ZX31" s="696" t="str">
        <f t="shared" ref="ZX31" si="738">IF(PeerAnalysisChartType_NonFin="Absolute",ZX7,IFERROR((ZW31/ZW7)*ZX7,""))</f>
        <v/>
      </c>
      <c r="ZY31" s="696" t="str">
        <f t="shared" ref="ZY31" si="739">IF(PeerAnalysisChartType_NonFin="Absolute",ZY7,IFERROR((ZX31/ZX7)*ZY7,""))</f>
        <v/>
      </c>
      <c r="ZZ31" s="696" t="str">
        <f t="shared" ref="ZZ31" si="740">IF(PeerAnalysisChartType_NonFin="Absolute",ZZ7,IFERROR((ZY31/ZY7)*ZZ7,""))</f>
        <v/>
      </c>
      <c r="AAA31" s="696" t="str">
        <f t="shared" ref="AAA31" si="741">IF(PeerAnalysisChartType_NonFin="Absolute",AAA7,IFERROR((ZZ31/ZZ7)*AAA7,""))</f>
        <v/>
      </c>
      <c r="AAB31" s="696" t="str">
        <f t="shared" ref="AAB31" si="742">IF(PeerAnalysisChartType_NonFin="Absolute",AAB7,IFERROR((AAA31/AAA7)*AAB7,""))</f>
        <v/>
      </c>
      <c r="AAC31" s="696" t="str">
        <f t="shared" ref="AAC31" si="743">IF(PeerAnalysisChartType_NonFin="Absolute",AAC7,IFERROR((AAB31/AAB7)*AAC7,""))</f>
        <v/>
      </c>
      <c r="AAD31" s="696" t="str">
        <f t="shared" ref="AAD31" si="744">IF(PeerAnalysisChartType_NonFin="Absolute",AAD7,IFERROR((AAC31/AAC7)*AAD7,""))</f>
        <v/>
      </c>
      <c r="AAE31" s="696" t="str">
        <f t="shared" ref="AAE31" si="745">IF(PeerAnalysisChartType_NonFin="Absolute",AAE7,IFERROR((AAD31/AAD7)*AAE7,""))</f>
        <v/>
      </c>
      <c r="AAF31" s="696" t="str">
        <f t="shared" ref="AAF31" si="746">IF(PeerAnalysisChartType_NonFin="Absolute",AAF7,IFERROR((AAE31/AAE7)*AAF7,""))</f>
        <v/>
      </c>
      <c r="AAG31" s="696" t="str">
        <f t="shared" ref="AAG31" si="747">IF(PeerAnalysisChartType_NonFin="Absolute",AAG7,IFERROR((AAF31/AAF7)*AAG7,""))</f>
        <v/>
      </c>
      <c r="AAH31" s="696" t="str">
        <f t="shared" ref="AAH31" si="748">IF(PeerAnalysisChartType_NonFin="Absolute",AAH7,IFERROR((AAG31/AAG7)*AAH7,""))</f>
        <v/>
      </c>
      <c r="AAI31" s="696" t="str">
        <f t="shared" ref="AAI31" si="749">IF(PeerAnalysisChartType_NonFin="Absolute",AAI7,IFERROR((AAH31/AAH7)*AAI7,""))</f>
        <v/>
      </c>
      <c r="AAJ31" s="697" t="str">
        <f t="shared" ref="AAJ31" si="750">IF(PeerAnalysisChartType_NonFin="Absolute",AAJ7,IFERROR((AAI31/AAI7)*AAJ7,""))</f>
        <v/>
      </c>
      <c r="AAK31" s="621">
        <f>IF(PeerAnalysisChartType_NonFin="Absolute",AAK7,100)</f>
        <v>3.0084856800989961</v>
      </c>
      <c r="AAL31" s="622" t="str">
        <f t="shared" ref="AAL31" si="751">IF(PeerAnalysisChartType_NonFin="Absolute",AAL7,IFERROR((AAK31/AAK7)*AAL7,""))</f>
        <v/>
      </c>
      <c r="AAM31" s="622" t="str">
        <f t="shared" ref="AAM31" si="752">IF(PeerAnalysisChartType_NonFin="Absolute",AAM7,IFERROR((AAL31/AAL7)*AAM7,""))</f>
        <v/>
      </c>
      <c r="AAN31" s="622" t="str">
        <f t="shared" ref="AAN31" si="753">IF(PeerAnalysisChartType_NonFin="Absolute",AAN7,IFERROR((AAM31/AAM7)*AAN7,""))</f>
        <v/>
      </c>
      <c r="AAO31" s="622" t="str">
        <f t="shared" ref="AAO31" si="754">IF(PeerAnalysisChartType_NonFin="Absolute",AAO7,IFERROR((AAN31/AAN7)*AAO7,""))</f>
        <v/>
      </c>
      <c r="AAP31" s="622" t="str">
        <f t="shared" ref="AAP31" si="755">IF(PeerAnalysisChartType_NonFin="Absolute",AAP7,IFERROR((AAO31/AAO7)*AAP7,""))</f>
        <v/>
      </c>
      <c r="AAQ31" s="622" t="str">
        <f t="shared" ref="AAQ31" si="756">IF(PeerAnalysisChartType_NonFin="Absolute",AAQ7,IFERROR((AAP31/AAP7)*AAQ7,""))</f>
        <v/>
      </c>
      <c r="AAR31" s="622" t="str">
        <f t="shared" ref="AAR31" si="757">IF(PeerAnalysisChartType_NonFin="Absolute",AAR7,IFERROR((AAQ31/AAQ7)*AAR7,""))</f>
        <v/>
      </c>
      <c r="AAS31" s="622" t="str">
        <f t="shared" ref="AAS31" si="758">IF(PeerAnalysisChartType_NonFin="Absolute",AAS7,IFERROR((AAR31/AAR7)*AAS7,""))</f>
        <v/>
      </c>
      <c r="AAT31" s="622" t="str">
        <f t="shared" ref="AAT31" si="759">IF(PeerAnalysisChartType_NonFin="Absolute",AAT7,IFERROR((AAS31/AAS7)*AAT7,""))</f>
        <v/>
      </c>
      <c r="AAU31" s="622" t="str">
        <f t="shared" ref="AAU31" si="760">IF(PeerAnalysisChartType_NonFin="Absolute",AAU7,IFERROR((AAT31/AAT7)*AAU7,""))</f>
        <v/>
      </c>
      <c r="AAV31" s="622" t="str">
        <f t="shared" ref="AAV31" si="761">IF(PeerAnalysisChartType_NonFin="Absolute",AAV7,IFERROR((AAU31/AAU7)*AAV7,""))</f>
        <v/>
      </c>
      <c r="AAW31" s="622" t="str">
        <f t="shared" ref="AAW31" si="762">IF(PeerAnalysisChartType_NonFin="Absolute",AAW7,IFERROR((AAV31/AAV7)*AAW7,""))</f>
        <v/>
      </c>
      <c r="AAX31" s="622" t="str">
        <f t="shared" ref="AAX31" si="763">IF(PeerAnalysisChartType_NonFin="Absolute",AAX7,IFERROR((AAW31/AAW7)*AAX7,""))</f>
        <v/>
      </c>
      <c r="AAY31" s="622" t="str">
        <f t="shared" ref="AAY31" si="764">IF(PeerAnalysisChartType_NonFin="Absolute",AAY7,IFERROR((AAX31/AAX7)*AAY7,""))</f>
        <v/>
      </c>
      <c r="AAZ31" s="622" t="str">
        <f t="shared" ref="AAZ31" si="765">IF(PeerAnalysisChartType_NonFin="Absolute",AAZ7,IFERROR((AAY31/AAY7)*AAZ7,""))</f>
        <v/>
      </c>
      <c r="ABA31" s="622" t="str">
        <f t="shared" ref="ABA31" si="766">IF(PeerAnalysisChartType_NonFin="Absolute",ABA7,IFERROR((AAZ31/AAZ7)*ABA7,""))</f>
        <v/>
      </c>
      <c r="ABB31" s="622" t="str">
        <f t="shared" ref="ABB31" si="767">IF(PeerAnalysisChartType_NonFin="Absolute",ABB7,IFERROR((ABA31/ABA7)*ABB7,""))</f>
        <v/>
      </c>
      <c r="ABC31" s="622" t="str">
        <f t="shared" ref="ABC31" si="768">IF(PeerAnalysisChartType_NonFin="Absolute",ABC7,IFERROR((ABB31/ABB7)*ABC7,""))</f>
        <v/>
      </c>
      <c r="ABD31" s="623" t="str">
        <f t="shared" ref="ABD31" si="769">IF(PeerAnalysisChartType_NonFin="Absolute",ABD7,IFERROR((ABC31/ABC7)*ABD7,""))</f>
        <v/>
      </c>
      <c r="ABE31" s="698">
        <f>IF(PeerAnalysisChartType_NonFin="Absolute",ABE7,100)</f>
        <v>0.95004600859667476</v>
      </c>
      <c r="ABF31" s="696" t="str">
        <f t="shared" ref="ABF31" si="770">IF(PeerAnalysisChartType_NonFin="Absolute",ABF7,IFERROR((ABE31/ABE7)*ABF7,""))</f>
        <v/>
      </c>
      <c r="ABG31" s="696" t="str">
        <f t="shared" ref="ABG31" si="771">IF(PeerAnalysisChartType_NonFin="Absolute",ABG7,IFERROR((ABF31/ABF7)*ABG7,""))</f>
        <v/>
      </c>
      <c r="ABH31" s="696" t="str">
        <f t="shared" ref="ABH31" si="772">IF(PeerAnalysisChartType_NonFin="Absolute",ABH7,IFERROR((ABG31/ABG7)*ABH7,""))</f>
        <v/>
      </c>
      <c r="ABI31" s="696" t="str">
        <f t="shared" ref="ABI31" si="773">IF(PeerAnalysisChartType_NonFin="Absolute",ABI7,IFERROR((ABH31/ABH7)*ABI7,""))</f>
        <v/>
      </c>
      <c r="ABJ31" s="696" t="str">
        <f t="shared" ref="ABJ31" si="774">IF(PeerAnalysisChartType_NonFin="Absolute",ABJ7,IFERROR((ABI31/ABI7)*ABJ7,""))</f>
        <v/>
      </c>
      <c r="ABK31" s="696" t="str">
        <f t="shared" ref="ABK31" si="775">IF(PeerAnalysisChartType_NonFin="Absolute",ABK7,IFERROR((ABJ31/ABJ7)*ABK7,""))</f>
        <v/>
      </c>
      <c r="ABL31" s="696" t="str">
        <f t="shared" ref="ABL31" si="776">IF(PeerAnalysisChartType_NonFin="Absolute",ABL7,IFERROR((ABK31/ABK7)*ABL7,""))</f>
        <v/>
      </c>
      <c r="ABM31" s="696" t="str">
        <f t="shared" ref="ABM31" si="777">IF(PeerAnalysisChartType_NonFin="Absolute",ABM7,IFERROR((ABL31/ABL7)*ABM7,""))</f>
        <v/>
      </c>
      <c r="ABN31" s="696" t="str">
        <f t="shared" ref="ABN31" si="778">IF(PeerAnalysisChartType_NonFin="Absolute",ABN7,IFERROR((ABM31/ABM7)*ABN7,""))</f>
        <v/>
      </c>
      <c r="ABO31" s="696" t="str">
        <f t="shared" ref="ABO31" si="779">IF(PeerAnalysisChartType_NonFin="Absolute",ABO7,IFERROR((ABN31/ABN7)*ABO7,""))</f>
        <v/>
      </c>
      <c r="ABP31" s="696" t="str">
        <f t="shared" ref="ABP31" si="780">IF(PeerAnalysisChartType_NonFin="Absolute",ABP7,IFERROR((ABO31/ABO7)*ABP7,""))</f>
        <v/>
      </c>
      <c r="ABQ31" s="696" t="str">
        <f t="shared" ref="ABQ31" si="781">IF(PeerAnalysisChartType_NonFin="Absolute",ABQ7,IFERROR((ABP31/ABP7)*ABQ7,""))</f>
        <v/>
      </c>
      <c r="ABR31" s="696" t="str">
        <f t="shared" ref="ABR31" si="782">IF(PeerAnalysisChartType_NonFin="Absolute",ABR7,IFERROR((ABQ31/ABQ7)*ABR7,""))</f>
        <v/>
      </c>
      <c r="ABS31" s="696" t="str">
        <f t="shared" ref="ABS31" si="783">IF(PeerAnalysisChartType_NonFin="Absolute",ABS7,IFERROR((ABR31/ABR7)*ABS7,""))</f>
        <v/>
      </c>
      <c r="ABT31" s="696" t="str">
        <f t="shared" ref="ABT31" si="784">IF(PeerAnalysisChartType_NonFin="Absolute",ABT7,IFERROR((ABS31/ABS7)*ABT7,""))</f>
        <v/>
      </c>
      <c r="ABU31" s="696" t="str">
        <f t="shared" ref="ABU31" si="785">IF(PeerAnalysisChartType_NonFin="Absolute",ABU7,IFERROR((ABT31/ABT7)*ABU7,""))</f>
        <v/>
      </c>
      <c r="ABV31" s="696" t="str">
        <f t="shared" ref="ABV31" si="786">IF(PeerAnalysisChartType_NonFin="Absolute",ABV7,IFERROR((ABU31/ABU7)*ABV7,""))</f>
        <v/>
      </c>
      <c r="ABW31" s="696" t="str">
        <f t="shared" ref="ABW31" si="787">IF(PeerAnalysisChartType_NonFin="Absolute",ABW7,IFERROR((ABV31/ABV7)*ABW7,""))</f>
        <v/>
      </c>
      <c r="ABX31" s="697" t="str">
        <f t="shared" ref="ABX31" si="788">IF(PeerAnalysisChartType_NonFin="Absolute",ABX7,IFERROR((ABW31/ABW7)*ABX7,""))</f>
        <v/>
      </c>
      <c r="ABY31" s="301">
        <f>IF(PeerAnalysisChartType_NonFin="Absolute",ABY7,100)</f>
        <v>5.149</v>
      </c>
      <c r="ABZ31" s="302" t="str">
        <f t="shared" ref="ABZ31" si="789">IF(PeerAnalysisChartType_NonFin="Absolute",ABZ7,IFERROR((ABY31/ABY7)*ABZ7,""))</f>
        <v/>
      </c>
      <c r="ACA31" s="302" t="str">
        <f t="shared" ref="ACA31" si="790">IF(PeerAnalysisChartType_NonFin="Absolute",ACA7,IFERROR((ABZ31/ABZ7)*ACA7,""))</f>
        <v/>
      </c>
      <c r="ACB31" s="302" t="str">
        <f t="shared" ref="ACB31" si="791">IF(PeerAnalysisChartType_NonFin="Absolute",ACB7,IFERROR((ACA31/ACA7)*ACB7,""))</f>
        <v/>
      </c>
      <c r="ACC31" s="302" t="str">
        <f t="shared" ref="ACC31" si="792">IF(PeerAnalysisChartType_NonFin="Absolute",ACC7,IFERROR((ACB31/ACB7)*ACC7,""))</f>
        <v/>
      </c>
      <c r="ACD31" s="302" t="str">
        <f t="shared" ref="ACD31" si="793">IF(PeerAnalysisChartType_NonFin="Absolute",ACD7,IFERROR((ACC31/ACC7)*ACD7,""))</f>
        <v/>
      </c>
      <c r="ACE31" s="302" t="str">
        <f t="shared" ref="ACE31" si="794">IF(PeerAnalysisChartType_NonFin="Absolute",ACE7,IFERROR((ACD31/ACD7)*ACE7,""))</f>
        <v/>
      </c>
      <c r="ACF31" s="302" t="str">
        <f t="shared" ref="ACF31" si="795">IF(PeerAnalysisChartType_NonFin="Absolute",ACF7,IFERROR((ACE31/ACE7)*ACF7,""))</f>
        <v/>
      </c>
      <c r="ACG31" s="302" t="str">
        <f t="shared" ref="ACG31" si="796">IF(PeerAnalysisChartType_NonFin="Absolute",ACG7,IFERROR((ACF31/ACF7)*ACG7,""))</f>
        <v/>
      </c>
      <c r="ACH31" s="302" t="str">
        <f t="shared" ref="ACH31" si="797">IF(PeerAnalysisChartType_NonFin="Absolute",ACH7,IFERROR((ACG31/ACG7)*ACH7,""))</f>
        <v/>
      </c>
      <c r="ACI31" s="302" t="str">
        <f t="shared" ref="ACI31" si="798">IF(PeerAnalysisChartType_NonFin="Absolute",ACI7,IFERROR((ACH31/ACH7)*ACI7,""))</f>
        <v/>
      </c>
      <c r="ACJ31" s="302" t="str">
        <f t="shared" ref="ACJ31" si="799">IF(PeerAnalysisChartType_NonFin="Absolute",ACJ7,IFERROR((ACI31/ACI7)*ACJ7,""))</f>
        <v/>
      </c>
      <c r="ACK31" s="302" t="str">
        <f t="shared" ref="ACK31" si="800">IF(PeerAnalysisChartType_NonFin="Absolute",ACK7,IFERROR((ACJ31/ACJ7)*ACK7,""))</f>
        <v/>
      </c>
      <c r="ACL31" s="302" t="str">
        <f t="shared" ref="ACL31" si="801">IF(PeerAnalysisChartType_NonFin="Absolute",ACL7,IFERROR((ACK31/ACK7)*ACL7,""))</f>
        <v/>
      </c>
      <c r="ACM31" s="302" t="str">
        <f t="shared" ref="ACM31" si="802">IF(PeerAnalysisChartType_NonFin="Absolute",ACM7,IFERROR((ACL31/ACL7)*ACM7,""))</f>
        <v/>
      </c>
      <c r="ACN31" s="302" t="str">
        <f t="shared" ref="ACN31" si="803">IF(PeerAnalysisChartType_NonFin="Absolute",ACN7,IFERROR((ACM31/ACM7)*ACN7,""))</f>
        <v/>
      </c>
      <c r="ACO31" s="302" t="str">
        <f t="shared" ref="ACO31" si="804">IF(PeerAnalysisChartType_NonFin="Absolute",ACO7,IFERROR((ACN31/ACN7)*ACO7,""))</f>
        <v/>
      </c>
      <c r="ACP31" s="302" t="str">
        <f t="shared" ref="ACP31" si="805">IF(PeerAnalysisChartType_NonFin="Absolute",ACP7,IFERROR((ACO31/ACO7)*ACP7,""))</f>
        <v/>
      </c>
      <c r="ACQ31" s="302" t="str">
        <f t="shared" ref="ACQ31" si="806">IF(PeerAnalysisChartType_NonFin="Absolute",ACQ7,IFERROR((ACP31/ACP7)*ACQ7,""))</f>
        <v/>
      </c>
      <c r="ACR31" s="303" t="str">
        <f t="shared" ref="ACR31" si="807">IF(PeerAnalysisChartType_NonFin="Absolute",ACR7,IFERROR((ACQ31/ACQ7)*ACR7,""))</f>
        <v/>
      </c>
    </row>
    <row r="32" spans="1:772" s="97" customFormat="1" ht="15" customHeight="1" x14ac:dyDescent="0.2">
      <c r="A32" s="99" t="s">
        <v>1040</v>
      </c>
      <c r="B32" s="590"/>
      <c r="C32" s="590"/>
      <c r="D32" s="590"/>
      <c r="E32" s="591"/>
      <c r="F32" s="591"/>
      <c r="G32" s="592"/>
      <c r="H32" s="592"/>
      <c r="I32" s="592"/>
      <c r="J32" s="592"/>
      <c r="K32" s="592"/>
      <c r="L32" s="592"/>
      <c r="M32" s="592"/>
      <c r="N32" s="592"/>
      <c r="O32" s="592"/>
      <c r="P32" s="592"/>
      <c r="Q32" s="592"/>
      <c r="R32" s="592"/>
      <c r="S32" s="592"/>
      <c r="T32" s="592"/>
      <c r="U32" s="592"/>
      <c r="V32" s="592"/>
      <c r="W32" s="592"/>
      <c r="X32" s="592"/>
      <c r="Y32" s="592"/>
      <c r="Z32" s="592"/>
      <c r="AA32" s="592"/>
      <c r="AB32" s="592"/>
      <c r="AC32" s="592"/>
      <c r="AD32" s="592"/>
      <c r="AE32" s="593"/>
      <c r="AF32" s="129"/>
      <c r="AG32" s="695">
        <f>IF(PeerAnalysisChartType_NonFin="Absolute",AG18,100)</f>
        <v>0.12756200000000001</v>
      </c>
      <c r="AH32" s="696" t="str">
        <f t="shared" ref="AH32:AZ32" si="808">IF(PeerAnalysisChartType_NonFin="Absolute",AH18,IFERROR((AG32/AG18)*AH18,""))</f>
        <v/>
      </c>
      <c r="AI32" s="696" t="str">
        <f t="shared" si="808"/>
        <v/>
      </c>
      <c r="AJ32" s="696" t="str">
        <f t="shared" si="808"/>
        <v/>
      </c>
      <c r="AK32" s="696" t="str">
        <f t="shared" si="808"/>
        <v/>
      </c>
      <c r="AL32" s="696" t="str">
        <f t="shared" si="808"/>
        <v/>
      </c>
      <c r="AM32" s="696" t="str">
        <f t="shared" si="808"/>
        <v/>
      </c>
      <c r="AN32" s="696" t="str">
        <f t="shared" si="808"/>
        <v/>
      </c>
      <c r="AO32" s="696" t="str">
        <f t="shared" si="808"/>
        <v/>
      </c>
      <c r="AP32" s="696" t="str">
        <f t="shared" si="808"/>
        <v/>
      </c>
      <c r="AQ32" s="696" t="str">
        <f t="shared" si="808"/>
        <v/>
      </c>
      <c r="AR32" s="696" t="str">
        <f t="shared" si="808"/>
        <v/>
      </c>
      <c r="AS32" s="696" t="str">
        <f t="shared" si="808"/>
        <v/>
      </c>
      <c r="AT32" s="696" t="str">
        <f t="shared" si="808"/>
        <v/>
      </c>
      <c r="AU32" s="696" t="str">
        <f t="shared" si="808"/>
        <v/>
      </c>
      <c r="AV32" s="696" t="str">
        <f t="shared" si="808"/>
        <v/>
      </c>
      <c r="AW32" s="696" t="str">
        <f t="shared" si="808"/>
        <v/>
      </c>
      <c r="AX32" s="696" t="str">
        <f t="shared" si="808"/>
        <v/>
      </c>
      <c r="AY32" s="696" t="str">
        <f t="shared" si="808"/>
        <v/>
      </c>
      <c r="AZ32" s="697" t="str">
        <f t="shared" si="808"/>
        <v/>
      </c>
      <c r="BA32" s="698">
        <f>IF(PeerAnalysisChartType_NonFin="Absolute",BA18,100)</f>
        <v>4.6349999999999995E-2</v>
      </c>
      <c r="BB32" s="696" t="str">
        <f t="shared" ref="BB32:BT32" si="809">IF(PeerAnalysisChartType_NonFin="Absolute",BB18,IFERROR((BA32/BA18)*BB18,""))</f>
        <v/>
      </c>
      <c r="BC32" s="696" t="str">
        <f t="shared" si="809"/>
        <v/>
      </c>
      <c r="BD32" s="696" t="str">
        <f t="shared" si="809"/>
        <v/>
      </c>
      <c r="BE32" s="696" t="str">
        <f t="shared" si="809"/>
        <v/>
      </c>
      <c r="BF32" s="696" t="str">
        <f t="shared" si="809"/>
        <v/>
      </c>
      <c r="BG32" s="696" t="str">
        <f t="shared" si="809"/>
        <v/>
      </c>
      <c r="BH32" s="696" t="str">
        <f t="shared" si="809"/>
        <v/>
      </c>
      <c r="BI32" s="696" t="str">
        <f t="shared" si="809"/>
        <v/>
      </c>
      <c r="BJ32" s="696" t="str">
        <f t="shared" si="809"/>
        <v/>
      </c>
      <c r="BK32" s="696" t="str">
        <f t="shared" si="809"/>
        <v/>
      </c>
      <c r="BL32" s="696" t="str">
        <f t="shared" si="809"/>
        <v/>
      </c>
      <c r="BM32" s="696" t="str">
        <f t="shared" si="809"/>
        <v/>
      </c>
      <c r="BN32" s="696" t="str">
        <f t="shared" si="809"/>
        <v/>
      </c>
      <c r="BO32" s="696" t="str">
        <f t="shared" si="809"/>
        <v/>
      </c>
      <c r="BP32" s="696" t="str">
        <f t="shared" si="809"/>
        <v/>
      </c>
      <c r="BQ32" s="696" t="str">
        <f t="shared" si="809"/>
        <v/>
      </c>
      <c r="BR32" s="696" t="str">
        <f t="shared" si="809"/>
        <v/>
      </c>
      <c r="BS32" s="696" t="str">
        <f t="shared" si="809"/>
        <v/>
      </c>
      <c r="BT32" s="697" t="str">
        <f t="shared" si="809"/>
        <v/>
      </c>
      <c r="BU32" s="698">
        <f>IF(PeerAnalysisChartType_NonFin="Absolute",BU18,100)</f>
        <v>3.7442000000000003E-2</v>
      </c>
      <c r="BV32" s="696" t="str">
        <f t="shared" ref="BV32:CN32" si="810">IF(PeerAnalysisChartType_NonFin="Absolute",BV18,IFERROR((BU32/BU18)*BV18,""))</f>
        <v/>
      </c>
      <c r="BW32" s="696" t="str">
        <f t="shared" si="810"/>
        <v/>
      </c>
      <c r="BX32" s="696" t="str">
        <f t="shared" si="810"/>
        <v/>
      </c>
      <c r="BY32" s="696" t="str">
        <f t="shared" si="810"/>
        <v/>
      </c>
      <c r="BZ32" s="696" t="str">
        <f t="shared" si="810"/>
        <v/>
      </c>
      <c r="CA32" s="696" t="str">
        <f t="shared" si="810"/>
        <v/>
      </c>
      <c r="CB32" s="696" t="str">
        <f t="shared" si="810"/>
        <v/>
      </c>
      <c r="CC32" s="696" t="str">
        <f t="shared" si="810"/>
        <v/>
      </c>
      <c r="CD32" s="696" t="str">
        <f t="shared" si="810"/>
        <v/>
      </c>
      <c r="CE32" s="696" t="str">
        <f t="shared" si="810"/>
        <v/>
      </c>
      <c r="CF32" s="696" t="str">
        <f t="shared" si="810"/>
        <v/>
      </c>
      <c r="CG32" s="696" t="str">
        <f t="shared" si="810"/>
        <v/>
      </c>
      <c r="CH32" s="696" t="str">
        <f t="shared" si="810"/>
        <v/>
      </c>
      <c r="CI32" s="696" t="str">
        <f t="shared" si="810"/>
        <v/>
      </c>
      <c r="CJ32" s="696" t="str">
        <f t="shared" si="810"/>
        <v/>
      </c>
      <c r="CK32" s="696" t="str">
        <f t="shared" si="810"/>
        <v/>
      </c>
      <c r="CL32" s="696" t="str">
        <f t="shared" si="810"/>
        <v/>
      </c>
      <c r="CM32" s="696" t="str">
        <f t="shared" si="810"/>
        <v/>
      </c>
      <c r="CN32" s="697" t="str">
        <f t="shared" si="810"/>
        <v/>
      </c>
      <c r="CO32" s="698">
        <f>IF(PeerAnalysisChartType_NonFin="Absolute",CO18,100)</f>
        <v>2.5432E-2</v>
      </c>
      <c r="CP32" s="696" t="str">
        <f t="shared" ref="CP32:DH32" si="811">IF(PeerAnalysisChartType_NonFin="Absolute",CP18,IFERROR((CO32/CO18)*CP18,""))</f>
        <v/>
      </c>
      <c r="CQ32" s="696" t="str">
        <f t="shared" si="811"/>
        <v/>
      </c>
      <c r="CR32" s="696" t="str">
        <f t="shared" si="811"/>
        <v/>
      </c>
      <c r="CS32" s="696" t="str">
        <f t="shared" si="811"/>
        <v/>
      </c>
      <c r="CT32" s="696" t="str">
        <f t="shared" si="811"/>
        <v/>
      </c>
      <c r="CU32" s="696" t="str">
        <f t="shared" si="811"/>
        <v/>
      </c>
      <c r="CV32" s="696" t="str">
        <f t="shared" si="811"/>
        <v/>
      </c>
      <c r="CW32" s="696" t="str">
        <f t="shared" si="811"/>
        <v/>
      </c>
      <c r="CX32" s="696" t="str">
        <f t="shared" si="811"/>
        <v/>
      </c>
      <c r="CY32" s="696" t="str">
        <f t="shared" si="811"/>
        <v/>
      </c>
      <c r="CZ32" s="696" t="str">
        <f t="shared" si="811"/>
        <v/>
      </c>
      <c r="DA32" s="696" t="str">
        <f t="shared" si="811"/>
        <v/>
      </c>
      <c r="DB32" s="696" t="str">
        <f t="shared" si="811"/>
        <v/>
      </c>
      <c r="DC32" s="696" t="str">
        <f t="shared" si="811"/>
        <v/>
      </c>
      <c r="DD32" s="696" t="str">
        <f t="shared" si="811"/>
        <v/>
      </c>
      <c r="DE32" s="696" t="str">
        <f t="shared" si="811"/>
        <v/>
      </c>
      <c r="DF32" s="696" t="str">
        <f t="shared" si="811"/>
        <v/>
      </c>
      <c r="DG32" s="696" t="str">
        <f t="shared" si="811"/>
        <v/>
      </c>
      <c r="DH32" s="697" t="str">
        <f t="shared" si="811"/>
        <v/>
      </c>
      <c r="DI32" s="698">
        <f>IF(PeerAnalysisChartType_NonFin="Absolute",DI18,100)</f>
        <v>0.87243702113411203</v>
      </c>
      <c r="DJ32" s="696" t="str">
        <f t="shared" ref="DJ32:EB32" si="812">IF(PeerAnalysisChartType_NonFin="Absolute",DJ18,IFERROR((DI32/DI18)*DJ18,""))</f>
        <v/>
      </c>
      <c r="DK32" s="696" t="str">
        <f t="shared" si="812"/>
        <v/>
      </c>
      <c r="DL32" s="696" t="str">
        <f t="shared" si="812"/>
        <v/>
      </c>
      <c r="DM32" s="696" t="str">
        <f t="shared" si="812"/>
        <v/>
      </c>
      <c r="DN32" s="696" t="str">
        <f t="shared" si="812"/>
        <v/>
      </c>
      <c r="DO32" s="696" t="str">
        <f t="shared" si="812"/>
        <v/>
      </c>
      <c r="DP32" s="696" t="str">
        <f t="shared" si="812"/>
        <v/>
      </c>
      <c r="DQ32" s="696" t="str">
        <f t="shared" si="812"/>
        <v/>
      </c>
      <c r="DR32" s="696" t="str">
        <f t="shared" si="812"/>
        <v/>
      </c>
      <c r="DS32" s="696" t="str">
        <f t="shared" si="812"/>
        <v/>
      </c>
      <c r="DT32" s="696" t="str">
        <f t="shared" si="812"/>
        <v/>
      </c>
      <c r="DU32" s="696" t="str">
        <f t="shared" si="812"/>
        <v/>
      </c>
      <c r="DV32" s="696" t="str">
        <f t="shared" si="812"/>
        <v/>
      </c>
      <c r="DW32" s="696" t="str">
        <f t="shared" si="812"/>
        <v/>
      </c>
      <c r="DX32" s="696" t="str">
        <f t="shared" si="812"/>
        <v/>
      </c>
      <c r="DY32" s="696" t="str">
        <f t="shared" si="812"/>
        <v/>
      </c>
      <c r="DZ32" s="696" t="str">
        <f t="shared" si="812"/>
        <v/>
      </c>
      <c r="EA32" s="696" t="str">
        <f t="shared" si="812"/>
        <v/>
      </c>
      <c r="EB32" s="697" t="str">
        <f t="shared" si="812"/>
        <v/>
      </c>
      <c r="EC32" s="698">
        <f>IF(PeerAnalysisChartType_NonFin="Absolute",EC18,100)</f>
        <v>8.1212700163479146E-2</v>
      </c>
      <c r="ED32" s="696" t="str">
        <f t="shared" ref="ED32:EV32" si="813">IF(PeerAnalysisChartType_NonFin="Absolute",ED18,IFERROR((EC32/EC18)*ED18,""))</f>
        <v/>
      </c>
      <c r="EE32" s="696" t="str">
        <f t="shared" si="813"/>
        <v/>
      </c>
      <c r="EF32" s="696" t="str">
        <f t="shared" si="813"/>
        <v/>
      </c>
      <c r="EG32" s="696" t="str">
        <f t="shared" si="813"/>
        <v/>
      </c>
      <c r="EH32" s="696" t="str">
        <f t="shared" si="813"/>
        <v/>
      </c>
      <c r="EI32" s="696" t="str">
        <f t="shared" si="813"/>
        <v/>
      </c>
      <c r="EJ32" s="696" t="str">
        <f t="shared" si="813"/>
        <v/>
      </c>
      <c r="EK32" s="696" t="str">
        <f t="shared" si="813"/>
        <v/>
      </c>
      <c r="EL32" s="696" t="str">
        <f t="shared" si="813"/>
        <v/>
      </c>
      <c r="EM32" s="696" t="str">
        <f t="shared" si="813"/>
        <v/>
      </c>
      <c r="EN32" s="696" t="str">
        <f t="shared" si="813"/>
        <v/>
      </c>
      <c r="EO32" s="696" t="str">
        <f t="shared" si="813"/>
        <v/>
      </c>
      <c r="EP32" s="696" t="str">
        <f t="shared" si="813"/>
        <v/>
      </c>
      <c r="EQ32" s="696" t="str">
        <f t="shared" si="813"/>
        <v/>
      </c>
      <c r="ER32" s="696" t="str">
        <f t="shared" si="813"/>
        <v/>
      </c>
      <c r="ES32" s="696" t="str">
        <f t="shared" si="813"/>
        <v/>
      </c>
      <c r="ET32" s="696" t="str">
        <f t="shared" si="813"/>
        <v/>
      </c>
      <c r="EU32" s="696" t="str">
        <f t="shared" si="813"/>
        <v/>
      </c>
      <c r="EV32" s="697" t="str">
        <f t="shared" si="813"/>
        <v/>
      </c>
      <c r="EW32" s="698">
        <f>IF(PeerAnalysisChartType_NonFin="Absolute",EW18,100)</f>
        <v>8.9746000000000006E-2</v>
      </c>
      <c r="EX32" s="696" t="str">
        <f t="shared" ref="EX32:FP32" si="814">IF(PeerAnalysisChartType_NonFin="Absolute",EX18,IFERROR((EW32/EW18)*EX18,""))</f>
        <v/>
      </c>
      <c r="EY32" s="696" t="str">
        <f t="shared" si="814"/>
        <v/>
      </c>
      <c r="EZ32" s="696" t="str">
        <f t="shared" si="814"/>
        <v/>
      </c>
      <c r="FA32" s="696" t="str">
        <f t="shared" si="814"/>
        <v/>
      </c>
      <c r="FB32" s="696" t="str">
        <f t="shared" si="814"/>
        <v/>
      </c>
      <c r="FC32" s="696" t="str">
        <f t="shared" si="814"/>
        <v/>
      </c>
      <c r="FD32" s="696" t="str">
        <f t="shared" si="814"/>
        <v/>
      </c>
      <c r="FE32" s="696" t="str">
        <f t="shared" si="814"/>
        <v/>
      </c>
      <c r="FF32" s="696" t="str">
        <f t="shared" si="814"/>
        <v/>
      </c>
      <c r="FG32" s="696" t="str">
        <f t="shared" si="814"/>
        <v/>
      </c>
      <c r="FH32" s="696" t="str">
        <f t="shared" si="814"/>
        <v/>
      </c>
      <c r="FI32" s="696" t="str">
        <f t="shared" si="814"/>
        <v/>
      </c>
      <c r="FJ32" s="696" t="str">
        <f t="shared" si="814"/>
        <v/>
      </c>
      <c r="FK32" s="696" t="str">
        <f t="shared" si="814"/>
        <v/>
      </c>
      <c r="FL32" s="696" t="str">
        <f t="shared" si="814"/>
        <v/>
      </c>
      <c r="FM32" s="696" t="str">
        <f t="shared" si="814"/>
        <v/>
      </c>
      <c r="FN32" s="696" t="str">
        <f t="shared" si="814"/>
        <v/>
      </c>
      <c r="FO32" s="696" t="str">
        <f t="shared" si="814"/>
        <v/>
      </c>
      <c r="FP32" s="697" t="str">
        <f t="shared" si="814"/>
        <v/>
      </c>
      <c r="FQ32" s="698">
        <f>IF(PeerAnalysisChartType_NonFin="Absolute",FQ18,100)</f>
        <v>0</v>
      </c>
      <c r="FR32" s="696" t="str">
        <f t="shared" ref="FR32:GJ32" si="815">IF(PeerAnalysisChartType_NonFin="Absolute",FR18,IFERROR((FQ32/FQ18)*FR18,""))</f>
        <v/>
      </c>
      <c r="FS32" s="696" t="str">
        <f t="shared" si="815"/>
        <v/>
      </c>
      <c r="FT32" s="696" t="str">
        <f t="shared" si="815"/>
        <v/>
      </c>
      <c r="FU32" s="696" t="str">
        <f t="shared" si="815"/>
        <v/>
      </c>
      <c r="FV32" s="696" t="str">
        <f t="shared" si="815"/>
        <v/>
      </c>
      <c r="FW32" s="696" t="str">
        <f t="shared" si="815"/>
        <v/>
      </c>
      <c r="FX32" s="696" t="str">
        <f t="shared" si="815"/>
        <v/>
      </c>
      <c r="FY32" s="696" t="str">
        <f t="shared" si="815"/>
        <v/>
      </c>
      <c r="FZ32" s="696" t="str">
        <f t="shared" si="815"/>
        <v/>
      </c>
      <c r="GA32" s="696" t="str">
        <f t="shared" si="815"/>
        <v/>
      </c>
      <c r="GB32" s="696" t="str">
        <f t="shared" si="815"/>
        <v/>
      </c>
      <c r="GC32" s="696" t="str">
        <f t="shared" si="815"/>
        <v/>
      </c>
      <c r="GD32" s="696" t="str">
        <f t="shared" si="815"/>
        <v/>
      </c>
      <c r="GE32" s="696" t="str">
        <f t="shared" si="815"/>
        <v/>
      </c>
      <c r="GF32" s="696" t="str">
        <f t="shared" si="815"/>
        <v/>
      </c>
      <c r="GG32" s="696" t="str">
        <f t="shared" si="815"/>
        <v/>
      </c>
      <c r="GH32" s="696" t="str">
        <f t="shared" si="815"/>
        <v/>
      </c>
      <c r="GI32" s="696" t="str">
        <f t="shared" si="815"/>
        <v/>
      </c>
      <c r="GJ32" s="697" t="str">
        <f t="shared" si="815"/>
        <v/>
      </c>
      <c r="GK32" s="595">
        <f>IF(PeerAnalysisChartType_NonFin="Absolute",GK18,100)</f>
        <v>3.2153443895136986</v>
      </c>
      <c r="GL32" s="596" t="str">
        <f t="shared" ref="GL32:HD32" si="816">IF(PeerAnalysisChartType_NonFin="Absolute",GL18,IFERROR((GK32/GK18)*GL18,""))</f>
        <v/>
      </c>
      <c r="GM32" s="596" t="str">
        <f t="shared" si="816"/>
        <v/>
      </c>
      <c r="GN32" s="596" t="str">
        <f t="shared" si="816"/>
        <v/>
      </c>
      <c r="GO32" s="596" t="str">
        <f t="shared" si="816"/>
        <v/>
      </c>
      <c r="GP32" s="596" t="str">
        <f t="shared" si="816"/>
        <v/>
      </c>
      <c r="GQ32" s="596" t="str">
        <f t="shared" si="816"/>
        <v/>
      </c>
      <c r="GR32" s="596" t="str">
        <f t="shared" si="816"/>
        <v/>
      </c>
      <c r="GS32" s="596" t="str">
        <f t="shared" si="816"/>
        <v/>
      </c>
      <c r="GT32" s="596" t="str">
        <f t="shared" si="816"/>
        <v/>
      </c>
      <c r="GU32" s="596" t="str">
        <f t="shared" si="816"/>
        <v/>
      </c>
      <c r="GV32" s="596" t="str">
        <f t="shared" si="816"/>
        <v/>
      </c>
      <c r="GW32" s="596" t="str">
        <f t="shared" si="816"/>
        <v/>
      </c>
      <c r="GX32" s="596" t="str">
        <f t="shared" si="816"/>
        <v/>
      </c>
      <c r="GY32" s="596" t="str">
        <f t="shared" si="816"/>
        <v/>
      </c>
      <c r="GZ32" s="596" t="str">
        <f t="shared" si="816"/>
        <v/>
      </c>
      <c r="HA32" s="596" t="str">
        <f t="shared" si="816"/>
        <v/>
      </c>
      <c r="HB32" s="596" t="str">
        <f t="shared" si="816"/>
        <v/>
      </c>
      <c r="HC32" s="596" t="str">
        <f t="shared" si="816"/>
        <v/>
      </c>
      <c r="HD32" s="597" t="str">
        <f t="shared" si="816"/>
        <v/>
      </c>
      <c r="HE32" s="595">
        <f>IF(PeerAnalysisChartType_NonFin="Absolute",HE18,100)</f>
        <v>32.799486956619894</v>
      </c>
      <c r="HF32" s="596" t="str">
        <f t="shared" ref="HF32:HX32" si="817">IF(PeerAnalysisChartType_NonFin="Absolute",HF18,IFERROR((HE32/HE18)*HF18,""))</f>
        <v/>
      </c>
      <c r="HG32" s="596" t="str">
        <f t="shared" si="817"/>
        <v/>
      </c>
      <c r="HH32" s="596" t="str">
        <f t="shared" si="817"/>
        <v/>
      </c>
      <c r="HI32" s="596" t="str">
        <f t="shared" si="817"/>
        <v/>
      </c>
      <c r="HJ32" s="596" t="str">
        <f t="shared" si="817"/>
        <v/>
      </c>
      <c r="HK32" s="596" t="str">
        <f t="shared" si="817"/>
        <v/>
      </c>
      <c r="HL32" s="596" t="str">
        <f t="shared" si="817"/>
        <v/>
      </c>
      <c r="HM32" s="596" t="str">
        <f t="shared" si="817"/>
        <v/>
      </c>
      <c r="HN32" s="596" t="str">
        <f t="shared" si="817"/>
        <v/>
      </c>
      <c r="HO32" s="596" t="str">
        <f t="shared" si="817"/>
        <v/>
      </c>
      <c r="HP32" s="596" t="str">
        <f t="shared" si="817"/>
        <v/>
      </c>
      <c r="HQ32" s="596" t="str">
        <f t="shared" si="817"/>
        <v/>
      </c>
      <c r="HR32" s="596" t="str">
        <f t="shared" si="817"/>
        <v/>
      </c>
      <c r="HS32" s="596" t="str">
        <f t="shared" si="817"/>
        <v/>
      </c>
      <c r="HT32" s="596" t="str">
        <f t="shared" si="817"/>
        <v/>
      </c>
      <c r="HU32" s="596" t="str">
        <f t="shared" si="817"/>
        <v/>
      </c>
      <c r="HV32" s="596" t="str">
        <f t="shared" si="817"/>
        <v/>
      </c>
      <c r="HW32" s="596" t="str">
        <f t="shared" si="817"/>
        <v/>
      </c>
      <c r="HX32" s="597" t="str">
        <f t="shared" si="817"/>
        <v/>
      </c>
      <c r="HY32" s="595">
        <f>IF(PeerAnalysisChartType_NonFin="Absolute",HY18,100)</f>
        <v>37.673624829267737</v>
      </c>
      <c r="HZ32" s="596" t="str">
        <f t="shared" ref="HZ32:IR32" si="818">IF(PeerAnalysisChartType_NonFin="Absolute",HZ18,IFERROR((HY32/HY18)*HZ18,""))</f>
        <v/>
      </c>
      <c r="IA32" s="596" t="str">
        <f t="shared" si="818"/>
        <v/>
      </c>
      <c r="IB32" s="596" t="str">
        <f t="shared" si="818"/>
        <v/>
      </c>
      <c r="IC32" s="596" t="str">
        <f t="shared" si="818"/>
        <v/>
      </c>
      <c r="ID32" s="596" t="str">
        <f t="shared" si="818"/>
        <v/>
      </c>
      <c r="IE32" s="596" t="str">
        <f t="shared" si="818"/>
        <v/>
      </c>
      <c r="IF32" s="596" t="str">
        <f t="shared" si="818"/>
        <v/>
      </c>
      <c r="IG32" s="596" t="str">
        <f t="shared" si="818"/>
        <v/>
      </c>
      <c r="IH32" s="596" t="str">
        <f t="shared" si="818"/>
        <v/>
      </c>
      <c r="II32" s="596" t="str">
        <f t="shared" si="818"/>
        <v/>
      </c>
      <c r="IJ32" s="596" t="str">
        <f t="shared" si="818"/>
        <v/>
      </c>
      <c r="IK32" s="596" t="str">
        <f t="shared" si="818"/>
        <v/>
      </c>
      <c r="IL32" s="596" t="str">
        <f t="shared" si="818"/>
        <v/>
      </c>
      <c r="IM32" s="596" t="str">
        <f t="shared" si="818"/>
        <v/>
      </c>
      <c r="IN32" s="596" t="str">
        <f t="shared" si="818"/>
        <v/>
      </c>
      <c r="IO32" s="596" t="str">
        <f t="shared" si="818"/>
        <v/>
      </c>
      <c r="IP32" s="596" t="str">
        <f t="shared" si="818"/>
        <v/>
      </c>
      <c r="IQ32" s="596" t="str">
        <f t="shared" si="818"/>
        <v/>
      </c>
      <c r="IR32" s="597" t="str">
        <f t="shared" si="818"/>
        <v/>
      </c>
      <c r="IS32" s="595">
        <f>IF(PeerAnalysisChartType_NonFin="Absolute",IS18,100)</f>
        <v>-1.6587934831341471</v>
      </c>
      <c r="IT32" s="596" t="str">
        <f t="shared" ref="IT32:JL32" si="819">IF(PeerAnalysisChartType_NonFin="Absolute",IT18,IFERROR((IS32/IS18)*IT18,""))</f>
        <v/>
      </c>
      <c r="IU32" s="596" t="str">
        <f t="shared" si="819"/>
        <v/>
      </c>
      <c r="IV32" s="596" t="str">
        <f t="shared" si="819"/>
        <v/>
      </c>
      <c r="IW32" s="596" t="str">
        <f t="shared" si="819"/>
        <v/>
      </c>
      <c r="IX32" s="596" t="str">
        <f t="shared" si="819"/>
        <v/>
      </c>
      <c r="IY32" s="596" t="str">
        <f t="shared" si="819"/>
        <v/>
      </c>
      <c r="IZ32" s="596" t="str">
        <f t="shared" si="819"/>
        <v/>
      </c>
      <c r="JA32" s="596" t="str">
        <f t="shared" si="819"/>
        <v/>
      </c>
      <c r="JB32" s="596" t="str">
        <f t="shared" si="819"/>
        <v/>
      </c>
      <c r="JC32" s="596" t="str">
        <f t="shared" si="819"/>
        <v/>
      </c>
      <c r="JD32" s="596" t="str">
        <f t="shared" si="819"/>
        <v/>
      </c>
      <c r="JE32" s="596" t="str">
        <f t="shared" si="819"/>
        <v/>
      </c>
      <c r="JF32" s="596" t="str">
        <f t="shared" si="819"/>
        <v/>
      </c>
      <c r="JG32" s="596" t="str">
        <f t="shared" si="819"/>
        <v/>
      </c>
      <c r="JH32" s="596" t="str">
        <f t="shared" si="819"/>
        <v/>
      </c>
      <c r="JI32" s="596" t="str">
        <f t="shared" si="819"/>
        <v/>
      </c>
      <c r="JJ32" s="596" t="str">
        <f t="shared" si="819"/>
        <v/>
      </c>
      <c r="JK32" s="596" t="str">
        <f t="shared" si="819"/>
        <v/>
      </c>
      <c r="JL32" s="597" t="str">
        <f t="shared" si="819"/>
        <v/>
      </c>
      <c r="JM32" s="698">
        <f>IF(PeerAnalysisChartType_NonFin="Absolute",JM18,100)</f>
        <v>4.711843375155108E-2</v>
      </c>
      <c r="JN32" s="696" t="str">
        <f t="shared" ref="JN32:KF32" si="820">IF(PeerAnalysisChartType_NonFin="Absolute",JN18,IFERROR((JM32/JM18)*JN18,""))</f>
        <v/>
      </c>
      <c r="JO32" s="696" t="str">
        <f t="shared" si="820"/>
        <v/>
      </c>
      <c r="JP32" s="696" t="str">
        <f t="shared" si="820"/>
        <v/>
      </c>
      <c r="JQ32" s="696" t="str">
        <f t="shared" si="820"/>
        <v/>
      </c>
      <c r="JR32" s="696" t="str">
        <f t="shared" si="820"/>
        <v/>
      </c>
      <c r="JS32" s="696" t="str">
        <f t="shared" si="820"/>
        <v/>
      </c>
      <c r="JT32" s="696" t="str">
        <f t="shared" si="820"/>
        <v/>
      </c>
      <c r="JU32" s="696" t="str">
        <f t="shared" si="820"/>
        <v/>
      </c>
      <c r="JV32" s="696" t="str">
        <f t="shared" si="820"/>
        <v/>
      </c>
      <c r="JW32" s="696" t="str">
        <f t="shared" si="820"/>
        <v/>
      </c>
      <c r="JX32" s="696" t="str">
        <f t="shared" si="820"/>
        <v/>
      </c>
      <c r="JY32" s="696" t="str">
        <f t="shared" si="820"/>
        <v/>
      </c>
      <c r="JZ32" s="696" t="str">
        <f t="shared" si="820"/>
        <v/>
      </c>
      <c r="KA32" s="696" t="str">
        <f t="shared" si="820"/>
        <v/>
      </c>
      <c r="KB32" s="696" t="str">
        <f t="shared" si="820"/>
        <v/>
      </c>
      <c r="KC32" s="696" t="str">
        <f t="shared" si="820"/>
        <v/>
      </c>
      <c r="KD32" s="696" t="str">
        <f t="shared" si="820"/>
        <v/>
      </c>
      <c r="KE32" s="696" t="str">
        <f t="shared" si="820"/>
        <v/>
      </c>
      <c r="KF32" s="697" t="str">
        <f t="shared" si="820"/>
        <v/>
      </c>
      <c r="KG32" s="301">
        <f>IF(PeerAnalysisChartType_NonFin="Absolute",KG18,100)</f>
        <v>3.2659099999999999</v>
      </c>
      <c r="KH32" s="302" t="str">
        <f t="shared" ref="KH32:KZ32" si="821">IF(PeerAnalysisChartType_NonFin="Absolute",KH18,IFERROR((KG32/KG18)*KH18,""))</f>
        <v/>
      </c>
      <c r="KI32" s="302" t="str">
        <f t="shared" si="821"/>
        <v/>
      </c>
      <c r="KJ32" s="302" t="str">
        <f t="shared" si="821"/>
        <v/>
      </c>
      <c r="KK32" s="302" t="str">
        <f t="shared" si="821"/>
        <v/>
      </c>
      <c r="KL32" s="302" t="str">
        <f t="shared" si="821"/>
        <v/>
      </c>
      <c r="KM32" s="302" t="str">
        <f t="shared" si="821"/>
        <v/>
      </c>
      <c r="KN32" s="302" t="str">
        <f t="shared" si="821"/>
        <v/>
      </c>
      <c r="KO32" s="302" t="str">
        <f t="shared" si="821"/>
        <v/>
      </c>
      <c r="KP32" s="302" t="str">
        <f t="shared" si="821"/>
        <v/>
      </c>
      <c r="KQ32" s="302" t="str">
        <f t="shared" si="821"/>
        <v/>
      </c>
      <c r="KR32" s="302" t="str">
        <f t="shared" si="821"/>
        <v/>
      </c>
      <c r="KS32" s="302" t="str">
        <f t="shared" si="821"/>
        <v/>
      </c>
      <c r="KT32" s="302" t="str">
        <f t="shared" si="821"/>
        <v/>
      </c>
      <c r="KU32" s="302" t="str">
        <f t="shared" si="821"/>
        <v/>
      </c>
      <c r="KV32" s="302" t="str">
        <f t="shared" si="821"/>
        <v/>
      </c>
      <c r="KW32" s="302" t="str">
        <f t="shared" si="821"/>
        <v/>
      </c>
      <c r="KX32" s="302" t="str">
        <f t="shared" si="821"/>
        <v/>
      </c>
      <c r="KY32" s="302" t="str">
        <f t="shared" si="821"/>
        <v/>
      </c>
      <c r="KZ32" s="303" t="str">
        <f t="shared" si="821"/>
        <v/>
      </c>
      <c r="LA32" s="301">
        <f>IF(PeerAnalysisChartType_NonFin="Absolute",LA18,100)</f>
        <v>11.128220000000001</v>
      </c>
      <c r="LB32" s="301" t="str">
        <f t="shared" ref="LB32:LT32" si="822">IF(PeerAnalysisChartType_NonFin="Absolute",LB18,IFERROR((LA32/LA18)*LB18,""))</f>
        <v/>
      </c>
      <c r="LC32" s="301" t="str">
        <f t="shared" si="822"/>
        <v/>
      </c>
      <c r="LD32" s="301" t="str">
        <f t="shared" si="822"/>
        <v/>
      </c>
      <c r="LE32" s="301" t="str">
        <f t="shared" si="822"/>
        <v/>
      </c>
      <c r="LF32" s="301" t="str">
        <f t="shared" si="822"/>
        <v/>
      </c>
      <c r="LG32" s="301" t="str">
        <f t="shared" si="822"/>
        <v/>
      </c>
      <c r="LH32" s="301" t="str">
        <f t="shared" si="822"/>
        <v/>
      </c>
      <c r="LI32" s="301" t="str">
        <f t="shared" si="822"/>
        <v/>
      </c>
      <c r="LJ32" s="301" t="str">
        <f t="shared" si="822"/>
        <v/>
      </c>
      <c r="LK32" s="301" t="str">
        <f t="shared" si="822"/>
        <v/>
      </c>
      <c r="LL32" s="301" t="str">
        <f t="shared" si="822"/>
        <v/>
      </c>
      <c r="LM32" s="301" t="str">
        <f t="shared" si="822"/>
        <v/>
      </c>
      <c r="LN32" s="301" t="str">
        <f t="shared" si="822"/>
        <v/>
      </c>
      <c r="LO32" s="301" t="str">
        <f t="shared" si="822"/>
        <v/>
      </c>
      <c r="LP32" s="301" t="str">
        <f t="shared" si="822"/>
        <v/>
      </c>
      <c r="LQ32" s="301" t="str">
        <f t="shared" si="822"/>
        <v/>
      </c>
      <c r="LR32" s="301" t="str">
        <f t="shared" si="822"/>
        <v/>
      </c>
      <c r="LS32" s="301" t="str">
        <f t="shared" si="822"/>
        <v/>
      </c>
      <c r="LT32" s="301" t="str">
        <f t="shared" si="822"/>
        <v/>
      </c>
      <c r="LU32" s="301">
        <f>IF(PeerAnalysisChartType_NonFin="Absolute",LU18,100)</f>
        <v>113.51817</v>
      </c>
      <c r="LV32" s="301" t="str">
        <f t="shared" ref="LV32:MN32" si="823">IF(PeerAnalysisChartType_NonFin="Absolute",LV18,IFERROR((LU32/LU18)*LV18,""))</f>
        <v/>
      </c>
      <c r="LW32" s="301" t="str">
        <f t="shared" si="823"/>
        <v/>
      </c>
      <c r="LX32" s="301" t="str">
        <f t="shared" si="823"/>
        <v/>
      </c>
      <c r="LY32" s="301" t="str">
        <f t="shared" si="823"/>
        <v/>
      </c>
      <c r="LZ32" s="301" t="str">
        <f t="shared" si="823"/>
        <v/>
      </c>
      <c r="MA32" s="301" t="str">
        <f t="shared" si="823"/>
        <v/>
      </c>
      <c r="MB32" s="301" t="str">
        <f t="shared" si="823"/>
        <v/>
      </c>
      <c r="MC32" s="301" t="str">
        <f t="shared" si="823"/>
        <v/>
      </c>
      <c r="MD32" s="301" t="str">
        <f t="shared" si="823"/>
        <v/>
      </c>
      <c r="ME32" s="301" t="str">
        <f t="shared" si="823"/>
        <v/>
      </c>
      <c r="MF32" s="301" t="str">
        <f t="shared" si="823"/>
        <v/>
      </c>
      <c r="MG32" s="301" t="str">
        <f t="shared" si="823"/>
        <v/>
      </c>
      <c r="MH32" s="301" t="str">
        <f t="shared" si="823"/>
        <v/>
      </c>
      <c r="MI32" s="301" t="str">
        <f t="shared" si="823"/>
        <v/>
      </c>
      <c r="MJ32" s="301" t="str">
        <f t="shared" si="823"/>
        <v/>
      </c>
      <c r="MK32" s="301" t="str">
        <f t="shared" si="823"/>
        <v/>
      </c>
      <c r="ML32" s="301" t="str">
        <f t="shared" si="823"/>
        <v/>
      </c>
      <c r="MM32" s="301" t="str">
        <f t="shared" si="823"/>
        <v/>
      </c>
      <c r="MN32" s="301" t="str">
        <f t="shared" si="823"/>
        <v/>
      </c>
      <c r="MO32" s="698">
        <f>IF(PeerAnalysisChartType_NonFin="Absolute",MO18,100)</f>
        <v>0.45402185684749435</v>
      </c>
      <c r="MP32" s="698" t="str">
        <f t="shared" ref="MP32:NH32" si="824">IF(PeerAnalysisChartType_NonFin="Absolute",MP18,IFERROR((MO32/MO18)*MP18,""))</f>
        <v/>
      </c>
      <c r="MQ32" s="698" t="str">
        <f t="shared" si="824"/>
        <v/>
      </c>
      <c r="MR32" s="698" t="str">
        <f t="shared" si="824"/>
        <v/>
      </c>
      <c r="MS32" s="698" t="str">
        <f t="shared" si="824"/>
        <v/>
      </c>
      <c r="MT32" s="698" t="str">
        <f t="shared" si="824"/>
        <v/>
      </c>
      <c r="MU32" s="698" t="str">
        <f t="shared" si="824"/>
        <v/>
      </c>
      <c r="MV32" s="698" t="str">
        <f t="shared" si="824"/>
        <v/>
      </c>
      <c r="MW32" s="698" t="str">
        <f t="shared" si="824"/>
        <v/>
      </c>
      <c r="MX32" s="698" t="str">
        <f t="shared" si="824"/>
        <v/>
      </c>
      <c r="MY32" s="698" t="str">
        <f t="shared" si="824"/>
        <v/>
      </c>
      <c r="MZ32" s="698" t="str">
        <f t="shared" si="824"/>
        <v/>
      </c>
      <c r="NA32" s="698" t="str">
        <f t="shared" si="824"/>
        <v/>
      </c>
      <c r="NB32" s="698" t="str">
        <f t="shared" si="824"/>
        <v/>
      </c>
      <c r="NC32" s="698" t="str">
        <f t="shared" si="824"/>
        <v/>
      </c>
      <c r="ND32" s="698" t="str">
        <f t="shared" si="824"/>
        <v/>
      </c>
      <c r="NE32" s="698" t="str">
        <f t="shared" si="824"/>
        <v/>
      </c>
      <c r="NF32" s="698" t="str">
        <f t="shared" si="824"/>
        <v/>
      </c>
      <c r="NG32" s="698" t="str">
        <f t="shared" si="824"/>
        <v/>
      </c>
      <c r="NH32" s="698" t="str">
        <f t="shared" si="824"/>
        <v/>
      </c>
      <c r="NI32" s="698">
        <f>IF(PeerAnalysisChartType_NonFin="Absolute",NI18,100)</f>
        <v>1.7343659244917715</v>
      </c>
      <c r="NJ32" s="698" t="str">
        <f t="shared" ref="NJ32:OB32" si="825">IF(PeerAnalysisChartType_NonFin="Absolute",NJ18,IFERROR((NI32/NI18)*NJ18,""))</f>
        <v/>
      </c>
      <c r="NK32" s="698" t="str">
        <f t="shared" si="825"/>
        <v/>
      </c>
      <c r="NL32" s="698" t="str">
        <f t="shared" si="825"/>
        <v/>
      </c>
      <c r="NM32" s="698" t="str">
        <f t="shared" si="825"/>
        <v/>
      </c>
      <c r="NN32" s="698" t="str">
        <f t="shared" si="825"/>
        <v/>
      </c>
      <c r="NO32" s="698" t="str">
        <f t="shared" si="825"/>
        <v/>
      </c>
      <c r="NP32" s="698" t="str">
        <f t="shared" si="825"/>
        <v/>
      </c>
      <c r="NQ32" s="698" t="str">
        <f t="shared" si="825"/>
        <v/>
      </c>
      <c r="NR32" s="698" t="str">
        <f t="shared" si="825"/>
        <v/>
      </c>
      <c r="NS32" s="698" t="str">
        <f t="shared" si="825"/>
        <v/>
      </c>
      <c r="NT32" s="698" t="str">
        <f t="shared" si="825"/>
        <v/>
      </c>
      <c r="NU32" s="698" t="str">
        <f t="shared" si="825"/>
        <v/>
      </c>
      <c r="NV32" s="698" t="str">
        <f t="shared" si="825"/>
        <v/>
      </c>
      <c r="NW32" s="698" t="str">
        <f t="shared" si="825"/>
        <v/>
      </c>
      <c r="NX32" s="698" t="str">
        <f t="shared" si="825"/>
        <v/>
      </c>
      <c r="NY32" s="698" t="str">
        <f t="shared" si="825"/>
        <v/>
      </c>
      <c r="NZ32" s="698" t="str">
        <f t="shared" si="825"/>
        <v/>
      </c>
      <c r="OA32" s="698" t="str">
        <f t="shared" si="825"/>
        <v/>
      </c>
      <c r="OB32" s="698" t="str">
        <f t="shared" si="825"/>
        <v/>
      </c>
      <c r="OC32" s="698">
        <f>IF(PeerAnalysisChartType_NonFin="Absolute",OC18,100)</f>
        <v>8.0520399466092019E-2</v>
      </c>
      <c r="OD32" s="696" t="str">
        <f t="shared" ref="OD32:OV32" si="826">IF(PeerAnalysisChartType_NonFin="Absolute",OD18,IFERROR((OC32/OC18)*OD18,""))</f>
        <v/>
      </c>
      <c r="OE32" s="696" t="str">
        <f t="shared" si="826"/>
        <v/>
      </c>
      <c r="OF32" s="696" t="str">
        <f t="shared" si="826"/>
        <v/>
      </c>
      <c r="OG32" s="696" t="str">
        <f t="shared" si="826"/>
        <v/>
      </c>
      <c r="OH32" s="696" t="str">
        <f t="shared" si="826"/>
        <v/>
      </c>
      <c r="OI32" s="696" t="str">
        <f t="shared" si="826"/>
        <v/>
      </c>
      <c r="OJ32" s="696" t="str">
        <f t="shared" si="826"/>
        <v/>
      </c>
      <c r="OK32" s="696" t="str">
        <f t="shared" si="826"/>
        <v/>
      </c>
      <c r="OL32" s="696" t="str">
        <f t="shared" si="826"/>
        <v/>
      </c>
      <c r="OM32" s="696" t="str">
        <f t="shared" si="826"/>
        <v/>
      </c>
      <c r="ON32" s="696" t="str">
        <f t="shared" si="826"/>
        <v/>
      </c>
      <c r="OO32" s="696" t="str">
        <f t="shared" si="826"/>
        <v/>
      </c>
      <c r="OP32" s="696" t="str">
        <f t="shared" si="826"/>
        <v/>
      </c>
      <c r="OQ32" s="696" t="str">
        <f t="shared" si="826"/>
        <v/>
      </c>
      <c r="OR32" s="696" t="str">
        <f t="shared" si="826"/>
        <v/>
      </c>
      <c r="OS32" s="696" t="str">
        <f t="shared" si="826"/>
        <v/>
      </c>
      <c r="OT32" s="696" t="str">
        <f t="shared" si="826"/>
        <v/>
      </c>
      <c r="OU32" s="696" t="str">
        <f t="shared" si="826"/>
        <v/>
      </c>
      <c r="OV32" s="697" t="str">
        <f t="shared" si="826"/>
        <v/>
      </c>
      <c r="OW32" s="698">
        <f>IF(PeerAnalysisChartType_NonFin="Absolute",OW18,100)</f>
        <v>0.17159895128262248</v>
      </c>
      <c r="OX32" s="696" t="str">
        <f t="shared" ref="OX32:PP32" si="827">IF(PeerAnalysisChartType_NonFin="Absolute",OX18,IFERROR((OW32/OW18)*OX18,""))</f>
        <v/>
      </c>
      <c r="OY32" s="696" t="str">
        <f t="shared" si="827"/>
        <v/>
      </c>
      <c r="OZ32" s="696" t="str">
        <f t="shared" si="827"/>
        <v/>
      </c>
      <c r="PA32" s="696" t="str">
        <f t="shared" si="827"/>
        <v/>
      </c>
      <c r="PB32" s="696" t="str">
        <f t="shared" si="827"/>
        <v/>
      </c>
      <c r="PC32" s="696" t="str">
        <f t="shared" si="827"/>
        <v/>
      </c>
      <c r="PD32" s="696" t="str">
        <f t="shared" si="827"/>
        <v/>
      </c>
      <c r="PE32" s="696" t="str">
        <f t="shared" si="827"/>
        <v/>
      </c>
      <c r="PF32" s="696" t="str">
        <f t="shared" si="827"/>
        <v/>
      </c>
      <c r="PG32" s="696" t="str">
        <f t="shared" si="827"/>
        <v/>
      </c>
      <c r="PH32" s="696" t="str">
        <f t="shared" si="827"/>
        <v/>
      </c>
      <c r="PI32" s="696" t="str">
        <f t="shared" si="827"/>
        <v/>
      </c>
      <c r="PJ32" s="696" t="str">
        <f t="shared" si="827"/>
        <v/>
      </c>
      <c r="PK32" s="696" t="str">
        <f t="shared" si="827"/>
        <v/>
      </c>
      <c r="PL32" s="696" t="str">
        <f t="shared" si="827"/>
        <v/>
      </c>
      <c r="PM32" s="696" t="str">
        <f t="shared" si="827"/>
        <v/>
      </c>
      <c r="PN32" s="696" t="str">
        <f t="shared" si="827"/>
        <v/>
      </c>
      <c r="PO32" s="696" t="str">
        <f t="shared" si="827"/>
        <v/>
      </c>
      <c r="PP32" s="697" t="str">
        <f t="shared" si="827"/>
        <v/>
      </c>
      <c r="PQ32" s="301">
        <f>IF(PeerAnalysisChartType_NonFin="Absolute",PQ18,100)</f>
        <v>3.4744624383902942</v>
      </c>
      <c r="PR32" s="302" t="str">
        <f t="shared" ref="PR32:QJ32" si="828">IF(PeerAnalysisChartType_NonFin="Absolute",PR18,IFERROR((PQ32/PQ18)*PR18,""))</f>
        <v/>
      </c>
      <c r="PS32" s="302" t="str">
        <f t="shared" si="828"/>
        <v/>
      </c>
      <c r="PT32" s="302" t="str">
        <f t="shared" si="828"/>
        <v/>
      </c>
      <c r="PU32" s="302" t="str">
        <f t="shared" si="828"/>
        <v/>
      </c>
      <c r="PV32" s="302" t="str">
        <f t="shared" si="828"/>
        <v/>
      </c>
      <c r="PW32" s="302" t="str">
        <f t="shared" si="828"/>
        <v/>
      </c>
      <c r="PX32" s="302" t="str">
        <f t="shared" si="828"/>
        <v/>
      </c>
      <c r="PY32" s="302" t="str">
        <f t="shared" si="828"/>
        <v/>
      </c>
      <c r="PZ32" s="302" t="str">
        <f t="shared" si="828"/>
        <v/>
      </c>
      <c r="QA32" s="302" t="str">
        <f t="shared" si="828"/>
        <v/>
      </c>
      <c r="QB32" s="302" t="str">
        <f t="shared" si="828"/>
        <v/>
      </c>
      <c r="QC32" s="302" t="str">
        <f t="shared" si="828"/>
        <v/>
      </c>
      <c r="QD32" s="302" t="str">
        <f t="shared" si="828"/>
        <v/>
      </c>
      <c r="QE32" s="302" t="str">
        <f t="shared" si="828"/>
        <v/>
      </c>
      <c r="QF32" s="302" t="str">
        <f t="shared" si="828"/>
        <v/>
      </c>
      <c r="QG32" s="302" t="str">
        <f t="shared" si="828"/>
        <v/>
      </c>
      <c r="QH32" s="302" t="str">
        <f t="shared" si="828"/>
        <v/>
      </c>
      <c r="QI32" s="302" t="str">
        <f t="shared" si="828"/>
        <v/>
      </c>
      <c r="QJ32" s="303" t="str">
        <f t="shared" si="828"/>
        <v/>
      </c>
      <c r="QK32" s="698">
        <f>IF(PeerAnalysisChartType_NonFin="Absolute",QK18,100)</f>
        <v>2.5555175599324246E-2</v>
      </c>
      <c r="QL32" s="696" t="str">
        <f t="shared" ref="QL32:RD32" si="829">IF(PeerAnalysisChartType_NonFin="Absolute",QL18,IFERROR((QK32/QK18)*QL18,""))</f>
        <v/>
      </c>
      <c r="QM32" s="696" t="str">
        <f t="shared" si="829"/>
        <v/>
      </c>
      <c r="QN32" s="696" t="str">
        <f t="shared" si="829"/>
        <v/>
      </c>
      <c r="QO32" s="696" t="str">
        <f t="shared" si="829"/>
        <v/>
      </c>
      <c r="QP32" s="696" t="str">
        <f t="shared" si="829"/>
        <v/>
      </c>
      <c r="QQ32" s="696" t="str">
        <f t="shared" si="829"/>
        <v/>
      </c>
      <c r="QR32" s="696" t="str">
        <f t="shared" si="829"/>
        <v/>
      </c>
      <c r="QS32" s="696" t="str">
        <f t="shared" si="829"/>
        <v/>
      </c>
      <c r="QT32" s="696" t="str">
        <f t="shared" si="829"/>
        <v/>
      </c>
      <c r="QU32" s="696" t="str">
        <f t="shared" si="829"/>
        <v/>
      </c>
      <c r="QV32" s="696" t="str">
        <f t="shared" si="829"/>
        <v/>
      </c>
      <c r="QW32" s="696" t="str">
        <f t="shared" si="829"/>
        <v/>
      </c>
      <c r="QX32" s="696" t="str">
        <f t="shared" si="829"/>
        <v/>
      </c>
      <c r="QY32" s="696" t="str">
        <f t="shared" si="829"/>
        <v/>
      </c>
      <c r="QZ32" s="696" t="str">
        <f t="shared" si="829"/>
        <v/>
      </c>
      <c r="RA32" s="696" t="str">
        <f t="shared" si="829"/>
        <v/>
      </c>
      <c r="RB32" s="696" t="str">
        <f t="shared" si="829"/>
        <v/>
      </c>
      <c r="RC32" s="696" t="str">
        <f t="shared" si="829"/>
        <v/>
      </c>
      <c r="RD32" s="697" t="str">
        <f t="shared" si="829"/>
        <v/>
      </c>
      <c r="RE32" s="698">
        <f>IF(PeerAnalysisChartType_NonFin="Absolute",RE18,100)</f>
        <v>0.2918767670290594</v>
      </c>
      <c r="RF32" s="696" t="str">
        <f t="shared" ref="RF32:RX32" si="830">IF(PeerAnalysisChartType_NonFin="Absolute",RF18,IFERROR((RE32/RE18)*RF18,""))</f>
        <v/>
      </c>
      <c r="RG32" s="696" t="str">
        <f t="shared" si="830"/>
        <v/>
      </c>
      <c r="RH32" s="696" t="str">
        <f t="shared" si="830"/>
        <v/>
      </c>
      <c r="RI32" s="696" t="str">
        <f t="shared" si="830"/>
        <v/>
      </c>
      <c r="RJ32" s="696" t="str">
        <f t="shared" si="830"/>
        <v/>
      </c>
      <c r="RK32" s="696" t="str">
        <f t="shared" si="830"/>
        <v/>
      </c>
      <c r="RL32" s="696" t="str">
        <f t="shared" si="830"/>
        <v/>
      </c>
      <c r="RM32" s="696" t="str">
        <f t="shared" si="830"/>
        <v/>
      </c>
      <c r="RN32" s="696" t="str">
        <f t="shared" si="830"/>
        <v/>
      </c>
      <c r="RO32" s="696" t="str">
        <f t="shared" si="830"/>
        <v/>
      </c>
      <c r="RP32" s="696" t="str">
        <f t="shared" si="830"/>
        <v/>
      </c>
      <c r="RQ32" s="696" t="str">
        <f t="shared" si="830"/>
        <v/>
      </c>
      <c r="RR32" s="696" t="str">
        <f t="shared" si="830"/>
        <v/>
      </c>
      <c r="RS32" s="696" t="str">
        <f t="shared" si="830"/>
        <v/>
      </c>
      <c r="RT32" s="696" t="str">
        <f t="shared" si="830"/>
        <v/>
      </c>
      <c r="RU32" s="696" t="str">
        <f t="shared" si="830"/>
        <v/>
      </c>
      <c r="RV32" s="696" t="str">
        <f t="shared" si="830"/>
        <v/>
      </c>
      <c r="RW32" s="696" t="str">
        <f t="shared" si="830"/>
        <v/>
      </c>
      <c r="RX32" s="697" t="str">
        <f t="shared" si="830"/>
        <v/>
      </c>
      <c r="RY32" s="698">
        <f>IF(PeerAnalysisChartType_NonFin="Absolute",RY18,100)</f>
        <v>0.27141753397264007</v>
      </c>
      <c r="RZ32" s="696" t="str">
        <f t="shared" ref="RZ32:SR32" si="831">IF(PeerAnalysisChartType_NonFin="Absolute",RZ18,IFERROR((RY32/RY18)*RZ18,""))</f>
        <v/>
      </c>
      <c r="SA32" s="696" t="str">
        <f t="shared" si="831"/>
        <v/>
      </c>
      <c r="SB32" s="696" t="str">
        <f t="shared" si="831"/>
        <v/>
      </c>
      <c r="SC32" s="696" t="str">
        <f t="shared" si="831"/>
        <v/>
      </c>
      <c r="SD32" s="696" t="str">
        <f t="shared" si="831"/>
        <v/>
      </c>
      <c r="SE32" s="696" t="str">
        <f t="shared" si="831"/>
        <v/>
      </c>
      <c r="SF32" s="696" t="str">
        <f t="shared" si="831"/>
        <v/>
      </c>
      <c r="SG32" s="696" t="str">
        <f t="shared" si="831"/>
        <v/>
      </c>
      <c r="SH32" s="696" t="str">
        <f t="shared" si="831"/>
        <v/>
      </c>
      <c r="SI32" s="696" t="str">
        <f t="shared" si="831"/>
        <v/>
      </c>
      <c r="SJ32" s="696" t="str">
        <f t="shared" si="831"/>
        <v/>
      </c>
      <c r="SK32" s="696" t="str">
        <f t="shared" si="831"/>
        <v/>
      </c>
      <c r="SL32" s="696" t="str">
        <f t="shared" si="831"/>
        <v/>
      </c>
      <c r="SM32" s="696" t="str">
        <f t="shared" si="831"/>
        <v/>
      </c>
      <c r="SN32" s="696" t="str">
        <f t="shared" si="831"/>
        <v/>
      </c>
      <c r="SO32" s="696" t="str">
        <f t="shared" si="831"/>
        <v/>
      </c>
      <c r="SP32" s="696" t="str">
        <f t="shared" si="831"/>
        <v/>
      </c>
      <c r="SQ32" s="696" t="str">
        <f t="shared" si="831"/>
        <v/>
      </c>
      <c r="SR32" s="697" t="str">
        <f t="shared" si="831"/>
        <v/>
      </c>
      <c r="SS32" s="698">
        <f>IF(PeerAnalysisChartType_NonFin="Absolute",SS18,100)</f>
        <v>0.24626221966647499</v>
      </c>
      <c r="ST32" s="696" t="str">
        <f t="shared" ref="ST32:TL32" si="832">IF(PeerAnalysisChartType_NonFin="Absolute",ST18,IFERROR((SS32/SS18)*ST18,""))</f>
        <v/>
      </c>
      <c r="SU32" s="696" t="str">
        <f t="shared" si="832"/>
        <v/>
      </c>
      <c r="SV32" s="696" t="str">
        <f t="shared" si="832"/>
        <v/>
      </c>
      <c r="SW32" s="696" t="str">
        <f t="shared" si="832"/>
        <v/>
      </c>
      <c r="SX32" s="696" t="str">
        <f t="shared" si="832"/>
        <v/>
      </c>
      <c r="SY32" s="696" t="str">
        <f t="shared" si="832"/>
        <v/>
      </c>
      <c r="SZ32" s="696" t="str">
        <f t="shared" si="832"/>
        <v/>
      </c>
      <c r="TA32" s="696" t="str">
        <f t="shared" si="832"/>
        <v/>
      </c>
      <c r="TB32" s="696" t="str">
        <f t="shared" si="832"/>
        <v/>
      </c>
      <c r="TC32" s="696" t="str">
        <f t="shared" si="832"/>
        <v/>
      </c>
      <c r="TD32" s="696" t="str">
        <f t="shared" si="832"/>
        <v/>
      </c>
      <c r="TE32" s="696" t="str">
        <f t="shared" si="832"/>
        <v/>
      </c>
      <c r="TF32" s="696" t="str">
        <f t="shared" si="832"/>
        <v/>
      </c>
      <c r="TG32" s="696" t="str">
        <f t="shared" si="832"/>
        <v/>
      </c>
      <c r="TH32" s="696" t="str">
        <f t="shared" si="832"/>
        <v/>
      </c>
      <c r="TI32" s="696" t="str">
        <f t="shared" si="832"/>
        <v/>
      </c>
      <c r="TJ32" s="696" t="str">
        <f t="shared" si="832"/>
        <v/>
      </c>
      <c r="TK32" s="696" t="str">
        <f t="shared" si="832"/>
        <v/>
      </c>
      <c r="TL32" s="697" t="str">
        <f t="shared" si="832"/>
        <v/>
      </c>
      <c r="TM32" s="304">
        <f>IF(PeerAnalysisChartType_NonFin="Absolute",TM18,100)</f>
        <v>705152.77777777775</v>
      </c>
      <c r="TN32" s="305" t="str">
        <f t="shared" ref="TN32:UF32" si="833">IF(PeerAnalysisChartType_NonFin="Absolute",TN18,IFERROR((TM32/TM18)*TN18,""))</f>
        <v/>
      </c>
      <c r="TO32" s="305" t="str">
        <f t="shared" si="833"/>
        <v/>
      </c>
      <c r="TP32" s="305" t="str">
        <f t="shared" si="833"/>
        <v/>
      </c>
      <c r="TQ32" s="305" t="str">
        <f t="shared" si="833"/>
        <v/>
      </c>
      <c r="TR32" s="305" t="str">
        <f t="shared" si="833"/>
        <v/>
      </c>
      <c r="TS32" s="305" t="str">
        <f t="shared" si="833"/>
        <v/>
      </c>
      <c r="TT32" s="305" t="str">
        <f t="shared" si="833"/>
        <v/>
      </c>
      <c r="TU32" s="305" t="str">
        <f t="shared" si="833"/>
        <v/>
      </c>
      <c r="TV32" s="305" t="str">
        <f t="shared" si="833"/>
        <v/>
      </c>
      <c r="TW32" s="305" t="str">
        <f t="shared" si="833"/>
        <v/>
      </c>
      <c r="TX32" s="305" t="str">
        <f t="shared" si="833"/>
        <v/>
      </c>
      <c r="TY32" s="305" t="str">
        <f t="shared" si="833"/>
        <v/>
      </c>
      <c r="TZ32" s="305" t="str">
        <f t="shared" si="833"/>
        <v/>
      </c>
      <c r="UA32" s="305" t="str">
        <f t="shared" si="833"/>
        <v/>
      </c>
      <c r="UB32" s="305" t="str">
        <f t="shared" si="833"/>
        <v/>
      </c>
      <c r="UC32" s="305" t="str">
        <f t="shared" si="833"/>
        <v/>
      </c>
      <c r="UD32" s="305" t="str">
        <f t="shared" si="833"/>
        <v/>
      </c>
      <c r="UE32" s="305" t="str">
        <f t="shared" si="833"/>
        <v/>
      </c>
      <c r="UF32" s="306" t="str">
        <f t="shared" si="833"/>
        <v/>
      </c>
      <c r="UG32" s="304">
        <f>IF(PeerAnalysisChartType_NonFin="Absolute",UG18,100)</f>
        <v>63548.611111111109</v>
      </c>
      <c r="UH32" s="305" t="str">
        <f t="shared" ref="UH32:UZ32" si="834">IF(PeerAnalysisChartType_NonFin="Absolute",UH18,IFERROR((UG32/UG18)*UH18,""))</f>
        <v/>
      </c>
      <c r="UI32" s="305" t="str">
        <f t="shared" si="834"/>
        <v/>
      </c>
      <c r="UJ32" s="305" t="str">
        <f t="shared" si="834"/>
        <v/>
      </c>
      <c r="UK32" s="305" t="str">
        <f t="shared" si="834"/>
        <v/>
      </c>
      <c r="UL32" s="305" t="str">
        <f t="shared" si="834"/>
        <v/>
      </c>
      <c r="UM32" s="305" t="str">
        <f t="shared" si="834"/>
        <v/>
      </c>
      <c r="UN32" s="305" t="str">
        <f t="shared" si="834"/>
        <v/>
      </c>
      <c r="UO32" s="305" t="str">
        <f t="shared" si="834"/>
        <v/>
      </c>
      <c r="UP32" s="305" t="str">
        <f t="shared" si="834"/>
        <v/>
      </c>
      <c r="UQ32" s="305" t="str">
        <f t="shared" si="834"/>
        <v/>
      </c>
      <c r="UR32" s="305" t="str">
        <f t="shared" si="834"/>
        <v/>
      </c>
      <c r="US32" s="305" t="str">
        <f t="shared" si="834"/>
        <v/>
      </c>
      <c r="UT32" s="305" t="str">
        <f t="shared" si="834"/>
        <v/>
      </c>
      <c r="UU32" s="305" t="str">
        <f t="shared" si="834"/>
        <v/>
      </c>
      <c r="UV32" s="305" t="str">
        <f t="shared" si="834"/>
        <v/>
      </c>
      <c r="UW32" s="305" t="str">
        <f t="shared" si="834"/>
        <v/>
      </c>
      <c r="UX32" s="305" t="str">
        <f t="shared" si="834"/>
        <v/>
      </c>
      <c r="UY32" s="305" t="str">
        <f t="shared" si="834"/>
        <v/>
      </c>
      <c r="UZ32" s="306" t="str">
        <f t="shared" si="834"/>
        <v/>
      </c>
      <c r="VA32" s="304">
        <f>IF(PeerAnalysisChartType_NonFin="Absolute",VA18,100)</f>
        <v>63284.722222222219</v>
      </c>
      <c r="VB32" s="305" t="str">
        <f t="shared" ref="VB32:VT32" si="835">IF(PeerAnalysisChartType_NonFin="Absolute",VB18,IFERROR((VA32/VA18)*VB18,""))</f>
        <v/>
      </c>
      <c r="VC32" s="305" t="str">
        <f t="shared" si="835"/>
        <v/>
      </c>
      <c r="VD32" s="305" t="str">
        <f t="shared" si="835"/>
        <v/>
      </c>
      <c r="VE32" s="305" t="str">
        <f t="shared" si="835"/>
        <v/>
      </c>
      <c r="VF32" s="305" t="str">
        <f t="shared" si="835"/>
        <v/>
      </c>
      <c r="VG32" s="305" t="str">
        <f t="shared" si="835"/>
        <v/>
      </c>
      <c r="VH32" s="305" t="str">
        <f t="shared" si="835"/>
        <v/>
      </c>
      <c r="VI32" s="305" t="str">
        <f t="shared" si="835"/>
        <v/>
      </c>
      <c r="VJ32" s="305" t="str">
        <f t="shared" si="835"/>
        <v/>
      </c>
      <c r="VK32" s="305" t="str">
        <f t="shared" si="835"/>
        <v/>
      </c>
      <c r="VL32" s="305" t="str">
        <f t="shared" si="835"/>
        <v/>
      </c>
      <c r="VM32" s="305" t="str">
        <f t="shared" si="835"/>
        <v/>
      </c>
      <c r="VN32" s="305" t="str">
        <f t="shared" si="835"/>
        <v/>
      </c>
      <c r="VO32" s="305" t="str">
        <f t="shared" si="835"/>
        <v/>
      </c>
      <c r="VP32" s="305" t="str">
        <f t="shared" si="835"/>
        <v/>
      </c>
      <c r="VQ32" s="305" t="str">
        <f t="shared" si="835"/>
        <v/>
      </c>
      <c r="VR32" s="305" t="str">
        <f t="shared" si="835"/>
        <v/>
      </c>
      <c r="VS32" s="305" t="str">
        <f t="shared" si="835"/>
        <v/>
      </c>
      <c r="VT32" s="306" t="str">
        <f t="shared" si="835"/>
        <v/>
      </c>
      <c r="VU32" s="304">
        <f>IF(PeerAnalysisChartType_NonFin="Absolute",VU18,100)</f>
        <v>0</v>
      </c>
      <c r="VV32" s="305" t="str">
        <f t="shared" ref="VV32:WN32" si="836">IF(PeerAnalysisChartType_NonFin="Absolute",VV18,IFERROR((VU32/VU18)*VV18,""))</f>
        <v/>
      </c>
      <c r="VW32" s="305" t="str">
        <f t="shared" si="836"/>
        <v/>
      </c>
      <c r="VX32" s="305" t="str">
        <f t="shared" si="836"/>
        <v/>
      </c>
      <c r="VY32" s="305" t="str">
        <f t="shared" si="836"/>
        <v/>
      </c>
      <c r="VZ32" s="305" t="str">
        <f t="shared" si="836"/>
        <v/>
      </c>
      <c r="WA32" s="305" t="str">
        <f t="shared" si="836"/>
        <v/>
      </c>
      <c r="WB32" s="305" t="str">
        <f t="shared" si="836"/>
        <v/>
      </c>
      <c r="WC32" s="305" t="str">
        <f t="shared" si="836"/>
        <v/>
      </c>
      <c r="WD32" s="305" t="str">
        <f t="shared" si="836"/>
        <v/>
      </c>
      <c r="WE32" s="305" t="str">
        <f t="shared" si="836"/>
        <v/>
      </c>
      <c r="WF32" s="305" t="str">
        <f t="shared" si="836"/>
        <v/>
      </c>
      <c r="WG32" s="305" t="str">
        <f t="shared" si="836"/>
        <v/>
      </c>
      <c r="WH32" s="305" t="str">
        <f t="shared" si="836"/>
        <v/>
      </c>
      <c r="WI32" s="305" t="str">
        <f t="shared" si="836"/>
        <v/>
      </c>
      <c r="WJ32" s="305" t="str">
        <f t="shared" si="836"/>
        <v/>
      </c>
      <c r="WK32" s="305" t="str">
        <f t="shared" si="836"/>
        <v/>
      </c>
      <c r="WL32" s="305" t="str">
        <f t="shared" si="836"/>
        <v/>
      </c>
      <c r="WM32" s="305" t="str">
        <f t="shared" si="836"/>
        <v/>
      </c>
      <c r="WN32" s="306" t="str">
        <f t="shared" si="836"/>
        <v/>
      </c>
      <c r="WO32" s="304">
        <f>IF(PeerAnalysisChartType_NonFin="Absolute",WO18,100)</f>
        <v>567.70000000000005</v>
      </c>
      <c r="WP32" s="305" t="str">
        <f t="shared" ref="WP32" si="837">IF(PeerAnalysisChartType_NonFin="Absolute",WP18,IFERROR((WO32/WO18)*WP18,""))</f>
        <v/>
      </c>
      <c r="WQ32" s="305" t="str">
        <f t="shared" ref="WQ32" si="838">IF(PeerAnalysisChartType_NonFin="Absolute",WQ18,IFERROR((WP32/WP18)*WQ18,""))</f>
        <v/>
      </c>
      <c r="WR32" s="305" t="str">
        <f t="shared" ref="WR32" si="839">IF(PeerAnalysisChartType_NonFin="Absolute",WR18,IFERROR((WQ32/WQ18)*WR18,""))</f>
        <v/>
      </c>
      <c r="WS32" s="305" t="str">
        <f t="shared" ref="WS32" si="840">IF(PeerAnalysisChartType_NonFin="Absolute",WS18,IFERROR((WR32/WR18)*WS18,""))</f>
        <v/>
      </c>
      <c r="WT32" s="305" t="str">
        <f t="shared" ref="WT32" si="841">IF(PeerAnalysisChartType_NonFin="Absolute",WT18,IFERROR((WS32/WS18)*WT18,""))</f>
        <v/>
      </c>
      <c r="WU32" s="305" t="str">
        <f t="shared" ref="WU32" si="842">IF(PeerAnalysisChartType_NonFin="Absolute",WU18,IFERROR((WT32/WT18)*WU18,""))</f>
        <v/>
      </c>
      <c r="WV32" s="305" t="str">
        <f t="shared" ref="WV32" si="843">IF(PeerAnalysisChartType_NonFin="Absolute",WV18,IFERROR((WU32/WU18)*WV18,""))</f>
        <v/>
      </c>
      <c r="WW32" s="305" t="str">
        <f t="shared" ref="WW32" si="844">IF(PeerAnalysisChartType_NonFin="Absolute",WW18,IFERROR((WV32/WV18)*WW18,""))</f>
        <v/>
      </c>
      <c r="WX32" s="305" t="str">
        <f t="shared" ref="WX32" si="845">IF(PeerAnalysisChartType_NonFin="Absolute",WX18,IFERROR((WW32/WW18)*WX18,""))</f>
        <v/>
      </c>
      <c r="WY32" s="305" t="str">
        <f t="shared" ref="WY32" si="846">IF(PeerAnalysisChartType_NonFin="Absolute",WY18,IFERROR((WX32/WX18)*WY18,""))</f>
        <v/>
      </c>
      <c r="WZ32" s="305" t="str">
        <f t="shared" ref="WZ32" si="847">IF(PeerAnalysisChartType_NonFin="Absolute",WZ18,IFERROR((WY32/WY18)*WZ18,""))</f>
        <v/>
      </c>
      <c r="XA32" s="305" t="str">
        <f t="shared" ref="XA32" si="848">IF(PeerAnalysisChartType_NonFin="Absolute",XA18,IFERROR((WZ32/WZ18)*XA18,""))</f>
        <v/>
      </c>
      <c r="XB32" s="305" t="str">
        <f t="shared" ref="XB32" si="849">IF(PeerAnalysisChartType_NonFin="Absolute",XB18,IFERROR((XA32/XA18)*XB18,""))</f>
        <v/>
      </c>
      <c r="XC32" s="305" t="str">
        <f t="shared" ref="XC32" si="850">IF(PeerAnalysisChartType_NonFin="Absolute",XC18,IFERROR((XB32/XB18)*XC18,""))</f>
        <v/>
      </c>
      <c r="XD32" s="305" t="str">
        <f t="shared" ref="XD32" si="851">IF(PeerAnalysisChartType_NonFin="Absolute",XD18,IFERROR((XC32/XC18)*XD18,""))</f>
        <v/>
      </c>
      <c r="XE32" s="305" t="str">
        <f t="shared" ref="XE32" si="852">IF(PeerAnalysisChartType_NonFin="Absolute",XE18,IFERROR((XD32/XD18)*XE18,""))</f>
        <v/>
      </c>
      <c r="XF32" s="305" t="str">
        <f t="shared" ref="XF32" si="853">IF(PeerAnalysisChartType_NonFin="Absolute",XF18,IFERROR((XE32/XE18)*XF18,""))</f>
        <v/>
      </c>
      <c r="XG32" s="305" t="str">
        <f t="shared" ref="XG32" si="854">IF(PeerAnalysisChartType_NonFin="Absolute",XG18,IFERROR((XF32/XF18)*XG18,""))</f>
        <v/>
      </c>
      <c r="XH32" s="306" t="str">
        <f t="shared" ref="XH32" si="855">IF(PeerAnalysisChartType_NonFin="Absolute",XH18,IFERROR((XG32/XG18)*XH18,""))</f>
        <v/>
      </c>
      <c r="XI32" s="698">
        <f>IF(PeerAnalysisChartType_NonFin="Absolute",XI18,100)</f>
        <v>0.174377</v>
      </c>
      <c r="XJ32" s="696" t="str">
        <f t="shared" ref="XJ32" si="856">IF(PeerAnalysisChartType_NonFin="Absolute",XJ18,IFERROR((XI32/XI18)*XJ18,""))</f>
        <v/>
      </c>
      <c r="XK32" s="696" t="str">
        <f t="shared" ref="XK32" si="857">IF(PeerAnalysisChartType_NonFin="Absolute",XK18,IFERROR((XJ32/XJ18)*XK18,""))</f>
        <v/>
      </c>
      <c r="XL32" s="696" t="str">
        <f t="shared" ref="XL32" si="858">IF(PeerAnalysisChartType_NonFin="Absolute",XL18,IFERROR((XK32/XK18)*XL18,""))</f>
        <v/>
      </c>
      <c r="XM32" s="696" t="str">
        <f t="shared" ref="XM32" si="859">IF(PeerAnalysisChartType_NonFin="Absolute",XM18,IFERROR((XL32/XL18)*XM18,""))</f>
        <v/>
      </c>
      <c r="XN32" s="696" t="str">
        <f t="shared" ref="XN32" si="860">IF(PeerAnalysisChartType_NonFin="Absolute",XN18,IFERROR((XM32/XM18)*XN18,""))</f>
        <v/>
      </c>
      <c r="XO32" s="696" t="str">
        <f t="shared" ref="XO32" si="861">IF(PeerAnalysisChartType_NonFin="Absolute",XO18,IFERROR((XN32/XN18)*XO18,""))</f>
        <v/>
      </c>
      <c r="XP32" s="696" t="str">
        <f t="shared" ref="XP32" si="862">IF(PeerAnalysisChartType_NonFin="Absolute",XP18,IFERROR((XO32/XO18)*XP18,""))</f>
        <v/>
      </c>
      <c r="XQ32" s="696" t="str">
        <f t="shared" ref="XQ32" si="863">IF(PeerAnalysisChartType_NonFin="Absolute",XQ18,IFERROR((XP32/XP18)*XQ18,""))</f>
        <v/>
      </c>
      <c r="XR32" s="696" t="str">
        <f t="shared" ref="XR32" si="864">IF(PeerAnalysisChartType_NonFin="Absolute",XR18,IFERROR((XQ32/XQ18)*XR18,""))</f>
        <v/>
      </c>
      <c r="XS32" s="696" t="str">
        <f t="shared" ref="XS32" si="865">IF(PeerAnalysisChartType_NonFin="Absolute",XS18,IFERROR((XR32/XR18)*XS18,""))</f>
        <v/>
      </c>
      <c r="XT32" s="696" t="str">
        <f t="shared" ref="XT32" si="866">IF(PeerAnalysisChartType_NonFin="Absolute",XT18,IFERROR((XS32/XS18)*XT18,""))</f>
        <v/>
      </c>
      <c r="XU32" s="696" t="str">
        <f t="shared" ref="XU32" si="867">IF(PeerAnalysisChartType_NonFin="Absolute",XU18,IFERROR((XT32/XT18)*XU18,""))</f>
        <v/>
      </c>
      <c r="XV32" s="696" t="str">
        <f t="shared" ref="XV32" si="868">IF(PeerAnalysisChartType_NonFin="Absolute",XV18,IFERROR((XU32/XU18)*XV18,""))</f>
        <v/>
      </c>
      <c r="XW32" s="696" t="str">
        <f t="shared" ref="XW32" si="869">IF(PeerAnalysisChartType_NonFin="Absolute",XW18,IFERROR((XV32/XV18)*XW18,""))</f>
        <v/>
      </c>
      <c r="XX32" s="696" t="str">
        <f t="shared" ref="XX32" si="870">IF(PeerAnalysisChartType_NonFin="Absolute",XX18,IFERROR((XW32/XW18)*XX18,""))</f>
        <v/>
      </c>
      <c r="XY32" s="696" t="str">
        <f t="shared" ref="XY32" si="871">IF(PeerAnalysisChartType_NonFin="Absolute",XY18,IFERROR((XX32/XX18)*XY18,""))</f>
        <v/>
      </c>
      <c r="XZ32" s="696" t="str">
        <f t="shared" ref="XZ32" si="872">IF(PeerAnalysisChartType_NonFin="Absolute",XZ18,IFERROR((XY32/XY18)*XZ18,""))</f>
        <v/>
      </c>
      <c r="YA32" s="696" t="str">
        <f t="shared" ref="YA32" si="873">IF(PeerAnalysisChartType_NonFin="Absolute",YA18,IFERROR((XZ32/XZ18)*YA18,""))</f>
        <v/>
      </c>
      <c r="YB32" s="697" t="str">
        <f t="shared" ref="YB32" si="874">IF(PeerAnalysisChartType_NonFin="Absolute",YB18,IFERROR((YA32/YA18)*YB18,""))</f>
        <v/>
      </c>
      <c r="YC32" s="304">
        <f>IF(PeerAnalysisChartType_NonFin="Absolute",YC18,100)</f>
        <v>248912.62229999999</v>
      </c>
      <c r="YD32" s="305" t="str">
        <f t="shared" ref="YD32" si="875">IF(PeerAnalysisChartType_NonFin="Absolute",YD18,IFERROR((YC32/YC18)*YD18,""))</f>
        <v/>
      </c>
      <c r="YE32" s="305" t="str">
        <f t="shared" ref="YE32" si="876">IF(PeerAnalysisChartType_NonFin="Absolute",YE18,IFERROR((YD32/YD18)*YE18,""))</f>
        <v/>
      </c>
      <c r="YF32" s="305" t="str">
        <f t="shared" ref="YF32" si="877">IF(PeerAnalysisChartType_NonFin="Absolute",YF18,IFERROR((YE32/YE18)*YF18,""))</f>
        <v/>
      </c>
      <c r="YG32" s="305" t="str">
        <f t="shared" ref="YG32" si="878">IF(PeerAnalysisChartType_NonFin="Absolute",YG18,IFERROR((YF32/YF18)*YG18,""))</f>
        <v/>
      </c>
      <c r="YH32" s="305" t="str">
        <f t="shared" ref="YH32" si="879">IF(PeerAnalysisChartType_NonFin="Absolute",YH18,IFERROR((YG32/YG18)*YH18,""))</f>
        <v/>
      </c>
      <c r="YI32" s="305" t="str">
        <f t="shared" ref="YI32" si="880">IF(PeerAnalysisChartType_NonFin="Absolute",YI18,IFERROR((YH32/YH18)*YI18,""))</f>
        <v/>
      </c>
      <c r="YJ32" s="305" t="str">
        <f t="shared" ref="YJ32" si="881">IF(PeerAnalysisChartType_NonFin="Absolute",YJ18,IFERROR((YI32/YI18)*YJ18,""))</f>
        <v/>
      </c>
      <c r="YK32" s="305" t="str">
        <f t="shared" ref="YK32" si="882">IF(PeerAnalysisChartType_NonFin="Absolute",YK18,IFERROR((YJ32/YJ18)*YK18,""))</f>
        <v/>
      </c>
      <c r="YL32" s="305" t="str">
        <f t="shared" ref="YL32" si="883">IF(PeerAnalysisChartType_NonFin="Absolute",YL18,IFERROR((YK32/YK18)*YL18,""))</f>
        <v/>
      </c>
      <c r="YM32" s="305" t="str">
        <f t="shared" ref="YM32" si="884">IF(PeerAnalysisChartType_NonFin="Absolute",YM18,IFERROR((YL32/YL18)*YM18,""))</f>
        <v/>
      </c>
      <c r="YN32" s="305" t="str">
        <f t="shared" ref="YN32" si="885">IF(PeerAnalysisChartType_NonFin="Absolute",YN18,IFERROR((YM32/YM18)*YN18,""))</f>
        <v/>
      </c>
      <c r="YO32" s="305" t="str">
        <f t="shared" ref="YO32" si="886">IF(PeerAnalysisChartType_NonFin="Absolute",YO18,IFERROR((YN32/YN18)*YO18,""))</f>
        <v/>
      </c>
      <c r="YP32" s="305" t="str">
        <f t="shared" ref="YP32" si="887">IF(PeerAnalysisChartType_NonFin="Absolute",YP18,IFERROR((YO32/YO18)*YP18,""))</f>
        <v/>
      </c>
      <c r="YQ32" s="305" t="str">
        <f t="shared" ref="YQ32" si="888">IF(PeerAnalysisChartType_NonFin="Absolute",YQ18,IFERROR((YP32/YP18)*YQ18,""))</f>
        <v/>
      </c>
      <c r="YR32" s="305" t="str">
        <f t="shared" ref="YR32" si="889">IF(PeerAnalysisChartType_NonFin="Absolute",YR18,IFERROR((YQ32/YQ18)*YR18,""))</f>
        <v/>
      </c>
      <c r="YS32" s="305" t="str">
        <f t="shared" ref="YS32" si="890">IF(PeerAnalysisChartType_NonFin="Absolute",YS18,IFERROR((YR32/YR18)*YS18,""))</f>
        <v/>
      </c>
      <c r="YT32" s="305" t="str">
        <f t="shared" ref="YT32" si="891">IF(PeerAnalysisChartType_NonFin="Absolute",YT18,IFERROR((YS32/YS18)*YT18,""))</f>
        <v/>
      </c>
      <c r="YU32" s="305" t="str">
        <f t="shared" ref="YU32" si="892">IF(PeerAnalysisChartType_NonFin="Absolute",YU18,IFERROR((YT32/YT18)*YU18,""))</f>
        <v/>
      </c>
      <c r="YV32" s="306" t="str">
        <f t="shared" ref="YV32" si="893">IF(PeerAnalysisChartType_NonFin="Absolute",YV18,IFERROR((YU32/YU18)*YV18,""))</f>
        <v/>
      </c>
      <c r="YW32" s="698">
        <f>IF(PeerAnalysisChartType_NonFin="Absolute",YW18,100)</f>
        <v>0.62307779377886319</v>
      </c>
      <c r="YX32" s="696" t="str">
        <f t="shared" ref="YX32" si="894">IF(PeerAnalysisChartType_NonFin="Absolute",YX18,IFERROR((YW32/YW18)*YX18,""))</f>
        <v/>
      </c>
      <c r="YY32" s="696" t="str">
        <f t="shared" ref="YY32" si="895">IF(PeerAnalysisChartType_NonFin="Absolute",YY18,IFERROR((YX32/YX18)*YY18,""))</f>
        <v/>
      </c>
      <c r="YZ32" s="696" t="str">
        <f t="shared" ref="YZ32" si="896">IF(PeerAnalysisChartType_NonFin="Absolute",YZ18,IFERROR((YY32/YY18)*YZ18,""))</f>
        <v/>
      </c>
      <c r="ZA32" s="696" t="str">
        <f t="shared" ref="ZA32" si="897">IF(PeerAnalysisChartType_NonFin="Absolute",ZA18,IFERROR((YZ32/YZ18)*ZA18,""))</f>
        <v/>
      </c>
      <c r="ZB32" s="696" t="str">
        <f t="shared" ref="ZB32" si="898">IF(PeerAnalysisChartType_NonFin="Absolute",ZB18,IFERROR((ZA32/ZA18)*ZB18,""))</f>
        <v/>
      </c>
      <c r="ZC32" s="696" t="str">
        <f t="shared" ref="ZC32" si="899">IF(PeerAnalysisChartType_NonFin="Absolute",ZC18,IFERROR((ZB32/ZB18)*ZC18,""))</f>
        <v/>
      </c>
      <c r="ZD32" s="696" t="str">
        <f t="shared" ref="ZD32" si="900">IF(PeerAnalysisChartType_NonFin="Absolute",ZD18,IFERROR((ZC32/ZC18)*ZD18,""))</f>
        <v/>
      </c>
      <c r="ZE32" s="696" t="str">
        <f t="shared" ref="ZE32" si="901">IF(PeerAnalysisChartType_NonFin="Absolute",ZE18,IFERROR((ZD32/ZD18)*ZE18,""))</f>
        <v/>
      </c>
      <c r="ZF32" s="696" t="str">
        <f t="shared" ref="ZF32" si="902">IF(PeerAnalysisChartType_NonFin="Absolute",ZF18,IFERROR((ZE32/ZE18)*ZF18,""))</f>
        <v/>
      </c>
      <c r="ZG32" s="696" t="str">
        <f t="shared" ref="ZG32" si="903">IF(PeerAnalysisChartType_NonFin="Absolute",ZG18,IFERROR((ZF32/ZF18)*ZG18,""))</f>
        <v/>
      </c>
      <c r="ZH32" s="696" t="str">
        <f t="shared" ref="ZH32" si="904">IF(PeerAnalysisChartType_NonFin="Absolute",ZH18,IFERROR((ZG32/ZG18)*ZH18,""))</f>
        <v/>
      </c>
      <c r="ZI32" s="696" t="str">
        <f t="shared" ref="ZI32" si="905">IF(PeerAnalysisChartType_NonFin="Absolute",ZI18,IFERROR((ZH32/ZH18)*ZI18,""))</f>
        <v/>
      </c>
      <c r="ZJ32" s="696" t="str">
        <f t="shared" ref="ZJ32" si="906">IF(PeerAnalysisChartType_NonFin="Absolute",ZJ18,IFERROR((ZI32/ZI18)*ZJ18,""))</f>
        <v/>
      </c>
      <c r="ZK32" s="696" t="str">
        <f t="shared" ref="ZK32" si="907">IF(PeerAnalysisChartType_NonFin="Absolute",ZK18,IFERROR((ZJ32/ZJ18)*ZK18,""))</f>
        <v/>
      </c>
      <c r="ZL32" s="696" t="str">
        <f t="shared" ref="ZL32" si="908">IF(PeerAnalysisChartType_NonFin="Absolute",ZL18,IFERROR((ZK32/ZK18)*ZL18,""))</f>
        <v/>
      </c>
      <c r="ZM32" s="696" t="str">
        <f t="shared" ref="ZM32" si="909">IF(PeerAnalysisChartType_NonFin="Absolute",ZM18,IFERROR((ZL32/ZL18)*ZM18,""))</f>
        <v/>
      </c>
      <c r="ZN32" s="696" t="str">
        <f t="shared" ref="ZN32" si="910">IF(PeerAnalysisChartType_NonFin="Absolute",ZN18,IFERROR((ZM32/ZM18)*ZN18,""))</f>
        <v/>
      </c>
      <c r="ZO32" s="696" t="str">
        <f t="shared" ref="ZO32" si="911">IF(PeerAnalysisChartType_NonFin="Absolute",ZO18,IFERROR((ZN32/ZN18)*ZO18,""))</f>
        <v/>
      </c>
      <c r="ZP32" s="697" t="str">
        <f t="shared" ref="ZP32" si="912">IF(PeerAnalysisChartType_NonFin="Absolute",ZP18,IFERROR((ZO32/ZO18)*ZP18,""))</f>
        <v/>
      </c>
      <c r="ZQ32" s="698">
        <f>IF(PeerAnalysisChartType_NonFin="Absolute",ZQ18,100)</f>
        <v>0.18332936675027003</v>
      </c>
      <c r="ZR32" s="696" t="str">
        <f t="shared" ref="ZR32" si="913">IF(PeerAnalysisChartType_NonFin="Absolute",ZR18,IFERROR((ZQ32/ZQ18)*ZR18,""))</f>
        <v/>
      </c>
      <c r="ZS32" s="696" t="str">
        <f t="shared" ref="ZS32" si="914">IF(PeerAnalysisChartType_NonFin="Absolute",ZS18,IFERROR((ZR32/ZR18)*ZS18,""))</f>
        <v/>
      </c>
      <c r="ZT32" s="696" t="str">
        <f t="shared" ref="ZT32" si="915">IF(PeerAnalysisChartType_NonFin="Absolute",ZT18,IFERROR((ZS32/ZS18)*ZT18,""))</f>
        <v/>
      </c>
      <c r="ZU32" s="696" t="str">
        <f t="shared" ref="ZU32" si="916">IF(PeerAnalysisChartType_NonFin="Absolute",ZU18,IFERROR((ZT32/ZT18)*ZU18,""))</f>
        <v/>
      </c>
      <c r="ZV32" s="696" t="str">
        <f t="shared" ref="ZV32" si="917">IF(PeerAnalysisChartType_NonFin="Absolute",ZV18,IFERROR((ZU32/ZU18)*ZV18,""))</f>
        <v/>
      </c>
      <c r="ZW32" s="696" t="str">
        <f t="shared" ref="ZW32" si="918">IF(PeerAnalysisChartType_NonFin="Absolute",ZW18,IFERROR((ZV32/ZV18)*ZW18,""))</f>
        <v/>
      </c>
      <c r="ZX32" s="696" t="str">
        <f t="shared" ref="ZX32" si="919">IF(PeerAnalysisChartType_NonFin="Absolute",ZX18,IFERROR((ZW32/ZW18)*ZX18,""))</f>
        <v/>
      </c>
      <c r="ZY32" s="696" t="str">
        <f t="shared" ref="ZY32" si="920">IF(PeerAnalysisChartType_NonFin="Absolute",ZY18,IFERROR((ZX32/ZX18)*ZY18,""))</f>
        <v/>
      </c>
      <c r="ZZ32" s="696" t="str">
        <f t="shared" ref="ZZ32" si="921">IF(PeerAnalysisChartType_NonFin="Absolute",ZZ18,IFERROR((ZY32/ZY18)*ZZ18,""))</f>
        <v/>
      </c>
      <c r="AAA32" s="696" t="str">
        <f t="shared" ref="AAA32" si="922">IF(PeerAnalysisChartType_NonFin="Absolute",AAA18,IFERROR((ZZ32/ZZ18)*AAA18,""))</f>
        <v/>
      </c>
      <c r="AAB32" s="696" t="str">
        <f t="shared" ref="AAB32" si="923">IF(PeerAnalysisChartType_NonFin="Absolute",AAB18,IFERROR((AAA32/AAA18)*AAB18,""))</f>
        <v/>
      </c>
      <c r="AAC32" s="696" t="str">
        <f t="shared" ref="AAC32" si="924">IF(PeerAnalysisChartType_NonFin="Absolute",AAC18,IFERROR((AAB32/AAB18)*AAC18,""))</f>
        <v/>
      </c>
      <c r="AAD32" s="696" t="str">
        <f t="shared" ref="AAD32" si="925">IF(PeerAnalysisChartType_NonFin="Absolute",AAD18,IFERROR((AAC32/AAC18)*AAD18,""))</f>
        <v/>
      </c>
      <c r="AAE32" s="696" t="str">
        <f t="shared" ref="AAE32" si="926">IF(PeerAnalysisChartType_NonFin="Absolute",AAE18,IFERROR((AAD32/AAD18)*AAE18,""))</f>
        <v/>
      </c>
      <c r="AAF32" s="696" t="str">
        <f t="shared" ref="AAF32" si="927">IF(PeerAnalysisChartType_NonFin="Absolute",AAF18,IFERROR((AAE32/AAE18)*AAF18,""))</f>
        <v/>
      </c>
      <c r="AAG32" s="696" t="str">
        <f t="shared" ref="AAG32" si="928">IF(PeerAnalysisChartType_NonFin="Absolute",AAG18,IFERROR((AAF32/AAF18)*AAG18,""))</f>
        <v/>
      </c>
      <c r="AAH32" s="696" t="str">
        <f t="shared" ref="AAH32" si="929">IF(PeerAnalysisChartType_NonFin="Absolute",AAH18,IFERROR((AAG32/AAG18)*AAH18,""))</f>
        <v/>
      </c>
      <c r="AAI32" s="696" t="str">
        <f t="shared" ref="AAI32" si="930">IF(PeerAnalysisChartType_NonFin="Absolute",AAI18,IFERROR((AAH32/AAH18)*AAI18,""))</f>
        <v/>
      </c>
      <c r="AAJ32" s="697" t="str">
        <f t="shared" ref="AAJ32" si="931">IF(PeerAnalysisChartType_NonFin="Absolute",AAJ18,IFERROR((AAI32/AAI18)*AAJ18,""))</f>
        <v/>
      </c>
      <c r="AAK32" s="621">
        <f>IF(PeerAnalysisChartType_NonFin="Absolute",AAK18,100)</f>
        <v>8.5492915095311695</v>
      </c>
      <c r="AAL32" s="622" t="str">
        <f t="shared" ref="AAL32" si="932">IF(PeerAnalysisChartType_NonFin="Absolute",AAL18,IFERROR((AAK32/AAK18)*AAL18,""))</f>
        <v/>
      </c>
      <c r="AAM32" s="622" t="str">
        <f t="shared" ref="AAM32" si="933">IF(PeerAnalysisChartType_NonFin="Absolute",AAM18,IFERROR((AAL32/AAL18)*AAM18,""))</f>
        <v/>
      </c>
      <c r="AAN32" s="622" t="str">
        <f t="shared" ref="AAN32" si="934">IF(PeerAnalysisChartType_NonFin="Absolute",AAN18,IFERROR((AAM32/AAM18)*AAN18,""))</f>
        <v/>
      </c>
      <c r="AAO32" s="622" t="str">
        <f t="shared" ref="AAO32" si="935">IF(PeerAnalysisChartType_NonFin="Absolute",AAO18,IFERROR((AAN32/AAN18)*AAO18,""))</f>
        <v/>
      </c>
      <c r="AAP32" s="622" t="str">
        <f t="shared" ref="AAP32" si="936">IF(PeerAnalysisChartType_NonFin="Absolute",AAP18,IFERROR((AAO32/AAO18)*AAP18,""))</f>
        <v/>
      </c>
      <c r="AAQ32" s="622" t="str">
        <f t="shared" ref="AAQ32" si="937">IF(PeerAnalysisChartType_NonFin="Absolute",AAQ18,IFERROR((AAP32/AAP18)*AAQ18,""))</f>
        <v/>
      </c>
      <c r="AAR32" s="622" t="str">
        <f t="shared" ref="AAR32" si="938">IF(PeerAnalysisChartType_NonFin="Absolute",AAR18,IFERROR((AAQ32/AAQ18)*AAR18,""))</f>
        <v/>
      </c>
      <c r="AAS32" s="622" t="str">
        <f t="shared" ref="AAS32" si="939">IF(PeerAnalysisChartType_NonFin="Absolute",AAS18,IFERROR((AAR32/AAR18)*AAS18,""))</f>
        <v/>
      </c>
      <c r="AAT32" s="622" t="str">
        <f t="shared" ref="AAT32" si="940">IF(PeerAnalysisChartType_NonFin="Absolute",AAT18,IFERROR((AAS32/AAS18)*AAT18,""))</f>
        <v/>
      </c>
      <c r="AAU32" s="622" t="str">
        <f t="shared" ref="AAU32" si="941">IF(PeerAnalysisChartType_NonFin="Absolute",AAU18,IFERROR((AAT32/AAT18)*AAU18,""))</f>
        <v/>
      </c>
      <c r="AAV32" s="622" t="str">
        <f t="shared" ref="AAV32" si="942">IF(PeerAnalysisChartType_NonFin="Absolute",AAV18,IFERROR((AAU32/AAU18)*AAV18,""))</f>
        <v/>
      </c>
      <c r="AAW32" s="622" t="str">
        <f t="shared" ref="AAW32" si="943">IF(PeerAnalysisChartType_NonFin="Absolute",AAW18,IFERROR((AAV32/AAV18)*AAW18,""))</f>
        <v/>
      </c>
      <c r="AAX32" s="622" t="str">
        <f t="shared" ref="AAX32" si="944">IF(PeerAnalysisChartType_NonFin="Absolute",AAX18,IFERROR((AAW32/AAW18)*AAX18,""))</f>
        <v/>
      </c>
      <c r="AAY32" s="622" t="str">
        <f t="shared" ref="AAY32" si="945">IF(PeerAnalysisChartType_NonFin="Absolute",AAY18,IFERROR((AAX32/AAX18)*AAY18,""))</f>
        <v/>
      </c>
      <c r="AAZ32" s="622" t="str">
        <f t="shared" ref="AAZ32" si="946">IF(PeerAnalysisChartType_NonFin="Absolute",AAZ18,IFERROR((AAY32/AAY18)*AAZ18,""))</f>
        <v/>
      </c>
      <c r="ABA32" s="622" t="str">
        <f t="shared" ref="ABA32" si="947">IF(PeerAnalysisChartType_NonFin="Absolute",ABA18,IFERROR((AAZ32/AAZ18)*ABA18,""))</f>
        <v/>
      </c>
      <c r="ABB32" s="622" t="str">
        <f t="shared" ref="ABB32" si="948">IF(PeerAnalysisChartType_NonFin="Absolute",ABB18,IFERROR((ABA32/ABA18)*ABB18,""))</f>
        <v/>
      </c>
      <c r="ABC32" s="622" t="str">
        <f t="shared" ref="ABC32" si="949">IF(PeerAnalysisChartType_NonFin="Absolute",ABC18,IFERROR((ABB32/ABB18)*ABC18,""))</f>
        <v/>
      </c>
      <c r="ABD32" s="623" t="str">
        <f t="shared" ref="ABD32" si="950">IF(PeerAnalysisChartType_NonFin="Absolute",ABD18,IFERROR((ABC32/ABC18)*ABD18,""))</f>
        <v/>
      </c>
      <c r="ABE32" s="698">
        <f>IF(PeerAnalysisChartType_NonFin="Absolute",ABE18,100)</f>
        <v>0.93601453124732248</v>
      </c>
      <c r="ABF32" s="696" t="str">
        <f t="shared" ref="ABF32" si="951">IF(PeerAnalysisChartType_NonFin="Absolute",ABF18,IFERROR((ABE32/ABE18)*ABF18,""))</f>
        <v/>
      </c>
      <c r="ABG32" s="696" t="str">
        <f t="shared" ref="ABG32" si="952">IF(PeerAnalysisChartType_NonFin="Absolute",ABG18,IFERROR((ABF32/ABF18)*ABG18,""))</f>
        <v/>
      </c>
      <c r="ABH32" s="696" t="str">
        <f t="shared" ref="ABH32" si="953">IF(PeerAnalysisChartType_NonFin="Absolute",ABH18,IFERROR((ABG32/ABG18)*ABH18,""))</f>
        <v/>
      </c>
      <c r="ABI32" s="696" t="str">
        <f t="shared" ref="ABI32" si="954">IF(PeerAnalysisChartType_NonFin="Absolute",ABI18,IFERROR((ABH32/ABH18)*ABI18,""))</f>
        <v/>
      </c>
      <c r="ABJ32" s="696" t="str">
        <f t="shared" ref="ABJ32" si="955">IF(PeerAnalysisChartType_NonFin="Absolute",ABJ18,IFERROR((ABI32/ABI18)*ABJ18,""))</f>
        <v/>
      </c>
      <c r="ABK32" s="696" t="str">
        <f t="shared" ref="ABK32" si="956">IF(PeerAnalysisChartType_NonFin="Absolute",ABK18,IFERROR((ABJ32/ABJ18)*ABK18,""))</f>
        <v/>
      </c>
      <c r="ABL32" s="696" t="str">
        <f t="shared" ref="ABL32" si="957">IF(PeerAnalysisChartType_NonFin="Absolute",ABL18,IFERROR((ABK32/ABK18)*ABL18,""))</f>
        <v/>
      </c>
      <c r="ABM32" s="696" t="str">
        <f t="shared" ref="ABM32" si="958">IF(PeerAnalysisChartType_NonFin="Absolute",ABM18,IFERROR((ABL32/ABL18)*ABM18,""))</f>
        <v/>
      </c>
      <c r="ABN32" s="696" t="str">
        <f t="shared" ref="ABN32" si="959">IF(PeerAnalysisChartType_NonFin="Absolute",ABN18,IFERROR((ABM32/ABM18)*ABN18,""))</f>
        <v/>
      </c>
      <c r="ABO32" s="696" t="str">
        <f t="shared" ref="ABO32" si="960">IF(PeerAnalysisChartType_NonFin="Absolute",ABO18,IFERROR((ABN32/ABN18)*ABO18,""))</f>
        <v/>
      </c>
      <c r="ABP32" s="696" t="str">
        <f t="shared" ref="ABP32" si="961">IF(PeerAnalysisChartType_NonFin="Absolute",ABP18,IFERROR((ABO32/ABO18)*ABP18,""))</f>
        <v/>
      </c>
      <c r="ABQ32" s="696" t="str">
        <f t="shared" ref="ABQ32" si="962">IF(PeerAnalysisChartType_NonFin="Absolute",ABQ18,IFERROR((ABP32/ABP18)*ABQ18,""))</f>
        <v/>
      </c>
      <c r="ABR32" s="696" t="str">
        <f t="shared" ref="ABR32" si="963">IF(PeerAnalysisChartType_NonFin="Absolute",ABR18,IFERROR((ABQ32/ABQ18)*ABR18,""))</f>
        <v/>
      </c>
      <c r="ABS32" s="696" t="str">
        <f t="shared" ref="ABS32" si="964">IF(PeerAnalysisChartType_NonFin="Absolute",ABS18,IFERROR((ABR32/ABR18)*ABS18,""))</f>
        <v/>
      </c>
      <c r="ABT32" s="696" t="str">
        <f t="shared" ref="ABT32" si="965">IF(PeerAnalysisChartType_NonFin="Absolute",ABT18,IFERROR((ABS32/ABS18)*ABT18,""))</f>
        <v/>
      </c>
      <c r="ABU32" s="696" t="str">
        <f t="shared" ref="ABU32" si="966">IF(PeerAnalysisChartType_NonFin="Absolute",ABU18,IFERROR((ABT32/ABT18)*ABU18,""))</f>
        <v/>
      </c>
      <c r="ABV32" s="696" t="str">
        <f t="shared" ref="ABV32" si="967">IF(PeerAnalysisChartType_NonFin="Absolute",ABV18,IFERROR((ABU32/ABU18)*ABV18,""))</f>
        <v/>
      </c>
      <c r="ABW32" s="696" t="str">
        <f t="shared" ref="ABW32" si="968">IF(PeerAnalysisChartType_NonFin="Absolute",ABW18,IFERROR((ABV32/ABV18)*ABW18,""))</f>
        <v/>
      </c>
      <c r="ABX32" s="697" t="str">
        <f t="shared" ref="ABX32" si="969">IF(PeerAnalysisChartType_NonFin="Absolute",ABX18,IFERROR((ABW32/ABW18)*ABX18,""))</f>
        <v/>
      </c>
      <c r="ABY32" s="301">
        <f>IF(PeerAnalysisChartType_NonFin="Absolute",ABY18,100)</f>
        <v>7.8315599999999996</v>
      </c>
      <c r="ABZ32" s="302" t="str">
        <f t="shared" ref="ABZ32" si="970">IF(PeerAnalysisChartType_NonFin="Absolute",ABZ18,IFERROR((ABY32/ABY18)*ABZ18,""))</f>
        <v/>
      </c>
      <c r="ACA32" s="302" t="str">
        <f t="shared" ref="ACA32" si="971">IF(PeerAnalysisChartType_NonFin="Absolute",ACA18,IFERROR((ABZ32/ABZ18)*ACA18,""))</f>
        <v/>
      </c>
      <c r="ACB32" s="302" t="str">
        <f t="shared" ref="ACB32" si="972">IF(PeerAnalysisChartType_NonFin="Absolute",ACB18,IFERROR((ACA32/ACA18)*ACB18,""))</f>
        <v/>
      </c>
      <c r="ACC32" s="302" t="str">
        <f t="shared" ref="ACC32" si="973">IF(PeerAnalysisChartType_NonFin="Absolute",ACC18,IFERROR((ACB32/ACB18)*ACC18,""))</f>
        <v/>
      </c>
      <c r="ACD32" s="302" t="str">
        <f t="shared" ref="ACD32" si="974">IF(PeerAnalysisChartType_NonFin="Absolute",ACD18,IFERROR((ACC32/ACC18)*ACD18,""))</f>
        <v/>
      </c>
      <c r="ACE32" s="302" t="str">
        <f t="shared" ref="ACE32" si="975">IF(PeerAnalysisChartType_NonFin="Absolute",ACE18,IFERROR((ACD32/ACD18)*ACE18,""))</f>
        <v/>
      </c>
      <c r="ACF32" s="302" t="str">
        <f t="shared" ref="ACF32" si="976">IF(PeerAnalysisChartType_NonFin="Absolute",ACF18,IFERROR((ACE32/ACE18)*ACF18,""))</f>
        <v/>
      </c>
      <c r="ACG32" s="302" t="str">
        <f t="shared" ref="ACG32" si="977">IF(PeerAnalysisChartType_NonFin="Absolute",ACG18,IFERROR((ACF32/ACF18)*ACG18,""))</f>
        <v/>
      </c>
      <c r="ACH32" s="302" t="str">
        <f t="shared" ref="ACH32" si="978">IF(PeerAnalysisChartType_NonFin="Absolute",ACH18,IFERROR((ACG32/ACG18)*ACH18,""))</f>
        <v/>
      </c>
      <c r="ACI32" s="302" t="str">
        <f t="shared" ref="ACI32" si="979">IF(PeerAnalysisChartType_NonFin="Absolute",ACI18,IFERROR((ACH32/ACH18)*ACI18,""))</f>
        <v/>
      </c>
      <c r="ACJ32" s="302" t="str">
        <f t="shared" ref="ACJ32" si="980">IF(PeerAnalysisChartType_NonFin="Absolute",ACJ18,IFERROR((ACI32/ACI18)*ACJ18,""))</f>
        <v/>
      </c>
      <c r="ACK32" s="302" t="str">
        <f t="shared" ref="ACK32" si="981">IF(PeerAnalysisChartType_NonFin="Absolute",ACK18,IFERROR((ACJ32/ACJ18)*ACK18,""))</f>
        <v/>
      </c>
      <c r="ACL32" s="302" t="str">
        <f t="shared" ref="ACL32" si="982">IF(PeerAnalysisChartType_NonFin="Absolute",ACL18,IFERROR((ACK32/ACK18)*ACL18,""))</f>
        <v/>
      </c>
      <c r="ACM32" s="302" t="str">
        <f t="shared" ref="ACM32" si="983">IF(PeerAnalysisChartType_NonFin="Absolute",ACM18,IFERROR((ACL32/ACL18)*ACM18,""))</f>
        <v/>
      </c>
      <c r="ACN32" s="302" t="str">
        <f t="shared" ref="ACN32" si="984">IF(PeerAnalysisChartType_NonFin="Absolute",ACN18,IFERROR((ACM32/ACM18)*ACN18,""))</f>
        <v/>
      </c>
      <c r="ACO32" s="302" t="str">
        <f t="shared" ref="ACO32" si="985">IF(PeerAnalysisChartType_NonFin="Absolute",ACO18,IFERROR((ACN32/ACN18)*ACO18,""))</f>
        <v/>
      </c>
      <c r="ACP32" s="302" t="str">
        <f t="shared" ref="ACP32" si="986">IF(PeerAnalysisChartType_NonFin="Absolute",ACP18,IFERROR((ACO32/ACO18)*ACP18,""))</f>
        <v/>
      </c>
      <c r="ACQ32" s="302" t="str">
        <f t="shared" ref="ACQ32" si="987">IF(PeerAnalysisChartType_NonFin="Absolute",ACQ18,IFERROR((ACP32/ACP18)*ACQ18,""))</f>
        <v/>
      </c>
      <c r="ACR32" s="303" t="str">
        <f t="shared" ref="ACR32" si="988">IF(PeerAnalysisChartType_NonFin="Absolute",ACR18,IFERROR((ACQ32/ACQ18)*ACR18,""))</f>
        <v/>
      </c>
    </row>
    <row r="33" spans="1:772" s="97" customFormat="1" ht="15" customHeight="1" x14ac:dyDescent="0.2">
      <c r="A33" s="99" t="s">
        <v>1041</v>
      </c>
      <c r="B33" s="590"/>
      <c r="C33" s="590"/>
      <c r="D33" s="590"/>
      <c r="E33" s="591"/>
      <c r="F33" s="591"/>
      <c r="G33" s="592"/>
      <c r="H33" s="592"/>
      <c r="I33" s="592"/>
      <c r="J33" s="592"/>
      <c r="K33" s="592"/>
      <c r="L33" s="592"/>
      <c r="M33" s="592"/>
      <c r="N33" s="592"/>
      <c r="O33" s="592"/>
      <c r="P33" s="592"/>
      <c r="Q33" s="592"/>
      <c r="R33" s="592"/>
      <c r="S33" s="592"/>
      <c r="T33" s="592"/>
      <c r="U33" s="592"/>
      <c r="V33" s="592"/>
      <c r="W33" s="592"/>
      <c r="X33" s="592"/>
      <c r="Y33" s="592"/>
      <c r="Z33" s="592"/>
      <c r="AA33" s="592"/>
      <c r="AB33" s="592"/>
      <c r="AC33" s="592"/>
      <c r="AD33" s="592"/>
      <c r="AE33" s="593"/>
      <c r="AF33" s="129"/>
      <c r="AG33" s="695">
        <f>IF(PeerAnalysisChartType_NonFin="Absolute",AG23,100)</f>
        <v>0.25098700000000002</v>
      </c>
      <c r="AH33" s="696">
        <f t="shared" ref="AH33:AZ33" si="989">IF(PeerAnalysisChartType_NonFin="Absolute",AH23,IFERROR((AG33/AG23)*AH23,""))</f>
        <v>0</v>
      </c>
      <c r="AI33" s="696">
        <f t="shared" si="989"/>
        <v>0</v>
      </c>
      <c r="AJ33" s="696">
        <f t="shared" si="989"/>
        <v>0</v>
      </c>
      <c r="AK33" s="696">
        <f t="shared" si="989"/>
        <v>0</v>
      </c>
      <c r="AL33" s="696">
        <f t="shared" si="989"/>
        <v>0</v>
      </c>
      <c r="AM33" s="696">
        <f t="shared" si="989"/>
        <v>0</v>
      </c>
      <c r="AN33" s="696">
        <f t="shared" si="989"/>
        <v>0</v>
      </c>
      <c r="AO33" s="696">
        <f t="shared" si="989"/>
        <v>0</v>
      </c>
      <c r="AP33" s="696">
        <f t="shared" si="989"/>
        <v>0</v>
      </c>
      <c r="AQ33" s="696">
        <f t="shared" si="989"/>
        <v>0</v>
      </c>
      <c r="AR33" s="696">
        <f t="shared" si="989"/>
        <v>0</v>
      </c>
      <c r="AS33" s="696">
        <f t="shared" si="989"/>
        <v>0</v>
      </c>
      <c r="AT33" s="696">
        <f t="shared" si="989"/>
        <v>0</v>
      </c>
      <c r="AU33" s="696">
        <f t="shared" si="989"/>
        <v>0</v>
      </c>
      <c r="AV33" s="696">
        <f t="shared" si="989"/>
        <v>0</v>
      </c>
      <c r="AW33" s="696">
        <f t="shared" si="989"/>
        <v>0</v>
      </c>
      <c r="AX33" s="696">
        <f t="shared" si="989"/>
        <v>0</v>
      </c>
      <c r="AY33" s="696">
        <f t="shared" si="989"/>
        <v>0</v>
      </c>
      <c r="AZ33" s="697">
        <f t="shared" si="989"/>
        <v>0</v>
      </c>
      <c r="BA33" s="698">
        <f>IF(PeerAnalysisChartType_NonFin="Absolute",BA23,100)</f>
        <v>6.3900999999999999E-2</v>
      </c>
      <c r="BB33" s="696">
        <f t="shared" ref="BB33:BT33" si="990">IF(PeerAnalysisChartType_NonFin="Absolute",BB23,IFERROR((BA33/BA23)*BB23,""))</f>
        <v>0</v>
      </c>
      <c r="BC33" s="696">
        <f t="shared" si="990"/>
        <v>0</v>
      </c>
      <c r="BD33" s="696">
        <f t="shared" si="990"/>
        <v>0</v>
      </c>
      <c r="BE33" s="696">
        <f t="shared" si="990"/>
        <v>0</v>
      </c>
      <c r="BF33" s="696">
        <f t="shared" si="990"/>
        <v>0</v>
      </c>
      <c r="BG33" s="696">
        <f t="shared" si="990"/>
        <v>0</v>
      </c>
      <c r="BH33" s="696">
        <f t="shared" si="990"/>
        <v>0</v>
      </c>
      <c r="BI33" s="696">
        <f t="shared" si="990"/>
        <v>0</v>
      </c>
      <c r="BJ33" s="696">
        <f t="shared" si="990"/>
        <v>0</v>
      </c>
      <c r="BK33" s="696">
        <f t="shared" si="990"/>
        <v>0</v>
      </c>
      <c r="BL33" s="696">
        <f t="shared" si="990"/>
        <v>0</v>
      </c>
      <c r="BM33" s="696">
        <f t="shared" si="990"/>
        <v>0</v>
      </c>
      <c r="BN33" s="696">
        <f t="shared" si="990"/>
        <v>0</v>
      </c>
      <c r="BO33" s="696">
        <f t="shared" si="990"/>
        <v>0</v>
      </c>
      <c r="BP33" s="696">
        <f t="shared" si="990"/>
        <v>0</v>
      </c>
      <c r="BQ33" s="696">
        <f t="shared" si="990"/>
        <v>0</v>
      </c>
      <c r="BR33" s="696">
        <f t="shared" si="990"/>
        <v>0</v>
      </c>
      <c r="BS33" s="696">
        <f t="shared" si="990"/>
        <v>0</v>
      </c>
      <c r="BT33" s="697">
        <f t="shared" si="990"/>
        <v>0</v>
      </c>
      <c r="BU33" s="698">
        <f>IF(PeerAnalysisChartType_NonFin="Absolute",BU23,100)</f>
        <v>4.5293E-2</v>
      </c>
      <c r="BV33" s="696">
        <f t="shared" ref="BV33:CN33" si="991">IF(PeerAnalysisChartType_NonFin="Absolute",BV23,IFERROR((BU33/BU23)*BV23,""))</f>
        <v>0</v>
      </c>
      <c r="BW33" s="696">
        <f t="shared" si="991"/>
        <v>0</v>
      </c>
      <c r="BX33" s="696">
        <f t="shared" si="991"/>
        <v>0</v>
      </c>
      <c r="BY33" s="696">
        <f t="shared" si="991"/>
        <v>0</v>
      </c>
      <c r="BZ33" s="696">
        <f t="shared" si="991"/>
        <v>0</v>
      </c>
      <c r="CA33" s="696">
        <f t="shared" si="991"/>
        <v>0</v>
      </c>
      <c r="CB33" s="696">
        <f t="shared" si="991"/>
        <v>0</v>
      </c>
      <c r="CC33" s="696">
        <f t="shared" si="991"/>
        <v>0</v>
      </c>
      <c r="CD33" s="696">
        <f t="shared" si="991"/>
        <v>0</v>
      </c>
      <c r="CE33" s="696">
        <f t="shared" si="991"/>
        <v>0</v>
      </c>
      <c r="CF33" s="696">
        <f t="shared" si="991"/>
        <v>0</v>
      </c>
      <c r="CG33" s="696">
        <f t="shared" si="991"/>
        <v>0</v>
      </c>
      <c r="CH33" s="696">
        <f t="shared" si="991"/>
        <v>0</v>
      </c>
      <c r="CI33" s="696">
        <f t="shared" si="991"/>
        <v>0</v>
      </c>
      <c r="CJ33" s="696">
        <f t="shared" si="991"/>
        <v>0</v>
      </c>
      <c r="CK33" s="696">
        <f t="shared" si="991"/>
        <v>0</v>
      </c>
      <c r="CL33" s="696">
        <f t="shared" si="991"/>
        <v>0</v>
      </c>
      <c r="CM33" s="696">
        <f t="shared" si="991"/>
        <v>0</v>
      </c>
      <c r="CN33" s="697">
        <f t="shared" si="991"/>
        <v>0</v>
      </c>
      <c r="CO33" s="698">
        <f>IF(PeerAnalysisChartType_NonFin="Absolute",CO23,100)</f>
        <v>2.5432E-2</v>
      </c>
      <c r="CP33" s="696">
        <f t="shared" ref="CP33:DH33" si="992">IF(PeerAnalysisChartType_NonFin="Absolute",CP23,IFERROR((CO33/CO23)*CP23,""))</f>
        <v>0</v>
      </c>
      <c r="CQ33" s="696">
        <f t="shared" si="992"/>
        <v>0</v>
      </c>
      <c r="CR33" s="696">
        <f t="shared" si="992"/>
        <v>0</v>
      </c>
      <c r="CS33" s="696">
        <f t="shared" si="992"/>
        <v>0</v>
      </c>
      <c r="CT33" s="696">
        <f t="shared" si="992"/>
        <v>0</v>
      </c>
      <c r="CU33" s="696">
        <f t="shared" si="992"/>
        <v>0</v>
      </c>
      <c r="CV33" s="696">
        <f t="shared" si="992"/>
        <v>0</v>
      </c>
      <c r="CW33" s="696">
        <f t="shared" si="992"/>
        <v>0</v>
      </c>
      <c r="CX33" s="696">
        <f t="shared" si="992"/>
        <v>0</v>
      </c>
      <c r="CY33" s="696">
        <f t="shared" si="992"/>
        <v>0</v>
      </c>
      <c r="CZ33" s="696">
        <f t="shared" si="992"/>
        <v>0</v>
      </c>
      <c r="DA33" s="696">
        <f t="shared" si="992"/>
        <v>0</v>
      </c>
      <c r="DB33" s="696">
        <f t="shared" si="992"/>
        <v>0</v>
      </c>
      <c r="DC33" s="696">
        <f t="shared" si="992"/>
        <v>0</v>
      </c>
      <c r="DD33" s="696">
        <f t="shared" si="992"/>
        <v>0</v>
      </c>
      <c r="DE33" s="696">
        <f t="shared" si="992"/>
        <v>0</v>
      </c>
      <c r="DF33" s="696">
        <f t="shared" si="992"/>
        <v>0</v>
      </c>
      <c r="DG33" s="696">
        <f t="shared" si="992"/>
        <v>0</v>
      </c>
      <c r="DH33" s="697">
        <f t="shared" si="992"/>
        <v>0</v>
      </c>
      <c r="DI33" s="698">
        <f>IF(PeerAnalysisChartType_NonFin="Absolute",DI23,100)</f>
        <v>0.7490126651232466</v>
      </c>
      <c r="DJ33" s="696">
        <f t="shared" ref="DJ33:EB33" si="993">IF(PeerAnalysisChartType_NonFin="Absolute",DJ23,IFERROR((DI33/DI23)*DJ23,""))</f>
        <v>0</v>
      </c>
      <c r="DK33" s="696">
        <f t="shared" si="993"/>
        <v>0</v>
      </c>
      <c r="DL33" s="696">
        <f t="shared" si="993"/>
        <v>0</v>
      </c>
      <c r="DM33" s="696">
        <f t="shared" si="993"/>
        <v>0</v>
      </c>
      <c r="DN33" s="696">
        <f t="shared" si="993"/>
        <v>0</v>
      </c>
      <c r="DO33" s="696">
        <f t="shared" si="993"/>
        <v>0</v>
      </c>
      <c r="DP33" s="696">
        <f t="shared" si="993"/>
        <v>0</v>
      </c>
      <c r="DQ33" s="696">
        <f t="shared" si="993"/>
        <v>0</v>
      </c>
      <c r="DR33" s="696">
        <f t="shared" si="993"/>
        <v>0</v>
      </c>
      <c r="DS33" s="696">
        <f t="shared" si="993"/>
        <v>0</v>
      </c>
      <c r="DT33" s="696">
        <f t="shared" si="993"/>
        <v>0</v>
      </c>
      <c r="DU33" s="696">
        <f t="shared" si="993"/>
        <v>0</v>
      </c>
      <c r="DV33" s="696">
        <f t="shared" si="993"/>
        <v>0</v>
      </c>
      <c r="DW33" s="696">
        <f t="shared" si="993"/>
        <v>0</v>
      </c>
      <c r="DX33" s="696">
        <f t="shared" si="993"/>
        <v>0</v>
      </c>
      <c r="DY33" s="696">
        <f t="shared" si="993"/>
        <v>0</v>
      </c>
      <c r="DZ33" s="696">
        <f t="shared" si="993"/>
        <v>0</v>
      </c>
      <c r="EA33" s="696">
        <f t="shared" si="993"/>
        <v>0</v>
      </c>
      <c r="EB33" s="697">
        <f t="shared" si="993"/>
        <v>0</v>
      </c>
      <c r="EC33" s="698">
        <f>IF(PeerAnalysisChartType_NonFin="Absolute",EC23,100)</f>
        <v>8.1212700163479146E-2</v>
      </c>
      <c r="ED33" s="696">
        <f t="shared" ref="ED33:EV33" si="994">IF(PeerAnalysisChartType_NonFin="Absolute",ED23,IFERROR((EC33/EC23)*ED23,""))</f>
        <v>0</v>
      </c>
      <c r="EE33" s="696">
        <f t="shared" si="994"/>
        <v>0</v>
      </c>
      <c r="EF33" s="696">
        <f t="shared" si="994"/>
        <v>0</v>
      </c>
      <c r="EG33" s="696">
        <f t="shared" si="994"/>
        <v>0</v>
      </c>
      <c r="EH33" s="696">
        <f t="shared" si="994"/>
        <v>0</v>
      </c>
      <c r="EI33" s="696">
        <f t="shared" si="994"/>
        <v>0</v>
      </c>
      <c r="EJ33" s="696">
        <f t="shared" si="994"/>
        <v>0</v>
      </c>
      <c r="EK33" s="696">
        <f t="shared" si="994"/>
        <v>0</v>
      </c>
      <c r="EL33" s="696">
        <f t="shared" si="994"/>
        <v>0</v>
      </c>
      <c r="EM33" s="696">
        <f t="shared" si="994"/>
        <v>0</v>
      </c>
      <c r="EN33" s="696">
        <f t="shared" si="994"/>
        <v>0</v>
      </c>
      <c r="EO33" s="696">
        <f t="shared" si="994"/>
        <v>0</v>
      </c>
      <c r="EP33" s="696">
        <f t="shared" si="994"/>
        <v>0</v>
      </c>
      <c r="EQ33" s="696">
        <f t="shared" si="994"/>
        <v>0</v>
      </c>
      <c r="ER33" s="696">
        <f t="shared" si="994"/>
        <v>0</v>
      </c>
      <c r="ES33" s="696">
        <f t="shared" si="994"/>
        <v>0</v>
      </c>
      <c r="ET33" s="696">
        <f t="shared" si="994"/>
        <v>0</v>
      </c>
      <c r="EU33" s="696">
        <f t="shared" si="994"/>
        <v>0</v>
      </c>
      <c r="EV33" s="697">
        <f t="shared" si="994"/>
        <v>0</v>
      </c>
      <c r="EW33" s="698">
        <f>IF(PeerAnalysisChartType_NonFin="Absolute",EW23,100)</f>
        <v>8.9746000000000006E-2</v>
      </c>
      <c r="EX33" s="696">
        <f t="shared" ref="EX33:FP33" si="995">IF(PeerAnalysisChartType_NonFin="Absolute",EX23,IFERROR((EW33/EW23)*EX23,""))</f>
        <v>0</v>
      </c>
      <c r="EY33" s="696">
        <f t="shared" si="995"/>
        <v>0</v>
      </c>
      <c r="EZ33" s="696">
        <f t="shared" si="995"/>
        <v>0</v>
      </c>
      <c r="FA33" s="696">
        <f t="shared" si="995"/>
        <v>0</v>
      </c>
      <c r="FB33" s="696">
        <f t="shared" si="995"/>
        <v>0</v>
      </c>
      <c r="FC33" s="696">
        <f t="shared" si="995"/>
        <v>0</v>
      </c>
      <c r="FD33" s="696">
        <f t="shared" si="995"/>
        <v>0</v>
      </c>
      <c r="FE33" s="696">
        <f t="shared" si="995"/>
        <v>0</v>
      </c>
      <c r="FF33" s="696">
        <f t="shared" si="995"/>
        <v>0</v>
      </c>
      <c r="FG33" s="696">
        <f t="shared" si="995"/>
        <v>0</v>
      </c>
      <c r="FH33" s="696">
        <f t="shared" si="995"/>
        <v>0</v>
      </c>
      <c r="FI33" s="696">
        <f t="shared" si="995"/>
        <v>0</v>
      </c>
      <c r="FJ33" s="696">
        <f t="shared" si="995"/>
        <v>0</v>
      </c>
      <c r="FK33" s="696">
        <f t="shared" si="995"/>
        <v>0</v>
      </c>
      <c r="FL33" s="696">
        <f t="shared" si="995"/>
        <v>0</v>
      </c>
      <c r="FM33" s="696">
        <f t="shared" si="995"/>
        <v>0</v>
      </c>
      <c r="FN33" s="696">
        <f t="shared" si="995"/>
        <v>0</v>
      </c>
      <c r="FO33" s="696">
        <f t="shared" si="995"/>
        <v>0</v>
      </c>
      <c r="FP33" s="697">
        <f t="shared" si="995"/>
        <v>0</v>
      </c>
      <c r="FQ33" s="698">
        <f>IF(PeerAnalysisChartType_NonFin="Absolute",FQ23,100)</f>
        <v>0</v>
      </c>
      <c r="FR33" s="696">
        <f t="shared" ref="FR33:GJ33" si="996">IF(PeerAnalysisChartType_NonFin="Absolute",FR23,IFERROR((FQ33/FQ23)*FR23,""))</f>
        <v>0</v>
      </c>
      <c r="FS33" s="696">
        <f t="shared" si="996"/>
        <v>0</v>
      </c>
      <c r="FT33" s="696">
        <f t="shared" si="996"/>
        <v>0</v>
      </c>
      <c r="FU33" s="696">
        <f t="shared" si="996"/>
        <v>0</v>
      </c>
      <c r="FV33" s="696">
        <f t="shared" si="996"/>
        <v>0</v>
      </c>
      <c r="FW33" s="696">
        <f t="shared" si="996"/>
        <v>0</v>
      </c>
      <c r="FX33" s="696">
        <f t="shared" si="996"/>
        <v>0</v>
      </c>
      <c r="FY33" s="696">
        <f t="shared" si="996"/>
        <v>0</v>
      </c>
      <c r="FZ33" s="696">
        <f t="shared" si="996"/>
        <v>0</v>
      </c>
      <c r="GA33" s="696">
        <f t="shared" si="996"/>
        <v>0</v>
      </c>
      <c r="GB33" s="696">
        <f t="shared" si="996"/>
        <v>0</v>
      </c>
      <c r="GC33" s="696">
        <f t="shared" si="996"/>
        <v>0</v>
      </c>
      <c r="GD33" s="696">
        <f t="shared" si="996"/>
        <v>0</v>
      </c>
      <c r="GE33" s="696">
        <f t="shared" si="996"/>
        <v>0</v>
      </c>
      <c r="GF33" s="696">
        <f t="shared" si="996"/>
        <v>0</v>
      </c>
      <c r="GG33" s="696">
        <f t="shared" si="996"/>
        <v>0</v>
      </c>
      <c r="GH33" s="696">
        <f t="shared" si="996"/>
        <v>0</v>
      </c>
      <c r="GI33" s="696">
        <f t="shared" si="996"/>
        <v>0</v>
      </c>
      <c r="GJ33" s="697">
        <f t="shared" si="996"/>
        <v>0</v>
      </c>
      <c r="GK33" s="595">
        <f>IF(PeerAnalysisChartType_NonFin="Absolute",GK23,100)</f>
        <v>3.2153443895136986</v>
      </c>
      <c r="GL33" s="596">
        <f t="shared" ref="GL33:HD33" si="997">IF(PeerAnalysisChartType_NonFin="Absolute",GL23,IFERROR((GK33/GK23)*GL23,""))</f>
        <v>0</v>
      </c>
      <c r="GM33" s="596">
        <f t="shared" si="997"/>
        <v>0</v>
      </c>
      <c r="GN33" s="596">
        <f t="shared" si="997"/>
        <v>0</v>
      </c>
      <c r="GO33" s="596">
        <f t="shared" si="997"/>
        <v>0</v>
      </c>
      <c r="GP33" s="596">
        <f t="shared" si="997"/>
        <v>0</v>
      </c>
      <c r="GQ33" s="596">
        <f t="shared" si="997"/>
        <v>0</v>
      </c>
      <c r="GR33" s="596">
        <f t="shared" si="997"/>
        <v>0</v>
      </c>
      <c r="GS33" s="596">
        <f t="shared" si="997"/>
        <v>0</v>
      </c>
      <c r="GT33" s="596">
        <f t="shared" si="997"/>
        <v>0</v>
      </c>
      <c r="GU33" s="596">
        <f t="shared" si="997"/>
        <v>0</v>
      </c>
      <c r="GV33" s="596">
        <f t="shared" si="997"/>
        <v>0</v>
      </c>
      <c r="GW33" s="596">
        <f t="shared" si="997"/>
        <v>0</v>
      </c>
      <c r="GX33" s="596">
        <f t="shared" si="997"/>
        <v>0</v>
      </c>
      <c r="GY33" s="596">
        <f t="shared" si="997"/>
        <v>0</v>
      </c>
      <c r="GZ33" s="596">
        <f t="shared" si="997"/>
        <v>0</v>
      </c>
      <c r="HA33" s="596">
        <f t="shared" si="997"/>
        <v>0</v>
      </c>
      <c r="HB33" s="596">
        <f t="shared" si="997"/>
        <v>0</v>
      </c>
      <c r="HC33" s="596">
        <f t="shared" si="997"/>
        <v>0</v>
      </c>
      <c r="HD33" s="597">
        <f t="shared" si="997"/>
        <v>0</v>
      </c>
      <c r="HE33" s="595">
        <f>IF(PeerAnalysisChartType_NonFin="Absolute",HE23,100)</f>
        <v>32.799486956619894</v>
      </c>
      <c r="HF33" s="596">
        <f t="shared" ref="HF33:HX33" si="998">IF(PeerAnalysisChartType_NonFin="Absolute",HF23,IFERROR((HE33/HE23)*HF23,""))</f>
        <v>0</v>
      </c>
      <c r="HG33" s="596">
        <f t="shared" si="998"/>
        <v>0</v>
      </c>
      <c r="HH33" s="596">
        <f t="shared" si="998"/>
        <v>0</v>
      </c>
      <c r="HI33" s="596">
        <f t="shared" si="998"/>
        <v>0</v>
      </c>
      <c r="HJ33" s="596">
        <f t="shared" si="998"/>
        <v>0</v>
      </c>
      <c r="HK33" s="596">
        <f t="shared" si="998"/>
        <v>0</v>
      </c>
      <c r="HL33" s="596">
        <f t="shared" si="998"/>
        <v>0</v>
      </c>
      <c r="HM33" s="596">
        <f t="shared" si="998"/>
        <v>0</v>
      </c>
      <c r="HN33" s="596">
        <f t="shared" si="998"/>
        <v>0</v>
      </c>
      <c r="HO33" s="596">
        <f t="shared" si="998"/>
        <v>0</v>
      </c>
      <c r="HP33" s="596">
        <f t="shared" si="998"/>
        <v>0</v>
      </c>
      <c r="HQ33" s="596">
        <f t="shared" si="998"/>
        <v>0</v>
      </c>
      <c r="HR33" s="596">
        <f t="shared" si="998"/>
        <v>0</v>
      </c>
      <c r="HS33" s="596">
        <f t="shared" si="998"/>
        <v>0</v>
      </c>
      <c r="HT33" s="596">
        <f t="shared" si="998"/>
        <v>0</v>
      </c>
      <c r="HU33" s="596">
        <f t="shared" si="998"/>
        <v>0</v>
      </c>
      <c r="HV33" s="596">
        <f t="shared" si="998"/>
        <v>0</v>
      </c>
      <c r="HW33" s="596">
        <f t="shared" si="998"/>
        <v>0</v>
      </c>
      <c r="HX33" s="597">
        <f t="shared" si="998"/>
        <v>0</v>
      </c>
      <c r="HY33" s="595">
        <f>IF(PeerAnalysisChartType_NonFin="Absolute",HY23,100)</f>
        <v>44.413438228438231</v>
      </c>
      <c r="HZ33" s="596">
        <f t="shared" ref="HZ33:IR33" si="999">IF(PeerAnalysisChartType_NonFin="Absolute",HZ23,IFERROR((HY33/HY23)*HZ23,""))</f>
        <v>0</v>
      </c>
      <c r="IA33" s="596">
        <f t="shared" si="999"/>
        <v>0</v>
      </c>
      <c r="IB33" s="596">
        <f t="shared" si="999"/>
        <v>0</v>
      </c>
      <c r="IC33" s="596">
        <f t="shared" si="999"/>
        <v>0</v>
      </c>
      <c r="ID33" s="596">
        <f t="shared" si="999"/>
        <v>0</v>
      </c>
      <c r="IE33" s="596">
        <f t="shared" si="999"/>
        <v>0</v>
      </c>
      <c r="IF33" s="596">
        <f t="shared" si="999"/>
        <v>0</v>
      </c>
      <c r="IG33" s="596">
        <f t="shared" si="999"/>
        <v>0</v>
      </c>
      <c r="IH33" s="596">
        <f t="shared" si="999"/>
        <v>0</v>
      </c>
      <c r="II33" s="596">
        <f t="shared" si="999"/>
        <v>0</v>
      </c>
      <c r="IJ33" s="596">
        <f t="shared" si="999"/>
        <v>0</v>
      </c>
      <c r="IK33" s="596">
        <f t="shared" si="999"/>
        <v>0</v>
      </c>
      <c r="IL33" s="596">
        <f t="shared" si="999"/>
        <v>0</v>
      </c>
      <c r="IM33" s="596">
        <f t="shared" si="999"/>
        <v>0</v>
      </c>
      <c r="IN33" s="596">
        <f t="shared" si="999"/>
        <v>0</v>
      </c>
      <c r="IO33" s="596">
        <f t="shared" si="999"/>
        <v>0</v>
      </c>
      <c r="IP33" s="596">
        <f t="shared" si="999"/>
        <v>0</v>
      </c>
      <c r="IQ33" s="596">
        <f t="shared" si="999"/>
        <v>0</v>
      </c>
      <c r="IR33" s="597">
        <f t="shared" si="999"/>
        <v>0</v>
      </c>
      <c r="IS33" s="595">
        <f>IF(PeerAnalysisChartType_NonFin="Absolute",IS23,100)</f>
        <v>-1.6587934831341471</v>
      </c>
      <c r="IT33" s="596">
        <f t="shared" ref="IT33:JL33" si="1000">IF(PeerAnalysisChartType_NonFin="Absolute",IT23,IFERROR((IS33/IS23)*IT23,""))</f>
        <v>0</v>
      </c>
      <c r="IU33" s="596">
        <f t="shared" si="1000"/>
        <v>0</v>
      </c>
      <c r="IV33" s="596">
        <f t="shared" si="1000"/>
        <v>0</v>
      </c>
      <c r="IW33" s="596">
        <f t="shared" si="1000"/>
        <v>0</v>
      </c>
      <c r="IX33" s="596">
        <f t="shared" si="1000"/>
        <v>0</v>
      </c>
      <c r="IY33" s="596">
        <f t="shared" si="1000"/>
        <v>0</v>
      </c>
      <c r="IZ33" s="596">
        <f t="shared" si="1000"/>
        <v>0</v>
      </c>
      <c r="JA33" s="596">
        <f t="shared" si="1000"/>
        <v>0</v>
      </c>
      <c r="JB33" s="596">
        <f t="shared" si="1000"/>
        <v>0</v>
      </c>
      <c r="JC33" s="596">
        <f t="shared" si="1000"/>
        <v>0</v>
      </c>
      <c r="JD33" s="596">
        <f t="shared" si="1000"/>
        <v>0</v>
      </c>
      <c r="JE33" s="596">
        <f t="shared" si="1000"/>
        <v>0</v>
      </c>
      <c r="JF33" s="596">
        <f t="shared" si="1000"/>
        <v>0</v>
      </c>
      <c r="JG33" s="596">
        <f t="shared" si="1000"/>
        <v>0</v>
      </c>
      <c r="JH33" s="596">
        <f t="shared" si="1000"/>
        <v>0</v>
      </c>
      <c r="JI33" s="596">
        <f t="shared" si="1000"/>
        <v>0</v>
      </c>
      <c r="JJ33" s="596">
        <f t="shared" si="1000"/>
        <v>0</v>
      </c>
      <c r="JK33" s="596">
        <f t="shared" si="1000"/>
        <v>0</v>
      </c>
      <c r="JL33" s="597">
        <f t="shared" si="1000"/>
        <v>0</v>
      </c>
      <c r="JM33" s="698">
        <f>IF(PeerAnalysisChartType_NonFin="Absolute",JM23,100)</f>
        <v>4.711843375155108E-2</v>
      </c>
      <c r="JN33" s="696">
        <f t="shared" ref="JN33:KF33" si="1001">IF(PeerAnalysisChartType_NonFin="Absolute",JN23,IFERROR((JM33/JM23)*JN23,""))</f>
        <v>0</v>
      </c>
      <c r="JO33" s="696">
        <f t="shared" si="1001"/>
        <v>0</v>
      </c>
      <c r="JP33" s="696">
        <f t="shared" si="1001"/>
        <v>0</v>
      </c>
      <c r="JQ33" s="696">
        <f t="shared" si="1001"/>
        <v>0</v>
      </c>
      <c r="JR33" s="696">
        <f t="shared" si="1001"/>
        <v>0</v>
      </c>
      <c r="JS33" s="696">
        <f t="shared" si="1001"/>
        <v>0</v>
      </c>
      <c r="JT33" s="696">
        <f t="shared" si="1001"/>
        <v>0</v>
      </c>
      <c r="JU33" s="696">
        <f t="shared" si="1001"/>
        <v>0</v>
      </c>
      <c r="JV33" s="696">
        <f t="shared" si="1001"/>
        <v>0</v>
      </c>
      <c r="JW33" s="696">
        <f t="shared" si="1001"/>
        <v>0</v>
      </c>
      <c r="JX33" s="696">
        <f t="shared" si="1001"/>
        <v>0</v>
      </c>
      <c r="JY33" s="696">
        <f t="shared" si="1001"/>
        <v>0</v>
      </c>
      <c r="JZ33" s="696">
        <f t="shared" si="1001"/>
        <v>0</v>
      </c>
      <c r="KA33" s="696">
        <f t="shared" si="1001"/>
        <v>0</v>
      </c>
      <c r="KB33" s="696">
        <f t="shared" si="1001"/>
        <v>0</v>
      </c>
      <c r="KC33" s="696">
        <f t="shared" si="1001"/>
        <v>0</v>
      </c>
      <c r="KD33" s="696">
        <f t="shared" si="1001"/>
        <v>0</v>
      </c>
      <c r="KE33" s="696">
        <f t="shared" si="1001"/>
        <v>0</v>
      </c>
      <c r="KF33" s="697">
        <f t="shared" si="1001"/>
        <v>0</v>
      </c>
      <c r="KG33" s="301">
        <f>IF(PeerAnalysisChartType_NonFin="Absolute",KG23,100)</f>
        <v>3.2659099999999999</v>
      </c>
      <c r="KH33" s="302">
        <f t="shared" ref="KH33:KZ33" si="1002">IF(PeerAnalysisChartType_NonFin="Absolute",KH23,IFERROR((KG33/KG23)*KH23,""))</f>
        <v>0</v>
      </c>
      <c r="KI33" s="302">
        <f t="shared" si="1002"/>
        <v>0</v>
      </c>
      <c r="KJ33" s="302">
        <f t="shared" si="1002"/>
        <v>0</v>
      </c>
      <c r="KK33" s="302">
        <f t="shared" si="1002"/>
        <v>0</v>
      </c>
      <c r="KL33" s="302">
        <f t="shared" si="1002"/>
        <v>0</v>
      </c>
      <c r="KM33" s="302">
        <f t="shared" si="1002"/>
        <v>0</v>
      </c>
      <c r="KN33" s="302">
        <f t="shared" si="1002"/>
        <v>0</v>
      </c>
      <c r="KO33" s="302">
        <f t="shared" si="1002"/>
        <v>0</v>
      </c>
      <c r="KP33" s="302">
        <f t="shared" si="1002"/>
        <v>0</v>
      </c>
      <c r="KQ33" s="302">
        <f t="shared" si="1002"/>
        <v>0</v>
      </c>
      <c r="KR33" s="302">
        <f t="shared" si="1002"/>
        <v>0</v>
      </c>
      <c r="KS33" s="302">
        <f t="shared" si="1002"/>
        <v>0</v>
      </c>
      <c r="KT33" s="302">
        <f t="shared" si="1002"/>
        <v>0</v>
      </c>
      <c r="KU33" s="302">
        <f t="shared" si="1002"/>
        <v>0</v>
      </c>
      <c r="KV33" s="302">
        <f t="shared" si="1002"/>
        <v>0</v>
      </c>
      <c r="KW33" s="302">
        <f t="shared" si="1002"/>
        <v>0</v>
      </c>
      <c r="KX33" s="302">
        <f t="shared" si="1002"/>
        <v>0</v>
      </c>
      <c r="KY33" s="302">
        <f t="shared" si="1002"/>
        <v>0</v>
      </c>
      <c r="KZ33" s="303">
        <f t="shared" si="1002"/>
        <v>0</v>
      </c>
      <c r="LA33" s="301">
        <f>IF(PeerAnalysisChartType_NonFin="Absolute",LA23,100)</f>
        <v>11.128220000000001</v>
      </c>
      <c r="LB33" s="301">
        <f t="shared" ref="LB33:LT33" si="1003">IF(PeerAnalysisChartType_NonFin="Absolute",LB23,IFERROR((LA33/LA23)*LB23,""))</f>
        <v>0</v>
      </c>
      <c r="LC33" s="301">
        <f t="shared" si="1003"/>
        <v>0</v>
      </c>
      <c r="LD33" s="301">
        <f t="shared" si="1003"/>
        <v>0</v>
      </c>
      <c r="LE33" s="301">
        <f t="shared" si="1003"/>
        <v>0</v>
      </c>
      <c r="LF33" s="301">
        <f t="shared" si="1003"/>
        <v>0</v>
      </c>
      <c r="LG33" s="301">
        <f t="shared" si="1003"/>
        <v>0</v>
      </c>
      <c r="LH33" s="301">
        <f t="shared" si="1003"/>
        <v>0</v>
      </c>
      <c r="LI33" s="301">
        <f t="shared" si="1003"/>
        <v>0</v>
      </c>
      <c r="LJ33" s="301">
        <f t="shared" si="1003"/>
        <v>0</v>
      </c>
      <c r="LK33" s="301">
        <f t="shared" si="1003"/>
        <v>0</v>
      </c>
      <c r="LL33" s="301">
        <f t="shared" si="1003"/>
        <v>0</v>
      </c>
      <c r="LM33" s="301">
        <f t="shared" si="1003"/>
        <v>0</v>
      </c>
      <c r="LN33" s="301">
        <f t="shared" si="1003"/>
        <v>0</v>
      </c>
      <c r="LO33" s="301">
        <f t="shared" si="1003"/>
        <v>0</v>
      </c>
      <c r="LP33" s="301">
        <f t="shared" si="1003"/>
        <v>0</v>
      </c>
      <c r="LQ33" s="301">
        <f t="shared" si="1003"/>
        <v>0</v>
      </c>
      <c r="LR33" s="301">
        <f t="shared" si="1003"/>
        <v>0</v>
      </c>
      <c r="LS33" s="301">
        <f t="shared" si="1003"/>
        <v>0</v>
      </c>
      <c r="LT33" s="301">
        <f t="shared" si="1003"/>
        <v>0</v>
      </c>
      <c r="LU33" s="301">
        <f>IF(PeerAnalysisChartType_NonFin="Absolute",LU23,100)</f>
        <v>113.51817</v>
      </c>
      <c r="LV33" s="301">
        <f t="shared" ref="LV33:MN33" si="1004">IF(PeerAnalysisChartType_NonFin="Absolute",LV23,IFERROR((LU33/LU23)*LV23,""))</f>
        <v>0</v>
      </c>
      <c r="LW33" s="301">
        <f t="shared" si="1004"/>
        <v>0</v>
      </c>
      <c r="LX33" s="301">
        <f t="shared" si="1004"/>
        <v>0</v>
      </c>
      <c r="LY33" s="301">
        <f t="shared" si="1004"/>
        <v>0</v>
      </c>
      <c r="LZ33" s="301">
        <f t="shared" si="1004"/>
        <v>0</v>
      </c>
      <c r="MA33" s="301">
        <f t="shared" si="1004"/>
        <v>0</v>
      </c>
      <c r="MB33" s="301">
        <f t="shared" si="1004"/>
        <v>0</v>
      </c>
      <c r="MC33" s="301">
        <f t="shared" si="1004"/>
        <v>0</v>
      </c>
      <c r="MD33" s="301">
        <f t="shared" si="1004"/>
        <v>0</v>
      </c>
      <c r="ME33" s="301">
        <f t="shared" si="1004"/>
        <v>0</v>
      </c>
      <c r="MF33" s="301">
        <f t="shared" si="1004"/>
        <v>0</v>
      </c>
      <c r="MG33" s="301">
        <f t="shared" si="1004"/>
        <v>0</v>
      </c>
      <c r="MH33" s="301">
        <f t="shared" si="1004"/>
        <v>0</v>
      </c>
      <c r="MI33" s="301">
        <f t="shared" si="1004"/>
        <v>0</v>
      </c>
      <c r="MJ33" s="301">
        <f t="shared" si="1004"/>
        <v>0</v>
      </c>
      <c r="MK33" s="301">
        <f t="shared" si="1004"/>
        <v>0</v>
      </c>
      <c r="ML33" s="301">
        <f t="shared" si="1004"/>
        <v>0</v>
      </c>
      <c r="MM33" s="301">
        <f t="shared" si="1004"/>
        <v>0</v>
      </c>
      <c r="MN33" s="301">
        <f t="shared" si="1004"/>
        <v>0</v>
      </c>
      <c r="MO33" s="698">
        <f>IF(PeerAnalysisChartType_NonFin="Absolute",MO23,100)</f>
        <v>0.45402185684749435</v>
      </c>
      <c r="MP33" s="698">
        <f t="shared" ref="MP33:NH33" si="1005">IF(PeerAnalysisChartType_NonFin="Absolute",MP23,IFERROR((MO33/MO23)*MP23,""))</f>
        <v>0</v>
      </c>
      <c r="MQ33" s="698">
        <f t="shared" si="1005"/>
        <v>0</v>
      </c>
      <c r="MR33" s="698">
        <f t="shared" si="1005"/>
        <v>0</v>
      </c>
      <c r="MS33" s="698">
        <f t="shared" si="1005"/>
        <v>0</v>
      </c>
      <c r="MT33" s="698">
        <f t="shared" si="1005"/>
        <v>0</v>
      </c>
      <c r="MU33" s="698">
        <f t="shared" si="1005"/>
        <v>0</v>
      </c>
      <c r="MV33" s="698">
        <f t="shared" si="1005"/>
        <v>0</v>
      </c>
      <c r="MW33" s="698">
        <f t="shared" si="1005"/>
        <v>0</v>
      </c>
      <c r="MX33" s="698">
        <f t="shared" si="1005"/>
        <v>0</v>
      </c>
      <c r="MY33" s="698">
        <f t="shared" si="1005"/>
        <v>0</v>
      </c>
      <c r="MZ33" s="698">
        <f t="shared" si="1005"/>
        <v>0</v>
      </c>
      <c r="NA33" s="698">
        <f t="shared" si="1005"/>
        <v>0</v>
      </c>
      <c r="NB33" s="698">
        <f t="shared" si="1005"/>
        <v>0</v>
      </c>
      <c r="NC33" s="698">
        <f t="shared" si="1005"/>
        <v>0</v>
      </c>
      <c r="ND33" s="698">
        <f t="shared" si="1005"/>
        <v>0</v>
      </c>
      <c r="NE33" s="698">
        <f t="shared" si="1005"/>
        <v>0</v>
      </c>
      <c r="NF33" s="698">
        <f t="shared" si="1005"/>
        <v>0</v>
      </c>
      <c r="NG33" s="698">
        <f t="shared" si="1005"/>
        <v>0</v>
      </c>
      <c r="NH33" s="698">
        <f t="shared" si="1005"/>
        <v>0</v>
      </c>
      <c r="NI33" s="698">
        <f>IF(PeerAnalysisChartType_NonFin="Absolute",NI23,100)</f>
        <v>2.6383383310173336</v>
      </c>
      <c r="NJ33" s="698">
        <f t="shared" ref="NJ33:OB33" si="1006">IF(PeerAnalysisChartType_NonFin="Absolute",NJ23,IFERROR((NI33/NI23)*NJ23,""))</f>
        <v>0</v>
      </c>
      <c r="NK33" s="698">
        <f t="shared" si="1006"/>
        <v>0</v>
      </c>
      <c r="NL33" s="698">
        <f t="shared" si="1006"/>
        <v>0</v>
      </c>
      <c r="NM33" s="698">
        <f t="shared" si="1006"/>
        <v>0</v>
      </c>
      <c r="NN33" s="698">
        <f t="shared" si="1006"/>
        <v>0</v>
      </c>
      <c r="NO33" s="698">
        <f t="shared" si="1006"/>
        <v>0</v>
      </c>
      <c r="NP33" s="698">
        <f t="shared" si="1006"/>
        <v>0</v>
      </c>
      <c r="NQ33" s="698">
        <f t="shared" si="1006"/>
        <v>0</v>
      </c>
      <c r="NR33" s="698">
        <f t="shared" si="1006"/>
        <v>0</v>
      </c>
      <c r="NS33" s="698">
        <f t="shared" si="1006"/>
        <v>0</v>
      </c>
      <c r="NT33" s="698">
        <f t="shared" si="1006"/>
        <v>0</v>
      </c>
      <c r="NU33" s="698">
        <f t="shared" si="1006"/>
        <v>0</v>
      </c>
      <c r="NV33" s="698">
        <f t="shared" si="1006"/>
        <v>0</v>
      </c>
      <c r="NW33" s="698">
        <f t="shared" si="1006"/>
        <v>0</v>
      </c>
      <c r="NX33" s="698">
        <f t="shared" si="1006"/>
        <v>0</v>
      </c>
      <c r="NY33" s="698">
        <f t="shared" si="1006"/>
        <v>0</v>
      </c>
      <c r="NZ33" s="698">
        <f t="shared" si="1006"/>
        <v>0</v>
      </c>
      <c r="OA33" s="698">
        <f t="shared" si="1006"/>
        <v>0</v>
      </c>
      <c r="OB33" s="698">
        <f t="shared" si="1006"/>
        <v>0</v>
      </c>
      <c r="OC33" s="698">
        <f>IF(PeerAnalysisChartType_NonFin="Absolute",OC23,100)</f>
        <v>8.0520399466092019E-2</v>
      </c>
      <c r="OD33" s="696">
        <f t="shared" ref="OD33:OV33" si="1007">IF(PeerAnalysisChartType_NonFin="Absolute",OD23,IFERROR((OC33/OC23)*OD23,""))</f>
        <v>0</v>
      </c>
      <c r="OE33" s="696">
        <f t="shared" si="1007"/>
        <v>0</v>
      </c>
      <c r="OF33" s="696">
        <f t="shared" si="1007"/>
        <v>0</v>
      </c>
      <c r="OG33" s="696">
        <f t="shared" si="1007"/>
        <v>0</v>
      </c>
      <c r="OH33" s="696">
        <f t="shared" si="1007"/>
        <v>0</v>
      </c>
      <c r="OI33" s="696">
        <f t="shared" si="1007"/>
        <v>0</v>
      </c>
      <c r="OJ33" s="696">
        <f t="shared" si="1007"/>
        <v>0</v>
      </c>
      <c r="OK33" s="696">
        <f t="shared" si="1007"/>
        <v>0</v>
      </c>
      <c r="OL33" s="696">
        <f t="shared" si="1007"/>
        <v>0</v>
      </c>
      <c r="OM33" s="696">
        <f t="shared" si="1007"/>
        <v>0</v>
      </c>
      <c r="ON33" s="696">
        <f t="shared" si="1007"/>
        <v>0</v>
      </c>
      <c r="OO33" s="696">
        <f t="shared" si="1007"/>
        <v>0</v>
      </c>
      <c r="OP33" s="696">
        <f t="shared" si="1007"/>
        <v>0</v>
      </c>
      <c r="OQ33" s="696">
        <f t="shared" si="1007"/>
        <v>0</v>
      </c>
      <c r="OR33" s="696">
        <f t="shared" si="1007"/>
        <v>0</v>
      </c>
      <c r="OS33" s="696">
        <f t="shared" si="1007"/>
        <v>0</v>
      </c>
      <c r="OT33" s="696">
        <f t="shared" si="1007"/>
        <v>0</v>
      </c>
      <c r="OU33" s="696">
        <f t="shared" si="1007"/>
        <v>0</v>
      </c>
      <c r="OV33" s="697">
        <f t="shared" si="1007"/>
        <v>0</v>
      </c>
      <c r="OW33" s="698">
        <f>IF(PeerAnalysisChartType_NonFin="Absolute",OW23,100)</f>
        <v>0.17159895128262248</v>
      </c>
      <c r="OX33" s="696">
        <f t="shared" ref="OX33:PP33" si="1008">IF(PeerAnalysisChartType_NonFin="Absolute",OX23,IFERROR((OW33/OW23)*OX23,""))</f>
        <v>0</v>
      </c>
      <c r="OY33" s="696">
        <f t="shared" si="1008"/>
        <v>0</v>
      </c>
      <c r="OZ33" s="696">
        <f t="shared" si="1008"/>
        <v>0</v>
      </c>
      <c r="PA33" s="696">
        <f t="shared" si="1008"/>
        <v>0</v>
      </c>
      <c r="PB33" s="696">
        <f t="shared" si="1008"/>
        <v>0</v>
      </c>
      <c r="PC33" s="696">
        <f t="shared" si="1008"/>
        <v>0</v>
      </c>
      <c r="PD33" s="696">
        <f t="shared" si="1008"/>
        <v>0</v>
      </c>
      <c r="PE33" s="696">
        <f t="shared" si="1008"/>
        <v>0</v>
      </c>
      <c r="PF33" s="696">
        <f t="shared" si="1008"/>
        <v>0</v>
      </c>
      <c r="PG33" s="696">
        <f t="shared" si="1008"/>
        <v>0</v>
      </c>
      <c r="PH33" s="696">
        <f t="shared" si="1008"/>
        <v>0</v>
      </c>
      <c r="PI33" s="696">
        <f t="shared" si="1008"/>
        <v>0</v>
      </c>
      <c r="PJ33" s="696">
        <f t="shared" si="1008"/>
        <v>0</v>
      </c>
      <c r="PK33" s="696">
        <f t="shared" si="1008"/>
        <v>0</v>
      </c>
      <c r="PL33" s="696">
        <f t="shared" si="1008"/>
        <v>0</v>
      </c>
      <c r="PM33" s="696">
        <f t="shared" si="1008"/>
        <v>0</v>
      </c>
      <c r="PN33" s="696">
        <f t="shared" si="1008"/>
        <v>0</v>
      </c>
      <c r="PO33" s="696">
        <f t="shared" si="1008"/>
        <v>0</v>
      </c>
      <c r="PP33" s="697">
        <f t="shared" si="1008"/>
        <v>0</v>
      </c>
      <c r="PQ33" s="301">
        <f>IF(PeerAnalysisChartType_NonFin="Absolute",PQ23,100)</f>
        <v>2.9411552736838313</v>
      </c>
      <c r="PR33" s="302">
        <f t="shared" ref="PR33:QJ33" si="1009">IF(PeerAnalysisChartType_NonFin="Absolute",PR23,IFERROR((PQ33/PQ23)*PR23,""))</f>
        <v>0</v>
      </c>
      <c r="PS33" s="302">
        <f t="shared" si="1009"/>
        <v>0</v>
      </c>
      <c r="PT33" s="302">
        <f t="shared" si="1009"/>
        <v>0</v>
      </c>
      <c r="PU33" s="302">
        <f t="shared" si="1009"/>
        <v>0</v>
      </c>
      <c r="PV33" s="302">
        <f t="shared" si="1009"/>
        <v>0</v>
      </c>
      <c r="PW33" s="302">
        <f t="shared" si="1009"/>
        <v>0</v>
      </c>
      <c r="PX33" s="302">
        <f t="shared" si="1009"/>
        <v>0</v>
      </c>
      <c r="PY33" s="302">
        <f t="shared" si="1009"/>
        <v>0</v>
      </c>
      <c r="PZ33" s="302">
        <f t="shared" si="1009"/>
        <v>0</v>
      </c>
      <c r="QA33" s="302">
        <f t="shared" si="1009"/>
        <v>0</v>
      </c>
      <c r="QB33" s="302">
        <f t="shared" si="1009"/>
        <v>0</v>
      </c>
      <c r="QC33" s="302">
        <f t="shared" si="1009"/>
        <v>0</v>
      </c>
      <c r="QD33" s="302">
        <f t="shared" si="1009"/>
        <v>0</v>
      </c>
      <c r="QE33" s="302">
        <f t="shared" si="1009"/>
        <v>0</v>
      </c>
      <c r="QF33" s="302">
        <f t="shared" si="1009"/>
        <v>0</v>
      </c>
      <c r="QG33" s="302">
        <f t="shared" si="1009"/>
        <v>0</v>
      </c>
      <c r="QH33" s="302">
        <f t="shared" si="1009"/>
        <v>0</v>
      </c>
      <c r="QI33" s="302">
        <f t="shared" si="1009"/>
        <v>0</v>
      </c>
      <c r="QJ33" s="303">
        <f t="shared" si="1009"/>
        <v>0</v>
      </c>
      <c r="QK33" s="698">
        <f>IF(PeerAnalysisChartType_NonFin="Absolute",QK23,100)</f>
        <v>2.5555175599324246E-2</v>
      </c>
      <c r="QL33" s="696">
        <f t="shared" ref="QL33:RD33" si="1010">IF(PeerAnalysisChartType_NonFin="Absolute",QL23,IFERROR((QK33/QK23)*QL23,""))</f>
        <v>0</v>
      </c>
      <c r="QM33" s="696">
        <f t="shared" si="1010"/>
        <v>0</v>
      </c>
      <c r="QN33" s="696">
        <f t="shared" si="1010"/>
        <v>0</v>
      </c>
      <c r="QO33" s="696">
        <f t="shared" si="1010"/>
        <v>0</v>
      </c>
      <c r="QP33" s="696">
        <f t="shared" si="1010"/>
        <v>0</v>
      </c>
      <c r="QQ33" s="696">
        <f t="shared" si="1010"/>
        <v>0</v>
      </c>
      <c r="QR33" s="696">
        <f t="shared" si="1010"/>
        <v>0</v>
      </c>
      <c r="QS33" s="696">
        <f t="shared" si="1010"/>
        <v>0</v>
      </c>
      <c r="QT33" s="696">
        <f t="shared" si="1010"/>
        <v>0</v>
      </c>
      <c r="QU33" s="696">
        <f t="shared" si="1010"/>
        <v>0</v>
      </c>
      <c r="QV33" s="696">
        <f t="shared" si="1010"/>
        <v>0</v>
      </c>
      <c r="QW33" s="696">
        <f t="shared" si="1010"/>
        <v>0</v>
      </c>
      <c r="QX33" s="696">
        <f t="shared" si="1010"/>
        <v>0</v>
      </c>
      <c r="QY33" s="696">
        <f t="shared" si="1010"/>
        <v>0</v>
      </c>
      <c r="QZ33" s="696">
        <f t="shared" si="1010"/>
        <v>0</v>
      </c>
      <c r="RA33" s="696">
        <f t="shared" si="1010"/>
        <v>0</v>
      </c>
      <c r="RB33" s="696">
        <f t="shared" si="1010"/>
        <v>0</v>
      </c>
      <c r="RC33" s="696">
        <f t="shared" si="1010"/>
        <v>0</v>
      </c>
      <c r="RD33" s="697">
        <f t="shared" si="1010"/>
        <v>0</v>
      </c>
      <c r="RE33" s="698">
        <f>IF(PeerAnalysisChartType_NonFin="Absolute",RE23,100)</f>
        <v>0.2918767670290594</v>
      </c>
      <c r="RF33" s="696">
        <f t="shared" ref="RF33:RX33" si="1011">IF(PeerAnalysisChartType_NonFin="Absolute",RF23,IFERROR((RE33/RE23)*RF23,""))</f>
        <v>0</v>
      </c>
      <c r="RG33" s="696">
        <f t="shared" si="1011"/>
        <v>0</v>
      </c>
      <c r="RH33" s="696">
        <f t="shared" si="1011"/>
        <v>0</v>
      </c>
      <c r="RI33" s="696">
        <f t="shared" si="1011"/>
        <v>0</v>
      </c>
      <c r="RJ33" s="696">
        <f t="shared" si="1011"/>
        <v>0</v>
      </c>
      <c r="RK33" s="696">
        <f t="shared" si="1011"/>
        <v>0</v>
      </c>
      <c r="RL33" s="696">
        <f t="shared" si="1011"/>
        <v>0</v>
      </c>
      <c r="RM33" s="696">
        <f t="shared" si="1011"/>
        <v>0</v>
      </c>
      <c r="RN33" s="696">
        <f t="shared" si="1011"/>
        <v>0</v>
      </c>
      <c r="RO33" s="696">
        <f t="shared" si="1011"/>
        <v>0</v>
      </c>
      <c r="RP33" s="696">
        <f t="shared" si="1011"/>
        <v>0</v>
      </c>
      <c r="RQ33" s="696">
        <f t="shared" si="1011"/>
        <v>0</v>
      </c>
      <c r="RR33" s="696">
        <f t="shared" si="1011"/>
        <v>0</v>
      </c>
      <c r="RS33" s="696">
        <f t="shared" si="1011"/>
        <v>0</v>
      </c>
      <c r="RT33" s="696">
        <f t="shared" si="1011"/>
        <v>0</v>
      </c>
      <c r="RU33" s="696">
        <f t="shared" si="1011"/>
        <v>0</v>
      </c>
      <c r="RV33" s="696">
        <f t="shared" si="1011"/>
        <v>0</v>
      </c>
      <c r="RW33" s="696">
        <f t="shared" si="1011"/>
        <v>0</v>
      </c>
      <c r="RX33" s="697">
        <f t="shared" si="1011"/>
        <v>0</v>
      </c>
      <c r="RY33" s="698">
        <f>IF(PeerAnalysisChartType_NonFin="Absolute",RY23,100)</f>
        <v>0.40076878638403768</v>
      </c>
      <c r="RZ33" s="696">
        <f t="shared" ref="RZ33:SR33" si="1012">IF(PeerAnalysisChartType_NonFin="Absolute",RZ23,IFERROR((RY33/RY23)*RZ23,""))</f>
        <v>0</v>
      </c>
      <c r="SA33" s="696">
        <f t="shared" si="1012"/>
        <v>0</v>
      </c>
      <c r="SB33" s="696">
        <f t="shared" si="1012"/>
        <v>0</v>
      </c>
      <c r="SC33" s="696">
        <f t="shared" si="1012"/>
        <v>0</v>
      </c>
      <c r="SD33" s="696">
        <f t="shared" si="1012"/>
        <v>0</v>
      </c>
      <c r="SE33" s="696">
        <f t="shared" si="1012"/>
        <v>0</v>
      </c>
      <c r="SF33" s="696">
        <f t="shared" si="1012"/>
        <v>0</v>
      </c>
      <c r="SG33" s="696">
        <f t="shared" si="1012"/>
        <v>0</v>
      </c>
      <c r="SH33" s="696">
        <f t="shared" si="1012"/>
        <v>0</v>
      </c>
      <c r="SI33" s="696">
        <f t="shared" si="1012"/>
        <v>0</v>
      </c>
      <c r="SJ33" s="696">
        <f t="shared" si="1012"/>
        <v>0</v>
      </c>
      <c r="SK33" s="696">
        <f t="shared" si="1012"/>
        <v>0</v>
      </c>
      <c r="SL33" s="696">
        <f t="shared" si="1012"/>
        <v>0</v>
      </c>
      <c r="SM33" s="696">
        <f t="shared" si="1012"/>
        <v>0</v>
      </c>
      <c r="SN33" s="696">
        <f t="shared" si="1012"/>
        <v>0</v>
      </c>
      <c r="SO33" s="696">
        <f t="shared" si="1012"/>
        <v>0</v>
      </c>
      <c r="SP33" s="696">
        <f t="shared" si="1012"/>
        <v>0</v>
      </c>
      <c r="SQ33" s="696">
        <f t="shared" si="1012"/>
        <v>0</v>
      </c>
      <c r="SR33" s="697">
        <f t="shared" si="1012"/>
        <v>0</v>
      </c>
      <c r="SS33" s="698">
        <f>IF(PeerAnalysisChartType_NonFin="Absolute",SS23,100)</f>
        <v>0.24626221966647499</v>
      </c>
      <c r="ST33" s="696">
        <f t="shared" ref="ST33:TL33" si="1013">IF(PeerAnalysisChartType_NonFin="Absolute",ST23,IFERROR((SS33/SS23)*ST23,""))</f>
        <v>0</v>
      </c>
      <c r="SU33" s="696">
        <f t="shared" si="1013"/>
        <v>0</v>
      </c>
      <c r="SV33" s="696">
        <f t="shared" si="1013"/>
        <v>0</v>
      </c>
      <c r="SW33" s="696">
        <f t="shared" si="1013"/>
        <v>0</v>
      </c>
      <c r="SX33" s="696">
        <f t="shared" si="1013"/>
        <v>0</v>
      </c>
      <c r="SY33" s="696">
        <f t="shared" si="1013"/>
        <v>0</v>
      </c>
      <c r="SZ33" s="696">
        <f t="shared" si="1013"/>
        <v>0</v>
      </c>
      <c r="TA33" s="696">
        <f t="shared" si="1013"/>
        <v>0</v>
      </c>
      <c r="TB33" s="696">
        <f t="shared" si="1013"/>
        <v>0</v>
      </c>
      <c r="TC33" s="696">
        <f t="shared" si="1013"/>
        <v>0</v>
      </c>
      <c r="TD33" s="696">
        <f t="shared" si="1013"/>
        <v>0</v>
      </c>
      <c r="TE33" s="696">
        <f t="shared" si="1013"/>
        <v>0</v>
      </c>
      <c r="TF33" s="696">
        <f t="shared" si="1013"/>
        <v>0</v>
      </c>
      <c r="TG33" s="696">
        <f t="shared" si="1013"/>
        <v>0</v>
      </c>
      <c r="TH33" s="696">
        <f t="shared" si="1013"/>
        <v>0</v>
      </c>
      <c r="TI33" s="696">
        <f t="shared" si="1013"/>
        <v>0</v>
      </c>
      <c r="TJ33" s="696">
        <f t="shared" si="1013"/>
        <v>0</v>
      </c>
      <c r="TK33" s="696">
        <f t="shared" si="1013"/>
        <v>0</v>
      </c>
      <c r="TL33" s="697">
        <f t="shared" si="1013"/>
        <v>0</v>
      </c>
      <c r="TM33" s="304">
        <f>IF(PeerAnalysisChartType_NonFin="Absolute",TM23,100)</f>
        <v>705152.77777777775</v>
      </c>
      <c r="TN33" s="305">
        <f t="shared" ref="TN33:UF33" si="1014">IF(PeerAnalysisChartType_NonFin="Absolute",TN23,IFERROR((TM33/TM23)*TN23,""))</f>
        <v>0</v>
      </c>
      <c r="TO33" s="305">
        <f t="shared" si="1014"/>
        <v>0</v>
      </c>
      <c r="TP33" s="305">
        <f t="shared" si="1014"/>
        <v>0</v>
      </c>
      <c r="TQ33" s="305">
        <f t="shared" si="1014"/>
        <v>0</v>
      </c>
      <c r="TR33" s="305">
        <f t="shared" si="1014"/>
        <v>0</v>
      </c>
      <c r="TS33" s="305">
        <f t="shared" si="1014"/>
        <v>0</v>
      </c>
      <c r="TT33" s="305">
        <f t="shared" si="1014"/>
        <v>0</v>
      </c>
      <c r="TU33" s="305">
        <f t="shared" si="1014"/>
        <v>0</v>
      </c>
      <c r="TV33" s="305">
        <f t="shared" si="1014"/>
        <v>0</v>
      </c>
      <c r="TW33" s="305">
        <f t="shared" si="1014"/>
        <v>0</v>
      </c>
      <c r="TX33" s="305">
        <f t="shared" si="1014"/>
        <v>0</v>
      </c>
      <c r="TY33" s="305">
        <f t="shared" si="1014"/>
        <v>0</v>
      </c>
      <c r="TZ33" s="305">
        <f t="shared" si="1014"/>
        <v>0</v>
      </c>
      <c r="UA33" s="305">
        <f t="shared" si="1014"/>
        <v>0</v>
      </c>
      <c r="UB33" s="305">
        <f t="shared" si="1014"/>
        <v>0</v>
      </c>
      <c r="UC33" s="305">
        <f t="shared" si="1014"/>
        <v>0</v>
      </c>
      <c r="UD33" s="305">
        <f t="shared" si="1014"/>
        <v>0</v>
      </c>
      <c r="UE33" s="305">
        <f t="shared" si="1014"/>
        <v>0</v>
      </c>
      <c r="UF33" s="306">
        <f t="shared" si="1014"/>
        <v>0</v>
      </c>
      <c r="UG33" s="304">
        <f>IF(PeerAnalysisChartType_NonFin="Absolute",UG23,100)</f>
        <v>63548.611111111109</v>
      </c>
      <c r="UH33" s="305">
        <f t="shared" ref="UH33:UZ33" si="1015">IF(PeerAnalysisChartType_NonFin="Absolute",UH23,IFERROR((UG33/UG23)*UH23,""))</f>
        <v>0</v>
      </c>
      <c r="UI33" s="305">
        <f t="shared" si="1015"/>
        <v>0</v>
      </c>
      <c r="UJ33" s="305">
        <f t="shared" si="1015"/>
        <v>0</v>
      </c>
      <c r="UK33" s="305">
        <f t="shared" si="1015"/>
        <v>0</v>
      </c>
      <c r="UL33" s="305">
        <f t="shared" si="1015"/>
        <v>0</v>
      </c>
      <c r="UM33" s="305">
        <f t="shared" si="1015"/>
        <v>0</v>
      </c>
      <c r="UN33" s="305">
        <f t="shared" si="1015"/>
        <v>0</v>
      </c>
      <c r="UO33" s="305">
        <f t="shared" si="1015"/>
        <v>0</v>
      </c>
      <c r="UP33" s="305">
        <f t="shared" si="1015"/>
        <v>0</v>
      </c>
      <c r="UQ33" s="305">
        <f t="shared" si="1015"/>
        <v>0</v>
      </c>
      <c r="UR33" s="305">
        <f t="shared" si="1015"/>
        <v>0</v>
      </c>
      <c r="US33" s="305">
        <f t="shared" si="1015"/>
        <v>0</v>
      </c>
      <c r="UT33" s="305">
        <f t="shared" si="1015"/>
        <v>0</v>
      </c>
      <c r="UU33" s="305">
        <f t="shared" si="1015"/>
        <v>0</v>
      </c>
      <c r="UV33" s="305">
        <f t="shared" si="1015"/>
        <v>0</v>
      </c>
      <c r="UW33" s="305">
        <f t="shared" si="1015"/>
        <v>0</v>
      </c>
      <c r="UX33" s="305">
        <f t="shared" si="1015"/>
        <v>0</v>
      </c>
      <c r="UY33" s="305">
        <f t="shared" si="1015"/>
        <v>0</v>
      </c>
      <c r="UZ33" s="306">
        <f t="shared" si="1015"/>
        <v>0</v>
      </c>
      <c r="VA33" s="304">
        <f>IF(PeerAnalysisChartType_NonFin="Absolute",VA23,100)</f>
        <v>63284.722222222219</v>
      </c>
      <c r="VB33" s="305">
        <f t="shared" ref="VB33:VT33" si="1016">IF(PeerAnalysisChartType_NonFin="Absolute",VB23,IFERROR((VA33/VA23)*VB23,""))</f>
        <v>0</v>
      </c>
      <c r="VC33" s="305">
        <f t="shared" si="1016"/>
        <v>0</v>
      </c>
      <c r="VD33" s="305">
        <f t="shared" si="1016"/>
        <v>0</v>
      </c>
      <c r="VE33" s="305">
        <f t="shared" si="1016"/>
        <v>0</v>
      </c>
      <c r="VF33" s="305">
        <f t="shared" si="1016"/>
        <v>0</v>
      </c>
      <c r="VG33" s="305">
        <f t="shared" si="1016"/>
        <v>0</v>
      </c>
      <c r="VH33" s="305">
        <f t="shared" si="1016"/>
        <v>0</v>
      </c>
      <c r="VI33" s="305">
        <f t="shared" si="1016"/>
        <v>0</v>
      </c>
      <c r="VJ33" s="305">
        <f t="shared" si="1016"/>
        <v>0</v>
      </c>
      <c r="VK33" s="305">
        <f t="shared" si="1016"/>
        <v>0</v>
      </c>
      <c r="VL33" s="305">
        <f t="shared" si="1016"/>
        <v>0</v>
      </c>
      <c r="VM33" s="305">
        <f t="shared" si="1016"/>
        <v>0</v>
      </c>
      <c r="VN33" s="305">
        <f t="shared" si="1016"/>
        <v>0</v>
      </c>
      <c r="VO33" s="305">
        <f t="shared" si="1016"/>
        <v>0</v>
      </c>
      <c r="VP33" s="305">
        <f t="shared" si="1016"/>
        <v>0</v>
      </c>
      <c r="VQ33" s="305">
        <f t="shared" si="1016"/>
        <v>0</v>
      </c>
      <c r="VR33" s="305">
        <f t="shared" si="1016"/>
        <v>0</v>
      </c>
      <c r="VS33" s="305">
        <f t="shared" si="1016"/>
        <v>0</v>
      </c>
      <c r="VT33" s="306">
        <f t="shared" si="1016"/>
        <v>0</v>
      </c>
      <c r="VU33" s="304">
        <f>IF(PeerAnalysisChartType_NonFin="Absolute",VU23,100)</f>
        <v>0</v>
      </c>
      <c r="VV33" s="305">
        <f t="shared" ref="VV33:WN33" si="1017">IF(PeerAnalysisChartType_NonFin="Absolute",VV23,IFERROR((VU33/VU23)*VV23,""))</f>
        <v>0</v>
      </c>
      <c r="VW33" s="305">
        <f t="shared" si="1017"/>
        <v>0</v>
      </c>
      <c r="VX33" s="305">
        <f t="shared" si="1017"/>
        <v>0</v>
      </c>
      <c r="VY33" s="305">
        <f t="shared" si="1017"/>
        <v>0</v>
      </c>
      <c r="VZ33" s="305">
        <f t="shared" si="1017"/>
        <v>0</v>
      </c>
      <c r="WA33" s="305">
        <f t="shared" si="1017"/>
        <v>0</v>
      </c>
      <c r="WB33" s="305">
        <f t="shared" si="1017"/>
        <v>0</v>
      </c>
      <c r="WC33" s="305">
        <f t="shared" si="1017"/>
        <v>0</v>
      </c>
      <c r="WD33" s="305">
        <f t="shared" si="1017"/>
        <v>0</v>
      </c>
      <c r="WE33" s="305">
        <f t="shared" si="1017"/>
        <v>0</v>
      </c>
      <c r="WF33" s="305">
        <f t="shared" si="1017"/>
        <v>0</v>
      </c>
      <c r="WG33" s="305">
        <f t="shared" si="1017"/>
        <v>0</v>
      </c>
      <c r="WH33" s="305">
        <f t="shared" si="1017"/>
        <v>0</v>
      </c>
      <c r="WI33" s="305">
        <f t="shared" si="1017"/>
        <v>0</v>
      </c>
      <c r="WJ33" s="305">
        <f t="shared" si="1017"/>
        <v>0</v>
      </c>
      <c r="WK33" s="305">
        <f t="shared" si="1017"/>
        <v>0</v>
      </c>
      <c r="WL33" s="305">
        <f t="shared" si="1017"/>
        <v>0</v>
      </c>
      <c r="WM33" s="305">
        <f t="shared" si="1017"/>
        <v>0</v>
      </c>
      <c r="WN33" s="306">
        <f t="shared" si="1017"/>
        <v>0</v>
      </c>
      <c r="WO33" s="304">
        <f>IF(PeerAnalysisChartType_NonFin="Absolute",WO23,100)</f>
        <v>567.70000000000005</v>
      </c>
      <c r="WP33" s="305">
        <f t="shared" ref="WP33" si="1018">IF(PeerAnalysisChartType_NonFin="Absolute",WP23,IFERROR((WO33/WO23)*WP23,""))</f>
        <v>0</v>
      </c>
      <c r="WQ33" s="305">
        <f t="shared" ref="WQ33" si="1019">IF(PeerAnalysisChartType_NonFin="Absolute",WQ23,IFERROR((WP33/WP23)*WQ23,""))</f>
        <v>0</v>
      </c>
      <c r="WR33" s="305">
        <f t="shared" ref="WR33" si="1020">IF(PeerAnalysisChartType_NonFin="Absolute",WR23,IFERROR((WQ33/WQ23)*WR23,""))</f>
        <v>0</v>
      </c>
      <c r="WS33" s="305">
        <f t="shared" ref="WS33" si="1021">IF(PeerAnalysisChartType_NonFin="Absolute",WS23,IFERROR((WR33/WR23)*WS23,""))</f>
        <v>0</v>
      </c>
      <c r="WT33" s="305">
        <f t="shared" ref="WT33" si="1022">IF(PeerAnalysisChartType_NonFin="Absolute",WT23,IFERROR((WS33/WS23)*WT23,""))</f>
        <v>0</v>
      </c>
      <c r="WU33" s="305">
        <f t="shared" ref="WU33" si="1023">IF(PeerAnalysisChartType_NonFin="Absolute",WU23,IFERROR((WT33/WT23)*WU23,""))</f>
        <v>0</v>
      </c>
      <c r="WV33" s="305">
        <f t="shared" ref="WV33" si="1024">IF(PeerAnalysisChartType_NonFin="Absolute",WV23,IFERROR((WU33/WU23)*WV23,""))</f>
        <v>0</v>
      </c>
      <c r="WW33" s="305">
        <f t="shared" ref="WW33" si="1025">IF(PeerAnalysisChartType_NonFin="Absolute",WW23,IFERROR((WV33/WV23)*WW23,""))</f>
        <v>0</v>
      </c>
      <c r="WX33" s="305">
        <f t="shared" ref="WX33" si="1026">IF(PeerAnalysisChartType_NonFin="Absolute",WX23,IFERROR((WW33/WW23)*WX23,""))</f>
        <v>0</v>
      </c>
      <c r="WY33" s="305">
        <f t="shared" ref="WY33" si="1027">IF(PeerAnalysisChartType_NonFin="Absolute",WY23,IFERROR((WX33/WX23)*WY23,""))</f>
        <v>0</v>
      </c>
      <c r="WZ33" s="305">
        <f t="shared" ref="WZ33" si="1028">IF(PeerAnalysisChartType_NonFin="Absolute",WZ23,IFERROR((WY33/WY23)*WZ23,""))</f>
        <v>0</v>
      </c>
      <c r="XA33" s="305">
        <f t="shared" ref="XA33" si="1029">IF(PeerAnalysisChartType_NonFin="Absolute",XA23,IFERROR((WZ33/WZ23)*XA23,""))</f>
        <v>0</v>
      </c>
      <c r="XB33" s="305">
        <f t="shared" ref="XB33" si="1030">IF(PeerAnalysisChartType_NonFin="Absolute",XB23,IFERROR((XA33/XA23)*XB23,""))</f>
        <v>0</v>
      </c>
      <c r="XC33" s="305">
        <f t="shared" ref="XC33" si="1031">IF(PeerAnalysisChartType_NonFin="Absolute",XC23,IFERROR((XB33/XB23)*XC23,""))</f>
        <v>0</v>
      </c>
      <c r="XD33" s="305">
        <f t="shared" ref="XD33" si="1032">IF(PeerAnalysisChartType_NonFin="Absolute",XD23,IFERROR((XC33/XC23)*XD23,""))</f>
        <v>0</v>
      </c>
      <c r="XE33" s="305">
        <f t="shared" ref="XE33" si="1033">IF(PeerAnalysisChartType_NonFin="Absolute",XE23,IFERROR((XD33/XD23)*XE23,""))</f>
        <v>0</v>
      </c>
      <c r="XF33" s="305">
        <f t="shared" ref="XF33" si="1034">IF(PeerAnalysisChartType_NonFin="Absolute",XF23,IFERROR((XE33/XE23)*XF23,""))</f>
        <v>0</v>
      </c>
      <c r="XG33" s="305">
        <f t="shared" ref="XG33" si="1035">IF(PeerAnalysisChartType_NonFin="Absolute",XG23,IFERROR((XF33/XF23)*XG23,""))</f>
        <v>0</v>
      </c>
      <c r="XH33" s="306">
        <f t="shared" ref="XH33" si="1036">IF(PeerAnalysisChartType_NonFin="Absolute",XH23,IFERROR((XG33/XG23)*XH23,""))</f>
        <v>0</v>
      </c>
      <c r="XI33" s="698">
        <f>IF(PeerAnalysisChartType_NonFin="Absolute",XI23,100)</f>
        <v>0.174377</v>
      </c>
      <c r="XJ33" s="696">
        <f t="shared" ref="XJ33" si="1037">IF(PeerAnalysisChartType_NonFin="Absolute",XJ23,IFERROR((XI33/XI23)*XJ23,""))</f>
        <v>0</v>
      </c>
      <c r="XK33" s="696">
        <f t="shared" ref="XK33" si="1038">IF(PeerAnalysisChartType_NonFin="Absolute",XK23,IFERROR((XJ33/XJ23)*XK23,""))</f>
        <v>0</v>
      </c>
      <c r="XL33" s="696">
        <f t="shared" ref="XL33" si="1039">IF(PeerAnalysisChartType_NonFin="Absolute",XL23,IFERROR((XK33/XK23)*XL23,""))</f>
        <v>0</v>
      </c>
      <c r="XM33" s="696">
        <f t="shared" ref="XM33" si="1040">IF(PeerAnalysisChartType_NonFin="Absolute",XM23,IFERROR((XL33/XL23)*XM23,""))</f>
        <v>0</v>
      </c>
      <c r="XN33" s="696">
        <f t="shared" ref="XN33" si="1041">IF(PeerAnalysisChartType_NonFin="Absolute",XN23,IFERROR((XM33/XM23)*XN23,""))</f>
        <v>0</v>
      </c>
      <c r="XO33" s="696">
        <f t="shared" ref="XO33" si="1042">IF(PeerAnalysisChartType_NonFin="Absolute",XO23,IFERROR((XN33/XN23)*XO23,""))</f>
        <v>0</v>
      </c>
      <c r="XP33" s="696">
        <f t="shared" ref="XP33" si="1043">IF(PeerAnalysisChartType_NonFin="Absolute",XP23,IFERROR((XO33/XO23)*XP23,""))</f>
        <v>0</v>
      </c>
      <c r="XQ33" s="696">
        <f t="shared" ref="XQ33" si="1044">IF(PeerAnalysisChartType_NonFin="Absolute",XQ23,IFERROR((XP33/XP23)*XQ23,""))</f>
        <v>0</v>
      </c>
      <c r="XR33" s="696">
        <f t="shared" ref="XR33" si="1045">IF(PeerAnalysisChartType_NonFin="Absolute",XR23,IFERROR((XQ33/XQ23)*XR23,""))</f>
        <v>0</v>
      </c>
      <c r="XS33" s="696">
        <f t="shared" ref="XS33" si="1046">IF(PeerAnalysisChartType_NonFin="Absolute",XS23,IFERROR((XR33/XR23)*XS23,""))</f>
        <v>0</v>
      </c>
      <c r="XT33" s="696">
        <f t="shared" ref="XT33" si="1047">IF(PeerAnalysisChartType_NonFin="Absolute",XT23,IFERROR((XS33/XS23)*XT23,""))</f>
        <v>0</v>
      </c>
      <c r="XU33" s="696">
        <f t="shared" ref="XU33" si="1048">IF(PeerAnalysisChartType_NonFin="Absolute",XU23,IFERROR((XT33/XT23)*XU23,""))</f>
        <v>0</v>
      </c>
      <c r="XV33" s="696">
        <f t="shared" ref="XV33" si="1049">IF(PeerAnalysisChartType_NonFin="Absolute",XV23,IFERROR((XU33/XU23)*XV23,""))</f>
        <v>0</v>
      </c>
      <c r="XW33" s="696">
        <f t="shared" ref="XW33" si="1050">IF(PeerAnalysisChartType_NonFin="Absolute",XW23,IFERROR((XV33/XV23)*XW23,""))</f>
        <v>0</v>
      </c>
      <c r="XX33" s="696">
        <f t="shared" ref="XX33" si="1051">IF(PeerAnalysisChartType_NonFin="Absolute",XX23,IFERROR((XW33/XW23)*XX23,""))</f>
        <v>0</v>
      </c>
      <c r="XY33" s="696">
        <f t="shared" ref="XY33" si="1052">IF(PeerAnalysisChartType_NonFin="Absolute",XY23,IFERROR((XX33/XX23)*XY23,""))</f>
        <v>0</v>
      </c>
      <c r="XZ33" s="696">
        <f t="shared" ref="XZ33" si="1053">IF(PeerAnalysisChartType_NonFin="Absolute",XZ23,IFERROR((XY33/XY23)*XZ23,""))</f>
        <v>0</v>
      </c>
      <c r="YA33" s="696">
        <f t="shared" ref="YA33" si="1054">IF(PeerAnalysisChartType_NonFin="Absolute",YA23,IFERROR((XZ33/XZ23)*YA23,""))</f>
        <v>0</v>
      </c>
      <c r="YB33" s="697">
        <f t="shared" ref="YB33" si="1055">IF(PeerAnalysisChartType_NonFin="Absolute",YB23,IFERROR((YA33/YA23)*YB23,""))</f>
        <v>0</v>
      </c>
      <c r="YC33" s="304">
        <f>IF(PeerAnalysisChartType_NonFin="Absolute",YC23,100)</f>
        <v>452202.47408999997</v>
      </c>
      <c r="YD33" s="305">
        <f t="shared" ref="YD33" si="1056">IF(PeerAnalysisChartType_NonFin="Absolute",YD23,IFERROR((YC33/YC23)*YD23,""))</f>
        <v>0</v>
      </c>
      <c r="YE33" s="305">
        <f t="shared" ref="YE33" si="1057">IF(PeerAnalysisChartType_NonFin="Absolute",YE23,IFERROR((YD33/YD23)*YE23,""))</f>
        <v>0</v>
      </c>
      <c r="YF33" s="305">
        <f t="shared" ref="YF33" si="1058">IF(PeerAnalysisChartType_NonFin="Absolute",YF23,IFERROR((YE33/YE23)*YF23,""))</f>
        <v>0</v>
      </c>
      <c r="YG33" s="305">
        <f t="shared" ref="YG33" si="1059">IF(PeerAnalysisChartType_NonFin="Absolute",YG23,IFERROR((YF33/YF23)*YG23,""))</f>
        <v>0</v>
      </c>
      <c r="YH33" s="305">
        <f t="shared" ref="YH33" si="1060">IF(PeerAnalysisChartType_NonFin="Absolute",YH23,IFERROR((YG33/YG23)*YH23,""))</f>
        <v>0</v>
      </c>
      <c r="YI33" s="305">
        <f t="shared" ref="YI33" si="1061">IF(PeerAnalysisChartType_NonFin="Absolute",YI23,IFERROR((YH33/YH23)*YI23,""))</f>
        <v>0</v>
      </c>
      <c r="YJ33" s="305">
        <f t="shared" ref="YJ33" si="1062">IF(PeerAnalysisChartType_NonFin="Absolute",YJ23,IFERROR((YI33/YI23)*YJ23,""))</f>
        <v>0</v>
      </c>
      <c r="YK33" s="305">
        <f t="shared" ref="YK33" si="1063">IF(PeerAnalysisChartType_NonFin="Absolute",YK23,IFERROR((YJ33/YJ23)*YK23,""))</f>
        <v>0</v>
      </c>
      <c r="YL33" s="305">
        <f t="shared" ref="YL33" si="1064">IF(PeerAnalysisChartType_NonFin="Absolute",YL23,IFERROR((YK33/YK23)*YL23,""))</f>
        <v>0</v>
      </c>
      <c r="YM33" s="305">
        <f t="shared" ref="YM33" si="1065">IF(PeerAnalysisChartType_NonFin="Absolute",YM23,IFERROR((YL33/YL23)*YM23,""))</f>
        <v>0</v>
      </c>
      <c r="YN33" s="305">
        <f t="shared" ref="YN33" si="1066">IF(PeerAnalysisChartType_NonFin="Absolute",YN23,IFERROR((YM33/YM23)*YN23,""))</f>
        <v>0</v>
      </c>
      <c r="YO33" s="305">
        <f t="shared" ref="YO33" si="1067">IF(PeerAnalysisChartType_NonFin="Absolute",YO23,IFERROR((YN33/YN23)*YO23,""))</f>
        <v>0</v>
      </c>
      <c r="YP33" s="305">
        <f t="shared" ref="YP33" si="1068">IF(PeerAnalysisChartType_NonFin="Absolute",YP23,IFERROR((YO33/YO23)*YP23,""))</f>
        <v>0</v>
      </c>
      <c r="YQ33" s="305">
        <f t="shared" ref="YQ33" si="1069">IF(PeerAnalysisChartType_NonFin="Absolute",YQ23,IFERROR((YP33/YP23)*YQ23,""))</f>
        <v>0</v>
      </c>
      <c r="YR33" s="305">
        <f t="shared" ref="YR33" si="1070">IF(PeerAnalysisChartType_NonFin="Absolute",YR23,IFERROR((YQ33/YQ23)*YR23,""))</f>
        <v>0</v>
      </c>
      <c r="YS33" s="305">
        <f t="shared" ref="YS33" si="1071">IF(PeerAnalysisChartType_NonFin="Absolute",YS23,IFERROR((YR33/YR23)*YS23,""))</f>
        <v>0</v>
      </c>
      <c r="YT33" s="305">
        <f t="shared" ref="YT33" si="1072">IF(PeerAnalysisChartType_NonFin="Absolute",YT23,IFERROR((YS33/YS23)*YT23,""))</f>
        <v>0</v>
      </c>
      <c r="YU33" s="305">
        <f t="shared" ref="YU33" si="1073">IF(PeerAnalysisChartType_NonFin="Absolute",YU23,IFERROR((YT33/YT23)*YU23,""))</f>
        <v>0</v>
      </c>
      <c r="YV33" s="306">
        <f t="shared" ref="YV33" si="1074">IF(PeerAnalysisChartType_NonFin="Absolute",YV23,IFERROR((YU33/YU23)*YV23,""))</f>
        <v>0</v>
      </c>
      <c r="YW33" s="698">
        <f>IF(PeerAnalysisChartType_NonFin="Absolute",YW23,100)</f>
        <v>0.62307779377886319</v>
      </c>
      <c r="YX33" s="696">
        <f t="shared" ref="YX33" si="1075">IF(PeerAnalysisChartType_NonFin="Absolute",YX23,IFERROR((YW33/YW23)*YX23,""))</f>
        <v>0</v>
      </c>
      <c r="YY33" s="696">
        <f t="shared" ref="YY33" si="1076">IF(PeerAnalysisChartType_NonFin="Absolute",YY23,IFERROR((YX33/YX23)*YY23,""))</f>
        <v>0</v>
      </c>
      <c r="YZ33" s="696">
        <f t="shared" ref="YZ33" si="1077">IF(PeerAnalysisChartType_NonFin="Absolute",YZ23,IFERROR((YY33/YY23)*YZ23,""))</f>
        <v>0</v>
      </c>
      <c r="ZA33" s="696">
        <f t="shared" ref="ZA33" si="1078">IF(PeerAnalysisChartType_NonFin="Absolute",ZA23,IFERROR((YZ33/YZ23)*ZA23,""))</f>
        <v>0</v>
      </c>
      <c r="ZB33" s="696">
        <f t="shared" ref="ZB33" si="1079">IF(PeerAnalysisChartType_NonFin="Absolute",ZB23,IFERROR((ZA33/ZA23)*ZB23,""))</f>
        <v>0</v>
      </c>
      <c r="ZC33" s="696">
        <f t="shared" ref="ZC33" si="1080">IF(PeerAnalysisChartType_NonFin="Absolute",ZC23,IFERROR((ZB33/ZB23)*ZC23,""))</f>
        <v>0</v>
      </c>
      <c r="ZD33" s="696">
        <f t="shared" ref="ZD33" si="1081">IF(PeerAnalysisChartType_NonFin="Absolute",ZD23,IFERROR((ZC33/ZC23)*ZD23,""))</f>
        <v>0</v>
      </c>
      <c r="ZE33" s="696">
        <f t="shared" ref="ZE33" si="1082">IF(PeerAnalysisChartType_NonFin="Absolute",ZE23,IFERROR((ZD33/ZD23)*ZE23,""))</f>
        <v>0</v>
      </c>
      <c r="ZF33" s="696">
        <f t="shared" ref="ZF33" si="1083">IF(PeerAnalysisChartType_NonFin="Absolute",ZF23,IFERROR((ZE33/ZE23)*ZF23,""))</f>
        <v>0</v>
      </c>
      <c r="ZG33" s="696">
        <f t="shared" ref="ZG33" si="1084">IF(PeerAnalysisChartType_NonFin="Absolute",ZG23,IFERROR((ZF33/ZF23)*ZG23,""))</f>
        <v>0</v>
      </c>
      <c r="ZH33" s="696">
        <f t="shared" ref="ZH33" si="1085">IF(PeerAnalysisChartType_NonFin="Absolute",ZH23,IFERROR((ZG33/ZG23)*ZH23,""))</f>
        <v>0</v>
      </c>
      <c r="ZI33" s="696">
        <f t="shared" ref="ZI33" si="1086">IF(PeerAnalysisChartType_NonFin="Absolute",ZI23,IFERROR((ZH33/ZH23)*ZI23,""))</f>
        <v>0</v>
      </c>
      <c r="ZJ33" s="696">
        <f t="shared" ref="ZJ33" si="1087">IF(PeerAnalysisChartType_NonFin="Absolute",ZJ23,IFERROR((ZI33/ZI23)*ZJ23,""))</f>
        <v>0</v>
      </c>
      <c r="ZK33" s="696">
        <f t="shared" ref="ZK33" si="1088">IF(PeerAnalysisChartType_NonFin="Absolute",ZK23,IFERROR((ZJ33/ZJ23)*ZK23,""))</f>
        <v>0</v>
      </c>
      <c r="ZL33" s="696">
        <f t="shared" ref="ZL33" si="1089">IF(PeerAnalysisChartType_NonFin="Absolute",ZL23,IFERROR((ZK33/ZK23)*ZL23,""))</f>
        <v>0</v>
      </c>
      <c r="ZM33" s="696">
        <f t="shared" ref="ZM33" si="1090">IF(PeerAnalysisChartType_NonFin="Absolute",ZM23,IFERROR((ZL33/ZL23)*ZM23,""))</f>
        <v>0</v>
      </c>
      <c r="ZN33" s="696">
        <f t="shared" ref="ZN33" si="1091">IF(PeerAnalysisChartType_NonFin="Absolute",ZN23,IFERROR((ZM33/ZM23)*ZN23,""))</f>
        <v>0</v>
      </c>
      <c r="ZO33" s="696">
        <f t="shared" ref="ZO33" si="1092">IF(PeerAnalysisChartType_NonFin="Absolute",ZO23,IFERROR((ZN33/ZN23)*ZO23,""))</f>
        <v>0</v>
      </c>
      <c r="ZP33" s="697">
        <f t="shared" ref="ZP33" si="1093">IF(PeerAnalysisChartType_NonFin="Absolute",ZP23,IFERROR((ZO33/ZO23)*ZP23,""))</f>
        <v>0</v>
      </c>
      <c r="ZQ33" s="698">
        <f>IF(PeerAnalysisChartType_NonFin="Absolute",ZQ23,100)</f>
        <v>0.18332936675027003</v>
      </c>
      <c r="ZR33" s="696">
        <f t="shared" ref="ZR33" si="1094">IF(PeerAnalysisChartType_NonFin="Absolute",ZR23,IFERROR((ZQ33/ZQ23)*ZR23,""))</f>
        <v>0</v>
      </c>
      <c r="ZS33" s="696">
        <f t="shared" ref="ZS33" si="1095">IF(PeerAnalysisChartType_NonFin="Absolute",ZS23,IFERROR((ZR33/ZR23)*ZS23,""))</f>
        <v>0</v>
      </c>
      <c r="ZT33" s="696">
        <f t="shared" ref="ZT33" si="1096">IF(PeerAnalysisChartType_NonFin="Absolute",ZT23,IFERROR((ZS33/ZS23)*ZT23,""))</f>
        <v>0</v>
      </c>
      <c r="ZU33" s="696">
        <f t="shared" ref="ZU33" si="1097">IF(PeerAnalysisChartType_NonFin="Absolute",ZU23,IFERROR((ZT33/ZT23)*ZU23,""))</f>
        <v>0</v>
      </c>
      <c r="ZV33" s="696">
        <f t="shared" ref="ZV33" si="1098">IF(PeerAnalysisChartType_NonFin="Absolute",ZV23,IFERROR((ZU33/ZU23)*ZV23,""))</f>
        <v>0</v>
      </c>
      <c r="ZW33" s="696">
        <f t="shared" ref="ZW33" si="1099">IF(PeerAnalysisChartType_NonFin="Absolute",ZW23,IFERROR((ZV33/ZV23)*ZW23,""))</f>
        <v>0</v>
      </c>
      <c r="ZX33" s="696">
        <f t="shared" ref="ZX33" si="1100">IF(PeerAnalysisChartType_NonFin="Absolute",ZX23,IFERROR((ZW33/ZW23)*ZX23,""))</f>
        <v>0</v>
      </c>
      <c r="ZY33" s="696">
        <f t="shared" ref="ZY33" si="1101">IF(PeerAnalysisChartType_NonFin="Absolute",ZY23,IFERROR((ZX33/ZX23)*ZY23,""))</f>
        <v>0</v>
      </c>
      <c r="ZZ33" s="696">
        <f t="shared" ref="ZZ33" si="1102">IF(PeerAnalysisChartType_NonFin="Absolute",ZZ23,IFERROR((ZY33/ZY23)*ZZ23,""))</f>
        <v>0</v>
      </c>
      <c r="AAA33" s="696">
        <f t="shared" ref="AAA33" si="1103">IF(PeerAnalysisChartType_NonFin="Absolute",AAA23,IFERROR((ZZ33/ZZ23)*AAA23,""))</f>
        <v>0</v>
      </c>
      <c r="AAB33" s="696">
        <f t="shared" ref="AAB33" si="1104">IF(PeerAnalysisChartType_NonFin="Absolute",AAB23,IFERROR((AAA33/AAA23)*AAB23,""))</f>
        <v>0</v>
      </c>
      <c r="AAC33" s="696">
        <f t="shared" ref="AAC33" si="1105">IF(PeerAnalysisChartType_NonFin="Absolute",AAC23,IFERROR((AAB33/AAB23)*AAC23,""))</f>
        <v>0</v>
      </c>
      <c r="AAD33" s="696">
        <f t="shared" ref="AAD33" si="1106">IF(PeerAnalysisChartType_NonFin="Absolute",AAD23,IFERROR((AAC33/AAC23)*AAD23,""))</f>
        <v>0</v>
      </c>
      <c r="AAE33" s="696">
        <f t="shared" ref="AAE33" si="1107">IF(PeerAnalysisChartType_NonFin="Absolute",AAE23,IFERROR((AAD33/AAD23)*AAE23,""))</f>
        <v>0</v>
      </c>
      <c r="AAF33" s="696">
        <f t="shared" ref="AAF33" si="1108">IF(PeerAnalysisChartType_NonFin="Absolute",AAF23,IFERROR((AAE33/AAE23)*AAF23,""))</f>
        <v>0</v>
      </c>
      <c r="AAG33" s="696">
        <f t="shared" ref="AAG33" si="1109">IF(PeerAnalysisChartType_NonFin="Absolute",AAG23,IFERROR((AAF33/AAF23)*AAG23,""))</f>
        <v>0</v>
      </c>
      <c r="AAH33" s="696">
        <f t="shared" ref="AAH33" si="1110">IF(PeerAnalysisChartType_NonFin="Absolute",AAH23,IFERROR((AAG33/AAG23)*AAH23,""))</f>
        <v>0</v>
      </c>
      <c r="AAI33" s="696">
        <f t="shared" ref="AAI33" si="1111">IF(PeerAnalysisChartType_NonFin="Absolute",AAI23,IFERROR((AAH33/AAH23)*AAI23,""))</f>
        <v>0</v>
      </c>
      <c r="AAJ33" s="697">
        <f t="shared" ref="AAJ33" si="1112">IF(PeerAnalysisChartType_NonFin="Absolute",AAJ23,IFERROR((AAI33/AAI23)*AAJ23,""))</f>
        <v>0</v>
      </c>
      <c r="AAK33" s="621">
        <f>IF(PeerAnalysisChartType_NonFin="Absolute",AAK23,100)</f>
        <v>8.5492915095311695</v>
      </c>
      <c r="AAL33" s="622">
        <f t="shared" ref="AAL33" si="1113">IF(PeerAnalysisChartType_NonFin="Absolute",AAL23,IFERROR((AAK33/AAK23)*AAL23,""))</f>
        <v>0</v>
      </c>
      <c r="AAM33" s="622">
        <f t="shared" ref="AAM33" si="1114">IF(PeerAnalysisChartType_NonFin="Absolute",AAM23,IFERROR((AAL33/AAL23)*AAM23,""))</f>
        <v>0</v>
      </c>
      <c r="AAN33" s="622">
        <f t="shared" ref="AAN33" si="1115">IF(PeerAnalysisChartType_NonFin="Absolute",AAN23,IFERROR((AAM33/AAM23)*AAN23,""))</f>
        <v>0</v>
      </c>
      <c r="AAO33" s="622">
        <f t="shared" ref="AAO33" si="1116">IF(PeerAnalysisChartType_NonFin="Absolute",AAO23,IFERROR((AAN33/AAN23)*AAO23,""))</f>
        <v>0</v>
      </c>
      <c r="AAP33" s="622">
        <f t="shared" ref="AAP33" si="1117">IF(PeerAnalysisChartType_NonFin="Absolute",AAP23,IFERROR((AAO33/AAO23)*AAP23,""))</f>
        <v>0</v>
      </c>
      <c r="AAQ33" s="622">
        <f t="shared" ref="AAQ33" si="1118">IF(PeerAnalysisChartType_NonFin="Absolute",AAQ23,IFERROR((AAP33/AAP23)*AAQ23,""))</f>
        <v>0</v>
      </c>
      <c r="AAR33" s="622">
        <f t="shared" ref="AAR33" si="1119">IF(PeerAnalysisChartType_NonFin="Absolute",AAR23,IFERROR((AAQ33/AAQ23)*AAR23,""))</f>
        <v>0</v>
      </c>
      <c r="AAS33" s="622">
        <f t="shared" ref="AAS33" si="1120">IF(PeerAnalysisChartType_NonFin="Absolute",AAS23,IFERROR((AAR33/AAR23)*AAS23,""))</f>
        <v>0</v>
      </c>
      <c r="AAT33" s="622">
        <f t="shared" ref="AAT33" si="1121">IF(PeerAnalysisChartType_NonFin="Absolute",AAT23,IFERROR((AAS33/AAS23)*AAT23,""))</f>
        <v>0</v>
      </c>
      <c r="AAU33" s="622">
        <f t="shared" ref="AAU33" si="1122">IF(PeerAnalysisChartType_NonFin="Absolute",AAU23,IFERROR((AAT33/AAT23)*AAU23,""))</f>
        <v>0</v>
      </c>
      <c r="AAV33" s="622">
        <f t="shared" ref="AAV33" si="1123">IF(PeerAnalysisChartType_NonFin="Absolute",AAV23,IFERROR((AAU33/AAU23)*AAV23,""))</f>
        <v>0</v>
      </c>
      <c r="AAW33" s="622">
        <f t="shared" ref="AAW33" si="1124">IF(PeerAnalysisChartType_NonFin="Absolute",AAW23,IFERROR((AAV33/AAV23)*AAW23,""))</f>
        <v>0</v>
      </c>
      <c r="AAX33" s="622">
        <f t="shared" ref="AAX33" si="1125">IF(PeerAnalysisChartType_NonFin="Absolute",AAX23,IFERROR((AAW33/AAW23)*AAX23,""))</f>
        <v>0</v>
      </c>
      <c r="AAY33" s="622">
        <f t="shared" ref="AAY33" si="1126">IF(PeerAnalysisChartType_NonFin="Absolute",AAY23,IFERROR((AAX33/AAX23)*AAY23,""))</f>
        <v>0</v>
      </c>
      <c r="AAZ33" s="622">
        <f t="shared" ref="AAZ33" si="1127">IF(PeerAnalysisChartType_NonFin="Absolute",AAZ23,IFERROR((AAY33/AAY23)*AAZ23,""))</f>
        <v>0</v>
      </c>
      <c r="ABA33" s="622">
        <f t="shared" ref="ABA33" si="1128">IF(PeerAnalysisChartType_NonFin="Absolute",ABA23,IFERROR((AAZ33/AAZ23)*ABA23,""))</f>
        <v>0</v>
      </c>
      <c r="ABB33" s="622">
        <f t="shared" ref="ABB33" si="1129">IF(PeerAnalysisChartType_NonFin="Absolute",ABB23,IFERROR((ABA33/ABA23)*ABB23,""))</f>
        <v>0</v>
      </c>
      <c r="ABC33" s="622">
        <f t="shared" ref="ABC33" si="1130">IF(PeerAnalysisChartType_NonFin="Absolute",ABC23,IFERROR((ABB33/ABB23)*ABC23,""))</f>
        <v>0</v>
      </c>
      <c r="ABD33" s="623">
        <f t="shared" ref="ABD33" si="1131">IF(PeerAnalysisChartType_NonFin="Absolute",ABD23,IFERROR((ABC33/ABC23)*ABD23,""))</f>
        <v>0</v>
      </c>
      <c r="ABE33" s="698">
        <f>IF(PeerAnalysisChartType_NonFin="Absolute",ABE23,100)</f>
        <v>0.95004600859667476</v>
      </c>
      <c r="ABF33" s="696">
        <f t="shared" ref="ABF33" si="1132">IF(PeerAnalysisChartType_NonFin="Absolute",ABF23,IFERROR((ABE33/ABE23)*ABF23,""))</f>
        <v>0</v>
      </c>
      <c r="ABG33" s="696">
        <f t="shared" ref="ABG33" si="1133">IF(PeerAnalysisChartType_NonFin="Absolute",ABG23,IFERROR((ABF33/ABF23)*ABG23,""))</f>
        <v>0</v>
      </c>
      <c r="ABH33" s="696">
        <f t="shared" ref="ABH33" si="1134">IF(PeerAnalysisChartType_NonFin="Absolute",ABH23,IFERROR((ABG33/ABG23)*ABH23,""))</f>
        <v>0</v>
      </c>
      <c r="ABI33" s="696">
        <f t="shared" ref="ABI33" si="1135">IF(PeerAnalysisChartType_NonFin="Absolute",ABI23,IFERROR((ABH33/ABH23)*ABI23,""))</f>
        <v>0</v>
      </c>
      <c r="ABJ33" s="696">
        <f t="shared" ref="ABJ33" si="1136">IF(PeerAnalysisChartType_NonFin="Absolute",ABJ23,IFERROR((ABI33/ABI23)*ABJ23,""))</f>
        <v>0</v>
      </c>
      <c r="ABK33" s="696">
        <f t="shared" ref="ABK33" si="1137">IF(PeerAnalysisChartType_NonFin="Absolute",ABK23,IFERROR((ABJ33/ABJ23)*ABK23,""))</f>
        <v>0</v>
      </c>
      <c r="ABL33" s="696">
        <f t="shared" ref="ABL33" si="1138">IF(PeerAnalysisChartType_NonFin="Absolute",ABL23,IFERROR((ABK33/ABK23)*ABL23,""))</f>
        <v>0</v>
      </c>
      <c r="ABM33" s="696">
        <f t="shared" ref="ABM33" si="1139">IF(PeerAnalysisChartType_NonFin="Absolute",ABM23,IFERROR((ABL33/ABL23)*ABM23,""))</f>
        <v>0</v>
      </c>
      <c r="ABN33" s="696">
        <f t="shared" ref="ABN33" si="1140">IF(PeerAnalysisChartType_NonFin="Absolute",ABN23,IFERROR((ABM33/ABM23)*ABN23,""))</f>
        <v>0</v>
      </c>
      <c r="ABO33" s="696">
        <f t="shared" ref="ABO33" si="1141">IF(PeerAnalysisChartType_NonFin="Absolute",ABO23,IFERROR((ABN33/ABN23)*ABO23,""))</f>
        <v>0</v>
      </c>
      <c r="ABP33" s="696">
        <f t="shared" ref="ABP33" si="1142">IF(PeerAnalysisChartType_NonFin="Absolute",ABP23,IFERROR((ABO33/ABO23)*ABP23,""))</f>
        <v>0</v>
      </c>
      <c r="ABQ33" s="696">
        <f t="shared" ref="ABQ33" si="1143">IF(PeerAnalysisChartType_NonFin="Absolute",ABQ23,IFERROR((ABP33/ABP23)*ABQ23,""))</f>
        <v>0</v>
      </c>
      <c r="ABR33" s="696">
        <f t="shared" ref="ABR33" si="1144">IF(PeerAnalysisChartType_NonFin="Absolute",ABR23,IFERROR((ABQ33/ABQ23)*ABR23,""))</f>
        <v>0</v>
      </c>
      <c r="ABS33" s="696">
        <f t="shared" ref="ABS33" si="1145">IF(PeerAnalysisChartType_NonFin="Absolute",ABS23,IFERROR((ABR33/ABR23)*ABS23,""))</f>
        <v>0</v>
      </c>
      <c r="ABT33" s="696">
        <f t="shared" ref="ABT33" si="1146">IF(PeerAnalysisChartType_NonFin="Absolute",ABT23,IFERROR((ABS33/ABS23)*ABT23,""))</f>
        <v>0</v>
      </c>
      <c r="ABU33" s="696">
        <f t="shared" ref="ABU33" si="1147">IF(PeerAnalysisChartType_NonFin="Absolute",ABU23,IFERROR((ABT33/ABT23)*ABU23,""))</f>
        <v>0</v>
      </c>
      <c r="ABV33" s="696">
        <f t="shared" ref="ABV33" si="1148">IF(PeerAnalysisChartType_NonFin="Absolute",ABV23,IFERROR((ABU33/ABU23)*ABV23,""))</f>
        <v>0</v>
      </c>
      <c r="ABW33" s="696">
        <f t="shared" ref="ABW33" si="1149">IF(PeerAnalysisChartType_NonFin="Absolute",ABW23,IFERROR((ABV33/ABV23)*ABW23,""))</f>
        <v>0</v>
      </c>
      <c r="ABX33" s="697">
        <f t="shared" ref="ABX33" si="1150">IF(PeerAnalysisChartType_NonFin="Absolute",ABX23,IFERROR((ABW33/ABW23)*ABX23,""))</f>
        <v>0</v>
      </c>
      <c r="ABY33" s="301">
        <f>IF(PeerAnalysisChartType_NonFin="Absolute",ABY23,100)</f>
        <v>7.8315599999999996</v>
      </c>
      <c r="ABZ33" s="302">
        <f t="shared" ref="ABZ33" si="1151">IF(PeerAnalysisChartType_NonFin="Absolute",ABZ23,IFERROR((ABY33/ABY23)*ABZ23,""))</f>
        <v>0</v>
      </c>
      <c r="ACA33" s="302">
        <f t="shared" ref="ACA33" si="1152">IF(PeerAnalysisChartType_NonFin="Absolute",ACA23,IFERROR((ABZ33/ABZ23)*ACA23,""))</f>
        <v>0</v>
      </c>
      <c r="ACB33" s="302">
        <f t="shared" ref="ACB33" si="1153">IF(PeerAnalysisChartType_NonFin="Absolute",ACB23,IFERROR((ACA33/ACA23)*ACB23,""))</f>
        <v>0</v>
      </c>
      <c r="ACC33" s="302">
        <f t="shared" ref="ACC33" si="1154">IF(PeerAnalysisChartType_NonFin="Absolute",ACC23,IFERROR((ACB33/ACB23)*ACC23,""))</f>
        <v>0</v>
      </c>
      <c r="ACD33" s="302">
        <f t="shared" ref="ACD33" si="1155">IF(PeerAnalysisChartType_NonFin="Absolute",ACD23,IFERROR((ACC33/ACC23)*ACD23,""))</f>
        <v>0</v>
      </c>
      <c r="ACE33" s="302">
        <f t="shared" ref="ACE33" si="1156">IF(PeerAnalysisChartType_NonFin="Absolute",ACE23,IFERROR((ACD33/ACD23)*ACE23,""))</f>
        <v>0</v>
      </c>
      <c r="ACF33" s="302">
        <f t="shared" ref="ACF33" si="1157">IF(PeerAnalysisChartType_NonFin="Absolute",ACF23,IFERROR((ACE33/ACE23)*ACF23,""))</f>
        <v>0</v>
      </c>
      <c r="ACG33" s="302">
        <f t="shared" ref="ACG33" si="1158">IF(PeerAnalysisChartType_NonFin="Absolute",ACG23,IFERROR((ACF33/ACF23)*ACG23,""))</f>
        <v>0</v>
      </c>
      <c r="ACH33" s="302">
        <f t="shared" ref="ACH33" si="1159">IF(PeerAnalysisChartType_NonFin="Absolute",ACH23,IFERROR((ACG33/ACG23)*ACH23,""))</f>
        <v>0</v>
      </c>
      <c r="ACI33" s="302">
        <f t="shared" ref="ACI33" si="1160">IF(PeerAnalysisChartType_NonFin="Absolute",ACI23,IFERROR((ACH33/ACH23)*ACI23,""))</f>
        <v>0</v>
      </c>
      <c r="ACJ33" s="302">
        <f t="shared" ref="ACJ33" si="1161">IF(PeerAnalysisChartType_NonFin="Absolute",ACJ23,IFERROR((ACI33/ACI23)*ACJ23,""))</f>
        <v>0</v>
      </c>
      <c r="ACK33" s="302">
        <f t="shared" ref="ACK33" si="1162">IF(PeerAnalysisChartType_NonFin="Absolute",ACK23,IFERROR((ACJ33/ACJ23)*ACK23,""))</f>
        <v>0</v>
      </c>
      <c r="ACL33" s="302">
        <f t="shared" ref="ACL33" si="1163">IF(PeerAnalysisChartType_NonFin="Absolute",ACL23,IFERROR((ACK33/ACK23)*ACL23,""))</f>
        <v>0</v>
      </c>
      <c r="ACM33" s="302">
        <f t="shared" ref="ACM33" si="1164">IF(PeerAnalysisChartType_NonFin="Absolute",ACM23,IFERROR((ACL33/ACL23)*ACM23,""))</f>
        <v>0</v>
      </c>
      <c r="ACN33" s="302">
        <f t="shared" ref="ACN33" si="1165">IF(PeerAnalysisChartType_NonFin="Absolute",ACN23,IFERROR((ACM33/ACM23)*ACN23,""))</f>
        <v>0</v>
      </c>
      <c r="ACO33" s="302">
        <f t="shared" ref="ACO33" si="1166">IF(PeerAnalysisChartType_NonFin="Absolute",ACO23,IFERROR((ACN33/ACN23)*ACO23,""))</f>
        <v>0</v>
      </c>
      <c r="ACP33" s="302">
        <f t="shared" ref="ACP33" si="1167">IF(PeerAnalysisChartType_NonFin="Absolute",ACP23,IFERROR((ACO33/ACO23)*ACP23,""))</f>
        <v>0</v>
      </c>
      <c r="ACQ33" s="302">
        <f t="shared" ref="ACQ33" si="1168">IF(PeerAnalysisChartType_NonFin="Absolute",ACQ23,IFERROR((ACP33/ACP23)*ACQ23,""))</f>
        <v>0</v>
      </c>
      <c r="ACR33" s="303">
        <f t="shared" ref="ACR33" si="1169">IF(PeerAnalysisChartType_NonFin="Absolute",ACR23,IFERROR((ACQ33/ACQ23)*ACR23,""))</f>
        <v>0</v>
      </c>
    </row>
    <row r="34" spans="1:772" x14ac:dyDescent="0.2">
      <c r="A34" s="25" t="s">
        <v>1088</v>
      </c>
      <c r="G34" s="289">
        <f>IFERROR(QUARTILE(G$7:G$17,1),"")</f>
        <v>0.20729256403063814</v>
      </c>
      <c r="H34" s="289">
        <f>IFERROR(QUARTILE(H$7:H$17,1),"")</f>
        <v>6.2461749999999996E-2</v>
      </c>
      <c r="I34" s="289">
        <f t="shared" ref="I34:L34" si="1170">IFERROR(QUARTILE(I$7:I$17,1),"")</f>
        <v>0.15765475000000001</v>
      </c>
      <c r="J34" s="289">
        <f t="shared" si="1170"/>
        <v>5.1313000000000004E-2</v>
      </c>
      <c r="K34" s="289">
        <f t="shared" si="1170"/>
        <v>4.0135999999999998E-2</v>
      </c>
      <c r="L34" s="289">
        <f t="shared" si="1170"/>
        <v>2.4460250000000003E-2</v>
      </c>
      <c r="M34" s="289">
        <f>IFERROR(QUARTILE(M$7:M$17,3),"")</f>
        <v>0.84234499908374572</v>
      </c>
      <c r="N34" s="289">
        <f t="shared" ref="N34:R34" si="1171">IFERROR(QUARTILE(N$7:N$17,3),"")</f>
        <v>0.16017083957010611</v>
      </c>
      <c r="O34" s="289">
        <f t="shared" si="1171"/>
        <v>0.17621100000000001</v>
      </c>
      <c r="P34" s="289">
        <f t="shared" si="1171"/>
        <v>0</v>
      </c>
      <c r="Q34" s="288">
        <f t="shared" si="1171"/>
        <v>4.4400730232560974</v>
      </c>
      <c r="R34" s="288">
        <f t="shared" si="1171"/>
        <v>39.912758933434375</v>
      </c>
      <c r="S34" s="288">
        <f t="shared" ref="S34" si="1172">IFERROR(QUARTILE(S$7:S$17,1),"")</f>
        <v>34.5637689963227</v>
      </c>
      <c r="T34" s="288">
        <f t="shared" ref="T34" si="1173">IFERROR(QUARTILE(T$7:T$12,3),"")</f>
        <v>3.2226168056240843</v>
      </c>
      <c r="U34" s="289">
        <f>IFERROR(QUARTILE(U$7:U$17,1),"")</f>
        <v>6.459802297016537E-2</v>
      </c>
      <c r="V34" s="289">
        <f>IFERROR(QUARTILE(V$7:V$17,1),"")</f>
        <v>0.11065940226885451</v>
      </c>
      <c r="W34" s="289">
        <f>IFERROR(QUARTILE(W$7:W$17,1),"")</f>
        <v>0.1906554910584401</v>
      </c>
      <c r="X34" s="288">
        <f t="shared" ref="X34:Y34" si="1174">IFERROR(QUARTILE(X$7:X$17,1),"")</f>
        <v>2.6181874999999999</v>
      </c>
      <c r="Y34" s="288">
        <f t="shared" si="1174"/>
        <v>5.8711074999999999</v>
      </c>
      <c r="Z34" s="289">
        <f>IFERROR(QUARTILE(Z$7:Z$17,1),"")</f>
        <v>4.3475609404466695E-2</v>
      </c>
      <c r="AA34" s="288">
        <f>IFERROR(QUARTILE(AA$7:AA$17,3),"")</f>
        <v>3.1716107877277868</v>
      </c>
      <c r="AB34" s="289">
        <f>IFERROR(QUARTILE(AB$7:AB$17,1),"")</f>
        <v>3.3327251935873853E-2</v>
      </c>
      <c r="AC34" s="289">
        <f t="shared" ref="AC34" si="1175">IFERROR(QUARTILE(AC$7:AC$17,3),"")</f>
        <v>0.25283572267587495</v>
      </c>
      <c r="AD34" s="288">
        <f t="shared" ref="AD34:AE34" si="1176">IFERROR(QUARTILE(AD$7:AD$17,1),"")</f>
        <v>5.2232975000000001</v>
      </c>
      <c r="AE34" s="290">
        <f t="shared" si="1176"/>
        <v>0.56671749999999999</v>
      </c>
    </row>
    <row r="35" spans="1:772" x14ac:dyDescent="0.2">
      <c r="A35" s="25" t="s">
        <v>1089</v>
      </c>
      <c r="G35" s="289">
        <f>IFERROR(QUARTILE(G$7:G$17,3),"")</f>
        <v>0.47576919272619511</v>
      </c>
      <c r="H35" s="289">
        <f>IFERROR(QUARTILE(H$7:H$17,3),"")</f>
        <v>0.13873124999999997</v>
      </c>
      <c r="I35" s="289">
        <f t="shared" ref="I35:L35" si="1177">IFERROR(QUARTILE(I$7:I$17,3),"")</f>
        <v>0.21987625000000002</v>
      </c>
      <c r="J35" s="289">
        <f t="shared" si="1177"/>
        <v>5.9705000000000001E-2</v>
      </c>
      <c r="K35" s="289">
        <f t="shared" si="1177"/>
        <v>4.3574000000000002E-2</v>
      </c>
      <c r="L35" s="289">
        <f t="shared" si="1177"/>
        <v>2.563675E-2</v>
      </c>
      <c r="M35" s="289">
        <f>IFERROR(QUARTILE(M$7:M$17,1),"")</f>
        <v>0.78012344311007964</v>
      </c>
      <c r="N35" s="289">
        <f t="shared" ref="N35:R35" si="1178">IFERROR(QUARTILE(N$7:N$17,1),"")</f>
        <v>0.10634140860021872</v>
      </c>
      <c r="O35" s="289">
        <f t="shared" si="1178"/>
        <v>0.117247</v>
      </c>
      <c r="P35" s="289">
        <f t="shared" si="1178"/>
        <v>0</v>
      </c>
      <c r="Q35" s="288">
        <f t="shared" si="1178"/>
        <v>3.8911448075195763</v>
      </c>
      <c r="R35" s="288">
        <f t="shared" si="1178"/>
        <v>33.414500576526898</v>
      </c>
      <c r="S35" s="288">
        <f t="shared" ref="S35" si="1179">IFERROR(QUARTILE(S$7:S$17,3),"")</f>
        <v>41.130215151066388</v>
      </c>
      <c r="T35" s="288">
        <f t="shared" ref="T35" si="1180">IFERROR(QUARTILE(T$7:T$12,1),"")</f>
        <v>2.7418763877237753</v>
      </c>
      <c r="U35" s="289">
        <f>IFERROR(QUARTILE(U$7:U$17,3),"")</f>
        <v>8.3828571359446186E-2</v>
      </c>
      <c r="V35" s="289">
        <f>IFERROR(QUARTILE(V$7:V$17,3),"")</f>
        <v>0.15962874315335487</v>
      </c>
      <c r="W35" s="289">
        <f>IFERROR(QUARTILE(W$7:W$17,3),"")</f>
        <v>0.2671432073550753</v>
      </c>
      <c r="X35" s="288">
        <f t="shared" ref="X35:Y35" si="1181">IFERROR(QUARTILE(X$7:X$17,3),"")</f>
        <v>3.2481624999999998</v>
      </c>
      <c r="Y35" s="288">
        <f t="shared" si="1181"/>
        <v>7.3153225000000006</v>
      </c>
      <c r="Z35" s="289">
        <f>IFERROR(QUARTILE(Z$7:Z$17,3),"")</f>
        <v>4.5989181335333758E-2</v>
      </c>
      <c r="AA35" s="288">
        <f>IFERROR(QUARTILE(AA$7:AA$17,1),"")</f>
        <v>3.0179737783651497</v>
      </c>
      <c r="AB35" s="289">
        <f>IFERROR(QUARTILE(AB$7:AB$17,3),"")</f>
        <v>3.4697183373382783E-2</v>
      </c>
      <c r="AC35" s="289">
        <f t="shared" ref="AC35" si="1182">IFERROR(QUARTILE(AC$7:AC$17,1),"")</f>
        <v>0.24973523820306345</v>
      </c>
      <c r="AD35" s="288">
        <f t="shared" ref="AD35:AE35" si="1183">IFERROR(QUARTILE(AD$7:AD$17,3),"")</f>
        <v>6.2555125</v>
      </c>
      <c r="AE35" s="290">
        <f t="shared" si="1183"/>
        <v>0.63007249999999992</v>
      </c>
    </row>
    <row r="41" spans="1:772" x14ac:dyDescent="0.2">
      <c r="A41" s="48"/>
      <c r="B41" s="48"/>
      <c r="C41" s="48"/>
      <c r="D41" s="48"/>
      <c r="E41" s="48"/>
    </row>
    <row r="42" spans="1:772" x14ac:dyDescent="0.2">
      <c r="A42" s="727" t="s">
        <v>1106</v>
      </c>
      <c r="B42" s="728"/>
      <c r="C42" s="728"/>
      <c r="D42" s="729"/>
      <c r="E42" s="48"/>
    </row>
    <row r="43" spans="1:772" x14ac:dyDescent="0.2">
      <c r="A43" s="725" t="s">
        <v>1108</v>
      </c>
      <c r="B43" s="726" t="s">
        <v>89</v>
      </c>
      <c r="C43" s="726" t="s">
        <v>196</v>
      </c>
      <c r="D43" s="726" t="s">
        <v>1107</v>
      </c>
      <c r="E43" s="48"/>
    </row>
    <row r="44" spans="1:772" x14ac:dyDescent="0.2">
      <c r="A44" s="723">
        <v>1</v>
      </c>
      <c r="B44" s="724">
        <f t="shared" ref="B44:B54" si="1184">IF(A44="","",IF(OR(INDEX($BA$7:$BT$24,A44,NumberOfPeriods)="", INDEX($OW$7:$PD$24,A44,NumberOfPeriods)="",INDEX($EW$7:$FP$24,A44,NumberOfPeriods)=""),NA(),INDEX($BA$7:$BT$24,A44,NumberOfPeriods)))</f>
        <v>6.3900999999999999E-2</v>
      </c>
      <c r="C44" s="724">
        <f t="shared" ref="C44:C54" si="1185">IF(A44="","",IF(OR(INDEX($OW$7:$PD$24,A44,NumberOfPeriods)="", INDEX($BA$7:$BT$24,A44,NumberOfPeriods)=""),NA(),INDEX($OW$7:$PD$24,A44,NumberOfPeriods)))</f>
        <v>8.514741658578398E-2</v>
      </c>
      <c r="D44" s="724">
        <f t="shared" ref="D44:D54" si="1186">IF(A44="","",IF(OR(INDEX($EW$7:$FP$24,A44,NumberOfPeriods)="", INDEX($BA$7:$BT$24,A44,NumberOfPeriods)=""), NA(),INDEX($EW$7:$FP$24,A44,NumberOfPeriods)))</f>
        <v>0.20569299999999999</v>
      </c>
      <c r="E44" s="48"/>
    </row>
    <row r="45" spans="1:772" x14ac:dyDescent="0.2">
      <c r="A45" s="723">
        <f t="shared" ref="A45:A54" si="1187">IF(A44="","",IF(A44&lt;=NumberOfPeers,A44+1, ""))</f>
        <v>2</v>
      </c>
      <c r="B45" s="724">
        <f t="shared" si="1184"/>
        <v>4.6349999999999995E-2</v>
      </c>
      <c r="C45" s="724">
        <f t="shared" si="1185"/>
        <v>0.17159895128262248</v>
      </c>
      <c r="D45" s="724">
        <f t="shared" si="1186"/>
        <v>8.9746000000000006E-2</v>
      </c>
      <c r="E45" s="48"/>
    </row>
    <row r="46" spans="1:772" x14ac:dyDescent="0.2">
      <c r="A46" s="723" t="str">
        <f t="shared" si="1187"/>
        <v/>
      </c>
      <c r="B46" s="724" t="str">
        <f t="shared" si="1184"/>
        <v/>
      </c>
      <c r="C46" s="724" t="str">
        <f t="shared" si="1185"/>
        <v/>
      </c>
      <c r="D46" s="724" t="str">
        <f t="shared" si="1186"/>
        <v/>
      </c>
      <c r="E46" s="48"/>
    </row>
    <row r="47" spans="1:772" x14ac:dyDescent="0.2">
      <c r="A47" s="723" t="str">
        <f t="shared" si="1187"/>
        <v/>
      </c>
      <c r="B47" s="724" t="str">
        <f t="shared" si="1184"/>
        <v/>
      </c>
      <c r="C47" s="724" t="str">
        <f t="shared" si="1185"/>
        <v/>
      </c>
      <c r="D47" s="724" t="str">
        <f t="shared" si="1186"/>
        <v/>
      </c>
      <c r="E47" s="48"/>
    </row>
    <row r="48" spans="1:772" x14ac:dyDescent="0.2">
      <c r="A48" s="723" t="str">
        <f t="shared" si="1187"/>
        <v/>
      </c>
      <c r="B48" s="724" t="str">
        <f t="shared" si="1184"/>
        <v/>
      </c>
      <c r="C48" s="724" t="str">
        <f t="shared" si="1185"/>
        <v/>
      </c>
      <c r="D48" s="724" t="str">
        <f t="shared" si="1186"/>
        <v/>
      </c>
      <c r="E48" s="48"/>
    </row>
    <row r="49" spans="1:7" x14ac:dyDescent="0.2">
      <c r="A49" s="723" t="str">
        <f t="shared" si="1187"/>
        <v/>
      </c>
      <c r="B49" s="724" t="str">
        <f t="shared" si="1184"/>
        <v/>
      </c>
      <c r="C49" s="724" t="str">
        <f t="shared" si="1185"/>
        <v/>
      </c>
      <c r="D49" s="724" t="str">
        <f t="shared" si="1186"/>
        <v/>
      </c>
      <c r="E49" s="48"/>
    </row>
    <row r="50" spans="1:7" x14ac:dyDescent="0.2">
      <c r="A50" s="723" t="str">
        <f t="shared" si="1187"/>
        <v/>
      </c>
      <c r="B50" s="724" t="str">
        <f t="shared" si="1184"/>
        <v/>
      </c>
      <c r="C50" s="724" t="str">
        <f t="shared" si="1185"/>
        <v/>
      </c>
      <c r="D50" s="724" t="str">
        <f t="shared" si="1186"/>
        <v/>
      </c>
      <c r="E50" s="48"/>
    </row>
    <row r="51" spans="1:7" x14ac:dyDescent="0.2">
      <c r="A51" s="723" t="str">
        <f t="shared" si="1187"/>
        <v/>
      </c>
      <c r="B51" s="724" t="str">
        <f t="shared" si="1184"/>
        <v/>
      </c>
      <c r="C51" s="724" t="str">
        <f t="shared" si="1185"/>
        <v/>
      </c>
      <c r="D51" s="724" t="str">
        <f t="shared" si="1186"/>
        <v/>
      </c>
      <c r="E51" s="48"/>
    </row>
    <row r="52" spans="1:7" x14ac:dyDescent="0.2">
      <c r="A52" s="723" t="str">
        <f t="shared" si="1187"/>
        <v/>
      </c>
      <c r="B52" s="724" t="str">
        <f t="shared" si="1184"/>
        <v/>
      </c>
      <c r="C52" s="724" t="str">
        <f t="shared" si="1185"/>
        <v/>
      </c>
      <c r="D52" s="724" t="str">
        <f t="shared" si="1186"/>
        <v/>
      </c>
      <c r="E52" s="48"/>
    </row>
    <row r="53" spans="1:7" x14ac:dyDescent="0.2">
      <c r="A53" s="723" t="str">
        <f t="shared" si="1187"/>
        <v/>
      </c>
      <c r="B53" s="724" t="str">
        <f t="shared" si="1184"/>
        <v/>
      </c>
      <c r="C53" s="724" t="str">
        <f t="shared" si="1185"/>
        <v/>
      </c>
      <c r="D53" s="724" t="str">
        <f t="shared" si="1186"/>
        <v/>
      </c>
      <c r="E53" s="48"/>
      <c r="F53" s="233"/>
      <c r="G53" s="233"/>
    </row>
    <row r="54" spans="1:7" x14ac:dyDescent="0.2">
      <c r="A54" s="723" t="str">
        <f t="shared" si="1187"/>
        <v/>
      </c>
      <c r="B54" s="724" t="str">
        <f t="shared" si="1184"/>
        <v/>
      </c>
      <c r="C54" s="724" t="str">
        <f t="shared" si="1185"/>
        <v/>
      </c>
      <c r="D54" s="724" t="str">
        <f t="shared" si="1186"/>
        <v/>
      </c>
      <c r="E54" s="244"/>
    </row>
    <row r="55" spans="1:7" x14ac:dyDescent="0.2">
      <c r="A55" s="723">
        <v>12</v>
      </c>
      <c r="B55" s="724">
        <f t="array" ref="B55">MEDIAN(IF(NOT(ISNA(B44:B54)),B44:B54))</f>
        <v>5.5125499999999994E-2</v>
      </c>
      <c r="C55" s="724">
        <f t="array" ref="C55">MEDIAN(IF(NOT(ISNA(C44:C54)),C44:C54))</f>
        <v>0.12837318393420322</v>
      </c>
      <c r="D55" s="724">
        <f t="array" ref="D55">MEDIAN(IF(NOT(ISNA(D44:D54)),D44:D54))</f>
        <v>0.1477195</v>
      </c>
      <c r="E55" s="50" t="s">
        <v>1123</v>
      </c>
    </row>
    <row r="56" spans="1:7" x14ac:dyDescent="0.2">
      <c r="A56" s="723">
        <v>17</v>
      </c>
      <c r="B56" s="724">
        <f t="array" ref="B56">MAX(IF(NOT(ISNA(B44:B54)),B44:B54))</f>
        <v>6.3900999999999999E-2</v>
      </c>
      <c r="C56" s="724">
        <f t="array" ref="C56">MAX(IF(NOT(ISNA(C44:C54)),C44:C54))</f>
        <v>0.17159895128262248</v>
      </c>
      <c r="D56" s="724">
        <f t="array" ref="D56">MAX(IF(NOT(ISNA(D44:D54)),D44:D54))</f>
        <v>0.20569299999999999</v>
      </c>
      <c r="E56" s="50" t="s">
        <v>1215</v>
      </c>
    </row>
    <row r="57" spans="1:7" x14ac:dyDescent="0.2">
      <c r="A57" s="723">
        <v>18</v>
      </c>
      <c r="B57" s="724">
        <f t="array" ref="B57">MIN(IF(NOT(ISNA(B44:B54)),B44:B54))</f>
        <v>4.6349999999999995E-2</v>
      </c>
      <c r="C57" s="724">
        <f t="array" ref="C57">MIN(IF(NOT(ISNA(C44:C54)),C44:C54))</f>
        <v>8.514741658578398E-2</v>
      </c>
      <c r="D57" s="724">
        <f t="array" ref="D57">MIN(IF(NOT(ISNA(D44:D54)),D44:D54))</f>
        <v>8.9746000000000006E-2</v>
      </c>
      <c r="E57" s="50" t="s">
        <v>1216</v>
      </c>
    </row>
  </sheetData>
  <mergeCells count="37">
    <mergeCell ref="AG5:AZ5"/>
    <mergeCell ref="BA5:BT5"/>
    <mergeCell ref="BU5:CN5"/>
    <mergeCell ref="CO5:DH5"/>
    <mergeCell ref="DI5:EB5"/>
    <mergeCell ref="EC5:EV5"/>
    <mergeCell ref="EW5:FP5"/>
    <mergeCell ref="FQ5:GJ5"/>
    <mergeCell ref="GK5:HD5"/>
    <mergeCell ref="HE5:HX5"/>
    <mergeCell ref="HY5:IR5"/>
    <mergeCell ref="IS5:JL5"/>
    <mergeCell ref="JM5:KF5"/>
    <mergeCell ref="KG5:KZ5"/>
    <mergeCell ref="OC5:OV5"/>
    <mergeCell ref="LA5:LT5"/>
    <mergeCell ref="LU5:MN5"/>
    <mergeCell ref="MO5:NH5"/>
    <mergeCell ref="NI5:OB5"/>
    <mergeCell ref="OW5:PP5"/>
    <mergeCell ref="PQ5:QJ5"/>
    <mergeCell ref="QK5:RD5"/>
    <mergeCell ref="RE5:RX5"/>
    <mergeCell ref="RY5:SR5"/>
    <mergeCell ref="SS5:TL5"/>
    <mergeCell ref="TM5:UF5"/>
    <mergeCell ref="UG5:UZ5"/>
    <mergeCell ref="VA5:VT5"/>
    <mergeCell ref="VU5:WN5"/>
    <mergeCell ref="ABY5:ACR5"/>
    <mergeCell ref="ABE5:ABX5"/>
    <mergeCell ref="AAK5:ABD5"/>
    <mergeCell ref="WO5:XH5"/>
    <mergeCell ref="XI5:YB5"/>
    <mergeCell ref="YC5:YV5"/>
    <mergeCell ref="YW5:ZP5"/>
    <mergeCell ref="ZQ5:AAJ5"/>
  </mergeCells>
  <conditionalFormatting sqref="R7:S7 AD7 G8:J17 L7:L17 O7:P17 OW7:OW9 AA7 T7:X17 AB7:AB17 Z7:Z17">
    <cfRule type="expression" dxfId="154" priority="537">
      <formula>IF(G7=G$24,TRUE,FALSE)</formula>
    </cfRule>
    <cfRule type="expression" dxfId="153" priority="538">
      <formula>IF(G7=G$23,TRUE,FALSE)</formula>
    </cfRule>
  </conditionalFormatting>
  <conditionalFormatting sqref="H7:J7">
    <cfRule type="expression" dxfId="152" priority="523">
      <formula>IF(H7=H$24,TRUE,FALSE)</formula>
    </cfRule>
    <cfRule type="expression" dxfId="151" priority="524">
      <formula>IF(H7=H$23,TRUE,FALSE)</formula>
    </cfRule>
  </conditionalFormatting>
  <conditionalFormatting sqref="R8:S17">
    <cfRule type="expression" dxfId="150" priority="533">
      <formula>IF(R8=R$24,TRUE,FALSE)</formula>
    </cfRule>
    <cfRule type="expression" dxfId="149" priority="534">
      <formula>IF(R8=R$23,TRUE,FALSE)</formula>
    </cfRule>
  </conditionalFormatting>
  <conditionalFormatting sqref="AA8:AA17">
    <cfRule type="expression" dxfId="148" priority="531">
      <formula>IF(AA8=AA$24,TRUE,FALSE)</formula>
    </cfRule>
    <cfRule type="expression" dxfId="147" priority="532">
      <formula>IF(AA8=AA$23,TRUE,FALSE)</formula>
    </cfRule>
  </conditionalFormatting>
  <conditionalFormatting sqref="AD8:AD17">
    <cfRule type="expression" dxfId="146" priority="529">
      <formula>IF(AD8=AD$24,TRUE,FALSE)</formula>
    </cfRule>
    <cfRule type="expression" dxfId="145" priority="530">
      <formula>IF(AD8=AD$23,TRUE,FALSE)</formula>
    </cfRule>
  </conditionalFormatting>
  <conditionalFormatting sqref="K7">
    <cfRule type="expression" dxfId="144" priority="519">
      <formula>IF(K7=K$24,TRUE,FALSE)</formula>
    </cfRule>
    <cfRule type="expression" dxfId="143" priority="520">
      <formula>IF(K7=K$23,TRUE,FALSE)</formula>
    </cfRule>
  </conditionalFormatting>
  <conditionalFormatting sqref="G7">
    <cfRule type="expression" dxfId="142" priority="525">
      <formula>IF(G7=G$24,TRUE,FALSE)</formula>
    </cfRule>
    <cfRule type="expression" dxfId="141" priority="526">
      <formula>IF(G7=G$23,TRUE,FALSE)</formula>
    </cfRule>
  </conditionalFormatting>
  <conditionalFormatting sqref="K8:K17">
    <cfRule type="expression" dxfId="140" priority="521">
      <formula>IF(K8=K$24,TRUE,FALSE)</formula>
    </cfRule>
    <cfRule type="expression" dxfId="139" priority="522">
      <formula>IF(K8=K$23,TRUE,FALSE)</formula>
    </cfRule>
  </conditionalFormatting>
  <conditionalFormatting sqref="M7:N7">
    <cfRule type="expression" dxfId="138" priority="515">
      <formula>IF(M7=M$24,TRUE,FALSE)</formula>
    </cfRule>
    <cfRule type="expression" dxfId="137" priority="516">
      <formula>IF(M7=M$23,TRUE,FALSE)</formula>
    </cfRule>
  </conditionalFormatting>
  <conditionalFormatting sqref="M8:N17">
    <cfRule type="expression" dxfId="136" priority="517">
      <formula>IF(M8=M$24,TRUE,FALSE)</formula>
    </cfRule>
    <cfRule type="expression" dxfId="135" priority="518">
      <formula>IF(M8=M$23,TRUE,FALSE)</formula>
    </cfRule>
  </conditionalFormatting>
  <conditionalFormatting sqref="AC7">
    <cfRule type="expression" dxfId="134" priority="507">
      <formula>IF(AC7=AC$24,TRUE,FALSE)</formula>
    </cfRule>
    <cfRule type="expression" dxfId="133" priority="508">
      <formula>IF(AC7=AC$23,TRUE,FALSE)</formula>
    </cfRule>
  </conditionalFormatting>
  <conditionalFormatting sqref="AC8:AC17">
    <cfRule type="expression" dxfId="132" priority="509">
      <formula>IF(AC8=AC$24,TRUE,FALSE)</formula>
    </cfRule>
    <cfRule type="expression" dxfId="131" priority="510">
      <formula>IF(AC8=AC$23,TRUE,FALSE)</formula>
    </cfRule>
  </conditionalFormatting>
  <conditionalFormatting sqref="AG8:AZ17">
    <cfRule type="expression" dxfId="130" priority="497">
      <formula>IF(AG8=AG$24,TRUE,FALSE)</formula>
    </cfRule>
    <cfRule type="expression" dxfId="129" priority="498">
      <formula>IF(AG8=AG$23,TRUE,FALSE)</formula>
    </cfRule>
  </conditionalFormatting>
  <conditionalFormatting sqref="AG7:AO7 AQ7:AZ7">
    <cfRule type="expression" dxfId="128" priority="495">
      <formula>IF(AG7=AG$24,TRUE,FALSE)</formula>
    </cfRule>
    <cfRule type="expression" dxfId="127" priority="496">
      <formula>IF(AG7=AG$23,TRUE,FALSE)</formula>
    </cfRule>
  </conditionalFormatting>
  <conditionalFormatting sqref="BU7:CN7">
    <cfRule type="expression" dxfId="126" priority="295">
      <formula>IF(BU7=BU$24,TRUE,FALSE)</formula>
    </cfRule>
    <cfRule type="expression" dxfId="125" priority="296">
      <formula>IF(BU7=BU$23,TRUE,FALSE)</formula>
    </cfRule>
  </conditionalFormatting>
  <conditionalFormatting sqref="BA7:BT17">
    <cfRule type="expression" dxfId="124" priority="299">
      <formula>IF(BA7=BA$24,TRUE,FALSE)</formula>
    </cfRule>
    <cfRule type="expression" dxfId="123" priority="300">
      <formula>IF(BA7=BA$23,TRUE,FALSE)</formula>
    </cfRule>
  </conditionalFormatting>
  <conditionalFormatting sqref="BU8:CN17">
    <cfRule type="expression" dxfId="122" priority="297">
      <formula>IF(BU8=BU$24,TRUE,FALSE)</formula>
    </cfRule>
    <cfRule type="expression" dxfId="121" priority="298">
      <formula>IF(BU8=BU$23,TRUE,FALSE)</formula>
    </cfRule>
  </conditionalFormatting>
  <conditionalFormatting sqref="CO8:DH17">
    <cfRule type="expression" dxfId="120" priority="293">
      <formula>IF(CO8=CO$24,TRUE,FALSE)</formula>
    </cfRule>
    <cfRule type="expression" dxfId="119" priority="294">
      <formula>IF(CO8=CO$23,TRUE,FALSE)</formula>
    </cfRule>
  </conditionalFormatting>
  <conditionalFormatting sqref="CO7:DH7">
    <cfRule type="expression" dxfId="118" priority="291">
      <formula>IF(CO7=CO$24,TRUE,FALSE)</formula>
    </cfRule>
    <cfRule type="expression" dxfId="117" priority="292">
      <formula>IF(CO7=CO$23,TRUE,FALSE)</formula>
    </cfRule>
  </conditionalFormatting>
  <conditionalFormatting sqref="DI8:EB17">
    <cfRule type="expression" dxfId="116" priority="289">
      <formula>IF(DI8=DI$24,TRUE,FALSE)</formula>
    </cfRule>
    <cfRule type="expression" dxfId="115" priority="290">
      <formula>IF(DI8=DI$23,TRUE,FALSE)</formula>
    </cfRule>
  </conditionalFormatting>
  <conditionalFormatting sqref="DI7:EB7">
    <cfRule type="expression" dxfId="114" priority="287">
      <formula>IF(DI7=DI$24,TRUE,FALSE)</formula>
    </cfRule>
    <cfRule type="expression" dxfId="113" priority="288">
      <formula>IF(DI7=DI$23,TRUE,FALSE)</formula>
    </cfRule>
  </conditionalFormatting>
  <conditionalFormatting sqref="EC8:EV17">
    <cfRule type="expression" dxfId="112" priority="285">
      <formula>IF(EC8=EC$24,TRUE,FALSE)</formula>
    </cfRule>
    <cfRule type="expression" dxfId="111" priority="286">
      <formula>IF(EC8=EC$23,TRUE,FALSE)</formula>
    </cfRule>
  </conditionalFormatting>
  <conditionalFormatting sqref="EC7:EV7">
    <cfRule type="expression" dxfId="110" priority="283">
      <formula>IF(EC7=EC$24,TRUE,FALSE)</formula>
    </cfRule>
    <cfRule type="expression" dxfId="109" priority="284">
      <formula>IF(EC7=EC$23,TRUE,FALSE)</formula>
    </cfRule>
  </conditionalFormatting>
  <conditionalFormatting sqref="EW7:FP17">
    <cfRule type="expression" dxfId="108" priority="279">
      <formula>IF(EW7=EW$24,TRUE,FALSE)</formula>
    </cfRule>
    <cfRule type="expression" dxfId="107" priority="280">
      <formula>IF(EW7=EW$23,TRUE,FALSE)</formula>
    </cfRule>
  </conditionalFormatting>
  <conditionalFormatting sqref="FQ8:GJ17">
    <cfRule type="expression" dxfId="106" priority="277">
      <formula>IF(FQ8=FQ$24,TRUE,FALSE)</formula>
    </cfRule>
    <cfRule type="expression" dxfId="105" priority="278">
      <formula>IF(FQ8=FQ$23,TRUE,FALSE)</formula>
    </cfRule>
  </conditionalFormatting>
  <conditionalFormatting sqref="FQ7:GJ7">
    <cfRule type="expression" dxfId="104" priority="275">
      <formula>IF(FQ7=FQ$24,TRUE,FALSE)</formula>
    </cfRule>
    <cfRule type="expression" dxfId="103" priority="276">
      <formula>IF(FQ7=FQ$23,TRUE,FALSE)</formula>
    </cfRule>
  </conditionalFormatting>
  <conditionalFormatting sqref="GK8:HD17">
    <cfRule type="expression" dxfId="102" priority="265">
      <formula>IF(GK8=GK$24,TRUE,FALSE)</formula>
    </cfRule>
    <cfRule type="expression" dxfId="101" priority="266">
      <formula>IF(GK8=GK$23,TRUE,FALSE)</formula>
    </cfRule>
  </conditionalFormatting>
  <conditionalFormatting sqref="GK7:HD7">
    <cfRule type="expression" dxfId="100" priority="263">
      <formula>IF(GK7=GK$24,TRUE,FALSE)</formula>
    </cfRule>
    <cfRule type="expression" dxfId="99" priority="264">
      <formula>IF(GK7=GK$23,TRUE,FALSE)</formula>
    </cfRule>
  </conditionalFormatting>
  <conditionalFormatting sqref="HE8:HX17">
    <cfRule type="expression" dxfId="98" priority="261">
      <formula>IF(HE8=HE$24,TRUE,FALSE)</formula>
    </cfRule>
    <cfRule type="expression" dxfId="97" priority="262">
      <formula>IF(HE8=HE$23,TRUE,FALSE)</formula>
    </cfRule>
  </conditionalFormatting>
  <conditionalFormatting sqref="HE7:HX7">
    <cfRule type="expression" dxfId="96" priority="259">
      <formula>IF(HE7=HE$24,TRUE,FALSE)</formula>
    </cfRule>
    <cfRule type="expression" dxfId="95" priority="260">
      <formula>IF(HE7=HE$23,TRUE,FALSE)</formula>
    </cfRule>
  </conditionalFormatting>
  <conditionalFormatting sqref="HY8:IR17">
    <cfRule type="expression" dxfId="94" priority="257">
      <formula>IF(HY8=HY$24,TRUE,FALSE)</formula>
    </cfRule>
    <cfRule type="expression" dxfId="93" priority="258">
      <formula>IF(HY8=HY$23,TRUE,FALSE)</formula>
    </cfRule>
  </conditionalFormatting>
  <conditionalFormatting sqref="HY7:IR7">
    <cfRule type="expression" dxfId="92" priority="255">
      <formula>IF(HY7=HY$24,TRUE,FALSE)</formula>
    </cfRule>
    <cfRule type="expression" dxfId="91" priority="256">
      <formula>IF(HY7=HY$23,TRUE,FALSE)</formula>
    </cfRule>
  </conditionalFormatting>
  <conditionalFormatting sqref="IS8:JL17">
    <cfRule type="expression" dxfId="90" priority="253">
      <formula>IF(IS8=IS$24,TRUE,FALSE)</formula>
    </cfRule>
    <cfRule type="expression" dxfId="89" priority="254">
      <formula>IF(IS8=IS$23,TRUE,FALSE)</formula>
    </cfRule>
  </conditionalFormatting>
  <conditionalFormatting sqref="IS7:JL7">
    <cfRule type="expression" dxfId="88" priority="251">
      <formula>IF(IS7=IS$24,TRUE,FALSE)</formula>
    </cfRule>
    <cfRule type="expression" dxfId="87" priority="252">
      <formula>IF(IS7=IS$23,TRUE,FALSE)</formula>
    </cfRule>
  </conditionalFormatting>
  <conditionalFormatting sqref="JM8:KF17">
    <cfRule type="expression" dxfId="86" priority="249">
      <formula>IF(JM8=JM$24,TRUE,FALSE)</formula>
    </cfRule>
    <cfRule type="expression" dxfId="85" priority="250">
      <formula>IF(JM8=JM$23,TRUE,FALSE)</formula>
    </cfRule>
  </conditionalFormatting>
  <conditionalFormatting sqref="JM7:KF7">
    <cfRule type="expression" dxfId="84" priority="247">
      <formula>IF(JM7=JM$24,TRUE,FALSE)</formula>
    </cfRule>
    <cfRule type="expression" dxfId="83" priority="248">
      <formula>IF(JM7=JM$23,TRUE,FALSE)</formula>
    </cfRule>
  </conditionalFormatting>
  <conditionalFormatting sqref="KG8:KZ17">
    <cfRule type="expression" dxfId="82" priority="245">
      <formula>IF(KG8=KG$24,TRUE,FALSE)</formula>
    </cfRule>
    <cfRule type="expression" dxfId="81" priority="246">
      <formula>IF(KG8=KG$23,TRUE,FALSE)</formula>
    </cfRule>
  </conditionalFormatting>
  <conditionalFormatting sqref="KH7:KZ7 LA8:LT17 LB7:LT7">
    <cfRule type="expression" dxfId="80" priority="243">
      <formula>IF(KH7=KH$24,TRUE,FALSE)</formula>
    </cfRule>
    <cfRule type="expression" dxfId="79" priority="244">
      <formula>IF(KH7=KH$23,TRUE,FALSE)</formula>
    </cfRule>
  </conditionalFormatting>
  <conditionalFormatting sqref="OC8:OV17">
    <cfRule type="expression" dxfId="78" priority="241">
      <formula>IF(OC8=OC$24,TRUE,FALSE)</formula>
    </cfRule>
    <cfRule type="expression" dxfId="77" priority="242">
      <formula>IF(OC8=OC$23,TRUE,FALSE)</formula>
    </cfRule>
  </conditionalFormatting>
  <conditionalFormatting sqref="OC7:OV7">
    <cfRule type="expression" dxfId="76" priority="239">
      <formula>IF(OC7=OC$24,TRUE,FALSE)</formula>
    </cfRule>
    <cfRule type="expression" dxfId="75" priority="240">
      <formula>IF(OC7=OC$23,TRUE,FALSE)</formula>
    </cfRule>
  </conditionalFormatting>
  <conditionalFormatting sqref="OW8:PP17">
    <cfRule type="expression" dxfId="74" priority="237">
      <formula>IF(OW8=OW$24,TRUE,FALSE)</formula>
    </cfRule>
    <cfRule type="expression" dxfId="73" priority="238">
      <formula>IF(OW8=OW$23,TRUE,FALSE)</formula>
    </cfRule>
  </conditionalFormatting>
  <conditionalFormatting sqref="OW7:PP7">
    <cfRule type="expression" dxfId="72" priority="235">
      <formula>IF(OW7=OW$24,TRUE,FALSE)</formula>
    </cfRule>
    <cfRule type="expression" dxfId="71" priority="236">
      <formula>IF(OW7=OW$23,TRUE,FALSE)</formula>
    </cfRule>
  </conditionalFormatting>
  <conditionalFormatting sqref="QK8:RD17">
    <cfRule type="expression" dxfId="70" priority="233">
      <formula>IF(QK8=QK$24,TRUE,FALSE)</formula>
    </cfRule>
    <cfRule type="expression" dxfId="69" priority="234">
      <formula>IF(QK8=QK$23,TRUE,FALSE)</formula>
    </cfRule>
  </conditionalFormatting>
  <conditionalFormatting sqref="QK7:RD7">
    <cfRule type="expression" dxfId="68" priority="231">
      <formula>IF(QK7=QK$24,TRUE,FALSE)</formula>
    </cfRule>
    <cfRule type="expression" dxfId="67" priority="232">
      <formula>IF(QK7=QK$23,TRUE,FALSE)</formula>
    </cfRule>
  </conditionalFormatting>
  <conditionalFormatting sqref="RE8:RX17">
    <cfRule type="expression" dxfId="66" priority="229">
      <formula>IF(RE8=RE$24,TRUE,FALSE)</formula>
    </cfRule>
    <cfRule type="expression" dxfId="65" priority="230">
      <formula>IF(RE8=RE$23,TRUE,FALSE)</formula>
    </cfRule>
  </conditionalFormatting>
  <conditionalFormatting sqref="RE7:RX7">
    <cfRule type="expression" dxfId="64" priority="227">
      <formula>IF(RE7=RE$24,TRUE,FALSE)</formula>
    </cfRule>
    <cfRule type="expression" dxfId="63" priority="228">
      <formula>IF(RE7=RE$23,TRUE,FALSE)</formula>
    </cfRule>
  </conditionalFormatting>
  <conditionalFormatting sqref="RY8:SR17">
    <cfRule type="expression" dxfId="62" priority="225">
      <formula>IF(RY8=RY$24,TRUE,FALSE)</formula>
    </cfRule>
    <cfRule type="expression" dxfId="61" priority="226">
      <formula>IF(RY8=RY$23,TRUE,FALSE)</formula>
    </cfRule>
  </conditionalFormatting>
  <conditionalFormatting sqref="RY7:SR7">
    <cfRule type="expression" dxfId="60" priority="223">
      <formula>IF(RY7=RY$24,TRUE,FALSE)</formula>
    </cfRule>
    <cfRule type="expression" dxfId="59" priority="224">
      <formula>IF(RY7=RY$23,TRUE,FALSE)</formula>
    </cfRule>
  </conditionalFormatting>
  <conditionalFormatting sqref="SS8:TL17">
    <cfRule type="expression" dxfId="58" priority="221">
      <formula>IF(SS8=SS$24,TRUE,FALSE)</formula>
    </cfRule>
    <cfRule type="expression" dxfId="57" priority="222">
      <formula>IF(SS8=SS$23,TRUE,FALSE)</formula>
    </cfRule>
  </conditionalFormatting>
  <conditionalFormatting sqref="SS7:TL7">
    <cfRule type="expression" dxfId="56" priority="219">
      <formula>IF(SS7=SS$24,TRUE,FALSE)</formula>
    </cfRule>
    <cfRule type="expression" dxfId="55" priority="220">
      <formula>IF(SS7=SS$23,TRUE,FALSE)</formula>
    </cfRule>
  </conditionalFormatting>
  <conditionalFormatting sqref="PQ8:QJ17">
    <cfRule type="expression" dxfId="54" priority="217">
      <formula>IF(PQ8=PQ$24,TRUE,FALSE)</formula>
    </cfRule>
    <cfRule type="expression" dxfId="53" priority="218">
      <formula>IF(PQ8=PQ$23,TRUE,FALSE)</formula>
    </cfRule>
  </conditionalFormatting>
  <conditionalFormatting sqref="PQ7:QJ7">
    <cfRule type="expression" dxfId="52" priority="215">
      <formula>IF(PQ7=PQ$24,TRUE,FALSE)</formula>
    </cfRule>
    <cfRule type="expression" dxfId="51" priority="216">
      <formula>IF(PQ7=PQ$23,TRUE,FALSE)</formula>
    </cfRule>
  </conditionalFormatting>
  <conditionalFormatting sqref="TM8:UF17">
    <cfRule type="expression" dxfId="50" priority="213">
      <formula>IF(TM8=TM$24,TRUE,FALSE)</formula>
    </cfRule>
    <cfRule type="expression" dxfId="49" priority="214">
      <formula>IF(TM8=TM$23,TRUE,FALSE)</formula>
    </cfRule>
  </conditionalFormatting>
  <conditionalFormatting sqref="TM7:UF7">
    <cfRule type="expression" dxfId="48" priority="211">
      <formula>IF(TM7=TM$24,TRUE,FALSE)</formula>
    </cfRule>
    <cfRule type="expression" dxfId="47" priority="212">
      <formula>IF(TM7=TM$23,TRUE,FALSE)</formula>
    </cfRule>
  </conditionalFormatting>
  <conditionalFormatting sqref="UG7:UZ7">
    <cfRule type="expression" dxfId="46" priority="191">
      <formula>IF(UG7=UG$24,TRUE,FALSE)</formula>
    </cfRule>
    <cfRule type="expression" dxfId="45" priority="192">
      <formula>IF(UG7=UG$23,TRUE,FALSE)</formula>
    </cfRule>
  </conditionalFormatting>
  <conditionalFormatting sqref="UG8:UZ17">
    <cfRule type="expression" dxfId="44" priority="193">
      <formula>IF(UG8=UG$24,TRUE,FALSE)</formula>
    </cfRule>
    <cfRule type="expression" dxfId="43" priority="194">
      <formula>IF(UG8=UG$23,TRUE,FALSE)</formula>
    </cfRule>
  </conditionalFormatting>
  <conditionalFormatting sqref="VA8:VT17">
    <cfRule type="expression" dxfId="42" priority="189">
      <formula>IF(VA8=VA$24,TRUE,FALSE)</formula>
    </cfRule>
    <cfRule type="expression" dxfId="41" priority="190">
      <formula>IF(VA8=VA$23,TRUE,FALSE)</formula>
    </cfRule>
  </conditionalFormatting>
  <conditionalFormatting sqref="VA7:VT7">
    <cfRule type="expression" dxfId="40" priority="187">
      <formula>IF(VA7=VA$24,TRUE,FALSE)</formula>
    </cfRule>
    <cfRule type="expression" dxfId="39" priority="188">
      <formula>IF(VA7=VA$23,TRUE,FALSE)</formula>
    </cfRule>
  </conditionalFormatting>
  <conditionalFormatting sqref="VU8:WN17">
    <cfRule type="expression" dxfId="38" priority="185">
      <formula>IF(VU8=VU$24,TRUE,FALSE)</formula>
    </cfRule>
    <cfRule type="expression" dxfId="37" priority="186">
      <formula>IF(VU8=VU$23,TRUE,FALSE)</formula>
    </cfRule>
  </conditionalFormatting>
  <conditionalFormatting sqref="VU7:WN7">
    <cfRule type="expression" dxfId="36" priority="183">
      <formula>IF(VU7=VU$24,TRUE,FALSE)</formula>
    </cfRule>
    <cfRule type="expression" dxfId="35" priority="184">
      <formula>IF(VU7=VU$23,TRUE,FALSE)</formula>
    </cfRule>
  </conditionalFormatting>
  <conditionalFormatting sqref="Q7">
    <cfRule type="expression" dxfId="34" priority="151">
      <formula>IF(Q7=Q$24,TRUE,FALSE)</formula>
    </cfRule>
    <cfRule type="expression" dxfId="33" priority="152">
      <formula>IF(Q7=Q$23,TRUE,FALSE)</formula>
    </cfRule>
  </conditionalFormatting>
  <conditionalFormatting sqref="Q8:Q17">
    <cfRule type="expression" dxfId="32" priority="149">
      <formula>IF(Q8=Q$24,TRUE,FALSE)</formula>
    </cfRule>
    <cfRule type="expression" dxfId="31" priority="150">
      <formula>IF(Q8=Q$23,TRUE,FALSE)</formula>
    </cfRule>
  </conditionalFormatting>
  <conditionalFormatting sqref="LU7:OB17">
    <cfRule type="expression" dxfId="30" priority="37">
      <formula>IF(LU7=LU$24,TRUE,FALSE)</formula>
    </cfRule>
    <cfRule type="expression" dxfId="29" priority="38">
      <formula>IF(LU7=LU$23,TRUE,FALSE)</formula>
    </cfRule>
  </conditionalFormatting>
  <conditionalFormatting sqref="WO7:XH17">
    <cfRule type="expression" dxfId="28" priority="33">
      <formula>IF(WO7=WO$24,TRUE,FALSE)</formula>
    </cfRule>
    <cfRule type="expression" dxfId="27" priority="34">
      <formula>IF(WO7=WO$23,TRUE,FALSE)</formula>
    </cfRule>
  </conditionalFormatting>
  <conditionalFormatting sqref="XI7:YB17">
    <cfRule type="expression" dxfId="26" priority="29">
      <formula>IF(XI7=XI$24,TRUE,FALSE)</formula>
    </cfRule>
    <cfRule type="expression" dxfId="25" priority="30">
      <formula>IF(XI7=XI$23,TRUE,FALSE)</formula>
    </cfRule>
  </conditionalFormatting>
  <conditionalFormatting sqref="YC7:YV17">
    <cfRule type="expression" dxfId="24" priority="27">
      <formula>IF(YC7=YC$24,TRUE,FALSE)</formula>
    </cfRule>
    <cfRule type="expression" dxfId="23" priority="28">
      <formula>IF(YC7=YC$23,TRUE,FALSE)</formula>
    </cfRule>
  </conditionalFormatting>
  <conditionalFormatting sqref="YW7:ZP17">
    <cfRule type="expression" dxfId="22" priority="25">
      <formula>IF(YW7=YW$24,TRUE,FALSE)</formula>
    </cfRule>
    <cfRule type="expression" dxfId="21" priority="26">
      <formula>IF(YW7=YW$23,TRUE,FALSE)</formula>
    </cfRule>
  </conditionalFormatting>
  <conditionalFormatting sqref="ZQ7:AAJ17">
    <cfRule type="expression" dxfId="20" priority="21">
      <formula>IF(ZQ7=ZQ$24,TRUE,FALSE)</formula>
    </cfRule>
    <cfRule type="expression" dxfId="19" priority="22">
      <formula>IF(ZQ7=ZQ$23,TRUE,FALSE)</formula>
    </cfRule>
  </conditionalFormatting>
  <conditionalFormatting sqref="AAK7:ABD17">
    <cfRule type="expression" dxfId="18" priority="19">
      <formula>IF(AAK7=AAK$24,TRUE,FALSE)</formula>
    </cfRule>
    <cfRule type="expression" dxfId="17" priority="20">
      <formula>IF(AAK7=AAK$23,TRUE,FALSE)</formula>
    </cfRule>
  </conditionalFormatting>
  <conditionalFormatting sqref="ABE7:ABX17">
    <cfRule type="expression" dxfId="16" priority="17">
      <formula>IF(ABE7=ABE$24,TRUE,FALSE)</formula>
    </cfRule>
    <cfRule type="expression" dxfId="15" priority="18">
      <formula>IF(ABE7=ABE$23,TRUE,FALSE)</formula>
    </cfRule>
  </conditionalFormatting>
  <conditionalFormatting sqref="ABZ7:ACR7">
    <cfRule type="expression" dxfId="14" priority="11">
      <formula>IF(ABZ7=ABZ$24,TRUE,FALSE)</formula>
    </cfRule>
    <cfRule type="expression" dxfId="13" priority="12">
      <formula>IF(ABZ7=ABZ$23,TRUE,FALSE)</formula>
    </cfRule>
  </conditionalFormatting>
  <conditionalFormatting sqref="ABY8:ACR17">
    <cfRule type="expression" dxfId="12" priority="13">
      <formula>IF(ABY8=ABY$24,TRUE,FALSE)</formula>
    </cfRule>
    <cfRule type="expression" dxfId="11" priority="14">
      <formula>IF(ABY8=ABY$23,TRUE,FALSE)</formula>
    </cfRule>
  </conditionalFormatting>
  <conditionalFormatting sqref="Y7:Y17">
    <cfRule type="expression" dxfId="10" priority="9">
      <formula>IF(Y7=Y$24,TRUE,FALSE)</formula>
    </cfRule>
    <cfRule type="expression" dxfId="9" priority="10">
      <formula>IF(Y7=Y$23,TRUE,FALSE)</formula>
    </cfRule>
  </conditionalFormatting>
  <conditionalFormatting sqref="LA7">
    <cfRule type="expression" dxfId="8" priority="7">
      <formula>IF(LA7=LA$24,TRUE,FALSE)</formula>
    </cfRule>
    <cfRule type="expression" dxfId="7" priority="8">
      <formula>IF(LA7=LA$23,TRUE,FALSE)</formula>
    </cfRule>
  </conditionalFormatting>
  <conditionalFormatting sqref="ABY7">
    <cfRule type="expression" dxfId="6" priority="5">
      <formula>IF(ABY7=ABY$24,TRUE,FALSE)</formula>
    </cfRule>
    <cfRule type="expression" dxfId="5" priority="6">
      <formula>IF(ABY7=ABY$23,TRUE,FALSE)</formula>
    </cfRule>
  </conditionalFormatting>
  <conditionalFormatting sqref="KG7">
    <cfRule type="expression" dxfId="4" priority="3">
      <formula>IF(KG7=KG$24,TRUE,FALSE)</formula>
    </cfRule>
    <cfRule type="expression" dxfId="3" priority="4">
      <formula>IF(KG7=KG$23,TRUE,FALSE)</formula>
    </cfRule>
  </conditionalFormatting>
  <conditionalFormatting sqref="AP7">
    <cfRule type="expression" dxfId="2" priority="1">
      <formula>IF(AP7=AP$24,TRUE,FALSE)</formula>
    </cfRule>
    <cfRule type="expression" dxfId="1" priority="2">
      <formula>IF(AP7=AP$23,TRUE,FALSE)</formula>
    </cfRule>
  </conditionalFormatting>
  <pageMargins left="0.7" right="0.7" top="0.75" bottom="0.75" header="0.3" footer="0.3"/>
  <pageSetup orientation="portrait" horizontalDpi="4294967295" verticalDpi="4294967295" r:id="rId1"/>
  <ignoredErrors>
    <ignoredError sqref="X29 S29 S25:S27 X25:X27 T24:T27 T29" formula="1"/>
  </ignoredErrors>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theme="0" tint="-0.499984740745262"/>
  </sheetPr>
  <dimension ref="A1:BG309"/>
  <sheetViews>
    <sheetView showGridLines="0" zoomScale="90" zoomScaleNormal="90" workbookViewId="0"/>
  </sheetViews>
  <sheetFormatPr defaultColWidth="9" defaultRowHeight="12.75" outlineLevelRow="1" x14ac:dyDescent="0.2"/>
  <cols>
    <col min="1" max="1" width="12.625" style="19" customWidth="1"/>
    <col min="2" max="2" width="12" style="19" customWidth="1"/>
    <col min="3" max="3" width="11.625" style="249" customWidth="1"/>
    <col min="4" max="6" width="11.625" style="19" customWidth="1"/>
    <col min="7" max="16" width="11.625" style="249" customWidth="1"/>
    <col min="17" max="17" width="9" style="249" customWidth="1"/>
    <col min="18" max="18" width="12.625" style="19" customWidth="1"/>
    <col min="19" max="19" width="22.25" style="249" customWidth="1"/>
    <col min="20" max="32" width="11.625" style="249" customWidth="1"/>
    <col min="33" max="33" width="11.625" style="19" customWidth="1"/>
    <col min="34" max="34" width="9" style="19"/>
    <col min="35" max="35" width="10" style="19" customWidth="1"/>
    <col min="36" max="36" width="22.25" style="19" customWidth="1"/>
    <col min="37" max="37" width="15" style="19" customWidth="1"/>
    <col min="38" max="38" width="10.5" style="19" customWidth="1"/>
    <col min="39" max="39" width="14.5" style="19" customWidth="1"/>
    <col min="40" max="40" width="17.5" style="19" customWidth="1"/>
    <col min="41" max="41" width="11.625" style="19" customWidth="1"/>
    <col min="42" max="46" width="9" style="19" customWidth="1"/>
    <col min="47" max="47" width="9" style="19"/>
    <col min="48" max="48" width="10" style="19" customWidth="1"/>
    <col min="49" max="49" width="15.75" style="19" customWidth="1"/>
    <col min="50" max="59" width="9" style="19" customWidth="1"/>
    <col min="60" max="16384" width="9" style="19"/>
  </cols>
  <sheetData>
    <row r="1" spans="1:59" ht="20.100000000000001" customHeight="1" x14ac:dyDescent="0.2">
      <c r="A1" s="441" t="s">
        <v>95</v>
      </c>
      <c r="B1" s="935"/>
      <c r="C1" s="903"/>
      <c r="D1" s="903"/>
      <c r="E1" s="903"/>
      <c r="F1" s="936"/>
      <c r="G1" s="937"/>
      <c r="H1" s="903"/>
      <c r="I1" s="904"/>
      <c r="J1" s="904"/>
      <c r="K1" s="904"/>
      <c r="L1" s="904"/>
      <c r="M1" s="904"/>
      <c r="N1" s="904"/>
      <c r="O1" s="904"/>
      <c r="P1" s="904"/>
      <c r="Q1" s="904"/>
      <c r="R1" s="904"/>
      <c r="S1" s="904"/>
      <c r="T1" s="904"/>
      <c r="U1" s="904"/>
      <c r="V1" s="904"/>
      <c r="W1" s="904"/>
      <c r="X1" s="904"/>
      <c r="Y1" s="904"/>
      <c r="Z1" s="904"/>
      <c r="AA1" s="904"/>
      <c r="AB1" s="904"/>
      <c r="AC1" s="904"/>
      <c r="AD1" s="904"/>
      <c r="AE1" s="154"/>
      <c r="AF1" s="154"/>
      <c r="AG1" s="154"/>
    </row>
    <row r="2" spans="1:59" ht="15" customHeight="1" outlineLevel="1" x14ac:dyDescent="0.2">
      <c r="A2" s="582" t="s">
        <v>724</v>
      </c>
      <c r="B2" s="19" t="s">
        <v>416</v>
      </c>
      <c r="C2" s="19"/>
      <c r="D2" s="248">
        <f>INDEX($A$7:$P$267,MATCH("Yes",$B$7:$B$267,0),1)</f>
        <v>42825</v>
      </c>
      <c r="F2" s="19" t="s">
        <v>403</v>
      </c>
      <c r="H2" s="249" t="s">
        <v>367</v>
      </c>
      <c r="I2" s="249" t="str">
        <f>Input!$C$6</f>
        <v>USD</v>
      </c>
      <c r="J2" s="978" t="str">
        <f>_xll.ciqfunctions.udf.CIQRANGEA(C6, "IQ_INDEX_MEMBER_ID", 1, 3, , , , , "Index Membership ID")</f>
        <v>Index Membership ID</v>
      </c>
      <c r="K2" s="1074" t="s">
        <v>1371</v>
      </c>
      <c r="L2" s="979" t="s">
        <v>1372</v>
      </c>
      <c r="M2" s="979" t="s">
        <v>1373</v>
      </c>
      <c r="Q2" s="1073">
        <f>_xll.ciqfunctions.udf.CIQ(S6,"IQ_FIRSTPRICINGDATE")</f>
        <v>26392</v>
      </c>
      <c r="R2" s="249"/>
      <c r="S2" s="247">
        <v>3</v>
      </c>
      <c r="T2" s="247">
        <f>S2+1</f>
        <v>4</v>
      </c>
      <c r="U2" s="247">
        <f>T2+1</f>
        <v>5</v>
      </c>
      <c r="V2" s="247">
        <f>U2+1</f>
        <v>6</v>
      </c>
      <c r="W2" s="250"/>
      <c r="X2" s="247">
        <f>V2+1</f>
        <v>7</v>
      </c>
      <c r="Y2" s="247">
        <f t="shared" ref="Y2:AF2" si="0">X2+1</f>
        <v>8</v>
      </c>
      <c r="Z2" s="247">
        <f t="shared" si="0"/>
        <v>9</v>
      </c>
      <c r="AA2" s="247">
        <f t="shared" si="0"/>
        <v>10</v>
      </c>
      <c r="AB2" s="247">
        <f t="shared" si="0"/>
        <v>11</v>
      </c>
      <c r="AC2" s="247">
        <f t="shared" si="0"/>
        <v>12</v>
      </c>
      <c r="AD2" s="247">
        <f t="shared" si="0"/>
        <v>13</v>
      </c>
      <c r="AE2" s="247">
        <f t="shared" si="0"/>
        <v>14</v>
      </c>
      <c r="AF2" s="247">
        <f t="shared" si="0"/>
        <v>15</v>
      </c>
      <c r="AG2" s="247">
        <f>AF2+1</f>
        <v>16</v>
      </c>
      <c r="AW2" s="19">
        <v>2</v>
      </c>
      <c r="AX2" s="19">
        <v>3</v>
      </c>
      <c r="AY2" s="19">
        <v>4</v>
      </c>
      <c r="AZ2" s="19">
        <v>5</v>
      </c>
      <c r="BA2" s="19">
        <v>6</v>
      </c>
      <c r="BB2" s="19">
        <v>7</v>
      </c>
      <c r="BC2" s="19">
        <v>8</v>
      </c>
      <c r="BD2" s="19">
        <v>9</v>
      </c>
      <c r="BE2" s="19">
        <v>10</v>
      </c>
      <c r="BF2" s="19">
        <v>11</v>
      </c>
      <c r="BG2" s="19">
        <v>12</v>
      </c>
    </row>
    <row r="3" spans="1:59" ht="15" customHeight="1" outlineLevel="1" x14ac:dyDescent="0.2">
      <c r="A3" s="721" t="s">
        <v>1254</v>
      </c>
      <c r="B3" s="26" t="s">
        <v>415</v>
      </c>
      <c r="C3" s="19"/>
      <c r="D3" s="248" cm="1">
        <f t="array" ref="D3">IF(_xll.ciqfunctions.udf.CIQGETDATE(IQ_TODAY)=7,_xll.ciqfunctions.udf.CIQGETDATE(IQ_TODAY)-1,IF(_xll.ciqfunctions.udf.CIQGETDATE(IQ_TODAY)=1,_xll.ciqfunctions.udf.CIQGETDATE(IQ_TODAY)-2,_xll.ciqfunctions.udf.CIQGETDATE(IQ_TODAY)))</f>
        <v>44645</v>
      </c>
      <c r="G3" s="19"/>
      <c r="H3" s="249" t="s">
        <v>370</v>
      </c>
      <c r="I3" s="249" t="s">
        <v>372</v>
      </c>
      <c r="J3" s="19"/>
      <c r="S3" s="1033">
        <f>VLOOKUP(C$4,$A$7:$P$267,S2)</f>
        <v>72.08</v>
      </c>
      <c r="T3" s="1033">
        <f t="shared" ref="T3:V3" si="1">VLOOKUP(D$4,$A$7:$P$267,T2)</f>
        <v>20663.22106</v>
      </c>
      <c r="U3" s="1033">
        <f t="shared" si="1"/>
        <v>7155.8210099999997</v>
      </c>
      <c r="V3" s="1033">
        <f t="shared" si="1"/>
        <v>4389.7351500000004</v>
      </c>
      <c r="W3" s="1033"/>
      <c r="X3" s="1033">
        <f>VLOOKUP(G$4,$A$7:$P$267,X2)</f>
        <v>167.69</v>
      </c>
      <c r="Y3" s="1033" t="e">
        <f t="shared" ref="Y3:AB3" si="2">VLOOKUP(H$4,$A$7:$P$267,Y2)</f>
        <v>#REF!</v>
      </c>
      <c r="Z3" s="1033" t="e">
        <f t="shared" si="2"/>
        <v>#REF!</v>
      </c>
      <c r="AA3" s="1033" t="e">
        <f t="shared" si="2"/>
        <v>#REF!</v>
      </c>
      <c r="AB3" s="1033" t="e">
        <f t="shared" si="2"/>
        <v>#REF!</v>
      </c>
      <c r="AC3" s="1385" t="str">
        <f t="shared" ref="AC3:AG3" si="3">VLOOKUP($D$2,$A$7:$P$267,AC2)</f>
        <v/>
      </c>
      <c r="AD3" s="1385" t="str">
        <f t="shared" si="3"/>
        <v/>
      </c>
      <c r="AE3" s="1385" t="str">
        <f t="shared" si="3"/>
        <v/>
      </c>
      <c r="AF3" s="1385" t="str">
        <f t="shared" si="3"/>
        <v/>
      </c>
      <c r="AG3" s="1385" t="str">
        <f t="shared" si="3"/>
        <v/>
      </c>
      <c r="AW3" s="718">
        <f>VLOOKUP(AJ$4,$AI$6:$AT$267,AW$2,0)</f>
        <v>261057.29441</v>
      </c>
      <c r="AX3" s="718">
        <f t="shared" ref="AX3:BB3" si="4">VLOOKUP(AK$4,$AI$6:$AT$267,AX$2,0)</f>
        <v>72984.848599999998</v>
      </c>
      <c r="AY3" s="718" t="e">
        <f t="shared" si="4"/>
        <v>#REF!</v>
      </c>
      <c r="AZ3" s="718" t="e">
        <f t="shared" si="4"/>
        <v>#REF!</v>
      </c>
      <c r="BA3" s="718" t="e">
        <f t="shared" si="4"/>
        <v>#REF!</v>
      </c>
      <c r="BB3" s="718" t="e">
        <f t="shared" si="4"/>
        <v>#REF!</v>
      </c>
      <c r="BC3" s="718" t="str">
        <f t="shared" ref="BC3:BG3" si="5">VLOOKUP($D$2,$AI$6:$AT$267,BC$2,0)</f>
        <v/>
      </c>
      <c r="BD3" s="718" t="str">
        <f t="shared" si="5"/>
        <v/>
      </c>
      <c r="BE3" s="718" t="str">
        <f t="shared" si="5"/>
        <v/>
      </c>
      <c r="BF3" s="718" t="str">
        <f t="shared" si="5"/>
        <v/>
      </c>
      <c r="BG3" s="718" t="str">
        <f t="shared" si="5"/>
        <v/>
      </c>
    </row>
    <row r="4" spans="1:59" ht="15" customHeight="1" x14ac:dyDescent="0.2">
      <c r="A4" s="251"/>
      <c r="B4" s="251"/>
      <c r="C4" s="252">
        <f t="array" ref="C4">INDEX($A$7:$A$267,MIN(IF(ISNUMBER(C7:C267),ROW(C7:C267),1000))-ROW(C6))</f>
        <v>42825</v>
      </c>
      <c r="D4" s="252">
        <f t="array" ref="D4">INDEX($A$7:$A$267,MIN(IF(ISNUMBER(D7:D267),ROW(D7:D267),1000))-ROW(D6))</f>
        <v>42825</v>
      </c>
      <c r="E4" s="252">
        <f t="array" ref="E4">INDEX($A$7:$A$267,MIN(IF(ISNUMBER(E7:E267),ROW(E7:E267),1000))-ROW(E6))</f>
        <v>42825</v>
      </c>
      <c r="F4" s="252">
        <f t="array" ref="F4">INDEX($A$7:$A$267,MIN(IF(ISNUMBER(F7:F267),ROW(F7:F267),1000))-ROW(F6))</f>
        <v>42825</v>
      </c>
      <c r="G4" s="252">
        <f t="array" ref="G4">INDEX($A$7:$A$267,MIN(IF(ISNUMBER(G7:G267),ROW(G7:G267),1000))-ROW(G6))</f>
        <v>42825</v>
      </c>
      <c r="H4" s="252" t="e">
        <f t="array" ref="H4">INDEX($A$7:$A$267,MIN(IF(ISNUMBER(H7:H267),ROW(H7:H267),1000))-ROW(H6))</f>
        <v>#REF!</v>
      </c>
      <c r="I4" s="252" t="e">
        <f t="array" ref="I4">INDEX($A$7:$A$267,MIN(IF(ISNUMBER(I7:I267),ROW(I7:I267),1000))-ROW(I6))</f>
        <v>#REF!</v>
      </c>
      <c r="J4" s="252" t="e">
        <f t="array" ref="J4">INDEX($A$7:$A$267,MIN(IF(ISNUMBER(J7:J267),ROW(J7:J267),1000))-ROW(J6))</f>
        <v>#REF!</v>
      </c>
      <c r="K4" s="252" t="e">
        <f t="array" ref="K4">INDEX($A$7:$A$267,MIN(IF(ISNUMBER(K7:K267),ROW(K7:K267),1000))-ROW(K6))</f>
        <v>#REF!</v>
      </c>
      <c r="R4" s="249"/>
      <c r="AJ4" s="252">
        <f t="array" ref="AJ4">INDEX($A$7:$A$267,MIN(IF(ISNUMBER(AJ7:AJ267),ROW(AJ7:AJ267),1000))-ROW(AJ6))</f>
        <v>42825</v>
      </c>
      <c r="AK4" s="252">
        <f t="array" ref="AK4">INDEX($A$7:$A$267,MIN(IF(ISNUMBER(AK7:AK267),ROW(AK7:AK267),1000))-ROW(AK6))</f>
        <v>42825</v>
      </c>
      <c r="AL4" s="252" t="e">
        <f t="array" ref="AL4">INDEX($A$7:$A$267,MIN(IF(ISNUMBER(AL7:AL267),ROW(AL7:AL267),1000))-ROW(AL6))</f>
        <v>#REF!</v>
      </c>
      <c r="AM4" s="252" t="e">
        <f t="array" ref="AM4">INDEX($A$7:$A$267,MIN(IF(ISNUMBER(AM7:AM267),ROW(AM7:AM267),1000))-ROW(AM6))</f>
        <v>#REF!</v>
      </c>
      <c r="AN4" s="252" t="e">
        <f t="array" ref="AN4">INDEX($A$7:$A$267,MIN(IF(ISNUMBER(AN7:AN267),ROW(AN7:AN267),1000))-ROW(AN6))</f>
        <v>#REF!</v>
      </c>
      <c r="AO4" s="252" t="e">
        <f t="array" ref="AO4">INDEX($A$7:$A$267,MIN(IF(ISNUMBER(AO7:AO267),ROW(AO7:AO267),1000))-ROW(AO6))</f>
        <v>#REF!</v>
      </c>
    </row>
    <row r="5" spans="1:59" ht="51" x14ac:dyDescent="0.2">
      <c r="A5" s="932"/>
      <c r="B5" s="932"/>
      <c r="C5" s="933" t="str">
        <f>IF(C6="","",_xll.ciqfunctions.udf.CIQ(C$6, "IQ_COMPANY_NAME"))</f>
        <v>Walmart Inc.</v>
      </c>
      <c r="D5" s="933" t="str">
        <f>IF(D6="","",_xll.ciqfunctions.udf.CIQ(D$6, "IQ_COMPANY_NAME"))</f>
        <v>Dow Jones Industrial Average</v>
      </c>
      <c r="E5" s="933" t="str">
        <f>IF(E6="","",_xll.ciqfunctions.udf.CIQ(E$6, "IQ_COMPANY_NAME"))</f>
        <v>Dow Jones Composite Average Index</v>
      </c>
      <c r="F5" s="933" t="str">
        <f>IF(F6="","",_xll.ciqfunctions.udf.CIQ(F$6, "IQ_COMPANY_NAME"))</f>
        <v>S&amp;P Retail Select Industry Index</v>
      </c>
      <c r="G5" s="933" t="str">
        <f>IF(G6="","",_xll.ciqfunctions.udf.CIQ(G$6, "IQ_COMPANY_NAME"))</f>
        <v>Costco Wholesale Corporation</v>
      </c>
      <c r="H5" s="933" t="str">
        <f>IF(H6="","",_xll.ciqfunctions.udf.CIQ(H$6, "IQ_COMPANY_NAME"))</f>
        <v/>
      </c>
      <c r="I5" s="933" t="str">
        <f>IF(I6="","",_xll.ciqfunctions.udf.CIQ(I$6, "IQ_COMPANY_NAME"))</f>
        <v/>
      </c>
      <c r="J5" s="933" t="str">
        <f>IF(J6="","",_xll.ciqfunctions.udf.CIQ(J$6, "IQ_COMPANY_NAME"))</f>
        <v/>
      </c>
      <c r="K5" s="933" t="str">
        <f>IF(K6="","",_xll.ciqfunctions.udf.CIQ(K$6, "IQ_COMPANY_NAME"))</f>
        <v/>
      </c>
      <c r="L5" s="933" t="str">
        <f>IF(L6="","",_xll.ciqfunctions.udf.CIQ(L$6, "IQ_COMPANY_NAME"))</f>
        <v/>
      </c>
      <c r="M5" s="933" t="str">
        <f>IF(M6="","",_xll.ciqfunctions.udf.CIQ(M$6, "IQ_COMPANY_NAME"))</f>
        <v/>
      </c>
      <c r="N5" s="256" t="str">
        <f>IF(N6="","",_xll.ciqfunctions.udf.CIQ(N$6, "IQ_COMPANY_NAME"))</f>
        <v/>
      </c>
      <c r="O5" s="256" t="str">
        <f>IF(O6="","",_xll.ciqfunctions.udf.CIQ(O$6, "IQ_COMPANY_NAME"))</f>
        <v/>
      </c>
      <c r="P5" s="256" t="str">
        <f>IF(P6="","",_xll.ciqfunctions.udf.CIQ(P$6, "IQ_COMPANY_NAME"))</f>
        <v/>
      </c>
      <c r="R5" s="932"/>
      <c r="S5" s="934" t="str">
        <f>Input!E19</f>
        <v>Walmart</v>
      </c>
      <c r="T5" s="934" t="str">
        <f>D5</f>
        <v>Dow Jones Industrial Average</v>
      </c>
      <c r="U5" s="934" t="str">
        <f t="shared" ref="U5:V5" si="6">E5</f>
        <v>Dow Jones Composite Average Index</v>
      </c>
      <c r="V5" s="934" t="str">
        <f t="shared" si="6"/>
        <v>S&amp;P Retail Select Industry Index</v>
      </c>
      <c r="W5" s="934" t="s">
        <v>77</v>
      </c>
      <c r="X5" s="933" t="str">
        <f>IF(Input!E20="","",Input!E20)</f>
        <v>Costco</v>
      </c>
      <c r="Y5" s="933" t="str">
        <f>IF(Input!E21="","",Input!E21)</f>
        <v/>
      </c>
      <c r="Z5" s="933" t="str">
        <f>IF(Input!E22="","",Input!E22)</f>
        <v/>
      </c>
      <c r="AA5" s="933" t="str">
        <f>IF(Input!E23="","",Input!E23)</f>
        <v/>
      </c>
      <c r="AB5" s="933" t="str">
        <f>IF(Input!E24="","",Input!E24)</f>
        <v/>
      </c>
      <c r="AC5" s="933" t="str">
        <f>IF(Input!E25="","",Input!E25)</f>
        <v/>
      </c>
      <c r="AD5" s="933" t="str">
        <f>IF(Input!E26="","",Input!E26)</f>
        <v/>
      </c>
      <c r="AE5" s="256" t="str">
        <f>IF(Input!E27="","",Input!E27)</f>
        <v/>
      </c>
      <c r="AF5" s="256" t="str">
        <f>IF(Input!E28="","",Input!E28)</f>
        <v/>
      </c>
      <c r="AG5" s="256" t="str">
        <f>IF(Input!E29="","",Input!E29)</f>
        <v/>
      </c>
      <c r="AJ5" s="933" t="str">
        <f>Input!E19</f>
        <v>Walmart</v>
      </c>
      <c r="AK5" s="933" t="str">
        <f>X5</f>
        <v>Costco</v>
      </c>
      <c r="AL5" s="933" t="str">
        <f t="shared" ref="AL5:AT5" si="7">Y5</f>
        <v/>
      </c>
      <c r="AM5" s="933" t="str">
        <f t="shared" si="7"/>
        <v/>
      </c>
      <c r="AN5" s="933" t="str">
        <f t="shared" si="7"/>
        <v/>
      </c>
      <c r="AO5" s="933" t="str">
        <f t="shared" si="7"/>
        <v/>
      </c>
      <c r="AP5" s="933" t="str">
        <f t="shared" si="7"/>
        <v/>
      </c>
      <c r="AQ5" s="933" t="str">
        <f t="shared" si="7"/>
        <v/>
      </c>
      <c r="AR5" s="256" t="str">
        <f t="shared" si="7"/>
        <v/>
      </c>
      <c r="AS5" s="256" t="str">
        <f t="shared" si="7"/>
        <v/>
      </c>
      <c r="AT5" s="256" t="str">
        <f t="shared" si="7"/>
        <v/>
      </c>
      <c r="AW5" s="933" t="str">
        <f>AJ5</f>
        <v>Walmart</v>
      </c>
      <c r="AX5" s="933" t="str">
        <f t="shared" ref="AX5:BG5" si="8">AK5</f>
        <v>Costco</v>
      </c>
      <c r="AY5" s="933" t="str">
        <f t="shared" si="8"/>
        <v/>
      </c>
      <c r="AZ5" s="933" t="str">
        <f t="shared" si="8"/>
        <v/>
      </c>
      <c r="BA5" s="933" t="str">
        <f t="shared" si="8"/>
        <v/>
      </c>
      <c r="BB5" s="933" t="str">
        <f t="shared" si="8"/>
        <v/>
      </c>
      <c r="BC5" s="933" t="str">
        <f t="shared" si="8"/>
        <v/>
      </c>
      <c r="BD5" s="933" t="str">
        <f t="shared" si="8"/>
        <v/>
      </c>
      <c r="BE5" s="256" t="str">
        <f t="shared" si="8"/>
        <v/>
      </c>
      <c r="BF5" s="256" t="str">
        <f t="shared" si="8"/>
        <v/>
      </c>
      <c r="BG5" s="256" t="str">
        <f t="shared" si="8"/>
        <v/>
      </c>
    </row>
    <row r="6" spans="1:59" ht="25.5" x14ac:dyDescent="0.2">
      <c r="A6" s="258" t="s">
        <v>59</v>
      </c>
      <c r="B6" s="259" t="s">
        <v>187</v>
      </c>
      <c r="C6" s="258" t="str">
        <f>Input!C5</f>
        <v>NYSE:WMT</v>
      </c>
      <c r="D6" s="258" t="str">
        <f>IF(K2="","",K2)</f>
        <v>IQ2667768</v>
      </c>
      <c r="E6" s="258" t="str">
        <f t="shared" ref="E6:F6" si="9">IF(L2="","",L2)</f>
        <v>IQ2667675</v>
      </c>
      <c r="F6" s="258" t="str">
        <f t="shared" si="9"/>
        <v>IQ27580580</v>
      </c>
      <c r="G6" s="259" t="str">
        <f>IFERROR(IF(Input!$B20="","",Input!$B20),"")</f>
        <v>NasdaqGS:COST</v>
      </c>
      <c r="H6" s="259" t="str">
        <f>IFERROR(IF(Input!$B21="","",Input!$B21),"")</f>
        <v/>
      </c>
      <c r="I6" s="259" t="str">
        <f>IFERROR(IF(Input!$B22="","",Input!$B22),"")</f>
        <v/>
      </c>
      <c r="J6" s="259" t="str">
        <f>IFERROR(IF(Input!$B23="","",Input!$B23),"")</f>
        <v/>
      </c>
      <c r="K6" s="259" t="str">
        <f>IFERROR(IF(Input!$B24="","",Input!$B24),"")</f>
        <v/>
      </c>
      <c r="L6" s="259" t="str">
        <f>IFERROR(IF(Input!$B25="","",Input!$B25),"")</f>
        <v/>
      </c>
      <c r="M6" s="259" t="str">
        <f>IFERROR(IF(Input!$B26="","",Input!$B26),"")</f>
        <v/>
      </c>
      <c r="N6" s="259" t="str">
        <f>IFERROR(IF(Input!$B27="","",Input!$B27),"")</f>
        <v/>
      </c>
      <c r="O6" s="259" t="str">
        <f>IFERROR(IF(Input!$B28="","",Input!$B28),"")</f>
        <v/>
      </c>
      <c r="P6" s="259" t="str">
        <f>IFERROR(IF(Input!$B29="","",Input!$B29),"")</f>
        <v/>
      </c>
      <c r="Q6" s="257" t="s">
        <v>361</v>
      </c>
      <c r="R6" s="259" t="s">
        <v>59</v>
      </c>
      <c r="S6" s="259" t="str">
        <f>C6</f>
        <v>NYSE:WMT</v>
      </c>
      <c r="T6" s="259" t="str">
        <f>D6</f>
        <v>IQ2667768</v>
      </c>
      <c r="U6" s="259" t="str">
        <f>E6</f>
        <v>IQ2667675</v>
      </c>
      <c r="V6" s="259" t="str">
        <f>F6</f>
        <v>IQ27580580</v>
      </c>
      <c r="W6" s="260" t="s">
        <v>77</v>
      </c>
      <c r="X6" s="259" t="str">
        <f>G6</f>
        <v>NasdaqGS:COST</v>
      </c>
      <c r="Y6" s="259" t="str">
        <f t="shared" ref="Y6:AB6" si="10">H6</f>
        <v/>
      </c>
      <c r="Z6" s="259" t="str">
        <f t="shared" si="10"/>
        <v/>
      </c>
      <c r="AA6" s="259" t="str">
        <f t="shared" si="10"/>
        <v/>
      </c>
      <c r="AB6" s="259" t="str">
        <f t="shared" si="10"/>
        <v/>
      </c>
      <c r="AC6" s="259" t="str">
        <f t="shared" ref="AC6" si="11">L6</f>
        <v/>
      </c>
      <c r="AD6" s="259" t="str">
        <f t="shared" ref="AD6" si="12">M6</f>
        <v/>
      </c>
      <c r="AE6" s="259" t="str">
        <f t="shared" ref="AE6" si="13">N6</f>
        <v/>
      </c>
      <c r="AF6" s="259" t="str">
        <f t="shared" ref="AF6" si="14">O6</f>
        <v/>
      </c>
      <c r="AG6" s="259" t="str">
        <f>P6</f>
        <v/>
      </c>
      <c r="AH6" s="257" t="s">
        <v>361</v>
      </c>
      <c r="AI6" s="259" t="s">
        <v>59</v>
      </c>
      <c r="AJ6" s="258" t="str">
        <f>Input!C5</f>
        <v>NYSE:WMT</v>
      </c>
      <c r="AK6" s="259" t="str">
        <f>IFERROR(IF(Input!$B20="","",Input!$B20),"")</f>
        <v>NasdaqGS:COST</v>
      </c>
      <c r="AL6" s="259" t="str">
        <f>IFERROR(IF(Input!$B21="","",Input!$B21),"")</f>
        <v/>
      </c>
      <c r="AM6" s="259" t="str">
        <f>IFERROR(IF(Input!$B22="","",Input!$B22),"")</f>
        <v/>
      </c>
      <c r="AN6" s="259" t="str">
        <f>IFERROR(IF(Input!$B23="","",Input!$B23),"")</f>
        <v/>
      </c>
      <c r="AO6" s="259" t="str">
        <f>IFERROR(IF(Input!$B24="","",Input!$B24),"")</f>
        <v/>
      </c>
      <c r="AP6" s="259" t="str">
        <f>IFERROR(IF(Input!$B25="","",Input!$B25),"")</f>
        <v/>
      </c>
      <c r="AQ6" s="259" t="str">
        <f>IFERROR(IF(Input!$B26="","",Input!$B26),"")</f>
        <v/>
      </c>
      <c r="AR6" s="259" t="str">
        <f>IFERROR(IF(Input!$B27="","",Input!$B27),"")</f>
        <v/>
      </c>
      <c r="AS6" s="259" t="str">
        <f>IFERROR(IF(Input!$B28="","",Input!$B28),"")</f>
        <v/>
      </c>
      <c r="AT6" s="259" t="str">
        <f>IFERROR(IF(Input!$B29="","",Input!$B29),"")</f>
        <v/>
      </c>
      <c r="AU6" s="257" t="s">
        <v>361</v>
      </c>
      <c r="AV6" s="259" t="s">
        <v>59</v>
      </c>
      <c r="AW6" s="258" t="str">
        <f>Input!C5</f>
        <v>NYSE:WMT</v>
      </c>
      <c r="AX6" s="259" t="str">
        <f>IFERROR(IF(Input!$B20="","",Input!$B20),"")</f>
        <v>NasdaqGS:COST</v>
      </c>
      <c r="AY6" s="259" t="str">
        <f>IFERROR(IF(Input!$B21="","",Input!$B21),"")</f>
        <v/>
      </c>
      <c r="AZ6" s="259" t="str">
        <f>IFERROR(IF(Input!$B22="","",Input!$B22),"")</f>
        <v/>
      </c>
      <c r="BA6" s="259" t="str">
        <f>IFERROR(IF(Input!$B23="","",Input!$B23),"")</f>
        <v/>
      </c>
      <c r="BB6" s="259" t="str">
        <f>IFERROR(IF(Input!$B24="","",Input!$B24),"")</f>
        <v/>
      </c>
      <c r="BC6" s="259" t="str">
        <f>IFERROR(IF(Input!$B25="","",Input!$B25),"")</f>
        <v/>
      </c>
      <c r="BD6" s="259" t="str">
        <f>IFERROR(IF(Input!$B26="","",Input!$B26),"")</f>
        <v/>
      </c>
      <c r="BE6" s="259" t="str">
        <f>IFERROR(IF(Input!$B27="","",Input!$B27),"")</f>
        <v/>
      </c>
      <c r="BF6" s="259" t="str">
        <f>IFERROR(IF(Input!$B28="","",Input!$B28),"")</f>
        <v/>
      </c>
      <c r="BG6" s="259" t="str">
        <f>IFERROR(IF(Input!$B29="","",Input!$B29),"")</f>
        <v/>
      </c>
    </row>
    <row r="7" spans="1:59" ht="15" customHeight="1" x14ac:dyDescent="0.2">
      <c r="A7" s="251">
        <f t="shared" ref="A7:A70" si="15">IF(WEEKDAY(A8-7)=7,A8-8,IF(WEEKDAY(A8-7)=1,A8-9,A8-7))</f>
        <v>42825</v>
      </c>
      <c r="B7" s="253" t="str">
        <f>IF(COUNT(C7:F7)=0,"No","Yes")</f>
        <v>Yes</v>
      </c>
      <c r="C7" s="1033">
        <f>IF(C$6="","",IF(NOT(ISNUMBER(_xll.ciqfunctions.udf.CIQ(C$6,$F$2, $A7, $I$2, $I$3))),IF(C6=C$6,"",C6),_xll.ciqfunctions.udf.CIQ(C$6,$F$2, $A7, $I$2, $I$3)))</f>
        <v>72.08</v>
      </c>
      <c r="D7" s="1033">
        <f>IF(D$6="","",IF(NOT(ISNUMBER(_xll.ciqfunctions.udf.CIQ(D$6,$F$2, $A7, $I$2, $I$3))),IF(D6=D$6,"",D6),_xll.ciqfunctions.udf.CIQ(D$6,$F$2, $A7, $I$2, $I$3)))</f>
        <v>20663.22106</v>
      </c>
      <c r="E7" s="1033">
        <f>IF(E$6="","",IF(NOT(ISNUMBER(_xll.ciqfunctions.udf.CIQ(E$6,$F$2, $A7, $I$2, $I$3))),IF(E6=E$6,"",E6),_xll.ciqfunctions.udf.CIQ(E$6,$F$2, $A7, $I$2, $I$3)))</f>
        <v>7155.8210099999997</v>
      </c>
      <c r="F7" s="1033">
        <f>IF(F$6="","",IF(NOT(ISNUMBER(_xll.ciqfunctions.udf.CIQ(F$6,$F$2, $A7, $I$2, $I$3))),IF(F6=F$6,"",F6),_xll.ciqfunctions.udf.CIQ(F$6,$F$2, $A7, $I$2, $I$3)))</f>
        <v>4389.7351500000004</v>
      </c>
      <c r="G7" s="1033">
        <f>IF(G$6="","",IF(NOT(ISNUMBER(_xll.ciqfunctions.udf.CIQ(G$6,$F$2, $A7, $I$2, $I$3))),IF(G6=G$6,"",G6),_xll.ciqfunctions.udf.CIQ(G$6,$F$2, $A7, $I$2, $I$3)))</f>
        <v>167.69</v>
      </c>
      <c r="H7" s="1033" t="str">
        <f>IF(H$6="","",IF(NOT(ISNUMBER(_xll.ciqfunctions.udf.CIQ(H$6,$F$2, $A7, $I$2, $I$3))),IF(H6=H$6,"",H6),_xll.ciqfunctions.udf.CIQ(H$6,$F$2, $A7, $I$2, $I$3)))</f>
        <v/>
      </c>
      <c r="I7" s="1033" t="str">
        <f>IF(I$6="","",IF(NOT(ISNUMBER(_xll.ciqfunctions.udf.CIQ(I$6,$F$2, $A7, $I$2, $I$3))),IF(I6=I$6,"",I6),_xll.ciqfunctions.udf.CIQ(I$6,$F$2, $A7, $I$2, $I$3)))</f>
        <v/>
      </c>
      <c r="J7" s="1033" t="str">
        <f>IF(J$6="","",IF(NOT(ISNUMBER(_xll.ciqfunctions.udf.CIQ(J$6,$F$2, $A7, $I$2, $I$3))),IF(J6=J$6,"",J6),_xll.ciqfunctions.udf.CIQ(J$6,$F$2, $A7, $I$2, $I$3)))</f>
        <v/>
      </c>
      <c r="K7" s="1033" t="str">
        <f>IF(K$6="","",IF(NOT(ISNUMBER(_xll.ciqfunctions.udf.CIQ(K$6,$F$2, $A7, $I$2, $I$3))),IF(K6=K$6,"",K6),_xll.ciqfunctions.udf.CIQ(K$6,$F$2, $A7, $I$2, $I$3)))</f>
        <v/>
      </c>
      <c r="L7" s="254" t="str">
        <f>IF(L$6="","",IF(NOT(ISNUMBER(_xll.ciqfunctions.udf.CIQ(L$6,$F$2, $A7, $I$2, $I$3))),IF(L6=L$6,"",L6),_xll.ciqfunctions.udf.CIQ(L$6,$F$2, $A7, $I$2, $I$3)))</f>
        <v/>
      </c>
      <c r="M7" s="254" t="str">
        <f>IF(M$6="","",IF(NOT(ISNUMBER(_xll.ciqfunctions.udf.CIQ(M$6,$F$2, $A7, $I$2, $I$3))),IF(M6=M$6,"",M6),_xll.ciqfunctions.udf.CIQ(M$6,$F$2, $A7, $I$2, $I$3)))</f>
        <v/>
      </c>
      <c r="N7" s="254" t="str">
        <f>IF(N$6="","",IF(NOT(ISNUMBER(_xll.ciqfunctions.udf.CIQ(N$6,$F$2, $A7, $I$2, $I$3))),IF(N6=N$6,"",N6),_xll.ciqfunctions.udf.CIQ(N$6,$F$2, $A7, $I$2, $I$3)))</f>
        <v/>
      </c>
      <c r="O7" s="254" t="str">
        <f>IF(O$6="","",IF(NOT(ISNUMBER(_xll.ciqfunctions.udf.CIQ(O$6,$F$2, $A7, $I$2, $I$3))),IF(O6=O$6,"",O6),_xll.ciqfunctions.udf.CIQ(O$6,$F$2, $A7, $I$2, $I$3)))</f>
        <v/>
      </c>
      <c r="P7" s="254" t="str">
        <f>IF(P$6="","",IF(NOT(ISNUMBER(_xll.ciqfunctions.udf.CIQ(P$6,$F$2, $A7, $I$2, $I$3))),IF(P6=P$6,"",P6),_xll.ciqfunctions.udf.CIQ(P$6,$F$2, $A7, $I$2, $I$3)))</f>
        <v/>
      </c>
      <c r="R7" s="251">
        <f t="shared" ref="R7:R70" si="16">A7</f>
        <v>42825</v>
      </c>
      <c r="S7" s="255">
        <f>IF(C$7="",NA(),0)</f>
        <v>0</v>
      </c>
      <c r="T7" s="255">
        <f t="shared" ref="T7:V7" si="17">IF(D$7="",NA(),0)</f>
        <v>0</v>
      </c>
      <c r="U7" s="255">
        <f t="shared" si="17"/>
        <v>0</v>
      </c>
      <c r="V7" s="255">
        <f t="shared" si="17"/>
        <v>0</v>
      </c>
      <c r="W7" s="255">
        <f t="array" ref="W7">IFERROR(AVERAGE(IF(ISERROR(X7:AG7),"",X7:AG7)),"")</f>
        <v>0</v>
      </c>
      <c r="X7" s="255">
        <f>IF(G$7="",NA(),0)</f>
        <v>0</v>
      </c>
      <c r="Y7" s="255" t="e">
        <f t="shared" ref="Y7" si="18">IF(H$7="",NA(),0)</f>
        <v>#N/A</v>
      </c>
      <c r="Z7" s="255" t="e">
        <f t="shared" ref="Z7" si="19">IF(I$7="",NA(),0)</f>
        <v>#N/A</v>
      </c>
      <c r="AA7" s="255" t="e">
        <f t="shared" ref="AA7" si="20">IF(J$7="",NA(),0)</f>
        <v>#N/A</v>
      </c>
      <c r="AB7" s="255" t="e">
        <f t="shared" ref="AB7" si="21">IF(K$7="",NA(),0)</f>
        <v>#N/A</v>
      </c>
      <c r="AC7" s="255" t="e">
        <f t="shared" ref="AC7" si="22">IF(L$7="",NA(),0)</f>
        <v>#N/A</v>
      </c>
      <c r="AD7" s="255" t="e">
        <f t="shared" ref="AD7" si="23">IF(M$7="",NA(),0)</f>
        <v>#N/A</v>
      </c>
      <c r="AE7" s="255" t="e">
        <f t="shared" ref="AE7" si="24">IF(N$7="",NA(),0)</f>
        <v>#N/A</v>
      </c>
      <c r="AF7" s="255" t="e">
        <f t="shared" ref="AF7" si="25">IF(O$7="",NA(),0)</f>
        <v>#N/A</v>
      </c>
      <c r="AG7" s="255" t="e">
        <f t="shared" ref="AG7" si="26">IF(P$7="",NA(),0)</f>
        <v>#N/A</v>
      </c>
      <c r="AI7" s="251">
        <f t="shared" ref="AI7:AI70" si="27">R7</f>
        <v>42825</v>
      </c>
      <c r="AJ7" s="718">
        <f>IF(OR($B7="No",AJ$6=""),"",IF(NOT(ISNUMBER(_xll.ciqfunctions.udf.CIQ(AJ$6,"IQ_TEV",$AI7,$I$2,$I$3))),"",_xll.ciqfunctions.udf.CIQ(AJ$6,"IQ_TEV",$AI7,$I$2,$I$3)))</f>
        <v>261057.29441</v>
      </c>
      <c r="AK7" s="718">
        <f>IF(OR($B7="No",AK$6=""),"",IF(NOT(ISNUMBER(_xll.ciqfunctions.udf.CIQ(AK$6,"IQ_TEV",$AI7,$I$2,$I$3))),"",_xll.ciqfunctions.udf.CIQ(AK$6,"IQ_TEV",$AI7,$I$2,$I$3)))</f>
        <v>72984.848599999998</v>
      </c>
      <c r="AL7" s="718" t="str">
        <f>IF(OR($B7="No",AL$6=""),"",IF(NOT(ISNUMBER(_xll.ciqfunctions.udf.CIQ(AL$6,"IQ_TEV",$AI7,$I$2,$I$3))),"",_xll.ciqfunctions.udf.CIQ(AL$6,"IQ_TEV",$AI7,$I$2,$I$3)))</f>
        <v/>
      </c>
      <c r="AM7" s="718" t="str">
        <f>IF(OR($B7="No",AM$6=""),"",IF(NOT(ISNUMBER(_xll.ciqfunctions.udf.CIQ(AM$6,"IQ_TEV",$AI7,$I$2,$I$3))),"",_xll.ciqfunctions.udf.CIQ(AM$6,"IQ_TEV",$AI7,$I$2,$I$3)))</f>
        <v/>
      </c>
      <c r="AN7" s="718" t="str">
        <f>IF(OR($B7="No",AN$6=""),"",IF(NOT(ISNUMBER(_xll.ciqfunctions.udf.CIQ(AN$6,"IQ_TEV",$AI7,$I$2,$I$3))),"",_xll.ciqfunctions.udf.CIQ(AN$6,"IQ_TEV",$AI7,$I$2,$I$3)))</f>
        <v/>
      </c>
      <c r="AO7" s="718" t="str">
        <f>IF(OR($B7="No",AO$6=""),"",IF(NOT(ISNUMBER(_xll.ciqfunctions.udf.CIQ(AO$6,"IQ_TEV",$AI7,$I$2,$I$3))),"",_xll.ciqfunctions.udf.CIQ(AO$6,"IQ_TEV",$AI7,$I$2,$I$3)))</f>
        <v/>
      </c>
      <c r="AP7" s="718" t="str">
        <f>IF(OR($B7="No",AP$6=""),"",IF(NOT(ISNUMBER(_xll.ciqfunctions.udf.CIQ(AP$6,"IQ_TEV",$AI7,$I$2,$I$3))),"",_xll.ciqfunctions.udf.CIQ(AP$6,"IQ_TEV",$AI7,$I$2,$I$3)))</f>
        <v/>
      </c>
      <c r="AQ7" s="718" t="str">
        <f>IF(OR($B7="No",AQ$6=""),"",IF(NOT(ISNUMBER(_xll.ciqfunctions.udf.CIQ(AQ$6,"IQ_TEV",$AI7,$I$2,$I$3))),"",_xll.ciqfunctions.udf.CIQ(AQ$6,"IQ_TEV",$AI7,$I$2,$I$3)))</f>
        <v/>
      </c>
      <c r="AR7" s="718" t="str">
        <f>IF(OR($B7="No",AR$6=""),"",IF(NOT(ISNUMBER(_xll.ciqfunctions.udf.CIQ(AR$6,"IQ_TEV",$AI7,$I$2,$I$3))),"",_xll.ciqfunctions.udf.CIQ(AR$6,"IQ_TEV",$AI7,$I$2,$I$3)))</f>
        <v/>
      </c>
      <c r="AS7" s="718" t="str">
        <f>IF(OR($B7="No",AS$6=""),"",IF(NOT(ISNUMBER(_xll.ciqfunctions.udf.CIQ(AS$6,"IQ_TEV",$AI7,$I$2,$I$3))),"",_xll.ciqfunctions.udf.CIQ(AS$6,"IQ_TEV",$AI7,$I$2,$I$3)))</f>
        <v/>
      </c>
      <c r="AT7" s="718" t="str">
        <f>IF(OR($B7="No",AT$6=""),"",IF(NOT(ISNUMBER(_xll.ciqfunctions.udf.CIQ(AT$6,"IQ_TEV",$AI7,$I$2,$I$3))),"",_xll.ciqfunctions.udf.CIQ(AT$6,"IQ_TEV",$AI7,$I$2,$I$3)))</f>
        <v/>
      </c>
      <c r="AV7" s="251">
        <f>AI7</f>
        <v>42825</v>
      </c>
      <c r="AW7" s="719">
        <f t="shared" ref="AW7:AX7" si="28">IF(OR(AW$6="",$B7="No",AJ$7=""),NA(),0)</f>
        <v>0</v>
      </c>
      <c r="AX7" s="719">
        <f t="shared" si="28"/>
        <v>0</v>
      </c>
      <c r="AY7" s="719" t="e">
        <f>IF(OR(AY$6="",$B7="No",AL$7=""),NA(),0)</f>
        <v>#N/A</v>
      </c>
      <c r="AZ7" s="719" t="e">
        <f t="shared" ref="AZ7:BB7" si="29">IF(OR(AZ$6="",$B7="No",AM$7=""),NA(),0)</f>
        <v>#N/A</v>
      </c>
      <c r="BA7" s="719" t="e">
        <f t="shared" si="29"/>
        <v>#N/A</v>
      </c>
      <c r="BB7" s="719" t="e">
        <f t="shared" si="29"/>
        <v>#N/A</v>
      </c>
      <c r="BC7" s="719" t="e">
        <f t="shared" ref="BC7" si="30">IF(OR(BC$6="",$B7="No",AP$7=""),NA(),0)</f>
        <v>#N/A</v>
      </c>
      <c r="BD7" s="719" t="e">
        <f t="shared" ref="BD7" si="31">IF(OR(BD$6="",$B7="No",AQ$7=""),NA(),0)</f>
        <v>#N/A</v>
      </c>
      <c r="BE7" s="719" t="e">
        <f t="shared" ref="BE7" si="32">IF(OR(BE$6="",$B7="No",AR$7=""),NA(),0)</f>
        <v>#N/A</v>
      </c>
      <c r="BF7" s="719" t="e">
        <f t="shared" ref="BF7" si="33">IF(OR(BF$6="",$B7="No",AS$7=""),NA(),0)</f>
        <v>#N/A</v>
      </c>
      <c r="BG7" s="719" t="e">
        <f t="shared" ref="BG7" si="34">IF(OR(BG$6="",$B7="No",AT$7=""),NA(),0)</f>
        <v>#N/A</v>
      </c>
    </row>
    <row r="8" spans="1:59" ht="15" customHeight="1" x14ac:dyDescent="0.2">
      <c r="A8" s="251">
        <f t="shared" si="15"/>
        <v>42832</v>
      </c>
      <c r="B8" s="253" t="str">
        <f>IF(AND(B7="No",COUNT(C8:F8)=0),"No","Yes")</f>
        <v>Yes</v>
      </c>
      <c r="C8" s="1033">
        <f>IF(C$6="","",IF(NOT(ISNUMBER(_xll.ciqfunctions.udf.CIQ(C$6,$F$2, $A8, $I$2, $I$3))),IF(C7=C$6,"",C7),_xll.ciqfunctions.udf.CIQ(C$6,$F$2, $A8, $I$2, $I$3)))</f>
        <v>72.900000000000006</v>
      </c>
      <c r="D8" s="1033">
        <f>IF(D$6="","",IF(NOT(ISNUMBER(_xll.ciqfunctions.udf.CIQ(D$6,$F$2, $A8, $I$2, $I$3))),IF(D7=D$6,"",D7),_xll.ciqfunctions.udf.CIQ(D$6,$F$2, $A8, $I$2, $I$3)))</f>
        <v>20656.09881</v>
      </c>
      <c r="E8" s="1033">
        <f>IF(E$6="","",IF(NOT(ISNUMBER(_xll.ciqfunctions.udf.CIQ(E$6,$F$2, $A8, $I$2, $I$3))),IF(E7=E$6,"",E7),_xll.ciqfunctions.udf.CIQ(E$6,$F$2, $A8, $I$2, $I$3)))</f>
        <v>7155.1445400000002</v>
      </c>
      <c r="F8" s="1033">
        <f>IF(F$6="","",IF(NOT(ISNUMBER(_xll.ciqfunctions.udf.CIQ(F$6,$F$2, $A8, $I$2, $I$3))),IF(F7=F$6,"",F7),_xll.ciqfunctions.udf.CIQ(F$6,$F$2, $A8, $I$2, $I$3)))</f>
        <v>4309.77646</v>
      </c>
      <c r="G8" s="1033">
        <f>IF(G$6="","",IF(NOT(ISNUMBER(_xll.ciqfunctions.udf.CIQ(G$6,$F$2, $A8, $I$2, $I$3))),IF(G7=G$6,"",G7),_xll.ciqfunctions.udf.CIQ(G$6,$F$2, $A8, $I$2, $I$3)))</f>
        <v>170.62</v>
      </c>
      <c r="H8" s="1033" t="str">
        <f>IF(H$6="","",IF(NOT(ISNUMBER(_xll.ciqfunctions.udf.CIQ(H$6,$F$2, $A8, $I$2, $I$3))),IF(H7=H$6,"",H7),_xll.ciqfunctions.udf.CIQ(H$6,$F$2, $A8, $I$2, $I$3)))</f>
        <v/>
      </c>
      <c r="I8" s="1033" t="str">
        <f>IF(I$6="","",IF(NOT(ISNUMBER(_xll.ciqfunctions.udf.CIQ(I$6,$F$2, $A8, $I$2, $I$3))),IF(I7=I$6,"",I7),_xll.ciqfunctions.udf.CIQ(I$6,$F$2, $A8, $I$2, $I$3)))</f>
        <v/>
      </c>
      <c r="J8" s="1033" t="str">
        <f>IF(J$6="","",IF(NOT(ISNUMBER(_xll.ciqfunctions.udf.CIQ(J$6,$F$2, $A8, $I$2, $I$3))),IF(J7=J$6,"",J7),_xll.ciqfunctions.udf.CIQ(J$6,$F$2, $A8, $I$2, $I$3)))</f>
        <v/>
      </c>
      <c r="K8" s="1033" t="str">
        <f>IF(K$6="","",IF(NOT(ISNUMBER(_xll.ciqfunctions.udf.CIQ(K$6,$F$2, $A8, $I$2, $I$3))),IF(K7=K$6,"",K7),_xll.ciqfunctions.udf.CIQ(K$6,$F$2, $A8, $I$2, $I$3)))</f>
        <v/>
      </c>
      <c r="L8" s="254" t="str">
        <f>IF(L$6="","",IF(NOT(ISNUMBER(_xll.ciqfunctions.udf.CIQ(L$6,$F$2, $A8, $I$2, $I$3))),IF(L7=L$6,"",L7),_xll.ciqfunctions.udf.CIQ(L$6,$F$2, $A8, $I$2, $I$3)))</f>
        <v/>
      </c>
      <c r="M8" s="254" t="str">
        <f>IF(M$6="","",IF(NOT(ISNUMBER(_xll.ciqfunctions.udf.CIQ(M$6,$F$2, $A8, $I$2, $I$3))),IF(M7=M$6,"",M7),_xll.ciqfunctions.udf.CIQ(M$6,$F$2, $A8, $I$2, $I$3)))</f>
        <v/>
      </c>
      <c r="N8" s="254" t="str">
        <f>IF(N$6="","",IF(NOT(ISNUMBER(_xll.ciqfunctions.udf.CIQ(N$6,$F$2, $A8, $I$2, $I$3))),IF(N7=N$6,"",N7),_xll.ciqfunctions.udf.CIQ(N$6,$F$2, $A8, $I$2, $I$3)))</f>
        <v/>
      </c>
      <c r="O8" s="254" t="str">
        <f>IF(O$6="","",IF(NOT(ISNUMBER(_xll.ciqfunctions.udf.CIQ(O$6,$F$2, $A8, $I$2, $I$3))),IF(O7=O$6,"",O7),_xll.ciqfunctions.udf.CIQ(O$6,$F$2, $A8, $I$2, $I$3)))</f>
        <v/>
      </c>
      <c r="P8" s="254" t="str">
        <f>IF(P$6="","",IF(NOT(ISNUMBER(_xll.ciqfunctions.udf.CIQ(P$6,$F$2, $A8, $I$2, $I$3))),IF(P7=P$6,"",P7),_xll.ciqfunctions.udf.CIQ(P$6,$F$2, $A8, $I$2, $I$3)))</f>
        <v/>
      </c>
      <c r="R8" s="251">
        <f t="shared" si="16"/>
        <v>42832</v>
      </c>
      <c r="S8" s="255">
        <f t="shared" ref="S8:S71" si="35">IFERROR(IF(C8="",NA(),IF(OR($B8="No",C8=""),NA(),IF(AND(ISNA(S7),C8=S$3),0,IF($A$2="Yes",C8/C7-1,C8/S$3-1)))),"")</f>
        <v>1.137624861265274E-2</v>
      </c>
      <c r="T8" s="255">
        <f t="shared" ref="T8:T71" si="36">IFERROR(IF(D8="",NA(),IF(OR($B8="No",D8=""),NA(),IF(AND(ISNA(T7),D8=T$3),0,IF($A$2="Yes",D8/D7-1,D8/T$3-1)))),"")</f>
        <v>-3.4468246646146561E-4</v>
      </c>
      <c r="U8" s="1075">
        <f t="shared" ref="U8:U71" si="37">IFERROR(IF(E8="",NA(),IF(OR($B8="No",E8=""),NA(),IF(AND(ISNA(U7),E8=U$3),0,IF($A$2="Yes",E8/E7-1,E8/U$3-1)))),"")</f>
        <v>-9.4534225919540305E-5</v>
      </c>
      <c r="V8" s="255">
        <f>IFERROR(IF(F8="",NA(),IF(OR($B8="No",F8=""),NA(),IF(AND(ISNA(V7),F8=V$3),0,IF($A$2="Yes",F8/F7-1,F8/V$3-1)))),"")</f>
        <v>-1.8214923513096282E-2</v>
      </c>
      <c r="W8" s="255">
        <f t="array" ref="W8">IFERROR(AVERAGE(IF(ISERROR(X8:AG8),"",X8:AG8)),"")</f>
        <v>1.7472717514461333E-2</v>
      </c>
      <c r="X8" s="255">
        <f>IF(G8="",NA(),IF(OR($B8="No",G8=""),NA(),IF(AND(ISNA(X7),G8=X$3),0,IF($A$2="Yes",G8/G7-1,G8/X$3-1))))</f>
        <v>1.7472717514461333E-2</v>
      </c>
      <c r="Y8" s="255" t="e">
        <f t="shared" ref="Y8:AG23" si="38">IF(H8="",NA(),IF(OR($B8="No",H8=""),NA(),IF(AND(ISNA(Y7),H8=Y$3),0,IF($A$2="Yes",H8/H7-1,H8/Y$3-1))))</f>
        <v>#N/A</v>
      </c>
      <c r="Z8" s="255" t="e">
        <f t="shared" si="38"/>
        <v>#N/A</v>
      </c>
      <c r="AA8" s="255" t="e">
        <f t="shared" si="38"/>
        <v>#N/A</v>
      </c>
      <c r="AB8" s="255" t="e">
        <f t="shared" si="38"/>
        <v>#N/A</v>
      </c>
      <c r="AC8" s="255" t="e">
        <f t="shared" si="38"/>
        <v>#N/A</v>
      </c>
      <c r="AD8" s="255" t="e">
        <f t="shared" si="38"/>
        <v>#N/A</v>
      </c>
      <c r="AE8" s="255" t="e">
        <f t="shared" si="38"/>
        <v>#N/A</v>
      </c>
      <c r="AF8" s="255" t="e">
        <f t="shared" si="38"/>
        <v>#N/A</v>
      </c>
      <c r="AG8" s="255" t="e">
        <f t="shared" si="38"/>
        <v>#N/A</v>
      </c>
      <c r="AI8" s="251">
        <f t="shared" si="27"/>
        <v>42832</v>
      </c>
      <c r="AJ8" s="718">
        <f>IF(OR($B8="No",AJ$6=""),"",IF(NOT(ISNUMBER(_xll.ciqfunctions.udf.CIQ(AJ$6,"IQ_TEV",$AI8,$I$2,$I$3))),"",_xll.ciqfunctions.udf.CIQ(AJ$6,"IQ_TEV",$AI8,$I$2,$I$3)))</f>
        <v>263544.36186</v>
      </c>
      <c r="AK8" s="718">
        <f>IF(OR($B8="No",AK$6=""),"",IF(NOT(ISNUMBER(_xll.ciqfunctions.udf.CIQ(AK$6,"IQ_TEV",$AI8,$I$2,$I$3))),"",_xll.ciqfunctions.udf.CIQ(AK$6,"IQ_TEV",$AI8,$I$2,$I$3)))</f>
        <v>74270.942800000004</v>
      </c>
      <c r="AL8" s="718" t="str">
        <f>IF(OR($B8="No",AL$6=""),"",IF(NOT(ISNUMBER(_xll.ciqfunctions.udf.CIQ(AL$6,"IQ_TEV",$AI8,$I$2,$I$3))),"",_xll.ciqfunctions.udf.CIQ(AL$6,"IQ_TEV",$AI8,$I$2,$I$3)))</f>
        <v/>
      </c>
      <c r="AM8" s="718" t="str">
        <f>IF(OR($B8="No",AM$6=""),"",IF(NOT(ISNUMBER(_xll.ciqfunctions.udf.CIQ(AM$6,"IQ_TEV",$AI8,$I$2,$I$3))),"",_xll.ciqfunctions.udf.CIQ(AM$6,"IQ_TEV",$AI8,$I$2,$I$3)))</f>
        <v/>
      </c>
      <c r="AN8" s="718" t="str">
        <f>IF(OR($B8="No",AN$6=""),"",IF(NOT(ISNUMBER(_xll.ciqfunctions.udf.CIQ(AN$6,"IQ_TEV",$AI8,$I$2,$I$3))),"",_xll.ciqfunctions.udf.CIQ(AN$6,"IQ_TEV",$AI8,$I$2,$I$3)))</f>
        <v/>
      </c>
      <c r="AO8" s="718" t="str">
        <f>IF(OR($B8="No",AO$6=""),"",IF(NOT(ISNUMBER(_xll.ciqfunctions.udf.CIQ(AO$6,"IQ_TEV",$AI8,$I$2,$I$3))),"",_xll.ciqfunctions.udf.CIQ(AO$6,"IQ_TEV",$AI8,$I$2,$I$3)))</f>
        <v/>
      </c>
      <c r="AP8" s="718" t="str">
        <f>IF(OR($B8="No",AP$6=""),"",IF(NOT(ISNUMBER(_xll.ciqfunctions.udf.CIQ(AP$6,"IQ_TEV",$AI8,$I$2,$I$3))),"",_xll.ciqfunctions.udf.CIQ(AP$6,"IQ_TEV",$AI8,$I$2,$I$3)))</f>
        <v/>
      </c>
      <c r="AQ8" s="718" t="str">
        <f>IF(OR($B8="No",AQ$6=""),"",IF(NOT(ISNUMBER(_xll.ciqfunctions.udf.CIQ(AQ$6,"IQ_TEV",$AI8,$I$2,$I$3))),"",_xll.ciqfunctions.udf.CIQ(AQ$6,"IQ_TEV",$AI8,$I$2,$I$3)))</f>
        <v/>
      </c>
      <c r="AR8" s="718" t="str">
        <f>IF(OR($B8="No",AR$6=""),"",IF(NOT(ISNUMBER(_xll.ciqfunctions.udf.CIQ(AR$6,"IQ_TEV",$AI8,$I$2,$I$3))),"",_xll.ciqfunctions.udf.CIQ(AR$6,"IQ_TEV",$AI8,$I$2,$I$3)))</f>
        <v/>
      </c>
      <c r="AS8" s="718" t="str">
        <f>IF(OR($B8="No",AS$6=""),"",IF(NOT(ISNUMBER(_xll.ciqfunctions.udf.CIQ(AS$6,"IQ_TEV",$AI8,$I$2,$I$3))),"",_xll.ciqfunctions.udf.CIQ(AS$6,"IQ_TEV",$AI8,$I$2,$I$3)))</f>
        <v/>
      </c>
      <c r="AT8" s="718" t="str">
        <f>IF(OR($B8="No",AT$6=""),"",IF(NOT(ISNUMBER(_xll.ciqfunctions.udf.CIQ(AT$6,"IQ_TEV",$AI8,$I$2,$I$3))),"",_xll.ciqfunctions.udf.CIQ(AT$6,"IQ_TEV",$AI8,$I$2,$I$3)))</f>
        <v/>
      </c>
      <c r="AV8" s="251">
        <f t="shared" ref="AV8:AV71" si="39">AI8</f>
        <v>42832</v>
      </c>
      <c r="AW8" s="719">
        <f t="shared" ref="AW8:AW71" si="40">IF(OR(AW$6="",$B8="No",AJ8=""),NA(),IF(AND(ISNA(AW7),ISNUMBER(AJ8)),0,IF($A$2="Yes",AJ8/AJ7-1,AJ8/AW$3-1)))</f>
        <v>9.5269027269315743E-3</v>
      </c>
      <c r="AX8" s="719">
        <f t="shared" ref="AX8:AX71" si="41">IF(OR(AX$6="",$B8="No",AK8=""),NA(),IF(AND(ISNA(AX7),ISNUMBER(AK8)),0,IF($A$2="Yes",AK8/AK7-1,AK8/AX$3-1)))</f>
        <v>1.7621386146165152E-2</v>
      </c>
      <c r="AY8" s="719" t="e">
        <f t="shared" ref="AY8:AY71" si="42">IF(OR(AY$6="",$B8="No",AL8=""),NA(),IF(AND(ISNA(AY7),ISNUMBER(AL8)),0,IF($A$2="Yes",AL8/AL7-1,AL8/AY$3-1)))</f>
        <v>#N/A</v>
      </c>
      <c r="AZ8" s="719" t="e">
        <f t="shared" ref="AZ8:AZ71" si="43">IF(OR(AZ$6="",$B8="No",AM8=""),NA(),IF(AND(ISNA(AZ7),ISNUMBER(AM8)),0,IF($A$2="Yes",AM8/AM7-1,AM8/AZ$3-1)))</f>
        <v>#N/A</v>
      </c>
      <c r="BA8" s="719" t="e">
        <f t="shared" ref="BA8:BA71" si="44">IF(OR(BA$6="",$B8="No",AN8=""),NA(),IF(AND(ISNA(BA7),ISNUMBER(AN8)),0,IF($A$2="Yes",AN8/AN7-1,AN8/BA$3-1)))</f>
        <v>#N/A</v>
      </c>
      <c r="BB8" s="719" t="e">
        <f t="shared" ref="BB8:BB71" si="45">IF(OR(BB$6="",$B8="No",AO8=""),NA(),IF(AND(ISNA(BB7),ISNUMBER(AO8)),0,IF($A$2="Yes",AO8/AO7-1,AO8/BB$3-1)))</f>
        <v>#N/A</v>
      </c>
      <c r="BC8" s="719" t="e">
        <f t="shared" ref="BC8:BC71" si="46">IF(OR(BC$6="",$B8="No",AP8=""),NA(),IF(AND(ISNA(BC7),ISNUMBER(AP8)),0,IF($A$2="Yes",AP8/AP7-1,AP8/BC$3-1)))</f>
        <v>#N/A</v>
      </c>
      <c r="BD8" s="719" t="e">
        <f t="shared" ref="BD8:BD71" si="47">IF(OR(BD$6="",$B8="No",AQ8=""),NA(),IF(AND(ISNA(BD7),ISNUMBER(AQ8)),0,IF($A$2="Yes",AQ8/AQ7-1,AQ8/BD$3-1)))</f>
        <v>#N/A</v>
      </c>
      <c r="BE8" s="719" t="e">
        <f t="shared" ref="BE8:BE71" si="48">IF(OR(BE$6="",$B8="No",AR8=""),NA(),IF(AND(ISNA(BE7),ISNUMBER(AR8)),0,IF($A$2="Yes",AR8/AR7-1,AR8/BE$3-1)))</f>
        <v>#N/A</v>
      </c>
      <c r="BF8" s="719" t="e">
        <f t="shared" ref="BF8:BF71" si="49">IF(OR(BF$6="",$B8="No",AS8=""),NA(),IF(AND(ISNA(BF7),ISNUMBER(AS8)),0,IF($A$2="Yes",AS8/AS7-1,AS8/BF$3-1)))</f>
        <v>#N/A</v>
      </c>
      <c r="BG8" s="719" t="e">
        <f t="shared" ref="BG8:BG71" si="50">IF(OR(BG$6="",$B8="No",AT8=""),NA(),IF(AND(ISNA(BG7),ISNUMBER(AT8)),0,IF($A$2="Yes",AT8/AT7-1,AT8/BG$3-1)))</f>
        <v>#N/A</v>
      </c>
    </row>
    <row r="9" spans="1:59" ht="15" customHeight="1" x14ac:dyDescent="0.2">
      <c r="A9" s="251">
        <f t="shared" si="15"/>
        <v>42839</v>
      </c>
      <c r="B9" s="253" t="str">
        <f t="shared" ref="B9:B72" si="51">IF(AND(B8="No",COUNT(C9:F9)=0),"No","Yes")</f>
        <v>Yes</v>
      </c>
      <c r="C9" s="1033">
        <f>IF(C$6="","",IF(NOT(ISNUMBER(_xll.ciqfunctions.udf.CIQ(C$6,$F$2, $A9, $I$2, $I$3))),IF(C8=C$6,"",C8),_xll.ciqfunctions.udf.CIQ(C$6,$F$2, $A9, $I$2, $I$3)))</f>
        <v>73.150000000000006</v>
      </c>
      <c r="D9" s="1033">
        <f>IF(D$6="","",IF(NOT(ISNUMBER(_xll.ciqfunctions.udf.CIQ(D$6,$F$2, $A9, $I$2, $I$3))),IF(D8=D$6,"",D8),_xll.ciqfunctions.udf.CIQ(D$6,$F$2, $A9, $I$2, $I$3)))</f>
        <v>20453.251660000002</v>
      </c>
      <c r="E9" s="1033">
        <f>IF(E$6="","",IF(NOT(ISNUMBER(_xll.ciqfunctions.udf.CIQ(E$6,$F$2, $A9, $I$2, $I$3))),IF(E8=E$6,"",E8),_xll.ciqfunctions.udf.CIQ(E$6,$F$2, $A9, $I$2, $I$3)))</f>
        <v>7072.3099499999998</v>
      </c>
      <c r="F9" s="1033">
        <f>IF(F$6="","",IF(NOT(ISNUMBER(_xll.ciqfunctions.udf.CIQ(F$6,$F$2, $A9, $I$2, $I$3))),IF(F8=F$6,"",F8),_xll.ciqfunctions.udf.CIQ(F$6,$F$2, $A9, $I$2, $I$3)))</f>
        <v>4318.3974099999996</v>
      </c>
      <c r="G9" s="1033">
        <f>IF(G$6="","",IF(NOT(ISNUMBER(_xll.ciqfunctions.udf.CIQ(G$6,$F$2, $A9, $I$2, $I$3))),IF(G8=G$6,"",G8),_xll.ciqfunctions.udf.CIQ(G$6,$F$2, $A9, $I$2, $I$3)))</f>
        <v>168.84</v>
      </c>
      <c r="H9" s="1033" t="str">
        <f>IF(H$6="","",IF(NOT(ISNUMBER(_xll.ciqfunctions.udf.CIQ(H$6,$F$2, $A9, $I$2, $I$3))),IF(H8=H$6,"",H8),_xll.ciqfunctions.udf.CIQ(H$6,$F$2, $A9, $I$2, $I$3)))</f>
        <v/>
      </c>
      <c r="I9" s="1033" t="str">
        <f>IF(I$6="","",IF(NOT(ISNUMBER(_xll.ciqfunctions.udf.CIQ(I$6,$F$2, $A9, $I$2, $I$3))),IF(I8=I$6,"",I8),_xll.ciqfunctions.udf.CIQ(I$6,$F$2, $A9, $I$2, $I$3)))</f>
        <v/>
      </c>
      <c r="J9" s="1033" t="str">
        <f>IF(J$6="","",IF(NOT(ISNUMBER(_xll.ciqfunctions.udf.CIQ(J$6,$F$2, $A9, $I$2, $I$3))),IF(J8=J$6,"",J8),_xll.ciqfunctions.udf.CIQ(J$6,$F$2, $A9, $I$2, $I$3)))</f>
        <v/>
      </c>
      <c r="K9" s="1033" t="str">
        <f>IF(K$6="","",IF(NOT(ISNUMBER(_xll.ciqfunctions.udf.CIQ(K$6,$F$2, $A9, $I$2, $I$3))),IF(K8=K$6,"",K8),_xll.ciqfunctions.udf.CIQ(K$6,$F$2, $A9, $I$2, $I$3)))</f>
        <v/>
      </c>
      <c r="L9" s="254" t="str">
        <f>IF(L$6="","",IF(NOT(ISNUMBER(_xll.ciqfunctions.udf.CIQ(L$6,$F$2, $A9, $I$2, $I$3))),IF(L8=L$6,"",L8),_xll.ciqfunctions.udf.CIQ(L$6,$F$2, $A9, $I$2, $I$3)))</f>
        <v/>
      </c>
      <c r="M9" s="254" t="str">
        <f>IF(M$6="","",IF(NOT(ISNUMBER(_xll.ciqfunctions.udf.CIQ(M$6,$F$2, $A9, $I$2, $I$3))),IF(M8=M$6,"",M8),_xll.ciqfunctions.udf.CIQ(M$6,$F$2, $A9, $I$2, $I$3)))</f>
        <v/>
      </c>
      <c r="N9" s="254" t="str">
        <f>IF(N$6="","",IF(NOT(ISNUMBER(_xll.ciqfunctions.udf.CIQ(N$6,$F$2, $A9, $I$2, $I$3))),IF(N8=N$6,"",N8),_xll.ciqfunctions.udf.CIQ(N$6,$F$2, $A9, $I$2, $I$3)))</f>
        <v/>
      </c>
      <c r="O9" s="254" t="str">
        <f>IF(O$6="","",IF(NOT(ISNUMBER(_xll.ciqfunctions.udf.CIQ(O$6,$F$2, $A9, $I$2, $I$3))),IF(O8=O$6,"",O8),_xll.ciqfunctions.udf.CIQ(O$6,$F$2, $A9, $I$2, $I$3)))</f>
        <v/>
      </c>
      <c r="P9" s="254" t="str">
        <f>IF(P$6="","",IF(NOT(ISNUMBER(_xll.ciqfunctions.udf.CIQ(P$6,$F$2, $A9, $I$2, $I$3))),IF(P8=P$6,"",P8),_xll.ciqfunctions.udf.CIQ(P$6,$F$2, $A9, $I$2, $I$3)))</f>
        <v/>
      </c>
      <c r="R9" s="251">
        <f t="shared" si="16"/>
        <v>42839</v>
      </c>
      <c r="S9" s="255">
        <f t="shared" si="35"/>
        <v>1.4844617092119927E-2</v>
      </c>
      <c r="T9" s="255">
        <f t="shared" si="36"/>
        <v>-1.0161503832839425E-2</v>
      </c>
      <c r="U9" s="255">
        <f t="shared" si="37"/>
        <v>-1.1670367367112244E-2</v>
      </c>
      <c r="V9" s="255">
        <f t="shared" ref="V9:V72" si="52">IFERROR(IF(F9="",NA(),IF(OR($B9="No",F9=""),NA(),IF(AND(ISNA(V8),F9=V$3),0,IF($A$2="Yes",F9/F8-1,F9/V$3-1)))),"")</f>
        <v>-1.6251035099464017E-2</v>
      </c>
      <c r="W9" s="255">
        <f t="array" ref="W9">IFERROR(AVERAGE(IF(ISERROR(X9:AG9),"",X9:AG9)),"")</f>
        <v>6.8578925398057322E-3</v>
      </c>
      <c r="X9" s="255">
        <f t="shared" ref="X9:X72" si="53">IF(G9="",NA(),IF(OR($B9="No",G9=""),NA(),IF(AND(ISNA(X8),G9=X$3),0,IF($A$2="Yes",G9/G8-1,G9/X$3-1))))</f>
        <v>6.8578925398057322E-3</v>
      </c>
      <c r="Y9" s="255" t="e">
        <f t="shared" si="38"/>
        <v>#N/A</v>
      </c>
      <c r="Z9" s="255" t="e">
        <f t="shared" si="38"/>
        <v>#N/A</v>
      </c>
      <c r="AA9" s="255" t="e">
        <f t="shared" si="38"/>
        <v>#N/A</v>
      </c>
      <c r="AB9" s="255" t="e">
        <f t="shared" si="38"/>
        <v>#N/A</v>
      </c>
      <c r="AC9" s="255" t="e">
        <f t="shared" si="38"/>
        <v>#N/A</v>
      </c>
      <c r="AD9" s="255" t="e">
        <f t="shared" si="38"/>
        <v>#N/A</v>
      </c>
      <c r="AE9" s="255" t="e">
        <f t="shared" si="38"/>
        <v>#N/A</v>
      </c>
      <c r="AF9" s="255" t="e">
        <f t="shared" si="38"/>
        <v>#N/A</v>
      </c>
      <c r="AG9" s="255" t="e">
        <f t="shared" si="38"/>
        <v>#N/A</v>
      </c>
      <c r="AI9" s="251">
        <f t="shared" si="27"/>
        <v>42839</v>
      </c>
      <c r="AJ9" s="718">
        <f>IF(OR($B9="No",AJ$6=""),"",IF(NOT(ISNUMBER(_xll.ciqfunctions.udf.CIQ(AJ$6,"IQ_TEV",$AI9,$I$2,$I$3))),"",_xll.ciqfunctions.udf.CIQ(AJ$6,"IQ_TEV",$AI9,$I$2,$I$3)))</f>
        <v>264302.61413</v>
      </c>
      <c r="AK9" s="718">
        <f>IF(OR($B9="No",AK$6=""),"",IF(NOT(ISNUMBER(_xll.ciqfunctions.udf.CIQ(AK$6,"IQ_TEV",$AI9,$I$2,$I$3))),"",_xll.ciqfunctions.udf.CIQ(AK$6,"IQ_TEV",$AI9,$I$2,$I$3)))</f>
        <v>73489.6296</v>
      </c>
      <c r="AL9" s="718" t="str">
        <f>IF(OR($B9="No",AL$6=""),"",IF(NOT(ISNUMBER(_xll.ciqfunctions.udf.CIQ(AL$6,"IQ_TEV",$AI9,$I$2,$I$3))),"",_xll.ciqfunctions.udf.CIQ(AL$6,"IQ_TEV",$AI9,$I$2,$I$3)))</f>
        <v/>
      </c>
      <c r="AM9" s="718" t="str">
        <f>IF(OR($B9="No",AM$6=""),"",IF(NOT(ISNUMBER(_xll.ciqfunctions.udf.CIQ(AM$6,"IQ_TEV",$AI9,$I$2,$I$3))),"",_xll.ciqfunctions.udf.CIQ(AM$6,"IQ_TEV",$AI9,$I$2,$I$3)))</f>
        <v/>
      </c>
      <c r="AN9" s="718" t="str">
        <f>IF(OR($B9="No",AN$6=""),"",IF(NOT(ISNUMBER(_xll.ciqfunctions.udf.CIQ(AN$6,"IQ_TEV",$AI9,$I$2,$I$3))),"",_xll.ciqfunctions.udf.CIQ(AN$6,"IQ_TEV",$AI9,$I$2,$I$3)))</f>
        <v/>
      </c>
      <c r="AO9" s="718" t="str">
        <f>IF(OR($B9="No",AO$6=""),"",IF(NOT(ISNUMBER(_xll.ciqfunctions.udf.CIQ(AO$6,"IQ_TEV",$AI9,$I$2,$I$3))),"",_xll.ciqfunctions.udf.CIQ(AO$6,"IQ_TEV",$AI9,$I$2,$I$3)))</f>
        <v/>
      </c>
      <c r="AP9" s="718" t="str">
        <f>IF(OR($B9="No",AP$6=""),"",IF(NOT(ISNUMBER(_xll.ciqfunctions.udf.CIQ(AP$6,"IQ_TEV",$AI9,$I$2,$I$3))),"",_xll.ciqfunctions.udf.CIQ(AP$6,"IQ_TEV",$AI9,$I$2,$I$3)))</f>
        <v/>
      </c>
      <c r="AQ9" s="718" t="str">
        <f>IF(OR($B9="No",AQ$6=""),"",IF(NOT(ISNUMBER(_xll.ciqfunctions.udf.CIQ(AQ$6,"IQ_TEV",$AI9,$I$2,$I$3))),"",_xll.ciqfunctions.udf.CIQ(AQ$6,"IQ_TEV",$AI9,$I$2,$I$3)))</f>
        <v/>
      </c>
      <c r="AR9" s="718" t="str">
        <f>IF(OR($B9="No",AR$6=""),"",IF(NOT(ISNUMBER(_xll.ciqfunctions.udf.CIQ(AR$6,"IQ_TEV",$AI9,$I$2,$I$3))),"",_xll.ciqfunctions.udf.CIQ(AR$6,"IQ_TEV",$AI9,$I$2,$I$3)))</f>
        <v/>
      </c>
      <c r="AS9" s="718" t="str">
        <f>IF(OR($B9="No",AS$6=""),"",IF(NOT(ISNUMBER(_xll.ciqfunctions.udf.CIQ(AS$6,"IQ_TEV",$AI9,$I$2,$I$3))),"",_xll.ciqfunctions.udf.CIQ(AS$6,"IQ_TEV",$AI9,$I$2,$I$3)))</f>
        <v/>
      </c>
      <c r="AT9" s="718" t="str">
        <f>IF(OR($B9="No",AT$6=""),"",IF(NOT(ISNUMBER(_xll.ciqfunctions.udf.CIQ(AT$6,"IQ_TEV",$AI9,$I$2,$I$3))),"",_xll.ciqfunctions.udf.CIQ(AT$6,"IQ_TEV",$AI9,$I$2,$I$3)))</f>
        <v/>
      </c>
      <c r="AV9" s="251">
        <f t="shared" si="39"/>
        <v>42839</v>
      </c>
      <c r="AW9" s="719">
        <f t="shared" si="40"/>
        <v>1.2431446236101262E-2</v>
      </c>
      <c r="AX9" s="719">
        <f t="shared" si="41"/>
        <v>6.9162437092458173E-3</v>
      </c>
      <c r="AY9" s="719" t="e">
        <f t="shared" si="42"/>
        <v>#N/A</v>
      </c>
      <c r="AZ9" s="719" t="e">
        <f t="shared" si="43"/>
        <v>#N/A</v>
      </c>
      <c r="BA9" s="719" t="e">
        <f t="shared" si="44"/>
        <v>#N/A</v>
      </c>
      <c r="BB9" s="719" t="e">
        <f t="shared" si="45"/>
        <v>#N/A</v>
      </c>
      <c r="BC9" s="719" t="e">
        <f t="shared" si="46"/>
        <v>#N/A</v>
      </c>
      <c r="BD9" s="719" t="e">
        <f t="shared" si="47"/>
        <v>#N/A</v>
      </c>
      <c r="BE9" s="719" t="e">
        <f t="shared" si="48"/>
        <v>#N/A</v>
      </c>
      <c r="BF9" s="719" t="e">
        <f t="shared" si="49"/>
        <v>#N/A</v>
      </c>
      <c r="BG9" s="719" t="e">
        <f t="shared" si="50"/>
        <v>#N/A</v>
      </c>
    </row>
    <row r="10" spans="1:59" ht="15" customHeight="1" x14ac:dyDescent="0.2">
      <c r="A10" s="251">
        <f t="shared" si="15"/>
        <v>42846</v>
      </c>
      <c r="B10" s="253" t="str">
        <f t="shared" si="51"/>
        <v>Yes</v>
      </c>
      <c r="C10" s="1033">
        <f>IF(C$6="","",IF(NOT(ISNUMBER(_xll.ciqfunctions.udf.CIQ(C$6,$F$2, $A10, $I$2, $I$3))),IF(C9=C$6,"",C9),_xll.ciqfunctions.udf.CIQ(C$6,$F$2, $A10, $I$2, $I$3)))</f>
        <v>74.94</v>
      </c>
      <c r="D10" s="1033">
        <f>IF(D$6="","",IF(NOT(ISNUMBER(_xll.ciqfunctions.udf.CIQ(D$6,$F$2, $A10, $I$2, $I$3))),IF(D9=D$6,"",D9),_xll.ciqfunctions.udf.CIQ(D$6,$F$2, $A10, $I$2, $I$3)))</f>
        <v>20547.758440000001</v>
      </c>
      <c r="E10" s="1033">
        <f>IF(E$6="","",IF(NOT(ISNUMBER(_xll.ciqfunctions.udf.CIQ(E$6,$F$2, $A10, $I$2, $I$3))),IF(E9=E$6,"",E9),_xll.ciqfunctions.udf.CIQ(E$6,$F$2, $A10, $I$2, $I$3)))</f>
        <v>7151.8550299999997</v>
      </c>
      <c r="F10" s="1033">
        <f>IF(F$6="","",IF(NOT(ISNUMBER(_xll.ciqfunctions.udf.CIQ(F$6,$F$2, $A10, $I$2, $I$3))),IF(F9=F$6,"",F9),_xll.ciqfunctions.udf.CIQ(F$6,$F$2, $A10, $I$2, $I$3)))</f>
        <v>4454.3389699999998</v>
      </c>
      <c r="G10" s="1033">
        <f>IF(G$6="","",IF(NOT(ISNUMBER(_xll.ciqfunctions.udf.CIQ(G$6,$F$2, $A10, $I$2, $I$3))),IF(G9=G$6,"",G9),_xll.ciqfunctions.udf.CIQ(G$6,$F$2, $A10, $I$2, $I$3)))</f>
        <v>170.77</v>
      </c>
      <c r="H10" s="1033" t="str">
        <f>IF(H$6="","",IF(NOT(ISNUMBER(_xll.ciqfunctions.udf.CIQ(H$6,$F$2, $A10, $I$2, $I$3))),IF(H9=H$6,"",H9),_xll.ciqfunctions.udf.CIQ(H$6,$F$2, $A10, $I$2, $I$3)))</f>
        <v/>
      </c>
      <c r="I10" s="1033" t="str">
        <f>IF(I$6="","",IF(NOT(ISNUMBER(_xll.ciqfunctions.udf.CIQ(I$6,$F$2, $A10, $I$2, $I$3))),IF(I9=I$6,"",I9),_xll.ciqfunctions.udf.CIQ(I$6,$F$2, $A10, $I$2, $I$3)))</f>
        <v/>
      </c>
      <c r="J10" s="1033" t="str">
        <f>IF(J$6="","",IF(NOT(ISNUMBER(_xll.ciqfunctions.udf.CIQ(J$6,$F$2, $A10, $I$2, $I$3))),IF(J9=J$6,"",J9),_xll.ciqfunctions.udf.CIQ(J$6,$F$2, $A10, $I$2, $I$3)))</f>
        <v/>
      </c>
      <c r="K10" s="1033" t="str">
        <f>IF(K$6="","",IF(NOT(ISNUMBER(_xll.ciqfunctions.udf.CIQ(K$6,$F$2, $A10, $I$2, $I$3))),IF(K9=K$6,"",K9),_xll.ciqfunctions.udf.CIQ(K$6,$F$2, $A10, $I$2, $I$3)))</f>
        <v/>
      </c>
      <c r="L10" s="254" t="str">
        <f>IF(L$6="","",IF(NOT(ISNUMBER(_xll.ciqfunctions.udf.CIQ(L$6,$F$2, $A10, $I$2, $I$3))),IF(L9=L$6,"",L9),_xll.ciqfunctions.udf.CIQ(L$6,$F$2, $A10, $I$2, $I$3)))</f>
        <v/>
      </c>
      <c r="M10" s="254" t="str">
        <f>IF(M$6="","",IF(NOT(ISNUMBER(_xll.ciqfunctions.udf.CIQ(M$6,$F$2, $A10, $I$2, $I$3))),IF(M9=M$6,"",M9),_xll.ciqfunctions.udf.CIQ(M$6,$F$2, $A10, $I$2, $I$3)))</f>
        <v/>
      </c>
      <c r="N10" s="254" t="str">
        <f>IF(N$6="","",IF(NOT(ISNUMBER(_xll.ciqfunctions.udf.CIQ(N$6,$F$2, $A10, $I$2, $I$3))),IF(N9=N$6,"",N9),_xll.ciqfunctions.udf.CIQ(N$6,$F$2, $A10, $I$2, $I$3)))</f>
        <v/>
      </c>
      <c r="O10" s="254" t="str">
        <f>IF(O$6="","",IF(NOT(ISNUMBER(_xll.ciqfunctions.udf.CIQ(O$6,$F$2, $A10, $I$2, $I$3))),IF(O9=O$6,"",O9),_xll.ciqfunctions.udf.CIQ(O$6,$F$2, $A10, $I$2, $I$3)))</f>
        <v/>
      </c>
      <c r="P10" s="254" t="str">
        <f>IF(P$6="","",IF(NOT(ISNUMBER(_xll.ciqfunctions.udf.CIQ(P$6,$F$2, $A10, $I$2, $I$3))),IF(P9=P$6,"",P9),_xll.ciqfunctions.udf.CIQ(P$6,$F$2, $A10, $I$2, $I$3)))</f>
        <v/>
      </c>
      <c r="R10" s="251">
        <f t="shared" si="16"/>
        <v>42846</v>
      </c>
      <c r="S10" s="255">
        <f t="shared" si="35"/>
        <v>3.9678135405105452E-2</v>
      </c>
      <c r="T10" s="255">
        <f t="shared" si="36"/>
        <v>-5.587832587413577E-3</v>
      </c>
      <c r="U10" s="255">
        <f t="shared" si="37"/>
        <v>-5.5423130266363252E-4</v>
      </c>
      <c r="V10" s="255">
        <f t="shared" si="52"/>
        <v>1.4717020000625691E-2</v>
      </c>
      <c r="W10" s="255">
        <f t="array" ref="W10">IFERROR(AVERAGE(IF(ISERROR(X10:AG10),"",X10:AG10)),"")</f>
        <v>1.8367225237044593E-2</v>
      </c>
      <c r="X10" s="255">
        <f t="shared" si="53"/>
        <v>1.8367225237044593E-2</v>
      </c>
      <c r="Y10" s="255" t="e">
        <f t="shared" si="38"/>
        <v>#N/A</v>
      </c>
      <c r="Z10" s="255" t="e">
        <f t="shared" si="38"/>
        <v>#N/A</v>
      </c>
      <c r="AA10" s="255" t="e">
        <f t="shared" si="38"/>
        <v>#N/A</v>
      </c>
      <c r="AB10" s="255" t="e">
        <f t="shared" si="38"/>
        <v>#N/A</v>
      </c>
      <c r="AC10" s="255" t="e">
        <f t="shared" si="38"/>
        <v>#N/A</v>
      </c>
      <c r="AD10" s="255" t="e">
        <f t="shared" si="38"/>
        <v>#N/A</v>
      </c>
      <c r="AE10" s="255" t="e">
        <f t="shared" si="38"/>
        <v>#N/A</v>
      </c>
      <c r="AF10" s="255" t="e">
        <f t="shared" si="38"/>
        <v>#N/A</v>
      </c>
      <c r="AG10" s="255" t="e">
        <f t="shared" si="38"/>
        <v>#N/A</v>
      </c>
      <c r="AI10" s="251">
        <f t="shared" si="27"/>
        <v>42846</v>
      </c>
      <c r="AJ10" s="718">
        <f>IF(OR($B10="No",AJ$6=""),"",IF(NOT(ISNUMBER(_xll.ciqfunctions.udf.CIQ(AJ$6,"IQ_TEV",$AI10,$I$2,$I$3))),"",_xll.ciqfunctions.udf.CIQ(AJ$6,"IQ_TEV",$AI10,$I$2,$I$3)))</f>
        <v>269622.82418</v>
      </c>
      <c r="AK10" s="718">
        <f>IF(OR($B10="No",AK$6=""),"",IF(NOT(ISNUMBER(_xll.ciqfunctions.udf.CIQ(AK$6,"IQ_TEV",$AI10,$I$2,$I$3))),"",_xll.ciqfunctions.udf.CIQ(AK$6,"IQ_TEV",$AI10,$I$2,$I$3)))</f>
        <v>74336.783800000005</v>
      </c>
      <c r="AL10" s="718" t="str">
        <f>IF(OR($B10="No",AL$6=""),"",IF(NOT(ISNUMBER(_xll.ciqfunctions.udf.CIQ(AL$6,"IQ_TEV",$AI10,$I$2,$I$3))),"",_xll.ciqfunctions.udf.CIQ(AL$6,"IQ_TEV",$AI10,$I$2,$I$3)))</f>
        <v/>
      </c>
      <c r="AM10" s="718" t="str">
        <f>IF(OR($B10="No",AM$6=""),"",IF(NOT(ISNUMBER(_xll.ciqfunctions.udf.CIQ(AM$6,"IQ_TEV",$AI10,$I$2,$I$3))),"",_xll.ciqfunctions.udf.CIQ(AM$6,"IQ_TEV",$AI10,$I$2,$I$3)))</f>
        <v/>
      </c>
      <c r="AN10" s="718" t="str">
        <f>IF(OR($B10="No",AN$6=""),"",IF(NOT(ISNUMBER(_xll.ciqfunctions.udf.CIQ(AN$6,"IQ_TEV",$AI10,$I$2,$I$3))),"",_xll.ciqfunctions.udf.CIQ(AN$6,"IQ_TEV",$AI10,$I$2,$I$3)))</f>
        <v/>
      </c>
      <c r="AO10" s="718" t="str">
        <f>IF(OR($B10="No",AO$6=""),"",IF(NOT(ISNUMBER(_xll.ciqfunctions.udf.CIQ(AO$6,"IQ_TEV",$AI10,$I$2,$I$3))),"",_xll.ciqfunctions.udf.CIQ(AO$6,"IQ_TEV",$AI10,$I$2,$I$3)))</f>
        <v/>
      </c>
      <c r="AP10" s="718" t="str">
        <f>IF(OR($B10="No",AP$6=""),"",IF(NOT(ISNUMBER(_xll.ciqfunctions.udf.CIQ(AP$6,"IQ_TEV",$AI10,$I$2,$I$3))),"",_xll.ciqfunctions.udf.CIQ(AP$6,"IQ_TEV",$AI10,$I$2,$I$3)))</f>
        <v/>
      </c>
      <c r="AQ10" s="718" t="str">
        <f>IF(OR($B10="No",AQ$6=""),"",IF(NOT(ISNUMBER(_xll.ciqfunctions.udf.CIQ(AQ$6,"IQ_TEV",$AI10,$I$2,$I$3))),"",_xll.ciqfunctions.udf.CIQ(AQ$6,"IQ_TEV",$AI10,$I$2,$I$3)))</f>
        <v/>
      </c>
      <c r="AR10" s="718" t="str">
        <f>IF(OR($B10="No",AR$6=""),"",IF(NOT(ISNUMBER(_xll.ciqfunctions.udf.CIQ(AR$6,"IQ_TEV",$AI10,$I$2,$I$3))),"",_xll.ciqfunctions.udf.CIQ(AR$6,"IQ_TEV",$AI10,$I$2,$I$3)))</f>
        <v/>
      </c>
      <c r="AS10" s="718" t="str">
        <f>IF(OR($B10="No",AS$6=""),"",IF(NOT(ISNUMBER(_xll.ciqfunctions.udf.CIQ(AS$6,"IQ_TEV",$AI10,$I$2,$I$3))),"",_xll.ciqfunctions.udf.CIQ(AS$6,"IQ_TEV",$AI10,$I$2,$I$3)))</f>
        <v/>
      </c>
      <c r="AT10" s="718" t="str">
        <f>IF(OR($B10="No",AT$6=""),"",IF(NOT(ISNUMBER(_xll.ciqfunctions.udf.CIQ(AT$6,"IQ_TEV",$AI10,$I$2,$I$3))),"",_xll.ciqfunctions.udf.CIQ(AT$6,"IQ_TEV",$AI10,$I$2,$I$3)))</f>
        <v/>
      </c>
      <c r="AV10" s="251">
        <f t="shared" si="39"/>
        <v>42846</v>
      </c>
      <c r="AW10" s="719">
        <f t="shared" si="40"/>
        <v>3.2810919110145775E-2</v>
      </c>
      <c r="AX10" s="719">
        <f t="shared" si="41"/>
        <v>1.8523504890849418E-2</v>
      </c>
      <c r="AY10" s="719" t="e">
        <f t="shared" si="42"/>
        <v>#N/A</v>
      </c>
      <c r="AZ10" s="719" t="e">
        <f t="shared" si="43"/>
        <v>#N/A</v>
      </c>
      <c r="BA10" s="719" t="e">
        <f t="shared" si="44"/>
        <v>#N/A</v>
      </c>
      <c r="BB10" s="719" t="e">
        <f t="shared" si="45"/>
        <v>#N/A</v>
      </c>
      <c r="BC10" s="719" t="e">
        <f t="shared" si="46"/>
        <v>#N/A</v>
      </c>
      <c r="BD10" s="719" t="e">
        <f t="shared" si="47"/>
        <v>#N/A</v>
      </c>
      <c r="BE10" s="719" t="e">
        <f t="shared" si="48"/>
        <v>#N/A</v>
      </c>
      <c r="BF10" s="719" t="e">
        <f t="shared" si="49"/>
        <v>#N/A</v>
      </c>
      <c r="BG10" s="719" t="e">
        <f t="shared" si="50"/>
        <v>#N/A</v>
      </c>
    </row>
    <row r="11" spans="1:59" ht="15" customHeight="1" x14ac:dyDescent="0.2">
      <c r="A11" s="251">
        <f t="shared" si="15"/>
        <v>42853</v>
      </c>
      <c r="B11" s="253" t="str">
        <f t="shared" si="51"/>
        <v>Yes</v>
      </c>
      <c r="C11" s="1033">
        <f>IF(C$6="","",IF(NOT(ISNUMBER(_xll.ciqfunctions.udf.CIQ(C$6,$F$2, $A11, $I$2, $I$3))),IF(C10=C$6,"",C10),_xll.ciqfunctions.udf.CIQ(C$6,$F$2, $A11, $I$2, $I$3)))</f>
        <v>75.180000000000007</v>
      </c>
      <c r="D11" s="1033">
        <f>IF(D$6="","",IF(NOT(ISNUMBER(_xll.ciqfunctions.udf.CIQ(D$6,$F$2, $A11, $I$2, $I$3))),IF(D10=D$6,"",D10),_xll.ciqfunctions.udf.CIQ(D$6,$F$2, $A11, $I$2, $I$3)))</f>
        <v>20940.509409999999</v>
      </c>
      <c r="E11" s="1033">
        <f>IF(E$6="","",IF(NOT(ISNUMBER(_xll.ciqfunctions.udf.CIQ(E$6,$F$2, $A11, $I$2, $I$3))),IF(E10=E$6,"",E10),_xll.ciqfunctions.udf.CIQ(E$6,$F$2, $A11, $I$2, $I$3)))</f>
        <v>7217.2737999999999</v>
      </c>
      <c r="F11" s="1033">
        <f>IF(F$6="","",IF(NOT(ISNUMBER(_xll.ciqfunctions.udf.CIQ(F$6,$F$2, $A11, $I$2, $I$3))),IF(F10=F$6,"",F10),_xll.ciqfunctions.udf.CIQ(F$6,$F$2, $A11, $I$2, $I$3)))</f>
        <v>4458.6698900000001</v>
      </c>
      <c r="G11" s="1033">
        <f>IF(G$6="","",IF(NOT(ISNUMBER(_xll.ciqfunctions.udf.CIQ(G$6,$F$2, $A11, $I$2, $I$3))),IF(G10=G$6,"",G10),_xll.ciqfunctions.udf.CIQ(G$6,$F$2, $A11, $I$2, $I$3)))</f>
        <v>177.52</v>
      </c>
      <c r="H11" s="1033" t="str">
        <f>IF(H$6="","",IF(NOT(ISNUMBER(_xll.ciqfunctions.udf.CIQ(H$6,$F$2, $A11, $I$2, $I$3))),IF(H10=H$6,"",H10),_xll.ciqfunctions.udf.CIQ(H$6,$F$2, $A11, $I$2, $I$3)))</f>
        <v/>
      </c>
      <c r="I11" s="1033" t="str">
        <f>IF(I$6="","",IF(NOT(ISNUMBER(_xll.ciqfunctions.udf.CIQ(I$6,$F$2, $A11, $I$2, $I$3))),IF(I10=I$6,"",I10),_xll.ciqfunctions.udf.CIQ(I$6,$F$2, $A11, $I$2, $I$3)))</f>
        <v/>
      </c>
      <c r="J11" s="1033" t="str">
        <f>IF(J$6="","",IF(NOT(ISNUMBER(_xll.ciqfunctions.udf.CIQ(J$6,$F$2, $A11, $I$2, $I$3))),IF(J10=J$6,"",J10),_xll.ciqfunctions.udf.CIQ(J$6,$F$2, $A11, $I$2, $I$3)))</f>
        <v/>
      </c>
      <c r="K11" s="1033" t="str">
        <f>IF(K$6="","",IF(NOT(ISNUMBER(_xll.ciqfunctions.udf.CIQ(K$6,$F$2, $A11, $I$2, $I$3))),IF(K10=K$6,"",K10),_xll.ciqfunctions.udf.CIQ(K$6,$F$2, $A11, $I$2, $I$3)))</f>
        <v/>
      </c>
      <c r="L11" s="254" t="str">
        <f>IF(L$6="","",IF(NOT(ISNUMBER(_xll.ciqfunctions.udf.CIQ(L$6,$F$2, $A11, $I$2, $I$3))),IF(L10=L$6,"",L10),_xll.ciqfunctions.udf.CIQ(L$6,$F$2, $A11, $I$2, $I$3)))</f>
        <v/>
      </c>
      <c r="M11" s="254" t="str">
        <f>IF(M$6="","",IF(NOT(ISNUMBER(_xll.ciqfunctions.udf.CIQ(M$6,$F$2, $A11, $I$2, $I$3))),IF(M10=M$6,"",M10),_xll.ciqfunctions.udf.CIQ(M$6,$F$2, $A11, $I$2, $I$3)))</f>
        <v/>
      </c>
      <c r="N11" s="254" t="str">
        <f>IF(N$6="","",IF(NOT(ISNUMBER(_xll.ciqfunctions.udf.CIQ(N$6,$F$2, $A11, $I$2, $I$3))),IF(N10=N$6,"",N10),_xll.ciqfunctions.udf.CIQ(N$6,$F$2, $A11, $I$2, $I$3)))</f>
        <v/>
      </c>
      <c r="O11" s="254" t="str">
        <f>IF(O$6="","",IF(NOT(ISNUMBER(_xll.ciqfunctions.udf.CIQ(O$6,$F$2, $A11, $I$2, $I$3))),IF(O10=O$6,"",O10),_xll.ciqfunctions.udf.CIQ(O$6,$F$2, $A11, $I$2, $I$3)))</f>
        <v/>
      </c>
      <c r="P11" s="254" t="str">
        <f>IF(P$6="","",IF(NOT(ISNUMBER(_xll.ciqfunctions.udf.CIQ(P$6,$F$2, $A11, $I$2, $I$3))),IF(P10=P$6,"",P10),_xll.ciqfunctions.udf.CIQ(P$6,$F$2, $A11, $I$2, $I$3)))</f>
        <v/>
      </c>
      <c r="R11" s="251">
        <f t="shared" si="16"/>
        <v>42853</v>
      </c>
      <c r="S11" s="255">
        <f t="shared" si="35"/>
        <v>4.3007769145394059E-2</v>
      </c>
      <c r="T11" s="255">
        <f t="shared" si="36"/>
        <v>1.3419415549726477E-2</v>
      </c>
      <c r="U11" s="255">
        <f t="shared" si="37"/>
        <v>8.5878042385523212E-3</v>
      </c>
      <c r="V11" s="255">
        <f t="shared" si="52"/>
        <v>1.5703621663826217E-2</v>
      </c>
      <c r="W11" s="255">
        <f t="array" ref="W11">IFERROR(AVERAGE(IF(ISERROR(X11:AG11),"",X11:AG11)),"")</f>
        <v>5.8620072753294838E-2</v>
      </c>
      <c r="X11" s="255">
        <f t="shared" si="53"/>
        <v>5.8620072753294838E-2</v>
      </c>
      <c r="Y11" s="255" t="e">
        <f t="shared" si="38"/>
        <v>#N/A</v>
      </c>
      <c r="Z11" s="255" t="e">
        <f t="shared" si="38"/>
        <v>#N/A</v>
      </c>
      <c r="AA11" s="255" t="e">
        <f t="shared" si="38"/>
        <v>#N/A</v>
      </c>
      <c r="AB11" s="255" t="e">
        <f t="shared" si="38"/>
        <v>#N/A</v>
      </c>
      <c r="AC11" s="255" t="e">
        <f t="shared" si="38"/>
        <v>#N/A</v>
      </c>
      <c r="AD11" s="255" t="e">
        <f t="shared" si="38"/>
        <v>#N/A</v>
      </c>
      <c r="AE11" s="255" t="e">
        <f t="shared" si="38"/>
        <v>#N/A</v>
      </c>
      <c r="AF11" s="255" t="e">
        <f t="shared" si="38"/>
        <v>#N/A</v>
      </c>
      <c r="AG11" s="255" t="e">
        <f t="shared" si="38"/>
        <v>#N/A</v>
      </c>
      <c r="AI11" s="251">
        <f t="shared" si="27"/>
        <v>42853</v>
      </c>
      <c r="AJ11" s="718">
        <f>IF(OR($B11="No",AJ$6=""),"",IF(NOT(ISNUMBER(_xll.ciqfunctions.udf.CIQ(AJ$6,"IQ_TEV",$AI11,$I$2,$I$3))),"",_xll.ciqfunctions.udf.CIQ(AJ$6,"IQ_TEV",$AI11,$I$2,$I$3)))</f>
        <v>270350.68079999997</v>
      </c>
      <c r="AK11" s="718">
        <f>IF(OR($B11="No",AK$6=""),"",IF(NOT(ISNUMBER(_xll.ciqfunctions.udf.CIQ(AK$6,"IQ_TEV",$AI11,$I$2,$I$3))),"",_xll.ciqfunctions.udf.CIQ(AK$6,"IQ_TEV",$AI11,$I$2,$I$3)))</f>
        <v>77299.628800000006</v>
      </c>
      <c r="AL11" s="718" t="str">
        <f>IF(OR($B11="No",AL$6=""),"",IF(NOT(ISNUMBER(_xll.ciqfunctions.udf.CIQ(AL$6,"IQ_TEV",$AI11,$I$2,$I$3))),"",_xll.ciqfunctions.udf.CIQ(AL$6,"IQ_TEV",$AI11,$I$2,$I$3)))</f>
        <v/>
      </c>
      <c r="AM11" s="718" t="str">
        <f>IF(OR($B11="No",AM$6=""),"",IF(NOT(ISNUMBER(_xll.ciqfunctions.udf.CIQ(AM$6,"IQ_TEV",$AI11,$I$2,$I$3))),"",_xll.ciqfunctions.udf.CIQ(AM$6,"IQ_TEV",$AI11,$I$2,$I$3)))</f>
        <v/>
      </c>
      <c r="AN11" s="718" t="str">
        <f>IF(OR($B11="No",AN$6=""),"",IF(NOT(ISNUMBER(_xll.ciqfunctions.udf.CIQ(AN$6,"IQ_TEV",$AI11,$I$2,$I$3))),"",_xll.ciqfunctions.udf.CIQ(AN$6,"IQ_TEV",$AI11,$I$2,$I$3)))</f>
        <v/>
      </c>
      <c r="AO11" s="718" t="str">
        <f>IF(OR($B11="No",AO$6=""),"",IF(NOT(ISNUMBER(_xll.ciqfunctions.udf.CIQ(AO$6,"IQ_TEV",$AI11,$I$2,$I$3))),"",_xll.ciqfunctions.udf.CIQ(AO$6,"IQ_TEV",$AI11,$I$2,$I$3)))</f>
        <v/>
      </c>
      <c r="AP11" s="718" t="str">
        <f>IF(OR($B11="No",AP$6=""),"",IF(NOT(ISNUMBER(_xll.ciqfunctions.udf.CIQ(AP$6,"IQ_TEV",$AI11,$I$2,$I$3))),"",_xll.ciqfunctions.udf.CIQ(AP$6,"IQ_TEV",$AI11,$I$2,$I$3)))</f>
        <v/>
      </c>
      <c r="AQ11" s="718" t="str">
        <f>IF(OR($B11="No",AQ$6=""),"",IF(NOT(ISNUMBER(_xll.ciqfunctions.udf.CIQ(AQ$6,"IQ_TEV",$AI11,$I$2,$I$3))),"",_xll.ciqfunctions.udf.CIQ(AQ$6,"IQ_TEV",$AI11,$I$2,$I$3)))</f>
        <v/>
      </c>
      <c r="AR11" s="718" t="str">
        <f>IF(OR($B11="No",AR$6=""),"",IF(NOT(ISNUMBER(_xll.ciqfunctions.udf.CIQ(AR$6,"IQ_TEV",$AI11,$I$2,$I$3))),"",_xll.ciqfunctions.udf.CIQ(AR$6,"IQ_TEV",$AI11,$I$2,$I$3)))</f>
        <v/>
      </c>
      <c r="AS11" s="718" t="str">
        <f>IF(OR($B11="No",AS$6=""),"",IF(NOT(ISNUMBER(_xll.ciqfunctions.udf.CIQ(AS$6,"IQ_TEV",$AI11,$I$2,$I$3))),"",_xll.ciqfunctions.udf.CIQ(AS$6,"IQ_TEV",$AI11,$I$2,$I$3)))</f>
        <v/>
      </c>
      <c r="AT11" s="718" t="str">
        <f>IF(OR($B11="No",AT$6=""),"",IF(NOT(ISNUMBER(_xll.ciqfunctions.udf.CIQ(AT$6,"IQ_TEV",$AI11,$I$2,$I$3))),"",_xll.ciqfunctions.udf.CIQ(AT$6,"IQ_TEV",$AI11,$I$2,$I$3)))</f>
        <v/>
      </c>
      <c r="AV11" s="251">
        <f t="shared" si="39"/>
        <v>42853</v>
      </c>
      <c r="AW11" s="719">
        <f t="shared" si="40"/>
        <v>3.5599029749401989E-2</v>
      </c>
      <c r="AX11" s="719">
        <f t="shared" si="41"/>
        <v>5.911884840163939E-2</v>
      </c>
      <c r="AY11" s="719" t="e">
        <f t="shared" si="42"/>
        <v>#N/A</v>
      </c>
      <c r="AZ11" s="719" t="e">
        <f t="shared" si="43"/>
        <v>#N/A</v>
      </c>
      <c r="BA11" s="719" t="e">
        <f t="shared" si="44"/>
        <v>#N/A</v>
      </c>
      <c r="BB11" s="719" t="e">
        <f t="shared" si="45"/>
        <v>#N/A</v>
      </c>
      <c r="BC11" s="719" t="e">
        <f t="shared" si="46"/>
        <v>#N/A</v>
      </c>
      <c r="BD11" s="719" t="e">
        <f t="shared" si="47"/>
        <v>#N/A</v>
      </c>
      <c r="BE11" s="719" t="e">
        <f t="shared" si="48"/>
        <v>#N/A</v>
      </c>
      <c r="BF11" s="719" t="e">
        <f t="shared" si="49"/>
        <v>#N/A</v>
      </c>
      <c r="BG11" s="719" t="e">
        <f t="shared" si="50"/>
        <v>#N/A</v>
      </c>
    </row>
    <row r="12" spans="1:59" ht="15" customHeight="1" x14ac:dyDescent="0.2">
      <c r="A12" s="251">
        <f t="shared" si="15"/>
        <v>42860</v>
      </c>
      <c r="B12" s="253" t="str">
        <f t="shared" si="51"/>
        <v>Yes</v>
      </c>
      <c r="C12" s="1033">
        <f>IF(C$6="","",IF(NOT(ISNUMBER(_xll.ciqfunctions.udf.CIQ(C$6,$F$2, $A12, $I$2, $I$3))),IF(C11=C$6,"",C11),_xll.ciqfunctions.udf.CIQ(C$6,$F$2, $A12, $I$2, $I$3)))</f>
        <v>76.5</v>
      </c>
      <c r="D12" s="1033">
        <f>IF(D$6="","",IF(NOT(ISNUMBER(_xll.ciqfunctions.udf.CIQ(D$6,$F$2, $A12, $I$2, $I$3))),IF(D11=D$6,"",D11),_xll.ciqfunctions.udf.CIQ(D$6,$F$2, $A12, $I$2, $I$3)))</f>
        <v>21006.93808</v>
      </c>
      <c r="E12" s="1033">
        <f>IF(E$6="","",IF(NOT(ISNUMBER(_xll.ciqfunctions.udf.CIQ(E$6,$F$2, $A12, $I$2, $I$3))),IF(E11=E$6,"",E11),_xll.ciqfunctions.udf.CIQ(E$6,$F$2, $A12, $I$2, $I$3)))</f>
        <v>7248.0068300000003</v>
      </c>
      <c r="F12" s="1033">
        <f>IF(F$6="","",IF(NOT(ISNUMBER(_xll.ciqfunctions.udf.CIQ(F$6,$F$2, $A12, $I$2, $I$3))),IF(F11=F$6,"",F11),_xll.ciqfunctions.udf.CIQ(F$6,$F$2, $A12, $I$2, $I$3)))</f>
        <v>4496.8339100000003</v>
      </c>
      <c r="G12" s="1033">
        <f>IF(G$6="","",IF(NOT(ISNUMBER(_xll.ciqfunctions.udf.CIQ(G$6,$F$2, $A12, $I$2, $I$3))),IF(G11=G$6,"",G11),_xll.ciqfunctions.udf.CIQ(G$6,$F$2, $A12, $I$2, $I$3)))</f>
        <v>180.2</v>
      </c>
      <c r="H12" s="1033" t="str">
        <f>IF(H$6="","",IF(NOT(ISNUMBER(_xll.ciqfunctions.udf.CIQ(H$6,$F$2, $A12, $I$2, $I$3))),IF(H11=H$6,"",H11),_xll.ciqfunctions.udf.CIQ(H$6,$F$2, $A12, $I$2, $I$3)))</f>
        <v/>
      </c>
      <c r="I12" s="1033" t="str">
        <f>IF(I$6="","",IF(NOT(ISNUMBER(_xll.ciqfunctions.udf.CIQ(I$6,$F$2, $A12, $I$2, $I$3))),IF(I11=I$6,"",I11),_xll.ciqfunctions.udf.CIQ(I$6,$F$2, $A12, $I$2, $I$3)))</f>
        <v/>
      </c>
      <c r="J12" s="1033" t="str">
        <f>IF(J$6="","",IF(NOT(ISNUMBER(_xll.ciqfunctions.udf.CIQ(J$6,$F$2, $A12, $I$2, $I$3))),IF(J11=J$6,"",J11),_xll.ciqfunctions.udf.CIQ(J$6,$F$2, $A12, $I$2, $I$3)))</f>
        <v/>
      </c>
      <c r="K12" s="1033" t="str">
        <f>IF(K$6="","",IF(NOT(ISNUMBER(_xll.ciqfunctions.udf.CIQ(K$6,$F$2, $A12, $I$2, $I$3))),IF(K11=K$6,"",K11),_xll.ciqfunctions.udf.CIQ(K$6,$F$2, $A12, $I$2, $I$3)))</f>
        <v/>
      </c>
      <c r="L12" s="254" t="str">
        <f>IF(L$6="","",IF(NOT(ISNUMBER(_xll.ciqfunctions.udf.CIQ(L$6,$F$2, $A12, $I$2, $I$3))),IF(L11=L$6,"",L11),_xll.ciqfunctions.udf.CIQ(L$6,$F$2, $A12, $I$2, $I$3)))</f>
        <v/>
      </c>
      <c r="M12" s="254" t="str">
        <f>IF(M$6="","",IF(NOT(ISNUMBER(_xll.ciqfunctions.udf.CIQ(M$6,$F$2, $A12, $I$2, $I$3))),IF(M11=M$6,"",M11),_xll.ciqfunctions.udf.CIQ(M$6,$F$2, $A12, $I$2, $I$3)))</f>
        <v/>
      </c>
      <c r="N12" s="254" t="str">
        <f>IF(N$6="","",IF(NOT(ISNUMBER(_xll.ciqfunctions.udf.CIQ(N$6,$F$2, $A12, $I$2, $I$3))),IF(N11=N$6,"",N11),_xll.ciqfunctions.udf.CIQ(N$6,$F$2, $A12, $I$2, $I$3)))</f>
        <v/>
      </c>
      <c r="O12" s="254" t="str">
        <f>IF(O$6="","",IF(NOT(ISNUMBER(_xll.ciqfunctions.udf.CIQ(O$6,$F$2, $A12, $I$2, $I$3))),IF(O11=O$6,"",O11),_xll.ciqfunctions.udf.CIQ(O$6,$F$2, $A12, $I$2, $I$3)))</f>
        <v/>
      </c>
      <c r="P12" s="254" t="str">
        <f>IF(P$6="","",IF(NOT(ISNUMBER(_xll.ciqfunctions.udf.CIQ(P$6,$F$2, $A12, $I$2, $I$3))),IF(P11=P$6,"",P11),_xll.ciqfunctions.udf.CIQ(P$6,$F$2, $A12, $I$2, $I$3)))</f>
        <v/>
      </c>
      <c r="R12" s="251">
        <f t="shared" si="16"/>
        <v>42860</v>
      </c>
      <c r="S12" s="255">
        <f t="shared" si="35"/>
        <v>6.1320754716981174E-2</v>
      </c>
      <c r="T12" s="255">
        <f t="shared" si="36"/>
        <v>1.6634242018799705E-2</v>
      </c>
      <c r="U12" s="255">
        <f t="shared" si="37"/>
        <v>1.2882633574983871E-2</v>
      </c>
      <c r="V12" s="255">
        <f t="shared" si="52"/>
        <v>2.4397544804041216E-2</v>
      </c>
      <c r="W12" s="255">
        <f t="array" ref="W12">IFERROR(AVERAGE(IF(ISERROR(X12:AG12),"",X12:AG12)),"")</f>
        <v>7.4601944063450443E-2</v>
      </c>
      <c r="X12" s="255">
        <f t="shared" si="53"/>
        <v>7.4601944063450443E-2</v>
      </c>
      <c r="Y12" s="255" t="e">
        <f t="shared" si="38"/>
        <v>#N/A</v>
      </c>
      <c r="Z12" s="255" t="e">
        <f t="shared" si="38"/>
        <v>#N/A</v>
      </c>
      <c r="AA12" s="255" t="e">
        <f t="shared" si="38"/>
        <v>#N/A</v>
      </c>
      <c r="AB12" s="255" t="e">
        <f t="shared" si="38"/>
        <v>#N/A</v>
      </c>
      <c r="AC12" s="255" t="e">
        <f t="shared" si="38"/>
        <v>#N/A</v>
      </c>
      <c r="AD12" s="255" t="e">
        <f t="shared" si="38"/>
        <v>#N/A</v>
      </c>
      <c r="AE12" s="255" t="e">
        <f t="shared" si="38"/>
        <v>#N/A</v>
      </c>
      <c r="AF12" s="255" t="e">
        <f t="shared" si="38"/>
        <v>#N/A</v>
      </c>
      <c r="AG12" s="255" t="e">
        <f t="shared" si="38"/>
        <v>#N/A</v>
      </c>
      <c r="AI12" s="251">
        <f t="shared" si="27"/>
        <v>42860</v>
      </c>
      <c r="AJ12" s="718">
        <f>IF(OR($B12="No",AJ$6=""),"",IF(NOT(ISNUMBER(_xll.ciqfunctions.udf.CIQ(AJ$6,"IQ_TEV",$AI12,$I$2,$I$3))),"",_xll.ciqfunctions.udf.CIQ(AJ$6,"IQ_TEV",$AI12,$I$2,$I$3)))</f>
        <v>274352.34000000003</v>
      </c>
      <c r="AK12" s="718">
        <f>IF(OR($B12="No",AK$6=""),"",IF(NOT(ISNUMBER(_xll.ciqfunctions.udf.CIQ(AK$6,"IQ_TEV",$AI12,$I$2,$I$3))),"",_xll.ciqfunctions.udf.CIQ(AK$6,"IQ_TEV",$AI12,$I$2,$I$3)))</f>
        <v>78475.987999999998</v>
      </c>
      <c r="AL12" s="718" t="str">
        <f>IF(OR($B12="No",AL$6=""),"",IF(NOT(ISNUMBER(_xll.ciqfunctions.udf.CIQ(AL$6,"IQ_TEV",$AI12,$I$2,$I$3))),"",_xll.ciqfunctions.udf.CIQ(AL$6,"IQ_TEV",$AI12,$I$2,$I$3)))</f>
        <v/>
      </c>
      <c r="AM12" s="718" t="str">
        <f>IF(OR($B12="No",AM$6=""),"",IF(NOT(ISNUMBER(_xll.ciqfunctions.udf.CIQ(AM$6,"IQ_TEV",$AI12,$I$2,$I$3))),"",_xll.ciqfunctions.udf.CIQ(AM$6,"IQ_TEV",$AI12,$I$2,$I$3)))</f>
        <v/>
      </c>
      <c r="AN12" s="718" t="str">
        <f>IF(OR($B12="No",AN$6=""),"",IF(NOT(ISNUMBER(_xll.ciqfunctions.udf.CIQ(AN$6,"IQ_TEV",$AI12,$I$2,$I$3))),"",_xll.ciqfunctions.udf.CIQ(AN$6,"IQ_TEV",$AI12,$I$2,$I$3)))</f>
        <v/>
      </c>
      <c r="AO12" s="718" t="str">
        <f>IF(OR($B12="No",AO$6=""),"",IF(NOT(ISNUMBER(_xll.ciqfunctions.udf.CIQ(AO$6,"IQ_TEV",$AI12,$I$2,$I$3))),"",_xll.ciqfunctions.udf.CIQ(AO$6,"IQ_TEV",$AI12,$I$2,$I$3)))</f>
        <v/>
      </c>
      <c r="AP12" s="718" t="str">
        <f>IF(OR($B12="No",AP$6=""),"",IF(NOT(ISNUMBER(_xll.ciqfunctions.udf.CIQ(AP$6,"IQ_TEV",$AI12,$I$2,$I$3))),"",_xll.ciqfunctions.udf.CIQ(AP$6,"IQ_TEV",$AI12,$I$2,$I$3)))</f>
        <v/>
      </c>
      <c r="AQ12" s="718" t="str">
        <f>IF(OR($B12="No",AQ$6=""),"",IF(NOT(ISNUMBER(_xll.ciqfunctions.udf.CIQ(AQ$6,"IQ_TEV",$AI12,$I$2,$I$3))),"",_xll.ciqfunctions.udf.CIQ(AQ$6,"IQ_TEV",$AI12,$I$2,$I$3)))</f>
        <v/>
      </c>
      <c r="AR12" s="718" t="str">
        <f>IF(OR($B12="No",AR$6=""),"",IF(NOT(ISNUMBER(_xll.ciqfunctions.udf.CIQ(AR$6,"IQ_TEV",$AI12,$I$2,$I$3))),"",_xll.ciqfunctions.udf.CIQ(AR$6,"IQ_TEV",$AI12,$I$2,$I$3)))</f>
        <v/>
      </c>
      <c r="AS12" s="718" t="str">
        <f>IF(OR($B12="No",AS$6=""),"",IF(NOT(ISNUMBER(_xll.ciqfunctions.udf.CIQ(AS$6,"IQ_TEV",$AI12,$I$2,$I$3))),"",_xll.ciqfunctions.udf.CIQ(AS$6,"IQ_TEV",$AI12,$I$2,$I$3)))</f>
        <v/>
      </c>
      <c r="AT12" s="718" t="str">
        <f>IF(OR($B12="No",AT$6=""),"",IF(NOT(ISNUMBER(_xll.ciqfunctions.udf.CIQ(AT$6,"IQ_TEV",$AI12,$I$2,$I$3))),"",_xll.ciqfunctions.udf.CIQ(AT$6,"IQ_TEV",$AI12,$I$2,$I$3)))</f>
        <v/>
      </c>
      <c r="AV12" s="251">
        <f t="shared" si="39"/>
        <v>42860</v>
      </c>
      <c r="AW12" s="719">
        <f t="shared" si="40"/>
        <v>5.0927692405789093E-2</v>
      </c>
      <c r="AX12" s="719">
        <f t="shared" si="41"/>
        <v>7.5236703306664099E-2</v>
      </c>
      <c r="AY12" s="719" t="e">
        <f t="shared" si="42"/>
        <v>#N/A</v>
      </c>
      <c r="AZ12" s="719" t="e">
        <f t="shared" si="43"/>
        <v>#N/A</v>
      </c>
      <c r="BA12" s="719" t="e">
        <f t="shared" si="44"/>
        <v>#N/A</v>
      </c>
      <c r="BB12" s="719" t="e">
        <f t="shared" si="45"/>
        <v>#N/A</v>
      </c>
      <c r="BC12" s="719" t="e">
        <f t="shared" si="46"/>
        <v>#N/A</v>
      </c>
      <c r="BD12" s="719" t="e">
        <f t="shared" si="47"/>
        <v>#N/A</v>
      </c>
      <c r="BE12" s="719" t="e">
        <f t="shared" si="48"/>
        <v>#N/A</v>
      </c>
      <c r="BF12" s="719" t="e">
        <f t="shared" si="49"/>
        <v>#N/A</v>
      </c>
      <c r="BG12" s="719" t="e">
        <f t="shared" si="50"/>
        <v>#N/A</v>
      </c>
    </row>
    <row r="13" spans="1:59" ht="15" customHeight="1" x14ac:dyDescent="0.2">
      <c r="A13" s="251">
        <f t="shared" si="15"/>
        <v>42867</v>
      </c>
      <c r="B13" s="253" t="str">
        <f t="shared" si="51"/>
        <v>Yes</v>
      </c>
      <c r="C13" s="1033">
        <f>IF(C$6="","",IF(NOT(ISNUMBER(_xll.ciqfunctions.udf.CIQ(C$6,$F$2, $A13, $I$2, $I$3))),IF(C12=C$6,"",C12),_xll.ciqfunctions.udf.CIQ(C$6,$F$2, $A13, $I$2, $I$3)))</f>
        <v>75.709999999999994</v>
      </c>
      <c r="D13" s="1033">
        <f>IF(D$6="","",IF(NOT(ISNUMBER(_xll.ciqfunctions.udf.CIQ(D$6,$F$2, $A13, $I$2, $I$3))),IF(D12=D$6,"",D12),_xll.ciqfunctions.udf.CIQ(D$6,$F$2, $A13, $I$2, $I$3)))</f>
        <v>20896.611700000001</v>
      </c>
      <c r="E13" s="1033">
        <f>IF(E$6="","",IF(NOT(ISNUMBER(_xll.ciqfunctions.udf.CIQ(E$6,$F$2, $A13, $I$2, $I$3))),IF(E12=E$6,"",E12),_xll.ciqfunctions.udf.CIQ(E$6,$F$2, $A13, $I$2, $I$3)))</f>
        <v>7180.9432999999999</v>
      </c>
      <c r="F13" s="1033">
        <f>IF(F$6="","",IF(NOT(ISNUMBER(_xll.ciqfunctions.udf.CIQ(F$6,$F$2, $A13, $I$2, $I$3))),IF(F12=F$6,"",F12),_xll.ciqfunctions.udf.CIQ(F$6,$F$2, $A13, $I$2, $I$3)))</f>
        <v>4371.0198399999999</v>
      </c>
      <c r="G13" s="1033">
        <f>IF(G$6="","",IF(NOT(ISNUMBER(_xll.ciqfunctions.udf.CIQ(G$6,$F$2, $A13, $I$2, $I$3))),IF(G12=G$6,"",G12),_xll.ciqfunctions.udf.CIQ(G$6,$F$2, $A13, $I$2, $I$3)))</f>
        <v>170.88</v>
      </c>
      <c r="H13" s="1033" t="str">
        <f>IF(H$6="","",IF(NOT(ISNUMBER(_xll.ciqfunctions.udf.CIQ(H$6,$F$2, $A13, $I$2, $I$3))),IF(H12=H$6,"",H12),_xll.ciqfunctions.udf.CIQ(H$6,$F$2, $A13, $I$2, $I$3)))</f>
        <v/>
      </c>
      <c r="I13" s="1033" t="str">
        <f>IF(I$6="","",IF(NOT(ISNUMBER(_xll.ciqfunctions.udf.CIQ(I$6,$F$2, $A13, $I$2, $I$3))),IF(I12=I$6,"",I12),_xll.ciqfunctions.udf.CIQ(I$6,$F$2, $A13, $I$2, $I$3)))</f>
        <v/>
      </c>
      <c r="J13" s="1033" t="str">
        <f>IF(J$6="","",IF(NOT(ISNUMBER(_xll.ciqfunctions.udf.CIQ(J$6,$F$2, $A13, $I$2, $I$3))),IF(J12=J$6,"",J12),_xll.ciqfunctions.udf.CIQ(J$6,$F$2, $A13, $I$2, $I$3)))</f>
        <v/>
      </c>
      <c r="K13" s="1033" t="str">
        <f>IF(K$6="","",IF(NOT(ISNUMBER(_xll.ciqfunctions.udf.CIQ(K$6,$F$2, $A13, $I$2, $I$3))),IF(K12=K$6,"",K12),_xll.ciqfunctions.udf.CIQ(K$6,$F$2, $A13, $I$2, $I$3)))</f>
        <v/>
      </c>
      <c r="L13" s="254" t="str">
        <f>IF(L$6="","",IF(NOT(ISNUMBER(_xll.ciqfunctions.udf.CIQ(L$6,$F$2, $A13, $I$2, $I$3))),IF(L12=L$6,"",L12),_xll.ciqfunctions.udf.CIQ(L$6,$F$2, $A13, $I$2, $I$3)))</f>
        <v/>
      </c>
      <c r="M13" s="254" t="str">
        <f>IF(M$6="","",IF(NOT(ISNUMBER(_xll.ciqfunctions.udf.CIQ(M$6,$F$2, $A13, $I$2, $I$3))),IF(M12=M$6,"",M12),_xll.ciqfunctions.udf.CIQ(M$6,$F$2, $A13, $I$2, $I$3)))</f>
        <v/>
      </c>
      <c r="N13" s="254" t="str">
        <f>IF(N$6="","",IF(NOT(ISNUMBER(_xll.ciqfunctions.udf.CIQ(N$6,$F$2, $A13, $I$2, $I$3))),IF(N12=N$6,"",N12),_xll.ciqfunctions.udf.CIQ(N$6,$F$2, $A13, $I$2, $I$3)))</f>
        <v/>
      </c>
      <c r="O13" s="254" t="str">
        <f>IF(O$6="","",IF(NOT(ISNUMBER(_xll.ciqfunctions.udf.CIQ(O$6,$F$2, $A13, $I$2, $I$3))),IF(O12=O$6,"",O12),_xll.ciqfunctions.udf.CIQ(O$6,$F$2, $A13, $I$2, $I$3)))</f>
        <v/>
      </c>
      <c r="P13" s="254" t="str">
        <f>IF(P$6="","",IF(NOT(ISNUMBER(_xll.ciqfunctions.udf.CIQ(P$6,$F$2, $A13, $I$2, $I$3))),IF(P12=P$6,"",P12),_xll.ciqfunctions.udf.CIQ(P$6,$F$2, $A13, $I$2, $I$3)))</f>
        <v/>
      </c>
      <c r="Q13" s="254"/>
      <c r="R13" s="251">
        <f t="shared" si="16"/>
        <v>42867</v>
      </c>
      <c r="S13" s="255">
        <f t="shared" si="35"/>
        <v>5.0360710321864621E-2</v>
      </c>
      <c r="T13" s="255">
        <f t="shared" si="36"/>
        <v>1.1294978615497664E-2</v>
      </c>
      <c r="U13" s="255">
        <f t="shared" si="37"/>
        <v>3.5107487966639095E-3</v>
      </c>
      <c r="V13" s="255">
        <f t="shared" si="52"/>
        <v>-4.2634257786601237E-3</v>
      </c>
      <c r="W13" s="255">
        <f t="array" ref="W13">IFERROR(AVERAGE(IF(ISERROR(X13:AG13),"",X13:AG13)),"")</f>
        <v>1.9023197566939043E-2</v>
      </c>
      <c r="X13" s="255">
        <f t="shared" si="53"/>
        <v>1.9023197566939043E-2</v>
      </c>
      <c r="Y13" s="255" t="e">
        <f t="shared" si="38"/>
        <v>#N/A</v>
      </c>
      <c r="Z13" s="255" t="e">
        <f t="shared" si="38"/>
        <v>#N/A</v>
      </c>
      <c r="AA13" s="255" t="e">
        <f t="shared" si="38"/>
        <v>#N/A</v>
      </c>
      <c r="AB13" s="255" t="e">
        <f t="shared" si="38"/>
        <v>#N/A</v>
      </c>
      <c r="AC13" s="255" t="e">
        <f t="shared" si="38"/>
        <v>#N/A</v>
      </c>
      <c r="AD13" s="255" t="e">
        <f t="shared" si="38"/>
        <v>#N/A</v>
      </c>
      <c r="AE13" s="255" t="e">
        <f t="shared" si="38"/>
        <v>#N/A</v>
      </c>
      <c r="AF13" s="255" t="e">
        <f t="shared" si="38"/>
        <v>#N/A</v>
      </c>
      <c r="AG13" s="255" t="e">
        <f t="shared" si="38"/>
        <v>#N/A</v>
      </c>
      <c r="AI13" s="251">
        <f t="shared" si="27"/>
        <v>42867</v>
      </c>
      <c r="AJ13" s="718">
        <f>IF(OR($B13="No",AJ$6=""),"",IF(NOT(ISNUMBER(_xll.ciqfunctions.udf.CIQ(AJ$6,"IQ_TEV",$AI13,$I$2,$I$3))),"",_xll.ciqfunctions.udf.CIQ(AJ$6,"IQ_TEV",$AI13,$I$2,$I$3)))</f>
        <v>271957.40759999998</v>
      </c>
      <c r="AK13" s="718">
        <f>IF(OR($B13="No",AK$6=""),"",IF(NOT(ISNUMBER(_xll.ciqfunctions.udf.CIQ(AK$6,"IQ_TEV",$AI13,$I$2,$I$3))),"",_xll.ciqfunctions.udf.CIQ(AK$6,"IQ_TEV",$AI13,$I$2,$I$3)))</f>
        <v>74385.067200000005</v>
      </c>
      <c r="AL13" s="718" t="str">
        <f>IF(OR($B13="No",AL$6=""),"",IF(NOT(ISNUMBER(_xll.ciqfunctions.udf.CIQ(AL$6,"IQ_TEV",$AI13,$I$2,$I$3))),"",_xll.ciqfunctions.udf.CIQ(AL$6,"IQ_TEV",$AI13,$I$2,$I$3)))</f>
        <v/>
      </c>
      <c r="AM13" s="718" t="str">
        <f>IF(OR($B13="No",AM$6=""),"",IF(NOT(ISNUMBER(_xll.ciqfunctions.udf.CIQ(AM$6,"IQ_TEV",$AI13,$I$2,$I$3))),"",_xll.ciqfunctions.udf.CIQ(AM$6,"IQ_TEV",$AI13,$I$2,$I$3)))</f>
        <v/>
      </c>
      <c r="AN13" s="718" t="str">
        <f>IF(OR($B13="No",AN$6=""),"",IF(NOT(ISNUMBER(_xll.ciqfunctions.udf.CIQ(AN$6,"IQ_TEV",$AI13,$I$2,$I$3))),"",_xll.ciqfunctions.udf.CIQ(AN$6,"IQ_TEV",$AI13,$I$2,$I$3)))</f>
        <v/>
      </c>
      <c r="AO13" s="718" t="str">
        <f>IF(OR($B13="No",AO$6=""),"",IF(NOT(ISNUMBER(_xll.ciqfunctions.udf.CIQ(AO$6,"IQ_TEV",$AI13,$I$2,$I$3))),"",_xll.ciqfunctions.udf.CIQ(AO$6,"IQ_TEV",$AI13,$I$2,$I$3)))</f>
        <v/>
      </c>
      <c r="AP13" s="718" t="str">
        <f>IF(OR($B13="No",AP$6=""),"",IF(NOT(ISNUMBER(_xll.ciqfunctions.udf.CIQ(AP$6,"IQ_TEV",$AI13,$I$2,$I$3))),"",_xll.ciqfunctions.udf.CIQ(AP$6,"IQ_TEV",$AI13,$I$2,$I$3)))</f>
        <v/>
      </c>
      <c r="AQ13" s="718" t="str">
        <f>IF(OR($B13="No",AQ$6=""),"",IF(NOT(ISNUMBER(_xll.ciqfunctions.udf.CIQ(AQ$6,"IQ_TEV",$AI13,$I$2,$I$3))),"",_xll.ciqfunctions.udf.CIQ(AQ$6,"IQ_TEV",$AI13,$I$2,$I$3)))</f>
        <v/>
      </c>
      <c r="AR13" s="718" t="str">
        <f>IF(OR($B13="No",AR$6=""),"",IF(NOT(ISNUMBER(_xll.ciqfunctions.udf.CIQ(AR$6,"IQ_TEV",$AI13,$I$2,$I$3))),"",_xll.ciqfunctions.udf.CIQ(AR$6,"IQ_TEV",$AI13,$I$2,$I$3)))</f>
        <v/>
      </c>
      <c r="AS13" s="718" t="str">
        <f>IF(OR($B13="No",AS$6=""),"",IF(NOT(ISNUMBER(_xll.ciqfunctions.udf.CIQ(AS$6,"IQ_TEV",$AI13,$I$2,$I$3))),"",_xll.ciqfunctions.udf.CIQ(AS$6,"IQ_TEV",$AI13,$I$2,$I$3)))</f>
        <v/>
      </c>
      <c r="AT13" s="718" t="str">
        <f>IF(OR($B13="No",AT$6=""),"",IF(NOT(ISNUMBER(_xll.ciqfunctions.udf.CIQ(AT$6,"IQ_TEV",$AI13,$I$2,$I$3))),"",_xll.ciqfunctions.udf.CIQ(AT$6,"IQ_TEV",$AI13,$I$2,$I$3)))</f>
        <v/>
      </c>
      <c r="AV13" s="251">
        <f t="shared" si="39"/>
        <v>42867</v>
      </c>
      <c r="AW13" s="719">
        <f t="shared" si="40"/>
        <v>4.1753720058405941E-2</v>
      </c>
      <c r="AX13" s="719">
        <f t="shared" si="41"/>
        <v>1.9185058636951302E-2</v>
      </c>
      <c r="AY13" s="719" t="e">
        <f t="shared" si="42"/>
        <v>#N/A</v>
      </c>
      <c r="AZ13" s="719" t="e">
        <f t="shared" si="43"/>
        <v>#N/A</v>
      </c>
      <c r="BA13" s="719" t="e">
        <f t="shared" si="44"/>
        <v>#N/A</v>
      </c>
      <c r="BB13" s="719" t="e">
        <f t="shared" si="45"/>
        <v>#N/A</v>
      </c>
      <c r="BC13" s="719" t="e">
        <f t="shared" si="46"/>
        <v>#N/A</v>
      </c>
      <c r="BD13" s="719" t="e">
        <f t="shared" si="47"/>
        <v>#N/A</v>
      </c>
      <c r="BE13" s="719" t="e">
        <f t="shared" si="48"/>
        <v>#N/A</v>
      </c>
      <c r="BF13" s="719" t="e">
        <f t="shared" si="49"/>
        <v>#N/A</v>
      </c>
      <c r="BG13" s="719" t="e">
        <f t="shared" si="50"/>
        <v>#N/A</v>
      </c>
    </row>
    <row r="14" spans="1:59" ht="15" customHeight="1" x14ac:dyDescent="0.2">
      <c r="A14" s="251">
        <f t="shared" si="15"/>
        <v>42874</v>
      </c>
      <c r="B14" s="253" t="str">
        <f t="shared" si="51"/>
        <v>Yes</v>
      </c>
      <c r="C14" s="1033">
        <f>IF(C$6="","",IF(NOT(ISNUMBER(_xll.ciqfunctions.udf.CIQ(C$6,$F$2, $A14, $I$2, $I$3))),IF(C13=C$6,"",C13),_xll.ciqfunctions.udf.CIQ(C$6,$F$2, $A14, $I$2, $I$3)))</f>
        <v>78.77</v>
      </c>
      <c r="D14" s="1033">
        <f>IF(D$6="","",IF(NOT(ISNUMBER(_xll.ciqfunctions.udf.CIQ(D$6,$F$2, $A14, $I$2, $I$3))),IF(D13=D$6,"",D13),_xll.ciqfunctions.udf.CIQ(D$6,$F$2, $A14, $I$2, $I$3)))</f>
        <v>20804.844249999998</v>
      </c>
      <c r="E14" s="1033">
        <f>IF(E$6="","",IF(NOT(ISNUMBER(_xll.ciqfunctions.udf.CIQ(E$6,$F$2, $A14, $I$2, $I$3))),IF(E13=E$6,"",E13),_xll.ciqfunctions.udf.CIQ(E$6,$F$2, $A14, $I$2, $I$3)))</f>
        <v>7141.6151099999997</v>
      </c>
      <c r="F14" s="1033">
        <f>IF(F$6="","",IF(NOT(ISNUMBER(_xll.ciqfunctions.udf.CIQ(F$6,$F$2, $A14, $I$2, $I$3))),IF(F13=F$6,"",F13),_xll.ciqfunctions.udf.CIQ(F$6,$F$2, $A14, $I$2, $I$3)))</f>
        <v>4242.3356599999997</v>
      </c>
      <c r="G14" s="1033">
        <f>IF(G$6="","",IF(NOT(ISNUMBER(_xll.ciqfunctions.udf.CIQ(G$6,$F$2, $A14, $I$2, $I$3))),IF(G13=G$6,"",G13),_xll.ciqfunctions.udf.CIQ(G$6,$F$2, $A14, $I$2, $I$3)))</f>
        <v>171.64</v>
      </c>
      <c r="H14" s="1033" t="str">
        <f>IF(H$6="","",IF(NOT(ISNUMBER(_xll.ciqfunctions.udf.CIQ(H$6,$F$2, $A14, $I$2, $I$3))),IF(H13=H$6,"",H13),_xll.ciqfunctions.udf.CIQ(H$6,$F$2, $A14, $I$2, $I$3)))</f>
        <v/>
      </c>
      <c r="I14" s="1033" t="str">
        <f>IF(I$6="","",IF(NOT(ISNUMBER(_xll.ciqfunctions.udf.CIQ(I$6,$F$2, $A14, $I$2, $I$3))),IF(I13=I$6,"",I13),_xll.ciqfunctions.udf.CIQ(I$6,$F$2, $A14, $I$2, $I$3)))</f>
        <v/>
      </c>
      <c r="J14" s="1033" t="str">
        <f>IF(J$6="","",IF(NOT(ISNUMBER(_xll.ciqfunctions.udf.CIQ(J$6,$F$2, $A14, $I$2, $I$3))),IF(J13=J$6,"",J13),_xll.ciqfunctions.udf.CIQ(J$6,$F$2, $A14, $I$2, $I$3)))</f>
        <v/>
      </c>
      <c r="K14" s="1033" t="str">
        <f>IF(K$6="","",IF(NOT(ISNUMBER(_xll.ciqfunctions.udf.CIQ(K$6,$F$2, $A14, $I$2, $I$3))),IF(K13=K$6,"",K13),_xll.ciqfunctions.udf.CIQ(K$6,$F$2, $A14, $I$2, $I$3)))</f>
        <v/>
      </c>
      <c r="L14" s="254" t="str">
        <f>IF(L$6="","",IF(NOT(ISNUMBER(_xll.ciqfunctions.udf.CIQ(L$6,$F$2, $A14, $I$2, $I$3))),IF(L13=L$6,"",L13),_xll.ciqfunctions.udf.CIQ(L$6,$F$2, $A14, $I$2, $I$3)))</f>
        <v/>
      </c>
      <c r="M14" s="254" t="str">
        <f>IF(M$6="","",IF(NOT(ISNUMBER(_xll.ciqfunctions.udf.CIQ(M$6,$F$2, $A14, $I$2, $I$3))),IF(M13=M$6,"",M13),_xll.ciqfunctions.udf.CIQ(M$6,$F$2, $A14, $I$2, $I$3)))</f>
        <v/>
      </c>
      <c r="N14" s="254" t="str">
        <f>IF(N$6="","",IF(NOT(ISNUMBER(_xll.ciqfunctions.udf.CIQ(N$6,$F$2, $A14, $I$2, $I$3))),IF(N13=N$6,"",N13),_xll.ciqfunctions.udf.CIQ(N$6,$F$2, $A14, $I$2, $I$3)))</f>
        <v/>
      </c>
      <c r="O14" s="254" t="str">
        <f>IF(O$6="","",IF(NOT(ISNUMBER(_xll.ciqfunctions.udf.CIQ(O$6,$F$2, $A14, $I$2, $I$3))),IF(O13=O$6,"",O13),_xll.ciqfunctions.udf.CIQ(O$6,$F$2, $A14, $I$2, $I$3)))</f>
        <v/>
      </c>
      <c r="P14" s="254" t="str">
        <f>IF(P$6="","",IF(NOT(ISNUMBER(_xll.ciqfunctions.udf.CIQ(P$6,$F$2, $A14, $I$2, $I$3))),IF(P13=P$6,"",P13),_xll.ciqfunctions.udf.CIQ(P$6,$F$2, $A14, $I$2, $I$3)))</f>
        <v/>
      </c>
      <c r="Q14" s="254"/>
      <c r="R14" s="251">
        <f t="shared" si="16"/>
        <v>42874</v>
      </c>
      <c r="S14" s="255">
        <f t="shared" si="35"/>
        <v>9.2813540510543913E-2</v>
      </c>
      <c r="T14" s="255">
        <f t="shared" si="36"/>
        <v>6.8538776983881888E-3</v>
      </c>
      <c r="U14" s="255">
        <f t="shared" si="37"/>
        <v>-1.9852229367038898E-3</v>
      </c>
      <c r="V14" s="255">
        <f t="shared" si="52"/>
        <v>-3.3578219405788201E-2</v>
      </c>
      <c r="W14" s="255">
        <f t="array" ref="W14">IFERROR(AVERAGE(IF(ISERROR(X14:AG14),"",X14:AG14)),"")</f>
        <v>2.3555370028027767E-2</v>
      </c>
      <c r="X14" s="255">
        <f t="shared" si="53"/>
        <v>2.3555370028027767E-2</v>
      </c>
      <c r="Y14" s="255" t="e">
        <f t="shared" si="38"/>
        <v>#N/A</v>
      </c>
      <c r="Z14" s="255" t="e">
        <f t="shared" si="38"/>
        <v>#N/A</v>
      </c>
      <c r="AA14" s="255" t="e">
        <f t="shared" si="38"/>
        <v>#N/A</v>
      </c>
      <c r="AB14" s="255" t="e">
        <f t="shared" si="38"/>
        <v>#N/A</v>
      </c>
      <c r="AC14" s="255" t="e">
        <f t="shared" si="38"/>
        <v>#N/A</v>
      </c>
      <c r="AD14" s="255" t="e">
        <f t="shared" si="38"/>
        <v>#N/A</v>
      </c>
      <c r="AE14" s="255" t="e">
        <f t="shared" si="38"/>
        <v>#N/A</v>
      </c>
      <c r="AF14" s="255" t="e">
        <f t="shared" si="38"/>
        <v>#N/A</v>
      </c>
      <c r="AG14" s="255" t="e">
        <f t="shared" si="38"/>
        <v>#N/A</v>
      </c>
      <c r="AI14" s="251">
        <f t="shared" si="27"/>
        <v>42874</v>
      </c>
      <c r="AJ14" s="718">
        <f>IF(OR($B14="No",AJ$6=""),"",IF(NOT(ISNUMBER(_xll.ciqfunctions.udf.CIQ(AJ$6,"IQ_TEV",$AI14,$I$2,$I$3))),"",_xll.ciqfunctions.udf.CIQ(AJ$6,"IQ_TEV",$AI14,$I$2,$I$3)))</f>
        <v>281170.98119999998</v>
      </c>
      <c r="AK14" s="718">
        <f>IF(OR($B14="No",AK$6=""),"",IF(NOT(ISNUMBER(_xll.ciqfunctions.udf.CIQ(AK$6,"IQ_TEV",$AI14,$I$2,$I$3))),"",_xll.ciqfunctions.udf.CIQ(AK$6,"IQ_TEV",$AI14,$I$2,$I$3)))</f>
        <v>74718.661600000007</v>
      </c>
      <c r="AL14" s="718" t="str">
        <f>IF(OR($B14="No",AL$6=""),"",IF(NOT(ISNUMBER(_xll.ciqfunctions.udf.CIQ(AL$6,"IQ_TEV",$AI14,$I$2,$I$3))),"",_xll.ciqfunctions.udf.CIQ(AL$6,"IQ_TEV",$AI14,$I$2,$I$3)))</f>
        <v/>
      </c>
      <c r="AM14" s="718" t="str">
        <f>IF(OR($B14="No",AM$6=""),"",IF(NOT(ISNUMBER(_xll.ciqfunctions.udf.CIQ(AM$6,"IQ_TEV",$AI14,$I$2,$I$3))),"",_xll.ciqfunctions.udf.CIQ(AM$6,"IQ_TEV",$AI14,$I$2,$I$3)))</f>
        <v/>
      </c>
      <c r="AN14" s="718" t="str">
        <f>IF(OR($B14="No",AN$6=""),"",IF(NOT(ISNUMBER(_xll.ciqfunctions.udf.CIQ(AN$6,"IQ_TEV",$AI14,$I$2,$I$3))),"",_xll.ciqfunctions.udf.CIQ(AN$6,"IQ_TEV",$AI14,$I$2,$I$3)))</f>
        <v/>
      </c>
      <c r="AO14" s="718" t="str">
        <f>IF(OR($B14="No",AO$6=""),"",IF(NOT(ISNUMBER(_xll.ciqfunctions.udf.CIQ(AO$6,"IQ_TEV",$AI14,$I$2,$I$3))),"",_xll.ciqfunctions.udf.CIQ(AO$6,"IQ_TEV",$AI14,$I$2,$I$3)))</f>
        <v/>
      </c>
      <c r="AP14" s="718" t="str">
        <f>IF(OR($B14="No",AP$6=""),"",IF(NOT(ISNUMBER(_xll.ciqfunctions.udf.CIQ(AP$6,"IQ_TEV",$AI14,$I$2,$I$3))),"",_xll.ciqfunctions.udf.CIQ(AP$6,"IQ_TEV",$AI14,$I$2,$I$3)))</f>
        <v/>
      </c>
      <c r="AQ14" s="718" t="str">
        <f>IF(OR($B14="No",AQ$6=""),"",IF(NOT(ISNUMBER(_xll.ciqfunctions.udf.CIQ(AQ$6,"IQ_TEV",$AI14,$I$2,$I$3))),"",_xll.ciqfunctions.udf.CIQ(AQ$6,"IQ_TEV",$AI14,$I$2,$I$3)))</f>
        <v/>
      </c>
      <c r="AR14" s="718" t="str">
        <f>IF(OR($B14="No",AR$6=""),"",IF(NOT(ISNUMBER(_xll.ciqfunctions.udf.CIQ(AR$6,"IQ_TEV",$AI14,$I$2,$I$3))),"",_xll.ciqfunctions.udf.CIQ(AR$6,"IQ_TEV",$AI14,$I$2,$I$3)))</f>
        <v/>
      </c>
      <c r="AS14" s="718" t="str">
        <f>IF(OR($B14="No",AS$6=""),"",IF(NOT(ISNUMBER(_xll.ciqfunctions.udf.CIQ(AS$6,"IQ_TEV",$AI14,$I$2,$I$3))),"",_xll.ciqfunctions.udf.CIQ(AS$6,"IQ_TEV",$AI14,$I$2,$I$3)))</f>
        <v/>
      </c>
      <c r="AT14" s="718" t="str">
        <f>IF(OR($B14="No",AT$6=""),"",IF(NOT(ISNUMBER(_xll.ciqfunctions.udf.CIQ(AT$6,"IQ_TEV",$AI14,$I$2,$I$3))),"",_xll.ciqfunctions.udf.CIQ(AT$6,"IQ_TEV",$AI14,$I$2,$I$3)))</f>
        <v/>
      </c>
      <c r="AV14" s="251">
        <f t="shared" si="39"/>
        <v>42874</v>
      </c>
      <c r="AW14" s="719">
        <f t="shared" si="40"/>
        <v>7.7047020790810494E-2</v>
      </c>
      <c r="AX14" s="719">
        <f t="shared" si="41"/>
        <v>2.3755793610017895E-2</v>
      </c>
      <c r="AY14" s="719" t="e">
        <f t="shared" si="42"/>
        <v>#N/A</v>
      </c>
      <c r="AZ14" s="719" t="e">
        <f t="shared" si="43"/>
        <v>#N/A</v>
      </c>
      <c r="BA14" s="719" t="e">
        <f t="shared" si="44"/>
        <v>#N/A</v>
      </c>
      <c r="BB14" s="719" t="e">
        <f t="shared" si="45"/>
        <v>#N/A</v>
      </c>
      <c r="BC14" s="719" t="e">
        <f t="shared" si="46"/>
        <v>#N/A</v>
      </c>
      <c r="BD14" s="719" t="e">
        <f t="shared" si="47"/>
        <v>#N/A</v>
      </c>
      <c r="BE14" s="719" t="e">
        <f t="shared" si="48"/>
        <v>#N/A</v>
      </c>
      <c r="BF14" s="719" t="e">
        <f t="shared" si="49"/>
        <v>#N/A</v>
      </c>
      <c r="BG14" s="719" t="e">
        <f t="shared" si="50"/>
        <v>#N/A</v>
      </c>
    </row>
    <row r="15" spans="1:59" ht="15" customHeight="1" x14ac:dyDescent="0.2">
      <c r="A15" s="251">
        <f t="shared" si="15"/>
        <v>42881</v>
      </c>
      <c r="B15" s="253" t="str">
        <f t="shared" si="51"/>
        <v>Yes</v>
      </c>
      <c r="C15" s="1033">
        <f>IF(C$6="","",IF(NOT(ISNUMBER(_xll.ciqfunctions.udf.CIQ(C$6,$F$2, $A15, $I$2, $I$3))),IF(C14=C$6,"",C14),_xll.ciqfunctions.udf.CIQ(C$6,$F$2, $A15, $I$2, $I$3)))</f>
        <v>78.13</v>
      </c>
      <c r="D15" s="1033">
        <f>IF(D$6="","",IF(NOT(ISNUMBER(_xll.ciqfunctions.udf.CIQ(D$6,$F$2, $A15, $I$2, $I$3))),IF(D14=D$6,"",D14),_xll.ciqfunctions.udf.CIQ(D$6,$F$2, $A15, $I$2, $I$3)))</f>
        <v>21080.28356</v>
      </c>
      <c r="E15" s="1033">
        <f>IF(E$6="","",IF(NOT(ISNUMBER(_xll.ciqfunctions.udf.CIQ(E$6,$F$2, $A15, $I$2, $I$3))),IF(E14=E$6,"",E14),_xll.ciqfunctions.udf.CIQ(E$6,$F$2, $A15, $I$2, $I$3)))</f>
        <v>7288.0512799999997</v>
      </c>
      <c r="F15" s="1033">
        <f>IF(F$6="","",IF(NOT(ISNUMBER(_xll.ciqfunctions.udf.CIQ(F$6,$F$2, $A15, $I$2, $I$3))),IF(F14=F$6,"",F14),_xll.ciqfunctions.udf.CIQ(F$6,$F$2, $A15, $I$2, $I$3)))</f>
        <v>4232.7719500000003</v>
      </c>
      <c r="G15" s="1033">
        <f>IF(G$6="","",IF(NOT(ISNUMBER(_xll.ciqfunctions.udf.CIQ(G$6,$F$2, $A15, $I$2, $I$3))),IF(G14=G$6,"",G14),_xll.ciqfunctions.udf.CIQ(G$6,$F$2, $A15, $I$2, $I$3)))</f>
        <v>177.86</v>
      </c>
      <c r="H15" s="1033" t="str">
        <f>IF(H$6="","",IF(NOT(ISNUMBER(_xll.ciqfunctions.udf.CIQ(H$6,$F$2, $A15, $I$2, $I$3))),IF(H14=H$6,"",H14),_xll.ciqfunctions.udf.CIQ(H$6,$F$2, $A15, $I$2, $I$3)))</f>
        <v/>
      </c>
      <c r="I15" s="1033" t="str">
        <f>IF(I$6="","",IF(NOT(ISNUMBER(_xll.ciqfunctions.udf.CIQ(I$6,$F$2, $A15, $I$2, $I$3))),IF(I14=I$6,"",I14),_xll.ciqfunctions.udf.CIQ(I$6,$F$2, $A15, $I$2, $I$3)))</f>
        <v/>
      </c>
      <c r="J15" s="1033" t="str">
        <f>IF(J$6="","",IF(NOT(ISNUMBER(_xll.ciqfunctions.udf.CIQ(J$6,$F$2, $A15, $I$2, $I$3))),IF(J14=J$6,"",J14),_xll.ciqfunctions.udf.CIQ(J$6,$F$2, $A15, $I$2, $I$3)))</f>
        <v/>
      </c>
      <c r="K15" s="1033" t="str">
        <f>IF(K$6="","",IF(NOT(ISNUMBER(_xll.ciqfunctions.udf.CIQ(K$6,$F$2, $A15, $I$2, $I$3))),IF(K14=K$6,"",K14),_xll.ciqfunctions.udf.CIQ(K$6,$F$2, $A15, $I$2, $I$3)))</f>
        <v/>
      </c>
      <c r="L15" s="254" t="str">
        <f>IF(L$6="","",IF(NOT(ISNUMBER(_xll.ciqfunctions.udf.CIQ(L$6,$F$2, $A15, $I$2, $I$3))),IF(L14=L$6,"",L14),_xll.ciqfunctions.udf.CIQ(L$6,$F$2, $A15, $I$2, $I$3)))</f>
        <v/>
      </c>
      <c r="M15" s="254" t="str">
        <f>IF(M$6="","",IF(NOT(ISNUMBER(_xll.ciqfunctions.udf.CIQ(M$6,$F$2, $A15, $I$2, $I$3))),IF(M14=M$6,"",M14),_xll.ciqfunctions.udf.CIQ(M$6,$F$2, $A15, $I$2, $I$3)))</f>
        <v/>
      </c>
      <c r="N15" s="254" t="str">
        <f>IF(N$6="","",IF(NOT(ISNUMBER(_xll.ciqfunctions.udf.CIQ(N$6,$F$2, $A15, $I$2, $I$3))),IF(N14=N$6,"",N14),_xll.ciqfunctions.udf.CIQ(N$6,$F$2, $A15, $I$2, $I$3)))</f>
        <v/>
      </c>
      <c r="O15" s="254" t="str">
        <f>IF(O$6="","",IF(NOT(ISNUMBER(_xll.ciqfunctions.udf.CIQ(O$6,$F$2, $A15, $I$2, $I$3))),IF(O14=O$6,"",O14),_xll.ciqfunctions.udf.CIQ(O$6,$F$2, $A15, $I$2, $I$3)))</f>
        <v/>
      </c>
      <c r="P15" s="254" t="str">
        <f>IF(P$6="","",IF(NOT(ISNUMBER(_xll.ciqfunctions.udf.CIQ(P$6,$F$2, $A15, $I$2, $I$3))),IF(P14=P$6,"",P14),_xll.ciqfunctions.udf.CIQ(P$6,$F$2, $A15, $I$2, $I$3)))</f>
        <v/>
      </c>
      <c r="Q15" s="254"/>
      <c r="R15" s="251">
        <f t="shared" si="16"/>
        <v>42881</v>
      </c>
      <c r="S15" s="255">
        <f t="shared" si="35"/>
        <v>8.3934517203107628E-2</v>
      </c>
      <c r="T15" s="255">
        <f t="shared" si="36"/>
        <v>2.0183808651563551E-2</v>
      </c>
      <c r="U15" s="255">
        <f t="shared" si="37"/>
        <v>1.8478700042275031E-2</v>
      </c>
      <c r="V15" s="255">
        <f t="shared" si="52"/>
        <v>-3.5756872484664637E-2</v>
      </c>
      <c r="W15" s="255">
        <f t="array" ref="W15">IFERROR(AVERAGE(IF(ISERROR(X15:AG15),"",X15:AG15)),"")</f>
        <v>6.064762359115039E-2</v>
      </c>
      <c r="X15" s="255">
        <f t="shared" si="53"/>
        <v>6.064762359115039E-2</v>
      </c>
      <c r="Y15" s="255" t="e">
        <f t="shared" si="38"/>
        <v>#N/A</v>
      </c>
      <c r="Z15" s="255" t="e">
        <f t="shared" si="38"/>
        <v>#N/A</v>
      </c>
      <c r="AA15" s="255" t="e">
        <f t="shared" si="38"/>
        <v>#N/A</v>
      </c>
      <c r="AB15" s="255" t="e">
        <f t="shared" si="38"/>
        <v>#N/A</v>
      </c>
      <c r="AC15" s="255" t="e">
        <f t="shared" si="38"/>
        <v>#N/A</v>
      </c>
      <c r="AD15" s="255" t="e">
        <f t="shared" si="38"/>
        <v>#N/A</v>
      </c>
      <c r="AE15" s="255" t="e">
        <f t="shared" si="38"/>
        <v>#N/A</v>
      </c>
      <c r="AF15" s="255" t="e">
        <f t="shared" si="38"/>
        <v>#N/A</v>
      </c>
      <c r="AG15" s="255" t="e">
        <f t="shared" si="38"/>
        <v>#N/A</v>
      </c>
      <c r="AI15" s="251">
        <f t="shared" si="27"/>
        <v>42881</v>
      </c>
      <c r="AJ15" s="718">
        <f>IF(OR($B15="No",AJ$6=""),"",IF(NOT(ISNUMBER(_xll.ciqfunctions.udf.CIQ(AJ$6,"IQ_TEV",$AI15,$I$2,$I$3))),"",_xll.ciqfunctions.udf.CIQ(AJ$6,"IQ_TEV",$AI15,$I$2,$I$3)))</f>
        <v>279230.78279999999</v>
      </c>
      <c r="AK15" s="718">
        <f>IF(OR($B15="No",AK$6=""),"",IF(NOT(ISNUMBER(_xll.ciqfunctions.udf.CIQ(AK$6,"IQ_TEV",$AI15,$I$2,$I$3))),"",_xll.ciqfunctions.udf.CIQ(AK$6,"IQ_TEV",$AI15,$I$2,$I$3)))</f>
        <v>76564.446939999994</v>
      </c>
      <c r="AL15" s="718" t="str">
        <f>IF(OR($B15="No",AL$6=""),"",IF(NOT(ISNUMBER(_xll.ciqfunctions.udf.CIQ(AL$6,"IQ_TEV",$AI15,$I$2,$I$3))),"",_xll.ciqfunctions.udf.CIQ(AL$6,"IQ_TEV",$AI15,$I$2,$I$3)))</f>
        <v/>
      </c>
      <c r="AM15" s="718" t="str">
        <f>IF(OR($B15="No",AM$6=""),"",IF(NOT(ISNUMBER(_xll.ciqfunctions.udf.CIQ(AM$6,"IQ_TEV",$AI15,$I$2,$I$3))),"",_xll.ciqfunctions.udf.CIQ(AM$6,"IQ_TEV",$AI15,$I$2,$I$3)))</f>
        <v/>
      </c>
      <c r="AN15" s="718" t="str">
        <f>IF(OR($B15="No",AN$6=""),"",IF(NOT(ISNUMBER(_xll.ciqfunctions.udf.CIQ(AN$6,"IQ_TEV",$AI15,$I$2,$I$3))),"",_xll.ciqfunctions.udf.CIQ(AN$6,"IQ_TEV",$AI15,$I$2,$I$3)))</f>
        <v/>
      </c>
      <c r="AO15" s="718" t="str">
        <f>IF(OR($B15="No",AO$6=""),"",IF(NOT(ISNUMBER(_xll.ciqfunctions.udf.CIQ(AO$6,"IQ_TEV",$AI15,$I$2,$I$3))),"",_xll.ciqfunctions.udf.CIQ(AO$6,"IQ_TEV",$AI15,$I$2,$I$3)))</f>
        <v/>
      </c>
      <c r="AP15" s="718" t="str">
        <f>IF(OR($B15="No",AP$6=""),"",IF(NOT(ISNUMBER(_xll.ciqfunctions.udf.CIQ(AP$6,"IQ_TEV",$AI15,$I$2,$I$3))),"",_xll.ciqfunctions.udf.CIQ(AP$6,"IQ_TEV",$AI15,$I$2,$I$3)))</f>
        <v/>
      </c>
      <c r="AQ15" s="718" t="str">
        <f>IF(OR($B15="No",AQ$6=""),"",IF(NOT(ISNUMBER(_xll.ciqfunctions.udf.CIQ(AQ$6,"IQ_TEV",$AI15,$I$2,$I$3))),"",_xll.ciqfunctions.udf.CIQ(AQ$6,"IQ_TEV",$AI15,$I$2,$I$3)))</f>
        <v/>
      </c>
      <c r="AR15" s="718" t="str">
        <f>IF(OR($B15="No",AR$6=""),"",IF(NOT(ISNUMBER(_xll.ciqfunctions.udf.CIQ(AR$6,"IQ_TEV",$AI15,$I$2,$I$3))),"",_xll.ciqfunctions.udf.CIQ(AR$6,"IQ_TEV",$AI15,$I$2,$I$3)))</f>
        <v/>
      </c>
      <c r="AS15" s="718" t="str">
        <f>IF(OR($B15="No",AS$6=""),"",IF(NOT(ISNUMBER(_xll.ciqfunctions.udf.CIQ(AS$6,"IQ_TEV",$AI15,$I$2,$I$3))),"",_xll.ciqfunctions.udf.CIQ(AS$6,"IQ_TEV",$AI15,$I$2,$I$3)))</f>
        <v/>
      </c>
      <c r="AT15" s="718" t="str">
        <f>IF(OR($B15="No",AT$6=""),"",IF(NOT(ISNUMBER(_xll.ciqfunctions.udf.CIQ(AT$6,"IQ_TEV",$AI15,$I$2,$I$3))),"",_xll.ciqfunctions.udf.CIQ(AT$6,"IQ_TEV",$AI15,$I$2,$I$3)))</f>
        <v/>
      </c>
      <c r="AV15" s="251">
        <f t="shared" si="39"/>
        <v>42881</v>
      </c>
      <c r="AW15" s="719">
        <f t="shared" si="40"/>
        <v>6.961494192710771E-2</v>
      </c>
      <c r="AX15" s="719">
        <f t="shared" si="41"/>
        <v>4.9045773316847008E-2</v>
      </c>
      <c r="AY15" s="719" t="e">
        <f t="shared" si="42"/>
        <v>#N/A</v>
      </c>
      <c r="AZ15" s="719" t="e">
        <f t="shared" si="43"/>
        <v>#N/A</v>
      </c>
      <c r="BA15" s="719" t="e">
        <f t="shared" si="44"/>
        <v>#N/A</v>
      </c>
      <c r="BB15" s="719" t="e">
        <f t="shared" si="45"/>
        <v>#N/A</v>
      </c>
      <c r="BC15" s="719" t="e">
        <f t="shared" si="46"/>
        <v>#N/A</v>
      </c>
      <c r="BD15" s="719" t="e">
        <f t="shared" si="47"/>
        <v>#N/A</v>
      </c>
      <c r="BE15" s="719" t="e">
        <f t="shared" si="48"/>
        <v>#N/A</v>
      </c>
      <c r="BF15" s="719" t="e">
        <f t="shared" si="49"/>
        <v>#N/A</v>
      </c>
      <c r="BG15" s="719" t="e">
        <f t="shared" si="50"/>
        <v>#N/A</v>
      </c>
    </row>
    <row r="16" spans="1:59" ht="15" customHeight="1" x14ac:dyDescent="0.2">
      <c r="A16" s="251">
        <f t="shared" si="15"/>
        <v>42888</v>
      </c>
      <c r="B16" s="253" t="str">
        <f t="shared" si="51"/>
        <v>Yes</v>
      </c>
      <c r="C16" s="1033">
        <f>IF(C$6="","",IF(NOT(ISNUMBER(_xll.ciqfunctions.udf.CIQ(C$6,$F$2, $A16, $I$2, $I$3))),IF(C15=C$6,"",C15),_xll.ciqfunctions.udf.CIQ(C$6,$F$2, $A16, $I$2, $I$3)))</f>
        <v>79.62</v>
      </c>
      <c r="D16" s="1033">
        <f>IF(D$6="","",IF(NOT(ISNUMBER(_xll.ciqfunctions.udf.CIQ(D$6,$F$2, $A16, $I$2, $I$3))),IF(D15=D$6,"",D15),_xll.ciqfunctions.udf.CIQ(D$6,$F$2, $A16, $I$2, $I$3)))</f>
        <v>21206.292590000001</v>
      </c>
      <c r="E16" s="1033">
        <f>IF(E$6="","",IF(NOT(ISNUMBER(_xll.ciqfunctions.udf.CIQ(E$6,$F$2, $A16, $I$2, $I$3))),IF(E15=E$6,"",E15),_xll.ciqfunctions.udf.CIQ(E$6,$F$2, $A16, $I$2, $I$3)))</f>
        <v>7367.1188599999996</v>
      </c>
      <c r="F16" s="1033">
        <f>IF(F$6="","",IF(NOT(ISNUMBER(_xll.ciqfunctions.udf.CIQ(F$6,$F$2, $A16, $I$2, $I$3))),IF(F15=F$6,"",F15),_xll.ciqfunctions.udf.CIQ(F$6,$F$2, $A16, $I$2, $I$3)))</f>
        <v>4278.50846</v>
      </c>
      <c r="G16" s="1033">
        <f>IF(G$6="","",IF(NOT(ISNUMBER(_xll.ciqfunctions.udf.CIQ(G$6,$F$2, $A16, $I$2, $I$3))),IF(G15=G$6,"",G15),_xll.ciqfunctions.udf.CIQ(G$6,$F$2, $A16, $I$2, $I$3)))</f>
        <v>180.97</v>
      </c>
      <c r="H16" s="1033" t="str">
        <f>IF(H$6="","",IF(NOT(ISNUMBER(_xll.ciqfunctions.udf.CIQ(H$6,$F$2, $A16, $I$2, $I$3))),IF(H15=H$6,"",H15),_xll.ciqfunctions.udf.CIQ(H$6,$F$2, $A16, $I$2, $I$3)))</f>
        <v/>
      </c>
      <c r="I16" s="1033" t="str">
        <f>IF(I$6="","",IF(NOT(ISNUMBER(_xll.ciqfunctions.udf.CIQ(I$6,$F$2, $A16, $I$2, $I$3))),IF(I15=I$6,"",I15),_xll.ciqfunctions.udf.CIQ(I$6,$F$2, $A16, $I$2, $I$3)))</f>
        <v/>
      </c>
      <c r="J16" s="1033" t="str">
        <f>IF(J$6="","",IF(NOT(ISNUMBER(_xll.ciqfunctions.udf.CIQ(J$6,$F$2, $A16, $I$2, $I$3))),IF(J15=J$6,"",J15),_xll.ciqfunctions.udf.CIQ(J$6,$F$2, $A16, $I$2, $I$3)))</f>
        <v/>
      </c>
      <c r="K16" s="1033" t="str">
        <f>IF(K$6="","",IF(NOT(ISNUMBER(_xll.ciqfunctions.udf.CIQ(K$6,$F$2, $A16, $I$2, $I$3))),IF(K15=K$6,"",K15),_xll.ciqfunctions.udf.CIQ(K$6,$F$2, $A16, $I$2, $I$3)))</f>
        <v/>
      </c>
      <c r="L16" s="254" t="str">
        <f>IF(L$6="","",IF(NOT(ISNUMBER(_xll.ciqfunctions.udf.CIQ(L$6,$F$2, $A16, $I$2, $I$3))),IF(L15=L$6,"",L15),_xll.ciqfunctions.udf.CIQ(L$6,$F$2, $A16, $I$2, $I$3)))</f>
        <v/>
      </c>
      <c r="M16" s="254" t="str">
        <f>IF(M$6="","",IF(NOT(ISNUMBER(_xll.ciqfunctions.udf.CIQ(M$6,$F$2, $A16, $I$2, $I$3))),IF(M15=M$6,"",M15),_xll.ciqfunctions.udf.CIQ(M$6,$F$2, $A16, $I$2, $I$3)))</f>
        <v/>
      </c>
      <c r="N16" s="254" t="str">
        <f>IF(N$6="","",IF(NOT(ISNUMBER(_xll.ciqfunctions.udf.CIQ(N$6,$F$2, $A16, $I$2, $I$3))),IF(N15=N$6,"",N15),_xll.ciqfunctions.udf.CIQ(N$6,$F$2, $A16, $I$2, $I$3)))</f>
        <v/>
      </c>
      <c r="O16" s="254" t="str">
        <f>IF(O$6="","",IF(NOT(ISNUMBER(_xll.ciqfunctions.udf.CIQ(O$6,$F$2, $A16, $I$2, $I$3))),IF(O15=O$6,"",O15),_xll.ciqfunctions.udf.CIQ(O$6,$F$2, $A16, $I$2, $I$3)))</f>
        <v/>
      </c>
      <c r="P16" s="254" t="str">
        <f>IF(P$6="","",IF(NOT(ISNUMBER(_xll.ciqfunctions.udf.CIQ(P$6,$F$2, $A16, $I$2, $I$3))),IF(P15=P$6,"",P15),_xll.ciqfunctions.udf.CIQ(P$6,$F$2, $A16, $I$2, $I$3)))</f>
        <v/>
      </c>
      <c r="Q16" s="254"/>
      <c r="R16" s="251">
        <f t="shared" si="16"/>
        <v>42888</v>
      </c>
      <c r="S16" s="255">
        <f t="shared" si="35"/>
        <v>0.10460599334073262</v>
      </c>
      <c r="T16" s="255">
        <f t="shared" si="36"/>
        <v>2.6282036494846617E-2</v>
      </c>
      <c r="U16" s="255">
        <f t="shared" si="37"/>
        <v>2.9528107215750499E-2</v>
      </c>
      <c r="V16" s="255">
        <f t="shared" si="52"/>
        <v>-2.5337904497495845E-2</v>
      </c>
      <c r="W16" s="255">
        <f t="array" ref="W16">IFERROR(AVERAGE(IF(ISERROR(X16:AG16),"",X16:AG16)),"")</f>
        <v>7.9193750372711591E-2</v>
      </c>
      <c r="X16" s="255">
        <f t="shared" si="53"/>
        <v>7.9193750372711591E-2</v>
      </c>
      <c r="Y16" s="255" t="e">
        <f t="shared" si="38"/>
        <v>#N/A</v>
      </c>
      <c r="Z16" s="255" t="e">
        <f t="shared" si="38"/>
        <v>#N/A</v>
      </c>
      <c r="AA16" s="255" t="e">
        <f t="shared" si="38"/>
        <v>#N/A</v>
      </c>
      <c r="AB16" s="255" t="e">
        <f t="shared" si="38"/>
        <v>#N/A</v>
      </c>
      <c r="AC16" s="255" t="e">
        <f t="shared" si="38"/>
        <v>#N/A</v>
      </c>
      <c r="AD16" s="255" t="e">
        <f t="shared" si="38"/>
        <v>#N/A</v>
      </c>
      <c r="AE16" s="255" t="e">
        <f t="shared" si="38"/>
        <v>#N/A</v>
      </c>
      <c r="AF16" s="255" t="e">
        <f t="shared" si="38"/>
        <v>#N/A</v>
      </c>
      <c r="AG16" s="255" t="e">
        <f t="shared" si="38"/>
        <v>#N/A</v>
      </c>
      <c r="AI16" s="251">
        <f t="shared" si="27"/>
        <v>42888</v>
      </c>
      <c r="AJ16" s="718">
        <f>IF(OR($B16="No",AJ$6=""),"",IF(NOT(ISNUMBER(_xll.ciqfunctions.udf.CIQ(AJ$6,"IQ_TEV",$AI16,$I$2,$I$3))),"",_xll.ciqfunctions.udf.CIQ(AJ$6,"IQ_TEV",$AI16,$I$2,$I$3)))</f>
        <v>283001.42089000001</v>
      </c>
      <c r="AK16" s="718">
        <f>IF(OR($B16="No",AK$6=""),"",IF(NOT(ISNUMBER(_xll.ciqfunctions.udf.CIQ(AK$6,"IQ_TEV",$AI16,$I$2,$I$3))),"",_xll.ciqfunctions.udf.CIQ(AK$6,"IQ_TEV",$AI16,$I$2,$I$3)))</f>
        <v>77913.236739999993</v>
      </c>
      <c r="AL16" s="718" t="str">
        <f>IF(OR($B16="No",AL$6=""),"",IF(NOT(ISNUMBER(_xll.ciqfunctions.udf.CIQ(AL$6,"IQ_TEV",$AI16,$I$2,$I$3))),"",_xll.ciqfunctions.udf.CIQ(AL$6,"IQ_TEV",$AI16,$I$2,$I$3)))</f>
        <v/>
      </c>
      <c r="AM16" s="718" t="str">
        <f>IF(OR($B16="No",AM$6=""),"",IF(NOT(ISNUMBER(_xll.ciqfunctions.udf.CIQ(AM$6,"IQ_TEV",$AI16,$I$2,$I$3))),"",_xll.ciqfunctions.udf.CIQ(AM$6,"IQ_TEV",$AI16,$I$2,$I$3)))</f>
        <v/>
      </c>
      <c r="AN16" s="718" t="str">
        <f>IF(OR($B16="No",AN$6=""),"",IF(NOT(ISNUMBER(_xll.ciqfunctions.udf.CIQ(AN$6,"IQ_TEV",$AI16,$I$2,$I$3))),"",_xll.ciqfunctions.udf.CIQ(AN$6,"IQ_TEV",$AI16,$I$2,$I$3)))</f>
        <v/>
      </c>
      <c r="AO16" s="718" t="str">
        <f>IF(OR($B16="No",AO$6=""),"",IF(NOT(ISNUMBER(_xll.ciqfunctions.udf.CIQ(AO$6,"IQ_TEV",$AI16,$I$2,$I$3))),"",_xll.ciqfunctions.udf.CIQ(AO$6,"IQ_TEV",$AI16,$I$2,$I$3)))</f>
        <v/>
      </c>
      <c r="AP16" s="718" t="str">
        <f>IF(OR($B16="No",AP$6=""),"",IF(NOT(ISNUMBER(_xll.ciqfunctions.udf.CIQ(AP$6,"IQ_TEV",$AI16,$I$2,$I$3))),"",_xll.ciqfunctions.udf.CIQ(AP$6,"IQ_TEV",$AI16,$I$2,$I$3)))</f>
        <v/>
      </c>
      <c r="AQ16" s="718" t="str">
        <f>IF(OR($B16="No",AQ$6=""),"",IF(NOT(ISNUMBER(_xll.ciqfunctions.udf.CIQ(AQ$6,"IQ_TEV",$AI16,$I$2,$I$3))),"",_xll.ciqfunctions.udf.CIQ(AQ$6,"IQ_TEV",$AI16,$I$2,$I$3)))</f>
        <v/>
      </c>
      <c r="AR16" s="718" t="str">
        <f>IF(OR($B16="No",AR$6=""),"",IF(NOT(ISNUMBER(_xll.ciqfunctions.udf.CIQ(AR$6,"IQ_TEV",$AI16,$I$2,$I$3))),"",_xll.ciqfunctions.udf.CIQ(AR$6,"IQ_TEV",$AI16,$I$2,$I$3)))</f>
        <v/>
      </c>
      <c r="AS16" s="718" t="str">
        <f>IF(OR($B16="No",AS$6=""),"",IF(NOT(ISNUMBER(_xll.ciqfunctions.udf.CIQ(AS$6,"IQ_TEV",$AI16,$I$2,$I$3))),"",_xll.ciqfunctions.udf.CIQ(AS$6,"IQ_TEV",$AI16,$I$2,$I$3)))</f>
        <v/>
      </c>
      <c r="AT16" s="718" t="str">
        <f>IF(OR($B16="No",AT$6=""),"",IF(NOT(ISNUMBER(_xll.ciqfunctions.udf.CIQ(AT$6,"IQ_TEV",$AI16,$I$2,$I$3))),"",_xll.ciqfunctions.udf.CIQ(AT$6,"IQ_TEV",$AI16,$I$2,$I$3)))</f>
        <v/>
      </c>
      <c r="AV16" s="251">
        <f t="shared" si="39"/>
        <v>42888</v>
      </c>
      <c r="AW16" s="719">
        <f t="shared" si="40"/>
        <v>8.4058660492879911E-2</v>
      </c>
      <c r="AX16" s="719">
        <f t="shared" si="41"/>
        <v>6.7526181591613277E-2</v>
      </c>
      <c r="AY16" s="719" t="e">
        <f t="shared" si="42"/>
        <v>#N/A</v>
      </c>
      <c r="AZ16" s="719" t="e">
        <f t="shared" si="43"/>
        <v>#N/A</v>
      </c>
      <c r="BA16" s="719" t="e">
        <f t="shared" si="44"/>
        <v>#N/A</v>
      </c>
      <c r="BB16" s="719" t="e">
        <f t="shared" si="45"/>
        <v>#N/A</v>
      </c>
      <c r="BC16" s="719" t="e">
        <f t="shared" si="46"/>
        <v>#N/A</v>
      </c>
      <c r="BD16" s="719" t="e">
        <f t="shared" si="47"/>
        <v>#N/A</v>
      </c>
      <c r="BE16" s="719" t="e">
        <f t="shared" si="48"/>
        <v>#N/A</v>
      </c>
      <c r="BF16" s="719" t="e">
        <f t="shared" si="49"/>
        <v>#N/A</v>
      </c>
      <c r="BG16" s="719" t="e">
        <f t="shared" si="50"/>
        <v>#N/A</v>
      </c>
    </row>
    <row r="17" spans="1:59" ht="15" customHeight="1" x14ac:dyDescent="0.2">
      <c r="A17" s="251">
        <f t="shared" si="15"/>
        <v>42895</v>
      </c>
      <c r="B17" s="253" t="str">
        <f t="shared" si="51"/>
        <v>Yes</v>
      </c>
      <c r="C17" s="1033">
        <f>IF(C$6="","",IF(NOT(ISNUMBER(_xll.ciqfunctions.udf.CIQ(C$6,$F$2, $A17, $I$2, $I$3))),IF(C16=C$6,"",C16),_xll.ciqfunctions.udf.CIQ(C$6,$F$2, $A17, $I$2, $I$3)))</f>
        <v>79.42</v>
      </c>
      <c r="D17" s="1033">
        <f>IF(D$6="","",IF(NOT(ISNUMBER(_xll.ciqfunctions.udf.CIQ(D$6,$F$2, $A17, $I$2, $I$3))),IF(D16=D$6,"",D16),_xll.ciqfunctions.udf.CIQ(D$6,$F$2, $A17, $I$2, $I$3)))</f>
        <v>21271.967949999998</v>
      </c>
      <c r="E17" s="1033">
        <f>IF(E$6="","",IF(NOT(ISNUMBER(_xll.ciqfunctions.udf.CIQ(E$6,$F$2, $A17, $I$2, $I$3))),IF(E16=E$6,"",E16),_xll.ciqfunctions.udf.CIQ(E$6,$F$2, $A17, $I$2, $I$3)))</f>
        <v>7365.9516100000001</v>
      </c>
      <c r="F17" s="1033">
        <f>IF(F$6="","",IF(NOT(ISNUMBER(_xll.ciqfunctions.udf.CIQ(F$6,$F$2, $A17, $I$2, $I$3))),IF(F16=F$6,"",F16),_xll.ciqfunctions.udf.CIQ(F$6,$F$2, $A17, $I$2, $I$3)))</f>
        <v>4243.0180399999999</v>
      </c>
      <c r="G17" s="1033">
        <f>IF(G$6="","",IF(NOT(ISNUMBER(_xll.ciqfunctions.udf.CIQ(G$6,$F$2, $A17, $I$2, $I$3))),IF(G16=G$6,"",G16),_xll.ciqfunctions.udf.CIQ(G$6,$F$2, $A17, $I$2, $I$3)))</f>
        <v>180.38</v>
      </c>
      <c r="H17" s="1033" t="str">
        <f>IF(H$6="","",IF(NOT(ISNUMBER(_xll.ciqfunctions.udf.CIQ(H$6,$F$2, $A17, $I$2, $I$3))),IF(H16=H$6,"",H16),_xll.ciqfunctions.udf.CIQ(H$6,$F$2, $A17, $I$2, $I$3)))</f>
        <v/>
      </c>
      <c r="I17" s="1033" t="str">
        <f>IF(I$6="","",IF(NOT(ISNUMBER(_xll.ciqfunctions.udf.CIQ(I$6,$F$2, $A17, $I$2, $I$3))),IF(I16=I$6,"",I16),_xll.ciqfunctions.udf.CIQ(I$6,$F$2, $A17, $I$2, $I$3)))</f>
        <v/>
      </c>
      <c r="J17" s="1033" t="str">
        <f>IF(J$6="","",IF(NOT(ISNUMBER(_xll.ciqfunctions.udf.CIQ(J$6,$F$2, $A17, $I$2, $I$3))),IF(J16=J$6,"",J16),_xll.ciqfunctions.udf.CIQ(J$6,$F$2, $A17, $I$2, $I$3)))</f>
        <v/>
      </c>
      <c r="K17" s="1033" t="str">
        <f>IF(K$6="","",IF(NOT(ISNUMBER(_xll.ciqfunctions.udf.CIQ(K$6,$F$2, $A17, $I$2, $I$3))),IF(K16=K$6,"",K16),_xll.ciqfunctions.udf.CIQ(K$6,$F$2, $A17, $I$2, $I$3)))</f>
        <v/>
      </c>
      <c r="L17" s="254" t="str">
        <f>IF(L$6="","",IF(NOT(ISNUMBER(_xll.ciqfunctions.udf.CIQ(L$6,$F$2, $A17, $I$2, $I$3))),IF(L16=L$6,"",L16),_xll.ciqfunctions.udf.CIQ(L$6,$F$2, $A17, $I$2, $I$3)))</f>
        <v/>
      </c>
      <c r="M17" s="254" t="str">
        <f>IF(M$6="","",IF(NOT(ISNUMBER(_xll.ciqfunctions.udf.CIQ(M$6,$F$2, $A17, $I$2, $I$3))),IF(M16=M$6,"",M16),_xll.ciqfunctions.udf.CIQ(M$6,$F$2, $A17, $I$2, $I$3)))</f>
        <v/>
      </c>
      <c r="N17" s="254" t="str">
        <f>IF(N$6="","",IF(NOT(ISNUMBER(_xll.ciqfunctions.udf.CIQ(N$6,$F$2, $A17, $I$2, $I$3))),IF(N16=N$6,"",N16),_xll.ciqfunctions.udf.CIQ(N$6,$F$2, $A17, $I$2, $I$3)))</f>
        <v/>
      </c>
      <c r="O17" s="254" t="str">
        <f>IF(O$6="","",IF(NOT(ISNUMBER(_xll.ciqfunctions.udf.CIQ(O$6,$F$2, $A17, $I$2, $I$3))),IF(O16=O$6,"",O16),_xll.ciqfunctions.udf.CIQ(O$6,$F$2, $A17, $I$2, $I$3)))</f>
        <v/>
      </c>
      <c r="P17" s="254" t="str">
        <f>IF(P$6="","",IF(NOT(ISNUMBER(_xll.ciqfunctions.udf.CIQ(P$6,$F$2, $A17, $I$2, $I$3))),IF(P16=P$6,"",P16),_xll.ciqfunctions.udf.CIQ(P$6,$F$2, $A17, $I$2, $I$3)))</f>
        <v/>
      </c>
      <c r="Q17" s="254"/>
      <c r="R17" s="251">
        <f t="shared" si="16"/>
        <v>42895</v>
      </c>
      <c r="S17" s="255">
        <f t="shared" si="35"/>
        <v>0.10183129855715878</v>
      </c>
      <c r="T17" s="255">
        <f t="shared" si="36"/>
        <v>2.9460406401904837E-2</v>
      </c>
      <c r="U17" s="255">
        <f t="shared" si="37"/>
        <v>2.9364988267083669E-2</v>
      </c>
      <c r="V17" s="255">
        <f t="shared" si="52"/>
        <v>-3.3422770391967838E-2</v>
      </c>
      <c r="W17" s="255">
        <f t="array" ref="W17">IFERROR(AVERAGE(IF(ISERROR(X17:AG17),"",X17:AG17)),"")</f>
        <v>7.567535333055031E-2</v>
      </c>
      <c r="X17" s="255">
        <f t="shared" si="53"/>
        <v>7.567535333055031E-2</v>
      </c>
      <c r="Y17" s="255" t="e">
        <f t="shared" si="38"/>
        <v>#N/A</v>
      </c>
      <c r="Z17" s="255" t="e">
        <f t="shared" si="38"/>
        <v>#N/A</v>
      </c>
      <c r="AA17" s="255" t="e">
        <f t="shared" si="38"/>
        <v>#N/A</v>
      </c>
      <c r="AB17" s="255" t="e">
        <f t="shared" si="38"/>
        <v>#N/A</v>
      </c>
      <c r="AC17" s="255" t="e">
        <f t="shared" si="38"/>
        <v>#N/A</v>
      </c>
      <c r="AD17" s="255" t="e">
        <f t="shared" si="38"/>
        <v>#N/A</v>
      </c>
      <c r="AE17" s="255" t="e">
        <f t="shared" si="38"/>
        <v>#N/A</v>
      </c>
      <c r="AF17" s="255" t="e">
        <f t="shared" si="38"/>
        <v>#N/A</v>
      </c>
      <c r="AG17" s="255" t="e">
        <f t="shared" si="38"/>
        <v>#N/A</v>
      </c>
      <c r="AI17" s="251">
        <f t="shared" si="27"/>
        <v>42895</v>
      </c>
      <c r="AJ17" s="718">
        <f>IF(OR($B17="No",AJ$6=""),"",IF(NOT(ISNUMBER(_xll.ciqfunctions.udf.CIQ(AJ$6,"IQ_TEV",$AI17,$I$2,$I$3))),"",_xll.ciqfunctions.udf.CIQ(AJ$6,"IQ_TEV",$AI17,$I$2,$I$3)))</f>
        <v>282398.59000000003</v>
      </c>
      <c r="AK17" s="718">
        <f>IF(OR($B17="No",AK$6=""),"",IF(NOT(ISNUMBER(_xll.ciqfunctions.udf.CIQ(AK$6,"IQ_TEV",$AI17,$I$2,$I$3))),"",_xll.ciqfunctions.udf.CIQ(AK$6,"IQ_TEV",$AI17,$I$2,$I$3)))</f>
        <v>77653.864199999996</v>
      </c>
      <c r="AL17" s="718" t="str">
        <f>IF(OR($B17="No",AL$6=""),"",IF(NOT(ISNUMBER(_xll.ciqfunctions.udf.CIQ(AL$6,"IQ_TEV",$AI17,$I$2,$I$3))),"",_xll.ciqfunctions.udf.CIQ(AL$6,"IQ_TEV",$AI17,$I$2,$I$3)))</f>
        <v/>
      </c>
      <c r="AM17" s="718" t="str">
        <f>IF(OR($B17="No",AM$6=""),"",IF(NOT(ISNUMBER(_xll.ciqfunctions.udf.CIQ(AM$6,"IQ_TEV",$AI17,$I$2,$I$3))),"",_xll.ciqfunctions.udf.CIQ(AM$6,"IQ_TEV",$AI17,$I$2,$I$3)))</f>
        <v/>
      </c>
      <c r="AN17" s="718" t="str">
        <f>IF(OR($B17="No",AN$6=""),"",IF(NOT(ISNUMBER(_xll.ciqfunctions.udf.CIQ(AN$6,"IQ_TEV",$AI17,$I$2,$I$3))),"",_xll.ciqfunctions.udf.CIQ(AN$6,"IQ_TEV",$AI17,$I$2,$I$3)))</f>
        <v/>
      </c>
      <c r="AO17" s="718" t="str">
        <f>IF(OR($B17="No",AO$6=""),"",IF(NOT(ISNUMBER(_xll.ciqfunctions.udf.CIQ(AO$6,"IQ_TEV",$AI17,$I$2,$I$3))),"",_xll.ciqfunctions.udf.CIQ(AO$6,"IQ_TEV",$AI17,$I$2,$I$3)))</f>
        <v/>
      </c>
      <c r="AP17" s="718" t="str">
        <f>IF(OR($B17="No",AP$6=""),"",IF(NOT(ISNUMBER(_xll.ciqfunctions.udf.CIQ(AP$6,"IQ_TEV",$AI17,$I$2,$I$3))),"",_xll.ciqfunctions.udf.CIQ(AP$6,"IQ_TEV",$AI17,$I$2,$I$3)))</f>
        <v/>
      </c>
      <c r="AQ17" s="718" t="str">
        <f>IF(OR($B17="No",AQ$6=""),"",IF(NOT(ISNUMBER(_xll.ciqfunctions.udf.CIQ(AQ$6,"IQ_TEV",$AI17,$I$2,$I$3))),"",_xll.ciqfunctions.udf.CIQ(AQ$6,"IQ_TEV",$AI17,$I$2,$I$3)))</f>
        <v/>
      </c>
      <c r="AR17" s="718" t="str">
        <f>IF(OR($B17="No",AR$6=""),"",IF(NOT(ISNUMBER(_xll.ciqfunctions.udf.CIQ(AR$6,"IQ_TEV",$AI17,$I$2,$I$3))),"",_xll.ciqfunctions.udf.CIQ(AR$6,"IQ_TEV",$AI17,$I$2,$I$3)))</f>
        <v/>
      </c>
      <c r="AS17" s="718" t="str">
        <f>IF(OR($B17="No",AS$6=""),"",IF(NOT(ISNUMBER(_xll.ciqfunctions.udf.CIQ(AS$6,"IQ_TEV",$AI17,$I$2,$I$3))),"",_xll.ciqfunctions.udf.CIQ(AS$6,"IQ_TEV",$AI17,$I$2,$I$3)))</f>
        <v/>
      </c>
      <c r="AT17" s="718" t="str">
        <f>IF(OR($B17="No",AT$6=""),"",IF(NOT(ISNUMBER(_xll.ciqfunctions.udf.CIQ(AT$6,"IQ_TEV",$AI17,$I$2,$I$3))),"",_xll.ciqfunctions.udf.CIQ(AT$6,"IQ_TEV",$AI17,$I$2,$I$3)))</f>
        <v/>
      </c>
      <c r="AV17" s="251">
        <f t="shared" si="39"/>
        <v>42895</v>
      </c>
      <c r="AW17" s="719">
        <f t="shared" si="40"/>
        <v>8.1749470506971234E-2</v>
      </c>
      <c r="AX17" s="719">
        <f t="shared" si="41"/>
        <v>6.3972395497988277E-2</v>
      </c>
      <c r="AY17" s="719" t="e">
        <f t="shared" si="42"/>
        <v>#N/A</v>
      </c>
      <c r="AZ17" s="719" t="e">
        <f t="shared" si="43"/>
        <v>#N/A</v>
      </c>
      <c r="BA17" s="719" t="e">
        <f t="shared" si="44"/>
        <v>#N/A</v>
      </c>
      <c r="BB17" s="719" t="e">
        <f t="shared" si="45"/>
        <v>#N/A</v>
      </c>
      <c r="BC17" s="719" t="e">
        <f t="shared" si="46"/>
        <v>#N/A</v>
      </c>
      <c r="BD17" s="719" t="e">
        <f t="shared" si="47"/>
        <v>#N/A</v>
      </c>
      <c r="BE17" s="719" t="e">
        <f t="shared" si="48"/>
        <v>#N/A</v>
      </c>
      <c r="BF17" s="719" t="e">
        <f t="shared" si="49"/>
        <v>#N/A</v>
      </c>
      <c r="BG17" s="719" t="e">
        <f t="shared" si="50"/>
        <v>#N/A</v>
      </c>
    </row>
    <row r="18" spans="1:59" ht="15" customHeight="1" x14ac:dyDescent="0.2">
      <c r="A18" s="251">
        <f t="shared" si="15"/>
        <v>42902</v>
      </c>
      <c r="B18" s="253" t="str">
        <f t="shared" si="51"/>
        <v>Yes</v>
      </c>
      <c r="C18" s="1033">
        <f>IF(C$6="","",IF(NOT(ISNUMBER(_xll.ciqfunctions.udf.CIQ(C$6,$F$2, $A18, $I$2, $I$3))),IF(C17=C$6,"",C17),_xll.ciqfunctions.udf.CIQ(C$6,$F$2, $A18, $I$2, $I$3)))</f>
        <v>75.239999999999995</v>
      </c>
      <c r="D18" s="1033">
        <f>IF(D$6="","",IF(NOT(ISNUMBER(_xll.ciqfunctions.udf.CIQ(D$6,$F$2, $A18, $I$2, $I$3))),IF(D17=D$6,"",D17),_xll.ciqfunctions.udf.CIQ(D$6,$F$2, $A18, $I$2, $I$3)))</f>
        <v>21384.280340000001</v>
      </c>
      <c r="E18" s="1033">
        <f>IF(E$6="","",IF(NOT(ISNUMBER(_xll.ciqfunctions.udf.CIQ(E$6,$F$2, $A18, $I$2, $I$3))),IF(E17=E$6,"",E17),_xll.ciqfunctions.udf.CIQ(E$6,$F$2, $A18, $I$2, $I$3)))</f>
        <v>7427.6962100000001</v>
      </c>
      <c r="F18" s="1033">
        <f>IF(F$6="","",IF(NOT(ISNUMBER(_xll.ciqfunctions.udf.CIQ(F$6,$F$2, $A18, $I$2, $I$3))),IF(F17=F$6,"",F17),_xll.ciqfunctions.udf.CIQ(F$6,$F$2, $A18, $I$2, $I$3)))</f>
        <v>4155.0803900000001</v>
      </c>
      <c r="G18" s="1033">
        <f>IF(G$6="","",IF(NOT(ISNUMBER(_xll.ciqfunctions.udf.CIQ(G$6,$F$2, $A18, $I$2, $I$3))),IF(G17=G$6,"",G17),_xll.ciqfunctions.udf.CIQ(G$6,$F$2, $A18, $I$2, $I$3)))</f>
        <v>167.11</v>
      </c>
      <c r="H18" s="1033" t="str">
        <f>IF(H$6="","",IF(NOT(ISNUMBER(_xll.ciqfunctions.udf.CIQ(H$6,$F$2, $A18, $I$2, $I$3))),IF(H17=H$6,"",H17),_xll.ciqfunctions.udf.CIQ(H$6,$F$2, $A18, $I$2, $I$3)))</f>
        <v/>
      </c>
      <c r="I18" s="1033" t="str">
        <f>IF(I$6="","",IF(NOT(ISNUMBER(_xll.ciqfunctions.udf.CIQ(I$6,$F$2, $A18, $I$2, $I$3))),IF(I17=I$6,"",I17),_xll.ciqfunctions.udf.CIQ(I$6,$F$2, $A18, $I$2, $I$3)))</f>
        <v/>
      </c>
      <c r="J18" s="1033" t="str">
        <f>IF(J$6="","",IF(NOT(ISNUMBER(_xll.ciqfunctions.udf.CIQ(J$6,$F$2, $A18, $I$2, $I$3))),IF(J17=J$6,"",J17),_xll.ciqfunctions.udf.CIQ(J$6,$F$2, $A18, $I$2, $I$3)))</f>
        <v/>
      </c>
      <c r="K18" s="1033" t="str">
        <f>IF(K$6="","",IF(NOT(ISNUMBER(_xll.ciqfunctions.udf.CIQ(K$6,$F$2, $A18, $I$2, $I$3))),IF(K17=K$6,"",K17),_xll.ciqfunctions.udf.CIQ(K$6,$F$2, $A18, $I$2, $I$3)))</f>
        <v/>
      </c>
      <c r="L18" s="254" t="str">
        <f>IF(L$6="","",IF(NOT(ISNUMBER(_xll.ciqfunctions.udf.CIQ(L$6,$F$2, $A18, $I$2, $I$3))),IF(L17=L$6,"",L17),_xll.ciqfunctions.udf.CIQ(L$6,$F$2, $A18, $I$2, $I$3)))</f>
        <v/>
      </c>
      <c r="M18" s="254" t="str">
        <f>IF(M$6="","",IF(NOT(ISNUMBER(_xll.ciqfunctions.udf.CIQ(M$6,$F$2, $A18, $I$2, $I$3))),IF(M17=M$6,"",M17),_xll.ciqfunctions.udf.CIQ(M$6,$F$2, $A18, $I$2, $I$3)))</f>
        <v/>
      </c>
      <c r="N18" s="254" t="str">
        <f>IF(N$6="","",IF(NOT(ISNUMBER(_xll.ciqfunctions.udf.CIQ(N$6,$F$2, $A18, $I$2, $I$3))),IF(N17=N$6,"",N17),_xll.ciqfunctions.udf.CIQ(N$6,$F$2, $A18, $I$2, $I$3)))</f>
        <v/>
      </c>
      <c r="O18" s="254" t="str">
        <f>IF(O$6="","",IF(NOT(ISNUMBER(_xll.ciqfunctions.udf.CIQ(O$6,$F$2, $A18, $I$2, $I$3))),IF(O17=O$6,"",O17),_xll.ciqfunctions.udf.CIQ(O$6,$F$2, $A18, $I$2, $I$3)))</f>
        <v/>
      </c>
      <c r="P18" s="254" t="str">
        <f>IF(P$6="","",IF(NOT(ISNUMBER(_xll.ciqfunctions.udf.CIQ(P$6,$F$2, $A18, $I$2, $I$3))),IF(P17=P$6,"",P17),_xll.ciqfunctions.udf.CIQ(P$6,$F$2, $A18, $I$2, $I$3)))</f>
        <v/>
      </c>
      <c r="Q18" s="254"/>
      <c r="R18" s="251">
        <f t="shared" si="16"/>
        <v>42902</v>
      </c>
      <c r="S18" s="255">
        <f t="shared" si="35"/>
        <v>4.3840177580466211E-2</v>
      </c>
      <c r="T18" s="255">
        <f t="shared" si="36"/>
        <v>3.4895783087557142E-2</v>
      </c>
      <c r="U18" s="255">
        <f t="shared" si="37"/>
        <v>3.7993571893436773E-2</v>
      </c>
      <c r="V18" s="255">
        <f t="shared" si="52"/>
        <v>-5.3455334315556713E-2</v>
      </c>
      <c r="W18" s="255">
        <f t="array" ref="W18">IFERROR(AVERAGE(IF(ISERROR(X18:AG18),"",X18:AG18)),"")</f>
        <v>-3.4587631939888563E-3</v>
      </c>
      <c r="X18" s="255">
        <f t="shared" si="53"/>
        <v>-3.4587631939888563E-3</v>
      </c>
      <c r="Y18" s="255" t="e">
        <f t="shared" si="38"/>
        <v>#N/A</v>
      </c>
      <c r="Z18" s="255" t="e">
        <f t="shared" si="38"/>
        <v>#N/A</v>
      </c>
      <c r="AA18" s="255" t="e">
        <f t="shared" si="38"/>
        <v>#N/A</v>
      </c>
      <c r="AB18" s="255" t="e">
        <f t="shared" si="38"/>
        <v>#N/A</v>
      </c>
      <c r="AC18" s="255" t="e">
        <f t="shared" si="38"/>
        <v>#N/A</v>
      </c>
      <c r="AD18" s="255" t="e">
        <f t="shared" si="38"/>
        <v>#N/A</v>
      </c>
      <c r="AE18" s="255" t="e">
        <f t="shared" si="38"/>
        <v>#N/A</v>
      </c>
      <c r="AF18" s="255" t="e">
        <f t="shared" si="38"/>
        <v>#N/A</v>
      </c>
      <c r="AG18" s="255" t="e">
        <f t="shared" si="38"/>
        <v>#N/A</v>
      </c>
      <c r="AI18" s="251">
        <f t="shared" si="27"/>
        <v>42902</v>
      </c>
      <c r="AJ18" s="718">
        <f>IF(OR($B18="No",AJ$6=""),"",IF(NOT(ISNUMBER(_xll.ciqfunctions.udf.CIQ(AJ$6,"IQ_TEV",$AI18,$I$2,$I$3))),"",_xll.ciqfunctions.udf.CIQ(AJ$6,"IQ_TEV",$AI18,$I$2,$I$3)))</f>
        <v>269797.98</v>
      </c>
      <c r="AK18" s="718">
        <f>IF(OR($B18="No",AK$6=""),"",IF(NOT(ISNUMBER(_xll.ciqfunctions.udf.CIQ(AK$6,"IQ_TEV",$AI18,$I$2,$I$3))),"",_xll.ciqfunctions.udf.CIQ(AK$6,"IQ_TEV",$AI18,$I$2,$I$3)))</f>
        <v>71833.774900000004</v>
      </c>
      <c r="AL18" s="718" t="str">
        <f>IF(OR($B18="No",AL$6=""),"",IF(NOT(ISNUMBER(_xll.ciqfunctions.udf.CIQ(AL$6,"IQ_TEV",$AI18,$I$2,$I$3))),"",_xll.ciqfunctions.udf.CIQ(AL$6,"IQ_TEV",$AI18,$I$2,$I$3)))</f>
        <v/>
      </c>
      <c r="AM18" s="718" t="str">
        <f>IF(OR($B18="No",AM$6=""),"",IF(NOT(ISNUMBER(_xll.ciqfunctions.udf.CIQ(AM$6,"IQ_TEV",$AI18,$I$2,$I$3))),"",_xll.ciqfunctions.udf.CIQ(AM$6,"IQ_TEV",$AI18,$I$2,$I$3)))</f>
        <v/>
      </c>
      <c r="AN18" s="718" t="str">
        <f>IF(OR($B18="No",AN$6=""),"",IF(NOT(ISNUMBER(_xll.ciqfunctions.udf.CIQ(AN$6,"IQ_TEV",$AI18,$I$2,$I$3))),"",_xll.ciqfunctions.udf.CIQ(AN$6,"IQ_TEV",$AI18,$I$2,$I$3)))</f>
        <v/>
      </c>
      <c r="AO18" s="718" t="str">
        <f>IF(OR($B18="No",AO$6=""),"",IF(NOT(ISNUMBER(_xll.ciqfunctions.udf.CIQ(AO$6,"IQ_TEV",$AI18,$I$2,$I$3))),"",_xll.ciqfunctions.udf.CIQ(AO$6,"IQ_TEV",$AI18,$I$2,$I$3)))</f>
        <v/>
      </c>
      <c r="AP18" s="718" t="str">
        <f>IF(OR($B18="No",AP$6=""),"",IF(NOT(ISNUMBER(_xll.ciqfunctions.udf.CIQ(AP$6,"IQ_TEV",$AI18,$I$2,$I$3))),"",_xll.ciqfunctions.udf.CIQ(AP$6,"IQ_TEV",$AI18,$I$2,$I$3)))</f>
        <v/>
      </c>
      <c r="AQ18" s="718" t="str">
        <f>IF(OR($B18="No",AQ$6=""),"",IF(NOT(ISNUMBER(_xll.ciqfunctions.udf.CIQ(AQ$6,"IQ_TEV",$AI18,$I$2,$I$3))),"",_xll.ciqfunctions.udf.CIQ(AQ$6,"IQ_TEV",$AI18,$I$2,$I$3)))</f>
        <v/>
      </c>
      <c r="AR18" s="718" t="str">
        <f>IF(OR($B18="No",AR$6=""),"",IF(NOT(ISNUMBER(_xll.ciqfunctions.udf.CIQ(AR$6,"IQ_TEV",$AI18,$I$2,$I$3))),"",_xll.ciqfunctions.udf.CIQ(AR$6,"IQ_TEV",$AI18,$I$2,$I$3)))</f>
        <v/>
      </c>
      <c r="AS18" s="718" t="str">
        <f>IF(OR($B18="No",AS$6=""),"",IF(NOT(ISNUMBER(_xll.ciqfunctions.udf.CIQ(AS$6,"IQ_TEV",$AI18,$I$2,$I$3))),"",_xll.ciqfunctions.udf.CIQ(AS$6,"IQ_TEV",$AI18,$I$2,$I$3)))</f>
        <v/>
      </c>
      <c r="AT18" s="718" t="str">
        <f>IF(OR($B18="No",AT$6=""),"",IF(NOT(ISNUMBER(_xll.ciqfunctions.udf.CIQ(AT$6,"IQ_TEV",$AI18,$I$2,$I$3))),"",_xll.ciqfunctions.udf.CIQ(AT$6,"IQ_TEV",$AI18,$I$2,$I$3)))</f>
        <v/>
      </c>
      <c r="AV18" s="251">
        <f t="shared" si="39"/>
        <v>42902</v>
      </c>
      <c r="AW18" s="719">
        <f t="shared" si="40"/>
        <v>3.348186692026478E-2</v>
      </c>
      <c r="AX18" s="719">
        <f t="shared" si="41"/>
        <v>-1.5771406286098633E-2</v>
      </c>
      <c r="AY18" s="719" t="e">
        <f t="shared" si="42"/>
        <v>#N/A</v>
      </c>
      <c r="AZ18" s="719" t="e">
        <f t="shared" si="43"/>
        <v>#N/A</v>
      </c>
      <c r="BA18" s="719" t="e">
        <f t="shared" si="44"/>
        <v>#N/A</v>
      </c>
      <c r="BB18" s="719" t="e">
        <f t="shared" si="45"/>
        <v>#N/A</v>
      </c>
      <c r="BC18" s="719" t="e">
        <f t="shared" si="46"/>
        <v>#N/A</v>
      </c>
      <c r="BD18" s="719" t="e">
        <f t="shared" si="47"/>
        <v>#N/A</v>
      </c>
      <c r="BE18" s="719" t="e">
        <f t="shared" si="48"/>
        <v>#N/A</v>
      </c>
      <c r="BF18" s="719" t="e">
        <f t="shared" si="49"/>
        <v>#N/A</v>
      </c>
      <c r="BG18" s="719" t="e">
        <f t="shared" si="50"/>
        <v>#N/A</v>
      </c>
    </row>
    <row r="19" spans="1:59" ht="15" customHeight="1" x14ac:dyDescent="0.2">
      <c r="A19" s="251">
        <f t="shared" si="15"/>
        <v>42909</v>
      </c>
      <c r="B19" s="253" t="str">
        <f t="shared" si="51"/>
        <v>Yes</v>
      </c>
      <c r="C19" s="1033">
        <f>IF(C$6="","",IF(NOT(ISNUMBER(_xll.ciqfunctions.udf.CIQ(C$6,$F$2, $A19, $I$2, $I$3))),IF(C18=C$6,"",C18),_xll.ciqfunctions.udf.CIQ(C$6,$F$2, $A19, $I$2, $I$3)))</f>
        <v>74.84</v>
      </c>
      <c r="D19" s="1033">
        <f>IF(D$6="","",IF(NOT(ISNUMBER(_xll.ciqfunctions.udf.CIQ(D$6,$F$2, $A19, $I$2, $I$3))),IF(D18=D$6,"",D18),_xll.ciqfunctions.udf.CIQ(D$6,$F$2, $A19, $I$2, $I$3)))</f>
        <v>21394.758269999998</v>
      </c>
      <c r="E19" s="1033">
        <f>IF(E$6="","",IF(NOT(ISNUMBER(_xll.ciqfunctions.udf.CIQ(E$6,$F$2, $A19, $I$2, $I$3))),IF(E18=E$6,"",E18),_xll.ciqfunctions.udf.CIQ(E$6,$F$2, $A19, $I$2, $I$3)))</f>
        <v>7403.6748399999997</v>
      </c>
      <c r="F19" s="1033">
        <f>IF(F$6="","",IF(NOT(ISNUMBER(_xll.ciqfunctions.udf.CIQ(F$6,$F$2, $A19, $I$2, $I$3))),IF(F18=F$6,"",F18),_xll.ciqfunctions.udf.CIQ(F$6,$F$2, $A19, $I$2, $I$3)))</f>
        <v>4100.3174799999997</v>
      </c>
      <c r="G19" s="1033">
        <f>IF(G$6="","",IF(NOT(ISNUMBER(_xll.ciqfunctions.udf.CIQ(G$6,$F$2, $A19, $I$2, $I$3))),IF(G18=G$6,"",G18),_xll.ciqfunctions.udf.CIQ(G$6,$F$2, $A19, $I$2, $I$3)))</f>
        <v>157.13</v>
      </c>
      <c r="H19" s="1033" t="str">
        <f>IF(H$6="","",IF(NOT(ISNUMBER(_xll.ciqfunctions.udf.CIQ(H$6,$F$2, $A19, $I$2, $I$3))),IF(H18=H$6,"",H18),_xll.ciqfunctions.udf.CIQ(H$6,$F$2, $A19, $I$2, $I$3)))</f>
        <v/>
      </c>
      <c r="I19" s="1033" t="str">
        <f>IF(I$6="","",IF(NOT(ISNUMBER(_xll.ciqfunctions.udf.CIQ(I$6,$F$2, $A19, $I$2, $I$3))),IF(I18=I$6,"",I18),_xll.ciqfunctions.udf.CIQ(I$6,$F$2, $A19, $I$2, $I$3)))</f>
        <v/>
      </c>
      <c r="J19" s="1033" t="str">
        <f>IF(J$6="","",IF(NOT(ISNUMBER(_xll.ciqfunctions.udf.CIQ(J$6,$F$2, $A19, $I$2, $I$3))),IF(J18=J$6,"",J18),_xll.ciqfunctions.udf.CIQ(J$6,$F$2, $A19, $I$2, $I$3)))</f>
        <v/>
      </c>
      <c r="K19" s="1033" t="str">
        <f>IF(K$6="","",IF(NOT(ISNUMBER(_xll.ciqfunctions.udf.CIQ(K$6,$F$2, $A19, $I$2, $I$3))),IF(K18=K$6,"",K18),_xll.ciqfunctions.udf.CIQ(K$6,$F$2, $A19, $I$2, $I$3)))</f>
        <v/>
      </c>
      <c r="L19" s="254" t="str">
        <f>IF(L$6="","",IF(NOT(ISNUMBER(_xll.ciqfunctions.udf.CIQ(L$6,$F$2, $A19, $I$2, $I$3))),IF(L18=L$6,"",L18),_xll.ciqfunctions.udf.CIQ(L$6,$F$2, $A19, $I$2, $I$3)))</f>
        <v/>
      </c>
      <c r="M19" s="254" t="str">
        <f>IF(M$6="","",IF(NOT(ISNUMBER(_xll.ciqfunctions.udf.CIQ(M$6,$F$2, $A19, $I$2, $I$3))),IF(M18=M$6,"",M18),_xll.ciqfunctions.udf.CIQ(M$6,$F$2, $A19, $I$2, $I$3)))</f>
        <v/>
      </c>
      <c r="N19" s="254" t="str">
        <f>IF(N$6="","",IF(NOT(ISNUMBER(_xll.ciqfunctions.udf.CIQ(N$6,$F$2, $A19, $I$2, $I$3))),IF(N18=N$6,"",N18),_xll.ciqfunctions.udf.CIQ(N$6,$F$2, $A19, $I$2, $I$3)))</f>
        <v/>
      </c>
      <c r="O19" s="254" t="str">
        <f>IF(O$6="","",IF(NOT(ISNUMBER(_xll.ciqfunctions.udf.CIQ(O$6,$F$2, $A19, $I$2, $I$3))),IF(O18=O$6,"",O18),_xll.ciqfunctions.udf.CIQ(O$6,$F$2, $A19, $I$2, $I$3)))</f>
        <v/>
      </c>
      <c r="P19" s="254" t="str">
        <f>IF(P$6="","",IF(NOT(ISNUMBER(_xll.ciqfunctions.udf.CIQ(P$6,$F$2, $A19, $I$2, $I$3))),IF(P18=P$6,"",P18),_xll.ciqfunctions.udf.CIQ(P$6,$F$2, $A19, $I$2, $I$3)))</f>
        <v/>
      </c>
      <c r="Q19" s="254"/>
      <c r="R19" s="251">
        <f t="shared" si="16"/>
        <v>42909</v>
      </c>
      <c r="S19" s="255">
        <f t="shared" si="35"/>
        <v>3.8290788013318533E-2</v>
      </c>
      <c r="T19" s="255">
        <f t="shared" si="36"/>
        <v>3.5402864242502607E-2</v>
      </c>
      <c r="U19" s="255">
        <f t="shared" si="37"/>
        <v>3.4636672668815205E-2</v>
      </c>
      <c r="V19" s="255">
        <f t="shared" si="52"/>
        <v>-6.5930553919636981E-2</v>
      </c>
      <c r="W19" s="255">
        <f t="array" ref="W19">IFERROR(AVERAGE(IF(ISERROR(X19:AG19),"",X19:AG19)),"")</f>
        <v>-6.2973343669867066E-2</v>
      </c>
      <c r="X19" s="255">
        <f t="shared" si="53"/>
        <v>-6.2973343669867066E-2</v>
      </c>
      <c r="Y19" s="255" t="e">
        <f t="shared" si="38"/>
        <v>#N/A</v>
      </c>
      <c r="Z19" s="255" t="e">
        <f t="shared" si="38"/>
        <v>#N/A</v>
      </c>
      <c r="AA19" s="255" t="e">
        <f t="shared" si="38"/>
        <v>#N/A</v>
      </c>
      <c r="AB19" s="255" t="e">
        <f t="shared" si="38"/>
        <v>#N/A</v>
      </c>
      <c r="AC19" s="255" t="e">
        <f t="shared" si="38"/>
        <v>#N/A</v>
      </c>
      <c r="AD19" s="255" t="e">
        <f t="shared" si="38"/>
        <v>#N/A</v>
      </c>
      <c r="AE19" s="255" t="e">
        <f t="shared" si="38"/>
        <v>#N/A</v>
      </c>
      <c r="AF19" s="255" t="e">
        <f t="shared" si="38"/>
        <v>#N/A</v>
      </c>
      <c r="AG19" s="255" t="e">
        <f t="shared" si="38"/>
        <v>#N/A</v>
      </c>
      <c r="AI19" s="251">
        <f t="shared" si="27"/>
        <v>42909</v>
      </c>
      <c r="AJ19" s="718">
        <f>IF(OR($B19="No",AJ$6=""),"",IF(NOT(ISNUMBER(_xll.ciqfunctions.udf.CIQ(AJ$6,"IQ_TEV",$AI19,$I$2,$I$3))),"",_xll.ciqfunctions.udf.CIQ(AJ$6,"IQ_TEV",$AI19,$I$2,$I$3)))</f>
        <v>268592.18</v>
      </c>
      <c r="AK19" s="718">
        <f>IF(OR($B19="No",AK$6=""),"",IF(NOT(ISNUMBER(_xll.ciqfunctions.udf.CIQ(AK$6,"IQ_TEV",$AI19,$I$2,$I$3))),"",_xll.ciqfunctions.udf.CIQ(AK$6,"IQ_TEV",$AI19,$I$2,$I$3)))</f>
        <v>67456.646699999998</v>
      </c>
      <c r="AL19" s="718" t="str">
        <f>IF(OR($B19="No",AL$6=""),"",IF(NOT(ISNUMBER(_xll.ciqfunctions.udf.CIQ(AL$6,"IQ_TEV",$AI19,$I$2,$I$3))),"",_xll.ciqfunctions.udf.CIQ(AL$6,"IQ_TEV",$AI19,$I$2,$I$3)))</f>
        <v/>
      </c>
      <c r="AM19" s="718" t="str">
        <f>IF(OR($B19="No",AM$6=""),"",IF(NOT(ISNUMBER(_xll.ciqfunctions.udf.CIQ(AM$6,"IQ_TEV",$AI19,$I$2,$I$3))),"",_xll.ciqfunctions.udf.CIQ(AM$6,"IQ_TEV",$AI19,$I$2,$I$3)))</f>
        <v/>
      </c>
      <c r="AN19" s="718" t="str">
        <f>IF(OR($B19="No",AN$6=""),"",IF(NOT(ISNUMBER(_xll.ciqfunctions.udf.CIQ(AN$6,"IQ_TEV",$AI19,$I$2,$I$3))),"",_xll.ciqfunctions.udf.CIQ(AN$6,"IQ_TEV",$AI19,$I$2,$I$3)))</f>
        <v/>
      </c>
      <c r="AO19" s="718" t="str">
        <f>IF(OR($B19="No",AO$6=""),"",IF(NOT(ISNUMBER(_xll.ciqfunctions.udf.CIQ(AO$6,"IQ_TEV",$AI19,$I$2,$I$3))),"",_xll.ciqfunctions.udf.CIQ(AO$6,"IQ_TEV",$AI19,$I$2,$I$3)))</f>
        <v/>
      </c>
      <c r="AP19" s="718" t="str">
        <f>IF(OR($B19="No",AP$6=""),"",IF(NOT(ISNUMBER(_xll.ciqfunctions.udf.CIQ(AP$6,"IQ_TEV",$AI19,$I$2,$I$3))),"",_xll.ciqfunctions.udf.CIQ(AP$6,"IQ_TEV",$AI19,$I$2,$I$3)))</f>
        <v/>
      </c>
      <c r="AQ19" s="718" t="str">
        <f>IF(OR($B19="No",AQ$6=""),"",IF(NOT(ISNUMBER(_xll.ciqfunctions.udf.CIQ(AQ$6,"IQ_TEV",$AI19,$I$2,$I$3))),"",_xll.ciqfunctions.udf.CIQ(AQ$6,"IQ_TEV",$AI19,$I$2,$I$3)))</f>
        <v/>
      </c>
      <c r="AR19" s="718" t="str">
        <f>IF(OR($B19="No",AR$6=""),"",IF(NOT(ISNUMBER(_xll.ciqfunctions.udf.CIQ(AR$6,"IQ_TEV",$AI19,$I$2,$I$3))),"",_xll.ciqfunctions.udf.CIQ(AR$6,"IQ_TEV",$AI19,$I$2,$I$3)))</f>
        <v/>
      </c>
      <c r="AS19" s="718" t="str">
        <f>IF(OR($B19="No",AS$6=""),"",IF(NOT(ISNUMBER(_xll.ciqfunctions.udf.CIQ(AS$6,"IQ_TEV",$AI19,$I$2,$I$3))),"",_xll.ciqfunctions.udf.CIQ(AS$6,"IQ_TEV",$AI19,$I$2,$I$3)))</f>
        <v/>
      </c>
      <c r="AT19" s="718" t="str">
        <f>IF(OR($B19="No",AT$6=""),"",IF(NOT(ISNUMBER(_xll.ciqfunctions.udf.CIQ(AT$6,"IQ_TEV",$AI19,$I$2,$I$3))),"",_xll.ciqfunctions.udf.CIQ(AT$6,"IQ_TEV",$AI19,$I$2,$I$3)))</f>
        <v/>
      </c>
      <c r="AV19" s="251">
        <f t="shared" si="39"/>
        <v>42909</v>
      </c>
      <c r="AW19" s="719">
        <f t="shared" si="40"/>
        <v>2.8862957486130103E-2</v>
      </c>
      <c r="AX19" s="719">
        <f t="shared" si="41"/>
        <v>-7.5744514184002854E-2</v>
      </c>
      <c r="AY19" s="719" t="e">
        <f t="shared" si="42"/>
        <v>#N/A</v>
      </c>
      <c r="AZ19" s="719" t="e">
        <f t="shared" si="43"/>
        <v>#N/A</v>
      </c>
      <c r="BA19" s="719" t="e">
        <f t="shared" si="44"/>
        <v>#N/A</v>
      </c>
      <c r="BB19" s="719" t="e">
        <f t="shared" si="45"/>
        <v>#N/A</v>
      </c>
      <c r="BC19" s="719" t="e">
        <f t="shared" si="46"/>
        <v>#N/A</v>
      </c>
      <c r="BD19" s="719" t="e">
        <f t="shared" si="47"/>
        <v>#N/A</v>
      </c>
      <c r="BE19" s="719" t="e">
        <f t="shared" si="48"/>
        <v>#N/A</v>
      </c>
      <c r="BF19" s="719" t="e">
        <f t="shared" si="49"/>
        <v>#N/A</v>
      </c>
      <c r="BG19" s="719" t="e">
        <f t="shared" si="50"/>
        <v>#N/A</v>
      </c>
    </row>
    <row r="20" spans="1:59" ht="15" customHeight="1" x14ac:dyDescent="0.2">
      <c r="A20" s="251">
        <f t="shared" si="15"/>
        <v>42916</v>
      </c>
      <c r="B20" s="253" t="str">
        <f t="shared" si="51"/>
        <v>Yes</v>
      </c>
      <c r="C20" s="1033">
        <f>IF(C$6="","",IF(NOT(ISNUMBER(_xll.ciqfunctions.udf.CIQ(C$6,$F$2, $A20, $I$2, $I$3))),IF(C19=C$6,"",C19),_xll.ciqfunctions.udf.CIQ(C$6,$F$2, $A20, $I$2, $I$3)))</f>
        <v>75.680000000000007</v>
      </c>
      <c r="D20" s="1033">
        <f>IF(D$6="","",IF(NOT(ISNUMBER(_xll.ciqfunctions.udf.CIQ(D$6,$F$2, $A20, $I$2, $I$3))),IF(D19=D$6,"",D19),_xll.ciqfunctions.udf.CIQ(D$6,$F$2, $A20, $I$2, $I$3)))</f>
        <v>21349.627860000001</v>
      </c>
      <c r="E20" s="1033">
        <f>IF(E$6="","",IF(NOT(ISNUMBER(_xll.ciqfunctions.udf.CIQ(E$6,$F$2, $A20, $I$2, $I$3))),IF(E19=E$6,"",E19),_xll.ciqfunctions.udf.CIQ(E$6,$F$2, $A20, $I$2, $I$3)))</f>
        <v>7402.2953699999998</v>
      </c>
      <c r="F20" s="1033">
        <f>IF(F$6="","",IF(NOT(ISNUMBER(_xll.ciqfunctions.udf.CIQ(F$6,$F$2, $A20, $I$2, $I$3))),IF(F19=F$6,"",F19),_xll.ciqfunctions.udf.CIQ(F$6,$F$2, $A20, $I$2, $I$3)))</f>
        <v>4226.5856999999996</v>
      </c>
      <c r="G20" s="1033">
        <f>IF(G$6="","",IF(NOT(ISNUMBER(_xll.ciqfunctions.udf.CIQ(G$6,$F$2, $A20, $I$2, $I$3))),IF(G19=G$6,"",G19),_xll.ciqfunctions.udf.CIQ(G$6,$F$2, $A20, $I$2, $I$3)))</f>
        <v>159.93</v>
      </c>
      <c r="H20" s="1033" t="str">
        <f>IF(H$6="","",IF(NOT(ISNUMBER(_xll.ciqfunctions.udf.CIQ(H$6,$F$2, $A20, $I$2, $I$3))),IF(H19=H$6,"",H19),_xll.ciqfunctions.udf.CIQ(H$6,$F$2, $A20, $I$2, $I$3)))</f>
        <v/>
      </c>
      <c r="I20" s="1033" t="str">
        <f>IF(I$6="","",IF(NOT(ISNUMBER(_xll.ciqfunctions.udf.CIQ(I$6,$F$2, $A20, $I$2, $I$3))),IF(I19=I$6,"",I19),_xll.ciqfunctions.udf.CIQ(I$6,$F$2, $A20, $I$2, $I$3)))</f>
        <v/>
      </c>
      <c r="J20" s="1033" t="str">
        <f>IF(J$6="","",IF(NOT(ISNUMBER(_xll.ciqfunctions.udf.CIQ(J$6,$F$2, $A20, $I$2, $I$3))),IF(J19=J$6,"",J19),_xll.ciqfunctions.udf.CIQ(J$6,$F$2, $A20, $I$2, $I$3)))</f>
        <v/>
      </c>
      <c r="K20" s="1033" t="str">
        <f>IF(K$6="","",IF(NOT(ISNUMBER(_xll.ciqfunctions.udf.CIQ(K$6,$F$2, $A20, $I$2, $I$3))),IF(K19=K$6,"",K19),_xll.ciqfunctions.udf.CIQ(K$6,$F$2, $A20, $I$2, $I$3)))</f>
        <v/>
      </c>
      <c r="L20" s="254" t="str">
        <f>IF(L$6="","",IF(NOT(ISNUMBER(_xll.ciqfunctions.udf.CIQ(L$6,$F$2, $A20, $I$2, $I$3))),IF(L19=L$6,"",L19),_xll.ciqfunctions.udf.CIQ(L$6,$F$2, $A20, $I$2, $I$3)))</f>
        <v/>
      </c>
      <c r="M20" s="254" t="str">
        <f>IF(M$6="","",IF(NOT(ISNUMBER(_xll.ciqfunctions.udf.CIQ(M$6,$F$2, $A20, $I$2, $I$3))),IF(M19=M$6,"",M19),_xll.ciqfunctions.udf.CIQ(M$6,$F$2, $A20, $I$2, $I$3)))</f>
        <v/>
      </c>
      <c r="N20" s="254" t="str">
        <f>IF(N$6="","",IF(NOT(ISNUMBER(_xll.ciqfunctions.udf.CIQ(N$6,$F$2, $A20, $I$2, $I$3))),IF(N19=N$6,"",N19),_xll.ciqfunctions.udf.CIQ(N$6,$F$2, $A20, $I$2, $I$3)))</f>
        <v/>
      </c>
      <c r="O20" s="254" t="str">
        <f>IF(O$6="","",IF(NOT(ISNUMBER(_xll.ciqfunctions.udf.CIQ(O$6,$F$2, $A20, $I$2, $I$3))),IF(O19=O$6,"",O19),_xll.ciqfunctions.udf.CIQ(O$6,$F$2, $A20, $I$2, $I$3)))</f>
        <v/>
      </c>
      <c r="P20" s="254" t="str">
        <f>IF(P$6="","",IF(NOT(ISNUMBER(_xll.ciqfunctions.udf.CIQ(P$6,$F$2, $A20, $I$2, $I$3))),IF(P19=P$6,"",P19),_xll.ciqfunctions.udf.CIQ(P$6,$F$2, $A20, $I$2, $I$3)))</f>
        <v/>
      </c>
      <c r="Q20" s="254"/>
      <c r="R20" s="251">
        <f t="shared" si="16"/>
        <v>42916</v>
      </c>
      <c r="S20" s="255">
        <f t="shared" si="35"/>
        <v>4.9944506104328656E-2</v>
      </c>
      <c r="T20" s="255">
        <f t="shared" si="36"/>
        <v>3.321877058793854E-2</v>
      </c>
      <c r="U20" s="255">
        <f t="shared" si="37"/>
        <v>3.4443896745818714E-2</v>
      </c>
      <c r="V20" s="255">
        <f t="shared" si="52"/>
        <v>-3.7166126070271144E-2</v>
      </c>
      <c r="W20" s="255">
        <f t="array" ref="W20">IFERROR(AVERAGE(IF(ISERROR(X20:AG20),"",X20:AG20)),"")</f>
        <v>-4.6275866181644698E-2</v>
      </c>
      <c r="X20" s="255">
        <f t="shared" si="53"/>
        <v>-4.6275866181644698E-2</v>
      </c>
      <c r="Y20" s="255" t="e">
        <f t="shared" si="38"/>
        <v>#N/A</v>
      </c>
      <c r="Z20" s="255" t="e">
        <f t="shared" si="38"/>
        <v>#N/A</v>
      </c>
      <c r="AA20" s="255" t="e">
        <f t="shared" si="38"/>
        <v>#N/A</v>
      </c>
      <c r="AB20" s="255" t="e">
        <f t="shared" si="38"/>
        <v>#N/A</v>
      </c>
      <c r="AC20" s="255" t="e">
        <f t="shared" si="38"/>
        <v>#N/A</v>
      </c>
      <c r="AD20" s="255" t="e">
        <f t="shared" si="38"/>
        <v>#N/A</v>
      </c>
      <c r="AE20" s="255" t="e">
        <f t="shared" si="38"/>
        <v>#N/A</v>
      </c>
      <c r="AF20" s="255" t="e">
        <f t="shared" si="38"/>
        <v>#N/A</v>
      </c>
      <c r="AG20" s="255" t="e">
        <f t="shared" si="38"/>
        <v>#N/A</v>
      </c>
      <c r="AI20" s="251">
        <f t="shared" si="27"/>
        <v>42916</v>
      </c>
      <c r="AJ20" s="718">
        <f>IF(OR($B20="No",AJ$6=""),"",IF(NOT(ISNUMBER(_xll.ciqfunctions.udf.CIQ(AJ$6,"IQ_TEV",$AI20,$I$2,$I$3))),"",_xll.ciqfunctions.udf.CIQ(AJ$6,"IQ_TEV",$AI20,$I$2,$I$3)))</f>
        <v>271124.36</v>
      </c>
      <c r="AK20" s="718">
        <f>IF(OR($B20="No",AK$6=""),"",IF(NOT(ISNUMBER(_xll.ciqfunctions.udf.CIQ(AK$6,"IQ_TEV",$AI20,$I$2,$I$3))),"",_xll.ciqfunctions.udf.CIQ(AK$6,"IQ_TEV",$AI20,$I$2,$I$3)))</f>
        <v>68684.698699999994</v>
      </c>
      <c r="AL20" s="718" t="str">
        <f>IF(OR($B20="No",AL$6=""),"",IF(NOT(ISNUMBER(_xll.ciqfunctions.udf.CIQ(AL$6,"IQ_TEV",$AI20,$I$2,$I$3))),"",_xll.ciqfunctions.udf.CIQ(AL$6,"IQ_TEV",$AI20,$I$2,$I$3)))</f>
        <v/>
      </c>
      <c r="AM20" s="718" t="str">
        <f>IF(OR($B20="No",AM$6=""),"",IF(NOT(ISNUMBER(_xll.ciqfunctions.udf.CIQ(AM$6,"IQ_TEV",$AI20,$I$2,$I$3))),"",_xll.ciqfunctions.udf.CIQ(AM$6,"IQ_TEV",$AI20,$I$2,$I$3)))</f>
        <v/>
      </c>
      <c r="AN20" s="718" t="str">
        <f>IF(OR($B20="No",AN$6=""),"",IF(NOT(ISNUMBER(_xll.ciqfunctions.udf.CIQ(AN$6,"IQ_TEV",$AI20,$I$2,$I$3))),"",_xll.ciqfunctions.udf.CIQ(AN$6,"IQ_TEV",$AI20,$I$2,$I$3)))</f>
        <v/>
      </c>
      <c r="AO20" s="718" t="str">
        <f>IF(OR($B20="No",AO$6=""),"",IF(NOT(ISNUMBER(_xll.ciqfunctions.udf.CIQ(AO$6,"IQ_TEV",$AI20,$I$2,$I$3))),"",_xll.ciqfunctions.udf.CIQ(AO$6,"IQ_TEV",$AI20,$I$2,$I$3)))</f>
        <v/>
      </c>
      <c r="AP20" s="718" t="str">
        <f>IF(OR($B20="No",AP$6=""),"",IF(NOT(ISNUMBER(_xll.ciqfunctions.udf.CIQ(AP$6,"IQ_TEV",$AI20,$I$2,$I$3))),"",_xll.ciqfunctions.udf.CIQ(AP$6,"IQ_TEV",$AI20,$I$2,$I$3)))</f>
        <v/>
      </c>
      <c r="AQ20" s="718" t="str">
        <f>IF(OR($B20="No",AQ$6=""),"",IF(NOT(ISNUMBER(_xll.ciqfunctions.udf.CIQ(AQ$6,"IQ_TEV",$AI20,$I$2,$I$3))),"",_xll.ciqfunctions.udf.CIQ(AQ$6,"IQ_TEV",$AI20,$I$2,$I$3)))</f>
        <v/>
      </c>
      <c r="AR20" s="718" t="str">
        <f>IF(OR($B20="No",AR$6=""),"",IF(NOT(ISNUMBER(_xll.ciqfunctions.udf.CIQ(AR$6,"IQ_TEV",$AI20,$I$2,$I$3))),"",_xll.ciqfunctions.udf.CIQ(AR$6,"IQ_TEV",$AI20,$I$2,$I$3)))</f>
        <v/>
      </c>
      <c r="AS20" s="718" t="str">
        <f>IF(OR($B20="No",AS$6=""),"",IF(NOT(ISNUMBER(_xll.ciqfunctions.udf.CIQ(AS$6,"IQ_TEV",$AI20,$I$2,$I$3))),"",_xll.ciqfunctions.udf.CIQ(AS$6,"IQ_TEV",$AI20,$I$2,$I$3)))</f>
        <v/>
      </c>
      <c r="AT20" s="718" t="str">
        <f>IF(OR($B20="No",AT$6=""),"",IF(NOT(ISNUMBER(_xll.ciqfunctions.udf.CIQ(AT$6,"IQ_TEV",$AI20,$I$2,$I$3))),"",_xll.ciqfunctions.udf.CIQ(AT$6,"IQ_TEV",$AI20,$I$2,$I$3)))</f>
        <v/>
      </c>
      <c r="AV20" s="251">
        <f t="shared" si="39"/>
        <v>42916</v>
      </c>
      <c r="AW20" s="719">
        <f t="shared" si="40"/>
        <v>3.8562667297812769E-2</v>
      </c>
      <c r="AX20" s="719">
        <f t="shared" si="41"/>
        <v>-5.89183917276771E-2</v>
      </c>
      <c r="AY20" s="719" t="e">
        <f t="shared" si="42"/>
        <v>#N/A</v>
      </c>
      <c r="AZ20" s="719" t="e">
        <f t="shared" si="43"/>
        <v>#N/A</v>
      </c>
      <c r="BA20" s="719" t="e">
        <f t="shared" si="44"/>
        <v>#N/A</v>
      </c>
      <c r="BB20" s="719" t="e">
        <f t="shared" si="45"/>
        <v>#N/A</v>
      </c>
      <c r="BC20" s="719" t="e">
        <f t="shared" si="46"/>
        <v>#N/A</v>
      </c>
      <c r="BD20" s="719" t="e">
        <f t="shared" si="47"/>
        <v>#N/A</v>
      </c>
      <c r="BE20" s="719" t="e">
        <f t="shared" si="48"/>
        <v>#N/A</v>
      </c>
      <c r="BF20" s="719" t="e">
        <f t="shared" si="49"/>
        <v>#N/A</v>
      </c>
      <c r="BG20" s="719" t="e">
        <f t="shared" si="50"/>
        <v>#N/A</v>
      </c>
    </row>
    <row r="21" spans="1:59" ht="15" customHeight="1" x14ac:dyDescent="0.2">
      <c r="A21" s="251">
        <f t="shared" si="15"/>
        <v>42923</v>
      </c>
      <c r="B21" s="253" t="str">
        <f t="shared" si="51"/>
        <v>Yes</v>
      </c>
      <c r="C21" s="1033">
        <f>IF(C$6="","",IF(NOT(ISNUMBER(_xll.ciqfunctions.udf.CIQ(C$6,$F$2, $A21, $I$2, $I$3))),IF(C20=C$6,"",C20),_xll.ciqfunctions.udf.CIQ(C$6,$F$2, $A21, $I$2, $I$3)))</f>
        <v>75.33</v>
      </c>
      <c r="D21" s="1033">
        <f>IF(D$6="","",IF(NOT(ISNUMBER(_xll.ciqfunctions.udf.CIQ(D$6,$F$2, $A21, $I$2, $I$3))),IF(D20=D$6,"",D20),_xll.ciqfunctions.udf.CIQ(D$6,$F$2, $A21, $I$2, $I$3)))</f>
        <v>21414.344450000001</v>
      </c>
      <c r="E21" s="1033">
        <f>IF(E$6="","",IF(NOT(ISNUMBER(_xll.ciqfunctions.udf.CIQ(E$6,$F$2, $A21, $I$2, $I$3))),IF(E20=E$6,"",E20),_xll.ciqfunctions.udf.CIQ(E$6,$F$2, $A21, $I$2, $I$3)))</f>
        <v>7435.2435100000002</v>
      </c>
      <c r="F21" s="1033">
        <f>IF(F$6="","",IF(NOT(ISNUMBER(_xll.ciqfunctions.udf.CIQ(F$6,$F$2, $A21, $I$2, $I$3))),IF(F20=F$6,"",F20),_xll.ciqfunctions.udf.CIQ(F$6,$F$2, $A21, $I$2, $I$3)))</f>
        <v>4125.4039000000002</v>
      </c>
      <c r="G21" s="1033">
        <f>IF(G$6="","",IF(NOT(ISNUMBER(_xll.ciqfunctions.udf.CIQ(G$6,$F$2, $A21, $I$2, $I$3))),IF(G20=G$6,"",G20),_xll.ciqfunctions.udf.CIQ(G$6,$F$2, $A21, $I$2, $I$3)))</f>
        <v>154.11000000000001</v>
      </c>
      <c r="H21" s="1033" t="str">
        <f>IF(H$6="","",IF(NOT(ISNUMBER(_xll.ciqfunctions.udf.CIQ(H$6,$F$2, $A21, $I$2, $I$3))),IF(H20=H$6,"",H20),_xll.ciqfunctions.udf.CIQ(H$6,$F$2, $A21, $I$2, $I$3)))</f>
        <v/>
      </c>
      <c r="I21" s="1033" t="str">
        <f>IF(I$6="","",IF(NOT(ISNUMBER(_xll.ciqfunctions.udf.CIQ(I$6,$F$2, $A21, $I$2, $I$3))),IF(I20=I$6,"",I20),_xll.ciqfunctions.udf.CIQ(I$6,$F$2, $A21, $I$2, $I$3)))</f>
        <v/>
      </c>
      <c r="J21" s="1033" t="str">
        <f>IF(J$6="","",IF(NOT(ISNUMBER(_xll.ciqfunctions.udf.CIQ(J$6,$F$2, $A21, $I$2, $I$3))),IF(J20=J$6,"",J20),_xll.ciqfunctions.udf.CIQ(J$6,$F$2, $A21, $I$2, $I$3)))</f>
        <v/>
      </c>
      <c r="K21" s="1033" t="str">
        <f>IF(K$6="","",IF(NOT(ISNUMBER(_xll.ciqfunctions.udf.CIQ(K$6,$F$2, $A21, $I$2, $I$3))),IF(K20=K$6,"",K20),_xll.ciqfunctions.udf.CIQ(K$6,$F$2, $A21, $I$2, $I$3)))</f>
        <v/>
      </c>
      <c r="L21" s="254" t="str">
        <f>IF(L$6="","",IF(NOT(ISNUMBER(_xll.ciqfunctions.udf.CIQ(L$6,$F$2, $A21, $I$2, $I$3))),IF(L20=L$6,"",L20),_xll.ciqfunctions.udf.CIQ(L$6,$F$2, $A21, $I$2, $I$3)))</f>
        <v/>
      </c>
      <c r="M21" s="254" t="str">
        <f>IF(M$6="","",IF(NOT(ISNUMBER(_xll.ciqfunctions.udf.CIQ(M$6,$F$2, $A21, $I$2, $I$3))),IF(M20=M$6,"",M20),_xll.ciqfunctions.udf.CIQ(M$6,$F$2, $A21, $I$2, $I$3)))</f>
        <v/>
      </c>
      <c r="N21" s="254" t="str">
        <f>IF(N$6="","",IF(NOT(ISNUMBER(_xll.ciqfunctions.udf.CIQ(N$6,$F$2, $A21, $I$2, $I$3))),IF(N20=N$6,"",N20),_xll.ciqfunctions.udf.CIQ(N$6,$F$2, $A21, $I$2, $I$3)))</f>
        <v/>
      </c>
      <c r="O21" s="254" t="str">
        <f>IF(O$6="","",IF(NOT(ISNUMBER(_xll.ciqfunctions.udf.CIQ(O$6,$F$2, $A21, $I$2, $I$3))),IF(O20=O$6,"",O20),_xll.ciqfunctions.udf.CIQ(O$6,$F$2, $A21, $I$2, $I$3)))</f>
        <v/>
      </c>
      <c r="P21" s="254" t="str">
        <f>IF(P$6="","",IF(NOT(ISNUMBER(_xll.ciqfunctions.udf.CIQ(P$6,$F$2, $A21, $I$2, $I$3))),IF(P20=P$6,"",P20),_xll.ciqfunctions.udf.CIQ(P$6,$F$2, $A21, $I$2, $I$3)))</f>
        <v/>
      </c>
      <c r="Q21" s="254"/>
      <c r="R21" s="251">
        <f t="shared" si="16"/>
        <v>42923</v>
      </c>
      <c r="S21" s="255">
        <f t="shared" si="35"/>
        <v>4.5088790233074327E-2</v>
      </c>
      <c r="T21" s="255">
        <f t="shared" si="36"/>
        <v>3.6350740662308034E-2</v>
      </c>
      <c r="U21" s="255">
        <f t="shared" si="37"/>
        <v>3.904827966064528E-2</v>
      </c>
      <c r="V21" s="255">
        <f t="shared" si="52"/>
        <v>-6.0215762675340456E-2</v>
      </c>
      <c r="W21" s="255">
        <f t="array" ref="W21">IFERROR(AVERAGE(IF(ISERROR(X21:AG21),"",X21:AG21)),"")</f>
        <v>-8.0982765817878111E-2</v>
      </c>
      <c r="X21" s="255">
        <f t="shared" si="53"/>
        <v>-8.0982765817878111E-2</v>
      </c>
      <c r="Y21" s="255" t="e">
        <f t="shared" si="38"/>
        <v>#N/A</v>
      </c>
      <c r="Z21" s="255" t="e">
        <f t="shared" si="38"/>
        <v>#N/A</v>
      </c>
      <c r="AA21" s="255" t="e">
        <f t="shared" si="38"/>
        <v>#N/A</v>
      </c>
      <c r="AB21" s="255" t="e">
        <f t="shared" si="38"/>
        <v>#N/A</v>
      </c>
      <c r="AC21" s="255" t="e">
        <f t="shared" si="38"/>
        <v>#N/A</v>
      </c>
      <c r="AD21" s="255" t="e">
        <f t="shared" si="38"/>
        <v>#N/A</v>
      </c>
      <c r="AE21" s="255" t="e">
        <f t="shared" si="38"/>
        <v>#N/A</v>
      </c>
      <c r="AF21" s="255" t="e">
        <f t="shared" si="38"/>
        <v>#N/A</v>
      </c>
      <c r="AG21" s="255" t="e">
        <f t="shared" si="38"/>
        <v>#N/A</v>
      </c>
      <c r="AI21" s="251">
        <f t="shared" si="27"/>
        <v>42923</v>
      </c>
      <c r="AJ21" s="718">
        <f>IF(OR($B21="No",AJ$6=""),"",IF(NOT(ISNUMBER(_xll.ciqfunctions.udf.CIQ(AJ$6,"IQ_TEV",$AI21,$I$2,$I$3))),"",_xll.ciqfunctions.udf.CIQ(AJ$6,"IQ_TEV",$AI21,$I$2,$I$3)))</f>
        <v>270069.28499999997</v>
      </c>
      <c r="AK21" s="718">
        <f>IF(OR($B21="No",AK$6=""),"",IF(NOT(ISNUMBER(_xll.ciqfunctions.udf.CIQ(AK$6,"IQ_TEV",$AI21,$I$2,$I$3))),"",_xll.ciqfunctions.udf.CIQ(AK$6,"IQ_TEV",$AI21,$I$2,$I$3)))</f>
        <v>66132.104900000006</v>
      </c>
      <c r="AL21" s="718" t="str">
        <f>IF(OR($B21="No",AL$6=""),"",IF(NOT(ISNUMBER(_xll.ciqfunctions.udf.CIQ(AL$6,"IQ_TEV",$AI21,$I$2,$I$3))),"",_xll.ciqfunctions.udf.CIQ(AL$6,"IQ_TEV",$AI21,$I$2,$I$3)))</f>
        <v/>
      </c>
      <c r="AM21" s="718" t="str">
        <f>IF(OR($B21="No",AM$6=""),"",IF(NOT(ISNUMBER(_xll.ciqfunctions.udf.CIQ(AM$6,"IQ_TEV",$AI21,$I$2,$I$3))),"",_xll.ciqfunctions.udf.CIQ(AM$6,"IQ_TEV",$AI21,$I$2,$I$3)))</f>
        <v/>
      </c>
      <c r="AN21" s="718" t="str">
        <f>IF(OR($B21="No",AN$6=""),"",IF(NOT(ISNUMBER(_xll.ciqfunctions.udf.CIQ(AN$6,"IQ_TEV",$AI21,$I$2,$I$3))),"",_xll.ciqfunctions.udf.CIQ(AN$6,"IQ_TEV",$AI21,$I$2,$I$3)))</f>
        <v/>
      </c>
      <c r="AO21" s="718" t="str">
        <f>IF(OR($B21="No",AO$6=""),"",IF(NOT(ISNUMBER(_xll.ciqfunctions.udf.CIQ(AO$6,"IQ_TEV",$AI21,$I$2,$I$3))),"",_xll.ciqfunctions.udf.CIQ(AO$6,"IQ_TEV",$AI21,$I$2,$I$3)))</f>
        <v/>
      </c>
      <c r="AP21" s="718" t="str">
        <f>IF(OR($B21="No",AP$6=""),"",IF(NOT(ISNUMBER(_xll.ciqfunctions.udf.CIQ(AP$6,"IQ_TEV",$AI21,$I$2,$I$3))),"",_xll.ciqfunctions.udf.CIQ(AP$6,"IQ_TEV",$AI21,$I$2,$I$3)))</f>
        <v/>
      </c>
      <c r="AQ21" s="718" t="str">
        <f>IF(OR($B21="No",AQ$6=""),"",IF(NOT(ISNUMBER(_xll.ciqfunctions.udf.CIQ(AQ$6,"IQ_TEV",$AI21,$I$2,$I$3))),"",_xll.ciqfunctions.udf.CIQ(AQ$6,"IQ_TEV",$AI21,$I$2,$I$3)))</f>
        <v/>
      </c>
      <c r="AR21" s="718" t="str">
        <f>IF(OR($B21="No",AR$6=""),"",IF(NOT(ISNUMBER(_xll.ciqfunctions.udf.CIQ(AR$6,"IQ_TEV",$AI21,$I$2,$I$3))),"",_xll.ciqfunctions.udf.CIQ(AR$6,"IQ_TEV",$AI21,$I$2,$I$3)))</f>
        <v/>
      </c>
      <c r="AS21" s="718" t="str">
        <f>IF(OR($B21="No",AS$6=""),"",IF(NOT(ISNUMBER(_xll.ciqfunctions.udf.CIQ(AS$6,"IQ_TEV",$AI21,$I$2,$I$3))),"",_xll.ciqfunctions.udf.CIQ(AS$6,"IQ_TEV",$AI21,$I$2,$I$3)))</f>
        <v/>
      </c>
      <c r="AT21" s="718" t="str">
        <f>IF(OR($B21="No",AT$6=""),"",IF(NOT(ISNUMBER(_xll.ciqfunctions.udf.CIQ(AT$6,"IQ_TEV",$AI21,$I$2,$I$3))),"",_xll.ciqfunctions.udf.CIQ(AT$6,"IQ_TEV",$AI21,$I$2,$I$3)))</f>
        <v/>
      </c>
      <c r="AV21" s="251">
        <f t="shared" si="39"/>
        <v>42923</v>
      </c>
      <c r="AW21" s="719">
        <f t="shared" si="40"/>
        <v>3.4521121542944844E-2</v>
      </c>
      <c r="AX21" s="719">
        <f t="shared" si="41"/>
        <v>-9.3892689119039918E-2</v>
      </c>
      <c r="AY21" s="719" t="e">
        <f t="shared" si="42"/>
        <v>#N/A</v>
      </c>
      <c r="AZ21" s="719" t="e">
        <f t="shared" si="43"/>
        <v>#N/A</v>
      </c>
      <c r="BA21" s="719" t="e">
        <f t="shared" si="44"/>
        <v>#N/A</v>
      </c>
      <c r="BB21" s="719" t="e">
        <f t="shared" si="45"/>
        <v>#N/A</v>
      </c>
      <c r="BC21" s="719" t="e">
        <f t="shared" si="46"/>
        <v>#N/A</v>
      </c>
      <c r="BD21" s="719" t="e">
        <f t="shared" si="47"/>
        <v>#N/A</v>
      </c>
      <c r="BE21" s="719" t="e">
        <f t="shared" si="48"/>
        <v>#N/A</v>
      </c>
      <c r="BF21" s="719" t="e">
        <f t="shared" si="49"/>
        <v>#N/A</v>
      </c>
      <c r="BG21" s="719" t="e">
        <f t="shared" si="50"/>
        <v>#N/A</v>
      </c>
    </row>
    <row r="22" spans="1:59" ht="15" customHeight="1" x14ac:dyDescent="0.2">
      <c r="A22" s="251">
        <f t="shared" si="15"/>
        <v>42930</v>
      </c>
      <c r="B22" s="253" t="str">
        <f t="shared" si="51"/>
        <v>Yes</v>
      </c>
      <c r="C22" s="1033">
        <f>IF(C$6="","",IF(NOT(ISNUMBER(_xll.ciqfunctions.udf.CIQ(C$6,$F$2, $A22, $I$2, $I$3))),IF(C21=C$6,"",C21),_xll.ciqfunctions.udf.CIQ(C$6,$F$2, $A22, $I$2, $I$3)))</f>
        <v>76.34</v>
      </c>
      <c r="D22" s="1033">
        <f>IF(D$6="","",IF(NOT(ISNUMBER(_xll.ciqfunctions.udf.CIQ(D$6,$F$2, $A22, $I$2, $I$3))),IF(D21=D$6,"",D21),_xll.ciqfunctions.udf.CIQ(D$6,$F$2, $A22, $I$2, $I$3)))</f>
        <v>21637.736550000001</v>
      </c>
      <c r="E22" s="1033">
        <f>IF(E$6="","",IF(NOT(ISNUMBER(_xll.ciqfunctions.udf.CIQ(E$6,$F$2, $A22, $I$2, $I$3))),IF(E21=E$6,"",E21),_xll.ciqfunctions.udf.CIQ(E$6,$F$2, $A22, $I$2, $I$3)))</f>
        <v>7497.8104800000001</v>
      </c>
      <c r="F22" s="1033">
        <f>IF(F$6="","",IF(NOT(ISNUMBER(_xll.ciqfunctions.udf.CIQ(F$6,$F$2, $A22, $I$2, $I$3))),IF(F21=F$6,"",F21),_xll.ciqfunctions.udf.CIQ(F$6,$F$2, $A22, $I$2, $I$3)))</f>
        <v>4135.9273400000002</v>
      </c>
      <c r="G22" s="1033">
        <f>IF(G$6="","",IF(NOT(ISNUMBER(_xll.ciqfunctions.udf.CIQ(G$6,$F$2, $A22, $I$2, $I$3))),IF(G21=G$6,"",G21),_xll.ciqfunctions.udf.CIQ(G$6,$F$2, $A22, $I$2, $I$3)))</f>
        <v>153</v>
      </c>
      <c r="H22" s="1033" t="str">
        <f>IF(H$6="","",IF(NOT(ISNUMBER(_xll.ciqfunctions.udf.CIQ(H$6,$F$2, $A22, $I$2, $I$3))),IF(H21=H$6,"",H21),_xll.ciqfunctions.udf.CIQ(H$6,$F$2, $A22, $I$2, $I$3)))</f>
        <v/>
      </c>
      <c r="I22" s="1033" t="str">
        <f>IF(I$6="","",IF(NOT(ISNUMBER(_xll.ciqfunctions.udf.CIQ(I$6,$F$2, $A22, $I$2, $I$3))),IF(I21=I$6,"",I21),_xll.ciqfunctions.udf.CIQ(I$6,$F$2, $A22, $I$2, $I$3)))</f>
        <v/>
      </c>
      <c r="J22" s="1033" t="str">
        <f>IF(J$6="","",IF(NOT(ISNUMBER(_xll.ciqfunctions.udf.CIQ(J$6,$F$2, $A22, $I$2, $I$3))),IF(J21=J$6,"",J21),_xll.ciqfunctions.udf.CIQ(J$6,$F$2, $A22, $I$2, $I$3)))</f>
        <v/>
      </c>
      <c r="K22" s="1033" t="str">
        <f>IF(K$6="","",IF(NOT(ISNUMBER(_xll.ciqfunctions.udf.CIQ(K$6,$F$2, $A22, $I$2, $I$3))),IF(K21=K$6,"",K21),_xll.ciqfunctions.udf.CIQ(K$6,$F$2, $A22, $I$2, $I$3)))</f>
        <v/>
      </c>
      <c r="L22" s="254" t="str">
        <f>IF(L$6="","",IF(NOT(ISNUMBER(_xll.ciqfunctions.udf.CIQ(L$6,$F$2, $A22, $I$2, $I$3))),IF(L21=L$6,"",L21),_xll.ciqfunctions.udf.CIQ(L$6,$F$2, $A22, $I$2, $I$3)))</f>
        <v/>
      </c>
      <c r="M22" s="254" t="str">
        <f>IF(M$6="","",IF(NOT(ISNUMBER(_xll.ciqfunctions.udf.CIQ(M$6,$F$2, $A22, $I$2, $I$3))),IF(M21=M$6,"",M21),_xll.ciqfunctions.udf.CIQ(M$6,$F$2, $A22, $I$2, $I$3)))</f>
        <v/>
      </c>
      <c r="N22" s="254" t="str">
        <f>IF(N$6="","",IF(NOT(ISNUMBER(_xll.ciqfunctions.udf.CIQ(N$6,$F$2, $A22, $I$2, $I$3))),IF(N21=N$6,"",N21),_xll.ciqfunctions.udf.CIQ(N$6,$F$2, $A22, $I$2, $I$3)))</f>
        <v/>
      </c>
      <c r="O22" s="254" t="str">
        <f>IF(O$6="","",IF(NOT(ISNUMBER(_xll.ciqfunctions.udf.CIQ(O$6,$F$2, $A22, $I$2, $I$3))),IF(O21=O$6,"",O21),_xll.ciqfunctions.udf.CIQ(O$6,$F$2, $A22, $I$2, $I$3)))</f>
        <v/>
      </c>
      <c r="P22" s="254" t="str">
        <f>IF(P$6="","",IF(NOT(ISNUMBER(_xll.ciqfunctions.udf.CIQ(P$6,$F$2, $A22, $I$2, $I$3))),IF(P21=P$6,"",P21),_xll.ciqfunctions.udf.CIQ(P$6,$F$2, $A22, $I$2, $I$3)))</f>
        <v/>
      </c>
      <c r="Q22" s="254"/>
      <c r="R22" s="251">
        <f t="shared" si="16"/>
        <v>42930</v>
      </c>
      <c r="S22" s="255">
        <f t="shared" si="35"/>
        <v>5.9100998890122103E-2</v>
      </c>
      <c r="T22" s="255">
        <f t="shared" si="36"/>
        <v>4.7161838281180479E-2</v>
      </c>
      <c r="U22" s="255">
        <f t="shared" si="37"/>
        <v>4.7791786508086576E-2</v>
      </c>
      <c r="V22" s="255">
        <f t="shared" si="52"/>
        <v>-5.7818479094348119E-2</v>
      </c>
      <c r="W22" s="255">
        <f t="array" ref="W22">IFERROR(AVERAGE(IF(ISERROR(X22:AG22),"",X22:AG22)),"")</f>
        <v>-8.7602122964994922E-2</v>
      </c>
      <c r="X22" s="255">
        <f t="shared" si="53"/>
        <v>-8.7602122964994922E-2</v>
      </c>
      <c r="Y22" s="255" t="e">
        <f t="shared" si="38"/>
        <v>#N/A</v>
      </c>
      <c r="Z22" s="255" t="e">
        <f t="shared" si="38"/>
        <v>#N/A</v>
      </c>
      <c r="AA22" s="255" t="e">
        <f t="shared" si="38"/>
        <v>#N/A</v>
      </c>
      <c r="AB22" s="255" t="e">
        <f t="shared" si="38"/>
        <v>#N/A</v>
      </c>
      <c r="AC22" s="255" t="e">
        <f t="shared" si="38"/>
        <v>#N/A</v>
      </c>
      <c r="AD22" s="255" t="e">
        <f t="shared" si="38"/>
        <v>#N/A</v>
      </c>
      <c r="AE22" s="255" t="e">
        <f t="shared" si="38"/>
        <v>#N/A</v>
      </c>
      <c r="AF22" s="255" t="e">
        <f t="shared" si="38"/>
        <v>#N/A</v>
      </c>
      <c r="AG22" s="255" t="e">
        <f t="shared" si="38"/>
        <v>#N/A</v>
      </c>
      <c r="AI22" s="251">
        <f t="shared" si="27"/>
        <v>42930</v>
      </c>
      <c r="AJ22" s="718">
        <f>IF(OR($B22="No",AJ$6=""),"",IF(NOT(ISNUMBER(_xll.ciqfunctions.udf.CIQ(AJ$6,"IQ_TEV",$AI22,$I$2,$I$3))),"",_xll.ciqfunctions.udf.CIQ(AJ$6,"IQ_TEV",$AI22,$I$2,$I$3)))</f>
        <v>273113.93</v>
      </c>
      <c r="AK22" s="718">
        <f>IF(OR($B22="No",AK$6=""),"",IF(NOT(ISNUMBER(_xll.ciqfunctions.udf.CIQ(AK$6,"IQ_TEV",$AI22,$I$2,$I$3))),"",_xll.ciqfunctions.udf.CIQ(AK$6,"IQ_TEV",$AI22,$I$2,$I$3)))</f>
        <v>65645.27</v>
      </c>
      <c r="AL22" s="718" t="str">
        <f>IF(OR($B22="No",AL$6=""),"",IF(NOT(ISNUMBER(_xll.ciqfunctions.udf.CIQ(AL$6,"IQ_TEV",$AI22,$I$2,$I$3))),"",_xll.ciqfunctions.udf.CIQ(AL$6,"IQ_TEV",$AI22,$I$2,$I$3)))</f>
        <v/>
      </c>
      <c r="AM22" s="718" t="str">
        <f>IF(OR($B22="No",AM$6=""),"",IF(NOT(ISNUMBER(_xll.ciqfunctions.udf.CIQ(AM$6,"IQ_TEV",$AI22,$I$2,$I$3))),"",_xll.ciqfunctions.udf.CIQ(AM$6,"IQ_TEV",$AI22,$I$2,$I$3)))</f>
        <v/>
      </c>
      <c r="AN22" s="718" t="str">
        <f>IF(OR($B22="No",AN$6=""),"",IF(NOT(ISNUMBER(_xll.ciqfunctions.udf.CIQ(AN$6,"IQ_TEV",$AI22,$I$2,$I$3))),"",_xll.ciqfunctions.udf.CIQ(AN$6,"IQ_TEV",$AI22,$I$2,$I$3)))</f>
        <v/>
      </c>
      <c r="AO22" s="718" t="str">
        <f>IF(OR($B22="No",AO$6=""),"",IF(NOT(ISNUMBER(_xll.ciqfunctions.udf.CIQ(AO$6,"IQ_TEV",$AI22,$I$2,$I$3))),"",_xll.ciqfunctions.udf.CIQ(AO$6,"IQ_TEV",$AI22,$I$2,$I$3)))</f>
        <v/>
      </c>
      <c r="AP22" s="718" t="str">
        <f>IF(OR($B22="No",AP$6=""),"",IF(NOT(ISNUMBER(_xll.ciqfunctions.udf.CIQ(AP$6,"IQ_TEV",$AI22,$I$2,$I$3))),"",_xll.ciqfunctions.udf.CIQ(AP$6,"IQ_TEV",$AI22,$I$2,$I$3)))</f>
        <v/>
      </c>
      <c r="AQ22" s="718" t="str">
        <f>IF(OR($B22="No",AQ$6=""),"",IF(NOT(ISNUMBER(_xll.ciqfunctions.udf.CIQ(AQ$6,"IQ_TEV",$AI22,$I$2,$I$3))),"",_xll.ciqfunctions.udf.CIQ(AQ$6,"IQ_TEV",$AI22,$I$2,$I$3)))</f>
        <v/>
      </c>
      <c r="AR22" s="718" t="str">
        <f>IF(OR($B22="No",AR$6=""),"",IF(NOT(ISNUMBER(_xll.ciqfunctions.udf.CIQ(AR$6,"IQ_TEV",$AI22,$I$2,$I$3))),"",_xll.ciqfunctions.udf.CIQ(AR$6,"IQ_TEV",$AI22,$I$2,$I$3)))</f>
        <v/>
      </c>
      <c r="AS22" s="718" t="str">
        <f>IF(OR($B22="No",AS$6=""),"",IF(NOT(ISNUMBER(_xll.ciqfunctions.udf.CIQ(AS$6,"IQ_TEV",$AI22,$I$2,$I$3))),"",_xll.ciqfunctions.udf.CIQ(AS$6,"IQ_TEV",$AI22,$I$2,$I$3)))</f>
        <v/>
      </c>
      <c r="AT22" s="718" t="str">
        <f>IF(OR($B22="No",AT$6=""),"",IF(NOT(ISNUMBER(_xll.ciqfunctions.udf.CIQ(AT$6,"IQ_TEV",$AI22,$I$2,$I$3))),"",_xll.ciqfunctions.udf.CIQ(AT$6,"IQ_TEV",$AI22,$I$2,$I$3)))</f>
        <v/>
      </c>
      <c r="AV22" s="251">
        <f t="shared" si="39"/>
        <v>42930</v>
      </c>
      <c r="AW22" s="719">
        <f t="shared" si="40"/>
        <v>4.6183867864134864E-2</v>
      </c>
      <c r="AX22" s="719">
        <f t="shared" si="41"/>
        <v>-0.10056304480708333</v>
      </c>
      <c r="AY22" s="719" t="e">
        <f t="shared" si="42"/>
        <v>#N/A</v>
      </c>
      <c r="AZ22" s="719" t="e">
        <f t="shared" si="43"/>
        <v>#N/A</v>
      </c>
      <c r="BA22" s="719" t="e">
        <f t="shared" si="44"/>
        <v>#N/A</v>
      </c>
      <c r="BB22" s="719" t="e">
        <f t="shared" si="45"/>
        <v>#N/A</v>
      </c>
      <c r="BC22" s="719" t="e">
        <f t="shared" si="46"/>
        <v>#N/A</v>
      </c>
      <c r="BD22" s="719" t="e">
        <f t="shared" si="47"/>
        <v>#N/A</v>
      </c>
      <c r="BE22" s="719" t="e">
        <f t="shared" si="48"/>
        <v>#N/A</v>
      </c>
      <c r="BF22" s="719" t="e">
        <f t="shared" si="49"/>
        <v>#N/A</v>
      </c>
      <c r="BG22" s="719" t="e">
        <f t="shared" si="50"/>
        <v>#N/A</v>
      </c>
    </row>
    <row r="23" spans="1:59" ht="15" customHeight="1" x14ac:dyDescent="0.2">
      <c r="A23" s="251">
        <f t="shared" si="15"/>
        <v>42937</v>
      </c>
      <c r="B23" s="253" t="str">
        <f t="shared" si="51"/>
        <v>Yes</v>
      </c>
      <c r="C23" s="1033">
        <f>IF(C$6="","",IF(NOT(ISNUMBER(_xll.ciqfunctions.udf.CIQ(C$6,$F$2, $A23, $I$2, $I$3))),IF(C22=C$6,"",C22),_xll.ciqfunctions.udf.CIQ(C$6,$F$2, $A23, $I$2, $I$3)))</f>
        <v>76.150000000000006</v>
      </c>
      <c r="D23" s="1033">
        <f>IF(D$6="","",IF(NOT(ISNUMBER(_xll.ciqfunctions.udf.CIQ(D$6,$F$2, $A23, $I$2, $I$3))),IF(D22=D$6,"",D22),_xll.ciqfunctions.udf.CIQ(D$6,$F$2, $A23, $I$2, $I$3)))</f>
        <v>21580.07372</v>
      </c>
      <c r="E23" s="1033">
        <f>IF(E$6="","",IF(NOT(ISNUMBER(_xll.ciqfunctions.udf.CIQ(E$6,$F$2, $A23, $I$2, $I$3))),IF(E22=E$6,"",E22),_xll.ciqfunctions.udf.CIQ(E$6,$F$2, $A23, $I$2, $I$3)))</f>
        <v>7457.9119300000002</v>
      </c>
      <c r="F23" s="1033">
        <f>IF(F$6="","",IF(NOT(ISNUMBER(_xll.ciqfunctions.udf.CIQ(F$6,$F$2, $A23, $I$2, $I$3))),IF(F22=F$6,"",F22),_xll.ciqfunctions.udf.CIQ(F$6,$F$2, $A23, $I$2, $I$3)))</f>
        <v>4189.6690799999997</v>
      </c>
      <c r="G23" s="1033">
        <f>IF(G$6="","",IF(NOT(ISNUMBER(_xll.ciqfunctions.udf.CIQ(G$6,$F$2, $A23, $I$2, $I$3))),IF(G22=G$6,"",G22),_xll.ciqfunctions.udf.CIQ(G$6,$F$2, $A23, $I$2, $I$3)))</f>
        <v>150.44</v>
      </c>
      <c r="H23" s="1033" t="str">
        <f>IF(H$6="","",IF(NOT(ISNUMBER(_xll.ciqfunctions.udf.CIQ(H$6,$F$2, $A23, $I$2, $I$3))),IF(H22=H$6,"",H22),_xll.ciqfunctions.udf.CIQ(H$6,$F$2, $A23, $I$2, $I$3)))</f>
        <v/>
      </c>
      <c r="I23" s="1033" t="str">
        <f>IF(I$6="","",IF(NOT(ISNUMBER(_xll.ciqfunctions.udf.CIQ(I$6,$F$2, $A23, $I$2, $I$3))),IF(I22=I$6,"",I22),_xll.ciqfunctions.udf.CIQ(I$6,$F$2, $A23, $I$2, $I$3)))</f>
        <v/>
      </c>
      <c r="J23" s="1033" t="str">
        <f>IF(J$6="","",IF(NOT(ISNUMBER(_xll.ciqfunctions.udf.CIQ(J$6,$F$2, $A23, $I$2, $I$3))),IF(J22=J$6,"",J22),_xll.ciqfunctions.udf.CIQ(J$6,$F$2, $A23, $I$2, $I$3)))</f>
        <v/>
      </c>
      <c r="K23" s="1033" t="str">
        <f>IF(K$6="","",IF(NOT(ISNUMBER(_xll.ciqfunctions.udf.CIQ(K$6,$F$2, $A23, $I$2, $I$3))),IF(K22=K$6,"",K22),_xll.ciqfunctions.udf.CIQ(K$6,$F$2, $A23, $I$2, $I$3)))</f>
        <v/>
      </c>
      <c r="L23" s="254" t="str">
        <f>IF(L$6="","",IF(NOT(ISNUMBER(_xll.ciqfunctions.udf.CIQ(L$6,$F$2, $A23, $I$2, $I$3))),IF(L22=L$6,"",L22),_xll.ciqfunctions.udf.CIQ(L$6,$F$2, $A23, $I$2, $I$3)))</f>
        <v/>
      </c>
      <c r="M23" s="254" t="str">
        <f>IF(M$6="","",IF(NOT(ISNUMBER(_xll.ciqfunctions.udf.CIQ(M$6,$F$2, $A23, $I$2, $I$3))),IF(M22=M$6,"",M22),_xll.ciqfunctions.udf.CIQ(M$6,$F$2, $A23, $I$2, $I$3)))</f>
        <v/>
      </c>
      <c r="N23" s="254" t="str">
        <f>IF(N$6="","",IF(NOT(ISNUMBER(_xll.ciqfunctions.udf.CIQ(N$6,$F$2, $A23, $I$2, $I$3))),IF(N22=N$6,"",N22),_xll.ciqfunctions.udf.CIQ(N$6,$F$2, $A23, $I$2, $I$3)))</f>
        <v/>
      </c>
      <c r="O23" s="254" t="str">
        <f>IF(O$6="","",IF(NOT(ISNUMBER(_xll.ciqfunctions.udf.CIQ(O$6,$F$2, $A23, $I$2, $I$3))),IF(O22=O$6,"",O22),_xll.ciqfunctions.udf.CIQ(O$6,$F$2, $A23, $I$2, $I$3)))</f>
        <v/>
      </c>
      <c r="P23" s="254" t="str">
        <f>IF(P$6="","",IF(NOT(ISNUMBER(_xll.ciqfunctions.udf.CIQ(P$6,$F$2, $A23, $I$2, $I$3))),IF(P22=P$6,"",P22),_xll.ciqfunctions.udf.CIQ(P$6,$F$2, $A23, $I$2, $I$3)))</f>
        <v/>
      </c>
      <c r="Q23" s="254"/>
      <c r="R23" s="251">
        <f t="shared" si="16"/>
        <v>42937</v>
      </c>
      <c r="S23" s="255">
        <f t="shared" si="35"/>
        <v>5.6465038845727067E-2</v>
      </c>
      <c r="T23" s="255">
        <f t="shared" si="36"/>
        <v>4.4371236088397215E-2</v>
      </c>
      <c r="U23" s="255">
        <f t="shared" si="37"/>
        <v>4.2216109035963845E-2</v>
      </c>
      <c r="V23" s="255">
        <f t="shared" si="52"/>
        <v>-4.5575886280975419E-2</v>
      </c>
      <c r="W23" s="255">
        <f t="array" ref="W23">IFERROR(AVERAGE(IF(ISERROR(X23:AG23),"",X23:AG23)),"")</f>
        <v>-0.10286838809708387</v>
      </c>
      <c r="X23" s="255">
        <f t="shared" si="53"/>
        <v>-0.10286838809708387</v>
      </c>
      <c r="Y23" s="255" t="e">
        <f t="shared" si="38"/>
        <v>#N/A</v>
      </c>
      <c r="Z23" s="255" t="e">
        <f t="shared" si="38"/>
        <v>#N/A</v>
      </c>
      <c r="AA23" s="255" t="e">
        <f t="shared" si="38"/>
        <v>#N/A</v>
      </c>
      <c r="AB23" s="255" t="e">
        <f t="shared" si="38"/>
        <v>#N/A</v>
      </c>
      <c r="AC23" s="255" t="e">
        <f t="shared" si="38"/>
        <v>#N/A</v>
      </c>
      <c r="AD23" s="255" t="e">
        <f t="shared" si="38"/>
        <v>#N/A</v>
      </c>
      <c r="AE23" s="255" t="e">
        <f t="shared" si="38"/>
        <v>#N/A</v>
      </c>
      <c r="AF23" s="255" t="e">
        <f t="shared" si="38"/>
        <v>#N/A</v>
      </c>
      <c r="AG23" s="255" t="e">
        <f t="shared" si="38"/>
        <v>#N/A</v>
      </c>
      <c r="AI23" s="251">
        <f t="shared" si="27"/>
        <v>42937</v>
      </c>
      <c r="AJ23" s="718">
        <f>IF(OR($B23="No",AJ$6=""),"",IF(NOT(ISNUMBER(_xll.ciqfunctions.udf.CIQ(AJ$6,"IQ_TEV",$AI23,$I$2,$I$3))),"",_xll.ciqfunctions.udf.CIQ(AJ$6,"IQ_TEV",$AI23,$I$2,$I$3)))</f>
        <v>272541.17499999999</v>
      </c>
      <c r="AK23" s="718">
        <f>IF(OR($B23="No",AK$6=""),"",IF(NOT(ISNUMBER(_xll.ciqfunctions.udf.CIQ(AK$6,"IQ_TEV",$AI23,$I$2,$I$3))),"",_xll.ciqfunctions.udf.CIQ(AK$6,"IQ_TEV",$AI23,$I$2,$I$3)))</f>
        <v>64522.479599999999</v>
      </c>
      <c r="AL23" s="718" t="str">
        <f>IF(OR($B23="No",AL$6=""),"",IF(NOT(ISNUMBER(_xll.ciqfunctions.udf.CIQ(AL$6,"IQ_TEV",$AI23,$I$2,$I$3))),"",_xll.ciqfunctions.udf.CIQ(AL$6,"IQ_TEV",$AI23,$I$2,$I$3)))</f>
        <v/>
      </c>
      <c r="AM23" s="718" t="str">
        <f>IF(OR($B23="No",AM$6=""),"",IF(NOT(ISNUMBER(_xll.ciqfunctions.udf.CIQ(AM$6,"IQ_TEV",$AI23,$I$2,$I$3))),"",_xll.ciqfunctions.udf.CIQ(AM$6,"IQ_TEV",$AI23,$I$2,$I$3)))</f>
        <v/>
      </c>
      <c r="AN23" s="718" t="str">
        <f>IF(OR($B23="No",AN$6=""),"",IF(NOT(ISNUMBER(_xll.ciqfunctions.udf.CIQ(AN$6,"IQ_TEV",$AI23,$I$2,$I$3))),"",_xll.ciqfunctions.udf.CIQ(AN$6,"IQ_TEV",$AI23,$I$2,$I$3)))</f>
        <v/>
      </c>
      <c r="AO23" s="718" t="str">
        <f>IF(OR($B23="No",AO$6=""),"",IF(NOT(ISNUMBER(_xll.ciqfunctions.udf.CIQ(AO$6,"IQ_TEV",$AI23,$I$2,$I$3))),"",_xll.ciqfunctions.udf.CIQ(AO$6,"IQ_TEV",$AI23,$I$2,$I$3)))</f>
        <v/>
      </c>
      <c r="AP23" s="718" t="str">
        <f>IF(OR($B23="No",AP$6=""),"",IF(NOT(ISNUMBER(_xll.ciqfunctions.udf.CIQ(AP$6,"IQ_TEV",$AI23,$I$2,$I$3))),"",_xll.ciqfunctions.udf.CIQ(AP$6,"IQ_TEV",$AI23,$I$2,$I$3)))</f>
        <v/>
      </c>
      <c r="AQ23" s="718" t="str">
        <f>IF(OR($B23="No",AQ$6=""),"",IF(NOT(ISNUMBER(_xll.ciqfunctions.udf.CIQ(AQ$6,"IQ_TEV",$AI23,$I$2,$I$3))),"",_xll.ciqfunctions.udf.CIQ(AQ$6,"IQ_TEV",$AI23,$I$2,$I$3)))</f>
        <v/>
      </c>
      <c r="AR23" s="718" t="str">
        <f>IF(OR($B23="No",AR$6=""),"",IF(NOT(ISNUMBER(_xll.ciqfunctions.udf.CIQ(AR$6,"IQ_TEV",$AI23,$I$2,$I$3))),"",_xll.ciqfunctions.udf.CIQ(AR$6,"IQ_TEV",$AI23,$I$2,$I$3)))</f>
        <v/>
      </c>
      <c r="AS23" s="718" t="str">
        <f>IF(OR($B23="No",AS$6=""),"",IF(NOT(ISNUMBER(_xll.ciqfunctions.udf.CIQ(AS$6,"IQ_TEV",$AI23,$I$2,$I$3))),"",_xll.ciqfunctions.udf.CIQ(AS$6,"IQ_TEV",$AI23,$I$2,$I$3)))</f>
        <v/>
      </c>
      <c r="AT23" s="718" t="str">
        <f>IF(OR($B23="No",AT$6=""),"",IF(NOT(ISNUMBER(_xll.ciqfunctions.udf.CIQ(AT$6,"IQ_TEV",$AI23,$I$2,$I$3))),"",_xll.ciqfunctions.udf.CIQ(AT$6,"IQ_TEV",$AI23,$I$2,$I$3)))</f>
        <v/>
      </c>
      <c r="AV23" s="251">
        <f t="shared" si="39"/>
        <v>42937</v>
      </c>
      <c r="AW23" s="719">
        <f t="shared" si="40"/>
        <v>4.3989885882920854E-2</v>
      </c>
      <c r="AX23" s="719">
        <f t="shared" si="41"/>
        <v>-0.11594692819572416</v>
      </c>
      <c r="AY23" s="719" t="e">
        <f t="shared" si="42"/>
        <v>#N/A</v>
      </c>
      <c r="AZ23" s="719" t="e">
        <f t="shared" si="43"/>
        <v>#N/A</v>
      </c>
      <c r="BA23" s="719" t="e">
        <f t="shared" si="44"/>
        <v>#N/A</v>
      </c>
      <c r="BB23" s="719" t="e">
        <f t="shared" si="45"/>
        <v>#N/A</v>
      </c>
      <c r="BC23" s="719" t="e">
        <f t="shared" si="46"/>
        <v>#N/A</v>
      </c>
      <c r="BD23" s="719" t="e">
        <f t="shared" si="47"/>
        <v>#N/A</v>
      </c>
      <c r="BE23" s="719" t="e">
        <f t="shared" si="48"/>
        <v>#N/A</v>
      </c>
      <c r="BF23" s="719" t="e">
        <f t="shared" si="49"/>
        <v>#N/A</v>
      </c>
      <c r="BG23" s="719" t="e">
        <f t="shared" si="50"/>
        <v>#N/A</v>
      </c>
    </row>
    <row r="24" spans="1:59" ht="15" customHeight="1" x14ac:dyDescent="0.2">
      <c r="A24" s="251">
        <f t="shared" si="15"/>
        <v>42944</v>
      </c>
      <c r="B24" s="253" t="str">
        <f t="shared" si="51"/>
        <v>Yes</v>
      </c>
      <c r="C24" s="1033">
        <f>IF(C$6="","",IF(NOT(ISNUMBER(_xll.ciqfunctions.udf.CIQ(C$6,$F$2, $A24, $I$2, $I$3))),IF(C23=C$6,"",C23),_xll.ciqfunctions.udf.CIQ(C$6,$F$2, $A24, $I$2, $I$3)))</f>
        <v>79.81</v>
      </c>
      <c r="D24" s="1033">
        <f>IF(D$6="","",IF(NOT(ISNUMBER(_xll.ciqfunctions.udf.CIQ(D$6,$F$2, $A24, $I$2, $I$3))),IF(D23=D$6,"",D23),_xll.ciqfunctions.udf.CIQ(D$6,$F$2, $A24, $I$2, $I$3)))</f>
        <v>21830.31122</v>
      </c>
      <c r="E24" s="1033">
        <f>IF(E$6="","",IF(NOT(ISNUMBER(_xll.ciqfunctions.udf.CIQ(E$6,$F$2, $A24, $I$2, $I$3))),IF(E23=E$6,"",E23),_xll.ciqfunctions.udf.CIQ(E$6,$F$2, $A24, $I$2, $I$3)))</f>
        <v>7450.82888</v>
      </c>
      <c r="F24" s="1033">
        <f>IF(F$6="","",IF(NOT(ISNUMBER(_xll.ciqfunctions.udf.CIQ(F$6,$F$2, $A24, $I$2, $I$3))),IF(F23=F$6,"",F23),_xll.ciqfunctions.udf.CIQ(F$6,$F$2, $A24, $I$2, $I$3)))</f>
        <v>4284.2503999999999</v>
      </c>
      <c r="G24" s="1033">
        <f>IF(G$6="","",IF(NOT(ISNUMBER(_xll.ciqfunctions.udf.CIQ(G$6,$F$2, $A24, $I$2, $I$3))),IF(G23=G$6,"",G23),_xll.ciqfunctions.udf.CIQ(G$6,$F$2, $A24, $I$2, $I$3)))</f>
        <v>152.88999999999999</v>
      </c>
      <c r="H24" s="1033" t="str">
        <f>IF(H$6="","",IF(NOT(ISNUMBER(_xll.ciqfunctions.udf.CIQ(H$6,$F$2, $A24, $I$2, $I$3))),IF(H23=H$6,"",H23),_xll.ciqfunctions.udf.CIQ(H$6,$F$2, $A24, $I$2, $I$3)))</f>
        <v/>
      </c>
      <c r="I24" s="1033" t="str">
        <f>IF(I$6="","",IF(NOT(ISNUMBER(_xll.ciqfunctions.udf.CIQ(I$6,$F$2, $A24, $I$2, $I$3))),IF(I23=I$6,"",I23),_xll.ciqfunctions.udf.CIQ(I$6,$F$2, $A24, $I$2, $I$3)))</f>
        <v/>
      </c>
      <c r="J24" s="1033" t="str">
        <f>IF(J$6="","",IF(NOT(ISNUMBER(_xll.ciqfunctions.udf.CIQ(J$6,$F$2, $A24, $I$2, $I$3))),IF(J23=J$6,"",J23),_xll.ciqfunctions.udf.CIQ(J$6,$F$2, $A24, $I$2, $I$3)))</f>
        <v/>
      </c>
      <c r="K24" s="1033" t="str">
        <f>IF(K$6="","",IF(NOT(ISNUMBER(_xll.ciqfunctions.udf.CIQ(K$6,$F$2, $A24, $I$2, $I$3))),IF(K23=K$6,"",K23),_xll.ciqfunctions.udf.CIQ(K$6,$F$2, $A24, $I$2, $I$3)))</f>
        <v/>
      </c>
      <c r="L24" s="254" t="str">
        <f>IF(L$6="","",IF(NOT(ISNUMBER(_xll.ciqfunctions.udf.CIQ(L$6,$F$2, $A24, $I$2, $I$3))),IF(L23=L$6,"",L23),_xll.ciqfunctions.udf.CIQ(L$6,$F$2, $A24, $I$2, $I$3)))</f>
        <v/>
      </c>
      <c r="M24" s="254" t="str">
        <f>IF(M$6="","",IF(NOT(ISNUMBER(_xll.ciqfunctions.udf.CIQ(M$6,$F$2, $A24, $I$2, $I$3))),IF(M23=M$6,"",M23),_xll.ciqfunctions.udf.CIQ(M$6,$F$2, $A24, $I$2, $I$3)))</f>
        <v/>
      </c>
      <c r="N24" s="254" t="str">
        <f>IF(N$6="","",IF(NOT(ISNUMBER(_xll.ciqfunctions.udf.CIQ(N$6,$F$2, $A24, $I$2, $I$3))),IF(N23=N$6,"",N23),_xll.ciqfunctions.udf.CIQ(N$6,$F$2, $A24, $I$2, $I$3)))</f>
        <v/>
      </c>
      <c r="O24" s="254" t="str">
        <f>IF(O$6="","",IF(NOT(ISNUMBER(_xll.ciqfunctions.udf.CIQ(O$6,$F$2, $A24, $I$2, $I$3))),IF(O23=O$6,"",O23),_xll.ciqfunctions.udf.CIQ(O$6,$F$2, $A24, $I$2, $I$3)))</f>
        <v/>
      </c>
      <c r="P24" s="254" t="str">
        <f>IF(P$6="","",IF(NOT(ISNUMBER(_xll.ciqfunctions.udf.CIQ(P$6,$F$2, $A24, $I$2, $I$3))),IF(P23=P$6,"",P23),_xll.ciqfunctions.udf.CIQ(P$6,$F$2, $A24, $I$2, $I$3)))</f>
        <v/>
      </c>
      <c r="Q24" s="254"/>
      <c r="R24" s="251">
        <f t="shared" si="16"/>
        <v>42944</v>
      </c>
      <c r="S24" s="255">
        <f t="shared" si="35"/>
        <v>0.10724195338512765</v>
      </c>
      <c r="T24" s="255">
        <f t="shared" si="36"/>
        <v>5.6481521279335256E-2</v>
      </c>
      <c r="U24" s="255">
        <f t="shared" si="37"/>
        <v>4.1226278520345438E-2</v>
      </c>
      <c r="V24" s="255">
        <f t="shared" si="52"/>
        <v>-2.4029866585459136E-2</v>
      </c>
      <c r="W24" s="255">
        <f t="array" ref="W24">IFERROR(AVERAGE(IF(ISERROR(X24:AG24),"",X24:AG24)),"")</f>
        <v>-8.8258095294889483E-2</v>
      </c>
      <c r="X24" s="255">
        <f t="shared" si="53"/>
        <v>-8.8258095294889483E-2</v>
      </c>
      <c r="Y24" s="255" t="e">
        <f t="shared" ref="Y24:Y87" si="54">IF(H24="",NA(),IF(OR($B24="No",H24=""),NA(),IF(AND(ISNA(Y23),H24=Y$3),0,IF($A$2="Yes",H24/H23-1,H24/Y$3-1))))</f>
        <v>#N/A</v>
      </c>
      <c r="Z24" s="255" t="e">
        <f t="shared" ref="Z24:Z87" si="55">IF(I24="",NA(),IF(OR($B24="No",I24=""),NA(),IF(AND(ISNA(Z23),I24=Z$3),0,IF($A$2="Yes",I24/I23-1,I24/Z$3-1))))</f>
        <v>#N/A</v>
      </c>
      <c r="AA24" s="255" t="e">
        <f t="shared" ref="AA24:AA87" si="56">IF(J24="",NA(),IF(OR($B24="No",J24=""),NA(),IF(AND(ISNA(AA23),J24=AA$3),0,IF($A$2="Yes",J24/J23-1,J24/AA$3-1))))</f>
        <v>#N/A</v>
      </c>
      <c r="AB24" s="255" t="e">
        <f t="shared" ref="AB24:AB87" si="57">IF(K24="",NA(),IF(OR($B24="No",K24=""),NA(),IF(AND(ISNA(AB23),K24=AB$3),0,IF($A$2="Yes",K24/K23-1,K24/AB$3-1))))</f>
        <v>#N/A</v>
      </c>
      <c r="AC24" s="255" t="e">
        <f t="shared" ref="AC24:AC87" si="58">IF(L24="",NA(),IF(OR($B24="No",L24=""),NA(),IF(AND(ISNA(AC23),L24=AC$3),0,IF($A$2="Yes",L24/L23-1,L24/AC$3-1))))</f>
        <v>#N/A</v>
      </c>
      <c r="AD24" s="255" t="e">
        <f t="shared" ref="AD24:AD87" si="59">IF(M24="",NA(),IF(OR($B24="No",M24=""),NA(),IF(AND(ISNA(AD23),M24=AD$3),0,IF($A$2="Yes",M24/M23-1,M24/AD$3-1))))</f>
        <v>#N/A</v>
      </c>
      <c r="AE24" s="255" t="e">
        <f t="shared" ref="AE24:AE87" si="60">IF(N24="",NA(),IF(OR($B24="No",N24=""),NA(),IF(AND(ISNA(AE23),N24=AE$3),0,IF($A$2="Yes",N24/N23-1,N24/AE$3-1))))</f>
        <v>#N/A</v>
      </c>
      <c r="AF24" s="255" t="e">
        <f t="shared" ref="AF24:AF87" si="61">IF(O24="",NA(),IF(OR($B24="No",O24=""),NA(),IF(AND(ISNA(AF23),O24=AF$3),0,IF($A$2="Yes",O24/O23-1,O24/AF$3-1))))</f>
        <v>#N/A</v>
      </c>
      <c r="AG24" s="255" t="e">
        <f t="shared" ref="AG24:AG87" si="62">IF(P24="",NA(),IF(OR($B24="No",P24=""),NA(),IF(AND(ISNA(AG23),P24=AG$3),0,IF($A$2="Yes",P24/P23-1,P24/AG$3-1))))</f>
        <v>#N/A</v>
      </c>
      <c r="AI24" s="251">
        <f t="shared" si="27"/>
        <v>42944</v>
      </c>
      <c r="AJ24" s="718">
        <f>IF(OR($B24="No",AJ$6=""),"",IF(NOT(ISNUMBER(_xll.ciqfunctions.udf.CIQ(AJ$6,"IQ_TEV",$AI24,$I$2,$I$3))),"",_xll.ciqfunctions.udf.CIQ(AJ$6,"IQ_TEV",$AI24,$I$2,$I$3)))</f>
        <v>283574.245</v>
      </c>
      <c r="AK24" s="718">
        <f>IF(OR($B24="No",AK$6=""),"",IF(NOT(ISNUMBER(_xll.ciqfunctions.udf.CIQ(AK$6,"IQ_TEV",$AI24,$I$2,$I$3))),"",_xll.ciqfunctions.udf.CIQ(AK$6,"IQ_TEV",$AI24,$I$2,$I$3)))</f>
        <v>65597.025099999999</v>
      </c>
      <c r="AL24" s="718" t="str">
        <f>IF(OR($B24="No",AL$6=""),"",IF(NOT(ISNUMBER(_xll.ciqfunctions.udf.CIQ(AL$6,"IQ_TEV",$AI24,$I$2,$I$3))),"",_xll.ciqfunctions.udf.CIQ(AL$6,"IQ_TEV",$AI24,$I$2,$I$3)))</f>
        <v/>
      </c>
      <c r="AM24" s="718" t="str">
        <f>IF(OR($B24="No",AM$6=""),"",IF(NOT(ISNUMBER(_xll.ciqfunctions.udf.CIQ(AM$6,"IQ_TEV",$AI24,$I$2,$I$3))),"",_xll.ciqfunctions.udf.CIQ(AM$6,"IQ_TEV",$AI24,$I$2,$I$3)))</f>
        <v/>
      </c>
      <c r="AN24" s="718" t="str">
        <f>IF(OR($B24="No",AN$6=""),"",IF(NOT(ISNUMBER(_xll.ciqfunctions.udf.CIQ(AN$6,"IQ_TEV",$AI24,$I$2,$I$3))),"",_xll.ciqfunctions.udf.CIQ(AN$6,"IQ_TEV",$AI24,$I$2,$I$3)))</f>
        <v/>
      </c>
      <c r="AO24" s="718" t="str">
        <f>IF(OR($B24="No",AO$6=""),"",IF(NOT(ISNUMBER(_xll.ciqfunctions.udf.CIQ(AO$6,"IQ_TEV",$AI24,$I$2,$I$3))),"",_xll.ciqfunctions.udf.CIQ(AO$6,"IQ_TEV",$AI24,$I$2,$I$3)))</f>
        <v/>
      </c>
      <c r="AP24" s="718" t="str">
        <f>IF(OR($B24="No",AP$6=""),"",IF(NOT(ISNUMBER(_xll.ciqfunctions.udf.CIQ(AP$6,"IQ_TEV",$AI24,$I$2,$I$3))),"",_xll.ciqfunctions.udf.CIQ(AP$6,"IQ_TEV",$AI24,$I$2,$I$3)))</f>
        <v/>
      </c>
      <c r="AQ24" s="718" t="str">
        <f>IF(OR($B24="No",AQ$6=""),"",IF(NOT(ISNUMBER(_xll.ciqfunctions.udf.CIQ(AQ$6,"IQ_TEV",$AI24,$I$2,$I$3))),"",_xll.ciqfunctions.udf.CIQ(AQ$6,"IQ_TEV",$AI24,$I$2,$I$3)))</f>
        <v/>
      </c>
      <c r="AR24" s="718" t="str">
        <f>IF(OR($B24="No",AR$6=""),"",IF(NOT(ISNUMBER(_xll.ciqfunctions.udf.CIQ(AR$6,"IQ_TEV",$AI24,$I$2,$I$3))),"",_xll.ciqfunctions.udf.CIQ(AR$6,"IQ_TEV",$AI24,$I$2,$I$3)))</f>
        <v/>
      </c>
      <c r="AS24" s="718" t="str">
        <f>IF(OR($B24="No",AS$6=""),"",IF(NOT(ISNUMBER(_xll.ciqfunctions.udf.CIQ(AS$6,"IQ_TEV",$AI24,$I$2,$I$3))),"",_xll.ciqfunctions.udf.CIQ(AS$6,"IQ_TEV",$AI24,$I$2,$I$3)))</f>
        <v/>
      </c>
      <c r="AT24" s="718" t="str">
        <f>IF(OR($B24="No",AT$6=""),"",IF(NOT(ISNUMBER(_xll.ciqfunctions.udf.CIQ(AT$6,"IQ_TEV",$AI24,$I$2,$I$3))),"",_xll.ciqfunctions.udf.CIQ(AT$6,"IQ_TEV",$AI24,$I$2,$I$3)))</f>
        <v/>
      </c>
      <c r="AV24" s="251">
        <f t="shared" si="39"/>
        <v>42944</v>
      </c>
      <c r="AW24" s="719">
        <f t="shared" si="40"/>
        <v>8.6252907205252471E-2</v>
      </c>
      <c r="AX24" s="719">
        <f t="shared" si="41"/>
        <v>-0.10122407104643905</v>
      </c>
      <c r="AY24" s="719" t="e">
        <f t="shared" si="42"/>
        <v>#N/A</v>
      </c>
      <c r="AZ24" s="719" t="e">
        <f t="shared" si="43"/>
        <v>#N/A</v>
      </c>
      <c r="BA24" s="719" t="e">
        <f t="shared" si="44"/>
        <v>#N/A</v>
      </c>
      <c r="BB24" s="719" t="e">
        <f t="shared" si="45"/>
        <v>#N/A</v>
      </c>
      <c r="BC24" s="719" t="e">
        <f t="shared" si="46"/>
        <v>#N/A</v>
      </c>
      <c r="BD24" s="719" t="e">
        <f t="shared" si="47"/>
        <v>#N/A</v>
      </c>
      <c r="BE24" s="719" t="e">
        <f t="shared" si="48"/>
        <v>#N/A</v>
      </c>
      <c r="BF24" s="719" t="e">
        <f t="shared" si="49"/>
        <v>#N/A</v>
      </c>
      <c r="BG24" s="719" t="e">
        <f t="shared" si="50"/>
        <v>#N/A</v>
      </c>
    </row>
    <row r="25" spans="1:59" ht="15" customHeight="1" x14ac:dyDescent="0.2">
      <c r="A25" s="251">
        <f t="shared" si="15"/>
        <v>42951</v>
      </c>
      <c r="B25" s="253" t="str">
        <f t="shared" si="51"/>
        <v>Yes</v>
      </c>
      <c r="C25" s="1033">
        <f>IF(C$6="","",IF(NOT(ISNUMBER(_xll.ciqfunctions.udf.CIQ(C$6,$F$2, $A25, $I$2, $I$3))),IF(C24=C$6,"",C24),_xll.ciqfunctions.udf.CIQ(C$6,$F$2, $A25, $I$2, $I$3)))</f>
        <v>80.48</v>
      </c>
      <c r="D25" s="1033">
        <f>IF(D$6="","",IF(NOT(ISNUMBER(_xll.ciqfunctions.udf.CIQ(D$6,$F$2, $A25, $I$2, $I$3))),IF(D24=D$6,"",D24),_xll.ciqfunctions.udf.CIQ(D$6,$F$2, $A25, $I$2, $I$3)))</f>
        <v>22092.807209999999</v>
      </c>
      <c r="E25" s="1033">
        <f>IF(E$6="","",IF(NOT(ISNUMBER(_xll.ciqfunctions.udf.CIQ(E$6,$F$2, $A25, $I$2, $I$3))),IF(E24=E$6,"",E24),_xll.ciqfunctions.udf.CIQ(E$6,$F$2, $A25, $I$2, $I$3)))</f>
        <v>7525.7713000000003</v>
      </c>
      <c r="F25" s="1033">
        <f>IF(F$6="","",IF(NOT(ISNUMBER(_xll.ciqfunctions.udf.CIQ(F$6,$F$2, $A25, $I$2, $I$3))),IF(F24=F$6,"",F24),_xll.ciqfunctions.udf.CIQ(F$6,$F$2, $A25, $I$2, $I$3)))</f>
        <v>4264.6840300000003</v>
      </c>
      <c r="G25" s="1033">
        <f>IF(G$6="","",IF(NOT(ISNUMBER(_xll.ciqfunctions.udf.CIQ(G$6,$F$2, $A25, $I$2, $I$3))),IF(G24=G$6,"",G24),_xll.ciqfunctions.udf.CIQ(G$6,$F$2, $A25, $I$2, $I$3)))</f>
        <v>156.44</v>
      </c>
      <c r="H25" s="1033" t="str">
        <f>IF(H$6="","",IF(NOT(ISNUMBER(_xll.ciqfunctions.udf.CIQ(H$6,$F$2, $A25, $I$2, $I$3))),IF(H24=H$6,"",H24),_xll.ciqfunctions.udf.CIQ(H$6,$F$2, $A25, $I$2, $I$3)))</f>
        <v/>
      </c>
      <c r="I25" s="1033" t="str">
        <f>IF(I$6="","",IF(NOT(ISNUMBER(_xll.ciqfunctions.udf.CIQ(I$6,$F$2, $A25, $I$2, $I$3))),IF(I24=I$6,"",I24),_xll.ciqfunctions.udf.CIQ(I$6,$F$2, $A25, $I$2, $I$3)))</f>
        <v/>
      </c>
      <c r="J25" s="1033" t="str">
        <f>IF(J$6="","",IF(NOT(ISNUMBER(_xll.ciqfunctions.udf.CIQ(J$6,$F$2, $A25, $I$2, $I$3))),IF(J24=J$6,"",J24),_xll.ciqfunctions.udf.CIQ(J$6,$F$2, $A25, $I$2, $I$3)))</f>
        <v/>
      </c>
      <c r="K25" s="1033" t="str">
        <f>IF(K$6="","",IF(NOT(ISNUMBER(_xll.ciqfunctions.udf.CIQ(K$6,$F$2, $A25, $I$2, $I$3))),IF(K24=K$6,"",K24),_xll.ciqfunctions.udf.CIQ(K$6,$F$2, $A25, $I$2, $I$3)))</f>
        <v/>
      </c>
      <c r="L25" s="254" t="str">
        <f>IF(L$6="","",IF(NOT(ISNUMBER(_xll.ciqfunctions.udf.CIQ(L$6,$F$2, $A25, $I$2, $I$3))),IF(L24=L$6,"",L24),_xll.ciqfunctions.udf.CIQ(L$6,$F$2, $A25, $I$2, $I$3)))</f>
        <v/>
      </c>
      <c r="M25" s="254" t="str">
        <f>IF(M$6="","",IF(NOT(ISNUMBER(_xll.ciqfunctions.udf.CIQ(M$6,$F$2, $A25, $I$2, $I$3))),IF(M24=M$6,"",M24),_xll.ciqfunctions.udf.CIQ(M$6,$F$2, $A25, $I$2, $I$3)))</f>
        <v/>
      </c>
      <c r="N25" s="254" t="str">
        <f>IF(N$6="","",IF(NOT(ISNUMBER(_xll.ciqfunctions.udf.CIQ(N$6,$F$2, $A25, $I$2, $I$3))),IF(N24=N$6,"",N24),_xll.ciqfunctions.udf.CIQ(N$6,$F$2, $A25, $I$2, $I$3)))</f>
        <v/>
      </c>
      <c r="O25" s="254" t="str">
        <f>IF(O$6="","",IF(NOT(ISNUMBER(_xll.ciqfunctions.udf.CIQ(O$6,$F$2, $A25, $I$2, $I$3))),IF(O24=O$6,"",O24),_xll.ciqfunctions.udf.CIQ(O$6,$F$2, $A25, $I$2, $I$3)))</f>
        <v/>
      </c>
      <c r="P25" s="254" t="str">
        <f>IF(P$6="","",IF(NOT(ISNUMBER(_xll.ciqfunctions.udf.CIQ(P$6,$F$2, $A25, $I$2, $I$3))),IF(P24=P$6,"",P24),_xll.ciqfunctions.udf.CIQ(P$6,$F$2, $A25, $I$2, $I$3)))</f>
        <v/>
      </c>
      <c r="Q25" s="254"/>
      <c r="R25" s="251">
        <f t="shared" si="16"/>
        <v>42951</v>
      </c>
      <c r="S25" s="255">
        <f t="shared" si="35"/>
        <v>0.1165371809100999</v>
      </c>
      <c r="T25" s="255">
        <f t="shared" si="36"/>
        <v>6.918505812084641E-2</v>
      </c>
      <c r="U25" s="255">
        <f t="shared" si="37"/>
        <v>5.169920956421481E-2</v>
      </c>
      <c r="V25" s="255">
        <f t="shared" si="52"/>
        <v>-2.8487167386396894E-2</v>
      </c>
      <c r="W25" s="255">
        <f t="array" ref="W25">IFERROR(AVERAGE(IF(ISERROR(X25:AG25),"",X25:AG25)),"")</f>
        <v>-6.7088079193750372E-2</v>
      </c>
      <c r="X25" s="255">
        <f t="shared" si="53"/>
        <v>-6.7088079193750372E-2</v>
      </c>
      <c r="Y25" s="255" t="e">
        <f t="shared" si="54"/>
        <v>#N/A</v>
      </c>
      <c r="Z25" s="255" t="e">
        <f t="shared" si="55"/>
        <v>#N/A</v>
      </c>
      <c r="AA25" s="255" t="e">
        <f t="shared" si="56"/>
        <v>#N/A</v>
      </c>
      <c r="AB25" s="255" t="e">
        <f t="shared" si="57"/>
        <v>#N/A</v>
      </c>
      <c r="AC25" s="255" t="e">
        <f t="shared" si="58"/>
        <v>#N/A</v>
      </c>
      <c r="AD25" s="255" t="e">
        <f t="shared" si="59"/>
        <v>#N/A</v>
      </c>
      <c r="AE25" s="255" t="e">
        <f t="shared" si="60"/>
        <v>#N/A</v>
      </c>
      <c r="AF25" s="255" t="e">
        <f t="shared" si="61"/>
        <v>#N/A</v>
      </c>
      <c r="AG25" s="255" t="e">
        <f t="shared" si="62"/>
        <v>#N/A</v>
      </c>
      <c r="AI25" s="251">
        <f t="shared" si="27"/>
        <v>42951</v>
      </c>
      <c r="AJ25" s="718">
        <f>IF(OR($B25="No",AJ$6=""),"",IF(NOT(ISNUMBER(_xll.ciqfunctions.udf.CIQ(AJ$6,"IQ_TEV",$AI25,$I$2,$I$3))),"",_xll.ciqfunctions.udf.CIQ(AJ$6,"IQ_TEV",$AI25,$I$2,$I$3)))</f>
        <v>285593.96000000002</v>
      </c>
      <c r="AK25" s="718">
        <f>IF(OR($B25="No",AK$6=""),"",IF(NOT(ISNUMBER(_xll.ciqfunctions.udf.CIQ(AK$6,"IQ_TEV",$AI25,$I$2,$I$3))),"",_xll.ciqfunctions.udf.CIQ(AK$6,"IQ_TEV",$AI25,$I$2,$I$3)))</f>
        <v>67154.0196</v>
      </c>
      <c r="AL25" s="718" t="str">
        <f>IF(OR($B25="No",AL$6=""),"",IF(NOT(ISNUMBER(_xll.ciqfunctions.udf.CIQ(AL$6,"IQ_TEV",$AI25,$I$2,$I$3))),"",_xll.ciqfunctions.udf.CIQ(AL$6,"IQ_TEV",$AI25,$I$2,$I$3)))</f>
        <v/>
      </c>
      <c r="AM25" s="718" t="str">
        <f>IF(OR($B25="No",AM$6=""),"",IF(NOT(ISNUMBER(_xll.ciqfunctions.udf.CIQ(AM$6,"IQ_TEV",$AI25,$I$2,$I$3))),"",_xll.ciqfunctions.udf.CIQ(AM$6,"IQ_TEV",$AI25,$I$2,$I$3)))</f>
        <v/>
      </c>
      <c r="AN25" s="718" t="str">
        <f>IF(OR($B25="No",AN$6=""),"",IF(NOT(ISNUMBER(_xll.ciqfunctions.udf.CIQ(AN$6,"IQ_TEV",$AI25,$I$2,$I$3))),"",_xll.ciqfunctions.udf.CIQ(AN$6,"IQ_TEV",$AI25,$I$2,$I$3)))</f>
        <v/>
      </c>
      <c r="AO25" s="718" t="str">
        <f>IF(OR($B25="No",AO$6=""),"",IF(NOT(ISNUMBER(_xll.ciqfunctions.udf.CIQ(AO$6,"IQ_TEV",$AI25,$I$2,$I$3))),"",_xll.ciqfunctions.udf.CIQ(AO$6,"IQ_TEV",$AI25,$I$2,$I$3)))</f>
        <v/>
      </c>
      <c r="AP25" s="718" t="str">
        <f>IF(OR($B25="No",AP$6=""),"",IF(NOT(ISNUMBER(_xll.ciqfunctions.udf.CIQ(AP$6,"IQ_TEV",$AI25,$I$2,$I$3))),"",_xll.ciqfunctions.udf.CIQ(AP$6,"IQ_TEV",$AI25,$I$2,$I$3)))</f>
        <v/>
      </c>
      <c r="AQ25" s="718" t="str">
        <f>IF(OR($B25="No",AQ$6=""),"",IF(NOT(ISNUMBER(_xll.ciqfunctions.udf.CIQ(AQ$6,"IQ_TEV",$AI25,$I$2,$I$3))),"",_xll.ciqfunctions.udf.CIQ(AQ$6,"IQ_TEV",$AI25,$I$2,$I$3)))</f>
        <v/>
      </c>
      <c r="AR25" s="718" t="str">
        <f>IF(OR($B25="No",AR$6=""),"",IF(NOT(ISNUMBER(_xll.ciqfunctions.udf.CIQ(AR$6,"IQ_TEV",$AI25,$I$2,$I$3))),"",_xll.ciqfunctions.udf.CIQ(AR$6,"IQ_TEV",$AI25,$I$2,$I$3)))</f>
        <v/>
      </c>
      <c r="AS25" s="718" t="str">
        <f>IF(OR($B25="No",AS$6=""),"",IF(NOT(ISNUMBER(_xll.ciqfunctions.udf.CIQ(AS$6,"IQ_TEV",$AI25,$I$2,$I$3))),"",_xll.ciqfunctions.udf.CIQ(AS$6,"IQ_TEV",$AI25,$I$2,$I$3)))</f>
        <v/>
      </c>
      <c r="AT25" s="718" t="str">
        <f>IF(OR($B25="No",AT$6=""),"",IF(NOT(ISNUMBER(_xll.ciqfunctions.udf.CIQ(AT$6,"IQ_TEV",$AI25,$I$2,$I$3))),"",_xll.ciqfunctions.udf.CIQ(AT$6,"IQ_TEV",$AI25,$I$2,$I$3)))</f>
        <v/>
      </c>
      <c r="AV25" s="251">
        <f t="shared" si="39"/>
        <v>42951</v>
      </c>
      <c r="AW25" s="719">
        <f t="shared" si="40"/>
        <v>9.3989580507428006E-2</v>
      </c>
      <c r="AX25" s="719">
        <f t="shared" si="41"/>
        <v>-7.9890951503597374E-2</v>
      </c>
      <c r="AY25" s="719" t="e">
        <f t="shared" si="42"/>
        <v>#N/A</v>
      </c>
      <c r="AZ25" s="719" t="e">
        <f t="shared" si="43"/>
        <v>#N/A</v>
      </c>
      <c r="BA25" s="719" t="e">
        <f t="shared" si="44"/>
        <v>#N/A</v>
      </c>
      <c r="BB25" s="719" t="e">
        <f t="shared" si="45"/>
        <v>#N/A</v>
      </c>
      <c r="BC25" s="719" t="e">
        <f t="shared" si="46"/>
        <v>#N/A</v>
      </c>
      <c r="BD25" s="719" t="e">
        <f t="shared" si="47"/>
        <v>#N/A</v>
      </c>
      <c r="BE25" s="719" t="e">
        <f t="shared" si="48"/>
        <v>#N/A</v>
      </c>
      <c r="BF25" s="719" t="e">
        <f t="shared" si="49"/>
        <v>#N/A</v>
      </c>
      <c r="BG25" s="719" t="e">
        <f t="shared" si="50"/>
        <v>#N/A</v>
      </c>
    </row>
    <row r="26" spans="1:59" ht="15" customHeight="1" x14ac:dyDescent="0.2">
      <c r="A26" s="251">
        <f t="shared" si="15"/>
        <v>42958</v>
      </c>
      <c r="B26" s="253" t="str">
        <f t="shared" si="51"/>
        <v>Yes</v>
      </c>
      <c r="C26" s="1033">
        <f>IF(C$6="","",IF(NOT(ISNUMBER(_xll.ciqfunctions.udf.CIQ(C$6,$F$2, $A26, $I$2, $I$3))),IF(C25=C$6,"",C25),_xll.ciqfunctions.udf.CIQ(C$6,$F$2, $A26, $I$2, $I$3)))</f>
        <v>80.400000000000006</v>
      </c>
      <c r="D26" s="1033">
        <f>IF(D$6="","",IF(NOT(ISNUMBER(_xll.ciqfunctions.udf.CIQ(D$6,$F$2, $A26, $I$2, $I$3))),IF(D25=D$6,"",D25),_xll.ciqfunctions.udf.CIQ(D$6,$F$2, $A26, $I$2, $I$3)))</f>
        <v>21858.32084</v>
      </c>
      <c r="E26" s="1033">
        <f>IF(E$6="","",IF(NOT(ISNUMBER(_xll.ciqfunctions.udf.CIQ(E$6,$F$2, $A26, $I$2, $I$3))),IF(E25=E$6,"",E25),_xll.ciqfunctions.udf.CIQ(E$6,$F$2, $A26, $I$2, $I$3)))</f>
        <v>7460.8565699999999</v>
      </c>
      <c r="F26" s="1033">
        <f>IF(F$6="","",IF(NOT(ISNUMBER(_xll.ciqfunctions.udf.CIQ(F$6,$F$2, $A26, $I$2, $I$3))),IF(F25=F$6,"",F25),_xll.ciqfunctions.udf.CIQ(F$6,$F$2, $A26, $I$2, $I$3)))</f>
        <v>4112.3521000000001</v>
      </c>
      <c r="G26" s="1033">
        <f>IF(G$6="","",IF(NOT(ISNUMBER(_xll.ciqfunctions.udf.CIQ(G$6,$F$2, $A26, $I$2, $I$3))),IF(G25=G$6,"",G25),_xll.ciqfunctions.udf.CIQ(G$6,$F$2, $A26, $I$2, $I$3)))</f>
        <v>156.65</v>
      </c>
      <c r="H26" s="1033" t="str">
        <f>IF(H$6="","",IF(NOT(ISNUMBER(_xll.ciqfunctions.udf.CIQ(H$6,$F$2, $A26, $I$2, $I$3))),IF(H25=H$6,"",H25),_xll.ciqfunctions.udf.CIQ(H$6,$F$2, $A26, $I$2, $I$3)))</f>
        <v/>
      </c>
      <c r="I26" s="1033" t="str">
        <f>IF(I$6="","",IF(NOT(ISNUMBER(_xll.ciqfunctions.udf.CIQ(I$6,$F$2, $A26, $I$2, $I$3))),IF(I25=I$6,"",I25),_xll.ciqfunctions.udf.CIQ(I$6,$F$2, $A26, $I$2, $I$3)))</f>
        <v/>
      </c>
      <c r="J26" s="1033" t="str">
        <f>IF(J$6="","",IF(NOT(ISNUMBER(_xll.ciqfunctions.udf.CIQ(J$6,$F$2, $A26, $I$2, $I$3))),IF(J25=J$6,"",J25),_xll.ciqfunctions.udf.CIQ(J$6,$F$2, $A26, $I$2, $I$3)))</f>
        <v/>
      </c>
      <c r="K26" s="1033" t="str">
        <f>IF(K$6="","",IF(NOT(ISNUMBER(_xll.ciqfunctions.udf.CIQ(K$6,$F$2, $A26, $I$2, $I$3))),IF(K25=K$6,"",K25),_xll.ciqfunctions.udf.CIQ(K$6,$F$2, $A26, $I$2, $I$3)))</f>
        <v/>
      </c>
      <c r="L26" s="254" t="str">
        <f>IF(L$6="","",IF(NOT(ISNUMBER(_xll.ciqfunctions.udf.CIQ(L$6,$F$2, $A26, $I$2, $I$3))),IF(L25=L$6,"",L25),_xll.ciqfunctions.udf.CIQ(L$6,$F$2, $A26, $I$2, $I$3)))</f>
        <v/>
      </c>
      <c r="M26" s="254" t="str">
        <f>IF(M$6="","",IF(NOT(ISNUMBER(_xll.ciqfunctions.udf.CIQ(M$6,$F$2, $A26, $I$2, $I$3))),IF(M25=M$6,"",M25),_xll.ciqfunctions.udf.CIQ(M$6,$F$2, $A26, $I$2, $I$3)))</f>
        <v/>
      </c>
      <c r="N26" s="254" t="str">
        <f>IF(N$6="","",IF(NOT(ISNUMBER(_xll.ciqfunctions.udf.CIQ(N$6,$F$2, $A26, $I$2, $I$3))),IF(N25=N$6,"",N25),_xll.ciqfunctions.udf.CIQ(N$6,$F$2, $A26, $I$2, $I$3)))</f>
        <v/>
      </c>
      <c r="O26" s="254" t="str">
        <f>IF(O$6="","",IF(NOT(ISNUMBER(_xll.ciqfunctions.udf.CIQ(O$6,$F$2, $A26, $I$2, $I$3))),IF(O25=O$6,"",O25),_xll.ciqfunctions.udf.CIQ(O$6,$F$2, $A26, $I$2, $I$3)))</f>
        <v/>
      </c>
      <c r="P26" s="254" t="str">
        <f>IF(P$6="","",IF(NOT(ISNUMBER(_xll.ciqfunctions.udf.CIQ(P$6,$F$2, $A26, $I$2, $I$3))),IF(P25=P$6,"",P25),_xll.ciqfunctions.udf.CIQ(P$6,$F$2, $A26, $I$2, $I$3)))</f>
        <v/>
      </c>
      <c r="Q26" s="254"/>
      <c r="R26" s="251">
        <f t="shared" si="16"/>
        <v>42958</v>
      </c>
      <c r="S26" s="255">
        <f t="shared" si="35"/>
        <v>0.11542730299667037</v>
      </c>
      <c r="T26" s="255">
        <f t="shared" si="36"/>
        <v>5.7837051470812639E-2</v>
      </c>
      <c r="U26" s="255">
        <f t="shared" si="37"/>
        <v>4.2627611782592778E-2</v>
      </c>
      <c r="V26" s="255">
        <f t="shared" si="52"/>
        <v>-6.3189017223510668E-2</v>
      </c>
      <c r="W26" s="255">
        <f t="array" ref="W26">IFERROR(AVERAGE(IF(ISERROR(X26:AG26),"",X26:AG26)),"")</f>
        <v>-6.5835768382133675E-2</v>
      </c>
      <c r="X26" s="255">
        <f t="shared" si="53"/>
        <v>-6.5835768382133675E-2</v>
      </c>
      <c r="Y26" s="255" t="e">
        <f t="shared" si="54"/>
        <v>#N/A</v>
      </c>
      <c r="Z26" s="255" t="e">
        <f t="shared" si="55"/>
        <v>#N/A</v>
      </c>
      <c r="AA26" s="255" t="e">
        <f t="shared" si="56"/>
        <v>#N/A</v>
      </c>
      <c r="AB26" s="255" t="e">
        <f t="shared" si="57"/>
        <v>#N/A</v>
      </c>
      <c r="AC26" s="255" t="e">
        <f t="shared" si="58"/>
        <v>#N/A</v>
      </c>
      <c r="AD26" s="255" t="e">
        <f t="shared" si="59"/>
        <v>#N/A</v>
      </c>
      <c r="AE26" s="255" t="e">
        <f t="shared" si="60"/>
        <v>#N/A</v>
      </c>
      <c r="AF26" s="255" t="e">
        <f t="shared" si="61"/>
        <v>#N/A</v>
      </c>
      <c r="AG26" s="255" t="e">
        <f t="shared" si="62"/>
        <v>#N/A</v>
      </c>
      <c r="AI26" s="251">
        <f t="shared" si="27"/>
        <v>42958</v>
      </c>
      <c r="AJ26" s="718">
        <f>IF(OR($B26="No",AJ$6=""),"",IF(NOT(ISNUMBER(_xll.ciqfunctions.udf.CIQ(AJ$6,"IQ_TEV",$AI26,$I$2,$I$3))),"",_xll.ciqfunctions.udf.CIQ(AJ$6,"IQ_TEV",$AI26,$I$2,$I$3)))</f>
        <v>285352.8</v>
      </c>
      <c r="AK26" s="718">
        <f>IF(OR($B26="No",AK$6=""),"",IF(NOT(ISNUMBER(_xll.ciqfunctions.udf.CIQ(AK$6,"IQ_TEV",$AI26,$I$2,$I$3))),"",_xll.ciqfunctions.udf.CIQ(AK$6,"IQ_TEV",$AI26,$I$2,$I$3)))</f>
        <v>67246.123500000002</v>
      </c>
      <c r="AL26" s="718" t="str">
        <f>IF(OR($B26="No",AL$6=""),"",IF(NOT(ISNUMBER(_xll.ciqfunctions.udf.CIQ(AL$6,"IQ_TEV",$AI26,$I$2,$I$3))),"",_xll.ciqfunctions.udf.CIQ(AL$6,"IQ_TEV",$AI26,$I$2,$I$3)))</f>
        <v/>
      </c>
      <c r="AM26" s="718" t="str">
        <f>IF(OR($B26="No",AM$6=""),"",IF(NOT(ISNUMBER(_xll.ciqfunctions.udf.CIQ(AM$6,"IQ_TEV",$AI26,$I$2,$I$3))),"",_xll.ciqfunctions.udf.CIQ(AM$6,"IQ_TEV",$AI26,$I$2,$I$3)))</f>
        <v/>
      </c>
      <c r="AN26" s="718" t="str">
        <f>IF(OR($B26="No",AN$6=""),"",IF(NOT(ISNUMBER(_xll.ciqfunctions.udf.CIQ(AN$6,"IQ_TEV",$AI26,$I$2,$I$3))),"",_xll.ciqfunctions.udf.CIQ(AN$6,"IQ_TEV",$AI26,$I$2,$I$3)))</f>
        <v/>
      </c>
      <c r="AO26" s="718" t="str">
        <f>IF(OR($B26="No",AO$6=""),"",IF(NOT(ISNUMBER(_xll.ciqfunctions.udf.CIQ(AO$6,"IQ_TEV",$AI26,$I$2,$I$3))),"",_xll.ciqfunctions.udf.CIQ(AO$6,"IQ_TEV",$AI26,$I$2,$I$3)))</f>
        <v/>
      </c>
      <c r="AP26" s="718" t="str">
        <f>IF(OR($B26="No",AP$6=""),"",IF(NOT(ISNUMBER(_xll.ciqfunctions.udf.CIQ(AP$6,"IQ_TEV",$AI26,$I$2,$I$3))),"",_xll.ciqfunctions.udf.CIQ(AP$6,"IQ_TEV",$AI26,$I$2,$I$3)))</f>
        <v/>
      </c>
      <c r="AQ26" s="718" t="str">
        <f>IF(OR($B26="No",AQ$6=""),"",IF(NOT(ISNUMBER(_xll.ciqfunctions.udf.CIQ(AQ$6,"IQ_TEV",$AI26,$I$2,$I$3))),"",_xll.ciqfunctions.udf.CIQ(AQ$6,"IQ_TEV",$AI26,$I$2,$I$3)))</f>
        <v/>
      </c>
      <c r="AR26" s="718" t="str">
        <f>IF(OR($B26="No",AR$6=""),"",IF(NOT(ISNUMBER(_xll.ciqfunctions.udf.CIQ(AR$6,"IQ_TEV",$AI26,$I$2,$I$3))),"",_xll.ciqfunctions.udf.CIQ(AR$6,"IQ_TEV",$AI26,$I$2,$I$3)))</f>
        <v/>
      </c>
      <c r="AS26" s="718" t="str">
        <f>IF(OR($B26="No",AS$6=""),"",IF(NOT(ISNUMBER(_xll.ciqfunctions.udf.CIQ(AS$6,"IQ_TEV",$AI26,$I$2,$I$3))),"",_xll.ciqfunctions.udf.CIQ(AS$6,"IQ_TEV",$AI26,$I$2,$I$3)))</f>
        <v/>
      </c>
      <c r="AT26" s="718" t="str">
        <f>IF(OR($B26="No",AT$6=""),"",IF(NOT(ISNUMBER(_xll.ciqfunctions.udf.CIQ(AT$6,"IQ_TEV",$AI26,$I$2,$I$3))),"",_xll.ciqfunctions.udf.CIQ(AT$6,"IQ_TEV",$AI26,$I$2,$I$3)))</f>
        <v/>
      </c>
      <c r="AV26" s="251">
        <f t="shared" si="39"/>
        <v>42958</v>
      </c>
      <c r="AW26" s="719">
        <f t="shared" si="40"/>
        <v>9.3065798620600937E-2</v>
      </c>
      <c r="AX26" s="719">
        <f t="shared" si="41"/>
        <v>-7.8628992319372926E-2</v>
      </c>
      <c r="AY26" s="719" t="e">
        <f t="shared" si="42"/>
        <v>#N/A</v>
      </c>
      <c r="AZ26" s="719" t="e">
        <f t="shared" si="43"/>
        <v>#N/A</v>
      </c>
      <c r="BA26" s="719" t="e">
        <f t="shared" si="44"/>
        <v>#N/A</v>
      </c>
      <c r="BB26" s="719" t="e">
        <f t="shared" si="45"/>
        <v>#N/A</v>
      </c>
      <c r="BC26" s="719" t="e">
        <f t="shared" si="46"/>
        <v>#N/A</v>
      </c>
      <c r="BD26" s="719" t="e">
        <f t="shared" si="47"/>
        <v>#N/A</v>
      </c>
      <c r="BE26" s="719" t="e">
        <f t="shared" si="48"/>
        <v>#N/A</v>
      </c>
      <c r="BF26" s="719" t="e">
        <f t="shared" si="49"/>
        <v>#N/A</v>
      </c>
      <c r="BG26" s="719" t="e">
        <f t="shared" si="50"/>
        <v>#N/A</v>
      </c>
    </row>
    <row r="27" spans="1:59" ht="15" customHeight="1" x14ac:dyDescent="0.2">
      <c r="A27" s="251">
        <f t="shared" si="15"/>
        <v>42965</v>
      </c>
      <c r="B27" s="253" t="str">
        <f t="shared" si="51"/>
        <v>Yes</v>
      </c>
      <c r="C27" s="1033">
        <f>IF(C$6="","",IF(NOT(ISNUMBER(_xll.ciqfunctions.udf.CIQ(C$6,$F$2, $A27, $I$2, $I$3))),IF(C26=C$6,"",C26),_xll.ciqfunctions.udf.CIQ(C$6,$F$2, $A27, $I$2, $I$3)))</f>
        <v>79.31</v>
      </c>
      <c r="D27" s="1033">
        <f>IF(D$6="","",IF(NOT(ISNUMBER(_xll.ciqfunctions.udf.CIQ(D$6,$F$2, $A27, $I$2, $I$3))),IF(D26=D$6,"",D26),_xll.ciqfunctions.udf.CIQ(D$6,$F$2, $A27, $I$2, $I$3)))</f>
        <v>21674.512009999999</v>
      </c>
      <c r="E27" s="1033">
        <f>IF(E$6="","",IF(NOT(ISNUMBER(_xll.ciqfunctions.udf.CIQ(E$6,$F$2, $A27, $I$2, $I$3))),IF(E26=E$6,"",E26),_xll.ciqfunctions.udf.CIQ(E$6,$F$2, $A27, $I$2, $I$3)))</f>
        <v>7415.9574400000001</v>
      </c>
      <c r="F27" s="1033">
        <f>IF(F$6="","",IF(NOT(ISNUMBER(_xll.ciqfunctions.udf.CIQ(F$6,$F$2, $A27, $I$2, $I$3))),IF(F26=F$6,"",F26),_xll.ciqfunctions.udf.CIQ(F$6,$F$2, $A27, $I$2, $I$3)))</f>
        <v>3954.85025</v>
      </c>
      <c r="G27" s="1033">
        <f>IF(G$6="","",IF(NOT(ISNUMBER(_xll.ciqfunctions.udf.CIQ(G$6,$F$2, $A27, $I$2, $I$3))),IF(G26=G$6,"",G26),_xll.ciqfunctions.udf.CIQ(G$6,$F$2, $A27, $I$2, $I$3)))</f>
        <v>157.08000000000001</v>
      </c>
      <c r="H27" s="1033" t="str">
        <f>IF(H$6="","",IF(NOT(ISNUMBER(_xll.ciqfunctions.udf.CIQ(H$6,$F$2, $A27, $I$2, $I$3))),IF(H26=H$6,"",H26),_xll.ciqfunctions.udf.CIQ(H$6,$F$2, $A27, $I$2, $I$3)))</f>
        <v/>
      </c>
      <c r="I27" s="1033" t="str">
        <f>IF(I$6="","",IF(NOT(ISNUMBER(_xll.ciqfunctions.udf.CIQ(I$6,$F$2, $A27, $I$2, $I$3))),IF(I26=I$6,"",I26),_xll.ciqfunctions.udf.CIQ(I$6,$F$2, $A27, $I$2, $I$3)))</f>
        <v/>
      </c>
      <c r="J27" s="1033" t="str">
        <f>IF(J$6="","",IF(NOT(ISNUMBER(_xll.ciqfunctions.udf.CIQ(J$6,$F$2, $A27, $I$2, $I$3))),IF(J26=J$6,"",J26),_xll.ciqfunctions.udf.CIQ(J$6,$F$2, $A27, $I$2, $I$3)))</f>
        <v/>
      </c>
      <c r="K27" s="1033" t="str">
        <f>IF(K$6="","",IF(NOT(ISNUMBER(_xll.ciqfunctions.udf.CIQ(K$6,$F$2, $A27, $I$2, $I$3))),IF(K26=K$6,"",K26),_xll.ciqfunctions.udf.CIQ(K$6,$F$2, $A27, $I$2, $I$3)))</f>
        <v/>
      </c>
      <c r="L27" s="254" t="str">
        <f>IF(L$6="","",IF(NOT(ISNUMBER(_xll.ciqfunctions.udf.CIQ(L$6,$F$2, $A27, $I$2, $I$3))),IF(L26=L$6,"",L26),_xll.ciqfunctions.udf.CIQ(L$6,$F$2, $A27, $I$2, $I$3)))</f>
        <v/>
      </c>
      <c r="M27" s="254" t="str">
        <f>IF(M$6="","",IF(NOT(ISNUMBER(_xll.ciqfunctions.udf.CIQ(M$6,$F$2, $A27, $I$2, $I$3))),IF(M26=M$6,"",M26),_xll.ciqfunctions.udf.CIQ(M$6,$F$2, $A27, $I$2, $I$3)))</f>
        <v/>
      </c>
      <c r="N27" s="254" t="str">
        <f>IF(N$6="","",IF(NOT(ISNUMBER(_xll.ciqfunctions.udf.CIQ(N$6,$F$2, $A27, $I$2, $I$3))),IF(N26=N$6,"",N26),_xll.ciqfunctions.udf.CIQ(N$6,$F$2, $A27, $I$2, $I$3)))</f>
        <v/>
      </c>
      <c r="O27" s="254" t="str">
        <f>IF(O$6="","",IF(NOT(ISNUMBER(_xll.ciqfunctions.udf.CIQ(O$6,$F$2, $A27, $I$2, $I$3))),IF(O26=O$6,"",O26),_xll.ciqfunctions.udf.CIQ(O$6,$F$2, $A27, $I$2, $I$3)))</f>
        <v/>
      </c>
      <c r="P27" s="254" t="str">
        <f>IF(P$6="","",IF(NOT(ISNUMBER(_xll.ciqfunctions.udf.CIQ(P$6,$F$2, $A27, $I$2, $I$3))),IF(P26=P$6,"",P26),_xll.ciqfunctions.udf.CIQ(P$6,$F$2, $A27, $I$2, $I$3)))</f>
        <v/>
      </c>
      <c r="Q27" s="254"/>
      <c r="R27" s="251">
        <f t="shared" si="16"/>
        <v>42965</v>
      </c>
      <c r="S27" s="255">
        <f t="shared" si="35"/>
        <v>0.10030521642619328</v>
      </c>
      <c r="T27" s="255">
        <f t="shared" si="36"/>
        <v>4.8941592748947604E-2</v>
      </c>
      <c r="U27" s="255">
        <f t="shared" si="37"/>
        <v>3.635312141492486E-2</v>
      </c>
      <c r="V27" s="255">
        <f t="shared" si="52"/>
        <v>-9.9068596427736799E-2</v>
      </c>
      <c r="W27" s="255">
        <f t="array" ref="W27">IFERROR(AVERAGE(IF(ISERROR(X27:AG27),"",X27:AG27)),"")</f>
        <v>-6.3271512910728078E-2</v>
      </c>
      <c r="X27" s="255">
        <f t="shared" si="53"/>
        <v>-6.3271512910728078E-2</v>
      </c>
      <c r="Y27" s="255" t="e">
        <f t="shared" si="54"/>
        <v>#N/A</v>
      </c>
      <c r="Z27" s="255" t="e">
        <f t="shared" si="55"/>
        <v>#N/A</v>
      </c>
      <c r="AA27" s="255" t="e">
        <f t="shared" si="56"/>
        <v>#N/A</v>
      </c>
      <c r="AB27" s="255" t="e">
        <f t="shared" si="57"/>
        <v>#N/A</v>
      </c>
      <c r="AC27" s="255" t="e">
        <f t="shared" si="58"/>
        <v>#N/A</v>
      </c>
      <c r="AD27" s="255" t="e">
        <f t="shared" si="59"/>
        <v>#N/A</v>
      </c>
      <c r="AE27" s="255" t="e">
        <f t="shared" si="60"/>
        <v>#N/A</v>
      </c>
      <c r="AF27" s="255" t="e">
        <f t="shared" si="61"/>
        <v>#N/A</v>
      </c>
      <c r="AG27" s="255" t="e">
        <f t="shared" si="62"/>
        <v>#N/A</v>
      </c>
      <c r="AI27" s="251">
        <f t="shared" si="27"/>
        <v>42965</v>
      </c>
      <c r="AJ27" s="718">
        <f>IF(OR($B27="No",AJ$6=""),"",IF(NOT(ISNUMBER(_xll.ciqfunctions.udf.CIQ(AJ$6,"IQ_TEV",$AI27,$I$2,$I$3))),"",_xll.ciqfunctions.udf.CIQ(AJ$6,"IQ_TEV",$AI27,$I$2,$I$3)))</f>
        <v>282910.995</v>
      </c>
      <c r="AK27" s="718">
        <f>IF(OR($B27="No",AK$6=""),"",IF(NOT(ISNUMBER(_xll.ciqfunctions.udf.CIQ(AK$6,"IQ_TEV",$AI27,$I$2,$I$3))),"",_xll.ciqfunctions.udf.CIQ(AK$6,"IQ_TEV",$AI27,$I$2,$I$3)))</f>
        <v>67434.717199999999</v>
      </c>
      <c r="AL27" s="718" t="str">
        <f>IF(OR($B27="No",AL$6=""),"",IF(NOT(ISNUMBER(_xll.ciqfunctions.udf.CIQ(AL$6,"IQ_TEV",$AI27,$I$2,$I$3))),"",_xll.ciqfunctions.udf.CIQ(AL$6,"IQ_TEV",$AI27,$I$2,$I$3)))</f>
        <v/>
      </c>
      <c r="AM27" s="718" t="str">
        <f>IF(OR($B27="No",AM$6=""),"",IF(NOT(ISNUMBER(_xll.ciqfunctions.udf.CIQ(AM$6,"IQ_TEV",$AI27,$I$2,$I$3))),"",_xll.ciqfunctions.udf.CIQ(AM$6,"IQ_TEV",$AI27,$I$2,$I$3)))</f>
        <v/>
      </c>
      <c r="AN27" s="718" t="str">
        <f>IF(OR($B27="No",AN$6=""),"",IF(NOT(ISNUMBER(_xll.ciqfunctions.udf.CIQ(AN$6,"IQ_TEV",$AI27,$I$2,$I$3))),"",_xll.ciqfunctions.udf.CIQ(AN$6,"IQ_TEV",$AI27,$I$2,$I$3)))</f>
        <v/>
      </c>
      <c r="AO27" s="718" t="str">
        <f>IF(OR($B27="No",AO$6=""),"",IF(NOT(ISNUMBER(_xll.ciqfunctions.udf.CIQ(AO$6,"IQ_TEV",$AI27,$I$2,$I$3))),"",_xll.ciqfunctions.udf.CIQ(AO$6,"IQ_TEV",$AI27,$I$2,$I$3)))</f>
        <v/>
      </c>
      <c r="AP27" s="718" t="str">
        <f>IF(OR($B27="No",AP$6=""),"",IF(NOT(ISNUMBER(_xll.ciqfunctions.udf.CIQ(AP$6,"IQ_TEV",$AI27,$I$2,$I$3))),"",_xll.ciqfunctions.udf.CIQ(AP$6,"IQ_TEV",$AI27,$I$2,$I$3)))</f>
        <v/>
      </c>
      <c r="AQ27" s="718" t="str">
        <f>IF(OR($B27="No",AQ$6=""),"",IF(NOT(ISNUMBER(_xll.ciqfunctions.udf.CIQ(AQ$6,"IQ_TEV",$AI27,$I$2,$I$3))),"",_xll.ciqfunctions.udf.CIQ(AQ$6,"IQ_TEV",$AI27,$I$2,$I$3)))</f>
        <v/>
      </c>
      <c r="AR27" s="718" t="str">
        <f>IF(OR($B27="No",AR$6=""),"",IF(NOT(ISNUMBER(_xll.ciqfunctions.udf.CIQ(AR$6,"IQ_TEV",$AI27,$I$2,$I$3))),"",_xll.ciqfunctions.udf.CIQ(AR$6,"IQ_TEV",$AI27,$I$2,$I$3)))</f>
        <v/>
      </c>
      <c r="AS27" s="718" t="str">
        <f>IF(OR($B27="No",AS$6=""),"",IF(NOT(ISNUMBER(_xll.ciqfunctions.udf.CIQ(AS$6,"IQ_TEV",$AI27,$I$2,$I$3))),"",_xll.ciqfunctions.udf.CIQ(AS$6,"IQ_TEV",$AI27,$I$2,$I$3)))</f>
        <v/>
      </c>
      <c r="AT27" s="718" t="str">
        <f>IF(OR($B27="No",AT$6=""),"",IF(NOT(ISNUMBER(_xll.ciqfunctions.udf.CIQ(AT$6,"IQ_TEV",$AI27,$I$2,$I$3))),"",_xll.ciqfunctions.udf.CIQ(AT$6,"IQ_TEV",$AI27,$I$2,$I$3)))</f>
        <v/>
      </c>
      <c r="AV27" s="251">
        <f t="shared" si="39"/>
        <v>42965</v>
      </c>
      <c r="AW27" s="719">
        <f t="shared" si="40"/>
        <v>8.3712277181873906E-2</v>
      </c>
      <c r="AX27" s="719">
        <f t="shared" si="41"/>
        <v>-7.6044980656437167E-2</v>
      </c>
      <c r="AY27" s="719" t="e">
        <f t="shared" si="42"/>
        <v>#N/A</v>
      </c>
      <c r="AZ27" s="719" t="e">
        <f t="shared" si="43"/>
        <v>#N/A</v>
      </c>
      <c r="BA27" s="719" t="e">
        <f t="shared" si="44"/>
        <v>#N/A</v>
      </c>
      <c r="BB27" s="719" t="e">
        <f t="shared" si="45"/>
        <v>#N/A</v>
      </c>
      <c r="BC27" s="719" t="e">
        <f t="shared" si="46"/>
        <v>#N/A</v>
      </c>
      <c r="BD27" s="719" t="e">
        <f t="shared" si="47"/>
        <v>#N/A</v>
      </c>
      <c r="BE27" s="719" t="e">
        <f t="shared" si="48"/>
        <v>#N/A</v>
      </c>
      <c r="BF27" s="719" t="e">
        <f t="shared" si="49"/>
        <v>#N/A</v>
      </c>
      <c r="BG27" s="719" t="e">
        <f t="shared" si="50"/>
        <v>#N/A</v>
      </c>
    </row>
    <row r="28" spans="1:59" ht="15" customHeight="1" x14ac:dyDescent="0.2">
      <c r="A28" s="251">
        <f t="shared" si="15"/>
        <v>42972</v>
      </c>
      <c r="B28" s="253" t="str">
        <f t="shared" si="51"/>
        <v>Yes</v>
      </c>
      <c r="C28" s="1033">
        <f>IF(C$6="","",IF(NOT(ISNUMBER(_xll.ciqfunctions.udf.CIQ(C$6,$F$2, $A28, $I$2, $I$3))),IF(C27=C$6,"",C27),_xll.ciqfunctions.udf.CIQ(C$6,$F$2, $A28, $I$2, $I$3)))</f>
        <v>78.63</v>
      </c>
      <c r="D28" s="1033">
        <f>IF(D$6="","",IF(NOT(ISNUMBER(_xll.ciqfunctions.udf.CIQ(D$6,$F$2, $A28, $I$2, $I$3))),IF(D27=D$6,"",D27),_xll.ciqfunctions.udf.CIQ(D$6,$F$2, $A28, $I$2, $I$3)))</f>
        <v>21813.669809999999</v>
      </c>
      <c r="E28" s="1033">
        <f>IF(E$6="","",IF(NOT(ISNUMBER(_xll.ciqfunctions.udf.CIQ(E$6,$F$2, $A28, $I$2, $I$3))),IF(E27=E$6,"",E27),_xll.ciqfunctions.udf.CIQ(E$6,$F$2, $A28, $I$2, $I$3)))</f>
        <v>7464.84908</v>
      </c>
      <c r="F28" s="1033">
        <f>IF(F$6="","",IF(NOT(ISNUMBER(_xll.ciqfunctions.udf.CIQ(F$6,$F$2, $A28, $I$2, $I$3))),IF(F27=F$6,"",F27),_xll.ciqfunctions.udf.CIQ(F$6,$F$2, $A28, $I$2, $I$3)))</f>
        <v>4074.4640800000002</v>
      </c>
      <c r="G28" s="1033">
        <f>IF(G$6="","",IF(NOT(ISNUMBER(_xll.ciqfunctions.udf.CIQ(G$6,$F$2, $A28, $I$2, $I$3))),IF(G27=G$6,"",G27),_xll.ciqfunctions.udf.CIQ(G$6,$F$2, $A28, $I$2, $I$3)))</f>
        <v>152.44999999999999</v>
      </c>
      <c r="H28" s="1033" t="str">
        <f>IF(H$6="","",IF(NOT(ISNUMBER(_xll.ciqfunctions.udf.CIQ(H$6,$F$2, $A28, $I$2, $I$3))),IF(H27=H$6,"",H27),_xll.ciqfunctions.udf.CIQ(H$6,$F$2, $A28, $I$2, $I$3)))</f>
        <v/>
      </c>
      <c r="I28" s="1033" t="str">
        <f>IF(I$6="","",IF(NOT(ISNUMBER(_xll.ciqfunctions.udf.CIQ(I$6,$F$2, $A28, $I$2, $I$3))),IF(I27=I$6,"",I27),_xll.ciqfunctions.udf.CIQ(I$6,$F$2, $A28, $I$2, $I$3)))</f>
        <v/>
      </c>
      <c r="J28" s="1033" t="str">
        <f>IF(J$6="","",IF(NOT(ISNUMBER(_xll.ciqfunctions.udf.CIQ(J$6,$F$2, $A28, $I$2, $I$3))),IF(J27=J$6,"",J27),_xll.ciqfunctions.udf.CIQ(J$6,$F$2, $A28, $I$2, $I$3)))</f>
        <v/>
      </c>
      <c r="K28" s="1033" t="str">
        <f>IF(K$6="","",IF(NOT(ISNUMBER(_xll.ciqfunctions.udf.CIQ(K$6,$F$2, $A28, $I$2, $I$3))),IF(K27=K$6,"",K27),_xll.ciqfunctions.udf.CIQ(K$6,$F$2, $A28, $I$2, $I$3)))</f>
        <v/>
      </c>
      <c r="L28" s="254" t="str">
        <f>IF(L$6="","",IF(NOT(ISNUMBER(_xll.ciqfunctions.udf.CIQ(L$6,$F$2, $A28, $I$2, $I$3))),IF(L27=L$6,"",L27),_xll.ciqfunctions.udf.CIQ(L$6,$F$2, $A28, $I$2, $I$3)))</f>
        <v/>
      </c>
      <c r="M28" s="254" t="str">
        <f>IF(M$6="","",IF(NOT(ISNUMBER(_xll.ciqfunctions.udf.CIQ(M$6,$F$2, $A28, $I$2, $I$3))),IF(M27=M$6,"",M27),_xll.ciqfunctions.udf.CIQ(M$6,$F$2, $A28, $I$2, $I$3)))</f>
        <v/>
      </c>
      <c r="N28" s="254" t="str">
        <f>IF(N$6="","",IF(NOT(ISNUMBER(_xll.ciqfunctions.udf.CIQ(N$6,$F$2, $A28, $I$2, $I$3))),IF(N27=N$6,"",N27),_xll.ciqfunctions.udf.CIQ(N$6,$F$2, $A28, $I$2, $I$3)))</f>
        <v/>
      </c>
      <c r="O28" s="254" t="str">
        <f>IF(O$6="","",IF(NOT(ISNUMBER(_xll.ciqfunctions.udf.CIQ(O$6,$F$2, $A28, $I$2, $I$3))),IF(O27=O$6,"",O27),_xll.ciqfunctions.udf.CIQ(O$6,$F$2, $A28, $I$2, $I$3)))</f>
        <v/>
      </c>
      <c r="P28" s="254" t="str">
        <f>IF(P$6="","",IF(NOT(ISNUMBER(_xll.ciqfunctions.udf.CIQ(P$6,$F$2, $A28, $I$2, $I$3))),IF(P27=P$6,"",P27),_xll.ciqfunctions.udf.CIQ(P$6,$F$2, $A28, $I$2, $I$3)))</f>
        <v/>
      </c>
      <c r="Q28" s="254"/>
      <c r="R28" s="251">
        <f t="shared" si="16"/>
        <v>42972</v>
      </c>
      <c r="S28" s="255">
        <f t="shared" si="35"/>
        <v>9.0871254162042225E-2</v>
      </c>
      <c r="T28" s="255">
        <f t="shared" si="36"/>
        <v>5.5676157490617273E-2</v>
      </c>
      <c r="U28" s="255">
        <f t="shared" si="37"/>
        <v>4.3185550556413377E-2</v>
      </c>
      <c r="V28" s="255">
        <f t="shared" si="52"/>
        <v>-7.1820066411068195E-2</v>
      </c>
      <c r="W28" s="255">
        <f t="array" ref="W28">IFERROR(AVERAGE(IF(ISERROR(X28:AG28),"",X28:AG28)),"")</f>
        <v>-9.0881984614467282E-2</v>
      </c>
      <c r="X28" s="255">
        <f t="shared" si="53"/>
        <v>-9.0881984614467282E-2</v>
      </c>
      <c r="Y28" s="255" t="e">
        <f t="shared" si="54"/>
        <v>#N/A</v>
      </c>
      <c r="Z28" s="255" t="e">
        <f t="shared" si="55"/>
        <v>#N/A</v>
      </c>
      <c r="AA28" s="255" t="e">
        <f t="shared" si="56"/>
        <v>#N/A</v>
      </c>
      <c r="AB28" s="255" t="e">
        <f t="shared" si="57"/>
        <v>#N/A</v>
      </c>
      <c r="AC28" s="255" t="e">
        <f t="shared" si="58"/>
        <v>#N/A</v>
      </c>
      <c r="AD28" s="255" t="e">
        <f t="shared" si="59"/>
        <v>#N/A</v>
      </c>
      <c r="AE28" s="255" t="e">
        <f t="shared" si="60"/>
        <v>#N/A</v>
      </c>
      <c r="AF28" s="255" t="e">
        <f t="shared" si="61"/>
        <v>#N/A</v>
      </c>
      <c r="AG28" s="255" t="e">
        <f t="shared" si="62"/>
        <v>#N/A</v>
      </c>
      <c r="AI28" s="251">
        <f t="shared" si="27"/>
        <v>42972</v>
      </c>
      <c r="AJ28" s="718">
        <f>IF(OR($B28="No",AJ$6=""),"",IF(NOT(ISNUMBER(_xll.ciqfunctions.udf.CIQ(AJ$6,"IQ_TEV",$AI28,$I$2,$I$3))),"",_xll.ciqfunctions.udf.CIQ(AJ$6,"IQ_TEV",$AI28,$I$2,$I$3)))</f>
        <v>280861.13500000001</v>
      </c>
      <c r="AK28" s="718">
        <f>IF(OR($B28="No",AK$6=""),"",IF(NOT(ISNUMBER(_xll.ciqfunctions.udf.CIQ(AK$6,"IQ_TEV",$AI28,$I$2,$I$3))),"",_xll.ciqfunctions.udf.CIQ(AK$6,"IQ_TEV",$AI28,$I$2,$I$3)))</f>
        <v>65404.0455</v>
      </c>
      <c r="AL28" s="718" t="str">
        <f>IF(OR($B28="No",AL$6=""),"",IF(NOT(ISNUMBER(_xll.ciqfunctions.udf.CIQ(AL$6,"IQ_TEV",$AI28,$I$2,$I$3))),"",_xll.ciqfunctions.udf.CIQ(AL$6,"IQ_TEV",$AI28,$I$2,$I$3)))</f>
        <v/>
      </c>
      <c r="AM28" s="718" t="str">
        <f>IF(OR($B28="No",AM$6=""),"",IF(NOT(ISNUMBER(_xll.ciqfunctions.udf.CIQ(AM$6,"IQ_TEV",$AI28,$I$2,$I$3))),"",_xll.ciqfunctions.udf.CIQ(AM$6,"IQ_TEV",$AI28,$I$2,$I$3)))</f>
        <v/>
      </c>
      <c r="AN28" s="718" t="str">
        <f>IF(OR($B28="No",AN$6=""),"",IF(NOT(ISNUMBER(_xll.ciqfunctions.udf.CIQ(AN$6,"IQ_TEV",$AI28,$I$2,$I$3))),"",_xll.ciqfunctions.udf.CIQ(AN$6,"IQ_TEV",$AI28,$I$2,$I$3)))</f>
        <v/>
      </c>
      <c r="AO28" s="718" t="str">
        <f>IF(OR($B28="No",AO$6=""),"",IF(NOT(ISNUMBER(_xll.ciqfunctions.udf.CIQ(AO$6,"IQ_TEV",$AI28,$I$2,$I$3))),"",_xll.ciqfunctions.udf.CIQ(AO$6,"IQ_TEV",$AI28,$I$2,$I$3)))</f>
        <v/>
      </c>
      <c r="AP28" s="718" t="str">
        <f>IF(OR($B28="No",AP$6=""),"",IF(NOT(ISNUMBER(_xll.ciqfunctions.udf.CIQ(AP$6,"IQ_TEV",$AI28,$I$2,$I$3))),"",_xll.ciqfunctions.udf.CIQ(AP$6,"IQ_TEV",$AI28,$I$2,$I$3)))</f>
        <v/>
      </c>
      <c r="AQ28" s="718" t="str">
        <f>IF(OR($B28="No",AQ$6=""),"",IF(NOT(ISNUMBER(_xll.ciqfunctions.udf.CIQ(AQ$6,"IQ_TEV",$AI28,$I$2,$I$3))),"",_xll.ciqfunctions.udf.CIQ(AQ$6,"IQ_TEV",$AI28,$I$2,$I$3)))</f>
        <v/>
      </c>
      <c r="AR28" s="718" t="str">
        <f>IF(OR($B28="No",AR$6=""),"",IF(NOT(ISNUMBER(_xll.ciqfunctions.udf.CIQ(AR$6,"IQ_TEV",$AI28,$I$2,$I$3))),"",_xll.ciqfunctions.udf.CIQ(AR$6,"IQ_TEV",$AI28,$I$2,$I$3)))</f>
        <v/>
      </c>
      <c r="AS28" s="718" t="str">
        <f>IF(OR($B28="No",AS$6=""),"",IF(NOT(ISNUMBER(_xll.ciqfunctions.udf.CIQ(AS$6,"IQ_TEV",$AI28,$I$2,$I$3))),"",_xll.ciqfunctions.udf.CIQ(AS$6,"IQ_TEV",$AI28,$I$2,$I$3)))</f>
        <v/>
      </c>
      <c r="AT28" s="718" t="str">
        <f>IF(OR($B28="No",AT$6=""),"",IF(NOT(ISNUMBER(_xll.ciqfunctions.udf.CIQ(AT$6,"IQ_TEV",$AI28,$I$2,$I$3))),"",_xll.ciqfunctions.udf.CIQ(AT$6,"IQ_TEV",$AI28,$I$2,$I$3)))</f>
        <v/>
      </c>
      <c r="AV28" s="251">
        <f t="shared" si="39"/>
        <v>42972</v>
      </c>
      <c r="AW28" s="719">
        <f t="shared" si="40"/>
        <v>7.5860131143845155E-2</v>
      </c>
      <c r="AX28" s="719">
        <f t="shared" si="41"/>
        <v>-0.10386817600386167</v>
      </c>
      <c r="AY28" s="719" t="e">
        <f t="shared" si="42"/>
        <v>#N/A</v>
      </c>
      <c r="AZ28" s="719" t="e">
        <f t="shared" si="43"/>
        <v>#N/A</v>
      </c>
      <c r="BA28" s="719" t="e">
        <f t="shared" si="44"/>
        <v>#N/A</v>
      </c>
      <c r="BB28" s="719" t="e">
        <f t="shared" si="45"/>
        <v>#N/A</v>
      </c>
      <c r="BC28" s="719" t="e">
        <f t="shared" si="46"/>
        <v>#N/A</v>
      </c>
      <c r="BD28" s="719" t="e">
        <f t="shared" si="47"/>
        <v>#N/A</v>
      </c>
      <c r="BE28" s="719" t="e">
        <f t="shared" si="48"/>
        <v>#N/A</v>
      </c>
      <c r="BF28" s="719" t="e">
        <f t="shared" si="49"/>
        <v>#N/A</v>
      </c>
      <c r="BG28" s="719" t="e">
        <f t="shared" si="50"/>
        <v>#N/A</v>
      </c>
    </row>
    <row r="29" spans="1:59" ht="15" customHeight="1" x14ac:dyDescent="0.2">
      <c r="A29" s="251">
        <f t="shared" si="15"/>
        <v>42979</v>
      </c>
      <c r="B29" s="253" t="str">
        <f t="shared" si="51"/>
        <v>Yes</v>
      </c>
      <c r="C29" s="1033">
        <f>IF(C$6="","",IF(NOT(ISNUMBER(_xll.ciqfunctions.udf.CIQ(C$6,$F$2, $A29, $I$2, $I$3))),IF(C28=C$6,"",C28),_xll.ciqfunctions.udf.CIQ(C$6,$F$2, $A29, $I$2, $I$3)))</f>
        <v>78.37</v>
      </c>
      <c r="D29" s="1033">
        <f>IF(D$6="","",IF(NOT(ISNUMBER(_xll.ciqfunctions.udf.CIQ(D$6,$F$2, $A29, $I$2, $I$3))),IF(D28=D$6,"",D28),_xll.ciqfunctions.udf.CIQ(D$6,$F$2, $A29, $I$2, $I$3)))</f>
        <v>21987.555850000001</v>
      </c>
      <c r="E29" s="1033">
        <f>IF(E$6="","",IF(NOT(ISNUMBER(_xll.ciqfunctions.udf.CIQ(E$6,$F$2, $A29, $I$2, $I$3))),IF(E28=E$6,"",E28),_xll.ciqfunctions.udf.CIQ(E$6,$F$2, $A29, $I$2, $I$3)))</f>
        <v>7537.6522500000001</v>
      </c>
      <c r="F29" s="1033">
        <f>IF(F$6="","",IF(NOT(ISNUMBER(_xll.ciqfunctions.udf.CIQ(F$6,$F$2, $A29, $I$2, $I$3))),IF(F28=F$6,"",F28),_xll.ciqfunctions.udf.CIQ(F$6,$F$2, $A29, $I$2, $I$3)))</f>
        <v>4110.4364299999997</v>
      </c>
      <c r="G29" s="1033">
        <f>IF(G$6="","",IF(NOT(ISNUMBER(_xll.ciqfunctions.udf.CIQ(G$6,$F$2, $A29, $I$2, $I$3))),IF(G28=G$6,"",G28),_xll.ciqfunctions.udf.CIQ(G$6,$F$2, $A29, $I$2, $I$3)))</f>
        <v>158.24</v>
      </c>
      <c r="H29" s="1033" t="str">
        <f>IF(H$6="","",IF(NOT(ISNUMBER(_xll.ciqfunctions.udf.CIQ(H$6,$F$2, $A29, $I$2, $I$3))),IF(H28=H$6,"",H28),_xll.ciqfunctions.udf.CIQ(H$6,$F$2, $A29, $I$2, $I$3)))</f>
        <v/>
      </c>
      <c r="I29" s="1033" t="str">
        <f>IF(I$6="","",IF(NOT(ISNUMBER(_xll.ciqfunctions.udf.CIQ(I$6,$F$2, $A29, $I$2, $I$3))),IF(I28=I$6,"",I28),_xll.ciqfunctions.udf.CIQ(I$6,$F$2, $A29, $I$2, $I$3)))</f>
        <v/>
      </c>
      <c r="J29" s="1033" t="str">
        <f>IF(J$6="","",IF(NOT(ISNUMBER(_xll.ciqfunctions.udf.CIQ(J$6,$F$2, $A29, $I$2, $I$3))),IF(J28=J$6,"",J28),_xll.ciqfunctions.udf.CIQ(J$6,$F$2, $A29, $I$2, $I$3)))</f>
        <v/>
      </c>
      <c r="K29" s="1033" t="str">
        <f>IF(K$6="","",IF(NOT(ISNUMBER(_xll.ciqfunctions.udf.CIQ(K$6,$F$2, $A29, $I$2, $I$3))),IF(K28=K$6,"",K28),_xll.ciqfunctions.udf.CIQ(K$6,$F$2, $A29, $I$2, $I$3)))</f>
        <v/>
      </c>
      <c r="L29" s="254" t="str">
        <f>IF(L$6="","",IF(NOT(ISNUMBER(_xll.ciqfunctions.udf.CIQ(L$6,$F$2, $A29, $I$2, $I$3))),IF(L28=L$6,"",L28),_xll.ciqfunctions.udf.CIQ(L$6,$F$2, $A29, $I$2, $I$3)))</f>
        <v/>
      </c>
      <c r="M29" s="254" t="str">
        <f>IF(M$6="","",IF(NOT(ISNUMBER(_xll.ciqfunctions.udf.CIQ(M$6,$F$2, $A29, $I$2, $I$3))),IF(M28=M$6,"",M28),_xll.ciqfunctions.udf.CIQ(M$6,$F$2, $A29, $I$2, $I$3)))</f>
        <v/>
      </c>
      <c r="N29" s="254" t="str">
        <f>IF(N$6="","",IF(NOT(ISNUMBER(_xll.ciqfunctions.udf.CIQ(N$6,$F$2, $A29, $I$2, $I$3))),IF(N28=N$6,"",N28),_xll.ciqfunctions.udf.CIQ(N$6,$F$2, $A29, $I$2, $I$3)))</f>
        <v/>
      </c>
      <c r="O29" s="254" t="str">
        <f>IF(O$6="","",IF(NOT(ISNUMBER(_xll.ciqfunctions.udf.CIQ(O$6,$F$2, $A29, $I$2, $I$3))),IF(O28=O$6,"",O28),_xll.ciqfunctions.udf.CIQ(O$6,$F$2, $A29, $I$2, $I$3)))</f>
        <v/>
      </c>
      <c r="P29" s="254" t="str">
        <f>IF(P$6="","",IF(NOT(ISNUMBER(_xll.ciqfunctions.udf.CIQ(P$6,$F$2, $A29, $I$2, $I$3))),IF(P28=P$6,"",P28),_xll.ciqfunctions.udf.CIQ(P$6,$F$2, $A29, $I$2, $I$3)))</f>
        <v/>
      </c>
      <c r="Q29" s="254"/>
      <c r="R29" s="251">
        <f t="shared" si="16"/>
        <v>42979</v>
      </c>
      <c r="S29" s="255">
        <f t="shared" si="35"/>
        <v>8.7264150943396235E-2</v>
      </c>
      <c r="T29" s="255">
        <f t="shared" si="36"/>
        <v>6.4091401149632743E-2</v>
      </c>
      <c r="U29" s="255">
        <f t="shared" si="37"/>
        <v>5.3359529181404186E-2</v>
      </c>
      <c r="V29" s="255">
        <f t="shared" si="52"/>
        <v>-6.3625414849914241E-2</v>
      </c>
      <c r="W29" s="255">
        <f t="array" ref="W29">IFERROR(AVERAGE(IF(ISERROR(X29:AG29),"",X29:AG29)),"")</f>
        <v>-5.6353986522750255E-2</v>
      </c>
      <c r="X29" s="255">
        <f t="shared" si="53"/>
        <v>-5.6353986522750255E-2</v>
      </c>
      <c r="Y29" s="255" t="e">
        <f t="shared" si="54"/>
        <v>#N/A</v>
      </c>
      <c r="Z29" s="255" t="e">
        <f t="shared" si="55"/>
        <v>#N/A</v>
      </c>
      <c r="AA29" s="255" t="e">
        <f t="shared" si="56"/>
        <v>#N/A</v>
      </c>
      <c r="AB29" s="255" t="e">
        <f t="shared" si="57"/>
        <v>#N/A</v>
      </c>
      <c r="AC29" s="255" t="e">
        <f t="shared" si="58"/>
        <v>#N/A</v>
      </c>
      <c r="AD29" s="255" t="e">
        <f t="shared" si="59"/>
        <v>#N/A</v>
      </c>
      <c r="AE29" s="255" t="e">
        <f t="shared" si="60"/>
        <v>#N/A</v>
      </c>
      <c r="AF29" s="255" t="e">
        <f t="shared" si="61"/>
        <v>#N/A</v>
      </c>
      <c r="AG29" s="255" t="e">
        <f t="shared" si="62"/>
        <v>#N/A</v>
      </c>
      <c r="AI29" s="251">
        <f t="shared" si="27"/>
        <v>42979</v>
      </c>
      <c r="AJ29" s="718">
        <f>IF(OR($B29="No",AJ$6=""),"",IF(NOT(ISNUMBER(_xll.ciqfunctions.udf.CIQ(AJ$6,"IQ_TEV",$AI29,$I$2,$I$3))),"",_xll.ciqfunctions.udf.CIQ(AJ$6,"IQ_TEV",$AI29,$I$2,$I$3)))</f>
        <v>278288.99275999999</v>
      </c>
      <c r="AK29" s="718">
        <f>IF(OR($B29="No",AK$6=""),"",IF(NOT(ISNUMBER(_xll.ciqfunctions.udf.CIQ(AK$6,"IQ_TEV",$AI29,$I$2,$I$3))),"",_xll.ciqfunctions.udf.CIQ(AK$6,"IQ_TEV",$AI29,$I$2,$I$3)))</f>
        <v>67943.481599999999</v>
      </c>
      <c r="AL29" s="718" t="str">
        <f>IF(OR($B29="No",AL$6=""),"",IF(NOT(ISNUMBER(_xll.ciqfunctions.udf.CIQ(AL$6,"IQ_TEV",$AI29,$I$2,$I$3))),"",_xll.ciqfunctions.udf.CIQ(AL$6,"IQ_TEV",$AI29,$I$2,$I$3)))</f>
        <v/>
      </c>
      <c r="AM29" s="718" t="str">
        <f>IF(OR($B29="No",AM$6=""),"",IF(NOT(ISNUMBER(_xll.ciqfunctions.udf.CIQ(AM$6,"IQ_TEV",$AI29,$I$2,$I$3))),"",_xll.ciqfunctions.udf.CIQ(AM$6,"IQ_TEV",$AI29,$I$2,$I$3)))</f>
        <v/>
      </c>
      <c r="AN29" s="718" t="str">
        <f>IF(OR($B29="No",AN$6=""),"",IF(NOT(ISNUMBER(_xll.ciqfunctions.udf.CIQ(AN$6,"IQ_TEV",$AI29,$I$2,$I$3))),"",_xll.ciqfunctions.udf.CIQ(AN$6,"IQ_TEV",$AI29,$I$2,$I$3)))</f>
        <v/>
      </c>
      <c r="AO29" s="718" t="str">
        <f>IF(OR($B29="No",AO$6=""),"",IF(NOT(ISNUMBER(_xll.ciqfunctions.udf.CIQ(AO$6,"IQ_TEV",$AI29,$I$2,$I$3))),"",_xll.ciqfunctions.udf.CIQ(AO$6,"IQ_TEV",$AI29,$I$2,$I$3)))</f>
        <v/>
      </c>
      <c r="AP29" s="718" t="str">
        <f>IF(OR($B29="No",AP$6=""),"",IF(NOT(ISNUMBER(_xll.ciqfunctions.udf.CIQ(AP$6,"IQ_TEV",$AI29,$I$2,$I$3))),"",_xll.ciqfunctions.udf.CIQ(AP$6,"IQ_TEV",$AI29,$I$2,$I$3)))</f>
        <v/>
      </c>
      <c r="AQ29" s="718" t="str">
        <f>IF(OR($B29="No",AQ$6=""),"",IF(NOT(ISNUMBER(_xll.ciqfunctions.udf.CIQ(AQ$6,"IQ_TEV",$AI29,$I$2,$I$3))),"",_xll.ciqfunctions.udf.CIQ(AQ$6,"IQ_TEV",$AI29,$I$2,$I$3)))</f>
        <v/>
      </c>
      <c r="AR29" s="718" t="str">
        <f>IF(OR($B29="No",AR$6=""),"",IF(NOT(ISNUMBER(_xll.ciqfunctions.udf.CIQ(AR$6,"IQ_TEV",$AI29,$I$2,$I$3))),"",_xll.ciqfunctions.udf.CIQ(AR$6,"IQ_TEV",$AI29,$I$2,$I$3)))</f>
        <v/>
      </c>
      <c r="AS29" s="718" t="str">
        <f>IF(OR($B29="No",AS$6=""),"",IF(NOT(ISNUMBER(_xll.ciqfunctions.udf.CIQ(AS$6,"IQ_TEV",$AI29,$I$2,$I$3))),"",_xll.ciqfunctions.udf.CIQ(AS$6,"IQ_TEV",$AI29,$I$2,$I$3)))</f>
        <v/>
      </c>
      <c r="AT29" s="718" t="str">
        <f>IF(OR($B29="No",AT$6=""),"",IF(NOT(ISNUMBER(_xll.ciqfunctions.udf.CIQ(AT$6,"IQ_TEV",$AI29,$I$2,$I$3))),"",_xll.ciqfunctions.udf.CIQ(AT$6,"IQ_TEV",$AI29,$I$2,$I$3)))</f>
        <v/>
      </c>
      <c r="AV29" s="251">
        <f t="shared" si="39"/>
        <v>42979</v>
      </c>
      <c r="AW29" s="719">
        <f t="shared" si="40"/>
        <v>6.600734290510557E-2</v>
      </c>
      <c r="AX29" s="719">
        <f t="shared" si="41"/>
        <v>-6.9074158495959326E-2</v>
      </c>
      <c r="AY29" s="719" t="e">
        <f t="shared" si="42"/>
        <v>#N/A</v>
      </c>
      <c r="AZ29" s="719" t="e">
        <f t="shared" si="43"/>
        <v>#N/A</v>
      </c>
      <c r="BA29" s="719" t="e">
        <f t="shared" si="44"/>
        <v>#N/A</v>
      </c>
      <c r="BB29" s="719" t="e">
        <f t="shared" si="45"/>
        <v>#N/A</v>
      </c>
      <c r="BC29" s="719" t="e">
        <f t="shared" si="46"/>
        <v>#N/A</v>
      </c>
      <c r="BD29" s="719" t="e">
        <f t="shared" si="47"/>
        <v>#N/A</v>
      </c>
      <c r="BE29" s="719" t="e">
        <f t="shared" si="48"/>
        <v>#N/A</v>
      </c>
      <c r="BF29" s="719" t="e">
        <f t="shared" si="49"/>
        <v>#N/A</v>
      </c>
      <c r="BG29" s="719" t="e">
        <f t="shared" si="50"/>
        <v>#N/A</v>
      </c>
    </row>
    <row r="30" spans="1:59" ht="15" customHeight="1" x14ac:dyDescent="0.2">
      <c r="A30" s="251">
        <f t="shared" si="15"/>
        <v>42986</v>
      </c>
      <c r="B30" s="253" t="str">
        <f t="shared" si="51"/>
        <v>Yes</v>
      </c>
      <c r="C30" s="1033">
        <f>IF(C$6="","",IF(NOT(ISNUMBER(_xll.ciqfunctions.udf.CIQ(C$6,$F$2, $A30, $I$2, $I$3))),IF(C29=C$6,"",C29),_xll.ciqfunctions.udf.CIQ(C$6,$F$2, $A30, $I$2, $I$3)))</f>
        <v>78.88</v>
      </c>
      <c r="D30" s="1033">
        <f>IF(D$6="","",IF(NOT(ISNUMBER(_xll.ciqfunctions.udf.CIQ(D$6,$F$2, $A30, $I$2, $I$3))),IF(D29=D$6,"",D29),_xll.ciqfunctions.udf.CIQ(D$6,$F$2, $A30, $I$2, $I$3)))</f>
        <v>21797.793079999999</v>
      </c>
      <c r="E30" s="1033">
        <f>IF(E$6="","",IF(NOT(ISNUMBER(_xll.ciqfunctions.udf.CIQ(E$6,$F$2, $A30, $I$2, $I$3))),IF(E29=E$6,"",E29),_xll.ciqfunctions.udf.CIQ(E$6,$F$2, $A30, $I$2, $I$3)))</f>
        <v>7517.1231500000004</v>
      </c>
      <c r="F30" s="1033">
        <f>IF(F$6="","",IF(NOT(ISNUMBER(_xll.ciqfunctions.udf.CIQ(F$6,$F$2, $A30, $I$2, $I$3))),IF(F29=F$6,"",F29),_xll.ciqfunctions.udf.CIQ(F$6,$F$2, $A30, $I$2, $I$3)))</f>
        <v>4149.4799400000002</v>
      </c>
      <c r="G30" s="1033">
        <f>IF(G$6="","",IF(NOT(ISNUMBER(_xll.ciqfunctions.udf.CIQ(G$6,$F$2, $A30, $I$2, $I$3))),IF(G29=G$6,"",G29),_xll.ciqfunctions.udf.CIQ(G$6,$F$2, $A30, $I$2, $I$3)))</f>
        <v>157.31</v>
      </c>
      <c r="H30" s="1033" t="str">
        <f>IF(H$6="","",IF(NOT(ISNUMBER(_xll.ciqfunctions.udf.CIQ(H$6,$F$2, $A30, $I$2, $I$3))),IF(H29=H$6,"",H29),_xll.ciqfunctions.udf.CIQ(H$6,$F$2, $A30, $I$2, $I$3)))</f>
        <v/>
      </c>
      <c r="I30" s="1033" t="str">
        <f>IF(I$6="","",IF(NOT(ISNUMBER(_xll.ciqfunctions.udf.CIQ(I$6,$F$2, $A30, $I$2, $I$3))),IF(I29=I$6,"",I29),_xll.ciqfunctions.udf.CIQ(I$6,$F$2, $A30, $I$2, $I$3)))</f>
        <v/>
      </c>
      <c r="J30" s="1033" t="str">
        <f>IF(J$6="","",IF(NOT(ISNUMBER(_xll.ciqfunctions.udf.CIQ(J$6,$F$2, $A30, $I$2, $I$3))),IF(J29=J$6,"",J29),_xll.ciqfunctions.udf.CIQ(J$6,$F$2, $A30, $I$2, $I$3)))</f>
        <v/>
      </c>
      <c r="K30" s="1033" t="str">
        <f>IF(K$6="","",IF(NOT(ISNUMBER(_xll.ciqfunctions.udf.CIQ(K$6,$F$2, $A30, $I$2, $I$3))),IF(K29=K$6,"",K29),_xll.ciqfunctions.udf.CIQ(K$6,$F$2, $A30, $I$2, $I$3)))</f>
        <v/>
      </c>
      <c r="L30" s="254" t="str">
        <f>IF(L$6="","",IF(NOT(ISNUMBER(_xll.ciqfunctions.udf.CIQ(L$6,$F$2, $A30, $I$2, $I$3))),IF(L29=L$6,"",L29),_xll.ciqfunctions.udf.CIQ(L$6,$F$2, $A30, $I$2, $I$3)))</f>
        <v/>
      </c>
      <c r="M30" s="254" t="str">
        <f>IF(M$6="","",IF(NOT(ISNUMBER(_xll.ciqfunctions.udf.CIQ(M$6,$F$2, $A30, $I$2, $I$3))),IF(M29=M$6,"",M29),_xll.ciqfunctions.udf.CIQ(M$6,$F$2, $A30, $I$2, $I$3)))</f>
        <v/>
      </c>
      <c r="N30" s="254" t="str">
        <f>IF(N$6="","",IF(NOT(ISNUMBER(_xll.ciqfunctions.udf.CIQ(N$6,$F$2, $A30, $I$2, $I$3))),IF(N29=N$6,"",N29),_xll.ciqfunctions.udf.CIQ(N$6,$F$2, $A30, $I$2, $I$3)))</f>
        <v/>
      </c>
      <c r="O30" s="254" t="str">
        <f>IF(O$6="","",IF(NOT(ISNUMBER(_xll.ciqfunctions.udf.CIQ(O$6,$F$2, $A30, $I$2, $I$3))),IF(O29=O$6,"",O29),_xll.ciqfunctions.udf.CIQ(O$6,$F$2, $A30, $I$2, $I$3)))</f>
        <v/>
      </c>
      <c r="P30" s="254" t="str">
        <f>IF(P$6="","",IF(NOT(ISNUMBER(_xll.ciqfunctions.udf.CIQ(P$6,$F$2, $A30, $I$2, $I$3))),IF(P29=P$6,"",P29),_xll.ciqfunctions.udf.CIQ(P$6,$F$2, $A30, $I$2, $I$3)))</f>
        <v/>
      </c>
      <c r="Q30" s="254"/>
      <c r="R30" s="251">
        <f t="shared" si="16"/>
        <v>42986</v>
      </c>
      <c r="S30" s="255">
        <f t="shared" si="35"/>
        <v>9.4339622641509413E-2</v>
      </c>
      <c r="T30" s="255">
        <f t="shared" si="36"/>
        <v>5.4907800516944105E-2</v>
      </c>
      <c r="U30" s="255">
        <f t="shared" si="37"/>
        <v>5.0490662007209863E-2</v>
      </c>
      <c r="V30" s="255">
        <f t="shared" si="52"/>
        <v>-5.4731140214689278E-2</v>
      </c>
      <c r="W30" s="255">
        <f t="array" ref="W30">IFERROR(AVERAGE(IF(ISERROR(X30:AG30),"",X30:AG30)),"")</f>
        <v>-6.1899934402766976E-2</v>
      </c>
      <c r="X30" s="255">
        <f t="shared" si="53"/>
        <v>-6.1899934402766976E-2</v>
      </c>
      <c r="Y30" s="255" t="e">
        <f t="shared" si="54"/>
        <v>#N/A</v>
      </c>
      <c r="Z30" s="255" t="e">
        <f t="shared" si="55"/>
        <v>#N/A</v>
      </c>
      <c r="AA30" s="255" t="e">
        <f t="shared" si="56"/>
        <v>#N/A</v>
      </c>
      <c r="AB30" s="255" t="e">
        <f t="shared" si="57"/>
        <v>#N/A</v>
      </c>
      <c r="AC30" s="255" t="e">
        <f t="shared" si="58"/>
        <v>#N/A</v>
      </c>
      <c r="AD30" s="255" t="e">
        <f t="shared" si="59"/>
        <v>#N/A</v>
      </c>
      <c r="AE30" s="255" t="e">
        <f t="shared" si="60"/>
        <v>#N/A</v>
      </c>
      <c r="AF30" s="255" t="e">
        <f t="shared" si="61"/>
        <v>#N/A</v>
      </c>
      <c r="AG30" s="255" t="e">
        <f t="shared" si="62"/>
        <v>#N/A</v>
      </c>
      <c r="AI30" s="251">
        <f t="shared" si="27"/>
        <v>42986</v>
      </c>
      <c r="AJ30" s="718">
        <f>IF(OR($B30="No",AJ$6=""),"",IF(NOT(ISNUMBER(_xll.ciqfunctions.udf.CIQ(AJ$6,"IQ_TEV",$AI30,$I$2,$I$3))),"",_xll.ciqfunctions.udf.CIQ(AJ$6,"IQ_TEV",$AI30,$I$2,$I$3)))</f>
        <v>279812.4656</v>
      </c>
      <c r="AK30" s="718">
        <f>IF(OR($B30="No",AK$6=""),"",IF(NOT(ISNUMBER(_xll.ciqfunctions.udf.CIQ(AK$6,"IQ_TEV",$AI30,$I$2,$I$3))),"",_xll.ciqfunctions.udf.CIQ(AK$6,"IQ_TEV",$AI30,$I$2,$I$3)))</f>
        <v>67535.592900000003</v>
      </c>
      <c r="AL30" s="718" t="str">
        <f>IF(OR($B30="No",AL$6=""),"",IF(NOT(ISNUMBER(_xll.ciqfunctions.udf.CIQ(AL$6,"IQ_TEV",$AI30,$I$2,$I$3))),"",_xll.ciqfunctions.udf.CIQ(AL$6,"IQ_TEV",$AI30,$I$2,$I$3)))</f>
        <v/>
      </c>
      <c r="AM30" s="718" t="str">
        <f>IF(OR($B30="No",AM$6=""),"",IF(NOT(ISNUMBER(_xll.ciqfunctions.udf.CIQ(AM$6,"IQ_TEV",$AI30,$I$2,$I$3))),"",_xll.ciqfunctions.udf.CIQ(AM$6,"IQ_TEV",$AI30,$I$2,$I$3)))</f>
        <v/>
      </c>
      <c r="AN30" s="718" t="str">
        <f>IF(OR($B30="No",AN$6=""),"",IF(NOT(ISNUMBER(_xll.ciqfunctions.udf.CIQ(AN$6,"IQ_TEV",$AI30,$I$2,$I$3))),"",_xll.ciqfunctions.udf.CIQ(AN$6,"IQ_TEV",$AI30,$I$2,$I$3)))</f>
        <v/>
      </c>
      <c r="AO30" s="718" t="str">
        <f>IF(OR($B30="No",AO$6=""),"",IF(NOT(ISNUMBER(_xll.ciqfunctions.udf.CIQ(AO$6,"IQ_TEV",$AI30,$I$2,$I$3))),"",_xll.ciqfunctions.udf.CIQ(AO$6,"IQ_TEV",$AI30,$I$2,$I$3)))</f>
        <v/>
      </c>
      <c r="AP30" s="718" t="str">
        <f>IF(OR($B30="No",AP$6=""),"",IF(NOT(ISNUMBER(_xll.ciqfunctions.udf.CIQ(AP$6,"IQ_TEV",$AI30,$I$2,$I$3))),"",_xll.ciqfunctions.udf.CIQ(AP$6,"IQ_TEV",$AI30,$I$2,$I$3)))</f>
        <v/>
      </c>
      <c r="AQ30" s="718" t="str">
        <f>IF(OR($B30="No",AQ$6=""),"",IF(NOT(ISNUMBER(_xll.ciqfunctions.udf.CIQ(AQ$6,"IQ_TEV",$AI30,$I$2,$I$3))),"",_xll.ciqfunctions.udf.CIQ(AQ$6,"IQ_TEV",$AI30,$I$2,$I$3)))</f>
        <v/>
      </c>
      <c r="AR30" s="718" t="str">
        <f>IF(OR($B30="No",AR$6=""),"",IF(NOT(ISNUMBER(_xll.ciqfunctions.udf.CIQ(AR$6,"IQ_TEV",$AI30,$I$2,$I$3))),"",_xll.ciqfunctions.udf.CIQ(AR$6,"IQ_TEV",$AI30,$I$2,$I$3)))</f>
        <v/>
      </c>
      <c r="AS30" s="718" t="str">
        <f>IF(OR($B30="No",AS$6=""),"",IF(NOT(ISNUMBER(_xll.ciqfunctions.udf.CIQ(AS$6,"IQ_TEV",$AI30,$I$2,$I$3))),"",_xll.ciqfunctions.udf.CIQ(AS$6,"IQ_TEV",$AI30,$I$2,$I$3)))</f>
        <v/>
      </c>
      <c r="AT30" s="718" t="str">
        <f>IF(OR($B30="No",AT$6=""),"",IF(NOT(ISNUMBER(_xll.ciqfunctions.udf.CIQ(AT$6,"IQ_TEV",$AI30,$I$2,$I$3))),"",_xll.ciqfunctions.udf.CIQ(AT$6,"IQ_TEV",$AI30,$I$2,$I$3)))</f>
        <v/>
      </c>
      <c r="AV30" s="251">
        <f t="shared" si="39"/>
        <v>42986</v>
      </c>
      <c r="AW30" s="719">
        <f t="shared" si="40"/>
        <v>7.1843122531348724E-2</v>
      </c>
      <c r="AX30" s="719">
        <f t="shared" si="41"/>
        <v>-7.4662834883238993E-2</v>
      </c>
      <c r="AY30" s="719" t="e">
        <f t="shared" si="42"/>
        <v>#N/A</v>
      </c>
      <c r="AZ30" s="719" t="e">
        <f t="shared" si="43"/>
        <v>#N/A</v>
      </c>
      <c r="BA30" s="719" t="e">
        <f t="shared" si="44"/>
        <v>#N/A</v>
      </c>
      <c r="BB30" s="719" t="e">
        <f t="shared" si="45"/>
        <v>#N/A</v>
      </c>
      <c r="BC30" s="719" t="e">
        <f t="shared" si="46"/>
        <v>#N/A</v>
      </c>
      <c r="BD30" s="719" t="e">
        <f t="shared" si="47"/>
        <v>#N/A</v>
      </c>
      <c r="BE30" s="719" t="e">
        <f t="shared" si="48"/>
        <v>#N/A</v>
      </c>
      <c r="BF30" s="719" t="e">
        <f t="shared" si="49"/>
        <v>#N/A</v>
      </c>
      <c r="BG30" s="719" t="e">
        <f t="shared" si="50"/>
        <v>#N/A</v>
      </c>
    </row>
    <row r="31" spans="1:59" ht="15" customHeight="1" x14ac:dyDescent="0.2">
      <c r="A31" s="251">
        <f t="shared" si="15"/>
        <v>42993</v>
      </c>
      <c r="B31" s="253" t="str">
        <f t="shared" si="51"/>
        <v>Yes</v>
      </c>
      <c r="C31" s="1033">
        <f>IF(C$6="","",IF(NOT(ISNUMBER(_xll.ciqfunctions.udf.CIQ(C$6,$F$2, $A31, $I$2, $I$3))),IF(C30=C$6,"",C30),_xll.ciqfunctions.udf.CIQ(C$6,$F$2, $A31, $I$2, $I$3)))</f>
        <v>80.38</v>
      </c>
      <c r="D31" s="1033">
        <f>IF(D$6="","",IF(NOT(ISNUMBER(_xll.ciqfunctions.udf.CIQ(D$6,$F$2, $A31, $I$2, $I$3))),IF(D30=D$6,"",D30),_xll.ciqfunctions.udf.CIQ(D$6,$F$2, $A31, $I$2, $I$3)))</f>
        <v>22268.344160000001</v>
      </c>
      <c r="E31" s="1033">
        <f>IF(E$6="","",IF(NOT(ISNUMBER(_xll.ciqfunctions.udf.CIQ(E$6,$F$2, $A31, $I$2, $I$3))),IF(E30=E$6,"",E30),_xll.ciqfunctions.udf.CIQ(E$6,$F$2, $A31, $I$2, $I$3)))</f>
        <v>7642.3732799999998</v>
      </c>
      <c r="F31" s="1033">
        <f>IF(F$6="","",IF(NOT(ISNUMBER(_xll.ciqfunctions.udf.CIQ(F$6,$F$2, $A31, $I$2, $I$3))),IF(F30=F$6,"",F30),_xll.ciqfunctions.udf.CIQ(F$6,$F$2, $A31, $I$2, $I$3)))</f>
        <v>4280.9809800000003</v>
      </c>
      <c r="G31" s="1033">
        <f>IF(G$6="","",IF(NOT(ISNUMBER(_xll.ciqfunctions.udf.CIQ(G$6,$F$2, $A31, $I$2, $I$3))),IF(G30=G$6,"",G30),_xll.ciqfunctions.udf.CIQ(G$6,$F$2, $A31, $I$2, $I$3)))</f>
        <v>162.30000000000001</v>
      </c>
      <c r="H31" s="1033" t="str">
        <f>IF(H$6="","",IF(NOT(ISNUMBER(_xll.ciqfunctions.udf.CIQ(H$6,$F$2, $A31, $I$2, $I$3))),IF(H30=H$6,"",H30),_xll.ciqfunctions.udf.CIQ(H$6,$F$2, $A31, $I$2, $I$3)))</f>
        <v/>
      </c>
      <c r="I31" s="1033" t="str">
        <f>IF(I$6="","",IF(NOT(ISNUMBER(_xll.ciqfunctions.udf.CIQ(I$6,$F$2, $A31, $I$2, $I$3))),IF(I30=I$6,"",I30),_xll.ciqfunctions.udf.CIQ(I$6,$F$2, $A31, $I$2, $I$3)))</f>
        <v/>
      </c>
      <c r="J31" s="1033" t="str">
        <f>IF(J$6="","",IF(NOT(ISNUMBER(_xll.ciqfunctions.udf.CIQ(J$6,$F$2, $A31, $I$2, $I$3))),IF(J30=J$6,"",J30),_xll.ciqfunctions.udf.CIQ(J$6,$F$2, $A31, $I$2, $I$3)))</f>
        <v/>
      </c>
      <c r="K31" s="1033" t="str">
        <f>IF(K$6="","",IF(NOT(ISNUMBER(_xll.ciqfunctions.udf.CIQ(K$6,$F$2, $A31, $I$2, $I$3))),IF(K30=K$6,"",K30),_xll.ciqfunctions.udf.CIQ(K$6,$F$2, $A31, $I$2, $I$3)))</f>
        <v/>
      </c>
      <c r="L31" s="254" t="str">
        <f>IF(L$6="","",IF(NOT(ISNUMBER(_xll.ciqfunctions.udf.CIQ(L$6,$F$2, $A31, $I$2, $I$3))),IF(L30=L$6,"",L30),_xll.ciqfunctions.udf.CIQ(L$6,$F$2, $A31, $I$2, $I$3)))</f>
        <v/>
      </c>
      <c r="M31" s="254" t="str">
        <f>IF(M$6="","",IF(NOT(ISNUMBER(_xll.ciqfunctions.udf.CIQ(M$6,$F$2, $A31, $I$2, $I$3))),IF(M30=M$6,"",M30),_xll.ciqfunctions.udf.CIQ(M$6,$F$2, $A31, $I$2, $I$3)))</f>
        <v/>
      </c>
      <c r="N31" s="254" t="str">
        <f>IF(N$6="","",IF(NOT(ISNUMBER(_xll.ciqfunctions.udf.CIQ(N$6,$F$2, $A31, $I$2, $I$3))),IF(N30=N$6,"",N30),_xll.ciqfunctions.udf.CIQ(N$6,$F$2, $A31, $I$2, $I$3)))</f>
        <v/>
      </c>
      <c r="O31" s="254" t="str">
        <f>IF(O$6="","",IF(NOT(ISNUMBER(_xll.ciqfunctions.udf.CIQ(O$6,$F$2, $A31, $I$2, $I$3))),IF(O30=O$6,"",O30),_xll.ciqfunctions.udf.CIQ(O$6,$F$2, $A31, $I$2, $I$3)))</f>
        <v/>
      </c>
      <c r="P31" s="254" t="str">
        <f>IF(P$6="","",IF(NOT(ISNUMBER(_xll.ciqfunctions.udf.CIQ(P$6,$F$2, $A31, $I$2, $I$3))),IF(P30=P$6,"",P30),_xll.ciqfunctions.udf.CIQ(P$6,$F$2, $A31, $I$2, $I$3)))</f>
        <v/>
      </c>
      <c r="Q31" s="254"/>
      <c r="R31" s="251">
        <f t="shared" si="16"/>
        <v>42993</v>
      </c>
      <c r="S31" s="255">
        <f t="shared" si="35"/>
        <v>0.11514983351831298</v>
      </c>
      <c r="T31" s="255">
        <f t="shared" si="36"/>
        <v>7.7680197842300958E-2</v>
      </c>
      <c r="U31" s="255">
        <f t="shared" si="37"/>
        <v>6.7993912832652104E-2</v>
      </c>
      <c r="V31" s="255">
        <f t="shared" si="52"/>
        <v>-2.4774654115522265E-2</v>
      </c>
      <c r="W31" s="255">
        <f t="array" ref="W31">IFERROR(AVERAGE(IF(ISERROR(X31:AG31),"",X31:AG31)),"")</f>
        <v>-3.2142644164827927E-2</v>
      </c>
      <c r="X31" s="255">
        <f t="shared" si="53"/>
        <v>-3.2142644164827927E-2</v>
      </c>
      <c r="Y31" s="255" t="e">
        <f t="shared" si="54"/>
        <v>#N/A</v>
      </c>
      <c r="Z31" s="255" t="e">
        <f t="shared" si="55"/>
        <v>#N/A</v>
      </c>
      <c r="AA31" s="255" t="e">
        <f t="shared" si="56"/>
        <v>#N/A</v>
      </c>
      <c r="AB31" s="255" t="e">
        <f t="shared" si="57"/>
        <v>#N/A</v>
      </c>
      <c r="AC31" s="255" t="e">
        <f t="shared" si="58"/>
        <v>#N/A</v>
      </c>
      <c r="AD31" s="255" t="e">
        <f t="shared" si="59"/>
        <v>#N/A</v>
      </c>
      <c r="AE31" s="255" t="e">
        <f t="shared" si="60"/>
        <v>#N/A</v>
      </c>
      <c r="AF31" s="255" t="e">
        <f t="shared" si="61"/>
        <v>#N/A</v>
      </c>
      <c r="AG31" s="255" t="e">
        <f t="shared" si="62"/>
        <v>#N/A</v>
      </c>
      <c r="AI31" s="251">
        <f t="shared" si="27"/>
        <v>42993</v>
      </c>
      <c r="AJ31" s="718">
        <f>IF(OR($B31="No",AJ$6=""),"",IF(NOT(ISNUMBER(_xll.ciqfunctions.udf.CIQ(AJ$6,"IQ_TEV",$AI31,$I$2,$I$3))),"",_xll.ciqfunctions.udf.CIQ(AJ$6,"IQ_TEV",$AI31,$I$2,$I$3)))</f>
        <v>284293.26805999997</v>
      </c>
      <c r="AK31" s="718">
        <f>IF(OR($B31="No",AK$6=""),"",IF(NOT(ISNUMBER(_xll.ciqfunctions.udf.CIQ(AK$6,"IQ_TEV",$AI31,$I$2,$I$3))),"",_xll.ciqfunctions.udf.CIQ(AK$6,"IQ_TEV",$AI31,$I$2,$I$3)))</f>
        <v>69724.157000000007</v>
      </c>
      <c r="AL31" s="718" t="str">
        <f>IF(OR($B31="No",AL$6=""),"",IF(NOT(ISNUMBER(_xll.ciqfunctions.udf.CIQ(AL$6,"IQ_TEV",$AI31,$I$2,$I$3))),"",_xll.ciqfunctions.udf.CIQ(AL$6,"IQ_TEV",$AI31,$I$2,$I$3)))</f>
        <v/>
      </c>
      <c r="AM31" s="718" t="str">
        <f>IF(OR($B31="No",AM$6=""),"",IF(NOT(ISNUMBER(_xll.ciqfunctions.udf.CIQ(AM$6,"IQ_TEV",$AI31,$I$2,$I$3))),"",_xll.ciqfunctions.udf.CIQ(AM$6,"IQ_TEV",$AI31,$I$2,$I$3)))</f>
        <v/>
      </c>
      <c r="AN31" s="718" t="str">
        <f>IF(OR($B31="No",AN$6=""),"",IF(NOT(ISNUMBER(_xll.ciqfunctions.udf.CIQ(AN$6,"IQ_TEV",$AI31,$I$2,$I$3))),"",_xll.ciqfunctions.udf.CIQ(AN$6,"IQ_TEV",$AI31,$I$2,$I$3)))</f>
        <v/>
      </c>
      <c r="AO31" s="718" t="str">
        <f>IF(OR($B31="No",AO$6=""),"",IF(NOT(ISNUMBER(_xll.ciqfunctions.udf.CIQ(AO$6,"IQ_TEV",$AI31,$I$2,$I$3))),"",_xll.ciqfunctions.udf.CIQ(AO$6,"IQ_TEV",$AI31,$I$2,$I$3)))</f>
        <v/>
      </c>
      <c r="AP31" s="718" t="str">
        <f>IF(OR($B31="No",AP$6=""),"",IF(NOT(ISNUMBER(_xll.ciqfunctions.udf.CIQ(AP$6,"IQ_TEV",$AI31,$I$2,$I$3))),"",_xll.ciqfunctions.udf.CIQ(AP$6,"IQ_TEV",$AI31,$I$2,$I$3)))</f>
        <v/>
      </c>
      <c r="AQ31" s="718" t="str">
        <f>IF(OR($B31="No",AQ$6=""),"",IF(NOT(ISNUMBER(_xll.ciqfunctions.udf.CIQ(AQ$6,"IQ_TEV",$AI31,$I$2,$I$3))),"",_xll.ciqfunctions.udf.CIQ(AQ$6,"IQ_TEV",$AI31,$I$2,$I$3)))</f>
        <v/>
      </c>
      <c r="AR31" s="718" t="str">
        <f>IF(OR($B31="No",AR$6=""),"",IF(NOT(ISNUMBER(_xll.ciqfunctions.udf.CIQ(AR$6,"IQ_TEV",$AI31,$I$2,$I$3))),"",_xll.ciqfunctions.udf.CIQ(AR$6,"IQ_TEV",$AI31,$I$2,$I$3)))</f>
        <v/>
      </c>
      <c r="AS31" s="718" t="str">
        <f>IF(OR($B31="No",AS$6=""),"",IF(NOT(ISNUMBER(_xll.ciqfunctions.udf.CIQ(AS$6,"IQ_TEV",$AI31,$I$2,$I$3))),"",_xll.ciqfunctions.udf.CIQ(AS$6,"IQ_TEV",$AI31,$I$2,$I$3)))</f>
        <v/>
      </c>
      <c r="AT31" s="718" t="str">
        <f>IF(OR($B31="No",AT$6=""),"",IF(NOT(ISNUMBER(_xll.ciqfunctions.udf.CIQ(AT$6,"IQ_TEV",$AI31,$I$2,$I$3))),"",_xll.ciqfunctions.udf.CIQ(AT$6,"IQ_TEV",$AI31,$I$2,$I$3)))</f>
        <v/>
      </c>
      <c r="AV31" s="251">
        <f t="shared" si="39"/>
        <v>42993</v>
      </c>
      <c r="AW31" s="719">
        <f t="shared" si="40"/>
        <v>8.9007180215033621E-2</v>
      </c>
      <c r="AX31" s="719">
        <f t="shared" si="41"/>
        <v>-4.4676280934286883E-2</v>
      </c>
      <c r="AY31" s="719" t="e">
        <f t="shared" si="42"/>
        <v>#N/A</v>
      </c>
      <c r="AZ31" s="719" t="e">
        <f t="shared" si="43"/>
        <v>#N/A</v>
      </c>
      <c r="BA31" s="719" t="e">
        <f t="shared" si="44"/>
        <v>#N/A</v>
      </c>
      <c r="BB31" s="719" t="e">
        <f t="shared" si="45"/>
        <v>#N/A</v>
      </c>
      <c r="BC31" s="719" t="e">
        <f t="shared" si="46"/>
        <v>#N/A</v>
      </c>
      <c r="BD31" s="719" t="e">
        <f t="shared" si="47"/>
        <v>#N/A</v>
      </c>
      <c r="BE31" s="719" t="e">
        <f t="shared" si="48"/>
        <v>#N/A</v>
      </c>
      <c r="BF31" s="719" t="e">
        <f t="shared" si="49"/>
        <v>#N/A</v>
      </c>
      <c r="BG31" s="719" t="e">
        <f t="shared" si="50"/>
        <v>#N/A</v>
      </c>
    </row>
    <row r="32" spans="1:59" ht="15" customHeight="1" x14ac:dyDescent="0.2">
      <c r="A32" s="251">
        <f t="shared" si="15"/>
        <v>43000</v>
      </c>
      <c r="B32" s="253" t="str">
        <f t="shared" si="51"/>
        <v>Yes</v>
      </c>
      <c r="C32" s="1033">
        <f>IF(C$6="","",IF(NOT(ISNUMBER(_xll.ciqfunctions.udf.CIQ(C$6,$F$2, $A32, $I$2, $I$3))),IF(C31=C$6,"",C31),_xll.ciqfunctions.udf.CIQ(C$6,$F$2, $A32, $I$2, $I$3)))</f>
        <v>79.53</v>
      </c>
      <c r="D32" s="1033">
        <f>IF(D$6="","",IF(NOT(ISNUMBER(_xll.ciqfunctions.udf.CIQ(D$6,$F$2, $A32, $I$2, $I$3))),IF(D31=D$6,"",D31),_xll.ciqfunctions.udf.CIQ(D$6,$F$2, $A32, $I$2, $I$3)))</f>
        <v>22349.592369999998</v>
      </c>
      <c r="E32" s="1033">
        <f>IF(E$6="","",IF(NOT(ISNUMBER(_xll.ciqfunctions.udf.CIQ(E$6,$F$2, $A32, $I$2, $I$3))),IF(E31=E$6,"",E31),_xll.ciqfunctions.udf.CIQ(E$6,$F$2, $A32, $I$2, $I$3)))</f>
        <v>7659.6427400000002</v>
      </c>
      <c r="F32" s="1033">
        <f>IF(F$6="","",IF(NOT(ISNUMBER(_xll.ciqfunctions.udf.CIQ(F$6,$F$2, $A32, $I$2, $I$3))),IF(F31=F$6,"",F31),_xll.ciqfunctions.udf.CIQ(F$6,$F$2, $A32, $I$2, $I$3)))</f>
        <v>4239.5062799999996</v>
      </c>
      <c r="G32" s="1033">
        <f>IF(G$6="","",IF(NOT(ISNUMBER(_xll.ciqfunctions.udf.CIQ(G$6,$F$2, $A32, $I$2, $I$3))),IF(G31=G$6,"",G31),_xll.ciqfunctions.udf.CIQ(G$6,$F$2, $A32, $I$2, $I$3)))</f>
        <v>161.29</v>
      </c>
      <c r="H32" s="1033" t="str">
        <f>IF(H$6="","",IF(NOT(ISNUMBER(_xll.ciqfunctions.udf.CIQ(H$6,$F$2, $A32, $I$2, $I$3))),IF(H31=H$6,"",H31),_xll.ciqfunctions.udf.CIQ(H$6,$F$2, $A32, $I$2, $I$3)))</f>
        <v/>
      </c>
      <c r="I32" s="1033" t="str">
        <f>IF(I$6="","",IF(NOT(ISNUMBER(_xll.ciqfunctions.udf.CIQ(I$6,$F$2, $A32, $I$2, $I$3))),IF(I31=I$6,"",I31),_xll.ciqfunctions.udf.CIQ(I$6,$F$2, $A32, $I$2, $I$3)))</f>
        <v/>
      </c>
      <c r="J32" s="1033" t="str">
        <f>IF(J$6="","",IF(NOT(ISNUMBER(_xll.ciqfunctions.udf.CIQ(J$6,$F$2, $A32, $I$2, $I$3))),IF(J31=J$6,"",J31),_xll.ciqfunctions.udf.CIQ(J$6,$F$2, $A32, $I$2, $I$3)))</f>
        <v/>
      </c>
      <c r="K32" s="1033" t="str">
        <f>IF(K$6="","",IF(NOT(ISNUMBER(_xll.ciqfunctions.udf.CIQ(K$6,$F$2, $A32, $I$2, $I$3))),IF(K31=K$6,"",K31),_xll.ciqfunctions.udf.CIQ(K$6,$F$2, $A32, $I$2, $I$3)))</f>
        <v/>
      </c>
      <c r="L32" s="254" t="str">
        <f>IF(L$6="","",IF(NOT(ISNUMBER(_xll.ciqfunctions.udf.CIQ(L$6,$F$2, $A32, $I$2, $I$3))),IF(L31=L$6,"",L31),_xll.ciqfunctions.udf.CIQ(L$6,$F$2, $A32, $I$2, $I$3)))</f>
        <v/>
      </c>
      <c r="M32" s="254" t="str">
        <f>IF(M$6="","",IF(NOT(ISNUMBER(_xll.ciqfunctions.udf.CIQ(M$6,$F$2, $A32, $I$2, $I$3))),IF(M31=M$6,"",M31),_xll.ciqfunctions.udf.CIQ(M$6,$F$2, $A32, $I$2, $I$3)))</f>
        <v/>
      </c>
      <c r="N32" s="254" t="str">
        <f>IF(N$6="","",IF(NOT(ISNUMBER(_xll.ciqfunctions.udf.CIQ(N$6,$F$2, $A32, $I$2, $I$3))),IF(N31=N$6,"",N31),_xll.ciqfunctions.udf.CIQ(N$6,$F$2, $A32, $I$2, $I$3)))</f>
        <v/>
      </c>
      <c r="O32" s="254" t="str">
        <f>IF(O$6="","",IF(NOT(ISNUMBER(_xll.ciqfunctions.udf.CIQ(O$6,$F$2, $A32, $I$2, $I$3))),IF(O31=O$6,"",O31),_xll.ciqfunctions.udf.CIQ(O$6,$F$2, $A32, $I$2, $I$3)))</f>
        <v/>
      </c>
      <c r="P32" s="254" t="str">
        <f>IF(P$6="","",IF(NOT(ISNUMBER(_xll.ciqfunctions.udf.CIQ(P$6,$F$2, $A32, $I$2, $I$3))),IF(P31=P$6,"",P31),_xll.ciqfunctions.udf.CIQ(P$6,$F$2, $A32, $I$2, $I$3)))</f>
        <v/>
      </c>
      <c r="Q32" s="254"/>
      <c r="R32" s="251">
        <f t="shared" si="16"/>
        <v>43000</v>
      </c>
      <c r="S32" s="255">
        <f t="shared" si="35"/>
        <v>0.10335738068812428</v>
      </c>
      <c r="T32" s="255">
        <f t="shared" si="36"/>
        <v>8.1612218400183956E-2</v>
      </c>
      <c r="U32" s="255">
        <f t="shared" si="37"/>
        <v>7.0407257154130543E-2</v>
      </c>
      <c r="V32" s="255">
        <f t="shared" si="52"/>
        <v>-3.4222763986114457E-2</v>
      </c>
      <c r="W32" s="255">
        <f t="array" ref="W32">IFERROR(AVERAGE(IF(ISERROR(X32:AG32),"",X32:AG32)),"")</f>
        <v>-3.8165662830222491E-2</v>
      </c>
      <c r="X32" s="255">
        <f t="shared" si="53"/>
        <v>-3.8165662830222491E-2</v>
      </c>
      <c r="Y32" s="255" t="e">
        <f t="shared" si="54"/>
        <v>#N/A</v>
      </c>
      <c r="Z32" s="255" t="e">
        <f t="shared" si="55"/>
        <v>#N/A</v>
      </c>
      <c r="AA32" s="255" t="e">
        <f t="shared" si="56"/>
        <v>#N/A</v>
      </c>
      <c r="AB32" s="255" t="e">
        <f t="shared" si="57"/>
        <v>#N/A</v>
      </c>
      <c r="AC32" s="255" t="e">
        <f t="shared" si="58"/>
        <v>#N/A</v>
      </c>
      <c r="AD32" s="255" t="e">
        <f t="shared" si="59"/>
        <v>#N/A</v>
      </c>
      <c r="AE32" s="255" t="e">
        <f t="shared" si="60"/>
        <v>#N/A</v>
      </c>
      <c r="AF32" s="255" t="e">
        <f t="shared" si="61"/>
        <v>#N/A</v>
      </c>
      <c r="AG32" s="255" t="e">
        <f t="shared" si="62"/>
        <v>#N/A</v>
      </c>
      <c r="AI32" s="251">
        <f t="shared" si="27"/>
        <v>43000</v>
      </c>
      <c r="AJ32" s="718">
        <f>IF(OR($B32="No",AJ$6=""),"",IF(NOT(ISNUMBER(_xll.ciqfunctions.udf.CIQ(AJ$6,"IQ_TEV",$AI32,$I$2,$I$3))),"",_xll.ciqfunctions.udf.CIQ(AJ$6,"IQ_TEV",$AI32,$I$2,$I$3)))</f>
        <v>281754.14666999999</v>
      </c>
      <c r="AK32" s="718">
        <f>IF(OR($B32="No",AK$6=""),"",IF(NOT(ISNUMBER(_xll.ciqfunctions.udf.CIQ(AK$6,"IQ_TEV",$AI32,$I$2,$I$3))),"",_xll.ciqfunctions.udf.CIQ(AK$6,"IQ_TEV",$AI32,$I$2,$I$3)))</f>
        <v>69281.181100000002</v>
      </c>
      <c r="AL32" s="718" t="str">
        <f>IF(OR($B32="No",AL$6=""),"",IF(NOT(ISNUMBER(_xll.ciqfunctions.udf.CIQ(AL$6,"IQ_TEV",$AI32,$I$2,$I$3))),"",_xll.ciqfunctions.udf.CIQ(AL$6,"IQ_TEV",$AI32,$I$2,$I$3)))</f>
        <v/>
      </c>
      <c r="AM32" s="718" t="str">
        <f>IF(OR($B32="No",AM$6=""),"",IF(NOT(ISNUMBER(_xll.ciqfunctions.udf.CIQ(AM$6,"IQ_TEV",$AI32,$I$2,$I$3))),"",_xll.ciqfunctions.udf.CIQ(AM$6,"IQ_TEV",$AI32,$I$2,$I$3)))</f>
        <v/>
      </c>
      <c r="AN32" s="718" t="str">
        <f>IF(OR($B32="No",AN$6=""),"",IF(NOT(ISNUMBER(_xll.ciqfunctions.udf.CIQ(AN$6,"IQ_TEV",$AI32,$I$2,$I$3))),"",_xll.ciqfunctions.udf.CIQ(AN$6,"IQ_TEV",$AI32,$I$2,$I$3)))</f>
        <v/>
      </c>
      <c r="AO32" s="718" t="str">
        <f>IF(OR($B32="No",AO$6=""),"",IF(NOT(ISNUMBER(_xll.ciqfunctions.udf.CIQ(AO$6,"IQ_TEV",$AI32,$I$2,$I$3))),"",_xll.ciqfunctions.udf.CIQ(AO$6,"IQ_TEV",$AI32,$I$2,$I$3)))</f>
        <v/>
      </c>
      <c r="AP32" s="718" t="str">
        <f>IF(OR($B32="No",AP$6=""),"",IF(NOT(ISNUMBER(_xll.ciqfunctions.udf.CIQ(AP$6,"IQ_TEV",$AI32,$I$2,$I$3))),"",_xll.ciqfunctions.udf.CIQ(AP$6,"IQ_TEV",$AI32,$I$2,$I$3)))</f>
        <v/>
      </c>
      <c r="AQ32" s="718" t="str">
        <f>IF(OR($B32="No",AQ$6=""),"",IF(NOT(ISNUMBER(_xll.ciqfunctions.udf.CIQ(AQ$6,"IQ_TEV",$AI32,$I$2,$I$3))),"",_xll.ciqfunctions.udf.CIQ(AQ$6,"IQ_TEV",$AI32,$I$2,$I$3)))</f>
        <v/>
      </c>
      <c r="AR32" s="718" t="str">
        <f>IF(OR($B32="No",AR$6=""),"",IF(NOT(ISNUMBER(_xll.ciqfunctions.udf.CIQ(AR$6,"IQ_TEV",$AI32,$I$2,$I$3))),"",_xll.ciqfunctions.udf.CIQ(AR$6,"IQ_TEV",$AI32,$I$2,$I$3)))</f>
        <v/>
      </c>
      <c r="AS32" s="718" t="str">
        <f>IF(OR($B32="No",AS$6=""),"",IF(NOT(ISNUMBER(_xll.ciqfunctions.udf.CIQ(AS$6,"IQ_TEV",$AI32,$I$2,$I$3))),"",_xll.ciqfunctions.udf.CIQ(AS$6,"IQ_TEV",$AI32,$I$2,$I$3)))</f>
        <v/>
      </c>
      <c r="AT32" s="718" t="str">
        <f>IF(OR($B32="No",AT$6=""),"",IF(NOT(ISNUMBER(_xll.ciqfunctions.udf.CIQ(AT$6,"IQ_TEV",$AI32,$I$2,$I$3))),"",_xll.ciqfunctions.udf.CIQ(AT$6,"IQ_TEV",$AI32,$I$2,$I$3)))</f>
        <v/>
      </c>
      <c r="AV32" s="251">
        <f t="shared" si="39"/>
        <v>43000</v>
      </c>
      <c r="AW32" s="719">
        <f t="shared" si="40"/>
        <v>7.9280880876267723E-2</v>
      </c>
      <c r="AX32" s="719">
        <f t="shared" si="41"/>
        <v>-5.0745703677461562E-2</v>
      </c>
      <c r="AY32" s="719" t="e">
        <f t="shared" si="42"/>
        <v>#N/A</v>
      </c>
      <c r="AZ32" s="719" t="e">
        <f t="shared" si="43"/>
        <v>#N/A</v>
      </c>
      <c r="BA32" s="719" t="e">
        <f t="shared" si="44"/>
        <v>#N/A</v>
      </c>
      <c r="BB32" s="719" t="e">
        <f t="shared" si="45"/>
        <v>#N/A</v>
      </c>
      <c r="BC32" s="719" t="e">
        <f t="shared" si="46"/>
        <v>#N/A</v>
      </c>
      <c r="BD32" s="719" t="e">
        <f t="shared" si="47"/>
        <v>#N/A</v>
      </c>
      <c r="BE32" s="719" t="e">
        <f t="shared" si="48"/>
        <v>#N/A</v>
      </c>
      <c r="BF32" s="719" t="e">
        <f t="shared" si="49"/>
        <v>#N/A</v>
      </c>
      <c r="BG32" s="719" t="e">
        <f t="shared" si="50"/>
        <v>#N/A</v>
      </c>
    </row>
    <row r="33" spans="1:59" ht="15" customHeight="1" x14ac:dyDescent="0.2">
      <c r="A33" s="251">
        <f t="shared" si="15"/>
        <v>43007</v>
      </c>
      <c r="B33" s="253" t="str">
        <f t="shared" si="51"/>
        <v>Yes</v>
      </c>
      <c r="C33" s="1033">
        <f>IF(C$6="","",IF(NOT(ISNUMBER(_xll.ciqfunctions.udf.CIQ(C$6,$F$2, $A33, $I$2, $I$3))),IF(C32=C$6,"",C32),_xll.ciqfunctions.udf.CIQ(C$6,$F$2, $A33, $I$2, $I$3)))</f>
        <v>78.14</v>
      </c>
      <c r="D33" s="1033">
        <f>IF(D$6="","",IF(NOT(ISNUMBER(_xll.ciqfunctions.udf.CIQ(D$6,$F$2, $A33, $I$2, $I$3))),IF(D32=D$6,"",D32),_xll.ciqfunctions.udf.CIQ(D$6,$F$2, $A33, $I$2, $I$3)))</f>
        <v>22405.089029999999</v>
      </c>
      <c r="E33" s="1033">
        <f>IF(E$6="","",IF(NOT(ISNUMBER(_xll.ciqfunctions.udf.CIQ(E$6,$F$2, $A33, $I$2, $I$3))),IF(E32=E$6,"",E32),_xll.ciqfunctions.udf.CIQ(E$6,$F$2, $A33, $I$2, $I$3)))</f>
        <v>7711.1184899999998</v>
      </c>
      <c r="F33" s="1033">
        <f>IF(F$6="","",IF(NOT(ISNUMBER(_xll.ciqfunctions.udf.CIQ(F$6,$F$2, $A33, $I$2, $I$3))),IF(F32=F$6,"",F32),_xll.ciqfunctions.udf.CIQ(F$6,$F$2, $A33, $I$2, $I$3)))</f>
        <v>4342.5436600000003</v>
      </c>
      <c r="G33" s="1033">
        <f>IF(G$6="","",IF(NOT(ISNUMBER(_xll.ciqfunctions.udf.CIQ(G$6,$F$2, $A33, $I$2, $I$3))),IF(G32=G$6,"",G32),_xll.ciqfunctions.udf.CIQ(G$6,$F$2, $A33, $I$2, $I$3)))</f>
        <v>164.29</v>
      </c>
      <c r="H33" s="1033" t="str">
        <f>IF(H$6="","",IF(NOT(ISNUMBER(_xll.ciqfunctions.udf.CIQ(H$6,$F$2, $A33, $I$2, $I$3))),IF(H32=H$6,"",H32),_xll.ciqfunctions.udf.CIQ(H$6,$F$2, $A33, $I$2, $I$3)))</f>
        <v/>
      </c>
      <c r="I33" s="1033" t="str">
        <f>IF(I$6="","",IF(NOT(ISNUMBER(_xll.ciqfunctions.udf.CIQ(I$6,$F$2, $A33, $I$2, $I$3))),IF(I32=I$6,"",I32),_xll.ciqfunctions.udf.CIQ(I$6,$F$2, $A33, $I$2, $I$3)))</f>
        <v/>
      </c>
      <c r="J33" s="1033" t="str">
        <f>IF(J$6="","",IF(NOT(ISNUMBER(_xll.ciqfunctions.udf.CIQ(J$6,$F$2, $A33, $I$2, $I$3))),IF(J32=J$6,"",J32),_xll.ciqfunctions.udf.CIQ(J$6,$F$2, $A33, $I$2, $I$3)))</f>
        <v/>
      </c>
      <c r="K33" s="1033" t="str">
        <f>IF(K$6="","",IF(NOT(ISNUMBER(_xll.ciqfunctions.udf.CIQ(K$6,$F$2, $A33, $I$2, $I$3))),IF(K32=K$6,"",K32),_xll.ciqfunctions.udf.CIQ(K$6,$F$2, $A33, $I$2, $I$3)))</f>
        <v/>
      </c>
      <c r="L33" s="254" t="str">
        <f>IF(L$6="","",IF(NOT(ISNUMBER(_xll.ciqfunctions.udf.CIQ(L$6,$F$2, $A33, $I$2, $I$3))),IF(L32=L$6,"",L32),_xll.ciqfunctions.udf.CIQ(L$6,$F$2, $A33, $I$2, $I$3)))</f>
        <v/>
      </c>
      <c r="M33" s="254" t="str">
        <f>IF(M$6="","",IF(NOT(ISNUMBER(_xll.ciqfunctions.udf.CIQ(M$6,$F$2, $A33, $I$2, $I$3))),IF(M32=M$6,"",M32),_xll.ciqfunctions.udf.CIQ(M$6,$F$2, $A33, $I$2, $I$3)))</f>
        <v/>
      </c>
      <c r="N33" s="254" t="str">
        <f>IF(N$6="","",IF(NOT(ISNUMBER(_xll.ciqfunctions.udf.CIQ(N$6,$F$2, $A33, $I$2, $I$3))),IF(N32=N$6,"",N32),_xll.ciqfunctions.udf.CIQ(N$6,$F$2, $A33, $I$2, $I$3)))</f>
        <v/>
      </c>
      <c r="O33" s="254" t="str">
        <f>IF(O$6="","",IF(NOT(ISNUMBER(_xll.ciqfunctions.udf.CIQ(O$6,$F$2, $A33, $I$2, $I$3))),IF(O32=O$6,"",O32),_xll.ciqfunctions.udf.CIQ(O$6,$F$2, $A33, $I$2, $I$3)))</f>
        <v/>
      </c>
      <c r="P33" s="254" t="str">
        <f>IF(P$6="","",IF(NOT(ISNUMBER(_xll.ciqfunctions.udf.CIQ(P$6,$F$2, $A33, $I$2, $I$3))),IF(P32=P$6,"",P32),_xll.ciqfunctions.udf.CIQ(P$6,$F$2, $A33, $I$2, $I$3)))</f>
        <v/>
      </c>
      <c r="Q33" s="254"/>
      <c r="R33" s="251">
        <f t="shared" si="16"/>
        <v>43007</v>
      </c>
      <c r="S33" s="255">
        <f t="shared" si="35"/>
        <v>8.4073251942286431E-2</v>
      </c>
      <c r="T33" s="255">
        <f t="shared" si="36"/>
        <v>8.4297988437626481E-2</v>
      </c>
      <c r="U33" s="255">
        <f t="shared" si="37"/>
        <v>7.76008062840019E-2</v>
      </c>
      <c r="V33" s="255">
        <f t="shared" si="52"/>
        <v>-1.075041850759495E-2</v>
      </c>
      <c r="W33" s="255">
        <f t="array" ref="W33">IFERROR(AVERAGE(IF(ISERROR(X33:AG33),"",X33:AG33)),"")</f>
        <v>-2.027550837855574E-2</v>
      </c>
      <c r="X33" s="255">
        <f t="shared" si="53"/>
        <v>-2.027550837855574E-2</v>
      </c>
      <c r="Y33" s="255" t="e">
        <f t="shared" si="54"/>
        <v>#N/A</v>
      </c>
      <c r="Z33" s="255" t="e">
        <f t="shared" si="55"/>
        <v>#N/A</v>
      </c>
      <c r="AA33" s="255" t="e">
        <f t="shared" si="56"/>
        <v>#N/A</v>
      </c>
      <c r="AB33" s="255" t="e">
        <f t="shared" si="57"/>
        <v>#N/A</v>
      </c>
      <c r="AC33" s="255" t="e">
        <f t="shared" si="58"/>
        <v>#N/A</v>
      </c>
      <c r="AD33" s="255" t="e">
        <f t="shared" si="59"/>
        <v>#N/A</v>
      </c>
      <c r="AE33" s="255" t="e">
        <f t="shared" si="60"/>
        <v>#N/A</v>
      </c>
      <c r="AF33" s="255" t="e">
        <f t="shared" si="61"/>
        <v>#N/A</v>
      </c>
      <c r="AG33" s="255" t="e">
        <f t="shared" si="62"/>
        <v>#N/A</v>
      </c>
      <c r="AI33" s="251">
        <f t="shared" si="27"/>
        <v>43007</v>
      </c>
      <c r="AJ33" s="718">
        <f>IF(OR($B33="No",AJ$6=""),"",IF(NOT(ISNUMBER(_xll.ciqfunctions.udf.CIQ(AJ$6,"IQ_TEV",$AI33,$I$2,$I$3))),"",_xll.ciqfunctions.udf.CIQ(AJ$6,"IQ_TEV",$AI33,$I$2,$I$3)))</f>
        <v>277601.93638000003</v>
      </c>
      <c r="AK33" s="718">
        <f>IF(OR($B33="No",AK$6=""),"",IF(NOT(ISNUMBER(_xll.ciqfunctions.udf.CIQ(AK$6,"IQ_TEV",$AI33,$I$2,$I$3))),"",_xll.ciqfunctions.udf.CIQ(AK$6,"IQ_TEV",$AI33,$I$2,$I$3)))</f>
        <v>70596.951100000006</v>
      </c>
      <c r="AL33" s="718" t="str">
        <f>IF(OR($B33="No",AL$6=""),"",IF(NOT(ISNUMBER(_xll.ciqfunctions.udf.CIQ(AL$6,"IQ_TEV",$AI33,$I$2,$I$3))),"",_xll.ciqfunctions.udf.CIQ(AL$6,"IQ_TEV",$AI33,$I$2,$I$3)))</f>
        <v/>
      </c>
      <c r="AM33" s="718" t="str">
        <f>IF(OR($B33="No",AM$6=""),"",IF(NOT(ISNUMBER(_xll.ciqfunctions.udf.CIQ(AM$6,"IQ_TEV",$AI33,$I$2,$I$3))),"",_xll.ciqfunctions.udf.CIQ(AM$6,"IQ_TEV",$AI33,$I$2,$I$3)))</f>
        <v/>
      </c>
      <c r="AN33" s="718" t="str">
        <f>IF(OR($B33="No",AN$6=""),"",IF(NOT(ISNUMBER(_xll.ciqfunctions.udf.CIQ(AN$6,"IQ_TEV",$AI33,$I$2,$I$3))),"",_xll.ciqfunctions.udf.CIQ(AN$6,"IQ_TEV",$AI33,$I$2,$I$3)))</f>
        <v/>
      </c>
      <c r="AO33" s="718" t="str">
        <f>IF(OR($B33="No",AO$6=""),"",IF(NOT(ISNUMBER(_xll.ciqfunctions.udf.CIQ(AO$6,"IQ_TEV",$AI33,$I$2,$I$3))),"",_xll.ciqfunctions.udf.CIQ(AO$6,"IQ_TEV",$AI33,$I$2,$I$3)))</f>
        <v/>
      </c>
      <c r="AP33" s="718" t="str">
        <f>IF(OR($B33="No",AP$6=""),"",IF(NOT(ISNUMBER(_xll.ciqfunctions.udf.CIQ(AP$6,"IQ_TEV",$AI33,$I$2,$I$3))),"",_xll.ciqfunctions.udf.CIQ(AP$6,"IQ_TEV",$AI33,$I$2,$I$3)))</f>
        <v/>
      </c>
      <c r="AQ33" s="718" t="str">
        <f>IF(OR($B33="No",AQ$6=""),"",IF(NOT(ISNUMBER(_xll.ciqfunctions.udf.CIQ(AQ$6,"IQ_TEV",$AI33,$I$2,$I$3))),"",_xll.ciqfunctions.udf.CIQ(AQ$6,"IQ_TEV",$AI33,$I$2,$I$3)))</f>
        <v/>
      </c>
      <c r="AR33" s="718" t="str">
        <f>IF(OR($B33="No",AR$6=""),"",IF(NOT(ISNUMBER(_xll.ciqfunctions.udf.CIQ(AR$6,"IQ_TEV",$AI33,$I$2,$I$3))),"",_xll.ciqfunctions.udf.CIQ(AR$6,"IQ_TEV",$AI33,$I$2,$I$3)))</f>
        <v/>
      </c>
      <c r="AS33" s="718" t="str">
        <f>IF(OR($B33="No",AS$6=""),"",IF(NOT(ISNUMBER(_xll.ciqfunctions.udf.CIQ(AS$6,"IQ_TEV",$AI33,$I$2,$I$3))),"",_xll.ciqfunctions.udf.CIQ(AS$6,"IQ_TEV",$AI33,$I$2,$I$3)))</f>
        <v/>
      </c>
      <c r="AT33" s="718" t="str">
        <f>IF(OR($B33="No",AT$6=""),"",IF(NOT(ISNUMBER(_xll.ciqfunctions.udf.CIQ(AT$6,"IQ_TEV",$AI33,$I$2,$I$3))),"",_xll.ciqfunctions.udf.CIQ(AT$6,"IQ_TEV",$AI33,$I$2,$I$3)))</f>
        <v/>
      </c>
      <c r="AV33" s="251">
        <f t="shared" si="39"/>
        <v>43007</v>
      </c>
      <c r="AW33" s="719">
        <f t="shared" si="40"/>
        <v>6.3375520716215217E-2</v>
      </c>
      <c r="AX33" s="719">
        <f t="shared" si="41"/>
        <v>-3.2717715331398112E-2</v>
      </c>
      <c r="AY33" s="719" t="e">
        <f t="shared" si="42"/>
        <v>#N/A</v>
      </c>
      <c r="AZ33" s="719" t="e">
        <f t="shared" si="43"/>
        <v>#N/A</v>
      </c>
      <c r="BA33" s="719" t="e">
        <f t="shared" si="44"/>
        <v>#N/A</v>
      </c>
      <c r="BB33" s="719" t="e">
        <f t="shared" si="45"/>
        <v>#N/A</v>
      </c>
      <c r="BC33" s="719" t="e">
        <f t="shared" si="46"/>
        <v>#N/A</v>
      </c>
      <c r="BD33" s="719" t="e">
        <f t="shared" si="47"/>
        <v>#N/A</v>
      </c>
      <c r="BE33" s="719" t="e">
        <f t="shared" si="48"/>
        <v>#N/A</v>
      </c>
      <c r="BF33" s="719" t="e">
        <f t="shared" si="49"/>
        <v>#N/A</v>
      </c>
      <c r="BG33" s="719" t="e">
        <f t="shared" si="50"/>
        <v>#N/A</v>
      </c>
    </row>
    <row r="34" spans="1:59" ht="15" customHeight="1" x14ac:dyDescent="0.2">
      <c r="A34" s="251">
        <f t="shared" si="15"/>
        <v>43014</v>
      </c>
      <c r="B34" s="253" t="str">
        <f t="shared" si="51"/>
        <v>Yes</v>
      </c>
      <c r="C34" s="1033">
        <f>IF(C$6="","",IF(NOT(ISNUMBER(_xll.ciqfunctions.udf.CIQ(C$6,$F$2, $A34, $I$2, $I$3))),IF(C33=C$6,"",C33),_xll.ciqfunctions.udf.CIQ(C$6,$F$2, $A34, $I$2, $I$3)))</f>
        <v>79</v>
      </c>
      <c r="D34" s="1033">
        <f>IF(D$6="","",IF(NOT(ISNUMBER(_xll.ciqfunctions.udf.CIQ(D$6,$F$2, $A34, $I$2, $I$3))),IF(D33=D$6,"",D33),_xll.ciqfunctions.udf.CIQ(D$6,$F$2, $A34, $I$2, $I$3)))</f>
        <v>22773.666710000001</v>
      </c>
      <c r="E34" s="1033">
        <f>IF(E$6="","",IF(NOT(ISNUMBER(_xll.ciqfunctions.udf.CIQ(E$6,$F$2, $A34, $I$2, $I$3))),IF(E33=E$6,"",E33),_xll.ciqfunctions.udf.CIQ(E$6,$F$2, $A34, $I$2, $I$3)))</f>
        <v>7789.0439200000001</v>
      </c>
      <c r="F34" s="1033">
        <f>IF(F$6="","",IF(NOT(ISNUMBER(_xll.ciqfunctions.udf.CIQ(F$6,$F$2, $A34, $I$2, $I$3))),IF(F33=F$6,"",F33),_xll.ciqfunctions.udf.CIQ(F$6,$F$2, $A34, $I$2, $I$3)))</f>
        <v>4323.06214</v>
      </c>
      <c r="G34" s="1033">
        <f>IF(G$6="","",IF(NOT(ISNUMBER(_xll.ciqfunctions.udf.CIQ(G$6,$F$2, $A34, $I$2, $I$3))),IF(G33=G$6,"",G33),_xll.ciqfunctions.udf.CIQ(G$6,$F$2, $A34, $I$2, $I$3)))</f>
        <v>157.09</v>
      </c>
      <c r="H34" s="1033" t="str">
        <f>IF(H$6="","",IF(NOT(ISNUMBER(_xll.ciqfunctions.udf.CIQ(H$6,$F$2, $A34, $I$2, $I$3))),IF(H33=H$6,"",H33),_xll.ciqfunctions.udf.CIQ(H$6,$F$2, $A34, $I$2, $I$3)))</f>
        <v/>
      </c>
      <c r="I34" s="1033" t="str">
        <f>IF(I$6="","",IF(NOT(ISNUMBER(_xll.ciqfunctions.udf.CIQ(I$6,$F$2, $A34, $I$2, $I$3))),IF(I33=I$6,"",I33),_xll.ciqfunctions.udf.CIQ(I$6,$F$2, $A34, $I$2, $I$3)))</f>
        <v/>
      </c>
      <c r="J34" s="1033" t="str">
        <f>IF(J$6="","",IF(NOT(ISNUMBER(_xll.ciqfunctions.udf.CIQ(J$6,$F$2, $A34, $I$2, $I$3))),IF(J33=J$6,"",J33),_xll.ciqfunctions.udf.CIQ(J$6,$F$2, $A34, $I$2, $I$3)))</f>
        <v/>
      </c>
      <c r="K34" s="1033" t="str">
        <f>IF(K$6="","",IF(NOT(ISNUMBER(_xll.ciqfunctions.udf.CIQ(K$6,$F$2, $A34, $I$2, $I$3))),IF(K33=K$6,"",K33),_xll.ciqfunctions.udf.CIQ(K$6,$F$2, $A34, $I$2, $I$3)))</f>
        <v/>
      </c>
      <c r="L34" s="254" t="str">
        <f>IF(L$6="","",IF(NOT(ISNUMBER(_xll.ciqfunctions.udf.CIQ(L$6,$F$2, $A34, $I$2, $I$3))),IF(L33=L$6,"",L33),_xll.ciqfunctions.udf.CIQ(L$6,$F$2, $A34, $I$2, $I$3)))</f>
        <v/>
      </c>
      <c r="M34" s="254" t="str">
        <f>IF(M$6="","",IF(NOT(ISNUMBER(_xll.ciqfunctions.udf.CIQ(M$6,$F$2, $A34, $I$2, $I$3))),IF(M33=M$6,"",M33),_xll.ciqfunctions.udf.CIQ(M$6,$F$2, $A34, $I$2, $I$3)))</f>
        <v/>
      </c>
      <c r="N34" s="254" t="str">
        <f>IF(N$6="","",IF(NOT(ISNUMBER(_xll.ciqfunctions.udf.CIQ(N$6,$F$2, $A34, $I$2, $I$3))),IF(N33=N$6,"",N33),_xll.ciqfunctions.udf.CIQ(N$6,$F$2, $A34, $I$2, $I$3)))</f>
        <v/>
      </c>
      <c r="O34" s="254" t="str">
        <f>IF(O$6="","",IF(NOT(ISNUMBER(_xll.ciqfunctions.udf.CIQ(O$6,$F$2, $A34, $I$2, $I$3))),IF(O33=O$6,"",O33),_xll.ciqfunctions.udf.CIQ(O$6,$F$2, $A34, $I$2, $I$3)))</f>
        <v/>
      </c>
      <c r="P34" s="254" t="str">
        <f>IF(P$6="","",IF(NOT(ISNUMBER(_xll.ciqfunctions.udf.CIQ(P$6,$F$2, $A34, $I$2, $I$3))),IF(P33=P$6,"",P33),_xll.ciqfunctions.udf.CIQ(P$6,$F$2, $A34, $I$2, $I$3)))</f>
        <v/>
      </c>
      <c r="Q34" s="254"/>
      <c r="R34" s="251">
        <f t="shared" si="16"/>
        <v>43014</v>
      </c>
      <c r="S34" s="255">
        <f t="shared" si="35"/>
        <v>9.6004439511653716E-2</v>
      </c>
      <c r="T34" s="255">
        <f t="shared" si="36"/>
        <v>0.10213536620800201</v>
      </c>
      <c r="U34" s="255">
        <f t="shared" si="37"/>
        <v>8.8490602142660357E-2</v>
      </c>
      <c r="V34" s="255">
        <f t="shared" si="52"/>
        <v>-1.5188390124174167E-2</v>
      </c>
      <c r="W34" s="255">
        <f t="array" ref="W34">IFERROR(AVERAGE(IF(ISERROR(X34:AG34),"",X34:AG34)),"")</f>
        <v>-6.3211879062555876E-2</v>
      </c>
      <c r="X34" s="255">
        <f t="shared" si="53"/>
        <v>-6.3211879062555876E-2</v>
      </c>
      <c r="Y34" s="255" t="e">
        <f t="shared" si="54"/>
        <v>#N/A</v>
      </c>
      <c r="Z34" s="255" t="e">
        <f t="shared" si="55"/>
        <v>#N/A</v>
      </c>
      <c r="AA34" s="255" t="e">
        <f t="shared" si="56"/>
        <v>#N/A</v>
      </c>
      <c r="AB34" s="255" t="e">
        <f t="shared" si="57"/>
        <v>#N/A</v>
      </c>
      <c r="AC34" s="255" t="e">
        <f t="shared" si="58"/>
        <v>#N/A</v>
      </c>
      <c r="AD34" s="255" t="e">
        <f t="shared" si="59"/>
        <v>#N/A</v>
      </c>
      <c r="AE34" s="255" t="e">
        <f t="shared" si="60"/>
        <v>#N/A</v>
      </c>
      <c r="AF34" s="255" t="e">
        <f t="shared" si="61"/>
        <v>#N/A</v>
      </c>
      <c r="AG34" s="255" t="e">
        <f t="shared" si="62"/>
        <v>#N/A</v>
      </c>
      <c r="AI34" s="251">
        <f t="shared" si="27"/>
        <v>43014</v>
      </c>
      <c r="AJ34" s="718">
        <f>IF(OR($B34="No",AJ$6=""),"",IF(NOT(ISNUMBER(_xll.ciqfunctions.udf.CIQ(AJ$6,"IQ_TEV",$AI34,$I$2,$I$3))),"",_xll.ciqfunctions.udf.CIQ(AJ$6,"IQ_TEV",$AI34,$I$2,$I$3)))</f>
        <v>280170.92979999998</v>
      </c>
      <c r="AK34" s="718">
        <f>IF(OR($B34="No",AK$6=""),"",IF(NOT(ISNUMBER(_xll.ciqfunctions.udf.CIQ(AK$6,"IQ_TEV",$AI34,$I$2,$I$3))),"",_xll.ciqfunctions.udf.CIQ(AK$6,"IQ_TEV",$AI34,$I$2,$I$3)))</f>
        <v>69861.376359999995</v>
      </c>
      <c r="AL34" s="718" t="str">
        <f>IF(OR($B34="No",AL$6=""),"",IF(NOT(ISNUMBER(_xll.ciqfunctions.udf.CIQ(AL$6,"IQ_TEV",$AI34,$I$2,$I$3))),"",_xll.ciqfunctions.udf.CIQ(AL$6,"IQ_TEV",$AI34,$I$2,$I$3)))</f>
        <v/>
      </c>
      <c r="AM34" s="718" t="str">
        <f>IF(OR($B34="No",AM$6=""),"",IF(NOT(ISNUMBER(_xll.ciqfunctions.udf.CIQ(AM$6,"IQ_TEV",$AI34,$I$2,$I$3))),"",_xll.ciqfunctions.udf.CIQ(AM$6,"IQ_TEV",$AI34,$I$2,$I$3)))</f>
        <v/>
      </c>
      <c r="AN34" s="718" t="str">
        <f>IF(OR($B34="No",AN$6=""),"",IF(NOT(ISNUMBER(_xll.ciqfunctions.udf.CIQ(AN$6,"IQ_TEV",$AI34,$I$2,$I$3))),"",_xll.ciqfunctions.udf.CIQ(AN$6,"IQ_TEV",$AI34,$I$2,$I$3)))</f>
        <v/>
      </c>
      <c r="AO34" s="718" t="str">
        <f>IF(OR($B34="No",AO$6=""),"",IF(NOT(ISNUMBER(_xll.ciqfunctions.udf.CIQ(AO$6,"IQ_TEV",$AI34,$I$2,$I$3))),"",_xll.ciqfunctions.udf.CIQ(AO$6,"IQ_TEV",$AI34,$I$2,$I$3)))</f>
        <v/>
      </c>
      <c r="AP34" s="718" t="str">
        <f>IF(OR($B34="No",AP$6=""),"",IF(NOT(ISNUMBER(_xll.ciqfunctions.udf.CIQ(AP$6,"IQ_TEV",$AI34,$I$2,$I$3))),"",_xll.ciqfunctions.udf.CIQ(AP$6,"IQ_TEV",$AI34,$I$2,$I$3)))</f>
        <v/>
      </c>
      <c r="AQ34" s="718" t="str">
        <f>IF(OR($B34="No",AQ$6=""),"",IF(NOT(ISNUMBER(_xll.ciqfunctions.udf.CIQ(AQ$6,"IQ_TEV",$AI34,$I$2,$I$3))),"",_xll.ciqfunctions.udf.CIQ(AQ$6,"IQ_TEV",$AI34,$I$2,$I$3)))</f>
        <v/>
      </c>
      <c r="AR34" s="718" t="str">
        <f>IF(OR($B34="No",AR$6=""),"",IF(NOT(ISNUMBER(_xll.ciqfunctions.udf.CIQ(AR$6,"IQ_TEV",$AI34,$I$2,$I$3))),"",_xll.ciqfunctions.udf.CIQ(AR$6,"IQ_TEV",$AI34,$I$2,$I$3)))</f>
        <v/>
      </c>
      <c r="AS34" s="718" t="str">
        <f>IF(OR($B34="No",AS$6=""),"",IF(NOT(ISNUMBER(_xll.ciqfunctions.udf.CIQ(AS$6,"IQ_TEV",$AI34,$I$2,$I$3))),"",_xll.ciqfunctions.udf.CIQ(AS$6,"IQ_TEV",$AI34,$I$2,$I$3)))</f>
        <v/>
      </c>
      <c r="AT34" s="718" t="str">
        <f>IF(OR($B34="No",AT$6=""),"",IF(NOT(ISNUMBER(_xll.ciqfunctions.udf.CIQ(AT$6,"IQ_TEV",$AI34,$I$2,$I$3))),"",_xll.ciqfunctions.udf.CIQ(AT$6,"IQ_TEV",$AI34,$I$2,$I$3)))</f>
        <v/>
      </c>
      <c r="AV34" s="251">
        <f t="shared" si="39"/>
        <v>43014</v>
      </c>
      <c r="AW34" s="719">
        <f t="shared" si="40"/>
        <v>7.3216247158301329E-2</v>
      </c>
      <c r="AX34" s="719">
        <f t="shared" si="41"/>
        <v>-4.2796173451266184E-2</v>
      </c>
      <c r="AY34" s="719" t="e">
        <f t="shared" si="42"/>
        <v>#N/A</v>
      </c>
      <c r="AZ34" s="719" t="e">
        <f t="shared" si="43"/>
        <v>#N/A</v>
      </c>
      <c r="BA34" s="719" t="e">
        <f t="shared" si="44"/>
        <v>#N/A</v>
      </c>
      <c r="BB34" s="719" t="e">
        <f t="shared" si="45"/>
        <v>#N/A</v>
      </c>
      <c r="BC34" s="719" t="e">
        <f t="shared" si="46"/>
        <v>#N/A</v>
      </c>
      <c r="BD34" s="719" t="e">
        <f t="shared" si="47"/>
        <v>#N/A</v>
      </c>
      <c r="BE34" s="719" t="e">
        <f t="shared" si="48"/>
        <v>#N/A</v>
      </c>
      <c r="BF34" s="719" t="e">
        <f t="shared" si="49"/>
        <v>#N/A</v>
      </c>
      <c r="BG34" s="719" t="e">
        <f t="shared" si="50"/>
        <v>#N/A</v>
      </c>
    </row>
    <row r="35" spans="1:59" ht="15" customHeight="1" x14ac:dyDescent="0.2">
      <c r="A35" s="251">
        <f t="shared" si="15"/>
        <v>43021</v>
      </c>
      <c r="B35" s="253" t="str">
        <f t="shared" si="51"/>
        <v>Yes</v>
      </c>
      <c r="C35" s="1033">
        <f>IF(C$6="","",IF(NOT(ISNUMBER(_xll.ciqfunctions.udf.CIQ(C$6,$F$2, $A35, $I$2, $I$3))),IF(C34=C$6,"",C34),_xll.ciqfunctions.udf.CIQ(C$6,$F$2, $A35, $I$2, $I$3)))</f>
        <v>86.62</v>
      </c>
      <c r="D35" s="1033">
        <f>IF(D$6="","",IF(NOT(ISNUMBER(_xll.ciqfunctions.udf.CIQ(D$6,$F$2, $A35, $I$2, $I$3))),IF(D34=D$6,"",D34),_xll.ciqfunctions.udf.CIQ(D$6,$F$2, $A35, $I$2, $I$3)))</f>
        <v>22871.715400000001</v>
      </c>
      <c r="E35" s="1033">
        <f>IF(E$6="","",IF(NOT(ISNUMBER(_xll.ciqfunctions.udf.CIQ(E$6,$F$2, $A35, $I$2, $I$3))),IF(E34=E$6,"",E34),_xll.ciqfunctions.udf.CIQ(E$6,$F$2, $A35, $I$2, $I$3)))</f>
        <v>7829.0111399999996</v>
      </c>
      <c r="F35" s="1033">
        <f>IF(F$6="","",IF(NOT(ISNUMBER(_xll.ciqfunctions.udf.CIQ(F$6,$F$2, $A35, $I$2, $I$3))),IF(F34=F$6,"",F34),_xll.ciqfunctions.udf.CIQ(F$6,$F$2, $A35, $I$2, $I$3)))</f>
        <v>4153.8739400000004</v>
      </c>
      <c r="G35" s="1033">
        <f>IF(G$6="","",IF(NOT(ISNUMBER(_xll.ciqfunctions.udf.CIQ(G$6,$F$2, $A35, $I$2, $I$3))),IF(G34=G$6,"",G34),_xll.ciqfunctions.udf.CIQ(G$6,$F$2, $A35, $I$2, $I$3)))</f>
        <v>159.85</v>
      </c>
      <c r="H35" s="1033" t="str">
        <f>IF(H$6="","",IF(NOT(ISNUMBER(_xll.ciqfunctions.udf.CIQ(H$6,$F$2, $A35, $I$2, $I$3))),IF(H34=H$6,"",H34),_xll.ciqfunctions.udf.CIQ(H$6,$F$2, $A35, $I$2, $I$3)))</f>
        <v/>
      </c>
      <c r="I35" s="1033" t="str">
        <f>IF(I$6="","",IF(NOT(ISNUMBER(_xll.ciqfunctions.udf.CIQ(I$6,$F$2, $A35, $I$2, $I$3))),IF(I34=I$6,"",I34),_xll.ciqfunctions.udf.CIQ(I$6,$F$2, $A35, $I$2, $I$3)))</f>
        <v/>
      </c>
      <c r="J35" s="1033" t="str">
        <f>IF(J$6="","",IF(NOT(ISNUMBER(_xll.ciqfunctions.udf.CIQ(J$6,$F$2, $A35, $I$2, $I$3))),IF(J34=J$6,"",J34),_xll.ciqfunctions.udf.CIQ(J$6,$F$2, $A35, $I$2, $I$3)))</f>
        <v/>
      </c>
      <c r="K35" s="1033" t="str">
        <f>IF(K$6="","",IF(NOT(ISNUMBER(_xll.ciqfunctions.udf.CIQ(K$6,$F$2, $A35, $I$2, $I$3))),IF(K34=K$6,"",K34),_xll.ciqfunctions.udf.CIQ(K$6,$F$2, $A35, $I$2, $I$3)))</f>
        <v/>
      </c>
      <c r="L35" s="254" t="str">
        <f>IF(L$6="","",IF(NOT(ISNUMBER(_xll.ciqfunctions.udf.CIQ(L$6,$F$2, $A35, $I$2, $I$3))),IF(L34=L$6,"",L34),_xll.ciqfunctions.udf.CIQ(L$6,$F$2, $A35, $I$2, $I$3)))</f>
        <v/>
      </c>
      <c r="M35" s="254" t="str">
        <f>IF(M$6="","",IF(NOT(ISNUMBER(_xll.ciqfunctions.udf.CIQ(M$6,$F$2, $A35, $I$2, $I$3))),IF(M34=M$6,"",M34),_xll.ciqfunctions.udf.CIQ(M$6,$F$2, $A35, $I$2, $I$3)))</f>
        <v/>
      </c>
      <c r="N35" s="254" t="str">
        <f>IF(N$6="","",IF(NOT(ISNUMBER(_xll.ciqfunctions.udf.CIQ(N$6,$F$2, $A35, $I$2, $I$3))),IF(N34=N$6,"",N34),_xll.ciqfunctions.udf.CIQ(N$6,$F$2, $A35, $I$2, $I$3)))</f>
        <v/>
      </c>
      <c r="O35" s="254" t="str">
        <f>IF(O$6="","",IF(NOT(ISNUMBER(_xll.ciqfunctions.udf.CIQ(O$6,$F$2, $A35, $I$2, $I$3))),IF(O34=O$6,"",O34),_xll.ciqfunctions.udf.CIQ(O$6,$F$2, $A35, $I$2, $I$3)))</f>
        <v/>
      </c>
      <c r="P35" s="254" t="str">
        <f>IF(P$6="","",IF(NOT(ISNUMBER(_xll.ciqfunctions.udf.CIQ(P$6,$F$2, $A35, $I$2, $I$3))),IF(P34=P$6,"",P34),_xll.ciqfunctions.udf.CIQ(P$6,$F$2, $A35, $I$2, $I$3)))</f>
        <v/>
      </c>
      <c r="Q35" s="254"/>
      <c r="R35" s="251">
        <f t="shared" si="16"/>
        <v>43021</v>
      </c>
      <c r="S35" s="255">
        <f t="shared" si="35"/>
        <v>0.20172031076581587</v>
      </c>
      <c r="T35" s="255">
        <f t="shared" si="36"/>
        <v>0.1068804487735564</v>
      </c>
      <c r="U35" s="255">
        <f t="shared" si="37"/>
        <v>9.4075875997910119E-2</v>
      </c>
      <c r="V35" s="255">
        <f t="shared" si="52"/>
        <v>-5.3730168664048006E-2</v>
      </c>
      <c r="W35" s="255">
        <f t="array" ref="W35">IFERROR(AVERAGE(IF(ISERROR(X35:AG35),"",X35:AG35)),"")</f>
        <v>-4.675293696702254E-2</v>
      </c>
      <c r="X35" s="255">
        <f t="shared" si="53"/>
        <v>-4.675293696702254E-2</v>
      </c>
      <c r="Y35" s="255" t="e">
        <f t="shared" si="54"/>
        <v>#N/A</v>
      </c>
      <c r="Z35" s="255" t="e">
        <f t="shared" si="55"/>
        <v>#N/A</v>
      </c>
      <c r="AA35" s="255" t="e">
        <f t="shared" si="56"/>
        <v>#N/A</v>
      </c>
      <c r="AB35" s="255" t="e">
        <f t="shared" si="57"/>
        <v>#N/A</v>
      </c>
      <c r="AC35" s="255" t="e">
        <f t="shared" si="58"/>
        <v>#N/A</v>
      </c>
      <c r="AD35" s="255" t="e">
        <f t="shared" si="59"/>
        <v>#N/A</v>
      </c>
      <c r="AE35" s="255" t="e">
        <f t="shared" si="60"/>
        <v>#N/A</v>
      </c>
      <c r="AF35" s="255" t="e">
        <f t="shared" si="61"/>
        <v>#N/A</v>
      </c>
      <c r="AG35" s="255" t="e">
        <f t="shared" si="62"/>
        <v>#N/A</v>
      </c>
      <c r="AI35" s="251">
        <f t="shared" si="27"/>
        <v>43021</v>
      </c>
      <c r="AJ35" s="718">
        <f>IF(OR($B35="No",AJ$6=""),"",IF(NOT(ISNUMBER(_xll.ciqfunctions.udf.CIQ(AJ$6,"IQ_TEV",$AI35,$I$2,$I$3))),"",_xll.ciqfunctions.udf.CIQ(AJ$6,"IQ_TEV",$AI35,$I$2,$I$3)))</f>
        <v>302933.40632000001</v>
      </c>
      <c r="AK35" s="718">
        <f>IF(OR($B35="No",AK$6=""),"",IF(NOT(ISNUMBER(_xll.ciqfunctions.udf.CIQ(AK$6,"IQ_TEV",$AI35,$I$2,$I$3))),"",_xll.ciqfunctions.udf.CIQ(AK$6,"IQ_TEV",$AI35,$I$2,$I$3)))</f>
        <v>71068.059399999998</v>
      </c>
      <c r="AL35" s="718" t="str">
        <f>IF(OR($B35="No",AL$6=""),"",IF(NOT(ISNUMBER(_xll.ciqfunctions.udf.CIQ(AL$6,"IQ_TEV",$AI35,$I$2,$I$3))),"",_xll.ciqfunctions.udf.CIQ(AL$6,"IQ_TEV",$AI35,$I$2,$I$3)))</f>
        <v/>
      </c>
      <c r="AM35" s="718" t="str">
        <f>IF(OR($B35="No",AM$6=""),"",IF(NOT(ISNUMBER(_xll.ciqfunctions.udf.CIQ(AM$6,"IQ_TEV",$AI35,$I$2,$I$3))),"",_xll.ciqfunctions.udf.CIQ(AM$6,"IQ_TEV",$AI35,$I$2,$I$3)))</f>
        <v/>
      </c>
      <c r="AN35" s="718" t="str">
        <f>IF(OR($B35="No",AN$6=""),"",IF(NOT(ISNUMBER(_xll.ciqfunctions.udf.CIQ(AN$6,"IQ_TEV",$AI35,$I$2,$I$3))),"",_xll.ciqfunctions.udf.CIQ(AN$6,"IQ_TEV",$AI35,$I$2,$I$3)))</f>
        <v/>
      </c>
      <c r="AO35" s="718" t="str">
        <f>IF(OR($B35="No",AO$6=""),"",IF(NOT(ISNUMBER(_xll.ciqfunctions.udf.CIQ(AO$6,"IQ_TEV",$AI35,$I$2,$I$3))),"",_xll.ciqfunctions.udf.CIQ(AO$6,"IQ_TEV",$AI35,$I$2,$I$3)))</f>
        <v/>
      </c>
      <c r="AP35" s="718" t="str">
        <f>IF(OR($B35="No",AP$6=""),"",IF(NOT(ISNUMBER(_xll.ciqfunctions.udf.CIQ(AP$6,"IQ_TEV",$AI35,$I$2,$I$3))),"",_xll.ciqfunctions.udf.CIQ(AP$6,"IQ_TEV",$AI35,$I$2,$I$3)))</f>
        <v/>
      </c>
      <c r="AQ35" s="718" t="str">
        <f>IF(OR($B35="No",AQ$6=""),"",IF(NOT(ISNUMBER(_xll.ciqfunctions.udf.CIQ(AQ$6,"IQ_TEV",$AI35,$I$2,$I$3))),"",_xll.ciqfunctions.udf.CIQ(AQ$6,"IQ_TEV",$AI35,$I$2,$I$3)))</f>
        <v/>
      </c>
      <c r="AR35" s="718" t="str">
        <f>IF(OR($B35="No",AR$6=""),"",IF(NOT(ISNUMBER(_xll.ciqfunctions.udf.CIQ(AR$6,"IQ_TEV",$AI35,$I$2,$I$3))),"",_xll.ciqfunctions.udf.CIQ(AR$6,"IQ_TEV",$AI35,$I$2,$I$3)))</f>
        <v/>
      </c>
      <c r="AS35" s="718" t="str">
        <f>IF(OR($B35="No",AS$6=""),"",IF(NOT(ISNUMBER(_xll.ciqfunctions.udf.CIQ(AS$6,"IQ_TEV",$AI35,$I$2,$I$3))),"",_xll.ciqfunctions.udf.CIQ(AS$6,"IQ_TEV",$AI35,$I$2,$I$3)))</f>
        <v/>
      </c>
      <c r="AT35" s="718" t="str">
        <f>IF(OR($B35="No",AT$6=""),"",IF(NOT(ISNUMBER(_xll.ciqfunctions.udf.CIQ(AT$6,"IQ_TEV",$AI35,$I$2,$I$3))),"",_xll.ciqfunctions.udf.CIQ(AT$6,"IQ_TEV",$AI35,$I$2,$I$3)))</f>
        <v/>
      </c>
      <c r="AV35" s="251">
        <f t="shared" si="39"/>
        <v>43021</v>
      </c>
      <c r="AW35" s="719">
        <f t="shared" si="40"/>
        <v>0.16040966028029091</v>
      </c>
      <c r="AX35" s="719">
        <f t="shared" si="41"/>
        <v>-2.6262837243180903E-2</v>
      </c>
      <c r="AY35" s="719" t="e">
        <f t="shared" si="42"/>
        <v>#N/A</v>
      </c>
      <c r="AZ35" s="719" t="e">
        <f t="shared" si="43"/>
        <v>#N/A</v>
      </c>
      <c r="BA35" s="719" t="e">
        <f t="shared" si="44"/>
        <v>#N/A</v>
      </c>
      <c r="BB35" s="719" t="e">
        <f t="shared" si="45"/>
        <v>#N/A</v>
      </c>
      <c r="BC35" s="719" t="e">
        <f t="shared" si="46"/>
        <v>#N/A</v>
      </c>
      <c r="BD35" s="719" t="e">
        <f t="shared" si="47"/>
        <v>#N/A</v>
      </c>
      <c r="BE35" s="719" t="e">
        <f t="shared" si="48"/>
        <v>#N/A</v>
      </c>
      <c r="BF35" s="719" t="e">
        <f t="shared" si="49"/>
        <v>#N/A</v>
      </c>
      <c r="BG35" s="719" t="e">
        <f t="shared" si="50"/>
        <v>#N/A</v>
      </c>
    </row>
    <row r="36" spans="1:59" ht="15" customHeight="1" x14ac:dyDescent="0.2">
      <c r="A36" s="251">
        <f t="shared" si="15"/>
        <v>43028</v>
      </c>
      <c r="B36" s="253" t="str">
        <f t="shared" si="51"/>
        <v>Yes</v>
      </c>
      <c r="C36" s="1033">
        <f>IF(C$6="","",IF(NOT(ISNUMBER(_xll.ciqfunctions.udf.CIQ(C$6,$F$2, $A36, $I$2, $I$3))),IF(C35=C$6,"",C35),_xll.ciqfunctions.udf.CIQ(C$6,$F$2, $A36, $I$2, $I$3)))</f>
        <v>87.44</v>
      </c>
      <c r="D36" s="1033">
        <f>IF(D$6="","",IF(NOT(ISNUMBER(_xll.ciqfunctions.udf.CIQ(D$6,$F$2, $A36, $I$2, $I$3))),IF(D35=D$6,"",D35),_xll.ciqfunctions.udf.CIQ(D$6,$F$2, $A36, $I$2, $I$3)))</f>
        <v>23328.633300000001</v>
      </c>
      <c r="E36" s="1033">
        <f>IF(E$6="","",IF(NOT(ISNUMBER(_xll.ciqfunctions.udf.CIQ(E$6,$F$2, $A36, $I$2, $I$3))),IF(E35=E$6,"",E35),_xll.ciqfunctions.udf.CIQ(E$6,$F$2, $A36, $I$2, $I$3)))</f>
        <v>7945.2407000000003</v>
      </c>
      <c r="F36" s="1033">
        <f>IF(F$6="","",IF(NOT(ISNUMBER(_xll.ciqfunctions.udf.CIQ(F$6,$F$2, $A36, $I$2, $I$3))),IF(F35=F$6,"",F35),_xll.ciqfunctions.udf.CIQ(F$6,$F$2, $A36, $I$2, $I$3)))</f>
        <v>4221.4185100000004</v>
      </c>
      <c r="G36" s="1033">
        <f>IF(G$6="","",IF(NOT(ISNUMBER(_xll.ciqfunctions.udf.CIQ(G$6,$F$2, $A36, $I$2, $I$3))),IF(G35=G$6,"",G35),_xll.ciqfunctions.udf.CIQ(G$6,$F$2, $A36, $I$2, $I$3)))</f>
        <v>160.77000000000001</v>
      </c>
      <c r="H36" s="1033" t="str">
        <f>IF(H$6="","",IF(NOT(ISNUMBER(_xll.ciqfunctions.udf.CIQ(H$6,$F$2, $A36, $I$2, $I$3))),IF(H35=H$6,"",H35),_xll.ciqfunctions.udf.CIQ(H$6,$F$2, $A36, $I$2, $I$3)))</f>
        <v/>
      </c>
      <c r="I36" s="1033" t="str">
        <f>IF(I$6="","",IF(NOT(ISNUMBER(_xll.ciqfunctions.udf.CIQ(I$6,$F$2, $A36, $I$2, $I$3))),IF(I35=I$6,"",I35),_xll.ciqfunctions.udf.CIQ(I$6,$F$2, $A36, $I$2, $I$3)))</f>
        <v/>
      </c>
      <c r="J36" s="1033" t="str">
        <f>IF(J$6="","",IF(NOT(ISNUMBER(_xll.ciqfunctions.udf.CIQ(J$6,$F$2, $A36, $I$2, $I$3))),IF(J35=J$6,"",J35),_xll.ciqfunctions.udf.CIQ(J$6,$F$2, $A36, $I$2, $I$3)))</f>
        <v/>
      </c>
      <c r="K36" s="1033" t="str">
        <f>IF(K$6="","",IF(NOT(ISNUMBER(_xll.ciqfunctions.udf.CIQ(K$6,$F$2, $A36, $I$2, $I$3))),IF(K35=K$6,"",K35),_xll.ciqfunctions.udf.CIQ(K$6,$F$2, $A36, $I$2, $I$3)))</f>
        <v/>
      </c>
      <c r="L36" s="254" t="str">
        <f>IF(L$6="","",IF(NOT(ISNUMBER(_xll.ciqfunctions.udf.CIQ(L$6,$F$2, $A36, $I$2, $I$3))),IF(L35=L$6,"",L35),_xll.ciqfunctions.udf.CIQ(L$6,$F$2, $A36, $I$2, $I$3)))</f>
        <v/>
      </c>
      <c r="M36" s="254" t="str">
        <f>IF(M$6="","",IF(NOT(ISNUMBER(_xll.ciqfunctions.udf.CIQ(M$6,$F$2, $A36, $I$2, $I$3))),IF(M35=M$6,"",M35),_xll.ciqfunctions.udf.CIQ(M$6,$F$2, $A36, $I$2, $I$3)))</f>
        <v/>
      </c>
      <c r="N36" s="254" t="str">
        <f>IF(N$6="","",IF(NOT(ISNUMBER(_xll.ciqfunctions.udf.CIQ(N$6,$F$2, $A36, $I$2, $I$3))),IF(N35=N$6,"",N35),_xll.ciqfunctions.udf.CIQ(N$6,$F$2, $A36, $I$2, $I$3)))</f>
        <v/>
      </c>
      <c r="O36" s="254" t="str">
        <f>IF(O$6="","",IF(NOT(ISNUMBER(_xll.ciqfunctions.udf.CIQ(O$6,$F$2, $A36, $I$2, $I$3))),IF(O35=O$6,"",O35),_xll.ciqfunctions.udf.CIQ(O$6,$F$2, $A36, $I$2, $I$3)))</f>
        <v/>
      </c>
      <c r="P36" s="254" t="str">
        <f>IF(P$6="","",IF(NOT(ISNUMBER(_xll.ciqfunctions.udf.CIQ(P$6,$F$2, $A36, $I$2, $I$3))),IF(P35=P$6,"",P35),_xll.ciqfunctions.udf.CIQ(P$6,$F$2, $A36, $I$2, $I$3)))</f>
        <v/>
      </c>
      <c r="Q36" s="254"/>
      <c r="R36" s="251">
        <f t="shared" si="16"/>
        <v>43028</v>
      </c>
      <c r="S36" s="255">
        <f t="shared" si="35"/>
        <v>0.21309655937846839</v>
      </c>
      <c r="T36" s="255">
        <f t="shared" si="36"/>
        <v>0.12899306609847594</v>
      </c>
      <c r="U36" s="255">
        <f t="shared" si="37"/>
        <v>0.11031853492377963</v>
      </c>
      <c r="V36" s="255">
        <f t="shared" si="52"/>
        <v>-3.8343233531981991E-2</v>
      </c>
      <c r="W36" s="255">
        <f t="array" ref="W36">IFERROR(AVERAGE(IF(ISERROR(X36:AG36),"",X36:AG36)),"")</f>
        <v>-4.126662293517791E-2</v>
      </c>
      <c r="X36" s="255">
        <f t="shared" si="53"/>
        <v>-4.126662293517791E-2</v>
      </c>
      <c r="Y36" s="255" t="e">
        <f t="shared" si="54"/>
        <v>#N/A</v>
      </c>
      <c r="Z36" s="255" t="e">
        <f t="shared" si="55"/>
        <v>#N/A</v>
      </c>
      <c r="AA36" s="255" t="e">
        <f t="shared" si="56"/>
        <v>#N/A</v>
      </c>
      <c r="AB36" s="255" t="e">
        <f t="shared" si="57"/>
        <v>#N/A</v>
      </c>
      <c r="AC36" s="255" t="e">
        <f t="shared" si="58"/>
        <v>#N/A</v>
      </c>
      <c r="AD36" s="255" t="e">
        <f t="shared" si="59"/>
        <v>#N/A</v>
      </c>
      <c r="AE36" s="255" t="e">
        <f t="shared" si="60"/>
        <v>#N/A</v>
      </c>
      <c r="AF36" s="255" t="e">
        <f t="shared" si="61"/>
        <v>#N/A</v>
      </c>
      <c r="AG36" s="255" t="e">
        <f t="shared" si="62"/>
        <v>#N/A</v>
      </c>
      <c r="AI36" s="251">
        <f t="shared" si="27"/>
        <v>43028</v>
      </c>
      <c r="AJ36" s="718">
        <f>IF(OR($B36="No",AJ$6=""),"",IF(NOT(ISNUMBER(_xll.ciqfunctions.udf.CIQ(AJ$6,"IQ_TEV",$AI36,$I$2,$I$3))),"",_xll.ciqfunctions.udf.CIQ(AJ$6,"IQ_TEV",$AI36,$I$2,$I$3)))</f>
        <v>305382.91165999998</v>
      </c>
      <c r="AK36" s="718">
        <f>IF(OR($B36="No",AK$6=""),"",IF(NOT(ISNUMBER(_xll.ciqfunctions.udf.CIQ(AK$6,"IQ_TEV",$AI36,$I$2,$I$3))),"",_xll.ciqfunctions.udf.CIQ(AK$6,"IQ_TEV",$AI36,$I$2,$I$3)))</f>
        <v>71815.818960000004</v>
      </c>
      <c r="AL36" s="718" t="str">
        <f>IF(OR($B36="No",AL$6=""),"",IF(NOT(ISNUMBER(_xll.ciqfunctions.udf.CIQ(AL$6,"IQ_TEV",$AI36,$I$2,$I$3))),"",_xll.ciqfunctions.udf.CIQ(AL$6,"IQ_TEV",$AI36,$I$2,$I$3)))</f>
        <v/>
      </c>
      <c r="AM36" s="718" t="str">
        <f>IF(OR($B36="No",AM$6=""),"",IF(NOT(ISNUMBER(_xll.ciqfunctions.udf.CIQ(AM$6,"IQ_TEV",$AI36,$I$2,$I$3))),"",_xll.ciqfunctions.udf.CIQ(AM$6,"IQ_TEV",$AI36,$I$2,$I$3)))</f>
        <v/>
      </c>
      <c r="AN36" s="718" t="str">
        <f>IF(OR($B36="No",AN$6=""),"",IF(NOT(ISNUMBER(_xll.ciqfunctions.udf.CIQ(AN$6,"IQ_TEV",$AI36,$I$2,$I$3))),"",_xll.ciqfunctions.udf.CIQ(AN$6,"IQ_TEV",$AI36,$I$2,$I$3)))</f>
        <v/>
      </c>
      <c r="AO36" s="718" t="str">
        <f>IF(OR($B36="No",AO$6=""),"",IF(NOT(ISNUMBER(_xll.ciqfunctions.udf.CIQ(AO$6,"IQ_TEV",$AI36,$I$2,$I$3))),"",_xll.ciqfunctions.udf.CIQ(AO$6,"IQ_TEV",$AI36,$I$2,$I$3)))</f>
        <v/>
      </c>
      <c r="AP36" s="718" t="str">
        <f>IF(OR($B36="No",AP$6=""),"",IF(NOT(ISNUMBER(_xll.ciqfunctions.udf.CIQ(AP$6,"IQ_TEV",$AI36,$I$2,$I$3))),"",_xll.ciqfunctions.udf.CIQ(AP$6,"IQ_TEV",$AI36,$I$2,$I$3)))</f>
        <v/>
      </c>
      <c r="AQ36" s="718" t="str">
        <f>IF(OR($B36="No",AQ$6=""),"",IF(NOT(ISNUMBER(_xll.ciqfunctions.udf.CIQ(AQ$6,"IQ_TEV",$AI36,$I$2,$I$3))),"",_xll.ciqfunctions.udf.CIQ(AQ$6,"IQ_TEV",$AI36,$I$2,$I$3)))</f>
        <v/>
      </c>
      <c r="AR36" s="718" t="str">
        <f>IF(OR($B36="No",AR$6=""),"",IF(NOT(ISNUMBER(_xll.ciqfunctions.udf.CIQ(AR$6,"IQ_TEV",$AI36,$I$2,$I$3))),"",_xll.ciqfunctions.udf.CIQ(AR$6,"IQ_TEV",$AI36,$I$2,$I$3)))</f>
        <v/>
      </c>
      <c r="AS36" s="718" t="str">
        <f>IF(OR($B36="No",AS$6=""),"",IF(NOT(ISNUMBER(_xll.ciqfunctions.udf.CIQ(AS$6,"IQ_TEV",$AI36,$I$2,$I$3))),"",_xll.ciqfunctions.udf.CIQ(AS$6,"IQ_TEV",$AI36,$I$2,$I$3)))</f>
        <v/>
      </c>
      <c r="AT36" s="718" t="str">
        <f>IF(OR($B36="No",AT$6=""),"",IF(NOT(ISNUMBER(_xll.ciqfunctions.udf.CIQ(AT$6,"IQ_TEV",$AI36,$I$2,$I$3))),"",_xll.ciqfunctions.udf.CIQ(AT$6,"IQ_TEV",$AI36,$I$2,$I$3)))</f>
        <v/>
      </c>
      <c r="AV36" s="251">
        <f t="shared" si="39"/>
        <v>43028</v>
      </c>
      <c r="AW36" s="719">
        <f t="shared" si="40"/>
        <v>0.16979267846231871</v>
      </c>
      <c r="AX36" s="719">
        <f t="shared" si="41"/>
        <v>-1.6017429129804306E-2</v>
      </c>
      <c r="AY36" s="719" t="e">
        <f t="shared" si="42"/>
        <v>#N/A</v>
      </c>
      <c r="AZ36" s="719" t="e">
        <f t="shared" si="43"/>
        <v>#N/A</v>
      </c>
      <c r="BA36" s="719" t="e">
        <f t="shared" si="44"/>
        <v>#N/A</v>
      </c>
      <c r="BB36" s="719" t="e">
        <f t="shared" si="45"/>
        <v>#N/A</v>
      </c>
      <c r="BC36" s="719" t="e">
        <f t="shared" si="46"/>
        <v>#N/A</v>
      </c>
      <c r="BD36" s="719" t="e">
        <f t="shared" si="47"/>
        <v>#N/A</v>
      </c>
      <c r="BE36" s="719" t="e">
        <f t="shared" si="48"/>
        <v>#N/A</v>
      </c>
      <c r="BF36" s="719" t="e">
        <f t="shared" si="49"/>
        <v>#N/A</v>
      </c>
      <c r="BG36" s="719" t="e">
        <f t="shared" si="50"/>
        <v>#N/A</v>
      </c>
    </row>
    <row r="37" spans="1:59" ht="15" customHeight="1" x14ac:dyDescent="0.2">
      <c r="A37" s="251">
        <f t="shared" si="15"/>
        <v>43035</v>
      </c>
      <c r="B37" s="253" t="str">
        <f t="shared" si="51"/>
        <v>Yes</v>
      </c>
      <c r="C37" s="1033">
        <f>IF(C$6="","",IF(NOT(ISNUMBER(_xll.ciqfunctions.udf.CIQ(C$6,$F$2, $A37, $I$2, $I$3))),IF(C36=C$6,"",C36),_xll.ciqfunctions.udf.CIQ(C$6,$F$2, $A37, $I$2, $I$3)))</f>
        <v>88.17</v>
      </c>
      <c r="D37" s="1033">
        <f>IF(D$6="","",IF(NOT(ISNUMBER(_xll.ciqfunctions.udf.CIQ(D$6,$F$2, $A37, $I$2, $I$3))),IF(D36=D$6,"",D36),_xll.ciqfunctions.udf.CIQ(D$6,$F$2, $A37, $I$2, $I$3)))</f>
        <v>23434.187119999999</v>
      </c>
      <c r="E37" s="1033">
        <f>IF(E$6="","",IF(NOT(ISNUMBER(_xll.ciqfunctions.udf.CIQ(E$6,$F$2, $A37, $I$2, $I$3))),IF(E36=E$6,"",E36),_xll.ciqfunctions.udf.CIQ(E$6,$F$2, $A37, $I$2, $I$3)))</f>
        <v>7960.8603800000001</v>
      </c>
      <c r="F37" s="1033">
        <f>IF(F$6="","",IF(NOT(ISNUMBER(_xll.ciqfunctions.udf.CIQ(F$6,$F$2, $A37, $I$2, $I$3))),IF(F36=F$6,"",F36),_xll.ciqfunctions.udf.CIQ(F$6,$F$2, $A37, $I$2, $I$3)))</f>
        <v>4165.7610299999997</v>
      </c>
      <c r="G37" s="1033">
        <f>IF(G$6="","",IF(NOT(ISNUMBER(_xll.ciqfunctions.udf.CIQ(G$6,$F$2, $A37, $I$2, $I$3))),IF(G36=G$6,"",G36),_xll.ciqfunctions.udf.CIQ(G$6,$F$2, $A37, $I$2, $I$3)))</f>
        <v>162.38</v>
      </c>
      <c r="H37" s="1033" t="str">
        <f>IF(H$6="","",IF(NOT(ISNUMBER(_xll.ciqfunctions.udf.CIQ(H$6,$F$2, $A37, $I$2, $I$3))),IF(H36=H$6,"",H36),_xll.ciqfunctions.udf.CIQ(H$6,$F$2, $A37, $I$2, $I$3)))</f>
        <v/>
      </c>
      <c r="I37" s="1033" t="str">
        <f>IF(I$6="","",IF(NOT(ISNUMBER(_xll.ciqfunctions.udf.CIQ(I$6,$F$2, $A37, $I$2, $I$3))),IF(I36=I$6,"",I36),_xll.ciqfunctions.udf.CIQ(I$6,$F$2, $A37, $I$2, $I$3)))</f>
        <v/>
      </c>
      <c r="J37" s="1033" t="str">
        <f>IF(J$6="","",IF(NOT(ISNUMBER(_xll.ciqfunctions.udf.CIQ(J$6,$F$2, $A37, $I$2, $I$3))),IF(J36=J$6,"",J36),_xll.ciqfunctions.udf.CIQ(J$6,$F$2, $A37, $I$2, $I$3)))</f>
        <v/>
      </c>
      <c r="K37" s="1033" t="str">
        <f>IF(K$6="","",IF(NOT(ISNUMBER(_xll.ciqfunctions.udf.CIQ(K$6,$F$2, $A37, $I$2, $I$3))),IF(K36=K$6,"",K36),_xll.ciqfunctions.udf.CIQ(K$6,$F$2, $A37, $I$2, $I$3)))</f>
        <v/>
      </c>
      <c r="L37" s="254" t="str">
        <f>IF(L$6="","",IF(NOT(ISNUMBER(_xll.ciqfunctions.udf.CIQ(L$6,$F$2, $A37, $I$2, $I$3))),IF(L36=L$6,"",L36),_xll.ciqfunctions.udf.CIQ(L$6,$F$2, $A37, $I$2, $I$3)))</f>
        <v/>
      </c>
      <c r="M37" s="254" t="str">
        <f>IF(M$6="","",IF(NOT(ISNUMBER(_xll.ciqfunctions.udf.CIQ(M$6,$F$2, $A37, $I$2, $I$3))),IF(M36=M$6,"",M36),_xll.ciqfunctions.udf.CIQ(M$6,$F$2, $A37, $I$2, $I$3)))</f>
        <v/>
      </c>
      <c r="N37" s="254" t="str">
        <f>IF(N$6="","",IF(NOT(ISNUMBER(_xll.ciqfunctions.udf.CIQ(N$6,$F$2, $A37, $I$2, $I$3))),IF(N36=N$6,"",N36),_xll.ciqfunctions.udf.CIQ(N$6,$F$2, $A37, $I$2, $I$3)))</f>
        <v/>
      </c>
      <c r="O37" s="254" t="str">
        <f>IF(O$6="","",IF(NOT(ISNUMBER(_xll.ciqfunctions.udf.CIQ(O$6,$F$2, $A37, $I$2, $I$3))),IF(O36=O$6,"",O36),_xll.ciqfunctions.udf.CIQ(O$6,$F$2, $A37, $I$2, $I$3)))</f>
        <v/>
      </c>
      <c r="P37" s="254" t="str">
        <f>IF(P$6="","",IF(NOT(ISNUMBER(_xll.ciqfunctions.udf.CIQ(P$6,$F$2, $A37, $I$2, $I$3))),IF(P36=P$6,"",P36),_xll.ciqfunctions.udf.CIQ(P$6,$F$2, $A37, $I$2, $I$3)))</f>
        <v/>
      </c>
      <c r="Q37" s="254"/>
      <c r="R37" s="251">
        <f t="shared" si="16"/>
        <v>43035</v>
      </c>
      <c r="S37" s="255">
        <f t="shared" si="35"/>
        <v>0.22322419533851279</v>
      </c>
      <c r="T37" s="255">
        <f t="shared" si="36"/>
        <v>0.13410136067140344</v>
      </c>
      <c r="U37" s="255">
        <f t="shared" si="37"/>
        <v>0.11250132848138428</v>
      </c>
      <c r="V37" s="255">
        <f t="shared" si="52"/>
        <v>-5.1022239918050771E-2</v>
      </c>
      <c r="W37" s="255">
        <f t="array" ref="W37">IFERROR(AVERAGE(IF(ISERROR(X37:AG37),"",X37:AG37)),"")</f>
        <v>-3.1665573379450196E-2</v>
      </c>
      <c r="X37" s="255">
        <f t="shared" si="53"/>
        <v>-3.1665573379450196E-2</v>
      </c>
      <c r="Y37" s="255" t="e">
        <f t="shared" si="54"/>
        <v>#N/A</v>
      </c>
      <c r="Z37" s="255" t="e">
        <f t="shared" si="55"/>
        <v>#N/A</v>
      </c>
      <c r="AA37" s="255" t="e">
        <f t="shared" si="56"/>
        <v>#N/A</v>
      </c>
      <c r="AB37" s="255" t="e">
        <f t="shared" si="57"/>
        <v>#N/A</v>
      </c>
      <c r="AC37" s="255" t="e">
        <f t="shared" si="58"/>
        <v>#N/A</v>
      </c>
      <c r="AD37" s="255" t="e">
        <f t="shared" si="59"/>
        <v>#N/A</v>
      </c>
      <c r="AE37" s="255" t="e">
        <f t="shared" si="60"/>
        <v>#N/A</v>
      </c>
      <c r="AF37" s="255" t="e">
        <f t="shared" si="61"/>
        <v>#N/A</v>
      </c>
      <c r="AG37" s="255" t="e">
        <f t="shared" si="62"/>
        <v>#N/A</v>
      </c>
      <c r="AI37" s="251">
        <f t="shared" si="27"/>
        <v>43035</v>
      </c>
      <c r="AJ37" s="718">
        <f>IF(OR($B37="No",AJ$6=""),"",IF(NOT(ISNUMBER(_xll.ciqfunctions.udf.CIQ(AJ$6,"IQ_TEV",$AI37,$I$2,$I$3))),"",_xll.ciqfunctions.udf.CIQ(AJ$6,"IQ_TEV",$AI37,$I$2,$I$3)))</f>
        <v>307563.56886</v>
      </c>
      <c r="AK37" s="718">
        <f>IF(OR($B37="No",AK$6=""),"",IF(NOT(ISNUMBER(_xll.ciqfunctions.udf.CIQ(AK$6,"IQ_TEV",$AI37,$I$2,$I$3))),"",_xll.ciqfunctions.udf.CIQ(AK$6,"IQ_TEV",$AI37,$I$2,$I$3)))</f>
        <v>72519.372220000005</v>
      </c>
      <c r="AL37" s="718" t="str">
        <f>IF(OR($B37="No",AL$6=""),"",IF(NOT(ISNUMBER(_xll.ciqfunctions.udf.CIQ(AL$6,"IQ_TEV",$AI37,$I$2,$I$3))),"",_xll.ciqfunctions.udf.CIQ(AL$6,"IQ_TEV",$AI37,$I$2,$I$3)))</f>
        <v/>
      </c>
      <c r="AM37" s="718" t="str">
        <f>IF(OR($B37="No",AM$6=""),"",IF(NOT(ISNUMBER(_xll.ciqfunctions.udf.CIQ(AM$6,"IQ_TEV",$AI37,$I$2,$I$3))),"",_xll.ciqfunctions.udf.CIQ(AM$6,"IQ_TEV",$AI37,$I$2,$I$3)))</f>
        <v/>
      </c>
      <c r="AN37" s="718" t="str">
        <f>IF(OR($B37="No",AN$6=""),"",IF(NOT(ISNUMBER(_xll.ciqfunctions.udf.CIQ(AN$6,"IQ_TEV",$AI37,$I$2,$I$3))),"",_xll.ciqfunctions.udf.CIQ(AN$6,"IQ_TEV",$AI37,$I$2,$I$3)))</f>
        <v/>
      </c>
      <c r="AO37" s="718" t="str">
        <f>IF(OR($B37="No",AO$6=""),"",IF(NOT(ISNUMBER(_xll.ciqfunctions.udf.CIQ(AO$6,"IQ_TEV",$AI37,$I$2,$I$3))),"",_xll.ciqfunctions.udf.CIQ(AO$6,"IQ_TEV",$AI37,$I$2,$I$3)))</f>
        <v/>
      </c>
      <c r="AP37" s="718" t="str">
        <f>IF(OR($B37="No",AP$6=""),"",IF(NOT(ISNUMBER(_xll.ciqfunctions.udf.CIQ(AP$6,"IQ_TEV",$AI37,$I$2,$I$3))),"",_xll.ciqfunctions.udf.CIQ(AP$6,"IQ_TEV",$AI37,$I$2,$I$3)))</f>
        <v/>
      </c>
      <c r="AQ37" s="718" t="str">
        <f>IF(OR($B37="No",AQ$6=""),"",IF(NOT(ISNUMBER(_xll.ciqfunctions.udf.CIQ(AQ$6,"IQ_TEV",$AI37,$I$2,$I$3))),"",_xll.ciqfunctions.udf.CIQ(AQ$6,"IQ_TEV",$AI37,$I$2,$I$3)))</f>
        <v/>
      </c>
      <c r="AR37" s="718" t="str">
        <f>IF(OR($B37="No",AR$6=""),"",IF(NOT(ISNUMBER(_xll.ciqfunctions.udf.CIQ(AR$6,"IQ_TEV",$AI37,$I$2,$I$3))),"",_xll.ciqfunctions.udf.CIQ(AR$6,"IQ_TEV",$AI37,$I$2,$I$3)))</f>
        <v/>
      </c>
      <c r="AS37" s="718" t="str">
        <f>IF(OR($B37="No",AS$6=""),"",IF(NOT(ISNUMBER(_xll.ciqfunctions.udf.CIQ(AS$6,"IQ_TEV",$AI37,$I$2,$I$3))),"",_xll.ciqfunctions.udf.CIQ(AS$6,"IQ_TEV",$AI37,$I$2,$I$3)))</f>
        <v/>
      </c>
      <c r="AT37" s="718" t="str">
        <f>IF(OR($B37="No",AT$6=""),"",IF(NOT(ISNUMBER(_xll.ciqfunctions.udf.CIQ(AT$6,"IQ_TEV",$AI37,$I$2,$I$3))),"",_xll.ciqfunctions.udf.CIQ(AT$6,"IQ_TEV",$AI37,$I$2,$I$3)))</f>
        <v/>
      </c>
      <c r="AV37" s="251">
        <f t="shared" si="39"/>
        <v>43035</v>
      </c>
      <c r="AW37" s="719">
        <f t="shared" si="40"/>
        <v>0.17814585321243781</v>
      </c>
      <c r="AX37" s="719">
        <f t="shared" si="41"/>
        <v>-6.377712483190523E-3</v>
      </c>
      <c r="AY37" s="719" t="e">
        <f t="shared" si="42"/>
        <v>#N/A</v>
      </c>
      <c r="AZ37" s="719" t="e">
        <f t="shared" si="43"/>
        <v>#N/A</v>
      </c>
      <c r="BA37" s="719" t="e">
        <f t="shared" si="44"/>
        <v>#N/A</v>
      </c>
      <c r="BB37" s="719" t="e">
        <f t="shared" si="45"/>
        <v>#N/A</v>
      </c>
      <c r="BC37" s="719" t="e">
        <f t="shared" si="46"/>
        <v>#N/A</v>
      </c>
      <c r="BD37" s="719" t="e">
        <f t="shared" si="47"/>
        <v>#N/A</v>
      </c>
      <c r="BE37" s="719" t="e">
        <f t="shared" si="48"/>
        <v>#N/A</v>
      </c>
      <c r="BF37" s="719" t="e">
        <f t="shared" si="49"/>
        <v>#N/A</v>
      </c>
      <c r="BG37" s="719" t="e">
        <f t="shared" si="50"/>
        <v>#N/A</v>
      </c>
    </row>
    <row r="38" spans="1:59" ht="15" customHeight="1" x14ac:dyDescent="0.2">
      <c r="A38" s="251">
        <f t="shared" si="15"/>
        <v>43042</v>
      </c>
      <c r="B38" s="253" t="str">
        <f t="shared" si="51"/>
        <v>Yes</v>
      </c>
      <c r="C38" s="1033">
        <f>IF(C$6="","",IF(NOT(ISNUMBER(_xll.ciqfunctions.udf.CIQ(C$6,$F$2, $A38, $I$2, $I$3))),IF(C37=C$6,"",C37),_xll.ciqfunctions.udf.CIQ(C$6,$F$2, $A38, $I$2, $I$3)))</f>
        <v>89.68</v>
      </c>
      <c r="D38" s="1033">
        <f>IF(D$6="","",IF(NOT(ISNUMBER(_xll.ciqfunctions.udf.CIQ(D$6,$F$2, $A38, $I$2, $I$3))),IF(D37=D$6,"",D37),_xll.ciqfunctions.udf.CIQ(D$6,$F$2, $A38, $I$2, $I$3)))</f>
        <v>23539.1901</v>
      </c>
      <c r="E38" s="1033">
        <f>IF(E$6="","",IF(NOT(ISNUMBER(_xll.ciqfunctions.udf.CIQ(E$6,$F$2, $A38, $I$2, $I$3))),IF(E37=E$6,"",E37),_xll.ciqfunctions.udf.CIQ(E$6,$F$2, $A38, $I$2, $I$3)))</f>
        <v>7945.5999300000003</v>
      </c>
      <c r="F38" s="1033">
        <f>IF(F$6="","",IF(NOT(ISNUMBER(_xll.ciqfunctions.udf.CIQ(F$6,$F$2, $A38, $I$2, $I$3))),IF(F37=F$6,"",F37),_xll.ciqfunctions.udf.CIQ(F$6,$F$2, $A38, $I$2, $I$3)))</f>
        <v>4140.0403999999999</v>
      </c>
      <c r="G38" s="1033">
        <f>IF(G$6="","",IF(NOT(ISNUMBER(_xll.ciqfunctions.udf.CIQ(G$6,$F$2, $A38, $I$2, $I$3))),IF(G37=G$6,"",G37),_xll.ciqfunctions.udf.CIQ(G$6,$F$2, $A38, $I$2, $I$3)))</f>
        <v>166.44</v>
      </c>
      <c r="H38" s="1033" t="str">
        <f>IF(H$6="","",IF(NOT(ISNUMBER(_xll.ciqfunctions.udf.CIQ(H$6,$F$2, $A38, $I$2, $I$3))),IF(H37=H$6,"",H37),_xll.ciqfunctions.udf.CIQ(H$6,$F$2, $A38, $I$2, $I$3)))</f>
        <v/>
      </c>
      <c r="I38" s="1033" t="str">
        <f>IF(I$6="","",IF(NOT(ISNUMBER(_xll.ciqfunctions.udf.CIQ(I$6,$F$2, $A38, $I$2, $I$3))),IF(I37=I$6,"",I37),_xll.ciqfunctions.udf.CIQ(I$6,$F$2, $A38, $I$2, $I$3)))</f>
        <v/>
      </c>
      <c r="J38" s="1033" t="str">
        <f>IF(J$6="","",IF(NOT(ISNUMBER(_xll.ciqfunctions.udf.CIQ(J$6,$F$2, $A38, $I$2, $I$3))),IF(J37=J$6,"",J37),_xll.ciqfunctions.udf.CIQ(J$6,$F$2, $A38, $I$2, $I$3)))</f>
        <v/>
      </c>
      <c r="K38" s="1033" t="str">
        <f>IF(K$6="","",IF(NOT(ISNUMBER(_xll.ciqfunctions.udf.CIQ(K$6,$F$2, $A38, $I$2, $I$3))),IF(K37=K$6,"",K37),_xll.ciqfunctions.udf.CIQ(K$6,$F$2, $A38, $I$2, $I$3)))</f>
        <v/>
      </c>
      <c r="L38" s="254" t="str">
        <f>IF(L$6="","",IF(NOT(ISNUMBER(_xll.ciqfunctions.udf.CIQ(L$6,$F$2, $A38, $I$2, $I$3))),IF(L37=L$6,"",L37),_xll.ciqfunctions.udf.CIQ(L$6,$F$2, $A38, $I$2, $I$3)))</f>
        <v/>
      </c>
      <c r="M38" s="254" t="str">
        <f>IF(M$6="","",IF(NOT(ISNUMBER(_xll.ciqfunctions.udf.CIQ(M$6,$F$2, $A38, $I$2, $I$3))),IF(M37=M$6,"",M37),_xll.ciqfunctions.udf.CIQ(M$6,$F$2, $A38, $I$2, $I$3)))</f>
        <v/>
      </c>
      <c r="N38" s="254" t="str">
        <f>IF(N$6="","",IF(NOT(ISNUMBER(_xll.ciqfunctions.udf.CIQ(N$6,$F$2, $A38, $I$2, $I$3))),IF(N37=N$6,"",N37),_xll.ciqfunctions.udf.CIQ(N$6,$F$2, $A38, $I$2, $I$3)))</f>
        <v/>
      </c>
      <c r="O38" s="254" t="str">
        <f>IF(O$6="","",IF(NOT(ISNUMBER(_xll.ciqfunctions.udf.CIQ(O$6,$F$2, $A38, $I$2, $I$3))),IF(O37=O$6,"",O37),_xll.ciqfunctions.udf.CIQ(O$6,$F$2, $A38, $I$2, $I$3)))</f>
        <v/>
      </c>
      <c r="P38" s="254" t="str">
        <f>IF(P$6="","",IF(NOT(ISNUMBER(_xll.ciqfunctions.udf.CIQ(P$6,$F$2, $A38, $I$2, $I$3))),IF(P37=P$6,"",P37),_xll.ciqfunctions.udf.CIQ(P$6,$F$2, $A38, $I$2, $I$3)))</f>
        <v/>
      </c>
      <c r="Q38" s="254"/>
      <c r="R38" s="251">
        <f t="shared" si="16"/>
        <v>43042</v>
      </c>
      <c r="S38" s="255">
        <f t="shared" si="35"/>
        <v>0.24417314095449516</v>
      </c>
      <c r="T38" s="255">
        <f t="shared" si="36"/>
        <v>0.13918299725144601</v>
      </c>
      <c r="U38" s="255">
        <f t="shared" si="37"/>
        <v>0.11036873601174668</v>
      </c>
      <c r="V38" s="255">
        <f t="shared" si="52"/>
        <v>-5.6881506848995289E-2</v>
      </c>
      <c r="W38" s="255">
        <f t="array" ref="W38">IFERROR(AVERAGE(IF(ISERROR(X38:AG38),"",X38:AG38)),"")</f>
        <v>-7.4542310215278684E-3</v>
      </c>
      <c r="X38" s="255">
        <f t="shared" si="53"/>
        <v>-7.4542310215278684E-3</v>
      </c>
      <c r="Y38" s="255" t="e">
        <f t="shared" si="54"/>
        <v>#N/A</v>
      </c>
      <c r="Z38" s="255" t="e">
        <f t="shared" si="55"/>
        <v>#N/A</v>
      </c>
      <c r="AA38" s="255" t="e">
        <f t="shared" si="56"/>
        <v>#N/A</v>
      </c>
      <c r="AB38" s="255" t="e">
        <f t="shared" si="57"/>
        <v>#N/A</v>
      </c>
      <c r="AC38" s="255" t="e">
        <f t="shared" si="58"/>
        <v>#N/A</v>
      </c>
      <c r="AD38" s="255" t="e">
        <f t="shared" si="59"/>
        <v>#N/A</v>
      </c>
      <c r="AE38" s="255" t="e">
        <f t="shared" si="60"/>
        <v>#N/A</v>
      </c>
      <c r="AF38" s="255" t="e">
        <f t="shared" si="61"/>
        <v>#N/A</v>
      </c>
      <c r="AG38" s="255" t="e">
        <f t="shared" si="62"/>
        <v>#N/A</v>
      </c>
      <c r="AI38" s="251">
        <f t="shared" si="27"/>
        <v>43042</v>
      </c>
      <c r="AJ38" s="718">
        <f>IF(OR($B38="No",AJ$6=""),"",IF(NOT(ISNUMBER(_xll.ciqfunctions.udf.CIQ(AJ$6,"IQ_TEV",$AI38,$I$2,$I$3))),"",_xll.ciqfunctions.udf.CIQ(AJ$6,"IQ_TEV",$AI38,$I$2,$I$3)))</f>
        <v>312074.24333999999</v>
      </c>
      <c r="AK38" s="718">
        <f>IF(OR($B38="No",AK$6=""),"",IF(NOT(ISNUMBER(_xll.ciqfunctions.udf.CIQ(AK$6,"IQ_TEV",$AI38,$I$2,$I$3))),"",_xll.ciqfunctions.udf.CIQ(AK$6,"IQ_TEV",$AI38,$I$2,$I$3)))</f>
        <v>74293.550019999995</v>
      </c>
      <c r="AL38" s="718" t="str">
        <f>IF(OR($B38="No",AL$6=""),"",IF(NOT(ISNUMBER(_xll.ciqfunctions.udf.CIQ(AL$6,"IQ_TEV",$AI38,$I$2,$I$3))),"",_xll.ciqfunctions.udf.CIQ(AL$6,"IQ_TEV",$AI38,$I$2,$I$3)))</f>
        <v/>
      </c>
      <c r="AM38" s="718" t="str">
        <f>IF(OR($B38="No",AM$6=""),"",IF(NOT(ISNUMBER(_xll.ciqfunctions.udf.CIQ(AM$6,"IQ_TEV",$AI38,$I$2,$I$3))),"",_xll.ciqfunctions.udf.CIQ(AM$6,"IQ_TEV",$AI38,$I$2,$I$3)))</f>
        <v/>
      </c>
      <c r="AN38" s="718" t="str">
        <f>IF(OR($B38="No",AN$6=""),"",IF(NOT(ISNUMBER(_xll.ciqfunctions.udf.CIQ(AN$6,"IQ_TEV",$AI38,$I$2,$I$3))),"",_xll.ciqfunctions.udf.CIQ(AN$6,"IQ_TEV",$AI38,$I$2,$I$3)))</f>
        <v/>
      </c>
      <c r="AO38" s="718" t="str">
        <f>IF(OR($B38="No",AO$6=""),"",IF(NOT(ISNUMBER(_xll.ciqfunctions.udf.CIQ(AO$6,"IQ_TEV",$AI38,$I$2,$I$3))),"",_xll.ciqfunctions.udf.CIQ(AO$6,"IQ_TEV",$AI38,$I$2,$I$3)))</f>
        <v/>
      </c>
      <c r="AP38" s="718" t="str">
        <f>IF(OR($B38="No",AP$6=""),"",IF(NOT(ISNUMBER(_xll.ciqfunctions.udf.CIQ(AP$6,"IQ_TEV",$AI38,$I$2,$I$3))),"",_xll.ciqfunctions.udf.CIQ(AP$6,"IQ_TEV",$AI38,$I$2,$I$3)))</f>
        <v/>
      </c>
      <c r="AQ38" s="718" t="str">
        <f>IF(OR($B38="No",AQ$6=""),"",IF(NOT(ISNUMBER(_xll.ciqfunctions.udf.CIQ(AQ$6,"IQ_TEV",$AI38,$I$2,$I$3))),"",_xll.ciqfunctions.udf.CIQ(AQ$6,"IQ_TEV",$AI38,$I$2,$I$3)))</f>
        <v/>
      </c>
      <c r="AR38" s="718" t="str">
        <f>IF(OR($B38="No",AR$6=""),"",IF(NOT(ISNUMBER(_xll.ciqfunctions.udf.CIQ(AR$6,"IQ_TEV",$AI38,$I$2,$I$3))),"",_xll.ciqfunctions.udf.CIQ(AR$6,"IQ_TEV",$AI38,$I$2,$I$3)))</f>
        <v/>
      </c>
      <c r="AS38" s="718" t="str">
        <f>IF(OR($B38="No",AS$6=""),"",IF(NOT(ISNUMBER(_xll.ciqfunctions.udf.CIQ(AS$6,"IQ_TEV",$AI38,$I$2,$I$3))),"",_xll.ciqfunctions.udf.CIQ(AS$6,"IQ_TEV",$AI38,$I$2,$I$3)))</f>
        <v/>
      </c>
      <c r="AT38" s="718" t="str">
        <f>IF(OR($B38="No",AT$6=""),"",IF(NOT(ISNUMBER(_xll.ciqfunctions.udf.CIQ(AT$6,"IQ_TEV",$AI38,$I$2,$I$3))),"",_xll.ciqfunctions.udf.CIQ(AT$6,"IQ_TEV",$AI38,$I$2,$I$3)))</f>
        <v/>
      </c>
      <c r="AV38" s="251">
        <f t="shared" si="39"/>
        <v>43042</v>
      </c>
      <c r="AW38" s="719">
        <f t="shared" si="40"/>
        <v>0.19542433796113734</v>
      </c>
      <c r="AX38" s="719">
        <f t="shared" si="41"/>
        <v>1.7931138381507727E-2</v>
      </c>
      <c r="AY38" s="719" t="e">
        <f t="shared" si="42"/>
        <v>#N/A</v>
      </c>
      <c r="AZ38" s="719" t="e">
        <f t="shared" si="43"/>
        <v>#N/A</v>
      </c>
      <c r="BA38" s="719" t="e">
        <f t="shared" si="44"/>
        <v>#N/A</v>
      </c>
      <c r="BB38" s="719" t="e">
        <f t="shared" si="45"/>
        <v>#N/A</v>
      </c>
      <c r="BC38" s="719" t="e">
        <f t="shared" si="46"/>
        <v>#N/A</v>
      </c>
      <c r="BD38" s="719" t="e">
        <f t="shared" si="47"/>
        <v>#N/A</v>
      </c>
      <c r="BE38" s="719" t="e">
        <f t="shared" si="48"/>
        <v>#N/A</v>
      </c>
      <c r="BF38" s="719" t="e">
        <f t="shared" si="49"/>
        <v>#N/A</v>
      </c>
      <c r="BG38" s="719" t="e">
        <f t="shared" si="50"/>
        <v>#N/A</v>
      </c>
    </row>
    <row r="39" spans="1:59" ht="15" customHeight="1" x14ac:dyDescent="0.2">
      <c r="A39" s="251">
        <f t="shared" si="15"/>
        <v>43049</v>
      </c>
      <c r="B39" s="253" t="str">
        <f t="shared" si="51"/>
        <v>Yes</v>
      </c>
      <c r="C39" s="1033">
        <f>IF(C$6="","",IF(NOT(ISNUMBER(_xll.ciqfunctions.udf.CIQ(C$6,$F$2, $A39, $I$2, $I$3))),IF(C38=C$6,"",C38),_xll.ciqfunctions.udf.CIQ(C$6,$F$2, $A39, $I$2, $I$3)))</f>
        <v>90.92</v>
      </c>
      <c r="D39" s="1033">
        <f>IF(D$6="","",IF(NOT(ISNUMBER(_xll.ciqfunctions.udf.CIQ(D$6,$F$2, $A39, $I$2, $I$3))),IF(D38=D$6,"",D38),_xll.ciqfunctions.udf.CIQ(D$6,$F$2, $A39, $I$2, $I$3)))</f>
        <v>23422.206450000001</v>
      </c>
      <c r="E39" s="1033">
        <f>IF(E$6="","",IF(NOT(ISNUMBER(_xll.ciqfunctions.udf.CIQ(E$6,$F$2, $A39, $I$2, $I$3))),IF(E38=E$6,"",E38),_xll.ciqfunctions.udf.CIQ(E$6,$F$2, $A39, $I$2, $I$3)))</f>
        <v>7873.5152500000004</v>
      </c>
      <c r="F39" s="1033">
        <f>IF(F$6="","",IF(NOT(ISNUMBER(_xll.ciqfunctions.udf.CIQ(F$6,$F$2, $A39, $I$2, $I$3))),IF(F38=F$6,"",F38),_xll.ciqfunctions.udf.CIQ(F$6,$F$2, $A39, $I$2, $I$3)))</f>
        <v>4165.1733199999999</v>
      </c>
      <c r="G39" s="1033">
        <f>IF(G$6="","",IF(NOT(ISNUMBER(_xll.ciqfunctions.udf.CIQ(G$6,$F$2, $A39, $I$2, $I$3))),IF(G38=G$6,"",G38),_xll.ciqfunctions.udf.CIQ(G$6,$F$2, $A39, $I$2, $I$3)))</f>
        <v>171.36</v>
      </c>
      <c r="H39" s="1033" t="str">
        <f>IF(H$6="","",IF(NOT(ISNUMBER(_xll.ciqfunctions.udf.CIQ(H$6,$F$2, $A39, $I$2, $I$3))),IF(H38=H$6,"",H38),_xll.ciqfunctions.udf.CIQ(H$6,$F$2, $A39, $I$2, $I$3)))</f>
        <v/>
      </c>
      <c r="I39" s="1033" t="str">
        <f>IF(I$6="","",IF(NOT(ISNUMBER(_xll.ciqfunctions.udf.CIQ(I$6,$F$2, $A39, $I$2, $I$3))),IF(I38=I$6,"",I38),_xll.ciqfunctions.udf.CIQ(I$6,$F$2, $A39, $I$2, $I$3)))</f>
        <v/>
      </c>
      <c r="J39" s="1033" t="str">
        <f>IF(J$6="","",IF(NOT(ISNUMBER(_xll.ciqfunctions.udf.CIQ(J$6,$F$2, $A39, $I$2, $I$3))),IF(J38=J$6,"",J38),_xll.ciqfunctions.udf.CIQ(J$6,$F$2, $A39, $I$2, $I$3)))</f>
        <v/>
      </c>
      <c r="K39" s="1033" t="str">
        <f>IF(K$6="","",IF(NOT(ISNUMBER(_xll.ciqfunctions.udf.CIQ(K$6,$F$2, $A39, $I$2, $I$3))),IF(K38=K$6,"",K38),_xll.ciqfunctions.udf.CIQ(K$6,$F$2, $A39, $I$2, $I$3)))</f>
        <v/>
      </c>
      <c r="L39" s="254" t="str">
        <f>IF(L$6="","",IF(NOT(ISNUMBER(_xll.ciqfunctions.udf.CIQ(L$6,$F$2, $A39, $I$2, $I$3))),IF(L38=L$6,"",L38),_xll.ciqfunctions.udf.CIQ(L$6,$F$2, $A39, $I$2, $I$3)))</f>
        <v/>
      </c>
      <c r="M39" s="254" t="str">
        <f>IF(M$6="","",IF(NOT(ISNUMBER(_xll.ciqfunctions.udf.CIQ(M$6,$F$2, $A39, $I$2, $I$3))),IF(M38=M$6,"",M38),_xll.ciqfunctions.udf.CIQ(M$6,$F$2, $A39, $I$2, $I$3)))</f>
        <v/>
      </c>
      <c r="N39" s="254" t="str">
        <f>IF(N$6="","",IF(NOT(ISNUMBER(_xll.ciqfunctions.udf.CIQ(N$6,$F$2, $A39, $I$2, $I$3))),IF(N38=N$6,"",N38),_xll.ciqfunctions.udf.CIQ(N$6,$F$2, $A39, $I$2, $I$3)))</f>
        <v/>
      </c>
      <c r="O39" s="254" t="str">
        <f>IF(O$6="","",IF(NOT(ISNUMBER(_xll.ciqfunctions.udf.CIQ(O$6,$F$2, $A39, $I$2, $I$3))),IF(O38=O$6,"",O38),_xll.ciqfunctions.udf.CIQ(O$6,$F$2, $A39, $I$2, $I$3)))</f>
        <v/>
      </c>
      <c r="P39" s="254" t="str">
        <f>IF(P$6="","",IF(NOT(ISNUMBER(_xll.ciqfunctions.udf.CIQ(P$6,$F$2, $A39, $I$2, $I$3))),IF(P38=P$6,"",P38),_xll.ciqfunctions.udf.CIQ(P$6,$F$2, $A39, $I$2, $I$3)))</f>
        <v/>
      </c>
      <c r="Q39" s="254"/>
      <c r="R39" s="251">
        <f t="shared" si="16"/>
        <v>43049</v>
      </c>
      <c r="S39" s="255">
        <f t="shared" si="35"/>
        <v>0.26137624861265274</v>
      </c>
      <c r="T39" s="255">
        <f t="shared" si="36"/>
        <v>0.13352155416567002</v>
      </c>
      <c r="U39" s="255">
        <f t="shared" si="37"/>
        <v>0.1002951637550813</v>
      </c>
      <c r="V39" s="255">
        <f t="shared" si="52"/>
        <v>-5.1156122710501184E-2</v>
      </c>
      <c r="W39" s="255">
        <f t="array" ref="W39">IFERROR(AVERAGE(IF(ISERROR(X39:AG39),"",X39:AG39)),"")</f>
        <v>2.1885622279205874E-2</v>
      </c>
      <c r="X39" s="255">
        <f t="shared" si="53"/>
        <v>2.1885622279205874E-2</v>
      </c>
      <c r="Y39" s="255" t="e">
        <f t="shared" si="54"/>
        <v>#N/A</v>
      </c>
      <c r="Z39" s="255" t="e">
        <f t="shared" si="55"/>
        <v>#N/A</v>
      </c>
      <c r="AA39" s="255" t="e">
        <f t="shared" si="56"/>
        <v>#N/A</v>
      </c>
      <c r="AB39" s="255" t="e">
        <f t="shared" si="57"/>
        <v>#N/A</v>
      </c>
      <c r="AC39" s="255" t="e">
        <f t="shared" si="58"/>
        <v>#N/A</v>
      </c>
      <c r="AD39" s="255" t="e">
        <f t="shared" si="59"/>
        <v>#N/A</v>
      </c>
      <c r="AE39" s="255" t="e">
        <f t="shared" si="60"/>
        <v>#N/A</v>
      </c>
      <c r="AF39" s="255" t="e">
        <f t="shared" si="61"/>
        <v>#N/A</v>
      </c>
      <c r="AG39" s="255" t="e">
        <f t="shared" si="62"/>
        <v>#N/A</v>
      </c>
      <c r="AI39" s="251">
        <f t="shared" si="27"/>
        <v>43049</v>
      </c>
      <c r="AJ39" s="718">
        <f>IF(OR($B39="No",AJ$6=""),"",IF(NOT(ISNUMBER(_xll.ciqfunctions.udf.CIQ(AJ$6,"IQ_TEV",$AI39,$I$2,$I$3))),"",_xll.ciqfunctions.udf.CIQ(AJ$6,"IQ_TEV",$AI39,$I$2,$I$3)))</f>
        <v>315778.37338</v>
      </c>
      <c r="AK39" s="718">
        <f>IF(OR($B39="No",AK$6=""),"",IF(NOT(ISNUMBER(_xll.ciqfunctions.udf.CIQ(AK$6,"IQ_TEV",$AI39,$I$2,$I$3))),"",_xll.ciqfunctions.udf.CIQ(AK$6,"IQ_TEV",$AI39,$I$2,$I$3)))</f>
        <v>76443.538879999993</v>
      </c>
      <c r="AL39" s="718" t="str">
        <f>IF(OR($B39="No",AL$6=""),"",IF(NOT(ISNUMBER(_xll.ciqfunctions.udf.CIQ(AL$6,"IQ_TEV",$AI39,$I$2,$I$3))),"",_xll.ciqfunctions.udf.CIQ(AL$6,"IQ_TEV",$AI39,$I$2,$I$3)))</f>
        <v/>
      </c>
      <c r="AM39" s="718" t="str">
        <f>IF(OR($B39="No",AM$6=""),"",IF(NOT(ISNUMBER(_xll.ciqfunctions.udf.CIQ(AM$6,"IQ_TEV",$AI39,$I$2,$I$3))),"",_xll.ciqfunctions.udf.CIQ(AM$6,"IQ_TEV",$AI39,$I$2,$I$3)))</f>
        <v/>
      </c>
      <c r="AN39" s="718" t="str">
        <f>IF(OR($B39="No",AN$6=""),"",IF(NOT(ISNUMBER(_xll.ciqfunctions.udf.CIQ(AN$6,"IQ_TEV",$AI39,$I$2,$I$3))),"",_xll.ciqfunctions.udf.CIQ(AN$6,"IQ_TEV",$AI39,$I$2,$I$3)))</f>
        <v/>
      </c>
      <c r="AO39" s="718" t="str">
        <f>IF(OR($B39="No",AO$6=""),"",IF(NOT(ISNUMBER(_xll.ciqfunctions.udf.CIQ(AO$6,"IQ_TEV",$AI39,$I$2,$I$3))),"",_xll.ciqfunctions.udf.CIQ(AO$6,"IQ_TEV",$AI39,$I$2,$I$3)))</f>
        <v/>
      </c>
      <c r="AP39" s="718" t="str">
        <f>IF(OR($B39="No",AP$6=""),"",IF(NOT(ISNUMBER(_xll.ciqfunctions.udf.CIQ(AP$6,"IQ_TEV",$AI39,$I$2,$I$3))),"",_xll.ciqfunctions.udf.CIQ(AP$6,"IQ_TEV",$AI39,$I$2,$I$3)))</f>
        <v/>
      </c>
      <c r="AQ39" s="718" t="str">
        <f>IF(OR($B39="No",AQ$6=""),"",IF(NOT(ISNUMBER(_xll.ciqfunctions.udf.CIQ(AQ$6,"IQ_TEV",$AI39,$I$2,$I$3))),"",_xll.ciqfunctions.udf.CIQ(AQ$6,"IQ_TEV",$AI39,$I$2,$I$3)))</f>
        <v/>
      </c>
      <c r="AR39" s="718" t="str">
        <f>IF(OR($B39="No",AR$6=""),"",IF(NOT(ISNUMBER(_xll.ciqfunctions.udf.CIQ(AR$6,"IQ_TEV",$AI39,$I$2,$I$3))),"",_xll.ciqfunctions.udf.CIQ(AR$6,"IQ_TEV",$AI39,$I$2,$I$3)))</f>
        <v/>
      </c>
      <c r="AS39" s="718" t="str">
        <f>IF(OR($B39="No",AS$6=""),"",IF(NOT(ISNUMBER(_xll.ciqfunctions.udf.CIQ(AS$6,"IQ_TEV",$AI39,$I$2,$I$3))),"",_xll.ciqfunctions.udf.CIQ(AS$6,"IQ_TEV",$AI39,$I$2,$I$3)))</f>
        <v/>
      </c>
      <c r="AT39" s="718" t="str">
        <f>IF(OR($B39="No",AT$6=""),"",IF(NOT(ISNUMBER(_xll.ciqfunctions.udf.CIQ(AT$6,"IQ_TEV",$AI39,$I$2,$I$3))),"",_xll.ciqfunctions.udf.CIQ(AT$6,"IQ_TEV",$AI39,$I$2,$I$3)))</f>
        <v/>
      </c>
      <c r="AV39" s="251">
        <f t="shared" si="39"/>
        <v>43049</v>
      </c>
      <c r="AW39" s="719">
        <f t="shared" si="40"/>
        <v>0.20961329233749959</v>
      </c>
      <c r="AX39" s="719">
        <f t="shared" si="41"/>
        <v>4.7389154685456125E-2</v>
      </c>
      <c r="AY39" s="719" t="e">
        <f t="shared" si="42"/>
        <v>#N/A</v>
      </c>
      <c r="AZ39" s="719" t="e">
        <f t="shared" si="43"/>
        <v>#N/A</v>
      </c>
      <c r="BA39" s="719" t="e">
        <f t="shared" si="44"/>
        <v>#N/A</v>
      </c>
      <c r="BB39" s="719" t="e">
        <f t="shared" si="45"/>
        <v>#N/A</v>
      </c>
      <c r="BC39" s="719" t="e">
        <f t="shared" si="46"/>
        <v>#N/A</v>
      </c>
      <c r="BD39" s="719" t="e">
        <f t="shared" si="47"/>
        <v>#N/A</v>
      </c>
      <c r="BE39" s="719" t="e">
        <f t="shared" si="48"/>
        <v>#N/A</v>
      </c>
      <c r="BF39" s="719" t="e">
        <f t="shared" si="49"/>
        <v>#N/A</v>
      </c>
      <c r="BG39" s="719" t="e">
        <f t="shared" si="50"/>
        <v>#N/A</v>
      </c>
    </row>
    <row r="40" spans="1:59" ht="15" customHeight="1" x14ac:dyDescent="0.2">
      <c r="A40" s="251">
        <f t="shared" si="15"/>
        <v>43056</v>
      </c>
      <c r="B40" s="253" t="str">
        <f t="shared" si="51"/>
        <v>Yes</v>
      </c>
      <c r="C40" s="1033">
        <f>IF(C$6="","",IF(NOT(ISNUMBER(_xll.ciqfunctions.udf.CIQ(C$6,$F$2, $A40, $I$2, $I$3))),IF(C39=C$6,"",C39),_xll.ciqfunctions.udf.CIQ(C$6,$F$2, $A40, $I$2, $I$3)))</f>
        <v>97.47</v>
      </c>
      <c r="D40" s="1033">
        <f>IF(D$6="","",IF(NOT(ISNUMBER(_xll.ciqfunctions.udf.CIQ(D$6,$F$2, $A40, $I$2, $I$3))),IF(D39=D$6,"",D39),_xll.ciqfunctions.udf.CIQ(D$6,$F$2, $A40, $I$2, $I$3)))</f>
        <v>23358.240699999998</v>
      </c>
      <c r="E40" s="1033">
        <f>IF(E$6="","",IF(NOT(ISNUMBER(_xll.ciqfunctions.udf.CIQ(E$6,$F$2, $A40, $I$2, $I$3))),IF(E39=E$6,"",E39),_xll.ciqfunctions.udf.CIQ(E$6,$F$2, $A40, $I$2, $I$3)))</f>
        <v>7859.0663800000002</v>
      </c>
      <c r="F40" s="1033">
        <f>IF(F$6="","",IF(NOT(ISNUMBER(_xll.ciqfunctions.udf.CIQ(F$6,$F$2, $A40, $I$2, $I$3))),IF(F39=F$6,"",F39),_xll.ciqfunctions.udf.CIQ(F$6,$F$2, $A40, $I$2, $I$3)))</f>
        <v>4327.5097999999998</v>
      </c>
      <c r="G40" s="1033">
        <f>IF(G$6="","",IF(NOT(ISNUMBER(_xll.ciqfunctions.udf.CIQ(G$6,$F$2, $A40, $I$2, $I$3))),IF(G39=G$6,"",G39),_xll.ciqfunctions.udf.CIQ(G$6,$F$2, $A40, $I$2, $I$3)))</f>
        <v>170.98</v>
      </c>
      <c r="H40" s="1033" t="str">
        <f>IF(H$6="","",IF(NOT(ISNUMBER(_xll.ciqfunctions.udf.CIQ(H$6,$F$2, $A40, $I$2, $I$3))),IF(H39=H$6,"",H39),_xll.ciqfunctions.udf.CIQ(H$6,$F$2, $A40, $I$2, $I$3)))</f>
        <v/>
      </c>
      <c r="I40" s="1033" t="str">
        <f>IF(I$6="","",IF(NOT(ISNUMBER(_xll.ciqfunctions.udf.CIQ(I$6,$F$2, $A40, $I$2, $I$3))),IF(I39=I$6,"",I39),_xll.ciqfunctions.udf.CIQ(I$6,$F$2, $A40, $I$2, $I$3)))</f>
        <v/>
      </c>
      <c r="J40" s="1033" t="str">
        <f>IF(J$6="","",IF(NOT(ISNUMBER(_xll.ciqfunctions.udf.CIQ(J$6,$F$2, $A40, $I$2, $I$3))),IF(J39=J$6,"",J39),_xll.ciqfunctions.udf.CIQ(J$6,$F$2, $A40, $I$2, $I$3)))</f>
        <v/>
      </c>
      <c r="K40" s="1033" t="str">
        <f>IF(K$6="","",IF(NOT(ISNUMBER(_xll.ciqfunctions.udf.CIQ(K$6,$F$2, $A40, $I$2, $I$3))),IF(K39=K$6,"",K39),_xll.ciqfunctions.udf.CIQ(K$6,$F$2, $A40, $I$2, $I$3)))</f>
        <v/>
      </c>
      <c r="L40" s="254" t="str">
        <f>IF(L$6="","",IF(NOT(ISNUMBER(_xll.ciqfunctions.udf.CIQ(L$6,$F$2, $A40, $I$2, $I$3))),IF(L39=L$6,"",L39),_xll.ciqfunctions.udf.CIQ(L$6,$F$2, $A40, $I$2, $I$3)))</f>
        <v/>
      </c>
      <c r="M40" s="254" t="str">
        <f>IF(M$6="","",IF(NOT(ISNUMBER(_xll.ciqfunctions.udf.CIQ(M$6,$F$2, $A40, $I$2, $I$3))),IF(M39=M$6,"",M39),_xll.ciqfunctions.udf.CIQ(M$6,$F$2, $A40, $I$2, $I$3)))</f>
        <v/>
      </c>
      <c r="N40" s="254" t="str">
        <f>IF(N$6="","",IF(NOT(ISNUMBER(_xll.ciqfunctions.udf.CIQ(N$6,$F$2, $A40, $I$2, $I$3))),IF(N39=N$6,"",N39),_xll.ciqfunctions.udf.CIQ(N$6,$F$2, $A40, $I$2, $I$3)))</f>
        <v/>
      </c>
      <c r="O40" s="254" t="str">
        <f>IF(O$6="","",IF(NOT(ISNUMBER(_xll.ciqfunctions.udf.CIQ(O$6,$F$2, $A40, $I$2, $I$3))),IF(O39=O$6,"",O39),_xll.ciqfunctions.udf.CIQ(O$6,$F$2, $A40, $I$2, $I$3)))</f>
        <v/>
      </c>
      <c r="P40" s="254" t="str">
        <f>IF(P$6="","",IF(NOT(ISNUMBER(_xll.ciqfunctions.udf.CIQ(P$6,$F$2, $A40, $I$2, $I$3))),IF(P39=P$6,"",P39),_xll.ciqfunctions.udf.CIQ(P$6,$F$2, $A40, $I$2, $I$3)))</f>
        <v/>
      </c>
      <c r="Q40" s="254"/>
      <c r="R40" s="251">
        <f t="shared" si="16"/>
        <v>43056</v>
      </c>
      <c r="S40" s="255">
        <f t="shared" si="35"/>
        <v>0.35224750277469474</v>
      </c>
      <c r="T40" s="255">
        <f t="shared" si="36"/>
        <v>0.1304259211172567</v>
      </c>
      <c r="U40" s="255">
        <f t="shared" si="37"/>
        <v>9.8275986643215463E-2</v>
      </c>
      <c r="V40" s="255">
        <f t="shared" si="52"/>
        <v>-1.4175194601433017E-2</v>
      </c>
      <c r="W40" s="255">
        <f t="array" ref="W40">IFERROR(AVERAGE(IF(ISERROR(X40:AG40),"",X40:AG40)),"")</f>
        <v>1.9619536048661068E-2</v>
      </c>
      <c r="X40" s="255">
        <f t="shared" si="53"/>
        <v>1.9619536048661068E-2</v>
      </c>
      <c r="Y40" s="255" t="e">
        <f t="shared" si="54"/>
        <v>#N/A</v>
      </c>
      <c r="Z40" s="255" t="e">
        <f t="shared" si="55"/>
        <v>#N/A</v>
      </c>
      <c r="AA40" s="255" t="e">
        <f t="shared" si="56"/>
        <v>#N/A</v>
      </c>
      <c r="AB40" s="255" t="e">
        <f t="shared" si="57"/>
        <v>#N/A</v>
      </c>
      <c r="AC40" s="255" t="e">
        <f t="shared" si="58"/>
        <v>#N/A</v>
      </c>
      <c r="AD40" s="255" t="e">
        <f t="shared" si="59"/>
        <v>#N/A</v>
      </c>
      <c r="AE40" s="255" t="e">
        <f t="shared" si="60"/>
        <v>#N/A</v>
      </c>
      <c r="AF40" s="255" t="e">
        <f t="shared" si="61"/>
        <v>#N/A</v>
      </c>
      <c r="AG40" s="255" t="e">
        <f t="shared" si="62"/>
        <v>#N/A</v>
      </c>
      <c r="AI40" s="251">
        <f t="shared" si="27"/>
        <v>43056</v>
      </c>
      <c r="AJ40" s="718">
        <f>IF(OR($B40="No",AJ$6=""),"",IF(NOT(ISNUMBER(_xll.ciqfunctions.udf.CIQ(AJ$6,"IQ_TEV",$AI40,$I$2,$I$3))),"",_xll.ciqfunctions.udf.CIQ(AJ$6,"IQ_TEV",$AI40,$I$2,$I$3)))</f>
        <v>336824.54414000001</v>
      </c>
      <c r="AK40" s="718">
        <f>IF(OR($B40="No",AK$6=""),"",IF(NOT(ISNUMBER(_xll.ciqfunctions.udf.CIQ(AK$6,"IQ_TEV",$AI40,$I$2,$I$3))),"",_xll.ciqfunctions.udf.CIQ(AK$6,"IQ_TEV",$AI40,$I$2,$I$3)))</f>
        <v>76277.482829999994</v>
      </c>
      <c r="AL40" s="718" t="str">
        <f>IF(OR($B40="No",AL$6=""),"",IF(NOT(ISNUMBER(_xll.ciqfunctions.udf.CIQ(AL$6,"IQ_TEV",$AI40,$I$2,$I$3))),"",_xll.ciqfunctions.udf.CIQ(AL$6,"IQ_TEV",$AI40,$I$2,$I$3)))</f>
        <v/>
      </c>
      <c r="AM40" s="718" t="str">
        <f>IF(OR($B40="No",AM$6=""),"",IF(NOT(ISNUMBER(_xll.ciqfunctions.udf.CIQ(AM$6,"IQ_TEV",$AI40,$I$2,$I$3))),"",_xll.ciqfunctions.udf.CIQ(AM$6,"IQ_TEV",$AI40,$I$2,$I$3)))</f>
        <v/>
      </c>
      <c r="AN40" s="718" t="str">
        <f>IF(OR($B40="No",AN$6=""),"",IF(NOT(ISNUMBER(_xll.ciqfunctions.udf.CIQ(AN$6,"IQ_TEV",$AI40,$I$2,$I$3))),"",_xll.ciqfunctions.udf.CIQ(AN$6,"IQ_TEV",$AI40,$I$2,$I$3)))</f>
        <v/>
      </c>
      <c r="AO40" s="718" t="str">
        <f>IF(OR($B40="No",AO$6=""),"",IF(NOT(ISNUMBER(_xll.ciqfunctions.udf.CIQ(AO$6,"IQ_TEV",$AI40,$I$2,$I$3))),"",_xll.ciqfunctions.udf.CIQ(AO$6,"IQ_TEV",$AI40,$I$2,$I$3)))</f>
        <v/>
      </c>
      <c r="AP40" s="718" t="str">
        <f>IF(OR($B40="No",AP$6=""),"",IF(NOT(ISNUMBER(_xll.ciqfunctions.udf.CIQ(AP$6,"IQ_TEV",$AI40,$I$2,$I$3))),"",_xll.ciqfunctions.udf.CIQ(AP$6,"IQ_TEV",$AI40,$I$2,$I$3)))</f>
        <v/>
      </c>
      <c r="AQ40" s="718" t="str">
        <f>IF(OR($B40="No",AQ$6=""),"",IF(NOT(ISNUMBER(_xll.ciqfunctions.udf.CIQ(AQ$6,"IQ_TEV",$AI40,$I$2,$I$3))),"",_xll.ciqfunctions.udf.CIQ(AQ$6,"IQ_TEV",$AI40,$I$2,$I$3)))</f>
        <v/>
      </c>
      <c r="AR40" s="718" t="str">
        <f>IF(OR($B40="No",AR$6=""),"",IF(NOT(ISNUMBER(_xll.ciqfunctions.udf.CIQ(AR$6,"IQ_TEV",$AI40,$I$2,$I$3))),"",_xll.ciqfunctions.udf.CIQ(AR$6,"IQ_TEV",$AI40,$I$2,$I$3)))</f>
        <v/>
      </c>
      <c r="AS40" s="718" t="str">
        <f>IF(OR($B40="No",AS$6=""),"",IF(NOT(ISNUMBER(_xll.ciqfunctions.udf.CIQ(AS$6,"IQ_TEV",$AI40,$I$2,$I$3))),"",_xll.ciqfunctions.udf.CIQ(AS$6,"IQ_TEV",$AI40,$I$2,$I$3)))</f>
        <v/>
      </c>
      <c r="AT40" s="718" t="str">
        <f>IF(OR($B40="No",AT$6=""),"",IF(NOT(ISNUMBER(_xll.ciqfunctions.udf.CIQ(AT$6,"IQ_TEV",$AI40,$I$2,$I$3))),"",_xll.ciqfunctions.udf.CIQ(AT$6,"IQ_TEV",$AI40,$I$2,$I$3)))</f>
        <v/>
      </c>
      <c r="AV40" s="251">
        <f t="shared" si="39"/>
        <v>43056</v>
      </c>
      <c r="AW40" s="719">
        <f t="shared" si="40"/>
        <v>0.29023226453502105</v>
      </c>
      <c r="AX40" s="719">
        <f t="shared" si="41"/>
        <v>4.5113942046322242E-2</v>
      </c>
      <c r="AY40" s="719" t="e">
        <f t="shared" si="42"/>
        <v>#N/A</v>
      </c>
      <c r="AZ40" s="719" t="e">
        <f t="shared" si="43"/>
        <v>#N/A</v>
      </c>
      <c r="BA40" s="719" t="e">
        <f t="shared" si="44"/>
        <v>#N/A</v>
      </c>
      <c r="BB40" s="719" t="e">
        <f t="shared" si="45"/>
        <v>#N/A</v>
      </c>
      <c r="BC40" s="719" t="e">
        <f t="shared" si="46"/>
        <v>#N/A</v>
      </c>
      <c r="BD40" s="719" t="e">
        <f t="shared" si="47"/>
        <v>#N/A</v>
      </c>
      <c r="BE40" s="719" t="e">
        <f t="shared" si="48"/>
        <v>#N/A</v>
      </c>
      <c r="BF40" s="719" t="e">
        <f t="shared" si="49"/>
        <v>#N/A</v>
      </c>
      <c r="BG40" s="719" t="e">
        <f t="shared" si="50"/>
        <v>#N/A</v>
      </c>
    </row>
    <row r="41" spans="1:59" ht="15" customHeight="1" x14ac:dyDescent="0.2">
      <c r="A41" s="251">
        <f t="shared" si="15"/>
        <v>43063</v>
      </c>
      <c r="B41" s="253" t="str">
        <f t="shared" si="51"/>
        <v>Yes</v>
      </c>
      <c r="C41" s="1033">
        <f>IF(C$6="","",IF(NOT(ISNUMBER(_xll.ciqfunctions.udf.CIQ(C$6,$F$2, $A41, $I$2, $I$3))),IF(C40=C$6,"",C40),_xll.ciqfunctions.udf.CIQ(C$6,$F$2, $A41, $I$2, $I$3)))</f>
        <v>96.62</v>
      </c>
      <c r="D41" s="1033">
        <f>IF(D$6="","",IF(NOT(ISNUMBER(_xll.ciqfunctions.udf.CIQ(D$6,$F$2, $A41, $I$2, $I$3))),IF(D40=D$6,"",D40),_xll.ciqfunctions.udf.CIQ(D$6,$F$2, $A41, $I$2, $I$3)))</f>
        <v>23557.987359999999</v>
      </c>
      <c r="E41" s="1033">
        <f>IF(E$6="","",IF(NOT(ISNUMBER(_xll.ciqfunctions.udf.CIQ(E$6,$F$2, $A41, $I$2, $I$3))),IF(E40=E$6,"",E40),_xll.ciqfunctions.udf.CIQ(E$6,$F$2, $A41, $I$2, $I$3)))</f>
        <v>7929.2750999999998</v>
      </c>
      <c r="F41" s="1033">
        <f>IF(F$6="","",IF(NOT(ISNUMBER(_xll.ciqfunctions.udf.CIQ(F$6,$F$2, $A41, $I$2, $I$3))),IF(F40=F$6,"",F40),_xll.ciqfunctions.udf.CIQ(F$6,$F$2, $A41, $I$2, $I$3)))</f>
        <v>4305.1929300000002</v>
      </c>
      <c r="G41" s="1033">
        <f>IF(G$6="","",IF(NOT(ISNUMBER(_xll.ciqfunctions.udf.CIQ(G$6,$F$2, $A41, $I$2, $I$3))),IF(G40=G$6,"",G40),_xll.ciqfunctions.udf.CIQ(G$6,$F$2, $A41, $I$2, $I$3)))</f>
        <v>171.62</v>
      </c>
      <c r="H41" s="1033" t="str">
        <f>IF(H$6="","",IF(NOT(ISNUMBER(_xll.ciqfunctions.udf.CIQ(H$6,$F$2, $A41, $I$2, $I$3))),IF(H40=H$6,"",H40),_xll.ciqfunctions.udf.CIQ(H$6,$F$2, $A41, $I$2, $I$3)))</f>
        <v/>
      </c>
      <c r="I41" s="1033" t="str">
        <f>IF(I$6="","",IF(NOT(ISNUMBER(_xll.ciqfunctions.udf.CIQ(I$6,$F$2, $A41, $I$2, $I$3))),IF(I40=I$6,"",I40),_xll.ciqfunctions.udf.CIQ(I$6,$F$2, $A41, $I$2, $I$3)))</f>
        <v/>
      </c>
      <c r="J41" s="1033" t="str">
        <f>IF(J$6="","",IF(NOT(ISNUMBER(_xll.ciqfunctions.udf.CIQ(J$6,$F$2, $A41, $I$2, $I$3))),IF(J40=J$6,"",J40),_xll.ciqfunctions.udf.CIQ(J$6,$F$2, $A41, $I$2, $I$3)))</f>
        <v/>
      </c>
      <c r="K41" s="1033" t="str">
        <f>IF(K$6="","",IF(NOT(ISNUMBER(_xll.ciqfunctions.udf.CIQ(K$6,$F$2, $A41, $I$2, $I$3))),IF(K40=K$6,"",K40),_xll.ciqfunctions.udf.CIQ(K$6,$F$2, $A41, $I$2, $I$3)))</f>
        <v/>
      </c>
      <c r="L41" s="254" t="str">
        <f>IF(L$6="","",IF(NOT(ISNUMBER(_xll.ciqfunctions.udf.CIQ(L$6,$F$2, $A41, $I$2, $I$3))),IF(L40=L$6,"",L40),_xll.ciqfunctions.udf.CIQ(L$6,$F$2, $A41, $I$2, $I$3)))</f>
        <v/>
      </c>
      <c r="M41" s="254" t="str">
        <f>IF(M$6="","",IF(NOT(ISNUMBER(_xll.ciqfunctions.udf.CIQ(M$6,$F$2, $A41, $I$2, $I$3))),IF(M40=M$6,"",M40),_xll.ciqfunctions.udf.CIQ(M$6,$F$2, $A41, $I$2, $I$3)))</f>
        <v/>
      </c>
      <c r="N41" s="254" t="str">
        <f>IF(N$6="","",IF(NOT(ISNUMBER(_xll.ciqfunctions.udf.CIQ(N$6,$F$2, $A41, $I$2, $I$3))),IF(N40=N$6,"",N40),_xll.ciqfunctions.udf.CIQ(N$6,$F$2, $A41, $I$2, $I$3)))</f>
        <v/>
      </c>
      <c r="O41" s="254" t="str">
        <f>IF(O$6="","",IF(NOT(ISNUMBER(_xll.ciqfunctions.udf.CIQ(O$6,$F$2, $A41, $I$2, $I$3))),IF(O40=O$6,"",O40),_xll.ciqfunctions.udf.CIQ(O$6,$F$2, $A41, $I$2, $I$3)))</f>
        <v/>
      </c>
      <c r="P41" s="254" t="str">
        <f>IF(P$6="","",IF(NOT(ISNUMBER(_xll.ciqfunctions.udf.CIQ(P$6,$F$2, $A41, $I$2, $I$3))),IF(P40=P$6,"",P40),_xll.ciqfunctions.udf.CIQ(P$6,$F$2, $A41, $I$2, $I$3)))</f>
        <v/>
      </c>
      <c r="Q41" s="254"/>
      <c r="R41" s="251">
        <f t="shared" si="16"/>
        <v>43063</v>
      </c>
      <c r="S41" s="255">
        <f t="shared" si="35"/>
        <v>0.34045504994450626</v>
      </c>
      <c r="T41" s="255">
        <f t="shared" si="36"/>
        <v>0.14009269375739808</v>
      </c>
      <c r="U41" s="255">
        <f t="shared" si="37"/>
        <v>0.10808740030237285</v>
      </c>
      <c r="V41" s="255">
        <f t="shared" si="52"/>
        <v>-1.9259070789270805E-2</v>
      </c>
      <c r="W41" s="255">
        <f t="array" ref="W41">IFERROR(AVERAGE(IF(ISERROR(X41:AG41),"",X41:AG41)),"")</f>
        <v>2.3436102331683584E-2</v>
      </c>
      <c r="X41" s="255">
        <f t="shared" si="53"/>
        <v>2.3436102331683584E-2</v>
      </c>
      <c r="Y41" s="255" t="e">
        <f t="shared" si="54"/>
        <v>#N/A</v>
      </c>
      <c r="Z41" s="255" t="e">
        <f t="shared" si="55"/>
        <v>#N/A</v>
      </c>
      <c r="AA41" s="255" t="e">
        <f t="shared" si="56"/>
        <v>#N/A</v>
      </c>
      <c r="AB41" s="255" t="e">
        <f t="shared" si="57"/>
        <v>#N/A</v>
      </c>
      <c r="AC41" s="255" t="e">
        <f t="shared" si="58"/>
        <v>#N/A</v>
      </c>
      <c r="AD41" s="255" t="e">
        <f t="shared" si="59"/>
        <v>#N/A</v>
      </c>
      <c r="AE41" s="255" t="e">
        <f t="shared" si="60"/>
        <v>#N/A</v>
      </c>
      <c r="AF41" s="255" t="e">
        <f t="shared" si="61"/>
        <v>#N/A</v>
      </c>
      <c r="AG41" s="255" t="e">
        <f t="shared" si="62"/>
        <v>#N/A</v>
      </c>
      <c r="AI41" s="251">
        <f t="shared" si="27"/>
        <v>43063</v>
      </c>
      <c r="AJ41" s="718">
        <f>IF(OR($B41="No",AJ$6=""),"",IF(NOT(ISNUMBER(_xll.ciqfunctions.udf.CIQ(AJ$6,"IQ_TEV",$AI41,$I$2,$I$3))),"",_xll.ciqfunctions.udf.CIQ(AJ$6,"IQ_TEV",$AI41,$I$2,$I$3)))</f>
        <v>334285.42275000003</v>
      </c>
      <c r="AK41" s="718">
        <f>IF(OR($B41="No",AK$6=""),"",IF(NOT(ISNUMBER(_xll.ciqfunctions.udf.CIQ(AK$6,"IQ_TEV",$AI41,$I$2,$I$3))),"",_xll.ciqfunctions.udf.CIQ(AK$6,"IQ_TEV",$AI41,$I$2,$I$3)))</f>
        <v>76557.156180000005</v>
      </c>
      <c r="AL41" s="718" t="str">
        <f>IF(OR($B41="No",AL$6=""),"",IF(NOT(ISNUMBER(_xll.ciqfunctions.udf.CIQ(AL$6,"IQ_TEV",$AI41,$I$2,$I$3))),"",_xll.ciqfunctions.udf.CIQ(AL$6,"IQ_TEV",$AI41,$I$2,$I$3)))</f>
        <v/>
      </c>
      <c r="AM41" s="718" t="str">
        <f>IF(OR($B41="No",AM$6=""),"",IF(NOT(ISNUMBER(_xll.ciqfunctions.udf.CIQ(AM$6,"IQ_TEV",$AI41,$I$2,$I$3))),"",_xll.ciqfunctions.udf.CIQ(AM$6,"IQ_TEV",$AI41,$I$2,$I$3)))</f>
        <v/>
      </c>
      <c r="AN41" s="718" t="str">
        <f>IF(OR($B41="No",AN$6=""),"",IF(NOT(ISNUMBER(_xll.ciqfunctions.udf.CIQ(AN$6,"IQ_TEV",$AI41,$I$2,$I$3))),"",_xll.ciqfunctions.udf.CIQ(AN$6,"IQ_TEV",$AI41,$I$2,$I$3)))</f>
        <v/>
      </c>
      <c r="AO41" s="718" t="str">
        <f>IF(OR($B41="No",AO$6=""),"",IF(NOT(ISNUMBER(_xll.ciqfunctions.udf.CIQ(AO$6,"IQ_TEV",$AI41,$I$2,$I$3))),"",_xll.ciqfunctions.udf.CIQ(AO$6,"IQ_TEV",$AI41,$I$2,$I$3)))</f>
        <v/>
      </c>
      <c r="AP41" s="718" t="str">
        <f>IF(OR($B41="No",AP$6=""),"",IF(NOT(ISNUMBER(_xll.ciqfunctions.udf.CIQ(AP$6,"IQ_TEV",$AI41,$I$2,$I$3))),"",_xll.ciqfunctions.udf.CIQ(AP$6,"IQ_TEV",$AI41,$I$2,$I$3)))</f>
        <v/>
      </c>
      <c r="AQ41" s="718" t="str">
        <f>IF(OR($B41="No",AQ$6=""),"",IF(NOT(ISNUMBER(_xll.ciqfunctions.udf.CIQ(AQ$6,"IQ_TEV",$AI41,$I$2,$I$3))),"",_xll.ciqfunctions.udf.CIQ(AQ$6,"IQ_TEV",$AI41,$I$2,$I$3)))</f>
        <v/>
      </c>
      <c r="AR41" s="718" t="str">
        <f>IF(OR($B41="No",AR$6=""),"",IF(NOT(ISNUMBER(_xll.ciqfunctions.udf.CIQ(AR$6,"IQ_TEV",$AI41,$I$2,$I$3))),"",_xll.ciqfunctions.udf.CIQ(AR$6,"IQ_TEV",$AI41,$I$2,$I$3)))</f>
        <v/>
      </c>
      <c r="AS41" s="718" t="str">
        <f>IF(OR($B41="No",AS$6=""),"",IF(NOT(ISNUMBER(_xll.ciqfunctions.udf.CIQ(AS$6,"IQ_TEV",$AI41,$I$2,$I$3))),"",_xll.ciqfunctions.udf.CIQ(AS$6,"IQ_TEV",$AI41,$I$2,$I$3)))</f>
        <v/>
      </c>
      <c r="AT41" s="718" t="str">
        <f>IF(OR($B41="No",AT$6=""),"",IF(NOT(ISNUMBER(_xll.ciqfunctions.udf.CIQ(AT$6,"IQ_TEV",$AI41,$I$2,$I$3))),"",_xll.ciqfunctions.udf.CIQ(AT$6,"IQ_TEV",$AI41,$I$2,$I$3)))</f>
        <v/>
      </c>
      <c r="AV41" s="251">
        <f t="shared" si="39"/>
        <v>43063</v>
      </c>
      <c r="AW41" s="719">
        <f t="shared" si="40"/>
        <v>0.28050596519625537</v>
      </c>
      <c r="AX41" s="719">
        <f t="shared" si="41"/>
        <v>4.8945879158815098E-2</v>
      </c>
      <c r="AY41" s="719" t="e">
        <f t="shared" si="42"/>
        <v>#N/A</v>
      </c>
      <c r="AZ41" s="719" t="e">
        <f t="shared" si="43"/>
        <v>#N/A</v>
      </c>
      <c r="BA41" s="719" t="e">
        <f t="shared" si="44"/>
        <v>#N/A</v>
      </c>
      <c r="BB41" s="719" t="e">
        <f t="shared" si="45"/>
        <v>#N/A</v>
      </c>
      <c r="BC41" s="719" t="e">
        <f t="shared" si="46"/>
        <v>#N/A</v>
      </c>
      <c r="BD41" s="719" t="e">
        <f t="shared" si="47"/>
        <v>#N/A</v>
      </c>
      <c r="BE41" s="719" t="e">
        <f t="shared" si="48"/>
        <v>#N/A</v>
      </c>
      <c r="BF41" s="719" t="e">
        <f t="shared" si="49"/>
        <v>#N/A</v>
      </c>
      <c r="BG41" s="719" t="e">
        <f t="shared" si="50"/>
        <v>#N/A</v>
      </c>
    </row>
    <row r="42" spans="1:59" ht="15" customHeight="1" x14ac:dyDescent="0.2">
      <c r="A42" s="251">
        <f t="shared" si="15"/>
        <v>43070</v>
      </c>
      <c r="B42" s="253" t="str">
        <f t="shared" si="51"/>
        <v>Yes</v>
      </c>
      <c r="C42" s="1033">
        <f>IF(C$6="","",IF(NOT(ISNUMBER(_xll.ciqfunctions.udf.CIQ(C$6,$F$2, $A42, $I$2, $I$3))),IF(C41=C$6,"",C41),_xll.ciqfunctions.udf.CIQ(C$6,$F$2, $A42, $I$2, $I$3)))</f>
        <v>97.35</v>
      </c>
      <c r="D42" s="1033">
        <f>IF(D$6="","",IF(NOT(ISNUMBER(_xll.ciqfunctions.udf.CIQ(D$6,$F$2, $A42, $I$2, $I$3))),IF(D41=D$6,"",D41),_xll.ciqfunctions.udf.CIQ(D$6,$F$2, $A42, $I$2, $I$3)))</f>
        <v>24231.590100000001</v>
      </c>
      <c r="E42" s="1033">
        <f>IF(E$6="","",IF(NOT(ISNUMBER(_xll.ciqfunctions.udf.CIQ(E$6,$F$2, $A42, $I$2, $I$3))),IF(E41=E$6,"",E41),_xll.ciqfunctions.udf.CIQ(E$6,$F$2, $A42, $I$2, $I$3)))</f>
        <v>8196.7521099999994</v>
      </c>
      <c r="F42" s="1033">
        <f>IF(F$6="","",IF(NOT(ISNUMBER(_xll.ciqfunctions.udf.CIQ(F$6,$F$2, $A42, $I$2, $I$3))),IF(F41=F$6,"",F41),_xll.ciqfunctions.udf.CIQ(F$6,$F$2, $A42, $I$2, $I$3)))</f>
        <v>4508.7958699999999</v>
      </c>
      <c r="G42" s="1033">
        <f>IF(G$6="","",IF(NOT(ISNUMBER(_xll.ciqfunctions.udf.CIQ(G$6,$F$2, $A42, $I$2, $I$3))),IF(G41=G$6,"",G41),_xll.ciqfunctions.udf.CIQ(G$6,$F$2, $A42, $I$2, $I$3)))</f>
        <v>185.13</v>
      </c>
      <c r="H42" s="1033" t="str">
        <f>IF(H$6="","",IF(NOT(ISNUMBER(_xll.ciqfunctions.udf.CIQ(H$6,$F$2, $A42, $I$2, $I$3))),IF(H41=H$6,"",H41),_xll.ciqfunctions.udf.CIQ(H$6,$F$2, $A42, $I$2, $I$3)))</f>
        <v/>
      </c>
      <c r="I42" s="1033" t="str">
        <f>IF(I$6="","",IF(NOT(ISNUMBER(_xll.ciqfunctions.udf.CIQ(I$6,$F$2, $A42, $I$2, $I$3))),IF(I41=I$6,"",I41),_xll.ciqfunctions.udf.CIQ(I$6,$F$2, $A42, $I$2, $I$3)))</f>
        <v/>
      </c>
      <c r="J42" s="1033" t="str">
        <f>IF(J$6="","",IF(NOT(ISNUMBER(_xll.ciqfunctions.udf.CIQ(J$6,$F$2, $A42, $I$2, $I$3))),IF(J41=J$6,"",J41),_xll.ciqfunctions.udf.CIQ(J$6,$F$2, $A42, $I$2, $I$3)))</f>
        <v/>
      </c>
      <c r="K42" s="1033" t="str">
        <f>IF(K$6="","",IF(NOT(ISNUMBER(_xll.ciqfunctions.udf.CIQ(K$6,$F$2, $A42, $I$2, $I$3))),IF(K41=K$6,"",K41),_xll.ciqfunctions.udf.CIQ(K$6,$F$2, $A42, $I$2, $I$3)))</f>
        <v/>
      </c>
      <c r="L42" s="254" t="str">
        <f>IF(L$6="","",IF(NOT(ISNUMBER(_xll.ciqfunctions.udf.CIQ(L$6,$F$2, $A42, $I$2, $I$3))),IF(L41=L$6,"",L41),_xll.ciqfunctions.udf.CIQ(L$6,$F$2, $A42, $I$2, $I$3)))</f>
        <v/>
      </c>
      <c r="M42" s="254" t="str">
        <f>IF(M$6="","",IF(NOT(ISNUMBER(_xll.ciqfunctions.udf.CIQ(M$6,$F$2, $A42, $I$2, $I$3))),IF(M41=M$6,"",M41),_xll.ciqfunctions.udf.CIQ(M$6,$F$2, $A42, $I$2, $I$3)))</f>
        <v/>
      </c>
      <c r="N42" s="254" t="str">
        <f>IF(N$6="","",IF(NOT(ISNUMBER(_xll.ciqfunctions.udf.CIQ(N$6,$F$2, $A42, $I$2, $I$3))),IF(N41=N$6,"",N41),_xll.ciqfunctions.udf.CIQ(N$6,$F$2, $A42, $I$2, $I$3)))</f>
        <v/>
      </c>
      <c r="O42" s="254" t="str">
        <f>IF(O$6="","",IF(NOT(ISNUMBER(_xll.ciqfunctions.udf.CIQ(O$6,$F$2, $A42, $I$2, $I$3))),IF(O41=O$6,"",O41),_xll.ciqfunctions.udf.CIQ(O$6,$F$2, $A42, $I$2, $I$3)))</f>
        <v/>
      </c>
      <c r="P42" s="254" t="str">
        <f>IF(P$6="","",IF(NOT(ISNUMBER(_xll.ciqfunctions.udf.CIQ(P$6,$F$2, $A42, $I$2, $I$3))),IF(P41=P$6,"",P41),_xll.ciqfunctions.udf.CIQ(P$6,$F$2, $A42, $I$2, $I$3)))</f>
        <v/>
      </c>
      <c r="Q42" s="254"/>
      <c r="R42" s="251">
        <f t="shared" si="16"/>
        <v>43070</v>
      </c>
      <c r="S42" s="255">
        <f t="shared" si="35"/>
        <v>0.35058268590455044</v>
      </c>
      <c r="T42" s="255">
        <f t="shared" si="36"/>
        <v>0.17269180974440013</v>
      </c>
      <c r="U42" s="255">
        <f t="shared" si="37"/>
        <v>0.14546634111520351</v>
      </c>
      <c r="V42" s="255">
        <f t="shared" si="52"/>
        <v>2.712252924871783E-2</v>
      </c>
      <c r="W42" s="255">
        <f t="array" ref="W42">IFERROR(AVERAGE(IF(ISERROR(X42:AG42),"",X42:AG42)),"")</f>
        <v>0.10400143121235605</v>
      </c>
      <c r="X42" s="255">
        <f t="shared" si="53"/>
        <v>0.10400143121235605</v>
      </c>
      <c r="Y42" s="255" t="e">
        <f t="shared" si="54"/>
        <v>#N/A</v>
      </c>
      <c r="Z42" s="255" t="e">
        <f t="shared" si="55"/>
        <v>#N/A</v>
      </c>
      <c r="AA42" s="255" t="e">
        <f t="shared" si="56"/>
        <v>#N/A</v>
      </c>
      <c r="AB42" s="255" t="e">
        <f t="shared" si="57"/>
        <v>#N/A</v>
      </c>
      <c r="AC42" s="255" t="e">
        <f t="shared" si="58"/>
        <v>#N/A</v>
      </c>
      <c r="AD42" s="255" t="e">
        <f t="shared" si="59"/>
        <v>#N/A</v>
      </c>
      <c r="AE42" s="255" t="e">
        <f t="shared" si="60"/>
        <v>#N/A</v>
      </c>
      <c r="AF42" s="255" t="e">
        <f t="shared" si="61"/>
        <v>#N/A</v>
      </c>
      <c r="AG42" s="255" t="e">
        <f t="shared" si="62"/>
        <v>#N/A</v>
      </c>
      <c r="AI42" s="251">
        <f t="shared" si="27"/>
        <v>43070</v>
      </c>
      <c r="AJ42" s="718">
        <f>IF(OR($B42="No",AJ$6=""),"",IF(NOT(ISNUMBER(_xll.ciqfunctions.udf.CIQ(AJ$6,"IQ_TEV",$AI42,$I$2,$I$3))),"",_xll.ciqfunctions.udf.CIQ(AJ$6,"IQ_TEV",$AI42,$I$2,$I$3)))</f>
        <v>334402.83367000002</v>
      </c>
      <c r="AK42" s="718">
        <f>IF(OR($B42="No",AK$6=""),"",IF(NOT(ISNUMBER(_xll.ciqfunctions.udf.CIQ(AK$6,"IQ_TEV",$AI42,$I$2,$I$3))),"",_xll.ciqfunctions.udf.CIQ(AK$6,"IQ_TEV",$AI42,$I$2,$I$3)))</f>
        <v>82460.885760000005</v>
      </c>
      <c r="AL42" s="718" t="str">
        <f>IF(OR($B42="No",AL$6=""),"",IF(NOT(ISNUMBER(_xll.ciqfunctions.udf.CIQ(AL$6,"IQ_TEV",$AI42,$I$2,$I$3))),"",_xll.ciqfunctions.udf.CIQ(AL$6,"IQ_TEV",$AI42,$I$2,$I$3)))</f>
        <v/>
      </c>
      <c r="AM42" s="718" t="str">
        <f>IF(OR($B42="No",AM$6=""),"",IF(NOT(ISNUMBER(_xll.ciqfunctions.udf.CIQ(AM$6,"IQ_TEV",$AI42,$I$2,$I$3))),"",_xll.ciqfunctions.udf.CIQ(AM$6,"IQ_TEV",$AI42,$I$2,$I$3)))</f>
        <v/>
      </c>
      <c r="AN42" s="718" t="str">
        <f>IF(OR($B42="No",AN$6=""),"",IF(NOT(ISNUMBER(_xll.ciqfunctions.udf.CIQ(AN$6,"IQ_TEV",$AI42,$I$2,$I$3))),"",_xll.ciqfunctions.udf.CIQ(AN$6,"IQ_TEV",$AI42,$I$2,$I$3)))</f>
        <v/>
      </c>
      <c r="AO42" s="718" t="str">
        <f>IF(OR($B42="No",AO$6=""),"",IF(NOT(ISNUMBER(_xll.ciqfunctions.udf.CIQ(AO$6,"IQ_TEV",$AI42,$I$2,$I$3))),"",_xll.ciqfunctions.udf.CIQ(AO$6,"IQ_TEV",$AI42,$I$2,$I$3)))</f>
        <v/>
      </c>
      <c r="AP42" s="718" t="str">
        <f>IF(OR($B42="No",AP$6=""),"",IF(NOT(ISNUMBER(_xll.ciqfunctions.udf.CIQ(AP$6,"IQ_TEV",$AI42,$I$2,$I$3))),"",_xll.ciqfunctions.udf.CIQ(AP$6,"IQ_TEV",$AI42,$I$2,$I$3)))</f>
        <v/>
      </c>
      <c r="AQ42" s="718" t="str">
        <f>IF(OR($B42="No",AQ$6=""),"",IF(NOT(ISNUMBER(_xll.ciqfunctions.udf.CIQ(AQ$6,"IQ_TEV",$AI42,$I$2,$I$3))),"",_xll.ciqfunctions.udf.CIQ(AQ$6,"IQ_TEV",$AI42,$I$2,$I$3)))</f>
        <v/>
      </c>
      <c r="AR42" s="718" t="str">
        <f>IF(OR($B42="No",AR$6=""),"",IF(NOT(ISNUMBER(_xll.ciqfunctions.udf.CIQ(AR$6,"IQ_TEV",$AI42,$I$2,$I$3))),"",_xll.ciqfunctions.udf.CIQ(AR$6,"IQ_TEV",$AI42,$I$2,$I$3)))</f>
        <v/>
      </c>
      <c r="AS42" s="718" t="str">
        <f>IF(OR($B42="No",AS$6=""),"",IF(NOT(ISNUMBER(_xll.ciqfunctions.udf.CIQ(AS$6,"IQ_TEV",$AI42,$I$2,$I$3))),"",_xll.ciqfunctions.udf.CIQ(AS$6,"IQ_TEV",$AI42,$I$2,$I$3)))</f>
        <v/>
      </c>
      <c r="AT42" s="718" t="str">
        <f>IF(OR($B42="No",AT$6=""),"",IF(NOT(ISNUMBER(_xll.ciqfunctions.udf.CIQ(AT$6,"IQ_TEV",$AI42,$I$2,$I$3))),"",_xll.ciqfunctions.udf.CIQ(AT$6,"IQ_TEV",$AI42,$I$2,$I$3)))</f>
        <v/>
      </c>
      <c r="AV42" s="251">
        <f t="shared" si="39"/>
        <v>43070</v>
      </c>
      <c r="AW42" s="719">
        <f t="shared" si="40"/>
        <v>0.28095571673553077</v>
      </c>
      <c r="AX42" s="719">
        <f t="shared" si="41"/>
        <v>0.12983567605838675</v>
      </c>
      <c r="AY42" s="719" t="e">
        <f t="shared" si="42"/>
        <v>#N/A</v>
      </c>
      <c r="AZ42" s="719" t="e">
        <f t="shared" si="43"/>
        <v>#N/A</v>
      </c>
      <c r="BA42" s="719" t="e">
        <f t="shared" si="44"/>
        <v>#N/A</v>
      </c>
      <c r="BB42" s="719" t="e">
        <f t="shared" si="45"/>
        <v>#N/A</v>
      </c>
      <c r="BC42" s="719" t="e">
        <f t="shared" si="46"/>
        <v>#N/A</v>
      </c>
      <c r="BD42" s="719" t="e">
        <f t="shared" si="47"/>
        <v>#N/A</v>
      </c>
      <c r="BE42" s="719" t="e">
        <f t="shared" si="48"/>
        <v>#N/A</v>
      </c>
      <c r="BF42" s="719" t="e">
        <f t="shared" si="49"/>
        <v>#N/A</v>
      </c>
      <c r="BG42" s="719" t="e">
        <f t="shared" si="50"/>
        <v>#N/A</v>
      </c>
    </row>
    <row r="43" spans="1:59" ht="15" customHeight="1" x14ac:dyDescent="0.2">
      <c r="A43" s="251">
        <f t="shared" si="15"/>
        <v>43077</v>
      </c>
      <c r="B43" s="253" t="str">
        <f t="shared" si="51"/>
        <v>Yes</v>
      </c>
      <c r="C43" s="1033">
        <f>IF(C$6="","",IF(NOT(ISNUMBER(_xll.ciqfunctions.udf.CIQ(C$6,$F$2, $A43, $I$2, $I$3))),IF(C42=C$6,"",C42),_xll.ciqfunctions.udf.CIQ(C$6,$F$2, $A43, $I$2, $I$3)))</f>
        <v>96.55</v>
      </c>
      <c r="D43" s="1033">
        <f>IF(D$6="","",IF(NOT(ISNUMBER(_xll.ciqfunctions.udf.CIQ(D$6,$F$2, $A43, $I$2, $I$3))),IF(D42=D$6,"",D42),_xll.ciqfunctions.udf.CIQ(D$6,$F$2, $A43, $I$2, $I$3)))</f>
        <v>24329.15681</v>
      </c>
      <c r="E43" s="1033">
        <f>IF(E$6="","",IF(NOT(ISNUMBER(_xll.ciqfunctions.udf.CIQ(E$6,$F$2, $A43, $I$2, $I$3))),IF(E42=E$6,"",E42),_xll.ciqfunctions.udf.CIQ(E$6,$F$2, $A43, $I$2, $I$3)))</f>
        <v>8246.8308799999995</v>
      </c>
      <c r="F43" s="1033">
        <f>IF(F$6="","",IF(NOT(ISNUMBER(_xll.ciqfunctions.udf.CIQ(F$6,$F$2, $A43, $I$2, $I$3))),IF(F42=F$6,"",F42),_xll.ciqfunctions.udf.CIQ(F$6,$F$2, $A43, $I$2, $I$3)))</f>
        <v>4652.5958199999995</v>
      </c>
      <c r="G43" s="1033">
        <f>IF(G$6="","",IF(NOT(ISNUMBER(_xll.ciqfunctions.udf.CIQ(G$6,$F$2, $A43, $I$2, $I$3))),IF(G42=G$6,"",G42),_xll.ciqfunctions.udf.CIQ(G$6,$F$2, $A43, $I$2, $I$3)))</f>
        <v>188.07</v>
      </c>
      <c r="H43" s="1033" t="str">
        <f>IF(H$6="","",IF(NOT(ISNUMBER(_xll.ciqfunctions.udf.CIQ(H$6,$F$2, $A43, $I$2, $I$3))),IF(H42=H$6,"",H42),_xll.ciqfunctions.udf.CIQ(H$6,$F$2, $A43, $I$2, $I$3)))</f>
        <v/>
      </c>
      <c r="I43" s="1033" t="str">
        <f>IF(I$6="","",IF(NOT(ISNUMBER(_xll.ciqfunctions.udf.CIQ(I$6,$F$2, $A43, $I$2, $I$3))),IF(I42=I$6,"",I42),_xll.ciqfunctions.udf.CIQ(I$6,$F$2, $A43, $I$2, $I$3)))</f>
        <v/>
      </c>
      <c r="J43" s="1033" t="str">
        <f>IF(J$6="","",IF(NOT(ISNUMBER(_xll.ciqfunctions.udf.CIQ(J$6,$F$2, $A43, $I$2, $I$3))),IF(J42=J$6,"",J42),_xll.ciqfunctions.udf.CIQ(J$6,$F$2, $A43, $I$2, $I$3)))</f>
        <v/>
      </c>
      <c r="K43" s="1033" t="str">
        <f>IF(K$6="","",IF(NOT(ISNUMBER(_xll.ciqfunctions.udf.CIQ(K$6,$F$2, $A43, $I$2, $I$3))),IF(K42=K$6,"",K42),_xll.ciqfunctions.udf.CIQ(K$6,$F$2, $A43, $I$2, $I$3)))</f>
        <v/>
      </c>
      <c r="L43" s="254" t="str">
        <f>IF(L$6="","",IF(NOT(ISNUMBER(_xll.ciqfunctions.udf.CIQ(L$6,$F$2, $A43, $I$2, $I$3))),IF(L42=L$6,"",L42),_xll.ciqfunctions.udf.CIQ(L$6,$F$2, $A43, $I$2, $I$3)))</f>
        <v/>
      </c>
      <c r="M43" s="254" t="str">
        <f>IF(M$6="","",IF(NOT(ISNUMBER(_xll.ciqfunctions.udf.CIQ(M$6,$F$2, $A43, $I$2, $I$3))),IF(M42=M$6,"",M42),_xll.ciqfunctions.udf.CIQ(M$6,$F$2, $A43, $I$2, $I$3)))</f>
        <v/>
      </c>
      <c r="N43" s="254" t="str">
        <f>IF(N$6="","",IF(NOT(ISNUMBER(_xll.ciqfunctions.udf.CIQ(N$6,$F$2, $A43, $I$2, $I$3))),IF(N42=N$6,"",N42),_xll.ciqfunctions.udf.CIQ(N$6,$F$2, $A43, $I$2, $I$3)))</f>
        <v/>
      </c>
      <c r="O43" s="254" t="str">
        <f>IF(O$6="","",IF(NOT(ISNUMBER(_xll.ciqfunctions.udf.CIQ(O$6,$F$2, $A43, $I$2, $I$3))),IF(O42=O$6,"",O42),_xll.ciqfunctions.udf.CIQ(O$6,$F$2, $A43, $I$2, $I$3)))</f>
        <v/>
      </c>
      <c r="P43" s="254" t="str">
        <f>IF(P$6="","",IF(NOT(ISNUMBER(_xll.ciqfunctions.udf.CIQ(P$6,$F$2, $A43, $I$2, $I$3))),IF(P42=P$6,"",P42),_xll.ciqfunctions.udf.CIQ(P$6,$F$2, $A43, $I$2, $I$3)))</f>
        <v/>
      </c>
      <c r="Q43" s="254"/>
      <c r="R43" s="251">
        <f t="shared" si="16"/>
        <v>43077</v>
      </c>
      <c r="S43" s="255">
        <f t="shared" si="35"/>
        <v>0.33948390677025531</v>
      </c>
      <c r="T43" s="255">
        <f t="shared" si="36"/>
        <v>0.17741356680815579</v>
      </c>
      <c r="U43" s="255">
        <f t="shared" si="37"/>
        <v>0.15246466736316533</v>
      </c>
      <c r="V43" s="255">
        <f t="shared" si="52"/>
        <v>5.9880758409764034E-2</v>
      </c>
      <c r="W43" s="255">
        <f t="array" ref="W43">IFERROR(AVERAGE(IF(ISERROR(X43:AG43),"",X43:AG43)),"")</f>
        <v>0.12153378257498959</v>
      </c>
      <c r="X43" s="255">
        <f t="shared" si="53"/>
        <v>0.12153378257498959</v>
      </c>
      <c r="Y43" s="255" t="e">
        <f t="shared" si="54"/>
        <v>#N/A</v>
      </c>
      <c r="Z43" s="255" t="e">
        <f t="shared" si="55"/>
        <v>#N/A</v>
      </c>
      <c r="AA43" s="255" t="e">
        <f t="shared" si="56"/>
        <v>#N/A</v>
      </c>
      <c r="AB43" s="255" t="e">
        <f t="shared" si="57"/>
        <v>#N/A</v>
      </c>
      <c r="AC43" s="255" t="e">
        <f t="shared" si="58"/>
        <v>#N/A</v>
      </c>
      <c r="AD43" s="255" t="e">
        <f t="shared" si="59"/>
        <v>#N/A</v>
      </c>
      <c r="AE43" s="255" t="e">
        <f t="shared" si="60"/>
        <v>#N/A</v>
      </c>
      <c r="AF43" s="255" t="e">
        <f t="shared" si="61"/>
        <v>#N/A</v>
      </c>
      <c r="AG43" s="255" t="e">
        <f t="shared" si="62"/>
        <v>#N/A</v>
      </c>
      <c r="AI43" s="251">
        <f t="shared" si="27"/>
        <v>43077</v>
      </c>
      <c r="AJ43" s="718">
        <f>IF(OR($B43="No",AJ$6=""),"",IF(NOT(ISNUMBER(_xll.ciqfunctions.udf.CIQ(AJ$6,"IQ_TEV",$AI43,$I$2,$I$3))),"",_xll.ciqfunctions.udf.CIQ(AJ$6,"IQ_TEV",$AI43,$I$2,$I$3)))</f>
        <v>332032.92851</v>
      </c>
      <c r="AK43" s="718">
        <f>IF(OR($B43="No",AK$6=""),"",IF(NOT(ISNUMBER(_xll.ciqfunctions.udf.CIQ(AK$6,"IQ_TEV",$AI43,$I$2,$I$3))),"",_xll.ciqfunctions.udf.CIQ(AK$6,"IQ_TEV",$AI43,$I$2,$I$3)))</f>
        <v>83745.635200000004</v>
      </c>
      <c r="AL43" s="718" t="str">
        <f>IF(OR($B43="No",AL$6=""),"",IF(NOT(ISNUMBER(_xll.ciqfunctions.udf.CIQ(AL$6,"IQ_TEV",$AI43,$I$2,$I$3))),"",_xll.ciqfunctions.udf.CIQ(AL$6,"IQ_TEV",$AI43,$I$2,$I$3)))</f>
        <v/>
      </c>
      <c r="AM43" s="718" t="str">
        <f>IF(OR($B43="No",AM$6=""),"",IF(NOT(ISNUMBER(_xll.ciqfunctions.udf.CIQ(AM$6,"IQ_TEV",$AI43,$I$2,$I$3))),"",_xll.ciqfunctions.udf.CIQ(AM$6,"IQ_TEV",$AI43,$I$2,$I$3)))</f>
        <v/>
      </c>
      <c r="AN43" s="718" t="str">
        <f>IF(OR($B43="No",AN$6=""),"",IF(NOT(ISNUMBER(_xll.ciqfunctions.udf.CIQ(AN$6,"IQ_TEV",$AI43,$I$2,$I$3))),"",_xll.ciqfunctions.udf.CIQ(AN$6,"IQ_TEV",$AI43,$I$2,$I$3)))</f>
        <v/>
      </c>
      <c r="AO43" s="718" t="str">
        <f>IF(OR($B43="No",AO$6=""),"",IF(NOT(ISNUMBER(_xll.ciqfunctions.udf.CIQ(AO$6,"IQ_TEV",$AI43,$I$2,$I$3))),"",_xll.ciqfunctions.udf.CIQ(AO$6,"IQ_TEV",$AI43,$I$2,$I$3)))</f>
        <v/>
      </c>
      <c r="AP43" s="718" t="str">
        <f>IF(OR($B43="No",AP$6=""),"",IF(NOT(ISNUMBER(_xll.ciqfunctions.udf.CIQ(AP$6,"IQ_TEV",$AI43,$I$2,$I$3))),"",_xll.ciqfunctions.udf.CIQ(AP$6,"IQ_TEV",$AI43,$I$2,$I$3)))</f>
        <v/>
      </c>
      <c r="AQ43" s="718" t="str">
        <f>IF(OR($B43="No",AQ$6=""),"",IF(NOT(ISNUMBER(_xll.ciqfunctions.udf.CIQ(AQ$6,"IQ_TEV",$AI43,$I$2,$I$3))),"",_xll.ciqfunctions.udf.CIQ(AQ$6,"IQ_TEV",$AI43,$I$2,$I$3)))</f>
        <v/>
      </c>
      <c r="AR43" s="718" t="str">
        <f>IF(OR($B43="No",AR$6=""),"",IF(NOT(ISNUMBER(_xll.ciqfunctions.udf.CIQ(AR$6,"IQ_TEV",$AI43,$I$2,$I$3))),"",_xll.ciqfunctions.udf.CIQ(AR$6,"IQ_TEV",$AI43,$I$2,$I$3)))</f>
        <v/>
      </c>
      <c r="AS43" s="718" t="str">
        <f>IF(OR($B43="No",AS$6=""),"",IF(NOT(ISNUMBER(_xll.ciqfunctions.udf.CIQ(AS$6,"IQ_TEV",$AI43,$I$2,$I$3))),"",_xll.ciqfunctions.udf.CIQ(AS$6,"IQ_TEV",$AI43,$I$2,$I$3)))</f>
        <v/>
      </c>
      <c r="AT43" s="718" t="str">
        <f>IF(OR($B43="No",AT$6=""),"",IF(NOT(ISNUMBER(_xll.ciqfunctions.udf.CIQ(AT$6,"IQ_TEV",$AI43,$I$2,$I$3))),"",_xll.ciqfunctions.udf.CIQ(AT$6,"IQ_TEV",$AI43,$I$2,$I$3)))</f>
        <v/>
      </c>
      <c r="AV43" s="251">
        <f t="shared" si="39"/>
        <v>43077</v>
      </c>
      <c r="AW43" s="719">
        <f t="shared" si="40"/>
        <v>0.27187761315157966</v>
      </c>
      <c r="AX43" s="719">
        <f t="shared" si="41"/>
        <v>0.14743863701047677</v>
      </c>
      <c r="AY43" s="719" t="e">
        <f t="shared" si="42"/>
        <v>#N/A</v>
      </c>
      <c r="AZ43" s="719" t="e">
        <f t="shared" si="43"/>
        <v>#N/A</v>
      </c>
      <c r="BA43" s="719" t="e">
        <f t="shared" si="44"/>
        <v>#N/A</v>
      </c>
      <c r="BB43" s="719" t="e">
        <f t="shared" si="45"/>
        <v>#N/A</v>
      </c>
      <c r="BC43" s="719" t="e">
        <f t="shared" si="46"/>
        <v>#N/A</v>
      </c>
      <c r="BD43" s="719" t="e">
        <f t="shared" si="47"/>
        <v>#N/A</v>
      </c>
      <c r="BE43" s="719" t="e">
        <f t="shared" si="48"/>
        <v>#N/A</v>
      </c>
      <c r="BF43" s="719" t="e">
        <f t="shared" si="49"/>
        <v>#N/A</v>
      </c>
      <c r="BG43" s="719" t="e">
        <f t="shared" si="50"/>
        <v>#N/A</v>
      </c>
    </row>
    <row r="44" spans="1:59" ht="15" customHeight="1" x14ac:dyDescent="0.2">
      <c r="A44" s="251">
        <f t="shared" si="15"/>
        <v>43084</v>
      </c>
      <c r="B44" s="253" t="str">
        <f t="shared" si="51"/>
        <v>Yes</v>
      </c>
      <c r="C44" s="1033">
        <f>IF(C$6="","",IF(NOT(ISNUMBER(_xll.ciqfunctions.udf.CIQ(C$6,$F$2, $A44, $I$2, $I$3))),IF(C43=C$6,"",C43),_xll.ciqfunctions.udf.CIQ(C$6,$F$2, $A44, $I$2, $I$3)))</f>
        <v>97.11</v>
      </c>
      <c r="D44" s="1033">
        <f>IF(D$6="","",IF(NOT(ISNUMBER(_xll.ciqfunctions.udf.CIQ(D$6,$F$2, $A44, $I$2, $I$3))),IF(D43=D$6,"",D43),_xll.ciqfunctions.udf.CIQ(D$6,$F$2, $A44, $I$2, $I$3)))</f>
        <v>24651.739740000001</v>
      </c>
      <c r="E44" s="1033">
        <f>IF(E$6="","",IF(NOT(ISNUMBER(_xll.ciqfunctions.udf.CIQ(E$6,$F$2, $A44, $I$2, $I$3))),IF(E43=E$6,"",E43),_xll.ciqfunctions.udf.CIQ(E$6,$F$2, $A44, $I$2, $I$3)))</f>
        <v>8299.8499699999993</v>
      </c>
      <c r="F44" s="1033">
        <f>IF(F$6="","",IF(NOT(ISNUMBER(_xll.ciqfunctions.udf.CIQ(F$6,$F$2, $A44, $I$2, $I$3))),IF(F43=F$6,"",F43),_xll.ciqfunctions.udf.CIQ(F$6,$F$2, $A44, $I$2, $I$3)))</f>
        <v>4602.2681400000001</v>
      </c>
      <c r="G44" s="1033">
        <f>IF(G$6="","",IF(NOT(ISNUMBER(_xll.ciqfunctions.udf.CIQ(G$6,$F$2, $A44, $I$2, $I$3))),IF(G43=G$6,"",G43),_xll.ciqfunctions.udf.CIQ(G$6,$F$2, $A44, $I$2, $I$3)))</f>
        <v>192.73</v>
      </c>
      <c r="H44" s="1033" t="str">
        <f>IF(H$6="","",IF(NOT(ISNUMBER(_xll.ciqfunctions.udf.CIQ(H$6,$F$2, $A44, $I$2, $I$3))),IF(H43=H$6,"",H43),_xll.ciqfunctions.udf.CIQ(H$6,$F$2, $A44, $I$2, $I$3)))</f>
        <v/>
      </c>
      <c r="I44" s="1033" t="str">
        <f>IF(I$6="","",IF(NOT(ISNUMBER(_xll.ciqfunctions.udf.CIQ(I$6,$F$2, $A44, $I$2, $I$3))),IF(I43=I$6,"",I43),_xll.ciqfunctions.udf.CIQ(I$6,$F$2, $A44, $I$2, $I$3)))</f>
        <v/>
      </c>
      <c r="J44" s="1033" t="str">
        <f>IF(J$6="","",IF(NOT(ISNUMBER(_xll.ciqfunctions.udf.CIQ(J$6,$F$2, $A44, $I$2, $I$3))),IF(J43=J$6,"",J43),_xll.ciqfunctions.udf.CIQ(J$6,$F$2, $A44, $I$2, $I$3)))</f>
        <v/>
      </c>
      <c r="K44" s="1033" t="str">
        <f>IF(K$6="","",IF(NOT(ISNUMBER(_xll.ciqfunctions.udf.CIQ(K$6,$F$2, $A44, $I$2, $I$3))),IF(K43=K$6,"",K43),_xll.ciqfunctions.udf.CIQ(K$6,$F$2, $A44, $I$2, $I$3)))</f>
        <v/>
      </c>
      <c r="L44" s="254" t="str">
        <f>IF(L$6="","",IF(NOT(ISNUMBER(_xll.ciqfunctions.udf.CIQ(L$6,$F$2, $A44, $I$2, $I$3))),IF(L43=L$6,"",L43),_xll.ciqfunctions.udf.CIQ(L$6,$F$2, $A44, $I$2, $I$3)))</f>
        <v/>
      </c>
      <c r="M44" s="254" t="str">
        <f>IF(M$6="","",IF(NOT(ISNUMBER(_xll.ciqfunctions.udf.CIQ(M$6,$F$2, $A44, $I$2, $I$3))),IF(M43=M$6,"",M43),_xll.ciqfunctions.udf.CIQ(M$6,$F$2, $A44, $I$2, $I$3)))</f>
        <v/>
      </c>
      <c r="N44" s="254" t="str">
        <f>IF(N$6="","",IF(NOT(ISNUMBER(_xll.ciqfunctions.udf.CIQ(N$6,$F$2, $A44, $I$2, $I$3))),IF(N43=N$6,"",N43),_xll.ciqfunctions.udf.CIQ(N$6,$F$2, $A44, $I$2, $I$3)))</f>
        <v/>
      </c>
      <c r="O44" s="254" t="str">
        <f>IF(O$6="","",IF(NOT(ISNUMBER(_xll.ciqfunctions.udf.CIQ(O$6,$F$2, $A44, $I$2, $I$3))),IF(O43=O$6,"",O43),_xll.ciqfunctions.udf.CIQ(O$6,$F$2, $A44, $I$2, $I$3)))</f>
        <v/>
      </c>
      <c r="P44" s="254" t="str">
        <f>IF(P$6="","",IF(NOT(ISNUMBER(_xll.ciqfunctions.udf.CIQ(P$6,$F$2, $A44, $I$2, $I$3))),IF(P43=P$6,"",P43),_xll.ciqfunctions.udf.CIQ(P$6,$F$2, $A44, $I$2, $I$3)))</f>
        <v/>
      </c>
      <c r="Q44" s="254"/>
      <c r="R44" s="251">
        <f t="shared" si="16"/>
        <v>43084</v>
      </c>
      <c r="S44" s="255">
        <f t="shared" si="35"/>
        <v>0.34725305216426205</v>
      </c>
      <c r="T44" s="255">
        <f t="shared" si="36"/>
        <v>0.1930250210467428</v>
      </c>
      <c r="U44" s="255">
        <f t="shared" si="37"/>
        <v>0.15987389265344398</v>
      </c>
      <c r="V44" s="255">
        <f t="shared" si="52"/>
        <v>4.8415902722513726E-2</v>
      </c>
      <c r="W44" s="255">
        <f t="array" ref="W44">IFERROR(AVERAGE(IF(ISERROR(X44:AG44),"",X44:AG44)),"")</f>
        <v>0.14932315582324529</v>
      </c>
      <c r="X44" s="255">
        <f t="shared" si="53"/>
        <v>0.14932315582324529</v>
      </c>
      <c r="Y44" s="255" t="e">
        <f t="shared" si="54"/>
        <v>#N/A</v>
      </c>
      <c r="Z44" s="255" t="e">
        <f t="shared" si="55"/>
        <v>#N/A</v>
      </c>
      <c r="AA44" s="255" t="e">
        <f t="shared" si="56"/>
        <v>#N/A</v>
      </c>
      <c r="AB44" s="255" t="e">
        <f t="shared" si="57"/>
        <v>#N/A</v>
      </c>
      <c r="AC44" s="255" t="e">
        <f t="shared" si="58"/>
        <v>#N/A</v>
      </c>
      <c r="AD44" s="255" t="e">
        <f t="shared" si="59"/>
        <v>#N/A</v>
      </c>
      <c r="AE44" s="255" t="e">
        <f t="shared" si="60"/>
        <v>#N/A</v>
      </c>
      <c r="AF44" s="255" t="e">
        <f t="shared" si="61"/>
        <v>#N/A</v>
      </c>
      <c r="AG44" s="255" t="e">
        <f t="shared" si="62"/>
        <v>#N/A</v>
      </c>
      <c r="AI44" s="251">
        <f t="shared" si="27"/>
        <v>43084</v>
      </c>
      <c r="AJ44" s="718">
        <f>IF(OR($B44="No",AJ$6=""),"",IF(NOT(ISNUMBER(_xll.ciqfunctions.udf.CIQ(AJ$6,"IQ_TEV",$AI44,$I$2,$I$3))),"",_xll.ciqfunctions.udf.CIQ(AJ$6,"IQ_TEV",$AI44,$I$2,$I$3)))</f>
        <v>333691.86212000001</v>
      </c>
      <c r="AK44" s="718">
        <f>IF(OR($B44="No",AK$6=""),"",IF(NOT(ISNUMBER(_xll.ciqfunctions.udf.CIQ(AK$6,"IQ_TEV",$AI44,$I$2,$I$3))),"",_xll.ciqfunctions.udf.CIQ(AK$6,"IQ_TEV",$AI44,$I$2,$I$3)))</f>
        <v>84515.125050000002</v>
      </c>
      <c r="AL44" s="718" t="str">
        <f>IF(OR($B44="No",AL$6=""),"",IF(NOT(ISNUMBER(_xll.ciqfunctions.udf.CIQ(AL$6,"IQ_TEV",$AI44,$I$2,$I$3))),"",_xll.ciqfunctions.udf.CIQ(AL$6,"IQ_TEV",$AI44,$I$2,$I$3)))</f>
        <v/>
      </c>
      <c r="AM44" s="718" t="str">
        <f>IF(OR($B44="No",AM$6=""),"",IF(NOT(ISNUMBER(_xll.ciqfunctions.udf.CIQ(AM$6,"IQ_TEV",$AI44,$I$2,$I$3))),"",_xll.ciqfunctions.udf.CIQ(AM$6,"IQ_TEV",$AI44,$I$2,$I$3)))</f>
        <v/>
      </c>
      <c r="AN44" s="718" t="str">
        <f>IF(OR($B44="No",AN$6=""),"",IF(NOT(ISNUMBER(_xll.ciqfunctions.udf.CIQ(AN$6,"IQ_TEV",$AI44,$I$2,$I$3))),"",_xll.ciqfunctions.udf.CIQ(AN$6,"IQ_TEV",$AI44,$I$2,$I$3)))</f>
        <v/>
      </c>
      <c r="AO44" s="718" t="str">
        <f>IF(OR($B44="No",AO$6=""),"",IF(NOT(ISNUMBER(_xll.ciqfunctions.udf.CIQ(AO$6,"IQ_TEV",$AI44,$I$2,$I$3))),"",_xll.ciqfunctions.udf.CIQ(AO$6,"IQ_TEV",$AI44,$I$2,$I$3)))</f>
        <v/>
      </c>
      <c r="AP44" s="718" t="str">
        <f>IF(OR($B44="No",AP$6=""),"",IF(NOT(ISNUMBER(_xll.ciqfunctions.udf.CIQ(AP$6,"IQ_TEV",$AI44,$I$2,$I$3))),"",_xll.ciqfunctions.udf.CIQ(AP$6,"IQ_TEV",$AI44,$I$2,$I$3)))</f>
        <v/>
      </c>
      <c r="AQ44" s="718" t="str">
        <f>IF(OR($B44="No",AQ$6=""),"",IF(NOT(ISNUMBER(_xll.ciqfunctions.udf.CIQ(AQ$6,"IQ_TEV",$AI44,$I$2,$I$3))),"",_xll.ciqfunctions.udf.CIQ(AQ$6,"IQ_TEV",$AI44,$I$2,$I$3)))</f>
        <v/>
      </c>
      <c r="AR44" s="718" t="str">
        <f>IF(OR($B44="No",AR$6=""),"",IF(NOT(ISNUMBER(_xll.ciqfunctions.udf.CIQ(AR$6,"IQ_TEV",$AI44,$I$2,$I$3))),"",_xll.ciqfunctions.udf.CIQ(AR$6,"IQ_TEV",$AI44,$I$2,$I$3)))</f>
        <v/>
      </c>
      <c r="AS44" s="718" t="str">
        <f>IF(OR($B44="No",AS$6=""),"",IF(NOT(ISNUMBER(_xll.ciqfunctions.udf.CIQ(AS$6,"IQ_TEV",$AI44,$I$2,$I$3))),"",_xll.ciqfunctions.udf.CIQ(AS$6,"IQ_TEV",$AI44,$I$2,$I$3)))</f>
        <v/>
      </c>
      <c r="AT44" s="718" t="str">
        <f>IF(OR($B44="No",AT$6=""),"",IF(NOT(ISNUMBER(_xll.ciqfunctions.udf.CIQ(AT$6,"IQ_TEV",$AI44,$I$2,$I$3))),"",_xll.ciqfunctions.udf.CIQ(AT$6,"IQ_TEV",$AI44,$I$2,$I$3)))</f>
        <v/>
      </c>
      <c r="AV44" s="251">
        <f t="shared" si="39"/>
        <v>43084</v>
      </c>
      <c r="AW44" s="719">
        <f t="shared" si="40"/>
        <v>0.27823228565268421</v>
      </c>
      <c r="AX44" s="719">
        <f t="shared" si="41"/>
        <v>0.15798178212566727</v>
      </c>
      <c r="AY44" s="719" t="e">
        <f t="shared" si="42"/>
        <v>#N/A</v>
      </c>
      <c r="AZ44" s="719" t="e">
        <f t="shared" si="43"/>
        <v>#N/A</v>
      </c>
      <c r="BA44" s="719" t="e">
        <f t="shared" si="44"/>
        <v>#N/A</v>
      </c>
      <c r="BB44" s="719" t="e">
        <f t="shared" si="45"/>
        <v>#N/A</v>
      </c>
      <c r="BC44" s="719" t="e">
        <f t="shared" si="46"/>
        <v>#N/A</v>
      </c>
      <c r="BD44" s="719" t="e">
        <f t="shared" si="47"/>
        <v>#N/A</v>
      </c>
      <c r="BE44" s="719" t="e">
        <f t="shared" si="48"/>
        <v>#N/A</v>
      </c>
      <c r="BF44" s="719" t="e">
        <f t="shared" si="49"/>
        <v>#N/A</v>
      </c>
      <c r="BG44" s="719" t="e">
        <f t="shared" si="50"/>
        <v>#N/A</v>
      </c>
    </row>
    <row r="45" spans="1:59" ht="15" customHeight="1" x14ac:dyDescent="0.2">
      <c r="A45" s="251">
        <f t="shared" si="15"/>
        <v>43091</v>
      </c>
      <c r="B45" s="253" t="str">
        <f t="shared" si="51"/>
        <v>Yes</v>
      </c>
      <c r="C45" s="1033">
        <f>IF(C$6="","",IF(NOT(ISNUMBER(_xll.ciqfunctions.udf.CIQ(C$6,$F$2, $A45, $I$2, $I$3))),IF(C44=C$6,"",C44),_xll.ciqfunctions.udf.CIQ(C$6,$F$2, $A45, $I$2, $I$3)))</f>
        <v>98.21</v>
      </c>
      <c r="D45" s="1033">
        <f>IF(D$6="","",IF(NOT(ISNUMBER(_xll.ciqfunctions.udf.CIQ(D$6,$F$2, $A45, $I$2, $I$3))),IF(D44=D$6,"",D44),_xll.ciqfunctions.udf.CIQ(D$6,$F$2, $A45, $I$2, $I$3)))</f>
        <v>24754.057400000002</v>
      </c>
      <c r="E45" s="1033">
        <f>IF(E$6="","",IF(NOT(ISNUMBER(_xll.ciqfunctions.udf.CIQ(E$6,$F$2, $A45, $I$2, $I$3))),IF(E44=E$6,"",E44),_xll.ciqfunctions.udf.CIQ(E$6,$F$2, $A45, $I$2, $I$3)))</f>
        <v>8326.85844</v>
      </c>
      <c r="F45" s="1033">
        <f>IF(F$6="","",IF(NOT(ISNUMBER(_xll.ciqfunctions.udf.CIQ(F$6,$F$2, $A45, $I$2, $I$3))),IF(F44=F$6,"",F44),_xll.ciqfunctions.udf.CIQ(F$6,$F$2, $A45, $I$2, $I$3)))</f>
        <v>4726.9698399999997</v>
      </c>
      <c r="G45" s="1033">
        <f>IF(G$6="","",IF(NOT(ISNUMBER(_xll.ciqfunctions.udf.CIQ(G$6,$F$2, $A45, $I$2, $I$3))),IF(G44=G$6,"",G44),_xll.ciqfunctions.udf.CIQ(G$6,$F$2, $A45, $I$2, $I$3)))</f>
        <v>186.63</v>
      </c>
      <c r="H45" s="1033" t="str">
        <f>IF(H$6="","",IF(NOT(ISNUMBER(_xll.ciqfunctions.udf.CIQ(H$6,$F$2, $A45, $I$2, $I$3))),IF(H44=H$6,"",H44),_xll.ciqfunctions.udf.CIQ(H$6,$F$2, $A45, $I$2, $I$3)))</f>
        <v/>
      </c>
      <c r="I45" s="1033" t="str">
        <f>IF(I$6="","",IF(NOT(ISNUMBER(_xll.ciqfunctions.udf.CIQ(I$6,$F$2, $A45, $I$2, $I$3))),IF(I44=I$6,"",I44),_xll.ciqfunctions.udf.CIQ(I$6,$F$2, $A45, $I$2, $I$3)))</f>
        <v/>
      </c>
      <c r="J45" s="1033" t="str">
        <f>IF(J$6="","",IF(NOT(ISNUMBER(_xll.ciqfunctions.udf.CIQ(J$6,$F$2, $A45, $I$2, $I$3))),IF(J44=J$6,"",J44),_xll.ciqfunctions.udf.CIQ(J$6,$F$2, $A45, $I$2, $I$3)))</f>
        <v/>
      </c>
      <c r="K45" s="1033" t="str">
        <f>IF(K$6="","",IF(NOT(ISNUMBER(_xll.ciqfunctions.udf.CIQ(K$6,$F$2, $A45, $I$2, $I$3))),IF(K44=K$6,"",K44),_xll.ciqfunctions.udf.CIQ(K$6,$F$2, $A45, $I$2, $I$3)))</f>
        <v/>
      </c>
      <c r="L45" s="254" t="str">
        <f>IF(L$6="","",IF(NOT(ISNUMBER(_xll.ciqfunctions.udf.CIQ(L$6,$F$2, $A45, $I$2, $I$3))),IF(L44=L$6,"",L44),_xll.ciqfunctions.udf.CIQ(L$6,$F$2, $A45, $I$2, $I$3)))</f>
        <v/>
      </c>
      <c r="M45" s="254" t="str">
        <f>IF(M$6="","",IF(NOT(ISNUMBER(_xll.ciqfunctions.udf.CIQ(M$6,$F$2, $A45, $I$2, $I$3))),IF(M44=M$6,"",M44),_xll.ciqfunctions.udf.CIQ(M$6,$F$2, $A45, $I$2, $I$3)))</f>
        <v/>
      </c>
      <c r="N45" s="254" t="str">
        <f>IF(N$6="","",IF(NOT(ISNUMBER(_xll.ciqfunctions.udf.CIQ(N$6,$F$2, $A45, $I$2, $I$3))),IF(N44=N$6,"",N44),_xll.ciqfunctions.udf.CIQ(N$6,$F$2, $A45, $I$2, $I$3)))</f>
        <v/>
      </c>
      <c r="O45" s="254" t="str">
        <f>IF(O$6="","",IF(NOT(ISNUMBER(_xll.ciqfunctions.udf.CIQ(O$6,$F$2, $A45, $I$2, $I$3))),IF(O44=O$6,"",O44),_xll.ciqfunctions.udf.CIQ(O$6,$F$2, $A45, $I$2, $I$3)))</f>
        <v/>
      </c>
      <c r="P45" s="254" t="str">
        <f>IF(P$6="","",IF(NOT(ISNUMBER(_xll.ciqfunctions.udf.CIQ(P$6,$F$2, $A45, $I$2, $I$3))),IF(P44=P$6,"",P44),_xll.ciqfunctions.udf.CIQ(P$6,$F$2, $A45, $I$2, $I$3)))</f>
        <v/>
      </c>
      <c r="Q45" s="254"/>
      <c r="R45" s="251">
        <f t="shared" si="16"/>
        <v>43091</v>
      </c>
      <c r="S45" s="255">
        <f t="shared" si="35"/>
        <v>0.36251387347391772</v>
      </c>
      <c r="T45" s="255">
        <f t="shared" si="36"/>
        <v>0.1979767011213498</v>
      </c>
      <c r="U45" s="255">
        <f t="shared" si="37"/>
        <v>0.16364822825550251</v>
      </c>
      <c r="V45" s="255">
        <f t="shared" si="52"/>
        <v>7.6823470773629499E-2</v>
      </c>
      <c r="W45" s="255">
        <f t="array" ref="W45">IFERROR(AVERAGE(IF(ISERROR(X45:AG45),"",X45:AG45)),"")</f>
        <v>0.11294650843818954</v>
      </c>
      <c r="X45" s="255">
        <f t="shared" si="53"/>
        <v>0.11294650843818954</v>
      </c>
      <c r="Y45" s="255" t="e">
        <f t="shared" si="54"/>
        <v>#N/A</v>
      </c>
      <c r="Z45" s="255" t="e">
        <f t="shared" si="55"/>
        <v>#N/A</v>
      </c>
      <c r="AA45" s="255" t="e">
        <f t="shared" si="56"/>
        <v>#N/A</v>
      </c>
      <c r="AB45" s="255" t="e">
        <f t="shared" si="57"/>
        <v>#N/A</v>
      </c>
      <c r="AC45" s="255" t="e">
        <f t="shared" si="58"/>
        <v>#N/A</v>
      </c>
      <c r="AD45" s="255" t="e">
        <f t="shared" si="59"/>
        <v>#N/A</v>
      </c>
      <c r="AE45" s="255" t="e">
        <f t="shared" si="60"/>
        <v>#N/A</v>
      </c>
      <c r="AF45" s="255" t="e">
        <f t="shared" si="61"/>
        <v>#N/A</v>
      </c>
      <c r="AG45" s="255" t="e">
        <f t="shared" si="62"/>
        <v>#N/A</v>
      </c>
      <c r="AI45" s="251">
        <f t="shared" si="27"/>
        <v>43091</v>
      </c>
      <c r="AJ45" s="718">
        <f>IF(OR($B45="No",AJ$6=""),"",IF(NOT(ISNUMBER(_xll.ciqfunctions.udf.CIQ(AJ$6,"IQ_TEV",$AI45,$I$2,$I$3))),"",_xll.ciqfunctions.udf.CIQ(AJ$6,"IQ_TEV",$AI45,$I$2,$I$3)))</f>
        <v>336950.48171000002</v>
      </c>
      <c r="AK45" s="718">
        <f>IF(OR($B45="No",AK$6=""),"",IF(NOT(ISNUMBER(_xll.ciqfunctions.udf.CIQ(AK$6,"IQ_TEV",$AI45,$I$2,$I$3))),"",_xll.ciqfunctions.udf.CIQ(AK$6,"IQ_TEV",$AI45,$I$2,$I$3)))</f>
        <v>81821.328699999998</v>
      </c>
      <c r="AL45" s="718" t="str">
        <f>IF(OR($B45="No",AL$6=""),"",IF(NOT(ISNUMBER(_xll.ciqfunctions.udf.CIQ(AL$6,"IQ_TEV",$AI45,$I$2,$I$3))),"",_xll.ciqfunctions.udf.CIQ(AL$6,"IQ_TEV",$AI45,$I$2,$I$3)))</f>
        <v/>
      </c>
      <c r="AM45" s="718" t="str">
        <f>IF(OR($B45="No",AM$6=""),"",IF(NOT(ISNUMBER(_xll.ciqfunctions.udf.CIQ(AM$6,"IQ_TEV",$AI45,$I$2,$I$3))),"",_xll.ciqfunctions.udf.CIQ(AM$6,"IQ_TEV",$AI45,$I$2,$I$3)))</f>
        <v/>
      </c>
      <c r="AN45" s="718" t="str">
        <f>IF(OR($B45="No",AN$6=""),"",IF(NOT(ISNUMBER(_xll.ciqfunctions.udf.CIQ(AN$6,"IQ_TEV",$AI45,$I$2,$I$3))),"",_xll.ciqfunctions.udf.CIQ(AN$6,"IQ_TEV",$AI45,$I$2,$I$3)))</f>
        <v/>
      </c>
      <c r="AO45" s="718" t="str">
        <f>IF(OR($B45="No",AO$6=""),"",IF(NOT(ISNUMBER(_xll.ciqfunctions.udf.CIQ(AO$6,"IQ_TEV",$AI45,$I$2,$I$3))),"",_xll.ciqfunctions.udf.CIQ(AO$6,"IQ_TEV",$AI45,$I$2,$I$3)))</f>
        <v/>
      </c>
      <c r="AP45" s="718" t="str">
        <f>IF(OR($B45="No",AP$6=""),"",IF(NOT(ISNUMBER(_xll.ciqfunctions.udf.CIQ(AP$6,"IQ_TEV",$AI45,$I$2,$I$3))),"",_xll.ciqfunctions.udf.CIQ(AP$6,"IQ_TEV",$AI45,$I$2,$I$3)))</f>
        <v/>
      </c>
      <c r="AQ45" s="718" t="str">
        <f>IF(OR($B45="No",AQ$6=""),"",IF(NOT(ISNUMBER(_xll.ciqfunctions.udf.CIQ(AQ$6,"IQ_TEV",$AI45,$I$2,$I$3))),"",_xll.ciqfunctions.udf.CIQ(AQ$6,"IQ_TEV",$AI45,$I$2,$I$3)))</f>
        <v/>
      </c>
      <c r="AR45" s="718" t="str">
        <f>IF(OR($B45="No",AR$6=""),"",IF(NOT(ISNUMBER(_xll.ciqfunctions.udf.CIQ(AR$6,"IQ_TEV",$AI45,$I$2,$I$3))),"",_xll.ciqfunctions.udf.CIQ(AR$6,"IQ_TEV",$AI45,$I$2,$I$3)))</f>
        <v/>
      </c>
      <c r="AS45" s="718" t="str">
        <f>IF(OR($B45="No",AS$6=""),"",IF(NOT(ISNUMBER(_xll.ciqfunctions.udf.CIQ(AS$6,"IQ_TEV",$AI45,$I$2,$I$3))),"",_xll.ciqfunctions.udf.CIQ(AS$6,"IQ_TEV",$AI45,$I$2,$I$3)))</f>
        <v/>
      </c>
      <c r="AT45" s="718" t="str">
        <f>IF(OR($B45="No",AT$6=""),"",IF(NOT(ISNUMBER(_xll.ciqfunctions.udf.CIQ(AT$6,"IQ_TEV",$AI45,$I$2,$I$3))),"",_xll.ciqfunctions.udf.CIQ(AT$6,"IQ_TEV",$AI45,$I$2,$I$3)))</f>
        <v/>
      </c>
      <c r="AV45" s="251">
        <f t="shared" si="39"/>
        <v>43091</v>
      </c>
      <c r="AW45" s="719">
        <f t="shared" si="40"/>
        <v>0.29071467806146423</v>
      </c>
      <c r="AX45" s="719">
        <f t="shared" si="41"/>
        <v>0.12107280167736079</v>
      </c>
      <c r="AY45" s="719" t="e">
        <f t="shared" si="42"/>
        <v>#N/A</v>
      </c>
      <c r="AZ45" s="719" t="e">
        <f t="shared" si="43"/>
        <v>#N/A</v>
      </c>
      <c r="BA45" s="719" t="e">
        <f t="shared" si="44"/>
        <v>#N/A</v>
      </c>
      <c r="BB45" s="719" t="e">
        <f t="shared" si="45"/>
        <v>#N/A</v>
      </c>
      <c r="BC45" s="719" t="e">
        <f t="shared" si="46"/>
        <v>#N/A</v>
      </c>
      <c r="BD45" s="719" t="e">
        <f t="shared" si="47"/>
        <v>#N/A</v>
      </c>
      <c r="BE45" s="719" t="e">
        <f t="shared" si="48"/>
        <v>#N/A</v>
      </c>
      <c r="BF45" s="719" t="e">
        <f t="shared" si="49"/>
        <v>#N/A</v>
      </c>
      <c r="BG45" s="719" t="e">
        <f t="shared" si="50"/>
        <v>#N/A</v>
      </c>
    </row>
    <row r="46" spans="1:59" ht="15" customHeight="1" x14ac:dyDescent="0.2">
      <c r="A46" s="251">
        <f t="shared" si="15"/>
        <v>43098</v>
      </c>
      <c r="B46" s="253" t="str">
        <f t="shared" si="51"/>
        <v>Yes</v>
      </c>
      <c r="C46" s="1033">
        <f>IF(C$6="","",IF(NOT(ISNUMBER(_xll.ciqfunctions.udf.CIQ(C$6,$F$2, $A46, $I$2, $I$3))),IF(C45=C$6,"",C45),_xll.ciqfunctions.udf.CIQ(C$6,$F$2, $A46, $I$2, $I$3)))</f>
        <v>98.75</v>
      </c>
      <c r="D46" s="1033">
        <f>IF(D$6="","",IF(NOT(ISNUMBER(_xll.ciqfunctions.udf.CIQ(D$6,$F$2, $A46, $I$2, $I$3))),IF(D45=D$6,"",D45),_xll.ciqfunctions.udf.CIQ(D$6,$F$2, $A46, $I$2, $I$3)))</f>
        <v>24719.217069999999</v>
      </c>
      <c r="E46" s="1033">
        <f>IF(E$6="","",IF(NOT(ISNUMBER(_xll.ciqfunctions.udf.CIQ(E$6,$F$2, $A46, $I$2, $I$3))),IF(E45=E$6,"",E45),_xll.ciqfunctions.udf.CIQ(E$6,$F$2, $A46, $I$2, $I$3)))</f>
        <v>8310.34735</v>
      </c>
      <c r="F46" s="1033">
        <f>IF(F$6="","",IF(NOT(ISNUMBER(_xll.ciqfunctions.udf.CIQ(F$6,$F$2, $A46, $I$2, $I$3))),IF(F45=F$6,"",F45),_xll.ciqfunctions.udf.CIQ(F$6,$F$2, $A46, $I$2, $I$3)))</f>
        <v>4695.7268599999998</v>
      </c>
      <c r="G46" s="1033">
        <f>IF(G$6="","",IF(NOT(ISNUMBER(_xll.ciqfunctions.udf.CIQ(G$6,$F$2, $A46, $I$2, $I$3))),IF(G45=G$6,"",G45),_xll.ciqfunctions.udf.CIQ(G$6,$F$2, $A46, $I$2, $I$3)))</f>
        <v>186.12</v>
      </c>
      <c r="H46" s="1033" t="str">
        <f>IF(H$6="","",IF(NOT(ISNUMBER(_xll.ciqfunctions.udf.CIQ(H$6,$F$2, $A46, $I$2, $I$3))),IF(H45=H$6,"",H45),_xll.ciqfunctions.udf.CIQ(H$6,$F$2, $A46, $I$2, $I$3)))</f>
        <v/>
      </c>
      <c r="I46" s="1033" t="str">
        <f>IF(I$6="","",IF(NOT(ISNUMBER(_xll.ciqfunctions.udf.CIQ(I$6,$F$2, $A46, $I$2, $I$3))),IF(I45=I$6,"",I45),_xll.ciqfunctions.udf.CIQ(I$6,$F$2, $A46, $I$2, $I$3)))</f>
        <v/>
      </c>
      <c r="J46" s="1033" t="str">
        <f>IF(J$6="","",IF(NOT(ISNUMBER(_xll.ciqfunctions.udf.CIQ(J$6,$F$2, $A46, $I$2, $I$3))),IF(J45=J$6,"",J45),_xll.ciqfunctions.udf.CIQ(J$6,$F$2, $A46, $I$2, $I$3)))</f>
        <v/>
      </c>
      <c r="K46" s="1033" t="str">
        <f>IF(K$6="","",IF(NOT(ISNUMBER(_xll.ciqfunctions.udf.CIQ(K$6,$F$2, $A46, $I$2, $I$3))),IF(K45=K$6,"",K45),_xll.ciqfunctions.udf.CIQ(K$6,$F$2, $A46, $I$2, $I$3)))</f>
        <v/>
      </c>
      <c r="L46" s="254" t="str">
        <f>IF(L$6="","",IF(NOT(ISNUMBER(_xll.ciqfunctions.udf.CIQ(L$6,$F$2, $A46, $I$2, $I$3))),IF(L45=L$6,"",L45),_xll.ciqfunctions.udf.CIQ(L$6,$F$2, $A46, $I$2, $I$3)))</f>
        <v/>
      </c>
      <c r="M46" s="254" t="str">
        <f>IF(M$6="","",IF(NOT(ISNUMBER(_xll.ciqfunctions.udf.CIQ(M$6,$F$2, $A46, $I$2, $I$3))),IF(M45=M$6,"",M45),_xll.ciqfunctions.udf.CIQ(M$6,$F$2, $A46, $I$2, $I$3)))</f>
        <v/>
      </c>
      <c r="N46" s="254" t="str">
        <f>IF(N$6="","",IF(NOT(ISNUMBER(_xll.ciqfunctions.udf.CIQ(N$6,$F$2, $A46, $I$2, $I$3))),IF(N45=N$6,"",N45),_xll.ciqfunctions.udf.CIQ(N$6,$F$2, $A46, $I$2, $I$3)))</f>
        <v/>
      </c>
      <c r="O46" s="254" t="str">
        <f>IF(O$6="","",IF(NOT(ISNUMBER(_xll.ciqfunctions.udf.CIQ(O$6,$F$2, $A46, $I$2, $I$3))),IF(O45=O$6,"",O45),_xll.ciqfunctions.udf.CIQ(O$6,$F$2, $A46, $I$2, $I$3)))</f>
        <v/>
      </c>
      <c r="P46" s="254" t="str">
        <f>IF(P$6="","",IF(NOT(ISNUMBER(_xll.ciqfunctions.udf.CIQ(P$6,$F$2, $A46, $I$2, $I$3))),IF(P45=P$6,"",P45),_xll.ciqfunctions.udf.CIQ(P$6,$F$2, $A46, $I$2, $I$3)))</f>
        <v/>
      </c>
      <c r="Q46" s="254"/>
      <c r="R46" s="251">
        <f t="shared" si="16"/>
        <v>43098</v>
      </c>
      <c r="S46" s="255">
        <f t="shared" si="35"/>
        <v>0.37000554938956709</v>
      </c>
      <c r="T46" s="255">
        <f t="shared" si="36"/>
        <v>0.19629059758991896</v>
      </c>
      <c r="U46" s="255">
        <f t="shared" si="37"/>
        <v>0.1613408633875264</v>
      </c>
      <c r="V46" s="255">
        <f t="shared" si="52"/>
        <v>6.9706189449721068E-2</v>
      </c>
      <c r="W46" s="255">
        <f t="array" ref="W46">IFERROR(AVERAGE(IF(ISERROR(X46:AG46),"",X46:AG46)),"")</f>
        <v>0.1099051821814061</v>
      </c>
      <c r="X46" s="255">
        <f t="shared" si="53"/>
        <v>0.1099051821814061</v>
      </c>
      <c r="Y46" s="255" t="e">
        <f t="shared" si="54"/>
        <v>#N/A</v>
      </c>
      <c r="Z46" s="255" t="e">
        <f t="shared" si="55"/>
        <v>#N/A</v>
      </c>
      <c r="AA46" s="255" t="e">
        <f t="shared" si="56"/>
        <v>#N/A</v>
      </c>
      <c r="AB46" s="255" t="e">
        <f t="shared" si="57"/>
        <v>#N/A</v>
      </c>
      <c r="AC46" s="255" t="e">
        <f t="shared" si="58"/>
        <v>#N/A</v>
      </c>
      <c r="AD46" s="255" t="e">
        <f t="shared" si="59"/>
        <v>#N/A</v>
      </c>
      <c r="AE46" s="255" t="e">
        <f t="shared" si="60"/>
        <v>#N/A</v>
      </c>
      <c r="AF46" s="255" t="e">
        <f t="shared" si="61"/>
        <v>#N/A</v>
      </c>
      <c r="AG46" s="255" t="e">
        <f t="shared" si="62"/>
        <v>#N/A</v>
      </c>
      <c r="AI46" s="251">
        <f t="shared" si="27"/>
        <v>43098</v>
      </c>
      <c r="AJ46" s="718">
        <f>IF(OR($B46="No",AJ$6=""),"",IF(NOT(ISNUMBER(_xll.ciqfunctions.udf.CIQ(AJ$6,"IQ_TEV",$AI46,$I$2,$I$3))),"",_xll.ciqfunctions.udf.CIQ(AJ$6,"IQ_TEV",$AI46,$I$2,$I$3)))</f>
        <v>338550.16768999997</v>
      </c>
      <c r="AK46" s="718">
        <f>IF(OR($B46="No",AK$6=""),"",IF(NOT(ISNUMBER(_xll.ciqfunctions.udf.CIQ(AK$6,"IQ_TEV",$AI46,$I$2,$I$3))),"",_xll.ciqfunctions.udf.CIQ(AK$6,"IQ_TEV",$AI46,$I$2,$I$3)))</f>
        <v>81597.384709999998</v>
      </c>
      <c r="AL46" s="718" t="str">
        <f>IF(OR($B46="No",AL$6=""),"",IF(NOT(ISNUMBER(_xll.ciqfunctions.udf.CIQ(AL$6,"IQ_TEV",$AI46,$I$2,$I$3))),"",_xll.ciqfunctions.udf.CIQ(AL$6,"IQ_TEV",$AI46,$I$2,$I$3)))</f>
        <v/>
      </c>
      <c r="AM46" s="718" t="str">
        <f>IF(OR($B46="No",AM$6=""),"",IF(NOT(ISNUMBER(_xll.ciqfunctions.udf.CIQ(AM$6,"IQ_TEV",$AI46,$I$2,$I$3))),"",_xll.ciqfunctions.udf.CIQ(AM$6,"IQ_TEV",$AI46,$I$2,$I$3)))</f>
        <v/>
      </c>
      <c r="AN46" s="718" t="str">
        <f>IF(OR($B46="No",AN$6=""),"",IF(NOT(ISNUMBER(_xll.ciqfunctions.udf.CIQ(AN$6,"IQ_TEV",$AI46,$I$2,$I$3))),"",_xll.ciqfunctions.udf.CIQ(AN$6,"IQ_TEV",$AI46,$I$2,$I$3)))</f>
        <v/>
      </c>
      <c r="AO46" s="718" t="str">
        <f>IF(OR($B46="No",AO$6=""),"",IF(NOT(ISNUMBER(_xll.ciqfunctions.udf.CIQ(AO$6,"IQ_TEV",$AI46,$I$2,$I$3))),"",_xll.ciqfunctions.udf.CIQ(AO$6,"IQ_TEV",$AI46,$I$2,$I$3)))</f>
        <v/>
      </c>
      <c r="AP46" s="718" t="str">
        <f>IF(OR($B46="No",AP$6=""),"",IF(NOT(ISNUMBER(_xll.ciqfunctions.udf.CIQ(AP$6,"IQ_TEV",$AI46,$I$2,$I$3))),"",_xll.ciqfunctions.udf.CIQ(AP$6,"IQ_TEV",$AI46,$I$2,$I$3)))</f>
        <v/>
      </c>
      <c r="AQ46" s="718" t="str">
        <f>IF(OR($B46="No",AQ$6=""),"",IF(NOT(ISNUMBER(_xll.ciqfunctions.udf.CIQ(AQ$6,"IQ_TEV",$AI46,$I$2,$I$3))),"",_xll.ciqfunctions.udf.CIQ(AQ$6,"IQ_TEV",$AI46,$I$2,$I$3)))</f>
        <v/>
      </c>
      <c r="AR46" s="718" t="str">
        <f>IF(OR($B46="No",AR$6=""),"",IF(NOT(ISNUMBER(_xll.ciqfunctions.udf.CIQ(AR$6,"IQ_TEV",$AI46,$I$2,$I$3))),"",_xll.ciqfunctions.udf.CIQ(AR$6,"IQ_TEV",$AI46,$I$2,$I$3)))</f>
        <v/>
      </c>
      <c r="AS46" s="718" t="str">
        <f>IF(OR($B46="No",AS$6=""),"",IF(NOT(ISNUMBER(_xll.ciqfunctions.udf.CIQ(AS$6,"IQ_TEV",$AI46,$I$2,$I$3))),"",_xll.ciqfunctions.udf.CIQ(AS$6,"IQ_TEV",$AI46,$I$2,$I$3)))</f>
        <v/>
      </c>
      <c r="AT46" s="718" t="str">
        <f>IF(OR($B46="No",AT$6=""),"",IF(NOT(ISNUMBER(_xll.ciqfunctions.udf.CIQ(AT$6,"IQ_TEV",$AI46,$I$2,$I$3))),"",_xll.ciqfunctions.udf.CIQ(AT$6,"IQ_TEV",$AI46,$I$2,$I$3)))</f>
        <v/>
      </c>
      <c r="AV46" s="251">
        <f t="shared" si="39"/>
        <v>43098</v>
      </c>
      <c r="AW46" s="719">
        <f t="shared" si="40"/>
        <v>0.29684239796913925</v>
      </c>
      <c r="AX46" s="719">
        <f t="shared" si="41"/>
        <v>0.11800443893775503</v>
      </c>
      <c r="AY46" s="719" t="e">
        <f t="shared" si="42"/>
        <v>#N/A</v>
      </c>
      <c r="AZ46" s="719" t="e">
        <f t="shared" si="43"/>
        <v>#N/A</v>
      </c>
      <c r="BA46" s="719" t="e">
        <f t="shared" si="44"/>
        <v>#N/A</v>
      </c>
      <c r="BB46" s="719" t="e">
        <f t="shared" si="45"/>
        <v>#N/A</v>
      </c>
      <c r="BC46" s="719" t="e">
        <f t="shared" si="46"/>
        <v>#N/A</v>
      </c>
      <c r="BD46" s="719" t="e">
        <f t="shared" si="47"/>
        <v>#N/A</v>
      </c>
      <c r="BE46" s="719" t="e">
        <f t="shared" si="48"/>
        <v>#N/A</v>
      </c>
      <c r="BF46" s="719" t="e">
        <f t="shared" si="49"/>
        <v>#N/A</v>
      </c>
      <c r="BG46" s="719" t="e">
        <f t="shared" si="50"/>
        <v>#N/A</v>
      </c>
    </row>
    <row r="47" spans="1:59" ht="15" customHeight="1" x14ac:dyDescent="0.2">
      <c r="A47" s="251">
        <f t="shared" si="15"/>
        <v>43105</v>
      </c>
      <c r="B47" s="253" t="str">
        <f t="shared" si="51"/>
        <v>Yes</v>
      </c>
      <c r="C47" s="1033">
        <f>IF(C$6="","",IF(NOT(ISNUMBER(_xll.ciqfunctions.udf.CIQ(C$6,$F$2, $A47, $I$2, $I$3))),IF(C46=C$6,"",C46),_xll.ciqfunctions.udf.CIQ(C$6,$F$2, $A47, $I$2, $I$3)))</f>
        <v>100.13</v>
      </c>
      <c r="D47" s="1033">
        <f>IF(D$6="","",IF(NOT(ISNUMBER(_xll.ciqfunctions.udf.CIQ(D$6,$F$2, $A47, $I$2, $I$3))),IF(D46=D$6,"",D46),_xll.ciqfunctions.udf.CIQ(D$6,$F$2, $A47, $I$2, $I$3)))</f>
        <v>25295.872800000001</v>
      </c>
      <c r="E47" s="1033">
        <f>IF(E$6="","",IF(NOT(ISNUMBER(_xll.ciqfunctions.udf.CIQ(E$6,$F$2, $A47, $I$2, $I$3))),IF(E46=E$6,"",E46),_xll.ciqfunctions.udf.CIQ(E$6,$F$2, $A47, $I$2, $I$3)))</f>
        <v>8449.1283299999996</v>
      </c>
      <c r="F47" s="1033">
        <f>IF(F$6="","",IF(NOT(ISNUMBER(_xll.ciqfunctions.udf.CIQ(F$6,$F$2, $A47, $I$2, $I$3))),IF(F46=F$6,"",F46),_xll.ciqfunctions.udf.CIQ(F$6,$F$2, $A47, $I$2, $I$3)))</f>
        <v>4790.9578700000002</v>
      </c>
      <c r="G47" s="1033">
        <f>IF(G$6="","",IF(NOT(ISNUMBER(_xll.ciqfunctions.udf.CIQ(G$6,$F$2, $A47, $I$2, $I$3))),IF(G46=G$6,"",G46),_xll.ciqfunctions.udf.CIQ(G$6,$F$2, $A47, $I$2, $I$3)))</f>
        <v>187.75</v>
      </c>
      <c r="H47" s="1033" t="str">
        <f>IF(H$6="","",IF(NOT(ISNUMBER(_xll.ciqfunctions.udf.CIQ(H$6,$F$2, $A47, $I$2, $I$3))),IF(H46=H$6,"",H46),_xll.ciqfunctions.udf.CIQ(H$6,$F$2, $A47, $I$2, $I$3)))</f>
        <v/>
      </c>
      <c r="I47" s="1033" t="str">
        <f>IF(I$6="","",IF(NOT(ISNUMBER(_xll.ciqfunctions.udf.CIQ(I$6,$F$2, $A47, $I$2, $I$3))),IF(I46=I$6,"",I46),_xll.ciqfunctions.udf.CIQ(I$6,$F$2, $A47, $I$2, $I$3)))</f>
        <v/>
      </c>
      <c r="J47" s="1033" t="str">
        <f>IF(J$6="","",IF(NOT(ISNUMBER(_xll.ciqfunctions.udf.CIQ(J$6,$F$2, $A47, $I$2, $I$3))),IF(J46=J$6,"",J46),_xll.ciqfunctions.udf.CIQ(J$6,$F$2, $A47, $I$2, $I$3)))</f>
        <v/>
      </c>
      <c r="K47" s="1033" t="str">
        <f>IF(K$6="","",IF(NOT(ISNUMBER(_xll.ciqfunctions.udf.CIQ(K$6,$F$2, $A47, $I$2, $I$3))),IF(K46=K$6,"",K46),_xll.ciqfunctions.udf.CIQ(K$6,$F$2, $A47, $I$2, $I$3)))</f>
        <v/>
      </c>
      <c r="L47" s="254" t="str">
        <f>IF(L$6="","",IF(NOT(ISNUMBER(_xll.ciqfunctions.udf.CIQ(L$6,$F$2, $A47, $I$2, $I$3))),IF(L46=L$6,"",L46),_xll.ciqfunctions.udf.CIQ(L$6,$F$2, $A47, $I$2, $I$3)))</f>
        <v/>
      </c>
      <c r="M47" s="254" t="str">
        <f>IF(M$6="","",IF(NOT(ISNUMBER(_xll.ciqfunctions.udf.CIQ(M$6,$F$2, $A47, $I$2, $I$3))),IF(M46=M$6,"",M46),_xll.ciqfunctions.udf.CIQ(M$6,$F$2, $A47, $I$2, $I$3)))</f>
        <v/>
      </c>
      <c r="N47" s="254" t="str">
        <f>IF(N$6="","",IF(NOT(ISNUMBER(_xll.ciqfunctions.udf.CIQ(N$6,$F$2, $A47, $I$2, $I$3))),IF(N46=N$6,"",N46),_xll.ciqfunctions.udf.CIQ(N$6,$F$2, $A47, $I$2, $I$3)))</f>
        <v/>
      </c>
      <c r="O47" s="254" t="str">
        <f>IF(O$6="","",IF(NOT(ISNUMBER(_xll.ciqfunctions.udf.CIQ(O$6,$F$2, $A47, $I$2, $I$3))),IF(O46=O$6,"",O46),_xll.ciqfunctions.udf.CIQ(O$6,$F$2, $A47, $I$2, $I$3)))</f>
        <v/>
      </c>
      <c r="P47" s="254" t="str">
        <f>IF(P$6="","",IF(NOT(ISNUMBER(_xll.ciqfunctions.udf.CIQ(P$6,$F$2, $A47, $I$2, $I$3))),IF(P46=P$6,"",P46),_xll.ciqfunctions.udf.CIQ(P$6,$F$2, $A47, $I$2, $I$3)))</f>
        <v/>
      </c>
      <c r="Q47" s="254"/>
      <c r="R47" s="251">
        <f t="shared" si="16"/>
        <v>43105</v>
      </c>
      <c r="S47" s="255">
        <f t="shared" si="35"/>
        <v>0.38915094339622636</v>
      </c>
      <c r="T47" s="255">
        <f t="shared" si="36"/>
        <v>0.22419794699713691</v>
      </c>
      <c r="U47" s="255">
        <f t="shared" si="37"/>
        <v>0.18073500136359621</v>
      </c>
      <c r="V47" s="255">
        <f t="shared" si="52"/>
        <v>9.1400211240534546E-2</v>
      </c>
      <c r="W47" s="255">
        <f t="array" ref="W47">IFERROR(AVERAGE(IF(ISERROR(X47:AG47),"",X47:AG47)),"")</f>
        <v>0.11962549943347844</v>
      </c>
      <c r="X47" s="255">
        <f t="shared" si="53"/>
        <v>0.11962549943347844</v>
      </c>
      <c r="Y47" s="255" t="e">
        <f t="shared" si="54"/>
        <v>#N/A</v>
      </c>
      <c r="Z47" s="255" t="e">
        <f t="shared" si="55"/>
        <v>#N/A</v>
      </c>
      <c r="AA47" s="255" t="e">
        <f t="shared" si="56"/>
        <v>#N/A</v>
      </c>
      <c r="AB47" s="255" t="e">
        <f t="shared" si="57"/>
        <v>#N/A</v>
      </c>
      <c r="AC47" s="255" t="e">
        <f t="shared" si="58"/>
        <v>#N/A</v>
      </c>
      <c r="AD47" s="255" t="e">
        <f t="shared" si="59"/>
        <v>#N/A</v>
      </c>
      <c r="AE47" s="255" t="e">
        <f t="shared" si="60"/>
        <v>#N/A</v>
      </c>
      <c r="AF47" s="255" t="e">
        <f t="shared" si="61"/>
        <v>#N/A</v>
      </c>
      <c r="AG47" s="255" t="e">
        <f t="shared" si="62"/>
        <v>#N/A</v>
      </c>
      <c r="AI47" s="251">
        <f t="shared" si="27"/>
        <v>43105</v>
      </c>
      <c r="AJ47" s="718">
        <f>IF(OR($B47="No",AJ$6=""),"",IF(NOT(ISNUMBER(_xll.ciqfunctions.udf.CIQ(AJ$6,"IQ_TEV",$AI47,$I$2,$I$3))),"",_xll.ciqfunctions.udf.CIQ(AJ$6,"IQ_TEV",$AI47,$I$2,$I$3)))</f>
        <v>342638.25409</v>
      </c>
      <c r="AK47" s="718">
        <f>IF(OR($B47="No",AK$6=""),"",IF(NOT(ISNUMBER(_xll.ciqfunctions.udf.CIQ(AK$6,"IQ_TEV",$AI47,$I$2,$I$3))),"",_xll.ciqfunctions.udf.CIQ(AK$6,"IQ_TEV",$AI47,$I$2,$I$3)))</f>
        <v>82313.127280000001</v>
      </c>
      <c r="AL47" s="718" t="str">
        <f>IF(OR($B47="No",AL$6=""),"",IF(NOT(ISNUMBER(_xll.ciqfunctions.udf.CIQ(AL$6,"IQ_TEV",$AI47,$I$2,$I$3))),"",_xll.ciqfunctions.udf.CIQ(AL$6,"IQ_TEV",$AI47,$I$2,$I$3)))</f>
        <v/>
      </c>
      <c r="AM47" s="718" t="str">
        <f>IF(OR($B47="No",AM$6=""),"",IF(NOT(ISNUMBER(_xll.ciqfunctions.udf.CIQ(AM$6,"IQ_TEV",$AI47,$I$2,$I$3))),"",_xll.ciqfunctions.udf.CIQ(AM$6,"IQ_TEV",$AI47,$I$2,$I$3)))</f>
        <v/>
      </c>
      <c r="AN47" s="718" t="str">
        <f>IF(OR($B47="No",AN$6=""),"",IF(NOT(ISNUMBER(_xll.ciqfunctions.udf.CIQ(AN$6,"IQ_TEV",$AI47,$I$2,$I$3))),"",_xll.ciqfunctions.udf.CIQ(AN$6,"IQ_TEV",$AI47,$I$2,$I$3)))</f>
        <v/>
      </c>
      <c r="AO47" s="718" t="str">
        <f>IF(OR($B47="No",AO$6=""),"",IF(NOT(ISNUMBER(_xll.ciqfunctions.udf.CIQ(AO$6,"IQ_TEV",$AI47,$I$2,$I$3))),"",_xll.ciqfunctions.udf.CIQ(AO$6,"IQ_TEV",$AI47,$I$2,$I$3)))</f>
        <v/>
      </c>
      <c r="AP47" s="718" t="str">
        <f>IF(OR($B47="No",AP$6=""),"",IF(NOT(ISNUMBER(_xll.ciqfunctions.udf.CIQ(AP$6,"IQ_TEV",$AI47,$I$2,$I$3))),"",_xll.ciqfunctions.udf.CIQ(AP$6,"IQ_TEV",$AI47,$I$2,$I$3)))</f>
        <v/>
      </c>
      <c r="AQ47" s="718" t="str">
        <f>IF(OR($B47="No",AQ$6=""),"",IF(NOT(ISNUMBER(_xll.ciqfunctions.udf.CIQ(AQ$6,"IQ_TEV",$AI47,$I$2,$I$3))),"",_xll.ciqfunctions.udf.CIQ(AQ$6,"IQ_TEV",$AI47,$I$2,$I$3)))</f>
        <v/>
      </c>
      <c r="AR47" s="718" t="str">
        <f>IF(OR($B47="No",AR$6=""),"",IF(NOT(ISNUMBER(_xll.ciqfunctions.udf.CIQ(AR$6,"IQ_TEV",$AI47,$I$2,$I$3))),"",_xll.ciqfunctions.udf.CIQ(AR$6,"IQ_TEV",$AI47,$I$2,$I$3)))</f>
        <v/>
      </c>
      <c r="AS47" s="718" t="str">
        <f>IF(OR($B47="No",AS$6=""),"",IF(NOT(ISNUMBER(_xll.ciqfunctions.udf.CIQ(AS$6,"IQ_TEV",$AI47,$I$2,$I$3))),"",_xll.ciqfunctions.udf.CIQ(AS$6,"IQ_TEV",$AI47,$I$2,$I$3)))</f>
        <v/>
      </c>
      <c r="AT47" s="718" t="str">
        <f>IF(OR($B47="No",AT$6=""),"",IF(NOT(ISNUMBER(_xll.ciqfunctions.udf.CIQ(AT$6,"IQ_TEV",$AI47,$I$2,$I$3))),"",_xll.ciqfunctions.udf.CIQ(AT$6,"IQ_TEV",$AI47,$I$2,$I$3)))</f>
        <v/>
      </c>
      <c r="AV47" s="251">
        <f t="shared" si="39"/>
        <v>43105</v>
      </c>
      <c r="AW47" s="719">
        <f t="shared" si="40"/>
        <v>0.31250212664762445</v>
      </c>
      <c r="AX47" s="719">
        <f t="shared" si="41"/>
        <v>0.12781116709749529</v>
      </c>
      <c r="AY47" s="719" t="e">
        <f t="shared" si="42"/>
        <v>#N/A</v>
      </c>
      <c r="AZ47" s="719" t="e">
        <f t="shared" si="43"/>
        <v>#N/A</v>
      </c>
      <c r="BA47" s="719" t="e">
        <f t="shared" si="44"/>
        <v>#N/A</v>
      </c>
      <c r="BB47" s="719" t="e">
        <f t="shared" si="45"/>
        <v>#N/A</v>
      </c>
      <c r="BC47" s="719" t="e">
        <f t="shared" si="46"/>
        <v>#N/A</v>
      </c>
      <c r="BD47" s="719" t="e">
        <f t="shared" si="47"/>
        <v>#N/A</v>
      </c>
      <c r="BE47" s="719" t="e">
        <f t="shared" si="48"/>
        <v>#N/A</v>
      </c>
      <c r="BF47" s="719" t="e">
        <f t="shared" si="49"/>
        <v>#N/A</v>
      </c>
      <c r="BG47" s="719" t="e">
        <f t="shared" si="50"/>
        <v>#N/A</v>
      </c>
    </row>
    <row r="48" spans="1:59" ht="15" customHeight="1" x14ac:dyDescent="0.2">
      <c r="A48" s="251">
        <f t="shared" si="15"/>
        <v>43112</v>
      </c>
      <c r="B48" s="253" t="str">
        <f t="shared" si="51"/>
        <v>Yes</v>
      </c>
      <c r="C48" s="1033">
        <f>IF(C$6="","",IF(NOT(ISNUMBER(_xll.ciqfunctions.udf.CIQ(C$6,$F$2, $A48, $I$2, $I$3))),IF(C47=C$6,"",C47),_xll.ciqfunctions.udf.CIQ(C$6,$F$2, $A48, $I$2, $I$3)))</f>
        <v>100.87</v>
      </c>
      <c r="D48" s="1033">
        <f>IF(D$6="","",IF(NOT(ISNUMBER(_xll.ciqfunctions.udf.CIQ(D$6,$F$2, $A48, $I$2, $I$3))),IF(D47=D$6,"",D47),_xll.ciqfunctions.udf.CIQ(D$6,$F$2, $A48, $I$2, $I$3)))</f>
        <v>25803.192129999999</v>
      </c>
      <c r="E48" s="1033">
        <f>IF(E$6="","",IF(NOT(ISNUMBER(_xll.ciqfunctions.udf.CIQ(E$6,$F$2, $A48, $I$2, $I$3))),IF(E47=E$6,"",E47),_xll.ciqfunctions.udf.CIQ(E$6,$F$2, $A48, $I$2, $I$3)))</f>
        <v>8619.6746700000003</v>
      </c>
      <c r="F48" s="1033">
        <f>IF(F$6="","",IF(NOT(ISNUMBER(_xll.ciqfunctions.udf.CIQ(F$6,$F$2, $A48, $I$2, $I$3))),IF(F47=F$6,"",F47),_xll.ciqfunctions.udf.CIQ(F$6,$F$2, $A48, $I$2, $I$3)))</f>
        <v>4964.3026</v>
      </c>
      <c r="G48" s="1033">
        <f>IF(G$6="","",IF(NOT(ISNUMBER(_xll.ciqfunctions.udf.CIQ(G$6,$F$2, $A48, $I$2, $I$3))),IF(G47=G$6,"",G47),_xll.ciqfunctions.udf.CIQ(G$6,$F$2, $A48, $I$2, $I$3)))</f>
        <v>191.84</v>
      </c>
      <c r="H48" s="1033" t="str">
        <f>IF(H$6="","",IF(NOT(ISNUMBER(_xll.ciqfunctions.udf.CIQ(H$6,$F$2, $A48, $I$2, $I$3))),IF(H47=H$6,"",H47),_xll.ciqfunctions.udf.CIQ(H$6,$F$2, $A48, $I$2, $I$3)))</f>
        <v/>
      </c>
      <c r="I48" s="1033" t="str">
        <f>IF(I$6="","",IF(NOT(ISNUMBER(_xll.ciqfunctions.udf.CIQ(I$6,$F$2, $A48, $I$2, $I$3))),IF(I47=I$6,"",I47),_xll.ciqfunctions.udf.CIQ(I$6,$F$2, $A48, $I$2, $I$3)))</f>
        <v/>
      </c>
      <c r="J48" s="1033" t="str">
        <f>IF(J$6="","",IF(NOT(ISNUMBER(_xll.ciqfunctions.udf.CIQ(J$6,$F$2, $A48, $I$2, $I$3))),IF(J47=J$6,"",J47),_xll.ciqfunctions.udf.CIQ(J$6,$F$2, $A48, $I$2, $I$3)))</f>
        <v/>
      </c>
      <c r="K48" s="1033" t="str">
        <f>IF(K$6="","",IF(NOT(ISNUMBER(_xll.ciqfunctions.udf.CIQ(K$6,$F$2, $A48, $I$2, $I$3))),IF(K47=K$6,"",K47),_xll.ciqfunctions.udf.CIQ(K$6,$F$2, $A48, $I$2, $I$3)))</f>
        <v/>
      </c>
      <c r="L48" s="254" t="str">
        <f>IF(L$6="","",IF(NOT(ISNUMBER(_xll.ciqfunctions.udf.CIQ(L$6,$F$2, $A48, $I$2, $I$3))),IF(L47=L$6,"",L47),_xll.ciqfunctions.udf.CIQ(L$6,$F$2, $A48, $I$2, $I$3)))</f>
        <v/>
      </c>
      <c r="M48" s="254" t="str">
        <f>IF(M$6="","",IF(NOT(ISNUMBER(_xll.ciqfunctions.udf.CIQ(M$6,$F$2, $A48, $I$2, $I$3))),IF(M47=M$6,"",M47),_xll.ciqfunctions.udf.CIQ(M$6,$F$2, $A48, $I$2, $I$3)))</f>
        <v/>
      </c>
      <c r="N48" s="254" t="str">
        <f>IF(N$6="","",IF(NOT(ISNUMBER(_xll.ciqfunctions.udf.CIQ(N$6,$F$2, $A48, $I$2, $I$3))),IF(N47=N$6,"",N47),_xll.ciqfunctions.udf.CIQ(N$6,$F$2, $A48, $I$2, $I$3)))</f>
        <v/>
      </c>
      <c r="O48" s="254" t="str">
        <f>IF(O$6="","",IF(NOT(ISNUMBER(_xll.ciqfunctions.udf.CIQ(O$6,$F$2, $A48, $I$2, $I$3))),IF(O47=O$6,"",O47),_xll.ciqfunctions.udf.CIQ(O$6,$F$2, $A48, $I$2, $I$3)))</f>
        <v/>
      </c>
      <c r="P48" s="254" t="str">
        <f>IF(P$6="","",IF(NOT(ISNUMBER(_xll.ciqfunctions.udf.CIQ(P$6,$F$2, $A48, $I$2, $I$3))),IF(P47=P$6,"",P47),_xll.ciqfunctions.udf.CIQ(P$6,$F$2, $A48, $I$2, $I$3)))</f>
        <v/>
      </c>
      <c r="Q48" s="254"/>
      <c r="R48" s="251">
        <f t="shared" si="16"/>
        <v>43112</v>
      </c>
      <c r="S48" s="255">
        <f t="shared" si="35"/>
        <v>0.39941731409544956</v>
      </c>
      <c r="T48" s="255">
        <f t="shared" si="36"/>
        <v>0.24874974986111864</v>
      </c>
      <c r="U48" s="255">
        <f t="shared" si="37"/>
        <v>0.20456823304472249</v>
      </c>
      <c r="V48" s="255">
        <f t="shared" si="52"/>
        <v>0.13088886467330485</v>
      </c>
      <c r="W48" s="255">
        <f t="array" ref="W48">IFERROR(AVERAGE(IF(ISERROR(X48:AG48),"",X48:AG48)),"")</f>
        <v>0.14401574333591749</v>
      </c>
      <c r="X48" s="255">
        <f t="shared" si="53"/>
        <v>0.14401574333591749</v>
      </c>
      <c r="Y48" s="255" t="e">
        <f t="shared" si="54"/>
        <v>#N/A</v>
      </c>
      <c r="Z48" s="255" t="e">
        <f t="shared" si="55"/>
        <v>#N/A</v>
      </c>
      <c r="AA48" s="255" t="e">
        <f t="shared" si="56"/>
        <v>#N/A</v>
      </c>
      <c r="AB48" s="255" t="e">
        <f t="shared" si="57"/>
        <v>#N/A</v>
      </c>
      <c r="AC48" s="255" t="e">
        <f t="shared" si="58"/>
        <v>#N/A</v>
      </c>
      <c r="AD48" s="255" t="e">
        <f t="shared" si="59"/>
        <v>#N/A</v>
      </c>
      <c r="AE48" s="255" t="e">
        <f t="shared" si="60"/>
        <v>#N/A</v>
      </c>
      <c r="AF48" s="255" t="e">
        <f t="shared" si="61"/>
        <v>#N/A</v>
      </c>
      <c r="AG48" s="255" t="e">
        <f t="shared" si="62"/>
        <v>#N/A</v>
      </c>
      <c r="AI48" s="251">
        <f t="shared" si="27"/>
        <v>43112</v>
      </c>
      <c r="AJ48" s="718">
        <f>IF(OR($B48="No",AJ$6=""),"",IF(NOT(ISNUMBER(_xll.ciqfunctions.udf.CIQ(AJ$6,"IQ_TEV",$AI48,$I$2,$I$3))),"",_xll.ciqfunctions.udf.CIQ(AJ$6,"IQ_TEV",$AI48,$I$2,$I$3)))</f>
        <v>344830.41635999997</v>
      </c>
      <c r="AK48" s="718">
        <f>IF(OR($B48="No",AK$6=""),"",IF(NOT(ISNUMBER(_xll.ciqfunctions.udf.CIQ(AK$6,"IQ_TEV",$AI48,$I$2,$I$3))),"",_xll.ciqfunctions.udf.CIQ(AK$6,"IQ_TEV",$AI48,$I$2,$I$3)))</f>
        <v>84109.070290000003</v>
      </c>
      <c r="AL48" s="718" t="str">
        <f>IF(OR($B48="No",AL$6=""),"",IF(NOT(ISNUMBER(_xll.ciqfunctions.udf.CIQ(AL$6,"IQ_TEV",$AI48,$I$2,$I$3))),"",_xll.ciqfunctions.udf.CIQ(AL$6,"IQ_TEV",$AI48,$I$2,$I$3)))</f>
        <v/>
      </c>
      <c r="AM48" s="718" t="str">
        <f>IF(OR($B48="No",AM$6=""),"",IF(NOT(ISNUMBER(_xll.ciqfunctions.udf.CIQ(AM$6,"IQ_TEV",$AI48,$I$2,$I$3))),"",_xll.ciqfunctions.udf.CIQ(AM$6,"IQ_TEV",$AI48,$I$2,$I$3)))</f>
        <v/>
      </c>
      <c r="AN48" s="718" t="str">
        <f>IF(OR($B48="No",AN$6=""),"",IF(NOT(ISNUMBER(_xll.ciqfunctions.udf.CIQ(AN$6,"IQ_TEV",$AI48,$I$2,$I$3))),"",_xll.ciqfunctions.udf.CIQ(AN$6,"IQ_TEV",$AI48,$I$2,$I$3)))</f>
        <v/>
      </c>
      <c r="AO48" s="718" t="str">
        <f>IF(OR($B48="No",AO$6=""),"",IF(NOT(ISNUMBER(_xll.ciqfunctions.udf.CIQ(AO$6,"IQ_TEV",$AI48,$I$2,$I$3))),"",_xll.ciqfunctions.udf.CIQ(AO$6,"IQ_TEV",$AI48,$I$2,$I$3)))</f>
        <v/>
      </c>
      <c r="AP48" s="718" t="str">
        <f>IF(OR($B48="No",AP$6=""),"",IF(NOT(ISNUMBER(_xll.ciqfunctions.udf.CIQ(AP$6,"IQ_TEV",$AI48,$I$2,$I$3))),"",_xll.ciqfunctions.udf.CIQ(AP$6,"IQ_TEV",$AI48,$I$2,$I$3)))</f>
        <v/>
      </c>
      <c r="AQ48" s="718" t="str">
        <f>IF(OR($B48="No",AQ$6=""),"",IF(NOT(ISNUMBER(_xll.ciqfunctions.udf.CIQ(AQ$6,"IQ_TEV",$AI48,$I$2,$I$3))),"",_xll.ciqfunctions.udf.CIQ(AQ$6,"IQ_TEV",$AI48,$I$2,$I$3)))</f>
        <v/>
      </c>
      <c r="AR48" s="718" t="str">
        <f>IF(OR($B48="No",AR$6=""),"",IF(NOT(ISNUMBER(_xll.ciqfunctions.udf.CIQ(AR$6,"IQ_TEV",$AI48,$I$2,$I$3))),"",_xll.ciqfunctions.udf.CIQ(AR$6,"IQ_TEV",$AI48,$I$2,$I$3)))</f>
        <v/>
      </c>
      <c r="AS48" s="718" t="str">
        <f>IF(OR($B48="No",AS$6=""),"",IF(NOT(ISNUMBER(_xll.ciqfunctions.udf.CIQ(AS$6,"IQ_TEV",$AI48,$I$2,$I$3))),"",_xll.ciqfunctions.udf.CIQ(AS$6,"IQ_TEV",$AI48,$I$2,$I$3)))</f>
        <v/>
      </c>
      <c r="AT48" s="718" t="str">
        <f>IF(OR($B48="No",AT$6=""),"",IF(NOT(ISNUMBER(_xll.ciqfunctions.udf.CIQ(AT$6,"IQ_TEV",$AI48,$I$2,$I$3))),"",_xll.ciqfunctions.udf.CIQ(AT$6,"IQ_TEV",$AI48,$I$2,$I$3)))</f>
        <v/>
      </c>
      <c r="AV48" s="251">
        <f t="shared" si="39"/>
        <v>43112</v>
      </c>
      <c r="AW48" s="719">
        <f t="shared" si="40"/>
        <v>0.32089937245128741</v>
      </c>
      <c r="AX48" s="719">
        <f t="shared" si="41"/>
        <v>0.15241823341947724</v>
      </c>
      <c r="AY48" s="719" t="e">
        <f t="shared" si="42"/>
        <v>#N/A</v>
      </c>
      <c r="AZ48" s="719" t="e">
        <f t="shared" si="43"/>
        <v>#N/A</v>
      </c>
      <c r="BA48" s="719" t="e">
        <f t="shared" si="44"/>
        <v>#N/A</v>
      </c>
      <c r="BB48" s="719" t="e">
        <f t="shared" si="45"/>
        <v>#N/A</v>
      </c>
      <c r="BC48" s="719" t="e">
        <f t="shared" si="46"/>
        <v>#N/A</v>
      </c>
      <c r="BD48" s="719" t="e">
        <f t="shared" si="47"/>
        <v>#N/A</v>
      </c>
      <c r="BE48" s="719" t="e">
        <f t="shared" si="48"/>
        <v>#N/A</v>
      </c>
      <c r="BF48" s="719" t="e">
        <f t="shared" si="49"/>
        <v>#N/A</v>
      </c>
      <c r="BG48" s="719" t="e">
        <f t="shared" si="50"/>
        <v>#N/A</v>
      </c>
    </row>
    <row r="49" spans="1:59" ht="15" customHeight="1" x14ac:dyDescent="0.2">
      <c r="A49" s="251">
        <f t="shared" si="15"/>
        <v>43119</v>
      </c>
      <c r="B49" s="253" t="str">
        <f t="shared" si="51"/>
        <v>Yes</v>
      </c>
      <c r="C49" s="1033">
        <f>IF(C$6="","",IF(NOT(ISNUMBER(_xll.ciqfunctions.udf.CIQ(C$6,$F$2, $A49, $I$2, $I$3))),IF(C48=C$6,"",C48),_xll.ciqfunctions.udf.CIQ(C$6,$F$2, $A49, $I$2, $I$3)))</f>
        <v>104.59</v>
      </c>
      <c r="D49" s="1033">
        <f>IF(D$6="","",IF(NOT(ISNUMBER(_xll.ciqfunctions.udf.CIQ(D$6,$F$2, $A49, $I$2, $I$3))),IF(D48=D$6,"",D48),_xll.ciqfunctions.udf.CIQ(D$6,$F$2, $A49, $I$2, $I$3)))</f>
        <v>26071.72435</v>
      </c>
      <c r="E49" s="1033">
        <f>IF(E$6="","",IF(NOT(ISNUMBER(_xll.ciqfunctions.udf.CIQ(E$6,$F$2, $A49, $I$2, $I$3))),IF(E48=E$6,"",E48),_xll.ciqfunctions.udf.CIQ(E$6,$F$2, $A49, $I$2, $I$3)))</f>
        <v>8654.8205699999999</v>
      </c>
      <c r="F49" s="1033">
        <f>IF(F$6="","",IF(NOT(ISNUMBER(_xll.ciqfunctions.udf.CIQ(F$6,$F$2, $A49, $I$2, $I$3))),IF(F48=F$6,"",F48),_xll.ciqfunctions.udf.CIQ(F$6,$F$2, $A49, $I$2, $I$3)))</f>
        <v>5012.7669699999997</v>
      </c>
      <c r="G49" s="1033">
        <f>IF(G$6="","",IF(NOT(ISNUMBER(_xll.ciqfunctions.udf.CIQ(G$6,$F$2, $A49, $I$2, $I$3))),IF(G48=G$6,"",G48),_xll.ciqfunctions.udf.CIQ(G$6,$F$2, $A49, $I$2, $I$3)))</f>
        <v>192.29</v>
      </c>
      <c r="H49" s="1033" t="str">
        <f>IF(H$6="","",IF(NOT(ISNUMBER(_xll.ciqfunctions.udf.CIQ(H$6,$F$2, $A49, $I$2, $I$3))),IF(H48=H$6,"",H48),_xll.ciqfunctions.udf.CIQ(H$6,$F$2, $A49, $I$2, $I$3)))</f>
        <v/>
      </c>
      <c r="I49" s="1033" t="str">
        <f>IF(I$6="","",IF(NOT(ISNUMBER(_xll.ciqfunctions.udf.CIQ(I$6,$F$2, $A49, $I$2, $I$3))),IF(I48=I$6,"",I48),_xll.ciqfunctions.udf.CIQ(I$6,$F$2, $A49, $I$2, $I$3)))</f>
        <v/>
      </c>
      <c r="J49" s="1033" t="str">
        <f>IF(J$6="","",IF(NOT(ISNUMBER(_xll.ciqfunctions.udf.CIQ(J$6,$F$2, $A49, $I$2, $I$3))),IF(J48=J$6,"",J48),_xll.ciqfunctions.udf.CIQ(J$6,$F$2, $A49, $I$2, $I$3)))</f>
        <v/>
      </c>
      <c r="K49" s="1033" t="str">
        <f>IF(K$6="","",IF(NOT(ISNUMBER(_xll.ciqfunctions.udf.CIQ(K$6,$F$2, $A49, $I$2, $I$3))),IF(K48=K$6,"",K48),_xll.ciqfunctions.udf.CIQ(K$6,$F$2, $A49, $I$2, $I$3)))</f>
        <v/>
      </c>
      <c r="L49" s="254" t="str">
        <f>IF(L$6="","",IF(NOT(ISNUMBER(_xll.ciqfunctions.udf.CIQ(L$6,$F$2, $A49, $I$2, $I$3))),IF(L48=L$6,"",L48),_xll.ciqfunctions.udf.CIQ(L$6,$F$2, $A49, $I$2, $I$3)))</f>
        <v/>
      </c>
      <c r="M49" s="254" t="str">
        <f>IF(M$6="","",IF(NOT(ISNUMBER(_xll.ciqfunctions.udf.CIQ(M$6,$F$2, $A49, $I$2, $I$3))),IF(M48=M$6,"",M48),_xll.ciqfunctions.udf.CIQ(M$6,$F$2, $A49, $I$2, $I$3)))</f>
        <v/>
      </c>
      <c r="N49" s="254" t="str">
        <f>IF(N$6="","",IF(NOT(ISNUMBER(_xll.ciqfunctions.udf.CIQ(N$6,$F$2, $A49, $I$2, $I$3))),IF(N48=N$6,"",N48),_xll.ciqfunctions.udf.CIQ(N$6,$F$2, $A49, $I$2, $I$3)))</f>
        <v/>
      </c>
      <c r="O49" s="254" t="str">
        <f>IF(O$6="","",IF(NOT(ISNUMBER(_xll.ciqfunctions.udf.CIQ(O$6,$F$2, $A49, $I$2, $I$3))),IF(O48=O$6,"",O48),_xll.ciqfunctions.udf.CIQ(O$6,$F$2, $A49, $I$2, $I$3)))</f>
        <v/>
      </c>
      <c r="P49" s="254" t="str">
        <f>IF(P$6="","",IF(NOT(ISNUMBER(_xll.ciqfunctions.udf.CIQ(P$6,$F$2, $A49, $I$2, $I$3))),IF(P48=P$6,"",P48),_xll.ciqfunctions.udf.CIQ(P$6,$F$2, $A49, $I$2, $I$3)))</f>
        <v/>
      </c>
      <c r="Q49" s="254"/>
      <c r="R49" s="251">
        <f t="shared" si="16"/>
        <v>43119</v>
      </c>
      <c r="S49" s="255">
        <f t="shared" si="35"/>
        <v>0.4510266370699223</v>
      </c>
      <c r="T49" s="255">
        <f t="shared" si="36"/>
        <v>0.26174541105161087</v>
      </c>
      <c r="U49" s="255">
        <f t="shared" si="37"/>
        <v>0.20947974493844979</v>
      </c>
      <c r="V49" s="255">
        <f t="shared" si="52"/>
        <v>0.14192925056082228</v>
      </c>
      <c r="W49" s="255">
        <f t="array" ref="W49">IFERROR(AVERAGE(IF(ISERROR(X49:AG49),"",X49:AG49)),"")</f>
        <v>0.14669926650366749</v>
      </c>
      <c r="X49" s="255">
        <f t="shared" si="53"/>
        <v>0.14669926650366749</v>
      </c>
      <c r="Y49" s="255" t="e">
        <f t="shared" si="54"/>
        <v>#N/A</v>
      </c>
      <c r="Z49" s="255" t="e">
        <f t="shared" si="55"/>
        <v>#N/A</v>
      </c>
      <c r="AA49" s="255" t="e">
        <f t="shared" si="56"/>
        <v>#N/A</v>
      </c>
      <c r="AB49" s="255" t="e">
        <f t="shared" si="57"/>
        <v>#N/A</v>
      </c>
      <c r="AC49" s="255" t="e">
        <f t="shared" si="58"/>
        <v>#N/A</v>
      </c>
      <c r="AD49" s="255" t="e">
        <f t="shared" si="59"/>
        <v>#N/A</v>
      </c>
      <c r="AE49" s="255" t="e">
        <f t="shared" si="60"/>
        <v>#N/A</v>
      </c>
      <c r="AF49" s="255" t="e">
        <f t="shared" si="61"/>
        <v>#N/A</v>
      </c>
      <c r="AG49" s="255" t="e">
        <f t="shared" si="62"/>
        <v>#N/A</v>
      </c>
      <c r="AI49" s="251">
        <f t="shared" si="27"/>
        <v>43119</v>
      </c>
      <c r="AJ49" s="718">
        <f>IF(OR($B49="No",AJ$6=""),"",IF(NOT(ISNUMBER(_xll.ciqfunctions.udf.CIQ(AJ$6,"IQ_TEV",$AI49,$I$2,$I$3))),"",_xll.ciqfunctions.udf.CIQ(AJ$6,"IQ_TEV",$AI49,$I$2,$I$3)))</f>
        <v>355850.47532999999</v>
      </c>
      <c r="AK49" s="718">
        <f>IF(OR($B49="No",AK$6=""),"",IF(NOT(ISNUMBER(_xll.ciqfunctions.udf.CIQ(AK$6,"IQ_TEV",$AI49,$I$2,$I$3))),"",_xll.ciqfunctions.udf.CIQ(AK$6,"IQ_TEV",$AI49,$I$2,$I$3)))</f>
        <v>84306.667929999996</v>
      </c>
      <c r="AL49" s="718" t="str">
        <f>IF(OR($B49="No",AL$6=""),"",IF(NOT(ISNUMBER(_xll.ciqfunctions.udf.CIQ(AL$6,"IQ_TEV",$AI49,$I$2,$I$3))),"",_xll.ciqfunctions.udf.CIQ(AL$6,"IQ_TEV",$AI49,$I$2,$I$3)))</f>
        <v/>
      </c>
      <c r="AM49" s="718" t="str">
        <f>IF(OR($B49="No",AM$6=""),"",IF(NOT(ISNUMBER(_xll.ciqfunctions.udf.CIQ(AM$6,"IQ_TEV",$AI49,$I$2,$I$3))),"",_xll.ciqfunctions.udf.CIQ(AM$6,"IQ_TEV",$AI49,$I$2,$I$3)))</f>
        <v/>
      </c>
      <c r="AN49" s="718" t="str">
        <f>IF(OR($B49="No",AN$6=""),"",IF(NOT(ISNUMBER(_xll.ciqfunctions.udf.CIQ(AN$6,"IQ_TEV",$AI49,$I$2,$I$3))),"",_xll.ciqfunctions.udf.CIQ(AN$6,"IQ_TEV",$AI49,$I$2,$I$3)))</f>
        <v/>
      </c>
      <c r="AO49" s="718" t="str">
        <f>IF(OR($B49="No",AO$6=""),"",IF(NOT(ISNUMBER(_xll.ciqfunctions.udf.CIQ(AO$6,"IQ_TEV",$AI49,$I$2,$I$3))),"",_xll.ciqfunctions.udf.CIQ(AO$6,"IQ_TEV",$AI49,$I$2,$I$3)))</f>
        <v/>
      </c>
      <c r="AP49" s="718" t="str">
        <f>IF(OR($B49="No",AP$6=""),"",IF(NOT(ISNUMBER(_xll.ciqfunctions.udf.CIQ(AP$6,"IQ_TEV",$AI49,$I$2,$I$3))),"",_xll.ciqfunctions.udf.CIQ(AP$6,"IQ_TEV",$AI49,$I$2,$I$3)))</f>
        <v/>
      </c>
      <c r="AQ49" s="718" t="str">
        <f>IF(OR($B49="No",AQ$6=""),"",IF(NOT(ISNUMBER(_xll.ciqfunctions.udf.CIQ(AQ$6,"IQ_TEV",$AI49,$I$2,$I$3))),"",_xll.ciqfunctions.udf.CIQ(AQ$6,"IQ_TEV",$AI49,$I$2,$I$3)))</f>
        <v/>
      </c>
      <c r="AR49" s="718" t="str">
        <f>IF(OR($B49="No",AR$6=""),"",IF(NOT(ISNUMBER(_xll.ciqfunctions.udf.CIQ(AR$6,"IQ_TEV",$AI49,$I$2,$I$3))),"",_xll.ciqfunctions.udf.CIQ(AR$6,"IQ_TEV",$AI49,$I$2,$I$3)))</f>
        <v/>
      </c>
      <c r="AS49" s="718" t="str">
        <f>IF(OR($B49="No",AS$6=""),"",IF(NOT(ISNUMBER(_xll.ciqfunctions.udf.CIQ(AS$6,"IQ_TEV",$AI49,$I$2,$I$3))),"",_xll.ciqfunctions.udf.CIQ(AS$6,"IQ_TEV",$AI49,$I$2,$I$3)))</f>
        <v/>
      </c>
      <c r="AT49" s="718" t="str">
        <f>IF(OR($B49="No",AT$6=""),"",IF(NOT(ISNUMBER(_xll.ciqfunctions.udf.CIQ(AT$6,"IQ_TEV",$AI49,$I$2,$I$3))),"",_xll.ciqfunctions.udf.CIQ(AT$6,"IQ_TEV",$AI49,$I$2,$I$3)))</f>
        <v/>
      </c>
      <c r="AV49" s="251">
        <f t="shared" si="39"/>
        <v>43119</v>
      </c>
      <c r="AW49" s="719">
        <f t="shared" si="40"/>
        <v>0.3631125540247262</v>
      </c>
      <c r="AX49" s="719">
        <f t="shared" si="41"/>
        <v>0.15512561233154365</v>
      </c>
      <c r="AY49" s="719" t="e">
        <f t="shared" si="42"/>
        <v>#N/A</v>
      </c>
      <c r="AZ49" s="719" t="e">
        <f t="shared" si="43"/>
        <v>#N/A</v>
      </c>
      <c r="BA49" s="719" t="e">
        <f t="shared" si="44"/>
        <v>#N/A</v>
      </c>
      <c r="BB49" s="719" t="e">
        <f t="shared" si="45"/>
        <v>#N/A</v>
      </c>
      <c r="BC49" s="719" t="e">
        <f t="shared" si="46"/>
        <v>#N/A</v>
      </c>
      <c r="BD49" s="719" t="e">
        <f t="shared" si="47"/>
        <v>#N/A</v>
      </c>
      <c r="BE49" s="719" t="e">
        <f t="shared" si="48"/>
        <v>#N/A</v>
      </c>
      <c r="BF49" s="719" t="e">
        <f t="shared" si="49"/>
        <v>#N/A</v>
      </c>
      <c r="BG49" s="719" t="e">
        <f t="shared" si="50"/>
        <v>#N/A</v>
      </c>
    </row>
    <row r="50" spans="1:59" ht="15" customHeight="1" x14ac:dyDescent="0.2">
      <c r="A50" s="251">
        <f t="shared" si="15"/>
        <v>43126</v>
      </c>
      <c r="B50" s="253" t="str">
        <f t="shared" si="51"/>
        <v>Yes</v>
      </c>
      <c r="C50" s="1033">
        <f>IF(C$6="","",IF(NOT(ISNUMBER(_xll.ciqfunctions.udf.CIQ(C$6,$F$2, $A50, $I$2, $I$3))),IF(C49=C$6,"",C49),_xll.ciqfunctions.udf.CIQ(C$6,$F$2, $A50, $I$2, $I$3)))</f>
        <v>108.39</v>
      </c>
      <c r="D50" s="1033">
        <f>IF(D$6="","",IF(NOT(ISNUMBER(_xll.ciqfunctions.udf.CIQ(D$6,$F$2, $A50, $I$2, $I$3))),IF(D49=D$6,"",D49),_xll.ciqfunctions.udf.CIQ(D$6,$F$2, $A50, $I$2, $I$3)))</f>
        <v>26616.707050000001</v>
      </c>
      <c r="E50" s="1033">
        <f>IF(E$6="","",IF(NOT(ISNUMBER(_xll.ciqfunctions.udf.CIQ(E$6,$F$2, $A50, $I$2, $I$3))),IF(E49=E$6,"",E49),_xll.ciqfunctions.udf.CIQ(E$6,$F$2, $A50, $I$2, $I$3)))</f>
        <v>8748.3877100000009</v>
      </c>
      <c r="F50" s="1033">
        <f>IF(F$6="","",IF(NOT(ISNUMBER(_xll.ciqfunctions.udf.CIQ(F$6,$F$2, $A50, $I$2, $I$3))),IF(F49=F$6,"",F49),_xll.ciqfunctions.udf.CIQ(F$6,$F$2, $A50, $I$2, $I$3)))</f>
        <v>5070.7014300000001</v>
      </c>
      <c r="G50" s="1033">
        <f>IF(G$6="","",IF(NOT(ISNUMBER(_xll.ciqfunctions.udf.CIQ(G$6,$F$2, $A50, $I$2, $I$3))),IF(G49=G$6,"",G49),_xll.ciqfunctions.udf.CIQ(G$6,$F$2, $A50, $I$2, $I$3)))</f>
        <v>198.91</v>
      </c>
      <c r="H50" s="1033" t="str">
        <f>IF(H$6="","",IF(NOT(ISNUMBER(_xll.ciqfunctions.udf.CIQ(H$6,$F$2, $A50, $I$2, $I$3))),IF(H49=H$6,"",H49),_xll.ciqfunctions.udf.CIQ(H$6,$F$2, $A50, $I$2, $I$3)))</f>
        <v/>
      </c>
      <c r="I50" s="1033" t="str">
        <f>IF(I$6="","",IF(NOT(ISNUMBER(_xll.ciqfunctions.udf.CIQ(I$6,$F$2, $A50, $I$2, $I$3))),IF(I49=I$6,"",I49),_xll.ciqfunctions.udf.CIQ(I$6,$F$2, $A50, $I$2, $I$3)))</f>
        <v/>
      </c>
      <c r="J50" s="1033" t="str">
        <f>IF(J$6="","",IF(NOT(ISNUMBER(_xll.ciqfunctions.udf.CIQ(J$6,$F$2, $A50, $I$2, $I$3))),IF(J49=J$6,"",J49),_xll.ciqfunctions.udf.CIQ(J$6,$F$2, $A50, $I$2, $I$3)))</f>
        <v/>
      </c>
      <c r="K50" s="1033" t="str">
        <f>IF(K$6="","",IF(NOT(ISNUMBER(_xll.ciqfunctions.udf.CIQ(K$6,$F$2, $A50, $I$2, $I$3))),IF(K49=K$6,"",K49),_xll.ciqfunctions.udf.CIQ(K$6,$F$2, $A50, $I$2, $I$3)))</f>
        <v/>
      </c>
      <c r="L50" s="254" t="str">
        <f>IF(L$6="","",IF(NOT(ISNUMBER(_xll.ciqfunctions.udf.CIQ(L$6,$F$2, $A50, $I$2, $I$3))),IF(L49=L$6,"",L49),_xll.ciqfunctions.udf.CIQ(L$6,$F$2, $A50, $I$2, $I$3)))</f>
        <v/>
      </c>
      <c r="M50" s="254" t="str">
        <f>IF(M$6="","",IF(NOT(ISNUMBER(_xll.ciqfunctions.udf.CIQ(M$6,$F$2, $A50, $I$2, $I$3))),IF(M49=M$6,"",M49),_xll.ciqfunctions.udf.CIQ(M$6,$F$2, $A50, $I$2, $I$3)))</f>
        <v/>
      </c>
      <c r="N50" s="254" t="str">
        <f>IF(N$6="","",IF(NOT(ISNUMBER(_xll.ciqfunctions.udf.CIQ(N$6,$F$2, $A50, $I$2, $I$3))),IF(N49=N$6,"",N49),_xll.ciqfunctions.udf.CIQ(N$6,$F$2, $A50, $I$2, $I$3)))</f>
        <v/>
      </c>
      <c r="O50" s="254" t="str">
        <f>IF(O$6="","",IF(NOT(ISNUMBER(_xll.ciqfunctions.udf.CIQ(O$6,$F$2, $A50, $I$2, $I$3))),IF(O49=O$6,"",O49),_xll.ciqfunctions.udf.CIQ(O$6,$F$2, $A50, $I$2, $I$3)))</f>
        <v/>
      </c>
      <c r="P50" s="254" t="str">
        <f>IF(P$6="","",IF(NOT(ISNUMBER(_xll.ciqfunctions.udf.CIQ(P$6,$F$2, $A50, $I$2, $I$3))),IF(P49=P$6,"",P49),_xll.ciqfunctions.udf.CIQ(P$6,$F$2, $A50, $I$2, $I$3)))</f>
        <v/>
      </c>
      <c r="Q50" s="254"/>
      <c r="R50" s="251">
        <f t="shared" si="16"/>
        <v>43126</v>
      </c>
      <c r="S50" s="255">
        <f t="shared" si="35"/>
        <v>0.50374583795782479</v>
      </c>
      <c r="T50" s="255">
        <f t="shared" si="36"/>
        <v>0.28811993893463206</v>
      </c>
      <c r="U50" s="255">
        <f t="shared" si="37"/>
        <v>0.22255541296721182</v>
      </c>
      <c r="V50" s="255">
        <f t="shared" si="52"/>
        <v>0.15512696250023184</v>
      </c>
      <c r="W50" s="255">
        <f t="array" ref="W50">IFERROR(AVERAGE(IF(ISERROR(X50:AG50),"",X50:AG50)),"")</f>
        <v>0.18617687399367888</v>
      </c>
      <c r="X50" s="255">
        <f t="shared" si="53"/>
        <v>0.18617687399367888</v>
      </c>
      <c r="Y50" s="255" t="e">
        <f t="shared" si="54"/>
        <v>#N/A</v>
      </c>
      <c r="Z50" s="255" t="e">
        <f t="shared" si="55"/>
        <v>#N/A</v>
      </c>
      <c r="AA50" s="255" t="e">
        <f t="shared" si="56"/>
        <v>#N/A</v>
      </c>
      <c r="AB50" s="255" t="e">
        <f t="shared" si="57"/>
        <v>#N/A</v>
      </c>
      <c r="AC50" s="255" t="e">
        <f t="shared" si="58"/>
        <v>#N/A</v>
      </c>
      <c r="AD50" s="255" t="e">
        <f t="shared" si="59"/>
        <v>#N/A</v>
      </c>
      <c r="AE50" s="255" t="e">
        <f t="shared" si="60"/>
        <v>#N/A</v>
      </c>
      <c r="AF50" s="255" t="e">
        <f t="shared" si="61"/>
        <v>#N/A</v>
      </c>
      <c r="AG50" s="255" t="e">
        <f t="shared" si="62"/>
        <v>#N/A</v>
      </c>
      <c r="AI50" s="251">
        <f t="shared" si="27"/>
        <v>43126</v>
      </c>
      <c r="AJ50" s="718">
        <f>IF(OR($B50="No",AJ$6=""),"",IF(NOT(ISNUMBER(_xll.ciqfunctions.udf.CIQ(AJ$6,"IQ_TEV",$AI50,$I$2,$I$3))),"",_xll.ciqfunctions.udf.CIQ(AJ$6,"IQ_TEV",$AI50,$I$2,$I$3)))</f>
        <v>367107.52481999999</v>
      </c>
      <c r="AK50" s="718">
        <f>IF(OR($B50="No",AK$6=""),"",IF(NOT(ISNUMBER(_xll.ciqfunctions.udf.CIQ(AK$6,"IQ_TEV",$AI50,$I$2,$I$3))),"",_xll.ciqfunctions.udf.CIQ(AK$6,"IQ_TEV",$AI50,$I$2,$I$3)))</f>
        <v>87213.548800000004</v>
      </c>
      <c r="AL50" s="718" t="str">
        <f>IF(OR($B50="No",AL$6=""),"",IF(NOT(ISNUMBER(_xll.ciqfunctions.udf.CIQ(AL$6,"IQ_TEV",$AI50,$I$2,$I$3))),"",_xll.ciqfunctions.udf.CIQ(AL$6,"IQ_TEV",$AI50,$I$2,$I$3)))</f>
        <v/>
      </c>
      <c r="AM50" s="718" t="str">
        <f>IF(OR($B50="No",AM$6=""),"",IF(NOT(ISNUMBER(_xll.ciqfunctions.udf.CIQ(AM$6,"IQ_TEV",$AI50,$I$2,$I$3))),"",_xll.ciqfunctions.udf.CIQ(AM$6,"IQ_TEV",$AI50,$I$2,$I$3)))</f>
        <v/>
      </c>
      <c r="AN50" s="718" t="str">
        <f>IF(OR($B50="No",AN$6=""),"",IF(NOT(ISNUMBER(_xll.ciqfunctions.udf.CIQ(AN$6,"IQ_TEV",$AI50,$I$2,$I$3))),"",_xll.ciqfunctions.udf.CIQ(AN$6,"IQ_TEV",$AI50,$I$2,$I$3)))</f>
        <v/>
      </c>
      <c r="AO50" s="718" t="str">
        <f>IF(OR($B50="No",AO$6=""),"",IF(NOT(ISNUMBER(_xll.ciqfunctions.udf.CIQ(AO$6,"IQ_TEV",$AI50,$I$2,$I$3))),"",_xll.ciqfunctions.udf.CIQ(AO$6,"IQ_TEV",$AI50,$I$2,$I$3)))</f>
        <v/>
      </c>
      <c r="AP50" s="718" t="str">
        <f>IF(OR($B50="No",AP$6=""),"",IF(NOT(ISNUMBER(_xll.ciqfunctions.udf.CIQ(AP$6,"IQ_TEV",$AI50,$I$2,$I$3))),"",_xll.ciqfunctions.udf.CIQ(AP$6,"IQ_TEV",$AI50,$I$2,$I$3)))</f>
        <v/>
      </c>
      <c r="AQ50" s="718" t="str">
        <f>IF(OR($B50="No",AQ$6=""),"",IF(NOT(ISNUMBER(_xll.ciqfunctions.udf.CIQ(AQ$6,"IQ_TEV",$AI50,$I$2,$I$3))),"",_xll.ciqfunctions.udf.CIQ(AQ$6,"IQ_TEV",$AI50,$I$2,$I$3)))</f>
        <v/>
      </c>
      <c r="AR50" s="718" t="str">
        <f>IF(OR($B50="No",AR$6=""),"",IF(NOT(ISNUMBER(_xll.ciqfunctions.udf.CIQ(AR$6,"IQ_TEV",$AI50,$I$2,$I$3))),"",_xll.ciqfunctions.udf.CIQ(AR$6,"IQ_TEV",$AI50,$I$2,$I$3)))</f>
        <v/>
      </c>
      <c r="AS50" s="718" t="str">
        <f>IF(OR($B50="No",AS$6=""),"",IF(NOT(ISNUMBER(_xll.ciqfunctions.udf.CIQ(AS$6,"IQ_TEV",$AI50,$I$2,$I$3))),"",_xll.ciqfunctions.udf.CIQ(AS$6,"IQ_TEV",$AI50,$I$2,$I$3)))</f>
        <v/>
      </c>
      <c r="AT50" s="718" t="str">
        <f>IF(OR($B50="No",AT$6=""),"",IF(NOT(ISNUMBER(_xll.ciqfunctions.udf.CIQ(AT$6,"IQ_TEV",$AI50,$I$2,$I$3))),"",_xll.ciqfunctions.udf.CIQ(AT$6,"IQ_TEV",$AI50,$I$2,$I$3)))</f>
        <v/>
      </c>
      <c r="AV50" s="251">
        <f t="shared" si="39"/>
        <v>43126</v>
      </c>
      <c r="AW50" s="719">
        <f t="shared" si="40"/>
        <v>0.40623354597188244</v>
      </c>
      <c r="AX50" s="719">
        <f t="shared" si="41"/>
        <v>0.1949541647744133</v>
      </c>
      <c r="AY50" s="719" t="e">
        <f t="shared" si="42"/>
        <v>#N/A</v>
      </c>
      <c r="AZ50" s="719" t="e">
        <f t="shared" si="43"/>
        <v>#N/A</v>
      </c>
      <c r="BA50" s="719" t="e">
        <f t="shared" si="44"/>
        <v>#N/A</v>
      </c>
      <c r="BB50" s="719" t="e">
        <f t="shared" si="45"/>
        <v>#N/A</v>
      </c>
      <c r="BC50" s="719" t="e">
        <f t="shared" si="46"/>
        <v>#N/A</v>
      </c>
      <c r="BD50" s="719" t="e">
        <f t="shared" si="47"/>
        <v>#N/A</v>
      </c>
      <c r="BE50" s="719" t="e">
        <f t="shared" si="48"/>
        <v>#N/A</v>
      </c>
      <c r="BF50" s="719" t="e">
        <f t="shared" si="49"/>
        <v>#N/A</v>
      </c>
      <c r="BG50" s="719" t="e">
        <f t="shared" si="50"/>
        <v>#N/A</v>
      </c>
    </row>
    <row r="51" spans="1:59" ht="15" customHeight="1" x14ac:dyDescent="0.2">
      <c r="A51" s="251">
        <f t="shared" si="15"/>
        <v>43133</v>
      </c>
      <c r="B51" s="253" t="str">
        <f t="shared" si="51"/>
        <v>Yes</v>
      </c>
      <c r="C51" s="1033">
        <f>IF(C$6="","",IF(NOT(ISNUMBER(_xll.ciqfunctions.udf.CIQ(C$6,$F$2, $A51, $I$2, $I$3))),IF(C50=C$6,"",C50),_xll.ciqfunctions.udf.CIQ(C$6,$F$2, $A51, $I$2, $I$3)))</f>
        <v>104.48</v>
      </c>
      <c r="D51" s="1033">
        <f>IF(D$6="","",IF(NOT(ISNUMBER(_xll.ciqfunctions.udf.CIQ(D$6,$F$2, $A51, $I$2, $I$3))),IF(D50=D$6,"",D50),_xll.ciqfunctions.udf.CIQ(D$6,$F$2, $A51, $I$2, $I$3)))</f>
        <v>25520.957880000002</v>
      </c>
      <c r="E51" s="1033">
        <f>IF(E$6="","",IF(NOT(ISNUMBER(_xll.ciqfunctions.udf.CIQ(E$6,$F$2, $A51, $I$2, $I$3))),IF(E50=E$6,"",E50),_xll.ciqfunctions.udf.CIQ(E$6,$F$2, $A51, $I$2, $I$3)))</f>
        <v>8416.2915699999994</v>
      </c>
      <c r="F51" s="1033">
        <f>IF(F$6="","",IF(NOT(ISNUMBER(_xll.ciqfunctions.udf.CIQ(F$6,$F$2, $A51, $I$2, $I$3))),IF(F50=F$6,"",F50),_xll.ciqfunctions.udf.CIQ(F$6,$F$2, $A51, $I$2, $I$3)))</f>
        <v>4725.4617399999997</v>
      </c>
      <c r="G51" s="1033">
        <f>IF(G$6="","",IF(NOT(ISNUMBER(_xll.ciqfunctions.udf.CIQ(G$6,$F$2, $A51, $I$2, $I$3))),IF(G50=G$6,"",G50),_xll.ciqfunctions.udf.CIQ(G$6,$F$2, $A51, $I$2, $I$3)))</f>
        <v>190.99</v>
      </c>
      <c r="H51" s="1033" t="str">
        <f>IF(H$6="","",IF(NOT(ISNUMBER(_xll.ciqfunctions.udf.CIQ(H$6,$F$2, $A51, $I$2, $I$3))),IF(H50=H$6,"",H50),_xll.ciqfunctions.udf.CIQ(H$6,$F$2, $A51, $I$2, $I$3)))</f>
        <v/>
      </c>
      <c r="I51" s="1033" t="str">
        <f>IF(I$6="","",IF(NOT(ISNUMBER(_xll.ciqfunctions.udf.CIQ(I$6,$F$2, $A51, $I$2, $I$3))),IF(I50=I$6,"",I50),_xll.ciqfunctions.udf.CIQ(I$6,$F$2, $A51, $I$2, $I$3)))</f>
        <v/>
      </c>
      <c r="J51" s="1033" t="str">
        <f>IF(J$6="","",IF(NOT(ISNUMBER(_xll.ciqfunctions.udf.CIQ(J$6,$F$2, $A51, $I$2, $I$3))),IF(J50=J$6,"",J50),_xll.ciqfunctions.udf.CIQ(J$6,$F$2, $A51, $I$2, $I$3)))</f>
        <v/>
      </c>
      <c r="K51" s="1033" t="str">
        <f>IF(K$6="","",IF(NOT(ISNUMBER(_xll.ciqfunctions.udf.CIQ(K$6,$F$2, $A51, $I$2, $I$3))),IF(K50=K$6,"",K50),_xll.ciqfunctions.udf.CIQ(K$6,$F$2, $A51, $I$2, $I$3)))</f>
        <v/>
      </c>
      <c r="L51" s="254" t="str">
        <f>IF(L$6="","",IF(NOT(ISNUMBER(_xll.ciqfunctions.udf.CIQ(L$6,$F$2, $A51, $I$2, $I$3))),IF(L50=L$6,"",L50),_xll.ciqfunctions.udf.CIQ(L$6,$F$2, $A51, $I$2, $I$3)))</f>
        <v/>
      </c>
      <c r="M51" s="254" t="str">
        <f>IF(M$6="","",IF(NOT(ISNUMBER(_xll.ciqfunctions.udf.CIQ(M$6,$F$2, $A51, $I$2, $I$3))),IF(M50=M$6,"",M50),_xll.ciqfunctions.udf.CIQ(M$6,$F$2, $A51, $I$2, $I$3)))</f>
        <v/>
      </c>
      <c r="N51" s="254" t="str">
        <f>IF(N$6="","",IF(NOT(ISNUMBER(_xll.ciqfunctions.udf.CIQ(N$6,$F$2, $A51, $I$2, $I$3))),IF(N50=N$6,"",N50),_xll.ciqfunctions.udf.CIQ(N$6,$F$2, $A51, $I$2, $I$3)))</f>
        <v/>
      </c>
      <c r="O51" s="254" t="str">
        <f>IF(O$6="","",IF(NOT(ISNUMBER(_xll.ciqfunctions.udf.CIQ(O$6,$F$2, $A51, $I$2, $I$3))),IF(O50=O$6,"",O50),_xll.ciqfunctions.udf.CIQ(O$6,$F$2, $A51, $I$2, $I$3)))</f>
        <v/>
      </c>
      <c r="P51" s="254" t="str">
        <f>IF(P$6="","",IF(NOT(ISNUMBER(_xll.ciqfunctions.udf.CIQ(P$6,$F$2, $A51, $I$2, $I$3))),IF(P50=P$6,"",P50),_xll.ciqfunctions.udf.CIQ(P$6,$F$2, $A51, $I$2, $I$3)))</f>
        <v/>
      </c>
      <c r="Q51" s="254"/>
      <c r="R51" s="251">
        <f t="shared" si="16"/>
        <v>43133</v>
      </c>
      <c r="S51" s="255">
        <f t="shared" si="35"/>
        <v>0.4495005549389568</v>
      </c>
      <c r="T51" s="255">
        <f t="shared" si="36"/>
        <v>0.23509097666305467</v>
      </c>
      <c r="U51" s="255">
        <f t="shared" si="37"/>
        <v>0.17614618339929655</v>
      </c>
      <c r="V51" s="255">
        <f t="shared" si="52"/>
        <v>7.6479919295358689E-2</v>
      </c>
      <c r="W51" s="255">
        <f t="array" ref="W51">IFERROR(AVERAGE(IF(ISERROR(X51:AG51),"",X51:AG51)),"")</f>
        <v>0.13894686624127872</v>
      </c>
      <c r="X51" s="255">
        <f t="shared" si="53"/>
        <v>0.13894686624127872</v>
      </c>
      <c r="Y51" s="255" t="e">
        <f t="shared" si="54"/>
        <v>#N/A</v>
      </c>
      <c r="Z51" s="255" t="e">
        <f t="shared" si="55"/>
        <v>#N/A</v>
      </c>
      <c r="AA51" s="255" t="e">
        <f t="shared" si="56"/>
        <v>#N/A</v>
      </c>
      <c r="AB51" s="255" t="e">
        <f t="shared" si="57"/>
        <v>#N/A</v>
      </c>
      <c r="AC51" s="255" t="e">
        <f t="shared" si="58"/>
        <v>#N/A</v>
      </c>
      <c r="AD51" s="255" t="e">
        <f t="shared" si="59"/>
        <v>#N/A</v>
      </c>
      <c r="AE51" s="255" t="e">
        <f t="shared" si="60"/>
        <v>#N/A</v>
      </c>
      <c r="AF51" s="255" t="e">
        <f t="shared" si="61"/>
        <v>#N/A</v>
      </c>
      <c r="AG51" s="255" t="e">
        <f t="shared" si="62"/>
        <v>#N/A</v>
      </c>
      <c r="AI51" s="251">
        <f t="shared" si="27"/>
        <v>43133</v>
      </c>
      <c r="AJ51" s="718">
        <f>IF(OR($B51="No",AJ$6=""),"",IF(NOT(ISNUMBER(_xll.ciqfunctions.udf.CIQ(AJ$6,"IQ_TEV",$AI51,$I$2,$I$3))),"",_xll.ciqfunctions.udf.CIQ(AJ$6,"IQ_TEV",$AI51,$I$2,$I$3)))</f>
        <v>355524.61336999998</v>
      </c>
      <c r="AK51" s="718">
        <f>IF(OR($B51="No",AK$6=""),"",IF(NOT(ISNUMBER(_xll.ciqfunctions.udf.CIQ(AK$6,"IQ_TEV",$AI51,$I$2,$I$3))),"",_xll.ciqfunctions.udf.CIQ(AK$6,"IQ_TEV",$AI51,$I$2,$I$3)))</f>
        <v>83735.830300000001</v>
      </c>
      <c r="AL51" s="718" t="str">
        <f>IF(OR($B51="No",AL$6=""),"",IF(NOT(ISNUMBER(_xll.ciqfunctions.udf.CIQ(AL$6,"IQ_TEV",$AI51,$I$2,$I$3))),"",_xll.ciqfunctions.udf.CIQ(AL$6,"IQ_TEV",$AI51,$I$2,$I$3)))</f>
        <v/>
      </c>
      <c r="AM51" s="718" t="str">
        <f>IF(OR($B51="No",AM$6=""),"",IF(NOT(ISNUMBER(_xll.ciqfunctions.udf.CIQ(AM$6,"IQ_TEV",$AI51,$I$2,$I$3))),"",_xll.ciqfunctions.udf.CIQ(AM$6,"IQ_TEV",$AI51,$I$2,$I$3)))</f>
        <v/>
      </c>
      <c r="AN51" s="718" t="str">
        <f>IF(OR($B51="No",AN$6=""),"",IF(NOT(ISNUMBER(_xll.ciqfunctions.udf.CIQ(AN$6,"IQ_TEV",$AI51,$I$2,$I$3))),"",_xll.ciqfunctions.udf.CIQ(AN$6,"IQ_TEV",$AI51,$I$2,$I$3)))</f>
        <v/>
      </c>
      <c r="AO51" s="718" t="str">
        <f>IF(OR($B51="No",AO$6=""),"",IF(NOT(ISNUMBER(_xll.ciqfunctions.udf.CIQ(AO$6,"IQ_TEV",$AI51,$I$2,$I$3))),"",_xll.ciqfunctions.udf.CIQ(AO$6,"IQ_TEV",$AI51,$I$2,$I$3)))</f>
        <v/>
      </c>
      <c r="AP51" s="718" t="str">
        <f>IF(OR($B51="No",AP$6=""),"",IF(NOT(ISNUMBER(_xll.ciqfunctions.udf.CIQ(AP$6,"IQ_TEV",$AI51,$I$2,$I$3))),"",_xll.ciqfunctions.udf.CIQ(AP$6,"IQ_TEV",$AI51,$I$2,$I$3)))</f>
        <v/>
      </c>
      <c r="AQ51" s="718" t="str">
        <f>IF(OR($B51="No",AQ$6=""),"",IF(NOT(ISNUMBER(_xll.ciqfunctions.udf.CIQ(AQ$6,"IQ_TEV",$AI51,$I$2,$I$3))),"",_xll.ciqfunctions.udf.CIQ(AQ$6,"IQ_TEV",$AI51,$I$2,$I$3)))</f>
        <v/>
      </c>
      <c r="AR51" s="718" t="str">
        <f>IF(OR($B51="No",AR$6=""),"",IF(NOT(ISNUMBER(_xll.ciqfunctions.udf.CIQ(AR$6,"IQ_TEV",$AI51,$I$2,$I$3))),"",_xll.ciqfunctions.udf.CIQ(AR$6,"IQ_TEV",$AI51,$I$2,$I$3)))</f>
        <v/>
      </c>
      <c r="AS51" s="718" t="str">
        <f>IF(OR($B51="No",AS$6=""),"",IF(NOT(ISNUMBER(_xll.ciqfunctions.udf.CIQ(AS$6,"IQ_TEV",$AI51,$I$2,$I$3))),"",_xll.ciqfunctions.udf.CIQ(AS$6,"IQ_TEV",$AI51,$I$2,$I$3)))</f>
        <v/>
      </c>
      <c r="AT51" s="718" t="str">
        <f>IF(OR($B51="No",AT$6=""),"",IF(NOT(ISNUMBER(_xll.ciqfunctions.udf.CIQ(AT$6,"IQ_TEV",$AI51,$I$2,$I$3))),"",_xll.ciqfunctions.udf.CIQ(AT$6,"IQ_TEV",$AI51,$I$2,$I$3)))</f>
        <v/>
      </c>
      <c r="AV51" s="251">
        <f t="shared" si="39"/>
        <v>43133</v>
      </c>
      <c r="AW51" s="719">
        <f t="shared" si="40"/>
        <v>0.36186431478001757</v>
      </c>
      <c r="AX51" s="719">
        <f t="shared" si="41"/>
        <v>0.14730429542879131</v>
      </c>
      <c r="AY51" s="719" t="e">
        <f t="shared" si="42"/>
        <v>#N/A</v>
      </c>
      <c r="AZ51" s="719" t="e">
        <f t="shared" si="43"/>
        <v>#N/A</v>
      </c>
      <c r="BA51" s="719" t="e">
        <f t="shared" si="44"/>
        <v>#N/A</v>
      </c>
      <c r="BB51" s="719" t="e">
        <f t="shared" si="45"/>
        <v>#N/A</v>
      </c>
      <c r="BC51" s="719" t="e">
        <f t="shared" si="46"/>
        <v>#N/A</v>
      </c>
      <c r="BD51" s="719" t="e">
        <f t="shared" si="47"/>
        <v>#N/A</v>
      </c>
      <c r="BE51" s="719" t="e">
        <f t="shared" si="48"/>
        <v>#N/A</v>
      </c>
      <c r="BF51" s="719" t="e">
        <f t="shared" si="49"/>
        <v>#N/A</v>
      </c>
      <c r="BG51" s="719" t="e">
        <f t="shared" si="50"/>
        <v>#N/A</v>
      </c>
    </row>
    <row r="52" spans="1:59" ht="15" customHeight="1" x14ac:dyDescent="0.2">
      <c r="A52" s="251">
        <f t="shared" si="15"/>
        <v>43140</v>
      </c>
      <c r="B52" s="253" t="str">
        <f t="shared" si="51"/>
        <v>Yes</v>
      </c>
      <c r="C52" s="1033">
        <f>IF(C$6="","",IF(NOT(ISNUMBER(_xll.ciqfunctions.udf.CIQ(C$6,$F$2, $A52, $I$2, $I$3))),IF(C51=C$6,"",C51),_xll.ciqfunctions.udf.CIQ(C$6,$F$2, $A52, $I$2, $I$3)))</f>
        <v>99.37</v>
      </c>
      <c r="D52" s="1033">
        <f>IF(D$6="","",IF(NOT(ISNUMBER(_xll.ciqfunctions.udf.CIQ(D$6,$F$2, $A52, $I$2, $I$3))),IF(D51=D$6,"",D51),_xll.ciqfunctions.udf.CIQ(D$6,$F$2, $A52, $I$2, $I$3)))</f>
        <v>24190.897140000001</v>
      </c>
      <c r="E52" s="1033">
        <f>IF(E$6="","",IF(NOT(ISNUMBER(_xll.ciqfunctions.udf.CIQ(E$6,$F$2, $A52, $I$2, $I$3))),IF(E51=E$6,"",E51),_xll.ciqfunctions.udf.CIQ(E$6,$F$2, $A52, $I$2, $I$3)))</f>
        <v>7999.6110600000002</v>
      </c>
      <c r="F52" s="1033">
        <f>IF(F$6="","",IF(NOT(ISNUMBER(_xll.ciqfunctions.udf.CIQ(F$6,$F$2, $A52, $I$2, $I$3))),IF(F51=F$6,"",F51),_xll.ciqfunctions.udf.CIQ(F$6,$F$2, $A52, $I$2, $I$3)))</f>
        <v>4643.4085999999998</v>
      </c>
      <c r="G52" s="1033">
        <f>IF(G$6="","",IF(NOT(ISNUMBER(_xll.ciqfunctions.udf.CIQ(G$6,$F$2, $A52, $I$2, $I$3))),IF(G51=G$6,"",G51),_xll.ciqfunctions.udf.CIQ(G$6,$F$2, $A52, $I$2, $I$3)))</f>
        <v>180.72</v>
      </c>
      <c r="H52" s="1033" t="str">
        <f>IF(H$6="","",IF(NOT(ISNUMBER(_xll.ciqfunctions.udf.CIQ(H$6,$F$2, $A52, $I$2, $I$3))),IF(H51=H$6,"",H51),_xll.ciqfunctions.udf.CIQ(H$6,$F$2, $A52, $I$2, $I$3)))</f>
        <v/>
      </c>
      <c r="I52" s="1033" t="str">
        <f>IF(I$6="","",IF(NOT(ISNUMBER(_xll.ciqfunctions.udf.CIQ(I$6,$F$2, $A52, $I$2, $I$3))),IF(I51=I$6,"",I51),_xll.ciqfunctions.udf.CIQ(I$6,$F$2, $A52, $I$2, $I$3)))</f>
        <v/>
      </c>
      <c r="J52" s="1033" t="str">
        <f>IF(J$6="","",IF(NOT(ISNUMBER(_xll.ciqfunctions.udf.CIQ(J$6,$F$2, $A52, $I$2, $I$3))),IF(J51=J$6,"",J51),_xll.ciqfunctions.udf.CIQ(J$6,$F$2, $A52, $I$2, $I$3)))</f>
        <v/>
      </c>
      <c r="K52" s="1033" t="str">
        <f>IF(K$6="","",IF(NOT(ISNUMBER(_xll.ciqfunctions.udf.CIQ(K$6,$F$2, $A52, $I$2, $I$3))),IF(K51=K$6,"",K51),_xll.ciqfunctions.udf.CIQ(K$6,$F$2, $A52, $I$2, $I$3)))</f>
        <v/>
      </c>
      <c r="L52" s="254" t="str">
        <f>IF(L$6="","",IF(NOT(ISNUMBER(_xll.ciqfunctions.udf.CIQ(L$6,$F$2, $A52, $I$2, $I$3))),IF(L51=L$6,"",L51),_xll.ciqfunctions.udf.CIQ(L$6,$F$2, $A52, $I$2, $I$3)))</f>
        <v/>
      </c>
      <c r="M52" s="254" t="str">
        <f>IF(M$6="","",IF(NOT(ISNUMBER(_xll.ciqfunctions.udf.CIQ(M$6,$F$2, $A52, $I$2, $I$3))),IF(M51=M$6,"",M51),_xll.ciqfunctions.udf.CIQ(M$6,$F$2, $A52, $I$2, $I$3)))</f>
        <v/>
      </c>
      <c r="N52" s="254" t="str">
        <f>IF(N$6="","",IF(NOT(ISNUMBER(_xll.ciqfunctions.udf.CIQ(N$6,$F$2, $A52, $I$2, $I$3))),IF(N51=N$6,"",N51),_xll.ciqfunctions.udf.CIQ(N$6,$F$2, $A52, $I$2, $I$3)))</f>
        <v/>
      </c>
      <c r="O52" s="254" t="str">
        <f>IF(O$6="","",IF(NOT(ISNUMBER(_xll.ciqfunctions.udf.CIQ(O$6,$F$2, $A52, $I$2, $I$3))),IF(O51=O$6,"",O51),_xll.ciqfunctions.udf.CIQ(O$6,$F$2, $A52, $I$2, $I$3)))</f>
        <v/>
      </c>
      <c r="P52" s="254" t="str">
        <f>IF(P$6="","",IF(NOT(ISNUMBER(_xll.ciqfunctions.udf.CIQ(P$6,$F$2, $A52, $I$2, $I$3))),IF(P51=P$6,"",P51),_xll.ciqfunctions.udf.CIQ(P$6,$F$2, $A52, $I$2, $I$3)))</f>
        <v/>
      </c>
      <c r="Q52" s="254"/>
      <c r="R52" s="251">
        <f t="shared" si="16"/>
        <v>43140</v>
      </c>
      <c r="S52" s="255">
        <f t="shared" si="35"/>
        <v>0.37860710321864599</v>
      </c>
      <c r="T52" s="255">
        <f t="shared" si="36"/>
        <v>0.17072246721634787</v>
      </c>
      <c r="U52" s="255">
        <f t="shared" si="37"/>
        <v>0.11791659528946208</v>
      </c>
      <c r="V52" s="255">
        <f t="shared" si="52"/>
        <v>5.7787871325220896E-2</v>
      </c>
      <c r="W52" s="255">
        <f t="array" ref="W52">IFERROR(AVERAGE(IF(ISERROR(X52:AG52),"",X52:AG52)),"")</f>
        <v>7.7702904168406084E-2</v>
      </c>
      <c r="X52" s="255">
        <f t="shared" si="53"/>
        <v>7.7702904168406084E-2</v>
      </c>
      <c r="Y52" s="255" t="e">
        <f t="shared" si="54"/>
        <v>#N/A</v>
      </c>
      <c r="Z52" s="255" t="e">
        <f t="shared" si="55"/>
        <v>#N/A</v>
      </c>
      <c r="AA52" s="255" t="e">
        <f t="shared" si="56"/>
        <v>#N/A</v>
      </c>
      <c r="AB52" s="255" t="e">
        <f t="shared" si="57"/>
        <v>#N/A</v>
      </c>
      <c r="AC52" s="255" t="e">
        <f t="shared" si="58"/>
        <v>#N/A</v>
      </c>
      <c r="AD52" s="255" t="e">
        <f t="shared" si="59"/>
        <v>#N/A</v>
      </c>
      <c r="AE52" s="255" t="e">
        <f t="shared" si="60"/>
        <v>#N/A</v>
      </c>
      <c r="AF52" s="255" t="e">
        <f t="shared" si="61"/>
        <v>#N/A</v>
      </c>
      <c r="AG52" s="255" t="e">
        <f t="shared" si="62"/>
        <v>#N/A</v>
      </c>
      <c r="AI52" s="251">
        <f t="shared" si="27"/>
        <v>43140</v>
      </c>
      <c r="AJ52" s="718">
        <f>IF(OR($B52="No",AJ$6=""),"",IF(NOT(ISNUMBER(_xll.ciqfunctions.udf.CIQ(AJ$6,"IQ_TEV",$AI52,$I$2,$I$3))),"",_xll.ciqfunctions.udf.CIQ(AJ$6,"IQ_TEV",$AI52,$I$2,$I$3)))</f>
        <v>340386.89744999999</v>
      </c>
      <c r="AK52" s="718">
        <f>IF(OR($B52="No",AK$6=""),"",IF(NOT(ISNUMBER(_xll.ciqfunctions.udf.CIQ(AK$6,"IQ_TEV",$AI52,$I$2,$I$3))),"",_xll.ciqfunctions.udf.CIQ(AK$6,"IQ_TEV",$AI52,$I$2,$I$3)))</f>
        <v>79226.213010000007</v>
      </c>
      <c r="AL52" s="718" t="str">
        <f>IF(OR($B52="No",AL$6=""),"",IF(NOT(ISNUMBER(_xll.ciqfunctions.udf.CIQ(AL$6,"IQ_TEV",$AI52,$I$2,$I$3))),"",_xll.ciqfunctions.udf.CIQ(AL$6,"IQ_TEV",$AI52,$I$2,$I$3)))</f>
        <v/>
      </c>
      <c r="AM52" s="718" t="str">
        <f>IF(OR($B52="No",AM$6=""),"",IF(NOT(ISNUMBER(_xll.ciqfunctions.udf.CIQ(AM$6,"IQ_TEV",$AI52,$I$2,$I$3))),"",_xll.ciqfunctions.udf.CIQ(AM$6,"IQ_TEV",$AI52,$I$2,$I$3)))</f>
        <v/>
      </c>
      <c r="AN52" s="718" t="str">
        <f>IF(OR($B52="No",AN$6=""),"",IF(NOT(ISNUMBER(_xll.ciqfunctions.udf.CIQ(AN$6,"IQ_TEV",$AI52,$I$2,$I$3))),"",_xll.ciqfunctions.udf.CIQ(AN$6,"IQ_TEV",$AI52,$I$2,$I$3)))</f>
        <v/>
      </c>
      <c r="AO52" s="718" t="str">
        <f>IF(OR($B52="No",AO$6=""),"",IF(NOT(ISNUMBER(_xll.ciqfunctions.udf.CIQ(AO$6,"IQ_TEV",$AI52,$I$2,$I$3))),"",_xll.ciqfunctions.udf.CIQ(AO$6,"IQ_TEV",$AI52,$I$2,$I$3)))</f>
        <v/>
      </c>
      <c r="AP52" s="718" t="str">
        <f>IF(OR($B52="No",AP$6=""),"",IF(NOT(ISNUMBER(_xll.ciqfunctions.udf.CIQ(AP$6,"IQ_TEV",$AI52,$I$2,$I$3))),"",_xll.ciqfunctions.udf.CIQ(AP$6,"IQ_TEV",$AI52,$I$2,$I$3)))</f>
        <v/>
      </c>
      <c r="AQ52" s="718" t="str">
        <f>IF(OR($B52="No",AQ$6=""),"",IF(NOT(ISNUMBER(_xll.ciqfunctions.udf.CIQ(AQ$6,"IQ_TEV",$AI52,$I$2,$I$3))),"",_xll.ciqfunctions.udf.CIQ(AQ$6,"IQ_TEV",$AI52,$I$2,$I$3)))</f>
        <v/>
      </c>
      <c r="AR52" s="718" t="str">
        <f>IF(OR($B52="No",AR$6=""),"",IF(NOT(ISNUMBER(_xll.ciqfunctions.udf.CIQ(AR$6,"IQ_TEV",$AI52,$I$2,$I$3))),"",_xll.ciqfunctions.udf.CIQ(AR$6,"IQ_TEV",$AI52,$I$2,$I$3)))</f>
        <v/>
      </c>
      <c r="AS52" s="718" t="str">
        <f>IF(OR($B52="No",AS$6=""),"",IF(NOT(ISNUMBER(_xll.ciqfunctions.udf.CIQ(AS$6,"IQ_TEV",$AI52,$I$2,$I$3))),"",_xll.ciqfunctions.udf.CIQ(AS$6,"IQ_TEV",$AI52,$I$2,$I$3)))</f>
        <v/>
      </c>
      <c r="AT52" s="718" t="str">
        <f>IF(OR($B52="No",AT$6=""),"",IF(NOT(ISNUMBER(_xll.ciqfunctions.udf.CIQ(AT$6,"IQ_TEV",$AI52,$I$2,$I$3))),"",_xll.ciqfunctions.udf.CIQ(AT$6,"IQ_TEV",$AI52,$I$2,$I$3)))</f>
        <v/>
      </c>
      <c r="AV52" s="251">
        <f t="shared" si="39"/>
        <v>43140</v>
      </c>
      <c r="AW52" s="719">
        <f t="shared" si="40"/>
        <v>0.30387813226704918</v>
      </c>
      <c r="AX52" s="719">
        <f t="shared" si="41"/>
        <v>8.5515891718928705E-2</v>
      </c>
      <c r="AY52" s="719" t="e">
        <f t="shared" si="42"/>
        <v>#N/A</v>
      </c>
      <c r="AZ52" s="719" t="e">
        <f t="shared" si="43"/>
        <v>#N/A</v>
      </c>
      <c r="BA52" s="719" t="e">
        <f t="shared" si="44"/>
        <v>#N/A</v>
      </c>
      <c r="BB52" s="719" t="e">
        <f t="shared" si="45"/>
        <v>#N/A</v>
      </c>
      <c r="BC52" s="719" t="e">
        <f t="shared" si="46"/>
        <v>#N/A</v>
      </c>
      <c r="BD52" s="719" t="e">
        <f t="shared" si="47"/>
        <v>#N/A</v>
      </c>
      <c r="BE52" s="719" t="e">
        <f t="shared" si="48"/>
        <v>#N/A</v>
      </c>
      <c r="BF52" s="719" t="e">
        <f t="shared" si="49"/>
        <v>#N/A</v>
      </c>
      <c r="BG52" s="719" t="e">
        <f t="shared" si="50"/>
        <v>#N/A</v>
      </c>
    </row>
    <row r="53" spans="1:59" ht="15" customHeight="1" x14ac:dyDescent="0.2">
      <c r="A53" s="251">
        <f t="shared" si="15"/>
        <v>43147</v>
      </c>
      <c r="B53" s="253" t="str">
        <f t="shared" si="51"/>
        <v>Yes</v>
      </c>
      <c r="C53" s="1033">
        <f>IF(C$6="","",IF(NOT(ISNUMBER(_xll.ciqfunctions.udf.CIQ(C$6,$F$2, $A53, $I$2, $I$3))),IF(C52=C$6,"",C52),_xll.ciqfunctions.udf.CIQ(C$6,$F$2, $A53, $I$2, $I$3)))</f>
        <v>104.78</v>
      </c>
      <c r="D53" s="1033">
        <f>IF(D$6="","",IF(NOT(ISNUMBER(_xll.ciqfunctions.udf.CIQ(D$6,$F$2, $A53, $I$2, $I$3))),IF(D52=D$6,"",D52),_xll.ciqfunctions.udf.CIQ(D$6,$F$2, $A53, $I$2, $I$3)))</f>
        <v>25219.375540000001</v>
      </c>
      <c r="E53" s="1033">
        <f>IF(E$6="","",IF(NOT(ISNUMBER(_xll.ciqfunctions.udf.CIQ(E$6,$F$2, $A53, $I$2, $I$3))),IF(E52=E$6,"",E52),_xll.ciqfunctions.udf.CIQ(E$6,$F$2, $A53, $I$2, $I$3)))</f>
        <v>8312.0116600000001</v>
      </c>
      <c r="F53" s="1033">
        <f>IF(F$6="","",IF(NOT(ISNUMBER(_xll.ciqfunctions.udf.CIQ(F$6,$F$2, $A53, $I$2, $I$3))),IF(F52=F$6,"",F52),_xll.ciqfunctions.udf.CIQ(F$6,$F$2, $A53, $I$2, $I$3)))</f>
        <v>4796.4450500000003</v>
      </c>
      <c r="G53" s="1033">
        <f>IF(G$6="","",IF(NOT(ISNUMBER(_xll.ciqfunctions.udf.CIQ(G$6,$F$2, $A53, $I$2, $I$3))),IF(G52=G$6,"",G52),_xll.ciqfunctions.udf.CIQ(G$6,$F$2, $A53, $I$2, $I$3)))</f>
        <v>191.56</v>
      </c>
      <c r="H53" s="1033" t="str">
        <f>IF(H$6="","",IF(NOT(ISNUMBER(_xll.ciqfunctions.udf.CIQ(H$6,$F$2, $A53, $I$2, $I$3))),IF(H52=H$6,"",H52),_xll.ciqfunctions.udf.CIQ(H$6,$F$2, $A53, $I$2, $I$3)))</f>
        <v/>
      </c>
      <c r="I53" s="1033" t="str">
        <f>IF(I$6="","",IF(NOT(ISNUMBER(_xll.ciqfunctions.udf.CIQ(I$6,$F$2, $A53, $I$2, $I$3))),IF(I52=I$6,"",I52),_xll.ciqfunctions.udf.CIQ(I$6,$F$2, $A53, $I$2, $I$3)))</f>
        <v/>
      </c>
      <c r="J53" s="1033" t="str">
        <f>IF(J$6="","",IF(NOT(ISNUMBER(_xll.ciqfunctions.udf.CIQ(J$6,$F$2, $A53, $I$2, $I$3))),IF(J52=J$6,"",J52),_xll.ciqfunctions.udf.CIQ(J$6,$F$2, $A53, $I$2, $I$3)))</f>
        <v/>
      </c>
      <c r="K53" s="1033" t="str">
        <f>IF(K$6="","",IF(NOT(ISNUMBER(_xll.ciqfunctions.udf.CIQ(K$6,$F$2, $A53, $I$2, $I$3))),IF(K52=K$6,"",K52),_xll.ciqfunctions.udf.CIQ(K$6,$F$2, $A53, $I$2, $I$3)))</f>
        <v/>
      </c>
      <c r="L53" s="254" t="str">
        <f>IF(L$6="","",IF(NOT(ISNUMBER(_xll.ciqfunctions.udf.CIQ(L$6,$F$2, $A53, $I$2, $I$3))),IF(L52=L$6,"",L52),_xll.ciqfunctions.udf.CIQ(L$6,$F$2, $A53, $I$2, $I$3)))</f>
        <v/>
      </c>
      <c r="M53" s="254" t="str">
        <f>IF(M$6="","",IF(NOT(ISNUMBER(_xll.ciqfunctions.udf.CIQ(M$6,$F$2, $A53, $I$2, $I$3))),IF(M52=M$6,"",M52),_xll.ciqfunctions.udf.CIQ(M$6,$F$2, $A53, $I$2, $I$3)))</f>
        <v/>
      </c>
      <c r="N53" s="254" t="str">
        <f>IF(N$6="","",IF(NOT(ISNUMBER(_xll.ciqfunctions.udf.CIQ(N$6,$F$2, $A53, $I$2, $I$3))),IF(N52=N$6,"",N52),_xll.ciqfunctions.udf.CIQ(N$6,$F$2, $A53, $I$2, $I$3)))</f>
        <v/>
      </c>
      <c r="O53" s="254" t="str">
        <f>IF(O$6="","",IF(NOT(ISNUMBER(_xll.ciqfunctions.udf.CIQ(O$6,$F$2, $A53, $I$2, $I$3))),IF(O52=O$6,"",O52),_xll.ciqfunctions.udf.CIQ(O$6,$F$2, $A53, $I$2, $I$3)))</f>
        <v/>
      </c>
      <c r="P53" s="254" t="str">
        <f>IF(P$6="","",IF(NOT(ISNUMBER(_xll.ciqfunctions.udf.CIQ(P$6,$F$2, $A53, $I$2, $I$3))),IF(P52=P$6,"",P52),_xll.ciqfunctions.udf.CIQ(P$6,$F$2, $A53, $I$2, $I$3)))</f>
        <v/>
      </c>
      <c r="Q53" s="254"/>
      <c r="R53" s="251">
        <f t="shared" si="16"/>
        <v>43147</v>
      </c>
      <c r="S53" s="255">
        <f t="shared" si="35"/>
        <v>0.45366259711431756</v>
      </c>
      <c r="T53" s="255">
        <f t="shared" si="36"/>
        <v>0.22049584945010503</v>
      </c>
      <c r="U53" s="255">
        <f t="shared" si="37"/>
        <v>0.16157344466613499</v>
      </c>
      <c r="V53" s="255">
        <f t="shared" si="52"/>
        <v>9.2650213760618216E-2</v>
      </c>
      <c r="W53" s="255">
        <f t="array" ref="W53">IFERROR(AVERAGE(IF(ISERROR(X53:AG53),"",X53:AG53)),"")</f>
        <v>0.14234599558709538</v>
      </c>
      <c r="X53" s="255">
        <f t="shared" si="53"/>
        <v>0.14234599558709538</v>
      </c>
      <c r="Y53" s="255" t="e">
        <f t="shared" si="54"/>
        <v>#N/A</v>
      </c>
      <c r="Z53" s="255" t="e">
        <f t="shared" si="55"/>
        <v>#N/A</v>
      </c>
      <c r="AA53" s="255" t="e">
        <f t="shared" si="56"/>
        <v>#N/A</v>
      </c>
      <c r="AB53" s="255" t="e">
        <f t="shared" si="57"/>
        <v>#N/A</v>
      </c>
      <c r="AC53" s="255" t="e">
        <f t="shared" si="58"/>
        <v>#N/A</v>
      </c>
      <c r="AD53" s="255" t="e">
        <f t="shared" si="59"/>
        <v>#N/A</v>
      </c>
      <c r="AE53" s="255" t="e">
        <f t="shared" si="60"/>
        <v>#N/A</v>
      </c>
      <c r="AF53" s="255" t="e">
        <f t="shared" si="61"/>
        <v>#N/A</v>
      </c>
      <c r="AG53" s="255" t="e">
        <f t="shared" si="62"/>
        <v>#N/A</v>
      </c>
      <c r="AI53" s="251">
        <f t="shared" si="27"/>
        <v>43147</v>
      </c>
      <c r="AJ53" s="718">
        <f>IF(OR($B53="No",AJ$6=""),"",IF(NOT(ISNUMBER(_xll.ciqfunctions.udf.CIQ(AJ$6,"IQ_TEV",$AI53,$I$2,$I$3))),"",_xll.ciqfunctions.udf.CIQ(AJ$6,"IQ_TEV",$AI53,$I$2,$I$3)))</f>
        <v>356413.38397000002</v>
      </c>
      <c r="AK53" s="718">
        <f>IF(OR($B53="No",AK$6=""),"",IF(NOT(ISNUMBER(_xll.ciqfunctions.udf.CIQ(AK$6,"IQ_TEV",$AI53,$I$2,$I$3))),"",_xll.ciqfunctions.udf.CIQ(AK$6,"IQ_TEV",$AI53,$I$2,$I$3)))</f>
        <v>83986.120649999997</v>
      </c>
      <c r="AL53" s="718" t="str">
        <f>IF(OR($B53="No",AL$6=""),"",IF(NOT(ISNUMBER(_xll.ciqfunctions.udf.CIQ(AL$6,"IQ_TEV",$AI53,$I$2,$I$3))),"",_xll.ciqfunctions.udf.CIQ(AL$6,"IQ_TEV",$AI53,$I$2,$I$3)))</f>
        <v/>
      </c>
      <c r="AM53" s="718" t="str">
        <f>IF(OR($B53="No",AM$6=""),"",IF(NOT(ISNUMBER(_xll.ciqfunctions.udf.CIQ(AM$6,"IQ_TEV",$AI53,$I$2,$I$3))),"",_xll.ciqfunctions.udf.CIQ(AM$6,"IQ_TEV",$AI53,$I$2,$I$3)))</f>
        <v/>
      </c>
      <c r="AN53" s="718" t="str">
        <f>IF(OR($B53="No",AN$6=""),"",IF(NOT(ISNUMBER(_xll.ciqfunctions.udf.CIQ(AN$6,"IQ_TEV",$AI53,$I$2,$I$3))),"",_xll.ciqfunctions.udf.CIQ(AN$6,"IQ_TEV",$AI53,$I$2,$I$3)))</f>
        <v/>
      </c>
      <c r="AO53" s="718" t="str">
        <f>IF(OR($B53="No",AO$6=""),"",IF(NOT(ISNUMBER(_xll.ciqfunctions.udf.CIQ(AO$6,"IQ_TEV",$AI53,$I$2,$I$3))),"",_xll.ciqfunctions.udf.CIQ(AO$6,"IQ_TEV",$AI53,$I$2,$I$3)))</f>
        <v/>
      </c>
      <c r="AP53" s="718" t="str">
        <f>IF(OR($B53="No",AP$6=""),"",IF(NOT(ISNUMBER(_xll.ciqfunctions.udf.CIQ(AP$6,"IQ_TEV",$AI53,$I$2,$I$3))),"",_xll.ciqfunctions.udf.CIQ(AP$6,"IQ_TEV",$AI53,$I$2,$I$3)))</f>
        <v/>
      </c>
      <c r="AQ53" s="718" t="str">
        <f>IF(OR($B53="No",AQ$6=""),"",IF(NOT(ISNUMBER(_xll.ciqfunctions.udf.CIQ(AQ$6,"IQ_TEV",$AI53,$I$2,$I$3))),"",_xll.ciqfunctions.udf.CIQ(AQ$6,"IQ_TEV",$AI53,$I$2,$I$3)))</f>
        <v/>
      </c>
      <c r="AR53" s="718" t="str">
        <f>IF(OR($B53="No",AR$6=""),"",IF(NOT(ISNUMBER(_xll.ciqfunctions.udf.CIQ(AR$6,"IQ_TEV",$AI53,$I$2,$I$3))),"",_xll.ciqfunctions.udf.CIQ(AR$6,"IQ_TEV",$AI53,$I$2,$I$3)))</f>
        <v/>
      </c>
      <c r="AS53" s="718" t="str">
        <f>IF(OR($B53="No",AS$6=""),"",IF(NOT(ISNUMBER(_xll.ciqfunctions.udf.CIQ(AS$6,"IQ_TEV",$AI53,$I$2,$I$3))),"",_xll.ciqfunctions.udf.CIQ(AS$6,"IQ_TEV",$AI53,$I$2,$I$3)))</f>
        <v/>
      </c>
      <c r="AT53" s="718" t="str">
        <f>IF(OR($B53="No",AT$6=""),"",IF(NOT(ISNUMBER(_xll.ciqfunctions.udf.CIQ(AT$6,"IQ_TEV",$AI53,$I$2,$I$3))),"",_xll.ciqfunctions.udf.CIQ(AT$6,"IQ_TEV",$AI53,$I$2,$I$3)))</f>
        <v/>
      </c>
      <c r="AV53" s="251">
        <f t="shared" si="39"/>
        <v>43147</v>
      </c>
      <c r="AW53" s="719">
        <f t="shared" si="40"/>
        <v>0.36526881876834216</v>
      </c>
      <c r="AX53" s="719">
        <f t="shared" si="41"/>
        <v>0.15073364213295082</v>
      </c>
      <c r="AY53" s="719" t="e">
        <f t="shared" si="42"/>
        <v>#N/A</v>
      </c>
      <c r="AZ53" s="719" t="e">
        <f t="shared" si="43"/>
        <v>#N/A</v>
      </c>
      <c r="BA53" s="719" t="e">
        <f t="shared" si="44"/>
        <v>#N/A</v>
      </c>
      <c r="BB53" s="719" t="e">
        <f t="shared" si="45"/>
        <v>#N/A</v>
      </c>
      <c r="BC53" s="719" t="e">
        <f t="shared" si="46"/>
        <v>#N/A</v>
      </c>
      <c r="BD53" s="719" t="e">
        <f t="shared" si="47"/>
        <v>#N/A</v>
      </c>
      <c r="BE53" s="719" t="e">
        <f t="shared" si="48"/>
        <v>#N/A</v>
      </c>
      <c r="BF53" s="719" t="e">
        <f t="shared" si="49"/>
        <v>#N/A</v>
      </c>
      <c r="BG53" s="719" t="e">
        <f t="shared" si="50"/>
        <v>#N/A</v>
      </c>
    </row>
    <row r="54" spans="1:59" ht="15" customHeight="1" x14ac:dyDescent="0.2">
      <c r="A54" s="251">
        <f t="shared" si="15"/>
        <v>43154</v>
      </c>
      <c r="B54" s="253" t="str">
        <f t="shared" si="51"/>
        <v>Yes</v>
      </c>
      <c r="C54" s="1033">
        <f>IF(C$6="","",IF(NOT(ISNUMBER(_xll.ciqfunctions.udf.CIQ(C$6,$F$2, $A54, $I$2, $I$3))),IF(C53=C$6,"",C53),_xll.ciqfunctions.udf.CIQ(C$6,$F$2, $A54, $I$2, $I$3)))</f>
        <v>92.89</v>
      </c>
      <c r="D54" s="1033">
        <f>IF(D$6="","",IF(NOT(ISNUMBER(_xll.ciqfunctions.udf.CIQ(D$6,$F$2, $A54, $I$2, $I$3))),IF(D53=D$6,"",D53),_xll.ciqfunctions.udf.CIQ(D$6,$F$2, $A54, $I$2, $I$3)))</f>
        <v>25309.987949999999</v>
      </c>
      <c r="E54" s="1033">
        <f>IF(E$6="","",IF(NOT(ISNUMBER(_xll.ciqfunctions.udf.CIQ(E$6,$F$2, $A54, $I$2, $I$3))),IF(E53=E$6,"",E53),_xll.ciqfunctions.udf.CIQ(E$6,$F$2, $A54, $I$2, $I$3)))</f>
        <v>8354.0376899999992</v>
      </c>
      <c r="F54" s="1033">
        <f>IF(F$6="","",IF(NOT(ISNUMBER(_xll.ciqfunctions.udf.CIQ(F$6,$F$2, $A54, $I$2, $I$3))),IF(F53=F$6,"",F53),_xll.ciqfunctions.udf.CIQ(F$6,$F$2, $A54, $I$2, $I$3)))</f>
        <v>4765.2615299999998</v>
      </c>
      <c r="G54" s="1033">
        <f>IF(G$6="","",IF(NOT(ISNUMBER(_xll.ciqfunctions.udf.CIQ(G$6,$F$2, $A54, $I$2, $I$3))),IF(G53=G$6,"",G53),_xll.ciqfunctions.udf.CIQ(G$6,$F$2, $A54, $I$2, $I$3)))</f>
        <v>189.81</v>
      </c>
      <c r="H54" s="1033" t="str">
        <f>IF(H$6="","",IF(NOT(ISNUMBER(_xll.ciqfunctions.udf.CIQ(H$6,$F$2, $A54, $I$2, $I$3))),IF(H53=H$6,"",H53),_xll.ciqfunctions.udf.CIQ(H$6,$F$2, $A54, $I$2, $I$3)))</f>
        <v/>
      </c>
      <c r="I54" s="1033" t="str">
        <f>IF(I$6="","",IF(NOT(ISNUMBER(_xll.ciqfunctions.udf.CIQ(I$6,$F$2, $A54, $I$2, $I$3))),IF(I53=I$6,"",I53),_xll.ciqfunctions.udf.CIQ(I$6,$F$2, $A54, $I$2, $I$3)))</f>
        <v/>
      </c>
      <c r="J54" s="1033" t="str">
        <f>IF(J$6="","",IF(NOT(ISNUMBER(_xll.ciqfunctions.udf.CIQ(J$6,$F$2, $A54, $I$2, $I$3))),IF(J53=J$6,"",J53),_xll.ciqfunctions.udf.CIQ(J$6,$F$2, $A54, $I$2, $I$3)))</f>
        <v/>
      </c>
      <c r="K54" s="1033" t="str">
        <f>IF(K$6="","",IF(NOT(ISNUMBER(_xll.ciqfunctions.udf.CIQ(K$6,$F$2, $A54, $I$2, $I$3))),IF(K53=K$6,"",K53),_xll.ciqfunctions.udf.CIQ(K$6,$F$2, $A54, $I$2, $I$3)))</f>
        <v/>
      </c>
      <c r="L54" s="254" t="str">
        <f>IF(L$6="","",IF(NOT(ISNUMBER(_xll.ciqfunctions.udf.CIQ(L$6,$F$2, $A54, $I$2, $I$3))),IF(L53=L$6,"",L53),_xll.ciqfunctions.udf.CIQ(L$6,$F$2, $A54, $I$2, $I$3)))</f>
        <v/>
      </c>
      <c r="M54" s="254" t="str">
        <f>IF(M$6="","",IF(NOT(ISNUMBER(_xll.ciqfunctions.udf.CIQ(M$6,$F$2, $A54, $I$2, $I$3))),IF(M53=M$6,"",M53),_xll.ciqfunctions.udf.CIQ(M$6,$F$2, $A54, $I$2, $I$3)))</f>
        <v/>
      </c>
      <c r="N54" s="254" t="str">
        <f>IF(N$6="","",IF(NOT(ISNUMBER(_xll.ciqfunctions.udf.CIQ(N$6,$F$2, $A54, $I$2, $I$3))),IF(N53=N$6,"",N53),_xll.ciqfunctions.udf.CIQ(N$6,$F$2, $A54, $I$2, $I$3)))</f>
        <v/>
      </c>
      <c r="O54" s="254" t="str">
        <f>IF(O$6="","",IF(NOT(ISNUMBER(_xll.ciqfunctions.udf.CIQ(O$6,$F$2, $A54, $I$2, $I$3))),IF(O53=O$6,"",O53),_xll.ciqfunctions.udf.CIQ(O$6,$F$2, $A54, $I$2, $I$3)))</f>
        <v/>
      </c>
      <c r="P54" s="254" t="str">
        <f>IF(P$6="","",IF(NOT(ISNUMBER(_xll.ciqfunctions.udf.CIQ(P$6,$F$2, $A54, $I$2, $I$3))),IF(P53=P$6,"",P53),_xll.ciqfunctions.udf.CIQ(P$6,$F$2, $A54, $I$2, $I$3)))</f>
        <v/>
      </c>
      <c r="Q54" s="254"/>
      <c r="R54" s="251">
        <f t="shared" si="16"/>
        <v>43154</v>
      </c>
      <c r="S54" s="255">
        <f t="shared" si="35"/>
        <v>0.28870699223085472</v>
      </c>
      <c r="T54" s="255">
        <f t="shared" si="36"/>
        <v>0.22488105201542075</v>
      </c>
      <c r="U54" s="255">
        <f t="shared" si="37"/>
        <v>0.16744642974237833</v>
      </c>
      <c r="V54" s="255">
        <f t="shared" si="52"/>
        <v>8.554647767303214E-2</v>
      </c>
      <c r="W54" s="255">
        <f t="array" ref="W54">IFERROR(AVERAGE(IF(ISERROR(X54:AG54),"",X54:AG54)),"")</f>
        <v>0.13191007215695638</v>
      </c>
      <c r="X54" s="255">
        <f t="shared" si="53"/>
        <v>0.13191007215695638</v>
      </c>
      <c r="Y54" s="255" t="e">
        <f t="shared" si="54"/>
        <v>#N/A</v>
      </c>
      <c r="Z54" s="255" t="e">
        <f t="shared" si="55"/>
        <v>#N/A</v>
      </c>
      <c r="AA54" s="255" t="e">
        <f t="shared" si="56"/>
        <v>#N/A</v>
      </c>
      <c r="AB54" s="255" t="e">
        <f t="shared" si="57"/>
        <v>#N/A</v>
      </c>
      <c r="AC54" s="255" t="e">
        <f t="shared" si="58"/>
        <v>#N/A</v>
      </c>
      <c r="AD54" s="255" t="e">
        <f t="shared" si="59"/>
        <v>#N/A</v>
      </c>
      <c r="AE54" s="255" t="e">
        <f t="shared" si="60"/>
        <v>#N/A</v>
      </c>
      <c r="AF54" s="255" t="e">
        <f t="shared" si="61"/>
        <v>#N/A</v>
      </c>
      <c r="AG54" s="255" t="e">
        <f t="shared" si="62"/>
        <v>#N/A</v>
      </c>
      <c r="AI54" s="251">
        <f t="shared" si="27"/>
        <v>43154</v>
      </c>
      <c r="AJ54" s="718">
        <f>IF(OR($B54="No",AJ$6=""),"",IF(NOT(ISNUMBER(_xll.ciqfunctions.udf.CIQ(AJ$6,"IQ_TEV",$AI54,$I$2,$I$3))),"",_xll.ciqfunctions.udf.CIQ(AJ$6,"IQ_TEV",$AI54,$I$2,$I$3)))</f>
        <v>317859.66222</v>
      </c>
      <c r="AK54" s="718">
        <f>IF(OR($B54="No",AK$6=""),"",IF(NOT(ISNUMBER(_xll.ciqfunctions.udf.CIQ(AK$6,"IQ_TEV",$AI54,$I$2,$I$3))),"",_xll.ciqfunctions.udf.CIQ(AK$6,"IQ_TEV",$AI54,$I$2,$I$3)))</f>
        <v>83217.685370000007</v>
      </c>
      <c r="AL54" s="718" t="str">
        <f>IF(OR($B54="No",AL$6=""),"",IF(NOT(ISNUMBER(_xll.ciqfunctions.udf.CIQ(AL$6,"IQ_TEV",$AI54,$I$2,$I$3))),"",_xll.ciqfunctions.udf.CIQ(AL$6,"IQ_TEV",$AI54,$I$2,$I$3)))</f>
        <v/>
      </c>
      <c r="AM54" s="718" t="str">
        <f>IF(OR($B54="No",AM$6=""),"",IF(NOT(ISNUMBER(_xll.ciqfunctions.udf.CIQ(AM$6,"IQ_TEV",$AI54,$I$2,$I$3))),"",_xll.ciqfunctions.udf.CIQ(AM$6,"IQ_TEV",$AI54,$I$2,$I$3)))</f>
        <v/>
      </c>
      <c r="AN54" s="718" t="str">
        <f>IF(OR($B54="No",AN$6=""),"",IF(NOT(ISNUMBER(_xll.ciqfunctions.udf.CIQ(AN$6,"IQ_TEV",$AI54,$I$2,$I$3))),"",_xll.ciqfunctions.udf.CIQ(AN$6,"IQ_TEV",$AI54,$I$2,$I$3)))</f>
        <v/>
      </c>
      <c r="AO54" s="718" t="str">
        <f>IF(OR($B54="No",AO$6=""),"",IF(NOT(ISNUMBER(_xll.ciqfunctions.udf.CIQ(AO$6,"IQ_TEV",$AI54,$I$2,$I$3))),"",_xll.ciqfunctions.udf.CIQ(AO$6,"IQ_TEV",$AI54,$I$2,$I$3)))</f>
        <v/>
      </c>
      <c r="AP54" s="718" t="str">
        <f>IF(OR($B54="No",AP$6=""),"",IF(NOT(ISNUMBER(_xll.ciqfunctions.udf.CIQ(AP$6,"IQ_TEV",$AI54,$I$2,$I$3))),"",_xll.ciqfunctions.udf.CIQ(AP$6,"IQ_TEV",$AI54,$I$2,$I$3)))</f>
        <v/>
      </c>
      <c r="AQ54" s="718" t="str">
        <f>IF(OR($B54="No",AQ$6=""),"",IF(NOT(ISNUMBER(_xll.ciqfunctions.udf.CIQ(AQ$6,"IQ_TEV",$AI54,$I$2,$I$3))),"",_xll.ciqfunctions.udf.CIQ(AQ$6,"IQ_TEV",$AI54,$I$2,$I$3)))</f>
        <v/>
      </c>
      <c r="AR54" s="718" t="str">
        <f>IF(OR($B54="No",AR$6=""),"",IF(NOT(ISNUMBER(_xll.ciqfunctions.udf.CIQ(AR$6,"IQ_TEV",$AI54,$I$2,$I$3))),"",_xll.ciqfunctions.udf.CIQ(AR$6,"IQ_TEV",$AI54,$I$2,$I$3)))</f>
        <v/>
      </c>
      <c r="AS54" s="718" t="str">
        <f>IF(OR($B54="No",AS$6=""),"",IF(NOT(ISNUMBER(_xll.ciqfunctions.udf.CIQ(AS$6,"IQ_TEV",$AI54,$I$2,$I$3))),"",_xll.ciqfunctions.udf.CIQ(AS$6,"IQ_TEV",$AI54,$I$2,$I$3)))</f>
        <v/>
      </c>
      <c r="AT54" s="718" t="str">
        <f>IF(OR($B54="No",AT$6=""),"",IF(NOT(ISNUMBER(_xll.ciqfunctions.udf.CIQ(AT$6,"IQ_TEV",$AI54,$I$2,$I$3))),"",_xll.ciqfunctions.udf.CIQ(AT$6,"IQ_TEV",$AI54,$I$2,$I$3)))</f>
        <v/>
      </c>
      <c r="AV54" s="251">
        <f t="shared" si="39"/>
        <v>43154</v>
      </c>
      <c r="AW54" s="719">
        <f t="shared" si="40"/>
        <v>0.21758582895902467</v>
      </c>
      <c r="AX54" s="719">
        <f t="shared" si="41"/>
        <v>0.14020494618111745</v>
      </c>
      <c r="AY54" s="719" t="e">
        <f t="shared" si="42"/>
        <v>#N/A</v>
      </c>
      <c r="AZ54" s="719" t="e">
        <f t="shared" si="43"/>
        <v>#N/A</v>
      </c>
      <c r="BA54" s="719" t="e">
        <f t="shared" si="44"/>
        <v>#N/A</v>
      </c>
      <c r="BB54" s="719" t="e">
        <f t="shared" si="45"/>
        <v>#N/A</v>
      </c>
      <c r="BC54" s="719" t="e">
        <f t="shared" si="46"/>
        <v>#N/A</v>
      </c>
      <c r="BD54" s="719" t="e">
        <f t="shared" si="47"/>
        <v>#N/A</v>
      </c>
      <c r="BE54" s="719" t="e">
        <f t="shared" si="48"/>
        <v>#N/A</v>
      </c>
      <c r="BF54" s="719" t="e">
        <f t="shared" si="49"/>
        <v>#N/A</v>
      </c>
      <c r="BG54" s="719" t="e">
        <f t="shared" si="50"/>
        <v>#N/A</v>
      </c>
    </row>
    <row r="55" spans="1:59" ht="15" customHeight="1" x14ac:dyDescent="0.2">
      <c r="A55" s="251">
        <f t="shared" si="15"/>
        <v>43161</v>
      </c>
      <c r="B55" s="253" t="str">
        <f t="shared" si="51"/>
        <v>Yes</v>
      </c>
      <c r="C55" s="1033">
        <f>IF(C$6="","",IF(NOT(ISNUMBER(_xll.ciqfunctions.udf.CIQ(C$6,$F$2, $A55, $I$2, $I$3))),IF(C54=C$6,"",C54),_xll.ciqfunctions.udf.CIQ(C$6,$F$2, $A55, $I$2, $I$3)))</f>
        <v>88.77</v>
      </c>
      <c r="D55" s="1033">
        <f>IF(D$6="","",IF(NOT(ISNUMBER(_xll.ciqfunctions.udf.CIQ(D$6,$F$2, $A55, $I$2, $I$3))),IF(D54=D$6,"",D54),_xll.ciqfunctions.udf.CIQ(D$6,$F$2, $A55, $I$2, $I$3)))</f>
        <v>24538.061099999999</v>
      </c>
      <c r="E55" s="1033">
        <f>IF(E$6="","",IF(NOT(ISNUMBER(_xll.ciqfunctions.udf.CIQ(E$6,$F$2, $A55, $I$2, $I$3))),IF(E54=E$6,"",E54),_xll.ciqfunctions.udf.CIQ(E$6,$F$2, $A55, $I$2, $I$3)))</f>
        <v>8117.6778599999998</v>
      </c>
      <c r="F55" s="1033">
        <f>IF(F$6="","",IF(NOT(ISNUMBER(_xll.ciqfunctions.udf.CIQ(F$6,$F$2, $A55, $I$2, $I$3))),IF(F54=F$6,"",F54),_xll.ciqfunctions.udf.CIQ(F$6,$F$2, $A55, $I$2, $I$3)))</f>
        <v>4699.6540599999998</v>
      </c>
      <c r="G55" s="1033">
        <f>IF(G$6="","",IF(NOT(ISNUMBER(_xll.ciqfunctions.udf.CIQ(G$6,$F$2, $A55, $I$2, $I$3))),IF(G54=G$6,"",G54),_xll.ciqfunctions.udf.CIQ(G$6,$F$2, $A55, $I$2, $I$3)))</f>
        <v>189.33</v>
      </c>
      <c r="H55" s="1033" t="str">
        <f>IF(H$6="","",IF(NOT(ISNUMBER(_xll.ciqfunctions.udf.CIQ(H$6,$F$2, $A55, $I$2, $I$3))),IF(H54=H$6,"",H54),_xll.ciqfunctions.udf.CIQ(H$6,$F$2, $A55, $I$2, $I$3)))</f>
        <v/>
      </c>
      <c r="I55" s="1033" t="str">
        <f>IF(I$6="","",IF(NOT(ISNUMBER(_xll.ciqfunctions.udf.CIQ(I$6,$F$2, $A55, $I$2, $I$3))),IF(I54=I$6,"",I54),_xll.ciqfunctions.udf.CIQ(I$6,$F$2, $A55, $I$2, $I$3)))</f>
        <v/>
      </c>
      <c r="J55" s="1033" t="str">
        <f>IF(J$6="","",IF(NOT(ISNUMBER(_xll.ciqfunctions.udf.CIQ(J$6,$F$2, $A55, $I$2, $I$3))),IF(J54=J$6,"",J54),_xll.ciqfunctions.udf.CIQ(J$6,$F$2, $A55, $I$2, $I$3)))</f>
        <v/>
      </c>
      <c r="K55" s="1033" t="str">
        <f>IF(K$6="","",IF(NOT(ISNUMBER(_xll.ciqfunctions.udf.CIQ(K$6,$F$2, $A55, $I$2, $I$3))),IF(K54=K$6,"",K54),_xll.ciqfunctions.udf.CIQ(K$6,$F$2, $A55, $I$2, $I$3)))</f>
        <v/>
      </c>
      <c r="L55" s="254" t="str">
        <f>IF(L$6="","",IF(NOT(ISNUMBER(_xll.ciqfunctions.udf.CIQ(L$6,$F$2, $A55, $I$2, $I$3))),IF(L54=L$6,"",L54),_xll.ciqfunctions.udf.CIQ(L$6,$F$2, $A55, $I$2, $I$3)))</f>
        <v/>
      </c>
      <c r="M55" s="254" t="str">
        <f>IF(M$6="","",IF(NOT(ISNUMBER(_xll.ciqfunctions.udf.CIQ(M$6,$F$2, $A55, $I$2, $I$3))),IF(M54=M$6,"",M54),_xll.ciqfunctions.udf.CIQ(M$6,$F$2, $A55, $I$2, $I$3)))</f>
        <v/>
      </c>
      <c r="N55" s="254" t="str">
        <f>IF(N$6="","",IF(NOT(ISNUMBER(_xll.ciqfunctions.udf.CIQ(N$6,$F$2, $A55, $I$2, $I$3))),IF(N54=N$6,"",N54),_xll.ciqfunctions.udf.CIQ(N$6,$F$2, $A55, $I$2, $I$3)))</f>
        <v/>
      </c>
      <c r="O55" s="254" t="str">
        <f>IF(O$6="","",IF(NOT(ISNUMBER(_xll.ciqfunctions.udf.CIQ(O$6,$F$2, $A55, $I$2, $I$3))),IF(O54=O$6,"",O54),_xll.ciqfunctions.udf.CIQ(O$6,$F$2, $A55, $I$2, $I$3)))</f>
        <v/>
      </c>
      <c r="P55" s="254" t="str">
        <f>IF(P$6="","",IF(NOT(ISNUMBER(_xll.ciqfunctions.udf.CIQ(P$6,$F$2, $A55, $I$2, $I$3))),IF(P54=P$6,"",P54),_xll.ciqfunctions.udf.CIQ(P$6,$F$2, $A55, $I$2, $I$3)))</f>
        <v/>
      </c>
      <c r="Q55" s="254"/>
      <c r="R55" s="251">
        <f t="shared" si="16"/>
        <v>43161</v>
      </c>
      <c r="S55" s="255">
        <f t="shared" si="35"/>
        <v>0.23154827968923408</v>
      </c>
      <c r="T55" s="255">
        <f t="shared" si="36"/>
        <v>0.18752352446642218</v>
      </c>
      <c r="U55" s="255">
        <f t="shared" si="37"/>
        <v>0.13441600183344993</v>
      </c>
      <c r="V55" s="255">
        <f t="shared" si="52"/>
        <v>7.0600822010867592E-2</v>
      </c>
      <c r="W55" s="255">
        <f t="array" ref="W55">IFERROR(AVERAGE(IF(ISERROR(X55:AG55),"",X55:AG55)),"")</f>
        <v>0.12904764744468977</v>
      </c>
      <c r="X55" s="255">
        <f t="shared" si="53"/>
        <v>0.12904764744468977</v>
      </c>
      <c r="Y55" s="255" t="e">
        <f t="shared" si="54"/>
        <v>#N/A</v>
      </c>
      <c r="Z55" s="255" t="e">
        <f t="shared" si="55"/>
        <v>#N/A</v>
      </c>
      <c r="AA55" s="255" t="e">
        <f t="shared" si="56"/>
        <v>#N/A</v>
      </c>
      <c r="AB55" s="255" t="e">
        <f t="shared" si="57"/>
        <v>#N/A</v>
      </c>
      <c r="AC55" s="255" t="e">
        <f t="shared" si="58"/>
        <v>#N/A</v>
      </c>
      <c r="AD55" s="255" t="e">
        <f t="shared" si="59"/>
        <v>#N/A</v>
      </c>
      <c r="AE55" s="255" t="e">
        <f t="shared" si="60"/>
        <v>#N/A</v>
      </c>
      <c r="AF55" s="255" t="e">
        <f t="shared" si="61"/>
        <v>#N/A</v>
      </c>
      <c r="AG55" s="255" t="e">
        <f t="shared" si="62"/>
        <v>#N/A</v>
      </c>
      <c r="AI55" s="251">
        <f t="shared" si="27"/>
        <v>43161</v>
      </c>
      <c r="AJ55" s="718">
        <f>IF(OR($B55="No",AJ$6=""),"",IF(NOT(ISNUMBER(_xll.ciqfunctions.udf.CIQ(AJ$6,"IQ_TEV",$AI55,$I$2,$I$3))),"",_xll.ciqfunctions.udf.CIQ(AJ$6,"IQ_TEV",$AI55,$I$2,$I$3)))</f>
        <v>305654.64844999998</v>
      </c>
      <c r="AK55" s="718">
        <f>IF(OR($B55="No",AK$6=""),"",IF(NOT(ISNUMBER(_xll.ciqfunctions.udf.CIQ(AK$6,"IQ_TEV",$AI55,$I$2,$I$3))),"",_xll.ciqfunctions.udf.CIQ(AK$6,"IQ_TEV",$AI55,$I$2,$I$3)))</f>
        <v>83006.914560000005</v>
      </c>
      <c r="AL55" s="718" t="str">
        <f>IF(OR($B55="No",AL$6=""),"",IF(NOT(ISNUMBER(_xll.ciqfunctions.udf.CIQ(AL$6,"IQ_TEV",$AI55,$I$2,$I$3))),"",_xll.ciqfunctions.udf.CIQ(AL$6,"IQ_TEV",$AI55,$I$2,$I$3)))</f>
        <v/>
      </c>
      <c r="AM55" s="718" t="str">
        <f>IF(OR($B55="No",AM$6=""),"",IF(NOT(ISNUMBER(_xll.ciqfunctions.udf.CIQ(AM$6,"IQ_TEV",$AI55,$I$2,$I$3))),"",_xll.ciqfunctions.udf.CIQ(AM$6,"IQ_TEV",$AI55,$I$2,$I$3)))</f>
        <v/>
      </c>
      <c r="AN55" s="718" t="str">
        <f>IF(OR($B55="No",AN$6=""),"",IF(NOT(ISNUMBER(_xll.ciqfunctions.udf.CIQ(AN$6,"IQ_TEV",$AI55,$I$2,$I$3))),"",_xll.ciqfunctions.udf.CIQ(AN$6,"IQ_TEV",$AI55,$I$2,$I$3)))</f>
        <v/>
      </c>
      <c r="AO55" s="718" t="str">
        <f>IF(OR($B55="No",AO$6=""),"",IF(NOT(ISNUMBER(_xll.ciqfunctions.udf.CIQ(AO$6,"IQ_TEV",$AI55,$I$2,$I$3))),"",_xll.ciqfunctions.udf.CIQ(AO$6,"IQ_TEV",$AI55,$I$2,$I$3)))</f>
        <v/>
      </c>
      <c r="AP55" s="718" t="str">
        <f>IF(OR($B55="No",AP$6=""),"",IF(NOT(ISNUMBER(_xll.ciqfunctions.udf.CIQ(AP$6,"IQ_TEV",$AI55,$I$2,$I$3))),"",_xll.ciqfunctions.udf.CIQ(AP$6,"IQ_TEV",$AI55,$I$2,$I$3)))</f>
        <v/>
      </c>
      <c r="AQ55" s="718" t="str">
        <f>IF(OR($B55="No",AQ$6=""),"",IF(NOT(ISNUMBER(_xll.ciqfunctions.udf.CIQ(AQ$6,"IQ_TEV",$AI55,$I$2,$I$3))),"",_xll.ciqfunctions.udf.CIQ(AQ$6,"IQ_TEV",$AI55,$I$2,$I$3)))</f>
        <v/>
      </c>
      <c r="AR55" s="718" t="str">
        <f>IF(OR($B55="No",AR$6=""),"",IF(NOT(ISNUMBER(_xll.ciqfunctions.udf.CIQ(AR$6,"IQ_TEV",$AI55,$I$2,$I$3))),"",_xll.ciqfunctions.udf.CIQ(AR$6,"IQ_TEV",$AI55,$I$2,$I$3)))</f>
        <v/>
      </c>
      <c r="AS55" s="718" t="str">
        <f>IF(OR($B55="No",AS$6=""),"",IF(NOT(ISNUMBER(_xll.ciqfunctions.udf.CIQ(AS$6,"IQ_TEV",$AI55,$I$2,$I$3))),"",_xll.ciqfunctions.udf.CIQ(AS$6,"IQ_TEV",$AI55,$I$2,$I$3)))</f>
        <v/>
      </c>
      <c r="AT55" s="718" t="str">
        <f>IF(OR($B55="No",AT$6=""),"",IF(NOT(ISNUMBER(_xll.ciqfunctions.udf.CIQ(AT$6,"IQ_TEV",$AI55,$I$2,$I$3))),"",_xll.ciqfunctions.udf.CIQ(AT$6,"IQ_TEV",$AI55,$I$2,$I$3)))</f>
        <v/>
      </c>
      <c r="AV55" s="251">
        <f t="shared" si="39"/>
        <v>43161</v>
      </c>
      <c r="AW55" s="719">
        <f t="shared" si="40"/>
        <v>0.17083358708972973</v>
      </c>
      <c r="AX55" s="719">
        <f t="shared" si="41"/>
        <v>0.1373170754237889</v>
      </c>
      <c r="AY55" s="719" t="e">
        <f t="shared" si="42"/>
        <v>#N/A</v>
      </c>
      <c r="AZ55" s="719" t="e">
        <f t="shared" si="43"/>
        <v>#N/A</v>
      </c>
      <c r="BA55" s="719" t="e">
        <f t="shared" si="44"/>
        <v>#N/A</v>
      </c>
      <c r="BB55" s="719" t="e">
        <f t="shared" si="45"/>
        <v>#N/A</v>
      </c>
      <c r="BC55" s="719" t="e">
        <f t="shared" si="46"/>
        <v>#N/A</v>
      </c>
      <c r="BD55" s="719" t="e">
        <f t="shared" si="47"/>
        <v>#N/A</v>
      </c>
      <c r="BE55" s="719" t="e">
        <f t="shared" si="48"/>
        <v>#N/A</v>
      </c>
      <c r="BF55" s="719" t="e">
        <f t="shared" si="49"/>
        <v>#N/A</v>
      </c>
      <c r="BG55" s="719" t="e">
        <f t="shared" si="50"/>
        <v>#N/A</v>
      </c>
    </row>
    <row r="56" spans="1:59" ht="15" customHeight="1" x14ac:dyDescent="0.2">
      <c r="A56" s="251">
        <f t="shared" si="15"/>
        <v>43168</v>
      </c>
      <c r="B56" s="253" t="str">
        <f t="shared" si="51"/>
        <v>Yes</v>
      </c>
      <c r="C56" s="1033">
        <f>IF(C$6="","",IF(NOT(ISNUMBER(_xll.ciqfunctions.udf.CIQ(C$6,$F$2, $A56, $I$2, $I$3))),IF(C55=C$6,"",C55),_xll.ciqfunctions.udf.CIQ(C$6,$F$2, $A56, $I$2, $I$3)))</f>
        <v>88.72</v>
      </c>
      <c r="D56" s="1033">
        <f>IF(D$6="","",IF(NOT(ISNUMBER(_xll.ciqfunctions.udf.CIQ(D$6,$F$2, $A56, $I$2, $I$3))),IF(D55=D$6,"",D55),_xll.ciqfunctions.udf.CIQ(D$6,$F$2, $A56, $I$2, $I$3)))</f>
        <v>25335.7395</v>
      </c>
      <c r="E56" s="1033">
        <f>IF(E$6="","",IF(NOT(ISNUMBER(_xll.ciqfunctions.udf.CIQ(E$6,$F$2, $A56, $I$2, $I$3))),IF(E55=E$6,"",E55),_xll.ciqfunctions.udf.CIQ(E$6,$F$2, $A56, $I$2, $I$3)))</f>
        <v>8371.4975200000008</v>
      </c>
      <c r="F56" s="1033">
        <f>IF(F$6="","",IF(NOT(ISNUMBER(_xll.ciqfunctions.udf.CIQ(F$6,$F$2, $A56, $I$2, $I$3))),IF(F55=F$6,"",F55),_xll.ciqfunctions.udf.CIQ(F$6,$F$2, $A56, $I$2, $I$3)))</f>
        <v>4710.9934700000003</v>
      </c>
      <c r="G56" s="1033">
        <f>IF(G$6="","",IF(NOT(ISNUMBER(_xll.ciqfunctions.udf.CIQ(G$6,$F$2, $A56, $I$2, $I$3))),IF(G55=G$6,"",G55),_xll.ciqfunctions.udf.CIQ(G$6,$F$2, $A56, $I$2, $I$3)))</f>
        <v>188.58</v>
      </c>
      <c r="H56" s="1033" t="str">
        <f>IF(H$6="","",IF(NOT(ISNUMBER(_xll.ciqfunctions.udf.CIQ(H$6,$F$2, $A56, $I$2, $I$3))),IF(H55=H$6,"",H55),_xll.ciqfunctions.udf.CIQ(H$6,$F$2, $A56, $I$2, $I$3)))</f>
        <v/>
      </c>
      <c r="I56" s="1033" t="str">
        <f>IF(I$6="","",IF(NOT(ISNUMBER(_xll.ciqfunctions.udf.CIQ(I$6,$F$2, $A56, $I$2, $I$3))),IF(I55=I$6,"",I55),_xll.ciqfunctions.udf.CIQ(I$6,$F$2, $A56, $I$2, $I$3)))</f>
        <v/>
      </c>
      <c r="J56" s="1033" t="str">
        <f>IF(J$6="","",IF(NOT(ISNUMBER(_xll.ciqfunctions.udf.CIQ(J$6,$F$2, $A56, $I$2, $I$3))),IF(J55=J$6,"",J55),_xll.ciqfunctions.udf.CIQ(J$6,$F$2, $A56, $I$2, $I$3)))</f>
        <v/>
      </c>
      <c r="K56" s="1033" t="str">
        <f>IF(K$6="","",IF(NOT(ISNUMBER(_xll.ciqfunctions.udf.CIQ(K$6,$F$2, $A56, $I$2, $I$3))),IF(K55=K$6,"",K55),_xll.ciqfunctions.udf.CIQ(K$6,$F$2, $A56, $I$2, $I$3)))</f>
        <v/>
      </c>
      <c r="L56" s="254" t="str">
        <f>IF(L$6="","",IF(NOT(ISNUMBER(_xll.ciqfunctions.udf.CIQ(L$6,$F$2, $A56, $I$2, $I$3))),IF(L55=L$6,"",L55),_xll.ciqfunctions.udf.CIQ(L$6,$F$2, $A56, $I$2, $I$3)))</f>
        <v/>
      </c>
      <c r="M56" s="254" t="str">
        <f>IF(M$6="","",IF(NOT(ISNUMBER(_xll.ciqfunctions.udf.CIQ(M$6,$F$2, $A56, $I$2, $I$3))),IF(M55=M$6,"",M55),_xll.ciqfunctions.udf.CIQ(M$6,$F$2, $A56, $I$2, $I$3)))</f>
        <v/>
      </c>
      <c r="N56" s="254" t="str">
        <f>IF(N$6="","",IF(NOT(ISNUMBER(_xll.ciqfunctions.udf.CIQ(N$6,$F$2, $A56, $I$2, $I$3))),IF(N55=N$6,"",N55),_xll.ciqfunctions.udf.CIQ(N$6,$F$2, $A56, $I$2, $I$3)))</f>
        <v/>
      </c>
      <c r="O56" s="254" t="str">
        <f>IF(O$6="","",IF(NOT(ISNUMBER(_xll.ciqfunctions.udf.CIQ(O$6,$F$2, $A56, $I$2, $I$3))),IF(O55=O$6,"",O55),_xll.ciqfunctions.udf.CIQ(O$6,$F$2, $A56, $I$2, $I$3)))</f>
        <v/>
      </c>
      <c r="P56" s="254" t="str">
        <f>IF(P$6="","",IF(NOT(ISNUMBER(_xll.ciqfunctions.udf.CIQ(P$6,$F$2, $A56, $I$2, $I$3))),IF(P55=P$6,"",P55),_xll.ciqfunctions.udf.CIQ(P$6,$F$2, $A56, $I$2, $I$3)))</f>
        <v/>
      </c>
      <c r="Q56" s="254"/>
      <c r="R56" s="251">
        <f t="shared" si="16"/>
        <v>43168</v>
      </c>
      <c r="S56" s="255">
        <f t="shared" si="35"/>
        <v>0.23085460599334073</v>
      </c>
      <c r="T56" s="255">
        <f t="shared" si="36"/>
        <v>0.22612730253586122</v>
      </c>
      <c r="U56" s="255">
        <f t="shared" si="37"/>
        <v>0.16988637758003411</v>
      </c>
      <c r="V56" s="255">
        <f t="shared" si="52"/>
        <v>7.3183986965591696E-2</v>
      </c>
      <c r="W56" s="255">
        <f t="array" ref="W56">IFERROR(AVERAGE(IF(ISERROR(X56:AG56),"",X56:AG56)),"")</f>
        <v>0.12457510883177303</v>
      </c>
      <c r="X56" s="255">
        <f t="shared" si="53"/>
        <v>0.12457510883177303</v>
      </c>
      <c r="Y56" s="255" t="e">
        <f t="shared" si="54"/>
        <v>#N/A</v>
      </c>
      <c r="Z56" s="255" t="e">
        <f t="shared" si="55"/>
        <v>#N/A</v>
      </c>
      <c r="AA56" s="255" t="e">
        <f t="shared" si="56"/>
        <v>#N/A</v>
      </c>
      <c r="AB56" s="255" t="e">
        <f t="shared" si="57"/>
        <v>#N/A</v>
      </c>
      <c r="AC56" s="255" t="e">
        <f t="shared" si="58"/>
        <v>#N/A</v>
      </c>
      <c r="AD56" s="255" t="e">
        <f t="shared" si="59"/>
        <v>#N/A</v>
      </c>
      <c r="AE56" s="255" t="e">
        <f t="shared" si="60"/>
        <v>#N/A</v>
      </c>
      <c r="AF56" s="255" t="e">
        <f t="shared" si="61"/>
        <v>#N/A</v>
      </c>
      <c r="AG56" s="255" t="e">
        <f t="shared" si="62"/>
        <v>#N/A</v>
      </c>
      <c r="AI56" s="251">
        <f t="shared" si="27"/>
        <v>43168</v>
      </c>
      <c r="AJ56" s="718">
        <f>IF(OR($B56="No",AJ$6=""),"",IF(NOT(ISNUMBER(_xll.ciqfunctions.udf.CIQ(AJ$6,"IQ_TEV",$AI56,$I$2,$I$3))),"",_xll.ciqfunctions.udf.CIQ(AJ$6,"IQ_TEV",$AI56,$I$2,$I$3)))</f>
        <v>305506.52935000003</v>
      </c>
      <c r="AK56" s="718">
        <f>IF(OR($B56="No",AK$6=""),"",IF(NOT(ISNUMBER(_xll.ciqfunctions.udf.CIQ(AK$6,"IQ_TEV",$AI56,$I$2,$I$3))),"",_xll.ciqfunctions.udf.CIQ(AK$6,"IQ_TEV",$AI56,$I$2,$I$3)))</f>
        <v>83738.556140000001</v>
      </c>
      <c r="AL56" s="718" t="str">
        <f>IF(OR($B56="No",AL$6=""),"",IF(NOT(ISNUMBER(_xll.ciqfunctions.udf.CIQ(AL$6,"IQ_TEV",$AI56,$I$2,$I$3))),"",_xll.ciqfunctions.udf.CIQ(AL$6,"IQ_TEV",$AI56,$I$2,$I$3)))</f>
        <v/>
      </c>
      <c r="AM56" s="718" t="str">
        <f>IF(OR($B56="No",AM$6=""),"",IF(NOT(ISNUMBER(_xll.ciqfunctions.udf.CIQ(AM$6,"IQ_TEV",$AI56,$I$2,$I$3))),"",_xll.ciqfunctions.udf.CIQ(AM$6,"IQ_TEV",$AI56,$I$2,$I$3)))</f>
        <v/>
      </c>
      <c r="AN56" s="718" t="str">
        <f>IF(OR($B56="No",AN$6=""),"",IF(NOT(ISNUMBER(_xll.ciqfunctions.udf.CIQ(AN$6,"IQ_TEV",$AI56,$I$2,$I$3))),"",_xll.ciqfunctions.udf.CIQ(AN$6,"IQ_TEV",$AI56,$I$2,$I$3)))</f>
        <v/>
      </c>
      <c r="AO56" s="718" t="str">
        <f>IF(OR($B56="No",AO$6=""),"",IF(NOT(ISNUMBER(_xll.ciqfunctions.udf.CIQ(AO$6,"IQ_TEV",$AI56,$I$2,$I$3))),"",_xll.ciqfunctions.udf.CIQ(AO$6,"IQ_TEV",$AI56,$I$2,$I$3)))</f>
        <v/>
      </c>
      <c r="AP56" s="718" t="str">
        <f>IF(OR($B56="No",AP$6=""),"",IF(NOT(ISNUMBER(_xll.ciqfunctions.udf.CIQ(AP$6,"IQ_TEV",$AI56,$I$2,$I$3))),"",_xll.ciqfunctions.udf.CIQ(AP$6,"IQ_TEV",$AI56,$I$2,$I$3)))</f>
        <v/>
      </c>
      <c r="AQ56" s="718" t="str">
        <f>IF(OR($B56="No",AQ$6=""),"",IF(NOT(ISNUMBER(_xll.ciqfunctions.udf.CIQ(AQ$6,"IQ_TEV",$AI56,$I$2,$I$3))),"",_xll.ciqfunctions.udf.CIQ(AQ$6,"IQ_TEV",$AI56,$I$2,$I$3)))</f>
        <v/>
      </c>
      <c r="AR56" s="718" t="str">
        <f>IF(OR($B56="No",AR$6=""),"",IF(NOT(ISNUMBER(_xll.ciqfunctions.udf.CIQ(AR$6,"IQ_TEV",$AI56,$I$2,$I$3))),"",_xll.ciqfunctions.udf.CIQ(AR$6,"IQ_TEV",$AI56,$I$2,$I$3)))</f>
        <v/>
      </c>
      <c r="AS56" s="718" t="str">
        <f>IF(OR($B56="No",AS$6=""),"",IF(NOT(ISNUMBER(_xll.ciqfunctions.udf.CIQ(AS$6,"IQ_TEV",$AI56,$I$2,$I$3))),"",_xll.ciqfunctions.udf.CIQ(AS$6,"IQ_TEV",$AI56,$I$2,$I$3)))</f>
        <v/>
      </c>
      <c r="AT56" s="718" t="str">
        <f>IF(OR($B56="No",AT$6=""),"",IF(NOT(ISNUMBER(_xll.ciqfunctions.udf.CIQ(AT$6,"IQ_TEV",$AI56,$I$2,$I$3))),"",_xll.ciqfunctions.udf.CIQ(AT$6,"IQ_TEV",$AI56,$I$2,$I$3)))</f>
        <v/>
      </c>
      <c r="AV56" s="251">
        <f t="shared" si="39"/>
        <v>43168</v>
      </c>
      <c r="AW56" s="719">
        <f t="shared" si="40"/>
        <v>0.17026620551039229</v>
      </c>
      <c r="AX56" s="719">
        <f t="shared" si="41"/>
        <v>0.14734164345447454</v>
      </c>
      <c r="AY56" s="719" t="e">
        <f t="shared" si="42"/>
        <v>#N/A</v>
      </c>
      <c r="AZ56" s="719" t="e">
        <f t="shared" si="43"/>
        <v>#N/A</v>
      </c>
      <c r="BA56" s="719" t="e">
        <f t="shared" si="44"/>
        <v>#N/A</v>
      </c>
      <c r="BB56" s="719" t="e">
        <f t="shared" si="45"/>
        <v>#N/A</v>
      </c>
      <c r="BC56" s="719" t="e">
        <f t="shared" si="46"/>
        <v>#N/A</v>
      </c>
      <c r="BD56" s="719" t="e">
        <f t="shared" si="47"/>
        <v>#N/A</v>
      </c>
      <c r="BE56" s="719" t="e">
        <f t="shared" si="48"/>
        <v>#N/A</v>
      </c>
      <c r="BF56" s="719" t="e">
        <f t="shared" si="49"/>
        <v>#N/A</v>
      </c>
      <c r="BG56" s="719" t="e">
        <f t="shared" si="50"/>
        <v>#N/A</v>
      </c>
    </row>
    <row r="57" spans="1:59" ht="15" customHeight="1" x14ac:dyDescent="0.2">
      <c r="A57" s="251">
        <f t="shared" si="15"/>
        <v>43175</v>
      </c>
      <c r="B57" s="253" t="str">
        <f t="shared" si="51"/>
        <v>Yes</v>
      </c>
      <c r="C57" s="1033">
        <f>IF(C$6="","",IF(NOT(ISNUMBER(_xll.ciqfunctions.udf.CIQ(C$6,$F$2, $A57, $I$2, $I$3))),IF(C56=C$6,"",C56),_xll.ciqfunctions.udf.CIQ(C$6,$F$2, $A57, $I$2, $I$3)))</f>
        <v>89.17</v>
      </c>
      <c r="D57" s="1033">
        <f>IF(D$6="","",IF(NOT(ISNUMBER(_xll.ciqfunctions.udf.CIQ(D$6,$F$2, $A57, $I$2, $I$3))),IF(D56=D$6,"",D56),_xll.ciqfunctions.udf.CIQ(D$6,$F$2, $A57, $I$2, $I$3)))</f>
        <v>24946.50549</v>
      </c>
      <c r="E57" s="1033">
        <f>IF(E$6="","",IF(NOT(ISNUMBER(_xll.ciqfunctions.udf.CIQ(E$6,$F$2, $A57, $I$2, $I$3))),IF(E56=E$6,"",E56),_xll.ciqfunctions.udf.CIQ(E$6,$F$2, $A57, $I$2, $I$3)))</f>
        <v>8316.8823100000009</v>
      </c>
      <c r="F57" s="1033">
        <f>IF(F$6="","",IF(NOT(ISNUMBER(_xll.ciqfunctions.udf.CIQ(F$6,$F$2, $A57, $I$2, $I$3))),IF(F56=F$6,"",F56),_xll.ciqfunctions.udf.CIQ(F$6,$F$2, $A57, $I$2, $I$3)))</f>
        <v>4649.7721199999996</v>
      </c>
      <c r="G57" s="1033">
        <f>IF(G$6="","",IF(NOT(ISNUMBER(_xll.ciqfunctions.udf.CIQ(G$6,$F$2, $A57, $I$2, $I$3))),IF(G56=G$6,"",G56),_xll.ciqfunctions.udf.CIQ(G$6,$F$2, $A57, $I$2, $I$3)))</f>
        <v>185.87</v>
      </c>
      <c r="H57" s="1033" t="str">
        <f>IF(H$6="","",IF(NOT(ISNUMBER(_xll.ciqfunctions.udf.CIQ(H$6,$F$2, $A57, $I$2, $I$3))),IF(H56=H$6,"",H56),_xll.ciqfunctions.udf.CIQ(H$6,$F$2, $A57, $I$2, $I$3)))</f>
        <v/>
      </c>
      <c r="I57" s="1033" t="str">
        <f>IF(I$6="","",IF(NOT(ISNUMBER(_xll.ciqfunctions.udf.CIQ(I$6,$F$2, $A57, $I$2, $I$3))),IF(I56=I$6,"",I56),_xll.ciqfunctions.udf.CIQ(I$6,$F$2, $A57, $I$2, $I$3)))</f>
        <v/>
      </c>
      <c r="J57" s="1033" t="str">
        <f>IF(J$6="","",IF(NOT(ISNUMBER(_xll.ciqfunctions.udf.CIQ(J$6,$F$2, $A57, $I$2, $I$3))),IF(J56=J$6,"",J56),_xll.ciqfunctions.udf.CIQ(J$6,$F$2, $A57, $I$2, $I$3)))</f>
        <v/>
      </c>
      <c r="K57" s="1033" t="str">
        <f>IF(K$6="","",IF(NOT(ISNUMBER(_xll.ciqfunctions.udf.CIQ(K$6,$F$2, $A57, $I$2, $I$3))),IF(K56=K$6,"",K56),_xll.ciqfunctions.udf.CIQ(K$6,$F$2, $A57, $I$2, $I$3)))</f>
        <v/>
      </c>
      <c r="L57" s="254" t="str">
        <f>IF(L$6="","",IF(NOT(ISNUMBER(_xll.ciqfunctions.udf.CIQ(L$6,$F$2, $A57, $I$2, $I$3))),IF(L56=L$6,"",L56),_xll.ciqfunctions.udf.CIQ(L$6,$F$2, $A57, $I$2, $I$3)))</f>
        <v/>
      </c>
      <c r="M57" s="254" t="str">
        <f>IF(M$6="","",IF(NOT(ISNUMBER(_xll.ciqfunctions.udf.CIQ(M$6,$F$2, $A57, $I$2, $I$3))),IF(M56=M$6,"",M56),_xll.ciqfunctions.udf.CIQ(M$6,$F$2, $A57, $I$2, $I$3)))</f>
        <v/>
      </c>
      <c r="N57" s="254" t="str">
        <f>IF(N$6="","",IF(NOT(ISNUMBER(_xll.ciqfunctions.udf.CIQ(N$6,$F$2, $A57, $I$2, $I$3))),IF(N56=N$6,"",N56),_xll.ciqfunctions.udf.CIQ(N$6,$F$2, $A57, $I$2, $I$3)))</f>
        <v/>
      </c>
      <c r="O57" s="254" t="str">
        <f>IF(O$6="","",IF(NOT(ISNUMBER(_xll.ciqfunctions.udf.CIQ(O$6,$F$2, $A57, $I$2, $I$3))),IF(O56=O$6,"",O56),_xll.ciqfunctions.udf.CIQ(O$6,$F$2, $A57, $I$2, $I$3)))</f>
        <v/>
      </c>
      <c r="P57" s="254" t="str">
        <f>IF(P$6="","",IF(NOT(ISNUMBER(_xll.ciqfunctions.udf.CIQ(P$6,$F$2, $A57, $I$2, $I$3))),IF(P56=P$6,"",P56),_xll.ciqfunctions.udf.CIQ(P$6,$F$2, $A57, $I$2, $I$3)))</f>
        <v/>
      </c>
      <c r="Q57" s="254"/>
      <c r="R57" s="251">
        <f t="shared" si="16"/>
        <v>43175</v>
      </c>
      <c r="S57" s="255">
        <f t="shared" si="35"/>
        <v>0.23709766925638176</v>
      </c>
      <c r="T57" s="255">
        <f t="shared" si="36"/>
        <v>0.20729025825947378</v>
      </c>
      <c r="U57" s="255">
        <f t="shared" si="37"/>
        <v>0.16225410031601695</v>
      </c>
      <c r="V57" s="255">
        <f t="shared" si="52"/>
        <v>5.9237507757159191E-2</v>
      </c>
      <c r="W57" s="255">
        <f t="array" ref="W57">IFERROR(AVERAGE(IF(ISERROR(X57:AG57),"",X57:AG57)),"")</f>
        <v>0.1084143359771006</v>
      </c>
      <c r="X57" s="255">
        <f t="shared" si="53"/>
        <v>0.1084143359771006</v>
      </c>
      <c r="Y57" s="255" t="e">
        <f t="shared" si="54"/>
        <v>#N/A</v>
      </c>
      <c r="Z57" s="255" t="e">
        <f t="shared" si="55"/>
        <v>#N/A</v>
      </c>
      <c r="AA57" s="255" t="e">
        <f t="shared" si="56"/>
        <v>#N/A</v>
      </c>
      <c r="AB57" s="255" t="e">
        <f t="shared" si="57"/>
        <v>#N/A</v>
      </c>
      <c r="AC57" s="255" t="e">
        <f t="shared" si="58"/>
        <v>#N/A</v>
      </c>
      <c r="AD57" s="255" t="e">
        <f t="shared" si="59"/>
        <v>#N/A</v>
      </c>
      <c r="AE57" s="255" t="e">
        <f t="shared" si="60"/>
        <v>#N/A</v>
      </c>
      <c r="AF57" s="255" t="e">
        <f t="shared" si="61"/>
        <v>#N/A</v>
      </c>
      <c r="AG57" s="255" t="e">
        <f t="shared" si="62"/>
        <v>#N/A</v>
      </c>
      <c r="AI57" s="251">
        <f t="shared" si="27"/>
        <v>43175</v>
      </c>
      <c r="AJ57" s="718">
        <f>IF(OR($B57="No",AJ$6=""),"",IF(NOT(ISNUMBER(_xll.ciqfunctions.udf.CIQ(AJ$6,"IQ_TEV",$AI57,$I$2,$I$3))),"",_xll.ciqfunctions.udf.CIQ(AJ$6,"IQ_TEV",$AI57,$I$2,$I$3)))</f>
        <v>306839.60125000001</v>
      </c>
      <c r="AK57" s="718">
        <f>IF(OR($B57="No",AK$6=""),"",IF(NOT(ISNUMBER(_xll.ciqfunctions.udf.CIQ(AK$6,"IQ_TEV",$AI57,$I$2,$I$3))),"",_xll.ciqfunctions.udf.CIQ(AK$6,"IQ_TEV",$AI57,$I$2,$I$3)))</f>
        <v>82537.523960000006</v>
      </c>
      <c r="AL57" s="718" t="str">
        <f>IF(OR($B57="No",AL$6=""),"",IF(NOT(ISNUMBER(_xll.ciqfunctions.udf.CIQ(AL$6,"IQ_TEV",$AI57,$I$2,$I$3))),"",_xll.ciqfunctions.udf.CIQ(AL$6,"IQ_TEV",$AI57,$I$2,$I$3)))</f>
        <v/>
      </c>
      <c r="AM57" s="718" t="str">
        <f>IF(OR($B57="No",AM$6=""),"",IF(NOT(ISNUMBER(_xll.ciqfunctions.udf.CIQ(AM$6,"IQ_TEV",$AI57,$I$2,$I$3))),"",_xll.ciqfunctions.udf.CIQ(AM$6,"IQ_TEV",$AI57,$I$2,$I$3)))</f>
        <v/>
      </c>
      <c r="AN57" s="718" t="str">
        <f>IF(OR($B57="No",AN$6=""),"",IF(NOT(ISNUMBER(_xll.ciqfunctions.udf.CIQ(AN$6,"IQ_TEV",$AI57,$I$2,$I$3))),"",_xll.ciqfunctions.udf.CIQ(AN$6,"IQ_TEV",$AI57,$I$2,$I$3)))</f>
        <v/>
      </c>
      <c r="AO57" s="718" t="str">
        <f>IF(OR($B57="No",AO$6=""),"",IF(NOT(ISNUMBER(_xll.ciqfunctions.udf.CIQ(AO$6,"IQ_TEV",$AI57,$I$2,$I$3))),"",_xll.ciqfunctions.udf.CIQ(AO$6,"IQ_TEV",$AI57,$I$2,$I$3)))</f>
        <v/>
      </c>
      <c r="AP57" s="718" t="str">
        <f>IF(OR($B57="No",AP$6=""),"",IF(NOT(ISNUMBER(_xll.ciqfunctions.udf.CIQ(AP$6,"IQ_TEV",$AI57,$I$2,$I$3))),"",_xll.ciqfunctions.udf.CIQ(AP$6,"IQ_TEV",$AI57,$I$2,$I$3)))</f>
        <v/>
      </c>
      <c r="AQ57" s="718" t="str">
        <f>IF(OR($B57="No",AQ$6=""),"",IF(NOT(ISNUMBER(_xll.ciqfunctions.udf.CIQ(AQ$6,"IQ_TEV",$AI57,$I$2,$I$3))),"",_xll.ciqfunctions.udf.CIQ(AQ$6,"IQ_TEV",$AI57,$I$2,$I$3)))</f>
        <v/>
      </c>
      <c r="AR57" s="718" t="str">
        <f>IF(OR($B57="No",AR$6=""),"",IF(NOT(ISNUMBER(_xll.ciqfunctions.udf.CIQ(AR$6,"IQ_TEV",$AI57,$I$2,$I$3))),"",_xll.ciqfunctions.udf.CIQ(AR$6,"IQ_TEV",$AI57,$I$2,$I$3)))</f>
        <v/>
      </c>
      <c r="AS57" s="718" t="str">
        <f>IF(OR($B57="No",AS$6=""),"",IF(NOT(ISNUMBER(_xll.ciqfunctions.udf.CIQ(AS$6,"IQ_TEV",$AI57,$I$2,$I$3))),"",_xll.ciqfunctions.udf.CIQ(AS$6,"IQ_TEV",$AI57,$I$2,$I$3)))</f>
        <v/>
      </c>
      <c r="AT57" s="718" t="str">
        <f>IF(OR($B57="No",AT$6=""),"",IF(NOT(ISNUMBER(_xll.ciqfunctions.udf.CIQ(AT$6,"IQ_TEV",$AI57,$I$2,$I$3))),"",_xll.ciqfunctions.udf.CIQ(AT$6,"IQ_TEV",$AI57,$I$2,$I$3)))</f>
        <v/>
      </c>
      <c r="AV57" s="251">
        <f t="shared" si="39"/>
        <v>43175</v>
      </c>
      <c r="AW57" s="719">
        <f t="shared" si="40"/>
        <v>0.1753726397244324</v>
      </c>
      <c r="AX57" s="719">
        <f t="shared" si="41"/>
        <v>0.13088573235733225</v>
      </c>
      <c r="AY57" s="719" t="e">
        <f t="shared" si="42"/>
        <v>#N/A</v>
      </c>
      <c r="AZ57" s="719" t="e">
        <f t="shared" si="43"/>
        <v>#N/A</v>
      </c>
      <c r="BA57" s="719" t="e">
        <f t="shared" si="44"/>
        <v>#N/A</v>
      </c>
      <c r="BB57" s="719" t="e">
        <f t="shared" si="45"/>
        <v>#N/A</v>
      </c>
      <c r="BC57" s="719" t="e">
        <f t="shared" si="46"/>
        <v>#N/A</v>
      </c>
      <c r="BD57" s="719" t="e">
        <f t="shared" si="47"/>
        <v>#N/A</v>
      </c>
      <c r="BE57" s="719" t="e">
        <f t="shared" si="48"/>
        <v>#N/A</v>
      </c>
      <c r="BF57" s="719" t="e">
        <f t="shared" si="49"/>
        <v>#N/A</v>
      </c>
      <c r="BG57" s="719" t="e">
        <f t="shared" si="50"/>
        <v>#N/A</v>
      </c>
    </row>
    <row r="58" spans="1:59" ht="15" customHeight="1" x14ac:dyDescent="0.2">
      <c r="A58" s="251">
        <f t="shared" si="15"/>
        <v>43182</v>
      </c>
      <c r="B58" s="253" t="str">
        <f t="shared" si="51"/>
        <v>Yes</v>
      </c>
      <c r="C58" s="1033">
        <f>IF(C$6="","",IF(NOT(ISNUMBER(_xll.ciqfunctions.udf.CIQ(C$6,$F$2, $A58, $I$2, $I$3))),IF(C57=C$6,"",C57),_xll.ciqfunctions.udf.CIQ(C$6,$F$2, $A58, $I$2, $I$3)))</f>
        <v>85.42</v>
      </c>
      <c r="D58" s="1033">
        <f>IF(D$6="","",IF(NOT(ISNUMBER(_xll.ciqfunctions.udf.CIQ(D$6,$F$2, $A58, $I$2, $I$3))),IF(D57=D$6,"",D57),_xll.ciqfunctions.udf.CIQ(D$6,$F$2, $A58, $I$2, $I$3)))</f>
        <v>23533.199769999999</v>
      </c>
      <c r="E58" s="1033">
        <f>IF(E$6="","",IF(NOT(ISNUMBER(_xll.ciqfunctions.udf.CIQ(E$6,$F$2, $A58, $I$2, $I$3))),IF(E57=E$6,"",E57),_xll.ciqfunctions.udf.CIQ(E$6,$F$2, $A58, $I$2, $I$3)))</f>
        <v>7899.6029500000004</v>
      </c>
      <c r="F58" s="1033">
        <f>IF(F$6="","",IF(NOT(ISNUMBER(_xll.ciqfunctions.udf.CIQ(F$6,$F$2, $A58, $I$2, $I$3))),IF(F57=F$6,"",F57),_xll.ciqfunctions.udf.CIQ(F$6,$F$2, $A58, $I$2, $I$3)))</f>
        <v>4458.1326399999998</v>
      </c>
      <c r="G58" s="1033">
        <f>IF(G$6="","",IF(NOT(ISNUMBER(_xll.ciqfunctions.udf.CIQ(G$6,$F$2, $A58, $I$2, $I$3))),IF(G57=G$6,"",G57),_xll.ciqfunctions.udf.CIQ(G$6,$F$2, $A58, $I$2, $I$3)))</f>
        <v>180.84</v>
      </c>
      <c r="H58" s="1033" t="str">
        <f>IF(H$6="","",IF(NOT(ISNUMBER(_xll.ciqfunctions.udf.CIQ(H$6,$F$2, $A58, $I$2, $I$3))),IF(H57=H$6,"",H57),_xll.ciqfunctions.udf.CIQ(H$6,$F$2, $A58, $I$2, $I$3)))</f>
        <v/>
      </c>
      <c r="I58" s="1033" t="str">
        <f>IF(I$6="","",IF(NOT(ISNUMBER(_xll.ciqfunctions.udf.CIQ(I$6,$F$2, $A58, $I$2, $I$3))),IF(I57=I$6,"",I57),_xll.ciqfunctions.udf.CIQ(I$6,$F$2, $A58, $I$2, $I$3)))</f>
        <v/>
      </c>
      <c r="J58" s="1033" t="str">
        <f>IF(J$6="","",IF(NOT(ISNUMBER(_xll.ciqfunctions.udf.CIQ(J$6,$F$2, $A58, $I$2, $I$3))),IF(J57=J$6,"",J57),_xll.ciqfunctions.udf.CIQ(J$6,$F$2, $A58, $I$2, $I$3)))</f>
        <v/>
      </c>
      <c r="K58" s="1033" t="str">
        <f>IF(K$6="","",IF(NOT(ISNUMBER(_xll.ciqfunctions.udf.CIQ(K$6,$F$2, $A58, $I$2, $I$3))),IF(K57=K$6,"",K57),_xll.ciqfunctions.udf.CIQ(K$6,$F$2, $A58, $I$2, $I$3)))</f>
        <v/>
      </c>
      <c r="L58" s="254" t="str">
        <f>IF(L$6="","",IF(NOT(ISNUMBER(_xll.ciqfunctions.udf.CIQ(L$6,$F$2, $A58, $I$2, $I$3))),IF(L57=L$6,"",L57),_xll.ciqfunctions.udf.CIQ(L$6,$F$2, $A58, $I$2, $I$3)))</f>
        <v/>
      </c>
      <c r="M58" s="254" t="str">
        <f>IF(M$6="","",IF(NOT(ISNUMBER(_xll.ciqfunctions.udf.CIQ(M$6,$F$2, $A58, $I$2, $I$3))),IF(M57=M$6,"",M57),_xll.ciqfunctions.udf.CIQ(M$6,$F$2, $A58, $I$2, $I$3)))</f>
        <v/>
      </c>
      <c r="N58" s="254" t="str">
        <f>IF(N$6="","",IF(NOT(ISNUMBER(_xll.ciqfunctions.udf.CIQ(N$6,$F$2, $A58, $I$2, $I$3))),IF(N57=N$6,"",N57),_xll.ciqfunctions.udf.CIQ(N$6,$F$2, $A58, $I$2, $I$3)))</f>
        <v/>
      </c>
      <c r="O58" s="254" t="str">
        <f>IF(O$6="","",IF(NOT(ISNUMBER(_xll.ciqfunctions.udf.CIQ(O$6,$F$2, $A58, $I$2, $I$3))),IF(O57=O$6,"",O57),_xll.ciqfunctions.udf.CIQ(O$6,$F$2, $A58, $I$2, $I$3)))</f>
        <v/>
      </c>
      <c r="P58" s="254" t="str">
        <f>IF(P$6="","",IF(NOT(ISNUMBER(_xll.ciqfunctions.udf.CIQ(P$6,$F$2, $A58, $I$2, $I$3))),IF(P57=P$6,"",P57),_xll.ciqfunctions.udf.CIQ(P$6,$F$2, $A58, $I$2, $I$3)))</f>
        <v/>
      </c>
      <c r="Q58" s="254"/>
      <c r="R58" s="251">
        <f t="shared" si="16"/>
        <v>43182</v>
      </c>
      <c r="S58" s="255">
        <f t="shared" si="35"/>
        <v>0.18507214206437306</v>
      </c>
      <c r="T58" s="255">
        <f t="shared" si="36"/>
        <v>0.13889309424055485</v>
      </c>
      <c r="U58" s="255">
        <f t="shared" si="37"/>
        <v>0.10394082509338798</v>
      </c>
      <c r="V58" s="255">
        <f t="shared" si="52"/>
        <v>1.5581233870111566E-2</v>
      </c>
      <c r="W58" s="255">
        <f t="array" ref="W58">IFERROR(AVERAGE(IF(ISERROR(X58:AG58),"",X58:AG58)),"")</f>
        <v>7.8418510346472736E-2</v>
      </c>
      <c r="X58" s="255">
        <f t="shared" si="53"/>
        <v>7.8418510346472736E-2</v>
      </c>
      <c r="Y58" s="255" t="e">
        <f t="shared" si="54"/>
        <v>#N/A</v>
      </c>
      <c r="Z58" s="255" t="e">
        <f t="shared" si="55"/>
        <v>#N/A</v>
      </c>
      <c r="AA58" s="255" t="e">
        <f t="shared" si="56"/>
        <v>#N/A</v>
      </c>
      <c r="AB58" s="255" t="e">
        <f t="shared" si="57"/>
        <v>#N/A</v>
      </c>
      <c r="AC58" s="255" t="e">
        <f t="shared" si="58"/>
        <v>#N/A</v>
      </c>
      <c r="AD58" s="255" t="e">
        <f t="shared" si="59"/>
        <v>#N/A</v>
      </c>
      <c r="AE58" s="255" t="e">
        <f t="shared" si="60"/>
        <v>#N/A</v>
      </c>
      <c r="AF58" s="255" t="e">
        <f t="shared" si="61"/>
        <v>#N/A</v>
      </c>
      <c r="AG58" s="255" t="e">
        <f t="shared" si="62"/>
        <v>#N/A</v>
      </c>
      <c r="AI58" s="251">
        <f t="shared" si="27"/>
        <v>43182</v>
      </c>
      <c r="AJ58" s="718">
        <f>IF(OR($B58="No",AJ$6=""),"",IF(NOT(ISNUMBER(_xll.ciqfunctions.udf.CIQ(AJ$6,"IQ_TEV",$AI58,$I$2,$I$3))),"",_xll.ciqfunctions.udf.CIQ(AJ$6,"IQ_TEV",$AI58,$I$2,$I$3)))</f>
        <v>295730.66882000002</v>
      </c>
      <c r="AK58" s="718">
        <f>IF(OR($B58="No",AK$6=""),"",IF(NOT(ISNUMBER(_xll.ciqfunctions.udf.CIQ(AK$6,"IQ_TEV",$AI58,$I$2,$I$3))),"",_xll.ciqfunctions.udf.CIQ(AK$6,"IQ_TEV",$AI58,$I$2,$I$3)))</f>
        <v>80330.257989999998</v>
      </c>
      <c r="AL58" s="718" t="str">
        <f>IF(OR($B58="No",AL$6=""),"",IF(NOT(ISNUMBER(_xll.ciqfunctions.udf.CIQ(AL$6,"IQ_TEV",$AI58,$I$2,$I$3))),"",_xll.ciqfunctions.udf.CIQ(AL$6,"IQ_TEV",$AI58,$I$2,$I$3)))</f>
        <v/>
      </c>
      <c r="AM58" s="718" t="str">
        <f>IF(OR($B58="No",AM$6=""),"",IF(NOT(ISNUMBER(_xll.ciqfunctions.udf.CIQ(AM$6,"IQ_TEV",$AI58,$I$2,$I$3))),"",_xll.ciqfunctions.udf.CIQ(AM$6,"IQ_TEV",$AI58,$I$2,$I$3)))</f>
        <v/>
      </c>
      <c r="AN58" s="718" t="str">
        <f>IF(OR($B58="No",AN$6=""),"",IF(NOT(ISNUMBER(_xll.ciqfunctions.udf.CIQ(AN$6,"IQ_TEV",$AI58,$I$2,$I$3))),"",_xll.ciqfunctions.udf.CIQ(AN$6,"IQ_TEV",$AI58,$I$2,$I$3)))</f>
        <v/>
      </c>
      <c r="AO58" s="718" t="str">
        <f>IF(OR($B58="No",AO$6=""),"",IF(NOT(ISNUMBER(_xll.ciqfunctions.udf.CIQ(AO$6,"IQ_TEV",$AI58,$I$2,$I$3))),"",_xll.ciqfunctions.udf.CIQ(AO$6,"IQ_TEV",$AI58,$I$2,$I$3)))</f>
        <v/>
      </c>
      <c r="AP58" s="718" t="str">
        <f>IF(OR($B58="No",AP$6=""),"",IF(NOT(ISNUMBER(_xll.ciqfunctions.udf.CIQ(AP$6,"IQ_TEV",$AI58,$I$2,$I$3))),"",_xll.ciqfunctions.udf.CIQ(AP$6,"IQ_TEV",$AI58,$I$2,$I$3)))</f>
        <v/>
      </c>
      <c r="AQ58" s="718" t="str">
        <f>IF(OR($B58="No",AQ$6=""),"",IF(NOT(ISNUMBER(_xll.ciqfunctions.udf.CIQ(AQ$6,"IQ_TEV",$AI58,$I$2,$I$3))),"",_xll.ciqfunctions.udf.CIQ(AQ$6,"IQ_TEV",$AI58,$I$2,$I$3)))</f>
        <v/>
      </c>
      <c r="AR58" s="718" t="str">
        <f>IF(OR($B58="No",AR$6=""),"",IF(NOT(ISNUMBER(_xll.ciqfunctions.udf.CIQ(AR$6,"IQ_TEV",$AI58,$I$2,$I$3))),"",_xll.ciqfunctions.udf.CIQ(AR$6,"IQ_TEV",$AI58,$I$2,$I$3)))</f>
        <v/>
      </c>
      <c r="AS58" s="718" t="str">
        <f>IF(OR($B58="No",AS$6=""),"",IF(NOT(ISNUMBER(_xll.ciqfunctions.udf.CIQ(AS$6,"IQ_TEV",$AI58,$I$2,$I$3))),"",_xll.ciqfunctions.udf.CIQ(AS$6,"IQ_TEV",$AI58,$I$2,$I$3)))</f>
        <v/>
      </c>
      <c r="AT58" s="718" t="str">
        <f>IF(OR($B58="No",AT$6=""),"",IF(NOT(ISNUMBER(_xll.ciqfunctions.udf.CIQ(AT$6,"IQ_TEV",$AI58,$I$2,$I$3))),"",_xll.ciqfunctions.udf.CIQ(AT$6,"IQ_TEV",$AI58,$I$2,$I$3)))</f>
        <v/>
      </c>
      <c r="AV58" s="251">
        <f t="shared" si="39"/>
        <v>43182</v>
      </c>
      <c r="AW58" s="719">
        <f t="shared" si="40"/>
        <v>0.13281902154223757</v>
      </c>
      <c r="AX58" s="719">
        <f t="shared" si="41"/>
        <v>0.10064293522422951</v>
      </c>
      <c r="AY58" s="719" t="e">
        <f t="shared" si="42"/>
        <v>#N/A</v>
      </c>
      <c r="AZ58" s="719" t="e">
        <f t="shared" si="43"/>
        <v>#N/A</v>
      </c>
      <c r="BA58" s="719" t="e">
        <f t="shared" si="44"/>
        <v>#N/A</v>
      </c>
      <c r="BB58" s="719" t="e">
        <f t="shared" si="45"/>
        <v>#N/A</v>
      </c>
      <c r="BC58" s="719" t="e">
        <f t="shared" si="46"/>
        <v>#N/A</v>
      </c>
      <c r="BD58" s="719" t="e">
        <f t="shared" si="47"/>
        <v>#N/A</v>
      </c>
      <c r="BE58" s="719" t="e">
        <f t="shared" si="48"/>
        <v>#N/A</v>
      </c>
      <c r="BF58" s="719" t="e">
        <f t="shared" si="49"/>
        <v>#N/A</v>
      </c>
      <c r="BG58" s="719" t="e">
        <f t="shared" si="50"/>
        <v>#N/A</v>
      </c>
    </row>
    <row r="59" spans="1:59" ht="15" customHeight="1" x14ac:dyDescent="0.2">
      <c r="A59" s="251">
        <f t="shared" si="15"/>
        <v>43189</v>
      </c>
      <c r="B59" s="253" t="str">
        <f t="shared" si="51"/>
        <v>Yes</v>
      </c>
      <c r="C59" s="1033">
        <f>IF(C$6="","",IF(NOT(ISNUMBER(_xll.ciqfunctions.udf.CIQ(C$6,$F$2, $A59, $I$2, $I$3))),IF(C58=C$6,"",C58),_xll.ciqfunctions.udf.CIQ(C$6,$F$2, $A59, $I$2, $I$3)))</f>
        <v>88.97</v>
      </c>
      <c r="D59" s="1033">
        <f>IF(D$6="","",IF(NOT(ISNUMBER(_xll.ciqfunctions.udf.CIQ(D$6,$F$2, $A59, $I$2, $I$3))),IF(D58=D$6,"",D58),_xll.ciqfunctions.udf.CIQ(D$6,$F$2, $A59, $I$2, $I$3)))</f>
        <v>24103.107759999999</v>
      </c>
      <c r="E59" s="1033">
        <f>IF(E$6="","",IF(NOT(ISNUMBER(_xll.ciqfunctions.udf.CIQ(E$6,$F$2, $A59, $I$2, $I$3))),IF(E58=E$6,"",E58),_xll.ciqfunctions.udf.CIQ(E$6,$F$2, $A59, $I$2, $I$3)))</f>
        <v>8092.5261200000004</v>
      </c>
      <c r="F59" s="1033">
        <f>IF(F$6="","",IF(NOT(ISNUMBER(_xll.ciqfunctions.udf.CIQ(F$6,$F$2, $A59, $I$2, $I$3))),IF(F58=F$6,"",F58),_xll.ciqfunctions.udf.CIQ(F$6,$F$2, $A59, $I$2, $I$3)))</f>
        <v>4601.0878199999997</v>
      </c>
      <c r="G59" s="1033">
        <f>IF(G$6="","",IF(NOT(ISNUMBER(_xll.ciqfunctions.udf.CIQ(G$6,$F$2, $A59, $I$2, $I$3))),IF(G58=G$6,"",G58),_xll.ciqfunctions.udf.CIQ(G$6,$F$2, $A59, $I$2, $I$3)))</f>
        <v>188.43</v>
      </c>
      <c r="H59" s="1033" t="str">
        <f>IF(H$6="","",IF(NOT(ISNUMBER(_xll.ciqfunctions.udf.CIQ(H$6,$F$2, $A59, $I$2, $I$3))),IF(H58=H$6,"",H58),_xll.ciqfunctions.udf.CIQ(H$6,$F$2, $A59, $I$2, $I$3)))</f>
        <v/>
      </c>
      <c r="I59" s="1033" t="str">
        <f>IF(I$6="","",IF(NOT(ISNUMBER(_xll.ciqfunctions.udf.CIQ(I$6,$F$2, $A59, $I$2, $I$3))),IF(I58=I$6,"",I58),_xll.ciqfunctions.udf.CIQ(I$6,$F$2, $A59, $I$2, $I$3)))</f>
        <v/>
      </c>
      <c r="J59" s="1033" t="str">
        <f>IF(J$6="","",IF(NOT(ISNUMBER(_xll.ciqfunctions.udf.CIQ(J$6,$F$2, $A59, $I$2, $I$3))),IF(J58=J$6,"",J58),_xll.ciqfunctions.udf.CIQ(J$6,$F$2, $A59, $I$2, $I$3)))</f>
        <v/>
      </c>
      <c r="K59" s="1033" t="str">
        <f>IF(K$6="","",IF(NOT(ISNUMBER(_xll.ciqfunctions.udf.CIQ(K$6,$F$2, $A59, $I$2, $I$3))),IF(K58=K$6,"",K58),_xll.ciqfunctions.udf.CIQ(K$6,$F$2, $A59, $I$2, $I$3)))</f>
        <v/>
      </c>
      <c r="L59" s="254" t="str">
        <f>IF(L$6="","",IF(NOT(ISNUMBER(_xll.ciqfunctions.udf.CIQ(L$6,$F$2, $A59, $I$2, $I$3))),IF(L58=L$6,"",L58),_xll.ciqfunctions.udf.CIQ(L$6,$F$2, $A59, $I$2, $I$3)))</f>
        <v/>
      </c>
      <c r="M59" s="254" t="str">
        <f>IF(M$6="","",IF(NOT(ISNUMBER(_xll.ciqfunctions.udf.CIQ(M$6,$F$2, $A59, $I$2, $I$3))),IF(M58=M$6,"",M58),_xll.ciqfunctions.udf.CIQ(M$6,$F$2, $A59, $I$2, $I$3)))</f>
        <v/>
      </c>
      <c r="N59" s="254" t="str">
        <f>IF(N$6="","",IF(NOT(ISNUMBER(_xll.ciqfunctions.udf.CIQ(N$6,$F$2, $A59, $I$2, $I$3))),IF(N58=N$6,"",N58),_xll.ciqfunctions.udf.CIQ(N$6,$F$2, $A59, $I$2, $I$3)))</f>
        <v/>
      </c>
      <c r="O59" s="254" t="str">
        <f>IF(O$6="","",IF(NOT(ISNUMBER(_xll.ciqfunctions.udf.CIQ(O$6,$F$2, $A59, $I$2, $I$3))),IF(O58=O$6,"",O58),_xll.ciqfunctions.udf.CIQ(O$6,$F$2, $A59, $I$2, $I$3)))</f>
        <v/>
      </c>
      <c r="P59" s="254" t="str">
        <f>IF(P$6="","",IF(NOT(ISNUMBER(_xll.ciqfunctions.udf.CIQ(P$6,$F$2, $A59, $I$2, $I$3))),IF(P58=P$6,"",P58),_xll.ciqfunctions.udf.CIQ(P$6,$F$2, $A59, $I$2, $I$3)))</f>
        <v/>
      </c>
      <c r="Q59" s="254"/>
      <c r="R59" s="251">
        <f t="shared" si="16"/>
        <v>43189</v>
      </c>
      <c r="S59" s="255">
        <f t="shared" si="35"/>
        <v>0.23432297447280792</v>
      </c>
      <c r="T59" s="255">
        <f t="shared" si="36"/>
        <v>0.16647388565468879</v>
      </c>
      <c r="U59" s="255">
        <f t="shared" si="37"/>
        <v>0.130901137506233</v>
      </c>
      <c r="V59" s="255">
        <f t="shared" si="52"/>
        <v>4.8147020897149062E-2</v>
      </c>
      <c r="W59" s="255">
        <f t="array" ref="W59">IFERROR(AVERAGE(IF(ISERROR(X59:AG59),"",X59:AG59)),"")</f>
        <v>0.12368060110918955</v>
      </c>
      <c r="X59" s="255">
        <f t="shared" si="53"/>
        <v>0.12368060110918955</v>
      </c>
      <c r="Y59" s="255" t="e">
        <f t="shared" si="54"/>
        <v>#N/A</v>
      </c>
      <c r="Z59" s="255" t="e">
        <f t="shared" si="55"/>
        <v>#N/A</v>
      </c>
      <c r="AA59" s="255" t="e">
        <f t="shared" si="56"/>
        <v>#N/A</v>
      </c>
      <c r="AB59" s="255" t="e">
        <f t="shared" si="57"/>
        <v>#N/A</v>
      </c>
      <c r="AC59" s="255" t="e">
        <f t="shared" si="58"/>
        <v>#N/A</v>
      </c>
      <c r="AD59" s="255" t="e">
        <f t="shared" si="59"/>
        <v>#N/A</v>
      </c>
      <c r="AE59" s="255" t="e">
        <f t="shared" si="60"/>
        <v>#N/A</v>
      </c>
      <c r="AF59" s="255" t="e">
        <f t="shared" si="61"/>
        <v>#N/A</v>
      </c>
      <c r="AG59" s="255" t="e">
        <f t="shared" si="62"/>
        <v>#N/A</v>
      </c>
      <c r="AI59" s="251">
        <f t="shared" si="27"/>
        <v>43189</v>
      </c>
      <c r="AJ59" s="718">
        <f>IF(OR($B59="No",AJ$6=""),"",IF(NOT(ISNUMBER(_xll.ciqfunctions.udf.CIQ(AJ$6,"IQ_TEV",$AI59,$I$2,$I$3))),"",_xll.ciqfunctions.udf.CIQ(AJ$6,"IQ_TEV",$AI59,$I$2,$I$3)))</f>
        <v>305393.49589999998</v>
      </c>
      <c r="AK59" s="718">
        <f>IF(OR($B59="No",AK$6=""),"",IF(NOT(ISNUMBER(_xll.ciqfunctions.udf.CIQ(AK$6,"IQ_TEV",$AI59,$I$2,$I$3))),"",_xll.ciqfunctions.udf.CIQ(AK$6,"IQ_TEV",$AI59,$I$2,$I$3)))</f>
        <v>83660.903850000002</v>
      </c>
      <c r="AL59" s="718" t="str">
        <f>IF(OR($B59="No",AL$6=""),"",IF(NOT(ISNUMBER(_xll.ciqfunctions.udf.CIQ(AL$6,"IQ_TEV",$AI59,$I$2,$I$3))),"",_xll.ciqfunctions.udf.CIQ(AL$6,"IQ_TEV",$AI59,$I$2,$I$3)))</f>
        <v/>
      </c>
      <c r="AM59" s="718" t="str">
        <f>IF(OR($B59="No",AM$6=""),"",IF(NOT(ISNUMBER(_xll.ciqfunctions.udf.CIQ(AM$6,"IQ_TEV",$AI59,$I$2,$I$3))),"",_xll.ciqfunctions.udf.CIQ(AM$6,"IQ_TEV",$AI59,$I$2,$I$3)))</f>
        <v/>
      </c>
      <c r="AN59" s="718" t="str">
        <f>IF(OR($B59="No",AN$6=""),"",IF(NOT(ISNUMBER(_xll.ciqfunctions.udf.CIQ(AN$6,"IQ_TEV",$AI59,$I$2,$I$3))),"",_xll.ciqfunctions.udf.CIQ(AN$6,"IQ_TEV",$AI59,$I$2,$I$3)))</f>
        <v/>
      </c>
      <c r="AO59" s="718" t="str">
        <f>IF(OR($B59="No",AO$6=""),"",IF(NOT(ISNUMBER(_xll.ciqfunctions.udf.CIQ(AO$6,"IQ_TEV",$AI59,$I$2,$I$3))),"",_xll.ciqfunctions.udf.CIQ(AO$6,"IQ_TEV",$AI59,$I$2,$I$3)))</f>
        <v/>
      </c>
      <c r="AP59" s="718" t="str">
        <f>IF(OR($B59="No",AP$6=""),"",IF(NOT(ISNUMBER(_xll.ciqfunctions.udf.CIQ(AP$6,"IQ_TEV",$AI59,$I$2,$I$3))),"",_xll.ciqfunctions.udf.CIQ(AP$6,"IQ_TEV",$AI59,$I$2,$I$3)))</f>
        <v/>
      </c>
      <c r="AQ59" s="718" t="str">
        <f>IF(OR($B59="No",AQ$6=""),"",IF(NOT(ISNUMBER(_xll.ciqfunctions.udf.CIQ(AQ$6,"IQ_TEV",$AI59,$I$2,$I$3))),"",_xll.ciqfunctions.udf.CIQ(AQ$6,"IQ_TEV",$AI59,$I$2,$I$3)))</f>
        <v/>
      </c>
      <c r="AR59" s="718" t="str">
        <f>IF(OR($B59="No",AR$6=""),"",IF(NOT(ISNUMBER(_xll.ciqfunctions.udf.CIQ(AR$6,"IQ_TEV",$AI59,$I$2,$I$3))),"",_xll.ciqfunctions.udf.CIQ(AR$6,"IQ_TEV",$AI59,$I$2,$I$3)))</f>
        <v/>
      </c>
      <c r="AS59" s="718" t="str">
        <f>IF(OR($B59="No",AS$6=""),"",IF(NOT(ISNUMBER(_xll.ciqfunctions.udf.CIQ(AS$6,"IQ_TEV",$AI59,$I$2,$I$3))),"",_xll.ciqfunctions.udf.CIQ(AS$6,"IQ_TEV",$AI59,$I$2,$I$3)))</f>
        <v/>
      </c>
      <c r="AT59" s="718" t="str">
        <f>IF(OR($B59="No",AT$6=""),"",IF(NOT(ISNUMBER(_xll.ciqfunctions.udf.CIQ(AT$6,"IQ_TEV",$AI59,$I$2,$I$3))),"",_xll.ciqfunctions.udf.CIQ(AT$6,"IQ_TEV",$AI59,$I$2,$I$3)))</f>
        <v/>
      </c>
      <c r="AV59" s="251">
        <f t="shared" si="39"/>
        <v>43189</v>
      </c>
      <c r="AW59" s="719">
        <f t="shared" si="40"/>
        <v>0.16983322220588226</v>
      </c>
      <c r="AX59" s="719">
        <f t="shared" si="41"/>
        <v>0.14627769262783685</v>
      </c>
      <c r="AY59" s="719" t="e">
        <f t="shared" si="42"/>
        <v>#N/A</v>
      </c>
      <c r="AZ59" s="719" t="e">
        <f t="shared" si="43"/>
        <v>#N/A</v>
      </c>
      <c r="BA59" s="719" t="e">
        <f t="shared" si="44"/>
        <v>#N/A</v>
      </c>
      <c r="BB59" s="719" t="e">
        <f t="shared" si="45"/>
        <v>#N/A</v>
      </c>
      <c r="BC59" s="719" t="e">
        <f t="shared" si="46"/>
        <v>#N/A</v>
      </c>
      <c r="BD59" s="719" t="e">
        <f t="shared" si="47"/>
        <v>#N/A</v>
      </c>
      <c r="BE59" s="719" t="e">
        <f t="shared" si="48"/>
        <v>#N/A</v>
      </c>
      <c r="BF59" s="719" t="e">
        <f t="shared" si="49"/>
        <v>#N/A</v>
      </c>
      <c r="BG59" s="719" t="e">
        <f t="shared" si="50"/>
        <v>#N/A</v>
      </c>
    </row>
    <row r="60" spans="1:59" ht="15" customHeight="1" x14ac:dyDescent="0.2">
      <c r="A60" s="251">
        <f t="shared" si="15"/>
        <v>43196</v>
      </c>
      <c r="B60" s="253" t="str">
        <f t="shared" si="51"/>
        <v>Yes</v>
      </c>
      <c r="C60" s="1033">
        <f>IF(C$6="","",IF(NOT(ISNUMBER(_xll.ciqfunctions.udf.CIQ(C$6,$F$2, $A60, $I$2, $I$3))),IF(C59=C$6,"",C59),_xll.ciqfunctions.udf.CIQ(C$6,$F$2, $A60, $I$2, $I$3)))</f>
        <v>86.69</v>
      </c>
      <c r="D60" s="1033">
        <f>IF(D$6="","",IF(NOT(ISNUMBER(_xll.ciqfunctions.udf.CIQ(D$6,$F$2, $A60, $I$2, $I$3))),IF(D59=D$6,"",D59),_xll.ciqfunctions.udf.CIQ(D$6,$F$2, $A60, $I$2, $I$3)))</f>
        <v>23932.76194</v>
      </c>
      <c r="E60" s="1033">
        <f>IF(E$6="","",IF(NOT(ISNUMBER(_xll.ciqfunctions.udf.CIQ(E$6,$F$2, $A60, $I$2, $I$3))),IF(E59=E$6,"",E59),_xll.ciqfunctions.udf.CIQ(E$6,$F$2, $A60, $I$2, $I$3)))</f>
        <v>8003.2440900000001</v>
      </c>
      <c r="F60" s="1033">
        <f>IF(F$6="","",IF(NOT(ISNUMBER(_xll.ciqfunctions.udf.CIQ(F$6,$F$2, $A60, $I$2, $I$3))),IF(F59=F$6,"",F59),_xll.ciqfunctions.udf.CIQ(F$6,$F$2, $A60, $I$2, $I$3)))</f>
        <v>4619.7175399999996</v>
      </c>
      <c r="G60" s="1033">
        <f>IF(G$6="","",IF(NOT(ISNUMBER(_xll.ciqfunctions.udf.CIQ(G$6,$F$2, $A60, $I$2, $I$3))),IF(G59=G$6,"",G59),_xll.ciqfunctions.udf.CIQ(G$6,$F$2, $A60, $I$2, $I$3)))</f>
        <v>183.96</v>
      </c>
      <c r="H60" s="1033" t="str">
        <f>IF(H$6="","",IF(NOT(ISNUMBER(_xll.ciqfunctions.udf.CIQ(H$6,$F$2, $A60, $I$2, $I$3))),IF(H59=H$6,"",H59),_xll.ciqfunctions.udf.CIQ(H$6,$F$2, $A60, $I$2, $I$3)))</f>
        <v/>
      </c>
      <c r="I60" s="1033" t="str">
        <f>IF(I$6="","",IF(NOT(ISNUMBER(_xll.ciqfunctions.udf.CIQ(I$6,$F$2, $A60, $I$2, $I$3))),IF(I59=I$6,"",I59),_xll.ciqfunctions.udf.CIQ(I$6,$F$2, $A60, $I$2, $I$3)))</f>
        <v/>
      </c>
      <c r="J60" s="1033" t="str">
        <f>IF(J$6="","",IF(NOT(ISNUMBER(_xll.ciqfunctions.udf.CIQ(J$6,$F$2, $A60, $I$2, $I$3))),IF(J59=J$6,"",J59),_xll.ciqfunctions.udf.CIQ(J$6,$F$2, $A60, $I$2, $I$3)))</f>
        <v/>
      </c>
      <c r="K60" s="1033" t="str">
        <f>IF(K$6="","",IF(NOT(ISNUMBER(_xll.ciqfunctions.udf.CIQ(K$6,$F$2, $A60, $I$2, $I$3))),IF(K59=K$6,"",K59),_xll.ciqfunctions.udf.CIQ(K$6,$F$2, $A60, $I$2, $I$3)))</f>
        <v/>
      </c>
      <c r="L60" s="254" t="str">
        <f>IF(L$6="","",IF(NOT(ISNUMBER(_xll.ciqfunctions.udf.CIQ(L$6,$F$2, $A60, $I$2, $I$3))),IF(L59=L$6,"",L59),_xll.ciqfunctions.udf.CIQ(L$6,$F$2, $A60, $I$2, $I$3)))</f>
        <v/>
      </c>
      <c r="M60" s="254" t="str">
        <f>IF(M$6="","",IF(NOT(ISNUMBER(_xll.ciqfunctions.udf.CIQ(M$6,$F$2, $A60, $I$2, $I$3))),IF(M59=M$6,"",M59),_xll.ciqfunctions.udf.CIQ(M$6,$F$2, $A60, $I$2, $I$3)))</f>
        <v/>
      </c>
      <c r="N60" s="254" t="str">
        <f>IF(N$6="","",IF(NOT(ISNUMBER(_xll.ciqfunctions.udf.CIQ(N$6,$F$2, $A60, $I$2, $I$3))),IF(N59=N$6,"",N59),_xll.ciqfunctions.udf.CIQ(N$6,$F$2, $A60, $I$2, $I$3)))</f>
        <v/>
      </c>
      <c r="O60" s="254" t="str">
        <f>IF(O$6="","",IF(NOT(ISNUMBER(_xll.ciqfunctions.udf.CIQ(O$6,$F$2, $A60, $I$2, $I$3))),IF(O59=O$6,"",O59),_xll.ciqfunctions.udf.CIQ(O$6,$F$2, $A60, $I$2, $I$3)))</f>
        <v/>
      </c>
      <c r="P60" s="254" t="str">
        <f>IF(P$6="","",IF(NOT(ISNUMBER(_xll.ciqfunctions.udf.CIQ(P$6,$F$2, $A60, $I$2, $I$3))),IF(P59=P$6,"",P59),_xll.ciqfunctions.udf.CIQ(P$6,$F$2, $A60, $I$2, $I$3)))</f>
        <v/>
      </c>
      <c r="Q60" s="254"/>
      <c r="R60" s="251">
        <f t="shared" si="16"/>
        <v>43196</v>
      </c>
      <c r="S60" s="255">
        <f t="shared" si="35"/>
        <v>0.2026914539400666</v>
      </c>
      <c r="T60" s="255">
        <f t="shared" si="36"/>
        <v>0.15822997152797247</v>
      </c>
      <c r="U60" s="255">
        <f t="shared" si="37"/>
        <v>0.11842429803872356</v>
      </c>
      <c r="V60" s="255">
        <f t="shared" si="52"/>
        <v>5.239094891635987E-2</v>
      </c>
      <c r="W60" s="255">
        <f t="array" ref="W60">IFERROR(AVERAGE(IF(ISERROR(X60:AG60),"",X60:AG60)),"")</f>
        <v>9.7024270976206139E-2</v>
      </c>
      <c r="X60" s="255">
        <f t="shared" si="53"/>
        <v>9.7024270976206139E-2</v>
      </c>
      <c r="Y60" s="255" t="e">
        <f t="shared" si="54"/>
        <v>#N/A</v>
      </c>
      <c r="Z60" s="255" t="e">
        <f t="shared" si="55"/>
        <v>#N/A</v>
      </c>
      <c r="AA60" s="255" t="e">
        <f t="shared" si="56"/>
        <v>#N/A</v>
      </c>
      <c r="AB60" s="255" t="e">
        <f t="shared" si="57"/>
        <v>#N/A</v>
      </c>
      <c r="AC60" s="255" t="e">
        <f t="shared" si="58"/>
        <v>#N/A</v>
      </c>
      <c r="AD60" s="255" t="e">
        <f t="shared" si="59"/>
        <v>#N/A</v>
      </c>
      <c r="AE60" s="255" t="e">
        <f t="shared" si="60"/>
        <v>#N/A</v>
      </c>
      <c r="AF60" s="255" t="e">
        <f t="shared" si="61"/>
        <v>#N/A</v>
      </c>
      <c r="AG60" s="255" t="e">
        <f t="shared" si="62"/>
        <v>#N/A</v>
      </c>
      <c r="AI60" s="251">
        <f t="shared" si="27"/>
        <v>43196</v>
      </c>
      <c r="AJ60" s="718">
        <f>IF(OR($B60="No",AJ$6=""),"",IF(NOT(ISNUMBER(_xll.ciqfunctions.udf.CIQ(AJ$6,"IQ_TEV",$AI60,$I$2,$I$3))),"",_xll.ciqfunctions.udf.CIQ(AJ$6,"IQ_TEV",$AI60,$I$2,$I$3)))</f>
        <v>298665.90714999998</v>
      </c>
      <c r="AK60" s="718">
        <f>IF(OR($B60="No",AK$6=""),"",IF(NOT(ISNUMBER(_xll.ciqfunctions.udf.CIQ(AK$6,"IQ_TEV",$AI60,$I$2,$I$3))),"",_xll.ciqfunctions.udf.CIQ(AK$6,"IQ_TEV",$AI60,$I$2,$I$3)))</f>
        <v>81699.377240000002</v>
      </c>
      <c r="AL60" s="718" t="str">
        <f>IF(OR($B60="No",AL$6=""),"",IF(NOT(ISNUMBER(_xll.ciqfunctions.udf.CIQ(AL$6,"IQ_TEV",$AI60,$I$2,$I$3))),"",_xll.ciqfunctions.udf.CIQ(AL$6,"IQ_TEV",$AI60,$I$2,$I$3)))</f>
        <v/>
      </c>
      <c r="AM60" s="718" t="str">
        <f>IF(OR($B60="No",AM$6=""),"",IF(NOT(ISNUMBER(_xll.ciqfunctions.udf.CIQ(AM$6,"IQ_TEV",$AI60,$I$2,$I$3))),"",_xll.ciqfunctions.udf.CIQ(AM$6,"IQ_TEV",$AI60,$I$2,$I$3)))</f>
        <v/>
      </c>
      <c r="AN60" s="718" t="str">
        <f>IF(OR($B60="No",AN$6=""),"",IF(NOT(ISNUMBER(_xll.ciqfunctions.udf.CIQ(AN$6,"IQ_TEV",$AI60,$I$2,$I$3))),"",_xll.ciqfunctions.udf.CIQ(AN$6,"IQ_TEV",$AI60,$I$2,$I$3)))</f>
        <v/>
      </c>
      <c r="AO60" s="718" t="str">
        <f>IF(OR($B60="No",AO$6=""),"",IF(NOT(ISNUMBER(_xll.ciqfunctions.udf.CIQ(AO$6,"IQ_TEV",$AI60,$I$2,$I$3))),"",_xll.ciqfunctions.udf.CIQ(AO$6,"IQ_TEV",$AI60,$I$2,$I$3)))</f>
        <v/>
      </c>
      <c r="AP60" s="718" t="str">
        <f>IF(OR($B60="No",AP$6=""),"",IF(NOT(ISNUMBER(_xll.ciqfunctions.udf.CIQ(AP$6,"IQ_TEV",$AI60,$I$2,$I$3))),"",_xll.ciqfunctions.udf.CIQ(AP$6,"IQ_TEV",$AI60,$I$2,$I$3)))</f>
        <v/>
      </c>
      <c r="AQ60" s="718" t="str">
        <f>IF(OR($B60="No",AQ$6=""),"",IF(NOT(ISNUMBER(_xll.ciqfunctions.udf.CIQ(AQ$6,"IQ_TEV",$AI60,$I$2,$I$3))),"",_xll.ciqfunctions.udf.CIQ(AQ$6,"IQ_TEV",$AI60,$I$2,$I$3)))</f>
        <v/>
      </c>
      <c r="AR60" s="718" t="str">
        <f>IF(OR($B60="No",AR$6=""),"",IF(NOT(ISNUMBER(_xll.ciqfunctions.udf.CIQ(AR$6,"IQ_TEV",$AI60,$I$2,$I$3))),"",_xll.ciqfunctions.udf.CIQ(AR$6,"IQ_TEV",$AI60,$I$2,$I$3)))</f>
        <v/>
      </c>
      <c r="AS60" s="718" t="str">
        <f>IF(OR($B60="No",AS$6=""),"",IF(NOT(ISNUMBER(_xll.ciqfunctions.udf.CIQ(AS$6,"IQ_TEV",$AI60,$I$2,$I$3))),"",_xll.ciqfunctions.udf.CIQ(AS$6,"IQ_TEV",$AI60,$I$2,$I$3)))</f>
        <v/>
      </c>
      <c r="AT60" s="718" t="str">
        <f>IF(OR($B60="No",AT$6=""),"",IF(NOT(ISNUMBER(_xll.ciqfunctions.udf.CIQ(AT$6,"IQ_TEV",$AI60,$I$2,$I$3))),"",_xll.ciqfunctions.udf.CIQ(AT$6,"IQ_TEV",$AI60,$I$2,$I$3)))</f>
        <v/>
      </c>
      <c r="AV60" s="251">
        <f t="shared" si="39"/>
        <v>43196</v>
      </c>
      <c r="AW60" s="719">
        <f t="shared" si="40"/>
        <v>0.14406267721802979</v>
      </c>
      <c r="AX60" s="719">
        <f t="shared" si="41"/>
        <v>0.11940188692807685</v>
      </c>
      <c r="AY60" s="719" t="e">
        <f t="shared" si="42"/>
        <v>#N/A</v>
      </c>
      <c r="AZ60" s="719" t="e">
        <f t="shared" si="43"/>
        <v>#N/A</v>
      </c>
      <c r="BA60" s="719" t="e">
        <f t="shared" si="44"/>
        <v>#N/A</v>
      </c>
      <c r="BB60" s="719" t="e">
        <f t="shared" si="45"/>
        <v>#N/A</v>
      </c>
      <c r="BC60" s="719" t="e">
        <f t="shared" si="46"/>
        <v>#N/A</v>
      </c>
      <c r="BD60" s="719" t="e">
        <f t="shared" si="47"/>
        <v>#N/A</v>
      </c>
      <c r="BE60" s="719" t="e">
        <f t="shared" si="48"/>
        <v>#N/A</v>
      </c>
      <c r="BF60" s="719" t="e">
        <f t="shared" si="49"/>
        <v>#N/A</v>
      </c>
      <c r="BG60" s="719" t="e">
        <f t="shared" si="50"/>
        <v>#N/A</v>
      </c>
    </row>
    <row r="61" spans="1:59" ht="15" customHeight="1" x14ac:dyDescent="0.2">
      <c r="A61" s="251">
        <f t="shared" si="15"/>
        <v>43203</v>
      </c>
      <c r="B61" s="253" t="str">
        <f t="shared" si="51"/>
        <v>Yes</v>
      </c>
      <c r="C61" s="1033">
        <f>IF(C$6="","",IF(NOT(ISNUMBER(_xll.ciqfunctions.udf.CIQ(C$6,$F$2, $A61, $I$2, $I$3))),IF(C60=C$6,"",C60),_xll.ciqfunctions.udf.CIQ(C$6,$F$2, $A61, $I$2, $I$3)))</f>
        <v>86.02</v>
      </c>
      <c r="D61" s="1033">
        <f>IF(D$6="","",IF(NOT(ISNUMBER(_xll.ciqfunctions.udf.CIQ(D$6,$F$2, $A61, $I$2, $I$3))),IF(D60=D$6,"",D60),_xll.ciqfunctions.udf.CIQ(D$6,$F$2, $A61, $I$2, $I$3)))</f>
        <v>24360.14129</v>
      </c>
      <c r="E61" s="1033">
        <f>IF(E$6="","",IF(NOT(ISNUMBER(_xll.ciqfunctions.udf.CIQ(E$6,$F$2, $A61, $I$2, $I$3))),IF(E60=E$6,"",E60),_xll.ciqfunctions.udf.CIQ(E$6,$F$2, $A61, $I$2, $I$3)))</f>
        <v>8119.7272599999997</v>
      </c>
      <c r="F61" s="1033">
        <f>IF(F$6="","",IF(NOT(ISNUMBER(_xll.ciqfunctions.udf.CIQ(F$6,$F$2, $A61, $I$2, $I$3))),IF(F60=F$6,"",F60),_xll.ciqfunctions.udf.CIQ(F$6,$F$2, $A61, $I$2, $I$3)))</f>
        <v>4616.4882600000001</v>
      </c>
      <c r="G61" s="1033">
        <f>IF(G$6="","",IF(NOT(ISNUMBER(_xll.ciqfunctions.udf.CIQ(G$6,$F$2, $A61, $I$2, $I$3))),IF(G60=G$6,"",G60),_xll.ciqfunctions.udf.CIQ(G$6,$F$2, $A61, $I$2, $I$3)))</f>
        <v>188.91</v>
      </c>
      <c r="H61" s="1033" t="str">
        <f>IF(H$6="","",IF(NOT(ISNUMBER(_xll.ciqfunctions.udf.CIQ(H$6,$F$2, $A61, $I$2, $I$3))),IF(H60=H$6,"",H60),_xll.ciqfunctions.udf.CIQ(H$6,$F$2, $A61, $I$2, $I$3)))</f>
        <v/>
      </c>
      <c r="I61" s="1033" t="str">
        <f>IF(I$6="","",IF(NOT(ISNUMBER(_xll.ciqfunctions.udf.CIQ(I$6,$F$2, $A61, $I$2, $I$3))),IF(I60=I$6,"",I60),_xll.ciqfunctions.udf.CIQ(I$6,$F$2, $A61, $I$2, $I$3)))</f>
        <v/>
      </c>
      <c r="J61" s="1033" t="str">
        <f>IF(J$6="","",IF(NOT(ISNUMBER(_xll.ciqfunctions.udf.CIQ(J$6,$F$2, $A61, $I$2, $I$3))),IF(J60=J$6,"",J60),_xll.ciqfunctions.udf.CIQ(J$6,$F$2, $A61, $I$2, $I$3)))</f>
        <v/>
      </c>
      <c r="K61" s="1033" t="str">
        <f>IF(K$6="","",IF(NOT(ISNUMBER(_xll.ciqfunctions.udf.CIQ(K$6,$F$2, $A61, $I$2, $I$3))),IF(K60=K$6,"",K60),_xll.ciqfunctions.udf.CIQ(K$6,$F$2, $A61, $I$2, $I$3)))</f>
        <v/>
      </c>
      <c r="L61" s="254" t="str">
        <f>IF(L$6="","",IF(NOT(ISNUMBER(_xll.ciqfunctions.udf.CIQ(L$6,$F$2, $A61, $I$2, $I$3))),IF(L60=L$6,"",L60),_xll.ciqfunctions.udf.CIQ(L$6,$F$2, $A61, $I$2, $I$3)))</f>
        <v/>
      </c>
      <c r="M61" s="254" t="str">
        <f>IF(M$6="","",IF(NOT(ISNUMBER(_xll.ciqfunctions.udf.CIQ(M$6,$F$2, $A61, $I$2, $I$3))),IF(M60=M$6,"",M60),_xll.ciqfunctions.udf.CIQ(M$6,$F$2, $A61, $I$2, $I$3)))</f>
        <v/>
      </c>
      <c r="N61" s="254" t="str">
        <f>IF(N$6="","",IF(NOT(ISNUMBER(_xll.ciqfunctions.udf.CIQ(N$6,$F$2, $A61, $I$2, $I$3))),IF(N60=N$6,"",N60),_xll.ciqfunctions.udf.CIQ(N$6,$F$2, $A61, $I$2, $I$3)))</f>
        <v/>
      </c>
      <c r="O61" s="254" t="str">
        <f>IF(O$6="","",IF(NOT(ISNUMBER(_xll.ciqfunctions.udf.CIQ(O$6,$F$2, $A61, $I$2, $I$3))),IF(O60=O$6,"",O60),_xll.ciqfunctions.udf.CIQ(O$6,$F$2, $A61, $I$2, $I$3)))</f>
        <v/>
      </c>
      <c r="P61" s="254" t="str">
        <f>IF(P$6="","",IF(NOT(ISNUMBER(_xll.ciqfunctions.udf.CIQ(P$6,$F$2, $A61, $I$2, $I$3))),IF(P60=P$6,"",P60),_xll.ciqfunctions.udf.CIQ(P$6,$F$2, $A61, $I$2, $I$3)))</f>
        <v/>
      </c>
      <c r="Q61" s="254"/>
      <c r="R61" s="251">
        <f t="shared" si="16"/>
        <v>43203</v>
      </c>
      <c r="S61" s="255">
        <f t="shared" si="35"/>
        <v>0.19339622641509435</v>
      </c>
      <c r="T61" s="255">
        <f t="shared" si="36"/>
        <v>0.17891306584124589</v>
      </c>
      <c r="U61" s="255">
        <f t="shared" si="37"/>
        <v>0.13470239804111594</v>
      </c>
      <c r="V61" s="255">
        <f t="shared" si="52"/>
        <v>5.1655305445933219E-2</v>
      </c>
      <c r="W61" s="255">
        <f t="array" ref="W61">IFERROR(AVERAGE(IF(ISERROR(X61:AG61),"",X61:AG61)),"")</f>
        <v>0.12654302582145616</v>
      </c>
      <c r="X61" s="255">
        <f t="shared" si="53"/>
        <v>0.12654302582145616</v>
      </c>
      <c r="Y61" s="255" t="e">
        <f t="shared" si="54"/>
        <v>#N/A</v>
      </c>
      <c r="Z61" s="255" t="e">
        <f t="shared" si="55"/>
        <v>#N/A</v>
      </c>
      <c r="AA61" s="255" t="e">
        <f t="shared" si="56"/>
        <v>#N/A</v>
      </c>
      <c r="AB61" s="255" t="e">
        <f t="shared" si="57"/>
        <v>#N/A</v>
      </c>
      <c r="AC61" s="255" t="e">
        <f t="shared" si="58"/>
        <v>#N/A</v>
      </c>
      <c r="AD61" s="255" t="e">
        <f t="shared" si="59"/>
        <v>#N/A</v>
      </c>
      <c r="AE61" s="255" t="e">
        <f t="shared" si="60"/>
        <v>#N/A</v>
      </c>
      <c r="AF61" s="255" t="e">
        <f t="shared" si="61"/>
        <v>#N/A</v>
      </c>
      <c r="AG61" s="255" t="e">
        <f t="shared" si="62"/>
        <v>#N/A</v>
      </c>
      <c r="AI61" s="251">
        <f t="shared" si="27"/>
        <v>43203</v>
      </c>
      <c r="AJ61" s="718">
        <f>IF(OR($B61="No",AJ$6=""),"",IF(NOT(ISNUMBER(_xll.ciqfunctions.udf.CIQ(AJ$6,"IQ_TEV",$AI61,$I$2,$I$3))),"",_xll.ciqfunctions.udf.CIQ(AJ$6,"IQ_TEV",$AI61,$I$2,$I$3)))</f>
        <v>296688.94027999998</v>
      </c>
      <c r="AK61" s="718">
        <f>IF(OR($B61="No",AK$6=""),"",IF(NOT(ISNUMBER(_xll.ciqfunctions.udf.CIQ(AK$6,"IQ_TEV",$AI61,$I$2,$I$3))),"",_xll.ciqfunctions.udf.CIQ(AK$6,"IQ_TEV",$AI61,$I$2,$I$3)))</f>
        <v>83871.537580000004</v>
      </c>
      <c r="AL61" s="718" t="str">
        <f>IF(OR($B61="No",AL$6=""),"",IF(NOT(ISNUMBER(_xll.ciqfunctions.udf.CIQ(AL$6,"IQ_TEV",$AI61,$I$2,$I$3))),"",_xll.ciqfunctions.udf.CIQ(AL$6,"IQ_TEV",$AI61,$I$2,$I$3)))</f>
        <v/>
      </c>
      <c r="AM61" s="718" t="str">
        <f>IF(OR($B61="No",AM$6=""),"",IF(NOT(ISNUMBER(_xll.ciqfunctions.udf.CIQ(AM$6,"IQ_TEV",$AI61,$I$2,$I$3))),"",_xll.ciqfunctions.udf.CIQ(AM$6,"IQ_TEV",$AI61,$I$2,$I$3)))</f>
        <v/>
      </c>
      <c r="AN61" s="718" t="str">
        <f>IF(OR($B61="No",AN$6=""),"",IF(NOT(ISNUMBER(_xll.ciqfunctions.udf.CIQ(AN$6,"IQ_TEV",$AI61,$I$2,$I$3))),"",_xll.ciqfunctions.udf.CIQ(AN$6,"IQ_TEV",$AI61,$I$2,$I$3)))</f>
        <v/>
      </c>
      <c r="AO61" s="718" t="str">
        <f>IF(OR($B61="No",AO$6=""),"",IF(NOT(ISNUMBER(_xll.ciqfunctions.udf.CIQ(AO$6,"IQ_TEV",$AI61,$I$2,$I$3))),"",_xll.ciqfunctions.udf.CIQ(AO$6,"IQ_TEV",$AI61,$I$2,$I$3)))</f>
        <v/>
      </c>
      <c r="AP61" s="718" t="str">
        <f>IF(OR($B61="No",AP$6=""),"",IF(NOT(ISNUMBER(_xll.ciqfunctions.udf.CIQ(AP$6,"IQ_TEV",$AI61,$I$2,$I$3))),"",_xll.ciqfunctions.udf.CIQ(AP$6,"IQ_TEV",$AI61,$I$2,$I$3)))</f>
        <v/>
      </c>
      <c r="AQ61" s="718" t="str">
        <f>IF(OR($B61="No",AQ$6=""),"",IF(NOT(ISNUMBER(_xll.ciqfunctions.udf.CIQ(AQ$6,"IQ_TEV",$AI61,$I$2,$I$3))),"",_xll.ciqfunctions.udf.CIQ(AQ$6,"IQ_TEV",$AI61,$I$2,$I$3)))</f>
        <v/>
      </c>
      <c r="AR61" s="718" t="str">
        <f>IF(OR($B61="No",AR$6=""),"",IF(NOT(ISNUMBER(_xll.ciqfunctions.udf.CIQ(AR$6,"IQ_TEV",$AI61,$I$2,$I$3))),"",_xll.ciqfunctions.udf.CIQ(AR$6,"IQ_TEV",$AI61,$I$2,$I$3)))</f>
        <v/>
      </c>
      <c r="AS61" s="718" t="str">
        <f>IF(OR($B61="No",AS$6=""),"",IF(NOT(ISNUMBER(_xll.ciqfunctions.udf.CIQ(AS$6,"IQ_TEV",$AI61,$I$2,$I$3))),"",_xll.ciqfunctions.udf.CIQ(AS$6,"IQ_TEV",$AI61,$I$2,$I$3)))</f>
        <v/>
      </c>
      <c r="AT61" s="718" t="str">
        <f>IF(OR($B61="No",AT$6=""),"",IF(NOT(ISNUMBER(_xll.ciqfunctions.udf.CIQ(AT$6,"IQ_TEV",$AI61,$I$2,$I$3))),"",_xll.ciqfunctions.udf.CIQ(AT$6,"IQ_TEV",$AI61,$I$2,$I$3)))</f>
        <v/>
      </c>
      <c r="AV61" s="251">
        <f t="shared" si="39"/>
        <v>43203</v>
      </c>
      <c r="AW61" s="719">
        <f t="shared" si="40"/>
        <v>0.13648975390834761</v>
      </c>
      <c r="AX61" s="719">
        <f t="shared" si="41"/>
        <v>0.14916368518711987</v>
      </c>
      <c r="AY61" s="719" t="e">
        <f t="shared" si="42"/>
        <v>#N/A</v>
      </c>
      <c r="AZ61" s="719" t="e">
        <f t="shared" si="43"/>
        <v>#N/A</v>
      </c>
      <c r="BA61" s="719" t="e">
        <f t="shared" si="44"/>
        <v>#N/A</v>
      </c>
      <c r="BB61" s="719" t="e">
        <f t="shared" si="45"/>
        <v>#N/A</v>
      </c>
      <c r="BC61" s="719" t="e">
        <f t="shared" si="46"/>
        <v>#N/A</v>
      </c>
      <c r="BD61" s="719" t="e">
        <f t="shared" si="47"/>
        <v>#N/A</v>
      </c>
      <c r="BE61" s="719" t="e">
        <f t="shared" si="48"/>
        <v>#N/A</v>
      </c>
      <c r="BF61" s="719" t="e">
        <f t="shared" si="49"/>
        <v>#N/A</v>
      </c>
      <c r="BG61" s="719" t="e">
        <f t="shared" si="50"/>
        <v>#N/A</v>
      </c>
    </row>
    <row r="62" spans="1:59" ht="15" customHeight="1" x14ac:dyDescent="0.2">
      <c r="A62" s="251">
        <f t="shared" si="15"/>
        <v>43210</v>
      </c>
      <c r="B62" s="253" t="str">
        <f t="shared" si="51"/>
        <v>Yes</v>
      </c>
      <c r="C62" s="1033">
        <f>IF(C$6="","",IF(NOT(ISNUMBER(_xll.ciqfunctions.udf.CIQ(C$6,$F$2, $A62, $I$2, $I$3))),IF(C61=C$6,"",C61),_xll.ciqfunctions.udf.CIQ(C$6,$F$2, $A62, $I$2, $I$3)))</f>
        <v>86.98</v>
      </c>
      <c r="D62" s="1033">
        <f>IF(D$6="","",IF(NOT(ISNUMBER(_xll.ciqfunctions.udf.CIQ(D$6,$F$2, $A62, $I$2, $I$3))),IF(D61=D$6,"",D61),_xll.ciqfunctions.udf.CIQ(D$6,$F$2, $A62, $I$2, $I$3)))</f>
        <v>24462.94094</v>
      </c>
      <c r="E62" s="1033">
        <f>IF(E$6="","",IF(NOT(ISNUMBER(_xll.ciqfunctions.udf.CIQ(E$6,$F$2, $A62, $I$2, $I$3))),IF(E61=E$6,"",E61),_xll.ciqfunctions.udf.CIQ(E$6,$F$2, $A62, $I$2, $I$3)))</f>
        <v>8199.3744399999996</v>
      </c>
      <c r="F62" s="1033">
        <f>IF(F$6="","",IF(NOT(ISNUMBER(_xll.ciqfunctions.udf.CIQ(F$6,$F$2, $A62, $I$2, $I$3))),IF(F61=F$6,"",F61),_xll.ciqfunctions.udf.CIQ(F$6,$F$2, $A62, $I$2, $I$3)))</f>
        <v>4563.1258900000003</v>
      </c>
      <c r="G62" s="1033">
        <f>IF(G$6="","",IF(NOT(ISNUMBER(_xll.ciqfunctions.udf.CIQ(G$6,$F$2, $A62, $I$2, $I$3))),IF(G61=G$6,"",G61),_xll.ciqfunctions.udf.CIQ(G$6,$F$2, $A62, $I$2, $I$3)))</f>
        <v>193.56</v>
      </c>
      <c r="H62" s="1033" t="str">
        <f>IF(H$6="","",IF(NOT(ISNUMBER(_xll.ciqfunctions.udf.CIQ(H$6,$F$2, $A62, $I$2, $I$3))),IF(H61=H$6,"",H61),_xll.ciqfunctions.udf.CIQ(H$6,$F$2, $A62, $I$2, $I$3)))</f>
        <v/>
      </c>
      <c r="I62" s="1033" t="str">
        <f>IF(I$6="","",IF(NOT(ISNUMBER(_xll.ciqfunctions.udf.CIQ(I$6,$F$2, $A62, $I$2, $I$3))),IF(I61=I$6,"",I61),_xll.ciqfunctions.udf.CIQ(I$6,$F$2, $A62, $I$2, $I$3)))</f>
        <v/>
      </c>
      <c r="J62" s="1033" t="str">
        <f>IF(J$6="","",IF(NOT(ISNUMBER(_xll.ciqfunctions.udf.CIQ(J$6,$F$2, $A62, $I$2, $I$3))),IF(J61=J$6,"",J61),_xll.ciqfunctions.udf.CIQ(J$6,$F$2, $A62, $I$2, $I$3)))</f>
        <v/>
      </c>
      <c r="K62" s="1033" t="str">
        <f>IF(K$6="","",IF(NOT(ISNUMBER(_xll.ciqfunctions.udf.CIQ(K$6,$F$2, $A62, $I$2, $I$3))),IF(K61=K$6,"",K61),_xll.ciqfunctions.udf.CIQ(K$6,$F$2, $A62, $I$2, $I$3)))</f>
        <v/>
      </c>
      <c r="L62" s="254" t="str">
        <f>IF(L$6="","",IF(NOT(ISNUMBER(_xll.ciqfunctions.udf.CIQ(L$6,$F$2, $A62, $I$2, $I$3))),IF(L61=L$6,"",L61),_xll.ciqfunctions.udf.CIQ(L$6,$F$2, $A62, $I$2, $I$3)))</f>
        <v/>
      </c>
      <c r="M62" s="254" t="str">
        <f>IF(M$6="","",IF(NOT(ISNUMBER(_xll.ciqfunctions.udf.CIQ(M$6,$F$2, $A62, $I$2, $I$3))),IF(M61=M$6,"",M61),_xll.ciqfunctions.udf.CIQ(M$6,$F$2, $A62, $I$2, $I$3)))</f>
        <v/>
      </c>
      <c r="N62" s="254" t="str">
        <f>IF(N$6="","",IF(NOT(ISNUMBER(_xll.ciqfunctions.udf.CIQ(N$6,$F$2, $A62, $I$2, $I$3))),IF(N61=N$6,"",N61),_xll.ciqfunctions.udf.CIQ(N$6,$F$2, $A62, $I$2, $I$3)))</f>
        <v/>
      </c>
      <c r="O62" s="254" t="str">
        <f>IF(O$6="","",IF(NOT(ISNUMBER(_xll.ciqfunctions.udf.CIQ(O$6,$F$2, $A62, $I$2, $I$3))),IF(O61=O$6,"",O61),_xll.ciqfunctions.udf.CIQ(O$6,$F$2, $A62, $I$2, $I$3)))</f>
        <v/>
      </c>
      <c r="P62" s="254" t="str">
        <f>IF(P$6="","",IF(NOT(ISNUMBER(_xll.ciqfunctions.udf.CIQ(P$6,$F$2, $A62, $I$2, $I$3))),IF(P61=P$6,"",P61),_xll.ciqfunctions.udf.CIQ(P$6,$F$2, $A62, $I$2, $I$3)))</f>
        <v/>
      </c>
      <c r="Q62" s="254"/>
      <c r="R62" s="251">
        <f t="shared" si="16"/>
        <v>43210</v>
      </c>
      <c r="S62" s="255">
        <f t="shared" si="35"/>
        <v>0.20671476137624878</v>
      </c>
      <c r="T62" s="255">
        <f t="shared" si="36"/>
        <v>0.18388807190160317</v>
      </c>
      <c r="U62" s="255">
        <f t="shared" si="37"/>
        <v>0.14583280220979145</v>
      </c>
      <c r="V62" s="255">
        <f t="shared" si="52"/>
        <v>3.9499134702921657E-2</v>
      </c>
      <c r="W62" s="255">
        <f t="array" ref="W62">IFERROR(AVERAGE(IF(ISERROR(X62:AG62),"",X62:AG62)),"")</f>
        <v>0.15427276522153988</v>
      </c>
      <c r="X62" s="255">
        <f t="shared" si="53"/>
        <v>0.15427276522153988</v>
      </c>
      <c r="Y62" s="255" t="e">
        <f t="shared" si="54"/>
        <v>#N/A</v>
      </c>
      <c r="Z62" s="255" t="e">
        <f t="shared" si="55"/>
        <v>#N/A</v>
      </c>
      <c r="AA62" s="255" t="e">
        <f t="shared" si="56"/>
        <v>#N/A</v>
      </c>
      <c r="AB62" s="255" t="e">
        <f t="shared" si="57"/>
        <v>#N/A</v>
      </c>
      <c r="AC62" s="255" t="e">
        <f t="shared" si="58"/>
        <v>#N/A</v>
      </c>
      <c r="AD62" s="255" t="e">
        <f t="shared" si="59"/>
        <v>#N/A</v>
      </c>
      <c r="AE62" s="255" t="e">
        <f t="shared" si="60"/>
        <v>#N/A</v>
      </c>
      <c r="AF62" s="255" t="e">
        <f t="shared" si="61"/>
        <v>#N/A</v>
      </c>
      <c r="AG62" s="255" t="e">
        <f t="shared" si="62"/>
        <v>#N/A</v>
      </c>
      <c r="AI62" s="251">
        <f t="shared" si="27"/>
        <v>43210</v>
      </c>
      <c r="AJ62" s="718">
        <f>IF(OR($B62="No",AJ$6=""),"",IF(NOT(ISNUMBER(_xll.ciqfunctions.udf.CIQ(AJ$6,"IQ_TEV",$AI62,$I$2,$I$3))),"",_xll.ciqfunctions.udf.CIQ(AJ$6,"IQ_TEV",$AI62,$I$2,$I$3)))</f>
        <v>299676.58237000002</v>
      </c>
      <c r="AK62" s="718">
        <f>IF(OR($B62="No",AK$6=""),"",IF(NOT(ISNUMBER(_xll.ciqfunctions.udf.CIQ(AK$6,"IQ_TEV",$AI62,$I$2,$I$3))),"",_xll.ciqfunctions.udf.CIQ(AK$6,"IQ_TEV",$AI62,$I$2,$I$3)))</f>
        <v>85912.051850000003</v>
      </c>
      <c r="AL62" s="718" t="str">
        <f>IF(OR($B62="No",AL$6=""),"",IF(NOT(ISNUMBER(_xll.ciqfunctions.udf.CIQ(AL$6,"IQ_TEV",$AI62,$I$2,$I$3))),"",_xll.ciqfunctions.udf.CIQ(AL$6,"IQ_TEV",$AI62,$I$2,$I$3)))</f>
        <v/>
      </c>
      <c r="AM62" s="718" t="str">
        <f>IF(OR($B62="No",AM$6=""),"",IF(NOT(ISNUMBER(_xll.ciqfunctions.udf.CIQ(AM$6,"IQ_TEV",$AI62,$I$2,$I$3))),"",_xll.ciqfunctions.udf.CIQ(AM$6,"IQ_TEV",$AI62,$I$2,$I$3)))</f>
        <v/>
      </c>
      <c r="AN62" s="718" t="str">
        <f>IF(OR($B62="No",AN$6=""),"",IF(NOT(ISNUMBER(_xll.ciqfunctions.udf.CIQ(AN$6,"IQ_TEV",$AI62,$I$2,$I$3))),"",_xll.ciqfunctions.udf.CIQ(AN$6,"IQ_TEV",$AI62,$I$2,$I$3)))</f>
        <v/>
      </c>
      <c r="AO62" s="718" t="str">
        <f>IF(OR($B62="No",AO$6=""),"",IF(NOT(ISNUMBER(_xll.ciqfunctions.udf.CIQ(AO$6,"IQ_TEV",$AI62,$I$2,$I$3))),"",_xll.ciqfunctions.udf.CIQ(AO$6,"IQ_TEV",$AI62,$I$2,$I$3)))</f>
        <v/>
      </c>
      <c r="AP62" s="718" t="str">
        <f>IF(OR($B62="No",AP$6=""),"",IF(NOT(ISNUMBER(_xll.ciqfunctions.udf.CIQ(AP$6,"IQ_TEV",$AI62,$I$2,$I$3))),"",_xll.ciqfunctions.udf.CIQ(AP$6,"IQ_TEV",$AI62,$I$2,$I$3)))</f>
        <v/>
      </c>
      <c r="AQ62" s="718" t="str">
        <f>IF(OR($B62="No",AQ$6=""),"",IF(NOT(ISNUMBER(_xll.ciqfunctions.udf.CIQ(AQ$6,"IQ_TEV",$AI62,$I$2,$I$3))),"",_xll.ciqfunctions.udf.CIQ(AQ$6,"IQ_TEV",$AI62,$I$2,$I$3)))</f>
        <v/>
      </c>
      <c r="AR62" s="718" t="str">
        <f>IF(OR($B62="No",AR$6=""),"",IF(NOT(ISNUMBER(_xll.ciqfunctions.udf.CIQ(AR$6,"IQ_TEV",$AI62,$I$2,$I$3))),"",_xll.ciqfunctions.udf.CIQ(AR$6,"IQ_TEV",$AI62,$I$2,$I$3)))</f>
        <v/>
      </c>
      <c r="AS62" s="718" t="str">
        <f>IF(OR($B62="No",AS$6=""),"",IF(NOT(ISNUMBER(_xll.ciqfunctions.udf.CIQ(AS$6,"IQ_TEV",$AI62,$I$2,$I$3))),"",_xll.ciqfunctions.udf.CIQ(AS$6,"IQ_TEV",$AI62,$I$2,$I$3)))</f>
        <v/>
      </c>
      <c r="AT62" s="718" t="str">
        <f>IF(OR($B62="No",AT$6=""),"",IF(NOT(ISNUMBER(_xll.ciqfunctions.udf.CIQ(AT$6,"IQ_TEV",$AI62,$I$2,$I$3))),"",_xll.ciqfunctions.udf.CIQ(AT$6,"IQ_TEV",$AI62,$I$2,$I$3)))</f>
        <v/>
      </c>
      <c r="AV62" s="251">
        <f t="shared" si="39"/>
        <v>43210</v>
      </c>
      <c r="AW62" s="719">
        <f t="shared" si="40"/>
        <v>0.14793414620833012</v>
      </c>
      <c r="AX62" s="719">
        <f t="shared" si="41"/>
        <v>0.17712173825075261</v>
      </c>
      <c r="AY62" s="719" t="e">
        <f t="shared" si="42"/>
        <v>#N/A</v>
      </c>
      <c r="AZ62" s="719" t="e">
        <f t="shared" si="43"/>
        <v>#N/A</v>
      </c>
      <c r="BA62" s="719" t="e">
        <f t="shared" si="44"/>
        <v>#N/A</v>
      </c>
      <c r="BB62" s="719" t="e">
        <f t="shared" si="45"/>
        <v>#N/A</v>
      </c>
      <c r="BC62" s="719" t="e">
        <f t="shared" si="46"/>
        <v>#N/A</v>
      </c>
      <c r="BD62" s="719" t="e">
        <f t="shared" si="47"/>
        <v>#N/A</v>
      </c>
      <c r="BE62" s="719" t="e">
        <f t="shared" si="48"/>
        <v>#N/A</v>
      </c>
      <c r="BF62" s="719" t="e">
        <f t="shared" si="49"/>
        <v>#N/A</v>
      </c>
      <c r="BG62" s="719" t="e">
        <f t="shared" si="50"/>
        <v>#N/A</v>
      </c>
    </row>
    <row r="63" spans="1:59" ht="15" customHeight="1" x14ac:dyDescent="0.2">
      <c r="A63" s="251">
        <f t="shared" si="15"/>
        <v>43217</v>
      </c>
      <c r="B63" s="253" t="str">
        <f t="shared" si="51"/>
        <v>Yes</v>
      </c>
      <c r="C63" s="1033">
        <f>IF(C$6="","",IF(NOT(ISNUMBER(_xll.ciqfunctions.udf.CIQ(C$6,$F$2, $A63, $I$2, $I$3))),IF(C62=C$6,"",C62),_xll.ciqfunctions.udf.CIQ(C$6,$F$2, $A63, $I$2, $I$3)))</f>
        <v>87.29</v>
      </c>
      <c r="D63" s="1033">
        <f>IF(D$6="","",IF(NOT(ISNUMBER(_xll.ciqfunctions.udf.CIQ(D$6,$F$2, $A63, $I$2, $I$3))),IF(D62=D$6,"",D62),_xll.ciqfunctions.udf.CIQ(D$6,$F$2, $A63, $I$2, $I$3)))</f>
        <v>24311.185799999999</v>
      </c>
      <c r="E63" s="1033">
        <f>IF(E$6="","",IF(NOT(ISNUMBER(_xll.ciqfunctions.udf.CIQ(E$6,$F$2, $A63, $I$2, $I$3))),IF(E62=E$6,"",E62),_xll.ciqfunctions.udf.CIQ(E$6,$F$2, $A63, $I$2, $I$3)))</f>
        <v>8193.0931600000004</v>
      </c>
      <c r="F63" s="1033">
        <f>IF(F$6="","",IF(NOT(ISNUMBER(_xll.ciqfunctions.udf.CIQ(F$6,$F$2, $A63, $I$2, $I$3))),IF(F62=F$6,"",F62),_xll.ciqfunctions.udf.CIQ(F$6,$F$2, $A63, $I$2, $I$3)))</f>
        <v>4743.6471000000001</v>
      </c>
      <c r="G63" s="1033">
        <f>IF(G$6="","",IF(NOT(ISNUMBER(_xll.ciqfunctions.udf.CIQ(G$6,$F$2, $A63, $I$2, $I$3))),IF(G62=G$6,"",G62),_xll.ciqfunctions.udf.CIQ(G$6,$F$2, $A63, $I$2, $I$3)))</f>
        <v>196.58</v>
      </c>
      <c r="H63" s="1033" t="str">
        <f>IF(H$6="","",IF(NOT(ISNUMBER(_xll.ciqfunctions.udf.CIQ(H$6,$F$2, $A63, $I$2, $I$3))),IF(H62=H$6,"",H62),_xll.ciqfunctions.udf.CIQ(H$6,$F$2, $A63, $I$2, $I$3)))</f>
        <v/>
      </c>
      <c r="I63" s="1033" t="str">
        <f>IF(I$6="","",IF(NOT(ISNUMBER(_xll.ciqfunctions.udf.CIQ(I$6,$F$2, $A63, $I$2, $I$3))),IF(I62=I$6,"",I62),_xll.ciqfunctions.udf.CIQ(I$6,$F$2, $A63, $I$2, $I$3)))</f>
        <v/>
      </c>
      <c r="J63" s="1033" t="str">
        <f>IF(J$6="","",IF(NOT(ISNUMBER(_xll.ciqfunctions.udf.CIQ(J$6,$F$2, $A63, $I$2, $I$3))),IF(J62=J$6,"",J62),_xll.ciqfunctions.udf.CIQ(J$6,$F$2, $A63, $I$2, $I$3)))</f>
        <v/>
      </c>
      <c r="K63" s="1033" t="str">
        <f>IF(K$6="","",IF(NOT(ISNUMBER(_xll.ciqfunctions.udf.CIQ(K$6,$F$2, $A63, $I$2, $I$3))),IF(K62=K$6,"",K62),_xll.ciqfunctions.udf.CIQ(K$6,$F$2, $A63, $I$2, $I$3)))</f>
        <v/>
      </c>
      <c r="L63" s="254" t="str">
        <f>IF(L$6="","",IF(NOT(ISNUMBER(_xll.ciqfunctions.udf.CIQ(L$6,$F$2, $A63, $I$2, $I$3))),IF(L62=L$6,"",L62),_xll.ciqfunctions.udf.CIQ(L$6,$F$2, $A63, $I$2, $I$3)))</f>
        <v/>
      </c>
      <c r="M63" s="254" t="str">
        <f>IF(M$6="","",IF(NOT(ISNUMBER(_xll.ciqfunctions.udf.CIQ(M$6,$F$2, $A63, $I$2, $I$3))),IF(M62=M$6,"",M62),_xll.ciqfunctions.udf.CIQ(M$6,$F$2, $A63, $I$2, $I$3)))</f>
        <v/>
      </c>
      <c r="N63" s="254" t="str">
        <f>IF(N$6="","",IF(NOT(ISNUMBER(_xll.ciqfunctions.udf.CIQ(N$6,$F$2, $A63, $I$2, $I$3))),IF(N62=N$6,"",N62),_xll.ciqfunctions.udf.CIQ(N$6,$F$2, $A63, $I$2, $I$3)))</f>
        <v/>
      </c>
      <c r="O63" s="254" t="str">
        <f>IF(O$6="","",IF(NOT(ISNUMBER(_xll.ciqfunctions.udf.CIQ(O$6,$F$2, $A63, $I$2, $I$3))),IF(O62=O$6,"",O62),_xll.ciqfunctions.udf.CIQ(O$6,$F$2, $A63, $I$2, $I$3)))</f>
        <v/>
      </c>
      <c r="P63" s="254" t="str">
        <f>IF(P$6="","",IF(NOT(ISNUMBER(_xll.ciqfunctions.udf.CIQ(P$6,$F$2, $A63, $I$2, $I$3))),IF(P62=P$6,"",P62),_xll.ciqfunctions.udf.CIQ(P$6,$F$2, $A63, $I$2, $I$3)))</f>
        <v/>
      </c>
      <c r="Q63" s="254"/>
      <c r="R63" s="251">
        <f t="shared" si="16"/>
        <v>43217</v>
      </c>
      <c r="S63" s="255">
        <f t="shared" si="35"/>
        <v>0.21101553829078812</v>
      </c>
      <c r="T63" s="255">
        <f t="shared" si="36"/>
        <v>0.17654385680757945</v>
      </c>
      <c r="U63" s="255">
        <f t="shared" si="37"/>
        <v>0.14495501614006989</v>
      </c>
      <c r="V63" s="255">
        <f t="shared" si="52"/>
        <v>8.0622620250791144E-2</v>
      </c>
      <c r="W63" s="255">
        <f t="array" ref="W63">IFERROR(AVERAGE(IF(ISERROR(X63:AG63),"",X63:AG63)),"")</f>
        <v>0.17228218736955103</v>
      </c>
      <c r="X63" s="255">
        <f t="shared" si="53"/>
        <v>0.17228218736955103</v>
      </c>
      <c r="Y63" s="255" t="e">
        <f t="shared" si="54"/>
        <v>#N/A</v>
      </c>
      <c r="Z63" s="255" t="e">
        <f t="shared" si="55"/>
        <v>#N/A</v>
      </c>
      <c r="AA63" s="255" t="e">
        <f t="shared" si="56"/>
        <v>#N/A</v>
      </c>
      <c r="AB63" s="255" t="e">
        <f t="shared" si="57"/>
        <v>#N/A</v>
      </c>
      <c r="AC63" s="255" t="e">
        <f t="shared" si="58"/>
        <v>#N/A</v>
      </c>
      <c r="AD63" s="255" t="e">
        <f t="shared" si="59"/>
        <v>#N/A</v>
      </c>
      <c r="AE63" s="255" t="e">
        <f t="shared" si="60"/>
        <v>#N/A</v>
      </c>
      <c r="AF63" s="255" t="e">
        <f t="shared" si="61"/>
        <v>#N/A</v>
      </c>
      <c r="AG63" s="255" t="e">
        <f t="shared" si="62"/>
        <v>#N/A</v>
      </c>
      <c r="AI63" s="251">
        <f t="shared" si="27"/>
        <v>43217</v>
      </c>
      <c r="AJ63" s="718">
        <f>IF(OR($B63="No",AJ$6=""),"",IF(NOT(ISNUMBER(_xll.ciqfunctions.udf.CIQ(AJ$6,"IQ_TEV",$AI63,$I$2,$I$3))),"",_xll.ciqfunctions.udf.CIQ(AJ$6,"IQ_TEV",$AI63,$I$2,$I$3)))</f>
        <v>300591.85071000003</v>
      </c>
      <c r="AK63" s="718">
        <f>IF(OR($B63="No",AK$6=""),"",IF(NOT(ISNUMBER(_xll.ciqfunctions.udf.CIQ(AK$6,"IQ_TEV",$AI63,$I$2,$I$3))),"",_xll.ciqfunctions.udf.CIQ(AK$6,"IQ_TEV",$AI63,$I$2,$I$3)))</f>
        <v>87237.289069999999</v>
      </c>
      <c r="AL63" s="718" t="str">
        <f>IF(OR($B63="No",AL$6=""),"",IF(NOT(ISNUMBER(_xll.ciqfunctions.udf.CIQ(AL$6,"IQ_TEV",$AI63,$I$2,$I$3))),"",_xll.ciqfunctions.udf.CIQ(AL$6,"IQ_TEV",$AI63,$I$2,$I$3)))</f>
        <v/>
      </c>
      <c r="AM63" s="718" t="str">
        <f>IF(OR($B63="No",AM$6=""),"",IF(NOT(ISNUMBER(_xll.ciqfunctions.udf.CIQ(AM$6,"IQ_TEV",$AI63,$I$2,$I$3))),"",_xll.ciqfunctions.udf.CIQ(AM$6,"IQ_TEV",$AI63,$I$2,$I$3)))</f>
        <v/>
      </c>
      <c r="AN63" s="718" t="str">
        <f>IF(OR($B63="No",AN$6=""),"",IF(NOT(ISNUMBER(_xll.ciqfunctions.udf.CIQ(AN$6,"IQ_TEV",$AI63,$I$2,$I$3))),"",_xll.ciqfunctions.udf.CIQ(AN$6,"IQ_TEV",$AI63,$I$2,$I$3)))</f>
        <v/>
      </c>
      <c r="AO63" s="718" t="str">
        <f>IF(OR($B63="No",AO$6=""),"",IF(NOT(ISNUMBER(_xll.ciqfunctions.udf.CIQ(AO$6,"IQ_TEV",$AI63,$I$2,$I$3))),"",_xll.ciqfunctions.udf.CIQ(AO$6,"IQ_TEV",$AI63,$I$2,$I$3)))</f>
        <v/>
      </c>
      <c r="AP63" s="718" t="str">
        <f>IF(OR($B63="No",AP$6=""),"",IF(NOT(ISNUMBER(_xll.ciqfunctions.udf.CIQ(AP$6,"IQ_TEV",$AI63,$I$2,$I$3))),"",_xll.ciqfunctions.udf.CIQ(AP$6,"IQ_TEV",$AI63,$I$2,$I$3)))</f>
        <v/>
      </c>
      <c r="AQ63" s="718" t="str">
        <f>IF(OR($B63="No",AQ$6=""),"",IF(NOT(ISNUMBER(_xll.ciqfunctions.udf.CIQ(AQ$6,"IQ_TEV",$AI63,$I$2,$I$3))),"",_xll.ciqfunctions.udf.CIQ(AQ$6,"IQ_TEV",$AI63,$I$2,$I$3)))</f>
        <v/>
      </c>
      <c r="AR63" s="718" t="str">
        <f>IF(OR($B63="No",AR$6=""),"",IF(NOT(ISNUMBER(_xll.ciqfunctions.udf.CIQ(AR$6,"IQ_TEV",$AI63,$I$2,$I$3))),"",_xll.ciqfunctions.udf.CIQ(AR$6,"IQ_TEV",$AI63,$I$2,$I$3)))</f>
        <v/>
      </c>
      <c r="AS63" s="718" t="str">
        <f>IF(OR($B63="No",AS$6=""),"",IF(NOT(ISNUMBER(_xll.ciqfunctions.udf.CIQ(AS$6,"IQ_TEV",$AI63,$I$2,$I$3))),"",_xll.ciqfunctions.udf.CIQ(AS$6,"IQ_TEV",$AI63,$I$2,$I$3)))</f>
        <v/>
      </c>
      <c r="AT63" s="718" t="str">
        <f>IF(OR($B63="No",AT$6=""),"",IF(NOT(ISNUMBER(_xll.ciqfunctions.udf.CIQ(AT$6,"IQ_TEV",$AI63,$I$2,$I$3))),"",_xll.ciqfunctions.udf.CIQ(AT$6,"IQ_TEV",$AI63,$I$2,$I$3)))</f>
        <v/>
      </c>
      <c r="AV63" s="251">
        <f t="shared" si="39"/>
        <v>43217</v>
      </c>
      <c r="AW63" s="719">
        <f t="shared" si="40"/>
        <v>0.15144015182318382</v>
      </c>
      <c r="AX63" s="719">
        <f t="shared" si="41"/>
        <v>0.19527944146478649</v>
      </c>
      <c r="AY63" s="719" t="e">
        <f t="shared" si="42"/>
        <v>#N/A</v>
      </c>
      <c r="AZ63" s="719" t="e">
        <f t="shared" si="43"/>
        <v>#N/A</v>
      </c>
      <c r="BA63" s="719" t="e">
        <f t="shared" si="44"/>
        <v>#N/A</v>
      </c>
      <c r="BB63" s="719" t="e">
        <f t="shared" si="45"/>
        <v>#N/A</v>
      </c>
      <c r="BC63" s="719" t="e">
        <f t="shared" si="46"/>
        <v>#N/A</v>
      </c>
      <c r="BD63" s="719" t="e">
        <f t="shared" si="47"/>
        <v>#N/A</v>
      </c>
      <c r="BE63" s="719" t="e">
        <f t="shared" si="48"/>
        <v>#N/A</v>
      </c>
      <c r="BF63" s="719" t="e">
        <f t="shared" si="49"/>
        <v>#N/A</v>
      </c>
      <c r="BG63" s="719" t="e">
        <f t="shared" si="50"/>
        <v>#N/A</v>
      </c>
    </row>
    <row r="64" spans="1:59" ht="15" customHeight="1" x14ac:dyDescent="0.2">
      <c r="A64" s="251">
        <f t="shared" si="15"/>
        <v>43224</v>
      </c>
      <c r="B64" s="253" t="str">
        <f t="shared" si="51"/>
        <v>Yes</v>
      </c>
      <c r="C64" s="1033">
        <f>IF(C$6="","",IF(NOT(ISNUMBER(_xll.ciqfunctions.udf.CIQ(C$6,$F$2, $A64, $I$2, $I$3))),IF(C63=C$6,"",C63),_xll.ciqfunctions.udf.CIQ(C$6,$F$2, $A64, $I$2, $I$3)))</f>
        <v>87.53</v>
      </c>
      <c r="D64" s="1033">
        <f>IF(D$6="","",IF(NOT(ISNUMBER(_xll.ciqfunctions.udf.CIQ(D$6,$F$2, $A64, $I$2, $I$3))),IF(D63=D$6,"",D63),_xll.ciqfunctions.udf.CIQ(D$6,$F$2, $A64, $I$2, $I$3)))</f>
        <v>24262.505730000001</v>
      </c>
      <c r="E64" s="1033">
        <f>IF(E$6="","",IF(NOT(ISNUMBER(_xll.ciqfunctions.udf.CIQ(E$6,$F$2, $A64, $I$2, $I$3))),IF(E63=E$6,"",E63),_xll.ciqfunctions.udf.CIQ(E$6,$F$2, $A64, $I$2, $I$3)))</f>
        <v>8137.3334800000002</v>
      </c>
      <c r="F64" s="1033">
        <f>IF(F$6="","",IF(NOT(ISNUMBER(_xll.ciqfunctions.udf.CIQ(F$6,$F$2, $A64, $I$2, $I$3))),IF(F63=F$6,"",F63),_xll.ciqfunctions.udf.CIQ(F$6,$F$2, $A64, $I$2, $I$3)))</f>
        <v>4669.5597699999998</v>
      </c>
      <c r="G64" s="1033">
        <f>IF(G$6="","",IF(NOT(ISNUMBER(_xll.ciqfunctions.udf.CIQ(G$6,$F$2, $A64, $I$2, $I$3))),IF(G63=G$6,"",G63),_xll.ciqfunctions.udf.CIQ(G$6,$F$2, $A64, $I$2, $I$3)))</f>
        <v>195.19</v>
      </c>
      <c r="H64" s="1033" t="str">
        <f>IF(H$6="","",IF(NOT(ISNUMBER(_xll.ciqfunctions.udf.CIQ(H$6,$F$2, $A64, $I$2, $I$3))),IF(H63=H$6,"",H63),_xll.ciqfunctions.udf.CIQ(H$6,$F$2, $A64, $I$2, $I$3)))</f>
        <v/>
      </c>
      <c r="I64" s="1033" t="str">
        <f>IF(I$6="","",IF(NOT(ISNUMBER(_xll.ciqfunctions.udf.CIQ(I$6,$F$2, $A64, $I$2, $I$3))),IF(I63=I$6,"",I63),_xll.ciqfunctions.udf.CIQ(I$6,$F$2, $A64, $I$2, $I$3)))</f>
        <v/>
      </c>
      <c r="J64" s="1033" t="str">
        <f>IF(J$6="","",IF(NOT(ISNUMBER(_xll.ciqfunctions.udf.CIQ(J$6,$F$2, $A64, $I$2, $I$3))),IF(J63=J$6,"",J63),_xll.ciqfunctions.udf.CIQ(J$6,$F$2, $A64, $I$2, $I$3)))</f>
        <v/>
      </c>
      <c r="K64" s="1033" t="str">
        <f>IF(K$6="","",IF(NOT(ISNUMBER(_xll.ciqfunctions.udf.CIQ(K$6,$F$2, $A64, $I$2, $I$3))),IF(K63=K$6,"",K63),_xll.ciqfunctions.udf.CIQ(K$6,$F$2, $A64, $I$2, $I$3)))</f>
        <v/>
      </c>
      <c r="L64" s="254" t="str">
        <f>IF(L$6="","",IF(NOT(ISNUMBER(_xll.ciqfunctions.udf.CIQ(L$6,$F$2, $A64, $I$2, $I$3))),IF(L63=L$6,"",L63),_xll.ciqfunctions.udf.CIQ(L$6,$F$2, $A64, $I$2, $I$3)))</f>
        <v/>
      </c>
      <c r="M64" s="254" t="str">
        <f>IF(M$6="","",IF(NOT(ISNUMBER(_xll.ciqfunctions.udf.CIQ(M$6,$F$2, $A64, $I$2, $I$3))),IF(M63=M$6,"",M63),_xll.ciqfunctions.udf.CIQ(M$6,$F$2, $A64, $I$2, $I$3)))</f>
        <v/>
      </c>
      <c r="N64" s="254" t="str">
        <f>IF(N$6="","",IF(NOT(ISNUMBER(_xll.ciqfunctions.udf.CIQ(N$6,$F$2, $A64, $I$2, $I$3))),IF(N63=N$6,"",N63),_xll.ciqfunctions.udf.CIQ(N$6,$F$2, $A64, $I$2, $I$3)))</f>
        <v/>
      </c>
      <c r="O64" s="254" t="str">
        <f>IF(O$6="","",IF(NOT(ISNUMBER(_xll.ciqfunctions.udf.CIQ(O$6,$F$2, $A64, $I$2, $I$3))),IF(O63=O$6,"",O63),_xll.ciqfunctions.udf.CIQ(O$6,$F$2, $A64, $I$2, $I$3)))</f>
        <v/>
      </c>
      <c r="P64" s="254" t="str">
        <f>IF(P$6="","",IF(NOT(ISNUMBER(_xll.ciqfunctions.udf.CIQ(P$6,$F$2, $A64, $I$2, $I$3))),IF(P63=P$6,"",P63),_xll.ciqfunctions.udf.CIQ(P$6,$F$2, $A64, $I$2, $I$3)))</f>
        <v/>
      </c>
      <c r="Q64" s="254"/>
      <c r="R64" s="251">
        <f t="shared" si="16"/>
        <v>43224</v>
      </c>
      <c r="S64" s="255">
        <f t="shared" si="35"/>
        <v>0.21434517203107673</v>
      </c>
      <c r="T64" s="255">
        <f t="shared" si="36"/>
        <v>0.17418797677035558</v>
      </c>
      <c r="U64" s="255">
        <f t="shared" si="37"/>
        <v>0.1371628033496608</v>
      </c>
      <c r="V64" s="255">
        <f t="shared" si="52"/>
        <v>6.37452170662276E-2</v>
      </c>
      <c r="W64" s="255">
        <f t="array" ref="W64">IFERROR(AVERAGE(IF(ISERROR(X64:AG64),"",X64:AG64)),"")</f>
        <v>0.163993082473612</v>
      </c>
      <c r="X64" s="255">
        <f t="shared" si="53"/>
        <v>0.163993082473612</v>
      </c>
      <c r="Y64" s="255" t="e">
        <f t="shared" si="54"/>
        <v>#N/A</v>
      </c>
      <c r="Z64" s="255" t="e">
        <f t="shared" si="55"/>
        <v>#N/A</v>
      </c>
      <c r="AA64" s="255" t="e">
        <f t="shared" si="56"/>
        <v>#N/A</v>
      </c>
      <c r="AB64" s="255" t="e">
        <f t="shared" si="57"/>
        <v>#N/A</v>
      </c>
      <c r="AC64" s="255" t="e">
        <f t="shared" si="58"/>
        <v>#N/A</v>
      </c>
      <c r="AD64" s="255" t="e">
        <f t="shared" si="59"/>
        <v>#N/A</v>
      </c>
      <c r="AE64" s="255" t="e">
        <f t="shared" si="60"/>
        <v>#N/A</v>
      </c>
      <c r="AF64" s="255" t="e">
        <f t="shared" si="61"/>
        <v>#N/A</v>
      </c>
      <c r="AG64" s="255" t="e">
        <f t="shared" si="62"/>
        <v>#N/A</v>
      </c>
      <c r="AI64" s="251">
        <f t="shared" si="27"/>
        <v>43224</v>
      </c>
      <c r="AJ64" s="718">
        <f>IF(OR($B64="No",AJ$6=""),"",IF(NOT(ISNUMBER(_xll.ciqfunctions.udf.CIQ(AJ$6,"IQ_TEV",$AI64,$I$2,$I$3))),"",_xll.ciqfunctions.udf.CIQ(AJ$6,"IQ_TEV",$AI64,$I$2,$I$3)))</f>
        <v>301300.44556000002</v>
      </c>
      <c r="AK64" s="718">
        <f>IF(OR($B64="No",AK$6=""),"",IF(NOT(ISNUMBER(_xll.ciqfunctions.udf.CIQ(AK$6,"IQ_TEV",$AI64,$I$2,$I$3))),"",_xll.ciqfunctions.udf.CIQ(AK$6,"IQ_TEV",$AI64,$I$2,$I$3)))</f>
        <v>86627.328890000004</v>
      </c>
      <c r="AL64" s="718" t="str">
        <f>IF(OR($B64="No",AL$6=""),"",IF(NOT(ISNUMBER(_xll.ciqfunctions.udf.CIQ(AL$6,"IQ_TEV",$AI64,$I$2,$I$3))),"",_xll.ciqfunctions.udf.CIQ(AL$6,"IQ_TEV",$AI64,$I$2,$I$3)))</f>
        <v/>
      </c>
      <c r="AM64" s="718" t="str">
        <f>IF(OR($B64="No",AM$6=""),"",IF(NOT(ISNUMBER(_xll.ciqfunctions.udf.CIQ(AM$6,"IQ_TEV",$AI64,$I$2,$I$3))),"",_xll.ciqfunctions.udf.CIQ(AM$6,"IQ_TEV",$AI64,$I$2,$I$3)))</f>
        <v/>
      </c>
      <c r="AN64" s="718" t="str">
        <f>IF(OR($B64="No",AN$6=""),"",IF(NOT(ISNUMBER(_xll.ciqfunctions.udf.CIQ(AN$6,"IQ_TEV",$AI64,$I$2,$I$3))),"",_xll.ciqfunctions.udf.CIQ(AN$6,"IQ_TEV",$AI64,$I$2,$I$3)))</f>
        <v/>
      </c>
      <c r="AO64" s="718" t="str">
        <f>IF(OR($B64="No",AO$6=""),"",IF(NOT(ISNUMBER(_xll.ciqfunctions.udf.CIQ(AO$6,"IQ_TEV",$AI64,$I$2,$I$3))),"",_xll.ciqfunctions.udf.CIQ(AO$6,"IQ_TEV",$AI64,$I$2,$I$3)))</f>
        <v/>
      </c>
      <c r="AP64" s="718" t="str">
        <f>IF(OR($B64="No",AP$6=""),"",IF(NOT(ISNUMBER(_xll.ciqfunctions.udf.CIQ(AP$6,"IQ_TEV",$AI64,$I$2,$I$3))),"",_xll.ciqfunctions.udf.CIQ(AP$6,"IQ_TEV",$AI64,$I$2,$I$3)))</f>
        <v/>
      </c>
      <c r="AQ64" s="718" t="str">
        <f>IF(OR($B64="No",AQ$6=""),"",IF(NOT(ISNUMBER(_xll.ciqfunctions.udf.CIQ(AQ$6,"IQ_TEV",$AI64,$I$2,$I$3))),"",_xll.ciqfunctions.udf.CIQ(AQ$6,"IQ_TEV",$AI64,$I$2,$I$3)))</f>
        <v/>
      </c>
      <c r="AR64" s="718" t="str">
        <f>IF(OR($B64="No",AR$6=""),"",IF(NOT(ISNUMBER(_xll.ciqfunctions.udf.CIQ(AR$6,"IQ_TEV",$AI64,$I$2,$I$3))),"",_xll.ciqfunctions.udf.CIQ(AR$6,"IQ_TEV",$AI64,$I$2,$I$3)))</f>
        <v/>
      </c>
      <c r="AS64" s="718" t="str">
        <f>IF(OR($B64="No",AS$6=""),"",IF(NOT(ISNUMBER(_xll.ciqfunctions.udf.CIQ(AS$6,"IQ_TEV",$AI64,$I$2,$I$3))),"",_xll.ciqfunctions.udf.CIQ(AS$6,"IQ_TEV",$AI64,$I$2,$I$3)))</f>
        <v/>
      </c>
      <c r="AT64" s="718" t="str">
        <f>IF(OR($B64="No",AT$6=""),"",IF(NOT(ISNUMBER(_xll.ciqfunctions.udf.CIQ(AT$6,"IQ_TEV",$AI64,$I$2,$I$3))),"",_xll.ciqfunctions.udf.CIQ(AT$6,"IQ_TEV",$AI64,$I$2,$I$3)))</f>
        <v/>
      </c>
      <c r="AV64" s="251">
        <f t="shared" si="39"/>
        <v>43224</v>
      </c>
      <c r="AW64" s="719">
        <f t="shared" si="40"/>
        <v>0.15415447877429034</v>
      </c>
      <c r="AX64" s="719">
        <f t="shared" si="41"/>
        <v>0.18692208796333665</v>
      </c>
      <c r="AY64" s="719" t="e">
        <f t="shared" si="42"/>
        <v>#N/A</v>
      </c>
      <c r="AZ64" s="719" t="e">
        <f t="shared" si="43"/>
        <v>#N/A</v>
      </c>
      <c r="BA64" s="719" t="e">
        <f t="shared" si="44"/>
        <v>#N/A</v>
      </c>
      <c r="BB64" s="719" t="e">
        <f t="shared" si="45"/>
        <v>#N/A</v>
      </c>
      <c r="BC64" s="719" t="e">
        <f t="shared" si="46"/>
        <v>#N/A</v>
      </c>
      <c r="BD64" s="719" t="e">
        <f t="shared" si="47"/>
        <v>#N/A</v>
      </c>
      <c r="BE64" s="719" t="e">
        <f t="shared" si="48"/>
        <v>#N/A</v>
      </c>
      <c r="BF64" s="719" t="e">
        <f t="shared" si="49"/>
        <v>#N/A</v>
      </c>
      <c r="BG64" s="719" t="e">
        <f t="shared" si="50"/>
        <v>#N/A</v>
      </c>
    </row>
    <row r="65" spans="1:59" ht="15" customHeight="1" x14ac:dyDescent="0.2">
      <c r="A65" s="251">
        <f t="shared" si="15"/>
        <v>43231</v>
      </c>
      <c r="B65" s="253" t="str">
        <f t="shared" si="51"/>
        <v>Yes</v>
      </c>
      <c r="C65" s="1033">
        <f>IF(C$6="","",IF(NOT(ISNUMBER(_xll.ciqfunctions.udf.CIQ(C$6,$F$2, $A65, $I$2, $I$3))),IF(C64=C$6,"",C64),_xll.ciqfunctions.udf.CIQ(C$6,$F$2, $A65, $I$2, $I$3)))</f>
        <v>83.38</v>
      </c>
      <c r="D65" s="1033">
        <f>IF(D$6="","",IF(NOT(ISNUMBER(_xll.ciqfunctions.udf.CIQ(D$6,$F$2, $A65, $I$2, $I$3))),IF(D64=D$6,"",D64),_xll.ciqfunctions.udf.CIQ(D$6,$F$2, $A65, $I$2, $I$3)))</f>
        <v>24831.174350000001</v>
      </c>
      <c r="E65" s="1033">
        <f>IF(E$6="","",IF(NOT(ISNUMBER(_xll.ciqfunctions.udf.CIQ(E$6,$F$2, $A65, $I$2, $I$3))),IF(E64=E$6,"",E64),_xll.ciqfunctions.udf.CIQ(E$6,$F$2, $A65, $I$2, $I$3)))</f>
        <v>8297.1601499999997</v>
      </c>
      <c r="F65" s="1033">
        <f>IF(F$6="","",IF(NOT(ISNUMBER(_xll.ciqfunctions.udf.CIQ(F$6,$F$2, $A65, $I$2, $I$3))),IF(F64=F$6,"",F64),_xll.ciqfunctions.udf.CIQ(F$6,$F$2, $A65, $I$2, $I$3)))</f>
        <v>4721.8809700000002</v>
      </c>
      <c r="G65" s="1033">
        <f>IF(G$6="","",IF(NOT(ISNUMBER(_xll.ciqfunctions.udf.CIQ(G$6,$F$2, $A65, $I$2, $I$3))),IF(G64=G$6,"",G64),_xll.ciqfunctions.udf.CIQ(G$6,$F$2, $A65, $I$2, $I$3)))</f>
        <v>195.76</v>
      </c>
      <c r="H65" s="1033" t="str">
        <f>IF(H$6="","",IF(NOT(ISNUMBER(_xll.ciqfunctions.udf.CIQ(H$6,$F$2, $A65, $I$2, $I$3))),IF(H64=H$6,"",H64),_xll.ciqfunctions.udf.CIQ(H$6,$F$2, $A65, $I$2, $I$3)))</f>
        <v/>
      </c>
      <c r="I65" s="1033" t="str">
        <f>IF(I$6="","",IF(NOT(ISNUMBER(_xll.ciqfunctions.udf.CIQ(I$6,$F$2, $A65, $I$2, $I$3))),IF(I64=I$6,"",I64),_xll.ciqfunctions.udf.CIQ(I$6,$F$2, $A65, $I$2, $I$3)))</f>
        <v/>
      </c>
      <c r="J65" s="1033" t="str">
        <f>IF(J$6="","",IF(NOT(ISNUMBER(_xll.ciqfunctions.udf.CIQ(J$6,$F$2, $A65, $I$2, $I$3))),IF(J64=J$6,"",J64),_xll.ciqfunctions.udf.CIQ(J$6,$F$2, $A65, $I$2, $I$3)))</f>
        <v/>
      </c>
      <c r="K65" s="1033" t="str">
        <f>IF(K$6="","",IF(NOT(ISNUMBER(_xll.ciqfunctions.udf.CIQ(K$6,$F$2, $A65, $I$2, $I$3))),IF(K64=K$6,"",K64),_xll.ciqfunctions.udf.CIQ(K$6,$F$2, $A65, $I$2, $I$3)))</f>
        <v/>
      </c>
      <c r="L65" s="254" t="str">
        <f>IF(L$6="","",IF(NOT(ISNUMBER(_xll.ciqfunctions.udf.CIQ(L$6,$F$2, $A65, $I$2, $I$3))),IF(L64=L$6,"",L64),_xll.ciqfunctions.udf.CIQ(L$6,$F$2, $A65, $I$2, $I$3)))</f>
        <v/>
      </c>
      <c r="M65" s="254" t="str">
        <f>IF(M$6="","",IF(NOT(ISNUMBER(_xll.ciqfunctions.udf.CIQ(M$6,$F$2, $A65, $I$2, $I$3))),IF(M64=M$6,"",M64),_xll.ciqfunctions.udf.CIQ(M$6,$F$2, $A65, $I$2, $I$3)))</f>
        <v/>
      </c>
      <c r="N65" s="254" t="str">
        <f>IF(N$6="","",IF(NOT(ISNUMBER(_xll.ciqfunctions.udf.CIQ(N$6,$F$2, $A65, $I$2, $I$3))),IF(N64=N$6,"",N64),_xll.ciqfunctions.udf.CIQ(N$6,$F$2, $A65, $I$2, $I$3)))</f>
        <v/>
      </c>
      <c r="O65" s="254" t="str">
        <f>IF(O$6="","",IF(NOT(ISNUMBER(_xll.ciqfunctions.udf.CIQ(O$6,$F$2, $A65, $I$2, $I$3))),IF(O64=O$6,"",O64),_xll.ciqfunctions.udf.CIQ(O$6,$F$2, $A65, $I$2, $I$3)))</f>
        <v/>
      </c>
      <c r="P65" s="254" t="str">
        <f>IF(P$6="","",IF(NOT(ISNUMBER(_xll.ciqfunctions.udf.CIQ(P$6,$F$2, $A65, $I$2, $I$3))),IF(P64=P$6,"",P64),_xll.ciqfunctions.udf.CIQ(P$6,$F$2, $A65, $I$2, $I$3)))</f>
        <v/>
      </c>
      <c r="Q65" s="254"/>
      <c r="R65" s="251">
        <f t="shared" si="16"/>
        <v>43231</v>
      </c>
      <c r="S65" s="255">
        <f t="shared" si="35"/>
        <v>0.15677025527192012</v>
      </c>
      <c r="T65" s="255">
        <f t="shared" si="36"/>
        <v>0.20170878866840147</v>
      </c>
      <c r="U65" s="255">
        <f t="shared" si="37"/>
        <v>0.1594980000764441</v>
      </c>
      <c r="V65" s="255">
        <f t="shared" si="52"/>
        <v>7.566420493500603E-2</v>
      </c>
      <c r="W65" s="255">
        <f t="array" ref="W65">IFERROR(AVERAGE(IF(ISERROR(X65:AG65),"",X65:AG65)),"")</f>
        <v>0.16739221181942865</v>
      </c>
      <c r="X65" s="255">
        <f t="shared" si="53"/>
        <v>0.16739221181942865</v>
      </c>
      <c r="Y65" s="255" t="e">
        <f t="shared" si="54"/>
        <v>#N/A</v>
      </c>
      <c r="Z65" s="255" t="e">
        <f t="shared" si="55"/>
        <v>#N/A</v>
      </c>
      <c r="AA65" s="255" t="e">
        <f t="shared" si="56"/>
        <v>#N/A</v>
      </c>
      <c r="AB65" s="255" t="e">
        <f t="shared" si="57"/>
        <v>#N/A</v>
      </c>
      <c r="AC65" s="255" t="e">
        <f t="shared" si="58"/>
        <v>#N/A</v>
      </c>
      <c r="AD65" s="255" t="e">
        <f t="shared" si="59"/>
        <v>#N/A</v>
      </c>
      <c r="AE65" s="255" t="e">
        <f t="shared" si="60"/>
        <v>#N/A</v>
      </c>
      <c r="AF65" s="255" t="e">
        <f t="shared" si="61"/>
        <v>#N/A</v>
      </c>
      <c r="AG65" s="255" t="e">
        <f t="shared" si="62"/>
        <v>#N/A</v>
      </c>
      <c r="AI65" s="251">
        <f t="shared" si="27"/>
        <v>43231</v>
      </c>
      <c r="AJ65" s="718">
        <f>IF(OR($B65="No",AJ$6=""),"",IF(NOT(ISNUMBER(_xll.ciqfunctions.udf.CIQ(AJ$6,"IQ_TEV",$AI65,$I$2,$I$3))),"",_xll.ciqfunctions.udf.CIQ(AJ$6,"IQ_TEV",$AI65,$I$2,$I$3)))</f>
        <v>289047.65966</v>
      </c>
      <c r="AK65" s="718">
        <f>IF(OR($B65="No",AK$6=""),"",IF(NOT(ISNUMBER(_xll.ciqfunctions.udf.CIQ(AK$6,"IQ_TEV",$AI65,$I$2,$I$3))),"",_xll.ciqfunctions.udf.CIQ(AK$6,"IQ_TEV",$AI65,$I$2,$I$3)))</f>
        <v>86877.456449999998</v>
      </c>
      <c r="AL65" s="718" t="str">
        <f>IF(OR($B65="No",AL$6=""),"",IF(NOT(ISNUMBER(_xll.ciqfunctions.udf.CIQ(AL$6,"IQ_TEV",$AI65,$I$2,$I$3))),"",_xll.ciqfunctions.udf.CIQ(AL$6,"IQ_TEV",$AI65,$I$2,$I$3)))</f>
        <v/>
      </c>
      <c r="AM65" s="718" t="str">
        <f>IF(OR($B65="No",AM$6=""),"",IF(NOT(ISNUMBER(_xll.ciqfunctions.udf.CIQ(AM$6,"IQ_TEV",$AI65,$I$2,$I$3))),"",_xll.ciqfunctions.udf.CIQ(AM$6,"IQ_TEV",$AI65,$I$2,$I$3)))</f>
        <v/>
      </c>
      <c r="AN65" s="718" t="str">
        <f>IF(OR($B65="No",AN$6=""),"",IF(NOT(ISNUMBER(_xll.ciqfunctions.udf.CIQ(AN$6,"IQ_TEV",$AI65,$I$2,$I$3))),"",_xll.ciqfunctions.udf.CIQ(AN$6,"IQ_TEV",$AI65,$I$2,$I$3)))</f>
        <v/>
      </c>
      <c r="AO65" s="718" t="str">
        <f>IF(OR($B65="No",AO$6=""),"",IF(NOT(ISNUMBER(_xll.ciqfunctions.udf.CIQ(AO$6,"IQ_TEV",$AI65,$I$2,$I$3))),"",_xll.ciqfunctions.udf.CIQ(AO$6,"IQ_TEV",$AI65,$I$2,$I$3)))</f>
        <v/>
      </c>
      <c r="AP65" s="718" t="str">
        <f>IF(OR($B65="No",AP$6=""),"",IF(NOT(ISNUMBER(_xll.ciqfunctions.udf.CIQ(AP$6,"IQ_TEV",$AI65,$I$2,$I$3))),"",_xll.ciqfunctions.udf.CIQ(AP$6,"IQ_TEV",$AI65,$I$2,$I$3)))</f>
        <v/>
      </c>
      <c r="AQ65" s="718" t="str">
        <f>IF(OR($B65="No",AQ$6=""),"",IF(NOT(ISNUMBER(_xll.ciqfunctions.udf.CIQ(AQ$6,"IQ_TEV",$AI65,$I$2,$I$3))),"",_xll.ciqfunctions.udf.CIQ(AQ$6,"IQ_TEV",$AI65,$I$2,$I$3)))</f>
        <v/>
      </c>
      <c r="AR65" s="718" t="str">
        <f>IF(OR($B65="No",AR$6=""),"",IF(NOT(ISNUMBER(_xll.ciqfunctions.udf.CIQ(AR$6,"IQ_TEV",$AI65,$I$2,$I$3))),"",_xll.ciqfunctions.udf.CIQ(AR$6,"IQ_TEV",$AI65,$I$2,$I$3)))</f>
        <v/>
      </c>
      <c r="AS65" s="718" t="str">
        <f>IF(OR($B65="No",AS$6=""),"",IF(NOT(ISNUMBER(_xll.ciqfunctions.udf.CIQ(AS$6,"IQ_TEV",$AI65,$I$2,$I$3))),"",_xll.ciqfunctions.udf.CIQ(AS$6,"IQ_TEV",$AI65,$I$2,$I$3)))</f>
        <v/>
      </c>
      <c r="AT65" s="718" t="str">
        <f>IF(OR($B65="No",AT$6=""),"",IF(NOT(ISNUMBER(_xll.ciqfunctions.udf.CIQ(AT$6,"IQ_TEV",$AI65,$I$2,$I$3))),"",_xll.ciqfunctions.udf.CIQ(AT$6,"IQ_TEV",$AI65,$I$2,$I$3)))</f>
        <v/>
      </c>
      <c r="AV65" s="251">
        <f t="shared" si="39"/>
        <v>43231</v>
      </c>
      <c r="AW65" s="719">
        <f t="shared" si="40"/>
        <v>0.10721924209495604</v>
      </c>
      <c r="AX65" s="719">
        <f t="shared" si="41"/>
        <v>0.19034920420455603</v>
      </c>
      <c r="AY65" s="719" t="e">
        <f t="shared" si="42"/>
        <v>#N/A</v>
      </c>
      <c r="AZ65" s="719" t="e">
        <f t="shared" si="43"/>
        <v>#N/A</v>
      </c>
      <c r="BA65" s="719" t="e">
        <f t="shared" si="44"/>
        <v>#N/A</v>
      </c>
      <c r="BB65" s="719" t="e">
        <f t="shared" si="45"/>
        <v>#N/A</v>
      </c>
      <c r="BC65" s="719" t="e">
        <f t="shared" si="46"/>
        <v>#N/A</v>
      </c>
      <c r="BD65" s="719" t="e">
        <f t="shared" si="47"/>
        <v>#N/A</v>
      </c>
      <c r="BE65" s="719" t="e">
        <f t="shared" si="48"/>
        <v>#N/A</v>
      </c>
      <c r="BF65" s="719" t="e">
        <f t="shared" si="49"/>
        <v>#N/A</v>
      </c>
      <c r="BG65" s="719" t="e">
        <f t="shared" si="50"/>
        <v>#N/A</v>
      </c>
    </row>
    <row r="66" spans="1:59" ht="15" customHeight="1" x14ac:dyDescent="0.2">
      <c r="A66" s="251">
        <f t="shared" si="15"/>
        <v>43238</v>
      </c>
      <c r="B66" s="253" t="str">
        <f t="shared" si="51"/>
        <v>Yes</v>
      </c>
      <c r="C66" s="1033">
        <f>IF(C$6="","",IF(NOT(ISNUMBER(_xll.ciqfunctions.udf.CIQ(C$6,$F$2, $A66, $I$2, $I$3))),IF(C65=C$6,"",C65),_xll.ciqfunctions.udf.CIQ(C$6,$F$2, $A66, $I$2, $I$3)))</f>
        <v>83.64</v>
      </c>
      <c r="D66" s="1033">
        <f>IF(D$6="","",IF(NOT(ISNUMBER(_xll.ciqfunctions.udf.CIQ(D$6,$F$2, $A66, $I$2, $I$3))),IF(D65=D$6,"",D65),_xll.ciqfunctions.udf.CIQ(D$6,$F$2, $A66, $I$2, $I$3)))</f>
        <v>24715.085800000001</v>
      </c>
      <c r="E66" s="1033">
        <f>IF(E$6="","",IF(NOT(ISNUMBER(_xll.ciqfunctions.udf.CIQ(E$6,$F$2, $A66, $I$2, $I$3))),IF(E65=E$6,"",E65),_xll.ciqfunctions.udf.CIQ(E$6,$F$2, $A66, $I$2, $I$3)))</f>
        <v>8241.9194800000005</v>
      </c>
      <c r="F66" s="1033">
        <f>IF(F$6="","",IF(NOT(ISNUMBER(_xll.ciqfunctions.udf.CIQ(F$6,$F$2, $A66, $I$2, $I$3))),IF(F65=F$6,"",F65),_xll.ciqfunctions.udf.CIQ(F$6,$F$2, $A66, $I$2, $I$3)))</f>
        <v>4827.7912399999996</v>
      </c>
      <c r="G66" s="1033">
        <f>IF(G$6="","",IF(NOT(ISNUMBER(_xll.ciqfunctions.udf.CIQ(G$6,$F$2, $A66, $I$2, $I$3))),IF(G65=G$6,"",G65),_xll.ciqfunctions.udf.CIQ(G$6,$F$2, $A66, $I$2, $I$3)))</f>
        <v>198.96</v>
      </c>
      <c r="H66" s="1033" t="str">
        <f>IF(H$6="","",IF(NOT(ISNUMBER(_xll.ciqfunctions.udf.CIQ(H$6,$F$2, $A66, $I$2, $I$3))),IF(H65=H$6,"",H65),_xll.ciqfunctions.udf.CIQ(H$6,$F$2, $A66, $I$2, $I$3)))</f>
        <v/>
      </c>
      <c r="I66" s="1033" t="str">
        <f>IF(I$6="","",IF(NOT(ISNUMBER(_xll.ciqfunctions.udf.CIQ(I$6,$F$2, $A66, $I$2, $I$3))),IF(I65=I$6,"",I65),_xll.ciqfunctions.udf.CIQ(I$6,$F$2, $A66, $I$2, $I$3)))</f>
        <v/>
      </c>
      <c r="J66" s="1033" t="str">
        <f>IF(J$6="","",IF(NOT(ISNUMBER(_xll.ciqfunctions.udf.CIQ(J$6,$F$2, $A66, $I$2, $I$3))),IF(J65=J$6,"",J65),_xll.ciqfunctions.udf.CIQ(J$6,$F$2, $A66, $I$2, $I$3)))</f>
        <v/>
      </c>
      <c r="K66" s="1033" t="str">
        <f>IF(K$6="","",IF(NOT(ISNUMBER(_xll.ciqfunctions.udf.CIQ(K$6,$F$2, $A66, $I$2, $I$3))),IF(K65=K$6,"",K65),_xll.ciqfunctions.udf.CIQ(K$6,$F$2, $A66, $I$2, $I$3)))</f>
        <v/>
      </c>
      <c r="L66" s="254" t="str">
        <f>IF(L$6="","",IF(NOT(ISNUMBER(_xll.ciqfunctions.udf.CIQ(L$6,$F$2, $A66, $I$2, $I$3))),IF(L65=L$6,"",L65),_xll.ciqfunctions.udf.CIQ(L$6,$F$2, $A66, $I$2, $I$3)))</f>
        <v/>
      </c>
      <c r="M66" s="254" t="str">
        <f>IF(M$6="","",IF(NOT(ISNUMBER(_xll.ciqfunctions.udf.CIQ(M$6,$F$2, $A66, $I$2, $I$3))),IF(M65=M$6,"",M65),_xll.ciqfunctions.udf.CIQ(M$6,$F$2, $A66, $I$2, $I$3)))</f>
        <v/>
      </c>
      <c r="N66" s="254" t="str">
        <f>IF(N$6="","",IF(NOT(ISNUMBER(_xll.ciqfunctions.udf.CIQ(N$6,$F$2, $A66, $I$2, $I$3))),IF(N65=N$6,"",N65),_xll.ciqfunctions.udf.CIQ(N$6,$F$2, $A66, $I$2, $I$3)))</f>
        <v/>
      </c>
      <c r="O66" s="254" t="str">
        <f>IF(O$6="","",IF(NOT(ISNUMBER(_xll.ciqfunctions.udf.CIQ(O$6,$F$2, $A66, $I$2, $I$3))),IF(O65=O$6,"",O65),_xll.ciqfunctions.udf.CIQ(O$6,$F$2, $A66, $I$2, $I$3)))</f>
        <v/>
      </c>
      <c r="P66" s="254" t="str">
        <f>IF(P$6="","",IF(NOT(ISNUMBER(_xll.ciqfunctions.udf.CIQ(P$6,$F$2, $A66, $I$2, $I$3))),IF(P65=P$6,"",P65),_xll.ciqfunctions.udf.CIQ(P$6,$F$2, $A66, $I$2, $I$3)))</f>
        <v/>
      </c>
      <c r="Q66" s="254"/>
      <c r="R66" s="251">
        <f t="shared" si="16"/>
        <v>43238</v>
      </c>
      <c r="S66" s="255">
        <f t="shared" si="35"/>
        <v>0.16037735849056611</v>
      </c>
      <c r="T66" s="255">
        <f t="shared" si="36"/>
        <v>0.19609066409513609</v>
      </c>
      <c r="U66" s="255">
        <f t="shared" si="37"/>
        <v>0.1517783170487661</v>
      </c>
      <c r="V66" s="255">
        <f t="shared" si="52"/>
        <v>9.9791006753562117E-2</v>
      </c>
      <c r="W66" s="255">
        <f t="array" ref="W66">IFERROR(AVERAGE(IF(ISERROR(X66:AG66),"",X66:AG66)),"")</f>
        <v>0.18647504323453989</v>
      </c>
      <c r="X66" s="255">
        <f t="shared" si="53"/>
        <v>0.18647504323453989</v>
      </c>
      <c r="Y66" s="255" t="e">
        <f t="shared" si="54"/>
        <v>#N/A</v>
      </c>
      <c r="Z66" s="255" t="e">
        <f t="shared" si="55"/>
        <v>#N/A</v>
      </c>
      <c r="AA66" s="255" t="e">
        <f t="shared" si="56"/>
        <v>#N/A</v>
      </c>
      <c r="AB66" s="255" t="e">
        <f t="shared" si="57"/>
        <v>#N/A</v>
      </c>
      <c r="AC66" s="255" t="e">
        <f t="shared" si="58"/>
        <v>#N/A</v>
      </c>
      <c r="AD66" s="255" t="e">
        <f t="shared" si="59"/>
        <v>#N/A</v>
      </c>
      <c r="AE66" s="255" t="e">
        <f t="shared" si="60"/>
        <v>#N/A</v>
      </c>
      <c r="AF66" s="255" t="e">
        <f t="shared" si="61"/>
        <v>#N/A</v>
      </c>
      <c r="AG66" s="255" t="e">
        <f t="shared" si="62"/>
        <v>#N/A</v>
      </c>
      <c r="AI66" s="251">
        <f t="shared" si="27"/>
        <v>43238</v>
      </c>
      <c r="AJ66" s="718">
        <f>IF(OR($B66="No",AJ$6=""),"",IF(NOT(ISNUMBER(_xll.ciqfunctions.udf.CIQ(AJ$6,"IQ_TEV",$AI66,$I$2,$I$3))),"",_xll.ciqfunctions.udf.CIQ(AJ$6,"IQ_TEV",$AI66,$I$2,$I$3)))</f>
        <v>288175.30407999997</v>
      </c>
      <c r="AK66" s="718">
        <f>IF(OR($B66="No",AK$6=""),"",IF(NOT(ISNUMBER(_xll.ciqfunctions.udf.CIQ(AK$6,"IQ_TEV",$AI66,$I$2,$I$3))),"",_xll.ciqfunctions.udf.CIQ(AK$6,"IQ_TEV",$AI66,$I$2,$I$3)))</f>
        <v>88281.681320000003</v>
      </c>
      <c r="AL66" s="718" t="str">
        <f>IF(OR($B66="No",AL$6=""),"",IF(NOT(ISNUMBER(_xll.ciqfunctions.udf.CIQ(AL$6,"IQ_TEV",$AI66,$I$2,$I$3))),"",_xll.ciqfunctions.udf.CIQ(AL$6,"IQ_TEV",$AI66,$I$2,$I$3)))</f>
        <v/>
      </c>
      <c r="AM66" s="718" t="str">
        <f>IF(OR($B66="No",AM$6=""),"",IF(NOT(ISNUMBER(_xll.ciqfunctions.udf.CIQ(AM$6,"IQ_TEV",$AI66,$I$2,$I$3))),"",_xll.ciqfunctions.udf.CIQ(AM$6,"IQ_TEV",$AI66,$I$2,$I$3)))</f>
        <v/>
      </c>
      <c r="AN66" s="718" t="str">
        <f>IF(OR($B66="No",AN$6=""),"",IF(NOT(ISNUMBER(_xll.ciqfunctions.udf.CIQ(AN$6,"IQ_TEV",$AI66,$I$2,$I$3))),"",_xll.ciqfunctions.udf.CIQ(AN$6,"IQ_TEV",$AI66,$I$2,$I$3)))</f>
        <v/>
      </c>
      <c r="AO66" s="718" t="str">
        <f>IF(OR($B66="No",AO$6=""),"",IF(NOT(ISNUMBER(_xll.ciqfunctions.udf.CIQ(AO$6,"IQ_TEV",$AI66,$I$2,$I$3))),"",_xll.ciqfunctions.udf.CIQ(AO$6,"IQ_TEV",$AI66,$I$2,$I$3)))</f>
        <v/>
      </c>
      <c r="AP66" s="718" t="str">
        <f>IF(OR($B66="No",AP$6=""),"",IF(NOT(ISNUMBER(_xll.ciqfunctions.udf.CIQ(AP$6,"IQ_TEV",$AI66,$I$2,$I$3))),"",_xll.ciqfunctions.udf.CIQ(AP$6,"IQ_TEV",$AI66,$I$2,$I$3)))</f>
        <v/>
      </c>
      <c r="AQ66" s="718" t="str">
        <f>IF(OR($B66="No",AQ$6=""),"",IF(NOT(ISNUMBER(_xll.ciqfunctions.udf.CIQ(AQ$6,"IQ_TEV",$AI66,$I$2,$I$3))),"",_xll.ciqfunctions.udf.CIQ(AQ$6,"IQ_TEV",$AI66,$I$2,$I$3)))</f>
        <v/>
      </c>
      <c r="AR66" s="718" t="str">
        <f>IF(OR($B66="No",AR$6=""),"",IF(NOT(ISNUMBER(_xll.ciqfunctions.udf.CIQ(AR$6,"IQ_TEV",$AI66,$I$2,$I$3))),"",_xll.ciqfunctions.udf.CIQ(AR$6,"IQ_TEV",$AI66,$I$2,$I$3)))</f>
        <v/>
      </c>
      <c r="AS66" s="718" t="str">
        <f>IF(OR($B66="No",AS$6=""),"",IF(NOT(ISNUMBER(_xll.ciqfunctions.udf.CIQ(AS$6,"IQ_TEV",$AI66,$I$2,$I$3))),"",_xll.ciqfunctions.udf.CIQ(AS$6,"IQ_TEV",$AI66,$I$2,$I$3)))</f>
        <v/>
      </c>
      <c r="AT66" s="718" t="str">
        <f>IF(OR($B66="No",AT$6=""),"",IF(NOT(ISNUMBER(_xll.ciqfunctions.udf.CIQ(AT$6,"IQ_TEV",$AI66,$I$2,$I$3))),"",_xll.ciqfunctions.udf.CIQ(AT$6,"IQ_TEV",$AI66,$I$2,$I$3)))</f>
        <v/>
      </c>
      <c r="AV66" s="251">
        <f t="shared" si="39"/>
        <v>43238</v>
      </c>
      <c r="AW66" s="719">
        <f t="shared" si="40"/>
        <v>0.10387761710044452</v>
      </c>
      <c r="AX66" s="719">
        <f t="shared" si="41"/>
        <v>0.20958915464544803</v>
      </c>
      <c r="AY66" s="719" t="e">
        <f t="shared" si="42"/>
        <v>#N/A</v>
      </c>
      <c r="AZ66" s="719" t="e">
        <f t="shared" si="43"/>
        <v>#N/A</v>
      </c>
      <c r="BA66" s="719" t="e">
        <f t="shared" si="44"/>
        <v>#N/A</v>
      </c>
      <c r="BB66" s="719" t="e">
        <f t="shared" si="45"/>
        <v>#N/A</v>
      </c>
      <c r="BC66" s="719" t="e">
        <f t="shared" si="46"/>
        <v>#N/A</v>
      </c>
      <c r="BD66" s="719" t="e">
        <f t="shared" si="47"/>
        <v>#N/A</v>
      </c>
      <c r="BE66" s="719" t="e">
        <f t="shared" si="48"/>
        <v>#N/A</v>
      </c>
      <c r="BF66" s="719" t="e">
        <f t="shared" si="49"/>
        <v>#N/A</v>
      </c>
      <c r="BG66" s="719" t="e">
        <f t="shared" si="50"/>
        <v>#N/A</v>
      </c>
    </row>
    <row r="67" spans="1:59" ht="15" customHeight="1" x14ac:dyDescent="0.2">
      <c r="A67" s="251">
        <f t="shared" si="15"/>
        <v>43245</v>
      </c>
      <c r="B67" s="253" t="str">
        <f t="shared" si="51"/>
        <v>Yes</v>
      </c>
      <c r="C67" s="1033">
        <f>IF(C$6="","",IF(NOT(ISNUMBER(_xll.ciqfunctions.udf.CIQ(C$6,$F$2, $A67, $I$2, $I$3))),IF(C66=C$6,"",C66),_xll.ciqfunctions.udf.CIQ(C$6,$F$2, $A67, $I$2, $I$3)))</f>
        <v>82.46</v>
      </c>
      <c r="D67" s="1033">
        <f>IF(D$6="","",IF(NOT(ISNUMBER(_xll.ciqfunctions.udf.CIQ(D$6,$F$2, $A67, $I$2, $I$3))),IF(D66=D$6,"",D66),_xll.ciqfunctions.udf.CIQ(D$6,$F$2, $A67, $I$2, $I$3)))</f>
        <v>24753.093440000001</v>
      </c>
      <c r="E67" s="1033">
        <f>IF(E$6="","",IF(NOT(ISNUMBER(_xll.ciqfunctions.udf.CIQ(E$6,$F$2, $A67, $I$2, $I$3))),IF(E66=E$6,"",E66),_xll.ciqfunctions.udf.CIQ(E$6,$F$2, $A67, $I$2, $I$3)))</f>
        <v>8323.0837499999998</v>
      </c>
      <c r="F67" s="1033">
        <f>IF(F$6="","",IF(NOT(ISNUMBER(_xll.ciqfunctions.udf.CIQ(F$6,$F$2, $A67, $I$2, $I$3))),IF(F66=F$6,"",F66),_xll.ciqfunctions.udf.CIQ(F$6,$F$2, $A67, $I$2, $I$3)))</f>
        <v>4837.5217599999996</v>
      </c>
      <c r="G67" s="1033">
        <f>IF(G$6="","",IF(NOT(ISNUMBER(_xll.ciqfunctions.udf.CIQ(G$6,$F$2, $A67, $I$2, $I$3))),IF(G66=G$6,"",G66),_xll.ciqfunctions.udf.CIQ(G$6,$F$2, $A67, $I$2, $I$3)))</f>
        <v>198.36</v>
      </c>
      <c r="H67" s="1033" t="str">
        <f>IF(H$6="","",IF(NOT(ISNUMBER(_xll.ciqfunctions.udf.CIQ(H$6,$F$2, $A67, $I$2, $I$3))),IF(H66=H$6,"",H66),_xll.ciqfunctions.udf.CIQ(H$6,$F$2, $A67, $I$2, $I$3)))</f>
        <v/>
      </c>
      <c r="I67" s="1033" t="str">
        <f>IF(I$6="","",IF(NOT(ISNUMBER(_xll.ciqfunctions.udf.CIQ(I$6,$F$2, $A67, $I$2, $I$3))),IF(I66=I$6,"",I66),_xll.ciqfunctions.udf.CIQ(I$6,$F$2, $A67, $I$2, $I$3)))</f>
        <v/>
      </c>
      <c r="J67" s="1033" t="str">
        <f>IF(J$6="","",IF(NOT(ISNUMBER(_xll.ciqfunctions.udf.CIQ(J$6,$F$2, $A67, $I$2, $I$3))),IF(J66=J$6,"",J66),_xll.ciqfunctions.udf.CIQ(J$6,$F$2, $A67, $I$2, $I$3)))</f>
        <v/>
      </c>
      <c r="K67" s="1033" t="str">
        <f>IF(K$6="","",IF(NOT(ISNUMBER(_xll.ciqfunctions.udf.CIQ(K$6,$F$2, $A67, $I$2, $I$3))),IF(K66=K$6,"",K66),_xll.ciqfunctions.udf.CIQ(K$6,$F$2, $A67, $I$2, $I$3)))</f>
        <v/>
      </c>
      <c r="L67" s="254" t="str">
        <f>IF(L$6="","",IF(NOT(ISNUMBER(_xll.ciqfunctions.udf.CIQ(L$6,$F$2, $A67, $I$2, $I$3))),IF(L66=L$6,"",L66),_xll.ciqfunctions.udf.CIQ(L$6,$F$2, $A67, $I$2, $I$3)))</f>
        <v/>
      </c>
      <c r="M67" s="254" t="str">
        <f>IF(M$6="","",IF(NOT(ISNUMBER(_xll.ciqfunctions.udf.CIQ(M$6,$F$2, $A67, $I$2, $I$3))),IF(M66=M$6,"",M66),_xll.ciqfunctions.udf.CIQ(M$6,$F$2, $A67, $I$2, $I$3)))</f>
        <v/>
      </c>
      <c r="N67" s="254" t="str">
        <f>IF(N$6="","",IF(NOT(ISNUMBER(_xll.ciqfunctions.udf.CIQ(N$6,$F$2, $A67, $I$2, $I$3))),IF(N66=N$6,"",N66),_xll.ciqfunctions.udf.CIQ(N$6,$F$2, $A67, $I$2, $I$3)))</f>
        <v/>
      </c>
      <c r="O67" s="254" t="str">
        <f>IF(O$6="","",IF(NOT(ISNUMBER(_xll.ciqfunctions.udf.CIQ(O$6,$F$2, $A67, $I$2, $I$3))),IF(O66=O$6,"",O66),_xll.ciqfunctions.udf.CIQ(O$6,$F$2, $A67, $I$2, $I$3)))</f>
        <v/>
      </c>
      <c r="P67" s="254" t="str">
        <f>IF(P$6="","",IF(NOT(ISNUMBER(_xll.ciqfunctions.udf.CIQ(P$6,$F$2, $A67, $I$2, $I$3))),IF(P66=P$6,"",P66),_xll.ciqfunctions.udf.CIQ(P$6,$F$2, $A67, $I$2, $I$3)))</f>
        <v/>
      </c>
      <c r="Q67" s="254"/>
      <c r="R67" s="251">
        <f t="shared" si="16"/>
        <v>43245</v>
      </c>
      <c r="S67" s="255">
        <f t="shared" si="35"/>
        <v>0.14400665926748046</v>
      </c>
      <c r="T67" s="255">
        <f t="shared" si="36"/>
        <v>0.19793005011775255</v>
      </c>
      <c r="U67" s="255">
        <f t="shared" si="37"/>
        <v>0.16312072903567509</v>
      </c>
      <c r="V67" s="255">
        <f t="shared" si="52"/>
        <v>0.10200765984708648</v>
      </c>
      <c r="W67" s="255">
        <f t="array" ref="W67">IFERROR(AVERAGE(IF(ISERROR(X67:AG67),"",X67:AG67)),"")</f>
        <v>0.18289701234420663</v>
      </c>
      <c r="X67" s="255">
        <f t="shared" si="53"/>
        <v>0.18289701234420663</v>
      </c>
      <c r="Y67" s="255" t="e">
        <f t="shared" si="54"/>
        <v>#N/A</v>
      </c>
      <c r="Z67" s="255" t="e">
        <f t="shared" si="55"/>
        <v>#N/A</v>
      </c>
      <c r="AA67" s="255" t="e">
        <f t="shared" si="56"/>
        <v>#N/A</v>
      </c>
      <c r="AB67" s="255" t="e">
        <f t="shared" si="57"/>
        <v>#N/A</v>
      </c>
      <c r="AC67" s="255" t="e">
        <f t="shared" si="58"/>
        <v>#N/A</v>
      </c>
      <c r="AD67" s="255" t="e">
        <f t="shared" si="59"/>
        <v>#N/A</v>
      </c>
      <c r="AE67" s="255" t="e">
        <f t="shared" si="60"/>
        <v>#N/A</v>
      </c>
      <c r="AF67" s="255" t="e">
        <f t="shared" si="61"/>
        <v>#N/A</v>
      </c>
      <c r="AG67" s="255" t="e">
        <f t="shared" si="62"/>
        <v>#N/A</v>
      </c>
      <c r="AI67" s="251">
        <f t="shared" si="27"/>
        <v>43245</v>
      </c>
      <c r="AJ67" s="718">
        <f>IF(OR($B67="No",AJ$6=""),"",IF(NOT(ISNUMBER(_xll.ciqfunctions.udf.CIQ(AJ$6,"IQ_TEV",$AI67,$I$2,$I$3))),"",_xll.ciqfunctions.udf.CIQ(AJ$6,"IQ_TEV",$AI67,$I$2,$I$3)))</f>
        <v>284691.37942000001</v>
      </c>
      <c r="AK67" s="718">
        <f>IF(OR($B67="No",AK$6=""),"",IF(NOT(ISNUMBER(_xll.ciqfunctions.udf.CIQ(AK$6,"IQ_TEV",$AI67,$I$2,$I$3))),"",_xll.ciqfunctions.udf.CIQ(AK$6,"IQ_TEV",$AI67,$I$2,$I$3)))</f>
        <v>88018.389150000003</v>
      </c>
      <c r="AL67" s="718" t="str">
        <f>IF(OR($B67="No",AL$6=""),"",IF(NOT(ISNUMBER(_xll.ciqfunctions.udf.CIQ(AL$6,"IQ_TEV",$AI67,$I$2,$I$3))),"",_xll.ciqfunctions.udf.CIQ(AL$6,"IQ_TEV",$AI67,$I$2,$I$3)))</f>
        <v/>
      </c>
      <c r="AM67" s="718" t="str">
        <f>IF(OR($B67="No",AM$6=""),"",IF(NOT(ISNUMBER(_xll.ciqfunctions.udf.CIQ(AM$6,"IQ_TEV",$AI67,$I$2,$I$3))),"",_xll.ciqfunctions.udf.CIQ(AM$6,"IQ_TEV",$AI67,$I$2,$I$3)))</f>
        <v/>
      </c>
      <c r="AN67" s="718" t="str">
        <f>IF(OR($B67="No",AN$6=""),"",IF(NOT(ISNUMBER(_xll.ciqfunctions.udf.CIQ(AN$6,"IQ_TEV",$AI67,$I$2,$I$3))),"",_xll.ciqfunctions.udf.CIQ(AN$6,"IQ_TEV",$AI67,$I$2,$I$3)))</f>
        <v/>
      </c>
      <c r="AO67" s="718" t="str">
        <f>IF(OR($B67="No",AO$6=""),"",IF(NOT(ISNUMBER(_xll.ciqfunctions.udf.CIQ(AO$6,"IQ_TEV",$AI67,$I$2,$I$3))),"",_xll.ciqfunctions.udf.CIQ(AO$6,"IQ_TEV",$AI67,$I$2,$I$3)))</f>
        <v/>
      </c>
      <c r="AP67" s="718" t="str">
        <f>IF(OR($B67="No",AP$6=""),"",IF(NOT(ISNUMBER(_xll.ciqfunctions.udf.CIQ(AP$6,"IQ_TEV",$AI67,$I$2,$I$3))),"",_xll.ciqfunctions.udf.CIQ(AP$6,"IQ_TEV",$AI67,$I$2,$I$3)))</f>
        <v/>
      </c>
      <c r="AQ67" s="718" t="str">
        <f>IF(OR($B67="No",AQ$6=""),"",IF(NOT(ISNUMBER(_xll.ciqfunctions.udf.CIQ(AQ$6,"IQ_TEV",$AI67,$I$2,$I$3))),"",_xll.ciqfunctions.udf.CIQ(AQ$6,"IQ_TEV",$AI67,$I$2,$I$3)))</f>
        <v/>
      </c>
      <c r="AR67" s="718" t="str">
        <f>IF(OR($B67="No",AR$6=""),"",IF(NOT(ISNUMBER(_xll.ciqfunctions.udf.CIQ(AR$6,"IQ_TEV",$AI67,$I$2,$I$3))),"",_xll.ciqfunctions.udf.CIQ(AR$6,"IQ_TEV",$AI67,$I$2,$I$3)))</f>
        <v/>
      </c>
      <c r="AS67" s="718" t="str">
        <f>IF(OR($B67="No",AS$6=""),"",IF(NOT(ISNUMBER(_xll.ciqfunctions.udf.CIQ(AS$6,"IQ_TEV",$AI67,$I$2,$I$3))),"",_xll.ciqfunctions.udf.CIQ(AS$6,"IQ_TEV",$AI67,$I$2,$I$3)))</f>
        <v/>
      </c>
      <c r="AT67" s="718" t="str">
        <f>IF(OR($B67="No",AT$6=""),"",IF(NOT(ISNUMBER(_xll.ciqfunctions.udf.CIQ(AT$6,"IQ_TEV",$AI67,$I$2,$I$3))),"",_xll.ciqfunctions.udf.CIQ(AT$6,"IQ_TEV",$AI67,$I$2,$I$3)))</f>
        <v/>
      </c>
      <c r="AV67" s="251">
        <f t="shared" si="39"/>
        <v>43245</v>
      </c>
      <c r="AW67" s="719">
        <f t="shared" si="40"/>
        <v>9.0532176330923697E-2</v>
      </c>
      <c r="AX67" s="719">
        <f t="shared" si="41"/>
        <v>0.20598166384358318</v>
      </c>
      <c r="AY67" s="719" t="e">
        <f t="shared" si="42"/>
        <v>#N/A</v>
      </c>
      <c r="AZ67" s="719" t="e">
        <f t="shared" si="43"/>
        <v>#N/A</v>
      </c>
      <c r="BA67" s="719" t="e">
        <f t="shared" si="44"/>
        <v>#N/A</v>
      </c>
      <c r="BB67" s="719" t="e">
        <f t="shared" si="45"/>
        <v>#N/A</v>
      </c>
      <c r="BC67" s="719" t="e">
        <f t="shared" si="46"/>
        <v>#N/A</v>
      </c>
      <c r="BD67" s="719" t="e">
        <f t="shared" si="47"/>
        <v>#N/A</v>
      </c>
      <c r="BE67" s="719" t="e">
        <f t="shared" si="48"/>
        <v>#N/A</v>
      </c>
      <c r="BF67" s="719" t="e">
        <f t="shared" si="49"/>
        <v>#N/A</v>
      </c>
      <c r="BG67" s="719" t="e">
        <f t="shared" si="50"/>
        <v>#N/A</v>
      </c>
    </row>
    <row r="68" spans="1:59" ht="15" customHeight="1" x14ac:dyDescent="0.2">
      <c r="A68" s="251">
        <f t="shared" si="15"/>
        <v>43252</v>
      </c>
      <c r="B68" s="253" t="str">
        <f t="shared" si="51"/>
        <v>Yes</v>
      </c>
      <c r="C68" s="1033">
        <f>IF(C$6="","",IF(NOT(ISNUMBER(_xll.ciqfunctions.udf.CIQ(C$6,$F$2, $A68, $I$2, $I$3))),IF(C67=C$6,"",C67),_xll.ciqfunctions.udf.CIQ(C$6,$F$2, $A68, $I$2, $I$3)))</f>
        <v>82.99</v>
      </c>
      <c r="D68" s="1033">
        <f>IF(D$6="","",IF(NOT(ISNUMBER(_xll.ciqfunctions.udf.CIQ(D$6,$F$2, $A68, $I$2, $I$3))),IF(D67=D$6,"",D67),_xll.ciqfunctions.udf.CIQ(D$6,$F$2, $A68, $I$2, $I$3)))</f>
        <v>24635.214680000001</v>
      </c>
      <c r="E68" s="1033">
        <f>IF(E$6="","",IF(NOT(ISNUMBER(_xll.ciqfunctions.udf.CIQ(E$6,$F$2, $A68, $I$2, $I$3))),IF(E67=E$6,"",E67),_xll.ciqfunctions.udf.CIQ(E$6,$F$2, $A68, $I$2, $I$3)))</f>
        <v>8290.6792499999992</v>
      </c>
      <c r="F68" s="1033">
        <f>IF(F$6="","",IF(NOT(ISNUMBER(_xll.ciqfunctions.udf.CIQ(F$6,$F$2, $A68, $I$2, $I$3))),IF(F67=F$6,"",F67),_xll.ciqfunctions.udf.CIQ(F$6,$F$2, $A68, $I$2, $I$3)))</f>
        <v>4831.2279099999996</v>
      </c>
      <c r="G68" s="1033">
        <f>IF(G$6="","",IF(NOT(ISNUMBER(_xll.ciqfunctions.udf.CIQ(G$6,$F$2, $A68, $I$2, $I$3))),IF(G67=G$6,"",G67),_xll.ciqfunctions.udf.CIQ(G$6,$F$2, $A68, $I$2, $I$3)))</f>
        <v>197.13</v>
      </c>
      <c r="H68" s="1033" t="str">
        <f>IF(H$6="","",IF(NOT(ISNUMBER(_xll.ciqfunctions.udf.CIQ(H$6,$F$2, $A68, $I$2, $I$3))),IF(H67=H$6,"",H67),_xll.ciqfunctions.udf.CIQ(H$6,$F$2, $A68, $I$2, $I$3)))</f>
        <v/>
      </c>
      <c r="I68" s="1033" t="str">
        <f>IF(I$6="","",IF(NOT(ISNUMBER(_xll.ciqfunctions.udf.CIQ(I$6,$F$2, $A68, $I$2, $I$3))),IF(I67=I$6,"",I67),_xll.ciqfunctions.udf.CIQ(I$6,$F$2, $A68, $I$2, $I$3)))</f>
        <v/>
      </c>
      <c r="J68" s="1033" t="str">
        <f>IF(J$6="","",IF(NOT(ISNUMBER(_xll.ciqfunctions.udf.CIQ(J$6,$F$2, $A68, $I$2, $I$3))),IF(J67=J$6,"",J67),_xll.ciqfunctions.udf.CIQ(J$6,$F$2, $A68, $I$2, $I$3)))</f>
        <v/>
      </c>
      <c r="K68" s="1033" t="str">
        <f>IF(K$6="","",IF(NOT(ISNUMBER(_xll.ciqfunctions.udf.CIQ(K$6,$F$2, $A68, $I$2, $I$3))),IF(K67=K$6,"",K67),_xll.ciqfunctions.udf.CIQ(K$6,$F$2, $A68, $I$2, $I$3)))</f>
        <v/>
      </c>
      <c r="L68" s="254" t="str">
        <f>IF(L$6="","",IF(NOT(ISNUMBER(_xll.ciqfunctions.udf.CIQ(L$6,$F$2, $A68, $I$2, $I$3))),IF(L67=L$6,"",L67),_xll.ciqfunctions.udf.CIQ(L$6,$F$2, $A68, $I$2, $I$3)))</f>
        <v/>
      </c>
      <c r="M68" s="254" t="str">
        <f>IF(M$6="","",IF(NOT(ISNUMBER(_xll.ciqfunctions.udf.CIQ(M$6,$F$2, $A68, $I$2, $I$3))),IF(M67=M$6,"",M67),_xll.ciqfunctions.udf.CIQ(M$6,$F$2, $A68, $I$2, $I$3)))</f>
        <v/>
      </c>
      <c r="N68" s="254" t="str">
        <f>IF(N$6="","",IF(NOT(ISNUMBER(_xll.ciqfunctions.udf.CIQ(N$6,$F$2, $A68, $I$2, $I$3))),IF(N67=N$6,"",N67),_xll.ciqfunctions.udf.CIQ(N$6,$F$2, $A68, $I$2, $I$3)))</f>
        <v/>
      </c>
      <c r="O68" s="254" t="str">
        <f>IF(O$6="","",IF(NOT(ISNUMBER(_xll.ciqfunctions.udf.CIQ(O$6,$F$2, $A68, $I$2, $I$3))),IF(O67=O$6,"",O67),_xll.ciqfunctions.udf.CIQ(O$6,$F$2, $A68, $I$2, $I$3)))</f>
        <v/>
      </c>
      <c r="P68" s="254" t="str">
        <f>IF(P$6="","",IF(NOT(ISNUMBER(_xll.ciqfunctions.udf.CIQ(P$6,$F$2, $A68, $I$2, $I$3))),IF(P67=P$6,"",P67),_xll.ciqfunctions.udf.CIQ(P$6,$F$2, $A68, $I$2, $I$3)))</f>
        <v/>
      </c>
      <c r="Q68" s="254"/>
      <c r="R68" s="251">
        <f t="shared" si="16"/>
        <v>43252</v>
      </c>
      <c r="S68" s="255">
        <f t="shared" si="35"/>
        <v>0.15135960044395103</v>
      </c>
      <c r="T68" s="255">
        <f t="shared" si="36"/>
        <v>0.1922252880355142</v>
      </c>
      <c r="U68" s="255">
        <f t="shared" si="37"/>
        <v>0.15859231783663619</v>
      </c>
      <c r="V68" s="255">
        <f t="shared" si="52"/>
        <v>0.10057389453211063</v>
      </c>
      <c r="W68" s="255">
        <f t="array" ref="W68">IFERROR(AVERAGE(IF(ISERROR(X68:AG68),"",X68:AG68)),"")</f>
        <v>0.17556204901902328</v>
      </c>
      <c r="X68" s="255">
        <f t="shared" si="53"/>
        <v>0.17556204901902328</v>
      </c>
      <c r="Y68" s="255" t="e">
        <f t="shared" si="54"/>
        <v>#N/A</v>
      </c>
      <c r="Z68" s="255" t="e">
        <f t="shared" si="55"/>
        <v>#N/A</v>
      </c>
      <c r="AA68" s="255" t="e">
        <f t="shared" si="56"/>
        <v>#N/A</v>
      </c>
      <c r="AB68" s="255" t="e">
        <f t="shared" si="57"/>
        <v>#N/A</v>
      </c>
      <c r="AC68" s="255" t="e">
        <f t="shared" si="58"/>
        <v>#N/A</v>
      </c>
      <c r="AD68" s="255" t="e">
        <f t="shared" si="59"/>
        <v>#N/A</v>
      </c>
      <c r="AE68" s="255" t="e">
        <f t="shared" si="60"/>
        <v>#N/A</v>
      </c>
      <c r="AF68" s="255" t="e">
        <f t="shared" si="61"/>
        <v>#N/A</v>
      </c>
      <c r="AG68" s="255" t="e">
        <f t="shared" si="62"/>
        <v>#N/A</v>
      </c>
      <c r="AI68" s="251">
        <f t="shared" si="27"/>
        <v>43252</v>
      </c>
      <c r="AJ68" s="718">
        <f>IF(OR($B68="No",AJ$6=""),"",IF(NOT(ISNUMBER(_xll.ciqfunctions.udf.CIQ(AJ$6,"IQ_TEV",$AI68,$I$2,$I$3))),"",_xll.ciqfunctions.udf.CIQ(AJ$6,"IQ_TEV",$AI68,$I$2,$I$3)))</f>
        <v>286256.19303999998</v>
      </c>
      <c r="AK68" s="718">
        <f>IF(OR($B68="No",AK$6=""),"",IF(NOT(ISNUMBER(_xll.ciqfunctions.udf.CIQ(AK$6,"IQ_TEV",$AI68,$I$2,$I$3))),"",_xll.ciqfunctions.udf.CIQ(AK$6,"IQ_TEV",$AI68,$I$2,$I$3)))</f>
        <v>86213.612259999994</v>
      </c>
      <c r="AL68" s="718" t="str">
        <f>IF(OR($B68="No",AL$6=""),"",IF(NOT(ISNUMBER(_xll.ciqfunctions.udf.CIQ(AL$6,"IQ_TEV",$AI68,$I$2,$I$3))),"",_xll.ciqfunctions.udf.CIQ(AL$6,"IQ_TEV",$AI68,$I$2,$I$3)))</f>
        <v/>
      </c>
      <c r="AM68" s="718" t="str">
        <f>IF(OR($B68="No",AM$6=""),"",IF(NOT(ISNUMBER(_xll.ciqfunctions.udf.CIQ(AM$6,"IQ_TEV",$AI68,$I$2,$I$3))),"",_xll.ciqfunctions.udf.CIQ(AM$6,"IQ_TEV",$AI68,$I$2,$I$3)))</f>
        <v/>
      </c>
      <c r="AN68" s="718" t="str">
        <f>IF(OR($B68="No",AN$6=""),"",IF(NOT(ISNUMBER(_xll.ciqfunctions.udf.CIQ(AN$6,"IQ_TEV",$AI68,$I$2,$I$3))),"",_xll.ciqfunctions.udf.CIQ(AN$6,"IQ_TEV",$AI68,$I$2,$I$3)))</f>
        <v/>
      </c>
      <c r="AO68" s="718" t="str">
        <f>IF(OR($B68="No",AO$6=""),"",IF(NOT(ISNUMBER(_xll.ciqfunctions.udf.CIQ(AO$6,"IQ_TEV",$AI68,$I$2,$I$3))),"",_xll.ciqfunctions.udf.CIQ(AO$6,"IQ_TEV",$AI68,$I$2,$I$3)))</f>
        <v/>
      </c>
      <c r="AP68" s="718" t="str">
        <f>IF(OR($B68="No",AP$6=""),"",IF(NOT(ISNUMBER(_xll.ciqfunctions.udf.CIQ(AP$6,"IQ_TEV",$AI68,$I$2,$I$3))),"",_xll.ciqfunctions.udf.CIQ(AP$6,"IQ_TEV",$AI68,$I$2,$I$3)))</f>
        <v/>
      </c>
      <c r="AQ68" s="718" t="str">
        <f>IF(OR($B68="No",AQ$6=""),"",IF(NOT(ISNUMBER(_xll.ciqfunctions.udf.CIQ(AQ$6,"IQ_TEV",$AI68,$I$2,$I$3))),"",_xll.ciqfunctions.udf.CIQ(AQ$6,"IQ_TEV",$AI68,$I$2,$I$3)))</f>
        <v/>
      </c>
      <c r="AR68" s="718" t="str">
        <f>IF(OR($B68="No",AR$6=""),"",IF(NOT(ISNUMBER(_xll.ciqfunctions.udf.CIQ(AR$6,"IQ_TEV",$AI68,$I$2,$I$3))),"",_xll.ciqfunctions.udf.CIQ(AR$6,"IQ_TEV",$AI68,$I$2,$I$3)))</f>
        <v/>
      </c>
      <c r="AS68" s="718" t="str">
        <f>IF(OR($B68="No",AS$6=""),"",IF(NOT(ISNUMBER(_xll.ciqfunctions.udf.CIQ(AS$6,"IQ_TEV",$AI68,$I$2,$I$3))),"",_xll.ciqfunctions.udf.CIQ(AS$6,"IQ_TEV",$AI68,$I$2,$I$3)))</f>
        <v/>
      </c>
      <c r="AT68" s="718" t="str">
        <f>IF(OR($B68="No",AT$6=""),"",IF(NOT(ISNUMBER(_xll.ciqfunctions.udf.CIQ(AT$6,"IQ_TEV",$AI68,$I$2,$I$3))),"",_xll.ciqfunctions.udf.CIQ(AT$6,"IQ_TEV",$AI68,$I$2,$I$3)))</f>
        <v/>
      </c>
      <c r="AV68" s="251">
        <f t="shared" si="39"/>
        <v>43252</v>
      </c>
      <c r="AW68" s="719">
        <f t="shared" si="40"/>
        <v>9.6526314987483985E-2</v>
      </c>
      <c r="AX68" s="719">
        <f t="shared" si="41"/>
        <v>0.18125356034512619</v>
      </c>
      <c r="AY68" s="719" t="e">
        <f t="shared" si="42"/>
        <v>#N/A</v>
      </c>
      <c r="AZ68" s="719" t="e">
        <f t="shared" si="43"/>
        <v>#N/A</v>
      </c>
      <c r="BA68" s="719" t="e">
        <f t="shared" si="44"/>
        <v>#N/A</v>
      </c>
      <c r="BB68" s="719" t="e">
        <f t="shared" si="45"/>
        <v>#N/A</v>
      </c>
      <c r="BC68" s="719" t="e">
        <f t="shared" si="46"/>
        <v>#N/A</v>
      </c>
      <c r="BD68" s="719" t="e">
        <f t="shared" si="47"/>
        <v>#N/A</v>
      </c>
      <c r="BE68" s="719" t="e">
        <f t="shared" si="48"/>
        <v>#N/A</v>
      </c>
      <c r="BF68" s="719" t="e">
        <f t="shared" si="49"/>
        <v>#N/A</v>
      </c>
      <c r="BG68" s="719" t="e">
        <f t="shared" si="50"/>
        <v>#N/A</v>
      </c>
    </row>
    <row r="69" spans="1:59" ht="15" customHeight="1" x14ac:dyDescent="0.2">
      <c r="A69" s="251">
        <f t="shared" si="15"/>
        <v>43259</v>
      </c>
      <c r="B69" s="253" t="str">
        <f t="shared" si="51"/>
        <v>Yes</v>
      </c>
      <c r="C69" s="1033">
        <f>IF(C$6="","",IF(NOT(ISNUMBER(_xll.ciqfunctions.udf.CIQ(C$6,$F$2, $A69, $I$2, $I$3))),IF(C68=C$6,"",C68),_xll.ciqfunctions.udf.CIQ(C$6,$F$2, $A69, $I$2, $I$3)))</f>
        <v>84.36</v>
      </c>
      <c r="D69" s="1033">
        <f>IF(D$6="","",IF(NOT(ISNUMBER(_xll.ciqfunctions.udf.CIQ(D$6,$F$2, $A69, $I$2, $I$3))),IF(D68=D$6,"",D68),_xll.ciqfunctions.udf.CIQ(D$6,$F$2, $A69, $I$2, $I$3)))</f>
        <v>25316.529119999999</v>
      </c>
      <c r="E69" s="1033">
        <f>IF(E$6="","",IF(NOT(ISNUMBER(_xll.ciqfunctions.udf.CIQ(E$6,$F$2, $A69, $I$2, $I$3))),IF(E68=E$6,"",E68),_xll.ciqfunctions.udf.CIQ(E$6,$F$2, $A69, $I$2, $I$3)))</f>
        <v>8397.1283399999993</v>
      </c>
      <c r="F69" s="1033">
        <f>IF(F$6="","",IF(NOT(ISNUMBER(_xll.ciqfunctions.udf.CIQ(F$6,$F$2, $A69, $I$2, $I$3))),IF(F68=F$6,"",F68),_xll.ciqfunctions.udf.CIQ(F$6,$F$2, $A69, $I$2, $I$3)))</f>
        <v>5138.0879800000002</v>
      </c>
      <c r="G69" s="1033">
        <f>IF(G$6="","",IF(NOT(ISNUMBER(_xll.ciqfunctions.udf.CIQ(G$6,$F$2, $A69, $I$2, $I$3))),IF(G68=G$6,"",G68),_xll.ciqfunctions.udf.CIQ(G$6,$F$2, $A69, $I$2, $I$3)))</f>
        <v>203.76</v>
      </c>
      <c r="H69" s="1033" t="str">
        <f>IF(H$6="","",IF(NOT(ISNUMBER(_xll.ciqfunctions.udf.CIQ(H$6,$F$2, $A69, $I$2, $I$3))),IF(H68=H$6,"",H68),_xll.ciqfunctions.udf.CIQ(H$6,$F$2, $A69, $I$2, $I$3)))</f>
        <v/>
      </c>
      <c r="I69" s="1033" t="str">
        <f>IF(I$6="","",IF(NOT(ISNUMBER(_xll.ciqfunctions.udf.CIQ(I$6,$F$2, $A69, $I$2, $I$3))),IF(I68=I$6,"",I68),_xll.ciqfunctions.udf.CIQ(I$6,$F$2, $A69, $I$2, $I$3)))</f>
        <v/>
      </c>
      <c r="J69" s="1033" t="str">
        <f>IF(J$6="","",IF(NOT(ISNUMBER(_xll.ciqfunctions.udf.CIQ(J$6,$F$2, $A69, $I$2, $I$3))),IF(J68=J$6,"",J68),_xll.ciqfunctions.udf.CIQ(J$6,$F$2, $A69, $I$2, $I$3)))</f>
        <v/>
      </c>
      <c r="K69" s="1033" t="str">
        <f>IF(K$6="","",IF(NOT(ISNUMBER(_xll.ciqfunctions.udf.CIQ(K$6,$F$2, $A69, $I$2, $I$3))),IF(K68=K$6,"",K68),_xll.ciqfunctions.udf.CIQ(K$6,$F$2, $A69, $I$2, $I$3)))</f>
        <v/>
      </c>
      <c r="L69" s="254" t="str">
        <f>IF(L$6="","",IF(NOT(ISNUMBER(_xll.ciqfunctions.udf.CIQ(L$6,$F$2, $A69, $I$2, $I$3))),IF(L68=L$6,"",L68),_xll.ciqfunctions.udf.CIQ(L$6,$F$2, $A69, $I$2, $I$3)))</f>
        <v/>
      </c>
      <c r="M69" s="254" t="str">
        <f>IF(M$6="","",IF(NOT(ISNUMBER(_xll.ciqfunctions.udf.CIQ(M$6,$F$2, $A69, $I$2, $I$3))),IF(M68=M$6,"",M68),_xll.ciqfunctions.udf.CIQ(M$6,$F$2, $A69, $I$2, $I$3)))</f>
        <v/>
      </c>
      <c r="N69" s="254" t="str">
        <f>IF(N$6="","",IF(NOT(ISNUMBER(_xll.ciqfunctions.udf.CIQ(N$6,$F$2, $A69, $I$2, $I$3))),IF(N68=N$6,"",N68),_xll.ciqfunctions.udf.CIQ(N$6,$F$2, $A69, $I$2, $I$3)))</f>
        <v/>
      </c>
      <c r="O69" s="254" t="str">
        <f>IF(O$6="","",IF(NOT(ISNUMBER(_xll.ciqfunctions.udf.CIQ(O$6,$F$2, $A69, $I$2, $I$3))),IF(O68=O$6,"",O68),_xll.ciqfunctions.udf.CIQ(O$6,$F$2, $A69, $I$2, $I$3)))</f>
        <v/>
      </c>
      <c r="P69" s="254" t="str">
        <f>IF(P$6="","",IF(NOT(ISNUMBER(_xll.ciqfunctions.udf.CIQ(P$6,$F$2, $A69, $I$2, $I$3))),IF(P68=P$6,"",P68),_xll.ciqfunctions.udf.CIQ(P$6,$F$2, $A69, $I$2, $I$3)))</f>
        <v/>
      </c>
      <c r="Q69" s="254"/>
      <c r="R69" s="251">
        <f t="shared" si="16"/>
        <v>43259</v>
      </c>
      <c r="S69" s="255">
        <f t="shared" si="35"/>
        <v>0.17036625971143171</v>
      </c>
      <c r="T69" s="255">
        <f t="shared" si="36"/>
        <v>0.22519761301919683</v>
      </c>
      <c r="U69" s="255">
        <f t="shared" si="37"/>
        <v>0.1734681915974865</v>
      </c>
      <c r="V69" s="255">
        <f t="shared" si="52"/>
        <v>0.17047790001635965</v>
      </c>
      <c r="W69" s="255">
        <f t="array" ref="W69">IFERROR(AVERAGE(IF(ISERROR(X69:AG69),"",X69:AG69)),"")</f>
        <v>0.21509929035720665</v>
      </c>
      <c r="X69" s="255">
        <f t="shared" si="53"/>
        <v>0.21509929035720665</v>
      </c>
      <c r="Y69" s="255" t="e">
        <f t="shared" si="54"/>
        <v>#N/A</v>
      </c>
      <c r="Z69" s="255" t="e">
        <f t="shared" si="55"/>
        <v>#N/A</v>
      </c>
      <c r="AA69" s="255" t="e">
        <f t="shared" si="56"/>
        <v>#N/A</v>
      </c>
      <c r="AB69" s="255" t="e">
        <f t="shared" si="57"/>
        <v>#N/A</v>
      </c>
      <c r="AC69" s="255" t="e">
        <f t="shared" si="58"/>
        <v>#N/A</v>
      </c>
      <c r="AD69" s="255" t="e">
        <f t="shared" si="59"/>
        <v>#N/A</v>
      </c>
      <c r="AE69" s="255" t="e">
        <f t="shared" si="60"/>
        <v>#N/A</v>
      </c>
      <c r="AF69" s="255" t="e">
        <f t="shared" si="61"/>
        <v>#N/A</v>
      </c>
      <c r="AG69" s="255" t="e">
        <f t="shared" si="62"/>
        <v>#N/A</v>
      </c>
      <c r="AI69" s="251">
        <f t="shared" si="27"/>
        <v>43259</v>
      </c>
      <c r="AJ69" s="718">
        <f>IF(OR($B69="No",AJ$6=""),"",IF(NOT(ISNUMBER(_xll.ciqfunctions.udf.CIQ(AJ$6,"IQ_TEV",$AI69,$I$2,$I$3))),"",_xll.ciqfunctions.udf.CIQ(AJ$6,"IQ_TEV",$AI69,$I$2,$I$3)))</f>
        <v>290429.23298999999</v>
      </c>
      <c r="AK69" s="718">
        <f>IF(OR($B69="No",AK$6=""),"",IF(NOT(ISNUMBER(_xll.ciqfunctions.udf.CIQ(AK$6,"IQ_TEV",$AI69,$I$2,$I$3))),"",_xll.ciqfunctions.udf.CIQ(AK$6,"IQ_TEV",$AI69,$I$2,$I$3)))</f>
        <v>89109.225009999995</v>
      </c>
      <c r="AL69" s="718" t="str">
        <f>IF(OR($B69="No",AL$6=""),"",IF(NOT(ISNUMBER(_xll.ciqfunctions.udf.CIQ(AL$6,"IQ_TEV",$AI69,$I$2,$I$3))),"",_xll.ciqfunctions.udf.CIQ(AL$6,"IQ_TEV",$AI69,$I$2,$I$3)))</f>
        <v/>
      </c>
      <c r="AM69" s="718" t="str">
        <f>IF(OR($B69="No",AM$6=""),"",IF(NOT(ISNUMBER(_xll.ciqfunctions.udf.CIQ(AM$6,"IQ_TEV",$AI69,$I$2,$I$3))),"",_xll.ciqfunctions.udf.CIQ(AM$6,"IQ_TEV",$AI69,$I$2,$I$3)))</f>
        <v/>
      </c>
      <c r="AN69" s="718" t="str">
        <f>IF(OR($B69="No",AN$6=""),"",IF(NOT(ISNUMBER(_xll.ciqfunctions.udf.CIQ(AN$6,"IQ_TEV",$AI69,$I$2,$I$3))),"",_xll.ciqfunctions.udf.CIQ(AN$6,"IQ_TEV",$AI69,$I$2,$I$3)))</f>
        <v/>
      </c>
      <c r="AO69" s="718" t="str">
        <f>IF(OR($B69="No",AO$6=""),"",IF(NOT(ISNUMBER(_xll.ciqfunctions.udf.CIQ(AO$6,"IQ_TEV",$AI69,$I$2,$I$3))),"",_xll.ciqfunctions.udf.CIQ(AO$6,"IQ_TEV",$AI69,$I$2,$I$3)))</f>
        <v/>
      </c>
      <c r="AP69" s="718" t="str">
        <f>IF(OR($B69="No",AP$6=""),"",IF(NOT(ISNUMBER(_xll.ciqfunctions.udf.CIQ(AP$6,"IQ_TEV",$AI69,$I$2,$I$3))),"",_xll.ciqfunctions.udf.CIQ(AP$6,"IQ_TEV",$AI69,$I$2,$I$3)))</f>
        <v/>
      </c>
      <c r="AQ69" s="718" t="str">
        <f>IF(OR($B69="No",AQ$6=""),"",IF(NOT(ISNUMBER(_xll.ciqfunctions.udf.CIQ(AQ$6,"IQ_TEV",$AI69,$I$2,$I$3))),"",_xll.ciqfunctions.udf.CIQ(AQ$6,"IQ_TEV",$AI69,$I$2,$I$3)))</f>
        <v/>
      </c>
      <c r="AR69" s="718" t="str">
        <f>IF(OR($B69="No",AR$6=""),"",IF(NOT(ISNUMBER(_xll.ciqfunctions.udf.CIQ(AR$6,"IQ_TEV",$AI69,$I$2,$I$3))),"",_xll.ciqfunctions.udf.CIQ(AR$6,"IQ_TEV",$AI69,$I$2,$I$3)))</f>
        <v/>
      </c>
      <c r="AS69" s="718" t="str">
        <f>IF(OR($B69="No",AS$6=""),"",IF(NOT(ISNUMBER(_xll.ciqfunctions.udf.CIQ(AS$6,"IQ_TEV",$AI69,$I$2,$I$3))),"",_xll.ciqfunctions.udf.CIQ(AS$6,"IQ_TEV",$AI69,$I$2,$I$3)))</f>
        <v/>
      </c>
      <c r="AT69" s="718" t="str">
        <f>IF(OR($B69="No",AT$6=""),"",IF(NOT(ISNUMBER(_xll.ciqfunctions.udf.CIQ(AT$6,"IQ_TEV",$AI69,$I$2,$I$3))),"",_xll.ciqfunctions.udf.CIQ(AT$6,"IQ_TEV",$AI69,$I$2,$I$3)))</f>
        <v/>
      </c>
      <c r="AV69" s="251">
        <f t="shared" si="39"/>
        <v>43259</v>
      </c>
      <c r="AW69" s="719">
        <f t="shared" si="40"/>
        <v>0.11251146475865292</v>
      </c>
      <c r="AX69" s="719">
        <f t="shared" si="41"/>
        <v>0.22092772293563412</v>
      </c>
      <c r="AY69" s="719" t="e">
        <f t="shared" si="42"/>
        <v>#N/A</v>
      </c>
      <c r="AZ69" s="719" t="e">
        <f t="shared" si="43"/>
        <v>#N/A</v>
      </c>
      <c r="BA69" s="719" t="e">
        <f t="shared" si="44"/>
        <v>#N/A</v>
      </c>
      <c r="BB69" s="719" t="e">
        <f t="shared" si="45"/>
        <v>#N/A</v>
      </c>
      <c r="BC69" s="719" t="e">
        <f t="shared" si="46"/>
        <v>#N/A</v>
      </c>
      <c r="BD69" s="719" t="e">
        <f t="shared" si="47"/>
        <v>#N/A</v>
      </c>
      <c r="BE69" s="719" t="e">
        <f t="shared" si="48"/>
        <v>#N/A</v>
      </c>
      <c r="BF69" s="719" t="e">
        <f t="shared" si="49"/>
        <v>#N/A</v>
      </c>
      <c r="BG69" s="719" t="e">
        <f t="shared" si="50"/>
        <v>#N/A</v>
      </c>
    </row>
    <row r="70" spans="1:59" ht="15" customHeight="1" x14ac:dyDescent="0.2">
      <c r="A70" s="251">
        <f t="shared" si="15"/>
        <v>43266</v>
      </c>
      <c r="B70" s="253" t="str">
        <f t="shared" si="51"/>
        <v>Yes</v>
      </c>
      <c r="C70" s="1033">
        <f>IF(C$6="","",IF(NOT(ISNUMBER(_xll.ciqfunctions.udf.CIQ(C$6,$F$2, $A70, $I$2, $I$3))),IF(C69=C$6,"",C69),_xll.ciqfunctions.udf.CIQ(C$6,$F$2, $A70, $I$2, $I$3)))</f>
        <v>83.7</v>
      </c>
      <c r="D70" s="1033">
        <f>IF(D$6="","",IF(NOT(ISNUMBER(_xll.ciqfunctions.udf.CIQ(D$6,$F$2, $A70, $I$2, $I$3))),IF(D69=D$6,"",D69),_xll.ciqfunctions.udf.CIQ(D$6,$F$2, $A70, $I$2, $I$3)))</f>
        <v>25090.480080000001</v>
      </c>
      <c r="E70" s="1033">
        <f>IF(E$6="","",IF(NOT(ISNUMBER(_xll.ciqfunctions.udf.CIQ(E$6,$F$2, $A70, $I$2, $I$3))),IF(E69=E$6,"",E69),_xll.ciqfunctions.udf.CIQ(E$6,$F$2, $A70, $I$2, $I$3)))</f>
        <v>8407.1624200000006</v>
      </c>
      <c r="F70" s="1033">
        <f>IF(F$6="","",IF(NOT(ISNUMBER(_xll.ciqfunctions.udf.CIQ(F$6,$F$2, $A70, $I$2, $I$3))),IF(F69=F$6,"",F69),_xll.ciqfunctions.udf.CIQ(F$6,$F$2, $A70, $I$2, $I$3)))</f>
        <v>5119.9907000000003</v>
      </c>
      <c r="G70" s="1033">
        <f>IF(G$6="","",IF(NOT(ISNUMBER(_xll.ciqfunctions.udf.CIQ(G$6,$F$2, $A70, $I$2, $I$3))),IF(G69=G$6,"",G69),_xll.ciqfunctions.udf.CIQ(G$6,$F$2, $A70, $I$2, $I$3)))</f>
        <v>207.32</v>
      </c>
      <c r="H70" s="1033" t="str">
        <f>IF(H$6="","",IF(NOT(ISNUMBER(_xll.ciqfunctions.udf.CIQ(H$6,$F$2, $A70, $I$2, $I$3))),IF(H69=H$6,"",H69),_xll.ciqfunctions.udf.CIQ(H$6,$F$2, $A70, $I$2, $I$3)))</f>
        <v/>
      </c>
      <c r="I70" s="1033" t="str">
        <f>IF(I$6="","",IF(NOT(ISNUMBER(_xll.ciqfunctions.udf.CIQ(I$6,$F$2, $A70, $I$2, $I$3))),IF(I69=I$6,"",I69),_xll.ciqfunctions.udf.CIQ(I$6,$F$2, $A70, $I$2, $I$3)))</f>
        <v/>
      </c>
      <c r="J70" s="1033" t="str">
        <f>IF(J$6="","",IF(NOT(ISNUMBER(_xll.ciqfunctions.udf.CIQ(J$6,$F$2, $A70, $I$2, $I$3))),IF(J69=J$6,"",J69),_xll.ciqfunctions.udf.CIQ(J$6,$F$2, $A70, $I$2, $I$3)))</f>
        <v/>
      </c>
      <c r="K70" s="1033" t="str">
        <f>IF(K$6="","",IF(NOT(ISNUMBER(_xll.ciqfunctions.udf.CIQ(K$6,$F$2, $A70, $I$2, $I$3))),IF(K69=K$6,"",K69),_xll.ciqfunctions.udf.CIQ(K$6,$F$2, $A70, $I$2, $I$3)))</f>
        <v/>
      </c>
      <c r="L70" s="254" t="str">
        <f>IF(L$6="","",IF(NOT(ISNUMBER(_xll.ciqfunctions.udf.CIQ(L$6,$F$2, $A70, $I$2, $I$3))),IF(L69=L$6,"",L69),_xll.ciqfunctions.udf.CIQ(L$6,$F$2, $A70, $I$2, $I$3)))</f>
        <v/>
      </c>
      <c r="M70" s="254" t="str">
        <f>IF(M$6="","",IF(NOT(ISNUMBER(_xll.ciqfunctions.udf.CIQ(M$6,$F$2, $A70, $I$2, $I$3))),IF(M69=M$6,"",M69),_xll.ciqfunctions.udf.CIQ(M$6,$F$2, $A70, $I$2, $I$3)))</f>
        <v/>
      </c>
      <c r="N70" s="254" t="str">
        <f>IF(N$6="","",IF(NOT(ISNUMBER(_xll.ciqfunctions.udf.CIQ(N$6,$F$2, $A70, $I$2, $I$3))),IF(N69=N$6,"",N69),_xll.ciqfunctions.udf.CIQ(N$6,$F$2, $A70, $I$2, $I$3)))</f>
        <v/>
      </c>
      <c r="O70" s="254" t="str">
        <f>IF(O$6="","",IF(NOT(ISNUMBER(_xll.ciqfunctions.udf.CIQ(O$6,$F$2, $A70, $I$2, $I$3))),IF(O69=O$6,"",O69),_xll.ciqfunctions.udf.CIQ(O$6,$F$2, $A70, $I$2, $I$3)))</f>
        <v/>
      </c>
      <c r="P70" s="254" t="str">
        <f>IF(P$6="","",IF(NOT(ISNUMBER(_xll.ciqfunctions.udf.CIQ(P$6,$F$2, $A70, $I$2, $I$3))),IF(P69=P$6,"",P69),_xll.ciqfunctions.udf.CIQ(P$6,$F$2, $A70, $I$2, $I$3)))</f>
        <v/>
      </c>
      <c r="Q70" s="254"/>
      <c r="R70" s="251">
        <f t="shared" si="16"/>
        <v>43266</v>
      </c>
      <c r="S70" s="255">
        <f t="shared" si="35"/>
        <v>0.16120976692563826</v>
      </c>
      <c r="T70" s="255">
        <f t="shared" si="36"/>
        <v>0.21425793234968182</v>
      </c>
      <c r="U70" s="255">
        <f t="shared" si="37"/>
        <v>0.17487041783902879</v>
      </c>
      <c r="V70" s="255">
        <f t="shared" si="52"/>
        <v>0.16635526405277545</v>
      </c>
      <c r="W70" s="255">
        <f t="array" ref="W70">IFERROR(AVERAGE(IF(ISERROR(X70:AG70),"",X70:AG70)),"")</f>
        <v>0.23632894030651785</v>
      </c>
      <c r="X70" s="255">
        <f t="shared" si="53"/>
        <v>0.23632894030651785</v>
      </c>
      <c r="Y70" s="255" t="e">
        <f t="shared" si="54"/>
        <v>#N/A</v>
      </c>
      <c r="Z70" s="255" t="e">
        <f t="shared" si="55"/>
        <v>#N/A</v>
      </c>
      <c r="AA70" s="255" t="e">
        <f t="shared" si="56"/>
        <v>#N/A</v>
      </c>
      <c r="AB70" s="255" t="e">
        <f t="shared" si="57"/>
        <v>#N/A</v>
      </c>
      <c r="AC70" s="255" t="e">
        <f t="shared" si="58"/>
        <v>#N/A</v>
      </c>
      <c r="AD70" s="255" t="e">
        <f t="shared" si="59"/>
        <v>#N/A</v>
      </c>
      <c r="AE70" s="255" t="e">
        <f t="shared" si="60"/>
        <v>#N/A</v>
      </c>
      <c r="AF70" s="255" t="e">
        <f t="shared" si="61"/>
        <v>#N/A</v>
      </c>
      <c r="AG70" s="255" t="e">
        <f t="shared" si="62"/>
        <v>#N/A</v>
      </c>
      <c r="AI70" s="251">
        <f t="shared" si="27"/>
        <v>43266</v>
      </c>
      <c r="AJ70" s="718">
        <f>IF(OR($B70="No",AJ$6=""),"",IF(NOT(ISNUMBER(_xll.ciqfunctions.udf.CIQ(AJ$6,"IQ_TEV",$AI70,$I$2,$I$3))),"",_xll.ciqfunctions.udf.CIQ(AJ$6,"IQ_TEV",$AI70,$I$2,$I$3)))</f>
        <v>288481.67569</v>
      </c>
      <c r="AK70" s="718">
        <f>IF(OR($B70="No",AK$6=""),"",IF(NOT(ISNUMBER(_xll.ciqfunctions.udf.CIQ(AK$6,"IQ_TEV",$AI70,$I$2,$I$3))),"",_xll.ciqfunctions.udf.CIQ(AK$6,"IQ_TEV",$AI70,$I$2,$I$3)))</f>
        <v>90670.4329</v>
      </c>
      <c r="AL70" s="718" t="str">
        <f>IF(OR($B70="No",AL$6=""),"",IF(NOT(ISNUMBER(_xll.ciqfunctions.udf.CIQ(AL$6,"IQ_TEV",$AI70,$I$2,$I$3))),"",_xll.ciqfunctions.udf.CIQ(AL$6,"IQ_TEV",$AI70,$I$2,$I$3)))</f>
        <v/>
      </c>
      <c r="AM70" s="718" t="str">
        <f>IF(OR($B70="No",AM$6=""),"",IF(NOT(ISNUMBER(_xll.ciqfunctions.udf.CIQ(AM$6,"IQ_TEV",$AI70,$I$2,$I$3))),"",_xll.ciqfunctions.udf.CIQ(AM$6,"IQ_TEV",$AI70,$I$2,$I$3)))</f>
        <v/>
      </c>
      <c r="AN70" s="718" t="str">
        <f>IF(OR($B70="No",AN$6=""),"",IF(NOT(ISNUMBER(_xll.ciqfunctions.udf.CIQ(AN$6,"IQ_TEV",$AI70,$I$2,$I$3))),"",_xll.ciqfunctions.udf.CIQ(AN$6,"IQ_TEV",$AI70,$I$2,$I$3)))</f>
        <v/>
      </c>
      <c r="AO70" s="718" t="str">
        <f>IF(OR($B70="No",AO$6=""),"",IF(NOT(ISNUMBER(_xll.ciqfunctions.udf.CIQ(AO$6,"IQ_TEV",$AI70,$I$2,$I$3))),"",_xll.ciqfunctions.udf.CIQ(AO$6,"IQ_TEV",$AI70,$I$2,$I$3)))</f>
        <v/>
      </c>
      <c r="AP70" s="718" t="str">
        <f>IF(OR($B70="No",AP$6=""),"",IF(NOT(ISNUMBER(_xll.ciqfunctions.udf.CIQ(AP$6,"IQ_TEV",$AI70,$I$2,$I$3))),"",_xll.ciqfunctions.udf.CIQ(AP$6,"IQ_TEV",$AI70,$I$2,$I$3)))</f>
        <v/>
      </c>
      <c r="AQ70" s="718" t="str">
        <f>IF(OR($B70="No",AQ$6=""),"",IF(NOT(ISNUMBER(_xll.ciqfunctions.udf.CIQ(AQ$6,"IQ_TEV",$AI70,$I$2,$I$3))),"",_xll.ciqfunctions.udf.CIQ(AQ$6,"IQ_TEV",$AI70,$I$2,$I$3)))</f>
        <v/>
      </c>
      <c r="AR70" s="718" t="str">
        <f>IF(OR($B70="No",AR$6=""),"",IF(NOT(ISNUMBER(_xll.ciqfunctions.udf.CIQ(AR$6,"IQ_TEV",$AI70,$I$2,$I$3))),"",_xll.ciqfunctions.udf.CIQ(AR$6,"IQ_TEV",$AI70,$I$2,$I$3)))</f>
        <v/>
      </c>
      <c r="AS70" s="718" t="str">
        <f>IF(OR($B70="No",AS$6=""),"",IF(NOT(ISNUMBER(_xll.ciqfunctions.udf.CIQ(AS$6,"IQ_TEV",$AI70,$I$2,$I$3))),"",_xll.ciqfunctions.udf.CIQ(AS$6,"IQ_TEV",$AI70,$I$2,$I$3)))</f>
        <v/>
      </c>
      <c r="AT70" s="718" t="str">
        <f>IF(OR($B70="No",AT$6=""),"",IF(NOT(ISNUMBER(_xll.ciqfunctions.udf.CIQ(AT$6,"IQ_TEV",$AI70,$I$2,$I$3))),"",_xll.ciqfunctions.udf.CIQ(AT$6,"IQ_TEV",$AI70,$I$2,$I$3)))</f>
        <v/>
      </c>
      <c r="AV70" s="251">
        <f t="shared" si="39"/>
        <v>43266</v>
      </c>
      <c r="AW70" s="719">
        <f t="shared" si="40"/>
        <v>0.10505119706377175</v>
      </c>
      <c r="AX70" s="719">
        <f t="shared" si="41"/>
        <v>0.24231857213169583</v>
      </c>
      <c r="AY70" s="719" t="e">
        <f t="shared" si="42"/>
        <v>#N/A</v>
      </c>
      <c r="AZ70" s="719" t="e">
        <f t="shared" si="43"/>
        <v>#N/A</v>
      </c>
      <c r="BA70" s="719" t="e">
        <f t="shared" si="44"/>
        <v>#N/A</v>
      </c>
      <c r="BB70" s="719" t="e">
        <f t="shared" si="45"/>
        <v>#N/A</v>
      </c>
      <c r="BC70" s="719" t="e">
        <f t="shared" si="46"/>
        <v>#N/A</v>
      </c>
      <c r="BD70" s="719" t="e">
        <f t="shared" si="47"/>
        <v>#N/A</v>
      </c>
      <c r="BE70" s="719" t="e">
        <f t="shared" si="48"/>
        <v>#N/A</v>
      </c>
      <c r="BF70" s="719" t="e">
        <f t="shared" si="49"/>
        <v>#N/A</v>
      </c>
      <c r="BG70" s="719" t="e">
        <f t="shared" si="50"/>
        <v>#N/A</v>
      </c>
    </row>
    <row r="71" spans="1:59" ht="15" customHeight="1" x14ac:dyDescent="0.2">
      <c r="A71" s="251">
        <f t="shared" ref="A71:A134" si="63">IF(WEEKDAY(A72-7)=7,A72-8,IF(WEEKDAY(A72-7)=1,A72-9,A72-7))</f>
        <v>43273</v>
      </c>
      <c r="B71" s="253" t="str">
        <f t="shared" si="51"/>
        <v>Yes</v>
      </c>
      <c r="C71" s="1033">
        <f>IF(C$6="","",IF(NOT(ISNUMBER(_xll.ciqfunctions.udf.CIQ(C$6,$F$2, $A71, $I$2, $I$3))),IF(C70=C$6,"",C70),_xll.ciqfunctions.udf.CIQ(C$6,$F$2, $A71, $I$2, $I$3)))</f>
        <v>84.82</v>
      </c>
      <c r="D71" s="1033">
        <f>IF(D$6="","",IF(NOT(ISNUMBER(_xll.ciqfunctions.udf.CIQ(D$6,$F$2, $A71, $I$2, $I$3))),IF(D70=D$6,"",D70),_xll.ciqfunctions.udf.CIQ(D$6,$F$2, $A71, $I$2, $I$3)))</f>
        <v>24580.88855</v>
      </c>
      <c r="E71" s="1033">
        <f>IF(E$6="","",IF(NOT(ISNUMBER(_xll.ciqfunctions.udf.CIQ(E$6,$F$2, $A71, $I$2, $I$3))),IF(E70=E$6,"",E70),_xll.ciqfunctions.udf.CIQ(E$6,$F$2, $A71, $I$2, $I$3)))</f>
        <v>8273.7650400000002</v>
      </c>
      <c r="F71" s="1033">
        <f>IF(F$6="","",IF(NOT(ISNUMBER(_xll.ciqfunctions.udf.CIQ(F$6,$F$2, $A71, $I$2, $I$3))),IF(F70=F$6,"",F70),_xll.ciqfunctions.udf.CIQ(F$6,$F$2, $A71, $I$2, $I$3)))</f>
        <v>5235.5976300000002</v>
      </c>
      <c r="G71" s="1033">
        <f>IF(G$6="","",IF(NOT(ISNUMBER(_xll.ciqfunctions.udf.CIQ(G$6,$F$2, $A71, $I$2, $I$3))),IF(G70=G$6,"",G70),_xll.ciqfunctions.udf.CIQ(G$6,$F$2, $A71, $I$2, $I$3)))</f>
        <v>211.1</v>
      </c>
      <c r="H71" s="1033" t="str">
        <f>IF(H$6="","",IF(NOT(ISNUMBER(_xll.ciqfunctions.udf.CIQ(H$6,$F$2, $A71, $I$2, $I$3))),IF(H70=H$6,"",H70),_xll.ciqfunctions.udf.CIQ(H$6,$F$2, $A71, $I$2, $I$3)))</f>
        <v/>
      </c>
      <c r="I71" s="1033" t="str">
        <f>IF(I$6="","",IF(NOT(ISNUMBER(_xll.ciqfunctions.udf.CIQ(I$6,$F$2, $A71, $I$2, $I$3))),IF(I70=I$6,"",I70),_xll.ciqfunctions.udf.CIQ(I$6,$F$2, $A71, $I$2, $I$3)))</f>
        <v/>
      </c>
      <c r="J71" s="1033" t="str">
        <f>IF(J$6="","",IF(NOT(ISNUMBER(_xll.ciqfunctions.udf.CIQ(J$6,$F$2, $A71, $I$2, $I$3))),IF(J70=J$6,"",J70),_xll.ciqfunctions.udf.CIQ(J$6,$F$2, $A71, $I$2, $I$3)))</f>
        <v/>
      </c>
      <c r="K71" s="1033" t="str">
        <f>IF(K$6="","",IF(NOT(ISNUMBER(_xll.ciqfunctions.udf.CIQ(K$6,$F$2, $A71, $I$2, $I$3))),IF(K70=K$6,"",K70),_xll.ciqfunctions.udf.CIQ(K$6,$F$2, $A71, $I$2, $I$3)))</f>
        <v/>
      </c>
      <c r="L71" s="254" t="str">
        <f>IF(L$6="","",IF(NOT(ISNUMBER(_xll.ciqfunctions.udf.CIQ(L$6,$F$2, $A71, $I$2, $I$3))),IF(L70=L$6,"",L70),_xll.ciqfunctions.udf.CIQ(L$6,$F$2, $A71, $I$2, $I$3)))</f>
        <v/>
      </c>
      <c r="M71" s="254" t="str">
        <f>IF(M$6="","",IF(NOT(ISNUMBER(_xll.ciqfunctions.udf.CIQ(M$6,$F$2, $A71, $I$2, $I$3))),IF(M70=M$6,"",M70),_xll.ciqfunctions.udf.CIQ(M$6,$F$2, $A71, $I$2, $I$3)))</f>
        <v/>
      </c>
      <c r="N71" s="254" t="str">
        <f>IF(N$6="","",IF(NOT(ISNUMBER(_xll.ciqfunctions.udf.CIQ(N$6,$F$2, $A71, $I$2, $I$3))),IF(N70=N$6,"",N70),_xll.ciqfunctions.udf.CIQ(N$6,$F$2, $A71, $I$2, $I$3)))</f>
        <v/>
      </c>
      <c r="O71" s="254" t="str">
        <f>IF(O$6="","",IF(NOT(ISNUMBER(_xll.ciqfunctions.udf.CIQ(O$6,$F$2, $A71, $I$2, $I$3))),IF(O70=O$6,"",O70),_xll.ciqfunctions.udf.CIQ(O$6,$F$2, $A71, $I$2, $I$3)))</f>
        <v/>
      </c>
      <c r="P71" s="254" t="str">
        <f>IF(P$6="","",IF(NOT(ISNUMBER(_xll.ciqfunctions.udf.CIQ(P$6,$F$2, $A71, $I$2, $I$3))),IF(P70=P$6,"",P70),_xll.ciqfunctions.udf.CIQ(P$6,$F$2, $A71, $I$2, $I$3)))</f>
        <v/>
      </c>
      <c r="Q71" s="254"/>
      <c r="R71" s="251">
        <f t="shared" ref="R71:R134" si="64">A71</f>
        <v>43273</v>
      </c>
      <c r="S71" s="255">
        <f t="shared" si="35"/>
        <v>0.17674805771365154</v>
      </c>
      <c r="T71" s="255">
        <f t="shared" si="36"/>
        <v>0.1895961659909764</v>
      </c>
      <c r="U71" s="255">
        <f t="shared" si="37"/>
        <v>0.15622861841257829</v>
      </c>
      <c r="V71" s="255">
        <f t="shared" si="52"/>
        <v>0.19269100551544649</v>
      </c>
      <c r="W71" s="255">
        <f t="array" ref="W71">IFERROR(AVERAGE(IF(ISERROR(X71:AG71),"",X71:AG71)),"")</f>
        <v>0.25887053491561818</v>
      </c>
      <c r="X71" s="255">
        <f t="shared" si="53"/>
        <v>0.25887053491561818</v>
      </c>
      <c r="Y71" s="255" t="e">
        <f t="shared" si="54"/>
        <v>#N/A</v>
      </c>
      <c r="Z71" s="255" t="e">
        <f t="shared" si="55"/>
        <v>#N/A</v>
      </c>
      <c r="AA71" s="255" t="e">
        <f t="shared" si="56"/>
        <v>#N/A</v>
      </c>
      <c r="AB71" s="255" t="e">
        <f t="shared" si="57"/>
        <v>#N/A</v>
      </c>
      <c r="AC71" s="255" t="e">
        <f t="shared" si="58"/>
        <v>#N/A</v>
      </c>
      <c r="AD71" s="255" t="e">
        <f t="shared" si="59"/>
        <v>#N/A</v>
      </c>
      <c r="AE71" s="255" t="e">
        <f t="shared" si="60"/>
        <v>#N/A</v>
      </c>
      <c r="AF71" s="255" t="e">
        <f t="shared" si="61"/>
        <v>#N/A</v>
      </c>
      <c r="AG71" s="255" t="e">
        <f t="shared" si="62"/>
        <v>#N/A</v>
      </c>
      <c r="AI71" s="251">
        <f t="shared" ref="AI71:AI134" si="65">R71</f>
        <v>43273</v>
      </c>
      <c r="AJ71" s="718">
        <f>IF(OR($B71="No",AJ$6=""),"",IF(NOT(ISNUMBER(_xll.ciqfunctions.udf.CIQ(AJ$6,"IQ_TEV",$AI71,$I$2,$I$3))),"",_xll.ciqfunctions.udf.CIQ(AJ$6,"IQ_TEV",$AI71,$I$2,$I$3)))</f>
        <v>291786.62141000002</v>
      </c>
      <c r="AK71" s="718">
        <f>IF(OR($B71="No",AK$6=""),"",IF(NOT(ISNUMBER(_xll.ciqfunctions.udf.CIQ(AK$6,"IQ_TEV",$AI71,$I$2,$I$3))),"",_xll.ciqfunctions.udf.CIQ(AK$6,"IQ_TEV",$AI71,$I$2,$I$3)))</f>
        <v>92328.119940000004</v>
      </c>
      <c r="AL71" s="718" t="str">
        <f>IF(OR($B71="No",AL$6=""),"",IF(NOT(ISNUMBER(_xll.ciqfunctions.udf.CIQ(AL$6,"IQ_TEV",$AI71,$I$2,$I$3))),"",_xll.ciqfunctions.udf.CIQ(AL$6,"IQ_TEV",$AI71,$I$2,$I$3)))</f>
        <v/>
      </c>
      <c r="AM71" s="718" t="str">
        <f>IF(OR($B71="No",AM$6=""),"",IF(NOT(ISNUMBER(_xll.ciqfunctions.udf.CIQ(AM$6,"IQ_TEV",$AI71,$I$2,$I$3))),"",_xll.ciqfunctions.udf.CIQ(AM$6,"IQ_TEV",$AI71,$I$2,$I$3)))</f>
        <v/>
      </c>
      <c r="AN71" s="718" t="str">
        <f>IF(OR($B71="No",AN$6=""),"",IF(NOT(ISNUMBER(_xll.ciqfunctions.udf.CIQ(AN$6,"IQ_TEV",$AI71,$I$2,$I$3))),"",_xll.ciqfunctions.udf.CIQ(AN$6,"IQ_TEV",$AI71,$I$2,$I$3)))</f>
        <v/>
      </c>
      <c r="AO71" s="718" t="str">
        <f>IF(OR($B71="No",AO$6=""),"",IF(NOT(ISNUMBER(_xll.ciqfunctions.udf.CIQ(AO$6,"IQ_TEV",$AI71,$I$2,$I$3))),"",_xll.ciqfunctions.udf.CIQ(AO$6,"IQ_TEV",$AI71,$I$2,$I$3)))</f>
        <v/>
      </c>
      <c r="AP71" s="718" t="str">
        <f>IF(OR($B71="No",AP$6=""),"",IF(NOT(ISNUMBER(_xll.ciqfunctions.udf.CIQ(AP$6,"IQ_TEV",$AI71,$I$2,$I$3))),"",_xll.ciqfunctions.udf.CIQ(AP$6,"IQ_TEV",$AI71,$I$2,$I$3)))</f>
        <v/>
      </c>
      <c r="AQ71" s="718" t="str">
        <f>IF(OR($B71="No",AQ$6=""),"",IF(NOT(ISNUMBER(_xll.ciqfunctions.udf.CIQ(AQ$6,"IQ_TEV",$AI71,$I$2,$I$3))),"",_xll.ciqfunctions.udf.CIQ(AQ$6,"IQ_TEV",$AI71,$I$2,$I$3)))</f>
        <v/>
      </c>
      <c r="AR71" s="718" t="str">
        <f>IF(OR($B71="No",AR$6=""),"",IF(NOT(ISNUMBER(_xll.ciqfunctions.udf.CIQ(AR$6,"IQ_TEV",$AI71,$I$2,$I$3))),"",_xll.ciqfunctions.udf.CIQ(AR$6,"IQ_TEV",$AI71,$I$2,$I$3)))</f>
        <v/>
      </c>
      <c r="AS71" s="718" t="str">
        <f>IF(OR($B71="No",AS$6=""),"",IF(NOT(ISNUMBER(_xll.ciqfunctions.udf.CIQ(AS$6,"IQ_TEV",$AI71,$I$2,$I$3))),"",_xll.ciqfunctions.udf.CIQ(AS$6,"IQ_TEV",$AI71,$I$2,$I$3)))</f>
        <v/>
      </c>
      <c r="AT71" s="718" t="str">
        <f>IF(OR($B71="No",AT$6=""),"",IF(NOT(ISNUMBER(_xll.ciqfunctions.udf.CIQ(AT$6,"IQ_TEV",$AI71,$I$2,$I$3))),"",_xll.ciqfunctions.udf.CIQ(AT$6,"IQ_TEV",$AI71,$I$2,$I$3)))</f>
        <v/>
      </c>
      <c r="AV71" s="251">
        <f t="shared" si="39"/>
        <v>43273</v>
      </c>
      <c r="AW71" s="719">
        <f t="shared" si="40"/>
        <v>0.11771104526862408</v>
      </c>
      <c r="AX71" s="719">
        <f t="shared" si="41"/>
        <v>0.26503132788577166</v>
      </c>
      <c r="AY71" s="719" t="e">
        <f t="shared" si="42"/>
        <v>#N/A</v>
      </c>
      <c r="AZ71" s="719" t="e">
        <f t="shared" si="43"/>
        <v>#N/A</v>
      </c>
      <c r="BA71" s="719" t="e">
        <f t="shared" si="44"/>
        <v>#N/A</v>
      </c>
      <c r="BB71" s="719" t="e">
        <f t="shared" si="45"/>
        <v>#N/A</v>
      </c>
      <c r="BC71" s="719" t="e">
        <f t="shared" si="46"/>
        <v>#N/A</v>
      </c>
      <c r="BD71" s="719" t="e">
        <f t="shared" si="47"/>
        <v>#N/A</v>
      </c>
      <c r="BE71" s="719" t="e">
        <f t="shared" si="48"/>
        <v>#N/A</v>
      </c>
      <c r="BF71" s="719" t="e">
        <f t="shared" si="49"/>
        <v>#N/A</v>
      </c>
      <c r="BG71" s="719" t="e">
        <f t="shared" si="50"/>
        <v>#N/A</v>
      </c>
    </row>
    <row r="72" spans="1:59" ht="15" customHeight="1" x14ac:dyDescent="0.2">
      <c r="A72" s="251">
        <f t="shared" si="63"/>
        <v>43280</v>
      </c>
      <c r="B72" s="253" t="str">
        <f t="shared" si="51"/>
        <v>Yes</v>
      </c>
      <c r="C72" s="1033">
        <f>IF(C$6="","",IF(NOT(ISNUMBER(_xll.ciqfunctions.udf.CIQ(C$6,$F$2, $A72, $I$2, $I$3))),IF(C71=C$6,"",C71),_xll.ciqfunctions.udf.CIQ(C$6,$F$2, $A72, $I$2, $I$3)))</f>
        <v>85.65</v>
      </c>
      <c r="D72" s="1033">
        <f>IF(D$6="","",IF(NOT(ISNUMBER(_xll.ciqfunctions.udf.CIQ(D$6,$F$2, $A72, $I$2, $I$3))),IF(D71=D$6,"",D71),_xll.ciqfunctions.udf.CIQ(D$6,$F$2, $A72, $I$2, $I$3)))</f>
        <v>24271.40986</v>
      </c>
      <c r="E72" s="1033">
        <f>IF(E$6="","",IF(NOT(ISNUMBER(_xll.ciqfunctions.udf.CIQ(E$6,$F$2, $A72, $I$2, $I$3))),IF(E71=E$6,"",E71),_xll.ciqfunctions.udf.CIQ(E$6,$F$2, $A72, $I$2, $I$3)))</f>
        <v>8146.0543699999998</v>
      </c>
      <c r="F72" s="1033">
        <f>IF(F$6="","",IF(NOT(ISNUMBER(_xll.ciqfunctions.udf.CIQ(F$6,$F$2, $A72, $I$2, $I$3))),IF(F71=F$6,"",F71),_xll.ciqfunctions.udf.CIQ(F$6,$F$2, $A72, $I$2, $I$3)))</f>
        <v>5044.5406999999996</v>
      </c>
      <c r="G72" s="1033">
        <f>IF(G$6="","",IF(NOT(ISNUMBER(_xll.ciqfunctions.udf.CIQ(G$6,$F$2, $A72, $I$2, $I$3))),IF(G71=G$6,"",G71),_xll.ciqfunctions.udf.CIQ(G$6,$F$2, $A72, $I$2, $I$3)))</f>
        <v>208.98</v>
      </c>
      <c r="H72" s="1033" t="str">
        <f>IF(H$6="","",IF(NOT(ISNUMBER(_xll.ciqfunctions.udf.CIQ(H$6,$F$2, $A72, $I$2, $I$3))),IF(H71=H$6,"",H71),_xll.ciqfunctions.udf.CIQ(H$6,$F$2, $A72, $I$2, $I$3)))</f>
        <v/>
      </c>
      <c r="I72" s="1033" t="str">
        <f>IF(I$6="","",IF(NOT(ISNUMBER(_xll.ciqfunctions.udf.CIQ(I$6,$F$2, $A72, $I$2, $I$3))),IF(I71=I$6,"",I71),_xll.ciqfunctions.udf.CIQ(I$6,$F$2, $A72, $I$2, $I$3)))</f>
        <v/>
      </c>
      <c r="J72" s="1033" t="str">
        <f>IF(J$6="","",IF(NOT(ISNUMBER(_xll.ciqfunctions.udf.CIQ(J$6,$F$2, $A72, $I$2, $I$3))),IF(J71=J$6,"",J71),_xll.ciqfunctions.udf.CIQ(J$6,$F$2, $A72, $I$2, $I$3)))</f>
        <v/>
      </c>
      <c r="K72" s="1033" t="str">
        <f>IF(K$6="","",IF(NOT(ISNUMBER(_xll.ciqfunctions.udf.CIQ(K$6,$F$2, $A72, $I$2, $I$3))),IF(K71=K$6,"",K71),_xll.ciqfunctions.udf.CIQ(K$6,$F$2, $A72, $I$2, $I$3)))</f>
        <v/>
      </c>
      <c r="L72" s="254" t="str">
        <f>IF(L$6="","",IF(NOT(ISNUMBER(_xll.ciqfunctions.udf.CIQ(L$6,$F$2, $A72, $I$2, $I$3))),IF(L71=L$6,"",L71),_xll.ciqfunctions.udf.CIQ(L$6,$F$2, $A72, $I$2, $I$3)))</f>
        <v/>
      </c>
      <c r="M72" s="254" t="str">
        <f>IF(M$6="","",IF(NOT(ISNUMBER(_xll.ciqfunctions.udf.CIQ(M$6,$F$2, $A72, $I$2, $I$3))),IF(M71=M$6,"",M71),_xll.ciqfunctions.udf.CIQ(M$6,$F$2, $A72, $I$2, $I$3)))</f>
        <v/>
      </c>
      <c r="N72" s="254" t="str">
        <f>IF(N$6="","",IF(NOT(ISNUMBER(_xll.ciqfunctions.udf.CIQ(N$6,$F$2, $A72, $I$2, $I$3))),IF(N71=N$6,"",N71),_xll.ciqfunctions.udf.CIQ(N$6,$F$2, $A72, $I$2, $I$3)))</f>
        <v/>
      </c>
      <c r="O72" s="254" t="str">
        <f>IF(O$6="","",IF(NOT(ISNUMBER(_xll.ciqfunctions.udf.CIQ(O$6,$F$2, $A72, $I$2, $I$3))),IF(O71=O$6,"",O71),_xll.ciqfunctions.udf.CIQ(O$6,$F$2, $A72, $I$2, $I$3)))</f>
        <v/>
      </c>
      <c r="P72" s="254" t="str">
        <f>IF(P$6="","",IF(NOT(ISNUMBER(_xll.ciqfunctions.udf.CIQ(P$6,$F$2, $A72, $I$2, $I$3))),IF(P71=P$6,"",P71),_xll.ciqfunctions.udf.CIQ(P$6,$F$2, $A72, $I$2, $I$3)))</f>
        <v/>
      </c>
      <c r="Q72" s="254"/>
      <c r="R72" s="251">
        <f t="shared" si="64"/>
        <v>43280</v>
      </c>
      <c r="S72" s="255">
        <f t="shared" ref="S72:S135" si="66">IFERROR(IF(C72="",NA(),IF(OR($B72="No",C72=""),NA(),IF(AND(ISNA(S71),C72=S$3),0,IF($A$2="Yes",C72/C71-1,C72/S$3-1)))),"")</f>
        <v>0.18826304106548286</v>
      </c>
      <c r="T72" s="255">
        <f t="shared" ref="T72:T135" si="67">IFERROR(IF(D72="",NA(),IF(OR($B72="No",D72=""),NA(),IF(AND(ISNA(T71),D72=T$3),0,IF($A$2="Yes",D72/D71-1,D72/T$3-1)))),"")</f>
        <v>0.17461889361406269</v>
      </c>
      <c r="U72" s="255">
        <f t="shared" ref="U72:U135" si="68">IFERROR(IF(E72="",NA(),IF(OR($B72="No",E72=""),NA(),IF(AND(ISNA(U71),E72=U$3),0,IF($A$2="Yes",E72/E71-1,E72/U$3-1)))),"")</f>
        <v>0.13838151605751259</v>
      </c>
      <c r="V72" s="255">
        <f t="shared" si="52"/>
        <v>0.14916743895129958</v>
      </c>
      <c r="W72" s="255">
        <f t="array" ref="W72">IFERROR(AVERAGE(IF(ISERROR(X72:AG72),"",X72:AG72)),"")</f>
        <v>0.2462281591031068</v>
      </c>
      <c r="X72" s="255">
        <f t="shared" si="53"/>
        <v>0.2462281591031068</v>
      </c>
      <c r="Y72" s="255" t="e">
        <f t="shared" si="54"/>
        <v>#N/A</v>
      </c>
      <c r="Z72" s="255" t="e">
        <f t="shared" si="55"/>
        <v>#N/A</v>
      </c>
      <c r="AA72" s="255" t="e">
        <f t="shared" si="56"/>
        <v>#N/A</v>
      </c>
      <c r="AB72" s="255" t="e">
        <f t="shared" si="57"/>
        <v>#N/A</v>
      </c>
      <c r="AC72" s="255" t="e">
        <f t="shared" si="58"/>
        <v>#N/A</v>
      </c>
      <c r="AD72" s="255" t="e">
        <f t="shared" si="59"/>
        <v>#N/A</v>
      </c>
      <c r="AE72" s="255" t="e">
        <f t="shared" si="60"/>
        <v>#N/A</v>
      </c>
      <c r="AF72" s="255" t="e">
        <f t="shared" si="61"/>
        <v>#N/A</v>
      </c>
      <c r="AG72" s="255" t="e">
        <f t="shared" si="62"/>
        <v>#N/A</v>
      </c>
      <c r="AI72" s="251">
        <f t="shared" si="65"/>
        <v>43280</v>
      </c>
      <c r="AJ72" s="718">
        <f>IF(OR($B72="No",AJ$6=""),"",IF(NOT(ISNUMBER(_xll.ciqfunctions.udf.CIQ(AJ$6,"IQ_TEV",$AI72,$I$2,$I$3))),"",_xll.ciqfunctions.udf.CIQ(AJ$6,"IQ_TEV",$AI72,$I$2,$I$3)))</f>
        <v>294235.82225999999</v>
      </c>
      <c r="AK72" s="718">
        <f>IF(OR($B72="No",AK$6=""),"",IF(NOT(ISNUMBER(_xll.ciqfunctions.udf.CIQ(AK$6,"IQ_TEV",$AI72,$I$2,$I$3))),"",_xll.ciqfunctions.udf.CIQ(AK$6,"IQ_TEV",$AI72,$I$2,$I$3)))</f>
        <v>91398.411869999996</v>
      </c>
      <c r="AL72" s="718" t="str">
        <f>IF(OR($B72="No",AL$6=""),"",IF(NOT(ISNUMBER(_xll.ciqfunctions.udf.CIQ(AL$6,"IQ_TEV",$AI72,$I$2,$I$3))),"",_xll.ciqfunctions.udf.CIQ(AL$6,"IQ_TEV",$AI72,$I$2,$I$3)))</f>
        <v/>
      </c>
      <c r="AM72" s="718" t="str">
        <f>IF(OR($B72="No",AM$6=""),"",IF(NOT(ISNUMBER(_xll.ciqfunctions.udf.CIQ(AM$6,"IQ_TEV",$AI72,$I$2,$I$3))),"",_xll.ciqfunctions.udf.CIQ(AM$6,"IQ_TEV",$AI72,$I$2,$I$3)))</f>
        <v/>
      </c>
      <c r="AN72" s="718" t="str">
        <f>IF(OR($B72="No",AN$6=""),"",IF(NOT(ISNUMBER(_xll.ciqfunctions.udf.CIQ(AN$6,"IQ_TEV",$AI72,$I$2,$I$3))),"",_xll.ciqfunctions.udf.CIQ(AN$6,"IQ_TEV",$AI72,$I$2,$I$3)))</f>
        <v/>
      </c>
      <c r="AO72" s="718" t="str">
        <f>IF(OR($B72="No",AO$6=""),"",IF(NOT(ISNUMBER(_xll.ciqfunctions.udf.CIQ(AO$6,"IQ_TEV",$AI72,$I$2,$I$3))),"",_xll.ciqfunctions.udf.CIQ(AO$6,"IQ_TEV",$AI72,$I$2,$I$3)))</f>
        <v/>
      </c>
      <c r="AP72" s="718" t="str">
        <f>IF(OR($B72="No",AP$6=""),"",IF(NOT(ISNUMBER(_xll.ciqfunctions.udf.CIQ(AP$6,"IQ_TEV",$AI72,$I$2,$I$3))),"",_xll.ciqfunctions.udf.CIQ(AP$6,"IQ_TEV",$AI72,$I$2,$I$3)))</f>
        <v/>
      </c>
      <c r="AQ72" s="718" t="str">
        <f>IF(OR($B72="No",AQ$6=""),"",IF(NOT(ISNUMBER(_xll.ciqfunctions.udf.CIQ(AQ$6,"IQ_TEV",$AI72,$I$2,$I$3))),"",_xll.ciqfunctions.udf.CIQ(AQ$6,"IQ_TEV",$AI72,$I$2,$I$3)))</f>
        <v/>
      </c>
      <c r="AR72" s="718" t="str">
        <f>IF(OR($B72="No",AR$6=""),"",IF(NOT(ISNUMBER(_xll.ciqfunctions.udf.CIQ(AR$6,"IQ_TEV",$AI72,$I$2,$I$3))),"",_xll.ciqfunctions.udf.CIQ(AR$6,"IQ_TEV",$AI72,$I$2,$I$3)))</f>
        <v/>
      </c>
      <c r="AS72" s="718" t="str">
        <f>IF(OR($B72="No",AS$6=""),"",IF(NOT(ISNUMBER(_xll.ciqfunctions.udf.CIQ(AS$6,"IQ_TEV",$AI72,$I$2,$I$3))),"",_xll.ciqfunctions.udf.CIQ(AS$6,"IQ_TEV",$AI72,$I$2,$I$3)))</f>
        <v/>
      </c>
      <c r="AT72" s="718" t="str">
        <f>IF(OR($B72="No",AT$6=""),"",IF(NOT(ISNUMBER(_xll.ciqfunctions.udf.CIQ(AT$6,"IQ_TEV",$AI72,$I$2,$I$3))),"",_xll.ciqfunctions.udf.CIQ(AT$6,"IQ_TEV",$AI72,$I$2,$I$3)))</f>
        <v/>
      </c>
      <c r="AV72" s="251">
        <f t="shared" ref="AV72:AV135" si="69">AI72</f>
        <v>43280</v>
      </c>
      <c r="AW72" s="719">
        <f t="shared" ref="AW72:AW135" si="70">IF(OR(AW$6="",$B72="No",AJ72=""),NA(),IF(AND(ISNA(AW71),ISNUMBER(AJ72)),0,IF($A$2="Yes",AJ72/AJ71-1,AJ72/AW$3-1)))</f>
        <v>0.12709289707833982</v>
      </c>
      <c r="AX72" s="719">
        <f t="shared" ref="AX72:AX135" si="71">IF(OR(AX$6="",$B72="No",AK72=""),NA(),IF(AND(ISNA(AX71),ISNUMBER(AK72)),0,IF($A$2="Yes",AK72/AK71-1,AK72/AX$3-1)))</f>
        <v>0.25229295700696985</v>
      </c>
      <c r="AY72" s="719" t="e">
        <f t="shared" ref="AY72:AY135" si="72">IF(OR(AY$6="",$B72="No",AL72=""),NA(),IF(AND(ISNA(AY71),ISNUMBER(AL72)),0,IF($A$2="Yes",AL72/AL71-1,AL72/AY$3-1)))</f>
        <v>#N/A</v>
      </c>
      <c r="AZ72" s="719" t="e">
        <f t="shared" ref="AZ72:AZ135" si="73">IF(OR(AZ$6="",$B72="No",AM72=""),NA(),IF(AND(ISNA(AZ71),ISNUMBER(AM72)),0,IF($A$2="Yes",AM72/AM71-1,AM72/AZ$3-1)))</f>
        <v>#N/A</v>
      </c>
      <c r="BA72" s="719" t="e">
        <f t="shared" ref="BA72:BA135" si="74">IF(OR(BA$6="",$B72="No",AN72=""),NA(),IF(AND(ISNA(BA71),ISNUMBER(AN72)),0,IF($A$2="Yes",AN72/AN71-1,AN72/BA$3-1)))</f>
        <v>#N/A</v>
      </c>
      <c r="BB72" s="719" t="e">
        <f t="shared" ref="BB72:BB135" si="75">IF(OR(BB$6="",$B72="No",AO72=""),NA(),IF(AND(ISNA(BB71),ISNUMBER(AO72)),0,IF($A$2="Yes",AO72/AO71-1,AO72/BB$3-1)))</f>
        <v>#N/A</v>
      </c>
      <c r="BC72" s="719" t="e">
        <f t="shared" ref="BC72:BC135" si="76">IF(OR(BC$6="",$B72="No",AP72=""),NA(),IF(AND(ISNA(BC71),ISNUMBER(AP72)),0,IF($A$2="Yes",AP72/AP71-1,AP72/BC$3-1)))</f>
        <v>#N/A</v>
      </c>
      <c r="BD72" s="719" t="e">
        <f t="shared" ref="BD72:BD135" si="77">IF(OR(BD$6="",$B72="No",AQ72=""),NA(),IF(AND(ISNA(BD71),ISNUMBER(AQ72)),0,IF($A$2="Yes",AQ72/AQ71-1,AQ72/BD$3-1)))</f>
        <v>#N/A</v>
      </c>
      <c r="BE72" s="719" t="e">
        <f t="shared" ref="BE72:BE135" si="78">IF(OR(BE$6="",$B72="No",AR72=""),NA(),IF(AND(ISNA(BE71),ISNUMBER(AR72)),0,IF($A$2="Yes",AR72/AR71-1,AR72/BE$3-1)))</f>
        <v>#N/A</v>
      </c>
      <c r="BF72" s="719" t="e">
        <f t="shared" ref="BF72:BF135" si="79">IF(OR(BF$6="",$B72="No",AS72=""),NA(),IF(AND(ISNA(BF71),ISNUMBER(AS72)),0,IF($A$2="Yes",AS72/AS71-1,AS72/BF$3-1)))</f>
        <v>#N/A</v>
      </c>
      <c r="BG72" s="719" t="e">
        <f t="shared" ref="BG72:BG135" si="80">IF(OR(BG$6="",$B72="No",AT72=""),NA(),IF(AND(ISNA(BG71),ISNUMBER(AT72)),0,IF($A$2="Yes",AT72/AT71-1,AT72/BG$3-1)))</f>
        <v>#N/A</v>
      </c>
    </row>
    <row r="73" spans="1:59" ht="15" customHeight="1" x14ac:dyDescent="0.2">
      <c r="A73" s="251">
        <f t="shared" si="63"/>
        <v>43287</v>
      </c>
      <c r="B73" s="253" t="str">
        <f t="shared" ref="B73:B136" si="81">IF(AND(B72="No",COUNT(C73:F73)=0),"No","Yes")</f>
        <v>Yes</v>
      </c>
      <c r="C73" s="1033">
        <f>IF(C$6="","",IF(NOT(ISNUMBER(_xll.ciqfunctions.udf.CIQ(C$6,$F$2, $A73, $I$2, $I$3))),IF(C72=C$6,"",C72),_xll.ciqfunctions.udf.CIQ(C$6,$F$2, $A73, $I$2, $I$3)))</f>
        <v>84.51</v>
      </c>
      <c r="D73" s="1033">
        <f>IF(D$6="","",IF(NOT(ISNUMBER(_xll.ciqfunctions.udf.CIQ(D$6,$F$2, $A73, $I$2, $I$3))),IF(D72=D$6,"",D72),_xll.ciqfunctions.udf.CIQ(D$6,$F$2, $A73, $I$2, $I$3)))</f>
        <v>24456.484899999999</v>
      </c>
      <c r="E73" s="1033">
        <f>IF(E$6="","",IF(NOT(ISNUMBER(_xll.ciqfunctions.udf.CIQ(E$6,$F$2, $A73, $I$2, $I$3))),IF(E72=E$6,"",E72),_xll.ciqfunctions.udf.CIQ(E$6,$F$2, $A73, $I$2, $I$3)))</f>
        <v>8239.5044699999999</v>
      </c>
      <c r="F73" s="1033">
        <f>IF(F$6="","",IF(NOT(ISNUMBER(_xll.ciqfunctions.udf.CIQ(F$6,$F$2, $A73, $I$2, $I$3))),IF(F72=F$6,"",F72),_xll.ciqfunctions.udf.CIQ(F$6,$F$2, $A73, $I$2, $I$3)))</f>
        <v>5172.3227800000004</v>
      </c>
      <c r="G73" s="1033">
        <f>IF(G$6="","",IF(NOT(ISNUMBER(_xll.ciqfunctions.udf.CIQ(G$6,$F$2, $A73, $I$2, $I$3))),IF(G72=G$6,"",G72),_xll.ciqfunctions.udf.CIQ(G$6,$F$2, $A73, $I$2, $I$3)))</f>
        <v>209.62</v>
      </c>
      <c r="H73" s="1033" t="str">
        <f>IF(H$6="","",IF(NOT(ISNUMBER(_xll.ciqfunctions.udf.CIQ(H$6,$F$2, $A73, $I$2, $I$3))),IF(H72=H$6,"",H72),_xll.ciqfunctions.udf.CIQ(H$6,$F$2, $A73, $I$2, $I$3)))</f>
        <v/>
      </c>
      <c r="I73" s="1033" t="str">
        <f>IF(I$6="","",IF(NOT(ISNUMBER(_xll.ciqfunctions.udf.CIQ(I$6,$F$2, $A73, $I$2, $I$3))),IF(I72=I$6,"",I72),_xll.ciqfunctions.udf.CIQ(I$6,$F$2, $A73, $I$2, $I$3)))</f>
        <v/>
      </c>
      <c r="J73" s="1033" t="str">
        <f>IF(J$6="","",IF(NOT(ISNUMBER(_xll.ciqfunctions.udf.CIQ(J$6,$F$2, $A73, $I$2, $I$3))),IF(J72=J$6,"",J72),_xll.ciqfunctions.udf.CIQ(J$6,$F$2, $A73, $I$2, $I$3)))</f>
        <v/>
      </c>
      <c r="K73" s="1033" t="str">
        <f>IF(K$6="","",IF(NOT(ISNUMBER(_xll.ciqfunctions.udf.CIQ(K$6,$F$2, $A73, $I$2, $I$3))),IF(K72=K$6,"",K72),_xll.ciqfunctions.udf.CIQ(K$6,$F$2, $A73, $I$2, $I$3)))</f>
        <v/>
      </c>
      <c r="L73" s="254" t="str">
        <f>IF(L$6="","",IF(NOT(ISNUMBER(_xll.ciqfunctions.udf.CIQ(L$6,$F$2, $A73, $I$2, $I$3))),IF(L72=L$6,"",L72),_xll.ciqfunctions.udf.CIQ(L$6,$F$2, $A73, $I$2, $I$3)))</f>
        <v/>
      </c>
      <c r="M73" s="254" t="str">
        <f>IF(M$6="","",IF(NOT(ISNUMBER(_xll.ciqfunctions.udf.CIQ(M$6,$F$2, $A73, $I$2, $I$3))),IF(M72=M$6,"",M72),_xll.ciqfunctions.udf.CIQ(M$6,$F$2, $A73, $I$2, $I$3)))</f>
        <v/>
      </c>
      <c r="N73" s="254" t="str">
        <f>IF(N$6="","",IF(NOT(ISNUMBER(_xll.ciqfunctions.udf.CIQ(N$6,$F$2, $A73, $I$2, $I$3))),IF(N72=N$6,"",N72),_xll.ciqfunctions.udf.CIQ(N$6,$F$2, $A73, $I$2, $I$3)))</f>
        <v/>
      </c>
      <c r="O73" s="254" t="str">
        <f>IF(O$6="","",IF(NOT(ISNUMBER(_xll.ciqfunctions.udf.CIQ(O$6,$F$2, $A73, $I$2, $I$3))),IF(O72=O$6,"",O72),_xll.ciqfunctions.udf.CIQ(O$6,$F$2, $A73, $I$2, $I$3)))</f>
        <v/>
      </c>
      <c r="P73" s="254" t="str">
        <f>IF(P$6="","",IF(NOT(ISNUMBER(_xll.ciqfunctions.udf.CIQ(P$6,$F$2, $A73, $I$2, $I$3))),IF(P72=P$6,"",P72),_xll.ciqfunctions.udf.CIQ(P$6,$F$2, $A73, $I$2, $I$3)))</f>
        <v/>
      </c>
      <c r="Q73" s="254"/>
      <c r="R73" s="251">
        <f t="shared" si="64"/>
        <v>43287</v>
      </c>
      <c r="S73" s="255">
        <f t="shared" si="66"/>
        <v>0.1724472807991122</v>
      </c>
      <c r="T73" s="255">
        <f t="shared" si="67"/>
        <v>0.1835756307782539</v>
      </c>
      <c r="U73" s="255">
        <f t="shared" si="68"/>
        <v>0.15144082817130156</v>
      </c>
      <c r="V73" s="255">
        <f t="shared" ref="V73:V136" si="82">IFERROR(IF(F73="",NA(),IF(OR($B73="No",F73=""),NA(),IF(AND(ISNA(V72),F73=V$3),0,IF($A$2="Yes",F73/F72-1,F73/V$3-1)))),"")</f>
        <v>0.17827673043099201</v>
      </c>
      <c r="W73" s="255">
        <f t="array" ref="W73">IFERROR(AVERAGE(IF(ISERROR(X73:AG73),"",X73:AG73)),"")</f>
        <v>0.25004472538612932</v>
      </c>
      <c r="X73" s="255">
        <f t="shared" ref="X73:X136" si="83">IF(G73="",NA(),IF(OR($B73="No",G73=""),NA(),IF(AND(ISNA(X72),G73=X$3),0,IF($A$2="Yes",G73/G72-1,G73/X$3-1))))</f>
        <v>0.25004472538612932</v>
      </c>
      <c r="Y73" s="255" t="e">
        <f t="shared" si="54"/>
        <v>#N/A</v>
      </c>
      <c r="Z73" s="255" t="e">
        <f t="shared" si="55"/>
        <v>#N/A</v>
      </c>
      <c r="AA73" s="255" t="e">
        <f t="shared" si="56"/>
        <v>#N/A</v>
      </c>
      <c r="AB73" s="255" t="e">
        <f t="shared" si="57"/>
        <v>#N/A</v>
      </c>
      <c r="AC73" s="255" t="e">
        <f t="shared" si="58"/>
        <v>#N/A</v>
      </c>
      <c r="AD73" s="255" t="e">
        <f t="shared" si="59"/>
        <v>#N/A</v>
      </c>
      <c r="AE73" s="255" t="e">
        <f t="shared" si="60"/>
        <v>#N/A</v>
      </c>
      <c r="AF73" s="255" t="e">
        <f t="shared" si="61"/>
        <v>#N/A</v>
      </c>
      <c r="AG73" s="255" t="e">
        <f t="shared" si="62"/>
        <v>#N/A</v>
      </c>
      <c r="AI73" s="251">
        <f t="shared" si="65"/>
        <v>43287</v>
      </c>
      <c r="AJ73" s="718">
        <f>IF(OR($B73="No",AJ$6=""),"",IF(NOT(ISNUMBER(_xll.ciqfunctions.udf.CIQ(AJ$6,"IQ_TEV",$AI73,$I$2,$I$3))),"",_xll.ciqfunctions.udf.CIQ(AJ$6,"IQ_TEV",$AI73,$I$2,$I$3)))</f>
        <v>290871.85965</v>
      </c>
      <c r="AK73" s="718">
        <f>IF(OR($B73="No",AK$6=""),"",IF(NOT(ISNUMBER(_xll.ciqfunctions.udf.CIQ(AK$6,"IQ_TEV",$AI73,$I$2,$I$3))),"",_xll.ciqfunctions.udf.CIQ(AK$6,"IQ_TEV",$AI73,$I$2,$I$3)))</f>
        <v>91679.078450000001</v>
      </c>
      <c r="AL73" s="718" t="str">
        <f>IF(OR($B73="No",AL$6=""),"",IF(NOT(ISNUMBER(_xll.ciqfunctions.udf.CIQ(AL$6,"IQ_TEV",$AI73,$I$2,$I$3))),"",_xll.ciqfunctions.udf.CIQ(AL$6,"IQ_TEV",$AI73,$I$2,$I$3)))</f>
        <v/>
      </c>
      <c r="AM73" s="718" t="str">
        <f>IF(OR($B73="No",AM$6=""),"",IF(NOT(ISNUMBER(_xll.ciqfunctions.udf.CIQ(AM$6,"IQ_TEV",$AI73,$I$2,$I$3))),"",_xll.ciqfunctions.udf.CIQ(AM$6,"IQ_TEV",$AI73,$I$2,$I$3)))</f>
        <v/>
      </c>
      <c r="AN73" s="718" t="str">
        <f>IF(OR($B73="No",AN$6=""),"",IF(NOT(ISNUMBER(_xll.ciqfunctions.udf.CIQ(AN$6,"IQ_TEV",$AI73,$I$2,$I$3))),"",_xll.ciqfunctions.udf.CIQ(AN$6,"IQ_TEV",$AI73,$I$2,$I$3)))</f>
        <v/>
      </c>
      <c r="AO73" s="718" t="str">
        <f>IF(OR($B73="No",AO$6=""),"",IF(NOT(ISNUMBER(_xll.ciqfunctions.udf.CIQ(AO$6,"IQ_TEV",$AI73,$I$2,$I$3))),"",_xll.ciqfunctions.udf.CIQ(AO$6,"IQ_TEV",$AI73,$I$2,$I$3)))</f>
        <v/>
      </c>
      <c r="AP73" s="718" t="str">
        <f>IF(OR($B73="No",AP$6=""),"",IF(NOT(ISNUMBER(_xll.ciqfunctions.udf.CIQ(AP$6,"IQ_TEV",$AI73,$I$2,$I$3))),"",_xll.ciqfunctions.udf.CIQ(AP$6,"IQ_TEV",$AI73,$I$2,$I$3)))</f>
        <v/>
      </c>
      <c r="AQ73" s="718" t="str">
        <f>IF(OR($B73="No",AQ$6=""),"",IF(NOT(ISNUMBER(_xll.ciqfunctions.udf.CIQ(AQ$6,"IQ_TEV",$AI73,$I$2,$I$3))),"",_xll.ciqfunctions.udf.CIQ(AQ$6,"IQ_TEV",$AI73,$I$2,$I$3)))</f>
        <v/>
      </c>
      <c r="AR73" s="718" t="str">
        <f>IF(OR($B73="No",AR$6=""),"",IF(NOT(ISNUMBER(_xll.ciqfunctions.udf.CIQ(AR$6,"IQ_TEV",$AI73,$I$2,$I$3))),"",_xll.ciqfunctions.udf.CIQ(AR$6,"IQ_TEV",$AI73,$I$2,$I$3)))</f>
        <v/>
      </c>
      <c r="AS73" s="718" t="str">
        <f>IF(OR($B73="No",AS$6=""),"",IF(NOT(ISNUMBER(_xll.ciqfunctions.udf.CIQ(AS$6,"IQ_TEV",$AI73,$I$2,$I$3))),"",_xll.ciqfunctions.udf.CIQ(AS$6,"IQ_TEV",$AI73,$I$2,$I$3)))</f>
        <v/>
      </c>
      <c r="AT73" s="718" t="str">
        <f>IF(OR($B73="No",AT$6=""),"",IF(NOT(ISNUMBER(_xll.ciqfunctions.udf.CIQ(AT$6,"IQ_TEV",$AI73,$I$2,$I$3))),"",_xll.ciqfunctions.udf.CIQ(AT$6,"IQ_TEV",$AI73,$I$2,$I$3)))</f>
        <v/>
      </c>
      <c r="AV73" s="251">
        <f t="shared" si="69"/>
        <v>43287</v>
      </c>
      <c r="AW73" s="719">
        <f t="shared" si="70"/>
        <v>0.11420698014733555</v>
      </c>
      <c r="AX73" s="719">
        <f t="shared" si="71"/>
        <v>0.25613850283440898</v>
      </c>
      <c r="AY73" s="719" t="e">
        <f t="shared" si="72"/>
        <v>#N/A</v>
      </c>
      <c r="AZ73" s="719" t="e">
        <f t="shared" si="73"/>
        <v>#N/A</v>
      </c>
      <c r="BA73" s="719" t="e">
        <f t="shared" si="74"/>
        <v>#N/A</v>
      </c>
      <c r="BB73" s="719" t="e">
        <f t="shared" si="75"/>
        <v>#N/A</v>
      </c>
      <c r="BC73" s="719" t="e">
        <f t="shared" si="76"/>
        <v>#N/A</v>
      </c>
      <c r="BD73" s="719" t="e">
        <f t="shared" si="77"/>
        <v>#N/A</v>
      </c>
      <c r="BE73" s="719" t="e">
        <f t="shared" si="78"/>
        <v>#N/A</v>
      </c>
      <c r="BF73" s="719" t="e">
        <f t="shared" si="79"/>
        <v>#N/A</v>
      </c>
      <c r="BG73" s="719" t="e">
        <f t="shared" si="80"/>
        <v>#N/A</v>
      </c>
    </row>
    <row r="74" spans="1:59" ht="15" customHeight="1" x14ac:dyDescent="0.2">
      <c r="A74" s="251">
        <f t="shared" si="63"/>
        <v>43294</v>
      </c>
      <c r="B74" s="253" t="str">
        <f t="shared" si="81"/>
        <v>Yes</v>
      </c>
      <c r="C74" s="1033">
        <f>IF(C$6="","",IF(NOT(ISNUMBER(_xll.ciqfunctions.udf.CIQ(C$6,$F$2, $A74, $I$2, $I$3))),IF(C73=C$6,"",C73),_xll.ciqfunctions.udf.CIQ(C$6,$F$2, $A74, $I$2, $I$3)))</f>
        <v>87.7</v>
      </c>
      <c r="D74" s="1033">
        <f>IF(D$6="","",IF(NOT(ISNUMBER(_xll.ciqfunctions.udf.CIQ(D$6,$F$2, $A74, $I$2, $I$3))),IF(D73=D$6,"",D73),_xll.ciqfunctions.udf.CIQ(D$6,$F$2, $A74, $I$2, $I$3)))</f>
        <v>25019.405940000001</v>
      </c>
      <c r="E74" s="1033">
        <f>IF(E$6="","",IF(NOT(ISNUMBER(_xll.ciqfunctions.udf.CIQ(E$6,$F$2, $A74, $I$2, $I$3))),IF(E73=E$6,"",E73),_xll.ciqfunctions.udf.CIQ(E$6,$F$2, $A74, $I$2, $I$3)))</f>
        <v>8352.2065299999995</v>
      </c>
      <c r="F74" s="1033">
        <f>IF(F$6="","",IF(NOT(ISNUMBER(_xll.ciqfunctions.udf.CIQ(F$6,$F$2, $A74, $I$2, $I$3))),IF(F73=F$6,"",F73),_xll.ciqfunctions.udf.CIQ(F$6,$F$2, $A74, $I$2, $I$3)))</f>
        <v>5115.82575</v>
      </c>
      <c r="G74" s="1033">
        <f>IF(G$6="","",IF(NOT(ISNUMBER(_xll.ciqfunctions.udf.CIQ(G$6,$F$2, $A74, $I$2, $I$3))),IF(G73=G$6,"",G73),_xll.ciqfunctions.udf.CIQ(G$6,$F$2, $A74, $I$2, $I$3)))</f>
        <v>216.54</v>
      </c>
      <c r="H74" s="1033" t="str">
        <f>IF(H$6="","",IF(NOT(ISNUMBER(_xll.ciqfunctions.udf.CIQ(H$6,$F$2, $A74, $I$2, $I$3))),IF(H73=H$6,"",H73),_xll.ciqfunctions.udf.CIQ(H$6,$F$2, $A74, $I$2, $I$3)))</f>
        <v/>
      </c>
      <c r="I74" s="1033" t="str">
        <f>IF(I$6="","",IF(NOT(ISNUMBER(_xll.ciqfunctions.udf.CIQ(I$6,$F$2, $A74, $I$2, $I$3))),IF(I73=I$6,"",I73),_xll.ciqfunctions.udf.CIQ(I$6,$F$2, $A74, $I$2, $I$3)))</f>
        <v/>
      </c>
      <c r="J74" s="1033" t="str">
        <f>IF(J$6="","",IF(NOT(ISNUMBER(_xll.ciqfunctions.udf.CIQ(J$6,$F$2, $A74, $I$2, $I$3))),IF(J73=J$6,"",J73),_xll.ciqfunctions.udf.CIQ(J$6,$F$2, $A74, $I$2, $I$3)))</f>
        <v/>
      </c>
      <c r="K74" s="1033" t="str">
        <f>IF(K$6="","",IF(NOT(ISNUMBER(_xll.ciqfunctions.udf.CIQ(K$6,$F$2, $A74, $I$2, $I$3))),IF(K73=K$6,"",K73),_xll.ciqfunctions.udf.CIQ(K$6,$F$2, $A74, $I$2, $I$3)))</f>
        <v/>
      </c>
      <c r="L74" s="254" t="str">
        <f>IF(L$6="","",IF(NOT(ISNUMBER(_xll.ciqfunctions.udf.CIQ(L$6,$F$2, $A74, $I$2, $I$3))),IF(L73=L$6,"",L73),_xll.ciqfunctions.udf.CIQ(L$6,$F$2, $A74, $I$2, $I$3)))</f>
        <v/>
      </c>
      <c r="M74" s="254" t="str">
        <f>IF(M$6="","",IF(NOT(ISNUMBER(_xll.ciqfunctions.udf.CIQ(M$6,$F$2, $A74, $I$2, $I$3))),IF(M73=M$6,"",M73),_xll.ciqfunctions.udf.CIQ(M$6,$F$2, $A74, $I$2, $I$3)))</f>
        <v/>
      </c>
      <c r="N74" s="254" t="str">
        <f>IF(N$6="","",IF(NOT(ISNUMBER(_xll.ciqfunctions.udf.CIQ(N$6,$F$2, $A74, $I$2, $I$3))),IF(N73=N$6,"",N73),_xll.ciqfunctions.udf.CIQ(N$6,$F$2, $A74, $I$2, $I$3)))</f>
        <v/>
      </c>
      <c r="O74" s="254" t="str">
        <f>IF(O$6="","",IF(NOT(ISNUMBER(_xll.ciqfunctions.udf.CIQ(O$6,$F$2, $A74, $I$2, $I$3))),IF(O73=O$6,"",O73),_xll.ciqfunctions.udf.CIQ(O$6,$F$2, $A74, $I$2, $I$3)))</f>
        <v/>
      </c>
      <c r="P74" s="254" t="str">
        <f>IF(P$6="","",IF(NOT(ISNUMBER(_xll.ciqfunctions.udf.CIQ(P$6,$F$2, $A74, $I$2, $I$3))),IF(P73=P$6,"",P73),_xll.ciqfunctions.udf.CIQ(P$6,$F$2, $A74, $I$2, $I$3)))</f>
        <v/>
      </c>
      <c r="Q74" s="254"/>
      <c r="R74" s="251">
        <f t="shared" si="64"/>
        <v>43294</v>
      </c>
      <c r="S74" s="255">
        <f t="shared" si="66"/>
        <v>0.21670366259711438</v>
      </c>
      <c r="T74" s="255">
        <f t="shared" si="67"/>
        <v>0.21081828759179921</v>
      </c>
      <c r="U74" s="255">
        <f t="shared" si="68"/>
        <v>0.16719053178218046</v>
      </c>
      <c r="V74" s="255">
        <f t="shared" si="82"/>
        <v>0.16540647104871442</v>
      </c>
      <c r="W74" s="255">
        <f t="array" ref="W74">IFERROR(AVERAGE(IF(ISERROR(X74:AG74),"",X74:AG74)),"")</f>
        <v>0.29131134832130723</v>
      </c>
      <c r="X74" s="255">
        <f t="shared" si="83"/>
        <v>0.29131134832130723</v>
      </c>
      <c r="Y74" s="255" t="e">
        <f t="shared" si="54"/>
        <v>#N/A</v>
      </c>
      <c r="Z74" s="255" t="e">
        <f t="shared" si="55"/>
        <v>#N/A</v>
      </c>
      <c r="AA74" s="255" t="e">
        <f t="shared" si="56"/>
        <v>#N/A</v>
      </c>
      <c r="AB74" s="255" t="e">
        <f t="shared" si="57"/>
        <v>#N/A</v>
      </c>
      <c r="AC74" s="255" t="e">
        <f t="shared" si="58"/>
        <v>#N/A</v>
      </c>
      <c r="AD74" s="255" t="e">
        <f t="shared" si="59"/>
        <v>#N/A</v>
      </c>
      <c r="AE74" s="255" t="e">
        <f t="shared" si="60"/>
        <v>#N/A</v>
      </c>
      <c r="AF74" s="255" t="e">
        <f t="shared" si="61"/>
        <v>#N/A</v>
      </c>
      <c r="AG74" s="255" t="e">
        <f t="shared" si="62"/>
        <v>#N/A</v>
      </c>
      <c r="AI74" s="251">
        <f t="shared" si="65"/>
        <v>43294</v>
      </c>
      <c r="AJ74" s="718">
        <f>IF(OR($B74="No",AJ$6=""),"",IF(NOT(ISNUMBER(_xll.ciqfunctions.udf.CIQ(AJ$6,"IQ_TEV",$AI74,$I$2,$I$3))),"",_xll.ciqfunctions.udf.CIQ(AJ$6,"IQ_TEV",$AI74,$I$2,$I$3)))</f>
        <v>300285.05326999997</v>
      </c>
      <c r="AK74" s="718">
        <f>IF(OR($B74="No",AK$6=""),"",IF(NOT(ISNUMBER(_xll.ciqfunctions.udf.CIQ(AK$6,"IQ_TEV",$AI74,$I$2,$I$3))),"",_xll.ciqfunctions.udf.CIQ(AK$6,"IQ_TEV",$AI74,$I$2,$I$3)))</f>
        <v>94713.785940000002</v>
      </c>
      <c r="AL74" s="718" t="str">
        <f>IF(OR($B74="No",AL$6=""),"",IF(NOT(ISNUMBER(_xll.ciqfunctions.udf.CIQ(AL$6,"IQ_TEV",$AI74,$I$2,$I$3))),"",_xll.ciqfunctions.udf.CIQ(AL$6,"IQ_TEV",$AI74,$I$2,$I$3)))</f>
        <v/>
      </c>
      <c r="AM74" s="718" t="str">
        <f>IF(OR($B74="No",AM$6=""),"",IF(NOT(ISNUMBER(_xll.ciqfunctions.udf.CIQ(AM$6,"IQ_TEV",$AI74,$I$2,$I$3))),"",_xll.ciqfunctions.udf.CIQ(AM$6,"IQ_TEV",$AI74,$I$2,$I$3)))</f>
        <v/>
      </c>
      <c r="AN74" s="718" t="str">
        <f>IF(OR($B74="No",AN$6=""),"",IF(NOT(ISNUMBER(_xll.ciqfunctions.udf.CIQ(AN$6,"IQ_TEV",$AI74,$I$2,$I$3))),"",_xll.ciqfunctions.udf.CIQ(AN$6,"IQ_TEV",$AI74,$I$2,$I$3)))</f>
        <v/>
      </c>
      <c r="AO74" s="718" t="str">
        <f>IF(OR($B74="No",AO$6=""),"",IF(NOT(ISNUMBER(_xll.ciqfunctions.udf.CIQ(AO$6,"IQ_TEV",$AI74,$I$2,$I$3))),"",_xll.ciqfunctions.udf.CIQ(AO$6,"IQ_TEV",$AI74,$I$2,$I$3)))</f>
        <v/>
      </c>
      <c r="AP74" s="718" t="str">
        <f>IF(OR($B74="No",AP$6=""),"",IF(NOT(ISNUMBER(_xll.ciqfunctions.udf.CIQ(AP$6,"IQ_TEV",$AI74,$I$2,$I$3))),"",_xll.ciqfunctions.udf.CIQ(AP$6,"IQ_TEV",$AI74,$I$2,$I$3)))</f>
        <v/>
      </c>
      <c r="AQ74" s="718" t="str">
        <f>IF(OR($B74="No",AQ$6=""),"",IF(NOT(ISNUMBER(_xll.ciqfunctions.udf.CIQ(AQ$6,"IQ_TEV",$AI74,$I$2,$I$3))),"",_xll.ciqfunctions.udf.CIQ(AQ$6,"IQ_TEV",$AI74,$I$2,$I$3)))</f>
        <v/>
      </c>
      <c r="AR74" s="718" t="str">
        <f>IF(OR($B74="No",AR$6=""),"",IF(NOT(ISNUMBER(_xll.ciqfunctions.udf.CIQ(AR$6,"IQ_TEV",$AI74,$I$2,$I$3))),"",_xll.ciqfunctions.udf.CIQ(AR$6,"IQ_TEV",$AI74,$I$2,$I$3)))</f>
        <v/>
      </c>
      <c r="AS74" s="718" t="str">
        <f>IF(OR($B74="No",AS$6=""),"",IF(NOT(ISNUMBER(_xll.ciqfunctions.udf.CIQ(AS$6,"IQ_TEV",$AI74,$I$2,$I$3))),"",_xll.ciqfunctions.udf.CIQ(AS$6,"IQ_TEV",$AI74,$I$2,$I$3)))</f>
        <v/>
      </c>
      <c r="AT74" s="718" t="str">
        <f>IF(OR($B74="No",AT$6=""),"",IF(NOT(ISNUMBER(_xll.ciqfunctions.udf.CIQ(AT$6,"IQ_TEV",$AI74,$I$2,$I$3))),"",_xll.ciqfunctions.udf.CIQ(AT$6,"IQ_TEV",$AI74,$I$2,$I$3)))</f>
        <v/>
      </c>
      <c r="AV74" s="251">
        <f t="shared" si="69"/>
        <v>43294</v>
      </c>
      <c r="AW74" s="719">
        <f t="shared" si="70"/>
        <v>0.15026494068536289</v>
      </c>
      <c r="AX74" s="719">
        <f t="shared" si="71"/>
        <v>0.29771846837810667</v>
      </c>
      <c r="AY74" s="719" t="e">
        <f t="shared" si="72"/>
        <v>#N/A</v>
      </c>
      <c r="AZ74" s="719" t="e">
        <f t="shared" si="73"/>
        <v>#N/A</v>
      </c>
      <c r="BA74" s="719" t="e">
        <f t="shared" si="74"/>
        <v>#N/A</v>
      </c>
      <c r="BB74" s="719" t="e">
        <f t="shared" si="75"/>
        <v>#N/A</v>
      </c>
      <c r="BC74" s="719" t="e">
        <f t="shared" si="76"/>
        <v>#N/A</v>
      </c>
      <c r="BD74" s="719" t="e">
        <f t="shared" si="77"/>
        <v>#N/A</v>
      </c>
      <c r="BE74" s="719" t="e">
        <f t="shared" si="78"/>
        <v>#N/A</v>
      </c>
      <c r="BF74" s="719" t="e">
        <f t="shared" si="79"/>
        <v>#N/A</v>
      </c>
      <c r="BG74" s="719" t="e">
        <f t="shared" si="80"/>
        <v>#N/A</v>
      </c>
    </row>
    <row r="75" spans="1:59" ht="15" customHeight="1" x14ac:dyDescent="0.2">
      <c r="A75" s="251">
        <f t="shared" si="63"/>
        <v>43301</v>
      </c>
      <c r="B75" s="253" t="str">
        <f t="shared" si="81"/>
        <v>Yes</v>
      </c>
      <c r="C75" s="1033">
        <f>IF(C$6="","",IF(NOT(ISNUMBER(_xll.ciqfunctions.udf.CIQ(C$6,$F$2, $A75, $I$2, $I$3))),IF(C74=C$6,"",C74),_xll.ciqfunctions.udf.CIQ(C$6,$F$2, $A75, $I$2, $I$3)))</f>
        <v>88.06</v>
      </c>
      <c r="D75" s="1033">
        <f>IF(D$6="","",IF(NOT(ISNUMBER(_xll.ciqfunctions.udf.CIQ(D$6,$F$2, $A75, $I$2, $I$3))),IF(D74=D$6,"",D74),_xll.ciqfunctions.udf.CIQ(D$6,$F$2, $A75, $I$2, $I$3)))</f>
        <v>25058.122869999999</v>
      </c>
      <c r="E75" s="1033">
        <f>IF(E$6="","",IF(NOT(ISNUMBER(_xll.ciqfunctions.udf.CIQ(E$6,$F$2, $A75, $I$2, $I$3))),IF(E74=E$6,"",E74),_xll.ciqfunctions.udf.CIQ(E$6,$F$2, $A75, $I$2, $I$3)))</f>
        <v>8395.8284600000006</v>
      </c>
      <c r="F75" s="1033">
        <f>IF(F$6="","",IF(NOT(ISNUMBER(_xll.ciqfunctions.udf.CIQ(F$6,$F$2, $A75, $I$2, $I$3))),IF(F74=F$6,"",F74),_xll.ciqfunctions.udf.CIQ(F$6,$F$2, $A75, $I$2, $I$3)))</f>
        <v>5194.0709399999996</v>
      </c>
      <c r="G75" s="1033">
        <f>IF(G$6="","",IF(NOT(ISNUMBER(_xll.ciqfunctions.udf.CIQ(G$6,$F$2, $A75, $I$2, $I$3))),IF(G74=G$6,"",G74),_xll.ciqfunctions.udf.CIQ(G$6,$F$2, $A75, $I$2, $I$3)))</f>
        <v>218.69</v>
      </c>
      <c r="H75" s="1033" t="str">
        <f>IF(H$6="","",IF(NOT(ISNUMBER(_xll.ciqfunctions.udf.CIQ(H$6,$F$2, $A75, $I$2, $I$3))),IF(H74=H$6,"",H74),_xll.ciqfunctions.udf.CIQ(H$6,$F$2, $A75, $I$2, $I$3)))</f>
        <v/>
      </c>
      <c r="I75" s="1033" t="str">
        <f>IF(I$6="","",IF(NOT(ISNUMBER(_xll.ciqfunctions.udf.CIQ(I$6,$F$2, $A75, $I$2, $I$3))),IF(I74=I$6,"",I74),_xll.ciqfunctions.udf.CIQ(I$6,$F$2, $A75, $I$2, $I$3)))</f>
        <v/>
      </c>
      <c r="J75" s="1033" t="str">
        <f>IF(J$6="","",IF(NOT(ISNUMBER(_xll.ciqfunctions.udf.CIQ(J$6,$F$2, $A75, $I$2, $I$3))),IF(J74=J$6,"",J74),_xll.ciqfunctions.udf.CIQ(J$6,$F$2, $A75, $I$2, $I$3)))</f>
        <v/>
      </c>
      <c r="K75" s="1033" t="str">
        <f>IF(K$6="","",IF(NOT(ISNUMBER(_xll.ciqfunctions.udf.CIQ(K$6,$F$2, $A75, $I$2, $I$3))),IF(K74=K$6,"",K74),_xll.ciqfunctions.udf.CIQ(K$6,$F$2, $A75, $I$2, $I$3)))</f>
        <v/>
      </c>
      <c r="L75" s="254" t="str">
        <f>IF(L$6="","",IF(NOT(ISNUMBER(_xll.ciqfunctions.udf.CIQ(L$6,$F$2, $A75, $I$2, $I$3))),IF(L74=L$6,"",L74),_xll.ciqfunctions.udf.CIQ(L$6,$F$2, $A75, $I$2, $I$3)))</f>
        <v/>
      </c>
      <c r="M75" s="254" t="str">
        <f>IF(M$6="","",IF(NOT(ISNUMBER(_xll.ciqfunctions.udf.CIQ(M$6,$F$2, $A75, $I$2, $I$3))),IF(M74=M$6,"",M74),_xll.ciqfunctions.udf.CIQ(M$6,$F$2, $A75, $I$2, $I$3)))</f>
        <v/>
      </c>
      <c r="N75" s="254" t="str">
        <f>IF(N$6="","",IF(NOT(ISNUMBER(_xll.ciqfunctions.udf.CIQ(N$6,$F$2, $A75, $I$2, $I$3))),IF(N74=N$6,"",N74),_xll.ciqfunctions.udf.CIQ(N$6,$F$2, $A75, $I$2, $I$3)))</f>
        <v/>
      </c>
      <c r="O75" s="254" t="str">
        <f>IF(O$6="","",IF(NOT(ISNUMBER(_xll.ciqfunctions.udf.CIQ(O$6,$F$2, $A75, $I$2, $I$3))),IF(O74=O$6,"",O74),_xll.ciqfunctions.udf.CIQ(O$6,$F$2, $A75, $I$2, $I$3)))</f>
        <v/>
      </c>
      <c r="P75" s="254" t="str">
        <f>IF(P$6="","",IF(NOT(ISNUMBER(_xll.ciqfunctions.udf.CIQ(P$6,$F$2, $A75, $I$2, $I$3))),IF(P74=P$6,"",P74),_xll.ciqfunctions.udf.CIQ(P$6,$F$2, $A75, $I$2, $I$3)))</f>
        <v/>
      </c>
      <c r="Q75" s="254"/>
      <c r="R75" s="251">
        <f t="shared" si="64"/>
        <v>43301</v>
      </c>
      <c r="S75" s="255">
        <f t="shared" si="66"/>
        <v>0.22169811320754729</v>
      </c>
      <c r="T75" s="255">
        <f t="shared" si="67"/>
        <v>0.21269199982125153</v>
      </c>
      <c r="U75" s="255">
        <f t="shared" si="68"/>
        <v>0.17328653808796157</v>
      </c>
      <c r="V75" s="255">
        <f t="shared" si="82"/>
        <v>0.18323105210572876</v>
      </c>
      <c r="W75" s="255">
        <f t="array" ref="W75">IFERROR(AVERAGE(IF(ISERROR(X75:AG75),"",X75:AG75)),"")</f>
        <v>0.30413262567833499</v>
      </c>
      <c r="X75" s="255">
        <f t="shared" si="83"/>
        <v>0.30413262567833499</v>
      </c>
      <c r="Y75" s="255" t="e">
        <f t="shared" si="54"/>
        <v>#N/A</v>
      </c>
      <c r="Z75" s="255" t="e">
        <f t="shared" si="55"/>
        <v>#N/A</v>
      </c>
      <c r="AA75" s="255" t="e">
        <f t="shared" si="56"/>
        <v>#N/A</v>
      </c>
      <c r="AB75" s="255" t="e">
        <f t="shared" si="57"/>
        <v>#N/A</v>
      </c>
      <c r="AC75" s="255" t="e">
        <f t="shared" si="58"/>
        <v>#N/A</v>
      </c>
      <c r="AD75" s="255" t="e">
        <f t="shared" si="59"/>
        <v>#N/A</v>
      </c>
      <c r="AE75" s="255" t="e">
        <f t="shared" si="60"/>
        <v>#N/A</v>
      </c>
      <c r="AF75" s="255" t="e">
        <f t="shared" si="61"/>
        <v>#N/A</v>
      </c>
      <c r="AG75" s="255" t="e">
        <f t="shared" si="62"/>
        <v>#N/A</v>
      </c>
      <c r="AI75" s="251">
        <f t="shared" si="65"/>
        <v>43301</v>
      </c>
      <c r="AJ75" s="718">
        <f>IF(OR($B75="No",AJ$6=""),"",IF(NOT(ISNUMBER(_xll.ciqfunctions.udf.CIQ(AJ$6,"IQ_TEV",$AI75,$I$2,$I$3))),"",_xll.ciqfunctions.udf.CIQ(AJ$6,"IQ_TEV",$AI75,$I$2,$I$3)))</f>
        <v>301347.35725</v>
      </c>
      <c r="AK75" s="718">
        <f>IF(OR($B75="No",AK$6=""),"",IF(NOT(ISNUMBER(_xll.ciqfunctions.udf.CIQ(AK$6,"IQ_TEV",$AI75,$I$2,$I$3))),"",_xll.ciqfunctions.udf.CIQ(AK$6,"IQ_TEV",$AI75,$I$2,$I$3)))</f>
        <v>95656.650259999995</v>
      </c>
      <c r="AL75" s="718" t="str">
        <f>IF(OR($B75="No",AL$6=""),"",IF(NOT(ISNUMBER(_xll.ciqfunctions.udf.CIQ(AL$6,"IQ_TEV",$AI75,$I$2,$I$3))),"",_xll.ciqfunctions.udf.CIQ(AL$6,"IQ_TEV",$AI75,$I$2,$I$3)))</f>
        <v/>
      </c>
      <c r="AM75" s="718" t="str">
        <f>IF(OR($B75="No",AM$6=""),"",IF(NOT(ISNUMBER(_xll.ciqfunctions.udf.CIQ(AM$6,"IQ_TEV",$AI75,$I$2,$I$3))),"",_xll.ciqfunctions.udf.CIQ(AM$6,"IQ_TEV",$AI75,$I$2,$I$3)))</f>
        <v/>
      </c>
      <c r="AN75" s="718" t="str">
        <f>IF(OR($B75="No",AN$6=""),"",IF(NOT(ISNUMBER(_xll.ciqfunctions.udf.CIQ(AN$6,"IQ_TEV",$AI75,$I$2,$I$3))),"",_xll.ciqfunctions.udf.CIQ(AN$6,"IQ_TEV",$AI75,$I$2,$I$3)))</f>
        <v/>
      </c>
      <c r="AO75" s="718" t="str">
        <f>IF(OR($B75="No",AO$6=""),"",IF(NOT(ISNUMBER(_xll.ciqfunctions.udf.CIQ(AO$6,"IQ_TEV",$AI75,$I$2,$I$3))),"",_xll.ciqfunctions.udf.CIQ(AO$6,"IQ_TEV",$AI75,$I$2,$I$3)))</f>
        <v/>
      </c>
      <c r="AP75" s="718" t="str">
        <f>IF(OR($B75="No",AP$6=""),"",IF(NOT(ISNUMBER(_xll.ciqfunctions.udf.CIQ(AP$6,"IQ_TEV",$AI75,$I$2,$I$3))),"",_xll.ciqfunctions.udf.CIQ(AP$6,"IQ_TEV",$AI75,$I$2,$I$3)))</f>
        <v/>
      </c>
      <c r="AQ75" s="718" t="str">
        <f>IF(OR($B75="No",AQ$6=""),"",IF(NOT(ISNUMBER(_xll.ciqfunctions.udf.CIQ(AQ$6,"IQ_TEV",$AI75,$I$2,$I$3))),"",_xll.ciqfunctions.udf.CIQ(AQ$6,"IQ_TEV",$AI75,$I$2,$I$3)))</f>
        <v/>
      </c>
      <c r="AR75" s="718" t="str">
        <f>IF(OR($B75="No",AR$6=""),"",IF(NOT(ISNUMBER(_xll.ciqfunctions.udf.CIQ(AR$6,"IQ_TEV",$AI75,$I$2,$I$3))),"",_xll.ciqfunctions.udf.CIQ(AR$6,"IQ_TEV",$AI75,$I$2,$I$3)))</f>
        <v/>
      </c>
      <c r="AS75" s="718" t="str">
        <f>IF(OR($B75="No",AS$6=""),"",IF(NOT(ISNUMBER(_xll.ciqfunctions.udf.CIQ(AS$6,"IQ_TEV",$AI75,$I$2,$I$3))),"",_xll.ciqfunctions.udf.CIQ(AS$6,"IQ_TEV",$AI75,$I$2,$I$3)))</f>
        <v/>
      </c>
      <c r="AT75" s="718" t="str">
        <f>IF(OR($B75="No",AT$6=""),"",IF(NOT(ISNUMBER(_xll.ciqfunctions.udf.CIQ(AT$6,"IQ_TEV",$AI75,$I$2,$I$3))),"",_xll.ciqfunctions.udf.CIQ(AT$6,"IQ_TEV",$AI75,$I$2,$I$3)))</f>
        <v/>
      </c>
      <c r="AV75" s="251">
        <f t="shared" si="69"/>
        <v>43301</v>
      </c>
      <c r="AW75" s="719">
        <f t="shared" si="70"/>
        <v>0.15433417760287904</v>
      </c>
      <c r="AX75" s="719">
        <f t="shared" si="71"/>
        <v>0.31063709927323191</v>
      </c>
      <c r="AY75" s="719" t="e">
        <f t="shared" si="72"/>
        <v>#N/A</v>
      </c>
      <c r="AZ75" s="719" t="e">
        <f t="shared" si="73"/>
        <v>#N/A</v>
      </c>
      <c r="BA75" s="719" t="e">
        <f t="shared" si="74"/>
        <v>#N/A</v>
      </c>
      <c r="BB75" s="719" t="e">
        <f t="shared" si="75"/>
        <v>#N/A</v>
      </c>
      <c r="BC75" s="719" t="e">
        <f t="shared" si="76"/>
        <v>#N/A</v>
      </c>
      <c r="BD75" s="719" t="e">
        <f t="shared" si="77"/>
        <v>#N/A</v>
      </c>
      <c r="BE75" s="719" t="e">
        <f t="shared" si="78"/>
        <v>#N/A</v>
      </c>
      <c r="BF75" s="719" t="e">
        <f t="shared" si="79"/>
        <v>#N/A</v>
      </c>
      <c r="BG75" s="719" t="e">
        <f t="shared" si="80"/>
        <v>#N/A</v>
      </c>
    </row>
    <row r="76" spans="1:59" ht="15" customHeight="1" x14ac:dyDescent="0.2">
      <c r="A76" s="251">
        <f t="shared" si="63"/>
        <v>43308</v>
      </c>
      <c r="B76" s="253" t="str">
        <f t="shared" si="81"/>
        <v>Yes</v>
      </c>
      <c r="C76" s="1033">
        <f>IF(C$6="","",IF(NOT(ISNUMBER(_xll.ciqfunctions.udf.CIQ(C$6,$F$2, $A76, $I$2, $I$3))),IF(C75=C$6,"",C75),_xll.ciqfunctions.udf.CIQ(C$6,$F$2, $A76, $I$2, $I$3)))</f>
        <v>88.13</v>
      </c>
      <c r="D76" s="1033">
        <f>IF(D$6="","",IF(NOT(ISNUMBER(_xll.ciqfunctions.udf.CIQ(D$6,$F$2, $A76, $I$2, $I$3))),IF(D75=D$6,"",D75),_xll.ciqfunctions.udf.CIQ(D$6,$F$2, $A76, $I$2, $I$3)))</f>
        <v>25451.05558</v>
      </c>
      <c r="E76" s="1033">
        <f>IF(E$6="","",IF(NOT(ISNUMBER(_xll.ciqfunctions.udf.CIQ(E$6,$F$2, $A76, $I$2, $I$3))),IF(E75=E$6,"",E75),_xll.ciqfunctions.udf.CIQ(E$6,$F$2, $A76, $I$2, $I$3)))</f>
        <v>8524.6100800000004</v>
      </c>
      <c r="F76" s="1033">
        <f>IF(F$6="","",IF(NOT(ISNUMBER(_xll.ciqfunctions.udf.CIQ(F$6,$F$2, $A76, $I$2, $I$3))),IF(F75=F$6,"",F75),_xll.ciqfunctions.udf.CIQ(F$6,$F$2, $A76, $I$2, $I$3)))</f>
        <v>5118.2973000000002</v>
      </c>
      <c r="G76" s="1033">
        <f>IF(G$6="","",IF(NOT(ISNUMBER(_xll.ciqfunctions.udf.CIQ(G$6,$F$2, $A76, $I$2, $I$3))),IF(G75=G$6,"",G75),_xll.ciqfunctions.udf.CIQ(G$6,$F$2, $A76, $I$2, $I$3)))</f>
        <v>219.65</v>
      </c>
      <c r="H76" s="1033" t="str">
        <f>IF(H$6="","",IF(NOT(ISNUMBER(_xll.ciqfunctions.udf.CIQ(H$6,$F$2, $A76, $I$2, $I$3))),IF(H75=H$6,"",H75),_xll.ciqfunctions.udf.CIQ(H$6,$F$2, $A76, $I$2, $I$3)))</f>
        <v/>
      </c>
      <c r="I76" s="1033" t="str">
        <f>IF(I$6="","",IF(NOT(ISNUMBER(_xll.ciqfunctions.udf.CIQ(I$6,$F$2, $A76, $I$2, $I$3))),IF(I75=I$6,"",I75),_xll.ciqfunctions.udf.CIQ(I$6,$F$2, $A76, $I$2, $I$3)))</f>
        <v/>
      </c>
      <c r="J76" s="1033" t="str">
        <f>IF(J$6="","",IF(NOT(ISNUMBER(_xll.ciqfunctions.udf.CIQ(J$6,$F$2, $A76, $I$2, $I$3))),IF(J75=J$6,"",J75),_xll.ciqfunctions.udf.CIQ(J$6,$F$2, $A76, $I$2, $I$3)))</f>
        <v/>
      </c>
      <c r="K76" s="1033" t="str">
        <f>IF(K$6="","",IF(NOT(ISNUMBER(_xll.ciqfunctions.udf.CIQ(K$6,$F$2, $A76, $I$2, $I$3))),IF(K75=K$6,"",K75),_xll.ciqfunctions.udf.CIQ(K$6,$F$2, $A76, $I$2, $I$3)))</f>
        <v/>
      </c>
      <c r="L76" s="254" t="str">
        <f>IF(L$6="","",IF(NOT(ISNUMBER(_xll.ciqfunctions.udf.CIQ(L$6,$F$2, $A76, $I$2, $I$3))),IF(L75=L$6,"",L75),_xll.ciqfunctions.udf.CIQ(L$6,$F$2, $A76, $I$2, $I$3)))</f>
        <v/>
      </c>
      <c r="M76" s="254" t="str">
        <f>IF(M$6="","",IF(NOT(ISNUMBER(_xll.ciqfunctions.udf.CIQ(M$6,$F$2, $A76, $I$2, $I$3))),IF(M75=M$6,"",M75),_xll.ciqfunctions.udf.CIQ(M$6,$F$2, $A76, $I$2, $I$3)))</f>
        <v/>
      </c>
      <c r="N76" s="254" t="str">
        <f>IF(N$6="","",IF(NOT(ISNUMBER(_xll.ciqfunctions.udf.CIQ(N$6,$F$2, $A76, $I$2, $I$3))),IF(N75=N$6,"",N75),_xll.ciqfunctions.udf.CIQ(N$6,$F$2, $A76, $I$2, $I$3)))</f>
        <v/>
      </c>
      <c r="O76" s="254" t="str">
        <f>IF(O$6="","",IF(NOT(ISNUMBER(_xll.ciqfunctions.udf.CIQ(O$6,$F$2, $A76, $I$2, $I$3))),IF(O75=O$6,"",O75),_xll.ciqfunctions.udf.CIQ(O$6,$F$2, $A76, $I$2, $I$3)))</f>
        <v/>
      </c>
      <c r="P76" s="254" t="str">
        <f>IF(P$6="","",IF(NOT(ISNUMBER(_xll.ciqfunctions.udf.CIQ(P$6,$F$2, $A76, $I$2, $I$3))),IF(P75=P$6,"",P75),_xll.ciqfunctions.udf.CIQ(P$6,$F$2, $A76, $I$2, $I$3)))</f>
        <v/>
      </c>
      <c r="Q76" s="254"/>
      <c r="R76" s="251">
        <f t="shared" si="64"/>
        <v>43308</v>
      </c>
      <c r="S76" s="255">
        <f t="shared" si="66"/>
        <v>0.22266925638179802</v>
      </c>
      <c r="T76" s="255">
        <f t="shared" si="67"/>
        <v>0.23170804329574368</v>
      </c>
      <c r="U76" s="255">
        <f t="shared" si="68"/>
        <v>0.19128330181640485</v>
      </c>
      <c r="V76" s="255">
        <f t="shared" si="82"/>
        <v>0.16596950046063697</v>
      </c>
      <c r="W76" s="255">
        <f t="array" ref="W76">IFERROR(AVERAGE(IF(ISERROR(X76:AG76),"",X76:AG76)),"")</f>
        <v>0.30985747510286843</v>
      </c>
      <c r="X76" s="255">
        <f t="shared" si="83"/>
        <v>0.30985747510286843</v>
      </c>
      <c r="Y76" s="255" t="e">
        <f t="shared" si="54"/>
        <v>#N/A</v>
      </c>
      <c r="Z76" s="255" t="e">
        <f t="shared" si="55"/>
        <v>#N/A</v>
      </c>
      <c r="AA76" s="255" t="e">
        <f t="shared" si="56"/>
        <v>#N/A</v>
      </c>
      <c r="AB76" s="255" t="e">
        <f t="shared" si="57"/>
        <v>#N/A</v>
      </c>
      <c r="AC76" s="255" t="e">
        <f t="shared" si="58"/>
        <v>#N/A</v>
      </c>
      <c r="AD76" s="255" t="e">
        <f t="shared" si="59"/>
        <v>#N/A</v>
      </c>
      <c r="AE76" s="255" t="e">
        <f t="shared" si="60"/>
        <v>#N/A</v>
      </c>
      <c r="AF76" s="255" t="e">
        <f t="shared" si="61"/>
        <v>#N/A</v>
      </c>
      <c r="AG76" s="255" t="e">
        <f t="shared" si="62"/>
        <v>#N/A</v>
      </c>
      <c r="AI76" s="251">
        <f t="shared" si="65"/>
        <v>43308</v>
      </c>
      <c r="AJ76" s="718">
        <f>IF(OR($B76="No",AJ$6=""),"",IF(NOT(ISNUMBER(_xll.ciqfunctions.udf.CIQ(AJ$6,"IQ_TEV",$AI76,$I$2,$I$3))),"",_xll.ciqfunctions.udf.CIQ(AJ$6,"IQ_TEV",$AI76,$I$2,$I$3)))</f>
        <v>301553.91635999997</v>
      </c>
      <c r="AK76" s="718">
        <f>IF(OR($B76="No",AK$6=""),"",IF(NOT(ISNUMBER(_xll.ciqfunctions.udf.CIQ(AK$6,"IQ_TEV",$AI76,$I$2,$I$3))),"",_xll.ciqfunctions.udf.CIQ(AK$6,"IQ_TEV",$AI76,$I$2,$I$3)))</f>
        <v>96077.650139999998</v>
      </c>
      <c r="AL76" s="718" t="str">
        <f>IF(OR($B76="No",AL$6=""),"",IF(NOT(ISNUMBER(_xll.ciqfunctions.udf.CIQ(AL$6,"IQ_TEV",$AI76,$I$2,$I$3))),"",_xll.ciqfunctions.udf.CIQ(AL$6,"IQ_TEV",$AI76,$I$2,$I$3)))</f>
        <v/>
      </c>
      <c r="AM76" s="718" t="str">
        <f>IF(OR($B76="No",AM$6=""),"",IF(NOT(ISNUMBER(_xll.ciqfunctions.udf.CIQ(AM$6,"IQ_TEV",$AI76,$I$2,$I$3))),"",_xll.ciqfunctions.udf.CIQ(AM$6,"IQ_TEV",$AI76,$I$2,$I$3)))</f>
        <v/>
      </c>
      <c r="AN76" s="718" t="str">
        <f>IF(OR($B76="No",AN$6=""),"",IF(NOT(ISNUMBER(_xll.ciqfunctions.udf.CIQ(AN$6,"IQ_TEV",$AI76,$I$2,$I$3))),"",_xll.ciqfunctions.udf.CIQ(AN$6,"IQ_TEV",$AI76,$I$2,$I$3)))</f>
        <v/>
      </c>
      <c r="AO76" s="718" t="str">
        <f>IF(OR($B76="No",AO$6=""),"",IF(NOT(ISNUMBER(_xll.ciqfunctions.udf.CIQ(AO$6,"IQ_TEV",$AI76,$I$2,$I$3))),"",_xll.ciqfunctions.udf.CIQ(AO$6,"IQ_TEV",$AI76,$I$2,$I$3)))</f>
        <v/>
      </c>
      <c r="AP76" s="718" t="str">
        <f>IF(OR($B76="No",AP$6=""),"",IF(NOT(ISNUMBER(_xll.ciqfunctions.udf.CIQ(AP$6,"IQ_TEV",$AI76,$I$2,$I$3))),"",_xll.ciqfunctions.udf.CIQ(AP$6,"IQ_TEV",$AI76,$I$2,$I$3)))</f>
        <v/>
      </c>
      <c r="AQ76" s="718" t="str">
        <f>IF(OR($B76="No",AQ$6=""),"",IF(NOT(ISNUMBER(_xll.ciqfunctions.udf.CIQ(AQ$6,"IQ_TEV",$AI76,$I$2,$I$3))),"",_xll.ciqfunctions.udf.CIQ(AQ$6,"IQ_TEV",$AI76,$I$2,$I$3)))</f>
        <v/>
      </c>
      <c r="AR76" s="718" t="str">
        <f>IF(OR($B76="No",AR$6=""),"",IF(NOT(ISNUMBER(_xll.ciqfunctions.udf.CIQ(AR$6,"IQ_TEV",$AI76,$I$2,$I$3))),"",_xll.ciqfunctions.udf.CIQ(AR$6,"IQ_TEV",$AI76,$I$2,$I$3)))</f>
        <v/>
      </c>
      <c r="AS76" s="718" t="str">
        <f>IF(OR($B76="No",AS$6=""),"",IF(NOT(ISNUMBER(_xll.ciqfunctions.udf.CIQ(AS$6,"IQ_TEV",$AI76,$I$2,$I$3))),"",_xll.ciqfunctions.udf.CIQ(AS$6,"IQ_TEV",$AI76,$I$2,$I$3)))</f>
        <v/>
      </c>
      <c r="AT76" s="718" t="str">
        <f>IF(OR($B76="No",AT$6=""),"",IF(NOT(ISNUMBER(_xll.ciqfunctions.udf.CIQ(AT$6,"IQ_TEV",$AI76,$I$2,$I$3))),"",_xll.ciqfunctions.udf.CIQ(AT$6,"IQ_TEV",$AI76,$I$2,$I$3)))</f>
        <v/>
      </c>
      <c r="AV76" s="251">
        <f t="shared" si="69"/>
        <v>43308</v>
      </c>
      <c r="AW76" s="719">
        <f t="shared" si="70"/>
        <v>0.1551254181252586</v>
      </c>
      <c r="AX76" s="719">
        <f t="shared" si="71"/>
        <v>0.3164054181514051</v>
      </c>
      <c r="AY76" s="719" t="e">
        <f t="shared" si="72"/>
        <v>#N/A</v>
      </c>
      <c r="AZ76" s="719" t="e">
        <f t="shared" si="73"/>
        <v>#N/A</v>
      </c>
      <c r="BA76" s="719" t="e">
        <f t="shared" si="74"/>
        <v>#N/A</v>
      </c>
      <c r="BB76" s="719" t="e">
        <f t="shared" si="75"/>
        <v>#N/A</v>
      </c>
      <c r="BC76" s="719" t="e">
        <f t="shared" si="76"/>
        <v>#N/A</v>
      </c>
      <c r="BD76" s="719" t="e">
        <f t="shared" si="77"/>
        <v>#N/A</v>
      </c>
      <c r="BE76" s="719" t="e">
        <f t="shared" si="78"/>
        <v>#N/A</v>
      </c>
      <c r="BF76" s="719" t="e">
        <f t="shared" si="79"/>
        <v>#N/A</v>
      </c>
      <c r="BG76" s="719" t="e">
        <f t="shared" si="80"/>
        <v>#N/A</v>
      </c>
    </row>
    <row r="77" spans="1:59" ht="15" customHeight="1" x14ac:dyDescent="0.2">
      <c r="A77" s="251">
        <f t="shared" si="63"/>
        <v>43315</v>
      </c>
      <c r="B77" s="253" t="str">
        <f t="shared" si="81"/>
        <v>Yes</v>
      </c>
      <c r="C77" s="1033">
        <f>IF(C$6="","",IF(NOT(ISNUMBER(_xll.ciqfunctions.udf.CIQ(C$6,$F$2, $A77, $I$2, $I$3))),IF(C76=C$6,"",C76),_xll.ciqfunctions.udf.CIQ(C$6,$F$2, $A77, $I$2, $I$3)))</f>
        <v>89.6</v>
      </c>
      <c r="D77" s="1033">
        <f>IF(D$6="","",IF(NOT(ISNUMBER(_xll.ciqfunctions.udf.CIQ(D$6,$F$2, $A77, $I$2, $I$3))),IF(D76=D$6,"",D76),_xll.ciqfunctions.udf.CIQ(D$6,$F$2, $A77, $I$2, $I$3)))</f>
        <v>25462.58251</v>
      </c>
      <c r="E77" s="1033">
        <f>IF(E$6="","",IF(NOT(ISNUMBER(_xll.ciqfunctions.udf.CIQ(E$6,$F$2, $A77, $I$2, $I$3))),IF(E76=E$6,"",E76),_xll.ciqfunctions.udf.CIQ(E$6,$F$2, $A77, $I$2, $I$3)))</f>
        <v>8569.1157800000001</v>
      </c>
      <c r="F77" s="1033">
        <f>IF(F$6="","",IF(NOT(ISNUMBER(_xll.ciqfunctions.udf.CIQ(F$6,$F$2, $A77, $I$2, $I$3))),IF(F76=F$6,"",F76),_xll.ciqfunctions.udf.CIQ(F$6,$F$2, $A77, $I$2, $I$3)))</f>
        <v>5184.2079999999996</v>
      </c>
      <c r="G77" s="1033">
        <f>IF(G$6="","",IF(NOT(ISNUMBER(_xll.ciqfunctions.udf.CIQ(G$6,$F$2, $A77, $I$2, $I$3))),IF(G76=G$6,"",G76),_xll.ciqfunctions.udf.CIQ(G$6,$F$2, $A77, $I$2, $I$3)))</f>
        <v>222.03</v>
      </c>
      <c r="H77" s="1033" t="str">
        <f>IF(H$6="","",IF(NOT(ISNUMBER(_xll.ciqfunctions.udf.CIQ(H$6,$F$2, $A77, $I$2, $I$3))),IF(H76=H$6,"",H76),_xll.ciqfunctions.udf.CIQ(H$6,$F$2, $A77, $I$2, $I$3)))</f>
        <v/>
      </c>
      <c r="I77" s="1033" t="str">
        <f>IF(I$6="","",IF(NOT(ISNUMBER(_xll.ciqfunctions.udf.CIQ(I$6,$F$2, $A77, $I$2, $I$3))),IF(I76=I$6,"",I76),_xll.ciqfunctions.udf.CIQ(I$6,$F$2, $A77, $I$2, $I$3)))</f>
        <v/>
      </c>
      <c r="J77" s="1033" t="str">
        <f>IF(J$6="","",IF(NOT(ISNUMBER(_xll.ciqfunctions.udf.CIQ(J$6,$F$2, $A77, $I$2, $I$3))),IF(J76=J$6,"",J76),_xll.ciqfunctions.udf.CIQ(J$6,$F$2, $A77, $I$2, $I$3)))</f>
        <v/>
      </c>
      <c r="K77" s="1033" t="str">
        <f>IF(K$6="","",IF(NOT(ISNUMBER(_xll.ciqfunctions.udf.CIQ(K$6,$F$2, $A77, $I$2, $I$3))),IF(K76=K$6,"",K76),_xll.ciqfunctions.udf.CIQ(K$6,$F$2, $A77, $I$2, $I$3)))</f>
        <v/>
      </c>
      <c r="L77" s="254" t="str">
        <f>IF(L$6="","",IF(NOT(ISNUMBER(_xll.ciqfunctions.udf.CIQ(L$6,$F$2, $A77, $I$2, $I$3))),IF(L76=L$6,"",L76),_xll.ciqfunctions.udf.CIQ(L$6,$F$2, $A77, $I$2, $I$3)))</f>
        <v/>
      </c>
      <c r="M77" s="254" t="str">
        <f>IF(M$6="","",IF(NOT(ISNUMBER(_xll.ciqfunctions.udf.CIQ(M$6,$F$2, $A77, $I$2, $I$3))),IF(M76=M$6,"",M76),_xll.ciqfunctions.udf.CIQ(M$6,$F$2, $A77, $I$2, $I$3)))</f>
        <v/>
      </c>
      <c r="N77" s="254" t="str">
        <f>IF(N$6="","",IF(NOT(ISNUMBER(_xll.ciqfunctions.udf.CIQ(N$6,$F$2, $A77, $I$2, $I$3))),IF(N76=N$6,"",N76),_xll.ciqfunctions.udf.CIQ(N$6,$F$2, $A77, $I$2, $I$3)))</f>
        <v/>
      </c>
      <c r="O77" s="254" t="str">
        <f>IF(O$6="","",IF(NOT(ISNUMBER(_xll.ciqfunctions.udf.CIQ(O$6,$F$2, $A77, $I$2, $I$3))),IF(O76=O$6,"",O76),_xll.ciqfunctions.udf.CIQ(O$6,$F$2, $A77, $I$2, $I$3)))</f>
        <v/>
      </c>
      <c r="P77" s="254" t="str">
        <f>IF(P$6="","",IF(NOT(ISNUMBER(_xll.ciqfunctions.udf.CIQ(P$6,$F$2, $A77, $I$2, $I$3))),IF(P76=P$6,"",P76),_xll.ciqfunctions.udf.CIQ(P$6,$F$2, $A77, $I$2, $I$3)))</f>
        <v/>
      </c>
      <c r="Q77" s="254"/>
      <c r="R77" s="251">
        <f t="shared" si="64"/>
        <v>43315</v>
      </c>
      <c r="S77" s="255">
        <f t="shared" si="66"/>
        <v>0.2430632630410654</v>
      </c>
      <c r="T77" s="255">
        <f t="shared" si="67"/>
        <v>0.23226589097914818</v>
      </c>
      <c r="U77" s="255">
        <f t="shared" si="68"/>
        <v>0.19750281177030171</v>
      </c>
      <c r="V77" s="255">
        <f t="shared" si="82"/>
        <v>0.18098423318317947</v>
      </c>
      <c r="W77" s="255">
        <f t="array" ref="W77">IFERROR(AVERAGE(IF(ISERROR(X77:AG77),"",X77:AG77)),"")</f>
        <v>0.32405033096785729</v>
      </c>
      <c r="X77" s="255">
        <f t="shared" si="83"/>
        <v>0.32405033096785729</v>
      </c>
      <c r="Y77" s="255" t="e">
        <f t="shared" si="54"/>
        <v>#N/A</v>
      </c>
      <c r="Z77" s="255" t="e">
        <f t="shared" si="55"/>
        <v>#N/A</v>
      </c>
      <c r="AA77" s="255" t="e">
        <f t="shared" si="56"/>
        <v>#N/A</v>
      </c>
      <c r="AB77" s="255" t="e">
        <f t="shared" si="57"/>
        <v>#N/A</v>
      </c>
      <c r="AC77" s="255" t="e">
        <f t="shared" si="58"/>
        <v>#N/A</v>
      </c>
      <c r="AD77" s="255" t="e">
        <f t="shared" si="59"/>
        <v>#N/A</v>
      </c>
      <c r="AE77" s="255" t="e">
        <f t="shared" si="60"/>
        <v>#N/A</v>
      </c>
      <c r="AF77" s="255" t="e">
        <f t="shared" si="61"/>
        <v>#N/A</v>
      </c>
      <c r="AG77" s="255" t="e">
        <f t="shared" si="62"/>
        <v>#N/A</v>
      </c>
      <c r="AI77" s="251">
        <f t="shared" si="65"/>
        <v>43315</v>
      </c>
      <c r="AJ77" s="718">
        <f>IF(OR($B77="No",AJ$6=""),"",IF(NOT(ISNUMBER(_xll.ciqfunctions.udf.CIQ(AJ$6,"IQ_TEV",$AI77,$I$2,$I$3))),"",_xll.ciqfunctions.udf.CIQ(AJ$6,"IQ_TEV",$AI77,$I$2,$I$3)))</f>
        <v>305891.65760999999</v>
      </c>
      <c r="AK77" s="718">
        <f>IF(OR($B77="No",AK$6=""),"",IF(NOT(ISNUMBER(_xll.ciqfunctions.udf.CIQ(AK$6,"IQ_TEV",$AI77,$I$2,$I$3))),"",_xll.ciqfunctions.udf.CIQ(AK$6,"IQ_TEV",$AI77,$I$2,$I$3)))</f>
        <v>97121.379010000004</v>
      </c>
      <c r="AL77" s="718" t="str">
        <f>IF(OR($B77="No",AL$6=""),"",IF(NOT(ISNUMBER(_xll.ciqfunctions.udf.CIQ(AL$6,"IQ_TEV",$AI77,$I$2,$I$3))),"",_xll.ciqfunctions.udf.CIQ(AL$6,"IQ_TEV",$AI77,$I$2,$I$3)))</f>
        <v/>
      </c>
      <c r="AM77" s="718" t="str">
        <f>IF(OR($B77="No",AM$6=""),"",IF(NOT(ISNUMBER(_xll.ciqfunctions.udf.CIQ(AM$6,"IQ_TEV",$AI77,$I$2,$I$3))),"",_xll.ciqfunctions.udf.CIQ(AM$6,"IQ_TEV",$AI77,$I$2,$I$3)))</f>
        <v/>
      </c>
      <c r="AN77" s="718" t="str">
        <f>IF(OR($B77="No",AN$6=""),"",IF(NOT(ISNUMBER(_xll.ciqfunctions.udf.CIQ(AN$6,"IQ_TEV",$AI77,$I$2,$I$3))),"",_xll.ciqfunctions.udf.CIQ(AN$6,"IQ_TEV",$AI77,$I$2,$I$3)))</f>
        <v/>
      </c>
      <c r="AO77" s="718" t="str">
        <f>IF(OR($B77="No",AO$6=""),"",IF(NOT(ISNUMBER(_xll.ciqfunctions.udf.CIQ(AO$6,"IQ_TEV",$AI77,$I$2,$I$3))),"",_xll.ciqfunctions.udf.CIQ(AO$6,"IQ_TEV",$AI77,$I$2,$I$3)))</f>
        <v/>
      </c>
      <c r="AP77" s="718" t="str">
        <f>IF(OR($B77="No",AP$6=""),"",IF(NOT(ISNUMBER(_xll.ciqfunctions.udf.CIQ(AP$6,"IQ_TEV",$AI77,$I$2,$I$3))),"",_xll.ciqfunctions.udf.CIQ(AP$6,"IQ_TEV",$AI77,$I$2,$I$3)))</f>
        <v/>
      </c>
      <c r="AQ77" s="718" t="str">
        <f>IF(OR($B77="No",AQ$6=""),"",IF(NOT(ISNUMBER(_xll.ciqfunctions.udf.CIQ(AQ$6,"IQ_TEV",$AI77,$I$2,$I$3))),"",_xll.ciqfunctions.udf.CIQ(AQ$6,"IQ_TEV",$AI77,$I$2,$I$3)))</f>
        <v/>
      </c>
      <c r="AR77" s="718" t="str">
        <f>IF(OR($B77="No",AR$6=""),"",IF(NOT(ISNUMBER(_xll.ciqfunctions.udf.CIQ(AR$6,"IQ_TEV",$AI77,$I$2,$I$3))),"",_xll.ciqfunctions.udf.CIQ(AR$6,"IQ_TEV",$AI77,$I$2,$I$3)))</f>
        <v/>
      </c>
      <c r="AS77" s="718" t="str">
        <f>IF(OR($B77="No",AS$6=""),"",IF(NOT(ISNUMBER(_xll.ciqfunctions.udf.CIQ(AS$6,"IQ_TEV",$AI77,$I$2,$I$3))),"",_xll.ciqfunctions.udf.CIQ(AS$6,"IQ_TEV",$AI77,$I$2,$I$3)))</f>
        <v/>
      </c>
      <c r="AT77" s="718" t="str">
        <f>IF(OR($B77="No",AT$6=""),"",IF(NOT(ISNUMBER(_xll.ciqfunctions.udf.CIQ(AT$6,"IQ_TEV",$AI77,$I$2,$I$3))),"",_xll.ciqfunctions.udf.CIQ(AT$6,"IQ_TEV",$AI77,$I$2,$I$3)))</f>
        <v/>
      </c>
      <c r="AV77" s="251">
        <f t="shared" si="69"/>
        <v>43315</v>
      </c>
      <c r="AW77" s="719">
        <f t="shared" si="70"/>
        <v>0.17174146886539776</v>
      </c>
      <c r="AX77" s="719">
        <f t="shared" si="71"/>
        <v>0.33070604204829457</v>
      </c>
      <c r="AY77" s="719" t="e">
        <f t="shared" si="72"/>
        <v>#N/A</v>
      </c>
      <c r="AZ77" s="719" t="e">
        <f t="shared" si="73"/>
        <v>#N/A</v>
      </c>
      <c r="BA77" s="719" t="e">
        <f t="shared" si="74"/>
        <v>#N/A</v>
      </c>
      <c r="BB77" s="719" t="e">
        <f t="shared" si="75"/>
        <v>#N/A</v>
      </c>
      <c r="BC77" s="719" t="e">
        <f t="shared" si="76"/>
        <v>#N/A</v>
      </c>
      <c r="BD77" s="719" t="e">
        <f t="shared" si="77"/>
        <v>#N/A</v>
      </c>
      <c r="BE77" s="719" t="e">
        <f t="shared" si="78"/>
        <v>#N/A</v>
      </c>
      <c r="BF77" s="719" t="e">
        <f t="shared" si="79"/>
        <v>#N/A</v>
      </c>
      <c r="BG77" s="719" t="e">
        <f t="shared" si="80"/>
        <v>#N/A</v>
      </c>
    </row>
    <row r="78" spans="1:59" ht="15" customHeight="1" x14ac:dyDescent="0.2">
      <c r="A78" s="251">
        <f t="shared" si="63"/>
        <v>43322</v>
      </c>
      <c r="B78" s="253" t="str">
        <f t="shared" si="81"/>
        <v>Yes</v>
      </c>
      <c r="C78" s="1033">
        <f>IF(C$6="","",IF(NOT(ISNUMBER(_xll.ciqfunctions.udf.CIQ(C$6,$F$2, $A78, $I$2, $I$3))),IF(C77=C$6,"",C77),_xll.ciqfunctions.udf.CIQ(C$6,$F$2, $A78, $I$2, $I$3)))</f>
        <v>90.18</v>
      </c>
      <c r="D78" s="1033">
        <f>IF(D$6="","",IF(NOT(ISNUMBER(_xll.ciqfunctions.udf.CIQ(D$6,$F$2, $A78, $I$2, $I$3))),IF(D77=D$6,"",D77),_xll.ciqfunctions.udf.CIQ(D$6,$F$2, $A78, $I$2, $I$3)))</f>
        <v>25313.13925</v>
      </c>
      <c r="E78" s="1033">
        <f>IF(E$6="","",IF(NOT(ISNUMBER(_xll.ciqfunctions.udf.CIQ(E$6,$F$2, $A78, $I$2, $I$3))),IF(E77=E$6,"",E77),_xll.ciqfunctions.udf.CIQ(E$6,$F$2, $A78, $I$2, $I$3)))</f>
        <v>8529.8336299999992</v>
      </c>
      <c r="F78" s="1033">
        <f>IF(F$6="","",IF(NOT(ISNUMBER(_xll.ciqfunctions.udf.CIQ(F$6,$F$2, $A78, $I$2, $I$3))),IF(F77=F$6,"",F77),_xll.ciqfunctions.udf.CIQ(F$6,$F$2, $A78, $I$2, $I$3)))</f>
        <v>5292.2579599999999</v>
      </c>
      <c r="G78" s="1033">
        <f>IF(G$6="","",IF(NOT(ISNUMBER(_xll.ciqfunctions.udf.CIQ(G$6,$F$2, $A78, $I$2, $I$3))),IF(G77=G$6,"",G77),_xll.ciqfunctions.udf.CIQ(G$6,$F$2, $A78, $I$2, $I$3)))</f>
        <v>220.31</v>
      </c>
      <c r="H78" s="1033" t="str">
        <f>IF(H$6="","",IF(NOT(ISNUMBER(_xll.ciqfunctions.udf.CIQ(H$6,$F$2, $A78, $I$2, $I$3))),IF(H77=H$6,"",H77),_xll.ciqfunctions.udf.CIQ(H$6,$F$2, $A78, $I$2, $I$3)))</f>
        <v/>
      </c>
      <c r="I78" s="1033" t="str">
        <f>IF(I$6="","",IF(NOT(ISNUMBER(_xll.ciqfunctions.udf.CIQ(I$6,$F$2, $A78, $I$2, $I$3))),IF(I77=I$6,"",I77),_xll.ciqfunctions.udf.CIQ(I$6,$F$2, $A78, $I$2, $I$3)))</f>
        <v/>
      </c>
      <c r="J78" s="1033" t="str">
        <f>IF(J$6="","",IF(NOT(ISNUMBER(_xll.ciqfunctions.udf.CIQ(J$6,$F$2, $A78, $I$2, $I$3))),IF(J77=J$6,"",J77),_xll.ciqfunctions.udf.CIQ(J$6,$F$2, $A78, $I$2, $I$3)))</f>
        <v/>
      </c>
      <c r="K78" s="1033" t="str">
        <f>IF(K$6="","",IF(NOT(ISNUMBER(_xll.ciqfunctions.udf.CIQ(K$6,$F$2, $A78, $I$2, $I$3))),IF(K77=K$6,"",K77),_xll.ciqfunctions.udf.CIQ(K$6,$F$2, $A78, $I$2, $I$3)))</f>
        <v/>
      </c>
      <c r="L78" s="254" t="str">
        <f>IF(L$6="","",IF(NOT(ISNUMBER(_xll.ciqfunctions.udf.CIQ(L$6,$F$2, $A78, $I$2, $I$3))),IF(L77=L$6,"",L77),_xll.ciqfunctions.udf.CIQ(L$6,$F$2, $A78, $I$2, $I$3)))</f>
        <v/>
      </c>
      <c r="M78" s="254" t="str">
        <f>IF(M$6="","",IF(NOT(ISNUMBER(_xll.ciqfunctions.udf.CIQ(M$6,$F$2, $A78, $I$2, $I$3))),IF(M77=M$6,"",M77),_xll.ciqfunctions.udf.CIQ(M$6,$F$2, $A78, $I$2, $I$3)))</f>
        <v/>
      </c>
      <c r="N78" s="254" t="str">
        <f>IF(N$6="","",IF(NOT(ISNUMBER(_xll.ciqfunctions.udf.CIQ(N$6,$F$2, $A78, $I$2, $I$3))),IF(N77=N$6,"",N77),_xll.ciqfunctions.udf.CIQ(N$6,$F$2, $A78, $I$2, $I$3)))</f>
        <v/>
      </c>
      <c r="O78" s="254" t="str">
        <f>IF(O$6="","",IF(NOT(ISNUMBER(_xll.ciqfunctions.udf.CIQ(O$6,$F$2, $A78, $I$2, $I$3))),IF(O77=O$6,"",O77),_xll.ciqfunctions.udf.CIQ(O$6,$F$2, $A78, $I$2, $I$3)))</f>
        <v/>
      </c>
      <c r="P78" s="254" t="str">
        <f>IF(P$6="","",IF(NOT(ISNUMBER(_xll.ciqfunctions.udf.CIQ(P$6,$F$2, $A78, $I$2, $I$3))),IF(P77=P$6,"",P77),_xll.ciqfunctions.udf.CIQ(P$6,$F$2, $A78, $I$2, $I$3)))</f>
        <v/>
      </c>
      <c r="Q78" s="254"/>
      <c r="R78" s="251">
        <f t="shared" si="64"/>
        <v>43322</v>
      </c>
      <c r="S78" s="255">
        <f t="shared" si="66"/>
        <v>0.25110987791342976</v>
      </c>
      <c r="T78" s="255">
        <f t="shared" si="67"/>
        <v>0.22503355970000927</v>
      </c>
      <c r="U78" s="255">
        <f t="shared" si="68"/>
        <v>0.19201327395974088</v>
      </c>
      <c r="V78" s="255">
        <f t="shared" si="82"/>
        <v>0.20559846531971293</v>
      </c>
      <c r="W78" s="255">
        <f t="array" ref="W78">IFERROR(AVERAGE(IF(ISERROR(X78:AG78),"",X78:AG78)),"")</f>
        <v>0.31379330908223513</v>
      </c>
      <c r="X78" s="255">
        <f t="shared" si="83"/>
        <v>0.31379330908223513</v>
      </c>
      <c r="Y78" s="255" t="e">
        <f t="shared" si="54"/>
        <v>#N/A</v>
      </c>
      <c r="Z78" s="255" t="e">
        <f t="shared" si="55"/>
        <v>#N/A</v>
      </c>
      <c r="AA78" s="255" t="e">
        <f t="shared" si="56"/>
        <v>#N/A</v>
      </c>
      <c r="AB78" s="255" t="e">
        <f t="shared" si="57"/>
        <v>#N/A</v>
      </c>
      <c r="AC78" s="255" t="e">
        <f t="shared" si="58"/>
        <v>#N/A</v>
      </c>
      <c r="AD78" s="255" t="e">
        <f t="shared" si="59"/>
        <v>#N/A</v>
      </c>
      <c r="AE78" s="255" t="e">
        <f t="shared" si="60"/>
        <v>#N/A</v>
      </c>
      <c r="AF78" s="255" t="e">
        <f t="shared" si="61"/>
        <v>#N/A</v>
      </c>
      <c r="AG78" s="255" t="e">
        <f t="shared" si="62"/>
        <v>#N/A</v>
      </c>
      <c r="AI78" s="251">
        <f t="shared" si="65"/>
        <v>43322</v>
      </c>
      <c r="AJ78" s="718">
        <f>IF(OR($B78="No",AJ$6=""),"",IF(NOT(ISNUMBER(_xll.ciqfunctions.udf.CIQ(AJ$6,"IQ_TEV",$AI78,$I$2,$I$3))),"",_xll.ciqfunctions.udf.CIQ(AJ$6,"IQ_TEV",$AI78,$I$2,$I$3)))</f>
        <v>307603.14736</v>
      </c>
      <c r="AK78" s="718">
        <f>IF(OR($B78="No",AK$6=""),"",IF(NOT(ISNUMBER(_xll.ciqfunctions.udf.CIQ(AK$6,"IQ_TEV",$AI78,$I$2,$I$3))),"",_xll.ciqfunctions.udf.CIQ(AK$6,"IQ_TEV",$AI78,$I$2,$I$3)))</f>
        <v>96367.08756</v>
      </c>
      <c r="AL78" s="718" t="str">
        <f>IF(OR($B78="No",AL$6=""),"",IF(NOT(ISNUMBER(_xll.ciqfunctions.udf.CIQ(AL$6,"IQ_TEV",$AI78,$I$2,$I$3))),"",_xll.ciqfunctions.udf.CIQ(AL$6,"IQ_TEV",$AI78,$I$2,$I$3)))</f>
        <v/>
      </c>
      <c r="AM78" s="718" t="str">
        <f>IF(OR($B78="No",AM$6=""),"",IF(NOT(ISNUMBER(_xll.ciqfunctions.udf.CIQ(AM$6,"IQ_TEV",$AI78,$I$2,$I$3))),"",_xll.ciqfunctions.udf.CIQ(AM$6,"IQ_TEV",$AI78,$I$2,$I$3)))</f>
        <v/>
      </c>
      <c r="AN78" s="718" t="str">
        <f>IF(OR($B78="No",AN$6=""),"",IF(NOT(ISNUMBER(_xll.ciqfunctions.udf.CIQ(AN$6,"IQ_TEV",$AI78,$I$2,$I$3))),"",_xll.ciqfunctions.udf.CIQ(AN$6,"IQ_TEV",$AI78,$I$2,$I$3)))</f>
        <v/>
      </c>
      <c r="AO78" s="718" t="str">
        <f>IF(OR($B78="No",AO$6=""),"",IF(NOT(ISNUMBER(_xll.ciqfunctions.udf.CIQ(AO$6,"IQ_TEV",$AI78,$I$2,$I$3))),"",_xll.ciqfunctions.udf.CIQ(AO$6,"IQ_TEV",$AI78,$I$2,$I$3)))</f>
        <v/>
      </c>
      <c r="AP78" s="718" t="str">
        <f>IF(OR($B78="No",AP$6=""),"",IF(NOT(ISNUMBER(_xll.ciqfunctions.udf.CIQ(AP$6,"IQ_TEV",$AI78,$I$2,$I$3))),"",_xll.ciqfunctions.udf.CIQ(AP$6,"IQ_TEV",$AI78,$I$2,$I$3)))</f>
        <v/>
      </c>
      <c r="AQ78" s="718" t="str">
        <f>IF(OR($B78="No",AQ$6=""),"",IF(NOT(ISNUMBER(_xll.ciqfunctions.udf.CIQ(AQ$6,"IQ_TEV",$AI78,$I$2,$I$3))),"",_xll.ciqfunctions.udf.CIQ(AQ$6,"IQ_TEV",$AI78,$I$2,$I$3)))</f>
        <v/>
      </c>
      <c r="AR78" s="718" t="str">
        <f>IF(OR($B78="No",AR$6=""),"",IF(NOT(ISNUMBER(_xll.ciqfunctions.udf.CIQ(AR$6,"IQ_TEV",$AI78,$I$2,$I$3))),"",_xll.ciqfunctions.udf.CIQ(AR$6,"IQ_TEV",$AI78,$I$2,$I$3)))</f>
        <v/>
      </c>
      <c r="AS78" s="718" t="str">
        <f>IF(OR($B78="No",AS$6=""),"",IF(NOT(ISNUMBER(_xll.ciqfunctions.udf.CIQ(AS$6,"IQ_TEV",$AI78,$I$2,$I$3))),"",_xll.ciqfunctions.udf.CIQ(AS$6,"IQ_TEV",$AI78,$I$2,$I$3)))</f>
        <v/>
      </c>
      <c r="AT78" s="718" t="str">
        <f>IF(OR($B78="No",AT$6=""),"",IF(NOT(ISNUMBER(_xll.ciqfunctions.udf.CIQ(AT$6,"IQ_TEV",$AI78,$I$2,$I$3))),"",_xll.ciqfunctions.udf.CIQ(AT$6,"IQ_TEV",$AI78,$I$2,$I$3)))</f>
        <v/>
      </c>
      <c r="AV78" s="251">
        <f t="shared" si="69"/>
        <v>43322</v>
      </c>
      <c r="AW78" s="719">
        <f t="shared" si="70"/>
        <v>0.17829746169397609</v>
      </c>
      <c r="AX78" s="719">
        <f t="shared" si="71"/>
        <v>0.32037113741440315</v>
      </c>
      <c r="AY78" s="719" t="e">
        <f t="shared" si="72"/>
        <v>#N/A</v>
      </c>
      <c r="AZ78" s="719" t="e">
        <f t="shared" si="73"/>
        <v>#N/A</v>
      </c>
      <c r="BA78" s="719" t="e">
        <f t="shared" si="74"/>
        <v>#N/A</v>
      </c>
      <c r="BB78" s="719" t="e">
        <f t="shared" si="75"/>
        <v>#N/A</v>
      </c>
      <c r="BC78" s="719" t="e">
        <f t="shared" si="76"/>
        <v>#N/A</v>
      </c>
      <c r="BD78" s="719" t="e">
        <f t="shared" si="77"/>
        <v>#N/A</v>
      </c>
      <c r="BE78" s="719" t="e">
        <f t="shared" si="78"/>
        <v>#N/A</v>
      </c>
      <c r="BF78" s="719" t="e">
        <f t="shared" si="79"/>
        <v>#N/A</v>
      </c>
      <c r="BG78" s="719" t="e">
        <f t="shared" si="80"/>
        <v>#N/A</v>
      </c>
    </row>
    <row r="79" spans="1:59" ht="15" customHeight="1" x14ac:dyDescent="0.2">
      <c r="A79" s="251">
        <f t="shared" si="63"/>
        <v>43329</v>
      </c>
      <c r="B79" s="253" t="str">
        <f t="shared" si="81"/>
        <v>Yes</v>
      </c>
      <c r="C79" s="1033">
        <f>IF(C$6="","",IF(NOT(ISNUMBER(_xll.ciqfunctions.udf.CIQ(C$6,$F$2, $A79, $I$2, $I$3))),IF(C78=C$6,"",C78),_xll.ciqfunctions.udf.CIQ(C$6,$F$2, $A79, $I$2, $I$3)))</f>
        <v>97.85</v>
      </c>
      <c r="D79" s="1033">
        <f>IF(D$6="","",IF(NOT(ISNUMBER(_xll.ciqfunctions.udf.CIQ(D$6,$F$2, $A79, $I$2, $I$3))),IF(D78=D$6,"",D78),_xll.ciqfunctions.udf.CIQ(D$6,$F$2, $A79, $I$2, $I$3)))</f>
        <v>25669.321400000001</v>
      </c>
      <c r="E79" s="1033">
        <f>IF(E$6="","",IF(NOT(ISNUMBER(_xll.ciqfunctions.udf.CIQ(E$6,$F$2, $A79, $I$2, $I$3))),IF(E78=E$6,"",E78),_xll.ciqfunctions.udf.CIQ(E$6,$F$2, $A79, $I$2, $I$3)))</f>
        <v>8662.8890699999993</v>
      </c>
      <c r="F79" s="1033">
        <f>IF(F$6="","",IF(NOT(ISNUMBER(_xll.ciqfunctions.udf.CIQ(F$6,$F$2, $A79, $I$2, $I$3))),IF(F78=F$6,"",F78),_xll.ciqfunctions.udf.CIQ(F$6,$F$2, $A79, $I$2, $I$3)))</f>
        <v>5310.3637200000003</v>
      </c>
      <c r="G79" s="1033">
        <f>IF(G$6="","",IF(NOT(ISNUMBER(_xll.ciqfunctions.udf.CIQ(G$6,$F$2, $A79, $I$2, $I$3))),IF(G78=G$6,"",G78),_xll.ciqfunctions.udf.CIQ(G$6,$F$2, $A79, $I$2, $I$3)))</f>
        <v>225.68</v>
      </c>
      <c r="H79" s="1033" t="str">
        <f>IF(H$6="","",IF(NOT(ISNUMBER(_xll.ciqfunctions.udf.CIQ(H$6,$F$2, $A79, $I$2, $I$3))),IF(H78=H$6,"",H78),_xll.ciqfunctions.udf.CIQ(H$6,$F$2, $A79, $I$2, $I$3)))</f>
        <v/>
      </c>
      <c r="I79" s="1033" t="str">
        <f>IF(I$6="","",IF(NOT(ISNUMBER(_xll.ciqfunctions.udf.CIQ(I$6,$F$2, $A79, $I$2, $I$3))),IF(I78=I$6,"",I78),_xll.ciqfunctions.udf.CIQ(I$6,$F$2, $A79, $I$2, $I$3)))</f>
        <v/>
      </c>
      <c r="J79" s="1033" t="str">
        <f>IF(J$6="","",IF(NOT(ISNUMBER(_xll.ciqfunctions.udf.CIQ(J$6,$F$2, $A79, $I$2, $I$3))),IF(J78=J$6,"",J78),_xll.ciqfunctions.udf.CIQ(J$6,$F$2, $A79, $I$2, $I$3)))</f>
        <v/>
      </c>
      <c r="K79" s="1033" t="str">
        <f>IF(K$6="","",IF(NOT(ISNUMBER(_xll.ciqfunctions.udf.CIQ(K$6,$F$2, $A79, $I$2, $I$3))),IF(K78=K$6,"",K78),_xll.ciqfunctions.udf.CIQ(K$6,$F$2, $A79, $I$2, $I$3)))</f>
        <v/>
      </c>
      <c r="L79" s="254" t="str">
        <f>IF(L$6="","",IF(NOT(ISNUMBER(_xll.ciqfunctions.udf.CIQ(L$6,$F$2, $A79, $I$2, $I$3))),IF(L78=L$6,"",L78),_xll.ciqfunctions.udf.CIQ(L$6,$F$2, $A79, $I$2, $I$3)))</f>
        <v/>
      </c>
      <c r="M79" s="254" t="str">
        <f>IF(M$6="","",IF(NOT(ISNUMBER(_xll.ciqfunctions.udf.CIQ(M$6,$F$2, $A79, $I$2, $I$3))),IF(M78=M$6,"",M78),_xll.ciqfunctions.udf.CIQ(M$6,$F$2, $A79, $I$2, $I$3)))</f>
        <v/>
      </c>
      <c r="N79" s="254" t="str">
        <f>IF(N$6="","",IF(NOT(ISNUMBER(_xll.ciqfunctions.udf.CIQ(N$6,$F$2, $A79, $I$2, $I$3))),IF(N78=N$6,"",N78),_xll.ciqfunctions.udf.CIQ(N$6,$F$2, $A79, $I$2, $I$3)))</f>
        <v/>
      </c>
      <c r="O79" s="254" t="str">
        <f>IF(O$6="","",IF(NOT(ISNUMBER(_xll.ciqfunctions.udf.CIQ(O$6,$F$2, $A79, $I$2, $I$3))),IF(O78=O$6,"",O78),_xll.ciqfunctions.udf.CIQ(O$6,$F$2, $A79, $I$2, $I$3)))</f>
        <v/>
      </c>
      <c r="P79" s="254" t="str">
        <f>IF(P$6="","",IF(NOT(ISNUMBER(_xll.ciqfunctions.udf.CIQ(P$6,$F$2, $A79, $I$2, $I$3))),IF(P78=P$6,"",P78),_xll.ciqfunctions.udf.CIQ(P$6,$F$2, $A79, $I$2, $I$3)))</f>
        <v/>
      </c>
      <c r="Q79" s="254"/>
      <c r="R79" s="251">
        <f t="shared" si="64"/>
        <v>43329</v>
      </c>
      <c r="S79" s="255">
        <f t="shared" si="66"/>
        <v>0.35751942286348504</v>
      </c>
      <c r="T79" s="255">
        <f t="shared" si="67"/>
        <v>0.24227105374635149</v>
      </c>
      <c r="U79" s="255">
        <f t="shared" si="68"/>
        <v>0.21060728851293598</v>
      </c>
      <c r="V79" s="255">
        <f t="shared" si="82"/>
        <v>0.20972303306271223</v>
      </c>
      <c r="W79" s="255">
        <f t="array" ref="W79">IFERROR(AVERAGE(IF(ISERROR(X79:AG79),"",X79:AG79)),"")</f>
        <v>0.34581668555071854</v>
      </c>
      <c r="X79" s="255">
        <f t="shared" si="83"/>
        <v>0.34581668555071854</v>
      </c>
      <c r="Y79" s="255" t="e">
        <f t="shared" si="54"/>
        <v>#N/A</v>
      </c>
      <c r="Z79" s="255" t="e">
        <f t="shared" si="55"/>
        <v>#N/A</v>
      </c>
      <c r="AA79" s="255" t="e">
        <f t="shared" si="56"/>
        <v>#N/A</v>
      </c>
      <c r="AB79" s="255" t="e">
        <f t="shared" si="57"/>
        <v>#N/A</v>
      </c>
      <c r="AC79" s="255" t="e">
        <f t="shared" si="58"/>
        <v>#N/A</v>
      </c>
      <c r="AD79" s="255" t="e">
        <f t="shared" si="59"/>
        <v>#N/A</v>
      </c>
      <c r="AE79" s="255" t="e">
        <f t="shared" si="60"/>
        <v>#N/A</v>
      </c>
      <c r="AF79" s="255" t="e">
        <f t="shared" si="61"/>
        <v>#N/A</v>
      </c>
      <c r="AG79" s="255" t="e">
        <f t="shared" si="62"/>
        <v>#N/A</v>
      </c>
      <c r="AI79" s="251">
        <f t="shared" si="65"/>
        <v>43329</v>
      </c>
      <c r="AJ79" s="718">
        <f>IF(OR($B79="No",AJ$6=""),"",IF(NOT(ISNUMBER(_xll.ciqfunctions.udf.CIQ(AJ$6,"IQ_TEV",$AI79,$I$2,$I$3))),"",_xll.ciqfunctions.udf.CIQ(AJ$6,"IQ_TEV",$AI79,$I$2,$I$3)))</f>
        <v>329323.12385999999</v>
      </c>
      <c r="AK79" s="718">
        <f>IF(OR($B79="No",AK$6=""),"",IF(NOT(ISNUMBER(_xll.ciqfunctions.udf.CIQ(AK$6,"IQ_TEV",$AI79,$I$2,$I$3))),"",_xll.ciqfunctions.udf.CIQ(AK$6,"IQ_TEV",$AI79,$I$2,$I$3)))</f>
        <v>98722.055649999995</v>
      </c>
      <c r="AL79" s="718" t="str">
        <f>IF(OR($B79="No",AL$6=""),"",IF(NOT(ISNUMBER(_xll.ciqfunctions.udf.CIQ(AL$6,"IQ_TEV",$AI79,$I$2,$I$3))),"",_xll.ciqfunctions.udf.CIQ(AL$6,"IQ_TEV",$AI79,$I$2,$I$3)))</f>
        <v/>
      </c>
      <c r="AM79" s="718" t="str">
        <f>IF(OR($B79="No",AM$6=""),"",IF(NOT(ISNUMBER(_xll.ciqfunctions.udf.CIQ(AM$6,"IQ_TEV",$AI79,$I$2,$I$3))),"",_xll.ciqfunctions.udf.CIQ(AM$6,"IQ_TEV",$AI79,$I$2,$I$3)))</f>
        <v/>
      </c>
      <c r="AN79" s="718" t="str">
        <f>IF(OR($B79="No",AN$6=""),"",IF(NOT(ISNUMBER(_xll.ciqfunctions.udf.CIQ(AN$6,"IQ_TEV",$AI79,$I$2,$I$3))),"",_xll.ciqfunctions.udf.CIQ(AN$6,"IQ_TEV",$AI79,$I$2,$I$3)))</f>
        <v/>
      </c>
      <c r="AO79" s="718" t="str">
        <f>IF(OR($B79="No",AO$6=""),"",IF(NOT(ISNUMBER(_xll.ciqfunctions.udf.CIQ(AO$6,"IQ_TEV",$AI79,$I$2,$I$3))),"",_xll.ciqfunctions.udf.CIQ(AO$6,"IQ_TEV",$AI79,$I$2,$I$3)))</f>
        <v/>
      </c>
      <c r="AP79" s="718" t="str">
        <f>IF(OR($B79="No",AP$6=""),"",IF(NOT(ISNUMBER(_xll.ciqfunctions.udf.CIQ(AP$6,"IQ_TEV",$AI79,$I$2,$I$3))),"",_xll.ciqfunctions.udf.CIQ(AP$6,"IQ_TEV",$AI79,$I$2,$I$3)))</f>
        <v/>
      </c>
      <c r="AQ79" s="718" t="str">
        <f>IF(OR($B79="No",AQ$6=""),"",IF(NOT(ISNUMBER(_xll.ciqfunctions.udf.CIQ(AQ$6,"IQ_TEV",$AI79,$I$2,$I$3))),"",_xll.ciqfunctions.udf.CIQ(AQ$6,"IQ_TEV",$AI79,$I$2,$I$3)))</f>
        <v/>
      </c>
      <c r="AR79" s="718" t="str">
        <f>IF(OR($B79="No",AR$6=""),"",IF(NOT(ISNUMBER(_xll.ciqfunctions.udf.CIQ(AR$6,"IQ_TEV",$AI79,$I$2,$I$3))),"",_xll.ciqfunctions.udf.CIQ(AR$6,"IQ_TEV",$AI79,$I$2,$I$3)))</f>
        <v/>
      </c>
      <c r="AS79" s="718" t="str">
        <f>IF(OR($B79="No",AS$6=""),"",IF(NOT(ISNUMBER(_xll.ciqfunctions.udf.CIQ(AS$6,"IQ_TEV",$AI79,$I$2,$I$3))),"",_xll.ciqfunctions.udf.CIQ(AS$6,"IQ_TEV",$AI79,$I$2,$I$3)))</f>
        <v/>
      </c>
      <c r="AT79" s="718" t="str">
        <f>IF(OR($B79="No",AT$6=""),"",IF(NOT(ISNUMBER(_xll.ciqfunctions.udf.CIQ(AT$6,"IQ_TEV",$AI79,$I$2,$I$3))),"",_xll.ciqfunctions.udf.CIQ(AT$6,"IQ_TEV",$AI79,$I$2,$I$3)))</f>
        <v/>
      </c>
      <c r="AV79" s="251">
        <f t="shared" si="69"/>
        <v>43329</v>
      </c>
      <c r="AW79" s="719">
        <f t="shared" si="70"/>
        <v>0.26149749848700266</v>
      </c>
      <c r="AX79" s="719">
        <f t="shared" si="71"/>
        <v>0.35263767129332657</v>
      </c>
      <c r="AY79" s="719" t="e">
        <f t="shared" si="72"/>
        <v>#N/A</v>
      </c>
      <c r="AZ79" s="719" t="e">
        <f t="shared" si="73"/>
        <v>#N/A</v>
      </c>
      <c r="BA79" s="719" t="e">
        <f t="shared" si="74"/>
        <v>#N/A</v>
      </c>
      <c r="BB79" s="719" t="e">
        <f t="shared" si="75"/>
        <v>#N/A</v>
      </c>
      <c r="BC79" s="719" t="e">
        <f t="shared" si="76"/>
        <v>#N/A</v>
      </c>
      <c r="BD79" s="719" t="e">
        <f t="shared" si="77"/>
        <v>#N/A</v>
      </c>
      <c r="BE79" s="719" t="e">
        <f t="shared" si="78"/>
        <v>#N/A</v>
      </c>
      <c r="BF79" s="719" t="e">
        <f t="shared" si="79"/>
        <v>#N/A</v>
      </c>
      <c r="BG79" s="719" t="e">
        <f t="shared" si="80"/>
        <v>#N/A</v>
      </c>
    </row>
    <row r="80" spans="1:59" ht="15" customHeight="1" x14ac:dyDescent="0.2">
      <c r="A80" s="251">
        <f t="shared" si="63"/>
        <v>43336</v>
      </c>
      <c r="B80" s="253" t="str">
        <f t="shared" si="81"/>
        <v>Yes</v>
      </c>
      <c r="C80" s="1033">
        <f>IF(C$6="","",IF(NOT(ISNUMBER(_xll.ciqfunctions.udf.CIQ(C$6,$F$2, $A80, $I$2, $I$3))),IF(C79=C$6,"",C79),_xll.ciqfunctions.udf.CIQ(C$6,$F$2, $A80, $I$2, $I$3)))</f>
        <v>94.95</v>
      </c>
      <c r="D80" s="1033">
        <f>IF(D$6="","",IF(NOT(ISNUMBER(_xll.ciqfunctions.udf.CIQ(D$6,$F$2, $A80, $I$2, $I$3))),IF(D79=D$6,"",D79),_xll.ciqfunctions.udf.CIQ(D$6,$F$2, $A80, $I$2, $I$3)))</f>
        <v>25790.354169999999</v>
      </c>
      <c r="E80" s="1033">
        <f>IF(E$6="","",IF(NOT(ISNUMBER(_xll.ciqfunctions.udf.CIQ(E$6,$F$2, $A80, $I$2, $I$3))),IF(E79=E$6,"",E79),_xll.ciqfunctions.udf.CIQ(E$6,$F$2, $A80, $I$2, $I$3)))</f>
        <v>8677.3461700000007</v>
      </c>
      <c r="F80" s="1033">
        <f>IF(F$6="","",IF(NOT(ISNUMBER(_xll.ciqfunctions.udf.CIQ(F$6,$F$2, $A80, $I$2, $I$3))),IF(F79=F$6,"",F79),_xll.ciqfunctions.udf.CIQ(F$6,$F$2, $A80, $I$2, $I$3)))</f>
        <v>5381.1267699999999</v>
      </c>
      <c r="G80" s="1033">
        <f>IF(G$6="","",IF(NOT(ISNUMBER(_xll.ciqfunctions.udf.CIQ(G$6,$F$2, $A80, $I$2, $I$3))),IF(G79=G$6,"",G79),_xll.ciqfunctions.udf.CIQ(G$6,$F$2, $A80, $I$2, $I$3)))</f>
        <v>231.28</v>
      </c>
      <c r="H80" s="1033" t="str">
        <f>IF(H$6="","",IF(NOT(ISNUMBER(_xll.ciqfunctions.udf.CIQ(H$6,$F$2, $A80, $I$2, $I$3))),IF(H79=H$6,"",H79),_xll.ciqfunctions.udf.CIQ(H$6,$F$2, $A80, $I$2, $I$3)))</f>
        <v/>
      </c>
      <c r="I80" s="1033" t="str">
        <f>IF(I$6="","",IF(NOT(ISNUMBER(_xll.ciqfunctions.udf.CIQ(I$6,$F$2, $A80, $I$2, $I$3))),IF(I79=I$6,"",I79),_xll.ciqfunctions.udf.CIQ(I$6,$F$2, $A80, $I$2, $I$3)))</f>
        <v/>
      </c>
      <c r="J80" s="1033" t="str">
        <f>IF(J$6="","",IF(NOT(ISNUMBER(_xll.ciqfunctions.udf.CIQ(J$6,$F$2, $A80, $I$2, $I$3))),IF(J79=J$6,"",J79),_xll.ciqfunctions.udf.CIQ(J$6,$F$2, $A80, $I$2, $I$3)))</f>
        <v/>
      </c>
      <c r="K80" s="1033" t="str">
        <f>IF(K$6="","",IF(NOT(ISNUMBER(_xll.ciqfunctions.udf.CIQ(K$6,$F$2, $A80, $I$2, $I$3))),IF(K79=K$6,"",K79),_xll.ciqfunctions.udf.CIQ(K$6,$F$2, $A80, $I$2, $I$3)))</f>
        <v/>
      </c>
      <c r="L80" s="254" t="str">
        <f>IF(L$6="","",IF(NOT(ISNUMBER(_xll.ciqfunctions.udf.CIQ(L$6,$F$2, $A80, $I$2, $I$3))),IF(L79=L$6,"",L79),_xll.ciqfunctions.udf.CIQ(L$6,$F$2, $A80, $I$2, $I$3)))</f>
        <v/>
      </c>
      <c r="M80" s="254" t="str">
        <f>IF(M$6="","",IF(NOT(ISNUMBER(_xll.ciqfunctions.udf.CIQ(M$6,$F$2, $A80, $I$2, $I$3))),IF(M79=M$6,"",M79),_xll.ciqfunctions.udf.CIQ(M$6,$F$2, $A80, $I$2, $I$3)))</f>
        <v/>
      </c>
      <c r="N80" s="254" t="str">
        <f>IF(N$6="","",IF(NOT(ISNUMBER(_xll.ciqfunctions.udf.CIQ(N$6,$F$2, $A80, $I$2, $I$3))),IF(N79=N$6,"",N79),_xll.ciqfunctions.udf.CIQ(N$6,$F$2, $A80, $I$2, $I$3)))</f>
        <v/>
      </c>
      <c r="O80" s="254" t="str">
        <f>IF(O$6="","",IF(NOT(ISNUMBER(_xll.ciqfunctions.udf.CIQ(O$6,$F$2, $A80, $I$2, $I$3))),IF(O79=O$6,"",O79),_xll.ciqfunctions.udf.CIQ(O$6,$F$2, $A80, $I$2, $I$3)))</f>
        <v/>
      </c>
      <c r="P80" s="254" t="str">
        <f>IF(P$6="","",IF(NOT(ISNUMBER(_xll.ciqfunctions.udf.CIQ(P$6,$F$2, $A80, $I$2, $I$3))),IF(P79=P$6,"",P79),_xll.ciqfunctions.udf.CIQ(P$6,$F$2, $A80, $I$2, $I$3)))</f>
        <v/>
      </c>
      <c r="Q80" s="254"/>
      <c r="R80" s="251">
        <f t="shared" si="64"/>
        <v>43336</v>
      </c>
      <c r="S80" s="255">
        <f t="shared" si="66"/>
        <v>0.31728634850166482</v>
      </c>
      <c r="T80" s="255">
        <f t="shared" si="67"/>
        <v>0.24812845466407651</v>
      </c>
      <c r="U80" s="255">
        <f t="shared" si="68"/>
        <v>0.21262761573741495</v>
      </c>
      <c r="V80" s="255">
        <f t="shared" si="82"/>
        <v>0.22584315138010069</v>
      </c>
      <c r="W80" s="255">
        <f t="array" ref="W80">IFERROR(AVERAGE(IF(ISERROR(X80:AG80),"",X80:AG80)),"")</f>
        <v>0.37921164052716327</v>
      </c>
      <c r="X80" s="255">
        <f t="shared" si="83"/>
        <v>0.37921164052716327</v>
      </c>
      <c r="Y80" s="255" t="e">
        <f t="shared" si="54"/>
        <v>#N/A</v>
      </c>
      <c r="Z80" s="255" t="e">
        <f t="shared" si="55"/>
        <v>#N/A</v>
      </c>
      <c r="AA80" s="255" t="e">
        <f t="shared" si="56"/>
        <v>#N/A</v>
      </c>
      <c r="AB80" s="255" t="e">
        <f t="shared" si="57"/>
        <v>#N/A</v>
      </c>
      <c r="AC80" s="255" t="e">
        <f t="shared" si="58"/>
        <v>#N/A</v>
      </c>
      <c r="AD80" s="255" t="e">
        <f t="shared" si="59"/>
        <v>#N/A</v>
      </c>
      <c r="AE80" s="255" t="e">
        <f t="shared" si="60"/>
        <v>#N/A</v>
      </c>
      <c r="AF80" s="255" t="e">
        <f t="shared" si="61"/>
        <v>#N/A</v>
      </c>
      <c r="AG80" s="255" t="e">
        <f t="shared" si="62"/>
        <v>#N/A</v>
      </c>
      <c r="AI80" s="251">
        <f t="shared" si="65"/>
        <v>43336</v>
      </c>
      <c r="AJ80" s="718">
        <f>IF(OR($B80="No",AJ$6=""),"",IF(NOT(ISNUMBER(_xll.ciqfunctions.udf.CIQ(AJ$6,"IQ_TEV",$AI80,$I$2,$I$3))),"",_xll.ciqfunctions.udf.CIQ(AJ$6,"IQ_TEV",$AI80,$I$2,$I$3)))</f>
        <v>320765.67512000003</v>
      </c>
      <c r="AK80" s="718">
        <f>IF(OR($B80="No",AK$6=""),"",IF(NOT(ISNUMBER(_xll.ciqfunctions.udf.CIQ(AK$6,"IQ_TEV",$AI80,$I$2,$I$3))),"",_xll.ciqfunctions.udf.CIQ(AK$6,"IQ_TEV",$AI80,$I$2,$I$3)))</f>
        <v>101177.88830000001</v>
      </c>
      <c r="AL80" s="718" t="str">
        <f>IF(OR($B80="No",AL$6=""),"",IF(NOT(ISNUMBER(_xll.ciqfunctions.udf.CIQ(AL$6,"IQ_TEV",$AI80,$I$2,$I$3))),"",_xll.ciqfunctions.udf.CIQ(AL$6,"IQ_TEV",$AI80,$I$2,$I$3)))</f>
        <v/>
      </c>
      <c r="AM80" s="718" t="str">
        <f>IF(OR($B80="No",AM$6=""),"",IF(NOT(ISNUMBER(_xll.ciqfunctions.udf.CIQ(AM$6,"IQ_TEV",$AI80,$I$2,$I$3))),"",_xll.ciqfunctions.udf.CIQ(AM$6,"IQ_TEV",$AI80,$I$2,$I$3)))</f>
        <v/>
      </c>
      <c r="AN80" s="718" t="str">
        <f>IF(OR($B80="No",AN$6=""),"",IF(NOT(ISNUMBER(_xll.ciqfunctions.udf.CIQ(AN$6,"IQ_TEV",$AI80,$I$2,$I$3))),"",_xll.ciqfunctions.udf.CIQ(AN$6,"IQ_TEV",$AI80,$I$2,$I$3)))</f>
        <v/>
      </c>
      <c r="AO80" s="718" t="str">
        <f>IF(OR($B80="No",AO$6=""),"",IF(NOT(ISNUMBER(_xll.ciqfunctions.udf.CIQ(AO$6,"IQ_TEV",$AI80,$I$2,$I$3))),"",_xll.ciqfunctions.udf.CIQ(AO$6,"IQ_TEV",$AI80,$I$2,$I$3)))</f>
        <v/>
      </c>
      <c r="AP80" s="718" t="str">
        <f>IF(OR($B80="No",AP$6=""),"",IF(NOT(ISNUMBER(_xll.ciqfunctions.udf.CIQ(AP$6,"IQ_TEV",$AI80,$I$2,$I$3))),"",_xll.ciqfunctions.udf.CIQ(AP$6,"IQ_TEV",$AI80,$I$2,$I$3)))</f>
        <v/>
      </c>
      <c r="AQ80" s="718" t="str">
        <f>IF(OR($B80="No",AQ$6=""),"",IF(NOT(ISNUMBER(_xll.ciqfunctions.udf.CIQ(AQ$6,"IQ_TEV",$AI80,$I$2,$I$3))),"",_xll.ciqfunctions.udf.CIQ(AQ$6,"IQ_TEV",$AI80,$I$2,$I$3)))</f>
        <v/>
      </c>
      <c r="AR80" s="718" t="str">
        <f>IF(OR($B80="No",AR$6=""),"",IF(NOT(ISNUMBER(_xll.ciqfunctions.udf.CIQ(AR$6,"IQ_TEV",$AI80,$I$2,$I$3))),"",_xll.ciqfunctions.udf.CIQ(AR$6,"IQ_TEV",$AI80,$I$2,$I$3)))</f>
        <v/>
      </c>
      <c r="AS80" s="718" t="str">
        <f>IF(OR($B80="No",AS$6=""),"",IF(NOT(ISNUMBER(_xll.ciqfunctions.udf.CIQ(AS$6,"IQ_TEV",$AI80,$I$2,$I$3))),"",_xll.ciqfunctions.udf.CIQ(AS$6,"IQ_TEV",$AI80,$I$2,$I$3)))</f>
        <v/>
      </c>
      <c r="AT80" s="718" t="str">
        <f>IF(OR($B80="No",AT$6=""),"",IF(NOT(ISNUMBER(_xll.ciqfunctions.udf.CIQ(AT$6,"IQ_TEV",$AI80,$I$2,$I$3))),"",_xll.ciqfunctions.udf.CIQ(AT$6,"IQ_TEV",$AI80,$I$2,$I$3)))</f>
        <v/>
      </c>
      <c r="AV80" s="251">
        <f t="shared" si="69"/>
        <v>43336</v>
      </c>
      <c r="AW80" s="719">
        <f t="shared" si="70"/>
        <v>0.22871753438241726</v>
      </c>
      <c r="AX80" s="719">
        <f t="shared" si="71"/>
        <v>0.38628619831102884</v>
      </c>
      <c r="AY80" s="719" t="e">
        <f t="shared" si="72"/>
        <v>#N/A</v>
      </c>
      <c r="AZ80" s="719" t="e">
        <f t="shared" si="73"/>
        <v>#N/A</v>
      </c>
      <c r="BA80" s="719" t="e">
        <f t="shared" si="74"/>
        <v>#N/A</v>
      </c>
      <c r="BB80" s="719" t="e">
        <f t="shared" si="75"/>
        <v>#N/A</v>
      </c>
      <c r="BC80" s="719" t="e">
        <f t="shared" si="76"/>
        <v>#N/A</v>
      </c>
      <c r="BD80" s="719" t="e">
        <f t="shared" si="77"/>
        <v>#N/A</v>
      </c>
      <c r="BE80" s="719" t="e">
        <f t="shared" si="78"/>
        <v>#N/A</v>
      </c>
      <c r="BF80" s="719" t="e">
        <f t="shared" si="79"/>
        <v>#N/A</v>
      </c>
      <c r="BG80" s="719" t="e">
        <f t="shared" si="80"/>
        <v>#N/A</v>
      </c>
    </row>
    <row r="81" spans="1:59" ht="15" customHeight="1" x14ac:dyDescent="0.2">
      <c r="A81" s="251">
        <f t="shared" si="63"/>
        <v>43343</v>
      </c>
      <c r="B81" s="253" t="str">
        <f t="shared" si="81"/>
        <v>Yes</v>
      </c>
      <c r="C81" s="1033">
        <f>IF(C$6="","",IF(NOT(ISNUMBER(_xll.ciqfunctions.udf.CIQ(C$6,$F$2, $A81, $I$2, $I$3))),IF(C80=C$6,"",C80),_xll.ciqfunctions.udf.CIQ(C$6,$F$2, $A81, $I$2, $I$3)))</f>
        <v>95.86</v>
      </c>
      <c r="D81" s="1033">
        <f>IF(D$6="","",IF(NOT(ISNUMBER(_xll.ciqfunctions.udf.CIQ(D$6,$F$2, $A81, $I$2, $I$3))),IF(D80=D$6,"",D80),_xll.ciqfunctions.udf.CIQ(D$6,$F$2, $A81, $I$2, $I$3)))</f>
        <v>25964.817650000001</v>
      </c>
      <c r="E81" s="1033">
        <f>IF(E$6="","",IF(NOT(ISNUMBER(_xll.ciqfunctions.udf.CIQ(E$6,$F$2, $A81, $I$2, $I$3))),IF(E80=E$6,"",E80),_xll.ciqfunctions.udf.CIQ(E$6,$F$2, $A81, $I$2, $I$3)))</f>
        <v>8707.5530600000002</v>
      </c>
      <c r="F81" s="1033">
        <f>IF(F$6="","",IF(NOT(ISNUMBER(_xll.ciqfunctions.udf.CIQ(F$6,$F$2, $A81, $I$2, $I$3))),IF(F80=F$6,"",F80),_xll.ciqfunctions.udf.CIQ(F$6,$F$2, $A81, $I$2, $I$3)))</f>
        <v>5396.8951500000003</v>
      </c>
      <c r="G81" s="1033">
        <f>IF(G$6="","",IF(NOT(ISNUMBER(_xll.ciqfunctions.udf.CIQ(G$6,$F$2, $A81, $I$2, $I$3))),IF(G80=G$6,"",G80),_xll.ciqfunctions.udf.CIQ(G$6,$F$2, $A81, $I$2, $I$3)))</f>
        <v>233.13</v>
      </c>
      <c r="H81" s="1033" t="str">
        <f>IF(H$6="","",IF(NOT(ISNUMBER(_xll.ciqfunctions.udf.CIQ(H$6,$F$2, $A81, $I$2, $I$3))),IF(H80=H$6,"",H80),_xll.ciqfunctions.udf.CIQ(H$6,$F$2, $A81, $I$2, $I$3)))</f>
        <v/>
      </c>
      <c r="I81" s="1033" t="str">
        <f>IF(I$6="","",IF(NOT(ISNUMBER(_xll.ciqfunctions.udf.CIQ(I$6,$F$2, $A81, $I$2, $I$3))),IF(I80=I$6,"",I80),_xll.ciqfunctions.udf.CIQ(I$6,$F$2, $A81, $I$2, $I$3)))</f>
        <v/>
      </c>
      <c r="J81" s="1033" t="str">
        <f>IF(J$6="","",IF(NOT(ISNUMBER(_xll.ciqfunctions.udf.CIQ(J$6,$F$2, $A81, $I$2, $I$3))),IF(J80=J$6,"",J80),_xll.ciqfunctions.udf.CIQ(J$6,$F$2, $A81, $I$2, $I$3)))</f>
        <v/>
      </c>
      <c r="K81" s="1033" t="str">
        <f>IF(K$6="","",IF(NOT(ISNUMBER(_xll.ciqfunctions.udf.CIQ(K$6,$F$2, $A81, $I$2, $I$3))),IF(K80=K$6,"",K80),_xll.ciqfunctions.udf.CIQ(K$6,$F$2, $A81, $I$2, $I$3)))</f>
        <v/>
      </c>
      <c r="L81" s="254" t="str">
        <f>IF(L$6="","",IF(NOT(ISNUMBER(_xll.ciqfunctions.udf.CIQ(L$6,$F$2, $A81, $I$2, $I$3))),IF(L80=L$6,"",L80),_xll.ciqfunctions.udf.CIQ(L$6,$F$2, $A81, $I$2, $I$3)))</f>
        <v/>
      </c>
      <c r="M81" s="254" t="str">
        <f>IF(M$6="","",IF(NOT(ISNUMBER(_xll.ciqfunctions.udf.CIQ(M$6,$F$2, $A81, $I$2, $I$3))),IF(M80=M$6,"",M80),_xll.ciqfunctions.udf.CIQ(M$6,$F$2, $A81, $I$2, $I$3)))</f>
        <v/>
      </c>
      <c r="N81" s="254" t="str">
        <f>IF(N$6="","",IF(NOT(ISNUMBER(_xll.ciqfunctions.udf.CIQ(N$6,$F$2, $A81, $I$2, $I$3))),IF(N80=N$6,"",N80),_xll.ciqfunctions.udf.CIQ(N$6,$F$2, $A81, $I$2, $I$3)))</f>
        <v/>
      </c>
      <c r="O81" s="254" t="str">
        <f>IF(O$6="","",IF(NOT(ISNUMBER(_xll.ciqfunctions.udf.CIQ(O$6,$F$2, $A81, $I$2, $I$3))),IF(O80=O$6,"",O80),_xll.ciqfunctions.udf.CIQ(O$6,$F$2, $A81, $I$2, $I$3)))</f>
        <v/>
      </c>
      <c r="P81" s="254" t="str">
        <f>IF(P$6="","",IF(NOT(ISNUMBER(_xll.ciqfunctions.udf.CIQ(P$6,$F$2, $A81, $I$2, $I$3))),IF(P80=P$6,"",P80),_xll.ciqfunctions.udf.CIQ(P$6,$F$2, $A81, $I$2, $I$3)))</f>
        <v/>
      </c>
      <c r="Q81" s="254"/>
      <c r="R81" s="251">
        <f t="shared" si="64"/>
        <v>43343</v>
      </c>
      <c r="S81" s="255">
        <f t="shared" si="66"/>
        <v>0.32991120976692567</v>
      </c>
      <c r="T81" s="255">
        <f t="shared" si="67"/>
        <v>0.2565716436273755</v>
      </c>
      <c r="U81" s="255">
        <f t="shared" si="68"/>
        <v>0.21684891891950775</v>
      </c>
      <c r="V81" s="255">
        <f t="shared" si="82"/>
        <v>0.2294352541975111</v>
      </c>
      <c r="W81" s="255">
        <f t="array" ref="W81">IFERROR(AVERAGE(IF(ISERROR(X81:AG81),"",X81:AG81)),"")</f>
        <v>0.39024390243902429</v>
      </c>
      <c r="X81" s="255">
        <f t="shared" si="83"/>
        <v>0.39024390243902429</v>
      </c>
      <c r="Y81" s="255" t="e">
        <f t="shared" si="54"/>
        <v>#N/A</v>
      </c>
      <c r="Z81" s="255" t="e">
        <f t="shared" si="55"/>
        <v>#N/A</v>
      </c>
      <c r="AA81" s="255" t="e">
        <f t="shared" si="56"/>
        <v>#N/A</v>
      </c>
      <c r="AB81" s="255" t="e">
        <f t="shared" si="57"/>
        <v>#N/A</v>
      </c>
      <c r="AC81" s="255" t="e">
        <f t="shared" si="58"/>
        <v>#N/A</v>
      </c>
      <c r="AD81" s="255" t="e">
        <f t="shared" si="59"/>
        <v>#N/A</v>
      </c>
      <c r="AE81" s="255" t="e">
        <f t="shared" si="60"/>
        <v>#N/A</v>
      </c>
      <c r="AF81" s="255" t="e">
        <f t="shared" si="61"/>
        <v>#N/A</v>
      </c>
      <c r="AG81" s="255" t="e">
        <f t="shared" si="62"/>
        <v>#N/A</v>
      </c>
      <c r="AI81" s="251">
        <f t="shared" si="65"/>
        <v>43343</v>
      </c>
      <c r="AJ81" s="718">
        <f>IF(OR($B81="No",AJ$6=""),"",IF(NOT(ISNUMBER(_xll.ciqfunctions.udf.CIQ(AJ$6,"IQ_TEV",$AI81,$I$2,$I$3))),"",_xll.ciqfunctions.udf.CIQ(AJ$6,"IQ_TEV",$AI81,$I$2,$I$3)))</f>
        <v>323450.94351000001</v>
      </c>
      <c r="AK81" s="718">
        <f>IF(OR($B81="No",AK$6=""),"",IF(NOT(ISNUMBER(_xll.ciqfunctions.udf.CIQ(AK$6,"IQ_TEV",$AI81,$I$2,$I$3))),"",_xll.ciqfunctions.udf.CIQ(AK$6,"IQ_TEV",$AI81,$I$2,$I$3)))</f>
        <v>101989.19014999999</v>
      </c>
      <c r="AL81" s="718" t="str">
        <f>IF(OR($B81="No",AL$6=""),"",IF(NOT(ISNUMBER(_xll.ciqfunctions.udf.CIQ(AL$6,"IQ_TEV",$AI81,$I$2,$I$3))),"",_xll.ciqfunctions.udf.CIQ(AL$6,"IQ_TEV",$AI81,$I$2,$I$3)))</f>
        <v/>
      </c>
      <c r="AM81" s="718" t="str">
        <f>IF(OR($B81="No",AM$6=""),"",IF(NOT(ISNUMBER(_xll.ciqfunctions.udf.CIQ(AM$6,"IQ_TEV",$AI81,$I$2,$I$3))),"",_xll.ciqfunctions.udf.CIQ(AM$6,"IQ_TEV",$AI81,$I$2,$I$3)))</f>
        <v/>
      </c>
      <c r="AN81" s="718" t="str">
        <f>IF(OR($B81="No",AN$6=""),"",IF(NOT(ISNUMBER(_xll.ciqfunctions.udf.CIQ(AN$6,"IQ_TEV",$AI81,$I$2,$I$3))),"",_xll.ciqfunctions.udf.CIQ(AN$6,"IQ_TEV",$AI81,$I$2,$I$3)))</f>
        <v/>
      </c>
      <c r="AO81" s="718" t="str">
        <f>IF(OR($B81="No",AO$6=""),"",IF(NOT(ISNUMBER(_xll.ciqfunctions.udf.CIQ(AO$6,"IQ_TEV",$AI81,$I$2,$I$3))),"",_xll.ciqfunctions.udf.CIQ(AO$6,"IQ_TEV",$AI81,$I$2,$I$3)))</f>
        <v/>
      </c>
      <c r="AP81" s="718" t="str">
        <f>IF(OR($B81="No",AP$6=""),"",IF(NOT(ISNUMBER(_xll.ciqfunctions.udf.CIQ(AP$6,"IQ_TEV",$AI81,$I$2,$I$3))),"",_xll.ciqfunctions.udf.CIQ(AP$6,"IQ_TEV",$AI81,$I$2,$I$3)))</f>
        <v/>
      </c>
      <c r="AQ81" s="718" t="str">
        <f>IF(OR($B81="No",AQ$6=""),"",IF(NOT(ISNUMBER(_xll.ciqfunctions.udf.CIQ(AQ$6,"IQ_TEV",$AI81,$I$2,$I$3))),"",_xll.ciqfunctions.udf.CIQ(AQ$6,"IQ_TEV",$AI81,$I$2,$I$3)))</f>
        <v/>
      </c>
      <c r="AR81" s="718" t="str">
        <f>IF(OR($B81="No",AR$6=""),"",IF(NOT(ISNUMBER(_xll.ciqfunctions.udf.CIQ(AR$6,"IQ_TEV",$AI81,$I$2,$I$3))),"",_xll.ciqfunctions.udf.CIQ(AR$6,"IQ_TEV",$AI81,$I$2,$I$3)))</f>
        <v/>
      </c>
      <c r="AS81" s="718" t="str">
        <f>IF(OR($B81="No",AS$6=""),"",IF(NOT(ISNUMBER(_xll.ciqfunctions.udf.CIQ(AS$6,"IQ_TEV",$AI81,$I$2,$I$3))),"",_xll.ciqfunctions.udf.CIQ(AS$6,"IQ_TEV",$AI81,$I$2,$I$3)))</f>
        <v/>
      </c>
      <c r="AT81" s="718" t="str">
        <f>IF(OR($B81="No",AT$6=""),"",IF(NOT(ISNUMBER(_xll.ciqfunctions.udf.CIQ(AT$6,"IQ_TEV",$AI81,$I$2,$I$3))),"",_xll.ciqfunctions.udf.CIQ(AT$6,"IQ_TEV",$AI81,$I$2,$I$3)))</f>
        <v/>
      </c>
      <c r="AV81" s="251">
        <f t="shared" si="69"/>
        <v>43343</v>
      </c>
      <c r="AW81" s="719">
        <f t="shared" si="70"/>
        <v>0.23900366102013026</v>
      </c>
      <c r="AX81" s="719">
        <f t="shared" si="71"/>
        <v>0.39740222945396364</v>
      </c>
      <c r="AY81" s="719" t="e">
        <f t="shared" si="72"/>
        <v>#N/A</v>
      </c>
      <c r="AZ81" s="719" t="e">
        <f t="shared" si="73"/>
        <v>#N/A</v>
      </c>
      <c r="BA81" s="719" t="e">
        <f t="shared" si="74"/>
        <v>#N/A</v>
      </c>
      <c r="BB81" s="719" t="e">
        <f t="shared" si="75"/>
        <v>#N/A</v>
      </c>
      <c r="BC81" s="719" t="e">
        <f t="shared" si="76"/>
        <v>#N/A</v>
      </c>
      <c r="BD81" s="719" t="e">
        <f t="shared" si="77"/>
        <v>#N/A</v>
      </c>
      <c r="BE81" s="719" t="e">
        <f t="shared" si="78"/>
        <v>#N/A</v>
      </c>
      <c r="BF81" s="719" t="e">
        <f t="shared" si="79"/>
        <v>#N/A</v>
      </c>
      <c r="BG81" s="719" t="e">
        <f t="shared" si="80"/>
        <v>#N/A</v>
      </c>
    </row>
    <row r="82" spans="1:59" ht="15" customHeight="1" x14ac:dyDescent="0.2">
      <c r="A82" s="251">
        <f t="shared" si="63"/>
        <v>43350</v>
      </c>
      <c r="B82" s="253" t="str">
        <f t="shared" si="81"/>
        <v>Yes</v>
      </c>
      <c r="C82" s="1033">
        <f>IF(C$6="","",IF(NOT(ISNUMBER(_xll.ciqfunctions.udf.CIQ(C$6,$F$2, $A82, $I$2, $I$3))),IF(C81=C$6,"",C81),_xll.ciqfunctions.udf.CIQ(C$6,$F$2, $A82, $I$2, $I$3)))</f>
        <v>95.83</v>
      </c>
      <c r="D82" s="1033">
        <f>IF(D$6="","",IF(NOT(ISNUMBER(_xll.ciqfunctions.udf.CIQ(D$6,$F$2, $A82, $I$2, $I$3))),IF(D81=D$6,"",D81),_xll.ciqfunctions.udf.CIQ(D$6,$F$2, $A82, $I$2, $I$3)))</f>
        <v>25916.54016</v>
      </c>
      <c r="E82" s="1033">
        <f>IF(E$6="","",IF(NOT(ISNUMBER(_xll.ciqfunctions.udf.CIQ(E$6,$F$2, $A82, $I$2, $I$3))),IF(E81=E$6,"",E81),_xll.ciqfunctions.udf.CIQ(E$6,$F$2, $A82, $I$2, $I$3)))</f>
        <v>8719.6226299999998</v>
      </c>
      <c r="F82" s="1033">
        <f>IF(F$6="","",IF(NOT(ISNUMBER(_xll.ciqfunctions.udf.CIQ(F$6,$F$2, $A82, $I$2, $I$3))),IF(F81=F$6,"",F81),_xll.ciqfunctions.udf.CIQ(F$6,$F$2, $A82, $I$2, $I$3)))</f>
        <v>5324.7001700000001</v>
      </c>
      <c r="G82" s="1033">
        <f>IF(G$6="","",IF(NOT(ISNUMBER(_xll.ciqfunctions.udf.CIQ(G$6,$F$2, $A82, $I$2, $I$3))),IF(G81=G$6,"",G81),_xll.ciqfunctions.udf.CIQ(G$6,$F$2, $A82, $I$2, $I$3)))</f>
        <v>241.46</v>
      </c>
      <c r="H82" s="1033" t="str">
        <f>IF(H$6="","",IF(NOT(ISNUMBER(_xll.ciqfunctions.udf.CIQ(H$6,$F$2, $A82, $I$2, $I$3))),IF(H81=H$6,"",H81),_xll.ciqfunctions.udf.CIQ(H$6,$F$2, $A82, $I$2, $I$3)))</f>
        <v/>
      </c>
      <c r="I82" s="1033" t="str">
        <f>IF(I$6="","",IF(NOT(ISNUMBER(_xll.ciqfunctions.udf.CIQ(I$6,$F$2, $A82, $I$2, $I$3))),IF(I81=I$6,"",I81),_xll.ciqfunctions.udf.CIQ(I$6,$F$2, $A82, $I$2, $I$3)))</f>
        <v/>
      </c>
      <c r="J82" s="1033" t="str">
        <f>IF(J$6="","",IF(NOT(ISNUMBER(_xll.ciqfunctions.udf.CIQ(J$6,$F$2, $A82, $I$2, $I$3))),IF(J81=J$6,"",J81),_xll.ciqfunctions.udf.CIQ(J$6,$F$2, $A82, $I$2, $I$3)))</f>
        <v/>
      </c>
      <c r="K82" s="1033" t="str">
        <f>IF(K$6="","",IF(NOT(ISNUMBER(_xll.ciqfunctions.udf.CIQ(K$6,$F$2, $A82, $I$2, $I$3))),IF(K81=K$6,"",K81),_xll.ciqfunctions.udf.CIQ(K$6,$F$2, $A82, $I$2, $I$3)))</f>
        <v/>
      </c>
      <c r="L82" s="254" t="str">
        <f>IF(L$6="","",IF(NOT(ISNUMBER(_xll.ciqfunctions.udf.CIQ(L$6,$F$2, $A82, $I$2, $I$3))),IF(L81=L$6,"",L81),_xll.ciqfunctions.udf.CIQ(L$6,$F$2, $A82, $I$2, $I$3)))</f>
        <v/>
      </c>
      <c r="M82" s="254" t="str">
        <f>IF(M$6="","",IF(NOT(ISNUMBER(_xll.ciqfunctions.udf.CIQ(M$6,$F$2, $A82, $I$2, $I$3))),IF(M81=M$6,"",M81),_xll.ciqfunctions.udf.CIQ(M$6,$F$2, $A82, $I$2, $I$3)))</f>
        <v/>
      </c>
      <c r="N82" s="254" t="str">
        <f>IF(N$6="","",IF(NOT(ISNUMBER(_xll.ciqfunctions.udf.CIQ(N$6,$F$2, $A82, $I$2, $I$3))),IF(N81=N$6,"",N81),_xll.ciqfunctions.udf.CIQ(N$6,$F$2, $A82, $I$2, $I$3)))</f>
        <v/>
      </c>
      <c r="O82" s="254" t="str">
        <f>IF(O$6="","",IF(NOT(ISNUMBER(_xll.ciqfunctions.udf.CIQ(O$6,$F$2, $A82, $I$2, $I$3))),IF(O81=O$6,"",O81),_xll.ciqfunctions.udf.CIQ(O$6,$F$2, $A82, $I$2, $I$3)))</f>
        <v/>
      </c>
      <c r="P82" s="254" t="str">
        <f>IF(P$6="","",IF(NOT(ISNUMBER(_xll.ciqfunctions.udf.CIQ(P$6,$F$2, $A82, $I$2, $I$3))),IF(P81=P$6,"",P81),_xll.ciqfunctions.udf.CIQ(P$6,$F$2, $A82, $I$2, $I$3)))</f>
        <v/>
      </c>
      <c r="Q82" s="254"/>
      <c r="R82" s="251">
        <f t="shared" si="64"/>
        <v>43350</v>
      </c>
      <c r="S82" s="255">
        <f t="shared" si="66"/>
        <v>0.32949500554938949</v>
      </c>
      <c r="T82" s="255">
        <f t="shared" si="67"/>
        <v>0.25423524651582086</v>
      </c>
      <c r="U82" s="255">
        <f t="shared" si="68"/>
        <v>0.21853559749672957</v>
      </c>
      <c r="V82" s="255">
        <f t="shared" si="82"/>
        <v>0.21298893624596005</v>
      </c>
      <c r="W82" s="255">
        <f t="array" ref="W82">IFERROR(AVERAGE(IF(ISERROR(X82:AG82),"",X82:AG82)),"")</f>
        <v>0.43991889796648587</v>
      </c>
      <c r="X82" s="255">
        <f t="shared" si="83"/>
        <v>0.43991889796648587</v>
      </c>
      <c r="Y82" s="255" t="e">
        <f t="shared" si="54"/>
        <v>#N/A</v>
      </c>
      <c r="Z82" s="255" t="e">
        <f t="shared" si="55"/>
        <v>#N/A</v>
      </c>
      <c r="AA82" s="255" t="e">
        <f t="shared" si="56"/>
        <v>#N/A</v>
      </c>
      <c r="AB82" s="255" t="e">
        <f t="shared" si="57"/>
        <v>#N/A</v>
      </c>
      <c r="AC82" s="255" t="e">
        <f t="shared" si="58"/>
        <v>#N/A</v>
      </c>
      <c r="AD82" s="255" t="e">
        <f t="shared" si="59"/>
        <v>#N/A</v>
      </c>
      <c r="AE82" s="255" t="e">
        <f t="shared" si="60"/>
        <v>#N/A</v>
      </c>
      <c r="AF82" s="255" t="e">
        <f t="shared" si="61"/>
        <v>#N/A</v>
      </c>
      <c r="AG82" s="255" t="e">
        <f t="shared" si="62"/>
        <v>#N/A</v>
      </c>
      <c r="AI82" s="251">
        <f t="shared" si="65"/>
        <v>43350</v>
      </c>
      <c r="AJ82" s="718">
        <f>IF(OR($B82="No",AJ$6=""),"",IF(NOT(ISNUMBER(_xll.ciqfunctions.udf.CIQ(AJ$6,"IQ_TEV",$AI82,$I$2,$I$3))),"",_xll.ciqfunctions.udf.CIQ(AJ$6,"IQ_TEV",$AI82,$I$2,$I$3)))</f>
        <v>321611.63442000002</v>
      </c>
      <c r="AK82" s="718">
        <f>IF(OR($B82="No",AK$6=""),"",IF(NOT(ISNUMBER(_xll.ciqfunctions.udf.CIQ(AK$6,"IQ_TEV",$AI82,$I$2,$I$3))),"",_xll.ciqfunctions.udf.CIQ(AK$6,"IQ_TEV",$AI82,$I$2,$I$3)))</f>
        <v>105642.24120999999</v>
      </c>
      <c r="AL82" s="718" t="str">
        <f>IF(OR($B82="No",AL$6=""),"",IF(NOT(ISNUMBER(_xll.ciqfunctions.udf.CIQ(AL$6,"IQ_TEV",$AI82,$I$2,$I$3))),"",_xll.ciqfunctions.udf.CIQ(AL$6,"IQ_TEV",$AI82,$I$2,$I$3)))</f>
        <v/>
      </c>
      <c r="AM82" s="718" t="str">
        <f>IF(OR($B82="No",AM$6=""),"",IF(NOT(ISNUMBER(_xll.ciqfunctions.udf.CIQ(AM$6,"IQ_TEV",$AI82,$I$2,$I$3))),"",_xll.ciqfunctions.udf.CIQ(AM$6,"IQ_TEV",$AI82,$I$2,$I$3)))</f>
        <v/>
      </c>
      <c r="AN82" s="718" t="str">
        <f>IF(OR($B82="No",AN$6=""),"",IF(NOT(ISNUMBER(_xll.ciqfunctions.udf.CIQ(AN$6,"IQ_TEV",$AI82,$I$2,$I$3))),"",_xll.ciqfunctions.udf.CIQ(AN$6,"IQ_TEV",$AI82,$I$2,$I$3)))</f>
        <v/>
      </c>
      <c r="AO82" s="718" t="str">
        <f>IF(OR($B82="No",AO$6=""),"",IF(NOT(ISNUMBER(_xll.ciqfunctions.udf.CIQ(AO$6,"IQ_TEV",$AI82,$I$2,$I$3))),"",_xll.ciqfunctions.udf.CIQ(AO$6,"IQ_TEV",$AI82,$I$2,$I$3)))</f>
        <v/>
      </c>
      <c r="AP82" s="718" t="str">
        <f>IF(OR($B82="No",AP$6=""),"",IF(NOT(ISNUMBER(_xll.ciqfunctions.udf.CIQ(AP$6,"IQ_TEV",$AI82,$I$2,$I$3))),"",_xll.ciqfunctions.udf.CIQ(AP$6,"IQ_TEV",$AI82,$I$2,$I$3)))</f>
        <v/>
      </c>
      <c r="AQ82" s="718" t="str">
        <f>IF(OR($B82="No",AQ$6=""),"",IF(NOT(ISNUMBER(_xll.ciqfunctions.udf.CIQ(AQ$6,"IQ_TEV",$AI82,$I$2,$I$3))),"",_xll.ciqfunctions.udf.CIQ(AQ$6,"IQ_TEV",$AI82,$I$2,$I$3)))</f>
        <v/>
      </c>
      <c r="AR82" s="718" t="str">
        <f>IF(OR($B82="No",AR$6=""),"",IF(NOT(ISNUMBER(_xll.ciqfunctions.udf.CIQ(AR$6,"IQ_TEV",$AI82,$I$2,$I$3))),"",_xll.ciqfunctions.udf.CIQ(AR$6,"IQ_TEV",$AI82,$I$2,$I$3)))</f>
        <v/>
      </c>
      <c r="AS82" s="718" t="str">
        <f>IF(OR($B82="No",AS$6=""),"",IF(NOT(ISNUMBER(_xll.ciqfunctions.udf.CIQ(AS$6,"IQ_TEV",$AI82,$I$2,$I$3))),"",_xll.ciqfunctions.udf.CIQ(AS$6,"IQ_TEV",$AI82,$I$2,$I$3)))</f>
        <v/>
      </c>
      <c r="AT82" s="718" t="str">
        <f>IF(OR($B82="No",AT$6=""),"",IF(NOT(ISNUMBER(_xll.ciqfunctions.udf.CIQ(AT$6,"IQ_TEV",$AI82,$I$2,$I$3))),"",_xll.ciqfunctions.udf.CIQ(AT$6,"IQ_TEV",$AI82,$I$2,$I$3)))</f>
        <v/>
      </c>
      <c r="AV82" s="251">
        <f t="shared" si="69"/>
        <v>43350</v>
      </c>
      <c r="AW82" s="719">
        <f t="shared" si="70"/>
        <v>0.23195804640071538</v>
      </c>
      <c r="AX82" s="719">
        <f t="shared" si="71"/>
        <v>0.44745441329859803</v>
      </c>
      <c r="AY82" s="719" t="e">
        <f t="shared" si="72"/>
        <v>#N/A</v>
      </c>
      <c r="AZ82" s="719" t="e">
        <f t="shared" si="73"/>
        <v>#N/A</v>
      </c>
      <c r="BA82" s="719" t="e">
        <f t="shared" si="74"/>
        <v>#N/A</v>
      </c>
      <c r="BB82" s="719" t="e">
        <f t="shared" si="75"/>
        <v>#N/A</v>
      </c>
      <c r="BC82" s="719" t="e">
        <f t="shared" si="76"/>
        <v>#N/A</v>
      </c>
      <c r="BD82" s="719" t="e">
        <f t="shared" si="77"/>
        <v>#N/A</v>
      </c>
      <c r="BE82" s="719" t="e">
        <f t="shared" si="78"/>
        <v>#N/A</v>
      </c>
      <c r="BF82" s="719" t="e">
        <f t="shared" si="79"/>
        <v>#N/A</v>
      </c>
      <c r="BG82" s="719" t="e">
        <f t="shared" si="80"/>
        <v>#N/A</v>
      </c>
    </row>
    <row r="83" spans="1:59" ht="15" customHeight="1" x14ac:dyDescent="0.2">
      <c r="A83" s="251">
        <f t="shared" si="63"/>
        <v>43357</v>
      </c>
      <c r="B83" s="253" t="str">
        <f t="shared" si="81"/>
        <v>Yes</v>
      </c>
      <c r="C83" s="1033">
        <f>IF(C$6="","",IF(NOT(ISNUMBER(_xll.ciqfunctions.udf.CIQ(C$6,$F$2, $A83, $I$2, $I$3))),IF(C82=C$6,"",C82),_xll.ciqfunctions.udf.CIQ(C$6,$F$2, $A83, $I$2, $I$3)))</f>
        <v>94.59</v>
      </c>
      <c r="D83" s="1033">
        <f>IF(D$6="","",IF(NOT(ISNUMBER(_xll.ciqfunctions.udf.CIQ(D$6,$F$2, $A83, $I$2, $I$3))),IF(D82=D$6,"",D82),_xll.ciqfunctions.udf.CIQ(D$6,$F$2, $A83, $I$2, $I$3)))</f>
        <v>26154.672979999999</v>
      </c>
      <c r="E83" s="1033">
        <f>IF(E$6="","",IF(NOT(ISNUMBER(_xll.ciqfunctions.udf.CIQ(E$6,$F$2, $A83, $I$2, $I$3))),IF(E82=E$6,"",E82),_xll.ciqfunctions.udf.CIQ(E$6,$F$2, $A83, $I$2, $I$3)))</f>
        <v>8819.7274899999993</v>
      </c>
      <c r="F83" s="1033">
        <f>IF(F$6="","",IF(NOT(ISNUMBER(_xll.ciqfunctions.udf.CIQ(F$6,$F$2, $A83, $I$2, $I$3))),IF(F82=F$6,"",F82),_xll.ciqfunctions.udf.CIQ(F$6,$F$2, $A83, $I$2, $I$3)))</f>
        <v>5359.7951800000001</v>
      </c>
      <c r="G83" s="1033">
        <f>IF(G$6="","",IF(NOT(ISNUMBER(_xll.ciqfunctions.udf.CIQ(G$6,$F$2, $A83, $I$2, $I$3))),IF(G82=G$6,"",G82),_xll.ciqfunctions.udf.CIQ(G$6,$F$2, $A83, $I$2, $I$3)))</f>
        <v>235.38</v>
      </c>
      <c r="H83" s="1033" t="str">
        <f>IF(H$6="","",IF(NOT(ISNUMBER(_xll.ciqfunctions.udf.CIQ(H$6,$F$2, $A83, $I$2, $I$3))),IF(H82=H$6,"",H82),_xll.ciqfunctions.udf.CIQ(H$6,$F$2, $A83, $I$2, $I$3)))</f>
        <v/>
      </c>
      <c r="I83" s="1033" t="str">
        <f>IF(I$6="","",IF(NOT(ISNUMBER(_xll.ciqfunctions.udf.CIQ(I$6,$F$2, $A83, $I$2, $I$3))),IF(I82=I$6,"",I82),_xll.ciqfunctions.udf.CIQ(I$6,$F$2, $A83, $I$2, $I$3)))</f>
        <v/>
      </c>
      <c r="J83" s="1033" t="str">
        <f>IF(J$6="","",IF(NOT(ISNUMBER(_xll.ciqfunctions.udf.CIQ(J$6,$F$2, $A83, $I$2, $I$3))),IF(J82=J$6,"",J82),_xll.ciqfunctions.udf.CIQ(J$6,$F$2, $A83, $I$2, $I$3)))</f>
        <v/>
      </c>
      <c r="K83" s="1033" t="str">
        <f>IF(K$6="","",IF(NOT(ISNUMBER(_xll.ciqfunctions.udf.CIQ(K$6,$F$2, $A83, $I$2, $I$3))),IF(K82=K$6,"",K82),_xll.ciqfunctions.udf.CIQ(K$6,$F$2, $A83, $I$2, $I$3)))</f>
        <v/>
      </c>
      <c r="L83" s="254" t="str">
        <f>IF(L$6="","",IF(NOT(ISNUMBER(_xll.ciqfunctions.udf.CIQ(L$6,$F$2, $A83, $I$2, $I$3))),IF(L82=L$6,"",L82),_xll.ciqfunctions.udf.CIQ(L$6,$F$2, $A83, $I$2, $I$3)))</f>
        <v/>
      </c>
      <c r="M83" s="254" t="str">
        <f>IF(M$6="","",IF(NOT(ISNUMBER(_xll.ciqfunctions.udf.CIQ(M$6,$F$2, $A83, $I$2, $I$3))),IF(M82=M$6,"",M82),_xll.ciqfunctions.udf.CIQ(M$6,$F$2, $A83, $I$2, $I$3)))</f>
        <v/>
      </c>
      <c r="N83" s="254" t="str">
        <f>IF(N$6="","",IF(NOT(ISNUMBER(_xll.ciqfunctions.udf.CIQ(N$6,$F$2, $A83, $I$2, $I$3))),IF(N82=N$6,"",N82),_xll.ciqfunctions.udf.CIQ(N$6,$F$2, $A83, $I$2, $I$3)))</f>
        <v/>
      </c>
      <c r="O83" s="254" t="str">
        <f>IF(O$6="","",IF(NOT(ISNUMBER(_xll.ciqfunctions.udf.CIQ(O$6,$F$2, $A83, $I$2, $I$3))),IF(O82=O$6,"",O82),_xll.ciqfunctions.udf.CIQ(O$6,$F$2, $A83, $I$2, $I$3)))</f>
        <v/>
      </c>
      <c r="P83" s="254" t="str">
        <f>IF(P$6="","",IF(NOT(ISNUMBER(_xll.ciqfunctions.udf.CIQ(P$6,$F$2, $A83, $I$2, $I$3))),IF(P82=P$6,"",P82),_xll.ciqfunctions.udf.CIQ(P$6,$F$2, $A83, $I$2, $I$3)))</f>
        <v/>
      </c>
      <c r="Q83" s="254"/>
      <c r="R83" s="251">
        <f t="shared" si="64"/>
        <v>43357</v>
      </c>
      <c r="S83" s="255">
        <f t="shared" si="66"/>
        <v>0.31229189789123213</v>
      </c>
      <c r="T83" s="255">
        <f t="shared" si="67"/>
        <v>0.26575972371656942</v>
      </c>
      <c r="U83" s="255">
        <f t="shared" si="68"/>
        <v>0.232524888153959</v>
      </c>
      <c r="V83" s="255">
        <f t="shared" si="82"/>
        <v>0.22098372609108319</v>
      </c>
      <c r="W83" s="255">
        <f t="array" ref="W83">IFERROR(AVERAGE(IF(ISERROR(X83:AG83),"",X83:AG83)),"")</f>
        <v>0.40366151827777452</v>
      </c>
      <c r="X83" s="255">
        <f t="shared" si="83"/>
        <v>0.40366151827777452</v>
      </c>
      <c r="Y83" s="255" t="e">
        <f t="shared" si="54"/>
        <v>#N/A</v>
      </c>
      <c r="Z83" s="255" t="e">
        <f t="shared" si="55"/>
        <v>#N/A</v>
      </c>
      <c r="AA83" s="255" t="e">
        <f t="shared" si="56"/>
        <v>#N/A</v>
      </c>
      <c r="AB83" s="255" t="e">
        <f t="shared" si="57"/>
        <v>#N/A</v>
      </c>
      <c r="AC83" s="255" t="e">
        <f t="shared" si="58"/>
        <v>#N/A</v>
      </c>
      <c r="AD83" s="255" t="e">
        <f t="shared" si="59"/>
        <v>#N/A</v>
      </c>
      <c r="AE83" s="255" t="e">
        <f t="shared" si="60"/>
        <v>#N/A</v>
      </c>
      <c r="AF83" s="255" t="e">
        <f t="shared" si="61"/>
        <v>#N/A</v>
      </c>
      <c r="AG83" s="255" t="e">
        <f t="shared" si="62"/>
        <v>#N/A</v>
      </c>
      <c r="AI83" s="251">
        <f t="shared" si="65"/>
        <v>43357</v>
      </c>
      <c r="AJ83" s="718">
        <f>IF(OR($B83="No",AJ$6=""),"",IF(NOT(ISNUMBER(_xll.ciqfunctions.udf.CIQ(AJ$6,"IQ_TEV",$AI83,$I$2,$I$3))),"",_xll.ciqfunctions.udf.CIQ(AJ$6,"IQ_TEV",$AI83,$I$2,$I$3)))</f>
        <v>317980.00354000001</v>
      </c>
      <c r="AK83" s="718">
        <f>IF(OR($B83="No",AK$6=""),"",IF(NOT(ISNUMBER(_xll.ciqfunctions.udf.CIQ(AK$6,"IQ_TEV",$AI83,$I$2,$I$3))),"",_xll.ciqfunctions.udf.CIQ(AK$6,"IQ_TEV",$AI83,$I$2,$I$3)))</f>
        <v>102975.90863000001</v>
      </c>
      <c r="AL83" s="718" t="str">
        <f>IF(OR($B83="No",AL$6=""),"",IF(NOT(ISNUMBER(_xll.ciqfunctions.udf.CIQ(AL$6,"IQ_TEV",$AI83,$I$2,$I$3))),"",_xll.ciqfunctions.udf.CIQ(AL$6,"IQ_TEV",$AI83,$I$2,$I$3)))</f>
        <v/>
      </c>
      <c r="AM83" s="718" t="str">
        <f>IF(OR($B83="No",AM$6=""),"",IF(NOT(ISNUMBER(_xll.ciqfunctions.udf.CIQ(AM$6,"IQ_TEV",$AI83,$I$2,$I$3))),"",_xll.ciqfunctions.udf.CIQ(AM$6,"IQ_TEV",$AI83,$I$2,$I$3)))</f>
        <v/>
      </c>
      <c r="AN83" s="718" t="str">
        <f>IF(OR($B83="No",AN$6=""),"",IF(NOT(ISNUMBER(_xll.ciqfunctions.udf.CIQ(AN$6,"IQ_TEV",$AI83,$I$2,$I$3))),"",_xll.ciqfunctions.udf.CIQ(AN$6,"IQ_TEV",$AI83,$I$2,$I$3)))</f>
        <v/>
      </c>
      <c r="AO83" s="718" t="str">
        <f>IF(OR($B83="No",AO$6=""),"",IF(NOT(ISNUMBER(_xll.ciqfunctions.udf.CIQ(AO$6,"IQ_TEV",$AI83,$I$2,$I$3))),"",_xll.ciqfunctions.udf.CIQ(AO$6,"IQ_TEV",$AI83,$I$2,$I$3)))</f>
        <v/>
      </c>
      <c r="AP83" s="718" t="str">
        <f>IF(OR($B83="No",AP$6=""),"",IF(NOT(ISNUMBER(_xll.ciqfunctions.udf.CIQ(AP$6,"IQ_TEV",$AI83,$I$2,$I$3))),"",_xll.ciqfunctions.udf.CIQ(AP$6,"IQ_TEV",$AI83,$I$2,$I$3)))</f>
        <v/>
      </c>
      <c r="AQ83" s="718" t="str">
        <f>IF(OR($B83="No",AQ$6=""),"",IF(NOT(ISNUMBER(_xll.ciqfunctions.udf.CIQ(AQ$6,"IQ_TEV",$AI83,$I$2,$I$3))),"",_xll.ciqfunctions.udf.CIQ(AQ$6,"IQ_TEV",$AI83,$I$2,$I$3)))</f>
        <v/>
      </c>
      <c r="AR83" s="718" t="str">
        <f>IF(OR($B83="No",AR$6=""),"",IF(NOT(ISNUMBER(_xll.ciqfunctions.udf.CIQ(AR$6,"IQ_TEV",$AI83,$I$2,$I$3))),"",_xll.ciqfunctions.udf.CIQ(AR$6,"IQ_TEV",$AI83,$I$2,$I$3)))</f>
        <v/>
      </c>
      <c r="AS83" s="718" t="str">
        <f>IF(OR($B83="No",AS$6=""),"",IF(NOT(ISNUMBER(_xll.ciqfunctions.udf.CIQ(AS$6,"IQ_TEV",$AI83,$I$2,$I$3))),"",_xll.ciqfunctions.udf.CIQ(AS$6,"IQ_TEV",$AI83,$I$2,$I$3)))</f>
        <v/>
      </c>
      <c r="AT83" s="718" t="str">
        <f>IF(OR($B83="No",AT$6=""),"",IF(NOT(ISNUMBER(_xll.ciqfunctions.udf.CIQ(AT$6,"IQ_TEV",$AI83,$I$2,$I$3))),"",_xll.ciqfunctions.udf.CIQ(AT$6,"IQ_TEV",$AI83,$I$2,$I$3)))</f>
        <v/>
      </c>
      <c r="AV83" s="251">
        <f t="shared" si="69"/>
        <v>43357</v>
      </c>
      <c r="AW83" s="719">
        <f t="shared" si="70"/>
        <v>0.2180468056203817</v>
      </c>
      <c r="AX83" s="719">
        <f t="shared" si="71"/>
        <v>0.41092172697882412</v>
      </c>
      <c r="AY83" s="719" t="e">
        <f t="shared" si="72"/>
        <v>#N/A</v>
      </c>
      <c r="AZ83" s="719" t="e">
        <f t="shared" si="73"/>
        <v>#N/A</v>
      </c>
      <c r="BA83" s="719" t="e">
        <f t="shared" si="74"/>
        <v>#N/A</v>
      </c>
      <c r="BB83" s="719" t="e">
        <f t="shared" si="75"/>
        <v>#N/A</v>
      </c>
      <c r="BC83" s="719" t="e">
        <f t="shared" si="76"/>
        <v>#N/A</v>
      </c>
      <c r="BD83" s="719" t="e">
        <f t="shared" si="77"/>
        <v>#N/A</v>
      </c>
      <c r="BE83" s="719" t="e">
        <f t="shared" si="78"/>
        <v>#N/A</v>
      </c>
      <c r="BF83" s="719" t="e">
        <f t="shared" si="79"/>
        <v>#N/A</v>
      </c>
      <c r="BG83" s="719" t="e">
        <f t="shared" si="80"/>
        <v>#N/A</v>
      </c>
    </row>
    <row r="84" spans="1:59" ht="15" customHeight="1" x14ac:dyDescent="0.2">
      <c r="A84" s="251">
        <f t="shared" si="63"/>
        <v>43364</v>
      </c>
      <c r="B84" s="253" t="str">
        <f t="shared" si="81"/>
        <v>Yes</v>
      </c>
      <c r="C84" s="1033">
        <f>IF(C$6="","",IF(NOT(ISNUMBER(_xll.ciqfunctions.udf.CIQ(C$6,$F$2, $A84, $I$2, $I$3))),IF(C83=C$6,"",C83),_xll.ciqfunctions.udf.CIQ(C$6,$F$2, $A84, $I$2, $I$3)))</f>
        <v>95.9</v>
      </c>
      <c r="D84" s="1033">
        <f>IF(D$6="","",IF(NOT(ISNUMBER(_xll.ciqfunctions.udf.CIQ(D$6,$F$2, $A84, $I$2, $I$3))),IF(D83=D$6,"",D83),_xll.ciqfunctions.udf.CIQ(D$6,$F$2, $A84, $I$2, $I$3)))</f>
        <v>26743.495709999999</v>
      </c>
      <c r="E84" s="1033">
        <f>IF(E$6="","",IF(NOT(ISNUMBER(_xll.ciqfunctions.udf.CIQ(E$6,$F$2, $A84, $I$2, $I$3))),IF(E83=E$6,"",E83),_xll.ciqfunctions.udf.CIQ(E$6,$F$2, $A84, $I$2, $I$3)))</f>
        <v>8909.8073499999991</v>
      </c>
      <c r="F84" s="1033">
        <f>IF(F$6="","",IF(NOT(ISNUMBER(_xll.ciqfunctions.udf.CIQ(F$6,$F$2, $A84, $I$2, $I$3))),IF(F83=F$6,"",F83),_xll.ciqfunctions.udf.CIQ(F$6,$F$2, $A84, $I$2, $I$3)))</f>
        <v>5337.5194799999999</v>
      </c>
      <c r="G84" s="1033">
        <f>IF(G$6="","",IF(NOT(ISNUMBER(_xll.ciqfunctions.udf.CIQ(G$6,$F$2, $A84, $I$2, $I$3))),IF(G83=G$6,"",G83),_xll.ciqfunctions.udf.CIQ(G$6,$F$2, $A84, $I$2, $I$3)))</f>
        <v>234.76</v>
      </c>
      <c r="H84" s="1033" t="str">
        <f>IF(H$6="","",IF(NOT(ISNUMBER(_xll.ciqfunctions.udf.CIQ(H$6,$F$2, $A84, $I$2, $I$3))),IF(H83=H$6,"",H83),_xll.ciqfunctions.udf.CIQ(H$6,$F$2, $A84, $I$2, $I$3)))</f>
        <v/>
      </c>
      <c r="I84" s="1033" t="str">
        <f>IF(I$6="","",IF(NOT(ISNUMBER(_xll.ciqfunctions.udf.CIQ(I$6,$F$2, $A84, $I$2, $I$3))),IF(I83=I$6,"",I83),_xll.ciqfunctions.udf.CIQ(I$6,$F$2, $A84, $I$2, $I$3)))</f>
        <v/>
      </c>
      <c r="J84" s="1033" t="str">
        <f>IF(J$6="","",IF(NOT(ISNUMBER(_xll.ciqfunctions.udf.CIQ(J$6,$F$2, $A84, $I$2, $I$3))),IF(J83=J$6,"",J83),_xll.ciqfunctions.udf.CIQ(J$6,$F$2, $A84, $I$2, $I$3)))</f>
        <v/>
      </c>
      <c r="K84" s="1033" t="str">
        <f>IF(K$6="","",IF(NOT(ISNUMBER(_xll.ciqfunctions.udf.CIQ(K$6,$F$2, $A84, $I$2, $I$3))),IF(K83=K$6,"",K83),_xll.ciqfunctions.udf.CIQ(K$6,$F$2, $A84, $I$2, $I$3)))</f>
        <v/>
      </c>
      <c r="L84" s="254" t="str">
        <f>IF(L$6="","",IF(NOT(ISNUMBER(_xll.ciqfunctions.udf.CIQ(L$6,$F$2, $A84, $I$2, $I$3))),IF(L83=L$6,"",L83),_xll.ciqfunctions.udf.CIQ(L$6,$F$2, $A84, $I$2, $I$3)))</f>
        <v/>
      </c>
      <c r="M84" s="254" t="str">
        <f>IF(M$6="","",IF(NOT(ISNUMBER(_xll.ciqfunctions.udf.CIQ(M$6,$F$2, $A84, $I$2, $I$3))),IF(M83=M$6,"",M83),_xll.ciqfunctions.udf.CIQ(M$6,$F$2, $A84, $I$2, $I$3)))</f>
        <v/>
      </c>
      <c r="N84" s="254" t="str">
        <f>IF(N$6="","",IF(NOT(ISNUMBER(_xll.ciqfunctions.udf.CIQ(N$6,$F$2, $A84, $I$2, $I$3))),IF(N83=N$6,"",N83),_xll.ciqfunctions.udf.CIQ(N$6,$F$2, $A84, $I$2, $I$3)))</f>
        <v/>
      </c>
      <c r="O84" s="254" t="str">
        <f>IF(O$6="","",IF(NOT(ISNUMBER(_xll.ciqfunctions.udf.CIQ(O$6,$F$2, $A84, $I$2, $I$3))),IF(O83=O$6,"",O83),_xll.ciqfunctions.udf.CIQ(O$6,$F$2, $A84, $I$2, $I$3)))</f>
        <v/>
      </c>
      <c r="P84" s="254" t="str">
        <f>IF(P$6="","",IF(NOT(ISNUMBER(_xll.ciqfunctions.udf.CIQ(P$6,$F$2, $A84, $I$2, $I$3))),IF(P83=P$6,"",P83),_xll.ciqfunctions.udf.CIQ(P$6,$F$2, $A84, $I$2, $I$3)))</f>
        <v/>
      </c>
      <c r="Q84" s="254"/>
      <c r="R84" s="251">
        <f t="shared" si="64"/>
        <v>43364</v>
      </c>
      <c r="S84" s="255">
        <f t="shared" si="66"/>
        <v>0.33046614872364044</v>
      </c>
      <c r="T84" s="255">
        <f t="shared" si="67"/>
        <v>0.29425589710068167</v>
      </c>
      <c r="U84" s="255">
        <f t="shared" si="68"/>
        <v>0.24511322146667269</v>
      </c>
      <c r="V84" s="255">
        <f t="shared" si="82"/>
        <v>0.21590922860118322</v>
      </c>
      <c r="W84" s="255">
        <f t="array" ref="W84">IFERROR(AVERAGE(IF(ISERROR(X84:AG84),"",X84:AG84)),"")</f>
        <v>0.39996421969109663</v>
      </c>
      <c r="X84" s="255">
        <f t="shared" si="83"/>
        <v>0.39996421969109663</v>
      </c>
      <c r="Y84" s="255" t="e">
        <f t="shared" si="54"/>
        <v>#N/A</v>
      </c>
      <c r="Z84" s="255" t="e">
        <f t="shared" si="55"/>
        <v>#N/A</v>
      </c>
      <c r="AA84" s="255" t="e">
        <f t="shared" si="56"/>
        <v>#N/A</v>
      </c>
      <c r="AB84" s="255" t="e">
        <f t="shared" si="57"/>
        <v>#N/A</v>
      </c>
      <c r="AC84" s="255" t="e">
        <f t="shared" si="58"/>
        <v>#N/A</v>
      </c>
      <c r="AD84" s="255" t="e">
        <f t="shared" si="59"/>
        <v>#N/A</v>
      </c>
      <c r="AE84" s="255" t="e">
        <f t="shared" si="60"/>
        <v>#N/A</v>
      </c>
      <c r="AF84" s="255" t="e">
        <f t="shared" si="61"/>
        <v>#N/A</v>
      </c>
      <c r="AG84" s="255" t="e">
        <f t="shared" si="62"/>
        <v>#N/A</v>
      </c>
      <c r="AI84" s="251">
        <f t="shared" si="65"/>
        <v>43364</v>
      </c>
      <c r="AJ84" s="718">
        <f>IF(OR($B84="No",AJ$6=""),"",IF(NOT(ISNUMBER(_xll.ciqfunctions.udf.CIQ(AJ$6,"IQ_TEV",$AI84,$I$2,$I$3))),"",_xll.ciqfunctions.udf.CIQ(AJ$6,"IQ_TEV",$AI84,$I$2,$I$3)))</f>
        <v>321816.64584000001</v>
      </c>
      <c r="AK84" s="718">
        <f>IF(OR($B84="No",AK$6=""),"",IF(NOT(ISNUMBER(_xll.ciqfunctions.udf.CIQ(AK$6,"IQ_TEV",$AI84,$I$2,$I$3))),"",_xll.ciqfunctions.udf.CIQ(AK$6,"IQ_TEV",$AI84,$I$2,$I$3)))</f>
        <v>102704.01287000001</v>
      </c>
      <c r="AL84" s="718" t="str">
        <f>IF(OR($B84="No",AL$6=""),"",IF(NOT(ISNUMBER(_xll.ciqfunctions.udf.CIQ(AL$6,"IQ_TEV",$AI84,$I$2,$I$3))),"",_xll.ciqfunctions.udf.CIQ(AL$6,"IQ_TEV",$AI84,$I$2,$I$3)))</f>
        <v/>
      </c>
      <c r="AM84" s="718" t="str">
        <f>IF(OR($B84="No",AM$6=""),"",IF(NOT(ISNUMBER(_xll.ciqfunctions.udf.CIQ(AM$6,"IQ_TEV",$AI84,$I$2,$I$3))),"",_xll.ciqfunctions.udf.CIQ(AM$6,"IQ_TEV",$AI84,$I$2,$I$3)))</f>
        <v/>
      </c>
      <c r="AN84" s="718" t="str">
        <f>IF(OR($B84="No",AN$6=""),"",IF(NOT(ISNUMBER(_xll.ciqfunctions.udf.CIQ(AN$6,"IQ_TEV",$AI84,$I$2,$I$3))),"",_xll.ciqfunctions.udf.CIQ(AN$6,"IQ_TEV",$AI84,$I$2,$I$3)))</f>
        <v/>
      </c>
      <c r="AO84" s="718" t="str">
        <f>IF(OR($B84="No",AO$6=""),"",IF(NOT(ISNUMBER(_xll.ciqfunctions.udf.CIQ(AO$6,"IQ_TEV",$AI84,$I$2,$I$3))),"",_xll.ciqfunctions.udf.CIQ(AO$6,"IQ_TEV",$AI84,$I$2,$I$3)))</f>
        <v/>
      </c>
      <c r="AP84" s="718" t="str">
        <f>IF(OR($B84="No",AP$6=""),"",IF(NOT(ISNUMBER(_xll.ciqfunctions.udf.CIQ(AP$6,"IQ_TEV",$AI84,$I$2,$I$3))),"",_xll.ciqfunctions.udf.CIQ(AP$6,"IQ_TEV",$AI84,$I$2,$I$3)))</f>
        <v/>
      </c>
      <c r="AQ84" s="718" t="str">
        <f>IF(OR($B84="No",AQ$6=""),"",IF(NOT(ISNUMBER(_xll.ciqfunctions.udf.CIQ(AQ$6,"IQ_TEV",$AI84,$I$2,$I$3))),"",_xll.ciqfunctions.udf.CIQ(AQ$6,"IQ_TEV",$AI84,$I$2,$I$3)))</f>
        <v/>
      </c>
      <c r="AR84" s="718" t="str">
        <f>IF(OR($B84="No",AR$6=""),"",IF(NOT(ISNUMBER(_xll.ciqfunctions.udf.CIQ(AR$6,"IQ_TEV",$AI84,$I$2,$I$3))),"",_xll.ciqfunctions.udf.CIQ(AR$6,"IQ_TEV",$AI84,$I$2,$I$3)))</f>
        <v/>
      </c>
      <c r="AS84" s="718" t="str">
        <f>IF(OR($B84="No",AS$6=""),"",IF(NOT(ISNUMBER(_xll.ciqfunctions.udf.CIQ(AS$6,"IQ_TEV",$AI84,$I$2,$I$3))),"",_xll.ciqfunctions.udf.CIQ(AS$6,"IQ_TEV",$AI84,$I$2,$I$3)))</f>
        <v/>
      </c>
      <c r="AT84" s="718" t="str">
        <f>IF(OR($B84="No",AT$6=""),"",IF(NOT(ISNUMBER(_xll.ciqfunctions.udf.CIQ(AT$6,"IQ_TEV",$AI84,$I$2,$I$3))),"",_xll.ciqfunctions.udf.CIQ(AT$6,"IQ_TEV",$AI84,$I$2,$I$3)))</f>
        <v/>
      </c>
      <c r="AV84" s="251">
        <f t="shared" si="69"/>
        <v>43364</v>
      </c>
      <c r="AW84" s="719">
        <f t="shared" si="70"/>
        <v>0.23274335837777915</v>
      </c>
      <c r="AX84" s="719">
        <f t="shared" si="71"/>
        <v>0.40719635431291423</v>
      </c>
      <c r="AY84" s="719" t="e">
        <f t="shared" si="72"/>
        <v>#N/A</v>
      </c>
      <c r="AZ84" s="719" t="e">
        <f t="shared" si="73"/>
        <v>#N/A</v>
      </c>
      <c r="BA84" s="719" t="e">
        <f t="shared" si="74"/>
        <v>#N/A</v>
      </c>
      <c r="BB84" s="719" t="e">
        <f t="shared" si="75"/>
        <v>#N/A</v>
      </c>
      <c r="BC84" s="719" t="e">
        <f t="shared" si="76"/>
        <v>#N/A</v>
      </c>
      <c r="BD84" s="719" t="e">
        <f t="shared" si="77"/>
        <v>#N/A</v>
      </c>
      <c r="BE84" s="719" t="e">
        <f t="shared" si="78"/>
        <v>#N/A</v>
      </c>
      <c r="BF84" s="719" t="e">
        <f t="shared" si="79"/>
        <v>#N/A</v>
      </c>
      <c r="BG84" s="719" t="e">
        <f t="shared" si="80"/>
        <v>#N/A</v>
      </c>
    </row>
    <row r="85" spans="1:59" ht="15" customHeight="1" x14ac:dyDescent="0.2">
      <c r="A85" s="251">
        <f t="shared" si="63"/>
        <v>43371</v>
      </c>
      <c r="B85" s="253" t="str">
        <f t="shared" si="81"/>
        <v>Yes</v>
      </c>
      <c r="C85" s="1033">
        <f>IF(C$6="","",IF(NOT(ISNUMBER(_xll.ciqfunctions.udf.CIQ(C$6,$F$2, $A85, $I$2, $I$3))),IF(C84=C$6,"",C84),_xll.ciqfunctions.udf.CIQ(C$6,$F$2, $A85, $I$2, $I$3)))</f>
        <v>93.91</v>
      </c>
      <c r="D85" s="1033">
        <f>IF(D$6="","",IF(NOT(ISNUMBER(_xll.ciqfunctions.udf.CIQ(D$6,$F$2, $A85, $I$2, $I$3))),IF(D84=D$6,"",D84),_xll.ciqfunctions.udf.CIQ(D$6,$F$2, $A85, $I$2, $I$3)))</f>
        <v>26458.30589</v>
      </c>
      <c r="E85" s="1033">
        <f>IF(E$6="","",IF(NOT(ISNUMBER(_xll.ciqfunctions.udf.CIQ(E$6,$F$2, $A85, $I$2, $I$3))),IF(E84=E$6,"",E84),_xll.ciqfunctions.udf.CIQ(E$6,$F$2, $A85, $I$2, $I$3)))</f>
        <v>8810.2433099999998</v>
      </c>
      <c r="F85" s="1033">
        <f>IF(F$6="","",IF(NOT(ISNUMBER(_xll.ciqfunctions.udf.CIQ(F$6,$F$2, $A85, $I$2, $I$3))),IF(F84=F$6,"",F84),_xll.ciqfunctions.udf.CIQ(F$6,$F$2, $A85, $I$2, $I$3)))</f>
        <v>5307.0804799999996</v>
      </c>
      <c r="G85" s="1033">
        <f>IF(G$6="","",IF(NOT(ISNUMBER(_xll.ciqfunctions.udf.CIQ(G$6,$F$2, $A85, $I$2, $I$3))),IF(G84=G$6,"",G84),_xll.ciqfunctions.udf.CIQ(G$6,$F$2, $A85, $I$2, $I$3)))</f>
        <v>234.88</v>
      </c>
      <c r="H85" s="1033" t="str">
        <f>IF(H$6="","",IF(NOT(ISNUMBER(_xll.ciqfunctions.udf.CIQ(H$6,$F$2, $A85, $I$2, $I$3))),IF(H84=H$6,"",H84),_xll.ciqfunctions.udf.CIQ(H$6,$F$2, $A85, $I$2, $I$3)))</f>
        <v/>
      </c>
      <c r="I85" s="1033" t="str">
        <f>IF(I$6="","",IF(NOT(ISNUMBER(_xll.ciqfunctions.udf.CIQ(I$6,$F$2, $A85, $I$2, $I$3))),IF(I84=I$6,"",I84),_xll.ciqfunctions.udf.CIQ(I$6,$F$2, $A85, $I$2, $I$3)))</f>
        <v/>
      </c>
      <c r="J85" s="1033" t="str">
        <f>IF(J$6="","",IF(NOT(ISNUMBER(_xll.ciqfunctions.udf.CIQ(J$6,$F$2, $A85, $I$2, $I$3))),IF(J84=J$6,"",J84),_xll.ciqfunctions.udf.CIQ(J$6,$F$2, $A85, $I$2, $I$3)))</f>
        <v/>
      </c>
      <c r="K85" s="1033" t="str">
        <f>IF(K$6="","",IF(NOT(ISNUMBER(_xll.ciqfunctions.udf.CIQ(K$6,$F$2, $A85, $I$2, $I$3))),IF(K84=K$6,"",K84),_xll.ciqfunctions.udf.CIQ(K$6,$F$2, $A85, $I$2, $I$3)))</f>
        <v/>
      </c>
      <c r="L85" s="254" t="str">
        <f>IF(L$6="","",IF(NOT(ISNUMBER(_xll.ciqfunctions.udf.CIQ(L$6,$F$2, $A85, $I$2, $I$3))),IF(L84=L$6,"",L84),_xll.ciqfunctions.udf.CIQ(L$6,$F$2, $A85, $I$2, $I$3)))</f>
        <v/>
      </c>
      <c r="M85" s="254" t="str">
        <f>IF(M$6="","",IF(NOT(ISNUMBER(_xll.ciqfunctions.udf.CIQ(M$6,$F$2, $A85, $I$2, $I$3))),IF(M84=M$6,"",M84),_xll.ciqfunctions.udf.CIQ(M$6,$F$2, $A85, $I$2, $I$3)))</f>
        <v/>
      </c>
      <c r="N85" s="254" t="str">
        <f>IF(N$6="","",IF(NOT(ISNUMBER(_xll.ciqfunctions.udf.CIQ(N$6,$F$2, $A85, $I$2, $I$3))),IF(N84=N$6,"",N84),_xll.ciqfunctions.udf.CIQ(N$6,$F$2, $A85, $I$2, $I$3)))</f>
        <v/>
      </c>
      <c r="O85" s="254" t="str">
        <f>IF(O$6="","",IF(NOT(ISNUMBER(_xll.ciqfunctions.udf.CIQ(O$6,$F$2, $A85, $I$2, $I$3))),IF(O84=O$6,"",O84),_xll.ciqfunctions.udf.CIQ(O$6,$F$2, $A85, $I$2, $I$3)))</f>
        <v/>
      </c>
      <c r="P85" s="254" t="str">
        <f>IF(P$6="","",IF(NOT(ISNUMBER(_xll.ciqfunctions.udf.CIQ(P$6,$F$2, $A85, $I$2, $I$3))),IF(P84=P$6,"",P84),_xll.ciqfunctions.udf.CIQ(P$6,$F$2, $A85, $I$2, $I$3)))</f>
        <v/>
      </c>
      <c r="Q85" s="254"/>
      <c r="R85" s="251">
        <f t="shared" si="64"/>
        <v>43371</v>
      </c>
      <c r="S85" s="255">
        <f t="shared" si="66"/>
        <v>0.30285793562708108</v>
      </c>
      <c r="T85" s="255">
        <f t="shared" si="67"/>
        <v>0.28045408860374454</v>
      </c>
      <c r="U85" s="255">
        <f t="shared" si="68"/>
        <v>0.23119950844047188</v>
      </c>
      <c r="V85" s="255">
        <f t="shared" si="82"/>
        <v>0.20897509727893238</v>
      </c>
      <c r="W85" s="255">
        <f t="array" ref="W85">IFERROR(AVERAGE(IF(ISERROR(X85:AG85),"",X85:AG85)),"")</f>
        <v>0.40067982586916329</v>
      </c>
      <c r="X85" s="255">
        <f t="shared" si="83"/>
        <v>0.40067982586916329</v>
      </c>
      <c r="Y85" s="255" t="e">
        <f t="shared" si="54"/>
        <v>#N/A</v>
      </c>
      <c r="Z85" s="255" t="e">
        <f t="shared" si="55"/>
        <v>#N/A</v>
      </c>
      <c r="AA85" s="255" t="e">
        <f t="shared" si="56"/>
        <v>#N/A</v>
      </c>
      <c r="AB85" s="255" t="e">
        <f t="shared" si="57"/>
        <v>#N/A</v>
      </c>
      <c r="AC85" s="255" t="e">
        <f t="shared" si="58"/>
        <v>#N/A</v>
      </c>
      <c r="AD85" s="255" t="e">
        <f t="shared" si="59"/>
        <v>#N/A</v>
      </c>
      <c r="AE85" s="255" t="e">
        <f t="shared" si="60"/>
        <v>#N/A</v>
      </c>
      <c r="AF85" s="255" t="e">
        <f t="shared" si="61"/>
        <v>#N/A</v>
      </c>
      <c r="AG85" s="255" t="e">
        <f t="shared" si="62"/>
        <v>#N/A</v>
      </c>
      <c r="AI85" s="251">
        <f t="shared" si="65"/>
        <v>43371</v>
      </c>
      <c r="AJ85" s="718">
        <f>IF(OR($B85="No",AJ$6=""),"",IF(NOT(ISNUMBER(_xll.ciqfunctions.udf.CIQ(AJ$6,"IQ_TEV",$AI85,$I$2,$I$3))),"",_xll.ciqfunctions.udf.CIQ(AJ$6,"IQ_TEV",$AI85,$I$2,$I$3)))</f>
        <v>315988.46402999997</v>
      </c>
      <c r="AK85" s="718">
        <f>IF(OR($B85="No",AK$6=""),"",IF(NOT(ISNUMBER(_xll.ciqfunctions.udf.CIQ(AK$6,"IQ_TEV",$AI85,$I$2,$I$3))),"",_xll.ciqfunctions.udf.CIQ(AK$6,"IQ_TEV",$AI85,$I$2,$I$3)))</f>
        <v>102756.63785</v>
      </c>
      <c r="AL85" s="718" t="str">
        <f>IF(OR($B85="No",AL$6=""),"",IF(NOT(ISNUMBER(_xll.ciqfunctions.udf.CIQ(AL$6,"IQ_TEV",$AI85,$I$2,$I$3))),"",_xll.ciqfunctions.udf.CIQ(AL$6,"IQ_TEV",$AI85,$I$2,$I$3)))</f>
        <v/>
      </c>
      <c r="AM85" s="718" t="str">
        <f>IF(OR($B85="No",AM$6=""),"",IF(NOT(ISNUMBER(_xll.ciqfunctions.udf.CIQ(AM$6,"IQ_TEV",$AI85,$I$2,$I$3))),"",_xll.ciqfunctions.udf.CIQ(AM$6,"IQ_TEV",$AI85,$I$2,$I$3)))</f>
        <v/>
      </c>
      <c r="AN85" s="718" t="str">
        <f>IF(OR($B85="No",AN$6=""),"",IF(NOT(ISNUMBER(_xll.ciqfunctions.udf.CIQ(AN$6,"IQ_TEV",$AI85,$I$2,$I$3))),"",_xll.ciqfunctions.udf.CIQ(AN$6,"IQ_TEV",$AI85,$I$2,$I$3)))</f>
        <v/>
      </c>
      <c r="AO85" s="718" t="str">
        <f>IF(OR($B85="No",AO$6=""),"",IF(NOT(ISNUMBER(_xll.ciqfunctions.udf.CIQ(AO$6,"IQ_TEV",$AI85,$I$2,$I$3))),"",_xll.ciqfunctions.udf.CIQ(AO$6,"IQ_TEV",$AI85,$I$2,$I$3)))</f>
        <v/>
      </c>
      <c r="AP85" s="718" t="str">
        <f>IF(OR($B85="No",AP$6=""),"",IF(NOT(ISNUMBER(_xll.ciqfunctions.udf.CIQ(AP$6,"IQ_TEV",$AI85,$I$2,$I$3))),"",_xll.ciqfunctions.udf.CIQ(AP$6,"IQ_TEV",$AI85,$I$2,$I$3)))</f>
        <v/>
      </c>
      <c r="AQ85" s="718" t="str">
        <f>IF(OR($B85="No",AQ$6=""),"",IF(NOT(ISNUMBER(_xll.ciqfunctions.udf.CIQ(AQ$6,"IQ_TEV",$AI85,$I$2,$I$3))),"",_xll.ciqfunctions.udf.CIQ(AQ$6,"IQ_TEV",$AI85,$I$2,$I$3)))</f>
        <v/>
      </c>
      <c r="AR85" s="718" t="str">
        <f>IF(OR($B85="No",AR$6=""),"",IF(NOT(ISNUMBER(_xll.ciqfunctions.udf.CIQ(AR$6,"IQ_TEV",$AI85,$I$2,$I$3))),"",_xll.ciqfunctions.udf.CIQ(AR$6,"IQ_TEV",$AI85,$I$2,$I$3)))</f>
        <v/>
      </c>
      <c r="AS85" s="718" t="str">
        <f>IF(OR($B85="No",AS$6=""),"",IF(NOT(ISNUMBER(_xll.ciqfunctions.udf.CIQ(AS$6,"IQ_TEV",$AI85,$I$2,$I$3))),"",_xll.ciqfunctions.udf.CIQ(AS$6,"IQ_TEV",$AI85,$I$2,$I$3)))</f>
        <v/>
      </c>
      <c r="AT85" s="718" t="str">
        <f>IF(OR($B85="No",AT$6=""),"",IF(NOT(ISNUMBER(_xll.ciqfunctions.udf.CIQ(AT$6,"IQ_TEV",$AI85,$I$2,$I$3))),"",_xll.ciqfunctions.udf.CIQ(AT$6,"IQ_TEV",$AI85,$I$2,$I$3)))</f>
        <v/>
      </c>
      <c r="AV85" s="251">
        <f t="shared" si="69"/>
        <v>43371</v>
      </c>
      <c r="AW85" s="719">
        <f t="shared" si="70"/>
        <v>0.21041806069486246</v>
      </c>
      <c r="AX85" s="719">
        <f t="shared" si="71"/>
        <v>0.40791739410417849</v>
      </c>
      <c r="AY85" s="719" t="e">
        <f t="shared" si="72"/>
        <v>#N/A</v>
      </c>
      <c r="AZ85" s="719" t="e">
        <f t="shared" si="73"/>
        <v>#N/A</v>
      </c>
      <c r="BA85" s="719" t="e">
        <f t="shared" si="74"/>
        <v>#N/A</v>
      </c>
      <c r="BB85" s="719" t="e">
        <f t="shared" si="75"/>
        <v>#N/A</v>
      </c>
      <c r="BC85" s="719" t="e">
        <f t="shared" si="76"/>
        <v>#N/A</v>
      </c>
      <c r="BD85" s="719" t="e">
        <f t="shared" si="77"/>
        <v>#N/A</v>
      </c>
      <c r="BE85" s="719" t="e">
        <f t="shared" si="78"/>
        <v>#N/A</v>
      </c>
      <c r="BF85" s="719" t="e">
        <f t="shared" si="79"/>
        <v>#N/A</v>
      </c>
      <c r="BG85" s="719" t="e">
        <f t="shared" si="80"/>
        <v>#N/A</v>
      </c>
    </row>
    <row r="86" spans="1:59" ht="15" customHeight="1" x14ac:dyDescent="0.2">
      <c r="A86" s="251">
        <f t="shared" si="63"/>
        <v>43378</v>
      </c>
      <c r="B86" s="253" t="str">
        <f t="shared" si="81"/>
        <v>Yes</v>
      </c>
      <c r="C86" s="1033">
        <f>IF(C$6="","",IF(NOT(ISNUMBER(_xll.ciqfunctions.udf.CIQ(C$6,$F$2, $A86, $I$2, $I$3))),IF(C85=C$6,"",C85),_xll.ciqfunctions.udf.CIQ(C$6,$F$2, $A86, $I$2, $I$3)))</f>
        <v>93.31</v>
      </c>
      <c r="D86" s="1033">
        <f>IF(D$6="","",IF(NOT(ISNUMBER(_xll.ciqfunctions.udf.CIQ(D$6,$F$2, $A86, $I$2, $I$3))),IF(D85=D$6,"",D85),_xll.ciqfunctions.udf.CIQ(D$6,$F$2, $A86, $I$2, $I$3)))</f>
        <v>26447.050179999998</v>
      </c>
      <c r="E86" s="1033">
        <f>IF(E$6="","",IF(NOT(ISNUMBER(_xll.ciqfunctions.udf.CIQ(E$6,$F$2, $A86, $I$2, $I$3))),IF(E85=E$6,"",E85),_xll.ciqfunctions.udf.CIQ(E$6,$F$2, $A86, $I$2, $I$3)))</f>
        <v>8792.5940499999997</v>
      </c>
      <c r="F86" s="1033">
        <f>IF(F$6="","",IF(NOT(ISNUMBER(_xll.ciqfunctions.udf.CIQ(F$6,$F$2, $A86, $I$2, $I$3))),IF(F85=F$6,"",F85),_xll.ciqfunctions.udf.CIQ(F$6,$F$2, $A86, $I$2, $I$3)))</f>
        <v>5018.6158599999999</v>
      </c>
      <c r="G86" s="1033">
        <f>IF(G$6="","",IF(NOT(ISNUMBER(_xll.ciqfunctions.udf.CIQ(G$6,$F$2, $A86, $I$2, $I$3))),IF(G85=G$6,"",G85),_xll.ciqfunctions.udf.CIQ(G$6,$F$2, $A86, $I$2, $I$3)))</f>
        <v>218.82</v>
      </c>
      <c r="H86" s="1033" t="str">
        <f>IF(H$6="","",IF(NOT(ISNUMBER(_xll.ciqfunctions.udf.CIQ(H$6,$F$2, $A86, $I$2, $I$3))),IF(H85=H$6,"",H85),_xll.ciqfunctions.udf.CIQ(H$6,$F$2, $A86, $I$2, $I$3)))</f>
        <v/>
      </c>
      <c r="I86" s="1033" t="str">
        <f>IF(I$6="","",IF(NOT(ISNUMBER(_xll.ciqfunctions.udf.CIQ(I$6,$F$2, $A86, $I$2, $I$3))),IF(I85=I$6,"",I85),_xll.ciqfunctions.udf.CIQ(I$6,$F$2, $A86, $I$2, $I$3)))</f>
        <v/>
      </c>
      <c r="J86" s="1033" t="str">
        <f>IF(J$6="","",IF(NOT(ISNUMBER(_xll.ciqfunctions.udf.CIQ(J$6,$F$2, $A86, $I$2, $I$3))),IF(J85=J$6,"",J85),_xll.ciqfunctions.udf.CIQ(J$6,$F$2, $A86, $I$2, $I$3)))</f>
        <v/>
      </c>
      <c r="K86" s="1033" t="str">
        <f>IF(K$6="","",IF(NOT(ISNUMBER(_xll.ciqfunctions.udf.CIQ(K$6,$F$2, $A86, $I$2, $I$3))),IF(K85=K$6,"",K85),_xll.ciqfunctions.udf.CIQ(K$6,$F$2, $A86, $I$2, $I$3)))</f>
        <v/>
      </c>
      <c r="L86" s="254" t="str">
        <f>IF(L$6="","",IF(NOT(ISNUMBER(_xll.ciqfunctions.udf.CIQ(L$6,$F$2, $A86, $I$2, $I$3))),IF(L85=L$6,"",L85),_xll.ciqfunctions.udf.CIQ(L$6,$F$2, $A86, $I$2, $I$3)))</f>
        <v/>
      </c>
      <c r="M86" s="254" t="str">
        <f>IF(M$6="","",IF(NOT(ISNUMBER(_xll.ciqfunctions.udf.CIQ(M$6,$F$2, $A86, $I$2, $I$3))),IF(M85=M$6,"",M85),_xll.ciqfunctions.udf.CIQ(M$6,$F$2, $A86, $I$2, $I$3)))</f>
        <v/>
      </c>
      <c r="N86" s="254" t="str">
        <f>IF(N$6="","",IF(NOT(ISNUMBER(_xll.ciqfunctions.udf.CIQ(N$6,$F$2, $A86, $I$2, $I$3))),IF(N85=N$6,"",N85),_xll.ciqfunctions.udf.CIQ(N$6,$F$2, $A86, $I$2, $I$3)))</f>
        <v/>
      </c>
      <c r="O86" s="254" t="str">
        <f>IF(O$6="","",IF(NOT(ISNUMBER(_xll.ciqfunctions.udf.CIQ(O$6,$F$2, $A86, $I$2, $I$3))),IF(O85=O$6,"",O85),_xll.ciqfunctions.udf.CIQ(O$6,$F$2, $A86, $I$2, $I$3)))</f>
        <v/>
      </c>
      <c r="P86" s="254" t="str">
        <f>IF(P$6="","",IF(NOT(ISNUMBER(_xll.ciqfunctions.udf.CIQ(P$6,$F$2, $A86, $I$2, $I$3))),IF(P85=P$6,"",P85),_xll.ciqfunctions.udf.CIQ(P$6,$F$2, $A86, $I$2, $I$3)))</f>
        <v/>
      </c>
      <c r="Q86" s="254"/>
      <c r="R86" s="251">
        <f t="shared" si="64"/>
        <v>43378</v>
      </c>
      <c r="S86" s="255">
        <f t="shared" si="66"/>
        <v>0.29453385127635956</v>
      </c>
      <c r="T86" s="255">
        <f t="shared" si="67"/>
        <v>0.27990936665708777</v>
      </c>
      <c r="U86" s="255">
        <f t="shared" si="68"/>
        <v>0.22873308844822549</v>
      </c>
      <c r="V86" s="255">
        <f t="shared" si="82"/>
        <v>0.14326165212951381</v>
      </c>
      <c r="W86" s="255">
        <f t="array" ref="W86">IFERROR(AVERAGE(IF(ISERROR(X86:AG86),"",X86:AG86)),"")</f>
        <v>0.30490786570457384</v>
      </c>
      <c r="X86" s="255">
        <f t="shared" si="83"/>
        <v>0.30490786570457384</v>
      </c>
      <c r="Y86" s="255" t="e">
        <f t="shared" si="54"/>
        <v>#N/A</v>
      </c>
      <c r="Z86" s="255" t="e">
        <f t="shared" si="55"/>
        <v>#N/A</v>
      </c>
      <c r="AA86" s="255" t="e">
        <f t="shared" si="56"/>
        <v>#N/A</v>
      </c>
      <c r="AB86" s="255" t="e">
        <f t="shared" si="57"/>
        <v>#N/A</v>
      </c>
      <c r="AC86" s="255" t="e">
        <f t="shared" si="58"/>
        <v>#N/A</v>
      </c>
      <c r="AD86" s="255" t="e">
        <f t="shared" si="59"/>
        <v>#N/A</v>
      </c>
      <c r="AE86" s="255" t="e">
        <f t="shared" si="60"/>
        <v>#N/A</v>
      </c>
      <c r="AF86" s="255" t="e">
        <f t="shared" si="61"/>
        <v>#N/A</v>
      </c>
      <c r="AG86" s="255" t="e">
        <f t="shared" si="62"/>
        <v>#N/A</v>
      </c>
      <c r="AI86" s="251">
        <f t="shared" si="65"/>
        <v>43378</v>
      </c>
      <c r="AJ86" s="718">
        <f>IF(OR($B86="No",AJ$6=""),"",IF(NOT(ISNUMBER(_xll.ciqfunctions.udf.CIQ(AJ$6,"IQ_TEV",$AI86,$I$2,$I$3))),"",_xll.ciqfunctions.udf.CIQ(AJ$6,"IQ_TEV",$AI86,$I$2,$I$3)))</f>
        <v>314231.22328999999</v>
      </c>
      <c r="AK86" s="718">
        <f>IF(OR($B86="No",AK$6=""),"",IF(NOT(ISNUMBER(_xll.ciqfunctions.udf.CIQ(AK$6,"IQ_TEV",$AI86,$I$2,$I$3))),"",_xll.ciqfunctions.udf.CIQ(AK$6,"IQ_TEV",$AI86,$I$2,$I$3)))</f>
        <v>95416.51698</v>
      </c>
      <c r="AL86" s="718" t="str">
        <f>IF(OR($B86="No",AL$6=""),"",IF(NOT(ISNUMBER(_xll.ciqfunctions.udf.CIQ(AL$6,"IQ_TEV",$AI86,$I$2,$I$3))),"",_xll.ciqfunctions.udf.CIQ(AL$6,"IQ_TEV",$AI86,$I$2,$I$3)))</f>
        <v/>
      </c>
      <c r="AM86" s="718" t="str">
        <f>IF(OR($B86="No",AM$6=""),"",IF(NOT(ISNUMBER(_xll.ciqfunctions.udf.CIQ(AM$6,"IQ_TEV",$AI86,$I$2,$I$3))),"",_xll.ciqfunctions.udf.CIQ(AM$6,"IQ_TEV",$AI86,$I$2,$I$3)))</f>
        <v/>
      </c>
      <c r="AN86" s="718" t="str">
        <f>IF(OR($B86="No",AN$6=""),"",IF(NOT(ISNUMBER(_xll.ciqfunctions.udf.CIQ(AN$6,"IQ_TEV",$AI86,$I$2,$I$3))),"",_xll.ciqfunctions.udf.CIQ(AN$6,"IQ_TEV",$AI86,$I$2,$I$3)))</f>
        <v/>
      </c>
      <c r="AO86" s="718" t="str">
        <f>IF(OR($B86="No",AO$6=""),"",IF(NOT(ISNUMBER(_xll.ciqfunctions.udf.CIQ(AO$6,"IQ_TEV",$AI86,$I$2,$I$3))),"",_xll.ciqfunctions.udf.CIQ(AO$6,"IQ_TEV",$AI86,$I$2,$I$3)))</f>
        <v/>
      </c>
      <c r="AP86" s="718" t="str">
        <f>IF(OR($B86="No",AP$6=""),"",IF(NOT(ISNUMBER(_xll.ciqfunctions.udf.CIQ(AP$6,"IQ_TEV",$AI86,$I$2,$I$3))),"",_xll.ciqfunctions.udf.CIQ(AP$6,"IQ_TEV",$AI86,$I$2,$I$3)))</f>
        <v/>
      </c>
      <c r="AQ86" s="718" t="str">
        <f>IF(OR($B86="No",AQ$6=""),"",IF(NOT(ISNUMBER(_xll.ciqfunctions.udf.CIQ(AQ$6,"IQ_TEV",$AI86,$I$2,$I$3))),"",_xll.ciqfunctions.udf.CIQ(AQ$6,"IQ_TEV",$AI86,$I$2,$I$3)))</f>
        <v/>
      </c>
      <c r="AR86" s="718" t="str">
        <f>IF(OR($B86="No",AR$6=""),"",IF(NOT(ISNUMBER(_xll.ciqfunctions.udf.CIQ(AR$6,"IQ_TEV",$AI86,$I$2,$I$3))),"",_xll.ciqfunctions.udf.CIQ(AR$6,"IQ_TEV",$AI86,$I$2,$I$3)))</f>
        <v/>
      </c>
      <c r="AS86" s="718" t="str">
        <f>IF(OR($B86="No",AS$6=""),"",IF(NOT(ISNUMBER(_xll.ciqfunctions.udf.CIQ(AS$6,"IQ_TEV",$AI86,$I$2,$I$3))),"",_xll.ciqfunctions.udf.CIQ(AS$6,"IQ_TEV",$AI86,$I$2,$I$3)))</f>
        <v/>
      </c>
      <c r="AT86" s="718" t="str">
        <f>IF(OR($B86="No",AT$6=""),"",IF(NOT(ISNUMBER(_xll.ciqfunctions.udf.CIQ(AT$6,"IQ_TEV",$AI86,$I$2,$I$3))),"",_xll.ciqfunctions.udf.CIQ(AT$6,"IQ_TEV",$AI86,$I$2,$I$3)))</f>
        <v/>
      </c>
      <c r="AV86" s="251">
        <f t="shared" si="69"/>
        <v>43378</v>
      </c>
      <c r="AW86" s="719">
        <f t="shared" si="70"/>
        <v>0.20368681518811882</v>
      </c>
      <c r="AX86" s="719">
        <f t="shared" si="71"/>
        <v>0.30734691939882985</v>
      </c>
      <c r="AY86" s="719" t="e">
        <f t="shared" si="72"/>
        <v>#N/A</v>
      </c>
      <c r="AZ86" s="719" t="e">
        <f t="shared" si="73"/>
        <v>#N/A</v>
      </c>
      <c r="BA86" s="719" t="e">
        <f t="shared" si="74"/>
        <v>#N/A</v>
      </c>
      <c r="BB86" s="719" t="e">
        <f t="shared" si="75"/>
        <v>#N/A</v>
      </c>
      <c r="BC86" s="719" t="e">
        <f t="shared" si="76"/>
        <v>#N/A</v>
      </c>
      <c r="BD86" s="719" t="e">
        <f t="shared" si="77"/>
        <v>#N/A</v>
      </c>
      <c r="BE86" s="719" t="e">
        <f t="shared" si="78"/>
        <v>#N/A</v>
      </c>
      <c r="BF86" s="719" t="e">
        <f t="shared" si="79"/>
        <v>#N/A</v>
      </c>
      <c r="BG86" s="719" t="e">
        <f t="shared" si="80"/>
        <v>#N/A</v>
      </c>
    </row>
    <row r="87" spans="1:59" ht="15" customHeight="1" x14ac:dyDescent="0.2">
      <c r="A87" s="251">
        <f t="shared" si="63"/>
        <v>43385</v>
      </c>
      <c r="B87" s="253" t="str">
        <f t="shared" si="81"/>
        <v>Yes</v>
      </c>
      <c r="C87" s="1033">
        <f>IF(C$6="","",IF(NOT(ISNUMBER(_xll.ciqfunctions.udf.CIQ(C$6,$F$2, $A87, $I$2, $I$3))),IF(C86=C$6,"",C86),_xll.ciqfunctions.udf.CIQ(C$6,$F$2, $A87, $I$2, $I$3)))</f>
        <v>94.81</v>
      </c>
      <c r="D87" s="1033">
        <f>IF(D$6="","",IF(NOT(ISNUMBER(_xll.ciqfunctions.udf.CIQ(D$6,$F$2, $A87, $I$2, $I$3))),IF(D86=D$6,"",D86),_xll.ciqfunctions.udf.CIQ(D$6,$F$2, $A87, $I$2, $I$3)))</f>
        <v>25339.99022</v>
      </c>
      <c r="E87" s="1033">
        <f>IF(E$6="","",IF(NOT(ISNUMBER(_xll.ciqfunctions.udf.CIQ(E$6,$F$2, $A87, $I$2, $I$3))),IF(E86=E$6,"",E86),_xll.ciqfunctions.udf.CIQ(E$6,$F$2, $A87, $I$2, $I$3)))</f>
        <v>8405.1147700000001</v>
      </c>
      <c r="F87" s="1033">
        <f>IF(F$6="","",IF(NOT(ISNUMBER(_xll.ciqfunctions.udf.CIQ(F$6,$F$2, $A87, $I$2, $I$3))),IF(F86=F$6,"",F86),_xll.ciqfunctions.udf.CIQ(F$6,$F$2, $A87, $I$2, $I$3)))</f>
        <v>4925.7330899999997</v>
      </c>
      <c r="G87" s="1033">
        <f>IF(G$6="","",IF(NOT(ISNUMBER(_xll.ciqfunctions.udf.CIQ(G$6,$F$2, $A87, $I$2, $I$3))),IF(G86=G$6,"",G86),_xll.ciqfunctions.udf.CIQ(G$6,$F$2, $A87, $I$2, $I$3)))</f>
        <v>226.95</v>
      </c>
      <c r="H87" s="1033" t="str">
        <f>IF(H$6="","",IF(NOT(ISNUMBER(_xll.ciqfunctions.udf.CIQ(H$6,$F$2, $A87, $I$2, $I$3))),IF(H86=H$6,"",H86),_xll.ciqfunctions.udf.CIQ(H$6,$F$2, $A87, $I$2, $I$3)))</f>
        <v/>
      </c>
      <c r="I87" s="1033" t="str">
        <f>IF(I$6="","",IF(NOT(ISNUMBER(_xll.ciqfunctions.udf.CIQ(I$6,$F$2, $A87, $I$2, $I$3))),IF(I86=I$6,"",I86),_xll.ciqfunctions.udf.CIQ(I$6,$F$2, $A87, $I$2, $I$3)))</f>
        <v/>
      </c>
      <c r="J87" s="1033" t="str">
        <f>IF(J$6="","",IF(NOT(ISNUMBER(_xll.ciqfunctions.udf.CIQ(J$6,$F$2, $A87, $I$2, $I$3))),IF(J86=J$6,"",J86),_xll.ciqfunctions.udf.CIQ(J$6,$F$2, $A87, $I$2, $I$3)))</f>
        <v/>
      </c>
      <c r="K87" s="1033" t="str">
        <f>IF(K$6="","",IF(NOT(ISNUMBER(_xll.ciqfunctions.udf.CIQ(K$6,$F$2, $A87, $I$2, $I$3))),IF(K86=K$6,"",K86),_xll.ciqfunctions.udf.CIQ(K$6,$F$2, $A87, $I$2, $I$3)))</f>
        <v/>
      </c>
      <c r="L87" s="254" t="str">
        <f>IF(L$6="","",IF(NOT(ISNUMBER(_xll.ciqfunctions.udf.CIQ(L$6,$F$2, $A87, $I$2, $I$3))),IF(L86=L$6,"",L86),_xll.ciqfunctions.udf.CIQ(L$6,$F$2, $A87, $I$2, $I$3)))</f>
        <v/>
      </c>
      <c r="M87" s="254" t="str">
        <f>IF(M$6="","",IF(NOT(ISNUMBER(_xll.ciqfunctions.udf.CIQ(M$6,$F$2, $A87, $I$2, $I$3))),IF(M86=M$6,"",M86),_xll.ciqfunctions.udf.CIQ(M$6,$F$2, $A87, $I$2, $I$3)))</f>
        <v/>
      </c>
      <c r="N87" s="254" t="str">
        <f>IF(N$6="","",IF(NOT(ISNUMBER(_xll.ciqfunctions.udf.CIQ(N$6,$F$2, $A87, $I$2, $I$3))),IF(N86=N$6,"",N86),_xll.ciqfunctions.udf.CIQ(N$6,$F$2, $A87, $I$2, $I$3)))</f>
        <v/>
      </c>
      <c r="O87" s="254" t="str">
        <f>IF(O$6="","",IF(NOT(ISNUMBER(_xll.ciqfunctions.udf.CIQ(O$6,$F$2, $A87, $I$2, $I$3))),IF(O86=O$6,"",O86),_xll.ciqfunctions.udf.CIQ(O$6,$F$2, $A87, $I$2, $I$3)))</f>
        <v/>
      </c>
      <c r="P87" s="254" t="str">
        <f>IF(P$6="","",IF(NOT(ISNUMBER(_xll.ciqfunctions.udf.CIQ(P$6,$F$2, $A87, $I$2, $I$3))),IF(P86=P$6,"",P86),_xll.ciqfunctions.udf.CIQ(P$6,$F$2, $A87, $I$2, $I$3)))</f>
        <v/>
      </c>
      <c r="Q87" s="254"/>
      <c r="R87" s="251">
        <f t="shared" si="64"/>
        <v>43385</v>
      </c>
      <c r="S87" s="255">
        <f t="shared" si="66"/>
        <v>0.31534406215316313</v>
      </c>
      <c r="T87" s="255">
        <f t="shared" si="67"/>
        <v>0.22633301683314611</v>
      </c>
      <c r="U87" s="255">
        <f t="shared" si="68"/>
        <v>0.17458426618750766</v>
      </c>
      <c r="V87" s="255">
        <f t="shared" si="82"/>
        <v>0.12210256921764384</v>
      </c>
      <c r="W87" s="255">
        <f t="array" ref="W87">IFERROR(AVERAGE(IF(ISERROR(X87:AG87),"",X87:AG87)),"")</f>
        <v>0.3533901842685907</v>
      </c>
      <c r="X87" s="255">
        <f t="shared" si="83"/>
        <v>0.3533901842685907</v>
      </c>
      <c r="Y87" s="255" t="e">
        <f t="shared" si="54"/>
        <v>#N/A</v>
      </c>
      <c r="Z87" s="255" t="e">
        <f t="shared" si="55"/>
        <v>#N/A</v>
      </c>
      <c r="AA87" s="255" t="e">
        <f t="shared" si="56"/>
        <v>#N/A</v>
      </c>
      <c r="AB87" s="255" t="e">
        <f t="shared" si="57"/>
        <v>#N/A</v>
      </c>
      <c r="AC87" s="255" t="e">
        <f t="shared" si="58"/>
        <v>#N/A</v>
      </c>
      <c r="AD87" s="255" t="e">
        <f t="shared" si="59"/>
        <v>#N/A</v>
      </c>
      <c r="AE87" s="255" t="e">
        <f t="shared" si="60"/>
        <v>#N/A</v>
      </c>
      <c r="AF87" s="255" t="e">
        <f t="shared" si="61"/>
        <v>#N/A</v>
      </c>
      <c r="AG87" s="255" t="e">
        <f t="shared" si="62"/>
        <v>#N/A</v>
      </c>
      <c r="AI87" s="251">
        <f t="shared" si="65"/>
        <v>43385</v>
      </c>
      <c r="AJ87" s="718">
        <f>IF(OR($B87="No",AJ$6=""),"",IF(NOT(ISNUMBER(_xll.ciqfunctions.udf.CIQ(AJ$6,"IQ_TEV",$AI87,$I$2,$I$3))),"",_xll.ciqfunctions.udf.CIQ(AJ$6,"IQ_TEV",$AI87,$I$2,$I$3)))</f>
        <v>318624.32514999999</v>
      </c>
      <c r="AK87" s="718">
        <f>IF(OR($B87="No",AK$6=""),"",IF(NOT(ISNUMBER(_xll.ciqfunctions.udf.CIQ(AK$6,"IQ_TEV",$AI87,$I$2,$I$3))),"",_xll.ciqfunctions.udf.CIQ(AK$6,"IQ_TEV",$AI87,$I$2,$I$3)))</f>
        <v>98978.993549999999</v>
      </c>
      <c r="AL87" s="718" t="str">
        <f>IF(OR($B87="No",AL$6=""),"",IF(NOT(ISNUMBER(_xll.ciqfunctions.udf.CIQ(AL$6,"IQ_TEV",$AI87,$I$2,$I$3))),"",_xll.ciqfunctions.udf.CIQ(AL$6,"IQ_TEV",$AI87,$I$2,$I$3)))</f>
        <v/>
      </c>
      <c r="AM87" s="718" t="str">
        <f>IF(OR($B87="No",AM$6=""),"",IF(NOT(ISNUMBER(_xll.ciqfunctions.udf.CIQ(AM$6,"IQ_TEV",$AI87,$I$2,$I$3))),"",_xll.ciqfunctions.udf.CIQ(AM$6,"IQ_TEV",$AI87,$I$2,$I$3)))</f>
        <v/>
      </c>
      <c r="AN87" s="718" t="str">
        <f>IF(OR($B87="No",AN$6=""),"",IF(NOT(ISNUMBER(_xll.ciqfunctions.udf.CIQ(AN$6,"IQ_TEV",$AI87,$I$2,$I$3))),"",_xll.ciqfunctions.udf.CIQ(AN$6,"IQ_TEV",$AI87,$I$2,$I$3)))</f>
        <v/>
      </c>
      <c r="AO87" s="718" t="str">
        <f>IF(OR($B87="No",AO$6=""),"",IF(NOT(ISNUMBER(_xll.ciqfunctions.udf.CIQ(AO$6,"IQ_TEV",$AI87,$I$2,$I$3))),"",_xll.ciqfunctions.udf.CIQ(AO$6,"IQ_TEV",$AI87,$I$2,$I$3)))</f>
        <v/>
      </c>
      <c r="AP87" s="718" t="str">
        <f>IF(OR($B87="No",AP$6=""),"",IF(NOT(ISNUMBER(_xll.ciqfunctions.udf.CIQ(AP$6,"IQ_TEV",$AI87,$I$2,$I$3))),"",_xll.ciqfunctions.udf.CIQ(AP$6,"IQ_TEV",$AI87,$I$2,$I$3)))</f>
        <v/>
      </c>
      <c r="AQ87" s="718" t="str">
        <f>IF(OR($B87="No",AQ$6=""),"",IF(NOT(ISNUMBER(_xll.ciqfunctions.udf.CIQ(AQ$6,"IQ_TEV",$AI87,$I$2,$I$3))),"",_xll.ciqfunctions.udf.CIQ(AQ$6,"IQ_TEV",$AI87,$I$2,$I$3)))</f>
        <v/>
      </c>
      <c r="AR87" s="718" t="str">
        <f>IF(OR($B87="No",AR$6=""),"",IF(NOT(ISNUMBER(_xll.ciqfunctions.udf.CIQ(AR$6,"IQ_TEV",$AI87,$I$2,$I$3))),"",_xll.ciqfunctions.udf.CIQ(AR$6,"IQ_TEV",$AI87,$I$2,$I$3)))</f>
        <v/>
      </c>
      <c r="AS87" s="718" t="str">
        <f>IF(OR($B87="No",AS$6=""),"",IF(NOT(ISNUMBER(_xll.ciqfunctions.udf.CIQ(AS$6,"IQ_TEV",$AI87,$I$2,$I$3))),"",_xll.ciqfunctions.udf.CIQ(AS$6,"IQ_TEV",$AI87,$I$2,$I$3)))</f>
        <v/>
      </c>
      <c r="AT87" s="718" t="str">
        <f>IF(OR($B87="No",AT$6=""),"",IF(NOT(ISNUMBER(_xll.ciqfunctions.udf.CIQ(AT$6,"IQ_TEV",$AI87,$I$2,$I$3))),"",_xll.ciqfunctions.udf.CIQ(AT$6,"IQ_TEV",$AI87,$I$2,$I$3)))</f>
        <v/>
      </c>
      <c r="AV87" s="251">
        <f t="shared" si="69"/>
        <v>43385</v>
      </c>
      <c r="AW87" s="719">
        <f t="shared" si="70"/>
        <v>0.22051492899328395</v>
      </c>
      <c r="AX87" s="719">
        <f t="shared" si="71"/>
        <v>0.35615809923047514</v>
      </c>
      <c r="AY87" s="719" t="e">
        <f t="shared" si="72"/>
        <v>#N/A</v>
      </c>
      <c r="AZ87" s="719" t="e">
        <f t="shared" si="73"/>
        <v>#N/A</v>
      </c>
      <c r="BA87" s="719" t="e">
        <f t="shared" si="74"/>
        <v>#N/A</v>
      </c>
      <c r="BB87" s="719" t="e">
        <f t="shared" si="75"/>
        <v>#N/A</v>
      </c>
      <c r="BC87" s="719" t="e">
        <f t="shared" si="76"/>
        <v>#N/A</v>
      </c>
      <c r="BD87" s="719" t="e">
        <f t="shared" si="77"/>
        <v>#N/A</v>
      </c>
      <c r="BE87" s="719" t="e">
        <f t="shared" si="78"/>
        <v>#N/A</v>
      </c>
      <c r="BF87" s="719" t="e">
        <f t="shared" si="79"/>
        <v>#N/A</v>
      </c>
      <c r="BG87" s="719" t="e">
        <f t="shared" si="80"/>
        <v>#N/A</v>
      </c>
    </row>
    <row r="88" spans="1:59" ht="15" customHeight="1" x14ac:dyDescent="0.2">
      <c r="A88" s="251">
        <f t="shared" si="63"/>
        <v>43392</v>
      </c>
      <c r="B88" s="253" t="str">
        <f t="shared" si="81"/>
        <v>Yes</v>
      </c>
      <c r="C88" s="1033">
        <f>IF(C$6="","",IF(NOT(ISNUMBER(_xll.ciqfunctions.udf.CIQ(C$6,$F$2, $A88, $I$2, $I$3))),IF(C87=C$6,"",C87),_xll.ciqfunctions.udf.CIQ(C$6,$F$2, $A88, $I$2, $I$3)))</f>
        <v>97.15</v>
      </c>
      <c r="D88" s="1033">
        <f>IF(D$6="","",IF(NOT(ISNUMBER(_xll.ciqfunctions.udf.CIQ(D$6,$F$2, $A88, $I$2, $I$3))),IF(D87=D$6,"",D87),_xll.ciqfunctions.udf.CIQ(D$6,$F$2, $A88, $I$2, $I$3)))</f>
        <v>25444.342840000001</v>
      </c>
      <c r="E88" s="1033">
        <f>IF(E$6="","",IF(NOT(ISNUMBER(_xll.ciqfunctions.udf.CIQ(E$6,$F$2, $A88, $I$2, $I$3))),IF(E87=E$6,"",E87),_xll.ciqfunctions.udf.CIQ(E$6,$F$2, $A88, $I$2, $I$3)))</f>
        <v>8452.2981999999993</v>
      </c>
      <c r="F88" s="1033">
        <f>IF(F$6="","",IF(NOT(ISNUMBER(_xll.ciqfunctions.udf.CIQ(F$6,$F$2, $A88, $I$2, $I$3))),IF(F87=F$6,"",F87),_xll.ciqfunctions.udf.CIQ(F$6,$F$2, $A88, $I$2, $I$3)))</f>
        <v>4798.0759500000004</v>
      </c>
      <c r="G88" s="1033">
        <f>IF(G$6="","",IF(NOT(ISNUMBER(_xll.ciqfunctions.udf.CIQ(G$6,$F$2, $A88, $I$2, $I$3))),IF(G87=G$6,"",G87),_xll.ciqfunctions.udf.CIQ(G$6,$F$2, $A88, $I$2, $I$3)))</f>
        <v>229.67</v>
      </c>
      <c r="H88" s="1033" t="str">
        <f>IF(H$6="","",IF(NOT(ISNUMBER(_xll.ciqfunctions.udf.CIQ(H$6,$F$2, $A88, $I$2, $I$3))),IF(H87=H$6,"",H87),_xll.ciqfunctions.udf.CIQ(H$6,$F$2, $A88, $I$2, $I$3)))</f>
        <v/>
      </c>
      <c r="I88" s="1033" t="str">
        <f>IF(I$6="","",IF(NOT(ISNUMBER(_xll.ciqfunctions.udf.CIQ(I$6,$F$2, $A88, $I$2, $I$3))),IF(I87=I$6,"",I87),_xll.ciqfunctions.udf.CIQ(I$6,$F$2, $A88, $I$2, $I$3)))</f>
        <v/>
      </c>
      <c r="J88" s="1033" t="str">
        <f>IF(J$6="","",IF(NOT(ISNUMBER(_xll.ciqfunctions.udf.CIQ(J$6,$F$2, $A88, $I$2, $I$3))),IF(J87=J$6,"",J87),_xll.ciqfunctions.udf.CIQ(J$6,$F$2, $A88, $I$2, $I$3)))</f>
        <v/>
      </c>
      <c r="K88" s="1033" t="str">
        <f>IF(K$6="","",IF(NOT(ISNUMBER(_xll.ciqfunctions.udf.CIQ(K$6,$F$2, $A88, $I$2, $I$3))),IF(K87=K$6,"",K87),_xll.ciqfunctions.udf.CIQ(K$6,$F$2, $A88, $I$2, $I$3)))</f>
        <v/>
      </c>
      <c r="L88" s="254" t="str">
        <f>IF(L$6="","",IF(NOT(ISNUMBER(_xll.ciqfunctions.udf.CIQ(L$6,$F$2, $A88, $I$2, $I$3))),IF(L87=L$6,"",L87),_xll.ciqfunctions.udf.CIQ(L$6,$F$2, $A88, $I$2, $I$3)))</f>
        <v/>
      </c>
      <c r="M88" s="254" t="str">
        <f>IF(M$6="","",IF(NOT(ISNUMBER(_xll.ciqfunctions.udf.CIQ(M$6,$F$2, $A88, $I$2, $I$3))),IF(M87=M$6,"",M87),_xll.ciqfunctions.udf.CIQ(M$6,$F$2, $A88, $I$2, $I$3)))</f>
        <v/>
      </c>
      <c r="N88" s="254" t="str">
        <f>IF(N$6="","",IF(NOT(ISNUMBER(_xll.ciqfunctions.udf.CIQ(N$6,$F$2, $A88, $I$2, $I$3))),IF(N87=N$6,"",N87),_xll.ciqfunctions.udf.CIQ(N$6,$F$2, $A88, $I$2, $I$3)))</f>
        <v/>
      </c>
      <c r="O88" s="254" t="str">
        <f>IF(O$6="","",IF(NOT(ISNUMBER(_xll.ciqfunctions.udf.CIQ(O$6,$F$2, $A88, $I$2, $I$3))),IF(O87=O$6,"",O87),_xll.ciqfunctions.udf.CIQ(O$6,$F$2, $A88, $I$2, $I$3)))</f>
        <v/>
      </c>
      <c r="P88" s="254" t="str">
        <f>IF(P$6="","",IF(NOT(ISNUMBER(_xll.ciqfunctions.udf.CIQ(P$6,$F$2, $A88, $I$2, $I$3))),IF(P87=P$6,"",P87),_xll.ciqfunctions.udf.CIQ(P$6,$F$2, $A88, $I$2, $I$3)))</f>
        <v/>
      </c>
      <c r="Q88" s="254"/>
      <c r="R88" s="251">
        <f t="shared" si="64"/>
        <v>43392</v>
      </c>
      <c r="S88" s="255">
        <f t="shared" si="66"/>
        <v>0.34780799112097682</v>
      </c>
      <c r="T88" s="255">
        <f t="shared" si="67"/>
        <v>0.2313831791334473</v>
      </c>
      <c r="U88" s="255">
        <f t="shared" si="68"/>
        <v>0.18117797918480916</v>
      </c>
      <c r="V88" s="255">
        <f t="shared" si="82"/>
        <v>9.3021739591738317E-2</v>
      </c>
      <c r="W88" s="255">
        <f t="array" ref="W88">IFERROR(AVERAGE(IF(ISERROR(X88:AG88),"",X88:AG88)),"")</f>
        <v>0.36961059097143534</v>
      </c>
      <c r="X88" s="255">
        <f t="shared" si="83"/>
        <v>0.36961059097143534</v>
      </c>
      <c r="Y88" s="255" t="e">
        <f t="shared" ref="Y88:Y151" si="84">IF(H88="",NA(),IF(OR($B88="No",H88=""),NA(),IF(AND(ISNA(Y87),H88=Y$3),0,IF($A$2="Yes",H88/H87-1,H88/Y$3-1))))</f>
        <v>#N/A</v>
      </c>
      <c r="Z88" s="255" t="e">
        <f t="shared" ref="Z88:Z151" si="85">IF(I88="",NA(),IF(OR($B88="No",I88=""),NA(),IF(AND(ISNA(Z87),I88=Z$3),0,IF($A$2="Yes",I88/I87-1,I88/Z$3-1))))</f>
        <v>#N/A</v>
      </c>
      <c r="AA88" s="255" t="e">
        <f t="shared" ref="AA88:AA151" si="86">IF(J88="",NA(),IF(OR($B88="No",J88=""),NA(),IF(AND(ISNA(AA87),J88=AA$3),0,IF($A$2="Yes",J88/J87-1,J88/AA$3-1))))</f>
        <v>#N/A</v>
      </c>
      <c r="AB88" s="255" t="e">
        <f t="shared" ref="AB88:AB151" si="87">IF(K88="",NA(),IF(OR($B88="No",K88=""),NA(),IF(AND(ISNA(AB87),K88=AB$3),0,IF($A$2="Yes",K88/K87-1,K88/AB$3-1))))</f>
        <v>#N/A</v>
      </c>
      <c r="AC88" s="255" t="e">
        <f t="shared" ref="AC88:AC151" si="88">IF(L88="",NA(),IF(OR($B88="No",L88=""),NA(),IF(AND(ISNA(AC87),L88=AC$3),0,IF($A$2="Yes",L88/L87-1,L88/AC$3-1))))</f>
        <v>#N/A</v>
      </c>
      <c r="AD88" s="255" t="e">
        <f t="shared" ref="AD88:AD151" si="89">IF(M88="",NA(),IF(OR($B88="No",M88=""),NA(),IF(AND(ISNA(AD87),M88=AD$3),0,IF($A$2="Yes",M88/M87-1,M88/AD$3-1))))</f>
        <v>#N/A</v>
      </c>
      <c r="AE88" s="255" t="e">
        <f t="shared" ref="AE88:AE151" si="90">IF(N88="",NA(),IF(OR($B88="No",N88=""),NA(),IF(AND(ISNA(AE87),N88=AE$3),0,IF($A$2="Yes",N88/N87-1,N88/AE$3-1))))</f>
        <v>#N/A</v>
      </c>
      <c r="AF88" s="255" t="e">
        <f t="shared" ref="AF88:AF151" si="91">IF(O88="",NA(),IF(OR($B88="No",O88=""),NA(),IF(AND(ISNA(AF87),O88=AF$3),0,IF($A$2="Yes",O88/O87-1,O88/AF$3-1))))</f>
        <v>#N/A</v>
      </c>
      <c r="AG88" s="255" t="e">
        <f t="shared" ref="AG88:AG151" si="92">IF(P88="",NA(),IF(OR($B88="No",P88=""),NA(),IF(AND(ISNA(AG87),P88=AG$3),0,IF($A$2="Yes",P88/P87-1,P88/AG$3-1))))</f>
        <v>#N/A</v>
      </c>
      <c r="AI88" s="251">
        <f t="shared" si="65"/>
        <v>43392</v>
      </c>
      <c r="AJ88" s="718">
        <f>IF(OR($B88="No",AJ$6=""),"",IF(NOT(ISNUMBER(_xll.ciqfunctions.udf.CIQ(AJ$6,"IQ_TEV",$AI88,$I$2,$I$3))),"",_xll.ciqfunctions.udf.CIQ(AJ$6,"IQ_TEV",$AI88,$I$2,$I$3)))</f>
        <v>325477.56406</v>
      </c>
      <c r="AK88" s="718">
        <f>IF(OR($B88="No",AK$6=""),"",IF(NOT(ISNUMBER(_xll.ciqfunctions.udf.CIQ(AK$6,"IQ_TEV",$AI88,$I$2,$I$3))),"",_xll.ciqfunctions.udf.CIQ(AK$6,"IQ_TEV",$AI88,$I$2,$I$3)))</f>
        <v>100170.86762999999</v>
      </c>
      <c r="AL88" s="718" t="str">
        <f>IF(OR($B88="No",AL$6=""),"",IF(NOT(ISNUMBER(_xll.ciqfunctions.udf.CIQ(AL$6,"IQ_TEV",$AI88,$I$2,$I$3))),"",_xll.ciqfunctions.udf.CIQ(AL$6,"IQ_TEV",$AI88,$I$2,$I$3)))</f>
        <v/>
      </c>
      <c r="AM88" s="718" t="str">
        <f>IF(OR($B88="No",AM$6=""),"",IF(NOT(ISNUMBER(_xll.ciqfunctions.udf.CIQ(AM$6,"IQ_TEV",$AI88,$I$2,$I$3))),"",_xll.ciqfunctions.udf.CIQ(AM$6,"IQ_TEV",$AI88,$I$2,$I$3)))</f>
        <v/>
      </c>
      <c r="AN88" s="718" t="str">
        <f>IF(OR($B88="No",AN$6=""),"",IF(NOT(ISNUMBER(_xll.ciqfunctions.udf.CIQ(AN$6,"IQ_TEV",$AI88,$I$2,$I$3))),"",_xll.ciqfunctions.udf.CIQ(AN$6,"IQ_TEV",$AI88,$I$2,$I$3)))</f>
        <v/>
      </c>
      <c r="AO88" s="718" t="str">
        <f>IF(OR($B88="No",AO$6=""),"",IF(NOT(ISNUMBER(_xll.ciqfunctions.udf.CIQ(AO$6,"IQ_TEV",$AI88,$I$2,$I$3))),"",_xll.ciqfunctions.udf.CIQ(AO$6,"IQ_TEV",$AI88,$I$2,$I$3)))</f>
        <v/>
      </c>
      <c r="AP88" s="718" t="str">
        <f>IF(OR($B88="No",AP$6=""),"",IF(NOT(ISNUMBER(_xll.ciqfunctions.udf.CIQ(AP$6,"IQ_TEV",$AI88,$I$2,$I$3))),"",_xll.ciqfunctions.udf.CIQ(AP$6,"IQ_TEV",$AI88,$I$2,$I$3)))</f>
        <v/>
      </c>
      <c r="AQ88" s="718" t="str">
        <f>IF(OR($B88="No",AQ$6=""),"",IF(NOT(ISNUMBER(_xll.ciqfunctions.udf.CIQ(AQ$6,"IQ_TEV",$AI88,$I$2,$I$3))),"",_xll.ciqfunctions.udf.CIQ(AQ$6,"IQ_TEV",$AI88,$I$2,$I$3)))</f>
        <v/>
      </c>
      <c r="AR88" s="718" t="str">
        <f>IF(OR($B88="No",AR$6=""),"",IF(NOT(ISNUMBER(_xll.ciqfunctions.udf.CIQ(AR$6,"IQ_TEV",$AI88,$I$2,$I$3))),"",_xll.ciqfunctions.udf.CIQ(AR$6,"IQ_TEV",$AI88,$I$2,$I$3)))</f>
        <v/>
      </c>
      <c r="AS88" s="718" t="str">
        <f>IF(OR($B88="No",AS$6=""),"",IF(NOT(ISNUMBER(_xll.ciqfunctions.udf.CIQ(AS$6,"IQ_TEV",$AI88,$I$2,$I$3))),"",_xll.ciqfunctions.udf.CIQ(AS$6,"IQ_TEV",$AI88,$I$2,$I$3)))</f>
        <v/>
      </c>
      <c r="AT88" s="718" t="str">
        <f>IF(OR($B88="No",AT$6=""),"",IF(NOT(ISNUMBER(_xll.ciqfunctions.udf.CIQ(AT$6,"IQ_TEV",$AI88,$I$2,$I$3))),"",_xll.ciqfunctions.udf.CIQ(AT$6,"IQ_TEV",$AI88,$I$2,$I$3)))</f>
        <v/>
      </c>
      <c r="AV88" s="251">
        <f t="shared" si="69"/>
        <v>43392</v>
      </c>
      <c r="AW88" s="719">
        <f t="shared" si="70"/>
        <v>0.24676678656151863</v>
      </c>
      <c r="AX88" s="719">
        <f t="shared" si="71"/>
        <v>0.37248853085926648</v>
      </c>
      <c r="AY88" s="719" t="e">
        <f t="shared" si="72"/>
        <v>#N/A</v>
      </c>
      <c r="AZ88" s="719" t="e">
        <f t="shared" si="73"/>
        <v>#N/A</v>
      </c>
      <c r="BA88" s="719" t="e">
        <f t="shared" si="74"/>
        <v>#N/A</v>
      </c>
      <c r="BB88" s="719" t="e">
        <f t="shared" si="75"/>
        <v>#N/A</v>
      </c>
      <c r="BC88" s="719" t="e">
        <f t="shared" si="76"/>
        <v>#N/A</v>
      </c>
      <c r="BD88" s="719" t="e">
        <f t="shared" si="77"/>
        <v>#N/A</v>
      </c>
      <c r="BE88" s="719" t="e">
        <f t="shared" si="78"/>
        <v>#N/A</v>
      </c>
      <c r="BF88" s="719" t="e">
        <f t="shared" si="79"/>
        <v>#N/A</v>
      </c>
      <c r="BG88" s="719" t="e">
        <f t="shared" si="80"/>
        <v>#N/A</v>
      </c>
    </row>
    <row r="89" spans="1:59" ht="15" customHeight="1" x14ac:dyDescent="0.2">
      <c r="A89" s="251">
        <f t="shared" si="63"/>
        <v>43399</v>
      </c>
      <c r="B89" s="253" t="str">
        <f t="shared" si="81"/>
        <v>Yes</v>
      </c>
      <c r="C89" s="1033">
        <f>IF(C$6="","",IF(NOT(ISNUMBER(_xll.ciqfunctions.udf.CIQ(C$6,$F$2, $A89, $I$2, $I$3))),IF(C88=C$6,"",C88),_xll.ciqfunctions.udf.CIQ(C$6,$F$2, $A89, $I$2, $I$3)))</f>
        <v>98.94</v>
      </c>
      <c r="D89" s="1033">
        <f>IF(D$6="","",IF(NOT(ISNUMBER(_xll.ciqfunctions.udf.CIQ(D$6,$F$2, $A89, $I$2, $I$3))),IF(D88=D$6,"",D88),_xll.ciqfunctions.udf.CIQ(D$6,$F$2, $A89, $I$2, $I$3)))</f>
        <v>24688.311809999999</v>
      </c>
      <c r="E89" s="1033">
        <f>IF(E$6="","",IF(NOT(ISNUMBER(_xll.ciqfunctions.udf.CIQ(E$6,$F$2, $A89, $I$2, $I$3))),IF(E88=E$6,"",E88),_xll.ciqfunctions.udf.CIQ(E$6,$F$2, $A89, $I$2, $I$3)))</f>
        <v>8175.2257799999998</v>
      </c>
      <c r="F89" s="1033">
        <f>IF(F$6="","",IF(NOT(ISNUMBER(_xll.ciqfunctions.udf.CIQ(F$6,$F$2, $A89, $I$2, $I$3))),IF(F88=F$6,"",F88),_xll.ciqfunctions.udf.CIQ(F$6,$F$2, $A89, $I$2, $I$3)))</f>
        <v>4799.3143300000002</v>
      </c>
      <c r="G89" s="1033">
        <f>IF(G$6="","",IF(NOT(ISNUMBER(_xll.ciqfunctions.udf.CIQ(G$6,$F$2, $A89, $I$2, $I$3))),IF(G88=G$6,"",G88),_xll.ciqfunctions.udf.CIQ(G$6,$F$2, $A89, $I$2, $I$3)))</f>
        <v>218.19</v>
      </c>
      <c r="H89" s="1033" t="str">
        <f>IF(H$6="","",IF(NOT(ISNUMBER(_xll.ciqfunctions.udf.CIQ(H$6,$F$2, $A89, $I$2, $I$3))),IF(H88=H$6,"",H88),_xll.ciqfunctions.udf.CIQ(H$6,$F$2, $A89, $I$2, $I$3)))</f>
        <v/>
      </c>
      <c r="I89" s="1033" t="str">
        <f>IF(I$6="","",IF(NOT(ISNUMBER(_xll.ciqfunctions.udf.CIQ(I$6,$F$2, $A89, $I$2, $I$3))),IF(I88=I$6,"",I88),_xll.ciqfunctions.udf.CIQ(I$6,$F$2, $A89, $I$2, $I$3)))</f>
        <v/>
      </c>
      <c r="J89" s="1033" t="str">
        <f>IF(J$6="","",IF(NOT(ISNUMBER(_xll.ciqfunctions.udf.CIQ(J$6,$F$2, $A89, $I$2, $I$3))),IF(J88=J$6,"",J88),_xll.ciqfunctions.udf.CIQ(J$6,$F$2, $A89, $I$2, $I$3)))</f>
        <v/>
      </c>
      <c r="K89" s="1033" t="str">
        <f>IF(K$6="","",IF(NOT(ISNUMBER(_xll.ciqfunctions.udf.CIQ(K$6,$F$2, $A89, $I$2, $I$3))),IF(K88=K$6,"",K88),_xll.ciqfunctions.udf.CIQ(K$6,$F$2, $A89, $I$2, $I$3)))</f>
        <v/>
      </c>
      <c r="L89" s="254" t="str">
        <f>IF(L$6="","",IF(NOT(ISNUMBER(_xll.ciqfunctions.udf.CIQ(L$6,$F$2, $A89, $I$2, $I$3))),IF(L88=L$6,"",L88),_xll.ciqfunctions.udf.CIQ(L$6,$F$2, $A89, $I$2, $I$3)))</f>
        <v/>
      </c>
      <c r="M89" s="254" t="str">
        <f>IF(M$6="","",IF(NOT(ISNUMBER(_xll.ciqfunctions.udf.CIQ(M$6,$F$2, $A89, $I$2, $I$3))),IF(M88=M$6,"",M88),_xll.ciqfunctions.udf.CIQ(M$6,$F$2, $A89, $I$2, $I$3)))</f>
        <v/>
      </c>
      <c r="N89" s="254" t="str">
        <f>IF(N$6="","",IF(NOT(ISNUMBER(_xll.ciqfunctions.udf.CIQ(N$6,$F$2, $A89, $I$2, $I$3))),IF(N88=N$6,"",N88),_xll.ciqfunctions.udf.CIQ(N$6,$F$2, $A89, $I$2, $I$3)))</f>
        <v/>
      </c>
      <c r="O89" s="254" t="str">
        <f>IF(O$6="","",IF(NOT(ISNUMBER(_xll.ciqfunctions.udf.CIQ(O$6,$F$2, $A89, $I$2, $I$3))),IF(O88=O$6,"",O88),_xll.ciqfunctions.udf.CIQ(O$6,$F$2, $A89, $I$2, $I$3)))</f>
        <v/>
      </c>
      <c r="P89" s="254" t="str">
        <f>IF(P$6="","",IF(NOT(ISNUMBER(_xll.ciqfunctions.udf.CIQ(P$6,$F$2, $A89, $I$2, $I$3))),IF(P88=P$6,"",P88),_xll.ciqfunctions.udf.CIQ(P$6,$F$2, $A89, $I$2, $I$3)))</f>
        <v/>
      </c>
      <c r="Q89" s="254"/>
      <c r="R89" s="251">
        <f t="shared" si="64"/>
        <v>43399</v>
      </c>
      <c r="S89" s="255">
        <f t="shared" si="66"/>
        <v>0.37264150943396235</v>
      </c>
      <c r="T89" s="255">
        <f t="shared" si="67"/>
        <v>0.19479493242182833</v>
      </c>
      <c r="U89" s="255">
        <f t="shared" si="68"/>
        <v>0.14245811466991953</v>
      </c>
      <c r="V89" s="255">
        <f t="shared" si="82"/>
        <v>9.3303847727578715E-2</v>
      </c>
      <c r="W89" s="255">
        <f t="array" ref="W89">IFERROR(AVERAGE(IF(ISERROR(X89:AG89),"",X89:AG89)),"")</f>
        <v>0.30115093326972397</v>
      </c>
      <c r="X89" s="255">
        <f t="shared" si="83"/>
        <v>0.30115093326972397</v>
      </c>
      <c r="Y89" s="255" t="e">
        <f t="shared" si="84"/>
        <v>#N/A</v>
      </c>
      <c r="Z89" s="255" t="e">
        <f t="shared" si="85"/>
        <v>#N/A</v>
      </c>
      <c r="AA89" s="255" t="e">
        <f t="shared" si="86"/>
        <v>#N/A</v>
      </c>
      <c r="AB89" s="255" t="e">
        <f t="shared" si="87"/>
        <v>#N/A</v>
      </c>
      <c r="AC89" s="255" t="e">
        <f t="shared" si="88"/>
        <v>#N/A</v>
      </c>
      <c r="AD89" s="255" t="e">
        <f t="shared" si="89"/>
        <v>#N/A</v>
      </c>
      <c r="AE89" s="255" t="e">
        <f t="shared" si="90"/>
        <v>#N/A</v>
      </c>
      <c r="AF89" s="255" t="e">
        <f t="shared" si="91"/>
        <v>#N/A</v>
      </c>
      <c r="AG89" s="255" t="e">
        <f t="shared" si="92"/>
        <v>#N/A</v>
      </c>
      <c r="AI89" s="251">
        <f t="shared" si="65"/>
        <v>43399</v>
      </c>
      <c r="AJ89" s="718">
        <f>IF(OR($B89="No",AJ$6=""),"",IF(NOT(ISNUMBER(_xll.ciqfunctions.udf.CIQ(AJ$6,"IQ_TEV",$AI89,$I$2,$I$3))),"",_xll.ciqfunctions.udf.CIQ(AJ$6,"IQ_TEV",$AI89,$I$2,$I$3)))</f>
        <v>330719.99894999998</v>
      </c>
      <c r="AK89" s="718">
        <f>IF(OR($B89="No",AK$6=""),"",IF(NOT(ISNUMBER(_xll.ciqfunctions.udf.CIQ(AK$6,"IQ_TEV",$AI89,$I$2,$I$3))),"",_xll.ciqfunctions.udf.CIQ(AK$6,"IQ_TEV",$AI89,$I$2,$I$3)))</f>
        <v>95631.685559999998</v>
      </c>
      <c r="AL89" s="718" t="str">
        <f>IF(OR($B89="No",AL$6=""),"",IF(NOT(ISNUMBER(_xll.ciqfunctions.udf.CIQ(AL$6,"IQ_TEV",$AI89,$I$2,$I$3))),"",_xll.ciqfunctions.udf.CIQ(AL$6,"IQ_TEV",$AI89,$I$2,$I$3)))</f>
        <v/>
      </c>
      <c r="AM89" s="718" t="str">
        <f>IF(OR($B89="No",AM$6=""),"",IF(NOT(ISNUMBER(_xll.ciqfunctions.udf.CIQ(AM$6,"IQ_TEV",$AI89,$I$2,$I$3))),"",_xll.ciqfunctions.udf.CIQ(AM$6,"IQ_TEV",$AI89,$I$2,$I$3)))</f>
        <v/>
      </c>
      <c r="AN89" s="718" t="str">
        <f>IF(OR($B89="No",AN$6=""),"",IF(NOT(ISNUMBER(_xll.ciqfunctions.udf.CIQ(AN$6,"IQ_TEV",$AI89,$I$2,$I$3))),"",_xll.ciqfunctions.udf.CIQ(AN$6,"IQ_TEV",$AI89,$I$2,$I$3)))</f>
        <v/>
      </c>
      <c r="AO89" s="718" t="str">
        <f>IF(OR($B89="No",AO$6=""),"",IF(NOT(ISNUMBER(_xll.ciqfunctions.udf.CIQ(AO$6,"IQ_TEV",$AI89,$I$2,$I$3))),"",_xll.ciqfunctions.udf.CIQ(AO$6,"IQ_TEV",$AI89,$I$2,$I$3)))</f>
        <v/>
      </c>
      <c r="AP89" s="718" t="str">
        <f>IF(OR($B89="No",AP$6=""),"",IF(NOT(ISNUMBER(_xll.ciqfunctions.udf.CIQ(AP$6,"IQ_TEV",$AI89,$I$2,$I$3))),"",_xll.ciqfunctions.udf.CIQ(AP$6,"IQ_TEV",$AI89,$I$2,$I$3)))</f>
        <v/>
      </c>
      <c r="AQ89" s="718" t="str">
        <f>IF(OR($B89="No",AQ$6=""),"",IF(NOT(ISNUMBER(_xll.ciqfunctions.udf.CIQ(AQ$6,"IQ_TEV",$AI89,$I$2,$I$3))),"",_xll.ciqfunctions.udf.CIQ(AQ$6,"IQ_TEV",$AI89,$I$2,$I$3)))</f>
        <v/>
      </c>
      <c r="AR89" s="718" t="str">
        <f>IF(OR($B89="No",AR$6=""),"",IF(NOT(ISNUMBER(_xll.ciqfunctions.udf.CIQ(AR$6,"IQ_TEV",$AI89,$I$2,$I$3))),"",_xll.ciqfunctions.udf.CIQ(AR$6,"IQ_TEV",$AI89,$I$2,$I$3)))</f>
        <v/>
      </c>
      <c r="AS89" s="718" t="str">
        <f>IF(OR($B89="No",AS$6=""),"",IF(NOT(ISNUMBER(_xll.ciqfunctions.udf.CIQ(AS$6,"IQ_TEV",$AI89,$I$2,$I$3))),"",_xll.ciqfunctions.udf.CIQ(AS$6,"IQ_TEV",$AI89,$I$2,$I$3)))</f>
        <v/>
      </c>
      <c r="AT89" s="718" t="str">
        <f>IF(OR($B89="No",AT$6=""),"",IF(NOT(ISNUMBER(_xll.ciqfunctions.udf.CIQ(AT$6,"IQ_TEV",$AI89,$I$2,$I$3))),"",_xll.ciqfunctions.udf.CIQ(AT$6,"IQ_TEV",$AI89,$I$2,$I$3)))</f>
        <v/>
      </c>
      <c r="AV89" s="251">
        <f t="shared" si="69"/>
        <v>43399</v>
      </c>
      <c r="AW89" s="719">
        <f t="shared" si="70"/>
        <v>0.26684833571664979</v>
      </c>
      <c r="AX89" s="719">
        <f t="shared" si="71"/>
        <v>0.31029504608714098</v>
      </c>
      <c r="AY89" s="719" t="e">
        <f t="shared" si="72"/>
        <v>#N/A</v>
      </c>
      <c r="AZ89" s="719" t="e">
        <f t="shared" si="73"/>
        <v>#N/A</v>
      </c>
      <c r="BA89" s="719" t="e">
        <f t="shared" si="74"/>
        <v>#N/A</v>
      </c>
      <c r="BB89" s="719" t="e">
        <f t="shared" si="75"/>
        <v>#N/A</v>
      </c>
      <c r="BC89" s="719" t="e">
        <f t="shared" si="76"/>
        <v>#N/A</v>
      </c>
      <c r="BD89" s="719" t="e">
        <f t="shared" si="77"/>
        <v>#N/A</v>
      </c>
      <c r="BE89" s="719" t="e">
        <f t="shared" si="78"/>
        <v>#N/A</v>
      </c>
      <c r="BF89" s="719" t="e">
        <f t="shared" si="79"/>
        <v>#N/A</v>
      </c>
      <c r="BG89" s="719" t="e">
        <f t="shared" si="80"/>
        <v>#N/A</v>
      </c>
    </row>
    <row r="90" spans="1:59" ht="15" customHeight="1" x14ac:dyDescent="0.2">
      <c r="A90" s="251">
        <f t="shared" si="63"/>
        <v>43406</v>
      </c>
      <c r="B90" s="253" t="str">
        <f t="shared" si="81"/>
        <v>Yes</v>
      </c>
      <c r="C90" s="1033">
        <f>IF(C$6="","",IF(NOT(ISNUMBER(_xll.ciqfunctions.udf.CIQ(C$6,$F$2, $A90, $I$2, $I$3))),IF(C89=C$6,"",C89),_xll.ciqfunctions.udf.CIQ(C$6,$F$2, $A90, $I$2, $I$3)))</f>
        <v>101.34</v>
      </c>
      <c r="D90" s="1033">
        <f>IF(D$6="","",IF(NOT(ISNUMBER(_xll.ciqfunctions.udf.CIQ(D$6,$F$2, $A90, $I$2, $I$3))),IF(D89=D$6,"",D89),_xll.ciqfunctions.udf.CIQ(D$6,$F$2, $A90, $I$2, $I$3)))</f>
        <v>25270.82863</v>
      </c>
      <c r="E90" s="1033">
        <f>IF(E$6="","",IF(NOT(ISNUMBER(_xll.ciqfunctions.udf.CIQ(E$6,$F$2, $A90, $I$2, $I$3))),IF(E89=E$6,"",E89),_xll.ciqfunctions.udf.CIQ(E$6,$F$2, $A90, $I$2, $I$3)))</f>
        <v>8367.1253099999994</v>
      </c>
      <c r="F90" s="1033">
        <f>IF(F$6="","",IF(NOT(ISNUMBER(_xll.ciqfunctions.udf.CIQ(F$6,$F$2, $A90, $I$2, $I$3))),IF(F89=F$6,"",F89),_xll.ciqfunctions.udf.CIQ(F$6,$F$2, $A90, $I$2, $I$3)))</f>
        <v>5018.6283800000001</v>
      </c>
      <c r="G90" s="1033">
        <f>IF(G$6="","",IF(NOT(ISNUMBER(_xll.ciqfunctions.udf.CIQ(G$6,$F$2, $A90, $I$2, $I$3))),IF(G89=G$6,"",G89),_xll.ciqfunctions.udf.CIQ(G$6,$F$2, $A90, $I$2, $I$3)))</f>
        <v>230.16</v>
      </c>
      <c r="H90" s="1033" t="str">
        <f>IF(H$6="","",IF(NOT(ISNUMBER(_xll.ciqfunctions.udf.CIQ(H$6,$F$2, $A90, $I$2, $I$3))),IF(H89=H$6,"",H89),_xll.ciqfunctions.udf.CIQ(H$6,$F$2, $A90, $I$2, $I$3)))</f>
        <v/>
      </c>
      <c r="I90" s="1033" t="str">
        <f>IF(I$6="","",IF(NOT(ISNUMBER(_xll.ciqfunctions.udf.CIQ(I$6,$F$2, $A90, $I$2, $I$3))),IF(I89=I$6,"",I89),_xll.ciqfunctions.udf.CIQ(I$6,$F$2, $A90, $I$2, $I$3)))</f>
        <v/>
      </c>
      <c r="J90" s="1033" t="str">
        <f>IF(J$6="","",IF(NOT(ISNUMBER(_xll.ciqfunctions.udf.CIQ(J$6,$F$2, $A90, $I$2, $I$3))),IF(J89=J$6,"",J89),_xll.ciqfunctions.udf.CIQ(J$6,$F$2, $A90, $I$2, $I$3)))</f>
        <v/>
      </c>
      <c r="K90" s="1033" t="str">
        <f>IF(K$6="","",IF(NOT(ISNUMBER(_xll.ciqfunctions.udf.CIQ(K$6,$F$2, $A90, $I$2, $I$3))),IF(K89=K$6,"",K89),_xll.ciqfunctions.udf.CIQ(K$6,$F$2, $A90, $I$2, $I$3)))</f>
        <v/>
      </c>
      <c r="L90" s="254" t="str">
        <f>IF(L$6="","",IF(NOT(ISNUMBER(_xll.ciqfunctions.udf.CIQ(L$6,$F$2, $A90, $I$2, $I$3))),IF(L89=L$6,"",L89),_xll.ciqfunctions.udf.CIQ(L$6,$F$2, $A90, $I$2, $I$3)))</f>
        <v/>
      </c>
      <c r="M90" s="254" t="str">
        <f>IF(M$6="","",IF(NOT(ISNUMBER(_xll.ciqfunctions.udf.CIQ(M$6,$F$2, $A90, $I$2, $I$3))),IF(M89=M$6,"",M89),_xll.ciqfunctions.udf.CIQ(M$6,$F$2, $A90, $I$2, $I$3)))</f>
        <v/>
      </c>
      <c r="N90" s="254" t="str">
        <f>IF(N$6="","",IF(NOT(ISNUMBER(_xll.ciqfunctions.udf.CIQ(N$6,$F$2, $A90, $I$2, $I$3))),IF(N89=N$6,"",N89),_xll.ciqfunctions.udf.CIQ(N$6,$F$2, $A90, $I$2, $I$3)))</f>
        <v/>
      </c>
      <c r="O90" s="254" t="str">
        <f>IF(O$6="","",IF(NOT(ISNUMBER(_xll.ciqfunctions.udf.CIQ(O$6,$F$2, $A90, $I$2, $I$3))),IF(O89=O$6,"",O89),_xll.ciqfunctions.udf.CIQ(O$6,$F$2, $A90, $I$2, $I$3)))</f>
        <v/>
      </c>
      <c r="P90" s="254" t="str">
        <f>IF(P$6="","",IF(NOT(ISNUMBER(_xll.ciqfunctions.udf.CIQ(P$6,$F$2, $A90, $I$2, $I$3))),IF(P89=P$6,"",P89),_xll.ciqfunctions.udf.CIQ(P$6,$F$2, $A90, $I$2, $I$3)))</f>
        <v/>
      </c>
      <c r="Q90" s="254"/>
      <c r="R90" s="251">
        <f t="shared" si="64"/>
        <v>43406</v>
      </c>
      <c r="S90" s="255">
        <f t="shared" si="66"/>
        <v>0.40593784683684797</v>
      </c>
      <c r="T90" s="255">
        <f t="shared" si="67"/>
        <v>0.22298593024876645</v>
      </c>
      <c r="U90" s="255">
        <f t="shared" si="68"/>
        <v>0.16927537711008234</v>
      </c>
      <c r="V90" s="255">
        <f t="shared" si="82"/>
        <v>0.14326450423780113</v>
      </c>
      <c r="W90" s="255">
        <f t="array" ref="W90">IFERROR(AVERAGE(IF(ISERROR(X90:AG90),"",X90:AG90)),"")</f>
        <v>0.37253264953187437</v>
      </c>
      <c r="X90" s="255">
        <f t="shared" si="83"/>
        <v>0.37253264953187437</v>
      </c>
      <c r="Y90" s="255" t="e">
        <f t="shared" si="84"/>
        <v>#N/A</v>
      </c>
      <c r="Z90" s="255" t="e">
        <f t="shared" si="85"/>
        <v>#N/A</v>
      </c>
      <c r="AA90" s="255" t="e">
        <f t="shared" si="86"/>
        <v>#N/A</v>
      </c>
      <c r="AB90" s="255" t="e">
        <f t="shared" si="87"/>
        <v>#N/A</v>
      </c>
      <c r="AC90" s="255" t="e">
        <f t="shared" si="88"/>
        <v>#N/A</v>
      </c>
      <c r="AD90" s="255" t="e">
        <f t="shared" si="89"/>
        <v>#N/A</v>
      </c>
      <c r="AE90" s="255" t="e">
        <f t="shared" si="90"/>
        <v>#N/A</v>
      </c>
      <c r="AF90" s="255" t="e">
        <f t="shared" si="91"/>
        <v>#N/A</v>
      </c>
      <c r="AG90" s="255" t="e">
        <f t="shared" si="92"/>
        <v>#N/A</v>
      </c>
      <c r="AI90" s="251">
        <f t="shared" si="65"/>
        <v>43406</v>
      </c>
      <c r="AJ90" s="718">
        <f>IF(OR($B90="No",AJ$6=""),"",IF(NOT(ISNUMBER(_xll.ciqfunctions.udf.CIQ(AJ$6,"IQ_TEV",$AI90,$I$2,$I$3))),"",_xll.ciqfunctions.udf.CIQ(AJ$6,"IQ_TEV",$AI90,$I$2,$I$3)))</f>
        <v>337748.96192999999</v>
      </c>
      <c r="AK90" s="718">
        <f>IF(OR($B90="No",AK$6=""),"",IF(NOT(ISNUMBER(_xll.ciqfunctions.udf.CIQ(AK$6,"IQ_TEV",$AI90,$I$2,$I$3))),"",_xll.ciqfunctions.udf.CIQ(AK$6,"IQ_TEV",$AI90,$I$2,$I$3)))</f>
        <v>100877.03982000001</v>
      </c>
      <c r="AL90" s="718" t="str">
        <f>IF(OR($B90="No",AL$6=""),"",IF(NOT(ISNUMBER(_xll.ciqfunctions.udf.CIQ(AL$6,"IQ_TEV",$AI90,$I$2,$I$3))),"",_xll.ciqfunctions.udf.CIQ(AL$6,"IQ_TEV",$AI90,$I$2,$I$3)))</f>
        <v/>
      </c>
      <c r="AM90" s="718" t="str">
        <f>IF(OR($B90="No",AM$6=""),"",IF(NOT(ISNUMBER(_xll.ciqfunctions.udf.CIQ(AM$6,"IQ_TEV",$AI90,$I$2,$I$3))),"",_xll.ciqfunctions.udf.CIQ(AM$6,"IQ_TEV",$AI90,$I$2,$I$3)))</f>
        <v/>
      </c>
      <c r="AN90" s="718" t="str">
        <f>IF(OR($B90="No",AN$6=""),"",IF(NOT(ISNUMBER(_xll.ciqfunctions.udf.CIQ(AN$6,"IQ_TEV",$AI90,$I$2,$I$3))),"",_xll.ciqfunctions.udf.CIQ(AN$6,"IQ_TEV",$AI90,$I$2,$I$3)))</f>
        <v/>
      </c>
      <c r="AO90" s="718" t="str">
        <f>IF(OR($B90="No",AO$6=""),"",IF(NOT(ISNUMBER(_xll.ciqfunctions.udf.CIQ(AO$6,"IQ_TEV",$AI90,$I$2,$I$3))),"",_xll.ciqfunctions.udf.CIQ(AO$6,"IQ_TEV",$AI90,$I$2,$I$3)))</f>
        <v/>
      </c>
      <c r="AP90" s="718" t="str">
        <f>IF(OR($B90="No",AP$6=""),"",IF(NOT(ISNUMBER(_xll.ciqfunctions.udf.CIQ(AP$6,"IQ_TEV",$AI90,$I$2,$I$3))),"",_xll.ciqfunctions.udf.CIQ(AP$6,"IQ_TEV",$AI90,$I$2,$I$3)))</f>
        <v/>
      </c>
      <c r="AQ90" s="718" t="str">
        <f>IF(OR($B90="No",AQ$6=""),"",IF(NOT(ISNUMBER(_xll.ciqfunctions.udf.CIQ(AQ$6,"IQ_TEV",$AI90,$I$2,$I$3))),"",_xll.ciqfunctions.udf.CIQ(AQ$6,"IQ_TEV",$AI90,$I$2,$I$3)))</f>
        <v/>
      </c>
      <c r="AR90" s="718" t="str">
        <f>IF(OR($B90="No",AR$6=""),"",IF(NOT(ISNUMBER(_xll.ciqfunctions.udf.CIQ(AR$6,"IQ_TEV",$AI90,$I$2,$I$3))),"",_xll.ciqfunctions.udf.CIQ(AR$6,"IQ_TEV",$AI90,$I$2,$I$3)))</f>
        <v/>
      </c>
      <c r="AS90" s="718" t="str">
        <f>IF(OR($B90="No",AS$6=""),"",IF(NOT(ISNUMBER(_xll.ciqfunctions.udf.CIQ(AS$6,"IQ_TEV",$AI90,$I$2,$I$3))),"",_xll.ciqfunctions.udf.CIQ(AS$6,"IQ_TEV",$AI90,$I$2,$I$3)))</f>
        <v/>
      </c>
      <c r="AT90" s="718" t="str">
        <f>IF(OR($B90="No",AT$6=""),"",IF(NOT(ISNUMBER(_xll.ciqfunctions.udf.CIQ(AT$6,"IQ_TEV",$AI90,$I$2,$I$3))),"",_xll.ciqfunctions.udf.CIQ(AT$6,"IQ_TEV",$AI90,$I$2,$I$3)))</f>
        <v/>
      </c>
      <c r="AV90" s="251">
        <f t="shared" si="69"/>
        <v>43406</v>
      </c>
      <c r="AW90" s="719">
        <f t="shared" si="70"/>
        <v>0.29377331782023663</v>
      </c>
      <c r="AX90" s="719">
        <f t="shared" si="71"/>
        <v>0.38216413070698629</v>
      </c>
      <c r="AY90" s="719" t="e">
        <f t="shared" si="72"/>
        <v>#N/A</v>
      </c>
      <c r="AZ90" s="719" t="e">
        <f t="shared" si="73"/>
        <v>#N/A</v>
      </c>
      <c r="BA90" s="719" t="e">
        <f t="shared" si="74"/>
        <v>#N/A</v>
      </c>
      <c r="BB90" s="719" t="e">
        <f t="shared" si="75"/>
        <v>#N/A</v>
      </c>
      <c r="BC90" s="719" t="e">
        <f t="shared" si="76"/>
        <v>#N/A</v>
      </c>
      <c r="BD90" s="719" t="e">
        <f t="shared" si="77"/>
        <v>#N/A</v>
      </c>
      <c r="BE90" s="719" t="e">
        <f t="shared" si="78"/>
        <v>#N/A</v>
      </c>
      <c r="BF90" s="719" t="e">
        <f t="shared" si="79"/>
        <v>#N/A</v>
      </c>
      <c r="BG90" s="719" t="e">
        <f t="shared" si="80"/>
        <v>#N/A</v>
      </c>
    </row>
    <row r="91" spans="1:59" ht="15" customHeight="1" x14ac:dyDescent="0.2">
      <c r="A91" s="251">
        <f t="shared" si="63"/>
        <v>43413</v>
      </c>
      <c r="B91" s="253" t="str">
        <f t="shared" si="81"/>
        <v>Yes</v>
      </c>
      <c r="C91" s="1033">
        <f>IF(C$6="","",IF(NOT(ISNUMBER(_xll.ciqfunctions.udf.CIQ(C$6,$F$2, $A91, $I$2, $I$3))),IF(C90=C$6,"",C90),_xll.ciqfunctions.udf.CIQ(C$6,$F$2, $A91, $I$2, $I$3)))</f>
        <v>105.56</v>
      </c>
      <c r="D91" s="1033">
        <f>IF(D$6="","",IF(NOT(ISNUMBER(_xll.ciqfunctions.udf.CIQ(D$6,$F$2, $A91, $I$2, $I$3))),IF(D90=D$6,"",D90),_xll.ciqfunctions.udf.CIQ(D$6,$F$2, $A91, $I$2, $I$3)))</f>
        <v>25989.295429999998</v>
      </c>
      <c r="E91" s="1033">
        <f>IF(E$6="","",IF(NOT(ISNUMBER(_xll.ciqfunctions.udf.CIQ(E$6,$F$2, $A91, $I$2, $I$3))),IF(E90=E$6,"",E90),_xll.ciqfunctions.udf.CIQ(E$6,$F$2, $A91, $I$2, $I$3)))</f>
        <v>8561.8344699999998</v>
      </c>
      <c r="F91" s="1033">
        <f>IF(F$6="","",IF(NOT(ISNUMBER(_xll.ciqfunctions.udf.CIQ(F$6,$F$2, $A91, $I$2, $I$3))),IF(F90=F$6,"",F90),_xll.ciqfunctions.udf.CIQ(F$6,$F$2, $A91, $I$2, $I$3)))</f>
        <v>5046.9831000000004</v>
      </c>
      <c r="G91" s="1033">
        <f>IF(G$6="","",IF(NOT(ISNUMBER(_xll.ciqfunctions.udf.CIQ(G$6,$F$2, $A91, $I$2, $I$3))),IF(G90=G$6,"",G90),_xll.ciqfunctions.udf.CIQ(G$6,$F$2, $A91, $I$2, $I$3)))</f>
        <v>237.74</v>
      </c>
      <c r="H91" s="1033" t="str">
        <f>IF(H$6="","",IF(NOT(ISNUMBER(_xll.ciqfunctions.udf.CIQ(H$6,$F$2, $A91, $I$2, $I$3))),IF(H90=H$6,"",H90),_xll.ciqfunctions.udf.CIQ(H$6,$F$2, $A91, $I$2, $I$3)))</f>
        <v/>
      </c>
      <c r="I91" s="1033" t="str">
        <f>IF(I$6="","",IF(NOT(ISNUMBER(_xll.ciqfunctions.udf.CIQ(I$6,$F$2, $A91, $I$2, $I$3))),IF(I90=I$6,"",I90),_xll.ciqfunctions.udf.CIQ(I$6,$F$2, $A91, $I$2, $I$3)))</f>
        <v/>
      </c>
      <c r="J91" s="1033" t="str">
        <f>IF(J$6="","",IF(NOT(ISNUMBER(_xll.ciqfunctions.udf.CIQ(J$6,$F$2, $A91, $I$2, $I$3))),IF(J90=J$6,"",J90),_xll.ciqfunctions.udf.CIQ(J$6,$F$2, $A91, $I$2, $I$3)))</f>
        <v/>
      </c>
      <c r="K91" s="1033" t="str">
        <f>IF(K$6="","",IF(NOT(ISNUMBER(_xll.ciqfunctions.udf.CIQ(K$6,$F$2, $A91, $I$2, $I$3))),IF(K90=K$6,"",K90),_xll.ciqfunctions.udf.CIQ(K$6,$F$2, $A91, $I$2, $I$3)))</f>
        <v/>
      </c>
      <c r="L91" s="254" t="str">
        <f>IF(L$6="","",IF(NOT(ISNUMBER(_xll.ciqfunctions.udf.CIQ(L$6,$F$2, $A91, $I$2, $I$3))),IF(L90=L$6,"",L90),_xll.ciqfunctions.udf.CIQ(L$6,$F$2, $A91, $I$2, $I$3)))</f>
        <v/>
      </c>
      <c r="M91" s="254" t="str">
        <f>IF(M$6="","",IF(NOT(ISNUMBER(_xll.ciqfunctions.udf.CIQ(M$6,$F$2, $A91, $I$2, $I$3))),IF(M90=M$6,"",M90),_xll.ciqfunctions.udf.CIQ(M$6,$F$2, $A91, $I$2, $I$3)))</f>
        <v/>
      </c>
      <c r="N91" s="254" t="str">
        <f>IF(N$6="","",IF(NOT(ISNUMBER(_xll.ciqfunctions.udf.CIQ(N$6,$F$2, $A91, $I$2, $I$3))),IF(N90=N$6,"",N90),_xll.ciqfunctions.udf.CIQ(N$6,$F$2, $A91, $I$2, $I$3)))</f>
        <v/>
      </c>
      <c r="O91" s="254" t="str">
        <f>IF(O$6="","",IF(NOT(ISNUMBER(_xll.ciqfunctions.udf.CIQ(O$6,$F$2, $A91, $I$2, $I$3))),IF(O90=O$6,"",O90),_xll.ciqfunctions.udf.CIQ(O$6,$F$2, $A91, $I$2, $I$3)))</f>
        <v/>
      </c>
      <c r="P91" s="254" t="str">
        <f>IF(P$6="","",IF(NOT(ISNUMBER(_xll.ciqfunctions.udf.CIQ(P$6,$F$2, $A91, $I$2, $I$3))),IF(P90=P$6,"",P90),_xll.ciqfunctions.udf.CIQ(P$6,$F$2, $A91, $I$2, $I$3)))</f>
        <v/>
      </c>
      <c r="Q91" s="254"/>
      <c r="R91" s="251">
        <f t="shared" si="64"/>
        <v>43413</v>
      </c>
      <c r="S91" s="255">
        <f t="shared" si="66"/>
        <v>0.46448390677025531</v>
      </c>
      <c r="T91" s="255">
        <f t="shared" si="67"/>
        <v>0.25775624983803946</v>
      </c>
      <c r="U91" s="255">
        <f t="shared" si="68"/>
        <v>0.19648527513965863</v>
      </c>
      <c r="V91" s="255">
        <f t="shared" si="82"/>
        <v>0.14972382787148319</v>
      </c>
      <c r="W91" s="255">
        <f t="array" ref="W91">IFERROR(AVERAGE(IF(ISERROR(X91:AG91),"",X91:AG91)),"")</f>
        <v>0.41773510644641898</v>
      </c>
      <c r="X91" s="255">
        <f t="shared" si="83"/>
        <v>0.41773510644641898</v>
      </c>
      <c r="Y91" s="255" t="e">
        <f t="shared" si="84"/>
        <v>#N/A</v>
      </c>
      <c r="Z91" s="255" t="e">
        <f t="shared" si="85"/>
        <v>#N/A</v>
      </c>
      <c r="AA91" s="255" t="e">
        <f t="shared" si="86"/>
        <v>#N/A</v>
      </c>
      <c r="AB91" s="255" t="e">
        <f t="shared" si="87"/>
        <v>#N/A</v>
      </c>
      <c r="AC91" s="255" t="e">
        <f t="shared" si="88"/>
        <v>#N/A</v>
      </c>
      <c r="AD91" s="255" t="e">
        <f t="shared" si="89"/>
        <v>#N/A</v>
      </c>
      <c r="AE91" s="255" t="e">
        <f t="shared" si="90"/>
        <v>#N/A</v>
      </c>
      <c r="AF91" s="255" t="e">
        <f t="shared" si="91"/>
        <v>#N/A</v>
      </c>
      <c r="AG91" s="255" t="e">
        <f t="shared" si="92"/>
        <v>#N/A</v>
      </c>
      <c r="AI91" s="251">
        <f t="shared" si="65"/>
        <v>43413</v>
      </c>
      <c r="AJ91" s="718">
        <f>IF(OR($B91="No",AJ$6=""),"",IF(NOT(ISNUMBER(_xll.ciqfunctions.udf.CIQ(AJ$6,"IQ_TEV",$AI91,$I$2,$I$3))),"",_xll.ciqfunctions.udf.CIQ(AJ$6,"IQ_TEV",$AI91,$I$2,$I$3)))</f>
        <v>350108.22184000001</v>
      </c>
      <c r="AK91" s="718">
        <f>IF(OR($B91="No",AK$6=""),"",IF(NOT(ISNUMBER(_xll.ciqfunctions.udf.CIQ(AK$6,"IQ_TEV",$AI91,$I$2,$I$3))),"",_xll.ciqfunctions.udf.CIQ(AK$6,"IQ_TEV",$AI91,$I$2,$I$3)))</f>
        <v>104198.65931</v>
      </c>
      <c r="AL91" s="718" t="str">
        <f>IF(OR($B91="No",AL$6=""),"",IF(NOT(ISNUMBER(_xll.ciqfunctions.udf.CIQ(AL$6,"IQ_TEV",$AI91,$I$2,$I$3))),"",_xll.ciqfunctions.udf.CIQ(AL$6,"IQ_TEV",$AI91,$I$2,$I$3)))</f>
        <v/>
      </c>
      <c r="AM91" s="718" t="str">
        <f>IF(OR($B91="No",AM$6=""),"",IF(NOT(ISNUMBER(_xll.ciqfunctions.udf.CIQ(AM$6,"IQ_TEV",$AI91,$I$2,$I$3))),"",_xll.ciqfunctions.udf.CIQ(AM$6,"IQ_TEV",$AI91,$I$2,$I$3)))</f>
        <v/>
      </c>
      <c r="AN91" s="718" t="str">
        <f>IF(OR($B91="No",AN$6=""),"",IF(NOT(ISNUMBER(_xll.ciqfunctions.udf.CIQ(AN$6,"IQ_TEV",$AI91,$I$2,$I$3))),"",_xll.ciqfunctions.udf.CIQ(AN$6,"IQ_TEV",$AI91,$I$2,$I$3)))</f>
        <v/>
      </c>
      <c r="AO91" s="718" t="str">
        <f>IF(OR($B91="No",AO$6=""),"",IF(NOT(ISNUMBER(_xll.ciqfunctions.udf.CIQ(AO$6,"IQ_TEV",$AI91,$I$2,$I$3))),"",_xll.ciqfunctions.udf.CIQ(AO$6,"IQ_TEV",$AI91,$I$2,$I$3)))</f>
        <v/>
      </c>
      <c r="AP91" s="718" t="str">
        <f>IF(OR($B91="No",AP$6=""),"",IF(NOT(ISNUMBER(_xll.ciqfunctions.udf.CIQ(AP$6,"IQ_TEV",$AI91,$I$2,$I$3))),"",_xll.ciqfunctions.udf.CIQ(AP$6,"IQ_TEV",$AI91,$I$2,$I$3)))</f>
        <v/>
      </c>
      <c r="AQ91" s="718" t="str">
        <f>IF(OR($B91="No",AQ$6=""),"",IF(NOT(ISNUMBER(_xll.ciqfunctions.udf.CIQ(AQ$6,"IQ_TEV",$AI91,$I$2,$I$3))),"",_xll.ciqfunctions.udf.CIQ(AQ$6,"IQ_TEV",$AI91,$I$2,$I$3)))</f>
        <v/>
      </c>
      <c r="AR91" s="718" t="str">
        <f>IF(OR($B91="No",AR$6=""),"",IF(NOT(ISNUMBER(_xll.ciqfunctions.udf.CIQ(AR$6,"IQ_TEV",$AI91,$I$2,$I$3))),"",_xll.ciqfunctions.udf.CIQ(AR$6,"IQ_TEV",$AI91,$I$2,$I$3)))</f>
        <v/>
      </c>
      <c r="AS91" s="718" t="str">
        <f>IF(OR($B91="No",AS$6=""),"",IF(NOT(ISNUMBER(_xll.ciqfunctions.udf.CIQ(AS$6,"IQ_TEV",$AI91,$I$2,$I$3))),"",_xll.ciqfunctions.udf.CIQ(AS$6,"IQ_TEV",$AI91,$I$2,$I$3)))</f>
        <v/>
      </c>
      <c r="AT91" s="718" t="str">
        <f>IF(OR($B91="No",AT$6=""),"",IF(NOT(ISNUMBER(_xll.ciqfunctions.udf.CIQ(AT$6,"IQ_TEV",$AI91,$I$2,$I$3))),"",_xll.ciqfunctions.udf.CIQ(AT$6,"IQ_TEV",$AI91,$I$2,$I$3)))</f>
        <v/>
      </c>
      <c r="AV91" s="251">
        <f t="shared" si="69"/>
        <v>43413</v>
      </c>
      <c r="AW91" s="719">
        <f t="shared" si="70"/>
        <v>0.34111641136578341</v>
      </c>
      <c r="AX91" s="719">
        <f t="shared" si="71"/>
        <v>0.42767521353740268</v>
      </c>
      <c r="AY91" s="719" t="e">
        <f t="shared" si="72"/>
        <v>#N/A</v>
      </c>
      <c r="AZ91" s="719" t="e">
        <f t="shared" si="73"/>
        <v>#N/A</v>
      </c>
      <c r="BA91" s="719" t="e">
        <f t="shared" si="74"/>
        <v>#N/A</v>
      </c>
      <c r="BB91" s="719" t="e">
        <f t="shared" si="75"/>
        <v>#N/A</v>
      </c>
      <c r="BC91" s="719" t="e">
        <f t="shared" si="76"/>
        <v>#N/A</v>
      </c>
      <c r="BD91" s="719" t="e">
        <f t="shared" si="77"/>
        <v>#N/A</v>
      </c>
      <c r="BE91" s="719" t="e">
        <f t="shared" si="78"/>
        <v>#N/A</v>
      </c>
      <c r="BF91" s="719" t="e">
        <f t="shared" si="79"/>
        <v>#N/A</v>
      </c>
      <c r="BG91" s="719" t="e">
        <f t="shared" si="80"/>
        <v>#N/A</v>
      </c>
    </row>
    <row r="92" spans="1:59" ht="15" customHeight="1" x14ac:dyDescent="0.2">
      <c r="A92" s="251">
        <f t="shared" si="63"/>
        <v>43420</v>
      </c>
      <c r="B92" s="253" t="str">
        <f t="shared" si="81"/>
        <v>Yes</v>
      </c>
      <c r="C92" s="1033">
        <f>IF(C$6="","",IF(NOT(ISNUMBER(_xll.ciqfunctions.udf.CIQ(C$6,$F$2, $A92, $I$2, $I$3))),IF(C91=C$6,"",C91),_xll.ciqfunctions.udf.CIQ(C$6,$F$2, $A92, $I$2, $I$3)))</f>
        <v>97.69</v>
      </c>
      <c r="D92" s="1033">
        <f>IF(D$6="","",IF(NOT(ISNUMBER(_xll.ciqfunctions.udf.CIQ(D$6,$F$2, $A92, $I$2, $I$3))),IF(D91=D$6,"",D91),_xll.ciqfunctions.udf.CIQ(D$6,$F$2, $A92, $I$2, $I$3)))</f>
        <v>25413.220130000002</v>
      </c>
      <c r="E92" s="1033">
        <f>IF(E$6="","",IF(NOT(ISNUMBER(_xll.ciqfunctions.udf.CIQ(E$6,$F$2, $A92, $I$2, $I$3))),IF(E91=E$6,"",E91),_xll.ciqfunctions.udf.CIQ(E$6,$F$2, $A92, $I$2, $I$3)))</f>
        <v>8449.4621800000004</v>
      </c>
      <c r="F92" s="1033">
        <f>IF(F$6="","",IF(NOT(ISNUMBER(_xll.ciqfunctions.udf.CIQ(F$6,$F$2, $A92, $I$2, $I$3))),IF(F91=F$6,"",F91),_xll.ciqfunctions.udf.CIQ(F$6,$F$2, $A92, $I$2, $I$3)))</f>
        <v>4823.1823700000004</v>
      </c>
      <c r="G92" s="1033">
        <f>IF(G$6="","",IF(NOT(ISNUMBER(_xll.ciqfunctions.udf.CIQ(G$6,$F$2, $A92, $I$2, $I$3))),IF(G91=G$6,"",G91),_xll.ciqfunctions.udf.CIQ(G$6,$F$2, $A92, $I$2, $I$3)))</f>
        <v>231.02</v>
      </c>
      <c r="H92" s="1033" t="str">
        <f>IF(H$6="","",IF(NOT(ISNUMBER(_xll.ciqfunctions.udf.CIQ(H$6,$F$2, $A92, $I$2, $I$3))),IF(H91=H$6,"",H91),_xll.ciqfunctions.udf.CIQ(H$6,$F$2, $A92, $I$2, $I$3)))</f>
        <v/>
      </c>
      <c r="I92" s="1033" t="str">
        <f>IF(I$6="","",IF(NOT(ISNUMBER(_xll.ciqfunctions.udf.CIQ(I$6,$F$2, $A92, $I$2, $I$3))),IF(I91=I$6,"",I91),_xll.ciqfunctions.udf.CIQ(I$6,$F$2, $A92, $I$2, $I$3)))</f>
        <v/>
      </c>
      <c r="J92" s="1033" t="str">
        <f>IF(J$6="","",IF(NOT(ISNUMBER(_xll.ciqfunctions.udf.CIQ(J$6,$F$2, $A92, $I$2, $I$3))),IF(J91=J$6,"",J91),_xll.ciqfunctions.udf.CIQ(J$6,$F$2, $A92, $I$2, $I$3)))</f>
        <v/>
      </c>
      <c r="K92" s="1033" t="str">
        <f>IF(K$6="","",IF(NOT(ISNUMBER(_xll.ciqfunctions.udf.CIQ(K$6,$F$2, $A92, $I$2, $I$3))),IF(K91=K$6,"",K91),_xll.ciqfunctions.udf.CIQ(K$6,$F$2, $A92, $I$2, $I$3)))</f>
        <v/>
      </c>
      <c r="L92" s="254" t="str">
        <f>IF(L$6="","",IF(NOT(ISNUMBER(_xll.ciqfunctions.udf.CIQ(L$6,$F$2, $A92, $I$2, $I$3))),IF(L91=L$6,"",L91),_xll.ciqfunctions.udf.CIQ(L$6,$F$2, $A92, $I$2, $I$3)))</f>
        <v/>
      </c>
      <c r="M92" s="254" t="str">
        <f>IF(M$6="","",IF(NOT(ISNUMBER(_xll.ciqfunctions.udf.CIQ(M$6,$F$2, $A92, $I$2, $I$3))),IF(M91=M$6,"",M91),_xll.ciqfunctions.udf.CIQ(M$6,$F$2, $A92, $I$2, $I$3)))</f>
        <v/>
      </c>
      <c r="N92" s="254" t="str">
        <f>IF(N$6="","",IF(NOT(ISNUMBER(_xll.ciqfunctions.udf.CIQ(N$6,$F$2, $A92, $I$2, $I$3))),IF(N91=N$6,"",N91),_xll.ciqfunctions.udf.CIQ(N$6,$F$2, $A92, $I$2, $I$3)))</f>
        <v/>
      </c>
      <c r="O92" s="254" t="str">
        <f>IF(O$6="","",IF(NOT(ISNUMBER(_xll.ciqfunctions.udf.CIQ(O$6,$F$2, $A92, $I$2, $I$3))),IF(O91=O$6,"",O91),_xll.ciqfunctions.udf.CIQ(O$6,$F$2, $A92, $I$2, $I$3)))</f>
        <v/>
      </c>
      <c r="P92" s="254" t="str">
        <f>IF(P$6="","",IF(NOT(ISNUMBER(_xll.ciqfunctions.udf.CIQ(P$6,$F$2, $A92, $I$2, $I$3))),IF(P91=P$6,"",P91),_xll.ciqfunctions.udf.CIQ(P$6,$F$2, $A92, $I$2, $I$3)))</f>
        <v/>
      </c>
      <c r="Q92" s="254"/>
      <c r="R92" s="251">
        <f t="shared" si="64"/>
        <v>43420</v>
      </c>
      <c r="S92" s="255">
        <f t="shared" si="66"/>
        <v>0.35529966703662597</v>
      </c>
      <c r="T92" s="255">
        <f t="shared" si="67"/>
        <v>0.22987699043664978</v>
      </c>
      <c r="U92" s="255">
        <f t="shared" si="68"/>
        <v>0.18078165568873006</v>
      </c>
      <c r="V92" s="255">
        <f t="shared" si="82"/>
        <v>9.8741086919560406E-2</v>
      </c>
      <c r="W92" s="255">
        <f t="array" ref="W92">IFERROR(AVERAGE(IF(ISERROR(X92:AG92),"",X92:AG92)),"")</f>
        <v>0.37766116047468556</v>
      </c>
      <c r="X92" s="255">
        <f t="shared" si="83"/>
        <v>0.37766116047468556</v>
      </c>
      <c r="Y92" s="255" t="e">
        <f t="shared" si="84"/>
        <v>#N/A</v>
      </c>
      <c r="Z92" s="255" t="e">
        <f t="shared" si="85"/>
        <v>#N/A</v>
      </c>
      <c r="AA92" s="255" t="e">
        <f t="shared" si="86"/>
        <v>#N/A</v>
      </c>
      <c r="AB92" s="255" t="e">
        <f t="shared" si="87"/>
        <v>#N/A</v>
      </c>
      <c r="AC92" s="255" t="e">
        <f t="shared" si="88"/>
        <v>#N/A</v>
      </c>
      <c r="AD92" s="255" t="e">
        <f t="shared" si="89"/>
        <v>#N/A</v>
      </c>
      <c r="AE92" s="255" t="e">
        <f t="shared" si="90"/>
        <v>#N/A</v>
      </c>
      <c r="AF92" s="255" t="e">
        <f t="shared" si="91"/>
        <v>#N/A</v>
      </c>
      <c r="AG92" s="255" t="e">
        <f t="shared" si="92"/>
        <v>#N/A</v>
      </c>
      <c r="AI92" s="251">
        <f t="shared" si="65"/>
        <v>43420</v>
      </c>
      <c r="AJ92" s="718">
        <f>IF(OR($B92="No",AJ$6=""),"",IF(NOT(ISNUMBER(_xll.ciqfunctions.udf.CIQ(AJ$6,"IQ_TEV",$AI92,$I$2,$I$3))),"",_xll.ciqfunctions.udf.CIQ(AJ$6,"IQ_TEV",$AI92,$I$2,$I$3)))</f>
        <v>345398.08072999999</v>
      </c>
      <c r="AK92" s="718">
        <f>IF(OR($B92="No",AK$6=""),"",IF(NOT(ISNUMBER(_xll.ciqfunctions.udf.CIQ(AK$6,"IQ_TEV",$AI92,$I$2,$I$3))),"",_xll.ciqfunctions.udf.CIQ(AK$6,"IQ_TEV",$AI92,$I$2,$I$3)))</f>
        <v>101253.89902</v>
      </c>
      <c r="AL92" s="718" t="str">
        <f>IF(OR($B92="No",AL$6=""),"",IF(NOT(ISNUMBER(_xll.ciqfunctions.udf.CIQ(AL$6,"IQ_TEV",$AI92,$I$2,$I$3))),"",_xll.ciqfunctions.udf.CIQ(AL$6,"IQ_TEV",$AI92,$I$2,$I$3)))</f>
        <v/>
      </c>
      <c r="AM92" s="718" t="str">
        <f>IF(OR($B92="No",AM$6=""),"",IF(NOT(ISNUMBER(_xll.ciqfunctions.udf.CIQ(AM$6,"IQ_TEV",$AI92,$I$2,$I$3))),"",_xll.ciqfunctions.udf.CIQ(AM$6,"IQ_TEV",$AI92,$I$2,$I$3)))</f>
        <v/>
      </c>
      <c r="AN92" s="718" t="str">
        <f>IF(OR($B92="No",AN$6=""),"",IF(NOT(ISNUMBER(_xll.ciqfunctions.udf.CIQ(AN$6,"IQ_TEV",$AI92,$I$2,$I$3))),"",_xll.ciqfunctions.udf.CIQ(AN$6,"IQ_TEV",$AI92,$I$2,$I$3)))</f>
        <v/>
      </c>
      <c r="AO92" s="718" t="str">
        <f>IF(OR($B92="No",AO$6=""),"",IF(NOT(ISNUMBER(_xll.ciqfunctions.udf.CIQ(AO$6,"IQ_TEV",$AI92,$I$2,$I$3))),"",_xll.ciqfunctions.udf.CIQ(AO$6,"IQ_TEV",$AI92,$I$2,$I$3)))</f>
        <v/>
      </c>
      <c r="AP92" s="718" t="str">
        <f>IF(OR($B92="No",AP$6=""),"",IF(NOT(ISNUMBER(_xll.ciqfunctions.udf.CIQ(AP$6,"IQ_TEV",$AI92,$I$2,$I$3))),"",_xll.ciqfunctions.udf.CIQ(AP$6,"IQ_TEV",$AI92,$I$2,$I$3)))</f>
        <v/>
      </c>
      <c r="AQ92" s="718" t="str">
        <f>IF(OR($B92="No",AQ$6=""),"",IF(NOT(ISNUMBER(_xll.ciqfunctions.udf.CIQ(AQ$6,"IQ_TEV",$AI92,$I$2,$I$3))),"",_xll.ciqfunctions.udf.CIQ(AQ$6,"IQ_TEV",$AI92,$I$2,$I$3)))</f>
        <v/>
      </c>
      <c r="AR92" s="718" t="str">
        <f>IF(OR($B92="No",AR$6=""),"",IF(NOT(ISNUMBER(_xll.ciqfunctions.udf.CIQ(AR$6,"IQ_TEV",$AI92,$I$2,$I$3))),"",_xll.ciqfunctions.udf.CIQ(AR$6,"IQ_TEV",$AI92,$I$2,$I$3)))</f>
        <v/>
      </c>
      <c r="AS92" s="718" t="str">
        <f>IF(OR($B92="No",AS$6=""),"",IF(NOT(ISNUMBER(_xll.ciqfunctions.udf.CIQ(AS$6,"IQ_TEV",$AI92,$I$2,$I$3))),"",_xll.ciqfunctions.udf.CIQ(AS$6,"IQ_TEV",$AI92,$I$2,$I$3)))</f>
        <v/>
      </c>
      <c r="AT92" s="718" t="str">
        <f>IF(OR($B92="No",AT$6=""),"",IF(NOT(ISNUMBER(_xll.ciqfunctions.udf.CIQ(AT$6,"IQ_TEV",$AI92,$I$2,$I$3))),"",_xll.ciqfunctions.udf.CIQ(AT$6,"IQ_TEV",$AI92,$I$2,$I$3)))</f>
        <v/>
      </c>
      <c r="AV92" s="251">
        <f t="shared" si="69"/>
        <v>43420</v>
      </c>
      <c r="AW92" s="719">
        <f t="shared" si="70"/>
        <v>0.3230738543836269</v>
      </c>
      <c r="AX92" s="719">
        <f t="shared" si="71"/>
        <v>0.38732765720911555</v>
      </c>
      <c r="AY92" s="719" t="e">
        <f t="shared" si="72"/>
        <v>#N/A</v>
      </c>
      <c r="AZ92" s="719" t="e">
        <f t="shared" si="73"/>
        <v>#N/A</v>
      </c>
      <c r="BA92" s="719" t="e">
        <f t="shared" si="74"/>
        <v>#N/A</v>
      </c>
      <c r="BB92" s="719" t="e">
        <f t="shared" si="75"/>
        <v>#N/A</v>
      </c>
      <c r="BC92" s="719" t="e">
        <f t="shared" si="76"/>
        <v>#N/A</v>
      </c>
      <c r="BD92" s="719" t="e">
        <f t="shared" si="77"/>
        <v>#N/A</v>
      </c>
      <c r="BE92" s="719" t="e">
        <f t="shared" si="78"/>
        <v>#N/A</v>
      </c>
      <c r="BF92" s="719" t="e">
        <f t="shared" si="79"/>
        <v>#N/A</v>
      </c>
      <c r="BG92" s="719" t="e">
        <f t="shared" si="80"/>
        <v>#N/A</v>
      </c>
    </row>
    <row r="93" spans="1:59" ht="15" customHeight="1" x14ac:dyDescent="0.2">
      <c r="A93" s="251">
        <f t="shared" si="63"/>
        <v>43427</v>
      </c>
      <c r="B93" s="253" t="str">
        <f t="shared" si="81"/>
        <v>Yes</v>
      </c>
      <c r="C93" s="1033">
        <f>IF(C$6="","",IF(NOT(ISNUMBER(_xll.ciqfunctions.udf.CIQ(C$6,$F$2, $A93, $I$2, $I$3))),IF(C92=C$6,"",C92),_xll.ciqfunctions.udf.CIQ(C$6,$F$2, $A93, $I$2, $I$3)))</f>
        <v>95.1</v>
      </c>
      <c r="D93" s="1033">
        <f>IF(D$6="","",IF(NOT(ISNUMBER(_xll.ciqfunctions.udf.CIQ(D$6,$F$2, $A93, $I$2, $I$3))),IF(D92=D$6,"",D92),_xll.ciqfunctions.udf.CIQ(D$6,$F$2, $A93, $I$2, $I$3)))</f>
        <v>24285.954140000002</v>
      </c>
      <c r="E93" s="1033">
        <f>IF(E$6="","",IF(NOT(ISNUMBER(_xll.ciqfunctions.udf.CIQ(E$6,$F$2, $A93, $I$2, $I$3))),IF(E92=E$6,"",E92),_xll.ciqfunctions.udf.CIQ(E$6,$F$2, $A93, $I$2, $I$3)))</f>
        <v>8167.4036500000002</v>
      </c>
      <c r="F93" s="1033">
        <f>IF(F$6="","",IF(NOT(ISNUMBER(_xll.ciqfunctions.udf.CIQ(F$6,$F$2, $A93, $I$2, $I$3))),IF(F92=F$6,"",F92),_xll.ciqfunctions.udf.CIQ(F$6,$F$2, $A93, $I$2, $I$3)))</f>
        <v>4655.1152899999997</v>
      </c>
      <c r="G93" s="1033">
        <f>IF(G$6="","",IF(NOT(ISNUMBER(_xll.ciqfunctions.udf.CIQ(G$6,$F$2, $A93, $I$2, $I$3))),IF(G92=G$6,"",G92),_xll.ciqfunctions.udf.CIQ(G$6,$F$2, $A93, $I$2, $I$3)))</f>
        <v>220.06</v>
      </c>
      <c r="H93" s="1033" t="str">
        <f>IF(H$6="","",IF(NOT(ISNUMBER(_xll.ciqfunctions.udf.CIQ(H$6,$F$2, $A93, $I$2, $I$3))),IF(H92=H$6,"",H92),_xll.ciqfunctions.udf.CIQ(H$6,$F$2, $A93, $I$2, $I$3)))</f>
        <v/>
      </c>
      <c r="I93" s="1033" t="str">
        <f>IF(I$6="","",IF(NOT(ISNUMBER(_xll.ciqfunctions.udf.CIQ(I$6,$F$2, $A93, $I$2, $I$3))),IF(I92=I$6,"",I92),_xll.ciqfunctions.udf.CIQ(I$6,$F$2, $A93, $I$2, $I$3)))</f>
        <v/>
      </c>
      <c r="J93" s="1033" t="str">
        <f>IF(J$6="","",IF(NOT(ISNUMBER(_xll.ciqfunctions.udf.CIQ(J$6,$F$2, $A93, $I$2, $I$3))),IF(J92=J$6,"",J92),_xll.ciqfunctions.udf.CIQ(J$6,$F$2, $A93, $I$2, $I$3)))</f>
        <v/>
      </c>
      <c r="K93" s="1033" t="str">
        <f>IF(K$6="","",IF(NOT(ISNUMBER(_xll.ciqfunctions.udf.CIQ(K$6,$F$2, $A93, $I$2, $I$3))),IF(K92=K$6,"",K92),_xll.ciqfunctions.udf.CIQ(K$6,$F$2, $A93, $I$2, $I$3)))</f>
        <v/>
      </c>
      <c r="L93" s="254" t="str">
        <f>IF(L$6="","",IF(NOT(ISNUMBER(_xll.ciqfunctions.udf.CIQ(L$6,$F$2, $A93, $I$2, $I$3))),IF(L92=L$6,"",L92),_xll.ciqfunctions.udf.CIQ(L$6,$F$2, $A93, $I$2, $I$3)))</f>
        <v/>
      </c>
      <c r="M93" s="254" t="str">
        <f>IF(M$6="","",IF(NOT(ISNUMBER(_xll.ciqfunctions.udf.CIQ(M$6,$F$2, $A93, $I$2, $I$3))),IF(M92=M$6,"",M92),_xll.ciqfunctions.udf.CIQ(M$6,$F$2, $A93, $I$2, $I$3)))</f>
        <v/>
      </c>
      <c r="N93" s="254" t="str">
        <f>IF(N$6="","",IF(NOT(ISNUMBER(_xll.ciqfunctions.udf.CIQ(N$6,$F$2, $A93, $I$2, $I$3))),IF(N92=N$6,"",N92),_xll.ciqfunctions.udf.CIQ(N$6,$F$2, $A93, $I$2, $I$3)))</f>
        <v/>
      </c>
      <c r="O93" s="254" t="str">
        <f>IF(O$6="","",IF(NOT(ISNUMBER(_xll.ciqfunctions.udf.CIQ(O$6,$F$2, $A93, $I$2, $I$3))),IF(O92=O$6,"",O92),_xll.ciqfunctions.udf.CIQ(O$6,$F$2, $A93, $I$2, $I$3)))</f>
        <v/>
      </c>
      <c r="P93" s="254" t="str">
        <f>IF(P$6="","",IF(NOT(ISNUMBER(_xll.ciqfunctions.udf.CIQ(P$6,$F$2, $A93, $I$2, $I$3))),IF(P92=P$6,"",P92),_xll.ciqfunctions.udf.CIQ(P$6,$F$2, $A93, $I$2, $I$3)))</f>
        <v/>
      </c>
      <c r="Q93" s="254"/>
      <c r="R93" s="251">
        <f t="shared" si="64"/>
        <v>43427</v>
      </c>
      <c r="S93" s="255">
        <f t="shared" si="66"/>
        <v>0.31936736958934508</v>
      </c>
      <c r="T93" s="255">
        <f t="shared" si="67"/>
        <v>0.17532276644965639</v>
      </c>
      <c r="U93" s="255">
        <f t="shared" si="68"/>
        <v>0.14136500040824806</v>
      </c>
      <c r="V93" s="255">
        <f t="shared" si="82"/>
        <v>6.0454704197814513E-2</v>
      </c>
      <c r="W93" s="255">
        <f t="array" ref="W93">IFERROR(AVERAGE(IF(ISERROR(X93:AG93),"",X93:AG93)),"")</f>
        <v>0.31230246287792962</v>
      </c>
      <c r="X93" s="255">
        <f t="shared" si="83"/>
        <v>0.31230246287792962</v>
      </c>
      <c r="Y93" s="255" t="e">
        <f t="shared" si="84"/>
        <v>#N/A</v>
      </c>
      <c r="Z93" s="255" t="e">
        <f t="shared" si="85"/>
        <v>#N/A</v>
      </c>
      <c r="AA93" s="255" t="e">
        <f t="shared" si="86"/>
        <v>#N/A</v>
      </c>
      <c r="AB93" s="255" t="e">
        <f t="shared" si="87"/>
        <v>#N/A</v>
      </c>
      <c r="AC93" s="255" t="e">
        <f t="shared" si="88"/>
        <v>#N/A</v>
      </c>
      <c r="AD93" s="255" t="e">
        <f t="shared" si="89"/>
        <v>#N/A</v>
      </c>
      <c r="AE93" s="255" t="e">
        <f t="shared" si="90"/>
        <v>#N/A</v>
      </c>
      <c r="AF93" s="255" t="e">
        <f t="shared" si="91"/>
        <v>#N/A</v>
      </c>
      <c r="AG93" s="255" t="e">
        <f t="shared" si="92"/>
        <v>#N/A</v>
      </c>
      <c r="AI93" s="251">
        <f t="shared" si="65"/>
        <v>43427</v>
      </c>
      <c r="AJ93" s="718">
        <f>IF(OR($B93="No",AJ$6=""),"",IF(NOT(ISNUMBER(_xll.ciqfunctions.udf.CIQ(AJ$6,"IQ_TEV",$AI93,$I$2,$I$3))),"",_xll.ciqfunctions.udf.CIQ(AJ$6,"IQ_TEV",$AI93,$I$2,$I$3)))</f>
        <v>337812.65818000003</v>
      </c>
      <c r="AK93" s="718">
        <f>IF(OR($B93="No",AK$6=""),"",IF(NOT(ISNUMBER(_xll.ciqfunctions.udf.CIQ(AK$6,"IQ_TEV",$AI93,$I$2,$I$3))),"",_xll.ciqfunctions.udf.CIQ(AK$6,"IQ_TEV",$AI93,$I$2,$I$3)))</f>
        <v>96451.135219999996</v>
      </c>
      <c r="AL93" s="718" t="str">
        <f>IF(OR($B93="No",AL$6=""),"",IF(NOT(ISNUMBER(_xll.ciqfunctions.udf.CIQ(AL$6,"IQ_TEV",$AI93,$I$2,$I$3))),"",_xll.ciqfunctions.udf.CIQ(AL$6,"IQ_TEV",$AI93,$I$2,$I$3)))</f>
        <v/>
      </c>
      <c r="AM93" s="718" t="str">
        <f>IF(OR($B93="No",AM$6=""),"",IF(NOT(ISNUMBER(_xll.ciqfunctions.udf.CIQ(AM$6,"IQ_TEV",$AI93,$I$2,$I$3))),"",_xll.ciqfunctions.udf.CIQ(AM$6,"IQ_TEV",$AI93,$I$2,$I$3)))</f>
        <v/>
      </c>
      <c r="AN93" s="718" t="str">
        <f>IF(OR($B93="No",AN$6=""),"",IF(NOT(ISNUMBER(_xll.ciqfunctions.udf.CIQ(AN$6,"IQ_TEV",$AI93,$I$2,$I$3))),"",_xll.ciqfunctions.udf.CIQ(AN$6,"IQ_TEV",$AI93,$I$2,$I$3)))</f>
        <v/>
      </c>
      <c r="AO93" s="718" t="str">
        <f>IF(OR($B93="No",AO$6=""),"",IF(NOT(ISNUMBER(_xll.ciqfunctions.udf.CIQ(AO$6,"IQ_TEV",$AI93,$I$2,$I$3))),"",_xll.ciqfunctions.udf.CIQ(AO$6,"IQ_TEV",$AI93,$I$2,$I$3)))</f>
        <v/>
      </c>
      <c r="AP93" s="718" t="str">
        <f>IF(OR($B93="No",AP$6=""),"",IF(NOT(ISNUMBER(_xll.ciqfunctions.udf.CIQ(AP$6,"IQ_TEV",$AI93,$I$2,$I$3))),"",_xll.ciqfunctions.udf.CIQ(AP$6,"IQ_TEV",$AI93,$I$2,$I$3)))</f>
        <v/>
      </c>
      <c r="AQ93" s="718" t="str">
        <f>IF(OR($B93="No",AQ$6=""),"",IF(NOT(ISNUMBER(_xll.ciqfunctions.udf.CIQ(AQ$6,"IQ_TEV",$AI93,$I$2,$I$3))),"",_xll.ciqfunctions.udf.CIQ(AQ$6,"IQ_TEV",$AI93,$I$2,$I$3)))</f>
        <v/>
      </c>
      <c r="AR93" s="718" t="str">
        <f>IF(OR($B93="No",AR$6=""),"",IF(NOT(ISNUMBER(_xll.ciqfunctions.udf.CIQ(AR$6,"IQ_TEV",$AI93,$I$2,$I$3))),"",_xll.ciqfunctions.udf.CIQ(AR$6,"IQ_TEV",$AI93,$I$2,$I$3)))</f>
        <v/>
      </c>
      <c r="AS93" s="718" t="str">
        <f>IF(OR($B93="No",AS$6=""),"",IF(NOT(ISNUMBER(_xll.ciqfunctions.udf.CIQ(AS$6,"IQ_TEV",$AI93,$I$2,$I$3))),"",_xll.ciqfunctions.udf.CIQ(AS$6,"IQ_TEV",$AI93,$I$2,$I$3)))</f>
        <v/>
      </c>
      <c r="AT93" s="718" t="str">
        <f>IF(OR($B93="No",AT$6=""),"",IF(NOT(ISNUMBER(_xll.ciqfunctions.udf.CIQ(AT$6,"IQ_TEV",$AI93,$I$2,$I$3))),"",_xll.ciqfunctions.udf.CIQ(AT$6,"IQ_TEV",$AI93,$I$2,$I$3)))</f>
        <v/>
      </c>
      <c r="AV93" s="251">
        <f t="shared" si="69"/>
        <v>43427</v>
      </c>
      <c r="AW93" s="719">
        <f t="shared" si="70"/>
        <v>0.29401731119396701</v>
      </c>
      <c r="AX93" s="719">
        <f t="shared" si="71"/>
        <v>0.32152271423633527</v>
      </c>
      <c r="AY93" s="719" t="e">
        <f t="shared" si="72"/>
        <v>#N/A</v>
      </c>
      <c r="AZ93" s="719" t="e">
        <f t="shared" si="73"/>
        <v>#N/A</v>
      </c>
      <c r="BA93" s="719" t="e">
        <f t="shared" si="74"/>
        <v>#N/A</v>
      </c>
      <c r="BB93" s="719" t="e">
        <f t="shared" si="75"/>
        <v>#N/A</v>
      </c>
      <c r="BC93" s="719" t="e">
        <f t="shared" si="76"/>
        <v>#N/A</v>
      </c>
      <c r="BD93" s="719" t="e">
        <f t="shared" si="77"/>
        <v>#N/A</v>
      </c>
      <c r="BE93" s="719" t="e">
        <f t="shared" si="78"/>
        <v>#N/A</v>
      </c>
      <c r="BF93" s="719" t="e">
        <f t="shared" si="79"/>
        <v>#N/A</v>
      </c>
      <c r="BG93" s="719" t="e">
        <f t="shared" si="80"/>
        <v>#N/A</v>
      </c>
    </row>
    <row r="94" spans="1:59" ht="15" customHeight="1" x14ac:dyDescent="0.2">
      <c r="A94" s="251">
        <f t="shared" si="63"/>
        <v>43434</v>
      </c>
      <c r="B94" s="253" t="str">
        <f t="shared" si="81"/>
        <v>Yes</v>
      </c>
      <c r="C94" s="1033">
        <f>IF(C$6="","",IF(NOT(ISNUMBER(_xll.ciqfunctions.udf.CIQ(C$6,$F$2, $A94, $I$2, $I$3))),IF(C93=C$6,"",C93),_xll.ciqfunctions.udf.CIQ(C$6,$F$2, $A94, $I$2, $I$3)))</f>
        <v>97.65</v>
      </c>
      <c r="D94" s="1033">
        <f>IF(D$6="","",IF(NOT(ISNUMBER(_xll.ciqfunctions.udf.CIQ(D$6,$F$2, $A94, $I$2, $I$3))),IF(D93=D$6,"",D93),_xll.ciqfunctions.udf.CIQ(D$6,$F$2, $A94, $I$2, $I$3)))</f>
        <v>25538.456839999999</v>
      </c>
      <c r="E94" s="1033">
        <f>IF(E$6="","",IF(NOT(ISNUMBER(_xll.ciqfunctions.udf.CIQ(E$6,$F$2, $A94, $I$2, $I$3))),IF(E93=E$6,"",E93),_xll.ciqfunctions.udf.CIQ(E$6,$F$2, $A94, $I$2, $I$3)))</f>
        <v>8545.8340499999995</v>
      </c>
      <c r="F94" s="1033">
        <f>IF(F$6="","",IF(NOT(ISNUMBER(_xll.ciqfunctions.udf.CIQ(F$6,$F$2, $A94, $I$2, $I$3))),IF(F93=F$6,"",F93),_xll.ciqfunctions.udf.CIQ(F$6,$F$2, $A94, $I$2, $I$3)))</f>
        <v>4804.3366699999997</v>
      </c>
      <c r="G94" s="1033">
        <f>IF(G$6="","",IF(NOT(ISNUMBER(_xll.ciqfunctions.udf.CIQ(G$6,$F$2, $A94, $I$2, $I$3))),IF(G93=G$6,"",G93),_xll.ciqfunctions.udf.CIQ(G$6,$F$2, $A94, $I$2, $I$3)))</f>
        <v>231.28</v>
      </c>
      <c r="H94" s="1033" t="str">
        <f>IF(H$6="","",IF(NOT(ISNUMBER(_xll.ciqfunctions.udf.CIQ(H$6,$F$2, $A94, $I$2, $I$3))),IF(H93=H$6,"",H93),_xll.ciqfunctions.udf.CIQ(H$6,$F$2, $A94, $I$2, $I$3)))</f>
        <v/>
      </c>
      <c r="I94" s="1033" t="str">
        <f>IF(I$6="","",IF(NOT(ISNUMBER(_xll.ciqfunctions.udf.CIQ(I$6,$F$2, $A94, $I$2, $I$3))),IF(I93=I$6,"",I93),_xll.ciqfunctions.udf.CIQ(I$6,$F$2, $A94, $I$2, $I$3)))</f>
        <v/>
      </c>
      <c r="J94" s="1033" t="str">
        <f>IF(J$6="","",IF(NOT(ISNUMBER(_xll.ciqfunctions.udf.CIQ(J$6,$F$2, $A94, $I$2, $I$3))),IF(J93=J$6,"",J93),_xll.ciqfunctions.udf.CIQ(J$6,$F$2, $A94, $I$2, $I$3)))</f>
        <v/>
      </c>
      <c r="K94" s="1033" t="str">
        <f>IF(K$6="","",IF(NOT(ISNUMBER(_xll.ciqfunctions.udf.CIQ(K$6,$F$2, $A94, $I$2, $I$3))),IF(K93=K$6,"",K93),_xll.ciqfunctions.udf.CIQ(K$6,$F$2, $A94, $I$2, $I$3)))</f>
        <v/>
      </c>
      <c r="L94" s="254" t="str">
        <f>IF(L$6="","",IF(NOT(ISNUMBER(_xll.ciqfunctions.udf.CIQ(L$6,$F$2, $A94, $I$2, $I$3))),IF(L93=L$6,"",L93),_xll.ciqfunctions.udf.CIQ(L$6,$F$2, $A94, $I$2, $I$3)))</f>
        <v/>
      </c>
      <c r="M94" s="254" t="str">
        <f>IF(M$6="","",IF(NOT(ISNUMBER(_xll.ciqfunctions.udf.CIQ(M$6,$F$2, $A94, $I$2, $I$3))),IF(M93=M$6,"",M93),_xll.ciqfunctions.udf.CIQ(M$6,$F$2, $A94, $I$2, $I$3)))</f>
        <v/>
      </c>
      <c r="N94" s="254" t="str">
        <f>IF(N$6="","",IF(NOT(ISNUMBER(_xll.ciqfunctions.udf.CIQ(N$6,$F$2, $A94, $I$2, $I$3))),IF(N93=N$6,"",N93),_xll.ciqfunctions.udf.CIQ(N$6,$F$2, $A94, $I$2, $I$3)))</f>
        <v/>
      </c>
      <c r="O94" s="254" t="str">
        <f>IF(O$6="","",IF(NOT(ISNUMBER(_xll.ciqfunctions.udf.CIQ(O$6,$F$2, $A94, $I$2, $I$3))),IF(O93=O$6,"",O93),_xll.ciqfunctions.udf.CIQ(O$6,$F$2, $A94, $I$2, $I$3)))</f>
        <v/>
      </c>
      <c r="P94" s="254" t="str">
        <f>IF(P$6="","",IF(NOT(ISNUMBER(_xll.ciqfunctions.udf.CIQ(P$6,$F$2, $A94, $I$2, $I$3))),IF(P93=P$6,"",P93),_xll.ciqfunctions.udf.CIQ(P$6,$F$2, $A94, $I$2, $I$3)))</f>
        <v/>
      </c>
      <c r="Q94" s="254"/>
      <c r="R94" s="251">
        <f t="shared" si="64"/>
        <v>43434</v>
      </c>
      <c r="S94" s="255">
        <f t="shared" si="66"/>
        <v>0.35474472807991142</v>
      </c>
      <c r="T94" s="255">
        <f t="shared" si="67"/>
        <v>0.23593784172582422</v>
      </c>
      <c r="U94" s="255">
        <f t="shared" si="68"/>
        <v>0.19424927454969976</v>
      </c>
      <c r="V94" s="255">
        <f t="shared" si="82"/>
        <v>9.4447957754353107E-2</v>
      </c>
      <c r="W94" s="255">
        <f t="array" ref="W94">IFERROR(AVERAGE(IF(ISERROR(X94:AG94),"",X94:AG94)),"")</f>
        <v>0.37921164052716327</v>
      </c>
      <c r="X94" s="255">
        <f t="shared" si="83"/>
        <v>0.37921164052716327</v>
      </c>
      <c r="Y94" s="255" t="e">
        <f t="shared" si="84"/>
        <v>#N/A</v>
      </c>
      <c r="Z94" s="255" t="e">
        <f t="shared" si="85"/>
        <v>#N/A</v>
      </c>
      <c r="AA94" s="255" t="e">
        <f t="shared" si="86"/>
        <v>#N/A</v>
      </c>
      <c r="AB94" s="255" t="e">
        <f t="shared" si="87"/>
        <v>#N/A</v>
      </c>
      <c r="AC94" s="255" t="e">
        <f t="shared" si="88"/>
        <v>#N/A</v>
      </c>
      <c r="AD94" s="255" t="e">
        <f t="shared" si="89"/>
        <v>#N/A</v>
      </c>
      <c r="AE94" s="255" t="e">
        <f t="shared" si="90"/>
        <v>#N/A</v>
      </c>
      <c r="AF94" s="255" t="e">
        <f t="shared" si="91"/>
        <v>#N/A</v>
      </c>
      <c r="AG94" s="255" t="e">
        <f t="shared" si="92"/>
        <v>#N/A</v>
      </c>
      <c r="AI94" s="251">
        <f t="shared" si="65"/>
        <v>43434</v>
      </c>
      <c r="AJ94" s="718">
        <f>IF(OR($B94="No",AJ$6=""),"",IF(NOT(ISNUMBER(_xll.ciqfunctions.udf.CIQ(AJ$6,"IQ_TEV",$AI94,$I$2,$I$3))),"",_xll.ciqfunctions.udf.CIQ(AJ$6,"IQ_TEV",$AI94,$I$2,$I$3)))</f>
        <v>343458.64476</v>
      </c>
      <c r="AK94" s="718">
        <f>IF(OR($B94="No",AK$6=""),"",IF(NOT(ISNUMBER(_xll.ciqfunctions.udf.CIQ(AK$6,"IQ_TEV",$AI94,$I$2,$I$3))),"",_xll.ciqfunctions.udf.CIQ(AK$6,"IQ_TEV",$AI94,$I$2,$I$3)))</f>
        <v>101367.83319999999</v>
      </c>
      <c r="AL94" s="718" t="str">
        <f>IF(OR($B94="No",AL$6=""),"",IF(NOT(ISNUMBER(_xll.ciqfunctions.udf.CIQ(AL$6,"IQ_TEV",$AI94,$I$2,$I$3))),"",_xll.ciqfunctions.udf.CIQ(AL$6,"IQ_TEV",$AI94,$I$2,$I$3)))</f>
        <v/>
      </c>
      <c r="AM94" s="718" t="str">
        <f>IF(OR($B94="No",AM$6=""),"",IF(NOT(ISNUMBER(_xll.ciqfunctions.udf.CIQ(AM$6,"IQ_TEV",$AI94,$I$2,$I$3))),"",_xll.ciqfunctions.udf.CIQ(AM$6,"IQ_TEV",$AI94,$I$2,$I$3)))</f>
        <v/>
      </c>
      <c r="AN94" s="718" t="str">
        <f>IF(OR($B94="No",AN$6=""),"",IF(NOT(ISNUMBER(_xll.ciqfunctions.udf.CIQ(AN$6,"IQ_TEV",$AI94,$I$2,$I$3))),"",_xll.ciqfunctions.udf.CIQ(AN$6,"IQ_TEV",$AI94,$I$2,$I$3)))</f>
        <v/>
      </c>
      <c r="AO94" s="718" t="str">
        <f>IF(OR($B94="No",AO$6=""),"",IF(NOT(ISNUMBER(_xll.ciqfunctions.udf.CIQ(AO$6,"IQ_TEV",$AI94,$I$2,$I$3))),"",_xll.ciqfunctions.udf.CIQ(AO$6,"IQ_TEV",$AI94,$I$2,$I$3)))</f>
        <v/>
      </c>
      <c r="AP94" s="718" t="str">
        <f>IF(OR($B94="No",AP$6=""),"",IF(NOT(ISNUMBER(_xll.ciqfunctions.udf.CIQ(AP$6,"IQ_TEV",$AI94,$I$2,$I$3))),"",_xll.ciqfunctions.udf.CIQ(AP$6,"IQ_TEV",$AI94,$I$2,$I$3)))</f>
        <v/>
      </c>
      <c r="AQ94" s="718" t="str">
        <f>IF(OR($B94="No",AQ$6=""),"",IF(NOT(ISNUMBER(_xll.ciqfunctions.udf.CIQ(AQ$6,"IQ_TEV",$AI94,$I$2,$I$3))),"",_xll.ciqfunctions.udf.CIQ(AQ$6,"IQ_TEV",$AI94,$I$2,$I$3)))</f>
        <v/>
      </c>
      <c r="AR94" s="718" t="str">
        <f>IF(OR($B94="No",AR$6=""),"",IF(NOT(ISNUMBER(_xll.ciqfunctions.udf.CIQ(AR$6,"IQ_TEV",$AI94,$I$2,$I$3))),"",_xll.ciqfunctions.udf.CIQ(AR$6,"IQ_TEV",$AI94,$I$2,$I$3)))</f>
        <v/>
      </c>
      <c r="AS94" s="718" t="str">
        <f>IF(OR($B94="No",AS$6=""),"",IF(NOT(ISNUMBER(_xll.ciqfunctions.udf.CIQ(AS$6,"IQ_TEV",$AI94,$I$2,$I$3))),"",_xll.ciqfunctions.udf.CIQ(AS$6,"IQ_TEV",$AI94,$I$2,$I$3)))</f>
        <v/>
      </c>
      <c r="AT94" s="718" t="str">
        <f>IF(OR($B94="No",AT$6=""),"",IF(NOT(ISNUMBER(_xll.ciqfunctions.udf.CIQ(AT$6,"IQ_TEV",$AI94,$I$2,$I$3))),"",_xll.ciqfunctions.udf.CIQ(AT$6,"IQ_TEV",$AI94,$I$2,$I$3)))</f>
        <v/>
      </c>
      <c r="AV94" s="251">
        <f t="shared" si="69"/>
        <v>43434</v>
      </c>
      <c r="AW94" s="719">
        <f t="shared" si="70"/>
        <v>0.31564469606654888</v>
      </c>
      <c r="AX94" s="719">
        <f t="shared" si="71"/>
        <v>0.3888887234055316</v>
      </c>
      <c r="AY94" s="719" t="e">
        <f t="shared" si="72"/>
        <v>#N/A</v>
      </c>
      <c r="AZ94" s="719" t="e">
        <f t="shared" si="73"/>
        <v>#N/A</v>
      </c>
      <c r="BA94" s="719" t="e">
        <f t="shared" si="74"/>
        <v>#N/A</v>
      </c>
      <c r="BB94" s="719" t="e">
        <f t="shared" si="75"/>
        <v>#N/A</v>
      </c>
      <c r="BC94" s="719" t="e">
        <f t="shared" si="76"/>
        <v>#N/A</v>
      </c>
      <c r="BD94" s="719" t="e">
        <f t="shared" si="77"/>
        <v>#N/A</v>
      </c>
      <c r="BE94" s="719" t="e">
        <f t="shared" si="78"/>
        <v>#N/A</v>
      </c>
      <c r="BF94" s="719" t="e">
        <f t="shared" si="79"/>
        <v>#N/A</v>
      </c>
      <c r="BG94" s="719" t="e">
        <f t="shared" si="80"/>
        <v>#N/A</v>
      </c>
    </row>
    <row r="95" spans="1:59" ht="15" customHeight="1" x14ac:dyDescent="0.2">
      <c r="A95" s="251">
        <f t="shared" si="63"/>
        <v>43441</v>
      </c>
      <c r="B95" s="253" t="str">
        <f t="shared" si="81"/>
        <v>Yes</v>
      </c>
      <c r="C95" s="1033">
        <f>IF(C$6="","",IF(NOT(ISNUMBER(_xll.ciqfunctions.udf.CIQ(C$6,$F$2, $A95, $I$2, $I$3))),IF(C94=C$6,"",C94),_xll.ciqfunctions.udf.CIQ(C$6,$F$2, $A95, $I$2, $I$3)))</f>
        <v>93.19</v>
      </c>
      <c r="D95" s="1033">
        <f>IF(D$6="","",IF(NOT(ISNUMBER(_xll.ciqfunctions.udf.CIQ(D$6,$F$2, $A95, $I$2, $I$3))),IF(D94=D$6,"",D94),_xll.ciqfunctions.udf.CIQ(D$6,$F$2, $A95, $I$2, $I$3)))</f>
        <v>24388.950649999999</v>
      </c>
      <c r="E95" s="1033">
        <f>IF(E$6="","",IF(NOT(ISNUMBER(_xll.ciqfunctions.udf.CIQ(E$6,$F$2, $A95, $I$2, $I$3))),IF(E94=E$6,"",E94),_xll.ciqfunctions.udf.CIQ(E$6,$F$2, $A95, $I$2, $I$3)))</f>
        <v>8153.5005600000004</v>
      </c>
      <c r="F95" s="1033">
        <f>IF(F$6="","",IF(NOT(ISNUMBER(_xll.ciqfunctions.udf.CIQ(F$6,$F$2, $A95, $I$2, $I$3))),IF(F94=F$6,"",F94),_xll.ciqfunctions.udf.CIQ(F$6,$F$2, $A95, $I$2, $I$3)))</f>
        <v>4491.1848799999998</v>
      </c>
      <c r="G95" s="1033">
        <f>IF(G$6="","",IF(NOT(ISNUMBER(_xll.ciqfunctions.udf.CIQ(G$6,$F$2, $A95, $I$2, $I$3))),IF(G94=G$6,"",G94),_xll.ciqfunctions.udf.CIQ(G$6,$F$2, $A95, $I$2, $I$3)))</f>
        <v>224.86</v>
      </c>
      <c r="H95" s="1033" t="str">
        <f>IF(H$6="","",IF(NOT(ISNUMBER(_xll.ciqfunctions.udf.CIQ(H$6,$F$2, $A95, $I$2, $I$3))),IF(H94=H$6,"",H94),_xll.ciqfunctions.udf.CIQ(H$6,$F$2, $A95, $I$2, $I$3)))</f>
        <v/>
      </c>
      <c r="I95" s="1033" t="str">
        <f>IF(I$6="","",IF(NOT(ISNUMBER(_xll.ciqfunctions.udf.CIQ(I$6,$F$2, $A95, $I$2, $I$3))),IF(I94=I$6,"",I94),_xll.ciqfunctions.udf.CIQ(I$6,$F$2, $A95, $I$2, $I$3)))</f>
        <v/>
      </c>
      <c r="J95" s="1033" t="str">
        <f>IF(J$6="","",IF(NOT(ISNUMBER(_xll.ciqfunctions.udf.CIQ(J$6,$F$2, $A95, $I$2, $I$3))),IF(J94=J$6,"",J94),_xll.ciqfunctions.udf.CIQ(J$6,$F$2, $A95, $I$2, $I$3)))</f>
        <v/>
      </c>
      <c r="K95" s="1033" t="str">
        <f>IF(K$6="","",IF(NOT(ISNUMBER(_xll.ciqfunctions.udf.CIQ(K$6,$F$2, $A95, $I$2, $I$3))),IF(K94=K$6,"",K94),_xll.ciqfunctions.udf.CIQ(K$6,$F$2, $A95, $I$2, $I$3)))</f>
        <v/>
      </c>
      <c r="L95" s="254" t="str">
        <f>IF(L$6="","",IF(NOT(ISNUMBER(_xll.ciqfunctions.udf.CIQ(L$6,$F$2, $A95, $I$2, $I$3))),IF(L94=L$6,"",L94),_xll.ciqfunctions.udf.CIQ(L$6,$F$2, $A95, $I$2, $I$3)))</f>
        <v/>
      </c>
      <c r="M95" s="254" t="str">
        <f>IF(M$6="","",IF(NOT(ISNUMBER(_xll.ciqfunctions.udf.CIQ(M$6,$F$2, $A95, $I$2, $I$3))),IF(M94=M$6,"",M94),_xll.ciqfunctions.udf.CIQ(M$6,$F$2, $A95, $I$2, $I$3)))</f>
        <v/>
      </c>
      <c r="N95" s="254" t="str">
        <f>IF(N$6="","",IF(NOT(ISNUMBER(_xll.ciqfunctions.udf.CIQ(N$6,$F$2, $A95, $I$2, $I$3))),IF(N94=N$6,"",N94),_xll.ciqfunctions.udf.CIQ(N$6,$F$2, $A95, $I$2, $I$3)))</f>
        <v/>
      </c>
      <c r="O95" s="254" t="str">
        <f>IF(O$6="","",IF(NOT(ISNUMBER(_xll.ciqfunctions.udf.CIQ(O$6,$F$2, $A95, $I$2, $I$3))),IF(O94=O$6,"",O94),_xll.ciqfunctions.udf.CIQ(O$6,$F$2, $A95, $I$2, $I$3)))</f>
        <v/>
      </c>
      <c r="P95" s="254" t="str">
        <f>IF(P$6="","",IF(NOT(ISNUMBER(_xll.ciqfunctions.udf.CIQ(P$6,$F$2, $A95, $I$2, $I$3))),IF(P94=P$6,"",P94),_xll.ciqfunctions.udf.CIQ(P$6,$F$2, $A95, $I$2, $I$3)))</f>
        <v/>
      </c>
      <c r="Q95" s="254"/>
      <c r="R95" s="251">
        <f t="shared" si="64"/>
        <v>43441</v>
      </c>
      <c r="S95" s="255">
        <f t="shared" si="66"/>
        <v>0.29286903440621526</v>
      </c>
      <c r="T95" s="255">
        <f t="shared" si="67"/>
        <v>0.18030729958226566</v>
      </c>
      <c r="U95" s="255">
        <f t="shared" si="68"/>
        <v>0.13942209406939887</v>
      </c>
      <c r="V95" s="255">
        <f t="shared" si="82"/>
        <v>2.3110672178024094E-2</v>
      </c>
      <c r="W95" s="255">
        <f t="array" ref="W95">IFERROR(AVERAGE(IF(ISERROR(X95:AG95),"",X95:AG95)),"")</f>
        <v>0.34092671000059638</v>
      </c>
      <c r="X95" s="255">
        <f t="shared" si="83"/>
        <v>0.34092671000059638</v>
      </c>
      <c r="Y95" s="255" t="e">
        <f t="shared" si="84"/>
        <v>#N/A</v>
      </c>
      <c r="Z95" s="255" t="e">
        <f t="shared" si="85"/>
        <v>#N/A</v>
      </c>
      <c r="AA95" s="255" t="e">
        <f t="shared" si="86"/>
        <v>#N/A</v>
      </c>
      <c r="AB95" s="255" t="e">
        <f t="shared" si="87"/>
        <v>#N/A</v>
      </c>
      <c r="AC95" s="255" t="e">
        <f t="shared" si="88"/>
        <v>#N/A</v>
      </c>
      <c r="AD95" s="255" t="e">
        <f t="shared" si="89"/>
        <v>#N/A</v>
      </c>
      <c r="AE95" s="255" t="e">
        <f t="shared" si="90"/>
        <v>#N/A</v>
      </c>
      <c r="AF95" s="255" t="e">
        <f t="shared" si="91"/>
        <v>#N/A</v>
      </c>
      <c r="AG95" s="255" t="e">
        <f t="shared" si="92"/>
        <v>#N/A</v>
      </c>
      <c r="AI95" s="251">
        <f t="shared" si="65"/>
        <v>43441</v>
      </c>
      <c r="AJ95" s="718">
        <f>IF(OR($B95="No",AJ$6=""),"",IF(NOT(ISNUMBER(_xll.ciqfunctions.udf.CIQ(AJ$6,"IQ_TEV",$AI95,$I$2,$I$3))),"",_xll.ciqfunctions.udf.CIQ(AJ$6,"IQ_TEV",$AI95,$I$2,$I$3)))</f>
        <v>330501.18489999999</v>
      </c>
      <c r="AK95" s="718">
        <f>IF(OR($B95="No",AK$6=""),"",IF(NOT(ISNUMBER(_xll.ciqfunctions.udf.CIQ(AK$6,"IQ_TEV",$AI95,$I$2,$I$3))),"",_xll.ciqfunctions.udf.CIQ(AK$6,"IQ_TEV",$AI95,$I$2,$I$3)))</f>
        <v>98554.535430000004</v>
      </c>
      <c r="AL95" s="718" t="str">
        <f>IF(OR($B95="No",AL$6=""),"",IF(NOT(ISNUMBER(_xll.ciqfunctions.udf.CIQ(AL$6,"IQ_TEV",$AI95,$I$2,$I$3))),"",_xll.ciqfunctions.udf.CIQ(AL$6,"IQ_TEV",$AI95,$I$2,$I$3)))</f>
        <v/>
      </c>
      <c r="AM95" s="718" t="str">
        <f>IF(OR($B95="No",AM$6=""),"",IF(NOT(ISNUMBER(_xll.ciqfunctions.udf.CIQ(AM$6,"IQ_TEV",$AI95,$I$2,$I$3))),"",_xll.ciqfunctions.udf.CIQ(AM$6,"IQ_TEV",$AI95,$I$2,$I$3)))</f>
        <v/>
      </c>
      <c r="AN95" s="718" t="str">
        <f>IF(OR($B95="No",AN$6=""),"",IF(NOT(ISNUMBER(_xll.ciqfunctions.udf.CIQ(AN$6,"IQ_TEV",$AI95,$I$2,$I$3))),"",_xll.ciqfunctions.udf.CIQ(AN$6,"IQ_TEV",$AI95,$I$2,$I$3)))</f>
        <v/>
      </c>
      <c r="AO95" s="718" t="str">
        <f>IF(OR($B95="No",AO$6=""),"",IF(NOT(ISNUMBER(_xll.ciqfunctions.udf.CIQ(AO$6,"IQ_TEV",$AI95,$I$2,$I$3))),"",_xll.ciqfunctions.udf.CIQ(AO$6,"IQ_TEV",$AI95,$I$2,$I$3)))</f>
        <v/>
      </c>
      <c r="AP95" s="718" t="str">
        <f>IF(OR($B95="No",AP$6=""),"",IF(NOT(ISNUMBER(_xll.ciqfunctions.udf.CIQ(AP$6,"IQ_TEV",$AI95,$I$2,$I$3))),"",_xll.ciqfunctions.udf.CIQ(AP$6,"IQ_TEV",$AI95,$I$2,$I$3)))</f>
        <v/>
      </c>
      <c r="AQ95" s="718" t="str">
        <f>IF(OR($B95="No",AQ$6=""),"",IF(NOT(ISNUMBER(_xll.ciqfunctions.udf.CIQ(AQ$6,"IQ_TEV",$AI95,$I$2,$I$3))),"",_xll.ciqfunctions.udf.CIQ(AQ$6,"IQ_TEV",$AI95,$I$2,$I$3)))</f>
        <v/>
      </c>
      <c r="AR95" s="718" t="str">
        <f>IF(OR($B95="No",AR$6=""),"",IF(NOT(ISNUMBER(_xll.ciqfunctions.udf.CIQ(AR$6,"IQ_TEV",$AI95,$I$2,$I$3))),"",_xll.ciqfunctions.udf.CIQ(AR$6,"IQ_TEV",$AI95,$I$2,$I$3)))</f>
        <v/>
      </c>
      <c r="AS95" s="718" t="str">
        <f>IF(OR($B95="No",AS$6=""),"",IF(NOT(ISNUMBER(_xll.ciqfunctions.udf.CIQ(AS$6,"IQ_TEV",$AI95,$I$2,$I$3))),"",_xll.ciqfunctions.udf.CIQ(AS$6,"IQ_TEV",$AI95,$I$2,$I$3)))</f>
        <v/>
      </c>
      <c r="AT95" s="718" t="str">
        <f>IF(OR($B95="No",AT$6=""),"",IF(NOT(ISNUMBER(_xll.ciqfunctions.udf.CIQ(AT$6,"IQ_TEV",$AI95,$I$2,$I$3))),"",_xll.ciqfunctions.udf.CIQ(AT$6,"IQ_TEV",$AI95,$I$2,$I$3)))</f>
        <v/>
      </c>
      <c r="AV95" s="251">
        <f t="shared" si="69"/>
        <v>43441</v>
      </c>
      <c r="AW95" s="719">
        <f t="shared" si="70"/>
        <v>0.2660101517061455</v>
      </c>
      <c r="AX95" s="719">
        <f t="shared" si="71"/>
        <v>0.35034239736711603</v>
      </c>
      <c r="AY95" s="719" t="e">
        <f t="shared" si="72"/>
        <v>#N/A</v>
      </c>
      <c r="AZ95" s="719" t="e">
        <f t="shared" si="73"/>
        <v>#N/A</v>
      </c>
      <c r="BA95" s="719" t="e">
        <f t="shared" si="74"/>
        <v>#N/A</v>
      </c>
      <c r="BB95" s="719" t="e">
        <f t="shared" si="75"/>
        <v>#N/A</v>
      </c>
      <c r="BC95" s="719" t="e">
        <f t="shared" si="76"/>
        <v>#N/A</v>
      </c>
      <c r="BD95" s="719" t="e">
        <f t="shared" si="77"/>
        <v>#N/A</v>
      </c>
      <c r="BE95" s="719" t="e">
        <f t="shared" si="78"/>
        <v>#N/A</v>
      </c>
      <c r="BF95" s="719" t="e">
        <f t="shared" si="79"/>
        <v>#N/A</v>
      </c>
      <c r="BG95" s="719" t="e">
        <f t="shared" si="80"/>
        <v>#N/A</v>
      </c>
    </row>
    <row r="96" spans="1:59" ht="15" customHeight="1" x14ac:dyDescent="0.2">
      <c r="A96" s="251">
        <f t="shared" si="63"/>
        <v>43448</v>
      </c>
      <c r="B96" s="253" t="str">
        <f t="shared" si="81"/>
        <v>Yes</v>
      </c>
      <c r="C96" s="1033">
        <f>IF(C$6="","",IF(NOT(ISNUMBER(_xll.ciqfunctions.udf.CIQ(C$6,$F$2, $A96, $I$2, $I$3))),IF(C95=C$6,"",C95),_xll.ciqfunctions.udf.CIQ(C$6,$F$2, $A96, $I$2, $I$3)))</f>
        <v>91.85</v>
      </c>
      <c r="D96" s="1033">
        <f>IF(D$6="","",IF(NOT(ISNUMBER(_xll.ciqfunctions.udf.CIQ(D$6,$F$2, $A96, $I$2, $I$3))),IF(D95=D$6,"",D95),_xll.ciqfunctions.udf.CIQ(D$6,$F$2, $A96, $I$2, $I$3)))</f>
        <v>24100.506170000001</v>
      </c>
      <c r="E96" s="1033">
        <f>IF(E$6="","",IF(NOT(ISNUMBER(_xll.ciqfunctions.udf.CIQ(E$6,$F$2, $A96, $I$2, $I$3))),IF(E95=E$6,"",E95),_xll.ciqfunctions.udf.CIQ(E$6,$F$2, $A96, $I$2, $I$3)))</f>
        <v>8010.0507900000002</v>
      </c>
      <c r="F96" s="1033">
        <f>IF(F$6="","",IF(NOT(ISNUMBER(_xll.ciqfunctions.udf.CIQ(F$6,$F$2, $A96, $I$2, $I$3))),IF(F95=F$6,"",F95),_xll.ciqfunctions.udf.CIQ(F$6,$F$2, $A96, $I$2, $I$3)))</f>
        <v>4350.6046100000003</v>
      </c>
      <c r="G96" s="1033">
        <f>IF(G$6="","",IF(NOT(ISNUMBER(_xll.ciqfunctions.udf.CIQ(G$6,$F$2, $A96, $I$2, $I$3))),IF(G95=G$6,"",G95),_xll.ciqfunctions.udf.CIQ(G$6,$F$2, $A96, $I$2, $I$3)))</f>
        <v>207.06</v>
      </c>
      <c r="H96" s="1033" t="str">
        <f>IF(H$6="","",IF(NOT(ISNUMBER(_xll.ciqfunctions.udf.CIQ(H$6,$F$2, $A96, $I$2, $I$3))),IF(H95=H$6,"",H95),_xll.ciqfunctions.udf.CIQ(H$6,$F$2, $A96, $I$2, $I$3)))</f>
        <v/>
      </c>
      <c r="I96" s="1033" t="str">
        <f>IF(I$6="","",IF(NOT(ISNUMBER(_xll.ciqfunctions.udf.CIQ(I$6,$F$2, $A96, $I$2, $I$3))),IF(I95=I$6,"",I95),_xll.ciqfunctions.udf.CIQ(I$6,$F$2, $A96, $I$2, $I$3)))</f>
        <v/>
      </c>
      <c r="J96" s="1033" t="str">
        <f>IF(J$6="","",IF(NOT(ISNUMBER(_xll.ciqfunctions.udf.CIQ(J$6,$F$2, $A96, $I$2, $I$3))),IF(J95=J$6,"",J95),_xll.ciqfunctions.udf.CIQ(J$6,$F$2, $A96, $I$2, $I$3)))</f>
        <v/>
      </c>
      <c r="K96" s="1033" t="str">
        <f>IF(K$6="","",IF(NOT(ISNUMBER(_xll.ciqfunctions.udf.CIQ(K$6,$F$2, $A96, $I$2, $I$3))),IF(K95=K$6,"",K95),_xll.ciqfunctions.udf.CIQ(K$6,$F$2, $A96, $I$2, $I$3)))</f>
        <v/>
      </c>
      <c r="L96" s="254" t="str">
        <f>IF(L$6="","",IF(NOT(ISNUMBER(_xll.ciqfunctions.udf.CIQ(L$6,$F$2, $A96, $I$2, $I$3))),IF(L95=L$6,"",L95),_xll.ciqfunctions.udf.CIQ(L$6,$F$2, $A96, $I$2, $I$3)))</f>
        <v/>
      </c>
      <c r="M96" s="254" t="str">
        <f>IF(M$6="","",IF(NOT(ISNUMBER(_xll.ciqfunctions.udf.CIQ(M$6,$F$2, $A96, $I$2, $I$3))),IF(M95=M$6,"",M95),_xll.ciqfunctions.udf.CIQ(M$6,$F$2, $A96, $I$2, $I$3)))</f>
        <v/>
      </c>
      <c r="N96" s="254" t="str">
        <f>IF(N$6="","",IF(NOT(ISNUMBER(_xll.ciqfunctions.udf.CIQ(N$6,$F$2, $A96, $I$2, $I$3))),IF(N95=N$6,"",N95),_xll.ciqfunctions.udf.CIQ(N$6,$F$2, $A96, $I$2, $I$3)))</f>
        <v/>
      </c>
      <c r="O96" s="254" t="str">
        <f>IF(O$6="","",IF(NOT(ISNUMBER(_xll.ciqfunctions.udf.CIQ(O$6,$F$2, $A96, $I$2, $I$3))),IF(O95=O$6,"",O95),_xll.ciqfunctions.udf.CIQ(O$6,$F$2, $A96, $I$2, $I$3)))</f>
        <v/>
      </c>
      <c r="P96" s="254" t="str">
        <f>IF(P$6="","",IF(NOT(ISNUMBER(_xll.ciqfunctions.udf.CIQ(P$6,$F$2, $A96, $I$2, $I$3))),IF(P95=P$6,"",P95),_xll.ciqfunctions.udf.CIQ(P$6,$F$2, $A96, $I$2, $I$3)))</f>
        <v/>
      </c>
      <c r="Q96" s="254"/>
      <c r="R96" s="251">
        <f t="shared" si="64"/>
        <v>43448</v>
      </c>
      <c r="S96" s="255">
        <f t="shared" si="66"/>
        <v>0.27427857935627076</v>
      </c>
      <c r="T96" s="255">
        <f t="shared" si="67"/>
        <v>0.16634798127644879</v>
      </c>
      <c r="U96" s="255">
        <f t="shared" si="68"/>
        <v>0.11937550964539856</v>
      </c>
      <c r="V96" s="255">
        <f t="shared" si="82"/>
        <v>-8.9141004326878104E-3</v>
      </c>
      <c r="W96" s="255">
        <f t="array" ref="W96">IFERROR(AVERAGE(IF(ISERROR(X96:AG96),"",X96:AG96)),"")</f>
        <v>0.23477846025404014</v>
      </c>
      <c r="X96" s="255">
        <f t="shared" si="83"/>
        <v>0.23477846025404014</v>
      </c>
      <c r="Y96" s="255" t="e">
        <f t="shared" si="84"/>
        <v>#N/A</v>
      </c>
      <c r="Z96" s="255" t="e">
        <f t="shared" si="85"/>
        <v>#N/A</v>
      </c>
      <c r="AA96" s="255" t="e">
        <f t="shared" si="86"/>
        <v>#N/A</v>
      </c>
      <c r="AB96" s="255" t="e">
        <f t="shared" si="87"/>
        <v>#N/A</v>
      </c>
      <c r="AC96" s="255" t="e">
        <f t="shared" si="88"/>
        <v>#N/A</v>
      </c>
      <c r="AD96" s="255" t="e">
        <f t="shared" si="89"/>
        <v>#N/A</v>
      </c>
      <c r="AE96" s="255" t="e">
        <f t="shared" si="90"/>
        <v>#N/A</v>
      </c>
      <c r="AF96" s="255" t="e">
        <f t="shared" si="91"/>
        <v>#N/A</v>
      </c>
      <c r="AG96" s="255" t="e">
        <f t="shared" si="92"/>
        <v>#N/A</v>
      </c>
      <c r="AI96" s="251">
        <f t="shared" si="65"/>
        <v>43448</v>
      </c>
      <c r="AJ96" s="718">
        <f>IF(OR($B96="No",AJ$6=""),"",IF(NOT(ISNUMBER(_xll.ciqfunctions.udf.CIQ(AJ$6,"IQ_TEV",$AI96,$I$2,$I$3))),"",_xll.ciqfunctions.udf.CIQ(AJ$6,"IQ_TEV",$AI96,$I$2,$I$3)))</f>
        <v>326608.13642</v>
      </c>
      <c r="AK96" s="718">
        <f>IF(OR($B96="No",AK$6=""),"",IF(NOT(ISNUMBER(_xll.ciqfunctions.udf.CIQ(AK$6,"IQ_TEV",$AI96,$I$2,$I$3))),"",_xll.ciqfunctions.udf.CIQ(AK$6,"IQ_TEV",$AI96,$I$2,$I$3)))</f>
        <v>90058.454759999993</v>
      </c>
      <c r="AL96" s="718" t="str">
        <f>IF(OR($B96="No",AL$6=""),"",IF(NOT(ISNUMBER(_xll.ciqfunctions.udf.CIQ(AL$6,"IQ_TEV",$AI96,$I$2,$I$3))),"",_xll.ciqfunctions.udf.CIQ(AL$6,"IQ_TEV",$AI96,$I$2,$I$3)))</f>
        <v/>
      </c>
      <c r="AM96" s="718" t="str">
        <f>IF(OR($B96="No",AM$6=""),"",IF(NOT(ISNUMBER(_xll.ciqfunctions.udf.CIQ(AM$6,"IQ_TEV",$AI96,$I$2,$I$3))),"",_xll.ciqfunctions.udf.CIQ(AM$6,"IQ_TEV",$AI96,$I$2,$I$3)))</f>
        <v/>
      </c>
      <c r="AN96" s="718" t="str">
        <f>IF(OR($B96="No",AN$6=""),"",IF(NOT(ISNUMBER(_xll.ciqfunctions.udf.CIQ(AN$6,"IQ_TEV",$AI96,$I$2,$I$3))),"",_xll.ciqfunctions.udf.CIQ(AN$6,"IQ_TEV",$AI96,$I$2,$I$3)))</f>
        <v/>
      </c>
      <c r="AO96" s="718" t="str">
        <f>IF(OR($B96="No",AO$6=""),"",IF(NOT(ISNUMBER(_xll.ciqfunctions.udf.CIQ(AO$6,"IQ_TEV",$AI96,$I$2,$I$3))),"",_xll.ciqfunctions.udf.CIQ(AO$6,"IQ_TEV",$AI96,$I$2,$I$3)))</f>
        <v/>
      </c>
      <c r="AP96" s="718" t="str">
        <f>IF(OR($B96="No",AP$6=""),"",IF(NOT(ISNUMBER(_xll.ciqfunctions.udf.CIQ(AP$6,"IQ_TEV",$AI96,$I$2,$I$3))),"",_xll.ciqfunctions.udf.CIQ(AP$6,"IQ_TEV",$AI96,$I$2,$I$3)))</f>
        <v/>
      </c>
      <c r="AQ96" s="718" t="str">
        <f>IF(OR($B96="No",AQ$6=""),"",IF(NOT(ISNUMBER(_xll.ciqfunctions.udf.CIQ(AQ$6,"IQ_TEV",$AI96,$I$2,$I$3))),"",_xll.ciqfunctions.udf.CIQ(AQ$6,"IQ_TEV",$AI96,$I$2,$I$3)))</f>
        <v/>
      </c>
      <c r="AR96" s="718" t="str">
        <f>IF(OR($B96="No",AR$6=""),"",IF(NOT(ISNUMBER(_xll.ciqfunctions.udf.CIQ(AR$6,"IQ_TEV",$AI96,$I$2,$I$3))),"",_xll.ciqfunctions.udf.CIQ(AR$6,"IQ_TEV",$AI96,$I$2,$I$3)))</f>
        <v/>
      </c>
      <c r="AS96" s="718" t="str">
        <f>IF(OR($B96="No",AS$6=""),"",IF(NOT(ISNUMBER(_xll.ciqfunctions.udf.CIQ(AS$6,"IQ_TEV",$AI96,$I$2,$I$3))),"",_xll.ciqfunctions.udf.CIQ(AS$6,"IQ_TEV",$AI96,$I$2,$I$3)))</f>
        <v/>
      </c>
      <c r="AT96" s="718" t="str">
        <f>IF(OR($B96="No",AT$6=""),"",IF(NOT(ISNUMBER(_xll.ciqfunctions.udf.CIQ(AT$6,"IQ_TEV",$AI96,$I$2,$I$3))),"",_xll.ciqfunctions.udf.CIQ(AT$6,"IQ_TEV",$AI96,$I$2,$I$3)))</f>
        <v/>
      </c>
      <c r="AV96" s="251">
        <f t="shared" si="69"/>
        <v>43448</v>
      </c>
      <c r="AW96" s="719">
        <f t="shared" si="70"/>
        <v>0.25109753074759911</v>
      </c>
      <c r="AX96" s="719">
        <f t="shared" si="71"/>
        <v>0.23393356960392464</v>
      </c>
      <c r="AY96" s="719" t="e">
        <f t="shared" si="72"/>
        <v>#N/A</v>
      </c>
      <c r="AZ96" s="719" t="e">
        <f t="shared" si="73"/>
        <v>#N/A</v>
      </c>
      <c r="BA96" s="719" t="e">
        <f t="shared" si="74"/>
        <v>#N/A</v>
      </c>
      <c r="BB96" s="719" t="e">
        <f t="shared" si="75"/>
        <v>#N/A</v>
      </c>
      <c r="BC96" s="719" t="e">
        <f t="shared" si="76"/>
        <v>#N/A</v>
      </c>
      <c r="BD96" s="719" t="e">
        <f t="shared" si="77"/>
        <v>#N/A</v>
      </c>
      <c r="BE96" s="719" t="e">
        <f t="shared" si="78"/>
        <v>#N/A</v>
      </c>
      <c r="BF96" s="719" t="e">
        <f t="shared" si="79"/>
        <v>#N/A</v>
      </c>
      <c r="BG96" s="719" t="e">
        <f t="shared" si="80"/>
        <v>#N/A</v>
      </c>
    </row>
    <row r="97" spans="1:59" ht="15" customHeight="1" x14ac:dyDescent="0.2">
      <c r="A97" s="251">
        <f t="shared" si="63"/>
        <v>43455</v>
      </c>
      <c r="B97" s="253" t="str">
        <f t="shared" si="81"/>
        <v>Yes</v>
      </c>
      <c r="C97" s="1033">
        <f>IF(C$6="","",IF(NOT(ISNUMBER(_xll.ciqfunctions.udf.CIQ(C$6,$F$2, $A97, $I$2, $I$3))),IF(C96=C$6,"",C96),_xll.ciqfunctions.udf.CIQ(C$6,$F$2, $A97, $I$2, $I$3)))</f>
        <v>87.13</v>
      </c>
      <c r="D97" s="1033">
        <f>IF(D$6="","",IF(NOT(ISNUMBER(_xll.ciqfunctions.udf.CIQ(D$6,$F$2, $A97, $I$2, $I$3))),IF(D96=D$6,"",D96),_xll.ciqfunctions.udf.CIQ(D$6,$F$2, $A97, $I$2, $I$3)))</f>
        <v>22445.37457</v>
      </c>
      <c r="E97" s="1033">
        <f>IF(E$6="","",IF(NOT(ISNUMBER(_xll.ciqfunctions.udf.CIQ(E$6,$F$2, $A97, $I$2, $I$3))),IF(E96=E$6,"",E96),_xll.ciqfunctions.udf.CIQ(E$6,$F$2, $A97, $I$2, $I$3)))</f>
        <v>7490.6109100000003</v>
      </c>
      <c r="F97" s="1033">
        <f>IF(F$6="","",IF(NOT(ISNUMBER(_xll.ciqfunctions.udf.CIQ(F$6,$F$2, $A97, $I$2, $I$3))),IF(F96=F$6,"",F96),_xll.ciqfunctions.udf.CIQ(F$6,$F$2, $A97, $I$2, $I$3)))</f>
        <v>4012.2697899999998</v>
      </c>
      <c r="G97" s="1033">
        <f>IF(G$6="","",IF(NOT(ISNUMBER(_xll.ciqfunctions.udf.CIQ(G$6,$F$2, $A97, $I$2, $I$3))),IF(G96=G$6,"",G96),_xll.ciqfunctions.udf.CIQ(G$6,$F$2, $A97, $I$2, $I$3)))</f>
        <v>194.52</v>
      </c>
      <c r="H97" s="1033" t="str">
        <f>IF(H$6="","",IF(NOT(ISNUMBER(_xll.ciqfunctions.udf.CIQ(H$6,$F$2, $A97, $I$2, $I$3))),IF(H96=H$6,"",H96),_xll.ciqfunctions.udf.CIQ(H$6,$F$2, $A97, $I$2, $I$3)))</f>
        <v/>
      </c>
      <c r="I97" s="1033" t="str">
        <f>IF(I$6="","",IF(NOT(ISNUMBER(_xll.ciqfunctions.udf.CIQ(I$6,$F$2, $A97, $I$2, $I$3))),IF(I96=I$6,"",I96),_xll.ciqfunctions.udf.CIQ(I$6,$F$2, $A97, $I$2, $I$3)))</f>
        <v/>
      </c>
      <c r="J97" s="1033" t="str">
        <f>IF(J$6="","",IF(NOT(ISNUMBER(_xll.ciqfunctions.udf.CIQ(J$6,$F$2, $A97, $I$2, $I$3))),IF(J96=J$6,"",J96),_xll.ciqfunctions.udf.CIQ(J$6,$F$2, $A97, $I$2, $I$3)))</f>
        <v/>
      </c>
      <c r="K97" s="1033" t="str">
        <f>IF(K$6="","",IF(NOT(ISNUMBER(_xll.ciqfunctions.udf.CIQ(K$6,$F$2, $A97, $I$2, $I$3))),IF(K96=K$6,"",K96),_xll.ciqfunctions.udf.CIQ(K$6,$F$2, $A97, $I$2, $I$3)))</f>
        <v/>
      </c>
      <c r="L97" s="254" t="str">
        <f>IF(L$6="","",IF(NOT(ISNUMBER(_xll.ciqfunctions.udf.CIQ(L$6,$F$2, $A97, $I$2, $I$3))),IF(L96=L$6,"",L96),_xll.ciqfunctions.udf.CIQ(L$6,$F$2, $A97, $I$2, $I$3)))</f>
        <v/>
      </c>
      <c r="M97" s="254" t="str">
        <f>IF(M$6="","",IF(NOT(ISNUMBER(_xll.ciqfunctions.udf.CIQ(M$6,$F$2, $A97, $I$2, $I$3))),IF(M96=M$6,"",M96),_xll.ciqfunctions.udf.CIQ(M$6,$F$2, $A97, $I$2, $I$3)))</f>
        <v/>
      </c>
      <c r="N97" s="254" t="str">
        <f>IF(N$6="","",IF(NOT(ISNUMBER(_xll.ciqfunctions.udf.CIQ(N$6,$F$2, $A97, $I$2, $I$3))),IF(N96=N$6,"",N96),_xll.ciqfunctions.udf.CIQ(N$6,$F$2, $A97, $I$2, $I$3)))</f>
        <v/>
      </c>
      <c r="O97" s="254" t="str">
        <f>IF(O$6="","",IF(NOT(ISNUMBER(_xll.ciqfunctions.udf.CIQ(O$6,$F$2, $A97, $I$2, $I$3))),IF(O96=O$6,"",O96),_xll.ciqfunctions.udf.CIQ(O$6,$F$2, $A97, $I$2, $I$3)))</f>
        <v/>
      </c>
      <c r="P97" s="254" t="str">
        <f>IF(P$6="","",IF(NOT(ISNUMBER(_xll.ciqfunctions.udf.CIQ(P$6,$F$2, $A97, $I$2, $I$3))),IF(P96=P$6,"",P96),_xll.ciqfunctions.udf.CIQ(P$6,$F$2, $A97, $I$2, $I$3)))</f>
        <v/>
      </c>
      <c r="Q97" s="254"/>
      <c r="R97" s="251">
        <f t="shared" si="64"/>
        <v>43455</v>
      </c>
      <c r="S97" s="255">
        <f t="shared" si="66"/>
        <v>0.20879578246392883</v>
      </c>
      <c r="T97" s="255">
        <f t="shared" si="67"/>
        <v>8.6247613807409085E-2</v>
      </c>
      <c r="U97" s="255">
        <f t="shared" si="68"/>
        <v>4.6785672745607298E-2</v>
      </c>
      <c r="V97" s="255">
        <f t="shared" si="82"/>
        <v>-8.5988185414785367E-2</v>
      </c>
      <c r="W97" s="255">
        <f t="array" ref="W97">IFERROR(AVERAGE(IF(ISERROR(X97:AG97),"",X97:AG97)),"")</f>
        <v>0.15999761464607309</v>
      </c>
      <c r="X97" s="255">
        <f t="shared" si="83"/>
        <v>0.15999761464607309</v>
      </c>
      <c r="Y97" s="255" t="e">
        <f t="shared" si="84"/>
        <v>#N/A</v>
      </c>
      <c r="Z97" s="255" t="e">
        <f t="shared" si="85"/>
        <v>#N/A</v>
      </c>
      <c r="AA97" s="255" t="e">
        <f t="shared" si="86"/>
        <v>#N/A</v>
      </c>
      <c r="AB97" s="255" t="e">
        <f t="shared" si="87"/>
        <v>#N/A</v>
      </c>
      <c r="AC97" s="255" t="e">
        <f t="shared" si="88"/>
        <v>#N/A</v>
      </c>
      <c r="AD97" s="255" t="e">
        <f t="shared" si="89"/>
        <v>#N/A</v>
      </c>
      <c r="AE97" s="255" t="e">
        <f t="shared" si="90"/>
        <v>#N/A</v>
      </c>
      <c r="AF97" s="255" t="e">
        <f t="shared" si="91"/>
        <v>#N/A</v>
      </c>
      <c r="AG97" s="255" t="e">
        <f t="shared" si="92"/>
        <v>#N/A</v>
      </c>
      <c r="AI97" s="251">
        <f t="shared" si="65"/>
        <v>43455</v>
      </c>
      <c r="AJ97" s="718">
        <f>IF(OR($B97="No",AJ$6=""),"",IF(NOT(ISNUMBER(_xll.ciqfunctions.udf.CIQ(AJ$6,"IQ_TEV",$AI97,$I$2,$I$3))),"",_xll.ciqfunctions.udf.CIQ(AJ$6,"IQ_TEV",$AI97,$I$2,$I$3)))</f>
        <v>312895.30894000002</v>
      </c>
      <c r="AK97" s="718">
        <f>IF(OR($B97="No",AK$6=""),"",IF(NOT(ISNUMBER(_xll.ciqfunctions.udf.CIQ(AK$6,"IQ_TEV",$AI97,$I$2,$I$3))),"",_xll.ciqfunctions.udf.CIQ(AK$6,"IQ_TEV",$AI97,$I$2,$I$3)))</f>
        <v>84523.207779999997</v>
      </c>
      <c r="AL97" s="718" t="str">
        <f>IF(OR($B97="No",AL$6=""),"",IF(NOT(ISNUMBER(_xll.ciqfunctions.udf.CIQ(AL$6,"IQ_TEV",$AI97,$I$2,$I$3))),"",_xll.ciqfunctions.udf.CIQ(AL$6,"IQ_TEV",$AI97,$I$2,$I$3)))</f>
        <v/>
      </c>
      <c r="AM97" s="718" t="str">
        <f>IF(OR($B97="No",AM$6=""),"",IF(NOT(ISNUMBER(_xll.ciqfunctions.udf.CIQ(AM$6,"IQ_TEV",$AI97,$I$2,$I$3))),"",_xll.ciqfunctions.udf.CIQ(AM$6,"IQ_TEV",$AI97,$I$2,$I$3)))</f>
        <v/>
      </c>
      <c r="AN97" s="718" t="str">
        <f>IF(OR($B97="No",AN$6=""),"",IF(NOT(ISNUMBER(_xll.ciqfunctions.udf.CIQ(AN$6,"IQ_TEV",$AI97,$I$2,$I$3))),"",_xll.ciqfunctions.udf.CIQ(AN$6,"IQ_TEV",$AI97,$I$2,$I$3)))</f>
        <v/>
      </c>
      <c r="AO97" s="718" t="str">
        <f>IF(OR($B97="No",AO$6=""),"",IF(NOT(ISNUMBER(_xll.ciqfunctions.udf.CIQ(AO$6,"IQ_TEV",$AI97,$I$2,$I$3))),"",_xll.ciqfunctions.udf.CIQ(AO$6,"IQ_TEV",$AI97,$I$2,$I$3)))</f>
        <v/>
      </c>
      <c r="AP97" s="718" t="str">
        <f>IF(OR($B97="No",AP$6=""),"",IF(NOT(ISNUMBER(_xll.ciqfunctions.udf.CIQ(AP$6,"IQ_TEV",$AI97,$I$2,$I$3))),"",_xll.ciqfunctions.udf.CIQ(AP$6,"IQ_TEV",$AI97,$I$2,$I$3)))</f>
        <v/>
      </c>
      <c r="AQ97" s="718" t="str">
        <f>IF(OR($B97="No",AQ$6=""),"",IF(NOT(ISNUMBER(_xll.ciqfunctions.udf.CIQ(AQ$6,"IQ_TEV",$AI97,$I$2,$I$3))),"",_xll.ciqfunctions.udf.CIQ(AQ$6,"IQ_TEV",$AI97,$I$2,$I$3)))</f>
        <v/>
      </c>
      <c r="AR97" s="718" t="str">
        <f>IF(OR($B97="No",AR$6=""),"",IF(NOT(ISNUMBER(_xll.ciqfunctions.udf.CIQ(AR$6,"IQ_TEV",$AI97,$I$2,$I$3))),"",_xll.ciqfunctions.udf.CIQ(AR$6,"IQ_TEV",$AI97,$I$2,$I$3)))</f>
        <v/>
      </c>
      <c r="AS97" s="718" t="str">
        <f>IF(OR($B97="No",AS$6=""),"",IF(NOT(ISNUMBER(_xll.ciqfunctions.udf.CIQ(AS$6,"IQ_TEV",$AI97,$I$2,$I$3))),"",_xll.ciqfunctions.udf.CIQ(AS$6,"IQ_TEV",$AI97,$I$2,$I$3)))</f>
        <v/>
      </c>
      <c r="AT97" s="718" t="str">
        <f>IF(OR($B97="No",AT$6=""),"",IF(NOT(ISNUMBER(_xll.ciqfunctions.udf.CIQ(AT$6,"IQ_TEV",$AI97,$I$2,$I$3))),"",_xll.ciqfunctions.udf.CIQ(AT$6,"IQ_TEV",$AI97,$I$2,$I$3)))</f>
        <v/>
      </c>
      <c r="AV97" s="251">
        <f t="shared" si="69"/>
        <v>43455</v>
      </c>
      <c r="AW97" s="719">
        <f t="shared" si="70"/>
        <v>0.1985694927512216</v>
      </c>
      <c r="AX97" s="719">
        <f t="shared" si="71"/>
        <v>0.15809252744000357</v>
      </c>
      <c r="AY97" s="719" t="e">
        <f t="shared" si="72"/>
        <v>#N/A</v>
      </c>
      <c r="AZ97" s="719" t="e">
        <f t="shared" si="73"/>
        <v>#N/A</v>
      </c>
      <c r="BA97" s="719" t="e">
        <f t="shared" si="74"/>
        <v>#N/A</v>
      </c>
      <c r="BB97" s="719" t="e">
        <f t="shared" si="75"/>
        <v>#N/A</v>
      </c>
      <c r="BC97" s="719" t="e">
        <f t="shared" si="76"/>
        <v>#N/A</v>
      </c>
      <c r="BD97" s="719" t="e">
        <f t="shared" si="77"/>
        <v>#N/A</v>
      </c>
      <c r="BE97" s="719" t="e">
        <f t="shared" si="78"/>
        <v>#N/A</v>
      </c>
      <c r="BF97" s="719" t="e">
        <f t="shared" si="79"/>
        <v>#N/A</v>
      </c>
      <c r="BG97" s="719" t="e">
        <f t="shared" si="80"/>
        <v>#N/A</v>
      </c>
    </row>
    <row r="98" spans="1:59" ht="15" customHeight="1" x14ac:dyDescent="0.2">
      <c r="A98" s="251">
        <f t="shared" si="63"/>
        <v>43462</v>
      </c>
      <c r="B98" s="253" t="str">
        <f t="shared" si="81"/>
        <v>Yes</v>
      </c>
      <c r="C98" s="1033">
        <f>IF(C$6="","",IF(NOT(ISNUMBER(_xll.ciqfunctions.udf.CIQ(C$6,$F$2, $A98, $I$2, $I$3))),IF(C97=C$6,"",C97),_xll.ciqfunctions.udf.CIQ(C$6,$F$2, $A98, $I$2, $I$3)))</f>
        <v>92.13</v>
      </c>
      <c r="D98" s="1033">
        <f>IF(D$6="","",IF(NOT(ISNUMBER(_xll.ciqfunctions.udf.CIQ(D$6,$F$2, $A98, $I$2, $I$3))),IF(D97=D$6,"",D97),_xll.ciqfunctions.udf.CIQ(D$6,$F$2, $A98, $I$2, $I$3)))</f>
        <v>23062.40437</v>
      </c>
      <c r="E98" s="1033">
        <f>IF(E$6="","",IF(NOT(ISNUMBER(_xll.ciqfunctions.udf.CIQ(E$6,$F$2, $A98, $I$2, $I$3))),IF(E97=E$6,"",E97),_xll.ciqfunctions.udf.CIQ(E$6,$F$2, $A98, $I$2, $I$3)))</f>
        <v>7643.9669599999997</v>
      </c>
      <c r="F98" s="1033">
        <f>IF(F$6="","",IF(NOT(ISNUMBER(_xll.ciqfunctions.udf.CIQ(F$6,$F$2, $A98, $I$2, $I$3))),IF(F97=F$6,"",F97),_xll.ciqfunctions.udf.CIQ(F$6,$F$2, $A98, $I$2, $I$3)))</f>
        <v>4235.4822899999999</v>
      </c>
      <c r="G98" s="1033">
        <f>IF(G$6="","",IF(NOT(ISNUMBER(_xll.ciqfunctions.udf.CIQ(G$6,$F$2, $A98, $I$2, $I$3))),IF(G97=G$6,"",G97),_xll.ciqfunctions.udf.CIQ(G$6,$F$2, $A98, $I$2, $I$3)))</f>
        <v>202.04</v>
      </c>
      <c r="H98" s="1033" t="str">
        <f>IF(H$6="","",IF(NOT(ISNUMBER(_xll.ciqfunctions.udf.CIQ(H$6,$F$2, $A98, $I$2, $I$3))),IF(H97=H$6,"",H97),_xll.ciqfunctions.udf.CIQ(H$6,$F$2, $A98, $I$2, $I$3)))</f>
        <v/>
      </c>
      <c r="I98" s="1033" t="str">
        <f>IF(I$6="","",IF(NOT(ISNUMBER(_xll.ciqfunctions.udf.CIQ(I$6,$F$2, $A98, $I$2, $I$3))),IF(I97=I$6,"",I97),_xll.ciqfunctions.udf.CIQ(I$6,$F$2, $A98, $I$2, $I$3)))</f>
        <v/>
      </c>
      <c r="J98" s="1033" t="str">
        <f>IF(J$6="","",IF(NOT(ISNUMBER(_xll.ciqfunctions.udf.CIQ(J$6,$F$2, $A98, $I$2, $I$3))),IF(J97=J$6,"",J97),_xll.ciqfunctions.udf.CIQ(J$6,$F$2, $A98, $I$2, $I$3)))</f>
        <v/>
      </c>
      <c r="K98" s="1033" t="str">
        <f>IF(K$6="","",IF(NOT(ISNUMBER(_xll.ciqfunctions.udf.CIQ(K$6,$F$2, $A98, $I$2, $I$3))),IF(K97=K$6,"",K97),_xll.ciqfunctions.udf.CIQ(K$6,$F$2, $A98, $I$2, $I$3)))</f>
        <v/>
      </c>
      <c r="L98" s="254" t="str">
        <f>IF(L$6="","",IF(NOT(ISNUMBER(_xll.ciqfunctions.udf.CIQ(L$6,$F$2, $A98, $I$2, $I$3))),IF(L97=L$6,"",L97),_xll.ciqfunctions.udf.CIQ(L$6,$F$2, $A98, $I$2, $I$3)))</f>
        <v/>
      </c>
      <c r="M98" s="254" t="str">
        <f>IF(M$6="","",IF(NOT(ISNUMBER(_xll.ciqfunctions.udf.CIQ(M$6,$F$2, $A98, $I$2, $I$3))),IF(M97=M$6,"",M97),_xll.ciqfunctions.udf.CIQ(M$6,$F$2, $A98, $I$2, $I$3)))</f>
        <v/>
      </c>
      <c r="N98" s="254" t="str">
        <f>IF(N$6="","",IF(NOT(ISNUMBER(_xll.ciqfunctions.udf.CIQ(N$6,$F$2, $A98, $I$2, $I$3))),IF(N97=N$6,"",N97),_xll.ciqfunctions.udf.CIQ(N$6,$F$2, $A98, $I$2, $I$3)))</f>
        <v/>
      </c>
      <c r="O98" s="254" t="str">
        <f>IF(O$6="","",IF(NOT(ISNUMBER(_xll.ciqfunctions.udf.CIQ(O$6,$F$2, $A98, $I$2, $I$3))),IF(O97=O$6,"",O97),_xll.ciqfunctions.udf.CIQ(O$6,$F$2, $A98, $I$2, $I$3)))</f>
        <v/>
      </c>
      <c r="P98" s="254" t="str">
        <f>IF(P$6="","",IF(NOT(ISNUMBER(_xll.ciqfunctions.udf.CIQ(P$6,$F$2, $A98, $I$2, $I$3))),IF(P97=P$6,"",P97),_xll.ciqfunctions.udf.CIQ(P$6,$F$2, $A98, $I$2, $I$3)))</f>
        <v/>
      </c>
      <c r="Q98" s="254"/>
      <c r="R98" s="251">
        <f t="shared" si="64"/>
        <v>43462</v>
      </c>
      <c r="S98" s="255">
        <f t="shared" si="66"/>
        <v>0.27816315205327413</v>
      </c>
      <c r="T98" s="255">
        <f t="shared" si="67"/>
        <v>0.11610887300839834</v>
      </c>
      <c r="U98" s="255">
        <f t="shared" si="68"/>
        <v>6.8216623825251288E-2</v>
      </c>
      <c r="V98" s="255">
        <f t="shared" si="82"/>
        <v>-3.5139445713484707E-2</v>
      </c>
      <c r="W98" s="255">
        <f t="array" ref="W98">IFERROR(AVERAGE(IF(ISERROR(X98:AG98),"",X98:AG98)),"")</f>
        <v>0.20484226847158449</v>
      </c>
      <c r="X98" s="255">
        <f t="shared" si="83"/>
        <v>0.20484226847158449</v>
      </c>
      <c r="Y98" s="255" t="e">
        <f t="shared" si="84"/>
        <v>#N/A</v>
      </c>
      <c r="Z98" s="255" t="e">
        <f t="shared" si="85"/>
        <v>#N/A</v>
      </c>
      <c r="AA98" s="255" t="e">
        <f t="shared" si="86"/>
        <v>#N/A</v>
      </c>
      <c r="AB98" s="255" t="e">
        <f t="shared" si="87"/>
        <v>#N/A</v>
      </c>
      <c r="AC98" s="255" t="e">
        <f t="shared" si="88"/>
        <v>#N/A</v>
      </c>
      <c r="AD98" s="255" t="e">
        <f t="shared" si="89"/>
        <v>#N/A</v>
      </c>
      <c r="AE98" s="255" t="e">
        <f t="shared" si="90"/>
        <v>#N/A</v>
      </c>
      <c r="AF98" s="255" t="e">
        <f t="shared" si="91"/>
        <v>#N/A</v>
      </c>
      <c r="AG98" s="255" t="e">
        <f t="shared" si="92"/>
        <v>#N/A</v>
      </c>
      <c r="AI98" s="251">
        <f t="shared" si="65"/>
        <v>43462</v>
      </c>
      <c r="AJ98" s="718">
        <f>IF(OR($B98="No",AJ$6=""),"",IF(NOT(ISNUMBER(_xll.ciqfunctions.udf.CIQ(AJ$6,"IQ_TEV",$AI98,$I$2,$I$3))),"",_xll.ciqfunctions.udf.CIQ(AJ$6,"IQ_TEV",$AI98,$I$2,$I$3)))</f>
        <v>327421.60924000002</v>
      </c>
      <c r="AK98" s="718">
        <f>IF(OR($B98="No",AK$6=""),"",IF(NOT(ISNUMBER(_xll.ciqfunctions.udf.CIQ(AK$6,"IQ_TEV",$AI98,$I$2,$I$3))),"",_xll.ciqfunctions.udf.CIQ(AK$6,"IQ_TEV",$AI98,$I$2,$I$3)))</f>
        <v>87835.696179999999</v>
      </c>
      <c r="AL98" s="718" t="str">
        <f>IF(OR($B98="No",AL$6=""),"",IF(NOT(ISNUMBER(_xll.ciqfunctions.udf.CIQ(AL$6,"IQ_TEV",$AI98,$I$2,$I$3))),"",_xll.ciqfunctions.udf.CIQ(AL$6,"IQ_TEV",$AI98,$I$2,$I$3)))</f>
        <v/>
      </c>
      <c r="AM98" s="718" t="str">
        <f>IF(OR($B98="No",AM$6=""),"",IF(NOT(ISNUMBER(_xll.ciqfunctions.udf.CIQ(AM$6,"IQ_TEV",$AI98,$I$2,$I$3))),"",_xll.ciqfunctions.udf.CIQ(AM$6,"IQ_TEV",$AI98,$I$2,$I$3)))</f>
        <v/>
      </c>
      <c r="AN98" s="718" t="str">
        <f>IF(OR($B98="No",AN$6=""),"",IF(NOT(ISNUMBER(_xll.ciqfunctions.udf.CIQ(AN$6,"IQ_TEV",$AI98,$I$2,$I$3))),"",_xll.ciqfunctions.udf.CIQ(AN$6,"IQ_TEV",$AI98,$I$2,$I$3)))</f>
        <v/>
      </c>
      <c r="AO98" s="718" t="str">
        <f>IF(OR($B98="No",AO$6=""),"",IF(NOT(ISNUMBER(_xll.ciqfunctions.udf.CIQ(AO$6,"IQ_TEV",$AI98,$I$2,$I$3))),"",_xll.ciqfunctions.udf.CIQ(AO$6,"IQ_TEV",$AI98,$I$2,$I$3)))</f>
        <v/>
      </c>
      <c r="AP98" s="718" t="str">
        <f>IF(OR($B98="No",AP$6=""),"",IF(NOT(ISNUMBER(_xll.ciqfunctions.udf.CIQ(AP$6,"IQ_TEV",$AI98,$I$2,$I$3))),"",_xll.ciqfunctions.udf.CIQ(AP$6,"IQ_TEV",$AI98,$I$2,$I$3)))</f>
        <v/>
      </c>
      <c r="AQ98" s="718" t="str">
        <f>IF(OR($B98="No",AQ$6=""),"",IF(NOT(ISNUMBER(_xll.ciqfunctions.udf.CIQ(AQ$6,"IQ_TEV",$AI98,$I$2,$I$3))),"",_xll.ciqfunctions.udf.CIQ(AQ$6,"IQ_TEV",$AI98,$I$2,$I$3)))</f>
        <v/>
      </c>
      <c r="AR98" s="718" t="str">
        <f>IF(OR($B98="No",AR$6=""),"",IF(NOT(ISNUMBER(_xll.ciqfunctions.udf.CIQ(AR$6,"IQ_TEV",$AI98,$I$2,$I$3))),"",_xll.ciqfunctions.udf.CIQ(AR$6,"IQ_TEV",$AI98,$I$2,$I$3)))</f>
        <v/>
      </c>
      <c r="AS98" s="718" t="str">
        <f>IF(OR($B98="No",AS$6=""),"",IF(NOT(ISNUMBER(_xll.ciqfunctions.udf.CIQ(AS$6,"IQ_TEV",$AI98,$I$2,$I$3))),"",_xll.ciqfunctions.udf.CIQ(AS$6,"IQ_TEV",$AI98,$I$2,$I$3)))</f>
        <v/>
      </c>
      <c r="AT98" s="718" t="str">
        <f>IF(OR($B98="No",AT$6=""),"",IF(NOT(ISNUMBER(_xll.ciqfunctions.udf.CIQ(AT$6,"IQ_TEV",$AI98,$I$2,$I$3))),"",_xll.ciqfunctions.udf.CIQ(AT$6,"IQ_TEV",$AI98,$I$2,$I$3)))</f>
        <v/>
      </c>
      <c r="AV98" s="251">
        <f t="shared" si="69"/>
        <v>43462</v>
      </c>
      <c r="AW98" s="719">
        <f t="shared" si="70"/>
        <v>0.2542136008112168</v>
      </c>
      <c r="AX98" s="719">
        <f t="shared" si="71"/>
        <v>0.20347850087887975</v>
      </c>
      <c r="AY98" s="719" t="e">
        <f t="shared" si="72"/>
        <v>#N/A</v>
      </c>
      <c r="AZ98" s="719" t="e">
        <f t="shared" si="73"/>
        <v>#N/A</v>
      </c>
      <c r="BA98" s="719" t="e">
        <f t="shared" si="74"/>
        <v>#N/A</v>
      </c>
      <c r="BB98" s="719" t="e">
        <f t="shared" si="75"/>
        <v>#N/A</v>
      </c>
      <c r="BC98" s="719" t="e">
        <f t="shared" si="76"/>
        <v>#N/A</v>
      </c>
      <c r="BD98" s="719" t="e">
        <f t="shared" si="77"/>
        <v>#N/A</v>
      </c>
      <c r="BE98" s="719" t="e">
        <f t="shared" si="78"/>
        <v>#N/A</v>
      </c>
      <c r="BF98" s="719" t="e">
        <f t="shared" si="79"/>
        <v>#N/A</v>
      </c>
      <c r="BG98" s="719" t="e">
        <f t="shared" si="80"/>
        <v>#N/A</v>
      </c>
    </row>
    <row r="99" spans="1:59" ht="15" customHeight="1" x14ac:dyDescent="0.2">
      <c r="A99" s="251">
        <f t="shared" si="63"/>
        <v>43469</v>
      </c>
      <c r="B99" s="253" t="str">
        <f t="shared" si="81"/>
        <v>Yes</v>
      </c>
      <c r="C99" s="1033">
        <f>IF(C$6="","",IF(NOT(ISNUMBER(_xll.ciqfunctions.udf.CIQ(C$6,$F$2, $A99, $I$2, $I$3))),IF(C98=C$6,"",C98),_xll.ciqfunctions.udf.CIQ(C$6,$F$2, $A99, $I$2, $I$3)))</f>
        <v>93.44</v>
      </c>
      <c r="D99" s="1033">
        <f>IF(D$6="","",IF(NOT(ISNUMBER(_xll.ciqfunctions.udf.CIQ(D$6,$F$2, $A99, $I$2, $I$3))),IF(D98=D$6,"",D98),_xll.ciqfunctions.udf.CIQ(D$6,$F$2, $A99, $I$2, $I$3)))</f>
        <v>23433.164700000001</v>
      </c>
      <c r="E99" s="1033">
        <f>IF(E$6="","",IF(NOT(ISNUMBER(_xll.ciqfunctions.udf.CIQ(E$6,$F$2, $A99, $I$2, $I$3))),IF(E98=E$6,"",E98),_xll.ciqfunctions.udf.CIQ(E$6,$F$2, $A99, $I$2, $I$3)))</f>
        <v>7741.11708</v>
      </c>
      <c r="F99" s="1033">
        <f>IF(F$6="","",IF(NOT(ISNUMBER(_xll.ciqfunctions.udf.CIQ(F$6,$F$2, $A99, $I$2, $I$3))),IF(F98=F$6,"",F98),_xll.ciqfunctions.udf.CIQ(F$6,$F$2, $A99, $I$2, $I$3)))</f>
        <v>4387.5772800000004</v>
      </c>
      <c r="G99" s="1033">
        <f>IF(G$6="","",IF(NOT(ISNUMBER(_xll.ciqfunctions.udf.CIQ(G$6,$F$2, $A99, $I$2, $I$3))),IF(G98=G$6,"",G98),_xll.ciqfunctions.udf.CIQ(G$6,$F$2, $A99, $I$2, $I$3)))</f>
        <v>206.24</v>
      </c>
      <c r="H99" s="1033" t="str">
        <f>IF(H$6="","",IF(NOT(ISNUMBER(_xll.ciqfunctions.udf.CIQ(H$6,$F$2, $A99, $I$2, $I$3))),IF(H98=H$6,"",H98),_xll.ciqfunctions.udf.CIQ(H$6,$F$2, $A99, $I$2, $I$3)))</f>
        <v/>
      </c>
      <c r="I99" s="1033" t="str">
        <f>IF(I$6="","",IF(NOT(ISNUMBER(_xll.ciqfunctions.udf.CIQ(I$6,$F$2, $A99, $I$2, $I$3))),IF(I98=I$6,"",I98),_xll.ciqfunctions.udf.CIQ(I$6,$F$2, $A99, $I$2, $I$3)))</f>
        <v/>
      </c>
      <c r="J99" s="1033" t="str">
        <f>IF(J$6="","",IF(NOT(ISNUMBER(_xll.ciqfunctions.udf.CIQ(J$6,$F$2, $A99, $I$2, $I$3))),IF(J98=J$6,"",J98),_xll.ciqfunctions.udf.CIQ(J$6,$F$2, $A99, $I$2, $I$3)))</f>
        <v/>
      </c>
      <c r="K99" s="1033" t="str">
        <f>IF(K$6="","",IF(NOT(ISNUMBER(_xll.ciqfunctions.udf.CIQ(K$6,$F$2, $A99, $I$2, $I$3))),IF(K98=K$6,"",K98),_xll.ciqfunctions.udf.CIQ(K$6,$F$2, $A99, $I$2, $I$3)))</f>
        <v/>
      </c>
      <c r="L99" s="254" t="str">
        <f>IF(L$6="","",IF(NOT(ISNUMBER(_xll.ciqfunctions.udf.CIQ(L$6,$F$2, $A99, $I$2, $I$3))),IF(L98=L$6,"",L98),_xll.ciqfunctions.udf.CIQ(L$6,$F$2, $A99, $I$2, $I$3)))</f>
        <v/>
      </c>
      <c r="M99" s="254" t="str">
        <f>IF(M$6="","",IF(NOT(ISNUMBER(_xll.ciqfunctions.udf.CIQ(M$6,$F$2, $A99, $I$2, $I$3))),IF(M98=M$6,"",M98),_xll.ciqfunctions.udf.CIQ(M$6,$F$2, $A99, $I$2, $I$3)))</f>
        <v/>
      </c>
      <c r="N99" s="254" t="str">
        <f>IF(N$6="","",IF(NOT(ISNUMBER(_xll.ciqfunctions.udf.CIQ(N$6,$F$2, $A99, $I$2, $I$3))),IF(N98=N$6,"",N98),_xll.ciqfunctions.udf.CIQ(N$6,$F$2, $A99, $I$2, $I$3)))</f>
        <v/>
      </c>
      <c r="O99" s="254" t="str">
        <f>IF(O$6="","",IF(NOT(ISNUMBER(_xll.ciqfunctions.udf.CIQ(O$6,$F$2, $A99, $I$2, $I$3))),IF(O98=O$6,"",O98),_xll.ciqfunctions.udf.CIQ(O$6,$F$2, $A99, $I$2, $I$3)))</f>
        <v/>
      </c>
      <c r="P99" s="254" t="str">
        <f>IF(P$6="","",IF(NOT(ISNUMBER(_xll.ciqfunctions.udf.CIQ(P$6,$F$2, $A99, $I$2, $I$3))),IF(P98=P$6,"",P98),_xll.ciqfunctions.udf.CIQ(P$6,$F$2, $A99, $I$2, $I$3)))</f>
        <v/>
      </c>
      <c r="Q99" s="254"/>
      <c r="R99" s="251">
        <f t="shared" si="64"/>
        <v>43469</v>
      </c>
      <c r="S99" s="255">
        <f t="shared" si="66"/>
        <v>0.29633740288568267</v>
      </c>
      <c r="T99" s="255">
        <f t="shared" si="67"/>
        <v>0.13405188048643968</v>
      </c>
      <c r="U99" s="255">
        <f t="shared" si="68"/>
        <v>8.1793000297529783E-2</v>
      </c>
      <c r="V99" s="255">
        <f t="shared" si="82"/>
        <v>-4.9157179790215721E-4</v>
      </c>
      <c r="W99" s="255">
        <f t="array" ref="W99">IFERROR(AVERAGE(IF(ISERROR(X99:AG99),"",X99:AG99)),"")</f>
        <v>0.22988848470391798</v>
      </c>
      <c r="X99" s="255">
        <f t="shared" si="83"/>
        <v>0.22988848470391798</v>
      </c>
      <c r="Y99" s="255" t="e">
        <f t="shared" si="84"/>
        <v>#N/A</v>
      </c>
      <c r="Z99" s="255" t="e">
        <f t="shared" si="85"/>
        <v>#N/A</v>
      </c>
      <c r="AA99" s="255" t="e">
        <f t="shared" si="86"/>
        <v>#N/A</v>
      </c>
      <c r="AB99" s="255" t="e">
        <f t="shared" si="87"/>
        <v>#N/A</v>
      </c>
      <c r="AC99" s="255" t="e">
        <f t="shared" si="88"/>
        <v>#N/A</v>
      </c>
      <c r="AD99" s="255" t="e">
        <f t="shared" si="89"/>
        <v>#N/A</v>
      </c>
      <c r="AE99" s="255" t="e">
        <f t="shared" si="90"/>
        <v>#N/A</v>
      </c>
      <c r="AF99" s="255" t="e">
        <f t="shared" si="91"/>
        <v>#N/A</v>
      </c>
      <c r="AG99" s="255" t="e">
        <f t="shared" si="92"/>
        <v>#N/A</v>
      </c>
      <c r="AI99" s="251">
        <f t="shared" si="65"/>
        <v>43469</v>
      </c>
      <c r="AJ99" s="718">
        <f>IF(OR($B99="No",AJ$6=""),"",IF(NOT(ISNUMBER(_xll.ciqfunctions.udf.CIQ(AJ$6,"IQ_TEV",$AI99,$I$2,$I$3))),"",_xll.ciqfunctions.udf.CIQ(AJ$6,"IQ_TEV",$AI99,$I$2,$I$3)))</f>
        <v>331227.49991000001</v>
      </c>
      <c r="AK99" s="718">
        <f>IF(OR($B99="No",AK$6=""),"",IF(NOT(ISNUMBER(_xll.ciqfunctions.udf.CIQ(AK$6,"IQ_TEV",$AI99,$I$2,$I$3))),"",_xll.ciqfunctions.udf.CIQ(AK$6,"IQ_TEV",$AI99,$I$2,$I$3)))</f>
        <v>89685.756179999997</v>
      </c>
      <c r="AL99" s="718" t="str">
        <f>IF(OR($B99="No",AL$6=""),"",IF(NOT(ISNUMBER(_xll.ciqfunctions.udf.CIQ(AL$6,"IQ_TEV",$AI99,$I$2,$I$3))),"",_xll.ciqfunctions.udf.CIQ(AL$6,"IQ_TEV",$AI99,$I$2,$I$3)))</f>
        <v/>
      </c>
      <c r="AM99" s="718" t="str">
        <f>IF(OR($B99="No",AM$6=""),"",IF(NOT(ISNUMBER(_xll.ciqfunctions.udf.CIQ(AM$6,"IQ_TEV",$AI99,$I$2,$I$3))),"",_xll.ciqfunctions.udf.CIQ(AM$6,"IQ_TEV",$AI99,$I$2,$I$3)))</f>
        <v/>
      </c>
      <c r="AN99" s="718" t="str">
        <f>IF(OR($B99="No",AN$6=""),"",IF(NOT(ISNUMBER(_xll.ciqfunctions.udf.CIQ(AN$6,"IQ_TEV",$AI99,$I$2,$I$3))),"",_xll.ciqfunctions.udf.CIQ(AN$6,"IQ_TEV",$AI99,$I$2,$I$3)))</f>
        <v/>
      </c>
      <c r="AO99" s="718" t="str">
        <f>IF(OR($B99="No",AO$6=""),"",IF(NOT(ISNUMBER(_xll.ciqfunctions.udf.CIQ(AO$6,"IQ_TEV",$AI99,$I$2,$I$3))),"",_xll.ciqfunctions.udf.CIQ(AO$6,"IQ_TEV",$AI99,$I$2,$I$3)))</f>
        <v/>
      </c>
      <c r="AP99" s="718" t="str">
        <f>IF(OR($B99="No",AP$6=""),"",IF(NOT(ISNUMBER(_xll.ciqfunctions.udf.CIQ(AP$6,"IQ_TEV",$AI99,$I$2,$I$3))),"",_xll.ciqfunctions.udf.CIQ(AP$6,"IQ_TEV",$AI99,$I$2,$I$3)))</f>
        <v/>
      </c>
      <c r="AQ99" s="718" t="str">
        <f>IF(OR($B99="No",AQ$6=""),"",IF(NOT(ISNUMBER(_xll.ciqfunctions.udf.CIQ(AQ$6,"IQ_TEV",$AI99,$I$2,$I$3))),"",_xll.ciqfunctions.udf.CIQ(AQ$6,"IQ_TEV",$AI99,$I$2,$I$3)))</f>
        <v/>
      </c>
      <c r="AR99" s="718" t="str">
        <f>IF(OR($B99="No",AR$6=""),"",IF(NOT(ISNUMBER(_xll.ciqfunctions.udf.CIQ(AR$6,"IQ_TEV",$AI99,$I$2,$I$3))),"",_xll.ciqfunctions.udf.CIQ(AR$6,"IQ_TEV",$AI99,$I$2,$I$3)))</f>
        <v/>
      </c>
      <c r="AS99" s="718" t="str">
        <f>IF(OR($B99="No",AS$6=""),"",IF(NOT(ISNUMBER(_xll.ciqfunctions.udf.CIQ(AS$6,"IQ_TEV",$AI99,$I$2,$I$3))),"",_xll.ciqfunctions.udf.CIQ(AS$6,"IQ_TEV",$AI99,$I$2,$I$3)))</f>
        <v/>
      </c>
      <c r="AT99" s="718" t="str">
        <f>IF(OR($B99="No",AT$6=""),"",IF(NOT(ISNUMBER(_xll.ciqfunctions.udf.CIQ(AT$6,"IQ_TEV",$AI99,$I$2,$I$3))),"",_xll.ciqfunctions.udf.CIQ(AT$6,"IQ_TEV",$AI99,$I$2,$I$3)))</f>
        <v/>
      </c>
      <c r="AV99" s="251">
        <f t="shared" si="69"/>
        <v>43469</v>
      </c>
      <c r="AW99" s="719">
        <f t="shared" si="70"/>
        <v>0.26879235708999238</v>
      </c>
      <c r="AX99" s="719">
        <f t="shared" si="71"/>
        <v>0.22882704972823631</v>
      </c>
      <c r="AY99" s="719" t="e">
        <f t="shared" si="72"/>
        <v>#N/A</v>
      </c>
      <c r="AZ99" s="719" t="e">
        <f t="shared" si="73"/>
        <v>#N/A</v>
      </c>
      <c r="BA99" s="719" t="e">
        <f t="shared" si="74"/>
        <v>#N/A</v>
      </c>
      <c r="BB99" s="719" t="e">
        <f t="shared" si="75"/>
        <v>#N/A</v>
      </c>
      <c r="BC99" s="719" t="e">
        <f t="shared" si="76"/>
        <v>#N/A</v>
      </c>
      <c r="BD99" s="719" t="e">
        <f t="shared" si="77"/>
        <v>#N/A</v>
      </c>
      <c r="BE99" s="719" t="e">
        <f t="shared" si="78"/>
        <v>#N/A</v>
      </c>
      <c r="BF99" s="719" t="e">
        <f t="shared" si="79"/>
        <v>#N/A</v>
      </c>
      <c r="BG99" s="719" t="e">
        <f t="shared" si="80"/>
        <v>#N/A</v>
      </c>
    </row>
    <row r="100" spans="1:59" ht="15" customHeight="1" x14ac:dyDescent="0.2">
      <c r="A100" s="251">
        <f t="shared" si="63"/>
        <v>43476</v>
      </c>
      <c r="B100" s="253" t="str">
        <f t="shared" si="81"/>
        <v>Yes</v>
      </c>
      <c r="C100" s="1033">
        <f>IF(C$6="","",IF(NOT(ISNUMBER(_xll.ciqfunctions.udf.CIQ(C$6,$F$2, $A100, $I$2, $I$3))),IF(C99=C$6,"",C99),_xll.ciqfunctions.udf.CIQ(C$6,$F$2, $A100, $I$2, $I$3)))</f>
        <v>94.84</v>
      </c>
      <c r="D100" s="1033">
        <f>IF(D$6="","",IF(NOT(ISNUMBER(_xll.ciqfunctions.udf.CIQ(D$6,$F$2, $A100, $I$2, $I$3))),IF(D99=D$6,"",D99),_xll.ciqfunctions.udf.CIQ(D$6,$F$2, $A100, $I$2, $I$3)))</f>
        <v>23995.950130000001</v>
      </c>
      <c r="E100" s="1033">
        <f>IF(E$6="","",IF(NOT(ISNUMBER(_xll.ciqfunctions.udf.CIQ(E$6,$F$2, $A100, $I$2, $I$3))),IF(E99=E$6,"",E99),_xll.ciqfunctions.udf.CIQ(E$6,$F$2, $A100, $I$2, $I$3)))</f>
        <v>7940.4430199999997</v>
      </c>
      <c r="F100" s="1033">
        <f>IF(F$6="","",IF(NOT(ISNUMBER(_xll.ciqfunctions.udf.CIQ(F$6,$F$2, $A100, $I$2, $I$3))),IF(F99=F$6,"",F99),_xll.ciqfunctions.udf.CIQ(F$6,$F$2, $A100, $I$2, $I$3)))</f>
        <v>4553.5817100000004</v>
      </c>
      <c r="G100" s="1033">
        <f>IF(G$6="","",IF(NOT(ISNUMBER(_xll.ciqfunctions.udf.CIQ(G$6,$F$2, $A100, $I$2, $I$3))),IF(G99=G$6,"",G99),_xll.ciqfunctions.udf.CIQ(G$6,$F$2, $A100, $I$2, $I$3)))</f>
        <v>210.51</v>
      </c>
      <c r="H100" s="1033" t="str">
        <f>IF(H$6="","",IF(NOT(ISNUMBER(_xll.ciqfunctions.udf.CIQ(H$6,$F$2, $A100, $I$2, $I$3))),IF(H99=H$6,"",H99),_xll.ciqfunctions.udf.CIQ(H$6,$F$2, $A100, $I$2, $I$3)))</f>
        <v/>
      </c>
      <c r="I100" s="1033" t="str">
        <f>IF(I$6="","",IF(NOT(ISNUMBER(_xll.ciqfunctions.udf.CIQ(I$6,$F$2, $A100, $I$2, $I$3))),IF(I99=I$6,"",I99),_xll.ciqfunctions.udf.CIQ(I$6,$F$2, $A100, $I$2, $I$3)))</f>
        <v/>
      </c>
      <c r="J100" s="1033" t="str">
        <f>IF(J$6="","",IF(NOT(ISNUMBER(_xll.ciqfunctions.udf.CIQ(J$6,$F$2, $A100, $I$2, $I$3))),IF(J99=J$6,"",J99),_xll.ciqfunctions.udf.CIQ(J$6,$F$2, $A100, $I$2, $I$3)))</f>
        <v/>
      </c>
      <c r="K100" s="1033" t="str">
        <f>IF(K$6="","",IF(NOT(ISNUMBER(_xll.ciqfunctions.udf.CIQ(K$6,$F$2, $A100, $I$2, $I$3))),IF(K99=K$6,"",K99),_xll.ciqfunctions.udf.CIQ(K$6,$F$2, $A100, $I$2, $I$3)))</f>
        <v/>
      </c>
      <c r="L100" s="254" t="str">
        <f>IF(L$6="","",IF(NOT(ISNUMBER(_xll.ciqfunctions.udf.CIQ(L$6,$F$2, $A100, $I$2, $I$3))),IF(L99=L$6,"",L99),_xll.ciqfunctions.udf.CIQ(L$6,$F$2, $A100, $I$2, $I$3)))</f>
        <v/>
      </c>
      <c r="M100" s="254" t="str">
        <f>IF(M$6="","",IF(NOT(ISNUMBER(_xll.ciqfunctions.udf.CIQ(M$6,$F$2, $A100, $I$2, $I$3))),IF(M99=M$6,"",M99),_xll.ciqfunctions.udf.CIQ(M$6,$F$2, $A100, $I$2, $I$3)))</f>
        <v/>
      </c>
      <c r="N100" s="254" t="str">
        <f>IF(N$6="","",IF(NOT(ISNUMBER(_xll.ciqfunctions.udf.CIQ(N$6,$F$2, $A100, $I$2, $I$3))),IF(N99=N$6,"",N99),_xll.ciqfunctions.udf.CIQ(N$6,$F$2, $A100, $I$2, $I$3)))</f>
        <v/>
      </c>
      <c r="O100" s="254" t="str">
        <f>IF(O$6="","",IF(NOT(ISNUMBER(_xll.ciqfunctions.udf.CIQ(O$6,$F$2, $A100, $I$2, $I$3))),IF(O99=O$6,"",O99),_xll.ciqfunctions.udf.CIQ(O$6,$F$2, $A100, $I$2, $I$3)))</f>
        <v/>
      </c>
      <c r="P100" s="254" t="str">
        <f>IF(P$6="","",IF(NOT(ISNUMBER(_xll.ciqfunctions.udf.CIQ(P$6,$F$2, $A100, $I$2, $I$3))),IF(P99=P$6,"",P99),_xll.ciqfunctions.udf.CIQ(P$6,$F$2, $A100, $I$2, $I$3)))</f>
        <v/>
      </c>
      <c r="Q100" s="254"/>
      <c r="R100" s="251">
        <f t="shared" si="64"/>
        <v>43476</v>
      </c>
      <c r="S100" s="255">
        <f t="shared" si="66"/>
        <v>0.31576026637069932</v>
      </c>
      <c r="T100" s="255">
        <f t="shared" si="67"/>
        <v>0.16128797443161069</v>
      </c>
      <c r="U100" s="255">
        <f t="shared" si="68"/>
        <v>0.10964807656640918</v>
      </c>
      <c r="V100" s="255">
        <f t="shared" si="82"/>
        <v>3.7324930639608178E-2</v>
      </c>
      <c r="W100" s="255">
        <f t="array" ref="W100">IFERROR(AVERAGE(IF(ISERROR(X100:AG100),"",X100:AG100)),"")</f>
        <v>0.2553521378734569</v>
      </c>
      <c r="X100" s="255">
        <f t="shared" si="83"/>
        <v>0.2553521378734569</v>
      </c>
      <c r="Y100" s="255" t="e">
        <f t="shared" si="84"/>
        <v>#N/A</v>
      </c>
      <c r="Z100" s="255" t="e">
        <f t="shared" si="85"/>
        <v>#N/A</v>
      </c>
      <c r="AA100" s="255" t="e">
        <f t="shared" si="86"/>
        <v>#N/A</v>
      </c>
      <c r="AB100" s="255" t="e">
        <f t="shared" si="87"/>
        <v>#N/A</v>
      </c>
      <c r="AC100" s="255" t="e">
        <f t="shared" si="88"/>
        <v>#N/A</v>
      </c>
      <c r="AD100" s="255" t="e">
        <f t="shared" si="89"/>
        <v>#N/A</v>
      </c>
      <c r="AE100" s="255" t="e">
        <f t="shared" si="90"/>
        <v>#N/A</v>
      </c>
      <c r="AF100" s="255" t="e">
        <f t="shared" si="91"/>
        <v>#N/A</v>
      </c>
      <c r="AG100" s="255" t="e">
        <f t="shared" si="92"/>
        <v>#N/A</v>
      </c>
      <c r="AI100" s="251">
        <f t="shared" si="65"/>
        <v>43476</v>
      </c>
      <c r="AJ100" s="718">
        <f>IF(OR($B100="No",AJ$6=""),"",IF(NOT(ISNUMBER(_xll.ciqfunctions.udf.CIQ(AJ$6,"IQ_TEV",$AI100,$I$2,$I$3))),"",_xll.ciqfunctions.udf.CIQ(AJ$6,"IQ_TEV",$AI100,$I$2,$I$3)))</f>
        <v>335294.864</v>
      </c>
      <c r="AK100" s="718">
        <f>IF(OR($B100="No",AK$6=""),"",IF(NOT(ISNUMBER(_xll.ciqfunctions.udf.CIQ(AK$6,"IQ_TEV",$AI100,$I$2,$I$3))),"",_xll.ciqfunctions.udf.CIQ(AK$6,"IQ_TEV",$AI100,$I$2,$I$3)))</f>
        <v>91566.650519999996</v>
      </c>
      <c r="AL100" s="718" t="str">
        <f>IF(OR($B100="No",AL$6=""),"",IF(NOT(ISNUMBER(_xll.ciqfunctions.udf.CIQ(AL$6,"IQ_TEV",$AI100,$I$2,$I$3))),"",_xll.ciqfunctions.udf.CIQ(AL$6,"IQ_TEV",$AI100,$I$2,$I$3)))</f>
        <v/>
      </c>
      <c r="AM100" s="718" t="str">
        <f>IF(OR($B100="No",AM$6=""),"",IF(NOT(ISNUMBER(_xll.ciqfunctions.udf.CIQ(AM$6,"IQ_TEV",$AI100,$I$2,$I$3))),"",_xll.ciqfunctions.udf.CIQ(AM$6,"IQ_TEV",$AI100,$I$2,$I$3)))</f>
        <v/>
      </c>
      <c r="AN100" s="718" t="str">
        <f>IF(OR($B100="No",AN$6=""),"",IF(NOT(ISNUMBER(_xll.ciqfunctions.udf.CIQ(AN$6,"IQ_TEV",$AI100,$I$2,$I$3))),"",_xll.ciqfunctions.udf.CIQ(AN$6,"IQ_TEV",$AI100,$I$2,$I$3)))</f>
        <v/>
      </c>
      <c r="AO100" s="718" t="str">
        <f>IF(OR($B100="No",AO$6=""),"",IF(NOT(ISNUMBER(_xll.ciqfunctions.udf.CIQ(AO$6,"IQ_TEV",$AI100,$I$2,$I$3))),"",_xll.ciqfunctions.udf.CIQ(AO$6,"IQ_TEV",$AI100,$I$2,$I$3)))</f>
        <v/>
      </c>
      <c r="AP100" s="718" t="str">
        <f>IF(OR($B100="No",AP$6=""),"",IF(NOT(ISNUMBER(_xll.ciqfunctions.udf.CIQ(AP$6,"IQ_TEV",$AI100,$I$2,$I$3))),"",_xll.ciqfunctions.udf.CIQ(AP$6,"IQ_TEV",$AI100,$I$2,$I$3)))</f>
        <v/>
      </c>
      <c r="AQ100" s="718" t="str">
        <f>IF(OR($B100="No",AQ$6=""),"",IF(NOT(ISNUMBER(_xll.ciqfunctions.udf.CIQ(AQ$6,"IQ_TEV",$AI100,$I$2,$I$3))),"",_xll.ciqfunctions.udf.CIQ(AQ$6,"IQ_TEV",$AI100,$I$2,$I$3)))</f>
        <v/>
      </c>
      <c r="AR100" s="718" t="str">
        <f>IF(OR($B100="No",AR$6=""),"",IF(NOT(ISNUMBER(_xll.ciqfunctions.udf.CIQ(AR$6,"IQ_TEV",$AI100,$I$2,$I$3))),"",_xll.ciqfunctions.udf.CIQ(AR$6,"IQ_TEV",$AI100,$I$2,$I$3)))</f>
        <v/>
      </c>
      <c r="AS100" s="718" t="str">
        <f>IF(OR($B100="No",AS$6=""),"",IF(NOT(ISNUMBER(_xll.ciqfunctions.udf.CIQ(AS$6,"IQ_TEV",$AI100,$I$2,$I$3))),"",_xll.ciqfunctions.udf.CIQ(AS$6,"IQ_TEV",$AI100,$I$2,$I$3)))</f>
        <v/>
      </c>
      <c r="AT100" s="718" t="str">
        <f>IF(OR($B100="No",AT$6=""),"",IF(NOT(ISNUMBER(_xll.ciqfunctions.udf.CIQ(AT$6,"IQ_TEV",$AI100,$I$2,$I$3))),"",_xll.ciqfunctions.udf.CIQ(AT$6,"IQ_TEV",$AI100,$I$2,$I$3)))</f>
        <v/>
      </c>
      <c r="AV100" s="251">
        <f t="shared" si="69"/>
        <v>43476</v>
      </c>
      <c r="AW100" s="719">
        <f t="shared" si="70"/>
        <v>0.2843727073697746</v>
      </c>
      <c r="AX100" s="719">
        <f t="shared" si="71"/>
        <v>0.25459807448309202</v>
      </c>
      <c r="AY100" s="719" t="e">
        <f t="shared" si="72"/>
        <v>#N/A</v>
      </c>
      <c r="AZ100" s="719" t="e">
        <f t="shared" si="73"/>
        <v>#N/A</v>
      </c>
      <c r="BA100" s="719" t="e">
        <f t="shared" si="74"/>
        <v>#N/A</v>
      </c>
      <c r="BB100" s="719" t="e">
        <f t="shared" si="75"/>
        <v>#N/A</v>
      </c>
      <c r="BC100" s="719" t="e">
        <f t="shared" si="76"/>
        <v>#N/A</v>
      </c>
      <c r="BD100" s="719" t="e">
        <f t="shared" si="77"/>
        <v>#N/A</v>
      </c>
      <c r="BE100" s="719" t="e">
        <f t="shared" si="78"/>
        <v>#N/A</v>
      </c>
      <c r="BF100" s="719" t="e">
        <f t="shared" si="79"/>
        <v>#N/A</v>
      </c>
      <c r="BG100" s="719" t="e">
        <f t="shared" si="80"/>
        <v>#N/A</v>
      </c>
    </row>
    <row r="101" spans="1:59" ht="15" customHeight="1" x14ac:dyDescent="0.2">
      <c r="A101" s="251">
        <f t="shared" si="63"/>
        <v>43483</v>
      </c>
      <c r="B101" s="253" t="str">
        <f t="shared" si="81"/>
        <v>Yes</v>
      </c>
      <c r="C101" s="1033">
        <f>IF(C$6="","",IF(NOT(ISNUMBER(_xll.ciqfunctions.udf.CIQ(C$6,$F$2, $A101, $I$2, $I$3))),IF(C100=C$6,"",C100),_xll.ciqfunctions.udf.CIQ(C$6,$F$2, $A101, $I$2, $I$3)))</f>
        <v>97.73</v>
      </c>
      <c r="D101" s="1033">
        <f>IF(D$6="","",IF(NOT(ISNUMBER(_xll.ciqfunctions.udf.CIQ(D$6,$F$2, $A101, $I$2, $I$3))),IF(D100=D$6,"",D100),_xll.ciqfunctions.udf.CIQ(D$6,$F$2, $A101, $I$2, $I$3)))</f>
        <v>24706.34807</v>
      </c>
      <c r="E101" s="1033">
        <f>IF(E$6="","",IF(NOT(ISNUMBER(_xll.ciqfunctions.udf.CIQ(E$6,$F$2, $A101, $I$2, $I$3))),IF(E100=E$6,"",E100),_xll.ciqfunctions.udf.CIQ(E$6,$F$2, $A101, $I$2, $I$3)))</f>
        <v>8148.4557599999998</v>
      </c>
      <c r="F101" s="1033">
        <f>IF(F$6="","",IF(NOT(ISNUMBER(_xll.ciqfunctions.udf.CIQ(F$6,$F$2, $A101, $I$2, $I$3))),IF(F100=F$6,"",F100),_xll.ciqfunctions.udf.CIQ(F$6,$F$2, $A101, $I$2, $I$3)))</f>
        <v>4656.5470500000001</v>
      </c>
      <c r="G101" s="1033">
        <f>IF(G$6="","",IF(NOT(ISNUMBER(_xll.ciqfunctions.udf.CIQ(G$6,$F$2, $A101, $I$2, $I$3))),IF(G100=G$6,"",G100),_xll.ciqfunctions.udf.CIQ(G$6,$F$2, $A101, $I$2, $I$3)))</f>
        <v>213.59</v>
      </c>
      <c r="H101" s="1033" t="str">
        <f>IF(H$6="","",IF(NOT(ISNUMBER(_xll.ciqfunctions.udf.CIQ(H$6,$F$2, $A101, $I$2, $I$3))),IF(H100=H$6,"",H100),_xll.ciqfunctions.udf.CIQ(H$6,$F$2, $A101, $I$2, $I$3)))</f>
        <v/>
      </c>
      <c r="I101" s="1033" t="str">
        <f>IF(I$6="","",IF(NOT(ISNUMBER(_xll.ciqfunctions.udf.CIQ(I$6,$F$2, $A101, $I$2, $I$3))),IF(I100=I$6,"",I100),_xll.ciqfunctions.udf.CIQ(I$6,$F$2, $A101, $I$2, $I$3)))</f>
        <v/>
      </c>
      <c r="J101" s="1033" t="str">
        <f>IF(J$6="","",IF(NOT(ISNUMBER(_xll.ciqfunctions.udf.CIQ(J$6,$F$2, $A101, $I$2, $I$3))),IF(J100=J$6,"",J100),_xll.ciqfunctions.udf.CIQ(J$6,$F$2, $A101, $I$2, $I$3)))</f>
        <v/>
      </c>
      <c r="K101" s="1033" t="str">
        <f>IF(K$6="","",IF(NOT(ISNUMBER(_xll.ciqfunctions.udf.CIQ(K$6,$F$2, $A101, $I$2, $I$3))),IF(K100=K$6,"",K100),_xll.ciqfunctions.udf.CIQ(K$6,$F$2, $A101, $I$2, $I$3)))</f>
        <v/>
      </c>
      <c r="L101" s="254" t="str">
        <f>IF(L$6="","",IF(NOT(ISNUMBER(_xll.ciqfunctions.udf.CIQ(L$6,$F$2, $A101, $I$2, $I$3))),IF(L100=L$6,"",L100),_xll.ciqfunctions.udf.CIQ(L$6,$F$2, $A101, $I$2, $I$3)))</f>
        <v/>
      </c>
      <c r="M101" s="254" t="str">
        <f>IF(M$6="","",IF(NOT(ISNUMBER(_xll.ciqfunctions.udf.CIQ(M$6,$F$2, $A101, $I$2, $I$3))),IF(M100=M$6,"",M100),_xll.ciqfunctions.udf.CIQ(M$6,$F$2, $A101, $I$2, $I$3)))</f>
        <v/>
      </c>
      <c r="N101" s="254" t="str">
        <f>IF(N$6="","",IF(NOT(ISNUMBER(_xll.ciqfunctions.udf.CIQ(N$6,$F$2, $A101, $I$2, $I$3))),IF(N100=N$6,"",N100),_xll.ciqfunctions.udf.CIQ(N$6,$F$2, $A101, $I$2, $I$3)))</f>
        <v/>
      </c>
      <c r="O101" s="254" t="str">
        <f>IF(O$6="","",IF(NOT(ISNUMBER(_xll.ciqfunctions.udf.CIQ(O$6,$F$2, $A101, $I$2, $I$3))),IF(O100=O$6,"",O100),_xll.ciqfunctions.udf.CIQ(O$6,$F$2, $A101, $I$2, $I$3)))</f>
        <v/>
      </c>
      <c r="P101" s="254" t="str">
        <f>IF(P$6="","",IF(NOT(ISNUMBER(_xll.ciqfunctions.udf.CIQ(P$6,$F$2, $A101, $I$2, $I$3))),IF(P100=P$6,"",P100),_xll.ciqfunctions.udf.CIQ(P$6,$F$2, $A101, $I$2, $I$3)))</f>
        <v/>
      </c>
      <c r="Q101" s="254"/>
      <c r="R101" s="251">
        <f t="shared" si="64"/>
        <v>43483</v>
      </c>
      <c r="S101" s="255">
        <f t="shared" si="66"/>
        <v>0.35585460599334073</v>
      </c>
      <c r="T101" s="255">
        <f t="shared" si="67"/>
        <v>0.19566780020694408</v>
      </c>
      <c r="U101" s="255">
        <f t="shared" si="68"/>
        <v>0.13871710158943729</v>
      </c>
      <c r="V101" s="255">
        <f t="shared" si="82"/>
        <v>6.0780865105267257E-2</v>
      </c>
      <c r="W101" s="255">
        <f t="array" ref="W101">IFERROR(AVERAGE(IF(ISERROR(X101:AG101),"",X101:AG101)),"")</f>
        <v>0.27371936311050149</v>
      </c>
      <c r="X101" s="255">
        <f t="shared" si="83"/>
        <v>0.27371936311050149</v>
      </c>
      <c r="Y101" s="255" t="e">
        <f t="shared" si="84"/>
        <v>#N/A</v>
      </c>
      <c r="Z101" s="255" t="e">
        <f t="shared" si="85"/>
        <v>#N/A</v>
      </c>
      <c r="AA101" s="255" t="e">
        <f t="shared" si="86"/>
        <v>#N/A</v>
      </c>
      <c r="AB101" s="255" t="e">
        <f t="shared" si="87"/>
        <v>#N/A</v>
      </c>
      <c r="AC101" s="255" t="e">
        <f t="shared" si="88"/>
        <v>#N/A</v>
      </c>
      <c r="AD101" s="255" t="e">
        <f t="shared" si="89"/>
        <v>#N/A</v>
      </c>
      <c r="AE101" s="255" t="e">
        <f t="shared" si="90"/>
        <v>#N/A</v>
      </c>
      <c r="AF101" s="255" t="e">
        <f t="shared" si="91"/>
        <v>#N/A</v>
      </c>
      <c r="AG101" s="255" t="e">
        <f t="shared" si="92"/>
        <v>#N/A</v>
      </c>
      <c r="AI101" s="251">
        <f t="shared" si="65"/>
        <v>43483</v>
      </c>
      <c r="AJ101" s="718">
        <f>IF(OR($B101="No",AJ$6=""),"",IF(NOT(ISNUMBER(_xll.ciqfunctions.udf.CIQ(AJ$6,"IQ_TEV",$AI101,$I$2,$I$3))),"",_xll.ciqfunctions.udf.CIQ(AJ$6,"IQ_TEV",$AI101,$I$2,$I$3)))</f>
        <v>343691.06556999998</v>
      </c>
      <c r="AK101" s="718">
        <f>IF(OR($B101="No",AK$6=""),"",IF(NOT(ISNUMBER(_xll.ciqfunctions.udf.CIQ(AK$6,"IQ_TEV",$AI101,$I$2,$I$3))),"",_xll.ciqfunctions.udf.CIQ(AK$6,"IQ_TEV",$AI101,$I$2,$I$3)))</f>
        <v>92923.361199999999</v>
      </c>
      <c r="AL101" s="718" t="str">
        <f>IF(OR($B101="No",AL$6=""),"",IF(NOT(ISNUMBER(_xll.ciqfunctions.udf.CIQ(AL$6,"IQ_TEV",$AI101,$I$2,$I$3))),"",_xll.ciqfunctions.udf.CIQ(AL$6,"IQ_TEV",$AI101,$I$2,$I$3)))</f>
        <v/>
      </c>
      <c r="AM101" s="718" t="str">
        <f>IF(OR($B101="No",AM$6=""),"",IF(NOT(ISNUMBER(_xll.ciqfunctions.udf.CIQ(AM$6,"IQ_TEV",$AI101,$I$2,$I$3))),"",_xll.ciqfunctions.udf.CIQ(AM$6,"IQ_TEV",$AI101,$I$2,$I$3)))</f>
        <v/>
      </c>
      <c r="AN101" s="718" t="str">
        <f>IF(OR($B101="No",AN$6=""),"",IF(NOT(ISNUMBER(_xll.ciqfunctions.udf.CIQ(AN$6,"IQ_TEV",$AI101,$I$2,$I$3))),"",_xll.ciqfunctions.udf.CIQ(AN$6,"IQ_TEV",$AI101,$I$2,$I$3)))</f>
        <v/>
      </c>
      <c r="AO101" s="718" t="str">
        <f>IF(OR($B101="No",AO$6=""),"",IF(NOT(ISNUMBER(_xll.ciqfunctions.udf.CIQ(AO$6,"IQ_TEV",$AI101,$I$2,$I$3))),"",_xll.ciqfunctions.udf.CIQ(AO$6,"IQ_TEV",$AI101,$I$2,$I$3)))</f>
        <v/>
      </c>
      <c r="AP101" s="718" t="str">
        <f>IF(OR($B101="No",AP$6=""),"",IF(NOT(ISNUMBER(_xll.ciqfunctions.udf.CIQ(AP$6,"IQ_TEV",$AI101,$I$2,$I$3))),"",_xll.ciqfunctions.udf.CIQ(AP$6,"IQ_TEV",$AI101,$I$2,$I$3)))</f>
        <v/>
      </c>
      <c r="AQ101" s="718" t="str">
        <f>IF(OR($B101="No",AQ$6=""),"",IF(NOT(ISNUMBER(_xll.ciqfunctions.udf.CIQ(AQ$6,"IQ_TEV",$AI101,$I$2,$I$3))),"",_xll.ciqfunctions.udf.CIQ(AQ$6,"IQ_TEV",$AI101,$I$2,$I$3)))</f>
        <v/>
      </c>
      <c r="AR101" s="718" t="str">
        <f>IF(OR($B101="No",AR$6=""),"",IF(NOT(ISNUMBER(_xll.ciqfunctions.udf.CIQ(AR$6,"IQ_TEV",$AI101,$I$2,$I$3))),"",_xll.ciqfunctions.udf.CIQ(AR$6,"IQ_TEV",$AI101,$I$2,$I$3)))</f>
        <v/>
      </c>
      <c r="AS101" s="718" t="str">
        <f>IF(OR($B101="No",AS$6=""),"",IF(NOT(ISNUMBER(_xll.ciqfunctions.udf.CIQ(AS$6,"IQ_TEV",$AI101,$I$2,$I$3))),"",_xll.ciqfunctions.udf.CIQ(AS$6,"IQ_TEV",$AI101,$I$2,$I$3)))</f>
        <v/>
      </c>
      <c r="AT101" s="718" t="str">
        <f>IF(OR($B101="No",AT$6=""),"",IF(NOT(ISNUMBER(_xll.ciqfunctions.udf.CIQ(AT$6,"IQ_TEV",$AI101,$I$2,$I$3))),"",_xll.ciqfunctions.udf.CIQ(AT$6,"IQ_TEV",$AI101,$I$2,$I$3)))</f>
        <v/>
      </c>
      <c r="AV101" s="251">
        <f t="shared" si="69"/>
        <v>43483</v>
      </c>
      <c r="AW101" s="719">
        <f t="shared" si="70"/>
        <v>0.3165350018154276</v>
      </c>
      <c r="AX101" s="719">
        <f t="shared" si="71"/>
        <v>0.27318701048864003</v>
      </c>
      <c r="AY101" s="719" t="e">
        <f t="shared" si="72"/>
        <v>#N/A</v>
      </c>
      <c r="AZ101" s="719" t="e">
        <f t="shared" si="73"/>
        <v>#N/A</v>
      </c>
      <c r="BA101" s="719" t="e">
        <f t="shared" si="74"/>
        <v>#N/A</v>
      </c>
      <c r="BB101" s="719" t="e">
        <f t="shared" si="75"/>
        <v>#N/A</v>
      </c>
      <c r="BC101" s="719" t="e">
        <f t="shared" si="76"/>
        <v>#N/A</v>
      </c>
      <c r="BD101" s="719" t="e">
        <f t="shared" si="77"/>
        <v>#N/A</v>
      </c>
      <c r="BE101" s="719" t="e">
        <f t="shared" si="78"/>
        <v>#N/A</v>
      </c>
      <c r="BF101" s="719" t="e">
        <f t="shared" si="79"/>
        <v>#N/A</v>
      </c>
      <c r="BG101" s="719" t="e">
        <f t="shared" si="80"/>
        <v>#N/A</v>
      </c>
    </row>
    <row r="102" spans="1:59" ht="15" customHeight="1" x14ac:dyDescent="0.2">
      <c r="A102" s="251">
        <f t="shared" si="63"/>
        <v>43490</v>
      </c>
      <c r="B102" s="253" t="str">
        <f t="shared" si="81"/>
        <v>Yes</v>
      </c>
      <c r="C102" s="1033">
        <f>IF(C$6="","",IF(NOT(ISNUMBER(_xll.ciqfunctions.udf.CIQ(C$6,$F$2, $A102, $I$2, $I$3))),IF(C101=C$6,"",C101),_xll.ciqfunctions.udf.CIQ(C$6,$F$2, $A102, $I$2, $I$3)))</f>
        <v>96.94</v>
      </c>
      <c r="D102" s="1033">
        <f>IF(D$6="","",IF(NOT(ISNUMBER(_xll.ciqfunctions.udf.CIQ(D$6,$F$2, $A102, $I$2, $I$3))),IF(D101=D$6,"",D101),_xll.ciqfunctions.udf.CIQ(D$6,$F$2, $A102, $I$2, $I$3)))</f>
        <v>24737.199560000001</v>
      </c>
      <c r="E102" s="1033">
        <f>IF(E$6="","",IF(NOT(ISNUMBER(_xll.ciqfunctions.udf.CIQ(E$6,$F$2, $A102, $I$2, $I$3))),IF(E101=E$6,"",E101),_xll.ciqfunctions.udf.CIQ(E$6,$F$2, $A102, $I$2, $I$3)))</f>
        <v>8137.9930299999996</v>
      </c>
      <c r="F102" s="1033">
        <f>IF(F$6="","",IF(NOT(ISNUMBER(_xll.ciqfunctions.udf.CIQ(F$6,$F$2, $A102, $I$2, $I$3))),IF(F101=F$6,"",F101),_xll.ciqfunctions.udf.CIQ(F$6,$F$2, $A102, $I$2, $I$3)))</f>
        <v>4637.28953</v>
      </c>
      <c r="G102" s="1033">
        <f>IF(G$6="","",IF(NOT(ISNUMBER(_xll.ciqfunctions.udf.CIQ(G$6,$F$2, $A102, $I$2, $I$3))),IF(G101=G$6,"",G101),_xll.ciqfunctions.udf.CIQ(G$6,$F$2, $A102, $I$2, $I$3)))</f>
        <v>209.07</v>
      </c>
      <c r="H102" s="1033" t="str">
        <f>IF(H$6="","",IF(NOT(ISNUMBER(_xll.ciqfunctions.udf.CIQ(H$6,$F$2, $A102, $I$2, $I$3))),IF(H101=H$6,"",H101),_xll.ciqfunctions.udf.CIQ(H$6,$F$2, $A102, $I$2, $I$3)))</f>
        <v/>
      </c>
      <c r="I102" s="1033" t="str">
        <f>IF(I$6="","",IF(NOT(ISNUMBER(_xll.ciqfunctions.udf.CIQ(I$6,$F$2, $A102, $I$2, $I$3))),IF(I101=I$6,"",I101),_xll.ciqfunctions.udf.CIQ(I$6,$F$2, $A102, $I$2, $I$3)))</f>
        <v/>
      </c>
      <c r="J102" s="1033" t="str">
        <f>IF(J$6="","",IF(NOT(ISNUMBER(_xll.ciqfunctions.udf.CIQ(J$6,$F$2, $A102, $I$2, $I$3))),IF(J101=J$6,"",J101),_xll.ciqfunctions.udf.CIQ(J$6,$F$2, $A102, $I$2, $I$3)))</f>
        <v/>
      </c>
      <c r="K102" s="1033" t="str">
        <f>IF(K$6="","",IF(NOT(ISNUMBER(_xll.ciqfunctions.udf.CIQ(K$6,$F$2, $A102, $I$2, $I$3))),IF(K101=K$6,"",K101),_xll.ciqfunctions.udf.CIQ(K$6,$F$2, $A102, $I$2, $I$3)))</f>
        <v/>
      </c>
      <c r="L102" s="254" t="str">
        <f>IF(L$6="","",IF(NOT(ISNUMBER(_xll.ciqfunctions.udf.CIQ(L$6,$F$2, $A102, $I$2, $I$3))),IF(L101=L$6,"",L101),_xll.ciqfunctions.udf.CIQ(L$6,$F$2, $A102, $I$2, $I$3)))</f>
        <v/>
      </c>
      <c r="M102" s="254" t="str">
        <f>IF(M$6="","",IF(NOT(ISNUMBER(_xll.ciqfunctions.udf.CIQ(M$6,$F$2, $A102, $I$2, $I$3))),IF(M101=M$6,"",M101),_xll.ciqfunctions.udf.CIQ(M$6,$F$2, $A102, $I$2, $I$3)))</f>
        <v/>
      </c>
      <c r="N102" s="254" t="str">
        <f>IF(N$6="","",IF(NOT(ISNUMBER(_xll.ciqfunctions.udf.CIQ(N$6,$F$2, $A102, $I$2, $I$3))),IF(N101=N$6,"",N101),_xll.ciqfunctions.udf.CIQ(N$6,$F$2, $A102, $I$2, $I$3)))</f>
        <v/>
      </c>
      <c r="O102" s="254" t="str">
        <f>IF(O$6="","",IF(NOT(ISNUMBER(_xll.ciqfunctions.udf.CIQ(O$6,$F$2, $A102, $I$2, $I$3))),IF(O101=O$6,"",O101),_xll.ciqfunctions.udf.CIQ(O$6,$F$2, $A102, $I$2, $I$3)))</f>
        <v/>
      </c>
      <c r="P102" s="254" t="str">
        <f>IF(P$6="","",IF(NOT(ISNUMBER(_xll.ciqfunctions.udf.CIQ(P$6,$F$2, $A102, $I$2, $I$3))),IF(P101=P$6,"",P101),_xll.ciqfunctions.udf.CIQ(P$6,$F$2, $A102, $I$2, $I$3)))</f>
        <v/>
      </c>
      <c r="Q102" s="254"/>
      <c r="R102" s="251">
        <f t="shared" si="64"/>
        <v>43490</v>
      </c>
      <c r="S102" s="255">
        <f t="shared" si="66"/>
        <v>0.34489456159822418</v>
      </c>
      <c r="T102" s="255">
        <f t="shared" si="67"/>
        <v>0.19716086316699366</v>
      </c>
      <c r="U102" s="255">
        <f t="shared" si="68"/>
        <v>0.13725497306702472</v>
      </c>
      <c r="V102" s="255">
        <f t="shared" si="82"/>
        <v>5.6393921624178001E-2</v>
      </c>
      <c r="W102" s="255">
        <f t="array" ref="W102">IFERROR(AVERAGE(IF(ISERROR(X102:AG102),"",X102:AG102)),"")</f>
        <v>0.24676486373665685</v>
      </c>
      <c r="X102" s="255">
        <f t="shared" si="83"/>
        <v>0.24676486373665685</v>
      </c>
      <c r="Y102" s="255" t="e">
        <f t="shared" si="84"/>
        <v>#N/A</v>
      </c>
      <c r="Z102" s="255" t="e">
        <f t="shared" si="85"/>
        <v>#N/A</v>
      </c>
      <c r="AA102" s="255" t="e">
        <f t="shared" si="86"/>
        <v>#N/A</v>
      </c>
      <c r="AB102" s="255" t="e">
        <f t="shared" si="87"/>
        <v>#N/A</v>
      </c>
      <c r="AC102" s="255" t="e">
        <f t="shared" si="88"/>
        <v>#N/A</v>
      </c>
      <c r="AD102" s="255" t="e">
        <f t="shared" si="89"/>
        <v>#N/A</v>
      </c>
      <c r="AE102" s="255" t="e">
        <f t="shared" si="90"/>
        <v>#N/A</v>
      </c>
      <c r="AF102" s="255" t="e">
        <f t="shared" si="91"/>
        <v>#N/A</v>
      </c>
      <c r="AG102" s="255" t="e">
        <f t="shared" si="92"/>
        <v>#N/A</v>
      </c>
      <c r="AI102" s="251">
        <f t="shared" si="65"/>
        <v>43490</v>
      </c>
      <c r="AJ102" s="718">
        <f>IF(OR($B102="No",AJ$6=""),"",IF(NOT(ISNUMBER(_xll.ciqfunctions.udf.CIQ(AJ$6,"IQ_TEV",$AI102,$I$2,$I$3))),"",_xll.ciqfunctions.udf.CIQ(AJ$6,"IQ_TEV",$AI102,$I$2,$I$3)))</f>
        <v>341395.91012000002</v>
      </c>
      <c r="AK102" s="718">
        <f>IF(OR($B102="No",AK$6=""),"",IF(NOT(ISNUMBER(_xll.ciqfunctions.udf.CIQ(AK$6,"IQ_TEV",$AI102,$I$2,$I$3))),"",_xll.ciqfunctions.udf.CIQ(AK$6,"IQ_TEV",$AI102,$I$2,$I$3)))</f>
        <v>90932.344240000006</v>
      </c>
      <c r="AL102" s="718" t="str">
        <f>IF(OR($B102="No",AL$6=""),"",IF(NOT(ISNUMBER(_xll.ciqfunctions.udf.CIQ(AL$6,"IQ_TEV",$AI102,$I$2,$I$3))),"",_xll.ciqfunctions.udf.CIQ(AL$6,"IQ_TEV",$AI102,$I$2,$I$3)))</f>
        <v/>
      </c>
      <c r="AM102" s="718" t="str">
        <f>IF(OR($B102="No",AM$6=""),"",IF(NOT(ISNUMBER(_xll.ciqfunctions.udf.CIQ(AM$6,"IQ_TEV",$AI102,$I$2,$I$3))),"",_xll.ciqfunctions.udf.CIQ(AM$6,"IQ_TEV",$AI102,$I$2,$I$3)))</f>
        <v/>
      </c>
      <c r="AN102" s="718" t="str">
        <f>IF(OR($B102="No",AN$6=""),"",IF(NOT(ISNUMBER(_xll.ciqfunctions.udf.CIQ(AN$6,"IQ_TEV",$AI102,$I$2,$I$3))),"",_xll.ciqfunctions.udf.CIQ(AN$6,"IQ_TEV",$AI102,$I$2,$I$3)))</f>
        <v/>
      </c>
      <c r="AO102" s="718" t="str">
        <f>IF(OR($B102="No",AO$6=""),"",IF(NOT(ISNUMBER(_xll.ciqfunctions.udf.CIQ(AO$6,"IQ_TEV",$AI102,$I$2,$I$3))),"",_xll.ciqfunctions.udf.CIQ(AO$6,"IQ_TEV",$AI102,$I$2,$I$3)))</f>
        <v/>
      </c>
      <c r="AP102" s="718" t="str">
        <f>IF(OR($B102="No",AP$6=""),"",IF(NOT(ISNUMBER(_xll.ciqfunctions.udf.CIQ(AP$6,"IQ_TEV",$AI102,$I$2,$I$3))),"",_xll.ciqfunctions.udf.CIQ(AP$6,"IQ_TEV",$AI102,$I$2,$I$3)))</f>
        <v/>
      </c>
      <c r="AQ102" s="718" t="str">
        <f>IF(OR($B102="No",AQ$6=""),"",IF(NOT(ISNUMBER(_xll.ciqfunctions.udf.CIQ(AQ$6,"IQ_TEV",$AI102,$I$2,$I$3))),"",_xll.ciqfunctions.udf.CIQ(AQ$6,"IQ_TEV",$AI102,$I$2,$I$3)))</f>
        <v/>
      </c>
      <c r="AR102" s="718" t="str">
        <f>IF(OR($B102="No",AR$6=""),"",IF(NOT(ISNUMBER(_xll.ciqfunctions.udf.CIQ(AR$6,"IQ_TEV",$AI102,$I$2,$I$3))),"",_xll.ciqfunctions.udf.CIQ(AR$6,"IQ_TEV",$AI102,$I$2,$I$3)))</f>
        <v/>
      </c>
      <c r="AS102" s="718" t="str">
        <f>IF(OR($B102="No",AS$6=""),"",IF(NOT(ISNUMBER(_xll.ciqfunctions.udf.CIQ(AS$6,"IQ_TEV",$AI102,$I$2,$I$3))),"",_xll.ciqfunctions.udf.CIQ(AS$6,"IQ_TEV",$AI102,$I$2,$I$3)))</f>
        <v/>
      </c>
      <c r="AT102" s="718" t="str">
        <f>IF(OR($B102="No",AT$6=""),"",IF(NOT(ISNUMBER(_xll.ciqfunctions.udf.CIQ(AT$6,"IQ_TEV",$AI102,$I$2,$I$3))),"",_xll.ciqfunctions.udf.CIQ(AT$6,"IQ_TEV",$AI102,$I$2,$I$3)))</f>
        <v/>
      </c>
      <c r="AV102" s="251">
        <f t="shared" si="69"/>
        <v>43490</v>
      </c>
      <c r="AW102" s="719">
        <f t="shared" si="70"/>
        <v>0.30774323273198911</v>
      </c>
      <c r="AX102" s="719">
        <f t="shared" si="71"/>
        <v>0.24590714352732124</v>
      </c>
      <c r="AY102" s="719" t="e">
        <f t="shared" si="72"/>
        <v>#N/A</v>
      </c>
      <c r="AZ102" s="719" t="e">
        <f t="shared" si="73"/>
        <v>#N/A</v>
      </c>
      <c r="BA102" s="719" t="e">
        <f t="shared" si="74"/>
        <v>#N/A</v>
      </c>
      <c r="BB102" s="719" t="e">
        <f t="shared" si="75"/>
        <v>#N/A</v>
      </c>
      <c r="BC102" s="719" t="e">
        <f t="shared" si="76"/>
        <v>#N/A</v>
      </c>
      <c r="BD102" s="719" t="e">
        <f t="shared" si="77"/>
        <v>#N/A</v>
      </c>
      <c r="BE102" s="719" t="e">
        <f t="shared" si="78"/>
        <v>#N/A</v>
      </c>
      <c r="BF102" s="719" t="e">
        <f t="shared" si="79"/>
        <v>#N/A</v>
      </c>
      <c r="BG102" s="719" t="e">
        <f t="shared" si="80"/>
        <v>#N/A</v>
      </c>
    </row>
    <row r="103" spans="1:59" ht="15" customHeight="1" x14ac:dyDescent="0.2">
      <c r="A103" s="251">
        <f t="shared" si="63"/>
        <v>43497</v>
      </c>
      <c r="B103" s="253" t="str">
        <f t="shared" si="81"/>
        <v>Yes</v>
      </c>
      <c r="C103" s="1033">
        <f>IF(C$6="","",IF(NOT(ISNUMBER(_xll.ciqfunctions.udf.CIQ(C$6,$F$2, $A103, $I$2, $I$3))),IF(C102=C$6,"",C102),_xll.ciqfunctions.udf.CIQ(C$6,$F$2, $A103, $I$2, $I$3)))</f>
        <v>93.86</v>
      </c>
      <c r="D103" s="1033">
        <f>IF(D$6="","",IF(NOT(ISNUMBER(_xll.ciqfunctions.udf.CIQ(D$6,$F$2, $A103, $I$2, $I$3))),IF(D102=D$6,"",D102),_xll.ciqfunctions.udf.CIQ(D$6,$F$2, $A103, $I$2, $I$3)))</f>
        <v>25063.886330000001</v>
      </c>
      <c r="E103" s="1033">
        <f>IF(E$6="","",IF(NOT(ISNUMBER(_xll.ciqfunctions.udf.CIQ(E$6,$F$2, $A103, $I$2, $I$3))),IF(E102=E$6,"",E102),_xll.ciqfunctions.udf.CIQ(E$6,$F$2, $A103, $I$2, $I$3)))</f>
        <v>8273.6325099999995</v>
      </c>
      <c r="F103" s="1033">
        <f>IF(F$6="","",IF(NOT(ISNUMBER(_xll.ciqfunctions.udf.CIQ(F$6,$F$2, $A103, $I$2, $I$3))),IF(F102=F$6,"",F102),_xll.ciqfunctions.udf.CIQ(F$6,$F$2, $A103, $I$2, $I$3)))</f>
        <v>4552.1132200000002</v>
      </c>
      <c r="G103" s="1033">
        <f>IF(G$6="","",IF(NOT(ISNUMBER(_xll.ciqfunctions.udf.CIQ(G$6,$F$2, $A103, $I$2, $I$3))),IF(G102=G$6,"",G102),_xll.ciqfunctions.udf.CIQ(G$6,$F$2, $A103, $I$2, $I$3)))</f>
        <v>210.27</v>
      </c>
      <c r="H103" s="1033" t="str">
        <f>IF(H$6="","",IF(NOT(ISNUMBER(_xll.ciqfunctions.udf.CIQ(H$6,$F$2, $A103, $I$2, $I$3))),IF(H102=H$6,"",H102),_xll.ciqfunctions.udf.CIQ(H$6,$F$2, $A103, $I$2, $I$3)))</f>
        <v/>
      </c>
      <c r="I103" s="1033" t="str">
        <f>IF(I$6="","",IF(NOT(ISNUMBER(_xll.ciqfunctions.udf.CIQ(I$6,$F$2, $A103, $I$2, $I$3))),IF(I102=I$6,"",I102),_xll.ciqfunctions.udf.CIQ(I$6,$F$2, $A103, $I$2, $I$3)))</f>
        <v/>
      </c>
      <c r="J103" s="1033" t="str">
        <f>IF(J$6="","",IF(NOT(ISNUMBER(_xll.ciqfunctions.udf.CIQ(J$6,$F$2, $A103, $I$2, $I$3))),IF(J102=J$6,"",J102),_xll.ciqfunctions.udf.CIQ(J$6,$F$2, $A103, $I$2, $I$3)))</f>
        <v/>
      </c>
      <c r="K103" s="1033" t="str">
        <f>IF(K$6="","",IF(NOT(ISNUMBER(_xll.ciqfunctions.udf.CIQ(K$6,$F$2, $A103, $I$2, $I$3))),IF(K102=K$6,"",K102),_xll.ciqfunctions.udf.CIQ(K$6,$F$2, $A103, $I$2, $I$3)))</f>
        <v/>
      </c>
      <c r="L103" s="254" t="str">
        <f>IF(L$6="","",IF(NOT(ISNUMBER(_xll.ciqfunctions.udf.CIQ(L$6,$F$2, $A103, $I$2, $I$3))),IF(L102=L$6,"",L102),_xll.ciqfunctions.udf.CIQ(L$6,$F$2, $A103, $I$2, $I$3)))</f>
        <v/>
      </c>
      <c r="M103" s="254" t="str">
        <f>IF(M$6="","",IF(NOT(ISNUMBER(_xll.ciqfunctions.udf.CIQ(M$6,$F$2, $A103, $I$2, $I$3))),IF(M102=M$6,"",M102),_xll.ciqfunctions.udf.CIQ(M$6,$F$2, $A103, $I$2, $I$3)))</f>
        <v/>
      </c>
      <c r="N103" s="254" t="str">
        <f>IF(N$6="","",IF(NOT(ISNUMBER(_xll.ciqfunctions.udf.CIQ(N$6,$F$2, $A103, $I$2, $I$3))),IF(N102=N$6,"",N102),_xll.ciqfunctions.udf.CIQ(N$6,$F$2, $A103, $I$2, $I$3)))</f>
        <v/>
      </c>
      <c r="O103" s="254" t="str">
        <f>IF(O$6="","",IF(NOT(ISNUMBER(_xll.ciqfunctions.udf.CIQ(O$6,$F$2, $A103, $I$2, $I$3))),IF(O102=O$6,"",O102),_xll.ciqfunctions.udf.CIQ(O$6,$F$2, $A103, $I$2, $I$3)))</f>
        <v/>
      </c>
      <c r="P103" s="254" t="str">
        <f>IF(P$6="","",IF(NOT(ISNUMBER(_xll.ciqfunctions.udf.CIQ(P$6,$F$2, $A103, $I$2, $I$3))),IF(P102=P$6,"",P102),_xll.ciqfunctions.udf.CIQ(P$6,$F$2, $A103, $I$2, $I$3)))</f>
        <v/>
      </c>
      <c r="Q103" s="254"/>
      <c r="R103" s="251">
        <f t="shared" si="64"/>
        <v>43497</v>
      </c>
      <c r="S103" s="255">
        <f t="shared" si="66"/>
        <v>0.30216426193118751</v>
      </c>
      <c r="T103" s="255">
        <f t="shared" si="67"/>
        <v>0.21297092342097801</v>
      </c>
      <c r="U103" s="255">
        <f t="shared" si="68"/>
        <v>0.15621009782635698</v>
      </c>
      <c r="V103" s="255">
        <f t="shared" si="82"/>
        <v>3.6990402484760265E-2</v>
      </c>
      <c r="W103" s="255">
        <f t="array" ref="W103">IFERROR(AVERAGE(IF(ISERROR(X103:AG103),"",X103:AG103)),"")</f>
        <v>0.25392092551732381</v>
      </c>
      <c r="X103" s="255">
        <f t="shared" si="83"/>
        <v>0.25392092551732381</v>
      </c>
      <c r="Y103" s="255" t="e">
        <f t="shared" si="84"/>
        <v>#N/A</v>
      </c>
      <c r="Z103" s="255" t="e">
        <f t="shared" si="85"/>
        <v>#N/A</v>
      </c>
      <c r="AA103" s="255" t="e">
        <f t="shared" si="86"/>
        <v>#N/A</v>
      </c>
      <c r="AB103" s="255" t="e">
        <f t="shared" si="87"/>
        <v>#N/A</v>
      </c>
      <c r="AC103" s="255" t="e">
        <f t="shared" si="88"/>
        <v>#N/A</v>
      </c>
      <c r="AD103" s="255" t="e">
        <f t="shared" si="89"/>
        <v>#N/A</v>
      </c>
      <c r="AE103" s="255" t="e">
        <f t="shared" si="90"/>
        <v>#N/A</v>
      </c>
      <c r="AF103" s="255" t="e">
        <f t="shared" si="91"/>
        <v>#N/A</v>
      </c>
      <c r="AG103" s="255" t="e">
        <f t="shared" si="92"/>
        <v>#N/A</v>
      </c>
      <c r="AI103" s="251">
        <f t="shared" si="65"/>
        <v>43497</v>
      </c>
      <c r="AJ103" s="718">
        <f>IF(OR($B103="No",AJ$6=""),"",IF(NOT(ISNUMBER(_xll.ciqfunctions.udf.CIQ(AJ$6,"IQ_TEV",$AI103,$I$2,$I$3))),"",_xll.ciqfunctions.udf.CIQ(AJ$6,"IQ_TEV",$AI103,$I$2,$I$3)))</f>
        <v>332447.70913999999</v>
      </c>
      <c r="AK103" s="718">
        <f>IF(OR($B103="No",AK$6=""),"",IF(NOT(ISNUMBER(_xll.ciqfunctions.udf.CIQ(AK$6,"IQ_TEV",$AI103,$I$2,$I$3))),"",_xll.ciqfunctions.udf.CIQ(AK$6,"IQ_TEV",$AI103,$I$2,$I$3)))</f>
        <v>91460.932809999998</v>
      </c>
      <c r="AL103" s="718" t="str">
        <f>IF(OR($B103="No",AL$6=""),"",IF(NOT(ISNUMBER(_xll.ciqfunctions.udf.CIQ(AL$6,"IQ_TEV",$AI103,$I$2,$I$3))),"",_xll.ciqfunctions.udf.CIQ(AL$6,"IQ_TEV",$AI103,$I$2,$I$3)))</f>
        <v/>
      </c>
      <c r="AM103" s="718" t="str">
        <f>IF(OR($B103="No",AM$6=""),"",IF(NOT(ISNUMBER(_xll.ciqfunctions.udf.CIQ(AM$6,"IQ_TEV",$AI103,$I$2,$I$3))),"",_xll.ciqfunctions.udf.CIQ(AM$6,"IQ_TEV",$AI103,$I$2,$I$3)))</f>
        <v/>
      </c>
      <c r="AN103" s="718" t="str">
        <f>IF(OR($B103="No",AN$6=""),"",IF(NOT(ISNUMBER(_xll.ciqfunctions.udf.CIQ(AN$6,"IQ_TEV",$AI103,$I$2,$I$3))),"",_xll.ciqfunctions.udf.CIQ(AN$6,"IQ_TEV",$AI103,$I$2,$I$3)))</f>
        <v/>
      </c>
      <c r="AO103" s="718" t="str">
        <f>IF(OR($B103="No",AO$6=""),"",IF(NOT(ISNUMBER(_xll.ciqfunctions.udf.CIQ(AO$6,"IQ_TEV",$AI103,$I$2,$I$3))),"",_xll.ciqfunctions.udf.CIQ(AO$6,"IQ_TEV",$AI103,$I$2,$I$3)))</f>
        <v/>
      </c>
      <c r="AP103" s="718" t="str">
        <f>IF(OR($B103="No",AP$6=""),"",IF(NOT(ISNUMBER(_xll.ciqfunctions.udf.CIQ(AP$6,"IQ_TEV",$AI103,$I$2,$I$3))),"",_xll.ciqfunctions.udf.CIQ(AP$6,"IQ_TEV",$AI103,$I$2,$I$3)))</f>
        <v/>
      </c>
      <c r="AQ103" s="718" t="str">
        <f>IF(OR($B103="No",AQ$6=""),"",IF(NOT(ISNUMBER(_xll.ciqfunctions.udf.CIQ(AQ$6,"IQ_TEV",$AI103,$I$2,$I$3))),"",_xll.ciqfunctions.udf.CIQ(AQ$6,"IQ_TEV",$AI103,$I$2,$I$3)))</f>
        <v/>
      </c>
      <c r="AR103" s="718" t="str">
        <f>IF(OR($B103="No",AR$6=""),"",IF(NOT(ISNUMBER(_xll.ciqfunctions.udf.CIQ(AR$6,"IQ_TEV",$AI103,$I$2,$I$3))),"",_xll.ciqfunctions.udf.CIQ(AR$6,"IQ_TEV",$AI103,$I$2,$I$3)))</f>
        <v/>
      </c>
      <c r="AS103" s="718" t="str">
        <f>IF(OR($B103="No",AS$6=""),"",IF(NOT(ISNUMBER(_xll.ciqfunctions.udf.CIQ(AS$6,"IQ_TEV",$AI103,$I$2,$I$3))),"",_xll.ciqfunctions.udf.CIQ(AS$6,"IQ_TEV",$AI103,$I$2,$I$3)))</f>
        <v/>
      </c>
      <c r="AT103" s="718" t="str">
        <f>IF(OR($B103="No",AT$6=""),"",IF(NOT(ISNUMBER(_xll.ciqfunctions.udf.CIQ(AT$6,"IQ_TEV",$AI103,$I$2,$I$3))),"",_xll.ciqfunctions.udf.CIQ(AT$6,"IQ_TEV",$AI103,$I$2,$I$3)))</f>
        <v/>
      </c>
      <c r="AV103" s="251">
        <f t="shared" si="69"/>
        <v>43497</v>
      </c>
      <c r="AW103" s="719">
        <f t="shared" si="70"/>
        <v>0.27346646218541881</v>
      </c>
      <c r="AX103" s="719">
        <f t="shared" si="71"/>
        <v>0.25314958603613524</v>
      </c>
      <c r="AY103" s="719" t="e">
        <f t="shared" si="72"/>
        <v>#N/A</v>
      </c>
      <c r="AZ103" s="719" t="e">
        <f t="shared" si="73"/>
        <v>#N/A</v>
      </c>
      <c r="BA103" s="719" t="e">
        <f t="shared" si="74"/>
        <v>#N/A</v>
      </c>
      <c r="BB103" s="719" t="e">
        <f t="shared" si="75"/>
        <v>#N/A</v>
      </c>
      <c r="BC103" s="719" t="e">
        <f t="shared" si="76"/>
        <v>#N/A</v>
      </c>
      <c r="BD103" s="719" t="e">
        <f t="shared" si="77"/>
        <v>#N/A</v>
      </c>
      <c r="BE103" s="719" t="e">
        <f t="shared" si="78"/>
        <v>#N/A</v>
      </c>
      <c r="BF103" s="719" t="e">
        <f t="shared" si="79"/>
        <v>#N/A</v>
      </c>
      <c r="BG103" s="719" t="e">
        <f t="shared" si="80"/>
        <v>#N/A</v>
      </c>
    </row>
    <row r="104" spans="1:59" ht="15" customHeight="1" x14ac:dyDescent="0.2">
      <c r="A104" s="251">
        <f t="shared" si="63"/>
        <v>43504</v>
      </c>
      <c r="B104" s="253" t="str">
        <f t="shared" si="81"/>
        <v>Yes</v>
      </c>
      <c r="C104" s="1033">
        <f>IF(C$6="","",IF(NOT(ISNUMBER(_xll.ciqfunctions.udf.CIQ(C$6,$F$2, $A104, $I$2, $I$3))),IF(C103=C$6,"",C103),_xll.ciqfunctions.udf.CIQ(C$6,$F$2, $A104, $I$2, $I$3)))</f>
        <v>95.58</v>
      </c>
      <c r="D104" s="1033">
        <f>IF(D$6="","",IF(NOT(ISNUMBER(_xll.ciqfunctions.udf.CIQ(D$6,$F$2, $A104, $I$2, $I$3))),IF(D103=D$6,"",D103),_xll.ciqfunctions.udf.CIQ(D$6,$F$2, $A104, $I$2, $I$3)))</f>
        <v>25106.332559999999</v>
      </c>
      <c r="E104" s="1033">
        <f>IF(E$6="","",IF(NOT(ISNUMBER(_xll.ciqfunctions.udf.CIQ(E$6,$F$2, $A104, $I$2, $I$3))),IF(E103=E$6,"",E103),_xll.ciqfunctions.udf.CIQ(E$6,$F$2, $A104, $I$2, $I$3)))</f>
        <v>8320.8768500000006</v>
      </c>
      <c r="F104" s="1033">
        <f>IF(F$6="","",IF(NOT(ISNUMBER(_xll.ciqfunctions.udf.CIQ(F$6,$F$2, $A104, $I$2, $I$3))),IF(F103=F$6,"",F103),_xll.ciqfunctions.udf.CIQ(F$6,$F$2, $A104, $I$2, $I$3)))</f>
        <v>4556.9007700000002</v>
      </c>
      <c r="G104" s="1033">
        <f>IF(G$6="","",IF(NOT(ISNUMBER(_xll.ciqfunctions.udf.CIQ(G$6,$F$2, $A104, $I$2, $I$3))),IF(G103=G$6,"",G103),_xll.ciqfunctions.udf.CIQ(G$6,$F$2, $A104, $I$2, $I$3)))</f>
        <v>207.75</v>
      </c>
      <c r="H104" s="1033" t="str">
        <f>IF(H$6="","",IF(NOT(ISNUMBER(_xll.ciqfunctions.udf.CIQ(H$6,$F$2, $A104, $I$2, $I$3))),IF(H103=H$6,"",H103),_xll.ciqfunctions.udf.CIQ(H$6,$F$2, $A104, $I$2, $I$3)))</f>
        <v/>
      </c>
      <c r="I104" s="1033" t="str">
        <f>IF(I$6="","",IF(NOT(ISNUMBER(_xll.ciqfunctions.udf.CIQ(I$6,$F$2, $A104, $I$2, $I$3))),IF(I103=I$6,"",I103),_xll.ciqfunctions.udf.CIQ(I$6,$F$2, $A104, $I$2, $I$3)))</f>
        <v/>
      </c>
      <c r="J104" s="1033" t="str">
        <f>IF(J$6="","",IF(NOT(ISNUMBER(_xll.ciqfunctions.udf.CIQ(J$6,$F$2, $A104, $I$2, $I$3))),IF(J103=J$6,"",J103),_xll.ciqfunctions.udf.CIQ(J$6,$F$2, $A104, $I$2, $I$3)))</f>
        <v/>
      </c>
      <c r="K104" s="1033" t="str">
        <f>IF(K$6="","",IF(NOT(ISNUMBER(_xll.ciqfunctions.udf.CIQ(K$6,$F$2, $A104, $I$2, $I$3))),IF(K103=K$6,"",K103),_xll.ciqfunctions.udf.CIQ(K$6,$F$2, $A104, $I$2, $I$3)))</f>
        <v/>
      </c>
      <c r="L104" s="254" t="str">
        <f>IF(L$6="","",IF(NOT(ISNUMBER(_xll.ciqfunctions.udf.CIQ(L$6,$F$2, $A104, $I$2, $I$3))),IF(L103=L$6,"",L103),_xll.ciqfunctions.udf.CIQ(L$6,$F$2, $A104, $I$2, $I$3)))</f>
        <v/>
      </c>
      <c r="M104" s="254" t="str">
        <f>IF(M$6="","",IF(NOT(ISNUMBER(_xll.ciqfunctions.udf.CIQ(M$6,$F$2, $A104, $I$2, $I$3))),IF(M103=M$6,"",M103),_xll.ciqfunctions.udf.CIQ(M$6,$F$2, $A104, $I$2, $I$3)))</f>
        <v/>
      </c>
      <c r="N104" s="254" t="str">
        <f>IF(N$6="","",IF(NOT(ISNUMBER(_xll.ciqfunctions.udf.CIQ(N$6,$F$2, $A104, $I$2, $I$3))),IF(N103=N$6,"",N103),_xll.ciqfunctions.udf.CIQ(N$6,$F$2, $A104, $I$2, $I$3)))</f>
        <v/>
      </c>
      <c r="O104" s="254" t="str">
        <f>IF(O$6="","",IF(NOT(ISNUMBER(_xll.ciqfunctions.udf.CIQ(O$6,$F$2, $A104, $I$2, $I$3))),IF(O103=O$6,"",O103),_xll.ciqfunctions.udf.CIQ(O$6,$F$2, $A104, $I$2, $I$3)))</f>
        <v/>
      </c>
      <c r="P104" s="254" t="str">
        <f>IF(P$6="","",IF(NOT(ISNUMBER(_xll.ciqfunctions.udf.CIQ(P$6,$F$2, $A104, $I$2, $I$3))),IF(P103=P$6,"",P103),_xll.ciqfunctions.udf.CIQ(P$6,$F$2, $A104, $I$2, $I$3)))</f>
        <v/>
      </c>
      <c r="Q104" s="254"/>
      <c r="R104" s="251">
        <f t="shared" si="64"/>
        <v>43504</v>
      </c>
      <c r="S104" s="255">
        <f t="shared" si="66"/>
        <v>0.3260266370699223</v>
      </c>
      <c r="T104" s="255">
        <f t="shared" si="67"/>
        <v>0.21502511574059491</v>
      </c>
      <c r="U104" s="255">
        <f t="shared" si="68"/>
        <v>0.1628123227749656</v>
      </c>
      <c r="V104" s="255">
        <f t="shared" si="82"/>
        <v>3.8081026368982585E-2</v>
      </c>
      <c r="W104" s="255">
        <f t="array" ref="W104">IFERROR(AVERAGE(IF(ISERROR(X104:AG104),"",X104:AG104)),"")</f>
        <v>0.23889319577792367</v>
      </c>
      <c r="X104" s="255">
        <f t="shared" si="83"/>
        <v>0.23889319577792367</v>
      </c>
      <c r="Y104" s="255" t="e">
        <f t="shared" si="84"/>
        <v>#N/A</v>
      </c>
      <c r="Z104" s="255" t="e">
        <f t="shared" si="85"/>
        <v>#N/A</v>
      </c>
      <c r="AA104" s="255" t="e">
        <f t="shared" si="86"/>
        <v>#N/A</v>
      </c>
      <c r="AB104" s="255" t="e">
        <f t="shared" si="87"/>
        <v>#N/A</v>
      </c>
      <c r="AC104" s="255" t="e">
        <f t="shared" si="88"/>
        <v>#N/A</v>
      </c>
      <c r="AD104" s="255" t="e">
        <f t="shared" si="89"/>
        <v>#N/A</v>
      </c>
      <c r="AE104" s="255" t="e">
        <f t="shared" si="90"/>
        <v>#N/A</v>
      </c>
      <c r="AF104" s="255" t="e">
        <f t="shared" si="91"/>
        <v>#N/A</v>
      </c>
      <c r="AG104" s="255" t="e">
        <f t="shared" si="92"/>
        <v>#N/A</v>
      </c>
      <c r="AI104" s="251">
        <f t="shared" si="65"/>
        <v>43504</v>
      </c>
      <c r="AJ104" s="718">
        <f>IF(OR($B104="No",AJ$6=""),"",IF(NOT(ISNUMBER(_xll.ciqfunctions.udf.CIQ(AJ$6,"IQ_TEV",$AI104,$I$2,$I$3))),"",_xll.ciqfunctions.udf.CIQ(AJ$6,"IQ_TEV",$AI104,$I$2,$I$3)))</f>
        <v>337444.75644000003</v>
      </c>
      <c r="AK104" s="718">
        <f>IF(OR($B104="No",AK$6=""),"",IF(NOT(ISNUMBER(_xll.ciqfunctions.udf.CIQ(AK$6,"IQ_TEV",$AI104,$I$2,$I$3))),"",_xll.ciqfunctions.udf.CIQ(AK$6,"IQ_TEV",$AI104,$I$2,$I$3)))</f>
        <v>90350.896800000002</v>
      </c>
      <c r="AL104" s="718" t="str">
        <f>IF(OR($B104="No",AL$6=""),"",IF(NOT(ISNUMBER(_xll.ciqfunctions.udf.CIQ(AL$6,"IQ_TEV",$AI104,$I$2,$I$3))),"",_xll.ciqfunctions.udf.CIQ(AL$6,"IQ_TEV",$AI104,$I$2,$I$3)))</f>
        <v/>
      </c>
      <c r="AM104" s="718" t="str">
        <f>IF(OR($B104="No",AM$6=""),"",IF(NOT(ISNUMBER(_xll.ciqfunctions.udf.CIQ(AM$6,"IQ_TEV",$AI104,$I$2,$I$3))),"",_xll.ciqfunctions.udf.CIQ(AM$6,"IQ_TEV",$AI104,$I$2,$I$3)))</f>
        <v/>
      </c>
      <c r="AN104" s="718" t="str">
        <f>IF(OR($B104="No",AN$6=""),"",IF(NOT(ISNUMBER(_xll.ciqfunctions.udf.CIQ(AN$6,"IQ_TEV",$AI104,$I$2,$I$3))),"",_xll.ciqfunctions.udf.CIQ(AN$6,"IQ_TEV",$AI104,$I$2,$I$3)))</f>
        <v/>
      </c>
      <c r="AO104" s="718" t="str">
        <f>IF(OR($B104="No",AO$6=""),"",IF(NOT(ISNUMBER(_xll.ciqfunctions.udf.CIQ(AO$6,"IQ_TEV",$AI104,$I$2,$I$3))),"",_xll.ciqfunctions.udf.CIQ(AO$6,"IQ_TEV",$AI104,$I$2,$I$3)))</f>
        <v/>
      </c>
      <c r="AP104" s="718" t="str">
        <f>IF(OR($B104="No",AP$6=""),"",IF(NOT(ISNUMBER(_xll.ciqfunctions.udf.CIQ(AP$6,"IQ_TEV",$AI104,$I$2,$I$3))),"",_xll.ciqfunctions.udf.CIQ(AP$6,"IQ_TEV",$AI104,$I$2,$I$3)))</f>
        <v/>
      </c>
      <c r="AQ104" s="718" t="str">
        <f>IF(OR($B104="No",AQ$6=""),"",IF(NOT(ISNUMBER(_xll.ciqfunctions.udf.CIQ(AQ$6,"IQ_TEV",$AI104,$I$2,$I$3))),"",_xll.ciqfunctions.udf.CIQ(AQ$6,"IQ_TEV",$AI104,$I$2,$I$3)))</f>
        <v/>
      </c>
      <c r="AR104" s="718" t="str">
        <f>IF(OR($B104="No",AR$6=""),"",IF(NOT(ISNUMBER(_xll.ciqfunctions.udf.CIQ(AR$6,"IQ_TEV",$AI104,$I$2,$I$3))),"",_xll.ciqfunctions.udf.CIQ(AR$6,"IQ_TEV",$AI104,$I$2,$I$3)))</f>
        <v/>
      </c>
      <c r="AS104" s="718" t="str">
        <f>IF(OR($B104="No",AS$6=""),"",IF(NOT(ISNUMBER(_xll.ciqfunctions.udf.CIQ(AS$6,"IQ_TEV",$AI104,$I$2,$I$3))),"",_xll.ciqfunctions.udf.CIQ(AS$6,"IQ_TEV",$AI104,$I$2,$I$3)))</f>
        <v/>
      </c>
      <c r="AT104" s="718" t="str">
        <f>IF(OR($B104="No",AT$6=""),"",IF(NOT(ISNUMBER(_xll.ciqfunctions.udf.CIQ(AT$6,"IQ_TEV",$AI104,$I$2,$I$3))),"",_xll.ciqfunctions.udf.CIQ(AT$6,"IQ_TEV",$AI104,$I$2,$I$3)))</f>
        <v/>
      </c>
      <c r="AV104" s="251">
        <f t="shared" si="69"/>
        <v>43504</v>
      </c>
      <c r="AW104" s="719">
        <f t="shared" si="70"/>
        <v>0.29260803534579938</v>
      </c>
      <c r="AX104" s="719">
        <f t="shared" si="71"/>
        <v>0.23794045658950647</v>
      </c>
      <c r="AY104" s="719" t="e">
        <f t="shared" si="72"/>
        <v>#N/A</v>
      </c>
      <c r="AZ104" s="719" t="e">
        <f t="shared" si="73"/>
        <v>#N/A</v>
      </c>
      <c r="BA104" s="719" t="e">
        <f t="shared" si="74"/>
        <v>#N/A</v>
      </c>
      <c r="BB104" s="719" t="e">
        <f t="shared" si="75"/>
        <v>#N/A</v>
      </c>
      <c r="BC104" s="719" t="e">
        <f t="shared" si="76"/>
        <v>#N/A</v>
      </c>
      <c r="BD104" s="719" t="e">
        <f t="shared" si="77"/>
        <v>#N/A</v>
      </c>
      <c r="BE104" s="719" t="e">
        <f t="shared" si="78"/>
        <v>#N/A</v>
      </c>
      <c r="BF104" s="719" t="e">
        <f t="shared" si="79"/>
        <v>#N/A</v>
      </c>
      <c r="BG104" s="719" t="e">
        <f t="shared" si="80"/>
        <v>#N/A</v>
      </c>
    </row>
    <row r="105" spans="1:59" ht="15" customHeight="1" x14ac:dyDescent="0.2">
      <c r="A105" s="251">
        <f t="shared" si="63"/>
        <v>43511</v>
      </c>
      <c r="B105" s="253" t="str">
        <f t="shared" si="81"/>
        <v>Yes</v>
      </c>
      <c r="C105" s="1033">
        <f>IF(C$6="","",IF(NOT(ISNUMBER(_xll.ciqfunctions.udf.CIQ(C$6,$F$2, $A105, $I$2, $I$3))),IF(C104=C$6,"",C104),_xll.ciqfunctions.udf.CIQ(C$6,$F$2, $A105, $I$2, $I$3)))</f>
        <v>99.99</v>
      </c>
      <c r="D105" s="1033">
        <f>IF(D$6="","",IF(NOT(ISNUMBER(_xll.ciqfunctions.udf.CIQ(D$6,$F$2, $A105, $I$2, $I$3))),IF(D104=D$6,"",D104),_xll.ciqfunctions.udf.CIQ(D$6,$F$2, $A105, $I$2, $I$3)))</f>
        <v>25883.247670000001</v>
      </c>
      <c r="E105" s="1033">
        <f>IF(E$6="","",IF(NOT(ISNUMBER(_xll.ciqfunctions.udf.CIQ(E$6,$F$2, $A105, $I$2, $I$3))),IF(E104=E$6,"",E104),_xll.ciqfunctions.udf.CIQ(E$6,$F$2, $A105, $I$2, $I$3)))</f>
        <v>8550.0585699999992</v>
      </c>
      <c r="F105" s="1033">
        <f>IF(F$6="","",IF(NOT(ISNUMBER(_xll.ciqfunctions.udf.CIQ(F$6,$F$2, $A105, $I$2, $I$3))),IF(F104=F$6,"",F104),_xll.ciqfunctions.udf.CIQ(F$6,$F$2, $A105, $I$2, $I$3)))</f>
        <v>4707.1897799999997</v>
      </c>
      <c r="G105" s="1033">
        <f>IF(G$6="","",IF(NOT(ISNUMBER(_xll.ciqfunctions.udf.CIQ(G$6,$F$2, $A105, $I$2, $I$3))),IF(G104=G$6,"",G104),_xll.ciqfunctions.udf.CIQ(G$6,$F$2, $A105, $I$2, $I$3)))</f>
        <v>216.47</v>
      </c>
      <c r="H105" s="1033" t="str">
        <f>IF(H$6="","",IF(NOT(ISNUMBER(_xll.ciqfunctions.udf.CIQ(H$6,$F$2, $A105, $I$2, $I$3))),IF(H104=H$6,"",H104),_xll.ciqfunctions.udf.CIQ(H$6,$F$2, $A105, $I$2, $I$3)))</f>
        <v/>
      </c>
      <c r="I105" s="1033" t="str">
        <f>IF(I$6="","",IF(NOT(ISNUMBER(_xll.ciqfunctions.udf.CIQ(I$6,$F$2, $A105, $I$2, $I$3))),IF(I104=I$6,"",I104),_xll.ciqfunctions.udf.CIQ(I$6,$F$2, $A105, $I$2, $I$3)))</f>
        <v/>
      </c>
      <c r="J105" s="1033" t="str">
        <f>IF(J$6="","",IF(NOT(ISNUMBER(_xll.ciqfunctions.udf.CIQ(J$6,$F$2, $A105, $I$2, $I$3))),IF(J104=J$6,"",J104),_xll.ciqfunctions.udf.CIQ(J$6,$F$2, $A105, $I$2, $I$3)))</f>
        <v/>
      </c>
      <c r="K105" s="1033" t="str">
        <f>IF(K$6="","",IF(NOT(ISNUMBER(_xll.ciqfunctions.udf.CIQ(K$6,$F$2, $A105, $I$2, $I$3))),IF(K104=K$6,"",K104),_xll.ciqfunctions.udf.CIQ(K$6,$F$2, $A105, $I$2, $I$3)))</f>
        <v/>
      </c>
      <c r="L105" s="254" t="str">
        <f>IF(L$6="","",IF(NOT(ISNUMBER(_xll.ciqfunctions.udf.CIQ(L$6,$F$2, $A105, $I$2, $I$3))),IF(L104=L$6,"",L104),_xll.ciqfunctions.udf.CIQ(L$6,$F$2, $A105, $I$2, $I$3)))</f>
        <v/>
      </c>
      <c r="M105" s="254" t="str">
        <f>IF(M$6="","",IF(NOT(ISNUMBER(_xll.ciqfunctions.udf.CIQ(M$6,$F$2, $A105, $I$2, $I$3))),IF(M104=M$6,"",M104),_xll.ciqfunctions.udf.CIQ(M$6,$F$2, $A105, $I$2, $I$3)))</f>
        <v/>
      </c>
      <c r="N105" s="254" t="str">
        <f>IF(N$6="","",IF(NOT(ISNUMBER(_xll.ciqfunctions.udf.CIQ(N$6,$F$2, $A105, $I$2, $I$3))),IF(N104=N$6,"",N104),_xll.ciqfunctions.udf.CIQ(N$6,$F$2, $A105, $I$2, $I$3)))</f>
        <v/>
      </c>
      <c r="O105" s="254" t="str">
        <f>IF(O$6="","",IF(NOT(ISNUMBER(_xll.ciqfunctions.udf.CIQ(O$6,$F$2, $A105, $I$2, $I$3))),IF(O104=O$6,"",O104),_xll.ciqfunctions.udf.CIQ(O$6,$F$2, $A105, $I$2, $I$3)))</f>
        <v/>
      </c>
      <c r="P105" s="254" t="str">
        <f>IF(P$6="","",IF(NOT(ISNUMBER(_xll.ciqfunctions.udf.CIQ(P$6,$F$2, $A105, $I$2, $I$3))),IF(P104=P$6,"",P104),_xll.ciqfunctions.udf.CIQ(P$6,$F$2, $A105, $I$2, $I$3)))</f>
        <v/>
      </c>
      <c r="Q105" s="254"/>
      <c r="R105" s="251">
        <f t="shared" si="64"/>
        <v>43511</v>
      </c>
      <c r="S105" s="255">
        <f t="shared" si="66"/>
        <v>0.38720865704772467</v>
      </c>
      <c r="T105" s="255">
        <f t="shared" si="67"/>
        <v>0.2526240509571358</v>
      </c>
      <c r="U105" s="255">
        <f t="shared" si="68"/>
        <v>0.19483963587848319</v>
      </c>
      <c r="V105" s="255">
        <f t="shared" si="82"/>
        <v>7.2317490498259085E-2</v>
      </c>
      <c r="W105" s="255">
        <f t="array" ref="W105">IFERROR(AVERAGE(IF(ISERROR(X105:AG105),"",X105:AG105)),"")</f>
        <v>0.29089391138410159</v>
      </c>
      <c r="X105" s="255">
        <f t="shared" si="83"/>
        <v>0.29089391138410159</v>
      </c>
      <c r="Y105" s="255" t="e">
        <f t="shared" si="84"/>
        <v>#N/A</v>
      </c>
      <c r="Z105" s="255" t="e">
        <f t="shared" si="85"/>
        <v>#N/A</v>
      </c>
      <c r="AA105" s="255" t="e">
        <f t="shared" si="86"/>
        <v>#N/A</v>
      </c>
      <c r="AB105" s="255" t="e">
        <f t="shared" si="87"/>
        <v>#N/A</v>
      </c>
      <c r="AC105" s="255" t="e">
        <f t="shared" si="88"/>
        <v>#N/A</v>
      </c>
      <c r="AD105" s="255" t="e">
        <f t="shared" si="89"/>
        <v>#N/A</v>
      </c>
      <c r="AE105" s="255" t="e">
        <f t="shared" si="90"/>
        <v>#N/A</v>
      </c>
      <c r="AF105" s="255" t="e">
        <f t="shared" si="91"/>
        <v>#N/A</v>
      </c>
      <c r="AG105" s="255" t="e">
        <f t="shared" si="92"/>
        <v>#N/A</v>
      </c>
      <c r="AI105" s="251">
        <f t="shared" si="65"/>
        <v>43511</v>
      </c>
      <c r="AJ105" s="718">
        <f>IF(OR($B105="No",AJ$6=""),"",IF(NOT(ISNUMBER(_xll.ciqfunctions.udf.CIQ(AJ$6,"IQ_TEV",$AI105,$I$2,$I$3))),"",_xll.ciqfunctions.udf.CIQ(AJ$6,"IQ_TEV",$AI105,$I$2,$I$3)))</f>
        <v>350257.00829000003</v>
      </c>
      <c r="AK105" s="718">
        <f>IF(OR($B105="No",AK$6=""),"",IF(NOT(ISNUMBER(_xll.ciqfunctions.udf.CIQ(AK$6,"IQ_TEV",$AI105,$I$2,$I$3))),"",_xll.ciqfunctions.udf.CIQ(AK$6,"IQ_TEV",$AI105,$I$2,$I$3)))</f>
        <v>94191.973769999997</v>
      </c>
      <c r="AL105" s="718" t="str">
        <f>IF(OR($B105="No",AL$6=""),"",IF(NOT(ISNUMBER(_xll.ciqfunctions.udf.CIQ(AL$6,"IQ_TEV",$AI105,$I$2,$I$3))),"",_xll.ciqfunctions.udf.CIQ(AL$6,"IQ_TEV",$AI105,$I$2,$I$3)))</f>
        <v/>
      </c>
      <c r="AM105" s="718" t="str">
        <f>IF(OR($B105="No",AM$6=""),"",IF(NOT(ISNUMBER(_xll.ciqfunctions.udf.CIQ(AM$6,"IQ_TEV",$AI105,$I$2,$I$3))),"",_xll.ciqfunctions.udf.CIQ(AM$6,"IQ_TEV",$AI105,$I$2,$I$3)))</f>
        <v/>
      </c>
      <c r="AN105" s="718" t="str">
        <f>IF(OR($B105="No",AN$6=""),"",IF(NOT(ISNUMBER(_xll.ciqfunctions.udf.CIQ(AN$6,"IQ_TEV",$AI105,$I$2,$I$3))),"",_xll.ciqfunctions.udf.CIQ(AN$6,"IQ_TEV",$AI105,$I$2,$I$3)))</f>
        <v/>
      </c>
      <c r="AO105" s="718" t="str">
        <f>IF(OR($B105="No",AO$6=""),"",IF(NOT(ISNUMBER(_xll.ciqfunctions.udf.CIQ(AO$6,"IQ_TEV",$AI105,$I$2,$I$3))),"",_xll.ciqfunctions.udf.CIQ(AO$6,"IQ_TEV",$AI105,$I$2,$I$3)))</f>
        <v/>
      </c>
      <c r="AP105" s="718" t="str">
        <f>IF(OR($B105="No",AP$6=""),"",IF(NOT(ISNUMBER(_xll.ciqfunctions.udf.CIQ(AP$6,"IQ_TEV",$AI105,$I$2,$I$3))),"",_xll.ciqfunctions.udf.CIQ(AP$6,"IQ_TEV",$AI105,$I$2,$I$3)))</f>
        <v/>
      </c>
      <c r="AQ105" s="718" t="str">
        <f>IF(OR($B105="No",AQ$6=""),"",IF(NOT(ISNUMBER(_xll.ciqfunctions.udf.CIQ(AQ$6,"IQ_TEV",$AI105,$I$2,$I$3))),"",_xll.ciqfunctions.udf.CIQ(AQ$6,"IQ_TEV",$AI105,$I$2,$I$3)))</f>
        <v/>
      </c>
      <c r="AR105" s="718" t="str">
        <f>IF(OR($B105="No",AR$6=""),"",IF(NOT(ISNUMBER(_xll.ciqfunctions.udf.CIQ(AR$6,"IQ_TEV",$AI105,$I$2,$I$3))),"",_xll.ciqfunctions.udf.CIQ(AR$6,"IQ_TEV",$AI105,$I$2,$I$3)))</f>
        <v/>
      </c>
      <c r="AS105" s="718" t="str">
        <f>IF(OR($B105="No",AS$6=""),"",IF(NOT(ISNUMBER(_xll.ciqfunctions.udf.CIQ(AS$6,"IQ_TEV",$AI105,$I$2,$I$3))),"",_xll.ciqfunctions.udf.CIQ(AS$6,"IQ_TEV",$AI105,$I$2,$I$3)))</f>
        <v/>
      </c>
      <c r="AT105" s="718" t="str">
        <f>IF(OR($B105="No",AT$6=""),"",IF(NOT(ISNUMBER(_xll.ciqfunctions.udf.CIQ(AT$6,"IQ_TEV",$AI105,$I$2,$I$3))),"",_xll.ciqfunctions.udf.CIQ(AT$6,"IQ_TEV",$AI105,$I$2,$I$3)))</f>
        <v/>
      </c>
      <c r="AV105" s="251">
        <f t="shared" si="69"/>
        <v>43511</v>
      </c>
      <c r="AW105" s="719">
        <f t="shared" si="70"/>
        <v>0.34168634928050934</v>
      </c>
      <c r="AX105" s="719">
        <f t="shared" si="71"/>
        <v>0.29056887253719665</v>
      </c>
      <c r="AY105" s="719" t="e">
        <f t="shared" si="72"/>
        <v>#N/A</v>
      </c>
      <c r="AZ105" s="719" t="e">
        <f t="shared" si="73"/>
        <v>#N/A</v>
      </c>
      <c r="BA105" s="719" t="e">
        <f t="shared" si="74"/>
        <v>#N/A</v>
      </c>
      <c r="BB105" s="719" t="e">
        <f t="shared" si="75"/>
        <v>#N/A</v>
      </c>
      <c r="BC105" s="719" t="e">
        <f t="shared" si="76"/>
        <v>#N/A</v>
      </c>
      <c r="BD105" s="719" t="e">
        <f t="shared" si="77"/>
        <v>#N/A</v>
      </c>
      <c r="BE105" s="719" t="e">
        <f t="shared" si="78"/>
        <v>#N/A</v>
      </c>
      <c r="BF105" s="719" t="e">
        <f t="shared" si="79"/>
        <v>#N/A</v>
      </c>
      <c r="BG105" s="719" t="e">
        <f t="shared" si="80"/>
        <v>#N/A</v>
      </c>
    </row>
    <row r="106" spans="1:59" ht="15" customHeight="1" x14ac:dyDescent="0.2">
      <c r="A106" s="251">
        <f t="shared" si="63"/>
        <v>43518</v>
      </c>
      <c r="B106" s="253" t="str">
        <f t="shared" si="81"/>
        <v>Yes</v>
      </c>
      <c r="C106" s="1033">
        <f>IF(C$6="","",IF(NOT(ISNUMBER(_xll.ciqfunctions.udf.CIQ(C$6,$F$2, $A106, $I$2, $I$3))),IF(C105=C$6,"",C105),_xll.ciqfunctions.udf.CIQ(C$6,$F$2, $A106, $I$2, $I$3)))</f>
        <v>99.55</v>
      </c>
      <c r="D106" s="1033">
        <f>IF(D$6="","",IF(NOT(ISNUMBER(_xll.ciqfunctions.udf.CIQ(D$6,$F$2, $A106, $I$2, $I$3))),IF(D105=D$6,"",D105),_xll.ciqfunctions.udf.CIQ(D$6,$F$2, $A106, $I$2, $I$3)))</f>
        <v>26031.80946</v>
      </c>
      <c r="E106" s="1033">
        <f>IF(E$6="","",IF(NOT(ISNUMBER(_xll.ciqfunctions.udf.CIQ(E$6,$F$2, $A106, $I$2, $I$3))),IF(E105=E$6,"",E105),_xll.ciqfunctions.udf.CIQ(E$6,$F$2, $A106, $I$2, $I$3)))</f>
        <v>8618.1635399999996</v>
      </c>
      <c r="F106" s="1033">
        <f>IF(F$6="","",IF(NOT(ISNUMBER(_xll.ciqfunctions.udf.CIQ(F$6,$F$2, $A106, $I$2, $I$3))),IF(F105=F$6,"",F105),_xll.ciqfunctions.udf.CIQ(F$6,$F$2, $A106, $I$2, $I$3)))</f>
        <v>4685.1071400000001</v>
      </c>
      <c r="G106" s="1033">
        <f>IF(G$6="","",IF(NOT(ISNUMBER(_xll.ciqfunctions.udf.CIQ(G$6,$F$2, $A106, $I$2, $I$3))),IF(G105=G$6,"",G105),_xll.ciqfunctions.udf.CIQ(G$6,$F$2, $A106, $I$2, $I$3)))</f>
        <v>216.29</v>
      </c>
      <c r="H106" s="1033" t="str">
        <f>IF(H$6="","",IF(NOT(ISNUMBER(_xll.ciqfunctions.udf.CIQ(H$6,$F$2, $A106, $I$2, $I$3))),IF(H105=H$6,"",H105),_xll.ciqfunctions.udf.CIQ(H$6,$F$2, $A106, $I$2, $I$3)))</f>
        <v/>
      </c>
      <c r="I106" s="1033" t="str">
        <f>IF(I$6="","",IF(NOT(ISNUMBER(_xll.ciqfunctions.udf.CIQ(I$6,$F$2, $A106, $I$2, $I$3))),IF(I105=I$6,"",I105),_xll.ciqfunctions.udf.CIQ(I$6,$F$2, $A106, $I$2, $I$3)))</f>
        <v/>
      </c>
      <c r="J106" s="1033" t="str">
        <f>IF(J$6="","",IF(NOT(ISNUMBER(_xll.ciqfunctions.udf.CIQ(J$6,$F$2, $A106, $I$2, $I$3))),IF(J105=J$6,"",J105),_xll.ciqfunctions.udf.CIQ(J$6,$F$2, $A106, $I$2, $I$3)))</f>
        <v/>
      </c>
      <c r="K106" s="1033" t="str">
        <f>IF(K$6="","",IF(NOT(ISNUMBER(_xll.ciqfunctions.udf.CIQ(K$6,$F$2, $A106, $I$2, $I$3))),IF(K105=K$6,"",K105),_xll.ciqfunctions.udf.CIQ(K$6,$F$2, $A106, $I$2, $I$3)))</f>
        <v/>
      </c>
      <c r="L106" s="254" t="str">
        <f>IF(L$6="","",IF(NOT(ISNUMBER(_xll.ciqfunctions.udf.CIQ(L$6,$F$2, $A106, $I$2, $I$3))),IF(L105=L$6,"",L105),_xll.ciqfunctions.udf.CIQ(L$6,$F$2, $A106, $I$2, $I$3)))</f>
        <v/>
      </c>
      <c r="M106" s="254" t="str">
        <f>IF(M$6="","",IF(NOT(ISNUMBER(_xll.ciqfunctions.udf.CIQ(M$6,$F$2, $A106, $I$2, $I$3))),IF(M105=M$6,"",M105),_xll.ciqfunctions.udf.CIQ(M$6,$F$2, $A106, $I$2, $I$3)))</f>
        <v/>
      </c>
      <c r="N106" s="254" t="str">
        <f>IF(N$6="","",IF(NOT(ISNUMBER(_xll.ciqfunctions.udf.CIQ(N$6,$F$2, $A106, $I$2, $I$3))),IF(N105=N$6,"",N105),_xll.ciqfunctions.udf.CIQ(N$6,$F$2, $A106, $I$2, $I$3)))</f>
        <v/>
      </c>
      <c r="O106" s="254" t="str">
        <f>IF(O$6="","",IF(NOT(ISNUMBER(_xll.ciqfunctions.udf.CIQ(O$6,$F$2, $A106, $I$2, $I$3))),IF(O105=O$6,"",O105),_xll.ciqfunctions.udf.CIQ(O$6,$F$2, $A106, $I$2, $I$3)))</f>
        <v/>
      </c>
      <c r="P106" s="254" t="str">
        <f>IF(P$6="","",IF(NOT(ISNUMBER(_xll.ciqfunctions.udf.CIQ(P$6,$F$2, $A106, $I$2, $I$3))),IF(P105=P$6,"",P105),_xll.ciqfunctions.udf.CIQ(P$6,$F$2, $A106, $I$2, $I$3)))</f>
        <v/>
      </c>
      <c r="Q106" s="254"/>
      <c r="R106" s="251">
        <f t="shared" si="64"/>
        <v>43518</v>
      </c>
      <c r="S106" s="255">
        <f t="shared" si="66"/>
        <v>0.38110432852386245</v>
      </c>
      <c r="T106" s="255">
        <f t="shared" si="67"/>
        <v>0.25981372334986763</v>
      </c>
      <c r="U106" s="255">
        <f t="shared" si="68"/>
        <v>0.20435705811484506</v>
      </c>
      <c r="V106" s="255">
        <f t="shared" si="82"/>
        <v>6.7286972882635077E-2</v>
      </c>
      <c r="W106" s="255">
        <f t="array" ref="W106">IFERROR(AVERAGE(IF(ISERROR(X106:AG106),"",X106:AG106)),"")</f>
        <v>0.2898205021170015</v>
      </c>
      <c r="X106" s="255">
        <f t="shared" si="83"/>
        <v>0.2898205021170015</v>
      </c>
      <c r="Y106" s="255" t="e">
        <f t="shared" si="84"/>
        <v>#N/A</v>
      </c>
      <c r="Z106" s="255" t="e">
        <f t="shared" si="85"/>
        <v>#N/A</v>
      </c>
      <c r="AA106" s="255" t="e">
        <f t="shared" si="86"/>
        <v>#N/A</v>
      </c>
      <c r="AB106" s="255" t="e">
        <f t="shared" si="87"/>
        <v>#N/A</v>
      </c>
      <c r="AC106" s="255" t="e">
        <f t="shared" si="88"/>
        <v>#N/A</v>
      </c>
      <c r="AD106" s="255" t="e">
        <f t="shared" si="89"/>
        <v>#N/A</v>
      </c>
      <c r="AE106" s="255" t="e">
        <f t="shared" si="90"/>
        <v>#N/A</v>
      </c>
      <c r="AF106" s="255" t="e">
        <f t="shared" si="91"/>
        <v>#N/A</v>
      </c>
      <c r="AG106" s="255" t="e">
        <f t="shared" si="92"/>
        <v>#N/A</v>
      </c>
      <c r="AI106" s="251">
        <f t="shared" si="65"/>
        <v>43518</v>
      </c>
      <c r="AJ106" s="718">
        <f>IF(OR($B106="No",AJ$6=""),"",IF(NOT(ISNUMBER(_xll.ciqfunctions.udf.CIQ(AJ$6,"IQ_TEV",$AI106,$I$2,$I$3))),"",_xll.ciqfunctions.udf.CIQ(AJ$6,"IQ_TEV",$AI106,$I$2,$I$3)))</f>
        <v>346667.69362999999</v>
      </c>
      <c r="AK106" s="718">
        <f>IF(OR($B106="No",AK$6=""),"",IF(NOT(ISNUMBER(_xll.ciqfunctions.udf.CIQ(AK$6,"IQ_TEV",$AI106,$I$2,$I$3))),"",_xll.ciqfunctions.udf.CIQ(AK$6,"IQ_TEV",$AI106,$I$2,$I$3)))</f>
        <v>94112.685490000003</v>
      </c>
      <c r="AL106" s="718" t="str">
        <f>IF(OR($B106="No",AL$6=""),"",IF(NOT(ISNUMBER(_xll.ciqfunctions.udf.CIQ(AL$6,"IQ_TEV",$AI106,$I$2,$I$3))),"",_xll.ciqfunctions.udf.CIQ(AL$6,"IQ_TEV",$AI106,$I$2,$I$3)))</f>
        <v/>
      </c>
      <c r="AM106" s="718" t="str">
        <f>IF(OR($B106="No",AM$6=""),"",IF(NOT(ISNUMBER(_xll.ciqfunctions.udf.CIQ(AM$6,"IQ_TEV",$AI106,$I$2,$I$3))),"",_xll.ciqfunctions.udf.CIQ(AM$6,"IQ_TEV",$AI106,$I$2,$I$3)))</f>
        <v/>
      </c>
      <c r="AN106" s="718" t="str">
        <f>IF(OR($B106="No",AN$6=""),"",IF(NOT(ISNUMBER(_xll.ciqfunctions.udf.CIQ(AN$6,"IQ_TEV",$AI106,$I$2,$I$3))),"",_xll.ciqfunctions.udf.CIQ(AN$6,"IQ_TEV",$AI106,$I$2,$I$3)))</f>
        <v/>
      </c>
      <c r="AO106" s="718" t="str">
        <f>IF(OR($B106="No",AO$6=""),"",IF(NOT(ISNUMBER(_xll.ciqfunctions.udf.CIQ(AO$6,"IQ_TEV",$AI106,$I$2,$I$3))),"",_xll.ciqfunctions.udf.CIQ(AO$6,"IQ_TEV",$AI106,$I$2,$I$3)))</f>
        <v/>
      </c>
      <c r="AP106" s="718" t="str">
        <f>IF(OR($B106="No",AP$6=""),"",IF(NOT(ISNUMBER(_xll.ciqfunctions.udf.CIQ(AP$6,"IQ_TEV",$AI106,$I$2,$I$3))),"",_xll.ciqfunctions.udf.CIQ(AP$6,"IQ_TEV",$AI106,$I$2,$I$3)))</f>
        <v/>
      </c>
      <c r="AQ106" s="718" t="str">
        <f>IF(OR($B106="No",AQ$6=""),"",IF(NOT(ISNUMBER(_xll.ciqfunctions.udf.CIQ(AQ$6,"IQ_TEV",$AI106,$I$2,$I$3))),"",_xll.ciqfunctions.udf.CIQ(AQ$6,"IQ_TEV",$AI106,$I$2,$I$3)))</f>
        <v/>
      </c>
      <c r="AR106" s="718" t="str">
        <f>IF(OR($B106="No",AR$6=""),"",IF(NOT(ISNUMBER(_xll.ciqfunctions.udf.CIQ(AR$6,"IQ_TEV",$AI106,$I$2,$I$3))),"",_xll.ciqfunctions.udf.CIQ(AR$6,"IQ_TEV",$AI106,$I$2,$I$3)))</f>
        <v/>
      </c>
      <c r="AS106" s="718" t="str">
        <f>IF(OR($B106="No",AS$6=""),"",IF(NOT(ISNUMBER(_xll.ciqfunctions.udf.CIQ(AS$6,"IQ_TEV",$AI106,$I$2,$I$3))),"",_xll.ciqfunctions.udf.CIQ(AS$6,"IQ_TEV",$AI106,$I$2,$I$3)))</f>
        <v/>
      </c>
      <c r="AT106" s="718" t="str">
        <f>IF(OR($B106="No",AT$6=""),"",IF(NOT(ISNUMBER(_xll.ciqfunctions.udf.CIQ(AT$6,"IQ_TEV",$AI106,$I$2,$I$3))),"",_xll.ciqfunctions.udf.CIQ(AT$6,"IQ_TEV",$AI106,$I$2,$I$3)))</f>
        <v/>
      </c>
      <c r="AV106" s="251">
        <f t="shared" si="69"/>
        <v>43518</v>
      </c>
      <c r="AW106" s="719">
        <f t="shared" si="70"/>
        <v>0.32793720402826865</v>
      </c>
      <c r="AX106" s="719">
        <f t="shared" si="71"/>
        <v>0.28948250623623273</v>
      </c>
      <c r="AY106" s="719" t="e">
        <f t="shared" si="72"/>
        <v>#N/A</v>
      </c>
      <c r="AZ106" s="719" t="e">
        <f t="shared" si="73"/>
        <v>#N/A</v>
      </c>
      <c r="BA106" s="719" t="e">
        <f t="shared" si="74"/>
        <v>#N/A</v>
      </c>
      <c r="BB106" s="719" t="e">
        <f t="shared" si="75"/>
        <v>#N/A</v>
      </c>
      <c r="BC106" s="719" t="e">
        <f t="shared" si="76"/>
        <v>#N/A</v>
      </c>
      <c r="BD106" s="719" t="e">
        <f t="shared" si="77"/>
        <v>#N/A</v>
      </c>
      <c r="BE106" s="719" t="e">
        <f t="shared" si="78"/>
        <v>#N/A</v>
      </c>
      <c r="BF106" s="719" t="e">
        <f t="shared" si="79"/>
        <v>#N/A</v>
      </c>
      <c r="BG106" s="719" t="e">
        <f t="shared" si="80"/>
        <v>#N/A</v>
      </c>
    </row>
    <row r="107" spans="1:59" ht="15" customHeight="1" x14ac:dyDescent="0.2">
      <c r="A107" s="251">
        <f t="shared" si="63"/>
        <v>43525</v>
      </c>
      <c r="B107" s="253" t="str">
        <f t="shared" si="81"/>
        <v>Yes</v>
      </c>
      <c r="C107" s="1033">
        <f>IF(C$6="","",IF(NOT(ISNUMBER(_xll.ciqfunctions.udf.CIQ(C$6,$F$2, $A107, $I$2, $I$3))),IF(C106=C$6,"",C106),_xll.ciqfunctions.udf.CIQ(C$6,$F$2, $A107, $I$2, $I$3)))</f>
        <v>97.93</v>
      </c>
      <c r="D107" s="1033">
        <f>IF(D$6="","",IF(NOT(ISNUMBER(_xll.ciqfunctions.udf.CIQ(D$6,$F$2, $A107, $I$2, $I$3))),IF(D106=D$6,"",D106),_xll.ciqfunctions.udf.CIQ(D$6,$F$2, $A107, $I$2, $I$3)))</f>
        <v>26026.317220000001</v>
      </c>
      <c r="E107" s="1033">
        <f>IF(E$6="","",IF(NOT(ISNUMBER(_xll.ciqfunctions.udf.CIQ(E$6,$F$2, $A107, $I$2, $I$3))),IF(E106=E$6,"",E106),_xll.ciqfunctions.udf.CIQ(E$6,$F$2, $A107, $I$2, $I$3)))</f>
        <v>8592.7781400000003</v>
      </c>
      <c r="F107" s="1033">
        <f>IF(F$6="","",IF(NOT(ISNUMBER(_xll.ciqfunctions.udf.CIQ(F$6,$F$2, $A107, $I$2, $I$3))),IF(F106=F$6,"",F106),_xll.ciqfunctions.udf.CIQ(F$6,$F$2, $A107, $I$2, $I$3)))</f>
        <v>4790.9485299999997</v>
      </c>
      <c r="G107" s="1033">
        <f>IF(G$6="","",IF(NOT(ISNUMBER(_xll.ciqfunctions.udf.CIQ(G$6,$F$2, $A107, $I$2, $I$3))),IF(G106=G$6,"",G106),_xll.ciqfunctions.udf.CIQ(G$6,$F$2, $A107, $I$2, $I$3)))</f>
        <v>219.44</v>
      </c>
      <c r="H107" s="1033" t="str">
        <f>IF(H$6="","",IF(NOT(ISNUMBER(_xll.ciqfunctions.udf.CIQ(H$6,$F$2, $A107, $I$2, $I$3))),IF(H106=H$6,"",H106),_xll.ciqfunctions.udf.CIQ(H$6,$F$2, $A107, $I$2, $I$3)))</f>
        <v/>
      </c>
      <c r="I107" s="1033" t="str">
        <f>IF(I$6="","",IF(NOT(ISNUMBER(_xll.ciqfunctions.udf.CIQ(I$6,$F$2, $A107, $I$2, $I$3))),IF(I106=I$6,"",I106),_xll.ciqfunctions.udf.CIQ(I$6,$F$2, $A107, $I$2, $I$3)))</f>
        <v/>
      </c>
      <c r="J107" s="1033" t="str">
        <f>IF(J$6="","",IF(NOT(ISNUMBER(_xll.ciqfunctions.udf.CIQ(J$6,$F$2, $A107, $I$2, $I$3))),IF(J106=J$6,"",J106),_xll.ciqfunctions.udf.CIQ(J$6,$F$2, $A107, $I$2, $I$3)))</f>
        <v/>
      </c>
      <c r="K107" s="1033" t="str">
        <f>IF(K$6="","",IF(NOT(ISNUMBER(_xll.ciqfunctions.udf.CIQ(K$6,$F$2, $A107, $I$2, $I$3))),IF(K106=K$6,"",K106),_xll.ciqfunctions.udf.CIQ(K$6,$F$2, $A107, $I$2, $I$3)))</f>
        <v/>
      </c>
      <c r="L107" s="254" t="str">
        <f>IF(L$6="","",IF(NOT(ISNUMBER(_xll.ciqfunctions.udf.CIQ(L$6,$F$2, $A107, $I$2, $I$3))),IF(L106=L$6,"",L106),_xll.ciqfunctions.udf.CIQ(L$6,$F$2, $A107, $I$2, $I$3)))</f>
        <v/>
      </c>
      <c r="M107" s="254" t="str">
        <f>IF(M$6="","",IF(NOT(ISNUMBER(_xll.ciqfunctions.udf.CIQ(M$6,$F$2, $A107, $I$2, $I$3))),IF(M106=M$6,"",M106),_xll.ciqfunctions.udf.CIQ(M$6,$F$2, $A107, $I$2, $I$3)))</f>
        <v/>
      </c>
      <c r="N107" s="254" t="str">
        <f>IF(N$6="","",IF(NOT(ISNUMBER(_xll.ciqfunctions.udf.CIQ(N$6,$F$2, $A107, $I$2, $I$3))),IF(N106=N$6,"",N106),_xll.ciqfunctions.udf.CIQ(N$6,$F$2, $A107, $I$2, $I$3)))</f>
        <v/>
      </c>
      <c r="O107" s="254" t="str">
        <f>IF(O$6="","",IF(NOT(ISNUMBER(_xll.ciqfunctions.udf.CIQ(O$6,$F$2, $A107, $I$2, $I$3))),IF(O106=O$6,"",O106),_xll.ciqfunctions.udf.CIQ(O$6,$F$2, $A107, $I$2, $I$3)))</f>
        <v/>
      </c>
      <c r="P107" s="254" t="str">
        <f>IF(P$6="","",IF(NOT(ISNUMBER(_xll.ciqfunctions.udf.CIQ(P$6,$F$2, $A107, $I$2, $I$3))),IF(P106=P$6,"",P106),_xll.ciqfunctions.udf.CIQ(P$6,$F$2, $A107, $I$2, $I$3)))</f>
        <v/>
      </c>
      <c r="Q107" s="254"/>
      <c r="R107" s="251">
        <f t="shared" si="64"/>
        <v>43525</v>
      </c>
      <c r="S107" s="255">
        <f t="shared" si="66"/>
        <v>0.35862930077691457</v>
      </c>
      <c r="T107" s="255">
        <f t="shared" si="67"/>
        <v>0.25954792548688932</v>
      </c>
      <c r="U107" s="255">
        <f t="shared" si="68"/>
        <v>0.20080954065115741</v>
      </c>
      <c r="V107" s="255">
        <f t="shared" si="82"/>
        <v>9.1398083549527831E-2</v>
      </c>
      <c r="W107" s="255">
        <f t="array" ref="W107">IFERROR(AVERAGE(IF(ISERROR(X107:AG107),"",X107:AG107)),"")</f>
        <v>0.30860516429125173</v>
      </c>
      <c r="X107" s="255">
        <f t="shared" si="83"/>
        <v>0.30860516429125173</v>
      </c>
      <c r="Y107" s="255" t="e">
        <f t="shared" si="84"/>
        <v>#N/A</v>
      </c>
      <c r="Z107" s="255" t="e">
        <f t="shared" si="85"/>
        <v>#N/A</v>
      </c>
      <c r="AA107" s="255" t="e">
        <f t="shared" si="86"/>
        <v>#N/A</v>
      </c>
      <c r="AB107" s="255" t="e">
        <f t="shared" si="87"/>
        <v>#N/A</v>
      </c>
      <c r="AC107" s="255" t="e">
        <f t="shared" si="88"/>
        <v>#N/A</v>
      </c>
      <c r="AD107" s="255" t="e">
        <f t="shared" si="89"/>
        <v>#N/A</v>
      </c>
      <c r="AE107" s="255" t="e">
        <f t="shared" si="90"/>
        <v>#N/A</v>
      </c>
      <c r="AF107" s="255" t="e">
        <f t="shared" si="91"/>
        <v>#N/A</v>
      </c>
      <c r="AG107" s="255" t="e">
        <f t="shared" si="92"/>
        <v>#N/A</v>
      </c>
      <c r="AI107" s="251">
        <f t="shared" si="65"/>
        <v>43525</v>
      </c>
      <c r="AJ107" s="718">
        <f>IF(OR($B107="No",AJ$6=""),"",IF(NOT(ISNUMBER(_xll.ciqfunctions.udf.CIQ(AJ$6,"IQ_TEV",$AI107,$I$2,$I$3))),"",_xll.ciqfunctions.udf.CIQ(AJ$6,"IQ_TEV",$AI107,$I$2,$I$3)))</f>
        <v>341961.17144000001</v>
      </c>
      <c r="AK107" s="718">
        <f>IF(OR($B107="No",AK$6=""),"",IF(NOT(ISNUMBER(_xll.ciqfunctions.udf.CIQ(AK$6,"IQ_TEV",$AI107,$I$2,$I$3))),"",_xll.ciqfunctions.udf.CIQ(AK$6,"IQ_TEV",$AI107,$I$2,$I$3)))</f>
        <v>95500.230490000002</v>
      </c>
      <c r="AL107" s="718" t="str">
        <f>IF(OR($B107="No",AL$6=""),"",IF(NOT(ISNUMBER(_xll.ciqfunctions.udf.CIQ(AL$6,"IQ_TEV",$AI107,$I$2,$I$3))),"",_xll.ciqfunctions.udf.CIQ(AL$6,"IQ_TEV",$AI107,$I$2,$I$3)))</f>
        <v/>
      </c>
      <c r="AM107" s="718" t="str">
        <f>IF(OR($B107="No",AM$6=""),"",IF(NOT(ISNUMBER(_xll.ciqfunctions.udf.CIQ(AM$6,"IQ_TEV",$AI107,$I$2,$I$3))),"",_xll.ciqfunctions.udf.CIQ(AM$6,"IQ_TEV",$AI107,$I$2,$I$3)))</f>
        <v/>
      </c>
      <c r="AN107" s="718" t="str">
        <f>IF(OR($B107="No",AN$6=""),"",IF(NOT(ISNUMBER(_xll.ciqfunctions.udf.CIQ(AN$6,"IQ_TEV",$AI107,$I$2,$I$3))),"",_xll.ciqfunctions.udf.CIQ(AN$6,"IQ_TEV",$AI107,$I$2,$I$3)))</f>
        <v/>
      </c>
      <c r="AO107" s="718" t="str">
        <f>IF(OR($B107="No",AO$6=""),"",IF(NOT(ISNUMBER(_xll.ciqfunctions.udf.CIQ(AO$6,"IQ_TEV",$AI107,$I$2,$I$3))),"",_xll.ciqfunctions.udf.CIQ(AO$6,"IQ_TEV",$AI107,$I$2,$I$3)))</f>
        <v/>
      </c>
      <c r="AP107" s="718" t="str">
        <f>IF(OR($B107="No",AP$6=""),"",IF(NOT(ISNUMBER(_xll.ciqfunctions.udf.CIQ(AP$6,"IQ_TEV",$AI107,$I$2,$I$3))),"",_xll.ciqfunctions.udf.CIQ(AP$6,"IQ_TEV",$AI107,$I$2,$I$3)))</f>
        <v/>
      </c>
      <c r="AQ107" s="718" t="str">
        <f>IF(OR($B107="No",AQ$6=""),"",IF(NOT(ISNUMBER(_xll.ciqfunctions.udf.CIQ(AQ$6,"IQ_TEV",$AI107,$I$2,$I$3))),"",_xll.ciqfunctions.udf.CIQ(AQ$6,"IQ_TEV",$AI107,$I$2,$I$3)))</f>
        <v/>
      </c>
      <c r="AR107" s="718" t="str">
        <f>IF(OR($B107="No",AR$6=""),"",IF(NOT(ISNUMBER(_xll.ciqfunctions.udf.CIQ(AR$6,"IQ_TEV",$AI107,$I$2,$I$3))),"",_xll.ciqfunctions.udf.CIQ(AR$6,"IQ_TEV",$AI107,$I$2,$I$3)))</f>
        <v/>
      </c>
      <c r="AS107" s="718" t="str">
        <f>IF(OR($B107="No",AS$6=""),"",IF(NOT(ISNUMBER(_xll.ciqfunctions.udf.CIQ(AS$6,"IQ_TEV",$AI107,$I$2,$I$3))),"",_xll.ciqfunctions.udf.CIQ(AS$6,"IQ_TEV",$AI107,$I$2,$I$3)))</f>
        <v/>
      </c>
      <c r="AT107" s="718" t="str">
        <f>IF(OR($B107="No",AT$6=""),"",IF(NOT(ISNUMBER(_xll.ciqfunctions.udf.CIQ(AT$6,"IQ_TEV",$AI107,$I$2,$I$3))),"",_xll.ciqfunctions.udf.CIQ(AT$6,"IQ_TEV",$AI107,$I$2,$I$3)))</f>
        <v/>
      </c>
      <c r="AV107" s="251">
        <f t="shared" si="69"/>
        <v>43525</v>
      </c>
      <c r="AW107" s="719">
        <f t="shared" si="70"/>
        <v>0.30990850959689142</v>
      </c>
      <c r="AX107" s="719">
        <f t="shared" si="71"/>
        <v>0.3084939178732502</v>
      </c>
      <c r="AY107" s="719" t="e">
        <f t="shared" si="72"/>
        <v>#N/A</v>
      </c>
      <c r="AZ107" s="719" t="e">
        <f t="shared" si="73"/>
        <v>#N/A</v>
      </c>
      <c r="BA107" s="719" t="e">
        <f t="shared" si="74"/>
        <v>#N/A</v>
      </c>
      <c r="BB107" s="719" t="e">
        <f t="shared" si="75"/>
        <v>#N/A</v>
      </c>
      <c r="BC107" s="719" t="e">
        <f t="shared" si="76"/>
        <v>#N/A</v>
      </c>
      <c r="BD107" s="719" t="e">
        <f t="shared" si="77"/>
        <v>#N/A</v>
      </c>
      <c r="BE107" s="719" t="e">
        <f t="shared" si="78"/>
        <v>#N/A</v>
      </c>
      <c r="BF107" s="719" t="e">
        <f t="shared" si="79"/>
        <v>#N/A</v>
      </c>
      <c r="BG107" s="719" t="e">
        <f t="shared" si="80"/>
        <v>#N/A</v>
      </c>
    </row>
    <row r="108" spans="1:59" ht="15" customHeight="1" x14ac:dyDescent="0.2">
      <c r="A108" s="251">
        <f t="shared" si="63"/>
        <v>43532</v>
      </c>
      <c r="B108" s="253" t="str">
        <f t="shared" si="81"/>
        <v>Yes</v>
      </c>
      <c r="C108" s="1033">
        <f>IF(C$6="","",IF(NOT(ISNUMBER(_xll.ciqfunctions.udf.CIQ(C$6,$F$2, $A108, $I$2, $I$3))),IF(C107=C$6,"",C107),_xll.ciqfunctions.udf.CIQ(C$6,$F$2, $A108, $I$2, $I$3)))</f>
        <v>97.59</v>
      </c>
      <c r="D108" s="1033">
        <f>IF(D$6="","",IF(NOT(ISNUMBER(_xll.ciqfunctions.udf.CIQ(D$6,$F$2, $A108, $I$2, $I$3))),IF(D107=D$6,"",D107),_xll.ciqfunctions.udf.CIQ(D$6,$F$2, $A108, $I$2, $I$3)))</f>
        <v>25450.24192</v>
      </c>
      <c r="E108" s="1033">
        <f>IF(E$6="","",IF(NOT(ISNUMBER(_xll.ciqfunctions.udf.CIQ(E$6,$F$2, $A108, $I$2, $I$3))),IF(E107=E$6,"",E107),_xll.ciqfunctions.udf.CIQ(E$6,$F$2, $A108, $I$2, $I$3)))</f>
        <v>8420.4737299999997</v>
      </c>
      <c r="F108" s="1033">
        <f>IF(F$6="","",IF(NOT(ISNUMBER(_xll.ciqfunctions.udf.CIQ(F$6,$F$2, $A108, $I$2, $I$3))),IF(F107=F$6,"",F107),_xll.ciqfunctions.udf.CIQ(F$6,$F$2, $A108, $I$2, $I$3)))</f>
        <v>4592.1418899999999</v>
      </c>
      <c r="G108" s="1033">
        <f>IF(G$6="","",IF(NOT(ISNUMBER(_xll.ciqfunctions.udf.CIQ(G$6,$F$2, $A108, $I$2, $I$3))),IF(G107=G$6,"",G107),_xll.ciqfunctions.udf.CIQ(G$6,$F$2, $A108, $I$2, $I$3)))</f>
        <v>227.82</v>
      </c>
      <c r="H108" s="1033" t="str">
        <f>IF(H$6="","",IF(NOT(ISNUMBER(_xll.ciqfunctions.udf.CIQ(H$6,$F$2, $A108, $I$2, $I$3))),IF(H107=H$6,"",H107),_xll.ciqfunctions.udf.CIQ(H$6,$F$2, $A108, $I$2, $I$3)))</f>
        <v/>
      </c>
      <c r="I108" s="1033" t="str">
        <f>IF(I$6="","",IF(NOT(ISNUMBER(_xll.ciqfunctions.udf.CIQ(I$6,$F$2, $A108, $I$2, $I$3))),IF(I107=I$6,"",I107),_xll.ciqfunctions.udf.CIQ(I$6,$F$2, $A108, $I$2, $I$3)))</f>
        <v/>
      </c>
      <c r="J108" s="1033" t="str">
        <f>IF(J$6="","",IF(NOT(ISNUMBER(_xll.ciqfunctions.udf.CIQ(J$6,$F$2, $A108, $I$2, $I$3))),IF(J107=J$6,"",J107),_xll.ciqfunctions.udf.CIQ(J$6,$F$2, $A108, $I$2, $I$3)))</f>
        <v/>
      </c>
      <c r="K108" s="1033" t="str">
        <f>IF(K$6="","",IF(NOT(ISNUMBER(_xll.ciqfunctions.udf.CIQ(K$6,$F$2, $A108, $I$2, $I$3))),IF(K107=K$6,"",K107),_xll.ciqfunctions.udf.CIQ(K$6,$F$2, $A108, $I$2, $I$3)))</f>
        <v/>
      </c>
      <c r="L108" s="254" t="str">
        <f>IF(L$6="","",IF(NOT(ISNUMBER(_xll.ciqfunctions.udf.CIQ(L$6,$F$2, $A108, $I$2, $I$3))),IF(L107=L$6,"",L107),_xll.ciqfunctions.udf.CIQ(L$6,$F$2, $A108, $I$2, $I$3)))</f>
        <v/>
      </c>
      <c r="M108" s="254" t="str">
        <f>IF(M$6="","",IF(NOT(ISNUMBER(_xll.ciqfunctions.udf.CIQ(M$6,$F$2, $A108, $I$2, $I$3))),IF(M107=M$6,"",M107),_xll.ciqfunctions.udf.CIQ(M$6,$F$2, $A108, $I$2, $I$3)))</f>
        <v/>
      </c>
      <c r="N108" s="254" t="str">
        <f>IF(N$6="","",IF(NOT(ISNUMBER(_xll.ciqfunctions.udf.CIQ(N$6,$F$2, $A108, $I$2, $I$3))),IF(N107=N$6,"",N107),_xll.ciqfunctions.udf.CIQ(N$6,$F$2, $A108, $I$2, $I$3)))</f>
        <v/>
      </c>
      <c r="O108" s="254" t="str">
        <f>IF(O$6="","",IF(NOT(ISNUMBER(_xll.ciqfunctions.udf.CIQ(O$6,$F$2, $A108, $I$2, $I$3))),IF(O107=O$6,"",O107),_xll.ciqfunctions.udf.CIQ(O$6,$F$2, $A108, $I$2, $I$3)))</f>
        <v/>
      </c>
      <c r="P108" s="254" t="str">
        <f>IF(P$6="","",IF(NOT(ISNUMBER(_xll.ciqfunctions.udf.CIQ(P$6,$F$2, $A108, $I$2, $I$3))),IF(P107=P$6,"",P107),_xll.ciqfunctions.udf.CIQ(P$6,$F$2, $A108, $I$2, $I$3)))</f>
        <v/>
      </c>
      <c r="Q108" s="254"/>
      <c r="R108" s="251">
        <f t="shared" si="64"/>
        <v>43532</v>
      </c>
      <c r="S108" s="255">
        <f t="shared" si="66"/>
        <v>0.35391231964483905</v>
      </c>
      <c r="T108" s="255">
        <f t="shared" si="67"/>
        <v>0.23166866608549941</v>
      </c>
      <c r="U108" s="255">
        <f t="shared" si="68"/>
        <v>0.17673062507190918</v>
      </c>
      <c r="V108" s="255">
        <f t="shared" si="82"/>
        <v>4.6109100682304227E-2</v>
      </c>
      <c r="W108" s="255">
        <f t="array" ref="W108">IFERROR(AVERAGE(IF(ISERROR(X108:AG108),"",X108:AG108)),"")</f>
        <v>0.3585783290595741</v>
      </c>
      <c r="X108" s="255">
        <f t="shared" si="83"/>
        <v>0.3585783290595741</v>
      </c>
      <c r="Y108" s="255" t="e">
        <f t="shared" si="84"/>
        <v>#N/A</v>
      </c>
      <c r="Z108" s="255" t="e">
        <f t="shared" si="85"/>
        <v>#N/A</v>
      </c>
      <c r="AA108" s="255" t="e">
        <f t="shared" si="86"/>
        <v>#N/A</v>
      </c>
      <c r="AB108" s="255" t="e">
        <f t="shared" si="87"/>
        <v>#N/A</v>
      </c>
      <c r="AC108" s="255" t="e">
        <f t="shared" si="88"/>
        <v>#N/A</v>
      </c>
      <c r="AD108" s="255" t="e">
        <f t="shared" si="89"/>
        <v>#N/A</v>
      </c>
      <c r="AE108" s="255" t="e">
        <f t="shared" si="90"/>
        <v>#N/A</v>
      </c>
      <c r="AF108" s="255" t="e">
        <f t="shared" si="91"/>
        <v>#N/A</v>
      </c>
      <c r="AG108" s="255" t="e">
        <f t="shared" si="92"/>
        <v>#N/A</v>
      </c>
      <c r="AI108" s="251">
        <f t="shared" si="65"/>
        <v>43532</v>
      </c>
      <c r="AJ108" s="718">
        <f>IF(OR($B108="No",AJ$6=""),"",IF(NOT(ISNUMBER(_xll.ciqfunctions.udf.CIQ(AJ$6,"IQ_TEV",$AI108,$I$2,$I$3))),"",_xll.ciqfunctions.udf.CIQ(AJ$6,"IQ_TEV",$AI108,$I$2,$I$3)))</f>
        <v>340973.38283000002</v>
      </c>
      <c r="AK108" s="718">
        <f>IF(OR($B108="No",AK$6=""),"",IF(NOT(ISNUMBER(_xll.ciqfunctions.udf.CIQ(AK$6,"IQ_TEV",$AI108,$I$2,$I$3))),"",_xll.ciqfunctions.udf.CIQ(AK$6,"IQ_TEV",$AI108,$I$2,$I$3)))</f>
        <v>99933.293980000002</v>
      </c>
      <c r="AL108" s="718" t="str">
        <f>IF(OR($B108="No",AL$6=""),"",IF(NOT(ISNUMBER(_xll.ciqfunctions.udf.CIQ(AL$6,"IQ_TEV",$AI108,$I$2,$I$3))),"",_xll.ciqfunctions.udf.CIQ(AL$6,"IQ_TEV",$AI108,$I$2,$I$3)))</f>
        <v/>
      </c>
      <c r="AM108" s="718" t="str">
        <f>IF(OR($B108="No",AM$6=""),"",IF(NOT(ISNUMBER(_xll.ciqfunctions.udf.CIQ(AM$6,"IQ_TEV",$AI108,$I$2,$I$3))),"",_xll.ciqfunctions.udf.CIQ(AM$6,"IQ_TEV",$AI108,$I$2,$I$3)))</f>
        <v/>
      </c>
      <c r="AN108" s="718" t="str">
        <f>IF(OR($B108="No",AN$6=""),"",IF(NOT(ISNUMBER(_xll.ciqfunctions.udf.CIQ(AN$6,"IQ_TEV",$AI108,$I$2,$I$3))),"",_xll.ciqfunctions.udf.CIQ(AN$6,"IQ_TEV",$AI108,$I$2,$I$3)))</f>
        <v/>
      </c>
      <c r="AO108" s="718" t="str">
        <f>IF(OR($B108="No",AO$6=""),"",IF(NOT(ISNUMBER(_xll.ciqfunctions.udf.CIQ(AO$6,"IQ_TEV",$AI108,$I$2,$I$3))),"",_xll.ciqfunctions.udf.CIQ(AO$6,"IQ_TEV",$AI108,$I$2,$I$3)))</f>
        <v/>
      </c>
      <c r="AP108" s="718" t="str">
        <f>IF(OR($B108="No",AP$6=""),"",IF(NOT(ISNUMBER(_xll.ciqfunctions.udf.CIQ(AP$6,"IQ_TEV",$AI108,$I$2,$I$3))),"",_xll.ciqfunctions.udf.CIQ(AP$6,"IQ_TEV",$AI108,$I$2,$I$3)))</f>
        <v/>
      </c>
      <c r="AQ108" s="718" t="str">
        <f>IF(OR($B108="No",AQ$6=""),"",IF(NOT(ISNUMBER(_xll.ciqfunctions.udf.CIQ(AQ$6,"IQ_TEV",$AI108,$I$2,$I$3))),"",_xll.ciqfunctions.udf.CIQ(AQ$6,"IQ_TEV",$AI108,$I$2,$I$3)))</f>
        <v/>
      </c>
      <c r="AR108" s="718" t="str">
        <f>IF(OR($B108="No",AR$6=""),"",IF(NOT(ISNUMBER(_xll.ciqfunctions.udf.CIQ(AR$6,"IQ_TEV",$AI108,$I$2,$I$3))),"",_xll.ciqfunctions.udf.CIQ(AR$6,"IQ_TEV",$AI108,$I$2,$I$3)))</f>
        <v/>
      </c>
      <c r="AS108" s="718" t="str">
        <f>IF(OR($B108="No",AS$6=""),"",IF(NOT(ISNUMBER(_xll.ciqfunctions.udf.CIQ(AS$6,"IQ_TEV",$AI108,$I$2,$I$3))),"",_xll.ciqfunctions.udf.CIQ(AS$6,"IQ_TEV",$AI108,$I$2,$I$3)))</f>
        <v/>
      </c>
      <c r="AT108" s="718" t="str">
        <f>IF(OR($B108="No",AT$6=""),"",IF(NOT(ISNUMBER(_xll.ciqfunctions.udf.CIQ(AT$6,"IQ_TEV",$AI108,$I$2,$I$3))),"",_xll.ciqfunctions.udf.CIQ(AT$6,"IQ_TEV",$AI108,$I$2,$I$3)))</f>
        <v/>
      </c>
      <c r="AV108" s="251">
        <f t="shared" si="69"/>
        <v>43532</v>
      </c>
      <c r="AW108" s="719">
        <f t="shared" si="70"/>
        <v>0.30612470952253457</v>
      </c>
      <c r="AX108" s="719">
        <f t="shared" si="71"/>
        <v>0.36923342168856688</v>
      </c>
      <c r="AY108" s="719" t="e">
        <f t="shared" si="72"/>
        <v>#N/A</v>
      </c>
      <c r="AZ108" s="719" t="e">
        <f t="shared" si="73"/>
        <v>#N/A</v>
      </c>
      <c r="BA108" s="719" t="e">
        <f t="shared" si="74"/>
        <v>#N/A</v>
      </c>
      <c r="BB108" s="719" t="e">
        <f t="shared" si="75"/>
        <v>#N/A</v>
      </c>
      <c r="BC108" s="719" t="e">
        <f t="shared" si="76"/>
        <v>#N/A</v>
      </c>
      <c r="BD108" s="719" t="e">
        <f t="shared" si="77"/>
        <v>#N/A</v>
      </c>
      <c r="BE108" s="719" t="e">
        <f t="shared" si="78"/>
        <v>#N/A</v>
      </c>
      <c r="BF108" s="719" t="e">
        <f t="shared" si="79"/>
        <v>#N/A</v>
      </c>
      <c r="BG108" s="719" t="e">
        <f t="shared" si="80"/>
        <v>#N/A</v>
      </c>
    </row>
    <row r="109" spans="1:59" ht="15" customHeight="1" x14ac:dyDescent="0.2">
      <c r="A109" s="251">
        <f t="shared" si="63"/>
        <v>43539</v>
      </c>
      <c r="B109" s="253" t="str">
        <f t="shared" si="81"/>
        <v>Yes</v>
      </c>
      <c r="C109" s="1033">
        <f>IF(C$6="","",IF(NOT(ISNUMBER(_xll.ciqfunctions.udf.CIQ(C$6,$F$2, $A109, $I$2, $I$3))),IF(C108=C$6,"",C108),_xll.ciqfunctions.udf.CIQ(C$6,$F$2, $A109, $I$2, $I$3)))</f>
        <v>98.42</v>
      </c>
      <c r="D109" s="1033">
        <f>IF(D$6="","",IF(NOT(ISNUMBER(_xll.ciqfunctions.udf.CIQ(D$6,$F$2, $A109, $I$2, $I$3))),IF(D108=D$6,"",D108),_xll.ciqfunctions.udf.CIQ(D$6,$F$2, $A109, $I$2, $I$3)))</f>
        <v>25848.870289999999</v>
      </c>
      <c r="E109" s="1033">
        <f>IF(E$6="","",IF(NOT(ISNUMBER(_xll.ciqfunctions.udf.CIQ(E$6,$F$2, $A109, $I$2, $I$3))),IF(E108=E$6,"",E108),_xll.ciqfunctions.udf.CIQ(E$6,$F$2, $A109, $I$2, $I$3)))</f>
        <v>8563.5680699999994</v>
      </c>
      <c r="F109" s="1033">
        <f>IF(F$6="","",IF(NOT(ISNUMBER(_xll.ciqfunctions.udf.CIQ(F$6,$F$2, $A109, $I$2, $I$3))),IF(F108=F$6,"",F108),_xll.ciqfunctions.udf.CIQ(F$6,$F$2, $A109, $I$2, $I$3)))</f>
        <v>4612.1227799999997</v>
      </c>
      <c r="G109" s="1033">
        <f>IF(G$6="","",IF(NOT(ISNUMBER(_xll.ciqfunctions.udf.CIQ(G$6,$F$2, $A109, $I$2, $I$3))),IF(G108=G$6,"",G108),_xll.ciqfunctions.udf.CIQ(G$6,$F$2, $A109, $I$2, $I$3)))</f>
        <v>233.6</v>
      </c>
      <c r="H109" s="1033" t="str">
        <f>IF(H$6="","",IF(NOT(ISNUMBER(_xll.ciqfunctions.udf.CIQ(H$6,$F$2, $A109, $I$2, $I$3))),IF(H108=H$6,"",H108),_xll.ciqfunctions.udf.CIQ(H$6,$F$2, $A109, $I$2, $I$3)))</f>
        <v/>
      </c>
      <c r="I109" s="1033" t="str">
        <f>IF(I$6="","",IF(NOT(ISNUMBER(_xll.ciqfunctions.udf.CIQ(I$6,$F$2, $A109, $I$2, $I$3))),IF(I108=I$6,"",I108),_xll.ciqfunctions.udf.CIQ(I$6,$F$2, $A109, $I$2, $I$3)))</f>
        <v/>
      </c>
      <c r="J109" s="1033" t="str">
        <f>IF(J$6="","",IF(NOT(ISNUMBER(_xll.ciqfunctions.udf.CIQ(J$6,$F$2, $A109, $I$2, $I$3))),IF(J108=J$6,"",J108),_xll.ciqfunctions.udf.CIQ(J$6,$F$2, $A109, $I$2, $I$3)))</f>
        <v/>
      </c>
      <c r="K109" s="1033" t="str">
        <f>IF(K$6="","",IF(NOT(ISNUMBER(_xll.ciqfunctions.udf.CIQ(K$6,$F$2, $A109, $I$2, $I$3))),IF(K108=K$6,"",K108),_xll.ciqfunctions.udf.CIQ(K$6,$F$2, $A109, $I$2, $I$3)))</f>
        <v/>
      </c>
      <c r="L109" s="254" t="str">
        <f>IF(L$6="","",IF(NOT(ISNUMBER(_xll.ciqfunctions.udf.CIQ(L$6,$F$2, $A109, $I$2, $I$3))),IF(L108=L$6,"",L108),_xll.ciqfunctions.udf.CIQ(L$6,$F$2, $A109, $I$2, $I$3)))</f>
        <v/>
      </c>
      <c r="M109" s="254" t="str">
        <f>IF(M$6="","",IF(NOT(ISNUMBER(_xll.ciqfunctions.udf.CIQ(M$6,$F$2, $A109, $I$2, $I$3))),IF(M108=M$6,"",M108),_xll.ciqfunctions.udf.CIQ(M$6,$F$2, $A109, $I$2, $I$3)))</f>
        <v/>
      </c>
      <c r="N109" s="254" t="str">
        <f>IF(N$6="","",IF(NOT(ISNUMBER(_xll.ciqfunctions.udf.CIQ(N$6,$F$2, $A109, $I$2, $I$3))),IF(N108=N$6,"",N108),_xll.ciqfunctions.udf.CIQ(N$6,$F$2, $A109, $I$2, $I$3)))</f>
        <v/>
      </c>
      <c r="O109" s="254" t="str">
        <f>IF(O$6="","",IF(NOT(ISNUMBER(_xll.ciqfunctions.udf.CIQ(O$6,$F$2, $A109, $I$2, $I$3))),IF(O108=O$6,"",O108),_xll.ciqfunctions.udf.CIQ(O$6,$F$2, $A109, $I$2, $I$3)))</f>
        <v/>
      </c>
      <c r="P109" s="254" t="str">
        <f>IF(P$6="","",IF(NOT(ISNUMBER(_xll.ciqfunctions.udf.CIQ(P$6,$F$2, $A109, $I$2, $I$3))),IF(P108=P$6,"",P108),_xll.ciqfunctions.udf.CIQ(P$6,$F$2, $A109, $I$2, $I$3)))</f>
        <v/>
      </c>
      <c r="Q109" s="254"/>
      <c r="R109" s="251">
        <f t="shared" si="64"/>
        <v>43539</v>
      </c>
      <c r="S109" s="255">
        <f t="shared" si="66"/>
        <v>0.36542730299667037</v>
      </c>
      <c r="T109" s="255">
        <f t="shared" si="67"/>
        <v>0.25096035196750677</v>
      </c>
      <c r="U109" s="255">
        <f t="shared" si="68"/>
        <v>0.19672753944414256</v>
      </c>
      <c r="V109" s="255">
        <f t="shared" si="82"/>
        <v>5.0660830870399742E-2</v>
      </c>
      <c r="W109" s="255">
        <f t="array" ref="W109">IFERROR(AVERAGE(IF(ISERROR(X109:AG109),"",X109:AG109)),"")</f>
        <v>0.39304669330311892</v>
      </c>
      <c r="X109" s="255">
        <f t="shared" si="83"/>
        <v>0.39304669330311892</v>
      </c>
      <c r="Y109" s="255" t="e">
        <f t="shared" si="84"/>
        <v>#N/A</v>
      </c>
      <c r="Z109" s="255" t="e">
        <f t="shared" si="85"/>
        <v>#N/A</v>
      </c>
      <c r="AA109" s="255" t="e">
        <f t="shared" si="86"/>
        <v>#N/A</v>
      </c>
      <c r="AB109" s="255" t="e">
        <f t="shared" si="87"/>
        <v>#N/A</v>
      </c>
      <c r="AC109" s="255" t="e">
        <f t="shared" si="88"/>
        <v>#N/A</v>
      </c>
      <c r="AD109" s="255" t="e">
        <f t="shared" si="89"/>
        <v>#N/A</v>
      </c>
      <c r="AE109" s="255" t="e">
        <f t="shared" si="90"/>
        <v>#N/A</v>
      </c>
      <c r="AF109" s="255" t="e">
        <f t="shared" si="91"/>
        <v>#N/A</v>
      </c>
      <c r="AG109" s="255" t="e">
        <f t="shared" si="92"/>
        <v>#N/A</v>
      </c>
      <c r="AI109" s="251">
        <f t="shared" si="65"/>
        <v>43539</v>
      </c>
      <c r="AJ109" s="718">
        <f>IF(OR($B109="No",AJ$6=""),"",IF(NOT(ISNUMBER(_xll.ciqfunctions.udf.CIQ(AJ$6,"IQ_TEV",$AI109,$I$2,$I$3))),"",_xll.ciqfunctions.udf.CIQ(AJ$6,"IQ_TEV",$AI109,$I$2,$I$3)))</f>
        <v>343384.74914000003</v>
      </c>
      <c r="AK109" s="718">
        <f>IF(OR($B109="No",AK$6=""),"",IF(NOT(ISNUMBER(_xll.ciqfunctions.udf.CIQ(AK$6,"IQ_TEV",$AI109,$I$2,$I$3))),"",_xll.ciqfunctions.udf.CIQ(AK$6,"IQ_TEV",$AI109,$I$2,$I$3)))</f>
        <v>102451.02804</v>
      </c>
      <c r="AL109" s="718" t="str">
        <f>IF(OR($B109="No",AL$6=""),"",IF(NOT(ISNUMBER(_xll.ciqfunctions.udf.CIQ(AL$6,"IQ_TEV",$AI109,$I$2,$I$3))),"",_xll.ciqfunctions.udf.CIQ(AL$6,"IQ_TEV",$AI109,$I$2,$I$3)))</f>
        <v/>
      </c>
      <c r="AM109" s="718" t="str">
        <f>IF(OR($B109="No",AM$6=""),"",IF(NOT(ISNUMBER(_xll.ciqfunctions.udf.CIQ(AM$6,"IQ_TEV",$AI109,$I$2,$I$3))),"",_xll.ciqfunctions.udf.CIQ(AM$6,"IQ_TEV",$AI109,$I$2,$I$3)))</f>
        <v/>
      </c>
      <c r="AN109" s="718" t="str">
        <f>IF(OR($B109="No",AN$6=""),"",IF(NOT(ISNUMBER(_xll.ciqfunctions.udf.CIQ(AN$6,"IQ_TEV",$AI109,$I$2,$I$3))),"",_xll.ciqfunctions.udf.CIQ(AN$6,"IQ_TEV",$AI109,$I$2,$I$3)))</f>
        <v/>
      </c>
      <c r="AO109" s="718" t="str">
        <f>IF(OR($B109="No",AO$6=""),"",IF(NOT(ISNUMBER(_xll.ciqfunctions.udf.CIQ(AO$6,"IQ_TEV",$AI109,$I$2,$I$3))),"",_xll.ciqfunctions.udf.CIQ(AO$6,"IQ_TEV",$AI109,$I$2,$I$3)))</f>
        <v/>
      </c>
      <c r="AP109" s="718" t="str">
        <f>IF(OR($B109="No",AP$6=""),"",IF(NOT(ISNUMBER(_xll.ciqfunctions.udf.CIQ(AP$6,"IQ_TEV",$AI109,$I$2,$I$3))),"",_xll.ciqfunctions.udf.CIQ(AP$6,"IQ_TEV",$AI109,$I$2,$I$3)))</f>
        <v/>
      </c>
      <c r="AQ109" s="718" t="str">
        <f>IF(OR($B109="No",AQ$6=""),"",IF(NOT(ISNUMBER(_xll.ciqfunctions.udf.CIQ(AQ$6,"IQ_TEV",$AI109,$I$2,$I$3))),"",_xll.ciqfunctions.udf.CIQ(AQ$6,"IQ_TEV",$AI109,$I$2,$I$3)))</f>
        <v/>
      </c>
      <c r="AR109" s="718" t="str">
        <f>IF(OR($B109="No",AR$6=""),"",IF(NOT(ISNUMBER(_xll.ciqfunctions.udf.CIQ(AR$6,"IQ_TEV",$AI109,$I$2,$I$3))),"",_xll.ciqfunctions.udf.CIQ(AR$6,"IQ_TEV",$AI109,$I$2,$I$3)))</f>
        <v/>
      </c>
      <c r="AS109" s="718" t="str">
        <f>IF(OR($B109="No",AS$6=""),"",IF(NOT(ISNUMBER(_xll.ciqfunctions.udf.CIQ(AS$6,"IQ_TEV",$AI109,$I$2,$I$3))),"",_xll.ciqfunctions.udf.CIQ(AS$6,"IQ_TEV",$AI109,$I$2,$I$3)))</f>
        <v/>
      </c>
      <c r="AT109" s="718" t="str">
        <f>IF(OR($B109="No",AT$6=""),"",IF(NOT(ISNUMBER(_xll.ciqfunctions.udf.CIQ(AT$6,"IQ_TEV",$AI109,$I$2,$I$3))),"",_xll.ciqfunctions.udf.CIQ(AT$6,"IQ_TEV",$AI109,$I$2,$I$3)))</f>
        <v/>
      </c>
      <c r="AV109" s="251">
        <f t="shared" si="69"/>
        <v>43539</v>
      </c>
      <c r="AW109" s="719">
        <f t="shared" si="70"/>
        <v>0.31536163322332511</v>
      </c>
      <c r="AX109" s="719">
        <f t="shared" si="71"/>
        <v>0.40373008926129361</v>
      </c>
      <c r="AY109" s="719" t="e">
        <f t="shared" si="72"/>
        <v>#N/A</v>
      </c>
      <c r="AZ109" s="719" t="e">
        <f t="shared" si="73"/>
        <v>#N/A</v>
      </c>
      <c r="BA109" s="719" t="e">
        <f t="shared" si="74"/>
        <v>#N/A</v>
      </c>
      <c r="BB109" s="719" t="e">
        <f t="shared" si="75"/>
        <v>#N/A</v>
      </c>
      <c r="BC109" s="719" t="e">
        <f t="shared" si="76"/>
        <v>#N/A</v>
      </c>
      <c r="BD109" s="719" t="e">
        <f t="shared" si="77"/>
        <v>#N/A</v>
      </c>
      <c r="BE109" s="719" t="e">
        <f t="shared" si="78"/>
        <v>#N/A</v>
      </c>
      <c r="BF109" s="719" t="e">
        <f t="shared" si="79"/>
        <v>#N/A</v>
      </c>
      <c r="BG109" s="719" t="e">
        <f t="shared" si="80"/>
        <v>#N/A</v>
      </c>
    </row>
    <row r="110" spans="1:59" ht="15" customHeight="1" x14ac:dyDescent="0.2">
      <c r="A110" s="251">
        <f t="shared" si="63"/>
        <v>43546</v>
      </c>
      <c r="B110" s="253" t="str">
        <f t="shared" si="81"/>
        <v>Yes</v>
      </c>
      <c r="C110" s="1033">
        <f>IF(C$6="","",IF(NOT(ISNUMBER(_xll.ciqfunctions.udf.CIQ(C$6,$F$2, $A110, $I$2, $I$3))),IF(C109=C$6,"",C109),_xll.ciqfunctions.udf.CIQ(C$6,$F$2, $A110, $I$2, $I$3)))</f>
        <v>98.28</v>
      </c>
      <c r="D110" s="1033">
        <f>IF(D$6="","",IF(NOT(ISNUMBER(_xll.ciqfunctions.udf.CIQ(D$6,$F$2, $A110, $I$2, $I$3))),IF(D109=D$6,"",D109),_xll.ciqfunctions.udf.CIQ(D$6,$F$2, $A110, $I$2, $I$3)))</f>
        <v>25502.31652</v>
      </c>
      <c r="E110" s="1033">
        <f>IF(E$6="","",IF(NOT(ISNUMBER(_xll.ciqfunctions.udf.CIQ(E$6,$F$2, $A110, $I$2, $I$3))),IF(E109=E$6,"",E109),_xll.ciqfunctions.udf.CIQ(E$6,$F$2, $A110, $I$2, $I$3)))</f>
        <v>8451.4599999999991</v>
      </c>
      <c r="F110" s="1033">
        <f>IF(F$6="","",IF(NOT(ISNUMBER(_xll.ciqfunctions.udf.CIQ(F$6,$F$2, $A110, $I$2, $I$3))),IF(F109=F$6,"",F109),_xll.ciqfunctions.udf.CIQ(F$6,$F$2, $A110, $I$2, $I$3)))</f>
        <v>4512.3103099999998</v>
      </c>
      <c r="G110" s="1033">
        <f>IF(G$6="","",IF(NOT(ISNUMBER(_xll.ciqfunctions.udf.CIQ(G$6,$F$2, $A110, $I$2, $I$3))),IF(G109=G$6,"",G109),_xll.ciqfunctions.udf.CIQ(G$6,$F$2, $A110, $I$2, $I$3)))</f>
        <v>237.56</v>
      </c>
      <c r="H110" s="1033" t="str">
        <f>IF(H$6="","",IF(NOT(ISNUMBER(_xll.ciqfunctions.udf.CIQ(H$6,$F$2, $A110, $I$2, $I$3))),IF(H109=H$6,"",H109),_xll.ciqfunctions.udf.CIQ(H$6,$F$2, $A110, $I$2, $I$3)))</f>
        <v/>
      </c>
      <c r="I110" s="1033" t="str">
        <f>IF(I$6="","",IF(NOT(ISNUMBER(_xll.ciqfunctions.udf.CIQ(I$6,$F$2, $A110, $I$2, $I$3))),IF(I109=I$6,"",I109),_xll.ciqfunctions.udf.CIQ(I$6,$F$2, $A110, $I$2, $I$3)))</f>
        <v/>
      </c>
      <c r="J110" s="1033" t="str">
        <f>IF(J$6="","",IF(NOT(ISNUMBER(_xll.ciqfunctions.udf.CIQ(J$6,$F$2, $A110, $I$2, $I$3))),IF(J109=J$6,"",J109),_xll.ciqfunctions.udf.CIQ(J$6,$F$2, $A110, $I$2, $I$3)))</f>
        <v/>
      </c>
      <c r="K110" s="1033" t="str">
        <f>IF(K$6="","",IF(NOT(ISNUMBER(_xll.ciqfunctions.udf.CIQ(K$6,$F$2, $A110, $I$2, $I$3))),IF(K109=K$6,"",K109),_xll.ciqfunctions.udf.CIQ(K$6,$F$2, $A110, $I$2, $I$3)))</f>
        <v/>
      </c>
      <c r="L110" s="254" t="str">
        <f>IF(L$6="","",IF(NOT(ISNUMBER(_xll.ciqfunctions.udf.CIQ(L$6,$F$2, $A110, $I$2, $I$3))),IF(L109=L$6,"",L109),_xll.ciqfunctions.udf.CIQ(L$6,$F$2, $A110, $I$2, $I$3)))</f>
        <v/>
      </c>
      <c r="M110" s="254" t="str">
        <f>IF(M$6="","",IF(NOT(ISNUMBER(_xll.ciqfunctions.udf.CIQ(M$6,$F$2, $A110, $I$2, $I$3))),IF(M109=M$6,"",M109),_xll.ciqfunctions.udf.CIQ(M$6,$F$2, $A110, $I$2, $I$3)))</f>
        <v/>
      </c>
      <c r="N110" s="254" t="str">
        <f>IF(N$6="","",IF(NOT(ISNUMBER(_xll.ciqfunctions.udf.CIQ(N$6,$F$2, $A110, $I$2, $I$3))),IF(N109=N$6,"",N109),_xll.ciqfunctions.udf.CIQ(N$6,$F$2, $A110, $I$2, $I$3)))</f>
        <v/>
      </c>
      <c r="O110" s="254" t="str">
        <f>IF(O$6="","",IF(NOT(ISNUMBER(_xll.ciqfunctions.udf.CIQ(O$6,$F$2, $A110, $I$2, $I$3))),IF(O109=O$6,"",O109),_xll.ciqfunctions.udf.CIQ(O$6,$F$2, $A110, $I$2, $I$3)))</f>
        <v/>
      </c>
      <c r="P110" s="254" t="str">
        <f>IF(P$6="","",IF(NOT(ISNUMBER(_xll.ciqfunctions.udf.CIQ(P$6,$F$2, $A110, $I$2, $I$3))),IF(P109=P$6,"",P109),_xll.ciqfunctions.udf.CIQ(P$6,$F$2, $A110, $I$2, $I$3)))</f>
        <v/>
      </c>
      <c r="Q110" s="254"/>
      <c r="R110" s="251">
        <f t="shared" si="64"/>
        <v>43546</v>
      </c>
      <c r="S110" s="255">
        <f t="shared" si="66"/>
        <v>0.36348501664816868</v>
      </c>
      <c r="T110" s="255">
        <f t="shared" si="67"/>
        <v>0.23418882496338167</v>
      </c>
      <c r="U110" s="255">
        <f t="shared" si="68"/>
        <v>0.18106084377870713</v>
      </c>
      <c r="V110" s="255">
        <f t="shared" si="82"/>
        <v>2.792313335805674E-2</v>
      </c>
      <c r="W110" s="255">
        <f t="array" ref="W110">IFERROR(AVERAGE(IF(ISERROR(X110:AG110),"",X110:AG110)),"")</f>
        <v>0.41666169717931911</v>
      </c>
      <c r="X110" s="255">
        <f t="shared" si="83"/>
        <v>0.41666169717931911</v>
      </c>
      <c r="Y110" s="255" t="e">
        <f t="shared" si="84"/>
        <v>#N/A</v>
      </c>
      <c r="Z110" s="255" t="e">
        <f t="shared" si="85"/>
        <v>#N/A</v>
      </c>
      <c r="AA110" s="255" t="e">
        <f t="shared" si="86"/>
        <v>#N/A</v>
      </c>
      <c r="AB110" s="255" t="e">
        <f t="shared" si="87"/>
        <v>#N/A</v>
      </c>
      <c r="AC110" s="255" t="e">
        <f t="shared" si="88"/>
        <v>#N/A</v>
      </c>
      <c r="AD110" s="255" t="e">
        <f t="shared" si="89"/>
        <v>#N/A</v>
      </c>
      <c r="AE110" s="255" t="e">
        <f t="shared" si="90"/>
        <v>#N/A</v>
      </c>
      <c r="AF110" s="255" t="e">
        <f t="shared" si="91"/>
        <v>#N/A</v>
      </c>
      <c r="AG110" s="255" t="e">
        <f t="shared" si="92"/>
        <v>#N/A</v>
      </c>
      <c r="AI110" s="251">
        <f t="shared" si="65"/>
        <v>43546</v>
      </c>
      <c r="AJ110" s="718">
        <f>IF(OR($B110="No",AJ$6=""),"",IF(NOT(ISNUMBER(_xll.ciqfunctions.udf.CIQ(AJ$6,"IQ_TEV",$AI110,$I$2,$I$3))),"",_xll.ciqfunctions.udf.CIQ(AJ$6,"IQ_TEV",$AI110,$I$2,$I$3)))</f>
        <v>342978.01264999999</v>
      </c>
      <c r="AK110" s="718">
        <f>IF(OR($B110="No",AK$6=""),"",IF(NOT(ISNUMBER(_xll.ciqfunctions.udf.CIQ(AK$6,"IQ_TEV",$AI110,$I$2,$I$3))),"",_xll.ciqfunctions.udf.CIQ(AK$6,"IQ_TEV",$AI110,$I$2,$I$3)))</f>
        <v>104192.95385000001</v>
      </c>
      <c r="AL110" s="718" t="str">
        <f>IF(OR($B110="No",AL$6=""),"",IF(NOT(ISNUMBER(_xll.ciqfunctions.udf.CIQ(AL$6,"IQ_TEV",$AI110,$I$2,$I$3))),"",_xll.ciqfunctions.udf.CIQ(AL$6,"IQ_TEV",$AI110,$I$2,$I$3)))</f>
        <v/>
      </c>
      <c r="AM110" s="718" t="str">
        <f>IF(OR($B110="No",AM$6=""),"",IF(NOT(ISNUMBER(_xll.ciqfunctions.udf.CIQ(AM$6,"IQ_TEV",$AI110,$I$2,$I$3))),"",_xll.ciqfunctions.udf.CIQ(AM$6,"IQ_TEV",$AI110,$I$2,$I$3)))</f>
        <v/>
      </c>
      <c r="AN110" s="718" t="str">
        <f>IF(OR($B110="No",AN$6=""),"",IF(NOT(ISNUMBER(_xll.ciqfunctions.udf.CIQ(AN$6,"IQ_TEV",$AI110,$I$2,$I$3))),"",_xll.ciqfunctions.udf.CIQ(AN$6,"IQ_TEV",$AI110,$I$2,$I$3)))</f>
        <v/>
      </c>
      <c r="AO110" s="718" t="str">
        <f>IF(OR($B110="No",AO$6=""),"",IF(NOT(ISNUMBER(_xll.ciqfunctions.udf.CIQ(AO$6,"IQ_TEV",$AI110,$I$2,$I$3))),"",_xll.ciqfunctions.udf.CIQ(AO$6,"IQ_TEV",$AI110,$I$2,$I$3)))</f>
        <v/>
      </c>
      <c r="AP110" s="718" t="str">
        <f>IF(OR($B110="No",AP$6=""),"",IF(NOT(ISNUMBER(_xll.ciqfunctions.udf.CIQ(AP$6,"IQ_TEV",$AI110,$I$2,$I$3))),"",_xll.ciqfunctions.udf.CIQ(AP$6,"IQ_TEV",$AI110,$I$2,$I$3)))</f>
        <v/>
      </c>
      <c r="AQ110" s="718" t="str">
        <f>IF(OR($B110="No",AQ$6=""),"",IF(NOT(ISNUMBER(_xll.ciqfunctions.udf.CIQ(AQ$6,"IQ_TEV",$AI110,$I$2,$I$3))),"",_xll.ciqfunctions.udf.CIQ(AQ$6,"IQ_TEV",$AI110,$I$2,$I$3)))</f>
        <v/>
      </c>
      <c r="AR110" s="718" t="str">
        <f>IF(OR($B110="No",AR$6=""),"",IF(NOT(ISNUMBER(_xll.ciqfunctions.udf.CIQ(AR$6,"IQ_TEV",$AI110,$I$2,$I$3))),"",_xll.ciqfunctions.udf.CIQ(AR$6,"IQ_TEV",$AI110,$I$2,$I$3)))</f>
        <v/>
      </c>
      <c r="AS110" s="718" t="str">
        <f>IF(OR($B110="No",AS$6=""),"",IF(NOT(ISNUMBER(_xll.ciqfunctions.udf.CIQ(AS$6,"IQ_TEV",$AI110,$I$2,$I$3))),"",_xll.ciqfunctions.udf.CIQ(AS$6,"IQ_TEV",$AI110,$I$2,$I$3)))</f>
        <v/>
      </c>
      <c r="AT110" s="718" t="str">
        <f>IF(OR($B110="No",AT$6=""),"",IF(NOT(ISNUMBER(_xll.ciqfunctions.udf.CIQ(AT$6,"IQ_TEV",$AI110,$I$2,$I$3))),"",_xll.ciqfunctions.udf.CIQ(AT$6,"IQ_TEV",$AI110,$I$2,$I$3)))</f>
        <v/>
      </c>
      <c r="AV110" s="251">
        <f t="shared" si="69"/>
        <v>43546</v>
      </c>
      <c r="AW110" s="719">
        <f t="shared" si="70"/>
        <v>0.31380359788506995</v>
      </c>
      <c r="AX110" s="719">
        <f t="shared" si="71"/>
        <v>0.42759704032598367</v>
      </c>
      <c r="AY110" s="719" t="e">
        <f t="shared" si="72"/>
        <v>#N/A</v>
      </c>
      <c r="AZ110" s="719" t="e">
        <f t="shared" si="73"/>
        <v>#N/A</v>
      </c>
      <c r="BA110" s="719" t="e">
        <f t="shared" si="74"/>
        <v>#N/A</v>
      </c>
      <c r="BB110" s="719" t="e">
        <f t="shared" si="75"/>
        <v>#N/A</v>
      </c>
      <c r="BC110" s="719" t="e">
        <f t="shared" si="76"/>
        <v>#N/A</v>
      </c>
      <c r="BD110" s="719" t="e">
        <f t="shared" si="77"/>
        <v>#N/A</v>
      </c>
      <c r="BE110" s="719" t="e">
        <f t="shared" si="78"/>
        <v>#N/A</v>
      </c>
      <c r="BF110" s="719" t="e">
        <f t="shared" si="79"/>
        <v>#N/A</v>
      </c>
      <c r="BG110" s="719" t="e">
        <f t="shared" si="80"/>
        <v>#N/A</v>
      </c>
    </row>
    <row r="111" spans="1:59" ht="15" customHeight="1" x14ac:dyDescent="0.2">
      <c r="A111" s="251">
        <f t="shared" si="63"/>
        <v>43553</v>
      </c>
      <c r="B111" s="253" t="str">
        <f t="shared" si="81"/>
        <v>Yes</v>
      </c>
      <c r="C111" s="1033">
        <f>IF(C$6="","",IF(NOT(ISNUMBER(_xll.ciqfunctions.udf.CIQ(C$6,$F$2, $A111, $I$2, $I$3))),IF(C110=C$6,"",C110),_xll.ciqfunctions.udf.CIQ(C$6,$F$2, $A111, $I$2, $I$3)))</f>
        <v>97.53</v>
      </c>
      <c r="D111" s="1033">
        <f>IF(D$6="","",IF(NOT(ISNUMBER(_xll.ciqfunctions.udf.CIQ(D$6,$F$2, $A111, $I$2, $I$3))),IF(D110=D$6,"",D110),_xll.ciqfunctions.udf.CIQ(D$6,$F$2, $A111, $I$2, $I$3)))</f>
        <v>25928.677339999998</v>
      </c>
      <c r="E111" s="1033">
        <f>IF(E$6="","",IF(NOT(ISNUMBER(_xll.ciqfunctions.udf.CIQ(E$6,$F$2, $A111, $I$2, $I$3))),IF(E110=E$6,"",E110),_xll.ciqfunctions.udf.CIQ(E$6,$F$2, $A111, $I$2, $I$3)))</f>
        <v>8598.4567900000002</v>
      </c>
      <c r="F111" s="1033">
        <f>IF(F$6="","",IF(NOT(ISNUMBER(_xll.ciqfunctions.udf.CIQ(F$6,$F$2, $A111, $I$2, $I$3))),IF(F110=F$6,"",F110),_xll.ciqfunctions.udf.CIQ(F$6,$F$2, $A111, $I$2, $I$3)))</f>
        <v>4676.0263800000002</v>
      </c>
      <c r="G111" s="1033">
        <f>IF(G$6="","",IF(NOT(ISNUMBER(_xll.ciqfunctions.udf.CIQ(G$6,$F$2, $A111, $I$2, $I$3))),IF(G110=G$6,"",G110),_xll.ciqfunctions.udf.CIQ(G$6,$F$2, $A111, $I$2, $I$3)))</f>
        <v>242.14</v>
      </c>
      <c r="H111" s="1033" t="str">
        <f>IF(H$6="","",IF(NOT(ISNUMBER(_xll.ciqfunctions.udf.CIQ(H$6,$F$2, $A111, $I$2, $I$3))),IF(H110=H$6,"",H110),_xll.ciqfunctions.udf.CIQ(H$6,$F$2, $A111, $I$2, $I$3)))</f>
        <v/>
      </c>
      <c r="I111" s="1033" t="str">
        <f>IF(I$6="","",IF(NOT(ISNUMBER(_xll.ciqfunctions.udf.CIQ(I$6,$F$2, $A111, $I$2, $I$3))),IF(I110=I$6,"",I110),_xll.ciqfunctions.udf.CIQ(I$6,$F$2, $A111, $I$2, $I$3)))</f>
        <v/>
      </c>
      <c r="J111" s="1033" t="str">
        <f>IF(J$6="","",IF(NOT(ISNUMBER(_xll.ciqfunctions.udf.CIQ(J$6,$F$2, $A111, $I$2, $I$3))),IF(J110=J$6,"",J110),_xll.ciqfunctions.udf.CIQ(J$6,$F$2, $A111, $I$2, $I$3)))</f>
        <v/>
      </c>
      <c r="K111" s="1033" t="str">
        <f>IF(K$6="","",IF(NOT(ISNUMBER(_xll.ciqfunctions.udf.CIQ(K$6,$F$2, $A111, $I$2, $I$3))),IF(K110=K$6,"",K110),_xll.ciqfunctions.udf.CIQ(K$6,$F$2, $A111, $I$2, $I$3)))</f>
        <v/>
      </c>
      <c r="L111" s="254" t="str">
        <f>IF(L$6="","",IF(NOT(ISNUMBER(_xll.ciqfunctions.udf.CIQ(L$6,$F$2, $A111, $I$2, $I$3))),IF(L110=L$6,"",L110),_xll.ciqfunctions.udf.CIQ(L$6,$F$2, $A111, $I$2, $I$3)))</f>
        <v/>
      </c>
      <c r="M111" s="254" t="str">
        <f>IF(M$6="","",IF(NOT(ISNUMBER(_xll.ciqfunctions.udf.CIQ(M$6,$F$2, $A111, $I$2, $I$3))),IF(M110=M$6,"",M110),_xll.ciqfunctions.udf.CIQ(M$6,$F$2, $A111, $I$2, $I$3)))</f>
        <v/>
      </c>
      <c r="N111" s="254" t="str">
        <f>IF(N$6="","",IF(NOT(ISNUMBER(_xll.ciqfunctions.udf.CIQ(N$6,$F$2, $A111, $I$2, $I$3))),IF(N110=N$6,"",N110),_xll.ciqfunctions.udf.CIQ(N$6,$F$2, $A111, $I$2, $I$3)))</f>
        <v/>
      </c>
      <c r="O111" s="254" t="str">
        <f>IF(O$6="","",IF(NOT(ISNUMBER(_xll.ciqfunctions.udf.CIQ(O$6,$F$2, $A111, $I$2, $I$3))),IF(O110=O$6,"",O110),_xll.ciqfunctions.udf.CIQ(O$6,$F$2, $A111, $I$2, $I$3)))</f>
        <v/>
      </c>
      <c r="P111" s="254" t="str">
        <f>IF(P$6="","",IF(NOT(ISNUMBER(_xll.ciqfunctions.udf.CIQ(P$6,$F$2, $A111, $I$2, $I$3))),IF(P110=P$6,"",P110),_xll.ciqfunctions.udf.CIQ(P$6,$F$2, $A111, $I$2, $I$3)))</f>
        <v/>
      </c>
      <c r="Q111" s="254"/>
      <c r="R111" s="251">
        <f t="shared" si="64"/>
        <v>43553</v>
      </c>
      <c r="S111" s="255">
        <f t="shared" si="66"/>
        <v>0.35307991120976689</v>
      </c>
      <c r="T111" s="255">
        <f t="shared" si="67"/>
        <v>0.25482262734888428</v>
      </c>
      <c r="U111" s="255">
        <f t="shared" si="68"/>
        <v>0.20160311136681175</v>
      </c>
      <c r="V111" s="255">
        <f t="shared" si="82"/>
        <v>6.5218337830700301E-2</v>
      </c>
      <c r="W111" s="255">
        <f t="array" ref="W111">IFERROR(AVERAGE(IF(ISERROR(X111:AG111),"",X111:AG111)),"")</f>
        <v>0.44397399964219675</v>
      </c>
      <c r="X111" s="255">
        <f t="shared" si="83"/>
        <v>0.44397399964219675</v>
      </c>
      <c r="Y111" s="255" t="e">
        <f t="shared" si="84"/>
        <v>#N/A</v>
      </c>
      <c r="Z111" s="255" t="e">
        <f t="shared" si="85"/>
        <v>#N/A</v>
      </c>
      <c r="AA111" s="255" t="e">
        <f t="shared" si="86"/>
        <v>#N/A</v>
      </c>
      <c r="AB111" s="255" t="e">
        <f t="shared" si="87"/>
        <v>#N/A</v>
      </c>
      <c r="AC111" s="255" t="e">
        <f t="shared" si="88"/>
        <v>#N/A</v>
      </c>
      <c r="AD111" s="255" t="e">
        <f t="shared" si="89"/>
        <v>#N/A</v>
      </c>
      <c r="AE111" s="255" t="e">
        <f t="shared" si="90"/>
        <v>#N/A</v>
      </c>
      <c r="AF111" s="255" t="e">
        <f t="shared" si="91"/>
        <v>#N/A</v>
      </c>
      <c r="AG111" s="255" t="e">
        <f t="shared" si="92"/>
        <v>#N/A</v>
      </c>
      <c r="AI111" s="251">
        <f t="shared" si="65"/>
        <v>43553</v>
      </c>
      <c r="AJ111" s="718">
        <f>IF(OR($B111="No",AJ$6=""),"",IF(NOT(ISNUMBER(_xll.ciqfunctions.udf.CIQ(AJ$6,"IQ_TEV",$AI111,$I$2,$I$3))),"",_xll.ciqfunctions.udf.CIQ(AJ$6,"IQ_TEV",$AI111,$I$2,$I$3)))</f>
        <v>337757.30294999998</v>
      </c>
      <c r="AK111" s="718">
        <f>IF(OR($B111="No",AK$6=""),"",IF(NOT(ISNUMBER(_xll.ciqfunctions.udf.CIQ(AK$6,"IQ_TEV",$AI111,$I$2,$I$3))),"",_xll.ciqfunctions.udf.CIQ(AK$6,"IQ_TEV",$AI111,$I$2,$I$3)))</f>
        <v>106207.60543</v>
      </c>
      <c r="AL111" s="718" t="str">
        <f>IF(OR($B111="No",AL$6=""),"",IF(NOT(ISNUMBER(_xll.ciqfunctions.udf.CIQ(AL$6,"IQ_TEV",$AI111,$I$2,$I$3))),"",_xll.ciqfunctions.udf.CIQ(AL$6,"IQ_TEV",$AI111,$I$2,$I$3)))</f>
        <v/>
      </c>
      <c r="AM111" s="718" t="str">
        <f>IF(OR($B111="No",AM$6=""),"",IF(NOT(ISNUMBER(_xll.ciqfunctions.udf.CIQ(AM$6,"IQ_TEV",$AI111,$I$2,$I$3))),"",_xll.ciqfunctions.udf.CIQ(AM$6,"IQ_TEV",$AI111,$I$2,$I$3)))</f>
        <v/>
      </c>
      <c r="AN111" s="718" t="str">
        <f>IF(OR($B111="No",AN$6=""),"",IF(NOT(ISNUMBER(_xll.ciqfunctions.udf.CIQ(AN$6,"IQ_TEV",$AI111,$I$2,$I$3))),"",_xll.ciqfunctions.udf.CIQ(AN$6,"IQ_TEV",$AI111,$I$2,$I$3)))</f>
        <v/>
      </c>
      <c r="AO111" s="718" t="str">
        <f>IF(OR($B111="No",AO$6=""),"",IF(NOT(ISNUMBER(_xll.ciqfunctions.udf.CIQ(AO$6,"IQ_TEV",$AI111,$I$2,$I$3))),"",_xll.ciqfunctions.udf.CIQ(AO$6,"IQ_TEV",$AI111,$I$2,$I$3)))</f>
        <v/>
      </c>
      <c r="AP111" s="718" t="str">
        <f>IF(OR($B111="No",AP$6=""),"",IF(NOT(ISNUMBER(_xll.ciqfunctions.udf.CIQ(AP$6,"IQ_TEV",$AI111,$I$2,$I$3))),"",_xll.ciqfunctions.udf.CIQ(AP$6,"IQ_TEV",$AI111,$I$2,$I$3)))</f>
        <v/>
      </c>
      <c r="AQ111" s="718" t="str">
        <f>IF(OR($B111="No",AQ$6=""),"",IF(NOT(ISNUMBER(_xll.ciqfunctions.udf.CIQ(AQ$6,"IQ_TEV",$AI111,$I$2,$I$3))),"",_xll.ciqfunctions.udf.CIQ(AQ$6,"IQ_TEV",$AI111,$I$2,$I$3)))</f>
        <v/>
      </c>
      <c r="AR111" s="718" t="str">
        <f>IF(OR($B111="No",AR$6=""),"",IF(NOT(ISNUMBER(_xll.ciqfunctions.udf.CIQ(AR$6,"IQ_TEV",$AI111,$I$2,$I$3))),"",_xll.ciqfunctions.udf.CIQ(AR$6,"IQ_TEV",$AI111,$I$2,$I$3)))</f>
        <v/>
      </c>
      <c r="AS111" s="718" t="str">
        <f>IF(OR($B111="No",AS$6=""),"",IF(NOT(ISNUMBER(_xll.ciqfunctions.udf.CIQ(AS$6,"IQ_TEV",$AI111,$I$2,$I$3))),"",_xll.ciqfunctions.udf.CIQ(AS$6,"IQ_TEV",$AI111,$I$2,$I$3)))</f>
        <v/>
      </c>
      <c r="AT111" s="718" t="str">
        <f>IF(OR($B111="No",AT$6=""),"",IF(NOT(ISNUMBER(_xll.ciqfunctions.udf.CIQ(AT$6,"IQ_TEV",$AI111,$I$2,$I$3))),"",_xll.ciqfunctions.udf.CIQ(AT$6,"IQ_TEV",$AI111,$I$2,$I$3)))</f>
        <v/>
      </c>
      <c r="AV111" s="251">
        <f t="shared" si="69"/>
        <v>43553</v>
      </c>
      <c r="AW111" s="719">
        <f t="shared" si="70"/>
        <v>0.2938052687374435</v>
      </c>
      <c r="AX111" s="719">
        <f t="shared" si="71"/>
        <v>0.45520073641695546</v>
      </c>
      <c r="AY111" s="719" t="e">
        <f t="shared" si="72"/>
        <v>#N/A</v>
      </c>
      <c r="AZ111" s="719" t="e">
        <f t="shared" si="73"/>
        <v>#N/A</v>
      </c>
      <c r="BA111" s="719" t="e">
        <f t="shared" si="74"/>
        <v>#N/A</v>
      </c>
      <c r="BB111" s="719" t="e">
        <f t="shared" si="75"/>
        <v>#N/A</v>
      </c>
      <c r="BC111" s="719" t="e">
        <f t="shared" si="76"/>
        <v>#N/A</v>
      </c>
      <c r="BD111" s="719" t="e">
        <f t="shared" si="77"/>
        <v>#N/A</v>
      </c>
      <c r="BE111" s="719" t="e">
        <f t="shared" si="78"/>
        <v>#N/A</v>
      </c>
      <c r="BF111" s="719" t="e">
        <f t="shared" si="79"/>
        <v>#N/A</v>
      </c>
      <c r="BG111" s="719" t="e">
        <f t="shared" si="80"/>
        <v>#N/A</v>
      </c>
    </row>
    <row r="112" spans="1:59" ht="15" customHeight="1" x14ac:dyDescent="0.2">
      <c r="A112" s="251">
        <f t="shared" si="63"/>
        <v>43560</v>
      </c>
      <c r="B112" s="253" t="str">
        <f t="shared" si="81"/>
        <v>Yes</v>
      </c>
      <c r="C112" s="1033">
        <f>IF(C$6="","",IF(NOT(ISNUMBER(_xll.ciqfunctions.udf.CIQ(C$6,$F$2, $A112, $I$2, $I$3))),IF(C111=C$6,"",C111),_xll.ciqfunctions.udf.CIQ(C$6,$F$2, $A112, $I$2, $I$3)))</f>
        <v>98.83</v>
      </c>
      <c r="D112" s="1033">
        <f>IF(D$6="","",IF(NOT(ISNUMBER(_xll.ciqfunctions.udf.CIQ(D$6,$F$2, $A112, $I$2, $I$3))),IF(D111=D$6,"",D111),_xll.ciqfunctions.udf.CIQ(D$6,$F$2, $A112, $I$2, $I$3)))</f>
        <v>26424.98517</v>
      </c>
      <c r="E112" s="1033">
        <f>IF(E$6="","",IF(NOT(ISNUMBER(_xll.ciqfunctions.udf.CIQ(E$6,$F$2, $A112, $I$2, $I$3))),IF(E111=E$6,"",E111),_xll.ciqfunctions.udf.CIQ(E$6,$F$2, $A112, $I$2, $I$3)))</f>
        <v>8765.6355500000009</v>
      </c>
      <c r="F112" s="1033">
        <f>IF(F$6="","",IF(NOT(ISNUMBER(_xll.ciqfunctions.udf.CIQ(F$6,$F$2, $A112, $I$2, $I$3))),IF(F111=F$6,"",F111),_xll.ciqfunctions.udf.CIQ(F$6,$F$2, $A112, $I$2, $I$3)))</f>
        <v>4739.0085900000004</v>
      </c>
      <c r="G112" s="1033">
        <f>IF(G$6="","",IF(NOT(ISNUMBER(_xll.ciqfunctions.udf.CIQ(G$6,$F$2, $A112, $I$2, $I$3))),IF(G111=G$6,"",G111),_xll.ciqfunctions.udf.CIQ(G$6,$F$2, $A112, $I$2, $I$3)))</f>
        <v>245.87</v>
      </c>
      <c r="H112" s="1033" t="str">
        <f>IF(H$6="","",IF(NOT(ISNUMBER(_xll.ciqfunctions.udf.CIQ(H$6,$F$2, $A112, $I$2, $I$3))),IF(H111=H$6,"",H111),_xll.ciqfunctions.udf.CIQ(H$6,$F$2, $A112, $I$2, $I$3)))</f>
        <v/>
      </c>
      <c r="I112" s="1033" t="str">
        <f>IF(I$6="","",IF(NOT(ISNUMBER(_xll.ciqfunctions.udf.CIQ(I$6,$F$2, $A112, $I$2, $I$3))),IF(I111=I$6,"",I111),_xll.ciqfunctions.udf.CIQ(I$6,$F$2, $A112, $I$2, $I$3)))</f>
        <v/>
      </c>
      <c r="J112" s="1033" t="str">
        <f>IF(J$6="","",IF(NOT(ISNUMBER(_xll.ciqfunctions.udf.CIQ(J$6,$F$2, $A112, $I$2, $I$3))),IF(J111=J$6,"",J111),_xll.ciqfunctions.udf.CIQ(J$6,$F$2, $A112, $I$2, $I$3)))</f>
        <v/>
      </c>
      <c r="K112" s="1033" t="str">
        <f>IF(K$6="","",IF(NOT(ISNUMBER(_xll.ciqfunctions.udf.CIQ(K$6,$F$2, $A112, $I$2, $I$3))),IF(K111=K$6,"",K111),_xll.ciqfunctions.udf.CIQ(K$6,$F$2, $A112, $I$2, $I$3)))</f>
        <v/>
      </c>
      <c r="L112" s="254" t="str">
        <f>IF(L$6="","",IF(NOT(ISNUMBER(_xll.ciqfunctions.udf.CIQ(L$6,$F$2, $A112, $I$2, $I$3))),IF(L111=L$6,"",L111),_xll.ciqfunctions.udf.CIQ(L$6,$F$2, $A112, $I$2, $I$3)))</f>
        <v/>
      </c>
      <c r="M112" s="254" t="str">
        <f>IF(M$6="","",IF(NOT(ISNUMBER(_xll.ciqfunctions.udf.CIQ(M$6,$F$2, $A112, $I$2, $I$3))),IF(M111=M$6,"",M111),_xll.ciqfunctions.udf.CIQ(M$6,$F$2, $A112, $I$2, $I$3)))</f>
        <v/>
      </c>
      <c r="N112" s="254" t="str">
        <f>IF(N$6="","",IF(NOT(ISNUMBER(_xll.ciqfunctions.udf.CIQ(N$6,$F$2, $A112, $I$2, $I$3))),IF(N111=N$6,"",N111),_xll.ciqfunctions.udf.CIQ(N$6,$F$2, $A112, $I$2, $I$3)))</f>
        <v/>
      </c>
      <c r="O112" s="254" t="str">
        <f>IF(O$6="","",IF(NOT(ISNUMBER(_xll.ciqfunctions.udf.CIQ(O$6,$F$2, $A112, $I$2, $I$3))),IF(O111=O$6,"",O111),_xll.ciqfunctions.udf.CIQ(O$6,$F$2, $A112, $I$2, $I$3)))</f>
        <v/>
      </c>
      <c r="P112" s="254" t="str">
        <f>IF(P$6="","",IF(NOT(ISNUMBER(_xll.ciqfunctions.udf.CIQ(P$6,$F$2, $A112, $I$2, $I$3))),IF(P111=P$6,"",P111),_xll.ciqfunctions.udf.CIQ(P$6,$F$2, $A112, $I$2, $I$3)))</f>
        <v/>
      </c>
      <c r="Q112" s="254"/>
      <c r="R112" s="251">
        <f t="shared" si="64"/>
        <v>43560</v>
      </c>
      <c r="S112" s="255">
        <f t="shared" si="66"/>
        <v>0.37111542730299663</v>
      </c>
      <c r="T112" s="255">
        <f t="shared" si="67"/>
        <v>0.27884152684954144</v>
      </c>
      <c r="U112" s="255">
        <f t="shared" si="68"/>
        <v>0.22496573597220282</v>
      </c>
      <c r="V112" s="255">
        <f t="shared" si="82"/>
        <v>7.9565948301004052E-2</v>
      </c>
      <c r="W112" s="255">
        <f t="array" ref="W112">IFERROR(AVERAGE(IF(ISERROR(X112:AG112),"",X112:AG112)),"")</f>
        <v>0.46621742501043606</v>
      </c>
      <c r="X112" s="255">
        <f t="shared" si="83"/>
        <v>0.46621742501043606</v>
      </c>
      <c r="Y112" s="255" t="e">
        <f t="shared" si="84"/>
        <v>#N/A</v>
      </c>
      <c r="Z112" s="255" t="e">
        <f t="shared" si="85"/>
        <v>#N/A</v>
      </c>
      <c r="AA112" s="255" t="e">
        <f t="shared" si="86"/>
        <v>#N/A</v>
      </c>
      <c r="AB112" s="255" t="e">
        <f t="shared" si="87"/>
        <v>#N/A</v>
      </c>
      <c r="AC112" s="255" t="e">
        <f t="shared" si="88"/>
        <v>#N/A</v>
      </c>
      <c r="AD112" s="255" t="e">
        <f t="shared" si="89"/>
        <v>#N/A</v>
      </c>
      <c r="AE112" s="255" t="e">
        <f t="shared" si="90"/>
        <v>#N/A</v>
      </c>
      <c r="AF112" s="255" t="e">
        <f t="shared" si="91"/>
        <v>#N/A</v>
      </c>
      <c r="AG112" s="255" t="e">
        <f t="shared" si="92"/>
        <v>#N/A</v>
      </c>
      <c r="AI112" s="251">
        <f t="shared" si="65"/>
        <v>43560</v>
      </c>
      <c r="AJ112" s="718">
        <f>IF(OR($B112="No",AJ$6=""),"",IF(NOT(ISNUMBER(_xll.ciqfunctions.udf.CIQ(AJ$6,"IQ_TEV",$AI112,$I$2,$I$3))),"",_xll.ciqfunctions.udf.CIQ(AJ$6,"IQ_TEV",$AI112,$I$2,$I$3)))</f>
        <v>341487.89244999998</v>
      </c>
      <c r="AK112" s="718">
        <f>IF(OR($B112="No",AK$6=""),"",IF(NOT(ISNUMBER(_xll.ciqfunctions.udf.CIQ(AK$6,"IQ_TEV",$AI112,$I$2,$I$3))),"",_xll.ciqfunctions.udf.CIQ(AK$6,"IQ_TEV",$AI112,$I$2,$I$3)))</f>
        <v>107848.35879</v>
      </c>
      <c r="AL112" s="718" t="str">
        <f>IF(OR($B112="No",AL$6=""),"",IF(NOT(ISNUMBER(_xll.ciqfunctions.udf.CIQ(AL$6,"IQ_TEV",$AI112,$I$2,$I$3))),"",_xll.ciqfunctions.udf.CIQ(AL$6,"IQ_TEV",$AI112,$I$2,$I$3)))</f>
        <v/>
      </c>
      <c r="AM112" s="718" t="str">
        <f>IF(OR($B112="No",AM$6=""),"",IF(NOT(ISNUMBER(_xll.ciqfunctions.udf.CIQ(AM$6,"IQ_TEV",$AI112,$I$2,$I$3))),"",_xll.ciqfunctions.udf.CIQ(AM$6,"IQ_TEV",$AI112,$I$2,$I$3)))</f>
        <v/>
      </c>
      <c r="AN112" s="718" t="str">
        <f>IF(OR($B112="No",AN$6=""),"",IF(NOT(ISNUMBER(_xll.ciqfunctions.udf.CIQ(AN$6,"IQ_TEV",$AI112,$I$2,$I$3))),"",_xll.ciqfunctions.udf.CIQ(AN$6,"IQ_TEV",$AI112,$I$2,$I$3)))</f>
        <v/>
      </c>
      <c r="AO112" s="718" t="str">
        <f>IF(OR($B112="No",AO$6=""),"",IF(NOT(ISNUMBER(_xll.ciqfunctions.udf.CIQ(AO$6,"IQ_TEV",$AI112,$I$2,$I$3))),"",_xll.ciqfunctions.udf.CIQ(AO$6,"IQ_TEV",$AI112,$I$2,$I$3)))</f>
        <v/>
      </c>
      <c r="AP112" s="718" t="str">
        <f>IF(OR($B112="No",AP$6=""),"",IF(NOT(ISNUMBER(_xll.ciqfunctions.udf.CIQ(AP$6,"IQ_TEV",$AI112,$I$2,$I$3))),"",_xll.ciqfunctions.udf.CIQ(AP$6,"IQ_TEV",$AI112,$I$2,$I$3)))</f>
        <v/>
      </c>
      <c r="AQ112" s="718" t="str">
        <f>IF(OR($B112="No",AQ$6=""),"",IF(NOT(ISNUMBER(_xll.ciqfunctions.udf.CIQ(AQ$6,"IQ_TEV",$AI112,$I$2,$I$3))),"",_xll.ciqfunctions.udf.CIQ(AQ$6,"IQ_TEV",$AI112,$I$2,$I$3)))</f>
        <v/>
      </c>
      <c r="AR112" s="718" t="str">
        <f>IF(OR($B112="No",AR$6=""),"",IF(NOT(ISNUMBER(_xll.ciqfunctions.udf.CIQ(AR$6,"IQ_TEV",$AI112,$I$2,$I$3))),"",_xll.ciqfunctions.udf.CIQ(AR$6,"IQ_TEV",$AI112,$I$2,$I$3)))</f>
        <v/>
      </c>
      <c r="AS112" s="718" t="str">
        <f>IF(OR($B112="No",AS$6=""),"",IF(NOT(ISNUMBER(_xll.ciqfunctions.udf.CIQ(AS$6,"IQ_TEV",$AI112,$I$2,$I$3))),"",_xll.ciqfunctions.udf.CIQ(AS$6,"IQ_TEV",$AI112,$I$2,$I$3)))</f>
        <v/>
      </c>
      <c r="AT112" s="718" t="str">
        <f>IF(OR($B112="No",AT$6=""),"",IF(NOT(ISNUMBER(_xll.ciqfunctions.udf.CIQ(AT$6,"IQ_TEV",$AI112,$I$2,$I$3))),"",_xll.ciqfunctions.udf.CIQ(AT$6,"IQ_TEV",$AI112,$I$2,$I$3)))</f>
        <v/>
      </c>
      <c r="AV112" s="251">
        <f t="shared" si="69"/>
        <v>43560</v>
      </c>
      <c r="AW112" s="719">
        <f t="shared" si="70"/>
        <v>0.30809557810585741</v>
      </c>
      <c r="AX112" s="719">
        <f t="shared" si="71"/>
        <v>0.47768147579605991</v>
      </c>
      <c r="AY112" s="719" t="e">
        <f t="shared" si="72"/>
        <v>#N/A</v>
      </c>
      <c r="AZ112" s="719" t="e">
        <f t="shared" si="73"/>
        <v>#N/A</v>
      </c>
      <c r="BA112" s="719" t="e">
        <f t="shared" si="74"/>
        <v>#N/A</v>
      </c>
      <c r="BB112" s="719" t="e">
        <f t="shared" si="75"/>
        <v>#N/A</v>
      </c>
      <c r="BC112" s="719" t="e">
        <f t="shared" si="76"/>
        <v>#N/A</v>
      </c>
      <c r="BD112" s="719" t="e">
        <f t="shared" si="77"/>
        <v>#N/A</v>
      </c>
      <c r="BE112" s="719" t="e">
        <f t="shared" si="78"/>
        <v>#N/A</v>
      </c>
      <c r="BF112" s="719" t="e">
        <f t="shared" si="79"/>
        <v>#N/A</v>
      </c>
      <c r="BG112" s="719" t="e">
        <f t="shared" si="80"/>
        <v>#N/A</v>
      </c>
    </row>
    <row r="113" spans="1:59" ht="15" customHeight="1" x14ac:dyDescent="0.2">
      <c r="A113" s="251">
        <f t="shared" si="63"/>
        <v>43567</v>
      </c>
      <c r="B113" s="253" t="str">
        <f t="shared" si="81"/>
        <v>Yes</v>
      </c>
      <c r="C113" s="1033">
        <f>IF(C$6="","",IF(NOT(ISNUMBER(_xll.ciqfunctions.udf.CIQ(C$6,$F$2, $A113, $I$2, $I$3))),IF(C112=C$6,"",C112),_xll.ciqfunctions.udf.CIQ(C$6,$F$2, $A113, $I$2, $I$3)))</f>
        <v>101.56</v>
      </c>
      <c r="D113" s="1033">
        <f>IF(D$6="","",IF(NOT(ISNUMBER(_xll.ciqfunctions.udf.CIQ(D$6,$F$2, $A113, $I$2, $I$3))),IF(D112=D$6,"",D112),_xll.ciqfunctions.udf.CIQ(D$6,$F$2, $A113, $I$2, $I$3)))</f>
        <v>26412.302530000001</v>
      </c>
      <c r="E113" s="1033">
        <f>IF(E$6="","",IF(NOT(ISNUMBER(_xll.ciqfunctions.udf.CIQ(E$6,$F$2, $A113, $I$2, $I$3))),IF(E112=E$6,"",E112),_xll.ciqfunctions.udf.CIQ(E$6,$F$2, $A113, $I$2, $I$3)))</f>
        <v>8807.0513300000002</v>
      </c>
      <c r="F113" s="1033">
        <f>IF(F$6="","",IF(NOT(ISNUMBER(_xll.ciqfunctions.udf.CIQ(F$6,$F$2, $A113, $I$2, $I$3))),IF(F112=F$6,"",F112),_xll.ciqfunctions.udf.CIQ(F$6,$F$2, $A113, $I$2, $I$3)))</f>
        <v>4693.8858899999996</v>
      </c>
      <c r="G113" s="1033">
        <f>IF(G$6="","",IF(NOT(ISNUMBER(_xll.ciqfunctions.udf.CIQ(G$6,$F$2, $A113, $I$2, $I$3))),IF(G112=G$6,"",G112),_xll.ciqfunctions.udf.CIQ(G$6,$F$2, $A113, $I$2, $I$3)))</f>
        <v>241.95</v>
      </c>
      <c r="H113" s="1033" t="str">
        <f>IF(H$6="","",IF(NOT(ISNUMBER(_xll.ciqfunctions.udf.CIQ(H$6,$F$2, $A113, $I$2, $I$3))),IF(H112=H$6,"",H112),_xll.ciqfunctions.udf.CIQ(H$6,$F$2, $A113, $I$2, $I$3)))</f>
        <v/>
      </c>
      <c r="I113" s="1033" t="str">
        <f>IF(I$6="","",IF(NOT(ISNUMBER(_xll.ciqfunctions.udf.CIQ(I$6,$F$2, $A113, $I$2, $I$3))),IF(I112=I$6,"",I112),_xll.ciqfunctions.udf.CIQ(I$6,$F$2, $A113, $I$2, $I$3)))</f>
        <v/>
      </c>
      <c r="J113" s="1033" t="str">
        <f>IF(J$6="","",IF(NOT(ISNUMBER(_xll.ciqfunctions.udf.CIQ(J$6,$F$2, $A113, $I$2, $I$3))),IF(J112=J$6,"",J112),_xll.ciqfunctions.udf.CIQ(J$6,$F$2, $A113, $I$2, $I$3)))</f>
        <v/>
      </c>
      <c r="K113" s="1033" t="str">
        <f>IF(K$6="","",IF(NOT(ISNUMBER(_xll.ciqfunctions.udf.CIQ(K$6,$F$2, $A113, $I$2, $I$3))),IF(K112=K$6,"",K112),_xll.ciqfunctions.udf.CIQ(K$6,$F$2, $A113, $I$2, $I$3)))</f>
        <v/>
      </c>
      <c r="L113" s="254" t="str">
        <f>IF(L$6="","",IF(NOT(ISNUMBER(_xll.ciqfunctions.udf.CIQ(L$6,$F$2, $A113, $I$2, $I$3))),IF(L112=L$6,"",L112),_xll.ciqfunctions.udf.CIQ(L$6,$F$2, $A113, $I$2, $I$3)))</f>
        <v/>
      </c>
      <c r="M113" s="254" t="str">
        <f>IF(M$6="","",IF(NOT(ISNUMBER(_xll.ciqfunctions.udf.CIQ(M$6,$F$2, $A113, $I$2, $I$3))),IF(M112=M$6,"",M112),_xll.ciqfunctions.udf.CIQ(M$6,$F$2, $A113, $I$2, $I$3)))</f>
        <v/>
      </c>
      <c r="N113" s="254" t="str">
        <f>IF(N$6="","",IF(NOT(ISNUMBER(_xll.ciqfunctions.udf.CIQ(N$6,$F$2, $A113, $I$2, $I$3))),IF(N112=N$6,"",N112),_xll.ciqfunctions.udf.CIQ(N$6,$F$2, $A113, $I$2, $I$3)))</f>
        <v/>
      </c>
      <c r="O113" s="254" t="str">
        <f>IF(O$6="","",IF(NOT(ISNUMBER(_xll.ciqfunctions.udf.CIQ(O$6,$F$2, $A113, $I$2, $I$3))),IF(O112=O$6,"",O112),_xll.ciqfunctions.udf.CIQ(O$6,$F$2, $A113, $I$2, $I$3)))</f>
        <v/>
      </c>
      <c r="P113" s="254" t="str">
        <f>IF(P$6="","",IF(NOT(ISNUMBER(_xll.ciqfunctions.udf.CIQ(P$6,$F$2, $A113, $I$2, $I$3))),IF(P112=P$6,"",P112),_xll.ciqfunctions.udf.CIQ(P$6,$F$2, $A113, $I$2, $I$3)))</f>
        <v/>
      </c>
      <c r="Q113" s="254"/>
      <c r="R113" s="251">
        <f t="shared" si="64"/>
        <v>43567</v>
      </c>
      <c r="S113" s="255">
        <f t="shared" si="66"/>
        <v>0.40899001109877919</v>
      </c>
      <c r="T113" s="255">
        <f t="shared" si="67"/>
        <v>0.27822774838958253</v>
      </c>
      <c r="U113" s="255">
        <f t="shared" si="68"/>
        <v>0.23075344082705063</v>
      </c>
      <c r="V113" s="255">
        <f t="shared" si="82"/>
        <v>6.9286808795286703E-2</v>
      </c>
      <c r="W113" s="255">
        <f t="array" ref="W113">IFERROR(AVERAGE(IF(ISERROR(X113:AG113),"",X113:AG113)),"")</f>
        <v>0.44284095652692468</v>
      </c>
      <c r="X113" s="255">
        <f t="shared" si="83"/>
        <v>0.44284095652692468</v>
      </c>
      <c r="Y113" s="255" t="e">
        <f t="shared" si="84"/>
        <v>#N/A</v>
      </c>
      <c r="Z113" s="255" t="e">
        <f t="shared" si="85"/>
        <v>#N/A</v>
      </c>
      <c r="AA113" s="255" t="e">
        <f t="shared" si="86"/>
        <v>#N/A</v>
      </c>
      <c r="AB113" s="255" t="e">
        <f t="shared" si="87"/>
        <v>#N/A</v>
      </c>
      <c r="AC113" s="255" t="e">
        <f t="shared" si="88"/>
        <v>#N/A</v>
      </c>
      <c r="AD113" s="255" t="e">
        <f t="shared" si="89"/>
        <v>#N/A</v>
      </c>
      <c r="AE113" s="255" t="e">
        <f t="shared" si="90"/>
        <v>#N/A</v>
      </c>
      <c r="AF113" s="255" t="e">
        <f t="shared" si="91"/>
        <v>#N/A</v>
      </c>
      <c r="AG113" s="255" t="e">
        <f t="shared" si="92"/>
        <v>#N/A</v>
      </c>
      <c r="AI113" s="251">
        <f t="shared" si="65"/>
        <v>43567</v>
      </c>
      <c r="AJ113" s="718">
        <f>IF(OR($B113="No",AJ$6=""),"",IF(NOT(ISNUMBER(_xll.ciqfunctions.udf.CIQ(AJ$6,"IQ_TEV",$AI113,$I$2,$I$3))),"",_xll.ciqfunctions.udf.CIQ(AJ$6,"IQ_TEV",$AI113,$I$2,$I$3)))</f>
        <v>349322.13040000002</v>
      </c>
      <c r="AK113" s="718">
        <f>IF(OR($B113="No",AK$6=""),"",IF(NOT(ISNUMBER(_xll.ciqfunctions.udf.CIQ(AK$6,"IQ_TEV",$AI113,$I$2,$I$3))),"",_xll.ciqfunctions.udf.CIQ(AK$6,"IQ_TEV",$AI113,$I$2,$I$3)))</f>
        <v>106124.02817999999</v>
      </c>
      <c r="AL113" s="718" t="str">
        <f>IF(OR($B113="No",AL$6=""),"",IF(NOT(ISNUMBER(_xll.ciqfunctions.udf.CIQ(AL$6,"IQ_TEV",$AI113,$I$2,$I$3))),"",_xll.ciqfunctions.udf.CIQ(AL$6,"IQ_TEV",$AI113,$I$2,$I$3)))</f>
        <v/>
      </c>
      <c r="AM113" s="718" t="str">
        <f>IF(OR($B113="No",AM$6=""),"",IF(NOT(ISNUMBER(_xll.ciqfunctions.udf.CIQ(AM$6,"IQ_TEV",$AI113,$I$2,$I$3))),"",_xll.ciqfunctions.udf.CIQ(AM$6,"IQ_TEV",$AI113,$I$2,$I$3)))</f>
        <v/>
      </c>
      <c r="AN113" s="718" t="str">
        <f>IF(OR($B113="No",AN$6=""),"",IF(NOT(ISNUMBER(_xll.ciqfunctions.udf.CIQ(AN$6,"IQ_TEV",$AI113,$I$2,$I$3))),"",_xll.ciqfunctions.udf.CIQ(AN$6,"IQ_TEV",$AI113,$I$2,$I$3)))</f>
        <v/>
      </c>
      <c r="AO113" s="718" t="str">
        <f>IF(OR($B113="No",AO$6=""),"",IF(NOT(ISNUMBER(_xll.ciqfunctions.udf.CIQ(AO$6,"IQ_TEV",$AI113,$I$2,$I$3))),"",_xll.ciqfunctions.udf.CIQ(AO$6,"IQ_TEV",$AI113,$I$2,$I$3)))</f>
        <v/>
      </c>
      <c r="AP113" s="718" t="str">
        <f>IF(OR($B113="No",AP$6=""),"",IF(NOT(ISNUMBER(_xll.ciqfunctions.udf.CIQ(AP$6,"IQ_TEV",$AI113,$I$2,$I$3))),"",_xll.ciqfunctions.udf.CIQ(AP$6,"IQ_TEV",$AI113,$I$2,$I$3)))</f>
        <v/>
      </c>
      <c r="AQ113" s="718" t="str">
        <f>IF(OR($B113="No",AQ$6=""),"",IF(NOT(ISNUMBER(_xll.ciqfunctions.udf.CIQ(AQ$6,"IQ_TEV",$AI113,$I$2,$I$3))),"",_xll.ciqfunctions.udf.CIQ(AQ$6,"IQ_TEV",$AI113,$I$2,$I$3)))</f>
        <v/>
      </c>
      <c r="AR113" s="718" t="str">
        <f>IF(OR($B113="No",AR$6=""),"",IF(NOT(ISNUMBER(_xll.ciqfunctions.udf.CIQ(AR$6,"IQ_TEV",$AI113,$I$2,$I$3))),"",_xll.ciqfunctions.udf.CIQ(AR$6,"IQ_TEV",$AI113,$I$2,$I$3)))</f>
        <v/>
      </c>
      <c r="AS113" s="718" t="str">
        <f>IF(OR($B113="No",AS$6=""),"",IF(NOT(ISNUMBER(_xll.ciqfunctions.udf.CIQ(AS$6,"IQ_TEV",$AI113,$I$2,$I$3))),"",_xll.ciqfunctions.udf.CIQ(AS$6,"IQ_TEV",$AI113,$I$2,$I$3)))</f>
        <v/>
      </c>
      <c r="AT113" s="718" t="str">
        <f>IF(OR($B113="No",AT$6=""),"",IF(NOT(ISNUMBER(_xll.ciqfunctions.udf.CIQ(AT$6,"IQ_TEV",$AI113,$I$2,$I$3))),"",_xll.ciqfunctions.udf.CIQ(AT$6,"IQ_TEV",$AI113,$I$2,$I$3)))</f>
        <v/>
      </c>
      <c r="AV113" s="251">
        <f t="shared" si="69"/>
        <v>43567</v>
      </c>
      <c r="AW113" s="719">
        <f t="shared" si="70"/>
        <v>0.33810522777952667</v>
      </c>
      <c r="AX113" s="719">
        <f t="shared" si="71"/>
        <v>0.45405560490537211</v>
      </c>
      <c r="AY113" s="719" t="e">
        <f t="shared" si="72"/>
        <v>#N/A</v>
      </c>
      <c r="AZ113" s="719" t="e">
        <f t="shared" si="73"/>
        <v>#N/A</v>
      </c>
      <c r="BA113" s="719" t="e">
        <f t="shared" si="74"/>
        <v>#N/A</v>
      </c>
      <c r="BB113" s="719" t="e">
        <f t="shared" si="75"/>
        <v>#N/A</v>
      </c>
      <c r="BC113" s="719" t="e">
        <f t="shared" si="76"/>
        <v>#N/A</v>
      </c>
      <c r="BD113" s="719" t="e">
        <f t="shared" si="77"/>
        <v>#N/A</v>
      </c>
      <c r="BE113" s="719" t="e">
        <f t="shared" si="78"/>
        <v>#N/A</v>
      </c>
      <c r="BF113" s="719" t="e">
        <f t="shared" si="79"/>
        <v>#N/A</v>
      </c>
      <c r="BG113" s="719" t="e">
        <f t="shared" si="80"/>
        <v>#N/A</v>
      </c>
    </row>
    <row r="114" spans="1:59" ht="15" customHeight="1" x14ac:dyDescent="0.2">
      <c r="A114" s="251">
        <f t="shared" si="63"/>
        <v>43574</v>
      </c>
      <c r="B114" s="253" t="str">
        <f t="shared" si="81"/>
        <v>Yes</v>
      </c>
      <c r="C114" s="1033">
        <f>IF(C$6="","",IF(NOT(ISNUMBER(_xll.ciqfunctions.udf.CIQ(C$6,$F$2, $A114, $I$2, $I$3))),IF(C113=C$6,"",C113),_xll.ciqfunctions.udf.CIQ(C$6,$F$2, $A114, $I$2, $I$3)))</f>
        <v>103.18</v>
      </c>
      <c r="D114" s="1033">
        <f>IF(D$6="","",IF(NOT(ISNUMBER(_xll.ciqfunctions.udf.CIQ(D$6,$F$2, $A114, $I$2, $I$3))),IF(D113=D$6,"",D113),_xll.ciqfunctions.udf.CIQ(D$6,$F$2, $A114, $I$2, $I$3)))</f>
        <v>26559.54319</v>
      </c>
      <c r="E114" s="1033">
        <f>IF(E$6="","",IF(NOT(ISNUMBER(_xll.ciqfunctions.udf.CIQ(E$6,$F$2, $A114, $I$2, $I$3))),IF(E113=E$6,"",E113),_xll.ciqfunctions.udf.CIQ(E$6,$F$2, $A114, $I$2, $I$3)))</f>
        <v>8830.4174000000003</v>
      </c>
      <c r="F114" s="1033">
        <f>IF(F$6="","",IF(NOT(ISNUMBER(_xll.ciqfunctions.udf.CIQ(F$6,$F$2, $A114, $I$2, $I$3))),IF(F113=F$6,"",F113),_xll.ciqfunctions.udf.CIQ(F$6,$F$2, $A114, $I$2, $I$3)))</f>
        <v>4705.4300300000004</v>
      </c>
      <c r="G114" s="1033">
        <f>IF(G$6="","",IF(NOT(ISNUMBER(_xll.ciqfunctions.udf.CIQ(G$6,$F$2, $A114, $I$2, $I$3))),IF(G113=G$6,"",G113),_xll.ciqfunctions.udf.CIQ(G$6,$F$2, $A114, $I$2, $I$3)))</f>
        <v>245.81</v>
      </c>
      <c r="H114" s="1033" t="str">
        <f>IF(H$6="","",IF(NOT(ISNUMBER(_xll.ciqfunctions.udf.CIQ(H$6,$F$2, $A114, $I$2, $I$3))),IF(H113=H$6,"",H113),_xll.ciqfunctions.udf.CIQ(H$6,$F$2, $A114, $I$2, $I$3)))</f>
        <v/>
      </c>
      <c r="I114" s="1033" t="str">
        <f>IF(I$6="","",IF(NOT(ISNUMBER(_xll.ciqfunctions.udf.CIQ(I$6,$F$2, $A114, $I$2, $I$3))),IF(I113=I$6,"",I113),_xll.ciqfunctions.udf.CIQ(I$6,$F$2, $A114, $I$2, $I$3)))</f>
        <v/>
      </c>
      <c r="J114" s="1033" t="str">
        <f>IF(J$6="","",IF(NOT(ISNUMBER(_xll.ciqfunctions.udf.CIQ(J$6,$F$2, $A114, $I$2, $I$3))),IF(J113=J$6,"",J113),_xll.ciqfunctions.udf.CIQ(J$6,$F$2, $A114, $I$2, $I$3)))</f>
        <v/>
      </c>
      <c r="K114" s="1033" t="str">
        <f>IF(K$6="","",IF(NOT(ISNUMBER(_xll.ciqfunctions.udf.CIQ(K$6,$F$2, $A114, $I$2, $I$3))),IF(K113=K$6,"",K113),_xll.ciqfunctions.udf.CIQ(K$6,$F$2, $A114, $I$2, $I$3)))</f>
        <v/>
      </c>
      <c r="L114" s="254" t="str">
        <f>IF(L$6="","",IF(NOT(ISNUMBER(_xll.ciqfunctions.udf.CIQ(L$6,$F$2, $A114, $I$2, $I$3))),IF(L113=L$6,"",L113),_xll.ciqfunctions.udf.CIQ(L$6,$F$2, $A114, $I$2, $I$3)))</f>
        <v/>
      </c>
      <c r="M114" s="254" t="str">
        <f>IF(M$6="","",IF(NOT(ISNUMBER(_xll.ciqfunctions.udf.CIQ(M$6,$F$2, $A114, $I$2, $I$3))),IF(M113=M$6,"",M113),_xll.ciqfunctions.udf.CIQ(M$6,$F$2, $A114, $I$2, $I$3)))</f>
        <v/>
      </c>
      <c r="N114" s="254" t="str">
        <f>IF(N$6="","",IF(NOT(ISNUMBER(_xll.ciqfunctions.udf.CIQ(N$6,$F$2, $A114, $I$2, $I$3))),IF(N113=N$6,"",N113),_xll.ciqfunctions.udf.CIQ(N$6,$F$2, $A114, $I$2, $I$3)))</f>
        <v/>
      </c>
      <c r="O114" s="254" t="str">
        <f>IF(O$6="","",IF(NOT(ISNUMBER(_xll.ciqfunctions.udf.CIQ(O$6,$F$2, $A114, $I$2, $I$3))),IF(O113=O$6,"",O113),_xll.ciqfunctions.udf.CIQ(O$6,$F$2, $A114, $I$2, $I$3)))</f>
        <v/>
      </c>
      <c r="P114" s="254" t="str">
        <f>IF(P$6="","",IF(NOT(ISNUMBER(_xll.ciqfunctions.udf.CIQ(P$6,$F$2, $A114, $I$2, $I$3))),IF(P113=P$6,"",P113),_xll.ciqfunctions.udf.CIQ(P$6,$F$2, $A114, $I$2, $I$3)))</f>
        <v/>
      </c>
      <c r="Q114" s="254"/>
      <c r="R114" s="251">
        <f t="shared" si="64"/>
        <v>43574</v>
      </c>
      <c r="S114" s="255">
        <f t="shared" si="66"/>
        <v>0.43146503884572707</v>
      </c>
      <c r="T114" s="255">
        <f t="shared" si="67"/>
        <v>0.28535348447750675</v>
      </c>
      <c r="U114" s="255">
        <f t="shared" si="68"/>
        <v>0.23401876425637447</v>
      </c>
      <c r="V114" s="255">
        <f t="shared" si="82"/>
        <v>7.191661209902378E-2</v>
      </c>
      <c r="W114" s="255">
        <f t="array" ref="W114">IFERROR(AVERAGE(IF(ISERROR(X114:AG114),"",X114:AG114)),"")</f>
        <v>0.46585962192140262</v>
      </c>
      <c r="X114" s="255">
        <f t="shared" si="83"/>
        <v>0.46585962192140262</v>
      </c>
      <c r="Y114" s="255" t="e">
        <f t="shared" si="84"/>
        <v>#N/A</v>
      </c>
      <c r="Z114" s="255" t="e">
        <f t="shared" si="85"/>
        <v>#N/A</v>
      </c>
      <c r="AA114" s="255" t="e">
        <f t="shared" si="86"/>
        <v>#N/A</v>
      </c>
      <c r="AB114" s="255" t="e">
        <f t="shared" si="87"/>
        <v>#N/A</v>
      </c>
      <c r="AC114" s="255" t="e">
        <f t="shared" si="88"/>
        <v>#N/A</v>
      </c>
      <c r="AD114" s="255" t="e">
        <f t="shared" si="89"/>
        <v>#N/A</v>
      </c>
      <c r="AE114" s="255" t="e">
        <f t="shared" si="90"/>
        <v>#N/A</v>
      </c>
      <c r="AF114" s="255" t="e">
        <f t="shared" si="91"/>
        <v>#N/A</v>
      </c>
      <c r="AG114" s="255" t="e">
        <f t="shared" si="92"/>
        <v>#N/A</v>
      </c>
      <c r="AI114" s="251">
        <f t="shared" si="65"/>
        <v>43574</v>
      </c>
      <c r="AJ114" s="718">
        <f>IF(OR($B114="No",AJ$6=""),"",IF(NOT(ISNUMBER(_xll.ciqfunctions.udf.CIQ(AJ$6,"IQ_TEV",$AI114,$I$2,$I$3))),"",_xll.ciqfunctions.udf.CIQ(AJ$6,"IQ_TEV",$AI114,$I$2,$I$3)))</f>
        <v>353971.01884999999</v>
      </c>
      <c r="AK114" s="718">
        <f>IF(OR($B114="No",AK$6=""),"",IF(NOT(ISNUMBER(_xll.ciqfunctions.udf.CIQ(AK$6,"IQ_TEV",$AI114,$I$2,$I$3))),"",_xll.ciqfunctions.udf.CIQ(AK$6,"IQ_TEV",$AI114,$I$2,$I$3)))</f>
        <v>107821.96597</v>
      </c>
      <c r="AL114" s="718" t="str">
        <f>IF(OR($B114="No",AL$6=""),"",IF(NOT(ISNUMBER(_xll.ciqfunctions.udf.CIQ(AL$6,"IQ_TEV",$AI114,$I$2,$I$3))),"",_xll.ciqfunctions.udf.CIQ(AL$6,"IQ_TEV",$AI114,$I$2,$I$3)))</f>
        <v/>
      </c>
      <c r="AM114" s="718" t="str">
        <f>IF(OR($B114="No",AM$6=""),"",IF(NOT(ISNUMBER(_xll.ciqfunctions.udf.CIQ(AM$6,"IQ_TEV",$AI114,$I$2,$I$3))),"",_xll.ciqfunctions.udf.CIQ(AM$6,"IQ_TEV",$AI114,$I$2,$I$3)))</f>
        <v/>
      </c>
      <c r="AN114" s="718" t="str">
        <f>IF(OR($B114="No",AN$6=""),"",IF(NOT(ISNUMBER(_xll.ciqfunctions.udf.CIQ(AN$6,"IQ_TEV",$AI114,$I$2,$I$3))),"",_xll.ciqfunctions.udf.CIQ(AN$6,"IQ_TEV",$AI114,$I$2,$I$3)))</f>
        <v/>
      </c>
      <c r="AO114" s="718" t="str">
        <f>IF(OR($B114="No",AO$6=""),"",IF(NOT(ISNUMBER(_xll.ciqfunctions.udf.CIQ(AO$6,"IQ_TEV",$AI114,$I$2,$I$3))),"",_xll.ciqfunctions.udf.CIQ(AO$6,"IQ_TEV",$AI114,$I$2,$I$3)))</f>
        <v/>
      </c>
      <c r="AP114" s="718" t="str">
        <f>IF(OR($B114="No",AP$6=""),"",IF(NOT(ISNUMBER(_xll.ciqfunctions.udf.CIQ(AP$6,"IQ_TEV",$AI114,$I$2,$I$3))),"",_xll.ciqfunctions.udf.CIQ(AP$6,"IQ_TEV",$AI114,$I$2,$I$3)))</f>
        <v/>
      </c>
      <c r="AQ114" s="718" t="str">
        <f>IF(OR($B114="No",AQ$6=""),"",IF(NOT(ISNUMBER(_xll.ciqfunctions.udf.CIQ(AQ$6,"IQ_TEV",$AI114,$I$2,$I$3))),"",_xll.ciqfunctions.udf.CIQ(AQ$6,"IQ_TEV",$AI114,$I$2,$I$3)))</f>
        <v/>
      </c>
      <c r="AR114" s="718" t="str">
        <f>IF(OR($B114="No",AR$6=""),"",IF(NOT(ISNUMBER(_xll.ciqfunctions.udf.CIQ(AR$6,"IQ_TEV",$AI114,$I$2,$I$3))),"",_xll.ciqfunctions.udf.CIQ(AR$6,"IQ_TEV",$AI114,$I$2,$I$3)))</f>
        <v/>
      </c>
      <c r="AS114" s="718" t="str">
        <f>IF(OR($B114="No",AS$6=""),"",IF(NOT(ISNUMBER(_xll.ciqfunctions.udf.CIQ(AS$6,"IQ_TEV",$AI114,$I$2,$I$3))),"",_xll.ciqfunctions.udf.CIQ(AS$6,"IQ_TEV",$AI114,$I$2,$I$3)))</f>
        <v/>
      </c>
      <c r="AT114" s="718" t="str">
        <f>IF(OR($B114="No",AT$6=""),"",IF(NOT(ISNUMBER(_xll.ciqfunctions.udf.CIQ(AT$6,"IQ_TEV",$AI114,$I$2,$I$3))),"",_xll.ciqfunctions.udf.CIQ(AT$6,"IQ_TEV",$AI114,$I$2,$I$3)))</f>
        <v/>
      </c>
      <c r="AV114" s="251">
        <f t="shared" si="69"/>
        <v>43574</v>
      </c>
      <c r="AW114" s="719">
        <f t="shared" si="70"/>
        <v>0.35591315174697091</v>
      </c>
      <c r="AX114" s="719">
        <f t="shared" si="71"/>
        <v>0.4773198552610276</v>
      </c>
      <c r="AY114" s="719" t="e">
        <f t="shared" si="72"/>
        <v>#N/A</v>
      </c>
      <c r="AZ114" s="719" t="e">
        <f t="shared" si="73"/>
        <v>#N/A</v>
      </c>
      <c r="BA114" s="719" t="e">
        <f t="shared" si="74"/>
        <v>#N/A</v>
      </c>
      <c r="BB114" s="719" t="e">
        <f t="shared" si="75"/>
        <v>#N/A</v>
      </c>
      <c r="BC114" s="719" t="e">
        <f t="shared" si="76"/>
        <v>#N/A</v>
      </c>
      <c r="BD114" s="719" t="e">
        <f t="shared" si="77"/>
        <v>#N/A</v>
      </c>
      <c r="BE114" s="719" t="e">
        <f t="shared" si="78"/>
        <v>#N/A</v>
      </c>
      <c r="BF114" s="719" t="e">
        <f t="shared" si="79"/>
        <v>#N/A</v>
      </c>
      <c r="BG114" s="719" t="e">
        <f t="shared" si="80"/>
        <v>#N/A</v>
      </c>
    </row>
    <row r="115" spans="1:59" ht="15" customHeight="1" x14ac:dyDescent="0.2">
      <c r="A115" s="251">
        <f t="shared" si="63"/>
        <v>43581</v>
      </c>
      <c r="B115" s="253" t="str">
        <f t="shared" si="81"/>
        <v>Yes</v>
      </c>
      <c r="C115" s="1033">
        <f>IF(C$6="","",IF(NOT(ISNUMBER(_xll.ciqfunctions.udf.CIQ(C$6,$F$2, $A115, $I$2, $I$3))),IF(C114=C$6,"",C114),_xll.ciqfunctions.udf.CIQ(C$6,$F$2, $A115, $I$2, $I$3)))</f>
        <v>101.53</v>
      </c>
      <c r="D115" s="1033">
        <f>IF(D$6="","",IF(NOT(ISNUMBER(_xll.ciqfunctions.udf.CIQ(D$6,$F$2, $A115, $I$2, $I$3))),IF(D114=D$6,"",D114),_xll.ciqfunctions.udf.CIQ(D$6,$F$2, $A115, $I$2, $I$3)))</f>
        <v>26543.33383</v>
      </c>
      <c r="E115" s="1033">
        <f>IF(E$6="","",IF(NOT(ISNUMBER(_xll.ciqfunctions.udf.CIQ(E$6,$F$2, $A115, $I$2, $I$3))),IF(E114=E$6,"",E114),_xll.ciqfunctions.udf.CIQ(E$6,$F$2, $A115, $I$2, $I$3)))</f>
        <v>8823.7265599999992</v>
      </c>
      <c r="F115" s="1033">
        <f>IF(F$6="","",IF(NOT(ISNUMBER(_xll.ciqfunctions.udf.CIQ(F$6,$F$2, $A115, $I$2, $I$3))),IF(F114=F$6,"",F114),_xll.ciqfunctions.udf.CIQ(F$6,$F$2, $A115, $I$2, $I$3)))</f>
        <v>4753.5493399999996</v>
      </c>
      <c r="G115" s="1033">
        <f>IF(G$6="","",IF(NOT(ISNUMBER(_xll.ciqfunctions.udf.CIQ(G$6,$F$2, $A115, $I$2, $I$3))),IF(G114=G$6,"",G114),_xll.ciqfunctions.udf.CIQ(G$6,$F$2, $A115, $I$2, $I$3)))</f>
        <v>243.82</v>
      </c>
      <c r="H115" s="1033" t="str">
        <f>IF(H$6="","",IF(NOT(ISNUMBER(_xll.ciqfunctions.udf.CIQ(H$6,$F$2, $A115, $I$2, $I$3))),IF(H114=H$6,"",H114),_xll.ciqfunctions.udf.CIQ(H$6,$F$2, $A115, $I$2, $I$3)))</f>
        <v/>
      </c>
      <c r="I115" s="1033" t="str">
        <f>IF(I$6="","",IF(NOT(ISNUMBER(_xll.ciqfunctions.udf.CIQ(I$6,$F$2, $A115, $I$2, $I$3))),IF(I114=I$6,"",I114),_xll.ciqfunctions.udf.CIQ(I$6,$F$2, $A115, $I$2, $I$3)))</f>
        <v/>
      </c>
      <c r="J115" s="1033" t="str">
        <f>IF(J$6="","",IF(NOT(ISNUMBER(_xll.ciqfunctions.udf.CIQ(J$6,$F$2, $A115, $I$2, $I$3))),IF(J114=J$6,"",J114),_xll.ciqfunctions.udf.CIQ(J$6,$F$2, $A115, $I$2, $I$3)))</f>
        <v/>
      </c>
      <c r="K115" s="1033" t="str">
        <f>IF(K$6="","",IF(NOT(ISNUMBER(_xll.ciqfunctions.udf.CIQ(K$6,$F$2, $A115, $I$2, $I$3))),IF(K114=K$6,"",K114),_xll.ciqfunctions.udf.CIQ(K$6,$F$2, $A115, $I$2, $I$3)))</f>
        <v/>
      </c>
      <c r="L115" s="254" t="str">
        <f>IF(L$6="","",IF(NOT(ISNUMBER(_xll.ciqfunctions.udf.CIQ(L$6,$F$2, $A115, $I$2, $I$3))),IF(L114=L$6,"",L114),_xll.ciqfunctions.udf.CIQ(L$6,$F$2, $A115, $I$2, $I$3)))</f>
        <v/>
      </c>
      <c r="M115" s="254" t="str">
        <f>IF(M$6="","",IF(NOT(ISNUMBER(_xll.ciqfunctions.udf.CIQ(M$6,$F$2, $A115, $I$2, $I$3))),IF(M114=M$6,"",M114),_xll.ciqfunctions.udf.CIQ(M$6,$F$2, $A115, $I$2, $I$3)))</f>
        <v/>
      </c>
      <c r="N115" s="254" t="str">
        <f>IF(N$6="","",IF(NOT(ISNUMBER(_xll.ciqfunctions.udf.CIQ(N$6,$F$2, $A115, $I$2, $I$3))),IF(N114=N$6,"",N114),_xll.ciqfunctions.udf.CIQ(N$6,$F$2, $A115, $I$2, $I$3)))</f>
        <v/>
      </c>
      <c r="O115" s="254" t="str">
        <f>IF(O$6="","",IF(NOT(ISNUMBER(_xll.ciqfunctions.udf.CIQ(O$6,$F$2, $A115, $I$2, $I$3))),IF(O114=O$6,"",O114),_xll.ciqfunctions.udf.CIQ(O$6,$F$2, $A115, $I$2, $I$3)))</f>
        <v/>
      </c>
      <c r="P115" s="254" t="str">
        <f>IF(P$6="","",IF(NOT(ISNUMBER(_xll.ciqfunctions.udf.CIQ(P$6,$F$2, $A115, $I$2, $I$3))),IF(P114=P$6,"",P114),_xll.ciqfunctions.udf.CIQ(P$6,$F$2, $A115, $I$2, $I$3)))</f>
        <v/>
      </c>
      <c r="Q115" s="254"/>
      <c r="R115" s="251">
        <f t="shared" si="64"/>
        <v>43581</v>
      </c>
      <c r="S115" s="255">
        <f t="shared" si="66"/>
        <v>0.40857380688124301</v>
      </c>
      <c r="T115" s="255">
        <f t="shared" si="67"/>
        <v>0.284569029819981</v>
      </c>
      <c r="U115" s="255">
        <f t="shared" si="68"/>
        <v>0.23308374366395723</v>
      </c>
      <c r="V115" s="255">
        <f t="shared" si="82"/>
        <v>8.2878391877468705E-2</v>
      </c>
      <c r="W115" s="255">
        <f t="array" ref="W115">IFERROR(AVERAGE(IF(ISERROR(X115:AG115),"",X115:AG115)),"")</f>
        <v>0.45399248613513032</v>
      </c>
      <c r="X115" s="255">
        <f t="shared" si="83"/>
        <v>0.45399248613513032</v>
      </c>
      <c r="Y115" s="255" t="e">
        <f t="shared" si="84"/>
        <v>#N/A</v>
      </c>
      <c r="Z115" s="255" t="e">
        <f t="shared" si="85"/>
        <v>#N/A</v>
      </c>
      <c r="AA115" s="255" t="e">
        <f t="shared" si="86"/>
        <v>#N/A</v>
      </c>
      <c r="AB115" s="255" t="e">
        <f t="shared" si="87"/>
        <v>#N/A</v>
      </c>
      <c r="AC115" s="255" t="e">
        <f t="shared" si="88"/>
        <v>#N/A</v>
      </c>
      <c r="AD115" s="255" t="e">
        <f t="shared" si="89"/>
        <v>#N/A</v>
      </c>
      <c r="AE115" s="255" t="e">
        <f t="shared" si="90"/>
        <v>#N/A</v>
      </c>
      <c r="AF115" s="255" t="e">
        <f t="shared" si="91"/>
        <v>#N/A</v>
      </c>
      <c r="AG115" s="255" t="e">
        <f t="shared" si="92"/>
        <v>#N/A</v>
      </c>
      <c r="AI115" s="251">
        <f t="shared" si="65"/>
        <v>43581</v>
      </c>
      <c r="AJ115" s="718">
        <f>IF(OR($B115="No",AJ$6=""),"",IF(NOT(ISNUMBER(_xll.ciqfunctions.udf.CIQ(AJ$6,"IQ_TEV",$AI115,$I$2,$I$3))),"",_xll.ciqfunctions.udf.CIQ(AJ$6,"IQ_TEV",$AI115,$I$2,$I$3)))</f>
        <v>348976.16236000002</v>
      </c>
      <c r="AK115" s="718">
        <f>IF(OR($B115="No",AK$6=""),"",IF(NOT(ISNUMBER(_xll.ciqfunctions.udf.CIQ(AK$6,"IQ_TEV",$AI115,$I$2,$I$3))),"",_xll.ciqfunctions.udf.CIQ(AK$6,"IQ_TEV",$AI115,$I$2,$I$3)))</f>
        <v>106946.60425999999</v>
      </c>
      <c r="AL115" s="718" t="str">
        <f>IF(OR($B115="No",AL$6=""),"",IF(NOT(ISNUMBER(_xll.ciqfunctions.udf.CIQ(AL$6,"IQ_TEV",$AI115,$I$2,$I$3))),"",_xll.ciqfunctions.udf.CIQ(AL$6,"IQ_TEV",$AI115,$I$2,$I$3)))</f>
        <v/>
      </c>
      <c r="AM115" s="718" t="str">
        <f>IF(OR($B115="No",AM$6=""),"",IF(NOT(ISNUMBER(_xll.ciqfunctions.udf.CIQ(AM$6,"IQ_TEV",$AI115,$I$2,$I$3))),"",_xll.ciqfunctions.udf.CIQ(AM$6,"IQ_TEV",$AI115,$I$2,$I$3)))</f>
        <v/>
      </c>
      <c r="AN115" s="718" t="str">
        <f>IF(OR($B115="No",AN$6=""),"",IF(NOT(ISNUMBER(_xll.ciqfunctions.udf.CIQ(AN$6,"IQ_TEV",$AI115,$I$2,$I$3))),"",_xll.ciqfunctions.udf.CIQ(AN$6,"IQ_TEV",$AI115,$I$2,$I$3)))</f>
        <v/>
      </c>
      <c r="AO115" s="718" t="str">
        <f>IF(OR($B115="No",AO$6=""),"",IF(NOT(ISNUMBER(_xll.ciqfunctions.udf.CIQ(AO$6,"IQ_TEV",$AI115,$I$2,$I$3))),"",_xll.ciqfunctions.udf.CIQ(AO$6,"IQ_TEV",$AI115,$I$2,$I$3)))</f>
        <v/>
      </c>
      <c r="AP115" s="718" t="str">
        <f>IF(OR($B115="No",AP$6=""),"",IF(NOT(ISNUMBER(_xll.ciqfunctions.udf.CIQ(AP$6,"IQ_TEV",$AI115,$I$2,$I$3))),"",_xll.ciqfunctions.udf.CIQ(AP$6,"IQ_TEV",$AI115,$I$2,$I$3)))</f>
        <v/>
      </c>
      <c r="AQ115" s="718" t="str">
        <f>IF(OR($B115="No",AQ$6=""),"",IF(NOT(ISNUMBER(_xll.ciqfunctions.udf.CIQ(AQ$6,"IQ_TEV",$AI115,$I$2,$I$3))),"",_xll.ciqfunctions.udf.CIQ(AQ$6,"IQ_TEV",$AI115,$I$2,$I$3)))</f>
        <v/>
      </c>
      <c r="AR115" s="718" t="str">
        <f>IF(OR($B115="No",AR$6=""),"",IF(NOT(ISNUMBER(_xll.ciqfunctions.udf.CIQ(AR$6,"IQ_TEV",$AI115,$I$2,$I$3))),"",_xll.ciqfunctions.udf.CIQ(AR$6,"IQ_TEV",$AI115,$I$2,$I$3)))</f>
        <v/>
      </c>
      <c r="AS115" s="718" t="str">
        <f>IF(OR($B115="No",AS$6=""),"",IF(NOT(ISNUMBER(_xll.ciqfunctions.udf.CIQ(AS$6,"IQ_TEV",$AI115,$I$2,$I$3))),"",_xll.ciqfunctions.udf.CIQ(AS$6,"IQ_TEV",$AI115,$I$2,$I$3)))</f>
        <v/>
      </c>
      <c r="AT115" s="718" t="str">
        <f>IF(OR($B115="No",AT$6=""),"",IF(NOT(ISNUMBER(_xll.ciqfunctions.udf.CIQ(AT$6,"IQ_TEV",$AI115,$I$2,$I$3))),"",_xll.ciqfunctions.udf.CIQ(AT$6,"IQ_TEV",$AI115,$I$2,$I$3)))</f>
        <v/>
      </c>
      <c r="AV115" s="251">
        <f t="shared" si="69"/>
        <v>43581</v>
      </c>
      <c r="AW115" s="719">
        <f t="shared" si="70"/>
        <v>0.33677997065242016</v>
      </c>
      <c r="AX115" s="719">
        <f t="shared" si="71"/>
        <v>0.46532610961667453</v>
      </c>
      <c r="AY115" s="719" t="e">
        <f t="shared" si="72"/>
        <v>#N/A</v>
      </c>
      <c r="AZ115" s="719" t="e">
        <f t="shared" si="73"/>
        <v>#N/A</v>
      </c>
      <c r="BA115" s="719" t="e">
        <f t="shared" si="74"/>
        <v>#N/A</v>
      </c>
      <c r="BB115" s="719" t="e">
        <f t="shared" si="75"/>
        <v>#N/A</v>
      </c>
      <c r="BC115" s="719" t="e">
        <f t="shared" si="76"/>
        <v>#N/A</v>
      </c>
      <c r="BD115" s="719" t="e">
        <f t="shared" si="77"/>
        <v>#N/A</v>
      </c>
      <c r="BE115" s="719" t="e">
        <f t="shared" si="78"/>
        <v>#N/A</v>
      </c>
      <c r="BF115" s="719" t="e">
        <f t="shared" si="79"/>
        <v>#N/A</v>
      </c>
      <c r="BG115" s="719" t="e">
        <f t="shared" si="80"/>
        <v>#N/A</v>
      </c>
    </row>
    <row r="116" spans="1:59" ht="15" customHeight="1" x14ac:dyDescent="0.2">
      <c r="A116" s="251">
        <f t="shared" si="63"/>
        <v>43588</v>
      </c>
      <c r="B116" s="253" t="str">
        <f t="shared" si="81"/>
        <v>Yes</v>
      </c>
      <c r="C116" s="1033">
        <f>IF(C$6="","",IF(NOT(ISNUMBER(_xll.ciqfunctions.udf.CIQ(C$6,$F$2, $A116, $I$2, $I$3))),IF(C115=C$6,"",C115),_xll.ciqfunctions.udf.CIQ(C$6,$F$2, $A116, $I$2, $I$3)))</f>
        <v>102.08</v>
      </c>
      <c r="D116" s="1033">
        <f>IF(D$6="","",IF(NOT(ISNUMBER(_xll.ciqfunctions.udf.CIQ(D$6,$F$2, $A116, $I$2, $I$3))),IF(D115=D$6,"",D115),_xll.ciqfunctions.udf.CIQ(D$6,$F$2, $A116, $I$2, $I$3)))</f>
        <v>26504.946810000001</v>
      </c>
      <c r="E116" s="1033">
        <f>IF(E$6="","",IF(NOT(ISNUMBER(_xll.ciqfunctions.udf.CIQ(E$6,$F$2, $A116, $I$2, $I$3))),IF(E115=E$6,"",E115),_xll.ciqfunctions.udf.CIQ(E$6,$F$2, $A116, $I$2, $I$3)))</f>
        <v>8833.8406200000009</v>
      </c>
      <c r="F116" s="1033">
        <f>IF(F$6="","",IF(NOT(ISNUMBER(_xll.ciqfunctions.udf.CIQ(F$6,$F$2, $A116, $I$2, $I$3))),IF(F115=F$6,"",F115),_xll.ciqfunctions.udf.CIQ(F$6,$F$2, $A116, $I$2, $I$3)))</f>
        <v>4760.4809999999998</v>
      </c>
      <c r="G116" s="1033">
        <f>IF(G$6="","",IF(NOT(ISNUMBER(_xll.ciqfunctions.udf.CIQ(G$6,$F$2, $A116, $I$2, $I$3))),IF(G115=G$6,"",G115),_xll.ciqfunctions.udf.CIQ(G$6,$F$2, $A116, $I$2, $I$3)))</f>
        <v>244.62</v>
      </c>
      <c r="H116" s="1033" t="str">
        <f>IF(H$6="","",IF(NOT(ISNUMBER(_xll.ciqfunctions.udf.CIQ(H$6,$F$2, $A116, $I$2, $I$3))),IF(H115=H$6,"",H115),_xll.ciqfunctions.udf.CIQ(H$6,$F$2, $A116, $I$2, $I$3)))</f>
        <v/>
      </c>
      <c r="I116" s="1033" t="str">
        <f>IF(I$6="","",IF(NOT(ISNUMBER(_xll.ciqfunctions.udf.CIQ(I$6,$F$2, $A116, $I$2, $I$3))),IF(I115=I$6,"",I115),_xll.ciqfunctions.udf.CIQ(I$6,$F$2, $A116, $I$2, $I$3)))</f>
        <v/>
      </c>
      <c r="J116" s="1033" t="str">
        <f>IF(J$6="","",IF(NOT(ISNUMBER(_xll.ciqfunctions.udf.CIQ(J$6,$F$2, $A116, $I$2, $I$3))),IF(J115=J$6,"",J115),_xll.ciqfunctions.udf.CIQ(J$6,$F$2, $A116, $I$2, $I$3)))</f>
        <v/>
      </c>
      <c r="K116" s="1033" t="str">
        <f>IF(K$6="","",IF(NOT(ISNUMBER(_xll.ciqfunctions.udf.CIQ(K$6,$F$2, $A116, $I$2, $I$3))),IF(K115=K$6,"",K115),_xll.ciqfunctions.udf.CIQ(K$6,$F$2, $A116, $I$2, $I$3)))</f>
        <v/>
      </c>
      <c r="L116" s="254" t="str">
        <f>IF(L$6="","",IF(NOT(ISNUMBER(_xll.ciqfunctions.udf.CIQ(L$6,$F$2, $A116, $I$2, $I$3))),IF(L115=L$6,"",L115),_xll.ciqfunctions.udf.CIQ(L$6,$F$2, $A116, $I$2, $I$3)))</f>
        <v/>
      </c>
      <c r="M116" s="254" t="str">
        <f>IF(M$6="","",IF(NOT(ISNUMBER(_xll.ciqfunctions.udf.CIQ(M$6,$F$2, $A116, $I$2, $I$3))),IF(M115=M$6,"",M115),_xll.ciqfunctions.udf.CIQ(M$6,$F$2, $A116, $I$2, $I$3)))</f>
        <v/>
      </c>
      <c r="N116" s="254" t="str">
        <f>IF(N$6="","",IF(NOT(ISNUMBER(_xll.ciqfunctions.udf.CIQ(N$6,$F$2, $A116, $I$2, $I$3))),IF(N115=N$6,"",N115),_xll.ciqfunctions.udf.CIQ(N$6,$F$2, $A116, $I$2, $I$3)))</f>
        <v/>
      </c>
      <c r="O116" s="254" t="str">
        <f>IF(O$6="","",IF(NOT(ISNUMBER(_xll.ciqfunctions.udf.CIQ(O$6,$F$2, $A116, $I$2, $I$3))),IF(O115=O$6,"",O115),_xll.ciqfunctions.udf.CIQ(O$6,$F$2, $A116, $I$2, $I$3)))</f>
        <v/>
      </c>
      <c r="P116" s="254" t="str">
        <f>IF(P$6="","",IF(NOT(ISNUMBER(_xll.ciqfunctions.udf.CIQ(P$6,$F$2, $A116, $I$2, $I$3))),IF(P115=P$6,"",P115),_xll.ciqfunctions.udf.CIQ(P$6,$F$2, $A116, $I$2, $I$3)))</f>
        <v/>
      </c>
      <c r="Q116" s="254"/>
      <c r="R116" s="251">
        <f t="shared" si="64"/>
        <v>43588</v>
      </c>
      <c r="S116" s="255">
        <f t="shared" si="66"/>
        <v>0.41620421753607095</v>
      </c>
      <c r="T116" s="255">
        <f t="shared" si="67"/>
        <v>0.28271128363953157</v>
      </c>
      <c r="U116" s="255">
        <f t="shared" si="68"/>
        <v>0.23449714682005451</v>
      </c>
      <c r="V116" s="255">
        <f t="shared" si="82"/>
        <v>8.4457452974127545E-2</v>
      </c>
      <c r="W116" s="255">
        <f t="array" ref="W116">IFERROR(AVERAGE(IF(ISERROR(X116:AG116),"",X116:AG116)),"")</f>
        <v>0.45876319398890808</v>
      </c>
      <c r="X116" s="255">
        <f t="shared" si="83"/>
        <v>0.45876319398890808</v>
      </c>
      <c r="Y116" s="255" t="e">
        <f t="shared" si="84"/>
        <v>#N/A</v>
      </c>
      <c r="Z116" s="255" t="e">
        <f t="shared" si="85"/>
        <v>#N/A</v>
      </c>
      <c r="AA116" s="255" t="e">
        <f t="shared" si="86"/>
        <v>#N/A</v>
      </c>
      <c r="AB116" s="255" t="e">
        <f t="shared" si="87"/>
        <v>#N/A</v>
      </c>
      <c r="AC116" s="255" t="e">
        <f t="shared" si="88"/>
        <v>#N/A</v>
      </c>
      <c r="AD116" s="255" t="e">
        <f t="shared" si="89"/>
        <v>#N/A</v>
      </c>
      <c r="AE116" s="255" t="e">
        <f t="shared" si="90"/>
        <v>#N/A</v>
      </c>
      <c r="AF116" s="255" t="e">
        <f t="shared" si="91"/>
        <v>#N/A</v>
      </c>
      <c r="AG116" s="255" t="e">
        <f t="shared" si="92"/>
        <v>#N/A</v>
      </c>
      <c r="AI116" s="251">
        <f t="shared" si="65"/>
        <v>43588</v>
      </c>
      <c r="AJ116" s="718">
        <f>IF(OR($B116="No",AJ$6=""),"",IF(NOT(ISNUMBER(_xll.ciqfunctions.udf.CIQ(AJ$6,"IQ_TEV",$AI116,$I$2,$I$3))),"",_xll.ciqfunctions.udf.CIQ(AJ$6,"IQ_TEV",$AI116,$I$2,$I$3)))</f>
        <v>350553.0809</v>
      </c>
      <c r="AK116" s="718">
        <f>IF(OR($B116="No",AK$6=""),"",IF(NOT(ISNUMBER(_xll.ciqfunctions.udf.CIQ(AK$6,"IQ_TEV",$AI116,$I$2,$I$3))),"",_xll.ciqfunctions.udf.CIQ(AK$6,"IQ_TEV",$AI116,$I$2,$I$3)))</f>
        <v>107298.50847</v>
      </c>
      <c r="AL116" s="718" t="str">
        <f>IF(OR($B116="No",AL$6=""),"",IF(NOT(ISNUMBER(_xll.ciqfunctions.udf.CIQ(AL$6,"IQ_TEV",$AI116,$I$2,$I$3))),"",_xll.ciqfunctions.udf.CIQ(AL$6,"IQ_TEV",$AI116,$I$2,$I$3)))</f>
        <v/>
      </c>
      <c r="AM116" s="718" t="str">
        <f>IF(OR($B116="No",AM$6=""),"",IF(NOT(ISNUMBER(_xll.ciqfunctions.udf.CIQ(AM$6,"IQ_TEV",$AI116,$I$2,$I$3))),"",_xll.ciqfunctions.udf.CIQ(AM$6,"IQ_TEV",$AI116,$I$2,$I$3)))</f>
        <v/>
      </c>
      <c r="AN116" s="718" t="str">
        <f>IF(OR($B116="No",AN$6=""),"",IF(NOT(ISNUMBER(_xll.ciqfunctions.udf.CIQ(AN$6,"IQ_TEV",$AI116,$I$2,$I$3))),"",_xll.ciqfunctions.udf.CIQ(AN$6,"IQ_TEV",$AI116,$I$2,$I$3)))</f>
        <v/>
      </c>
      <c r="AO116" s="718" t="str">
        <f>IF(OR($B116="No",AO$6=""),"",IF(NOT(ISNUMBER(_xll.ciqfunctions.udf.CIQ(AO$6,"IQ_TEV",$AI116,$I$2,$I$3))),"",_xll.ciqfunctions.udf.CIQ(AO$6,"IQ_TEV",$AI116,$I$2,$I$3)))</f>
        <v/>
      </c>
      <c r="AP116" s="718" t="str">
        <f>IF(OR($B116="No",AP$6=""),"",IF(NOT(ISNUMBER(_xll.ciqfunctions.udf.CIQ(AP$6,"IQ_TEV",$AI116,$I$2,$I$3))),"",_xll.ciqfunctions.udf.CIQ(AP$6,"IQ_TEV",$AI116,$I$2,$I$3)))</f>
        <v/>
      </c>
      <c r="AQ116" s="718" t="str">
        <f>IF(OR($B116="No",AQ$6=""),"",IF(NOT(ISNUMBER(_xll.ciqfunctions.udf.CIQ(AQ$6,"IQ_TEV",$AI116,$I$2,$I$3))),"",_xll.ciqfunctions.udf.CIQ(AQ$6,"IQ_TEV",$AI116,$I$2,$I$3)))</f>
        <v/>
      </c>
      <c r="AR116" s="718" t="str">
        <f>IF(OR($B116="No",AR$6=""),"",IF(NOT(ISNUMBER(_xll.ciqfunctions.udf.CIQ(AR$6,"IQ_TEV",$AI116,$I$2,$I$3))),"",_xll.ciqfunctions.udf.CIQ(AR$6,"IQ_TEV",$AI116,$I$2,$I$3)))</f>
        <v/>
      </c>
      <c r="AS116" s="718" t="str">
        <f>IF(OR($B116="No",AS$6=""),"",IF(NOT(ISNUMBER(_xll.ciqfunctions.udf.CIQ(AS$6,"IQ_TEV",$AI116,$I$2,$I$3))),"",_xll.ciqfunctions.udf.CIQ(AS$6,"IQ_TEV",$AI116,$I$2,$I$3)))</f>
        <v/>
      </c>
      <c r="AT116" s="718" t="str">
        <f>IF(OR($B116="No",AT$6=""),"",IF(NOT(ISNUMBER(_xll.ciqfunctions.udf.CIQ(AT$6,"IQ_TEV",$AI116,$I$2,$I$3))),"",_xll.ciqfunctions.udf.CIQ(AT$6,"IQ_TEV",$AI116,$I$2,$I$3)))</f>
        <v/>
      </c>
      <c r="AV116" s="251">
        <f t="shared" si="69"/>
        <v>43588</v>
      </c>
      <c r="AW116" s="719">
        <f t="shared" si="70"/>
        <v>0.34282047813398231</v>
      </c>
      <c r="AX116" s="719">
        <f t="shared" si="71"/>
        <v>0.47014771597402483</v>
      </c>
      <c r="AY116" s="719" t="e">
        <f t="shared" si="72"/>
        <v>#N/A</v>
      </c>
      <c r="AZ116" s="719" t="e">
        <f t="shared" si="73"/>
        <v>#N/A</v>
      </c>
      <c r="BA116" s="719" t="e">
        <f t="shared" si="74"/>
        <v>#N/A</v>
      </c>
      <c r="BB116" s="719" t="e">
        <f t="shared" si="75"/>
        <v>#N/A</v>
      </c>
      <c r="BC116" s="719" t="e">
        <f t="shared" si="76"/>
        <v>#N/A</v>
      </c>
      <c r="BD116" s="719" t="e">
        <f t="shared" si="77"/>
        <v>#N/A</v>
      </c>
      <c r="BE116" s="719" t="e">
        <f t="shared" si="78"/>
        <v>#N/A</v>
      </c>
      <c r="BF116" s="719" t="e">
        <f t="shared" si="79"/>
        <v>#N/A</v>
      </c>
      <c r="BG116" s="719" t="e">
        <f t="shared" si="80"/>
        <v>#N/A</v>
      </c>
    </row>
    <row r="117" spans="1:59" ht="15" customHeight="1" x14ac:dyDescent="0.2">
      <c r="A117" s="251">
        <f t="shared" si="63"/>
        <v>43595</v>
      </c>
      <c r="B117" s="253" t="str">
        <f t="shared" si="81"/>
        <v>Yes</v>
      </c>
      <c r="C117" s="1033">
        <f>IF(C$6="","",IF(NOT(ISNUMBER(_xll.ciqfunctions.udf.CIQ(C$6,$F$2, $A117, $I$2, $I$3))),IF(C116=C$6,"",C116),_xll.ciqfunctions.udf.CIQ(C$6,$F$2, $A117, $I$2, $I$3)))</f>
        <v>101.91</v>
      </c>
      <c r="D117" s="1033">
        <f>IF(D$6="","",IF(NOT(ISNUMBER(_xll.ciqfunctions.udf.CIQ(D$6,$F$2, $A117, $I$2, $I$3))),IF(D116=D$6,"",D116),_xll.ciqfunctions.udf.CIQ(D$6,$F$2, $A117, $I$2, $I$3)))</f>
        <v>25942.366760000001</v>
      </c>
      <c r="E117" s="1033">
        <f>IF(E$6="","",IF(NOT(ISNUMBER(_xll.ciqfunctions.udf.CIQ(E$6,$F$2, $A117, $I$2, $I$3))),IF(E116=E$6,"",E116),_xll.ciqfunctions.udf.CIQ(E$6,$F$2, $A117, $I$2, $I$3)))</f>
        <v>8640.0785699999997</v>
      </c>
      <c r="F117" s="1033">
        <f>IF(F$6="","",IF(NOT(ISNUMBER(_xll.ciqfunctions.udf.CIQ(F$6,$F$2, $A117, $I$2, $I$3))),IF(F116=F$6,"",F116),_xll.ciqfunctions.udf.CIQ(F$6,$F$2, $A117, $I$2, $I$3)))</f>
        <v>4582.0059600000004</v>
      </c>
      <c r="G117" s="1033">
        <f>IF(G$6="","",IF(NOT(ISNUMBER(_xll.ciqfunctions.udf.CIQ(G$6,$F$2, $A117, $I$2, $I$3))),IF(G116=G$6,"",G116),_xll.ciqfunctions.udf.CIQ(G$6,$F$2, $A117, $I$2, $I$3)))</f>
        <v>247.02</v>
      </c>
      <c r="H117" s="1033" t="str">
        <f>IF(H$6="","",IF(NOT(ISNUMBER(_xll.ciqfunctions.udf.CIQ(H$6,$F$2, $A117, $I$2, $I$3))),IF(H116=H$6,"",H116),_xll.ciqfunctions.udf.CIQ(H$6,$F$2, $A117, $I$2, $I$3)))</f>
        <v/>
      </c>
      <c r="I117" s="1033" t="str">
        <f>IF(I$6="","",IF(NOT(ISNUMBER(_xll.ciqfunctions.udf.CIQ(I$6,$F$2, $A117, $I$2, $I$3))),IF(I116=I$6,"",I116),_xll.ciqfunctions.udf.CIQ(I$6,$F$2, $A117, $I$2, $I$3)))</f>
        <v/>
      </c>
      <c r="J117" s="1033" t="str">
        <f>IF(J$6="","",IF(NOT(ISNUMBER(_xll.ciqfunctions.udf.CIQ(J$6,$F$2, $A117, $I$2, $I$3))),IF(J116=J$6,"",J116),_xll.ciqfunctions.udf.CIQ(J$6,$F$2, $A117, $I$2, $I$3)))</f>
        <v/>
      </c>
      <c r="K117" s="1033" t="str">
        <f>IF(K$6="","",IF(NOT(ISNUMBER(_xll.ciqfunctions.udf.CIQ(K$6,$F$2, $A117, $I$2, $I$3))),IF(K116=K$6,"",K116),_xll.ciqfunctions.udf.CIQ(K$6,$F$2, $A117, $I$2, $I$3)))</f>
        <v/>
      </c>
      <c r="L117" s="254" t="str">
        <f>IF(L$6="","",IF(NOT(ISNUMBER(_xll.ciqfunctions.udf.CIQ(L$6,$F$2, $A117, $I$2, $I$3))),IF(L116=L$6,"",L116),_xll.ciqfunctions.udf.CIQ(L$6,$F$2, $A117, $I$2, $I$3)))</f>
        <v/>
      </c>
      <c r="M117" s="254" t="str">
        <f>IF(M$6="","",IF(NOT(ISNUMBER(_xll.ciqfunctions.udf.CIQ(M$6,$F$2, $A117, $I$2, $I$3))),IF(M116=M$6,"",M116),_xll.ciqfunctions.udf.CIQ(M$6,$F$2, $A117, $I$2, $I$3)))</f>
        <v/>
      </c>
      <c r="N117" s="254" t="str">
        <f>IF(N$6="","",IF(NOT(ISNUMBER(_xll.ciqfunctions.udf.CIQ(N$6,$F$2, $A117, $I$2, $I$3))),IF(N116=N$6,"",N116),_xll.ciqfunctions.udf.CIQ(N$6,$F$2, $A117, $I$2, $I$3)))</f>
        <v/>
      </c>
      <c r="O117" s="254" t="str">
        <f>IF(O$6="","",IF(NOT(ISNUMBER(_xll.ciqfunctions.udf.CIQ(O$6,$F$2, $A117, $I$2, $I$3))),IF(O116=O$6,"",O116),_xll.ciqfunctions.udf.CIQ(O$6,$F$2, $A117, $I$2, $I$3)))</f>
        <v/>
      </c>
      <c r="P117" s="254" t="str">
        <f>IF(P$6="","",IF(NOT(ISNUMBER(_xll.ciqfunctions.udf.CIQ(P$6,$F$2, $A117, $I$2, $I$3))),IF(P116=P$6,"",P116),_xll.ciqfunctions.udf.CIQ(P$6,$F$2, $A117, $I$2, $I$3)))</f>
        <v/>
      </c>
      <c r="Q117" s="254"/>
      <c r="R117" s="251">
        <f t="shared" si="64"/>
        <v>43595</v>
      </c>
      <c r="S117" s="255">
        <f t="shared" si="66"/>
        <v>0.4138457269700333</v>
      </c>
      <c r="T117" s="255">
        <f t="shared" si="67"/>
        <v>0.25548512909342125</v>
      </c>
      <c r="U117" s="255">
        <f t="shared" si="68"/>
        <v>0.20741960397357673</v>
      </c>
      <c r="V117" s="255">
        <f t="shared" si="82"/>
        <v>4.3800093497668113E-2</v>
      </c>
      <c r="W117" s="255">
        <f t="array" ref="W117">IFERROR(AVERAGE(IF(ISERROR(X117:AG117),"",X117:AG117)),"")</f>
        <v>0.47307531755024157</v>
      </c>
      <c r="X117" s="255">
        <f t="shared" si="83"/>
        <v>0.47307531755024157</v>
      </c>
      <c r="Y117" s="255" t="e">
        <f t="shared" si="84"/>
        <v>#N/A</v>
      </c>
      <c r="Z117" s="255" t="e">
        <f t="shared" si="85"/>
        <v>#N/A</v>
      </c>
      <c r="AA117" s="255" t="e">
        <f t="shared" si="86"/>
        <v>#N/A</v>
      </c>
      <c r="AB117" s="255" t="e">
        <f t="shared" si="87"/>
        <v>#N/A</v>
      </c>
      <c r="AC117" s="255" t="e">
        <f t="shared" si="88"/>
        <v>#N/A</v>
      </c>
      <c r="AD117" s="255" t="e">
        <f t="shared" si="89"/>
        <v>#N/A</v>
      </c>
      <c r="AE117" s="255" t="e">
        <f t="shared" si="90"/>
        <v>#N/A</v>
      </c>
      <c r="AF117" s="255" t="e">
        <f t="shared" si="91"/>
        <v>#N/A</v>
      </c>
      <c r="AG117" s="255" t="e">
        <f t="shared" si="92"/>
        <v>#N/A</v>
      </c>
      <c r="AI117" s="251">
        <f t="shared" si="65"/>
        <v>43595</v>
      </c>
      <c r="AJ117" s="718">
        <f>IF(OR($B117="No",AJ$6=""),"",IF(NOT(ISNUMBER(_xll.ciqfunctions.udf.CIQ(AJ$6,"IQ_TEV",$AI117,$I$2,$I$3))),"",_xll.ciqfunctions.udf.CIQ(AJ$6,"IQ_TEV",$AI117,$I$2,$I$3)))</f>
        <v>350065.66972000001</v>
      </c>
      <c r="AK117" s="718">
        <f>IF(OR($B117="No",AK$6=""),"",IF(NOT(ISNUMBER(_xll.ciqfunctions.udf.CIQ(AK$6,"IQ_TEV",$AI117,$I$2,$I$3))),"",_xll.ciqfunctions.udf.CIQ(AK$6,"IQ_TEV",$AI117,$I$2,$I$3)))</f>
        <v>108354.22108</v>
      </c>
      <c r="AL117" s="718" t="str">
        <f>IF(OR($B117="No",AL$6=""),"",IF(NOT(ISNUMBER(_xll.ciqfunctions.udf.CIQ(AL$6,"IQ_TEV",$AI117,$I$2,$I$3))),"",_xll.ciqfunctions.udf.CIQ(AL$6,"IQ_TEV",$AI117,$I$2,$I$3)))</f>
        <v/>
      </c>
      <c r="AM117" s="718" t="str">
        <f>IF(OR($B117="No",AM$6=""),"",IF(NOT(ISNUMBER(_xll.ciqfunctions.udf.CIQ(AM$6,"IQ_TEV",$AI117,$I$2,$I$3))),"",_xll.ciqfunctions.udf.CIQ(AM$6,"IQ_TEV",$AI117,$I$2,$I$3)))</f>
        <v/>
      </c>
      <c r="AN117" s="718" t="str">
        <f>IF(OR($B117="No",AN$6=""),"",IF(NOT(ISNUMBER(_xll.ciqfunctions.udf.CIQ(AN$6,"IQ_TEV",$AI117,$I$2,$I$3))),"",_xll.ciqfunctions.udf.CIQ(AN$6,"IQ_TEV",$AI117,$I$2,$I$3)))</f>
        <v/>
      </c>
      <c r="AO117" s="718" t="str">
        <f>IF(OR($B117="No",AO$6=""),"",IF(NOT(ISNUMBER(_xll.ciqfunctions.udf.CIQ(AO$6,"IQ_TEV",$AI117,$I$2,$I$3))),"",_xll.ciqfunctions.udf.CIQ(AO$6,"IQ_TEV",$AI117,$I$2,$I$3)))</f>
        <v/>
      </c>
      <c r="AP117" s="718" t="str">
        <f>IF(OR($B117="No",AP$6=""),"",IF(NOT(ISNUMBER(_xll.ciqfunctions.udf.CIQ(AP$6,"IQ_TEV",$AI117,$I$2,$I$3))),"",_xll.ciqfunctions.udf.CIQ(AP$6,"IQ_TEV",$AI117,$I$2,$I$3)))</f>
        <v/>
      </c>
      <c r="AQ117" s="718" t="str">
        <f>IF(OR($B117="No",AQ$6=""),"",IF(NOT(ISNUMBER(_xll.ciqfunctions.udf.CIQ(AQ$6,"IQ_TEV",$AI117,$I$2,$I$3))),"",_xll.ciqfunctions.udf.CIQ(AQ$6,"IQ_TEV",$AI117,$I$2,$I$3)))</f>
        <v/>
      </c>
      <c r="AR117" s="718" t="str">
        <f>IF(OR($B117="No",AR$6=""),"",IF(NOT(ISNUMBER(_xll.ciqfunctions.udf.CIQ(AR$6,"IQ_TEV",$AI117,$I$2,$I$3))),"",_xll.ciqfunctions.udf.CIQ(AR$6,"IQ_TEV",$AI117,$I$2,$I$3)))</f>
        <v/>
      </c>
      <c r="AS117" s="718" t="str">
        <f>IF(OR($B117="No",AS$6=""),"",IF(NOT(ISNUMBER(_xll.ciqfunctions.udf.CIQ(AS$6,"IQ_TEV",$AI117,$I$2,$I$3))),"",_xll.ciqfunctions.udf.CIQ(AS$6,"IQ_TEV",$AI117,$I$2,$I$3)))</f>
        <v/>
      </c>
      <c r="AT117" s="718" t="str">
        <f>IF(OR($B117="No",AT$6=""),"",IF(NOT(ISNUMBER(_xll.ciqfunctions.udf.CIQ(AT$6,"IQ_TEV",$AI117,$I$2,$I$3))),"",_xll.ciqfunctions.udf.CIQ(AT$6,"IQ_TEV",$AI117,$I$2,$I$3)))</f>
        <v/>
      </c>
      <c r="AV117" s="251">
        <f t="shared" si="69"/>
        <v>43595</v>
      </c>
      <c r="AW117" s="719">
        <f t="shared" si="70"/>
        <v>0.34095341220463693</v>
      </c>
      <c r="AX117" s="719">
        <f t="shared" si="71"/>
        <v>0.48461253477204602</v>
      </c>
      <c r="AY117" s="719" t="e">
        <f t="shared" si="72"/>
        <v>#N/A</v>
      </c>
      <c r="AZ117" s="719" t="e">
        <f t="shared" si="73"/>
        <v>#N/A</v>
      </c>
      <c r="BA117" s="719" t="e">
        <f t="shared" si="74"/>
        <v>#N/A</v>
      </c>
      <c r="BB117" s="719" t="e">
        <f t="shared" si="75"/>
        <v>#N/A</v>
      </c>
      <c r="BC117" s="719" t="e">
        <f t="shared" si="76"/>
        <v>#N/A</v>
      </c>
      <c r="BD117" s="719" t="e">
        <f t="shared" si="77"/>
        <v>#N/A</v>
      </c>
      <c r="BE117" s="719" t="e">
        <f t="shared" si="78"/>
        <v>#N/A</v>
      </c>
      <c r="BF117" s="719" t="e">
        <f t="shared" si="79"/>
        <v>#N/A</v>
      </c>
      <c r="BG117" s="719" t="e">
        <f t="shared" si="80"/>
        <v>#N/A</v>
      </c>
    </row>
    <row r="118" spans="1:59" ht="15" customHeight="1" x14ac:dyDescent="0.2">
      <c r="A118" s="251">
        <f t="shared" si="63"/>
        <v>43602</v>
      </c>
      <c r="B118" s="253" t="str">
        <f t="shared" si="81"/>
        <v>Yes</v>
      </c>
      <c r="C118" s="1033">
        <f>IF(C$6="","",IF(NOT(ISNUMBER(_xll.ciqfunctions.udf.CIQ(C$6,$F$2, $A118, $I$2, $I$3))),IF(C117=C$6,"",C117),_xll.ciqfunctions.udf.CIQ(C$6,$F$2, $A118, $I$2, $I$3)))</f>
        <v>100.86</v>
      </c>
      <c r="D118" s="1033">
        <f>IF(D$6="","",IF(NOT(ISNUMBER(_xll.ciqfunctions.udf.CIQ(D$6,$F$2, $A118, $I$2, $I$3))),IF(D117=D$6,"",D117),_xll.ciqfunctions.udf.CIQ(D$6,$F$2, $A118, $I$2, $I$3)))</f>
        <v>25763.995999999999</v>
      </c>
      <c r="E118" s="1033">
        <f>IF(E$6="","",IF(NOT(ISNUMBER(_xll.ciqfunctions.udf.CIQ(E$6,$F$2, $A118, $I$2, $I$3))),IF(E117=E$6,"",E117),_xll.ciqfunctions.udf.CIQ(E$6,$F$2, $A118, $I$2, $I$3)))</f>
        <v>8605.9112000000005</v>
      </c>
      <c r="F118" s="1033">
        <f>IF(F$6="","",IF(NOT(ISNUMBER(_xll.ciqfunctions.udf.CIQ(F$6,$F$2, $A118, $I$2, $I$3))),IF(F117=F$6,"",F117),_xll.ciqfunctions.udf.CIQ(F$6,$F$2, $A118, $I$2, $I$3)))</f>
        <v>4425.5948699999999</v>
      </c>
      <c r="G118" s="1033">
        <f>IF(G$6="","",IF(NOT(ISNUMBER(_xll.ciqfunctions.udf.CIQ(G$6,$F$2, $A118, $I$2, $I$3))),IF(G117=G$6,"",G117),_xll.ciqfunctions.udf.CIQ(G$6,$F$2, $A118, $I$2, $I$3)))</f>
        <v>248.35</v>
      </c>
      <c r="H118" s="1033" t="str">
        <f>IF(H$6="","",IF(NOT(ISNUMBER(_xll.ciqfunctions.udf.CIQ(H$6,$F$2, $A118, $I$2, $I$3))),IF(H117=H$6,"",H117),_xll.ciqfunctions.udf.CIQ(H$6,$F$2, $A118, $I$2, $I$3)))</f>
        <v/>
      </c>
      <c r="I118" s="1033" t="str">
        <f>IF(I$6="","",IF(NOT(ISNUMBER(_xll.ciqfunctions.udf.CIQ(I$6,$F$2, $A118, $I$2, $I$3))),IF(I117=I$6,"",I117),_xll.ciqfunctions.udf.CIQ(I$6,$F$2, $A118, $I$2, $I$3)))</f>
        <v/>
      </c>
      <c r="J118" s="1033" t="str">
        <f>IF(J$6="","",IF(NOT(ISNUMBER(_xll.ciqfunctions.udf.CIQ(J$6,$F$2, $A118, $I$2, $I$3))),IF(J117=J$6,"",J117),_xll.ciqfunctions.udf.CIQ(J$6,$F$2, $A118, $I$2, $I$3)))</f>
        <v/>
      </c>
      <c r="K118" s="1033" t="str">
        <f>IF(K$6="","",IF(NOT(ISNUMBER(_xll.ciqfunctions.udf.CIQ(K$6,$F$2, $A118, $I$2, $I$3))),IF(K117=K$6,"",K117),_xll.ciqfunctions.udf.CIQ(K$6,$F$2, $A118, $I$2, $I$3)))</f>
        <v/>
      </c>
      <c r="L118" s="254" t="str">
        <f>IF(L$6="","",IF(NOT(ISNUMBER(_xll.ciqfunctions.udf.CIQ(L$6,$F$2, $A118, $I$2, $I$3))),IF(L117=L$6,"",L117),_xll.ciqfunctions.udf.CIQ(L$6,$F$2, $A118, $I$2, $I$3)))</f>
        <v/>
      </c>
      <c r="M118" s="254" t="str">
        <f>IF(M$6="","",IF(NOT(ISNUMBER(_xll.ciqfunctions.udf.CIQ(M$6,$F$2, $A118, $I$2, $I$3))),IF(M117=M$6,"",M117),_xll.ciqfunctions.udf.CIQ(M$6,$F$2, $A118, $I$2, $I$3)))</f>
        <v/>
      </c>
      <c r="N118" s="254" t="str">
        <f>IF(N$6="","",IF(NOT(ISNUMBER(_xll.ciqfunctions.udf.CIQ(N$6,$F$2, $A118, $I$2, $I$3))),IF(N117=N$6,"",N117),_xll.ciqfunctions.udf.CIQ(N$6,$F$2, $A118, $I$2, $I$3)))</f>
        <v/>
      </c>
      <c r="O118" s="254" t="str">
        <f>IF(O$6="","",IF(NOT(ISNUMBER(_xll.ciqfunctions.udf.CIQ(O$6,$F$2, $A118, $I$2, $I$3))),IF(O117=O$6,"",O117),_xll.ciqfunctions.udf.CIQ(O$6,$F$2, $A118, $I$2, $I$3)))</f>
        <v/>
      </c>
      <c r="P118" s="254" t="str">
        <f>IF(P$6="","",IF(NOT(ISNUMBER(_xll.ciqfunctions.udf.CIQ(P$6,$F$2, $A118, $I$2, $I$3))),IF(P117=P$6,"",P117),_xll.ciqfunctions.udf.CIQ(P$6,$F$2, $A118, $I$2, $I$3)))</f>
        <v/>
      </c>
      <c r="Q118" s="254"/>
      <c r="R118" s="251">
        <f t="shared" si="64"/>
        <v>43602</v>
      </c>
      <c r="S118" s="255">
        <f t="shared" si="66"/>
        <v>0.39927857935627076</v>
      </c>
      <c r="T118" s="255">
        <f t="shared" si="67"/>
        <v>0.24685284666842744</v>
      </c>
      <c r="U118" s="255">
        <f t="shared" si="68"/>
        <v>0.20264483809384726</v>
      </c>
      <c r="V118" s="255">
        <f t="shared" si="82"/>
        <v>8.1689939767777275E-3</v>
      </c>
      <c r="W118" s="255">
        <f t="array" ref="W118">IFERROR(AVERAGE(IF(ISERROR(X118:AG118),"",X118:AG118)),"")</f>
        <v>0.48100661935714717</v>
      </c>
      <c r="X118" s="255">
        <f t="shared" si="83"/>
        <v>0.48100661935714717</v>
      </c>
      <c r="Y118" s="255" t="e">
        <f t="shared" si="84"/>
        <v>#N/A</v>
      </c>
      <c r="Z118" s="255" t="e">
        <f t="shared" si="85"/>
        <v>#N/A</v>
      </c>
      <c r="AA118" s="255" t="e">
        <f t="shared" si="86"/>
        <v>#N/A</v>
      </c>
      <c r="AB118" s="255" t="e">
        <f t="shared" si="87"/>
        <v>#N/A</v>
      </c>
      <c r="AC118" s="255" t="e">
        <f t="shared" si="88"/>
        <v>#N/A</v>
      </c>
      <c r="AD118" s="255" t="e">
        <f t="shared" si="89"/>
        <v>#N/A</v>
      </c>
      <c r="AE118" s="255" t="e">
        <f t="shared" si="90"/>
        <v>#N/A</v>
      </c>
      <c r="AF118" s="255" t="e">
        <f t="shared" si="91"/>
        <v>#N/A</v>
      </c>
      <c r="AG118" s="255" t="e">
        <f t="shared" si="92"/>
        <v>#N/A</v>
      </c>
      <c r="AI118" s="251">
        <f t="shared" si="65"/>
        <v>43602</v>
      </c>
      <c r="AJ118" s="718">
        <f>IF(OR($B118="No",AJ$6=""),"",IF(NOT(ISNUMBER(_xll.ciqfunctions.udf.CIQ(AJ$6,"IQ_TEV",$AI118,$I$2,$I$3))),"",_xll.ciqfunctions.udf.CIQ(AJ$6,"IQ_TEV",$AI118,$I$2,$I$3)))</f>
        <v>362057.18887000001</v>
      </c>
      <c r="AK118" s="718">
        <f>IF(OR($B118="No",AK$6=""),"",IF(NOT(ISNUMBER(_xll.ciqfunctions.udf.CIQ(AK$6,"IQ_TEV",$AI118,$I$2,$I$3))),"",_xll.ciqfunctions.udf.CIQ(AK$6,"IQ_TEV",$AI118,$I$2,$I$3)))</f>
        <v>108939.26183</v>
      </c>
      <c r="AL118" s="718" t="str">
        <f>IF(OR($B118="No",AL$6=""),"",IF(NOT(ISNUMBER(_xll.ciqfunctions.udf.CIQ(AL$6,"IQ_TEV",$AI118,$I$2,$I$3))),"",_xll.ciqfunctions.udf.CIQ(AL$6,"IQ_TEV",$AI118,$I$2,$I$3)))</f>
        <v/>
      </c>
      <c r="AM118" s="718" t="str">
        <f>IF(OR($B118="No",AM$6=""),"",IF(NOT(ISNUMBER(_xll.ciqfunctions.udf.CIQ(AM$6,"IQ_TEV",$AI118,$I$2,$I$3))),"",_xll.ciqfunctions.udf.CIQ(AM$6,"IQ_TEV",$AI118,$I$2,$I$3)))</f>
        <v/>
      </c>
      <c r="AN118" s="718" t="str">
        <f>IF(OR($B118="No",AN$6=""),"",IF(NOT(ISNUMBER(_xll.ciqfunctions.udf.CIQ(AN$6,"IQ_TEV",$AI118,$I$2,$I$3))),"",_xll.ciqfunctions.udf.CIQ(AN$6,"IQ_TEV",$AI118,$I$2,$I$3)))</f>
        <v/>
      </c>
      <c r="AO118" s="718" t="str">
        <f>IF(OR($B118="No",AO$6=""),"",IF(NOT(ISNUMBER(_xll.ciqfunctions.udf.CIQ(AO$6,"IQ_TEV",$AI118,$I$2,$I$3))),"",_xll.ciqfunctions.udf.CIQ(AO$6,"IQ_TEV",$AI118,$I$2,$I$3)))</f>
        <v/>
      </c>
      <c r="AP118" s="718" t="str">
        <f>IF(OR($B118="No",AP$6=""),"",IF(NOT(ISNUMBER(_xll.ciqfunctions.udf.CIQ(AP$6,"IQ_TEV",$AI118,$I$2,$I$3))),"",_xll.ciqfunctions.udf.CIQ(AP$6,"IQ_TEV",$AI118,$I$2,$I$3)))</f>
        <v/>
      </c>
      <c r="AQ118" s="718" t="str">
        <f>IF(OR($B118="No",AQ$6=""),"",IF(NOT(ISNUMBER(_xll.ciqfunctions.udf.CIQ(AQ$6,"IQ_TEV",$AI118,$I$2,$I$3))),"",_xll.ciqfunctions.udf.CIQ(AQ$6,"IQ_TEV",$AI118,$I$2,$I$3)))</f>
        <v/>
      </c>
      <c r="AR118" s="718" t="str">
        <f>IF(OR($B118="No",AR$6=""),"",IF(NOT(ISNUMBER(_xll.ciqfunctions.udf.CIQ(AR$6,"IQ_TEV",$AI118,$I$2,$I$3))),"",_xll.ciqfunctions.udf.CIQ(AR$6,"IQ_TEV",$AI118,$I$2,$I$3)))</f>
        <v/>
      </c>
      <c r="AS118" s="718" t="str">
        <f>IF(OR($B118="No",AS$6=""),"",IF(NOT(ISNUMBER(_xll.ciqfunctions.udf.CIQ(AS$6,"IQ_TEV",$AI118,$I$2,$I$3))),"",_xll.ciqfunctions.udf.CIQ(AS$6,"IQ_TEV",$AI118,$I$2,$I$3)))</f>
        <v/>
      </c>
      <c r="AT118" s="718" t="str">
        <f>IF(OR($B118="No",AT$6=""),"",IF(NOT(ISNUMBER(_xll.ciqfunctions.udf.CIQ(AT$6,"IQ_TEV",$AI118,$I$2,$I$3))),"",_xll.ciqfunctions.udf.CIQ(AT$6,"IQ_TEV",$AI118,$I$2,$I$3)))</f>
        <v/>
      </c>
      <c r="AV118" s="251">
        <f t="shared" si="69"/>
        <v>43602</v>
      </c>
      <c r="AW118" s="719">
        <f t="shared" si="70"/>
        <v>0.38688784654825992</v>
      </c>
      <c r="AX118" s="719">
        <f t="shared" si="71"/>
        <v>0.49262845535312927</v>
      </c>
      <c r="AY118" s="719" t="e">
        <f t="shared" si="72"/>
        <v>#N/A</v>
      </c>
      <c r="AZ118" s="719" t="e">
        <f t="shared" si="73"/>
        <v>#N/A</v>
      </c>
      <c r="BA118" s="719" t="e">
        <f t="shared" si="74"/>
        <v>#N/A</v>
      </c>
      <c r="BB118" s="719" t="e">
        <f t="shared" si="75"/>
        <v>#N/A</v>
      </c>
      <c r="BC118" s="719" t="e">
        <f t="shared" si="76"/>
        <v>#N/A</v>
      </c>
      <c r="BD118" s="719" t="e">
        <f t="shared" si="77"/>
        <v>#N/A</v>
      </c>
      <c r="BE118" s="719" t="e">
        <f t="shared" si="78"/>
        <v>#N/A</v>
      </c>
      <c r="BF118" s="719" t="e">
        <f t="shared" si="79"/>
        <v>#N/A</v>
      </c>
      <c r="BG118" s="719" t="e">
        <f t="shared" si="80"/>
        <v>#N/A</v>
      </c>
    </row>
    <row r="119" spans="1:59" ht="15" customHeight="1" x14ac:dyDescent="0.2">
      <c r="A119" s="251">
        <f t="shared" si="63"/>
        <v>43609</v>
      </c>
      <c r="B119" s="253" t="str">
        <f t="shared" si="81"/>
        <v>Yes</v>
      </c>
      <c r="C119" s="1033">
        <f>IF(C$6="","",IF(NOT(ISNUMBER(_xll.ciqfunctions.udf.CIQ(C$6,$F$2, $A119, $I$2, $I$3))),IF(C118=C$6,"",C118),_xll.ciqfunctions.udf.CIQ(C$6,$F$2, $A119, $I$2, $I$3)))</f>
        <v>102.67</v>
      </c>
      <c r="D119" s="1033">
        <f>IF(D$6="","",IF(NOT(ISNUMBER(_xll.ciqfunctions.udf.CIQ(D$6,$F$2, $A119, $I$2, $I$3))),IF(D118=D$6,"",D118),_xll.ciqfunctions.udf.CIQ(D$6,$F$2, $A119, $I$2, $I$3)))</f>
        <v>25585.693050000002</v>
      </c>
      <c r="E119" s="1033">
        <f>IF(E$6="","",IF(NOT(ISNUMBER(_xll.ciqfunctions.udf.CIQ(E$6,$F$2, $A119, $I$2, $I$3))),IF(E118=E$6,"",E118),_xll.ciqfunctions.udf.CIQ(E$6,$F$2, $A119, $I$2, $I$3)))</f>
        <v>8523.0148100000006</v>
      </c>
      <c r="F119" s="1033">
        <f>IF(F$6="","",IF(NOT(ISNUMBER(_xll.ciqfunctions.udf.CIQ(F$6,$F$2, $A119, $I$2, $I$3))),IF(F118=F$6,"",F118),_xll.ciqfunctions.udf.CIQ(F$6,$F$2, $A119, $I$2, $I$3)))</f>
        <v>4326.8699200000001</v>
      </c>
      <c r="G119" s="1033">
        <f>IF(G$6="","",IF(NOT(ISNUMBER(_xll.ciqfunctions.udf.CIQ(G$6,$F$2, $A119, $I$2, $I$3))),IF(G118=G$6,"",G118),_xll.ciqfunctions.udf.CIQ(G$6,$F$2, $A119, $I$2, $I$3)))</f>
        <v>247.3</v>
      </c>
      <c r="H119" s="1033" t="str">
        <f>IF(H$6="","",IF(NOT(ISNUMBER(_xll.ciqfunctions.udf.CIQ(H$6,$F$2, $A119, $I$2, $I$3))),IF(H118=H$6,"",H118),_xll.ciqfunctions.udf.CIQ(H$6,$F$2, $A119, $I$2, $I$3)))</f>
        <v/>
      </c>
      <c r="I119" s="1033" t="str">
        <f>IF(I$6="","",IF(NOT(ISNUMBER(_xll.ciqfunctions.udf.CIQ(I$6,$F$2, $A119, $I$2, $I$3))),IF(I118=I$6,"",I118),_xll.ciqfunctions.udf.CIQ(I$6,$F$2, $A119, $I$2, $I$3)))</f>
        <v/>
      </c>
      <c r="J119" s="1033" t="str">
        <f>IF(J$6="","",IF(NOT(ISNUMBER(_xll.ciqfunctions.udf.CIQ(J$6,$F$2, $A119, $I$2, $I$3))),IF(J118=J$6,"",J118),_xll.ciqfunctions.udf.CIQ(J$6,$F$2, $A119, $I$2, $I$3)))</f>
        <v/>
      </c>
      <c r="K119" s="1033" t="str">
        <f>IF(K$6="","",IF(NOT(ISNUMBER(_xll.ciqfunctions.udf.CIQ(K$6,$F$2, $A119, $I$2, $I$3))),IF(K118=K$6,"",K118),_xll.ciqfunctions.udf.CIQ(K$6,$F$2, $A119, $I$2, $I$3)))</f>
        <v/>
      </c>
      <c r="L119" s="254" t="str">
        <f>IF(L$6="","",IF(NOT(ISNUMBER(_xll.ciqfunctions.udf.CIQ(L$6,$F$2, $A119, $I$2, $I$3))),IF(L118=L$6,"",L118),_xll.ciqfunctions.udf.CIQ(L$6,$F$2, $A119, $I$2, $I$3)))</f>
        <v/>
      </c>
      <c r="M119" s="254" t="str">
        <f>IF(M$6="","",IF(NOT(ISNUMBER(_xll.ciqfunctions.udf.CIQ(M$6,$F$2, $A119, $I$2, $I$3))),IF(M118=M$6,"",M118),_xll.ciqfunctions.udf.CIQ(M$6,$F$2, $A119, $I$2, $I$3)))</f>
        <v/>
      </c>
      <c r="N119" s="254" t="str">
        <f>IF(N$6="","",IF(NOT(ISNUMBER(_xll.ciqfunctions.udf.CIQ(N$6,$F$2, $A119, $I$2, $I$3))),IF(N118=N$6,"",N118),_xll.ciqfunctions.udf.CIQ(N$6,$F$2, $A119, $I$2, $I$3)))</f>
        <v/>
      </c>
      <c r="O119" s="254" t="str">
        <f>IF(O$6="","",IF(NOT(ISNUMBER(_xll.ciqfunctions.udf.CIQ(O$6,$F$2, $A119, $I$2, $I$3))),IF(O118=O$6,"",O118),_xll.ciqfunctions.udf.CIQ(O$6,$F$2, $A119, $I$2, $I$3)))</f>
        <v/>
      </c>
      <c r="P119" s="254" t="str">
        <f>IF(P$6="","",IF(NOT(ISNUMBER(_xll.ciqfunctions.udf.CIQ(P$6,$F$2, $A119, $I$2, $I$3))),IF(P118=P$6,"",P118),_xll.ciqfunctions.udf.CIQ(P$6,$F$2, $A119, $I$2, $I$3)))</f>
        <v/>
      </c>
      <c r="Q119" s="254"/>
      <c r="R119" s="251">
        <f t="shared" si="64"/>
        <v>43609</v>
      </c>
      <c r="S119" s="255">
        <f t="shared" si="66"/>
        <v>0.42438956714761389</v>
      </c>
      <c r="T119" s="255">
        <f t="shared" si="67"/>
        <v>0.23822384591959644</v>
      </c>
      <c r="U119" s="255">
        <f t="shared" si="68"/>
        <v>0.19106036862707954</v>
      </c>
      <c r="V119" s="255">
        <f t="shared" si="82"/>
        <v>-1.4320961937760668E-2</v>
      </c>
      <c r="W119" s="255">
        <f t="array" ref="W119">IFERROR(AVERAGE(IF(ISERROR(X119:AG119),"",X119:AG119)),"")</f>
        <v>0.47474506529906391</v>
      </c>
      <c r="X119" s="255">
        <f t="shared" si="83"/>
        <v>0.47474506529906391</v>
      </c>
      <c r="Y119" s="255" t="e">
        <f t="shared" si="84"/>
        <v>#N/A</v>
      </c>
      <c r="Z119" s="255" t="e">
        <f t="shared" si="85"/>
        <v>#N/A</v>
      </c>
      <c r="AA119" s="255" t="e">
        <f t="shared" si="86"/>
        <v>#N/A</v>
      </c>
      <c r="AB119" s="255" t="e">
        <f t="shared" si="87"/>
        <v>#N/A</v>
      </c>
      <c r="AC119" s="255" t="e">
        <f t="shared" si="88"/>
        <v>#N/A</v>
      </c>
      <c r="AD119" s="255" t="e">
        <f t="shared" si="89"/>
        <v>#N/A</v>
      </c>
      <c r="AE119" s="255" t="e">
        <f t="shared" si="90"/>
        <v>#N/A</v>
      </c>
      <c r="AF119" s="255" t="e">
        <f t="shared" si="91"/>
        <v>#N/A</v>
      </c>
      <c r="AG119" s="255" t="e">
        <f t="shared" si="92"/>
        <v>#N/A</v>
      </c>
      <c r="AI119" s="251">
        <f t="shared" si="65"/>
        <v>43609</v>
      </c>
      <c r="AJ119" s="718">
        <f>IF(OR($B119="No",AJ$6=""),"",IF(NOT(ISNUMBER(_xll.ciqfunctions.udf.CIQ(AJ$6,"IQ_TEV",$AI119,$I$2,$I$3))),"",_xll.ciqfunctions.udf.CIQ(AJ$6,"IQ_TEV",$AI119,$I$2,$I$3)))</f>
        <v>367246.68443000002</v>
      </c>
      <c r="AK119" s="718">
        <f>IF(OR($B119="No",AK$6=""),"",IF(NOT(ISNUMBER(_xll.ciqfunctions.udf.CIQ(AK$6,"IQ_TEV",$AI119,$I$2,$I$3))),"",_xll.ciqfunctions.udf.CIQ(AK$6,"IQ_TEV",$AI119,$I$2,$I$3)))</f>
        <v>108477.38756</v>
      </c>
      <c r="AL119" s="718" t="str">
        <f>IF(OR($B119="No",AL$6=""),"",IF(NOT(ISNUMBER(_xll.ciqfunctions.udf.CIQ(AL$6,"IQ_TEV",$AI119,$I$2,$I$3))),"",_xll.ciqfunctions.udf.CIQ(AL$6,"IQ_TEV",$AI119,$I$2,$I$3)))</f>
        <v/>
      </c>
      <c r="AM119" s="718" t="str">
        <f>IF(OR($B119="No",AM$6=""),"",IF(NOT(ISNUMBER(_xll.ciqfunctions.udf.CIQ(AM$6,"IQ_TEV",$AI119,$I$2,$I$3))),"",_xll.ciqfunctions.udf.CIQ(AM$6,"IQ_TEV",$AI119,$I$2,$I$3)))</f>
        <v/>
      </c>
      <c r="AN119" s="718" t="str">
        <f>IF(OR($B119="No",AN$6=""),"",IF(NOT(ISNUMBER(_xll.ciqfunctions.udf.CIQ(AN$6,"IQ_TEV",$AI119,$I$2,$I$3))),"",_xll.ciqfunctions.udf.CIQ(AN$6,"IQ_TEV",$AI119,$I$2,$I$3)))</f>
        <v/>
      </c>
      <c r="AO119" s="718" t="str">
        <f>IF(OR($B119="No",AO$6=""),"",IF(NOT(ISNUMBER(_xll.ciqfunctions.udf.CIQ(AO$6,"IQ_TEV",$AI119,$I$2,$I$3))),"",_xll.ciqfunctions.udf.CIQ(AO$6,"IQ_TEV",$AI119,$I$2,$I$3)))</f>
        <v/>
      </c>
      <c r="AP119" s="718" t="str">
        <f>IF(OR($B119="No",AP$6=""),"",IF(NOT(ISNUMBER(_xll.ciqfunctions.udf.CIQ(AP$6,"IQ_TEV",$AI119,$I$2,$I$3))),"",_xll.ciqfunctions.udf.CIQ(AP$6,"IQ_TEV",$AI119,$I$2,$I$3)))</f>
        <v/>
      </c>
      <c r="AQ119" s="718" t="str">
        <f>IF(OR($B119="No",AQ$6=""),"",IF(NOT(ISNUMBER(_xll.ciqfunctions.udf.CIQ(AQ$6,"IQ_TEV",$AI119,$I$2,$I$3))),"",_xll.ciqfunctions.udf.CIQ(AQ$6,"IQ_TEV",$AI119,$I$2,$I$3)))</f>
        <v/>
      </c>
      <c r="AR119" s="718" t="str">
        <f>IF(OR($B119="No",AR$6=""),"",IF(NOT(ISNUMBER(_xll.ciqfunctions.udf.CIQ(AR$6,"IQ_TEV",$AI119,$I$2,$I$3))),"",_xll.ciqfunctions.udf.CIQ(AR$6,"IQ_TEV",$AI119,$I$2,$I$3)))</f>
        <v/>
      </c>
      <c r="AS119" s="718" t="str">
        <f>IF(OR($B119="No",AS$6=""),"",IF(NOT(ISNUMBER(_xll.ciqfunctions.udf.CIQ(AS$6,"IQ_TEV",$AI119,$I$2,$I$3))),"",_xll.ciqfunctions.udf.CIQ(AS$6,"IQ_TEV",$AI119,$I$2,$I$3)))</f>
        <v/>
      </c>
      <c r="AT119" s="718" t="str">
        <f>IF(OR($B119="No",AT$6=""),"",IF(NOT(ISNUMBER(_xll.ciqfunctions.udf.CIQ(AT$6,"IQ_TEV",$AI119,$I$2,$I$3))),"",_xll.ciqfunctions.udf.CIQ(AT$6,"IQ_TEV",$AI119,$I$2,$I$3)))</f>
        <v/>
      </c>
      <c r="AV119" s="251">
        <f t="shared" si="69"/>
        <v>43609</v>
      </c>
      <c r="AW119" s="719">
        <f t="shared" si="70"/>
        <v>0.40676660753721627</v>
      </c>
      <c r="AX119" s="719">
        <f t="shared" si="71"/>
        <v>0.48630009708617816</v>
      </c>
      <c r="AY119" s="719" t="e">
        <f t="shared" si="72"/>
        <v>#N/A</v>
      </c>
      <c r="AZ119" s="719" t="e">
        <f t="shared" si="73"/>
        <v>#N/A</v>
      </c>
      <c r="BA119" s="719" t="e">
        <f t="shared" si="74"/>
        <v>#N/A</v>
      </c>
      <c r="BB119" s="719" t="e">
        <f t="shared" si="75"/>
        <v>#N/A</v>
      </c>
      <c r="BC119" s="719" t="e">
        <f t="shared" si="76"/>
        <v>#N/A</v>
      </c>
      <c r="BD119" s="719" t="e">
        <f t="shared" si="77"/>
        <v>#N/A</v>
      </c>
      <c r="BE119" s="719" t="e">
        <f t="shared" si="78"/>
        <v>#N/A</v>
      </c>
      <c r="BF119" s="719" t="e">
        <f t="shared" si="79"/>
        <v>#N/A</v>
      </c>
      <c r="BG119" s="719" t="e">
        <f t="shared" si="80"/>
        <v>#N/A</v>
      </c>
    </row>
    <row r="120" spans="1:59" ht="15" customHeight="1" x14ac:dyDescent="0.2">
      <c r="A120" s="251">
        <f t="shared" si="63"/>
        <v>43616</v>
      </c>
      <c r="B120" s="253" t="str">
        <f t="shared" si="81"/>
        <v>Yes</v>
      </c>
      <c r="C120" s="1033">
        <f>IF(C$6="","",IF(NOT(ISNUMBER(_xll.ciqfunctions.udf.CIQ(C$6,$F$2, $A120, $I$2, $I$3))),IF(C119=C$6,"",C119),_xll.ciqfunctions.udf.CIQ(C$6,$F$2, $A120, $I$2, $I$3)))</f>
        <v>101.44</v>
      </c>
      <c r="D120" s="1033">
        <f>IF(D$6="","",IF(NOT(ISNUMBER(_xll.ciqfunctions.udf.CIQ(D$6,$F$2, $A120, $I$2, $I$3))),IF(D119=D$6,"",D119),_xll.ciqfunctions.udf.CIQ(D$6,$F$2, $A120, $I$2, $I$3)))</f>
        <v>24815.036370000002</v>
      </c>
      <c r="E120" s="1033">
        <f>IF(E$6="","",IF(NOT(ISNUMBER(_xll.ciqfunctions.udf.CIQ(E$6,$F$2, $A120, $I$2, $I$3))),IF(E119=E$6,"",E119),_xll.ciqfunctions.udf.CIQ(E$6,$F$2, $A120, $I$2, $I$3)))</f>
        <v>8253.5269700000008</v>
      </c>
      <c r="F120" s="1033">
        <f>IF(F$6="","",IF(NOT(ISNUMBER(_xll.ciqfunctions.udf.CIQ(F$6,$F$2, $A120, $I$2, $I$3))),IF(F119=F$6,"",F119),_xll.ciqfunctions.udf.CIQ(F$6,$F$2, $A120, $I$2, $I$3)))</f>
        <v>4148.8113300000005</v>
      </c>
      <c r="G120" s="1033">
        <f>IF(G$6="","",IF(NOT(ISNUMBER(_xll.ciqfunctions.udf.CIQ(G$6,$F$2, $A120, $I$2, $I$3))),IF(G119=G$6,"",G119),_xll.ciqfunctions.udf.CIQ(G$6,$F$2, $A120, $I$2, $I$3)))</f>
        <v>239.58</v>
      </c>
      <c r="H120" s="1033" t="str">
        <f>IF(H$6="","",IF(NOT(ISNUMBER(_xll.ciqfunctions.udf.CIQ(H$6,$F$2, $A120, $I$2, $I$3))),IF(H119=H$6,"",H119),_xll.ciqfunctions.udf.CIQ(H$6,$F$2, $A120, $I$2, $I$3)))</f>
        <v/>
      </c>
      <c r="I120" s="1033" t="str">
        <f>IF(I$6="","",IF(NOT(ISNUMBER(_xll.ciqfunctions.udf.CIQ(I$6,$F$2, $A120, $I$2, $I$3))),IF(I119=I$6,"",I119),_xll.ciqfunctions.udf.CIQ(I$6,$F$2, $A120, $I$2, $I$3)))</f>
        <v/>
      </c>
      <c r="J120" s="1033" t="str">
        <f>IF(J$6="","",IF(NOT(ISNUMBER(_xll.ciqfunctions.udf.CIQ(J$6,$F$2, $A120, $I$2, $I$3))),IF(J119=J$6,"",J119),_xll.ciqfunctions.udf.CIQ(J$6,$F$2, $A120, $I$2, $I$3)))</f>
        <v/>
      </c>
      <c r="K120" s="1033" t="str">
        <f>IF(K$6="","",IF(NOT(ISNUMBER(_xll.ciqfunctions.udf.CIQ(K$6,$F$2, $A120, $I$2, $I$3))),IF(K119=K$6,"",K119),_xll.ciqfunctions.udf.CIQ(K$6,$F$2, $A120, $I$2, $I$3)))</f>
        <v/>
      </c>
      <c r="L120" s="254" t="str">
        <f>IF(L$6="","",IF(NOT(ISNUMBER(_xll.ciqfunctions.udf.CIQ(L$6,$F$2, $A120, $I$2, $I$3))),IF(L119=L$6,"",L119),_xll.ciqfunctions.udf.CIQ(L$6,$F$2, $A120, $I$2, $I$3)))</f>
        <v/>
      </c>
      <c r="M120" s="254" t="str">
        <f>IF(M$6="","",IF(NOT(ISNUMBER(_xll.ciqfunctions.udf.CIQ(M$6,$F$2, $A120, $I$2, $I$3))),IF(M119=M$6,"",M119),_xll.ciqfunctions.udf.CIQ(M$6,$F$2, $A120, $I$2, $I$3)))</f>
        <v/>
      </c>
      <c r="N120" s="254" t="str">
        <f>IF(N$6="","",IF(NOT(ISNUMBER(_xll.ciqfunctions.udf.CIQ(N$6,$F$2, $A120, $I$2, $I$3))),IF(N119=N$6,"",N119),_xll.ciqfunctions.udf.CIQ(N$6,$F$2, $A120, $I$2, $I$3)))</f>
        <v/>
      </c>
      <c r="O120" s="254" t="str">
        <f>IF(O$6="","",IF(NOT(ISNUMBER(_xll.ciqfunctions.udf.CIQ(O$6,$F$2, $A120, $I$2, $I$3))),IF(O119=O$6,"",O119),_xll.ciqfunctions.udf.CIQ(O$6,$F$2, $A120, $I$2, $I$3)))</f>
        <v/>
      </c>
      <c r="P120" s="254" t="str">
        <f>IF(P$6="","",IF(NOT(ISNUMBER(_xll.ciqfunctions.udf.CIQ(P$6,$F$2, $A120, $I$2, $I$3))),IF(P119=P$6,"",P119),_xll.ciqfunctions.udf.CIQ(P$6,$F$2, $A120, $I$2, $I$3)))</f>
        <v/>
      </c>
      <c r="Q120" s="254"/>
      <c r="R120" s="251">
        <f t="shared" si="64"/>
        <v>43616</v>
      </c>
      <c r="S120" s="255">
        <f t="shared" si="66"/>
        <v>0.40732519422863489</v>
      </c>
      <c r="T120" s="255">
        <f t="shared" si="67"/>
        <v>0.20092778845777892</v>
      </c>
      <c r="U120" s="255">
        <f t="shared" si="68"/>
        <v>0.15340042162401724</v>
      </c>
      <c r="V120" s="255">
        <f t="shared" si="82"/>
        <v>-5.4883452365002028E-2</v>
      </c>
      <c r="W120" s="255">
        <f t="array" ref="W120">IFERROR(AVERAGE(IF(ISERROR(X120:AG120),"",X120:AG120)),"")</f>
        <v>0.42870773451010802</v>
      </c>
      <c r="X120" s="255">
        <f t="shared" si="83"/>
        <v>0.42870773451010802</v>
      </c>
      <c r="Y120" s="255" t="e">
        <f t="shared" si="84"/>
        <v>#N/A</v>
      </c>
      <c r="Z120" s="255" t="e">
        <f t="shared" si="85"/>
        <v>#N/A</v>
      </c>
      <c r="AA120" s="255" t="e">
        <f t="shared" si="86"/>
        <v>#N/A</v>
      </c>
      <c r="AB120" s="255" t="e">
        <f t="shared" si="87"/>
        <v>#N/A</v>
      </c>
      <c r="AC120" s="255" t="e">
        <f t="shared" si="88"/>
        <v>#N/A</v>
      </c>
      <c r="AD120" s="255" t="e">
        <f t="shared" si="89"/>
        <v>#N/A</v>
      </c>
      <c r="AE120" s="255" t="e">
        <f t="shared" si="90"/>
        <v>#N/A</v>
      </c>
      <c r="AF120" s="255" t="e">
        <f t="shared" si="91"/>
        <v>#N/A</v>
      </c>
      <c r="AG120" s="255" t="e">
        <f t="shared" si="92"/>
        <v>#N/A</v>
      </c>
      <c r="AI120" s="251">
        <f t="shared" si="65"/>
        <v>43616</v>
      </c>
      <c r="AJ120" s="718">
        <f>IF(OR($B120="No",AJ$6=""),"",IF(NOT(ISNUMBER(_xll.ciqfunctions.udf.CIQ(AJ$6,"IQ_TEV",$AI120,$I$2,$I$3))),"",_xll.ciqfunctions.udf.CIQ(AJ$6,"IQ_TEV",$AI120,$I$2,$I$3)))</f>
        <v>363720.12115000002</v>
      </c>
      <c r="AK120" s="718">
        <f>IF(OR($B120="No",AK$6=""),"",IF(NOT(ISNUMBER(_xll.ciqfunctions.udf.CIQ(AK$6,"IQ_TEV",$AI120,$I$2,$I$3))),"",_xll.ciqfunctions.udf.CIQ(AK$6,"IQ_TEV",$AI120,$I$2,$I$3)))</f>
        <v>104034.91938000001</v>
      </c>
      <c r="AL120" s="718" t="str">
        <f>IF(OR($B120="No",AL$6=""),"",IF(NOT(ISNUMBER(_xll.ciqfunctions.udf.CIQ(AL$6,"IQ_TEV",$AI120,$I$2,$I$3))),"",_xll.ciqfunctions.udf.CIQ(AL$6,"IQ_TEV",$AI120,$I$2,$I$3)))</f>
        <v/>
      </c>
      <c r="AM120" s="718" t="str">
        <f>IF(OR($B120="No",AM$6=""),"",IF(NOT(ISNUMBER(_xll.ciqfunctions.udf.CIQ(AM$6,"IQ_TEV",$AI120,$I$2,$I$3))),"",_xll.ciqfunctions.udf.CIQ(AM$6,"IQ_TEV",$AI120,$I$2,$I$3)))</f>
        <v/>
      </c>
      <c r="AN120" s="718" t="str">
        <f>IF(OR($B120="No",AN$6=""),"",IF(NOT(ISNUMBER(_xll.ciqfunctions.udf.CIQ(AN$6,"IQ_TEV",$AI120,$I$2,$I$3))),"",_xll.ciqfunctions.udf.CIQ(AN$6,"IQ_TEV",$AI120,$I$2,$I$3)))</f>
        <v/>
      </c>
      <c r="AO120" s="718" t="str">
        <f>IF(OR($B120="No",AO$6=""),"",IF(NOT(ISNUMBER(_xll.ciqfunctions.udf.CIQ(AO$6,"IQ_TEV",$AI120,$I$2,$I$3))),"",_xll.ciqfunctions.udf.CIQ(AO$6,"IQ_TEV",$AI120,$I$2,$I$3)))</f>
        <v/>
      </c>
      <c r="AP120" s="718" t="str">
        <f>IF(OR($B120="No",AP$6=""),"",IF(NOT(ISNUMBER(_xll.ciqfunctions.udf.CIQ(AP$6,"IQ_TEV",$AI120,$I$2,$I$3))),"",_xll.ciqfunctions.udf.CIQ(AP$6,"IQ_TEV",$AI120,$I$2,$I$3)))</f>
        <v/>
      </c>
      <c r="AQ120" s="718" t="str">
        <f>IF(OR($B120="No",AQ$6=""),"",IF(NOT(ISNUMBER(_xll.ciqfunctions.udf.CIQ(AQ$6,"IQ_TEV",$AI120,$I$2,$I$3))),"",_xll.ciqfunctions.udf.CIQ(AQ$6,"IQ_TEV",$AI120,$I$2,$I$3)))</f>
        <v/>
      </c>
      <c r="AR120" s="718" t="str">
        <f>IF(OR($B120="No",AR$6=""),"",IF(NOT(ISNUMBER(_xll.ciqfunctions.udf.CIQ(AR$6,"IQ_TEV",$AI120,$I$2,$I$3))),"",_xll.ciqfunctions.udf.CIQ(AR$6,"IQ_TEV",$AI120,$I$2,$I$3)))</f>
        <v/>
      </c>
      <c r="AS120" s="718" t="str">
        <f>IF(OR($B120="No",AS$6=""),"",IF(NOT(ISNUMBER(_xll.ciqfunctions.udf.CIQ(AS$6,"IQ_TEV",$AI120,$I$2,$I$3))),"",_xll.ciqfunctions.udf.CIQ(AS$6,"IQ_TEV",$AI120,$I$2,$I$3)))</f>
        <v/>
      </c>
      <c r="AT120" s="718" t="str">
        <f>IF(OR($B120="No",AT$6=""),"",IF(NOT(ISNUMBER(_xll.ciqfunctions.udf.CIQ(AT$6,"IQ_TEV",$AI120,$I$2,$I$3))),"",_xll.ciqfunctions.udf.CIQ(AT$6,"IQ_TEV",$AI120,$I$2,$I$3)))</f>
        <v/>
      </c>
      <c r="AV120" s="251">
        <f t="shared" si="69"/>
        <v>43616</v>
      </c>
      <c r="AW120" s="719">
        <f t="shared" si="70"/>
        <v>0.393257836261661</v>
      </c>
      <c r="AX120" s="719">
        <f t="shared" si="71"/>
        <v>0.42543173515605548</v>
      </c>
      <c r="AY120" s="719" t="e">
        <f t="shared" si="72"/>
        <v>#N/A</v>
      </c>
      <c r="AZ120" s="719" t="e">
        <f t="shared" si="73"/>
        <v>#N/A</v>
      </c>
      <c r="BA120" s="719" t="e">
        <f t="shared" si="74"/>
        <v>#N/A</v>
      </c>
      <c r="BB120" s="719" t="e">
        <f t="shared" si="75"/>
        <v>#N/A</v>
      </c>
      <c r="BC120" s="719" t="e">
        <f t="shared" si="76"/>
        <v>#N/A</v>
      </c>
      <c r="BD120" s="719" t="e">
        <f t="shared" si="77"/>
        <v>#N/A</v>
      </c>
      <c r="BE120" s="719" t="e">
        <f t="shared" si="78"/>
        <v>#N/A</v>
      </c>
      <c r="BF120" s="719" t="e">
        <f t="shared" si="79"/>
        <v>#N/A</v>
      </c>
      <c r="BG120" s="719" t="e">
        <f t="shared" si="80"/>
        <v>#N/A</v>
      </c>
    </row>
    <row r="121" spans="1:59" ht="15" customHeight="1" x14ac:dyDescent="0.2">
      <c r="A121" s="251">
        <f t="shared" si="63"/>
        <v>43623</v>
      </c>
      <c r="B121" s="253" t="str">
        <f t="shared" si="81"/>
        <v>Yes</v>
      </c>
      <c r="C121" s="1033">
        <f>IF(C$6="","",IF(NOT(ISNUMBER(_xll.ciqfunctions.udf.CIQ(C$6,$F$2, $A121, $I$2, $I$3))),IF(C120=C$6,"",C120),_xll.ciqfunctions.udf.CIQ(C$6,$F$2, $A121, $I$2, $I$3)))</f>
        <v>106.06</v>
      </c>
      <c r="D121" s="1033">
        <f>IF(D$6="","",IF(NOT(ISNUMBER(_xll.ciqfunctions.udf.CIQ(D$6,$F$2, $A121, $I$2, $I$3))),IF(D120=D$6,"",D120),_xll.ciqfunctions.udf.CIQ(D$6,$F$2, $A121, $I$2, $I$3)))</f>
        <v>25983.9414</v>
      </c>
      <c r="E121" s="1033">
        <f>IF(E$6="","",IF(NOT(ISNUMBER(_xll.ciqfunctions.udf.CIQ(E$6,$F$2, $A121, $I$2, $I$3))),IF(E120=E$6,"",E120),_xll.ciqfunctions.udf.CIQ(E$6,$F$2, $A121, $I$2, $I$3)))</f>
        <v>8603.2659800000001</v>
      </c>
      <c r="F121" s="1033">
        <f>IF(F$6="","",IF(NOT(ISNUMBER(_xll.ciqfunctions.udf.CIQ(F$6,$F$2, $A121, $I$2, $I$3))),IF(F120=F$6,"",F120),_xll.ciqfunctions.udf.CIQ(F$6,$F$2, $A121, $I$2, $I$3)))</f>
        <v>4264.9099500000002</v>
      </c>
      <c r="G121" s="1033">
        <f>IF(G$6="","",IF(NOT(ISNUMBER(_xll.ciqfunctions.udf.CIQ(G$6,$F$2, $A121, $I$2, $I$3))),IF(G120=G$6,"",G120),_xll.ciqfunctions.udf.CIQ(G$6,$F$2, $A121, $I$2, $I$3)))</f>
        <v>256.01</v>
      </c>
      <c r="H121" s="1033" t="str">
        <f>IF(H$6="","",IF(NOT(ISNUMBER(_xll.ciqfunctions.udf.CIQ(H$6,$F$2, $A121, $I$2, $I$3))),IF(H120=H$6,"",H120),_xll.ciqfunctions.udf.CIQ(H$6,$F$2, $A121, $I$2, $I$3)))</f>
        <v/>
      </c>
      <c r="I121" s="1033" t="str">
        <f>IF(I$6="","",IF(NOT(ISNUMBER(_xll.ciqfunctions.udf.CIQ(I$6,$F$2, $A121, $I$2, $I$3))),IF(I120=I$6,"",I120),_xll.ciqfunctions.udf.CIQ(I$6,$F$2, $A121, $I$2, $I$3)))</f>
        <v/>
      </c>
      <c r="J121" s="1033" t="str">
        <f>IF(J$6="","",IF(NOT(ISNUMBER(_xll.ciqfunctions.udf.CIQ(J$6,$F$2, $A121, $I$2, $I$3))),IF(J120=J$6,"",J120),_xll.ciqfunctions.udf.CIQ(J$6,$F$2, $A121, $I$2, $I$3)))</f>
        <v/>
      </c>
      <c r="K121" s="1033" t="str">
        <f>IF(K$6="","",IF(NOT(ISNUMBER(_xll.ciqfunctions.udf.CIQ(K$6,$F$2, $A121, $I$2, $I$3))),IF(K120=K$6,"",K120),_xll.ciqfunctions.udf.CIQ(K$6,$F$2, $A121, $I$2, $I$3)))</f>
        <v/>
      </c>
      <c r="L121" s="254" t="str">
        <f>IF(L$6="","",IF(NOT(ISNUMBER(_xll.ciqfunctions.udf.CIQ(L$6,$F$2, $A121, $I$2, $I$3))),IF(L120=L$6,"",L120),_xll.ciqfunctions.udf.CIQ(L$6,$F$2, $A121, $I$2, $I$3)))</f>
        <v/>
      </c>
      <c r="M121" s="254" t="str">
        <f>IF(M$6="","",IF(NOT(ISNUMBER(_xll.ciqfunctions.udf.CIQ(M$6,$F$2, $A121, $I$2, $I$3))),IF(M120=M$6,"",M120),_xll.ciqfunctions.udf.CIQ(M$6,$F$2, $A121, $I$2, $I$3)))</f>
        <v/>
      </c>
      <c r="N121" s="254" t="str">
        <f>IF(N$6="","",IF(NOT(ISNUMBER(_xll.ciqfunctions.udf.CIQ(N$6,$F$2, $A121, $I$2, $I$3))),IF(N120=N$6,"",N120),_xll.ciqfunctions.udf.CIQ(N$6,$F$2, $A121, $I$2, $I$3)))</f>
        <v/>
      </c>
      <c r="O121" s="254" t="str">
        <f>IF(O$6="","",IF(NOT(ISNUMBER(_xll.ciqfunctions.udf.CIQ(O$6,$F$2, $A121, $I$2, $I$3))),IF(O120=O$6,"",O120),_xll.ciqfunctions.udf.CIQ(O$6,$F$2, $A121, $I$2, $I$3)))</f>
        <v/>
      </c>
      <c r="P121" s="254" t="str">
        <f>IF(P$6="","",IF(NOT(ISNUMBER(_xll.ciqfunctions.udf.CIQ(P$6,$F$2, $A121, $I$2, $I$3))),IF(P120=P$6,"",P120),_xll.ciqfunctions.udf.CIQ(P$6,$F$2, $A121, $I$2, $I$3)))</f>
        <v/>
      </c>
      <c r="Q121" s="254"/>
      <c r="R121" s="251">
        <f t="shared" si="64"/>
        <v>43623</v>
      </c>
      <c r="S121" s="255">
        <f t="shared" si="66"/>
        <v>0.4714206437291899</v>
      </c>
      <c r="T121" s="255">
        <f t="shared" si="67"/>
        <v>0.25749714067086504</v>
      </c>
      <c r="U121" s="255">
        <f t="shared" si="68"/>
        <v>0.20227517820488372</v>
      </c>
      <c r="V121" s="255">
        <f t="shared" si="82"/>
        <v>-2.8435701866888263E-2</v>
      </c>
      <c r="W121" s="255">
        <f t="array" ref="W121">IFERROR(AVERAGE(IF(ISERROR(X121:AG121),"",X121:AG121)),"")</f>
        <v>0.52668614705706962</v>
      </c>
      <c r="X121" s="255">
        <f t="shared" si="83"/>
        <v>0.52668614705706962</v>
      </c>
      <c r="Y121" s="255" t="e">
        <f t="shared" si="84"/>
        <v>#N/A</v>
      </c>
      <c r="Z121" s="255" t="e">
        <f t="shared" si="85"/>
        <v>#N/A</v>
      </c>
      <c r="AA121" s="255" t="e">
        <f t="shared" si="86"/>
        <v>#N/A</v>
      </c>
      <c r="AB121" s="255" t="e">
        <f t="shared" si="87"/>
        <v>#N/A</v>
      </c>
      <c r="AC121" s="255" t="e">
        <f t="shared" si="88"/>
        <v>#N/A</v>
      </c>
      <c r="AD121" s="255" t="e">
        <f t="shared" si="89"/>
        <v>#N/A</v>
      </c>
      <c r="AE121" s="255" t="e">
        <f t="shared" si="90"/>
        <v>#N/A</v>
      </c>
      <c r="AF121" s="255" t="e">
        <f t="shared" si="91"/>
        <v>#N/A</v>
      </c>
      <c r="AG121" s="255" t="e">
        <f t="shared" si="92"/>
        <v>#N/A</v>
      </c>
      <c r="AI121" s="251">
        <f t="shared" si="65"/>
        <v>43623</v>
      </c>
      <c r="AJ121" s="718">
        <f>IF(OR($B121="No",AJ$6=""),"",IF(NOT(ISNUMBER(_xll.ciqfunctions.udf.CIQ(AJ$6,"IQ_TEV",$AI121,$I$2,$I$3))),"",_xll.ciqfunctions.udf.CIQ(AJ$6,"IQ_TEV",$AI121,$I$2,$I$3)))</f>
        <v>376141.82984999998</v>
      </c>
      <c r="AK121" s="718">
        <f>IF(OR($B121="No",AK$6=""),"",IF(NOT(ISNUMBER(_xll.ciqfunctions.udf.CIQ(AK$6,"IQ_TEV",$AI121,$I$2,$I$3))),"",_xll.ciqfunctions.udf.CIQ(AK$6,"IQ_TEV",$AI121,$I$2,$I$3)))</f>
        <v>111255.42951</v>
      </c>
      <c r="AL121" s="718" t="str">
        <f>IF(OR($B121="No",AL$6=""),"",IF(NOT(ISNUMBER(_xll.ciqfunctions.udf.CIQ(AL$6,"IQ_TEV",$AI121,$I$2,$I$3))),"",_xll.ciqfunctions.udf.CIQ(AL$6,"IQ_TEV",$AI121,$I$2,$I$3)))</f>
        <v/>
      </c>
      <c r="AM121" s="718" t="str">
        <f>IF(OR($B121="No",AM$6=""),"",IF(NOT(ISNUMBER(_xll.ciqfunctions.udf.CIQ(AM$6,"IQ_TEV",$AI121,$I$2,$I$3))),"",_xll.ciqfunctions.udf.CIQ(AM$6,"IQ_TEV",$AI121,$I$2,$I$3)))</f>
        <v/>
      </c>
      <c r="AN121" s="718" t="str">
        <f>IF(OR($B121="No",AN$6=""),"",IF(NOT(ISNUMBER(_xll.ciqfunctions.udf.CIQ(AN$6,"IQ_TEV",$AI121,$I$2,$I$3))),"",_xll.ciqfunctions.udf.CIQ(AN$6,"IQ_TEV",$AI121,$I$2,$I$3)))</f>
        <v/>
      </c>
      <c r="AO121" s="718" t="str">
        <f>IF(OR($B121="No",AO$6=""),"",IF(NOT(ISNUMBER(_xll.ciqfunctions.udf.CIQ(AO$6,"IQ_TEV",$AI121,$I$2,$I$3))),"",_xll.ciqfunctions.udf.CIQ(AO$6,"IQ_TEV",$AI121,$I$2,$I$3)))</f>
        <v/>
      </c>
      <c r="AP121" s="718" t="str">
        <f>IF(OR($B121="No",AP$6=""),"",IF(NOT(ISNUMBER(_xll.ciqfunctions.udf.CIQ(AP$6,"IQ_TEV",$AI121,$I$2,$I$3))),"",_xll.ciqfunctions.udf.CIQ(AP$6,"IQ_TEV",$AI121,$I$2,$I$3)))</f>
        <v/>
      </c>
      <c r="AQ121" s="718" t="str">
        <f>IF(OR($B121="No",AQ$6=""),"",IF(NOT(ISNUMBER(_xll.ciqfunctions.udf.CIQ(AQ$6,"IQ_TEV",$AI121,$I$2,$I$3))),"",_xll.ciqfunctions.udf.CIQ(AQ$6,"IQ_TEV",$AI121,$I$2,$I$3)))</f>
        <v/>
      </c>
      <c r="AR121" s="718" t="str">
        <f>IF(OR($B121="No",AR$6=""),"",IF(NOT(ISNUMBER(_xll.ciqfunctions.udf.CIQ(AR$6,"IQ_TEV",$AI121,$I$2,$I$3))),"",_xll.ciqfunctions.udf.CIQ(AR$6,"IQ_TEV",$AI121,$I$2,$I$3)))</f>
        <v/>
      </c>
      <c r="AS121" s="718" t="str">
        <f>IF(OR($B121="No",AS$6=""),"",IF(NOT(ISNUMBER(_xll.ciqfunctions.udf.CIQ(AS$6,"IQ_TEV",$AI121,$I$2,$I$3))),"",_xll.ciqfunctions.udf.CIQ(AS$6,"IQ_TEV",$AI121,$I$2,$I$3)))</f>
        <v/>
      </c>
      <c r="AT121" s="718" t="str">
        <f>IF(OR($B121="No",AT$6=""),"",IF(NOT(ISNUMBER(_xll.ciqfunctions.udf.CIQ(AT$6,"IQ_TEV",$AI121,$I$2,$I$3))),"",_xll.ciqfunctions.udf.CIQ(AT$6,"IQ_TEV",$AI121,$I$2,$I$3)))</f>
        <v/>
      </c>
      <c r="AV121" s="251">
        <f t="shared" si="69"/>
        <v>43623</v>
      </c>
      <c r="AW121" s="719">
        <f t="shared" si="70"/>
        <v>0.44084014468967681</v>
      </c>
      <c r="AX121" s="719">
        <f t="shared" si="71"/>
        <v>0.52436336642616532</v>
      </c>
      <c r="AY121" s="719" t="e">
        <f t="shared" si="72"/>
        <v>#N/A</v>
      </c>
      <c r="AZ121" s="719" t="e">
        <f t="shared" si="73"/>
        <v>#N/A</v>
      </c>
      <c r="BA121" s="719" t="e">
        <f t="shared" si="74"/>
        <v>#N/A</v>
      </c>
      <c r="BB121" s="719" t="e">
        <f t="shared" si="75"/>
        <v>#N/A</v>
      </c>
      <c r="BC121" s="719" t="e">
        <f t="shared" si="76"/>
        <v>#N/A</v>
      </c>
      <c r="BD121" s="719" t="e">
        <f t="shared" si="77"/>
        <v>#N/A</v>
      </c>
      <c r="BE121" s="719" t="e">
        <f t="shared" si="78"/>
        <v>#N/A</v>
      </c>
      <c r="BF121" s="719" t="e">
        <f t="shared" si="79"/>
        <v>#N/A</v>
      </c>
      <c r="BG121" s="719" t="e">
        <f t="shared" si="80"/>
        <v>#N/A</v>
      </c>
    </row>
    <row r="122" spans="1:59" ht="15" customHeight="1" x14ac:dyDescent="0.2">
      <c r="A122" s="251">
        <f t="shared" si="63"/>
        <v>43630</v>
      </c>
      <c r="B122" s="253" t="str">
        <f t="shared" si="81"/>
        <v>Yes</v>
      </c>
      <c r="C122" s="1033">
        <f>IF(C$6="","",IF(NOT(ISNUMBER(_xll.ciqfunctions.udf.CIQ(C$6,$F$2, $A122, $I$2, $I$3))),IF(C121=C$6,"",C121),_xll.ciqfunctions.udf.CIQ(C$6,$F$2, $A122, $I$2, $I$3)))</f>
        <v>109.07</v>
      </c>
      <c r="D122" s="1033">
        <f>IF(D$6="","",IF(NOT(ISNUMBER(_xll.ciqfunctions.udf.CIQ(D$6,$F$2, $A122, $I$2, $I$3))),IF(D121=D$6,"",D121),_xll.ciqfunctions.udf.CIQ(D$6,$F$2, $A122, $I$2, $I$3)))</f>
        <v>26089.60743</v>
      </c>
      <c r="E122" s="1033">
        <f>IF(E$6="","",IF(NOT(ISNUMBER(_xll.ciqfunctions.udf.CIQ(E$6,$F$2, $A122, $I$2, $I$3))),IF(E121=E$6,"",E121),_xll.ciqfunctions.udf.CIQ(E$6,$F$2, $A122, $I$2, $I$3)))</f>
        <v>8674.9072400000005</v>
      </c>
      <c r="F122" s="1033">
        <f>IF(F$6="","",IF(NOT(ISNUMBER(_xll.ciqfunctions.udf.CIQ(F$6,$F$2, $A122, $I$2, $I$3))),IF(F121=F$6,"",F121),_xll.ciqfunctions.udf.CIQ(F$6,$F$2, $A122, $I$2, $I$3)))</f>
        <v>4360.6867000000002</v>
      </c>
      <c r="G122" s="1033">
        <f>IF(G$6="","",IF(NOT(ISNUMBER(_xll.ciqfunctions.udf.CIQ(G$6,$F$2, $A122, $I$2, $I$3))),IF(G121=G$6,"",G121),_xll.ciqfunctions.udf.CIQ(G$6,$F$2, $A122, $I$2, $I$3)))</f>
        <v>260.14999999999998</v>
      </c>
      <c r="H122" s="1033" t="str">
        <f>IF(H$6="","",IF(NOT(ISNUMBER(_xll.ciqfunctions.udf.CIQ(H$6,$F$2, $A122, $I$2, $I$3))),IF(H121=H$6,"",H121),_xll.ciqfunctions.udf.CIQ(H$6,$F$2, $A122, $I$2, $I$3)))</f>
        <v/>
      </c>
      <c r="I122" s="1033" t="str">
        <f>IF(I$6="","",IF(NOT(ISNUMBER(_xll.ciqfunctions.udf.CIQ(I$6,$F$2, $A122, $I$2, $I$3))),IF(I121=I$6,"",I121),_xll.ciqfunctions.udf.CIQ(I$6,$F$2, $A122, $I$2, $I$3)))</f>
        <v/>
      </c>
      <c r="J122" s="1033" t="str">
        <f>IF(J$6="","",IF(NOT(ISNUMBER(_xll.ciqfunctions.udf.CIQ(J$6,$F$2, $A122, $I$2, $I$3))),IF(J121=J$6,"",J121),_xll.ciqfunctions.udf.CIQ(J$6,$F$2, $A122, $I$2, $I$3)))</f>
        <v/>
      </c>
      <c r="K122" s="1033" t="str">
        <f>IF(K$6="","",IF(NOT(ISNUMBER(_xll.ciqfunctions.udf.CIQ(K$6,$F$2, $A122, $I$2, $I$3))),IF(K121=K$6,"",K121),_xll.ciqfunctions.udf.CIQ(K$6,$F$2, $A122, $I$2, $I$3)))</f>
        <v/>
      </c>
      <c r="L122" s="254" t="str">
        <f>IF(L$6="","",IF(NOT(ISNUMBER(_xll.ciqfunctions.udf.CIQ(L$6,$F$2, $A122, $I$2, $I$3))),IF(L121=L$6,"",L121),_xll.ciqfunctions.udf.CIQ(L$6,$F$2, $A122, $I$2, $I$3)))</f>
        <v/>
      </c>
      <c r="M122" s="254" t="str">
        <f>IF(M$6="","",IF(NOT(ISNUMBER(_xll.ciqfunctions.udf.CIQ(M$6,$F$2, $A122, $I$2, $I$3))),IF(M121=M$6,"",M121),_xll.ciqfunctions.udf.CIQ(M$6,$F$2, $A122, $I$2, $I$3)))</f>
        <v/>
      </c>
      <c r="N122" s="254" t="str">
        <f>IF(N$6="","",IF(NOT(ISNUMBER(_xll.ciqfunctions.udf.CIQ(N$6,$F$2, $A122, $I$2, $I$3))),IF(N121=N$6,"",N121),_xll.ciqfunctions.udf.CIQ(N$6,$F$2, $A122, $I$2, $I$3)))</f>
        <v/>
      </c>
      <c r="O122" s="254" t="str">
        <f>IF(O$6="","",IF(NOT(ISNUMBER(_xll.ciqfunctions.udf.CIQ(O$6,$F$2, $A122, $I$2, $I$3))),IF(O121=O$6,"",O121),_xll.ciqfunctions.udf.CIQ(O$6,$F$2, $A122, $I$2, $I$3)))</f>
        <v/>
      </c>
      <c r="P122" s="254" t="str">
        <f>IF(P$6="","",IF(NOT(ISNUMBER(_xll.ciqfunctions.udf.CIQ(P$6,$F$2, $A122, $I$2, $I$3))),IF(P121=P$6,"",P121),_xll.ciqfunctions.udf.CIQ(P$6,$F$2, $A122, $I$2, $I$3)))</f>
        <v/>
      </c>
      <c r="Q122" s="254"/>
      <c r="R122" s="251">
        <f t="shared" si="64"/>
        <v>43630</v>
      </c>
      <c r="S122" s="255">
        <f t="shared" si="66"/>
        <v>0.51317980022197562</v>
      </c>
      <c r="T122" s="255">
        <f t="shared" si="67"/>
        <v>0.26261086566529723</v>
      </c>
      <c r="U122" s="255">
        <f t="shared" si="68"/>
        <v>0.21228678412681545</v>
      </c>
      <c r="V122" s="255">
        <f t="shared" si="82"/>
        <v>-6.6173582249033913E-3</v>
      </c>
      <c r="W122" s="255">
        <f t="array" ref="W122">IFERROR(AVERAGE(IF(ISERROR(X122:AG122),"",X122:AG122)),"")</f>
        <v>0.55137456020036968</v>
      </c>
      <c r="X122" s="255">
        <f t="shared" si="83"/>
        <v>0.55137456020036968</v>
      </c>
      <c r="Y122" s="255" t="e">
        <f t="shared" si="84"/>
        <v>#N/A</v>
      </c>
      <c r="Z122" s="255" t="e">
        <f t="shared" si="85"/>
        <v>#N/A</v>
      </c>
      <c r="AA122" s="255" t="e">
        <f t="shared" si="86"/>
        <v>#N/A</v>
      </c>
      <c r="AB122" s="255" t="e">
        <f t="shared" si="87"/>
        <v>#N/A</v>
      </c>
      <c r="AC122" s="255" t="e">
        <f t="shared" si="88"/>
        <v>#N/A</v>
      </c>
      <c r="AD122" s="255" t="e">
        <f t="shared" si="89"/>
        <v>#N/A</v>
      </c>
      <c r="AE122" s="255" t="e">
        <f t="shared" si="90"/>
        <v>#N/A</v>
      </c>
      <c r="AF122" s="255" t="e">
        <f t="shared" si="91"/>
        <v>#N/A</v>
      </c>
      <c r="AG122" s="255" t="e">
        <f t="shared" si="92"/>
        <v>#N/A</v>
      </c>
      <c r="AI122" s="251">
        <f t="shared" si="65"/>
        <v>43630</v>
      </c>
      <c r="AJ122" s="718">
        <f>IF(OR($B122="No",AJ$6=""),"",IF(NOT(ISNUMBER(_xll.ciqfunctions.udf.CIQ(AJ$6,"IQ_TEV",$AI122,$I$2,$I$3))),"",_xll.ciqfunctions.udf.CIQ(AJ$6,"IQ_TEV",$AI122,$I$2,$I$3)))</f>
        <v>384734.54347999999</v>
      </c>
      <c r="AK122" s="718">
        <f>IF(OR($B122="No",AK$6=""),"",IF(NOT(ISNUMBER(_xll.ciqfunctions.udf.CIQ(AK$6,"IQ_TEV",$AI122,$I$2,$I$3))),"",_xll.ciqfunctions.udf.CIQ(AK$6,"IQ_TEV",$AI122,$I$2,$I$3)))</f>
        <v>113076.15674000001</v>
      </c>
      <c r="AL122" s="718" t="str">
        <f>IF(OR($B122="No",AL$6=""),"",IF(NOT(ISNUMBER(_xll.ciqfunctions.udf.CIQ(AL$6,"IQ_TEV",$AI122,$I$2,$I$3))),"",_xll.ciqfunctions.udf.CIQ(AL$6,"IQ_TEV",$AI122,$I$2,$I$3)))</f>
        <v/>
      </c>
      <c r="AM122" s="718" t="str">
        <f>IF(OR($B122="No",AM$6=""),"",IF(NOT(ISNUMBER(_xll.ciqfunctions.udf.CIQ(AM$6,"IQ_TEV",$AI122,$I$2,$I$3))),"",_xll.ciqfunctions.udf.CIQ(AM$6,"IQ_TEV",$AI122,$I$2,$I$3)))</f>
        <v/>
      </c>
      <c r="AN122" s="718" t="str">
        <f>IF(OR($B122="No",AN$6=""),"",IF(NOT(ISNUMBER(_xll.ciqfunctions.udf.CIQ(AN$6,"IQ_TEV",$AI122,$I$2,$I$3))),"",_xll.ciqfunctions.udf.CIQ(AN$6,"IQ_TEV",$AI122,$I$2,$I$3)))</f>
        <v/>
      </c>
      <c r="AO122" s="718" t="str">
        <f>IF(OR($B122="No",AO$6=""),"",IF(NOT(ISNUMBER(_xll.ciqfunctions.udf.CIQ(AO$6,"IQ_TEV",$AI122,$I$2,$I$3))),"",_xll.ciqfunctions.udf.CIQ(AO$6,"IQ_TEV",$AI122,$I$2,$I$3)))</f>
        <v/>
      </c>
      <c r="AP122" s="718" t="str">
        <f>IF(OR($B122="No",AP$6=""),"",IF(NOT(ISNUMBER(_xll.ciqfunctions.udf.CIQ(AP$6,"IQ_TEV",$AI122,$I$2,$I$3))),"",_xll.ciqfunctions.udf.CIQ(AP$6,"IQ_TEV",$AI122,$I$2,$I$3)))</f>
        <v/>
      </c>
      <c r="AQ122" s="718" t="str">
        <f>IF(OR($B122="No",AQ$6=""),"",IF(NOT(ISNUMBER(_xll.ciqfunctions.udf.CIQ(AQ$6,"IQ_TEV",$AI122,$I$2,$I$3))),"",_xll.ciqfunctions.udf.CIQ(AQ$6,"IQ_TEV",$AI122,$I$2,$I$3)))</f>
        <v/>
      </c>
      <c r="AR122" s="718" t="str">
        <f>IF(OR($B122="No",AR$6=""),"",IF(NOT(ISNUMBER(_xll.ciqfunctions.udf.CIQ(AR$6,"IQ_TEV",$AI122,$I$2,$I$3))),"",_xll.ciqfunctions.udf.CIQ(AR$6,"IQ_TEV",$AI122,$I$2,$I$3)))</f>
        <v/>
      </c>
      <c r="AS122" s="718" t="str">
        <f>IF(OR($B122="No",AS$6=""),"",IF(NOT(ISNUMBER(_xll.ciqfunctions.udf.CIQ(AS$6,"IQ_TEV",$AI122,$I$2,$I$3))),"",_xll.ciqfunctions.udf.CIQ(AS$6,"IQ_TEV",$AI122,$I$2,$I$3)))</f>
        <v/>
      </c>
      <c r="AT122" s="718" t="str">
        <f>IF(OR($B122="No",AT$6=""),"",IF(NOT(ISNUMBER(_xll.ciqfunctions.udf.CIQ(AT$6,"IQ_TEV",$AI122,$I$2,$I$3))),"",_xll.ciqfunctions.udf.CIQ(AT$6,"IQ_TEV",$AI122,$I$2,$I$3)))</f>
        <v/>
      </c>
      <c r="AV122" s="251">
        <f t="shared" si="69"/>
        <v>43630</v>
      </c>
      <c r="AW122" s="719">
        <f t="shared" si="70"/>
        <v>0.47375519366166552</v>
      </c>
      <c r="AX122" s="719">
        <f t="shared" si="71"/>
        <v>0.54931001309222438</v>
      </c>
      <c r="AY122" s="719" t="e">
        <f t="shared" si="72"/>
        <v>#N/A</v>
      </c>
      <c r="AZ122" s="719" t="e">
        <f t="shared" si="73"/>
        <v>#N/A</v>
      </c>
      <c r="BA122" s="719" t="e">
        <f t="shared" si="74"/>
        <v>#N/A</v>
      </c>
      <c r="BB122" s="719" t="e">
        <f t="shared" si="75"/>
        <v>#N/A</v>
      </c>
      <c r="BC122" s="719" t="e">
        <f t="shared" si="76"/>
        <v>#N/A</v>
      </c>
      <c r="BD122" s="719" t="e">
        <f t="shared" si="77"/>
        <v>#N/A</v>
      </c>
      <c r="BE122" s="719" t="e">
        <f t="shared" si="78"/>
        <v>#N/A</v>
      </c>
      <c r="BF122" s="719" t="e">
        <f t="shared" si="79"/>
        <v>#N/A</v>
      </c>
      <c r="BG122" s="719" t="e">
        <f t="shared" si="80"/>
        <v>#N/A</v>
      </c>
    </row>
    <row r="123" spans="1:59" ht="15" customHeight="1" x14ac:dyDescent="0.2">
      <c r="A123" s="251">
        <f t="shared" si="63"/>
        <v>43637</v>
      </c>
      <c r="B123" s="253" t="str">
        <f t="shared" si="81"/>
        <v>Yes</v>
      </c>
      <c r="C123" s="1033">
        <f>IF(C$6="","",IF(NOT(ISNUMBER(_xll.ciqfunctions.udf.CIQ(C$6,$F$2, $A123, $I$2, $I$3))),IF(C122=C$6,"",C122),_xll.ciqfunctions.udf.CIQ(C$6,$F$2, $A123, $I$2, $I$3)))</f>
        <v>111.13</v>
      </c>
      <c r="D123" s="1033">
        <f>IF(D$6="","",IF(NOT(ISNUMBER(_xll.ciqfunctions.udf.CIQ(D$6,$F$2, $A123, $I$2, $I$3))),IF(D122=D$6,"",D122),_xll.ciqfunctions.udf.CIQ(D$6,$F$2, $A123, $I$2, $I$3)))</f>
        <v>26719.127380000002</v>
      </c>
      <c r="E123" s="1033">
        <f>IF(E$6="","",IF(NOT(ISNUMBER(_xll.ciqfunctions.udf.CIQ(E$6,$F$2, $A123, $I$2, $I$3))),IF(E122=E$6,"",E122),_xll.ciqfunctions.udf.CIQ(E$6,$F$2, $A123, $I$2, $I$3)))</f>
        <v>8825.0491700000002</v>
      </c>
      <c r="F123" s="1033">
        <f>IF(F$6="","",IF(NOT(ISNUMBER(_xll.ciqfunctions.udf.CIQ(F$6,$F$2, $A123, $I$2, $I$3))),IF(F122=F$6,"",F122),_xll.ciqfunctions.udf.CIQ(F$6,$F$2, $A123, $I$2, $I$3)))</f>
        <v>4401.8323700000001</v>
      </c>
      <c r="G123" s="1033">
        <f>IF(G$6="","",IF(NOT(ISNUMBER(_xll.ciqfunctions.udf.CIQ(G$6,$F$2, $A123, $I$2, $I$3))),IF(G122=G$6,"",G122),_xll.ciqfunctions.udf.CIQ(G$6,$F$2, $A123, $I$2, $I$3)))</f>
        <v>266.13</v>
      </c>
      <c r="H123" s="1033" t="str">
        <f>IF(H$6="","",IF(NOT(ISNUMBER(_xll.ciqfunctions.udf.CIQ(H$6,$F$2, $A123, $I$2, $I$3))),IF(H122=H$6,"",H122),_xll.ciqfunctions.udf.CIQ(H$6,$F$2, $A123, $I$2, $I$3)))</f>
        <v/>
      </c>
      <c r="I123" s="1033" t="str">
        <f>IF(I$6="","",IF(NOT(ISNUMBER(_xll.ciqfunctions.udf.CIQ(I$6,$F$2, $A123, $I$2, $I$3))),IF(I122=I$6,"",I122),_xll.ciqfunctions.udf.CIQ(I$6,$F$2, $A123, $I$2, $I$3)))</f>
        <v/>
      </c>
      <c r="J123" s="1033" t="str">
        <f>IF(J$6="","",IF(NOT(ISNUMBER(_xll.ciqfunctions.udf.CIQ(J$6,$F$2, $A123, $I$2, $I$3))),IF(J122=J$6,"",J122),_xll.ciqfunctions.udf.CIQ(J$6,$F$2, $A123, $I$2, $I$3)))</f>
        <v/>
      </c>
      <c r="K123" s="1033" t="str">
        <f>IF(K$6="","",IF(NOT(ISNUMBER(_xll.ciqfunctions.udf.CIQ(K$6,$F$2, $A123, $I$2, $I$3))),IF(K122=K$6,"",K122),_xll.ciqfunctions.udf.CIQ(K$6,$F$2, $A123, $I$2, $I$3)))</f>
        <v/>
      </c>
      <c r="L123" s="254" t="str">
        <f>IF(L$6="","",IF(NOT(ISNUMBER(_xll.ciqfunctions.udf.CIQ(L$6,$F$2, $A123, $I$2, $I$3))),IF(L122=L$6,"",L122),_xll.ciqfunctions.udf.CIQ(L$6,$F$2, $A123, $I$2, $I$3)))</f>
        <v/>
      </c>
      <c r="M123" s="254" t="str">
        <f>IF(M$6="","",IF(NOT(ISNUMBER(_xll.ciqfunctions.udf.CIQ(M$6,$F$2, $A123, $I$2, $I$3))),IF(M122=M$6,"",M122),_xll.ciqfunctions.udf.CIQ(M$6,$F$2, $A123, $I$2, $I$3)))</f>
        <v/>
      </c>
      <c r="N123" s="254" t="str">
        <f>IF(N$6="","",IF(NOT(ISNUMBER(_xll.ciqfunctions.udf.CIQ(N$6,$F$2, $A123, $I$2, $I$3))),IF(N122=N$6,"",N122),_xll.ciqfunctions.udf.CIQ(N$6,$F$2, $A123, $I$2, $I$3)))</f>
        <v/>
      </c>
      <c r="O123" s="254" t="str">
        <f>IF(O$6="","",IF(NOT(ISNUMBER(_xll.ciqfunctions.udf.CIQ(O$6,$F$2, $A123, $I$2, $I$3))),IF(O122=O$6,"",O122),_xll.ciqfunctions.udf.CIQ(O$6,$F$2, $A123, $I$2, $I$3)))</f>
        <v/>
      </c>
      <c r="P123" s="254" t="str">
        <f>IF(P$6="","",IF(NOT(ISNUMBER(_xll.ciqfunctions.udf.CIQ(P$6,$F$2, $A123, $I$2, $I$3))),IF(P122=P$6,"",P122),_xll.ciqfunctions.udf.CIQ(P$6,$F$2, $A123, $I$2, $I$3)))</f>
        <v/>
      </c>
      <c r="Q123" s="254"/>
      <c r="R123" s="251">
        <f t="shared" si="64"/>
        <v>43637</v>
      </c>
      <c r="S123" s="255">
        <f t="shared" si="66"/>
        <v>0.54175915649278572</v>
      </c>
      <c r="T123" s="255">
        <f t="shared" si="67"/>
        <v>0.29307658774086609</v>
      </c>
      <c r="U123" s="255">
        <f t="shared" si="68"/>
        <v>0.23326857360843922</v>
      </c>
      <c r="V123" s="255">
        <f t="shared" si="82"/>
        <v>2.7557972375622519E-3</v>
      </c>
      <c r="W123" s="255">
        <f t="array" ref="W123">IFERROR(AVERAGE(IF(ISERROR(X123:AG123),"",X123:AG123)),"")</f>
        <v>0.58703560140735878</v>
      </c>
      <c r="X123" s="255">
        <f t="shared" si="83"/>
        <v>0.58703560140735878</v>
      </c>
      <c r="Y123" s="255" t="e">
        <f t="shared" si="84"/>
        <v>#N/A</v>
      </c>
      <c r="Z123" s="255" t="e">
        <f t="shared" si="85"/>
        <v>#N/A</v>
      </c>
      <c r="AA123" s="255" t="e">
        <f t="shared" si="86"/>
        <v>#N/A</v>
      </c>
      <c r="AB123" s="255" t="e">
        <f t="shared" si="87"/>
        <v>#N/A</v>
      </c>
      <c r="AC123" s="255" t="e">
        <f t="shared" si="88"/>
        <v>#N/A</v>
      </c>
      <c r="AD123" s="255" t="e">
        <f t="shared" si="89"/>
        <v>#N/A</v>
      </c>
      <c r="AE123" s="255" t="e">
        <f t="shared" si="90"/>
        <v>#N/A</v>
      </c>
      <c r="AF123" s="255" t="e">
        <f t="shared" si="91"/>
        <v>#N/A</v>
      </c>
      <c r="AG123" s="255" t="e">
        <f t="shared" si="92"/>
        <v>#N/A</v>
      </c>
      <c r="AI123" s="251">
        <f t="shared" si="65"/>
        <v>43637</v>
      </c>
      <c r="AJ123" s="718">
        <f>IF(OR($B123="No",AJ$6=""),"",IF(NOT(ISNUMBER(_xll.ciqfunctions.udf.CIQ(AJ$6,"IQ_TEV",$AI123,$I$2,$I$3))),"",_xll.ciqfunctions.udf.CIQ(AJ$6,"IQ_TEV",$AI123,$I$2,$I$3)))</f>
        <v>390615.27107999998</v>
      </c>
      <c r="AK123" s="718">
        <f>IF(OR($B123="No",AK$6=""),"",IF(NOT(ISNUMBER(_xll.ciqfunctions.udf.CIQ(AK$6,"IQ_TEV",$AI123,$I$2,$I$3))),"",_xll.ciqfunctions.udf.CIQ(AK$6,"IQ_TEV",$AI123,$I$2,$I$3)))</f>
        <v>115706.09607</v>
      </c>
      <c r="AL123" s="718" t="str">
        <f>IF(OR($B123="No",AL$6=""),"",IF(NOT(ISNUMBER(_xll.ciqfunctions.udf.CIQ(AL$6,"IQ_TEV",$AI123,$I$2,$I$3))),"",_xll.ciqfunctions.udf.CIQ(AL$6,"IQ_TEV",$AI123,$I$2,$I$3)))</f>
        <v/>
      </c>
      <c r="AM123" s="718" t="str">
        <f>IF(OR($B123="No",AM$6=""),"",IF(NOT(ISNUMBER(_xll.ciqfunctions.udf.CIQ(AM$6,"IQ_TEV",$AI123,$I$2,$I$3))),"",_xll.ciqfunctions.udf.CIQ(AM$6,"IQ_TEV",$AI123,$I$2,$I$3)))</f>
        <v/>
      </c>
      <c r="AN123" s="718" t="str">
        <f>IF(OR($B123="No",AN$6=""),"",IF(NOT(ISNUMBER(_xll.ciqfunctions.udf.CIQ(AN$6,"IQ_TEV",$AI123,$I$2,$I$3))),"",_xll.ciqfunctions.udf.CIQ(AN$6,"IQ_TEV",$AI123,$I$2,$I$3)))</f>
        <v/>
      </c>
      <c r="AO123" s="718" t="str">
        <f>IF(OR($B123="No",AO$6=""),"",IF(NOT(ISNUMBER(_xll.ciqfunctions.udf.CIQ(AO$6,"IQ_TEV",$AI123,$I$2,$I$3))),"",_xll.ciqfunctions.udf.CIQ(AO$6,"IQ_TEV",$AI123,$I$2,$I$3)))</f>
        <v/>
      </c>
      <c r="AP123" s="718" t="str">
        <f>IF(OR($B123="No",AP$6=""),"",IF(NOT(ISNUMBER(_xll.ciqfunctions.udf.CIQ(AP$6,"IQ_TEV",$AI123,$I$2,$I$3))),"",_xll.ciqfunctions.udf.CIQ(AP$6,"IQ_TEV",$AI123,$I$2,$I$3)))</f>
        <v/>
      </c>
      <c r="AQ123" s="718" t="str">
        <f>IF(OR($B123="No",AQ$6=""),"",IF(NOT(ISNUMBER(_xll.ciqfunctions.udf.CIQ(AQ$6,"IQ_TEV",$AI123,$I$2,$I$3))),"",_xll.ciqfunctions.udf.CIQ(AQ$6,"IQ_TEV",$AI123,$I$2,$I$3)))</f>
        <v/>
      </c>
      <c r="AR123" s="718" t="str">
        <f>IF(OR($B123="No",AR$6=""),"",IF(NOT(ISNUMBER(_xll.ciqfunctions.udf.CIQ(AR$6,"IQ_TEV",$AI123,$I$2,$I$3))),"",_xll.ciqfunctions.udf.CIQ(AR$6,"IQ_TEV",$AI123,$I$2,$I$3)))</f>
        <v/>
      </c>
      <c r="AS123" s="718" t="str">
        <f>IF(OR($B123="No",AS$6=""),"",IF(NOT(ISNUMBER(_xll.ciqfunctions.udf.CIQ(AS$6,"IQ_TEV",$AI123,$I$2,$I$3))),"",_xll.ciqfunctions.udf.CIQ(AS$6,"IQ_TEV",$AI123,$I$2,$I$3)))</f>
        <v/>
      </c>
      <c r="AT123" s="718" t="str">
        <f>IF(OR($B123="No",AT$6=""),"",IF(NOT(ISNUMBER(_xll.ciqfunctions.udf.CIQ(AT$6,"IQ_TEV",$AI123,$I$2,$I$3))),"",_xll.ciqfunctions.udf.CIQ(AT$6,"IQ_TEV",$AI123,$I$2,$I$3)))</f>
        <v/>
      </c>
      <c r="AV123" s="251">
        <f t="shared" si="69"/>
        <v>43637</v>
      </c>
      <c r="AW123" s="719">
        <f t="shared" si="70"/>
        <v>0.49628177202558632</v>
      </c>
      <c r="AX123" s="719">
        <f t="shared" si="71"/>
        <v>0.58534405824608382</v>
      </c>
      <c r="AY123" s="719" t="e">
        <f t="shared" si="72"/>
        <v>#N/A</v>
      </c>
      <c r="AZ123" s="719" t="e">
        <f t="shared" si="73"/>
        <v>#N/A</v>
      </c>
      <c r="BA123" s="719" t="e">
        <f t="shared" si="74"/>
        <v>#N/A</v>
      </c>
      <c r="BB123" s="719" t="e">
        <f t="shared" si="75"/>
        <v>#N/A</v>
      </c>
      <c r="BC123" s="719" t="e">
        <f t="shared" si="76"/>
        <v>#N/A</v>
      </c>
      <c r="BD123" s="719" t="e">
        <f t="shared" si="77"/>
        <v>#N/A</v>
      </c>
      <c r="BE123" s="719" t="e">
        <f t="shared" si="78"/>
        <v>#N/A</v>
      </c>
      <c r="BF123" s="719" t="e">
        <f t="shared" si="79"/>
        <v>#N/A</v>
      </c>
      <c r="BG123" s="719" t="e">
        <f t="shared" si="80"/>
        <v>#N/A</v>
      </c>
    </row>
    <row r="124" spans="1:59" ht="15" customHeight="1" x14ac:dyDescent="0.2">
      <c r="A124" s="251">
        <f t="shared" si="63"/>
        <v>43644</v>
      </c>
      <c r="B124" s="253" t="str">
        <f t="shared" si="81"/>
        <v>Yes</v>
      </c>
      <c r="C124" s="1033">
        <f>IF(C$6="","",IF(NOT(ISNUMBER(_xll.ciqfunctions.udf.CIQ(C$6,$F$2, $A124, $I$2, $I$3))),IF(C123=C$6,"",C123),_xll.ciqfunctions.udf.CIQ(C$6,$F$2, $A124, $I$2, $I$3)))</f>
        <v>110.49</v>
      </c>
      <c r="D124" s="1033">
        <f>IF(D$6="","",IF(NOT(ISNUMBER(_xll.ciqfunctions.udf.CIQ(D$6,$F$2, $A124, $I$2, $I$3))),IF(D123=D$6,"",D123),_xll.ciqfunctions.udf.CIQ(D$6,$F$2, $A124, $I$2, $I$3)))</f>
        <v>26599.96486</v>
      </c>
      <c r="E124" s="1033">
        <f>IF(E$6="","",IF(NOT(ISNUMBER(_xll.ciqfunctions.udf.CIQ(E$6,$F$2, $A124, $I$2, $I$3))),IF(E123=E$6,"",E123),_xll.ciqfunctions.udf.CIQ(E$6,$F$2, $A124, $I$2, $I$3)))</f>
        <v>8796.8335399999996</v>
      </c>
      <c r="F124" s="1033">
        <f>IF(F$6="","",IF(NOT(ISNUMBER(_xll.ciqfunctions.udf.CIQ(F$6,$F$2, $A124, $I$2, $I$3))),IF(F123=F$6,"",F123),_xll.ciqfunctions.udf.CIQ(F$6,$F$2, $A124, $I$2, $I$3)))</f>
        <v>4410.2965000000004</v>
      </c>
      <c r="G124" s="1033">
        <f>IF(G$6="","",IF(NOT(ISNUMBER(_xll.ciqfunctions.udf.CIQ(G$6,$F$2, $A124, $I$2, $I$3))),IF(G123=G$6,"",G123),_xll.ciqfunctions.udf.CIQ(G$6,$F$2, $A124, $I$2, $I$3)))</f>
        <v>264.26</v>
      </c>
      <c r="H124" s="1033" t="str">
        <f>IF(H$6="","",IF(NOT(ISNUMBER(_xll.ciqfunctions.udf.CIQ(H$6,$F$2, $A124, $I$2, $I$3))),IF(H123=H$6,"",H123),_xll.ciqfunctions.udf.CIQ(H$6,$F$2, $A124, $I$2, $I$3)))</f>
        <v/>
      </c>
      <c r="I124" s="1033" t="str">
        <f>IF(I$6="","",IF(NOT(ISNUMBER(_xll.ciqfunctions.udf.CIQ(I$6,$F$2, $A124, $I$2, $I$3))),IF(I123=I$6,"",I123),_xll.ciqfunctions.udf.CIQ(I$6,$F$2, $A124, $I$2, $I$3)))</f>
        <v/>
      </c>
      <c r="J124" s="1033" t="str">
        <f>IF(J$6="","",IF(NOT(ISNUMBER(_xll.ciqfunctions.udf.CIQ(J$6,$F$2, $A124, $I$2, $I$3))),IF(J123=J$6,"",J123),_xll.ciqfunctions.udf.CIQ(J$6,$F$2, $A124, $I$2, $I$3)))</f>
        <v/>
      </c>
      <c r="K124" s="1033" t="str">
        <f>IF(K$6="","",IF(NOT(ISNUMBER(_xll.ciqfunctions.udf.CIQ(K$6,$F$2, $A124, $I$2, $I$3))),IF(K123=K$6,"",K123),_xll.ciqfunctions.udf.CIQ(K$6,$F$2, $A124, $I$2, $I$3)))</f>
        <v/>
      </c>
      <c r="L124" s="254" t="str">
        <f>IF(L$6="","",IF(NOT(ISNUMBER(_xll.ciqfunctions.udf.CIQ(L$6,$F$2, $A124, $I$2, $I$3))),IF(L123=L$6,"",L123),_xll.ciqfunctions.udf.CIQ(L$6,$F$2, $A124, $I$2, $I$3)))</f>
        <v/>
      </c>
      <c r="M124" s="254" t="str">
        <f>IF(M$6="","",IF(NOT(ISNUMBER(_xll.ciqfunctions.udf.CIQ(M$6,$F$2, $A124, $I$2, $I$3))),IF(M123=M$6,"",M123),_xll.ciqfunctions.udf.CIQ(M$6,$F$2, $A124, $I$2, $I$3)))</f>
        <v/>
      </c>
      <c r="N124" s="254" t="str">
        <f>IF(N$6="","",IF(NOT(ISNUMBER(_xll.ciqfunctions.udf.CIQ(N$6,$F$2, $A124, $I$2, $I$3))),IF(N123=N$6,"",N123),_xll.ciqfunctions.udf.CIQ(N$6,$F$2, $A124, $I$2, $I$3)))</f>
        <v/>
      </c>
      <c r="O124" s="254" t="str">
        <f>IF(O$6="","",IF(NOT(ISNUMBER(_xll.ciqfunctions.udf.CIQ(O$6,$F$2, $A124, $I$2, $I$3))),IF(O123=O$6,"",O123),_xll.ciqfunctions.udf.CIQ(O$6,$F$2, $A124, $I$2, $I$3)))</f>
        <v/>
      </c>
      <c r="P124" s="254" t="str">
        <f>IF(P$6="","",IF(NOT(ISNUMBER(_xll.ciqfunctions.udf.CIQ(P$6,$F$2, $A124, $I$2, $I$3))),IF(P123=P$6,"",P123),_xll.ciqfunctions.udf.CIQ(P$6,$F$2, $A124, $I$2, $I$3)))</f>
        <v/>
      </c>
      <c r="Q124" s="254"/>
      <c r="R124" s="251">
        <f t="shared" si="64"/>
        <v>43644</v>
      </c>
      <c r="S124" s="255">
        <f t="shared" si="66"/>
        <v>0.53288013318534966</v>
      </c>
      <c r="T124" s="255">
        <f t="shared" si="67"/>
        <v>0.28730969788114913</v>
      </c>
      <c r="U124" s="255">
        <f t="shared" si="68"/>
        <v>0.22932554178014586</v>
      </c>
      <c r="V124" s="255">
        <f t="shared" si="82"/>
        <v>4.6839614002680552E-3</v>
      </c>
      <c r="W124" s="255">
        <f t="array" ref="W124">IFERROR(AVERAGE(IF(ISERROR(X124:AG124),"",X124:AG124)),"")</f>
        <v>0.57588407179915313</v>
      </c>
      <c r="X124" s="255">
        <f t="shared" si="83"/>
        <v>0.57588407179915313</v>
      </c>
      <c r="Y124" s="255" t="e">
        <f t="shared" si="84"/>
        <v>#N/A</v>
      </c>
      <c r="Z124" s="255" t="e">
        <f t="shared" si="85"/>
        <v>#N/A</v>
      </c>
      <c r="AA124" s="255" t="e">
        <f t="shared" si="86"/>
        <v>#N/A</v>
      </c>
      <c r="AB124" s="255" t="e">
        <f t="shared" si="87"/>
        <v>#N/A</v>
      </c>
      <c r="AC124" s="255" t="e">
        <f t="shared" si="88"/>
        <v>#N/A</v>
      </c>
      <c r="AD124" s="255" t="e">
        <f t="shared" si="89"/>
        <v>#N/A</v>
      </c>
      <c r="AE124" s="255" t="e">
        <f t="shared" si="90"/>
        <v>#N/A</v>
      </c>
      <c r="AF124" s="255" t="e">
        <f t="shared" si="91"/>
        <v>#N/A</v>
      </c>
      <c r="AG124" s="255" t="e">
        <f t="shared" si="92"/>
        <v>#N/A</v>
      </c>
      <c r="AI124" s="251">
        <f t="shared" si="65"/>
        <v>43644</v>
      </c>
      <c r="AJ124" s="718">
        <f>IF(OR($B124="No",AJ$6=""),"",IF(NOT(ISNUMBER(_xll.ciqfunctions.udf.CIQ(AJ$6,"IQ_TEV",$AI124,$I$2,$I$3))),"",_xll.ciqfunctions.udf.CIQ(AJ$6,"IQ_TEV",$AI124,$I$2,$I$3)))</f>
        <v>388788.24891999998</v>
      </c>
      <c r="AK124" s="718">
        <f>IF(OR($B124="No",AK$6=""),"",IF(NOT(ISNUMBER(_xll.ciqfunctions.udf.CIQ(AK$6,"IQ_TEV",$AI124,$I$2,$I$3))),"",_xll.ciqfunctions.udf.CIQ(AK$6,"IQ_TEV",$AI124,$I$2,$I$3)))</f>
        <v>114883.69029</v>
      </c>
      <c r="AL124" s="718" t="str">
        <f>IF(OR($B124="No",AL$6=""),"",IF(NOT(ISNUMBER(_xll.ciqfunctions.udf.CIQ(AL$6,"IQ_TEV",$AI124,$I$2,$I$3))),"",_xll.ciqfunctions.udf.CIQ(AL$6,"IQ_TEV",$AI124,$I$2,$I$3)))</f>
        <v/>
      </c>
      <c r="AM124" s="718" t="str">
        <f>IF(OR($B124="No",AM$6=""),"",IF(NOT(ISNUMBER(_xll.ciqfunctions.udf.CIQ(AM$6,"IQ_TEV",$AI124,$I$2,$I$3))),"",_xll.ciqfunctions.udf.CIQ(AM$6,"IQ_TEV",$AI124,$I$2,$I$3)))</f>
        <v/>
      </c>
      <c r="AN124" s="718" t="str">
        <f>IF(OR($B124="No",AN$6=""),"",IF(NOT(ISNUMBER(_xll.ciqfunctions.udf.CIQ(AN$6,"IQ_TEV",$AI124,$I$2,$I$3))),"",_xll.ciqfunctions.udf.CIQ(AN$6,"IQ_TEV",$AI124,$I$2,$I$3)))</f>
        <v/>
      </c>
      <c r="AO124" s="718" t="str">
        <f>IF(OR($B124="No",AO$6=""),"",IF(NOT(ISNUMBER(_xll.ciqfunctions.udf.CIQ(AO$6,"IQ_TEV",$AI124,$I$2,$I$3))),"",_xll.ciqfunctions.udf.CIQ(AO$6,"IQ_TEV",$AI124,$I$2,$I$3)))</f>
        <v/>
      </c>
      <c r="AP124" s="718" t="str">
        <f>IF(OR($B124="No",AP$6=""),"",IF(NOT(ISNUMBER(_xll.ciqfunctions.udf.CIQ(AP$6,"IQ_TEV",$AI124,$I$2,$I$3))),"",_xll.ciqfunctions.udf.CIQ(AP$6,"IQ_TEV",$AI124,$I$2,$I$3)))</f>
        <v/>
      </c>
      <c r="AQ124" s="718" t="str">
        <f>IF(OR($B124="No",AQ$6=""),"",IF(NOT(ISNUMBER(_xll.ciqfunctions.udf.CIQ(AQ$6,"IQ_TEV",$AI124,$I$2,$I$3))),"",_xll.ciqfunctions.udf.CIQ(AQ$6,"IQ_TEV",$AI124,$I$2,$I$3)))</f>
        <v/>
      </c>
      <c r="AR124" s="718" t="str">
        <f>IF(OR($B124="No",AR$6=""),"",IF(NOT(ISNUMBER(_xll.ciqfunctions.udf.CIQ(AR$6,"IQ_TEV",$AI124,$I$2,$I$3))),"",_xll.ciqfunctions.udf.CIQ(AR$6,"IQ_TEV",$AI124,$I$2,$I$3)))</f>
        <v/>
      </c>
      <c r="AS124" s="718" t="str">
        <f>IF(OR($B124="No",AS$6=""),"",IF(NOT(ISNUMBER(_xll.ciqfunctions.udf.CIQ(AS$6,"IQ_TEV",$AI124,$I$2,$I$3))),"",_xll.ciqfunctions.udf.CIQ(AS$6,"IQ_TEV",$AI124,$I$2,$I$3)))</f>
        <v/>
      </c>
      <c r="AT124" s="718" t="str">
        <f>IF(OR($B124="No",AT$6=""),"",IF(NOT(ISNUMBER(_xll.ciqfunctions.udf.CIQ(AT$6,"IQ_TEV",$AI124,$I$2,$I$3))),"",_xll.ciqfunctions.udf.CIQ(AT$6,"IQ_TEV",$AI124,$I$2,$I$3)))</f>
        <v/>
      </c>
      <c r="AV124" s="251">
        <f t="shared" si="69"/>
        <v>43644</v>
      </c>
      <c r="AW124" s="719">
        <f t="shared" si="70"/>
        <v>0.48928322343444597</v>
      </c>
      <c r="AX124" s="719">
        <f t="shared" si="71"/>
        <v>0.5740758868957907</v>
      </c>
      <c r="AY124" s="719" t="e">
        <f t="shared" si="72"/>
        <v>#N/A</v>
      </c>
      <c r="AZ124" s="719" t="e">
        <f t="shared" si="73"/>
        <v>#N/A</v>
      </c>
      <c r="BA124" s="719" t="e">
        <f t="shared" si="74"/>
        <v>#N/A</v>
      </c>
      <c r="BB124" s="719" t="e">
        <f t="shared" si="75"/>
        <v>#N/A</v>
      </c>
      <c r="BC124" s="719" t="e">
        <f t="shared" si="76"/>
        <v>#N/A</v>
      </c>
      <c r="BD124" s="719" t="e">
        <f t="shared" si="77"/>
        <v>#N/A</v>
      </c>
      <c r="BE124" s="719" t="e">
        <f t="shared" si="78"/>
        <v>#N/A</v>
      </c>
      <c r="BF124" s="719" t="e">
        <f t="shared" si="79"/>
        <v>#N/A</v>
      </c>
      <c r="BG124" s="719" t="e">
        <f t="shared" si="80"/>
        <v>#N/A</v>
      </c>
    </row>
    <row r="125" spans="1:59" ht="15" customHeight="1" x14ac:dyDescent="0.2">
      <c r="A125" s="251">
        <f t="shared" si="63"/>
        <v>43651</v>
      </c>
      <c r="B125" s="253" t="str">
        <f t="shared" si="81"/>
        <v>Yes</v>
      </c>
      <c r="C125" s="1033">
        <f>IF(C$6="","",IF(NOT(ISNUMBER(_xll.ciqfunctions.udf.CIQ(C$6,$F$2, $A125, $I$2, $I$3))),IF(C124=C$6,"",C124),_xll.ciqfunctions.udf.CIQ(C$6,$F$2, $A125, $I$2, $I$3)))</f>
        <v>111.98</v>
      </c>
      <c r="D125" s="1033">
        <f>IF(D$6="","",IF(NOT(ISNUMBER(_xll.ciqfunctions.udf.CIQ(D$6,$F$2, $A125, $I$2, $I$3))),IF(D124=D$6,"",D124),_xll.ciqfunctions.udf.CIQ(D$6,$F$2, $A125, $I$2, $I$3)))</f>
        <v>26922.117389999999</v>
      </c>
      <c r="E125" s="1033">
        <f>IF(E$6="","",IF(NOT(ISNUMBER(_xll.ciqfunctions.udf.CIQ(E$6,$F$2, $A125, $I$2, $I$3))),IF(E124=E$6,"",E124),_xll.ciqfunctions.udf.CIQ(E$6,$F$2, $A125, $I$2, $I$3)))</f>
        <v>8885.0203600000004</v>
      </c>
      <c r="F125" s="1033">
        <f>IF(F$6="","",IF(NOT(ISNUMBER(_xll.ciqfunctions.udf.CIQ(F$6,$F$2, $A125, $I$2, $I$3))),IF(F124=F$6,"",F124),_xll.ciqfunctions.udf.CIQ(F$6,$F$2, $A125, $I$2, $I$3)))</f>
        <v>4468.62482</v>
      </c>
      <c r="G125" s="1033">
        <f>IF(G$6="","",IF(NOT(ISNUMBER(_xll.ciqfunctions.udf.CIQ(G$6,$F$2, $A125, $I$2, $I$3))),IF(G124=G$6,"",G124),_xll.ciqfunctions.udf.CIQ(G$6,$F$2, $A125, $I$2, $I$3)))</f>
        <v>268.25</v>
      </c>
      <c r="H125" s="1033" t="str">
        <f>IF(H$6="","",IF(NOT(ISNUMBER(_xll.ciqfunctions.udf.CIQ(H$6,$F$2, $A125, $I$2, $I$3))),IF(H124=H$6,"",H124),_xll.ciqfunctions.udf.CIQ(H$6,$F$2, $A125, $I$2, $I$3)))</f>
        <v/>
      </c>
      <c r="I125" s="1033" t="str">
        <f>IF(I$6="","",IF(NOT(ISNUMBER(_xll.ciqfunctions.udf.CIQ(I$6,$F$2, $A125, $I$2, $I$3))),IF(I124=I$6,"",I124),_xll.ciqfunctions.udf.CIQ(I$6,$F$2, $A125, $I$2, $I$3)))</f>
        <v/>
      </c>
      <c r="J125" s="1033" t="str">
        <f>IF(J$6="","",IF(NOT(ISNUMBER(_xll.ciqfunctions.udf.CIQ(J$6,$F$2, $A125, $I$2, $I$3))),IF(J124=J$6,"",J124),_xll.ciqfunctions.udf.CIQ(J$6,$F$2, $A125, $I$2, $I$3)))</f>
        <v/>
      </c>
      <c r="K125" s="1033" t="str">
        <f>IF(K$6="","",IF(NOT(ISNUMBER(_xll.ciqfunctions.udf.CIQ(K$6,$F$2, $A125, $I$2, $I$3))),IF(K124=K$6,"",K124),_xll.ciqfunctions.udf.CIQ(K$6,$F$2, $A125, $I$2, $I$3)))</f>
        <v/>
      </c>
      <c r="L125" s="254" t="str">
        <f>IF(L$6="","",IF(NOT(ISNUMBER(_xll.ciqfunctions.udf.CIQ(L$6,$F$2, $A125, $I$2, $I$3))),IF(L124=L$6,"",L124),_xll.ciqfunctions.udf.CIQ(L$6,$F$2, $A125, $I$2, $I$3)))</f>
        <v/>
      </c>
      <c r="M125" s="254" t="str">
        <f>IF(M$6="","",IF(NOT(ISNUMBER(_xll.ciqfunctions.udf.CIQ(M$6,$F$2, $A125, $I$2, $I$3))),IF(M124=M$6,"",M124),_xll.ciqfunctions.udf.CIQ(M$6,$F$2, $A125, $I$2, $I$3)))</f>
        <v/>
      </c>
      <c r="N125" s="254" t="str">
        <f>IF(N$6="","",IF(NOT(ISNUMBER(_xll.ciqfunctions.udf.CIQ(N$6,$F$2, $A125, $I$2, $I$3))),IF(N124=N$6,"",N124),_xll.ciqfunctions.udf.CIQ(N$6,$F$2, $A125, $I$2, $I$3)))</f>
        <v/>
      </c>
      <c r="O125" s="254" t="str">
        <f>IF(O$6="","",IF(NOT(ISNUMBER(_xll.ciqfunctions.udf.CIQ(O$6,$F$2, $A125, $I$2, $I$3))),IF(O124=O$6,"",O124),_xll.ciqfunctions.udf.CIQ(O$6,$F$2, $A125, $I$2, $I$3)))</f>
        <v/>
      </c>
      <c r="P125" s="254" t="str">
        <f>IF(P$6="","",IF(NOT(ISNUMBER(_xll.ciqfunctions.udf.CIQ(P$6,$F$2, $A125, $I$2, $I$3))),IF(P124=P$6,"",P124),_xll.ciqfunctions.udf.CIQ(P$6,$F$2, $A125, $I$2, $I$3)))</f>
        <v/>
      </c>
      <c r="Q125" s="254"/>
      <c r="R125" s="251">
        <f t="shared" si="64"/>
        <v>43651</v>
      </c>
      <c r="S125" s="255">
        <f t="shared" si="66"/>
        <v>0.55355160932297465</v>
      </c>
      <c r="T125" s="255">
        <f t="shared" si="67"/>
        <v>0.30290032284056689</v>
      </c>
      <c r="U125" s="255">
        <f t="shared" si="68"/>
        <v>0.24164932962737717</v>
      </c>
      <c r="V125" s="255">
        <f t="shared" si="82"/>
        <v>1.7971396292552955E-2</v>
      </c>
      <c r="W125" s="255">
        <f t="array" ref="W125">IFERROR(AVERAGE(IF(ISERROR(X125:AG125),"",X125:AG125)),"")</f>
        <v>0.59967797721986993</v>
      </c>
      <c r="X125" s="255">
        <f t="shared" si="83"/>
        <v>0.59967797721986993</v>
      </c>
      <c r="Y125" s="255" t="e">
        <f t="shared" si="84"/>
        <v>#N/A</v>
      </c>
      <c r="Z125" s="255" t="e">
        <f t="shared" si="85"/>
        <v>#N/A</v>
      </c>
      <c r="AA125" s="255" t="e">
        <f t="shared" si="86"/>
        <v>#N/A</v>
      </c>
      <c r="AB125" s="255" t="e">
        <f t="shared" si="87"/>
        <v>#N/A</v>
      </c>
      <c r="AC125" s="255" t="e">
        <f t="shared" si="88"/>
        <v>#N/A</v>
      </c>
      <c r="AD125" s="255" t="e">
        <f t="shared" si="89"/>
        <v>#N/A</v>
      </c>
      <c r="AE125" s="255" t="e">
        <f t="shared" si="90"/>
        <v>#N/A</v>
      </c>
      <c r="AF125" s="255" t="e">
        <f t="shared" si="91"/>
        <v>#N/A</v>
      </c>
      <c r="AG125" s="255" t="e">
        <f t="shared" si="92"/>
        <v>#N/A</v>
      </c>
      <c r="AI125" s="251">
        <f t="shared" si="65"/>
        <v>43651</v>
      </c>
      <c r="AJ125" s="718">
        <f>IF(OR($B125="No",AJ$6=""),"",IF(NOT(ISNUMBER(_xll.ciqfunctions.udf.CIQ(AJ$6,"IQ_TEV",$AI125,$I$2,$I$3))),"",_xll.ciqfunctions.udf.CIQ(AJ$6,"IQ_TEV",$AI125,$I$2,$I$3)))</f>
        <v>393041.78490000003</v>
      </c>
      <c r="AK125" s="718">
        <f>IF(OR($B125="No",AK$6=""),"",IF(NOT(ISNUMBER(_xll.ciqfunctions.udf.CIQ(AK$6,"IQ_TEV",$AI125,$I$2,$I$3))),"",_xll.ciqfunctions.udf.CIQ(AK$6,"IQ_TEV",$AI125,$I$2,$I$3)))</f>
        <v>116638.44914</v>
      </c>
      <c r="AL125" s="718" t="str">
        <f>IF(OR($B125="No",AL$6=""),"",IF(NOT(ISNUMBER(_xll.ciqfunctions.udf.CIQ(AL$6,"IQ_TEV",$AI125,$I$2,$I$3))),"",_xll.ciqfunctions.udf.CIQ(AL$6,"IQ_TEV",$AI125,$I$2,$I$3)))</f>
        <v/>
      </c>
      <c r="AM125" s="718" t="str">
        <f>IF(OR($B125="No",AM$6=""),"",IF(NOT(ISNUMBER(_xll.ciqfunctions.udf.CIQ(AM$6,"IQ_TEV",$AI125,$I$2,$I$3))),"",_xll.ciqfunctions.udf.CIQ(AM$6,"IQ_TEV",$AI125,$I$2,$I$3)))</f>
        <v/>
      </c>
      <c r="AN125" s="718" t="str">
        <f>IF(OR($B125="No",AN$6=""),"",IF(NOT(ISNUMBER(_xll.ciqfunctions.udf.CIQ(AN$6,"IQ_TEV",$AI125,$I$2,$I$3))),"",_xll.ciqfunctions.udf.CIQ(AN$6,"IQ_TEV",$AI125,$I$2,$I$3)))</f>
        <v/>
      </c>
      <c r="AO125" s="718" t="str">
        <f>IF(OR($B125="No",AO$6=""),"",IF(NOT(ISNUMBER(_xll.ciqfunctions.udf.CIQ(AO$6,"IQ_TEV",$AI125,$I$2,$I$3))),"",_xll.ciqfunctions.udf.CIQ(AO$6,"IQ_TEV",$AI125,$I$2,$I$3)))</f>
        <v/>
      </c>
      <c r="AP125" s="718" t="str">
        <f>IF(OR($B125="No",AP$6=""),"",IF(NOT(ISNUMBER(_xll.ciqfunctions.udf.CIQ(AP$6,"IQ_TEV",$AI125,$I$2,$I$3))),"",_xll.ciqfunctions.udf.CIQ(AP$6,"IQ_TEV",$AI125,$I$2,$I$3)))</f>
        <v/>
      </c>
      <c r="AQ125" s="718" t="str">
        <f>IF(OR($B125="No",AQ$6=""),"",IF(NOT(ISNUMBER(_xll.ciqfunctions.udf.CIQ(AQ$6,"IQ_TEV",$AI125,$I$2,$I$3))),"",_xll.ciqfunctions.udf.CIQ(AQ$6,"IQ_TEV",$AI125,$I$2,$I$3)))</f>
        <v/>
      </c>
      <c r="AR125" s="718" t="str">
        <f>IF(OR($B125="No",AR$6=""),"",IF(NOT(ISNUMBER(_xll.ciqfunctions.udf.CIQ(AR$6,"IQ_TEV",$AI125,$I$2,$I$3))),"",_xll.ciqfunctions.udf.CIQ(AR$6,"IQ_TEV",$AI125,$I$2,$I$3)))</f>
        <v/>
      </c>
      <c r="AS125" s="718" t="str">
        <f>IF(OR($B125="No",AS$6=""),"",IF(NOT(ISNUMBER(_xll.ciqfunctions.udf.CIQ(AS$6,"IQ_TEV",$AI125,$I$2,$I$3))),"",_xll.ciqfunctions.udf.CIQ(AS$6,"IQ_TEV",$AI125,$I$2,$I$3)))</f>
        <v/>
      </c>
      <c r="AT125" s="718" t="str">
        <f>IF(OR($B125="No",AT$6=""),"",IF(NOT(ISNUMBER(_xll.ciqfunctions.udf.CIQ(AT$6,"IQ_TEV",$AI125,$I$2,$I$3))),"",_xll.ciqfunctions.udf.CIQ(AT$6,"IQ_TEV",$AI125,$I$2,$I$3)))</f>
        <v/>
      </c>
      <c r="AV125" s="251">
        <f t="shared" si="69"/>
        <v>43651</v>
      </c>
      <c r="AW125" s="719">
        <f t="shared" si="70"/>
        <v>0.50557671942586513</v>
      </c>
      <c r="AX125" s="719">
        <f t="shared" si="71"/>
        <v>0.59811866952341664</v>
      </c>
      <c r="AY125" s="719" t="e">
        <f t="shared" si="72"/>
        <v>#N/A</v>
      </c>
      <c r="AZ125" s="719" t="e">
        <f t="shared" si="73"/>
        <v>#N/A</v>
      </c>
      <c r="BA125" s="719" t="e">
        <f t="shared" si="74"/>
        <v>#N/A</v>
      </c>
      <c r="BB125" s="719" t="e">
        <f t="shared" si="75"/>
        <v>#N/A</v>
      </c>
      <c r="BC125" s="719" t="e">
        <f t="shared" si="76"/>
        <v>#N/A</v>
      </c>
      <c r="BD125" s="719" t="e">
        <f t="shared" si="77"/>
        <v>#N/A</v>
      </c>
      <c r="BE125" s="719" t="e">
        <f t="shared" si="78"/>
        <v>#N/A</v>
      </c>
      <c r="BF125" s="719" t="e">
        <f t="shared" si="79"/>
        <v>#N/A</v>
      </c>
      <c r="BG125" s="719" t="e">
        <f t="shared" si="80"/>
        <v>#N/A</v>
      </c>
    </row>
    <row r="126" spans="1:59" ht="15" customHeight="1" x14ac:dyDescent="0.2">
      <c r="A126" s="251">
        <f t="shared" si="63"/>
        <v>43658</v>
      </c>
      <c r="B126" s="253" t="str">
        <f t="shared" si="81"/>
        <v>Yes</v>
      </c>
      <c r="C126" s="1033">
        <f>IF(C$6="","",IF(NOT(ISNUMBER(_xll.ciqfunctions.udf.CIQ(C$6,$F$2, $A126, $I$2, $I$3))),IF(C125=C$6,"",C125),_xll.ciqfunctions.udf.CIQ(C$6,$F$2, $A126, $I$2, $I$3)))</f>
        <v>114.6</v>
      </c>
      <c r="D126" s="1033">
        <f>IF(D$6="","",IF(NOT(ISNUMBER(_xll.ciqfunctions.udf.CIQ(D$6,$F$2, $A126, $I$2, $I$3))),IF(D125=D$6,"",D125),_xll.ciqfunctions.udf.CIQ(D$6,$F$2, $A126, $I$2, $I$3)))</f>
        <v>27332.031050000001</v>
      </c>
      <c r="E126" s="1033">
        <f>IF(E$6="","",IF(NOT(ISNUMBER(_xll.ciqfunctions.udf.CIQ(E$6,$F$2, $A126, $I$2, $I$3))),IF(E125=E$6,"",E125),_xll.ciqfunctions.udf.CIQ(E$6,$F$2, $A126, $I$2, $I$3)))</f>
        <v>8999.0888099999993</v>
      </c>
      <c r="F126" s="1033">
        <f>IF(F$6="","",IF(NOT(ISNUMBER(_xll.ciqfunctions.udf.CIQ(F$6,$F$2, $A126, $I$2, $I$3))),IF(F125=F$6,"",F125),_xll.ciqfunctions.udf.CIQ(F$6,$F$2, $A126, $I$2, $I$3)))</f>
        <v>4489.1955200000002</v>
      </c>
      <c r="G126" s="1033">
        <f>IF(G$6="","",IF(NOT(ISNUMBER(_xll.ciqfunctions.udf.CIQ(G$6,$F$2, $A126, $I$2, $I$3))),IF(G125=G$6,"",G125),_xll.ciqfunctions.udf.CIQ(G$6,$F$2, $A126, $I$2, $I$3)))</f>
        <v>279.44</v>
      </c>
      <c r="H126" s="1033" t="str">
        <f>IF(H$6="","",IF(NOT(ISNUMBER(_xll.ciqfunctions.udf.CIQ(H$6,$F$2, $A126, $I$2, $I$3))),IF(H125=H$6,"",H125),_xll.ciqfunctions.udf.CIQ(H$6,$F$2, $A126, $I$2, $I$3)))</f>
        <v/>
      </c>
      <c r="I126" s="1033" t="str">
        <f>IF(I$6="","",IF(NOT(ISNUMBER(_xll.ciqfunctions.udf.CIQ(I$6,$F$2, $A126, $I$2, $I$3))),IF(I125=I$6,"",I125),_xll.ciqfunctions.udf.CIQ(I$6,$F$2, $A126, $I$2, $I$3)))</f>
        <v/>
      </c>
      <c r="J126" s="1033" t="str">
        <f>IF(J$6="","",IF(NOT(ISNUMBER(_xll.ciqfunctions.udf.CIQ(J$6,$F$2, $A126, $I$2, $I$3))),IF(J125=J$6,"",J125),_xll.ciqfunctions.udf.CIQ(J$6,$F$2, $A126, $I$2, $I$3)))</f>
        <v/>
      </c>
      <c r="K126" s="1033" t="str">
        <f>IF(K$6="","",IF(NOT(ISNUMBER(_xll.ciqfunctions.udf.CIQ(K$6,$F$2, $A126, $I$2, $I$3))),IF(K125=K$6,"",K125),_xll.ciqfunctions.udf.CIQ(K$6,$F$2, $A126, $I$2, $I$3)))</f>
        <v/>
      </c>
      <c r="L126" s="254" t="str">
        <f>IF(L$6="","",IF(NOT(ISNUMBER(_xll.ciqfunctions.udf.CIQ(L$6,$F$2, $A126, $I$2, $I$3))),IF(L125=L$6,"",L125),_xll.ciqfunctions.udf.CIQ(L$6,$F$2, $A126, $I$2, $I$3)))</f>
        <v/>
      </c>
      <c r="M126" s="254" t="str">
        <f>IF(M$6="","",IF(NOT(ISNUMBER(_xll.ciqfunctions.udf.CIQ(M$6,$F$2, $A126, $I$2, $I$3))),IF(M125=M$6,"",M125),_xll.ciqfunctions.udf.CIQ(M$6,$F$2, $A126, $I$2, $I$3)))</f>
        <v/>
      </c>
      <c r="N126" s="254" t="str">
        <f>IF(N$6="","",IF(NOT(ISNUMBER(_xll.ciqfunctions.udf.CIQ(N$6,$F$2, $A126, $I$2, $I$3))),IF(N125=N$6,"",N125),_xll.ciqfunctions.udf.CIQ(N$6,$F$2, $A126, $I$2, $I$3)))</f>
        <v/>
      </c>
      <c r="O126" s="254" t="str">
        <f>IF(O$6="","",IF(NOT(ISNUMBER(_xll.ciqfunctions.udf.CIQ(O$6,$F$2, $A126, $I$2, $I$3))),IF(O125=O$6,"",O125),_xll.ciqfunctions.udf.CIQ(O$6,$F$2, $A126, $I$2, $I$3)))</f>
        <v/>
      </c>
      <c r="P126" s="254" t="str">
        <f>IF(P$6="","",IF(NOT(ISNUMBER(_xll.ciqfunctions.udf.CIQ(P$6,$F$2, $A126, $I$2, $I$3))),IF(P125=P$6,"",P125),_xll.ciqfunctions.udf.CIQ(P$6,$F$2, $A126, $I$2, $I$3)))</f>
        <v/>
      </c>
      <c r="Q126" s="254"/>
      <c r="R126" s="251">
        <f t="shared" si="64"/>
        <v>43658</v>
      </c>
      <c r="S126" s="255">
        <f t="shared" si="66"/>
        <v>0.58990011098779127</v>
      </c>
      <c r="T126" s="255">
        <f t="shared" si="67"/>
        <v>0.32273816219822216</v>
      </c>
      <c r="U126" s="255">
        <f t="shared" si="68"/>
        <v>0.25758998127875188</v>
      </c>
      <c r="V126" s="255">
        <f t="shared" si="82"/>
        <v>2.265748766186948E-2</v>
      </c>
      <c r="W126" s="255">
        <f t="array" ref="W126">IFERROR(AVERAGE(IF(ISERROR(X126:AG126),"",X126:AG126)),"")</f>
        <v>0.66640825332458697</v>
      </c>
      <c r="X126" s="255">
        <f t="shared" si="83"/>
        <v>0.66640825332458697</v>
      </c>
      <c r="Y126" s="255" t="e">
        <f t="shared" si="84"/>
        <v>#N/A</v>
      </c>
      <c r="Z126" s="255" t="e">
        <f t="shared" si="85"/>
        <v>#N/A</v>
      </c>
      <c r="AA126" s="255" t="e">
        <f t="shared" si="86"/>
        <v>#N/A</v>
      </c>
      <c r="AB126" s="255" t="e">
        <f t="shared" si="87"/>
        <v>#N/A</v>
      </c>
      <c r="AC126" s="255" t="e">
        <f t="shared" si="88"/>
        <v>#N/A</v>
      </c>
      <c r="AD126" s="255" t="e">
        <f t="shared" si="89"/>
        <v>#N/A</v>
      </c>
      <c r="AE126" s="255" t="e">
        <f t="shared" si="90"/>
        <v>#N/A</v>
      </c>
      <c r="AF126" s="255" t="e">
        <f t="shared" si="91"/>
        <v>#N/A</v>
      </c>
      <c r="AG126" s="255" t="e">
        <f t="shared" si="92"/>
        <v>#N/A</v>
      </c>
      <c r="AI126" s="251">
        <f t="shared" si="65"/>
        <v>43658</v>
      </c>
      <c r="AJ126" s="718">
        <f>IF(OR($B126="No",AJ$6=""),"",IF(NOT(ISNUMBER(_xll.ciqfunctions.udf.CIQ(AJ$6,"IQ_TEV",$AI126,$I$2,$I$3))),"",_xll.ciqfunctions.udf.CIQ(AJ$6,"IQ_TEV",$AI126,$I$2,$I$3)))</f>
        <v>400521.1569</v>
      </c>
      <c r="AK126" s="718">
        <f>IF(OR($B126="No",AK$6=""),"",IF(NOT(ISNUMBER(_xll.ciqfunctions.udf.CIQ(AK$6,"IQ_TEV",$AI126,$I$2,$I$3))),"",_xll.ciqfunctions.udf.CIQ(AK$6,"IQ_TEV",$AI126,$I$2,$I$3)))</f>
        <v>121559.69014000001</v>
      </c>
      <c r="AL126" s="718" t="str">
        <f>IF(OR($B126="No",AL$6=""),"",IF(NOT(ISNUMBER(_xll.ciqfunctions.udf.CIQ(AL$6,"IQ_TEV",$AI126,$I$2,$I$3))),"",_xll.ciqfunctions.udf.CIQ(AL$6,"IQ_TEV",$AI126,$I$2,$I$3)))</f>
        <v/>
      </c>
      <c r="AM126" s="718" t="str">
        <f>IF(OR($B126="No",AM$6=""),"",IF(NOT(ISNUMBER(_xll.ciqfunctions.udf.CIQ(AM$6,"IQ_TEV",$AI126,$I$2,$I$3))),"",_xll.ciqfunctions.udf.CIQ(AM$6,"IQ_TEV",$AI126,$I$2,$I$3)))</f>
        <v/>
      </c>
      <c r="AN126" s="718" t="str">
        <f>IF(OR($B126="No",AN$6=""),"",IF(NOT(ISNUMBER(_xll.ciqfunctions.udf.CIQ(AN$6,"IQ_TEV",$AI126,$I$2,$I$3))),"",_xll.ciqfunctions.udf.CIQ(AN$6,"IQ_TEV",$AI126,$I$2,$I$3)))</f>
        <v/>
      </c>
      <c r="AO126" s="718" t="str">
        <f>IF(OR($B126="No",AO$6=""),"",IF(NOT(ISNUMBER(_xll.ciqfunctions.udf.CIQ(AO$6,"IQ_TEV",$AI126,$I$2,$I$3))),"",_xll.ciqfunctions.udf.CIQ(AO$6,"IQ_TEV",$AI126,$I$2,$I$3)))</f>
        <v/>
      </c>
      <c r="AP126" s="718" t="str">
        <f>IF(OR($B126="No",AP$6=""),"",IF(NOT(ISNUMBER(_xll.ciqfunctions.udf.CIQ(AP$6,"IQ_TEV",$AI126,$I$2,$I$3))),"",_xll.ciqfunctions.udf.CIQ(AP$6,"IQ_TEV",$AI126,$I$2,$I$3)))</f>
        <v/>
      </c>
      <c r="AQ126" s="718" t="str">
        <f>IF(OR($B126="No",AQ$6=""),"",IF(NOT(ISNUMBER(_xll.ciqfunctions.udf.CIQ(AQ$6,"IQ_TEV",$AI126,$I$2,$I$3))),"",_xll.ciqfunctions.udf.CIQ(AQ$6,"IQ_TEV",$AI126,$I$2,$I$3)))</f>
        <v/>
      </c>
      <c r="AR126" s="718" t="str">
        <f>IF(OR($B126="No",AR$6=""),"",IF(NOT(ISNUMBER(_xll.ciqfunctions.udf.CIQ(AR$6,"IQ_TEV",$AI126,$I$2,$I$3))),"",_xll.ciqfunctions.udf.CIQ(AR$6,"IQ_TEV",$AI126,$I$2,$I$3)))</f>
        <v/>
      </c>
      <c r="AS126" s="718" t="str">
        <f>IF(OR($B126="No",AS$6=""),"",IF(NOT(ISNUMBER(_xll.ciqfunctions.udf.CIQ(AS$6,"IQ_TEV",$AI126,$I$2,$I$3))),"",_xll.ciqfunctions.udf.CIQ(AS$6,"IQ_TEV",$AI126,$I$2,$I$3)))</f>
        <v/>
      </c>
      <c r="AT126" s="718" t="str">
        <f>IF(OR($B126="No",AT$6=""),"",IF(NOT(ISNUMBER(_xll.ciqfunctions.udf.CIQ(AT$6,"IQ_TEV",$AI126,$I$2,$I$3))),"",_xll.ciqfunctions.udf.CIQ(AT$6,"IQ_TEV",$AI126,$I$2,$I$3)))</f>
        <v/>
      </c>
      <c r="AV126" s="251">
        <f t="shared" si="69"/>
        <v>43658</v>
      </c>
      <c r="AW126" s="719">
        <f t="shared" si="70"/>
        <v>0.53422702784533915</v>
      </c>
      <c r="AX126" s="719">
        <f t="shared" si="71"/>
        <v>0.66554692476268307</v>
      </c>
      <c r="AY126" s="719" t="e">
        <f t="shared" si="72"/>
        <v>#N/A</v>
      </c>
      <c r="AZ126" s="719" t="e">
        <f t="shared" si="73"/>
        <v>#N/A</v>
      </c>
      <c r="BA126" s="719" t="e">
        <f t="shared" si="74"/>
        <v>#N/A</v>
      </c>
      <c r="BB126" s="719" t="e">
        <f t="shared" si="75"/>
        <v>#N/A</v>
      </c>
      <c r="BC126" s="719" t="e">
        <f t="shared" si="76"/>
        <v>#N/A</v>
      </c>
      <c r="BD126" s="719" t="e">
        <f t="shared" si="77"/>
        <v>#N/A</v>
      </c>
      <c r="BE126" s="719" t="e">
        <f t="shared" si="78"/>
        <v>#N/A</v>
      </c>
      <c r="BF126" s="719" t="e">
        <f t="shared" si="79"/>
        <v>#N/A</v>
      </c>
      <c r="BG126" s="719" t="e">
        <f t="shared" si="80"/>
        <v>#N/A</v>
      </c>
    </row>
    <row r="127" spans="1:59" ht="15" customHeight="1" x14ac:dyDescent="0.2">
      <c r="A127" s="251">
        <f t="shared" si="63"/>
        <v>43665</v>
      </c>
      <c r="B127" s="253" t="str">
        <f t="shared" si="81"/>
        <v>Yes</v>
      </c>
      <c r="C127" s="1033">
        <f>IF(C$6="","",IF(NOT(ISNUMBER(_xll.ciqfunctions.udf.CIQ(C$6,$F$2, $A127, $I$2, $I$3))),IF(C126=C$6,"",C126),_xll.ciqfunctions.udf.CIQ(C$6,$F$2, $A127, $I$2, $I$3)))</f>
        <v>113.9</v>
      </c>
      <c r="D127" s="1033">
        <f>IF(D$6="","",IF(NOT(ISNUMBER(_xll.ciqfunctions.udf.CIQ(D$6,$F$2, $A127, $I$2, $I$3))),IF(D126=D$6,"",D126),_xll.ciqfunctions.udf.CIQ(D$6,$F$2, $A127, $I$2, $I$3)))</f>
        <v>27154.202850000001</v>
      </c>
      <c r="E127" s="1033">
        <f>IF(E$6="","",IF(NOT(ISNUMBER(_xll.ciqfunctions.udf.CIQ(E$6,$F$2, $A127, $I$2, $I$3))),IF(E126=E$6,"",E126),_xll.ciqfunctions.udf.CIQ(E$6,$F$2, $A127, $I$2, $I$3)))</f>
        <v>8950.3208799999993</v>
      </c>
      <c r="F127" s="1033">
        <f>IF(F$6="","",IF(NOT(ISNUMBER(_xll.ciqfunctions.udf.CIQ(F$6,$F$2, $A127, $I$2, $I$3))),IF(F126=F$6,"",F126),_xll.ciqfunctions.udf.CIQ(F$6,$F$2, $A127, $I$2, $I$3)))</f>
        <v>4415.8558700000003</v>
      </c>
      <c r="G127" s="1033">
        <f>IF(G$6="","",IF(NOT(ISNUMBER(_xll.ciqfunctions.udf.CIQ(G$6,$F$2, $A127, $I$2, $I$3))),IF(G126=G$6,"",G126),_xll.ciqfunctions.udf.CIQ(G$6,$F$2, $A127, $I$2, $I$3)))</f>
        <v>281.51</v>
      </c>
      <c r="H127" s="1033" t="str">
        <f>IF(H$6="","",IF(NOT(ISNUMBER(_xll.ciqfunctions.udf.CIQ(H$6,$F$2, $A127, $I$2, $I$3))),IF(H126=H$6,"",H126),_xll.ciqfunctions.udf.CIQ(H$6,$F$2, $A127, $I$2, $I$3)))</f>
        <v/>
      </c>
      <c r="I127" s="1033" t="str">
        <f>IF(I$6="","",IF(NOT(ISNUMBER(_xll.ciqfunctions.udf.CIQ(I$6,$F$2, $A127, $I$2, $I$3))),IF(I126=I$6,"",I126),_xll.ciqfunctions.udf.CIQ(I$6,$F$2, $A127, $I$2, $I$3)))</f>
        <v/>
      </c>
      <c r="J127" s="1033" t="str">
        <f>IF(J$6="","",IF(NOT(ISNUMBER(_xll.ciqfunctions.udf.CIQ(J$6,$F$2, $A127, $I$2, $I$3))),IF(J126=J$6,"",J126),_xll.ciqfunctions.udf.CIQ(J$6,$F$2, $A127, $I$2, $I$3)))</f>
        <v/>
      </c>
      <c r="K127" s="1033" t="str">
        <f>IF(K$6="","",IF(NOT(ISNUMBER(_xll.ciqfunctions.udf.CIQ(K$6,$F$2, $A127, $I$2, $I$3))),IF(K126=K$6,"",K126),_xll.ciqfunctions.udf.CIQ(K$6,$F$2, $A127, $I$2, $I$3)))</f>
        <v/>
      </c>
      <c r="L127" s="254" t="str">
        <f>IF(L$6="","",IF(NOT(ISNUMBER(_xll.ciqfunctions.udf.CIQ(L$6,$F$2, $A127, $I$2, $I$3))),IF(L126=L$6,"",L126),_xll.ciqfunctions.udf.CIQ(L$6,$F$2, $A127, $I$2, $I$3)))</f>
        <v/>
      </c>
      <c r="M127" s="254" t="str">
        <f>IF(M$6="","",IF(NOT(ISNUMBER(_xll.ciqfunctions.udf.CIQ(M$6,$F$2, $A127, $I$2, $I$3))),IF(M126=M$6,"",M126),_xll.ciqfunctions.udf.CIQ(M$6,$F$2, $A127, $I$2, $I$3)))</f>
        <v/>
      </c>
      <c r="N127" s="254" t="str">
        <f>IF(N$6="","",IF(NOT(ISNUMBER(_xll.ciqfunctions.udf.CIQ(N$6,$F$2, $A127, $I$2, $I$3))),IF(N126=N$6,"",N126),_xll.ciqfunctions.udf.CIQ(N$6,$F$2, $A127, $I$2, $I$3)))</f>
        <v/>
      </c>
      <c r="O127" s="254" t="str">
        <f>IF(O$6="","",IF(NOT(ISNUMBER(_xll.ciqfunctions.udf.CIQ(O$6,$F$2, $A127, $I$2, $I$3))),IF(O126=O$6,"",O126),_xll.ciqfunctions.udf.CIQ(O$6,$F$2, $A127, $I$2, $I$3)))</f>
        <v/>
      </c>
      <c r="P127" s="254" t="str">
        <f>IF(P$6="","",IF(NOT(ISNUMBER(_xll.ciqfunctions.udf.CIQ(P$6,$F$2, $A127, $I$2, $I$3))),IF(P126=P$6,"",P126),_xll.ciqfunctions.udf.CIQ(P$6,$F$2, $A127, $I$2, $I$3)))</f>
        <v/>
      </c>
      <c r="Q127" s="254"/>
      <c r="R127" s="251">
        <f t="shared" si="64"/>
        <v>43665</v>
      </c>
      <c r="S127" s="255">
        <f t="shared" si="66"/>
        <v>0.58018867924528306</v>
      </c>
      <c r="T127" s="255">
        <f t="shared" si="67"/>
        <v>0.31413213705414433</v>
      </c>
      <c r="U127" s="255">
        <f t="shared" si="68"/>
        <v>0.25077484016051432</v>
      </c>
      <c r="V127" s="255">
        <f t="shared" si="82"/>
        <v>5.9504091038384832E-3</v>
      </c>
      <c r="W127" s="255">
        <f t="array" ref="W127">IFERROR(AVERAGE(IF(ISERROR(X127:AG127),"",X127:AG127)),"")</f>
        <v>0.67875245989623711</v>
      </c>
      <c r="X127" s="255">
        <f t="shared" si="83"/>
        <v>0.67875245989623711</v>
      </c>
      <c r="Y127" s="255" t="e">
        <f t="shared" si="84"/>
        <v>#N/A</v>
      </c>
      <c r="Z127" s="255" t="e">
        <f t="shared" si="85"/>
        <v>#N/A</v>
      </c>
      <c r="AA127" s="255" t="e">
        <f t="shared" si="86"/>
        <v>#N/A</v>
      </c>
      <c r="AB127" s="255" t="e">
        <f t="shared" si="87"/>
        <v>#N/A</v>
      </c>
      <c r="AC127" s="255" t="e">
        <f t="shared" si="88"/>
        <v>#N/A</v>
      </c>
      <c r="AD127" s="255" t="e">
        <f t="shared" si="89"/>
        <v>#N/A</v>
      </c>
      <c r="AE127" s="255" t="e">
        <f t="shared" si="90"/>
        <v>#N/A</v>
      </c>
      <c r="AF127" s="255" t="e">
        <f t="shared" si="91"/>
        <v>#N/A</v>
      </c>
      <c r="AG127" s="255" t="e">
        <f t="shared" si="92"/>
        <v>#N/A</v>
      </c>
      <c r="AI127" s="251">
        <f t="shared" si="65"/>
        <v>43665</v>
      </c>
      <c r="AJ127" s="718">
        <f>IF(OR($B127="No",AJ$6=""),"",IF(NOT(ISNUMBER(_xll.ciqfunctions.udf.CIQ(AJ$6,"IQ_TEV",$AI127,$I$2,$I$3))),"",_xll.ciqfunctions.udf.CIQ(AJ$6,"IQ_TEV",$AI127,$I$2,$I$3)))</f>
        <v>398522.85139999999</v>
      </c>
      <c r="AK127" s="718">
        <f>IF(OR($B127="No",AK$6=""),"",IF(NOT(ISNUMBER(_xll.ciqfunctions.udf.CIQ(AK$6,"IQ_TEV",$AI127,$I$2,$I$3))),"",_xll.ciqfunctions.udf.CIQ(AK$6,"IQ_TEV",$AI127,$I$2,$I$3)))</f>
        <v>122470.05375000001</v>
      </c>
      <c r="AL127" s="718" t="str">
        <f>IF(OR($B127="No",AL$6=""),"",IF(NOT(ISNUMBER(_xll.ciqfunctions.udf.CIQ(AL$6,"IQ_TEV",$AI127,$I$2,$I$3))),"",_xll.ciqfunctions.udf.CIQ(AL$6,"IQ_TEV",$AI127,$I$2,$I$3)))</f>
        <v/>
      </c>
      <c r="AM127" s="718" t="str">
        <f>IF(OR($B127="No",AM$6=""),"",IF(NOT(ISNUMBER(_xll.ciqfunctions.udf.CIQ(AM$6,"IQ_TEV",$AI127,$I$2,$I$3))),"",_xll.ciqfunctions.udf.CIQ(AM$6,"IQ_TEV",$AI127,$I$2,$I$3)))</f>
        <v/>
      </c>
      <c r="AN127" s="718" t="str">
        <f>IF(OR($B127="No",AN$6=""),"",IF(NOT(ISNUMBER(_xll.ciqfunctions.udf.CIQ(AN$6,"IQ_TEV",$AI127,$I$2,$I$3))),"",_xll.ciqfunctions.udf.CIQ(AN$6,"IQ_TEV",$AI127,$I$2,$I$3)))</f>
        <v/>
      </c>
      <c r="AO127" s="718" t="str">
        <f>IF(OR($B127="No",AO$6=""),"",IF(NOT(ISNUMBER(_xll.ciqfunctions.udf.CIQ(AO$6,"IQ_TEV",$AI127,$I$2,$I$3))),"",_xll.ciqfunctions.udf.CIQ(AO$6,"IQ_TEV",$AI127,$I$2,$I$3)))</f>
        <v/>
      </c>
      <c r="AP127" s="718" t="str">
        <f>IF(OR($B127="No",AP$6=""),"",IF(NOT(ISNUMBER(_xll.ciqfunctions.udf.CIQ(AP$6,"IQ_TEV",$AI127,$I$2,$I$3))),"",_xll.ciqfunctions.udf.CIQ(AP$6,"IQ_TEV",$AI127,$I$2,$I$3)))</f>
        <v/>
      </c>
      <c r="AQ127" s="718" t="str">
        <f>IF(OR($B127="No",AQ$6=""),"",IF(NOT(ISNUMBER(_xll.ciqfunctions.udf.CIQ(AQ$6,"IQ_TEV",$AI127,$I$2,$I$3))),"",_xll.ciqfunctions.udf.CIQ(AQ$6,"IQ_TEV",$AI127,$I$2,$I$3)))</f>
        <v/>
      </c>
      <c r="AR127" s="718" t="str">
        <f>IF(OR($B127="No",AR$6=""),"",IF(NOT(ISNUMBER(_xll.ciqfunctions.udf.CIQ(AR$6,"IQ_TEV",$AI127,$I$2,$I$3))),"",_xll.ciqfunctions.udf.CIQ(AR$6,"IQ_TEV",$AI127,$I$2,$I$3)))</f>
        <v/>
      </c>
      <c r="AS127" s="718" t="str">
        <f>IF(OR($B127="No",AS$6=""),"",IF(NOT(ISNUMBER(_xll.ciqfunctions.udf.CIQ(AS$6,"IQ_TEV",$AI127,$I$2,$I$3))),"",_xll.ciqfunctions.udf.CIQ(AS$6,"IQ_TEV",$AI127,$I$2,$I$3)))</f>
        <v/>
      </c>
      <c r="AT127" s="718" t="str">
        <f>IF(OR($B127="No",AT$6=""),"",IF(NOT(ISNUMBER(_xll.ciqfunctions.udf.CIQ(AT$6,"IQ_TEV",$AI127,$I$2,$I$3))),"",_xll.ciqfunctions.udf.CIQ(AT$6,"IQ_TEV",$AI127,$I$2,$I$3)))</f>
        <v/>
      </c>
      <c r="AV127" s="251">
        <f t="shared" si="69"/>
        <v>43665</v>
      </c>
      <c r="AW127" s="719">
        <f t="shared" si="70"/>
        <v>0.52657236527589735</v>
      </c>
      <c r="AX127" s="719">
        <f t="shared" si="71"/>
        <v>0.67802024802720506</v>
      </c>
      <c r="AY127" s="719" t="e">
        <f t="shared" si="72"/>
        <v>#N/A</v>
      </c>
      <c r="AZ127" s="719" t="e">
        <f t="shared" si="73"/>
        <v>#N/A</v>
      </c>
      <c r="BA127" s="719" t="e">
        <f t="shared" si="74"/>
        <v>#N/A</v>
      </c>
      <c r="BB127" s="719" t="e">
        <f t="shared" si="75"/>
        <v>#N/A</v>
      </c>
      <c r="BC127" s="719" t="e">
        <f t="shared" si="76"/>
        <v>#N/A</v>
      </c>
      <c r="BD127" s="719" t="e">
        <f t="shared" si="77"/>
        <v>#N/A</v>
      </c>
      <c r="BE127" s="719" t="e">
        <f t="shared" si="78"/>
        <v>#N/A</v>
      </c>
      <c r="BF127" s="719" t="e">
        <f t="shared" si="79"/>
        <v>#N/A</v>
      </c>
      <c r="BG127" s="719" t="e">
        <f t="shared" si="80"/>
        <v>#N/A</v>
      </c>
    </row>
    <row r="128" spans="1:59" ht="15" customHeight="1" x14ac:dyDescent="0.2">
      <c r="A128" s="251">
        <f t="shared" si="63"/>
        <v>43672</v>
      </c>
      <c r="B128" s="253" t="str">
        <f t="shared" si="81"/>
        <v>Yes</v>
      </c>
      <c r="C128" s="1033">
        <f>IF(C$6="","",IF(NOT(ISNUMBER(_xll.ciqfunctions.udf.CIQ(C$6,$F$2, $A128, $I$2, $I$3))),IF(C127=C$6,"",C127),_xll.ciqfunctions.udf.CIQ(C$6,$F$2, $A128, $I$2, $I$3)))</f>
        <v>113.02</v>
      </c>
      <c r="D128" s="1033">
        <f>IF(D$6="","",IF(NOT(ISNUMBER(_xll.ciqfunctions.udf.CIQ(D$6,$F$2, $A128, $I$2, $I$3))),IF(D127=D$6,"",D127),_xll.ciqfunctions.udf.CIQ(D$6,$F$2, $A128, $I$2, $I$3)))</f>
        <v>27192.45422</v>
      </c>
      <c r="E128" s="1033">
        <f>IF(E$6="","",IF(NOT(ISNUMBER(_xll.ciqfunctions.udf.CIQ(E$6,$F$2, $A128, $I$2, $I$3))),IF(E127=E$6,"",E127),_xll.ciqfunctions.udf.CIQ(E$6,$F$2, $A128, $I$2, $I$3)))</f>
        <v>8986.40733</v>
      </c>
      <c r="F128" s="1033">
        <f>IF(F$6="","",IF(NOT(ISNUMBER(_xll.ciqfunctions.udf.CIQ(F$6,$F$2, $A128, $I$2, $I$3))),IF(F127=F$6,"",F127),_xll.ciqfunctions.udf.CIQ(F$6,$F$2, $A128, $I$2, $I$3)))</f>
        <v>4467.3892900000001</v>
      </c>
      <c r="G128" s="1033">
        <f>IF(G$6="","",IF(NOT(ISNUMBER(_xll.ciqfunctions.udf.CIQ(G$6,$F$2, $A128, $I$2, $I$3))),IF(G127=G$6,"",G127),_xll.ciqfunctions.udf.CIQ(G$6,$F$2, $A128, $I$2, $I$3)))</f>
        <v>281.37</v>
      </c>
      <c r="H128" s="1033" t="str">
        <f>IF(H$6="","",IF(NOT(ISNUMBER(_xll.ciqfunctions.udf.CIQ(H$6,$F$2, $A128, $I$2, $I$3))),IF(H127=H$6,"",H127),_xll.ciqfunctions.udf.CIQ(H$6,$F$2, $A128, $I$2, $I$3)))</f>
        <v/>
      </c>
      <c r="I128" s="1033" t="str">
        <f>IF(I$6="","",IF(NOT(ISNUMBER(_xll.ciqfunctions.udf.CIQ(I$6,$F$2, $A128, $I$2, $I$3))),IF(I127=I$6,"",I127),_xll.ciqfunctions.udf.CIQ(I$6,$F$2, $A128, $I$2, $I$3)))</f>
        <v/>
      </c>
      <c r="J128" s="1033" t="str">
        <f>IF(J$6="","",IF(NOT(ISNUMBER(_xll.ciqfunctions.udf.CIQ(J$6,$F$2, $A128, $I$2, $I$3))),IF(J127=J$6,"",J127),_xll.ciqfunctions.udf.CIQ(J$6,$F$2, $A128, $I$2, $I$3)))</f>
        <v/>
      </c>
      <c r="K128" s="1033" t="str">
        <f>IF(K$6="","",IF(NOT(ISNUMBER(_xll.ciqfunctions.udf.CIQ(K$6,$F$2, $A128, $I$2, $I$3))),IF(K127=K$6,"",K127),_xll.ciqfunctions.udf.CIQ(K$6,$F$2, $A128, $I$2, $I$3)))</f>
        <v/>
      </c>
      <c r="L128" s="254" t="str">
        <f>IF(L$6="","",IF(NOT(ISNUMBER(_xll.ciqfunctions.udf.CIQ(L$6,$F$2, $A128, $I$2, $I$3))),IF(L127=L$6,"",L127),_xll.ciqfunctions.udf.CIQ(L$6,$F$2, $A128, $I$2, $I$3)))</f>
        <v/>
      </c>
      <c r="M128" s="254" t="str">
        <f>IF(M$6="","",IF(NOT(ISNUMBER(_xll.ciqfunctions.udf.CIQ(M$6,$F$2, $A128, $I$2, $I$3))),IF(M127=M$6,"",M127),_xll.ciqfunctions.udf.CIQ(M$6,$F$2, $A128, $I$2, $I$3)))</f>
        <v/>
      </c>
      <c r="N128" s="254" t="str">
        <f>IF(N$6="","",IF(NOT(ISNUMBER(_xll.ciqfunctions.udf.CIQ(N$6,$F$2, $A128, $I$2, $I$3))),IF(N127=N$6,"",N127),_xll.ciqfunctions.udf.CIQ(N$6,$F$2, $A128, $I$2, $I$3)))</f>
        <v/>
      </c>
      <c r="O128" s="254" t="str">
        <f>IF(O$6="","",IF(NOT(ISNUMBER(_xll.ciqfunctions.udf.CIQ(O$6,$F$2, $A128, $I$2, $I$3))),IF(O127=O$6,"",O127),_xll.ciqfunctions.udf.CIQ(O$6,$F$2, $A128, $I$2, $I$3)))</f>
        <v/>
      </c>
      <c r="P128" s="254" t="str">
        <f>IF(P$6="","",IF(NOT(ISNUMBER(_xll.ciqfunctions.udf.CIQ(P$6,$F$2, $A128, $I$2, $I$3))),IF(P127=P$6,"",P127),_xll.ciqfunctions.udf.CIQ(P$6,$F$2, $A128, $I$2, $I$3)))</f>
        <v/>
      </c>
      <c r="Q128" s="254"/>
      <c r="R128" s="251">
        <f t="shared" si="64"/>
        <v>43672</v>
      </c>
      <c r="S128" s="255">
        <f t="shared" si="66"/>
        <v>0.56798002219755817</v>
      </c>
      <c r="T128" s="255">
        <f t="shared" si="67"/>
        <v>0.31598331843041327</v>
      </c>
      <c r="U128" s="255">
        <f t="shared" si="68"/>
        <v>0.25581779050116293</v>
      </c>
      <c r="V128" s="255">
        <f t="shared" si="82"/>
        <v>1.7689937398615019E-2</v>
      </c>
      <c r="W128" s="255">
        <f t="array" ref="W128">IFERROR(AVERAGE(IF(ISERROR(X128:AG128),"",X128:AG128)),"")</f>
        <v>0.67791758602182606</v>
      </c>
      <c r="X128" s="255">
        <f t="shared" si="83"/>
        <v>0.67791758602182606</v>
      </c>
      <c r="Y128" s="255" t="e">
        <f t="shared" si="84"/>
        <v>#N/A</v>
      </c>
      <c r="Z128" s="255" t="e">
        <f t="shared" si="85"/>
        <v>#N/A</v>
      </c>
      <c r="AA128" s="255" t="e">
        <f t="shared" si="86"/>
        <v>#N/A</v>
      </c>
      <c r="AB128" s="255" t="e">
        <f t="shared" si="87"/>
        <v>#N/A</v>
      </c>
      <c r="AC128" s="255" t="e">
        <f t="shared" si="88"/>
        <v>#N/A</v>
      </c>
      <c r="AD128" s="255" t="e">
        <f t="shared" si="89"/>
        <v>#N/A</v>
      </c>
      <c r="AE128" s="255" t="e">
        <f t="shared" si="90"/>
        <v>#N/A</v>
      </c>
      <c r="AF128" s="255" t="e">
        <f t="shared" si="91"/>
        <v>#N/A</v>
      </c>
      <c r="AG128" s="255" t="e">
        <f t="shared" si="92"/>
        <v>#N/A</v>
      </c>
      <c r="AI128" s="251">
        <f t="shared" si="65"/>
        <v>43672</v>
      </c>
      <c r="AJ128" s="718">
        <f>IF(OR($B128="No",AJ$6=""),"",IF(NOT(ISNUMBER(_xll.ciqfunctions.udf.CIQ(AJ$6,"IQ_TEV",$AI128,$I$2,$I$3))),"",_xll.ciqfunctions.udf.CIQ(AJ$6,"IQ_TEV",$AI128,$I$2,$I$3)))</f>
        <v>396010.69592000003</v>
      </c>
      <c r="AK128" s="718">
        <f>IF(OR($B128="No",AK$6=""),"",IF(NOT(ISNUMBER(_xll.ciqfunctions.udf.CIQ(AK$6,"IQ_TEV",$AI128,$I$2,$I$3))),"",_xll.ciqfunctions.udf.CIQ(AK$6,"IQ_TEV",$AI128,$I$2,$I$3)))</f>
        <v>122408.48325999999</v>
      </c>
      <c r="AL128" s="718" t="str">
        <f>IF(OR($B128="No",AL$6=""),"",IF(NOT(ISNUMBER(_xll.ciqfunctions.udf.CIQ(AL$6,"IQ_TEV",$AI128,$I$2,$I$3))),"",_xll.ciqfunctions.udf.CIQ(AL$6,"IQ_TEV",$AI128,$I$2,$I$3)))</f>
        <v/>
      </c>
      <c r="AM128" s="718" t="str">
        <f>IF(OR($B128="No",AM$6=""),"",IF(NOT(ISNUMBER(_xll.ciqfunctions.udf.CIQ(AM$6,"IQ_TEV",$AI128,$I$2,$I$3))),"",_xll.ciqfunctions.udf.CIQ(AM$6,"IQ_TEV",$AI128,$I$2,$I$3)))</f>
        <v/>
      </c>
      <c r="AN128" s="718" t="str">
        <f>IF(OR($B128="No",AN$6=""),"",IF(NOT(ISNUMBER(_xll.ciqfunctions.udf.CIQ(AN$6,"IQ_TEV",$AI128,$I$2,$I$3))),"",_xll.ciqfunctions.udf.CIQ(AN$6,"IQ_TEV",$AI128,$I$2,$I$3)))</f>
        <v/>
      </c>
      <c r="AO128" s="718" t="str">
        <f>IF(OR($B128="No",AO$6=""),"",IF(NOT(ISNUMBER(_xll.ciqfunctions.udf.CIQ(AO$6,"IQ_TEV",$AI128,$I$2,$I$3))),"",_xll.ciqfunctions.udf.CIQ(AO$6,"IQ_TEV",$AI128,$I$2,$I$3)))</f>
        <v/>
      </c>
      <c r="AP128" s="718" t="str">
        <f>IF(OR($B128="No",AP$6=""),"",IF(NOT(ISNUMBER(_xll.ciqfunctions.udf.CIQ(AP$6,"IQ_TEV",$AI128,$I$2,$I$3))),"",_xll.ciqfunctions.udf.CIQ(AP$6,"IQ_TEV",$AI128,$I$2,$I$3)))</f>
        <v/>
      </c>
      <c r="AQ128" s="718" t="str">
        <f>IF(OR($B128="No",AQ$6=""),"",IF(NOT(ISNUMBER(_xll.ciqfunctions.udf.CIQ(AQ$6,"IQ_TEV",$AI128,$I$2,$I$3))),"",_xll.ciqfunctions.udf.CIQ(AQ$6,"IQ_TEV",$AI128,$I$2,$I$3)))</f>
        <v/>
      </c>
      <c r="AR128" s="718" t="str">
        <f>IF(OR($B128="No",AR$6=""),"",IF(NOT(ISNUMBER(_xll.ciqfunctions.udf.CIQ(AR$6,"IQ_TEV",$AI128,$I$2,$I$3))),"",_xll.ciqfunctions.udf.CIQ(AR$6,"IQ_TEV",$AI128,$I$2,$I$3)))</f>
        <v/>
      </c>
      <c r="AS128" s="718" t="str">
        <f>IF(OR($B128="No",AS$6=""),"",IF(NOT(ISNUMBER(_xll.ciqfunctions.udf.CIQ(AS$6,"IQ_TEV",$AI128,$I$2,$I$3))),"",_xll.ciqfunctions.udf.CIQ(AS$6,"IQ_TEV",$AI128,$I$2,$I$3)))</f>
        <v/>
      </c>
      <c r="AT128" s="718" t="str">
        <f>IF(OR($B128="No",AT$6=""),"",IF(NOT(ISNUMBER(_xll.ciqfunctions.udf.CIQ(AT$6,"IQ_TEV",$AI128,$I$2,$I$3))),"",_xll.ciqfunctions.udf.CIQ(AT$6,"IQ_TEV",$AI128,$I$2,$I$3)))</f>
        <v/>
      </c>
      <c r="AV128" s="251">
        <f t="shared" si="69"/>
        <v>43672</v>
      </c>
      <c r="AW128" s="719">
        <f t="shared" si="70"/>
        <v>0.51694936092477373</v>
      </c>
      <c r="AX128" s="719">
        <f t="shared" si="71"/>
        <v>0.67717664156393131</v>
      </c>
      <c r="AY128" s="719" t="e">
        <f t="shared" si="72"/>
        <v>#N/A</v>
      </c>
      <c r="AZ128" s="719" t="e">
        <f t="shared" si="73"/>
        <v>#N/A</v>
      </c>
      <c r="BA128" s="719" t="e">
        <f t="shared" si="74"/>
        <v>#N/A</v>
      </c>
      <c r="BB128" s="719" t="e">
        <f t="shared" si="75"/>
        <v>#N/A</v>
      </c>
      <c r="BC128" s="719" t="e">
        <f t="shared" si="76"/>
        <v>#N/A</v>
      </c>
      <c r="BD128" s="719" t="e">
        <f t="shared" si="77"/>
        <v>#N/A</v>
      </c>
      <c r="BE128" s="719" t="e">
        <f t="shared" si="78"/>
        <v>#N/A</v>
      </c>
      <c r="BF128" s="719" t="e">
        <f t="shared" si="79"/>
        <v>#N/A</v>
      </c>
      <c r="BG128" s="719" t="e">
        <f t="shared" si="80"/>
        <v>#N/A</v>
      </c>
    </row>
    <row r="129" spans="1:59" ht="15" customHeight="1" x14ac:dyDescent="0.2">
      <c r="A129" s="251">
        <f t="shared" si="63"/>
        <v>43679</v>
      </c>
      <c r="B129" s="253" t="str">
        <f t="shared" si="81"/>
        <v>Yes</v>
      </c>
      <c r="C129" s="1033">
        <f>IF(C$6="","",IF(NOT(ISNUMBER(_xll.ciqfunctions.udf.CIQ(C$6,$F$2, $A129, $I$2, $I$3))),IF(C128=C$6,"",C128),_xll.ciqfunctions.udf.CIQ(C$6,$F$2, $A129, $I$2, $I$3)))</f>
        <v>109.4</v>
      </c>
      <c r="D129" s="1033">
        <f>IF(D$6="","",IF(NOT(ISNUMBER(_xll.ciqfunctions.udf.CIQ(D$6,$F$2, $A129, $I$2, $I$3))),IF(D128=D$6,"",D128),_xll.ciqfunctions.udf.CIQ(D$6,$F$2, $A129, $I$2, $I$3)))</f>
        <v>26485.007269999998</v>
      </c>
      <c r="E129" s="1033">
        <f>IF(E$6="","",IF(NOT(ISNUMBER(_xll.ciqfunctions.udf.CIQ(E$6,$F$2, $A129, $I$2, $I$3))),IF(E128=E$6,"",E128),_xll.ciqfunctions.udf.CIQ(E$6,$F$2, $A129, $I$2, $I$3)))</f>
        <v>8769.4607400000004</v>
      </c>
      <c r="F129" s="1033">
        <f>IF(F$6="","",IF(NOT(ISNUMBER(_xll.ciqfunctions.udf.CIQ(F$6,$F$2, $A129, $I$2, $I$3))),IF(F128=F$6,"",F128),_xll.ciqfunctions.udf.CIQ(F$6,$F$2, $A129, $I$2, $I$3)))</f>
        <v>4258.1796999999997</v>
      </c>
      <c r="G129" s="1033">
        <f>IF(G$6="","",IF(NOT(ISNUMBER(_xll.ciqfunctions.udf.CIQ(G$6,$F$2, $A129, $I$2, $I$3))),IF(G128=G$6,"",G128),_xll.ciqfunctions.udf.CIQ(G$6,$F$2, $A129, $I$2, $I$3)))</f>
        <v>272.5</v>
      </c>
      <c r="H129" s="1033" t="str">
        <f>IF(H$6="","",IF(NOT(ISNUMBER(_xll.ciqfunctions.udf.CIQ(H$6,$F$2, $A129, $I$2, $I$3))),IF(H128=H$6,"",H128),_xll.ciqfunctions.udf.CIQ(H$6,$F$2, $A129, $I$2, $I$3)))</f>
        <v/>
      </c>
      <c r="I129" s="1033" t="str">
        <f>IF(I$6="","",IF(NOT(ISNUMBER(_xll.ciqfunctions.udf.CIQ(I$6,$F$2, $A129, $I$2, $I$3))),IF(I128=I$6,"",I128),_xll.ciqfunctions.udf.CIQ(I$6,$F$2, $A129, $I$2, $I$3)))</f>
        <v/>
      </c>
      <c r="J129" s="1033" t="str">
        <f>IF(J$6="","",IF(NOT(ISNUMBER(_xll.ciqfunctions.udf.CIQ(J$6,$F$2, $A129, $I$2, $I$3))),IF(J128=J$6,"",J128),_xll.ciqfunctions.udf.CIQ(J$6,$F$2, $A129, $I$2, $I$3)))</f>
        <v/>
      </c>
      <c r="K129" s="1033" t="str">
        <f>IF(K$6="","",IF(NOT(ISNUMBER(_xll.ciqfunctions.udf.CIQ(K$6,$F$2, $A129, $I$2, $I$3))),IF(K128=K$6,"",K128),_xll.ciqfunctions.udf.CIQ(K$6,$F$2, $A129, $I$2, $I$3)))</f>
        <v/>
      </c>
      <c r="L129" s="254" t="str">
        <f>IF(L$6="","",IF(NOT(ISNUMBER(_xll.ciqfunctions.udf.CIQ(L$6,$F$2, $A129, $I$2, $I$3))),IF(L128=L$6,"",L128),_xll.ciqfunctions.udf.CIQ(L$6,$F$2, $A129, $I$2, $I$3)))</f>
        <v/>
      </c>
      <c r="M129" s="254" t="str">
        <f>IF(M$6="","",IF(NOT(ISNUMBER(_xll.ciqfunctions.udf.CIQ(M$6,$F$2, $A129, $I$2, $I$3))),IF(M128=M$6,"",M128),_xll.ciqfunctions.udf.CIQ(M$6,$F$2, $A129, $I$2, $I$3)))</f>
        <v/>
      </c>
      <c r="N129" s="254" t="str">
        <f>IF(N$6="","",IF(NOT(ISNUMBER(_xll.ciqfunctions.udf.CIQ(N$6,$F$2, $A129, $I$2, $I$3))),IF(N128=N$6,"",N128),_xll.ciqfunctions.udf.CIQ(N$6,$F$2, $A129, $I$2, $I$3)))</f>
        <v/>
      </c>
      <c r="O129" s="254" t="str">
        <f>IF(O$6="","",IF(NOT(ISNUMBER(_xll.ciqfunctions.udf.CIQ(O$6,$F$2, $A129, $I$2, $I$3))),IF(O128=O$6,"",O128),_xll.ciqfunctions.udf.CIQ(O$6,$F$2, $A129, $I$2, $I$3)))</f>
        <v/>
      </c>
      <c r="P129" s="254" t="str">
        <f>IF(P$6="","",IF(NOT(ISNUMBER(_xll.ciqfunctions.udf.CIQ(P$6,$F$2, $A129, $I$2, $I$3))),IF(P128=P$6,"",P128),_xll.ciqfunctions.udf.CIQ(P$6,$F$2, $A129, $I$2, $I$3)))</f>
        <v/>
      </c>
      <c r="Q129" s="254"/>
      <c r="R129" s="251">
        <f t="shared" si="64"/>
        <v>43679</v>
      </c>
      <c r="S129" s="255">
        <f t="shared" si="66"/>
        <v>0.51775804661487257</v>
      </c>
      <c r="T129" s="255">
        <f t="shared" si="67"/>
        <v>0.28174630630409547</v>
      </c>
      <c r="U129" s="255">
        <f t="shared" si="68"/>
        <v>0.22550029238364089</v>
      </c>
      <c r="V129" s="255">
        <f t="shared" si="82"/>
        <v>-2.9968880924399421E-2</v>
      </c>
      <c r="W129" s="255">
        <f t="array" ref="W129">IFERROR(AVERAGE(IF(ISERROR(X129:AG129),"",X129:AG129)),"")</f>
        <v>0.62502236269306466</v>
      </c>
      <c r="X129" s="255">
        <f t="shared" si="83"/>
        <v>0.62502236269306466</v>
      </c>
      <c r="Y129" s="255" t="e">
        <f t="shared" si="84"/>
        <v>#N/A</v>
      </c>
      <c r="Z129" s="255" t="e">
        <f t="shared" si="85"/>
        <v>#N/A</v>
      </c>
      <c r="AA129" s="255" t="e">
        <f t="shared" si="86"/>
        <v>#N/A</v>
      </c>
      <c r="AB129" s="255" t="e">
        <f t="shared" si="87"/>
        <v>#N/A</v>
      </c>
      <c r="AC129" s="255" t="e">
        <f t="shared" si="88"/>
        <v>#N/A</v>
      </c>
      <c r="AD129" s="255" t="e">
        <f t="shared" si="89"/>
        <v>#N/A</v>
      </c>
      <c r="AE129" s="255" t="e">
        <f t="shared" si="90"/>
        <v>#N/A</v>
      </c>
      <c r="AF129" s="255" t="e">
        <f t="shared" si="91"/>
        <v>#N/A</v>
      </c>
      <c r="AG129" s="255" t="e">
        <f t="shared" si="92"/>
        <v>#N/A</v>
      </c>
      <c r="AI129" s="251">
        <f t="shared" si="65"/>
        <v>43679</v>
      </c>
      <c r="AJ129" s="718">
        <f>IF(OR($B129="No",AJ$6=""),"",IF(NOT(ISNUMBER(_xll.ciqfunctions.udf.CIQ(AJ$6,"IQ_TEV",$AI129,$I$2,$I$3))),"",_xll.ciqfunctions.udf.CIQ(AJ$6,"IQ_TEV",$AI129,$I$2,$I$3)))</f>
        <v>385676.60178999999</v>
      </c>
      <c r="AK129" s="718">
        <f>IF(OR($B129="No",AK$6=""),"",IF(NOT(ISNUMBER(_xll.ciqfunctions.udf.CIQ(AK$6,"IQ_TEV",$AI129,$I$2,$I$3))),"",_xll.ciqfunctions.udf.CIQ(AK$6,"IQ_TEV",$AI129,$I$2,$I$3)))</f>
        <v>118507.55319000001</v>
      </c>
      <c r="AL129" s="718" t="str">
        <f>IF(OR($B129="No",AL$6=""),"",IF(NOT(ISNUMBER(_xll.ciqfunctions.udf.CIQ(AL$6,"IQ_TEV",$AI129,$I$2,$I$3))),"",_xll.ciqfunctions.udf.CIQ(AL$6,"IQ_TEV",$AI129,$I$2,$I$3)))</f>
        <v/>
      </c>
      <c r="AM129" s="718" t="str">
        <f>IF(OR($B129="No",AM$6=""),"",IF(NOT(ISNUMBER(_xll.ciqfunctions.udf.CIQ(AM$6,"IQ_TEV",$AI129,$I$2,$I$3))),"",_xll.ciqfunctions.udf.CIQ(AM$6,"IQ_TEV",$AI129,$I$2,$I$3)))</f>
        <v/>
      </c>
      <c r="AN129" s="718" t="str">
        <f>IF(OR($B129="No",AN$6=""),"",IF(NOT(ISNUMBER(_xll.ciqfunctions.udf.CIQ(AN$6,"IQ_TEV",$AI129,$I$2,$I$3))),"",_xll.ciqfunctions.udf.CIQ(AN$6,"IQ_TEV",$AI129,$I$2,$I$3)))</f>
        <v/>
      </c>
      <c r="AO129" s="718" t="str">
        <f>IF(OR($B129="No",AO$6=""),"",IF(NOT(ISNUMBER(_xll.ciqfunctions.udf.CIQ(AO$6,"IQ_TEV",$AI129,$I$2,$I$3))),"",_xll.ciqfunctions.udf.CIQ(AO$6,"IQ_TEV",$AI129,$I$2,$I$3)))</f>
        <v/>
      </c>
      <c r="AP129" s="718" t="str">
        <f>IF(OR($B129="No",AP$6=""),"",IF(NOT(ISNUMBER(_xll.ciqfunctions.udf.CIQ(AP$6,"IQ_TEV",$AI129,$I$2,$I$3))),"",_xll.ciqfunctions.udf.CIQ(AP$6,"IQ_TEV",$AI129,$I$2,$I$3)))</f>
        <v/>
      </c>
      <c r="AQ129" s="718" t="str">
        <f>IF(OR($B129="No",AQ$6=""),"",IF(NOT(ISNUMBER(_xll.ciqfunctions.udf.CIQ(AQ$6,"IQ_TEV",$AI129,$I$2,$I$3))),"",_xll.ciqfunctions.udf.CIQ(AQ$6,"IQ_TEV",$AI129,$I$2,$I$3)))</f>
        <v/>
      </c>
      <c r="AR129" s="718" t="str">
        <f>IF(OR($B129="No",AR$6=""),"",IF(NOT(ISNUMBER(_xll.ciqfunctions.udf.CIQ(AR$6,"IQ_TEV",$AI129,$I$2,$I$3))),"",_xll.ciqfunctions.udf.CIQ(AR$6,"IQ_TEV",$AI129,$I$2,$I$3)))</f>
        <v/>
      </c>
      <c r="AS129" s="718" t="str">
        <f>IF(OR($B129="No",AS$6=""),"",IF(NOT(ISNUMBER(_xll.ciqfunctions.udf.CIQ(AS$6,"IQ_TEV",$AI129,$I$2,$I$3))),"",_xll.ciqfunctions.udf.CIQ(AS$6,"IQ_TEV",$AI129,$I$2,$I$3)))</f>
        <v/>
      </c>
      <c r="AT129" s="718" t="str">
        <f>IF(OR($B129="No",AT$6=""),"",IF(NOT(ISNUMBER(_xll.ciqfunctions.udf.CIQ(AT$6,"IQ_TEV",$AI129,$I$2,$I$3))),"",_xll.ciqfunctions.udf.CIQ(AT$6,"IQ_TEV",$AI129,$I$2,$I$3)))</f>
        <v/>
      </c>
      <c r="AV129" s="251">
        <f t="shared" si="69"/>
        <v>43679</v>
      </c>
      <c r="AW129" s="719">
        <f t="shared" si="70"/>
        <v>0.4773638203124897</v>
      </c>
      <c r="AX129" s="719">
        <f t="shared" si="71"/>
        <v>0.62372814992727155</v>
      </c>
      <c r="AY129" s="719" t="e">
        <f t="shared" si="72"/>
        <v>#N/A</v>
      </c>
      <c r="AZ129" s="719" t="e">
        <f t="shared" si="73"/>
        <v>#N/A</v>
      </c>
      <c r="BA129" s="719" t="e">
        <f t="shared" si="74"/>
        <v>#N/A</v>
      </c>
      <c r="BB129" s="719" t="e">
        <f t="shared" si="75"/>
        <v>#N/A</v>
      </c>
      <c r="BC129" s="719" t="e">
        <f t="shared" si="76"/>
        <v>#N/A</v>
      </c>
      <c r="BD129" s="719" t="e">
        <f t="shared" si="77"/>
        <v>#N/A</v>
      </c>
      <c r="BE129" s="719" t="e">
        <f t="shared" si="78"/>
        <v>#N/A</v>
      </c>
      <c r="BF129" s="719" t="e">
        <f t="shared" si="79"/>
        <v>#N/A</v>
      </c>
      <c r="BG129" s="719" t="e">
        <f t="shared" si="80"/>
        <v>#N/A</v>
      </c>
    </row>
    <row r="130" spans="1:59" ht="15" customHeight="1" x14ac:dyDescent="0.2">
      <c r="A130" s="251">
        <f t="shared" si="63"/>
        <v>43686</v>
      </c>
      <c r="B130" s="253" t="str">
        <f t="shared" si="81"/>
        <v>Yes</v>
      </c>
      <c r="C130" s="1033">
        <f>IF(C$6="","",IF(NOT(ISNUMBER(_xll.ciqfunctions.udf.CIQ(C$6,$F$2, $A130, $I$2, $I$3))),IF(C129=C$6,"",C129),_xll.ciqfunctions.udf.CIQ(C$6,$F$2, $A130, $I$2, $I$3)))</f>
        <v>107.28</v>
      </c>
      <c r="D130" s="1033">
        <f>IF(D$6="","",IF(NOT(ISNUMBER(_xll.ciqfunctions.udf.CIQ(D$6,$F$2, $A130, $I$2, $I$3))),IF(D129=D$6,"",D129),_xll.ciqfunctions.udf.CIQ(D$6,$F$2, $A130, $I$2, $I$3)))</f>
        <v>26287.44299</v>
      </c>
      <c r="E130" s="1033">
        <f>IF(E$6="","",IF(NOT(ISNUMBER(_xll.ciqfunctions.udf.CIQ(E$6,$F$2, $A130, $I$2, $I$3))),IF(E129=E$6,"",E129),_xll.ciqfunctions.udf.CIQ(E$6,$F$2, $A130, $I$2, $I$3)))</f>
        <v>8711.57719</v>
      </c>
      <c r="F130" s="1033">
        <f>IF(F$6="","",IF(NOT(ISNUMBER(_xll.ciqfunctions.udf.CIQ(F$6,$F$2, $A130, $I$2, $I$3))),IF(F129=F$6,"",F129),_xll.ciqfunctions.udf.CIQ(F$6,$F$2, $A130, $I$2, $I$3)))</f>
        <v>4172.4984800000002</v>
      </c>
      <c r="G130" s="1033">
        <f>IF(G$6="","",IF(NOT(ISNUMBER(_xll.ciqfunctions.udf.CIQ(G$6,$F$2, $A130, $I$2, $I$3))),IF(G129=G$6,"",G129),_xll.ciqfunctions.udf.CIQ(G$6,$F$2, $A130, $I$2, $I$3)))</f>
        <v>273.94</v>
      </c>
      <c r="H130" s="1033" t="str">
        <f>IF(H$6="","",IF(NOT(ISNUMBER(_xll.ciqfunctions.udf.CIQ(H$6,$F$2, $A130, $I$2, $I$3))),IF(H129=H$6,"",H129),_xll.ciqfunctions.udf.CIQ(H$6,$F$2, $A130, $I$2, $I$3)))</f>
        <v/>
      </c>
      <c r="I130" s="1033" t="str">
        <f>IF(I$6="","",IF(NOT(ISNUMBER(_xll.ciqfunctions.udf.CIQ(I$6,$F$2, $A130, $I$2, $I$3))),IF(I129=I$6,"",I129),_xll.ciqfunctions.udf.CIQ(I$6,$F$2, $A130, $I$2, $I$3)))</f>
        <v/>
      </c>
      <c r="J130" s="1033" t="str">
        <f>IF(J$6="","",IF(NOT(ISNUMBER(_xll.ciqfunctions.udf.CIQ(J$6,$F$2, $A130, $I$2, $I$3))),IF(J129=J$6,"",J129),_xll.ciqfunctions.udf.CIQ(J$6,$F$2, $A130, $I$2, $I$3)))</f>
        <v/>
      </c>
      <c r="K130" s="1033" t="str">
        <f>IF(K$6="","",IF(NOT(ISNUMBER(_xll.ciqfunctions.udf.CIQ(K$6,$F$2, $A130, $I$2, $I$3))),IF(K129=K$6,"",K129),_xll.ciqfunctions.udf.CIQ(K$6,$F$2, $A130, $I$2, $I$3)))</f>
        <v/>
      </c>
      <c r="L130" s="254" t="str">
        <f>IF(L$6="","",IF(NOT(ISNUMBER(_xll.ciqfunctions.udf.CIQ(L$6,$F$2, $A130, $I$2, $I$3))),IF(L129=L$6,"",L129),_xll.ciqfunctions.udf.CIQ(L$6,$F$2, $A130, $I$2, $I$3)))</f>
        <v/>
      </c>
      <c r="M130" s="254" t="str">
        <f>IF(M$6="","",IF(NOT(ISNUMBER(_xll.ciqfunctions.udf.CIQ(M$6,$F$2, $A130, $I$2, $I$3))),IF(M129=M$6,"",M129),_xll.ciqfunctions.udf.CIQ(M$6,$F$2, $A130, $I$2, $I$3)))</f>
        <v/>
      </c>
      <c r="N130" s="254" t="str">
        <f>IF(N$6="","",IF(NOT(ISNUMBER(_xll.ciqfunctions.udf.CIQ(N$6,$F$2, $A130, $I$2, $I$3))),IF(N129=N$6,"",N129),_xll.ciqfunctions.udf.CIQ(N$6,$F$2, $A130, $I$2, $I$3)))</f>
        <v/>
      </c>
      <c r="O130" s="254" t="str">
        <f>IF(O$6="","",IF(NOT(ISNUMBER(_xll.ciqfunctions.udf.CIQ(O$6,$F$2, $A130, $I$2, $I$3))),IF(O129=O$6,"",O129),_xll.ciqfunctions.udf.CIQ(O$6,$F$2, $A130, $I$2, $I$3)))</f>
        <v/>
      </c>
      <c r="P130" s="254" t="str">
        <f>IF(P$6="","",IF(NOT(ISNUMBER(_xll.ciqfunctions.udf.CIQ(P$6,$F$2, $A130, $I$2, $I$3))),IF(P129=P$6,"",P129),_xll.ciqfunctions.udf.CIQ(P$6,$F$2, $A130, $I$2, $I$3)))</f>
        <v/>
      </c>
      <c r="Q130" s="254"/>
      <c r="R130" s="251">
        <f t="shared" si="64"/>
        <v>43686</v>
      </c>
      <c r="S130" s="255">
        <f t="shared" si="66"/>
        <v>0.4883462819089901</v>
      </c>
      <c r="T130" s="255">
        <f t="shared" si="67"/>
        <v>0.27218515030492529</v>
      </c>
      <c r="U130" s="255">
        <f t="shared" si="68"/>
        <v>0.21741127647350145</v>
      </c>
      <c r="V130" s="255">
        <f t="shared" si="82"/>
        <v>-4.9487420670470295E-2</v>
      </c>
      <c r="W130" s="255">
        <f t="array" ref="W130">IFERROR(AVERAGE(IF(ISERROR(X130:AG130),"",X130:AG130)),"")</f>
        <v>0.63360963682986471</v>
      </c>
      <c r="X130" s="255">
        <f t="shared" si="83"/>
        <v>0.63360963682986471</v>
      </c>
      <c r="Y130" s="255" t="e">
        <f t="shared" si="84"/>
        <v>#N/A</v>
      </c>
      <c r="Z130" s="255" t="e">
        <f t="shared" si="85"/>
        <v>#N/A</v>
      </c>
      <c r="AA130" s="255" t="e">
        <f t="shared" si="86"/>
        <v>#N/A</v>
      </c>
      <c r="AB130" s="255" t="e">
        <f t="shared" si="87"/>
        <v>#N/A</v>
      </c>
      <c r="AC130" s="255" t="e">
        <f t="shared" si="88"/>
        <v>#N/A</v>
      </c>
      <c r="AD130" s="255" t="e">
        <f t="shared" si="89"/>
        <v>#N/A</v>
      </c>
      <c r="AE130" s="255" t="e">
        <f t="shared" si="90"/>
        <v>#N/A</v>
      </c>
      <c r="AF130" s="255" t="e">
        <f t="shared" si="91"/>
        <v>#N/A</v>
      </c>
      <c r="AG130" s="255" t="e">
        <f t="shared" si="92"/>
        <v>#N/A</v>
      </c>
      <c r="AI130" s="251">
        <f t="shared" si="65"/>
        <v>43686</v>
      </c>
      <c r="AJ130" s="718">
        <f>IF(OR($B130="No",AJ$6=""),"",IF(NOT(ISNUMBER(_xll.ciqfunctions.udf.CIQ(AJ$6,"IQ_TEV",$AI130,$I$2,$I$3))),"",_xll.ciqfunctions.udf.CIQ(AJ$6,"IQ_TEV",$AI130,$I$2,$I$3)))</f>
        <v>379624.59086</v>
      </c>
      <c r="AK130" s="718">
        <f>IF(OR($B130="No",AK$6=""),"",IF(NOT(ISNUMBER(_xll.ciqfunctions.udf.CIQ(AK$6,"IQ_TEV",$AI130,$I$2,$I$3))),"",_xll.ciqfunctions.udf.CIQ(AK$6,"IQ_TEV",$AI130,$I$2,$I$3)))</f>
        <v>119140.84961</v>
      </c>
      <c r="AL130" s="718" t="str">
        <f>IF(OR($B130="No",AL$6=""),"",IF(NOT(ISNUMBER(_xll.ciqfunctions.udf.CIQ(AL$6,"IQ_TEV",$AI130,$I$2,$I$3))),"",_xll.ciqfunctions.udf.CIQ(AL$6,"IQ_TEV",$AI130,$I$2,$I$3)))</f>
        <v/>
      </c>
      <c r="AM130" s="718" t="str">
        <f>IF(OR($B130="No",AM$6=""),"",IF(NOT(ISNUMBER(_xll.ciqfunctions.udf.CIQ(AM$6,"IQ_TEV",$AI130,$I$2,$I$3))),"",_xll.ciqfunctions.udf.CIQ(AM$6,"IQ_TEV",$AI130,$I$2,$I$3)))</f>
        <v/>
      </c>
      <c r="AN130" s="718" t="str">
        <f>IF(OR($B130="No",AN$6=""),"",IF(NOT(ISNUMBER(_xll.ciqfunctions.udf.CIQ(AN$6,"IQ_TEV",$AI130,$I$2,$I$3))),"",_xll.ciqfunctions.udf.CIQ(AN$6,"IQ_TEV",$AI130,$I$2,$I$3)))</f>
        <v/>
      </c>
      <c r="AO130" s="718" t="str">
        <f>IF(OR($B130="No",AO$6=""),"",IF(NOT(ISNUMBER(_xll.ciqfunctions.udf.CIQ(AO$6,"IQ_TEV",$AI130,$I$2,$I$3))),"",_xll.ciqfunctions.udf.CIQ(AO$6,"IQ_TEV",$AI130,$I$2,$I$3)))</f>
        <v/>
      </c>
      <c r="AP130" s="718" t="str">
        <f>IF(OR($B130="No",AP$6=""),"",IF(NOT(ISNUMBER(_xll.ciqfunctions.udf.CIQ(AP$6,"IQ_TEV",$AI130,$I$2,$I$3))),"",_xll.ciqfunctions.udf.CIQ(AP$6,"IQ_TEV",$AI130,$I$2,$I$3)))</f>
        <v/>
      </c>
      <c r="AQ130" s="718" t="str">
        <f>IF(OR($B130="No",AQ$6=""),"",IF(NOT(ISNUMBER(_xll.ciqfunctions.udf.CIQ(AQ$6,"IQ_TEV",$AI130,$I$2,$I$3))),"",_xll.ciqfunctions.udf.CIQ(AQ$6,"IQ_TEV",$AI130,$I$2,$I$3)))</f>
        <v/>
      </c>
      <c r="AR130" s="718" t="str">
        <f>IF(OR($B130="No",AR$6=""),"",IF(NOT(ISNUMBER(_xll.ciqfunctions.udf.CIQ(AR$6,"IQ_TEV",$AI130,$I$2,$I$3))),"",_xll.ciqfunctions.udf.CIQ(AR$6,"IQ_TEV",$AI130,$I$2,$I$3)))</f>
        <v/>
      </c>
      <c r="AS130" s="718" t="str">
        <f>IF(OR($B130="No",AS$6=""),"",IF(NOT(ISNUMBER(_xll.ciqfunctions.udf.CIQ(AS$6,"IQ_TEV",$AI130,$I$2,$I$3))),"",_xll.ciqfunctions.udf.CIQ(AS$6,"IQ_TEV",$AI130,$I$2,$I$3)))</f>
        <v/>
      </c>
      <c r="AT130" s="718" t="str">
        <f>IF(OR($B130="No",AT$6=""),"",IF(NOT(ISNUMBER(_xll.ciqfunctions.udf.CIQ(AT$6,"IQ_TEV",$AI130,$I$2,$I$3))),"",_xll.ciqfunctions.udf.CIQ(AT$6,"IQ_TEV",$AI130,$I$2,$I$3)))</f>
        <v/>
      </c>
      <c r="AV130" s="251">
        <f t="shared" si="69"/>
        <v>43686</v>
      </c>
      <c r="AW130" s="719">
        <f t="shared" si="70"/>
        <v>0.45418112800857324</v>
      </c>
      <c r="AX130" s="719">
        <f t="shared" si="71"/>
        <v>0.63240524431258471</v>
      </c>
      <c r="AY130" s="719" t="e">
        <f t="shared" si="72"/>
        <v>#N/A</v>
      </c>
      <c r="AZ130" s="719" t="e">
        <f t="shared" si="73"/>
        <v>#N/A</v>
      </c>
      <c r="BA130" s="719" t="e">
        <f t="shared" si="74"/>
        <v>#N/A</v>
      </c>
      <c r="BB130" s="719" t="e">
        <f t="shared" si="75"/>
        <v>#N/A</v>
      </c>
      <c r="BC130" s="719" t="e">
        <f t="shared" si="76"/>
        <v>#N/A</v>
      </c>
      <c r="BD130" s="719" t="e">
        <f t="shared" si="77"/>
        <v>#N/A</v>
      </c>
      <c r="BE130" s="719" t="e">
        <f t="shared" si="78"/>
        <v>#N/A</v>
      </c>
      <c r="BF130" s="719" t="e">
        <f t="shared" si="79"/>
        <v>#N/A</v>
      </c>
      <c r="BG130" s="719" t="e">
        <f t="shared" si="80"/>
        <v>#N/A</v>
      </c>
    </row>
    <row r="131" spans="1:59" ht="15" customHeight="1" x14ac:dyDescent="0.2">
      <c r="A131" s="251">
        <f t="shared" si="63"/>
        <v>43693</v>
      </c>
      <c r="B131" s="253" t="str">
        <f t="shared" si="81"/>
        <v>Yes</v>
      </c>
      <c r="C131" s="1033">
        <f>IF(C$6="","",IF(NOT(ISNUMBER(_xll.ciqfunctions.udf.CIQ(C$6,$F$2, $A131, $I$2, $I$3))),IF(C130=C$6,"",C130),_xll.ciqfunctions.udf.CIQ(C$6,$F$2, $A131, $I$2, $I$3)))</f>
        <v>112.99</v>
      </c>
      <c r="D131" s="1033">
        <f>IF(D$6="","",IF(NOT(ISNUMBER(_xll.ciqfunctions.udf.CIQ(D$6,$F$2, $A131, $I$2, $I$3))),IF(D130=D$6,"",D130),_xll.ciqfunctions.udf.CIQ(D$6,$F$2, $A131, $I$2, $I$3)))</f>
        <v>25886.007030000001</v>
      </c>
      <c r="E131" s="1033">
        <f>IF(E$6="","",IF(NOT(ISNUMBER(_xll.ciqfunctions.udf.CIQ(E$6,$F$2, $A131, $I$2, $I$3))),IF(E130=E$6,"",E130),_xll.ciqfunctions.udf.CIQ(E$6,$F$2, $A131, $I$2, $I$3)))</f>
        <v>8592.8147900000004</v>
      </c>
      <c r="F131" s="1033">
        <f>IF(F$6="","",IF(NOT(ISNUMBER(_xll.ciqfunctions.udf.CIQ(F$6,$F$2, $A131, $I$2, $I$3))),IF(F130=F$6,"",F130),_xll.ciqfunctions.udf.CIQ(F$6,$F$2, $A131, $I$2, $I$3)))</f>
        <v>4009.308</v>
      </c>
      <c r="G131" s="1033">
        <f>IF(G$6="","",IF(NOT(ISNUMBER(_xll.ciqfunctions.udf.CIQ(G$6,$F$2, $A131, $I$2, $I$3))),IF(G130=G$6,"",G130),_xll.ciqfunctions.udf.CIQ(G$6,$F$2, $A131, $I$2, $I$3)))</f>
        <v>274.10000000000002</v>
      </c>
      <c r="H131" s="1033" t="str">
        <f>IF(H$6="","",IF(NOT(ISNUMBER(_xll.ciqfunctions.udf.CIQ(H$6,$F$2, $A131, $I$2, $I$3))),IF(H130=H$6,"",H130),_xll.ciqfunctions.udf.CIQ(H$6,$F$2, $A131, $I$2, $I$3)))</f>
        <v/>
      </c>
      <c r="I131" s="1033" t="str">
        <f>IF(I$6="","",IF(NOT(ISNUMBER(_xll.ciqfunctions.udf.CIQ(I$6,$F$2, $A131, $I$2, $I$3))),IF(I130=I$6,"",I130),_xll.ciqfunctions.udf.CIQ(I$6,$F$2, $A131, $I$2, $I$3)))</f>
        <v/>
      </c>
      <c r="J131" s="1033" t="str">
        <f>IF(J$6="","",IF(NOT(ISNUMBER(_xll.ciqfunctions.udf.CIQ(J$6,$F$2, $A131, $I$2, $I$3))),IF(J130=J$6,"",J130),_xll.ciqfunctions.udf.CIQ(J$6,$F$2, $A131, $I$2, $I$3)))</f>
        <v/>
      </c>
      <c r="K131" s="1033" t="str">
        <f>IF(K$6="","",IF(NOT(ISNUMBER(_xll.ciqfunctions.udf.CIQ(K$6,$F$2, $A131, $I$2, $I$3))),IF(K130=K$6,"",K130),_xll.ciqfunctions.udf.CIQ(K$6,$F$2, $A131, $I$2, $I$3)))</f>
        <v/>
      </c>
      <c r="L131" s="254" t="str">
        <f>IF(L$6="","",IF(NOT(ISNUMBER(_xll.ciqfunctions.udf.CIQ(L$6,$F$2, $A131, $I$2, $I$3))),IF(L130=L$6,"",L130),_xll.ciqfunctions.udf.CIQ(L$6,$F$2, $A131, $I$2, $I$3)))</f>
        <v/>
      </c>
      <c r="M131" s="254" t="str">
        <f>IF(M$6="","",IF(NOT(ISNUMBER(_xll.ciqfunctions.udf.CIQ(M$6,$F$2, $A131, $I$2, $I$3))),IF(M130=M$6,"",M130),_xll.ciqfunctions.udf.CIQ(M$6,$F$2, $A131, $I$2, $I$3)))</f>
        <v/>
      </c>
      <c r="N131" s="254" t="str">
        <f>IF(N$6="","",IF(NOT(ISNUMBER(_xll.ciqfunctions.udf.CIQ(N$6,$F$2, $A131, $I$2, $I$3))),IF(N130=N$6,"",N130),_xll.ciqfunctions.udf.CIQ(N$6,$F$2, $A131, $I$2, $I$3)))</f>
        <v/>
      </c>
      <c r="O131" s="254" t="str">
        <f>IF(O$6="","",IF(NOT(ISNUMBER(_xll.ciqfunctions.udf.CIQ(O$6,$F$2, $A131, $I$2, $I$3))),IF(O130=O$6,"",O130),_xll.ciqfunctions.udf.CIQ(O$6,$F$2, $A131, $I$2, $I$3)))</f>
        <v/>
      </c>
      <c r="P131" s="254" t="str">
        <f>IF(P$6="","",IF(NOT(ISNUMBER(_xll.ciqfunctions.udf.CIQ(P$6,$F$2, $A131, $I$2, $I$3))),IF(P130=P$6,"",P130),_xll.ciqfunctions.udf.CIQ(P$6,$F$2, $A131, $I$2, $I$3)))</f>
        <v/>
      </c>
      <c r="Q131" s="254"/>
      <c r="R131" s="251">
        <f t="shared" si="64"/>
        <v>43693</v>
      </c>
      <c r="S131" s="255">
        <f t="shared" si="66"/>
        <v>0.5675638179800222</v>
      </c>
      <c r="T131" s="255">
        <f t="shared" si="67"/>
        <v>0.25275759064061432</v>
      </c>
      <c r="U131" s="255">
        <f t="shared" si="68"/>
        <v>0.200814662355564</v>
      </c>
      <c r="V131" s="255">
        <f t="shared" si="82"/>
        <v>-8.6662893546094799E-2</v>
      </c>
      <c r="W131" s="255">
        <f t="array" ref="W131">IFERROR(AVERAGE(IF(ISERROR(X131:AG131),"",X131:AG131)),"")</f>
        <v>0.63456377840062039</v>
      </c>
      <c r="X131" s="255">
        <f t="shared" si="83"/>
        <v>0.63456377840062039</v>
      </c>
      <c r="Y131" s="255" t="e">
        <f t="shared" si="84"/>
        <v>#N/A</v>
      </c>
      <c r="Z131" s="255" t="e">
        <f t="shared" si="85"/>
        <v>#N/A</v>
      </c>
      <c r="AA131" s="255" t="e">
        <f t="shared" si="86"/>
        <v>#N/A</v>
      </c>
      <c r="AB131" s="255" t="e">
        <f t="shared" si="87"/>
        <v>#N/A</v>
      </c>
      <c r="AC131" s="255" t="e">
        <f t="shared" si="88"/>
        <v>#N/A</v>
      </c>
      <c r="AD131" s="255" t="e">
        <f t="shared" si="89"/>
        <v>#N/A</v>
      </c>
      <c r="AE131" s="255" t="e">
        <f t="shared" si="90"/>
        <v>#N/A</v>
      </c>
      <c r="AF131" s="255" t="e">
        <f t="shared" si="91"/>
        <v>#N/A</v>
      </c>
      <c r="AG131" s="255" t="e">
        <f t="shared" si="92"/>
        <v>#N/A</v>
      </c>
      <c r="AI131" s="251">
        <f t="shared" si="65"/>
        <v>43693</v>
      </c>
      <c r="AJ131" s="718">
        <f>IF(OR($B131="No",AJ$6=""),"",IF(NOT(ISNUMBER(_xll.ciqfunctions.udf.CIQ(AJ$6,"IQ_TEV",$AI131,$I$2,$I$3))),"",_xll.ciqfunctions.udf.CIQ(AJ$6,"IQ_TEV",$AI131,$I$2,$I$3)))</f>
        <v>394785.05426</v>
      </c>
      <c r="AK131" s="718">
        <f>IF(OR($B131="No",AK$6=""),"",IF(NOT(ISNUMBER(_xll.ciqfunctions.udf.CIQ(AK$6,"IQ_TEV",$AI131,$I$2,$I$3))),"",_xll.ciqfunctions.udf.CIQ(AK$6,"IQ_TEV",$AI131,$I$2,$I$3)))</f>
        <v>119211.21588</v>
      </c>
      <c r="AL131" s="718" t="str">
        <f>IF(OR($B131="No",AL$6=""),"",IF(NOT(ISNUMBER(_xll.ciqfunctions.udf.CIQ(AL$6,"IQ_TEV",$AI131,$I$2,$I$3))),"",_xll.ciqfunctions.udf.CIQ(AL$6,"IQ_TEV",$AI131,$I$2,$I$3)))</f>
        <v/>
      </c>
      <c r="AM131" s="718" t="str">
        <f>IF(OR($B131="No",AM$6=""),"",IF(NOT(ISNUMBER(_xll.ciqfunctions.udf.CIQ(AM$6,"IQ_TEV",$AI131,$I$2,$I$3))),"",_xll.ciqfunctions.udf.CIQ(AM$6,"IQ_TEV",$AI131,$I$2,$I$3)))</f>
        <v/>
      </c>
      <c r="AN131" s="718" t="str">
        <f>IF(OR($B131="No",AN$6=""),"",IF(NOT(ISNUMBER(_xll.ciqfunctions.udf.CIQ(AN$6,"IQ_TEV",$AI131,$I$2,$I$3))),"",_xll.ciqfunctions.udf.CIQ(AN$6,"IQ_TEV",$AI131,$I$2,$I$3)))</f>
        <v/>
      </c>
      <c r="AO131" s="718" t="str">
        <f>IF(OR($B131="No",AO$6=""),"",IF(NOT(ISNUMBER(_xll.ciqfunctions.udf.CIQ(AO$6,"IQ_TEV",$AI131,$I$2,$I$3))),"",_xll.ciqfunctions.udf.CIQ(AO$6,"IQ_TEV",$AI131,$I$2,$I$3)))</f>
        <v/>
      </c>
      <c r="AP131" s="718" t="str">
        <f>IF(OR($B131="No",AP$6=""),"",IF(NOT(ISNUMBER(_xll.ciqfunctions.udf.CIQ(AP$6,"IQ_TEV",$AI131,$I$2,$I$3))),"",_xll.ciqfunctions.udf.CIQ(AP$6,"IQ_TEV",$AI131,$I$2,$I$3)))</f>
        <v/>
      </c>
      <c r="AQ131" s="718" t="str">
        <f>IF(OR($B131="No",AQ$6=""),"",IF(NOT(ISNUMBER(_xll.ciqfunctions.udf.CIQ(AQ$6,"IQ_TEV",$AI131,$I$2,$I$3))),"",_xll.ciqfunctions.udf.CIQ(AQ$6,"IQ_TEV",$AI131,$I$2,$I$3)))</f>
        <v/>
      </c>
      <c r="AR131" s="718" t="str">
        <f>IF(OR($B131="No",AR$6=""),"",IF(NOT(ISNUMBER(_xll.ciqfunctions.udf.CIQ(AR$6,"IQ_TEV",$AI131,$I$2,$I$3))),"",_xll.ciqfunctions.udf.CIQ(AR$6,"IQ_TEV",$AI131,$I$2,$I$3)))</f>
        <v/>
      </c>
      <c r="AS131" s="718" t="str">
        <f>IF(OR($B131="No",AS$6=""),"",IF(NOT(ISNUMBER(_xll.ciqfunctions.udf.CIQ(AS$6,"IQ_TEV",$AI131,$I$2,$I$3))),"",_xll.ciqfunctions.udf.CIQ(AS$6,"IQ_TEV",$AI131,$I$2,$I$3)))</f>
        <v/>
      </c>
      <c r="AT131" s="718" t="str">
        <f>IF(OR($B131="No",AT$6=""),"",IF(NOT(ISNUMBER(_xll.ciqfunctions.udf.CIQ(AT$6,"IQ_TEV",$AI131,$I$2,$I$3))),"",_xll.ciqfunctions.udf.CIQ(AT$6,"IQ_TEV",$AI131,$I$2,$I$3)))</f>
        <v/>
      </c>
      <c r="AV131" s="251">
        <f t="shared" si="69"/>
        <v>43693</v>
      </c>
      <c r="AW131" s="719">
        <f t="shared" si="70"/>
        <v>0.51225444648934304</v>
      </c>
      <c r="AX131" s="719">
        <f t="shared" si="71"/>
        <v>0.63336936592617676</v>
      </c>
      <c r="AY131" s="719" t="e">
        <f t="shared" si="72"/>
        <v>#N/A</v>
      </c>
      <c r="AZ131" s="719" t="e">
        <f t="shared" si="73"/>
        <v>#N/A</v>
      </c>
      <c r="BA131" s="719" t="e">
        <f t="shared" si="74"/>
        <v>#N/A</v>
      </c>
      <c r="BB131" s="719" t="e">
        <f t="shared" si="75"/>
        <v>#N/A</v>
      </c>
      <c r="BC131" s="719" t="e">
        <f t="shared" si="76"/>
        <v>#N/A</v>
      </c>
      <c r="BD131" s="719" t="e">
        <f t="shared" si="77"/>
        <v>#N/A</v>
      </c>
      <c r="BE131" s="719" t="e">
        <f t="shared" si="78"/>
        <v>#N/A</v>
      </c>
      <c r="BF131" s="719" t="e">
        <f t="shared" si="79"/>
        <v>#N/A</v>
      </c>
      <c r="BG131" s="719" t="e">
        <f t="shared" si="80"/>
        <v>#N/A</v>
      </c>
    </row>
    <row r="132" spans="1:59" ht="15" customHeight="1" x14ac:dyDescent="0.2">
      <c r="A132" s="251">
        <f t="shared" si="63"/>
        <v>43700</v>
      </c>
      <c r="B132" s="253" t="str">
        <f t="shared" si="81"/>
        <v>Yes</v>
      </c>
      <c r="C132" s="1033">
        <f>IF(C$6="","",IF(NOT(ISNUMBER(_xll.ciqfunctions.udf.CIQ(C$6,$F$2, $A132, $I$2, $I$3))),IF(C131=C$6,"",C131),_xll.ciqfunctions.udf.CIQ(C$6,$F$2, $A132, $I$2, $I$3)))</f>
        <v>110.83</v>
      </c>
      <c r="D132" s="1033">
        <f>IF(D$6="","",IF(NOT(ISNUMBER(_xll.ciqfunctions.udf.CIQ(D$6,$F$2, $A132, $I$2, $I$3))),IF(D131=D$6,"",D131),_xll.ciqfunctions.udf.CIQ(D$6,$F$2, $A132, $I$2, $I$3)))</f>
        <v>25628.895400000001</v>
      </c>
      <c r="E132" s="1033">
        <f>IF(E$6="","",IF(NOT(ISNUMBER(_xll.ciqfunctions.udf.CIQ(E$6,$F$2, $A132, $I$2, $I$3))),IF(E131=E$6,"",E131),_xll.ciqfunctions.udf.CIQ(E$6,$F$2, $A132, $I$2, $I$3)))</f>
        <v>8496.7441799999997</v>
      </c>
      <c r="F132" s="1033">
        <f>IF(F$6="","",IF(NOT(ISNUMBER(_xll.ciqfunctions.udf.CIQ(F$6,$F$2, $A132, $I$2, $I$3))),IF(F131=F$6,"",F131),_xll.ciqfunctions.udf.CIQ(F$6,$F$2, $A132, $I$2, $I$3)))</f>
        <v>3994.0693099999999</v>
      </c>
      <c r="G132" s="1033">
        <f>IF(G$6="","",IF(NOT(ISNUMBER(_xll.ciqfunctions.udf.CIQ(G$6,$F$2, $A132, $I$2, $I$3))),IF(G131=G$6,"",G131),_xll.ciqfunctions.udf.CIQ(G$6,$F$2, $A132, $I$2, $I$3)))</f>
        <v>274.01</v>
      </c>
      <c r="H132" s="1033" t="str">
        <f>IF(H$6="","",IF(NOT(ISNUMBER(_xll.ciqfunctions.udf.CIQ(H$6,$F$2, $A132, $I$2, $I$3))),IF(H131=H$6,"",H131),_xll.ciqfunctions.udf.CIQ(H$6,$F$2, $A132, $I$2, $I$3)))</f>
        <v/>
      </c>
      <c r="I132" s="1033" t="str">
        <f>IF(I$6="","",IF(NOT(ISNUMBER(_xll.ciqfunctions.udf.CIQ(I$6,$F$2, $A132, $I$2, $I$3))),IF(I131=I$6,"",I131),_xll.ciqfunctions.udf.CIQ(I$6,$F$2, $A132, $I$2, $I$3)))</f>
        <v/>
      </c>
      <c r="J132" s="1033" t="str">
        <f>IF(J$6="","",IF(NOT(ISNUMBER(_xll.ciqfunctions.udf.CIQ(J$6,$F$2, $A132, $I$2, $I$3))),IF(J131=J$6,"",J131),_xll.ciqfunctions.udf.CIQ(J$6,$F$2, $A132, $I$2, $I$3)))</f>
        <v/>
      </c>
      <c r="K132" s="1033" t="str">
        <f>IF(K$6="","",IF(NOT(ISNUMBER(_xll.ciqfunctions.udf.CIQ(K$6,$F$2, $A132, $I$2, $I$3))),IF(K131=K$6,"",K131),_xll.ciqfunctions.udf.CIQ(K$6,$F$2, $A132, $I$2, $I$3)))</f>
        <v/>
      </c>
      <c r="L132" s="254" t="str">
        <f>IF(L$6="","",IF(NOT(ISNUMBER(_xll.ciqfunctions.udf.CIQ(L$6,$F$2, $A132, $I$2, $I$3))),IF(L131=L$6,"",L131),_xll.ciqfunctions.udf.CIQ(L$6,$F$2, $A132, $I$2, $I$3)))</f>
        <v/>
      </c>
      <c r="M132" s="254" t="str">
        <f>IF(M$6="","",IF(NOT(ISNUMBER(_xll.ciqfunctions.udf.CIQ(M$6,$F$2, $A132, $I$2, $I$3))),IF(M131=M$6,"",M131),_xll.ciqfunctions.udf.CIQ(M$6,$F$2, $A132, $I$2, $I$3)))</f>
        <v/>
      </c>
      <c r="N132" s="254" t="str">
        <f>IF(N$6="","",IF(NOT(ISNUMBER(_xll.ciqfunctions.udf.CIQ(N$6,$F$2, $A132, $I$2, $I$3))),IF(N131=N$6,"",N131),_xll.ciqfunctions.udf.CIQ(N$6,$F$2, $A132, $I$2, $I$3)))</f>
        <v/>
      </c>
      <c r="O132" s="254" t="str">
        <f>IF(O$6="","",IF(NOT(ISNUMBER(_xll.ciqfunctions.udf.CIQ(O$6,$F$2, $A132, $I$2, $I$3))),IF(O131=O$6,"",O131),_xll.ciqfunctions.udf.CIQ(O$6,$F$2, $A132, $I$2, $I$3)))</f>
        <v/>
      </c>
      <c r="P132" s="254" t="str">
        <f>IF(P$6="","",IF(NOT(ISNUMBER(_xll.ciqfunctions.udf.CIQ(P$6,$F$2, $A132, $I$2, $I$3))),IF(P131=P$6,"",P131),_xll.ciqfunctions.udf.CIQ(P$6,$F$2, $A132, $I$2, $I$3)))</f>
        <v/>
      </c>
      <c r="Q132" s="254"/>
      <c r="R132" s="251">
        <f t="shared" si="64"/>
        <v>43700</v>
      </c>
      <c r="S132" s="255">
        <f t="shared" si="66"/>
        <v>0.53759711431742518</v>
      </c>
      <c r="T132" s="255">
        <f t="shared" si="67"/>
        <v>0.24031463079164306</v>
      </c>
      <c r="U132" s="255">
        <f t="shared" si="68"/>
        <v>0.18738914348557745</v>
      </c>
      <c r="V132" s="255">
        <f t="shared" si="82"/>
        <v>-9.013433076936328E-2</v>
      </c>
      <c r="W132" s="255">
        <f t="array" ref="W132">IFERROR(AVERAGE(IF(ISERROR(X132:AG132),"",X132:AG132)),"")</f>
        <v>0.63402707376707013</v>
      </c>
      <c r="X132" s="255">
        <f t="shared" si="83"/>
        <v>0.63402707376707013</v>
      </c>
      <c r="Y132" s="255" t="e">
        <f t="shared" si="84"/>
        <v>#N/A</v>
      </c>
      <c r="Z132" s="255" t="e">
        <f t="shared" si="85"/>
        <v>#N/A</v>
      </c>
      <c r="AA132" s="255" t="e">
        <f t="shared" si="86"/>
        <v>#N/A</v>
      </c>
      <c r="AB132" s="255" t="e">
        <f t="shared" si="87"/>
        <v>#N/A</v>
      </c>
      <c r="AC132" s="255" t="e">
        <f t="shared" si="88"/>
        <v>#N/A</v>
      </c>
      <c r="AD132" s="255" t="e">
        <f t="shared" si="89"/>
        <v>#N/A</v>
      </c>
      <c r="AE132" s="255" t="e">
        <f t="shared" si="90"/>
        <v>#N/A</v>
      </c>
      <c r="AF132" s="255" t="e">
        <f t="shared" si="91"/>
        <v>#N/A</v>
      </c>
      <c r="AG132" s="255" t="e">
        <f t="shared" si="92"/>
        <v>#N/A</v>
      </c>
      <c r="AI132" s="251">
        <f t="shared" si="65"/>
        <v>43700</v>
      </c>
      <c r="AJ132" s="718">
        <f>IF(OR($B132="No",AJ$6=""),"",IF(NOT(ISNUMBER(_xll.ciqfunctions.udf.CIQ(AJ$6,"IQ_TEV",$AI132,$I$2,$I$3))),"",_xll.ciqfunctions.udf.CIQ(AJ$6,"IQ_TEV",$AI132,$I$2,$I$3)))</f>
        <v>388618.85444000002</v>
      </c>
      <c r="AK132" s="718">
        <f>IF(OR($B132="No",AK$6=""),"",IF(NOT(ISNUMBER(_xll.ciqfunctions.udf.CIQ(AK$6,"IQ_TEV",$AI132,$I$2,$I$3))),"",_xll.ciqfunctions.udf.CIQ(AK$6,"IQ_TEV",$AI132,$I$2,$I$3)))</f>
        <v>119171.63486000001</v>
      </c>
      <c r="AL132" s="718" t="str">
        <f>IF(OR($B132="No",AL$6=""),"",IF(NOT(ISNUMBER(_xll.ciqfunctions.udf.CIQ(AL$6,"IQ_TEV",$AI132,$I$2,$I$3))),"",_xll.ciqfunctions.udf.CIQ(AL$6,"IQ_TEV",$AI132,$I$2,$I$3)))</f>
        <v/>
      </c>
      <c r="AM132" s="718" t="str">
        <f>IF(OR($B132="No",AM$6=""),"",IF(NOT(ISNUMBER(_xll.ciqfunctions.udf.CIQ(AM$6,"IQ_TEV",$AI132,$I$2,$I$3))),"",_xll.ciqfunctions.udf.CIQ(AM$6,"IQ_TEV",$AI132,$I$2,$I$3)))</f>
        <v/>
      </c>
      <c r="AN132" s="718" t="str">
        <f>IF(OR($B132="No",AN$6=""),"",IF(NOT(ISNUMBER(_xll.ciqfunctions.udf.CIQ(AN$6,"IQ_TEV",$AI132,$I$2,$I$3))),"",_xll.ciqfunctions.udf.CIQ(AN$6,"IQ_TEV",$AI132,$I$2,$I$3)))</f>
        <v/>
      </c>
      <c r="AO132" s="718" t="str">
        <f>IF(OR($B132="No",AO$6=""),"",IF(NOT(ISNUMBER(_xll.ciqfunctions.udf.CIQ(AO$6,"IQ_TEV",$AI132,$I$2,$I$3))),"",_xll.ciqfunctions.udf.CIQ(AO$6,"IQ_TEV",$AI132,$I$2,$I$3)))</f>
        <v/>
      </c>
      <c r="AP132" s="718" t="str">
        <f>IF(OR($B132="No",AP$6=""),"",IF(NOT(ISNUMBER(_xll.ciqfunctions.udf.CIQ(AP$6,"IQ_TEV",$AI132,$I$2,$I$3))),"",_xll.ciqfunctions.udf.CIQ(AP$6,"IQ_TEV",$AI132,$I$2,$I$3)))</f>
        <v/>
      </c>
      <c r="AQ132" s="718" t="str">
        <f>IF(OR($B132="No",AQ$6=""),"",IF(NOT(ISNUMBER(_xll.ciqfunctions.udf.CIQ(AQ$6,"IQ_TEV",$AI132,$I$2,$I$3))),"",_xll.ciqfunctions.udf.CIQ(AQ$6,"IQ_TEV",$AI132,$I$2,$I$3)))</f>
        <v/>
      </c>
      <c r="AR132" s="718" t="str">
        <f>IF(OR($B132="No",AR$6=""),"",IF(NOT(ISNUMBER(_xll.ciqfunctions.udf.CIQ(AR$6,"IQ_TEV",$AI132,$I$2,$I$3))),"",_xll.ciqfunctions.udf.CIQ(AR$6,"IQ_TEV",$AI132,$I$2,$I$3)))</f>
        <v/>
      </c>
      <c r="AS132" s="718" t="str">
        <f>IF(OR($B132="No",AS$6=""),"",IF(NOT(ISNUMBER(_xll.ciqfunctions.udf.CIQ(AS$6,"IQ_TEV",$AI132,$I$2,$I$3))),"",_xll.ciqfunctions.udf.CIQ(AS$6,"IQ_TEV",$AI132,$I$2,$I$3)))</f>
        <v/>
      </c>
      <c r="AT132" s="718" t="str">
        <f>IF(OR($B132="No",AT$6=""),"",IF(NOT(ISNUMBER(_xll.ciqfunctions.udf.CIQ(AT$6,"IQ_TEV",$AI132,$I$2,$I$3))),"",_xll.ciqfunctions.udf.CIQ(AT$6,"IQ_TEV",$AI132,$I$2,$I$3)))</f>
        <v/>
      </c>
      <c r="AV132" s="251">
        <f t="shared" si="69"/>
        <v>43700</v>
      </c>
      <c r="AW132" s="719">
        <f t="shared" si="70"/>
        <v>0.48863434487932733</v>
      </c>
      <c r="AX132" s="719">
        <f t="shared" si="71"/>
        <v>0.6328270476127289</v>
      </c>
      <c r="AY132" s="719" t="e">
        <f t="shared" si="72"/>
        <v>#N/A</v>
      </c>
      <c r="AZ132" s="719" t="e">
        <f t="shared" si="73"/>
        <v>#N/A</v>
      </c>
      <c r="BA132" s="719" t="e">
        <f t="shared" si="74"/>
        <v>#N/A</v>
      </c>
      <c r="BB132" s="719" t="e">
        <f t="shared" si="75"/>
        <v>#N/A</v>
      </c>
      <c r="BC132" s="719" t="e">
        <f t="shared" si="76"/>
        <v>#N/A</v>
      </c>
      <c r="BD132" s="719" t="e">
        <f t="shared" si="77"/>
        <v>#N/A</v>
      </c>
      <c r="BE132" s="719" t="e">
        <f t="shared" si="78"/>
        <v>#N/A</v>
      </c>
      <c r="BF132" s="719" t="e">
        <f t="shared" si="79"/>
        <v>#N/A</v>
      </c>
      <c r="BG132" s="719" t="e">
        <f t="shared" si="80"/>
        <v>#N/A</v>
      </c>
    </row>
    <row r="133" spans="1:59" ht="15" customHeight="1" x14ac:dyDescent="0.2">
      <c r="A133" s="251">
        <f t="shared" si="63"/>
        <v>43707</v>
      </c>
      <c r="B133" s="253" t="str">
        <f t="shared" si="81"/>
        <v>Yes</v>
      </c>
      <c r="C133" s="1033">
        <f>IF(C$6="","",IF(NOT(ISNUMBER(_xll.ciqfunctions.udf.CIQ(C$6,$F$2, $A133, $I$2, $I$3))),IF(C132=C$6,"",C132),_xll.ciqfunctions.udf.CIQ(C$6,$F$2, $A133, $I$2, $I$3)))</f>
        <v>114.26</v>
      </c>
      <c r="D133" s="1033">
        <f>IF(D$6="","",IF(NOT(ISNUMBER(_xll.ciqfunctions.udf.CIQ(D$6,$F$2, $A133, $I$2, $I$3))),IF(D132=D$6,"",D132),_xll.ciqfunctions.udf.CIQ(D$6,$F$2, $A133, $I$2, $I$3)))</f>
        <v>26403.28226</v>
      </c>
      <c r="E133" s="1033">
        <f>IF(E$6="","",IF(NOT(ISNUMBER(_xll.ciqfunctions.udf.CIQ(E$6,$F$2, $A133, $I$2, $I$3))),IF(E132=E$6,"",E132),_xll.ciqfunctions.udf.CIQ(E$6,$F$2, $A133, $I$2, $I$3)))</f>
        <v>8751.8778299999994</v>
      </c>
      <c r="F133" s="1033">
        <f>IF(F$6="","",IF(NOT(ISNUMBER(_xll.ciqfunctions.udf.CIQ(F$6,$F$2, $A133, $I$2, $I$3))),IF(F132=F$6,"",F132),_xll.ciqfunctions.udf.CIQ(F$6,$F$2, $A133, $I$2, $I$3)))</f>
        <v>4122.6730100000004</v>
      </c>
      <c r="G133" s="1033">
        <f>IF(G$6="","",IF(NOT(ISNUMBER(_xll.ciqfunctions.udf.CIQ(G$6,$F$2, $A133, $I$2, $I$3))),IF(G132=G$6,"",G132),_xll.ciqfunctions.udf.CIQ(G$6,$F$2, $A133, $I$2, $I$3)))</f>
        <v>294.76</v>
      </c>
      <c r="H133" s="1033" t="str">
        <f>IF(H$6="","",IF(NOT(ISNUMBER(_xll.ciqfunctions.udf.CIQ(H$6,$F$2, $A133, $I$2, $I$3))),IF(H132=H$6,"",H132),_xll.ciqfunctions.udf.CIQ(H$6,$F$2, $A133, $I$2, $I$3)))</f>
        <v/>
      </c>
      <c r="I133" s="1033" t="str">
        <f>IF(I$6="","",IF(NOT(ISNUMBER(_xll.ciqfunctions.udf.CIQ(I$6,$F$2, $A133, $I$2, $I$3))),IF(I132=I$6,"",I132),_xll.ciqfunctions.udf.CIQ(I$6,$F$2, $A133, $I$2, $I$3)))</f>
        <v/>
      </c>
      <c r="J133" s="1033" t="str">
        <f>IF(J$6="","",IF(NOT(ISNUMBER(_xll.ciqfunctions.udf.CIQ(J$6,$F$2, $A133, $I$2, $I$3))),IF(J132=J$6,"",J132),_xll.ciqfunctions.udf.CIQ(J$6,$F$2, $A133, $I$2, $I$3)))</f>
        <v/>
      </c>
      <c r="K133" s="1033" t="str">
        <f>IF(K$6="","",IF(NOT(ISNUMBER(_xll.ciqfunctions.udf.CIQ(K$6,$F$2, $A133, $I$2, $I$3))),IF(K132=K$6,"",K132),_xll.ciqfunctions.udf.CIQ(K$6,$F$2, $A133, $I$2, $I$3)))</f>
        <v/>
      </c>
      <c r="L133" s="254" t="str">
        <f>IF(L$6="","",IF(NOT(ISNUMBER(_xll.ciqfunctions.udf.CIQ(L$6,$F$2, $A133, $I$2, $I$3))),IF(L132=L$6,"",L132),_xll.ciqfunctions.udf.CIQ(L$6,$F$2, $A133, $I$2, $I$3)))</f>
        <v/>
      </c>
      <c r="M133" s="254" t="str">
        <f>IF(M$6="","",IF(NOT(ISNUMBER(_xll.ciqfunctions.udf.CIQ(M$6,$F$2, $A133, $I$2, $I$3))),IF(M132=M$6,"",M132),_xll.ciqfunctions.udf.CIQ(M$6,$F$2, $A133, $I$2, $I$3)))</f>
        <v/>
      </c>
      <c r="N133" s="254" t="str">
        <f>IF(N$6="","",IF(NOT(ISNUMBER(_xll.ciqfunctions.udf.CIQ(N$6,$F$2, $A133, $I$2, $I$3))),IF(N132=N$6,"",N132),_xll.ciqfunctions.udf.CIQ(N$6,$F$2, $A133, $I$2, $I$3)))</f>
        <v/>
      </c>
      <c r="O133" s="254" t="str">
        <f>IF(O$6="","",IF(NOT(ISNUMBER(_xll.ciqfunctions.udf.CIQ(O$6,$F$2, $A133, $I$2, $I$3))),IF(O132=O$6,"",O132),_xll.ciqfunctions.udf.CIQ(O$6,$F$2, $A133, $I$2, $I$3)))</f>
        <v/>
      </c>
      <c r="P133" s="254" t="str">
        <f>IF(P$6="","",IF(NOT(ISNUMBER(_xll.ciqfunctions.udf.CIQ(P$6,$F$2, $A133, $I$2, $I$3))),IF(P132=P$6,"",P132),_xll.ciqfunctions.udf.CIQ(P$6,$F$2, $A133, $I$2, $I$3)))</f>
        <v/>
      </c>
      <c r="Q133" s="254"/>
      <c r="R133" s="251">
        <f t="shared" si="64"/>
        <v>43707</v>
      </c>
      <c r="S133" s="255">
        <f t="shared" si="66"/>
        <v>0.58518312985571597</v>
      </c>
      <c r="T133" s="255">
        <f t="shared" si="67"/>
        <v>0.27779121093137071</v>
      </c>
      <c r="U133" s="255">
        <f t="shared" si="68"/>
        <v>0.2230431445629466</v>
      </c>
      <c r="V133" s="255">
        <f t="shared" si="82"/>
        <v>-6.0837870822343376E-2</v>
      </c>
      <c r="W133" s="255">
        <f t="array" ref="W133">IFERROR(AVERAGE(IF(ISERROR(X133:AG133),"",X133:AG133)),"")</f>
        <v>0.75776730872443188</v>
      </c>
      <c r="X133" s="255">
        <f t="shared" si="83"/>
        <v>0.75776730872443188</v>
      </c>
      <c r="Y133" s="255" t="e">
        <f t="shared" si="84"/>
        <v>#N/A</v>
      </c>
      <c r="Z133" s="255" t="e">
        <f t="shared" si="85"/>
        <v>#N/A</v>
      </c>
      <c r="AA133" s="255" t="e">
        <f t="shared" si="86"/>
        <v>#N/A</v>
      </c>
      <c r="AB133" s="255" t="e">
        <f t="shared" si="87"/>
        <v>#N/A</v>
      </c>
      <c r="AC133" s="255" t="e">
        <f t="shared" si="88"/>
        <v>#N/A</v>
      </c>
      <c r="AD133" s="255" t="e">
        <f t="shared" si="89"/>
        <v>#N/A</v>
      </c>
      <c r="AE133" s="255" t="e">
        <f t="shared" si="90"/>
        <v>#N/A</v>
      </c>
      <c r="AF133" s="255" t="e">
        <f t="shared" si="91"/>
        <v>#N/A</v>
      </c>
      <c r="AG133" s="255" t="e">
        <f t="shared" si="92"/>
        <v>#N/A</v>
      </c>
      <c r="AI133" s="251">
        <f t="shared" si="65"/>
        <v>43707</v>
      </c>
      <c r="AJ133" s="718">
        <f>IF(OR($B133="No",AJ$6=""),"",IF(NOT(ISNUMBER(_xll.ciqfunctions.udf.CIQ(AJ$6,"IQ_TEV",$AI133,$I$2,$I$3))),"",_xll.ciqfunctions.udf.CIQ(AJ$6,"IQ_TEV",$AI133,$I$2,$I$3)))</f>
        <v>398410.55137</v>
      </c>
      <c r="AK133" s="718">
        <f>IF(OR($B133="No",AK$6=""),"",IF(NOT(ISNUMBER(_xll.ciqfunctions.udf.CIQ(AK$6,"IQ_TEV",$AI133,$I$2,$I$3))),"",_xll.ciqfunctions.udf.CIQ(AK$6,"IQ_TEV",$AI133,$I$2,$I$3)))</f>
        <v>128297.26046999999</v>
      </c>
      <c r="AL133" s="718" t="str">
        <f>IF(OR($B133="No",AL$6=""),"",IF(NOT(ISNUMBER(_xll.ciqfunctions.udf.CIQ(AL$6,"IQ_TEV",$AI133,$I$2,$I$3))),"",_xll.ciqfunctions.udf.CIQ(AL$6,"IQ_TEV",$AI133,$I$2,$I$3)))</f>
        <v/>
      </c>
      <c r="AM133" s="718" t="str">
        <f>IF(OR($B133="No",AM$6=""),"",IF(NOT(ISNUMBER(_xll.ciqfunctions.udf.CIQ(AM$6,"IQ_TEV",$AI133,$I$2,$I$3))),"",_xll.ciqfunctions.udf.CIQ(AM$6,"IQ_TEV",$AI133,$I$2,$I$3)))</f>
        <v/>
      </c>
      <c r="AN133" s="718" t="str">
        <f>IF(OR($B133="No",AN$6=""),"",IF(NOT(ISNUMBER(_xll.ciqfunctions.udf.CIQ(AN$6,"IQ_TEV",$AI133,$I$2,$I$3))),"",_xll.ciqfunctions.udf.CIQ(AN$6,"IQ_TEV",$AI133,$I$2,$I$3)))</f>
        <v/>
      </c>
      <c r="AO133" s="718" t="str">
        <f>IF(OR($B133="No",AO$6=""),"",IF(NOT(ISNUMBER(_xll.ciqfunctions.udf.CIQ(AO$6,"IQ_TEV",$AI133,$I$2,$I$3))),"",_xll.ciqfunctions.udf.CIQ(AO$6,"IQ_TEV",$AI133,$I$2,$I$3)))</f>
        <v/>
      </c>
      <c r="AP133" s="718" t="str">
        <f>IF(OR($B133="No",AP$6=""),"",IF(NOT(ISNUMBER(_xll.ciqfunctions.udf.CIQ(AP$6,"IQ_TEV",$AI133,$I$2,$I$3))),"",_xll.ciqfunctions.udf.CIQ(AP$6,"IQ_TEV",$AI133,$I$2,$I$3)))</f>
        <v/>
      </c>
      <c r="AQ133" s="718" t="str">
        <f>IF(OR($B133="No",AQ$6=""),"",IF(NOT(ISNUMBER(_xll.ciqfunctions.udf.CIQ(AQ$6,"IQ_TEV",$AI133,$I$2,$I$3))),"",_xll.ciqfunctions.udf.CIQ(AQ$6,"IQ_TEV",$AI133,$I$2,$I$3)))</f>
        <v/>
      </c>
      <c r="AR133" s="718" t="str">
        <f>IF(OR($B133="No",AR$6=""),"",IF(NOT(ISNUMBER(_xll.ciqfunctions.udf.CIQ(AR$6,"IQ_TEV",$AI133,$I$2,$I$3))),"",_xll.ciqfunctions.udf.CIQ(AR$6,"IQ_TEV",$AI133,$I$2,$I$3)))</f>
        <v/>
      </c>
      <c r="AS133" s="718" t="str">
        <f>IF(OR($B133="No",AS$6=""),"",IF(NOT(ISNUMBER(_xll.ciqfunctions.udf.CIQ(AS$6,"IQ_TEV",$AI133,$I$2,$I$3))),"",_xll.ciqfunctions.udf.CIQ(AS$6,"IQ_TEV",$AI133,$I$2,$I$3)))</f>
        <v/>
      </c>
      <c r="AT133" s="718" t="str">
        <f>IF(OR($B133="No",AT$6=""),"",IF(NOT(ISNUMBER(_xll.ciqfunctions.udf.CIQ(AT$6,"IQ_TEV",$AI133,$I$2,$I$3))),"",_xll.ciqfunctions.udf.CIQ(AT$6,"IQ_TEV",$AI133,$I$2,$I$3)))</f>
        <v/>
      </c>
      <c r="AV133" s="251">
        <f t="shared" si="69"/>
        <v>43707</v>
      </c>
      <c r="AW133" s="719">
        <f t="shared" si="70"/>
        <v>0.52614219139298091</v>
      </c>
      <c r="AX133" s="719">
        <f t="shared" si="71"/>
        <v>0.7578615689558339</v>
      </c>
      <c r="AY133" s="719" t="e">
        <f t="shared" si="72"/>
        <v>#N/A</v>
      </c>
      <c r="AZ133" s="719" t="e">
        <f t="shared" si="73"/>
        <v>#N/A</v>
      </c>
      <c r="BA133" s="719" t="e">
        <f t="shared" si="74"/>
        <v>#N/A</v>
      </c>
      <c r="BB133" s="719" t="e">
        <f t="shared" si="75"/>
        <v>#N/A</v>
      </c>
      <c r="BC133" s="719" t="e">
        <f t="shared" si="76"/>
        <v>#N/A</v>
      </c>
      <c r="BD133" s="719" t="e">
        <f t="shared" si="77"/>
        <v>#N/A</v>
      </c>
      <c r="BE133" s="719" t="e">
        <f t="shared" si="78"/>
        <v>#N/A</v>
      </c>
      <c r="BF133" s="719" t="e">
        <f t="shared" si="79"/>
        <v>#N/A</v>
      </c>
      <c r="BG133" s="719" t="e">
        <f t="shared" si="80"/>
        <v>#N/A</v>
      </c>
    </row>
    <row r="134" spans="1:59" ht="15" customHeight="1" x14ac:dyDescent="0.2">
      <c r="A134" s="251">
        <f t="shared" si="63"/>
        <v>43714</v>
      </c>
      <c r="B134" s="253" t="str">
        <f t="shared" si="81"/>
        <v>Yes</v>
      </c>
      <c r="C134" s="1033">
        <f>IF(C$6="","",IF(NOT(ISNUMBER(_xll.ciqfunctions.udf.CIQ(C$6,$F$2, $A134, $I$2, $I$3))),IF(C133=C$6,"",C133),_xll.ciqfunctions.udf.CIQ(C$6,$F$2, $A134, $I$2, $I$3)))</f>
        <v>114.73</v>
      </c>
      <c r="D134" s="1033">
        <f>IF(D$6="","",IF(NOT(ISNUMBER(_xll.ciqfunctions.udf.CIQ(D$6,$F$2, $A134, $I$2, $I$3))),IF(D133=D$6,"",D133),_xll.ciqfunctions.udf.CIQ(D$6,$F$2, $A134, $I$2, $I$3)))</f>
        <v>26797.461309999999</v>
      </c>
      <c r="E134" s="1033">
        <f>IF(E$6="","",IF(NOT(ISNUMBER(_xll.ciqfunctions.udf.CIQ(E$6,$F$2, $A134, $I$2, $I$3))),IF(E133=E$6,"",E133),_xll.ciqfunctions.udf.CIQ(E$6,$F$2, $A134, $I$2, $I$3)))</f>
        <v>8869.7714699999997</v>
      </c>
      <c r="F134" s="1033">
        <f>IF(F$6="","",IF(NOT(ISNUMBER(_xll.ciqfunctions.udf.CIQ(F$6,$F$2, $A134, $I$2, $I$3))),IF(F133=F$6,"",F133),_xll.ciqfunctions.udf.CIQ(F$6,$F$2, $A134, $I$2, $I$3)))</f>
        <v>4253.5177599999997</v>
      </c>
      <c r="G134" s="1033">
        <f>IF(G$6="","",IF(NOT(ISNUMBER(_xll.ciqfunctions.udf.CIQ(G$6,$F$2, $A134, $I$2, $I$3))),IF(G133=G$6,"",G133),_xll.ciqfunctions.udf.CIQ(G$6,$F$2, $A134, $I$2, $I$3)))</f>
        <v>303.76</v>
      </c>
      <c r="H134" s="1033" t="str">
        <f>IF(H$6="","",IF(NOT(ISNUMBER(_xll.ciqfunctions.udf.CIQ(H$6,$F$2, $A134, $I$2, $I$3))),IF(H133=H$6,"",H133),_xll.ciqfunctions.udf.CIQ(H$6,$F$2, $A134, $I$2, $I$3)))</f>
        <v/>
      </c>
      <c r="I134" s="1033" t="str">
        <f>IF(I$6="","",IF(NOT(ISNUMBER(_xll.ciqfunctions.udf.CIQ(I$6,$F$2, $A134, $I$2, $I$3))),IF(I133=I$6,"",I133),_xll.ciqfunctions.udf.CIQ(I$6,$F$2, $A134, $I$2, $I$3)))</f>
        <v/>
      </c>
      <c r="J134" s="1033" t="str">
        <f>IF(J$6="","",IF(NOT(ISNUMBER(_xll.ciqfunctions.udf.CIQ(J$6,$F$2, $A134, $I$2, $I$3))),IF(J133=J$6,"",J133),_xll.ciqfunctions.udf.CIQ(J$6,$F$2, $A134, $I$2, $I$3)))</f>
        <v/>
      </c>
      <c r="K134" s="1033" t="str">
        <f>IF(K$6="","",IF(NOT(ISNUMBER(_xll.ciqfunctions.udf.CIQ(K$6,$F$2, $A134, $I$2, $I$3))),IF(K133=K$6,"",K133),_xll.ciqfunctions.udf.CIQ(K$6,$F$2, $A134, $I$2, $I$3)))</f>
        <v/>
      </c>
      <c r="L134" s="254" t="str">
        <f>IF(L$6="","",IF(NOT(ISNUMBER(_xll.ciqfunctions.udf.CIQ(L$6,$F$2, $A134, $I$2, $I$3))),IF(L133=L$6,"",L133),_xll.ciqfunctions.udf.CIQ(L$6,$F$2, $A134, $I$2, $I$3)))</f>
        <v/>
      </c>
      <c r="M134" s="254" t="str">
        <f>IF(M$6="","",IF(NOT(ISNUMBER(_xll.ciqfunctions.udf.CIQ(M$6,$F$2, $A134, $I$2, $I$3))),IF(M133=M$6,"",M133),_xll.ciqfunctions.udf.CIQ(M$6,$F$2, $A134, $I$2, $I$3)))</f>
        <v/>
      </c>
      <c r="N134" s="254" t="str">
        <f>IF(N$6="","",IF(NOT(ISNUMBER(_xll.ciqfunctions.udf.CIQ(N$6,$F$2, $A134, $I$2, $I$3))),IF(N133=N$6,"",N133),_xll.ciqfunctions.udf.CIQ(N$6,$F$2, $A134, $I$2, $I$3)))</f>
        <v/>
      </c>
      <c r="O134" s="254" t="str">
        <f>IF(O$6="","",IF(NOT(ISNUMBER(_xll.ciqfunctions.udf.CIQ(O$6,$F$2, $A134, $I$2, $I$3))),IF(O133=O$6,"",O133),_xll.ciqfunctions.udf.CIQ(O$6,$F$2, $A134, $I$2, $I$3)))</f>
        <v/>
      </c>
      <c r="P134" s="254" t="str">
        <f>IF(P$6="","",IF(NOT(ISNUMBER(_xll.ciqfunctions.udf.CIQ(P$6,$F$2, $A134, $I$2, $I$3))),IF(P133=P$6,"",P133),_xll.ciqfunctions.udf.CIQ(P$6,$F$2, $A134, $I$2, $I$3)))</f>
        <v/>
      </c>
      <c r="Q134" s="254"/>
      <c r="R134" s="251">
        <f t="shared" si="64"/>
        <v>43714</v>
      </c>
      <c r="S134" s="255">
        <f t="shared" si="66"/>
        <v>0.59170366259711438</v>
      </c>
      <c r="T134" s="255">
        <f t="shared" si="67"/>
        <v>0.29686757123625318</v>
      </c>
      <c r="U134" s="255">
        <f t="shared" si="68"/>
        <v>0.23951835262575982</v>
      </c>
      <c r="V134" s="255">
        <f t="shared" si="82"/>
        <v>-3.103089032603723E-2</v>
      </c>
      <c r="W134" s="255">
        <f t="array" ref="W134">IFERROR(AVERAGE(IF(ISERROR(X134:AG134),"",X134:AG134)),"")</f>
        <v>0.81143777207943235</v>
      </c>
      <c r="X134" s="255">
        <f t="shared" si="83"/>
        <v>0.81143777207943235</v>
      </c>
      <c r="Y134" s="255" t="e">
        <f t="shared" si="84"/>
        <v>#N/A</v>
      </c>
      <c r="Z134" s="255" t="e">
        <f t="shared" si="85"/>
        <v>#N/A</v>
      </c>
      <c r="AA134" s="255" t="e">
        <f t="shared" si="86"/>
        <v>#N/A</v>
      </c>
      <c r="AB134" s="255" t="e">
        <f t="shared" si="87"/>
        <v>#N/A</v>
      </c>
      <c r="AC134" s="255" t="e">
        <f t="shared" si="88"/>
        <v>#N/A</v>
      </c>
      <c r="AD134" s="255" t="e">
        <f t="shared" si="89"/>
        <v>#N/A</v>
      </c>
      <c r="AE134" s="255" t="e">
        <f t="shared" si="90"/>
        <v>#N/A</v>
      </c>
      <c r="AF134" s="255" t="e">
        <f t="shared" si="91"/>
        <v>#N/A</v>
      </c>
      <c r="AG134" s="255" t="e">
        <f t="shared" si="92"/>
        <v>#N/A</v>
      </c>
      <c r="AI134" s="251">
        <f t="shared" si="65"/>
        <v>43714</v>
      </c>
      <c r="AJ134" s="718">
        <f>IF(OR($B134="No",AJ$6=""),"",IF(NOT(ISNUMBER(_xll.ciqfunctions.udf.CIQ(AJ$6,"IQ_TEV",$AI134,$I$2,$I$3))),"",_xll.ciqfunctions.udf.CIQ(AJ$6,"IQ_TEV",$AI134,$I$2,$I$3)))</f>
        <v>399174.71250000002</v>
      </c>
      <c r="AK134" s="718">
        <f>IF(OR($B134="No",AK$6=""),"",IF(NOT(ISNUMBER(_xll.ciqfunctions.udf.CIQ(AK$6,"IQ_TEV",$AI134,$I$2,$I$3))),"",_xll.ciqfunctions.udf.CIQ(AK$6,"IQ_TEV",$AI134,$I$2,$I$3)))</f>
        <v>132255.36314</v>
      </c>
      <c r="AL134" s="718" t="str">
        <f>IF(OR($B134="No",AL$6=""),"",IF(NOT(ISNUMBER(_xll.ciqfunctions.udf.CIQ(AL$6,"IQ_TEV",$AI134,$I$2,$I$3))),"",_xll.ciqfunctions.udf.CIQ(AL$6,"IQ_TEV",$AI134,$I$2,$I$3)))</f>
        <v/>
      </c>
      <c r="AM134" s="718" t="str">
        <f>IF(OR($B134="No",AM$6=""),"",IF(NOT(ISNUMBER(_xll.ciqfunctions.udf.CIQ(AM$6,"IQ_TEV",$AI134,$I$2,$I$3))),"",_xll.ciqfunctions.udf.CIQ(AM$6,"IQ_TEV",$AI134,$I$2,$I$3)))</f>
        <v/>
      </c>
      <c r="AN134" s="718" t="str">
        <f>IF(OR($B134="No",AN$6=""),"",IF(NOT(ISNUMBER(_xll.ciqfunctions.udf.CIQ(AN$6,"IQ_TEV",$AI134,$I$2,$I$3))),"",_xll.ciqfunctions.udf.CIQ(AN$6,"IQ_TEV",$AI134,$I$2,$I$3)))</f>
        <v/>
      </c>
      <c r="AO134" s="718" t="str">
        <f>IF(OR($B134="No",AO$6=""),"",IF(NOT(ISNUMBER(_xll.ciqfunctions.udf.CIQ(AO$6,"IQ_TEV",$AI134,$I$2,$I$3))),"",_xll.ciqfunctions.udf.CIQ(AO$6,"IQ_TEV",$AI134,$I$2,$I$3)))</f>
        <v/>
      </c>
      <c r="AP134" s="718" t="str">
        <f>IF(OR($B134="No",AP$6=""),"",IF(NOT(ISNUMBER(_xll.ciqfunctions.udf.CIQ(AP$6,"IQ_TEV",$AI134,$I$2,$I$3))),"",_xll.ciqfunctions.udf.CIQ(AP$6,"IQ_TEV",$AI134,$I$2,$I$3)))</f>
        <v/>
      </c>
      <c r="AQ134" s="718" t="str">
        <f>IF(OR($B134="No",AQ$6=""),"",IF(NOT(ISNUMBER(_xll.ciqfunctions.udf.CIQ(AQ$6,"IQ_TEV",$AI134,$I$2,$I$3))),"",_xll.ciqfunctions.udf.CIQ(AQ$6,"IQ_TEV",$AI134,$I$2,$I$3)))</f>
        <v/>
      </c>
      <c r="AR134" s="718" t="str">
        <f>IF(OR($B134="No",AR$6=""),"",IF(NOT(ISNUMBER(_xll.ciqfunctions.udf.CIQ(AR$6,"IQ_TEV",$AI134,$I$2,$I$3))),"",_xll.ciqfunctions.udf.CIQ(AR$6,"IQ_TEV",$AI134,$I$2,$I$3)))</f>
        <v/>
      </c>
      <c r="AS134" s="718" t="str">
        <f>IF(OR($B134="No",AS$6=""),"",IF(NOT(ISNUMBER(_xll.ciqfunctions.udf.CIQ(AS$6,"IQ_TEV",$AI134,$I$2,$I$3))),"",_xll.ciqfunctions.udf.CIQ(AS$6,"IQ_TEV",$AI134,$I$2,$I$3)))</f>
        <v/>
      </c>
      <c r="AT134" s="718" t="str">
        <f>IF(OR($B134="No",AT$6=""),"",IF(NOT(ISNUMBER(_xll.ciqfunctions.udf.CIQ(AT$6,"IQ_TEV",$AI134,$I$2,$I$3))),"",_xll.ciqfunctions.udf.CIQ(AT$6,"IQ_TEV",$AI134,$I$2,$I$3)))</f>
        <v/>
      </c>
      <c r="AV134" s="251">
        <f t="shared" si="69"/>
        <v>43714</v>
      </c>
      <c r="AW134" s="719">
        <f t="shared" si="70"/>
        <v>0.52906936924383197</v>
      </c>
      <c r="AX134" s="719">
        <f t="shared" si="71"/>
        <v>0.81209340948060826</v>
      </c>
      <c r="AY134" s="719" t="e">
        <f t="shared" si="72"/>
        <v>#N/A</v>
      </c>
      <c r="AZ134" s="719" t="e">
        <f t="shared" si="73"/>
        <v>#N/A</v>
      </c>
      <c r="BA134" s="719" t="e">
        <f t="shared" si="74"/>
        <v>#N/A</v>
      </c>
      <c r="BB134" s="719" t="e">
        <f t="shared" si="75"/>
        <v>#N/A</v>
      </c>
      <c r="BC134" s="719" t="e">
        <f t="shared" si="76"/>
        <v>#N/A</v>
      </c>
      <c r="BD134" s="719" t="e">
        <f t="shared" si="77"/>
        <v>#N/A</v>
      </c>
      <c r="BE134" s="719" t="e">
        <f t="shared" si="78"/>
        <v>#N/A</v>
      </c>
      <c r="BF134" s="719" t="e">
        <f t="shared" si="79"/>
        <v>#N/A</v>
      </c>
      <c r="BG134" s="719" t="e">
        <f t="shared" si="80"/>
        <v>#N/A</v>
      </c>
    </row>
    <row r="135" spans="1:59" ht="15" customHeight="1" x14ac:dyDescent="0.2">
      <c r="A135" s="251">
        <f t="shared" ref="A135:A198" si="93">IF(WEEKDAY(A136-7)=7,A136-8,IF(WEEKDAY(A136-7)=1,A136-9,A136-7))</f>
        <v>43721</v>
      </c>
      <c r="B135" s="253" t="str">
        <f t="shared" si="81"/>
        <v>Yes</v>
      </c>
      <c r="C135" s="1033">
        <f>IF(C$6="","",IF(NOT(ISNUMBER(_xll.ciqfunctions.udf.CIQ(C$6,$F$2, $A135, $I$2, $I$3))),IF(C134=C$6,"",C134),_xll.ciqfunctions.udf.CIQ(C$6,$F$2, $A135, $I$2, $I$3)))</f>
        <v>117.43</v>
      </c>
      <c r="D135" s="1033">
        <f>IF(D$6="","",IF(NOT(ISNUMBER(_xll.ciqfunctions.udf.CIQ(D$6,$F$2, $A135, $I$2, $I$3))),IF(D134=D$6,"",D134),_xll.ciqfunctions.udf.CIQ(D$6,$F$2, $A135, $I$2, $I$3)))</f>
        <v>27219.515039999998</v>
      </c>
      <c r="E135" s="1033">
        <f>IF(E$6="","",IF(NOT(ISNUMBER(_xll.ciqfunctions.udf.CIQ(E$6,$F$2, $A135, $I$2, $I$3))),IF(E134=E$6,"",E134),_xll.ciqfunctions.udf.CIQ(E$6,$F$2, $A135, $I$2, $I$3)))</f>
        <v>9056.6741199999997</v>
      </c>
      <c r="F135" s="1033">
        <f>IF(F$6="","",IF(NOT(ISNUMBER(_xll.ciqfunctions.udf.CIQ(F$6,$F$2, $A135, $I$2, $I$3))),IF(F134=F$6,"",F134),_xll.ciqfunctions.udf.CIQ(F$6,$F$2, $A135, $I$2, $I$3)))</f>
        <v>4518.0309900000002</v>
      </c>
      <c r="G135" s="1033">
        <f>IF(G$6="","",IF(NOT(ISNUMBER(_xll.ciqfunctions.udf.CIQ(G$6,$F$2, $A135, $I$2, $I$3))),IF(G134=G$6,"",G134),_xll.ciqfunctions.udf.CIQ(G$6,$F$2, $A135, $I$2, $I$3)))</f>
        <v>291.89999999999998</v>
      </c>
      <c r="H135" s="1033" t="str">
        <f>IF(H$6="","",IF(NOT(ISNUMBER(_xll.ciqfunctions.udf.CIQ(H$6,$F$2, $A135, $I$2, $I$3))),IF(H134=H$6,"",H134),_xll.ciqfunctions.udf.CIQ(H$6,$F$2, $A135, $I$2, $I$3)))</f>
        <v/>
      </c>
      <c r="I135" s="1033" t="str">
        <f>IF(I$6="","",IF(NOT(ISNUMBER(_xll.ciqfunctions.udf.CIQ(I$6,$F$2, $A135, $I$2, $I$3))),IF(I134=I$6,"",I134),_xll.ciqfunctions.udf.CIQ(I$6,$F$2, $A135, $I$2, $I$3)))</f>
        <v/>
      </c>
      <c r="J135" s="1033" t="str">
        <f>IF(J$6="","",IF(NOT(ISNUMBER(_xll.ciqfunctions.udf.CIQ(J$6,$F$2, $A135, $I$2, $I$3))),IF(J134=J$6,"",J134),_xll.ciqfunctions.udf.CIQ(J$6,$F$2, $A135, $I$2, $I$3)))</f>
        <v/>
      </c>
      <c r="K135" s="1033" t="str">
        <f>IF(K$6="","",IF(NOT(ISNUMBER(_xll.ciqfunctions.udf.CIQ(K$6,$F$2, $A135, $I$2, $I$3))),IF(K134=K$6,"",K134),_xll.ciqfunctions.udf.CIQ(K$6,$F$2, $A135, $I$2, $I$3)))</f>
        <v/>
      </c>
      <c r="L135" s="254" t="str">
        <f>IF(L$6="","",IF(NOT(ISNUMBER(_xll.ciqfunctions.udf.CIQ(L$6,$F$2, $A135, $I$2, $I$3))),IF(L134=L$6,"",L134),_xll.ciqfunctions.udf.CIQ(L$6,$F$2, $A135, $I$2, $I$3)))</f>
        <v/>
      </c>
      <c r="M135" s="254" t="str">
        <f>IF(M$6="","",IF(NOT(ISNUMBER(_xll.ciqfunctions.udf.CIQ(M$6,$F$2, $A135, $I$2, $I$3))),IF(M134=M$6,"",M134),_xll.ciqfunctions.udf.CIQ(M$6,$F$2, $A135, $I$2, $I$3)))</f>
        <v/>
      </c>
      <c r="N135" s="254" t="str">
        <f>IF(N$6="","",IF(NOT(ISNUMBER(_xll.ciqfunctions.udf.CIQ(N$6,$F$2, $A135, $I$2, $I$3))),IF(N134=N$6,"",N134),_xll.ciqfunctions.udf.CIQ(N$6,$F$2, $A135, $I$2, $I$3)))</f>
        <v/>
      </c>
      <c r="O135" s="254" t="str">
        <f>IF(O$6="","",IF(NOT(ISNUMBER(_xll.ciqfunctions.udf.CIQ(O$6,$F$2, $A135, $I$2, $I$3))),IF(O134=O$6,"",O134),_xll.ciqfunctions.udf.CIQ(O$6,$F$2, $A135, $I$2, $I$3)))</f>
        <v/>
      </c>
      <c r="P135" s="254" t="str">
        <f>IF(P$6="","",IF(NOT(ISNUMBER(_xll.ciqfunctions.udf.CIQ(P$6,$F$2, $A135, $I$2, $I$3))),IF(P134=P$6,"",P134),_xll.ciqfunctions.udf.CIQ(P$6,$F$2, $A135, $I$2, $I$3)))</f>
        <v/>
      </c>
      <c r="Q135" s="254"/>
      <c r="R135" s="251">
        <f t="shared" ref="R135:R198" si="94">A135</f>
        <v>43721</v>
      </c>
      <c r="S135" s="255">
        <f t="shared" si="66"/>
        <v>0.62916204217536076</v>
      </c>
      <c r="T135" s="255">
        <f t="shared" si="67"/>
        <v>0.31729293128900005</v>
      </c>
      <c r="U135" s="255">
        <f t="shared" si="68"/>
        <v>0.265637319231941</v>
      </c>
      <c r="V135" s="255">
        <f t="shared" si="82"/>
        <v>2.9226328153305614E-2</v>
      </c>
      <c r="W135" s="255">
        <f t="array" ref="W135">IFERROR(AVERAGE(IF(ISERROR(X135:AG135),"",X135:AG135)),"")</f>
        <v>0.74071202814717618</v>
      </c>
      <c r="X135" s="255">
        <f t="shared" si="83"/>
        <v>0.74071202814717618</v>
      </c>
      <c r="Y135" s="255" t="e">
        <f t="shared" si="84"/>
        <v>#N/A</v>
      </c>
      <c r="Z135" s="255" t="e">
        <f t="shared" si="85"/>
        <v>#N/A</v>
      </c>
      <c r="AA135" s="255" t="e">
        <f t="shared" si="86"/>
        <v>#N/A</v>
      </c>
      <c r="AB135" s="255" t="e">
        <f t="shared" si="87"/>
        <v>#N/A</v>
      </c>
      <c r="AC135" s="255" t="e">
        <f t="shared" si="88"/>
        <v>#N/A</v>
      </c>
      <c r="AD135" s="255" t="e">
        <f t="shared" si="89"/>
        <v>#N/A</v>
      </c>
      <c r="AE135" s="255" t="e">
        <f t="shared" si="90"/>
        <v>#N/A</v>
      </c>
      <c r="AF135" s="255" t="e">
        <f t="shared" si="91"/>
        <v>#N/A</v>
      </c>
      <c r="AG135" s="255" t="e">
        <f t="shared" si="92"/>
        <v>#N/A</v>
      </c>
      <c r="AI135" s="251">
        <f t="shared" ref="AI135:AI198" si="95">R135</f>
        <v>43721</v>
      </c>
      <c r="AJ135" s="718">
        <f>IF(OR($B135="No",AJ$6=""),"",IF(NOT(ISNUMBER(_xll.ciqfunctions.udf.CIQ(AJ$6,"IQ_TEV",$AI135,$I$2,$I$3))),"",_xll.ciqfunctions.udf.CIQ(AJ$6,"IQ_TEV",$AI135,$I$2,$I$3)))</f>
        <v>406854.27951000002</v>
      </c>
      <c r="AK135" s="718">
        <f>IF(OR($B135="No",AK$6=""),"",IF(NOT(ISNUMBER(_xll.ciqfunctions.udf.CIQ(AK$6,"IQ_TEV",$AI135,$I$2,$I$3))),"",_xll.ciqfunctions.udf.CIQ(AK$6,"IQ_TEV",$AI135,$I$2,$I$3)))</f>
        <v>127039.46339</v>
      </c>
      <c r="AL135" s="718" t="str">
        <f>IF(OR($B135="No",AL$6=""),"",IF(NOT(ISNUMBER(_xll.ciqfunctions.udf.CIQ(AL$6,"IQ_TEV",$AI135,$I$2,$I$3))),"",_xll.ciqfunctions.udf.CIQ(AL$6,"IQ_TEV",$AI135,$I$2,$I$3)))</f>
        <v/>
      </c>
      <c r="AM135" s="718" t="str">
        <f>IF(OR($B135="No",AM$6=""),"",IF(NOT(ISNUMBER(_xll.ciqfunctions.udf.CIQ(AM$6,"IQ_TEV",$AI135,$I$2,$I$3))),"",_xll.ciqfunctions.udf.CIQ(AM$6,"IQ_TEV",$AI135,$I$2,$I$3)))</f>
        <v/>
      </c>
      <c r="AN135" s="718" t="str">
        <f>IF(OR($B135="No",AN$6=""),"",IF(NOT(ISNUMBER(_xll.ciqfunctions.udf.CIQ(AN$6,"IQ_TEV",$AI135,$I$2,$I$3))),"",_xll.ciqfunctions.udf.CIQ(AN$6,"IQ_TEV",$AI135,$I$2,$I$3)))</f>
        <v/>
      </c>
      <c r="AO135" s="718" t="str">
        <f>IF(OR($B135="No",AO$6=""),"",IF(NOT(ISNUMBER(_xll.ciqfunctions.udf.CIQ(AO$6,"IQ_TEV",$AI135,$I$2,$I$3))),"",_xll.ciqfunctions.udf.CIQ(AO$6,"IQ_TEV",$AI135,$I$2,$I$3)))</f>
        <v/>
      </c>
      <c r="AP135" s="718" t="str">
        <f>IF(OR($B135="No",AP$6=""),"",IF(NOT(ISNUMBER(_xll.ciqfunctions.udf.CIQ(AP$6,"IQ_TEV",$AI135,$I$2,$I$3))),"",_xll.ciqfunctions.udf.CIQ(AP$6,"IQ_TEV",$AI135,$I$2,$I$3)))</f>
        <v/>
      </c>
      <c r="AQ135" s="718" t="str">
        <f>IF(OR($B135="No",AQ$6=""),"",IF(NOT(ISNUMBER(_xll.ciqfunctions.udf.CIQ(AQ$6,"IQ_TEV",$AI135,$I$2,$I$3))),"",_xll.ciqfunctions.udf.CIQ(AQ$6,"IQ_TEV",$AI135,$I$2,$I$3)))</f>
        <v/>
      </c>
      <c r="AR135" s="718" t="str">
        <f>IF(OR($B135="No",AR$6=""),"",IF(NOT(ISNUMBER(_xll.ciqfunctions.udf.CIQ(AR$6,"IQ_TEV",$AI135,$I$2,$I$3))),"",_xll.ciqfunctions.udf.CIQ(AR$6,"IQ_TEV",$AI135,$I$2,$I$3)))</f>
        <v/>
      </c>
      <c r="AS135" s="718" t="str">
        <f>IF(OR($B135="No",AS$6=""),"",IF(NOT(ISNUMBER(_xll.ciqfunctions.udf.CIQ(AS$6,"IQ_TEV",$AI135,$I$2,$I$3))),"",_xll.ciqfunctions.udf.CIQ(AS$6,"IQ_TEV",$AI135,$I$2,$I$3)))</f>
        <v/>
      </c>
      <c r="AT135" s="718" t="str">
        <f>IF(OR($B135="No",AT$6=""),"",IF(NOT(ISNUMBER(_xll.ciqfunctions.udf.CIQ(AT$6,"IQ_TEV",$AI135,$I$2,$I$3))),"",_xll.ciqfunctions.udf.CIQ(AT$6,"IQ_TEV",$AI135,$I$2,$I$3)))</f>
        <v/>
      </c>
      <c r="AV135" s="251">
        <f t="shared" si="69"/>
        <v>43721</v>
      </c>
      <c r="AW135" s="719">
        <f t="shared" si="70"/>
        <v>0.5584865400122494</v>
      </c>
      <c r="AX135" s="719">
        <f t="shared" si="71"/>
        <v>0.7406278950614964</v>
      </c>
      <c r="AY135" s="719" t="e">
        <f t="shared" si="72"/>
        <v>#N/A</v>
      </c>
      <c r="AZ135" s="719" t="e">
        <f t="shared" si="73"/>
        <v>#N/A</v>
      </c>
      <c r="BA135" s="719" t="e">
        <f t="shared" si="74"/>
        <v>#N/A</v>
      </c>
      <c r="BB135" s="719" t="e">
        <f t="shared" si="75"/>
        <v>#N/A</v>
      </c>
      <c r="BC135" s="719" t="e">
        <f t="shared" si="76"/>
        <v>#N/A</v>
      </c>
      <c r="BD135" s="719" t="e">
        <f t="shared" si="77"/>
        <v>#N/A</v>
      </c>
      <c r="BE135" s="719" t="e">
        <f t="shared" si="78"/>
        <v>#N/A</v>
      </c>
      <c r="BF135" s="719" t="e">
        <f t="shared" si="79"/>
        <v>#N/A</v>
      </c>
      <c r="BG135" s="719" t="e">
        <f t="shared" si="80"/>
        <v>#N/A</v>
      </c>
    </row>
    <row r="136" spans="1:59" ht="15" customHeight="1" x14ac:dyDescent="0.2">
      <c r="A136" s="251">
        <f t="shared" si="93"/>
        <v>43728</v>
      </c>
      <c r="B136" s="253" t="str">
        <f t="shared" si="81"/>
        <v>Yes</v>
      </c>
      <c r="C136" s="1033">
        <f>IF(C$6="","",IF(NOT(ISNUMBER(_xll.ciqfunctions.udf.CIQ(C$6,$F$2, $A136, $I$2, $I$3))),IF(C135=C$6,"",C135),_xll.ciqfunctions.udf.CIQ(C$6,$F$2, $A136, $I$2, $I$3)))</f>
        <v>116.98</v>
      </c>
      <c r="D136" s="1033">
        <f>IF(D$6="","",IF(NOT(ISNUMBER(_xll.ciqfunctions.udf.CIQ(D$6,$F$2, $A136, $I$2, $I$3))),IF(D135=D$6,"",D135),_xll.ciqfunctions.udf.CIQ(D$6,$F$2, $A136, $I$2, $I$3)))</f>
        <v>26935.071309999999</v>
      </c>
      <c r="E136" s="1033">
        <f>IF(E$6="","",IF(NOT(ISNUMBER(_xll.ciqfunctions.udf.CIQ(E$6,$F$2, $A136, $I$2, $I$3))),IF(E135=E$6,"",E135),_xll.ciqfunctions.udf.CIQ(E$6,$F$2, $A136, $I$2, $I$3)))</f>
        <v>8955.0407799999994</v>
      </c>
      <c r="F136" s="1033">
        <f>IF(F$6="","",IF(NOT(ISNUMBER(_xll.ciqfunctions.udf.CIQ(F$6,$F$2, $A136, $I$2, $I$3))),IF(F135=F$6,"",F135),_xll.ciqfunctions.udf.CIQ(F$6,$F$2, $A136, $I$2, $I$3)))</f>
        <v>4342.5224500000004</v>
      </c>
      <c r="G136" s="1033">
        <f>IF(G$6="","",IF(NOT(ISNUMBER(_xll.ciqfunctions.udf.CIQ(G$6,$F$2, $A136, $I$2, $I$3))),IF(G135=G$6,"",G135),_xll.ciqfunctions.udf.CIQ(G$6,$F$2, $A136, $I$2, $I$3)))</f>
        <v>286.36</v>
      </c>
      <c r="H136" s="1033" t="str">
        <f>IF(H$6="","",IF(NOT(ISNUMBER(_xll.ciqfunctions.udf.CIQ(H$6,$F$2, $A136, $I$2, $I$3))),IF(H135=H$6,"",H135),_xll.ciqfunctions.udf.CIQ(H$6,$F$2, $A136, $I$2, $I$3)))</f>
        <v/>
      </c>
      <c r="I136" s="1033" t="str">
        <f>IF(I$6="","",IF(NOT(ISNUMBER(_xll.ciqfunctions.udf.CIQ(I$6,$F$2, $A136, $I$2, $I$3))),IF(I135=I$6,"",I135),_xll.ciqfunctions.udf.CIQ(I$6,$F$2, $A136, $I$2, $I$3)))</f>
        <v/>
      </c>
      <c r="J136" s="1033" t="str">
        <f>IF(J$6="","",IF(NOT(ISNUMBER(_xll.ciqfunctions.udf.CIQ(J$6,$F$2, $A136, $I$2, $I$3))),IF(J135=J$6,"",J135),_xll.ciqfunctions.udf.CIQ(J$6,$F$2, $A136, $I$2, $I$3)))</f>
        <v/>
      </c>
      <c r="K136" s="1033" t="str">
        <f>IF(K$6="","",IF(NOT(ISNUMBER(_xll.ciqfunctions.udf.CIQ(K$6,$F$2, $A136, $I$2, $I$3))),IF(K135=K$6,"",K135),_xll.ciqfunctions.udf.CIQ(K$6,$F$2, $A136, $I$2, $I$3)))</f>
        <v/>
      </c>
      <c r="L136" s="254" t="str">
        <f>IF(L$6="","",IF(NOT(ISNUMBER(_xll.ciqfunctions.udf.CIQ(L$6,$F$2, $A136, $I$2, $I$3))),IF(L135=L$6,"",L135),_xll.ciqfunctions.udf.CIQ(L$6,$F$2, $A136, $I$2, $I$3)))</f>
        <v/>
      </c>
      <c r="M136" s="254" t="str">
        <f>IF(M$6="","",IF(NOT(ISNUMBER(_xll.ciqfunctions.udf.CIQ(M$6,$F$2, $A136, $I$2, $I$3))),IF(M135=M$6,"",M135),_xll.ciqfunctions.udf.CIQ(M$6,$F$2, $A136, $I$2, $I$3)))</f>
        <v/>
      </c>
      <c r="N136" s="254" t="str">
        <f>IF(N$6="","",IF(NOT(ISNUMBER(_xll.ciqfunctions.udf.CIQ(N$6,$F$2, $A136, $I$2, $I$3))),IF(N135=N$6,"",N135),_xll.ciqfunctions.udf.CIQ(N$6,$F$2, $A136, $I$2, $I$3)))</f>
        <v/>
      </c>
      <c r="O136" s="254" t="str">
        <f>IF(O$6="","",IF(NOT(ISNUMBER(_xll.ciqfunctions.udf.CIQ(O$6,$F$2, $A136, $I$2, $I$3))),IF(O135=O$6,"",O135),_xll.ciqfunctions.udf.CIQ(O$6,$F$2, $A136, $I$2, $I$3)))</f>
        <v/>
      </c>
      <c r="P136" s="254" t="str">
        <f>IF(P$6="","",IF(NOT(ISNUMBER(_xll.ciqfunctions.udf.CIQ(P$6,$F$2, $A136, $I$2, $I$3))),IF(P135=P$6,"",P135),_xll.ciqfunctions.udf.CIQ(P$6,$F$2, $A136, $I$2, $I$3)))</f>
        <v/>
      </c>
      <c r="Q136" s="254"/>
      <c r="R136" s="251">
        <f t="shared" si="94"/>
        <v>43728</v>
      </c>
      <c r="S136" s="255">
        <f t="shared" ref="S136:S199" si="96">IFERROR(IF(C136="",NA(),IF(OR($B136="No",C136=""),NA(),IF(AND(ISNA(S135),C136=S$3),0,IF($A$2="Yes",C136/C135-1,C136/S$3-1)))),"")</f>
        <v>0.62291897891231973</v>
      </c>
      <c r="T136" s="255">
        <f t="shared" ref="T136:T199" si="97">IFERROR(IF(D136="",NA(),IF(OR($B136="No",D136=""),NA(),IF(AND(ISNA(T135),D136=T$3),0,IF($A$2="Yes",D136/D135-1,D136/T$3-1)))),"")</f>
        <v>0.30352722994098391</v>
      </c>
      <c r="U136" s="255">
        <f t="shared" ref="U136:U199" si="98">IFERROR(IF(E136="",NA(),IF(OR($B136="No",E136=""),NA(),IF(AND(ISNA(U135),E136=U$3),0,IF($A$2="Yes",E136/E135-1,E136/U$3-1)))),"")</f>
        <v>0.2514344290453403</v>
      </c>
      <c r="V136" s="255">
        <f t="shared" si="82"/>
        <v>-1.0755250234174119E-2</v>
      </c>
      <c r="W136" s="255">
        <f t="array" ref="W136">IFERROR(AVERAGE(IF(ISERROR(X136:AG136),"",X136:AG136)),"")</f>
        <v>0.70767487625976511</v>
      </c>
      <c r="X136" s="255">
        <f t="shared" si="83"/>
        <v>0.70767487625976511</v>
      </c>
      <c r="Y136" s="255" t="e">
        <f t="shared" si="84"/>
        <v>#N/A</v>
      </c>
      <c r="Z136" s="255" t="e">
        <f t="shared" si="85"/>
        <v>#N/A</v>
      </c>
      <c r="AA136" s="255" t="e">
        <f t="shared" si="86"/>
        <v>#N/A</v>
      </c>
      <c r="AB136" s="255" t="e">
        <f t="shared" si="87"/>
        <v>#N/A</v>
      </c>
      <c r="AC136" s="255" t="e">
        <f t="shared" si="88"/>
        <v>#N/A</v>
      </c>
      <c r="AD136" s="255" t="e">
        <f t="shared" si="89"/>
        <v>#N/A</v>
      </c>
      <c r="AE136" s="255" t="e">
        <f t="shared" si="90"/>
        <v>#N/A</v>
      </c>
      <c r="AF136" s="255" t="e">
        <f t="shared" si="91"/>
        <v>#N/A</v>
      </c>
      <c r="AG136" s="255" t="e">
        <f t="shared" si="92"/>
        <v>#N/A</v>
      </c>
      <c r="AI136" s="251">
        <f t="shared" si="95"/>
        <v>43728</v>
      </c>
      <c r="AJ136" s="718">
        <f>IF(OR($B136="No",AJ$6=""),"",IF(NOT(ISNUMBER(_xll.ciqfunctions.udf.CIQ(AJ$6,"IQ_TEV",$AI136,$I$2,$I$3))),"",_xll.ciqfunctions.udf.CIQ(AJ$6,"IQ_TEV",$AI136,$I$2,$I$3)))</f>
        <v>405574.35168000002</v>
      </c>
      <c r="AK136" s="718">
        <f>IF(OR($B136="No",AK$6=""),"",IF(NOT(ISNUMBER(_xll.ciqfunctions.udf.CIQ(AK$6,"IQ_TEV",$AI136,$I$2,$I$3))),"",_xll.ciqfunctions.udf.CIQ(AK$6,"IQ_TEV",$AI136,$I$2,$I$3)))</f>
        <v>124603.0313</v>
      </c>
      <c r="AL136" s="718" t="str">
        <f>IF(OR($B136="No",AL$6=""),"",IF(NOT(ISNUMBER(_xll.ciqfunctions.udf.CIQ(AL$6,"IQ_TEV",$AI136,$I$2,$I$3))),"",_xll.ciqfunctions.udf.CIQ(AL$6,"IQ_TEV",$AI136,$I$2,$I$3)))</f>
        <v/>
      </c>
      <c r="AM136" s="718" t="str">
        <f>IF(OR($B136="No",AM$6=""),"",IF(NOT(ISNUMBER(_xll.ciqfunctions.udf.CIQ(AM$6,"IQ_TEV",$AI136,$I$2,$I$3))),"",_xll.ciqfunctions.udf.CIQ(AM$6,"IQ_TEV",$AI136,$I$2,$I$3)))</f>
        <v/>
      </c>
      <c r="AN136" s="718" t="str">
        <f>IF(OR($B136="No",AN$6=""),"",IF(NOT(ISNUMBER(_xll.ciqfunctions.udf.CIQ(AN$6,"IQ_TEV",$AI136,$I$2,$I$3))),"",_xll.ciqfunctions.udf.CIQ(AN$6,"IQ_TEV",$AI136,$I$2,$I$3)))</f>
        <v/>
      </c>
      <c r="AO136" s="718" t="str">
        <f>IF(OR($B136="No",AO$6=""),"",IF(NOT(ISNUMBER(_xll.ciqfunctions.udf.CIQ(AO$6,"IQ_TEV",$AI136,$I$2,$I$3))),"",_xll.ciqfunctions.udf.CIQ(AO$6,"IQ_TEV",$AI136,$I$2,$I$3)))</f>
        <v/>
      </c>
      <c r="AP136" s="718" t="str">
        <f>IF(OR($B136="No",AP$6=""),"",IF(NOT(ISNUMBER(_xll.ciqfunctions.udf.CIQ(AP$6,"IQ_TEV",$AI136,$I$2,$I$3))),"",_xll.ciqfunctions.udf.CIQ(AP$6,"IQ_TEV",$AI136,$I$2,$I$3)))</f>
        <v/>
      </c>
      <c r="AQ136" s="718" t="str">
        <f>IF(OR($B136="No",AQ$6=""),"",IF(NOT(ISNUMBER(_xll.ciqfunctions.udf.CIQ(AQ$6,"IQ_TEV",$AI136,$I$2,$I$3))),"",_xll.ciqfunctions.udf.CIQ(AQ$6,"IQ_TEV",$AI136,$I$2,$I$3)))</f>
        <v/>
      </c>
      <c r="AR136" s="718" t="str">
        <f>IF(OR($B136="No",AR$6=""),"",IF(NOT(ISNUMBER(_xll.ciqfunctions.udf.CIQ(AR$6,"IQ_TEV",$AI136,$I$2,$I$3))),"",_xll.ciqfunctions.udf.CIQ(AR$6,"IQ_TEV",$AI136,$I$2,$I$3)))</f>
        <v/>
      </c>
      <c r="AS136" s="718" t="str">
        <f>IF(OR($B136="No",AS$6=""),"",IF(NOT(ISNUMBER(_xll.ciqfunctions.udf.CIQ(AS$6,"IQ_TEV",$AI136,$I$2,$I$3))),"",_xll.ciqfunctions.udf.CIQ(AS$6,"IQ_TEV",$AI136,$I$2,$I$3)))</f>
        <v/>
      </c>
      <c r="AT136" s="718" t="str">
        <f>IF(OR($B136="No",AT$6=""),"",IF(NOT(ISNUMBER(_xll.ciqfunctions.udf.CIQ(AT$6,"IQ_TEV",$AI136,$I$2,$I$3))),"",_xll.ciqfunctions.udf.CIQ(AT$6,"IQ_TEV",$AI136,$I$2,$I$3)))</f>
        <v/>
      </c>
      <c r="AV136" s="251">
        <f t="shared" ref="AV136:AV199" si="99">AI136</f>
        <v>43728</v>
      </c>
      <c r="AW136" s="719">
        <f t="shared" ref="AW136:AW199" si="100">IF(OR(AW$6="",$B136="No",AJ136=""),NA(),IF(AND(ISNA(AW135),ISNUMBER(AJ136)),0,IF($A$2="Yes",AJ136/AJ135-1,AJ136/AW$3-1)))</f>
        <v>0.55358367823666588</v>
      </c>
      <c r="AX136" s="719">
        <f t="shared" ref="AX136:AX199" si="101">IF(OR(AX$6="",$B136="No",AK136=""),NA(),IF(AND(ISNA(AX135),ISNUMBER(AK136)),0,IF($A$2="Yes",AK136/AK135-1,AK136/AX$3-1)))</f>
        <v>0.70724518431076122</v>
      </c>
      <c r="AY136" s="719" t="e">
        <f t="shared" ref="AY136:AY199" si="102">IF(OR(AY$6="",$B136="No",AL136=""),NA(),IF(AND(ISNA(AY135),ISNUMBER(AL136)),0,IF($A$2="Yes",AL136/AL135-1,AL136/AY$3-1)))</f>
        <v>#N/A</v>
      </c>
      <c r="AZ136" s="719" t="e">
        <f t="shared" ref="AZ136:AZ199" si="103">IF(OR(AZ$6="",$B136="No",AM136=""),NA(),IF(AND(ISNA(AZ135),ISNUMBER(AM136)),0,IF($A$2="Yes",AM136/AM135-1,AM136/AZ$3-1)))</f>
        <v>#N/A</v>
      </c>
      <c r="BA136" s="719" t="e">
        <f t="shared" ref="BA136:BA199" si="104">IF(OR(BA$6="",$B136="No",AN136=""),NA(),IF(AND(ISNA(BA135),ISNUMBER(AN136)),0,IF($A$2="Yes",AN136/AN135-1,AN136/BA$3-1)))</f>
        <v>#N/A</v>
      </c>
      <c r="BB136" s="719" t="e">
        <f t="shared" ref="BB136:BB199" si="105">IF(OR(BB$6="",$B136="No",AO136=""),NA(),IF(AND(ISNA(BB135),ISNUMBER(AO136)),0,IF($A$2="Yes",AO136/AO135-1,AO136/BB$3-1)))</f>
        <v>#N/A</v>
      </c>
      <c r="BC136" s="719" t="e">
        <f t="shared" ref="BC136:BC199" si="106">IF(OR(BC$6="",$B136="No",AP136=""),NA(),IF(AND(ISNA(BC135),ISNUMBER(AP136)),0,IF($A$2="Yes",AP136/AP135-1,AP136/BC$3-1)))</f>
        <v>#N/A</v>
      </c>
      <c r="BD136" s="719" t="e">
        <f t="shared" ref="BD136:BD199" si="107">IF(OR(BD$6="",$B136="No",AQ136=""),NA(),IF(AND(ISNA(BD135),ISNUMBER(AQ136)),0,IF($A$2="Yes",AQ136/AQ135-1,AQ136/BD$3-1)))</f>
        <v>#N/A</v>
      </c>
      <c r="BE136" s="719" t="e">
        <f t="shared" ref="BE136:BE199" si="108">IF(OR(BE$6="",$B136="No",AR136=""),NA(),IF(AND(ISNA(BE135),ISNUMBER(AR136)),0,IF($A$2="Yes",AR136/AR135-1,AR136/BE$3-1)))</f>
        <v>#N/A</v>
      </c>
      <c r="BF136" s="719" t="e">
        <f t="shared" ref="BF136:BF199" si="109">IF(OR(BF$6="",$B136="No",AS136=""),NA(),IF(AND(ISNA(BF135),ISNUMBER(AS136)),0,IF($A$2="Yes",AS136/AS135-1,AS136/BF$3-1)))</f>
        <v>#N/A</v>
      </c>
      <c r="BG136" s="719" t="e">
        <f t="shared" ref="BG136:BG199" si="110">IF(OR(BG$6="",$B136="No",AT136=""),NA(),IF(AND(ISNA(BG135),ISNUMBER(AT136)),0,IF($A$2="Yes",AT136/AT135-1,AT136/BG$3-1)))</f>
        <v>#N/A</v>
      </c>
    </row>
    <row r="137" spans="1:59" ht="15" customHeight="1" x14ac:dyDescent="0.2">
      <c r="A137" s="251">
        <f t="shared" si="93"/>
        <v>43735</v>
      </c>
      <c r="B137" s="253" t="str">
        <f t="shared" ref="B137:B200" si="111">IF(AND(B136="No",COUNT(C137:F137)=0),"No","Yes")</f>
        <v>Yes</v>
      </c>
      <c r="C137" s="1033">
        <f>IF(C$6="","",IF(NOT(ISNUMBER(_xll.ciqfunctions.udf.CIQ(C$6,$F$2, $A137, $I$2, $I$3))),IF(C136=C$6,"",C136),_xll.ciqfunctions.udf.CIQ(C$6,$F$2, $A137, $I$2, $I$3)))</f>
        <v>118.45</v>
      </c>
      <c r="D137" s="1033">
        <f>IF(D$6="","",IF(NOT(ISNUMBER(_xll.ciqfunctions.udf.CIQ(D$6,$F$2, $A137, $I$2, $I$3))),IF(D136=D$6,"",D136),_xll.ciqfunctions.udf.CIQ(D$6,$F$2, $A137, $I$2, $I$3)))</f>
        <v>26820.249360000002</v>
      </c>
      <c r="E137" s="1033">
        <f>IF(E$6="","",IF(NOT(ISNUMBER(_xll.ciqfunctions.udf.CIQ(E$6,$F$2, $A137, $I$2, $I$3))),IF(E136=E$6,"",E136),_xll.ciqfunctions.udf.CIQ(E$6,$F$2, $A137, $I$2, $I$3)))</f>
        <v>8933.9049799999993</v>
      </c>
      <c r="F137" s="1033">
        <f>IF(F$6="","",IF(NOT(ISNUMBER(_xll.ciqfunctions.udf.CIQ(F$6,$F$2, $A137, $I$2, $I$3))),IF(F136=F$6,"",F136),_xll.ciqfunctions.udf.CIQ(F$6,$F$2, $A137, $I$2, $I$3)))</f>
        <v>4366.8607300000003</v>
      </c>
      <c r="G137" s="1033">
        <f>IF(G$6="","",IF(NOT(ISNUMBER(_xll.ciqfunctions.udf.CIQ(G$6,$F$2, $A137, $I$2, $I$3))),IF(G136=G$6,"",G136),_xll.ciqfunctions.udf.CIQ(G$6,$F$2, $A137, $I$2, $I$3)))</f>
        <v>285.95</v>
      </c>
      <c r="H137" s="1033" t="str">
        <f>IF(H$6="","",IF(NOT(ISNUMBER(_xll.ciqfunctions.udf.CIQ(H$6,$F$2, $A137, $I$2, $I$3))),IF(H136=H$6,"",H136),_xll.ciqfunctions.udf.CIQ(H$6,$F$2, $A137, $I$2, $I$3)))</f>
        <v/>
      </c>
      <c r="I137" s="1033" t="str">
        <f>IF(I$6="","",IF(NOT(ISNUMBER(_xll.ciqfunctions.udf.CIQ(I$6,$F$2, $A137, $I$2, $I$3))),IF(I136=I$6,"",I136),_xll.ciqfunctions.udf.CIQ(I$6,$F$2, $A137, $I$2, $I$3)))</f>
        <v/>
      </c>
      <c r="J137" s="1033" t="str">
        <f>IF(J$6="","",IF(NOT(ISNUMBER(_xll.ciqfunctions.udf.CIQ(J$6,$F$2, $A137, $I$2, $I$3))),IF(J136=J$6,"",J136),_xll.ciqfunctions.udf.CIQ(J$6,$F$2, $A137, $I$2, $I$3)))</f>
        <v/>
      </c>
      <c r="K137" s="1033" t="str">
        <f>IF(K$6="","",IF(NOT(ISNUMBER(_xll.ciqfunctions.udf.CIQ(K$6,$F$2, $A137, $I$2, $I$3))),IF(K136=K$6,"",K136),_xll.ciqfunctions.udf.CIQ(K$6,$F$2, $A137, $I$2, $I$3)))</f>
        <v/>
      </c>
      <c r="L137" s="254" t="str">
        <f>IF(L$6="","",IF(NOT(ISNUMBER(_xll.ciqfunctions.udf.CIQ(L$6,$F$2, $A137, $I$2, $I$3))),IF(L136=L$6,"",L136),_xll.ciqfunctions.udf.CIQ(L$6,$F$2, $A137, $I$2, $I$3)))</f>
        <v/>
      </c>
      <c r="M137" s="254" t="str">
        <f>IF(M$6="","",IF(NOT(ISNUMBER(_xll.ciqfunctions.udf.CIQ(M$6,$F$2, $A137, $I$2, $I$3))),IF(M136=M$6,"",M136),_xll.ciqfunctions.udf.CIQ(M$6,$F$2, $A137, $I$2, $I$3)))</f>
        <v/>
      </c>
      <c r="N137" s="254" t="str">
        <f>IF(N$6="","",IF(NOT(ISNUMBER(_xll.ciqfunctions.udf.CIQ(N$6,$F$2, $A137, $I$2, $I$3))),IF(N136=N$6,"",N136),_xll.ciqfunctions.udf.CIQ(N$6,$F$2, $A137, $I$2, $I$3)))</f>
        <v/>
      </c>
      <c r="O137" s="254" t="str">
        <f>IF(O$6="","",IF(NOT(ISNUMBER(_xll.ciqfunctions.udf.CIQ(O$6,$F$2, $A137, $I$2, $I$3))),IF(O136=O$6,"",O136),_xll.ciqfunctions.udf.CIQ(O$6,$F$2, $A137, $I$2, $I$3)))</f>
        <v/>
      </c>
      <c r="P137" s="254" t="str">
        <f>IF(P$6="","",IF(NOT(ISNUMBER(_xll.ciqfunctions.udf.CIQ(P$6,$F$2, $A137, $I$2, $I$3))),IF(P136=P$6,"",P136),_xll.ciqfunctions.udf.CIQ(P$6,$F$2, $A137, $I$2, $I$3)))</f>
        <v/>
      </c>
      <c r="Q137" s="254"/>
      <c r="R137" s="251">
        <f t="shared" si="94"/>
        <v>43735</v>
      </c>
      <c r="S137" s="255">
        <f t="shared" si="96"/>
        <v>0.64331298557158711</v>
      </c>
      <c r="T137" s="255">
        <f t="shared" si="97"/>
        <v>0.29797040268415942</v>
      </c>
      <c r="U137" s="255">
        <f t="shared" si="98"/>
        <v>0.24848077774935851</v>
      </c>
      <c r="V137" s="255">
        <f t="shared" ref="V137:V200" si="112">IFERROR(IF(F137="",NA(),IF(OR($B137="No",F137=""),NA(),IF(AND(ISNA(V136),F137=V$3),0,IF($A$2="Yes",F137/F136-1,F137/V$3-1)))),"")</f>
        <v>-5.2108884063313266E-3</v>
      </c>
      <c r="W137" s="255">
        <f t="array" ref="W137">IFERROR(AVERAGE(IF(ISERROR(X137:AG137),"",X137:AG137)),"")</f>
        <v>0.70522988848470392</v>
      </c>
      <c r="X137" s="255">
        <f t="shared" ref="X137:X200" si="113">IF(G137="",NA(),IF(OR($B137="No",G137=""),NA(),IF(AND(ISNA(X136),G137=X$3),0,IF($A$2="Yes",G137/G136-1,G137/X$3-1))))</f>
        <v>0.70522988848470392</v>
      </c>
      <c r="Y137" s="255" t="e">
        <f t="shared" si="84"/>
        <v>#N/A</v>
      </c>
      <c r="Z137" s="255" t="e">
        <f t="shared" si="85"/>
        <v>#N/A</v>
      </c>
      <c r="AA137" s="255" t="e">
        <f t="shared" si="86"/>
        <v>#N/A</v>
      </c>
      <c r="AB137" s="255" t="e">
        <f t="shared" si="87"/>
        <v>#N/A</v>
      </c>
      <c r="AC137" s="255" t="e">
        <f t="shared" si="88"/>
        <v>#N/A</v>
      </c>
      <c r="AD137" s="255" t="e">
        <f t="shared" si="89"/>
        <v>#N/A</v>
      </c>
      <c r="AE137" s="255" t="e">
        <f t="shared" si="90"/>
        <v>#N/A</v>
      </c>
      <c r="AF137" s="255" t="e">
        <f t="shared" si="91"/>
        <v>#N/A</v>
      </c>
      <c r="AG137" s="255" t="e">
        <f t="shared" si="92"/>
        <v>#N/A</v>
      </c>
      <c r="AI137" s="251">
        <f t="shared" si="95"/>
        <v>43735</v>
      </c>
      <c r="AJ137" s="718">
        <f>IF(OR($B137="No",AJ$6=""),"",IF(NOT(ISNUMBER(_xll.ciqfunctions.udf.CIQ(AJ$6,"IQ_TEV",$AI137,$I$2,$I$3))),"",_xll.ciqfunctions.udf.CIQ(AJ$6,"IQ_TEV",$AI137,$I$2,$I$3)))</f>
        <v>409755.44928</v>
      </c>
      <c r="AK137" s="718">
        <f>IF(OR($B137="No",AK$6=""),"",IF(NOT(ISNUMBER(_xll.ciqfunctions.udf.CIQ(AK$6,"IQ_TEV",$AI137,$I$2,$I$3))),"",_xll.ciqfunctions.udf.CIQ(AK$6,"IQ_TEV",$AI137,$I$2,$I$3)))</f>
        <v>124422.71773999999</v>
      </c>
      <c r="AL137" s="718" t="str">
        <f>IF(OR($B137="No",AL$6=""),"",IF(NOT(ISNUMBER(_xll.ciqfunctions.udf.CIQ(AL$6,"IQ_TEV",$AI137,$I$2,$I$3))),"",_xll.ciqfunctions.udf.CIQ(AL$6,"IQ_TEV",$AI137,$I$2,$I$3)))</f>
        <v/>
      </c>
      <c r="AM137" s="718" t="str">
        <f>IF(OR($B137="No",AM$6=""),"",IF(NOT(ISNUMBER(_xll.ciqfunctions.udf.CIQ(AM$6,"IQ_TEV",$AI137,$I$2,$I$3))),"",_xll.ciqfunctions.udf.CIQ(AM$6,"IQ_TEV",$AI137,$I$2,$I$3)))</f>
        <v/>
      </c>
      <c r="AN137" s="718" t="str">
        <f>IF(OR($B137="No",AN$6=""),"",IF(NOT(ISNUMBER(_xll.ciqfunctions.udf.CIQ(AN$6,"IQ_TEV",$AI137,$I$2,$I$3))),"",_xll.ciqfunctions.udf.CIQ(AN$6,"IQ_TEV",$AI137,$I$2,$I$3)))</f>
        <v/>
      </c>
      <c r="AO137" s="718" t="str">
        <f>IF(OR($B137="No",AO$6=""),"",IF(NOT(ISNUMBER(_xll.ciqfunctions.udf.CIQ(AO$6,"IQ_TEV",$AI137,$I$2,$I$3))),"",_xll.ciqfunctions.udf.CIQ(AO$6,"IQ_TEV",$AI137,$I$2,$I$3)))</f>
        <v/>
      </c>
      <c r="AP137" s="718" t="str">
        <f>IF(OR($B137="No",AP$6=""),"",IF(NOT(ISNUMBER(_xll.ciqfunctions.udf.CIQ(AP$6,"IQ_TEV",$AI137,$I$2,$I$3))),"",_xll.ciqfunctions.udf.CIQ(AP$6,"IQ_TEV",$AI137,$I$2,$I$3)))</f>
        <v/>
      </c>
      <c r="AQ137" s="718" t="str">
        <f>IF(OR($B137="No",AQ$6=""),"",IF(NOT(ISNUMBER(_xll.ciqfunctions.udf.CIQ(AQ$6,"IQ_TEV",$AI137,$I$2,$I$3))),"",_xll.ciqfunctions.udf.CIQ(AQ$6,"IQ_TEV",$AI137,$I$2,$I$3)))</f>
        <v/>
      </c>
      <c r="AR137" s="718" t="str">
        <f>IF(OR($B137="No",AR$6=""),"",IF(NOT(ISNUMBER(_xll.ciqfunctions.udf.CIQ(AR$6,"IQ_TEV",$AI137,$I$2,$I$3))),"",_xll.ciqfunctions.udf.CIQ(AR$6,"IQ_TEV",$AI137,$I$2,$I$3)))</f>
        <v/>
      </c>
      <c r="AS137" s="718" t="str">
        <f>IF(OR($B137="No",AS$6=""),"",IF(NOT(ISNUMBER(_xll.ciqfunctions.udf.CIQ(AS$6,"IQ_TEV",$AI137,$I$2,$I$3))),"",_xll.ciqfunctions.udf.CIQ(AS$6,"IQ_TEV",$AI137,$I$2,$I$3)))</f>
        <v/>
      </c>
      <c r="AT137" s="718" t="str">
        <f>IF(OR($B137="No",AT$6=""),"",IF(NOT(ISNUMBER(_xll.ciqfunctions.udf.CIQ(AT$6,"IQ_TEV",$AI137,$I$2,$I$3))),"",_xll.ciqfunctions.udf.CIQ(AT$6,"IQ_TEV",$AI137,$I$2,$I$3)))</f>
        <v/>
      </c>
      <c r="AV137" s="251">
        <f t="shared" si="99"/>
        <v>43735</v>
      </c>
      <c r="AW137" s="719">
        <f t="shared" si="100"/>
        <v>0.56959969345451089</v>
      </c>
      <c r="AX137" s="719">
        <f t="shared" si="101"/>
        <v>0.70477462277012926</v>
      </c>
      <c r="AY137" s="719" t="e">
        <f t="shared" si="102"/>
        <v>#N/A</v>
      </c>
      <c r="AZ137" s="719" t="e">
        <f t="shared" si="103"/>
        <v>#N/A</v>
      </c>
      <c r="BA137" s="719" t="e">
        <f t="shared" si="104"/>
        <v>#N/A</v>
      </c>
      <c r="BB137" s="719" t="e">
        <f t="shared" si="105"/>
        <v>#N/A</v>
      </c>
      <c r="BC137" s="719" t="e">
        <f t="shared" si="106"/>
        <v>#N/A</v>
      </c>
      <c r="BD137" s="719" t="e">
        <f t="shared" si="107"/>
        <v>#N/A</v>
      </c>
      <c r="BE137" s="719" t="e">
        <f t="shared" si="108"/>
        <v>#N/A</v>
      </c>
      <c r="BF137" s="719" t="e">
        <f t="shared" si="109"/>
        <v>#N/A</v>
      </c>
      <c r="BG137" s="719" t="e">
        <f t="shared" si="110"/>
        <v>#N/A</v>
      </c>
    </row>
    <row r="138" spans="1:59" ht="15" customHeight="1" x14ac:dyDescent="0.2">
      <c r="A138" s="251">
        <f t="shared" si="93"/>
        <v>43742</v>
      </c>
      <c r="B138" s="253" t="str">
        <f t="shared" si="111"/>
        <v>Yes</v>
      </c>
      <c r="C138" s="1033">
        <f>IF(C$6="","",IF(NOT(ISNUMBER(_xll.ciqfunctions.udf.CIQ(C$6,$F$2, $A138, $I$2, $I$3))),IF(C137=C$6,"",C137),_xll.ciqfunctions.udf.CIQ(C$6,$F$2, $A138, $I$2, $I$3)))</f>
        <v>118.16</v>
      </c>
      <c r="D138" s="1033">
        <f>IF(D$6="","",IF(NOT(ISNUMBER(_xll.ciqfunctions.udf.CIQ(D$6,$F$2, $A138, $I$2, $I$3))),IF(D137=D$6,"",D137),_xll.ciqfunctions.udf.CIQ(D$6,$F$2, $A138, $I$2, $I$3)))</f>
        <v>26573.7179</v>
      </c>
      <c r="E138" s="1033">
        <f>IF(E$6="","",IF(NOT(ISNUMBER(_xll.ciqfunctions.udf.CIQ(E$6,$F$2, $A138, $I$2, $I$3))),IF(E137=E$6,"",E137),_xll.ciqfunctions.udf.CIQ(E$6,$F$2, $A138, $I$2, $I$3)))</f>
        <v>8827.9213</v>
      </c>
      <c r="F138" s="1033">
        <f>IF(F$6="","",IF(NOT(ISNUMBER(_xll.ciqfunctions.udf.CIQ(F$6,$F$2, $A138, $I$2, $I$3))),IF(F137=F$6,"",F137),_xll.ciqfunctions.udf.CIQ(F$6,$F$2, $A138, $I$2, $I$3)))</f>
        <v>4302.9462899999999</v>
      </c>
      <c r="G138" s="1033">
        <f>IF(G$6="","",IF(NOT(ISNUMBER(_xll.ciqfunctions.udf.CIQ(G$6,$F$2, $A138, $I$2, $I$3))),IF(G137=G$6,"",G137),_xll.ciqfunctions.udf.CIQ(G$6,$F$2, $A138, $I$2, $I$3)))</f>
        <v>291.67</v>
      </c>
      <c r="H138" s="1033" t="str">
        <f>IF(H$6="","",IF(NOT(ISNUMBER(_xll.ciqfunctions.udf.CIQ(H$6,$F$2, $A138, $I$2, $I$3))),IF(H137=H$6,"",H137),_xll.ciqfunctions.udf.CIQ(H$6,$F$2, $A138, $I$2, $I$3)))</f>
        <v/>
      </c>
      <c r="I138" s="1033" t="str">
        <f>IF(I$6="","",IF(NOT(ISNUMBER(_xll.ciqfunctions.udf.CIQ(I$6,$F$2, $A138, $I$2, $I$3))),IF(I137=I$6,"",I137),_xll.ciqfunctions.udf.CIQ(I$6,$F$2, $A138, $I$2, $I$3)))</f>
        <v/>
      </c>
      <c r="J138" s="1033" t="str">
        <f>IF(J$6="","",IF(NOT(ISNUMBER(_xll.ciqfunctions.udf.CIQ(J$6,$F$2, $A138, $I$2, $I$3))),IF(J137=J$6,"",J137),_xll.ciqfunctions.udf.CIQ(J$6,$F$2, $A138, $I$2, $I$3)))</f>
        <v/>
      </c>
      <c r="K138" s="1033" t="str">
        <f>IF(K$6="","",IF(NOT(ISNUMBER(_xll.ciqfunctions.udf.CIQ(K$6,$F$2, $A138, $I$2, $I$3))),IF(K137=K$6,"",K137),_xll.ciqfunctions.udf.CIQ(K$6,$F$2, $A138, $I$2, $I$3)))</f>
        <v/>
      </c>
      <c r="L138" s="254" t="str">
        <f>IF(L$6="","",IF(NOT(ISNUMBER(_xll.ciqfunctions.udf.CIQ(L$6,$F$2, $A138, $I$2, $I$3))),IF(L137=L$6,"",L137),_xll.ciqfunctions.udf.CIQ(L$6,$F$2, $A138, $I$2, $I$3)))</f>
        <v/>
      </c>
      <c r="M138" s="254" t="str">
        <f>IF(M$6="","",IF(NOT(ISNUMBER(_xll.ciqfunctions.udf.CIQ(M$6,$F$2, $A138, $I$2, $I$3))),IF(M137=M$6,"",M137),_xll.ciqfunctions.udf.CIQ(M$6,$F$2, $A138, $I$2, $I$3)))</f>
        <v/>
      </c>
      <c r="N138" s="254" t="str">
        <f>IF(N$6="","",IF(NOT(ISNUMBER(_xll.ciqfunctions.udf.CIQ(N$6,$F$2, $A138, $I$2, $I$3))),IF(N137=N$6,"",N137),_xll.ciqfunctions.udf.CIQ(N$6,$F$2, $A138, $I$2, $I$3)))</f>
        <v/>
      </c>
      <c r="O138" s="254" t="str">
        <f>IF(O$6="","",IF(NOT(ISNUMBER(_xll.ciqfunctions.udf.CIQ(O$6,$F$2, $A138, $I$2, $I$3))),IF(O137=O$6,"",O137),_xll.ciqfunctions.udf.CIQ(O$6,$F$2, $A138, $I$2, $I$3)))</f>
        <v/>
      </c>
      <c r="P138" s="254" t="str">
        <f>IF(P$6="","",IF(NOT(ISNUMBER(_xll.ciqfunctions.udf.CIQ(P$6,$F$2, $A138, $I$2, $I$3))),IF(P137=P$6,"",P137),_xll.ciqfunctions.udf.CIQ(P$6,$F$2, $A138, $I$2, $I$3)))</f>
        <v/>
      </c>
      <c r="Q138" s="254"/>
      <c r="R138" s="251">
        <f t="shared" si="94"/>
        <v>43742</v>
      </c>
      <c r="S138" s="255">
        <f t="shared" si="96"/>
        <v>0.63928967813540516</v>
      </c>
      <c r="T138" s="255">
        <f t="shared" si="97"/>
        <v>0.28603947191183954</v>
      </c>
      <c r="U138" s="255">
        <f t="shared" si="98"/>
        <v>0.23366994334588598</v>
      </c>
      <c r="V138" s="255">
        <f t="shared" si="112"/>
        <v>-1.9770864763902773E-2</v>
      </c>
      <c r="W138" s="255">
        <f t="array" ref="W138">IFERROR(AVERAGE(IF(ISERROR(X138:AG138),"",X138:AG138)),"")</f>
        <v>0.7393404496392153</v>
      </c>
      <c r="X138" s="255">
        <f t="shared" si="113"/>
        <v>0.7393404496392153</v>
      </c>
      <c r="Y138" s="255" t="e">
        <f t="shared" si="84"/>
        <v>#N/A</v>
      </c>
      <c r="Z138" s="255" t="e">
        <f t="shared" si="85"/>
        <v>#N/A</v>
      </c>
      <c r="AA138" s="255" t="e">
        <f t="shared" si="86"/>
        <v>#N/A</v>
      </c>
      <c r="AB138" s="255" t="e">
        <f t="shared" si="87"/>
        <v>#N/A</v>
      </c>
      <c r="AC138" s="255" t="e">
        <f t="shared" si="88"/>
        <v>#N/A</v>
      </c>
      <c r="AD138" s="255" t="e">
        <f t="shared" si="89"/>
        <v>#N/A</v>
      </c>
      <c r="AE138" s="255" t="e">
        <f t="shared" si="90"/>
        <v>#N/A</v>
      </c>
      <c r="AF138" s="255" t="e">
        <f t="shared" si="91"/>
        <v>#N/A</v>
      </c>
      <c r="AG138" s="255" t="e">
        <f t="shared" si="92"/>
        <v>#N/A</v>
      </c>
      <c r="AI138" s="251">
        <f t="shared" si="95"/>
        <v>43742</v>
      </c>
      <c r="AJ138" s="718">
        <f>IF(OR($B138="No",AJ$6=""),"",IF(NOT(ISNUMBER(_xll.ciqfunctions.udf.CIQ(AJ$6,"IQ_TEV",$AI138,$I$2,$I$3))),"",_xll.ciqfunctions.udf.CIQ(AJ$6,"IQ_TEV",$AI138,$I$2,$I$3)))</f>
        <v>408930.60689</v>
      </c>
      <c r="AK138" s="718">
        <f>IF(OR($B138="No",AK$6=""),"",IF(NOT(ISNUMBER(_xll.ciqfunctions.udf.CIQ(AK$6,"IQ_TEV",$AI138,$I$2,$I$3))),"",_xll.ciqfunctions.udf.CIQ(AK$6,"IQ_TEV",$AI138,$I$2,$I$3)))</f>
        <v>125945.42375</v>
      </c>
      <c r="AL138" s="718" t="str">
        <f>IF(OR($B138="No",AL$6=""),"",IF(NOT(ISNUMBER(_xll.ciqfunctions.udf.CIQ(AL$6,"IQ_TEV",$AI138,$I$2,$I$3))),"",_xll.ciqfunctions.udf.CIQ(AL$6,"IQ_TEV",$AI138,$I$2,$I$3)))</f>
        <v/>
      </c>
      <c r="AM138" s="718" t="str">
        <f>IF(OR($B138="No",AM$6=""),"",IF(NOT(ISNUMBER(_xll.ciqfunctions.udf.CIQ(AM$6,"IQ_TEV",$AI138,$I$2,$I$3))),"",_xll.ciqfunctions.udf.CIQ(AM$6,"IQ_TEV",$AI138,$I$2,$I$3)))</f>
        <v/>
      </c>
      <c r="AN138" s="718" t="str">
        <f>IF(OR($B138="No",AN$6=""),"",IF(NOT(ISNUMBER(_xll.ciqfunctions.udf.CIQ(AN$6,"IQ_TEV",$AI138,$I$2,$I$3))),"",_xll.ciqfunctions.udf.CIQ(AN$6,"IQ_TEV",$AI138,$I$2,$I$3)))</f>
        <v/>
      </c>
      <c r="AO138" s="718" t="str">
        <f>IF(OR($B138="No",AO$6=""),"",IF(NOT(ISNUMBER(_xll.ciqfunctions.udf.CIQ(AO$6,"IQ_TEV",$AI138,$I$2,$I$3))),"",_xll.ciqfunctions.udf.CIQ(AO$6,"IQ_TEV",$AI138,$I$2,$I$3)))</f>
        <v/>
      </c>
      <c r="AP138" s="718" t="str">
        <f>IF(OR($B138="No",AP$6=""),"",IF(NOT(ISNUMBER(_xll.ciqfunctions.udf.CIQ(AP$6,"IQ_TEV",$AI138,$I$2,$I$3))),"",_xll.ciqfunctions.udf.CIQ(AP$6,"IQ_TEV",$AI138,$I$2,$I$3)))</f>
        <v/>
      </c>
      <c r="AQ138" s="718" t="str">
        <f>IF(OR($B138="No",AQ$6=""),"",IF(NOT(ISNUMBER(_xll.ciqfunctions.udf.CIQ(AQ$6,"IQ_TEV",$AI138,$I$2,$I$3))),"",_xll.ciqfunctions.udf.CIQ(AQ$6,"IQ_TEV",$AI138,$I$2,$I$3)))</f>
        <v/>
      </c>
      <c r="AR138" s="718" t="str">
        <f>IF(OR($B138="No",AR$6=""),"",IF(NOT(ISNUMBER(_xll.ciqfunctions.udf.CIQ(AR$6,"IQ_TEV",$AI138,$I$2,$I$3))),"",_xll.ciqfunctions.udf.CIQ(AR$6,"IQ_TEV",$AI138,$I$2,$I$3)))</f>
        <v/>
      </c>
      <c r="AS138" s="718" t="str">
        <f>IF(OR($B138="No",AS$6=""),"",IF(NOT(ISNUMBER(_xll.ciqfunctions.udf.CIQ(AS$6,"IQ_TEV",$AI138,$I$2,$I$3))),"",_xll.ciqfunctions.udf.CIQ(AS$6,"IQ_TEV",$AI138,$I$2,$I$3)))</f>
        <v/>
      </c>
      <c r="AT138" s="718" t="str">
        <f>IF(OR($B138="No",AT$6=""),"",IF(NOT(ISNUMBER(_xll.ciqfunctions.udf.CIQ(AT$6,"IQ_TEV",$AI138,$I$2,$I$3))),"",_xll.ciqfunctions.udf.CIQ(AT$6,"IQ_TEV",$AI138,$I$2,$I$3)))</f>
        <v/>
      </c>
      <c r="AV138" s="251">
        <f t="shared" si="99"/>
        <v>43742</v>
      </c>
      <c r="AW138" s="719">
        <f t="shared" si="100"/>
        <v>0.56644007138049757</v>
      </c>
      <c r="AX138" s="719">
        <f t="shared" si="101"/>
        <v>0.72563793946131461</v>
      </c>
      <c r="AY138" s="719" t="e">
        <f t="shared" si="102"/>
        <v>#N/A</v>
      </c>
      <c r="AZ138" s="719" t="e">
        <f t="shared" si="103"/>
        <v>#N/A</v>
      </c>
      <c r="BA138" s="719" t="e">
        <f t="shared" si="104"/>
        <v>#N/A</v>
      </c>
      <c r="BB138" s="719" t="e">
        <f t="shared" si="105"/>
        <v>#N/A</v>
      </c>
      <c r="BC138" s="719" t="e">
        <f t="shared" si="106"/>
        <v>#N/A</v>
      </c>
      <c r="BD138" s="719" t="e">
        <f t="shared" si="107"/>
        <v>#N/A</v>
      </c>
      <c r="BE138" s="719" t="e">
        <f t="shared" si="108"/>
        <v>#N/A</v>
      </c>
      <c r="BF138" s="719" t="e">
        <f t="shared" si="109"/>
        <v>#N/A</v>
      </c>
      <c r="BG138" s="719" t="e">
        <f t="shared" si="110"/>
        <v>#N/A</v>
      </c>
    </row>
    <row r="139" spans="1:59" ht="15" customHeight="1" x14ac:dyDescent="0.2">
      <c r="A139" s="251">
        <f t="shared" si="93"/>
        <v>43749</v>
      </c>
      <c r="B139" s="253" t="str">
        <f t="shared" si="111"/>
        <v>Yes</v>
      </c>
      <c r="C139" s="1033">
        <f>IF(C$6="","",IF(NOT(ISNUMBER(_xll.ciqfunctions.udf.CIQ(C$6,$F$2, $A139, $I$2, $I$3))),IF(C138=C$6,"",C138),_xll.ciqfunctions.udf.CIQ(C$6,$F$2, $A139, $I$2, $I$3)))</f>
        <v>120.24</v>
      </c>
      <c r="D139" s="1033">
        <f>IF(D$6="","",IF(NOT(ISNUMBER(_xll.ciqfunctions.udf.CIQ(D$6,$F$2, $A139, $I$2, $I$3))),IF(D138=D$6,"",D138),_xll.ciqfunctions.udf.CIQ(D$6,$F$2, $A139, $I$2, $I$3)))</f>
        <v>26816.587</v>
      </c>
      <c r="E139" s="1033">
        <f>IF(E$6="","",IF(NOT(ISNUMBER(_xll.ciqfunctions.udf.CIQ(E$6,$F$2, $A139, $I$2, $I$3))),IF(E138=E$6,"",E138),_xll.ciqfunctions.udf.CIQ(E$6,$F$2, $A139, $I$2, $I$3)))</f>
        <v>8904.7492600000005</v>
      </c>
      <c r="F139" s="1033">
        <f>IF(F$6="","",IF(NOT(ISNUMBER(_xll.ciqfunctions.udf.CIQ(F$6,$F$2, $A139, $I$2, $I$3))),IF(F138=F$6,"",F138),_xll.ciqfunctions.udf.CIQ(F$6,$F$2, $A139, $I$2, $I$3)))</f>
        <v>4415.43325</v>
      </c>
      <c r="G139" s="1033">
        <f>IF(G$6="","",IF(NOT(ISNUMBER(_xll.ciqfunctions.udf.CIQ(G$6,$F$2, $A139, $I$2, $I$3))),IF(G138=G$6,"",G138),_xll.ciqfunctions.udf.CIQ(G$6,$F$2, $A139, $I$2, $I$3)))</f>
        <v>297.60000000000002</v>
      </c>
      <c r="H139" s="1033" t="str">
        <f>IF(H$6="","",IF(NOT(ISNUMBER(_xll.ciqfunctions.udf.CIQ(H$6,$F$2, $A139, $I$2, $I$3))),IF(H138=H$6,"",H138),_xll.ciqfunctions.udf.CIQ(H$6,$F$2, $A139, $I$2, $I$3)))</f>
        <v/>
      </c>
      <c r="I139" s="1033" t="str">
        <f>IF(I$6="","",IF(NOT(ISNUMBER(_xll.ciqfunctions.udf.CIQ(I$6,$F$2, $A139, $I$2, $I$3))),IF(I138=I$6,"",I138),_xll.ciqfunctions.udf.CIQ(I$6,$F$2, $A139, $I$2, $I$3)))</f>
        <v/>
      </c>
      <c r="J139" s="1033" t="str">
        <f>IF(J$6="","",IF(NOT(ISNUMBER(_xll.ciqfunctions.udf.CIQ(J$6,$F$2, $A139, $I$2, $I$3))),IF(J138=J$6,"",J138),_xll.ciqfunctions.udf.CIQ(J$6,$F$2, $A139, $I$2, $I$3)))</f>
        <v/>
      </c>
      <c r="K139" s="1033" t="str">
        <f>IF(K$6="","",IF(NOT(ISNUMBER(_xll.ciqfunctions.udf.CIQ(K$6,$F$2, $A139, $I$2, $I$3))),IF(K138=K$6,"",K138),_xll.ciqfunctions.udf.CIQ(K$6,$F$2, $A139, $I$2, $I$3)))</f>
        <v/>
      </c>
      <c r="L139" s="254" t="str">
        <f>IF(L$6="","",IF(NOT(ISNUMBER(_xll.ciqfunctions.udf.CIQ(L$6,$F$2, $A139, $I$2, $I$3))),IF(L138=L$6,"",L138),_xll.ciqfunctions.udf.CIQ(L$6,$F$2, $A139, $I$2, $I$3)))</f>
        <v/>
      </c>
      <c r="M139" s="254" t="str">
        <f>IF(M$6="","",IF(NOT(ISNUMBER(_xll.ciqfunctions.udf.CIQ(M$6,$F$2, $A139, $I$2, $I$3))),IF(M138=M$6,"",M138),_xll.ciqfunctions.udf.CIQ(M$6,$F$2, $A139, $I$2, $I$3)))</f>
        <v/>
      </c>
      <c r="N139" s="254" t="str">
        <f>IF(N$6="","",IF(NOT(ISNUMBER(_xll.ciqfunctions.udf.CIQ(N$6,$F$2, $A139, $I$2, $I$3))),IF(N138=N$6,"",N138),_xll.ciqfunctions.udf.CIQ(N$6,$F$2, $A139, $I$2, $I$3)))</f>
        <v/>
      </c>
      <c r="O139" s="254" t="str">
        <f>IF(O$6="","",IF(NOT(ISNUMBER(_xll.ciqfunctions.udf.CIQ(O$6,$F$2, $A139, $I$2, $I$3))),IF(O138=O$6,"",O138),_xll.ciqfunctions.udf.CIQ(O$6,$F$2, $A139, $I$2, $I$3)))</f>
        <v/>
      </c>
      <c r="P139" s="254" t="str">
        <f>IF(P$6="","",IF(NOT(ISNUMBER(_xll.ciqfunctions.udf.CIQ(P$6,$F$2, $A139, $I$2, $I$3))),IF(P138=P$6,"",P138),_xll.ciqfunctions.udf.CIQ(P$6,$F$2, $A139, $I$2, $I$3)))</f>
        <v/>
      </c>
      <c r="Q139" s="254"/>
      <c r="R139" s="251">
        <f t="shared" si="94"/>
        <v>43749</v>
      </c>
      <c r="S139" s="255">
        <f t="shared" si="96"/>
        <v>0.66814650388457264</v>
      </c>
      <c r="T139" s="255">
        <f t="shared" si="97"/>
        <v>0.29779316216636365</v>
      </c>
      <c r="U139" s="255">
        <f t="shared" si="98"/>
        <v>0.24440637175747359</v>
      </c>
      <c r="V139" s="255">
        <f t="shared" si="112"/>
        <v>5.8541345028526592E-3</v>
      </c>
      <c r="W139" s="255">
        <f t="array" ref="W139">IFERROR(AVERAGE(IF(ISERROR(X139:AG139),"",X139:AG139)),"")</f>
        <v>0.77470332160534339</v>
      </c>
      <c r="X139" s="255">
        <f t="shared" si="113"/>
        <v>0.77470332160534339</v>
      </c>
      <c r="Y139" s="255" t="e">
        <f t="shared" si="84"/>
        <v>#N/A</v>
      </c>
      <c r="Z139" s="255" t="e">
        <f t="shared" si="85"/>
        <v>#N/A</v>
      </c>
      <c r="AA139" s="255" t="e">
        <f t="shared" si="86"/>
        <v>#N/A</v>
      </c>
      <c r="AB139" s="255" t="e">
        <f t="shared" si="87"/>
        <v>#N/A</v>
      </c>
      <c r="AC139" s="255" t="e">
        <f t="shared" si="88"/>
        <v>#N/A</v>
      </c>
      <c r="AD139" s="255" t="e">
        <f t="shared" si="89"/>
        <v>#N/A</v>
      </c>
      <c r="AE139" s="255" t="e">
        <f t="shared" si="90"/>
        <v>#N/A</v>
      </c>
      <c r="AF139" s="255" t="e">
        <f t="shared" si="91"/>
        <v>#N/A</v>
      </c>
      <c r="AG139" s="255" t="e">
        <f t="shared" si="92"/>
        <v>#N/A</v>
      </c>
      <c r="AI139" s="251">
        <f t="shared" si="95"/>
        <v>43749</v>
      </c>
      <c r="AJ139" s="718">
        <f>IF(OR($B139="No",AJ$6=""),"",IF(NOT(ISNUMBER(_xll.ciqfunctions.udf.CIQ(AJ$6,"IQ_TEV",$AI139,$I$2,$I$3))),"",_xll.ciqfunctions.udf.CIQ(AJ$6,"IQ_TEV",$AI139,$I$2,$I$3)))</f>
        <v>414846.71778000001</v>
      </c>
      <c r="AK139" s="718">
        <f>IF(OR($B139="No",AK$6=""),"",IF(NOT(ISNUMBER(_xll.ciqfunctions.udf.CIQ(AK$6,"IQ_TEV",$AI139,$I$2,$I$3))),"",_xll.ciqfunctions.udf.CIQ(AK$6,"IQ_TEV",$AI139,$I$2,$I$3)))</f>
        <v>128973.4</v>
      </c>
      <c r="AL139" s="718" t="str">
        <f>IF(OR($B139="No",AL$6=""),"",IF(NOT(ISNUMBER(_xll.ciqfunctions.udf.CIQ(AL$6,"IQ_TEV",$AI139,$I$2,$I$3))),"",_xll.ciqfunctions.udf.CIQ(AL$6,"IQ_TEV",$AI139,$I$2,$I$3)))</f>
        <v/>
      </c>
      <c r="AM139" s="718" t="str">
        <f>IF(OR($B139="No",AM$6=""),"",IF(NOT(ISNUMBER(_xll.ciqfunctions.udf.CIQ(AM$6,"IQ_TEV",$AI139,$I$2,$I$3))),"",_xll.ciqfunctions.udf.CIQ(AM$6,"IQ_TEV",$AI139,$I$2,$I$3)))</f>
        <v/>
      </c>
      <c r="AN139" s="718" t="str">
        <f>IF(OR($B139="No",AN$6=""),"",IF(NOT(ISNUMBER(_xll.ciqfunctions.udf.CIQ(AN$6,"IQ_TEV",$AI139,$I$2,$I$3))),"",_xll.ciqfunctions.udf.CIQ(AN$6,"IQ_TEV",$AI139,$I$2,$I$3)))</f>
        <v/>
      </c>
      <c r="AO139" s="718" t="str">
        <f>IF(OR($B139="No",AO$6=""),"",IF(NOT(ISNUMBER(_xll.ciqfunctions.udf.CIQ(AO$6,"IQ_TEV",$AI139,$I$2,$I$3))),"",_xll.ciqfunctions.udf.CIQ(AO$6,"IQ_TEV",$AI139,$I$2,$I$3)))</f>
        <v/>
      </c>
      <c r="AP139" s="718" t="str">
        <f>IF(OR($B139="No",AP$6=""),"",IF(NOT(ISNUMBER(_xll.ciqfunctions.udf.CIQ(AP$6,"IQ_TEV",$AI139,$I$2,$I$3))),"",_xll.ciqfunctions.udf.CIQ(AP$6,"IQ_TEV",$AI139,$I$2,$I$3)))</f>
        <v/>
      </c>
      <c r="AQ139" s="718" t="str">
        <f>IF(OR($B139="No",AQ$6=""),"",IF(NOT(ISNUMBER(_xll.ciqfunctions.udf.CIQ(AQ$6,"IQ_TEV",$AI139,$I$2,$I$3))),"",_xll.ciqfunctions.udf.CIQ(AQ$6,"IQ_TEV",$AI139,$I$2,$I$3)))</f>
        <v/>
      </c>
      <c r="AR139" s="718" t="str">
        <f>IF(OR($B139="No",AR$6=""),"",IF(NOT(ISNUMBER(_xll.ciqfunctions.udf.CIQ(AR$6,"IQ_TEV",$AI139,$I$2,$I$3))),"",_xll.ciqfunctions.udf.CIQ(AR$6,"IQ_TEV",$AI139,$I$2,$I$3)))</f>
        <v/>
      </c>
      <c r="AS139" s="718" t="str">
        <f>IF(OR($B139="No",AS$6=""),"",IF(NOT(ISNUMBER(_xll.ciqfunctions.udf.CIQ(AS$6,"IQ_TEV",$AI139,$I$2,$I$3))),"",_xll.ciqfunctions.udf.CIQ(AS$6,"IQ_TEV",$AI139,$I$2,$I$3)))</f>
        <v/>
      </c>
      <c r="AT139" s="718" t="str">
        <f>IF(OR($B139="No",AT$6=""),"",IF(NOT(ISNUMBER(_xll.ciqfunctions.udf.CIQ(AT$6,"IQ_TEV",$AI139,$I$2,$I$3))),"",_xll.ciqfunctions.udf.CIQ(AT$6,"IQ_TEV",$AI139,$I$2,$I$3)))</f>
        <v/>
      </c>
      <c r="AV139" s="251">
        <f t="shared" si="99"/>
        <v>43749</v>
      </c>
      <c r="AW139" s="719">
        <f t="shared" si="100"/>
        <v>0.58910218815210769</v>
      </c>
      <c r="AX139" s="719">
        <f t="shared" si="101"/>
        <v>0.76712567709567048</v>
      </c>
      <c r="AY139" s="719" t="e">
        <f t="shared" si="102"/>
        <v>#N/A</v>
      </c>
      <c r="AZ139" s="719" t="e">
        <f t="shared" si="103"/>
        <v>#N/A</v>
      </c>
      <c r="BA139" s="719" t="e">
        <f t="shared" si="104"/>
        <v>#N/A</v>
      </c>
      <c r="BB139" s="719" t="e">
        <f t="shared" si="105"/>
        <v>#N/A</v>
      </c>
      <c r="BC139" s="719" t="e">
        <f t="shared" si="106"/>
        <v>#N/A</v>
      </c>
      <c r="BD139" s="719" t="e">
        <f t="shared" si="107"/>
        <v>#N/A</v>
      </c>
      <c r="BE139" s="719" t="e">
        <f t="shared" si="108"/>
        <v>#N/A</v>
      </c>
      <c r="BF139" s="719" t="e">
        <f t="shared" si="109"/>
        <v>#N/A</v>
      </c>
      <c r="BG139" s="719" t="e">
        <f t="shared" si="110"/>
        <v>#N/A</v>
      </c>
    </row>
    <row r="140" spans="1:59" ht="15" customHeight="1" x14ac:dyDescent="0.2">
      <c r="A140" s="251">
        <f t="shared" si="93"/>
        <v>43756</v>
      </c>
      <c r="B140" s="253" t="str">
        <f t="shared" si="111"/>
        <v>Yes</v>
      </c>
      <c r="C140" s="1033">
        <f>IF(C$6="","",IF(NOT(ISNUMBER(_xll.ciqfunctions.udf.CIQ(C$6,$F$2, $A140, $I$2, $I$3))),IF(C139=C$6,"",C139),_xll.ciqfunctions.udf.CIQ(C$6,$F$2, $A140, $I$2, $I$3)))</f>
        <v>119.14</v>
      </c>
      <c r="D140" s="1033">
        <f>IF(D$6="","",IF(NOT(ISNUMBER(_xll.ciqfunctions.udf.CIQ(D$6,$F$2, $A140, $I$2, $I$3))),IF(D139=D$6,"",D139),_xll.ciqfunctions.udf.CIQ(D$6,$F$2, $A140, $I$2, $I$3)))</f>
        <v>26770.197029999999</v>
      </c>
      <c r="E140" s="1033">
        <f>IF(E$6="","",IF(NOT(ISNUMBER(_xll.ciqfunctions.udf.CIQ(E$6,$F$2, $A140, $I$2, $I$3))),IF(E139=E$6,"",E139),_xll.ciqfunctions.udf.CIQ(E$6,$F$2, $A140, $I$2, $I$3)))</f>
        <v>8940.7968099999998</v>
      </c>
      <c r="F140" s="1033">
        <f>IF(F$6="","",IF(NOT(ISNUMBER(_xll.ciqfunctions.udf.CIQ(F$6,$F$2, $A140, $I$2, $I$3))),IF(F139=F$6,"",F139),_xll.ciqfunctions.udf.CIQ(F$6,$F$2, $A140, $I$2, $I$3)))</f>
        <v>4439.6961300000003</v>
      </c>
      <c r="G140" s="1033">
        <f>IF(G$6="","",IF(NOT(ISNUMBER(_xll.ciqfunctions.udf.CIQ(G$6,$F$2, $A140, $I$2, $I$3))),IF(G139=G$6,"",G139),_xll.ciqfunctions.udf.CIQ(G$6,$F$2, $A140, $I$2, $I$3)))</f>
        <v>302.86</v>
      </c>
      <c r="H140" s="1033" t="str">
        <f>IF(H$6="","",IF(NOT(ISNUMBER(_xll.ciqfunctions.udf.CIQ(H$6,$F$2, $A140, $I$2, $I$3))),IF(H139=H$6,"",H139),_xll.ciqfunctions.udf.CIQ(H$6,$F$2, $A140, $I$2, $I$3)))</f>
        <v/>
      </c>
      <c r="I140" s="1033" t="str">
        <f>IF(I$6="","",IF(NOT(ISNUMBER(_xll.ciqfunctions.udf.CIQ(I$6,$F$2, $A140, $I$2, $I$3))),IF(I139=I$6,"",I139),_xll.ciqfunctions.udf.CIQ(I$6,$F$2, $A140, $I$2, $I$3)))</f>
        <v/>
      </c>
      <c r="J140" s="1033" t="str">
        <f>IF(J$6="","",IF(NOT(ISNUMBER(_xll.ciqfunctions.udf.CIQ(J$6,$F$2, $A140, $I$2, $I$3))),IF(J139=J$6,"",J139),_xll.ciqfunctions.udf.CIQ(J$6,$F$2, $A140, $I$2, $I$3)))</f>
        <v/>
      </c>
      <c r="K140" s="1033" t="str">
        <f>IF(K$6="","",IF(NOT(ISNUMBER(_xll.ciqfunctions.udf.CIQ(K$6,$F$2, $A140, $I$2, $I$3))),IF(K139=K$6,"",K139),_xll.ciqfunctions.udf.CIQ(K$6,$F$2, $A140, $I$2, $I$3)))</f>
        <v/>
      </c>
      <c r="L140" s="254" t="str">
        <f>IF(L$6="","",IF(NOT(ISNUMBER(_xll.ciqfunctions.udf.CIQ(L$6,$F$2, $A140, $I$2, $I$3))),IF(L139=L$6,"",L139),_xll.ciqfunctions.udf.CIQ(L$6,$F$2, $A140, $I$2, $I$3)))</f>
        <v/>
      </c>
      <c r="M140" s="254" t="str">
        <f>IF(M$6="","",IF(NOT(ISNUMBER(_xll.ciqfunctions.udf.CIQ(M$6,$F$2, $A140, $I$2, $I$3))),IF(M139=M$6,"",M139),_xll.ciqfunctions.udf.CIQ(M$6,$F$2, $A140, $I$2, $I$3)))</f>
        <v/>
      </c>
      <c r="N140" s="254" t="str">
        <f>IF(N$6="","",IF(NOT(ISNUMBER(_xll.ciqfunctions.udf.CIQ(N$6,$F$2, $A140, $I$2, $I$3))),IF(N139=N$6,"",N139),_xll.ciqfunctions.udf.CIQ(N$6,$F$2, $A140, $I$2, $I$3)))</f>
        <v/>
      </c>
      <c r="O140" s="254" t="str">
        <f>IF(O$6="","",IF(NOT(ISNUMBER(_xll.ciqfunctions.udf.CIQ(O$6,$F$2, $A140, $I$2, $I$3))),IF(O139=O$6,"",O139),_xll.ciqfunctions.udf.CIQ(O$6,$F$2, $A140, $I$2, $I$3)))</f>
        <v/>
      </c>
      <c r="P140" s="254" t="str">
        <f>IF(P$6="","",IF(NOT(ISNUMBER(_xll.ciqfunctions.udf.CIQ(P$6,$F$2, $A140, $I$2, $I$3))),IF(P139=P$6,"",P139),_xll.ciqfunctions.udf.CIQ(P$6,$F$2, $A140, $I$2, $I$3)))</f>
        <v/>
      </c>
      <c r="Q140" s="254"/>
      <c r="R140" s="251">
        <f t="shared" si="94"/>
        <v>43756</v>
      </c>
      <c r="S140" s="255">
        <f t="shared" si="96"/>
        <v>0.65288568257491675</v>
      </c>
      <c r="T140" s="255">
        <f t="shared" si="97"/>
        <v>0.29554811189732288</v>
      </c>
      <c r="U140" s="255">
        <f t="shared" si="98"/>
        <v>0.24944388596438638</v>
      </c>
      <c r="V140" s="255">
        <f t="shared" si="112"/>
        <v>1.1381319895802822E-2</v>
      </c>
      <c r="W140" s="255">
        <f t="array" ref="W140">IFERROR(AVERAGE(IF(ISERROR(X140:AG140),"",X140:AG140)),"")</f>
        <v>0.80607072574393235</v>
      </c>
      <c r="X140" s="255">
        <f t="shared" si="113"/>
        <v>0.80607072574393235</v>
      </c>
      <c r="Y140" s="255" t="e">
        <f t="shared" si="84"/>
        <v>#N/A</v>
      </c>
      <c r="Z140" s="255" t="e">
        <f t="shared" si="85"/>
        <v>#N/A</v>
      </c>
      <c r="AA140" s="255" t="e">
        <f t="shared" si="86"/>
        <v>#N/A</v>
      </c>
      <c r="AB140" s="255" t="e">
        <f t="shared" si="87"/>
        <v>#N/A</v>
      </c>
      <c r="AC140" s="255" t="e">
        <f t="shared" si="88"/>
        <v>#N/A</v>
      </c>
      <c r="AD140" s="255" t="e">
        <f t="shared" si="89"/>
        <v>#N/A</v>
      </c>
      <c r="AE140" s="255" t="e">
        <f t="shared" si="90"/>
        <v>#N/A</v>
      </c>
      <c r="AF140" s="255" t="e">
        <f t="shared" si="91"/>
        <v>#N/A</v>
      </c>
      <c r="AG140" s="255" t="e">
        <f t="shared" si="92"/>
        <v>#N/A</v>
      </c>
      <c r="AI140" s="251">
        <f t="shared" si="95"/>
        <v>43756</v>
      </c>
      <c r="AJ140" s="718">
        <f>IF(OR($B140="No",AJ$6=""),"",IF(NOT(ISNUMBER(_xll.ciqfunctions.udf.CIQ(AJ$6,"IQ_TEV",$AI140,$I$2,$I$3))),"",_xll.ciqfunctions.udf.CIQ(AJ$6,"IQ_TEV",$AI140,$I$2,$I$3)))</f>
        <v>411718.00529</v>
      </c>
      <c r="AK140" s="718">
        <f>IF(OR($B140="No",AK$6=""),"",IF(NOT(ISNUMBER(_xll.ciqfunctions.udf.CIQ(AK$6,"IQ_TEV",$AI140,$I$2,$I$3))),"",_xll.ciqfunctions.udf.CIQ(AK$6,"IQ_TEV",$AI140,$I$2,$I$3)))</f>
        <v>131285.82750000001</v>
      </c>
      <c r="AL140" s="718" t="str">
        <f>IF(OR($B140="No",AL$6=""),"",IF(NOT(ISNUMBER(_xll.ciqfunctions.udf.CIQ(AL$6,"IQ_TEV",$AI140,$I$2,$I$3))),"",_xll.ciqfunctions.udf.CIQ(AL$6,"IQ_TEV",$AI140,$I$2,$I$3)))</f>
        <v/>
      </c>
      <c r="AM140" s="718" t="str">
        <f>IF(OR($B140="No",AM$6=""),"",IF(NOT(ISNUMBER(_xll.ciqfunctions.udf.CIQ(AM$6,"IQ_TEV",$AI140,$I$2,$I$3))),"",_xll.ciqfunctions.udf.CIQ(AM$6,"IQ_TEV",$AI140,$I$2,$I$3)))</f>
        <v/>
      </c>
      <c r="AN140" s="718" t="str">
        <f>IF(OR($B140="No",AN$6=""),"",IF(NOT(ISNUMBER(_xll.ciqfunctions.udf.CIQ(AN$6,"IQ_TEV",$AI140,$I$2,$I$3))),"",_xll.ciqfunctions.udf.CIQ(AN$6,"IQ_TEV",$AI140,$I$2,$I$3)))</f>
        <v/>
      </c>
      <c r="AO140" s="718" t="str">
        <f>IF(OR($B140="No",AO$6=""),"",IF(NOT(ISNUMBER(_xll.ciqfunctions.udf.CIQ(AO$6,"IQ_TEV",$AI140,$I$2,$I$3))),"",_xll.ciqfunctions.udf.CIQ(AO$6,"IQ_TEV",$AI140,$I$2,$I$3)))</f>
        <v/>
      </c>
      <c r="AP140" s="718" t="str">
        <f>IF(OR($B140="No",AP$6=""),"",IF(NOT(ISNUMBER(_xll.ciqfunctions.udf.CIQ(AP$6,"IQ_TEV",$AI140,$I$2,$I$3))),"",_xll.ciqfunctions.udf.CIQ(AP$6,"IQ_TEV",$AI140,$I$2,$I$3)))</f>
        <v/>
      </c>
      <c r="AQ140" s="718" t="str">
        <f>IF(OR($B140="No",AQ$6=""),"",IF(NOT(ISNUMBER(_xll.ciqfunctions.udf.CIQ(AQ$6,"IQ_TEV",$AI140,$I$2,$I$3))),"",_xll.ciqfunctions.udf.CIQ(AQ$6,"IQ_TEV",$AI140,$I$2,$I$3)))</f>
        <v/>
      </c>
      <c r="AR140" s="718" t="str">
        <f>IF(OR($B140="No",AR$6=""),"",IF(NOT(ISNUMBER(_xll.ciqfunctions.udf.CIQ(AR$6,"IQ_TEV",$AI140,$I$2,$I$3))),"",_xll.ciqfunctions.udf.CIQ(AR$6,"IQ_TEV",$AI140,$I$2,$I$3)))</f>
        <v/>
      </c>
      <c r="AS140" s="718" t="str">
        <f>IF(OR($B140="No",AS$6=""),"",IF(NOT(ISNUMBER(_xll.ciqfunctions.udf.CIQ(AS$6,"IQ_TEV",$AI140,$I$2,$I$3))),"",_xll.ciqfunctions.udf.CIQ(AS$6,"IQ_TEV",$AI140,$I$2,$I$3)))</f>
        <v/>
      </c>
      <c r="AT140" s="718" t="str">
        <f>IF(OR($B140="No",AT$6=""),"",IF(NOT(ISNUMBER(_xll.ciqfunctions.udf.CIQ(AT$6,"IQ_TEV",$AI140,$I$2,$I$3))),"",_xll.ciqfunctions.udf.CIQ(AT$6,"IQ_TEV",$AI140,$I$2,$I$3)))</f>
        <v/>
      </c>
      <c r="AV140" s="251">
        <f t="shared" si="99"/>
        <v>43756</v>
      </c>
      <c r="AW140" s="719">
        <f t="shared" si="100"/>
        <v>0.57711741485906098</v>
      </c>
      <c r="AX140" s="719">
        <f t="shared" si="101"/>
        <v>0.79880934218996269</v>
      </c>
      <c r="AY140" s="719" t="e">
        <f t="shared" si="102"/>
        <v>#N/A</v>
      </c>
      <c r="AZ140" s="719" t="e">
        <f t="shared" si="103"/>
        <v>#N/A</v>
      </c>
      <c r="BA140" s="719" t="e">
        <f t="shared" si="104"/>
        <v>#N/A</v>
      </c>
      <c r="BB140" s="719" t="e">
        <f t="shared" si="105"/>
        <v>#N/A</v>
      </c>
      <c r="BC140" s="719" t="e">
        <f t="shared" si="106"/>
        <v>#N/A</v>
      </c>
      <c r="BD140" s="719" t="e">
        <f t="shared" si="107"/>
        <v>#N/A</v>
      </c>
      <c r="BE140" s="719" t="e">
        <f t="shared" si="108"/>
        <v>#N/A</v>
      </c>
      <c r="BF140" s="719" t="e">
        <f t="shared" si="109"/>
        <v>#N/A</v>
      </c>
      <c r="BG140" s="719" t="e">
        <f t="shared" si="110"/>
        <v>#N/A</v>
      </c>
    </row>
    <row r="141" spans="1:59" ht="15" customHeight="1" x14ac:dyDescent="0.2">
      <c r="A141" s="251">
        <f t="shared" si="93"/>
        <v>43763</v>
      </c>
      <c r="B141" s="253" t="str">
        <f t="shared" si="111"/>
        <v>Yes</v>
      </c>
      <c r="C141" s="1033">
        <f>IF(C$6="","",IF(NOT(ISNUMBER(_xll.ciqfunctions.udf.CIQ(C$6,$F$2, $A141, $I$2, $I$3))),IF(C140=C$6,"",C140),_xll.ciqfunctions.udf.CIQ(C$6,$F$2, $A141, $I$2, $I$3)))</f>
        <v>119.04</v>
      </c>
      <c r="D141" s="1033">
        <f>IF(D$6="","",IF(NOT(ISNUMBER(_xll.ciqfunctions.udf.CIQ(D$6,$F$2, $A141, $I$2, $I$3))),IF(D140=D$6,"",D140),_xll.ciqfunctions.udf.CIQ(D$6,$F$2, $A141, $I$2, $I$3)))</f>
        <v>26958.062829999999</v>
      </c>
      <c r="E141" s="1033">
        <f>IF(E$6="","",IF(NOT(ISNUMBER(_xll.ciqfunctions.udf.CIQ(E$6,$F$2, $A141, $I$2, $I$3))),IF(E140=E$6,"",E140),_xll.ciqfunctions.udf.CIQ(E$6,$F$2, $A141, $I$2, $I$3)))</f>
        <v>9052.3172900000009</v>
      </c>
      <c r="F141" s="1033">
        <f>IF(F$6="","",IF(NOT(ISNUMBER(_xll.ciqfunctions.udf.CIQ(F$6,$F$2, $A141, $I$2, $I$3))),IF(F140=F$6,"",F140),_xll.ciqfunctions.udf.CIQ(F$6,$F$2, $A141, $I$2, $I$3)))</f>
        <v>4607.8908600000004</v>
      </c>
      <c r="G141" s="1033">
        <f>IF(G$6="","",IF(NOT(ISNUMBER(_xll.ciqfunctions.udf.CIQ(G$6,$F$2, $A141, $I$2, $I$3))),IF(G140=G$6,"",G140),_xll.ciqfunctions.udf.CIQ(G$6,$F$2, $A141, $I$2, $I$3)))</f>
        <v>296.5</v>
      </c>
      <c r="H141" s="1033" t="str">
        <f>IF(H$6="","",IF(NOT(ISNUMBER(_xll.ciqfunctions.udf.CIQ(H$6,$F$2, $A141, $I$2, $I$3))),IF(H140=H$6,"",H140),_xll.ciqfunctions.udf.CIQ(H$6,$F$2, $A141, $I$2, $I$3)))</f>
        <v/>
      </c>
      <c r="I141" s="1033" t="str">
        <f>IF(I$6="","",IF(NOT(ISNUMBER(_xll.ciqfunctions.udf.CIQ(I$6,$F$2, $A141, $I$2, $I$3))),IF(I140=I$6,"",I140),_xll.ciqfunctions.udf.CIQ(I$6,$F$2, $A141, $I$2, $I$3)))</f>
        <v/>
      </c>
      <c r="J141" s="1033" t="str">
        <f>IF(J$6="","",IF(NOT(ISNUMBER(_xll.ciqfunctions.udf.CIQ(J$6,$F$2, $A141, $I$2, $I$3))),IF(J140=J$6,"",J140),_xll.ciqfunctions.udf.CIQ(J$6,$F$2, $A141, $I$2, $I$3)))</f>
        <v/>
      </c>
      <c r="K141" s="1033" t="str">
        <f>IF(K$6="","",IF(NOT(ISNUMBER(_xll.ciqfunctions.udf.CIQ(K$6,$F$2, $A141, $I$2, $I$3))),IF(K140=K$6,"",K140),_xll.ciqfunctions.udf.CIQ(K$6,$F$2, $A141, $I$2, $I$3)))</f>
        <v/>
      </c>
      <c r="L141" s="254" t="str">
        <f>IF(L$6="","",IF(NOT(ISNUMBER(_xll.ciqfunctions.udf.CIQ(L$6,$F$2, $A141, $I$2, $I$3))),IF(L140=L$6,"",L140),_xll.ciqfunctions.udf.CIQ(L$6,$F$2, $A141, $I$2, $I$3)))</f>
        <v/>
      </c>
      <c r="M141" s="254" t="str">
        <f>IF(M$6="","",IF(NOT(ISNUMBER(_xll.ciqfunctions.udf.CIQ(M$6,$F$2, $A141, $I$2, $I$3))),IF(M140=M$6,"",M140),_xll.ciqfunctions.udf.CIQ(M$6,$F$2, $A141, $I$2, $I$3)))</f>
        <v/>
      </c>
      <c r="N141" s="254" t="str">
        <f>IF(N$6="","",IF(NOT(ISNUMBER(_xll.ciqfunctions.udf.CIQ(N$6,$F$2, $A141, $I$2, $I$3))),IF(N140=N$6,"",N140),_xll.ciqfunctions.udf.CIQ(N$6,$F$2, $A141, $I$2, $I$3)))</f>
        <v/>
      </c>
      <c r="O141" s="254" t="str">
        <f>IF(O$6="","",IF(NOT(ISNUMBER(_xll.ciqfunctions.udf.CIQ(O$6,$F$2, $A141, $I$2, $I$3))),IF(O140=O$6,"",O140),_xll.ciqfunctions.udf.CIQ(O$6,$F$2, $A141, $I$2, $I$3)))</f>
        <v/>
      </c>
      <c r="P141" s="254" t="str">
        <f>IF(P$6="","",IF(NOT(ISNUMBER(_xll.ciqfunctions.udf.CIQ(P$6,$F$2, $A141, $I$2, $I$3))),IF(P140=P$6,"",P140),_xll.ciqfunctions.udf.CIQ(P$6,$F$2, $A141, $I$2, $I$3)))</f>
        <v/>
      </c>
      <c r="Q141" s="254"/>
      <c r="R141" s="251">
        <f t="shared" si="94"/>
        <v>43763</v>
      </c>
      <c r="S141" s="255">
        <f t="shared" si="96"/>
        <v>0.65149833518313005</v>
      </c>
      <c r="T141" s="255">
        <f t="shared" si="97"/>
        <v>0.30463990835318477</v>
      </c>
      <c r="U141" s="255">
        <f t="shared" si="98"/>
        <v>0.26502846806113745</v>
      </c>
      <c r="V141" s="255">
        <f t="shared" si="112"/>
        <v>4.9696781820652625E-2</v>
      </c>
      <c r="W141" s="255">
        <f t="array" ref="W141">IFERROR(AVERAGE(IF(ISERROR(X141:AG141),"",X141:AG141)),"")</f>
        <v>0.76814359830639867</v>
      </c>
      <c r="X141" s="255">
        <f t="shared" si="113"/>
        <v>0.76814359830639867</v>
      </c>
      <c r="Y141" s="255" t="e">
        <f t="shared" si="84"/>
        <v>#N/A</v>
      </c>
      <c r="Z141" s="255" t="e">
        <f t="shared" si="85"/>
        <v>#N/A</v>
      </c>
      <c r="AA141" s="255" t="e">
        <f t="shared" si="86"/>
        <v>#N/A</v>
      </c>
      <c r="AB141" s="255" t="e">
        <f t="shared" si="87"/>
        <v>#N/A</v>
      </c>
      <c r="AC141" s="255" t="e">
        <f t="shared" si="88"/>
        <v>#N/A</v>
      </c>
      <c r="AD141" s="255" t="e">
        <f t="shared" si="89"/>
        <v>#N/A</v>
      </c>
      <c r="AE141" s="255" t="e">
        <f t="shared" si="90"/>
        <v>#N/A</v>
      </c>
      <c r="AF141" s="255" t="e">
        <f t="shared" si="91"/>
        <v>#N/A</v>
      </c>
      <c r="AG141" s="255" t="e">
        <f t="shared" si="92"/>
        <v>#N/A</v>
      </c>
      <c r="AI141" s="251">
        <f t="shared" si="95"/>
        <v>43763</v>
      </c>
      <c r="AJ141" s="718">
        <f>IF(OR($B141="No",AJ$6=""),"",IF(NOT(ISNUMBER(_xll.ciqfunctions.udf.CIQ(AJ$6,"IQ_TEV",$AI141,$I$2,$I$3))),"",_xll.ciqfunctions.udf.CIQ(AJ$6,"IQ_TEV",$AI141,$I$2,$I$3)))</f>
        <v>411433.57688000001</v>
      </c>
      <c r="AK141" s="718">
        <f>IF(OR($B141="No",AK$6=""),"",IF(NOT(ISNUMBER(_xll.ciqfunctions.udf.CIQ(AK$6,"IQ_TEV",$AI141,$I$2,$I$3))),"",_xll.ciqfunctions.udf.CIQ(AK$6,"IQ_TEV",$AI141,$I$2,$I$3)))</f>
        <v>128489.8125</v>
      </c>
      <c r="AL141" s="718" t="str">
        <f>IF(OR($B141="No",AL$6=""),"",IF(NOT(ISNUMBER(_xll.ciqfunctions.udf.CIQ(AL$6,"IQ_TEV",$AI141,$I$2,$I$3))),"",_xll.ciqfunctions.udf.CIQ(AL$6,"IQ_TEV",$AI141,$I$2,$I$3)))</f>
        <v/>
      </c>
      <c r="AM141" s="718" t="str">
        <f>IF(OR($B141="No",AM$6=""),"",IF(NOT(ISNUMBER(_xll.ciqfunctions.udf.CIQ(AM$6,"IQ_TEV",$AI141,$I$2,$I$3))),"",_xll.ciqfunctions.udf.CIQ(AM$6,"IQ_TEV",$AI141,$I$2,$I$3)))</f>
        <v/>
      </c>
      <c r="AN141" s="718" t="str">
        <f>IF(OR($B141="No",AN$6=""),"",IF(NOT(ISNUMBER(_xll.ciqfunctions.udf.CIQ(AN$6,"IQ_TEV",$AI141,$I$2,$I$3))),"",_xll.ciqfunctions.udf.CIQ(AN$6,"IQ_TEV",$AI141,$I$2,$I$3)))</f>
        <v/>
      </c>
      <c r="AO141" s="718" t="str">
        <f>IF(OR($B141="No",AO$6=""),"",IF(NOT(ISNUMBER(_xll.ciqfunctions.udf.CIQ(AO$6,"IQ_TEV",$AI141,$I$2,$I$3))),"",_xll.ciqfunctions.udf.CIQ(AO$6,"IQ_TEV",$AI141,$I$2,$I$3)))</f>
        <v/>
      </c>
      <c r="AP141" s="718" t="str">
        <f>IF(OR($B141="No",AP$6=""),"",IF(NOT(ISNUMBER(_xll.ciqfunctions.udf.CIQ(AP$6,"IQ_TEV",$AI141,$I$2,$I$3))),"",_xll.ciqfunctions.udf.CIQ(AP$6,"IQ_TEV",$AI141,$I$2,$I$3)))</f>
        <v/>
      </c>
      <c r="AQ141" s="718" t="str">
        <f>IF(OR($B141="No",AQ$6=""),"",IF(NOT(ISNUMBER(_xll.ciqfunctions.udf.CIQ(AQ$6,"IQ_TEV",$AI141,$I$2,$I$3))),"",_xll.ciqfunctions.udf.CIQ(AQ$6,"IQ_TEV",$AI141,$I$2,$I$3)))</f>
        <v/>
      </c>
      <c r="AR141" s="718" t="str">
        <f>IF(OR($B141="No",AR$6=""),"",IF(NOT(ISNUMBER(_xll.ciqfunctions.udf.CIQ(AR$6,"IQ_TEV",$AI141,$I$2,$I$3))),"",_xll.ciqfunctions.udf.CIQ(AR$6,"IQ_TEV",$AI141,$I$2,$I$3)))</f>
        <v/>
      </c>
      <c r="AS141" s="718" t="str">
        <f>IF(OR($B141="No",AS$6=""),"",IF(NOT(ISNUMBER(_xll.ciqfunctions.udf.CIQ(AS$6,"IQ_TEV",$AI141,$I$2,$I$3))),"",_xll.ciqfunctions.udf.CIQ(AS$6,"IQ_TEV",$AI141,$I$2,$I$3)))</f>
        <v/>
      </c>
      <c r="AT141" s="718" t="str">
        <f>IF(OR($B141="No",AT$6=""),"",IF(NOT(ISNUMBER(_xll.ciqfunctions.udf.CIQ(AT$6,"IQ_TEV",$AI141,$I$2,$I$3))),"",_xll.ciqfunctions.udf.CIQ(AT$6,"IQ_TEV",$AI141,$I$2,$I$3)))</f>
        <v/>
      </c>
      <c r="AV141" s="251">
        <f t="shared" si="99"/>
        <v>43763</v>
      </c>
      <c r="AW141" s="719">
        <f t="shared" si="100"/>
        <v>0.57602789000727395</v>
      </c>
      <c r="AX141" s="719">
        <f t="shared" si="101"/>
        <v>0.76049981557405055</v>
      </c>
      <c r="AY141" s="719" t="e">
        <f t="shared" si="102"/>
        <v>#N/A</v>
      </c>
      <c r="AZ141" s="719" t="e">
        <f t="shared" si="103"/>
        <v>#N/A</v>
      </c>
      <c r="BA141" s="719" t="e">
        <f t="shared" si="104"/>
        <v>#N/A</v>
      </c>
      <c r="BB141" s="719" t="e">
        <f t="shared" si="105"/>
        <v>#N/A</v>
      </c>
      <c r="BC141" s="719" t="e">
        <f t="shared" si="106"/>
        <v>#N/A</v>
      </c>
      <c r="BD141" s="719" t="e">
        <f t="shared" si="107"/>
        <v>#N/A</v>
      </c>
      <c r="BE141" s="719" t="e">
        <f t="shared" si="108"/>
        <v>#N/A</v>
      </c>
      <c r="BF141" s="719" t="e">
        <f t="shared" si="109"/>
        <v>#N/A</v>
      </c>
      <c r="BG141" s="719" t="e">
        <f t="shared" si="110"/>
        <v>#N/A</v>
      </c>
    </row>
    <row r="142" spans="1:59" ht="15" customHeight="1" x14ac:dyDescent="0.2">
      <c r="A142" s="251">
        <f t="shared" si="93"/>
        <v>43770</v>
      </c>
      <c r="B142" s="253" t="str">
        <f t="shared" si="111"/>
        <v>Yes</v>
      </c>
      <c r="C142" s="1033">
        <f>IF(C$6="","",IF(NOT(ISNUMBER(_xll.ciqfunctions.udf.CIQ(C$6,$F$2, $A142, $I$2, $I$3))),IF(C141=C$6,"",C141),_xll.ciqfunctions.udf.CIQ(C$6,$F$2, $A142, $I$2, $I$3)))</f>
        <v>117.62</v>
      </c>
      <c r="D142" s="1033">
        <f>IF(D$6="","",IF(NOT(ISNUMBER(_xll.ciqfunctions.udf.CIQ(D$6,$F$2, $A142, $I$2, $I$3))),IF(D141=D$6,"",D141),_xll.ciqfunctions.udf.CIQ(D$6,$F$2, $A142, $I$2, $I$3)))</f>
        <v>27347.35873</v>
      </c>
      <c r="E142" s="1033">
        <f>IF(E$6="","",IF(NOT(ISNUMBER(_xll.ciqfunctions.udf.CIQ(E$6,$F$2, $A142, $I$2, $I$3))),IF(E141=E$6,"",E141),_xll.ciqfunctions.udf.CIQ(E$6,$F$2, $A142, $I$2, $I$3)))</f>
        <v>9103.4062599999997</v>
      </c>
      <c r="F142" s="1033">
        <f>IF(F$6="","",IF(NOT(ISNUMBER(_xll.ciqfunctions.udf.CIQ(F$6,$F$2, $A142, $I$2, $I$3))),IF(F141=F$6,"",F141),_xll.ciqfunctions.udf.CIQ(F$6,$F$2, $A142, $I$2, $I$3)))</f>
        <v>4537.2385800000002</v>
      </c>
      <c r="G142" s="1033">
        <f>IF(G$6="","",IF(NOT(ISNUMBER(_xll.ciqfunctions.udf.CIQ(G$6,$F$2, $A142, $I$2, $I$3))),IF(G141=G$6,"",G141),_xll.ciqfunctions.udf.CIQ(G$6,$F$2, $A142, $I$2, $I$3)))</f>
        <v>296.08999999999997</v>
      </c>
      <c r="H142" s="1033" t="str">
        <f>IF(H$6="","",IF(NOT(ISNUMBER(_xll.ciqfunctions.udf.CIQ(H$6,$F$2, $A142, $I$2, $I$3))),IF(H141=H$6,"",H141),_xll.ciqfunctions.udf.CIQ(H$6,$F$2, $A142, $I$2, $I$3)))</f>
        <v/>
      </c>
      <c r="I142" s="1033" t="str">
        <f>IF(I$6="","",IF(NOT(ISNUMBER(_xll.ciqfunctions.udf.CIQ(I$6,$F$2, $A142, $I$2, $I$3))),IF(I141=I$6,"",I141),_xll.ciqfunctions.udf.CIQ(I$6,$F$2, $A142, $I$2, $I$3)))</f>
        <v/>
      </c>
      <c r="J142" s="1033" t="str">
        <f>IF(J$6="","",IF(NOT(ISNUMBER(_xll.ciqfunctions.udf.CIQ(J$6,$F$2, $A142, $I$2, $I$3))),IF(J141=J$6,"",J141),_xll.ciqfunctions.udf.CIQ(J$6,$F$2, $A142, $I$2, $I$3)))</f>
        <v/>
      </c>
      <c r="K142" s="1033" t="str">
        <f>IF(K$6="","",IF(NOT(ISNUMBER(_xll.ciqfunctions.udf.CIQ(K$6,$F$2, $A142, $I$2, $I$3))),IF(K141=K$6,"",K141),_xll.ciqfunctions.udf.CIQ(K$6,$F$2, $A142, $I$2, $I$3)))</f>
        <v/>
      </c>
      <c r="L142" s="254" t="str">
        <f>IF(L$6="","",IF(NOT(ISNUMBER(_xll.ciqfunctions.udf.CIQ(L$6,$F$2, $A142, $I$2, $I$3))),IF(L141=L$6,"",L141),_xll.ciqfunctions.udf.CIQ(L$6,$F$2, $A142, $I$2, $I$3)))</f>
        <v/>
      </c>
      <c r="M142" s="254" t="str">
        <f>IF(M$6="","",IF(NOT(ISNUMBER(_xll.ciqfunctions.udf.CIQ(M$6,$F$2, $A142, $I$2, $I$3))),IF(M141=M$6,"",M141),_xll.ciqfunctions.udf.CIQ(M$6,$F$2, $A142, $I$2, $I$3)))</f>
        <v/>
      </c>
      <c r="N142" s="254" t="str">
        <f>IF(N$6="","",IF(NOT(ISNUMBER(_xll.ciqfunctions.udf.CIQ(N$6,$F$2, $A142, $I$2, $I$3))),IF(N141=N$6,"",N141),_xll.ciqfunctions.udf.CIQ(N$6,$F$2, $A142, $I$2, $I$3)))</f>
        <v/>
      </c>
      <c r="O142" s="254" t="str">
        <f>IF(O$6="","",IF(NOT(ISNUMBER(_xll.ciqfunctions.udf.CIQ(O$6,$F$2, $A142, $I$2, $I$3))),IF(O141=O$6,"",O141),_xll.ciqfunctions.udf.CIQ(O$6,$F$2, $A142, $I$2, $I$3)))</f>
        <v/>
      </c>
      <c r="P142" s="254" t="str">
        <f>IF(P$6="","",IF(NOT(ISNUMBER(_xll.ciqfunctions.udf.CIQ(P$6,$F$2, $A142, $I$2, $I$3))),IF(P141=P$6,"",P141),_xll.ciqfunctions.udf.CIQ(P$6,$F$2, $A142, $I$2, $I$3)))</f>
        <v/>
      </c>
      <c r="Q142" s="254"/>
      <c r="R142" s="251">
        <f t="shared" si="94"/>
        <v>43770</v>
      </c>
      <c r="S142" s="255">
        <f t="shared" si="96"/>
        <v>0.63179800221975602</v>
      </c>
      <c r="T142" s="255">
        <f t="shared" si="97"/>
        <v>0.32347994780635614</v>
      </c>
      <c r="U142" s="255">
        <f t="shared" si="98"/>
        <v>0.27216796609058846</v>
      </c>
      <c r="V142" s="255">
        <f t="shared" si="112"/>
        <v>3.3601897371872136E-2</v>
      </c>
      <c r="W142" s="255">
        <f t="array" ref="W142">IFERROR(AVERAGE(IF(ISERROR(X142:AG142),"",X142:AG142)),"")</f>
        <v>0.76569861053133748</v>
      </c>
      <c r="X142" s="255">
        <f t="shared" si="113"/>
        <v>0.76569861053133748</v>
      </c>
      <c r="Y142" s="255" t="e">
        <f t="shared" si="84"/>
        <v>#N/A</v>
      </c>
      <c r="Z142" s="255" t="e">
        <f t="shared" si="85"/>
        <v>#N/A</v>
      </c>
      <c r="AA142" s="255" t="e">
        <f t="shared" si="86"/>
        <v>#N/A</v>
      </c>
      <c r="AB142" s="255" t="e">
        <f t="shared" si="87"/>
        <v>#N/A</v>
      </c>
      <c r="AC142" s="255" t="e">
        <f t="shared" si="88"/>
        <v>#N/A</v>
      </c>
      <c r="AD142" s="255" t="e">
        <f t="shared" si="89"/>
        <v>#N/A</v>
      </c>
      <c r="AE142" s="255" t="e">
        <f t="shared" si="90"/>
        <v>#N/A</v>
      </c>
      <c r="AF142" s="255" t="e">
        <f t="shared" si="91"/>
        <v>#N/A</v>
      </c>
      <c r="AG142" s="255" t="e">
        <f t="shared" si="92"/>
        <v>#N/A</v>
      </c>
      <c r="AI142" s="251">
        <f t="shared" si="95"/>
        <v>43770</v>
      </c>
      <c r="AJ142" s="718">
        <f>IF(OR($B142="No",AJ$6=""),"",IF(NOT(ISNUMBER(_xll.ciqfunctions.udf.CIQ(AJ$6,"IQ_TEV",$AI142,$I$2,$I$3))),"",_xll.ciqfunctions.udf.CIQ(AJ$6,"IQ_TEV",$AI142,$I$2,$I$3)))</f>
        <v>407394.69348999998</v>
      </c>
      <c r="AK142" s="718">
        <f>IF(OR($B142="No",AK$6=""),"",IF(NOT(ISNUMBER(_xll.ciqfunctions.udf.CIQ(AK$6,"IQ_TEV",$AI142,$I$2,$I$3))),"",_xll.ciqfunctions.udf.CIQ(AK$6,"IQ_TEV",$AI142,$I$2,$I$3)))</f>
        <v>128309.56625</v>
      </c>
      <c r="AL142" s="718" t="str">
        <f>IF(OR($B142="No",AL$6=""),"",IF(NOT(ISNUMBER(_xll.ciqfunctions.udf.CIQ(AL$6,"IQ_TEV",$AI142,$I$2,$I$3))),"",_xll.ciqfunctions.udf.CIQ(AL$6,"IQ_TEV",$AI142,$I$2,$I$3)))</f>
        <v/>
      </c>
      <c r="AM142" s="718" t="str">
        <f>IF(OR($B142="No",AM$6=""),"",IF(NOT(ISNUMBER(_xll.ciqfunctions.udf.CIQ(AM$6,"IQ_TEV",$AI142,$I$2,$I$3))),"",_xll.ciqfunctions.udf.CIQ(AM$6,"IQ_TEV",$AI142,$I$2,$I$3)))</f>
        <v/>
      </c>
      <c r="AN142" s="718" t="str">
        <f>IF(OR($B142="No",AN$6=""),"",IF(NOT(ISNUMBER(_xll.ciqfunctions.udf.CIQ(AN$6,"IQ_TEV",$AI142,$I$2,$I$3))),"",_xll.ciqfunctions.udf.CIQ(AN$6,"IQ_TEV",$AI142,$I$2,$I$3)))</f>
        <v/>
      </c>
      <c r="AO142" s="718" t="str">
        <f>IF(OR($B142="No",AO$6=""),"",IF(NOT(ISNUMBER(_xll.ciqfunctions.udf.CIQ(AO$6,"IQ_TEV",$AI142,$I$2,$I$3))),"",_xll.ciqfunctions.udf.CIQ(AO$6,"IQ_TEV",$AI142,$I$2,$I$3)))</f>
        <v/>
      </c>
      <c r="AP142" s="718" t="str">
        <f>IF(OR($B142="No",AP$6=""),"",IF(NOT(ISNUMBER(_xll.ciqfunctions.udf.CIQ(AP$6,"IQ_TEV",$AI142,$I$2,$I$3))),"",_xll.ciqfunctions.udf.CIQ(AP$6,"IQ_TEV",$AI142,$I$2,$I$3)))</f>
        <v/>
      </c>
      <c r="AQ142" s="718" t="str">
        <f>IF(OR($B142="No",AQ$6=""),"",IF(NOT(ISNUMBER(_xll.ciqfunctions.udf.CIQ(AQ$6,"IQ_TEV",$AI142,$I$2,$I$3))),"",_xll.ciqfunctions.udf.CIQ(AQ$6,"IQ_TEV",$AI142,$I$2,$I$3)))</f>
        <v/>
      </c>
      <c r="AR142" s="718" t="str">
        <f>IF(OR($B142="No",AR$6=""),"",IF(NOT(ISNUMBER(_xll.ciqfunctions.udf.CIQ(AR$6,"IQ_TEV",$AI142,$I$2,$I$3))),"",_xll.ciqfunctions.udf.CIQ(AR$6,"IQ_TEV",$AI142,$I$2,$I$3)))</f>
        <v/>
      </c>
      <c r="AS142" s="718" t="str">
        <f>IF(OR($B142="No",AS$6=""),"",IF(NOT(ISNUMBER(_xll.ciqfunctions.udf.CIQ(AS$6,"IQ_TEV",$AI142,$I$2,$I$3))),"",_xll.ciqfunctions.udf.CIQ(AS$6,"IQ_TEV",$AI142,$I$2,$I$3)))</f>
        <v/>
      </c>
      <c r="AT142" s="718" t="str">
        <f>IF(OR($B142="No",AT$6=""),"",IF(NOT(ISNUMBER(_xll.ciqfunctions.udf.CIQ(AT$6,"IQ_TEV",$AI142,$I$2,$I$3))),"",_xll.ciqfunctions.udf.CIQ(AT$6,"IQ_TEV",$AI142,$I$2,$I$3)))</f>
        <v/>
      </c>
      <c r="AV142" s="251">
        <f t="shared" si="99"/>
        <v>43770</v>
      </c>
      <c r="AW142" s="719">
        <f t="shared" si="100"/>
        <v>0.56055663723447524</v>
      </c>
      <c r="AX142" s="719">
        <f t="shared" si="101"/>
        <v>0.75803017627962865</v>
      </c>
      <c r="AY142" s="719" t="e">
        <f t="shared" si="102"/>
        <v>#N/A</v>
      </c>
      <c r="AZ142" s="719" t="e">
        <f t="shared" si="103"/>
        <v>#N/A</v>
      </c>
      <c r="BA142" s="719" t="e">
        <f t="shared" si="104"/>
        <v>#N/A</v>
      </c>
      <c r="BB142" s="719" t="e">
        <f t="shared" si="105"/>
        <v>#N/A</v>
      </c>
      <c r="BC142" s="719" t="e">
        <f t="shared" si="106"/>
        <v>#N/A</v>
      </c>
      <c r="BD142" s="719" t="e">
        <f t="shared" si="107"/>
        <v>#N/A</v>
      </c>
      <c r="BE142" s="719" t="e">
        <f t="shared" si="108"/>
        <v>#N/A</v>
      </c>
      <c r="BF142" s="719" t="e">
        <f t="shared" si="109"/>
        <v>#N/A</v>
      </c>
      <c r="BG142" s="719" t="e">
        <f t="shared" si="110"/>
        <v>#N/A</v>
      </c>
    </row>
    <row r="143" spans="1:59" ht="15" customHeight="1" x14ac:dyDescent="0.2">
      <c r="A143" s="251">
        <f t="shared" si="93"/>
        <v>43777</v>
      </c>
      <c r="B143" s="253" t="str">
        <f t="shared" si="111"/>
        <v>Yes</v>
      </c>
      <c r="C143" s="1033">
        <f>IF(C$6="","",IF(NOT(ISNUMBER(_xll.ciqfunctions.udf.CIQ(C$6,$F$2, $A143, $I$2, $I$3))),IF(C142=C$6,"",C142),_xll.ciqfunctions.udf.CIQ(C$6,$F$2, $A143, $I$2, $I$3)))</f>
        <v>119.44</v>
      </c>
      <c r="D143" s="1033">
        <f>IF(D$6="","",IF(NOT(ISNUMBER(_xll.ciqfunctions.udf.CIQ(D$6,$F$2, $A143, $I$2, $I$3))),IF(D142=D$6,"",D142),_xll.ciqfunctions.udf.CIQ(D$6,$F$2, $A143, $I$2, $I$3)))</f>
        <v>27681.24439</v>
      </c>
      <c r="E143" s="1033">
        <f>IF(E$6="","",IF(NOT(ISNUMBER(_xll.ciqfunctions.udf.CIQ(E$6,$F$2, $A143, $I$2, $I$3))),IF(E142=E$6,"",E142),_xll.ciqfunctions.udf.CIQ(E$6,$F$2, $A143, $I$2, $I$3)))</f>
        <v>9177.4593299999997</v>
      </c>
      <c r="F143" s="1033">
        <f>IF(F$6="","",IF(NOT(ISNUMBER(_xll.ciqfunctions.udf.CIQ(F$6,$F$2, $A143, $I$2, $I$3))),IF(F142=F$6,"",F142),_xll.ciqfunctions.udf.CIQ(F$6,$F$2, $A143, $I$2, $I$3)))</f>
        <v>4614.5937599999997</v>
      </c>
      <c r="G143" s="1033">
        <f>IF(G$6="","",IF(NOT(ISNUMBER(_xll.ciqfunctions.udf.CIQ(G$6,$F$2, $A143, $I$2, $I$3))),IF(G142=G$6,"",G142),_xll.ciqfunctions.udf.CIQ(G$6,$F$2, $A143, $I$2, $I$3)))</f>
        <v>302.62</v>
      </c>
      <c r="H143" s="1033" t="str">
        <f>IF(H$6="","",IF(NOT(ISNUMBER(_xll.ciqfunctions.udf.CIQ(H$6,$F$2, $A143, $I$2, $I$3))),IF(H142=H$6,"",H142),_xll.ciqfunctions.udf.CIQ(H$6,$F$2, $A143, $I$2, $I$3)))</f>
        <v/>
      </c>
      <c r="I143" s="1033" t="str">
        <f>IF(I$6="","",IF(NOT(ISNUMBER(_xll.ciqfunctions.udf.CIQ(I$6,$F$2, $A143, $I$2, $I$3))),IF(I142=I$6,"",I142),_xll.ciqfunctions.udf.CIQ(I$6,$F$2, $A143, $I$2, $I$3)))</f>
        <v/>
      </c>
      <c r="J143" s="1033" t="str">
        <f>IF(J$6="","",IF(NOT(ISNUMBER(_xll.ciqfunctions.udf.CIQ(J$6,$F$2, $A143, $I$2, $I$3))),IF(J142=J$6,"",J142),_xll.ciqfunctions.udf.CIQ(J$6,$F$2, $A143, $I$2, $I$3)))</f>
        <v/>
      </c>
      <c r="K143" s="1033" t="str">
        <f>IF(K$6="","",IF(NOT(ISNUMBER(_xll.ciqfunctions.udf.CIQ(K$6,$F$2, $A143, $I$2, $I$3))),IF(K142=K$6,"",K142),_xll.ciqfunctions.udf.CIQ(K$6,$F$2, $A143, $I$2, $I$3)))</f>
        <v/>
      </c>
      <c r="L143" s="254" t="str">
        <f>IF(L$6="","",IF(NOT(ISNUMBER(_xll.ciqfunctions.udf.CIQ(L$6,$F$2, $A143, $I$2, $I$3))),IF(L142=L$6,"",L142),_xll.ciqfunctions.udf.CIQ(L$6,$F$2, $A143, $I$2, $I$3)))</f>
        <v/>
      </c>
      <c r="M143" s="254" t="str">
        <f>IF(M$6="","",IF(NOT(ISNUMBER(_xll.ciqfunctions.udf.CIQ(M$6,$F$2, $A143, $I$2, $I$3))),IF(M142=M$6,"",M142),_xll.ciqfunctions.udf.CIQ(M$6,$F$2, $A143, $I$2, $I$3)))</f>
        <v/>
      </c>
      <c r="N143" s="254" t="str">
        <f>IF(N$6="","",IF(NOT(ISNUMBER(_xll.ciqfunctions.udf.CIQ(N$6,$F$2, $A143, $I$2, $I$3))),IF(N142=N$6,"",N142),_xll.ciqfunctions.udf.CIQ(N$6,$F$2, $A143, $I$2, $I$3)))</f>
        <v/>
      </c>
      <c r="O143" s="254" t="str">
        <f>IF(O$6="","",IF(NOT(ISNUMBER(_xll.ciqfunctions.udf.CIQ(O$6,$F$2, $A143, $I$2, $I$3))),IF(O142=O$6,"",O142),_xll.ciqfunctions.udf.CIQ(O$6,$F$2, $A143, $I$2, $I$3)))</f>
        <v/>
      </c>
      <c r="P143" s="254" t="str">
        <f>IF(P$6="","",IF(NOT(ISNUMBER(_xll.ciqfunctions.udf.CIQ(P$6,$F$2, $A143, $I$2, $I$3))),IF(P142=P$6,"",P142),_xll.ciqfunctions.udf.CIQ(P$6,$F$2, $A143, $I$2, $I$3)))</f>
        <v/>
      </c>
      <c r="Q143" s="254"/>
      <c r="R143" s="251">
        <f t="shared" si="94"/>
        <v>43777</v>
      </c>
      <c r="S143" s="255">
        <f t="shared" si="96"/>
        <v>0.65704772475027751</v>
      </c>
      <c r="T143" s="255">
        <f t="shared" si="97"/>
        <v>0.33963839953227515</v>
      </c>
      <c r="U143" s="255">
        <f t="shared" si="98"/>
        <v>0.28251661370160508</v>
      </c>
      <c r="V143" s="255">
        <f t="shared" si="112"/>
        <v>5.1223730433941794E-2</v>
      </c>
      <c r="W143" s="255">
        <f t="array" ref="W143">IFERROR(AVERAGE(IF(ISERROR(X143:AG143),"",X143:AG143)),"")</f>
        <v>0.80463951338779904</v>
      </c>
      <c r="X143" s="255">
        <f t="shared" si="113"/>
        <v>0.80463951338779904</v>
      </c>
      <c r="Y143" s="255" t="e">
        <f t="shared" si="84"/>
        <v>#N/A</v>
      </c>
      <c r="Z143" s="255" t="e">
        <f t="shared" si="85"/>
        <v>#N/A</v>
      </c>
      <c r="AA143" s="255" t="e">
        <f t="shared" si="86"/>
        <v>#N/A</v>
      </c>
      <c r="AB143" s="255" t="e">
        <f t="shared" si="87"/>
        <v>#N/A</v>
      </c>
      <c r="AC143" s="255" t="e">
        <f t="shared" si="88"/>
        <v>#N/A</v>
      </c>
      <c r="AD143" s="255" t="e">
        <f t="shared" si="89"/>
        <v>#N/A</v>
      </c>
      <c r="AE143" s="255" t="e">
        <f t="shared" si="90"/>
        <v>#N/A</v>
      </c>
      <c r="AF143" s="255" t="e">
        <f t="shared" si="91"/>
        <v>#N/A</v>
      </c>
      <c r="AG143" s="255" t="e">
        <f t="shared" si="92"/>
        <v>#N/A</v>
      </c>
      <c r="AI143" s="251">
        <f t="shared" si="95"/>
        <v>43777</v>
      </c>
      <c r="AJ143" s="718">
        <f>IF(OR($B143="No",AJ$6=""),"",IF(NOT(ISNUMBER(_xll.ciqfunctions.udf.CIQ(AJ$6,"IQ_TEV",$AI143,$I$2,$I$3))),"",_xll.ciqfunctions.udf.CIQ(AJ$6,"IQ_TEV",$AI143,$I$2,$I$3)))</f>
        <v>412571.29051999998</v>
      </c>
      <c r="AK143" s="718">
        <f>IF(OR($B143="No",AK$6=""),"",IF(NOT(ISNUMBER(_xll.ciqfunctions.udf.CIQ(AK$6,"IQ_TEV",$AI143,$I$2,$I$3))),"",_xll.ciqfunctions.udf.CIQ(AK$6,"IQ_TEV",$AI143,$I$2,$I$3)))</f>
        <v>131180.3175</v>
      </c>
      <c r="AL143" s="718" t="str">
        <f>IF(OR($B143="No",AL$6=""),"",IF(NOT(ISNUMBER(_xll.ciqfunctions.udf.CIQ(AL$6,"IQ_TEV",$AI143,$I$2,$I$3))),"",_xll.ciqfunctions.udf.CIQ(AL$6,"IQ_TEV",$AI143,$I$2,$I$3)))</f>
        <v/>
      </c>
      <c r="AM143" s="718" t="str">
        <f>IF(OR($B143="No",AM$6=""),"",IF(NOT(ISNUMBER(_xll.ciqfunctions.udf.CIQ(AM$6,"IQ_TEV",$AI143,$I$2,$I$3))),"",_xll.ciqfunctions.udf.CIQ(AM$6,"IQ_TEV",$AI143,$I$2,$I$3)))</f>
        <v/>
      </c>
      <c r="AN143" s="718" t="str">
        <f>IF(OR($B143="No",AN$6=""),"",IF(NOT(ISNUMBER(_xll.ciqfunctions.udf.CIQ(AN$6,"IQ_TEV",$AI143,$I$2,$I$3))),"",_xll.ciqfunctions.udf.CIQ(AN$6,"IQ_TEV",$AI143,$I$2,$I$3)))</f>
        <v/>
      </c>
      <c r="AO143" s="718" t="str">
        <f>IF(OR($B143="No",AO$6=""),"",IF(NOT(ISNUMBER(_xll.ciqfunctions.udf.CIQ(AO$6,"IQ_TEV",$AI143,$I$2,$I$3))),"",_xll.ciqfunctions.udf.CIQ(AO$6,"IQ_TEV",$AI143,$I$2,$I$3)))</f>
        <v/>
      </c>
      <c r="AP143" s="718" t="str">
        <f>IF(OR($B143="No",AP$6=""),"",IF(NOT(ISNUMBER(_xll.ciqfunctions.udf.CIQ(AP$6,"IQ_TEV",$AI143,$I$2,$I$3))),"",_xll.ciqfunctions.udf.CIQ(AP$6,"IQ_TEV",$AI143,$I$2,$I$3)))</f>
        <v/>
      </c>
      <c r="AQ143" s="718" t="str">
        <f>IF(OR($B143="No",AQ$6=""),"",IF(NOT(ISNUMBER(_xll.ciqfunctions.udf.CIQ(AQ$6,"IQ_TEV",$AI143,$I$2,$I$3))),"",_xll.ciqfunctions.udf.CIQ(AQ$6,"IQ_TEV",$AI143,$I$2,$I$3)))</f>
        <v/>
      </c>
      <c r="AR143" s="718" t="str">
        <f>IF(OR($B143="No",AR$6=""),"",IF(NOT(ISNUMBER(_xll.ciqfunctions.udf.CIQ(AR$6,"IQ_TEV",$AI143,$I$2,$I$3))),"",_xll.ciqfunctions.udf.CIQ(AR$6,"IQ_TEV",$AI143,$I$2,$I$3)))</f>
        <v/>
      </c>
      <c r="AS143" s="718" t="str">
        <f>IF(OR($B143="No",AS$6=""),"",IF(NOT(ISNUMBER(_xll.ciqfunctions.udf.CIQ(AS$6,"IQ_TEV",$AI143,$I$2,$I$3))),"",_xll.ciqfunctions.udf.CIQ(AS$6,"IQ_TEV",$AI143,$I$2,$I$3)))</f>
        <v/>
      </c>
      <c r="AT143" s="718" t="str">
        <f>IF(OR($B143="No",AT$6=""),"",IF(NOT(ISNUMBER(_xll.ciqfunctions.udf.CIQ(AT$6,"IQ_TEV",$AI143,$I$2,$I$3))),"",_xll.ciqfunctions.udf.CIQ(AT$6,"IQ_TEV",$AI143,$I$2,$I$3)))</f>
        <v/>
      </c>
      <c r="AV143" s="251">
        <f t="shared" si="99"/>
        <v>43777</v>
      </c>
      <c r="AW143" s="719">
        <f t="shared" si="100"/>
        <v>0.58038598941442232</v>
      </c>
      <c r="AX143" s="719">
        <f t="shared" si="101"/>
        <v>0.79736369967615461</v>
      </c>
      <c r="AY143" s="719" t="e">
        <f t="shared" si="102"/>
        <v>#N/A</v>
      </c>
      <c r="AZ143" s="719" t="e">
        <f t="shared" si="103"/>
        <v>#N/A</v>
      </c>
      <c r="BA143" s="719" t="e">
        <f t="shared" si="104"/>
        <v>#N/A</v>
      </c>
      <c r="BB143" s="719" t="e">
        <f t="shared" si="105"/>
        <v>#N/A</v>
      </c>
      <c r="BC143" s="719" t="e">
        <f t="shared" si="106"/>
        <v>#N/A</v>
      </c>
      <c r="BD143" s="719" t="e">
        <f t="shared" si="107"/>
        <v>#N/A</v>
      </c>
      <c r="BE143" s="719" t="e">
        <f t="shared" si="108"/>
        <v>#N/A</v>
      </c>
      <c r="BF143" s="719" t="e">
        <f t="shared" si="109"/>
        <v>#N/A</v>
      </c>
      <c r="BG143" s="719" t="e">
        <f t="shared" si="110"/>
        <v>#N/A</v>
      </c>
    </row>
    <row r="144" spans="1:59" ht="15" customHeight="1" x14ac:dyDescent="0.2">
      <c r="A144" s="251">
        <f t="shared" si="93"/>
        <v>43784</v>
      </c>
      <c r="B144" s="253" t="str">
        <f t="shared" si="111"/>
        <v>Yes</v>
      </c>
      <c r="C144" s="1033">
        <f>IF(C$6="","",IF(NOT(ISNUMBER(_xll.ciqfunctions.udf.CIQ(C$6,$F$2, $A144, $I$2, $I$3))),IF(C143=C$6,"",C143),_xll.ciqfunctions.udf.CIQ(C$6,$F$2, $A144, $I$2, $I$3)))</f>
        <v>118.87</v>
      </c>
      <c r="D144" s="1033">
        <f>IF(D$6="","",IF(NOT(ISNUMBER(_xll.ciqfunctions.udf.CIQ(D$6,$F$2, $A144, $I$2, $I$3))),IF(D143=D$6,"",D143),_xll.ciqfunctions.udf.CIQ(D$6,$F$2, $A144, $I$2, $I$3)))</f>
        <v>28004.888989999999</v>
      </c>
      <c r="E144" s="1033">
        <f>IF(E$6="","",IF(NOT(ISNUMBER(_xll.ciqfunctions.udf.CIQ(E$6,$F$2, $A144, $I$2, $I$3))),IF(E143=E$6,"",E143),_xll.ciqfunctions.udf.CIQ(E$6,$F$2, $A144, $I$2, $I$3)))</f>
        <v>9222.8688700000002</v>
      </c>
      <c r="F144" s="1033">
        <f>IF(F$6="","",IF(NOT(ISNUMBER(_xll.ciqfunctions.udf.CIQ(F$6,$F$2, $A144, $I$2, $I$3))),IF(F143=F$6,"",F143),_xll.ciqfunctions.udf.CIQ(F$6,$F$2, $A144, $I$2, $I$3)))</f>
        <v>4656.72894</v>
      </c>
      <c r="G144" s="1033">
        <f>IF(G$6="","",IF(NOT(ISNUMBER(_xll.ciqfunctions.udf.CIQ(G$6,$F$2, $A144, $I$2, $I$3))),IF(G143=G$6,"",G143),_xll.ciqfunctions.udf.CIQ(G$6,$F$2, $A144, $I$2, $I$3)))</f>
        <v>303.66000000000003</v>
      </c>
      <c r="H144" s="1033" t="str">
        <f>IF(H$6="","",IF(NOT(ISNUMBER(_xll.ciqfunctions.udf.CIQ(H$6,$F$2, $A144, $I$2, $I$3))),IF(H143=H$6,"",H143),_xll.ciqfunctions.udf.CIQ(H$6,$F$2, $A144, $I$2, $I$3)))</f>
        <v/>
      </c>
      <c r="I144" s="1033" t="str">
        <f>IF(I$6="","",IF(NOT(ISNUMBER(_xll.ciqfunctions.udf.CIQ(I$6,$F$2, $A144, $I$2, $I$3))),IF(I143=I$6,"",I143),_xll.ciqfunctions.udf.CIQ(I$6,$F$2, $A144, $I$2, $I$3)))</f>
        <v/>
      </c>
      <c r="J144" s="1033" t="str">
        <f>IF(J$6="","",IF(NOT(ISNUMBER(_xll.ciqfunctions.udf.CIQ(J$6,$F$2, $A144, $I$2, $I$3))),IF(J143=J$6,"",J143),_xll.ciqfunctions.udf.CIQ(J$6,$F$2, $A144, $I$2, $I$3)))</f>
        <v/>
      </c>
      <c r="K144" s="1033" t="str">
        <f>IF(K$6="","",IF(NOT(ISNUMBER(_xll.ciqfunctions.udf.CIQ(K$6,$F$2, $A144, $I$2, $I$3))),IF(K143=K$6,"",K143),_xll.ciqfunctions.udf.CIQ(K$6,$F$2, $A144, $I$2, $I$3)))</f>
        <v/>
      </c>
      <c r="L144" s="254" t="str">
        <f>IF(L$6="","",IF(NOT(ISNUMBER(_xll.ciqfunctions.udf.CIQ(L$6,$F$2, $A144, $I$2, $I$3))),IF(L143=L$6,"",L143),_xll.ciqfunctions.udf.CIQ(L$6,$F$2, $A144, $I$2, $I$3)))</f>
        <v/>
      </c>
      <c r="M144" s="254" t="str">
        <f>IF(M$6="","",IF(NOT(ISNUMBER(_xll.ciqfunctions.udf.CIQ(M$6,$F$2, $A144, $I$2, $I$3))),IF(M143=M$6,"",M143),_xll.ciqfunctions.udf.CIQ(M$6,$F$2, $A144, $I$2, $I$3)))</f>
        <v/>
      </c>
      <c r="N144" s="254" t="str">
        <f>IF(N$6="","",IF(NOT(ISNUMBER(_xll.ciqfunctions.udf.CIQ(N$6,$F$2, $A144, $I$2, $I$3))),IF(N143=N$6,"",N143),_xll.ciqfunctions.udf.CIQ(N$6,$F$2, $A144, $I$2, $I$3)))</f>
        <v/>
      </c>
      <c r="O144" s="254" t="str">
        <f>IF(O$6="","",IF(NOT(ISNUMBER(_xll.ciqfunctions.udf.CIQ(O$6,$F$2, $A144, $I$2, $I$3))),IF(O143=O$6,"",O143),_xll.ciqfunctions.udf.CIQ(O$6,$F$2, $A144, $I$2, $I$3)))</f>
        <v/>
      </c>
      <c r="P144" s="254" t="str">
        <f>IF(P$6="","",IF(NOT(ISNUMBER(_xll.ciqfunctions.udf.CIQ(P$6,$F$2, $A144, $I$2, $I$3))),IF(P143=P$6,"",P143),_xll.ciqfunctions.udf.CIQ(P$6,$F$2, $A144, $I$2, $I$3)))</f>
        <v/>
      </c>
      <c r="Q144" s="254"/>
      <c r="R144" s="251">
        <f t="shared" si="94"/>
        <v>43784</v>
      </c>
      <c r="S144" s="255">
        <f t="shared" si="96"/>
        <v>0.64913984461709218</v>
      </c>
      <c r="T144" s="255">
        <f t="shared" si="97"/>
        <v>0.35530123346606635</v>
      </c>
      <c r="U144" s="255">
        <f t="shared" si="98"/>
        <v>0.28886243201323469</v>
      </c>
      <c r="V144" s="255">
        <f t="shared" si="112"/>
        <v>6.0822300406893515E-2</v>
      </c>
      <c r="W144" s="255">
        <f t="array" ref="W144">IFERROR(AVERAGE(IF(ISERROR(X144:AG144),"",X144:AG144)),"")</f>
        <v>0.81084143359771033</v>
      </c>
      <c r="X144" s="255">
        <f t="shared" si="113"/>
        <v>0.81084143359771033</v>
      </c>
      <c r="Y144" s="255" t="e">
        <f t="shared" si="84"/>
        <v>#N/A</v>
      </c>
      <c r="Z144" s="255" t="e">
        <f t="shared" si="85"/>
        <v>#N/A</v>
      </c>
      <c r="AA144" s="255" t="e">
        <f t="shared" si="86"/>
        <v>#N/A</v>
      </c>
      <c r="AB144" s="255" t="e">
        <f t="shared" si="87"/>
        <v>#N/A</v>
      </c>
      <c r="AC144" s="255" t="e">
        <f t="shared" si="88"/>
        <v>#N/A</v>
      </c>
      <c r="AD144" s="255" t="e">
        <f t="shared" si="89"/>
        <v>#N/A</v>
      </c>
      <c r="AE144" s="255" t="e">
        <f t="shared" si="90"/>
        <v>#N/A</v>
      </c>
      <c r="AF144" s="255" t="e">
        <f t="shared" si="91"/>
        <v>#N/A</v>
      </c>
      <c r="AG144" s="255" t="e">
        <f t="shared" si="92"/>
        <v>#N/A</v>
      </c>
      <c r="AI144" s="251">
        <f t="shared" si="95"/>
        <v>43784</v>
      </c>
      <c r="AJ144" s="718">
        <f>IF(OR($B144="No",AJ$6=""),"",IF(NOT(ISNUMBER(_xll.ciqfunctions.udf.CIQ(AJ$6,"IQ_TEV",$AI144,$I$2,$I$3))),"",_xll.ciqfunctions.udf.CIQ(AJ$6,"IQ_TEV",$AI144,$I$2,$I$3)))</f>
        <v>412100.04859000002</v>
      </c>
      <c r="AK144" s="718">
        <f>IF(OR($B144="No",AK$6=""),"",IF(NOT(ISNUMBER(_xll.ciqfunctions.udf.CIQ(AK$6,"IQ_TEV",$AI144,$I$2,$I$3))),"",_xll.ciqfunctions.udf.CIQ(AK$6,"IQ_TEV",$AI144,$I$2,$I$3)))</f>
        <v>131637.5275</v>
      </c>
      <c r="AL144" s="718" t="str">
        <f>IF(OR($B144="No",AL$6=""),"",IF(NOT(ISNUMBER(_xll.ciqfunctions.udf.CIQ(AL$6,"IQ_TEV",$AI144,$I$2,$I$3))),"",_xll.ciqfunctions.udf.CIQ(AL$6,"IQ_TEV",$AI144,$I$2,$I$3)))</f>
        <v/>
      </c>
      <c r="AM144" s="718" t="str">
        <f>IF(OR($B144="No",AM$6=""),"",IF(NOT(ISNUMBER(_xll.ciqfunctions.udf.CIQ(AM$6,"IQ_TEV",$AI144,$I$2,$I$3))),"",_xll.ciqfunctions.udf.CIQ(AM$6,"IQ_TEV",$AI144,$I$2,$I$3)))</f>
        <v/>
      </c>
      <c r="AN144" s="718" t="str">
        <f>IF(OR($B144="No",AN$6=""),"",IF(NOT(ISNUMBER(_xll.ciqfunctions.udf.CIQ(AN$6,"IQ_TEV",$AI144,$I$2,$I$3))),"",_xll.ciqfunctions.udf.CIQ(AN$6,"IQ_TEV",$AI144,$I$2,$I$3)))</f>
        <v/>
      </c>
      <c r="AO144" s="718" t="str">
        <f>IF(OR($B144="No",AO$6=""),"",IF(NOT(ISNUMBER(_xll.ciqfunctions.udf.CIQ(AO$6,"IQ_TEV",$AI144,$I$2,$I$3))),"",_xll.ciqfunctions.udf.CIQ(AO$6,"IQ_TEV",$AI144,$I$2,$I$3)))</f>
        <v/>
      </c>
      <c r="AP144" s="718" t="str">
        <f>IF(OR($B144="No",AP$6=""),"",IF(NOT(ISNUMBER(_xll.ciqfunctions.udf.CIQ(AP$6,"IQ_TEV",$AI144,$I$2,$I$3))),"",_xll.ciqfunctions.udf.CIQ(AP$6,"IQ_TEV",$AI144,$I$2,$I$3)))</f>
        <v/>
      </c>
      <c r="AQ144" s="718" t="str">
        <f>IF(OR($B144="No",AQ$6=""),"",IF(NOT(ISNUMBER(_xll.ciqfunctions.udf.CIQ(AQ$6,"IQ_TEV",$AI144,$I$2,$I$3))),"",_xll.ciqfunctions.udf.CIQ(AQ$6,"IQ_TEV",$AI144,$I$2,$I$3)))</f>
        <v/>
      </c>
      <c r="AR144" s="718" t="str">
        <f>IF(OR($B144="No",AR$6=""),"",IF(NOT(ISNUMBER(_xll.ciqfunctions.udf.CIQ(AR$6,"IQ_TEV",$AI144,$I$2,$I$3))),"",_xll.ciqfunctions.udf.CIQ(AR$6,"IQ_TEV",$AI144,$I$2,$I$3)))</f>
        <v/>
      </c>
      <c r="AS144" s="718" t="str">
        <f>IF(OR($B144="No",AS$6=""),"",IF(NOT(ISNUMBER(_xll.ciqfunctions.udf.CIQ(AS$6,"IQ_TEV",$AI144,$I$2,$I$3))),"",_xll.ciqfunctions.udf.CIQ(AS$6,"IQ_TEV",$AI144,$I$2,$I$3)))</f>
        <v/>
      </c>
      <c r="AT144" s="718" t="str">
        <f>IF(OR($B144="No",AT$6=""),"",IF(NOT(ISNUMBER(_xll.ciqfunctions.udf.CIQ(AT$6,"IQ_TEV",$AI144,$I$2,$I$3))),"",_xll.ciqfunctions.udf.CIQ(AT$6,"IQ_TEV",$AI144,$I$2,$I$3)))</f>
        <v/>
      </c>
      <c r="AV144" s="251">
        <f t="shared" si="99"/>
        <v>43784</v>
      </c>
      <c r="AW144" s="719">
        <f t="shared" si="100"/>
        <v>0.57858086103804429</v>
      </c>
      <c r="AX144" s="719">
        <f t="shared" si="101"/>
        <v>0.80362815056932235</v>
      </c>
      <c r="AY144" s="719" t="e">
        <f t="shared" si="102"/>
        <v>#N/A</v>
      </c>
      <c r="AZ144" s="719" t="e">
        <f t="shared" si="103"/>
        <v>#N/A</v>
      </c>
      <c r="BA144" s="719" t="e">
        <f t="shared" si="104"/>
        <v>#N/A</v>
      </c>
      <c r="BB144" s="719" t="e">
        <f t="shared" si="105"/>
        <v>#N/A</v>
      </c>
      <c r="BC144" s="719" t="e">
        <f t="shared" si="106"/>
        <v>#N/A</v>
      </c>
      <c r="BD144" s="719" t="e">
        <f t="shared" si="107"/>
        <v>#N/A</v>
      </c>
      <c r="BE144" s="719" t="e">
        <f t="shared" si="108"/>
        <v>#N/A</v>
      </c>
      <c r="BF144" s="719" t="e">
        <f t="shared" si="109"/>
        <v>#N/A</v>
      </c>
      <c r="BG144" s="719" t="e">
        <f t="shared" si="110"/>
        <v>#N/A</v>
      </c>
    </row>
    <row r="145" spans="1:59" ht="15" customHeight="1" x14ac:dyDescent="0.2">
      <c r="A145" s="251">
        <f t="shared" si="93"/>
        <v>43791</v>
      </c>
      <c r="B145" s="253" t="str">
        <f t="shared" si="111"/>
        <v>Yes</v>
      </c>
      <c r="C145" s="1033">
        <f>IF(C$6="","",IF(NOT(ISNUMBER(_xll.ciqfunctions.udf.CIQ(C$6,$F$2, $A145, $I$2, $I$3))),IF(C144=C$6,"",C144),_xll.ciqfunctions.udf.CIQ(C$6,$F$2, $A145, $I$2, $I$3)))</f>
        <v>119.36</v>
      </c>
      <c r="D145" s="1033">
        <f>IF(D$6="","",IF(NOT(ISNUMBER(_xll.ciqfunctions.udf.CIQ(D$6,$F$2, $A145, $I$2, $I$3))),IF(D144=D$6,"",D144),_xll.ciqfunctions.udf.CIQ(D$6,$F$2, $A145, $I$2, $I$3)))</f>
        <v>27875.621050000002</v>
      </c>
      <c r="E145" s="1033">
        <f>IF(E$6="","",IF(NOT(ISNUMBER(_xll.ciqfunctions.udf.CIQ(E$6,$F$2, $A145, $I$2, $I$3))),IF(E144=E$6,"",E144),_xll.ciqfunctions.udf.CIQ(E$6,$F$2, $A145, $I$2, $I$3)))</f>
        <v>9183.8649100000002</v>
      </c>
      <c r="F145" s="1033">
        <f>IF(F$6="","",IF(NOT(ISNUMBER(_xll.ciqfunctions.udf.CIQ(F$6,$F$2, $A145, $I$2, $I$3))),IF(F144=F$6,"",F144),_xll.ciqfunctions.udf.CIQ(F$6,$F$2, $A145, $I$2, $I$3)))</f>
        <v>4546.0778899999996</v>
      </c>
      <c r="G145" s="1033">
        <f>IF(G$6="","",IF(NOT(ISNUMBER(_xll.ciqfunctions.udf.CIQ(G$6,$F$2, $A145, $I$2, $I$3))),IF(G144=G$6,"",G144),_xll.ciqfunctions.udf.CIQ(G$6,$F$2, $A145, $I$2, $I$3)))</f>
        <v>299.31</v>
      </c>
      <c r="H145" s="1033" t="str">
        <f>IF(H$6="","",IF(NOT(ISNUMBER(_xll.ciqfunctions.udf.CIQ(H$6,$F$2, $A145, $I$2, $I$3))),IF(H144=H$6,"",H144),_xll.ciqfunctions.udf.CIQ(H$6,$F$2, $A145, $I$2, $I$3)))</f>
        <v/>
      </c>
      <c r="I145" s="1033" t="str">
        <f>IF(I$6="","",IF(NOT(ISNUMBER(_xll.ciqfunctions.udf.CIQ(I$6,$F$2, $A145, $I$2, $I$3))),IF(I144=I$6,"",I144),_xll.ciqfunctions.udf.CIQ(I$6,$F$2, $A145, $I$2, $I$3)))</f>
        <v/>
      </c>
      <c r="J145" s="1033" t="str">
        <f>IF(J$6="","",IF(NOT(ISNUMBER(_xll.ciqfunctions.udf.CIQ(J$6,$F$2, $A145, $I$2, $I$3))),IF(J144=J$6,"",J144),_xll.ciqfunctions.udf.CIQ(J$6,$F$2, $A145, $I$2, $I$3)))</f>
        <v/>
      </c>
      <c r="K145" s="1033" t="str">
        <f>IF(K$6="","",IF(NOT(ISNUMBER(_xll.ciqfunctions.udf.CIQ(K$6,$F$2, $A145, $I$2, $I$3))),IF(K144=K$6,"",K144),_xll.ciqfunctions.udf.CIQ(K$6,$F$2, $A145, $I$2, $I$3)))</f>
        <v/>
      </c>
      <c r="L145" s="254" t="str">
        <f>IF(L$6="","",IF(NOT(ISNUMBER(_xll.ciqfunctions.udf.CIQ(L$6,$F$2, $A145, $I$2, $I$3))),IF(L144=L$6,"",L144),_xll.ciqfunctions.udf.CIQ(L$6,$F$2, $A145, $I$2, $I$3)))</f>
        <v/>
      </c>
      <c r="M145" s="254" t="str">
        <f>IF(M$6="","",IF(NOT(ISNUMBER(_xll.ciqfunctions.udf.CIQ(M$6,$F$2, $A145, $I$2, $I$3))),IF(M144=M$6,"",M144),_xll.ciqfunctions.udf.CIQ(M$6,$F$2, $A145, $I$2, $I$3)))</f>
        <v/>
      </c>
      <c r="N145" s="254" t="str">
        <f>IF(N$6="","",IF(NOT(ISNUMBER(_xll.ciqfunctions.udf.CIQ(N$6,$F$2, $A145, $I$2, $I$3))),IF(N144=N$6,"",N144),_xll.ciqfunctions.udf.CIQ(N$6,$F$2, $A145, $I$2, $I$3)))</f>
        <v/>
      </c>
      <c r="O145" s="254" t="str">
        <f>IF(O$6="","",IF(NOT(ISNUMBER(_xll.ciqfunctions.udf.CIQ(O$6,$F$2, $A145, $I$2, $I$3))),IF(O144=O$6,"",O144),_xll.ciqfunctions.udf.CIQ(O$6,$F$2, $A145, $I$2, $I$3)))</f>
        <v/>
      </c>
      <c r="P145" s="254" t="str">
        <f>IF(P$6="","",IF(NOT(ISNUMBER(_xll.ciqfunctions.udf.CIQ(P$6,$F$2, $A145, $I$2, $I$3))),IF(P144=P$6,"",P144),_xll.ciqfunctions.udf.CIQ(P$6,$F$2, $A145, $I$2, $I$3)))</f>
        <v/>
      </c>
      <c r="Q145" s="254"/>
      <c r="R145" s="251">
        <f t="shared" si="94"/>
        <v>43791</v>
      </c>
      <c r="S145" s="255">
        <f t="shared" si="96"/>
        <v>0.65593784683684797</v>
      </c>
      <c r="T145" s="255">
        <f t="shared" si="97"/>
        <v>0.34904529013445118</v>
      </c>
      <c r="U145" s="255">
        <f t="shared" si="98"/>
        <v>0.28341177024493525</v>
      </c>
      <c r="V145" s="255">
        <f t="shared" si="112"/>
        <v>3.5615529105440302E-2</v>
      </c>
      <c r="W145" s="255">
        <f t="array" ref="W145">IFERROR(AVERAGE(IF(ISERROR(X145:AG145),"",X145:AG145)),"")</f>
        <v>0.78490070964279335</v>
      </c>
      <c r="X145" s="255">
        <f t="shared" si="113"/>
        <v>0.78490070964279335</v>
      </c>
      <c r="Y145" s="255" t="e">
        <f t="shared" si="84"/>
        <v>#N/A</v>
      </c>
      <c r="Z145" s="255" t="e">
        <f t="shared" si="85"/>
        <v>#N/A</v>
      </c>
      <c r="AA145" s="255" t="e">
        <f t="shared" si="86"/>
        <v>#N/A</v>
      </c>
      <c r="AB145" s="255" t="e">
        <f t="shared" si="87"/>
        <v>#N/A</v>
      </c>
      <c r="AC145" s="255" t="e">
        <f t="shared" si="88"/>
        <v>#N/A</v>
      </c>
      <c r="AD145" s="255" t="e">
        <f t="shared" si="89"/>
        <v>#N/A</v>
      </c>
      <c r="AE145" s="255" t="e">
        <f t="shared" si="90"/>
        <v>#N/A</v>
      </c>
      <c r="AF145" s="255" t="e">
        <f t="shared" si="91"/>
        <v>#N/A</v>
      </c>
      <c r="AG145" s="255" t="e">
        <f t="shared" si="92"/>
        <v>#N/A</v>
      </c>
      <c r="AI145" s="251">
        <f t="shared" si="95"/>
        <v>43791</v>
      </c>
      <c r="AJ145" s="718">
        <f>IF(OR($B145="No",AJ$6=""),"",IF(NOT(ISNUMBER(_xll.ciqfunctions.udf.CIQ(AJ$6,"IQ_TEV",$AI145,$I$2,$I$3))),"",_xll.ciqfunctions.udf.CIQ(AJ$6,"IQ_TEV",$AI145,$I$2,$I$3)))</f>
        <v>413493.74778999999</v>
      </c>
      <c r="AK145" s="718">
        <f>IF(OR($B145="No",AK$6=""),"",IF(NOT(ISNUMBER(_xll.ciqfunctions.udf.CIQ(AK$6,"IQ_TEV",$AI145,$I$2,$I$3))),"",_xll.ciqfunctions.udf.CIQ(AK$6,"IQ_TEV",$AI145,$I$2,$I$3)))</f>
        <v>129725.15875</v>
      </c>
      <c r="AL145" s="718" t="str">
        <f>IF(OR($B145="No",AL$6=""),"",IF(NOT(ISNUMBER(_xll.ciqfunctions.udf.CIQ(AL$6,"IQ_TEV",$AI145,$I$2,$I$3))),"",_xll.ciqfunctions.udf.CIQ(AL$6,"IQ_TEV",$AI145,$I$2,$I$3)))</f>
        <v/>
      </c>
      <c r="AM145" s="718" t="str">
        <f>IF(OR($B145="No",AM$6=""),"",IF(NOT(ISNUMBER(_xll.ciqfunctions.udf.CIQ(AM$6,"IQ_TEV",$AI145,$I$2,$I$3))),"",_xll.ciqfunctions.udf.CIQ(AM$6,"IQ_TEV",$AI145,$I$2,$I$3)))</f>
        <v/>
      </c>
      <c r="AN145" s="718" t="str">
        <f>IF(OR($B145="No",AN$6=""),"",IF(NOT(ISNUMBER(_xll.ciqfunctions.udf.CIQ(AN$6,"IQ_TEV",$AI145,$I$2,$I$3))),"",_xll.ciqfunctions.udf.CIQ(AN$6,"IQ_TEV",$AI145,$I$2,$I$3)))</f>
        <v/>
      </c>
      <c r="AO145" s="718" t="str">
        <f>IF(OR($B145="No",AO$6=""),"",IF(NOT(ISNUMBER(_xll.ciqfunctions.udf.CIQ(AO$6,"IQ_TEV",$AI145,$I$2,$I$3))),"",_xll.ciqfunctions.udf.CIQ(AO$6,"IQ_TEV",$AI145,$I$2,$I$3)))</f>
        <v/>
      </c>
      <c r="AP145" s="718" t="str">
        <f>IF(OR($B145="No",AP$6=""),"",IF(NOT(ISNUMBER(_xll.ciqfunctions.udf.CIQ(AP$6,"IQ_TEV",$AI145,$I$2,$I$3))),"",_xll.ciqfunctions.udf.CIQ(AP$6,"IQ_TEV",$AI145,$I$2,$I$3)))</f>
        <v/>
      </c>
      <c r="AQ145" s="718" t="str">
        <f>IF(OR($B145="No",AQ$6=""),"",IF(NOT(ISNUMBER(_xll.ciqfunctions.udf.CIQ(AQ$6,"IQ_TEV",$AI145,$I$2,$I$3))),"",_xll.ciqfunctions.udf.CIQ(AQ$6,"IQ_TEV",$AI145,$I$2,$I$3)))</f>
        <v/>
      </c>
      <c r="AR145" s="718" t="str">
        <f>IF(OR($B145="No",AR$6=""),"",IF(NOT(ISNUMBER(_xll.ciqfunctions.udf.CIQ(AR$6,"IQ_TEV",$AI145,$I$2,$I$3))),"",_xll.ciqfunctions.udf.CIQ(AR$6,"IQ_TEV",$AI145,$I$2,$I$3)))</f>
        <v/>
      </c>
      <c r="AS145" s="718" t="str">
        <f>IF(OR($B145="No",AS$6=""),"",IF(NOT(ISNUMBER(_xll.ciqfunctions.udf.CIQ(AS$6,"IQ_TEV",$AI145,$I$2,$I$3))),"",_xll.ciqfunctions.udf.CIQ(AS$6,"IQ_TEV",$AI145,$I$2,$I$3)))</f>
        <v/>
      </c>
      <c r="AT145" s="718" t="str">
        <f>IF(OR($B145="No",AT$6=""),"",IF(NOT(ISNUMBER(_xll.ciqfunctions.udf.CIQ(AT$6,"IQ_TEV",$AI145,$I$2,$I$3))),"",_xll.ciqfunctions.udf.CIQ(AT$6,"IQ_TEV",$AI145,$I$2,$I$3)))</f>
        <v/>
      </c>
      <c r="AV145" s="251">
        <f t="shared" si="99"/>
        <v>43791</v>
      </c>
      <c r="AW145" s="719">
        <f t="shared" si="100"/>
        <v>0.58391953277732589</v>
      </c>
      <c r="AX145" s="719">
        <f t="shared" si="101"/>
        <v>0.77742588000655255</v>
      </c>
      <c r="AY145" s="719" t="e">
        <f t="shared" si="102"/>
        <v>#N/A</v>
      </c>
      <c r="AZ145" s="719" t="e">
        <f t="shared" si="103"/>
        <v>#N/A</v>
      </c>
      <c r="BA145" s="719" t="e">
        <f t="shared" si="104"/>
        <v>#N/A</v>
      </c>
      <c r="BB145" s="719" t="e">
        <f t="shared" si="105"/>
        <v>#N/A</v>
      </c>
      <c r="BC145" s="719" t="e">
        <f t="shared" si="106"/>
        <v>#N/A</v>
      </c>
      <c r="BD145" s="719" t="e">
        <f t="shared" si="107"/>
        <v>#N/A</v>
      </c>
      <c r="BE145" s="719" t="e">
        <f t="shared" si="108"/>
        <v>#N/A</v>
      </c>
      <c r="BF145" s="719" t="e">
        <f t="shared" si="109"/>
        <v>#N/A</v>
      </c>
      <c r="BG145" s="719" t="e">
        <f t="shared" si="110"/>
        <v>#N/A</v>
      </c>
    </row>
    <row r="146" spans="1:59" ht="15" customHeight="1" x14ac:dyDescent="0.2">
      <c r="A146" s="251">
        <f t="shared" si="93"/>
        <v>43798</v>
      </c>
      <c r="B146" s="253" t="str">
        <f t="shared" si="111"/>
        <v>Yes</v>
      </c>
      <c r="C146" s="1033">
        <f>IF(C$6="","",IF(NOT(ISNUMBER(_xll.ciqfunctions.udf.CIQ(C$6,$F$2, $A146, $I$2, $I$3))),IF(C145=C$6,"",C145),_xll.ciqfunctions.udf.CIQ(C$6,$F$2, $A146, $I$2, $I$3)))</f>
        <v>119.09</v>
      </c>
      <c r="D146" s="1033">
        <f>IF(D$6="","",IF(NOT(ISNUMBER(_xll.ciqfunctions.udf.CIQ(D$6,$F$2, $A146, $I$2, $I$3))),IF(D145=D$6,"",D145),_xll.ciqfunctions.udf.CIQ(D$6,$F$2, $A146, $I$2, $I$3)))</f>
        <v>28051.4146</v>
      </c>
      <c r="E146" s="1033">
        <f>IF(E$6="","",IF(NOT(ISNUMBER(_xll.ciqfunctions.udf.CIQ(E$6,$F$2, $A146, $I$2, $I$3))),IF(E145=E$6,"",E145),_xll.ciqfunctions.udf.CIQ(E$6,$F$2, $A146, $I$2, $I$3)))</f>
        <v>9233.7479700000004</v>
      </c>
      <c r="F146" s="1033">
        <f>IF(F$6="","",IF(NOT(ISNUMBER(_xll.ciqfunctions.udf.CIQ(F$6,$F$2, $A146, $I$2, $I$3))),IF(F145=F$6,"",F145),_xll.ciqfunctions.udf.CIQ(F$6,$F$2, $A146, $I$2, $I$3)))</f>
        <v>4634.2496000000001</v>
      </c>
      <c r="G146" s="1033">
        <f>IF(G$6="","",IF(NOT(ISNUMBER(_xll.ciqfunctions.udf.CIQ(G$6,$F$2, $A146, $I$2, $I$3))),IF(G145=G$6,"",G145),_xll.ciqfunctions.udf.CIQ(G$6,$F$2, $A146, $I$2, $I$3)))</f>
        <v>299.81</v>
      </c>
      <c r="H146" s="1033" t="str">
        <f>IF(H$6="","",IF(NOT(ISNUMBER(_xll.ciqfunctions.udf.CIQ(H$6,$F$2, $A146, $I$2, $I$3))),IF(H145=H$6,"",H145),_xll.ciqfunctions.udf.CIQ(H$6,$F$2, $A146, $I$2, $I$3)))</f>
        <v/>
      </c>
      <c r="I146" s="1033" t="str">
        <f>IF(I$6="","",IF(NOT(ISNUMBER(_xll.ciqfunctions.udf.CIQ(I$6,$F$2, $A146, $I$2, $I$3))),IF(I145=I$6,"",I145),_xll.ciqfunctions.udf.CIQ(I$6,$F$2, $A146, $I$2, $I$3)))</f>
        <v/>
      </c>
      <c r="J146" s="1033" t="str">
        <f>IF(J$6="","",IF(NOT(ISNUMBER(_xll.ciqfunctions.udf.CIQ(J$6,$F$2, $A146, $I$2, $I$3))),IF(J145=J$6,"",J145),_xll.ciqfunctions.udf.CIQ(J$6,$F$2, $A146, $I$2, $I$3)))</f>
        <v/>
      </c>
      <c r="K146" s="1033" t="str">
        <f>IF(K$6="","",IF(NOT(ISNUMBER(_xll.ciqfunctions.udf.CIQ(K$6,$F$2, $A146, $I$2, $I$3))),IF(K145=K$6,"",K145),_xll.ciqfunctions.udf.CIQ(K$6,$F$2, $A146, $I$2, $I$3)))</f>
        <v/>
      </c>
      <c r="L146" s="254" t="str">
        <f>IF(L$6="","",IF(NOT(ISNUMBER(_xll.ciqfunctions.udf.CIQ(L$6,$F$2, $A146, $I$2, $I$3))),IF(L145=L$6,"",L145),_xll.ciqfunctions.udf.CIQ(L$6,$F$2, $A146, $I$2, $I$3)))</f>
        <v/>
      </c>
      <c r="M146" s="254" t="str">
        <f>IF(M$6="","",IF(NOT(ISNUMBER(_xll.ciqfunctions.udf.CIQ(M$6,$F$2, $A146, $I$2, $I$3))),IF(M145=M$6,"",M145),_xll.ciqfunctions.udf.CIQ(M$6,$F$2, $A146, $I$2, $I$3)))</f>
        <v/>
      </c>
      <c r="N146" s="254" t="str">
        <f>IF(N$6="","",IF(NOT(ISNUMBER(_xll.ciqfunctions.udf.CIQ(N$6,$F$2, $A146, $I$2, $I$3))),IF(N145=N$6,"",N145),_xll.ciqfunctions.udf.CIQ(N$6,$F$2, $A146, $I$2, $I$3)))</f>
        <v/>
      </c>
      <c r="O146" s="254" t="str">
        <f>IF(O$6="","",IF(NOT(ISNUMBER(_xll.ciqfunctions.udf.CIQ(O$6,$F$2, $A146, $I$2, $I$3))),IF(O145=O$6,"",O145),_xll.ciqfunctions.udf.CIQ(O$6,$F$2, $A146, $I$2, $I$3)))</f>
        <v/>
      </c>
      <c r="P146" s="254" t="str">
        <f>IF(P$6="","",IF(NOT(ISNUMBER(_xll.ciqfunctions.udf.CIQ(P$6,$F$2, $A146, $I$2, $I$3))),IF(P145=P$6,"",P145),_xll.ciqfunctions.udf.CIQ(P$6,$F$2, $A146, $I$2, $I$3)))</f>
        <v/>
      </c>
      <c r="Q146" s="254"/>
      <c r="R146" s="251">
        <f t="shared" si="94"/>
        <v>43798</v>
      </c>
      <c r="S146" s="255">
        <f t="shared" si="96"/>
        <v>0.6521920088790234</v>
      </c>
      <c r="T146" s="255">
        <f t="shared" si="97"/>
        <v>0.35755284805533605</v>
      </c>
      <c r="U146" s="255">
        <f t="shared" si="98"/>
        <v>0.2903827467311122</v>
      </c>
      <c r="V146" s="255">
        <f t="shared" si="112"/>
        <v>5.5701412874533007E-2</v>
      </c>
      <c r="W146" s="255">
        <f t="array" ref="W146">IFERROR(AVERAGE(IF(ISERROR(X146:AG146),"",X146:AG146)),"")</f>
        <v>0.78788240205140436</v>
      </c>
      <c r="X146" s="255">
        <f t="shared" si="113"/>
        <v>0.78788240205140436</v>
      </c>
      <c r="Y146" s="255" t="e">
        <f t="shared" si="84"/>
        <v>#N/A</v>
      </c>
      <c r="Z146" s="255" t="e">
        <f t="shared" si="85"/>
        <v>#N/A</v>
      </c>
      <c r="AA146" s="255" t="e">
        <f t="shared" si="86"/>
        <v>#N/A</v>
      </c>
      <c r="AB146" s="255" t="e">
        <f t="shared" si="87"/>
        <v>#N/A</v>
      </c>
      <c r="AC146" s="255" t="e">
        <f t="shared" si="88"/>
        <v>#N/A</v>
      </c>
      <c r="AD146" s="255" t="e">
        <f t="shared" si="89"/>
        <v>#N/A</v>
      </c>
      <c r="AE146" s="255" t="e">
        <f t="shared" si="90"/>
        <v>#N/A</v>
      </c>
      <c r="AF146" s="255" t="e">
        <f t="shared" si="91"/>
        <v>#N/A</v>
      </c>
      <c r="AG146" s="255" t="e">
        <f t="shared" si="92"/>
        <v>#N/A</v>
      </c>
      <c r="AI146" s="251">
        <f t="shared" si="95"/>
        <v>43798</v>
      </c>
      <c r="AJ146" s="718">
        <f>IF(OR($B146="No",AJ$6=""),"",IF(NOT(ISNUMBER(_xll.ciqfunctions.udf.CIQ(AJ$6,"IQ_TEV",$AI146,$I$2,$I$3))),"",_xll.ciqfunctions.udf.CIQ(AJ$6,"IQ_TEV",$AI146,$I$2,$I$3)))</f>
        <v>412725.79109000001</v>
      </c>
      <c r="AK146" s="718">
        <f>IF(OR($B146="No",AK$6=""),"",IF(NOT(ISNUMBER(_xll.ciqfunctions.udf.CIQ(AK$6,"IQ_TEV",$AI146,$I$2,$I$3))),"",_xll.ciqfunctions.udf.CIQ(AK$6,"IQ_TEV",$AI146,$I$2,$I$3)))</f>
        <v>130592.39086</v>
      </c>
      <c r="AL146" s="718" t="str">
        <f>IF(OR($B146="No",AL$6=""),"",IF(NOT(ISNUMBER(_xll.ciqfunctions.udf.CIQ(AL$6,"IQ_TEV",$AI146,$I$2,$I$3))),"",_xll.ciqfunctions.udf.CIQ(AL$6,"IQ_TEV",$AI146,$I$2,$I$3)))</f>
        <v/>
      </c>
      <c r="AM146" s="718" t="str">
        <f>IF(OR($B146="No",AM$6=""),"",IF(NOT(ISNUMBER(_xll.ciqfunctions.udf.CIQ(AM$6,"IQ_TEV",$AI146,$I$2,$I$3))),"",_xll.ciqfunctions.udf.CIQ(AM$6,"IQ_TEV",$AI146,$I$2,$I$3)))</f>
        <v/>
      </c>
      <c r="AN146" s="718" t="str">
        <f>IF(OR($B146="No",AN$6=""),"",IF(NOT(ISNUMBER(_xll.ciqfunctions.udf.CIQ(AN$6,"IQ_TEV",$AI146,$I$2,$I$3))),"",_xll.ciqfunctions.udf.CIQ(AN$6,"IQ_TEV",$AI146,$I$2,$I$3)))</f>
        <v/>
      </c>
      <c r="AO146" s="718" t="str">
        <f>IF(OR($B146="No",AO$6=""),"",IF(NOT(ISNUMBER(_xll.ciqfunctions.udf.CIQ(AO$6,"IQ_TEV",$AI146,$I$2,$I$3))),"",_xll.ciqfunctions.udf.CIQ(AO$6,"IQ_TEV",$AI146,$I$2,$I$3)))</f>
        <v/>
      </c>
      <c r="AP146" s="718" t="str">
        <f>IF(OR($B146="No",AP$6=""),"",IF(NOT(ISNUMBER(_xll.ciqfunctions.udf.CIQ(AP$6,"IQ_TEV",$AI146,$I$2,$I$3))),"",_xll.ciqfunctions.udf.CIQ(AP$6,"IQ_TEV",$AI146,$I$2,$I$3)))</f>
        <v/>
      </c>
      <c r="AQ146" s="718" t="str">
        <f>IF(OR($B146="No",AQ$6=""),"",IF(NOT(ISNUMBER(_xll.ciqfunctions.udf.CIQ(AQ$6,"IQ_TEV",$AI146,$I$2,$I$3))),"",_xll.ciqfunctions.udf.CIQ(AQ$6,"IQ_TEV",$AI146,$I$2,$I$3)))</f>
        <v/>
      </c>
      <c r="AR146" s="718" t="str">
        <f>IF(OR($B146="No",AR$6=""),"",IF(NOT(ISNUMBER(_xll.ciqfunctions.udf.CIQ(AR$6,"IQ_TEV",$AI146,$I$2,$I$3))),"",_xll.ciqfunctions.udf.CIQ(AR$6,"IQ_TEV",$AI146,$I$2,$I$3)))</f>
        <v/>
      </c>
      <c r="AS146" s="718" t="str">
        <f>IF(OR($B146="No",AS$6=""),"",IF(NOT(ISNUMBER(_xll.ciqfunctions.udf.CIQ(AS$6,"IQ_TEV",$AI146,$I$2,$I$3))),"",_xll.ciqfunctions.udf.CIQ(AS$6,"IQ_TEV",$AI146,$I$2,$I$3)))</f>
        <v/>
      </c>
      <c r="AT146" s="718" t="str">
        <f>IF(OR($B146="No",AT$6=""),"",IF(NOT(ISNUMBER(_xll.ciqfunctions.udf.CIQ(AT$6,"IQ_TEV",$AI146,$I$2,$I$3))),"",_xll.ciqfunctions.udf.CIQ(AT$6,"IQ_TEV",$AI146,$I$2,$I$3)))</f>
        <v/>
      </c>
      <c r="AV146" s="251">
        <f t="shared" si="99"/>
        <v>43798</v>
      </c>
      <c r="AW146" s="719">
        <f t="shared" si="100"/>
        <v>0.58097781570431462</v>
      </c>
      <c r="AX146" s="719">
        <f t="shared" si="101"/>
        <v>0.78930823814848616</v>
      </c>
      <c r="AY146" s="719" t="e">
        <f t="shared" si="102"/>
        <v>#N/A</v>
      </c>
      <c r="AZ146" s="719" t="e">
        <f t="shared" si="103"/>
        <v>#N/A</v>
      </c>
      <c r="BA146" s="719" t="e">
        <f t="shared" si="104"/>
        <v>#N/A</v>
      </c>
      <c r="BB146" s="719" t="e">
        <f t="shared" si="105"/>
        <v>#N/A</v>
      </c>
      <c r="BC146" s="719" t="e">
        <f t="shared" si="106"/>
        <v>#N/A</v>
      </c>
      <c r="BD146" s="719" t="e">
        <f t="shared" si="107"/>
        <v>#N/A</v>
      </c>
      <c r="BE146" s="719" t="e">
        <f t="shared" si="108"/>
        <v>#N/A</v>
      </c>
      <c r="BF146" s="719" t="e">
        <f t="shared" si="109"/>
        <v>#N/A</v>
      </c>
      <c r="BG146" s="719" t="e">
        <f t="shared" si="110"/>
        <v>#N/A</v>
      </c>
    </row>
    <row r="147" spans="1:59" ht="15" customHeight="1" x14ac:dyDescent="0.2">
      <c r="A147" s="251">
        <f t="shared" si="93"/>
        <v>43805</v>
      </c>
      <c r="B147" s="253" t="str">
        <f t="shared" si="111"/>
        <v>Yes</v>
      </c>
      <c r="C147" s="1033">
        <f>IF(C$6="","",IF(NOT(ISNUMBER(_xll.ciqfunctions.udf.CIQ(C$6,$F$2, $A147, $I$2, $I$3))),IF(C146=C$6,"",C146),_xll.ciqfunctions.udf.CIQ(C$6,$F$2, $A147, $I$2, $I$3)))</f>
        <v>119.78</v>
      </c>
      <c r="D147" s="1033">
        <f>IF(D$6="","",IF(NOT(ISNUMBER(_xll.ciqfunctions.udf.CIQ(D$6,$F$2, $A147, $I$2, $I$3))),IF(D146=D$6,"",D146),_xll.ciqfunctions.udf.CIQ(D$6,$F$2, $A147, $I$2, $I$3)))</f>
        <v>28015.06223</v>
      </c>
      <c r="E147" s="1033">
        <f>IF(E$6="","",IF(NOT(ISNUMBER(_xll.ciqfunctions.udf.CIQ(E$6,$F$2, $A147, $I$2, $I$3))),IF(E146=E$6,"",E146),_xll.ciqfunctions.udf.CIQ(E$6,$F$2, $A147, $I$2, $I$3)))</f>
        <v>9201.1819899999991</v>
      </c>
      <c r="F147" s="1033">
        <f>IF(F$6="","",IF(NOT(ISNUMBER(_xll.ciqfunctions.udf.CIQ(F$6,$F$2, $A147, $I$2, $I$3))),IF(F146=F$6,"",F146),_xll.ciqfunctions.udf.CIQ(F$6,$F$2, $A147, $I$2, $I$3)))</f>
        <v>4640.8770299999996</v>
      </c>
      <c r="G147" s="1033">
        <f>IF(G$6="","",IF(NOT(ISNUMBER(_xll.ciqfunctions.udf.CIQ(G$6,$F$2, $A147, $I$2, $I$3))),IF(G146=G$6,"",G146),_xll.ciqfunctions.udf.CIQ(G$6,$F$2, $A147, $I$2, $I$3)))</f>
        <v>294.94499999999999</v>
      </c>
      <c r="H147" s="1033" t="str">
        <f>IF(H$6="","",IF(NOT(ISNUMBER(_xll.ciqfunctions.udf.CIQ(H$6,$F$2, $A147, $I$2, $I$3))),IF(H146=H$6,"",H146),_xll.ciqfunctions.udf.CIQ(H$6,$F$2, $A147, $I$2, $I$3)))</f>
        <v/>
      </c>
      <c r="I147" s="1033" t="str">
        <f>IF(I$6="","",IF(NOT(ISNUMBER(_xll.ciqfunctions.udf.CIQ(I$6,$F$2, $A147, $I$2, $I$3))),IF(I146=I$6,"",I146),_xll.ciqfunctions.udf.CIQ(I$6,$F$2, $A147, $I$2, $I$3)))</f>
        <v/>
      </c>
      <c r="J147" s="1033" t="str">
        <f>IF(J$6="","",IF(NOT(ISNUMBER(_xll.ciqfunctions.udf.CIQ(J$6,$F$2, $A147, $I$2, $I$3))),IF(J146=J$6,"",J146),_xll.ciqfunctions.udf.CIQ(J$6,$F$2, $A147, $I$2, $I$3)))</f>
        <v/>
      </c>
      <c r="K147" s="1033" t="str">
        <f>IF(K$6="","",IF(NOT(ISNUMBER(_xll.ciqfunctions.udf.CIQ(K$6,$F$2, $A147, $I$2, $I$3))),IF(K146=K$6,"",K146),_xll.ciqfunctions.udf.CIQ(K$6,$F$2, $A147, $I$2, $I$3)))</f>
        <v/>
      </c>
      <c r="L147" s="254" t="str">
        <f>IF(L$6="","",IF(NOT(ISNUMBER(_xll.ciqfunctions.udf.CIQ(L$6,$F$2, $A147, $I$2, $I$3))),IF(L146=L$6,"",L146),_xll.ciqfunctions.udf.CIQ(L$6,$F$2, $A147, $I$2, $I$3)))</f>
        <v/>
      </c>
      <c r="M147" s="254" t="str">
        <f>IF(M$6="","",IF(NOT(ISNUMBER(_xll.ciqfunctions.udf.CIQ(M$6,$F$2, $A147, $I$2, $I$3))),IF(M146=M$6,"",M146),_xll.ciqfunctions.udf.CIQ(M$6,$F$2, $A147, $I$2, $I$3)))</f>
        <v/>
      </c>
      <c r="N147" s="254" t="str">
        <f>IF(N$6="","",IF(NOT(ISNUMBER(_xll.ciqfunctions.udf.CIQ(N$6,$F$2, $A147, $I$2, $I$3))),IF(N146=N$6,"",N146),_xll.ciqfunctions.udf.CIQ(N$6,$F$2, $A147, $I$2, $I$3)))</f>
        <v/>
      </c>
      <c r="O147" s="254" t="str">
        <f>IF(O$6="","",IF(NOT(ISNUMBER(_xll.ciqfunctions.udf.CIQ(O$6,$F$2, $A147, $I$2, $I$3))),IF(O146=O$6,"",O146),_xll.ciqfunctions.udf.CIQ(O$6,$F$2, $A147, $I$2, $I$3)))</f>
        <v/>
      </c>
      <c r="P147" s="254" t="str">
        <f>IF(P$6="","",IF(NOT(ISNUMBER(_xll.ciqfunctions.udf.CIQ(P$6,$F$2, $A147, $I$2, $I$3))),IF(P146=P$6,"",P146),_xll.ciqfunctions.udf.CIQ(P$6,$F$2, $A147, $I$2, $I$3)))</f>
        <v/>
      </c>
      <c r="Q147" s="254"/>
      <c r="R147" s="251">
        <f t="shared" si="94"/>
        <v>43805</v>
      </c>
      <c r="S147" s="255">
        <f t="shared" si="96"/>
        <v>0.66176470588235303</v>
      </c>
      <c r="T147" s="255">
        <f t="shared" si="97"/>
        <v>0.35579356909807935</v>
      </c>
      <c r="U147" s="255">
        <f t="shared" si="98"/>
        <v>0.28583176928848308</v>
      </c>
      <c r="V147" s="255">
        <f t="shared" si="112"/>
        <v>5.7211169106637261E-2</v>
      </c>
      <c r="W147" s="255">
        <f t="array" ref="W147">IFERROR(AVERAGE(IF(ISERROR(X147:AG147),"",X147:AG147)),"")</f>
        <v>0.75887053491561818</v>
      </c>
      <c r="X147" s="255">
        <f t="shared" si="113"/>
        <v>0.75887053491561818</v>
      </c>
      <c r="Y147" s="255" t="e">
        <f t="shared" si="84"/>
        <v>#N/A</v>
      </c>
      <c r="Z147" s="255" t="e">
        <f t="shared" si="85"/>
        <v>#N/A</v>
      </c>
      <c r="AA147" s="255" t="e">
        <f t="shared" si="86"/>
        <v>#N/A</v>
      </c>
      <c r="AB147" s="255" t="e">
        <f t="shared" si="87"/>
        <v>#N/A</v>
      </c>
      <c r="AC147" s="255" t="e">
        <f t="shared" si="88"/>
        <v>#N/A</v>
      </c>
      <c r="AD147" s="255" t="e">
        <f t="shared" si="89"/>
        <v>#N/A</v>
      </c>
      <c r="AE147" s="255" t="e">
        <f t="shared" si="90"/>
        <v>#N/A</v>
      </c>
      <c r="AF147" s="255" t="e">
        <f t="shared" si="91"/>
        <v>#N/A</v>
      </c>
      <c r="AG147" s="255" t="e">
        <f t="shared" si="92"/>
        <v>#N/A</v>
      </c>
      <c r="AI147" s="251">
        <f t="shared" si="95"/>
        <v>43805</v>
      </c>
      <c r="AJ147" s="718">
        <f>IF(OR($B147="No",AJ$6=""),"",IF(NOT(ISNUMBER(_xll.ciqfunctions.udf.CIQ(AJ$6,"IQ_TEV",$AI147,$I$2,$I$3))),"",_xll.ciqfunctions.udf.CIQ(AJ$6,"IQ_TEV",$AI147,$I$2,$I$3)))</f>
        <v>414495.81383</v>
      </c>
      <c r="AK147" s="718">
        <f>IF(OR($B147="No",AK$6=""),"",IF(NOT(ISNUMBER(_xll.ciqfunctions.udf.CIQ(AK$6,"IQ_TEV",$AI147,$I$2,$I$3))),"",_xll.ciqfunctions.udf.CIQ(AK$6,"IQ_TEV",$AI147,$I$2,$I$3)))</f>
        <v>128443.10958999999</v>
      </c>
      <c r="AL147" s="718" t="str">
        <f>IF(OR($B147="No",AL$6=""),"",IF(NOT(ISNUMBER(_xll.ciqfunctions.udf.CIQ(AL$6,"IQ_TEV",$AI147,$I$2,$I$3))),"",_xll.ciqfunctions.udf.CIQ(AL$6,"IQ_TEV",$AI147,$I$2,$I$3)))</f>
        <v/>
      </c>
      <c r="AM147" s="718" t="str">
        <f>IF(OR($B147="No",AM$6=""),"",IF(NOT(ISNUMBER(_xll.ciqfunctions.udf.CIQ(AM$6,"IQ_TEV",$AI147,$I$2,$I$3))),"",_xll.ciqfunctions.udf.CIQ(AM$6,"IQ_TEV",$AI147,$I$2,$I$3)))</f>
        <v/>
      </c>
      <c r="AN147" s="718" t="str">
        <f>IF(OR($B147="No",AN$6=""),"",IF(NOT(ISNUMBER(_xll.ciqfunctions.udf.CIQ(AN$6,"IQ_TEV",$AI147,$I$2,$I$3))),"",_xll.ciqfunctions.udf.CIQ(AN$6,"IQ_TEV",$AI147,$I$2,$I$3)))</f>
        <v/>
      </c>
      <c r="AO147" s="718" t="str">
        <f>IF(OR($B147="No",AO$6=""),"",IF(NOT(ISNUMBER(_xll.ciqfunctions.udf.CIQ(AO$6,"IQ_TEV",$AI147,$I$2,$I$3))),"",_xll.ciqfunctions.udf.CIQ(AO$6,"IQ_TEV",$AI147,$I$2,$I$3)))</f>
        <v/>
      </c>
      <c r="AP147" s="718" t="str">
        <f>IF(OR($B147="No",AP$6=""),"",IF(NOT(ISNUMBER(_xll.ciqfunctions.udf.CIQ(AP$6,"IQ_TEV",$AI147,$I$2,$I$3))),"",_xll.ciqfunctions.udf.CIQ(AP$6,"IQ_TEV",$AI147,$I$2,$I$3)))</f>
        <v/>
      </c>
      <c r="AQ147" s="718" t="str">
        <f>IF(OR($B147="No",AQ$6=""),"",IF(NOT(ISNUMBER(_xll.ciqfunctions.udf.CIQ(AQ$6,"IQ_TEV",$AI147,$I$2,$I$3))),"",_xll.ciqfunctions.udf.CIQ(AQ$6,"IQ_TEV",$AI147,$I$2,$I$3)))</f>
        <v/>
      </c>
      <c r="AR147" s="718" t="str">
        <f>IF(OR($B147="No",AR$6=""),"",IF(NOT(ISNUMBER(_xll.ciqfunctions.udf.CIQ(AR$6,"IQ_TEV",$AI147,$I$2,$I$3))),"",_xll.ciqfunctions.udf.CIQ(AR$6,"IQ_TEV",$AI147,$I$2,$I$3)))</f>
        <v/>
      </c>
      <c r="AS147" s="718" t="str">
        <f>IF(OR($B147="No",AS$6=""),"",IF(NOT(ISNUMBER(_xll.ciqfunctions.udf.CIQ(AS$6,"IQ_TEV",$AI147,$I$2,$I$3))),"",_xll.ciqfunctions.udf.CIQ(AS$6,"IQ_TEV",$AI147,$I$2,$I$3)))</f>
        <v/>
      </c>
      <c r="AT147" s="718" t="str">
        <f>IF(OR($B147="No",AT$6=""),"",IF(NOT(ISNUMBER(_xll.ciqfunctions.udf.CIQ(AT$6,"IQ_TEV",$AI147,$I$2,$I$3))),"",_xll.ciqfunctions.udf.CIQ(AT$6,"IQ_TEV",$AI147,$I$2,$I$3)))</f>
        <v/>
      </c>
      <c r="AV147" s="251">
        <f t="shared" si="99"/>
        <v>43805</v>
      </c>
      <c r="AW147" s="719">
        <f t="shared" si="100"/>
        <v>0.58775802364296026</v>
      </c>
      <c r="AX147" s="719">
        <f t="shared" si="101"/>
        <v>0.75985991687047227</v>
      </c>
      <c r="AY147" s="719" t="e">
        <f t="shared" si="102"/>
        <v>#N/A</v>
      </c>
      <c r="AZ147" s="719" t="e">
        <f t="shared" si="103"/>
        <v>#N/A</v>
      </c>
      <c r="BA147" s="719" t="e">
        <f t="shared" si="104"/>
        <v>#N/A</v>
      </c>
      <c r="BB147" s="719" t="e">
        <f t="shared" si="105"/>
        <v>#N/A</v>
      </c>
      <c r="BC147" s="719" t="e">
        <f t="shared" si="106"/>
        <v>#N/A</v>
      </c>
      <c r="BD147" s="719" t="e">
        <f t="shared" si="107"/>
        <v>#N/A</v>
      </c>
      <c r="BE147" s="719" t="e">
        <f t="shared" si="108"/>
        <v>#N/A</v>
      </c>
      <c r="BF147" s="719" t="e">
        <f t="shared" si="109"/>
        <v>#N/A</v>
      </c>
      <c r="BG147" s="719" t="e">
        <f t="shared" si="110"/>
        <v>#N/A</v>
      </c>
    </row>
    <row r="148" spans="1:59" ht="15" customHeight="1" x14ac:dyDescent="0.2">
      <c r="A148" s="251">
        <f t="shared" si="93"/>
        <v>43812</v>
      </c>
      <c r="B148" s="253" t="str">
        <f t="shared" si="111"/>
        <v>Yes</v>
      </c>
      <c r="C148" s="1033">
        <f>IF(C$6="","",IF(NOT(ISNUMBER(_xll.ciqfunctions.udf.CIQ(C$6,$F$2, $A148, $I$2, $I$3))),IF(C147=C$6,"",C147),_xll.ciqfunctions.udf.CIQ(C$6,$F$2, $A148, $I$2, $I$3)))</f>
        <v>120.29</v>
      </c>
      <c r="D148" s="1033">
        <f>IF(D$6="","",IF(NOT(ISNUMBER(_xll.ciqfunctions.udf.CIQ(D$6,$F$2, $A148, $I$2, $I$3))),IF(D147=D$6,"",D147),_xll.ciqfunctions.udf.CIQ(D$6,$F$2, $A148, $I$2, $I$3)))</f>
        <v>28135.37772</v>
      </c>
      <c r="E148" s="1033">
        <f>IF(E$6="","",IF(NOT(ISNUMBER(_xll.ciqfunctions.udf.CIQ(E$6,$F$2, $A148, $I$2, $I$3))),IF(E147=E$6,"",E147),_xll.ciqfunctions.udf.CIQ(E$6,$F$2, $A148, $I$2, $I$3)))</f>
        <v>9241.8003200000003</v>
      </c>
      <c r="F148" s="1033">
        <f>IF(F$6="","",IF(NOT(ISNUMBER(_xll.ciqfunctions.udf.CIQ(F$6,$F$2, $A148, $I$2, $I$3))),IF(F147=F$6,"",F147),_xll.ciqfunctions.udf.CIQ(F$6,$F$2, $A148, $I$2, $I$3)))</f>
        <v>4614.1132200000002</v>
      </c>
      <c r="G148" s="1033">
        <f>IF(G$6="","",IF(NOT(ISNUMBER(_xll.ciqfunctions.udf.CIQ(G$6,$F$2, $A148, $I$2, $I$3))),IF(G147=G$6,"",G147),_xll.ciqfunctions.udf.CIQ(G$6,$F$2, $A148, $I$2, $I$3)))</f>
        <v>291.87</v>
      </c>
      <c r="H148" s="1033" t="str">
        <f>IF(H$6="","",IF(NOT(ISNUMBER(_xll.ciqfunctions.udf.CIQ(H$6,$F$2, $A148, $I$2, $I$3))),IF(H147=H$6,"",H147),_xll.ciqfunctions.udf.CIQ(H$6,$F$2, $A148, $I$2, $I$3)))</f>
        <v/>
      </c>
      <c r="I148" s="1033" t="str">
        <f>IF(I$6="","",IF(NOT(ISNUMBER(_xll.ciqfunctions.udf.CIQ(I$6,$F$2, $A148, $I$2, $I$3))),IF(I147=I$6,"",I147),_xll.ciqfunctions.udf.CIQ(I$6,$F$2, $A148, $I$2, $I$3)))</f>
        <v/>
      </c>
      <c r="J148" s="1033" t="str">
        <f>IF(J$6="","",IF(NOT(ISNUMBER(_xll.ciqfunctions.udf.CIQ(J$6,$F$2, $A148, $I$2, $I$3))),IF(J147=J$6,"",J147),_xll.ciqfunctions.udf.CIQ(J$6,$F$2, $A148, $I$2, $I$3)))</f>
        <v/>
      </c>
      <c r="K148" s="1033" t="str">
        <f>IF(K$6="","",IF(NOT(ISNUMBER(_xll.ciqfunctions.udf.CIQ(K$6,$F$2, $A148, $I$2, $I$3))),IF(K147=K$6,"",K147),_xll.ciqfunctions.udf.CIQ(K$6,$F$2, $A148, $I$2, $I$3)))</f>
        <v/>
      </c>
      <c r="L148" s="254" t="str">
        <f>IF(L$6="","",IF(NOT(ISNUMBER(_xll.ciqfunctions.udf.CIQ(L$6,$F$2, $A148, $I$2, $I$3))),IF(L147=L$6,"",L147),_xll.ciqfunctions.udf.CIQ(L$6,$F$2, $A148, $I$2, $I$3)))</f>
        <v/>
      </c>
      <c r="M148" s="254" t="str">
        <f>IF(M$6="","",IF(NOT(ISNUMBER(_xll.ciqfunctions.udf.CIQ(M$6,$F$2, $A148, $I$2, $I$3))),IF(M147=M$6,"",M147),_xll.ciqfunctions.udf.CIQ(M$6,$F$2, $A148, $I$2, $I$3)))</f>
        <v/>
      </c>
      <c r="N148" s="254" t="str">
        <f>IF(N$6="","",IF(NOT(ISNUMBER(_xll.ciqfunctions.udf.CIQ(N$6,$F$2, $A148, $I$2, $I$3))),IF(N147=N$6,"",N147),_xll.ciqfunctions.udf.CIQ(N$6,$F$2, $A148, $I$2, $I$3)))</f>
        <v/>
      </c>
      <c r="O148" s="254" t="str">
        <f>IF(O$6="","",IF(NOT(ISNUMBER(_xll.ciqfunctions.udf.CIQ(O$6,$F$2, $A148, $I$2, $I$3))),IF(O147=O$6,"",O147),_xll.ciqfunctions.udf.CIQ(O$6,$F$2, $A148, $I$2, $I$3)))</f>
        <v/>
      </c>
      <c r="P148" s="254" t="str">
        <f>IF(P$6="","",IF(NOT(ISNUMBER(_xll.ciqfunctions.udf.CIQ(P$6,$F$2, $A148, $I$2, $I$3))),IF(P147=P$6,"",P147),_xll.ciqfunctions.udf.CIQ(P$6,$F$2, $A148, $I$2, $I$3)))</f>
        <v/>
      </c>
      <c r="Q148" s="254"/>
      <c r="R148" s="251">
        <f t="shared" si="94"/>
        <v>43812</v>
      </c>
      <c r="S148" s="255">
        <f t="shared" si="96"/>
        <v>0.66884017758046621</v>
      </c>
      <c r="T148" s="255">
        <f t="shared" si="97"/>
        <v>0.36161625713159751</v>
      </c>
      <c r="U148" s="255">
        <f t="shared" si="98"/>
        <v>0.29150803340174658</v>
      </c>
      <c r="V148" s="255">
        <f t="shared" si="112"/>
        <v>5.1114261415065032E-2</v>
      </c>
      <c r="W148" s="255">
        <f t="array" ref="W148">IFERROR(AVERAGE(IF(ISERROR(X148:AG148),"",X148:AG148)),"")</f>
        <v>0.7405331266026598</v>
      </c>
      <c r="X148" s="255">
        <f t="shared" si="113"/>
        <v>0.7405331266026598</v>
      </c>
      <c r="Y148" s="255" t="e">
        <f t="shared" si="84"/>
        <v>#N/A</v>
      </c>
      <c r="Z148" s="255" t="e">
        <f t="shared" si="85"/>
        <v>#N/A</v>
      </c>
      <c r="AA148" s="255" t="e">
        <f t="shared" si="86"/>
        <v>#N/A</v>
      </c>
      <c r="AB148" s="255" t="e">
        <f t="shared" si="87"/>
        <v>#N/A</v>
      </c>
      <c r="AC148" s="255" t="e">
        <f t="shared" si="88"/>
        <v>#N/A</v>
      </c>
      <c r="AD148" s="255" t="e">
        <f t="shared" si="89"/>
        <v>#N/A</v>
      </c>
      <c r="AE148" s="255" t="e">
        <f t="shared" si="90"/>
        <v>#N/A</v>
      </c>
      <c r="AF148" s="255" t="e">
        <f t="shared" si="91"/>
        <v>#N/A</v>
      </c>
      <c r="AG148" s="255" t="e">
        <f t="shared" si="92"/>
        <v>#N/A</v>
      </c>
      <c r="AI148" s="251">
        <f t="shared" si="95"/>
        <v>43812</v>
      </c>
      <c r="AJ148" s="718">
        <f>IF(OR($B148="No",AJ$6=""),"",IF(NOT(ISNUMBER(_xll.ciqfunctions.udf.CIQ(AJ$6,"IQ_TEV",$AI148,$I$2,$I$3))),"",_xll.ciqfunctions.udf.CIQ(AJ$6,"IQ_TEV",$AI148,$I$2,$I$3)))</f>
        <v>415942.77305000002</v>
      </c>
      <c r="AK148" s="718">
        <f>IF(OR($B148="No",AK$6=""),"",IF(NOT(ISNUMBER(_xll.ciqfunctions.udf.CIQ(AK$6,"IQ_TEV",$AI148,$I$2,$I$3))),"",_xll.ciqfunctions.udf.CIQ(AK$6,"IQ_TEV",$AI148,$I$2,$I$3)))</f>
        <v>128444.74486000001</v>
      </c>
      <c r="AL148" s="718" t="str">
        <f>IF(OR($B148="No",AL$6=""),"",IF(NOT(ISNUMBER(_xll.ciqfunctions.udf.CIQ(AL$6,"IQ_TEV",$AI148,$I$2,$I$3))),"",_xll.ciqfunctions.udf.CIQ(AL$6,"IQ_TEV",$AI148,$I$2,$I$3)))</f>
        <v/>
      </c>
      <c r="AM148" s="718" t="str">
        <f>IF(OR($B148="No",AM$6=""),"",IF(NOT(ISNUMBER(_xll.ciqfunctions.udf.CIQ(AM$6,"IQ_TEV",$AI148,$I$2,$I$3))),"",_xll.ciqfunctions.udf.CIQ(AM$6,"IQ_TEV",$AI148,$I$2,$I$3)))</f>
        <v/>
      </c>
      <c r="AN148" s="718" t="str">
        <f>IF(OR($B148="No",AN$6=""),"",IF(NOT(ISNUMBER(_xll.ciqfunctions.udf.CIQ(AN$6,"IQ_TEV",$AI148,$I$2,$I$3))),"",_xll.ciqfunctions.udf.CIQ(AN$6,"IQ_TEV",$AI148,$I$2,$I$3)))</f>
        <v/>
      </c>
      <c r="AO148" s="718" t="str">
        <f>IF(OR($B148="No",AO$6=""),"",IF(NOT(ISNUMBER(_xll.ciqfunctions.udf.CIQ(AO$6,"IQ_TEV",$AI148,$I$2,$I$3))),"",_xll.ciqfunctions.udf.CIQ(AO$6,"IQ_TEV",$AI148,$I$2,$I$3)))</f>
        <v/>
      </c>
      <c r="AP148" s="718" t="str">
        <f>IF(OR($B148="No",AP$6=""),"",IF(NOT(ISNUMBER(_xll.ciqfunctions.udf.CIQ(AP$6,"IQ_TEV",$AI148,$I$2,$I$3))),"",_xll.ciqfunctions.udf.CIQ(AP$6,"IQ_TEV",$AI148,$I$2,$I$3)))</f>
        <v/>
      </c>
      <c r="AQ148" s="718" t="str">
        <f>IF(OR($B148="No",AQ$6=""),"",IF(NOT(ISNUMBER(_xll.ciqfunctions.udf.CIQ(AQ$6,"IQ_TEV",$AI148,$I$2,$I$3))),"",_xll.ciqfunctions.udf.CIQ(AQ$6,"IQ_TEV",$AI148,$I$2,$I$3)))</f>
        <v/>
      </c>
      <c r="AR148" s="718" t="str">
        <f>IF(OR($B148="No",AR$6=""),"",IF(NOT(ISNUMBER(_xll.ciqfunctions.udf.CIQ(AR$6,"IQ_TEV",$AI148,$I$2,$I$3))),"",_xll.ciqfunctions.udf.CIQ(AR$6,"IQ_TEV",$AI148,$I$2,$I$3)))</f>
        <v/>
      </c>
      <c r="AS148" s="718" t="str">
        <f>IF(OR($B148="No",AS$6=""),"",IF(NOT(ISNUMBER(_xll.ciqfunctions.udf.CIQ(AS$6,"IQ_TEV",$AI148,$I$2,$I$3))),"",_xll.ciqfunctions.udf.CIQ(AS$6,"IQ_TEV",$AI148,$I$2,$I$3)))</f>
        <v/>
      </c>
      <c r="AT148" s="718" t="str">
        <f>IF(OR($B148="No",AT$6=""),"",IF(NOT(ISNUMBER(_xll.ciqfunctions.udf.CIQ(AT$6,"IQ_TEV",$AI148,$I$2,$I$3))),"",_xll.ciqfunctions.udf.CIQ(AT$6,"IQ_TEV",$AI148,$I$2,$I$3)))</f>
        <v/>
      </c>
      <c r="AV148" s="251">
        <f t="shared" si="99"/>
        <v>43812</v>
      </c>
      <c r="AW148" s="719">
        <f t="shared" si="100"/>
        <v>0.59330071197607182</v>
      </c>
      <c r="AX148" s="719">
        <f t="shared" si="101"/>
        <v>0.7598823224797373</v>
      </c>
      <c r="AY148" s="719" t="e">
        <f t="shared" si="102"/>
        <v>#N/A</v>
      </c>
      <c r="AZ148" s="719" t="e">
        <f t="shared" si="103"/>
        <v>#N/A</v>
      </c>
      <c r="BA148" s="719" t="e">
        <f t="shared" si="104"/>
        <v>#N/A</v>
      </c>
      <c r="BB148" s="719" t="e">
        <f t="shared" si="105"/>
        <v>#N/A</v>
      </c>
      <c r="BC148" s="719" t="e">
        <f t="shared" si="106"/>
        <v>#N/A</v>
      </c>
      <c r="BD148" s="719" t="e">
        <f t="shared" si="107"/>
        <v>#N/A</v>
      </c>
      <c r="BE148" s="719" t="e">
        <f t="shared" si="108"/>
        <v>#N/A</v>
      </c>
      <c r="BF148" s="719" t="e">
        <f t="shared" si="109"/>
        <v>#N/A</v>
      </c>
      <c r="BG148" s="719" t="e">
        <f t="shared" si="110"/>
        <v>#N/A</v>
      </c>
    </row>
    <row r="149" spans="1:59" ht="15" customHeight="1" x14ac:dyDescent="0.2">
      <c r="A149" s="251">
        <f t="shared" si="93"/>
        <v>43819</v>
      </c>
      <c r="B149" s="253" t="str">
        <f t="shared" si="111"/>
        <v>Yes</v>
      </c>
      <c r="C149" s="1033">
        <f>IF(C$6="","",IF(NOT(ISNUMBER(_xll.ciqfunctions.udf.CIQ(C$6,$F$2, $A149, $I$2, $I$3))),IF(C148=C$6,"",C148),_xll.ciqfunctions.udf.CIQ(C$6,$F$2, $A149, $I$2, $I$3)))</f>
        <v>120.29</v>
      </c>
      <c r="D149" s="1033">
        <f>IF(D$6="","",IF(NOT(ISNUMBER(_xll.ciqfunctions.udf.CIQ(D$6,$F$2, $A149, $I$2, $I$3))),IF(D148=D$6,"",D148),_xll.ciqfunctions.udf.CIQ(D$6,$F$2, $A149, $I$2, $I$3)))</f>
        <v>28455.088680000001</v>
      </c>
      <c r="E149" s="1033">
        <f>IF(E$6="","",IF(NOT(ISNUMBER(_xll.ciqfunctions.udf.CIQ(E$6,$F$2, $A149, $I$2, $I$3))),IF(E148=E$6,"",E148),_xll.ciqfunctions.udf.CIQ(E$6,$F$2, $A149, $I$2, $I$3)))</f>
        <v>9368.7577099999999</v>
      </c>
      <c r="F149" s="1033">
        <f>IF(F$6="","",IF(NOT(ISNUMBER(_xll.ciqfunctions.udf.CIQ(F$6,$F$2, $A149, $I$2, $I$3))),IF(F148=F$6,"",F148),_xll.ciqfunctions.udf.CIQ(F$6,$F$2, $A149, $I$2, $I$3)))</f>
        <v>4742.5776999999998</v>
      </c>
      <c r="G149" s="1033">
        <f>IF(G$6="","",IF(NOT(ISNUMBER(_xll.ciqfunctions.udf.CIQ(G$6,$F$2, $A149, $I$2, $I$3))),IF(G148=G$6,"",G148),_xll.ciqfunctions.udf.CIQ(G$6,$F$2, $A149, $I$2, $I$3)))</f>
        <v>294.83</v>
      </c>
      <c r="H149" s="1033" t="str">
        <f>IF(H$6="","",IF(NOT(ISNUMBER(_xll.ciqfunctions.udf.CIQ(H$6,$F$2, $A149, $I$2, $I$3))),IF(H148=H$6,"",H148),_xll.ciqfunctions.udf.CIQ(H$6,$F$2, $A149, $I$2, $I$3)))</f>
        <v/>
      </c>
      <c r="I149" s="1033" t="str">
        <f>IF(I$6="","",IF(NOT(ISNUMBER(_xll.ciqfunctions.udf.CIQ(I$6,$F$2, $A149, $I$2, $I$3))),IF(I148=I$6,"",I148),_xll.ciqfunctions.udf.CIQ(I$6,$F$2, $A149, $I$2, $I$3)))</f>
        <v/>
      </c>
      <c r="J149" s="1033" t="str">
        <f>IF(J$6="","",IF(NOT(ISNUMBER(_xll.ciqfunctions.udf.CIQ(J$6,$F$2, $A149, $I$2, $I$3))),IF(J148=J$6,"",J148),_xll.ciqfunctions.udf.CIQ(J$6,$F$2, $A149, $I$2, $I$3)))</f>
        <v/>
      </c>
      <c r="K149" s="1033" t="str">
        <f>IF(K$6="","",IF(NOT(ISNUMBER(_xll.ciqfunctions.udf.CIQ(K$6,$F$2, $A149, $I$2, $I$3))),IF(K148=K$6,"",K148),_xll.ciqfunctions.udf.CIQ(K$6,$F$2, $A149, $I$2, $I$3)))</f>
        <v/>
      </c>
      <c r="L149" s="254" t="str">
        <f>IF(L$6="","",IF(NOT(ISNUMBER(_xll.ciqfunctions.udf.CIQ(L$6,$F$2, $A149, $I$2, $I$3))),IF(L148=L$6,"",L148),_xll.ciqfunctions.udf.CIQ(L$6,$F$2, $A149, $I$2, $I$3)))</f>
        <v/>
      </c>
      <c r="M149" s="254" t="str">
        <f>IF(M$6="","",IF(NOT(ISNUMBER(_xll.ciqfunctions.udf.CIQ(M$6,$F$2, $A149, $I$2, $I$3))),IF(M148=M$6,"",M148),_xll.ciqfunctions.udf.CIQ(M$6,$F$2, $A149, $I$2, $I$3)))</f>
        <v/>
      </c>
      <c r="N149" s="254" t="str">
        <f>IF(N$6="","",IF(NOT(ISNUMBER(_xll.ciqfunctions.udf.CIQ(N$6,$F$2, $A149, $I$2, $I$3))),IF(N148=N$6,"",N148),_xll.ciqfunctions.udf.CIQ(N$6,$F$2, $A149, $I$2, $I$3)))</f>
        <v/>
      </c>
      <c r="O149" s="254" t="str">
        <f>IF(O$6="","",IF(NOT(ISNUMBER(_xll.ciqfunctions.udf.CIQ(O$6,$F$2, $A149, $I$2, $I$3))),IF(O148=O$6,"",O148),_xll.ciqfunctions.udf.CIQ(O$6,$F$2, $A149, $I$2, $I$3)))</f>
        <v/>
      </c>
      <c r="P149" s="254" t="str">
        <f>IF(P$6="","",IF(NOT(ISNUMBER(_xll.ciqfunctions.udf.CIQ(P$6,$F$2, $A149, $I$2, $I$3))),IF(P148=P$6,"",P148),_xll.ciqfunctions.udf.CIQ(P$6,$F$2, $A149, $I$2, $I$3)))</f>
        <v/>
      </c>
      <c r="Q149" s="254"/>
      <c r="R149" s="251">
        <f t="shared" si="94"/>
        <v>43819</v>
      </c>
      <c r="S149" s="255">
        <f t="shared" si="96"/>
        <v>0.66884017758046621</v>
      </c>
      <c r="T149" s="255">
        <f t="shared" si="97"/>
        <v>0.37708872190713527</v>
      </c>
      <c r="U149" s="255">
        <f t="shared" si="98"/>
        <v>0.30924986761232587</v>
      </c>
      <c r="V149" s="255">
        <f t="shared" si="112"/>
        <v>8.0379006464661007E-2</v>
      </c>
      <c r="W149" s="255">
        <f t="array" ref="W149">IFERROR(AVERAGE(IF(ISERROR(X149:AG149),"",X149:AG149)),"")</f>
        <v>0.75818474566163752</v>
      </c>
      <c r="X149" s="255">
        <f t="shared" si="113"/>
        <v>0.75818474566163752</v>
      </c>
      <c r="Y149" s="255" t="e">
        <f t="shared" si="84"/>
        <v>#N/A</v>
      </c>
      <c r="Z149" s="255" t="e">
        <f t="shared" si="85"/>
        <v>#N/A</v>
      </c>
      <c r="AA149" s="255" t="e">
        <f t="shared" si="86"/>
        <v>#N/A</v>
      </c>
      <c r="AB149" s="255" t="e">
        <f t="shared" si="87"/>
        <v>#N/A</v>
      </c>
      <c r="AC149" s="255" t="e">
        <f t="shared" si="88"/>
        <v>#N/A</v>
      </c>
      <c r="AD149" s="255" t="e">
        <f t="shared" si="89"/>
        <v>#N/A</v>
      </c>
      <c r="AE149" s="255" t="e">
        <f t="shared" si="90"/>
        <v>#N/A</v>
      </c>
      <c r="AF149" s="255" t="e">
        <f t="shared" si="91"/>
        <v>#N/A</v>
      </c>
      <c r="AG149" s="255" t="e">
        <f t="shared" si="92"/>
        <v>#N/A</v>
      </c>
      <c r="AI149" s="251">
        <f t="shared" si="95"/>
        <v>43819</v>
      </c>
      <c r="AJ149" s="718">
        <f>IF(OR($B149="No",AJ$6=""),"",IF(NOT(ISNUMBER(_xll.ciqfunctions.udf.CIQ(AJ$6,"IQ_TEV",$AI149,$I$2,$I$3))),"",_xll.ciqfunctions.udf.CIQ(AJ$6,"IQ_TEV",$AI149,$I$2,$I$3)))</f>
        <v>415942.77305000002</v>
      </c>
      <c r="AK149" s="718">
        <f>IF(OR($B149="No",AK$6=""),"",IF(NOT(ISNUMBER(_xll.ciqfunctions.udf.CIQ(AK$6,"IQ_TEV",$AI149,$I$2,$I$3))),"",_xll.ciqfunctions.udf.CIQ(AK$6,"IQ_TEV",$AI149,$I$2,$I$3)))</f>
        <v>129752.40774</v>
      </c>
      <c r="AL149" s="718" t="str">
        <f>IF(OR($B149="No",AL$6=""),"",IF(NOT(ISNUMBER(_xll.ciqfunctions.udf.CIQ(AL$6,"IQ_TEV",$AI149,$I$2,$I$3))),"",_xll.ciqfunctions.udf.CIQ(AL$6,"IQ_TEV",$AI149,$I$2,$I$3)))</f>
        <v/>
      </c>
      <c r="AM149" s="718" t="str">
        <f>IF(OR($B149="No",AM$6=""),"",IF(NOT(ISNUMBER(_xll.ciqfunctions.udf.CIQ(AM$6,"IQ_TEV",$AI149,$I$2,$I$3))),"",_xll.ciqfunctions.udf.CIQ(AM$6,"IQ_TEV",$AI149,$I$2,$I$3)))</f>
        <v/>
      </c>
      <c r="AN149" s="718" t="str">
        <f>IF(OR($B149="No",AN$6=""),"",IF(NOT(ISNUMBER(_xll.ciqfunctions.udf.CIQ(AN$6,"IQ_TEV",$AI149,$I$2,$I$3))),"",_xll.ciqfunctions.udf.CIQ(AN$6,"IQ_TEV",$AI149,$I$2,$I$3)))</f>
        <v/>
      </c>
      <c r="AO149" s="718" t="str">
        <f>IF(OR($B149="No",AO$6=""),"",IF(NOT(ISNUMBER(_xll.ciqfunctions.udf.CIQ(AO$6,"IQ_TEV",$AI149,$I$2,$I$3))),"",_xll.ciqfunctions.udf.CIQ(AO$6,"IQ_TEV",$AI149,$I$2,$I$3)))</f>
        <v/>
      </c>
      <c r="AP149" s="718" t="str">
        <f>IF(OR($B149="No",AP$6=""),"",IF(NOT(ISNUMBER(_xll.ciqfunctions.udf.CIQ(AP$6,"IQ_TEV",$AI149,$I$2,$I$3))),"",_xll.ciqfunctions.udf.CIQ(AP$6,"IQ_TEV",$AI149,$I$2,$I$3)))</f>
        <v/>
      </c>
      <c r="AQ149" s="718" t="str">
        <f>IF(OR($B149="No",AQ$6=""),"",IF(NOT(ISNUMBER(_xll.ciqfunctions.udf.CIQ(AQ$6,"IQ_TEV",$AI149,$I$2,$I$3))),"",_xll.ciqfunctions.udf.CIQ(AQ$6,"IQ_TEV",$AI149,$I$2,$I$3)))</f>
        <v/>
      </c>
      <c r="AR149" s="718" t="str">
        <f>IF(OR($B149="No",AR$6=""),"",IF(NOT(ISNUMBER(_xll.ciqfunctions.udf.CIQ(AR$6,"IQ_TEV",$AI149,$I$2,$I$3))),"",_xll.ciqfunctions.udf.CIQ(AR$6,"IQ_TEV",$AI149,$I$2,$I$3)))</f>
        <v/>
      </c>
      <c r="AS149" s="718" t="str">
        <f>IF(OR($B149="No",AS$6=""),"",IF(NOT(ISNUMBER(_xll.ciqfunctions.udf.CIQ(AS$6,"IQ_TEV",$AI149,$I$2,$I$3))),"",_xll.ciqfunctions.udf.CIQ(AS$6,"IQ_TEV",$AI149,$I$2,$I$3)))</f>
        <v/>
      </c>
      <c r="AT149" s="718" t="str">
        <f>IF(OR($B149="No",AT$6=""),"",IF(NOT(ISNUMBER(_xll.ciqfunctions.udf.CIQ(AT$6,"IQ_TEV",$AI149,$I$2,$I$3))),"",_xll.ciqfunctions.udf.CIQ(AT$6,"IQ_TEV",$AI149,$I$2,$I$3)))</f>
        <v/>
      </c>
      <c r="AV149" s="251">
        <f t="shared" si="99"/>
        <v>43819</v>
      </c>
      <c r="AW149" s="719">
        <f t="shared" si="100"/>
        <v>0.59330071197607182</v>
      </c>
      <c r="AX149" s="719">
        <f t="shared" si="101"/>
        <v>0.77779923133251527</v>
      </c>
      <c r="AY149" s="719" t="e">
        <f t="shared" si="102"/>
        <v>#N/A</v>
      </c>
      <c r="AZ149" s="719" t="e">
        <f t="shared" si="103"/>
        <v>#N/A</v>
      </c>
      <c r="BA149" s="719" t="e">
        <f t="shared" si="104"/>
        <v>#N/A</v>
      </c>
      <c r="BB149" s="719" t="e">
        <f t="shared" si="105"/>
        <v>#N/A</v>
      </c>
      <c r="BC149" s="719" t="e">
        <f t="shared" si="106"/>
        <v>#N/A</v>
      </c>
      <c r="BD149" s="719" t="e">
        <f t="shared" si="107"/>
        <v>#N/A</v>
      </c>
      <c r="BE149" s="719" t="e">
        <f t="shared" si="108"/>
        <v>#N/A</v>
      </c>
      <c r="BF149" s="719" t="e">
        <f t="shared" si="109"/>
        <v>#N/A</v>
      </c>
      <c r="BG149" s="719" t="e">
        <f t="shared" si="110"/>
        <v>#N/A</v>
      </c>
    </row>
    <row r="150" spans="1:59" ht="15" customHeight="1" x14ac:dyDescent="0.2">
      <c r="A150" s="251">
        <f t="shared" si="93"/>
        <v>43826</v>
      </c>
      <c r="B150" s="253" t="str">
        <f t="shared" si="111"/>
        <v>Yes</v>
      </c>
      <c r="C150" s="1033">
        <f>IF(C$6="","",IF(NOT(ISNUMBER(_xll.ciqfunctions.udf.CIQ(C$6,$F$2, $A150, $I$2, $I$3))),IF(C149=C$6,"",C149),_xll.ciqfunctions.udf.CIQ(C$6,$F$2, $A150, $I$2, $I$3)))</f>
        <v>119.59</v>
      </c>
      <c r="D150" s="1033">
        <f>IF(D$6="","",IF(NOT(ISNUMBER(_xll.ciqfunctions.udf.CIQ(D$6,$F$2, $A150, $I$2, $I$3))),IF(D149=D$6,"",D149),_xll.ciqfunctions.udf.CIQ(D$6,$F$2, $A150, $I$2, $I$3)))</f>
        <v>28645.260399999999</v>
      </c>
      <c r="E150" s="1033">
        <f>IF(E$6="","",IF(NOT(ISNUMBER(_xll.ciqfunctions.udf.CIQ(E$6,$F$2, $A150, $I$2, $I$3))),IF(E149=E$6,"",E149),_xll.ciqfunctions.udf.CIQ(E$6,$F$2, $A150, $I$2, $I$3)))</f>
        <v>9409.0194499999998</v>
      </c>
      <c r="F150" s="1033">
        <f>IF(F$6="","",IF(NOT(ISNUMBER(_xll.ciqfunctions.udf.CIQ(F$6,$F$2, $A150, $I$2, $I$3))),IF(F149=F$6,"",F149),_xll.ciqfunctions.udf.CIQ(F$6,$F$2, $A150, $I$2, $I$3)))</f>
        <v>4802.0737099999997</v>
      </c>
      <c r="G150" s="1033">
        <f>IF(G$6="","",IF(NOT(ISNUMBER(_xll.ciqfunctions.udf.CIQ(G$6,$F$2, $A150, $I$2, $I$3))),IF(G149=G$6,"",G149),_xll.ciqfunctions.udf.CIQ(G$6,$F$2, $A150, $I$2, $I$3)))</f>
        <v>294.11</v>
      </c>
      <c r="H150" s="1033" t="str">
        <f>IF(H$6="","",IF(NOT(ISNUMBER(_xll.ciqfunctions.udf.CIQ(H$6,$F$2, $A150, $I$2, $I$3))),IF(H149=H$6,"",H149),_xll.ciqfunctions.udf.CIQ(H$6,$F$2, $A150, $I$2, $I$3)))</f>
        <v/>
      </c>
      <c r="I150" s="1033" t="str">
        <f>IF(I$6="","",IF(NOT(ISNUMBER(_xll.ciqfunctions.udf.CIQ(I$6,$F$2, $A150, $I$2, $I$3))),IF(I149=I$6,"",I149),_xll.ciqfunctions.udf.CIQ(I$6,$F$2, $A150, $I$2, $I$3)))</f>
        <v/>
      </c>
      <c r="J150" s="1033" t="str">
        <f>IF(J$6="","",IF(NOT(ISNUMBER(_xll.ciqfunctions.udf.CIQ(J$6,$F$2, $A150, $I$2, $I$3))),IF(J149=J$6,"",J149),_xll.ciqfunctions.udf.CIQ(J$6,$F$2, $A150, $I$2, $I$3)))</f>
        <v/>
      </c>
      <c r="K150" s="1033" t="str">
        <f>IF(K$6="","",IF(NOT(ISNUMBER(_xll.ciqfunctions.udf.CIQ(K$6,$F$2, $A150, $I$2, $I$3))),IF(K149=K$6,"",K149),_xll.ciqfunctions.udf.CIQ(K$6,$F$2, $A150, $I$2, $I$3)))</f>
        <v/>
      </c>
      <c r="L150" s="254" t="str">
        <f>IF(L$6="","",IF(NOT(ISNUMBER(_xll.ciqfunctions.udf.CIQ(L$6,$F$2, $A150, $I$2, $I$3))),IF(L149=L$6,"",L149),_xll.ciqfunctions.udf.CIQ(L$6,$F$2, $A150, $I$2, $I$3)))</f>
        <v/>
      </c>
      <c r="M150" s="254" t="str">
        <f>IF(M$6="","",IF(NOT(ISNUMBER(_xll.ciqfunctions.udf.CIQ(M$6,$F$2, $A150, $I$2, $I$3))),IF(M149=M$6,"",M149),_xll.ciqfunctions.udf.CIQ(M$6,$F$2, $A150, $I$2, $I$3)))</f>
        <v/>
      </c>
      <c r="N150" s="254" t="str">
        <f>IF(N$6="","",IF(NOT(ISNUMBER(_xll.ciqfunctions.udf.CIQ(N$6,$F$2, $A150, $I$2, $I$3))),IF(N149=N$6,"",N149),_xll.ciqfunctions.udf.CIQ(N$6,$F$2, $A150, $I$2, $I$3)))</f>
        <v/>
      </c>
      <c r="O150" s="254" t="str">
        <f>IF(O$6="","",IF(NOT(ISNUMBER(_xll.ciqfunctions.udf.CIQ(O$6,$F$2, $A150, $I$2, $I$3))),IF(O149=O$6,"",O149),_xll.ciqfunctions.udf.CIQ(O$6,$F$2, $A150, $I$2, $I$3)))</f>
        <v/>
      </c>
      <c r="P150" s="254" t="str">
        <f>IF(P$6="","",IF(NOT(ISNUMBER(_xll.ciqfunctions.udf.CIQ(P$6,$F$2, $A150, $I$2, $I$3))),IF(P149=P$6,"",P149),_xll.ciqfunctions.udf.CIQ(P$6,$F$2, $A150, $I$2, $I$3)))</f>
        <v/>
      </c>
      <c r="Q150" s="254"/>
      <c r="R150" s="251">
        <f t="shared" si="94"/>
        <v>43826</v>
      </c>
      <c r="S150" s="255">
        <f t="shared" si="96"/>
        <v>0.659128745837958</v>
      </c>
      <c r="T150" s="255">
        <f t="shared" si="97"/>
        <v>0.38629211374269645</v>
      </c>
      <c r="U150" s="255">
        <f t="shared" si="98"/>
        <v>0.3148762995680352</v>
      </c>
      <c r="V150" s="255">
        <f t="shared" si="112"/>
        <v>9.3932446015564164E-2</v>
      </c>
      <c r="W150" s="255">
        <f t="array" ref="W150">IFERROR(AVERAGE(IF(ISERROR(X150:AG150),"",X150:AG150)),"")</f>
        <v>0.7538911085932376</v>
      </c>
      <c r="X150" s="255">
        <f t="shared" si="113"/>
        <v>0.7538911085932376</v>
      </c>
      <c r="Y150" s="255" t="e">
        <f t="shared" si="84"/>
        <v>#N/A</v>
      </c>
      <c r="Z150" s="255" t="e">
        <f t="shared" si="85"/>
        <v>#N/A</v>
      </c>
      <c r="AA150" s="255" t="e">
        <f t="shared" si="86"/>
        <v>#N/A</v>
      </c>
      <c r="AB150" s="255" t="e">
        <f t="shared" si="87"/>
        <v>#N/A</v>
      </c>
      <c r="AC150" s="255" t="e">
        <f t="shared" si="88"/>
        <v>#N/A</v>
      </c>
      <c r="AD150" s="255" t="e">
        <f t="shared" si="89"/>
        <v>#N/A</v>
      </c>
      <c r="AE150" s="255" t="e">
        <f t="shared" si="90"/>
        <v>#N/A</v>
      </c>
      <c r="AF150" s="255" t="e">
        <f t="shared" si="91"/>
        <v>#N/A</v>
      </c>
      <c r="AG150" s="255" t="e">
        <f t="shared" si="92"/>
        <v>#N/A</v>
      </c>
      <c r="AI150" s="251">
        <f t="shared" si="95"/>
        <v>43826</v>
      </c>
      <c r="AJ150" s="718">
        <f>IF(OR($B150="No",AJ$6=""),"",IF(NOT(ISNUMBER(_xll.ciqfunctions.udf.CIQ(AJ$6,"IQ_TEV",$AI150,$I$2,$I$3))),"",_xll.ciqfunctions.udf.CIQ(AJ$6,"IQ_TEV",$AI150,$I$2,$I$3)))</f>
        <v>413956.75060000003</v>
      </c>
      <c r="AK150" s="718">
        <f>IF(OR($B150="No",AK$6=""),"",IF(NOT(ISNUMBER(_xll.ciqfunctions.udf.CIQ(AK$6,"IQ_TEV",$AI150,$I$2,$I$3))),"",_xll.ciqfunctions.udf.CIQ(AK$6,"IQ_TEV",$AI150,$I$2,$I$3)))</f>
        <v>130086.33568</v>
      </c>
      <c r="AL150" s="718" t="str">
        <f>IF(OR($B150="No",AL$6=""),"",IF(NOT(ISNUMBER(_xll.ciqfunctions.udf.CIQ(AL$6,"IQ_TEV",$AI150,$I$2,$I$3))),"",_xll.ciqfunctions.udf.CIQ(AL$6,"IQ_TEV",$AI150,$I$2,$I$3)))</f>
        <v/>
      </c>
      <c r="AM150" s="718" t="str">
        <f>IF(OR($B150="No",AM$6=""),"",IF(NOT(ISNUMBER(_xll.ciqfunctions.udf.CIQ(AM$6,"IQ_TEV",$AI150,$I$2,$I$3))),"",_xll.ciqfunctions.udf.CIQ(AM$6,"IQ_TEV",$AI150,$I$2,$I$3)))</f>
        <v/>
      </c>
      <c r="AN150" s="718" t="str">
        <f>IF(OR($B150="No",AN$6=""),"",IF(NOT(ISNUMBER(_xll.ciqfunctions.udf.CIQ(AN$6,"IQ_TEV",$AI150,$I$2,$I$3))),"",_xll.ciqfunctions.udf.CIQ(AN$6,"IQ_TEV",$AI150,$I$2,$I$3)))</f>
        <v/>
      </c>
      <c r="AO150" s="718" t="str">
        <f>IF(OR($B150="No",AO$6=""),"",IF(NOT(ISNUMBER(_xll.ciqfunctions.udf.CIQ(AO$6,"IQ_TEV",$AI150,$I$2,$I$3))),"",_xll.ciqfunctions.udf.CIQ(AO$6,"IQ_TEV",$AI150,$I$2,$I$3)))</f>
        <v/>
      </c>
      <c r="AP150" s="718" t="str">
        <f>IF(OR($B150="No",AP$6=""),"",IF(NOT(ISNUMBER(_xll.ciqfunctions.udf.CIQ(AP$6,"IQ_TEV",$AI150,$I$2,$I$3))),"",_xll.ciqfunctions.udf.CIQ(AP$6,"IQ_TEV",$AI150,$I$2,$I$3)))</f>
        <v/>
      </c>
      <c r="AQ150" s="718" t="str">
        <f>IF(OR($B150="No",AQ$6=""),"",IF(NOT(ISNUMBER(_xll.ciqfunctions.udf.CIQ(AQ$6,"IQ_TEV",$AI150,$I$2,$I$3))),"",_xll.ciqfunctions.udf.CIQ(AQ$6,"IQ_TEV",$AI150,$I$2,$I$3)))</f>
        <v/>
      </c>
      <c r="AR150" s="718" t="str">
        <f>IF(OR($B150="No",AR$6=""),"",IF(NOT(ISNUMBER(_xll.ciqfunctions.udf.CIQ(AR$6,"IQ_TEV",$AI150,$I$2,$I$3))),"",_xll.ciqfunctions.udf.CIQ(AR$6,"IQ_TEV",$AI150,$I$2,$I$3)))</f>
        <v/>
      </c>
      <c r="AS150" s="718" t="str">
        <f>IF(OR($B150="No",AS$6=""),"",IF(NOT(ISNUMBER(_xll.ciqfunctions.udf.CIQ(AS$6,"IQ_TEV",$AI150,$I$2,$I$3))),"",_xll.ciqfunctions.udf.CIQ(AS$6,"IQ_TEV",$AI150,$I$2,$I$3)))</f>
        <v/>
      </c>
      <c r="AT150" s="718" t="str">
        <f>IF(OR($B150="No",AT$6=""),"",IF(NOT(ISNUMBER(_xll.ciqfunctions.udf.CIQ(AT$6,"IQ_TEV",$AI150,$I$2,$I$3))),"",_xll.ciqfunctions.udf.CIQ(AT$6,"IQ_TEV",$AI150,$I$2,$I$3)))</f>
        <v/>
      </c>
      <c r="AV150" s="251">
        <f t="shared" si="99"/>
        <v>43826</v>
      </c>
      <c r="AW150" s="719">
        <f t="shared" si="100"/>
        <v>0.58569310057226698</v>
      </c>
      <c r="AX150" s="719">
        <f t="shared" si="101"/>
        <v>0.78237453629519504</v>
      </c>
      <c r="AY150" s="719" t="e">
        <f t="shared" si="102"/>
        <v>#N/A</v>
      </c>
      <c r="AZ150" s="719" t="e">
        <f t="shared" si="103"/>
        <v>#N/A</v>
      </c>
      <c r="BA150" s="719" t="e">
        <f t="shared" si="104"/>
        <v>#N/A</v>
      </c>
      <c r="BB150" s="719" t="e">
        <f t="shared" si="105"/>
        <v>#N/A</v>
      </c>
      <c r="BC150" s="719" t="e">
        <f t="shared" si="106"/>
        <v>#N/A</v>
      </c>
      <c r="BD150" s="719" t="e">
        <f t="shared" si="107"/>
        <v>#N/A</v>
      </c>
      <c r="BE150" s="719" t="e">
        <f t="shared" si="108"/>
        <v>#N/A</v>
      </c>
      <c r="BF150" s="719" t="e">
        <f t="shared" si="109"/>
        <v>#N/A</v>
      </c>
      <c r="BG150" s="719" t="e">
        <f t="shared" si="110"/>
        <v>#N/A</v>
      </c>
    </row>
    <row r="151" spans="1:59" ht="15" customHeight="1" x14ac:dyDescent="0.2">
      <c r="A151" s="251">
        <f t="shared" si="93"/>
        <v>43833</v>
      </c>
      <c r="B151" s="253" t="str">
        <f t="shared" si="111"/>
        <v>Yes</v>
      </c>
      <c r="C151" s="1033">
        <f>IF(C$6="","",IF(NOT(ISNUMBER(_xll.ciqfunctions.udf.CIQ(C$6,$F$2, $A151, $I$2, $I$3))),IF(C150=C$6,"",C150),_xll.ciqfunctions.udf.CIQ(C$6,$F$2, $A151, $I$2, $I$3)))</f>
        <v>117.89</v>
      </c>
      <c r="D151" s="1033">
        <f>IF(D$6="","",IF(NOT(ISNUMBER(_xll.ciqfunctions.udf.CIQ(D$6,$F$2, $A151, $I$2, $I$3))),IF(D150=D$6,"",D150),_xll.ciqfunctions.udf.CIQ(D$6,$F$2, $A151, $I$2, $I$3)))</f>
        <v>28634.883699999998</v>
      </c>
      <c r="E151" s="1033">
        <f>IF(E$6="","",IF(NOT(ISNUMBER(_xll.ciqfunctions.udf.CIQ(E$6,$F$2, $A151, $I$2, $I$3))),IF(E150=E$6,"",E150),_xll.ciqfunctions.udf.CIQ(E$6,$F$2, $A151, $I$2, $I$3)))</f>
        <v>9385.5626100000009</v>
      </c>
      <c r="F151" s="1033">
        <f>IF(F$6="","",IF(NOT(ISNUMBER(_xll.ciqfunctions.udf.CIQ(F$6,$F$2, $A151, $I$2, $I$3))),IF(F150=F$6,"",F150),_xll.ciqfunctions.udf.CIQ(F$6,$F$2, $A151, $I$2, $I$3)))</f>
        <v>4704.1166899999998</v>
      </c>
      <c r="G151" s="1033">
        <f>IF(G$6="","",IF(NOT(ISNUMBER(_xll.ciqfunctions.udf.CIQ(G$6,$F$2, $A151, $I$2, $I$3))),IF(G150=G$6,"",G150),_xll.ciqfunctions.udf.CIQ(G$6,$F$2, $A151, $I$2, $I$3)))</f>
        <v>291.73</v>
      </c>
      <c r="H151" s="1033" t="str">
        <f>IF(H$6="","",IF(NOT(ISNUMBER(_xll.ciqfunctions.udf.CIQ(H$6,$F$2, $A151, $I$2, $I$3))),IF(H150=H$6,"",H150),_xll.ciqfunctions.udf.CIQ(H$6,$F$2, $A151, $I$2, $I$3)))</f>
        <v/>
      </c>
      <c r="I151" s="1033" t="str">
        <f>IF(I$6="","",IF(NOT(ISNUMBER(_xll.ciqfunctions.udf.CIQ(I$6,$F$2, $A151, $I$2, $I$3))),IF(I150=I$6,"",I150),_xll.ciqfunctions.udf.CIQ(I$6,$F$2, $A151, $I$2, $I$3)))</f>
        <v/>
      </c>
      <c r="J151" s="1033" t="str">
        <f>IF(J$6="","",IF(NOT(ISNUMBER(_xll.ciqfunctions.udf.CIQ(J$6,$F$2, $A151, $I$2, $I$3))),IF(J150=J$6,"",J150),_xll.ciqfunctions.udf.CIQ(J$6,$F$2, $A151, $I$2, $I$3)))</f>
        <v/>
      </c>
      <c r="K151" s="1033" t="str">
        <f>IF(K$6="","",IF(NOT(ISNUMBER(_xll.ciqfunctions.udf.CIQ(K$6,$F$2, $A151, $I$2, $I$3))),IF(K150=K$6,"",K150),_xll.ciqfunctions.udf.CIQ(K$6,$F$2, $A151, $I$2, $I$3)))</f>
        <v/>
      </c>
      <c r="L151" s="254" t="str">
        <f>IF(L$6="","",IF(NOT(ISNUMBER(_xll.ciqfunctions.udf.CIQ(L$6,$F$2, $A151, $I$2, $I$3))),IF(L150=L$6,"",L150),_xll.ciqfunctions.udf.CIQ(L$6,$F$2, $A151, $I$2, $I$3)))</f>
        <v/>
      </c>
      <c r="M151" s="254" t="str">
        <f>IF(M$6="","",IF(NOT(ISNUMBER(_xll.ciqfunctions.udf.CIQ(M$6,$F$2, $A151, $I$2, $I$3))),IF(M150=M$6,"",M150),_xll.ciqfunctions.udf.CIQ(M$6,$F$2, $A151, $I$2, $I$3)))</f>
        <v/>
      </c>
      <c r="N151" s="254" t="str">
        <f>IF(N$6="","",IF(NOT(ISNUMBER(_xll.ciqfunctions.udf.CIQ(N$6,$F$2, $A151, $I$2, $I$3))),IF(N150=N$6,"",N150),_xll.ciqfunctions.udf.CIQ(N$6,$F$2, $A151, $I$2, $I$3)))</f>
        <v/>
      </c>
      <c r="O151" s="254" t="str">
        <f>IF(O$6="","",IF(NOT(ISNUMBER(_xll.ciqfunctions.udf.CIQ(O$6,$F$2, $A151, $I$2, $I$3))),IF(O150=O$6,"",O150),_xll.ciqfunctions.udf.CIQ(O$6,$F$2, $A151, $I$2, $I$3)))</f>
        <v/>
      </c>
      <c r="P151" s="254" t="str">
        <f>IF(P$6="","",IF(NOT(ISNUMBER(_xll.ciqfunctions.udf.CIQ(P$6,$F$2, $A151, $I$2, $I$3))),IF(P150=P$6,"",P150),_xll.ciqfunctions.udf.CIQ(P$6,$F$2, $A151, $I$2, $I$3)))</f>
        <v/>
      </c>
      <c r="Q151" s="254"/>
      <c r="R151" s="251">
        <f t="shared" si="94"/>
        <v>43833</v>
      </c>
      <c r="S151" s="255">
        <f t="shared" si="96"/>
        <v>0.63554384017758059</v>
      </c>
      <c r="T151" s="255">
        <f t="shared" si="97"/>
        <v>0.38578993163033992</v>
      </c>
      <c r="U151" s="255">
        <f t="shared" si="98"/>
        <v>0.31159829136084016</v>
      </c>
      <c r="V151" s="255">
        <f t="shared" si="112"/>
        <v>7.1617427762127983E-2</v>
      </c>
      <c r="W151" s="255">
        <f t="array" ref="W151">IFERROR(AVERAGE(IF(ISERROR(X151:AG151),"",X151:AG151)),"")</f>
        <v>0.73969825272824874</v>
      </c>
      <c r="X151" s="255">
        <f t="shared" si="113"/>
        <v>0.73969825272824874</v>
      </c>
      <c r="Y151" s="255" t="e">
        <f t="shared" si="84"/>
        <v>#N/A</v>
      </c>
      <c r="Z151" s="255" t="e">
        <f t="shared" si="85"/>
        <v>#N/A</v>
      </c>
      <c r="AA151" s="255" t="e">
        <f t="shared" si="86"/>
        <v>#N/A</v>
      </c>
      <c r="AB151" s="255" t="e">
        <f t="shared" si="87"/>
        <v>#N/A</v>
      </c>
      <c r="AC151" s="255" t="e">
        <f t="shared" si="88"/>
        <v>#N/A</v>
      </c>
      <c r="AD151" s="255" t="e">
        <f t="shared" si="89"/>
        <v>#N/A</v>
      </c>
      <c r="AE151" s="255" t="e">
        <f t="shared" si="90"/>
        <v>#N/A</v>
      </c>
      <c r="AF151" s="255" t="e">
        <f t="shared" si="91"/>
        <v>#N/A</v>
      </c>
      <c r="AG151" s="255" t="e">
        <f t="shared" si="92"/>
        <v>#N/A</v>
      </c>
      <c r="AI151" s="251">
        <f t="shared" si="95"/>
        <v>43833</v>
      </c>
      <c r="AJ151" s="718">
        <f>IF(OR($B151="No",AJ$6=""),"",IF(NOT(ISNUMBER(_xll.ciqfunctions.udf.CIQ(AJ$6,"IQ_TEV",$AI151,$I$2,$I$3))),"",_xll.ciqfunctions.udf.CIQ(AJ$6,"IQ_TEV",$AI151,$I$2,$I$3)))</f>
        <v>409133.55320999998</v>
      </c>
      <c r="AK151" s="718">
        <f>IF(OR($B151="No",AK$6=""),"",IF(NOT(ISNUMBER(_xll.ciqfunctions.udf.CIQ(AK$6,"IQ_TEV",$AI151,$I$2,$I$3))),"",_xll.ciqfunctions.udf.CIQ(AK$6,"IQ_TEV",$AI151,$I$2,$I$3)))</f>
        <v>129034.95252000001</v>
      </c>
      <c r="AL151" s="718" t="str">
        <f>IF(OR($B151="No",AL$6=""),"",IF(NOT(ISNUMBER(_xll.ciqfunctions.udf.CIQ(AL$6,"IQ_TEV",$AI151,$I$2,$I$3))),"",_xll.ciqfunctions.udf.CIQ(AL$6,"IQ_TEV",$AI151,$I$2,$I$3)))</f>
        <v/>
      </c>
      <c r="AM151" s="718" t="str">
        <f>IF(OR($B151="No",AM$6=""),"",IF(NOT(ISNUMBER(_xll.ciqfunctions.udf.CIQ(AM$6,"IQ_TEV",$AI151,$I$2,$I$3))),"",_xll.ciqfunctions.udf.CIQ(AM$6,"IQ_TEV",$AI151,$I$2,$I$3)))</f>
        <v/>
      </c>
      <c r="AN151" s="718" t="str">
        <f>IF(OR($B151="No",AN$6=""),"",IF(NOT(ISNUMBER(_xll.ciqfunctions.udf.CIQ(AN$6,"IQ_TEV",$AI151,$I$2,$I$3))),"",_xll.ciqfunctions.udf.CIQ(AN$6,"IQ_TEV",$AI151,$I$2,$I$3)))</f>
        <v/>
      </c>
      <c r="AO151" s="718" t="str">
        <f>IF(OR($B151="No",AO$6=""),"",IF(NOT(ISNUMBER(_xll.ciqfunctions.udf.CIQ(AO$6,"IQ_TEV",$AI151,$I$2,$I$3))),"",_xll.ciqfunctions.udf.CIQ(AO$6,"IQ_TEV",$AI151,$I$2,$I$3)))</f>
        <v/>
      </c>
      <c r="AP151" s="718" t="str">
        <f>IF(OR($B151="No",AP$6=""),"",IF(NOT(ISNUMBER(_xll.ciqfunctions.udf.CIQ(AP$6,"IQ_TEV",$AI151,$I$2,$I$3))),"",_xll.ciqfunctions.udf.CIQ(AP$6,"IQ_TEV",$AI151,$I$2,$I$3)))</f>
        <v/>
      </c>
      <c r="AQ151" s="718" t="str">
        <f>IF(OR($B151="No",AQ$6=""),"",IF(NOT(ISNUMBER(_xll.ciqfunctions.udf.CIQ(AQ$6,"IQ_TEV",$AI151,$I$2,$I$3))),"",_xll.ciqfunctions.udf.CIQ(AQ$6,"IQ_TEV",$AI151,$I$2,$I$3)))</f>
        <v/>
      </c>
      <c r="AR151" s="718" t="str">
        <f>IF(OR($B151="No",AR$6=""),"",IF(NOT(ISNUMBER(_xll.ciqfunctions.udf.CIQ(AR$6,"IQ_TEV",$AI151,$I$2,$I$3))),"",_xll.ciqfunctions.udf.CIQ(AR$6,"IQ_TEV",$AI151,$I$2,$I$3)))</f>
        <v/>
      </c>
      <c r="AS151" s="718" t="str">
        <f>IF(OR($B151="No",AS$6=""),"",IF(NOT(ISNUMBER(_xll.ciqfunctions.udf.CIQ(AS$6,"IQ_TEV",$AI151,$I$2,$I$3))),"",_xll.ciqfunctions.udf.CIQ(AS$6,"IQ_TEV",$AI151,$I$2,$I$3)))</f>
        <v/>
      </c>
      <c r="AT151" s="718" t="str">
        <f>IF(OR($B151="No",AT$6=""),"",IF(NOT(ISNUMBER(_xll.ciqfunctions.udf.CIQ(AT$6,"IQ_TEV",$AI151,$I$2,$I$3))),"",_xll.ciqfunctions.udf.CIQ(AT$6,"IQ_TEV",$AI151,$I$2,$I$3)))</f>
        <v/>
      </c>
      <c r="AV151" s="251">
        <f t="shared" si="99"/>
        <v>43833</v>
      </c>
      <c r="AW151" s="719">
        <f t="shared" si="100"/>
        <v>0.56721747283353374</v>
      </c>
      <c r="AX151" s="719">
        <f t="shared" si="101"/>
        <v>0.76796903734345778</v>
      </c>
      <c r="AY151" s="719" t="e">
        <f t="shared" si="102"/>
        <v>#N/A</v>
      </c>
      <c r="AZ151" s="719" t="e">
        <f t="shared" si="103"/>
        <v>#N/A</v>
      </c>
      <c r="BA151" s="719" t="e">
        <f t="shared" si="104"/>
        <v>#N/A</v>
      </c>
      <c r="BB151" s="719" t="e">
        <f t="shared" si="105"/>
        <v>#N/A</v>
      </c>
      <c r="BC151" s="719" t="e">
        <f t="shared" si="106"/>
        <v>#N/A</v>
      </c>
      <c r="BD151" s="719" t="e">
        <f t="shared" si="107"/>
        <v>#N/A</v>
      </c>
      <c r="BE151" s="719" t="e">
        <f t="shared" si="108"/>
        <v>#N/A</v>
      </c>
      <c r="BF151" s="719" t="e">
        <f t="shared" si="109"/>
        <v>#N/A</v>
      </c>
      <c r="BG151" s="719" t="e">
        <f t="shared" si="110"/>
        <v>#N/A</v>
      </c>
    </row>
    <row r="152" spans="1:59" ht="15" customHeight="1" x14ac:dyDescent="0.2">
      <c r="A152" s="251">
        <f t="shared" si="93"/>
        <v>43840</v>
      </c>
      <c r="B152" s="253" t="str">
        <f t="shared" si="111"/>
        <v>Yes</v>
      </c>
      <c r="C152" s="1033">
        <f>IF(C$6="","",IF(NOT(ISNUMBER(_xll.ciqfunctions.udf.CIQ(C$6,$F$2, $A152, $I$2, $I$3))),IF(C151=C$6,"",C151),_xll.ciqfunctions.udf.CIQ(C$6,$F$2, $A152, $I$2, $I$3)))</f>
        <v>116.38</v>
      </c>
      <c r="D152" s="1033">
        <f>IF(D$6="","",IF(NOT(ISNUMBER(_xll.ciqfunctions.udf.CIQ(D$6,$F$2, $A152, $I$2, $I$3))),IF(D151=D$6,"",D151),_xll.ciqfunctions.udf.CIQ(D$6,$F$2, $A152, $I$2, $I$3)))</f>
        <v>28823.766820000001</v>
      </c>
      <c r="E152" s="1033">
        <f>IF(E$6="","",IF(NOT(ISNUMBER(_xll.ciqfunctions.udf.CIQ(E$6,$F$2, $A152, $I$2, $I$3))),IF(E151=E$6,"",E151),_xll.ciqfunctions.udf.CIQ(E$6,$F$2, $A152, $I$2, $I$3)))</f>
        <v>9447.1867600000005</v>
      </c>
      <c r="F152" s="1033">
        <f>IF(F$6="","",IF(NOT(ISNUMBER(_xll.ciqfunctions.udf.CIQ(F$6,$F$2, $A152, $I$2, $I$3))),IF(F151=F$6,"",F151),_xll.ciqfunctions.udf.CIQ(F$6,$F$2, $A152, $I$2, $I$3)))</f>
        <v>4670.16111</v>
      </c>
      <c r="G152" s="1033">
        <f>IF(G$6="","",IF(NOT(ISNUMBER(_xll.ciqfunctions.udf.CIQ(G$6,$F$2, $A152, $I$2, $I$3))),IF(G151=G$6,"",G151),_xll.ciqfunctions.udf.CIQ(G$6,$F$2, $A152, $I$2, $I$3)))</f>
        <v>297.24</v>
      </c>
      <c r="H152" s="1033" t="str">
        <f>IF(H$6="","",IF(NOT(ISNUMBER(_xll.ciqfunctions.udf.CIQ(H$6,$F$2, $A152, $I$2, $I$3))),IF(H151=H$6,"",H151),_xll.ciqfunctions.udf.CIQ(H$6,$F$2, $A152, $I$2, $I$3)))</f>
        <v/>
      </c>
      <c r="I152" s="1033" t="str">
        <f>IF(I$6="","",IF(NOT(ISNUMBER(_xll.ciqfunctions.udf.CIQ(I$6,$F$2, $A152, $I$2, $I$3))),IF(I151=I$6,"",I151),_xll.ciqfunctions.udf.CIQ(I$6,$F$2, $A152, $I$2, $I$3)))</f>
        <v/>
      </c>
      <c r="J152" s="1033" t="str">
        <f>IF(J$6="","",IF(NOT(ISNUMBER(_xll.ciqfunctions.udf.CIQ(J$6,$F$2, $A152, $I$2, $I$3))),IF(J151=J$6,"",J151),_xll.ciqfunctions.udf.CIQ(J$6,$F$2, $A152, $I$2, $I$3)))</f>
        <v/>
      </c>
      <c r="K152" s="1033" t="str">
        <f>IF(K$6="","",IF(NOT(ISNUMBER(_xll.ciqfunctions.udf.CIQ(K$6,$F$2, $A152, $I$2, $I$3))),IF(K151=K$6,"",K151),_xll.ciqfunctions.udf.CIQ(K$6,$F$2, $A152, $I$2, $I$3)))</f>
        <v/>
      </c>
      <c r="L152" s="254" t="str">
        <f>IF(L$6="","",IF(NOT(ISNUMBER(_xll.ciqfunctions.udf.CIQ(L$6,$F$2, $A152, $I$2, $I$3))),IF(L151=L$6,"",L151),_xll.ciqfunctions.udf.CIQ(L$6,$F$2, $A152, $I$2, $I$3)))</f>
        <v/>
      </c>
      <c r="M152" s="254" t="str">
        <f>IF(M$6="","",IF(NOT(ISNUMBER(_xll.ciqfunctions.udf.CIQ(M$6,$F$2, $A152, $I$2, $I$3))),IF(M151=M$6,"",M151),_xll.ciqfunctions.udf.CIQ(M$6,$F$2, $A152, $I$2, $I$3)))</f>
        <v/>
      </c>
      <c r="N152" s="254" t="str">
        <f>IF(N$6="","",IF(NOT(ISNUMBER(_xll.ciqfunctions.udf.CIQ(N$6,$F$2, $A152, $I$2, $I$3))),IF(N151=N$6,"",N151),_xll.ciqfunctions.udf.CIQ(N$6,$F$2, $A152, $I$2, $I$3)))</f>
        <v/>
      </c>
      <c r="O152" s="254" t="str">
        <f>IF(O$6="","",IF(NOT(ISNUMBER(_xll.ciqfunctions.udf.CIQ(O$6,$F$2, $A152, $I$2, $I$3))),IF(O151=O$6,"",O151),_xll.ciqfunctions.udf.CIQ(O$6,$F$2, $A152, $I$2, $I$3)))</f>
        <v/>
      </c>
      <c r="P152" s="254" t="str">
        <f>IF(P$6="","",IF(NOT(ISNUMBER(_xll.ciqfunctions.udf.CIQ(P$6,$F$2, $A152, $I$2, $I$3))),IF(P151=P$6,"",P151),_xll.ciqfunctions.udf.CIQ(P$6,$F$2, $A152, $I$2, $I$3)))</f>
        <v/>
      </c>
      <c r="Q152" s="254"/>
      <c r="R152" s="251">
        <f t="shared" si="94"/>
        <v>43840</v>
      </c>
      <c r="S152" s="255">
        <f t="shared" si="96"/>
        <v>0.61459489456159822</v>
      </c>
      <c r="T152" s="255">
        <f t="shared" si="97"/>
        <v>0.39493096145582252</v>
      </c>
      <c r="U152" s="255">
        <f t="shared" si="98"/>
        <v>0.32021004253710372</v>
      </c>
      <c r="V152" s="255">
        <f t="shared" si="112"/>
        <v>6.3882204829601053E-2</v>
      </c>
      <c r="W152" s="255">
        <f t="array" ref="W152">IFERROR(AVERAGE(IF(ISERROR(X152:AG152),"",X152:AG152)),"")</f>
        <v>0.77255650307114321</v>
      </c>
      <c r="X152" s="255">
        <f t="shared" si="113"/>
        <v>0.77255650307114321</v>
      </c>
      <c r="Y152" s="255" t="e">
        <f t="shared" ref="Y152:Y215" si="114">IF(H152="",NA(),IF(OR($B152="No",H152=""),NA(),IF(AND(ISNA(Y151),H152=Y$3),0,IF($A$2="Yes",H152/H151-1,H152/Y$3-1))))</f>
        <v>#N/A</v>
      </c>
      <c r="Z152" s="255" t="e">
        <f t="shared" ref="Z152:Z215" si="115">IF(I152="",NA(),IF(OR($B152="No",I152=""),NA(),IF(AND(ISNA(Z151),I152=Z$3),0,IF($A$2="Yes",I152/I151-1,I152/Z$3-1))))</f>
        <v>#N/A</v>
      </c>
      <c r="AA152" s="255" t="e">
        <f t="shared" ref="AA152:AA215" si="116">IF(J152="",NA(),IF(OR($B152="No",J152=""),NA(),IF(AND(ISNA(AA151),J152=AA$3),0,IF($A$2="Yes",J152/J151-1,J152/AA$3-1))))</f>
        <v>#N/A</v>
      </c>
      <c r="AB152" s="255" t="e">
        <f t="shared" ref="AB152:AB215" si="117">IF(K152="",NA(),IF(OR($B152="No",K152=""),NA(),IF(AND(ISNA(AB151),K152=AB$3),0,IF($A$2="Yes",K152/K151-1,K152/AB$3-1))))</f>
        <v>#N/A</v>
      </c>
      <c r="AC152" s="255" t="e">
        <f t="shared" ref="AC152:AC215" si="118">IF(L152="",NA(),IF(OR($B152="No",L152=""),NA(),IF(AND(ISNA(AC151),L152=AC$3),0,IF($A$2="Yes",L152/L151-1,L152/AC$3-1))))</f>
        <v>#N/A</v>
      </c>
      <c r="AD152" s="255" t="e">
        <f t="shared" ref="AD152:AD215" si="119">IF(M152="",NA(),IF(OR($B152="No",M152=""),NA(),IF(AND(ISNA(AD151),M152=AD$3),0,IF($A$2="Yes",M152/M151-1,M152/AD$3-1))))</f>
        <v>#N/A</v>
      </c>
      <c r="AE152" s="255" t="e">
        <f t="shared" ref="AE152:AE215" si="120">IF(N152="",NA(),IF(OR($B152="No",N152=""),NA(),IF(AND(ISNA(AE151),N152=AE$3),0,IF($A$2="Yes",N152/N151-1,N152/AE$3-1))))</f>
        <v>#N/A</v>
      </c>
      <c r="AF152" s="255" t="e">
        <f t="shared" ref="AF152:AF215" si="121">IF(O152="",NA(),IF(OR($B152="No",O152=""),NA(),IF(AND(ISNA(AF151),O152=AF$3),0,IF($A$2="Yes",O152/O151-1,O152/AF$3-1))))</f>
        <v>#N/A</v>
      </c>
      <c r="AG152" s="255" t="e">
        <f t="shared" ref="AG152:AG215" si="122">IF(P152="",NA(),IF(OR($B152="No",P152=""),NA(),IF(AND(ISNA(AG151),P152=AG$3),0,IF($A$2="Yes",P152/P151-1,P152/AG$3-1))))</f>
        <v>#N/A</v>
      </c>
      <c r="AI152" s="251">
        <f t="shared" si="95"/>
        <v>43840</v>
      </c>
      <c r="AJ152" s="718">
        <f>IF(OR($B152="No",AJ$6=""),"",IF(NOT(ISNUMBER(_xll.ciqfunctions.udf.CIQ(AJ$6,"IQ_TEV",$AI152,$I$2,$I$3))),"",_xll.ciqfunctions.udf.CIQ(AJ$6,"IQ_TEV",$AI152,$I$2,$I$3)))</f>
        <v>404849.41905000003</v>
      </c>
      <c r="AK152" s="718">
        <f>IF(OR($B152="No",AK$6=""),"",IF(NOT(ISNUMBER(_xll.ciqfunctions.udf.CIQ(AK$6,"IQ_TEV",$AI152,$I$2,$I$3))),"",_xll.ciqfunctions.udf.CIQ(AK$6,"IQ_TEV",$AI152,$I$2,$I$3)))</f>
        <v>131469.03705000001</v>
      </c>
      <c r="AL152" s="718" t="str">
        <f>IF(OR($B152="No",AL$6=""),"",IF(NOT(ISNUMBER(_xll.ciqfunctions.udf.CIQ(AL$6,"IQ_TEV",$AI152,$I$2,$I$3))),"",_xll.ciqfunctions.udf.CIQ(AL$6,"IQ_TEV",$AI152,$I$2,$I$3)))</f>
        <v/>
      </c>
      <c r="AM152" s="718" t="str">
        <f>IF(OR($B152="No",AM$6=""),"",IF(NOT(ISNUMBER(_xll.ciqfunctions.udf.CIQ(AM$6,"IQ_TEV",$AI152,$I$2,$I$3))),"",_xll.ciqfunctions.udf.CIQ(AM$6,"IQ_TEV",$AI152,$I$2,$I$3)))</f>
        <v/>
      </c>
      <c r="AN152" s="718" t="str">
        <f>IF(OR($B152="No",AN$6=""),"",IF(NOT(ISNUMBER(_xll.ciqfunctions.udf.CIQ(AN$6,"IQ_TEV",$AI152,$I$2,$I$3))),"",_xll.ciqfunctions.udf.CIQ(AN$6,"IQ_TEV",$AI152,$I$2,$I$3)))</f>
        <v/>
      </c>
      <c r="AO152" s="718" t="str">
        <f>IF(OR($B152="No",AO$6=""),"",IF(NOT(ISNUMBER(_xll.ciqfunctions.udf.CIQ(AO$6,"IQ_TEV",$AI152,$I$2,$I$3))),"",_xll.ciqfunctions.udf.CIQ(AO$6,"IQ_TEV",$AI152,$I$2,$I$3)))</f>
        <v/>
      </c>
      <c r="AP152" s="718" t="str">
        <f>IF(OR($B152="No",AP$6=""),"",IF(NOT(ISNUMBER(_xll.ciqfunctions.udf.CIQ(AP$6,"IQ_TEV",$AI152,$I$2,$I$3))),"",_xll.ciqfunctions.udf.CIQ(AP$6,"IQ_TEV",$AI152,$I$2,$I$3)))</f>
        <v/>
      </c>
      <c r="AQ152" s="718" t="str">
        <f>IF(OR($B152="No",AQ$6=""),"",IF(NOT(ISNUMBER(_xll.ciqfunctions.udf.CIQ(AQ$6,"IQ_TEV",$AI152,$I$2,$I$3))),"",_xll.ciqfunctions.udf.CIQ(AQ$6,"IQ_TEV",$AI152,$I$2,$I$3)))</f>
        <v/>
      </c>
      <c r="AR152" s="718" t="str">
        <f>IF(OR($B152="No",AR$6=""),"",IF(NOT(ISNUMBER(_xll.ciqfunctions.udf.CIQ(AR$6,"IQ_TEV",$AI152,$I$2,$I$3))),"",_xll.ciqfunctions.udf.CIQ(AR$6,"IQ_TEV",$AI152,$I$2,$I$3)))</f>
        <v/>
      </c>
      <c r="AS152" s="718" t="str">
        <f>IF(OR($B152="No",AS$6=""),"",IF(NOT(ISNUMBER(_xll.ciqfunctions.udf.CIQ(AS$6,"IQ_TEV",$AI152,$I$2,$I$3))),"",_xll.ciqfunctions.udf.CIQ(AS$6,"IQ_TEV",$AI152,$I$2,$I$3)))</f>
        <v/>
      </c>
      <c r="AT152" s="718" t="str">
        <f>IF(OR($B152="No",AT$6=""),"",IF(NOT(ISNUMBER(_xll.ciqfunctions.udf.CIQ(AT$6,"IQ_TEV",$AI152,$I$2,$I$3))),"",_xll.ciqfunctions.udf.CIQ(AT$6,"IQ_TEV",$AI152,$I$2,$I$3)))</f>
        <v/>
      </c>
      <c r="AV152" s="251">
        <f t="shared" si="99"/>
        <v>43840</v>
      </c>
      <c r="AW152" s="719">
        <f t="shared" si="100"/>
        <v>0.55080676816549423</v>
      </c>
      <c r="AX152" s="719">
        <f t="shared" si="101"/>
        <v>0.80131958306206608</v>
      </c>
      <c r="AY152" s="719" t="e">
        <f t="shared" si="102"/>
        <v>#N/A</v>
      </c>
      <c r="AZ152" s="719" t="e">
        <f t="shared" si="103"/>
        <v>#N/A</v>
      </c>
      <c r="BA152" s="719" t="e">
        <f t="shared" si="104"/>
        <v>#N/A</v>
      </c>
      <c r="BB152" s="719" t="e">
        <f t="shared" si="105"/>
        <v>#N/A</v>
      </c>
      <c r="BC152" s="719" t="e">
        <f t="shared" si="106"/>
        <v>#N/A</v>
      </c>
      <c r="BD152" s="719" t="e">
        <f t="shared" si="107"/>
        <v>#N/A</v>
      </c>
      <c r="BE152" s="719" t="e">
        <f t="shared" si="108"/>
        <v>#N/A</v>
      </c>
      <c r="BF152" s="719" t="e">
        <f t="shared" si="109"/>
        <v>#N/A</v>
      </c>
      <c r="BG152" s="719" t="e">
        <f t="shared" si="110"/>
        <v>#N/A</v>
      </c>
    </row>
    <row r="153" spans="1:59" ht="15" customHeight="1" x14ac:dyDescent="0.2">
      <c r="A153" s="251">
        <f t="shared" si="93"/>
        <v>43847</v>
      </c>
      <c r="B153" s="253" t="str">
        <f t="shared" si="111"/>
        <v>Yes</v>
      </c>
      <c r="C153" s="1033">
        <f>IF(C$6="","",IF(NOT(ISNUMBER(_xll.ciqfunctions.udf.CIQ(C$6,$F$2, $A153, $I$2, $I$3))),IF(C152=C$6,"",C152),_xll.ciqfunctions.udf.CIQ(C$6,$F$2, $A153, $I$2, $I$3)))</f>
        <v>114.96</v>
      </c>
      <c r="D153" s="1033">
        <f>IF(D$6="","",IF(NOT(ISNUMBER(_xll.ciqfunctions.udf.CIQ(D$6,$F$2, $A153, $I$2, $I$3))),IF(D152=D$6,"",D152),_xll.ciqfunctions.udf.CIQ(D$6,$F$2, $A153, $I$2, $I$3)))</f>
        <v>29348.09549</v>
      </c>
      <c r="E153" s="1033">
        <f>IF(E$6="","",IF(NOT(ISNUMBER(_xll.ciqfunctions.udf.CIQ(E$6,$F$2, $A153, $I$2, $I$3))),IF(E152=E$6,"",E152),_xll.ciqfunctions.udf.CIQ(E$6,$F$2, $A153, $I$2, $I$3)))</f>
        <v>9674.9714000000004</v>
      </c>
      <c r="F153" s="1033">
        <f>IF(F$6="","",IF(NOT(ISNUMBER(_xll.ciqfunctions.udf.CIQ(F$6,$F$2, $A153, $I$2, $I$3))),IF(F152=F$6,"",F152),_xll.ciqfunctions.udf.CIQ(F$6,$F$2, $A153, $I$2, $I$3)))</f>
        <v>4756.9129499999999</v>
      </c>
      <c r="G153" s="1033">
        <f>IF(G$6="","",IF(NOT(ISNUMBER(_xll.ciqfunctions.udf.CIQ(G$6,$F$2, $A153, $I$2, $I$3))),IF(G152=G$6,"",G152),_xll.ciqfunctions.udf.CIQ(G$6,$F$2, $A153, $I$2, $I$3)))</f>
        <v>304.68</v>
      </c>
      <c r="H153" s="1033" t="str">
        <f>IF(H$6="","",IF(NOT(ISNUMBER(_xll.ciqfunctions.udf.CIQ(H$6,$F$2, $A153, $I$2, $I$3))),IF(H152=H$6,"",H152),_xll.ciqfunctions.udf.CIQ(H$6,$F$2, $A153, $I$2, $I$3)))</f>
        <v/>
      </c>
      <c r="I153" s="1033" t="str">
        <f>IF(I$6="","",IF(NOT(ISNUMBER(_xll.ciqfunctions.udf.CIQ(I$6,$F$2, $A153, $I$2, $I$3))),IF(I152=I$6,"",I152),_xll.ciqfunctions.udf.CIQ(I$6,$F$2, $A153, $I$2, $I$3)))</f>
        <v/>
      </c>
      <c r="J153" s="1033" t="str">
        <f>IF(J$6="","",IF(NOT(ISNUMBER(_xll.ciqfunctions.udf.CIQ(J$6,$F$2, $A153, $I$2, $I$3))),IF(J152=J$6,"",J152),_xll.ciqfunctions.udf.CIQ(J$6,$F$2, $A153, $I$2, $I$3)))</f>
        <v/>
      </c>
      <c r="K153" s="1033" t="str">
        <f>IF(K$6="","",IF(NOT(ISNUMBER(_xll.ciqfunctions.udf.CIQ(K$6,$F$2, $A153, $I$2, $I$3))),IF(K152=K$6,"",K152),_xll.ciqfunctions.udf.CIQ(K$6,$F$2, $A153, $I$2, $I$3)))</f>
        <v/>
      </c>
      <c r="L153" s="254" t="str">
        <f>IF(L$6="","",IF(NOT(ISNUMBER(_xll.ciqfunctions.udf.CIQ(L$6,$F$2, $A153, $I$2, $I$3))),IF(L152=L$6,"",L152),_xll.ciqfunctions.udf.CIQ(L$6,$F$2, $A153, $I$2, $I$3)))</f>
        <v/>
      </c>
      <c r="M153" s="254" t="str">
        <f>IF(M$6="","",IF(NOT(ISNUMBER(_xll.ciqfunctions.udf.CIQ(M$6,$F$2, $A153, $I$2, $I$3))),IF(M152=M$6,"",M152),_xll.ciqfunctions.udf.CIQ(M$6,$F$2, $A153, $I$2, $I$3)))</f>
        <v/>
      </c>
      <c r="N153" s="254" t="str">
        <f>IF(N$6="","",IF(NOT(ISNUMBER(_xll.ciqfunctions.udf.CIQ(N$6,$F$2, $A153, $I$2, $I$3))),IF(N152=N$6,"",N152),_xll.ciqfunctions.udf.CIQ(N$6,$F$2, $A153, $I$2, $I$3)))</f>
        <v/>
      </c>
      <c r="O153" s="254" t="str">
        <f>IF(O$6="","",IF(NOT(ISNUMBER(_xll.ciqfunctions.udf.CIQ(O$6,$F$2, $A153, $I$2, $I$3))),IF(O152=O$6,"",O152),_xll.ciqfunctions.udf.CIQ(O$6,$F$2, $A153, $I$2, $I$3)))</f>
        <v/>
      </c>
      <c r="P153" s="254" t="str">
        <f>IF(P$6="","",IF(NOT(ISNUMBER(_xll.ciqfunctions.udf.CIQ(P$6,$F$2, $A153, $I$2, $I$3))),IF(P152=P$6,"",P152),_xll.ciqfunctions.udf.CIQ(P$6,$F$2, $A153, $I$2, $I$3)))</f>
        <v/>
      </c>
      <c r="Q153" s="254"/>
      <c r="R153" s="251">
        <f t="shared" si="94"/>
        <v>43847</v>
      </c>
      <c r="S153" s="255">
        <f t="shared" si="96"/>
        <v>0.59489456159822418</v>
      </c>
      <c r="T153" s="255">
        <f t="shared" si="97"/>
        <v>0.42030593414171213</v>
      </c>
      <c r="U153" s="255">
        <f t="shared" si="98"/>
        <v>0.35204211878407521</v>
      </c>
      <c r="V153" s="255">
        <f t="shared" si="112"/>
        <v>8.3644636282897311E-2</v>
      </c>
      <c r="W153" s="255">
        <f t="array" ref="W153">IFERROR(AVERAGE(IF(ISERROR(X153:AG153),"",X153:AG153)),"")</f>
        <v>0.81692408611127676</v>
      </c>
      <c r="X153" s="255">
        <f t="shared" si="113"/>
        <v>0.81692408611127676</v>
      </c>
      <c r="Y153" s="255" t="e">
        <f t="shared" si="114"/>
        <v>#N/A</v>
      </c>
      <c r="Z153" s="255" t="e">
        <f t="shared" si="115"/>
        <v>#N/A</v>
      </c>
      <c r="AA153" s="255" t="e">
        <f t="shared" si="116"/>
        <v>#N/A</v>
      </c>
      <c r="AB153" s="255" t="e">
        <f t="shared" si="117"/>
        <v>#N/A</v>
      </c>
      <c r="AC153" s="255" t="e">
        <f t="shared" si="118"/>
        <v>#N/A</v>
      </c>
      <c r="AD153" s="255" t="e">
        <f t="shared" si="119"/>
        <v>#N/A</v>
      </c>
      <c r="AE153" s="255" t="e">
        <f t="shared" si="120"/>
        <v>#N/A</v>
      </c>
      <c r="AF153" s="255" t="e">
        <f t="shared" si="121"/>
        <v>#N/A</v>
      </c>
      <c r="AG153" s="255" t="e">
        <f t="shared" si="122"/>
        <v>#N/A</v>
      </c>
      <c r="AI153" s="251">
        <f t="shared" si="95"/>
        <v>43847</v>
      </c>
      <c r="AJ153" s="718">
        <f>IF(OR($B153="No",AJ$6=""),"",IF(NOT(ISNUMBER(_xll.ciqfunctions.udf.CIQ(AJ$6,"IQ_TEV",$AI153,$I$2,$I$3))),"",_xll.ciqfunctions.udf.CIQ(AJ$6,"IQ_TEV",$AI153,$I$2,$I$3)))</f>
        <v>400820.63063999999</v>
      </c>
      <c r="AK153" s="718">
        <f>IF(OR($B153="No",AK$6=""),"",IF(NOT(ISNUMBER(_xll.ciqfunctions.udf.CIQ(AK$6,"IQ_TEV",$AI153,$I$2,$I$3))),"",_xll.ciqfunctions.udf.CIQ(AK$6,"IQ_TEV",$AI153,$I$2,$I$3)))</f>
        <v>134755.71379000001</v>
      </c>
      <c r="AL153" s="718" t="str">
        <f>IF(OR($B153="No",AL$6=""),"",IF(NOT(ISNUMBER(_xll.ciqfunctions.udf.CIQ(AL$6,"IQ_TEV",$AI153,$I$2,$I$3))),"",_xll.ciqfunctions.udf.CIQ(AL$6,"IQ_TEV",$AI153,$I$2,$I$3)))</f>
        <v/>
      </c>
      <c r="AM153" s="718" t="str">
        <f>IF(OR($B153="No",AM$6=""),"",IF(NOT(ISNUMBER(_xll.ciqfunctions.udf.CIQ(AM$6,"IQ_TEV",$AI153,$I$2,$I$3))),"",_xll.ciqfunctions.udf.CIQ(AM$6,"IQ_TEV",$AI153,$I$2,$I$3)))</f>
        <v/>
      </c>
      <c r="AN153" s="718" t="str">
        <f>IF(OR($B153="No",AN$6=""),"",IF(NOT(ISNUMBER(_xll.ciqfunctions.udf.CIQ(AN$6,"IQ_TEV",$AI153,$I$2,$I$3))),"",_xll.ciqfunctions.udf.CIQ(AN$6,"IQ_TEV",$AI153,$I$2,$I$3)))</f>
        <v/>
      </c>
      <c r="AO153" s="718" t="str">
        <f>IF(OR($B153="No",AO$6=""),"",IF(NOT(ISNUMBER(_xll.ciqfunctions.udf.CIQ(AO$6,"IQ_TEV",$AI153,$I$2,$I$3))),"",_xll.ciqfunctions.udf.CIQ(AO$6,"IQ_TEV",$AI153,$I$2,$I$3)))</f>
        <v/>
      </c>
      <c r="AP153" s="718" t="str">
        <f>IF(OR($B153="No",AP$6=""),"",IF(NOT(ISNUMBER(_xll.ciqfunctions.udf.CIQ(AP$6,"IQ_TEV",$AI153,$I$2,$I$3))),"",_xll.ciqfunctions.udf.CIQ(AP$6,"IQ_TEV",$AI153,$I$2,$I$3)))</f>
        <v/>
      </c>
      <c r="AQ153" s="718" t="str">
        <f>IF(OR($B153="No",AQ$6=""),"",IF(NOT(ISNUMBER(_xll.ciqfunctions.udf.CIQ(AQ$6,"IQ_TEV",$AI153,$I$2,$I$3))),"",_xll.ciqfunctions.udf.CIQ(AQ$6,"IQ_TEV",$AI153,$I$2,$I$3)))</f>
        <v/>
      </c>
      <c r="AR153" s="718" t="str">
        <f>IF(OR($B153="No",AR$6=""),"",IF(NOT(ISNUMBER(_xll.ciqfunctions.udf.CIQ(AR$6,"IQ_TEV",$AI153,$I$2,$I$3))),"",_xll.ciqfunctions.udf.CIQ(AR$6,"IQ_TEV",$AI153,$I$2,$I$3)))</f>
        <v/>
      </c>
      <c r="AS153" s="718" t="str">
        <f>IF(OR($B153="No",AS$6=""),"",IF(NOT(ISNUMBER(_xll.ciqfunctions.udf.CIQ(AS$6,"IQ_TEV",$AI153,$I$2,$I$3))),"",_xll.ciqfunctions.udf.CIQ(AS$6,"IQ_TEV",$AI153,$I$2,$I$3)))</f>
        <v/>
      </c>
      <c r="AT153" s="718" t="str">
        <f>IF(OR($B153="No",AT$6=""),"",IF(NOT(ISNUMBER(_xll.ciqfunctions.udf.CIQ(AT$6,"IQ_TEV",$AI153,$I$2,$I$3))),"",_xll.ciqfunctions.udf.CIQ(AT$6,"IQ_TEV",$AI153,$I$2,$I$3)))</f>
        <v/>
      </c>
      <c r="AV153" s="251">
        <f t="shared" si="99"/>
        <v>43847</v>
      </c>
      <c r="AW153" s="719">
        <f t="shared" si="100"/>
        <v>0.53537418498828293</v>
      </c>
      <c r="AX153" s="719">
        <f t="shared" si="101"/>
        <v>0.84635189871449579</v>
      </c>
      <c r="AY153" s="719" t="e">
        <f t="shared" si="102"/>
        <v>#N/A</v>
      </c>
      <c r="AZ153" s="719" t="e">
        <f t="shared" si="103"/>
        <v>#N/A</v>
      </c>
      <c r="BA153" s="719" t="e">
        <f t="shared" si="104"/>
        <v>#N/A</v>
      </c>
      <c r="BB153" s="719" t="e">
        <f t="shared" si="105"/>
        <v>#N/A</v>
      </c>
      <c r="BC153" s="719" t="e">
        <f t="shared" si="106"/>
        <v>#N/A</v>
      </c>
      <c r="BD153" s="719" t="e">
        <f t="shared" si="107"/>
        <v>#N/A</v>
      </c>
      <c r="BE153" s="719" t="e">
        <f t="shared" si="108"/>
        <v>#N/A</v>
      </c>
      <c r="BF153" s="719" t="e">
        <f t="shared" si="109"/>
        <v>#N/A</v>
      </c>
      <c r="BG153" s="719" t="e">
        <f t="shared" si="110"/>
        <v>#N/A</v>
      </c>
    </row>
    <row r="154" spans="1:59" ht="15" customHeight="1" x14ac:dyDescent="0.2">
      <c r="A154" s="251">
        <f t="shared" si="93"/>
        <v>43854</v>
      </c>
      <c r="B154" s="253" t="str">
        <f t="shared" si="111"/>
        <v>Yes</v>
      </c>
      <c r="C154" s="1033">
        <f>IF(C$6="","",IF(NOT(ISNUMBER(_xll.ciqfunctions.udf.CIQ(C$6,$F$2, $A154, $I$2, $I$3))),IF(C153=C$6,"",C153),_xll.ciqfunctions.udf.CIQ(C$6,$F$2, $A154, $I$2, $I$3)))</f>
        <v>114.37</v>
      </c>
      <c r="D154" s="1033">
        <f>IF(D$6="","",IF(NOT(ISNUMBER(_xll.ciqfunctions.udf.CIQ(D$6,$F$2, $A154, $I$2, $I$3))),IF(D153=D$6,"",D153),_xll.ciqfunctions.udf.CIQ(D$6,$F$2, $A154, $I$2, $I$3)))</f>
        <v>28989.72623</v>
      </c>
      <c r="E154" s="1033">
        <f>IF(E$6="","",IF(NOT(ISNUMBER(_xll.ciqfunctions.udf.CIQ(E$6,$F$2, $A154, $I$2, $I$3))),IF(E153=E$6,"",E153),_xll.ciqfunctions.udf.CIQ(E$6,$F$2, $A154, $I$2, $I$3)))</f>
        <v>9603.2390799999994</v>
      </c>
      <c r="F154" s="1033">
        <f>IF(F$6="","",IF(NOT(ISNUMBER(_xll.ciqfunctions.udf.CIQ(F$6,$F$2, $A154, $I$2, $I$3))),IF(F153=F$6,"",F153),_xll.ciqfunctions.udf.CIQ(F$6,$F$2, $A154, $I$2, $I$3)))</f>
        <v>4650.0738099999999</v>
      </c>
      <c r="G154" s="1033">
        <f>IF(G$6="","",IF(NOT(ISNUMBER(_xll.ciqfunctions.udf.CIQ(G$6,$F$2, $A154, $I$2, $I$3))),IF(G153=G$6,"",G153),_xll.ciqfunctions.udf.CIQ(G$6,$F$2, $A154, $I$2, $I$3)))</f>
        <v>310.51</v>
      </c>
      <c r="H154" s="1033" t="str">
        <f>IF(H$6="","",IF(NOT(ISNUMBER(_xll.ciqfunctions.udf.CIQ(H$6,$F$2, $A154, $I$2, $I$3))),IF(H153=H$6,"",H153),_xll.ciqfunctions.udf.CIQ(H$6,$F$2, $A154, $I$2, $I$3)))</f>
        <v/>
      </c>
      <c r="I154" s="1033" t="str">
        <f>IF(I$6="","",IF(NOT(ISNUMBER(_xll.ciqfunctions.udf.CIQ(I$6,$F$2, $A154, $I$2, $I$3))),IF(I153=I$6,"",I153),_xll.ciqfunctions.udf.CIQ(I$6,$F$2, $A154, $I$2, $I$3)))</f>
        <v/>
      </c>
      <c r="J154" s="1033" t="str">
        <f>IF(J$6="","",IF(NOT(ISNUMBER(_xll.ciqfunctions.udf.CIQ(J$6,$F$2, $A154, $I$2, $I$3))),IF(J153=J$6,"",J153),_xll.ciqfunctions.udf.CIQ(J$6,$F$2, $A154, $I$2, $I$3)))</f>
        <v/>
      </c>
      <c r="K154" s="1033" t="str">
        <f>IF(K$6="","",IF(NOT(ISNUMBER(_xll.ciqfunctions.udf.CIQ(K$6,$F$2, $A154, $I$2, $I$3))),IF(K153=K$6,"",K153),_xll.ciqfunctions.udf.CIQ(K$6,$F$2, $A154, $I$2, $I$3)))</f>
        <v/>
      </c>
      <c r="L154" s="254" t="str">
        <f>IF(L$6="","",IF(NOT(ISNUMBER(_xll.ciqfunctions.udf.CIQ(L$6,$F$2, $A154, $I$2, $I$3))),IF(L153=L$6,"",L153),_xll.ciqfunctions.udf.CIQ(L$6,$F$2, $A154, $I$2, $I$3)))</f>
        <v/>
      </c>
      <c r="M154" s="254" t="str">
        <f>IF(M$6="","",IF(NOT(ISNUMBER(_xll.ciqfunctions.udf.CIQ(M$6,$F$2, $A154, $I$2, $I$3))),IF(M153=M$6,"",M153),_xll.ciqfunctions.udf.CIQ(M$6,$F$2, $A154, $I$2, $I$3)))</f>
        <v/>
      </c>
      <c r="N154" s="254" t="str">
        <f>IF(N$6="","",IF(NOT(ISNUMBER(_xll.ciqfunctions.udf.CIQ(N$6,$F$2, $A154, $I$2, $I$3))),IF(N153=N$6,"",N153),_xll.ciqfunctions.udf.CIQ(N$6,$F$2, $A154, $I$2, $I$3)))</f>
        <v/>
      </c>
      <c r="O154" s="254" t="str">
        <f>IF(O$6="","",IF(NOT(ISNUMBER(_xll.ciqfunctions.udf.CIQ(O$6,$F$2, $A154, $I$2, $I$3))),IF(O153=O$6,"",O153),_xll.ciqfunctions.udf.CIQ(O$6,$F$2, $A154, $I$2, $I$3)))</f>
        <v/>
      </c>
      <c r="P154" s="254" t="str">
        <f>IF(P$6="","",IF(NOT(ISNUMBER(_xll.ciqfunctions.udf.CIQ(P$6,$F$2, $A154, $I$2, $I$3))),IF(P153=P$6,"",P153),_xll.ciqfunctions.udf.CIQ(P$6,$F$2, $A154, $I$2, $I$3)))</f>
        <v/>
      </c>
      <c r="Q154" s="254"/>
      <c r="R154" s="251">
        <f t="shared" si="94"/>
        <v>43854</v>
      </c>
      <c r="S154" s="255">
        <f t="shared" si="96"/>
        <v>0.58670921198668147</v>
      </c>
      <c r="T154" s="255">
        <f t="shared" si="97"/>
        <v>0.40296259454526684</v>
      </c>
      <c r="U154" s="255">
        <f t="shared" si="98"/>
        <v>0.34201778755782497</v>
      </c>
      <c r="V154" s="255">
        <f t="shared" si="112"/>
        <v>5.9306233999105729E-2</v>
      </c>
      <c r="W154" s="255">
        <f t="array" ref="W154">IFERROR(AVERAGE(IF(ISERROR(X154:AG154),"",X154:AG154)),"")</f>
        <v>0.85169061959568237</v>
      </c>
      <c r="X154" s="255">
        <f t="shared" si="113"/>
        <v>0.85169061959568237</v>
      </c>
      <c r="Y154" s="255" t="e">
        <f t="shared" si="114"/>
        <v>#N/A</v>
      </c>
      <c r="Z154" s="255" t="e">
        <f t="shared" si="115"/>
        <v>#N/A</v>
      </c>
      <c r="AA154" s="255" t="e">
        <f t="shared" si="116"/>
        <v>#N/A</v>
      </c>
      <c r="AB154" s="255" t="e">
        <f t="shared" si="117"/>
        <v>#N/A</v>
      </c>
      <c r="AC154" s="255" t="e">
        <f t="shared" si="118"/>
        <v>#N/A</v>
      </c>
      <c r="AD154" s="255" t="e">
        <f t="shared" si="119"/>
        <v>#N/A</v>
      </c>
      <c r="AE154" s="255" t="e">
        <f t="shared" si="120"/>
        <v>#N/A</v>
      </c>
      <c r="AF154" s="255" t="e">
        <f t="shared" si="121"/>
        <v>#N/A</v>
      </c>
      <c r="AG154" s="255" t="e">
        <f t="shared" si="122"/>
        <v>#N/A</v>
      </c>
      <c r="AI154" s="251">
        <f t="shared" si="95"/>
        <v>43854</v>
      </c>
      <c r="AJ154" s="718">
        <f>IF(OR($B154="No",AJ$6=""),"",IF(NOT(ISNUMBER(_xll.ciqfunctions.udf.CIQ(AJ$6,"IQ_TEV",$AI154,$I$2,$I$3))),"",_xll.ciqfunctions.udf.CIQ(AJ$6,"IQ_TEV",$AI154,$I$2,$I$3)))</f>
        <v>399146.69743</v>
      </c>
      <c r="AK154" s="718">
        <f>IF(OR($B154="No",AK$6=""),"",IF(NOT(ISNUMBER(_xll.ciqfunctions.udf.CIQ(AK$6,"IQ_TEV",$AI154,$I$2,$I$3))),"",_xll.ciqfunctions.udf.CIQ(AK$6,"IQ_TEV",$AI154,$I$2,$I$3)))</f>
        <v>137331.16076</v>
      </c>
      <c r="AL154" s="718" t="str">
        <f>IF(OR($B154="No",AL$6=""),"",IF(NOT(ISNUMBER(_xll.ciqfunctions.udf.CIQ(AL$6,"IQ_TEV",$AI154,$I$2,$I$3))),"",_xll.ciqfunctions.udf.CIQ(AL$6,"IQ_TEV",$AI154,$I$2,$I$3)))</f>
        <v/>
      </c>
      <c r="AM154" s="718" t="str">
        <f>IF(OR($B154="No",AM$6=""),"",IF(NOT(ISNUMBER(_xll.ciqfunctions.udf.CIQ(AM$6,"IQ_TEV",$AI154,$I$2,$I$3))),"",_xll.ciqfunctions.udf.CIQ(AM$6,"IQ_TEV",$AI154,$I$2,$I$3)))</f>
        <v/>
      </c>
      <c r="AN154" s="718" t="str">
        <f>IF(OR($B154="No",AN$6=""),"",IF(NOT(ISNUMBER(_xll.ciqfunctions.udf.CIQ(AN$6,"IQ_TEV",$AI154,$I$2,$I$3))),"",_xll.ciqfunctions.udf.CIQ(AN$6,"IQ_TEV",$AI154,$I$2,$I$3)))</f>
        <v/>
      </c>
      <c r="AO154" s="718" t="str">
        <f>IF(OR($B154="No",AO$6=""),"",IF(NOT(ISNUMBER(_xll.ciqfunctions.udf.CIQ(AO$6,"IQ_TEV",$AI154,$I$2,$I$3))),"",_xll.ciqfunctions.udf.CIQ(AO$6,"IQ_TEV",$AI154,$I$2,$I$3)))</f>
        <v/>
      </c>
      <c r="AP154" s="718" t="str">
        <f>IF(OR($B154="No",AP$6=""),"",IF(NOT(ISNUMBER(_xll.ciqfunctions.udf.CIQ(AP$6,"IQ_TEV",$AI154,$I$2,$I$3))),"",_xll.ciqfunctions.udf.CIQ(AP$6,"IQ_TEV",$AI154,$I$2,$I$3)))</f>
        <v/>
      </c>
      <c r="AQ154" s="718" t="str">
        <f>IF(OR($B154="No",AQ$6=""),"",IF(NOT(ISNUMBER(_xll.ciqfunctions.udf.CIQ(AQ$6,"IQ_TEV",$AI154,$I$2,$I$3))),"",_xll.ciqfunctions.udf.CIQ(AQ$6,"IQ_TEV",$AI154,$I$2,$I$3)))</f>
        <v/>
      </c>
      <c r="AR154" s="718" t="str">
        <f>IF(OR($B154="No",AR$6=""),"",IF(NOT(ISNUMBER(_xll.ciqfunctions.udf.CIQ(AR$6,"IQ_TEV",$AI154,$I$2,$I$3))),"",_xll.ciqfunctions.udf.CIQ(AR$6,"IQ_TEV",$AI154,$I$2,$I$3)))</f>
        <v/>
      </c>
      <c r="AS154" s="718" t="str">
        <f>IF(OR($B154="No",AS$6=""),"",IF(NOT(ISNUMBER(_xll.ciqfunctions.udf.CIQ(AS$6,"IQ_TEV",$AI154,$I$2,$I$3))),"",_xll.ciqfunctions.udf.CIQ(AS$6,"IQ_TEV",$AI154,$I$2,$I$3)))</f>
        <v/>
      </c>
      <c r="AT154" s="718" t="str">
        <f>IF(OR($B154="No",AT$6=""),"",IF(NOT(ISNUMBER(_xll.ciqfunctions.udf.CIQ(AT$6,"IQ_TEV",$AI154,$I$2,$I$3))),"",_xll.ciqfunctions.udf.CIQ(AT$6,"IQ_TEV",$AI154,$I$2,$I$3)))</f>
        <v/>
      </c>
      <c r="AV154" s="251">
        <f t="shared" si="99"/>
        <v>43854</v>
      </c>
      <c r="AW154" s="719">
        <f t="shared" si="100"/>
        <v>0.5289620553682961</v>
      </c>
      <c r="AX154" s="719">
        <f t="shared" si="101"/>
        <v>0.88163931821871322</v>
      </c>
      <c r="AY154" s="719" t="e">
        <f t="shared" si="102"/>
        <v>#N/A</v>
      </c>
      <c r="AZ154" s="719" t="e">
        <f t="shared" si="103"/>
        <v>#N/A</v>
      </c>
      <c r="BA154" s="719" t="e">
        <f t="shared" si="104"/>
        <v>#N/A</v>
      </c>
      <c r="BB154" s="719" t="e">
        <f t="shared" si="105"/>
        <v>#N/A</v>
      </c>
      <c r="BC154" s="719" t="e">
        <f t="shared" si="106"/>
        <v>#N/A</v>
      </c>
      <c r="BD154" s="719" t="e">
        <f t="shared" si="107"/>
        <v>#N/A</v>
      </c>
      <c r="BE154" s="719" t="e">
        <f t="shared" si="108"/>
        <v>#N/A</v>
      </c>
      <c r="BF154" s="719" t="e">
        <f t="shared" si="109"/>
        <v>#N/A</v>
      </c>
      <c r="BG154" s="719" t="e">
        <f t="shared" si="110"/>
        <v>#N/A</v>
      </c>
    </row>
    <row r="155" spans="1:59" ht="15" customHeight="1" x14ac:dyDescent="0.2">
      <c r="A155" s="251">
        <f t="shared" si="93"/>
        <v>43861</v>
      </c>
      <c r="B155" s="253" t="str">
        <f t="shared" si="111"/>
        <v>Yes</v>
      </c>
      <c r="C155" s="1033">
        <f>IF(C$6="","",IF(NOT(ISNUMBER(_xll.ciqfunctions.udf.CIQ(C$6,$F$2, $A155, $I$2, $I$3))),IF(C154=C$6,"",C154),_xll.ciqfunctions.udf.CIQ(C$6,$F$2, $A155, $I$2, $I$3)))</f>
        <v>114.49</v>
      </c>
      <c r="D155" s="1033">
        <f>IF(D$6="","",IF(NOT(ISNUMBER(_xll.ciqfunctions.udf.CIQ(D$6,$F$2, $A155, $I$2, $I$3))),IF(D154=D$6,"",D154),_xll.ciqfunctions.udf.CIQ(D$6,$F$2, $A155, $I$2, $I$3)))</f>
        <v>28256.032319999998</v>
      </c>
      <c r="E155" s="1033">
        <f>IF(E$6="","",IF(NOT(ISNUMBER(_xll.ciqfunctions.udf.CIQ(E$6,$F$2, $A155, $I$2, $I$3))),IF(E154=E$6,"",E154),_xll.ciqfunctions.udf.CIQ(E$6,$F$2, $A155, $I$2, $I$3)))</f>
        <v>9370.2857800000002</v>
      </c>
      <c r="F155" s="1033">
        <f>IF(F$6="","",IF(NOT(ISNUMBER(_xll.ciqfunctions.udf.CIQ(F$6,$F$2, $A155, $I$2, $I$3))),IF(F154=F$6,"",F154),_xll.ciqfunctions.udf.CIQ(F$6,$F$2, $A155, $I$2, $I$3)))</f>
        <v>4460.9016099999999</v>
      </c>
      <c r="G155" s="1033">
        <f>IF(G$6="","",IF(NOT(ISNUMBER(_xll.ciqfunctions.udf.CIQ(G$6,$F$2, $A155, $I$2, $I$3))),IF(G154=G$6,"",G154),_xll.ciqfunctions.udf.CIQ(G$6,$F$2, $A155, $I$2, $I$3)))</f>
        <v>305.52</v>
      </c>
      <c r="H155" s="1033" t="str">
        <f>IF(H$6="","",IF(NOT(ISNUMBER(_xll.ciqfunctions.udf.CIQ(H$6,$F$2, $A155, $I$2, $I$3))),IF(H154=H$6,"",H154),_xll.ciqfunctions.udf.CIQ(H$6,$F$2, $A155, $I$2, $I$3)))</f>
        <v/>
      </c>
      <c r="I155" s="1033" t="str">
        <f>IF(I$6="","",IF(NOT(ISNUMBER(_xll.ciqfunctions.udf.CIQ(I$6,$F$2, $A155, $I$2, $I$3))),IF(I154=I$6,"",I154),_xll.ciqfunctions.udf.CIQ(I$6,$F$2, $A155, $I$2, $I$3)))</f>
        <v/>
      </c>
      <c r="J155" s="1033" t="str">
        <f>IF(J$6="","",IF(NOT(ISNUMBER(_xll.ciqfunctions.udf.CIQ(J$6,$F$2, $A155, $I$2, $I$3))),IF(J154=J$6,"",J154),_xll.ciqfunctions.udf.CIQ(J$6,$F$2, $A155, $I$2, $I$3)))</f>
        <v/>
      </c>
      <c r="K155" s="1033" t="str">
        <f>IF(K$6="","",IF(NOT(ISNUMBER(_xll.ciqfunctions.udf.CIQ(K$6,$F$2, $A155, $I$2, $I$3))),IF(K154=K$6,"",K154),_xll.ciqfunctions.udf.CIQ(K$6,$F$2, $A155, $I$2, $I$3)))</f>
        <v/>
      </c>
      <c r="L155" s="254" t="str">
        <f>IF(L$6="","",IF(NOT(ISNUMBER(_xll.ciqfunctions.udf.CIQ(L$6,$F$2, $A155, $I$2, $I$3))),IF(L154=L$6,"",L154),_xll.ciqfunctions.udf.CIQ(L$6,$F$2, $A155, $I$2, $I$3)))</f>
        <v/>
      </c>
      <c r="M155" s="254" t="str">
        <f>IF(M$6="","",IF(NOT(ISNUMBER(_xll.ciqfunctions.udf.CIQ(M$6,$F$2, $A155, $I$2, $I$3))),IF(M154=M$6,"",M154),_xll.ciqfunctions.udf.CIQ(M$6,$F$2, $A155, $I$2, $I$3)))</f>
        <v/>
      </c>
      <c r="N155" s="254" t="str">
        <f>IF(N$6="","",IF(NOT(ISNUMBER(_xll.ciqfunctions.udf.CIQ(N$6,$F$2, $A155, $I$2, $I$3))),IF(N154=N$6,"",N154),_xll.ciqfunctions.udf.CIQ(N$6,$F$2, $A155, $I$2, $I$3)))</f>
        <v/>
      </c>
      <c r="O155" s="254" t="str">
        <f>IF(O$6="","",IF(NOT(ISNUMBER(_xll.ciqfunctions.udf.CIQ(O$6,$F$2, $A155, $I$2, $I$3))),IF(O154=O$6,"",O154),_xll.ciqfunctions.udf.CIQ(O$6,$F$2, $A155, $I$2, $I$3)))</f>
        <v/>
      </c>
      <c r="P155" s="254" t="str">
        <f>IF(P$6="","",IF(NOT(ISNUMBER(_xll.ciqfunctions.udf.CIQ(P$6,$F$2, $A155, $I$2, $I$3))),IF(P154=P$6,"",P154),_xll.ciqfunctions.udf.CIQ(P$6,$F$2, $A155, $I$2, $I$3)))</f>
        <v/>
      </c>
      <c r="Q155" s="254"/>
      <c r="R155" s="251">
        <f t="shared" si="94"/>
        <v>43861</v>
      </c>
      <c r="S155" s="255">
        <f t="shared" si="96"/>
        <v>0.58837402885682577</v>
      </c>
      <c r="T155" s="255">
        <f t="shared" si="97"/>
        <v>0.36745535644963945</v>
      </c>
      <c r="U155" s="255">
        <f t="shared" si="98"/>
        <v>0.30946340984568588</v>
      </c>
      <c r="V155" s="255">
        <f t="shared" si="112"/>
        <v>1.6212016800147833E-2</v>
      </c>
      <c r="W155" s="255">
        <f t="array" ref="W155">IFERROR(AVERAGE(IF(ISERROR(X155:AG155),"",X155:AG155)),"")</f>
        <v>0.82193332935774333</v>
      </c>
      <c r="X155" s="255">
        <f t="shared" si="113"/>
        <v>0.82193332935774333</v>
      </c>
      <c r="Y155" s="255" t="e">
        <f t="shared" si="114"/>
        <v>#N/A</v>
      </c>
      <c r="Z155" s="255" t="e">
        <f t="shared" si="115"/>
        <v>#N/A</v>
      </c>
      <c r="AA155" s="255" t="e">
        <f t="shared" si="116"/>
        <v>#N/A</v>
      </c>
      <c r="AB155" s="255" t="e">
        <f t="shared" si="117"/>
        <v>#N/A</v>
      </c>
      <c r="AC155" s="255" t="e">
        <f t="shared" si="118"/>
        <v>#N/A</v>
      </c>
      <c r="AD155" s="255" t="e">
        <f t="shared" si="119"/>
        <v>#N/A</v>
      </c>
      <c r="AE155" s="255" t="e">
        <f t="shared" si="120"/>
        <v>#N/A</v>
      </c>
      <c r="AF155" s="255" t="e">
        <f t="shared" si="121"/>
        <v>#N/A</v>
      </c>
      <c r="AG155" s="255" t="e">
        <f t="shared" si="122"/>
        <v>#N/A</v>
      </c>
      <c r="AI155" s="251">
        <f t="shared" si="95"/>
        <v>43861</v>
      </c>
      <c r="AJ155" s="718">
        <f>IF(OR($B155="No",AJ$6=""),"",IF(NOT(ISNUMBER(_xll.ciqfunctions.udf.CIQ(AJ$6,"IQ_TEV",$AI155,$I$2,$I$3))),"",_xll.ciqfunctions.udf.CIQ(AJ$6,"IQ_TEV",$AI155,$I$2,$I$3)))</f>
        <v>399487.15841999999</v>
      </c>
      <c r="AK155" s="718">
        <f>IF(OR($B155="No",AK$6=""),"",IF(NOT(ISNUMBER(_xll.ciqfunctions.udf.CIQ(AK$6,"IQ_TEV",$AI155,$I$2,$I$3))),"",_xll.ciqfunctions.udf.CIQ(AK$6,"IQ_TEV",$AI155,$I$2,$I$3)))</f>
        <v>135126.79019999999</v>
      </c>
      <c r="AL155" s="718" t="str">
        <f>IF(OR($B155="No",AL$6=""),"",IF(NOT(ISNUMBER(_xll.ciqfunctions.udf.CIQ(AL$6,"IQ_TEV",$AI155,$I$2,$I$3))),"",_xll.ciqfunctions.udf.CIQ(AL$6,"IQ_TEV",$AI155,$I$2,$I$3)))</f>
        <v/>
      </c>
      <c r="AM155" s="718" t="str">
        <f>IF(OR($B155="No",AM$6=""),"",IF(NOT(ISNUMBER(_xll.ciqfunctions.udf.CIQ(AM$6,"IQ_TEV",$AI155,$I$2,$I$3))),"",_xll.ciqfunctions.udf.CIQ(AM$6,"IQ_TEV",$AI155,$I$2,$I$3)))</f>
        <v/>
      </c>
      <c r="AN155" s="718" t="str">
        <f>IF(OR($B155="No",AN$6=""),"",IF(NOT(ISNUMBER(_xll.ciqfunctions.udf.CIQ(AN$6,"IQ_TEV",$AI155,$I$2,$I$3))),"",_xll.ciqfunctions.udf.CIQ(AN$6,"IQ_TEV",$AI155,$I$2,$I$3)))</f>
        <v/>
      </c>
      <c r="AO155" s="718" t="str">
        <f>IF(OR($B155="No",AO$6=""),"",IF(NOT(ISNUMBER(_xll.ciqfunctions.udf.CIQ(AO$6,"IQ_TEV",$AI155,$I$2,$I$3))),"",_xll.ciqfunctions.udf.CIQ(AO$6,"IQ_TEV",$AI155,$I$2,$I$3)))</f>
        <v/>
      </c>
      <c r="AP155" s="718" t="str">
        <f>IF(OR($B155="No",AP$6=""),"",IF(NOT(ISNUMBER(_xll.ciqfunctions.udf.CIQ(AP$6,"IQ_TEV",$AI155,$I$2,$I$3))),"",_xll.ciqfunctions.udf.CIQ(AP$6,"IQ_TEV",$AI155,$I$2,$I$3)))</f>
        <v/>
      </c>
      <c r="AQ155" s="718" t="str">
        <f>IF(OR($B155="No",AQ$6=""),"",IF(NOT(ISNUMBER(_xll.ciqfunctions.udf.CIQ(AQ$6,"IQ_TEV",$AI155,$I$2,$I$3))),"",_xll.ciqfunctions.udf.CIQ(AQ$6,"IQ_TEV",$AI155,$I$2,$I$3)))</f>
        <v/>
      </c>
      <c r="AR155" s="718" t="str">
        <f>IF(OR($B155="No",AR$6=""),"",IF(NOT(ISNUMBER(_xll.ciqfunctions.udf.CIQ(AR$6,"IQ_TEV",$AI155,$I$2,$I$3))),"",_xll.ciqfunctions.udf.CIQ(AR$6,"IQ_TEV",$AI155,$I$2,$I$3)))</f>
        <v/>
      </c>
      <c r="AS155" s="718" t="str">
        <f>IF(OR($B155="No",AS$6=""),"",IF(NOT(ISNUMBER(_xll.ciqfunctions.udf.CIQ(AS$6,"IQ_TEV",$AI155,$I$2,$I$3))),"",_xll.ciqfunctions.udf.CIQ(AS$6,"IQ_TEV",$AI155,$I$2,$I$3)))</f>
        <v/>
      </c>
      <c r="AT155" s="718" t="str">
        <f>IF(OR($B155="No",AT$6=""),"",IF(NOT(ISNUMBER(_xll.ciqfunctions.udf.CIQ(AT$6,"IQ_TEV",$AI155,$I$2,$I$3))),"",_xll.ciqfunctions.udf.CIQ(AT$6,"IQ_TEV",$AI155,$I$2,$I$3)))</f>
        <v/>
      </c>
      <c r="AV155" s="251">
        <f t="shared" si="99"/>
        <v>43861</v>
      </c>
      <c r="AW155" s="719">
        <f t="shared" si="100"/>
        <v>0.53026621731776191</v>
      </c>
      <c r="AX155" s="719">
        <f t="shared" si="101"/>
        <v>0.85143619247022717</v>
      </c>
      <c r="AY155" s="719" t="e">
        <f t="shared" si="102"/>
        <v>#N/A</v>
      </c>
      <c r="AZ155" s="719" t="e">
        <f t="shared" si="103"/>
        <v>#N/A</v>
      </c>
      <c r="BA155" s="719" t="e">
        <f t="shared" si="104"/>
        <v>#N/A</v>
      </c>
      <c r="BB155" s="719" t="e">
        <f t="shared" si="105"/>
        <v>#N/A</v>
      </c>
      <c r="BC155" s="719" t="e">
        <f t="shared" si="106"/>
        <v>#N/A</v>
      </c>
      <c r="BD155" s="719" t="e">
        <f t="shared" si="107"/>
        <v>#N/A</v>
      </c>
      <c r="BE155" s="719" t="e">
        <f t="shared" si="108"/>
        <v>#N/A</v>
      </c>
      <c r="BF155" s="719" t="e">
        <f t="shared" si="109"/>
        <v>#N/A</v>
      </c>
      <c r="BG155" s="719" t="e">
        <f t="shared" si="110"/>
        <v>#N/A</v>
      </c>
    </row>
    <row r="156" spans="1:59" ht="15" customHeight="1" x14ac:dyDescent="0.2">
      <c r="A156" s="251">
        <f t="shared" si="93"/>
        <v>43868</v>
      </c>
      <c r="B156" s="253" t="str">
        <f t="shared" si="111"/>
        <v>Yes</v>
      </c>
      <c r="C156" s="1033">
        <f>IF(C$6="","",IF(NOT(ISNUMBER(_xll.ciqfunctions.udf.CIQ(C$6,$F$2, $A156, $I$2, $I$3))),IF(C155=C$6,"",C155),_xll.ciqfunctions.udf.CIQ(C$6,$F$2, $A156, $I$2, $I$3)))</f>
        <v>116.45</v>
      </c>
      <c r="D156" s="1033">
        <f>IF(D$6="","",IF(NOT(ISNUMBER(_xll.ciqfunctions.udf.CIQ(D$6,$F$2, $A156, $I$2, $I$3))),IF(D155=D$6,"",D155),_xll.ciqfunctions.udf.CIQ(D$6,$F$2, $A156, $I$2, $I$3)))</f>
        <v>29102.51353</v>
      </c>
      <c r="E156" s="1033">
        <f>IF(E$6="","",IF(NOT(ISNUMBER(_xll.ciqfunctions.udf.CIQ(E$6,$F$2, $A156, $I$2, $I$3))),IF(E155=E$6,"",E155),_xll.ciqfunctions.udf.CIQ(E$6,$F$2, $A156, $I$2, $I$3)))</f>
        <v>9581.6629699999994</v>
      </c>
      <c r="F156" s="1033">
        <f>IF(F$6="","",IF(NOT(ISNUMBER(_xll.ciqfunctions.udf.CIQ(F$6,$F$2, $A156, $I$2, $I$3))),IF(F155=F$6,"",F155),_xll.ciqfunctions.udf.CIQ(F$6,$F$2, $A156, $I$2, $I$3)))</f>
        <v>4547.2534900000001</v>
      </c>
      <c r="G156" s="1033">
        <f>IF(G$6="","",IF(NOT(ISNUMBER(_xll.ciqfunctions.udf.CIQ(G$6,$F$2, $A156, $I$2, $I$3))),IF(G155=G$6,"",G155),_xll.ciqfunctions.udf.CIQ(G$6,$F$2, $A156, $I$2, $I$3)))</f>
        <v>313.63</v>
      </c>
      <c r="H156" s="1033" t="str">
        <f>IF(H$6="","",IF(NOT(ISNUMBER(_xll.ciqfunctions.udf.CIQ(H$6,$F$2, $A156, $I$2, $I$3))),IF(H155=H$6,"",H155),_xll.ciqfunctions.udf.CIQ(H$6,$F$2, $A156, $I$2, $I$3)))</f>
        <v/>
      </c>
      <c r="I156" s="1033" t="str">
        <f>IF(I$6="","",IF(NOT(ISNUMBER(_xll.ciqfunctions.udf.CIQ(I$6,$F$2, $A156, $I$2, $I$3))),IF(I155=I$6,"",I155),_xll.ciqfunctions.udf.CIQ(I$6,$F$2, $A156, $I$2, $I$3)))</f>
        <v/>
      </c>
      <c r="J156" s="1033" t="str">
        <f>IF(J$6="","",IF(NOT(ISNUMBER(_xll.ciqfunctions.udf.CIQ(J$6,$F$2, $A156, $I$2, $I$3))),IF(J155=J$6,"",J155),_xll.ciqfunctions.udf.CIQ(J$6,$F$2, $A156, $I$2, $I$3)))</f>
        <v/>
      </c>
      <c r="K156" s="1033" t="str">
        <f>IF(K$6="","",IF(NOT(ISNUMBER(_xll.ciqfunctions.udf.CIQ(K$6,$F$2, $A156, $I$2, $I$3))),IF(K155=K$6,"",K155),_xll.ciqfunctions.udf.CIQ(K$6,$F$2, $A156, $I$2, $I$3)))</f>
        <v/>
      </c>
      <c r="L156" s="254" t="str">
        <f>IF(L$6="","",IF(NOT(ISNUMBER(_xll.ciqfunctions.udf.CIQ(L$6,$F$2, $A156, $I$2, $I$3))),IF(L155=L$6,"",L155),_xll.ciqfunctions.udf.CIQ(L$6,$F$2, $A156, $I$2, $I$3)))</f>
        <v/>
      </c>
      <c r="M156" s="254" t="str">
        <f>IF(M$6="","",IF(NOT(ISNUMBER(_xll.ciqfunctions.udf.CIQ(M$6,$F$2, $A156, $I$2, $I$3))),IF(M155=M$6,"",M155),_xll.ciqfunctions.udf.CIQ(M$6,$F$2, $A156, $I$2, $I$3)))</f>
        <v/>
      </c>
      <c r="N156" s="254" t="str">
        <f>IF(N$6="","",IF(NOT(ISNUMBER(_xll.ciqfunctions.udf.CIQ(N$6,$F$2, $A156, $I$2, $I$3))),IF(N155=N$6,"",N155),_xll.ciqfunctions.udf.CIQ(N$6,$F$2, $A156, $I$2, $I$3)))</f>
        <v/>
      </c>
      <c r="O156" s="254" t="str">
        <f>IF(O$6="","",IF(NOT(ISNUMBER(_xll.ciqfunctions.udf.CIQ(O$6,$F$2, $A156, $I$2, $I$3))),IF(O155=O$6,"",O155),_xll.ciqfunctions.udf.CIQ(O$6,$F$2, $A156, $I$2, $I$3)))</f>
        <v/>
      </c>
      <c r="P156" s="254" t="str">
        <f>IF(P$6="","",IF(NOT(ISNUMBER(_xll.ciqfunctions.udf.CIQ(P$6,$F$2, $A156, $I$2, $I$3))),IF(P155=P$6,"",P155),_xll.ciqfunctions.udf.CIQ(P$6,$F$2, $A156, $I$2, $I$3)))</f>
        <v/>
      </c>
      <c r="Q156" s="254"/>
      <c r="R156" s="251">
        <f t="shared" si="94"/>
        <v>43868</v>
      </c>
      <c r="S156" s="255">
        <f t="shared" si="96"/>
        <v>0.61556603773584917</v>
      </c>
      <c r="T156" s="255">
        <f t="shared" si="97"/>
        <v>0.4084209545788986</v>
      </c>
      <c r="U156" s="255">
        <f t="shared" si="98"/>
        <v>0.33900260453831565</v>
      </c>
      <c r="V156" s="255">
        <f t="shared" si="112"/>
        <v>3.5883335695092944E-2</v>
      </c>
      <c r="W156" s="255">
        <f t="array" ref="W156">IFERROR(AVERAGE(IF(ISERROR(X156:AG156),"",X156:AG156)),"")</f>
        <v>0.870296380225416</v>
      </c>
      <c r="X156" s="255">
        <f t="shared" si="113"/>
        <v>0.870296380225416</v>
      </c>
      <c r="Y156" s="255" t="e">
        <f t="shared" si="114"/>
        <v>#N/A</v>
      </c>
      <c r="Z156" s="255" t="e">
        <f t="shared" si="115"/>
        <v>#N/A</v>
      </c>
      <c r="AA156" s="255" t="e">
        <f t="shared" si="116"/>
        <v>#N/A</v>
      </c>
      <c r="AB156" s="255" t="e">
        <f t="shared" si="117"/>
        <v>#N/A</v>
      </c>
      <c r="AC156" s="255" t="e">
        <f t="shared" si="118"/>
        <v>#N/A</v>
      </c>
      <c r="AD156" s="255" t="e">
        <f t="shared" si="119"/>
        <v>#N/A</v>
      </c>
      <c r="AE156" s="255" t="e">
        <f t="shared" si="120"/>
        <v>#N/A</v>
      </c>
      <c r="AF156" s="255" t="e">
        <f t="shared" si="121"/>
        <v>#N/A</v>
      </c>
      <c r="AG156" s="255" t="e">
        <f t="shared" si="122"/>
        <v>#N/A</v>
      </c>
      <c r="AI156" s="251">
        <f t="shared" si="95"/>
        <v>43868</v>
      </c>
      <c r="AJ156" s="718">
        <f>IF(OR($B156="No",AJ$6=""),"",IF(NOT(ISNUMBER(_xll.ciqfunctions.udf.CIQ(AJ$6,"IQ_TEV",$AI156,$I$2,$I$3))),"",_xll.ciqfunctions.udf.CIQ(AJ$6,"IQ_TEV",$AI156,$I$2,$I$3)))</f>
        <v>405048.02130000002</v>
      </c>
      <c r="AK156" s="718">
        <f>IF(OR($B156="No",AK$6=""),"",IF(NOT(ISNUMBER(_xll.ciqfunctions.udf.CIQ(AK$6,"IQ_TEV",$AI156,$I$2,$I$3))),"",_xll.ciqfunctions.udf.CIQ(AK$6,"IQ_TEV",$AI156,$I$2,$I$3)))</f>
        <v>138709.44456</v>
      </c>
      <c r="AL156" s="718" t="str">
        <f>IF(OR($B156="No",AL$6=""),"",IF(NOT(ISNUMBER(_xll.ciqfunctions.udf.CIQ(AL$6,"IQ_TEV",$AI156,$I$2,$I$3))),"",_xll.ciqfunctions.udf.CIQ(AL$6,"IQ_TEV",$AI156,$I$2,$I$3)))</f>
        <v/>
      </c>
      <c r="AM156" s="718" t="str">
        <f>IF(OR($B156="No",AM$6=""),"",IF(NOT(ISNUMBER(_xll.ciqfunctions.udf.CIQ(AM$6,"IQ_TEV",$AI156,$I$2,$I$3))),"",_xll.ciqfunctions.udf.CIQ(AM$6,"IQ_TEV",$AI156,$I$2,$I$3)))</f>
        <v/>
      </c>
      <c r="AN156" s="718" t="str">
        <f>IF(OR($B156="No",AN$6=""),"",IF(NOT(ISNUMBER(_xll.ciqfunctions.udf.CIQ(AN$6,"IQ_TEV",$AI156,$I$2,$I$3))),"",_xll.ciqfunctions.udf.CIQ(AN$6,"IQ_TEV",$AI156,$I$2,$I$3)))</f>
        <v/>
      </c>
      <c r="AO156" s="718" t="str">
        <f>IF(OR($B156="No",AO$6=""),"",IF(NOT(ISNUMBER(_xll.ciqfunctions.udf.CIQ(AO$6,"IQ_TEV",$AI156,$I$2,$I$3))),"",_xll.ciqfunctions.udf.CIQ(AO$6,"IQ_TEV",$AI156,$I$2,$I$3)))</f>
        <v/>
      </c>
      <c r="AP156" s="718" t="str">
        <f>IF(OR($B156="No",AP$6=""),"",IF(NOT(ISNUMBER(_xll.ciqfunctions.udf.CIQ(AP$6,"IQ_TEV",$AI156,$I$2,$I$3))),"",_xll.ciqfunctions.udf.CIQ(AP$6,"IQ_TEV",$AI156,$I$2,$I$3)))</f>
        <v/>
      </c>
      <c r="AQ156" s="718" t="str">
        <f>IF(OR($B156="No",AQ$6=""),"",IF(NOT(ISNUMBER(_xll.ciqfunctions.udf.CIQ(AQ$6,"IQ_TEV",$AI156,$I$2,$I$3))),"",_xll.ciqfunctions.udf.CIQ(AQ$6,"IQ_TEV",$AI156,$I$2,$I$3)))</f>
        <v/>
      </c>
      <c r="AR156" s="718" t="str">
        <f>IF(OR($B156="No",AR$6=""),"",IF(NOT(ISNUMBER(_xll.ciqfunctions.udf.CIQ(AR$6,"IQ_TEV",$AI156,$I$2,$I$3))),"",_xll.ciqfunctions.udf.CIQ(AR$6,"IQ_TEV",$AI156,$I$2,$I$3)))</f>
        <v/>
      </c>
      <c r="AS156" s="718" t="str">
        <f>IF(OR($B156="No",AS$6=""),"",IF(NOT(ISNUMBER(_xll.ciqfunctions.udf.CIQ(AS$6,"IQ_TEV",$AI156,$I$2,$I$3))),"",_xll.ciqfunctions.udf.CIQ(AS$6,"IQ_TEV",$AI156,$I$2,$I$3)))</f>
        <v/>
      </c>
      <c r="AT156" s="718" t="str">
        <f>IF(OR($B156="No",AT$6=""),"",IF(NOT(ISNUMBER(_xll.ciqfunctions.udf.CIQ(AT$6,"IQ_TEV",$AI156,$I$2,$I$3))),"",_xll.ciqfunctions.udf.CIQ(AT$6,"IQ_TEV",$AI156,$I$2,$I$3)))</f>
        <v/>
      </c>
      <c r="AV156" s="251">
        <f t="shared" si="99"/>
        <v>43868</v>
      </c>
      <c r="AW156" s="719">
        <f t="shared" si="100"/>
        <v>0.55156752932502751</v>
      </c>
      <c r="AX156" s="719">
        <f t="shared" si="101"/>
        <v>0.90052383776541811</v>
      </c>
      <c r="AY156" s="719" t="e">
        <f t="shared" si="102"/>
        <v>#N/A</v>
      </c>
      <c r="AZ156" s="719" t="e">
        <f t="shared" si="103"/>
        <v>#N/A</v>
      </c>
      <c r="BA156" s="719" t="e">
        <f t="shared" si="104"/>
        <v>#N/A</v>
      </c>
      <c r="BB156" s="719" t="e">
        <f t="shared" si="105"/>
        <v>#N/A</v>
      </c>
      <c r="BC156" s="719" t="e">
        <f t="shared" si="106"/>
        <v>#N/A</v>
      </c>
      <c r="BD156" s="719" t="e">
        <f t="shared" si="107"/>
        <v>#N/A</v>
      </c>
      <c r="BE156" s="719" t="e">
        <f t="shared" si="108"/>
        <v>#N/A</v>
      </c>
      <c r="BF156" s="719" t="e">
        <f t="shared" si="109"/>
        <v>#N/A</v>
      </c>
      <c r="BG156" s="719" t="e">
        <f t="shared" si="110"/>
        <v>#N/A</v>
      </c>
    </row>
    <row r="157" spans="1:59" ht="15" customHeight="1" x14ac:dyDescent="0.2">
      <c r="A157" s="251">
        <f t="shared" si="93"/>
        <v>43875</v>
      </c>
      <c r="B157" s="253" t="str">
        <f t="shared" si="111"/>
        <v>Yes</v>
      </c>
      <c r="C157" s="1033">
        <f>IF(C$6="","",IF(NOT(ISNUMBER(_xll.ciqfunctions.udf.CIQ(C$6,$F$2, $A157, $I$2, $I$3))),IF(C156=C$6,"",C156),_xll.ciqfunctions.udf.CIQ(C$6,$F$2, $A157, $I$2, $I$3)))</f>
        <v>117.89</v>
      </c>
      <c r="D157" s="1033">
        <f>IF(D$6="","",IF(NOT(ISNUMBER(_xll.ciqfunctions.udf.CIQ(D$6,$F$2, $A157, $I$2, $I$3))),IF(D156=D$6,"",D156),_xll.ciqfunctions.udf.CIQ(D$6,$F$2, $A157, $I$2, $I$3)))</f>
        <v>29398.080000000002</v>
      </c>
      <c r="E157" s="1033">
        <f>IF(E$6="","",IF(NOT(ISNUMBER(_xll.ciqfunctions.udf.CIQ(E$6,$F$2, $A157, $I$2, $I$3))),IF(E156=E$6,"",E156),_xll.ciqfunctions.udf.CIQ(E$6,$F$2, $A157, $I$2, $I$3)))</f>
        <v>9682.4163599999993</v>
      </c>
      <c r="F157" s="1033">
        <f>IF(F$6="","",IF(NOT(ISNUMBER(_xll.ciqfunctions.udf.CIQ(F$6,$F$2, $A157, $I$2, $I$3))),IF(F156=F$6,"",F156),_xll.ciqfunctions.udf.CIQ(F$6,$F$2, $A157, $I$2, $I$3)))</f>
        <v>4643.97001</v>
      </c>
      <c r="G157" s="1033">
        <f>IF(G$6="","",IF(NOT(ISNUMBER(_xll.ciqfunctions.udf.CIQ(G$6,$F$2, $A157, $I$2, $I$3))),IF(G156=G$6,"",G156),_xll.ciqfunctions.udf.CIQ(G$6,$F$2, $A157, $I$2, $I$3)))</f>
        <v>318.31</v>
      </c>
      <c r="H157" s="1033" t="str">
        <f>IF(H$6="","",IF(NOT(ISNUMBER(_xll.ciqfunctions.udf.CIQ(H$6,$F$2, $A157, $I$2, $I$3))),IF(H156=H$6,"",H156),_xll.ciqfunctions.udf.CIQ(H$6,$F$2, $A157, $I$2, $I$3)))</f>
        <v/>
      </c>
      <c r="I157" s="1033" t="str">
        <f>IF(I$6="","",IF(NOT(ISNUMBER(_xll.ciqfunctions.udf.CIQ(I$6,$F$2, $A157, $I$2, $I$3))),IF(I156=I$6,"",I156),_xll.ciqfunctions.udf.CIQ(I$6,$F$2, $A157, $I$2, $I$3)))</f>
        <v/>
      </c>
      <c r="J157" s="1033" t="str">
        <f>IF(J$6="","",IF(NOT(ISNUMBER(_xll.ciqfunctions.udf.CIQ(J$6,$F$2, $A157, $I$2, $I$3))),IF(J156=J$6,"",J156),_xll.ciqfunctions.udf.CIQ(J$6,$F$2, $A157, $I$2, $I$3)))</f>
        <v/>
      </c>
      <c r="K157" s="1033" t="str">
        <f>IF(K$6="","",IF(NOT(ISNUMBER(_xll.ciqfunctions.udf.CIQ(K$6,$F$2, $A157, $I$2, $I$3))),IF(K156=K$6,"",K156),_xll.ciqfunctions.udf.CIQ(K$6,$F$2, $A157, $I$2, $I$3)))</f>
        <v/>
      </c>
      <c r="L157" s="254" t="str">
        <f>IF(L$6="","",IF(NOT(ISNUMBER(_xll.ciqfunctions.udf.CIQ(L$6,$F$2, $A157, $I$2, $I$3))),IF(L156=L$6,"",L156),_xll.ciqfunctions.udf.CIQ(L$6,$F$2, $A157, $I$2, $I$3)))</f>
        <v/>
      </c>
      <c r="M157" s="254" t="str">
        <f>IF(M$6="","",IF(NOT(ISNUMBER(_xll.ciqfunctions.udf.CIQ(M$6,$F$2, $A157, $I$2, $I$3))),IF(M156=M$6,"",M156),_xll.ciqfunctions.udf.CIQ(M$6,$F$2, $A157, $I$2, $I$3)))</f>
        <v/>
      </c>
      <c r="N157" s="254" t="str">
        <f>IF(N$6="","",IF(NOT(ISNUMBER(_xll.ciqfunctions.udf.CIQ(N$6,$F$2, $A157, $I$2, $I$3))),IF(N156=N$6,"",N156),_xll.ciqfunctions.udf.CIQ(N$6,$F$2, $A157, $I$2, $I$3)))</f>
        <v/>
      </c>
      <c r="O157" s="254" t="str">
        <f>IF(O$6="","",IF(NOT(ISNUMBER(_xll.ciqfunctions.udf.CIQ(O$6,$F$2, $A157, $I$2, $I$3))),IF(O156=O$6,"",O156),_xll.ciqfunctions.udf.CIQ(O$6,$F$2, $A157, $I$2, $I$3)))</f>
        <v/>
      </c>
      <c r="P157" s="254" t="str">
        <f>IF(P$6="","",IF(NOT(ISNUMBER(_xll.ciqfunctions.udf.CIQ(P$6,$F$2, $A157, $I$2, $I$3))),IF(P156=P$6,"",P156),_xll.ciqfunctions.udf.CIQ(P$6,$F$2, $A157, $I$2, $I$3)))</f>
        <v/>
      </c>
      <c r="Q157" s="254"/>
      <c r="R157" s="251">
        <f t="shared" si="94"/>
        <v>43875</v>
      </c>
      <c r="S157" s="255">
        <f t="shared" si="96"/>
        <v>0.63554384017758059</v>
      </c>
      <c r="T157" s="255">
        <f t="shared" si="97"/>
        <v>0.42272494276843409</v>
      </c>
      <c r="U157" s="255">
        <f t="shared" si="98"/>
        <v>0.35308252490792813</v>
      </c>
      <c r="V157" s="255">
        <f t="shared" si="112"/>
        <v>5.7915762867834841E-2</v>
      </c>
      <c r="W157" s="255">
        <f t="array" ref="W157">IFERROR(AVERAGE(IF(ISERROR(X157:AG157),"",X157:AG157)),"")</f>
        <v>0.8982050211700161</v>
      </c>
      <c r="X157" s="255">
        <f t="shared" si="113"/>
        <v>0.8982050211700161</v>
      </c>
      <c r="Y157" s="255" t="e">
        <f t="shared" si="114"/>
        <v>#N/A</v>
      </c>
      <c r="Z157" s="255" t="e">
        <f t="shared" si="115"/>
        <v>#N/A</v>
      </c>
      <c r="AA157" s="255" t="e">
        <f t="shared" si="116"/>
        <v>#N/A</v>
      </c>
      <c r="AB157" s="255" t="e">
        <f t="shared" si="117"/>
        <v>#N/A</v>
      </c>
      <c r="AC157" s="255" t="e">
        <f t="shared" si="118"/>
        <v>#N/A</v>
      </c>
      <c r="AD157" s="255" t="e">
        <f t="shared" si="119"/>
        <v>#N/A</v>
      </c>
      <c r="AE157" s="255" t="e">
        <f t="shared" si="120"/>
        <v>#N/A</v>
      </c>
      <c r="AF157" s="255" t="e">
        <f t="shared" si="121"/>
        <v>#N/A</v>
      </c>
      <c r="AG157" s="255" t="e">
        <f t="shared" si="122"/>
        <v>#N/A</v>
      </c>
      <c r="AI157" s="251">
        <f t="shared" si="95"/>
        <v>43875</v>
      </c>
      <c r="AJ157" s="718">
        <f>IF(OR($B157="No",AJ$6=""),"",IF(NOT(ISNUMBER(_xll.ciqfunctions.udf.CIQ(AJ$6,"IQ_TEV",$AI157,$I$2,$I$3))),"",_xll.ciqfunctions.udf.CIQ(AJ$6,"IQ_TEV",$AI157,$I$2,$I$3)))</f>
        <v>409133.55320999998</v>
      </c>
      <c r="AK157" s="718">
        <f>IF(OR($B157="No",AK$6=""),"",IF(NOT(ISNUMBER(_xll.ciqfunctions.udf.CIQ(AK$6,"IQ_TEV",$AI157,$I$2,$I$3))),"",_xll.ciqfunctions.udf.CIQ(AK$6,"IQ_TEV",$AI157,$I$2,$I$3)))</f>
        <v>140776.87025000001</v>
      </c>
      <c r="AL157" s="718" t="str">
        <f>IF(OR($B157="No",AL$6=""),"",IF(NOT(ISNUMBER(_xll.ciqfunctions.udf.CIQ(AL$6,"IQ_TEV",$AI157,$I$2,$I$3))),"",_xll.ciqfunctions.udf.CIQ(AL$6,"IQ_TEV",$AI157,$I$2,$I$3)))</f>
        <v/>
      </c>
      <c r="AM157" s="718" t="str">
        <f>IF(OR($B157="No",AM$6=""),"",IF(NOT(ISNUMBER(_xll.ciqfunctions.udf.CIQ(AM$6,"IQ_TEV",$AI157,$I$2,$I$3))),"",_xll.ciqfunctions.udf.CIQ(AM$6,"IQ_TEV",$AI157,$I$2,$I$3)))</f>
        <v/>
      </c>
      <c r="AN157" s="718" t="str">
        <f>IF(OR($B157="No",AN$6=""),"",IF(NOT(ISNUMBER(_xll.ciqfunctions.udf.CIQ(AN$6,"IQ_TEV",$AI157,$I$2,$I$3))),"",_xll.ciqfunctions.udf.CIQ(AN$6,"IQ_TEV",$AI157,$I$2,$I$3)))</f>
        <v/>
      </c>
      <c r="AO157" s="718" t="str">
        <f>IF(OR($B157="No",AO$6=""),"",IF(NOT(ISNUMBER(_xll.ciqfunctions.udf.CIQ(AO$6,"IQ_TEV",$AI157,$I$2,$I$3))),"",_xll.ciqfunctions.udf.CIQ(AO$6,"IQ_TEV",$AI157,$I$2,$I$3)))</f>
        <v/>
      </c>
      <c r="AP157" s="718" t="str">
        <f>IF(OR($B157="No",AP$6=""),"",IF(NOT(ISNUMBER(_xll.ciqfunctions.udf.CIQ(AP$6,"IQ_TEV",$AI157,$I$2,$I$3))),"",_xll.ciqfunctions.udf.CIQ(AP$6,"IQ_TEV",$AI157,$I$2,$I$3)))</f>
        <v/>
      </c>
      <c r="AQ157" s="718" t="str">
        <f>IF(OR($B157="No",AQ$6=""),"",IF(NOT(ISNUMBER(_xll.ciqfunctions.udf.CIQ(AQ$6,"IQ_TEV",$AI157,$I$2,$I$3))),"",_xll.ciqfunctions.udf.CIQ(AQ$6,"IQ_TEV",$AI157,$I$2,$I$3)))</f>
        <v/>
      </c>
      <c r="AR157" s="718" t="str">
        <f>IF(OR($B157="No",AR$6=""),"",IF(NOT(ISNUMBER(_xll.ciqfunctions.udf.CIQ(AR$6,"IQ_TEV",$AI157,$I$2,$I$3))),"",_xll.ciqfunctions.udf.CIQ(AR$6,"IQ_TEV",$AI157,$I$2,$I$3)))</f>
        <v/>
      </c>
      <c r="AS157" s="718" t="str">
        <f>IF(OR($B157="No",AS$6=""),"",IF(NOT(ISNUMBER(_xll.ciqfunctions.udf.CIQ(AS$6,"IQ_TEV",$AI157,$I$2,$I$3))),"",_xll.ciqfunctions.udf.CIQ(AS$6,"IQ_TEV",$AI157,$I$2,$I$3)))</f>
        <v/>
      </c>
      <c r="AT157" s="718" t="str">
        <f>IF(OR($B157="No",AT$6=""),"",IF(NOT(ISNUMBER(_xll.ciqfunctions.udf.CIQ(AT$6,"IQ_TEV",$AI157,$I$2,$I$3))),"",_xll.ciqfunctions.udf.CIQ(AT$6,"IQ_TEV",$AI157,$I$2,$I$3)))</f>
        <v/>
      </c>
      <c r="AV157" s="251">
        <f t="shared" si="99"/>
        <v>43875</v>
      </c>
      <c r="AW157" s="719">
        <f t="shared" si="100"/>
        <v>0.56721747283353374</v>
      </c>
      <c r="AX157" s="719">
        <f t="shared" si="101"/>
        <v>0.92885061694846094</v>
      </c>
      <c r="AY157" s="719" t="e">
        <f t="shared" si="102"/>
        <v>#N/A</v>
      </c>
      <c r="AZ157" s="719" t="e">
        <f t="shared" si="103"/>
        <v>#N/A</v>
      </c>
      <c r="BA157" s="719" t="e">
        <f t="shared" si="104"/>
        <v>#N/A</v>
      </c>
      <c r="BB157" s="719" t="e">
        <f t="shared" si="105"/>
        <v>#N/A</v>
      </c>
      <c r="BC157" s="719" t="e">
        <f t="shared" si="106"/>
        <v>#N/A</v>
      </c>
      <c r="BD157" s="719" t="e">
        <f t="shared" si="107"/>
        <v>#N/A</v>
      </c>
      <c r="BE157" s="719" t="e">
        <f t="shared" si="108"/>
        <v>#N/A</v>
      </c>
      <c r="BF157" s="719" t="e">
        <f t="shared" si="109"/>
        <v>#N/A</v>
      </c>
      <c r="BG157" s="719" t="e">
        <f t="shared" si="110"/>
        <v>#N/A</v>
      </c>
    </row>
    <row r="158" spans="1:59" ht="15" customHeight="1" x14ac:dyDescent="0.2">
      <c r="A158" s="251">
        <f t="shared" si="93"/>
        <v>43882</v>
      </c>
      <c r="B158" s="253" t="str">
        <f t="shared" si="111"/>
        <v>Yes</v>
      </c>
      <c r="C158" s="1033">
        <f>IF(C$6="","",IF(NOT(ISNUMBER(_xll.ciqfunctions.udf.CIQ(C$6,$F$2, $A158, $I$2, $I$3))),IF(C157=C$6,"",C157),_xll.ciqfunctions.udf.CIQ(C$6,$F$2, $A158, $I$2, $I$3)))</f>
        <v>118.58</v>
      </c>
      <c r="D158" s="1033">
        <f>IF(D$6="","",IF(NOT(ISNUMBER(_xll.ciqfunctions.udf.CIQ(D$6,$F$2, $A158, $I$2, $I$3))),IF(D157=D$6,"",D157),_xll.ciqfunctions.udf.CIQ(D$6,$F$2, $A158, $I$2, $I$3)))</f>
        <v>28992.405190000001</v>
      </c>
      <c r="E158" s="1033">
        <f>IF(E$6="","",IF(NOT(ISNUMBER(_xll.ciqfunctions.udf.CIQ(E$6,$F$2, $A158, $I$2, $I$3))),IF(E157=E$6,"",E157),_xll.ciqfunctions.udf.CIQ(E$6,$F$2, $A158, $I$2, $I$3)))</f>
        <v>9602.4868000000006</v>
      </c>
      <c r="F158" s="1033">
        <f>IF(F$6="","",IF(NOT(ISNUMBER(_xll.ciqfunctions.udf.CIQ(F$6,$F$2, $A158, $I$2, $I$3))),IF(F157=F$6,"",F157),_xll.ciqfunctions.udf.CIQ(F$6,$F$2, $A158, $I$2, $I$3)))</f>
        <v>4740.6608200000001</v>
      </c>
      <c r="G158" s="1033">
        <f>IF(G$6="","",IF(NOT(ISNUMBER(_xll.ciqfunctions.udf.CIQ(G$6,$F$2, $A158, $I$2, $I$3))),IF(G157=G$6,"",G157),_xll.ciqfunctions.udf.CIQ(G$6,$F$2, $A158, $I$2, $I$3)))</f>
        <v>321.95</v>
      </c>
      <c r="H158" s="1033" t="str">
        <f>IF(H$6="","",IF(NOT(ISNUMBER(_xll.ciqfunctions.udf.CIQ(H$6,$F$2, $A158, $I$2, $I$3))),IF(H157=H$6,"",H157),_xll.ciqfunctions.udf.CIQ(H$6,$F$2, $A158, $I$2, $I$3)))</f>
        <v/>
      </c>
      <c r="I158" s="1033" t="str">
        <f>IF(I$6="","",IF(NOT(ISNUMBER(_xll.ciqfunctions.udf.CIQ(I$6,$F$2, $A158, $I$2, $I$3))),IF(I157=I$6,"",I157),_xll.ciqfunctions.udf.CIQ(I$6,$F$2, $A158, $I$2, $I$3)))</f>
        <v/>
      </c>
      <c r="J158" s="1033" t="str">
        <f>IF(J$6="","",IF(NOT(ISNUMBER(_xll.ciqfunctions.udf.CIQ(J$6,$F$2, $A158, $I$2, $I$3))),IF(J157=J$6,"",J157),_xll.ciqfunctions.udf.CIQ(J$6,$F$2, $A158, $I$2, $I$3)))</f>
        <v/>
      </c>
      <c r="K158" s="1033" t="str">
        <f>IF(K$6="","",IF(NOT(ISNUMBER(_xll.ciqfunctions.udf.CIQ(K$6,$F$2, $A158, $I$2, $I$3))),IF(K157=K$6,"",K157),_xll.ciqfunctions.udf.CIQ(K$6,$F$2, $A158, $I$2, $I$3)))</f>
        <v/>
      </c>
      <c r="L158" s="254" t="str">
        <f>IF(L$6="","",IF(NOT(ISNUMBER(_xll.ciqfunctions.udf.CIQ(L$6,$F$2, $A158, $I$2, $I$3))),IF(L157=L$6,"",L157),_xll.ciqfunctions.udf.CIQ(L$6,$F$2, $A158, $I$2, $I$3)))</f>
        <v/>
      </c>
      <c r="M158" s="254" t="str">
        <f>IF(M$6="","",IF(NOT(ISNUMBER(_xll.ciqfunctions.udf.CIQ(M$6,$F$2, $A158, $I$2, $I$3))),IF(M157=M$6,"",M157),_xll.ciqfunctions.udf.CIQ(M$6,$F$2, $A158, $I$2, $I$3)))</f>
        <v/>
      </c>
      <c r="N158" s="254" t="str">
        <f>IF(N$6="","",IF(NOT(ISNUMBER(_xll.ciqfunctions.udf.CIQ(N$6,$F$2, $A158, $I$2, $I$3))),IF(N157=N$6,"",N157),_xll.ciqfunctions.udf.CIQ(N$6,$F$2, $A158, $I$2, $I$3)))</f>
        <v/>
      </c>
      <c r="O158" s="254" t="str">
        <f>IF(O$6="","",IF(NOT(ISNUMBER(_xll.ciqfunctions.udf.CIQ(O$6,$F$2, $A158, $I$2, $I$3))),IF(O157=O$6,"",O157),_xll.ciqfunctions.udf.CIQ(O$6,$F$2, $A158, $I$2, $I$3)))</f>
        <v/>
      </c>
      <c r="P158" s="254" t="str">
        <f>IF(P$6="","",IF(NOT(ISNUMBER(_xll.ciqfunctions.udf.CIQ(P$6,$F$2, $A158, $I$2, $I$3))),IF(P157=P$6,"",P157),_xll.ciqfunctions.udf.CIQ(P$6,$F$2, $A158, $I$2, $I$3)))</f>
        <v/>
      </c>
      <c r="Q158" s="254"/>
      <c r="R158" s="251">
        <f t="shared" si="94"/>
        <v>43882</v>
      </c>
      <c r="S158" s="255">
        <f t="shared" si="96"/>
        <v>0.64511653718091022</v>
      </c>
      <c r="T158" s="255">
        <f t="shared" si="97"/>
        <v>0.40309224325745086</v>
      </c>
      <c r="U158" s="255">
        <f t="shared" si="98"/>
        <v>0.34191265915970703</v>
      </c>
      <c r="V158" s="255">
        <f t="shared" si="112"/>
        <v>7.9942333195204274E-2</v>
      </c>
      <c r="W158" s="255">
        <f t="array" ref="W158">IFERROR(AVERAGE(IF(ISERROR(X158:AG158),"",X158:AG158)),"")</f>
        <v>0.91991174190470515</v>
      </c>
      <c r="X158" s="255">
        <f t="shared" si="113"/>
        <v>0.91991174190470515</v>
      </c>
      <c r="Y158" s="255" t="e">
        <f t="shared" si="114"/>
        <v>#N/A</v>
      </c>
      <c r="Z158" s="255" t="e">
        <f t="shared" si="115"/>
        <v>#N/A</v>
      </c>
      <c r="AA158" s="255" t="e">
        <f t="shared" si="116"/>
        <v>#N/A</v>
      </c>
      <c r="AB158" s="255" t="e">
        <f t="shared" si="117"/>
        <v>#N/A</v>
      </c>
      <c r="AC158" s="255" t="e">
        <f t="shared" si="118"/>
        <v>#N/A</v>
      </c>
      <c r="AD158" s="255" t="e">
        <f t="shared" si="119"/>
        <v>#N/A</v>
      </c>
      <c r="AE158" s="255" t="e">
        <f t="shared" si="120"/>
        <v>#N/A</v>
      </c>
      <c r="AF158" s="255" t="e">
        <f t="shared" si="121"/>
        <v>#N/A</v>
      </c>
      <c r="AG158" s="255" t="e">
        <f t="shared" si="122"/>
        <v>#N/A</v>
      </c>
      <c r="AI158" s="251">
        <f t="shared" si="95"/>
        <v>43882</v>
      </c>
      <c r="AJ158" s="718">
        <f>IF(OR($B158="No",AJ$6=""),"",IF(NOT(ISNUMBER(_xll.ciqfunctions.udf.CIQ(AJ$6,"IQ_TEV",$AI158,$I$2,$I$3))),"",_xll.ciqfunctions.udf.CIQ(AJ$6,"IQ_TEV",$AI158,$I$2,$I$3)))</f>
        <v>406283.20390999998</v>
      </c>
      <c r="AK158" s="718">
        <f>IF(OR($B158="No",AK$6=""),"",IF(NOT(ISNUMBER(_xll.ciqfunctions.udf.CIQ(AK$6,"IQ_TEV",$AI158,$I$2,$I$3))),"",_xll.ciqfunctions.udf.CIQ(AK$6,"IQ_TEV",$AI158,$I$2,$I$3)))</f>
        <v>142384.86801000001</v>
      </c>
      <c r="AL158" s="718" t="str">
        <f>IF(OR($B158="No",AL$6=""),"",IF(NOT(ISNUMBER(_xll.ciqfunctions.udf.CIQ(AL$6,"IQ_TEV",$AI158,$I$2,$I$3))),"",_xll.ciqfunctions.udf.CIQ(AL$6,"IQ_TEV",$AI158,$I$2,$I$3)))</f>
        <v/>
      </c>
      <c r="AM158" s="718" t="str">
        <f>IF(OR($B158="No",AM$6=""),"",IF(NOT(ISNUMBER(_xll.ciqfunctions.udf.CIQ(AM$6,"IQ_TEV",$AI158,$I$2,$I$3))),"",_xll.ciqfunctions.udf.CIQ(AM$6,"IQ_TEV",$AI158,$I$2,$I$3)))</f>
        <v/>
      </c>
      <c r="AN158" s="718" t="str">
        <f>IF(OR($B158="No",AN$6=""),"",IF(NOT(ISNUMBER(_xll.ciqfunctions.udf.CIQ(AN$6,"IQ_TEV",$AI158,$I$2,$I$3))),"",_xll.ciqfunctions.udf.CIQ(AN$6,"IQ_TEV",$AI158,$I$2,$I$3)))</f>
        <v/>
      </c>
      <c r="AO158" s="718" t="str">
        <f>IF(OR($B158="No",AO$6=""),"",IF(NOT(ISNUMBER(_xll.ciqfunctions.udf.CIQ(AO$6,"IQ_TEV",$AI158,$I$2,$I$3))),"",_xll.ciqfunctions.udf.CIQ(AO$6,"IQ_TEV",$AI158,$I$2,$I$3)))</f>
        <v/>
      </c>
      <c r="AP158" s="718" t="str">
        <f>IF(OR($B158="No",AP$6=""),"",IF(NOT(ISNUMBER(_xll.ciqfunctions.udf.CIQ(AP$6,"IQ_TEV",$AI158,$I$2,$I$3))),"",_xll.ciqfunctions.udf.CIQ(AP$6,"IQ_TEV",$AI158,$I$2,$I$3)))</f>
        <v/>
      </c>
      <c r="AQ158" s="718" t="str">
        <f>IF(OR($B158="No",AQ$6=""),"",IF(NOT(ISNUMBER(_xll.ciqfunctions.udf.CIQ(AQ$6,"IQ_TEV",$AI158,$I$2,$I$3))),"",_xll.ciqfunctions.udf.CIQ(AQ$6,"IQ_TEV",$AI158,$I$2,$I$3)))</f>
        <v/>
      </c>
      <c r="AR158" s="718" t="str">
        <f>IF(OR($B158="No",AR$6=""),"",IF(NOT(ISNUMBER(_xll.ciqfunctions.udf.CIQ(AR$6,"IQ_TEV",$AI158,$I$2,$I$3))),"",_xll.ciqfunctions.udf.CIQ(AR$6,"IQ_TEV",$AI158,$I$2,$I$3)))</f>
        <v/>
      </c>
      <c r="AS158" s="718" t="str">
        <f>IF(OR($B158="No",AS$6=""),"",IF(NOT(ISNUMBER(_xll.ciqfunctions.udf.CIQ(AS$6,"IQ_TEV",$AI158,$I$2,$I$3))),"",_xll.ciqfunctions.udf.CIQ(AS$6,"IQ_TEV",$AI158,$I$2,$I$3)))</f>
        <v/>
      </c>
      <c r="AT158" s="718" t="str">
        <f>IF(OR($B158="No",AT$6=""),"",IF(NOT(ISNUMBER(_xll.ciqfunctions.udf.CIQ(AT$6,"IQ_TEV",$AI158,$I$2,$I$3))),"",_xll.ciqfunctions.udf.CIQ(AT$6,"IQ_TEV",$AI158,$I$2,$I$3)))</f>
        <v/>
      </c>
      <c r="AV158" s="251">
        <f t="shared" si="99"/>
        <v>43882</v>
      </c>
      <c r="AW158" s="719">
        <f t="shared" si="100"/>
        <v>0.55629899110161385</v>
      </c>
      <c r="AX158" s="719">
        <f t="shared" si="101"/>
        <v>0.95088255632827345</v>
      </c>
      <c r="AY158" s="719" t="e">
        <f t="shared" si="102"/>
        <v>#N/A</v>
      </c>
      <c r="AZ158" s="719" t="e">
        <f t="shared" si="103"/>
        <v>#N/A</v>
      </c>
      <c r="BA158" s="719" t="e">
        <f t="shared" si="104"/>
        <v>#N/A</v>
      </c>
      <c r="BB158" s="719" t="e">
        <f t="shared" si="105"/>
        <v>#N/A</v>
      </c>
      <c r="BC158" s="719" t="e">
        <f t="shared" si="106"/>
        <v>#N/A</v>
      </c>
      <c r="BD158" s="719" t="e">
        <f t="shared" si="107"/>
        <v>#N/A</v>
      </c>
      <c r="BE158" s="719" t="e">
        <f t="shared" si="108"/>
        <v>#N/A</v>
      </c>
      <c r="BF158" s="719" t="e">
        <f t="shared" si="109"/>
        <v>#N/A</v>
      </c>
      <c r="BG158" s="719" t="e">
        <f t="shared" si="110"/>
        <v>#N/A</v>
      </c>
    </row>
    <row r="159" spans="1:59" ht="15" customHeight="1" x14ac:dyDescent="0.2">
      <c r="A159" s="251">
        <f t="shared" si="93"/>
        <v>43889</v>
      </c>
      <c r="B159" s="253" t="str">
        <f t="shared" si="111"/>
        <v>Yes</v>
      </c>
      <c r="C159" s="1033">
        <f>IF(C$6="","",IF(NOT(ISNUMBER(_xll.ciqfunctions.udf.CIQ(C$6,$F$2, $A159, $I$2, $I$3))),IF(C158=C$6,"",C158),_xll.ciqfunctions.udf.CIQ(C$6,$F$2, $A159, $I$2, $I$3)))</f>
        <v>107.68</v>
      </c>
      <c r="D159" s="1033">
        <f>IF(D$6="","",IF(NOT(ISNUMBER(_xll.ciqfunctions.udf.CIQ(D$6,$F$2, $A159, $I$2, $I$3))),IF(D158=D$6,"",D158),_xll.ciqfunctions.udf.CIQ(D$6,$F$2, $A159, $I$2, $I$3)))</f>
        <v>25409.356930000002</v>
      </c>
      <c r="E159" s="1033">
        <f>IF(E$6="","",IF(NOT(ISNUMBER(_xll.ciqfunctions.udf.CIQ(E$6,$F$2, $A159, $I$2, $I$3))),IF(E158=E$6,"",E158),_xll.ciqfunctions.udf.CIQ(E$6,$F$2, $A159, $I$2, $I$3)))</f>
        <v>8394.6264200000005</v>
      </c>
      <c r="F159" s="1033">
        <f>IF(F$6="","",IF(NOT(ISNUMBER(_xll.ciqfunctions.udf.CIQ(F$6,$F$2, $A159, $I$2, $I$3))),IF(F158=F$6,"",F158),_xll.ciqfunctions.udf.CIQ(F$6,$F$2, $A159, $I$2, $I$3)))</f>
        <v>4169.1993400000001</v>
      </c>
      <c r="G159" s="1033">
        <f>IF(G$6="","",IF(NOT(ISNUMBER(_xll.ciqfunctions.udf.CIQ(G$6,$F$2, $A159, $I$2, $I$3))),IF(G158=G$6,"",G158),_xll.ciqfunctions.udf.CIQ(G$6,$F$2, $A159, $I$2, $I$3)))</f>
        <v>281.14</v>
      </c>
      <c r="H159" s="1033" t="str">
        <f>IF(H$6="","",IF(NOT(ISNUMBER(_xll.ciqfunctions.udf.CIQ(H$6,$F$2, $A159, $I$2, $I$3))),IF(H158=H$6,"",H158),_xll.ciqfunctions.udf.CIQ(H$6,$F$2, $A159, $I$2, $I$3)))</f>
        <v/>
      </c>
      <c r="I159" s="1033" t="str">
        <f>IF(I$6="","",IF(NOT(ISNUMBER(_xll.ciqfunctions.udf.CIQ(I$6,$F$2, $A159, $I$2, $I$3))),IF(I158=I$6,"",I158),_xll.ciqfunctions.udf.CIQ(I$6,$F$2, $A159, $I$2, $I$3)))</f>
        <v/>
      </c>
      <c r="J159" s="1033" t="str">
        <f>IF(J$6="","",IF(NOT(ISNUMBER(_xll.ciqfunctions.udf.CIQ(J$6,$F$2, $A159, $I$2, $I$3))),IF(J158=J$6,"",J158),_xll.ciqfunctions.udf.CIQ(J$6,$F$2, $A159, $I$2, $I$3)))</f>
        <v/>
      </c>
      <c r="K159" s="1033" t="str">
        <f>IF(K$6="","",IF(NOT(ISNUMBER(_xll.ciqfunctions.udf.CIQ(K$6,$F$2, $A159, $I$2, $I$3))),IF(K158=K$6,"",K158),_xll.ciqfunctions.udf.CIQ(K$6,$F$2, $A159, $I$2, $I$3)))</f>
        <v/>
      </c>
      <c r="L159" s="254" t="str">
        <f>IF(L$6="","",IF(NOT(ISNUMBER(_xll.ciqfunctions.udf.CIQ(L$6,$F$2, $A159, $I$2, $I$3))),IF(L158=L$6,"",L158),_xll.ciqfunctions.udf.CIQ(L$6,$F$2, $A159, $I$2, $I$3)))</f>
        <v/>
      </c>
      <c r="M159" s="254" t="str">
        <f>IF(M$6="","",IF(NOT(ISNUMBER(_xll.ciqfunctions.udf.CIQ(M$6,$F$2, $A159, $I$2, $I$3))),IF(M158=M$6,"",M158),_xll.ciqfunctions.udf.CIQ(M$6,$F$2, $A159, $I$2, $I$3)))</f>
        <v/>
      </c>
      <c r="N159" s="254" t="str">
        <f>IF(N$6="","",IF(NOT(ISNUMBER(_xll.ciqfunctions.udf.CIQ(N$6,$F$2, $A159, $I$2, $I$3))),IF(N158=N$6,"",N158),_xll.ciqfunctions.udf.CIQ(N$6,$F$2, $A159, $I$2, $I$3)))</f>
        <v/>
      </c>
      <c r="O159" s="254" t="str">
        <f>IF(O$6="","",IF(NOT(ISNUMBER(_xll.ciqfunctions.udf.CIQ(O$6,$F$2, $A159, $I$2, $I$3))),IF(O158=O$6,"",O158),_xll.ciqfunctions.udf.CIQ(O$6,$F$2, $A159, $I$2, $I$3)))</f>
        <v/>
      </c>
      <c r="P159" s="254" t="str">
        <f>IF(P$6="","",IF(NOT(ISNUMBER(_xll.ciqfunctions.udf.CIQ(P$6,$F$2, $A159, $I$2, $I$3))),IF(P158=P$6,"",P158),_xll.ciqfunctions.udf.CIQ(P$6,$F$2, $A159, $I$2, $I$3)))</f>
        <v/>
      </c>
      <c r="Q159" s="254"/>
      <c r="R159" s="251">
        <f t="shared" si="94"/>
        <v>43889</v>
      </c>
      <c r="S159" s="255">
        <f t="shared" si="96"/>
        <v>0.49389567147613778</v>
      </c>
      <c r="T159" s="255">
        <f t="shared" si="97"/>
        <v>0.22969003023384404</v>
      </c>
      <c r="U159" s="255">
        <f t="shared" si="98"/>
        <v>0.17311855736313353</v>
      </c>
      <c r="V159" s="255">
        <f t="shared" si="112"/>
        <v>-5.0238978540653068E-2</v>
      </c>
      <c r="W159" s="255">
        <f t="array" ref="W159">IFERROR(AVERAGE(IF(ISERROR(X159:AG159),"",X159:AG159)),"")</f>
        <v>0.67654600751386473</v>
      </c>
      <c r="X159" s="255">
        <f t="shared" si="113"/>
        <v>0.67654600751386473</v>
      </c>
      <c r="Y159" s="255" t="e">
        <f t="shared" si="114"/>
        <v>#N/A</v>
      </c>
      <c r="Z159" s="255" t="e">
        <f t="shared" si="115"/>
        <v>#N/A</v>
      </c>
      <c r="AA159" s="255" t="e">
        <f t="shared" si="116"/>
        <v>#N/A</v>
      </c>
      <c r="AB159" s="255" t="e">
        <f t="shared" si="117"/>
        <v>#N/A</v>
      </c>
      <c r="AC159" s="255" t="e">
        <f t="shared" si="118"/>
        <v>#N/A</v>
      </c>
      <c r="AD159" s="255" t="e">
        <f t="shared" si="119"/>
        <v>#N/A</v>
      </c>
      <c r="AE159" s="255" t="e">
        <f t="shared" si="120"/>
        <v>#N/A</v>
      </c>
      <c r="AF159" s="255" t="e">
        <f t="shared" si="121"/>
        <v>#N/A</v>
      </c>
      <c r="AG159" s="255" t="e">
        <f t="shared" si="122"/>
        <v>#N/A</v>
      </c>
      <c r="AI159" s="251">
        <f t="shared" si="95"/>
        <v>43889</v>
      </c>
      <c r="AJ159" s="718">
        <f>IF(OR($B159="No",AJ$6=""),"",IF(NOT(ISNUMBER(_xll.ciqfunctions.udf.CIQ(AJ$6,"IQ_TEV",$AI159,$I$2,$I$3))),"",_xll.ciqfunctions.udf.CIQ(AJ$6,"IQ_TEV",$AI159,$I$2,$I$3)))</f>
        <v>375357.99711</v>
      </c>
      <c r="AK159" s="718">
        <f>IF(OR($B159="No",AK$6=""),"",IF(NOT(ISNUMBER(_xll.ciqfunctions.udf.CIQ(AK$6,"IQ_TEV",$AI159,$I$2,$I$3))),"",_xll.ciqfunctions.udf.CIQ(AK$6,"IQ_TEV",$AI159,$I$2,$I$3)))</f>
        <v>124356.73925</v>
      </c>
      <c r="AL159" s="718" t="str">
        <f>IF(OR($B159="No",AL$6=""),"",IF(NOT(ISNUMBER(_xll.ciqfunctions.udf.CIQ(AL$6,"IQ_TEV",$AI159,$I$2,$I$3))),"",_xll.ciqfunctions.udf.CIQ(AL$6,"IQ_TEV",$AI159,$I$2,$I$3)))</f>
        <v/>
      </c>
      <c r="AM159" s="718" t="str">
        <f>IF(OR($B159="No",AM$6=""),"",IF(NOT(ISNUMBER(_xll.ciqfunctions.udf.CIQ(AM$6,"IQ_TEV",$AI159,$I$2,$I$3))),"",_xll.ciqfunctions.udf.CIQ(AM$6,"IQ_TEV",$AI159,$I$2,$I$3)))</f>
        <v/>
      </c>
      <c r="AN159" s="718" t="str">
        <f>IF(OR($B159="No",AN$6=""),"",IF(NOT(ISNUMBER(_xll.ciqfunctions.udf.CIQ(AN$6,"IQ_TEV",$AI159,$I$2,$I$3))),"",_xll.ciqfunctions.udf.CIQ(AN$6,"IQ_TEV",$AI159,$I$2,$I$3)))</f>
        <v/>
      </c>
      <c r="AO159" s="718" t="str">
        <f>IF(OR($B159="No",AO$6=""),"",IF(NOT(ISNUMBER(_xll.ciqfunctions.udf.CIQ(AO$6,"IQ_TEV",$AI159,$I$2,$I$3))),"",_xll.ciqfunctions.udf.CIQ(AO$6,"IQ_TEV",$AI159,$I$2,$I$3)))</f>
        <v/>
      </c>
      <c r="AP159" s="718" t="str">
        <f>IF(OR($B159="No",AP$6=""),"",IF(NOT(ISNUMBER(_xll.ciqfunctions.udf.CIQ(AP$6,"IQ_TEV",$AI159,$I$2,$I$3))),"",_xll.ciqfunctions.udf.CIQ(AP$6,"IQ_TEV",$AI159,$I$2,$I$3)))</f>
        <v/>
      </c>
      <c r="AQ159" s="718" t="str">
        <f>IF(OR($B159="No",AQ$6=""),"",IF(NOT(ISNUMBER(_xll.ciqfunctions.udf.CIQ(AQ$6,"IQ_TEV",$AI159,$I$2,$I$3))),"",_xll.ciqfunctions.udf.CIQ(AQ$6,"IQ_TEV",$AI159,$I$2,$I$3)))</f>
        <v/>
      </c>
      <c r="AR159" s="718" t="str">
        <f>IF(OR($B159="No",AR$6=""),"",IF(NOT(ISNUMBER(_xll.ciqfunctions.udf.CIQ(AR$6,"IQ_TEV",$AI159,$I$2,$I$3))),"",_xll.ciqfunctions.udf.CIQ(AR$6,"IQ_TEV",$AI159,$I$2,$I$3)))</f>
        <v/>
      </c>
      <c r="AS159" s="718" t="str">
        <f>IF(OR($B159="No",AS$6=""),"",IF(NOT(ISNUMBER(_xll.ciqfunctions.udf.CIQ(AS$6,"IQ_TEV",$AI159,$I$2,$I$3))),"",_xll.ciqfunctions.udf.CIQ(AS$6,"IQ_TEV",$AI159,$I$2,$I$3)))</f>
        <v/>
      </c>
      <c r="AT159" s="718" t="str">
        <f>IF(OR($B159="No",AT$6=""),"",IF(NOT(ISNUMBER(_xll.ciqfunctions.udf.CIQ(AT$6,"IQ_TEV",$AI159,$I$2,$I$3))),"",_xll.ciqfunctions.udf.CIQ(AT$6,"IQ_TEV",$AI159,$I$2,$I$3)))</f>
        <v/>
      </c>
      <c r="AV159" s="251">
        <f t="shared" si="99"/>
        <v>43889</v>
      </c>
      <c r="AW159" s="719">
        <f t="shared" si="100"/>
        <v>0.43783761322710468</v>
      </c>
      <c r="AX159" s="719">
        <f t="shared" si="101"/>
        <v>0.70387062020979529</v>
      </c>
      <c r="AY159" s="719" t="e">
        <f t="shared" si="102"/>
        <v>#N/A</v>
      </c>
      <c r="AZ159" s="719" t="e">
        <f t="shared" si="103"/>
        <v>#N/A</v>
      </c>
      <c r="BA159" s="719" t="e">
        <f t="shared" si="104"/>
        <v>#N/A</v>
      </c>
      <c r="BB159" s="719" t="e">
        <f t="shared" si="105"/>
        <v>#N/A</v>
      </c>
      <c r="BC159" s="719" t="e">
        <f t="shared" si="106"/>
        <v>#N/A</v>
      </c>
      <c r="BD159" s="719" t="e">
        <f t="shared" si="107"/>
        <v>#N/A</v>
      </c>
      <c r="BE159" s="719" t="e">
        <f t="shared" si="108"/>
        <v>#N/A</v>
      </c>
      <c r="BF159" s="719" t="e">
        <f t="shared" si="109"/>
        <v>#N/A</v>
      </c>
      <c r="BG159" s="719" t="e">
        <f t="shared" si="110"/>
        <v>#N/A</v>
      </c>
    </row>
    <row r="160" spans="1:59" ht="15" customHeight="1" x14ac:dyDescent="0.2">
      <c r="A160" s="251">
        <f t="shared" si="93"/>
        <v>43896</v>
      </c>
      <c r="B160" s="253" t="str">
        <f t="shared" si="111"/>
        <v>Yes</v>
      </c>
      <c r="C160" s="1033">
        <f>IF(C$6="","",IF(NOT(ISNUMBER(_xll.ciqfunctions.udf.CIQ(C$6,$F$2, $A160, $I$2, $I$3))),IF(C159=C$6,"",C159),_xll.ciqfunctions.udf.CIQ(C$6,$F$2, $A160, $I$2, $I$3)))</f>
        <v>117.23</v>
      </c>
      <c r="D160" s="1033">
        <f>IF(D$6="","",IF(NOT(ISNUMBER(_xll.ciqfunctions.udf.CIQ(D$6,$F$2, $A160, $I$2, $I$3))),IF(D159=D$6,"",D159),_xll.ciqfunctions.udf.CIQ(D$6,$F$2, $A160, $I$2, $I$3)))</f>
        <v>25864.778869999998</v>
      </c>
      <c r="E160" s="1033">
        <f>IF(E$6="","",IF(NOT(ISNUMBER(_xll.ciqfunctions.udf.CIQ(E$6,$F$2, $A160, $I$2, $I$3))),IF(E159=E$6,"",E159),_xll.ciqfunctions.udf.CIQ(E$6,$F$2, $A160, $I$2, $I$3)))</f>
        <v>8503.0906599999998</v>
      </c>
      <c r="F160" s="1033">
        <f>IF(F$6="","",IF(NOT(ISNUMBER(_xll.ciqfunctions.udf.CIQ(F$6,$F$2, $A160, $I$2, $I$3))),IF(F159=F$6,"",F159),_xll.ciqfunctions.udf.CIQ(F$6,$F$2, $A160, $I$2, $I$3)))</f>
        <v>4048.3539599999999</v>
      </c>
      <c r="G160" s="1033">
        <f>IF(G$6="","",IF(NOT(ISNUMBER(_xll.ciqfunctions.udf.CIQ(G$6,$F$2, $A160, $I$2, $I$3))),IF(G159=G$6,"",G159),_xll.ciqfunctions.udf.CIQ(G$6,$F$2, $A160, $I$2, $I$3)))</f>
        <v>311.33999999999997</v>
      </c>
      <c r="H160" s="1033" t="str">
        <f>IF(H$6="","",IF(NOT(ISNUMBER(_xll.ciqfunctions.udf.CIQ(H$6,$F$2, $A160, $I$2, $I$3))),IF(H159=H$6,"",H159),_xll.ciqfunctions.udf.CIQ(H$6,$F$2, $A160, $I$2, $I$3)))</f>
        <v/>
      </c>
      <c r="I160" s="1033" t="str">
        <f>IF(I$6="","",IF(NOT(ISNUMBER(_xll.ciqfunctions.udf.CIQ(I$6,$F$2, $A160, $I$2, $I$3))),IF(I159=I$6,"",I159),_xll.ciqfunctions.udf.CIQ(I$6,$F$2, $A160, $I$2, $I$3)))</f>
        <v/>
      </c>
      <c r="J160" s="1033" t="str">
        <f>IF(J$6="","",IF(NOT(ISNUMBER(_xll.ciqfunctions.udf.CIQ(J$6,$F$2, $A160, $I$2, $I$3))),IF(J159=J$6,"",J159),_xll.ciqfunctions.udf.CIQ(J$6,$F$2, $A160, $I$2, $I$3)))</f>
        <v/>
      </c>
      <c r="K160" s="1033" t="str">
        <f>IF(K$6="","",IF(NOT(ISNUMBER(_xll.ciqfunctions.udf.CIQ(K$6,$F$2, $A160, $I$2, $I$3))),IF(K159=K$6,"",K159),_xll.ciqfunctions.udf.CIQ(K$6,$F$2, $A160, $I$2, $I$3)))</f>
        <v/>
      </c>
      <c r="L160" s="254" t="str">
        <f>IF(L$6="","",IF(NOT(ISNUMBER(_xll.ciqfunctions.udf.CIQ(L$6,$F$2, $A160, $I$2, $I$3))),IF(L159=L$6,"",L159),_xll.ciqfunctions.udf.CIQ(L$6,$F$2, $A160, $I$2, $I$3)))</f>
        <v/>
      </c>
      <c r="M160" s="254" t="str">
        <f>IF(M$6="","",IF(NOT(ISNUMBER(_xll.ciqfunctions.udf.CIQ(M$6,$F$2, $A160, $I$2, $I$3))),IF(M159=M$6,"",M159),_xll.ciqfunctions.udf.CIQ(M$6,$F$2, $A160, $I$2, $I$3)))</f>
        <v/>
      </c>
      <c r="N160" s="254" t="str">
        <f>IF(N$6="","",IF(NOT(ISNUMBER(_xll.ciqfunctions.udf.CIQ(N$6,$F$2, $A160, $I$2, $I$3))),IF(N159=N$6,"",N159),_xll.ciqfunctions.udf.CIQ(N$6,$F$2, $A160, $I$2, $I$3)))</f>
        <v/>
      </c>
      <c r="O160" s="254" t="str">
        <f>IF(O$6="","",IF(NOT(ISNUMBER(_xll.ciqfunctions.udf.CIQ(O$6,$F$2, $A160, $I$2, $I$3))),IF(O159=O$6,"",O159),_xll.ciqfunctions.udf.CIQ(O$6,$F$2, $A160, $I$2, $I$3)))</f>
        <v/>
      </c>
      <c r="P160" s="254" t="str">
        <f>IF(P$6="","",IF(NOT(ISNUMBER(_xll.ciqfunctions.udf.CIQ(P$6,$F$2, $A160, $I$2, $I$3))),IF(P159=P$6,"",P159),_xll.ciqfunctions.udf.CIQ(P$6,$F$2, $A160, $I$2, $I$3)))</f>
        <v/>
      </c>
      <c r="Q160" s="254"/>
      <c r="R160" s="251">
        <f t="shared" si="94"/>
        <v>43896</v>
      </c>
      <c r="S160" s="255">
        <f t="shared" si="96"/>
        <v>0.62638734739178692</v>
      </c>
      <c r="T160" s="255">
        <f t="shared" si="97"/>
        <v>0.25173025032719654</v>
      </c>
      <c r="U160" s="255">
        <f t="shared" si="98"/>
        <v>0.18827604101852735</v>
      </c>
      <c r="V160" s="255">
        <f t="shared" si="112"/>
        <v>-7.7768060790638027E-2</v>
      </c>
      <c r="W160" s="255">
        <f t="array" ref="W160">IFERROR(AVERAGE(IF(ISERROR(X160:AG160),"",X160:AG160)),"")</f>
        <v>0.85664022899397696</v>
      </c>
      <c r="X160" s="255">
        <f t="shared" si="113"/>
        <v>0.85664022899397696</v>
      </c>
      <c r="Y160" s="255" t="e">
        <f t="shared" si="114"/>
        <v>#N/A</v>
      </c>
      <c r="Z160" s="255" t="e">
        <f t="shared" si="115"/>
        <v>#N/A</v>
      </c>
      <c r="AA160" s="255" t="e">
        <f t="shared" si="116"/>
        <v>#N/A</v>
      </c>
      <c r="AB160" s="255" t="e">
        <f t="shared" si="117"/>
        <v>#N/A</v>
      </c>
      <c r="AC160" s="255" t="e">
        <f t="shared" si="118"/>
        <v>#N/A</v>
      </c>
      <c r="AD160" s="255" t="e">
        <f t="shared" si="119"/>
        <v>#N/A</v>
      </c>
      <c r="AE160" s="255" t="e">
        <f t="shared" si="120"/>
        <v>#N/A</v>
      </c>
      <c r="AF160" s="255" t="e">
        <f t="shared" si="121"/>
        <v>#N/A</v>
      </c>
      <c r="AG160" s="255" t="e">
        <f t="shared" si="122"/>
        <v>#N/A</v>
      </c>
      <c r="AI160" s="251">
        <f t="shared" si="95"/>
        <v>43896</v>
      </c>
      <c r="AJ160" s="718">
        <f>IF(OR($B160="No",AJ$6=""),"",IF(NOT(ISNUMBER(_xll.ciqfunctions.udf.CIQ(AJ$6,"IQ_TEV",$AI160,$I$2,$I$3))),"",_xll.ciqfunctions.udf.CIQ(AJ$6,"IQ_TEV",$AI160,$I$2,$I$3)))</f>
        <v>402453.01775</v>
      </c>
      <c r="AK160" s="718">
        <f>IF(OR($B160="No",AK$6=""),"",IF(NOT(ISNUMBER(_xll.ciqfunctions.udf.CIQ(AK$6,"IQ_TEV",$AI160,$I$2,$I$3))),"",_xll.ciqfunctions.udf.CIQ(AK$6,"IQ_TEV",$AI160,$I$2,$I$3)))</f>
        <v>137209.59348000001</v>
      </c>
      <c r="AL160" s="718" t="str">
        <f>IF(OR($B160="No",AL$6=""),"",IF(NOT(ISNUMBER(_xll.ciqfunctions.udf.CIQ(AL$6,"IQ_TEV",$AI160,$I$2,$I$3))),"",_xll.ciqfunctions.udf.CIQ(AL$6,"IQ_TEV",$AI160,$I$2,$I$3)))</f>
        <v/>
      </c>
      <c r="AM160" s="718" t="str">
        <f>IF(OR($B160="No",AM$6=""),"",IF(NOT(ISNUMBER(_xll.ciqfunctions.udf.CIQ(AM$6,"IQ_TEV",$AI160,$I$2,$I$3))),"",_xll.ciqfunctions.udf.CIQ(AM$6,"IQ_TEV",$AI160,$I$2,$I$3)))</f>
        <v/>
      </c>
      <c r="AN160" s="718" t="str">
        <f>IF(OR($B160="No",AN$6=""),"",IF(NOT(ISNUMBER(_xll.ciqfunctions.udf.CIQ(AN$6,"IQ_TEV",$AI160,$I$2,$I$3))),"",_xll.ciqfunctions.udf.CIQ(AN$6,"IQ_TEV",$AI160,$I$2,$I$3)))</f>
        <v/>
      </c>
      <c r="AO160" s="718" t="str">
        <f>IF(OR($B160="No",AO$6=""),"",IF(NOT(ISNUMBER(_xll.ciqfunctions.udf.CIQ(AO$6,"IQ_TEV",$AI160,$I$2,$I$3))),"",_xll.ciqfunctions.udf.CIQ(AO$6,"IQ_TEV",$AI160,$I$2,$I$3)))</f>
        <v/>
      </c>
      <c r="AP160" s="718" t="str">
        <f>IF(OR($B160="No",AP$6=""),"",IF(NOT(ISNUMBER(_xll.ciqfunctions.udf.CIQ(AP$6,"IQ_TEV",$AI160,$I$2,$I$3))),"",_xll.ciqfunctions.udf.CIQ(AP$6,"IQ_TEV",$AI160,$I$2,$I$3)))</f>
        <v/>
      </c>
      <c r="AQ160" s="718" t="str">
        <f>IF(OR($B160="No",AQ$6=""),"",IF(NOT(ISNUMBER(_xll.ciqfunctions.udf.CIQ(AQ$6,"IQ_TEV",$AI160,$I$2,$I$3))),"",_xll.ciqfunctions.udf.CIQ(AQ$6,"IQ_TEV",$AI160,$I$2,$I$3)))</f>
        <v/>
      </c>
      <c r="AR160" s="718" t="str">
        <f>IF(OR($B160="No",AR$6=""),"",IF(NOT(ISNUMBER(_xll.ciqfunctions.udf.CIQ(AR$6,"IQ_TEV",$AI160,$I$2,$I$3))),"",_xll.ciqfunctions.udf.CIQ(AR$6,"IQ_TEV",$AI160,$I$2,$I$3)))</f>
        <v/>
      </c>
      <c r="AS160" s="718" t="str">
        <f>IF(OR($B160="No",AS$6=""),"",IF(NOT(ISNUMBER(_xll.ciqfunctions.udf.CIQ(AS$6,"IQ_TEV",$AI160,$I$2,$I$3))),"",_xll.ciqfunctions.udf.CIQ(AS$6,"IQ_TEV",$AI160,$I$2,$I$3)))</f>
        <v/>
      </c>
      <c r="AT160" s="718" t="str">
        <f>IF(OR($B160="No",AT$6=""),"",IF(NOT(ISNUMBER(_xll.ciqfunctions.udf.CIQ(AT$6,"IQ_TEV",$AI160,$I$2,$I$3))),"",_xll.ciqfunctions.udf.CIQ(AT$6,"IQ_TEV",$AI160,$I$2,$I$3)))</f>
        <v/>
      </c>
      <c r="AV160" s="251">
        <f t="shared" si="99"/>
        <v>43896</v>
      </c>
      <c r="AW160" s="719">
        <f t="shared" si="100"/>
        <v>0.54162716908393627</v>
      </c>
      <c r="AX160" s="719">
        <f t="shared" si="101"/>
        <v>0.87997366730168181</v>
      </c>
      <c r="AY160" s="719" t="e">
        <f t="shared" si="102"/>
        <v>#N/A</v>
      </c>
      <c r="AZ160" s="719" t="e">
        <f t="shared" si="103"/>
        <v>#N/A</v>
      </c>
      <c r="BA160" s="719" t="e">
        <f t="shared" si="104"/>
        <v>#N/A</v>
      </c>
      <c r="BB160" s="719" t="e">
        <f t="shared" si="105"/>
        <v>#N/A</v>
      </c>
      <c r="BC160" s="719" t="e">
        <f t="shared" si="106"/>
        <v>#N/A</v>
      </c>
      <c r="BD160" s="719" t="e">
        <f t="shared" si="107"/>
        <v>#N/A</v>
      </c>
      <c r="BE160" s="719" t="e">
        <f t="shared" si="108"/>
        <v>#N/A</v>
      </c>
      <c r="BF160" s="719" t="e">
        <f t="shared" si="109"/>
        <v>#N/A</v>
      </c>
      <c r="BG160" s="719" t="e">
        <f t="shared" si="110"/>
        <v>#N/A</v>
      </c>
    </row>
    <row r="161" spans="1:59" ht="15" customHeight="1" x14ac:dyDescent="0.2">
      <c r="A161" s="251">
        <f t="shared" si="93"/>
        <v>43903</v>
      </c>
      <c r="B161" s="253" t="str">
        <f t="shared" si="111"/>
        <v>Yes</v>
      </c>
      <c r="C161" s="1033">
        <f>IF(C$6="","",IF(NOT(ISNUMBER(_xll.ciqfunctions.udf.CIQ(C$6,$F$2, $A161, $I$2, $I$3))),IF(C160=C$6,"",C160),_xll.ciqfunctions.udf.CIQ(C$6,$F$2, $A161, $I$2, $I$3)))</f>
        <v>114.1</v>
      </c>
      <c r="D161" s="1033">
        <f>IF(D$6="","",IF(NOT(ISNUMBER(_xll.ciqfunctions.udf.CIQ(D$6,$F$2, $A161, $I$2, $I$3))),IF(D160=D$6,"",D160),_xll.ciqfunctions.udf.CIQ(D$6,$F$2, $A161, $I$2, $I$3)))</f>
        <v>23185.622790000001</v>
      </c>
      <c r="E161" s="1033">
        <f>IF(E$6="","",IF(NOT(ISNUMBER(_xll.ciqfunctions.udf.CIQ(E$6,$F$2, $A161, $I$2, $I$3))),IF(E160=E$6,"",E160),_xll.ciqfunctions.udf.CIQ(E$6,$F$2, $A161, $I$2, $I$3)))</f>
        <v>7519.6037200000001</v>
      </c>
      <c r="F161" s="1033">
        <f>IF(F$6="","",IF(NOT(ISNUMBER(_xll.ciqfunctions.udf.CIQ(F$6,$F$2, $A161, $I$2, $I$3))),IF(F160=F$6,"",F160),_xll.ciqfunctions.udf.CIQ(F$6,$F$2, $A161, $I$2, $I$3)))</f>
        <v>3388.0058600000002</v>
      </c>
      <c r="G161" s="1033">
        <f>IF(G$6="","",IF(NOT(ISNUMBER(_xll.ciqfunctions.udf.CIQ(G$6,$F$2, $A161, $I$2, $I$3))),IF(G160=G$6,"",G160),_xll.ciqfunctions.udf.CIQ(G$6,$F$2, $A161, $I$2, $I$3)))</f>
        <v>302.27</v>
      </c>
      <c r="H161" s="1033" t="str">
        <f>IF(H$6="","",IF(NOT(ISNUMBER(_xll.ciqfunctions.udf.CIQ(H$6,$F$2, $A161, $I$2, $I$3))),IF(H160=H$6,"",H160),_xll.ciqfunctions.udf.CIQ(H$6,$F$2, $A161, $I$2, $I$3)))</f>
        <v/>
      </c>
      <c r="I161" s="1033" t="str">
        <f>IF(I$6="","",IF(NOT(ISNUMBER(_xll.ciqfunctions.udf.CIQ(I$6,$F$2, $A161, $I$2, $I$3))),IF(I160=I$6,"",I160),_xll.ciqfunctions.udf.CIQ(I$6,$F$2, $A161, $I$2, $I$3)))</f>
        <v/>
      </c>
      <c r="J161" s="1033" t="str">
        <f>IF(J$6="","",IF(NOT(ISNUMBER(_xll.ciqfunctions.udf.CIQ(J$6,$F$2, $A161, $I$2, $I$3))),IF(J160=J$6,"",J160),_xll.ciqfunctions.udf.CIQ(J$6,$F$2, $A161, $I$2, $I$3)))</f>
        <v/>
      </c>
      <c r="K161" s="1033" t="str">
        <f>IF(K$6="","",IF(NOT(ISNUMBER(_xll.ciqfunctions.udf.CIQ(K$6,$F$2, $A161, $I$2, $I$3))),IF(K160=K$6,"",K160),_xll.ciqfunctions.udf.CIQ(K$6,$F$2, $A161, $I$2, $I$3)))</f>
        <v/>
      </c>
      <c r="L161" s="254" t="str">
        <f>IF(L$6="","",IF(NOT(ISNUMBER(_xll.ciqfunctions.udf.CIQ(L$6,$F$2, $A161, $I$2, $I$3))),IF(L160=L$6,"",L160),_xll.ciqfunctions.udf.CIQ(L$6,$F$2, $A161, $I$2, $I$3)))</f>
        <v/>
      </c>
      <c r="M161" s="254" t="str">
        <f>IF(M$6="","",IF(NOT(ISNUMBER(_xll.ciqfunctions.udf.CIQ(M$6,$F$2, $A161, $I$2, $I$3))),IF(M160=M$6,"",M160),_xll.ciqfunctions.udf.CIQ(M$6,$F$2, $A161, $I$2, $I$3)))</f>
        <v/>
      </c>
      <c r="N161" s="254" t="str">
        <f>IF(N$6="","",IF(NOT(ISNUMBER(_xll.ciqfunctions.udf.CIQ(N$6,$F$2, $A161, $I$2, $I$3))),IF(N160=N$6,"",N160),_xll.ciqfunctions.udf.CIQ(N$6,$F$2, $A161, $I$2, $I$3)))</f>
        <v/>
      </c>
      <c r="O161" s="254" t="str">
        <f>IF(O$6="","",IF(NOT(ISNUMBER(_xll.ciqfunctions.udf.CIQ(O$6,$F$2, $A161, $I$2, $I$3))),IF(O160=O$6,"",O160),_xll.ciqfunctions.udf.CIQ(O$6,$F$2, $A161, $I$2, $I$3)))</f>
        <v/>
      </c>
      <c r="P161" s="254" t="str">
        <f>IF(P$6="","",IF(NOT(ISNUMBER(_xll.ciqfunctions.udf.CIQ(P$6,$F$2, $A161, $I$2, $I$3))),IF(P160=P$6,"",P160),_xll.ciqfunctions.udf.CIQ(P$6,$F$2, $A161, $I$2, $I$3)))</f>
        <v/>
      </c>
      <c r="Q161" s="254"/>
      <c r="R161" s="251">
        <f t="shared" si="94"/>
        <v>43903</v>
      </c>
      <c r="S161" s="255">
        <f t="shared" si="96"/>
        <v>0.58296337402885667</v>
      </c>
      <c r="T161" s="255">
        <f t="shared" si="97"/>
        <v>0.12207204881928524</v>
      </c>
      <c r="U161" s="255">
        <f t="shared" si="98"/>
        <v>5.0837312656594857E-2</v>
      </c>
      <c r="V161" s="255">
        <f t="shared" si="112"/>
        <v>-0.22819811577926297</v>
      </c>
      <c r="W161" s="255">
        <f t="array" ref="W161">IFERROR(AVERAGE(IF(ISERROR(X161:AG161),"",X161:AG161)),"")</f>
        <v>0.80255232870177107</v>
      </c>
      <c r="X161" s="255">
        <f t="shared" si="113"/>
        <v>0.80255232870177107</v>
      </c>
      <c r="Y161" s="255" t="e">
        <f t="shared" si="114"/>
        <v>#N/A</v>
      </c>
      <c r="Z161" s="255" t="e">
        <f t="shared" si="115"/>
        <v>#N/A</v>
      </c>
      <c r="AA161" s="255" t="e">
        <f t="shared" si="116"/>
        <v>#N/A</v>
      </c>
      <c r="AB161" s="255" t="e">
        <f t="shared" si="117"/>
        <v>#N/A</v>
      </c>
      <c r="AC161" s="255" t="e">
        <f t="shared" si="118"/>
        <v>#N/A</v>
      </c>
      <c r="AD161" s="255" t="e">
        <f t="shared" si="119"/>
        <v>#N/A</v>
      </c>
      <c r="AE161" s="255" t="e">
        <f t="shared" si="120"/>
        <v>#N/A</v>
      </c>
      <c r="AF161" s="255" t="e">
        <f t="shared" si="121"/>
        <v>#N/A</v>
      </c>
      <c r="AG161" s="255" t="e">
        <f t="shared" si="122"/>
        <v>#N/A</v>
      </c>
      <c r="AI161" s="251">
        <f t="shared" si="95"/>
        <v>43903</v>
      </c>
      <c r="AJ161" s="718">
        <f>IF(OR($B161="No",AJ$6=""),"",IF(NOT(ISNUMBER(_xll.ciqfunctions.udf.CIQ(AJ$6,"IQ_TEV",$AI161,$I$2,$I$3))),"",_xll.ciqfunctions.udf.CIQ(AJ$6,"IQ_TEV",$AI161,$I$2,$I$3)))</f>
        <v>393572.66019999998</v>
      </c>
      <c r="AK161" s="718">
        <f>IF(OR($B161="No",AK$6=""),"",IF(NOT(ISNUMBER(_xll.ciqfunctions.udf.CIQ(AK$6,"IQ_TEV",$AI161,$I$2,$I$3))),"",_xll.ciqfunctions.udf.CIQ(AK$6,"IQ_TEV",$AI161,$I$2,$I$3)))</f>
        <v>133921.37208999999</v>
      </c>
      <c r="AL161" s="718" t="str">
        <f>IF(OR($B161="No",AL$6=""),"",IF(NOT(ISNUMBER(_xll.ciqfunctions.udf.CIQ(AL$6,"IQ_TEV",$AI161,$I$2,$I$3))),"",_xll.ciqfunctions.udf.CIQ(AL$6,"IQ_TEV",$AI161,$I$2,$I$3)))</f>
        <v/>
      </c>
      <c r="AM161" s="718" t="str">
        <f>IF(OR($B161="No",AM$6=""),"",IF(NOT(ISNUMBER(_xll.ciqfunctions.udf.CIQ(AM$6,"IQ_TEV",$AI161,$I$2,$I$3))),"",_xll.ciqfunctions.udf.CIQ(AM$6,"IQ_TEV",$AI161,$I$2,$I$3)))</f>
        <v/>
      </c>
      <c r="AN161" s="718" t="str">
        <f>IF(OR($B161="No",AN$6=""),"",IF(NOT(ISNUMBER(_xll.ciqfunctions.udf.CIQ(AN$6,"IQ_TEV",$AI161,$I$2,$I$3))),"",_xll.ciqfunctions.udf.CIQ(AN$6,"IQ_TEV",$AI161,$I$2,$I$3)))</f>
        <v/>
      </c>
      <c r="AO161" s="718" t="str">
        <f>IF(OR($B161="No",AO$6=""),"",IF(NOT(ISNUMBER(_xll.ciqfunctions.udf.CIQ(AO$6,"IQ_TEV",$AI161,$I$2,$I$3))),"",_xll.ciqfunctions.udf.CIQ(AO$6,"IQ_TEV",$AI161,$I$2,$I$3)))</f>
        <v/>
      </c>
      <c r="AP161" s="718" t="str">
        <f>IF(OR($B161="No",AP$6=""),"",IF(NOT(ISNUMBER(_xll.ciqfunctions.udf.CIQ(AP$6,"IQ_TEV",$AI161,$I$2,$I$3))),"",_xll.ciqfunctions.udf.CIQ(AP$6,"IQ_TEV",$AI161,$I$2,$I$3)))</f>
        <v/>
      </c>
      <c r="AQ161" s="718" t="str">
        <f>IF(OR($B161="No",AQ$6=""),"",IF(NOT(ISNUMBER(_xll.ciqfunctions.udf.CIQ(AQ$6,"IQ_TEV",$AI161,$I$2,$I$3))),"",_xll.ciqfunctions.udf.CIQ(AQ$6,"IQ_TEV",$AI161,$I$2,$I$3)))</f>
        <v/>
      </c>
      <c r="AR161" s="718" t="str">
        <f>IF(OR($B161="No",AR$6=""),"",IF(NOT(ISNUMBER(_xll.ciqfunctions.udf.CIQ(AR$6,"IQ_TEV",$AI161,$I$2,$I$3))),"",_xll.ciqfunctions.udf.CIQ(AR$6,"IQ_TEV",$AI161,$I$2,$I$3)))</f>
        <v/>
      </c>
      <c r="AS161" s="718" t="str">
        <f>IF(OR($B161="No",AS$6=""),"",IF(NOT(ISNUMBER(_xll.ciqfunctions.udf.CIQ(AS$6,"IQ_TEV",$AI161,$I$2,$I$3))),"",_xll.ciqfunctions.udf.CIQ(AS$6,"IQ_TEV",$AI161,$I$2,$I$3)))</f>
        <v/>
      </c>
      <c r="AT161" s="718" t="str">
        <f>IF(OR($B161="No",AT$6=""),"",IF(NOT(ISNUMBER(_xll.ciqfunctions.udf.CIQ(AT$6,"IQ_TEV",$AI161,$I$2,$I$3))),"",_xll.ciqfunctions.udf.CIQ(AT$6,"IQ_TEV",$AI161,$I$2,$I$3)))</f>
        <v/>
      </c>
      <c r="AV161" s="251">
        <f t="shared" si="99"/>
        <v>43903</v>
      </c>
      <c r="AW161" s="719">
        <f t="shared" si="100"/>
        <v>0.50761027800234437</v>
      </c>
      <c r="AX161" s="719">
        <f t="shared" si="101"/>
        <v>0.8349201876675536</v>
      </c>
      <c r="AY161" s="719" t="e">
        <f t="shared" si="102"/>
        <v>#N/A</v>
      </c>
      <c r="AZ161" s="719" t="e">
        <f t="shared" si="103"/>
        <v>#N/A</v>
      </c>
      <c r="BA161" s="719" t="e">
        <f t="shared" si="104"/>
        <v>#N/A</v>
      </c>
      <c r="BB161" s="719" t="e">
        <f t="shared" si="105"/>
        <v>#N/A</v>
      </c>
      <c r="BC161" s="719" t="e">
        <f t="shared" si="106"/>
        <v>#N/A</v>
      </c>
      <c r="BD161" s="719" t="e">
        <f t="shared" si="107"/>
        <v>#N/A</v>
      </c>
      <c r="BE161" s="719" t="e">
        <f t="shared" si="108"/>
        <v>#N/A</v>
      </c>
      <c r="BF161" s="719" t="e">
        <f t="shared" si="109"/>
        <v>#N/A</v>
      </c>
      <c r="BG161" s="719" t="e">
        <f t="shared" si="110"/>
        <v>#N/A</v>
      </c>
    </row>
    <row r="162" spans="1:59" ht="15" customHeight="1" x14ac:dyDescent="0.2">
      <c r="A162" s="251">
        <f t="shared" si="93"/>
        <v>43910</v>
      </c>
      <c r="B162" s="253" t="str">
        <f t="shared" si="111"/>
        <v>Yes</v>
      </c>
      <c r="C162" s="1033">
        <f>IF(C$6="","",IF(NOT(ISNUMBER(_xll.ciqfunctions.udf.CIQ(C$6,$F$2, $A162, $I$2, $I$3))),IF(C161=C$6,"",C161),_xll.ciqfunctions.udf.CIQ(C$6,$F$2, $A162, $I$2, $I$3)))</f>
        <v>113.97</v>
      </c>
      <c r="D162" s="1033">
        <f>IF(D$6="","",IF(NOT(ISNUMBER(_xll.ciqfunctions.udf.CIQ(D$6,$F$2, $A162, $I$2, $I$3))),IF(D161=D$6,"",D161),_xll.ciqfunctions.udf.CIQ(D$6,$F$2, $A162, $I$2, $I$3)))</f>
        <v>19173.976019999998</v>
      </c>
      <c r="E162" s="1033">
        <f>IF(E$6="","",IF(NOT(ISNUMBER(_xll.ciqfunctions.udf.CIQ(E$6,$F$2, $A162, $I$2, $I$3))),IF(E161=E$6,"",E161),_xll.ciqfunctions.udf.CIQ(E$6,$F$2, $A162, $I$2, $I$3)))</f>
        <v>6304.7263999999996</v>
      </c>
      <c r="F162" s="1033">
        <f>IF(F$6="","",IF(NOT(ISNUMBER(_xll.ciqfunctions.udf.CIQ(F$6,$F$2, $A162, $I$2, $I$3))),IF(F161=F$6,"",F161),_xll.ciqfunctions.udf.CIQ(F$6,$F$2, $A162, $I$2, $I$3)))</f>
        <v>2880.8868400000001</v>
      </c>
      <c r="G162" s="1033">
        <f>IF(G$6="","",IF(NOT(ISNUMBER(_xll.ciqfunctions.udf.CIQ(G$6,$F$2, $A162, $I$2, $I$3))),IF(G161=G$6,"",G161),_xll.ciqfunctions.udf.CIQ(G$6,$F$2, $A162, $I$2, $I$3)))</f>
        <v>290.42</v>
      </c>
      <c r="H162" s="1033" t="str">
        <f>IF(H$6="","",IF(NOT(ISNUMBER(_xll.ciqfunctions.udf.CIQ(H$6,$F$2, $A162, $I$2, $I$3))),IF(H161=H$6,"",H161),_xll.ciqfunctions.udf.CIQ(H$6,$F$2, $A162, $I$2, $I$3)))</f>
        <v/>
      </c>
      <c r="I162" s="1033" t="str">
        <f>IF(I$6="","",IF(NOT(ISNUMBER(_xll.ciqfunctions.udf.CIQ(I$6,$F$2, $A162, $I$2, $I$3))),IF(I161=I$6,"",I161),_xll.ciqfunctions.udf.CIQ(I$6,$F$2, $A162, $I$2, $I$3)))</f>
        <v/>
      </c>
      <c r="J162" s="1033" t="str">
        <f>IF(J$6="","",IF(NOT(ISNUMBER(_xll.ciqfunctions.udf.CIQ(J$6,$F$2, $A162, $I$2, $I$3))),IF(J161=J$6,"",J161),_xll.ciqfunctions.udf.CIQ(J$6,$F$2, $A162, $I$2, $I$3)))</f>
        <v/>
      </c>
      <c r="K162" s="1033" t="str">
        <f>IF(K$6="","",IF(NOT(ISNUMBER(_xll.ciqfunctions.udf.CIQ(K$6,$F$2, $A162, $I$2, $I$3))),IF(K161=K$6,"",K161),_xll.ciqfunctions.udf.CIQ(K$6,$F$2, $A162, $I$2, $I$3)))</f>
        <v/>
      </c>
      <c r="L162" s="254" t="str">
        <f>IF(L$6="","",IF(NOT(ISNUMBER(_xll.ciqfunctions.udf.CIQ(L$6,$F$2, $A162, $I$2, $I$3))),IF(L161=L$6,"",L161),_xll.ciqfunctions.udf.CIQ(L$6,$F$2, $A162, $I$2, $I$3)))</f>
        <v/>
      </c>
      <c r="M162" s="254" t="str">
        <f>IF(M$6="","",IF(NOT(ISNUMBER(_xll.ciqfunctions.udf.CIQ(M$6,$F$2, $A162, $I$2, $I$3))),IF(M161=M$6,"",M161),_xll.ciqfunctions.udf.CIQ(M$6,$F$2, $A162, $I$2, $I$3)))</f>
        <v/>
      </c>
      <c r="N162" s="254" t="str">
        <f>IF(N$6="","",IF(NOT(ISNUMBER(_xll.ciqfunctions.udf.CIQ(N$6,$F$2, $A162, $I$2, $I$3))),IF(N161=N$6,"",N161),_xll.ciqfunctions.udf.CIQ(N$6,$F$2, $A162, $I$2, $I$3)))</f>
        <v/>
      </c>
      <c r="O162" s="254" t="str">
        <f>IF(O$6="","",IF(NOT(ISNUMBER(_xll.ciqfunctions.udf.CIQ(O$6,$F$2, $A162, $I$2, $I$3))),IF(O161=O$6,"",O161),_xll.ciqfunctions.udf.CIQ(O$6,$F$2, $A162, $I$2, $I$3)))</f>
        <v/>
      </c>
      <c r="P162" s="254" t="str">
        <f>IF(P$6="","",IF(NOT(ISNUMBER(_xll.ciqfunctions.udf.CIQ(P$6,$F$2, $A162, $I$2, $I$3))),IF(P161=P$6,"",P161),_xll.ciqfunctions.udf.CIQ(P$6,$F$2, $A162, $I$2, $I$3)))</f>
        <v/>
      </c>
      <c r="Q162" s="254"/>
      <c r="R162" s="251">
        <f t="shared" si="94"/>
        <v>43910</v>
      </c>
      <c r="S162" s="255">
        <f t="shared" si="96"/>
        <v>0.58115982241953379</v>
      </c>
      <c r="T162" s="255">
        <f t="shared" si="97"/>
        <v>-7.2072259967391639E-2</v>
      </c>
      <c r="U162" s="255">
        <f t="shared" si="98"/>
        <v>-0.11893738102317353</v>
      </c>
      <c r="V162" s="255">
        <f t="shared" si="112"/>
        <v>-0.34372194641401088</v>
      </c>
      <c r="W162" s="255">
        <f t="array" ref="W162">IFERROR(AVERAGE(IF(ISERROR(X162:AG162),"",X162:AG162)),"")</f>
        <v>0.73188621861768755</v>
      </c>
      <c r="X162" s="255">
        <f t="shared" si="113"/>
        <v>0.73188621861768755</v>
      </c>
      <c r="Y162" s="255" t="e">
        <f t="shared" si="114"/>
        <v>#N/A</v>
      </c>
      <c r="Z162" s="255" t="e">
        <f t="shared" si="115"/>
        <v>#N/A</v>
      </c>
      <c r="AA162" s="255" t="e">
        <f t="shared" si="116"/>
        <v>#N/A</v>
      </c>
      <c r="AB162" s="255" t="e">
        <f t="shared" si="117"/>
        <v>#N/A</v>
      </c>
      <c r="AC162" s="255" t="e">
        <f t="shared" si="118"/>
        <v>#N/A</v>
      </c>
      <c r="AD162" s="255" t="e">
        <f t="shared" si="119"/>
        <v>#N/A</v>
      </c>
      <c r="AE162" s="255" t="e">
        <f t="shared" si="120"/>
        <v>#N/A</v>
      </c>
      <c r="AF162" s="255" t="e">
        <f t="shared" si="121"/>
        <v>#N/A</v>
      </c>
      <c r="AG162" s="255" t="e">
        <f t="shared" si="122"/>
        <v>#N/A</v>
      </c>
      <c r="AI162" s="251">
        <f t="shared" si="95"/>
        <v>43910</v>
      </c>
      <c r="AJ162" s="718">
        <f>IF(OR($B162="No",AJ$6=""),"",IF(NOT(ISNUMBER(_xll.ciqfunctions.udf.CIQ(AJ$6,"IQ_TEV",$AI162,$I$2,$I$3))),"",_xll.ciqfunctions.udf.CIQ(AJ$6,"IQ_TEV",$AI162,$I$2,$I$3)))</f>
        <v>393341.63475999999</v>
      </c>
      <c r="AK162" s="718">
        <f>IF(OR($B162="No",AK$6=""),"",IF(NOT(ISNUMBER(_xll.ciqfunctions.udf.CIQ(AK$6,"IQ_TEV",$AI162,$I$2,$I$3))),"",_xll.ciqfunctions.udf.CIQ(AK$6,"IQ_TEV",$AI162,$I$2,$I$3)))</f>
        <v>128688.64966</v>
      </c>
      <c r="AL162" s="718" t="str">
        <f>IF(OR($B162="No",AL$6=""),"",IF(NOT(ISNUMBER(_xll.ciqfunctions.udf.CIQ(AL$6,"IQ_TEV",$AI162,$I$2,$I$3))),"",_xll.ciqfunctions.udf.CIQ(AL$6,"IQ_TEV",$AI162,$I$2,$I$3)))</f>
        <v/>
      </c>
      <c r="AM162" s="718" t="str">
        <f>IF(OR($B162="No",AM$6=""),"",IF(NOT(ISNUMBER(_xll.ciqfunctions.udf.CIQ(AM$6,"IQ_TEV",$AI162,$I$2,$I$3))),"",_xll.ciqfunctions.udf.CIQ(AM$6,"IQ_TEV",$AI162,$I$2,$I$3)))</f>
        <v/>
      </c>
      <c r="AN162" s="718" t="str">
        <f>IF(OR($B162="No",AN$6=""),"",IF(NOT(ISNUMBER(_xll.ciqfunctions.udf.CIQ(AN$6,"IQ_TEV",$AI162,$I$2,$I$3))),"",_xll.ciqfunctions.udf.CIQ(AN$6,"IQ_TEV",$AI162,$I$2,$I$3)))</f>
        <v/>
      </c>
      <c r="AO162" s="718" t="str">
        <f>IF(OR($B162="No",AO$6=""),"",IF(NOT(ISNUMBER(_xll.ciqfunctions.udf.CIQ(AO$6,"IQ_TEV",$AI162,$I$2,$I$3))),"",_xll.ciqfunctions.udf.CIQ(AO$6,"IQ_TEV",$AI162,$I$2,$I$3)))</f>
        <v/>
      </c>
      <c r="AP162" s="718" t="str">
        <f>IF(OR($B162="No",AP$6=""),"",IF(NOT(ISNUMBER(_xll.ciqfunctions.udf.CIQ(AP$6,"IQ_TEV",$AI162,$I$2,$I$3))),"",_xll.ciqfunctions.udf.CIQ(AP$6,"IQ_TEV",$AI162,$I$2,$I$3)))</f>
        <v/>
      </c>
      <c r="AQ162" s="718" t="str">
        <f>IF(OR($B162="No",AQ$6=""),"",IF(NOT(ISNUMBER(_xll.ciqfunctions.udf.CIQ(AQ$6,"IQ_TEV",$AI162,$I$2,$I$3))),"",_xll.ciqfunctions.udf.CIQ(AQ$6,"IQ_TEV",$AI162,$I$2,$I$3)))</f>
        <v/>
      </c>
      <c r="AR162" s="718" t="str">
        <f>IF(OR($B162="No",AR$6=""),"",IF(NOT(ISNUMBER(_xll.ciqfunctions.udf.CIQ(AR$6,"IQ_TEV",$AI162,$I$2,$I$3))),"",_xll.ciqfunctions.udf.CIQ(AR$6,"IQ_TEV",$AI162,$I$2,$I$3)))</f>
        <v/>
      </c>
      <c r="AS162" s="718" t="str">
        <f>IF(OR($B162="No",AS$6=""),"",IF(NOT(ISNUMBER(_xll.ciqfunctions.udf.CIQ(AS$6,"IQ_TEV",$AI162,$I$2,$I$3))),"",_xll.ciqfunctions.udf.CIQ(AS$6,"IQ_TEV",$AI162,$I$2,$I$3)))</f>
        <v/>
      </c>
      <c r="AT162" s="718" t="str">
        <f>IF(OR($B162="No",AT$6=""),"",IF(NOT(ISNUMBER(_xll.ciqfunctions.udf.CIQ(AT$6,"IQ_TEV",$AI162,$I$2,$I$3))),"",_xll.ciqfunctions.udf.CIQ(AT$6,"IQ_TEV",$AI162,$I$2,$I$3)))</f>
        <v/>
      </c>
      <c r="AV162" s="251">
        <f t="shared" si="99"/>
        <v>43910</v>
      </c>
      <c r="AW162" s="719">
        <f t="shared" si="100"/>
        <v>0.50672531732533233</v>
      </c>
      <c r="AX162" s="719">
        <f t="shared" si="101"/>
        <v>0.76322417773707629</v>
      </c>
      <c r="AY162" s="719" t="e">
        <f t="shared" si="102"/>
        <v>#N/A</v>
      </c>
      <c r="AZ162" s="719" t="e">
        <f t="shared" si="103"/>
        <v>#N/A</v>
      </c>
      <c r="BA162" s="719" t="e">
        <f t="shared" si="104"/>
        <v>#N/A</v>
      </c>
      <c r="BB162" s="719" t="e">
        <f t="shared" si="105"/>
        <v>#N/A</v>
      </c>
      <c r="BC162" s="719" t="e">
        <f t="shared" si="106"/>
        <v>#N/A</v>
      </c>
      <c r="BD162" s="719" t="e">
        <f t="shared" si="107"/>
        <v>#N/A</v>
      </c>
      <c r="BE162" s="719" t="e">
        <f t="shared" si="108"/>
        <v>#N/A</v>
      </c>
      <c r="BF162" s="719" t="e">
        <f t="shared" si="109"/>
        <v>#N/A</v>
      </c>
      <c r="BG162" s="719" t="e">
        <f t="shared" si="110"/>
        <v>#N/A</v>
      </c>
    </row>
    <row r="163" spans="1:59" ht="15" customHeight="1" x14ac:dyDescent="0.2">
      <c r="A163" s="251">
        <f t="shared" si="93"/>
        <v>43917</v>
      </c>
      <c r="B163" s="253" t="str">
        <f t="shared" si="111"/>
        <v>Yes</v>
      </c>
      <c r="C163" s="1033">
        <f>IF(C$6="","",IF(NOT(ISNUMBER(_xll.ciqfunctions.udf.CIQ(C$6,$F$2, $A163, $I$2, $I$3))),IF(C162=C$6,"",C162),_xll.ciqfunctions.udf.CIQ(C$6,$F$2, $A163, $I$2, $I$3)))</f>
        <v>109.58</v>
      </c>
      <c r="D163" s="1033">
        <f>IF(D$6="","",IF(NOT(ISNUMBER(_xll.ciqfunctions.udf.CIQ(D$6,$F$2, $A163, $I$2, $I$3))),IF(D162=D$6,"",D162),_xll.ciqfunctions.udf.CIQ(D$6,$F$2, $A163, $I$2, $I$3)))</f>
        <v>21636.78124</v>
      </c>
      <c r="E163" s="1033">
        <f>IF(E$6="","",IF(NOT(ISNUMBER(_xll.ciqfunctions.udf.CIQ(E$6,$F$2, $A163, $I$2, $I$3))),IF(E162=E$6,"",E162),_xll.ciqfunctions.udf.CIQ(E$6,$F$2, $A163, $I$2, $I$3)))</f>
        <v>7165.6179400000001</v>
      </c>
      <c r="F163" s="1033">
        <f>IF(F$6="","",IF(NOT(ISNUMBER(_xll.ciqfunctions.udf.CIQ(F$6,$F$2, $A163, $I$2, $I$3))),IF(F162=F$6,"",F162),_xll.ciqfunctions.udf.CIQ(F$6,$F$2, $A163, $I$2, $I$3)))</f>
        <v>3112.07564</v>
      </c>
      <c r="G163" s="1033">
        <f>IF(G$6="","",IF(NOT(ISNUMBER(_xll.ciqfunctions.udf.CIQ(G$6,$F$2, $A163, $I$2, $I$3))),IF(G162=G$6,"",G162),_xll.ciqfunctions.udf.CIQ(G$6,$F$2, $A163, $I$2, $I$3)))</f>
        <v>284.33</v>
      </c>
      <c r="H163" s="1033" t="str">
        <f>IF(H$6="","",IF(NOT(ISNUMBER(_xll.ciqfunctions.udf.CIQ(H$6,$F$2, $A163, $I$2, $I$3))),IF(H162=H$6,"",H162),_xll.ciqfunctions.udf.CIQ(H$6,$F$2, $A163, $I$2, $I$3)))</f>
        <v/>
      </c>
      <c r="I163" s="1033" t="str">
        <f>IF(I$6="","",IF(NOT(ISNUMBER(_xll.ciqfunctions.udf.CIQ(I$6,$F$2, $A163, $I$2, $I$3))),IF(I162=I$6,"",I162),_xll.ciqfunctions.udf.CIQ(I$6,$F$2, $A163, $I$2, $I$3)))</f>
        <v/>
      </c>
      <c r="J163" s="1033" t="str">
        <f>IF(J$6="","",IF(NOT(ISNUMBER(_xll.ciqfunctions.udf.CIQ(J$6,$F$2, $A163, $I$2, $I$3))),IF(J162=J$6,"",J162),_xll.ciqfunctions.udf.CIQ(J$6,$F$2, $A163, $I$2, $I$3)))</f>
        <v/>
      </c>
      <c r="K163" s="1033" t="str">
        <f>IF(K$6="","",IF(NOT(ISNUMBER(_xll.ciqfunctions.udf.CIQ(K$6,$F$2, $A163, $I$2, $I$3))),IF(K162=K$6,"",K162),_xll.ciqfunctions.udf.CIQ(K$6,$F$2, $A163, $I$2, $I$3)))</f>
        <v/>
      </c>
      <c r="L163" s="254" t="str">
        <f>IF(L$6="","",IF(NOT(ISNUMBER(_xll.ciqfunctions.udf.CIQ(L$6,$F$2, $A163, $I$2, $I$3))),IF(L162=L$6,"",L162),_xll.ciqfunctions.udf.CIQ(L$6,$F$2, $A163, $I$2, $I$3)))</f>
        <v/>
      </c>
      <c r="M163" s="254" t="str">
        <f>IF(M$6="","",IF(NOT(ISNUMBER(_xll.ciqfunctions.udf.CIQ(M$6,$F$2, $A163, $I$2, $I$3))),IF(M162=M$6,"",M162),_xll.ciqfunctions.udf.CIQ(M$6,$F$2, $A163, $I$2, $I$3)))</f>
        <v/>
      </c>
      <c r="N163" s="254" t="str">
        <f>IF(N$6="","",IF(NOT(ISNUMBER(_xll.ciqfunctions.udf.CIQ(N$6,$F$2, $A163, $I$2, $I$3))),IF(N162=N$6,"",N162),_xll.ciqfunctions.udf.CIQ(N$6,$F$2, $A163, $I$2, $I$3)))</f>
        <v/>
      </c>
      <c r="O163" s="254" t="str">
        <f>IF(O$6="","",IF(NOT(ISNUMBER(_xll.ciqfunctions.udf.CIQ(O$6,$F$2, $A163, $I$2, $I$3))),IF(O162=O$6,"",O162),_xll.ciqfunctions.udf.CIQ(O$6,$F$2, $A163, $I$2, $I$3)))</f>
        <v/>
      </c>
      <c r="P163" s="254" t="str">
        <f>IF(P$6="","",IF(NOT(ISNUMBER(_xll.ciqfunctions.udf.CIQ(P$6,$F$2, $A163, $I$2, $I$3))),IF(P162=P$6,"",P162),_xll.ciqfunctions.udf.CIQ(P$6,$F$2, $A163, $I$2, $I$3)))</f>
        <v/>
      </c>
      <c r="Q163" s="254"/>
      <c r="R163" s="251">
        <f t="shared" si="94"/>
        <v>43917</v>
      </c>
      <c r="S163" s="255">
        <f t="shared" si="96"/>
        <v>0.5202552719200888</v>
      </c>
      <c r="T163" s="255">
        <f t="shared" si="97"/>
        <v>4.7115605895763579E-2</v>
      </c>
      <c r="U163" s="255">
        <f t="shared" si="98"/>
        <v>1.3690853902452726E-3</v>
      </c>
      <c r="V163" s="255">
        <f t="shared" si="112"/>
        <v>-0.29105617226132663</v>
      </c>
      <c r="W163" s="255">
        <f t="array" ref="W163">IFERROR(AVERAGE(IF(ISERROR(X163:AG163),"",X163:AG163)),"")</f>
        <v>0.69556920508080378</v>
      </c>
      <c r="X163" s="255">
        <f t="shared" si="113"/>
        <v>0.69556920508080378</v>
      </c>
      <c r="Y163" s="255" t="e">
        <f t="shared" si="114"/>
        <v>#N/A</v>
      </c>
      <c r="Z163" s="255" t="e">
        <f t="shared" si="115"/>
        <v>#N/A</v>
      </c>
      <c r="AA163" s="255" t="e">
        <f t="shared" si="116"/>
        <v>#N/A</v>
      </c>
      <c r="AB163" s="255" t="e">
        <f t="shared" si="117"/>
        <v>#N/A</v>
      </c>
      <c r="AC163" s="255" t="e">
        <f t="shared" si="118"/>
        <v>#N/A</v>
      </c>
      <c r="AD163" s="255" t="e">
        <f t="shared" si="119"/>
        <v>#N/A</v>
      </c>
      <c r="AE163" s="255" t="e">
        <f t="shared" si="120"/>
        <v>#N/A</v>
      </c>
      <c r="AF163" s="255" t="e">
        <f t="shared" si="121"/>
        <v>#N/A</v>
      </c>
      <c r="AG163" s="255" t="e">
        <f t="shared" si="122"/>
        <v>#N/A</v>
      </c>
      <c r="AI163" s="251">
        <f t="shared" si="95"/>
        <v>43917</v>
      </c>
      <c r="AJ163" s="718">
        <f>IF(OR($B163="No",AJ$6=""),"",IF(NOT(ISNUMBER(_xll.ciqfunctions.udf.CIQ(AJ$6,"IQ_TEV",$AI163,$I$2,$I$3))),"",_xll.ciqfunctions.udf.CIQ(AJ$6,"IQ_TEV",$AI163,$I$2,$I$3)))</f>
        <v>380907.93777000002</v>
      </c>
      <c r="AK163" s="718">
        <f>IF(OR($B163="No",AK$6=""),"",IF(NOT(ISNUMBER(_xll.ciqfunctions.udf.CIQ(AK$6,"IQ_TEV",$AI163,$I$2,$I$3))),"",_xll.ciqfunctions.udf.CIQ(AK$6,"IQ_TEV",$AI163,$I$2,$I$3)))</f>
        <v>125999.42775</v>
      </c>
      <c r="AL163" s="718" t="str">
        <f>IF(OR($B163="No",AL$6=""),"",IF(NOT(ISNUMBER(_xll.ciqfunctions.udf.CIQ(AL$6,"IQ_TEV",$AI163,$I$2,$I$3))),"",_xll.ciqfunctions.udf.CIQ(AL$6,"IQ_TEV",$AI163,$I$2,$I$3)))</f>
        <v/>
      </c>
      <c r="AM163" s="718" t="str">
        <f>IF(OR($B163="No",AM$6=""),"",IF(NOT(ISNUMBER(_xll.ciqfunctions.udf.CIQ(AM$6,"IQ_TEV",$AI163,$I$2,$I$3))),"",_xll.ciqfunctions.udf.CIQ(AM$6,"IQ_TEV",$AI163,$I$2,$I$3)))</f>
        <v/>
      </c>
      <c r="AN163" s="718" t="str">
        <f>IF(OR($B163="No",AN$6=""),"",IF(NOT(ISNUMBER(_xll.ciqfunctions.udf.CIQ(AN$6,"IQ_TEV",$AI163,$I$2,$I$3))),"",_xll.ciqfunctions.udf.CIQ(AN$6,"IQ_TEV",$AI163,$I$2,$I$3)))</f>
        <v/>
      </c>
      <c r="AO163" s="718" t="str">
        <f>IF(OR($B163="No",AO$6=""),"",IF(NOT(ISNUMBER(_xll.ciqfunctions.udf.CIQ(AO$6,"IQ_TEV",$AI163,$I$2,$I$3))),"",_xll.ciqfunctions.udf.CIQ(AO$6,"IQ_TEV",$AI163,$I$2,$I$3)))</f>
        <v/>
      </c>
      <c r="AP163" s="718" t="str">
        <f>IF(OR($B163="No",AP$6=""),"",IF(NOT(ISNUMBER(_xll.ciqfunctions.udf.CIQ(AP$6,"IQ_TEV",$AI163,$I$2,$I$3))),"",_xll.ciqfunctions.udf.CIQ(AP$6,"IQ_TEV",$AI163,$I$2,$I$3)))</f>
        <v/>
      </c>
      <c r="AQ163" s="718" t="str">
        <f>IF(OR($B163="No",AQ$6=""),"",IF(NOT(ISNUMBER(_xll.ciqfunctions.udf.CIQ(AQ$6,"IQ_TEV",$AI163,$I$2,$I$3))),"",_xll.ciqfunctions.udf.CIQ(AQ$6,"IQ_TEV",$AI163,$I$2,$I$3)))</f>
        <v/>
      </c>
      <c r="AR163" s="718" t="str">
        <f>IF(OR($B163="No",AR$6=""),"",IF(NOT(ISNUMBER(_xll.ciqfunctions.udf.CIQ(AR$6,"IQ_TEV",$AI163,$I$2,$I$3))),"",_xll.ciqfunctions.udf.CIQ(AR$6,"IQ_TEV",$AI163,$I$2,$I$3)))</f>
        <v/>
      </c>
      <c r="AS163" s="718" t="str">
        <f>IF(OR($B163="No",AS$6=""),"",IF(NOT(ISNUMBER(_xll.ciqfunctions.udf.CIQ(AS$6,"IQ_TEV",$AI163,$I$2,$I$3))),"",_xll.ciqfunctions.udf.CIQ(AS$6,"IQ_TEV",$AI163,$I$2,$I$3)))</f>
        <v/>
      </c>
      <c r="AT163" s="718" t="str">
        <f>IF(OR($B163="No",AT$6=""),"",IF(NOT(ISNUMBER(_xll.ciqfunctions.udf.CIQ(AT$6,"IQ_TEV",$AI163,$I$2,$I$3))),"",_xll.ciqfunctions.udf.CIQ(AT$6,"IQ_TEV",$AI163,$I$2,$I$3)))</f>
        <v/>
      </c>
      <c r="AV163" s="251">
        <f t="shared" si="99"/>
        <v>43917</v>
      </c>
      <c r="AW163" s="719">
        <f t="shared" si="100"/>
        <v>0.45909708683247974</v>
      </c>
      <c r="AX163" s="719">
        <f t="shared" si="101"/>
        <v>0.72637787385915065</v>
      </c>
      <c r="AY163" s="719" t="e">
        <f t="shared" si="102"/>
        <v>#N/A</v>
      </c>
      <c r="AZ163" s="719" t="e">
        <f t="shared" si="103"/>
        <v>#N/A</v>
      </c>
      <c r="BA163" s="719" t="e">
        <f t="shared" si="104"/>
        <v>#N/A</v>
      </c>
      <c r="BB163" s="719" t="e">
        <f t="shared" si="105"/>
        <v>#N/A</v>
      </c>
      <c r="BC163" s="719" t="e">
        <f t="shared" si="106"/>
        <v>#N/A</v>
      </c>
      <c r="BD163" s="719" t="e">
        <f t="shared" si="107"/>
        <v>#N/A</v>
      </c>
      <c r="BE163" s="719" t="e">
        <f t="shared" si="108"/>
        <v>#N/A</v>
      </c>
      <c r="BF163" s="719" t="e">
        <f t="shared" si="109"/>
        <v>#N/A</v>
      </c>
      <c r="BG163" s="719" t="e">
        <f t="shared" si="110"/>
        <v>#N/A</v>
      </c>
    </row>
    <row r="164" spans="1:59" ht="15" customHeight="1" x14ac:dyDescent="0.2">
      <c r="A164" s="251">
        <f t="shared" si="93"/>
        <v>43924</v>
      </c>
      <c r="B164" s="253" t="str">
        <f t="shared" si="111"/>
        <v>Yes</v>
      </c>
      <c r="C164" s="1033">
        <f>IF(C$6="","",IF(NOT(ISNUMBER(_xll.ciqfunctions.udf.CIQ(C$6,$F$2, $A164, $I$2, $I$3))),IF(C163=C$6,"",C163),_xll.ciqfunctions.udf.CIQ(C$6,$F$2, $A164, $I$2, $I$3)))</f>
        <v>119.48</v>
      </c>
      <c r="D164" s="1033">
        <f>IF(D$6="","",IF(NOT(ISNUMBER(_xll.ciqfunctions.udf.CIQ(D$6,$F$2, $A164, $I$2, $I$3))),IF(D163=D$6,"",D163),_xll.ciqfunctions.udf.CIQ(D$6,$F$2, $A164, $I$2, $I$3)))</f>
        <v>21052.534759999999</v>
      </c>
      <c r="E164" s="1033">
        <f>IF(E$6="","",IF(NOT(ISNUMBER(_xll.ciqfunctions.udf.CIQ(E$6,$F$2, $A164, $I$2, $I$3))),IF(E163=E$6,"",E163),_xll.ciqfunctions.udf.CIQ(E$6,$F$2, $A164, $I$2, $I$3)))</f>
        <v>6873.0099700000001</v>
      </c>
      <c r="F164" s="1033">
        <f>IF(F$6="","",IF(NOT(ISNUMBER(_xll.ciqfunctions.udf.CIQ(F$6,$F$2, $A164, $I$2, $I$3))),IF(F163=F$6,"",F163),_xll.ciqfunctions.udf.CIQ(F$6,$F$2, $A164, $I$2, $I$3)))</f>
        <v>2823.39651</v>
      </c>
      <c r="G164" s="1033">
        <f>IF(G$6="","",IF(NOT(ISNUMBER(_xll.ciqfunctions.udf.CIQ(G$6,$F$2, $A164, $I$2, $I$3))),IF(G163=G$6,"",G163),_xll.ciqfunctions.udf.CIQ(G$6,$F$2, $A164, $I$2, $I$3)))</f>
        <v>288.64999999999998</v>
      </c>
      <c r="H164" s="1033" t="str">
        <f>IF(H$6="","",IF(NOT(ISNUMBER(_xll.ciqfunctions.udf.CIQ(H$6,$F$2, $A164, $I$2, $I$3))),IF(H163=H$6,"",H163),_xll.ciqfunctions.udf.CIQ(H$6,$F$2, $A164, $I$2, $I$3)))</f>
        <v/>
      </c>
      <c r="I164" s="1033" t="str">
        <f>IF(I$6="","",IF(NOT(ISNUMBER(_xll.ciqfunctions.udf.CIQ(I$6,$F$2, $A164, $I$2, $I$3))),IF(I163=I$6,"",I163),_xll.ciqfunctions.udf.CIQ(I$6,$F$2, $A164, $I$2, $I$3)))</f>
        <v/>
      </c>
      <c r="J164" s="1033" t="str">
        <f>IF(J$6="","",IF(NOT(ISNUMBER(_xll.ciqfunctions.udf.CIQ(J$6,$F$2, $A164, $I$2, $I$3))),IF(J163=J$6,"",J163),_xll.ciqfunctions.udf.CIQ(J$6,$F$2, $A164, $I$2, $I$3)))</f>
        <v/>
      </c>
      <c r="K164" s="1033" t="str">
        <f>IF(K$6="","",IF(NOT(ISNUMBER(_xll.ciqfunctions.udf.CIQ(K$6,$F$2, $A164, $I$2, $I$3))),IF(K163=K$6,"",K163),_xll.ciqfunctions.udf.CIQ(K$6,$F$2, $A164, $I$2, $I$3)))</f>
        <v/>
      </c>
      <c r="L164" s="254" t="str">
        <f>IF(L$6="","",IF(NOT(ISNUMBER(_xll.ciqfunctions.udf.CIQ(L$6,$F$2, $A164, $I$2, $I$3))),IF(L163=L$6,"",L163),_xll.ciqfunctions.udf.CIQ(L$6,$F$2, $A164, $I$2, $I$3)))</f>
        <v/>
      </c>
      <c r="M164" s="254" t="str">
        <f>IF(M$6="","",IF(NOT(ISNUMBER(_xll.ciqfunctions.udf.CIQ(M$6,$F$2, $A164, $I$2, $I$3))),IF(M163=M$6,"",M163),_xll.ciqfunctions.udf.CIQ(M$6,$F$2, $A164, $I$2, $I$3)))</f>
        <v/>
      </c>
      <c r="N164" s="254" t="str">
        <f>IF(N$6="","",IF(NOT(ISNUMBER(_xll.ciqfunctions.udf.CIQ(N$6,$F$2, $A164, $I$2, $I$3))),IF(N163=N$6,"",N163),_xll.ciqfunctions.udf.CIQ(N$6,$F$2, $A164, $I$2, $I$3)))</f>
        <v/>
      </c>
      <c r="O164" s="254" t="str">
        <f>IF(O$6="","",IF(NOT(ISNUMBER(_xll.ciqfunctions.udf.CIQ(O$6,$F$2, $A164, $I$2, $I$3))),IF(O163=O$6,"",O163),_xll.ciqfunctions.udf.CIQ(O$6,$F$2, $A164, $I$2, $I$3)))</f>
        <v/>
      </c>
      <c r="P164" s="254" t="str">
        <f>IF(P$6="","",IF(NOT(ISNUMBER(_xll.ciqfunctions.udf.CIQ(P$6,$F$2, $A164, $I$2, $I$3))),IF(P163=P$6,"",P163),_xll.ciqfunctions.udf.CIQ(P$6,$F$2, $A164, $I$2, $I$3)))</f>
        <v/>
      </c>
      <c r="Q164" s="254"/>
      <c r="R164" s="251">
        <f t="shared" si="94"/>
        <v>43924</v>
      </c>
      <c r="S164" s="255">
        <f t="shared" si="96"/>
        <v>0.65760266370699227</v>
      </c>
      <c r="T164" s="255">
        <f t="shared" si="97"/>
        <v>1.8840900887114653E-2</v>
      </c>
      <c r="U164" s="255">
        <f t="shared" si="98"/>
        <v>-3.9521815820264594E-2</v>
      </c>
      <c r="V164" s="255">
        <f t="shared" si="112"/>
        <v>-0.35681848368460234</v>
      </c>
      <c r="W164" s="255">
        <f t="array" ref="W164">IFERROR(AVERAGE(IF(ISERROR(X164:AG164),"",X164:AG164)),"")</f>
        <v>0.72133102749120392</v>
      </c>
      <c r="X164" s="255">
        <f t="shared" si="113"/>
        <v>0.72133102749120392</v>
      </c>
      <c r="Y164" s="255" t="e">
        <f t="shared" si="114"/>
        <v>#N/A</v>
      </c>
      <c r="Z164" s="255" t="e">
        <f t="shared" si="115"/>
        <v>#N/A</v>
      </c>
      <c r="AA164" s="255" t="e">
        <f t="shared" si="116"/>
        <v>#N/A</v>
      </c>
      <c r="AB164" s="255" t="e">
        <f t="shared" si="117"/>
        <v>#N/A</v>
      </c>
      <c r="AC164" s="255" t="e">
        <f t="shared" si="118"/>
        <v>#N/A</v>
      </c>
      <c r="AD164" s="255" t="e">
        <f t="shared" si="119"/>
        <v>#N/A</v>
      </c>
      <c r="AE164" s="255" t="e">
        <f t="shared" si="120"/>
        <v>#N/A</v>
      </c>
      <c r="AF164" s="255" t="e">
        <f t="shared" si="121"/>
        <v>#N/A</v>
      </c>
      <c r="AG164" s="255" t="e">
        <f t="shared" si="122"/>
        <v>#N/A</v>
      </c>
      <c r="AI164" s="251">
        <f t="shared" si="95"/>
        <v>43924</v>
      </c>
      <c r="AJ164" s="718">
        <f>IF(OR($B164="No",AJ$6=""),"",IF(NOT(ISNUMBER(_xll.ciqfunctions.udf.CIQ(AJ$6,"IQ_TEV",$AI164,$I$2,$I$3))),"",_xll.ciqfunctions.udf.CIQ(AJ$6,"IQ_TEV",$AI164,$I$2,$I$3)))</f>
        <v>408947.48225</v>
      </c>
      <c r="AK164" s="718">
        <f>IF(OR($B164="No",AK$6=""),"",IF(NOT(ISNUMBER(_xll.ciqfunctions.udf.CIQ(AK$6,"IQ_TEV",$AI164,$I$2,$I$3))),"",_xll.ciqfunctions.udf.CIQ(AK$6,"IQ_TEV",$AI164,$I$2,$I$3)))</f>
        <v>127907.05314</v>
      </c>
      <c r="AL164" s="718" t="str">
        <f>IF(OR($B164="No",AL$6=""),"",IF(NOT(ISNUMBER(_xll.ciqfunctions.udf.CIQ(AL$6,"IQ_TEV",$AI164,$I$2,$I$3))),"",_xll.ciqfunctions.udf.CIQ(AL$6,"IQ_TEV",$AI164,$I$2,$I$3)))</f>
        <v/>
      </c>
      <c r="AM164" s="718" t="str">
        <f>IF(OR($B164="No",AM$6=""),"",IF(NOT(ISNUMBER(_xll.ciqfunctions.udf.CIQ(AM$6,"IQ_TEV",$AI164,$I$2,$I$3))),"",_xll.ciqfunctions.udf.CIQ(AM$6,"IQ_TEV",$AI164,$I$2,$I$3)))</f>
        <v/>
      </c>
      <c r="AN164" s="718" t="str">
        <f>IF(OR($B164="No",AN$6=""),"",IF(NOT(ISNUMBER(_xll.ciqfunctions.udf.CIQ(AN$6,"IQ_TEV",$AI164,$I$2,$I$3))),"",_xll.ciqfunctions.udf.CIQ(AN$6,"IQ_TEV",$AI164,$I$2,$I$3)))</f>
        <v/>
      </c>
      <c r="AO164" s="718" t="str">
        <f>IF(OR($B164="No",AO$6=""),"",IF(NOT(ISNUMBER(_xll.ciqfunctions.udf.CIQ(AO$6,"IQ_TEV",$AI164,$I$2,$I$3))),"",_xll.ciqfunctions.udf.CIQ(AO$6,"IQ_TEV",$AI164,$I$2,$I$3)))</f>
        <v/>
      </c>
      <c r="AP164" s="718" t="str">
        <f>IF(OR($B164="No",AP$6=""),"",IF(NOT(ISNUMBER(_xll.ciqfunctions.udf.CIQ(AP$6,"IQ_TEV",$AI164,$I$2,$I$3))),"",_xll.ciqfunctions.udf.CIQ(AP$6,"IQ_TEV",$AI164,$I$2,$I$3)))</f>
        <v/>
      </c>
      <c r="AQ164" s="718" t="str">
        <f>IF(OR($B164="No",AQ$6=""),"",IF(NOT(ISNUMBER(_xll.ciqfunctions.udf.CIQ(AQ$6,"IQ_TEV",$AI164,$I$2,$I$3))),"",_xll.ciqfunctions.udf.CIQ(AQ$6,"IQ_TEV",$AI164,$I$2,$I$3)))</f>
        <v/>
      </c>
      <c r="AR164" s="718" t="str">
        <f>IF(OR($B164="No",AR$6=""),"",IF(NOT(ISNUMBER(_xll.ciqfunctions.udf.CIQ(AR$6,"IQ_TEV",$AI164,$I$2,$I$3))),"",_xll.ciqfunctions.udf.CIQ(AR$6,"IQ_TEV",$AI164,$I$2,$I$3)))</f>
        <v/>
      </c>
      <c r="AS164" s="718" t="str">
        <f>IF(OR($B164="No",AS$6=""),"",IF(NOT(ISNUMBER(_xll.ciqfunctions.udf.CIQ(AS$6,"IQ_TEV",$AI164,$I$2,$I$3))),"",_xll.ciqfunctions.udf.CIQ(AS$6,"IQ_TEV",$AI164,$I$2,$I$3)))</f>
        <v/>
      </c>
      <c r="AT164" s="718" t="str">
        <f>IF(OR($B164="No",AT$6=""),"",IF(NOT(ISNUMBER(_xll.ciqfunctions.udf.CIQ(AT$6,"IQ_TEV",$AI164,$I$2,$I$3))),"",_xll.ciqfunctions.udf.CIQ(AT$6,"IQ_TEV",$AI164,$I$2,$I$3)))</f>
        <v/>
      </c>
      <c r="AV164" s="251">
        <f t="shared" si="99"/>
        <v>43924</v>
      </c>
      <c r="AW164" s="719">
        <f t="shared" si="100"/>
        <v>0.56650471374200739</v>
      </c>
      <c r="AX164" s="719">
        <f t="shared" si="101"/>
        <v>0.75251515339856456</v>
      </c>
      <c r="AY164" s="719" t="e">
        <f t="shared" si="102"/>
        <v>#N/A</v>
      </c>
      <c r="AZ164" s="719" t="e">
        <f t="shared" si="103"/>
        <v>#N/A</v>
      </c>
      <c r="BA164" s="719" t="e">
        <f t="shared" si="104"/>
        <v>#N/A</v>
      </c>
      <c r="BB164" s="719" t="e">
        <f t="shared" si="105"/>
        <v>#N/A</v>
      </c>
      <c r="BC164" s="719" t="e">
        <f t="shared" si="106"/>
        <v>#N/A</v>
      </c>
      <c r="BD164" s="719" t="e">
        <f t="shared" si="107"/>
        <v>#N/A</v>
      </c>
      <c r="BE164" s="719" t="e">
        <f t="shared" si="108"/>
        <v>#N/A</v>
      </c>
      <c r="BF164" s="719" t="e">
        <f t="shared" si="109"/>
        <v>#N/A</v>
      </c>
      <c r="BG164" s="719" t="e">
        <f t="shared" si="110"/>
        <v>#N/A</v>
      </c>
    </row>
    <row r="165" spans="1:59" ht="15" customHeight="1" x14ac:dyDescent="0.2">
      <c r="A165" s="251">
        <f t="shared" si="93"/>
        <v>43931</v>
      </c>
      <c r="B165" s="253" t="str">
        <f t="shared" si="111"/>
        <v>Yes</v>
      </c>
      <c r="C165" s="1033">
        <f>IF(C$6="","",IF(NOT(ISNUMBER(_xll.ciqfunctions.udf.CIQ(C$6,$F$2, $A165, $I$2, $I$3))),IF(C164=C$6,"",C164),_xll.ciqfunctions.udf.CIQ(C$6,$F$2, $A165, $I$2, $I$3)))</f>
        <v>121.8</v>
      </c>
      <c r="D165" s="1033">
        <f>IF(D$6="","",IF(NOT(ISNUMBER(_xll.ciqfunctions.udf.CIQ(D$6,$F$2, $A165, $I$2, $I$3))),IF(D164=D$6,"",D164),_xll.ciqfunctions.udf.CIQ(D$6,$F$2, $A165, $I$2, $I$3)))</f>
        <v>23719.37298</v>
      </c>
      <c r="E165" s="1033">
        <f>IF(E$6="","",IF(NOT(ISNUMBER(_xll.ciqfunctions.udf.CIQ(E$6,$F$2, $A165, $I$2, $I$3))),IF(E164=E$6,"",E164),_xll.ciqfunctions.udf.CIQ(E$6,$F$2, $A165, $I$2, $I$3)))</f>
        <v>7804.7336400000004</v>
      </c>
      <c r="F165" s="1033">
        <f>IF(F$6="","",IF(NOT(ISNUMBER(_xll.ciqfunctions.udf.CIQ(F$6,$F$2, $A165, $I$2, $I$3))),IF(F164=F$6,"",F164),_xll.ciqfunctions.udf.CIQ(F$6,$F$2, $A165, $I$2, $I$3)))</f>
        <v>3482.0104700000002</v>
      </c>
      <c r="G165" s="1033">
        <f>IF(G$6="","",IF(NOT(ISNUMBER(_xll.ciqfunctions.udf.CIQ(G$6,$F$2, $A165, $I$2, $I$3))),IF(G164=G$6,"",G164),_xll.ciqfunctions.udf.CIQ(G$6,$F$2, $A165, $I$2, $I$3)))</f>
        <v>300.01</v>
      </c>
      <c r="H165" s="1033" t="str">
        <f>IF(H$6="","",IF(NOT(ISNUMBER(_xll.ciqfunctions.udf.CIQ(H$6,$F$2, $A165, $I$2, $I$3))),IF(H164=H$6,"",H164),_xll.ciqfunctions.udf.CIQ(H$6,$F$2, $A165, $I$2, $I$3)))</f>
        <v/>
      </c>
      <c r="I165" s="1033" t="str">
        <f>IF(I$6="","",IF(NOT(ISNUMBER(_xll.ciqfunctions.udf.CIQ(I$6,$F$2, $A165, $I$2, $I$3))),IF(I164=I$6,"",I164),_xll.ciqfunctions.udf.CIQ(I$6,$F$2, $A165, $I$2, $I$3)))</f>
        <v/>
      </c>
      <c r="J165" s="1033" t="str">
        <f>IF(J$6="","",IF(NOT(ISNUMBER(_xll.ciqfunctions.udf.CIQ(J$6,$F$2, $A165, $I$2, $I$3))),IF(J164=J$6,"",J164),_xll.ciqfunctions.udf.CIQ(J$6,$F$2, $A165, $I$2, $I$3)))</f>
        <v/>
      </c>
      <c r="K165" s="1033" t="str">
        <f>IF(K$6="","",IF(NOT(ISNUMBER(_xll.ciqfunctions.udf.CIQ(K$6,$F$2, $A165, $I$2, $I$3))),IF(K164=K$6,"",K164),_xll.ciqfunctions.udf.CIQ(K$6,$F$2, $A165, $I$2, $I$3)))</f>
        <v/>
      </c>
      <c r="L165" s="254" t="str">
        <f>IF(L$6="","",IF(NOT(ISNUMBER(_xll.ciqfunctions.udf.CIQ(L$6,$F$2, $A165, $I$2, $I$3))),IF(L164=L$6,"",L164),_xll.ciqfunctions.udf.CIQ(L$6,$F$2, $A165, $I$2, $I$3)))</f>
        <v/>
      </c>
      <c r="M165" s="254" t="str">
        <f>IF(M$6="","",IF(NOT(ISNUMBER(_xll.ciqfunctions.udf.CIQ(M$6,$F$2, $A165, $I$2, $I$3))),IF(M164=M$6,"",M164),_xll.ciqfunctions.udf.CIQ(M$6,$F$2, $A165, $I$2, $I$3)))</f>
        <v/>
      </c>
      <c r="N165" s="254" t="str">
        <f>IF(N$6="","",IF(NOT(ISNUMBER(_xll.ciqfunctions.udf.CIQ(N$6,$F$2, $A165, $I$2, $I$3))),IF(N164=N$6,"",N164),_xll.ciqfunctions.udf.CIQ(N$6,$F$2, $A165, $I$2, $I$3)))</f>
        <v/>
      </c>
      <c r="O165" s="254" t="str">
        <f>IF(O$6="","",IF(NOT(ISNUMBER(_xll.ciqfunctions.udf.CIQ(O$6,$F$2, $A165, $I$2, $I$3))),IF(O164=O$6,"",O164),_xll.ciqfunctions.udf.CIQ(O$6,$F$2, $A165, $I$2, $I$3)))</f>
        <v/>
      </c>
      <c r="P165" s="254" t="str">
        <f>IF(P$6="","",IF(NOT(ISNUMBER(_xll.ciqfunctions.udf.CIQ(P$6,$F$2, $A165, $I$2, $I$3))),IF(P164=P$6,"",P164),_xll.ciqfunctions.udf.CIQ(P$6,$F$2, $A165, $I$2, $I$3)))</f>
        <v/>
      </c>
      <c r="Q165" s="254"/>
      <c r="R165" s="251">
        <f t="shared" si="94"/>
        <v>43931</v>
      </c>
      <c r="S165" s="255">
        <f t="shared" si="96"/>
        <v>0.68978912319644836</v>
      </c>
      <c r="T165" s="255">
        <f t="shared" si="97"/>
        <v>0.14790297752348591</v>
      </c>
      <c r="U165" s="255">
        <f t="shared" si="98"/>
        <v>9.0683183535916978E-2</v>
      </c>
      <c r="V165" s="255">
        <f t="shared" si="112"/>
        <v>-0.2067834730302579</v>
      </c>
      <c r="W165" s="255">
        <f t="array" ref="W165">IFERROR(AVERAGE(IF(ISERROR(X165:AG165),"",X165:AG165)),"")</f>
        <v>0.78907507901484886</v>
      </c>
      <c r="X165" s="255">
        <f t="shared" si="113"/>
        <v>0.78907507901484886</v>
      </c>
      <c r="Y165" s="255" t="e">
        <f t="shared" si="114"/>
        <v>#N/A</v>
      </c>
      <c r="Z165" s="255" t="e">
        <f t="shared" si="115"/>
        <v>#N/A</v>
      </c>
      <c r="AA165" s="255" t="e">
        <f t="shared" si="116"/>
        <v>#N/A</v>
      </c>
      <c r="AB165" s="255" t="e">
        <f t="shared" si="117"/>
        <v>#N/A</v>
      </c>
      <c r="AC165" s="255" t="e">
        <f t="shared" si="118"/>
        <v>#N/A</v>
      </c>
      <c r="AD165" s="255" t="e">
        <f t="shared" si="119"/>
        <v>#N/A</v>
      </c>
      <c r="AE165" s="255" t="e">
        <f t="shared" si="120"/>
        <v>#N/A</v>
      </c>
      <c r="AF165" s="255" t="e">
        <f t="shared" si="121"/>
        <v>#N/A</v>
      </c>
      <c r="AG165" s="255" t="e">
        <f t="shared" si="122"/>
        <v>#N/A</v>
      </c>
      <c r="AI165" s="251">
        <f t="shared" si="95"/>
        <v>43931</v>
      </c>
      <c r="AJ165" s="718">
        <f>IF(OR($B165="No",AJ$6=""),"",IF(NOT(ISNUMBER(_xll.ciqfunctions.udf.CIQ(AJ$6,"IQ_TEV",$AI165,$I$2,$I$3))),"",_xll.ciqfunctions.udf.CIQ(AJ$6,"IQ_TEV",$AI165,$I$2,$I$3)))</f>
        <v>415518.36540000001</v>
      </c>
      <c r="AK165" s="718">
        <f>IF(OR($B165="No",AK$6=""),"",IF(NOT(ISNUMBER(_xll.ciqfunctions.udf.CIQ(AK$6,"IQ_TEV",$AI165,$I$2,$I$3))),"",_xll.ciqfunctions.udf.CIQ(AK$6,"IQ_TEV",$AI165,$I$2,$I$3)))</f>
        <v>132923.4014</v>
      </c>
      <c r="AL165" s="718" t="str">
        <f>IF(OR($B165="No",AL$6=""),"",IF(NOT(ISNUMBER(_xll.ciqfunctions.udf.CIQ(AL$6,"IQ_TEV",$AI165,$I$2,$I$3))),"",_xll.ciqfunctions.udf.CIQ(AL$6,"IQ_TEV",$AI165,$I$2,$I$3)))</f>
        <v/>
      </c>
      <c r="AM165" s="718" t="str">
        <f>IF(OR($B165="No",AM$6=""),"",IF(NOT(ISNUMBER(_xll.ciqfunctions.udf.CIQ(AM$6,"IQ_TEV",$AI165,$I$2,$I$3))),"",_xll.ciqfunctions.udf.CIQ(AM$6,"IQ_TEV",$AI165,$I$2,$I$3)))</f>
        <v/>
      </c>
      <c r="AN165" s="718" t="str">
        <f>IF(OR($B165="No",AN$6=""),"",IF(NOT(ISNUMBER(_xll.ciqfunctions.udf.CIQ(AN$6,"IQ_TEV",$AI165,$I$2,$I$3))),"",_xll.ciqfunctions.udf.CIQ(AN$6,"IQ_TEV",$AI165,$I$2,$I$3)))</f>
        <v/>
      </c>
      <c r="AO165" s="718" t="str">
        <f>IF(OR($B165="No",AO$6=""),"",IF(NOT(ISNUMBER(_xll.ciqfunctions.udf.CIQ(AO$6,"IQ_TEV",$AI165,$I$2,$I$3))),"",_xll.ciqfunctions.udf.CIQ(AO$6,"IQ_TEV",$AI165,$I$2,$I$3)))</f>
        <v/>
      </c>
      <c r="AP165" s="718" t="str">
        <f>IF(OR($B165="No",AP$6=""),"",IF(NOT(ISNUMBER(_xll.ciqfunctions.udf.CIQ(AP$6,"IQ_TEV",$AI165,$I$2,$I$3))),"",_xll.ciqfunctions.udf.CIQ(AP$6,"IQ_TEV",$AI165,$I$2,$I$3)))</f>
        <v/>
      </c>
      <c r="AQ165" s="718" t="str">
        <f>IF(OR($B165="No",AQ$6=""),"",IF(NOT(ISNUMBER(_xll.ciqfunctions.udf.CIQ(AQ$6,"IQ_TEV",$AI165,$I$2,$I$3))),"",_xll.ciqfunctions.udf.CIQ(AQ$6,"IQ_TEV",$AI165,$I$2,$I$3)))</f>
        <v/>
      </c>
      <c r="AR165" s="718" t="str">
        <f>IF(OR($B165="No",AR$6=""),"",IF(NOT(ISNUMBER(_xll.ciqfunctions.udf.CIQ(AR$6,"IQ_TEV",$AI165,$I$2,$I$3))),"",_xll.ciqfunctions.udf.CIQ(AR$6,"IQ_TEV",$AI165,$I$2,$I$3)))</f>
        <v/>
      </c>
      <c r="AS165" s="718" t="str">
        <f>IF(OR($B165="No",AS$6=""),"",IF(NOT(ISNUMBER(_xll.ciqfunctions.udf.CIQ(AS$6,"IQ_TEV",$AI165,$I$2,$I$3))),"",_xll.ciqfunctions.udf.CIQ(AS$6,"IQ_TEV",$AI165,$I$2,$I$3)))</f>
        <v/>
      </c>
      <c r="AT165" s="718" t="str">
        <f>IF(OR($B165="No",AT$6=""),"",IF(NOT(ISNUMBER(_xll.ciqfunctions.udf.CIQ(AT$6,"IQ_TEV",$AI165,$I$2,$I$3))),"",_xll.ciqfunctions.udf.CIQ(AT$6,"IQ_TEV",$AI165,$I$2,$I$3)))</f>
        <v/>
      </c>
      <c r="AV165" s="251">
        <f t="shared" si="99"/>
        <v>43931</v>
      </c>
      <c r="AW165" s="719">
        <f t="shared" si="100"/>
        <v>0.59167498590333678</v>
      </c>
      <c r="AX165" s="719">
        <f t="shared" si="101"/>
        <v>0.82124651828078199</v>
      </c>
      <c r="AY165" s="719" t="e">
        <f t="shared" si="102"/>
        <v>#N/A</v>
      </c>
      <c r="AZ165" s="719" t="e">
        <f t="shared" si="103"/>
        <v>#N/A</v>
      </c>
      <c r="BA165" s="719" t="e">
        <f t="shared" si="104"/>
        <v>#N/A</v>
      </c>
      <c r="BB165" s="719" t="e">
        <f t="shared" si="105"/>
        <v>#N/A</v>
      </c>
      <c r="BC165" s="719" t="e">
        <f t="shared" si="106"/>
        <v>#N/A</v>
      </c>
      <c r="BD165" s="719" t="e">
        <f t="shared" si="107"/>
        <v>#N/A</v>
      </c>
      <c r="BE165" s="719" t="e">
        <f t="shared" si="108"/>
        <v>#N/A</v>
      </c>
      <c r="BF165" s="719" t="e">
        <f t="shared" si="109"/>
        <v>#N/A</v>
      </c>
      <c r="BG165" s="719" t="e">
        <f t="shared" si="110"/>
        <v>#N/A</v>
      </c>
    </row>
    <row r="166" spans="1:59" ht="15" customHeight="1" x14ac:dyDescent="0.2">
      <c r="A166" s="251">
        <f t="shared" si="93"/>
        <v>43938</v>
      </c>
      <c r="B166" s="253" t="str">
        <f t="shared" si="111"/>
        <v>Yes</v>
      </c>
      <c r="C166" s="1033">
        <f>IF(C$6="","",IF(NOT(ISNUMBER(_xll.ciqfunctions.udf.CIQ(C$6,$F$2, $A166, $I$2, $I$3))),IF(C165=C$6,"",C165),_xll.ciqfunctions.udf.CIQ(C$6,$F$2, $A166, $I$2, $I$3)))</f>
        <v>132.12</v>
      </c>
      <c r="D166" s="1033">
        <f>IF(D$6="","",IF(NOT(ISNUMBER(_xll.ciqfunctions.udf.CIQ(D$6,$F$2, $A166, $I$2, $I$3))),IF(D165=D$6,"",D165),_xll.ciqfunctions.udf.CIQ(D$6,$F$2, $A166, $I$2, $I$3)))</f>
        <v>24242.493579999998</v>
      </c>
      <c r="E166" s="1033">
        <f>IF(E$6="","",IF(NOT(ISNUMBER(_xll.ciqfunctions.udf.CIQ(E$6,$F$2, $A166, $I$2, $I$3))),IF(E165=E$6,"",E165),_xll.ciqfunctions.udf.CIQ(E$6,$F$2, $A166, $I$2, $I$3)))</f>
        <v>7896.5528100000001</v>
      </c>
      <c r="F166" s="1033">
        <f>IF(F$6="","",IF(NOT(ISNUMBER(_xll.ciqfunctions.udf.CIQ(F$6,$F$2, $A166, $I$2, $I$3))),IF(F165=F$6,"",F165),_xll.ciqfunctions.udf.CIQ(F$6,$F$2, $A166, $I$2, $I$3)))</f>
        <v>3563.23263</v>
      </c>
      <c r="G166" s="1033">
        <f>IF(G$6="","",IF(NOT(ISNUMBER(_xll.ciqfunctions.udf.CIQ(G$6,$F$2, $A166, $I$2, $I$3))),IF(G165=G$6,"",G165),_xll.ciqfunctions.udf.CIQ(G$6,$F$2, $A166, $I$2, $I$3)))</f>
        <v>317.92</v>
      </c>
      <c r="H166" s="1033" t="str">
        <f>IF(H$6="","",IF(NOT(ISNUMBER(_xll.ciqfunctions.udf.CIQ(H$6,$F$2, $A166, $I$2, $I$3))),IF(H165=H$6,"",H165),_xll.ciqfunctions.udf.CIQ(H$6,$F$2, $A166, $I$2, $I$3)))</f>
        <v/>
      </c>
      <c r="I166" s="1033" t="str">
        <f>IF(I$6="","",IF(NOT(ISNUMBER(_xll.ciqfunctions.udf.CIQ(I$6,$F$2, $A166, $I$2, $I$3))),IF(I165=I$6,"",I165),_xll.ciqfunctions.udf.CIQ(I$6,$F$2, $A166, $I$2, $I$3)))</f>
        <v/>
      </c>
      <c r="J166" s="1033" t="str">
        <f>IF(J$6="","",IF(NOT(ISNUMBER(_xll.ciqfunctions.udf.CIQ(J$6,$F$2, $A166, $I$2, $I$3))),IF(J165=J$6,"",J165),_xll.ciqfunctions.udf.CIQ(J$6,$F$2, $A166, $I$2, $I$3)))</f>
        <v/>
      </c>
      <c r="K166" s="1033" t="str">
        <f>IF(K$6="","",IF(NOT(ISNUMBER(_xll.ciqfunctions.udf.CIQ(K$6,$F$2, $A166, $I$2, $I$3))),IF(K165=K$6,"",K165),_xll.ciqfunctions.udf.CIQ(K$6,$F$2, $A166, $I$2, $I$3)))</f>
        <v/>
      </c>
      <c r="L166" s="254" t="str">
        <f>IF(L$6="","",IF(NOT(ISNUMBER(_xll.ciqfunctions.udf.CIQ(L$6,$F$2, $A166, $I$2, $I$3))),IF(L165=L$6,"",L165),_xll.ciqfunctions.udf.CIQ(L$6,$F$2, $A166, $I$2, $I$3)))</f>
        <v/>
      </c>
      <c r="M166" s="254" t="str">
        <f>IF(M$6="","",IF(NOT(ISNUMBER(_xll.ciqfunctions.udf.CIQ(M$6,$F$2, $A166, $I$2, $I$3))),IF(M165=M$6,"",M165),_xll.ciqfunctions.udf.CIQ(M$6,$F$2, $A166, $I$2, $I$3)))</f>
        <v/>
      </c>
      <c r="N166" s="254" t="str">
        <f>IF(N$6="","",IF(NOT(ISNUMBER(_xll.ciqfunctions.udf.CIQ(N$6,$F$2, $A166, $I$2, $I$3))),IF(N165=N$6,"",N165),_xll.ciqfunctions.udf.CIQ(N$6,$F$2, $A166, $I$2, $I$3)))</f>
        <v/>
      </c>
      <c r="O166" s="254" t="str">
        <f>IF(O$6="","",IF(NOT(ISNUMBER(_xll.ciqfunctions.udf.CIQ(O$6,$F$2, $A166, $I$2, $I$3))),IF(O165=O$6,"",O165),_xll.ciqfunctions.udf.CIQ(O$6,$F$2, $A166, $I$2, $I$3)))</f>
        <v/>
      </c>
      <c r="P166" s="254" t="str">
        <f>IF(P$6="","",IF(NOT(ISNUMBER(_xll.ciqfunctions.udf.CIQ(P$6,$F$2, $A166, $I$2, $I$3))),IF(P165=P$6,"",P165),_xll.ciqfunctions.udf.CIQ(P$6,$F$2, $A166, $I$2, $I$3)))</f>
        <v/>
      </c>
      <c r="Q166" s="254"/>
      <c r="R166" s="251">
        <f t="shared" si="94"/>
        <v>43938</v>
      </c>
      <c r="S166" s="255">
        <f t="shared" si="96"/>
        <v>0.8329633740288569</v>
      </c>
      <c r="T166" s="255">
        <f t="shared" si="97"/>
        <v>0.17321948546196309</v>
      </c>
      <c r="U166" s="255">
        <f t="shared" si="98"/>
        <v>0.10351457910487905</v>
      </c>
      <c r="V166" s="255">
        <f t="shared" si="112"/>
        <v>-0.18828072577453803</v>
      </c>
      <c r="W166" s="255">
        <f t="array" ref="W166">IFERROR(AVERAGE(IF(ISERROR(X166:AG166),"",X166:AG166)),"")</f>
        <v>0.89587930109129954</v>
      </c>
      <c r="X166" s="255">
        <f t="shared" si="113"/>
        <v>0.89587930109129954</v>
      </c>
      <c r="Y166" s="255" t="e">
        <f t="shared" si="114"/>
        <v>#N/A</v>
      </c>
      <c r="Z166" s="255" t="e">
        <f t="shared" si="115"/>
        <v>#N/A</v>
      </c>
      <c r="AA166" s="255" t="e">
        <f t="shared" si="116"/>
        <v>#N/A</v>
      </c>
      <c r="AB166" s="255" t="e">
        <f t="shared" si="117"/>
        <v>#N/A</v>
      </c>
      <c r="AC166" s="255" t="e">
        <f t="shared" si="118"/>
        <v>#N/A</v>
      </c>
      <c r="AD166" s="255" t="e">
        <f t="shared" si="119"/>
        <v>#N/A</v>
      </c>
      <c r="AE166" s="255" t="e">
        <f t="shared" si="120"/>
        <v>#N/A</v>
      </c>
      <c r="AF166" s="255" t="e">
        <f t="shared" si="121"/>
        <v>#N/A</v>
      </c>
      <c r="AG166" s="255" t="e">
        <f t="shared" si="122"/>
        <v>#N/A</v>
      </c>
      <c r="AI166" s="251">
        <f t="shared" si="95"/>
        <v>43938</v>
      </c>
      <c r="AJ166" s="718">
        <f>IF(OR($B166="No",AJ$6=""),"",IF(NOT(ISNUMBER(_xll.ciqfunctions.udf.CIQ(AJ$6,"IQ_TEV",$AI166,$I$2,$I$3))),"",_xll.ciqfunctions.udf.CIQ(AJ$6,"IQ_TEV",$AI166,$I$2,$I$3)))</f>
        <v>444747.46630999999</v>
      </c>
      <c r="AK166" s="718">
        <f>IF(OR($B166="No",AK$6=""),"",IF(NOT(ISNUMBER(_xll.ciqfunctions.udf.CIQ(AK$6,"IQ_TEV",$AI166,$I$2,$I$3))),"",_xll.ciqfunctions.udf.CIQ(AK$6,"IQ_TEV",$AI166,$I$2,$I$3)))</f>
        <v>140832.09834</v>
      </c>
      <c r="AL166" s="718" t="str">
        <f>IF(OR($B166="No",AL$6=""),"",IF(NOT(ISNUMBER(_xll.ciqfunctions.udf.CIQ(AL$6,"IQ_TEV",$AI166,$I$2,$I$3))),"",_xll.ciqfunctions.udf.CIQ(AL$6,"IQ_TEV",$AI166,$I$2,$I$3)))</f>
        <v/>
      </c>
      <c r="AM166" s="718" t="str">
        <f>IF(OR($B166="No",AM$6=""),"",IF(NOT(ISNUMBER(_xll.ciqfunctions.udf.CIQ(AM$6,"IQ_TEV",$AI166,$I$2,$I$3))),"",_xll.ciqfunctions.udf.CIQ(AM$6,"IQ_TEV",$AI166,$I$2,$I$3)))</f>
        <v/>
      </c>
      <c r="AN166" s="718" t="str">
        <f>IF(OR($B166="No",AN$6=""),"",IF(NOT(ISNUMBER(_xll.ciqfunctions.udf.CIQ(AN$6,"IQ_TEV",$AI166,$I$2,$I$3))),"",_xll.ciqfunctions.udf.CIQ(AN$6,"IQ_TEV",$AI166,$I$2,$I$3)))</f>
        <v/>
      </c>
      <c r="AO166" s="718" t="str">
        <f>IF(OR($B166="No",AO$6=""),"",IF(NOT(ISNUMBER(_xll.ciqfunctions.udf.CIQ(AO$6,"IQ_TEV",$AI166,$I$2,$I$3))),"",_xll.ciqfunctions.udf.CIQ(AO$6,"IQ_TEV",$AI166,$I$2,$I$3)))</f>
        <v/>
      </c>
      <c r="AP166" s="718" t="str">
        <f>IF(OR($B166="No",AP$6=""),"",IF(NOT(ISNUMBER(_xll.ciqfunctions.udf.CIQ(AP$6,"IQ_TEV",$AI166,$I$2,$I$3))),"",_xll.ciqfunctions.udf.CIQ(AP$6,"IQ_TEV",$AI166,$I$2,$I$3)))</f>
        <v/>
      </c>
      <c r="AQ166" s="718" t="str">
        <f>IF(OR($B166="No",AQ$6=""),"",IF(NOT(ISNUMBER(_xll.ciqfunctions.udf.CIQ(AQ$6,"IQ_TEV",$AI166,$I$2,$I$3))),"",_xll.ciqfunctions.udf.CIQ(AQ$6,"IQ_TEV",$AI166,$I$2,$I$3)))</f>
        <v/>
      </c>
      <c r="AR166" s="718" t="str">
        <f>IF(OR($B166="No",AR$6=""),"",IF(NOT(ISNUMBER(_xll.ciqfunctions.udf.CIQ(AR$6,"IQ_TEV",$AI166,$I$2,$I$3))),"",_xll.ciqfunctions.udf.CIQ(AR$6,"IQ_TEV",$AI166,$I$2,$I$3)))</f>
        <v/>
      </c>
      <c r="AS166" s="718" t="str">
        <f>IF(OR($B166="No",AS$6=""),"",IF(NOT(ISNUMBER(_xll.ciqfunctions.udf.CIQ(AS$6,"IQ_TEV",$AI166,$I$2,$I$3))),"",_xll.ciqfunctions.udf.CIQ(AS$6,"IQ_TEV",$AI166,$I$2,$I$3)))</f>
        <v/>
      </c>
      <c r="AT166" s="718" t="str">
        <f>IF(OR($B166="No",AT$6=""),"",IF(NOT(ISNUMBER(_xll.ciqfunctions.udf.CIQ(AT$6,"IQ_TEV",$AI166,$I$2,$I$3))),"",_xll.ciqfunctions.udf.CIQ(AT$6,"IQ_TEV",$AI166,$I$2,$I$3)))</f>
        <v/>
      </c>
      <c r="AV166" s="251">
        <f t="shared" si="99"/>
        <v>43938</v>
      </c>
      <c r="AW166" s="719">
        <f t="shared" si="100"/>
        <v>0.70363930000556851</v>
      </c>
      <c r="AX166" s="719">
        <f t="shared" si="101"/>
        <v>0.92960732318351358</v>
      </c>
      <c r="AY166" s="719" t="e">
        <f t="shared" si="102"/>
        <v>#N/A</v>
      </c>
      <c r="AZ166" s="719" t="e">
        <f t="shared" si="103"/>
        <v>#N/A</v>
      </c>
      <c r="BA166" s="719" t="e">
        <f t="shared" si="104"/>
        <v>#N/A</v>
      </c>
      <c r="BB166" s="719" t="e">
        <f t="shared" si="105"/>
        <v>#N/A</v>
      </c>
      <c r="BC166" s="719" t="e">
        <f t="shared" si="106"/>
        <v>#N/A</v>
      </c>
      <c r="BD166" s="719" t="e">
        <f t="shared" si="107"/>
        <v>#N/A</v>
      </c>
      <c r="BE166" s="719" t="e">
        <f t="shared" si="108"/>
        <v>#N/A</v>
      </c>
      <c r="BF166" s="719" t="e">
        <f t="shared" si="109"/>
        <v>#N/A</v>
      </c>
      <c r="BG166" s="719" t="e">
        <f t="shared" si="110"/>
        <v>#N/A</v>
      </c>
    </row>
    <row r="167" spans="1:59" ht="15" customHeight="1" x14ac:dyDescent="0.2">
      <c r="A167" s="251">
        <f t="shared" si="93"/>
        <v>43945</v>
      </c>
      <c r="B167" s="253" t="str">
        <f t="shared" si="111"/>
        <v>Yes</v>
      </c>
      <c r="C167" s="1033">
        <f>IF(C$6="","",IF(NOT(ISNUMBER(_xll.ciqfunctions.udf.CIQ(C$6,$F$2, $A167, $I$2, $I$3))),IF(C166=C$6,"",C166),_xll.ciqfunctions.udf.CIQ(C$6,$F$2, $A167, $I$2, $I$3)))</f>
        <v>129.44</v>
      </c>
      <c r="D167" s="1033">
        <f>IF(D$6="","",IF(NOT(ISNUMBER(_xll.ciqfunctions.udf.CIQ(D$6,$F$2, $A167, $I$2, $I$3))),IF(D166=D$6,"",D166),_xll.ciqfunctions.udf.CIQ(D$6,$F$2, $A167, $I$2, $I$3)))</f>
        <v>23775.27219</v>
      </c>
      <c r="E167" s="1033">
        <f>IF(E$6="","",IF(NOT(ISNUMBER(_xll.ciqfunctions.udf.CIQ(E$6,$F$2, $A167, $I$2, $I$3))),IF(E166=E$6,"",E166),_xll.ciqfunctions.udf.CIQ(E$6,$F$2, $A167, $I$2, $I$3)))</f>
        <v>7724.0508</v>
      </c>
      <c r="F167" s="1033">
        <f>IF(F$6="","",IF(NOT(ISNUMBER(_xll.ciqfunctions.udf.CIQ(F$6,$F$2, $A167, $I$2, $I$3))),IF(F166=F$6,"",F166),_xll.ciqfunctions.udf.CIQ(F$6,$F$2, $A167, $I$2, $I$3)))</f>
        <v>3577.5819499999998</v>
      </c>
      <c r="G167" s="1033">
        <f>IF(G$6="","",IF(NOT(ISNUMBER(_xll.ciqfunctions.udf.CIQ(G$6,$F$2, $A167, $I$2, $I$3))),IF(G166=G$6,"",G166),_xll.ciqfunctions.udf.CIQ(G$6,$F$2, $A167, $I$2, $I$3)))</f>
        <v>310.55</v>
      </c>
      <c r="H167" s="1033" t="str">
        <f>IF(H$6="","",IF(NOT(ISNUMBER(_xll.ciqfunctions.udf.CIQ(H$6,$F$2, $A167, $I$2, $I$3))),IF(H166=H$6,"",H166),_xll.ciqfunctions.udf.CIQ(H$6,$F$2, $A167, $I$2, $I$3)))</f>
        <v/>
      </c>
      <c r="I167" s="1033" t="str">
        <f>IF(I$6="","",IF(NOT(ISNUMBER(_xll.ciqfunctions.udf.CIQ(I$6,$F$2, $A167, $I$2, $I$3))),IF(I166=I$6,"",I166),_xll.ciqfunctions.udf.CIQ(I$6,$F$2, $A167, $I$2, $I$3)))</f>
        <v/>
      </c>
      <c r="J167" s="1033" t="str">
        <f>IF(J$6="","",IF(NOT(ISNUMBER(_xll.ciqfunctions.udf.CIQ(J$6,$F$2, $A167, $I$2, $I$3))),IF(J166=J$6,"",J166),_xll.ciqfunctions.udf.CIQ(J$6,$F$2, $A167, $I$2, $I$3)))</f>
        <v/>
      </c>
      <c r="K167" s="1033" t="str">
        <f>IF(K$6="","",IF(NOT(ISNUMBER(_xll.ciqfunctions.udf.CIQ(K$6,$F$2, $A167, $I$2, $I$3))),IF(K166=K$6,"",K166),_xll.ciqfunctions.udf.CIQ(K$6,$F$2, $A167, $I$2, $I$3)))</f>
        <v/>
      </c>
      <c r="L167" s="254" t="str">
        <f>IF(L$6="","",IF(NOT(ISNUMBER(_xll.ciqfunctions.udf.CIQ(L$6,$F$2, $A167, $I$2, $I$3))),IF(L166=L$6,"",L166),_xll.ciqfunctions.udf.CIQ(L$6,$F$2, $A167, $I$2, $I$3)))</f>
        <v/>
      </c>
      <c r="M167" s="254" t="str">
        <f>IF(M$6="","",IF(NOT(ISNUMBER(_xll.ciqfunctions.udf.CIQ(M$6,$F$2, $A167, $I$2, $I$3))),IF(M166=M$6,"",M166),_xll.ciqfunctions.udf.CIQ(M$6,$F$2, $A167, $I$2, $I$3)))</f>
        <v/>
      </c>
      <c r="N167" s="254" t="str">
        <f>IF(N$6="","",IF(NOT(ISNUMBER(_xll.ciqfunctions.udf.CIQ(N$6,$F$2, $A167, $I$2, $I$3))),IF(N166=N$6,"",N166),_xll.ciqfunctions.udf.CIQ(N$6,$F$2, $A167, $I$2, $I$3)))</f>
        <v/>
      </c>
      <c r="O167" s="254" t="str">
        <f>IF(O$6="","",IF(NOT(ISNUMBER(_xll.ciqfunctions.udf.CIQ(O$6,$F$2, $A167, $I$2, $I$3))),IF(O166=O$6,"",O166),_xll.ciqfunctions.udf.CIQ(O$6,$F$2, $A167, $I$2, $I$3)))</f>
        <v/>
      </c>
      <c r="P167" s="254" t="str">
        <f>IF(P$6="","",IF(NOT(ISNUMBER(_xll.ciqfunctions.udf.CIQ(P$6,$F$2, $A167, $I$2, $I$3))),IF(P166=P$6,"",P166),_xll.ciqfunctions.udf.CIQ(P$6,$F$2, $A167, $I$2, $I$3)))</f>
        <v/>
      </c>
      <c r="Q167" s="254"/>
      <c r="R167" s="251">
        <f t="shared" si="94"/>
        <v>43945</v>
      </c>
      <c r="S167" s="255">
        <f t="shared" si="96"/>
        <v>0.7957824639289679</v>
      </c>
      <c r="T167" s="255">
        <f t="shared" si="97"/>
        <v>0.1506082290347428</v>
      </c>
      <c r="U167" s="255">
        <f t="shared" si="98"/>
        <v>7.9408049643209244E-2</v>
      </c>
      <c r="V167" s="255">
        <f t="shared" si="112"/>
        <v>-0.18501189075154123</v>
      </c>
      <c r="W167" s="255">
        <f t="array" ref="W167">IFERROR(AVERAGE(IF(ISERROR(X167:AG167),"",X167:AG167)),"")</f>
        <v>0.85192915498837141</v>
      </c>
      <c r="X167" s="255">
        <f t="shared" si="113"/>
        <v>0.85192915498837141</v>
      </c>
      <c r="Y167" s="255" t="e">
        <f t="shared" si="114"/>
        <v>#N/A</v>
      </c>
      <c r="Z167" s="255" t="e">
        <f t="shared" si="115"/>
        <v>#N/A</v>
      </c>
      <c r="AA167" s="255" t="e">
        <f t="shared" si="116"/>
        <v>#N/A</v>
      </c>
      <c r="AB167" s="255" t="e">
        <f t="shared" si="117"/>
        <v>#N/A</v>
      </c>
      <c r="AC167" s="255" t="e">
        <f t="shared" si="118"/>
        <v>#N/A</v>
      </c>
      <c r="AD167" s="255" t="e">
        <f t="shared" si="119"/>
        <v>#N/A</v>
      </c>
      <c r="AE167" s="255" t="e">
        <f t="shared" si="120"/>
        <v>#N/A</v>
      </c>
      <c r="AF167" s="255" t="e">
        <f t="shared" si="121"/>
        <v>#N/A</v>
      </c>
      <c r="AG167" s="255" t="e">
        <f t="shared" si="122"/>
        <v>#N/A</v>
      </c>
      <c r="AI167" s="251">
        <f t="shared" si="95"/>
        <v>43945</v>
      </c>
      <c r="AJ167" s="718">
        <f>IF(OR($B167="No",AJ$6=""),"",IF(NOT(ISNUMBER(_xll.ciqfunctions.udf.CIQ(AJ$6,"IQ_TEV",$AI167,$I$2,$I$3))),"",_xll.ciqfunctions.udf.CIQ(AJ$6,"IQ_TEV",$AI167,$I$2,$I$3)))</f>
        <v>437341.37419</v>
      </c>
      <c r="AK167" s="718">
        <f>IF(OR($B167="No",AK$6=""),"",IF(NOT(ISNUMBER(_xll.ciqfunctions.udf.CIQ(AK$6,"IQ_TEV",$AI167,$I$2,$I$3))),"",_xll.ciqfunctions.udf.CIQ(AK$6,"IQ_TEV",$AI167,$I$2,$I$3)))</f>
        <v>137577.65409</v>
      </c>
      <c r="AL167" s="718" t="str">
        <f>IF(OR($B167="No",AL$6=""),"",IF(NOT(ISNUMBER(_xll.ciqfunctions.udf.CIQ(AL$6,"IQ_TEV",$AI167,$I$2,$I$3))),"",_xll.ciqfunctions.udf.CIQ(AL$6,"IQ_TEV",$AI167,$I$2,$I$3)))</f>
        <v/>
      </c>
      <c r="AM167" s="718" t="str">
        <f>IF(OR($B167="No",AM$6=""),"",IF(NOT(ISNUMBER(_xll.ciqfunctions.udf.CIQ(AM$6,"IQ_TEV",$AI167,$I$2,$I$3))),"",_xll.ciqfunctions.udf.CIQ(AM$6,"IQ_TEV",$AI167,$I$2,$I$3)))</f>
        <v/>
      </c>
      <c r="AN167" s="718" t="str">
        <f>IF(OR($B167="No",AN$6=""),"",IF(NOT(ISNUMBER(_xll.ciqfunctions.udf.CIQ(AN$6,"IQ_TEV",$AI167,$I$2,$I$3))),"",_xll.ciqfunctions.udf.CIQ(AN$6,"IQ_TEV",$AI167,$I$2,$I$3)))</f>
        <v/>
      </c>
      <c r="AO167" s="718" t="str">
        <f>IF(OR($B167="No",AO$6=""),"",IF(NOT(ISNUMBER(_xll.ciqfunctions.udf.CIQ(AO$6,"IQ_TEV",$AI167,$I$2,$I$3))),"",_xll.ciqfunctions.udf.CIQ(AO$6,"IQ_TEV",$AI167,$I$2,$I$3)))</f>
        <v/>
      </c>
      <c r="AP167" s="718" t="str">
        <f>IF(OR($B167="No",AP$6=""),"",IF(NOT(ISNUMBER(_xll.ciqfunctions.udf.CIQ(AP$6,"IQ_TEV",$AI167,$I$2,$I$3))),"",_xll.ciqfunctions.udf.CIQ(AP$6,"IQ_TEV",$AI167,$I$2,$I$3)))</f>
        <v/>
      </c>
      <c r="AQ167" s="718" t="str">
        <f>IF(OR($B167="No",AQ$6=""),"",IF(NOT(ISNUMBER(_xll.ciqfunctions.udf.CIQ(AQ$6,"IQ_TEV",$AI167,$I$2,$I$3))),"",_xll.ciqfunctions.udf.CIQ(AQ$6,"IQ_TEV",$AI167,$I$2,$I$3)))</f>
        <v/>
      </c>
      <c r="AR167" s="718" t="str">
        <f>IF(OR($B167="No",AR$6=""),"",IF(NOT(ISNUMBER(_xll.ciqfunctions.udf.CIQ(AR$6,"IQ_TEV",$AI167,$I$2,$I$3))),"",_xll.ciqfunctions.udf.CIQ(AR$6,"IQ_TEV",$AI167,$I$2,$I$3)))</f>
        <v/>
      </c>
      <c r="AS167" s="718" t="str">
        <f>IF(OR($B167="No",AS$6=""),"",IF(NOT(ISNUMBER(_xll.ciqfunctions.udf.CIQ(AS$6,"IQ_TEV",$AI167,$I$2,$I$3))),"",_xll.ciqfunctions.udf.CIQ(AS$6,"IQ_TEV",$AI167,$I$2,$I$3)))</f>
        <v/>
      </c>
      <c r="AT167" s="718" t="str">
        <f>IF(OR($B167="No",AT$6=""),"",IF(NOT(ISNUMBER(_xll.ciqfunctions.udf.CIQ(AT$6,"IQ_TEV",$AI167,$I$2,$I$3))),"",_xll.ciqfunctions.udf.CIQ(AT$6,"IQ_TEV",$AI167,$I$2,$I$3)))</f>
        <v/>
      </c>
      <c r="AV167" s="251">
        <f t="shared" si="99"/>
        <v>43945</v>
      </c>
      <c r="AW167" s="719">
        <f t="shared" si="100"/>
        <v>0.67526969578999552</v>
      </c>
      <c r="AX167" s="719">
        <f t="shared" si="101"/>
        <v>0.88501664015235071</v>
      </c>
      <c r="AY167" s="719" t="e">
        <f t="shared" si="102"/>
        <v>#N/A</v>
      </c>
      <c r="AZ167" s="719" t="e">
        <f t="shared" si="103"/>
        <v>#N/A</v>
      </c>
      <c r="BA167" s="719" t="e">
        <f t="shared" si="104"/>
        <v>#N/A</v>
      </c>
      <c r="BB167" s="719" t="e">
        <f t="shared" si="105"/>
        <v>#N/A</v>
      </c>
      <c r="BC167" s="719" t="e">
        <f t="shared" si="106"/>
        <v>#N/A</v>
      </c>
      <c r="BD167" s="719" t="e">
        <f t="shared" si="107"/>
        <v>#N/A</v>
      </c>
      <c r="BE167" s="719" t="e">
        <f t="shared" si="108"/>
        <v>#N/A</v>
      </c>
      <c r="BF167" s="719" t="e">
        <f t="shared" si="109"/>
        <v>#N/A</v>
      </c>
      <c r="BG167" s="719" t="e">
        <f t="shared" si="110"/>
        <v>#N/A</v>
      </c>
    </row>
    <row r="168" spans="1:59" ht="15" customHeight="1" x14ac:dyDescent="0.2">
      <c r="A168" s="251">
        <f t="shared" si="93"/>
        <v>43952</v>
      </c>
      <c r="B168" s="253" t="str">
        <f t="shared" si="111"/>
        <v>Yes</v>
      </c>
      <c r="C168" s="1033">
        <f>IF(C$6="","",IF(NOT(ISNUMBER(_xll.ciqfunctions.udf.CIQ(C$6,$F$2, $A168, $I$2, $I$3))),IF(C167=C$6,"",C167),_xll.ciqfunctions.udf.CIQ(C$6,$F$2, $A168, $I$2, $I$3)))</f>
        <v>122.92</v>
      </c>
      <c r="D168" s="1033">
        <f>IF(D$6="","",IF(NOT(ISNUMBER(_xll.ciqfunctions.udf.CIQ(D$6,$F$2, $A168, $I$2, $I$3))),IF(D167=D$6,"",D167),_xll.ciqfunctions.udf.CIQ(D$6,$F$2, $A168, $I$2, $I$3)))</f>
        <v>23723.694019999999</v>
      </c>
      <c r="E168" s="1033">
        <f>IF(E$6="","",IF(NOT(ISNUMBER(_xll.ciqfunctions.udf.CIQ(E$6,$F$2, $A168, $I$2, $I$3))),IF(E167=E$6,"",E167),_xll.ciqfunctions.udf.CIQ(E$6,$F$2, $A168, $I$2, $I$3)))</f>
        <v>7658.9888300000002</v>
      </c>
      <c r="F168" s="1033">
        <f>IF(F$6="","",IF(NOT(ISNUMBER(_xll.ciqfunctions.udf.CIQ(F$6,$F$2, $A168, $I$2, $I$3))),IF(F167=F$6,"",F167),_xll.ciqfunctions.udf.CIQ(F$6,$F$2, $A168, $I$2, $I$3)))</f>
        <v>3692.8663999999999</v>
      </c>
      <c r="G168" s="1033">
        <f>IF(G$6="","",IF(NOT(ISNUMBER(_xll.ciqfunctions.udf.CIQ(G$6,$F$2, $A168, $I$2, $I$3))),IF(G167=G$6,"",G167),_xll.ciqfunctions.udf.CIQ(G$6,$F$2, $A168, $I$2, $I$3)))</f>
        <v>301.92</v>
      </c>
      <c r="H168" s="1033" t="str">
        <f>IF(H$6="","",IF(NOT(ISNUMBER(_xll.ciqfunctions.udf.CIQ(H$6,$F$2, $A168, $I$2, $I$3))),IF(H167=H$6,"",H167),_xll.ciqfunctions.udf.CIQ(H$6,$F$2, $A168, $I$2, $I$3)))</f>
        <v/>
      </c>
      <c r="I168" s="1033" t="str">
        <f>IF(I$6="","",IF(NOT(ISNUMBER(_xll.ciqfunctions.udf.CIQ(I$6,$F$2, $A168, $I$2, $I$3))),IF(I167=I$6,"",I167),_xll.ciqfunctions.udf.CIQ(I$6,$F$2, $A168, $I$2, $I$3)))</f>
        <v/>
      </c>
      <c r="J168" s="1033" t="str">
        <f>IF(J$6="","",IF(NOT(ISNUMBER(_xll.ciqfunctions.udf.CIQ(J$6,$F$2, $A168, $I$2, $I$3))),IF(J167=J$6,"",J167),_xll.ciqfunctions.udf.CIQ(J$6,$F$2, $A168, $I$2, $I$3)))</f>
        <v/>
      </c>
      <c r="K168" s="1033" t="str">
        <f>IF(K$6="","",IF(NOT(ISNUMBER(_xll.ciqfunctions.udf.CIQ(K$6,$F$2, $A168, $I$2, $I$3))),IF(K167=K$6,"",K167),_xll.ciqfunctions.udf.CIQ(K$6,$F$2, $A168, $I$2, $I$3)))</f>
        <v/>
      </c>
      <c r="L168" s="254" t="str">
        <f>IF(L$6="","",IF(NOT(ISNUMBER(_xll.ciqfunctions.udf.CIQ(L$6,$F$2, $A168, $I$2, $I$3))),IF(L167=L$6,"",L167),_xll.ciqfunctions.udf.CIQ(L$6,$F$2, $A168, $I$2, $I$3)))</f>
        <v/>
      </c>
      <c r="M168" s="254" t="str">
        <f>IF(M$6="","",IF(NOT(ISNUMBER(_xll.ciqfunctions.udf.CIQ(M$6,$F$2, $A168, $I$2, $I$3))),IF(M167=M$6,"",M167),_xll.ciqfunctions.udf.CIQ(M$6,$F$2, $A168, $I$2, $I$3)))</f>
        <v/>
      </c>
      <c r="N168" s="254" t="str">
        <f>IF(N$6="","",IF(NOT(ISNUMBER(_xll.ciqfunctions.udf.CIQ(N$6,$F$2, $A168, $I$2, $I$3))),IF(N167=N$6,"",N167),_xll.ciqfunctions.udf.CIQ(N$6,$F$2, $A168, $I$2, $I$3)))</f>
        <v/>
      </c>
      <c r="O168" s="254" t="str">
        <f>IF(O$6="","",IF(NOT(ISNUMBER(_xll.ciqfunctions.udf.CIQ(O$6,$F$2, $A168, $I$2, $I$3))),IF(O167=O$6,"",O167),_xll.ciqfunctions.udf.CIQ(O$6,$F$2, $A168, $I$2, $I$3)))</f>
        <v/>
      </c>
      <c r="P168" s="254" t="str">
        <f>IF(P$6="","",IF(NOT(ISNUMBER(_xll.ciqfunctions.udf.CIQ(P$6,$F$2, $A168, $I$2, $I$3))),IF(P167=P$6,"",P167),_xll.ciqfunctions.udf.CIQ(P$6,$F$2, $A168, $I$2, $I$3)))</f>
        <v/>
      </c>
      <c r="Q168" s="254"/>
      <c r="R168" s="251">
        <f t="shared" si="94"/>
        <v>43952</v>
      </c>
      <c r="S168" s="255">
        <f t="shared" si="96"/>
        <v>0.70532741398446186</v>
      </c>
      <c r="T168" s="255">
        <f t="shared" si="97"/>
        <v>0.14811209496879862</v>
      </c>
      <c r="U168" s="255">
        <f t="shared" si="98"/>
        <v>7.0315875606284939E-2</v>
      </c>
      <c r="V168" s="255">
        <f t="shared" si="112"/>
        <v>-0.15874961157964174</v>
      </c>
      <c r="W168" s="255">
        <f t="array" ref="W168">IFERROR(AVERAGE(IF(ISERROR(X168:AG168),"",X168:AG168)),"")</f>
        <v>0.80046514401574353</v>
      </c>
      <c r="X168" s="255">
        <f t="shared" si="113"/>
        <v>0.80046514401574353</v>
      </c>
      <c r="Y168" s="255" t="e">
        <f t="shared" si="114"/>
        <v>#N/A</v>
      </c>
      <c r="Z168" s="255" t="e">
        <f t="shared" si="115"/>
        <v>#N/A</v>
      </c>
      <c r="AA168" s="255" t="e">
        <f t="shared" si="116"/>
        <v>#N/A</v>
      </c>
      <c r="AB168" s="255" t="e">
        <f t="shared" si="117"/>
        <v>#N/A</v>
      </c>
      <c r="AC168" s="255" t="e">
        <f t="shared" si="118"/>
        <v>#N/A</v>
      </c>
      <c r="AD168" s="255" t="e">
        <f t="shared" si="119"/>
        <v>#N/A</v>
      </c>
      <c r="AE168" s="255" t="e">
        <f t="shared" si="120"/>
        <v>#N/A</v>
      </c>
      <c r="AF168" s="255" t="e">
        <f t="shared" si="121"/>
        <v>#N/A</v>
      </c>
      <c r="AG168" s="255" t="e">
        <f t="shared" si="122"/>
        <v>#N/A</v>
      </c>
      <c r="AI168" s="251">
        <f t="shared" si="95"/>
        <v>43952</v>
      </c>
      <c r="AJ168" s="718">
        <f>IF(OR($B168="No",AJ$6=""),"",IF(NOT(ISNUMBER(_xll.ciqfunctions.udf.CIQ(AJ$6,"IQ_TEV",$AI168,$I$2,$I$3))),"",_xll.ciqfunctions.udf.CIQ(AJ$6,"IQ_TEV",$AI168,$I$2,$I$3)))</f>
        <v>418865.63779000001</v>
      </c>
      <c r="AK168" s="718">
        <f>IF(OR($B168="No",AK$6=""),"",IF(NOT(ISNUMBER(_xll.ciqfunctions.udf.CIQ(AK$6,"IQ_TEV",$AI168,$I$2,$I$3))),"",_xll.ciqfunctions.udf.CIQ(AK$6,"IQ_TEV",$AI168,$I$2,$I$3)))</f>
        <v>133766.81911000001</v>
      </c>
      <c r="AL168" s="718" t="str">
        <f>IF(OR($B168="No",AL$6=""),"",IF(NOT(ISNUMBER(_xll.ciqfunctions.udf.CIQ(AL$6,"IQ_TEV",$AI168,$I$2,$I$3))),"",_xll.ciqfunctions.udf.CIQ(AL$6,"IQ_TEV",$AI168,$I$2,$I$3)))</f>
        <v/>
      </c>
      <c r="AM168" s="718" t="str">
        <f>IF(OR($B168="No",AM$6=""),"",IF(NOT(ISNUMBER(_xll.ciqfunctions.udf.CIQ(AM$6,"IQ_TEV",$AI168,$I$2,$I$3))),"",_xll.ciqfunctions.udf.CIQ(AM$6,"IQ_TEV",$AI168,$I$2,$I$3)))</f>
        <v/>
      </c>
      <c r="AN168" s="718" t="str">
        <f>IF(OR($B168="No",AN$6=""),"",IF(NOT(ISNUMBER(_xll.ciqfunctions.udf.CIQ(AN$6,"IQ_TEV",$AI168,$I$2,$I$3))),"",_xll.ciqfunctions.udf.CIQ(AN$6,"IQ_TEV",$AI168,$I$2,$I$3)))</f>
        <v/>
      </c>
      <c r="AO168" s="718" t="str">
        <f>IF(OR($B168="No",AO$6=""),"",IF(NOT(ISNUMBER(_xll.ciqfunctions.udf.CIQ(AO$6,"IQ_TEV",$AI168,$I$2,$I$3))),"",_xll.ciqfunctions.udf.CIQ(AO$6,"IQ_TEV",$AI168,$I$2,$I$3)))</f>
        <v/>
      </c>
      <c r="AP168" s="718" t="str">
        <f>IF(OR($B168="No",AP$6=""),"",IF(NOT(ISNUMBER(_xll.ciqfunctions.udf.CIQ(AP$6,"IQ_TEV",$AI168,$I$2,$I$3))),"",_xll.ciqfunctions.udf.CIQ(AP$6,"IQ_TEV",$AI168,$I$2,$I$3)))</f>
        <v/>
      </c>
      <c r="AQ168" s="718" t="str">
        <f>IF(OR($B168="No",AQ$6=""),"",IF(NOT(ISNUMBER(_xll.ciqfunctions.udf.CIQ(AQ$6,"IQ_TEV",$AI168,$I$2,$I$3))),"",_xll.ciqfunctions.udf.CIQ(AQ$6,"IQ_TEV",$AI168,$I$2,$I$3)))</f>
        <v/>
      </c>
      <c r="AR168" s="718" t="str">
        <f>IF(OR($B168="No",AR$6=""),"",IF(NOT(ISNUMBER(_xll.ciqfunctions.udf.CIQ(AR$6,"IQ_TEV",$AI168,$I$2,$I$3))),"",_xll.ciqfunctions.udf.CIQ(AR$6,"IQ_TEV",$AI168,$I$2,$I$3)))</f>
        <v/>
      </c>
      <c r="AS168" s="718" t="str">
        <f>IF(OR($B168="No",AS$6=""),"",IF(NOT(ISNUMBER(_xll.ciqfunctions.udf.CIQ(AS$6,"IQ_TEV",$AI168,$I$2,$I$3))),"",_xll.ciqfunctions.udf.CIQ(AS$6,"IQ_TEV",$AI168,$I$2,$I$3)))</f>
        <v/>
      </c>
      <c r="AT168" s="718" t="str">
        <f>IF(OR($B168="No",AT$6=""),"",IF(NOT(ISNUMBER(_xll.ciqfunctions.udf.CIQ(AT$6,"IQ_TEV",$AI168,$I$2,$I$3))),"",_xll.ciqfunctions.udf.CIQ(AT$6,"IQ_TEV",$AI168,$I$2,$I$3)))</f>
        <v/>
      </c>
      <c r="AV168" s="251">
        <f t="shared" si="99"/>
        <v>43952</v>
      </c>
      <c r="AW168" s="719">
        <f t="shared" si="100"/>
        <v>0.60449696966580935</v>
      </c>
      <c r="AX168" s="719">
        <f t="shared" si="101"/>
        <v>0.83280258404208052</v>
      </c>
      <c r="AY168" s="719" t="e">
        <f t="shared" si="102"/>
        <v>#N/A</v>
      </c>
      <c r="AZ168" s="719" t="e">
        <f t="shared" si="103"/>
        <v>#N/A</v>
      </c>
      <c r="BA168" s="719" t="e">
        <f t="shared" si="104"/>
        <v>#N/A</v>
      </c>
      <c r="BB168" s="719" t="e">
        <f t="shared" si="105"/>
        <v>#N/A</v>
      </c>
      <c r="BC168" s="719" t="e">
        <f t="shared" si="106"/>
        <v>#N/A</v>
      </c>
      <c r="BD168" s="719" t="e">
        <f t="shared" si="107"/>
        <v>#N/A</v>
      </c>
      <c r="BE168" s="719" t="e">
        <f t="shared" si="108"/>
        <v>#N/A</v>
      </c>
      <c r="BF168" s="719" t="e">
        <f t="shared" si="109"/>
        <v>#N/A</v>
      </c>
      <c r="BG168" s="719" t="e">
        <f t="shared" si="110"/>
        <v>#N/A</v>
      </c>
    </row>
    <row r="169" spans="1:59" ht="15" customHeight="1" x14ac:dyDescent="0.2">
      <c r="A169" s="251">
        <f t="shared" si="93"/>
        <v>43959</v>
      </c>
      <c r="B169" s="253" t="str">
        <f t="shared" si="111"/>
        <v>Yes</v>
      </c>
      <c r="C169" s="1033">
        <f>IF(C$6="","",IF(NOT(ISNUMBER(_xll.ciqfunctions.udf.CIQ(C$6,$F$2, $A169, $I$2, $I$3))),IF(C168=C$6,"",C168),_xll.ciqfunctions.udf.CIQ(C$6,$F$2, $A169, $I$2, $I$3)))</f>
        <v>122.94</v>
      </c>
      <c r="D169" s="1033">
        <f>IF(D$6="","",IF(NOT(ISNUMBER(_xll.ciqfunctions.udf.CIQ(D$6,$F$2, $A169, $I$2, $I$3))),IF(D168=D$6,"",D168),_xll.ciqfunctions.udf.CIQ(D$6,$F$2, $A169, $I$2, $I$3)))</f>
        <v>24331.315030000002</v>
      </c>
      <c r="E169" s="1033">
        <f>IF(E$6="","",IF(NOT(ISNUMBER(_xll.ciqfunctions.udf.CIQ(E$6,$F$2, $A169, $I$2, $I$3))),IF(E168=E$6,"",E168),_xll.ciqfunctions.udf.CIQ(E$6,$F$2, $A169, $I$2, $I$3)))</f>
        <v>7824.0688</v>
      </c>
      <c r="F169" s="1033">
        <f>IF(F$6="","",IF(NOT(ISNUMBER(_xll.ciqfunctions.udf.CIQ(F$6,$F$2, $A169, $I$2, $I$3))),IF(F168=F$6,"",F168),_xll.ciqfunctions.udf.CIQ(F$6,$F$2, $A169, $I$2, $I$3)))</f>
        <v>3943.7458200000001</v>
      </c>
      <c r="G169" s="1033">
        <f>IF(G$6="","",IF(NOT(ISNUMBER(_xll.ciqfunctions.udf.CIQ(G$6,$F$2, $A169, $I$2, $I$3))),IF(G168=G$6,"",G168),_xll.ciqfunctions.udf.CIQ(G$6,$F$2, $A169, $I$2, $I$3)))</f>
        <v>305.94</v>
      </c>
      <c r="H169" s="1033" t="str">
        <f>IF(H$6="","",IF(NOT(ISNUMBER(_xll.ciqfunctions.udf.CIQ(H$6,$F$2, $A169, $I$2, $I$3))),IF(H168=H$6,"",H168),_xll.ciqfunctions.udf.CIQ(H$6,$F$2, $A169, $I$2, $I$3)))</f>
        <v/>
      </c>
      <c r="I169" s="1033" t="str">
        <f>IF(I$6="","",IF(NOT(ISNUMBER(_xll.ciqfunctions.udf.CIQ(I$6,$F$2, $A169, $I$2, $I$3))),IF(I168=I$6,"",I168),_xll.ciqfunctions.udf.CIQ(I$6,$F$2, $A169, $I$2, $I$3)))</f>
        <v/>
      </c>
      <c r="J169" s="1033" t="str">
        <f>IF(J$6="","",IF(NOT(ISNUMBER(_xll.ciqfunctions.udf.CIQ(J$6,$F$2, $A169, $I$2, $I$3))),IF(J168=J$6,"",J168),_xll.ciqfunctions.udf.CIQ(J$6,$F$2, $A169, $I$2, $I$3)))</f>
        <v/>
      </c>
      <c r="K169" s="1033" t="str">
        <f>IF(K$6="","",IF(NOT(ISNUMBER(_xll.ciqfunctions.udf.CIQ(K$6,$F$2, $A169, $I$2, $I$3))),IF(K168=K$6,"",K168),_xll.ciqfunctions.udf.CIQ(K$6,$F$2, $A169, $I$2, $I$3)))</f>
        <v/>
      </c>
      <c r="L169" s="254" t="str">
        <f>IF(L$6="","",IF(NOT(ISNUMBER(_xll.ciqfunctions.udf.CIQ(L$6,$F$2, $A169, $I$2, $I$3))),IF(L168=L$6,"",L168),_xll.ciqfunctions.udf.CIQ(L$6,$F$2, $A169, $I$2, $I$3)))</f>
        <v/>
      </c>
      <c r="M169" s="254" t="str">
        <f>IF(M$6="","",IF(NOT(ISNUMBER(_xll.ciqfunctions.udf.CIQ(M$6,$F$2, $A169, $I$2, $I$3))),IF(M168=M$6,"",M168),_xll.ciqfunctions.udf.CIQ(M$6,$F$2, $A169, $I$2, $I$3)))</f>
        <v/>
      </c>
      <c r="N169" s="254" t="str">
        <f>IF(N$6="","",IF(NOT(ISNUMBER(_xll.ciqfunctions.udf.CIQ(N$6,$F$2, $A169, $I$2, $I$3))),IF(N168=N$6,"",N168),_xll.ciqfunctions.udf.CIQ(N$6,$F$2, $A169, $I$2, $I$3)))</f>
        <v/>
      </c>
      <c r="O169" s="254" t="str">
        <f>IF(O$6="","",IF(NOT(ISNUMBER(_xll.ciqfunctions.udf.CIQ(O$6,$F$2, $A169, $I$2, $I$3))),IF(O168=O$6,"",O168),_xll.ciqfunctions.udf.CIQ(O$6,$F$2, $A169, $I$2, $I$3)))</f>
        <v/>
      </c>
      <c r="P169" s="254" t="str">
        <f>IF(P$6="","",IF(NOT(ISNUMBER(_xll.ciqfunctions.udf.CIQ(P$6,$F$2, $A169, $I$2, $I$3))),IF(P168=P$6,"",P168),_xll.ciqfunctions.udf.CIQ(P$6,$F$2, $A169, $I$2, $I$3)))</f>
        <v/>
      </c>
      <c r="Q169" s="254"/>
      <c r="R169" s="251">
        <f t="shared" si="94"/>
        <v>43959</v>
      </c>
      <c r="S169" s="255">
        <f t="shared" si="96"/>
        <v>0.70560488346281902</v>
      </c>
      <c r="T169" s="255">
        <f t="shared" si="97"/>
        <v>0.17751801422193192</v>
      </c>
      <c r="U169" s="255">
        <f t="shared" si="98"/>
        <v>9.33852019308683E-2</v>
      </c>
      <c r="V169" s="255">
        <f t="shared" si="112"/>
        <v>-0.10159823195711482</v>
      </c>
      <c r="W169" s="255">
        <f t="array" ref="W169">IFERROR(AVERAGE(IF(ISERROR(X169:AG169),"",X169:AG169)),"")</f>
        <v>0.82443795098097672</v>
      </c>
      <c r="X169" s="255">
        <f t="shared" si="113"/>
        <v>0.82443795098097672</v>
      </c>
      <c r="Y169" s="255" t="e">
        <f t="shared" si="114"/>
        <v>#N/A</v>
      </c>
      <c r="Z169" s="255" t="e">
        <f t="shared" si="115"/>
        <v>#N/A</v>
      </c>
      <c r="AA169" s="255" t="e">
        <f t="shared" si="116"/>
        <v>#N/A</v>
      </c>
      <c r="AB169" s="255" t="e">
        <f t="shared" si="117"/>
        <v>#N/A</v>
      </c>
      <c r="AC169" s="255" t="e">
        <f t="shared" si="118"/>
        <v>#N/A</v>
      </c>
      <c r="AD169" s="255" t="e">
        <f t="shared" si="119"/>
        <v>#N/A</v>
      </c>
      <c r="AE169" s="255" t="e">
        <f t="shared" si="120"/>
        <v>#N/A</v>
      </c>
      <c r="AF169" s="255" t="e">
        <f t="shared" si="121"/>
        <v>#N/A</v>
      </c>
      <c r="AG169" s="255" t="e">
        <f t="shared" si="122"/>
        <v>#N/A</v>
      </c>
      <c r="AI169" s="251">
        <f t="shared" si="95"/>
        <v>43959</v>
      </c>
      <c r="AJ169" s="718">
        <f>IF(OR($B169="No",AJ$6=""),"",IF(NOT(ISNUMBER(_xll.ciqfunctions.udf.CIQ(AJ$6,"IQ_TEV",$AI169,$I$2,$I$3))),"",_xll.ciqfunctions.udf.CIQ(AJ$6,"IQ_TEV",$AI169,$I$2,$I$3)))</f>
        <v>418922.31183000002</v>
      </c>
      <c r="AK169" s="718">
        <f>IF(OR($B169="No",AK$6=""),"",IF(NOT(ISNUMBER(_xll.ciqfunctions.udf.CIQ(AK$6,"IQ_TEV",$AI169,$I$2,$I$3))),"",_xll.ciqfunctions.udf.CIQ(AK$6,"IQ_TEV",$AI169,$I$2,$I$3)))</f>
        <v>135541.97051000001</v>
      </c>
      <c r="AL169" s="718" t="str">
        <f>IF(OR($B169="No",AL$6=""),"",IF(NOT(ISNUMBER(_xll.ciqfunctions.udf.CIQ(AL$6,"IQ_TEV",$AI169,$I$2,$I$3))),"",_xll.ciqfunctions.udf.CIQ(AL$6,"IQ_TEV",$AI169,$I$2,$I$3)))</f>
        <v/>
      </c>
      <c r="AM169" s="718" t="str">
        <f>IF(OR($B169="No",AM$6=""),"",IF(NOT(ISNUMBER(_xll.ciqfunctions.udf.CIQ(AM$6,"IQ_TEV",$AI169,$I$2,$I$3))),"",_xll.ciqfunctions.udf.CIQ(AM$6,"IQ_TEV",$AI169,$I$2,$I$3)))</f>
        <v/>
      </c>
      <c r="AN169" s="718" t="str">
        <f>IF(OR($B169="No",AN$6=""),"",IF(NOT(ISNUMBER(_xll.ciqfunctions.udf.CIQ(AN$6,"IQ_TEV",$AI169,$I$2,$I$3))),"",_xll.ciqfunctions.udf.CIQ(AN$6,"IQ_TEV",$AI169,$I$2,$I$3)))</f>
        <v/>
      </c>
      <c r="AO169" s="718" t="str">
        <f>IF(OR($B169="No",AO$6=""),"",IF(NOT(ISNUMBER(_xll.ciqfunctions.udf.CIQ(AO$6,"IQ_TEV",$AI169,$I$2,$I$3))),"",_xll.ciqfunctions.udf.CIQ(AO$6,"IQ_TEV",$AI169,$I$2,$I$3)))</f>
        <v/>
      </c>
      <c r="AP169" s="718" t="str">
        <f>IF(OR($B169="No",AP$6=""),"",IF(NOT(ISNUMBER(_xll.ciqfunctions.udf.CIQ(AP$6,"IQ_TEV",$AI169,$I$2,$I$3))),"",_xll.ciqfunctions.udf.CIQ(AP$6,"IQ_TEV",$AI169,$I$2,$I$3)))</f>
        <v/>
      </c>
      <c r="AQ169" s="718" t="str">
        <f>IF(OR($B169="No",AQ$6=""),"",IF(NOT(ISNUMBER(_xll.ciqfunctions.udf.CIQ(AQ$6,"IQ_TEV",$AI169,$I$2,$I$3))),"",_xll.ciqfunctions.udf.CIQ(AQ$6,"IQ_TEV",$AI169,$I$2,$I$3)))</f>
        <v/>
      </c>
      <c r="AR169" s="718" t="str">
        <f>IF(OR($B169="No",AR$6=""),"",IF(NOT(ISNUMBER(_xll.ciqfunctions.udf.CIQ(AR$6,"IQ_TEV",$AI169,$I$2,$I$3))),"",_xll.ciqfunctions.udf.CIQ(AR$6,"IQ_TEV",$AI169,$I$2,$I$3)))</f>
        <v/>
      </c>
      <c r="AS169" s="718" t="str">
        <f>IF(OR($B169="No",AS$6=""),"",IF(NOT(ISNUMBER(_xll.ciqfunctions.udf.CIQ(AS$6,"IQ_TEV",$AI169,$I$2,$I$3))),"",_xll.ciqfunctions.udf.CIQ(AS$6,"IQ_TEV",$AI169,$I$2,$I$3)))</f>
        <v/>
      </c>
      <c r="AT169" s="718" t="str">
        <f>IF(OR($B169="No",AT$6=""),"",IF(NOT(ISNUMBER(_xll.ciqfunctions.udf.CIQ(AT$6,"IQ_TEV",$AI169,$I$2,$I$3))),"",_xll.ciqfunctions.udf.CIQ(AT$6,"IQ_TEV",$AI169,$I$2,$I$3)))</f>
        <v/>
      </c>
      <c r="AV169" s="251">
        <f t="shared" si="99"/>
        <v>43959</v>
      </c>
      <c r="AW169" s="719">
        <f t="shared" si="100"/>
        <v>0.60471406392524418</v>
      </c>
      <c r="AX169" s="719">
        <f t="shared" si="101"/>
        <v>0.85712477466179227</v>
      </c>
      <c r="AY169" s="719" t="e">
        <f t="shared" si="102"/>
        <v>#N/A</v>
      </c>
      <c r="AZ169" s="719" t="e">
        <f t="shared" si="103"/>
        <v>#N/A</v>
      </c>
      <c r="BA169" s="719" t="e">
        <f t="shared" si="104"/>
        <v>#N/A</v>
      </c>
      <c r="BB169" s="719" t="e">
        <f t="shared" si="105"/>
        <v>#N/A</v>
      </c>
      <c r="BC169" s="719" t="e">
        <f t="shared" si="106"/>
        <v>#N/A</v>
      </c>
      <c r="BD169" s="719" t="e">
        <f t="shared" si="107"/>
        <v>#N/A</v>
      </c>
      <c r="BE169" s="719" t="e">
        <f t="shared" si="108"/>
        <v>#N/A</v>
      </c>
      <c r="BF169" s="719" t="e">
        <f t="shared" si="109"/>
        <v>#N/A</v>
      </c>
      <c r="BG169" s="719" t="e">
        <f t="shared" si="110"/>
        <v>#N/A</v>
      </c>
    </row>
    <row r="170" spans="1:59" ht="15" customHeight="1" x14ac:dyDescent="0.2">
      <c r="A170" s="251">
        <f t="shared" si="93"/>
        <v>43966</v>
      </c>
      <c r="B170" s="253" t="str">
        <f t="shared" si="111"/>
        <v>Yes</v>
      </c>
      <c r="C170" s="1033">
        <f>IF(C$6="","",IF(NOT(ISNUMBER(_xll.ciqfunctions.udf.CIQ(C$6,$F$2, $A170, $I$2, $I$3))),IF(C169=C$6,"",C169),_xll.ciqfunctions.udf.CIQ(C$6,$F$2, $A170, $I$2, $I$3)))</f>
        <v>125.94</v>
      </c>
      <c r="D170" s="1033">
        <f>IF(D$6="","",IF(NOT(ISNUMBER(_xll.ciqfunctions.udf.CIQ(D$6,$F$2, $A170, $I$2, $I$3))),IF(D169=D$6,"",D169),_xll.ciqfunctions.udf.CIQ(D$6,$F$2, $A170, $I$2, $I$3)))</f>
        <v>23685.42193</v>
      </c>
      <c r="E170" s="1033">
        <f>IF(E$6="","",IF(NOT(ISNUMBER(_xll.ciqfunctions.udf.CIQ(E$6,$F$2, $A170, $I$2, $I$3))),IF(E169=E$6,"",E169),_xll.ciqfunctions.udf.CIQ(E$6,$F$2, $A170, $I$2, $I$3)))</f>
        <v>7542.6580100000001</v>
      </c>
      <c r="F170" s="1033">
        <f>IF(F$6="","",IF(NOT(ISNUMBER(_xll.ciqfunctions.udf.CIQ(F$6,$F$2, $A170, $I$2, $I$3))),IF(F169=F$6,"",F169),_xll.ciqfunctions.udf.CIQ(F$6,$F$2, $A170, $I$2, $I$3)))</f>
        <v>3829.5450700000001</v>
      </c>
      <c r="G170" s="1033">
        <f>IF(G$6="","",IF(NOT(ISNUMBER(_xll.ciqfunctions.udf.CIQ(G$6,$F$2, $A170, $I$2, $I$3))),IF(G169=G$6,"",G169),_xll.ciqfunctions.udf.CIQ(G$6,$F$2, $A170, $I$2, $I$3)))</f>
        <v>299.20999999999998</v>
      </c>
      <c r="H170" s="1033" t="str">
        <f>IF(H$6="","",IF(NOT(ISNUMBER(_xll.ciqfunctions.udf.CIQ(H$6,$F$2, $A170, $I$2, $I$3))),IF(H169=H$6,"",H169),_xll.ciqfunctions.udf.CIQ(H$6,$F$2, $A170, $I$2, $I$3)))</f>
        <v/>
      </c>
      <c r="I170" s="1033" t="str">
        <f>IF(I$6="","",IF(NOT(ISNUMBER(_xll.ciqfunctions.udf.CIQ(I$6,$F$2, $A170, $I$2, $I$3))),IF(I169=I$6,"",I169),_xll.ciqfunctions.udf.CIQ(I$6,$F$2, $A170, $I$2, $I$3)))</f>
        <v/>
      </c>
      <c r="J170" s="1033" t="str">
        <f>IF(J$6="","",IF(NOT(ISNUMBER(_xll.ciqfunctions.udf.CIQ(J$6,$F$2, $A170, $I$2, $I$3))),IF(J169=J$6,"",J169),_xll.ciqfunctions.udf.CIQ(J$6,$F$2, $A170, $I$2, $I$3)))</f>
        <v/>
      </c>
      <c r="K170" s="1033" t="str">
        <f>IF(K$6="","",IF(NOT(ISNUMBER(_xll.ciqfunctions.udf.CIQ(K$6,$F$2, $A170, $I$2, $I$3))),IF(K169=K$6,"",K169),_xll.ciqfunctions.udf.CIQ(K$6,$F$2, $A170, $I$2, $I$3)))</f>
        <v/>
      </c>
      <c r="L170" s="254" t="str">
        <f>IF(L$6="","",IF(NOT(ISNUMBER(_xll.ciqfunctions.udf.CIQ(L$6,$F$2, $A170, $I$2, $I$3))),IF(L169=L$6,"",L169),_xll.ciqfunctions.udf.CIQ(L$6,$F$2, $A170, $I$2, $I$3)))</f>
        <v/>
      </c>
      <c r="M170" s="254" t="str">
        <f>IF(M$6="","",IF(NOT(ISNUMBER(_xll.ciqfunctions.udf.CIQ(M$6,$F$2, $A170, $I$2, $I$3))),IF(M169=M$6,"",M169),_xll.ciqfunctions.udf.CIQ(M$6,$F$2, $A170, $I$2, $I$3)))</f>
        <v/>
      </c>
      <c r="N170" s="254" t="str">
        <f>IF(N$6="","",IF(NOT(ISNUMBER(_xll.ciqfunctions.udf.CIQ(N$6,$F$2, $A170, $I$2, $I$3))),IF(N169=N$6,"",N169),_xll.ciqfunctions.udf.CIQ(N$6,$F$2, $A170, $I$2, $I$3)))</f>
        <v/>
      </c>
      <c r="O170" s="254" t="str">
        <f>IF(O$6="","",IF(NOT(ISNUMBER(_xll.ciqfunctions.udf.CIQ(O$6,$F$2, $A170, $I$2, $I$3))),IF(O169=O$6,"",O169),_xll.ciqfunctions.udf.CIQ(O$6,$F$2, $A170, $I$2, $I$3)))</f>
        <v/>
      </c>
      <c r="P170" s="254" t="str">
        <f>IF(P$6="","",IF(NOT(ISNUMBER(_xll.ciqfunctions.udf.CIQ(P$6,$F$2, $A170, $I$2, $I$3))),IF(P169=P$6,"",P169),_xll.ciqfunctions.udf.CIQ(P$6,$F$2, $A170, $I$2, $I$3)))</f>
        <v/>
      </c>
      <c r="Q170" s="254"/>
      <c r="R170" s="251">
        <f t="shared" si="94"/>
        <v>43966</v>
      </c>
      <c r="S170" s="255">
        <f t="shared" si="96"/>
        <v>0.74722530521642616</v>
      </c>
      <c r="T170" s="255">
        <f t="shared" si="97"/>
        <v>0.14625991084470358</v>
      </c>
      <c r="U170" s="255">
        <f t="shared" si="98"/>
        <v>5.4059065963138142E-2</v>
      </c>
      <c r="V170" s="255">
        <f t="shared" si="112"/>
        <v>-0.1276136397431632</v>
      </c>
      <c r="W170" s="255">
        <f t="array" ref="W170">IFERROR(AVERAGE(IF(ISERROR(X170:AG170),"",X170:AG170)),"")</f>
        <v>0.78430437116107088</v>
      </c>
      <c r="X170" s="255">
        <f t="shared" si="113"/>
        <v>0.78430437116107088</v>
      </c>
      <c r="Y170" s="255" t="e">
        <f t="shared" si="114"/>
        <v>#N/A</v>
      </c>
      <c r="Z170" s="255" t="e">
        <f t="shared" si="115"/>
        <v>#N/A</v>
      </c>
      <c r="AA170" s="255" t="e">
        <f t="shared" si="116"/>
        <v>#N/A</v>
      </c>
      <c r="AB170" s="255" t="e">
        <f t="shared" si="117"/>
        <v>#N/A</v>
      </c>
      <c r="AC170" s="255" t="e">
        <f t="shared" si="118"/>
        <v>#N/A</v>
      </c>
      <c r="AD170" s="255" t="e">
        <f t="shared" si="119"/>
        <v>#N/A</v>
      </c>
      <c r="AE170" s="255" t="e">
        <f t="shared" si="120"/>
        <v>#N/A</v>
      </c>
      <c r="AF170" s="255" t="e">
        <f t="shared" si="121"/>
        <v>#N/A</v>
      </c>
      <c r="AG170" s="255" t="e">
        <f t="shared" si="122"/>
        <v>#N/A</v>
      </c>
      <c r="AI170" s="251">
        <f t="shared" si="95"/>
        <v>43966</v>
      </c>
      <c r="AJ170" s="718">
        <f>IF(OR($B170="No",AJ$6=""),"",IF(NOT(ISNUMBER(_xll.ciqfunctions.udf.CIQ(AJ$6,"IQ_TEV",$AI170,$I$2,$I$3))),"",_xll.ciqfunctions.udf.CIQ(AJ$6,"IQ_TEV",$AI170,$I$2,$I$3)))</f>
        <v>427423.41753999999</v>
      </c>
      <c r="AK170" s="718">
        <f>IF(OR($B170="No",AK$6=""),"",IF(NOT(ISNUMBER(_xll.ciqfunctions.udf.CIQ(AK$6,"IQ_TEV",$AI170,$I$2,$I$3))),"",_xll.ciqfunctions.udf.CIQ(AK$6,"IQ_TEV",$AI170,$I$2,$I$3)))</f>
        <v>132570.13743999999</v>
      </c>
      <c r="AL170" s="718" t="str">
        <f>IF(OR($B170="No",AL$6=""),"",IF(NOT(ISNUMBER(_xll.ciqfunctions.udf.CIQ(AL$6,"IQ_TEV",$AI170,$I$2,$I$3))),"",_xll.ciqfunctions.udf.CIQ(AL$6,"IQ_TEV",$AI170,$I$2,$I$3)))</f>
        <v/>
      </c>
      <c r="AM170" s="718" t="str">
        <f>IF(OR($B170="No",AM$6=""),"",IF(NOT(ISNUMBER(_xll.ciqfunctions.udf.CIQ(AM$6,"IQ_TEV",$AI170,$I$2,$I$3))),"",_xll.ciqfunctions.udf.CIQ(AM$6,"IQ_TEV",$AI170,$I$2,$I$3)))</f>
        <v/>
      </c>
      <c r="AN170" s="718" t="str">
        <f>IF(OR($B170="No",AN$6=""),"",IF(NOT(ISNUMBER(_xll.ciqfunctions.udf.CIQ(AN$6,"IQ_TEV",$AI170,$I$2,$I$3))),"",_xll.ciqfunctions.udf.CIQ(AN$6,"IQ_TEV",$AI170,$I$2,$I$3)))</f>
        <v/>
      </c>
      <c r="AO170" s="718" t="str">
        <f>IF(OR($B170="No",AO$6=""),"",IF(NOT(ISNUMBER(_xll.ciqfunctions.udf.CIQ(AO$6,"IQ_TEV",$AI170,$I$2,$I$3))),"",_xll.ciqfunctions.udf.CIQ(AO$6,"IQ_TEV",$AI170,$I$2,$I$3)))</f>
        <v/>
      </c>
      <c r="AP170" s="718" t="str">
        <f>IF(OR($B170="No",AP$6=""),"",IF(NOT(ISNUMBER(_xll.ciqfunctions.udf.CIQ(AP$6,"IQ_TEV",$AI170,$I$2,$I$3))),"",_xll.ciqfunctions.udf.CIQ(AP$6,"IQ_TEV",$AI170,$I$2,$I$3)))</f>
        <v/>
      </c>
      <c r="AQ170" s="718" t="str">
        <f>IF(OR($B170="No",AQ$6=""),"",IF(NOT(ISNUMBER(_xll.ciqfunctions.udf.CIQ(AQ$6,"IQ_TEV",$AI170,$I$2,$I$3))),"",_xll.ciqfunctions.udf.CIQ(AQ$6,"IQ_TEV",$AI170,$I$2,$I$3)))</f>
        <v/>
      </c>
      <c r="AR170" s="718" t="str">
        <f>IF(OR($B170="No",AR$6=""),"",IF(NOT(ISNUMBER(_xll.ciqfunctions.udf.CIQ(AR$6,"IQ_TEV",$AI170,$I$2,$I$3))),"",_xll.ciqfunctions.udf.CIQ(AR$6,"IQ_TEV",$AI170,$I$2,$I$3)))</f>
        <v/>
      </c>
      <c r="AS170" s="718" t="str">
        <f>IF(OR($B170="No",AS$6=""),"",IF(NOT(ISNUMBER(_xll.ciqfunctions.udf.CIQ(AS$6,"IQ_TEV",$AI170,$I$2,$I$3))),"",_xll.ciqfunctions.udf.CIQ(AS$6,"IQ_TEV",$AI170,$I$2,$I$3)))</f>
        <v/>
      </c>
      <c r="AT170" s="718" t="str">
        <f>IF(OR($B170="No",AT$6=""),"",IF(NOT(ISNUMBER(_xll.ciqfunctions.udf.CIQ(AT$6,"IQ_TEV",$AI170,$I$2,$I$3))),"",_xll.ciqfunctions.udf.CIQ(AT$6,"IQ_TEV",$AI170,$I$2,$I$3)))</f>
        <v/>
      </c>
      <c r="AV170" s="251">
        <f t="shared" si="99"/>
        <v>43966</v>
      </c>
      <c r="AW170" s="719">
        <f t="shared" si="100"/>
        <v>0.6372782017296017</v>
      </c>
      <c r="AX170" s="719">
        <f t="shared" si="101"/>
        <v>0.8164062813442623</v>
      </c>
      <c r="AY170" s="719" t="e">
        <f t="shared" si="102"/>
        <v>#N/A</v>
      </c>
      <c r="AZ170" s="719" t="e">
        <f t="shared" si="103"/>
        <v>#N/A</v>
      </c>
      <c r="BA170" s="719" t="e">
        <f t="shared" si="104"/>
        <v>#N/A</v>
      </c>
      <c r="BB170" s="719" t="e">
        <f t="shared" si="105"/>
        <v>#N/A</v>
      </c>
      <c r="BC170" s="719" t="e">
        <f t="shared" si="106"/>
        <v>#N/A</v>
      </c>
      <c r="BD170" s="719" t="e">
        <f t="shared" si="107"/>
        <v>#N/A</v>
      </c>
      <c r="BE170" s="719" t="e">
        <f t="shared" si="108"/>
        <v>#N/A</v>
      </c>
      <c r="BF170" s="719" t="e">
        <f t="shared" si="109"/>
        <v>#N/A</v>
      </c>
      <c r="BG170" s="719" t="e">
        <f t="shared" si="110"/>
        <v>#N/A</v>
      </c>
    </row>
    <row r="171" spans="1:59" ht="15" customHeight="1" x14ac:dyDescent="0.2">
      <c r="A171" s="251">
        <f t="shared" si="93"/>
        <v>43973</v>
      </c>
      <c r="B171" s="253" t="str">
        <f t="shared" si="111"/>
        <v>Yes</v>
      </c>
      <c r="C171" s="1033">
        <f>IF(C$6="","",IF(NOT(ISNUMBER(_xll.ciqfunctions.udf.CIQ(C$6,$F$2, $A171, $I$2, $I$3))),IF(C170=C$6,"",C170),_xll.ciqfunctions.udf.CIQ(C$6,$F$2, $A171, $I$2, $I$3)))</f>
        <v>124.33</v>
      </c>
      <c r="D171" s="1033">
        <f>IF(D$6="","",IF(NOT(ISNUMBER(_xll.ciqfunctions.udf.CIQ(D$6,$F$2, $A171, $I$2, $I$3))),IF(D170=D$6,"",D170),_xll.ciqfunctions.udf.CIQ(D$6,$F$2, $A171, $I$2, $I$3)))</f>
        <v>24465.164489999999</v>
      </c>
      <c r="E171" s="1033">
        <f>IF(E$6="","",IF(NOT(ISNUMBER(_xll.ciqfunctions.udf.CIQ(E$6,$F$2, $A171, $I$2, $I$3))),IF(E170=E$6,"",E170),_xll.ciqfunctions.udf.CIQ(E$6,$F$2, $A171, $I$2, $I$3)))</f>
        <v>7878.6406999999999</v>
      </c>
      <c r="F171" s="1033">
        <f>IF(F$6="","",IF(NOT(ISNUMBER(_xll.ciqfunctions.udf.CIQ(F$6,$F$2, $A171, $I$2, $I$3))),IF(F170=F$6,"",F170),_xll.ciqfunctions.udf.CIQ(F$6,$F$2, $A171, $I$2, $I$3)))</f>
        <v>4058.2664599999998</v>
      </c>
      <c r="G171" s="1033">
        <f>IF(G$6="","",IF(NOT(ISNUMBER(_xll.ciqfunctions.udf.CIQ(G$6,$F$2, $A171, $I$2, $I$3))),IF(G170=G$6,"",G170),_xll.ciqfunctions.udf.CIQ(G$6,$F$2, $A171, $I$2, $I$3)))</f>
        <v>302.43</v>
      </c>
      <c r="H171" s="1033" t="str">
        <f>IF(H$6="","",IF(NOT(ISNUMBER(_xll.ciqfunctions.udf.CIQ(H$6,$F$2, $A171, $I$2, $I$3))),IF(H170=H$6,"",H170),_xll.ciqfunctions.udf.CIQ(H$6,$F$2, $A171, $I$2, $I$3)))</f>
        <v/>
      </c>
      <c r="I171" s="1033" t="str">
        <f>IF(I$6="","",IF(NOT(ISNUMBER(_xll.ciqfunctions.udf.CIQ(I$6,$F$2, $A171, $I$2, $I$3))),IF(I170=I$6,"",I170),_xll.ciqfunctions.udf.CIQ(I$6,$F$2, $A171, $I$2, $I$3)))</f>
        <v/>
      </c>
      <c r="J171" s="1033" t="str">
        <f>IF(J$6="","",IF(NOT(ISNUMBER(_xll.ciqfunctions.udf.CIQ(J$6,$F$2, $A171, $I$2, $I$3))),IF(J170=J$6,"",J170),_xll.ciqfunctions.udf.CIQ(J$6,$F$2, $A171, $I$2, $I$3)))</f>
        <v/>
      </c>
      <c r="K171" s="1033" t="str">
        <f>IF(K$6="","",IF(NOT(ISNUMBER(_xll.ciqfunctions.udf.CIQ(K$6,$F$2, $A171, $I$2, $I$3))),IF(K170=K$6,"",K170),_xll.ciqfunctions.udf.CIQ(K$6,$F$2, $A171, $I$2, $I$3)))</f>
        <v/>
      </c>
      <c r="L171" s="254" t="str">
        <f>IF(L$6="","",IF(NOT(ISNUMBER(_xll.ciqfunctions.udf.CIQ(L$6,$F$2, $A171, $I$2, $I$3))),IF(L170=L$6,"",L170),_xll.ciqfunctions.udf.CIQ(L$6,$F$2, $A171, $I$2, $I$3)))</f>
        <v/>
      </c>
      <c r="M171" s="254" t="str">
        <f>IF(M$6="","",IF(NOT(ISNUMBER(_xll.ciqfunctions.udf.CIQ(M$6,$F$2, $A171, $I$2, $I$3))),IF(M170=M$6,"",M170),_xll.ciqfunctions.udf.CIQ(M$6,$F$2, $A171, $I$2, $I$3)))</f>
        <v/>
      </c>
      <c r="N171" s="254" t="str">
        <f>IF(N$6="","",IF(NOT(ISNUMBER(_xll.ciqfunctions.udf.CIQ(N$6,$F$2, $A171, $I$2, $I$3))),IF(N170=N$6,"",N170),_xll.ciqfunctions.udf.CIQ(N$6,$F$2, $A171, $I$2, $I$3)))</f>
        <v/>
      </c>
      <c r="O171" s="254" t="str">
        <f>IF(O$6="","",IF(NOT(ISNUMBER(_xll.ciqfunctions.udf.CIQ(O$6,$F$2, $A171, $I$2, $I$3))),IF(O170=O$6,"",O170),_xll.ciqfunctions.udf.CIQ(O$6,$F$2, $A171, $I$2, $I$3)))</f>
        <v/>
      </c>
      <c r="P171" s="254" t="str">
        <f>IF(P$6="","",IF(NOT(ISNUMBER(_xll.ciqfunctions.udf.CIQ(P$6,$F$2, $A171, $I$2, $I$3))),IF(P170=P$6,"",P170),_xll.ciqfunctions.udf.CIQ(P$6,$F$2, $A171, $I$2, $I$3)))</f>
        <v/>
      </c>
      <c r="Q171" s="254"/>
      <c r="R171" s="251">
        <f t="shared" si="94"/>
        <v>43973</v>
      </c>
      <c r="S171" s="255">
        <f t="shared" si="96"/>
        <v>0.72488901220865709</v>
      </c>
      <c r="T171" s="255">
        <f t="shared" si="97"/>
        <v>0.18399568097153196</v>
      </c>
      <c r="U171" s="255">
        <f t="shared" si="98"/>
        <v>0.10101142677966446</v>
      </c>
      <c r="V171" s="255">
        <f t="shared" si="112"/>
        <v>-7.5509951893111493E-2</v>
      </c>
      <c r="W171" s="255">
        <f t="array" ref="W171">IFERROR(AVERAGE(IF(ISERROR(X171:AG171),"",X171:AG171)),"")</f>
        <v>0.80350647027252675</v>
      </c>
      <c r="X171" s="255">
        <f t="shared" si="113"/>
        <v>0.80350647027252675</v>
      </c>
      <c r="Y171" s="255" t="e">
        <f t="shared" si="114"/>
        <v>#N/A</v>
      </c>
      <c r="Z171" s="255" t="e">
        <f t="shared" si="115"/>
        <v>#N/A</v>
      </c>
      <c r="AA171" s="255" t="e">
        <f t="shared" si="116"/>
        <v>#N/A</v>
      </c>
      <c r="AB171" s="255" t="e">
        <f t="shared" si="117"/>
        <v>#N/A</v>
      </c>
      <c r="AC171" s="255" t="e">
        <f t="shared" si="118"/>
        <v>#N/A</v>
      </c>
      <c r="AD171" s="255" t="e">
        <f t="shared" si="119"/>
        <v>#N/A</v>
      </c>
      <c r="AE171" s="255" t="e">
        <f t="shared" si="120"/>
        <v>#N/A</v>
      </c>
      <c r="AF171" s="255" t="e">
        <f t="shared" si="121"/>
        <v>#N/A</v>
      </c>
      <c r="AG171" s="255" t="e">
        <f t="shared" si="122"/>
        <v>#N/A</v>
      </c>
      <c r="AI171" s="251">
        <f t="shared" si="95"/>
        <v>43973</v>
      </c>
      <c r="AJ171" s="718">
        <f>IF(OR($B171="No",AJ$6=""),"",IF(NOT(ISNUMBER(_xll.ciqfunctions.udf.CIQ(AJ$6,"IQ_TEV",$AI171,$I$2,$I$3))),"",_xll.ciqfunctions.udf.CIQ(AJ$6,"IQ_TEV",$AI171,$I$2,$I$3)))</f>
        <v>418686.15747999999</v>
      </c>
      <c r="AK171" s="718">
        <f>IF(OR($B171="No",AK$6=""),"",IF(NOT(ISNUMBER(_xll.ciqfunctions.udf.CIQ(AK$6,"IQ_TEV",$AI171,$I$2,$I$3))),"",_xll.ciqfunctions.udf.CIQ(AK$6,"IQ_TEV",$AI171,$I$2,$I$3)))</f>
        <v>133992.02488000001</v>
      </c>
      <c r="AL171" s="718" t="str">
        <f>IF(OR($B171="No",AL$6=""),"",IF(NOT(ISNUMBER(_xll.ciqfunctions.udf.CIQ(AL$6,"IQ_TEV",$AI171,$I$2,$I$3))),"",_xll.ciqfunctions.udf.CIQ(AL$6,"IQ_TEV",$AI171,$I$2,$I$3)))</f>
        <v/>
      </c>
      <c r="AM171" s="718" t="str">
        <f>IF(OR($B171="No",AM$6=""),"",IF(NOT(ISNUMBER(_xll.ciqfunctions.udf.CIQ(AM$6,"IQ_TEV",$AI171,$I$2,$I$3))),"",_xll.ciqfunctions.udf.CIQ(AM$6,"IQ_TEV",$AI171,$I$2,$I$3)))</f>
        <v/>
      </c>
      <c r="AN171" s="718" t="str">
        <f>IF(OR($B171="No",AN$6=""),"",IF(NOT(ISNUMBER(_xll.ciqfunctions.udf.CIQ(AN$6,"IQ_TEV",$AI171,$I$2,$I$3))),"",_xll.ciqfunctions.udf.CIQ(AN$6,"IQ_TEV",$AI171,$I$2,$I$3)))</f>
        <v/>
      </c>
      <c r="AO171" s="718" t="str">
        <f>IF(OR($B171="No",AO$6=""),"",IF(NOT(ISNUMBER(_xll.ciqfunctions.udf.CIQ(AO$6,"IQ_TEV",$AI171,$I$2,$I$3))),"",_xll.ciqfunctions.udf.CIQ(AO$6,"IQ_TEV",$AI171,$I$2,$I$3)))</f>
        <v/>
      </c>
      <c r="AP171" s="718" t="str">
        <f>IF(OR($B171="No",AP$6=""),"",IF(NOT(ISNUMBER(_xll.ciqfunctions.udf.CIQ(AP$6,"IQ_TEV",$AI171,$I$2,$I$3))),"",_xll.ciqfunctions.udf.CIQ(AP$6,"IQ_TEV",$AI171,$I$2,$I$3)))</f>
        <v/>
      </c>
      <c r="AQ171" s="718" t="str">
        <f>IF(OR($B171="No",AQ$6=""),"",IF(NOT(ISNUMBER(_xll.ciqfunctions.udf.CIQ(AQ$6,"IQ_TEV",$AI171,$I$2,$I$3))),"",_xll.ciqfunctions.udf.CIQ(AQ$6,"IQ_TEV",$AI171,$I$2,$I$3)))</f>
        <v/>
      </c>
      <c r="AR171" s="718" t="str">
        <f>IF(OR($B171="No",AR$6=""),"",IF(NOT(ISNUMBER(_xll.ciqfunctions.udf.CIQ(AR$6,"IQ_TEV",$AI171,$I$2,$I$3))),"",_xll.ciqfunctions.udf.CIQ(AR$6,"IQ_TEV",$AI171,$I$2,$I$3)))</f>
        <v/>
      </c>
      <c r="AS171" s="718" t="str">
        <f>IF(OR($B171="No",AS$6=""),"",IF(NOT(ISNUMBER(_xll.ciqfunctions.udf.CIQ(AS$6,"IQ_TEV",$AI171,$I$2,$I$3))),"",_xll.ciqfunctions.udf.CIQ(AS$6,"IQ_TEV",$AI171,$I$2,$I$3)))</f>
        <v/>
      </c>
      <c r="AT171" s="718" t="str">
        <f>IF(OR($B171="No",AT$6=""),"",IF(NOT(ISNUMBER(_xll.ciqfunctions.udf.CIQ(AT$6,"IQ_TEV",$AI171,$I$2,$I$3))),"",_xll.ciqfunctions.udf.CIQ(AT$6,"IQ_TEV",$AI171,$I$2,$I$3)))</f>
        <v/>
      </c>
      <c r="AV171" s="251">
        <f t="shared" si="99"/>
        <v>43973</v>
      </c>
      <c r="AW171" s="719">
        <f t="shared" si="100"/>
        <v>0.60380945656487994</v>
      </c>
      <c r="AX171" s="719">
        <f t="shared" si="101"/>
        <v>0.83588823502745502</v>
      </c>
      <c r="AY171" s="719" t="e">
        <f t="shared" si="102"/>
        <v>#N/A</v>
      </c>
      <c r="AZ171" s="719" t="e">
        <f t="shared" si="103"/>
        <v>#N/A</v>
      </c>
      <c r="BA171" s="719" t="e">
        <f t="shared" si="104"/>
        <v>#N/A</v>
      </c>
      <c r="BB171" s="719" t="e">
        <f t="shared" si="105"/>
        <v>#N/A</v>
      </c>
      <c r="BC171" s="719" t="e">
        <f t="shared" si="106"/>
        <v>#N/A</v>
      </c>
      <c r="BD171" s="719" t="e">
        <f t="shared" si="107"/>
        <v>#N/A</v>
      </c>
      <c r="BE171" s="719" t="e">
        <f t="shared" si="108"/>
        <v>#N/A</v>
      </c>
      <c r="BF171" s="719" t="e">
        <f t="shared" si="109"/>
        <v>#N/A</v>
      </c>
      <c r="BG171" s="719" t="e">
        <f t="shared" si="110"/>
        <v>#N/A</v>
      </c>
    </row>
    <row r="172" spans="1:59" ht="15" customHeight="1" x14ac:dyDescent="0.2">
      <c r="A172" s="251">
        <f t="shared" si="93"/>
        <v>43980</v>
      </c>
      <c r="B172" s="253" t="str">
        <f t="shared" si="111"/>
        <v>Yes</v>
      </c>
      <c r="C172" s="1033">
        <f>IF(C$6="","",IF(NOT(ISNUMBER(_xll.ciqfunctions.udf.CIQ(C$6,$F$2, $A172, $I$2, $I$3))),IF(C171=C$6,"",C171),_xll.ciqfunctions.udf.CIQ(C$6,$F$2, $A172, $I$2, $I$3)))</f>
        <v>124.06</v>
      </c>
      <c r="D172" s="1033">
        <f>IF(D$6="","",IF(NOT(ISNUMBER(_xll.ciqfunctions.udf.CIQ(D$6,$F$2, $A172, $I$2, $I$3))),IF(D171=D$6,"",D171),_xll.ciqfunctions.udf.CIQ(D$6,$F$2, $A172, $I$2, $I$3)))</f>
        <v>25383.111850000001</v>
      </c>
      <c r="E172" s="1033">
        <f>IF(E$6="","",IF(NOT(ISNUMBER(_xll.ciqfunctions.udf.CIQ(E$6,$F$2, $A172, $I$2, $I$3))),IF(E171=E$6,"",E171),_xll.ciqfunctions.udf.CIQ(E$6,$F$2, $A172, $I$2, $I$3)))</f>
        <v>8239.5985099999998</v>
      </c>
      <c r="F172" s="1033">
        <f>IF(F$6="","",IF(NOT(ISNUMBER(_xll.ciqfunctions.udf.CIQ(F$6,$F$2, $A172, $I$2, $I$3))),IF(F171=F$6,"",F171),_xll.ciqfunctions.udf.CIQ(F$6,$F$2, $A172, $I$2, $I$3)))</f>
        <v>4227.2070700000004</v>
      </c>
      <c r="G172" s="1033">
        <f>IF(G$6="","",IF(NOT(ISNUMBER(_xll.ciqfunctions.udf.CIQ(G$6,$F$2, $A172, $I$2, $I$3))),IF(G171=G$6,"",G171),_xll.ciqfunctions.udf.CIQ(G$6,$F$2, $A172, $I$2, $I$3)))</f>
        <v>308.47000000000003</v>
      </c>
      <c r="H172" s="1033" t="str">
        <f>IF(H$6="","",IF(NOT(ISNUMBER(_xll.ciqfunctions.udf.CIQ(H$6,$F$2, $A172, $I$2, $I$3))),IF(H171=H$6,"",H171),_xll.ciqfunctions.udf.CIQ(H$6,$F$2, $A172, $I$2, $I$3)))</f>
        <v/>
      </c>
      <c r="I172" s="1033" t="str">
        <f>IF(I$6="","",IF(NOT(ISNUMBER(_xll.ciqfunctions.udf.CIQ(I$6,$F$2, $A172, $I$2, $I$3))),IF(I171=I$6,"",I171),_xll.ciqfunctions.udf.CIQ(I$6,$F$2, $A172, $I$2, $I$3)))</f>
        <v/>
      </c>
      <c r="J172" s="1033" t="str">
        <f>IF(J$6="","",IF(NOT(ISNUMBER(_xll.ciqfunctions.udf.CIQ(J$6,$F$2, $A172, $I$2, $I$3))),IF(J171=J$6,"",J171),_xll.ciqfunctions.udf.CIQ(J$6,$F$2, $A172, $I$2, $I$3)))</f>
        <v/>
      </c>
      <c r="K172" s="1033" t="str">
        <f>IF(K$6="","",IF(NOT(ISNUMBER(_xll.ciqfunctions.udf.CIQ(K$6,$F$2, $A172, $I$2, $I$3))),IF(K171=K$6,"",K171),_xll.ciqfunctions.udf.CIQ(K$6,$F$2, $A172, $I$2, $I$3)))</f>
        <v/>
      </c>
      <c r="L172" s="254" t="str">
        <f>IF(L$6="","",IF(NOT(ISNUMBER(_xll.ciqfunctions.udf.CIQ(L$6,$F$2, $A172, $I$2, $I$3))),IF(L171=L$6,"",L171),_xll.ciqfunctions.udf.CIQ(L$6,$F$2, $A172, $I$2, $I$3)))</f>
        <v/>
      </c>
      <c r="M172" s="254" t="str">
        <f>IF(M$6="","",IF(NOT(ISNUMBER(_xll.ciqfunctions.udf.CIQ(M$6,$F$2, $A172, $I$2, $I$3))),IF(M171=M$6,"",M171),_xll.ciqfunctions.udf.CIQ(M$6,$F$2, $A172, $I$2, $I$3)))</f>
        <v/>
      </c>
      <c r="N172" s="254" t="str">
        <f>IF(N$6="","",IF(NOT(ISNUMBER(_xll.ciqfunctions.udf.CIQ(N$6,$F$2, $A172, $I$2, $I$3))),IF(N171=N$6,"",N171),_xll.ciqfunctions.udf.CIQ(N$6,$F$2, $A172, $I$2, $I$3)))</f>
        <v/>
      </c>
      <c r="O172" s="254" t="str">
        <f>IF(O$6="","",IF(NOT(ISNUMBER(_xll.ciqfunctions.udf.CIQ(O$6,$F$2, $A172, $I$2, $I$3))),IF(O171=O$6,"",O171),_xll.ciqfunctions.udf.CIQ(O$6,$F$2, $A172, $I$2, $I$3)))</f>
        <v/>
      </c>
      <c r="P172" s="254" t="str">
        <f>IF(P$6="","",IF(NOT(ISNUMBER(_xll.ciqfunctions.udf.CIQ(P$6,$F$2, $A172, $I$2, $I$3))),IF(P171=P$6,"",P171),_xll.ciqfunctions.udf.CIQ(P$6,$F$2, $A172, $I$2, $I$3)))</f>
        <v/>
      </c>
      <c r="Q172" s="254"/>
      <c r="R172" s="251">
        <f t="shared" si="94"/>
        <v>43980</v>
      </c>
      <c r="S172" s="255">
        <f t="shared" si="96"/>
        <v>0.72114317425083252</v>
      </c>
      <c r="T172" s="255">
        <f t="shared" si="97"/>
        <v>0.22841989524744499</v>
      </c>
      <c r="U172" s="255">
        <f t="shared" si="98"/>
        <v>0.15145396991979831</v>
      </c>
      <c r="V172" s="255">
        <f t="shared" si="112"/>
        <v>-3.7024575389246417E-2</v>
      </c>
      <c r="W172" s="255">
        <f t="array" ref="W172">IFERROR(AVERAGE(IF(ISERROR(X172:AG172),"",X172:AG172)),"")</f>
        <v>0.83952531456854929</v>
      </c>
      <c r="X172" s="255">
        <f t="shared" si="113"/>
        <v>0.83952531456854929</v>
      </c>
      <c r="Y172" s="255" t="e">
        <f t="shared" si="114"/>
        <v>#N/A</v>
      </c>
      <c r="Z172" s="255" t="e">
        <f t="shared" si="115"/>
        <v>#N/A</v>
      </c>
      <c r="AA172" s="255" t="e">
        <f t="shared" si="116"/>
        <v>#N/A</v>
      </c>
      <c r="AB172" s="255" t="e">
        <f t="shared" si="117"/>
        <v>#N/A</v>
      </c>
      <c r="AC172" s="255" t="e">
        <f t="shared" si="118"/>
        <v>#N/A</v>
      </c>
      <c r="AD172" s="255" t="e">
        <f t="shared" si="119"/>
        <v>#N/A</v>
      </c>
      <c r="AE172" s="255" t="e">
        <f t="shared" si="120"/>
        <v>#N/A</v>
      </c>
      <c r="AF172" s="255" t="e">
        <f t="shared" si="121"/>
        <v>#N/A</v>
      </c>
      <c r="AG172" s="255" t="e">
        <f t="shared" si="122"/>
        <v>#N/A</v>
      </c>
      <c r="AI172" s="251">
        <f t="shared" si="95"/>
        <v>43980</v>
      </c>
      <c r="AJ172" s="718">
        <f>IF(OR($B172="No",AJ$6=""),"",IF(NOT(ISNUMBER(_xll.ciqfunctions.udf.CIQ(AJ$6,"IQ_TEV",$AI172,$I$2,$I$3))),"",_xll.ciqfunctions.udf.CIQ(AJ$6,"IQ_TEV",$AI172,$I$2,$I$3)))</f>
        <v>417921.05796000001</v>
      </c>
      <c r="AK172" s="718">
        <f>IF(OR($B172="No",AK$6=""),"",IF(NOT(ISNUMBER(_xll.ciqfunctions.udf.CIQ(AK$6,"IQ_TEV",$AI172,$I$2,$I$3))),"",_xll.ciqfunctions.udf.CIQ(AK$6,"IQ_TEV",$AI172,$I$2,$I$3)))</f>
        <v>136453.59981000001</v>
      </c>
      <c r="AL172" s="718" t="str">
        <f>IF(OR($B172="No",AL$6=""),"",IF(NOT(ISNUMBER(_xll.ciqfunctions.udf.CIQ(AL$6,"IQ_TEV",$AI172,$I$2,$I$3))),"",_xll.ciqfunctions.udf.CIQ(AL$6,"IQ_TEV",$AI172,$I$2,$I$3)))</f>
        <v/>
      </c>
      <c r="AM172" s="718" t="str">
        <f>IF(OR($B172="No",AM$6=""),"",IF(NOT(ISNUMBER(_xll.ciqfunctions.udf.CIQ(AM$6,"IQ_TEV",$AI172,$I$2,$I$3))),"",_xll.ciqfunctions.udf.CIQ(AM$6,"IQ_TEV",$AI172,$I$2,$I$3)))</f>
        <v/>
      </c>
      <c r="AN172" s="718" t="str">
        <f>IF(OR($B172="No",AN$6=""),"",IF(NOT(ISNUMBER(_xll.ciqfunctions.udf.CIQ(AN$6,"IQ_TEV",$AI172,$I$2,$I$3))),"",_xll.ciqfunctions.udf.CIQ(AN$6,"IQ_TEV",$AI172,$I$2,$I$3)))</f>
        <v/>
      </c>
      <c r="AO172" s="718" t="str">
        <f>IF(OR($B172="No",AO$6=""),"",IF(NOT(ISNUMBER(_xll.ciqfunctions.udf.CIQ(AO$6,"IQ_TEV",$AI172,$I$2,$I$3))),"",_xll.ciqfunctions.udf.CIQ(AO$6,"IQ_TEV",$AI172,$I$2,$I$3)))</f>
        <v/>
      </c>
      <c r="AP172" s="718" t="str">
        <f>IF(OR($B172="No",AP$6=""),"",IF(NOT(ISNUMBER(_xll.ciqfunctions.udf.CIQ(AP$6,"IQ_TEV",$AI172,$I$2,$I$3))),"",_xll.ciqfunctions.udf.CIQ(AP$6,"IQ_TEV",$AI172,$I$2,$I$3)))</f>
        <v/>
      </c>
      <c r="AQ172" s="718" t="str">
        <f>IF(OR($B172="No",AQ$6=""),"",IF(NOT(ISNUMBER(_xll.ciqfunctions.udf.CIQ(AQ$6,"IQ_TEV",$AI172,$I$2,$I$3))),"",_xll.ciqfunctions.udf.CIQ(AQ$6,"IQ_TEV",$AI172,$I$2,$I$3)))</f>
        <v/>
      </c>
      <c r="AR172" s="718" t="str">
        <f>IF(OR($B172="No",AR$6=""),"",IF(NOT(ISNUMBER(_xll.ciqfunctions.udf.CIQ(AR$6,"IQ_TEV",$AI172,$I$2,$I$3))),"",_xll.ciqfunctions.udf.CIQ(AR$6,"IQ_TEV",$AI172,$I$2,$I$3)))</f>
        <v/>
      </c>
      <c r="AS172" s="718" t="str">
        <f>IF(OR($B172="No",AS$6=""),"",IF(NOT(ISNUMBER(_xll.ciqfunctions.udf.CIQ(AS$6,"IQ_TEV",$AI172,$I$2,$I$3))),"",_xll.ciqfunctions.udf.CIQ(AS$6,"IQ_TEV",$AI172,$I$2,$I$3)))</f>
        <v/>
      </c>
      <c r="AT172" s="718" t="str">
        <f>IF(OR($B172="No",AT$6=""),"",IF(NOT(ISNUMBER(_xll.ciqfunctions.udf.CIQ(AT$6,"IQ_TEV",$AI172,$I$2,$I$3))),"",_xll.ciqfunctions.udf.CIQ(AT$6,"IQ_TEV",$AI172,$I$2,$I$3)))</f>
        <v/>
      </c>
      <c r="AV172" s="251">
        <f t="shared" si="99"/>
        <v>43980</v>
      </c>
      <c r="AW172" s="719">
        <f t="shared" si="100"/>
        <v>0.60087868413912138</v>
      </c>
      <c r="AX172" s="719">
        <f t="shared" si="101"/>
        <v>0.86961543974484612</v>
      </c>
      <c r="AY172" s="719" t="e">
        <f t="shared" si="102"/>
        <v>#N/A</v>
      </c>
      <c r="AZ172" s="719" t="e">
        <f t="shared" si="103"/>
        <v>#N/A</v>
      </c>
      <c r="BA172" s="719" t="e">
        <f t="shared" si="104"/>
        <v>#N/A</v>
      </c>
      <c r="BB172" s="719" t="e">
        <f t="shared" si="105"/>
        <v>#N/A</v>
      </c>
      <c r="BC172" s="719" t="e">
        <f t="shared" si="106"/>
        <v>#N/A</v>
      </c>
      <c r="BD172" s="719" t="e">
        <f t="shared" si="107"/>
        <v>#N/A</v>
      </c>
      <c r="BE172" s="719" t="e">
        <f t="shared" si="108"/>
        <v>#N/A</v>
      </c>
      <c r="BF172" s="719" t="e">
        <f t="shared" si="109"/>
        <v>#N/A</v>
      </c>
      <c r="BG172" s="719" t="e">
        <f t="shared" si="110"/>
        <v>#N/A</v>
      </c>
    </row>
    <row r="173" spans="1:59" ht="15" customHeight="1" x14ac:dyDescent="0.2">
      <c r="A173" s="251">
        <f t="shared" si="93"/>
        <v>43987</v>
      </c>
      <c r="B173" s="253" t="str">
        <f t="shared" si="111"/>
        <v>Yes</v>
      </c>
      <c r="C173" s="1033">
        <f>IF(C$6="","",IF(NOT(ISNUMBER(_xll.ciqfunctions.udf.CIQ(C$6,$F$2, $A173, $I$2, $I$3))),IF(C172=C$6,"",C172),_xll.ciqfunctions.udf.CIQ(C$6,$F$2, $A173, $I$2, $I$3)))</f>
        <v>121.56</v>
      </c>
      <c r="D173" s="1033">
        <f>IF(D$6="","",IF(NOT(ISNUMBER(_xll.ciqfunctions.udf.CIQ(D$6,$F$2, $A173, $I$2, $I$3))),IF(D172=D$6,"",D172),_xll.ciqfunctions.udf.CIQ(D$6,$F$2, $A173, $I$2, $I$3)))</f>
        <v>27110.980490000002</v>
      </c>
      <c r="E173" s="1033">
        <f>IF(E$6="","",IF(NOT(ISNUMBER(_xll.ciqfunctions.udf.CIQ(E$6,$F$2, $A173, $I$2, $I$3))),IF(E172=E$6,"",E172),_xll.ciqfunctions.udf.CIQ(E$6,$F$2, $A173, $I$2, $I$3)))</f>
        <v>8797.8702799999992</v>
      </c>
      <c r="F173" s="1033">
        <f>IF(F$6="","",IF(NOT(ISNUMBER(_xll.ciqfunctions.udf.CIQ(F$6,$F$2, $A173, $I$2, $I$3))),IF(F172=F$6,"",F172),_xll.ciqfunctions.udf.CIQ(F$6,$F$2, $A173, $I$2, $I$3)))</f>
        <v>4595.3007699999998</v>
      </c>
      <c r="G173" s="1033">
        <f>IF(G$6="","",IF(NOT(ISNUMBER(_xll.ciqfunctions.udf.CIQ(G$6,$F$2, $A173, $I$2, $I$3))),IF(G172=G$6,"",G172),_xll.ciqfunctions.udf.CIQ(G$6,$F$2, $A173, $I$2, $I$3)))</f>
        <v>312.04000000000002</v>
      </c>
      <c r="H173" s="1033" t="str">
        <f>IF(H$6="","",IF(NOT(ISNUMBER(_xll.ciqfunctions.udf.CIQ(H$6,$F$2, $A173, $I$2, $I$3))),IF(H172=H$6,"",H172),_xll.ciqfunctions.udf.CIQ(H$6,$F$2, $A173, $I$2, $I$3)))</f>
        <v/>
      </c>
      <c r="I173" s="1033" t="str">
        <f>IF(I$6="","",IF(NOT(ISNUMBER(_xll.ciqfunctions.udf.CIQ(I$6,$F$2, $A173, $I$2, $I$3))),IF(I172=I$6,"",I172),_xll.ciqfunctions.udf.CIQ(I$6,$F$2, $A173, $I$2, $I$3)))</f>
        <v/>
      </c>
      <c r="J173" s="1033" t="str">
        <f>IF(J$6="","",IF(NOT(ISNUMBER(_xll.ciqfunctions.udf.CIQ(J$6,$F$2, $A173, $I$2, $I$3))),IF(J172=J$6,"",J172),_xll.ciqfunctions.udf.CIQ(J$6,$F$2, $A173, $I$2, $I$3)))</f>
        <v/>
      </c>
      <c r="K173" s="1033" t="str">
        <f>IF(K$6="","",IF(NOT(ISNUMBER(_xll.ciqfunctions.udf.CIQ(K$6,$F$2, $A173, $I$2, $I$3))),IF(K172=K$6,"",K172),_xll.ciqfunctions.udf.CIQ(K$6,$F$2, $A173, $I$2, $I$3)))</f>
        <v/>
      </c>
      <c r="L173" s="254" t="str">
        <f>IF(L$6="","",IF(NOT(ISNUMBER(_xll.ciqfunctions.udf.CIQ(L$6,$F$2, $A173, $I$2, $I$3))),IF(L172=L$6,"",L172),_xll.ciqfunctions.udf.CIQ(L$6,$F$2, $A173, $I$2, $I$3)))</f>
        <v/>
      </c>
      <c r="M173" s="254" t="str">
        <f>IF(M$6="","",IF(NOT(ISNUMBER(_xll.ciqfunctions.udf.CIQ(M$6,$F$2, $A173, $I$2, $I$3))),IF(M172=M$6,"",M172),_xll.ciqfunctions.udf.CIQ(M$6,$F$2, $A173, $I$2, $I$3)))</f>
        <v/>
      </c>
      <c r="N173" s="254" t="str">
        <f>IF(N$6="","",IF(NOT(ISNUMBER(_xll.ciqfunctions.udf.CIQ(N$6,$F$2, $A173, $I$2, $I$3))),IF(N172=N$6,"",N172),_xll.ciqfunctions.udf.CIQ(N$6,$F$2, $A173, $I$2, $I$3)))</f>
        <v/>
      </c>
      <c r="O173" s="254" t="str">
        <f>IF(O$6="","",IF(NOT(ISNUMBER(_xll.ciqfunctions.udf.CIQ(O$6,$F$2, $A173, $I$2, $I$3))),IF(O172=O$6,"",O172),_xll.ciqfunctions.udf.CIQ(O$6,$F$2, $A173, $I$2, $I$3)))</f>
        <v/>
      </c>
      <c r="P173" s="254" t="str">
        <f>IF(P$6="","",IF(NOT(ISNUMBER(_xll.ciqfunctions.udf.CIQ(P$6,$F$2, $A173, $I$2, $I$3))),IF(P172=P$6,"",P172),_xll.ciqfunctions.udf.CIQ(P$6,$F$2, $A173, $I$2, $I$3)))</f>
        <v/>
      </c>
      <c r="Q173" s="254"/>
      <c r="R173" s="251">
        <f t="shared" si="94"/>
        <v>43987</v>
      </c>
      <c r="S173" s="255">
        <f t="shared" si="96"/>
        <v>0.68645948945615998</v>
      </c>
      <c r="T173" s="255">
        <f t="shared" si="97"/>
        <v>0.31204038379483912</v>
      </c>
      <c r="U173" s="255">
        <f t="shared" si="98"/>
        <v>0.22947042243025573</v>
      </c>
      <c r="V173" s="255">
        <f t="shared" si="112"/>
        <v>4.6828706738719639E-2</v>
      </c>
      <c r="W173" s="255">
        <f t="array" ref="W173">IFERROR(AVERAGE(IF(ISERROR(X173:AG173),"",X173:AG173)),"")</f>
        <v>0.86081459836603269</v>
      </c>
      <c r="X173" s="255">
        <f t="shared" si="113"/>
        <v>0.86081459836603269</v>
      </c>
      <c r="Y173" s="255" t="e">
        <f t="shared" si="114"/>
        <v>#N/A</v>
      </c>
      <c r="Z173" s="255" t="e">
        <f t="shared" si="115"/>
        <v>#N/A</v>
      </c>
      <c r="AA173" s="255" t="e">
        <f t="shared" si="116"/>
        <v>#N/A</v>
      </c>
      <c r="AB173" s="255" t="e">
        <f t="shared" si="117"/>
        <v>#N/A</v>
      </c>
      <c r="AC173" s="255" t="e">
        <f t="shared" si="118"/>
        <v>#N/A</v>
      </c>
      <c r="AD173" s="255" t="e">
        <f t="shared" si="119"/>
        <v>#N/A</v>
      </c>
      <c r="AE173" s="255" t="e">
        <f t="shared" si="120"/>
        <v>#N/A</v>
      </c>
      <c r="AF173" s="255" t="e">
        <f t="shared" si="121"/>
        <v>#N/A</v>
      </c>
      <c r="AG173" s="255" t="e">
        <f t="shared" si="122"/>
        <v>#N/A</v>
      </c>
      <c r="AI173" s="251">
        <f t="shared" si="95"/>
        <v>43987</v>
      </c>
      <c r="AJ173" s="718">
        <f>IF(OR($B173="No",AJ$6=""),"",IF(NOT(ISNUMBER(_xll.ciqfunctions.udf.CIQ(AJ$6,"IQ_TEV",$AI173,$I$2,$I$3))),"",_xll.ciqfunctions.udf.CIQ(AJ$6,"IQ_TEV",$AI173,$I$2,$I$3)))</f>
        <v>411779.26137999998</v>
      </c>
      <c r="AK173" s="718">
        <f>IF(OR($B173="No",AK$6=""),"",IF(NOT(ISNUMBER(_xll.ciqfunctions.udf.CIQ(AK$6,"IQ_TEV",$AI173,$I$2,$I$3))),"",_xll.ciqfunctions.udf.CIQ(AK$6,"IQ_TEV",$AI173,$I$2,$I$3)))</f>
        <v>138911.05877999999</v>
      </c>
      <c r="AL173" s="718" t="str">
        <f>IF(OR($B173="No",AL$6=""),"",IF(NOT(ISNUMBER(_xll.ciqfunctions.udf.CIQ(AL$6,"IQ_TEV",$AI173,$I$2,$I$3))),"",_xll.ciqfunctions.udf.CIQ(AL$6,"IQ_TEV",$AI173,$I$2,$I$3)))</f>
        <v/>
      </c>
      <c r="AM173" s="718" t="str">
        <f>IF(OR($B173="No",AM$6=""),"",IF(NOT(ISNUMBER(_xll.ciqfunctions.udf.CIQ(AM$6,"IQ_TEV",$AI173,$I$2,$I$3))),"",_xll.ciqfunctions.udf.CIQ(AM$6,"IQ_TEV",$AI173,$I$2,$I$3)))</f>
        <v/>
      </c>
      <c r="AN173" s="718" t="str">
        <f>IF(OR($B173="No",AN$6=""),"",IF(NOT(ISNUMBER(_xll.ciqfunctions.udf.CIQ(AN$6,"IQ_TEV",$AI173,$I$2,$I$3))),"",_xll.ciqfunctions.udf.CIQ(AN$6,"IQ_TEV",$AI173,$I$2,$I$3)))</f>
        <v/>
      </c>
      <c r="AO173" s="718" t="str">
        <f>IF(OR($B173="No",AO$6=""),"",IF(NOT(ISNUMBER(_xll.ciqfunctions.udf.CIQ(AO$6,"IQ_TEV",$AI173,$I$2,$I$3))),"",_xll.ciqfunctions.udf.CIQ(AO$6,"IQ_TEV",$AI173,$I$2,$I$3)))</f>
        <v/>
      </c>
      <c r="AP173" s="718" t="str">
        <f>IF(OR($B173="No",AP$6=""),"",IF(NOT(ISNUMBER(_xll.ciqfunctions.udf.CIQ(AP$6,"IQ_TEV",$AI173,$I$2,$I$3))),"",_xll.ciqfunctions.udf.CIQ(AP$6,"IQ_TEV",$AI173,$I$2,$I$3)))</f>
        <v/>
      </c>
      <c r="AQ173" s="718" t="str">
        <f>IF(OR($B173="No",AQ$6=""),"",IF(NOT(ISNUMBER(_xll.ciqfunctions.udf.CIQ(AQ$6,"IQ_TEV",$AI173,$I$2,$I$3))),"",_xll.ciqfunctions.udf.CIQ(AQ$6,"IQ_TEV",$AI173,$I$2,$I$3)))</f>
        <v/>
      </c>
      <c r="AR173" s="718" t="str">
        <f>IF(OR($B173="No",AR$6=""),"",IF(NOT(ISNUMBER(_xll.ciqfunctions.udf.CIQ(AR$6,"IQ_TEV",$AI173,$I$2,$I$3))),"",_xll.ciqfunctions.udf.CIQ(AR$6,"IQ_TEV",$AI173,$I$2,$I$3)))</f>
        <v/>
      </c>
      <c r="AS173" s="718" t="str">
        <f>IF(OR($B173="No",AS$6=""),"",IF(NOT(ISNUMBER(_xll.ciqfunctions.udf.CIQ(AS$6,"IQ_TEV",$AI173,$I$2,$I$3))),"",_xll.ciqfunctions.udf.CIQ(AS$6,"IQ_TEV",$AI173,$I$2,$I$3)))</f>
        <v/>
      </c>
      <c r="AT173" s="718" t="str">
        <f>IF(OR($B173="No",AT$6=""),"",IF(NOT(ISNUMBER(_xll.ciqfunctions.udf.CIQ(AT$6,"IQ_TEV",$AI173,$I$2,$I$3))),"",_xll.ciqfunctions.udf.CIQ(AT$6,"IQ_TEV",$AI173,$I$2,$I$3)))</f>
        <v/>
      </c>
      <c r="AV173" s="251">
        <f t="shared" si="99"/>
        <v>43987</v>
      </c>
      <c r="AW173" s="719">
        <f t="shared" si="100"/>
        <v>0.57735206101265124</v>
      </c>
      <c r="AX173" s="719">
        <f t="shared" si="101"/>
        <v>0.90328624974362137</v>
      </c>
      <c r="AY173" s="719" t="e">
        <f t="shared" si="102"/>
        <v>#N/A</v>
      </c>
      <c r="AZ173" s="719" t="e">
        <f t="shared" si="103"/>
        <v>#N/A</v>
      </c>
      <c r="BA173" s="719" t="e">
        <f t="shared" si="104"/>
        <v>#N/A</v>
      </c>
      <c r="BB173" s="719" t="e">
        <f t="shared" si="105"/>
        <v>#N/A</v>
      </c>
      <c r="BC173" s="719" t="e">
        <f t="shared" si="106"/>
        <v>#N/A</v>
      </c>
      <c r="BD173" s="719" t="e">
        <f t="shared" si="107"/>
        <v>#N/A</v>
      </c>
      <c r="BE173" s="719" t="e">
        <f t="shared" si="108"/>
        <v>#N/A</v>
      </c>
      <c r="BF173" s="719" t="e">
        <f t="shared" si="109"/>
        <v>#N/A</v>
      </c>
      <c r="BG173" s="719" t="e">
        <f t="shared" si="110"/>
        <v>#N/A</v>
      </c>
    </row>
    <row r="174" spans="1:59" ht="15" customHeight="1" x14ac:dyDescent="0.2">
      <c r="A174" s="251">
        <f t="shared" si="93"/>
        <v>43994</v>
      </c>
      <c r="B174" s="253" t="str">
        <f t="shared" si="111"/>
        <v>Yes</v>
      </c>
      <c r="C174" s="1033">
        <f>IF(C$6="","",IF(NOT(ISNUMBER(_xll.ciqfunctions.udf.CIQ(C$6,$F$2, $A174, $I$2, $I$3))),IF(C173=C$6,"",C173),_xll.ciqfunctions.udf.CIQ(C$6,$F$2, $A174, $I$2, $I$3)))</f>
        <v>117.74</v>
      </c>
      <c r="D174" s="1033">
        <f>IF(D$6="","",IF(NOT(ISNUMBER(_xll.ciqfunctions.udf.CIQ(D$6,$F$2, $A174, $I$2, $I$3))),IF(D173=D$6,"",D173),_xll.ciqfunctions.udf.CIQ(D$6,$F$2, $A174, $I$2, $I$3)))</f>
        <v>25605.542700000002</v>
      </c>
      <c r="E174" s="1033">
        <f>IF(E$6="","",IF(NOT(ISNUMBER(_xll.ciqfunctions.udf.CIQ(E$6,$F$2, $A174, $I$2, $I$3))),IF(E173=E$6,"",E173),_xll.ciqfunctions.udf.CIQ(E$6,$F$2, $A174, $I$2, $I$3)))</f>
        <v>8280.2402099999999</v>
      </c>
      <c r="F174" s="1033">
        <f>IF(F$6="","",IF(NOT(ISNUMBER(_xll.ciqfunctions.udf.CIQ(F$6,$F$2, $A174, $I$2, $I$3))),IF(F173=F$6,"",F173),_xll.ciqfunctions.udf.CIQ(F$6,$F$2, $A174, $I$2, $I$3)))</f>
        <v>4276.2447300000003</v>
      </c>
      <c r="G174" s="1033">
        <f>IF(G$6="","",IF(NOT(ISNUMBER(_xll.ciqfunctions.udf.CIQ(G$6,$F$2, $A174, $I$2, $I$3))),IF(G173=G$6,"",G173),_xll.ciqfunctions.udf.CIQ(G$6,$F$2, $A174, $I$2, $I$3)))</f>
        <v>298.7</v>
      </c>
      <c r="H174" s="1033" t="str">
        <f>IF(H$6="","",IF(NOT(ISNUMBER(_xll.ciqfunctions.udf.CIQ(H$6,$F$2, $A174, $I$2, $I$3))),IF(H173=H$6,"",H173),_xll.ciqfunctions.udf.CIQ(H$6,$F$2, $A174, $I$2, $I$3)))</f>
        <v/>
      </c>
      <c r="I174" s="1033" t="str">
        <f>IF(I$6="","",IF(NOT(ISNUMBER(_xll.ciqfunctions.udf.CIQ(I$6,$F$2, $A174, $I$2, $I$3))),IF(I173=I$6,"",I173),_xll.ciqfunctions.udf.CIQ(I$6,$F$2, $A174, $I$2, $I$3)))</f>
        <v/>
      </c>
      <c r="J174" s="1033" t="str">
        <f>IF(J$6="","",IF(NOT(ISNUMBER(_xll.ciqfunctions.udf.CIQ(J$6,$F$2, $A174, $I$2, $I$3))),IF(J173=J$6,"",J173),_xll.ciqfunctions.udf.CIQ(J$6,$F$2, $A174, $I$2, $I$3)))</f>
        <v/>
      </c>
      <c r="K174" s="1033" t="str">
        <f>IF(K$6="","",IF(NOT(ISNUMBER(_xll.ciqfunctions.udf.CIQ(K$6,$F$2, $A174, $I$2, $I$3))),IF(K173=K$6,"",K173),_xll.ciqfunctions.udf.CIQ(K$6,$F$2, $A174, $I$2, $I$3)))</f>
        <v/>
      </c>
      <c r="L174" s="254" t="str">
        <f>IF(L$6="","",IF(NOT(ISNUMBER(_xll.ciqfunctions.udf.CIQ(L$6,$F$2, $A174, $I$2, $I$3))),IF(L173=L$6,"",L173),_xll.ciqfunctions.udf.CIQ(L$6,$F$2, $A174, $I$2, $I$3)))</f>
        <v/>
      </c>
      <c r="M174" s="254" t="str">
        <f>IF(M$6="","",IF(NOT(ISNUMBER(_xll.ciqfunctions.udf.CIQ(M$6,$F$2, $A174, $I$2, $I$3))),IF(M173=M$6,"",M173),_xll.ciqfunctions.udf.CIQ(M$6,$F$2, $A174, $I$2, $I$3)))</f>
        <v/>
      </c>
      <c r="N174" s="254" t="str">
        <f>IF(N$6="","",IF(NOT(ISNUMBER(_xll.ciqfunctions.udf.CIQ(N$6,$F$2, $A174, $I$2, $I$3))),IF(N173=N$6,"",N173),_xll.ciqfunctions.udf.CIQ(N$6,$F$2, $A174, $I$2, $I$3)))</f>
        <v/>
      </c>
      <c r="O174" s="254" t="str">
        <f>IF(O$6="","",IF(NOT(ISNUMBER(_xll.ciqfunctions.udf.CIQ(O$6,$F$2, $A174, $I$2, $I$3))),IF(O173=O$6,"",O173),_xll.ciqfunctions.udf.CIQ(O$6,$F$2, $A174, $I$2, $I$3)))</f>
        <v/>
      </c>
      <c r="P174" s="254" t="str">
        <f>IF(P$6="","",IF(NOT(ISNUMBER(_xll.ciqfunctions.udf.CIQ(P$6,$F$2, $A174, $I$2, $I$3))),IF(P173=P$6,"",P173),_xll.ciqfunctions.udf.CIQ(P$6,$F$2, $A174, $I$2, $I$3)))</f>
        <v/>
      </c>
      <c r="Q174" s="254"/>
      <c r="R174" s="251">
        <f t="shared" si="94"/>
        <v>43994</v>
      </c>
      <c r="S174" s="255">
        <f t="shared" si="96"/>
        <v>0.6334628190899001</v>
      </c>
      <c r="T174" s="255">
        <f t="shared" si="97"/>
        <v>0.23918447301361834</v>
      </c>
      <c r="U174" s="255">
        <f t="shared" si="98"/>
        <v>0.15713349990569436</v>
      </c>
      <c r="V174" s="255">
        <f t="shared" si="112"/>
        <v>-2.5853591645500495E-2</v>
      </c>
      <c r="W174" s="255">
        <f t="array" ref="W174">IFERROR(AVERAGE(IF(ISERROR(X174:AG174),"",X174:AG174)),"")</f>
        <v>0.78126304490428766</v>
      </c>
      <c r="X174" s="255">
        <f t="shared" si="113"/>
        <v>0.78126304490428766</v>
      </c>
      <c r="Y174" s="255" t="e">
        <f t="shared" si="114"/>
        <v>#N/A</v>
      </c>
      <c r="Z174" s="255" t="e">
        <f t="shared" si="115"/>
        <v>#N/A</v>
      </c>
      <c r="AA174" s="255" t="e">
        <f t="shared" si="116"/>
        <v>#N/A</v>
      </c>
      <c r="AB174" s="255" t="e">
        <f t="shared" si="117"/>
        <v>#N/A</v>
      </c>
      <c r="AC174" s="255" t="e">
        <f t="shared" si="118"/>
        <v>#N/A</v>
      </c>
      <c r="AD174" s="255" t="e">
        <f t="shared" si="119"/>
        <v>#N/A</v>
      </c>
      <c r="AE174" s="255" t="e">
        <f t="shared" si="120"/>
        <v>#N/A</v>
      </c>
      <c r="AF174" s="255" t="e">
        <f t="shared" si="121"/>
        <v>#N/A</v>
      </c>
      <c r="AG174" s="255" t="e">
        <f t="shared" si="122"/>
        <v>#N/A</v>
      </c>
      <c r="AI174" s="251">
        <f t="shared" si="95"/>
        <v>43994</v>
      </c>
      <c r="AJ174" s="718">
        <f>IF(OR($B174="No",AJ$6=""),"",IF(NOT(ISNUMBER(_xll.ciqfunctions.udf.CIQ(AJ$6,"IQ_TEV",$AI174,$I$2,$I$3))),"",_xll.ciqfunctions.udf.CIQ(AJ$6,"IQ_TEV",$AI174,$I$2,$I$3)))</f>
        <v>400961.19919999997</v>
      </c>
      <c r="AK174" s="718">
        <f>IF(OR($B174="No",AK$6=""),"",IF(NOT(ISNUMBER(_xll.ciqfunctions.udf.CIQ(AK$6,"IQ_TEV",$AI174,$I$2,$I$3))),"",_xll.ciqfunctions.udf.CIQ(AK$6,"IQ_TEV",$AI174,$I$2,$I$3)))</f>
        <v>133021.13248</v>
      </c>
      <c r="AL174" s="718" t="str">
        <f>IF(OR($B174="No",AL$6=""),"",IF(NOT(ISNUMBER(_xll.ciqfunctions.udf.CIQ(AL$6,"IQ_TEV",$AI174,$I$2,$I$3))),"",_xll.ciqfunctions.udf.CIQ(AL$6,"IQ_TEV",$AI174,$I$2,$I$3)))</f>
        <v/>
      </c>
      <c r="AM174" s="718" t="str">
        <f>IF(OR($B174="No",AM$6=""),"",IF(NOT(ISNUMBER(_xll.ciqfunctions.udf.CIQ(AM$6,"IQ_TEV",$AI174,$I$2,$I$3))),"",_xll.ciqfunctions.udf.CIQ(AM$6,"IQ_TEV",$AI174,$I$2,$I$3)))</f>
        <v/>
      </c>
      <c r="AN174" s="718" t="str">
        <f>IF(OR($B174="No",AN$6=""),"",IF(NOT(ISNUMBER(_xll.ciqfunctions.udf.CIQ(AN$6,"IQ_TEV",$AI174,$I$2,$I$3))),"",_xll.ciqfunctions.udf.CIQ(AN$6,"IQ_TEV",$AI174,$I$2,$I$3)))</f>
        <v/>
      </c>
      <c r="AO174" s="718" t="str">
        <f>IF(OR($B174="No",AO$6=""),"",IF(NOT(ISNUMBER(_xll.ciqfunctions.udf.CIQ(AO$6,"IQ_TEV",$AI174,$I$2,$I$3))),"",_xll.ciqfunctions.udf.CIQ(AO$6,"IQ_TEV",$AI174,$I$2,$I$3)))</f>
        <v/>
      </c>
      <c r="AP174" s="718" t="str">
        <f>IF(OR($B174="No",AP$6=""),"",IF(NOT(ISNUMBER(_xll.ciqfunctions.udf.CIQ(AP$6,"IQ_TEV",$AI174,$I$2,$I$3))),"",_xll.ciqfunctions.udf.CIQ(AP$6,"IQ_TEV",$AI174,$I$2,$I$3)))</f>
        <v/>
      </c>
      <c r="AQ174" s="718" t="str">
        <f>IF(OR($B174="No",AQ$6=""),"",IF(NOT(ISNUMBER(_xll.ciqfunctions.udf.CIQ(AQ$6,"IQ_TEV",$AI174,$I$2,$I$3))),"",_xll.ciqfunctions.udf.CIQ(AQ$6,"IQ_TEV",$AI174,$I$2,$I$3)))</f>
        <v/>
      </c>
      <c r="AR174" s="718" t="str">
        <f>IF(OR($B174="No",AR$6=""),"",IF(NOT(ISNUMBER(_xll.ciqfunctions.udf.CIQ(AR$6,"IQ_TEV",$AI174,$I$2,$I$3))),"",_xll.ciqfunctions.udf.CIQ(AR$6,"IQ_TEV",$AI174,$I$2,$I$3)))</f>
        <v/>
      </c>
      <c r="AS174" s="718" t="str">
        <f>IF(OR($B174="No",AS$6=""),"",IF(NOT(ISNUMBER(_xll.ciqfunctions.udf.CIQ(AS$6,"IQ_TEV",$AI174,$I$2,$I$3))),"",_xll.ciqfunctions.udf.CIQ(AS$6,"IQ_TEV",$AI174,$I$2,$I$3)))</f>
        <v/>
      </c>
      <c r="AT174" s="718" t="str">
        <f>IF(OR($B174="No",AT$6=""),"",IF(NOT(ISNUMBER(_xll.ciqfunctions.udf.CIQ(AT$6,"IQ_TEV",$AI174,$I$2,$I$3))),"",_xll.ciqfunctions.udf.CIQ(AT$6,"IQ_TEV",$AI174,$I$2,$I$3)))</f>
        <v/>
      </c>
      <c r="AV174" s="251">
        <f t="shared" si="99"/>
        <v>43994</v>
      </c>
      <c r="AW174" s="719">
        <f t="shared" si="100"/>
        <v>0.53591264364471569</v>
      </c>
      <c r="AX174" s="719">
        <f t="shared" si="101"/>
        <v>0.82258557812504662</v>
      </c>
      <c r="AY174" s="719" t="e">
        <f t="shared" si="102"/>
        <v>#N/A</v>
      </c>
      <c r="AZ174" s="719" t="e">
        <f t="shared" si="103"/>
        <v>#N/A</v>
      </c>
      <c r="BA174" s="719" t="e">
        <f t="shared" si="104"/>
        <v>#N/A</v>
      </c>
      <c r="BB174" s="719" t="e">
        <f t="shared" si="105"/>
        <v>#N/A</v>
      </c>
      <c r="BC174" s="719" t="e">
        <f t="shared" si="106"/>
        <v>#N/A</v>
      </c>
      <c r="BD174" s="719" t="e">
        <f t="shared" si="107"/>
        <v>#N/A</v>
      </c>
      <c r="BE174" s="719" t="e">
        <f t="shared" si="108"/>
        <v>#N/A</v>
      </c>
      <c r="BF174" s="719" t="e">
        <f t="shared" si="109"/>
        <v>#N/A</v>
      </c>
      <c r="BG174" s="719" t="e">
        <f t="shared" si="110"/>
        <v>#N/A</v>
      </c>
    </row>
    <row r="175" spans="1:59" ht="15" customHeight="1" x14ac:dyDescent="0.2">
      <c r="A175" s="251">
        <f t="shared" si="93"/>
        <v>44001</v>
      </c>
      <c r="B175" s="253" t="str">
        <f t="shared" si="111"/>
        <v>Yes</v>
      </c>
      <c r="C175" s="1033">
        <f>IF(C$6="","",IF(NOT(ISNUMBER(_xll.ciqfunctions.udf.CIQ(C$6,$F$2, $A175, $I$2, $I$3))),IF(C174=C$6,"",C174),_xll.ciqfunctions.udf.CIQ(C$6,$F$2, $A175, $I$2, $I$3)))</f>
        <v>119.85</v>
      </c>
      <c r="D175" s="1033">
        <f>IF(D$6="","",IF(NOT(ISNUMBER(_xll.ciqfunctions.udf.CIQ(D$6,$F$2, $A175, $I$2, $I$3))),IF(D174=D$6,"",D174),_xll.ciqfunctions.udf.CIQ(D$6,$F$2, $A175, $I$2, $I$3)))</f>
        <v>25871.458340000001</v>
      </c>
      <c r="E175" s="1033">
        <f>IF(E$6="","",IF(NOT(ISNUMBER(_xll.ciqfunctions.udf.CIQ(E$6,$F$2, $A175, $I$2, $I$3))),IF(E174=E$6,"",E174),_xll.ciqfunctions.udf.CIQ(E$6,$F$2, $A175, $I$2, $I$3)))</f>
        <v>8288.6479400000007</v>
      </c>
      <c r="F175" s="1033">
        <f>IF(F$6="","",IF(NOT(ISNUMBER(_xll.ciqfunctions.udf.CIQ(F$6,$F$2, $A175, $I$2, $I$3))),IF(F174=F$6,"",F174),_xll.ciqfunctions.udf.CIQ(F$6,$F$2, $A175, $I$2, $I$3)))</f>
        <v>4368.7335400000002</v>
      </c>
      <c r="G175" s="1033">
        <f>IF(G$6="","",IF(NOT(ISNUMBER(_xll.ciqfunctions.udf.CIQ(G$6,$F$2, $A175, $I$2, $I$3))),IF(G174=G$6,"",G174),_xll.ciqfunctions.udf.CIQ(G$6,$F$2, $A175, $I$2, $I$3)))</f>
        <v>299.89999999999998</v>
      </c>
      <c r="H175" s="1033" t="str">
        <f>IF(H$6="","",IF(NOT(ISNUMBER(_xll.ciqfunctions.udf.CIQ(H$6,$F$2, $A175, $I$2, $I$3))),IF(H174=H$6,"",H174),_xll.ciqfunctions.udf.CIQ(H$6,$F$2, $A175, $I$2, $I$3)))</f>
        <v/>
      </c>
      <c r="I175" s="1033" t="str">
        <f>IF(I$6="","",IF(NOT(ISNUMBER(_xll.ciqfunctions.udf.CIQ(I$6,$F$2, $A175, $I$2, $I$3))),IF(I174=I$6,"",I174),_xll.ciqfunctions.udf.CIQ(I$6,$F$2, $A175, $I$2, $I$3)))</f>
        <v/>
      </c>
      <c r="J175" s="1033" t="str">
        <f>IF(J$6="","",IF(NOT(ISNUMBER(_xll.ciqfunctions.udf.CIQ(J$6,$F$2, $A175, $I$2, $I$3))),IF(J174=J$6,"",J174),_xll.ciqfunctions.udf.CIQ(J$6,$F$2, $A175, $I$2, $I$3)))</f>
        <v/>
      </c>
      <c r="K175" s="1033" t="str">
        <f>IF(K$6="","",IF(NOT(ISNUMBER(_xll.ciqfunctions.udf.CIQ(K$6,$F$2, $A175, $I$2, $I$3))),IF(K174=K$6,"",K174),_xll.ciqfunctions.udf.CIQ(K$6,$F$2, $A175, $I$2, $I$3)))</f>
        <v/>
      </c>
      <c r="L175" s="254" t="str">
        <f>IF(L$6="","",IF(NOT(ISNUMBER(_xll.ciqfunctions.udf.CIQ(L$6,$F$2, $A175, $I$2, $I$3))),IF(L174=L$6,"",L174),_xll.ciqfunctions.udf.CIQ(L$6,$F$2, $A175, $I$2, $I$3)))</f>
        <v/>
      </c>
      <c r="M175" s="254" t="str">
        <f>IF(M$6="","",IF(NOT(ISNUMBER(_xll.ciqfunctions.udf.CIQ(M$6,$F$2, $A175, $I$2, $I$3))),IF(M174=M$6,"",M174),_xll.ciqfunctions.udf.CIQ(M$6,$F$2, $A175, $I$2, $I$3)))</f>
        <v/>
      </c>
      <c r="N175" s="254" t="str">
        <f>IF(N$6="","",IF(NOT(ISNUMBER(_xll.ciqfunctions.udf.CIQ(N$6,$F$2, $A175, $I$2, $I$3))),IF(N174=N$6,"",N174),_xll.ciqfunctions.udf.CIQ(N$6,$F$2, $A175, $I$2, $I$3)))</f>
        <v/>
      </c>
      <c r="O175" s="254" t="str">
        <f>IF(O$6="","",IF(NOT(ISNUMBER(_xll.ciqfunctions.udf.CIQ(O$6,$F$2, $A175, $I$2, $I$3))),IF(O174=O$6,"",O174),_xll.ciqfunctions.udf.CIQ(O$6,$F$2, $A175, $I$2, $I$3)))</f>
        <v/>
      </c>
      <c r="P175" s="254" t="str">
        <f>IF(P$6="","",IF(NOT(ISNUMBER(_xll.ciqfunctions.udf.CIQ(P$6,$F$2, $A175, $I$2, $I$3))),IF(P174=P$6,"",P174),_xll.ciqfunctions.udf.CIQ(P$6,$F$2, $A175, $I$2, $I$3)))</f>
        <v/>
      </c>
      <c r="Q175" s="254"/>
      <c r="R175" s="251">
        <f t="shared" si="94"/>
        <v>44001</v>
      </c>
      <c r="S175" s="255">
        <f t="shared" si="96"/>
        <v>0.66273584905660377</v>
      </c>
      <c r="T175" s="255">
        <f t="shared" si="97"/>
        <v>0.25205350438234153</v>
      </c>
      <c r="U175" s="255">
        <f t="shared" si="98"/>
        <v>0.15830844964077739</v>
      </c>
      <c r="V175" s="255">
        <f t="shared" si="112"/>
        <v>-4.7842544669238762E-3</v>
      </c>
      <c r="W175" s="255">
        <f t="array" ref="W175">IFERROR(AVERAGE(IF(ISERROR(X175:AG175),"",X175:AG175)),"")</f>
        <v>0.78841910668495419</v>
      </c>
      <c r="X175" s="255">
        <f t="shared" si="113"/>
        <v>0.78841910668495419</v>
      </c>
      <c r="Y175" s="255" t="e">
        <f t="shared" si="114"/>
        <v>#N/A</v>
      </c>
      <c r="Z175" s="255" t="e">
        <f t="shared" si="115"/>
        <v>#N/A</v>
      </c>
      <c r="AA175" s="255" t="e">
        <f t="shared" si="116"/>
        <v>#N/A</v>
      </c>
      <c r="AB175" s="255" t="e">
        <f t="shared" si="117"/>
        <v>#N/A</v>
      </c>
      <c r="AC175" s="255" t="e">
        <f t="shared" si="118"/>
        <v>#N/A</v>
      </c>
      <c r="AD175" s="255" t="e">
        <f t="shared" si="119"/>
        <v>#N/A</v>
      </c>
      <c r="AE175" s="255" t="e">
        <f t="shared" si="120"/>
        <v>#N/A</v>
      </c>
      <c r="AF175" s="255" t="e">
        <f t="shared" si="121"/>
        <v>#N/A</v>
      </c>
      <c r="AG175" s="255" t="e">
        <f t="shared" si="122"/>
        <v>#N/A</v>
      </c>
      <c r="AI175" s="251">
        <f t="shared" si="95"/>
        <v>44001</v>
      </c>
      <c r="AJ175" s="718">
        <f>IF(OR($B175="No",AJ$6=""),"",IF(NOT(ISNUMBER(_xll.ciqfunctions.udf.CIQ(AJ$6,"IQ_TEV",$AI175,$I$2,$I$3))),"",_xll.ciqfunctions.udf.CIQ(AJ$6,"IQ_TEV",$AI175,$I$2,$I$3)))</f>
        <v>406936.62098000001</v>
      </c>
      <c r="AK175" s="718">
        <f>IF(OR($B175="No",AK$6=""),"",IF(NOT(ISNUMBER(_xll.ciqfunctions.udf.CIQ(AK$6,"IQ_TEV",$AI175,$I$2,$I$3))),"",_xll.ciqfunctions.udf.CIQ(AK$6,"IQ_TEV",$AI175,$I$2,$I$3)))</f>
        <v>133550.96093</v>
      </c>
      <c r="AL175" s="718" t="str">
        <f>IF(OR($B175="No",AL$6=""),"",IF(NOT(ISNUMBER(_xll.ciqfunctions.udf.CIQ(AL$6,"IQ_TEV",$AI175,$I$2,$I$3))),"",_xll.ciqfunctions.udf.CIQ(AL$6,"IQ_TEV",$AI175,$I$2,$I$3)))</f>
        <v/>
      </c>
      <c r="AM175" s="718" t="str">
        <f>IF(OR($B175="No",AM$6=""),"",IF(NOT(ISNUMBER(_xll.ciqfunctions.udf.CIQ(AM$6,"IQ_TEV",$AI175,$I$2,$I$3))),"",_xll.ciqfunctions.udf.CIQ(AM$6,"IQ_TEV",$AI175,$I$2,$I$3)))</f>
        <v/>
      </c>
      <c r="AN175" s="718" t="str">
        <f>IF(OR($B175="No",AN$6=""),"",IF(NOT(ISNUMBER(_xll.ciqfunctions.udf.CIQ(AN$6,"IQ_TEV",$AI175,$I$2,$I$3))),"",_xll.ciqfunctions.udf.CIQ(AN$6,"IQ_TEV",$AI175,$I$2,$I$3)))</f>
        <v/>
      </c>
      <c r="AO175" s="718" t="str">
        <f>IF(OR($B175="No",AO$6=""),"",IF(NOT(ISNUMBER(_xll.ciqfunctions.udf.CIQ(AO$6,"IQ_TEV",$AI175,$I$2,$I$3))),"",_xll.ciqfunctions.udf.CIQ(AO$6,"IQ_TEV",$AI175,$I$2,$I$3)))</f>
        <v/>
      </c>
      <c r="AP175" s="718" t="str">
        <f>IF(OR($B175="No",AP$6=""),"",IF(NOT(ISNUMBER(_xll.ciqfunctions.udf.CIQ(AP$6,"IQ_TEV",$AI175,$I$2,$I$3))),"",_xll.ciqfunctions.udf.CIQ(AP$6,"IQ_TEV",$AI175,$I$2,$I$3)))</f>
        <v/>
      </c>
      <c r="AQ175" s="718" t="str">
        <f>IF(OR($B175="No",AQ$6=""),"",IF(NOT(ISNUMBER(_xll.ciqfunctions.udf.CIQ(AQ$6,"IQ_TEV",$AI175,$I$2,$I$3))),"",_xll.ciqfunctions.udf.CIQ(AQ$6,"IQ_TEV",$AI175,$I$2,$I$3)))</f>
        <v/>
      </c>
      <c r="AR175" s="718" t="str">
        <f>IF(OR($B175="No",AR$6=""),"",IF(NOT(ISNUMBER(_xll.ciqfunctions.udf.CIQ(AR$6,"IQ_TEV",$AI175,$I$2,$I$3))),"",_xll.ciqfunctions.udf.CIQ(AR$6,"IQ_TEV",$AI175,$I$2,$I$3)))</f>
        <v/>
      </c>
      <c r="AS175" s="718" t="str">
        <f>IF(OR($B175="No",AS$6=""),"",IF(NOT(ISNUMBER(_xll.ciqfunctions.udf.CIQ(AS$6,"IQ_TEV",$AI175,$I$2,$I$3))),"",_xll.ciqfunctions.udf.CIQ(AS$6,"IQ_TEV",$AI175,$I$2,$I$3)))</f>
        <v/>
      </c>
      <c r="AT175" s="718" t="str">
        <f>IF(OR($B175="No",AT$6=""),"",IF(NOT(ISNUMBER(_xll.ciqfunctions.udf.CIQ(AT$6,"IQ_TEV",$AI175,$I$2,$I$3))),"",_xll.ciqfunctions.udf.CIQ(AT$6,"IQ_TEV",$AI175,$I$2,$I$3)))</f>
        <v/>
      </c>
      <c r="AV175" s="251">
        <f t="shared" si="99"/>
        <v>44001</v>
      </c>
      <c r="AW175" s="719">
        <f t="shared" si="100"/>
        <v>0.5588019553320398</v>
      </c>
      <c r="AX175" s="719">
        <f t="shared" si="101"/>
        <v>0.82984500881735079</v>
      </c>
      <c r="AY175" s="719" t="e">
        <f t="shared" si="102"/>
        <v>#N/A</v>
      </c>
      <c r="AZ175" s="719" t="e">
        <f t="shared" si="103"/>
        <v>#N/A</v>
      </c>
      <c r="BA175" s="719" t="e">
        <f t="shared" si="104"/>
        <v>#N/A</v>
      </c>
      <c r="BB175" s="719" t="e">
        <f t="shared" si="105"/>
        <v>#N/A</v>
      </c>
      <c r="BC175" s="719" t="e">
        <f t="shared" si="106"/>
        <v>#N/A</v>
      </c>
      <c r="BD175" s="719" t="e">
        <f t="shared" si="107"/>
        <v>#N/A</v>
      </c>
      <c r="BE175" s="719" t="e">
        <f t="shared" si="108"/>
        <v>#N/A</v>
      </c>
      <c r="BF175" s="719" t="e">
        <f t="shared" si="109"/>
        <v>#N/A</v>
      </c>
      <c r="BG175" s="719" t="e">
        <f t="shared" si="110"/>
        <v>#N/A</v>
      </c>
    </row>
    <row r="176" spans="1:59" ht="15" customHeight="1" x14ac:dyDescent="0.2">
      <c r="A176" s="251">
        <f t="shared" si="93"/>
        <v>44008</v>
      </c>
      <c r="B176" s="253" t="str">
        <f t="shared" si="111"/>
        <v>Yes</v>
      </c>
      <c r="C176" s="1033">
        <f>IF(C$6="","",IF(NOT(ISNUMBER(_xll.ciqfunctions.udf.CIQ(C$6,$F$2, $A176, $I$2, $I$3))),IF(C175=C$6,"",C175),_xll.ciqfunctions.udf.CIQ(C$6,$F$2, $A176, $I$2, $I$3)))</f>
        <v>118.32</v>
      </c>
      <c r="D176" s="1033">
        <f>IF(D$6="","",IF(NOT(ISNUMBER(_xll.ciqfunctions.udf.CIQ(D$6,$F$2, $A176, $I$2, $I$3))),IF(D175=D$6,"",D175),_xll.ciqfunctions.udf.CIQ(D$6,$F$2, $A176, $I$2, $I$3)))</f>
        <v>25015.54881</v>
      </c>
      <c r="E176" s="1033">
        <f>IF(E$6="","",IF(NOT(ISNUMBER(_xll.ciqfunctions.udf.CIQ(E$6,$F$2, $A176, $I$2, $I$3))),IF(E175=E$6,"",E175),_xll.ciqfunctions.udf.CIQ(E$6,$F$2, $A176, $I$2, $I$3)))</f>
        <v>8028.3870100000004</v>
      </c>
      <c r="F176" s="1033">
        <f>IF(F$6="","",IF(NOT(ISNUMBER(_xll.ciqfunctions.udf.CIQ(F$6,$F$2, $A176, $I$2, $I$3))),IF(F175=F$6,"",F175),_xll.ciqfunctions.udf.CIQ(F$6,$F$2, $A176, $I$2, $I$3)))</f>
        <v>4282.0010300000004</v>
      </c>
      <c r="G176" s="1033">
        <f>IF(G$6="","",IF(NOT(ISNUMBER(_xll.ciqfunctions.udf.CIQ(G$6,$F$2, $A176, $I$2, $I$3))),IF(G175=G$6,"",G175),_xll.ciqfunctions.udf.CIQ(G$6,$F$2, $A176, $I$2, $I$3)))</f>
        <v>296.56</v>
      </c>
      <c r="H176" s="1033" t="str">
        <f>IF(H$6="","",IF(NOT(ISNUMBER(_xll.ciqfunctions.udf.CIQ(H$6,$F$2, $A176, $I$2, $I$3))),IF(H175=H$6,"",H175),_xll.ciqfunctions.udf.CIQ(H$6,$F$2, $A176, $I$2, $I$3)))</f>
        <v/>
      </c>
      <c r="I176" s="1033" t="str">
        <f>IF(I$6="","",IF(NOT(ISNUMBER(_xll.ciqfunctions.udf.CIQ(I$6,$F$2, $A176, $I$2, $I$3))),IF(I175=I$6,"",I175),_xll.ciqfunctions.udf.CIQ(I$6,$F$2, $A176, $I$2, $I$3)))</f>
        <v/>
      </c>
      <c r="J176" s="1033" t="str">
        <f>IF(J$6="","",IF(NOT(ISNUMBER(_xll.ciqfunctions.udf.CIQ(J$6,$F$2, $A176, $I$2, $I$3))),IF(J175=J$6,"",J175),_xll.ciqfunctions.udf.CIQ(J$6,$F$2, $A176, $I$2, $I$3)))</f>
        <v/>
      </c>
      <c r="K176" s="1033" t="str">
        <f>IF(K$6="","",IF(NOT(ISNUMBER(_xll.ciqfunctions.udf.CIQ(K$6,$F$2, $A176, $I$2, $I$3))),IF(K175=K$6,"",K175),_xll.ciqfunctions.udf.CIQ(K$6,$F$2, $A176, $I$2, $I$3)))</f>
        <v/>
      </c>
      <c r="L176" s="254" t="str">
        <f>IF(L$6="","",IF(NOT(ISNUMBER(_xll.ciqfunctions.udf.CIQ(L$6,$F$2, $A176, $I$2, $I$3))),IF(L175=L$6,"",L175),_xll.ciqfunctions.udf.CIQ(L$6,$F$2, $A176, $I$2, $I$3)))</f>
        <v/>
      </c>
      <c r="M176" s="254" t="str">
        <f>IF(M$6="","",IF(NOT(ISNUMBER(_xll.ciqfunctions.udf.CIQ(M$6,$F$2, $A176, $I$2, $I$3))),IF(M175=M$6,"",M175),_xll.ciqfunctions.udf.CIQ(M$6,$F$2, $A176, $I$2, $I$3)))</f>
        <v/>
      </c>
      <c r="N176" s="254" t="str">
        <f>IF(N$6="","",IF(NOT(ISNUMBER(_xll.ciqfunctions.udf.CIQ(N$6,$F$2, $A176, $I$2, $I$3))),IF(N175=N$6,"",N175),_xll.ciqfunctions.udf.CIQ(N$6,$F$2, $A176, $I$2, $I$3)))</f>
        <v/>
      </c>
      <c r="O176" s="254" t="str">
        <f>IF(O$6="","",IF(NOT(ISNUMBER(_xll.ciqfunctions.udf.CIQ(O$6,$F$2, $A176, $I$2, $I$3))),IF(O175=O$6,"",O175),_xll.ciqfunctions.udf.CIQ(O$6,$F$2, $A176, $I$2, $I$3)))</f>
        <v/>
      </c>
      <c r="P176" s="254" t="str">
        <f>IF(P$6="","",IF(NOT(ISNUMBER(_xll.ciqfunctions.udf.CIQ(P$6,$F$2, $A176, $I$2, $I$3))),IF(P175=P$6,"",P175),_xll.ciqfunctions.udf.CIQ(P$6,$F$2, $A176, $I$2, $I$3)))</f>
        <v/>
      </c>
      <c r="Q176" s="254"/>
      <c r="R176" s="251">
        <f t="shared" si="94"/>
        <v>44008</v>
      </c>
      <c r="S176" s="255">
        <f t="shared" si="96"/>
        <v>0.64150943396226401</v>
      </c>
      <c r="T176" s="255">
        <f t="shared" si="97"/>
        <v>0.21063162114764689</v>
      </c>
      <c r="U176" s="255">
        <f t="shared" si="98"/>
        <v>0.12193792980297036</v>
      </c>
      <c r="V176" s="255">
        <f t="shared" si="112"/>
        <v>-2.4542282465492282E-2</v>
      </c>
      <c r="W176" s="255">
        <f t="array" ref="W176">IFERROR(AVERAGE(IF(ISERROR(X176:AG176),"",X176:AG176)),"")</f>
        <v>0.7685014013954321</v>
      </c>
      <c r="X176" s="255">
        <f t="shared" si="113"/>
        <v>0.7685014013954321</v>
      </c>
      <c r="Y176" s="255" t="e">
        <f t="shared" si="114"/>
        <v>#N/A</v>
      </c>
      <c r="Z176" s="255" t="e">
        <f t="shared" si="115"/>
        <v>#N/A</v>
      </c>
      <c r="AA176" s="255" t="e">
        <f t="shared" si="116"/>
        <v>#N/A</v>
      </c>
      <c r="AB176" s="255" t="e">
        <f t="shared" si="117"/>
        <v>#N/A</v>
      </c>
      <c r="AC176" s="255" t="e">
        <f t="shared" si="118"/>
        <v>#N/A</v>
      </c>
      <c r="AD176" s="255" t="e">
        <f t="shared" si="119"/>
        <v>#N/A</v>
      </c>
      <c r="AE176" s="255" t="e">
        <f t="shared" si="120"/>
        <v>#N/A</v>
      </c>
      <c r="AF176" s="255" t="e">
        <f t="shared" si="121"/>
        <v>#N/A</v>
      </c>
      <c r="AG176" s="255" t="e">
        <f t="shared" si="122"/>
        <v>#N/A</v>
      </c>
      <c r="AI176" s="251">
        <f t="shared" si="95"/>
        <v>44008</v>
      </c>
      <c r="AJ176" s="718">
        <f>IF(OR($B176="No",AJ$6=""),"",IF(NOT(ISNUMBER(_xll.ciqfunctions.udf.CIQ(AJ$6,"IQ_TEV",$AI176,$I$2,$I$3))),"",_xll.ciqfunctions.udf.CIQ(AJ$6,"IQ_TEV",$AI176,$I$2,$I$3)))</f>
        <v>402603.73220000003</v>
      </c>
      <c r="AK176" s="718">
        <f>IF(OR($B176="No",AK$6=""),"",IF(NOT(ISNUMBER(_xll.ciqfunctions.udf.CIQ(AK$6,"IQ_TEV",$AI176,$I$2,$I$3))),"",_xll.ciqfunctions.udf.CIQ(AK$6,"IQ_TEV",$AI176,$I$2,$I$3)))</f>
        <v>132076.27173000001</v>
      </c>
      <c r="AL176" s="718" t="str">
        <f>IF(OR($B176="No",AL$6=""),"",IF(NOT(ISNUMBER(_xll.ciqfunctions.udf.CIQ(AL$6,"IQ_TEV",$AI176,$I$2,$I$3))),"",_xll.ciqfunctions.udf.CIQ(AL$6,"IQ_TEV",$AI176,$I$2,$I$3)))</f>
        <v/>
      </c>
      <c r="AM176" s="718" t="str">
        <f>IF(OR($B176="No",AM$6=""),"",IF(NOT(ISNUMBER(_xll.ciqfunctions.udf.CIQ(AM$6,"IQ_TEV",$AI176,$I$2,$I$3))),"",_xll.ciqfunctions.udf.CIQ(AM$6,"IQ_TEV",$AI176,$I$2,$I$3)))</f>
        <v/>
      </c>
      <c r="AN176" s="718" t="str">
        <f>IF(OR($B176="No",AN$6=""),"",IF(NOT(ISNUMBER(_xll.ciqfunctions.udf.CIQ(AN$6,"IQ_TEV",$AI176,$I$2,$I$3))),"",_xll.ciqfunctions.udf.CIQ(AN$6,"IQ_TEV",$AI176,$I$2,$I$3)))</f>
        <v/>
      </c>
      <c r="AO176" s="718" t="str">
        <f>IF(OR($B176="No",AO$6=""),"",IF(NOT(ISNUMBER(_xll.ciqfunctions.udf.CIQ(AO$6,"IQ_TEV",$AI176,$I$2,$I$3))),"",_xll.ciqfunctions.udf.CIQ(AO$6,"IQ_TEV",$AI176,$I$2,$I$3)))</f>
        <v/>
      </c>
      <c r="AP176" s="718" t="str">
        <f>IF(OR($B176="No",AP$6=""),"",IF(NOT(ISNUMBER(_xll.ciqfunctions.udf.CIQ(AP$6,"IQ_TEV",$AI176,$I$2,$I$3))),"",_xll.ciqfunctions.udf.CIQ(AP$6,"IQ_TEV",$AI176,$I$2,$I$3)))</f>
        <v/>
      </c>
      <c r="AQ176" s="718" t="str">
        <f>IF(OR($B176="No",AQ$6=""),"",IF(NOT(ISNUMBER(_xll.ciqfunctions.udf.CIQ(AQ$6,"IQ_TEV",$AI176,$I$2,$I$3))),"",_xll.ciqfunctions.udf.CIQ(AQ$6,"IQ_TEV",$AI176,$I$2,$I$3)))</f>
        <v/>
      </c>
      <c r="AR176" s="718" t="str">
        <f>IF(OR($B176="No",AR$6=""),"",IF(NOT(ISNUMBER(_xll.ciqfunctions.udf.CIQ(AR$6,"IQ_TEV",$AI176,$I$2,$I$3))),"",_xll.ciqfunctions.udf.CIQ(AR$6,"IQ_TEV",$AI176,$I$2,$I$3)))</f>
        <v/>
      </c>
      <c r="AS176" s="718" t="str">
        <f>IF(OR($B176="No",AS$6=""),"",IF(NOT(ISNUMBER(_xll.ciqfunctions.udf.CIQ(AS$6,"IQ_TEV",$AI176,$I$2,$I$3))),"",_xll.ciqfunctions.udf.CIQ(AS$6,"IQ_TEV",$AI176,$I$2,$I$3)))</f>
        <v/>
      </c>
      <c r="AT176" s="718" t="str">
        <f>IF(OR($B176="No",AT$6=""),"",IF(NOT(ISNUMBER(_xll.ciqfunctions.udf.CIQ(AT$6,"IQ_TEV",$AI176,$I$2,$I$3))),"",_xll.ciqfunctions.udf.CIQ(AT$6,"IQ_TEV",$AI176,$I$2,$I$3)))</f>
        <v/>
      </c>
      <c r="AV176" s="251">
        <f t="shared" si="99"/>
        <v>44008</v>
      </c>
      <c r="AW176" s="719">
        <f t="shared" si="100"/>
        <v>0.54220449235061863</v>
      </c>
      <c r="AX176" s="719">
        <f t="shared" si="101"/>
        <v>0.80963959319633383</v>
      </c>
      <c r="AY176" s="719" t="e">
        <f t="shared" si="102"/>
        <v>#N/A</v>
      </c>
      <c r="AZ176" s="719" t="e">
        <f t="shared" si="103"/>
        <v>#N/A</v>
      </c>
      <c r="BA176" s="719" t="e">
        <f t="shared" si="104"/>
        <v>#N/A</v>
      </c>
      <c r="BB176" s="719" t="e">
        <f t="shared" si="105"/>
        <v>#N/A</v>
      </c>
      <c r="BC176" s="719" t="e">
        <f t="shared" si="106"/>
        <v>#N/A</v>
      </c>
      <c r="BD176" s="719" t="e">
        <f t="shared" si="107"/>
        <v>#N/A</v>
      </c>
      <c r="BE176" s="719" t="e">
        <f t="shared" si="108"/>
        <v>#N/A</v>
      </c>
      <c r="BF176" s="719" t="e">
        <f t="shared" si="109"/>
        <v>#N/A</v>
      </c>
      <c r="BG176" s="719" t="e">
        <f t="shared" si="110"/>
        <v>#N/A</v>
      </c>
    </row>
    <row r="177" spans="1:59" ht="15" customHeight="1" x14ac:dyDescent="0.2">
      <c r="A177" s="251">
        <f t="shared" si="93"/>
        <v>44015</v>
      </c>
      <c r="B177" s="253" t="str">
        <f t="shared" si="111"/>
        <v>Yes</v>
      </c>
      <c r="C177" s="1033">
        <f>IF(C$6="","",IF(NOT(ISNUMBER(_xll.ciqfunctions.udf.CIQ(C$6,$F$2, $A177, $I$2, $I$3))),IF(C176=C$6,"",C176),_xll.ciqfunctions.udf.CIQ(C$6,$F$2, $A177, $I$2, $I$3)))</f>
        <v>119.21</v>
      </c>
      <c r="D177" s="1033">
        <f>IF(D$6="","",IF(NOT(ISNUMBER(_xll.ciqfunctions.udf.CIQ(D$6,$F$2, $A177, $I$2, $I$3))),IF(D176=D$6,"",D176),_xll.ciqfunctions.udf.CIQ(D$6,$F$2, $A177, $I$2, $I$3)))</f>
        <v>25827.35626</v>
      </c>
      <c r="E177" s="1033">
        <f>IF(E$6="","",IF(NOT(ISNUMBER(_xll.ciqfunctions.udf.CIQ(E$6,$F$2, $A177, $I$2, $I$3))),IF(E176=E$6,"",E176),_xll.ciqfunctions.udf.CIQ(E$6,$F$2, $A177, $I$2, $I$3)))</f>
        <v>8344.0814900000005</v>
      </c>
      <c r="F177" s="1033">
        <f>IF(F$6="","",IF(NOT(ISNUMBER(_xll.ciqfunctions.udf.CIQ(F$6,$F$2, $A177, $I$2, $I$3))),IF(F176=F$6,"",F176),_xll.ciqfunctions.udf.CIQ(F$6,$F$2, $A177, $I$2, $I$3)))</f>
        <v>4503.57168</v>
      </c>
      <c r="G177" s="1033">
        <f>IF(G$6="","",IF(NOT(ISNUMBER(_xll.ciqfunctions.udf.CIQ(G$6,$F$2, $A177, $I$2, $I$3))),IF(G176=G$6,"",G176),_xll.ciqfunctions.udf.CIQ(G$6,$F$2, $A177, $I$2, $I$3)))</f>
        <v>305.74</v>
      </c>
      <c r="H177" s="1033" t="str">
        <f>IF(H$6="","",IF(NOT(ISNUMBER(_xll.ciqfunctions.udf.CIQ(H$6,$F$2, $A177, $I$2, $I$3))),IF(H176=H$6,"",H176),_xll.ciqfunctions.udf.CIQ(H$6,$F$2, $A177, $I$2, $I$3)))</f>
        <v/>
      </c>
      <c r="I177" s="1033" t="str">
        <f>IF(I$6="","",IF(NOT(ISNUMBER(_xll.ciqfunctions.udf.CIQ(I$6,$F$2, $A177, $I$2, $I$3))),IF(I176=I$6,"",I176),_xll.ciqfunctions.udf.CIQ(I$6,$F$2, $A177, $I$2, $I$3)))</f>
        <v/>
      </c>
      <c r="J177" s="1033" t="str">
        <f>IF(J$6="","",IF(NOT(ISNUMBER(_xll.ciqfunctions.udf.CIQ(J$6,$F$2, $A177, $I$2, $I$3))),IF(J176=J$6,"",J176),_xll.ciqfunctions.udf.CIQ(J$6,$F$2, $A177, $I$2, $I$3)))</f>
        <v/>
      </c>
      <c r="K177" s="1033" t="str">
        <f>IF(K$6="","",IF(NOT(ISNUMBER(_xll.ciqfunctions.udf.CIQ(K$6,$F$2, $A177, $I$2, $I$3))),IF(K176=K$6,"",K176),_xll.ciqfunctions.udf.CIQ(K$6,$F$2, $A177, $I$2, $I$3)))</f>
        <v/>
      </c>
      <c r="L177" s="254" t="str">
        <f>IF(L$6="","",IF(NOT(ISNUMBER(_xll.ciqfunctions.udf.CIQ(L$6,$F$2, $A177, $I$2, $I$3))),IF(L176=L$6,"",L176),_xll.ciqfunctions.udf.CIQ(L$6,$F$2, $A177, $I$2, $I$3)))</f>
        <v/>
      </c>
      <c r="M177" s="254" t="str">
        <f>IF(M$6="","",IF(NOT(ISNUMBER(_xll.ciqfunctions.udf.CIQ(M$6,$F$2, $A177, $I$2, $I$3))),IF(M176=M$6,"",M176),_xll.ciqfunctions.udf.CIQ(M$6,$F$2, $A177, $I$2, $I$3)))</f>
        <v/>
      </c>
      <c r="N177" s="254" t="str">
        <f>IF(N$6="","",IF(NOT(ISNUMBER(_xll.ciqfunctions.udf.CIQ(N$6,$F$2, $A177, $I$2, $I$3))),IF(N176=N$6,"",N176),_xll.ciqfunctions.udf.CIQ(N$6,$F$2, $A177, $I$2, $I$3)))</f>
        <v/>
      </c>
      <c r="O177" s="254" t="str">
        <f>IF(O$6="","",IF(NOT(ISNUMBER(_xll.ciqfunctions.udf.CIQ(O$6,$F$2, $A177, $I$2, $I$3))),IF(O176=O$6,"",O176),_xll.ciqfunctions.udf.CIQ(O$6,$F$2, $A177, $I$2, $I$3)))</f>
        <v/>
      </c>
      <c r="P177" s="254" t="str">
        <f>IF(P$6="","",IF(NOT(ISNUMBER(_xll.ciqfunctions.udf.CIQ(P$6,$F$2, $A177, $I$2, $I$3))),IF(P176=P$6,"",P176),_xll.ciqfunctions.udf.CIQ(P$6,$F$2, $A177, $I$2, $I$3)))</f>
        <v/>
      </c>
      <c r="Q177" s="254"/>
      <c r="R177" s="251">
        <f t="shared" si="94"/>
        <v>44015</v>
      </c>
      <c r="S177" s="255">
        <f t="shared" si="96"/>
        <v>0.65385682574916748</v>
      </c>
      <c r="T177" s="255">
        <f t="shared" si="97"/>
        <v>0.24991917692816856</v>
      </c>
      <c r="U177" s="255">
        <f t="shared" si="98"/>
        <v>0.16605508694801752</v>
      </c>
      <c r="V177" s="255">
        <f t="shared" si="112"/>
        <v>2.5932436948957971E-2</v>
      </c>
      <c r="W177" s="255">
        <f t="array" ref="W177">IFERROR(AVERAGE(IF(ISERROR(X177:AG177),"",X177:AG177)),"")</f>
        <v>0.82324527401753245</v>
      </c>
      <c r="X177" s="255">
        <f t="shared" si="113"/>
        <v>0.82324527401753245</v>
      </c>
      <c r="Y177" s="255" t="e">
        <f t="shared" si="114"/>
        <v>#N/A</v>
      </c>
      <c r="Z177" s="255" t="e">
        <f t="shared" si="115"/>
        <v>#N/A</v>
      </c>
      <c r="AA177" s="255" t="e">
        <f t="shared" si="116"/>
        <v>#N/A</v>
      </c>
      <c r="AB177" s="255" t="e">
        <f t="shared" si="117"/>
        <v>#N/A</v>
      </c>
      <c r="AC177" s="255" t="e">
        <f t="shared" si="118"/>
        <v>#N/A</v>
      </c>
      <c r="AD177" s="255" t="e">
        <f t="shared" si="119"/>
        <v>#N/A</v>
      </c>
      <c r="AE177" s="255" t="e">
        <f t="shared" si="120"/>
        <v>#N/A</v>
      </c>
      <c r="AF177" s="255" t="e">
        <f t="shared" si="121"/>
        <v>#N/A</v>
      </c>
      <c r="AG177" s="255" t="e">
        <f t="shared" si="122"/>
        <v>#N/A</v>
      </c>
      <c r="AI177" s="251">
        <f t="shared" si="95"/>
        <v>44015</v>
      </c>
      <c r="AJ177" s="718">
        <f>IF(OR($B177="No",AJ$6=""),"",IF(NOT(ISNUMBER(_xll.ciqfunctions.udf.CIQ(AJ$6,"IQ_TEV",$AI177,$I$2,$I$3))),"",_xll.ciqfunctions.udf.CIQ(AJ$6,"IQ_TEV",$AI177,$I$2,$I$3)))</f>
        <v>405124.17077000003</v>
      </c>
      <c r="AK177" s="718">
        <f>IF(OR($B177="No",AK$6=""),"",IF(NOT(ISNUMBER(_xll.ciqfunctions.udf.CIQ(AK$6,"IQ_TEV",$AI177,$I$2,$I$3))),"",_xll.ciqfunctions.udf.CIQ(AK$6,"IQ_TEV",$AI177,$I$2,$I$3)))</f>
        <v>136129.45939999999</v>
      </c>
      <c r="AL177" s="718" t="str">
        <f>IF(OR($B177="No",AL$6=""),"",IF(NOT(ISNUMBER(_xll.ciqfunctions.udf.CIQ(AL$6,"IQ_TEV",$AI177,$I$2,$I$3))),"",_xll.ciqfunctions.udf.CIQ(AL$6,"IQ_TEV",$AI177,$I$2,$I$3)))</f>
        <v/>
      </c>
      <c r="AM177" s="718" t="str">
        <f>IF(OR($B177="No",AM$6=""),"",IF(NOT(ISNUMBER(_xll.ciqfunctions.udf.CIQ(AM$6,"IQ_TEV",$AI177,$I$2,$I$3))),"",_xll.ciqfunctions.udf.CIQ(AM$6,"IQ_TEV",$AI177,$I$2,$I$3)))</f>
        <v/>
      </c>
      <c r="AN177" s="718" t="str">
        <f>IF(OR($B177="No",AN$6=""),"",IF(NOT(ISNUMBER(_xll.ciqfunctions.udf.CIQ(AN$6,"IQ_TEV",$AI177,$I$2,$I$3))),"",_xll.ciqfunctions.udf.CIQ(AN$6,"IQ_TEV",$AI177,$I$2,$I$3)))</f>
        <v/>
      </c>
      <c r="AO177" s="718" t="str">
        <f>IF(OR($B177="No",AO$6=""),"",IF(NOT(ISNUMBER(_xll.ciqfunctions.udf.CIQ(AO$6,"IQ_TEV",$AI177,$I$2,$I$3))),"",_xll.ciqfunctions.udf.CIQ(AO$6,"IQ_TEV",$AI177,$I$2,$I$3)))</f>
        <v/>
      </c>
      <c r="AP177" s="718" t="str">
        <f>IF(OR($B177="No",AP$6=""),"",IF(NOT(ISNUMBER(_xll.ciqfunctions.udf.CIQ(AP$6,"IQ_TEV",$AI177,$I$2,$I$3))),"",_xll.ciqfunctions.udf.CIQ(AP$6,"IQ_TEV",$AI177,$I$2,$I$3)))</f>
        <v/>
      </c>
      <c r="AQ177" s="718" t="str">
        <f>IF(OR($B177="No",AQ$6=""),"",IF(NOT(ISNUMBER(_xll.ciqfunctions.udf.CIQ(AQ$6,"IQ_TEV",$AI177,$I$2,$I$3))),"",_xll.ciqfunctions.udf.CIQ(AQ$6,"IQ_TEV",$AI177,$I$2,$I$3)))</f>
        <v/>
      </c>
      <c r="AR177" s="718" t="str">
        <f>IF(OR($B177="No",AR$6=""),"",IF(NOT(ISNUMBER(_xll.ciqfunctions.udf.CIQ(AR$6,"IQ_TEV",$AI177,$I$2,$I$3))),"",_xll.ciqfunctions.udf.CIQ(AR$6,"IQ_TEV",$AI177,$I$2,$I$3)))</f>
        <v/>
      </c>
      <c r="AS177" s="718" t="str">
        <f>IF(OR($B177="No",AS$6=""),"",IF(NOT(ISNUMBER(_xll.ciqfunctions.udf.CIQ(AS$6,"IQ_TEV",$AI177,$I$2,$I$3))),"",_xll.ciqfunctions.udf.CIQ(AS$6,"IQ_TEV",$AI177,$I$2,$I$3)))</f>
        <v/>
      </c>
      <c r="AT177" s="718" t="str">
        <f>IF(OR($B177="No",AT$6=""),"",IF(NOT(ISNUMBER(_xll.ciqfunctions.udf.CIQ(AT$6,"IQ_TEV",$AI177,$I$2,$I$3))),"",_xll.ciqfunctions.udf.CIQ(AT$6,"IQ_TEV",$AI177,$I$2,$I$3)))</f>
        <v/>
      </c>
      <c r="AV177" s="251">
        <f t="shared" si="99"/>
        <v>44015</v>
      </c>
      <c r="AW177" s="719">
        <f t="shared" si="100"/>
        <v>0.55185922571363877</v>
      </c>
      <c r="AX177" s="719">
        <f t="shared" si="101"/>
        <v>0.86517423836924956</v>
      </c>
      <c r="AY177" s="719" t="e">
        <f t="shared" si="102"/>
        <v>#N/A</v>
      </c>
      <c r="AZ177" s="719" t="e">
        <f t="shared" si="103"/>
        <v>#N/A</v>
      </c>
      <c r="BA177" s="719" t="e">
        <f t="shared" si="104"/>
        <v>#N/A</v>
      </c>
      <c r="BB177" s="719" t="e">
        <f t="shared" si="105"/>
        <v>#N/A</v>
      </c>
      <c r="BC177" s="719" t="e">
        <f t="shared" si="106"/>
        <v>#N/A</v>
      </c>
      <c r="BD177" s="719" t="e">
        <f t="shared" si="107"/>
        <v>#N/A</v>
      </c>
      <c r="BE177" s="719" t="e">
        <f t="shared" si="108"/>
        <v>#N/A</v>
      </c>
      <c r="BF177" s="719" t="e">
        <f t="shared" si="109"/>
        <v>#N/A</v>
      </c>
      <c r="BG177" s="719" t="e">
        <f t="shared" si="110"/>
        <v>#N/A</v>
      </c>
    </row>
    <row r="178" spans="1:59" ht="15" customHeight="1" x14ac:dyDescent="0.2">
      <c r="A178" s="251">
        <f t="shared" si="93"/>
        <v>44022</v>
      </c>
      <c r="B178" s="253" t="str">
        <f t="shared" si="111"/>
        <v>Yes</v>
      </c>
      <c r="C178" s="1033">
        <f>IF(C$6="","",IF(NOT(ISNUMBER(_xll.ciqfunctions.udf.CIQ(C$6,$F$2, $A178, $I$2, $I$3))),IF(C177=C$6,"",C177),_xll.ciqfunctions.udf.CIQ(C$6,$F$2, $A178, $I$2, $I$3)))</f>
        <v>130.68</v>
      </c>
      <c r="D178" s="1033">
        <f>IF(D$6="","",IF(NOT(ISNUMBER(_xll.ciqfunctions.udf.CIQ(D$6,$F$2, $A178, $I$2, $I$3))),IF(D177=D$6,"",D177),_xll.ciqfunctions.udf.CIQ(D$6,$F$2, $A178, $I$2, $I$3)))</f>
        <v>26075.30184</v>
      </c>
      <c r="E178" s="1033">
        <f>IF(E$6="","",IF(NOT(ISNUMBER(_xll.ciqfunctions.udf.CIQ(E$6,$F$2, $A178, $I$2, $I$3))),IF(E177=E$6,"",E177),_xll.ciqfunctions.udf.CIQ(E$6,$F$2, $A178, $I$2, $I$3)))</f>
        <v>8415.9257799999996</v>
      </c>
      <c r="F178" s="1033">
        <f>IF(F$6="","",IF(NOT(ISNUMBER(_xll.ciqfunctions.udf.CIQ(F$6,$F$2, $A178, $I$2, $I$3))),IF(F177=F$6,"",F177),_xll.ciqfunctions.udf.CIQ(F$6,$F$2, $A178, $I$2, $I$3)))</f>
        <v>4574.7609300000004</v>
      </c>
      <c r="G178" s="1033">
        <f>IF(G$6="","",IF(NOT(ISNUMBER(_xll.ciqfunctions.udf.CIQ(G$6,$F$2, $A178, $I$2, $I$3))),IF(G177=G$6,"",G177),_xll.ciqfunctions.udf.CIQ(G$6,$F$2, $A178, $I$2, $I$3)))</f>
        <v>326.23</v>
      </c>
      <c r="H178" s="1033" t="str">
        <f>IF(H$6="","",IF(NOT(ISNUMBER(_xll.ciqfunctions.udf.CIQ(H$6,$F$2, $A178, $I$2, $I$3))),IF(H177=H$6,"",H177),_xll.ciqfunctions.udf.CIQ(H$6,$F$2, $A178, $I$2, $I$3)))</f>
        <v/>
      </c>
      <c r="I178" s="1033" t="str">
        <f>IF(I$6="","",IF(NOT(ISNUMBER(_xll.ciqfunctions.udf.CIQ(I$6,$F$2, $A178, $I$2, $I$3))),IF(I177=I$6,"",I177),_xll.ciqfunctions.udf.CIQ(I$6,$F$2, $A178, $I$2, $I$3)))</f>
        <v/>
      </c>
      <c r="J178" s="1033" t="str">
        <f>IF(J$6="","",IF(NOT(ISNUMBER(_xll.ciqfunctions.udf.CIQ(J$6,$F$2, $A178, $I$2, $I$3))),IF(J177=J$6,"",J177),_xll.ciqfunctions.udf.CIQ(J$6,$F$2, $A178, $I$2, $I$3)))</f>
        <v/>
      </c>
      <c r="K178" s="1033" t="str">
        <f>IF(K$6="","",IF(NOT(ISNUMBER(_xll.ciqfunctions.udf.CIQ(K$6,$F$2, $A178, $I$2, $I$3))),IF(K177=K$6,"",K177),_xll.ciqfunctions.udf.CIQ(K$6,$F$2, $A178, $I$2, $I$3)))</f>
        <v/>
      </c>
      <c r="L178" s="254" t="str">
        <f>IF(L$6="","",IF(NOT(ISNUMBER(_xll.ciqfunctions.udf.CIQ(L$6,$F$2, $A178, $I$2, $I$3))),IF(L177=L$6,"",L177),_xll.ciqfunctions.udf.CIQ(L$6,$F$2, $A178, $I$2, $I$3)))</f>
        <v/>
      </c>
      <c r="M178" s="254" t="str">
        <f>IF(M$6="","",IF(NOT(ISNUMBER(_xll.ciqfunctions.udf.CIQ(M$6,$F$2, $A178, $I$2, $I$3))),IF(M177=M$6,"",M177),_xll.ciqfunctions.udf.CIQ(M$6,$F$2, $A178, $I$2, $I$3)))</f>
        <v/>
      </c>
      <c r="N178" s="254" t="str">
        <f>IF(N$6="","",IF(NOT(ISNUMBER(_xll.ciqfunctions.udf.CIQ(N$6,$F$2, $A178, $I$2, $I$3))),IF(N177=N$6,"",N177),_xll.ciqfunctions.udf.CIQ(N$6,$F$2, $A178, $I$2, $I$3)))</f>
        <v/>
      </c>
      <c r="O178" s="254" t="str">
        <f>IF(O$6="","",IF(NOT(ISNUMBER(_xll.ciqfunctions.udf.CIQ(O$6,$F$2, $A178, $I$2, $I$3))),IF(O177=O$6,"",O177),_xll.ciqfunctions.udf.CIQ(O$6,$F$2, $A178, $I$2, $I$3)))</f>
        <v/>
      </c>
      <c r="P178" s="254" t="str">
        <f>IF(P$6="","",IF(NOT(ISNUMBER(_xll.ciqfunctions.udf.CIQ(P$6,$F$2, $A178, $I$2, $I$3))),IF(P177=P$6,"",P177),_xll.ciqfunctions.udf.CIQ(P$6,$F$2, $A178, $I$2, $I$3)))</f>
        <v/>
      </c>
      <c r="Q178" s="254"/>
      <c r="R178" s="251">
        <f t="shared" si="94"/>
        <v>44022</v>
      </c>
      <c r="S178" s="255">
        <f t="shared" si="96"/>
        <v>0.81298557158712548</v>
      </c>
      <c r="T178" s="255">
        <f t="shared" si="97"/>
        <v>0.26191854427172268</v>
      </c>
      <c r="U178" s="255">
        <f t="shared" si="98"/>
        <v>0.17609506557515187</v>
      </c>
      <c r="V178" s="255">
        <f t="shared" si="112"/>
        <v>4.2149645406283742E-2</v>
      </c>
      <c r="W178" s="255">
        <f t="array" ref="W178">IFERROR(AVERAGE(IF(ISERROR(X178:AG178),"",X178:AG178)),"")</f>
        <v>0.94543502892241649</v>
      </c>
      <c r="X178" s="255">
        <f t="shared" si="113"/>
        <v>0.94543502892241649</v>
      </c>
      <c r="Y178" s="255" t="e">
        <f t="shared" si="114"/>
        <v>#N/A</v>
      </c>
      <c r="Z178" s="255" t="e">
        <f t="shared" si="115"/>
        <v>#N/A</v>
      </c>
      <c r="AA178" s="255" t="e">
        <f t="shared" si="116"/>
        <v>#N/A</v>
      </c>
      <c r="AB178" s="255" t="e">
        <f t="shared" si="117"/>
        <v>#N/A</v>
      </c>
      <c r="AC178" s="255" t="e">
        <f t="shared" si="118"/>
        <v>#N/A</v>
      </c>
      <c r="AD178" s="255" t="e">
        <f t="shared" si="119"/>
        <v>#N/A</v>
      </c>
      <c r="AE178" s="255" t="e">
        <f t="shared" si="120"/>
        <v>#N/A</v>
      </c>
      <c r="AF178" s="255" t="e">
        <f t="shared" si="121"/>
        <v>#N/A</v>
      </c>
      <c r="AG178" s="255" t="e">
        <f t="shared" si="122"/>
        <v>#N/A</v>
      </c>
      <c r="AI178" s="251">
        <f t="shared" si="95"/>
        <v>44022</v>
      </c>
      <c r="AJ178" s="718">
        <f>IF(OR($B178="No",AJ$6=""),"",IF(NOT(ISNUMBER(_xll.ciqfunctions.udf.CIQ(AJ$6,"IQ_TEV",$AI178,$I$2,$I$3))),"",_xll.ciqfunctions.udf.CIQ(AJ$6,"IQ_TEV",$AI178,$I$2,$I$3)))</f>
        <v>437606.67684999999</v>
      </c>
      <c r="AK178" s="718">
        <f>IF(OR($B178="No",AK$6=""),"",IF(NOT(ISNUMBER(_xll.ciqfunctions.udf.CIQ(AK$6,"IQ_TEV",$AI178,$I$2,$I$3))),"",_xll.ciqfunctions.udf.CIQ(AK$6,"IQ_TEV",$AI178,$I$2,$I$3)))</f>
        <v>145176.28023999999</v>
      </c>
      <c r="AL178" s="718" t="str">
        <f>IF(OR($B178="No",AL$6=""),"",IF(NOT(ISNUMBER(_xll.ciqfunctions.udf.CIQ(AL$6,"IQ_TEV",$AI178,$I$2,$I$3))),"",_xll.ciqfunctions.udf.CIQ(AL$6,"IQ_TEV",$AI178,$I$2,$I$3)))</f>
        <v/>
      </c>
      <c r="AM178" s="718" t="str">
        <f>IF(OR($B178="No",AM$6=""),"",IF(NOT(ISNUMBER(_xll.ciqfunctions.udf.CIQ(AM$6,"IQ_TEV",$AI178,$I$2,$I$3))),"",_xll.ciqfunctions.udf.CIQ(AM$6,"IQ_TEV",$AI178,$I$2,$I$3)))</f>
        <v/>
      </c>
      <c r="AN178" s="718" t="str">
        <f>IF(OR($B178="No",AN$6=""),"",IF(NOT(ISNUMBER(_xll.ciqfunctions.udf.CIQ(AN$6,"IQ_TEV",$AI178,$I$2,$I$3))),"",_xll.ciqfunctions.udf.CIQ(AN$6,"IQ_TEV",$AI178,$I$2,$I$3)))</f>
        <v/>
      </c>
      <c r="AO178" s="718" t="str">
        <f>IF(OR($B178="No",AO$6=""),"",IF(NOT(ISNUMBER(_xll.ciqfunctions.udf.CIQ(AO$6,"IQ_TEV",$AI178,$I$2,$I$3))),"",_xll.ciqfunctions.udf.CIQ(AO$6,"IQ_TEV",$AI178,$I$2,$I$3)))</f>
        <v/>
      </c>
      <c r="AP178" s="718" t="str">
        <f>IF(OR($B178="No",AP$6=""),"",IF(NOT(ISNUMBER(_xll.ciqfunctions.udf.CIQ(AP$6,"IQ_TEV",$AI178,$I$2,$I$3))),"",_xll.ciqfunctions.udf.CIQ(AP$6,"IQ_TEV",$AI178,$I$2,$I$3)))</f>
        <v/>
      </c>
      <c r="AQ178" s="718" t="str">
        <f>IF(OR($B178="No",AQ$6=""),"",IF(NOT(ISNUMBER(_xll.ciqfunctions.udf.CIQ(AQ$6,"IQ_TEV",$AI178,$I$2,$I$3))),"",_xll.ciqfunctions.udf.CIQ(AQ$6,"IQ_TEV",$AI178,$I$2,$I$3)))</f>
        <v/>
      </c>
      <c r="AR178" s="718" t="str">
        <f>IF(OR($B178="No",AR$6=""),"",IF(NOT(ISNUMBER(_xll.ciqfunctions.udf.CIQ(AR$6,"IQ_TEV",$AI178,$I$2,$I$3))),"",_xll.ciqfunctions.udf.CIQ(AR$6,"IQ_TEV",$AI178,$I$2,$I$3)))</f>
        <v/>
      </c>
      <c r="AS178" s="718" t="str">
        <f>IF(OR($B178="No",AS$6=""),"",IF(NOT(ISNUMBER(_xll.ciqfunctions.udf.CIQ(AS$6,"IQ_TEV",$AI178,$I$2,$I$3))),"",_xll.ciqfunctions.udf.CIQ(AS$6,"IQ_TEV",$AI178,$I$2,$I$3)))</f>
        <v/>
      </c>
      <c r="AT178" s="718" t="str">
        <f>IF(OR($B178="No",AT$6=""),"",IF(NOT(ISNUMBER(_xll.ciqfunctions.udf.CIQ(AT$6,"IQ_TEV",$AI178,$I$2,$I$3))),"",_xll.ciqfunctions.udf.CIQ(AT$6,"IQ_TEV",$AI178,$I$2,$I$3)))</f>
        <v/>
      </c>
      <c r="AV178" s="251">
        <f t="shared" si="99"/>
        <v>44022</v>
      </c>
      <c r="AW178" s="719">
        <f t="shared" si="100"/>
        <v>0.67628595798868107</v>
      </c>
      <c r="AX178" s="719">
        <f t="shared" si="101"/>
        <v>0.98912901821104815</v>
      </c>
      <c r="AY178" s="719" t="e">
        <f t="shared" si="102"/>
        <v>#N/A</v>
      </c>
      <c r="AZ178" s="719" t="e">
        <f t="shared" si="103"/>
        <v>#N/A</v>
      </c>
      <c r="BA178" s="719" t="e">
        <f t="shared" si="104"/>
        <v>#N/A</v>
      </c>
      <c r="BB178" s="719" t="e">
        <f t="shared" si="105"/>
        <v>#N/A</v>
      </c>
      <c r="BC178" s="719" t="e">
        <f t="shared" si="106"/>
        <v>#N/A</v>
      </c>
      <c r="BD178" s="719" t="e">
        <f t="shared" si="107"/>
        <v>#N/A</v>
      </c>
      <c r="BE178" s="719" t="e">
        <f t="shared" si="108"/>
        <v>#N/A</v>
      </c>
      <c r="BF178" s="719" t="e">
        <f t="shared" si="109"/>
        <v>#N/A</v>
      </c>
      <c r="BG178" s="719" t="e">
        <f t="shared" si="110"/>
        <v>#N/A</v>
      </c>
    </row>
    <row r="179" spans="1:59" ht="15" customHeight="1" x14ac:dyDescent="0.2">
      <c r="A179" s="251">
        <f t="shared" si="93"/>
        <v>44029</v>
      </c>
      <c r="B179" s="253" t="str">
        <f t="shared" si="111"/>
        <v>Yes</v>
      </c>
      <c r="C179" s="1033">
        <f>IF(C$6="","",IF(NOT(ISNUMBER(_xll.ciqfunctions.udf.CIQ(C$6,$F$2, $A179, $I$2, $I$3))),IF(C178=C$6,"",C178),_xll.ciqfunctions.udf.CIQ(C$6,$F$2, $A179, $I$2, $I$3)))</f>
        <v>131.74</v>
      </c>
      <c r="D179" s="1033">
        <f>IF(D$6="","",IF(NOT(ISNUMBER(_xll.ciqfunctions.udf.CIQ(D$6,$F$2, $A179, $I$2, $I$3))),IF(D178=D$6,"",D178),_xll.ciqfunctions.udf.CIQ(D$6,$F$2, $A179, $I$2, $I$3)))</f>
        <v>26671.948769999999</v>
      </c>
      <c r="E179" s="1033">
        <f>IF(E$6="","",IF(NOT(ISNUMBER(_xll.ciqfunctions.udf.CIQ(E$6,$F$2, $A179, $I$2, $I$3))),IF(E178=E$6,"",E178),_xll.ciqfunctions.udf.CIQ(E$6,$F$2, $A179, $I$2, $I$3)))</f>
        <v>8723.9501700000001</v>
      </c>
      <c r="F179" s="1033">
        <f>IF(F$6="","",IF(NOT(ISNUMBER(_xll.ciqfunctions.udf.CIQ(F$6,$F$2, $A179, $I$2, $I$3))),IF(F178=F$6,"",F178),_xll.ciqfunctions.udf.CIQ(F$6,$F$2, $A179, $I$2, $I$3)))</f>
        <v>4697.1259499999996</v>
      </c>
      <c r="G179" s="1033">
        <f>IF(G$6="","",IF(NOT(ISNUMBER(_xll.ciqfunctions.udf.CIQ(G$6,$F$2, $A179, $I$2, $I$3))),IF(G178=G$6,"",G178),_xll.ciqfunctions.udf.CIQ(G$6,$F$2, $A179, $I$2, $I$3)))</f>
        <v>324.79000000000002</v>
      </c>
      <c r="H179" s="1033" t="str">
        <f>IF(H$6="","",IF(NOT(ISNUMBER(_xll.ciqfunctions.udf.CIQ(H$6,$F$2, $A179, $I$2, $I$3))),IF(H178=H$6,"",H178),_xll.ciqfunctions.udf.CIQ(H$6,$F$2, $A179, $I$2, $I$3)))</f>
        <v/>
      </c>
      <c r="I179" s="1033" t="str">
        <f>IF(I$6="","",IF(NOT(ISNUMBER(_xll.ciqfunctions.udf.CIQ(I$6,$F$2, $A179, $I$2, $I$3))),IF(I178=I$6,"",I178),_xll.ciqfunctions.udf.CIQ(I$6,$F$2, $A179, $I$2, $I$3)))</f>
        <v/>
      </c>
      <c r="J179" s="1033" t="str">
        <f>IF(J$6="","",IF(NOT(ISNUMBER(_xll.ciqfunctions.udf.CIQ(J$6,$F$2, $A179, $I$2, $I$3))),IF(J178=J$6,"",J178),_xll.ciqfunctions.udf.CIQ(J$6,$F$2, $A179, $I$2, $I$3)))</f>
        <v/>
      </c>
      <c r="K179" s="1033" t="str">
        <f>IF(K$6="","",IF(NOT(ISNUMBER(_xll.ciqfunctions.udf.CIQ(K$6,$F$2, $A179, $I$2, $I$3))),IF(K178=K$6,"",K178),_xll.ciqfunctions.udf.CIQ(K$6,$F$2, $A179, $I$2, $I$3)))</f>
        <v/>
      </c>
      <c r="L179" s="254" t="str">
        <f>IF(L$6="","",IF(NOT(ISNUMBER(_xll.ciqfunctions.udf.CIQ(L$6,$F$2, $A179, $I$2, $I$3))),IF(L178=L$6,"",L178),_xll.ciqfunctions.udf.CIQ(L$6,$F$2, $A179, $I$2, $I$3)))</f>
        <v/>
      </c>
      <c r="M179" s="254" t="str">
        <f>IF(M$6="","",IF(NOT(ISNUMBER(_xll.ciqfunctions.udf.CIQ(M$6,$F$2, $A179, $I$2, $I$3))),IF(M178=M$6,"",M178),_xll.ciqfunctions.udf.CIQ(M$6,$F$2, $A179, $I$2, $I$3)))</f>
        <v/>
      </c>
      <c r="N179" s="254" t="str">
        <f>IF(N$6="","",IF(NOT(ISNUMBER(_xll.ciqfunctions.udf.CIQ(N$6,$F$2, $A179, $I$2, $I$3))),IF(N178=N$6,"",N178),_xll.ciqfunctions.udf.CIQ(N$6,$F$2, $A179, $I$2, $I$3)))</f>
        <v/>
      </c>
      <c r="O179" s="254" t="str">
        <f>IF(O$6="","",IF(NOT(ISNUMBER(_xll.ciqfunctions.udf.CIQ(O$6,$F$2, $A179, $I$2, $I$3))),IF(O178=O$6,"",O178),_xll.ciqfunctions.udf.CIQ(O$6,$F$2, $A179, $I$2, $I$3)))</f>
        <v/>
      </c>
      <c r="P179" s="254" t="str">
        <f>IF(P$6="","",IF(NOT(ISNUMBER(_xll.ciqfunctions.udf.CIQ(P$6,$F$2, $A179, $I$2, $I$3))),IF(P178=P$6,"",P178),_xll.ciqfunctions.udf.CIQ(P$6,$F$2, $A179, $I$2, $I$3)))</f>
        <v/>
      </c>
      <c r="Q179" s="254"/>
      <c r="R179" s="251">
        <f t="shared" si="94"/>
        <v>44029</v>
      </c>
      <c r="S179" s="255">
        <f t="shared" si="96"/>
        <v>0.82769145394006682</v>
      </c>
      <c r="T179" s="255">
        <f t="shared" si="97"/>
        <v>0.29079337110861836</v>
      </c>
      <c r="U179" s="255">
        <f t="shared" si="98"/>
        <v>0.21914035549639888</v>
      </c>
      <c r="V179" s="255">
        <f t="shared" si="112"/>
        <v>7.0024907994733931E-2</v>
      </c>
      <c r="W179" s="255">
        <f t="array" ref="W179">IFERROR(AVERAGE(IF(ISERROR(X179:AG179),"",X179:AG179)),"")</f>
        <v>0.93684775478561644</v>
      </c>
      <c r="X179" s="255">
        <f t="shared" si="113"/>
        <v>0.93684775478561644</v>
      </c>
      <c r="Y179" s="255" t="e">
        <f t="shared" si="114"/>
        <v>#N/A</v>
      </c>
      <c r="Z179" s="255" t="e">
        <f t="shared" si="115"/>
        <v>#N/A</v>
      </c>
      <c r="AA179" s="255" t="e">
        <f t="shared" si="116"/>
        <v>#N/A</v>
      </c>
      <c r="AB179" s="255" t="e">
        <f t="shared" si="117"/>
        <v>#N/A</v>
      </c>
      <c r="AC179" s="255" t="e">
        <f t="shared" si="118"/>
        <v>#N/A</v>
      </c>
      <c r="AD179" s="255" t="e">
        <f t="shared" si="119"/>
        <v>#N/A</v>
      </c>
      <c r="AE179" s="255" t="e">
        <f t="shared" si="120"/>
        <v>#N/A</v>
      </c>
      <c r="AF179" s="255" t="e">
        <f t="shared" si="121"/>
        <v>#N/A</v>
      </c>
      <c r="AG179" s="255" t="e">
        <f t="shared" si="122"/>
        <v>#N/A</v>
      </c>
      <c r="AI179" s="251">
        <f t="shared" si="95"/>
        <v>44029</v>
      </c>
      <c r="AJ179" s="718">
        <f>IF(OR($B179="No",AJ$6=""),"",IF(NOT(ISNUMBER(_xll.ciqfunctions.udf.CIQ(AJ$6,"IQ_TEV",$AI179,$I$2,$I$3))),"",_xll.ciqfunctions.udf.CIQ(AJ$6,"IQ_TEV",$AI179,$I$2,$I$3)))</f>
        <v>440608.54749999999</v>
      </c>
      <c r="AK179" s="718">
        <f>IF(OR($B179="No",AK$6=""),"",IF(NOT(ISNUMBER(_xll.ciqfunctions.udf.CIQ(AK$6,"IQ_TEV",$AI179,$I$2,$I$3))),"",_xll.ciqfunctions.udf.CIQ(AK$6,"IQ_TEV",$AI179,$I$2,$I$3)))</f>
        <v>144540.48610000001</v>
      </c>
      <c r="AL179" s="718" t="str">
        <f>IF(OR($B179="No",AL$6=""),"",IF(NOT(ISNUMBER(_xll.ciqfunctions.udf.CIQ(AL$6,"IQ_TEV",$AI179,$I$2,$I$3))),"",_xll.ciqfunctions.udf.CIQ(AL$6,"IQ_TEV",$AI179,$I$2,$I$3)))</f>
        <v/>
      </c>
      <c r="AM179" s="718" t="str">
        <f>IF(OR($B179="No",AM$6=""),"",IF(NOT(ISNUMBER(_xll.ciqfunctions.udf.CIQ(AM$6,"IQ_TEV",$AI179,$I$2,$I$3))),"",_xll.ciqfunctions.udf.CIQ(AM$6,"IQ_TEV",$AI179,$I$2,$I$3)))</f>
        <v/>
      </c>
      <c r="AN179" s="718" t="str">
        <f>IF(OR($B179="No",AN$6=""),"",IF(NOT(ISNUMBER(_xll.ciqfunctions.udf.CIQ(AN$6,"IQ_TEV",$AI179,$I$2,$I$3))),"",_xll.ciqfunctions.udf.CIQ(AN$6,"IQ_TEV",$AI179,$I$2,$I$3)))</f>
        <v/>
      </c>
      <c r="AO179" s="718" t="str">
        <f>IF(OR($B179="No",AO$6=""),"",IF(NOT(ISNUMBER(_xll.ciqfunctions.udf.CIQ(AO$6,"IQ_TEV",$AI179,$I$2,$I$3))),"",_xll.ciqfunctions.udf.CIQ(AO$6,"IQ_TEV",$AI179,$I$2,$I$3)))</f>
        <v/>
      </c>
      <c r="AP179" s="718" t="str">
        <f>IF(OR($B179="No",AP$6=""),"",IF(NOT(ISNUMBER(_xll.ciqfunctions.udf.CIQ(AP$6,"IQ_TEV",$AI179,$I$2,$I$3))),"",_xll.ciqfunctions.udf.CIQ(AP$6,"IQ_TEV",$AI179,$I$2,$I$3)))</f>
        <v/>
      </c>
      <c r="AQ179" s="718" t="str">
        <f>IF(OR($B179="No",AQ$6=""),"",IF(NOT(ISNUMBER(_xll.ciqfunctions.udf.CIQ(AQ$6,"IQ_TEV",$AI179,$I$2,$I$3))),"",_xll.ciqfunctions.udf.CIQ(AQ$6,"IQ_TEV",$AI179,$I$2,$I$3)))</f>
        <v/>
      </c>
      <c r="AR179" s="718" t="str">
        <f>IF(OR($B179="No",AR$6=""),"",IF(NOT(ISNUMBER(_xll.ciqfunctions.udf.CIQ(AR$6,"IQ_TEV",$AI179,$I$2,$I$3))),"",_xll.ciqfunctions.udf.CIQ(AR$6,"IQ_TEV",$AI179,$I$2,$I$3)))</f>
        <v/>
      </c>
      <c r="AS179" s="718" t="str">
        <f>IF(OR($B179="No",AS$6=""),"",IF(NOT(ISNUMBER(_xll.ciqfunctions.udf.CIQ(AS$6,"IQ_TEV",$AI179,$I$2,$I$3))),"",_xll.ciqfunctions.udf.CIQ(AS$6,"IQ_TEV",$AI179,$I$2,$I$3)))</f>
        <v/>
      </c>
      <c r="AT179" s="718" t="str">
        <f>IF(OR($B179="No",AT$6=""),"",IF(NOT(ISNUMBER(_xll.ciqfunctions.udf.CIQ(AT$6,"IQ_TEV",$AI179,$I$2,$I$3))),"",_xll.ciqfunctions.udf.CIQ(AT$6,"IQ_TEV",$AI179,$I$2,$I$3)))</f>
        <v/>
      </c>
      <c r="AV179" s="251">
        <f t="shared" si="99"/>
        <v>44029</v>
      </c>
      <c r="AW179" s="719">
        <f t="shared" si="100"/>
        <v>0.68778485387965516</v>
      </c>
      <c r="AX179" s="719">
        <f t="shared" si="101"/>
        <v>0.98041770138028372</v>
      </c>
      <c r="AY179" s="719" t="e">
        <f t="shared" si="102"/>
        <v>#N/A</v>
      </c>
      <c r="AZ179" s="719" t="e">
        <f t="shared" si="103"/>
        <v>#N/A</v>
      </c>
      <c r="BA179" s="719" t="e">
        <f t="shared" si="104"/>
        <v>#N/A</v>
      </c>
      <c r="BB179" s="719" t="e">
        <f t="shared" si="105"/>
        <v>#N/A</v>
      </c>
      <c r="BC179" s="719" t="e">
        <f t="shared" si="106"/>
        <v>#N/A</v>
      </c>
      <c r="BD179" s="719" t="e">
        <f t="shared" si="107"/>
        <v>#N/A</v>
      </c>
      <c r="BE179" s="719" t="e">
        <f t="shared" si="108"/>
        <v>#N/A</v>
      </c>
      <c r="BF179" s="719" t="e">
        <f t="shared" si="109"/>
        <v>#N/A</v>
      </c>
      <c r="BG179" s="719" t="e">
        <f t="shared" si="110"/>
        <v>#N/A</v>
      </c>
    </row>
    <row r="180" spans="1:59" ht="15" customHeight="1" x14ac:dyDescent="0.2">
      <c r="A180" s="251">
        <f t="shared" si="93"/>
        <v>44036</v>
      </c>
      <c r="B180" s="253" t="str">
        <f t="shared" si="111"/>
        <v>Yes</v>
      </c>
      <c r="C180" s="1033">
        <f>IF(C$6="","",IF(NOT(ISNUMBER(_xll.ciqfunctions.udf.CIQ(C$6,$F$2, $A180, $I$2, $I$3))),IF(C179=C$6,"",C179),_xll.ciqfunctions.udf.CIQ(C$6,$F$2, $A180, $I$2, $I$3)))</f>
        <v>131.24</v>
      </c>
      <c r="D180" s="1033">
        <f>IF(D$6="","",IF(NOT(ISNUMBER(_xll.ciqfunctions.udf.CIQ(D$6,$F$2, $A180, $I$2, $I$3))),IF(D179=D$6,"",D179),_xll.ciqfunctions.udf.CIQ(D$6,$F$2, $A180, $I$2, $I$3)))</f>
        <v>26469.88855</v>
      </c>
      <c r="E180" s="1033">
        <f>IF(E$6="","",IF(NOT(ISNUMBER(_xll.ciqfunctions.udf.CIQ(E$6,$F$2, $A180, $I$2, $I$3))),IF(E179=E$6,"",E179),_xll.ciqfunctions.udf.CIQ(E$6,$F$2, $A180, $I$2, $I$3)))</f>
        <v>8643.8482899999999</v>
      </c>
      <c r="F180" s="1033">
        <f>IF(F$6="","",IF(NOT(ISNUMBER(_xll.ciqfunctions.udf.CIQ(F$6,$F$2, $A180, $I$2, $I$3))),IF(F179=F$6,"",F179),_xll.ciqfunctions.udf.CIQ(F$6,$F$2, $A180, $I$2, $I$3)))</f>
        <v>4788.6148899999998</v>
      </c>
      <c r="G180" s="1033">
        <f>IF(G$6="","",IF(NOT(ISNUMBER(_xll.ciqfunctions.udf.CIQ(G$6,$F$2, $A180, $I$2, $I$3))),IF(G179=G$6,"",G179),_xll.ciqfunctions.udf.CIQ(G$6,$F$2, $A180, $I$2, $I$3)))</f>
        <v>325.77999999999997</v>
      </c>
      <c r="H180" s="1033" t="str">
        <f>IF(H$6="","",IF(NOT(ISNUMBER(_xll.ciqfunctions.udf.CIQ(H$6,$F$2, $A180, $I$2, $I$3))),IF(H179=H$6,"",H179),_xll.ciqfunctions.udf.CIQ(H$6,$F$2, $A180, $I$2, $I$3)))</f>
        <v/>
      </c>
      <c r="I180" s="1033" t="str">
        <f>IF(I$6="","",IF(NOT(ISNUMBER(_xll.ciqfunctions.udf.CIQ(I$6,$F$2, $A180, $I$2, $I$3))),IF(I179=I$6,"",I179),_xll.ciqfunctions.udf.CIQ(I$6,$F$2, $A180, $I$2, $I$3)))</f>
        <v/>
      </c>
      <c r="J180" s="1033" t="str">
        <f>IF(J$6="","",IF(NOT(ISNUMBER(_xll.ciqfunctions.udf.CIQ(J$6,$F$2, $A180, $I$2, $I$3))),IF(J179=J$6,"",J179),_xll.ciqfunctions.udf.CIQ(J$6,$F$2, $A180, $I$2, $I$3)))</f>
        <v/>
      </c>
      <c r="K180" s="1033" t="str">
        <f>IF(K$6="","",IF(NOT(ISNUMBER(_xll.ciqfunctions.udf.CIQ(K$6,$F$2, $A180, $I$2, $I$3))),IF(K179=K$6,"",K179),_xll.ciqfunctions.udf.CIQ(K$6,$F$2, $A180, $I$2, $I$3)))</f>
        <v/>
      </c>
      <c r="L180" s="254" t="str">
        <f>IF(L$6="","",IF(NOT(ISNUMBER(_xll.ciqfunctions.udf.CIQ(L$6,$F$2, $A180, $I$2, $I$3))),IF(L179=L$6,"",L179),_xll.ciqfunctions.udf.CIQ(L$6,$F$2, $A180, $I$2, $I$3)))</f>
        <v/>
      </c>
      <c r="M180" s="254" t="str">
        <f>IF(M$6="","",IF(NOT(ISNUMBER(_xll.ciqfunctions.udf.CIQ(M$6,$F$2, $A180, $I$2, $I$3))),IF(M179=M$6,"",M179),_xll.ciqfunctions.udf.CIQ(M$6,$F$2, $A180, $I$2, $I$3)))</f>
        <v/>
      </c>
      <c r="N180" s="254" t="str">
        <f>IF(N$6="","",IF(NOT(ISNUMBER(_xll.ciqfunctions.udf.CIQ(N$6,$F$2, $A180, $I$2, $I$3))),IF(N179=N$6,"",N179),_xll.ciqfunctions.udf.CIQ(N$6,$F$2, $A180, $I$2, $I$3)))</f>
        <v/>
      </c>
      <c r="O180" s="254" t="str">
        <f>IF(O$6="","",IF(NOT(ISNUMBER(_xll.ciqfunctions.udf.CIQ(O$6,$F$2, $A180, $I$2, $I$3))),IF(O179=O$6,"",O179),_xll.ciqfunctions.udf.CIQ(O$6,$F$2, $A180, $I$2, $I$3)))</f>
        <v/>
      </c>
      <c r="P180" s="254" t="str">
        <f>IF(P$6="","",IF(NOT(ISNUMBER(_xll.ciqfunctions.udf.CIQ(P$6,$F$2, $A180, $I$2, $I$3))),IF(P179=P$6,"",P179),_xll.ciqfunctions.udf.CIQ(P$6,$F$2, $A180, $I$2, $I$3)))</f>
        <v/>
      </c>
      <c r="Q180" s="254"/>
      <c r="R180" s="251">
        <f t="shared" si="94"/>
        <v>44036</v>
      </c>
      <c r="S180" s="255">
        <f t="shared" si="96"/>
        <v>0.82075471698113223</v>
      </c>
      <c r="T180" s="255">
        <f t="shared" si="97"/>
        <v>0.28101463334971455</v>
      </c>
      <c r="U180" s="255">
        <f t="shared" si="98"/>
        <v>0.20794640865395264</v>
      </c>
      <c r="V180" s="255">
        <f t="shared" si="112"/>
        <v>9.0866470611558281E-2</v>
      </c>
      <c r="W180" s="255">
        <f t="array" ref="W180">IFERROR(AVERAGE(IF(ISERROR(X180:AG180),"",X180:AG180)),"")</f>
        <v>0.94275150575466626</v>
      </c>
      <c r="X180" s="255">
        <f t="shared" si="113"/>
        <v>0.94275150575466626</v>
      </c>
      <c r="Y180" s="255" t="e">
        <f t="shared" si="114"/>
        <v>#N/A</v>
      </c>
      <c r="Z180" s="255" t="e">
        <f t="shared" si="115"/>
        <v>#N/A</v>
      </c>
      <c r="AA180" s="255" t="e">
        <f t="shared" si="116"/>
        <v>#N/A</v>
      </c>
      <c r="AB180" s="255" t="e">
        <f t="shared" si="117"/>
        <v>#N/A</v>
      </c>
      <c r="AC180" s="255" t="e">
        <f t="shared" si="118"/>
        <v>#N/A</v>
      </c>
      <c r="AD180" s="255" t="e">
        <f t="shared" si="119"/>
        <v>#N/A</v>
      </c>
      <c r="AE180" s="255" t="e">
        <f t="shared" si="120"/>
        <v>#N/A</v>
      </c>
      <c r="AF180" s="255" t="e">
        <f t="shared" si="121"/>
        <v>#N/A</v>
      </c>
      <c r="AG180" s="255" t="e">
        <f t="shared" si="122"/>
        <v>#N/A</v>
      </c>
      <c r="AI180" s="251">
        <f t="shared" si="95"/>
        <v>44036</v>
      </c>
      <c r="AJ180" s="718">
        <f>IF(OR($B180="No",AJ$6=""),"",IF(NOT(ISNUMBER(_xll.ciqfunctions.udf.CIQ(AJ$6,"IQ_TEV",$AI180,$I$2,$I$3))),"",_xll.ciqfunctions.udf.CIQ(AJ$6,"IQ_TEV",$AI180,$I$2,$I$3)))</f>
        <v>439192.57078000001</v>
      </c>
      <c r="AK180" s="718">
        <f>IF(OR($B180="No",AK$6=""),"",IF(NOT(ISNUMBER(_xll.ciqfunctions.udf.CIQ(AK$6,"IQ_TEV",$AI180,$I$2,$I$3))),"",_xll.ciqfunctions.udf.CIQ(AK$6,"IQ_TEV",$AI180,$I$2,$I$3)))</f>
        <v>144977.59456999999</v>
      </c>
      <c r="AL180" s="718" t="str">
        <f>IF(OR($B180="No",AL$6=""),"",IF(NOT(ISNUMBER(_xll.ciqfunctions.udf.CIQ(AL$6,"IQ_TEV",$AI180,$I$2,$I$3))),"",_xll.ciqfunctions.udf.CIQ(AL$6,"IQ_TEV",$AI180,$I$2,$I$3)))</f>
        <v/>
      </c>
      <c r="AM180" s="718" t="str">
        <f>IF(OR($B180="No",AM$6=""),"",IF(NOT(ISNUMBER(_xll.ciqfunctions.udf.CIQ(AM$6,"IQ_TEV",$AI180,$I$2,$I$3))),"",_xll.ciqfunctions.udf.CIQ(AM$6,"IQ_TEV",$AI180,$I$2,$I$3)))</f>
        <v/>
      </c>
      <c r="AN180" s="718" t="str">
        <f>IF(OR($B180="No",AN$6=""),"",IF(NOT(ISNUMBER(_xll.ciqfunctions.udf.CIQ(AN$6,"IQ_TEV",$AI180,$I$2,$I$3))),"",_xll.ciqfunctions.udf.CIQ(AN$6,"IQ_TEV",$AI180,$I$2,$I$3)))</f>
        <v/>
      </c>
      <c r="AO180" s="718" t="str">
        <f>IF(OR($B180="No",AO$6=""),"",IF(NOT(ISNUMBER(_xll.ciqfunctions.udf.CIQ(AO$6,"IQ_TEV",$AI180,$I$2,$I$3))),"",_xll.ciqfunctions.udf.CIQ(AO$6,"IQ_TEV",$AI180,$I$2,$I$3)))</f>
        <v/>
      </c>
      <c r="AP180" s="718" t="str">
        <f>IF(OR($B180="No",AP$6=""),"",IF(NOT(ISNUMBER(_xll.ciqfunctions.udf.CIQ(AP$6,"IQ_TEV",$AI180,$I$2,$I$3))),"",_xll.ciqfunctions.udf.CIQ(AP$6,"IQ_TEV",$AI180,$I$2,$I$3)))</f>
        <v/>
      </c>
      <c r="AQ180" s="718" t="str">
        <f>IF(OR($B180="No",AQ$6=""),"",IF(NOT(ISNUMBER(_xll.ciqfunctions.udf.CIQ(AQ$6,"IQ_TEV",$AI180,$I$2,$I$3))),"",_xll.ciqfunctions.udf.CIQ(AQ$6,"IQ_TEV",$AI180,$I$2,$I$3)))</f>
        <v/>
      </c>
      <c r="AR180" s="718" t="str">
        <f>IF(OR($B180="No",AR$6=""),"",IF(NOT(ISNUMBER(_xll.ciqfunctions.udf.CIQ(AR$6,"IQ_TEV",$AI180,$I$2,$I$3))),"",_xll.ciqfunctions.udf.CIQ(AR$6,"IQ_TEV",$AI180,$I$2,$I$3)))</f>
        <v/>
      </c>
      <c r="AS180" s="718" t="str">
        <f>IF(OR($B180="No",AS$6=""),"",IF(NOT(ISNUMBER(_xll.ciqfunctions.udf.CIQ(AS$6,"IQ_TEV",$AI180,$I$2,$I$3))),"",_xll.ciqfunctions.udf.CIQ(AS$6,"IQ_TEV",$AI180,$I$2,$I$3)))</f>
        <v/>
      </c>
      <c r="AT180" s="718" t="str">
        <f>IF(OR($B180="No",AT$6=""),"",IF(NOT(ISNUMBER(_xll.ciqfunctions.udf.CIQ(AT$6,"IQ_TEV",$AI180,$I$2,$I$3))),"",_xll.ciqfunctions.udf.CIQ(AT$6,"IQ_TEV",$AI180,$I$2,$I$3)))</f>
        <v/>
      </c>
      <c r="AV180" s="251">
        <f t="shared" si="99"/>
        <v>44036</v>
      </c>
      <c r="AW180" s="719">
        <f t="shared" si="100"/>
        <v>0.68236084639041739</v>
      </c>
      <c r="AX180" s="719">
        <f t="shared" si="101"/>
        <v>0.98640673168430726</v>
      </c>
      <c r="AY180" s="719" t="e">
        <f t="shared" si="102"/>
        <v>#N/A</v>
      </c>
      <c r="AZ180" s="719" t="e">
        <f t="shared" si="103"/>
        <v>#N/A</v>
      </c>
      <c r="BA180" s="719" t="e">
        <f t="shared" si="104"/>
        <v>#N/A</v>
      </c>
      <c r="BB180" s="719" t="e">
        <f t="shared" si="105"/>
        <v>#N/A</v>
      </c>
      <c r="BC180" s="719" t="e">
        <f t="shared" si="106"/>
        <v>#N/A</v>
      </c>
      <c r="BD180" s="719" t="e">
        <f t="shared" si="107"/>
        <v>#N/A</v>
      </c>
      <c r="BE180" s="719" t="e">
        <f t="shared" si="108"/>
        <v>#N/A</v>
      </c>
      <c r="BF180" s="719" t="e">
        <f t="shared" si="109"/>
        <v>#N/A</v>
      </c>
      <c r="BG180" s="719" t="e">
        <f t="shared" si="110"/>
        <v>#N/A</v>
      </c>
    </row>
    <row r="181" spans="1:59" ht="15" customHeight="1" x14ac:dyDescent="0.2">
      <c r="A181" s="251">
        <f t="shared" si="93"/>
        <v>44043</v>
      </c>
      <c r="B181" s="253" t="str">
        <f t="shared" si="111"/>
        <v>Yes</v>
      </c>
      <c r="C181" s="1033">
        <f>IF(C$6="","",IF(NOT(ISNUMBER(_xll.ciqfunctions.udf.CIQ(C$6,$F$2, $A181, $I$2, $I$3))),IF(C180=C$6,"",C180),_xll.ciqfunctions.udf.CIQ(C$6,$F$2, $A181, $I$2, $I$3)))</f>
        <v>129.4</v>
      </c>
      <c r="D181" s="1033">
        <f>IF(D$6="","",IF(NOT(ISNUMBER(_xll.ciqfunctions.udf.CIQ(D$6,$F$2, $A181, $I$2, $I$3))),IF(D180=D$6,"",D180),_xll.ciqfunctions.udf.CIQ(D$6,$F$2, $A181, $I$2, $I$3)))</f>
        <v>26428.324229999998</v>
      </c>
      <c r="E181" s="1033">
        <f>IF(E$6="","",IF(NOT(ISNUMBER(_xll.ciqfunctions.udf.CIQ(E$6,$F$2, $A181, $I$2, $I$3))),IF(E180=E$6,"",E180),_xll.ciqfunctions.udf.CIQ(E$6,$F$2, $A181, $I$2, $I$3)))</f>
        <v>8701.8407200000001</v>
      </c>
      <c r="F181" s="1033">
        <f>IF(F$6="","",IF(NOT(ISNUMBER(_xll.ciqfunctions.udf.CIQ(F$6,$F$2, $A181, $I$2, $I$3))),IF(F180=F$6,"",F180),_xll.ciqfunctions.udf.CIQ(F$6,$F$2, $A181, $I$2, $I$3)))</f>
        <v>4911.2087799999999</v>
      </c>
      <c r="G181" s="1033">
        <f>IF(G$6="","",IF(NOT(ISNUMBER(_xll.ciqfunctions.udf.CIQ(G$6,$F$2, $A181, $I$2, $I$3))),IF(G180=G$6,"",G180),_xll.ciqfunctions.udf.CIQ(G$6,$F$2, $A181, $I$2, $I$3)))</f>
        <v>325.52999999999997</v>
      </c>
      <c r="H181" s="1033" t="str">
        <f>IF(H$6="","",IF(NOT(ISNUMBER(_xll.ciqfunctions.udf.CIQ(H$6,$F$2, $A181, $I$2, $I$3))),IF(H180=H$6,"",H180),_xll.ciqfunctions.udf.CIQ(H$6,$F$2, $A181, $I$2, $I$3)))</f>
        <v/>
      </c>
      <c r="I181" s="1033" t="str">
        <f>IF(I$6="","",IF(NOT(ISNUMBER(_xll.ciqfunctions.udf.CIQ(I$6,$F$2, $A181, $I$2, $I$3))),IF(I180=I$6,"",I180),_xll.ciqfunctions.udf.CIQ(I$6,$F$2, $A181, $I$2, $I$3)))</f>
        <v/>
      </c>
      <c r="J181" s="1033" t="str">
        <f>IF(J$6="","",IF(NOT(ISNUMBER(_xll.ciqfunctions.udf.CIQ(J$6,$F$2, $A181, $I$2, $I$3))),IF(J180=J$6,"",J180),_xll.ciqfunctions.udf.CIQ(J$6,$F$2, $A181, $I$2, $I$3)))</f>
        <v/>
      </c>
      <c r="K181" s="1033" t="str">
        <f>IF(K$6="","",IF(NOT(ISNUMBER(_xll.ciqfunctions.udf.CIQ(K$6,$F$2, $A181, $I$2, $I$3))),IF(K180=K$6,"",K180),_xll.ciqfunctions.udf.CIQ(K$6,$F$2, $A181, $I$2, $I$3)))</f>
        <v/>
      </c>
      <c r="L181" s="254" t="str">
        <f>IF(L$6="","",IF(NOT(ISNUMBER(_xll.ciqfunctions.udf.CIQ(L$6,$F$2, $A181, $I$2, $I$3))),IF(L180=L$6,"",L180),_xll.ciqfunctions.udf.CIQ(L$6,$F$2, $A181, $I$2, $I$3)))</f>
        <v/>
      </c>
      <c r="M181" s="254" t="str">
        <f>IF(M$6="","",IF(NOT(ISNUMBER(_xll.ciqfunctions.udf.CIQ(M$6,$F$2, $A181, $I$2, $I$3))),IF(M180=M$6,"",M180),_xll.ciqfunctions.udf.CIQ(M$6,$F$2, $A181, $I$2, $I$3)))</f>
        <v/>
      </c>
      <c r="N181" s="254" t="str">
        <f>IF(N$6="","",IF(NOT(ISNUMBER(_xll.ciqfunctions.udf.CIQ(N$6,$F$2, $A181, $I$2, $I$3))),IF(N180=N$6,"",N180),_xll.ciqfunctions.udf.CIQ(N$6,$F$2, $A181, $I$2, $I$3)))</f>
        <v/>
      </c>
      <c r="O181" s="254" t="str">
        <f>IF(O$6="","",IF(NOT(ISNUMBER(_xll.ciqfunctions.udf.CIQ(O$6,$F$2, $A181, $I$2, $I$3))),IF(O180=O$6,"",O180),_xll.ciqfunctions.udf.CIQ(O$6,$F$2, $A181, $I$2, $I$3)))</f>
        <v/>
      </c>
      <c r="P181" s="254" t="str">
        <f>IF(P$6="","",IF(NOT(ISNUMBER(_xll.ciqfunctions.udf.CIQ(P$6,$F$2, $A181, $I$2, $I$3))),IF(P180=P$6,"",P180),_xll.ciqfunctions.udf.CIQ(P$6,$F$2, $A181, $I$2, $I$3)))</f>
        <v/>
      </c>
      <c r="Q181" s="254"/>
      <c r="R181" s="251">
        <f t="shared" si="94"/>
        <v>44043</v>
      </c>
      <c r="S181" s="255">
        <f t="shared" si="96"/>
        <v>0.79522752497225313</v>
      </c>
      <c r="T181" s="255">
        <f t="shared" si="97"/>
        <v>0.27900312121037718</v>
      </c>
      <c r="U181" s="255">
        <f t="shared" si="98"/>
        <v>0.21605064014869768</v>
      </c>
      <c r="V181" s="255">
        <f t="shared" si="112"/>
        <v>0.11879387074183723</v>
      </c>
      <c r="W181" s="255">
        <f t="array" ref="W181">IFERROR(AVERAGE(IF(ISERROR(X181:AG181),"",X181:AG181)),"")</f>
        <v>0.94126065955036076</v>
      </c>
      <c r="X181" s="255">
        <f t="shared" si="113"/>
        <v>0.94126065955036076</v>
      </c>
      <c r="Y181" s="255" t="e">
        <f t="shared" si="114"/>
        <v>#N/A</v>
      </c>
      <c r="Z181" s="255" t="e">
        <f t="shared" si="115"/>
        <v>#N/A</v>
      </c>
      <c r="AA181" s="255" t="e">
        <f t="shared" si="116"/>
        <v>#N/A</v>
      </c>
      <c r="AB181" s="255" t="e">
        <f t="shared" si="117"/>
        <v>#N/A</v>
      </c>
      <c r="AC181" s="255" t="e">
        <f t="shared" si="118"/>
        <v>#N/A</v>
      </c>
      <c r="AD181" s="255" t="e">
        <f t="shared" si="119"/>
        <v>#N/A</v>
      </c>
      <c r="AE181" s="255" t="e">
        <f t="shared" si="120"/>
        <v>#N/A</v>
      </c>
      <c r="AF181" s="255" t="e">
        <f t="shared" si="121"/>
        <v>#N/A</v>
      </c>
      <c r="AG181" s="255" t="e">
        <f t="shared" si="122"/>
        <v>#N/A</v>
      </c>
      <c r="AI181" s="251">
        <f t="shared" si="95"/>
        <v>44043</v>
      </c>
      <c r="AJ181" s="718">
        <f>IF(OR($B181="No",AJ$6=""),"",IF(NOT(ISNUMBER(_xll.ciqfunctions.udf.CIQ(AJ$6,"IQ_TEV",$AI181,$I$2,$I$3))),"",_xll.ciqfunctions.udf.CIQ(AJ$6,"IQ_TEV",$AI181,$I$2,$I$3)))</f>
        <v>433981.77643000003</v>
      </c>
      <c r="AK181" s="718">
        <f>IF(OR($B181="No",AK$6=""),"",IF(NOT(ISNUMBER(_xll.ciqfunctions.udf.CIQ(AK$6,"IQ_TEV",$AI181,$I$2,$I$3))),"",_xll.ciqfunctions.udf.CIQ(AK$6,"IQ_TEV",$AI181,$I$2,$I$3)))</f>
        <v>144867.21364</v>
      </c>
      <c r="AL181" s="718" t="str">
        <f>IF(OR($B181="No",AL$6=""),"",IF(NOT(ISNUMBER(_xll.ciqfunctions.udf.CIQ(AL$6,"IQ_TEV",$AI181,$I$2,$I$3))),"",_xll.ciqfunctions.udf.CIQ(AL$6,"IQ_TEV",$AI181,$I$2,$I$3)))</f>
        <v/>
      </c>
      <c r="AM181" s="718" t="str">
        <f>IF(OR($B181="No",AM$6=""),"",IF(NOT(ISNUMBER(_xll.ciqfunctions.udf.CIQ(AM$6,"IQ_TEV",$AI181,$I$2,$I$3))),"",_xll.ciqfunctions.udf.CIQ(AM$6,"IQ_TEV",$AI181,$I$2,$I$3)))</f>
        <v/>
      </c>
      <c r="AN181" s="718" t="str">
        <f>IF(OR($B181="No",AN$6=""),"",IF(NOT(ISNUMBER(_xll.ciqfunctions.udf.CIQ(AN$6,"IQ_TEV",$AI181,$I$2,$I$3))),"",_xll.ciqfunctions.udf.CIQ(AN$6,"IQ_TEV",$AI181,$I$2,$I$3)))</f>
        <v/>
      </c>
      <c r="AO181" s="718" t="str">
        <f>IF(OR($B181="No",AO$6=""),"",IF(NOT(ISNUMBER(_xll.ciqfunctions.udf.CIQ(AO$6,"IQ_TEV",$AI181,$I$2,$I$3))),"",_xll.ciqfunctions.udf.CIQ(AO$6,"IQ_TEV",$AI181,$I$2,$I$3)))</f>
        <v/>
      </c>
      <c r="AP181" s="718" t="str">
        <f>IF(OR($B181="No",AP$6=""),"",IF(NOT(ISNUMBER(_xll.ciqfunctions.udf.CIQ(AP$6,"IQ_TEV",$AI181,$I$2,$I$3))),"",_xll.ciqfunctions.udf.CIQ(AP$6,"IQ_TEV",$AI181,$I$2,$I$3)))</f>
        <v/>
      </c>
      <c r="AQ181" s="718" t="str">
        <f>IF(OR($B181="No",AQ$6=""),"",IF(NOT(ISNUMBER(_xll.ciqfunctions.udf.CIQ(AQ$6,"IQ_TEV",$AI181,$I$2,$I$3))),"",_xll.ciqfunctions.udf.CIQ(AQ$6,"IQ_TEV",$AI181,$I$2,$I$3)))</f>
        <v/>
      </c>
      <c r="AR181" s="718" t="str">
        <f>IF(OR($B181="No",AR$6=""),"",IF(NOT(ISNUMBER(_xll.ciqfunctions.udf.CIQ(AR$6,"IQ_TEV",$AI181,$I$2,$I$3))),"",_xll.ciqfunctions.udf.CIQ(AR$6,"IQ_TEV",$AI181,$I$2,$I$3)))</f>
        <v/>
      </c>
      <c r="AS181" s="718" t="str">
        <f>IF(OR($B181="No",AS$6=""),"",IF(NOT(ISNUMBER(_xll.ciqfunctions.udf.CIQ(AS$6,"IQ_TEV",$AI181,$I$2,$I$3))),"",_xll.ciqfunctions.udf.CIQ(AS$6,"IQ_TEV",$AI181,$I$2,$I$3)))</f>
        <v/>
      </c>
      <c r="AT181" s="718" t="str">
        <f>IF(OR($B181="No",AT$6=""),"",IF(NOT(ISNUMBER(_xll.ciqfunctions.udf.CIQ(AT$6,"IQ_TEV",$AI181,$I$2,$I$3))),"",_xll.ciqfunctions.udf.CIQ(AT$6,"IQ_TEV",$AI181,$I$2,$I$3)))</f>
        <v/>
      </c>
      <c r="AV181" s="251">
        <f t="shared" si="99"/>
        <v>44043</v>
      </c>
      <c r="AW181" s="719">
        <f t="shared" si="100"/>
        <v>0.66240049875187856</v>
      </c>
      <c r="AX181" s="719">
        <f t="shared" si="101"/>
        <v>0.98489435025011485</v>
      </c>
      <c r="AY181" s="719" t="e">
        <f t="shared" si="102"/>
        <v>#N/A</v>
      </c>
      <c r="AZ181" s="719" t="e">
        <f t="shared" si="103"/>
        <v>#N/A</v>
      </c>
      <c r="BA181" s="719" t="e">
        <f t="shared" si="104"/>
        <v>#N/A</v>
      </c>
      <c r="BB181" s="719" t="e">
        <f t="shared" si="105"/>
        <v>#N/A</v>
      </c>
      <c r="BC181" s="719" t="e">
        <f t="shared" si="106"/>
        <v>#N/A</v>
      </c>
      <c r="BD181" s="719" t="e">
        <f t="shared" si="107"/>
        <v>#N/A</v>
      </c>
      <c r="BE181" s="719" t="e">
        <f t="shared" si="108"/>
        <v>#N/A</v>
      </c>
      <c r="BF181" s="719" t="e">
        <f t="shared" si="109"/>
        <v>#N/A</v>
      </c>
      <c r="BG181" s="719" t="e">
        <f t="shared" si="110"/>
        <v>#N/A</v>
      </c>
    </row>
    <row r="182" spans="1:59" ht="15" customHeight="1" x14ac:dyDescent="0.2">
      <c r="A182" s="251">
        <f t="shared" si="93"/>
        <v>44050</v>
      </c>
      <c r="B182" s="253" t="str">
        <f t="shared" si="111"/>
        <v>Yes</v>
      </c>
      <c r="C182" s="1033">
        <f>IF(C$6="","",IF(NOT(ISNUMBER(_xll.ciqfunctions.udf.CIQ(C$6,$F$2, $A182, $I$2, $I$3))),IF(C181=C$6,"",C181),_xll.ciqfunctions.udf.CIQ(C$6,$F$2, $A182, $I$2, $I$3)))</f>
        <v>129.97</v>
      </c>
      <c r="D182" s="1033">
        <f>IF(D$6="","",IF(NOT(ISNUMBER(_xll.ciqfunctions.udf.CIQ(D$6,$F$2, $A182, $I$2, $I$3))),IF(D181=D$6,"",D181),_xll.ciqfunctions.udf.CIQ(D$6,$F$2, $A182, $I$2, $I$3)))</f>
        <v>27433.481220000001</v>
      </c>
      <c r="E182" s="1033">
        <f>IF(E$6="","",IF(NOT(ISNUMBER(_xll.ciqfunctions.udf.CIQ(E$6,$F$2, $A182, $I$2, $I$3))),IF(E181=E$6,"",E181),_xll.ciqfunctions.udf.CIQ(E$6,$F$2, $A182, $I$2, $I$3)))</f>
        <v>9040.5781200000001</v>
      </c>
      <c r="F182" s="1033">
        <f>IF(F$6="","",IF(NOT(ISNUMBER(_xll.ciqfunctions.udf.CIQ(F$6,$F$2, $A182, $I$2, $I$3))),IF(F181=F$6,"",F181),_xll.ciqfunctions.udf.CIQ(F$6,$F$2, $A182, $I$2, $I$3)))</f>
        <v>5256.3855700000004</v>
      </c>
      <c r="G182" s="1033">
        <f>IF(G$6="","",IF(NOT(ISNUMBER(_xll.ciqfunctions.udf.CIQ(G$6,$F$2, $A182, $I$2, $I$3))),IF(G181=G$6,"",G181),_xll.ciqfunctions.udf.CIQ(G$6,$F$2, $A182, $I$2, $I$3)))</f>
        <v>340.91</v>
      </c>
      <c r="H182" s="1033" t="str">
        <f>IF(H$6="","",IF(NOT(ISNUMBER(_xll.ciqfunctions.udf.CIQ(H$6,$F$2, $A182, $I$2, $I$3))),IF(H181=H$6,"",H181),_xll.ciqfunctions.udf.CIQ(H$6,$F$2, $A182, $I$2, $I$3)))</f>
        <v/>
      </c>
      <c r="I182" s="1033" t="str">
        <f>IF(I$6="","",IF(NOT(ISNUMBER(_xll.ciqfunctions.udf.CIQ(I$6,$F$2, $A182, $I$2, $I$3))),IF(I181=I$6,"",I181),_xll.ciqfunctions.udf.CIQ(I$6,$F$2, $A182, $I$2, $I$3)))</f>
        <v/>
      </c>
      <c r="J182" s="1033" t="str">
        <f>IF(J$6="","",IF(NOT(ISNUMBER(_xll.ciqfunctions.udf.CIQ(J$6,$F$2, $A182, $I$2, $I$3))),IF(J181=J$6,"",J181),_xll.ciqfunctions.udf.CIQ(J$6,$F$2, $A182, $I$2, $I$3)))</f>
        <v/>
      </c>
      <c r="K182" s="1033" t="str">
        <f>IF(K$6="","",IF(NOT(ISNUMBER(_xll.ciqfunctions.udf.CIQ(K$6,$F$2, $A182, $I$2, $I$3))),IF(K181=K$6,"",K181),_xll.ciqfunctions.udf.CIQ(K$6,$F$2, $A182, $I$2, $I$3)))</f>
        <v/>
      </c>
      <c r="L182" s="254" t="str">
        <f>IF(L$6="","",IF(NOT(ISNUMBER(_xll.ciqfunctions.udf.CIQ(L$6,$F$2, $A182, $I$2, $I$3))),IF(L181=L$6,"",L181),_xll.ciqfunctions.udf.CIQ(L$6,$F$2, $A182, $I$2, $I$3)))</f>
        <v/>
      </c>
      <c r="M182" s="254" t="str">
        <f>IF(M$6="","",IF(NOT(ISNUMBER(_xll.ciqfunctions.udf.CIQ(M$6,$F$2, $A182, $I$2, $I$3))),IF(M181=M$6,"",M181),_xll.ciqfunctions.udf.CIQ(M$6,$F$2, $A182, $I$2, $I$3)))</f>
        <v/>
      </c>
      <c r="N182" s="254" t="str">
        <f>IF(N$6="","",IF(NOT(ISNUMBER(_xll.ciqfunctions.udf.CIQ(N$6,$F$2, $A182, $I$2, $I$3))),IF(N181=N$6,"",N181),_xll.ciqfunctions.udf.CIQ(N$6,$F$2, $A182, $I$2, $I$3)))</f>
        <v/>
      </c>
      <c r="O182" s="254" t="str">
        <f>IF(O$6="","",IF(NOT(ISNUMBER(_xll.ciqfunctions.udf.CIQ(O$6,$F$2, $A182, $I$2, $I$3))),IF(O181=O$6,"",O181),_xll.ciqfunctions.udf.CIQ(O$6,$F$2, $A182, $I$2, $I$3)))</f>
        <v/>
      </c>
      <c r="P182" s="254" t="str">
        <f>IF(P$6="","",IF(NOT(ISNUMBER(_xll.ciqfunctions.udf.CIQ(P$6,$F$2, $A182, $I$2, $I$3))),IF(P181=P$6,"",P181),_xll.ciqfunctions.udf.CIQ(P$6,$F$2, $A182, $I$2, $I$3)))</f>
        <v/>
      </c>
      <c r="Q182" s="254"/>
      <c r="R182" s="251">
        <f t="shared" si="94"/>
        <v>44050</v>
      </c>
      <c r="S182" s="255">
        <f t="shared" si="96"/>
        <v>0.80313540510543846</v>
      </c>
      <c r="T182" s="255">
        <f t="shared" si="97"/>
        <v>0.3276478599508339</v>
      </c>
      <c r="U182" s="255">
        <f t="shared" si="98"/>
        <v>0.26338796168407796</v>
      </c>
      <c r="V182" s="255">
        <f t="shared" si="112"/>
        <v>0.19742658506402133</v>
      </c>
      <c r="W182" s="255">
        <f t="array" ref="W182">IFERROR(AVERAGE(IF(ISERROR(X182:AG182),"",X182:AG182)),"")</f>
        <v>1.0329775180392393</v>
      </c>
      <c r="X182" s="255">
        <f t="shared" si="113"/>
        <v>1.0329775180392393</v>
      </c>
      <c r="Y182" s="255" t="e">
        <f t="shared" si="114"/>
        <v>#N/A</v>
      </c>
      <c r="Z182" s="255" t="e">
        <f t="shared" si="115"/>
        <v>#N/A</v>
      </c>
      <c r="AA182" s="255" t="e">
        <f t="shared" si="116"/>
        <v>#N/A</v>
      </c>
      <c r="AB182" s="255" t="e">
        <f t="shared" si="117"/>
        <v>#N/A</v>
      </c>
      <c r="AC182" s="255" t="e">
        <f t="shared" si="118"/>
        <v>#N/A</v>
      </c>
      <c r="AD182" s="255" t="e">
        <f t="shared" si="119"/>
        <v>#N/A</v>
      </c>
      <c r="AE182" s="255" t="e">
        <f t="shared" si="120"/>
        <v>#N/A</v>
      </c>
      <c r="AF182" s="255" t="e">
        <f t="shared" si="121"/>
        <v>#N/A</v>
      </c>
      <c r="AG182" s="255" t="e">
        <f t="shared" si="122"/>
        <v>#N/A</v>
      </c>
      <c r="AI182" s="251">
        <f t="shared" si="95"/>
        <v>44050</v>
      </c>
      <c r="AJ182" s="718">
        <f>IF(OR($B182="No",AJ$6=""),"",IF(NOT(ISNUMBER(_xll.ciqfunctions.udf.CIQ(AJ$6,"IQ_TEV",$AI182,$I$2,$I$3))),"",_xll.ciqfunctions.udf.CIQ(AJ$6,"IQ_TEV",$AI182,$I$2,$I$3)))</f>
        <v>435595.98989999999</v>
      </c>
      <c r="AK182" s="718">
        <f>IF(OR($B182="No",AK$6=""),"",IF(NOT(ISNUMBER(_xll.ciqfunctions.udf.CIQ(AK$6,"IQ_TEV",$AI182,$I$2,$I$3))),"",_xll.ciqfunctions.udf.CIQ(AK$6,"IQ_TEV",$AI182,$I$2,$I$3)))</f>
        <v>151657.84831999999</v>
      </c>
      <c r="AL182" s="718" t="str">
        <f>IF(OR($B182="No",AL$6=""),"",IF(NOT(ISNUMBER(_xll.ciqfunctions.udf.CIQ(AL$6,"IQ_TEV",$AI182,$I$2,$I$3))),"",_xll.ciqfunctions.udf.CIQ(AL$6,"IQ_TEV",$AI182,$I$2,$I$3)))</f>
        <v/>
      </c>
      <c r="AM182" s="718" t="str">
        <f>IF(OR($B182="No",AM$6=""),"",IF(NOT(ISNUMBER(_xll.ciqfunctions.udf.CIQ(AM$6,"IQ_TEV",$AI182,$I$2,$I$3))),"",_xll.ciqfunctions.udf.CIQ(AM$6,"IQ_TEV",$AI182,$I$2,$I$3)))</f>
        <v/>
      </c>
      <c r="AN182" s="718" t="str">
        <f>IF(OR($B182="No",AN$6=""),"",IF(NOT(ISNUMBER(_xll.ciqfunctions.udf.CIQ(AN$6,"IQ_TEV",$AI182,$I$2,$I$3))),"",_xll.ciqfunctions.udf.CIQ(AN$6,"IQ_TEV",$AI182,$I$2,$I$3)))</f>
        <v/>
      </c>
      <c r="AO182" s="718" t="str">
        <f>IF(OR($B182="No",AO$6=""),"",IF(NOT(ISNUMBER(_xll.ciqfunctions.udf.CIQ(AO$6,"IQ_TEV",$AI182,$I$2,$I$3))),"",_xll.ciqfunctions.udf.CIQ(AO$6,"IQ_TEV",$AI182,$I$2,$I$3)))</f>
        <v/>
      </c>
      <c r="AP182" s="718" t="str">
        <f>IF(OR($B182="No",AP$6=""),"",IF(NOT(ISNUMBER(_xll.ciqfunctions.udf.CIQ(AP$6,"IQ_TEV",$AI182,$I$2,$I$3))),"",_xll.ciqfunctions.udf.CIQ(AP$6,"IQ_TEV",$AI182,$I$2,$I$3)))</f>
        <v/>
      </c>
      <c r="AQ182" s="718" t="str">
        <f>IF(OR($B182="No",AQ$6=""),"",IF(NOT(ISNUMBER(_xll.ciqfunctions.udf.CIQ(AQ$6,"IQ_TEV",$AI182,$I$2,$I$3))),"",_xll.ciqfunctions.udf.CIQ(AQ$6,"IQ_TEV",$AI182,$I$2,$I$3)))</f>
        <v/>
      </c>
      <c r="AR182" s="718" t="str">
        <f>IF(OR($B182="No",AR$6=""),"",IF(NOT(ISNUMBER(_xll.ciqfunctions.udf.CIQ(AR$6,"IQ_TEV",$AI182,$I$2,$I$3))),"",_xll.ciqfunctions.udf.CIQ(AR$6,"IQ_TEV",$AI182,$I$2,$I$3)))</f>
        <v/>
      </c>
      <c r="AS182" s="718" t="str">
        <f>IF(OR($B182="No",AS$6=""),"",IF(NOT(ISNUMBER(_xll.ciqfunctions.udf.CIQ(AS$6,"IQ_TEV",$AI182,$I$2,$I$3))),"",_xll.ciqfunctions.udf.CIQ(AS$6,"IQ_TEV",$AI182,$I$2,$I$3)))</f>
        <v/>
      </c>
      <c r="AT182" s="718" t="str">
        <f>IF(OR($B182="No",AT$6=""),"",IF(NOT(ISNUMBER(_xll.ciqfunctions.udf.CIQ(AT$6,"IQ_TEV",$AI182,$I$2,$I$3))),"",_xll.ciqfunctions.udf.CIQ(AT$6,"IQ_TEV",$AI182,$I$2,$I$3)))</f>
        <v/>
      </c>
      <c r="AV182" s="251">
        <f t="shared" si="99"/>
        <v>44050</v>
      </c>
      <c r="AW182" s="719">
        <f t="shared" si="100"/>
        <v>0.66858386732485098</v>
      </c>
      <c r="AX182" s="719">
        <f t="shared" si="101"/>
        <v>1.0779360542511283</v>
      </c>
      <c r="AY182" s="719" t="e">
        <f t="shared" si="102"/>
        <v>#N/A</v>
      </c>
      <c r="AZ182" s="719" t="e">
        <f t="shared" si="103"/>
        <v>#N/A</v>
      </c>
      <c r="BA182" s="719" t="e">
        <f t="shared" si="104"/>
        <v>#N/A</v>
      </c>
      <c r="BB182" s="719" t="e">
        <f t="shared" si="105"/>
        <v>#N/A</v>
      </c>
      <c r="BC182" s="719" t="e">
        <f t="shared" si="106"/>
        <v>#N/A</v>
      </c>
      <c r="BD182" s="719" t="e">
        <f t="shared" si="107"/>
        <v>#N/A</v>
      </c>
      <c r="BE182" s="719" t="e">
        <f t="shared" si="108"/>
        <v>#N/A</v>
      </c>
      <c r="BF182" s="719" t="e">
        <f t="shared" si="109"/>
        <v>#N/A</v>
      </c>
      <c r="BG182" s="719" t="e">
        <f t="shared" si="110"/>
        <v>#N/A</v>
      </c>
    </row>
    <row r="183" spans="1:59" ht="15" customHeight="1" x14ac:dyDescent="0.2">
      <c r="A183" s="251">
        <f t="shared" si="93"/>
        <v>44057</v>
      </c>
      <c r="B183" s="253" t="str">
        <f t="shared" si="111"/>
        <v>Yes</v>
      </c>
      <c r="C183" s="1033">
        <f>IF(C$6="","",IF(NOT(ISNUMBER(_xll.ciqfunctions.udf.CIQ(C$6,$F$2, $A183, $I$2, $I$3))),IF(C182=C$6,"",C182),_xll.ciqfunctions.udf.CIQ(C$6,$F$2, $A183, $I$2, $I$3)))</f>
        <v>132.6</v>
      </c>
      <c r="D183" s="1033">
        <f>IF(D$6="","",IF(NOT(ISNUMBER(_xll.ciqfunctions.udf.CIQ(D$6,$F$2, $A183, $I$2, $I$3))),IF(D182=D$6,"",D182),_xll.ciqfunctions.udf.CIQ(D$6,$F$2, $A183, $I$2, $I$3)))</f>
        <v>27931.018489999999</v>
      </c>
      <c r="E183" s="1033">
        <f>IF(E$6="","",IF(NOT(ISNUMBER(_xll.ciqfunctions.udf.CIQ(E$6,$F$2, $A183, $I$2, $I$3))),IF(E182=E$6,"",E182),_xll.ciqfunctions.udf.CIQ(E$6,$F$2, $A183, $I$2, $I$3)))</f>
        <v>9183.3528100000003</v>
      </c>
      <c r="F183" s="1033">
        <f>IF(F$6="","",IF(NOT(ISNUMBER(_xll.ciqfunctions.udf.CIQ(F$6,$F$2, $A183, $I$2, $I$3))),IF(F182=F$6,"",F182),_xll.ciqfunctions.udf.CIQ(F$6,$F$2, $A183, $I$2, $I$3)))</f>
        <v>5342.9924099999998</v>
      </c>
      <c r="G183" s="1033">
        <f>IF(G$6="","",IF(NOT(ISNUMBER(_xll.ciqfunctions.udf.CIQ(G$6,$F$2, $A183, $I$2, $I$3))),IF(G182=G$6,"",G182),_xll.ciqfunctions.udf.CIQ(G$6,$F$2, $A183, $I$2, $I$3)))</f>
        <v>336.28</v>
      </c>
      <c r="H183" s="1033" t="str">
        <f>IF(H$6="","",IF(NOT(ISNUMBER(_xll.ciqfunctions.udf.CIQ(H$6,$F$2, $A183, $I$2, $I$3))),IF(H182=H$6,"",H182),_xll.ciqfunctions.udf.CIQ(H$6,$F$2, $A183, $I$2, $I$3)))</f>
        <v/>
      </c>
      <c r="I183" s="1033" t="str">
        <f>IF(I$6="","",IF(NOT(ISNUMBER(_xll.ciqfunctions.udf.CIQ(I$6,$F$2, $A183, $I$2, $I$3))),IF(I182=I$6,"",I182),_xll.ciqfunctions.udf.CIQ(I$6,$F$2, $A183, $I$2, $I$3)))</f>
        <v/>
      </c>
      <c r="J183" s="1033" t="str">
        <f>IF(J$6="","",IF(NOT(ISNUMBER(_xll.ciqfunctions.udf.CIQ(J$6,$F$2, $A183, $I$2, $I$3))),IF(J182=J$6,"",J182),_xll.ciqfunctions.udf.CIQ(J$6,$F$2, $A183, $I$2, $I$3)))</f>
        <v/>
      </c>
      <c r="K183" s="1033" t="str">
        <f>IF(K$6="","",IF(NOT(ISNUMBER(_xll.ciqfunctions.udf.CIQ(K$6,$F$2, $A183, $I$2, $I$3))),IF(K182=K$6,"",K182),_xll.ciqfunctions.udf.CIQ(K$6,$F$2, $A183, $I$2, $I$3)))</f>
        <v/>
      </c>
      <c r="L183" s="254" t="str">
        <f>IF(L$6="","",IF(NOT(ISNUMBER(_xll.ciqfunctions.udf.CIQ(L$6,$F$2, $A183, $I$2, $I$3))),IF(L182=L$6,"",L182),_xll.ciqfunctions.udf.CIQ(L$6,$F$2, $A183, $I$2, $I$3)))</f>
        <v/>
      </c>
      <c r="M183" s="254" t="str">
        <f>IF(M$6="","",IF(NOT(ISNUMBER(_xll.ciqfunctions.udf.CIQ(M$6,$F$2, $A183, $I$2, $I$3))),IF(M182=M$6,"",M182),_xll.ciqfunctions.udf.CIQ(M$6,$F$2, $A183, $I$2, $I$3)))</f>
        <v/>
      </c>
      <c r="N183" s="254" t="str">
        <f>IF(N$6="","",IF(NOT(ISNUMBER(_xll.ciqfunctions.udf.CIQ(N$6,$F$2, $A183, $I$2, $I$3))),IF(N182=N$6,"",N182),_xll.ciqfunctions.udf.CIQ(N$6,$F$2, $A183, $I$2, $I$3)))</f>
        <v/>
      </c>
      <c r="O183" s="254" t="str">
        <f>IF(O$6="","",IF(NOT(ISNUMBER(_xll.ciqfunctions.udf.CIQ(O$6,$F$2, $A183, $I$2, $I$3))),IF(O182=O$6,"",O182),_xll.ciqfunctions.udf.CIQ(O$6,$F$2, $A183, $I$2, $I$3)))</f>
        <v/>
      </c>
      <c r="P183" s="254" t="str">
        <f>IF(P$6="","",IF(NOT(ISNUMBER(_xll.ciqfunctions.udf.CIQ(P$6,$F$2, $A183, $I$2, $I$3))),IF(P182=P$6,"",P182),_xll.ciqfunctions.udf.CIQ(P$6,$F$2, $A183, $I$2, $I$3)))</f>
        <v/>
      </c>
      <c r="Q183" s="254"/>
      <c r="R183" s="251">
        <f t="shared" si="94"/>
        <v>44057</v>
      </c>
      <c r="S183" s="255">
        <f t="shared" si="96"/>
        <v>0.83962264150943389</v>
      </c>
      <c r="T183" s="255">
        <f t="shared" si="97"/>
        <v>0.35172625840358696</v>
      </c>
      <c r="U183" s="255">
        <f t="shared" si="98"/>
        <v>0.28334020612961086</v>
      </c>
      <c r="V183" s="255">
        <f t="shared" si="112"/>
        <v>0.21715598491175481</v>
      </c>
      <c r="W183" s="255">
        <f t="array" ref="W183">IFERROR(AVERAGE(IF(ISERROR(X183:AG183),"",X183:AG183)),"")</f>
        <v>1.0053670463355</v>
      </c>
      <c r="X183" s="255">
        <f t="shared" si="113"/>
        <v>1.0053670463355</v>
      </c>
      <c r="Y183" s="255" t="e">
        <f t="shared" si="114"/>
        <v>#N/A</v>
      </c>
      <c r="Z183" s="255" t="e">
        <f t="shared" si="115"/>
        <v>#N/A</v>
      </c>
      <c r="AA183" s="255" t="e">
        <f t="shared" si="116"/>
        <v>#N/A</v>
      </c>
      <c r="AB183" s="255" t="e">
        <f t="shared" si="117"/>
        <v>#N/A</v>
      </c>
      <c r="AC183" s="255" t="e">
        <f t="shared" si="118"/>
        <v>#N/A</v>
      </c>
      <c r="AD183" s="255" t="e">
        <f t="shared" si="119"/>
        <v>#N/A</v>
      </c>
      <c r="AE183" s="255" t="e">
        <f t="shared" si="120"/>
        <v>#N/A</v>
      </c>
      <c r="AF183" s="255" t="e">
        <f t="shared" si="121"/>
        <v>#N/A</v>
      </c>
      <c r="AG183" s="255" t="e">
        <f t="shared" si="122"/>
        <v>#N/A</v>
      </c>
      <c r="AI183" s="251">
        <f t="shared" si="95"/>
        <v>44057</v>
      </c>
      <c r="AJ183" s="718">
        <f>IF(OR($B183="No",AJ$6=""),"",IF(NOT(ISNUMBER(_xll.ciqfunctions.udf.CIQ(AJ$6,"IQ_TEV",$AI183,$I$2,$I$3))),"",_xll.ciqfunctions.udf.CIQ(AJ$6,"IQ_TEV",$AI183,$I$2,$I$3)))</f>
        <v>443044.02746999997</v>
      </c>
      <c r="AK183" s="718">
        <f>IF(OR($B183="No",AK$6=""),"",IF(NOT(ISNUMBER(_xll.ciqfunctions.udf.CIQ(AK$6,"IQ_TEV",$AI183,$I$2,$I$3))),"",_xll.ciqfunctions.udf.CIQ(AK$6,"IQ_TEV",$AI183,$I$2,$I$3)))</f>
        <v>149613.59354</v>
      </c>
      <c r="AL183" s="718" t="str">
        <f>IF(OR($B183="No",AL$6=""),"",IF(NOT(ISNUMBER(_xll.ciqfunctions.udf.CIQ(AL$6,"IQ_TEV",$AI183,$I$2,$I$3))),"",_xll.ciqfunctions.udf.CIQ(AL$6,"IQ_TEV",$AI183,$I$2,$I$3)))</f>
        <v/>
      </c>
      <c r="AM183" s="718" t="str">
        <f>IF(OR($B183="No",AM$6=""),"",IF(NOT(ISNUMBER(_xll.ciqfunctions.udf.CIQ(AM$6,"IQ_TEV",$AI183,$I$2,$I$3))),"",_xll.ciqfunctions.udf.CIQ(AM$6,"IQ_TEV",$AI183,$I$2,$I$3)))</f>
        <v/>
      </c>
      <c r="AN183" s="718" t="str">
        <f>IF(OR($B183="No",AN$6=""),"",IF(NOT(ISNUMBER(_xll.ciqfunctions.udf.CIQ(AN$6,"IQ_TEV",$AI183,$I$2,$I$3))),"",_xll.ciqfunctions.udf.CIQ(AN$6,"IQ_TEV",$AI183,$I$2,$I$3)))</f>
        <v/>
      </c>
      <c r="AO183" s="718" t="str">
        <f>IF(OR($B183="No",AO$6=""),"",IF(NOT(ISNUMBER(_xll.ciqfunctions.udf.CIQ(AO$6,"IQ_TEV",$AI183,$I$2,$I$3))),"",_xll.ciqfunctions.udf.CIQ(AO$6,"IQ_TEV",$AI183,$I$2,$I$3)))</f>
        <v/>
      </c>
      <c r="AP183" s="718" t="str">
        <f>IF(OR($B183="No",AP$6=""),"",IF(NOT(ISNUMBER(_xll.ciqfunctions.udf.CIQ(AP$6,"IQ_TEV",$AI183,$I$2,$I$3))),"",_xll.ciqfunctions.udf.CIQ(AP$6,"IQ_TEV",$AI183,$I$2,$I$3)))</f>
        <v/>
      </c>
      <c r="AQ183" s="718" t="str">
        <f>IF(OR($B183="No",AQ$6=""),"",IF(NOT(ISNUMBER(_xll.ciqfunctions.udf.CIQ(AQ$6,"IQ_TEV",$AI183,$I$2,$I$3))),"",_xll.ciqfunctions.udf.CIQ(AQ$6,"IQ_TEV",$AI183,$I$2,$I$3)))</f>
        <v/>
      </c>
      <c r="AR183" s="718" t="str">
        <f>IF(OR($B183="No",AR$6=""),"",IF(NOT(ISNUMBER(_xll.ciqfunctions.udf.CIQ(AR$6,"IQ_TEV",$AI183,$I$2,$I$3))),"",_xll.ciqfunctions.udf.CIQ(AR$6,"IQ_TEV",$AI183,$I$2,$I$3)))</f>
        <v/>
      </c>
      <c r="AS183" s="718" t="str">
        <f>IF(OR($B183="No",AS$6=""),"",IF(NOT(ISNUMBER(_xll.ciqfunctions.udf.CIQ(AS$6,"IQ_TEV",$AI183,$I$2,$I$3))),"",_xll.ciqfunctions.udf.CIQ(AS$6,"IQ_TEV",$AI183,$I$2,$I$3)))</f>
        <v/>
      </c>
      <c r="AT183" s="718" t="str">
        <f>IF(OR($B183="No",AT$6=""),"",IF(NOT(ISNUMBER(_xll.ciqfunctions.udf.CIQ(AT$6,"IQ_TEV",$AI183,$I$2,$I$3))),"",_xll.ciqfunctions.udf.CIQ(AT$6,"IQ_TEV",$AI183,$I$2,$I$3)))</f>
        <v/>
      </c>
      <c r="AV183" s="251">
        <f t="shared" si="99"/>
        <v>44057</v>
      </c>
      <c r="AW183" s="719">
        <f t="shared" si="100"/>
        <v>0.69711414680557882</v>
      </c>
      <c r="AX183" s="719">
        <f t="shared" si="101"/>
        <v>1.0499267506872654</v>
      </c>
      <c r="AY183" s="719" t="e">
        <f t="shared" si="102"/>
        <v>#N/A</v>
      </c>
      <c r="AZ183" s="719" t="e">
        <f t="shared" si="103"/>
        <v>#N/A</v>
      </c>
      <c r="BA183" s="719" t="e">
        <f t="shared" si="104"/>
        <v>#N/A</v>
      </c>
      <c r="BB183" s="719" t="e">
        <f t="shared" si="105"/>
        <v>#N/A</v>
      </c>
      <c r="BC183" s="719" t="e">
        <f t="shared" si="106"/>
        <v>#N/A</v>
      </c>
      <c r="BD183" s="719" t="e">
        <f t="shared" si="107"/>
        <v>#N/A</v>
      </c>
      <c r="BE183" s="719" t="e">
        <f t="shared" si="108"/>
        <v>#N/A</v>
      </c>
      <c r="BF183" s="719" t="e">
        <f t="shared" si="109"/>
        <v>#N/A</v>
      </c>
      <c r="BG183" s="719" t="e">
        <f t="shared" si="110"/>
        <v>#N/A</v>
      </c>
    </row>
    <row r="184" spans="1:59" ht="15" customHeight="1" x14ac:dyDescent="0.2">
      <c r="A184" s="251">
        <f t="shared" si="93"/>
        <v>44064</v>
      </c>
      <c r="B184" s="253" t="str">
        <f t="shared" si="111"/>
        <v>Yes</v>
      </c>
      <c r="C184" s="1033">
        <f>IF(C$6="","",IF(NOT(ISNUMBER(_xll.ciqfunctions.udf.CIQ(C$6,$F$2, $A184, $I$2, $I$3))),IF(C183=C$6,"",C183),_xll.ciqfunctions.udf.CIQ(C$6,$F$2, $A184, $I$2, $I$3)))</f>
        <v>131.63</v>
      </c>
      <c r="D184" s="1033">
        <f>IF(D$6="","",IF(NOT(ISNUMBER(_xll.ciqfunctions.udf.CIQ(D$6,$F$2, $A184, $I$2, $I$3))),IF(D183=D$6,"",D183),_xll.ciqfunctions.udf.CIQ(D$6,$F$2, $A184, $I$2, $I$3)))</f>
        <v>27930.332610000001</v>
      </c>
      <c r="E184" s="1033">
        <f>IF(E$6="","",IF(NOT(ISNUMBER(_xll.ciqfunctions.udf.CIQ(E$6,$F$2, $A184, $I$2, $I$3))),IF(E183=E$6,"",E183),_xll.ciqfunctions.udf.CIQ(E$6,$F$2, $A184, $I$2, $I$3)))</f>
        <v>9151.0274499999996</v>
      </c>
      <c r="F184" s="1033">
        <f>IF(F$6="","",IF(NOT(ISNUMBER(_xll.ciqfunctions.udf.CIQ(F$6,$F$2, $A184, $I$2, $I$3))),IF(F183=F$6,"",F183),_xll.ciqfunctions.udf.CIQ(F$6,$F$2, $A184, $I$2, $I$3)))</f>
        <v>5385.87727</v>
      </c>
      <c r="G184" s="1033">
        <f>IF(G$6="","",IF(NOT(ISNUMBER(_xll.ciqfunctions.udf.CIQ(G$6,$F$2, $A184, $I$2, $I$3))),IF(G183=G$6,"",G183),_xll.ciqfunctions.udf.CIQ(G$6,$F$2, $A184, $I$2, $I$3)))</f>
        <v>344.61</v>
      </c>
      <c r="H184" s="1033" t="str">
        <f>IF(H$6="","",IF(NOT(ISNUMBER(_xll.ciqfunctions.udf.CIQ(H$6,$F$2, $A184, $I$2, $I$3))),IF(H183=H$6,"",H183),_xll.ciqfunctions.udf.CIQ(H$6,$F$2, $A184, $I$2, $I$3)))</f>
        <v/>
      </c>
      <c r="I184" s="1033" t="str">
        <f>IF(I$6="","",IF(NOT(ISNUMBER(_xll.ciqfunctions.udf.CIQ(I$6,$F$2, $A184, $I$2, $I$3))),IF(I183=I$6,"",I183),_xll.ciqfunctions.udf.CIQ(I$6,$F$2, $A184, $I$2, $I$3)))</f>
        <v/>
      </c>
      <c r="J184" s="1033" t="str">
        <f>IF(J$6="","",IF(NOT(ISNUMBER(_xll.ciqfunctions.udf.CIQ(J$6,$F$2, $A184, $I$2, $I$3))),IF(J183=J$6,"",J183),_xll.ciqfunctions.udf.CIQ(J$6,$F$2, $A184, $I$2, $I$3)))</f>
        <v/>
      </c>
      <c r="K184" s="1033" t="str">
        <f>IF(K$6="","",IF(NOT(ISNUMBER(_xll.ciqfunctions.udf.CIQ(K$6,$F$2, $A184, $I$2, $I$3))),IF(K183=K$6,"",K183),_xll.ciqfunctions.udf.CIQ(K$6,$F$2, $A184, $I$2, $I$3)))</f>
        <v/>
      </c>
      <c r="L184" s="254" t="str">
        <f>IF(L$6="","",IF(NOT(ISNUMBER(_xll.ciqfunctions.udf.CIQ(L$6,$F$2, $A184, $I$2, $I$3))),IF(L183=L$6,"",L183),_xll.ciqfunctions.udf.CIQ(L$6,$F$2, $A184, $I$2, $I$3)))</f>
        <v/>
      </c>
      <c r="M184" s="254" t="str">
        <f>IF(M$6="","",IF(NOT(ISNUMBER(_xll.ciqfunctions.udf.CIQ(M$6,$F$2, $A184, $I$2, $I$3))),IF(M183=M$6,"",M183),_xll.ciqfunctions.udf.CIQ(M$6,$F$2, $A184, $I$2, $I$3)))</f>
        <v/>
      </c>
      <c r="N184" s="254" t="str">
        <f>IF(N$6="","",IF(NOT(ISNUMBER(_xll.ciqfunctions.udf.CIQ(N$6,$F$2, $A184, $I$2, $I$3))),IF(N183=N$6,"",N183),_xll.ciqfunctions.udf.CIQ(N$6,$F$2, $A184, $I$2, $I$3)))</f>
        <v/>
      </c>
      <c r="O184" s="254" t="str">
        <f>IF(O$6="","",IF(NOT(ISNUMBER(_xll.ciqfunctions.udf.CIQ(O$6,$F$2, $A184, $I$2, $I$3))),IF(O183=O$6,"",O183),_xll.ciqfunctions.udf.CIQ(O$6,$F$2, $A184, $I$2, $I$3)))</f>
        <v/>
      </c>
      <c r="P184" s="254" t="str">
        <f>IF(P$6="","",IF(NOT(ISNUMBER(_xll.ciqfunctions.udf.CIQ(P$6,$F$2, $A184, $I$2, $I$3))),IF(P183=P$6,"",P183),_xll.ciqfunctions.udf.CIQ(P$6,$F$2, $A184, $I$2, $I$3)))</f>
        <v/>
      </c>
      <c r="Q184" s="254"/>
      <c r="R184" s="251">
        <f t="shared" si="94"/>
        <v>44064</v>
      </c>
      <c r="S184" s="255">
        <f t="shared" si="96"/>
        <v>0.82616537180910088</v>
      </c>
      <c r="T184" s="255">
        <f t="shared" si="97"/>
        <v>0.35169306512757226</v>
      </c>
      <c r="U184" s="255">
        <f t="shared" si="98"/>
        <v>0.27882285445817767</v>
      </c>
      <c r="V184" s="255">
        <f t="shared" si="112"/>
        <v>0.22692533511959123</v>
      </c>
      <c r="W184" s="255">
        <f t="array" ref="W184">IFERROR(AVERAGE(IF(ISERROR(X184:AG184),"",X184:AG184)),"")</f>
        <v>1.0550420418629614</v>
      </c>
      <c r="X184" s="255">
        <f t="shared" si="113"/>
        <v>1.0550420418629614</v>
      </c>
      <c r="Y184" s="255" t="e">
        <f t="shared" si="114"/>
        <v>#N/A</v>
      </c>
      <c r="Z184" s="255" t="e">
        <f t="shared" si="115"/>
        <v>#N/A</v>
      </c>
      <c r="AA184" s="255" t="e">
        <f t="shared" si="116"/>
        <v>#N/A</v>
      </c>
      <c r="AB184" s="255" t="e">
        <f t="shared" si="117"/>
        <v>#N/A</v>
      </c>
      <c r="AC184" s="255" t="e">
        <f t="shared" si="118"/>
        <v>#N/A</v>
      </c>
      <c r="AD184" s="255" t="e">
        <f t="shared" si="119"/>
        <v>#N/A</v>
      </c>
      <c r="AE184" s="255" t="e">
        <f t="shared" si="120"/>
        <v>#N/A</v>
      </c>
      <c r="AF184" s="255" t="e">
        <f t="shared" si="121"/>
        <v>#N/A</v>
      </c>
      <c r="AG184" s="255" t="e">
        <f t="shared" si="122"/>
        <v>#N/A</v>
      </c>
      <c r="AI184" s="251">
        <f t="shared" si="95"/>
        <v>44064</v>
      </c>
      <c r="AJ184" s="718">
        <f>IF(OR($B184="No",AJ$6=""),"",IF(NOT(ISNUMBER(_xll.ciqfunctions.udf.CIQ(AJ$6,"IQ_TEV",$AI184,$I$2,$I$3))),"",_xll.ciqfunctions.udf.CIQ(AJ$6,"IQ_TEV",$AI184,$I$2,$I$3)))</f>
        <v>431245.03262000001</v>
      </c>
      <c r="AK184" s="718">
        <f>IF(OR($B184="No",AK$6=""),"",IF(NOT(ISNUMBER(_xll.ciqfunctions.udf.CIQ(AK$6,"IQ_TEV",$AI184,$I$2,$I$3))),"",_xll.ciqfunctions.udf.CIQ(AK$6,"IQ_TEV",$AI184,$I$2,$I$3)))</f>
        <v>153291.48605000001</v>
      </c>
      <c r="AL184" s="718" t="str">
        <f>IF(OR($B184="No",AL$6=""),"",IF(NOT(ISNUMBER(_xll.ciqfunctions.udf.CIQ(AL$6,"IQ_TEV",$AI184,$I$2,$I$3))),"",_xll.ciqfunctions.udf.CIQ(AL$6,"IQ_TEV",$AI184,$I$2,$I$3)))</f>
        <v/>
      </c>
      <c r="AM184" s="718" t="str">
        <f>IF(OR($B184="No",AM$6=""),"",IF(NOT(ISNUMBER(_xll.ciqfunctions.udf.CIQ(AM$6,"IQ_TEV",$AI184,$I$2,$I$3))),"",_xll.ciqfunctions.udf.CIQ(AM$6,"IQ_TEV",$AI184,$I$2,$I$3)))</f>
        <v/>
      </c>
      <c r="AN184" s="718" t="str">
        <f>IF(OR($B184="No",AN$6=""),"",IF(NOT(ISNUMBER(_xll.ciqfunctions.udf.CIQ(AN$6,"IQ_TEV",$AI184,$I$2,$I$3))),"",_xll.ciqfunctions.udf.CIQ(AN$6,"IQ_TEV",$AI184,$I$2,$I$3)))</f>
        <v/>
      </c>
      <c r="AO184" s="718" t="str">
        <f>IF(OR($B184="No",AO$6=""),"",IF(NOT(ISNUMBER(_xll.ciqfunctions.udf.CIQ(AO$6,"IQ_TEV",$AI184,$I$2,$I$3))),"",_xll.ciqfunctions.udf.CIQ(AO$6,"IQ_TEV",$AI184,$I$2,$I$3)))</f>
        <v/>
      </c>
      <c r="AP184" s="718" t="str">
        <f>IF(OR($B184="No",AP$6=""),"",IF(NOT(ISNUMBER(_xll.ciqfunctions.udf.CIQ(AP$6,"IQ_TEV",$AI184,$I$2,$I$3))),"",_xll.ciqfunctions.udf.CIQ(AP$6,"IQ_TEV",$AI184,$I$2,$I$3)))</f>
        <v/>
      </c>
      <c r="AQ184" s="718" t="str">
        <f>IF(OR($B184="No",AQ$6=""),"",IF(NOT(ISNUMBER(_xll.ciqfunctions.udf.CIQ(AQ$6,"IQ_TEV",$AI184,$I$2,$I$3))),"",_xll.ciqfunctions.udf.CIQ(AQ$6,"IQ_TEV",$AI184,$I$2,$I$3)))</f>
        <v/>
      </c>
      <c r="AR184" s="718" t="str">
        <f>IF(OR($B184="No",AR$6=""),"",IF(NOT(ISNUMBER(_xll.ciqfunctions.udf.CIQ(AR$6,"IQ_TEV",$AI184,$I$2,$I$3))),"",_xll.ciqfunctions.udf.CIQ(AR$6,"IQ_TEV",$AI184,$I$2,$I$3)))</f>
        <v/>
      </c>
      <c r="AS184" s="718" t="str">
        <f>IF(OR($B184="No",AS$6=""),"",IF(NOT(ISNUMBER(_xll.ciqfunctions.udf.CIQ(AS$6,"IQ_TEV",$AI184,$I$2,$I$3))),"",_xll.ciqfunctions.udf.CIQ(AS$6,"IQ_TEV",$AI184,$I$2,$I$3)))</f>
        <v/>
      </c>
      <c r="AT184" s="718" t="str">
        <f>IF(OR($B184="No",AT$6=""),"",IF(NOT(ISNUMBER(_xll.ciqfunctions.udf.CIQ(AT$6,"IQ_TEV",$AI184,$I$2,$I$3))),"",_xll.ciqfunctions.udf.CIQ(AT$6,"IQ_TEV",$AI184,$I$2,$I$3)))</f>
        <v/>
      </c>
      <c r="AV184" s="251">
        <f t="shared" si="99"/>
        <v>44064</v>
      </c>
      <c r="AW184" s="719">
        <f t="shared" si="100"/>
        <v>0.65191719156758721</v>
      </c>
      <c r="AX184" s="719">
        <f t="shared" si="101"/>
        <v>1.1003192990113293</v>
      </c>
      <c r="AY184" s="719" t="e">
        <f t="shared" si="102"/>
        <v>#N/A</v>
      </c>
      <c r="AZ184" s="719" t="e">
        <f t="shared" si="103"/>
        <v>#N/A</v>
      </c>
      <c r="BA184" s="719" t="e">
        <f t="shared" si="104"/>
        <v>#N/A</v>
      </c>
      <c r="BB184" s="719" t="e">
        <f t="shared" si="105"/>
        <v>#N/A</v>
      </c>
      <c r="BC184" s="719" t="e">
        <f t="shared" si="106"/>
        <v>#N/A</v>
      </c>
      <c r="BD184" s="719" t="e">
        <f t="shared" si="107"/>
        <v>#N/A</v>
      </c>
      <c r="BE184" s="719" t="e">
        <f t="shared" si="108"/>
        <v>#N/A</v>
      </c>
      <c r="BF184" s="719" t="e">
        <f t="shared" si="109"/>
        <v>#N/A</v>
      </c>
      <c r="BG184" s="719" t="e">
        <f t="shared" si="110"/>
        <v>#N/A</v>
      </c>
    </row>
    <row r="185" spans="1:59" ht="15" customHeight="1" x14ac:dyDescent="0.2">
      <c r="A185" s="251">
        <f t="shared" si="93"/>
        <v>44071</v>
      </c>
      <c r="B185" s="253" t="str">
        <f t="shared" si="111"/>
        <v>Yes</v>
      </c>
      <c r="C185" s="1033">
        <f>IF(C$6="","",IF(NOT(ISNUMBER(_xll.ciqfunctions.udf.CIQ(C$6,$F$2, $A185, $I$2, $I$3))),IF(C184=C$6,"",C184),_xll.ciqfunctions.udf.CIQ(C$6,$F$2, $A185, $I$2, $I$3)))</f>
        <v>140.30000000000001</v>
      </c>
      <c r="D185" s="1033">
        <f>IF(D$6="","",IF(NOT(ISNUMBER(_xll.ciqfunctions.udf.CIQ(D$6,$F$2, $A185, $I$2, $I$3))),IF(D184=D$6,"",D184),_xll.ciqfunctions.udf.CIQ(D$6,$F$2, $A185, $I$2, $I$3)))</f>
        <v>28653.867320000001</v>
      </c>
      <c r="E185" s="1033">
        <f>IF(E$6="","",IF(NOT(ISNUMBER(_xll.ciqfunctions.udf.CIQ(E$6,$F$2, $A185, $I$2, $I$3))),IF(E184=E$6,"",E184),_xll.ciqfunctions.udf.CIQ(E$6,$F$2, $A185, $I$2, $I$3)))</f>
        <v>9353.9226099999996</v>
      </c>
      <c r="F185" s="1033">
        <f>IF(F$6="","",IF(NOT(ISNUMBER(_xll.ciqfunctions.udf.CIQ(F$6,$F$2, $A185, $I$2, $I$3))),IF(F184=F$6,"",F184),_xll.ciqfunctions.udf.CIQ(F$6,$F$2, $A185, $I$2, $I$3)))</f>
        <v>5450.7322199999999</v>
      </c>
      <c r="G185" s="1033">
        <f>IF(G$6="","",IF(NOT(ISNUMBER(_xll.ciqfunctions.udf.CIQ(G$6,$F$2, $A185, $I$2, $I$3))),IF(G184=G$6,"",G184),_xll.ciqfunctions.udf.CIQ(G$6,$F$2, $A185, $I$2, $I$3)))</f>
        <v>348.37</v>
      </c>
      <c r="H185" s="1033" t="str">
        <f>IF(H$6="","",IF(NOT(ISNUMBER(_xll.ciqfunctions.udf.CIQ(H$6,$F$2, $A185, $I$2, $I$3))),IF(H184=H$6,"",H184),_xll.ciqfunctions.udf.CIQ(H$6,$F$2, $A185, $I$2, $I$3)))</f>
        <v/>
      </c>
      <c r="I185" s="1033" t="str">
        <f>IF(I$6="","",IF(NOT(ISNUMBER(_xll.ciqfunctions.udf.CIQ(I$6,$F$2, $A185, $I$2, $I$3))),IF(I184=I$6,"",I184),_xll.ciqfunctions.udf.CIQ(I$6,$F$2, $A185, $I$2, $I$3)))</f>
        <v/>
      </c>
      <c r="J185" s="1033" t="str">
        <f>IF(J$6="","",IF(NOT(ISNUMBER(_xll.ciqfunctions.udf.CIQ(J$6,$F$2, $A185, $I$2, $I$3))),IF(J184=J$6,"",J184),_xll.ciqfunctions.udf.CIQ(J$6,$F$2, $A185, $I$2, $I$3)))</f>
        <v/>
      </c>
      <c r="K185" s="1033" t="str">
        <f>IF(K$6="","",IF(NOT(ISNUMBER(_xll.ciqfunctions.udf.CIQ(K$6,$F$2, $A185, $I$2, $I$3))),IF(K184=K$6,"",K184),_xll.ciqfunctions.udf.CIQ(K$6,$F$2, $A185, $I$2, $I$3)))</f>
        <v/>
      </c>
      <c r="L185" s="254" t="str">
        <f>IF(L$6="","",IF(NOT(ISNUMBER(_xll.ciqfunctions.udf.CIQ(L$6,$F$2, $A185, $I$2, $I$3))),IF(L184=L$6,"",L184),_xll.ciqfunctions.udf.CIQ(L$6,$F$2, $A185, $I$2, $I$3)))</f>
        <v/>
      </c>
      <c r="M185" s="254" t="str">
        <f>IF(M$6="","",IF(NOT(ISNUMBER(_xll.ciqfunctions.udf.CIQ(M$6,$F$2, $A185, $I$2, $I$3))),IF(M184=M$6,"",M184),_xll.ciqfunctions.udf.CIQ(M$6,$F$2, $A185, $I$2, $I$3)))</f>
        <v/>
      </c>
      <c r="N185" s="254" t="str">
        <f>IF(N$6="","",IF(NOT(ISNUMBER(_xll.ciqfunctions.udf.CIQ(N$6,$F$2, $A185, $I$2, $I$3))),IF(N184=N$6,"",N184),_xll.ciqfunctions.udf.CIQ(N$6,$F$2, $A185, $I$2, $I$3)))</f>
        <v/>
      </c>
      <c r="O185" s="254" t="str">
        <f>IF(O$6="","",IF(NOT(ISNUMBER(_xll.ciqfunctions.udf.CIQ(O$6,$F$2, $A185, $I$2, $I$3))),IF(O184=O$6,"",O184),_xll.ciqfunctions.udf.CIQ(O$6,$F$2, $A185, $I$2, $I$3)))</f>
        <v/>
      </c>
      <c r="P185" s="254" t="str">
        <f>IF(P$6="","",IF(NOT(ISNUMBER(_xll.ciqfunctions.udf.CIQ(P$6,$F$2, $A185, $I$2, $I$3))),IF(P184=P$6,"",P184),_xll.ciqfunctions.udf.CIQ(P$6,$F$2, $A185, $I$2, $I$3)))</f>
        <v/>
      </c>
      <c r="Q185" s="254"/>
      <c r="R185" s="251">
        <f t="shared" si="94"/>
        <v>44071</v>
      </c>
      <c r="S185" s="255">
        <f t="shared" si="96"/>
        <v>0.9464483906770258</v>
      </c>
      <c r="T185" s="255">
        <f t="shared" si="97"/>
        <v>0.38670864705930796</v>
      </c>
      <c r="U185" s="255">
        <f t="shared" si="98"/>
        <v>0.30717671626054277</v>
      </c>
      <c r="V185" s="255">
        <f t="shared" si="112"/>
        <v>0.24169956358301015</v>
      </c>
      <c r="W185" s="255">
        <f t="array" ref="W185">IFERROR(AVERAGE(IF(ISERROR(X185:AG185),"",X185:AG185)),"")</f>
        <v>1.0774643687757171</v>
      </c>
      <c r="X185" s="255">
        <f t="shared" si="113"/>
        <v>1.0774643687757171</v>
      </c>
      <c r="Y185" s="255" t="e">
        <f t="shared" si="114"/>
        <v>#N/A</v>
      </c>
      <c r="Z185" s="255" t="e">
        <f t="shared" si="115"/>
        <v>#N/A</v>
      </c>
      <c r="AA185" s="255" t="e">
        <f t="shared" si="116"/>
        <v>#N/A</v>
      </c>
      <c r="AB185" s="255" t="e">
        <f t="shared" si="117"/>
        <v>#N/A</v>
      </c>
      <c r="AC185" s="255" t="e">
        <f t="shared" si="118"/>
        <v>#N/A</v>
      </c>
      <c r="AD185" s="255" t="e">
        <f t="shared" si="119"/>
        <v>#N/A</v>
      </c>
      <c r="AE185" s="255" t="e">
        <f t="shared" si="120"/>
        <v>#N/A</v>
      </c>
      <c r="AF185" s="255" t="e">
        <f t="shared" si="121"/>
        <v>#N/A</v>
      </c>
      <c r="AG185" s="255" t="e">
        <f t="shared" si="122"/>
        <v>#N/A</v>
      </c>
      <c r="AI185" s="251">
        <f t="shared" si="95"/>
        <v>44071</v>
      </c>
      <c r="AJ185" s="718">
        <f>IF(OR($B185="No",AJ$6=""),"",IF(NOT(ISNUMBER(_xll.ciqfunctions.udf.CIQ(AJ$6,"IQ_TEV",$AI185,$I$2,$I$3))),"",_xll.ciqfunctions.udf.CIQ(AJ$6,"IQ_TEV",$AI185,$I$2,$I$3)))</f>
        <v>455798.06903999997</v>
      </c>
      <c r="AK185" s="718">
        <f>IF(OR($B185="No",AK$6=""),"",IF(NOT(ISNUMBER(_xll.ciqfunctions.udf.CIQ(AK$6,"IQ_TEV",$AI185,$I$2,$I$3))),"",_xll.ciqfunctions.udf.CIQ(AK$6,"IQ_TEV",$AI185,$I$2,$I$3)))</f>
        <v>154951.6152</v>
      </c>
      <c r="AL185" s="718" t="str">
        <f>IF(OR($B185="No",AL$6=""),"",IF(NOT(ISNUMBER(_xll.ciqfunctions.udf.CIQ(AL$6,"IQ_TEV",$AI185,$I$2,$I$3))),"",_xll.ciqfunctions.udf.CIQ(AL$6,"IQ_TEV",$AI185,$I$2,$I$3)))</f>
        <v/>
      </c>
      <c r="AM185" s="718" t="str">
        <f>IF(OR($B185="No",AM$6=""),"",IF(NOT(ISNUMBER(_xll.ciqfunctions.udf.CIQ(AM$6,"IQ_TEV",$AI185,$I$2,$I$3))),"",_xll.ciqfunctions.udf.CIQ(AM$6,"IQ_TEV",$AI185,$I$2,$I$3)))</f>
        <v/>
      </c>
      <c r="AN185" s="718" t="str">
        <f>IF(OR($B185="No",AN$6=""),"",IF(NOT(ISNUMBER(_xll.ciqfunctions.udf.CIQ(AN$6,"IQ_TEV",$AI185,$I$2,$I$3))),"",_xll.ciqfunctions.udf.CIQ(AN$6,"IQ_TEV",$AI185,$I$2,$I$3)))</f>
        <v/>
      </c>
      <c r="AO185" s="718" t="str">
        <f>IF(OR($B185="No",AO$6=""),"",IF(NOT(ISNUMBER(_xll.ciqfunctions.udf.CIQ(AO$6,"IQ_TEV",$AI185,$I$2,$I$3))),"",_xll.ciqfunctions.udf.CIQ(AO$6,"IQ_TEV",$AI185,$I$2,$I$3)))</f>
        <v/>
      </c>
      <c r="AP185" s="718" t="str">
        <f>IF(OR($B185="No",AP$6=""),"",IF(NOT(ISNUMBER(_xll.ciqfunctions.udf.CIQ(AP$6,"IQ_TEV",$AI185,$I$2,$I$3))),"",_xll.ciqfunctions.udf.CIQ(AP$6,"IQ_TEV",$AI185,$I$2,$I$3)))</f>
        <v/>
      </c>
      <c r="AQ185" s="718" t="str">
        <f>IF(OR($B185="No",AQ$6=""),"",IF(NOT(ISNUMBER(_xll.ciqfunctions.udf.CIQ(AQ$6,"IQ_TEV",$AI185,$I$2,$I$3))),"",_xll.ciqfunctions.udf.CIQ(AQ$6,"IQ_TEV",$AI185,$I$2,$I$3)))</f>
        <v/>
      </c>
      <c r="AR185" s="718" t="str">
        <f>IF(OR($B185="No",AR$6=""),"",IF(NOT(ISNUMBER(_xll.ciqfunctions.udf.CIQ(AR$6,"IQ_TEV",$AI185,$I$2,$I$3))),"",_xll.ciqfunctions.udf.CIQ(AR$6,"IQ_TEV",$AI185,$I$2,$I$3)))</f>
        <v/>
      </c>
      <c r="AS185" s="718" t="str">
        <f>IF(OR($B185="No",AS$6=""),"",IF(NOT(ISNUMBER(_xll.ciqfunctions.udf.CIQ(AS$6,"IQ_TEV",$AI185,$I$2,$I$3))),"",_xll.ciqfunctions.udf.CIQ(AS$6,"IQ_TEV",$AI185,$I$2,$I$3)))</f>
        <v/>
      </c>
      <c r="AT185" s="718" t="str">
        <f>IF(OR($B185="No",AT$6=""),"",IF(NOT(ISNUMBER(_xll.ciqfunctions.udf.CIQ(AT$6,"IQ_TEV",$AI185,$I$2,$I$3))),"",_xll.ciqfunctions.udf.CIQ(AT$6,"IQ_TEV",$AI185,$I$2,$I$3)))</f>
        <v/>
      </c>
      <c r="AV185" s="251">
        <f t="shared" si="99"/>
        <v>44071</v>
      </c>
      <c r="AW185" s="719">
        <f t="shared" si="100"/>
        <v>0.74596948179564171</v>
      </c>
      <c r="AX185" s="719">
        <f t="shared" si="101"/>
        <v>1.1230655152718918</v>
      </c>
      <c r="AY185" s="719" t="e">
        <f t="shared" si="102"/>
        <v>#N/A</v>
      </c>
      <c r="AZ185" s="719" t="e">
        <f t="shared" si="103"/>
        <v>#N/A</v>
      </c>
      <c r="BA185" s="719" t="e">
        <f t="shared" si="104"/>
        <v>#N/A</v>
      </c>
      <c r="BB185" s="719" t="e">
        <f t="shared" si="105"/>
        <v>#N/A</v>
      </c>
      <c r="BC185" s="719" t="e">
        <f t="shared" si="106"/>
        <v>#N/A</v>
      </c>
      <c r="BD185" s="719" t="e">
        <f t="shared" si="107"/>
        <v>#N/A</v>
      </c>
      <c r="BE185" s="719" t="e">
        <f t="shared" si="108"/>
        <v>#N/A</v>
      </c>
      <c r="BF185" s="719" t="e">
        <f t="shared" si="109"/>
        <v>#N/A</v>
      </c>
      <c r="BG185" s="719" t="e">
        <f t="shared" si="110"/>
        <v>#N/A</v>
      </c>
    </row>
    <row r="186" spans="1:59" ht="15" customHeight="1" x14ac:dyDescent="0.2">
      <c r="A186" s="251">
        <f t="shared" si="93"/>
        <v>44078</v>
      </c>
      <c r="B186" s="253" t="str">
        <f t="shared" si="111"/>
        <v>Yes</v>
      </c>
      <c r="C186" s="1033">
        <f>IF(C$6="","",IF(NOT(ISNUMBER(_xll.ciqfunctions.udf.CIQ(C$6,$F$2, $A186, $I$2, $I$3))),IF(C185=C$6,"",C185),_xll.ciqfunctions.udf.CIQ(C$6,$F$2, $A186, $I$2, $I$3)))</f>
        <v>142.83000000000001</v>
      </c>
      <c r="D186" s="1033">
        <f>IF(D$6="","",IF(NOT(ISNUMBER(_xll.ciqfunctions.udf.CIQ(D$6,$F$2, $A186, $I$2, $I$3))),IF(D185=D$6,"",D185),_xll.ciqfunctions.udf.CIQ(D$6,$F$2, $A186, $I$2, $I$3)))</f>
        <v>28133.313190000001</v>
      </c>
      <c r="E186" s="1033">
        <f>IF(E$6="","",IF(NOT(ISNUMBER(_xll.ciqfunctions.udf.CIQ(E$6,$F$2, $A186, $I$2, $I$3))),IF(E185=E$6,"",E185),_xll.ciqfunctions.udf.CIQ(E$6,$F$2, $A186, $I$2, $I$3)))</f>
        <v>9238.3345000000008</v>
      </c>
      <c r="F186" s="1033">
        <f>IF(F$6="","",IF(NOT(ISNUMBER(_xll.ciqfunctions.udf.CIQ(F$6,$F$2, $A186, $I$2, $I$3))),IF(F185=F$6,"",F185),_xll.ciqfunctions.udf.CIQ(F$6,$F$2, $A186, $I$2, $I$3)))</f>
        <v>5283.5422500000004</v>
      </c>
      <c r="G186" s="1033">
        <f>IF(G$6="","",IF(NOT(ISNUMBER(_xll.ciqfunctions.udf.CIQ(G$6,$F$2, $A186, $I$2, $I$3))),IF(G185=G$6,"",G185),_xll.ciqfunctions.udf.CIQ(G$6,$F$2, $A186, $I$2, $I$3)))</f>
        <v>346.57</v>
      </c>
      <c r="H186" s="1033" t="str">
        <f>IF(H$6="","",IF(NOT(ISNUMBER(_xll.ciqfunctions.udf.CIQ(H$6,$F$2, $A186, $I$2, $I$3))),IF(H185=H$6,"",H185),_xll.ciqfunctions.udf.CIQ(H$6,$F$2, $A186, $I$2, $I$3)))</f>
        <v/>
      </c>
      <c r="I186" s="1033" t="str">
        <f>IF(I$6="","",IF(NOT(ISNUMBER(_xll.ciqfunctions.udf.CIQ(I$6,$F$2, $A186, $I$2, $I$3))),IF(I185=I$6,"",I185),_xll.ciqfunctions.udf.CIQ(I$6,$F$2, $A186, $I$2, $I$3)))</f>
        <v/>
      </c>
      <c r="J186" s="1033" t="str">
        <f>IF(J$6="","",IF(NOT(ISNUMBER(_xll.ciqfunctions.udf.CIQ(J$6,$F$2, $A186, $I$2, $I$3))),IF(J185=J$6,"",J185),_xll.ciqfunctions.udf.CIQ(J$6,$F$2, $A186, $I$2, $I$3)))</f>
        <v/>
      </c>
      <c r="K186" s="1033" t="str">
        <f>IF(K$6="","",IF(NOT(ISNUMBER(_xll.ciqfunctions.udf.CIQ(K$6,$F$2, $A186, $I$2, $I$3))),IF(K185=K$6,"",K185),_xll.ciqfunctions.udf.CIQ(K$6,$F$2, $A186, $I$2, $I$3)))</f>
        <v/>
      </c>
      <c r="L186" s="254" t="str">
        <f>IF(L$6="","",IF(NOT(ISNUMBER(_xll.ciqfunctions.udf.CIQ(L$6,$F$2, $A186, $I$2, $I$3))),IF(L185=L$6,"",L185),_xll.ciqfunctions.udf.CIQ(L$6,$F$2, $A186, $I$2, $I$3)))</f>
        <v/>
      </c>
      <c r="M186" s="254" t="str">
        <f>IF(M$6="","",IF(NOT(ISNUMBER(_xll.ciqfunctions.udf.CIQ(M$6,$F$2, $A186, $I$2, $I$3))),IF(M185=M$6,"",M185),_xll.ciqfunctions.udf.CIQ(M$6,$F$2, $A186, $I$2, $I$3)))</f>
        <v/>
      </c>
      <c r="N186" s="254" t="str">
        <f>IF(N$6="","",IF(NOT(ISNUMBER(_xll.ciqfunctions.udf.CIQ(N$6,$F$2, $A186, $I$2, $I$3))),IF(N185=N$6,"",N185),_xll.ciqfunctions.udf.CIQ(N$6,$F$2, $A186, $I$2, $I$3)))</f>
        <v/>
      </c>
      <c r="O186" s="254" t="str">
        <f>IF(O$6="","",IF(NOT(ISNUMBER(_xll.ciqfunctions.udf.CIQ(O$6,$F$2, $A186, $I$2, $I$3))),IF(O185=O$6,"",O185),_xll.ciqfunctions.udf.CIQ(O$6,$F$2, $A186, $I$2, $I$3)))</f>
        <v/>
      </c>
      <c r="P186" s="254" t="str">
        <f>IF(P$6="","",IF(NOT(ISNUMBER(_xll.ciqfunctions.udf.CIQ(P$6,$F$2, $A186, $I$2, $I$3))),IF(P185=P$6,"",P185),_xll.ciqfunctions.udf.CIQ(P$6,$F$2, $A186, $I$2, $I$3)))</f>
        <v/>
      </c>
      <c r="Q186" s="254"/>
      <c r="R186" s="251">
        <f t="shared" si="94"/>
        <v>44078</v>
      </c>
      <c r="S186" s="255">
        <f t="shared" si="96"/>
        <v>0.9815482796892343</v>
      </c>
      <c r="T186" s="255">
        <f t="shared" si="97"/>
        <v>0.36151634386086373</v>
      </c>
      <c r="U186" s="255">
        <f t="shared" si="98"/>
        <v>0.29102369764276714</v>
      </c>
      <c r="V186" s="255">
        <f t="shared" si="112"/>
        <v>0.2036129901823347</v>
      </c>
      <c r="W186" s="255">
        <f t="array" ref="W186">IFERROR(AVERAGE(IF(ISERROR(X186:AG186),"",X186:AG186)),"")</f>
        <v>1.066730276104717</v>
      </c>
      <c r="X186" s="255">
        <f t="shared" si="113"/>
        <v>1.066730276104717</v>
      </c>
      <c r="Y186" s="255" t="e">
        <f t="shared" si="114"/>
        <v>#N/A</v>
      </c>
      <c r="Z186" s="255" t="e">
        <f t="shared" si="115"/>
        <v>#N/A</v>
      </c>
      <c r="AA186" s="255" t="e">
        <f t="shared" si="116"/>
        <v>#N/A</v>
      </c>
      <c r="AB186" s="255" t="e">
        <f t="shared" si="117"/>
        <v>#N/A</v>
      </c>
      <c r="AC186" s="255" t="e">
        <f t="shared" si="118"/>
        <v>#N/A</v>
      </c>
      <c r="AD186" s="255" t="e">
        <f t="shared" si="119"/>
        <v>#N/A</v>
      </c>
      <c r="AE186" s="255" t="e">
        <f t="shared" si="120"/>
        <v>#N/A</v>
      </c>
      <c r="AF186" s="255" t="e">
        <f t="shared" si="121"/>
        <v>#N/A</v>
      </c>
      <c r="AG186" s="255" t="e">
        <f t="shared" si="122"/>
        <v>#N/A</v>
      </c>
      <c r="AI186" s="251">
        <f t="shared" si="95"/>
        <v>44078</v>
      </c>
      <c r="AJ186" s="718">
        <f>IF(OR($B186="No",AJ$6=""),"",IF(NOT(ISNUMBER(_xll.ciqfunctions.udf.CIQ(AJ$6,"IQ_TEV",$AI186,$I$2,$I$3))),"",_xll.ciqfunctions.udf.CIQ(AJ$6,"IQ_TEV",$AI186,$I$2,$I$3)))</f>
        <v>463967.93212999997</v>
      </c>
      <c r="AK186" s="718">
        <f>IF(OR($B186="No",AK$6=""),"",IF(NOT(ISNUMBER(_xll.ciqfunctions.udf.CIQ(AK$6,"IQ_TEV",$AI186,$I$2,$I$3))),"",_xll.ciqfunctions.udf.CIQ(AK$6,"IQ_TEV",$AI186,$I$2,$I$3)))</f>
        <v>154156.87252</v>
      </c>
      <c r="AL186" s="718" t="str">
        <f>IF(OR($B186="No",AL$6=""),"",IF(NOT(ISNUMBER(_xll.ciqfunctions.udf.CIQ(AL$6,"IQ_TEV",$AI186,$I$2,$I$3))),"",_xll.ciqfunctions.udf.CIQ(AL$6,"IQ_TEV",$AI186,$I$2,$I$3)))</f>
        <v/>
      </c>
      <c r="AM186" s="718" t="str">
        <f>IF(OR($B186="No",AM$6=""),"",IF(NOT(ISNUMBER(_xll.ciqfunctions.udf.CIQ(AM$6,"IQ_TEV",$AI186,$I$2,$I$3))),"",_xll.ciqfunctions.udf.CIQ(AM$6,"IQ_TEV",$AI186,$I$2,$I$3)))</f>
        <v/>
      </c>
      <c r="AN186" s="718" t="str">
        <f>IF(OR($B186="No",AN$6=""),"",IF(NOT(ISNUMBER(_xll.ciqfunctions.udf.CIQ(AN$6,"IQ_TEV",$AI186,$I$2,$I$3))),"",_xll.ciqfunctions.udf.CIQ(AN$6,"IQ_TEV",$AI186,$I$2,$I$3)))</f>
        <v/>
      </c>
      <c r="AO186" s="718" t="str">
        <f>IF(OR($B186="No",AO$6=""),"",IF(NOT(ISNUMBER(_xll.ciqfunctions.udf.CIQ(AO$6,"IQ_TEV",$AI186,$I$2,$I$3))),"",_xll.ciqfunctions.udf.CIQ(AO$6,"IQ_TEV",$AI186,$I$2,$I$3)))</f>
        <v/>
      </c>
      <c r="AP186" s="718" t="str">
        <f>IF(OR($B186="No",AP$6=""),"",IF(NOT(ISNUMBER(_xll.ciqfunctions.udf.CIQ(AP$6,"IQ_TEV",$AI186,$I$2,$I$3))),"",_xll.ciqfunctions.udf.CIQ(AP$6,"IQ_TEV",$AI186,$I$2,$I$3)))</f>
        <v/>
      </c>
      <c r="AQ186" s="718" t="str">
        <f>IF(OR($B186="No",AQ$6=""),"",IF(NOT(ISNUMBER(_xll.ciqfunctions.udf.CIQ(AQ$6,"IQ_TEV",$AI186,$I$2,$I$3))),"",_xll.ciqfunctions.udf.CIQ(AQ$6,"IQ_TEV",$AI186,$I$2,$I$3)))</f>
        <v/>
      </c>
      <c r="AR186" s="718" t="str">
        <f>IF(OR($B186="No",AR$6=""),"",IF(NOT(ISNUMBER(_xll.ciqfunctions.udf.CIQ(AR$6,"IQ_TEV",$AI186,$I$2,$I$3))),"",_xll.ciqfunctions.udf.CIQ(AR$6,"IQ_TEV",$AI186,$I$2,$I$3)))</f>
        <v/>
      </c>
      <c r="AS186" s="718" t="str">
        <f>IF(OR($B186="No",AS$6=""),"",IF(NOT(ISNUMBER(_xll.ciqfunctions.udf.CIQ(AS$6,"IQ_TEV",$AI186,$I$2,$I$3))),"",_xll.ciqfunctions.udf.CIQ(AS$6,"IQ_TEV",$AI186,$I$2,$I$3)))</f>
        <v/>
      </c>
      <c r="AT186" s="718" t="str">
        <f>IF(OR($B186="No",AT$6=""),"",IF(NOT(ISNUMBER(_xll.ciqfunctions.udf.CIQ(AT$6,"IQ_TEV",$AI186,$I$2,$I$3))),"",_xll.ciqfunctions.udf.CIQ(AT$6,"IQ_TEV",$AI186,$I$2,$I$3)))</f>
        <v/>
      </c>
      <c r="AV186" s="251">
        <f t="shared" si="99"/>
        <v>44078</v>
      </c>
      <c r="AW186" s="719">
        <f t="shared" si="100"/>
        <v>0.77726476932424426</v>
      </c>
      <c r="AX186" s="719">
        <f t="shared" si="101"/>
        <v>1.1121763691649282</v>
      </c>
      <c r="AY186" s="719" t="e">
        <f t="shared" si="102"/>
        <v>#N/A</v>
      </c>
      <c r="AZ186" s="719" t="e">
        <f t="shared" si="103"/>
        <v>#N/A</v>
      </c>
      <c r="BA186" s="719" t="e">
        <f t="shared" si="104"/>
        <v>#N/A</v>
      </c>
      <c r="BB186" s="719" t="e">
        <f t="shared" si="105"/>
        <v>#N/A</v>
      </c>
      <c r="BC186" s="719" t="e">
        <f t="shared" si="106"/>
        <v>#N/A</v>
      </c>
      <c r="BD186" s="719" t="e">
        <f t="shared" si="107"/>
        <v>#N/A</v>
      </c>
      <c r="BE186" s="719" t="e">
        <f t="shared" si="108"/>
        <v>#N/A</v>
      </c>
      <c r="BF186" s="719" t="e">
        <f t="shared" si="109"/>
        <v>#N/A</v>
      </c>
      <c r="BG186" s="719" t="e">
        <f t="shared" si="110"/>
        <v>#N/A</v>
      </c>
    </row>
    <row r="187" spans="1:59" ht="15" customHeight="1" x14ac:dyDescent="0.2">
      <c r="A187" s="251">
        <f t="shared" si="93"/>
        <v>44085</v>
      </c>
      <c r="B187" s="253" t="str">
        <f t="shared" si="111"/>
        <v>Yes</v>
      </c>
      <c r="C187" s="1033">
        <f>IF(C$6="","",IF(NOT(ISNUMBER(_xll.ciqfunctions.udf.CIQ(C$6,$F$2, $A187, $I$2, $I$3))),IF(C186=C$6,"",C186),_xll.ciqfunctions.udf.CIQ(C$6,$F$2, $A187, $I$2, $I$3)))</f>
        <v>136.69999999999999</v>
      </c>
      <c r="D187" s="1033">
        <f>IF(D$6="","",IF(NOT(ISNUMBER(_xll.ciqfunctions.udf.CIQ(D$6,$F$2, $A187, $I$2, $I$3))),IF(D186=D$6,"",D186),_xll.ciqfunctions.udf.CIQ(D$6,$F$2, $A187, $I$2, $I$3)))</f>
        <v>27665.64184</v>
      </c>
      <c r="E187" s="1033">
        <f>IF(E$6="","",IF(NOT(ISNUMBER(_xll.ciqfunctions.udf.CIQ(E$6,$F$2, $A187, $I$2, $I$3))),IF(E186=E$6,"",E186),_xll.ciqfunctions.udf.CIQ(E$6,$F$2, $A187, $I$2, $I$3)))</f>
        <v>9152.9246000000003</v>
      </c>
      <c r="F187" s="1033">
        <f>IF(F$6="","",IF(NOT(ISNUMBER(_xll.ciqfunctions.udf.CIQ(F$6,$F$2, $A187, $I$2, $I$3))),IF(F186=F$6,"",F186),_xll.ciqfunctions.udf.CIQ(F$6,$F$2, $A187, $I$2, $I$3)))</f>
        <v>5162.2046799999998</v>
      </c>
      <c r="G187" s="1033">
        <f>IF(G$6="","",IF(NOT(ISNUMBER(_xll.ciqfunctions.udf.CIQ(G$6,$F$2, $A187, $I$2, $I$3))),IF(G186=G$6,"",G186),_xll.ciqfunctions.udf.CIQ(G$6,$F$2, $A187, $I$2, $I$3)))</f>
        <v>339.13</v>
      </c>
      <c r="H187" s="1033" t="str">
        <f>IF(H$6="","",IF(NOT(ISNUMBER(_xll.ciqfunctions.udf.CIQ(H$6,$F$2, $A187, $I$2, $I$3))),IF(H186=H$6,"",H186),_xll.ciqfunctions.udf.CIQ(H$6,$F$2, $A187, $I$2, $I$3)))</f>
        <v/>
      </c>
      <c r="I187" s="1033" t="str">
        <f>IF(I$6="","",IF(NOT(ISNUMBER(_xll.ciqfunctions.udf.CIQ(I$6,$F$2, $A187, $I$2, $I$3))),IF(I186=I$6,"",I186),_xll.ciqfunctions.udf.CIQ(I$6,$F$2, $A187, $I$2, $I$3)))</f>
        <v/>
      </c>
      <c r="J187" s="1033" t="str">
        <f>IF(J$6="","",IF(NOT(ISNUMBER(_xll.ciqfunctions.udf.CIQ(J$6,$F$2, $A187, $I$2, $I$3))),IF(J186=J$6,"",J186),_xll.ciqfunctions.udf.CIQ(J$6,$F$2, $A187, $I$2, $I$3)))</f>
        <v/>
      </c>
      <c r="K187" s="1033" t="str">
        <f>IF(K$6="","",IF(NOT(ISNUMBER(_xll.ciqfunctions.udf.CIQ(K$6,$F$2, $A187, $I$2, $I$3))),IF(K186=K$6,"",K186),_xll.ciqfunctions.udf.CIQ(K$6,$F$2, $A187, $I$2, $I$3)))</f>
        <v/>
      </c>
      <c r="L187" s="254" t="str">
        <f>IF(L$6="","",IF(NOT(ISNUMBER(_xll.ciqfunctions.udf.CIQ(L$6,$F$2, $A187, $I$2, $I$3))),IF(L186=L$6,"",L186),_xll.ciqfunctions.udf.CIQ(L$6,$F$2, $A187, $I$2, $I$3)))</f>
        <v/>
      </c>
      <c r="M187" s="254" t="str">
        <f>IF(M$6="","",IF(NOT(ISNUMBER(_xll.ciqfunctions.udf.CIQ(M$6,$F$2, $A187, $I$2, $I$3))),IF(M186=M$6,"",M186),_xll.ciqfunctions.udf.CIQ(M$6,$F$2, $A187, $I$2, $I$3)))</f>
        <v/>
      </c>
      <c r="N187" s="254" t="str">
        <f>IF(N$6="","",IF(NOT(ISNUMBER(_xll.ciqfunctions.udf.CIQ(N$6,$F$2, $A187, $I$2, $I$3))),IF(N186=N$6,"",N186),_xll.ciqfunctions.udf.CIQ(N$6,$F$2, $A187, $I$2, $I$3)))</f>
        <v/>
      </c>
      <c r="O187" s="254" t="str">
        <f>IF(O$6="","",IF(NOT(ISNUMBER(_xll.ciqfunctions.udf.CIQ(O$6,$F$2, $A187, $I$2, $I$3))),IF(O186=O$6,"",O186),_xll.ciqfunctions.udf.CIQ(O$6,$F$2, $A187, $I$2, $I$3)))</f>
        <v/>
      </c>
      <c r="P187" s="254" t="str">
        <f>IF(P$6="","",IF(NOT(ISNUMBER(_xll.ciqfunctions.udf.CIQ(P$6,$F$2, $A187, $I$2, $I$3))),IF(P186=P$6,"",P186),_xll.ciqfunctions.udf.CIQ(P$6,$F$2, $A187, $I$2, $I$3)))</f>
        <v/>
      </c>
      <c r="Q187" s="254"/>
      <c r="R187" s="251">
        <f t="shared" si="94"/>
        <v>44085</v>
      </c>
      <c r="S187" s="255">
        <f t="shared" si="96"/>
        <v>0.89650388457269692</v>
      </c>
      <c r="T187" s="255">
        <f t="shared" si="97"/>
        <v>0.33888331154503937</v>
      </c>
      <c r="U187" s="255">
        <f t="shared" si="98"/>
        <v>0.27908797428123489</v>
      </c>
      <c r="V187" s="255">
        <f t="shared" si="112"/>
        <v>0.17597178499481902</v>
      </c>
      <c r="W187" s="255">
        <f t="array" ref="W187">IFERROR(AVERAGE(IF(ISERROR(X187:AG187),"",X187:AG187)),"")</f>
        <v>1.0223626930645833</v>
      </c>
      <c r="X187" s="255">
        <f t="shared" si="113"/>
        <v>1.0223626930645833</v>
      </c>
      <c r="Y187" s="255" t="e">
        <f t="shared" si="114"/>
        <v>#N/A</v>
      </c>
      <c r="Z187" s="255" t="e">
        <f t="shared" si="115"/>
        <v>#N/A</v>
      </c>
      <c r="AA187" s="255" t="e">
        <f t="shared" si="116"/>
        <v>#N/A</v>
      </c>
      <c r="AB187" s="255" t="e">
        <f t="shared" si="117"/>
        <v>#N/A</v>
      </c>
      <c r="AC187" s="255" t="e">
        <f t="shared" si="118"/>
        <v>#N/A</v>
      </c>
      <c r="AD187" s="255" t="e">
        <f t="shared" si="119"/>
        <v>#N/A</v>
      </c>
      <c r="AE187" s="255" t="e">
        <f t="shared" si="120"/>
        <v>#N/A</v>
      </c>
      <c r="AF187" s="255" t="e">
        <f t="shared" si="121"/>
        <v>#N/A</v>
      </c>
      <c r="AG187" s="255" t="e">
        <f t="shared" si="122"/>
        <v>#N/A</v>
      </c>
      <c r="AI187" s="251">
        <f t="shared" si="95"/>
        <v>44085</v>
      </c>
      <c r="AJ187" s="718">
        <f>IF(OR($B187="No",AJ$6=""),"",IF(NOT(ISNUMBER(_xll.ciqfunctions.udf.CIQ(AJ$6,"IQ_TEV",$AI187,$I$2,$I$3))),"",_xll.ciqfunctions.udf.CIQ(AJ$6,"IQ_TEV",$AI187,$I$2,$I$3)))</f>
        <v>446597.02662000002</v>
      </c>
      <c r="AK187" s="718">
        <f>IF(OR($B187="No",AK$6=""),"",IF(NOT(ISNUMBER(_xll.ciqfunctions.udf.CIQ(AK$6,"IQ_TEV",$AI187,$I$2,$I$3))),"",_xll.ciqfunctions.udf.CIQ(AK$6,"IQ_TEV",$AI187,$I$2,$I$3)))</f>
        <v>150871.93611000001</v>
      </c>
      <c r="AL187" s="718" t="str">
        <f>IF(OR($B187="No",AL$6=""),"",IF(NOT(ISNUMBER(_xll.ciqfunctions.udf.CIQ(AL$6,"IQ_TEV",$AI187,$I$2,$I$3))),"",_xll.ciqfunctions.udf.CIQ(AL$6,"IQ_TEV",$AI187,$I$2,$I$3)))</f>
        <v/>
      </c>
      <c r="AM187" s="718" t="str">
        <f>IF(OR($B187="No",AM$6=""),"",IF(NOT(ISNUMBER(_xll.ciqfunctions.udf.CIQ(AM$6,"IQ_TEV",$AI187,$I$2,$I$3))),"",_xll.ciqfunctions.udf.CIQ(AM$6,"IQ_TEV",$AI187,$I$2,$I$3)))</f>
        <v/>
      </c>
      <c r="AN187" s="718" t="str">
        <f>IF(OR($B187="No",AN$6=""),"",IF(NOT(ISNUMBER(_xll.ciqfunctions.udf.CIQ(AN$6,"IQ_TEV",$AI187,$I$2,$I$3))),"",_xll.ciqfunctions.udf.CIQ(AN$6,"IQ_TEV",$AI187,$I$2,$I$3)))</f>
        <v/>
      </c>
      <c r="AO187" s="718" t="str">
        <f>IF(OR($B187="No",AO$6=""),"",IF(NOT(ISNUMBER(_xll.ciqfunctions.udf.CIQ(AO$6,"IQ_TEV",$AI187,$I$2,$I$3))),"",_xll.ciqfunctions.udf.CIQ(AO$6,"IQ_TEV",$AI187,$I$2,$I$3)))</f>
        <v/>
      </c>
      <c r="AP187" s="718" t="str">
        <f>IF(OR($B187="No",AP$6=""),"",IF(NOT(ISNUMBER(_xll.ciqfunctions.udf.CIQ(AP$6,"IQ_TEV",$AI187,$I$2,$I$3))),"",_xll.ciqfunctions.udf.CIQ(AP$6,"IQ_TEV",$AI187,$I$2,$I$3)))</f>
        <v/>
      </c>
      <c r="AQ187" s="718" t="str">
        <f>IF(OR($B187="No",AQ$6=""),"",IF(NOT(ISNUMBER(_xll.ciqfunctions.udf.CIQ(AQ$6,"IQ_TEV",$AI187,$I$2,$I$3))),"",_xll.ciqfunctions.udf.CIQ(AQ$6,"IQ_TEV",$AI187,$I$2,$I$3)))</f>
        <v/>
      </c>
      <c r="AR187" s="718" t="str">
        <f>IF(OR($B187="No",AR$6=""),"",IF(NOT(ISNUMBER(_xll.ciqfunctions.udf.CIQ(AR$6,"IQ_TEV",$AI187,$I$2,$I$3))),"",_xll.ciqfunctions.udf.CIQ(AR$6,"IQ_TEV",$AI187,$I$2,$I$3)))</f>
        <v/>
      </c>
      <c r="AS187" s="718" t="str">
        <f>IF(OR($B187="No",AS$6=""),"",IF(NOT(ISNUMBER(_xll.ciqfunctions.udf.CIQ(AS$6,"IQ_TEV",$AI187,$I$2,$I$3))),"",_xll.ciqfunctions.udf.CIQ(AS$6,"IQ_TEV",$AI187,$I$2,$I$3)))</f>
        <v/>
      </c>
      <c r="AT187" s="718" t="str">
        <f>IF(OR($B187="No",AT$6=""),"",IF(NOT(ISNUMBER(_xll.ciqfunctions.udf.CIQ(AT$6,"IQ_TEV",$AI187,$I$2,$I$3))),"",_xll.ciqfunctions.udf.CIQ(AT$6,"IQ_TEV",$AI187,$I$2,$I$3)))</f>
        <v/>
      </c>
      <c r="AV187" s="251">
        <f t="shared" si="99"/>
        <v>44085</v>
      </c>
      <c r="AW187" s="719">
        <f t="shared" si="100"/>
        <v>0.71072418270988091</v>
      </c>
      <c r="AX187" s="719">
        <f t="shared" si="101"/>
        <v>1.0671678985986142</v>
      </c>
      <c r="AY187" s="719" t="e">
        <f t="shared" si="102"/>
        <v>#N/A</v>
      </c>
      <c r="AZ187" s="719" t="e">
        <f t="shared" si="103"/>
        <v>#N/A</v>
      </c>
      <c r="BA187" s="719" t="e">
        <f t="shared" si="104"/>
        <v>#N/A</v>
      </c>
      <c r="BB187" s="719" t="e">
        <f t="shared" si="105"/>
        <v>#N/A</v>
      </c>
      <c r="BC187" s="719" t="e">
        <f t="shared" si="106"/>
        <v>#N/A</v>
      </c>
      <c r="BD187" s="719" t="e">
        <f t="shared" si="107"/>
        <v>#N/A</v>
      </c>
      <c r="BE187" s="719" t="e">
        <f t="shared" si="108"/>
        <v>#N/A</v>
      </c>
      <c r="BF187" s="719" t="e">
        <f t="shared" si="109"/>
        <v>#N/A</v>
      </c>
      <c r="BG187" s="719" t="e">
        <f t="shared" si="110"/>
        <v>#N/A</v>
      </c>
    </row>
    <row r="188" spans="1:59" ht="15" customHeight="1" x14ac:dyDescent="0.2">
      <c r="A188" s="251">
        <f t="shared" si="93"/>
        <v>44092</v>
      </c>
      <c r="B188" s="253" t="str">
        <f t="shared" si="111"/>
        <v>Yes</v>
      </c>
      <c r="C188" s="1033">
        <f>IF(C$6="","",IF(NOT(ISNUMBER(_xll.ciqfunctions.udf.CIQ(C$6,$F$2, $A188, $I$2, $I$3))),IF(C187=C$6,"",C187),_xll.ciqfunctions.udf.CIQ(C$6,$F$2, $A188, $I$2, $I$3)))</f>
        <v>135.29</v>
      </c>
      <c r="D188" s="1033">
        <f>IF(D$6="","",IF(NOT(ISNUMBER(_xll.ciqfunctions.udf.CIQ(D$6,$F$2, $A188, $I$2, $I$3))),IF(D187=D$6,"",D187),_xll.ciqfunctions.udf.CIQ(D$6,$F$2, $A188, $I$2, $I$3)))</f>
        <v>27657.417460000001</v>
      </c>
      <c r="E188" s="1033">
        <f>IF(E$6="","",IF(NOT(ISNUMBER(_xll.ciqfunctions.udf.CIQ(E$6,$F$2, $A188, $I$2, $I$3))),IF(E187=E$6,"",E187),_xll.ciqfunctions.udf.CIQ(E$6,$F$2, $A188, $I$2, $I$3)))</f>
        <v>9178.9272299999993</v>
      </c>
      <c r="F188" s="1033">
        <f>IF(F$6="","",IF(NOT(ISNUMBER(_xll.ciqfunctions.udf.CIQ(F$6,$F$2, $A188, $I$2, $I$3))),IF(F187=F$6,"",F187),_xll.ciqfunctions.udf.CIQ(F$6,$F$2, $A188, $I$2, $I$3)))</f>
        <v>5224.2506199999998</v>
      </c>
      <c r="G188" s="1033">
        <f>IF(G$6="","",IF(NOT(ISNUMBER(_xll.ciqfunctions.udf.CIQ(G$6,$F$2, $A188, $I$2, $I$3))),IF(G187=G$6,"",G187),_xll.ciqfunctions.udf.CIQ(G$6,$F$2, $A188, $I$2, $I$3)))</f>
        <v>335.96</v>
      </c>
      <c r="H188" s="1033" t="str">
        <f>IF(H$6="","",IF(NOT(ISNUMBER(_xll.ciqfunctions.udf.CIQ(H$6,$F$2, $A188, $I$2, $I$3))),IF(H187=H$6,"",H187),_xll.ciqfunctions.udf.CIQ(H$6,$F$2, $A188, $I$2, $I$3)))</f>
        <v/>
      </c>
      <c r="I188" s="1033" t="str">
        <f>IF(I$6="","",IF(NOT(ISNUMBER(_xll.ciqfunctions.udf.CIQ(I$6,$F$2, $A188, $I$2, $I$3))),IF(I187=I$6,"",I187),_xll.ciqfunctions.udf.CIQ(I$6,$F$2, $A188, $I$2, $I$3)))</f>
        <v/>
      </c>
      <c r="J188" s="1033" t="str">
        <f>IF(J$6="","",IF(NOT(ISNUMBER(_xll.ciqfunctions.udf.CIQ(J$6,$F$2, $A188, $I$2, $I$3))),IF(J187=J$6,"",J187),_xll.ciqfunctions.udf.CIQ(J$6,$F$2, $A188, $I$2, $I$3)))</f>
        <v/>
      </c>
      <c r="K188" s="1033" t="str">
        <f>IF(K$6="","",IF(NOT(ISNUMBER(_xll.ciqfunctions.udf.CIQ(K$6,$F$2, $A188, $I$2, $I$3))),IF(K187=K$6,"",K187),_xll.ciqfunctions.udf.CIQ(K$6,$F$2, $A188, $I$2, $I$3)))</f>
        <v/>
      </c>
      <c r="L188" s="254" t="str">
        <f>IF(L$6="","",IF(NOT(ISNUMBER(_xll.ciqfunctions.udf.CIQ(L$6,$F$2, $A188, $I$2, $I$3))),IF(L187=L$6,"",L187),_xll.ciqfunctions.udf.CIQ(L$6,$F$2, $A188, $I$2, $I$3)))</f>
        <v/>
      </c>
      <c r="M188" s="254" t="str">
        <f>IF(M$6="","",IF(NOT(ISNUMBER(_xll.ciqfunctions.udf.CIQ(M$6,$F$2, $A188, $I$2, $I$3))),IF(M187=M$6,"",M187),_xll.ciqfunctions.udf.CIQ(M$6,$F$2, $A188, $I$2, $I$3)))</f>
        <v/>
      </c>
      <c r="N188" s="254" t="str">
        <f>IF(N$6="","",IF(NOT(ISNUMBER(_xll.ciqfunctions.udf.CIQ(N$6,$F$2, $A188, $I$2, $I$3))),IF(N187=N$6,"",N187),_xll.ciqfunctions.udf.CIQ(N$6,$F$2, $A188, $I$2, $I$3)))</f>
        <v/>
      </c>
      <c r="O188" s="254" t="str">
        <f>IF(O$6="","",IF(NOT(ISNUMBER(_xll.ciqfunctions.udf.CIQ(O$6,$F$2, $A188, $I$2, $I$3))),IF(O187=O$6,"",O187),_xll.ciqfunctions.udf.CIQ(O$6,$F$2, $A188, $I$2, $I$3)))</f>
        <v/>
      </c>
      <c r="P188" s="254" t="str">
        <f>IF(P$6="","",IF(NOT(ISNUMBER(_xll.ciqfunctions.udf.CIQ(P$6,$F$2, $A188, $I$2, $I$3))),IF(P187=P$6,"",P187),_xll.ciqfunctions.udf.CIQ(P$6,$F$2, $A188, $I$2, $I$3)))</f>
        <v/>
      </c>
      <c r="Q188" s="254"/>
      <c r="R188" s="251">
        <f t="shared" si="94"/>
        <v>44092</v>
      </c>
      <c r="S188" s="255">
        <f t="shared" si="96"/>
        <v>0.87694228634850169</v>
      </c>
      <c r="T188" s="255">
        <f t="shared" si="97"/>
        <v>0.33848529131498339</v>
      </c>
      <c r="U188" s="255">
        <f t="shared" si="98"/>
        <v>0.28272174739597067</v>
      </c>
      <c r="V188" s="255">
        <f t="shared" si="112"/>
        <v>0.19010610924898264</v>
      </c>
      <c r="W188" s="255">
        <f t="array" ref="W188">IFERROR(AVERAGE(IF(ISERROR(X188:AG188),"",X188:AG188)),"")</f>
        <v>1.0034587631939886</v>
      </c>
      <c r="X188" s="255">
        <f t="shared" si="113"/>
        <v>1.0034587631939886</v>
      </c>
      <c r="Y188" s="255" t="e">
        <f t="shared" si="114"/>
        <v>#N/A</v>
      </c>
      <c r="Z188" s="255" t="e">
        <f t="shared" si="115"/>
        <v>#N/A</v>
      </c>
      <c r="AA188" s="255" t="e">
        <f t="shared" si="116"/>
        <v>#N/A</v>
      </c>
      <c r="AB188" s="255" t="e">
        <f t="shared" si="117"/>
        <v>#N/A</v>
      </c>
      <c r="AC188" s="255" t="e">
        <f t="shared" si="118"/>
        <v>#N/A</v>
      </c>
      <c r="AD188" s="255" t="e">
        <f t="shared" si="119"/>
        <v>#N/A</v>
      </c>
      <c r="AE188" s="255" t="e">
        <f t="shared" si="120"/>
        <v>#N/A</v>
      </c>
      <c r="AF188" s="255" t="e">
        <f t="shared" si="121"/>
        <v>#N/A</v>
      </c>
      <c r="AG188" s="255" t="e">
        <f t="shared" si="122"/>
        <v>#N/A</v>
      </c>
      <c r="AI188" s="251">
        <f t="shared" si="95"/>
        <v>44092</v>
      </c>
      <c r="AJ188" s="718">
        <f>IF(OR($B188="No",AJ$6=""),"",IF(NOT(ISNUMBER(_xll.ciqfunctions.udf.CIQ(AJ$6,"IQ_TEV",$AI188,$I$2,$I$3))),"",_xll.ciqfunctions.udf.CIQ(AJ$6,"IQ_TEV",$AI188,$I$2,$I$3)))</f>
        <v>442601.43498000002</v>
      </c>
      <c r="AK188" s="718">
        <f>IF(OR($B188="No",AK$6=""),"",IF(NOT(ISNUMBER(_xll.ciqfunctions.udf.CIQ(AK$6,"IQ_TEV",$AI188,$I$2,$I$3))),"",_xll.ciqfunctions.udf.CIQ(AK$6,"IQ_TEV",$AI188,$I$2,$I$3)))</f>
        <v>149472.30595000001</v>
      </c>
      <c r="AL188" s="718" t="str">
        <f>IF(OR($B188="No",AL$6=""),"",IF(NOT(ISNUMBER(_xll.ciqfunctions.udf.CIQ(AL$6,"IQ_TEV",$AI188,$I$2,$I$3))),"",_xll.ciqfunctions.udf.CIQ(AL$6,"IQ_TEV",$AI188,$I$2,$I$3)))</f>
        <v/>
      </c>
      <c r="AM188" s="718" t="str">
        <f>IF(OR($B188="No",AM$6=""),"",IF(NOT(ISNUMBER(_xll.ciqfunctions.udf.CIQ(AM$6,"IQ_TEV",$AI188,$I$2,$I$3))),"",_xll.ciqfunctions.udf.CIQ(AM$6,"IQ_TEV",$AI188,$I$2,$I$3)))</f>
        <v/>
      </c>
      <c r="AN188" s="718" t="str">
        <f>IF(OR($B188="No",AN$6=""),"",IF(NOT(ISNUMBER(_xll.ciqfunctions.udf.CIQ(AN$6,"IQ_TEV",$AI188,$I$2,$I$3))),"",_xll.ciqfunctions.udf.CIQ(AN$6,"IQ_TEV",$AI188,$I$2,$I$3)))</f>
        <v/>
      </c>
      <c r="AO188" s="718" t="str">
        <f>IF(OR($B188="No",AO$6=""),"",IF(NOT(ISNUMBER(_xll.ciqfunctions.udf.CIQ(AO$6,"IQ_TEV",$AI188,$I$2,$I$3))),"",_xll.ciqfunctions.udf.CIQ(AO$6,"IQ_TEV",$AI188,$I$2,$I$3)))</f>
        <v/>
      </c>
      <c r="AP188" s="718" t="str">
        <f>IF(OR($B188="No",AP$6=""),"",IF(NOT(ISNUMBER(_xll.ciqfunctions.udf.CIQ(AP$6,"IQ_TEV",$AI188,$I$2,$I$3))),"",_xll.ciqfunctions.udf.CIQ(AP$6,"IQ_TEV",$AI188,$I$2,$I$3)))</f>
        <v/>
      </c>
      <c r="AQ188" s="718" t="str">
        <f>IF(OR($B188="No",AQ$6=""),"",IF(NOT(ISNUMBER(_xll.ciqfunctions.udf.CIQ(AQ$6,"IQ_TEV",$AI188,$I$2,$I$3))),"",_xll.ciqfunctions.udf.CIQ(AQ$6,"IQ_TEV",$AI188,$I$2,$I$3)))</f>
        <v/>
      </c>
      <c r="AR188" s="718" t="str">
        <f>IF(OR($B188="No",AR$6=""),"",IF(NOT(ISNUMBER(_xll.ciqfunctions.udf.CIQ(AR$6,"IQ_TEV",$AI188,$I$2,$I$3))),"",_xll.ciqfunctions.udf.CIQ(AR$6,"IQ_TEV",$AI188,$I$2,$I$3)))</f>
        <v/>
      </c>
      <c r="AS188" s="718" t="str">
        <f>IF(OR($B188="No",AS$6=""),"",IF(NOT(ISNUMBER(_xll.ciqfunctions.udf.CIQ(AS$6,"IQ_TEV",$AI188,$I$2,$I$3))),"",_xll.ciqfunctions.udf.CIQ(AS$6,"IQ_TEV",$AI188,$I$2,$I$3)))</f>
        <v/>
      </c>
      <c r="AT188" s="718" t="str">
        <f>IF(OR($B188="No",AT$6=""),"",IF(NOT(ISNUMBER(_xll.ciqfunctions.udf.CIQ(AT$6,"IQ_TEV",$AI188,$I$2,$I$3))),"",_xll.ciqfunctions.udf.CIQ(AT$6,"IQ_TEV",$AI188,$I$2,$I$3)))</f>
        <v/>
      </c>
      <c r="AV188" s="251">
        <f t="shared" si="99"/>
        <v>44092</v>
      </c>
      <c r="AW188" s="719">
        <f t="shared" si="100"/>
        <v>0.69541876230770372</v>
      </c>
      <c r="AX188" s="719">
        <f t="shared" si="101"/>
        <v>1.0479909024569793</v>
      </c>
      <c r="AY188" s="719" t="e">
        <f t="shared" si="102"/>
        <v>#N/A</v>
      </c>
      <c r="AZ188" s="719" t="e">
        <f t="shared" si="103"/>
        <v>#N/A</v>
      </c>
      <c r="BA188" s="719" t="e">
        <f t="shared" si="104"/>
        <v>#N/A</v>
      </c>
      <c r="BB188" s="719" t="e">
        <f t="shared" si="105"/>
        <v>#N/A</v>
      </c>
      <c r="BC188" s="719" t="e">
        <f t="shared" si="106"/>
        <v>#N/A</v>
      </c>
      <c r="BD188" s="719" t="e">
        <f t="shared" si="107"/>
        <v>#N/A</v>
      </c>
      <c r="BE188" s="719" t="e">
        <f t="shared" si="108"/>
        <v>#N/A</v>
      </c>
      <c r="BF188" s="719" t="e">
        <f t="shared" si="109"/>
        <v>#N/A</v>
      </c>
      <c r="BG188" s="719" t="e">
        <f t="shared" si="110"/>
        <v>#N/A</v>
      </c>
    </row>
    <row r="189" spans="1:59" ht="15" customHeight="1" x14ac:dyDescent="0.2">
      <c r="A189" s="251">
        <f t="shared" si="93"/>
        <v>44099</v>
      </c>
      <c r="B189" s="253" t="str">
        <f t="shared" si="111"/>
        <v>Yes</v>
      </c>
      <c r="C189" s="1033">
        <f>IF(C$6="","",IF(NOT(ISNUMBER(_xll.ciqfunctions.udf.CIQ(C$6,$F$2, $A189, $I$2, $I$3))),IF(C188=C$6,"",C188),_xll.ciqfunctions.udf.CIQ(C$6,$F$2, $A189, $I$2, $I$3)))</f>
        <v>137.27000000000001</v>
      </c>
      <c r="D189" s="1033">
        <f>IF(D$6="","",IF(NOT(ISNUMBER(_xll.ciqfunctions.udf.CIQ(D$6,$F$2, $A189, $I$2, $I$3))),IF(D188=D$6,"",D188),_xll.ciqfunctions.udf.CIQ(D$6,$F$2, $A189, $I$2, $I$3)))</f>
        <v>27173.955300000001</v>
      </c>
      <c r="E189" s="1033">
        <f>IF(E$6="","",IF(NOT(ISNUMBER(_xll.ciqfunctions.udf.CIQ(E$6,$F$2, $A189, $I$2, $I$3))),IF(E188=E$6,"",E188),_xll.ciqfunctions.udf.CIQ(E$6,$F$2, $A189, $I$2, $I$3)))</f>
        <v>9069.8461399999997</v>
      </c>
      <c r="F189" s="1033">
        <f>IF(F$6="","",IF(NOT(ISNUMBER(_xll.ciqfunctions.udf.CIQ(F$6,$F$2, $A189, $I$2, $I$3))),IF(F188=F$6,"",F188),_xll.ciqfunctions.udf.CIQ(F$6,$F$2, $A189, $I$2, $I$3)))</f>
        <v>5080.68408</v>
      </c>
      <c r="G189" s="1033">
        <f>IF(G$6="","",IF(NOT(ISNUMBER(_xll.ciqfunctions.udf.CIQ(G$6,$F$2, $A189, $I$2, $I$3))),IF(G188=G$6,"",G188),_xll.ciqfunctions.udf.CIQ(G$6,$F$2, $A189, $I$2, $I$3)))</f>
        <v>342.58</v>
      </c>
      <c r="H189" s="1033" t="str">
        <f>IF(H$6="","",IF(NOT(ISNUMBER(_xll.ciqfunctions.udf.CIQ(H$6,$F$2, $A189, $I$2, $I$3))),IF(H188=H$6,"",H188),_xll.ciqfunctions.udf.CIQ(H$6,$F$2, $A189, $I$2, $I$3)))</f>
        <v/>
      </c>
      <c r="I189" s="1033" t="str">
        <f>IF(I$6="","",IF(NOT(ISNUMBER(_xll.ciqfunctions.udf.CIQ(I$6,$F$2, $A189, $I$2, $I$3))),IF(I188=I$6,"",I188),_xll.ciqfunctions.udf.CIQ(I$6,$F$2, $A189, $I$2, $I$3)))</f>
        <v/>
      </c>
      <c r="J189" s="1033" t="str">
        <f>IF(J$6="","",IF(NOT(ISNUMBER(_xll.ciqfunctions.udf.CIQ(J$6,$F$2, $A189, $I$2, $I$3))),IF(J188=J$6,"",J188),_xll.ciqfunctions.udf.CIQ(J$6,$F$2, $A189, $I$2, $I$3)))</f>
        <v/>
      </c>
      <c r="K189" s="1033" t="str">
        <f>IF(K$6="","",IF(NOT(ISNUMBER(_xll.ciqfunctions.udf.CIQ(K$6,$F$2, $A189, $I$2, $I$3))),IF(K188=K$6,"",K188),_xll.ciqfunctions.udf.CIQ(K$6,$F$2, $A189, $I$2, $I$3)))</f>
        <v/>
      </c>
      <c r="L189" s="254" t="str">
        <f>IF(L$6="","",IF(NOT(ISNUMBER(_xll.ciqfunctions.udf.CIQ(L$6,$F$2, $A189, $I$2, $I$3))),IF(L188=L$6,"",L188),_xll.ciqfunctions.udf.CIQ(L$6,$F$2, $A189, $I$2, $I$3)))</f>
        <v/>
      </c>
      <c r="M189" s="254" t="str">
        <f>IF(M$6="","",IF(NOT(ISNUMBER(_xll.ciqfunctions.udf.CIQ(M$6,$F$2, $A189, $I$2, $I$3))),IF(M188=M$6,"",M188),_xll.ciqfunctions.udf.CIQ(M$6,$F$2, $A189, $I$2, $I$3)))</f>
        <v/>
      </c>
      <c r="N189" s="254" t="str">
        <f>IF(N$6="","",IF(NOT(ISNUMBER(_xll.ciqfunctions.udf.CIQ(N$6,$F$2, $A189, $I$2, $I$3))),IF(N188=N$6,"",N188),_xll.ciqfunctions.udf.CIQ(N$6,$F$2, $A189, $I$2, $I$3)))</f>
        <v/>
      </c>
      <c r="O189" s="254" t="str">
        <f>IF(O$6="","",IF(NOT(ISNUMBER(_xll.ciqfunctions.udf.CIQ(O$6,$F$2, $A189, $I$2, $I$3))),IF(O188=O$6,"",O188),_xll.ciqfunctions.udf.CIQ(O$6,$F$2, $A189, $I$2, $I$3)))</f>
        <v/>
      </c>
      <c r="P189" s="254" t="str">
        <f>IF(P$6="","",IF(NOT(ISNUMBER(_xll.ciqfunctions.udf.CIQ(P$6,$F$2, $A189, $I$2, $I$3))),IF(P188=P$6,"",P188),_xll.ciqfunctions.udf.CIQ(P$6,$F$2, $A189, $I$2, $I$3)))</f>
        <v/>
      </c>
      <c r="Q189" s="254"/>
      <c r="R189" s="251">
        <f t="shared" si="94"/>
        <v>44099</v>
      </c>
      <c r="S189" s="255">
        <f t="shared" si="96"/>
        <v>0.90441176470588247</v>
      </c>
      <c r="T189" s="255">
        <f t="shared" si="97"/>
        <v>0.31508806013809365</v>
      </c>
      <c r="U189" s="255">
        <f t="shared" si="98"/>
        <v>0.26747806119314887</v>
      </c>
      <c r="V189" s="255">
        <f t="shared" si="112"/>
        <v>0.15740105186072539</v>
      </c>
      <c r="W189" s="255">
        <f t="array" ref="W189">IFERROR(AVERAGE(IF(ISERROR(X189:AG189),"",X189:AG189)),"")</f>
        <v>1.042936370684</v>
      </c>
      <c r="X189" s="255">
        <f t="shared" si="113"/>
        <v>1.042936370684</v>
      </c>
      <c r="Y189" s="255" t="e">
        <f t="shared" si="114"/>
        <v>#N/A</v>
      </c>
      <c r="Z189" s="255" t="e">
        <f t="shared" si="115"/>
        <v>#N/A</v>
      </c>
      <c r="AA189" s="255" t="e">
        <f t="shared" si="116"/>
        <v>#N/A</v>
      </c>
      <c r="AB189" s="255" t="e">
        <f t="shared" si="117"/>
        <v>#N/A</v>
      </c>
      <c r="AC189" s="255" t="e">
        <f t="shared" si="118"/>
        <v>#N/A</v>
      </c>
      <c r="AD189" s="255" t="e">
        <f t="shared" si="119"/>
        <v>#N/A</v>
      </c>
      <c r="AE189" s="255" t="e">
        <f t="shared" si="120"/>
        <v>#N/A</v>
      </c>
      <c r="AF189" s="255" t="e">
        <f t="shared" si="121"/>
        <v>#N/A</v>
      </c>
      <c r="AG189" s="255" t="e">
        <f t="shared" si="122"/>
        <v>#N/A</v>
      </c>
      <c r="AI189" s="251">
        <f t="shared" si="95"/>
        <v>44099</v>
      </c>
      <c r="AJ189" s="718">
        <f>IF(OR($B189="No",AJ$6=""),"",IF(NOT(ISNUMBER(_xll.ciqfunctions.udf.CIQ(AJ$6,"IQ_TEV",$AI189,$I$2,$I$3))),"",_xll.ciqfunctions.udf.CIQ(AJ$6,"IQ_TEV",$AI189,$I$2,$I$3)))</f>
        <v>448212.26579999999</v>
      </c>
      <c r="AK189" s="718">
        <f>IF(OR($B189="No",AK$6=""),"",IF(NOT(ISNUMBER(_xll.ciqfunctions.udf.CIQ(AK$6,"IQ_TEV",$AI189,$I$2,$I$3))),"",_xll.ciqfunctions.udf.CIQ(AK$6,"IQ_TEV",$AI189,$I$2,$I$3)))</f>
        <v>148448.1379</v>
      </c>
      <c r="AL189" s="718" t="str">
        <f>IF(OR($B189="No",AL$6=""),"",IF(NOT(ISNUMBER(_xll.ciqfunctions.udf.CIQ(AL$6,"IQ_TEV",$AI189,$I$2,$I$3))),"",_xll.ciqfunctions.udf.CIQ(AL$6,"IQ_TEV",$AI189,$I$2,$I$3)))</f>
        <v/>
      </c>
      <c r="AM189" s="718" t="str">
        <f>IF(OR($B189="No",AM$6=""),"",IF(NOT(ISNUMBER(_xll.ciqfunctions.udf.CIQ(AM$6,"IQ_TEV",$AI189,$I$2,$I$3))),"",_xll.ciqfunctions.udf.CIQ(AM$6,"IQ_TEV",$AI189,$I$2,$I$3)))</f>
        <v/>
      </c>
      <c r="AN189" s="718" t="str">
        <f>IF(OR($B189="No",AN$6=""),"",IF(NOT(ISNUMBER(_xll.ciqfunctions.udf.CIQ(AN$6,"IQ_TEV",$AI189,$I$2,$I$3))),"",_xll.ciqfunctions.udf.CIQ(AN$6,"IQ_TEV",$AI189,$I$2,$I$3)))</f>
        <v/>
      </c>
      <c r="AO189" s="718" t="str">
        <f>IF(OR($B189="No",AO$6=""),"",IF(NOT(ISNUMBER(_xll.ciqfunctions.udf.CIQ(AO$6,"IQ_TEV",$AI189,$I$2,$I$3))),"",_xll.ciqfunctions.udf.CIQ(AO$6,"IQ_TEV",$AI189,$I$2,$I$3)))</f>
        <v/>
      </c>
      <c r="AP189" s="718" t="str">
        <f>IF(OR($B189="No",AP$6=""),"",IF(NOT(ISNUMBER(_xll.ciqfunctions.udf.CIQ(AP$6,"IQ_TEV",$AI189,$I$2,$I$3))),"",_xll.ciqfunctions.udf.CIQ(AP$6,"IQ_TEV",$AI189,$I$2,$I$3)))</f>
        <v/>
      </c>
      <c r="AQ189" s="718" t="str">
        <f>IF(OR($B189="No",AQ$6=""),"",IF(NOT(ISNUMBER(_xll.ciqfunctions.udf.CIQ(AQ$6,"IQ_TEV",$AI189,$I$2,$I$3))),"",_xll.ciqfunctions.udf.CIQ(AQ$6,"IQ_TEV",$AI189,$I$2,$I$3)))</f>
        <v/>
      </c>
      <c r="AR189" s="718" t="str">
        <f>IF(OR($B189="No",AR$6=""),"",IF(NOT(ISNUMBER(_xll.ciqfunctions.udf.CIQ(AR$6,"IQ_TEV",$AI189,$I$2,$I$3))),"",_xll.ciqfunctions.udf.CIQ(AR$6,"IQ_TEV",$AI189,$I$2,$I$3)))</f>
        <v/>
      </c>
      <c r="AS189" s="718" t="str">
        <f>IF(OR($B189="No",AS$6=""),"",IF(NOT(ISNUMBER(_xll.ciqfunctions.udf.CIQ(AS$6,"IQ_TEV",$AI189,$I$2,$I$3))),"",_xll.ciqfunctions.udf.CIQ(AS$6,"IQ_TEV",$AI189,$I$2,$I$3)))</f>
        <v/>
      </c>
      <c r="AT189" s="718" t="str">
        <f>IF(OR($B189="No",AT$6=""),"",IF(NOT(ISNUMBER(_xll.ciqfunctions.udf.CIQ(AT$6,"IQ_TEV",$AI189,$I$2,$I$3))),"",_xll.ciqfunctions.udf.CIQ(AT$6,"IQ_TEV",$AI189,$I$2,$I$3)))</f>
        <v/>
      </c>
      <c r="AV189" s="251">
        <f t="shared" si="99"/>
        <v>44099</v>
      </c>
      <c r="AW189" s="719">
        <f t="shared" si="100"/>
        <v>0.71691148034372221</v>
      </c>
      <c r="AX189" s="719">
        <f t="shared" si="101"/>
        <v>1.0339582906252685</v>
      </c>
      <c r="AY189" s="719" t="e">
        <f t="shared" si="102"/>
        <v>#N/A</v>
      </c>
      <c r="AZ189" s="719" t="e">
        <f t="shared" si="103"/>
        <v>#N/A</v>
      </c>
      <c r="BA189" s="719" t="e">
        <f t="shared" si="104"/>
        <v>#N/A</v>
      </c>
      <c r="BB189" s="719" t="e">
        <f t="shared" si="105"/>
        <v>#N/A</v>
      </c>
      <c r="BC189" s="719" t="e">
        <f t="shared" si="106"/>
        <v>#N/A</v>
      </c>
      <c r="BD189" s="719" t="e">
        <f t="shared" si="107"/>
        <v>#N/A</v>
      </c>
      <c r="BE189" s="719" t="e">
        <f t="shared" si="108"/>
        <v>#N/A</v>
      </c>
      <c r="BF189" s="719" t="e">
        <f t="shared" si="109"/>
        <v>#N/A</v>
      </c>
      <c r="BG189" s="719" t="e">
        <f t="shared" si="110"/>
        <v>#N/A</v>
      </c>
    </row>
    <row r="190" spans="1:59" ht="15" customHeight="1" x14ac:dyDescent="0.2">
      <c r="A190" s="251">
        <f t="shared" si="93"/>
        <v>44106</v>
      </c>
      <c r="B190" s="253" t="str">
        <f t="shared" si="111"/>
        <v>Yes</v>
      </c>
      <c r="C190" s="1033">
        <f>IF(C$6="","",IF(NOT(ISNUMBER(_xll.ciqfunctions.udf.CIQ(C$6,$F$2, $A190, $I$2, $I$3))),IF(C189=C$6,"",C189),_xll.ciqfunctions.udf.CIQ(C$6,$F$2, $A190, $I$2, $I$3)))</f>
        <v>140.5</v>
      </c>
      <c r="D190" s="1033">
        <f>IF(D$6="","",IF(NOT(ISNUMBER(_xll.ciqfunctions.udf.CIQ(D$6,$F$2, $A190, $I$2, $I$3))),IF(D189=D$6,"",D189),_xll.ciqfunctions.udf.CIQ(D$6,$F$2, $A190, $I$2, $I$3)))</f>
        <v>27682.81436</v>
      </c>
      <c r="E190" s="1033">
        <f>IF(E$6="","",IF(NOT(ISNUMBER(_xll.ciqfunctions.udf.CIQ(E$6,$F$2, $A190, $I$2, $I$3))),IF(E189=E$6,"",E189),_xll.ciqfunctions.udf.CIQ(E$6,$F$2, $A190, $I$2, $I$3)))</f>
        <v>9217.8993100000007</v>
      </c>
      <c r="F190" s="1033">
        <f>IF(F$6="","",IF(NOT(ISNUMBER(_xll.ciqfunctions.udf.CIQ(F$6,$F$2, $A190, $I$2, $I$3))),IF(F189=F$6,"",F189),_xll.ciqfunctions.udf.CIQ(F$6,$F$2, $A190, $I$2, $I$3)))</f>
        <v>5327.5004600000002</v>
      </c>
      <c r="G190" s="1033">
        <f>IF(G$6="","",IF(NOT(ISNUMBER(_xll.ciqfunctions.udf.CIQ(G$6,$F$2, $A190, $I$2, $I$3))),IF(G189=G$6,"",G189),_xll.ciqfunctions.udf.CIQ(G$6,$F$2, $A190, $I$2, $I$3)))</f>
        <v>355.01</v>
      </c>
      <c r="H190" s="1033" t="str">
        <f>IF(H$6="","",IF(NOT(ISNUMBER(_xll.ciqfunctions.udf.CIQ(H$6,$F$2, $A190, $I$2, $I$3))),IF(H189=H$6,"",H189),_xll.ciqfunctions.udf.CIQ(H$6,$F$2, $A190, $I$2, $I$3)))</f>
        <v/>
      </c>
      <c r="I190" s="1033" t="str">
        <f>IF(I$6="","",IF(NOT(ISNUMBER(_xll.ciqfunctions.udf.CIQ(I$6,$F$2, $A190, $I$2, $I$3))),IF(I189=I$6,"",I189),_xll.ciqfunctions.udf.CIQ(I$6,$F$2, $A190, $I$2, $I$3)))</f>
        <v/>
      </c>
      <c r="J190" s="1033" t="str">
        <f>IF(J$6="","",IF(NOT(ISNUMBER(_xll.ciqfunctions.udf.CIQ(J$6,$F$2, $A190, $I$2, $I$3))),IF(J189=J$6,"",J189),_xll.ciqfunctions.udf.CIQ(J$6,$F$2, $A190, $I$2, $I$3)))</f>
        <v/>
      </c>
      <c r="K190" s="1033" t="str">
        <f>IF(K$6="","",IF(NOT(ISNUMBER(_xll.ciqfunctions.udf.CIQ(K$6,$F$2, $A190, $I$2, $I$3))),IF(K189=K$6,"",K189),_xll.ciqfunctions.udf.CIQ(K$6,$F$2, $A190, $I$2, $I$3)))</f>
        <v/>
      </c>
      <c r="L190" s="254" t="str">
        <f>IF(L$6="","",IF(NOT(ISNUMBER(_xll.ciqfunctions.udf.CIQ(L$6,$F$2, $A190, $I$2, $I$3))),IF(L189=L$6,"",L189),_xll.ciqfunctions.udf.CIQ(L$6,$F$2, $A190, $I$2, $I$3)))</f>
        <v/>
      </c>
      <c r="M190" s="254" t="str">
        <f>IF(M$6="","",IF(NOT(ISNUMBER(_xll.ciqfunctions.udf.CIQ(M$6,$F$2, $A190, $I$2, $I$3))),IF(M189=M$6,"",M189),_xll.ciqfunctions.udf.CIQ(M$6,$F$2, $A190, $I$2, $I$3)))</f>
        <v/>
      </c>
      <c r="N190" s="254" t="str">
        <f>IF(N$6="","",IF(NOT(ISNUMBER(_xll.ciqfunctions.udf.CIQ(N$6,$F$2, $A190, $I$2, $I$3))),IF(N189=N$6,"",N189),_xll.ciqfunctions.udf.CIQ(N$6,$F$2, $A190, $I$2, $I$3)))</f>
        <v/>
      </c>
      <c r="O190" s="254" t="str">
        <f>IF(O$6="","",IF(NOT(ISNUMBER(_xll.ciqfunctions.udf.CIQ(O$6,$F$2, $A190, $I$2, $I$3))),IF(O189=O$6,"",O189),_xll.ciqfunctions.udf.CIQ(O$6,$F$2, $A190, $I$2, $I$3)))</f>
        <v/>
      </c>
      <c r="P190" s="254" t="str">
        <f>IF(P$6="","",IF(NOT(ISNUMBER(_xll.ciqfunctions.udf.CIQ(P$6,$F$2, $A190, $I$2, $I$3))),IF(P189=P$6,"",P189),_xll.ciqfunctions.udf.CIQ(P$6,$F$2, $A190, $I$2, $I$3)))</f>
        <v/>
      </c>
      <c r="Q190" s="254"/>
      <c r="R190" s="251">
        <f t="shared" si="94"/>
        <v>44106</v>
      </c>
      <c r="S190" s="255">
        <f t="shared" si="96"/>
        <v>0.94922308546059941</v>
      </c>
      <c r="T190" s="255">
        <f t="shared" si="97"/>
        <v>0.33971437849003006</v>
      </c>
      <c r="U190" s="255">
        <f t="shared" si="98"/>
        <v>0.28816795405004147</v>
      </c>
      <c r="V190" s="255">
        <f t="shared" si="112"/>
        <v>0.21362685400279791</v>
      </c>
      <c r="W190" s="255">
        <f t="array" ref="W190">IFERROR(AVERAGE(IF(ISERROR(X190:AG190),"",X190:AG190)),"")</f>
        <v>1.1170612439620728</v>
      </c>
      <c r="X190" s="255">
        <f t="shared" si="113"/>
        <v>1.1170612439620728</v>
      </c>
      <c r="Y190" s="255" t="e">
        <f t="shared" si="114"/>
        <v>#N/A</v>
      </c>
      <c r="Z190" s="255" t="e">
        <f t="shared" si="115"/>
        <v>#N/A</v>
      </c>
      <c r="AA190" s="255" t="e">
        <f t="shared" si="116"/>
        <v>#N/A</v>
      </c>
      <c r="AB190" s="255" t="e">
        <f t="shared" si="117"/>
        <v>#N/A</v>
      </c>
      <c r="AC190" s="255" t="e">
        <f t="shared" si="118"/>
        <v>#N/A</v>
      </c>
      <c r="AD190" s="255" t="e">
        <f t="shared" si="119"/>
        <v>#N/A</v>
      </c>
      <c r="AE190" s="255" t="e">
        <f t="shared" si="120"/>
        <v>#N/A</v>
      </c>
      <c r="AF190" s="255" t="e">
        <f t="shared" si="121"/>
        <v>#N/A</v>
      </c>
      <c r="AG190" s="255" t="e">
        <f t="shared" si="122"/>
        <v>#N/A</v>
      </c>
      <c r="AI190" s="251">
        <f t="shared" si="95"/>
        <v>44106</v>
      </c>
      <c r="AJ190" s="718">
        <f>IF(OR($B190="No",AJ$6=""),"",IF(NOT(ISNUMBER(_xll.ciqfunctions.udf.CIQ(AJ$6,"IQ_TEV",$AI190,$I$2,$I$3))),"",_xll.ciqfunctions.udf.CIQ(AJ$6,"IQ_TEV",$AI190,$I$2,$I$3)))</f>
        <v>457365.28778999997</v>
      </c>
      <c r="AK190" s="718">
        <f>IF(OR($B190="No",AK$6=""),"",IF(NOT(ISNUMBER(_xll.ciqfunctions.udf.CIQ(AK$6,"IQ_TEV",$AI190,$I$2,$I$3))),"",_xll.ciqfunctions.udf.CIQ(AK$6,"IQ_TEV",$AI190,$I$2,$I$3)))</f>
        <v>153932.93755</v>
      </c>
      <c r="AL190" s="718" t="str">
        <f>IF(OR($B190="No",AL$6=""),"",IF(NOT(ISNUMBER(_xll.ciqfunctions.udf.CIQ(AL$6,"IQ_TEV",$AI190,$I$2,$I$3))),"",_xll.ciqfunctions.udf.CIQ(AL$6,"IQ_TEV",$AI190,$I$2,$I$3)))</f>
        <v/>
      </c>
      <c r="AM190" s="718" t="str">
        <f>IF(OR($B190="No",AM$6=""),"",IF(NOT(ISNUMBER(_xll.ciqfunctions.udf.CIQ(AM$6,"IQ_TEV",$AI190,$I$2,$I$3))),"",_xll.ciqfunctions.udf.CIQ(AM$6,"IQ_TEV",$AI190,$I$2,$I$3)))</f>
        <v/>
      </c>
      <c r="AN190" s="718" t="str">
        <f>IF(OR($B190="No",AN$6=""),"",IF(NOT(ISNUMBER(_xll.ciqfunctions.udf.CIQ(AN$6,"IQ_TEV",$AI190,$I$2,$I$3))),"",_xll.ciqfunctions.udf.CIQ(AN$6,"IQ_TEV",$AI190,$I$2,$I$3)))</f>
        <v/>
      </c>
      <c r="AO190" s="718" t="str">
        <f>IF(OR($B190="No",AO$6=""),"",IF(NOT(ISNUMBER(_xll.ciqfunctions.udf.CIQ(AO$6,"IQ_TEV",$AI190,$I$2,$I$3))),"",_xll.ciqfunctions.udf.CIQ(AO$6,"IQ_TEV",$AI190,$I$2,$I$3)))</f>
        <v/>
      </c>
      <c r="AP190" s="718" t="str">
        <f>IF(OR($B190="No",AP$6=""),"",IF(NOT(ISNUMBER(_xll.ciqfunctions.udf.CIQ(AP$6,"IQ_TEV",$AI190,$I$2,$I$3))),"",_xll.ciqfunctions.udf.CIQ(AP$6,"IQ_TEV",$AI190,$I$2,$I$3)))</f>
        <v/>
      </c>
      <c r="AQ190" s="718" t="str">
        <f>IF(OR($B190="No",AQ$6=""),"",IF(NOT(ISNUMBER(_xll.ciqfunctions.udf.CIQ(AQ$6,"IQ_TEV",$AI190,$I$2,$I$3))),"",_xll.ciqfunctions.udf.CIQ(AQ$6,"IQ_TEV",$AI190,$I$2,$I$3)))</f>
        <v/>
      </c>
      <c r="AR190" s="718" t="str">
        <f>IF(OR($B190="No",AR$6=""),"",IF(NOT(ISNUMBER(_xll.ciqfunctions.udf.CIQ(AR$6,"IQ_TEV",$AI190,$I$2,$I$3))),"",_xll.ciqfunctions.udf.CIQ(AR$6,"IQ_TEV",$AI190,$I$2,$I$3)))</f>
        <v/>
      </c>
      <c r="AS190" s="718" t="str">
        <f>IF(OR($B190="No",AS$6=""),"",IF(NOT(ISNUMBER(_xll.ciqfunctions.udf.CIQ(AS$6,"IQ_TEV",$AI190,$I$2,$I$3))),"",_xll.ciqfunctions.udf.CIQ(AS$6,"IQ_TEV",$AI190,$I$2,$I$3)))</f>
        <v/>
      </c>
      <c r="AT190" s="718" t="str">
        <f>IF(OR($B190="No",AT$6=""),"",IF(NOT(ISNUMBER(_xll.ciqfunctions.udf.CIQ(AT$6,"IQ_TEV",$AI190,$I$2,$I$3))),"",_xll.ciqfunctions.udf.CIQ(AT$6,"IQ_TEV",$AI190,$I$2,$I$3)))</f>
        <v/>
      </c>
      <c r="AV190" s="251">
        <f t="shared" si="99"/>
        <v>44106</v>
      </c>
      <c r="AW190" s="719">
        <f t="shared" si="100"/>
        <v>0.75197283348723865</v>
      </c>
      <c r="AX190" s="719">
        <f t="shared" si="101"/>
        <v>1.1091081300126175</v>
      </c>
      <c r="AY190" s="719" t="e">
        <f t="shared" si="102"/>
        <v>#N/A</v>
      </c>
      <c r="AZ190" s="719" t="e">
        <f t="shared" si="103"/>
        <v>#N/A</v>
      </c>
      <c r="BA190" s="719" t="e">
        <f t="shared" si="104"/>
        <v>#N/A</v>
      </c>
      <c r="BB190" s="719" t="e">
        <f t="shared" si="105"/>
        <v>#N/A</v>
      </c>
      <c r="BC190" s="719" t="e">
        <f t="shared" si="106"/>
        <v>#N/A</v>
      </c>
      <c r="BD190" s="719" t="e">
        <f t="shared" si="107"/>
        <v>#N/A</v>
      </c>
      <c r="BE190" s="719" t="e">
        <f t="shared" si="108"/>
        <v>#N/A</v>
      </c>
      <c r="BF190" s="719" t="e">
        <f t="shared" si="109"/>
        <v>#N/A</v>
      </c>
      <c r="BG190" s="719" t="e">
        <f t="shared" si="110"/>
        <v>#N/A</v>
      </c>
    </row>
    <row r="191" spans="1:59" ht="15" customHeight="1" x14ac:dyDescent="0.2">
      <c r="A191" s="251">
        <f t="shared" si="93"/>
        <v>44113</v>
      </c>
      <c r="B191" s="253" t="str">
        <f t="shared" si="111"/>
        <v>Yes</v>
      </c>
      <c r="C191" s="1033">
        <f>IF(C$6="","",IF(NOT(ISNUMBER(_xll.ciqfunctions.udf.CIQ(C$6,$F$2, $A191, $I$2, $I$3))),IF(C190=C$6,"",C190),_xll.ciqfunctions.udf.CIQ(C$6,$F$2, $A191, $I$2, $I$3)))</f>
        <v>142.78</v>
      </c>
      <c r="D191" s="1033">
        <f>IF(D$6="","",IF(NOT(ISNUMBER(_xll.ciqfunctions.udf.CIQ(D$6,$F$2, $A191, $I$2, $I$3))),IF(D190=D$6,"",D190),_xll.ciqfunctions.udf.CIQ(D$6,$F$2, $A191, $I$2, $I$3)))</f>
        <v>28586.90439</v>
      </c>
      <c r="E191" s="1033">
        <f>IF(E$6="","",IF(NOT(ISNUMBER(_xll.ciqfunctions.udf.CIQ(E$6,$F$2, $A191, $I$2, $I$3))),IF(E190=E$6,"",E190),_xll.ciqfunctions.udf.CIQ(E$6,$F$2, $A191, $I$2, $I$3)))</f>
        <v>9588.9049500000001</v>
      </c>
      <c r="F191" s="1033">
        <f>IF(F$6="","",IF(NOT(ISNUMBER(_xll.ciqfunctions.udf.CIQ(F$6,$F$2, $A191, $I$2, $I$3))),IF(F190=F$6,"",F190),_xll.ciqfunctions.udf.CIQ(F$6,$F$2, $A191, $I$2, $I$3)))</f>
        <v>5610.2314900000001</v>
      </c>
      <c r="G191" s="1033">
        <f>IF(G$6="","",IF(NOT(ISNUMBER(_xll.ciqfunctions.udf.CIQ(G$6,$F$2, $A191, $I$2, $I$3))),IF(G190=G$6,"",G190),_xll.ciqfunctions.udf.CIQ(G$6,$F$2, $A191, $I$2, $I$3)))</f>
        <v>369.46</v>
      </c>
      <c r="H191" s="1033" t="str">
        <f>IF(H$6="","",IF(NOT(ISNUMBER(_xll.ciqfunctions.udf.CIQ(H$6,$F$2, $A191, $I$2, $I$3))),IF(H190=H$6,"",H190),_xll.ciqfunctions.udf.CIQ(H$6,$F$2, $A191, $I$2, $I$3)))</f>
        <v/>
      </c>
      <c r="I191" s="1033" t="str">
        <f>IF(I$6="","",IF(NOT(ISNUMBER(_xll.ciqfunctions.udf.CIQ(I$6,$F$2, $A191, $I$2, $I$3))),IF(I190=I$6,"",I190),_xll.ciqfunctions.udf.CIQ(I$6,$F$2, $A191, $I$2, $I$3)))</f>
        <v/>
      </c>
      <c r="J191" s="1033" t="str">
        <f>IF(J$6="","",IF(NOT(ISNUMBER(_xll.ciqfunctions.udf.CIQ(J$6,$F$2, $A191, $I$2, $I$3))),IF(J190=J$6,"",J190),_xll.ciqfunctions.udf.CIQ(J$6,$F$2, $A191, $I$2, $I$3)))</f>
        <v/>
      </c>
      <c r="K191" s="1033" t="str">
        <f>IF(K$6="","",IF(NOT(ISNUMBER(_xll.ciqfunctions.udf.CIQ(K$6,$F$2, $A191, $I$2, $I$3))),IF(K190=K$6,"",K190),_xll.ciqfunctions.udf.CIQ(K$6,$F$2, $A191, $I$2, $I$3)))</f>
        <v/>
      </c>
      <c r="L191" s="254" t="str">
        <f>IF(L$6="","",IF(NOT(ISNUMBER(_xll.ciqfunctions.udf.CIQ(L$6,$F$2, $A191, $I$2, $I$3))),IF(L190=L$6,"",L190),_xll.ciqfunctions.udf.CIQ(L$6,$F$2, $A191, $I$2, $I$3)))</f>
        <v/>
      </c>
      <c r="M191" s="254" t="str">
        <f>IF(M$6="","",IF(NOT(ISNUMBER(_xll.ciqfunctions.udf.CIQ(M$6,$F$2, $A191, $I$2, $I$3))),IF(M190=M$6,"",M190),_xll.ciqfunctions.udf.CIQ(M$6,$F$2, $A191, $I$2, $I$3)))</f>
        <v/>
      </c>
      <c r="N191" s="254" t="str">
        <f>IF(N$6="","",IF(NOT(ISNUMBER(_xll.ciqfunctions.udf.CIQ(N$6,$F$2, $A191, $I$2, $I$3))),IF(N190=N$6,"",N190),_xll.ciqfunctions.udf.CIQ(N$6,$F$2, $A191, $I$2, $I$3)))</f>
        <v/>
      </c>
      <c r="O191" s="254" t="str">
        <f>IF(O$6="","",IF(NOT(ISNUMBER(_xll.ciqfunctions.udf.CIQ(O$6,$F$2, $A191, $I$2, $I$3))),IF(O190=O$6,"",O190),_xll.ciqfunctions.udf.CIQ(O$6,$F$2, $A191, $I$2, $I$3)))</f>
        <v/>
      </c>
      <c r="P191" s="254" t="str">
        <f>IF(P$6="","",IF(NOT(ISNUMBER(_xll.ciqfunctions.udf.CIQ(P$6,$F$2, $A191, $I$2, $I$3))),IF(P190=P$6,"",P190),_xll.ciqfunctions.udf.CIQ(P$6,$F$2, $A191, $I$2, $I$3)))</f>
        <v/>
      </c>
      <c r="Q191" s="254"/>
      <c r="R191" s="251">
        <f t="shared" si="94"/>
        <v>44113</v>
      </c>
      <c r="S191" s="255">
        <f t="shared" si="96"/>
        <v>0.98085460599334073</v>
      </c>
      <c r="T191" s="255">
        <f t="shared" si="97"/>
        <v>0.38346796498919122</v>
      </c>
      <c r="U191" s="255">
        <f t="shared" si="98"/>
        <v>0.34001464494428446</v>
      </c>
      <c r="V191" s="255">
        <f t="shared" si="112"/>
        <v>0.27803416340505183</v>
      </c>
      <c r="W191" s="255">
        <f t="array" ref="W191">IFERROR(AVERAGE(IF(ISERROR(X191:AG191),"",X191:AG191)),"")</f>
        <v>1.2032321545709346</v>
      </c>
      <c r="X191" s="255">
        <f t="shared" si="113"/>
        <v>1.2032321545709346</v>
      </c>
      <c r="Y191" s="255" t="e">
        <f t="shared" si="114"/>
        <v>#N/A</v>
      </c>
      <c r="Z191" s="255" t="e">
        <f t="shared" si="115"/>
        <v>#N/A</v>
      </c>
      <c r="AA191" s="255" t="e">
        <f t="shared" si="116"/>
        <v>#N/A</v>
      </c>
      <c r="AB191" s="255" t="e">
        <f t="shared" si="117"/>
        <v>#N/A</v>
      </c>
      <c r="AC191" s="255" t="e">
        <f t="shared" si="118"/>
        <v>#N/A</v>
      </c>
      <c r="AD191" s="255" t="e">
        <f t="shared" si="119"/>
        <v>#N/A</v>
      </c>
      <c r="AE191" s="255" t="e">
        <f t="shared" si="120"/>
        <v>#N/A</v>
      </c>
      <c r="AF191" s="255" t="e">
        <f t="shared" si="121"/>
        <v>#N/A</v>
      </c>
      <c r="AG191" s="255" t="e">
        <f t="shared" si="122"/>
        <v>#N/A</v>
      </c>
      <c r="AI191" s="251">
        <f t="shared" si="95"/>
        <v>44113</v>
      </c>
      <c r="AJ191" s="718">
        <f>IF(OR($B191="No",AJ$6=""),"",IF(NOT(ISNUMBER(_xll.ciqfunctions.udf.CIQ(AJ$6,"IQ_TEV",$AI191,$I$2,$I$3))),"",_xll.ciqfunctions.udf.CIQ(AJ$6,"IQ_TEV",$AI191,$I$2,$I$3)))</f>
        <v>463826.24449000001</v>
      </c>
      <c r="AK191" s="718">
        <f>IF(OR($B191="No",AK$6=""),"",IF(NOT(ISNUMBER(_xll.ciqfunctions.udf.CIQ(AK$6,"IQ_TEV",$AI191,$I$2,$I$3))),"",_xll.ciqfunctions.udf.CIQ(AK$6,"IQ_TEV",$AI191,$I$2,$I$3)))</f>
        <v>161218.10686</v>
      </c>
      <c r="AL191" s="718" t="str">
        <f>IF(OR($B191="No",AL$6=""),"",IF(NOT(ISNUMBER(_xll.ciqfunctions.udf.CIQ(AL$6,"IQ_TEV",$AI191,$I$2,$I$3))),"",_xll.ciqfunctions.udf.CIQ(AL$6,"IQ_TEV",$AI191,$I$2,$I$3)))</f>
        <v/>
      </c>
      <c r="AM191" s="718" t="str">
        <f>IF(OR($B191="No",AM$6=""),"",IF(NOT(ISNUMBER(_xll.ciqfunctions.udf.CIQ(AM$6,"IQ_TEV",$AI191,$I$2,$I$3))),"",_xll.ciqfunctions.udf.CIQ(AM$6,"IQ_TEV",$AI191,$I$2,$I$3)))</f>
        <v/>
      </c>
      <c r="AN191" s="718" t="str">
        <f>IF(OR($B191="No",AN$6=""),"",IF(NOT(ISNUMBER(_xll.ciqfunctions.udf.CIQ(AN$6,"IQ_TEV",$AI191,$I$2,$I$3))),"",_xll.ciqfunctions.udf.CIQ(AN$6,"IQ_TEV",$AI191,$I$2,$I$3)))</f>
        <v/>
      </c>
      <c r="AO191" s="718" t="str">
        <f>IF(OR($B191="No",AO$6=""),"",IF(NOT(ISNUMBER(_xll.ciqfunctions.udf.CIQ(AO$6,"IQ_TEV",$AI191,$I$2,$I$3))),"",_xll.ciqfunctions.udf.CIQ(AO$6,"IQ_TEV",$AI191,$I$2,$I$3)))</f>
        <v/>
      </c>
      <c r="AP191" s="718" t="str">
        <f>IF(OR($B191="No",AP$6=""),"",IF(NOT(ISNUMBER(_xll.ciqfunctions.udf.CIQ(AP$6,"IQ_TEV",$AI191,$I$2,$I$3))),"",_xll.ciqfunctions.udf.CIQ(AP$6,"IQ_TEV",$AI191,$I$2,$I$3)))</f>
        <v/>
      </c>
      <c r="AQ191" s="718" t="str">
        <f>IF(OR($B191="No",AQ$6=""),"",IF(NOT(ISNUMBER(_xll.ciqfunctions.udf.CIQ(AQ$6,"IQ_TEV",$AI191,$I$2,$I$3))),"",_xll.ciqfunctions.udf.CIQ(AQ$6,"IQ_TEV",$AI191,$I$2,$I$3)))</f>
        <v/>
      </c>
      <c r="AR191" s="718" t="str">
        <f>IF(OR($B191="No",AR$6=""),"",IF(NOT(ISNUMBER(_xll.ciqfunctions.udf.CIQ(AR$6,"IQ_TEV",$AI191,$I$2,$I$3))),"",_xll.ciqfunctions.udf.CIQ(AR$6,"IQ_TEV",$AI191,$I$2,$I$3)))</f>
        <v/>
      </c>
      <c r="AS191" s="718" t="str">
        <f>IF(OR($B191="No",AS$6=""),"",IF(NOT(ISNUMBER(_xll.ciqfunctions.udf.CIQ(AS$6,"IQ_TEV",$AI191,$I$2,$I$3))),"",_xll.ciqfunctions.udf.CIQ(AS$6,"IQ_TEV",$AI191,$I$2,$I$3)))</f>
        <v/>
      </c>
      <c r="AT191" s="718" t="str">
        <f>IF(OR($B191="No",AT$6=""),"",IF(NOT(ISNUMBER(_xll.ciqfunctions.udf.CIQ(AT$6,"IQ_TEV",$AI191,$I$2,$I$3))),"",_xll.ciqfunctions.udf.CIQ(AT$6,"IQ_TEV",$AI191,$I$2,$I$3)))</f>
        <v/>
      </c>
      <c r="AV191" s="251">
        <f t="shared" si="99"/>
        <v>44113</v>
      </c>
      <c r="AW191" s="719">
        <f t="shared" si="100"/>
        <v>0.77672202394599243</v>
      </c>
      <c r="AX191" s="719">
        <f t="shared" si="101"/>
        <v>1.2089256873514977</v>
      </c>
      <c r="AY191" s="719" t="e">
        <f t="shared" si="102"/>
        <v>#N/A</v>
      </c>
      <c r="AZ191" s="719" t="e">
        <f t="shared" si="103"/>
        <v>#N/A</v>
      </c>
      <c r="BA191" s="719" t="e">
        <f t="shared" si="104"/>
        <v>#N/A</v>
      </c>
      <c r="BB191" s="719" t="e">
        <f t="shared" si="105"/>
        <v>#N/A</v>
      </c>
      <c r="BC191" s="719" t="e">
        <f t="shared" si="106"/>
        <v>#N/A</v>
      </c>
      <c r="BD191" s="719" t="e">
        <f t="shared" si="107"/>
        <v>#N/A</v>
      </c>
      <c r="BE191" s="719" t="e">
        <f t="shared" si="108"/>
        <v>#N/A</v>
      </c>
      <c r="BF191" s="719" t="e">
        <f t="shared" si="109"/>
        <v>#N/A</v>
      </c>
      <c r="BG191" s="719" t="e">
        <f t="shared" si="110"/>
        <v>#N/A</v>
      </c>
    </row>
    <row r="192" spans="1:59" ht="15" customHeight="1" x14ac:dyDescent="0.2">
      <c r="A192" s="251">
        <f t="shared" si="93"/>
        <v>44120</v>
      </c>
      <c r="B192" s="253" t="str">
        <f t="shared" si="111"/>
        <v>Yes</v>
      </c>
      <c r="C192" s="1033">
        <f>IF(C$6="","",IF(NOT(ISNUMBER(_xll.ciqfunctions.udf.CIQ(C$6,$F$2, $A192, $I$2, $I$3))),IF(C191=C$6,"",C191),_xll.ciqfunctions.udf.CIQ(C$6,$F$2, $A192, $I$2, $I$3)))</f>
        <v>144.71</v>
      </c>
      <c r="D192" s="1033">
        <f>IF(D$6="","",IF(NOT(ISNUMBER(_xll.ciqfunctions.udf.CIQ(D$6,$F$2, $A192, $I$2, $I$3))),IF(D191=D$6,"",D191),_xll.ciqfunctions.udf.CIQ(D$6,$F$2, $A192, $I$2, $I$3)))</f>
        <v>28606.31393</v>
      </c>
      <c r="E192" s="1033">
        <f>IF(E$6="","",IF(NOT(ISNUMBER(_xll.ciqfunctions.udf.CIQ(E$6,$F$2, $A192, $I$2, $I$3))),IF(E191=E$6,"",E191),_xll.ciqfunctions.udf.CIQ(E$6,$F$2, $A192, $I$2, $I$3)))</f>
        <v>9603.0210200000001</v>
      </c>
      <c r="F192" s="1033">
        <f>IF(F$6="","",IF(NOT(ISNUMBER(_xll.ciqfunctions.udf.CIQ(F$6,$F$2, $A192, $I$2, $I$3))),IF(F191=F$6,"",F191),_xll.ciqfunctions.udf.CIQ(F$6,$F$2, $A192, $I$2, $I$3)))</f>
        <v>5642.6489899999997</v>
      </c>
      <c r="G192" s="1033">
        <f>IF(G$6="","",IF(NOT(ISNUMBER(_xll.ciqfunctions.udf.CIQ(G$6,$F$2, $A192, $I$2, $I$3))),IF(G191=G$6,"",G191),_xll.ciqfunctions.udf.CIQ(G$6,$F$2, $A192, $I$2, $I$3)))</f>
        <v>381.54</v>
      </c>
      <c r="H192" s="1033" t="str">
        <f>IF(H$6="","",IF(NOT(ISNUMBER(_xll.ciqfunctions.udf.CIQ(H$6,$F$2, $A192, $I$2, $I$3))),IF(H191=H$6,"",H191),_xll.ciqfunctions.udf.CIQ(H$6,$F$2, $A192, $I$2, $I$3)))</f>
        <v/>
      </c>
      <c r="I192" s="1033" t="str">
        <f>IF(I$6="","",IF(NOT(ISNUMBER(_xll.ciqfunctions.udf.CIQ(I$6,$F$2, $A192, $I$2, $I$3))),IF(I191=I$6,"",I191),_xll.ciqfunctions.udf.CIQ(I$6,$F$2, $A192, $I$2, $I$3)))</f>
        <v/>
      </c>
      <c r="J192" s="1033" t="str">
        <f>IF(J$6="","",IF(NOT(ISNUMBER(_xll.ciqfunctions.udf.CIQ(J$6,$F$2, $A192, $I$2, $I$3))),IF(J191=J$6,"",J191),_xll.ciqfunctions.udf.CIQ(J$6,$F$2, $A192, $I$2, $I$3)))</f>
        <v/>
      </c>
      <c r="K192" s="1033" t="str">
        <f>IF(K$6="","",IF(NOT(ISNUMBER(_xll.ciqfunctions.udf.CIQ(K$6,$F$2, $A192, $I$2, $I$3))),IF(K191=K$6,"",K191),_xll.ciqfunctions.udf.CIQ(K$6,$F$2, $A192, $I$2, $I$3)))</f>
        <v/>
      </c>
      <c r="L192" s="254" t="str">
        <f>IF(L$6="","",IF(NOT(ISNUMBER(_xll.ciqfunctions.udf.CIQ(L$6,$F$2, $A192, $I$2, $I$3))),IF(L191=L$6,"",L191),_xll.ciqfunctions.udf.CIQ(L$6,$F$2, $A192, $I$2, $I$3)))</f>
        <v/>
      </c>
      <c r="M192" s="254" t="str">
        <f>IF(M$6="","",IF(NOT(ISNUMBER(_xll.ciqfunctions.udf.CIQ(M$6,$F$2, $A192, $I$2, $I$3))),IF(M191=M$6,"",M191),_xll.ciqfunctions.udf.CIQ(M$6,$F$2, $A192, $I$2, $I$3)))</f>
        <v/>
      </c>
      <c r="N192" s="254" t="str">
        <f>IF(N$6="","",IF(NOT(ISNUMBER(_xll.ciqfunctions.udf.CIQ(N$6,$F$2, $A192, $I$2, $I$3))),IF(N191=N$6,"",N191),_xll.ciqfunctions.udf.CIQ(N$6,$F$2, $A192, $I$2, $I$3)))</f>
        <v/>
      </c>
      <c r="O192" s="254" t="str">
        <f>IF(O$6="","",IF(NOT(ISNUMBER(_xll.ciqfunctions.udf.CIQ(O$6,$F$2, $A192, $I$2, $I$3))),IF(O191=O$6,"",O191),_xll.ciqfunctions.udf.CIQ(O$6,$F$2, $A192, $I$2, $I$3)))</f>
        <v/>
      </c>
      <c r="P192" s="254" t="str">
        <f>IF(P$6="","",IF(NOT(ISNUMBER(_xll.ciqfunctions.udf.CIQ(P$6,$F$2, $A192, $I$2, $I$3))),IF(P191=P$6,"",P191),_xll.ciqfunctions.udf.CIQ(P$6,$F$2, $A192, $I$2, $I$3)))</f>
        <v/>
      </c>
      <c r="Q192" s="254"/>
      <c r="R192" s="251">
        <f t="shared" si="94"/>
        <v>44120</v>
      </c>
      <c r="S192" s="255">
        <f t="shared" si="96"/>
        <v>1.0076304106548282</v>
      </c>
      <c r="T192" s="255">
        <f t="shared" si="97"/>
        <v>0.38440729288698816</v>
      </c>
      <c r="U192" s="255">
        <f t="shared" si="98"/>
        <v>0.34198731446470321</v>
      </c>
      <c r="V192" s="255">
        <f t="shared" si="112"/>
        <v>0.28541900529010245</v>
      </c>
      <c r="W192" s="255">
        <f t="array" ref="W192">IFERROR(AVERAGE(IF(ISERROR(X192:AG192),"",X192:AG192)),"")</f>
        <v>1.2752698431629796</v>
      </c>
      <c r="X192" s="255">
        <f t="shared" si="113"/>
        <v>1.2752698431629796</v>
      </c>
      <c r="Y192" s="255" t="e">
        <f t="shared" si="114"/>
        <v>#N/A</v>
      </c>
      <c r="Z192" s="255" t="e">
        <f t="shared" si="115"/>
        <v>#N/A</v>
      </c>
      <c r="AA192" s="255" t="e">
        <f t="shared" si="116"/>
        <v>#N/A</v>
      </c>
      <c r="AB192" s="255" t="e">
        <f t="shared" si="117"/>
        <v>#N/A</v>
      </c>
      <c r="AC192" s="255" t="e">
        <f t="shared" si="118"/>
        <v>#N/A</v>
      </c>
      <c r="AD192" s="255" t="e">
        <f t="shared" si="119"/>
        <v>#N/A</v>
      </c>
      <c r="AE192" s="255" t="e">
        <f t="shared" si="120"/>
        <v>#N/A</v>
      </c>
      <c r="AF192" s="255" t="e">
        <f t="shared" si="121"/>
        <v>#N/A</v>
      </c>
      <c r="AG192" s="255" t="e">
        <f t="shared" si="122"/>
        <v>#N/A</v>
      </c>
      <c r="AI192" s="251">
        <f t="shared" si="95"/>
        <v>44120</v>
      </c>
      <c r="AJ192" s="718">
        <f>IF(OR($B192="No",AJ$6=""),"",IF(NOT(ISNUMBER(_xll.ciqfunctions.udf.CIQ(AJ$6,"IQ_TEV",$AI192,$I$2,$I$3))),"",_xll.ciqfunctions.udf.CIQ(AJ$6,"IQ_TEV",$AI192,$I$2,$I$3)))</f>
        <v>469295.38766000001</v>
      </c>
      <c r="AK192" s="718">
        <f>IF(OR($B192="No",AK$6=""),"",IF(NOT(ISNUMBER(_xll.ciqfunctions.udf.CIQ(AK$6,"IQ_TEV",$AI192,$I$2,$I$3))),"",_xll.ciqfunctions.udf.CIQ(AK$6,"IQ_TEV",$AI192,$I$2,$I$3)))</f>
        <v>166548.14142</v>
      </c>
      <c r="AL192" s="718" t="str">
        <f>IF(OR($B192="No",AL$6=""),"",IF(NOT(ISNUMBER(_xll.ciqfunctions.udf.CIQ(AL$6,"IQ_TEV",$AI192,$I$2,$I$3))),"",_xll.ciqfunctions.udf.CIQ(AL$6,"IQ_TEV",$AI192,$I$2,$I$3)))</f>
        <v/>
      </c>
      <c r="AM192" s="718" t="str">
        <f>IF(OR($B192="No",AM$6=""),"",IF(NOT(ISNUMBER(_xll.ciqfunctions.udf.CIQ(AM$6,"IQ_TEV",$AI192,$I$2,$I$3))),"",_xll.ciqfunctions.udf.CIQ(AM$6,"IQ_TEV",$AI192,$I$2,$I$3)))</f>
        <v/>
      </c>
      <c r="AN192" s="718" t="str">
        <f>IF(OR($B192="No",AN$6=""),"",IF(NOT(ISNUMBER(_xll.ciqfunctions.udf.CIQ(AN$6,"IQ_TEV",$AI192,$I$2,$I$3))),"",_xll.ciqfunctions.udf.CIQ(AN$6,"IQ_TEV",$AI192,$I$2,$I$3)))</f>
        <v/>
      </c>
      <c r="AO192" s="718" t="str">
        <f>IF(OR($B192="No",AO$6=""),"",IF(NOT(ISNUMBER(_xll.ciqfunctions.udf.CIQ(AO$6,"IQ_TEV",$AI192,$I$2,$I$3))),"",_xll.ciqfunctions.udf.CIQ(AO$6,"IQ_TEV",$AI192,$I$2,$I$3)))</f>
        <v/>
      </c>
      <c r="AP192" s="718" t="str">
        <f>IF(OR($B192="No",AP$6=""),"",IF(NOT(ISNUMBER(_xll.ciqfunctions.udf.CIQ(AP$6,"IQ_TEV",$AI192,$I$2,$I$3))),"",_xll.ciqfunctions.udf.CIQ(AP$6,"IQ_TEV",$AI192,$I$2,$I$3)))</f>
        <v/>
      </c>
      <c r="AQ192" s="718" t="str">
        <f>IF(OR($B192="No",AQ$6=""),"",IF(NOT(ISNUMBER(_xll.ciqfunctions.udf.CIQ(AQ$6,"IQ_TEV",$AI192,$I$2,$I$3))),"",_xll.ciqfunctions.udf.CIQ(AQ$6,"IQ_TEV",$AI192,$I$2,$I$3)))</f>
        <v/>
      </c>
      <c r="AR192" s="718" t="str">
        <f>IF(OR($B192="No",AR$6=""),"",IF(NOT(ISNUMBER(_xll.ciqfunctions.udf.CIQ(AR$6,"IQ_TEV",$AI192,$I$2,$I$3))),"",_xll.ciqfunctions.udf.CIQ(AR$6,"IQ_TEV",$AI192,$I$2,$I$3)))</f>
        <v/>
      </c>
      <c r="AS192" s="718" t="str">
        <f>IF(OR($B192="No",AS$6=""),"",IF(NOT(ISNUMBER(_xll.ciqfunctions.udf.CIQ(AS$6,"IQ_TEV",$AI192,$I$2,$I$3))),"",_xll.ciqfunctions.udf.CIQ(AS$6,"IQ_TEV",$AI192,$I$2,$I$3)))</f>
        <v/>
      </c>
      <c r="AT192" s="718" t="str">
        <f>IF(OR($B192="No",AT$6=""),"",IF(NOT(ISNUMBER(_xll.ciqfunctions.udf.CIQ(AT$6,"IQ_TEV",$AI192,$I$2,$I$3))),"",_xll.ciqfunctions.udf.CIQ(AT$6,"IQ_TEV",$AI192,$I$2,$I$3)))</f>
        <v/>
      </c>
      <c r="AV192" s="251">
        <f t="shared" si="99"/>
        <v>44120</v>
      </c>
      <c r="AW192" s="719">
        <f t="shared" si="100"/>
        <v>0.79767199656545307</v>
      </c>
      <c r="AX192" s="719">
        <f t="shared" si="101"/>
        <v>1.2819550168937393</v>
      </c>
      <c r="AY192" s="719" t="e">
        <f t="shared" si="102"/>
        <v>#N/A</v>
      </c>
      <c r="AZ192" s="719" t="e">
        <f t="shared" si="103"/>
        <v>#N/A</v>
      </c>
      <c r="BA192" s="719" t="e">
        <f t="shared" si="104"/>
        <v>#N/A</v>
      </c>
      <c r="BB192" s="719" t="e">
        <f t="shared" si="105"/>
        <v>#N/A</v>
      </c>
      <c r="BC192" s="719" t="e">
        <f t="shared" si="106"/>
        <v>#N/A</v>
      </c>
      <c r="BD192" s="719" t="e">
        <f t="shared" si="107"/>
        <v>#N/A</v>
      </c>
      <c r="BE192" s="719" t="e">
        <f t="shared" si="108"/>
        <v>#N/A</v>
      </c>
      <c r="BF192" s="719" t="e">
        <f t="shared" si="109"/>
        <v>#N/A</v>
      </c>
      <c r="BG192" s="719" t="e">
        <f t="shared" si="110"/>
        <v>#N/A</v>
      </c>
    </row>
    <row r="193" spans="1:59" ht="15" customHeight="1" x14ac:dyDescent="0.2">
      <c r="A193" s="251">
        <f t="shared" si="93"/>
        <v>44127</v>
      </c>
      <c r="B193" s="253" t="str">
        <f t="shared" si="111"/>
        <v>Yes</v>
      </c>
      <c r="C193" s="1033">
        <f>IF(C$6="","",IF(NOT(ISNUMBER(_xll.ciqfunctions.udf.CIQ(C$6,$F$2, $A193, $I$2, $I$3))),IF(C192=C$6,"",C192),_xll.ciqfunctions.udf.CIQ(C$6,$F$2, $A193, $I$2, $I$3)))</f>
        <v>143.85</v>
      </c>
      <c r="D193" s="1033">
        <f>IF(D$6="","",IF(NOT(ISNUMBER(_xll.ciqfunctions.udf.CIQ(D$6,$F$2, $A193, $I$2, $I$3))),IF(D192=D$6,"",D192),_xll.ciqfunctions.udf.CIQ(D$6,$F$2, $A193, $I$2, $I$3)))</f>
        <v>28335.567230000001</v>
      </c>
      <c r="E193" s="1033">
        <f>IF(E$6="","",IF(NOT(ISNUMBER(_xll.ciqfunctions.udf.CIQ(E$6,$F$2, $A193, $I$2, $I$3))),IF(E192=E$6,"",E192),_xll.ciqfunctions.udf.CIQ(E$6,$F$2, $A193, $I$2, $I$3)))</f>
        <v>9576.2030300000006</v>
      </c>
      <c r="F193" s="1033">
        <f>IF(F$6="","",IF(NOT(ISNUMBER(_xll.ciqfunctions.udf.CIQ(F$6,$F$2, $A193, $I$2, $I$3))),IF(F192=F$6,"",F192),_xll.ciqfunctions.udf.CIQ(F$6,$F$2, $A193, $I$2, $I$3)))</f>
        <v>5646.348</v>
      </c>
      <c r="G193" s="1033">
        <f>IF(G$6="","",IF(NOT(ISNUMBER(_xll.ciqfunctions.udf.CIQ(G$6,$F$2, $A193, $I$2, $I$3))),IF(G192=G$6,"",G192),_xll.ciqfunctions.udf.CIQ(G$6,$F$2, $A193, $I$2, $I$3)))</f>
        <v>374.6</v>
      </c>
      <c r="H193" s="1033" t="str">
        <f>IF(H$6="","",IF(NOT(ISNUMBER(_xll.ciqfunctions.udf.CIQ(H$6,$F$2, $A193, $I$2, $I$3))),IF(H192=H$6,"",H192),_xll.ciqfunctions.udf.CIQ(H$6,$F$2, $A193, $I$2, $I$3)))</f>
        <v/>
      </c>
      <c r="I193" s="1033" t="str">
        <f>IF(I$6="","",IF(NOT(ISNUMBER(_xll.ciqfunctions.udf.CIQ(I$6,$F$2, $A193, $I$2, $I$3))),IF(I192=I$6,"",I192),_xll.ciqfunctions.udf.CIQ(I$6,$F$2, $A193, $I$2, $I$3)))</f>
        <v/>
      </c>
      <c r="J193" s="1033" t="str">
        <f>IF(J$6="","",IF(NOT(ISNUMBER(_xll.ciqfunctions.udf.CIQ(J$6,$F$2, $A193, $I$2, $I$3))),IF(J192=J$6,"",J192),_xll.ciqfunctions.udf.CIQ(J$6,$F$2, $A193, $I$2, $I$3)))</f>
        <v/>
      </c>
      <c r="K193" s="1033" t="str">
        <f>IF(K$6="","",IF(NOT(ISNUMBER(_xll.ciqfunctions.udf.CIQ(K$6,$F$2, $A193, $I$2, $I$3))),IF(K192=K$6,"",K192),_xll.ciqfunctions.udf.CIQ(K$6,$F$2, $A193, $I$2, $I$3)))</f>
        <v/>
      </c>
      <c r="L193" s="254" t="str">
        <f>IF(L$6="","",IF(NOT(ISNUMBER(_xll.ciqfunctions.udf.CIQ(L$6,$F$2, $A193, $I$2, $I$3))),IF(L192=L$6,"",L192),_xll.ciqfunctions.udf.CIQ(L$6,$F$2, $A193, $I$2, $I$3)))</f>
        <v/>
      </c>
      <c r="M193" s="254" t="str">
        <f>IF(M$6="","",IF(NOT(ISNUMBER(_xll.ciqfunctions.udf.CIQ(M$6,$F$2, $A193, $I$2, $I$3))),IF(M192=M$6,"",M192),_xll.ciqfunctions.udf.CIQ(M$6,$F$2, $A193, $I$2, $I$3)))</f>
        <v/>
      </c>
      <c r="N193" s="254" t="str">
        <f>IF(N$6="","",IF(NOT(ISNUMBER(_xll.ciqfunctions.udf.CIQ(N$6,$F$2, $A193, $I$2, $I$3))),IF(N192=N$6,"",N192),_xll.ciqfunctions.udf.CIQ(N$6,$F$2, $A193, $I$2, $I$3)))</f>
        <v/>
      </c>
      <c r="O193" s="254" t="str">
        <f>IF(O$6="","",IF(NOT(ISNUMBER(_xll.ciqfunctions.udf.CIQ(O$6,$F$2, $A193, $I$2, $I$3))),IF(O192=O$6,"",O192),_xll.ciqfunctions.udf.CIQ(O$6,$F$2, $A193, $I$2, $I$3)))</f>
        <v/>
      </c>
      <c r="P193" s="254" t="str">
        <f>IF(P$6="","",IF(NOT(ISNUMBER(_xll.ciqfunctions.udf.CIQ(P$6,$F$2, $A193, $I$2, $I$3))),IF(P192=P$6,"",P192),_xll.ciqfunctions.udf.CIQ(P$6,$F$2, $A193, $I$2, $I$3)))</f>
        <v/>
      </c>
      <c r="Q193" s="254"/>
      <c r="R193" s="251">
        <f t="shared" si="94"/>
        <v>44127</v>
      </c>
      <c r="S193" s="255">
        <f t="shared" si="96"/>
        <v>0.99569922308546066</v>
      </c>
      <c r="T193" s="255">
        <f t="shared" si="97"/>
        <v>0.37130446157071706</v>
      </c>
      <c r="U193" s="255">
        <f t="shared" si="98"/>
        <v>0.33823959775092272</v>
      </c>
      <c r="V193" s="255">
        <f t="shared" si="112"/>
        <v>0.28626165521626046</v>
      </c>
      <c r="W193" s="255">
        <f t="array" ref="W193">IFERROR(AVERAGE(IF(ISERROR(X193:AG193),"",X193:AG193)),"")</f>
        <v>1.2338839525314569</v>
      </c>
      <c r="X193" s="255">
        <f t="shared" si="113"/>
        <v>1.2338839525314569</v>
      </c>
      <c r="Y193" s="255" t="e">
        <f t="shared" si="114"/>
        <v>#N/A</v>
      </c>
      <c r="Z193" s="255" t="e">
        <f t="shared" si="115"/>
        <v>#N/A</v>
      </c>
      <c r="AA193" s="255" t="e">
        <f t="shared" si="116"/>
        <v>#N/A</v>
      </c>
      <c r="AB193" s="255" t="e">
        <f t="shared" si="117"/>
        <v>#N/A</v>
      </c>
      <c r="AC193" s="255" t="e">
        <f t="shared" si="118"/>
        <v>#N/A</v>
      </c>
      <c r="AD193" s="255" t="e">
        <f t="shared" si="119"/>
        <v>#N/A</v>
      </c>
      <c r="AE193" s="255" t="e">
        <f t="shared" si="120"/>
        <v>#N/A</v>
      </c>
      <c r="AF193" s="255" t="e">
        <f t="shared" si="121"/>
        <v>#N/A</v>
      </c>
      <c r="AG193" s="255" t="e">
        <f t="shared" si="122"/>
        <v>#N/A</v>
      </c>
      <c r="AI193" s="251">
        <f t="shared" si="95"/>
        <v>44127</v>
      </c>
      <c r="AJ193" s="718">
        <f>IF(OR($B193="No",AJ$6=""),"",IF(NOT(ISNUMBER(_xll.ciqfunctions.udf.CIQ(AJ$6,"IQ_TEV",$AI193,$I$2,$I$3))),"",_xll.ciqfunctions.udf.CIQ(AJ$6,"IQ_TEV",$AI193,$I$2,$I$3)))</f>
        <v>466858.36012999999</v>
      </c>
      <c r="AK193" s="718">
        <f>IF(OR($B193="No",AK$6=""),"",IF(NOT(ISNUMBER(_xll.ciqfunctions.udf.CIQ(AK$6,"IQ_TEV",$AI193,$I$2,$I$3))),"",_xll.ciqfunctions.udf.CIQ(AK$6,"IQ_TEV",$AI193,$I$2,$I$3)))</f>
        <v>163486.01891000001</v>
      </c>
      <c r="AL193" s="718" t="str">
        <f>IF(OR($B193="No",AL$6=""),"",IF(NOT(ISNUMBER(_xll.ciqfunctions.udf.CIQ(AL$6,"IQ_TEV",$AI193,$I$2,$I$3))),"",_xll.ciqfunctions.udf.CIQ(AL$6,"IQ_TEV",$AI193,$I$2,$I$3)))</f>
        <v/>
      </c>
      <c r="AM193" s="718" t="str">
        <f>IF(OR($B193="No",AM$6=""),"",IF(NOT(ISNUMBER(_xll.ciqfunctions.udf.CIQ(AM$6,"IQ_TEV",$AI193,$I$2,$I$3))),"",_xll.ciqfunctions.udf.CIQ(AM$6,"IQ_TEV",$AI193,$I$2,$I$3)))</f>
        <v/>
      </c>
      <c r="AN193" s="718" t="str">
        <f>IF(OR($B193="No",AN$6=""),"",IF(NOT(ISNUMBER(_xll.ciqfunctions.udf.CIQ(AN$6,"IQ_TEV",$AI193,$I$2,$I$3))),"",_xll.ciqfunctions.udf.CIQ(AN$6,"IQ_TEV",$AI193,$I$2,$I$3)))</f>
        <v/>
      </c>
      <c r="AO193" s="718" t="str">
        <f>IF(OR($B193="No",AO$6=""),"",IF(NOT(ISNUMBER(_xll.ciqfunctions.udf.CIQ(AO$6,"IQ_TEV",$AI193,$I$2,$I$3))),"",_xll.ciqfunctions.udf.CIQ(AO$6,"IQ_TEV",$AI193,$I$2,$I$3)))</f>
        <v/>
      </c>
      <c r="AP193" s="718" t="str">
        <f>IF(OR($B193="No",AP$6=""),"",IF(NOT(ISNUMBER(_xll.ciqfunctions.udf.CIQ(AP$6,"IQ_TEV",$AI193,$I$2,$I$3))),"",_xll.ciqfunctions.udf.CIQ(AP$6,"IQ_TEV",$AI193,$I$2,$I$3)))</f>
        <v/>
      </c>
      <c r="AQ193" s="718" t="str">
        <f>IF(OR($B193="No",AQ$6=""),"",IF(NOT(ISNUMBER(_xll.ciqfunctions.udf.CIQ(AQ$6,"IQ_TEV",$AI193,$I$2,$I$3))),"",_xll.ciqfunctions.udf.CIQ(AQ$6,"IQ_TEV",$AI193,$I$2,$I$3)))</f>
        <v/>
      </c>
      <c r="AR193" s="718" t="str">
        <f>IF(OR($B193="No",AR$6=""),"",IF(NOT(ISNUMBER(_xll.ciqfunctions.udf.CIQ(AR$6,"IQ_TEV",$AI193,$I$2,$I$3))),"",_xll.ciqfunctions.udf.CIQ(AR$6,"IQ_TEV",$AI193,$I$2,$I$3)))</f>
        <v/>
      </c>
      <c r="AS193" s="718" t="str">
        <f>IF(OR($B193="No",AS$6=""),"",IF(NOT(ISNUMBER(_xll.ciqfunctions.udf.CIQ(AS$6,"IQ_TEV",$AI193,$I$2,$I$3))),"",_xll.ciqfunctions.udf.CIQ(AS$6,"IQ_TEV",$AI193,$I$2,$I$3)))</f>
        <v/>
      </c>
      <c r="AT193" s="718" t="str">
        <f>IF(OR($B193="No",AT$6=""),"",IF(NOT(ISNUMBER(_xll.ciqfunctions.udf.CIQ(AT$6,"IQ_TEV",$AI193,$I$2,$I$3))),"",_xll.ciqfunctions.udf.CIQ(AT$6,"IQ_TEV",$AI193,$I$2,$I$3)))</f>
        <v/>
      </c>
      <c r="AV193" s="251">
        <f t="shared" si="99"/>
        <v>44127</v>
      </c>
      <c r="AW193" s="719">
        <f t="shared" si="100"/>
        <v>0.78833677559218818</v>
      </c>
      <c r="AX193" s="719">
        <f t="shared" si="101"/>
        <v>1.2399994251683633</v>
      </c>
      <c r="AY193" s="719" t="e">
        <f t="shared" si="102"/>
        <v>#N/A</v>
      </c>
      <c r="AZ193" s="719" t="e">
        <f t="shared" si="103"/>
        <v>#N/A</v>
      </c>
      <c r="BA193" s="719" t="e">
        <f t="shared" si="104"/>
        <v>#N/A</v>
      </c>
      <c r="BB193" s="719" t="e">
        <f t="shared" si="105"/>
        <v>#N/A</v>
      </c>
      <c r="BC193" s="719" t="e">
        <f t="shared" si="106"/>
        <v>#N/A</v>
      </c>
      <c r="BD193" s="719" t="e">
        <f t="shared" si="107"/>
        <v>#N/A</v>
      </c>
      <c r="BE193" s="719" t="e">
        <f t="shared" si="108"/>
        <v>#N/A</v>
      </c>
      <c r="BF193" s="719" t="e">
        <f t="shared" si="109"/>
        <v>#N/A</v>
      </c>
      <c r="BG193" s="719" t="e">
        <f t="shared" si="110"/>
        <v>#N/A</v>
      </c>
    </row>
    <row r="194" spans="1:59" ht="15" customHeight="1" x14ac:dyDescent="0.2">
      <c r="A194" s="251">
        <f t="shared" si="93"/>
        <v>44134</v>
      </c>
      <c r="B194" s="253" t="str">
        <f t="shared" si="111"/>
        <v>Yes</v>
      </c>
      <c r="C194" s="1033">
        <f>IF(C$6="","",IF(NOT(ISNUMBER(_xll.ciqfunctions.udf.CIQ(C$6,$F$2, $A194, $I$2, $I$3))),IF(C193=C$6,"",C193),_xll.ciqfunctions.udf.CIQ(C$6,$F$2, $A194, $I$2, $I$3)))</f>
        <v>138.75</v>
      </c>
      <c r="D194" s="1033">
        <f>IF(D$6="","",IF(NOT(ISNUMBER(_xll.ciqfunctions.udf.CIQ(D$6,$F$2, $A194, $I$2, $I$3))),IF(D193=D$6,"",D193),_xll.ciqfunctions.udf.CIQ(D$6,$F$2, $A194, $I$2, $I$3)))</f>
        <v>26501.595499999999</v>
      </c>
      <c r="E194" s="1033">
        <f>IF(E$6="","",IF(NOT(ISNUMBER(_xll.ciqfunctions.udf.CIQ(E$6,$F$2, $A194, $I$2, $I$3))),IF(E193=E$6,"",E193),_xll.ciqfunctions.udf.CIQ(E$6,$F$2, $A194, $I$2, $I$3)))</f>
        <v>8994.3601299999991</v>
      </c>
      <c r="F194" s="1033">
        <f>IF(F$6="","",IF(NOT(ISNUMBER(_xll.ciqfunctions.udf.CIQ(F$6,$F$2, $A194, $I$2, $I$3))),IF(F193=F$6,"",F193),_xll.ciqfunctions.udf.CIQ(F$6,$F$2, $A194, $I$2, $I$3)))</f>
        <v>5175.55789</v>
      </c>
      <c r="G194" s="1033">
        <f>IF(G$6="","",IF(NOT(ISNUMBER(_xll.ciqfunctions.udf.CIQ(G$6,$F$2, $A194, $I$2, $I$3))),IF(G193=G$6,"",G193),_xll.ciqfunctions.udf.CIQ(G$6,$F$2, $A194, $I$2, $I$3)))</f>
        <v>357.62</v>
      </c>
      <c r="H194" s="1033" t="str">
        <f>IF(H$6="","",IF(NOT(ISNUMBER(_xll.ciqfunctions.udf.CIQ(H$6,$F$2, $A194, $I$2, $I$3))),IF(H193=H$6,"",H193),_xll.ciqfunctions.udf.CIQ(H$6,$F$2, $A194, $I$2, $I$3)))</f>
        <v/>
      </c>
      <c r="I194" s="1033" t="str">
        <f>IF(I$6="","",IF(NOT(ISNUMBER(_xll.ciqfunctions.udf.CIQ(I$6,$F$2, $A194, $I$2, $I$3))),IF(I193=I$6,"",I193),_xll.ciqfunctions.udf.CIQ(I$6,$F$2, $A194, $I$2, $I$3)))</f>
        <v/>
      </c>
      <c r="J194" s="1033" t="str">
        <f>IF(J$6="","",IF(NOT(ISNUMBER(_xll.ciqfunctions.udf.CIQ(J$6,$F$2, $A194, $I$2, $I$3))),IF(J193=J$6,"",J193),_xll.ciqfunctions.udf.CIQ(J$6,$F$2, $A194, $I$2, $I$3)))</f>
        <v/>
      </c>
      <c r="K194" s="1033" t="str">
        <f>IF(K$6="","",IF(NOT(ISNUMBER(_xll.ciqfunctions.udf.CIQ(K$6,$F$2, $A194, $I$2, $I$3))),IF(K193=K$6,"",K193),_xll.ciqfunctions.udf.CIQ(K$6,$F$2, $A194, $I$2, $I$3)))</f>
        <v/>
      </c>
      <c r="L194" s="254" t="str">
        <f>IF(L$6="","",IF(NOT(ISNUMBER(_xll.ciqfunctions.udf.CIQ(L$6,$F$2, $A194, $I$2, $I$3))),IF(L193=L$6,"",L193),_xll.ciqfunctions.udf.CIQ(L$6,$F$2, $A194, $I$2, $I$3)))</f>
        <v/>
      </c>
      <c r="M194" s="254" t="str">
        <f>IF(M$6="","",IF(NOT(ISNUMBER(_xll.ciqfunctions.udf.CIQ(M$6,$F$2, $A194, $I$2, $I$3))),IF(M193=M$6,"",M193),_xll.ciqfunctions.udf.CIQ(M$6,$F$2, $A194, $I$2, $I$3)))</f>
        <v/>
      </c>
      <c r="N194" s="254" t="str">
        <f>IF(N$6="","",IF(NOT(ISNUMBER(_xll.ciqfunctions.udf.CIQ(N$6,$F$2, $A194, $I$2, $I$3))),IF(N193=N$6,"",N193),_xll.ciqfunctions.udf.CIQ(N$6,$F$2, $A194, $I$2, $I$3)))</f>
        <v/>
      </c>
      <c r="O194" s="254" t="str">
        <f>IF(O$6="","",IF(NOT(ISNUMBER(_xll.ciqfunctions.udf.CIQ(O$6,$F$2, $A194, $I$2, $I$3))),IF(O193=O$6,"",O193),_xll.ciqfunctions.udf.CIQ(O$6,$F$2, $A194, $I$2, $I$3)))</f>
        <v/>
      </c>
      <c r="P194" s="254" t="str">
        <f>IF(P$6="","",IF(NOT(ISNUMBER(_xll.ciqfunctions.udf.CIQ(P$6,$F$2, $A194, $I$2, $I$3))),IF(P193=P$6,"",P193),_xll.ciqfunctions.udf.CIQ(P$6,$F$2, $A194, $I$2, $I$3)))</f>
        <v/>
      </c>
      <c r="Q194" s="254"/>
      <c r="R194" s="251">
        <f t="shared" si="94"/>
        <v>44134</v>
      </c>
      <c r="S194" s="255">
        <f t="shared" si="96"/>
        <v>0.92494450610432866</v>
      </c>
      <c r="T194" s="255">
        <f t="shared" si="97"/>
        <v>0.28254909643792003</v>
      </c>
      <c r="U194" s="255">
        <f t="shared" si="98"/>
        <v>0.25692916542081035</v>
      </c>
      <c r="V194" s="255">
        <f t="shared" si="112"/>
        <v>0.17901370199976641</v>
      </c>
      <c r="W194" s="255">
        <f t="array" ref="W194">IFERROR(AVERAGE(IF(ISERROR(X194:AG194),"",X194:AG194)),"")</f>
        <v>1.1326256783350228</v>
      </c>
      <c r="X194" s="255">
        <f t="shared" si="113"/>
        <v>1.1326256783350228</v>
      </c>
      <c r="Y194" s="255" t="e">
        <f t="shared" si="114"/>
        <v>#N/A</v>
      </c>
      <c r="Z194" s="255" t="e">
        <f t="shared" si="115"/>
        <v>#N/A</v>
      </c>
      <c r="AA194" s="255" t="e">
        <f t="shared" si="116"/>
        <v>#N/A</v>
      </c>
      <c r="AB194" s="255" t="e">
        <f t="shared" si="117"/>
        <v>#N/A</v>
      </c>
      <c r="AC194" s="255" t="e">
        <f t="shared" si="118"/>
        <v>#N/A</v>
      </c>
      <c r="AD194" s="255" t="e">
        <f t="shared" si="119"/>
        <v>#N/A</v>
      </c>
      <c r="AE194" s="255" t="e">
        <f t="shared" si="120"/>
        <v>#N/A</v>
      </c>
      <c r="AF194" s="255" t="e">
        <f t="shared" si="121"/>
        <v>#N/A</v>
      </c>
      <c r="AG194" s="255" t="e">
        <f t="shared" si="122"/>
        <v>#N/A</v>
      </c>
      <c r="AI194" s="251">
        <f t="shared" si="95"/>
        <v>44134</v>
      </c>
      <c r="AJ194" s="718">
        <f>IF(OR($B194="No",AJ$6=""),"",IF(NOT(ISNUMBER(_xll.ciqfunctions.udf.CIQ(AJ$6,"IQ_TEV",$AI194,$I$2,$I$3))),"",_xll.ciqfunctions.udf.CIQ(AJ$6,"IQ_TEV",$AI194,$I$2,$I$3)))</f>
        <v>452406.22015000001</v>
      </c>
      <c r="AK194" s="718">
        <f>IF(OR($B194="No",AK$6=""),"",IF(NOT(ISNUMBER(_xll.ciqfunctions.udf.CIQ(AK$6,"IQ_TEV",$AI194,$I$2,$I$3))),"",_xll.ciqfunctions.udf.CIQ(AK$6,"IQ_TEV",$AI194,$I$2,$I$3)))</f>
        <v>155993.96702000001</v>
      </c>
      <c r="AL194" s="718" t="str">
        <f>IF(OR($B194="No",AL$6=""),"",IF(NOT(ISNUMBER(_xll.ciqfunctions.udf.CIQ(AL$6,"IQ_TEV",$AI194,$I$2,$I$3))),"",_xll.ciqfunctions.udf.CIQ(AL$6,"IQ_TEV",$AI194,$I$2,$I$3)))</f>
        <v/>
      </c>
      <c r="AM194" s="718" t="str">
        <f>IF(OR($B194="No",AM$6=""),"",IF(NOT(ISNUMBER(_xll.ciqfunctions.udf.CIQ(AM$6,"IQ_TEV",$AI194,$I$2,$I$3))),"",_xll.ciqfunctions.udf.CIQ(AM$6,"IQ_TEV",$AI194,$I$2,$I$3)))</f>
        <v/>
      </c>
      <c r="AN194" s="718" t="str">
        <f>IF(OR($B194="No",AN$6=""),"",IF(NOT(ISNUMBER(_xll.ciqfunctions.udf.CIQ(AN$6,"IQ_TEV",$AI194,$I$2,$I$3))),"",_xll.ciqfunctions.udf.CIQ(AN$6,"IQ_TEV",$AI194,$I$2,$I$3)))</f>
        <v/>
      </c>
      <c r="AO194" s="718" t="str">
        <f>IF(OR($B194="No",AO$6=""),"",IF(NOT(ISNUMBER(_xll.ciqfunctions.udf.CIQ(AO$6,"IQ_TEV",$AI194,$I$2,$I$3))),"",_xll.ciqfunctions.udf.CIQ(AO$6,"IQ_TEV",$AI194,$I$2,$I$3)))</f>
        <v/>
      </c>
      <c r="AP194" s="718" t="str">
        <f>IF(OR($B194="No",AP$6=""),"",IF(NOT(ISNUMBER(_xll.ciqfunctions.udf.CIQ(AP$6,"IQ_TEV",$AI194,$I$2,$I$3))),"",_xll.ciqfunctions.udf.CIQ(AP$6,"IQ_TEV",$AI194,$I$2,$I$3)))</f>
        <v/>
      </c>
      <c r="AQ194" s="718" t="str">
        <f>IF(OR($B194="No",AQ$6=""),"",IF(NOT(ISNUMBER(_xll.ciqfunctions.udf.CIQ(AQ$6,"IQ_TEV",$AI194,$I$2,$I$3))),"",_xll.ciqfunctions.udf.CIQ(AQ$6,"IQ_TEV",$AI194,$I$2,$I$3)))</f>
        <v/>
      </c>
      <c r="AR194" s="718" t="str">
        <f>IF(OR($B194="No",AR$6=""),"",IF(NOT(ISNUMBER(_xll.ciqfunctions.udf.CIQ(AR$6,"IQ_TEV",$AI194,$I$2,$I$3))),"",_xll.ciqfunctions.udf.CIQ(AR$6,"IQ_TEV",$AI194,$I$2,$I$3)))</f>
        <v/>
      </c>
      <c r="AS194" s="718" t="str">
        <f>IF(OR($B194="No",AS$6=""),"",IF(NOT(ISNUMBER(_xll.ciqfunctions.udf.CIQ(AS$6,"IQ_TEV",$AI194,$I$2,$I$3))),"",_xll.ciqfunctions.udf.CIQ(AS$6,"IQ_TEV",$AI194,$I$2,$I$3)))</f>
        <v/>
      </c>
      <c r="AT194" s="718" t="str">
        <f>IF(OR($B194="No",AT$6=""),"",IF(NOT(ISNUMBER(_xll.ciqfunctions.udf.CIQ(AT$6,"IQ_TEV",$AI194,$I$2,$I$3))),"",_xll.ciqfunctions.udf.CIQ(AT$6,"IQ_TEV",$AI194,$I$2,$I$3)))</f>
        <v/>
      </c>
      <c r="AV194" s="251">
        <f t="shared" si="99"/>
        <v>44134</v>
      </c>
      <c r="AW194" s="719">
        <f t="shared" si="100"/>
        <v>0.73297674432908022</v>
      </c>
      <c r="AX194" s="719">
        <f t="shared" si="101"/>
        <v>1.1373472715541131</v>
      </c>
      <c r="AY194" s="719" t="e">
        <f t="shared" si="102"/>
        <v>#N/A</v>
      </c>
      <c r="AZ194" s="719" t="e">
        <f t="shared" si="103"/>
        <v>#N/A</v>
      </c>
      <c r="BA194" s="719" t="e">
        <f t="shared" si="104"/>
        <v>#N/A</v>
      </c>
      <c r="BB194" s="719" t="e">
        <f t="shared" si="105"/>
        <v>#N/A</v>
      </c>
      <c r="BC194" s="719" t="e">
        <f t="shared" si="106"/>
        <v>#N/A</v>
      </c>
      <c r="BD194" s="719" t="e">
        <f t="shared" si="107"/>
        <v>#N/A</v>
      </c>
      <c r="BE194" s="719" t="e">
        <f t="shared" si="108"/>
        <v>#N/A</v>
      </c>
      <c r="BF194" s="719" t="e">
        <f t="shared" si="109"/>
        <v>#N/A</v>
      </c>
      <c r="BG194" s="719" t="e">
        <f t="shared" si="110"/>
        <v>#N/A</v>
      </c>
    </row>
    <row r="195" spans="1:59" ht="15" customHeight="1" x14ac:dyDescent="0.2">
      <c r="A195" s="251">
        <f t="shared" si="93"/>
        <v>44141</v>
      </c>
      <c r="B195" s="253" t="str">
        <f t="shared" si="111"/>
        <v>Yes</v>
      </c>
      <c r="C195" s="1033">
        <f>IF(C$6="","",IF(NOT(ISNUMBER(_xll.ciqfunctions.udf.CIQ(C$6,$F$2, $A195, $I$2, $I$3))),IF(C194=C$6,"",C194),_xll.ciqfunctions.udf.CIQ(C$6,$F$2, $A195, $I$2, $I$3)))</f>
        <v>145.77000000000001</v>
      </c>
      <c r="D195" s="1033">
        <f>IF(D$6="","",IF(NOT(ISNUMBER(_xll.ciqfunctions.udf.CIQ(D$6,$F$2, $A195, $I$2, $I$3))),IF(D194=D$6,"",D194),_xll.ciqfunctions.udf.CIQ(D$6,$F$2, $A195, $I$2, $I$3)))</f>
        <v>28323.395140000001</v>
      </c>
      <c r="E195" s="1033">
        <f>IF(E$6="","",IF(NOT(ISNUMBER(_xll.ciqfunctions.udf.CIQ(E$6,$F$2, $A195, $I$2, $I$3))),IF(E194=E$6,"",E194),_xll.ciqfunctions.udf.CIQ(E$6,$F$2, $A195, $I$2, $I$3)))</f>
        <v>9500.0437199999997</v>
      </c>
      <c r="F195" s="1033">
        <f>IF(F$6="","",IF(NOT(ISNUMBER(_xll.ciqfunctions.udf.CIQ(F$6,$F$2, $A195, $I$2, $I$3))),IF(F194=F$6,"",F194),_xll.ciqfunctions.udf.CIQ(F$6,$F$2, $A195, $I$2, $I$3)))</f>
        <v>5576.6084799999999</v>
      </c>
      <c r="G195" s="1033">
        <f>IF(G$6="","",IF(NOT(ISNUMBER(_xll.ciqfunctions.udf.CIQ(G$6,$F$2, $A195, $I$2, $I$3))),IF(G194=G$6,"",G194),_xll.ciqfunctions.udf.CIQ(G$6,$F$2, $A195, $I$2, $I$3)))</f>
        <v>385.66</v>
      </c>
      <c r="H195" s="1033" t="str">
        <f>IF(H$6="","",IF(NOT(ISNUMBER(_xll.ciqfunctions.udf.CIQ(H$6,$F$2, $A195, $I$2, $I$3))),IF(H194=H$6,"",H194),_xll.ciqfunctions.udf.CIQ(H$6,$F$2, $A195, $I$2, $I$3)))</f>
        <v/>
      </c>
      <c r="I195" s="1033" t="str">
        <f>IF(I$6="","",IF(NOT(ISNUMBER(_xll.ciqfunctions.udf.CIQ(I$6,$F$2, $A195, $I$2, $I$3))),IF(I194=I$6,"",I194),_xll.ciqfunctions.udf.CIQ(I$6,$F$2, $A195, $I$2, $I$3)))</f>
        <v/>
      </c>
      <c r="J195" s="1033" t="str">
        <f>IF(J$6="","",IF(NOT(ISNUMBER(_xll.ciqfunctions.udf.CIQ(J$6,$F$2, $A195, $I$2, $I$3))),IF(J194=J$6,"",J194),_xll.ciqfunctions.udf.CIQ(J$6,$F$2, $A195, $I$2, $I$3)))</f>
        <v/>
      </c>
      <c r="K195" s="1033" t="str">
        <f>IF(K$6="","",IF(NOT(ISNUMBER(_xll.ciqfunctions.udf.CIQ(K$6,$F$2, $A195, $I$2, $I$3))),IF(K194=K$6,"",K194),_xll.ciqfunctions.udf.CIQ(K$6,$F$2, $A195, $I$2, $I$3)))</f>
        <v/>
      </c>
      <c r="L195" s="254" t="str">
        <f>IF(L$6="","",IF(NOT(ISNUMBER(_xll.ciqfunctions.udf.CIQ(L$6,$F$2, $A195, $I$2, $I$3))),IF(L194=L$6,"",L194),_xll.ciqfunctions.udf.CIQ(L$6,$F$2, $A195, $I$2, $I$3)))</f>
        <v/>
      </c>
      <c r="M195" s="254" t="str">
        <f>IF(M$6="","",IF(NOT(ISNUMBER(_xll.ciqfunctions.udf.CIQ(M$6,$F$2, $A195, $I$2, $I$3))),IF(M194=M$6,"",M194),_xll.ciqfunctions.udf.CIQ(M$6,$F$2, $A195, $I$2, $I$3)))</f>
        <v/>
      </c>
      <c r="N195" s="254" t="str">
        <f>IF(N$6="","",IF(NOT(ISNUMBER(_xll.ciqfunctions.udf.CIQ(N$6,$F$2, $A195, $I$2, $I$3))),IF(N194=N$6,"",N194),_xll.ciqfunctions.udf.CIQ(N$6,$F$2, $A195, $I$2, $I$3)))</f>
        <v/>
      </c>
      <c r="O195" s="254" t="str">
        <f>IF(O$6="","",IF(NOT(ISNUMBER(_xll.ciqfunctions.udf.CIQ(O$6,$F$2, $A195, $I$2, $I$3))),IF(O194=O$6,"",O194),_xll.ciqfunctions.udf.CIQ(O$6,$F$2, $A195, $I$2, $I$3)))</f>
        <v/>
      </c>
      <c r="P195" s="254" t="str">
        <f>IF(P$6="","",IF(NOT(ISNUMBER(_xll.ciqfunctions.udf.CIQ(P$6,$F$2, $A195, $I$2, $I$3))),IF(P194=P$6,"",P194),_xll.ciqfunctions.udf.CIQ(P$6,$F$2, $A195, $I$2, $I$3)))</f>
        <v/>
      </c>
      <c r="Q195" s="254"/>
      <c r="R195" s="251">
        <f t="shared" si="94"/>
        <v>44141</v>
      </c>
      <c r="S195" s="255">
        <f t="shared" si="96"/>
        <v>1.0223362930077693</v>
      </c>
      <c r="T195" s="255">
        <f t="shared" si="97"/>
        <v>0.3707153912624308</v>
      </c>
      <c r="U195" s="255">
        <f t="shared" si="98"/>
        <v>0.32759661074865254</v>
      </c>
      <c r="V195" s="255">
        <f t="shared" si="112"/>
        <v>0.27037470130743513</v>
      </c>
      <c r="W195" s="255">
        <f t="array" ref="W195">IFERROR(AVERAGE(IF(ISERROR(X195:AG195),"",X195:AG195)),"")</f>
        <v>1.2998389886099351</v>
      </c>
      <c r="X195" s="255">
        <f t="shared" si="113"/>
        <v>1.2998389886099351</v>
      </c>
      <c r="Y195" s="255" t="e">
        <f t="shared" si="114"/>
        <v>#N/A</v>
      </c>
      <c r="Z195" s="255" t="e">
        <f t="shared" si="115"/>
        <v>#N/A</v>
      </c>
      <c r="AA195" s="255" t="e">
        <f t="shared" si="116"/>
        <v>#N/A</v>
      </c>
      <c r="AB195" s="255" t="e">
        <f t="shared" si="117"/>
        <v>#N/A</v>
      </c>
      <c r="AC195" s="255" t="e">
        <f t="shared" si="118"/>
        <v>#N/A</v>
      </c>
      <c r="AD195" s="255" t="e">
        <f t="shared" si="119"/>
        <v>#N/A</v>
      </c>
      <c r="AE195" s="255" t="e">
        <f t="shared" si="120"/>
        <v>#N/A</v>
      </c>
      <c r="AF195" s="255" t="e">
        <f t="shared" si="121"/>
        <v>#N/A</v>
      </c>
      <c r="AG195" s="255" t="e">
        <f t="shared" si="122"/>
        <v>#N/A</v>
      </c>
      <c r="AI195" s="251">
        <f t="shared" si="95"/>
        <v>44141</v>
      </c>
      <c r="AJ195" s="718">
        <f>IF(OR($B195="No",AJ$6=""),"",IF(NOT(ISNUMBER(_xll.ciqfunctions.udf.CIQ(AJ$6,"IQ_TEV",$AI195,$I$2,$I$3))),"",_xll.ciqfunctions.udf.CIQ(AJ$6,"IQ_TEV",$AI195,$I$2,$I$3)))</f>
        <v>472299.16577000002</v>
      </c>
      <c r="AK195" s="718">
        <f>IF(OR($B195="No",AK$6=""),"",IF(NOT(ISNUMBER(_xll.ciqfunctions.udf.CIQ(AK$6,"IQ_TEV",$AI195,$I$2,$I$3))),"",_xll.ciqfunctions.udf.CIQ(AK$6,"IQ_TEV",$AI195,$I$2,$I$3)))</f>
        <v>168366.00089</v>
      </c>
      <c r="AL195" s="718" t="str">
        <f>IF(OR($B195="No",AL$6=""),"",IF(NOT(ISNUMBER(_xll.ciqfunctions.udf.CIQ(AL$6,"IQ_TEV",$AI195,$I$2,$I$3))),"",_xll.ciqfunctions.udf.CIQ(AL$6,"IQ_TEV",$AI195,$I$2,$I$3)))</f>
        <v/>
      </c>
      <c r="AM195" s="718" t="str">
        <f>IF(OR($B195="No",AM$6=""),"",IF(NOT(ISNUMBER(_xll.ciqfunctions.udf.CIQ(AM$6,"IQ_TEV",$AI195,$I$2,$I$3))),"",_xll.ciqfunctions.udf.CIQ(AM$6,"IQ_TEV",$AI195,$I$2,$I$3)))</f>
        <v/>
      </c>
      <c r="AN195" s="718" t="str">
        <f>IF(OR($B195="No",AN$6=""),"",IF(NOT(ISNUMBER(_xll.ciqfunctions.udf.CIQ(AN$6,"IQ_TEV",$AI195,$I$2,$I$3))),"",_xll.ciqfunctions.udf.CIQ(AN$6,"IQ_TEV",$AI195,$I$2,$I$3)))</f>
        <v/>
      </c>
      <c r="AO195" s="718" t="str">
        <f>IF(OR($B195="No",AO$6=""),"",IF(NOT(ISNUMBER(_xll.ciqfunctions.udf.CIQ(AO$6,"IQ_TEV",$AI195,$I$2,$I$3))),"",_xll.ciqfunctions.udf.CIQ(AO$6,"IQ_TEV",$AI195,$I$2,$I$3)))</f>
        <v/>
      </c>
      <c r="AP195" s="718" t="str">
        <f>IF(OR($B195="No",AP$6=""),"",IF(NOT(ISNUMBER(_xll.ciqfunctions.udf.CIQ(AP$6,"IQ_TEV",$AI195,$I$2,$I$3))),"",_xll.ciqfunctions.udf.CIQ(AP$6,"IQ_TEV",$AI195,$I$2,$I$3)))</f>
        <v/>
      </c>
      <c r="AQ195" s="718" t="str">
        <f>IF(OR($B195="No",AQ$6=""),"",IF(NOT(ISNUMBER(_xll.ciqfunctions.udf.CIQ(AQ$6,"IQ_TEV",$AI195,$I$2,$I$3))),"",_xll.ciqfunctions.udf.CIQ(AQ$6,"IQ_TEV",$AI195,$I$2,$I$3)))</f>
        <v/>
      </c>
      <c r="AR195" s="718" t="str">
        <f>IF(OR($B195="No",AR$6=""),"",IF(NOT(ISNUMBER(_xll.ciqfunctions.udf.CIQ(AR$6,"IQ_TEV",$AI195,$I$2,$I$3))),"",_xll.ciqfunctions.udf.CIQ(AR$6,"IQ_TEV",$AI195,$I$2,$I$3)))</f>
        <v/>
      </c>
      <c r="AS195" s="718" t="str">
        <f>IF(OR($B195="No",AS$6=""),"",IF(NOT(ISNUMBER(_xll.ciqfunctions.udf.CIQ(AS$6,"IQ_TEV",$AI195,$I$2,$I$3))),"",_xll.ciqfunctions.udf.CIQ(AS$6,"IQ_TEV",$AI195,$I$2,$I$3)))</f>
        <v/>
      </c>
      <c r="AT195" s="718" t="str">
        <f>IF(OR($B195="No",AT$6=""),"",IF(NOT(ISNUMBER(_xll.ciqfunctions.udf.CIQ(AT$6,"IQ_TEV",$AI195,$I$2,$I$3))),"",_xll.ciqfunctions.udf.CIQ(AT$6,"IQ_TEV",$AI195,$I$2,$I$3)))</f>
        <v/>
      </c>
      <c r="AV195" s="251">
        <f t="shared" si="99"/>
        <v>44141</v>
      </c>
      <c r="AW195" s="719">
        <f t="shared" si="100"/>
        <v>0.80917819912833755</v>
      </c>
      <c r="AX195" s="719">
        <f t="shared" si="101"/>
        <v>1.3068623710209355</v>
      </c>
      <c r="AY195" s="719" t="e">
        <f t="shared" si="102"/>
        <v>#N/A</v>
      </c>
      <c r="AZ195" s="719" t="e">
        <f t="shared" si="103"/>
        <v>#N/A</v>
      </c>
      <c r="BA195" s="719" t="e">
        <f t="shared" si="104"/>
        <v>#N/A</v>
      </c>
      <c r="BB195" s="719" t="e">
        <f t="shared" si="105"/>
        <v>#N/A</v>
      </c>
      <c r="BC195" s="719" t="e">
        <f t="shared" si="106"/>
        <v>#N/A</v>
      </c>
      <c r="BD195" s="719" t="e">
        <f t="shared" si="107"/>
        <v>#N/A</v>
      </c>
      <c r="BE195" s="719" t="e">
        <f t="shared" si="108"/>
        <v>#N/A</v>
      </c>
      <c r="BF195" s="719" t="e">
        <f t="shared" si="109"/>
        <v>#N/A</v>
      </c>
      <c r="BG195" s="719" t="e">
        <f t="shared" si="110"/>
        <v>#N/A</v>
      </c>
    </row>
    <row r="196" spans="1:59" ht="15" customHeight="1" x14ac:dyDescent="0.2">
      <c r="A196" s="251">
        <f t="shared" si="93"/>
        <v>44148</v>
      </c>
      <c r="B196" s="253" t="str">
        <f t="shared" si="111"/>
        <v>Yes</v>
      </c>
      <c r="C196" s="1033">
        <f>IF(C$6="","",IF(NOT(ISNUMBER(_xll.ciqfunctions.udf.CIQ(C$6,$F$2, $A196, $I$2, $I$3))),IF(C195=C$6,"",C195),_xll.ciqfunctions.udf.CIQ(C$6,$F$2, $A196, $I$2, $I$3)))</f>
        <v>150.54</v>
      </c>
      <c r="D196" s="1033">
        <f>IF(D$6="","",IF(NOT(ISNUMBER(_xll.ciqfunctions.udf.CIQ(D$6,$F$2, $A196, $I$2, $I$3))),IF(D195=D$6,"",D195),_xll.ciqfunctions.udf.CIQ(D$6,$F$2, $A196, $I$2, $I$3)))</f>
        <v>29479.809260000002</v>
      </c>
      <c r="E196" s="1033">
        <f>IF(E$6="","",IF(NOT(ISNUMBER(_xll.ciqfunctions.udf.CIQ(E$6,$F$2, $A196, $I$2, $I$3))),IF(E195=E$6,"",E195),_xll.ciqfunctions.udf.CIQ(E$6,$F$2, $A196, $I$2, $I$3)))</f>
        <v>9875.6847799999996</v>
      </c>
      <c r="F196" s="1033">
        <f>IF(F$6="","",IF(NOT(ISNUMBER(_xll.ciqfunctions.udf.CIQ(F$6,$F$2, $A196, $I$2, $I$3))),IF(F195=F$6,"",F195),_xll.ciqfunctions.udf.CIQ(F$6,$F$2, $A196, $I$2, $I$3)))</f>
        <v>5668.85322</v>
      </c>
      <c r="G196" s="1033">
        <f>IF(G$6="","",IF(NOT(ISNUMBER(_xll.ciqfunctions.udf.CIQ(G$6,$F$2, $A196, $I$2, $I$3))),IF(G195=G$6,"",G195),_xll.ciqfunctions.udf.CIQ(G$6,$F$2, $A196, $I$2, $I$3)))</f>
        <v>378.84</v>
      </c>
      <c r="H196" s="1033" t="str">
        <f>IF(H$6="","",IF(NOT(ISNUMBER(_xll.ciqfunctions.udf.CIQ(H$6,$F$2, $A196, $I$2, $I$3))),IF(H195=H$6,"",H195),_xll.ciqfunctions.udf.CIQ(H$6,$F$2, $A196, $I$2, $I$3)))</f>
        <v/>
      </c>
      <c r="I196" s="1033" t="str">
        <f>IF(I$6="","",IF(NOT(ISNUMBER(_xll.ciqfunctions.udf.CIQ(I$6,$F$2, $A196, $I$2, $I$3))),IF(I195=I$6,"",I195),_xll.ciqfunctions.udf.CIQ(I$6,$F$2, $A196, $I$2, $I$3)))</f>
        <v/>
      </c>
      <c r="J196" s="1033" t="str">
        <f>IF(J$6="","",IF(NOT(ISNUMBER(_xll.ciqfunctions.udf.CIQ(J$6,$F$2, $A196, $I$2, $I$3))),IF(J195=J$6,"",J195),_xll.ciqfunctions.udf.CIQ(J$6,$F$2, $A196, $I$2, $I$3)))</f>
        <v/>
      </c>
      <c r="K196" s="1033" t="str">
        <f>IF(K$6="","",IF(NOT(ISNUMBER(_xll.ciqfunctions.udf.CIQ(K$6,$F$2, $A196, $I$2, $I$3))),IF(K195=K$6,"",K195),_xll.ciqfunctions.udf.CIQ(K$6,$F$2, $A196, $I$2, $I$3)))</f>
        <v/>
      </c>
      <c r="L196" s="254" t="str">
        <f>IF(L$6="","",IF(NOT(ISNUMBER(_xll.ciqfunctions.udf.CIQ(L$6,$F$2, $A196, $I$2, $I$3))),IF(L195=L$6,"",L195),_xll.ciqfunctions.udf.CIQ(L$6,$F$2, $A196, $I$2, $I$3)))</f>
        <v/>
      </c>
      <c r="M196" s="254" t="str">
        <f>IF(M$6="","",IF(NOT(ISNUMBER(_xll.ciqfunctions.udf.CIQ(M$6,$F$2, $A196, $I$2, $I$3))),IF(M195=M$6,"",M195),_xll.ciqfunctions.udf.CIQ(M$6,$F$2, $A196, $I$2, $I$3)))</f>
        <v/>
      </c>
      <c r="N196" s="254" t="str">
        <f>IF(N$6="","",IF(NOT(ISNUMBER(_xll.ciqfunctions.udf.CIQ(N$6,$F$2, $A196, $I$2, $I$3))),IF(N195=N$6,"",N195),_xll.ciqfunctions.udf.CIQ(N$6,$F$2, $A196, $I$2, $I$3)))</f>
        <v/>
      </c>
      <c r="O196" s="254" t="str">
        <f>IF(O$6="","",IF(NOT(ISNUMBER(_xll.ciqfunctions.udf.CIQ(O$6,$F$2, $A196, $I$2, $I$3))),IF(O195=O$6,"",O195),_xll.ciqfunctions.udf.CIQ(O$6,$F$2, $A196, $I$2, $I$3)))</f>
        <v/>
      </c>
      <c r="P196" s="254" t="str">
        <f>IF(P$6="","",IF(NOT(ISNUMBER(_xll.ciqfunctions.udf.CIQ(P$6,$F$2, $A196, $I$2, $I$3))),IF(P195=P$6,"",P195),_xll.ciqfunctions.udf.CIQ(P$6,$F$2, $A196, $I$2, $I$3)))</f>
        <v/>
      </c>
      <c r="Q196" s="254"/>
      <c r="R196" s="251">
        <f t="shared" si="94"/>
        <v>44148</v>
      </c>
      <c r="S196" s="255">
        <f t="shared" si="96"/>
        <v>1.0885127635960044</v>
      </c>
      <c r="T196" s="255">
        <f t="shared" si="97"/>
        <v>0.42668024382061187</v>
      </c>
      <c r="U196" s="255">
        <f t="shared" si="98"/>
        <v>0.38009108475450804</v>
      </c>
      <c r="V196" s="255">
        <f t="shared" si="112"/>
        <v>0.29138843832070349</v>
      </c>
      <c r="W196" s="255">
        <f t="array" ref="W196">IFERROR(AVERAGE(IF(ISERROR(X196:AG196),"",X196:AG196)),"")</f>
        <v>1.2591687041564792</v>
      </c>
      <c r="X196" s="255">
        <f t="shared" si="113"/>
        <v>1.2591687041564792</v>
      </c>
      <c r="Y196" s="255" t="e">
        <f t="shared" si="114"/>
        <v>#N/A</v>
      </c>
      <c r="Z196" s="255" t="e">
        <f t="shared" si="115"/>
        <v>#N/A</v>
      </c>
      <c r="AA196" s="255" t="e">
        <f t="shared" si="116"/>
        <v>#N/A</v>
      </c>
      <c r="AB196" s="255" t="e">
        <f t="shared" si="117"/>
        <v>#N/A</v>
      </c>
      <c r="AC196" s="255" t="e">
        <f t="shared" si="118"/>
        <v>#N/A</v>
      </c>
      <c r="AD196" s="255" t="e">
        <f t="shared" si="119"/>
        <v>#N/A</v>
      </c>
      <c r="AE196" s="255" t="e">
        <f t="shared" si="120"/>
        <v>#N/A</v>
      </c>
      <c r="AF196" s="255" t="e">
        <f t="shared" si="121"/>
        <v>#N/A</v>
      </c>
      <c r="AG196" s="255" t="e">
        <f t="shared" si="122"/>
        <v>#N/A</v>
      </c>
      <c r="AI196" s="251">
        <f t="shared" si="95"/>
        <v>44148</v>
      </c>
      <c r="AJ196" s="718">
        <f>IF(OR($B196="No",AJ$6=""),"",IF(NOT(ISNUMBER(_xll.ciqfunctions.udf.CIQ(AJ$6,"IQ_TEV",$AI196,$I$2,$I$3))),"",_xll.ciqfunctions.udf.CIQ(AJ$6,"IQ_TEV",$AI196,$I$2,$I$3)))</f>
        <v>485816.16729000001</v>
      </c>
      <c r="AK196" s="718">
        <f>IF(OR($B196="No",AK$6=""),"",IF(NOT(ISNUMBER(_xll.ciqfunctions.udf.CIQ(AK$6,"IQ_TEV",$AI196,$I$2,$I$3))),"",_xll.ciqfunctions.udf.CIQ(AK$6,"IQ_TEV",$AI196,$I$2,$I$3)))</f>
        <v>165356.82574999999</v>
      </c>
      <c r="AL196" s="718" t="str">
        <f>IF(OR($B196="No",AL$6=""),"",IF(NOT(ISNUMBER(_xll.ciqfunctions.udf.CIQ(AL$6,"IQ_TEV",$AI196,$I$2,$I$3))),"",_xll.ciqfunctions.udf.CIQ(AL$6,"IQ_TEV",$AI196,$I$2,$I$3)))</f>
        <v/>
      </c>
      <c r="AM196" s="718" t="str">
        <f>IF(OR($B196="No",AM$6=""),"",IF(NOT(ISNUMBER(_xll.ciqfunctions.udf.CIQ(AM$6,"IQ_TEV",$AI196,$I$2,$I$3))),"",_xll.ciqfunctions.udf.CIQ(AM$6,"IQ_TEV",$AI196,$I$2,$I$3)))</f>
        <v/>
      </c>
      <c r="AN196" s="718" t="str">
        <f>IF(OR($B196="No",AN$6=""),"",IF(NOT(ISNUMBER(_xll.ciqfunctions.udf.CIQ(AN$6,"IQ_TEV",$AI196,$I$2,$I$3))),"",_xll.ciqfunctions.udf.CIQ(AN$6,"IQ_TEV",$AI196,$I$2,$I$3)))</f>
        <v/>
      </c>
      <c r="AO196" s="718" t="str">
        <f>IF(OR($B196="No",AO$6=""),"",IF(NOT(ISNUMBER(_xll.ciqfunctions.udf.CIQ(AO$6,"IQ_TEV",$AI196,$I$2,$I$3))),"",_xll.ciqfunctions.udf.CIQ(AO$6,"IQ_TEV",$AI196,$I$2,$I$3)))</f>
        <v/>
      </c>
      <c r="AP196" s="718" t="str">
        <f>IF(OR($B196="No",AP$6=""),"",IF(NOT(ISNUMBER(_xll.ciqfunctions.udf.CIQ(AP$6,"IQ_TEV",$AI196,$I$2,$I$3))),"",_xll.ciqfunctions.udf.CIQ(AP$6,"IQ_TEV",$AI196,$I$2,$I$3)))</f>
        <v/>
      </c>
      <c r="AQ196" s="718" t="str">
        <f>IF(OR($B196="No",AQ$6=""),"",IF(NOT(ISNUMBER(_xll.ciqfunctions.udf.CIQ(AQ$6,"IQ_TEV",$AI196,$I$2,$I$3))),"",_xll.ciqfunctions.udf.CIQ(AQ$6,"IQ_TEV",$AI196,$I$2,$I$3)))</f>
        <v/>
      </c>
      <c r="AR196" s="718" t="str">
        <f>IF(OR($B196="No",AR$6=""),"",IF(NOT(ISNUMBER(_xll.ciqfunctions.udf.CIQ(AR$6,"IQ_TEV",$AI196,$I$2,$I$3))),"",_xll.ciqfunctions.udf.CIQ(AR$6,"IQ_TEV",$AI196,$I$2,$I$3)))</f>
        <v/>
      </c>
      <c r="AS196" s="718" t="str">
        <f>IF(OR($B196="No",AS$6=""),"",IF(NOT(ISNUMBER(_xll.ciqfunctions.udf.CIQ(AS$6,"IQ_TEV",$AI196,$I$2,$I$3))),"",_xll.ciqfunctions.udf.CIQ(AS$6,"IQ_TEV",$AI196,$I$2,$I$3)))</f>
        <v/>
      </c>
      <c r="AT196" s="718" t="str">
        <f>IF(OR($B196="No",AT$6=""),"",IF(NOT(ISNUMBER(_xll.ciqfunctions.udf.CIQ(AT$6,"IQ_TEV",$AI196,$I$2,$I$3))),"",_xll.ciqfunctions.udf.CIQ(AT$6,"IQ_TEV",$AI196,$I$2,$I$3)))</f>
        <v/>
      </c>
      <c r="AV196" s="251">
        <f t="shared" si="99"/>
        <v>44148</v>
      </c>
      <c r="AW196" s="719">
        <f t="shared" si="100"/>
        <v>0.86095611075708156</v>
      </c>
      <c r="AX196" s="719">
        <f t="shared" si="101"/>
        <v>1.2656322363050019</v>
      </c>
      <c r="AY196" s="719" t="e">
        <f t="shared" si="102"/>
        <v>#N/A</v>
      </c>
      <c r="AZ196" s="719" t="e">
        <f t="shared" si="103"/>
        <v>#N/A</v>
      </c>
      <c r="BA196" s="719" t="e">
        <f t="shared" si="104"/>
        <v>#N/A</v>
      </c>
      <c r="BB196" s="719" t="e">
        <f t="shared" si="105"/>
        <v>#N/A</v>
      </c>
      <c r="BC196" s="719" t="e">
        <f t="shared" si="106"/>
        <v>#N/A</v>
      </c>
      <c r="BD196" s="719" t="e">
        <f t="shared" si="107"/>
        <v>#N/A</v>
      </c>
      <c r="BE196" s="719" t="e">
        <f t="shared" si="108"/>
        <v>#N/A</v>
      </c>
      <c r="BF196" s="719" t="e">
        <f t="shared" si="109"/>
        <v>#N/A</v>
      </c>
      <c r="BG196" s="719" t="e">
        <f t="shared" si="110"/>
        <v>#N/A</v>
      </c>
    </row>
    <row r="197" spans="1:59" ht="15" customHeight="1" x14ac:dyDescent="0.2">
      <c r="A197" s="251">
        <f t="shared" si="93"/>
        <v>44155</v>
      </c>
      <c r="B197" s="253" t="str">
        <f t="shared" si="111"/>
        <v>Yes</v>
      </c>
      <c r="C197" s="1033">
        <f>IF(C$6="","",IF(NOT(ISNUMBER(_xll.ciqfunctions.udf.CIQ(C$6,$F$2, $A197, $I$2, $I$3))),IF(C196=C$6,"",C196),_xll.ciqfunctions.udf.CIQ(C$6,$F$2, $A197, $I$2, $I$3)))</f>
        <v>150.24</v>
      </c>
      <c r="D197" s="1033">
        <f>IF(D$6="","",IF(NOT(ISNUMBER(_xll.ciqfunctions.udf.CIQ(D$6,$F$2, $A197, $I$2, $I$3))),IF(D196=D$6,"",D196),_xll.ciqfunctions.udf.CIQ(D$6,$F$2, $A197, $I$2, $I$3)))</f>
        <v>29263.47507</v>
      </c>
      <c r="E197" s="1033">
        <f>IF(E$6="","",IF(NOT(ISNUMBER(_xll.ciqfunctions.udf.CIQ(E$6,$F$2, $A197, $I$2, $I$3))),IF(E196=E$6,"",E196),_xll.ciqfunctions.udf.CIQ(E$6,$F$2, $A197, $I$2, $I$3)))</f>
        <v>9801.2363100000002</v>
      </c>
      <c r="F197" s="1033">
        <f>IF(F$6="","",IF(NOT(ISNUMBER(_xll.ciqfunctions.udf.CIQ(F$6,$F$2, $A197, $I$2, $I$3))),IF(F196=F$6,"",F196),_xll.ciqfunctions.udf.CIQ(F$6,$F$2, $A197, $I$2, $I$3)))</f>
        <v>5974.8981400000002</v>
      </c>
      <c r="G197" s="1033">
        <f>IF(G$6="","",IF(NOT(ISNUMBER(_xll.ciqfunctions.udf.CIQ(G$6,$F$2, $A197, $I$2, $I$3))),IF(G196=G$6,"",G196),_xll.ciqfunctions.udf.CIQ(G$6,$F$2, $A197, $I$2, $I$3)))</f>
        <v>381.12</v>
      </c>
      <c r="H197" s="1033" t="str">
        <f>IF(H$6="","",IF(NOT(ISNUMBER(_xll.ciqfunctions.udf.CIQ(H$6,$F$2, $A197, $I$2, $I$3))),IF(H196=H$6,"",H196),_xll.ciqfunctions.udf.CIQ(H$6,$F$2, $A197, $I$2, $I$3)))</f>
        <v/>
      </c>
      <c r="I197" s="1033" t="str">
        <f>IF(I$6="","",IF(NOT(ISNUMBER(_xll.ciqfunctions.udf.CIQ(I$6,$F$2, $A197, $I$2, $I$3))),IF(I196=I$6,"",I196),_xll.ciqfunctions.udf.CIQ(I$6,$F$2, $A197, $I$2, $I$3)))</f>
        <v/>
      </c>
      <c r="J197" s="1033" t="str">
        <f>IF(J$6="","",IF(NOT(ISNUMBER(_xll.ciqfunctions.udf.CIQ(J$6,$F$2, $A197, $I$2, $I$3))),IF(J196=J$6,"",J196),_xll.ciqfunctions.udf.CIQ(J$6,$F$2, $A197, $I$2, $I$3)))</f>
        <v/>
      </c>
      <c r="K197" s="1033" t="str">
        <f>IF(K$6="","",IF(NOT(ISNUMBER(_xll.ciqfunctions.udf.CIQ(K$6,$F$2, $A197, $I$2, $I$3))),IF(K196=K$6,"",K196),_xll.ciqfunctions.udf.CIQ(K$6,$F$2, $A197, $I$2, $I$3)))</f>
        <v/>
      </c>
      <c r="L197" s="254" t="str">
        <f>IF(L$6="","",IF(NOT(ISNUMBER(_xll.ciqfunctions.udf.CIQ(L$6,$F$2, $A197, $I$2, $I$3))),IF(L196=L$6,"",L196),_xll.ciqfunctions.udf.CIQ(L$6,$F$2, $A197, $I$2, $I$3)))</f>
        <v/>
      </c>
      <c r="M197" s="254" t="str">
        <f>IF(M$6="","",IF(NOT(ISNUMBER(_xll.ciqfunctions.udf.CIQ(M$6,$F$2, $A197, $I$2, $I$3))),IF(M196=M$6,"",M196),_xll.ciqfunctions.udf.CIQ(M$6,$F$2, $A197, $I$2, $I$3)))</f>
        <v/>
      </c>
      <c r="N197" s="254" t="str">
        <f>IF(N$6="","",IF(NOT(ISNUMBER(_xll.ciqfunctions.udf.CIQ(N$6,$F$2, $A197, $I$2, $I$3))),IF(N196=N$6,"",N196),_xll.ciqfunctions.udf.CIQ(N$6,$F$2, $A197, $I$2, $I$3)))</f>
        <v/>
      </c>
      <c r="O197" s="254" t="str">
        <f>IF(O$6="","",IF(NOT(ISNUMBER(_xll.ciqfunctions.udf.CIQ(O$6,$F$2, $A197, $I$2, $I$3))),IF(O196=O$6,"",O196),_xll.ciqfunctions.udf.CIQ(O$6,$F$2, $A197, $I$2, $I$3)))</f>
        <v/>
      </c>
      <c r="P197" s="254" t="str">
        <f>IF(P$6="","",IF(NOT(ISNUMBER(_xll.ciqfunctions.udf.CIQ(P$6,$F$2, $A197, $I$2, $I$3))),IF(P196=P$6,"",P196),_xll.ciqfunctions.udf.CIQ(P$6,$F$2, $A197, $I$2, $I$3)))</f>
        <v/>
      </c>
      <c r="Q197" s="254"/>
      <c r="R197" s="251">
        <f t="shared" si="94"/>
        <v>44155</v>
      </c>
      <c r="S197" s="255">
        <f t="shared" si="96"/>
        <v>1.0843507214206438</v>
      </c>
      <c r="T197" s="255">
        <f t="shared" si="97"/>
        <v>0.41621071492326189</v>
      </c>
      <c r="U197" s="255">
        <f t="shared" si="98"/>
        <v>0.36968718142937451</v>
      </c>
      <c r="V197" s="255">
        <f t="shared" si="112"/>
        <v>0.36110674923064545</v>
      </c>
      <c r="W197" s="255">
        <f t="array" ref="W197">IFERROR(AVERAGE(IF(ISERROR(X197:AG197),"",X197:AG197)),"")</f>
        <v>1.2727652215397458</v>
      </c>
      <c r="X197" s="255">
        <f t="shared" si="113"/>
        <v>1.2727652215397458</v>
      </c>
      <c r="Y197" s="255" t="e">
        <f t="shared" si="114"/>
        <v>#N/A</v>
      </c>
      <c r="Z197" s="255" t="e">
        <f t="shared" si="115"/>
        <v>#N/A</v>
      </c>
      <c r="AA197" s="255" t="e">
        <f t="shared" si="116"/>
        <v>#N/A</v>
      </c>
      <c r="AB197" s="255" t="e">
        <f t="shared" si="117"/>
        <v>#N/A</v>
      </c>
      <c r="AC197" s="255" t="e">
        <f t="shared" si="118"/>
        <v>#N/A</v>
      </c>
      <c r="AD197" s="255" t="e">
        <f t="shared" si="119"/>
        <v>#N/A</v>
      </c>
      <c r="AE197" s="255" t="e">
        <f t="shared" si="120"/>
        <v>#N/A</v>
      </c>
      <c r="AF197" s="255" t="e">
        <f t="shared" si="121"/>
        <v>#N/A</v>
      </c>
      <c r="AG197" s="255" t="e">
        <f t="shared" si="122"/>
        <v>#N/A</v>
      </c>
      <c r="AI197" s="251">
        <f t="shared" si="95"/>
        <v>44155</v>
      </c>
      <c r="AJ197" s="718">
        <f>IF(OR($B197="No",AJ$6=""),"",IF(NOT(ISNUMBER(_xll.ciqfunctions.udf.CIQ(AJ$6,"IQ_TEV",$AI197,$I$2,$I$3))),"",_xll.ciqfunctions.udf.CIQ(AJ$6,"IQ_TEV",$AI197,$I$2,$I$3)))</f>
        <v>485969.04141000001</v>
      </c>
      <c r="AK197" s="718">
        <f>IF(OR($B197="No",AK$6=""),"",IF(NOT(ISNUMBER(_xll.ciqfunctions.udf.CIQ(AK$6,"IQ_TEV",$AI197,$I$2,$I$3))),"",_xll.ciqfunctions.udf.CIQ(AK$6,"IQ_TEV",$AI197,$I$2,$I$3)))</f>
        <v>166362.82565000001</v>
      </c>
      <c r="AL197" s="718" t="str">
        <f>IF(OR($B197="No",AL$6=""),"",IF(NOT(ISNUMBER(_xll.ciqfunctions.udf.CIQ(AL$6,"IQ_TEV",$AI197,$I$2,$I$3))),"",_xll.ciqfunctions.udf.CIQ(AL$6,"IQ_TEV",$AI197,$I$2,$I$3)))</f>
        <v/>
      </c>
      <c r="AM197" s="718" t="str">
        <f>IF(OR($B197="No",AM$6=""),"",IF(NOT(ISNUMBER(_xll.ciqfunctions.udf.CIQ(AM$6,"IQ_TEV",$AI197,$I$2,$I$3))),"",_xll.ciqfunctions.udf.CIQ(AM$6,"IQ_TEV",$AI197,$I$2,$I$3)))</f>
        <v/>
      </c>
      <c r="AN197" s="718" t="str">
        <f>IF(OR($B197="No",AN$6=""),"",IF(NOT(ISNUMBER(_xll.ciqfunctions.udf.CIQ(AN$6,"IQ_TEV",$AI197,$I$2,$I$3))),"",_xll.ciqfunctions.udf.CIQ(AN$6,"IQ_TEV",$AI197,$I$2,$I$3)))</f>
        <v/>
      </c>
      <c r="AO197" s="718" t="str">
        <f>IF(OR($B197="No",AO$6=""),"",IF(NOT(ISNUMBER(_xll.ciqfunctions.udf.CIQ(AO$6,"IQ_TEV",$AI197,$I$2,$I$3))),"",_xll.ciqfunctions.udf.CIQ(AO$6,"IQ_TEV",$AI197,$I$2,$I$3)))</f>
        <v/>
      </c>
      <c r="AP197" s="718" t="str">
        <f>IF(OR($B197="No",AP$6=""),"",IF(NOT(ISNUMBER(_xll.ciqfunctions.udf.CIQ(AP$6,"IQ_TEV",$AI197,$I$2,$I$3))),"",_xll.ciqfunctions.udf.CIQ(AP$6,"IQ_TEV",$AI197,$I$2,$I$3)))</f>
        <v/>
      </c>
      <c r="AQ197" s="718" t="str">
        <f>IF(OR($B197="No",AQ$6=""),"",IF(NOT(ISNUMBER(_xll.ciqfunctions.udf.CIQ(AQ$6,"IQ_TEV",$AI197,$I$2,$I$3))),"",_xll.ciqfunctions.udf.CIQ(AQ$6,"IQ_TEV",$AI197,$I$2,$I$3)))</f>
        <v/>
      </c>
      <c r="AR197" s="718" t="str">
        <f>IF(OR($B197="No",AR$6=""),"",IF(NOT(ISNUMBER(_xll.ciqfunctions.udf.CIQ(AR$6,"IQ_TEV",$AI197,$I$2,$I$3))),"",_xll.ciqfunctions.udf.CIQ(AR$6,"IQ_TEV",$AI197,$I$2,$I$3)))</f>
        <v/>
      </c>
      <c r="AS197" s="718" t="str">
        <f>IF(OR($B197="No",AS$6=""),"",IF(NOT(ISNUMBER(_xll.ciqfunctions.udf.CIQ(AS$6,"IQ_TEV",$AI197,$I$2,$I$3))),"",_xll.ciqfunctions.udf.CIQ(AS$6,"IQ_TEV",$AI197,$I$2,$I$3)))</f>
        <v/>
      </c>
      <c r="AT197" s="718" t="str">
        <f>IF(OR($B197="No",AT$6=""),"",IF(NOT(ISNUMBER(_xll.ciqfunctions.udf.CIQ(AT$6,"IQ_TEV",$AI197,$I$2,$I$3))),"",_xll.ciqfunctions.udf.CIQ(AT$6,"IQ_TEV",$AI197,$I$2,$I$3)))</f>
        <v/>
      </c>
      <c r="AV197" s="251">
        <f t="shared" si="99"/>
        <v>44155</v>
      </c>
      <c r="AW197" s="719">
        <f t="shared" si="100"/>
        <v>0.86154170680543363</v>
      </c>
      <c r="AX197" s="719">
        <f t="shared" si="101"/>
        <v>1.279415917703226</v>
      </c>
      <c r="AY197" s="719" t="e">
        <f t="shared" si="102"/>
        <v>#N/A</v>
      </c>
      <c r="AZ197" s="719" t="e">
        <f t="shared" si="103"/>
        <v>#N/A</v>
      </c>
      <c r="BA197" s="719" t="e">
        <f t="shared" si="104"/>
        <v>#N/A</v>
      </c>
      <c r="BB197" s="719" t="e">
        <f t="shared" si="105"/>
        <v>#N/A</v>
      </c>
      <c r="BC197" s="719" t="e">
        <f t="shared" si="106"/>
        <v>#N/A</v>
      </c>
      <c r="BD197" s="719" t="e">
        <f t="shared" si="107"/>
        <v>#N/A</v>
      </c>
      <c r="BE197" s="719" t="e">
        <f t="shared" si="108"/>
        <v>#N/A</v>
      </c>
      <c r="BF197" s="719" t="e">
        <f t="shared" si="109"/>
        <v>#N/A</v>
      </c>
      <c r="BG197" s="719" t="e">
        <f t="shared" si="110"/>
        <v>#N/A</v>
      </c>
    </row>
    <row r="198" spans="1:59" ht="15" customHeight="1" x14ac:dyDescent="0.2">
      <c r="A198" s="251">
        <f t="shared" si="93"/>
        <v>44162</v>
      </c>
      <c r="B198" s="253" t="str">
        <f t="shared" si="111"/>
        <v>Yes</v>
      </c>
      <c r="C198" s="1033">
        <f>IF(C$6="","",IF(NOT(ISNUMBER(_xll.ciqfunctions.udf.CIQ(C$6,$F$2, $A198, $I$2, $I$3))),IF(C197=C$6,"",C197),_xll.ciqfunctions.udf.CIQ(C$6,$F$2, $A198, $I$2, $I$3)))</f>
        <v>151.6</v>
      </c>
      <c r="D198" s="1033">
        <f>IF(D$6="","",IF(NOT(ISNUMBER(_xll.ciqfunctions.udf.CIQ(D$6,$F$2, $A198, $I$2, $I$3))),IF(D197=D$6,"",D197),_xll.ciqfunctions.udf.CIQ(D$6,$F$2, $A198, $I$2, $I$3)))</f>
        <v>29910.372179999998</v>
      </c>
      <c r="E198" s="1033">
        <f>IF(E$6="","",IF(NOT(ISNUMBER(_xll.ciqfunctions.udf.CIQ(E$6,$F$2, $A198, $I$2, $I$3))),IF(E197=E$6,"",E197),_xll.ciqfunctions.udf.CIQ(E$6,$F$2, $A198, $I$2, $I$3)))</f>
        <v>9997.8314499999997</v>
      </c>
      <c r="F198" s="1033">
        <f>IF(F$6="","",IF(NOT(ISNUMBER(_xll.ciqfunctions.udf.CIQ(F$6,$F$2, $A198, $I$2, $I$3))),IF(F197=F$6,"",F197),_xll.ciqfunctions.udf.CIQ(F$6,$F$2, $A198, $I$2, $I$3)))</f>
        <v>6356.4184999999998</v>
      </c>
      <c r="G198" s="1033">
        <f>IF(G$6="","",IF(NOT(ISNUMBER(_xll.ciqfunctions.udf.CIQ(G$6,$F$2, $A198, $I$2, $I$3))),IF(G197=G$6,"",G197),_xll.ciqfunctions.udf.CIQ(G$6,$F$2, $A198, $I$2, $I$3)))</f>
        <v>388.39</v>
      </c>
      <c r="H198" s="1033" t="str">
        <f>IF(H$6="","",IF(NOT(ISNUMBER(_xll.ciqfunctions.udf.CIQ(H$6,$F$2, $A198, $I$2, $I$3))),IF(H197=H$6,"",H197),_xll.ciqfunctions.udf.CIQ(H$6,$F$2, $A198, $I$2, $I$3)))</f>
        <v/>
      </c>
      <c r="I198" s="1033" t="str">
        <f>IF(I$6="","",IF(NOT(ISNUMBER(_xll.ciqfunctions.udf.CIQ(I$6,$F$2, $A198, $I$2, $I$3))),IF(I197=I$6,"",I197),_xll.ciqfunctions.udf.CIQ(I$6,$F$2, $A198, $I$2, $I$3)))</f>
        <v/>
      </c>
      <c r="J198" s="1033" t="str">
        <f>IF(J$6="","",IF(NOT(ISNUMBER(_xll.ciqfunctions.udf.CIQ(J$6,$F$2, $A198, $I$2, $I$3))),IF(J197=J$6,"",J197),_xll.ciqfunctions.udf.CIQ(J$6,$F$2, $A198, $I$2, $I$3)))</f>
        <v/>
      </c>
      <c r="K198" s="1033" t="str">
        <f>IF(K$6="","",IF(NOT(ISNUMBER(_xll.ciqfunctions.udf.CIQ(K$6,$F$2, $A198, $I$2, $I$3))),IF(K197=K$6,"",K197),_xll.ciqfunctions.udf.CIQ(K$6,$F$2, $A198, $I$2, $I$3)))</f>
        <v/>
      </c>
      <c r="L198" s="254" t="str">
        <f>IF(L$6="","",IF(NOT(ISNUMBER(_xll.ciqfunctions.udf.CIQ(L$6,$F$2, $A198, $I$2, $I$3))),IF(L197=L$6,"",L197),_xll.ciqfunctions.udf.CIQ(L$6,$F$2, $A198, $I$2, $I$3)))</f>
        <v/>
      </c>
      <c r="M198" s="254" t="str">
        <f>IF(M$6="","",IF(NOT(ISNUMBER(_xll.ciqfunctions.udf.CIQ(M$6,$F$2, $A198, $I$2, $I$3))),IF(M197=M$6,"",M197),_xll.ciqfunctions.udf.CIQ(M$6,$F$2, $A198, $I$2, $I$3)))</f>
        <v/>
      </c>
      <c r="N198" s="254" t="str">
        <f>IF(N$6="","",IF(NOT(ISNUMBER(_xll.ciqfunctions.udf.CIQ(N$6,$F$2, $A198, $I$2, $I$3))),IF(N197=N$6,"",N197),_xll.ciqfunctions.udf.CIQ(N$6,$F$2, $A198, $I$2, $I$3)))</f>
        <v/>
      </c>
      <c r="O198" s="254" t="str">
        <f>IF(O$6="","",IF(NOT(ISNUMBER(_xll.ciqfunctions.udf.CIQ(O$6,$F$2, $A198, $I$2, $I$3))),IF(O197=O$6,"",O197),_xll.ciqfunctions.udf.CIQ(O$6,$F$2, $A198, $I$2, $I$3)))</f>
        <v/>
      </c>
      <c r="P198" s="254" t="str">
        <f>IF(P$6="","",IF(NOT(ISNUMBER(_xll.ciqfunctions.udf.CIQ(P$6,$F$2, $A198, $I$2, $I$3))),IF(P197=P$6,"",P197),_xll.ciqfunctions.udf.CIQ(P$6,$F$2, $A198, $I$2, $I$3)))</f>
        <v/>
      </c>
      <c r="Q198" s="254"/>
      <c r="R198" s="251">
        <f t="shared" si="94"/>
        <v>44162</v>
      </c>
      <c r="S198" s="255">
        <f t="shared" si="96"/>
        <v>1.1032186459489455</v>
      </c>
      <c r="T198" s="255">
        <f t="shared" si="97"/>
        <v>0.44751740753045977</v>
      </c>
      <c r="U198" s="255">
        <f t="shared" si="98"/>
        <v>0.39716063831507165</v>
      </c>
      <c r="V198" s="255">
        <f t="shared" si="112"/>
        <v>0.44801868058030769</v>
      </c>
      <c r="W198" s="255">
        <f t="array" ref="W198">IFERROR(AVERAGE(IF(ISERROR(X198:AG198),"",X198:AG198)),"")</f>
        <v>1.3161190291609519</v>
      </c>
      <c r="X198" s="255">
        <f t="shared" si="113"/>
        <v>1.3161190291609519</v>
      </c>
      <c r="Y198" s="255" t="e">
        <f t="shared" si="114"/>
        <v>#N/A</v>
      </c>
      <c r="Z198" s="255" t="e">
        <f t="shared" si="115"/>
        <v>#N/A</v>
      </c>
      <c r="AA198" s="255" t="e">
        <f t="shared" si="116"/>
        <v>#N/A</v>
      </c>
      <c r="AB198" s="255" t="e">
        <f t="shared" si="117"/>
        <v>#N/A</v>
      </c>
      <c r="AC198" s="255" t="e">
        <f t="shared" si="118"/>
        <v>#N/A</v>
      </c>
      <c r="AD198" s="255" t="e">
        <f t="shared" si="119"/>
        <v>#N/A</v>
      </c>
      <c r="AE198" s="255" t="e">
        <f t="shared" si="120"/>
        <v>#N/A</v>
      </c>
      <c r="AF198" s="255" t="e">
        <f t="shared" si="121"/>
        <v>#N/A</v>
      </c>
      <c r="AG198" s="255" t="e">
        <f t="shared" si="122"/>
        <v>#N/A</v>
      </c>
      <c r="AI198" s="251">
        <f t="shared" si="95"/>
        <v>44162</v>
      </c>
      <c r="AJ198" s="718">
        <f>IF(OR($B198="No",AJ$6=""),"",IF(NOT(ISNUMBER(_xll.ciqfunctions.udf.CIQ(AJ$6,"IQ_TEV",$AI198,$I$2,$I$3))),"",_xll.ciqfunctions.udf.CIQ(AJ$6,"IQ_TEV",$AI198,$I$2,$I$3)))</f>
        <v>489822.94540000003</v>
      </c>
      <c r="AK198" s="718">
        <f>IF(OR($B198="No",AK$6=""),"",IF(NOT(ISNUMBER(_xll.ciqfunctions.udf.CIQ(AK$6,"IQ_TEV",$AI198,$I$2,$I$3))),"",_xll.ciqfunctions.udf.CIQ(AK$6,"IQ_TEV",$AI198,$I$2,$I$3)))</f>
        <v>169570.55340999999</v>
      </c>
      <c r="AL198" s="718" t="str">
        <f>IF(OR($B198="No",AL$6=""),"",IF(NOT(ISNUMBER(_xll.ciqfunctions.udf.CIQ(AL$6,"IQ_TEV",$AI198,$I$2,$I$3))),"",_xll.ciqfunctions.udf.CIQ(AL$6,"IQ_TEV",$AI198,$I$2,$I$3)))</f>
        <v/>
      </c>
      <c r="AM198" s="718" t="str">
        <f>IF(OR($B198="No",AM$6=""),"",IF(NOT(ISNUMBER(_xll.ciqfunctions.udf.CIQ(AM$6,"IQ_TEV",$AI198,$I$2,$I$3))),"",_xll.ciqfunctions.udf.CIQ(AM$6,"IQ_TEV",$AI198,$I$2,$I$3)))</f>
        <v/>
      </c>
      <c r="AN198" s="718" t="str">
        <f>IF(OR($B198="No",AN$6=""),"",IF(NOT(ISNUMBER(_xll.ciqfunctions.udf.CIQ(AN$6,"IQ_TEV",$AI198,$I$2,$I$3))),"",_xll.ciqfunctions.udf.CIQ(AN$6,"IQ_TEV",$AI198,$I$2,$I$3)))</f>
        <v/>
      </c>
      <c r="AO198" s="718" t="str">
        <f>IF(OR($B198="No",AO$6=""),"",IF(NOT(ISNUMBER(_xll.ciqfunctions.udf.CIQ(AO$6,"IQ_TEV",$AI198,$I$2,$I$3))),"",_xll.ciqfunctions.udf.CIQ(AO$6,"IQ_TEV",$AI198,$I$2,$I$3)))</f>
        <v/>
      </c>
      <c r="AP198" s="718" t="str">
        <f>IF(OR($B198="No",AP$6=""),"",IF(NOT(ISNUMBER(_xll.ciqfunctions.udf.CIQ(AP$6,"IQ_TEV",$AI198,$I$2,$I$3))),"",_xll.ciqfunctions.udf.CIQ(AP$6,"IQ_TEV",$AI198,$I$2,$I$3)))</f>
        <v/>
      </c>
      <c r="AQ198" s="718" t="str">
        <f>IF(OR($B198="No",AQ$6=""),"",IF(NOT(ISNUMBER(_xll.ciqfunctions.udf.CIQ(AQ$6,"IQ_TEV",$AI198,$I$2,$I$3))),"",_xll.ciqfunctions.udf.CIQ(AQ$6,"IQ_TEV",$AI198,$I$2,$I$3)))</f>
        <v/>
      </c>
      <c r="AR198" s="718" t="str">
        <f>IF(OR($B198="No",AR$6=""),"",IF(NOT(ISNUMBER(_xll.ciqfunctions.udf.CIQ(AR$6,"IQ_TEV",$AI198,$I$2,$I$3))),"",_xll.ciqfunctions.udf.CIQ(AR$6,"IQ_TEV",$AI198,$I$2,$I$3)))</f>
        <v/>
      </c>
      <c r="AS198" s="718" t="str">
        <f>IF(OR($B198="No",AS$6=""),"",IF(NOT(ISNUMBER(_xll.ciqfunctions.udf.CIQ(AS$6,"IQ_TEV",$AI198,$I$2,$I$3))),"",_xll.ciqfunctions.udf.CIQ(AS$6,"IQ_TEV",$AI198,$I$2,$I$3)))</f>
        <v/>
      </c>
      <c r="AT198" s="718" t="str">
        <f>IF(OR($B198="No",AT$6=""),"",IF(NOT(ISNUMBER(_xll.ciqfunctions.udf.CIQ(AT$6,"IQ_TEV",$AI198,$I$2,$I$3))),"",_xll.ciqfunctions.udf.CIQ(AT$6,"IQ_TEV",$AI198,$I$2,$I$3)))</f>
        <v/>
      </c>
      <c r="AV198" s="251">
        <f t="shared" si="99"/>
        <v>44162</v>
      </c>
      <c r="AW198" s="719">
        <f t="shared" si="100"/>
        <v>0.87630438179105319</v>
      </c>
      <c r="AX198" s="719">
        <f t="shared" si="101"/>
        <v>1.3233665159647945</v>
      </c>
      <c r="AY198" s="719" t="e">
        <f t="shared" si="102"/>
        <v>#N/A</v>
      </c>
      <c r="AZ198" s="719" t="e">
        <f t="shared" si="103"/>
        <v>#N/A</v>
      </c>
      <c r="BA198" s="719" t="e">
        <f t="shared" si="104"/>
        <v>#N/A</v>
      </c>
      <c r="BB198" s="719" t="e">
        <f t="shared" si="105"/>
        <v>#N/A</v>
      </c>
      <c r="BC198" s="719" t="e">
        <f t="shared" si="106"/>
        <v>#N/A</v>
      </c>
      <c r="BD198" s="719" t="e">
        <f t="shared" si="107"/>
        <v>#N/A</v>
      </c>
      <c r="BE198" s="719" t="e">
        <f t="shared" si="108"/>
        <v>#N/A</v>
      </c>
      <c r="BF198" s="719" t="e">
        <f t="shared" si="109"/>
        <v>#N/A</v>
      </c>
      <c r="BG198" s="719" t="e">
        <f t="shared" si="110"/>
        <v>#N/A</v>
      </c>
    </row>
    <row r="199" spans="1:59" ht="15" customHeight="1" x14ac:dyDescent="0.2">
      <c r="A199" s="251">
        <f t="shared" ref="A199:A262" si="123">IF(WEEKDAY(A200-7)=7,A200-8,IF(WEEKDAY(A200-7)=1,A200-9,A200-7))</f>
        <v>44169</v>
      </c>
      <c r="B199" s="253" t="str">
        <f t="shared" si="111"/>
        <v>Yes</v>
      </c>
      <c r="C199" s="1033">
        <f>IF(C$6="","",IF(NOT(ISNUMBER(_xll.ciqfunctions.udf.CIQ(C$6,$F$2, $A199, $I$2, $I$3))),IF(C198=C$6,"",C198),_xll.ciqfunctions.udf.CIQ(C$6,$F$2, $A199, $I$2, $I$3)))</f>
        <v>148.91</v>
      </c>
      <c r="D199" s="1033">
        <f>IF(D$6="","",IF(NOT(ISNUMBER(_xll.ciqfunctions.udf.CIQ(D$6,$F$2, $A199, $I$2, $I$3))),IF(D198=D$6,"",D198),_xll.ciqfunctions.udf.CIQ(D$6,$F$2, $A199, $I$2, $I$3)))</f>
        <v>30218.260200000001</v>
      </c>
      <c r="E199" s="1033">
        <f>IF(E$6="","",IF(NOT(ISNUMBER(_xll.ciqfunctions.udf.CIQ(E$6,$F$2, $A199, $I$2, $I$3))),IF(E198=E$6,"",E198),_xll.ciqfunctions.udf.CIQ(E$6,$F$2, $A199, $I$2, $I$3)))</f>
        <v>10067.98308</v>
      </c>
      <c r="F199" s="1033">
        <f>IF(F$6="","",IF(NOT(ISNUMBER(_xll.ciqfunctions.udf.CIQ(F$6,$F$2, $A199, $I$2, $I$3))),IF(F198=F$6,"",F198),_xll.ciqfunctions.udf.CIQ(F$6,$F$2, $A199, $I$2, $I$3)))</f>
        <v>6455.3269700000001</v>
      </c>
      <c r="G199" s="1033">
        <f>IF(G$6="","",IF(NOT(ISNUMBER(_xll.ciqfunctions.udf.CIQ(G$6,$F$2, $A199, $I$2, $I$3))),IF(G198=G$6,"",G198),_xll.ciqfunctions.udf.CIQ(G$6,$F$2, $A199, $I$2, $I$3)))</f>
        <v>373.43</v>
      </c>
      <c r="H199" s="1033" t="str">
        <f>IF(H$6="","",IF(NOT(ISNUMBER(_xll.ciqfunctions.udf.CIQ(H$6,$F$2, $A199, $I$2, $I$3))),IF(H198=H$6,"",H198),_xll.ciqfunctions.udf.CIQ(H$6,$F$2, $A199, $I$2, $I$3)))</f>
        <v/>
      </c>
      <c r="I199" s="1033" t="str">
        <f>IF(I$6="","",IF(NOT(ISNUMBER(_xll.ciqfunctions.udf.CIQ(I$6,$F$2, $A199, $I$2, $I$3))),IF(I198=I$6,"",I198),_xll.ciqfunctions.udf.CIQ(I$6,$F$2, $A199, $I$2, $I$3)))</f>
        <v/>
      </c>
      <c r="J199" s="1033" t="str">
        <f>IF(J$6="","",IF(NOT(ISNUMBER(_xll.ciqfunctions.udf.CIQ(J$6,$F$2, $A199, $I$2, $I$3))),IF(J198=J$6,"",J198),_xll.ciqfunctions.udf.CIQ(J$6,$F$2, $A199, $I$2, $I$3)))</f>
        <v/>
      </c>
      <c r="K199" s="1033" t="str">
        <f>IF(K$6="","",IF(NOT(ISNUMBER(_xll.ciqfunctions.udf.CIQ(K$6,$F$2, $A199, $I$2, $I$3))),IF(K198=K$6,"",K198),_xll.ciqfunctions.udf.CIQ(K$6,$F$2, $A199, $I$2, $I$3)))</f>
        <v/>
      </c>
      <c r="L199" s="254" t="str">
        <f>IF(L$6="","",IF(NOT(ISNUMBER(_xll.ciqfunctions.udf.CIQ(L$6,$F$2, $A199, $I$2, $I$3))),IF(L198=L$6,"",L198),_xll.ciqfunctions.udf.CIQ(L$6,$F$2, $A199, $I$2, $I$3)))</f>
        <v/>
      </c>
      <c r="M199" s="254" t="str">
        <f>IF(M$6="","",IF(NOT(ISNUMBER(_xll.ciqfunctions.udf.CIQ(M$6,$F$2, $A199, $I$2, $I$3))),IF(M198=M$6,"",M198),_xll.ciqfunctions.udf.CIQ(M$6,$F$2, $A199, $I$2, $I$3)))</f>
        <v/>
      </c>
      <c r="N199" s="254" t="str">
        <f>IF(N$6="","",IF(NOT(ISNUMBER(_xll.ciqfunctions.udf.CIQ(N$6,$F$2, $A199, $I$2, $I$3))),IF(N198=N$6,"",N198),_xll.ciqfunctions.udf.CIQ(N$6,$F$2, $A199, $I$2, $I$3)))</f>
        <v/>
      </c>
      <c r="O199" s="254" t="str">
        <f>IF(O$6="","",IF(NOT(ISNUMBER(_xll.ciqfunctions.udf.CIQ(O$6,$F$2, $A199, $I$2, $I$3))),IF(O198=O$6,"",O198),_xll.ciqfunctions.udf.CIQ(O$6,$F$2, $A199, $I$2, $I$3)))</f>
        <v/>
      </c>
      <c r="P199" s="254" t="str">
        <f>IF(P$6="","",IF(NOT(ISNUMBER(_xll.ciqfunctions.udf.CIQ(P$6,$F$2, $A199, $I$2, $I$3))),IF(P198=P$6,"",P198),_xll.ciqfunctions.udf.CIQ(P$6,$F$2, $A199, $I$2, $I$3)))</f>
        <v/>
      </c>
      <c r="Q199" s="254"/>
      <c r="R199" s="251">
        <f t="shared" ref="R199:R267" si="124">A199</f>
        <v>44169</v>
      </c>
      <c r="S199" s="255">
        <f t="shared" si="96"/>
        <v>1.0658990011098779</v>
      </c>
      <c r="T199" s="255">
        <f t="shared" si="97"/>
        <v>0.46241769916969577</v>
      </c>
      <c r="U199" s="255">
        <f t="shared" si="98"/>
        <v>0.40696407385404965</v>
      </c>
      <c r="V199" s="255">
        <f t="shared" si="112"/>
        <v>0.47055044311728</v>
      </c>
      <c r="W199" s="255">
        <f t="array" ref="W199">IFERROR(AVERAGE(IF(ISERROR(X199:AG199),"",X199:AG199)),"")</f>
        <v>1.2269067922953067</v>
      </c>
      <c r="X199" s="255">
        <f t="shared" si="113"/>
        <v>1.2269067922953067</v>
      </c>
      <c r="Y199" s="255" t="e">
        <f t="shared" si="114"/>
        <v>#N/A</v>
      </c>
      <c r="Z199" s="255" t="e">
        <f t="shared" si="115"/>
        <v>#N/A</v>
      </c>
      <c r="AA199" s="255" t="e">
        <f t="shared" si="116"/>
        <v>#N/A</v>
      </c>
      <c r="AB199" s="255" t="e">
        <f t="shared" si="117"/>
        <v>#N/A</v>
      </c>
      <c r="AC199" s="255" t="e">
        <f t="shared" si="118"/>
        <v>#N/A</v>
      </c>
      <c r="AD199" s="255" t="e">
        <f t="shared" si="119"/>
        <v>#N/A</v>
      </c>
      <c r="AE199" s="255" t="e">
        <f t="shared" si="120"/>
        <v>#N/A</v>
      </c>
      <c r="AF199" s="255" t="e">
        <f t="shared" si="121"/>
        <v>#N/A</v>
      </c>
      <c r="AG199" s="255" t="e">
        <f t="shared" si="122"/>
        <v>#N/A</v>
      </c>
      <c r="AI199" s="251">
        <f t="shared" ref="AI199:AI267" si="125">R199</f>
        <v>44169</v>
      </c>
      <c r="AJ199" s="718">
        <f>IF(OR($B199="No",AJ$6=""),"",IF(NOT(ISNUMBER(_xll.ciqfunctions.udf.CIQ(AJ$6,"IQ_TEV",$AI199,$I$2,$I$3))),"",_xll.ciqfunctions.udf.CIQ(AJ$6,"IQ_TEV",$AI199,$I$2,$I$3)))</f>
        <v>482256.96724000003</v>
      </c>
      <c r="AK199" s="718">
        <f>IF(OR($B199="No",AK$6=""),"",IF(NOT(ISNUMBER(_xll.ciqfunctions.udf.CIQ(AK$6,"IQ_TEV",$AI199,$I$2,$I$3))),"",_xll.ciqfunctions.udf.CIQ(AK$6,"IQ_TEV",$AI199,$I$2,$I$3)))</f>
        <v>162969.78211999999</v>
      </c>
      <c r="AL199" s="718" t="str">
        <f>IF(OR($B199="No",AL$6=""),"",IF(NOT(ISNUMBER(_xll.ciqfunctions.udf.CIQ(AL$6,"IQ_TEV",$AI199,$I$2,$I$3))),"",_xll.ciqfunctions.udf.CIQ(AL$6,"IQ_TEV",$AI199,$I$2,$I$3)))</f>
        <v/>
      </c>
      <c r="AM199" s="718" t="str">
        <f>IF(OR($B199="No",AM$6=""),"",IF(NOT(ISNUMBER(_xll.ciqfunctions.udf.CIQ(AM$6,"IQ_TEV",$AI199,$I$2,$I$3))),"",_xll.ciqfunctions.udf.CIQ(AM$6,"IQ_TEV",$AI199,$I$2,$I$3)))</f>
        <v/>
      </c>
      <c r="AN199" s="718" t="str">
        <f>IF(OR($B199="No",AN$6=""),"",IF(NOT(ISNUMBER(_xll.ciqfunctions.udf.CIQ(AN$6,"IQ_TEV",$AI199,$I$2,$I$3))),"",_xll.ciqfunctions.udf.CIQ(AN$6,"IQ_TEV",$AI199,$I$2,$I$3)))</f>
        <v/>
      </c>
      <c r="AO199" s="718" t="str">
        <f>IF(OR($B199="No",AO$6=""),"",IF(NOT(ISNUMBER(_xll.ciqfunctions.udf.CIQ(AO$6,"IQ_TEV",$AI199,$I$2,$I$3))),"",_xll.ciqfunctions.udf.CIQ(AO$6,"IQ_TEV",$AI199,$I$2,$I$3)))</f>
        <v/>
      </c>
      <c r="AP199" s="718" t="str">
        <f>IF(OR($B199="No",AP$6=""),"",IF(NOT(ISNUMBER(_xll.ciqfunctions.udf.CIQ(AP$6,"IQ_TEV",$AI199,$I$2,$I$3))),"",_xll.ciqfunctions.udf.CIQ(AP$6,"IQ_TEV",$AI199,$I$2,$I$3)))</f>
        <v/>
      </c>
      <c r="AQ199" s="718" t="str">
        <f>IF(OR($B199="No",AQ$6=""),"",IF(NOT(ISNUMBER(_xll.ciqfunctions.udf.CIQ(AQ$6,"IQ_TEV",$AI199,$I$2,$I$3))),"",_xll.ciqfunctions.udf.CIQ(AQ$6,"IQ_TEV",$AI199,$I$2,$I$3)))</f>
        <v/>
      </c>
      <c r="AR199" s="718" t="str">
        <f>IF(OR($B199="No",AR$6=""),"",IF(NOT(ISNUMBER(_xll.ciqfunctions.udf.CIQ(AR$6,"IQ_TEV",$AI199,$I$2,$I$3))),"",_xll.ciqfunctions.udf.CIQ(AR$6,"IQ_TEV",$AI199,$I$2,$I$3)))</f>
        <v/>
      </c>
      <c r="AS199" s="718" t="str">
        <f>IF(OR($B199="No",AS$6=""),"",IF(NOT(ISNUMBER(_xll.ciqfunctions.udf.CIQ(AS$6,"IQ_TEV",$AI199,$I$2,$I$3))),"",_xll.ciqfunctions.udf.CIQ(AS$6,"IQ_TEV",$AI199,$I$2,$I$3)))</f>
        <v/>
      </c>
      <c r="AT199" s="718" t="str">
        <f>IF(OR($B199="No",AT$6=""),"",IF(NOT(ISNUMBER(_xll.ciqfunctions.udf.CIQ(AT$6,"IQ_TEV",$AI199,$I$2,$I$3))),"",_xll.ciqfunctions.udf.CIQ(AT$6,"IQ_TEV",$AI199,$I$2,$I$3)))</f>
        <v/>
      </c>
      <c r="AV199" s="251">
        <f t="shared" si="99"/>
        <v>44169</v>
      </c>
      <c r="AW199" s="719">
        <f t="shared" si="100"/>
        <v>0.84732232182946743</v>
      </c>
      <c r="AX199" s="719">
        <f t="shared" si="101"/>
        <v>1.232926220251144</v>
      </c>
      <c r="AY199" s="719" t="e">
        <f t="shared" si="102"/>
        <v>#N/A</v>
      </c>
      <c r="AZ199" s="719" t="e">
        <f t="shared" si="103"/>
        <v>#N/A</v>
      </c>
      <c r="BA199" s="719" t="e">
        <f t="shared" si="104"/>
        <v>#N/A</v>
      </c>
      <c r="BB199" s="719" t="e">
        <f t="shared" si="105"/>
        <v>#N/A</v>
      </c>
      <c r="BC199" s="719" t="e">
        <f t="shared" si="106"/>
        <v>#N/A</v>
      </c>
      <c r="BD199" s="719" t="e">
        <f t="shared" si="107"/>
        <v>#N/A</v>
      </c>
      <c r="BE199" s="719" t="e">
        <f t="shared" si="108"/>
        <v>#N/A</v>
      </c>
      <c r="BF199" s="719" t="e">
        <f t="shared" si="109"/>
        <v>#N/A</v>
      </c>
      <c r="BG199" s="719" t="e">
        <f t="shared" si="110"/>
        <v>#N/A</v>
      </c>
    </row>
    <row r="200" spans="1:59" ht="15" customHeight="1" x14ac:dyDescent="0.2">
      <c r="A200" s="251">
        <f t="shared" si="123"/>
        <v>44176</v>
      </c>
      <c r="B200" s="253" t="str">
        <f t="shared" si="111"/>
        <v>Yes</v>
      </c>
      <c r="C200" s="1033">
        <f>IF(C$6="","",IF(NOT(ISNUMBER(_xll.ciqfunctions.udf.CIQ(C$6,$F$2, $A200, $I$2, $I$3))),IF(C199=C$6,"",C199),_xll.ciqfunctions.udf.CIQ(C$6,$F$2, $A200, $I$2, $I$3)))</f>
        <v>147</v>
      </c>
      <c r="D200" s="1033">
        <f>IF(D$6="","",IF(NOT(ISNUMBER(_xll.ciqfunctions.udf.CIQ(D$6,$F$2, $A200, $I$2, $I$3))),IF(D199=D$6,"",D199),_xll.ciqfunctions.udf.CIQ(D$6,$F$2, $A200, $I$2, $I$3)))</f>
        <v>30046.370589999999</v>
      </c>
      <c r="E200" s="1033">
        <f>IF(E$6="","",IF(NOT(ISNUMBER(_xll.ciqfunctions.udf.CIQ(E$6,$F$2, $A200, $I$2, $I$3))),IF(E199=E$6,"",E199),_xll.ciqfunctions.udf.CIQ(E$6,$F$2, $A200, $I$2, $I$3)))</f>
        <v>10017.74554</v>
      </c>
      <c r="F200" s="1033">
        <f>IF(F$6="","",IF(NOT(ISNUMBER(_xll.ciqfunctions.udf.CIQ(F$6,$F$2, $A200, $I$2, $I$3))),IF(F199=F$6,"",F199),_xll.ciqfunctions.udf.CIQ(F$6,$F$2, $A200, $I$2, $I$3)))</f>
        <v>6358.7308400000002</v>
      </c>
      <c r="G200" s="1033">
        <f>IF(G$6="","",IF(NOT(ISNUMBER(_xll.ciqfunctions.udf.CIQ(G$6,$F$2, $A200, $I$2, $I$3))),IF(G199=G$6,"",G199),_xll.ciqfunctions.udf.CIQ(G$6,$F$2, $A200, $I$2, $I$3)))</f>
        <v>375.1</v>
      </c>
      <c r="H200" s="1033" t="str">
        <f>IF(H$6="","",IF(NOT(ISNUMBER(_xll.ciqfunctions.udf.CIQ(H$6,$F$2, $A200, $I$2, $I$3))),IF(H199=H$6,"",H199),_xll.ciqfunctions.udf.CIQ(H$6,$F$2, $A200, $I$2, $I$3)))</f>
        <v/>
      </c>
      <c r="I200" s="1033" t="str">
        <f>IF(I$6="","",IF(NOT(ISNUMBER(_xll.ciqfunctions.udf.CIQ(I$6,$F$2, $A200, $I$2, $I$3))),IF(I199=I$6,"",I199),_xll.ciqfunctions.udf.CIQ(I$6,$F$2, $A200, $I$2, $I$3)))</f>
        <v/>
      </c>
      <c r="J200" s="1033" t="str">
        <f>IF(J$6="","",IF(NOT(ISNUMBER(_xll.ciqfunctions.udf.CIQ(J$6,$F$2, $A200, $I$2, $I$3))),IF(J199=J$6,"",J199),_xll.ciqfunctions.udf.CIQ(J$6,$F$2, $A200, $I$2, $I$3)))</f>
        <v/>
      </c>
      <c r="K200" s="1033" t="str">
        <f>IF(K$6="","",IF(NOT(ISNUMBER(_xll.ciqfunctions.udf.CIQ(K$6,$F$2, $A200, $I$2, $I$3))),IF(K199=K$6,"",K199),_xll.ciqfunctions.udf.CIQ(K$6,$F$2, $A200, $I$2, $I$3)))</f>
        <v/>
      </c>
      <c r="L200" s="254" t="str">
        <f>IF(L$6="","",IF(NOT(ISNUMBER(_xll.ciqfunctions.udf.CIQ(L$6,$F$2, $A200, $I$2, $I$3))),IF(L199=L$6,"",L199),_xll.ciqfunctions.udf.CIQ(L$6,$F$2, $A200, $I$2, $I$3)))</f>
        <v/>
      </c>
      <c r="M200" s="254" t="str">
        <f>IF(M$6="","",IF(NOT(ISNUMBER(_xll.ciqfunctions.udf.CIQ(M$6,$F$2, $A200, $I$2, $I$3))),IF(M199=M$6,"",M199),_xll.ciqfunctions.udf.CIQ(M$6,$F$2, $A200, $I$2, $I$3)))</f>
        <v/>
      </c>
      <c r="N200" s="254" t="str">
        <f>IF(N$6="","",IF(NOT(ISNUMBER(_xll.ciqfunctions.udf.CIQ(N$6,$F$2, $A200, $I$2, $I$3))),IF(N199=N$6,"",N199),_xll.ciqfunctions.udf.CIQ(N$6,$F$2, $A200, $I$2, $I$3)))</f>
        <v/>
      </c>
      <c r="O200" s="254" t="str">
        <f>IF(O$6="","",IF(NOT(ISNUMBER(_xll.ciqfunctions.udf.CIQ(O$6,$F$2, $A200, $I$2, $I$3))),IF(O199=O$6,"",O199),_xll.ciqfunctions.udf.CIQ(O$6,$F$2, $A200, $I$2, $I$3)))</f>
        <v/>
      </c>
      <c r="P200" s="254" t="str">
        <f>IF(P$6="","",IF(NOT(ISNUMBER(_xll.ciqfunctions.udf.CIQ(P$6,$F$2, $A200, $I$2, $I$3))),IF(P199=P$6,"",P199),_xll.ciqfunctions.udf.CIQ(P$6,$F$2, $A200, $I$2, $I$3)))</f>
        <v/>
      </c>
      <c r="Q200" s="254"/>
      <c r="R200" s="251">
        <f t="shared" si="124"/>
        <v>44176</v>
      </c>
      <c r="S200" s="255">
        <f t="shared" ref="S200:S263" si="126">IFERROR(IF(C200="",NA(),IF(OR($B200="No",C200=""),NA(),IF(AND(ISNA(S199),C200=S$3),0,IF($A$2="Yes",C200/C199-1,C200/S$3-1)))),"")</f>
        <v>1.0394006659267481</v>
      </c>
      <c r="T200" s="255">
        <f t="shared" ref="T200:T263" si="127">IFERROR(IF(D200="",NA(),IF(OR($B200="No",D200=""),NA(),IF(AND(ISNA(T199),D200=T$3),0,IF($A$2="Yes",D200/D199-1,D200/T$3-1)))),"")</f>
        <v>0.45409907307065311</v>
      </c>
      <c r="U200" s="255">
        <f t="shared" ref="U200:U263" si="128">IFERROR(IF(E200="",NA(),IF(OR($B200="No",E200=""),NA(),IF(AND(ISNA(U199),E200=U$3),0,IF($A$2="Yes",E200/E199-1,E200/U$3-1)))),"")</f>
        <v>0.39994356007515619</v>
      </c>
      <c r="V200" s="255">
        <f t="shared" si="112"/>
        <v>0.44854544128932239</v>
      </c>
      <c r="W200" s="255">
        <f t="array" ref="W200">IFERROR(AVERAGE(IF(ISERROR(X200:AG200),"",X200:AG200)),"")</f>
        <v>1.2368656449400683</v>
      </c>
      <c r="X200" s="255">
        <f t="shared" si="113"/>
        <v>1.2368656449400683</v>
      </c>
      <c r="Y200" s="255" t="e">
        <f t="shared" si="114"/>
        <v>#N/A</v>
      </c>
      <c r="Z200" s="255" t="e">
        <f t="shared" si="115"/>
        <v>#N/A</v>
      </c>
      <c r="AA200" s="255" t="e">
        <f t="shared" si="116"/>
        <v>#N/A</v>
      </c>
      <c r="AB200" s="255" t="e">
        <f t="shared" si="117"/>
        <v>#N/A</v>
      </c>
      <c r="AC200" s="255" t="e">
        <f t="shared" si="118"/>
        <v>#N/A</v>
      </c>
      <c r="AD200" s="255" t="e">
        <f t="shared" si="119"/>
        <v>#N/A</v>
      </c>
      <c r="AE200" s="255" t="e">
        <f t="shared" si="120"/>
        <v>#N/A</v>
      </c>
      <c r="AF200" s="255" t="e">
        <f t="shared" si="121"/>
        <v>#N/A</v>
      </c>
      <c r="AG200" s="255" t="e">
        <f t="shared" si="122"/>
        <v>#N/A</v>
      </c>
      <c r="AI200" s="251">
        <f t="shared" si="125"/>
        <v>44176</v>
      </c>
      <c r="AJ200" s="718">
        <f>IF(OR($B200="No",AJ$6=""),"",IF(NOT(ISNUMBER(_xll.ciqfunctions.udf.CIQ(AJ$6,"IQ_TEV",$AI200,$I$2,$I$3))),"",_xll.ciqfunctions.udf.CIQ(AJ$6,"IQ_TEV",$AI200,$I$2,$I$3)))</f>
        <v>476853.03112</v>
      </c>
      <c r="AK200" s="718">
        <f>IF(OR($B200="No",AK$6=""),"",IF(NOT(ISNUMBER(_xll.ciqfunctions.udf.CIQ(AK$6,"IQ_TEV",$AI200,$I$2,$I$3))),"",_xll.ciqfunctions.udf.CIQ(AK$6,"IQ_TEV",$AI200,$I$2,$I$3)))</f>
        <v>162377.42050000001</v>
      </c>
      <c r="AL200" s="718" t="str">
        <f>IF(OR($B200="No",AL$6=""),"",IF(NOT(ISNUMBER(_xll.ciqfunctions.udf.CIQ(AL$6,"IQ_TEV",$AI200,$I$2,$I$3))),"",_xll.ciqfunctions.udf.CIQ(AL$6,"IQ_TEV",$AI200,$I$2,$I$3)))</f>
        <v/>
      </c>
      <c r="AM200" s="718" t="str">
        <f>IF(OR($B200="No",AM$6=""),"",IF(NOT(ISNUMBER(_xll.ciqfunctions.udf.CIQ(AM$6,"IQ_TEV",$AI200,$I$2,$I$3))),"",_xll.ciqfunctions.udf.CIQ(AM$6,"IQ_TEV",$AI200,$I$2,$I$3)))</f>
        <v/>
      </c>
      <c r="AN200" s="718" t="str">
        <f>IF(OR($B200="No",AN$6=""),"",IF(NOT(ISNUMBER(_xll.ciqfunctions.udf.CIQ(AN$6,"IQ_TEV",$AI200,$I$2,$I$3))),"",_xll.ciqfunctions.udf.CIQ(AN$6,"IQ_TEV",$AI200,$I$2,$I$3)))</f>
        <v/>
      </c>
      <c r="AO200" s="718" t="str">
        <f>IF(OR($B200="No",AO$6=""),"",IF(NOT(ISNUMBER(_xll.ciqfunctions.udf.CIQ(AO$6,"IQ_TEV",$AI200,$I$2,$I$3))),"",_xll.ciqfunctions.udf.CIQ(AO$6,"IQ_TEV",$AI200,$I$2,$I$3)))</f>
        <v/>
      </c>
      <c r="AP200" s="718" t="str">
        <f>IF(OR($B200="No",AP$6=""),"",IF(NOT(ISNUMBER(_xll.ciqfunctions.udf.CIQ(AP$6,"IQ_TEV",$AI200,$I$2,$I$3))),"",_xll.ciqfunctions.udf.CIQ(AP$6,"IQ_TEV",$AI200,$I$2,$I$3)))</f>
        <v/>
      </c>
      <c r="AQ200" s="718" t="str">
        <f>IF(OR($B200="No",AQ$6=""),"",IF(NOT(ISNUMBER(_xll.ciqfunctions.udf.CIQ(AQ$6,"IQ_TEV",$AI200,$I$2,$I$3))),"",_xll.ciqfunctions.udf.CIQ(AQ$6,"IQ_TEV",$AI200,$I$2,$I$3)))</f>
        <v/>
      </c>
      <c r="AR200" s="718" t="str">
        <f>IF(OR($B200="No",AR$6=""),"",IF(NOT(ISNUMBER(_xll.ciqfunctions.udf.CIQ(AR$6,"IQ_TEV",$AI200,$I$2,$I$3))),"",_xll.ciqfunctions.udf.CIQ(AR$6,"IQ_TEV",$AI200,$I$2,$I$3)))</f>
        <v/>
      </c>
      <c r="AS200" s="718" t="str">
        <f>IF(OR($B200="No",AS$6=""),"",IF(NOT(ISNUMBER(_xll.ciqfunctions.udf.CIQ(AS$6,"IQ_TEV",$AI200,$I$2,$I$3))),"",_xll.ciqfunctions.udf.CIQ(AS$6,"IQ_TEV",$AI200,$I$2,$I$3)))</f>
        <v/>
      </c>
      <c r="AT200" s="718" t="str">
        <f>IF(OR($B200="No",AT$6=""),"",IF(NOT(ISNUMBER(_xll.ciqfunctions.udf.CIQ(AT$6,"IQ_TEV",$AI200,$I$2,$I$3))),"",_xll.ciqfunctions.udf.CIQ(AT$6,"IQ_TEV",$AI200,$I$2,$I$3)))</f>
        <v/>
      </c>
      <c r="AV200" s="251">
        <f t="shared" ref="AV200:AV263" si="129">AI200</f>
        <v>44176</v>
      </c>
      <c r="AW200" s="719">
        <f t="shared" ref="AW200:AW267" si="130">IF(OR(AW$6="",$B200="No",AJ200=""),NA(),IF(AND(ISNA(AW199),ISNUMBER(AJ200)),0,IF($A$2="Yes",AJ200/AJ199-1,AJ200/AW$3-1)))</f>
        <v>0.82662212981907679</v>
      </c>
      <c r="AX200" s="719">
        <f t="shared" ref="AX200:AX267" si="131">IF(OR(AX$6="",$B200="No",AK200=""),NA(),IF(AND(ISNA(AX199),ISNUMBER(AK200)),0,IF($A$2="Yes",AK200/AK199-1,AK200/AX$3-1)))</f>
        <v>1.2248099929606489</v>
      </c>
      <c r="AY200" s="719" t="e">
        <f t="shared" ref="AY200:AY267" si="132">IF(OR(AY$6="",$B200="No",AL200=""),NA(),IF(AND(ISNA(AY199),ISNUMBER(AL200)),0,IF($A$2="Yes",AL200/AL199-1,AL200/AY$3-1)))</f>
        <v>#N/A</v>
      </c>
      <c r="AZ200" s="719" t="e">
        <f t="shared" ref="AZ200:AZ267" si="133">IF(OR(AZ$6="",$B200="No",AM200=""),NA(),IF(AND(ISNA(AZ199),ISNUMBER(AM200)),0,IF($A$2="Yes",AM200/AM199-1,AM200/AZ$3-1)))</f>
        <v>#N/A</v>
      </c>
      <c r="BA200" s="719" t="e">
        <f t="shared" ref="BA200:BA267" si="134">IF(OR(BA$6="",$B200="No",AN200=""),NA(),IF(AND(ISNA(BA199),ISNUMBER(AN200)),0,IF($A$2="Yes",AN200/AN199-1,AN200/BA$3-1)))</f>
        <v>#N/A</v>
      </c>
      <c r="BB200" s="719" t="e">
        <f t="shared" ref="BB200:BB267" si="135">IF(OR(BB$6="",$B200="No",AO200=""),NA(),IF(AND(ISNA(BB199),ISNUMBER(AO200)),0,IF($A$2="Yes",AO200/AO199-1,AO200/BB$3-1)))</f>
        <v>#N/A</v>
      </c>
      <c r="BC200" s="719" t="e">
        <f t="shared" ref="BC200:BC267" si="136">IF(OR(BC$6="",$B200="No",AP200=""),NA(),IF(AND(ISNA(BC199),ISNUMBER(AP200)),0,IF($A$2="Yes",AP200/AP199-1,AP200/BC$3-1)))</f>
        <v>#N/A</v>
      </c>
      <c r="BD200" s="719" t="e">
        <f t="shared" ref="BD200:BD267" si="137">IF(OR(BD$6="",$B200="No",AQ200=""),NA(),IF(AND(ISNA(BD199),ISNUMBER(AQ200)),0,IF($A$2="Yes",AQ200/AQ199-1,AQ200/BD$3-1)))</f>
        <v>#N/A</v>
      </c>
      <c r="BE200" s="719" t="e">
        <f t="shared" ref="BE200:BE267" si="138">IF(OR(BE$6="",$B200="No",AR200=""),NA(),IF(AND(ISNA(BE199),ISNUMBER(AR200)),0,IF($A$2="Yes",AR200/AR199-1,AR200/BE$3-1)))</f>
        <v>#N/A</v>
      </c>
      <c r="BF200" s="719" t="e">
        <f t="shared" ref="BF200:BF267" si="139">IF(OR(BF$6="",$B200="No",AS200=""),NA(),IF(AND(ISNA(BF199),ISNUMBER(AS200)),0,IF($A$2="Yes",AS200/AS199-1,AS200/BF$3-1)))</f>
        <v>#N/A</v>
      </c>
      <c r="BG200" s="719" t="e">
        <f t="shared" ref="BG200:BG267" si="140">IF(OR(BG$6="",$B200="No",AT200=""),NA(),IF(AND(ISNA(BG199),ISNUMBER(AT200)),0,IF($A$2="Yes",AT200/AT199-1,AT200/BG$3-1)))</f>
        <v>#N/A</v>
      </c>
    </row>
    <row r="201" spans="1:59" ht="15" customHeight="1" x14ac:dyDescent="0.2">
      <c r="A201" s="251">
        <f t="shared" si="123"/>
        <v>44183</v>
      </c>
      <c r="B201" s="253" t="str">
        <f t="shared" ref="B201:B264" si="141">IF(AND(B200="No",COUNT(C201:F201)=0),"No","Yes")</f>
        <v>Yes</v>
      </c>
      <c r="C201" s="1033">
        <f>IF(C$6="","",IF(NOT(ISNUMBER(_xll.ciqfunctions.udf.CIQ(C$6,$F$2, $A201, $I$2, $I$3))),IF(C200=C$6,"",C200),_xll.ciqfunctions.udf.CIQ(C$6,$F$2, $A201, $I$2, $I$3)))</f>
        <v>145.94999999999999</v>
      </c>
      <c r="D201" s="1033">
        <f>IF(D$6="","",IF(NOT(ISNUMBER(_xll.ciqfunctions.udf.CIQ(D$6,$F$2, $A201, $I$2, $I$3))),IF(D200=D$6,"",D200),_xll.ciqfunctions.udf.CIQ(D$6,$F$2, $A201, $I$2, $I$3)))</f>
        <v>30179.046340000001</v>
      </c>
      <c r="E201" s="1033">
        <f>IF(E$6="","",IF(NOT(ISNUMBER(_xll.ciqfunctions.udf.CIQ(E$6,$F$2, $A201, $I$2, $I$3))),IF(E200=E$6,"",E200),_xll.ciqfunctions.udf.CIQ(E$6,$F$2, $A201, $I$2, $I$3)))</f>
        <v>10024.911260000001</v>
      </c>
      <c r="F201" s="1033">
        <f>IF(F$6="","",IF(NOT(ISNUMBER(_xll.ciqfunctions.udf.CIQ(F$6,$F$2, $A201, $I$2, $I$3))),IF(F200=F$6,"",F200),_xll.ciqfunctions.udf.CIQ(F$6,$F$2, $A201, $I$2, $I$3)))</f>
        <v>6561.8484600000002</v>
      </c>
      <c r="G201" s="1033">
        <f>IF(G$6="","",IF(NOT(ISNUMBER(_xll.ciqfunctions.udf.CIQ(G$6,$F$2, $A201, $I$2, $I$3))),IF(G200=G$6,"",G200),_xll.ciqfunctions.udf.CIQ(G$6,$F$2, $A201, $I$2, $I$3)))</f>
        <v>367</v>
      </c>
      <c r="H201" s="1033" t="str">
        <f>IF(H$6="","",IF(NOT(ISNUMBER(_xll.ciqfunctions.udf.CIQ(H$6,$F$2, $A201, $I$2, $I$3))),IF(H200=H$6,"",H200),_xll.ciqfunctions.udf.CIQ(H$6,$F$2, $A201, $I$2, $I$3)))</f>
        <v/>
      </c>
      <c r="I201" s="1033" t="str">
        <f>IF(I$6="","",IF(NOT(ISNUMBER(_xll.ciqfunctions.udf.CIQ(I$6,$F$2, $A201, $I$2, $I$3))),IF(I200=I$6,"",I200),_xll.ciqfunctions.udf.CIQ(I$6,$F$2, $A201, $I$2, $I$3)))</f>
        <v/>
      </c>
      <c r="J201" s="1033" t="str">
        <f>IF(J$6="","",IF(NOT(ISNUMBER(_xll.ciqfunctions.udf.CIQ(J$6,$F$2, $A201, $I$2, $I$3))),IF(J200=J$6,"",J200),_xll.ciqfunctions.udf.CIQ(J$6,$F$2, $A201, $I$2, $I$3)))</f>
        <v/>
      </c>
      <c r="K201" s="1033" t="str">
        <f>IF(K$6="","",IF(NOT(ISNUMBER(_xll.ciqfunctions.udf.CIQ(K$6,$F$2, $A201, $I$2, $I$3))),IF(K200=K$6,"",K200),_xll.ciqfunctions.udf.CIQ(K$6,$F$2, $A201, $I$2, $I$3)))</f>
        <v/>
      </c>
      <c r="L201" s="254" t="str">
        <f>IF(L$6="","",IF(NOT(ISNUMBER(_xll.ciqfunctions.udf.CIQ(L$6,$F$2, $A201, $I$2, $I$3))),IF(L200=L$6,"",L200),_xll.ciqfunctions.udf.CIQ(L$6,$F$2, $A201, $I$2, $I$3)))</f>
        <v/>
      </c>
      <c r="M201" s="254" t="str">
        <f>IF(M$6="","",IF(NOT(ISNUMBER(_xll.ciqfunctions.udf.CIQ(M$6,$F$2, $A201, $I$2, $I$3))),IF(M200=M$6,"",M200),_xll.ciqfunctions.udf.CIQ(M$6,$F$2, $A201, $I$2, $I$3)))</f>
        <v/>
      </c>
      <c r="N201" s="254" t="str">
        <f>IF(N$6="","",IF(NOT(ISNUMBER(_xll.ciqfunctions.udf.CIQ(N$6,$F$2, $A201, $I$2, $I$3))),IF(N200=N$6,"",N200),_xll.ciqfunctions.udf.CIQ(N$6,$F$2, $A201, $I$2, $I$3)))</f>
        <v/>
      </c>
      <c r="O201" s="254" t="str">
        <f>IF(O$6="","",IF(NOT(ISNUMBER(_xll.ciqfunctions.udf.CIQ(O$6,$F$2, $A201, $I$2, $I$3))),IF(O200=O$6,"",O200),_xll.ciqfunctions.udf.CIQ(O$6,$F$2, $A201, $I$2, $I$3)))</f>
        <v/>
      </c>
      <c r="P201" s="254" t="str">
        <f>IF(P$6="","",IF(NOT(ISNUMBER(_xll.ciqfunctions.udf.CIQ(P$6,$F$2, $A201, $I$2, $I$3))),IF(P200=P$6,"",P200),_xll.ciqfunctions.udf.CIQ(P$6,$F$2, $A201, $I$2, $I$3)))</f>
        <v/>
      </c>
      <c r="Q201" s="254"/>
      <c r="R201" s="251">
        <f t="shared" si="124"/>
        <v>44183</v>
      </c>
      <c r="S201" s="255">
        <f t="shared" si="126"/>
        <v>1.0248335183129855</v>
      </c>
      <c r="T201" s="255">
        <f t="shared" si="127"/>
        <v>0.46051993793072254</v>
      </c>
      <c r="U201" s="255">
        <f t="shared" si="128"/>
        <v>0.40094494342306097</v>
      </c>
      <c r="V201" s="255">
        <f t="shared" ref="V201:V264" si="142">IFERROR(IF(F201="",NA(),IF(OR($B201="No",F201=""),NA(),IF(AND(ISNA(V200),F201=V$3),0,IF($A$2="Yes",F201/F200-1,F201/V$3-1)))),"")</f>
        <v>0.49481648340447126</v>
      </c>
      <c r="W201" s="255">
        <f t="array" ref="W201">IFERROR(AVERAGE(IF(ISERROR(X201:AG201),"",X201:AG201)),"")</f>
        <v>1.1885622279205679</v>
      </c>
      <c r="X201" s="255">
        <f t="shared" ref="X201:X264" si="143">IF(G201="",NA(),IF(OR($B201="No",G201=""),NA(),IF(AND(ISNA(X200),G201=X$3),0,IF($A$2="Yes",G201/G200-1,G201/X$3-1))))</f>
        <v>1.1885622279205679</v>
      </c>
      <c r="Y201" s="255" t="e">
        <f t="shared" si="114"/>
        <v>#N/A</v>
      </c>
      <c r="Z201" s="255" t="e">
        <f t="shared" si="115"/>
        <v>#N/A</v>
      </c>
      <c r="AA201" s="255" t="e">
        <f t="shared" si="116"/>
        <v>#N/A</v>
      </c>
      <c r="AB201" s="255" t="e">
        <f t="shared" si="117"/>
        <v>#N/A</v>
      </c>
      <c r="AC201" s="255" t="e">
        <f t="shared" si="118"/>
        <v>#N/A</v>
      </c>
      <c r="AD201" s="255" t="e">
        <f t="shared" si="119"/>
        <v>#N/A</v>
      </c>
      <c r="AE201" s="255" t="e">
        <f t="shared" si="120"/>
        <v>#N/A</v>
      </c>
      <c r="AF201" s="255" t="e">
        <f t="shared" si="121"/>
        <v>#N/A</v>
      </c>
      <c r="AG201" s="255" t="e">
        <f t="shared" si="122"/>
        <v>#N/A</v>
      </c>
      <c r="AI201" s="251">
        <f t="shared" si="125"/>
        <v>44183</v>
      </c>
      <c r="AJ201" s="718">
        <f>IF(OR($B201="No",AJ$6=""),"",IF(NOT(ISNUMBER(_xll.ciqfunctions.udf.CIQ(AJ$6,"IQ_TEV",$AI201,$I$2,$I$3))),"",_xll.ciqfunctions.udf.CIQ(AJ$6,"IQ_TEV",$AI201,$I$2,$I$3)))</f>
        <v>473882.28090000001</v>
      </c>
      <c r="AK201" s="718">
        <f>IF(OR($B201="No",AK$6=""),"",IF(NOT(ISNUMBER(_xll.ciqfunctions.udf.CIQ(AK$6,"IQ_TEV",$AI201,$I$2,$I$3))),"",_xll.ciqfunctions.udf.CIQ(AK$6,"IQ_TEV",$AI201,$I$2,$I$3)))</f>
        <v>158789.56904</v>
      </c>
      <c r="AL201" s="718" t="str">
        <f>IF(OR($B201="No",AL$6=""),"",IF(NOT(ISNUMBER(_xll.ciqfunctions.udf.CIQ(AL$6,"IQ_TEV",$AI201,$I$2,$I$3))),"",_xll.ciqfunctions.udf.CIQ(AL$6,"IQ_TEV",$AI201,$I$2,$I$3)))</f>
        <v/>
      </c>
      <c r="AM201" s="718" t="str">
        <f>IF(OR($B201="No",AM$6=""),"",IF(NOT(ISNUMBER(_xll.ciqfunctions.udf.CIQ(AM$6,"IQ_TEV",$AI201,$I$2,$I$3))),"",_xll.ciqfunctions.udf.CIQ(AM$6,"IQ_TEV",$AI201,$I$2,$I$3)))</f>
        <v/>
      </c>
      <c r="AN201" s="718" t="str">
        <f>IF(OR($B201="No",AN$6=""),"",IF(NOT(ISNUMBER(_xll.ciqfunctions.udf.CIQ(AN$6,"IQ_TEV",$AI201,$I$2,$I$3))),"",_xll.ciqfunctions.udf.CIQ(AN$6,"IQ_TEV",$AI201,$I$2,$I$3)))</f>
        <v/>
      </c>
      <c r="AO201" s="718" t="str">
        <f>IF(OR($B201="No",AO$6=""),"",IF(NOT(ISNUMBER(_xll.ciqfunctions.udf.CIQ(AO$6,"IQ_TEV",$AI201,$I$2,$I$3))),"",_xll.ciqfunctions.udf.CIQ(AO$6,"IQ_TEV",$AI201,$I$2,$I$3)))</f>
        <v/>
      </c>
      <c r="AP201" s="718" t="str">
        <f>IF(OR($B201="No",AP$6=""),"",IF(NOT(ISNUMBER(_xll.ciqfunctions.udf.CIQ(AP$6,"IQ_TEV",$AI201,$I$2,$I$3))),"",_xll.ciqfunctions.udf.CIQ(AP$6,"IQ_TEV",$AI201,$I$2,$I$3)))</f>
        <v/>
      </c>
      <c r="AQ201" s="718" t="str">
        <f>IF(OR($B201="No",AQ$6=""),"",IF(NOT(ISNUMBER(_xll.ciqfunctions.udf.CIQ(AQ$6,"IQ_TEV",$AI201,$I$2,$I$3))),"",_xll.ciqfunctions.udf.CIQ(AQ$6,"IQ_TEV",$AI201,$I$2,$I$3)))</f>
        <v/>
      </c>
      <c r="AR201" s="718" t="str">
        <f>IF(OR($B201="No",AR$6=""),"",IF(NOT(ISNUMBER(_xll.ciqfunctions.udf.CIQ(AR$6,"IQ_TEV",$AI201,$I$2,$I$3))),"",_xll.ciqfunctions.udf.CIQ(AR$6,"IQ_TEV",$AI201,$I$2,$I$3)))</f>
        <v/>
      </c>
      <c r="AS201" s="718" t="str">
        <f>IF(OR($B201="No",AS$6=""),"",IF(NOT(ISNUMBER(_xll.ciqfunctions.udf.CIQ(AS$6,"IQ_TEV",$AI201,$I$2,$I$3))),"",_xll.ciqfunctions.udf.CIQ(AS$6,"IQ_TEV",$AI201,$I$2,$I$3)))</f>
        <v/>
      </c>
      <c r="AT201" s="718" t="str">
        <f>IF(OR($B201="No",AT$6=""),"",IF(NOT(ISNUMBER(_xll.ciqfunctions.udf.CIQ(AT$6,"IQ_TEV",$AI201,$I$2,$I$3))),"",_xll.ciqfunctions.udf.CIQ(AT$6,"IQ_TEV",$AI201,$I$2,$I$3)))</f>
        <v/>
      </c>
      <c r="AV201" s="251">
        <f t="shared" si="129"/>
        <v>44183</v>
      </c>
      <c r="AW201" s="719">
        <f t="shared" si="130"/>
        <v>0.81524244312342642</v>
      </c>
      <c r="AX201" s="719">
        <f t="shared" si="131"/>
        <v>1.1756511397353231</v>
      </c>
      <c r="AY201" s="719" t="e">
        <f t="shared" si="132"/>
        <v>#N/A</v>
      </c>
      <c r="AZ201" s="719" t="e">
        <f t="shared" si="133"/>
        <v>#N/A</v>
      </c>
      <c r="BA201" s="719" t="e">
        <f t="shared" si="134"/>
        <v>#N/A</v>
      </c>
      <c r="BB201" s="719" t="e">
        <f t="shared" si="135"/>
        <v>#N/A</v>
      </c>
      <c r="BC201" s="719" t="e">
        <f t="shared" si="136"/>
        <v>#N/A</v>
      </c>
      <c r="BD201" s="719" t="e">
        <f t="shared" si="137"/>
        <v>#N/A</v>
      </c>
      <c r="BE201" s="719" t="e">
        <f t="shared" si="138"/>
        <v>#N/A</v>
      </c>
      <c r="BF201" s="719" t="e">
        <f t="shared" si="139"/>
        <v>#N/A</v>
      </c>
      <c r="BG201" s="719" t="e">
        <f t="shared" si="140"/>
        <v>#N/A</v>
      </c>
    </row>
    <row r="202" spans="1:59" ht="15" customHeight="1" x14ac:dyDescent="0.2">
      <c r="A202" s="251">
        <f t="shared" si="123"/>
        <v>44190</v>
      </c>
      <c r="B202" s="253" t="str">
        <f t="shared" si="141"/>
        <v>Yes</v>
      </c>
      <c r="C202" s="1033">
        <f>IF(C$6="","",IF(NOT(ISNUMBER(_xll.ciqfunctions.udf.CIQ(C$6,$F$2, $A202, $I$2, $I$3))),IF(C201=C$6,"",C201),_xll.ciqfunctions.udf.CIQ(C$6,$F$2, $A202, $I$2, $I$3)))</f>
        <v>143.5</v>
      </c>
      <c r="D202" s="1033">
        <f>IF(D$6="","",IF(NOT(ISNUMBER(_xll.ciqfunctions.udf.CIQ(D$6,$F$2, $A202, $I$2, $I$3))),IF(D201=D$6,"",D201),_xll.ciqfunctions.udf.CIQ(D$6,$F$2, $A202, $I$2, $I$3)))</f>
        <v>30199.870480000001</v>
      </c>
      <c r="E202" s="1033">
        <f>IF(E$6="","",IF(NOT(ISNUMBER(_xll.ciqfunctions.udf.CIQ(E$6,$F$2, $A202, $I$2, $I$3))),IF(E201=E$6,"",E201),_xll.ciqfunctions.udf.CIQ(E$6,$F$2, $A202, $I$2, $I$3)))</f>
        <v>10000.94586</v>
      </c>
      <c r="F202" s="1033">
        <f>IF(F$6="","",IF(NOT(ISNUMBER(_xll.ciqfunctions.udf.CIQ(F$6,$F$2, $A202, $I$2, $I$3))),IF(F201=F$6,"",F201),_xll.ciqfunctions.udf.CIQ(F$6,$F$2, $A202, $I$2, $I$3)))</f>
        <v>6736.5986000000003</v>
      </c>
      <c r="G202" s="1033">
        <f>IF(G$6="","",IF(NOT(ISNUMBER(_xll.ciqfunctions.udf.CIQ(G$6,$F$2, $A202, $I$2, $I$3))),IF(G201=G$6,"",G201),_xll.ciqfunctions.udf.CIQ(G$6,$F$2, $A202, $I$2, $I$3)))</f>
        <v>364.58</v>
      </c>
      <c r="H202" s="1033" t="str">
        <f>IF(H$6="","",IF(NOT(ISNUMBER(_xll.ciqfunctions.udf.CIQ(H$6,$F$2, $A202, $I$2, $I$3))),IF(H201=H$6,"",H201),_xll.ciqfunctions.udf.CIQ(H$6,$F$2, $A202, $I$2, $I$3)))</f>
        <v/>
      </c>
      <c r="I202" s="1033" t="str">
        <f>IF(I$6="","",IF(NOT(ISNUMBER(_xll.ciqfunctions.udf.CIQ(I$6,$F$2, $A202, $I$2, $I$3))),IF(I201=I$6,"",I201),_xll.ciqfunctions.udf.CIQ(I$6,$F$2, $A202, $I$2, $I$3)))</f>
        <v/>
      </c>
      <c r="J202" s="1033" t="str">
        <f>IF(J$6="","",IF(NOT(ISNUMBER(_xll.ciqfunctions.udf.CIQ(J$6,$F$2, $A202, $I$2, $I$3))),IF(J201=J$6,"",J201),_xll.ciqfunctions.udf.CIQ(J$6,$F$2, $A202, $I$2, $I$3)))</f>
        <v/>
      </c>
      <c r="K202" s="1033" t="str">
        <f>IF(K$6="","",IF(NOT(ISNUMBER(_xll.ciqfunctions.udf.CIQ(K$6,$F$2, $A202, $I$2, $I$3))),IF(K201=K$6,"",K201),_xll.ciqfunctions.udf.CIQ(K$6,$F$2, $A202, $I$2, $I$3)))</f>
        <v/>
      </c>
      <c r="L202" s="254" t="str">
        <f>IF(L$6="","",IF(NOT(ISNUMBER(_xll.ciqfunctions.udf.CIQ(L$6,$F$2, $A202, $I$2, $I$3))),IF(L201=L$6,"",L201),_xll.ciqfunctions.udf.CIQ(L$6,$F$2, $A202, $I$2, $I$3)))</f>
        <v/>
      </c>
      <c r="M202" s="254" t="str">
        <f>IF(M$6="","",IF(NOT(ISNUMBER(_xll.ciqfunctions.udf.CIQ(M$6,$F$2, $A202, $I$2, $I$3))),IF(M201=M$6,"",M201),_xll.ciqfunctions.udf.CIQ(M$6,$F$2, $A202, $I$2, $I$3)))</f>
        <v/>
      </c>
      <c r="N202" s="254" t="str">
        <f>IF(N$6="","",IF(NOT(ISNUMBER(_xll.ciqfunctions.udf.CIQ(N$6,$F$2, $A202, $I$2, $I$3))),IF(N201=N$6,"",N201),_xll.ciqfunctions.udf.CIQ(N$6,$F$2, $A202, $I$2, $I$3)))</f>
        <v/>
      </c>
      <c r="O202" s="254" t="str">
        <f>IF(O$6="","",IF(NOT(ISNUMBER(_xll.ciqfunctions.udf.CIQ(O$6,$F$2, $A202, $I$2, $I$3))),IF(O201=O$6,"",O201),_xll.ciqfunctions.udf.CIQ(O$6,$F$2, $A202, $I$2, $I$3)))</f>
        <v/>
      </c>
      <c r="P202" s="254" t="str">
        <f>IF(P$6="","",IF(NOT(ISNUMBER(_xll.ciqfunctions.udf.CIQ(P$6,$F$2, $A202, $I$2, $I$3))),IF(P201=P$6,"",P201),_xll.ciqfunctions.udf.CIQ(P$6,$F$2, $A202, $I$2, $I$3)))</f>
        <v/>
      </c>
      <c r="Q202" s="254"/>
      <c r="R202" s="251">
        <f t="shared" si="124"/>
        <v>44190</v>
      </c>
      <c r="S202" s="255">
        <f t="shared" si="126"/>
        <v>0.99084350721420655</v>
      </c>
      <c r="T202" s="255">
        <f t="shared" si="127"/>
        <v>0.46152772562943301</v>
      </c>
      <c r="U202" s="255">
        <f t="shared" si="128"/>
        <v>0.39759586580268591</v>
      </c>
      <c r="V202" s="255">
        <f t="shared" si="142"/>
        <v>0.53462529510464885</v>
      </c>
      <c r="W202" s="255">
        <f t="array" ref="W202">IFERROR(AVERAGE(IF(ISERROR(X202:AG202),"",X202:AG202)),"")</f>
        <v>1.17413083666289</v>
      </c>
      <c r="X202" s="255">
        <f t="shared" si="143"/>
        <v>1.17413083666289</v>
      </c>
      <c r="Y202" s="255" t="e">
        <f t="shared" si="114"/>
        <v>#N/A</v>
      </c>
      <c r="Z202" s="255" t="e">
        <f t="shared" si="115"/>
        <v>#N/A</v>
      </c>
      <c r="AA202" s="255" t="e">
        <f t="shared" si="116"/>
        <v>#N/A</v>
      </c>
      <c r="AB202" s="255" t="e">
        <f t="shared" si="117"/>
        <v>#N/A</v>
      </c>
      <c r="AC202" s="255" t="e">
        <f t="shared" si="118"/>
        <v>#N/A</v>
      </c>
      <c r="AD202" s="255" t="e">
        <f t="shared" si="119"/>
        <v>#N/A</v>
      </c>
      <c r="AE202" s="255" t="e">
        <f t="shared" si="120"/>
        <v>#N/A</v>
      </c>
      <c r="AF202" s="255" t="e">
        <f t="shared" si="121"/>
        <v>#N/A</v>
      </c>
      <c r="AG202" s="255" t="e">
        <f t="shared" si="122"/>
        <v>#N/A</v>
      </c>
      <c r="AI202" s="251">
        <f t="shared" si="125"/>
        <v>44190</v>
      </c>
      <c r="AJ202" s="718">
        <f>IF(OR($B202="No",AJ$6=""),"",IF(NOT(ISNUMBER(_xll.ciqfunctions.udf.CIQ(AJ$6,"IQ_TEV",$AI202,$I$2,$I$3))),"",_xll.ciqfunctions.udf.CIQ(AJ$6,"IQ_TEV",$AI202,$I$2,$I$3)))</f>
        <v>466950.53038000001</v>
      </c>
      <c r="AK202" s="718">
        <f>IF(OR($B202="No",AK$6=""),"",IF(NOT(ISNUMBER(_xll.ciqfunctions.udf.CIQ(AK$6,"IQ_TEV",$AI202,$I$2,$I$3))),"",_xll.ciqfunctions.udf.CIQ(AK$6,"IQ_TEV",$AI202,$I$2,$I$3)))</f>
        <v>157717.61739</v>
      </c>
      <c r="AL202" s="718" t="str">
        <f>IF(OR($B202="No",AL$6=""),"",IF(NOT(ISNUMBER(_xll.ciqfunctions.udf.CIQ(AL$6,"IQ_TEV",$AI202,$I$2,$I$3))),"",_xll.ciqfunctions.udf.CIQ(AL$6,"IQ_TEV",$AI202,$I$2,$I$3)))</f>
        <v/>
      </c>
      <c r="AM202" s="718" t="str">
        <f>IF(OR($B202="No",AM$6=""),"",IF(NOT(ISNUMBER(_xll.ciqfunctions.udf.CIQ(AM$6,"IQ_TEV",$AI202,$I$2,$I$3))),"",_xll.ciqfunctions.udf.CIQ(AM$6,"IQ_TEV",$AI202,$I$2,$I$3)))</f>
        <v/>
      </c>
      <c r="AN202" s="718" t="str">
        <f>IF(OR($B202="No",AN$6=""),"",IF(NOT(ISNUMBER(_xll.ciqfunctions.udf.CIQ(AN$6,"IQ_TEV",$AI202,$I$2,$I$3))),"",_xll.ciqfunctions.udf.CIQ(AN$6,"IQ_TEV",$AI202,$I$2,$I$3)))</f>
        <v/>
      </c>
      <c r="AO202" s="718" t="str">
        <f>IF(OR($B202="No",AO$6=""),"",IF(NOT(ISNUMBER(_xll.ciqfunctions.udf.CIQ(AO$6,"IQ_TEV",$AI202,$I$2,$I$3))),"",_xll.ciqfunctions.udf.CIQ(AO$6,"IQ_TEV",$AI202,$I$2,$I$3)))</f>
        <v/>
      </c>
      <c r="AP202" s="718" t="str">
        <f>IF(OR($B202="No",AP$6=""),"",IF(NOT(ISNUMBER(_xll.ciqfunctions.udf.CIQ(AP$6,"IQ_TEV",$AI202,$I$2,$I$3))),"",_xll.ciqfunctions.udf.CIQ(AP$6,"IQ_TEV",$AI202,$I$2,$I$3)))</f>
        <v/>
      </c>
      <c r="AQ202" s="718" t="str">
        <f>IF(OR($B202="No",AQ$6=""),"",IF(NOT(ISNUMBER(_xll.ciqfunctions.udf.CIQ(AQ$6,"IQ_TEV",$AI202,$I$2,$I$3))),"",_xll.ciqfunctions.udf.CIQ(AQ$6,"IQ_TEV",$AI202,$I$2,$I$3)))</f>
        <v/>
      </c>
      <c r="AR202" s="718" t="str">
        <f>IF(OR($B202="No",AR$6=""),"",IF(NOT(ISNUMBER(_xll.ciqfunctions.udf.CIQ(AR$6,"IQ_TEV",$AI202,$I$2,$I$3))),"",_xll.ciqfunctions.udf.CIQ(AR$6,"IQ_TEV",$AI202,$I$2,$I$3)))</f>
        <v/>
      </c>
      <c r="AS202" s="718" t="str">
        <f>IF(OR($B202="No",AS$6=""),"",IF(NOT(ISNUMBER(_xll.ciqfunctions.udf.CIQ(AS$6,"IQ_TEV",$AI202,$I$2,$I$3))),"",_xll.ciqfunctions.udf.CIQ(AS$6,"IQ_TEV",$AI202,$I$2,$I$3)))</f>
        <v/>
      </c>
      <c r="AT202" s="718" t="str">
        <f>IF(OR($B202="No",AT$6=""),"",IF(NOT(ISNUMBER(_xll.ciqfunctions.udf.CIQ(AT$6,"IQ_TEV",$AI202,$I$2,$I$3))),"",_xll.ciqfunctions.udf.CIQ(AT$6,"IQ_TEV",$AI202,$I$2,$I$3)))</f>
        <v/>
      </c>
      <c r="AV202" s="251">
        <f t="shared" si="129"/>
        <v>44190</v>
      </c>
      <c r="AW202" s="719">
        <f t="shared" si="130"/>
        <v>0.78868984080803806</v>
      </c>
      <c r="AX202" s="719">
        <f t="shared" si="131"/>
        <v>1.1609638221541778</v>
      </c>
      <c r="AY202" s="719" t="e">
        <f t="shared" si="132"/>
        <v>#N/A</v>
      </c>
      <c r="AZ202" s="719" t="e">
        <f t="shared" si="133"/>
        <v>#N/A</v>
      </c>
      <c r="BA202" s="719" t="e">
        <f t="shared" si="134"/>
        <v>#N/A</v>
      </c>
      <c r="BB202" s="719" t="e">
        <f t="shared" si="135"/>
        <v>#N/A</v>
      </c>
      <c r="BC202" s="719" t="e">
        <f t="shared" si="136"/>
        <v>#N/A</v>
      </c>
      <c r="BD202" s="719" t="e">
        <f t="shared" si="137"/>
        <v>#N/A</v>
      </c>
      <c r="BE202" s="719" t="e">
        <f t="shared" si="138"/>
        <v>#N/A</v>
      </c>
      <c r="BF202" s="719" t="e">
        <f t="shared" si="139"/>
        <v>#N/A</v>
      </c>
      <c r="BG202" s="719" t="e">
        <f t="shared" si="140"/>
        <v>#N/A</v>
      </c>
    </row>
    <row r="203" spans="1:59" ht="15" customHeight="1" x14ac:dyDescent="0.2">
      <c r="A203" s="251">
        <f t="shared" si="123"/>
        <v>44197</v>
      </c>
      <c r="B203" s="253" t="str">
        <f t="shared" si="141"/>
        <v>Yes</v>
      </c>
      <c r="C203" s="1033">
        <f>IF(C$6="","",IF(NOT(ISNUMBER(_xll.ciqfunctions.udf.CIQ(C$6,$F$2, $A203, $I$2, $I$3))),IF(C202=C$6,"",C202),_xll.ciqfunctions.udf.CIQ(C$6,$F$2, $A203, $I$2, $I$3)))</f>
        <v>144.15</v>
      </c>
      <c r="D203" s="1033">
        <f>IF(D$6="","",IF(NOT(ISNUMBER(_xll.ciqfunctions.udf.CIQ(D$6,$F$2, $A203, $I$2, $I$3))),IF(D202=D$6,"",D202),_xll.ciqfunctions.udf.CIQ(D$6,$F$2, $A203, $I$2, $I$3)))</f>
        <v>30606.484</v>
      </c>
      <c r="E203" s="1033">
        <f>IF(E$6="","",IF(NOT(ISNUMBER(_xll.ciqfunctions.udf.CIQ(E$6,$F$2, $A203, $I$2, $I$3))),IF(E202=E$6,"",E202),_xll.ciqfunctions.udf.CIQ(E$6,$F$2, $A203, $I$2, $I$3)))</f>
        <v>10108.7094</v>
      </c>
      <c r="F203" s="1033">
        <f>IF(F$6="","",IF(NOT(ISNUMBER(_xll.ciqfunctions.udf.CIQ(F$6,$F$2, $A203, $I$2, $I$3))),IF(F202=F$6,"",F202),_xll.ciqfunctions.udf.CIQ(F$6,$F$2, $A203, $I$2, $I$3)))</f>
        <v>6690.9525000000003</v>
      </c>
      <c r="G203" s="1033">
        <f>IF(G$6="","",IF(NOT(ISNUMBER(_xll.ciqfunctions.udf.CIQ(G$6,$F$2, $A203, $I$2, $I$3))),IF(G202=G$6,"",G202),_xll.ciqfunctions.udf.CIQ(G$6,$F$2, $A203, $I$2, $I$3)))</f>
        <v>376.78</v>
      </c>
      <c r="H203" s="1033" t="str">
        <f>IF(H$6="","",IF(NOT(ISNUMBER(_xll.ciqfunctions.udf.CIQ(H$6,$F$2, $A203, $I$2, $I$3))),IF(H202=H$6,"",H202),_xll.ciqfunctions.udf.CIQ(H$6,$F$2, $A203, $I$2, $I$3)))</f>
        <v/>
      </c>
      <c r="I203" s="1033" t="str">
        <f>IF(I$6="","",IF(NOT(ISNUMBER(_xll.ciqfunctions.udf.CIQ(I$6,$F$2, $A203, $I$2, $I$3))),IF(I202=I$6,"",I202),_xll.ciqfunctions.udf.CIQ(I$6,$F$2, $A203, $I$2, $I$3)))</f>
        <v/>
      </c>
      <c r="J203" s="1033" t="str">
        <f>IF(J$6="","",IF(NOT(ISNUMBER(_xll.ciqfunctions.udf.CIQ(J$6,$F$2, $A203, $I$2, $I$3))),IF(J202=J$6,"",J202),_xll.ciqfunctions.udf.CIQ(J$6,$F$2, $A203, $I$2, $I$3)))</f>
        <v/>
      </c>
      <c r="K203" s="1033" t="str">
        <f>IF(K$6="","",IF(NOT(ISNUMBER(_xll.ciqfunctions.udf.CIQ(K$6,$F$2, $A203, $I$2, $I$3))),IF(K202=K$6,"",K202),_xll.ciqfunctions.udf.CIQ(K$6,$F$2, $A203, $I$2, $I$3)))</f>
        <v/>
      </c>
      <c r="L203" s="254" t="str">
        <f>IF(L$6="","",IF(NOT(ISNUMBER(_xll.ciqfunctions.udf.CIQ(L$6,$F$2, $A203, $I$2, $I$3))),IF(L202=L$6,"",L202),_xll.ciqfunctions.udf.CIQ(L$6,$F$2, $A203, $I$2, $I$3)))</f>
        <v/>
      </c>
      <c r="M203" s="254" t="str">
        <f>IF(M$6="","",IF(NOT(ISNUMBER(_xll.ciqfunctions.udf.CIQ(M$6,$F$2, $A203, $I$2, $I$3))),IF(M202=M$6,"",M202),_xll.ciqfunctions.udf.CIQ(M$6,$F$2, $A203, $I$2, $I$3)))</f>
        <v/>
      </c>
      <c r="N203" s="254" t="str">
        <f>IF(N$6="","",IF(NOT(ISNUMBER(_xll.ciqfunctions.udf.CIQ(N$6,$F$2, $A203, $I$2, $I$3))),IF(N202=N$6,"",N202),_xll.ciqfunctions.udf.CIQ(N$6,$F$2, $A203, $I$2, $I$3)))</f>
        <v/>
      </c>
      <c r="O203" s="254" t="str">
        <f>IF(O$6="","",IF(NOT(ISNUMBER(_xll.ciqfunctions.udf.CIQ(O$6,$F$2, $A203, $I$2, $I$3))),IF(O202=O$6,"",O202),_xll.ciqfunctions.udf.CIQ(O$6,$F$2, $A203, $I$2, $I$3)))</f>
        <v/>
      </c>
      <c r="P203" s="254" t="str">
        <f>IF(P$6="","",IF(NOT(ISNUMBER(_xll.ciqfunctions.udf.CIQ(P$6,$F$2, $A203, $I$2, $I$3))),IF(P202=P$6,"",P202),_xll.ciqfunctions.udf.CIQ(P$6,$F$2, $A203, $I$2, $I$3)))</f>
        <v/>
      </c>
      <c r="Q203" s="254"/>
      <c r="R203" s="251">
        <f t="shared" si="124"/>
        <v>44197</v>
      </c>
      <c r="S203" s="255">
        <f t="shared" si="126"/>
        <v>0.99986126526082142</v>
      </c>
      <c r="T203" s="255">
        <f t="shared" si="127"/>
        <v>0.48120585416608819</v>
      </c>
      <c r="U203" s="255">
        <f t="shared" si="128"/>
        <v>0.41265542917765075</v>
      </c>
      <c r="V203" s="255">
        <f t="shared" si="142"/>
        <v>0.52422692289305872</v>
      </c>
      <c r="W203" s="255">
        <f t="array" ref="W203">IFERROR(AVERAGE(IF(ISERROR(X203:AG203),"",X203:AG203)),"")</f>
        <v>1.246884131433001</v>
      </c>
      <c r="X203" s="255">
        <f t="shared" si="143"/>
        <v>1.246884131433001</v>
      </c>
      <c r="Y203" s="255" t="e">
        <f t="shared" si="114"/>
        <v>#N/A</v>
      </c>
      <c r="Z203" s="255" t="e">
        <f t="shared" si="115"/>
        <v>#N/A</v>
      </c>
      <c r="AA203" s="255" t="e">
        <f t="shared" si="116"/>
        <v>#N/A</v>
      </c>
      <c r="AB203" s="255" t="e">
        <f t="shared" si="117"/>
        <v>#N/A</v>
      </c>
      <c r="AC203" s="255" t="e">
        <f t="shared" si="118"/>
        <v>#N/A</v>
      </c>
      <c r="AD203" s="255" t="e">
        <f t="shared" si="119"/>
        <v>#N/A</v>
      </c>
      <c r="AE203" s="255" t="e">
        <f t="shared" si="120"/>
        <v>#N/A</v>
      </c>
      <c r="AF203" s="255" t="e">
        <f t="shared" si="121"/>
        <v>#N/A</v>
      </c>
      <c r="AG203" s="255" t="e">
        <f t="shared" si="122"/>
        <v>#N/A</v>
      </c>
      <c r="AI203" s="251">
        <f t="shared" si="125"/>
        <v>44197</v>
      </c>
      <c r="AJ203" s="718">
        <f>IF(OR($B203="No",AJ$6=""),"",IF(NOT(ISNUMBER(_xll.ciqfunctions.udf.CIQ(AJ$6,"IQ_TEV",$AI203,$I$2,$I$3))),"",_xll.ciqfunctions.udf.CIQ(AJ$6,"IQ_TEV",$AI203,$I$2,$I$3)))</f>
        <v>468789.56623</v>
      </c>
      <c r="AK203" s="718">
        <f>IF(OR($B203="No",AK$6=""),"",IF(NOT(ISNUMBER(_xll.ciqfunctions.udf.CIQ(AK$6,"IQ_TEV",$AI203,$I$2,$I$3))),"",_xll.ciqfunctions.udf.CIQ(AK$6,"IQ_TEV",$AI203,$I$2,$I$3)))</f>
        <v>163121.67118</v>
      </c>
      <c r="AL203" s="718" t="str">
        <f>IF(OR($B203="No",AL$6=""),"",IF(NOT(ISNUMBER(_xll.ciqfunctions.udf.CIQ(AL$6,"IQ_TEV",$AI203,$I$2,$I$3))),"",_xll.ciqfunctions.udf.CIQ(AL$6,"IQ_TEV",$AI203,$I$2,$I$3)))</f>
        <v/>
      </c>
      <c r="AM203" s="718" t="str">
        <f>IF(OR($B203="No",AM$6=""),"",IF(NOT(ISNUMBER(_xll.ciqfunctions.udf.CIQ(AM$6,"IQ_TEV",$AI203,$I$2,$I$3))),"",_xll.ciqfunctions.udf.CIQ(AM$6,"IQ_TEV",$AI203,$I$2,$I$3)))</f>
        <v/>
      </c>
      <c r="AN203" s="718" t="str">
        <f>IF(OR($B203="No",AN$6=""),"",IF(NOT(ISNUMBER(_xll.ciqfunctions.udf.CIQ(AN$6,"IQ_TEV",$AI203,$I$2,$I$3))),"",_xll.ciqfunctions.udf.CIQ(AN$6,"IQ_TEV",$AI203,$I$2,$I$3)))</f>
        <v/>
      </c>
      <c r="AO203" s="718" t="str">
        <f>IF(OR($B203="No",AO$6=""),"",IF(NOT(ISNUMBER(_xll.ciqfunctions.udf.CIQ(AO$6,"IQ_TEV",$AI203,$I$2,$I$3))),"",_xll.ciqfunctions.udf.CIQ(AO$6,"IQ_TEV",$AI203,$I$2,$I$3)))</f>
        <v/>
      </c>
      <c r="AP203" s="718" t="str">
        <f>IF(OR($B203="No",AP$6=""),"",IF(NOT(ISNUMBER(_xll.ciqfunctions.udf.CIQ(AP$6,"IQ_TEV",$AI203,$I$2,$I$3))),"",_xll.ciqfunctions.udf.CIQ(AP$6,"IQ_TEV",$AI203,$I$2,$I$3)))</f>
        <v/>
      </c>
      <c r="AQ203" s="718" t="str">
        <f>IF(OR($B203="No",AQ$6=""),"",IF(NOT(ISNUMBER(_xll.ciqfunctions.udf.CIQ(AQ$6,"IQ_TEV",$AI203,$I$2,$I$3))),"",_xll.ciqfunctions.udf.CIQ(AQ$6,"IQ_TEV",$AI203,$I$2,$I$3)))</f>
        <v/>
      </c>
      <c r="AR203" s="718" t="str">
        <f>IF(OR($B203="No",AR$6=""),"",IF(NOT(ISNUMBER(_xll.ciqfunctions.udf.CIQ(AR$6,"IQ_TEV",$AI203,$I$2,$I$3))),"",_xll.ciqfunctions.udf.CIQ(AR$6,"IQ_TEV",$AI203,$I$2,$I$3)))</f>
        <v/>
      </c>
      <c r="AS203" s="718" t="str">
        <f>IF(OR($B203="No",AS$6=""),"",IF(NOT(ISNUMBER(_xll.ciqfunctions.udf.CIQ(AS$6,"IQ_TEV",$AI203,$I$2,$I$3))),"",_xll.ciqfunctions.udf.CIQ(AS$6,"IQ_TEV",$AI203,$I$2,$I$3)))</f>
        <v/>
      </c>
      <c r="AT203" s="718" t="str">
        <f>IF(OR($B203="No",AT$6=""),"",IF(NOT(ISNUMBER(_xll.ciqfunctions.udf.CIQ(AT$6,"IQ_TEV",$AI203,$I$2,$I$3))),"",_xll.ciqfunctions.udf.CIQ(AT$6,"IQ_TEV",$AI203,$I$2,$I$3)))</f>
        <v/>
      </c>
      <c r="AV203" s="251">
        <f t="shared" si="129"/>
        <v>44197</v>
      </c>
      <c r="AW203" s="719">
        <f t="shared" si="130"/>
        <v>0.79573440876066415</v>
      </c>
      <c r="AX203" s="719">
        <f t="shared" si="131"/>
        <v>1.2350073242462001</v>
      </c>
      <c r="AY203" s="719" t="e">
        <f t="shared" si="132"/>
        <v>#N/A</v>
      </c>
      <c r="AZ203" s="719" t="e">
        <f t="shared" si="133"/>
        <v>#N/A</v>
      </c>
      <c r="BA203" s="719" t="e">
        <f t="shared" si="134"/>
        <v>#N/A</v>
      </c>
      <c r="BB203" s="719" t="e">
        <f t="shared" si="135"/>
        <v>#N/A</v>
      </c>
      <c r="BC203" s="719" t="e">
        <f t="shared" si="136"/>
        <v>#N/A</v>
      </c>
      <c r="BD203" s="719" t="e">
        <f t="shared" si="137"/>
        <v>#N/A</v>
      </c>
      <c r="BE203" s="719" t="e">
        <f t="shared" si="138"/>
        <v>#N/A</v>
      </c>
      <c r="BF203" s="719" t="e">
        <f t="shared" si="139"/>
        <v>#N/A</v>
      </c>
      <c r="BG203" s="719" t="e">
        <f t="shared" si="140"/>
        <v>#N/A</v>
      </c>
    </row>
    <row r="204" spans="1:59" ht="15" customHeight="1" x14ac:dyDescent="0.2">
      <c r="A204" s="251">
        <f t="shared" si="123"/>
        <v>44204</v>
      </c>
      <c r="B204" s="253" t="str">
        <f t="shared" si="141"/>
        <v>Yes</v>
      </c>
      <c r="C204" s="1033">
        <f>IF(C$6="","",IF(NOT(ISNUMBER(_xll.ciqfunctions.udf.CIQ(C$6,$F$2, $A204, $I$2, $I$3))),IF(C203=C$6,"",C203),_xll.ciqfunctions.udf.CIQ(C$6,$F$2, $A204, $I$2, $I$3)))</f>
        <v>146.63</v>
      </c>
      <c r="D204" s="1033">
        <f>IF(D$6="","",IF(NOT(ISNUMBER(_xll.ciqfunctions.udf.CIQ(D$6,$F$2, $A204, $I$2, $I$3))),IF(D203=D$6,"",D203),_xll.ciqfunctions.udf.CIQ(D$6,$F$2, $A204, $I$2, $I$3)))</f>
        <v>31097.973160000001</v>
      </c>
      <c r="E204" s="1033">
        <f>IF(E$6="","",IF(NOT(ISNUMBER(_xll.ciqfunctions.udf.CIQ(E$6,$F$2, $A204, $I$2, $I$3))),IF(E203=E$6,"",E203),_xll.ciqfunctions.udf.CIQ(E$6,$F$2, $A204, $I$2, $I$3)))</f>
        <v>10260.921480000001</v>
      </c>
      <c r="F204" s="1033">
        <f>IF(F$6="","",IF(NOT(ISNUMBER(_xll.ciqfunctions.udf.CIQ(F$6,$F$2, $A204, $I$2, $I$3))),IF(F203=F$6,"",F203),_xll.ciqfunctions.udf.CIQ(F$6,$F$2, $A204, $I$2, $I$3)))</f>
        <v>7094.69596</v>
      </c>
      <c r="G204" s="1033">
        <f>IF(G$6="","",IF(NOT(ISNUMBER(_xll.ciqfunctions.udf.CIQ(G$6,$F$2, $A204, $I$2, $I$3))),IF(G203=G$6,"",G203),_xll.ciqfunctions.udf.CIQ(G$6,$F$2, $A204, $I$2, $I$3)))</f>
        <v>369.94</v>
      </c>
      <c r="H204" s="1033" t="str">
        <f>IF(H$6="","",IF(NOT(ISNUMBER(_xll.ciqfunctions.udf.CIQ(H$6,$F$2, $A204, $I$2, $I$3))),IF(H203=H$6,"",H203),_xll.ciqfunctions.udf.CIQ(H$6,$F$2, $A204, $I$2, $I$3)))</f>
        <v/>
      </c>
      <c r="I204" s="1033" t="str">
        <f>IF(I$6="","",IF(NOT(ISNUMBER(_xll.ciqfunctions.udf.CIQ(I$6,$F$2, $A204, $I$2, $I$3))),IF(I203=I$6,"",I203),_xll.ciqfunctions.udf.CIQ(I$6,$F$2, $A204, $I$2, $I$3)))</f>
        <v/>
      </c>
      <c r="J204" s="1033" t="str">
        <f>IF(J$6="","",IF(NOT(ISNUMBER(_xll.ciqfunctions.udf.CIQ(J$6,$F$2, $A204, $I$2, $I$3))),IF(J203=J$6,"",J203),_xll.ciqfunctions.udf.CIQ(J$6,$F$2, $A204, $I$2, $I$3)))</f>
        <v/>
      </c>
      <c r="K204" s="1033" t="str">
        <f>IF(K$6="","",IF(NOT(ISNUMBER(_xll.ciqfunctions.udf.CIQ(K$6,$F$2, $A204, $I$2, $I$3))),IF(K203=K$6,"",K203),_xll.ciqfunctions.udf.CIQ(K$6,$F$2, $A204, $I$2, $I$3)))</f>
        <v/>
      </c>
      <c r="L204" s="254" t="str">
        <f>IF(L$6="","",IF(NOT(ISNUMBER(_xll.ciqfunctions.udf.CIQ(L$6,$F$2, $A204, $I$2, $I$3))),IF(L203=L$6,"",L203),_xll.ciqfunctions.udf.CIQ(L$6,$F$2, $A204, $I$2, $I$3)))</f>
        <v/>
      </c>
      <c r="M204" s="254" t="str">
        <f>IF(M$6="","",IF(NOT(ISNUMBER(_xll.ciqfunctions.udf.CIQ(M$6,$F$2, $A204, $I$2, $I$3))),IF(M203=M$6,"",M203),_xll.ciqfunctions.udf.CIQ(M$6,$F$2, $A204, $I$2, $I$3)))</f>
        <v/>
      </c>
      <c r="N204" s="254" t="str">
        <f>IF(N$6="","",IF(NOT(ISNUMBER(_xll.ciqfunctions.udf.CIQ(N$6,$F$2, $A204, $I$2, $I$3))),IF(N203=N$6,"",N203),_xll.ciqfunctions.udf.CIQ(N$6,$F$2, $A204, $I$2, $I$3)))</f>
        <v/>
      </c>
      <c r="O204" s="254" t="str">
        <f>IF(O$6="","",IF(NOT(ISNUMBER(_xll.ciqfunctions.udf.CIQ(O$6,$F$2, $A204, $I$2, $I$3))),IF(O203=O$6,"",O203),_xll.ciqfunctions.udf.CIQ(O$6,$F$2, $A204, $I$2, $I$3)))</f>
        <v/>
      </c>
      <c r="P204" s="254" t="str">
        <f>IF(P$6="","",IF(NOT(ISNUMBER(_xll.ciqfunctions.udf.CIQ(P$6,$F$2, $A204, $I$2, $I$3))),IF(P203=P$6,"",P203),_xll.ciqfunctions.udf.CIQ(P$6,$F$2, $A204, $I$2, $I$3)))</f>
        <v/>
      </c>
      <c r="Q204" s="254"/>
      <c r="R204" s="251">
        <f t="shared" si="124"/>
        <v>44204</v>
      </c>
      <c r="S204" s="255">
        <f t="shared" si="126"/>
        <v>1.0342674805771366</v>
      </c>
      <c r="T204" s="255">
        <f t="shared" si="127"/>
        <v>0.504991553335296</v>
      </c>
      <c r="U204" s="255">
        <f t="shared" si="128"/>
        <v>0.4339265146040876</v>
      </c>
      <c r="V204" s="255">
        <f t="shared" si="142"/>
        <v>0.61620136923294777</v>
      </c>
      <c r="W204" s="255">
        <f t="array" ref="W204">IFERROR(AVERAGE(IF(ISERROR(X204:AG204),"",X204:AG204)),"")</f>
        <v>1.2060945792832012</v>
      </c>
      <c r="X204" s="255">
        <f t="shared" si="143"/>
        <v>1.2060945792832012</v>
      </c>
      <c r="Y204" s="255" t="e">
        <f t="shared" si="114"/>
        <v>#N/A</v>
      </c>
      <c r="Z204" s="255" t="e">
        <f t="shared" si="115"/>
        <v>#N/A</v>
      </c>
      <c r="AA204" s="255" t="e">
        <f t="shared" si="116"/>
        <v>#N/A</v>
      </c>
      <c r="AB204" s="255" t="e">
        <f t="shared" si="117"/>
        <v>#N/A</v>
      </c>
      <c r="AC204" s="255" t="e">
        <f t="shared" si="118"/>
        <v>#N/A</v>
      </c>
      <c r="AD204" s="255" t="e">
        <f t="shared" si="119"/>
        <v>#N/A</v>
      </c>
      <c r="AE204" s="255" t="e">
        <f t="shared" si="120"/>
        <v>#N/A</v>
      </c>
      <c r="AF204" s="255" t="e">
        <f t="shared" si="121"/>
        <v>#N/A</v>
      </c>
      <c r="AG204" s="255" t="e">
        <f t="shared" si="122"/>
        <v>#N/A</v>
      </c>
      <c r="AI204" s="251">
        <f t="shared" si="125"/>
        <v>44204</v>
      </c>
      <c r="AJ204" s="718">
        <f>IF(OR($B204="No",AJ$6=""),"",IF(NOT(ISNUMBER(_xll.ciqfunctions.udf.CIQ(AJ$6,"IQ_TEV",$AI204,$I$2,$I$3))),"",_xll.ciqfunctions.udf.CIQ(AJ$6,"IQ_TEV",$AI204,$I$2,$I$3)))</f>
        <v>475806.19533000002</v>
      </c>
      <c r="AK204" s="718">
        <f>IF(OR($B204="No",AK$6=""),"",IF(NOT(ISNUMBER(_xll.ciqfunctions.udf.CIQ(AK$6,"IQ_TEV",$AI204,$I$2,$I$3))),"",_xll.ciqfunctions.udf.CIQ(AK$6,"IQ_TEV",$AI204,$I$2,$I$3)))</f>
        <v>160091.85741999999</v>
      </c>
      <c r="AL204" s="718" t="str">
        <f>IF(OR($B204="No",AL$6=""),"",IF(NOT(ISNUMBER(_xll.ciqfunctions.udf.CIQ(AL$6,"IQ_TEV",$AI204,$I$2,$I$3))),"",_xll.ciqfunctions.udf.CIQ(AL$6,"IQ_TEV",$AI204,$I$2,$I$3)))</f>
        <v/>
      </c>
      <c r="AM204" s="718" t="str">
        <f>IF(OR($B204="No",AM$6=""),"",IF(NOT(ISNUMBER(_xll.ciqfunctions.udf.CIQ(AM$6,"IQ_TEV",$AI204,$I$2,$I$3))),"",_xll.ciqfunctions.udf.CIQ(AM$6,"IQ_TEV",$AI204,$I$2,$I$3)))</f>
        <v/>
      </c>
      <c r="AN204" s="718" t="str">
        <f>IF(OR($B204="No",AN$6=""),"",IF(NOT(ISNUMBER(_xll.ciqfunctions.udf.CIQ(AN$6,"IQ_TEV",$AI204,$I$2,$I$3))),"",_xll.ciqfunctions.udf.CIQ(AN$6,"IQ_TEV",$AI204,$I$2,$I$3)))</f>
        <v/>
      </c>
      <c r="AO204" s="718" t="str">
        <f>IF(OR($B204="No",AO$6=""),"",IF(NOT(ISNUMBER(_xll.ciqfunctions.udf.CIQ(AO$6,"IQ_TEV",$AI204,$I$2,$I$3))),"",_xll.ciqfunctions.udf.CIQ(AO$6,"IQ_TEV",$AI204,$I$2,$I$3)))</f>
        <v/>
      </c>
      <c r="AP204" s="718" t="str">
        <f>IF(OR($B204="No",AP$6=""),"",IF(NOT(ISNUMBER(_xll.ciqfunctions.udf.CIQ(AP$6,"IQ_TEV",$AI204,$I$2,$I$3))),"",_xll.ciqfunctions.udf.CIQ(AP$6,"IQ_TEV",$AI204,$I$2,$I$3)))</f>
        <v/>
      </c>
      <c r="AQ204" s="718" t="str">
        <f>IF(OR($B204="No",AQ$6=""),"",IF(NOT(ISNUMBER(_xll.ciqfunctions.udf.CIQ(AQ$6,"IQ_TEV",$AI204,$I$2,$I$3))),"",_xll.ciqfunctions.udf.CIQ(AQ$6,"IQ_TEV",$AI204,$I$2,$I$3)))</f>
        <v/>
      </c>
      <c r="AR204" s="718" t="str">
        <f>IF(OR($B204="No",AR$6=""),"",IF(NOT(ISNUMBER(_xll.ciqfunctions.udf.CIQ(AR$6,"IQ_TEV",$AI204,$I$2,$I$3))),"",_xll.ciqfunctions.udf.CIQ(AR$6,"IQ_TEV",$AI204,$I$2,$I$3)))</f>
        <v/>
      </c>
      <c r="AS204" s="718" t="str">
        <f>IF(OR($B204="No",AS$6=""),"",IF(NOT(ISNUMBER(_xll.ciqfunctions.udf.CIQ(AS$6,"IQ_TEV",$AI204,$I$2,$I$3))),"",_xll.ciqfunctions.udf.CIQ(AS$6,"IQ_TEV",$AI204,$I$2,$I$3)))</f>
        <v/>
      </c>
      <c r="AT204" s="718" t="str">
        <f>IF(OR($B204="No",AT$6=""),"",IF(NOT(ISNUMBER(_xll.ciqfunctions.udf.CIQ(AT$6,"IQ_TEV",$AI204,$I$2,$I$3))),"",_xll.ciqfunctions.udf.CIQ(AT$6,"IQ_TEV",$AI204,$I$2,$I$3)))</f>
        <v/>
      </c>
      <c r="AV204" s="251">
        <f t="shared" si="129"/>
        <v>44204</v>
      </c>
      <c r="AW204" s="719">
        <f t="shared" si="130"/>
        <v>0.82261214499039825</v>
      </c>
      <c r="AX204" s="719">
        <f t="shared" si="131"/>
        <v>1.1934944100164921</v>
      </c>
      <c r="AY204" s="719" t="e">
        <f t="shared" si="132"/>
        <v>#N/A</v>
      </c>
      <c r="AZ204" s="719" t="e">
        <f t="shared" si="133"/>
        <v>#N/A</v>
      </c>
      <c r="BA204" s="719" t="e">
        <f t="shared" si="134"/>
        <v>#N/A</v>
      </c>
      <c r="BB204" s="719" t="e">
        <f t="shared" si="135"/>
        <v>#N/A</v>
      </c>
      <c r="BC204" s="719" t="e">
        <f t="shared" si="136"/>
        <v>#N/A</v>
      </c>
      <c r="BD204" s="719" t="e">
        <f t="shared" si="137"/>
        <v>#N/A</v>
      </c>
      <c r="BE204" s="719" t="e">
        <f t="shared" si="138"/>
        <v>#N/A</v>
      </c>
      <c r="BF204" s="719" t="e">
        <f t="shared" si="139"/>
        <v>#N/A</v>
      </c>
      <c r="BG204" s="719" t="e">
        <f t="shared" si="140"/>
        <v>#N/A</v>
      </c>
    </row>
    <row r="205" spans="1:59" ht="15" customHeight="1" x14ac:dyDescent="0.2">
      <c r="A205" s="251">
        <f t="shared" si="123"/>
        <v>44211</v>
      </c>
      <c r="B205" s="253" t="str">
        <f t="shared" si="141"/>
        <v>Yes</v>
      </c>
      <c r="C205" s="1033">
        <f>IF(C$6="","",IF(NOT(ISNUMBER(_xll.ciqfunctions.udf.CIQ(C$6,$F$2, $A205, $I$2, $I$3))),IF(C204=C$6,"",C204),_xll.ciqfunctions.udf.CIQ(C$6,$F$2, $A205, $I$2, $I$3)))</f>
        <v>144.63999999999999</v>
      </c>
      <c r="D205" s="1033">
        <f>IF(D$6="","",IF(NOT(ISNUMBER(_xll.ciqfunctions.udf.CIQ(D$6,$F$2, $A205, $I$2, $I$3))),IF(D204=D$6,"",D204),_xll.ciqfunctions.udf.CIQ(D$6,$F$2, $A205, $I$2, $I$3)))</f>
        <v>30814.26483</v>
      </c>
      <c r="E205" s="1033">
        <f>IF(E$6="","",IF(NOT(ISNUMBER(_xll.ciqfunctions.udf.CIQ(E$6,$F$2, $A205, $I$2, $I$3))),IF(E204=E$6,"",E204),_xll.ciqfunctions.udf.CIQ(E$6,$F$2, $A205, $I$2, $I$3)))</f>
        <v>10236.568670000001</v>
      </c>
      <c r="F205" s="1033">
        <f>IF(F$6="","",IF(NOT(ISNUMBER(_xll.ciqfunctions.udf.CIQ(F$6,$F$2, $A205, $I$2, $I$3))),IF(F204=F$6,"",F204),_xll.ciqfunctions.udf.CIQ(F$6,$F$2, $A205, $I$2, $I$3)))</f>
        <v>7492.6705199999997</v>
      </c>
      <c r="G205" s="1033">
        <f>IF(G$6="","",IF(NOT(ISNUMBER(_xll.ciqfunctions.udf.CIQ(G$6,$F$2, $A205, $I$2, $I$3))),IF(G204=G$6,"",G204),_xll.ciqfunctions.udf.CIQ(G$6,$F$2, $A205, $I$2, $I$3)))</f>
        <v>362.16</v>
      </c>
      <c r="H205" s="1033" t="str">
        <f>IF(H$6="","",IF(NOT(ISNUMBER(_xll.ciqfunctions.udf.CIQ(H$6,$F$2, $A205, $I$2, $I$3))),IF(H204=H$6,"",H204),_xll.ciqfunctions.udf.CIQ(H$6,$F$2, $A205, $I$2, $I$3)))</f>
        <v/>
      </c>
      <c r="I205" s="1033" t="str">
        <f>IF(I$6="","",IF(NOT(ISNUMBER(_xll.ciqfunctions.udf.CIQ(I$6,$F$2, $A205, $I$2, $I$3))),IF(I204=I$6,"",I204),_xll.ciqfunctions.udf.CIQ(I$6,$F$2, $A205, $I$2, $I$3)))</f>
        <v/>
      </c>
      <c r="J205" s="1033" t="str">
        <f>IF(J$6="","",IF(NOT(ISNUMBER(_xll.ciqfunctions.udf.CIQ(J$6,$F$2, $A205, $I$2, $I$3))),IF(J204=J$6,"",J204),_xll.ciqfunctions.udf.CIQ(J$6,$F$2, $A205, $I$2, $I$3)))</f>
        <v/>
      </c>
      <c r="K205" s="1033" t="str">
        <f>IF(K$6="","",IF(NOT(ISNUMBER(_xll.ciqfunctions.udf.CIQ(K$6,$F$2, $A205, $I$2, $I$3))),IF(K204=K$6,"",K204),_xll.ciqfunctions.udf.CIQ(K$6,$F$2, $A205, $I$2, $I$3)))</f>
        <v/>
      </c>
      <c r="L205" s="254" t="str">
        <f>IF(L$6="","",IF(NOT(ISNUMBER(_xll.ciqfunctions.udf.CIQ(L$6,$F$2, $A205, $I$2, $I$3))),IF(L204=L$6,"",L204),_xll.ciqfunctions.udf.CIQ(L$6,$F$2, $A205, $I$2, $I$3)))</f>
        <v/>
      </c>
      <c r="M205" s="254" t="str">
        <f>IF(M$6="","",IF(NOT(ISNUMBER(_xll.ciqfunctions.udf.CIQ(M$6,$F$2, $A205, $I$2, $I$3))),IF(M204=M$6,"",M204),_xll.ciqfunctions.udf.CIQ(M$6,$F$2, $A205, $I$2, $I$3)))</f>
        <v/>
      </c>
      <c r="N205" s="254" t="str">
        <f>IF(N$6="","",IF(NOT(ISNUMBER(_xll.ciqfunctions.udf.CIQ(N$6,$F$2, $A205, $I$2, $I$3))),IF(N204=N$6,"",N204),_xll.ciqfunctions.udf.CIQ(N$6,$F$2, $A205, $I$2, $I$3)))</f>
        <v/>
      </c>
      <c r="O205" s="254" t="str">
        <f>IF(O$6="","",IF(NOT(ISNUMBER(_xll.ciqfunctions.udf.CIQ(O$6,$F$2, $A205, $I$2, $I$3))),IF(O204=O$6,"",O204),_xll.ciqfunctions.udf.CIQ(O$6,$F$2, $A205, $I$2, $I$3)))</f>
        <v/>
      </c>
      <c r="P205" s="254" t="str">
        <f>IF(P$6="","",IF(NOT(ISNUMBER(_xll.ciqfunctions.udf.CIQ(P$6,$F$2, $A205, $I$2, $I$3))),IF(P204=P$6,"",P204),_xll.ciqfunctions.udf.CIQ(P$6,$F$2, $A205, $I$2, $I$3)))</f>
        <v/>
      </c>
      <c r="Q205" s="254"/>
      <c r="R205" s="251">
        <f t="shared" si="124"/>
        <v>44211</v>
      </c>
      <c r="S205" s="255">
        <f t="shared" si="126"/>
        <v>1.0066592674805772</v>
      </c>
      <c r="T205" s="255">
        <f t="shared" si="127"/>
        <v>0.49126144179188302</v>
      </c>
      <c r="U205" s="255">
        <f t="shared" si="128"/>
        <v>0.43052329784308019</v>
      </c>
      <c r="V205" s="255">
        <f t="shared" si="142"/>
        <v>0.70686163606020713</v>
      </c>
      <c r="W205" s="255">
        <f t="array" ref="W205">IFERROR(AVERAGE(IF(ISERROR(X205:AG205),"",X205:AG205)),"")</f>
        <v>1.1596994454052121</v>
      </c>
      <c r="X205" s="255">
        <f t="shared" si="143"/>
        <v>1.1596994454052121</v>
      </c>
      <c r="Y205" s="255" t="e">
        <f t="shared" si="114"/>
        <v>#N/A</v>
      </c>
      <c r="Z205" s="255" t="e">
        <f t="shared" si="115"/>
        <v>#N/A</v>
      </c>
      <c r="AA205" s="255" t="e">
        <f t="shared" si="116"/>
        <v>#N/A</v>
      </c>
      <c r="AB205" s="255" t="e">
        <f t="shared" si="117"/>
        <v>#N/A</v>
      </c>
      <c r="AC205" s="255" t="e">
        <f t="shared" si="118"/>
        <v>#N/A</v>
      </c>
      <c r="AD205" s="255" t="e">
        <f t="shared" si="119"/>
        <v>#N/A</v>
      </c>
      <c r="AE205" s="255" t="e">
        <f t="shared" si="120"/>
        <v>#N/A</v>
      </c>
      <c r="AF205" s="255" t="e">
        <f t="shared" si="121"/>
        <v>#N/A</v>
      </c>
      <c r="AG205" s="255" t="e">
        <f t="shared" si="122"/>
        <v>#N/A</v>
      </c>
      <c r="AI205" s="251">
        <f t="shared" si="125"/>
        <v>44211</v>
      </c>
      <c r="AJ205" s="718">
        <f>IF(OR($B205="No",AJ$6=""),"",IF(NOT(ISNUMBER(_xll.ciqfunctions.udf.CIQ(AJ$6,"IQ_TEV",$AI205,$I$2,$I$3))),"",_xll.ciqfunctions.udf.CIQ(AJ$6,"IQ_TEV",$AI205,$I$2,$I$3)))</f>
        <v>470175.91634</v>
      </c>
      <c r="AK205" s="718">
        <f>IF(OR($B205="No",AK$6=""),"",IF(NOT(ISNUMBER(_xll.ciqfunctions.udf.CIQ(AK$6,"IQ_TEV",$AI205,$I$2,$I$3))),"",_xll.ciqfunctions.udf.CIQ(AK$6,"IQ_TEV",$AI205,$I$2,$I$3)))</f>
        <v>156645.66573000001</v>
      </c>
      <c r="AL205" s="718" t="str">
        <f>IF(OR($B205="No",AL$6=""),"",IF(NOT(ISNUMBER(_xll.ciqfunctions.udf.CIQ(AL$6,"IQ_TEV",$AI205,$I$2,$I$3))),"",_xll.ciqfunctions.udf.CIQ(AL$6,"IQ_TEV",$AI205,$I$2,$I$3)))</f>
        <v/>
      </c>
      <c r="AM205" s="718" t="str">
        <f>IF(OR($B205="No",AM$6=""),"",IF(NOT(ISNUMBER(_xll.ciqfunctions.udf.CIQ(AM$6,"IQ_TEV",$AI205,$I$2,$I$3))),"",_xll.ciqfunctions.udf.CIQ(AM$6,"IQ_TEV",$AI205,$I$2,$I$3)))</f>
        <v/>
      </c>
      <c r="AN205" s="718" t="str">
        <f>IF(OR($B205="No",AN$6=""),"",IF(NOT(ISNUMBER(_xll.ciqfunctions.udf.CIQ(AN$6,"IQ_TEV",$AI205,$I$2,$I$3))),"",_xll.ciqfunctions.udf.CIQ(AN$6,"IQ_TEV",$AI205,$I$2,$I$3)))</f>
        <v/>
      </c>
      <c r="AO205" s="718" t="str">
        <f>IF(OR($B205="No",AO$6=""),"",IF(NOT(ISNUMBER(_xll.ciqfunctions.udf.CIQ(AO$6,"IQ_TEV",$AI205,$I$2,$I$3))),"",_xll.ciqfunctions.udf.CIQ(AO$6,"IQ_TEV",$AI205,$I$2,$I$3)))</f>
        <v/>
      </c>
      <c r="AP205" s="718" t="str">
        <f>IF(OR($B205="No",AP$6=""),"",IF(NOT(ISNUMBER(_xll.ciqfunctions.udf.CIQ(AP$6,"IQ_TEV",$AI205,$I$2,$I$3))),"",_xll.ciqfunctions.udf.CIQ(AP$6,"IQ_TEV",$AI205,$I$2,$I$3)))</f>
        <v/>
      </c>
      <c r="AQ205" s="718" t="str">
        <f>IF(OR($B205="No",AQ$6=""),"",IF(NOT(ISNUMBER(_xll.ciqfunctions.udf.CIQ(AQ$6,"IQ_TEV",$AI205,$I$2,$I$3))),"",_xll.ciqfunctions.udf.CIQ(AQ$6,"IQ_TEV",$AI205,$I$2,$I$3)))</f>
        <v/>
      </c>
      <c r="AR205" s="718" t="str">
        <f>IF(OR($B205="No",AR$6=""),"",IF(NOT(ISNUMBER(_xll.ciqfunctions.udf.CIQ(AR$6,"IQ_TEV",$AI205,$I$2,$I$3))),"",_xll.ciqfunctions.udf.CIQ(AR$6,"IQ_TEV",$AI205,$I$2,$I$3)))</f>
        <v/>
      </c>
      <c r="AS205" s="718" t="str">
        <f>IF(OR($B205="No",AS$6=""),"",IF(NOT(ISNUMBER(_xll.ciqfunctions.udf.CIQ(AS$6,"IQ_TEV",$AI205,$I$2,$I$3))),"",_xll.ciqfunctions.udf.CIQ(AS$6,"IQ_TEV",$AI205,$I$2,$I$3)))</f>
        <v/>
      </c>
      <c r="AT205" s="718" t="str">
        <f>IF(OR($B205="No",AT$6=""),"",IF(NOT(ISNUMBER(_xll.ciqfunctions.udf.CIQ(AT$6,"IQ_TEV",$AI205,$I$2,$I$3))),"",_xll.ciqfunctions.udf.CIQ(AT$6,"IQ_TEV",$AI205,$I$2,$I$3)))</f>
        <v/>
      </c>
      <c r="AV205" s="251">
        <f t="shared" si="129"/>
        <v>44211</v>
      </c>
      <c r="AW205" s="719">
        <f t="shared" si="130"/>
        <v>0.80104492924672521</v>
      </c>
      <c r="AX205" s="719">
        <f t="shared" si="131"/>
        <v>1.1462765044360181</v>
      </c>
      <c r="AY205" s="719" t="e">
        <f t="shared" si="132"/>
        <v>#N/A</v>
      </c>
      <c r="AZ205" s="719" t="e">
        <f t="shared" si="133"/>
        <v>#N/A</v>
      </c>
      <c r="BA205" s="719" t="e">
        <f t="shared" si="134"/>
        <v>#N/A</v>
      </c>
      <c r="BB205" s="719" t="e">
        <f t="shared" si="135"/>
        <v>#N/A</v>
      </c>
      <c r="BC205" s="719" t="e">
        <f t="shared" si="136"/>
        <v>#N/A</v>
      </c>
      <c r="BD205" s="719" t="e">
        <f t="shared" si="137"/>
        <v>#N/A</v>
      </c>
      <c r="BE205" s="719" t="e">
        <f t="shared" si="138"/>
        <v>#N/A</v>
      </c>
      <c r="BF205" s="719" t="e">
        <f t="shared" si="139"/>
        <v>#N/A</v>
      </c>
      <c r="BG205" s="719" t="e">
        <f t="shared" si="140"/>
        <v>#N/A</v>
      </c>
    </row>
    <row r="206" spans="1:59" ht="15" customHeight="1" x14ac:dyDescent="0.2">
      <c r="A206" s="251">
        <f t="shared" si="123"/>
        <v>44218</v>
      </c>
      <c r="B206" s="253" t="str">
        <f t="shared" si="141"/>
        <v>Yes</v>
      </c>
      <c r="C206" s="1033">
        <f>IF(C$6="","",IF(NOT(ISNUMBER(_xll.ciqfunctions.udf.CIQ(C$6,$F$2, $A206, $I$2, $I$3))),IF(C205=C$6,"",C205),_xll.ciqfunctions.udf.CIQ(C$6,$F$2, $A206, $I$2, $I$3)))</f>
        <v>146.33000000000001</v>
      </c>
      <c r="D206" s="1033">
        <f>IF(D$6="","",IF(NOT(ISNUMBER(_xll.ciqfunctions.udf.CIQ(D$6,$F$2, $A206, $I$2, $I$3))),IF(D205=D$6,"",D205),_xll.ciqfunctions.udf.CIQ(D$6,$F$2, $A206, $I$2, $I$3)))</f>
        <v>30996.977729999999</v>
      </c>
      <c r="E206" s="1033">
        <f>IF(E$6="","",IF(NOT(ISNUMBER(_xll.ciqfunctions.udf.CIQ(E$6,$F$2, $A206, $I$2, $I$3))),IF(E205=E$6,"",E205),_xll.ciqfunctions.udf.CIQ(E$6,$F$2, $A206, $I$2, $I$3)))</f>
        <v>10248.189249999999</v>
      </c>
      <c r="F206" s="1033">
        <f>IF(F$6="","",IF(NOT(ISNUMBER(_xll.ciqfunctions.udf.CIQ(F$6,$F$2, $A206, $I$2, $I$3))),IF(F205=F$6,"",F205),_xll.ciqfunctions.udf.CIQ(F$6,$F$2, $A206, $I$2, $I$3)))</f>
        <v>7793.6621299999997</v>
      </c>
      <c r="G206" s="1033">
        <f>IF(G$6="","",IF(NOT(ISNUMBER(_xll.ciqfunctions.udf.CIQ(G$6,$F$2, $A206, $I$2, $I$3))),IF(G205=G$6,"",G205),_xll.ciqfunctions.udf.CIQ(G$6,$F$2, $A206, $I$2, $I$3)))</f>
        <v>362.3</v>
      </c>
      <c r="H206" s="1033" t="str">
        <f>IF(H$6="","",IF(NOT(ISNUMBER(_xll.ciqfunctions.udf.CIQ(H$6,$F$2, $A206, $I$2, $I$3))),IF(H205=H$6,"",H205),_xll.ciqfunctions.udf.CIQ(H$6,$F$2, $A206, $I$2, $I$3)))</f>
        <v/>
      </c>
      <c r="I206" s="1033" t="str">
        <f>IF(I$6="","",IF(NOT(ISNUMBER(_xll.ciqfunctions.udf.CIQ(I$6,$F$2, $A206, $I$2, $I$3))),IF(I205=I$6,"",I205),_xll.ciqfunctions.udf.CIQ(I$6,$F$2, $A206, $I$2, $I$3)))</f>
        <v/>
      </c>
      <c r="J206" s="1033" t="str">
        <f>IF(J$6="","",IF(NOT(ISNUMBER(_xll.ciqfunctions.udf.CIQ(J$6,$F$2, $A206, $I$2, $I$3))),IF(J205=J$6,"",J205),_xll.ciqfunctions.udf.CIQ(J$6,$F$2, $A206, $I$2, $I$3)))</f>
        <v/>
      </c>
      <c r="K206" s="1033" t="str">
        <f>IF(K$6="","",IF(NOT(ISNUMBER(_xll.ciqfunctions.udf.CIQ(K$6,$F$2, $A206, $I$2, $I$3))),IF(K205=K$6,"",K205),_xll.ciqfunctions.udf.CIQ(K$6,$F$2, $A206, $I$2, $I$3)))</f>
        <v/>
      </c>
      <c r="L206" s="254" t="str">
        <f>IF(L$6="","",IF(NOT(ISNUMBER(_xll.ciqfunctions.udf.CIQ(L$6,$F$2, $A206, $I$2, $I$3))),IF(L205=L$6,"",L205),_xll.ciqfunctions.udf.CIQ(L$6,$F$2, $A206, $I$2, $I$3)))</f>
        <v/>
      </c>
      <c r="M206" s="254" t="str">
        <f>IF(M$6="","",IF(NOT(ISNUMBER(_xll.ciqfunctions.udf.CIQ(M$6,$F$2, $A206, $I$2, $I$3))),IF(M205=M$6,"",M205),_xll.ciqfunctions.udf.CIQ(M$6,$F$2, $A206, $I$2, $I$3)))</f>
        <v/>
      </c>
      <c r="N206" s="254" t="str">
        <f>IF(N$6="","",IF(NOT(ISNUMBER(_xll.ciqfunctions.udf.CIQ(N$6,$F$2, $A206, $I$2, $I$3))),IF(N205=N$6,"",N205),_xll.ciqfunctions.udf.CIQ(N$6,$F$2, $A206, $I$2, $I$3)))</f>
        <v/>
      </c>
      <c r="O206" s="254" t="str">
        <f>IF(O$6="","",IF(NOT(ISNUMBER(_xll.ciqfunctions.udf.CIQ(O$6,$F$2, $A206, $I$2, $I$3))),IF(O205=O$6,"",O205),_xll.ciqfunctions.udf.CIQ(O$6,$F$2, $A206, $I$2, $I$3)))</f>
        <v/>
      </c>
      <c r="P206" s="254" t="str">
        <f>IF(P$6="","",IF(NOT(ISNUMBER(_xll.ciqfunctions.udf.CIQ(P$6,$F$2, $A206, $I$2, $I$3))),IF(P205=P$6,"",P205),_xll.ciqfunctions.udf.CIQ(P$6,$F$2, $A206, $I$2, $I$3)))</f>
        <v/>
      </c>
      <c r="Q206" s="254"/>
      <c r="R206" s="251">
        <f t="shared" si="124"/>
        <v>44218</v>
      </c>
      <c r="S206" s="255">
        <f t="shared" si="126"/>
        <v>1.030105438401776</v>
      </c>
      <c r="T206" s="255">
        <f t="shared" si="127"/>
        <v>0.5001038628001786</v>
      </c>
      <c r="U206" s="255">
        <f t="shared" si="128"/>
        <v>0.43214723169829528</v>
      </c>
      <c r="V206" s="255">
        <f t="shared" si="142"/>
        <v>0.77542878184803454</v>
      </c>
      <c r="W206" s="255">
        <f t="array" ref="W206">IFERROR(AVERAGE(IF(ISERROR(X206:AG206),"",X206:AG206)),"")</f>
        <v>1.1605343192796234</v>
      </c>
      <c r="X206" s="255">
        <f t="shared" si="143"/>
        <v>1.1605343192796234</v>
      </c>
      <c r="Y206" s="255" t="e">
        <f t="shared" si="114"/>
        <v>#N/A</v>
      </c>
      <c r="Z206" s="255" t="e">
        <f t="shared" si="115"/>
        <v>#N/A</v>
      </c>
      <c r="AA206" s="255" t="e">
        <f t="shared" si="116"/>
        <v>#N/A</v>
      </c>
      <c r="AB206" s="255" t="e">
        <f t="shared" si="117"/>
        <v>#N/A</v>
      </c>
      <c r="AC206" s="255" t="e">
        <f t="shared" si="118"/>
        <v>#N/A</v>
      </c>
      <c r="AD206" s="255" t="e">
        <f t="shared" si="119"/>
        <v>#N/A</v>
      </c>
      <c r="AE206" s="255" t="e">
        <f t="shared" si="120"/>
        <v>#N/A</v>
      </c>
      <c r="AF206" s="255" t="e">
        <f t="shared" si="121"/>
        <v>#N/A</v>
      </c>
      <c r="AG206" s="255" t="e">
        <f t="shared" si="122"/>
        <v>#N/A</v>
      </c>
      <c r="AI206" s="251">
        <f t="shared" si="125"/>
        <v>44218</v>
      </c>
      <c r="AJ206" s="718">
        <f>IF(OR($B206="No",AJ$6=""),"",IF(NOT(ISNUMBER(_xll.ciqfunctions.udf.CIQ(AJ$6,"IQ_TEV",$AI206,$I$2,$I$3))),"",_xll.ciqfunctions.udf.CIQ(AJ$6,"IQ_TEV",$AI206,$I$2,$I$3)))</f>
        <v>474957.40954999998</v>
      </c>
      <c r="AK206" s="718">
        <f>IF(OR($B206="No",AK$6=""),"",IF(NOT(ISNUMBER(_xll.ciqfunctions.udf.CIQ(AK$6,"IQ_TEV",$AI206,$I$2,$I$3))),"",_xll.ciqfunctions.udf.CIQ(AK$6,"IQ_TEV",$AI206,$I$2,$I$3)))</f>
        <v>156707.67947</v>
      </c>
      <c r="AL206" s="718" t="str">
        <f>IF(OR($B206="No",AL$6=""),"",IF(NOT(ISNUMBER(_xll.ciqfunctions.udf.CIQ(AL$6,"IQ_TEV",$AI206,$I$2,$I$3))),"",_xll.ciqfunctions.udf.CIQ(AL$6,"IQ_TEV",$AI206,$I$2,$I$3)))</f>
        <v/>
      </c>
      <c r="AM206" s="718" t="str">
        <f>IF(OR($B206="No",AM$6=""),"",IF(NOT(ISNUMBER(_xll.ciqfunctions.udf.CIQ(AM$6,"IQ_TEV",$AI206,$I$2,$I$3))),"",_xll.ciqfunctions.udf.CIQ(AM$6,"IQ_TEV",$AI206,$I$2,$I$3)))</f>
        <v/>
      </c>
      <c r="AN206" s="718" t="str">
        <f>IF(OR($B206="No",AN$6=""),"",IF(NOT(ISNUMBER(_xll.ciqfunctions.udf.CIQ(AN$6,"IQ_TEV",$AI206,$I$2,$I$3))),"",_xll.ciqfunctions.udf.CIQ(AN$6,"IQ_TEV",$AI206,$I$2,$I$3)))</f>
        <v/>
      </c>
      <c r="AO206" s="718" t="str">
        <f>IF(OR($B206="No",AO$6=""),"",IF(NOT(ISNUMBER(_xll.ciqfunctions.udf.CIQ(AO$6,"IQ_TEV",$AI206,$I$2,$I$3))),"",_xll.ciqfunctions.udf.CIQ(AO$6,"IQ_TEV",$AI206,$I$2,$I$3)))</f>
        <v/>
      </c>
      <c r="AP206" s="718" t="str">
        <f>IF(OR($B206="No",AP$6=""),"",IF(NOT(ISNUMBER(_xll.ciqfunctions.udf.CIQ(AP$6,"IQ_TEV",$AI206,$I$2,$I$3))),"",_xll.ciqfunctions.udf.CIQ(AP$6,"IQ_TEV",$AI206,$I$2,$I$3)))</f>
        <v/>
      </c>
      <c r="AQ206" s="718" t="str">
        <f>IF(OR($B206="No",AQ$6=""),"",IF(NOT(ISNUMBER(_xll.ciqfunctions.udf.CIQ(AQ$6,"IQ_TEV",$AI206,$I$2,$I$3))),"",_xll.ciqfunctions.udf.CIQ(AQ$6,"IQ_TEV",$AI206,$I$2,$I$3)))</f>
        <v/>
      </c>
      <c r="AR206" s="718" t="str">
        <f>IF(OR($B206="No",AR$6=""),"",IF(NOT(ISNUMBER(_xll.ciqfunctions.udf.CIQ(AR$6,"IQ_TEV",$AI206,$I$2,$I$3))),"",_xll.ciqfunctions.udf.CIQ(AR$6,"IQ_TEV",$AI206,$I$2,$I$3)))</f>
        <v/>
      </c>
      <c r="AS206" s="718" t="str">
        <f>IF(OR($B206="No",AS$6=""),"",IF(NOT(ISNUMBER(_xll.ciqfunctions.udf.CIQ(AS$6,"IQ_TEV",$AI206,$I$2,$I$3))),"",_xll.ciqfunctions.udf.CIQ(AS$6,"IQ_TEV",$AI206,$I$2,$I$3)))</f>
        <v/>
      </c>
      <c r="AT206" s="718" t="str">
        <f>IF(OR($B206="No",AT$6=""),"",IF(NOT(ISNUMBER(_xll.ciqfunctions.udf.CIQ(AT$6,"IQ_TEV",$AI206,$I$2,$I$3))),"",_xll.ciqfunctions.udf.CIQ(AT$6,"IQ_TEV",$AI206,$I$2,$I$3)))</f>
        <v/>
      </c>
      <c r="AV206" s="251">
        <f t="shared" si="129"/>
        <v>44218</v>
      </c>
      <c r="AW206" s="719">
        <f t="shared" si="130"/>
        <v>0.81936080592355354</v>
      </c>
      <c r="AX206" s="719">
        <f t="shared" si="131"/>
        <v>1.1471261840776088</v>
      </c>
      <c r="AY206" s="719" t="e">
        <f t="shared" si="132"/>
        <v>#N/A</v>
      </c>
      <c r="AZ206" s="719" t="e">
        <f t="shared" si="133"/>
        <v>#N/A</v>
      </c>
      <c r="BA206" s="719" t="e">
        <f t="shared" si="134"/>
        <v>#N/A</v>
      </c>
      <c r="BB206" s="719" t="e">
        <f t="shared" si="135"/>
        <v>#N/A</v>
      </c>
      <c r="BC206" s="719" t="e">
        <f t="shared" si="136"/>
        <v>#N/A</v>
      </c>
      <c r="BD206" s="719" t="e">
        <f t="shared" si="137"/>
        <v>#N/A</v>
      </c>
      <c r="BE206" s="719" t="e">
        <f t="shared" si="138"/>
        <v>#N/A</v>
      </c>
      <c r="BF206" s="719" t="e">
        <f t="shared" si="139"/>
        <v>#N/A</v>
      </c>
      <c r="BG206" s="719" t="e">
        <f t="shared" si="140"/>
        <v>#N/A</v>
      </c>
    </row>
    <row r="207" spans="1:59" ht="15" customHeight="1" x14ac:dyDescent="0.2">
      <c r="A207" s="251">
        <f t="shared" si="123"/>
        <v>44225</v>
      </c>
      <c r="B207" s="253" t="str">
        <f t="shared" si="141"/>
        <v>Yes</v>
      </c>
      <c r="C207" s="1033">
        <f>IF(C$6="","",IF(NOT(ISNUMBER(_xll.ciqfunctions.udf.CIQ(C$6,$F$2, $A207, $I$2, $I$3))),IF(C206=C$6,"",C206),_xll.ciqfunctions.udf.CIQ(C$6,$F$2, $A207, $I$2, $I$3)))</f>
        <v>140.49</v>
      </c>
      <c r="D207" s="1033">
        <f>IF(D$6="","",IF(NOT(ISNUMBER(_xll.ciqfunctions.udf.CIQ(D$6,$F$2, $A207, $I$2, $I$3))),IF(D206=D$6,"",D206),_xll.ciqfunctions.udf.CIQ(D$6,$F$2, $A207, $I$2, $I$3)))</f>
        <v>29982.615170000001</v>
      </c>
      <c r="E207" s="1033">
        <f>IF(E$6="","",IF(NOT(ISNUMBER(_xll.ciqfunctions.udf.CIQ(E$6,$F$2, $A207, $I$2, $I$3))),IF(E206=E$6,"",E206),_xll.ciqfunctions.udf.CIQ(E$6,$F$2, $A207, $I$2, $I$3)))</f>
        <v>9877.0092800000002</v>
      </c>
      <c r="F207" s="1033">
        <f>IF(F$6="","",IF(NOT(ISNUMBER(_xll.ciqfunctions.udf.CIQ(F$6,$F$2, $A207, $I$2, $I$3))),IF(F206=F$6,"",F206),_xll.ciqfunctions.udf.CIQ(F$6,$F$2, $A207, $I$2, $I$3)))</f>
        <v>9129.0491600000005</v>
      </c>
      <c r="G207" s="1033">
        <f>IF(G$6="","",IF(NOT(ISNUMBER(_xll.ciqfunctions.udf.CIQ(G$6,$F$2, $A207, $I$2, $I$3))),IF(G206=G$6,"",G206),_xll.ciqfunctions.udf.CIQ(G$6,$F$2, $A207, $I$2, $I$3)))</f>
        <v>352.43</v>
      </c>
      <c r="H207" s="1033" t="str">
        <f>IF(H$6="","",IF(NOT(ISNUMBER(_xll.ciqfunctions.udf.CIQ(H$6,$F$2, $A207, $I$2, $I$3))),IF(H206=H$6,"",H206),_xll.ciqfunctions.udf.CIQ(H$6,$F$2, $A207, $I$2, $I$3)))</f>
        <v/>
      </c>
      <c r="I207" s="1033" t="str">
        <f>IF(I$6="","",IF(NOT(ISNUMBER(_xll.ciqfunctions.udf.CIQ(I$6,$F$2, $A207, $I$2, $I$3))),IF(I206=I$6,"",I206),_xll.ciqfunctions.udf.CIQ(I$6,$F$2, $A207, $I$2, $I$3)))</f>
        <v/>
      </c>
      <c r="J207" s="1033" t="str">
        <f>IF(J$6="","",IF(NOT(ISNUMBER(_xll.ciqfunctions.udf.CIQ(J$6,$F$2, $A207, $I$2, $I$3))),IF(J206=J$6,"",J206),_xll.ciqfunctions.udf.CIQ(J$6,$F$2, $A207, $I$2, $I$3)))</f>
        <v/>
      </c>
      <c r="K207" s="1033" t="str">
        <f>IF(K$6="","",IF(NOT(ISNUMBER(_xll.ciqfunctions.udf.CIQ(K$6,$F$2, $A207, $I$2, $I$3))),IF(K206=K$6,"",K206),_xll.ciqfunctions.udf.CIQ(K$6,$F$2, $A207, $I$2, $I$3)))</f>
        <v/>
      </c>
      <c r="L207" s="254" t="str">
        <f>IF(L$6="","",IF(NOT(ISNUMBER(_xll.ciqfunctions.udf.CIQ(L$6,$F$2, $A207, $I$2, $I$3))),IF(L206=L$6,"",L206),_xll.ciqfunctions.udf.CIQ(L$6,$F$2, $A207, $I$2, $I$3)))</f>
        <v/>
      </c>
      <c r="M207" s="254" t="str">
        <f>IF(M$6="","",IF(NOT(ISNUMBER(_xll.ciqfunctions.udf.CIQ(M$6,$F$2, $A207, $I$2, $I$3))),IF(M206=M$6,"",M206),_xll.ciqfunctions.udf.CIQ(M$6,$F$2, $A207, $I$2, $I$3)))</f>
        <v/>
      </c>
      <c r="N207" s="254" t="str">
        <f>IF(N$6="","",IF(NOT(ISNUMBER(_xll.ciqfunctions.udf.CIQ(N$6,$F$2, $A207, $I$2, $I$3))),IF(N206=N$6,"",N206),_xll.ciqfunctions.udf.CIQ(N$6,$F$2, $A207, $I$2, $I$3)))</f>
        <v/>
      </c>
      <c r="O207" s="254" t="str">
        <f>IF(O$6="","",IF(NOT(ISNUMBER(_xll.ciqfunctions.udf.CIQ(O$6,$F$2, $A207, $I$2, $I$3))),IF(O206=O$6,"",O206),_xll.ciqfunctions.udf.CIQ(O$6,$F$2, $A207, $I$2, $I$3)))</f>
        <v/>
      </c>
      <c r="P207" s="254" t="str">
        <f>IF(P$6="","",IF(NOT(ISNUMBER(_xll.ciqfunctions.udf.CIQ(P$6,$F$2, $A207, $I$2, $I$3))),IF(P206=P$6,"",P206),_xll.ciqfunctions.udf.CIQ(P$6,$F$2, $A207, $I$2, $I$3)))</f>
        <v/>
      </c>
      <c r="Q207" s="254"/>
      <c r="R207" s="251">
        <f t="shared" si="124"/>
        <v>44225</v>
      </c>
      <c r="S207" s="255">
        <f t="shared" si="126"/>
        <v>0.94908435072142083</v>
      </c>
      <c r="T207" s="255">
        <f t="shared" si="127"/>
        <v>0.45101361897736969</v>
      </c>
      <c r="U207" s="255">
        <f t="shared" si="128"/>
        <v>0.3802761788196265</v>
      </c>
      <c r="V207" s="255">
        <f t="shared" si="142"/>
        <v>1.0796355242525282</v>
      </c>
      <c r="W207" s="255">
        <f t="array" ref="W207">IFERROR(AVERAGE(IF(ISERROR(X207:AG207),"",X207:AG207)),"")</f>
        <v>1.1016757111336397</v>
      </c>
      <c r="X207" s="255">
        <f t="shared" si="143"/>
        <v>1.1016757111336397</v>
      </c>
      <c r="Y207" s="255" t="e">
        <f t="shared" si="114"/>
        <v>#N/A</v>
      </c>
      <c r="Z207" s="255" t="e">
        <f t="shared" si="115"/>
        <v>#N/A</v>
      </c>
      <c r="AA207" s="255" t="e">
        <f t="shared" si="116"/>
        <v>#N/A</v>
      </c>
      <c r="AB207" s="255" t="e">
        <f t="shared" si="117"/>
        <v>#N/A</v>
      </c>
      <c r="AC207" s="255" t="e">
        <f t="shared" si="118"/>
        <v>#N/A</v>
      </c>
      <c r="AD207" s="255" t="e">
        <f t="shared" si="119"/>
        <v>#N/A</v>
      </c>
      <c r="AE207" s="255" t="e">
        <f t="shared" si="120"/>
        <v>#N/A</v>
      </c>
      <c r="AF207" s="255" t="e">
        <f t="shared" si="121"/>
        <v>#N/A</v>
      </c>
      <c r="AG207" s="255" t="e">
        <f t="shared" si="122"/>
        <v>#N/A</v>
      </c>
      <c r="AI207" s="251">
        <f t="shared" si="125"/>
        <v>44225</v>
      </c>
      <c r="AJ207" s="718">
        <f>IF(OR($B207="No",AJ$6=""),"",IF(NOT(ISNUMBER(_xll.ciqfunctions.udf.CIQ(AJ$6,"IQ_TEV",$AI207,$I$2,$I$3))),"",_xll.ciqfunctions.udf.CIQ(AJ$6,"IQ_TEV",$AI207,$I$2,$I$3)))</f>
        <v>458434.37974</v>
      </c>
      <c r="AK207" s="718">
        <f>IF(OR($B207="No",AK$6=""),"",IF(NOT(ISNUMBER(_xll.ciqfunctions.udf.CIQ(AK$6,"IQ_TEV",$AI207,$I$2,$I$3))),"",_xll.ciqfunctions.udf.CIQ(AK$6,"IQ_TEV",$AI207,$I$2,$I$3)))</f>
        <v>152335.71135999999</v>
      </c>
      <c r="AL207" s="718" t="str">
        <f>IF(OR($B207="No",AL$6=""),"",IF(NOT(ISNUMBER(_xll.ciqfunctions.udf.CIQ(AL$6,"IQ_TEV",$AI207,$I$2,$I$3))),"",_xll.ciqfunctions.udf.CIQ(AL$6,"IQ_TEV",$AI207,$I$2,$I$3)))</f>
        <v/>
      </c>
      <c r="AM207" s="718" t="str">
        <f>IF(OR($B207="No",AM$6=""),"",IF(NOT(ISNUMBER(_xll.ciqfunctions.udf.CIQ(AM$6,"IQ_TEV",$AI207,$I$2,$I$3))),"",_xll.ciqfunctions.udf.CIQ(AM$6,"IQ_TEV",$AI207,$I$2,$I$3)))</f>
        <v/>
      </c>
      <c r="AN207" s="718" t="str">
        <f>IF(OR($B207="No",AN$6=""),"",IF(NOT(ISNUMBER(_xll.ciqfunctions.udf.CIQ(AN$6,"IQ_TEV",$AI207,$I$2,$I$3))),"",_xll.ciqfunctions.udf.CIQ(AN$6,"IQ_TEV",$AI207,$I$2,$I$3)))</f>
        <v/>
      </c>
      <c r="AO207" s="718" t="str">
        <f>IF(OR($B207="No",AO$6=""),"",IF(NOT(ISNUMBER(_xll.ciqfunctions.udf.CIQ(AO$6,"IQ_TEV",$AI207,$I$2,$I$3))),"",_xll.ciqfunctions.udf.CIQ(AO$6,"IQ_TEV",$AI207,$I$2,$I$3)))</f>
        <v/>
      </c>
      <c r="AP207" s="718" t="str">
        <f>IF(OR($B207="No",AP$6=""),"",IF(NOT(ISNUMBER(_xll.ciqfunctions.udf.CIQ(AP$6,"IQ_TEV",$AI207,$I$2,$I$3))),"",_xll.ciqfunctions.udf.CIQ(AP$6,"IQ_TEV",$AI207,$I$2,$I$3)))</f>
        <v/>
      </c>
      <c r="AQ207" s="718" t="str">
        <f>IF(OR($B207="No",AQ$6=""),"",IF(NOT(ISNUMBER(_xll.ciqfunctions.udf.CIQ(AQ$6,"IQ_TEV",$AI207,$I$2,$I$3))),"",_xll.ciqfunctions.udf.CIQ(AQ$6,"IQ_TEV",$AI207,$I$2,$I$3)))</f>
        <v/>
      </c>
      <c r="AR207" s="718" t="str">
        <f>IF(OR($B207="No",AR$6=""),"",IF(NOT(ISNUMBER(_xll.ciqfunctions.udf.CIQ(AR$6,"IQ_TEV",$AI207,$I$2,$I$3))),"",_xll.ciqfunctions.udf.CIQ(AR$6,"IQ_TEV",$AI207,$I$2,$I$3)))</f>
        <v/>
      </c>
      <c r="AS207" s="718" t="str">
        <f>IF(OR($B207="No",AS$6=""),"",IF(NOT(ISNUMBER(_xll.ciqfunctions.udf.CIQ(AS$6,"IQ_TEV",$AI207,$I$2,$I$3))),"",_xll.ciqfunctions.udf.CIQ(AS$6,"IQ_TEV",$AI207,$I$2,$I$3)))</f>
        <v/>
      </c>
      <c r="AT207" s="718" t="str">
        <f>IF(OR($B207="No",AT$6=""),"",IF(NOT(ISNUMBER(_xll.ciqfunctions.udf.CIQ(AT$6,"IQ_TEV",$AI207,$I$2,$I$3))),"",_xll.ciqfunctions.udf.CIQ(AT$6,"IQ_TEV",$AI207,$I$2,$I$3)))</f>
        <v/>
      </c>
      <c r="AV207" s="251">
        <f t="shared" si="129"/>
        <v>44225</v>
      </c>
      <c r="AW207" s="719">
        <f t="shared" si="130"/>
        <v>0.75606807224475436</v>
      </c>
      <c r="AX207" s="719">
        <f t="shared" si="131"/>
        <v>1.0872237770182891</v>
      </c>
      <c r="AY207" s="719" t="e">
        <f t="shared" si="132"/>
        <v>#N/A</v>
      </c>
      <c r="AZ207" s="719" t="e">
        <f t="shared" si="133"/>
        <v>#N/A</v>
      </c>
      <c r="BA207" s="719" t="e">
        <f t="shared" si="134"/>
        <v>#N/A</v>
      </c>
      <c r="BB207" s="719" t="e">
        <f t="shared" si="135"/>
        <v>#N/A</v>
      </c>
      <c r="BC207" s="719" t="e">
        <f t="shared" si="136"/>
        <v>#N/A</v>
      </c>
      <c r="BD207" s="719" t="e">
        <f t="shared" si="137"/>
        <v>#N/A</v>
      </c>
      <c r="BE207" s="719" t="e">
        <f t="shared" si="138"/>
        <v>#N/A</v>
      </c>
      <c r="BF207" s="719" t="e">
        <f t="shared" si="139"/>
        <v>#N/A</v>
      </c>
      <c r="BG207" s="719" t="e">
        <f t="shared" si="140"/>
        <v>#N/A</v>
      </c>
    </row>
    <row r="208" spans="1:59" ht="15" customHeight="1" x14ac:dyDescent="0.2">
      <c r="A208" s="251">
        <f t="shared" si="123"/>
        <v>44232</v>
      </c>
      <c r="B208" s="253" t="str">
        <f t="shared" si="141"/>
        <v>Yes</v>
      </c>
      <c r="C208" s="1033">
        <f>IF(C$6="","",IF(NOT(ISNUMBER(_xll.ciqfunctions.udf.CIQ(C$6,$F$2, $A208, $I$2, $I$3))),IF(C207=C$6,"",C207),_xll.ciqfunctions.udf.CIQ(C$6,$F$2, $A208, $I$2, $I$3)))</f>
        <v>144.36000000000001</v>
      </c>
      <c r="D208" s="1033">
        <f>IF(D$6="","",IF(NOT(ISNUMBER(_xll.ciqfunctions.udf.CIQ(D$6,$F$2, $A208, $I$2, $I$3))),IF(D207=D$6,"",D207),_xll.ciqfunctions.udf.CIQ(D$6,$F$2, $A208, $I$2, $I$3)))</f>
        <v>31148.240600000001</v>
      </c>
      <c r="E208" s="1033">
        <f>IF(E$6="","",IF(NOT(ISNUMBER(_xll.ciqfunctions.udf.CIQ(E$6,$F$2, $A208, $I$2, $I$3))),IF(E207=E$6,"",E207),_xll.ciqfunctions.udf.CIQ(E$6,$F$2, $A208, $I$2, $I$3)))</f>
        <v>10287.50405</v>
      </c>
      <c r="F208" s="1033">
        <f>IF(F$6="","",IF(NOT(ISNUMBER(_xll.ciqfunctions.udf.CIQ(F$6,$F$2, $A208, $I$2, $I$3))),IF(F207=F$6,"",F207),_xll.ciqfunctions.udf.CIQ(F$6,$F$2, $A208, $I$2, $I$3)))</f>
        <v>8203.5235100000009</v>
      </c>
      <c r="G208" s="1033">
        <f>IF(G$6="","",IF(NOT(ISNUMBER(_xll.ciqfunctions.udf.CIQ(G$6,$F$2, $A208, $I$2, $I$3))),IF(G207=G$6,"",G207),_xll.ciqfunctions.udf.CIQ(G$6,$F$2, $A208, $I$2, $I$3)))</f>
        <v>355.17</v>
      </c>
      <c r="H208" s="1033" t="str">
        <f>IF(H$6="","",IF(NOT(ISNUMBER(_xll.ciqfunctions.udf.CIQ(H$6,$F$2, $A208, $I$2, $I$3))),IF(H207=H$6,"",H207),_xll.ciqfunctions.udf.CIQ(H$6,$F$2, $A208, $I$2, $I$3)))</f>
        <v/>
      </c>
      <c r="I208" s="1033" t="str">
        <f>IF(I$6="","",IF(NOT(ISNUMBER(_xll.ciqfunctions.udf.CIQ(I$6,$F$2, $A208, $I$2, $I$3))),IF(I207=I$6,"",I207),_xll.ciqfunctions.udf.CIQ(I$6,$F$2, $A208, $I$2, $I$3)))</f>
        <v/>
      </c>
      <c r="J208" s="1033" t="str">
        <f>IF(J$6="","",IF(NOT(ISNUMBER(_xll.ciqfunctions.udf.CIQ(J$6,$F$2, $A208, $I$2, $I$3))),IF(J207=J$6,"",J207),_xll.ciqfunctions.udf.CIQ(J$6,$F$2, $A208, $I$2, $I$3)))</f>
        <v/>
      </c>
      <c r="K208" s="1033" t="str">
        <f>IF(K$6="","",IF(NOT(ISNUMBER(_xll.ciqfunctions.udf.CIQ(K$6,$F$2, $A208, $I$2, $I$3))),IF(K207=K$6,"",K207),_xll.ciqfunctions.udf.CIQ(K$6,$F$2, $A208, $I$2, $I$3)))</f>
        <v/>
      </c>
      <c r="L208" s="254" t="str">
        <f>IF(L$6="","",IF(NOT(ISNUMBER(_xll.ciqfunctions.udf.CIQ(L$6,$F$2, $A208, $I$2, $I$3))),IF(L207=L$6,"",L207),_xll.ciqfunctions.udf.CIQ(L$6,$F$2, $A208, $I$2, $I$3)))</f>
        <v/>
      </c>
      <c r="M208" s="254" t="str">
        <f>IF(M$6="","",IF(NOT(ISNUMBER(_xll.ciqfunctions.udf.CIQ(M$6,$F$2, $A208, $I$2, $I$3))),IF(M207=M$6,"",M207),_xll.ciqfunctions.udf.CIQ(M$6,$F$2, $A208, $I$2, $I$3)))</f>
        <v/>
      </c>
      <c r="N208" s="254" t="str">
        <f>IF(N$6="","",IF(NOT(ISNUMBER(_xll.ciqfunctions.udf.CIQ(N$6,$F$2, $A208, $I$2, $I$3))),IF(N207=N$6,"",N207),_xll.ciqfunctions.udf.CIQ(N$6,$F$2, $A208, $I$2, $I$3)))</f>
        <v/>
      </c>
      <c r="O208" s="254" t="str">
        <f>IF(O$6="","",IF(NOT(ISNUMBER(_xll.ciqfunctions.udf.CIQ(O$6,$F$2, $A208, $I$2, $I$3))),IF(O207=O$6,"",O207),_xll.ciqfunctions.udf.CIQ(O$6,$F$2, $A208, $I$2, $I$3)))</f>
        <v/>
      </c>
      <c r="P208" s="254" t="str">
        <f>IF(P$6="","",IF(NOT(ISNUMBER(_xll.ciqfunctions.udf.CIQ(P$6,$F$2, $A208, $I$2, $I$3))),IF(P207=P$6,"",P207),_xll.ciqfunctions.udf.CIQ(P$6,$F$2, $A208, $I$2, $I$3)))</f>
        <v/>
      </c>
      <c r="Q208" s="254"/>
      <c r="R208" s="251">
        <f t="shared" si="124"/>
        <v>44232</v>
      </c>
      <c r="S208" s="255">
        <f t="shared" si="126"/>
        <v>1.0027746947835738</v>
      </c>
      <c r="T208" s="255">
        <f t="shared" si="127"/>
        <v>0.50742425440615224</v>
      </c>
      <c r="U208" s="255">
        <f t="shared" si="128"/>
        <v>0.43764133222778856</v>
      </c>
      <c r="V208" s="255">
        <f t="shared" si="142"/>
        <v>0.86879691591416397</v>
      </c>
      <c r="W208" s="255">
        <f t="array" ref="W208">IFERROR(AVERAGE(IF(ISERROR(X208:AG208),"",X208:AG208)),"")</f>
        <v>1.1180153855328285</v>
      </c>
      <c r="X208" s="255">
        <f t="shared" si="143"/>
        <v>1.1180153855328285</v>
      </c>
      <c r="Y208" s="255" t="e">
        <f t="shared" si="114"/>
        <v>#N/A</v>
      </c>
      <c r="Z208" s="255" t="e">
        <f t="shared" si="115"/>
        <v>#N/A</v>
      </c>
      <c r="AA208" s="255" t="e">
        <f t="shared" si="116"/>
        <v>#N/A</v>
      </c>
      <c r="AB208" s="255" t="e">
        <f t="shared" si="117"/>
        <v>#N/A</v>
      </c>
      <c r="AC208" s="255" t="e">
        <f t="shared" si="118"/>
        <v>#N/A</v>
      </c>
      <c r="AD208" s="255" t="e">
        <f t="shared" si="119"/>
        <v>#N/A</v>
      </c>
      <c r="AE208" s="255" t="e">
        <f t="shared" si="120"/>
        <v>#N/A</v>
      </c>
      <c r="AF208" s="255" t="e">
        <f t="shared" si="121"/>
        <v>#N/A</v>
      </c>
      <c r="AG208" s="255" t="e">
        <f t="shared" si="122"/>
        <v>#N/A</v>
      </c>
      <c r="AI208" s="251">
        <f t="shared" si="125"/>
        <v>44232</v>
      </c>
      <c r="AJ208" s="718">
        <f>IF(OR($B208="No",AJ$6=""),"",IF(NOT(ISNUMBER(_xll.ciqfunctions.udf.CIQ(AJ$6,"IQ_TEV",$AI208,$I$2,$I$3))),"",_xll.ciqfunctions.udf.CIQ(AJ$6,"IQ_TEV",$AI208,$I$2,$I$3)))</f>
        <v>469383.71627999999</v>
      </c>
      <c r="AK208" s="718">
        <f>IF(OR($B208="No",AK$6=""),"",IF(NOT(ISNUMBER(_xll.ciqfunctions.udf.CIQ(AK$6,"IQ_TEV",$AI208,$I$2,$I$3))),"",_xll.ciqfunctions.udf.CIQ(AK$6,"IQ_TEV",$AI208,$I$2,$I$3)))</f>
        <v>153549.40867999999</v>
      </c>
      <c r="AL208" s="718" t="str">
        <f>IF(OR($B208="No",AL$6=""),"",IF(NOT(ISNUMBER(_xll.ciqfunctions.udf.CIQ(AL$6,"IQ_TEV",$AI208,$I$2,$I$3))),"",_xll.ciqfunctions.udf.CIQ(AL$6,"IQ_TEV",$AI208,$I$2,$I$3)))</f>
        <v/>
      </c>
      <c r="AM208" s="718" t="str">
        <f>IF(OR($B208="No",AM$6=""),"",IF(NOT(ISNUMBER(_xll.ciqfunctions.udf.CIQ(AM$6,"IQ_TEV",$AI208,$I$2,$I$3))),"",_xll.ciqfunctions.udf.CIQ(AM$6,"IQ_TEV",$AI208,$I$2,$I$3)))</f>
        <v/>
      </c>
      <c r="AN208" s="718" t="str">
        <f>IF(OR($B208="No",AN$6=""),"",IF(NOT(ISNUMBER(_xll.ciqfunctions.udf.CIQ(AN$6,"IQ_TEV",$AI208,$I$2,$I$3))),"",_xll.ciqfunctions.udf.CIQ(AN$6,"IQ_TEV",$AI208,$I$2,$I$3)))</f>
        <v/>
      </c>
      <c r="AO208" s="718" t="str">
        <f>IF(OR($B208="No",AO$6=""),"",IF(NOT(ISNUMBER(_xll.ciqfunctions.udf.CIQ(AO$6,"IQ_TEV",$AI208,$I$2,$I$3))),"",_xll.ciqfunctions.udf.CIQ(AO$6,"IQ_TEV",$AI208,$I$2,$I$3)))</f>
        <v/>
      </c>
      <c r="AP208" s="718" t="str">
        <f>IF(OR($B208="No",AP$6=""),"",IF(NOT(ISNUMBER(_xll.ciqfunctions.udf.CIQ(AP$6,"IQ_TEV",$AI208,$I$2,$I$3))),"",_xll.ciqfunctions.udf.CIQ(AP$6,"IQ_TEV",$AI208,$I$2,$I$3)))</f>
        <v/>
      </c>
      <c r="AQ208" s="718" t="str">
        <f>IF(OR($B208="No",AQ$6=""),"",IF(NOT(ISNUMBER(_xll.ciqfunctions.udf.CIQ(AQ$6,"IQ_TEV",$AI208,$I$2,$I$3))),"",_xll.ciqfunctions.udf.CIQ(AQ$6,"IQ_TEV",$AI208,$I$2,$I$3)))</f>
        <v/>
      </c>
      <c r="AR208" s="718" t="str">
        <f>IF(OR($B208="No",AR$6=""),"",IF(NOT(ISNUMBER(_xll.ciqfunctions.udf.CIQ(AR$6,"IQ_TEV",$AI208,$I$2,$I$3))),"",_xll.ciqfunctions.udf.CIQ(AR$6,"IQ_TEV",$AI208,$I$2,$I$3)))</f>
        <v/>
      </c>
      <c r="AS208" s="718" t="str">
        <f>IF(OR($B208="No",AS$6=""),"",IF(NOT(ISNUMBER(_xll.ciqfunctions.udf.CIQ(AS$6,"IQ_TEV",$AI208,$I$2,$I$3))),"",_xll.ciqfunctions.udf.CIQ(AS$6,"IQ_TEV",$AI208,$I$2,$I$3)))</f>
        <v/>
      </c>
      <c r="AT208" s="718" t="str">
        <f>IF(OR($B208="No",AT$6=""),"",IF(NOT(ISNUMBER(_xll.ciqfunctions.udf.CIQ(AT$6,"IQ_TEV",$AI208,$I$2,$I$3))),"",_xll.ciqfunctions.udf.CIQ(AT$6,"IQ_TEV",$AI208,$I$2,$I$3)))</f>
        <v/>
      </c>
      <c r="AV208" s="251">
        <f t="shared" si="129"/>
        <v>44232</v>
      </c>
      <c r="AW208" s="719">
        <f t="shared" si="130"/>
        <v>0.79801034612277766</v>
      </c>
      <c r="AX208" s="719">
        <f t="shared" si="131"/>
        <v>1.1038532192008961</v>
      </c>
      <c r="AY208" s="719" t="e">
        <f t="shared" si="132"/>
        <v>#N/A</v>
      </c>
      <c r="AZ208" s="719" t="e">
        <f t="shared" si="133"/>
        <v>#N/A</v>
      </c>
      <c r="BA208" s="719" t="e">
        <f t="shared" si="134"/>
        <v>#N/A</v>
      </c>
      <c r="BB208" s="719" t="e">
        <f t="shared" si="135"/>
        <v>#N/A</v>
      </c>
      <c r="BC208" s="719" t="e">
        <f t="shared" si="136"/>
        <v>#N/A</v>
      </c>
      <c r="BD208" s="719" t="e">
        <f t="shared" si="137"/>
        <v>#N/A</v>
      </c>
      <c r="BE208" s="719" t="e">
        <f t="shared" si="138"/>
        <v>#N/A</v>
      </c>
      <c r="BF208" s="719" t="e">
        <f t="shared" si="139"/>
        <v>#N/A</v>
      </c>
      <c r="BG208" s="719" t="e">
        <f t="shared" si="140"/>
        <v>#N/A</v>
      </c>
    </row>
    <row r="209" spans="1:59" ht="15" customHeight="1" x14ac:dyDescent="0.2">
      <c r="A209" s="251">
        <f t="shared" si="123"/>
        <v>44239</v>
      </c>
      <c r="B209" s="253" t="str">
        <f t="shared" si="141"/>
        <v>Yes</v>
      </c>
      <c r="C209" s="1033">
        <f>IF(C$6="","",IF(NOT(ISNUMBER(_xll.ciqfunctions.udf.CIQ(C$6,$F$2, $A209, $I$2, $I$3))),IF(C208=C$6,"",C208),_xll.ciqfunctions.udf.CIQ(C$6,$F$2, $A209, $I$2, $I$3)))</f>
        <v>144.47</v>
      </c>
      <c r="D209" s="1033">
        <f>IF(D$6="","",IF(NOT(ISNUMBER(_xll.ciqfunctions.udf.CIQ(D$6,$F$2, $A209, $I$2, $I$3))),IF(D208=D$6,"",D208),_xll.ciqfunctions.udf.CIQ(D$6,$F$2, $A209, $I$2, $I$3)))</f>
        <v>31458.398550000002</v>
      </c>
      <c r="E209" s="1033">
        <f>IF(E$6="","",IF(NOT(ISNUMBER(_xll.ciqfunctions.udf.CIQ(E$6,$F$2, $A209, $I$2, $I$3))),IF(E208=E$6,"",E208),_xll.ciqfunctions.udf.CIQ(E$6,$F$2, $A209, $I$2, $I$3)))</f>
        <v>10404.834430000001</v>
      </c>
      <c r="F209" s="1033">
        <f>IF(F$6="","",IF(NOT(ISNUMBER(_xll.ciqfunctions.udf.CIQ(F$6,$F$2, $A209, $I$2, $I$3))),IF(F208=F$6,"",F208),_xll.ciqfunctions.udf.CIQ(F$6,$F$2, $A209, $I$2, $I$3)))</f>
        <v>8314.3570999999993</v>
      </c>
      <c r="G209" s="1033">
        <f>IF(G$6="","",IF(NOT(ISNUMBER(_xll.ciqfunctions.udf.CIQ(G$6,$F$2, $A209, $I$2, $I$3))),IF(G208=G$6,"",G208),_xll.ciqfunctions.udf.CIQ(G$6,$F$2, $A209, $I$2, $I$3)))</f>
        <v>352.75</v>
      </c>
      <c r="H209" s="1033" t="str">
        <f>IF(H$6="","",IF(NOT(ISNUMBER(_xll.ciqfunctions.udf.CIQ(H$6,$F$2, $A209, $I$2, $I$3))),IF(H208=H$6,"",H208),_xll.ciqfunctions.udf.CIQ(H$6,$F$2, $A209, $I$2, $I$3)))</f>
        <v/>
      </c>
      <c r="I209" s="1033" t="str">
        <f>IF(I$6="","",IF(NOT(ISNUMBER(_xll.ciqfunctions.udf.CIQ(I$6,$F$2, $A209, $I$2, $I$3))),IF(I208=I$6,"",I208),_xll.ciqfunctions.udf.CIQ(I$6,$F$2, $A209, $I$2, $I$3)))</f>
        <v/>
      </c>
      <c r="J209" s="1033" t="str">
        <f>IF(J$6="","",IF(NOT(ISNUMBER(_xll.ciqfunctions.udf.CIQ(J$6,$F$2, $A209, $I$2, $I$3))),IF(J208=J$6,"",J208),_xll.ciqfunctions.udf.CIQ(J$6,$F$2, $A209, $I$2, $I$3)))</f>
        <v/>
      </c>
      <c r="K209" s="1033" t="str">
        <f>IF(K$6="","",IF(NOT(ISNUMBER(_xll.ciqfunctions.udf.CIQ(K$6,$F$2, $A209, $I$2, $I$3))),IF(K208=K$6,"",K208),_xll.ciqfunctions.udf.CIQ(K$6,$F$2, $A209, $I$2, $I$3)))</f>
        <v/>
      </c>
      <c r="L209" s="254" t="str">
        <f>IF(L$6="","",IF(NOT(ISNUMBER(_xll.ciqfunctions.udf.CIQ(L$6,$F$2, $A209, $I$2, $I$3))),IF(L208=L$6,"",L208),_xll.ciqfunctions.udf.CIQ(L$6,$F$2, $A209, $I$2, $I$3)))</f>
        <v/>
      </c>
      <c r="M209" s="254" t="str">
        <f>IF(M$6="","",IF(NOT(ISNUMBER(_xll.ciqfunctions.udf.CIQ(M$6,$F$2, $A209, $I$2, $I$3))),IF(M208=M$6,"",M208),_xll.ciqfunctions.udf.CIQ(M$6,$F$2, $A209, $I$2, $I$3)))</f>
        <v/>
      </c>
      <c r="N209" s="254" t="str">
        <f>IF(N$6="","",IF(NOT(ISNUMBER(_xll.ciqfunctions.udf.CIQ(N$6,$F$2, $A209, $I$2, $I$3))),IF(N208=N$6,"",N208),_xll.ciqfunctions.udf.CIQ(N$6,$F$2, $A209, $I$2, $I$3)))</f>
        <v/>
      </c>
      <c r="O209" s="254" t="str">
        <f>IF(O$6="","",IF(NOT(ISNUMBER(_xll.ciqfunctions.udf.CIQ(O$6,$F$2, $A209, $I$2, $I$3))),IF(O208=O$6,"",O208),_xll.ciqfunctions.udf.CIQ(O$6,$F$2, $A209, $I$2, $I$3)))</f>
        <v/>
      </c>
      <c r="P209" s="254" t="str">
        <f>IF(P$6="","",IF(NOT(ISNUMBER(_xll.ciqfunctions.udf.CIQ(P$6,$F$2, $A209, $I$2, $I$3))),IF(P208=P$6,"",P208),_xll.ciqfunctions.udf.CIQ(P$6,$F$2, $A209, $I$2, $I$3)))</f>
        <v/>
      </c>
      <c r="Q209" s="254"/>
      <c r="R209" s="251">
        <f t="shared" si="124"/>
        <v>44239</v>
      </c>
      <c r="S209" s="255">
        <f t="shared" si="126"/>
        <v>1.0043007769145396</v>
      </c>
      <c r="T209" s="255">
        <f t="shared" si="127"/>
        <v>0.52243439968308603</v>
      </c>
      <c r="U209" s="255">
        <f t="shared" si="128"/>
        <v>0.45403782675106363</v>
      </c>
      <c r="V209" s="255">
        <f t="shared" si="142"/>
        <v>0.89404527058995775</v>
      </c>
      <c r="W209" s="255">
        <f t="array" ref="W209">IFERROR(AVERAGE(IF(ISERROR(X209:AG209),"",X209:AG209)),"")</f>
        <v>1.1035839942751506</v>
      </c>
      <c r="X209" s="255">
        <f t="shared" si="143"/>
        <v>1.1035839942751506</v>
      </c>
      <c r="Y209" s="255" t="e">
        <f t="shared" si="114"/>
        <v>#N/A</v>
      </c>
      <c r="Z209" s="255" t="e">
        <f t="shared" si="115"/>
        <v>#N/A</v>
      </c>
      <c r="AA209" s="255" t="e">
        <f t="shared" si="116"/>
        <v>#N/A</v>
      </c>
      <c r="AB209" s="255" t="e">
        <f t="shared" si="117"/>
        <v>#N/A</v>
      </c>
      <c r="AC209" s="255" t="e">
        <f t="shared" si="118"/>
        <v>#N/A</v>
      </c>
      <c r="AD209" s="255" t="e">
        <f t="shared" si="119"/>
        <v>#N/A</v>
      </c>
      <c r="AE209" s="255" t="e">
        <f t="shared" si="120"/>
        <v>#N/A</v>
      </c>
      <c r="AF209" s="255" t="e">
        <f t="shared" si="121"/>
        <v>#N/A</v>
      </c>
      <c r="AG209" s="255" t="e">
        <f t="shared" si="122"/>
        <v>#N/A</v>
      </c>
      <c r="AI209" s="251">
        <f t="shared" si="125"/>
        <v>44239</v>
      </c>
      <c r="AJ209" s="718">
        <f>IF(OR($B209="No",AJ$6=""),"",IF(NOT(ISNUMBER(_xll.ciqfunctions.udf.CIQ(AJ$6,"IQ_TEV",$AI209,$I$2,$I$3))),"",_xll.ciqfunctions.udf.CIQ(AJ$6,"IQ_TEV",$AI209,$I$2,$I$3)))</f>
        <v>469694.93773000001</v>
      </c>
      <c r="AK209" s="718">
        <f>IF(OR($B209="No",AK$6=""),"",IF(NOT(ISNUMBER(_xll.ciqfunctions.udf.CIQ(AK$6,"IQ_TEV",$AI209,$I$2,$I$3))),"",_xll.ciqfunctions.udf.CIQ(AK$6,"IQ_TEV",$AI209,$I$2,$I$3)))</f>
        <v>152477.45702999999</v>
      </c>
      <c r="AL209" s="718" t="str">
        <f>IF(OR($B209="No",AL$6=""),"",IF(NOT(ISNUMBER(_xll.ciqfunctions.udf.CIQ(AL$6,"IQ_TEV",$AI209,$I$2,$I$3))),"",_xll.ciqfunctions.udf.CIQ(AL$6,"IQ_TEV",$AI209,$I$2,$I$3)))</f>
        <v/>
      </c>
      <c r="AM209" s="718" t="str">
        <f>IF(OR($B209="No",AM$6=""),"",IF(NOT(ISNUMBER(_xll.ciqfunctions.udf.CIQ(AM$6,"IQ_TEV",$AI209,$I$2,$I$3))),"",_xll.ciqfunctions.udf.CIQ(AM$6,"IQ_TEV",$AI209,$I$2,$I$3)))</f>
        <v/>
      </c>
      <c r="AN209" s="718" t="str">
        <f>IF(OR($B209="No",AN$6=""),"",IF(NOT(ISNUMBER(_xll.ciqfunctions.udf.CIQ(AN$6,"IQ_TEV",$AI209,$I$2,$I$3))),"",_xll.ciqfunctions.udf.CIQ(AN$6,"IQ_TEV",$AI209,$I$2,$I$3)))</f>
        <v/>
      </c>
      <c r="AO209" s="718" t="str">
        <f>IF(OR($B209="No",AO$6=""),"",IF(NOT(ISNUMBER(_xll.ciqfunctions.udf.CIQ(AO$6,"IQ_TEV",$AI209,$I$2,$I$3))),"",_xll.ciqfunctions.udf.CIQ(AO$6,"IQ_TEV",$AI209,$I$2,$I$3)))</f>
        <v/>
      </c>
      <c r="AP209" s="718" t="str">
        <f>IF(OR($B209="No",AP$6=""),"",IF(NOT(ISNUMBER(_xll.ciqfunctions.udf.CIQ(AP$6,"IQ_TEV",$AI209,$I$2,$I$3))),"",_xll.ciqfunctions.udf.CIQ(AP$6,"IQ_TEV",$AI209,$I$2,$I$3)))</f>
        <v/>
      </c>
      <c r="AQ209" s="718" t="str">
        <f>IF(OR($B209="No",AQ$6=""),"",IF(NOT(ISNUMBER(_xll.ciqfunctions.udf.CIQ(AQ$6,"IQ_TEV",$AI209,$I$2,$I$3))),"",_xll.ciqfunctions.udf.CIQ(AQ$6,"IQ_TEV",$AI209,$I$2,$I$3)))</f>
        <v/>
      </c>
      <c r="AR209" s="718" t="str">
        <f>IF(OR($B209="No",AR$6=""),"",IF(NOT(ISNUMBER(_xll.ciqfunctions.udf.CIQ(AR$6,"IQ_TEV",$AI209,$I$2,$I$3))),"",_xll.ciqfunctions.udf.CIQ(AR$6,"IQ_TEV",$AI209,$I$2,$I$3)))</f>
        <v/>
      </c>
      <c r="AS209" s="718" t="str">
        <f>IF(OR($B209="No",AS$6=""),"",IF(NOT(ISNUMBER(_xll.ciqfunctions.udf.CIQ(AS$6,"IQ_TEV",$AI209,$I$2,$I$3))),"",_xll.ciqfunctions.udf.CIQ(AS$6,"IQ_TEV",$AI209,$I$2,$I$3)))</f>
        <v/>
      </c>
      <c r="AT209" s="718" t="str">
        <f>IF(OR($B209="No",AT$6=""),"",IF(NOT(ISNUMBER(_xll.ciqfunctions.udf.CIQ(AT$6,"IQ_TEV",$AI209,$I$2,$I$3))),"",_xll.ciqfunctions.udf.CIQ(AT$6,"IQ_TEV",$AI209,$I$2,$I$3)))</f>
        <v/>
      </c>
      <c r="AV209" s="251">
        <f t="shared" si="129"/>
        <v>44239</v>
      </c>
      <c r="AW209" s="719">
        <f t="shared" si="130"/>
        <v>0.79920250377040603</v>
      </c>
      <c r="AX209" s="719">
        <f t="shared" si="131"/>
        <v>1.0891659016197508</v>
      </c>
      <c r="AY209" s="719" t="e">
        <f t="shared" si="132"/>
        <v>#N/A</v>
      </c>
      <c r="AZ209" s="719" t="e">
        <f t="shared" si="133"/>
        <v>#N/A</v>
      </c>
      <c r="BA209" s="719" t="e">
        <f t="shared" si="134"/>
        <v>#N/A</v>
      </c>
      <c r="BB209" s="719" t="e">
        <f t="shared" si="135"/>
        <v>#N/A</v>
      </c>
      <c r="BC209" s="719" t="e">
        <f t="shared" si="136"/>
        <v>#N/A</v>
      </c>
      <c r="BD209" s="719" t="e">
        <f t="shared" si="137"/>
        <v>#N/A</v>
      </c>
      <c r="BE209" s="719" t="e">
        <f t="shared" si="138"/>
        <v>#N/A</v>
      </c>
      <c r="BF209" s="719" t="e">
        <f t="shared" si="139"/>
        <v>#N/A</v>
      </c>
      <c r="BG209" s="719" t="e">
        <f t="shared" si="140"/>
        <v>#N/A</v>
      </c>
    </row>
    <row r="210" spans="1:59" ht="15" customHeight="1" x14ac:dyDescent="0.2">
      <c r="A210" s="251">
        <f t="shared" si="123"/>
        <v>44246</v>
      </c>
      <c r="B210" s="253" t="str">
        <f t="shared" si="141"/>
        <v>Yes</v>
      </c>
      <c r="C210" s="1033">
        <f>IF(C$6="","",IF(NOT(ISNUMBER(_xll.ciqfunctions.udf.CIQ(C$6,$F$2, $A210, $I$2, $I$3))),IF(C209=C$6,"",C209),_xll.ciqfunctions.udf.CIQ(C$6,$F$2, $A210, $I$2, $I$3)))</f>
        <v>138.34</v>
      </c>
      <c r="D210" s="1033">
        <f>IF(D$6="","",IF(NOT(ISNUMBER(_xll.ciqfunctions.udf.CIQ(D$6,$F$2, $A210, $I$2, $I$3))),IF(D209=D$6,"",D209),_xll.ciqfunctions.udf.CIQ(D$6,$F$2, $A210, $I$2, $I$3)))</f>
        <v>31494.322649999998</v>
      </c>
      <c r="E210" s="1033">
        <f>IF(E$6="","",IF(NOT(ISNUMBER(_xll.ciqfunctions.udf.CIQ(E$6,$F$2, $A210, $I$2, $I$3))),IF(E209=E$6,"",E209),_xll.ciqfunctions.udf.CIQ(E$6,$F$2, $A210, $I$2, $I$3)))</f>
        <v>10415.11716</v>
      </c>
      <c r="F210" s="1033">
        <f>IF(F$6="","",IF(NOT(ISNUMBER(_xll.ciqfunctions.udf.CIQ(F$6,$F$2, $A210, $I$2, $I$3))),IF(F209=F$6,"",F209),_xll.ciqfunctions.udf.CIQ(F$6,$F$2, $A210, $I$2, $I$3)))</f>
        <v>8224.0187700000006</v>
      </c>
      <c r="G210" s="1033">
        <f>IF(G$6="","",IF(NOT(ISNUMBER(_xll.ciqfunctions.udf.CIQ(G$6,$F$2, $A210, $I$2, $I$3))),IF(G209=G$6,"",G209),_xll.ciqfunctions.udf.CIQ(G$6,$F$2, $A210, $I$2, $I$3)))</f>
        <v>354.77</v>
      </c>
      <c r="H210" s="1033" t="str">
        <f>IF(H$6="","",IF(NOT(ISNUMBER(_xll.ciqfunctions.udf.CIQ(H$6,$F$2, $A210, $I$2, $I$3))),IF(H209=H$6,"",H209),_xll.ciqfunctions.udf.CIQ(H$6,$F$2, $A210, $I$2, $I$3)))</f>
        <v/>
      </c>
      <c r="I210" s="1033" t="str">
        <f>IF(I$6="","",IF(NOT(ISNUMBER(_xll.ciqfunctions.udf.CIQ(I$6,$F$2, $A210, $I$2, $I$3))),IF(I209=I$6,"",I209),_xll.ciqfunctions.udf.CIQ(I$6,$F$2, $A210, $I$2, $I$3)))</f>
        <v/>
      </c>
      <c r="J210" s="1033" t="str">
        <f>IF(J$6="","",IF(NOT(ISNUMBER(_xll.ciqfunctions.udf.CIQ(J$6,$F$2, $A210, $I$2, $I$3))),IF(J209=J$6,"",J209),_xll.ciqfunctions.udf.CIQ(J$6,$F$2, $A210, $I$2, $I$3)))</f>
        <v/>
      </c>
      <c r="K210" s="1033" t="str">
        <f>IF(K$6="","",IF(NOT(ISNUMBER(_xll.ciqfunctions.udf.CIQ(K$6,$F$2, $A210, $I$2, $I$3))),IF(K209=K$6,"",K209),_xll.ciqfunctions.udf.CIQ(K$6,$F$2, $A210, $I$2, $I$3)))</f>
        <v/>
      </c>
      <c r="L210" s="254" t="str">
        <f>IF(L$6="","",IF(NOT(ISNUMBER(_xll.ciqfunctions.udf.CIQ(L$6,$F$2, $A210, $I$2, $I$3))),IF(L209=L$6,"",L209),_xll.ciqfunctions.udf.CIQ(L$6,$F$2, $A210, $I$2, $I$3)))</f>
        <v/>
      </c>
      <c r="M210" s="254" t="str">
        <f>IF(M$6="","",IF(NOT(ISNUMBER(_xll.ciqfunctions.udf.CIQ(M$6,$F$2, $A210, $I$2, $I$3))),IF(M209=M$6,"",M209),_xll.ciqfunctions.udf.CIQ(M$6,$F$2, $A210, $I$2, $I$3)))</f>
        <v/>
      </c>
      <c r="N210" s="254" t="str">
        <f>IF(N$6="","",IF(NOT(ISNUMBER(_xll.ciqfunctions.udf.CIQ(N$6,$F$2, $A210, $I$2, $I$3))),IF(N209=N$6,"",N209),_xll.ciqfunctions.udf.CIQ(N$6,$F$2, $A210, $I$2, $I$3)))</f>
        <v/>
      </c>
      <c r="O210" s="254" t="str">
        <f>IF(O$6="","",IF(NOT(ISNUMBER(_xll.ciqfunctions.udf.CIQ(O$6,$F$2, $A210, $I$2, $I$3))),IF(O209=O$6,"",O209),_xll.ciqfunctions.udf.CIQ(O$6,$F$2, $A210, $I$2, $I$3)))</f>
        <v/>
      </c>
      <c r="P210" s="254" t="str">
        <f>IF(P$6="","",IF(NOT(ISNUMBER(_xll.ciqfunctions.udf.CIQ(P$6,$F$2, $A210, $I$2, $I$3))),IF(P209=P$6,"",P209),_xll.ciqfunctions.udf.CIQ(P$6,$F$2, $A210, $I$2, $I$3)))</f>
        <v/>
      </c>
      <c r="Q210" s="254"/>
      <c r="R210" s="251">
        <f t="shared" si="124"/>
        <v>44246</v>
      </c>
      <c r="S210" s="255">
        <f t="shared" si="126"/>
        <v>0.9192563817980024</v>
      </c>
      <c r="T210" s="255">
        <f t="shared" si="127"/>
        <v>0.52417295244287532</v>
      </c>
      <c r="U210" s="255">
        <f t="shared" si="128"/>
        <v>0.45547480092714054</v>
      </c>
      <c r="V210" s="255">
        <f t="shared" si="142"/>
        <v>0.87346582173642062</v>
      </c>
      <c r="W210" s="255">
        <f t="array" ref="W210">IFERROR(AVERAGE(IF(ISERROR(X210:AG210),"",X210:AG210)),"")</f>
        <v>1.1156300316059395</v>
      </c>
      <c r="X210" s="255">
        <f t="shared" si="143"/>
        <v>1.1156300316059395</v>
      </c>
      <c r="Y210" s="255" t="e">
        <f t="shared" si="114"/>
        <v>#N/A</v>
      </c>
      <c r="Z210" s="255" t="e">
        <f t="shared" si="115"/>
        <v>#N/A</v>
      </c>
      <c r="AA210" s="255" t="e">
        <f t="shared" si="116"/>
        <v>#N/A</v>
      </c>
      <c r="AB210" s="255" t="e">
        <f t="shared" si="117"/>
        <v>#N/A</v>
      </c>
      <c r="AC210" s="255" t="e">
        <f t="shared" si="118"/>
        <v>#N/A</v>
      </c>
      <c r="AD210" s="255" t="e">
        <f t="shared" si="119"/>
        <v>#N/A</v>
      </c>
      <c r="AE210" s="255" t="e">
        <f t="shared" si="120"/>
        <v>#N/A</v>
      </c>
      <c r="AF210" s="255" t="e">
        <f t="shared" si="121"/>
        <v>#N/A</v>
      </c>
      <c r="AG210" s="255" t="e">
        <f t="shared" si="122"/>
        <v>#N/A</v>
      </c>
      <c r="AI210" s="251">
        <f t="shared" si="125"/>
        <v>44246</v>
      </c>
      <c r="AJ210" s="718">
        <f>IF(OR($B210="No",AJ$6=""),"",IF(NOT(ISNUMBER(_xll.ciqfunctions.udf.CIQ(AJ$6,"IQ_TEV",$AI210,$I$2,$I$3))),"",_xll.ciqfunctions.udf.CIQ(AJ$6,"IQ_TEV",$AI210,$I$2,$I$3)))</f>
        <v>443141.41499999998</v>
      </c>
      <c r="AK210" s="718">
        <f>IF(OR($B210="No",AK$6=""),"",IF(NOT(ISNUMBER(_xll.ciqfunctions.udf.CIQ(AK$6,"IQ_TEV",$AI210,$I$2,$I$3))),"",_xll.ciqfunctions.udf.CIQ(AK$6,"IQ_TEV",$AI210,$I$2,$I$3)))</f>
        <v>153372.22659000001</v>
      </c>
      <c r="AL210" s="718" t="str">
        <f>IF(OR($B210="No",AL$6=""),"",IF(NOT(ISNUMBER(_xll.ciqfunctions.udf.CIQ(AL$6,"IQ_TEV",$AI210,$I$2,$I$3))),"",_xll.ciqfunctions.udf.CIQ(AL$6,"IQ_TEV",$AI210,$I$2,$I$3)))</f>
        <v/>
      </c>
      <c r="AM210" s="718" t="str">
        <f>IF(OR($B210="No",AM$6=""),"",IF(NOT(ISNUMBER(_xll.ciqfunctions.udf.CIQ(AM$6,"IQ_TEV",$AI210,$I$2,$I$3))),"",_xll.ciqfunctions.udf.CIQ(AM$6,"IQ_TEV",$AI210,$I$2,$I$3)))</f>
        <v/>
      </c>
      <c r="AN210" s="718" t="str">
        <f>IF(OR($B210="No",AN$6=""),"",IF(NOT(ISNUMBER(_xll.ciqfunctions.udf.CIQ(AN$6,"IQ_TEV",$AI210,$I$2,$I$3))),"",_xll.ciqfunctions.udf.CIQ(AN$6,"IQ_TEV",$AI210,$I$2,$I$3)))</f>
        <v/>
      </c>
      <c r="AO210" s="718" t="str">
        <f>IF(OR($B210="No",AO$6=""),"",IF(NOT(ISNUMBER(_xll.ciqfunctions.udf.CIQ(AO$6,"IQ_TEV",$AI210,$I$2,$I$3))),"",_xll.ciqfunctions.udf.CIQ(AO$6,"IQ_TEV",$AI210,$I$2,$I$3)))</f>
        <v/>
      </c>
      <c r="AP210" s="718" t="str">
        <f>IF(OR($B210="No",AP$6=""),"",IF(NOT(ISNUMBER(_xll.ciqfunctions.udf.CIQ(AP$6,"IQ_TEV",$AI210,$I$2,$I$3))),"",_xll.ciqfunctions.udf.CIQ(AP$6,"IQ_TEV",$AI210,$I$2,$I$3)))</f>
        <v/>
      </c>
      <c r="AQ210" s="718" t="str">
        <f>IF(OR($B210="No",AQ$6=""),"",IF(NOT(ISNUMBER(_xll.ciqfunctions.udf.CIQ(AQ$6,"IQ_TEV",$AI210,$I$2,$I$3))),"",_xll.ciqfunctions.udf.CIQ(AQ$6,"IQ_TEV",$AI210,$I$2,$I$3)))</f>
        <v/>
      </c>
      <c r="AR210" s="718" t="str">
        <f>IF(OR($B210="No",AR$6=""),"",IF(NOT(ISNUMBER(_xll.ciqfunctions.udf.CIQ(AR$6,"IQ_TEV",$AI210,$I$2,$I$3))),"",_xll.ciqfunctions.udf.CIQ(AR$6,"IQ_TEV",$AI210,$I$2,$I$3)))</f>
        <v/>
      </c>
      <c r="AS210" s="718" t="str">
        <f>IF(OR($B210="No",AS$6=""),"",IF(NOT(ISNUMBER(_xll.ciqfunctions.udf.CIQ(AS$6,"IQ_TEV",$AI210,$I$2,$I$3))),"",_xll.ciqfunctions.udf.CIQ(AS$6,"IQ_TEV",$AI210,$I$2,$I$3)))</f>
        <v/>
      </c>
      <c r="AT210" s="718" t="str">
        <f>IF(OR($B210="No",AT$6=""),"",IF(NOT(ISNUMBER(_xll.ciqfunctions.udf.CIQ(AT$6,"IQ_TEV",$AI210,$I$2,$I$3))),"",_xll.ciqfunctions.udf.CIQ(AT$6,"IQ_TEV",$AI210,$I$2,$I$3)))</f>
        <v/>
      </c>
      <c r="AV210" s="251">
        <f t="shared" si="129"/>
        <v>44246</v>
      </c>
      <c r="AW210" s="719">
        <f t="shared" si="130"/>
        <v>0.69748719721284713</v>
      </c>
      <c r="AX210" s="719">
        <f t="shared" si="131"/>
        <v>1.1014255634148156</v>
      </c>
      <c r="AY210" s="719" t="e">
        <f t="shared" si="132"/>
        <v>#N/A</v>
      </c>
      <c r="AZ210" s="719" t="e">
        <f t="shared" si="133"/>
        <v>#N/A</v>
      </c>
      <c r="BA210" s="719" t="e">
        <f t="shared" si="134"/>
        <v>#N/A</v>
      </c>
      <c r="BB210" s="719" t="e">
        <f t="shared" si="135"/>
        <v>#N/A</v>
      </c>
      <c r="BC210" s="719" t="e">
        <f t="shared" si="136"/>
        <v>#N/A</v>
      </c>
      <c r="BD210" s="719" t="e">
        <f t="shared" si="137"/>
        <v>#N/A</v>
      </c>
      <c r="BE210" s="719" t="e">
        <f t="shared" si="138"/>
        <v>#N/A</v>
      </c>
      <c r="BF210" s="719" t="e">
        <f t="shared" si="139"/>
        <v>#N/A</v>
      </c>
      <c r="BG210" s="719" t="e">
        <f t="shared" si="140"/>
        <v>#N/A</v>
      </c>
    </row>
    <row r="211" spans="1:59" ht="15" customHeight="1" x14ac:dyDescent="0.2">
      <c r="A211" s="251">
        <f t="shared" si="123"/>
        <v>44253</v>
      </c>
      <c r="B211" s="253" t="str">
        <f t="shared" si="141"/>
        <v>Yes</v>
      </c>
      <c r="C211" s="1033">
        <f>IF(C$6="","",IF(NOT(ISNUMBER(_xll.ciqfunctions.udf.CIQ(C$6,$F$2, $A211, $I$2, $I$3))),IF(C210=C$6,"",C210),_xll.ciqfunctions.udf.CIQ(C$6,$F$2, $A211, $I$2, $I$3)))</f>
        <v>129.91999999999999</v>
      </c>
      <c r="D211" s="1033">
        <f>IF(D$6="","",IF(NOT(ISNUMBER(_xll.ciqfunctions.udf.CIQ(D$6,$F$2, $A211, $I$2, $I$3))),IF(D210=D$6,"",D210),_xll.ciqfunctions.udf.CIQ(D$6,$F$2, $A211, $I$2, $I$3)))</f>
        <v>30932.366979999999</v>
      </c>
      <c r="E211" s="1033">
        <f>IF(E$6="","",IF(NOT(ISNUMBER(_xll.ciqfunctions.udf.CIQ(E$6,$F$2, $A211, $I$2, $I$3))),IF(E210=E$6,"",E210),_xll.ciqfunctions.udf.CIQ(E$6,$F$2, $A211, $I$2, $I$3)))</f>
        <v>10231.46286</v>
      </c>
      <c r="F211" s="1033">
        <f>IF(F$6="","",IF(NOT(ISNUMBER(_xll.ciqfunctions.udf.CIQ(F$6,$F$2, $A211, $I$2, $I$3))),IF(F210=F$6,"",F210),_xll.ciqfunctions.udf.CIQ(F$6,$F$2, $A211, $I$2, $I$3)))</f>
        <v>8244.2147600000008</v>
      </c>
      <c r="G211" s="1033">
        <f>IF(G$6="","",IF(NOT(ISNUMBER(_xll.ciqfunctions.udf.CIQ(G$6,$F$2, $A211, $I$2, $I$3))),IF(G210=G$6,"",G210),_xll.ciqfunctions.udf.CIQ(G$6,$F$2, $A211, $I$2, $I$3)))</f>
        <v>331</v>
      </c>
      <c r="H211" s="1033" t="str">
        <f>IF(H$6="","",IF(NOT(ISNUMBER(_xll.ciqfunctions.udf.CIQ(H$6,$F$2, $A211, $I$2, $I$3))),IF(H210=H$6,"",H210),_xll.ciqfunctions.udf.CIQ(H$6,$F$2, $A211, $I$2, $I$3)))</f>
        <v/>
      </c>
      <c r="I211" s="1033" t="str">
        <f>IF(I$6="","",IF(NOT(ISNUMBER(_xll.ciqfunctions.udf.CIQ(I$6,$F$2, $A211, $I$2, $I$3))),IF(I210=I$6,"",I210),_xll.ciqfunctions.udf.CIQ(I$6,$F$2, $A211, $I$2, $I$3)))</f>
        <v/>
      </c>
      <c r="J211" s="1033" t="str">
        <f>IF(J$6="","",IF(NOT(ISNUMBER(_xll.ciqfunctions.udf.CIQ(J$6,$F$2, $A211, $I$2, $I$3))),IF(J210=J$6,"",J210),_xll.ciqfunctions.udf.CIQ(J$6,$F$2, $A211, $I$2, $I$3)))</f>
        <v/>
      </c>
      <c r="K211" s="1033" t="str">
        <f>IF(K$6="","",IF(NOT(ISNUMBER(_xll.ciqfunctions.udf.CIQ(K$6,$F$2, $A211, $I$2, $I$3))),IF(K210=K$6,"",K210),_xll.ciqfunctions.udf.CIQ(K$6,$F$2, $A211, $I$2, $I$3)))</f>
        <v/>
      </c>
      <c r="L211" s="254" t="str">
        <f>IF(L$6="","",IF(NOT(ISNUMBER(_xll.ciqfunctions.udf.CIQ(L$6,$F$2, $A211, $I$2, $I$3))),IF(L210=L$6,"",L210),_xll.ciqfunctions.udf.CIQ(L$6,$F$2, $A211, $I$2, $I$3)))</f>
        <v/>
      </c>
      <c r="M211" s="254" t="str">
        <f>IF(M$6="","",IF(NOT(ISNUMBER(_xll.ciqfunctions.udf.CIQ(M$6,$F$2, $A211, $I$2, $I$3))),IF(M210=M$6,"",M210),_xll.ciqfunctions.udf.CIQ(M$6,$F$2, $A211, $I$2, $I$3)))</f>
        <v/>
      </c>
      <c r="N211" s="254" t="str">
        <f>IF(N$6="","",IF(NOT(ISNUMBER(_xll.ciqfunctions.udf.CIQ(N$6,$F$2, $A211, $I$2, $I$3))),IF(N210=N$6,"",N210),_xll.ciqfunctions.udf.CIQ(N$6,$F$2, $A211, $I$2, $I$3)))</f>
        <v/>
      </c>
      <c r="O211" s="254" t="str">
        <f>IF(O$6="","",IF(NOT(ISNUMBER(_xll.ciqfunctions.udf.CIQ(O$6,$F$2, $A211, $I$2, $I$3))),IF(O210=O$6,"",O210),_xll.ciqfunctions.udf.CIQ(O$6,$F$2, $A211, $I$2, $I$3)))</f>
        <v/>
      </c>
      <c r="P211" s="254" t="str">
        <f>IF(P$6="","",IF(NOT(ISNUMBER(_xll.ciqfunctions.udf.CIQ(P$6,$F$2, $A211, $I$2, $I$3))),IF(P210=P$6,"",P210),_xll.ciqfunctions.udf.CIQ(P$6,$F$2, $A211, $I$2, $I$3)))</f>
        <v/>
      </c>
      <c r="Q211" s="254"/>
      <c r="R211" s="251">
        <f t="shared" si="124"/>
        <v>44253</v>
      </c>
      <c r="S211" s="255">
        <f t="shared" si="126"/>
        <v>0.80244173140954489</v>
      </c>
      <c r="T211" s="255">
        <f t="shared" si="127"/>
        <v>0.49697701487011048</v>
      </c>
      <c r="U211" s="255">
        <f t="shared" si="128"/>
        <v>0.42980977943717469</v>
      </c>
      <c r="V211" s="255">
        <f t="shared" si="142"/>
        <v>0.8780665526028375</v>
      </c>
      <c r="W211" s="255">
        <f t="array" ref="W211">IFERROR(AVERAGE(IF(ISERROR(X211:AG211),"",X211:AG211)),"")</f>
        <v>0.97388037450056664</v>
      </c>
      <c r="X211" s="255">
        <f t="shared" si="143"/>
        <v>0.97388037450056664</v>
      </c>
      <c r="Y211" s="255" t="e">
        <f t="shared" si="114"/>
        <v>#N/A</v>
      </c>
      <c r="Z211" s="255" t="e">
        <f t="shared" si="115"/>
        <v>#N/A</v>
      </c>
      <c r="AA211" s="255" t="e">
        <f t="shared" si="116"/>
        <v>#N/A</v>
      </c>
      <c r="AB211" s="255" t="e">
        <f t="shared" si="117"/>
        <v>#N/A</v>
      </c>
      <c r="AC211" s="255" t="e">
        <f t="shared" si="118"/>
        <v>#N/A</v>
      </c>
      <c r="AD211" s="255" t="e">
        <f t="shared" si="119"/>
        <v>#N/A</v>
      </c>
      <c r="AE211" s="255" t="e">
        <f t="shared" si="120"/>
        <v>#N/A</v>
      </c>
      <c r="AF211" s="255" t="e">
        <f t="shared" si="121"/>
        <v>#N/A</v>
      </c>
      <c r="AG211" s="255" t="e">
        <f t="shared" si="122"/>
        <v>#N/A</v>
      </c>
      <c r="AI211" s="251">
        <f t="shared" si="125"/>
        <v>44253</v>
      </c>
      <c r="AJ211" s="718">
        <f>IF(OR($B211="No",AJ$6=""),"",IF(NOT(ISNUMBER(_xll.ciqfunctions.udf.CIQ(AJ$6,"IQ_TEV",$AI211,$I$2,$I$3))),"",_xll.ciqfunctions.udf.CIQ(AJ$6,"IQ_TEV",$AI211,$I$2,$I$3)))</f>
        <v>419318.82750999997</v>
      </c>
      <c r="AK211" s="718">
        <f>IF(OR($B211="No",AK$6=""),"",IF(NOT(ISNUMBER(_xll.ciqfunctions.udf.CIQ(AK$6,"IQ_TEV",$AI211,$I$2,$I$3))),"",_xll.ciqfunctions.udf.CIQ(AK$6,"IQ_TEV",$AI211,$I$2,$I$3)))</f>
        <v>142843.1808</v>
      </c>
      <c r="AL211" s="718" t="str">
        <f>IF(OR($B211="No",AL$6=""),"",IF(NOT(ISNUMBER(_xll.ciqfunctions.udf.CIQ(AL$6,"IQ_TEV",$AI211,$I$2,$I$3))),"",_xll.ciqfunctions.udf.CIQ(AL$6,"IQ_TEV",$AI211,$I$2,$I$3)))</f>
        <v/>
      </c>
      <c r="AM211" s="718" t="str">
        <f>IF(OR($B211="No",AM$6=""),"",IF(NOT(ISNUMBER(_xll.ciqfunctions.udf.CIQ(AM$6,"IQ_TEV",$AI211,$I$2,$I$3))),"",_xll.ciqfunctions.udf.CIQ(AM$6,"IQ_TEV",$AI211,$I$2,$I$3)))</f>
        <v/>
      </c>
      <c r="AN211" s="718" t="str">
        <f>IF(OR($B211="No",AN$6=""),"",IF(NOT(ISNUMBER(_xll.ciqfunctions.udf.CIQ(AN$6,"IQ_TEV",$AI211,$I$2,$I$3))),"",_xll.ciqfunctions.udf.CIQ(AN$6,"IQ_TEV",$AI211,$I$2,$I$3)))</f>
        <v/>
      </c>
      <c r="AO211" s="718" t="str">
        <f>IF(OR($B211="No",AO$6=""),"",IF(NOT(ISNUMBER(_xll.ciqfunctions.udf.CIQ(AO$6,"IQ_TEV",$AI211,$I$2,$I$3))),"",_xll.ciqfunctions.udf.CIQ(AO$6,"IQ_TEV",$AI211,$I$2,$I$3)))</f>
        <v/>
      </c>
      <c r="AP211" s="718" t="str">
        <f>IF(OR($B211="No",AP$6=""),"",IF(NOT(ISNUMBER(_xll.ciqfunctions.udf.CIQ(AP$6,"IQ_TEV",$AI211,$I$2,$I$3))),"",_xll.ciqfunctions.udf.CIQ(AP$6,"IQ_TEV",$AI211,$I$2,$I$3)))</f>
        <v/>
      </c>
      <c r="AQ211" s="718" t="str">
        <f>IF(OR($B211="No",AQ$6=""),"",IF(NOT(ISNUMBER(_xll.ciqfunctions.udf.CIQ(AQ$6,"IQ_TEV",$AI211,$I$2,$I$3))),"",_xll.ciqfunctions.udf.CIQ(AQ$6,"IQ_TEV",$AI211,$I$2,$I$3)))</f>
        <v/>
      </c>
      <c r="AR211" s="718" t="str">
        <f>IF(OR($B211="No",AR$6=""),"",IF(NOT(ISNUMBER(_xll.ciqfunctions.udf.CIQ(AR$6,"IQ_TEV",$AI211,$I$2,$I$3))),"",_xll.ciqfunctions.udf.CIQ(AR$6,"IQ_TEV",$AI211,$I$2,$I$3)))</f>
        <v/>
      </c>
      <c r="AS211" s="718" t="str">
        <f>IF(OR($B211="No",AS$6=""),"",IF(NOT(ISNUMBER(_xll.ciqfunctions.udf.CIQ(AS$6,"IQ_TEV",$AI211,$I$2,$I$3))),"",_xll.ciqfunctions.udf.CIQ(AS$6,"IQ_TEV",$AI211,$I$2,$I$3)))</f>
        <v/>
      </c>
      <c r="AT211" s="718" t="str">
        <f>IF(OR($B211="No",AT$6=""),"",IF(NOT(ISNUMBER(_xll.ciqfunctions.udf.CIQ(AT$6,"IQ_TEV",$AI211,$I$2,$I$3))),"",_xll.ciqfunctions.udf.CIQ(AT$6,"IQ_TEV",$AI211,$I$2,$I$3)))</f>
        <v/>
      </c>
      <c r="AV211" s="251">
        <f t="shared" si="129"/>
        <v>44253</v>
      </c>
      <c r="AW211" s="719">
        <f t="shared" si="130"/>
        <v>0.60623294766644009</v>
      </c>
      <c r="AX211" s="719">
        <f t="shared" si="131"/>
        <v>0.95716211706987098</v>
      </c>
      <c r="AY211" s="719" t="e">
        <f t="shared" si="132"/>
        <v>#N/A</v>
      </c>
      <c r="AZ211" s="719" t="e">
        <f t="shared" si="133"/>
        <v>#N/A</v>
      </c>
      <c r="BA211" s="719" t="e">
        <f t="shared" si="134"/>
        <v>#N/A</v>
      </c>
      <c r="BB211" s="719" t="e">
        <f t="shared" si="135"/>
        <v>#N/A</v>
      </c>
      <c r="BC211" s="719" t="e">
        <f t="shared" si="136"/>
        <v>#N/A</v>
      </c>
      <c r="BD211" s="719" t="e">
        <f t="shared" si="137"/>
        <v>#N/A</v>
      </c>
      <c r="BE211" s="719" t="e">
        <f t="shared" si="138"/>
        <v>#N/A</v>
      </c>
      <c r="BF211" s="719" t="e">
        <f t="shared" si="139"/>
        <v>#N/A</v>
      </c>
      <c r="BG211" s="719" t="e">
        <f t="shared" si="140"/>
        <v>#N/A</v>
      </c>
    </row>
    <row r="212" spans="1:59" ht="15" customHeight="1" x14ac:dyDescent="0.2">
      <c r="A212" s="251">
        <f t="shared" si="123"/>
        <v>44260</v>
      </c>
      <c r="B212" s="253" t="str">
        <f t="shared" si="141"/>
        <v>Yes</v>
      </c>
      <c r="C212" s="1033">
        <f>IF(C$6="","",IF(NOT(ISNUMBER(_xll.ciqfunctions.udf.CIQ(C$6,$F$2, $A212, $I$2, $I$3))),IF(C211=C$6,"",C211),_xll.ciqfunctions.udf.CIQ(C$6,$F$2, $A212, $I$2, $I$3)))</f>
        <v>129.12</v>
      </c>
      <c r="D212" s="1033">
        <f>IF(D$6="","",IF(NOT(ISNUMBER(_xll.ciqfunctions.udf.CIQ(D$6,$F$2, $A212, $I$2, $I$3))),IF(D211=D$6,"",D211),_xll.ciqfunctions.udf.CIQ(D$6,$F$2, $A212, $I$2, $I$3)))</f>
        <v>31496.29651</v>
      </c>
      <c r="E212" s="1033">
        <f>IF(E$6="","",IF(NOT(ISNUMBER(_xll.ciqfunctions.udf.CIQ(E$6,$F$2, $A212, $I$2, $I$3))),IF(E211=E$6,"",E211),_xll.ciqfunctions.udf.CIQ(E$6,$F$2, $A212, $I$2, $I$3)))</f>
        <v>10435.915279999999</v>
      </c>
      <c r="F212" s="1033">
        <f>IF(F$6="","",IF(NOT(ISNUMBER(_xll.ciqfunctions.udf.CIQ(F$6,$F$2, $A212, $I$2, $I$3))),IF(F211=F$6,"",F211),_xll.ciqfunctions.udf.CIQ(F$6,$F$2, $A212, $I$2, $I$3)))</f>
        <v>8501.2954900000004</v>
      </c>
      <c r="G212" s="1033">
        <f>IF(G$6="","",IF(NOT(ISNUMBER(_xll.ciqfunctions.udf.CIQ(G$6,$F$2, $A212, $I$2, $I$3))),IF(G211=G$6,"",G211),_xll.ciqfunctions.udf.CIQ(G$6,$F$2, $A212, $I$2, $I$3)))</f>
        <v>317.32</v>
      </c>
      <c r="H212" s="1033" t="str">
        <f>IF(H$6="","",IF(NOT(ISNUMBER(_xll.ciqfunctions.udf.CIQ(H$6,$F$2, $A212, $I$2, $I$3))),IF(H211=H$6,"",H211),_xll.ciqfunctions.udf.CIQ(H$6,$F$2, $A212, $I$2, $I$3)))</f>
        <v/>
      </c>
      <c r="I212" s="1033" t="str">
        <f>IF(I$6="","",IF(NOT(ISNUMBER(_xll.ciqfunctions.udf.CIQ(I$6,$F$2, $A212, $I$2, $I$3))),IF(I211=I$6,"",I211),_xll.ciqfunctions.udf.CIQ(I$6,$F$2, $A212, $I$2, $I$3)))</f>
        <v/>
      </c>
      <c r="J212" s="1033" t="str">
        <f>IF(J$6="","",IF(NOT(ISNUMBER(_xll.ciqfunctions.udf.CIQ(J$6,$F$2, $A212, $I$2, $I$3))),IF(J211=J$6,"",J211),_xll.ciqfunctions.udf.CIQ(J$6,$F$2, $A212, $I$2, $I$3)))</f>
        <v/>
      </c>
      <c r="K212" s="1033" t="str">
        <f>IF(K$6="","",IF(NOT(ISNUMBER(_xll.ciqfunctions.udf.CIQ(K$6,$F$2, $A212, $I$2, $I$3))),IF(K211=K$6,"",K211),_xll.ciqfunctions.udf.CIQ(K$6,$F$2, $A212, $I$2, $I$3)))</f>
        <v/>
      </c>
      <c r="L212" s="254" t="str">
        <f>IF(L$6="","",IF(NOT(ISNUMBER(_xll.ciqfunctions.udf.CIQ(L$6,$F$2, $A212, $I$2, $I$3))),IF(L211=L$6,"",L211),_xll.ciqfunctions.udf.CIQ(L$6,$F$2, $A212, $I$2, $I$3)))</f>
        <v/>
      </c>
      <c r="M212" s="254" t="str">
        <f>IF(M$6="","",IF(NOT(ISNUMBER(_xll.ciqfunctions.udf.CIQ(M$6,$F$2, $A212, $I$2, $I$3))),IF(M211=M$6,"",M211),_xll.ciqfunctions.udf.CIQ(M$6,$F$2, $A212, $I$2, $I$3)))</f>
        <v/>
      </c>
      <c r="N212" s="254" t="str">
        <f>IF(N$6="","",IF(NOT(ISNUMBER(_xll.ciqfunctions.udf.CIQ(N$6,$F$2, $A212, $I$2, $I$3))),IF(N211=N$6,"",N211),_xll.ciqfunctions.udf.CIQ(N$6,$F$2, $A212, $I$2, $I$3)))</f>
        <v/>
      </c>
      <c r="O212" s="254" t="str">
        <f>IF(O$6="","",IF(NOT(ISNUMBER(_xll.ciqfunctions.udf.CIQ(O$6,$F$2, $A212, $I$2, $I$3))),IF(O211=O$6,"",O211),_xll.ciqfunctions.udf.CIQ(O$6,$F$2, $A212, $I$2, $I$3)))</f>
        <v/>
      </c>
      <c r="P212" s="254" t="str">
        <f>IF(P$6="","",IF(NOT(ISNUMBER(_xll.ciqfunctions.udf.CIQ(P$6,$F$2, $A212, $I$2, $I$3))),IF(P211=P$6,"",P211),_xll.ciqfunctions.udf.CIQ(P$6,$F$2, $A212, $I$2, $I$3)))</f>
        <v/>
      </c>
      <c r="Q212" s="254"/>
      <c r="R212" s="251">
        <f t="shared" si="124"/>
        <v>44260</v>
      </c>
      <c r="S212" s="255">
        <f t="shared" si="126"/>
        <v>0.79134295227524976</v>
      </c>
      <c r="T212" s="255">
        <f t="shared" si="127"/>
        <v>0.52426847772396634</v>
      </c>
      <c r="U212" s="255">
        <f t="shared" si="128"/>
        <v>0.45838126266939705</v>
      </c>
      <c r="V212" s="255">
        <f t="shared" si="142"/>
        <v>0.93663061654186586</v>
      </c>
      <c r="W212" s="255">
        <f t="array" ref="W212">IFERROR(AVERAGE(IF(ISERROR(X212:AG212),"",X212:AG212)),"")</f>
        <v>0.89230127020096606</v>
      </c>
      <c r="X212" s="255">
        <f t="shared" si="143"/>
        <v>0.89230127020096606</v>
      </c>
      <c r="Y212" s="255" t="e">
        <f t="shared" si="114"/>
        <v>#N/A</v>
      </c>
      <c r="Z212" s="255" t="e">
        <f t="shared" si="115"/>
        <v>#N/A</v>
      </c>
      <c r="AA212" s="255" t="e">
        <f t="shared" si="116"/>
        <v>#N/A</v>
      </c>
      <c r="AB212" s="255" t="e">
        <f t="shared" si="117"/>
        <v>#N/A</v>
      </c>
      <c r="AC212" s="255" t="e">
        <f t="shared" si="118"/>
        <v>#N/A</v>
      </c>
      <c r="AD212" s="255" t="e">
        <f t="shared" si="119"/>
        <v>#N/A</v>
      </c>
      <c r="AE212" s="255" t="e">
        <f t="shared" si="120"/>
        <v>#N/A</v>
      </c>
      <c r="AF212" s="255" t="e">
        <f t="shared" si="121"/>
        <v>#N/A</v>
      </c>
      <c r="AG212" s="255" t="e">
        <f t="shared" si="122"/>
        <v>#N/A</v>
      </c>
      <c r="AI212" s="251">
        <f t="shared" si="125"/>
        <v>44260</v>
      </c>
      <c r="AJ212" s="718">
        <f>IF(OR($B212="No",AJ$6=""),"",IF(NOT(ISNUMBER(_xll.ciqfunctions.udf.CIQ(AJ$6,"IQ_TEV",$AI212,$I$2,$I$3))),"",_xll.ciqfunctions.udf.CIQ(AJ$6,"IQ_TEV",$AI212,$I$2,$I$3)))</f>
        <v>417055.39877000003</v>
      </c>
      <c r="AK212" s="718">
        <f>IF(OR($B212="No",AK$6=""),"",IF(NOT(ISNUMBER(_xll.ciqfunctions.udf.CIQ(AK$6,"IQ_TEV",$AI212,$I$2,$I$3))),"",_xll.ciqfunctions.udf.CIQ(AK$6,"IQ_TEV",$AI212,$I$2,$I$3)))</f>
        <v>141953.96728000001</v>
      </c>
      <c r="AL212" s="718" t="str">
        <f>IF(OR($B212="No",AL$6=""),"",IF(NOT(ISNUMBER(_xll.ciqfunctions.udf.CIQ(AL$6,"IQ_TEV",$AI212,$I$2,$I$3))),"",_xll.ciqfunctions.udf.CIQ(AL$6,"IQ_TEV",$AI212,$I$2,$I$3)))</f>
        <v/>
      </c>
      <c r="AM212" s="718" t="str">
        <f>IF(OR($B212="No",AM$6=""),"",IF(NOT(ISNUMBER(_xll.ciqfunctions.udf.CIQ(AM$6,"IQ_TEV",$AI212,$I$2,$I$3))),"",_xll.ciqfunctions.udf.CIQ(AM$6,"IQ_TEV",$AI212,$I$2,$I$3)))</f>
        <v/>
      </c>
      <c r="AN212" s="718" t="str">
        <f>IF(OR($B212="No",AN$6=""),"",IF(NOT(ISNUMBER(_xll.ciqfunctions.udf.CIQ(AN$6,"IQ_TEV",$AI212,$I$2,$I$3))),"",_xll.ciqfunctions.udf.CIQ(AN$6,"IQ_TEV",$AI212,$I$2,$I$3)))</f>
        <v/>
      </c>
      <c r="AO212" s="718" t="str">
        <f>IF(OR($B212="No",AO$6=""),"",IF(NOT(ISNUMBER(_xll.ciqfunctions.udf.CIQ(AO$6,"IQ_TEV",$AI212,$I$2,$I$3))),"",_xll.ciqfunctions.udf.CIQ(AO$6,"IQ_TEV",$AI212,$I$2,$I$3)))</f>
        <v/>
      </c>
      <c r="AP212" s="718" t="str">
        <f>IF(OR($B212="No",AP$6=""),"",IF(NOT(ISNUMBER(_xll.ciqfunctions.udf.CIQ(AP$6,"IQ_TEV",$AI212,$I$2,$I$3))),"",_xll.ciqfunctions.udf.CIQ(AP$6,"IQ_TEV",$AI212,$I$2,$I$3)))</f>
        <v/>
      </c>
      <c r="AQ212" s="718" t="str">
        <f>IF(OR($B212="No",AQ$6=""),"",IF(NOT(ISNUMBER(_xll.ciqfunctions.udf.CIQ(AQ$6,"IQ_TEV",$AI212,$I$2,$I$3))),"",_xll.ciqfunctions.udf.CIQ(AQ$6,"IQ_TEV",$AI212,$I$2,$I$3)))</f>
        <v/>
      </c>
      <c r="AR212" s="718" t="str">
        <f>IF(OR($B212="No",AR$6=""),"",IF(NOT(ISNUMBER(_xll.ciqfunctions.udf.CIQ(AR$6,"IQ_TEV",$AI212,$I$2,$I$3))),"",_xll.ciqfunctions.udf.CIQ(AR$6,"IQ_TEV",$AI212,$I$2,$I$3)))</f>
        <v/>
      </c>
      <c r="AS212" s="718" t="str">
        <f>IF(OR($B212="No",AS$6=""),"",IF(NOT(ISNUMBER(_xll.ciqfunctions.udf.CIQ(AS$6,"IQ_TEV",$AI212,$I$2,$I$3))),"",_xll.ciqfunctions.udf.CIQ(AS$6,"IQ_TEV",$AI212,$I$2,$I$3)))</f>
        <v/>
      </c>
      <c r="AT212" s="718" t="str">
        <f>IF(OR($B212="No",AT$6=""),"",IF(NOT(ISNUMBER(_xll.ciqfunctions.udf.CIQ(AT$6,"IQ_TEV",$AI212,$I$2,$I$3))),"",_xll.ciqfunctions.udf.CIQ(AT$6,"IQ_TEV",$AI212,$I$2,$I$3)))</f>
        <v/>
      </c>
      <c r="AV212" s="251">
        <f t="shared" si="129"/>
        <v>44260</v>
      </c>
      <c r="AW212" s="719">
        <f t="shared" si="130"/>
        <v>0.59756271018039175</v>
      </c>
      <c r="AX212" s="719">
        <f t="shared" si="131"/>
        <v>0.94497858121199174</v>
      </c>
      <c r="AY212" s="719" t="e">
        <f t="shared" si="132"/>
        <v>#N/A</v>
      </c>
      <c r="AZ212" s="719" t="e">
        <f t="shared" si="133"/>
        <v>#N/A</v>
      </c>
      <c r="BA212" s="719" t="e">
        <f t="shared" si="134"/>
        <v>#N/A</v>
      </c>
      <c r="BB212" s="719" t="e">
        <f t="shared" si="135"/>
        <v>#N/A</v>
      </c>
      <c r="BC212" s="719" t="e">
        <f t="shared" si="136"/>
        <v>#N/A</v>
      </c>
      <c r="BD212" s="719" t="e">
        <f t="shared" si="137"/>
        <v>#N/A</v>
      </c>
      <c r="BE212" s="719" t="e">
        <f t="shared" si="138"/>
        <v>#N/A</v>
      </c>
      <c r="BF212" s="719" t="e">
        <f t="shared" si="139"/>
        <v>#N/A</v>
      </c>
      <c r="BG212" s="719" t="e">
        <f t="shared" si="140"/>
        <v>#N/A</v>
      </c>
    </row>
    <row r="213" spans="1:59" ht="15" customHeight="1" x14ac:dyDescent="0.2">
      <c r="A213" s="251">
        <f t="shared" si="123"/>
        <v>44267</v>
      </c>
      <c r="B213" s="253" t="str">
        <f t="shared" si="141"/>
        <v>Yes</v>
      </c>
      <c r="C213" s="1033">
        <f>IF(C$6="","",IF(NOT(ISNUMBER(_xll.ciqfunctions.udf.CIQ(C$6,$F$2, $A213, $I$2, $I$3))),IF(C212=C$6,"",C212),_xll.ciqfunctions.udf.CIQ(C$6,$F$2, $A213, $I$2, $I$3)))</f>
        <v>134.12</v>
      </c>
      <c r="D213" s="1033">
        <f>IF(D$6="","",IF(NOT(ISNUMBER(_xll.ciqfunctions.udf.CIQ(D$6,$F$2, $A213, $I$2, $I$3))),IF(D212=D$6,"",D212),_xll.ciqfunctions.udf.CIQ(D$6,$F$2, $A213, $I$2, $I$3)))</f>
        <v>32778.642379999998</v>
      </c>
      <c r="E213" s="1033">
        <f>IF(E$6="","",IF(NOT(ISNUMBER(_xll.ciqfunctions.udf.CIQ(E$6,$F$2, $A213, $I$2, $I$3))),IF(E212=E$6,"",E212),_xll.ciqfunctions.udf.CIQ(E$6,$F$2, $A213, $I$2, $I$3)))</f>
        <v>10851.431850000001</v>
      </c>
      <c r="F213" s="1033">
        <f>IF(F$6="","",IF(NOT(ISNUMBER(_xll.ciqfunctions.udf.CIQ(F$6,$F$2, $A213, $I$2, $I$3))),IF(F212=F$6,"",F212),_xll.ciqfunctions.udf.CIQ(F$6,$F$2, $A213, $I$2, $I$3)))</f>
        <v>9819.9411500000006</v>
      </c>
      <c r="G213" s="1033">
        <f>IF(G$6="","",IF(NOT(ISNUMBER(_xll.ciqfunctions.udf.CIQ(G$6,$F$2, $A213, $I$2, $I$3))),IF(G212=G$6,"",G212),_xll.ciqfunctions.udf.CIQ(G$6,$F$2, $A213, $I$2, $I$3)))</f>
        <v>331.14</v>
      </c>
      <c r="H213" s="1033" t="str">
        <f>IF(H$6="","",IF(NOT(ISNUMBER(_xll.ciqfunctions.udf.CIQ(H$6,$F$2, $A213, $I$2, $I$3))),IF(H212=H$6,"",H212),_xll.ciqfunctions.udf.CIQ(H$6,$F$2, $A213, $I$2, $I$3)))</f>
        <v/>
      </c>
      <c r="I213" s="1033" t="str">
        <f>IF(I$6="","",IF(NOT(ISNUMBER(_xll.ciqfunctions.udf.CIQ(I$6,$F$2, $A213, $I$2, $I$3))),IF(I212=I$6,"",I212),_xll.ciqfunctions.udf.CIQ(I$6,$F$2, $A213, $I$2, $I$3)))</f>
        <v/>
      </c>
      <c r="J213" s="1033" t="str">
        <f>IF(J$6="","",IF(NOT(ISNUMBER(_xll.ciqfunctions.udf.CIQ(J$6,$F$2, $A213, $I$2, $I$3))),IF(J212=J$6,"",J212),_xll.ciqfunctions.udf.CIQ(J$6,$F$2, $A213, $I$2, $I$3)))</f>
        <v/>
      </c>
      <c r="K213" s="1033" t="str">
        <f>IF(K$6="","",IF(NOT(ISNUMBER(_xll.ciqfunctions.udf.CIQ(K$6,$F$2, $A213, $I$2, $I$3))),IF(K212=K$6,"",K212),_xll.ciqfunctions.udf.CIQ(K$6,$F$2, $A213, $I$2, $I$3)))</f>
        <v/>
      </c>
      <c r="L213" s="254" t="str">
        <f>IF(L$6="","",IF(NOT(ISNUMBER(_xll.ciqfunctions.udf.CIQ(L$6,$F$2, $A213, $I$2, $I$3))),IF(L212=L$6,"",L212),_xll.ciqfunctions.udf.CIQ(L$6,$F$2, $A213, $I$2, $I$3)))</f>
        <v/>
      </c>
      <c r="M213" s="254" t="str">
        <f>IF(M$6="","",IF(NOT(ISNUMBER(_xll.ciqfunctions.udf.CIQ(M$6,$F$2, $A213, $I$2, $I$3))),IF(M212=M$6,"",M212),_xll.ciqfunctions.udf.CIQ(M$6,$F$2, $A213, $I$2, $I$3)))</f>
        <v/>
      </c>
      <c r="N213" s="254" t="str">
        <f>IF(N$6="","",IF(NOT(ISNUMBER(_xll.ciqfunctions.udf.CIQ(N$6,$F$2, $A213, $I$2, $I$3))),IF(N212=N$6,"",N212),_xll.ciqfunctions.udf.CIQ(N$6,$F$2, $A213, $I$2, $I$3)))</f>
        <v/>
      </c>
      <c r="O213" s="254" t="str">
        <f>IF(O$6="","",IF(NOT(ISNUMBER(_xll.ciqfunctions.udf.CIQ(O$6,$F$2, $A213, $I$2, $I$3))),IF(O212=O$6,"",O212),_xll.ciqfunctions.udf.CIQ(O$6,$F$2, $A213, $I$2, $I$3)))</f>
        <v/>
      </c>
      <c r="P213" s="254" t="str">
        <f>IF(P$6="","",IF(NOT(ISNUMBER(_xll.ciqfunctions.udf.CIQ(P$6,$F$2, $A213, $I$2, $I$3))),IF(P212=P$6,"",P212),_xll.ciqfunctions.udf.CIQ(P$6,$F$2, $A213, $I$2, $I$3)))</f>
        <v/>
      </c>
      <c r="Q213" s="254"/>
      <c r="R213" s="251">
        <f t="shared" si="124"/>
        <v>44267</v>
      </c>
      <c r="S213" s="255">
        <f t="shared" si="126"/>
        <v>0.86071032186459506</v>
      </c>
      <c r="T213" s="255">
        <f t="shared" si="127"/>
        <v>0.58632781814705126</v>
      </c>
      <c r="U213" s="255">
        <f t="shared" si="128"/>
        <v>0.51644819439104461</v>
      </c>
      <c r="V213" s="255">
        <f t="shared" si="142"/>
        <v>1.2370236049434555</v>
      </c>
      <c r="W213" s="255">
        <f t="array" ref="W213">IFERROR(AVERAGE(IF(ISERROR(X213:AG213),"",X213:AG213)),"")</f>
        <v>0.97471524837497747</v>
      </c>
      <c r="X213" s="255">
        <f t="shared" si="143"/>
        <v>0.97471524837497747</v>
      </c>
      <c r="Y213" s="255" t="e">
        <f t="shared" si="114"/>
        <v>#N/A</v>
      </c>
      <c r="Z213" s="255" t="e">
        <f t="shared" si="115"/>
        <v>#N/A</v>
      </c>
      <c r="AA213" s="255" t="e">
        <f t="shared" si="116"/>
        <v>#N/A</v>
      </c>
      <c r="AB213" s="255" t="e">
        <f t="shared" si="117"/>
        <v>#N/A</v>
      </c>
      <c r="AC213" s="255" t="e">
        <f t="shared" si="118"/>
        <v>#N/A</v>
      </c>
      <c r="AD213" s="255" t="e">
        <f t="shared" si="119"/>
        <v>#N/A</v>
      </c>
      <c r="AE213" s="255" t="e">
        <f t="shared" si="120"/>
        <v>#N/A</v>
      </c>
      <c r="AF213" s="255" t="e">
        <f t="shared" si="121"/>
        <v>#N/A</v>
      </c>
      <c r="AG213" s="255" t="e">
        <f t="shared" si="122"/>
        <v>#N/A</v>
      </c>
      <c r="AI213" s="251">
        <f t="shared" si="125"/>
        <v>44267</v>
      </c>
      <c r="AJ213" s="718">
        <f>IF(OR($B213="No",AJ$6=""),"",IF(NOT(ISNUMBER(_xll.ciqfunctions.udf.CIQ(AJ$6,"IQ_TEV",$AI213,$I$2,$I$3))),"",_xll.ciqfunctions.udf.CIQ(AJ$6,"IQ_TEV",$AI213,$I$2,$I$3)))</f>
        <v>431201.8284</v>
      </c>
      <c r="AK213" s="718">
        <f>IF(OR($B213="No",AK$6=""),"",IF(NOT(ISNUMBER(_xll.ciqfunctions.udf.CIQ(AK$6,"IQ_TEV",$AI213,$I$2,$I$3))),"",_xll.ciqfunctions.udf.CIQ(AK$6,"IQ_TEV",$AI213,$I$2,$I$3)))</f>
        <v>148031.63756</v>
      </c>
      <c r="AL213" s="718" t="str">
        <f>IF(OR($B213="No",AL$6=""),"",IF(NOT(ISNUMBER(_xll.ciqfunctions.udf.CIQ(AL$6,"IQ_TEV",$AI213,$I$2,$I$3))),"",_xll.ciqfunctions.udf.CIQ(AL$6,"IQ_TEV",$AI213,$I$2,$I$3)))</f>
        <v/>
      </c>
      <c r="AM213" s="718" t="str">
        <f>IF(OR($B213="No",AM$6=""),"",IF(NOT(ISNUMBER(_xll.ciqfunctions.udf.CIQ(AM$6,"IQ_TEV",$AI213,$I$2,$I$3))),"",_xll.ciqfunctions.udf.CIQ(AM$6,"IQ_TEV",$AI213,$I$2,$I$3)))</f>
        <v/>
      </c>
      <c r="AN213" s="718" t="str">
        <f>IF(OR($B213="No",AN$6=""),"",IF(NOT(ISNUMBER(_xll.ciqfunctions.udf.CIQ(AN$6,"IQ_TEV",$AI213,$I$2,$I$3))),"",_xll.ciqfunctions.udf.CIQ(AN$6,"IQ_TEV",$AI213,$I$2,$I$3)))</f>
        <v/>
      </c>
      <c r="AO213" s="718" t="str">
        <f>IF(OR($B213="No",AO$6=""),"",IF(NOT(ISNUMBER(_xll.ciqfunctions.udf.CIQ(AO$6,"IQ_TEV",$AI213,$I$2,$I$3))),"",_xll.ciqfunctions.udf.CIQ(AO$6,"IQ_TEV",$AI213,$I$2,$I$3)))</f>
        <v/>
      </c>
      <c r="AP213" s="718" t="str">
        <f>IF(OR($B213="No",AP$6=""),"",IF(NOT(ISNUMBER(_xll.ciqfunctions.udf.CIQ(AP$6,"IQ_TEV",$AI213,$I$2,$I$3))),"",_xll.ciqfunctions.udf.CIQ(AP$6,"IQ_TEV",$AI213,$I$2,$I$3)))</f>
        <v/>
      </c>
      <c r="AQ213" s="718" t="str">
        <f>IF(OR($B213="No",AQ$6=""),"",IF(NOT(ISNUMBER(_xll.ciqfunctions.udf.CIQ(AQ$6,"IQ_TEV",$AI213,$I$2,$I$3))),"",_xll.ciqfunctions.udf.CIQ(AQ$6,"IQ_TEV",$AI213,$I$2,$I$3)))</f>
        <v/>
      </c>
      <c r="AR213" s="718" t="str">
        <f>IF(OR($B213="No",AR$6=""),"",IF(NOT(ISNUMBER(_xll.ciqfunctions.udf.CIQ(AR$6,"IQ_TEV",$AI213,$I$2,$I$3))),"",_xll.ciqfunctions.udf.CIQ(AR$6,"IQ_TEV",$AI213,$I$2,$I$3)))</f>
        <v/>
      </c>
      <c r="AS213" s="718" t="str">
        <f>IF(OR($B213="No",AS$6=""),"",IF(NOT(ISNUMBER(_xll.ciqfunctions.udf.CIQ(AS$6,"IQ_TEV",$AI213,$I$2,$I$3))),"",_xll.ciqfunctions.udf.CIQ(AS$6,"IQ_TEV",$AI213,$I$2,$I$3)))</f>
        <v/>
      </c>
      <c r="AT213" s="718" t="str">
        <f>IF(OR($B213="No",AT$6=""),"",IF(NOT(ISNUMBER(_xll.ciqfunctions.udf.CIQ(AT$6,"IQ_TEV",$AI213,$I$2,$I$3))),"",_xll.ciqfunctions.udf.CIQ(AT$6,"IQ_TEV",$AI213,$I$2,$I$3)))</f>
        <v/>
      </c>
      <c r="AV213" s="251">
        <f t="shared" si="129"/>
        <v>44267</v>
      </c>
      <c r="AW213" s="719">
        <f t="shared" si="130"/>
        <v>0.65175169448734804</v>
      </c>
      <c r="AX213" s="719">
        <f t="shared" si="131"/>
        <v>1.0282516220770788</v>
      </c>
      <c r="AY213" s="719" t="e">
        <f t="shared" si="132"/>
        <v>#N/A</v>
      </c>
      <c r="AZ213" s="719" t="e">
        <f t="shared" si="133"/>
        <v>#N/A</v>
      </c>
      <c r="BA213" s="719" t="e">
        <f t="shared" si="134"/>
        <v>#N/A</v>
      </c>
      <c r="BB213" s="719" t="e">
        <f t="shared" si="135"/>
        <v>#N/A</v>
      </c>
      <c r="BC213" s="719" t="e">
        <f t="shared" si="136"/>
        <v>#N/A</v>
      </c>
      <c r="BD213" s="719" t="e">
        <f t="shared" si="137"/>
        <v>#N/A</v>
      </c>
      <c r="BE213" s="719" t="e">
        <f t="shared" si="138"/>
        <v>#N/A</v>
      </c>
      <c r="BF213" s="719" t="e">
        <f t="shared" si="139"/>
        <v>#N/A</v>
      </c>
      <c r="BG213" s="719" t="e">
        <f t="shared" si="140"/>
        <v>#N/A</v>
      </c>
    </row>
    <row r="214" spans="1:59" ht="15" customHeight="1" x14ac:dyDescent="0.2">
      <c r="A214" s="251">
        <f t="shared" si="123"/>
        <v>44274</v>
      </c>
      <c r="B214" s="253" t="str">
        <f t="shared" si="141"/>
        <v>Yes</v>
      </c>
      <c r="C214" s="1033">
        <f>IF(C$6="","",IF(NOT(ISNUMBER(_xll.ciqfunctions.udf.CIQ(C$6,$F$2, $A214, $I$2, $I$3))),IF(C213=C$6,"",C213),_xll.ciqfunctions.udf.CIQ(C$6,$F$2, $A214, $I$2, $I$3)))</f>
        <v>131.74</v>
      </c>
      <c r="D214" s="1033">
        <f>IF(D$6="","",IF(NOT(ISNUMBER(_xll.ciqfunctions.udf.CIQ(D$6,$F$2, $A214, $I$2, $I$3))),IF(D213=D$6,"",D213),_xll.ciqfunctions.udf.CIQ(D$6,$F$2, $A214, $I$2, $I$3)))</f>
        <v>32627.971679999999</v>
      </c>
      <c r="E214" s="1033">
        <f>IF(E$6="","",IF(NOT(ISNUMBER(_xll.ciqfunctions.udf.CIQ(E$6,$F$2, $A214, $I$2, $I$3))),IF(E213=E$6,"",E213),_xll.ciqfunctions.udf.CIQ(E$6,$F$2, $A214, $I$2, $I$3)))</f>
        <v>10831.700129999999</v>
      </c>
      <c r="F214" s="1033">
        <f>IF(F$6="","",IF(NOT(ISNUMBER(_xll.ciqfunctions.udf.CIQ(F$6,$F$2, $A214, $I$2, $I$3))),IF(F213=F$6,"",F213),_xll.ciqfunctions.udf.CIQ(F$6,$F$2, $A214, $I$2, $I$3)))</f>
        <v>9468.5552499999994</v>
      </c>
      <c r="G214" s="1033">
        <f>IF(G$6="","",IF(NOT(ISNUMBER(_xll.ciqfunctions.udf.CIQ(G$6,$F$2, $A214, $I$2, $I$3))),IF(G213=G$6,"",G213),_xll.ciqfunctions.udf.CIQ(G$6,$F$2, $A214, $I$2, $I$3)))</f>
        <v>328.91</v>
      </c>
      <c r="H214" s="1033" t="str">
        <f>IF(H$6="","",IF(NOT(ISNUMBER(_xll.ciqfunctions.udf.CIQ(H$6,$F$2, $A214, $I$2, $I$3))),IF(H213=H$6,"",H213),_xll.ciqfunctions.udf.CIQ(H$6,$F$2, $A214, $I$2, $I$3)))</f>
        <v/>
      </c>
      <c r="I214" s="1033" t="str">
        <f>IF(I$6="","",IF(NOT(ISNUMBER(_xll.ciqfunctions.udf.CIQ(I$6,$F$2, $A214, $I$2, $I$3))),IF(I213=I$6,"",I213),_xll.ciqfunctions.udf.CIQ(I$6,$F$2, $A214, $I$2, $I$3)))</f>
        <v/>
      </c>
      <c r="J214" s="1033" t="str">
        <f>IF(J$6="","",IF(NOT(ISNUMBER(_xll.ciqfunctions.udf.CIQ(J$6,$F$2, $A214, $I$2, $I$3))),IF(J213=J$6,"",J213),_xll.ciqfunctions.udf.CIQ(J$6,$F$2, $A214, $I$2, $I$3)))</f>
        <v/>
      </c>
      <c r="K214" s="1033" t="str">
        <f>IF(K$6="","",IF(NOT(ISNUMBER(_xll.ciqfunctions.udf.CIQ(K$6,$F$2, $A214, $I$2, $I$3))),IF(K213=K$6,"",K213),_xll.ciqfunctions.udf.CIQ(K$6,$F$2, $A214, $I$2, $I$3)))</f>
        <v/>
      </c>
      <c r="L214" s="254" t="str">
        <f>IF(L$6="","",IF(NOT(ISNUMBER(_xll.ciqfunctions.udf.CIQ(L$6,$F$2, $A214, $I$2, $I$3))),IF(L213=L$6,"",L213),_xll.ciqfunctions.udf.CIQ(L$6,$F$2, $A214, $I$2, $I$3)))</f>
        <v/>
      </c>
      <c r="M214" s="254" t="str">
        <f>IF(M$6="","",IF(NOT(ISNUMBER(_xll.ciqfunctions.udf.CIQ(M$6,$F$2, $A214, $I$2, $I$3))),IF(M213=M$6,"",M213),_xll.ciqfunctions.udf.CIQ(M$6,$F$2, $A214, $I$2, $I$3)))</f>
        <v/>
      </c>
      <c r="N214" s="254" t="str">
        <f>IF(N$6="","",IF(NOT(ISNUMBER(_xll.ciqfunctions.udf.CIQ(N$6,$F$2, $A214, $I$2, $I$3))),IF(N213=N$6,"",N213),_xll.ciqfunctions.udf.CIQ(N$6,$F$2, $A214, $I$2, $I$3)))</f>
        <v/>
      </c>
      <c r="O214" s="254" t="str">
        <f>IF(O$6="","",IF(NOT(ISNUMBER(_xll.ciqfunctions.udf.CIQ(O$6,$F$2, $A214, $I$2, $I$3))),IF(O213=O$6,"",O213),_xll.ciqfunctions.udf.CIQ(O$6,$F$2, $A214, $I$2, $I$3)))</f>
        <v/>
      </c>
      <c r="P214" s="254" t="str">
        <f>IF(P$6="","",IF(NOT(ISNUMBER(_xll.ciqfunctions.udf.CIQ(P$6,$F$2, $A214, $I$2, $I$3))),IF(P213=P$6,"",P213),_xll.ciqfunctions.udf.CIQ(P$6,$F$2, $A214, $I$2, $I$3)))</f>
        <v/>
      </c>
      <c r="Q214" s="254"/>
      <c r="R214" s="251">
        <f t="shared" si="124"/>
        <v>44274</v>
      </c>
      <c r="S214" s="255">
        <f t="shared" si="126"/>
        <v>0.82769145394006682</v>
      </c>
      <c r="T214" s="255">
        <f t="shared" si="127"/>
        <v>0.57903608470614687</v>
      </c>
      <c r="U214" s="255">
        <f t="shared" si="128"/>
        <v>0.5136907581761887</v>
      </c>
      <c r="V214" s="255">
        <f t="shared" si="142"/>
        <v>1.1569764294321945</v>
      </c>
      <c r="W214" s="255">
        <f t="array" ref="W214">IFERROR(AVERAGE(IF(ISERROR(X214:AG214),"",X214:AG214)),"")</f>
        <v>0.96141690023257209</v>
      </c>
      <c r="X214" s="255">
        <f t="shared" si="143"/>
        <v>0.96141690023257209</v>
      </c>
      <c r="Y214" s="255" t="e">
        <f t="shared" si="114"/>
        <v>#N/A</v>
      </c>
      <c r="Z214" s="255" t="e">
        <f t="shared" si="115"/>
        <v>#N/A</v>
      </c>
      <c r="AA214" s="255" t="e">
        <f t="shared" si="116"/>
        <v>#N/A</v>
      </c>
      <c r="AB214" s="255" t="e">
        <f t="shared" si="117"/>
        <v>#N/A</v>
      </c>
      <c r="AC214" s="255" t="e">
        <f t="shared" si="118"/>
        <v>#N/A</v>
      </c>
      <c r="AD214" s="255" t="e">
        <f t="shared" si="119"/>
        <v>#N/A</v>
      </c>
      <c r="AE214" s="255" t="e">
        <f t="shared" si="120"/>
        <v>#N/A</v>
      </c>
      <c r="AF214" s="255" t="e">
        <f t="shared" si="121"/>
        <v>#N/A</v>
      </c>
      <c r="AG214" s="255" t="e">
        <f t="shared" si="122"/>
        <v>#N/A</v>
      </c>
      <c r="AI214" s="251">
        <f t="shared" si="125"/>
        <v>44274</v>
      </c>
      <c r="AJ214" s="718">
        <f>IF(OR($B214="No",AJ$6=""),"",IF(NOT(ISNUMBER(_xll.ciqfunctions.udf.CIQ(AJ$6,"IQ_TEV",$AI214,$I$2,$I$3))),"",_xll.ciqfunctions.udf.CIQ(AJ$6,"IQ_TEV",$AI214,$I$2,$I$3)))</f>
        <v>423688.02510000003</v>
      </c>
      <c r="AK214" s="718">
        <f>IF(OR($B214="No",AK$6=""),"",IF(NOT(ISNUMBER(_xll.ciqfunctions.udf.CIQ(AK$6,"IQ_TEV",$AI214,$I$2,$I$3))),"",_xll.ciqfunctions.udf.CIQ(AK$6,"IQ_TEV",$AI214,$I$2,$I$3)))</f>
        <v>147044.78722</v>
      </c>
      <c r="AL214" s="718" t="str">
        <f>IF(OR($B214="No",AL$6=""),"",IF(NOT(ISNUMBER(_xll.ciqfunctions.udf.CIQ(AL$6,"IQ_TEV",$AI214,$I$2,$I$3))),"",_xll.ciqfunctions.udf.CIQ(AL$6,"IQ_TEV",$AI214,$I$2,$I$3)))</f>
        <v/>
      </c>
      <c r="AM214" s="718" t="str">
        <f>IF(OR($B214="No",AM$6=""),"",IF(NOT(ISNUMBER(_xll.ciqfunctions.udf.CIQ(AM$6,"IQ_TEV",$AI214,$I$2,$I$3))),"",_xll.ciqfunctions.udf.CIQ(AM$6,"IQ_TEV",$AI214,$I$2,$I$3)))</f>
        <v/>
      </c>
      <c r="AN214" s="718" t="str">
        <f>IF(OR($B214="No",AN$6=""),"",IF(NOT(ISNUMBER(_xll.ciqfunctions.udf.CIQ(AN$6,"IQ_TEV",$AI214,$I$2,$I$3))),"",_xll.ciqfunctions.udf.CIQ(AN$6,"IQ_TEV",$AI214,$I$2,$I$3)))</f>
        <v/>
      </c>
      <c r="AO214" s="718" t="str">
        <f>IF(OR($B214="No",AO$6=""),"",IF(NOT(ISNUMBER(_xll.ciqfunctions.udf.CIQ(AO$6,"IQ_TEV",$AI214,$I$2,$I$3))),"",_xll.ciqfunctions.udf.CIQ(AO$6,"IQ_TEV",$AI214,$I$2,$I$3)))</f>
        <v/>
      </c>
      <c r="AP214" s="718" t="str">
        <f>IF(OR($B214="No",AP$6=""),"",IF(NOT(ISNUMBER(_xll.ciqfunctions.udf.CIQ(AP$6,"IQ_TEV",$AI214,$I$2,$I$3))),"",_xll.ciqfunctions.udf.CIQ(AP$6,"IQ_TEV",$AI214,$I$2,$I$3)))</f>
        <v/>
      </c>
      <c r="AQ214" s="718" t="str">
        <f>IF(OR($B214="No",AQ$6=""),"",IF(NOT(ISNUMBER(_xll.ciqfunctions.udf.CIQ(AQ$6,"IQ_TEV",$AI214,$I$2,$I$3))),"",_xll.ciqfunctions.udf.CIQ(AQ$6,"IQ_TEV",$AI214,$I$2,$I$3)))</f>
        <v/>
      </c>
      <c r="AR214" s="718" t="str">
        <f>IF(OR($B214="No",AR$6=""),"",IF(NOT(ISNUMBER(_xll.ciqfunctions.udf.CIQ(AR$6,"IQ_TEV",$AI214,$I$2,$I$3))),"",_xll.ciqfunctions.udf.CIQ(AR$6,"IQ_TEV",$AI214,$I$2,$I$3)))</f>
        <v/>
      </c>
      <c r="AS214" s="718" t="str">
        <f>IF(OR($B214="No",AS$6=""),"",IF(NOT(ISNUMBER(_xll.ciqfunctions.udf.CIQ(AS$6,"IQ_TEV",$AI214,$I$2,$I$3))),"",_xll.ciqfunctions.udf.CIQ(AS$6,"IQ_TEV",$AI214,$I$2,$I$3)))</f>
        <v/>
      </c>
      <c r="AT214" s="718" t="str">
        <f>IF(OR($B214="No",AT$6=""),"",IF(NOT(ISNUMBER(_xll.ciqfunctions.udf.CIQ(AT$6,"IQ_TEV",$AI214,$I$2,$I$3))),"",_xll.ciqfunctions.udf.CIQ(AT$6,"IQ_TEV",$AI214,$I$2,$I$3)))</f>
        <v/>
      </c>
      <c r="AV214" s="251">
        <f t="shared" si="129"/>
        <v>44274</v>
      </c>
      <c r="AW214" s="719">
        <f t="shared" si="130"/>
        <v>0.62296949433093607</v>
      </c>
      <c r="AX214" s="719">
        <f t="shared" si="131"/>
        <v>1.0147303178758666</v>
      </c>
      <c r="AY214" s="719" t="e">
        <f t="shared" si="132"/>
        <v>#N/A</v>
      </c>
      <c r="AZ214" s="719" t="e">
        <f t="shared" si="133"/>
        <v>#N/A</v>
      </c>
      <c r="BA214" s="719" t="e">
        <f t="shared" si="134"/>
        <v>#N/A</v>
      </c>
      <c r="BB214" s="719" t="e">
        <f t="shared" si="135"/>
        <v>#N/A</v>
      </c>
      <c r="BC214" s="719" t="e">
        <f t="shared" si="136"/>
        <v>#N/A</v>
      </c>
      <c r="BD214" s="719" t="e">
        <f t="shared" si="137"/>
        <v>#N/A</v>
      </c>
      <c r="BE214" s="719" t="e">
        <f t="shared" si="138"/>
        <v>#N/A</v>
      </c>
      <c r="BF214" s="719" t="e">
        <f t="shared" si="139"/>
        <v>#N/A</v>
      </c>
      <c r="BG214" s="719" t="e">
        <f t="shared" si="140"/>
        <v>#N/A</v>
      </c>
    </row>
    <row r="215" spans="1:59" ht="15" customHeight="1" x14ac:dyDescent="0.2">
      <c r="A215" s="251">
        <f t="shared" si="123"/>
        <v>44281</v>
      </c>
      <c r="B215" s="253" t="str">
        <f t="shared" si="141"/>
        <v>Yes</v>
      </c>
      <c r="C215" s="1033">
        <f>IF(C$6="","",IF(NOT(ISNUMBER(_xll.ciqfunctions.udf.CIQ(C$6,$F$2, $A215, $I$2, $I$3))),IF(C214=C$6,"",C214),_xll.ciqfunctions.udf.CIQ(C$6,$F$2, $A215, $I$2, $I$3)))</f>
        <v>135.13</v>
      </c>
      <c r="D215" s="1033">
        <f>IF(D$6="","",IF(NOT(ISNUMBER(_xll.ciqfunctions.udf.CIQ(D$6,$F$2, $A215, $I$2, $I$3))),IF(D214=D$6,"",D214),_xll.ciqfunctions.udf.CIQ(D$6,$F$2, $A215, $I$2, $I$3)))</f>
        <v>33072.877930000002</v>
      </c>
      <c r="E215" s="1033">
        <f>IF(E$6="","",IF(NOT(ISNUMBER(_xll.ciqfunctions.udf.CIQ(E$6,$F$2, $A215, $I$2, $I$3))),IF(E214=E$6,"",E214),_xll.ciqfunctions.udf.CIQ(E$6,$F$2, $A215, $I$2, $I$3)))</f>
        <v>11052.323130000001</v>
      </c>
      <c r="F215" s="1033">
        <f>IF(F$6="","",IF(NOT(ISNUMBER(_xll.ciqfunctions.udf.CIQ(F$6,$F$2, $A215, $I$2, $I$3))),IF(F214=F$6,"",F214),_xll.ciqfunctions.udf.CIQ(F$6,$F$2, $A215, $I$2, $I$3)))</f>
        <v>9238.3147200000003</v>
      </c>
      <c r="G215" s="1033">
        <f>IF(G$6="","",IF(NOT(ISNUMBER(_xll.ciqfunctions.udf.CIQ(G$6,$F$2, $A215, $I$2, $I$3))),IF(G214=G$6,"",G214),_xll.ciqfunctions.udf.CIQ(G$6,$F$2, $A215, $I$2, $I$3)))</f>
        <v>352.02</v>
      </c>
      <c r="H215" s="1033" t="str">
        <f>IF(H$6="","",IF(NOT(ISNUMBER(_xll.ciqfunctions.udf.CIQ(H$6,$F$2, $A215, $I$2, $I$3))),IF(H214=H$6,"",H214),_xll.ciqfunctions.udf.CIQ(H$6,$F$2, $A215, $I$2, $I$3)))</f>
        <v/>
      </c>
      <c r="I215" s="1033" t="str">
        <f>IF(I$6="","",IF(NOT(ISNUMBER(_xll.ciqfunctions.udf.CIQ(I$6,$F$2, $A215, $I$2, $I$3))),IF(I214=I$6,"",I214),_xll.ciqfunctions.udf.CIQ(I$6,$F$2, $A215, $I$2, $I$3)))</f>
        <v/>
      </c>
      <c r="J215" s="1033" t="str">
        <f>IF(J$6="","",IF(NOT(ISNUMBER(_xll.ciqfunctions.udf.CIQ(J$6,$F$2, $A215, $I$2, $I$3))),IF(J214=J$6,"",J214),_xll.ciqfunctions.udf.CIQ(J$6,$F$2, $A215, $I$2, $I$3)))</f>
        <v/>
      </c>
      <c r="K215" s="1033" t="str">
        <f>IF(K$6="","",IF(NOT(ISNUMBER(_xll.ciqfunctions.udf.CIQ(K$6,$F$2, $A215, $I$2, $I$3))),IF(K214=K$6,"",K214),_xll.ciqfunctions.udf.CIQ(K$6,$F$2, $A215, $I$2, $I$3)))</f>
        <v/>
      </c>
      <c r="L215" s="254" t="str">
        <f>IF(L$6="","",IF(NOT(ISNUMBER(_xll.ciqfunctions.udf.CIQ(L$6,$F$2, $A215, $I$2, $I$3))),IF(L214=L$6,"",L214),_xll.ciqfunctions.udf.CIQ(L$6,$F$2, $A215, $I$2, $I$3)))</f>
        <v/>
      </c>
      <c r="M215" s="254" t="str">
        <f>IF(M$6="","",IF(NOT(ISNUMBER(_xll.ciqfunctions.udf.CIQ(M$6,$F$2, $A215, $I$2, $I$3))),IF(M214=M$6,"",M214),_xll.ciqfunctions.udf.CIQ(M$6,$F$2, $A215, $I$2, $I$3)))</f>
        <v/>
      </c>
      <c r="N215" s="254" t="str">
        <f>IF(N$6="","",IF(NOT(ISNUMBER(_xll.ciqfunctions.udf.CIQ(N$6,$F$2, $A215, $I$2, $I$3))),IF(N214=N$6,"",N214),_xll.ciqfunctions.udf.CIQ(N$6,$F$2, $A215, $I$2, $I$3)))</f>
        <v/>
      </c>
      <c r="O215" s="254" t="str">
        <f>IF(O$6="","",IF(NOT(ISNUMBER(_xll.ciqfunctions.udf.CIQ(O$6,$F$2, $A215, $I$2, $I$3))),IF(O214=O$6,"",O214),_xll.ciqfunctions.udf.CIQ(O$6,$F$2, $A215, $I$2, $I$3)))</f>
        <v/>
      </c>
      <c r="P215" s="254" t="str">
        <f>IF(P$6="","",IF(NOT(ISNUMBER(_xll.ciqfunctions.udf.CIQ(P$6,$F$2, $A215, $I$2, $I$3))),IF(P214=P$6,"",P214),_xll.ciqfunctions.udf.CIQ(P$6,$F$2, $A215, $I$2, $I$3)))</f>
        <v/>
      </c>
      <c r="Q215" s="254"/>
      <c r="R215" s="251">
        <f t="shared" si="124"/>
        <v>44281</v>
      </c>
      <c r="S215" s="255">
        <f t="shared" si="126"/>
        <v>0.87472253052164262</v>
      </c>
      <c r="T215" s="255">
        <f t="shared" si="127"/>
        <v>0.6005673962431104</v>
      </c>
      <c r="U215" s="255">
        <f t="shared" si="128"/>
        <v>0.54452202124043914</v>
      </c>
      <c r="V215" s="255">
        <f t="shared" si="142"/>
        <v>1.1045266751457659</v>
      </c>
      <c r="W215" s="255">
        <f t="array" ref="W215">IFERROR(AVERAGE(IF(ISERROR(X215:AG215),"",X215:AG215)),"")</f>
        <v>1.0992307233585783</v>
      </c>
      <c r="X215" s="255">
        <f t="shared" si="143"/>
        <v>1.0992307233585783</v>
      </c>
      <c r="Y215" s="255" t="e">
        <f t="shared" si="114"/>
        <v>#N/A</v>
      </c>
      <c r="Z215" s="255" t="e">
        <f t="shared" si="115"/>
        <v>#N/A</v>
      </c>
      <c r="AA215" s="255" t="e">
        <f t="shared" si="116"/>
        <v>#N/A</v>
      </c>
      <c r="AB215" s="255" t="e">
        <f t="shared" si="117"/>
        <v>#N/A</v>
      </c>
      <c r="AC215" s="255" t="e">
        <f t="shared" si="118"/>
        <v>#N/A</v>
      </c>
      <c r="AD215" s="255" t="e">
        <f t="shared" si="119"/>
        <v>#N/A</v>
      </c>
      <c r="AE215" s="255" t="e">
        <f t="shared" si="120"/>
        <v>#N/A</v>
      </c>
      <c r="AF215" s="255" t="e">
        <f t="shared" si="121"/>
        <v>#N/A</v>
      </c>
      <c r="AG215" s="255" t="e">
        <f t="shared" si="122"/>
        <v>#N/A</v>
      </c>
      <c r="AI215" s="251">
        <f t="shared" si="125"/>
        <v>44281</v>
      </c>
      <c r="AJ215" s="718">
        <f>IF(OR($B215="No",AJ$6=""),"",IF(NOT(ISNUMBER(_xll.ciqfunctions.udf.CIQ(AJ$6,"IQ_TEV",$AI215,$I$2,$I$3))),"",_xll.ciqfunctions.udf.CIQ(AJ$6,"IQ_TEV",$AI215,$I$2,$I$3)))</f>
        <v>433237.89815000002</v>
      </c>
      <c r="AK215" s="718">
        <f>IF(OR($B215="No",AK$6=""),"",IF(NOT(ISNUMBER(_xll.ciqfunctions.udf.CIQ(AK$6,"IQ_TEV",$AI215,$I$2,$I$3))),"",_xll.ciqfunctions.udf.CIQ(AK$6,"IQ_TEV",$AI215,$I$2,$I$3)))</f>
        <v>157271.74299999999</v>
      </c>
      <c r="AL215" s="718" t="str">
        <f>IF(OR($B215="No",AL$6=""),"",IF(NOT(ISNUMBER(_xll.ciqfunctions.udf.CIQ(AL$6,"IQ_TEV",$AI215,$I$2,$I$3))),"",_xll.ciqfunctions.udf.CIQ(AL$6,"IQ_TEV",$AI215,$I$2,$I$3)))</f>
        <v/>
      </c>
      <c r="AM215" s="718" t="str">
        <f>IF(OR($B215="No",AM$6=""),"",IF(NOT(ISNUMBER(_xll.ciqfunctions.udf.CIQ(AM$6,"IQ_TEV",$AI215,$I$2,$I$3))),"",_xll.ciqfunctions.udf.CIQ(AM$6,"IQ_TEV",$AI215,$I$2,$I$3)))</f>
        <v/>
      </c>
      <c r="AN215" s="718" t="str">
        <f>IF(OR($B215="No",AN$6=""),"",IF(NOT(ISNUMBER(_xll.ciqfunctions.udf.CIQ(AN$6,"IQ_TEV",$AI215,$I$2,$I$3))),"",_xll.ciqfunctions.udf.CIQ(AN$6,"IQ_TEV",$AI215,$I$2,$I$3)))</f>
        <v/>
      </c>
      <c r="AO215" s="718" t="str">
        <f>IF(OR($B215="No",AO$6=""),"",IF(NOT(ISNUMBER(_xll.ciqfunctions.udf.CIQ(AO$6,"IQ_TEV",$AI215,$I$2,$I$3))),"",_xll.ciqfunctions.udf.CIQ(AO$6,"IQ_TEV",$AI215,$I$2,$I$3)))</f>
        <v/>
      </c>
      <c r="AP215" s="718" t="str">
        <f>IF(OR($B215="No",AP$6=""),"",IF(NOT(ISNUMBER(_xll.ciqfunctions.udf.CIQ(AP$6,"IQ_TEV",$AI215,$I$2,$I$3))),"",_xll.ciqfunctions.udf.CIQ(AP$6,"IQ_TEV",$AI215,$I$2,$I$3)))</f>
        <v/>
      </c>
      <c r="AQ215" s="718" t="str">
        <f>IF(OR($B215="No",AQ$6=""),"",IF(NOT(ISNUMBER(_xll.ciqfunctions.udf.CIQ(AQ$6,"IQ_TEV",$AI215,$I$2,$I$3))),"",_xll.ciqfunctions.udf.CIQ(AQ$6,"IQ_TEV",$AI215,$I$2,$I$3)))</f>
        <v/>
      </c>
      <c r="AR215" s="718" t="str">
        <f>IF(OR($B215="No",AR$6=""),"",IF(NOT(ISNUMBER(_xll.ciqfunctions.udf.CIQ(AR$6,"IQ_TEV",$AI215,$I$2,$I$3))),"",_xll.ciqfunctions.udf.CIQ(AR$6,"IQ_TEV",$AI215,$I$2,$I$3)))</f>
        <v/>
      </c>
      <c r="AS215" s="718" t="str">
        <f>IF(OR($B215="No",AS$6=""),"",IF(NOT(ISNUMBER(_xll.ciqfunctions.udf.CIQ(AS$6,"IQ_TEV",$AI215,$I$2,$I$3))),"",_xll.ciqfunctions.udf.CIQ(AS$6,"IQ_TEV",$AI215,$I$2,$I$3)))</f>
        <v/>
      </c>
      <c r="AT215" s="718" t="str">
        <f>IF(OR($B215="No",AT$6=""),"",IF(NOT(ISNUMBER(_xll.ciqfunctions.udf.CIQ(AT$6,"IQ_TEV",$AI215,$I$2,$I$3))),"",_xll.ciqfunctions.udf.CIQ(AT$6,"IQ_TEV",$AI215,$I$2,$I$3)))</f>
        <v/>
      </c>
      <c r="AV215" s="251">
        <f t="shared" si="129"/>
        <v>44281</v>
      </c>
      <c r="AW215" s="719">
        <f t="shared" si="130"/>
        <v>0.65955101591447618</v>
      </c>
      <c r="AX215" s="719">
        <f t="shared" si="131"/>
        <v>1.1548546858258466</v>
      </c>
      <c r="AY215" s="719" t="e">
        <f t="shared" si="132"/>
        <v>#N/A</v>
      </c>
      <c r="AZ215" s="719" t="e">
        <f t="shared" si="133"/>
        <v>#N/A</v>
      </c>
      <c r="BA215" s="719" t="e">
        <f t="shared" si="134"/>
        <v>#N/A</v>
      </c>
      <c r="BB215" s="719" t="e">
        <f t="shared" si="135"/>
        <v>#N/A</v>
      </c>
      <c r="BC215" s="719" t="e">
        <f t="shared" si="136"/>
        <v>#N/A</v>
      </c>
      <c r="BD215" s="719" t="e">
        <f t="shared" si="137"/>
        <v>#N/A</v>
      </c>
      <c r="BE215" s="719" t="e">
        <f t="shared" si="138"/>
        <v>#N/A</v>
      </c>
      <c r="BF215" s="719" t="e">
        <f t="shared" si="139"/>
        <v>#N/A</v>
      </c>
      <c r="BG215" s="719" t="e">
        <f t="shared" si="140"/>
        <v>#N/A</v>
      </c>
    </row>
    <row r="216" spans="1:59" ht="15" customHeight="1" x14ac:dyDescent="0.2">
      <c r="A216" s="251">
        <f t="shared" si="123"/>
        <v>44288</v>
      </c>
      <c r="B216" s="253" t="str">
        <f t="shared" si="141"/>
        <v>Yes</v>
      </c>
      <c r="C216" s="1033">
        <f>IF(C$6="","",IF(NOT(ISNUMBER(_xll.ciqfunctions.udf.CIQ(C$6,$F$2, $A216, $I$2, $I$3))),IF(C215=C$6,"",C215),_xll.ciqfunctions.udf.CIQ(C$6,$F$2, $A216, $I$2, $I$3)))</f>
        <v>135.62</v>
      </c>
      <c r="D216" s="1033">
        <f>IF(D$6="","",IF(NOT(ISNUMBER(_xll.ciqfunctions.udf.CIQ(D$6,$F$2, $A216, $I$2, $I$3))),IF(D215=D$6,"",D215),_xll.ciqfunctions.udf.CIQ(D$6,$F$2, $A216, $I$2, $I$3)))</f>
        <v>33153.213710000004</v>
      </c>
      <c r="E216" s="1033">
        <f>IF(E$6="","",IF(NOT(ISNUMBER(_xll.ciqfunctions.udf.CIQ(E$6,$F$2, $A216, $I$2, $I$3))),IF(E215=E$6,"",E215),_xll.ciqfunctions.udf.CIQ(E$6,$F$2, $A216, $I$2, $I$3)))</f>
        <v>11108.267379999999</v>
      </c>
      <c r="F216" s="1033">
        <f>IF(F$6="","",IF(NOT(ISNUMBER(_xll.ciqfunctions.udf.CIQ(F$6,$F$2, $A216, $I$2, $I$3))),IF(F215=F$6,"",F215),_xll.ciqfunctions.udf.CIQ(F$6,$F$2, $A216, $I$2, $I$3)))</f>
        <v>9324.0096599999997</v>
      </c>
      <c r="G216" s="1033">
        <f>IF(G$6="","",IF(NOT(ISNUMBER(_xll.ciqfunctions.udf.CIQ(G$6,$F$2, $A216, $I$2, $I$3))),IF(G215=G$6,"",G215),_xll.ciqfunctions.udf.CIQ(G$6,$F$2, $A216, $I$2, $I$3)))</f>
        <v>354.94</v>
      </c>
      <c r="H216" s="1033" t="str">
        <f>IF(H$6="","",IF(NOT(ISNUMBER(_xll.ciqfunctions.udf.CIQ(H$6,$F$2, $A216, $I$2, $I$3))),IF(H215=H$6,"",H215),_xll.ciqfunctions.udf.CIQ(H$6,$F$2, $A216, $I$2, $I$3)))</f>
        <v/>
      </c>
      <c r="I216" s="1033" t="str">
        <f>IF(I$6="","",IF(NOT(ISNUMBER(_xll.ciqfunctions.udf.CIQ(I$6,$F$2, $A216, $I$2, $I$3))),IF(I215=I$6,"",I215),_xll.ciqfunctions.udf.CIQ(I$6,$F$2, $A216, $I$2, $I$3)))</f>
        <v/>
      </c>
      <c r="J216" s="1033" t="str">
        <f>IF(J$6="","",IF(NOT(ISNUMBER(_xll.ciqfunctions.udf.CIQ(J$6,$F$2, $A216, $I$2, $I$3))),IF(J215=J$6,"",J215),_xll.ciqfunctions.udf.CIQ(J$6,$F$2, $A216, $I$2, $I$3)))</f>
        <v/>
      </c>
      <c r="K216" s="1033" t="str">
        <f>IF(K$6="","",IF(NOT(ISNUMBER(_xll.ciqfunctions.udf.CIQ(K$6,$F$2, $A216, $I$2, $I$3))),IF(K215=K$6,"",K215),_xll.ciqfunctions.udf.CIQ(K$6,$F$2, $A216, $I$2, $I$3)))</f>
        <v/>
      </c>
      <c r="L216" s="254" t="str">
        <f>IF(L$6="","",IF(NOT(ISNUMBER(_xll.ciqfunctions.udf.CIQ(L$6,$F$2, $A216, $I$2, $I$3))),IF(L215=L$6,"",L215),_xll.ciqfunctions.udf.CIQ(L$6,$F$2, $A216, $I$2, $I$3)))</f>
        <v/>
      </c>
      <c r="M216" s="254" t="str">
        <f>IF(M$6="","",IF(NOT(ISNUMBER(_xll.ciqfunctions.udf.CIQ(M$6,$F$2, $A216, $I$2, $I$3))),IF(M215=M$6,"",M215),_xll.ciqfunctions.udf.CIQ(M$6,$F$2, $A216, $I$2, $I$3)))</f>
        <v/>
      </c>
      <c r="N216" s="254" t="str">
        <f>IF(N$6="","",IF(NOT(ISNUMBER(_xll.ciqfunctions.udf.CIQ(N$6,$F$2, $A216, $I$2, $I$3))),IF(N215=N$6,"",N215),_xll.ciqfunctions.udf.CIQ(N$6,$F$2, $A216, $I$2, $I$3)))</f>
        <v/>
      </c>
      <c r="O216" s="254" t="str">
        <f>IF(O$6="","",IF(NOT(ISNUMBER(_xll.ciqfunctions.udf.CIQ(O$6,$F$2, $A216, $I$2, $I$3))),IF(O215=O$6,"",O215),_xll.ciqfunctions.udf.CIQ(O$6,$F$2, $A216, $I$2, $I$3)))</f>
        <v/>
      </c>
      <c r="P216" s="254" t="str">
        <f>IF(P$6="","",IF(NOT(ISNUMBER(_xll.ciqfunctions.udf.CIQ(P$6,$F$2, $A216, $I$2, $I$3))),IF(P215=P$6,"",P215),_xll.ciqfunctions.udf.CIQ(P$6,$F$2, $A216, $I$2, $I$3)))</f>
        <v/>
      </c>
      <c r="Q216" s="254"/>
      <c r="R216" s="251">
        <f t="shared" si="124"/>
        <v>44288</v>
      </c>
      <c r="S216" s="255">
        <f t="shared" si="126"/>
        <v>0.88152053274139863</v>
      </c>
      <c r="T216" s="255">
        <f t="shared" si="127"/>
        <v>0.60445525960026703</v>
      </c>
      <c r="U216" s="255">
        <f t="shared" si="128"/>
        <v>0.55234002701808782</v>
      </c>
      <c r="V216" s="255">
        <f t="shared" si="142"/>
        <v>1.1240483403651353</v>
      </c>
      <c r="W216" s="255">
        <f t="array" ref="W216">IFERROR(AVERAGE(IF(ISERROR(X216:AG216),"",X216:AG216)),"")</f>
        <v>1.1166438070248672</v>
      </c>
      <c r="X216" s="255">
        <f t="shared" si="143"/>
        <v>1.1166438070248672</v>
      </c>
      <c r="Y216" s="255" t="e">
        <f t="shared" ref="Y216:Y267" si="144">IF(H216="",NA(),IF(OR($B216="No",H216=""),NA(),IF(AND(ISNA(Y215),H216=Y$3),0,IF($A$2="Yes",H216/H215-1,H216/Y$3-1))))</f>
        <v>#N/A</v>
      </c>
      <c r="Z216" s="255" t="e">
        <f t="shared" ref="Z216:Z267" si="145">IF(I216="",NA(),IF(OR($B216="No",I216=""),NA(),IF(AND(ISNA(Z215),I216=Z$3),0,IF($A$2="Yes",I216/I215-1,I216/Z$3-1))))</f>
        <v>#N/A</v>
      </c>
      <c r="AA216" s="255" t="e">
        <f t="shared" ref="AA216:AA267" si="146">IF(J216="",NA(),IF(OR($B216="No",J216=""),NA(),IF(AND(ISNA(AA215),J216=AA$3),0,IF($A$2="Yes",J216/J215-1,J216/AA$3-1))))</f>
        <v>#N/A</v>
      </c>
      <c r="AB216" s="255" t="e">
        <f t="shared" ref="AB216:AB267" si="147">IF(K216="",NA(),IF(OR($B216="No",K216=""),NA(),IF(AND(ISNA(AB215),K216=AB$3),0,IF($A$2="Yes",K216/K215-1,K216/AB$3-1))))</f>
        <v>#N/A</v>
      </c>
      <c r="AC216" s="255" t="e">
        <f t="shared" ref="AC216:AC267" si="148">IF(L216="",NA(),IF(OR($B216="No",L216=""),NA(),IF(AND(ISNA(AC215),L216=AC$3),0,IF($A$2="Yes",L216/L215-1,L216/AC$3-1))))</f>
        <v>#N/A</v>
      </c>
      <c r="AD216" s="255" t="e">
        <f t="shared" ref="AD216:AD267" si="149">IF(M216="",NA(),IF(OR($B216="No",M216=""),NA(),IF(AND(ISNA(AD215),M216=AD$3),0,IF($A$2="Yes",M216/M215-1,M216/AD$3-1))))</f>
        <v>#N/A</v>
      </c>
      <c r="AE216" s="255" t="e">
        <f t="shared" ref="AE216:AE267" si="150">IF(N216="",NA(),IF(OR($B216="No",N216=""),NA(),IF(AND(ISNA(AE215),N216=AE$3),0,IF($A$2="Yes",N216/N215-1,N216/AE$3-1))))</f>
        <v>#N/A</v>
      </c>
      <c r="AF216" s="255" t="e">
        <f t="shared" ref="AF216:AF267" si="151">IF(O216="",NA(),IF(OR($B216="No",O216=""),NA(),IF(AND(ISNA(AF215),O216=AF$3),0,IF($A$2="Yes",O216/O215-1,O216/AF$3-1))))</f>
        <v>#N/A</v>
      </c>
      <c r="AG216" s="255" t="e">
        <f t="shared" ref="AG216:AG267" si="152">IF(P216="",NA(),IF(OR($B216="No",P216=""),NA(),IF(AND(ISNA(AG215),P216=AG$3),0,IF($A$2="Yes",P216/P215-1,P216/AG$3-1))))</f>
        <v>#N/A</v>
      </c>
      <c r="AI216" s="251">
        <f t="shared" si="125"/>
        <v>44288</v>
      </c>
      <c r="AJ216" s="718">
        <f>IF(OR($B216="No",AJ$6=""),"",IF(NOT(ISNUMBER(_xll.ciqfunctions.udf.CIQ(AJ$6,"IQ_TEV",$AI216,$I$2,$I$3))),"",_xll.ciqfunctions.udf.CIQ(AJ$6,"IQ_TEV",$AI216,$I$2,$I$3)))</f>
        <v>434618.26328000001</v>
      </c>
      <c r="AK216" s="718">
        <f>IF(OR($B216="No",AK$6=""),"",IF(NOT(ISNUMBER(_xll.ciqfunctions.udf.CIQ(AK$6,"IQ_TEV",$AI216,$I$2,$I$3))),"",_xll.ciqfunctions.udf.CIQ(AK$6,"IQ_TEV",$AI216,$I$2,$I$3)))</f>
        <v>158563.94164999999</v>
      </c>
      <c r="AL216" s="718" t="str">
        <f>IF(OR($B216="No",AL$6=""),"",IF(NOT(ISNUMBER(_xll.ciqfunctions.udf.CIQ(AL$6,"IQ_TEV",$AI216,$I$2,$I$3))),"",_xll.ciqfunctions.udf.CIQ(AL$6,"IQ_TEV",$AI216,$I$2,$I$3)))</f>
        <v/>
      </c>
      <c r="AM216" s="718" t="str">
        <f>IF(OR($B216="No",AM$6=""),"",IF(NOT(ISNUMBER(_xll.ciqfunctions.udf.CIQ(AM$6,"IQ_TEV",$AI216,$I$2,$I$3))),"",_xll.ciqfunctions.udf.CIQ(AM$6,"IQ_TEV",$AI216,$I$2,$I$3)))</f>
        <v/>
      </c>
      <c r="AN216" s="718" t="str">
        <f>IF(OR($B216="No",AN$6=""),"",IF(NOT(ISNUMBER(_xll.ciqfunctions.udf.CIQ(AN$6,"IQ_TEV",$AI216,$I$2,$I$3))),"",_xll.ciqfunctions.udf.CIQ(AN$6,"IQ_TEV",$AI216,$I$2,$I$3)))</f>
        <v/>
      </c>
      <c r="AO216" s="718" t="str">
        <f>IF(OR($B216="No",AO$6=""),"",IF(NOT(ISNUMBER(_xll.ciqfunctions.udf.CIQ(AO$6,"IQ_TEV",$AI216,$I$2,$I$3))),"",_xll.ciqfunctions.udf.CIQ(AO$6,"IQ_TEV",$AI216,$I$2,$I$3)))</f>
        <v/>
      </c>
      <c r="AP216" s="718" t="str">
        <f>IF(OR($B216="No",AP$6=""),"",IF(NOT(ISNUMBER(_xll.ciqfunctions.udf.CIQ(AP$6,"IQ_TEV",$AI216,$I$2,$I$3))),"",_xll.ciqfunctions.udf.CIQ(AP$6,"IQ_TEV",$AI216,$I$2,$I$3)))</f>
        <v/>
      </c>
      <c r="AQ216" s="718" t="str">
        <f>IF(OR($B216="No",AQ$6=""),"",IF(NOT(ISNUMBER(_xll.ciqfunctions.udf.CIQ(AQ$6,"IQ_TEV",$AI216,$I$2,$I$3))),"",_xll.ciqfunctions.udf.CIQ(AQ$6,"IQ_TEV",$AI216,$I$2,$I$3)))</f>
        <v/>
      </c>
      <c r="AR216" s="718" t="str">
        <f>IF(OR($B216="No",AR$6=""),"",IF(NOT(ISNUMBER(_xll.ciqfunctions.udf.CIQ(AR$6,"IQ_TEV",$AI216,$I$2,$I$3))),"",_xll.ciqfunctions.udf.CIQ(AR$6,"IQ_TEV",$AI216,$I$2,$I$3)))</f>
        <v/>
      </c>
      <c r="AS216" s="718" t="str">
        <f>IF(OR($B216="No",AS$6=""),"",IF(NOT(ISNUMBER(_xll.ciqfunctions.udf.CIQ(AS$6,"IQ_TEV",$AI216,$I$2,$I$3))),"",_xll.ciqfunctions.udf.CIQ(AS$6,"IQ_TEV",$AI216,$I$2,$I$3)))</f>
        <v/>
      </c>
      <c r="AT216" s="718" t="str">
        <f>IF(OR($B216="No",AT$6=""),"",IF(NOT(ISNUMBER(_xll.ciqfunctions.udf.CIQ(AT$6,"IQ_TEV",$AI216,$I$2,$I$3))),"",_xll.ciqfunctions.udf.CIQ(AT$6,"IQ_TEV",$AI216,$I$2,$I$3)))</f>
        <v/>
      </c>
      <c r="AV216" s="251">
        <f t="shared" si="129"/>
        <v>44288</v>
      </c>
      <c r="AW216" s="719">
        <f t="shared" si="130"/>
        <v>0.66483861047535475</v>
      </c>
      <c r="AX216" s="719">
        <f t="shared" si="131"/>
        <v>1.1725597119345124</v>
      </c>
      <c r="AY216" s="719" t="e">
        <f t="shared" si="132"/>
        <v>#N/A</v>
      </c>
      <c r="AZ216" s="719" t="e">
        <f t="shared" si="133"/>
        <v>#N/A</v>
      </c>
      <c r="BA216" s="719" t="e">
        <f t="shared" si="134"/>
        <v>#N/A</v>
      </c>
      <c r="BB216" s="719" t="e">
        <f t="shared" si="135"/>
        <v>#N/A</v>
      </c>
      <c r="BC216" s="719" t="e">
        <f t="shared" si="136"/>
        <v>#N/A</v>
      </c>
      <c r="BD216" s="719" t="e">
        <f t="shared" si="137"/>
        <v>#N/A</v>
      </c>
      <c r="BE216" s="719" t="e">
        <f t="shared" si="138"/>
        <v>#N/A</v>
      </c>
      <c r="BF216" s="719" t="e">
        <f t="shared" si="139"/>
        <v>#N/A</v>
      </c>
      <c r="BG216" s="719" t="e">
        <f t="shared" si="140"/>
        <v>#N/A</v>
      </c>
    </row>
    <row r="217" spans="1:59" ht="15" customHeight="1" x14ac:dyDescent="0.2">
      <c r="A217" s="251">
        <f t="shared" si="123"/>
        <v>44295</v>
      </c>
      <c r="B217" s="253" t="str">
        <f t="shared" si="141"/>
        <v>Yes</v>
      </c>
      <c r="C217" s="1033">
        <f>IF(C$6="","",IF(NOT(ISNUMBER(_xll.ciqfunctions.udf.CIQ(C$6,$F$2, $A217, $I$2, $I$3))),IF(C216=C$6,"",C216),_xll.ciqfunctions.udf.CIQ(C$6,$F$2, $A217, $I$2, $I$3)))</f>
        <v>139.78</v>
      </c>
      <c r="D217" s="1033">
        <f>IF(D$6="","",IF(NOT(ISNUMBER(_xll.ciqfunctions.udf.CIQ(D$6,$F$2, $A217, $I$2, $I$3))),IF(D216=D$6,"",D216),_xll.ciqfunctions.udf.CIQ(D$6,$F$2, $A217, $I$2, $I$3)))</f>
        <v>33800.60428</v>
      </c>
      <c r="E217" s="1033">
        <f>IF(E$6="","",IF(NOT(ISNUMBER(_xll.ciqfunctions.udf.CIQ(E$6,$F$2, $A217, $I$2, $I$3))),IF(E216=E$6,"",E216),_xll.ciqfunctions.udf.CIQ(E$6,$F$2, $A217, $I$2, $I$3)))</f>
        <v>11291.79888</v>
      </c>
      <c r="F217" s="1033">
        <f>IF(F$6="","",IF(NOT(ISNUMBER(_xll.ciqfunctions.udf.CIQ(F$6,$F$2, $A217, $I$2, $I$3))),IF(F216=F$6,"",F216),_xll.ciqfunctions.udf.CIQ(F$6,$F$2, $A217, $I$2, $I$3)))</f>
        <v>9596.9695400000001</v>
      </c>
      <c r="G217" s="1033">
        <f>IF(G$6="","",IF(NOT(ISNUMBER(_xll.ciqfunctions.udf.CIQ(G$6,$F$2, $A217, $I$2, $I$3))),IF(G216=G$6,"",G216),_xll.ciqfunctions.udf.CIQ(G$6,$F$2, $A217, $I$2, $I$3)))</f>
        <v>363.21</v>
      </c>
      <c r="H217" s="1033" t="str">
        <f>IF(H$6="","",IF(NOT(ISNUMBER(_xll.ciqfunctions.udf.CIQ(H$6,$F$2, $A217, $I$2, $I$3))),IF(H216=H$6,"",H216),_xll.ciqfunctions.udf.CIQ(H$6,$F$2, $A217, $I$2, $I$3)))</f>
        <v/>
      </c>
      <c r="I217" s="1033" t="str">
        <f>IF(I$6="","",IF(NOT(ISNUMBER(_xll.ciqfunctions.udf.CIQ(I$6,$F$2, $A217, $I$2, $I$3))),IF(I216=I$6,"",I216),_xll.ciqfunctions.udf.CIQ(I$6,$F$2, $A217, $I$2, $I$3)))</f>
        <v/>
      </c>
      <c r="J217" s="1033" t="str">
        <f>IF(J$6="","",IF(NOT(ISNUMBER(_xll.ciqfunctions.udf.CIQ(J$6,$F$2, $A217, $I$2, $I$3))),IF(J216=J$6,"",J216),_xll.ciqfunctions.udf.CIQ(J$6,$F$2, $A217, $I$2, $I$3)))</f>
        <v/>
      </c>
      <c r="K217" s="1033" t="str">
        <f>IF(K$6="","",IF(NOT(ISNUMBER(_xll.ciqfunctions.udf.CIQ(K$6,$F$2, $A217, $I$2, $I$3))),IF(K216=K$6,"",K216),_xll.ciqfunctions.udf.CIQ(K$6,$F$2, $A217, $I$2, $I$3)))</f>
        <v/>
      </c>
      <c r="L217" s="254" t="str">
        <f>IF(L$6="","",IF(NOT(ISNUMBER(_xll.ciqfunctions.udf.CIQ(L$6,$F$2, $A217, $I$2, $I$3))),IF(L216=L$6,"",L216),_xll.ciqfunctions.udf.CIQ(L$6,$F$2, $A217, $I$2, $I$3)))</f>
        <v/>
      </c>
      <c r="M217" s="254" t="str">
        <f>IF(M$6="","",IF(NOT(ISNUMBER(_xll.ciqfunctions.udf.CIQ(M$6,$F$2, $A217, $I$2, $I$3))),IF(M216=M$6,"",M216),_xll.ciqfunctions.udf.CIQ(M$6,$F$2, $A217, $I$2, $I$3)))</f>
        <v/>
      </c>
      <c r="N217" s="254" t="str">
        <f>IF(N$6="","",IF(NOT(ISNUMBER(_xll.ciqfunctions.udf.CIQ(N$6,$F$2, $A217, $I$2, $I$3))),IF(N216=N$6,"",N216),_xll.ciqfunctions.udf.CIQ(N$6,$F$2, $A217, $I$2, $I$3)))</f>
        <v/>
      </c>
      <c r="O217" s="254" t="str">
        <f>IF(O$6="","",IF(NOT(ISNUMBER(_xll.ciqfunctions.udf.CIQ(O$6,$F$2, $A217, $I$2, $I$3))),IF(O216=O$6,"",O216),_xll.ciqfunctions.udf.CIQ(O$6,$F$2, $A217, $I$2, $I$3)))</f>
        <v/>
      </c>
      <c r="P217" s="254" t="str">
        <f>IF(P$6="","",IF(NOT(ISNUMBER(_xll.ciqfunctions.udf.CIQ(P$6,$F$2, $A217, $I$2, $I$3))),IF(P216=P$6,"",P216),_xll.ciqfunctions.udf.CIQ(P$6,$F$2, $A217, $I$2, $I$3)))</f>
        <v/>
      </c>
      <c r="Q217" s="254"/>
      <c r="R217" s="251">
        <f t="shared" si="124"/>
        <v>44295</v>
      </c>
      <c r="S217" s="255">
        <f t="shared" si="126"/>
        <v>0.93923418423973359</v>
      </c>
      <c r="T217" s="255">
        <f t="shared" si="127"/>
        <v>0.63578583328576177</v>
      </c>
      <c r="U217" s="255">
        <f t="shared" si="128"/>
        <v>0.57798788765399833</v>
      </c>
      <c r="V217" s="255">
        <f t="shared" si="142"/>
        <v>1.1862297409901825</v>
      </c>
      <c r="W217" s="255">
        <f t="array" ref="W217">IFERROR(AVERAGE(IF(ISERROR(X217:AG217),"",X217:AG217)),"")</f>
        <v>1.1659609994632953</v>
      </c>
      <c r="X217" s="255">
        <f t="shared" si="143"/>
        <v>1.1659609994632953</v>
      </c>
      <c r="Y217" s="255" t="e">
        <f t="shared" si="144"/>
        <v>#N/A</v>
      </c>
      <c r="Z217" s="255" t="e">
        <f t="shared" si="145"/>
        <v>#N/A</v>
      </c>
      <c r="AA217" s="255" t="e">
        <f t="shared" si="146"/>
        <v>#N/A</v>
      </c>
      <c r="AB217" s="255" t="e">
        <f t="shared" si="147"/>
        <v>#N/A</v>
      </c>
      <c r="AC217" s="255" t="e">
        <f t="shared" si="148"/>
        <v>#N/A</v>
      </c>
      <c r="AD217" s="255" t="e">
        <f t="shared" si="149"/>
        <v>#N/A</v>
      </c>
      <c r="AE217" s="255" t="e">
        <f t="shared" si="150"/>
        <v>#N/A</v>
      </c>
      <c r="AF217" s="255" t="e">
        <f t="shared" si="151"/>
        <v>#N/A</v>
      </c>
      <c r="AG217" s="255" t="e">
        <f t="shared" si="152"/>
        <v>#N/A</v>
      </c>
      <c r="AI217" s="251">
        <f t="shared" si="125"/>
        <v>44295</v>
      </c>
      <c r="AJ217" s="718">
        <f>IF(OR($B217="No",AJ$6=""),"",IF(NOT(ISNUMBER(_xll.ciqfunctions.udf.CIQ(AJ$6,"IQ_TEV",$AI217,$I$2,$I$3))),"",_xll.ciqfunctions.udf.CIQ(AJ$6,"IQ_TEV",$AI217,$I$2,$I$3)))</f>
        <v>446337.28152999998</v>
      </c>
      <c r="AK217" s="718">
        <f>IF(OR($B217="No",AK$6=""),"",IF(NOT(ISNUMBER(_xll.ciqfunctions.udf.CIQ(AK$6,"IQ_TEV",$AI217,$I$2,$I$3))),"",_xll.ciqfunctions.udf.CIQ(AK$6,"IQ_TEV",$AI217,$I$2,$I$3)))</f>
        <v>162223.69605</v>
      </c>
      <c r="AL217" s="718" t="str">
        <f>IF(OR($B217="No",AL$6=""),"",IF(NOT(ISNUMBER(_xll.ciqfunctions.udf.CIQ(AL$6,"IQ_TEV",$AI217,$I$2,$I$3))),"",_xll.ciqfunctions.udf.CIQ(AL$6,"IQ_TEV",$AI217,$I$2,$I$3)))</f>
        <v/>
      </c>
      <c r="AM217" s="718" t="str">
        <f>IF(OR($B217="No",AM$6=""),"",IF(NOT(ISNUMBER(_xll.ciqfunctions.udf.CIQ(AM$6,"IQ_TEV",$AI217,$I$2,$I$3))),"",_xll.ciqfunctions.udf.CIQ(AM$6,"IQ_TEV",$AI217,$I$2,$I$3)))</f>
        <v/>
      </c>
      <c r="AN217" s="718" t="str">
        <f>IF(OR($B217="No",AN$6=""),"",IF(NOT(ISNUMBER(_xll.ciqfunctions.udf.CIQ(AN$6,"IQ_TEV",$AI217,$I$2,$I$3))),"",_xll.ciqfunctions.udf.CIQ(AN$6,"IQ_TEV",$AI217,$I$2,$I$3)))</f>
        <v/>
      </c>
      <c r="AO217" s="718" t="str">
        <f>IF(OR($B217="No",AO$6=""),"",IF(NOT(ISNUMBER(_xll.ciqfunctions.udf.CIQ(AO$6,"IQ_TEV",$AI217,$I$2,$I$3))),"",_xll.ciqfunctions.udf.CIQ(AO$6,"IQ_TEV",$AI217,$I$2,$I$3)))</f>
        <v/>
      </c>
      <c r="AP217" s="718" t="str">
        <f>IF(OR($B217="No",AP$6=""),"",IF(NOT(ISNUMBER(_xll.ciqfunctions.udf.CIQ(AP$6,"IQ_TEV",$AI217,$I$2,$I$3))),"",_xll.ciqfunctions.udf.CIQ(AP$6,"IQ_TEV",$AI217,$I$2,$I$3)))</f>
        <v/>
      </c>
      <c r="AQ217" s="718" t="str">
        <f>IF(OR($B217="No",AQ$6=""),"",IF(NOT(ISNUMBER(_xll.ciqfunctions.udf.CIQ(AQ$6,"IQ_TEV",$AI217,$I$2,$I$3))),"",_xll.ciqfunctions.udf.CIQ(AQ$6,"IQ_TEV",$AI217,$I$2,$I$3)))</f>
        <v/>
      </c>
      <c r="AR217" s="718" t="str">
        <f>IF(OR($B217="No",AR$6=""),"",IF(NOT(ISNUMBER(_xll.ciqfunctions.udf.CIQ(AR$6,"IQ_TEV",$AI217,$I$2,$I$3))),"",_xll.ciqfunctions.udf.CIQ(AR$6,"IQ_TEV",$AI217,$I$2,$I$3)))</f>
        <v/>
      </c>
      <c r="AS217" s="718" t="str">
        <f>IF(OR($B217="No",AS$6=""),"",IF(NOT(ISNUMBER(_xll.ciqfunctions.udf.CIQ(AS$6,"IQ_TEV",$AI217,$I$2,$I$3))),"",_xll.ciqfunctions.udf.CIQ(AS$6,"IQ_TEV",$AI217,$I$2,$I$3)))</f>
        <v/>
      </c>
      <c r="AT217" s="718" t="str">
        <f>IF(OR($B217="No",AT$6=""),"",IF(NOT(ISNUMBER(_xll.ciqfunctions.udf.CIQ(AT$6,"IQ_TEV",$AI217,$I$2,$I$3))),"",_xll.ciqfunctions.udf.CIQ(AT$6,"IQ_TEV",$AI217,$I$2,$I$3)))</f>
        <v/>
      </c>
      <c r="AV217" s="251">
        <f t="shared" si="129"/>
        <v>44295</v>
      </c>
      <c r="AW217" s="719">
        <f t="shared" si="130"/>
        <v>0.70972920920957305</v>
      </c>
      <c r="AX217" s="719">
        <f t="shared" si="131"/>
        <v>1.2227037414173658</v>
      </c>
      <c r="AY217" s="719" t="e">
        <f t="shared" si="132"/>
        <v>#N/A</v>
      </c>
      <c r="AZ217" s="719" t="e">
        <f t="shared" si="133"/>
        <v>#N/A</v>
      </c>
      <c r="BA217" s="719" t="e">
        <f t="shared" si="134"/>
        <v>#N/A</v>
      </c>
      <c r="BB217" s="719" t="e">
        <f t="shared" si="135"/>
        <v>#N/A</v>
      </c>
      <c r="BC217" s="719" t="e">
        <f t="shared" si="136"/>
        <v>#N/A</v>
      </c>
      <c r="BD217" s="719" t="e">
        <f t="shared" si="137"/>
        <v>#N/A</v>
      </c>
      <c r="BE217" s="719" t="e">
        <f t="shared" si="138"/>
        <v>#N/A</v>
      </c>
      <c r="BF217" s="719" t="e">
        <f t="shared" si="139"/>
        <v>#N/A</v>
      </c>
      <c r="BG217" s="719" t="e">
        <f t="shared" si="140"/>
        <v>#N/A</v>
      </c>
    </row>
    <row r="218" spans="1:59" ht="15" customHeight="1" x14ac:dyDescent="0.2">
      <c r="A218" s="251">
        <f t="shared" si="123"/>
        <v>44302</v>
      </c>
      <c r="B218" s="253" t="str">
        <f t="shared" si="141"/>
        <v>Yes</v>
      </c>
      <c r="C218" s="1033">
        <f>IF(C$6="","",IF(NOT(ISNUMBER(_xll.ciqfunctions.udf.CIQ(C$6,$F$2, $A218, $I$2, $I$3))),IF(C217=C$6,"",C217),_xll.ciqfunctions.udf.CIQ(C$6,$F$2, $A218, $I$2, $I$3)))</f>
        <v>140.61000000000001</v>
      </c>
      <c r="D218" s="1033">
        <f>IF(D$6="","",IF(NOT(ISNUMBER(_xll.ciqfunctions.udf.CIQ(D$6,$F$2, $A218, $I$2, $I$3))),IF(D217=D$6,"",D217),_xll.ciqfunctions.udf.CIQ(D$6,$F$2, $A218, $I$2, $I$3)))</f>
        <v>34200.671190000001</v>
      </c>
      <c r="E218" s="1033">
        <f>IF(E$6="","",IF(NOT(ISNUMBER(_xll.ciqfunctions.udf.CIQ(E$6,$F$2, $A218, $I$2, $I$3))),IF(E217=E$6,"",E217),_xll.ciqfunctions.udf.CIQ(E$6,$F$2, $A218, $I$2, $I$3)))</f>
        <v>11424.349770000001</v>
      </c>
      <c r="F218" s="1033">
        <f>IF(F$6="","",IF(NOT(ISNUMBER(_xll.ciqfunctions.udf.CIQ(F$6,$F$2, $A218, $I$2, $I$3))),IF(F217=F$6,"",F217),_xll.ciqfunctions.udf.CIQ(F$6,$F$2, $A218, $I$2, $I$3)))</f>
        <v>9656.8870999999999</v>
      </c>
      <c r="G218" s="1033">
        <f>IF(G$6="","",IF(NOT(ISNUMBER(_xll.ciqfunctions.udf.CIQ(G$6,$F$2, $A218, $I$2, $I$3))),IF(G217=G$6,"",G217),_xll.ciqfunctions.udf.CIQ(G$6,$F$2, $A218, $I$2, $I$3)))</f>
        <v>370.72</v>
      </c>
      <c r="H218" s="1033" t="str">
        <f>IF(H$6="","",IF(NOT(ISNUMBER(_xll.ciqfunctions.udf.CIQ(H$6,$F$2, $A218, $I$2, $I$3))),IF(H217=H$6,"",H217),_xll.ciqfunctions.udf.CIQ(H$6,$F$2, $A218, $I$2, $I$3)))</f>
        <v/>
      </c>
      <c r="I218" s="1033" t="str">
        <f>IF(I$6="","",IF(NOT(ISNUMBER(_xll.ciqfunctions.udf.CIQ(I$6,$F$2, $A218, $I$2, $I$3))),IF(I217=I$6,"",I217),_xll.ciqfunctions.udf.CIQ(I$6,$F$2, $A218, $I$2, $I$3)))</f>
        <v/>
      </c>
      <c r="J218" s="1033" t="str">
        <f>IF(J$6="","",IF(NOT(ISNUMBER(_xll.ciqfunctions.udf.CIQ(J$6,$F$2, $A218, $I$2, $I$3))),IF(J217=J$6,"",J217),_xll.ciqfunctions.udf.CIQ(J$6,$F$2, $A218, $I$2, $I$3)))</f>
        <v/>
      </c>
      <c r="K218" s="1033" t="str">
        <f>IF(K$6="","",IF(NOT(ISNUMBER(_xll.ciqfunctions.udf.CIQ(K$6,$F$2, $A218, $I$2, $I$3))),IF(K217=K$6,"",K217),_xll.ciqfunctions.udf.CIQ(K$6,$F$2, $A218, $I$2, $I$3)))</f>
        <v/>
      </c>
      <c r="L218" s="254" t="str">
        <f>IF(L$6="","",IF(NOT(ISNUMBER(_xll.ciqfunctions.udf.CIQ(L$6,$F$2, $A218, $I$2, $I$3))),IF(L217=L$6,"",L217),_xll.ciqfunctions.udf.CIQ(L$6,$F$2, $A218, $I$2, $I$3)))</f>
        <v/>
      </c>
      <c r="M218" s="254" t="str">
        <f>IF(M$6="","",IF(NOT(ISNUMBER(_xll.ciqfunctions.udf.CIQ(M$6,$F$2, $A218, $I$2, $I$3))),IF(M217=M$6,"",M217),_xll.ciqfunctions.udf.CIQ(M$6,$F$2, $A218, $I$2, $I$3)))</f>
        <v/>
      </c>
      <c r="N218" s="254" t="str">
        <f>IF(N$6="","",IF(NOT(ISNUMBER(_xll.ciqfunctions.udf.CIQ(N$6,$F$2, $A218, $I$2, $I$3))),IF(N217=N$6,"",N217),_xll.ciqfunctions.udf.CIQ(N$6,$F$2, $A218, $I$2, $I$3)))</f>
        <v/>
      </c>
      <c r="O218" s="254" t="str">
        <f>IF(O$6="","",IF(NOT(ISNUMBER(_xll.ciqfunctions.udf.CIQ(O$6,$F$2, $A218, $I$2, $I$3))),IF(O217=O$6,"",O217),_xll.ciqfunctions.udf.CIQ(O$6,$F$2, $A218, $I$2, $I$3)))</f>
        <v/>
      </c>
      <c r="P218" s="254" t="str">
        <f>IF(P$6="","",IF(NOT(ISNUMBER(_xll.ciqfunctions.udf.CIQ(P$6,$F$2, $A218, $I$2, $I$3))),IF(P217=P$6,"",P217),_xll.ciqfunctions.udf.CIQ(P$6,$F$2, $A218, $I$2, $I$3)))</f>
        <v/>
      </c>
      <c r="Q218" s="254"/>
      <c r="R218" s="251">
        <f t="shared" si="124"/>
        <v>44302</v>
      </c>
      <c r="S218" s="255">
        <f t="shared" si="126"/>
        <v>0.95074916759156514</v>
      </c>
      <c r="T218" s="255">
        <f t="shared" si="127"/>
        <v>0.65514713754894127</v>
      </c>
      <c r="U218" s="255">
        <f t="shared" si="128"/>
        <v>0.59651139317695168</v>
      </c>
      <c r="V218" s="255">
        <f t="shared" si="142"/>
        <v>1.1998792113916026</v>
      </c>
      <c r="W218" s="255">
        <f t="array" ref="W218">IFERROR(AVERAGE(IF(ISERROR(X218:AG218),"",X218:AG218)),"")</f>
        <v>1.2107460194406348</v>
      </c>
      <c r="X218" s="255">
        <f t="shared" si="143"/>
        <v>1.2107460194406348</v>
      </c>
      <c r="Y218" s="255" t="e">
        <f t="shared" si="144"/>
        <v>#N/A</v>
      </c>
      <c r="Z218" s="255" t="e">
        <f t="shared" si="145"/>
        <v>#N/A</v>
      </c>
      <c r="AA218" s="255" t="e">
        <f t="shared" si="146"/>
        <v>#N/A</v>
      </c>
      <c r="AB218" s="255" t="e">
        <f t="shared" si="147"/>
        <v>#N/A</v>
      </c>
      <c r="AC218" s="255" t="e">
        <f t="shared" si="148"/>
        <v>#N/A</v>
      </c>
      <c r="AD218" s="255" t="e">
        <f t="shared" si="149"/>
        <v>#N/A</v>
      </c>
      <c r="AE218" s="255" t="e">
        <f t="shared" si="150"/>
        <v>#N/A</v>
      </c>
      <c r="AF218" s="255" t="e">
        <f t="shared" si="151"/>
        <v>#N/A</v>
      </c>
      <c r="AG218" s="255" t="e">
        <f t="shared" si="152"/>
        <v>#N/A</v>
      </c>
      <c r="AI218" s="251">
        <f t="shared" si="125"/>
        <v>44302</v>
      </c>
      <c r="AJ218" s="718">
        <f>IF(OR($B218="No",AJ$6=""),"",IF(NOT(ISNUMBER(_xll.ciqfunctions.udf.CIQ(AJ$6,"IQ_TEV",$AI218,$I$2,$I$3))),"",_xll.ciqfunctions.udf.CIQ(AJ$6,"IQ_TEV",$AI218,$I$2,$I$3)))</f>
        <v>448675.45103</v>
      </c>
      <c r="AK218" s="718">
        <f>IF(OR($B218="No",AK$6=""),"",IF(NOT(ISNUMBER(_xll.ciqfunctions.udf.CIQ(AK$6,"IQ_TEV",$AI218,$I$2,$I$3))),"",_xll.ciqfunctions.udf.CIQ(AK$6,"IQ_TEV",$AI218,$I$2,$I$3)))</f>
        <v>165547.12478000001</v>
      </c>
      <c r="AL218" s="718" t="str">
        <f>IF(OR($B218="No",AL$6=""),"",IF(NOT(ISNUMBER(_xll.ciqfunctions.udf.CIQ(AL$6,"IQ_TEV",$AI218,$I$2,$I$3))),"",_xll.ciqfunctions.udf.CIQ(AL$6,"IQ_TEV",$AI218,$I$2,$I$3)))</f>
        <v/>
      </c>
      <c r="AM218" s="718" t="str">
        <f>IF(OR($B218="No",AM$6=""),"",IF(NOT(ISNUMBER(_xll.ciqfunctions.udf.CIQ(AM$6,"IQ_TEV",$AI218,$I$2,$I$3))),"",_xll.ciqfunctions.udf.CIQ(AM$6,"IQ_TEV",$AI218,$I$2,$I$3)))</f>
        <v/>
      </c>
      <c r="AN218" s="718" t="str">
        <f>IF(OR($B218="No",AN$6=""),"",IF(NOT(ISNUMBER(_xll.ciqfunctions.udf.CIQ(AN$6,"IQ_TEV",$AI218,$I$2,$I$3))),"",_xll.ciqfunctions.udf.CIQ(AN$6,"IQ_TEV",$AI218,$I$2,$I$3)))</f>
        <v/>
      </c>
      <c r="AO218" s="718" t="str">
        <f>IF(OR($B218="No",AO$6=""),"",IF(NOT(ISNUMBER(_xll.ciqfunctions.udf.CIQ(AO$6,"IQ_TEV",$AI218,$I$2,$I$3))),"",_xll.ciqfunctions.udf.CIQ(AO$6,"IQ_TEV",$AI218,$I$2,$I$3)))</f>
        <v/>
      </c>
      <c r="AP218" s="718" t="str">
        <f>IF(OR($B218="No",AP$6=""),"",IF(NOT(ISNUMBER(_xll.ciqfunctions.udf.CIQ(AP$6,"IQ_TEV",$AI218,$I$2,$I$3))),"",_xll.ciqfunctions.udf.CIQ(AP$6,"IQ_TEV",$AI218,$I$2,$I$3)))</f>
        <v/>
      </c>
      <c r="AQ218" s="718" t="str">
        <f>IF(OR($B218="No",AQ$6=""),"",IF(NOT(ISNUMBER(_xll.ciqfunctions.udf.CIQ(AQ$6,"IQ_TEV",$AI218,$I$2,$I$3))),"",_xll.ciqfunctions.udf.CIQ(AQ$6,"IQ_TEV",$AI218,$I$2,$I$3)))</f>
        <v/>
      </c>
      <c r="AR218" s="718" t="str">
        <f>IF(OR($B218="No",AR$6=""),"",IF(NOT(ISNUMBER(_xll.ciqfunctions.udf.CIQ(AR$6,"IQ_TEV",$AI218,$I$2,$I$3))),"",_xll.ciqfunctions.udf.CIQ(AR$6,"IQ_TEV",$AI218,$I$2,$I$3)))</f>
        <v/>
      </c>
      <c r="AS218" s="718" t="str">
        <f>IF(OR($B218="No",AS$6=""),"",IF(NOT(ISNUMBER(_xll.ciqfunctions.udf.CIQ(AS$6,"IQ_TEV",$AI218,$I$2,$I$3))),"",_xll.ciqfunctions.udf.CIQ(AS$6,"IQ_TEV",$AI218,$I$2,$I$3)))</f>
        <v/>
      </c>
      <c r="AT218" s="718" t="str">
        <f>IF(OR($B218="No",AT$6=""),"",IF(NOT(ISNUMBER(_xll.ciqfunctions.udf.CIQ(AT$6,"IQ_TEV",$AI218,$I$2,$I$3))),"",_xll.ciqfunctions.udf.CIQ(AT$6,"IQ_TEV",$AI218,$I$2,$I$3)))</f>
        <v/>
      </c>
      <c r="AV218" s="251">
        <f t="shared" si="129"/>
        <v>44302</v>
      </c>
      <c r="AW218" s="719">
        <f t="shared" si="130"/>
        <v>0.71868574691247211</v>
      </c>
      <c r="AX218" s="719">
        <f t="shared" si="131"/>
        <v>1.2682396135024665</v>
      </c>
      <c r="AY218" s="719" t="e">
        <f t="shared" si="132"/>
        <v>#N/A</v>
      </c>
      <c r="AZ218" s="719" t="e">
        <f t="shared" si="133"/>
        <v>#N/A</v>
      </c>
      <c r="BA218" s="719" t="e">
        <f t="shared" si="134"/>
        <v>#N/A</v>
      </c>
      <c r="BB218" s="719" t="e">
        <f t="shared" si="135"/>
        <v>#N/A</v>
      </c>
      <c r="BC218" s="719" t="e">
        <f t="shared" si="136"/>
        <v>#N/A</v>
      </c>
      <c r="BD218" s="719" t="e">
        <f t="shared" si="137"/>
        <v>#N/A</v>
      </c>
      <c r="BE218" s="719" t="e">
        <f t="shared" si="138"/>
        <v>#N/A</v>
      </c>
      <c r="BF218" s="719" t="e">
        <f t="shared" si="139"/>
        <v>#N/A</v>
      </c>
      <c r="BG218" s="719" t="e">
        <f t="shared" si="140"/>
        <v>#N/A</v>
      </c>
    </row>
    <row r="219" spans="1:59" ht="15" customHeight="1" x14ac:dyDescent="0.2">
      <c r="A219" s="251">
        <f t="shared" si="123"/>
        <v>44309</v>
      </c>
      <c r="B219" s="253" t="str">
        <f t="shared" si="141"/>
        <v>Yes</v>
      </c>
      <c r="C219" s="1033">
        <f>IF(C$6="","",IF(NOT(ISNUMBER(_xll.ciqfunctions.udf.CIQ(C$6,$F$2, $A219, $I$2, $I$3))),IF(C218=C$6,"",C218),_xll.ciqfunctions.udf.CIQ(C$6,$F$2, $A219, $I$2, $I$3)))</f>
        <v>139.9</v>
      </c>
      <c r="D219" s="1033">
        <f>IF(D$6="","",IF(NOT(ISNUMBER(_xll.ciqfunctions.udf.CIQ(D$6,$F$2, $A219, $I$2, $I$3))),IF(D218=D$6,"",D218),_xll.ciqfunctions.udf.CIQ(D$6,$F$2, $A219, $I$2, $I$3)))</f>
        <v>34043.486770000003</v>
      </c>
      <c r="E219" s="1033">
        <f>IF(E$6="","",IF(NOT(ISNUMBER(_xll.ciqfunctions.udf.CIQ(E$6,$F$2, $A219, $I$2, $I$3))),IF(E218=E$6,"",E218),_xll.ciqfunctions.udf.CIQ(E$6,$F$2, $A219, $I$2, $I$3)))</f>
        <v>11429.59777</v>
      </c>
      <c r="F219" s="1033">
        <f>IF(F$6="","",IF(NOT(ISNUMBER(_xll.ciqfunctions.udf.CIQ(F$6,$F$2, $A219, $I$2, $I$3))),IF(F218=F$6,"",F218),_xll.ciqfunctions.udf.CIQ(F$6,$F$2, $A219, $I$2, $I$3)))</f>
        <v>9706.1032200000009</v>
      </c>
      <c r="G219" s="1033">
        <f>IF(G$6="","",IF(NOT(ISNUMBER(_xll.ciqfunctions.udf.CIQ(G$6,$F$2, $A219, $I$2, $I$3))),IF(G218=G$6,"",G218),_xll.ciqfunctions.udf.CIQ(G$6,$F$2, $A219, $I$2, $I$3)))</f>
        <v>373.28</v>
      </c>
      <c r="H219" s="1033" t="str">
        <f>IF(H$6="","",IF(NOT(ISNUMBER(_xll.ciqfunctions.udf.CIQ(H$6,$F$2, $A219, $I$2, $I$3))),IF(H218=H$6,"",H218),_xll.ciqfunctions.udf.CIQ(H$6,$F$2, $A219, $I$2, $I$3)))</f>
        <v/>
      </c>
      <c r="I219" s="1033" t="str">
        <f>IF(I$6="","",IF(NOT(ISNUMBER(_xll.ciqfunctions.udf.CIQ(I$6,$F$2, $A219, $I$2, $I$3))),IF(I218=I$6,"",I218),_xll.ciqfunctions.udf.CIQ(I$6,$F$2, $A219, $I$2, $I$3)))</f>
        <v/>
      </c>
      <c r="J219" s="1033" t="str">
        <f>IF(J$6="","",IF(NOT(ISNUMBER(_xll.ciqfunctions.udf.CIQ(J$6,$F$2, $A219, $I$2, $I$3))),IF(J218=J$6,"",J218),_xll.ciqfunctions.udf.CIQ(J$6,$F$2, $A219, $I$2, $I$3)))</f>
        <v/>
      </c>
      <c r="K219" s="1033" t="str">
        <f>IF(K$6="","",IF(NOT(ISNUMBER(_xll.ciqfunctions.udf.CIQ(K$6,$F$2, $A219, $I$2, $I$3))),IF(K218=K$6,"",K218),_xll.ciqfunctions.udf.CIQ(K$6,$F$2, $A219, $I$2, $I$3)))</f>
        <v/>
      </c>
      <c r="L219" s="254" t="str">
        <f>IF(L$6="","",IF(NOT(ISNUMBER(_xll.ciqfunctions.udf.CIQ(L$6,$F$2, $A219, $I$2, $I$3))),IF(L218=L$6,"",L218),_xll.ciqfunctions.udf.CIQ(L$6,$F$2, $A219, $I$2, $I$3)))</f>
        <v/>
      </c>
      <c r="M219" s="254" t="str">
        <f>IF(M$6="","",IF(NOT(ISNUMBER(_xll.ciqfunctions.udf.CIQ(M$6,$F$2, $A219, $I$2, $I$3))),IF(M218=M$6,"",M218),_xll.ciqfunctions.udf.CIQ(M$6,$F$2, $A219, $I$2, $I$3)))</f>
        <v/>
      </c>
      <c r="N219" s="254" t="str">
        <f>IF(N$6="","",IF(NOT(ISNUMBER(_xll.ciqfunctions.udf.CIQ(N$6,$F$2, $A219, $I$2, $I$3))),IF(N218=N$6,"",N218),_xll.ciqfunctions.udf.CIQ(N$6,$F$2, $A219, $I$2, $I$3)))</f>
        <v/>
      </c>
      <c r="O219" s="254" t="str">
        <f>IF(O$6="","",IF(NOT(ISNUMBER(_xll.ciqfunctions.udf.CIQ(O$6,$F$2, $A219, $I$2, $I$3))),IF(O218=O$6,"",O218),_xll.ciqfunctions.udf.CIQ(O$6,$F$2, $A219, $I$2, $I$3)))</f>
        <v/>
      </c>
      <c r="P219" s="254" t="str">
        <f>IF(P$6="","",IF(NOT(ISNUMBER(_xll.ciqfunctions.udf.CIQ(P$6,$F$2, $A219, $I$2, $I$3))),IF(P218=P$6,"",P218),_xll.ciqfunctions.udf.CIQ(P$6,$F$2, $A219, $I$2, $I$3)))</f>
        <v/>
      </c>
      <c r="Q219" s="254"/>
      <c r="R219" s="251">
        <f t="shared" si="124"/>
        <v>44309</v>
      </c>
      <c r="S219" s="255">
        <f t="shared" si="126"/>
        <v>0.94089900110987812</v>
      </c>
      <c r="T219" s="255">
        <f t="shared" si="127"/>
        <v>0.64754017155155008</v>
      </c>
      <c r="U219" s="255">
        <f t="shared" si="128"/>
        <v>0.59724478211899834</v>
      </c>
      <c r="V219" s="255">
        <f t="shared" si="142"/>
        <v>1.2110908490686505</v>
      </c>
      <c r="W219" s="255">
        <f t="array" ref="W219">IFERROR(AVERAGE(IF(ISERROR(X219:AG219),"",X219:AG219)),"")</f>
        <v>1.2260122845727235</v>
      </c>
      <c r="X219" s="255">
        <f t="shared" si="143"/>
        <v>1.2260122845727235</v>
      </c>
      <c r="Y219" s="255" t="e">
        <f t="shared" si="144"/>
        <v>#N/A</v>
      </c>
      <c r="Z219" s="255" t="e">
        <f t="shared" si="145"/>
        <v>#N/A</v>
      </c>
      <c r="AA219" s="255" t="e">
        <f t="shared" si="146"/>
        <v>#N/A</v>
      </c>
      <c r="AB219" s="255" t="e">
        <f t="shared" si="147"/>
        <v>#N/A</v>
      </c>
      <c r="AC219" s="255" t="e">
        <f t="shared" si="148"/>
        <v>#N/A</v>
      </c>
      <c r="AD219" s="255" t="e">
        <f t="shared" si="149"/>
        <v>#N/A</v>
      </c>
      <c r="AE219" s="255" t="e">
        <f t="shared" si="150"/>
        <v>#N/A</v>
      </c>
      <c r="AF219" s="255" t="e">
        <f t="shared" si="151"/>
        <v>#N/A</v>
      </c>
      <c r="AG219" s="255" t="e">
        <f t="shared" si="152"/>
        <v>#N/A</v>
      </c>
      <c r="AI219" s="251">
        <f t="shared" si="125"/>
        <v>44309</v>
      </c>
      <c r="AJ219" s="718">
        <f>IF(OR($B219="No",AJ$6=""),"",IF(NOT(ISNUMBER(_xll.ciqfunctions.udf.CIQ(AJ$6,"IQ_TEV",$AI219,$I$2,$I$3))),"",_xll.ciqfunctions.udf.CIQ(AJ$6,"IQ_TEV",$AI219,$I$2,$I$3)))</f>
        <v>446173.07653999998</v>
      </c>
      <c r="AK219" s="718">
        <f>IF(OR($B219="No",AK$6=""),"",IF(NOT(ISNUMBER(_xll.ciqfunctions.udf.CIQ(AK$6,"IQ_TEV",$AI219,$I$2,$I$3))),"",_xll.ciqfunctions.udf.CIQ(AK$6,"IQ_TEV",$AI219,$I$2,$I$3)))</f>
        <v>166680.01126</v>
      </c>
      <c r="AL219" s="718" t="str">
        <f>IF(OR($B219="No",AL$6=""),"",IF(NOT(ISNUMBER(_xll.ciqfunctions.udf.CIQ(AL$6,"IQ_TEV",$AI219,$I$2,$I$3))),"",_xll.ciqfunctions.udf.CIQ(AL$6,"IQ_TEV",$AI219,$I$2,$I$3)))</f>
        <v/>
      </c>
      <c r="AM219" s="718" t="str">
        <f>IF(OR($B219="No",AM$6=""),"",IF(NOT(ISNUMBER(_xll.ciqfunctions.udf.CIQ(AM$6,"IQ_TEV",$AI219,$I$2,$I$3))),"",_xll.ciqfunctions.udf.CIQ(AM$6,"IQ_TEV",$AI219,$I$2,$I$3)))</f>
        <v/>
      </c>
      <c r="AN219" s="718" t="str">
        <f>IF(OR($B219="No",AN$6=""),"",IF(NOT(ISNUMBER(_xll.ciqfunctions.udf.CIQ(AN$6,"IQ_TEV",$AI219,$I$2,$I$3))),"",_xll.ciqfunctions.udf.CIQ(AN$6,"IQ_TEV",$AI219,$I$2,$I$3)))</f>
        <v/>
      </c>
      <c r="AO219" s="718" t="str">
        <f>IF(OR($B219="No",AO$6=""),"",IF(NOT(ISNUMBER(_xll.ciqfunctions.udf.CIQ(AO$6,"IQ_TEV",$AI219,$I$2,$I$3))),"",_xll.ciqfunctions.udf.CIQ(AO$6,"IQ_TEV",$AI219,$I$2,$I$3)))</f>
        <v/>
      </c>
      <c r="AP219" s="718" t="str">
        <f>IF(OR($B219="No",AP$6=""),"",IF(NOT(ISNUMBER(_xll.ciqfunctions.udf.CIQ(AP$6,"IQ_TEV",$AI219,$I$2,$I$3))),"",_xll.ciqfunctions.udf.CIQ(AP$6,"IQ_TEV",$AI219,$I$2,$I$3)))</f>
        <v/>
      </c>
      <c r="AQ219" s="718" t="str">
        <f>IF(OR($B219="No",AQ$6=""),"",IF(NOT(ISNUMBER(_xll.ciqfunctions.udf.CIQ(AQ$6,"IQ_TEV",$AI219,$I$2,$I$3))),"",_xll.ciqfunctions.udf.CIQ(AQ$6,"IQ_TEV",$AI219,$I$2,$I$3)))</f>
        <v/>
      </c>
      <c r="AR219" s="718" t="str">
        <f>IF(OR($B219="No",AR$6=""),"",IF(NOT(ISNUMBER(_xll.ciqfunctions.udf.CIQ(AR$6,"IQ_TEV",$AI219,$I$2,$I$3))),"",_xll.ciqfunctions.udf.CIQ(AR$6,"IQ_TEV",$AI219,$I$2,$I$3)))</f>
        <v/>
      </c>
      <c r="AS219" s="718" t="str">
        <f>IF(OR($B219="No",AS$6=""),"",IF(NOT(ISNUMBER(_xll.ciqfunctions.udf.CIQ(AS$6,"IQ_TEV",$AI219,$I$2,$I$3))),"",_xll.ciqfunctions.udf.CIQ(AS$6,"IQ_TEV",$AI219,$I$2,$I$3)))</f>
        <v/>
      </c>
      <c r="AT219" s="718" t="str">
        <f>IF(OR($B219="No",AT$6=""),"",IF(NOT(ISNUMBER(_xll.ciqfunctions.udf.CIQ(AT$6,"IQ_TEV",$AI219,$I$2,$I$3))),"",_xll.ciqfunctions.udf.CIQ(AT$6,"IQ_TEV",$AI219,$I$2,$I$3)))</f>
        <v/>
      </c>
      <c r="AV219" s="251">
        <f t="shared" si="129"/>
        <v>44309</v>
      </c>
      <c r="AW219" s="719">
        <f t="shared" si="130"/>
        <v>0.70910020939414498</v>
      </c>
      <c r="AX219" s="719">
        <f t="shared" si="131"/>
        <v>1.2837618280679699</v>
      </c>
      <c r="AY219" s="719" t="e">
        <f t="shared" si="132"/>
        <v>#N/A</v>
      </c>
      <c r="AZ219" s="719" t="e">
        <f t="shared" si="133"/>
        <v>#N/A</v>
      </c>
      <c r="BA219" s="719" t="e">
        <f t="shared" si="134"/>
        <v>#N/A</v>
      </c>
      <c r="BB219" s="719" t="e">
        <f t="shared" si="135"/>
        <v>#N/A</v>
      </c>
      <c r="BC219" s="719" t="e">
        <f t="shared" si="136"/>
        <v>#N/A</v>
      </c>
      <c r="BD219" s="719" t="e">
        <f t="shared" si="137"/>
        <v>#N/A</v>
      </c>
      <c r="BE219" s="719" t="e">
        <f t="shared" si="138"/>
        <v>#N/A</v>
      </c>
      <c r="BF219" s="719" t="e">
        <f t="shared" si="139"/>
        <v>#N/A</v>
      </c>
      <c r="BG219" s="719" t="e">
        <f t="shared" si="140"/>
        <v>#N/A</v>
      </c>
    </row>
    <row r="220" spans="1:59" ht="15" customHeight="1" x14ac:dyDescent="0.2">
      <c r="A220" s="251">
        <f t="shared" si="123"/>
        <v>44316</v>
      </c>
      <c r="B220" s="253" t="str">
        <f t="shared" si="141"/>
        <v>Yes</v>
      </c>
      <c r="C220" s="1033">
        <f>IF(C$6="","",IF(NOT(ISNUMBER(_xll.ciqfunctions.udf.CIQ(C$6,$F$2, $A220, $I$2, $I$3))),IF(C219=C$6,"",C219),_xll.ciqfunctions.udf.CIQ(C$6,$F$2, $A220, $I$2, $I$3)))</f>
        <v>139.91</v>
      </c>
      <c r="D220" s="1033">
        <f>IF(D$6="","",IF(NOT(ISNUMBER(_xll.ciqfunctions.udf.CIQ(D$6,$F$2, $A220, $I$2, $I$3))),IF(D219=D$6,"",D219),_xll.ciqfunctions.udf.CIQ(D$6,$F$2, $A220, $I$2, $I$3)))</f>
        <v>33874.854010000003</v>
      </c>
      <c r="E220" s="1033">
        <f>IF(E$6="","",IF(NOT(ISNUMBER(_xll.ciqfunctions.udf.CIQ(E$6,$F$2, $A220, $I$2, $I$3))),IF(E219=E$6,"",E219),_xll.ciqfunctions.udf.CIQ(E$6,$F$2, $A220, $I$2, $I$3)))</f>
        <v>11443.312389999999</v>
      </c>
      <c r="F220" s="1033">
        <f>IF(F$6="","",IF(NOT(ISNUMBER(_xll.ciqfunctions.udf.CIQ(F$6,$F$2, $A220, $I$2, $I$3))),IF(F219=F$6,"",F219),_xll.ciqfunctions.udf.CIQ(F$6,$F$2, $A220, $I$2, $I$3)))</f>
        <v>9663.9579400000002</v>
      </c>
      <c r="G220" s="1033">
        <f>IF(G$6="","",IF(NOT(ISNUMBER(_xll.ciqfunctions.udf.CIQ(G$6,$F$2, $A220, $I$2, $I$3))),IF(G219=G$6,"",G219),_xll.ciqfunctions.udf.CIQ(G$6,$F$2, $A220, $I$2, $I$3)))</f>
        <v>372.09</v>
      </c>
      <c r="H220" s="1033" t="str">
        <f>IF(H$6="","",IF(NOT(ISNUMBER(_xll.ciqfunctions.udf.CIQ(H$6,$F$2, $A220, $I$2, $I$3))),IF(H219=H$6,"",H219),_xll.ciqfunctions.udf.CIQ(H$6,$F$2, $A220, $I$2, $I$3)))</f>
        <v/>
      </c>
      <c r="I220" s="1033" t="str">
        <f>IF(I$6="","",IF(NOT(ISNUMBER(_xll.ciqfunctions.udf.CIQ(I$6,$F$2, $A220, $I$2, $I$3))),IF(I219=I$6,"",I219),_xll.ciqfunctions.udf.CIQ(I$6,$F$2, $A220, $I$2, $I$3)))</f>
        <v/>
      </c>
      <c r="J220" s="1033" t="str">
        <f>IF(J$6="","",IF(NOT(ISNUMBER(_xll.ciqfunctions.udf.CIQ(J$6,$F$2, $A220, $I$2, $I$3))),IF(J219=J$6,"",J219),_xll.ciqfunctions.udf.CIQ(J$6,$F$2, $A220, $I$2, $I$3)))</f>
        <v/>
      </c>
      <c r="K220" s="1033" t="str">
        <f>IF(K$6="","",IF(NOT(ISNUMBER(_xll.ciqfunctions.udf.CIQ(K$6,$F$2, $A220, $I$2, $I$3))),IF(K219=K$6,"",K219),_xll.ciqfunctions.udf.CIQ(K$6,$F$2, $A220, $I$2, $I$3)))</f>
        <v/>
      </c>
      <c r="L220" s="254" t="str">
        <f>IF(L$6="","",IF(NOT(ISNUMBER(_xll.ciqfunctions.udf.CIQ(L$6,$F$2, $A220, $I$2, $I$3))),IF(L219=L$6,"",L219),_xll.ciqfunctions.udf.CIQ(L$6,$F$2, $A220, $I$2, $I$3)))</f>
        <v/>
      </c>
      <c r="M220" s="254" t="str">
        <f>IF(M$6="","",IF(NOT(ISNUMBER(_xll.ciqfunctions.udf.CIQ(M$6,$F$2, $A220, $I$2, $I$3))),IF(M219=M$6,"",M219),_xll.ciqfunctions.udf.CIQ(M$6,$F$2, $A220, $I$2, $I$3)))</f>
        <v/>
      </c>
      <c r="N220" s="254" t="str">
        <f>IF(N$6="","",IF(NOT(ISNUMBER(_xll.ciqfunctions.udf.CIQ(N$6,$F$2, $A220, $I$2, $I$3))),IF(N219=N$6,"",N219),_xll.ciqfunctions.udf.CIQ(N$6,$F$2, $A220, $I$2, $I$3)))</f>
        <v/>
      </c>
      <c r="O220" s="254" t="str">
        <f>IF(O$6="","",IF(NOT(ISNUMBER(_xll.ciqfunctions.udf.CIQ(O$6,$F$2, $A220, $I$2, $I$3))),IF(O219=O$6,"",O219),_xll.ciqfunctions.udf.CIQ(O$6,$F$2, $A220, $I$2, $I$3)))</f>
        <v/>
      </c>
      <c r="P220" s="254" t="str">
        <f>IF(P$6="","",IF(NOT(ISNUMBER(_xll.ciqfunctions.udf.CIQ(P$6,$F$2, $A220, $I$2, $I$3))),IF(P219=P$6,"",P219),_xll.ciqfunctions.udf.CIQ(P$6,$F$2, $A220, $I$2, $I$3)))</f>
        <v/>
      </c>
      <c r="Q220" s="254"/>
      <c r="R220" s="251">
        <f t="shared" si="124"/>
        <v>44316</v>
      </c>
      <c r="S220" s="255">
        <f t="shared" si="126"/>
        <v>0.9410377358490567</v>
      </c>
      <c r="T220" s="255">
        <f t="shared" si="127"/>
        <v>0.63937916124679939</v>
      </c>
      <c r="U220" s="255">
        <f t="shared" si="128"/>
        <v>0.59916135045977059</v>
      </c>
      <c r="V220" s="255">
        <f t="shared" si="142"/>
        <v>1.2014899782735182</v>
      </c>
      <c r="W220" s="255">
        <f t="array" ref="W220">IFERROR(AVERAGE(IF(ISERROR(X220:AG220),"",X220:AG220)),"")</f>
        <v>1.2189158566402289</v>
      </c>
      <c r="X220" s="255">
        <f t="shared" si="143"/>
        <v>1.2189158566402289</v>
      </c>
      <c r="Y220" s="255" t="e">
        <f t="shared" si="144"/>
        <v>#N/A</v>
      </c>
      <c r="Z220" s="255" t="e">
        <f t="shared" si="145"/>
        <v>#N/A</v>
      </c>
      <c r="AA220" s="255" t="e">
        <f t="shared" si="146"/>
        <v>#N/A</v>
      </c>
      <c r="AB220" s="255" t="e">
        <f t="shared" si="147"/>
        <v>#N/A</v>
      </c>
      <c r="AC220" s="255" t="e">
        <f t="shared" si="148"/>
        <v>#N/A</v>
      </c>
      <c r="AD220" s="255" t="e">
        <f t="shared" si="149"/>
        <v>#N/A</v>
      </c>
      <c r="AE220" s="255" t="e">
        <f t="shared" si="150"/>
        <v>#N/A</v>
      </c>
      <c r="AF220" s="255" t="e">
        <f t="shared" si="151"/>
        <v>#N/A</v>
      </c>
      <c r="AG220" s="255" t="e">
        <f t="shared" si="152"/>
        <v>#N/A</v>
      </c>
      <c r="AI220" s="251">
        <f t="shared" si="125"/>
        <v>44316</v>
      </c>
      <c r="AJ220" s="718">
        <f>IF(OR($B220="No",AJ$6=""),"",IF(NOT(ISNUMBER(_xll.ciqfunctions.udf.CIQ(AJ$6,"IQ_TEV",$AI220,$I$2,$I$3))),"",_xll.ciqfunctions.udf.CIQ(AJ$6,"IQ_TEV",$AI220,$I$2,$I$3)))</f>
        <v>446201.21136000002</v>
      </c>
      <c r="AK220" s="718">
        <f>IF(OR($B220="No",AK$6=""),"",IF(NOT(ISNUMBER(_xll.ciqfunctions.udf.CIQ(AK$6,"IQ_TEV",$AI220,$I$2,$I$3))),"",_xll.ciqfunctions.udf.CIQ(AK$6,"IQ_TEV",$AI220,$I$2,$I$3)))</f>
        <v>166153.39606</v>
      </c>
      <c r="AL220" s="718" t="str">
        <f>IF(OR($B220="No",AL$6=""),"",IF(NOT(ISNUMBER(_xll.ciqfunctions.udf.CIQ(AL$6,"IQ_TEV",$AI220,$I$2,$I$3))),"",_xll.ciqfunctions.udf.CIQ(AL$6,"IQ_TEV",$AI220,$I$2,$I$3)))</f>
        <v/>
      </c>
      <c r="AM220" s="718" t="str">
        <f>IF(OR($B220="No",AM$6=""),"",IF(NOT(ISNUMBER(_xll.ciqfunctions.udf.CIQ(AM$6,"IQ_TEV",$AI220,$I$2,$I$3))),"",_xll.ciqfunctions.udf.CIQ(AM$6,"IQ_TEV",$AI220,$I$2,$I$3)))</f>
        <v/>
      </c>
      <c r="AN220" s="718" t="str">
        <f>IF(OR($B220="No",AN$6=""),"",IF(NOT(ISNUMBER(_xll.ciqfunctions.udf.CIQ(AN$6,"IQ_TEV",$AI220,$I$2,$I$3))),"",_xll.ciqfunctions.udf.CIQ(AN$6,"IQ_TEV",$AI220,$I$2,$I$3)))</f>
        <v/>
      </c>
      <c r="AO220" s="718" t="str">
        <f>IF(OR($B220="No",AO$6=""),"",IF(NOT(ISNUMBER(_xll.ciqfunctions.udf.CIQ(AO$6,"IQ_TEV",$AI220,$I$2,$I$3))),"",_xll.ciqfunctions.udf.CIQ(AO$6,"IQ_TEV",$AI220,$I$2,$I$3)))</f>
        <v/>
      </c>
      <c r="AP220" s="718" t="str">
        <f>IF(OR($B220="No",AP$6=""),"",IF(NOT(ISNUMBER(_xll.ciqfunctions.udf.CIQ(AP$6,"IQ_TEV",$AI220,$I$2,$I$3))),"",_xll.ciqfunctions.udf.CIQ(AP$6,"IQ_TEV",$AI220,$I$2,$I$3)))</f>
        <v/>
      </c>
      <c r="AQ220" s="718" t="str">
        <f>IF(OR($B220="No",AQ$6=""),"",IF(NOT(ISNUMBER(_xll.ciqfunctions.udf.CIQ(AQ$6,"IQ_TEV",$AI220,$I$2,$I$3))),"",_xll.ciqfunctions.udf.CIQ(AQ$6,"IQ_TEV",$AI220,$I$2,$I$3)))</f>
        <v/>
      </c>
      <c r="AR220" s="718" t="str">
        <f>IF(OR($B220="No",AR$6=""),"",IF(NOT(ISNUMBER(_xll.ciqfunctions.udf.CIQ(AR$6,"IQ_TEV",$AI220,$I$2,$I$3))),"",_xll.ciqfunctions.udf.CIQ(AR$6,"IQ_TEV",$AI220,$I$2,$I$3)))</f>
        <v/>
      </c>
      <c r="AS220" s="718" t="str">
        <f>IF(OR($B220="No",AS$6=""),"",IF(NOT(ISNUMBER(_xll.ciqfunctions.udf.CIQ(AS$6,"IQ_TEV",$AI220,$I$2,$I$3))),"",_xll.ciqfunctions.udf.CIQ(AS$6,"IQ_TEV",$AI220,$I$2,$I$3)))</f>
        <v/>
      </c>
      <c r="AT220" s="718" t="str">
        <f>IF(OR($B220="No",AT$6=""),"",IF(NOT(ISNUMBER(_xll.ciqfunctions.udf.CIQ(AT$6,"IQ_TEV",$AI220,$I$2,$I$3))),"",_xll.ciqfunctions.udf.CIQ(AT$6,"IQ_TEV",$AI220,$I$2,$I$3)))</f>
        <v/>
      </c>
      <c r="AV220" s="251">
        <f t="shared" si="129"/>
        <v>44316</v>
      </c>
      <c r="AW220" s="719">
        <f t="shared" si="130"/>
        <v>0.70920798198124557</v>
      </c>
      <c r="AX220" s="719">
        <f t="shared" si="131"/>
        <v>1.2765464236367547</v>
      </c>
      <c r="AY220" s="719" t="e">
        <f t="shared" si="132"/>
        <v>#N/A</v>
      </c>
      <c r="AZ220" s="719" t="e">
        <f t="shared" si="133"/>
        <v>#N/A</v>
      </c>
      <c r="BA220" s="719" t="e">
        <f t="shared" si="134"/>
        <v>#N/A</v>
      </c>
      <c r="BB220" s="719" t="e">
        <f t="shared" si="135"/>
        <v>#N/A</v>
      </c>
      <c r="BC220" s="719" t="e">
        <f t="shared" si="136"/>
        <v>#N/A</v>
      </c>
      <c r="BD220" s="719" t="e">
        <f t="shared" si="137"/>
        <v>#N/A</v>
      </c>
      <c r="BE220" s="719" t="e">
        <f t="shared" si="138"/>
        <v>#N/A</v>
      </c>
      <c r="BF220" s="719" t="e">
        <f t="shared" si="139"/>
        <v>#N/A</v>
      </c>
      <c r="BG220" s="719" t="e">
        <f t="shared" si="140"/>
        <v>#N/A</v>
      </c>
    </row>
    <row r="221" spans="1:59" ht="15" customHeight="1" x14ac:dyDescent="0.2">
      <c r="A221" s="251">
        <f t="shared" si="123"/>
        <v>44323</v>
      </c>
      <c r="B221" s="253" t="str">
        <f t="shared" si="141"/>
        <v>Yes</v>
      </c>
      <c r="C221" s="1033">
        <f>IF(C$6="","",IF(NOT(ISNUMBER(_xll.ciqfunctions.udf.CIQ(C$6,$F$2, $A221, $I$2, $I$3))),IF(C220=C$6,"",C220),_xll.ciqfunctions.udf.CIQ(C$6,$F$2, $A221, $I$2, $I$3)))</f>
        <v>140.19999999999999</v>
      </c>
      <c r="D221" s="1033">
        <f>IF(D$6="","",IF(NOT(ISNUMBER(_xll.ciqfunctions.udf.CIQ(D$6,$F$2, $A221, $I$2, $I$3))),IF(D220=D$6,"",D220),_xll.ciqfunctions.udf.CIQ(D$6,$F$2, $A221, $I$2, $I$3)))</f>
        <v>34777.759729999998</v>
      </c>
      <c r="E221" s="1033">
        <f>IF(E$6="","",IF(NOT(ISNUMBER(_xll.ciqfunctions.udf.CIQ(E$6,$F$2, $A221, $I$2, $I$3))),IF(E220=E$6,"",E220),_xll.ciqfunctions.udf.CIQ(E$6,$F$2, $A221, $I$2, $I$3)))</f>
        <v>11731.20291</v>
      </c>
      <c r="F221" s="1033">
        <f>IF(F$6="","",IF(NOT(ISNUMBER(_xll.ciqfunctions.udf.CIQ(F$6,$F$2, $A221, $I$2, $I$3))),IF(F220=F$6,"",F220),_xll.ciqfunctions.udf.CIQ(F$6,$F$2, $A221, $I$2, $I$3)))</f>
        <v>9904.1725600000009</v>
      </c>
      <c r="G221" s="1033">
        <f>IF(G$6="","",IF(NOT(ISNUMBER(_xll.ciqfunctions.udf.CIQ(G$6,$F$2, $A221, $I$2, $I$3))),IF(G220=G$6,"",G220),_xll.ciqfunctions.udf.CIQ(G$6,$F$2, $A221, $I$2, $I$3)))</f>
        <v>384.32</v>
      </c>
      <c r="H221" s="1033" t="str">
        <f>IF(H$6="","",IF(NOT(ISNUMBER(_xll.ciqfunctions.udf.CIQ(H$6,$F$2, $A221, $I$2, $I$3))),IF(H220=H$6,"",H220),_xll.ciqfunctions.udf.CIQ(H$6,$F$2, $A221, $I$2, $I$3)))</f>
        <v/>
      </c>
      <c r="I221" s="1033" t="str">
        <f>IF(I$6="","",IF(NOT(ISNUMBER(_xll.ciqfunctions.udf.CIQ(I$6,$F$2, $A221, $I$2, $I$3))),IF(I220=I$6,"",I220),_xll.ciqfunctions.udf.CIQ(I$6,$F$2, $A221, $I$2, $I$3)))</f>
        <v/>
      </c>
      <c r="J221" s="1033" t="str">
        <f>IF(J$6="","",IF(NOT(ISNUMBER(_xll.ciqfunctions.udf.CIQ(J$6,$F$2, $A221, $I$2, $I$3))),IF(J220=J$6,"",J220),_xll.ciqfunctions.udf.CIQ(J$6,$F$2, $A221, $I$2, $I$3)))</f>
        <v/>
      </c>
      <c r="K221" s="1033" t="str">
        <f>IF(K$6="","",IF(NOT(ISNUMBER(_xll.ciqfunctions.udf.CIQ(K$6,$F$2, $A221, $I$2, $I$3))),IF(K220=K$6,"",K220),_xll.ciqfunctions.udf.CIQ(K$6,$F$2, $A221, $I$2, $I$3)))</f>
        <v/>
      </c>
      <c r="L221" s="254" t="str">
        <f>IF(L$6="","",IF(NOT(ISNUMBER(_xll.ciqfunctions.udf.CIQ(L$6,$F$2, $A221, $I$2, $I$3))),IF(L220=L$6,"",L220),_xll.ciqfunctions.udf.CIQ(L$6,$F$2, $A221, $I$2, $I$3)))</f>
        <v/>
      </c>
      <c r="M221" s="254" t="str">
        <f>IF(M$6="","",IF(NOT(ISNUMBER(_xll.ciqfunctions.udf.CIQ(M$6,$F$2, $A221, $I$2, $I$3))),IF(M220=M$6,"",M220),_xll.ciqfunctions.udf.CIQ(M$6,$F$2, $A221, $I$2, $I$3)))</f>
        <v/>
      </c>
      <c r="N221" s="254" t="str">
        <f>IF(N$6="","",IF(NOT(ISNUMBER(_xll.ciqfunctions.udf.CIQ(N$6,$F$2, $A221, $I$2, $I$3))),IF(N220=N$6,"",N220),_xll.ciqfunctions.udf.CIQ(N$6,$F$2, $A221, $I$2, $I$3)))</f>
        <v/>
      </c>
      <c r="O221" s="254" t="str">
        <f>IF(O$6="","",IF(NOT(ISNUMBER(_xll.ciqfunctions.udf.CIQ(O$6,$F$2, $A221, $I$2, $I$3))),IF(O220=O$6,"",O220),_xll.ciqfunctions.udf.CIQ(O$6,$F$2, $A221, $I$2, $I$3)))</f>
        <v/>
      </c>
      <c r="P221" s="254" t="str">
        <f>IF(P$6="","",IF(NOT(ISNUMBER(_xll.ciqfunctions.udf.CIQ(P$6,$F$2, $A221, $I$2, $I$3))),IF(P220=P$6,"",P220),_xll.ciqfunctions.udf.CIQ(P$6,$F$2, $A221, $I$2, $I$3)))</f>
        <v/>
      </c>
      <c r="Q221" s="254"/>
      <c r="R221" s="251">
        <f t="shared" si="124"/>
        <v>44323</v>
      </c>
      <c r="S221" s="255">
        <f t="shared" si="126"/>
        <v>0.94506104328523843</v>
      </c>
      <c r="T221" s="255">
        <f t="shared" si="127"/>
        <v>0.68307543286767691</v>
      </c>
      <c r="U221" s="255">
        <f t="shared" si="128"/>
        <v>0.6393930051640575</v>
      </c>
      <c r="V221" s="255">
        <f t="shared" si="142"/>
        <v>1.2562118719166917</v>
      </c>
      <c r="W221" s="255">
        <f t="array" ref="W221">IFERROR(AVERAGE(IF(ISERROR(X221:AG221),"",X221:AG221)),"")</f>
        <v>1.2918480529548573</v>
      </c>
      <c r="X221" s="255">
        <f t="shared" si="143"/>
        <v>1.2918480529548573</v>
      </c>
      <c r="Y221" s="255" t="e">
        <f t="shared" si="144"/>
        <v>#N/A</v>
      </c>
      <c r="Z221" s="255" t="e">
        <f t="shared" si="145"/>
        <v>#N/A</v>
      </c>
      <c r="AA221" s="255" t="e">
        <f t="shared" si="146"/>
        <v>#N/A</v>
      </c>
      <c r="AB221" s="255" t="e">
        <f t="shared" si="147"/>
        <v>#N/A</v>
      </c>
      <c r="AC221" s="255" t="e">
        <f t="shared" si="148"/>
        <v>#N/A</v>
      </c>
      <c r="AD221" s="255" t="e">
        <f t="shared" si="149"/>
        <v>#N/A</v>
      </c>
      <c r="AE221" s="255" t="e">
        <f t="shared" si="150"/>
        <v>#N/A</v>
      </c>
      <c r="AF221" s="255" t="e">
        <f t="shared" si="151"/>
        <v>#N/A</v>
      </c>
      <c r="AG221" s="255" t="e">
        <f t="shared" si="152"/>
        <v>#N/A</v>
      </c>
      <c r="AI221" s="251">
        <f t="shared" si="125"/>
        <v>44323</v>
      </c>
      <c r="AJ221" s="718">
        <f>IF(OR($B221="No",AJ$6=""),"",IF(NOT(ISNUMBER(_xll.ciqfunctions.udf.CIQ(AJ$6,"IQ_TEV",$AI221,$I$2,$I$3))),"",_xll.ciqfunctions.udf.CIQ(AJ$6,"IQ_TEV",$AI221,$I$2,$I$3)))</f>
        <v>447017.12102000002</v>
      </c>
      <c r="AK221" s="718">
        <f>IF(OR($B221="No",AK$6=""),"",IF(NOT(ISNUMBER(_xll.ciqfunctions.udf.CIQ(AK$6,"IQ_TEV",$AI221,$I$2,$I$3))),"",_xll.ciqfunctions.udf.CIQ(AK$6,"IQ_TEV",$AI221,$I$2,$I$3)))</f>
        <v>171565.58425000001</v>
      </c>
      <c r="AL221" s="718" t="str">
        <f>IF(OR($B221="No",AL$6=""),"",IF(NOT(ISNUMBER(_xll.ciqfunctions.udf.CIQ(AL$6,"IQ_TEV",$AI221,$I$2,$I$3))),"",_xll.ciqfunctions.udf.CIQ(AL$6,"IQ_TEV",$AI221,$I$2,$I$3)))</f>
        <v/>
      </c>
      <c r="AM221" s="718" t="str">
        <f>IF(OR($B221="No",AM$6=""),"",IF(NOT(ISNUMBER(_xll.ciqfunctions.udf.CIQ(AM$6,"IQ_TEV",$AI221,$I$2,$I$3))),"",_xll.ciqfunctions.udf.CIQ(AM$6,"IQ_TEV",$AI221,$I$2,$I$3)))</f>
        <v/>
      </c>
      <c r="AN221" s="718" t="str">
        <f>IF(OR($B221="No",AN$6=""),"",IF(NOT(ISNUMBER(_xll.ciqfunctions.udf.CIQ(AN$6,"IQ_TEV",$AI221,$I$2,$I$3))),"",_xll.ciqfunctions.udf.CIQ(AN$6,"IQ_TEV",$AI221,$I$2,$I$3)))</f>
        <v/>
      </c>
      <c r="AO221" s="718" t="str">
        <f>IF(OR($B221="No",AO$6=""),"",IF(NOT(ISNUMBER(_xll.ciqfunctions.udf.CIQ(AO$6,"IQ_TEV",$AI221,$I$2,$I$3))),"",_xll.ciqfunctions.udf.CIQ(AO$6,"IQ_TEV",$AI221,$I$2,$I$3)))</f>
        <v/>
      </c>
      <c r="AP221" s="718" t="str">
        <f>IF(OR($B221="No",AP$6=""),"",IF(NOT(ISNUMBER(_xll.ciqfunctions.udf.CIQ(AP$6,"IQ_TEV",$AI221,$I$2,$I$3))),"",_xll.ciqfunctions.udf.CIQ(AP$6,"IQ_TEV",$AI221,$I$2,$I$3)))</f>
        <v/>
      </c>
      <c r="AQ221" s="718" t="str">
        <f>IF(OR($B221="No",AQ$6=""),"",IF(NOT(ISNUMBER(_xll.ciqfunctions.udf.CIQ(AQ$6,"IQ_TEV",$AI221,$I$2,$I$3))),"",_xll.ciqfunctions.udf.CIQ(AQ$6,"IQ_TEV",$AI221,$I$2,$I$3)))</f>
        <v/>
      </c>
      <c r="AR221" s="718" t="str">
        <f>IF(OR($B221="No",AR$6=""),"",IF(NOT(ISNUMBER(_xll.ciqfunctions.udf.CIQ(AR$6,"IQ_TEV",$AI221,$I$2,$I$3))),"",_xll.ciqfunctions.udf.CIQ(AR$6,"IQ_TEV",$AI221,$I$2,$I$3)))</f>
        <v/>
      </c>
      <c r="AS221" s="718" t="str">
        <f>IF(OR($B221="No",AS$6=""),"",IF(NOT(ISNUMBER(_xll.ciqfunctions.udf.CIQ(AS$6,"IQ_TEV",$AI221,$I$2,$I$3))),"",_xll.ciqfunctions.udf.CIQ(AS$6,"IQ_TEV",$AI221,$I$2,$I$3)))</f>
        <v/>
      </c>
      <c r="AT221" s="718" t="str">
        <f>IF(OR($B221="No",AT$6=""),"",IF(NOT(ISNUMBER(_xll.ciqfunctions.udf.CIQ(AT$6,"IQ_TEV",$AI221,$I$2,$I$3))),"",_xll.ciqfunctions.udf.CIQ(AT$6,"IQ_TEV",$AI221,$I$2,$I$3)))</f>
        <v/>
      </c>
      <c r="AV221" s="251">
        <f t="shared" si="129"/>
        <v>44323</v>
      </c>
      <c r="AW221" s="719">
        <f t="shared" si="130"/>
        <v>0.71233338654748835</v>
      </c>
      <c r="AX221" s="719">
        <f t="shared" si="131"/>
        <v>1.3507013789982709</v>
      </c>
      <c r="AY221" s="719" t="e">
        <f t="shared" si="132"/>
        <v>#N/A</v>
      </c>
      <c r="AZ221" s="719" t="e">
        <f t="shared" si="133"/>
        <v>#N/A</v>
      </c>
      <c r="BA221" s="719" t="e">
        <f t="shared" si="134"/>
        <v>#N/A</v>
      </c>
      <c r="BB221" s="719" t="e">
        <f t="shared" si="135"/>
        <v>#N/A</v>
      </c>
      <c r="BC221" s="719" t="e">
        <f t="shared" si="136"/>
        <v>#N/A</v>
      </c>
      <c r="BD221" s="719" t="e">
        <f t="shared" si="137"/>
        <v>#N/A</v>
      </c>
      <c r="BE221" s="719" t="e">
        <f t="shared" si="138"/>
        <v>#N/A</v>
      </c>
      <c r="BF221" s="719" t="e">
        <f t="shared" si="139"/>
        <v>#N/A</v>
      </c>
      <c r="BG221" s="719" t="e">
        <f t="shared" si="140"/>
        <v>#N/A</v>
      </c>
    </row>
    <row r="222" spans="1:59" ht="15" customHeight="1" x14ac:dyDescent="0.2">
      <c r="A222" s="251">
        <f t="shared" si="123"/>
        <v>44330</v>
      </c>
      <c r="B222" s="253" t="str">
        <f t="shared" si="141"/>
        <v>Yes</v>
      </c>
      <c r="C222" s="1033">
        <f>IF(C$6="","",IF(NOT(ISNUMBER(_xll.ciqfunctions.udf.CIQ(C$6,$F$2, $A222, $I$2, $I$3))),IF(C221=C$6,"",C221),_xll.ciqfunctions.udf.CIQ(C$6,$F$2, $A222, $I$2, $I$3)))</f>
        <v>139.52000000000001</v>
      </c>
      <c r="D222" s="1033">
        <f>IF(D$6="","",IF(NOT(ISNUMBER(_xll.ciqfunctions.udf.CIQ(D$6,$F$2, $A222, $I$2, $I$3))),IF(D221=D$6,"",D221),_xll.ciqfunctions.udf.CIQ(D$6,$F$2, $A222, $I$2, $I$3)))</f>
        <v>34382.133990000002</v>
      </c>
      <c r="E222" s="1033">
        <f>IF(E$6="","",IF(NOT(ISNUMBER(_xll.ciqfunctions.udf.CIQ(E$6,$F$2, $A222, $I$2, $I$3))),IF(E221=E$6,"",E221),_xll.ciqfunctions.udf.CIQ(E$6,$F$2, $A222, $I$2, $I$3)))</f>
        <v>11644.365239999999</v>
      </c>
      <c r="F222" s="1033">
        <f>IF(F$6="","",IF(NOT(ISNUMBER(_xll.ciqfunctions.udf.CIQ(F$6,$F$2, $A222, $I$2, $I$3))),IF(F221=F$6,"",F221),_xll.ciqfunctions.udf.CIQ(F$6,$F$2, $A222, $I$2, $I$3)))</f>
        <v>9721.0738600000004</v>
      </c>
      <c r="G222" s="1033">
        <f>IF(G$6="","",IF(NOT(ISNUMBER(_xll.ciqfunctions.udf.CIQ(G$6,$F$2, $A222, $I$2, $I$3))),IF(G221=G$6,"",G221),_xll.ciqfunctions.udf.CIQ(G$6,$F$2, $A222, $I$2, $I$3)))</f>
        <v>384.42</v>
      </c>
      <c r="H222" s="1033" t="str">
        <f>IF(H$6="","",IF(NOT(ISNUMBER(_xll.ciqfunctions.udf.CIQ(H$6,$F$2, $A222, $I$2, $I$3))),IF(H221=H$6,"",H221),_xll.ciqfunctions.udf.CIQ(H$6,$F$2, $A222, $I$2, $I$3)))</f>
        <v/>
      </c>
      <c r="I222" s="1033" t="str">
        <f>IF(I$6="","",IF(NOT(ISNUMBER(_xll.ciqfunctions.udf.CIQ(I$6,$F$2, $A222, $I$2, $I$3))),IF(I221=I$6,"",I221),_xll.ciqfunctions.udf.CIQ(I$6,$F$2, $A222, $I$2, $I$3)))</f>
        <v/>
      </c>
      <c r="J222" s="1033" t="str">
        <f>IF(J$6="","",IF(NOT(ISNUMBER(_xll.ciqfunctions.udf.CIQ(J$6,$F$2, $A222, $I$2, $I$3))),IF(J221=J$6,"",J221),_xll.ciqfunctions.udf.CIQ(J$6,$F$2, $A222, $I$2, $I$3)))</f>
        <v/>
      </c>
      <c r="K222" s="1033" t="str">
        <f>IF(K$6="","",IF(NOT(ISNUMBER(_xll.ciqfunctions.udf.CIQ(K$6,$F$2, $A222, $I$2, $I$3))),IF(K221=K$6,"",K221),_xll.ciqfunctions.udf.CIQ(K$6,$F$2, $A222, $I$2, $I$3)))</f>
        <v/>
      </c>
      <c r="L222" s="254" t="str">
        <f>IF(L$6="","",IF(NOT(ISNUMBER(_xll.ciqfunctions.udf.CIQ(L$6,$F$2, $A222, $I$2, $I$3))),IF(L221=L$6,"",L221),_xll.ciqfunctions.udf.CIQ(L$6,$F$2, $A222, $I$2, $I$3)))</f>
        <v/>
      </c>
      <c r="M222" s="254" t="str">
        <f>IF(M$6="","",IF(NOT(ISNUMBER(_xll.ciqfunctions.udf.CIQ(M$6,$F$2, $A222, $I$2, $I$3))),IF(M221=M$6,"",M221),_xll.ciqfunctions.udf.CIQ(M$6,$F$2, $A222, $I$2, $I$3)))</f>
        <v/>
      </c>
      <c r="N222" s="254" t="str">
        <f>IF(N$6="","",IF(NOT(ISNUMBER(_xll.ciqfunctions.udf.CIQ(N$6,$F$2, $A222, $I$2, $I$3))),IF(N221=N$6,"",N221),_xll.ciqfunctions.udf.CIQ(N$6,$F$2, $A222, $I$2, $I$3)))</f>
        <v/>
      </c>
      <c r="O222" s="254" t="str">
        <f>IF(O$6="","",IF(NOT(ISNUMBER(_xll.ciqfunctions.udf.CIQ(O$6,$F$2, $A222, $I$2, $I$3))),IF(O221=O$6,"",O221),_xll.ciqfunctions.udf.CIQ(O$6,$F$2, $A222, $I$2, $I$3)))</f>
        <v/>
      </c>
      <c r="P222" s="254" t="str">
        <f>IF(P$6="","",IF(NOT(ISNUMBER(_xll.ciqfunctions.udf.CIQ(P$6,$F$2, $A222, $I$2, $I$3))),IF(P221=P$6,"",P221),_xll.ciqfunctions.udf.CIQ(P$6,$F$2, $A222, $I$2, $I$3)))</f>
        <v/>
      </c>
      <c r="Q222" s="254"/>
      <c r="R222" s="251">
        <f t="shared" si="124"/>
        <v>44330</v>
      </c>
      <c r="S222" s="255">
        <f t="shared" si="126"/>
        <v>0.93562708102108783</v>
      </c>
      <c r="T222" s="255">
        <f t="shared" si="127"/>
        <v>0.66392905976102456</v>
      </c>
      <c r="U222" s="255">
        <f t="shared" si="128"/>
        <v>0.62725775612992862</v>
      </c>
      <c r="V222" s="255">
        <f t="shared" si="142"/>
        <v>1.214501223382463</v>
      </c>
      <c r="W222" s="255">
        <f t="array" ref="W222">IFERROR(AVERAGE(IF(ISERROR(X222:AG222),"",X222:AG222)),"")</f>
        <v>1.2924443914365797</v>
      </c>
      <c r="X222" s="255">
        <f t="shared" si="143"/>
        <v>1.2924443914365797</v>
      </c>
      <c r="Y222" s="255" t="e">
        <f t="shared" si="144"/>
        <v>#N/A</v>
      </c>
      <c r="Z222" s="255" t="e">
        <f t="shared" si="145"/>
        <v>#N/A</v>
      </c>
      <c r="AA222" s="255" t="e">
        <f t="shared" si="146"/>
        <v>#N/A</v>
      </c>
      <c r="AB222" s="255" t="e">
        <f t="shared" si="147"/>
        <v>#N/A</v>
      </c>
      <c r="AC222" s="255" t="e">
        <f t="shared" si="148"/>
        <v>#N/A</v>
      </c>
      <c r="AD222" s="255" t="e">
        <f t="shared" si="149"/>
        <v>#N/A</v>
      </c>
      <c r="AE222" s="255" t="e">
        <f t="shared" si="150"/>
        <v>#N/A</v>
      </c>
      <c r="AF222" s="255" t="e">
        <f t="shared" si="151"/>
        <v>#N/A</v>
      </c>
      <c r="AG222" s="255" t="e">
        <f t="shared" si="152"/>
        <v>#N/A</v>
      </c>
      <c r="AI222" s="251">
        <f t="shared" si="125"/>
        <v>44330</v>
      </c>
      <c r="AJ222" s="718">
        <f>IF(OR($B222="No",AJ$6=""),"",IF(NOT(ISNUMBER(_xll.ciqfunctions.udf.CIQ(AJ$6,"IQ_TEV",$AI222,$I$2,$I$3))),"",_xll.ciqfunctions.udf.CIQ(AJ$6,"IQ_TEV",$AI222,$I$2,$I$3)))</f>
        <v>445103.95353</v>
      </c>
      <c r="AK222" s="718">
        <f>IF(OR($B222="No",AK$6=""),"",IF(NOT(ISNUMBER(_xll.ciqfunctions.udf.CIQ(AK$6,"IQ_TEV",$AI222,$I$2,$I$3))),"",_xll.ciqfunctions.udf.CIQ(AK$6,"IQ_TEV",$AI222,$I$2,$I$3)))</f>
        <v>171609.83762999999</v>
      </c>
      <c r="AL222" s="718" t="str">
        <f>IF(OR($B222="No",AL$6=""),"",IF(NOT(ISNUMBER(_xll.ciqfunctions.udf.CIQ(AL$6,"IQ_TEV",$AI222,$I$2,$I$3))),"",_xll.ciqfunctions.udf.CIQ(AL$6,"IQ_TEV",$AI222,$I$2,$I$3)))</f>
        <v/>
      </c>
      <c r="AM222" s="718" t="str">
        <f>IF(OR($B222="No",AM$6=""),"",IF(NOT(ISNUMBER(_xll.ciqfunctions.udf.CIQ(AM$6,"IQ_TEV",$AI222,$I$2,$I$3))),"",_xll.ciqfunctions.udf.CIQ(AM$6,"IQ_TEV",$AI222,$I$2,$I$3)))</f>
        <v/>
      </c>
      <c r="AN222" s="718" t="str">
        <f>IF(OR($B222="No",AN$6=""),"",IF(NOT(ISNUMBER(_xll.ciqfunctions.udf.CIQ(AN$6,"IQ_TEV",$AI222,$I$2,$I$3))),"",_xll.ciqfunctions.udf.CIQ(AN$6,"IQ_TEV",$AI222,$I$2,$I$3)))</f>
        <v/>
      </c>
      <c r="AO222" s="718" t="str">
        <f>IF(OR($B222="No",AO$6=""),"",IF(NOT(ISNUMBER(_xll.ciqfunctions.udf.CIQ(AO$6,"IQ_TEV",$AI222,$I$2,$I$3))),"",_xll.ciqfunctions.udf.CIQ(AO$6,"IQ_TEV",$AI222,$I$2,$I$3)))</f>
        <v/>
      </c>
      <c r="AP222" s="718" t="str">
        <f>IF(OR($B222="No",AP$6=""),"",IF(NOT(ISNUMBER(_xll.ciqfunctions.udf.CIQ(AP$6,"IQ_TEV",$AI222,$I$2,$I$3))),"",_xll.ciqfunctions.udf.CIQ(AP$6,"IQ_TEV",$AI222,$I$2,$I$3)))</f>
        <v/>
      </c>
      <c r="AQ222" s="718" t="str">
        <f>IF(OR($B222="No",AQ$6=""),"",IF(NOT(ISNUMBER(_xll.ciqfunctions.udf.CIQ(AQ$6,"IQ_TEV",$AI222,$I$2,$I$3))),"",_xll.ciqfunctions.udf.CIQ(AQ$6,"IQ_TEV",$AI222,$I$2,$I$3)))</f>
        <v/>
      </c>
      <c r="AR222" s="718" t="str">
        <f>IF(OR($B222="No",AR$6=""),"",IF(NOT(ISNUMBER(_xll.ciqfunctions.udf.CIQ(AR$6,"IQ_TEV",$AI222,$I$2,$I$3))),"",_xll.ciqfunctions.udf.CIQ(AR$6,"IQ_TEV",$AI222,$I$2,$I$3)))</f>
        <v/>
      </c>
      <c r="AS222" s="718" t="str">
        <f>IF(OR($B222="No",AS$6=""),"",IF(NOT(ISNUMBER(_xll.ciqfunctions.udf.CIQ(AS$6,"IQ_TEV",$AI222,$I$2,$I$3))),"",_xll.ciqfunctions.udf.CIQ(AS$6,"IQ_TEV",$AI222,$I$2,$I$3)))</f>
        <v/>
      </c>
      <c r="AT222" s="718" t="str">
        <f>IF(OR($B222="No",AT$6=""),"",IF(NOT(ISNUMBER(_xll.ciqfunctions.udf.CIQ(AT$6,"IQ_TEV",$AI222,$I$2,$I$3))),"",_xll.ciqfunctions.udf.CIQ(AT$6,"IQ_TEV",$AI222,$I$2,$I$3)))</f>
        <v/>
      </c>
      <c r="AV222" s="251">
        <f t="shared" si="129"/>
        <v>44330</v>
      </c>
      <c r="AW222" s="719">
        <f t="shared" si="130"/>
        <v>0.70500485165891602</v>
      </c>
      <c r="AX222" s="719">
        <f t="shared" si="131"/>
        <v>1.3513077155304258</v>
      </c>
      <c r="AY222" s="719" t="e">
        <f t="shared" si="132"/>
        <v>#N/A</v>
      </c>
      <c r="AZ222" s="719" t="e">
        <f t="shared" si="133"/>
        <v>#N/A</v>
      </c>
      <c r="BA222" s="719" t="e">
        <f t="shared" si="134"/>
        <v>#N/A</v>
      </c>
      <c r="BB222" s="719" t="e">
        <f t="shared" si="135"/>
        <v>#N/A</v>
      </c>
      <c r="BC222" s="719" t="e">
        <f t="shared" si="136"/>
        <v>#N/A</v>
      </c>
      <c r="BD222" s="719" t="e">
        <f t="shared" si="137"/>
        <v>#N/A</v>
      </c>
      <c r="BE222" s="719" t="e">
        <f t="shared" si="138"/>
        <v>#N/A</v>
      </c>
      <c r="BF222" s="719" t="e">
        <f t="shared" si="139"/>
        <v>#N/A</v>
      </c>
      <c r="BG222" s="719" t="e">
        <f t="shared" si="140"/>
        <v>#N/A</v>
      </c>
    </row>
    <row r="223" spans="1:59" ht="15" customHeight="1" x14ac:dyDescent="0.2">
      <c r="A223" s="251">
        <f t="shared" si="123"/>
        <v>44337</v>
      </c>
      <c r="B223" s="253" t="str">
        <f t="shared" si="141"/>
        <v>Yes</v>
      </c>
      <c r="C223" s="1033">
        <f>IF(C$6="","",IF(NOT(ISNUMBER(_xll.ciqfunctions.udf.CIQ(C$6,$F$2, $A223, $I$2, $I$3))),IF(C222=C$6,"",C222),_xll.ciqfunctions.udf.CIQ(C$6,$F$2, $A223, $I$2, $I$3)))</f>
        <v>141.75</v>
      </c>
      <c r="D223" s="1033">
        <f>IF(D$6="","",IF(NOT(ISNUMBER(_xll.ciqfunctions.udf.CIQ(D$6,$F$2, $A223, $I$2, $I$3))),IF(D222=D$6,"",D222),_xll.ciqfunctions.udf.CIQ(D$6,$F$2, $A223, $I$2, $I$3)))</f>
        <v>34207.842850000001</v>
      </c>
      <c r="E223" s="1033">
        <f>IF(E$6="","",IF(NOT(ISNUMBER(_xll.ciqfunctions.udf.CIQ(E$6,$F$2, $A223, $I$2, $I$3))),IF(E222=E$6,"",E222),_xll.ciqfunctions.udf.CIQ(E$6,$F$2, $A223, $I$2, $I$3)))</f>
        <v>11518.012430000001</v>
      </c>
      <c r="F223" s="1033">
        <f>IF(F$6="","",IF(NOT(ISNUMBER(_xll.ciqfunctions.udf.CIQ(F$6,$F$2, $A223, $I$2, $I$3))),IF(F222=F$6,"",F222),_xll.ciqfunctions.udf.CIQ(F$6,$F$2, $A223, $I$2, $I$3)))</f>
        <v>9476.0493999999999</v>
      </c>
      <c r="G223" s="1033">
        <f>IF(G$6="","",IF(NOT(ISNUMBER(_xll.ciqfunctions.udf.CIQ(G$6,$F$2, $A223, $I$2, $I$3))),IF(G222=G$6,"",G222),_xll.ciqfunctions.udf.CIQ(G$6,$F$2, $A223, $I$2, $I$3)))</f>
        <v>380.72</v>
      </c>
      <c r="H223" s="1033" t="str">
        <f>IF(H$6="","",IF(NOT(ISNUMBER(_xll.ciqfunctions.udf.CIQ(H$6,$F$2, $A223, $I$2, $I$3))),IF(H222=H$6,"",H222),_xll.ciqfunctions.udf.CIQ(H$6,$F$2, $A223, $I$2, $I$3)))</f>
        <v/>
      </c>
      <c r="I223" s="1033" t="str">
        <f>IF(I$6="","",IF(NOT(ISNUMBER(_xll.ciqfunctions.udf.CIQ(I$6,$F$2, $A223, $I$2, $I$3))),IF(I222=I$6,"",I222),_xll.ciqfunctions.udf.CIQ(I$6,$F$2, $A223, $I$2, $I$3)))</f>
        <v/>
      </c>
      <c r="J223" s="1033" t="str">
        <f>IF(J$6="","",IF(NOT(ISNUMBER(_xll.ciqfunctions.udf.CIQ(J$6,$F$2, $A223, $I$2, $I$3))),IF(J222=J$6,"",J222),_xll.ciqfunctions.udf.CIQ(J$6,$F$2, $A223, $I$2, $I$3)))</f>
        <v/>
      </c>
      <c r="K223" s="1033" t="str">
        <f>IF(K$6="","",IF(NOT(ISNUMBER(_xll.ciqfunctions.udf.CIQ(K$6,$F$2, $A223, $I$2, $I$3))),IF(K222=K$6,"",K222),_xll.ciqfunctions.udf.CIQ(K$6,$F$2, $A223, $I$2, $I$3)))</f>
        <v/>
      </c>
      <c r="L223" s="254" t="str">
        <f>IF(L$6="","",IF(NOT(ISNUMBER(_xll.ciqfunctions.udf.CIQ(L$6,$F$2, $A223, $I$2, $I$3))),IF(L222=L$6,"",L222),_xll.ciqfunctions.udf.CIQ(L$6,$F$2, $A223, $I$2, $I$3)))</f>
        <v/>
      </c>
      <c r="M223" s="254" t="str">
        <f>IF(M$6="","",IF(NOT(ISNUMBER(_xll.ciqfunctions.udf.CIQ(M$6,$F$2, $A223, $I$2, $I$3))),IF(M222=M$6,"",M222),_xll.ciqfunctions.udf.CIQ(M$6,$F$2, $A223, $I$2, $I$3)))</f>
        <v/>
      </c>
      <c r="N223" s="254" t="str">
        <f>IF(N$6="","",IF(NOT(ISNUMBER(_xll.ciqfunctions.udf.CIQ(N$6,$F$2, $A223, $I$2, $I$3))),IF(N222=N$6,"",N222),_xll.ciqfunctions.udf.CIQ(N$6,$F$2, $A223, $I$2, $I$3)))</f>
        <v/>
      </c>
      <c r="O223" s="254" t="str">
        <f>IF(O$6="","",IF(NOT(ISNUMBER(_xll.ciqfunctions.udf.CIQ(O$6,$F$2, $A223, $I$2, $I$3))),IF(O222=O$6,"",O222),_xll.ciqfunctions.udf.CIQ(O$6,$F$2, $A223, $I$2, $I$3)))</f>
        <v/>
      </c>
      <c r="P223" s="254" t="str">
        <f>IF(P$6="","",IF(NOT(ISNUMBER(_xll.ciqfunctions.udf.CIQ(P$6,$F$2, $A223, $I$2, $I$3))),IF(P222=P$6,"",P222),_xll.ciqfunctions.udf.CIQ(P$6,$F$2, $A223, $I$2, $I$3)))</f>
        <v/>
      </c>
      <c r="Q223" s="254"/>
      <c r="R223" s="251">
        <f t="shared" si="124"/>
        <v>44337</v>
      </c>
      <c r="S223" s="255">
        <f t="shared" si="126"/>
        <v>0.96656492785793557</v>
      </c>
      <c r="T223" s="255">
        <f t="shared" si="127"/>
        <v>0.65549421122052309</v>
      </c>
      <c r="U223" s="255">
        <f t="shared" si="128"/>
        <v>0.60960040977883567</v>
      </c>
      <c r="V223" s="255">
        <f t="shared" si="142"/>
        <v>1.1586836280999777</v>
      </c>
      <c r="W223" s="255">
        <f t="array" ref="W223">IFERROR(AVERAGE(IF(ISERROR(X223:AG223),"",X223:AG223)),"")</f>
        <v>1.2703798676128573</v>
      </c>
      <c r="X223" s="255">
        <f t="shared" si="143"/>
        <v>1.2703798676128573</v>
      </c>
      <c r="Y223" s="255" t="e">
        <f t="shared" si="144"/>
        <v>#N/A</v>
      </c>
      <c r="Z223" s="255" t="e">
        <f t="shared" si="145"/>
        <v>#N/A</v>
      </c>
      <c r="AA223" s="255" t="e">
        <f t="shared" si="146"/>
        <v>#N/A</v>
      </c>
      <c r="AB223" s="255" t="e">
        <f t="shared" si="147"/>
        <v>#N/A</v>
      </c>
      <c r="AC223" s="255" t="e">
        <f t="shared" si="148"/>
        <v>#N/A</v>
      </c>
      <c r="AD223" s="255" t="e">
        <f t="shared" si="149"/>
        <v>#N/A</v>
      </c>
      <c r="AE223" s="255" t="e">
        <f t="shared" si="150"/>
        <v>#N/A</v>
      </c>
      <c r="AF223" s="255" t="e">
        <f t="shared" si="151"/>
        <v>#N/A</v>
      </c>
      <c r="AG223" s="255" t="e">
        <f t="shared" si="152"/>
        <v>#N/A</v>
      </c>
      <c r="AI223" s="251">
        <f t="shared" si="125"/>
        <v>44337</v>
      </c>
      <c r="AJ223" s="718">
        <f>IF(OR($B223="No",AJ$6=""),"",IF(NOT(ISNUMBER(_xll.ciqfunctions.udf.CIQ(AJ$6,"IQ_TEV",$AI223,$I$2,$I$3))),"",_xll.ciqfunctions.udf.CIQ(AJ$6,"IQ_TEV",$AI223,$I$2,$I$3)))</f>
        <v>445044.01750999998</v>
      </c>
      <c r="AK223" s="718">
        <f>IF(OR($B223="No",AK$6=""),"",IF(NOT(ISNUMBER(_xll.ciqfunctions.udf.CIQ(AK$6,"IQ_TEV",$AI223,$I$2,$I$3))),"",_xll.ciqfunctions.udf.CIQ(AK$6,"IQ_TEV",$AI223,$I$2,$I$3)))</f>
        <v>169972.46262999999</v>
      </c>
      <c r="AL223" s="718" t="str">
        <f>IF(OR($B223="No",AL$6=""),"",IF(NOT(ISNUMBER(_xll.ciqfunctions.udf.CIQ(AL$6,"IQ_TEV",$AI223,$I$2,$I$3))),"",_xll.ciqfunctions.udf.CIQ(AL$6,"IQ_TEV",$AI223,$I$2,$I$3)))</f>
        <v/>
      </c>
      <c r="AM223" s="718" t="str">
        <f>IF(OR($B223="No",AM$6=""),"",IF(NOT(ISNUMBER(_xll.ciqfunctions.udf.CIQ(AM$6,"IQ_TEV",$AI223,$I$2,$I$3))),"",_xll.ciqfunctions.udf.CIQ(AM$6,"IQ_TEV",$AI223,$I$2,$I$3)))</f>
        <v/>
      </c>
      <c r="AN223" s="718" t="str">
        <f>IF(OR($B223="No",AN$6=""),"",IF(NOT(ISNUMBER(_xll.ciqfunctions.udf.CIQ(AN$6,"IQ_TEV",$AI223,$I$2,$I$3))),"",_xll.ciqfunctions.udf.CIQ(AN$6,"IQ_TEV",$AI223,$I$2,$I$3)))</f>
        <v/>
      </c>
      <c r="AO223" s="718" t="str">
        <f>IF(OR($B223="No",AO$6=""),"",IF(NOT(ISNUMBER(_xll.ciqfunctions.udf.CIQ(AO$6,"IQ_TEV",$AI223,$I$2,$I$3))),"",_xll.ciqfunctions.udf.CIQ(AO$6,"IQ_TEV",$AI223,$I$2,$I$3)))</f>
        <v/>
      </c>
      <c r="AP223" s="718" t="str">
        <f>IF(OR($B223="No",AP$6=""),"",IF(NOT(ISNUMBER(_xll.ciqfunctions.udf.CIQ(AP$6,"IQ_TEV",$AI223,$I$2,$I$3))),"",_xll.ciqfunctions.udf.CIQ(AP$6,"IQ_TEV",$AI223,$I$2,$I$3)))</f>
        <v/>
      </c>
      <c r="AQ223" s="718" t="str">
        <f>IF(OR($B223="No",AQ$6=""),"",IF(NOT(ISNUMBER(_xll.ciqfunctions.udf.CIQ(AQ$6,"IQ_TEV",$AI223,$I$2,$I$3))),"",_xll.ciqfunctions.udf.CIQ(AQ$6,"IQ_TEV",$AI223,$I$2,$I$3)))</f>
        <v/>
      </c>
      <c r="AR223" s="718" t="str">
        <f>IF(OR($B223="No",AR$6=""),"",IF(NOT(ISNUMBER(_xll.ciqfunctions.udf.CIQ(AR$6,"IQ_TEV",$AI223,$I$2,$I$3))),"",_xll.ciqfunctions.udf.CIQ(AR$6,"IQ_TEV",$AI223,$I$2,$I$3)))</f>
        <v/>
      </c>
      <c r="AS223" s="718" t="str">
        <f>IF(OR($B223="No",AS$6=""),"",IF(NOT(ISNUMBER(_xll.ciqfunctions.udf.CIQ(AS$6,"IQ_TEV",$AI223,$I$2,$I$3))),"",_xll.ciqfunctions.udf.CIQ(AS$6,"IQ_TEV",$AI223,$I$2,$I$3)))</f>
        <v/>
      </c>
      <c r="AT223" s="718" t="str">
        <f>IF(OR($B223="No",AT$6=""),"",IF(NOT(ISNUMBER(_xll.ciqfunctions.udf.CIQ(AT$6,"IQ_TEV",$AI223,$I$2,$I$3))),"",_xll.ciqfunctions.udf.CIQ(AT$6,"IQ_TEV",$AI223,$I$2,$I$3)))</f>
        <v/>
      </c>
      <c r="AV223" s="251">
        <f t="shared" si="129"/>
        <v>44337</v>
      </c>
      <c r="AW223" s="719">
        <f t="shared" si="130"/>
        <v>0.70477526213476382</v>
      </c>
      <c r="AX223" s="719">
        <f t="shared" si="131"/>
        <v>1.3288732646627701</v>
      </c>
      <c r="AY223" s="719" t="e">
        <f t="shared" si="132"/>
        <v>#N/A</v>
      </c>
      <c r="AZ223" s="719" t="e">
        <f t="shared" si="133"/>
        <v>#N/A</v>
      </c>
      <c r="BA223" s="719" t="e">
        <f t="shared" si="134"/>
        <v>#N/A</v>
      </c>
      <c r="BB223" s="719" t="e">
        <f t="shared" si="135"/>
        <v>#N/A</v>
      </c>
      <c r="BC223" s="719" t="e">
        <f t="shared" si="136"/>
        <v>#N/A</v>
      </c>
      <c r="BD223" s="719" t="e">
        <f t="shared" si="137"/>
        <v>#N/A</v>
      </c>
      <c r="BE223" s="719" t="e">
        <f t="shared" si="138"/>
        <v>#N/A</v>
      </c>
      <c r="BF223" s="719" t="e">
        <f t="shared" si="139"/>
        <v>#N/A</v>
      </c>
      <c r="BG223" s="719" t="e">
        <f t="shared" si="140"/>
        <v>#N/A</v>
      </c>
    </row>
    <row r="224" spans="1:59" ht="15" customHeight="1" x14ac:dyDescent="0.2">
      <c r="A224" s="251">
        <f t="shared" si="123"/>
        <v>44344</v>
      </c>
      <c r="B224" s="253" t="str">
        <f t="shared" si="141"/>
        <v>Yes</v>
      </c>
      <c r="C224" s="1033">
        <f>IF(C$6="","",IF(NOT(ISNUMBER(_xll.ciqfunctions.udf.CIQ(C$6,$F$2, $A224, $I$2, $I$3))),IF(C223=C$6,"",C223),_xll.ciqfunctions.udf.CIQ(C$6,$F$2, $A224, $I$2, $I$3)))</f>
        <v>142.03</v>
      </c>
      <c r="D224" s="1033">
        <f>IF(D$6="","",IF(NOT(ISNUMBER(_xll.ciqfunctions.udf.CIQ(D$6,$F$2, $A224, $I$2, $I$3))),IF(D223=D$6,"",D223),_xll.ciqfunctions.udf.CIQ(D$6,$F$2, $A224, $I$2, $I$3)))</f>
        <v>34529.44915</v>
      </c>
      <c r="E224" s="1033">
        <f>IF(E$6="","",IF(NOT(ISNUMBER(_xll.ciqfunctions.udf.CIQ(E$6,$F$2, $A224, $I$2, $I$3))),IF(E223=E$6,"",E223),_xll.ciqfunctions.udf.CIQ(E$6,$F$2, $A224, $I$2, $I$3)))</f>
        <v>11620.54241</v>
      </c>
      <c r="F224" s="1033">
        <f>IF(F$6="","",IF(NOT(ISNUMBER(_xll.ciqfunctions.udf.CIQ(F$6,$F$2, $A224, $I$2, $I$3))),IF(F223=F$6,"",F223),_xll.ciqfunctions.udf.CIQ(F$6,$F$2, $A224, $I$2, $I$3)))</f>
        <v>9723.7139200000001</v>
      </c>
      <c r="G224" s="1033">
        <f>IF(G$6="","",IF(NOT(ISNUMBER(_xll.ciqfunctions.udf.CIQ(G$6,$F$2, $A224, $I$2, $I$3))),IF(G223=G$6,"",G223),_xll.ciqfunctions.udf.CIQ(G$6,$F$2, $A224, $I$2, $I$3)))</f>
        <v>378.27</v>
      </c>
      <c r="H224" s="1033" t="str">
        <f>IF(H$6="","",IF(NOT(ISNUMBER(_xll.ciqfunctions.udf.CIQ(H$6,$F$2, $A224, $I$2, $I$3))),IF(H223=H$6,"",H223),_xll.ciqfunctions.udf.CIQ(H$6,$F$2, $A224, $I$2, $I$3)))</f>
        <v/>
      </c>
      <c r="I224" s="1033" t="str">
        <f>IF(I$6="","",IF(NOT(ISNUMBER(_xll.ciqfunctions.udf.CIQ(I$6,$F$2, $A224, $I$2, $I$3))),IF(I223=I$6,"",I223),_xll.ciqfunctions.udf.CIQ(I$6,$F$2, $A224, $I$2, $I$3)))</f>
        <v/>
      </c>
      <c r="J224" s="1033" t="str">
        <f>IF(J$6="","",IF(NOT(ISNUMBER(_xll.ciqfunctions.udf.CIQ(J$6,$F$2, $A224, $I$2, $I$3))),IF(J223=J$6,"",J223),_xll.ciqfunctions.udf.CIQ(J$6,$F$2, $A224, $I$2, $I$3)))</f>
        <v/>
      </c>
      <c r="K224" s="1033" t="str">
        <f>IF(K$6="","",IF(NOT(ISNUMBER(_xll.ciqfunctions.udf.CIQ(K$6,$F$2, $A224, $I$2, $I$3))),IF(K223=K$6,"",K223),_xll.ciqfunctions.udf.CIQ(K$6,$F$2, $A224, $I$2, $I$3)))</f>
        <v/>
      </c>
      <c r="L224" s="254" t="str">
        <f>IF(L$6="","",IF(NOT(ISNUMBER(_xll.ciqfunctions.udf.CIQ(L$6,$F$2, $A224, $I$2, $I$3))),IF(L223=L$6,"",L223),_xll.ciqfunctions.udf.CIQ(L$6,$F$2, $A224, $I$2, $I$3)))</f>
        <v/>
      </c>
      <c r="M224" s="254" t="str">
        <f>IF(M$6="","",IF(NOT(ISNUMBER(_xll.ciqfunctions.udf.CIQ(M$6,$F$2, $A224, $I$2, $I$3))),IF(M223=M$6,"",M223),_xll.ciqfunctions.udf.CIQ(M$6,$F$2, $A224, $I$2, $I$3)))</f>
        <v/>
      </c>
      <c r="N224" s="254" t="str">
        <f>IF(N$6="","",IF(NOT(ISNUMBER(_xll.ciqfunctions.udf.CIQ(N$6,$F$2, $A224, $I$2, $I$3))),IF(N223=N$6,"",N223),_xll.ciqfunctions.udf.CIQ(N$6,$F$2, $A224, $I$2, $I$3)))</f>
        <v/>
      </c>
      <c r="O224" s="254" t="str">
        <f>IF(O$6="","",IF(NOT(ISNUMBER(_xll.ciqfunctions.udf.CIQ(O$6,$F$2, $A224, $I$2, $I$3))),IF(O223=O$6,"",O223),_xll.ciqfunctions.udf.CIQ(O$6,$F$2, $A224, $I$2, $I$3)))</f>
        <v/>
      </c>
      <c r="P224" s="254" t="str">
        <f>IF(P$6="","",IF(NOT(ISNUMBER(_xll.ciqfunctions.udf.CIQ(P$6,$F$2, $A224, $I$2, $I$3))),IF(P223=P$6,"",P223),_xll.ciqfunctions.udf.CIQ(P$6,$F$2, $A224, $I$2, $I$3)))</f>
        <v/>
      </c>
      <c r="Q224" s="254"/>
      <c r="R224" s="251">
        <f t="shared" si="124"/>
        <v>44344</v>
      </c>
      <c r="S224" s="255">
        <f t="shared" si="126"/>
        <v>0.97044950055493895</v>
      </c>
      <c r="T224" s="255">
        <f t="shared" si="127"/>
        <v>0.67105840128876793</v>
      </c>
      <c r="U224" s="255">
        <f t="shared" si="128"/>
        <v>0.62392860214931511</v>
      </c>
      <c r="V224" s="255">
        <f t="shared" si="142"/>
        <v>1.2151026400761329</v>
      </c>
      <c r="W224" s="255">
        <f t="array" ref="W224">IFERROR(AVERAGE(IF(ISERROR(X224:AG224),"",X224:AG224)),"")</f>
        <v>1.2557695748106625</v>
      </c>
      <c r="X224" s="255">
        <f t="shared" si="143"/>
        <v>1.2557695748106625</v>
      </c>
      <c r="Y224" s="255" t="e">
        <f t="shared" si="144"/>
        <v>#N/A</v>
      </c>
      <c r="Z224" s="255" t="e">
        <f t="shared" si="145"/>
        <v>#N/A</v>
      </c>
      <c r="AA224" s="255" t="e">
        <f t="shared" si="146"/>
        <v>#N/A</v>
      </c>
      <c r="AB224" s="255" t="e">
        <f t="shared" si="147"/>
        <v>#N/A</v>
      </c>
      <c r="AC224" s="255" t="e">
        <f t="shared" si="148"/>
        <v>#N/A</v>
      </c>
      <c r="AD224" s="255" t="e">
        <f t="shared" si="149"/>
        <v>#N/A</v>
      </c>
      <c r="AE224" s="255" t="e">
        <f t="shared" si="150"/>
        <v>#N/A</v>
      </c>
      <c r="AF224" s="255" t="e">
        <f t="shared" si="151"/>
        <v>#N/A</v>
      </c>
      <c r="AG224" s="255" t="e">
        <f t="shared" si="152"/>
        <v>#N/A</v>
      </c>
      <c r="AI224" s="251">
        <f t="shared" si="125"/>
        <v>44344</v>
      </c>
      <c r="AJ224" s="718">
        <f>IF(OR($B224="No",AJ$6=""),"",IF(NOT(ISNUMBER(_xll.ciqfunctions.udf.CIQ(AJ$6,"IQ_TEV",$AI224,$I$2,$I$3))),"",_xll.ciqfunctions.udf.CIQ(AJ$6,"IQ_TEV",$AI224,$I$2,$I$3)))</f>
        <v>445831.79236000002</v>
      </c>
      <c r="AK224" s="718">
        <f>IF(OR($B224="No",AK$6=""),"",IF(NOT(ISNUMBER(_xll.ciqfunctions.udf.CIQ(AK$6,"IQ_TEV",$AI224,$I$2,$I$3))),"",_xll.ciqfunctions.udf.CIQ(AK$6,"IQ_TEV",$AI224,$I$2,$I$3)))</f>
        <v>166842.67606999999</v>
      </c>
      <c r="AL224" s="718" t="str">
        <f>IF(OR($B224="No",AL$6=""),"",IF(NOT(ISNUMBER(_xll.ciqfunctions.udf.CIQ(AL$6,"IQ_TEV",$AI224,$I$2,$I$3))),"",_xll.ciqfunctions.udf.CIQ(AL$6,"IQ_TEV",$AI224,$I$2,$I$3)))</f>
        <v/>
      </c>
      <c r="AM224" s="718" t="str">
        <f>IF(OR($B224="No",AM$6=""),"",IF(NOT(ISNUMBER(_xll.ciqfunctions.udf.CIQ(AM$6,"IQ_TEV",$AI224,$I$2,$I$3))),"",_xll.ciqfunctions.udf.CIQ(AM$6,"IQ_TEV",$AI224,$I$2,$I$3)))</f>
        <v/>
      </c>
      <c r="AN224" s="718" t="str">
        <f>IF(OR($B224="No",AN$6=""),"",IF(NOT(ISNUMBER(_xll.ciqfunctions.udf.CIQ(AN$6,"IQ_TEV",$AI224,$I$2,$I$3))),"",_xll.ciqfunctions.udf.CIQ(AN$6,"IQ_TEV",$AI224,$I$2,$I$3)))</f>
        <v/>
      </c>
      <c r="AO224" s="718" t="str">
        <f>IF(OR($B224="No",AO$6=""),"",IF(NOT(ISNUMBER(_xll.ciqfunctions.udf.CIQ(AO$6,"IQ_TEV",$AI224,$I$2,$I$3))),"",_xll.ciqfunctions.udf.CIQ(AO$6,"IQ_TEV",$AI224,$I$2,$I$3)))</f>
        <v/>
      </c>
      <c r="AP224" s="718" t="str">
        <f>IF(OR($B224="No",AP$6=""),"",IF(NOT(ISNUMBER(_xll.ciqfunctions.udf.CIQ(AP$6,"IQ_TEV",$AI224,$I$2,$I$3))),"",_xll.ciqfunctions.udf.CIQ(AP$6,"IQ_TEV",$AI224,$I$2,$I$3)))</f>
        <v/>
      </c>
      <c r="AQ224" s="718" t="str">
        <f>IF(OR($B224="No",AQ$6=""),"",IF(NOT(ISNUMBER(_xll.ciqfunctions.udf.CIQ(AQ$6,"IQ_TEV",$AI224,$I$2,$I$3))),"",_xll.ciqfunctions.udf.CIQ(AQ$6,"IQ_TEV",$AI224,$I$2,$I$3)))</f>
        <v/>
      </c>
      <c r="AR224" s="718" t="str">
        <f>IF(OR($B224="No",AR$6=""),"",IF(NOT(ISNUMBER(_xll.ciqfunctions.udf.CIQ(AR$6,"IQ_TEV",$AI224,$I$2,$I$3))),"",_xll.ciqfunctions.udf.CIQ(AR$6,"IQ_TEV",$AI224,$I$2,$I$3)))</f>
        <v/>
      </c>
      <c r="AS224" s="718" t="str">
        <f>IF(OR($B224="No",AS$6=""),"",IF(NOT(ISNUMBER(_xll.ciqfunctions.udf.CIQ(AS$6,"IQ_TEV",$AI224,$I$2,$I$3))),"",_xll.ciqfunctions.udf.CIQ(AS$6,"IQ_TEV",$AI224,$I$2,$I$3)))</f>
        <v/>
      </c>
      <c r="AT224" s="718" t="str">
        <f>IF(OR($B224="No",AT$6=""),"",IF(NOT(ISNUMBER(_xll.ciqfunctions.udf.CIQ(AT$6,"IQ_TEV",$AI224,$I$2,$I$3))),"",_xll.ciqfunctions.udf.CIQ(AT$6,"IQ_TEV",$AI224,$I$2,$I$3)))</f>
        <v/>
      </c>
      <c r="AV224" s="251">
        <f t="shared" si="129"/>
        <v>44344</v>
      </c>
      <c r="AW224" s="719">
        <f t="shared" si="130"/>
        <v>0.70779289415221225</v>
      </c>
      <c r="AX224" s="719">
        <f t="shared" si="131"/>
        <v>1.2859905757206707</v>
      </c>
      <c r="AY224" s="719" t="e">
        <f t="shared" si="132"/>
        <v>#N/A</v>
      </c>
      <c r="AZ224" s="719" t="e">
        <f t="shared" si="133"/>
        <v>#N/A</v>
      </c>
      <c r="BA224" s="719" t="e">
        <f t="shared" si="134"/>
        <v>#N/A</v>
      </c>
      <c r="BB224" s="719" t="e">
        <f t="shared" si="135"/>
        <v>#N/A</v>
      </c>
      <c r="BC224" s="719" t="e">
        <f t="shared" si="136"/>
        <v>#N/A</v>
      </c>
      <c r="BD224" s="719" t="e">
        <f t="shared" si="137"/>
        <v>#N/A</v>
      </c>
      <c r="BE224" s="719" t="e">
        <f t="shared" si="138"/>
        <v>#N/A</v>
      </c>
      <c r="BF224" s="719" t="e">
        <f t="shared" si="139"/>
        <v>#N/A</v>
      </c>
      <c r="BG224" s="719" t="e">
        <f t="shared" si="140"/>
        <v>#N/A</v>
      </c>
    </row>
    <row r="225" spans="1:59" ht="15" customHeight="1" x14ac:dyDescent="0.2">
      <c r="A225" s="251">
        <f t="shared" si="123"/>
        <v>44351</v>
      </c>
      <c r="B225" s="253" t="str">
        <f t="shared" si="141"/>
        <v>Yes</v>
      </c>
      <c r="C225" s="1033">
        <f>IF(C$6="","",IF(NOT(ISNUMBER(_xll.ciqfunctions.udf.CIQ(C$6,$F$2, $A225, $I$2, $I$3))),IF(C224=C$6,"",C224),_xll.ciqfunctions.udf.CIQ(C$6,$F$2, $A225, $I$2, $I$3)))</f>
        <v>141.85</v>
      </c>
      <c r="D225" s="1033">
        <f>IF(D$6="","",IF(NOT(ISNUMBER(_xll.ciqfunctions.udf.CIQ(D$6,$F$2, $A225, $I$2, $I$3))),IF(D224=D$6,"",D224),_xll.ciqfunctions.udf.CIQ(D$6,$F$2, $A225, $I$2, $I$3)))</f>
        <v>34756.388830000004</v>
      </c>
      <c r="E225" s="1033">
        <f>IF(E$6="","",IF(NOT(ISNUMBER(_xll.ciqfunctions.udf.CIQ(E$6,$F$2, $A225, $I$2, $I$3))),IF(E224=E$6,"",E224),_xll.ciqfunctions.udf.CIQ(E$6,$F$2, $A225, $I$2, $I$3)))</f>
        <v>11611.077079999999</v>
      </c>
      <c r="F225" s="1033">
        <f>IF(F$6="","",IF(NOT(ISNUMBER(_xll.ciqfunctions.udf.CIQ(F$6,$F$2, $A225, $I$2, $I$3))),IF(F224=F$6,"",F224),_xll.ciqfunctions.udf.CIQ(F$6,$F$2, $A225, $I$2, $I$3)))</f>
        <v>9779.7824400000009</v>
      </c>
      <c r="G225" s="1033">
        <f>IF(G$6="","",IF(NOT(ISNUMBER(_xll.ciqfunctions.udf.CIQ(G$6,$F$2, $A225, $I$2, $I$3))),IF(G224=G$6,"",G224),_xll.ciqfunctions.udf.CIQ(G$6,$F$2, $A225, $I$2, $I$3)))</f>
        <v>387.52</v>
      </c>
      <c r="H225" s="1033" t="str">
        <f>IF(H$6="","",IF(NOT(ISNUMBER(_xll.ciqfunctions.udf.CIQ(H$6,$F$2, $A225, $I$2, $I$3))),IF(H224=H$6,"",H224),_xll.ciqfunctions.udf.CIQ(H$6,$F$2, $A225, $I$2, $I$3)))</f>
        <v/>
      </c>
      <c r="I225" s="1033" t="str">
        <f>IF(I$6="","",IF(NOT(ISNUMBER(_xll.ciqfunctions.udf.CIQ(I$6,$F$2, $A225, $I$2, $I$3))),IF(I224=I$6,"",I224),_xll.ciqfunctions.udf.CIQ(I$6,$F$2, $A225, $I$2, $I$3)))</f>
        <v/>
      </c>
      <c r="J225" s="1033" t="str">
        <f>IF(J$6="","",IF(NOT(ISNUMBER(_xll.ciqfunctions.udf.CIQ(J$6,$F$2, $A225, $I$2, $I$3))),IF(J224=J$6,"",J224),_xll.ciqfunctions.udf.CIQ(J$6,$F$2, $A225, $I$2, $I$3)))</f>
        <v/>
      </c>
      <c r="K225" s="1033" t="str">
        <f>IF(K$6="","",IF(NOT(ISNUMBER(_xll.ciqfunctions.udf.CIQ(K$6,$F$2, $A225, $I$2, $I$3))),IF(K224=K$6,"",K224),_xll.ciqfunctions.udf.CIQ(K$6,$F$2, $A225, $I$2, $I$3)))</f>
        <v/>
      </c>
      <c r="L225" s="254" t="str">
        <f>IF(L$6="","",IF(NOT(ISNUMBER(_xll.ciqfunctions.udf.CIQ(L$6,$F$2, $A225, $I$2, $I$3))),IF(L224=L$6,"",L224),_xll.ciqfunctions.udf.CIQ(L$6,$F$2, $A225, $I$2, $I$3)))</f>
        <v/>
      </c>
      <c r="M225" s="254" t="str">
        <f>IF(M$6="","",IF(NOT(ISNUMBER(_xll.ciqfunctions.udf.CIQ(M$6,$F$2, $A225, $I$2, $I$3))),IF(M224=M$6,"",M224),_xll.ciqfunctions.udf.CIQ(M$6,$F$2, $A225, $I$2, $I$3)))</f>
        <v/>
      </c>
      <c r="N225" s="254" t="str">
        <f>IF(N$6="","",IF(NOT(ISNUMBER(_xll.ciqfunctions.udf.CIQ(N$6,$F$2, $A225, $I$2, $I$3))),IF(N224=N$6,"",N224),_xll.ciqfunctions.udf.CIQ(N$6,$F$2, $A225, $I$2, $I$3)))</f>
        <v/>
      </c>
      <c r="O225" s="254" t="str">
        <f>IF(O$6="","",IF(NOT(ISNUMBER(_xll.ciqfunctions.udf.CIQ(O$6,$F$2, $A225, $I$2, $I$3))),IF(O224=O$6,"",O224),_xll.ciqfunctions.udf.CIQ(O$6,$F$2, $A225, $I$2, $I$3)))</f>
        <v/>
      </c>
      <c r="P225" s="254" t="str">
        <f>IF(P$6="","",IF(NOT(ISNUMBER(_xll.ciqfunctions.udf.CIQ(P$6,$F$2, $A225, $I$2, $I$3))),IF(P224=P$6,"",P224),_xll.ciqfunctions.udf.CIQ(P$6,$F$2, $A225, $I$2, $I$3)))</f>
        <v/>
      </c>
      <c r="Q225" s="254"/>
      <c r="R225" s="251">
        <f t="shared" si="124"/>
        <v>44351</v>
      </c>
      <c r="S225" s="255">
        <f t="shared" si="126"/>
        <v>0.96795227524972249</v>
      </c>
      <c r="T225" s="255">
        <f t="shared" si="127"/>
        <v>0.6820411846283565</v>
      </c>
      <c r="U225" s="255">
        <f t="shared" si="128"/>
        <v>0.62260585665487445</v>
      </c>
      <c r="V225" s="255">
        <f t="shared" si="142"/>
        <v>1.2278752830908259</v>
      </c>
      <c r="W225" s="255">
        <f t="array" ref="W225">IFERROR(AVERAGE(IF(ISERROR(X225:AG225),"",X225:AG225)),"")</f>
        <v>1.3109308843699683</v>
      </c>
      <c r="X225" s="255">
        <f t="shared" si="143"/>
        <v>1.3109308843699683</v>
      </c>
      <c r="Y225" s="255" t="e">
        <f t="shared" si="144"/>
        <v>#N/A</v>
      </c>
      <c r="Z225" s="255" t="e">
        <f t="shared" si="145"/>
        <v>#N/A</v>
      </c>
      <c r="AA225" s="255" t="e">
        <f t="shared" si="146"/>
        <v>#N/A</v>
      </c>
      <c r="AB225" s="255" t="e">
        <f t="shared" si="147"/>
        <v>#N/A</v>
      </c>
      <c r="AC225" s="255" t="e">
        <f t="shared" si="148"/>
        <v>#N/A</v>
      </c>
      <c r="AD225" s="255" t="e">
        <f t="shared" si="149"/>
        <v>#N/A</v>
      </c>
      <c r="AE225" s="255" t="e">
        <f t="shared" si="150"/>
        <v>#N/A</v>
      </c>
      <c r="AF225" s="255" t="e">
        <f t="shared" si="151"/>
        <v>#N/A</v>
      </c>
      <c r="AG225" s="255" t="e">
        <f t="shared" si="152"/>
        <v>#N/A</v>
      </c>
      <c r="AI225" s="251">
        <f t="shared" si="125"/>
        <v>44351</v>
      </c>
      <c r="AJ225" s="718">
        <f>IF(OR($B225="No",AJ$6=""),"",IF(NOT(ISNUMBER(_xll.ciqfunctions.udf.CIQ(AJ$6,"IQ_TEV",$AI225,$I$2,$I$3))),"",_xll.ciqfunctions.udf.CIQ(AJ$6,"IQ_TEV",$AI225,$I$2,$I$3)))</f>
        <v>444122.39974000002</v>
      </c>
      <c r="AK225" s="718">
        <f>IF(OR($B225="No",AK$6=""),"",IF(NOT(ISNUMBER(_xll.ciqfunctions.udf.CIQ(AK$6,"IQ_TEV",$AI225,$I$2,$I$3))),"",_xll.ciqfunctions.udf.CIQ(AK$6,"IQ_TEV",$AI225,$I$2,$I$3)))</f>
        <v>170904.61413999999</v>
      </c>
      <c r="AL225" s="718" t="str">
        <f>IF(OR($B225="No",AL$6=""),"",IF(NOT(ISNUMBER(_xll.ciqfunctions.udf.CIQ(AL$6,"IQ_TEV",$AI225,$I$2,$I$3))),"",_xll.ciqfunctions.udf.CIQ(AL$6,"IQ_TEV",$AI225,$I$2,$I$3)))</f>
        <v/>
      </c>
      <c r="AM225" s="718" t="str">
        <f>IF(OR($B225="No",AM$6=""),"",IF(NOT(ISNUMBER(_xll.ciqfunctions.udf.CIQ(AM$6,"IQ_TEV",$AI225,$I$2,$I$3))),"",_xll.ciqfunctions.udf.CIQ(AM$6,"IQ_TEV",$AI225,$I$2,$I$3)))</f>
        <v/>
      </c>
      <c r="AN225" s="718" t="str">
        <f>IF(OR($B225="No",AN$6=""),"",IF(NOT(ISNUMBER(_xll.ciqfunctions.udf.CIQ(AN$6,"IQ_TEV",$AI225,$I$2,$I$3))),"",_xll.ciqfunctions.udf.CIQ(AN$6,"IQ_TEV",$AI225,$I$2,$I$3)))</f>
        <v/>
      </c>
      <c r="AO225" s="718" t="str">
        <f>IF(OR($B225="No",AO$6=""),"",IF(NOT(ISNUMBER(_xll.ciqfunctions.udf.CIQ(AO$6,"IQ_TEV",$AI225,$I$2,$I$3))),"",_xll.ciqfunctions.udf.CIQ(AO$6,"IQ_TEV",$AI225,$I$2,$I$3)))</f>
        <v/>
      </c>
      <c r="AP225" s="718" t="str">
        <f>IF(OR($B225="No",AP$6=""),"",IF(NOT(ISNUMBER(_xll.ciqfunctions.udf.CIQ(AP$6,"IQ_TEV",$AI225,$I$2,$I$3))),"",_xll.ciqfunctions.udf.CIQ(AP$6,"IQ_TEV",$AI225,$I$2,$I$3)))</f>
        <v/>
      </c>
      <c r="AQ225" s="718" t="str">
        <f>IF(OR($B225="No",AQ$6=""),"",IF(NOT(ISNUMBER(_xll.ciqfunctions.udf.CIQ(AQ$6,"IQ_TEV",$AI225,$I$2,$I$3))),"",_xll.ciqfunctions.udf.CIQ(AQ$6,"IQ_TEV",$AI225,$I$2,$I$3)))</f>
        <v/>
      </c>
      <c r="AR225" s="718" t="str">
        <f>IF(OR($B225="No",AR$6=""),"",IF(NOT(ISNUMBER(_xll.ciqfunctions.udf.CIQ(AR$6,"IQ_TEV",$AI225,$I$2,$I$3))),"",_xll.ciqfunctions.udf.CIQ(AR$6,"IQ_TEV",$AI225,$I$2,$I$3)))</f>
        <v/>
      </c>
      <c r="AS225" s="718" t="str">
        <f>IF(OR($B225="No",AS$6=""),"",IF(NOT(ISNUMBER(_xll.ciqfunctions.udf.CIQ(AS$6,"IQ_TEV",$AI225,$I$2,$I$3))),"",_xll.ciqfunctions.udf.CIQ(AS$6,"IQ_TEV",$AI225,$I$2,$I$3)))</f>
        <v/>
      </c>
      <c r="AT225" s="718" t="str">
        <f>IF(OR($B225="No",AT$6=""),"",IF(NOT(ISNUMBER(_xll.ciqfunctions.udf.CIQ(AT$6,"IQ_TEV",$AI225,$I$2,$I$3))),"",_xll.ciqfunctions.udf.CIQ(AT$6,"IQ_TEV",$AI225,$I$2,$I$3)))</f>
        <v/>
      </c>
      <c r="AV225" s="251">
        <f t="shared" si="129"/>
        <v>44351</v>
      </c>
      <c r="AW225" s="719">
        <f t="shared" si="130"/>
        <v>0.70124493454103454</v>
      </c>
      <c r="AX225" s="719">
        <f t="shared" si="131"/>
        <v>1.3416451142710186</v>
      </c>
      <c r="AY225" s="719" t="e">
        <f t="shared" si="132"/>
        <v>#N/A</v>
      </c>
      <c r="AZ225" s="719" t="e">
        <f t="shared" si="133"/>
        <v>#N/A</v>
      </c>
      <c r="BA225" s="719" t="e">
        <f t="shared" si="134"/>
        <v>#N/A</v>
      </c>
      <c r="BB225" s="719" t="e">
        <f t="shared" si="135"/>
        <v>#N/A</v>
      </c>
      <c r="BC225" s="719" t="e">
        <f t="shared" si="136"/>
        <v>#N/A</v>
      </c>
      <c r="BD225" s="719" t="e">
        <f t="shared" si="137"/>
        <v>#N/A</v>
      </c>
      <c r="BE225" s="719" t="e">
        <f t="shared" si="138"/>
        <v>#N/A</v>
      </c>
      <c r="BF225" s="719" t="e">
        <f t="shared" si="139"/>
        <v>#N/A</v>
      </c>
      <c r="BG225" s="719" t="e">
        <f t="shared" si="140"/>
        <v>#N/A</v>
      </c>
    </row>
    <row r="226" spans="1:59" ht="15" customHeight="1" x14ac:dyDescent="0.2">
      <c r="A226" s="251">
        <f t="shared" si="123"/>
        <v>44358</v>
      </c>
      <c r="B226" s="253" t="str">
        <f t="shared" si="141"/>
        <v>Yes</v>
      </c>
      <c r="C226" s="1033">
        <f>IF(C$6="","",IF(NOT(ISNUMBER(_xll.ciqfunctions.udf.CIQ(C$6,$F$2, $A226, $I$2, $I$3))),IF(C225=C$6,"",C225),_xll.ciqfunctions.udf.CIQ(C$6,$F$2, $A226, $I$2, $I$3)))</f>
        <v>140.75</v>
      </c>
      <c r="D226" s="1033">
        <f>IF(D$6="","",IF(NOT(ISNUMBER(_xll.ciqfunctions.udf.CIQ(D$6,$F$2, $A226, $I$2, $I$3))),IF(D225=D$6,"",D225),_xll.ciqfunctions.udf.CIQ(D$6,$F$2, $A226, $I$2, $I$3)))</f>
        <v>34479.600780000001</v>
      </c>
      <c r="E226" s="1033">
        <f>IF(E$6="","",IF(NOT(ISNUMBER(_xll.ciqfunctions.udf.CIQ(E$6,$F$2, $A226, $I$2, $I$3))),IF(E225=E$6,"",E225),_xll.ciqfunctions.udf.CIQ(E$6,$F$2, $A226, $I$2, $I$3)))</f>
        <v>11547.23576</v>
      </c>
      <c r="F226" s="1033">
        <f>IF(F$6="","",IF(NOT(ISNUMBER(_xll.ciqfunctions.udf.CIQ(F$6,$F$2, $A226, $I$2, $I$3))),IF(F225=F$6,"",F225),_xll.ciqfunctions.udf.CIQ(F$6,$F$2, $A226, $I$2, $I$3)))</f>
        <v>10039.64127</v>
      </c>
      <c r="G226" s="1033">
        <f>IF(G$6="","",IF(NOT(ISNUMBER(_xll.ciqfunctions.udf.CIQ(G$6,$F$2, $A226, $I$2, $I$3))),IF(G225=G$6,"",G225),_xll.ciqfunctions.udf.CIQ(G$6,$F$2, $A226, $I$2, $I$3)))</f>
        <v>381.83</v>
      </c>
      <c r="H226" s="1033" t="str">
        <f>IF(H$6="","",IF(NOT(ISNUMBER(_xll.ciqfunctions.udf.CIQ(H$6,$F$2, $A226, $I$2, $I$3))),IF(H225=H$6,"",H225),_xll.ciqfunctions.udf.CIQ(H$6,$F$2, $A226, $I$2, $I$3)))</f>
        <v/>
      </c>
      <c r="I226" s="1033" t="str">
        <f>IF(I$6="","",IF(NOT(ISNUMBER(_xll.ciqfunctions.udf.CIQ(I$6,$F$2, $A226, $I$2, $I$3))),IF(I225=I$6,"",I225),_xll.ciqfunctions.udf.CIQ(I$6,$F$2, $A226, $I$2, $I$3)))</f>
        <v/>
      </c>
      <c r="J226" s="1033" t="str">
        <f>IF(J$6="","",IF(NOT(ISNUMBER(_xll.ciqfunctions.udf.CIQ(J$6,$F$2, $A226, $I$2, $I$3))),IF(J225=J$6,"",J225),_xll.ciqfunctions.udf.CIQ(J$6,$F$2, $A226, $I$2, $I$3)))</f>
        <v/>
      </c>
      <c r="K226" s="1033" t="str">
        <f>IF(K$6="","",IF(NOT(ISNUMBER(_xll.ciqfunctions.udf.CIQ(K$6,$F$2, $A226, $I$2, $I$3))),IF(K225=K$6,"",K225),_xll.ciqfunctions.udf.CIQ(K$6,$F$2, $A226, $I$2, $I$3)))</f>
        <v/>
      </c>
      <c r="L226" s="254" t="str">
        <f>IF(L$6="","",IF(NOT(ISNUMBER(_xll.ciqfunctions.udf.CIQ(L$6,$F$2, $A226, $I$2, $I$3))),IF(L225=L$6,"",L225),_xll.ciqfunctions.udf.CIQ(L$6,$F$2, $A226, $I$2, $I$3)))</f>
        <v/>
      </c>
      <c r="M226" s="254" t="str">
        <f>IF(M$6="","",IF(NOT(ISNUMBER(_xll.ciqfunctions.udf.CIQ(M$6,$F$2, $A226, $I$2, $I$3))),IF(M225=M$6,"",M225),_xll.ciqfunctions.udf.CIQ(M$6,$F$2, $A226, $I$2, $I$3)))</f>
        <v/>
      </c>
      <c r="N226" s="254" t="str">
        <f>IF(N$6="","",IF(NOT(ISNUMBER(_xll.ciqfunctions.udf.CIQ(N$6,$F$2, $A226, $I$2, $I$3))),IF(N225=N$6,"",N225),_xll.ciqfunctions.udf.CIQ(N$6,$F$2, $A226, $I$2, $I$3)))</f>
        <v/>
      </c>
      <c r="O226" s="254" t="str">
        <f>IF(O$6="","",IF(NOT(ISNUMBER(_xll.ciqfunctions.udf.CIQ(O$6,$F$2, $A226, $I$2, $I$3))),IF(O225=O$6,"",O225),_xll.ciqfunctions.udf.CIQ(O$6,$F$2, $A226, $I$2, $I$3)))</f>
        <v/>
      </c>
      <c r="P226" s="254" t="str">
        <f>IF(P$6="","",IF(NOT(ISNUMBER(_xll.ciqfunctions.udf.CIQ(P$6,$F$2, $A226, $I$2, $I$3))),IF(P225=P$6,"",P225),_xll.ciqfunctions.udf.CIQ(P$6,$F$2, $A226, $I$2, $I$3)))</f>
        <v/>
      </c>
      <c r="Q226" s="254"/>
      <c r="R226" s="251">
        <f t="shared" si="124"/>
        <v>44358</v>
      </c>
      <c r="S226" s="255">
        <f t="shared" si="126"/>
        <v>0.9526914539400666</v>
      </c>
      <c r="T226" s="255">
        <f t="shared" si="127"/>
        <v>0.66864598117985774</v>
      </c>
      <c r="U226" s="255">
        <f t="shared" si="128"/>
        <v>0.61368426402269671</v>
      </c>
      <c r="V226" s="255">
        <f t="shared" si="142"/>
        <v>1.28707220981202</v>
      </c>
      <c r="W226" s="255">
        <f t="array" ref="W226">IFERROR(AVERAGE(IF(ISERROR(X226:AG226),"",X226:AG226)),"")</f>
        <v>1.2769992247599737</v>
      </c>
      <c r="X226" s="255">
        <f t="shared" si="143"/>
        <v>1.2769992247599737</v>
      </c>
      <c r="Y226" s="255" t="e">
        <f t="shared" si="144"/>
        <v>#N/A</v>
      </c>
      <c r="Z226" s="255" t="e">
        <f t="shared" si="145"/>
        <v>#N/A</v>
      </c>
      <c r="AA226" s="255" t="e">
        <f t="shared" si="146"/>
        <v>#N/A</v>
      </c>
      <c r="AB226" s="255" t="e">
        <f t="shared" si="147"/>
        <v>#N/A</v>
      </c>
      <c r="AC226" s="255" t="e">
        <f t="shared" si="148"/>
        <v>#N/A</v>
      </c>
      <c r="AD226" s="255" t="e">
        <f t="shared" si="149"/>
        <v>#N/A</v>
      </c>
      <c r="AE226" s="255" t="e">
        <f t="shared" si="150"/>
        <v>#N/A</v>
      </c>
      <c r="AF226" s="255" t="e">
        <f t="shared" si="151"/>
        <v>#N/A</v>
      </c>
      <c r="AG226" s="255" t="e">
        <f t="shared" si="152"/>
        <v>#N/A</v>
      </c>
      <c r="AI226" s="251">
        <f t="shared" si="125"/>
        <v>44358</v>
      </c>
      <c r="AJ226" s="718">
        <f>IF(OR($B226="No",AJ$6=""),"",IF(NOT(ISNUMBER(_xll.ciqfunctions.udf.CIQ(AJ$6,"IQ_TEV",$AI226,$I$2,$I$3))),"",_xll.ciqfunctions.udf.CIQ(AJ$6,"IQ_TEV",$AI226,$I$2,$I$3)))</f>
        <v>441040.03922999999</v>
      </c>
      <c r="AK226" s="718">
        <f>IF(OR($B226="No",AK$6=""),"",IF(NOT(ISNUMBER(_xll.ciqfunctions.udf.CIQ(AK$6,"IQ_TEV",$AI226,$I$2,$I$3))),"",_xll.ciqfunctions.udf.CIQ(AK$6,"IQ_TEV",$AI226,$I$2,$I$3)))</f>
        <v>168389.24101999999</v>
      </c>
      <c r="AL226" s="718" t="str">
        <f>IF(OR($B226="No",AL$6=""),"",IF(NOT(ISNUMBER(_xll.ciqfunctions.udf.CIQ(AL$6,"IQ_TEV",$AI226,$I$2,$I$3))),"",_xll.ciqfunctions.udf.CIQ(AL$6,"IQ_TEV",$AI226,$I$2,$I$3)))</f>
        <v/>
      </c>
      <c r="AM226" s="718" t="str">
        <f>IF(OR($B226="No",AM$6=""),"",IF(NOT(ISNUMBER(_xll.ciqfunctions.udf.CIQ(AM$6,"IQ_TEV",$AI226,$I$2,$I$3))),"",_xll.ciqfunctions.udf.CIQ(AM$6,"IQ_TEV",$AI226,$I$2,$I$3)))</f>
        <v/>
      </c>
      <c r="AN226" s="718" t="str">
        <f>IF(OR($B226="No",AN$6=""),"",IF(NOT(ISNUMBER(_xll.ciqfunctions.udf.CIQ(AN$6,"IQ_TEV",$AI226,$I$2,$I$3))),"",_xll.ciqfunctions.udf.CIQ(AN$6,"IQ_TEV",$AI226,$I$2,$I$3)))</f>
        <v/>
      </c>
      <c r="AO226" s="718" t="str">
        <f>IF(OR($B226="No",AO$6=""),"",IF(NOT(ISNUMBER(_xll.ciqfunctions.udf.CIQ(AO$6,"IQ_TEV",$AI226,$I$2,$I$3))),"",_xll.ciqfunctions.udf.CIQ(AO$6,"IQ_TEV",$AI226,$I$2,$I$3)))</f>
        <v/>
      </c>
      <c r="AP226" s="718" t="str">
        <f>IF(OR($B226="No",AP$6=""),"",IF(NOT(ISNUMBER(_xll.ciqfunctions.udf.CIQ(AP$6,"IQ_TEV",$AI226,$I$2,$I$3))),"",_xll.ciqfunctions.udf.CIQ(AP$6,"IQ_TEV",$AI226,$I$2,$I$3)))</f>
        <v/>
      </c>
      <c r="AQ226" s="718" t="str">
        <f>IF(OR($B226="No",AQ$6=""),"",IF(NOT(ISNUMBER(_xll.ciqfunctions.udf.CIQ(AQ$6,"IQ_TEV",$AI226,$I$2,$I$3))),"",_xll.ciqfunctions.udf.CIQ(AQ$6,"IQ_TEV",$AI226,$I$2,$I$3)))</f>
        <v/>
      </c>
      <c r="AR226" s="718" t="str">
        <f>IF(OR($B226="No",AR$6=""),"",IF(NOT(ISNUMBER(_xll.ciqfunctions.udf.CIQ(AR$6,"IQ_TEV",$AI226,$I$2,$I$3))),"",_xll.ciqfunctions.udf.CIQ(AR$6,"IQ_TEV",$AI226,$I$2,$I$3)))</f>
        <v/>
      </c>
      <c r="AS226" s="718" t="str">
        <f>IF(OR($B226="No",AS$6=""),"",IF(NOT(ISNUMBER(_xll.ciqfunctions.udf.CIQ(AS$6,"IQ_TEV",$AI226,$I$2,$I$3))),"",_xll.ciqfunctions.udf.CIQ(AS$6,"IQ_TEV",$AI226,$I$2,$I$3)))</f>
        <v/>
      </c>
      <c r="AT226" s="718" t="str">
        <f>IF(OR($B226="No",AT$6=""),"",IF(NOT(ISNUMBER(_xll.ciqfunctions.udf.CIQ(AT$6,"IQ_TEV",$AI226,$I$2,$I$3))),"",_xll.ciqfunctions.udf.CIQ(AT$6,"IQ_TEV",$AI226,$I$2,$I$3)))</f>
        <v/>
      </c>
      <c r="AV226" s="251">
        <f t="shared" si="129"/>
        <v>44358</v>
      </c>
      <c r="AW226" s="719">
        <f t="shared" si="130"/>
        <v>0.68943771606446869</v>
      </c>
      <c r="AX226" s="719">
        <f t="shared" si="131"/>
        <v>1.3071807950561398</v>
      </c>
      <c r="AY226" s="719" t="e">
        <f t="shared" si="132"/>
        <v>#N/A</v>
      </c>
      <c r="AZ226" s="719" t="e">
        <f t="shared" si="133"/>
        <v>#N/A</v>
      </c>
      <c r="BA226" s="719" t="e">
        <f t="shared" si="134"/>
        <v>#N/A</v>
      </c>
      <c r="BB226" s="719" t="e">
        <f t="shared" si="135"/>
        <v>#N/A</v>
      </c>
      <c r="BC226" s="719" t="e">
        <f t="shared" si="136"/>
        <v>#N/A</v>
      </c>
      <c r="BD226" s="719" t="e">
        <f t="shared" si="137"/>
        <v>#N/A</v>
      </c>
      <c r="BE226" s="719" t="e">
        <f t="shared" si="138"/>
        <v>#N/A</v>
      </c>
      <c r="BF226" s="719" t="e">
        <f t="shared" si="139"/>
        <v>#N/A</v>
      </c>
      <c r="BG226" s="719" t="e">
        <f t="shared" si="140"/>
        <v>#N/A</v>
      </c>
    </row>
    <row r="227" spans="1:59" ht="15" customHeight="1" x14ac:dyDescent="0.2">
      <c r="A227" s="251">
        <f t="shared" si="123"/>
        <v>44365</v>
      </c>
      <c r="B227" s="253" t="str">
        <f t="shared" si="141"/>
        <v>Yes</v>
      </c>
      <c r="C227" s="1033">
        <f>IF(C$6="","",IF(NOT(ISNUMBER(_xll.ciqfunctions.udf.CIQ(C$6,$F$2, $A227, $I$2, $I$3))),IF(C226=C$6,"",C226),_xll.ciqfunctions.udf.CIQ(C$6,$F$2, $A227, $I$2, $I$3)))</f>
        <v>135.16999999999999</v>
      </c>
      <c r="D227" s="1033">
        <f>IF(D$6="","",IF(NOT(ISNUMBER(_xll.ciqfunctions.udf.CIQ(D$6,$F$2, $A227, $I$2, $I$3))),IF(D226=D$6,"",D226),_xll.ciqfunctions.udf.CIQ(D$6,$F$2, $A227, $I$2, $I$3)))</f>
        <v>33290.083720000002</v>
      </c>
      <c r="E227" s="1033">
        <f>IF(E$6="","",IF(NOT(ISNUMBER(_xll.ciqfunctions.udf.CIQ(E$6,$F$2, $A227, $I$2, $I$3))),IF(E226=E$6,"",E226),_xll.ciqfunctions.udf.CIQ(E$6,$F$2, $A227, $I$2, $I$3)))</f>
        <v>11117.54501</v>
      </c>
      <c r="F227" s="1033">
        <f>IF(F$6="","",IF(NOT(ISNUMBER(_xll.ciqfunctions.udf.CIQ(F$6,$F$2, $A227, $I$2, $I$3))),IF(F226=F$6,"",F226),_xll.ciqfunctions.udf.CIQ(F$6,$F$2, $A227, $I$2, $I$3)))</f>
        <v>9545.98279</v>
      </c>
      <c r="G227" s="1033">
        <f>IF(G$6="","",IF(NOT(ISNUMBER(_xll.ciqfunctions.udf.CIQ(G$6,$F$2, $A227, $I$2, $I$3))),IF(G226=G$6,"",G226),_xll.ciqfunctions.udf.CIQ(G$6,$F$2, $A227, $I$2, $I$3)))</f>
        <v>380.88</v>
      </c>
      <c r="H227" s="1033" t="str">
        <f>IF(H$6="","",IF(NOT(ISNUMBER(_xll.ciqfunctions.udf.CIQ(H$6,$F$2, $A227, $I$2, $I$3))),IF(H226=H$6,"",H226),_xll.ciqfunctions.udf.CIQ(H$6,$F$2, $A227, $I$2, $I$3)))</f>
        <v/>
      </c>
      <c r="I227" s="1033" t="str">
        <f>IF(I$6="","",IF(NOT(ISNUMBER(_xll.ciqfunctions.udf.CIQ(I$6,$F$2, $A227, $I$2, $I$3))),IF(I226=I$6,"",I226),_xll.ciqfunctions.udf.CIQ(I$6,$F$2, $A227, $I$2, $I$3)))</f>
        <v/>
      </c>
      <c r="J227" s="1033" t="str">
        <f>IF(J$6="","",IF(NOT(ISNUMBER(_xll.ciqfunctions.udf.CIQ(J$6,$F$2, $A227, $I$2, $I$3))),IF(J226=J$6,"",J226),_xll.ciqfunctions.udf.CIQ(J$6,$F$2, $A227, $I$2, $I$3)))</f>
        <v/>
      </c>
      <c r="K227" s="1033" t="str">
        <f>IF(K$6="","",IF(NOT(ISNUMBER(_xll.ciqfunctions.udf.CIQ(K$6,$F$2, $A227, $I$2, $I$3))),IF(K226=K$6,"",K226),_xll.ciqfunctions.udf.CIQ(K$6,$F$2, $A227, $I$2, $I$3)))</f>
        <v/>
      </c>
      <c r="L227" s="254" t="str">
        <f>IF(L$6="","",IF(NOT(ISNUMBER(_xll.ciqfunctions.udf.CIQ(L$6,$F$2, $A227, $I$2, $I$3))),IF(L226=L$6,"",L226),_xll.ciqfunctions.udf.CIQ(L$6,$F$2, $A227, $I$2, $I$3)))</f>
        <v/>
      </c>
      <c r="M227" s="254" t="str">
        <f>IF(M$6="","",IF(NOT(ISNUMBER(_xll.ciqfunctions.udf.CIQ(M$6,$F$2, $A227, $I$2, $I$3))),IF(M226=M$6,"",M226),_xll.ciqfunctions.udf.CIQ(M$6,$F$2, $A227, $I$2, $I$3)))</f>
        <v/>
      </c>
      <c r="N227" s="254" t="str">
        <f>IF(N$6="","",IF(NOT(ISNUMBER(_xll.ciqfunctions.udf.CIQ(N$6,$F$2, $A227, $I$2, $I$3))),IF(N226=N$6,"",N226),_xll.ciqfunctions.udf.CIQ(N$6,$F$2, $A227, $I$2, $I$3)))</f>
        <v/>
      </c>
      <c r="O227" s="254" t="str">
        <f>IF(O$6="","",IF(NOT(ISNUMBER(_xll.ciqfunctions.udf.CIQ(O$6,$F$2, $A227, $I$2, $I$3))),IF(O226=O$6,"",O226),_xll.ciqfunctions.udf.CIQ(O$6,$F$2, $A227, $I$2, $I$3)))</f>
        <v/>
      </c>
      <c r="P227" s="254" t="str">
        <f>IF(P$6="","",IF(NOT(ISNUMBER(_xll.ciqfunctions.udf.CIQ(P$6,$F$2, $A227, $I$2, $I$3))),IF(P226=P$6,"",P226),_xll.ciqfunctions.udf.CIQ(P$6,$F$2, $A227, $I$2, $I$3)))</f>
        <v/>
      </c>
      <c r="Q227" s="254"/>
      <c r="R227" s="251">
        <f t="shared" si="124"/>
        <v>44365</v>
      </c>
      <c r="S227" s="255">
        <f t="shared" si="126"/>
        <v>0.87527746947835716</v>
      </c>
      <c r="T227" s="255">
        <f t="shared" si="127"/>
        <v>0.61107910636658525</v>
      </c>
      <c r="U227" s="255">
        <f t="shared" si="128"/>
        <v>0.55363654211915514</v>
      </c>
      <c r="V227" s="255">
        <f t="shared" si="142"/>
        <v>1.174614746404461</v>
      </c>
      <c r="W227" s="255">
        <f t="array" ref="W227">IFERROR(AVERAGE(IF(ISERROR(X227:AG227),"",X227:AG227)),"")</f>
        <v>1.2713340091836125</v>
      </c>
      <c r="X227" s="255">
        <f t="shared" si="143"/>
        <v>1.2713340091836125</v>
      </c>
      <c r="Y227" s="255" t="e">
        <f t="shared" si="144"/>
        <v>#N/A</v>
      </c>
      <c r="Z227" s="255" t="e">
        <f t="shared" si="145"/>
        <v>#N/A</v>
      </c>
      <c r="AA227" s="255" t="e">
        <f t="shared" si="146"/>
        <v>#N/A</v>
      </c>
      <c r="AB227" s="255" t="e">
        <f t="shared" si="147"/>
        <v>#N/A</v>
      </c>
      <c r="AC227" s="255" t="e">
        <f t="shared" si="148"/>
        <v>#N/A</v>
      </c>
      <c r="AD227" s="255" t="e">
        <f t="shared" si="149"/>
        <v>#N/A</v>
      </c>
      <c r="AE227" s="255" t="e">
        <f t="shared" si="150"/>
        <v>#N/A</v>
      </c>
      <c r="AF227" s="255" t="e">
        <f t="shared" si="151"/>
        <v>#N/A</v>
      </c>
      <c r="AG227" s="255" t="e">
        <f t="shared" si="152"/>
        <v>#N/A</v>
      </c>
      <c r="AI227" s="251">
        <f t="shared" si="125"/>
        <v>44365</v>
      </c>
      <c r="AJ227" s="718">
        <f>IF(OR($B227="No",AJ$6=""),"",IF(NOT(ISNUMBER(_xll.ciqfunctions.udf.CIQ(AJ$6,"IQ_TEV",$AI227,$I$2,$I$3))),"",_xll.ciqfunctions.udf.CIQ(AJ$6,"IQ_TEV",$AI227,$I$2,$I$3)))</f>
        <v>425404.06495000003</v>
      </c>
      <c r="AK227" s="718">
        <f>IF(OR($B227="No",AK$6=""),"",IF(NOT(ISNUMBER(_xll.ciqfunctions.udf.CIQ(AK$6,"IQ_TEV",$AI227,$I$2,$I$3))),"",_xll.ciqfunctions.udf.CIQ(AK$6,"IQ_TEV",$AI227,$I$2,$I$3)))</f>
        <v>167969.27538000001</v>
      </c>
      <c r="AL227" s="718" t="str">
        <f>IF(OR($B227="No",AL$6=""),"",IF(NOT(ISNUMBER(_xll.ciqfunctions.udf.CIQ(AL$6,"IQ_TEV",$AI227,$I$2,$I$3))),"",_xll.ciqfunctions.udf.CIQ(AL$6,"IQ_TEV",$AI227,$I$2,$I$3)))</f>
        <v/>
      </c>
      <c r="AM227" s="718" t="str">
        <f>IF(OR($B227="No",AM$6=""),"",IF(NOT(ISNUMBER(_xll.ciqfunctions.udf.CIQ(AM$6,"IQ_TEV",$AI227,$I$2,$I$3))),"",_xll.ciqfunctions.udf.CIQ(AM$6,"IQ_TEV",$AI227,$I$2,$I$3)))</f>
        <v/>
      </c>
      <c r="AN227" s="718" t="str">
        <f>IF(OR($B227="No",AN$6=""),"",IF(NOT(ISNUMBER(_xll.ciqfunctions.udf.CIQ(AN$6,"IQ_TEV",$AI227,$I$2,$I$3))),"",_xll.ciqfunctions.udf.CIQ(AN$6,"IQ_TEV",$AI227,$I$2,$I$3)))</f>
        <v/>
      </c>
      <c r="AO227" s="718" t="str">
        <f>IF(OR($B227="No",AO$6=""),"",IF(NOT(ISNUMBER(_xll.ciqfunctions.udf.CIQ(AO$6,"IQ_TEV",$AI227,$I$2,$I$3))),"",_xll.ciqfunctions.udf.CIQ(AO$6,"IQ_TEV",$AI227,$I$2,$I$3)))</f>
        <v/>
      </c>
      <c r="AP227" s="718" t="str">
        <f>IF(OR($B227="No",AP$6=""),"",IF(NOT(ISNUMBER(_xll.ciqfunctions.udf.CIQ(AP$6,"IQ_TEV",$AI227,$I$2,$I$3))),"",_xll.ciqfunctions.udf.CIQ(AP$6,"IQ_TEV",$AI227,$I$2,$I$3)))</f>
        <v/>
      </c>
      <c r="AQ227" s="718" t="str">
        <f>IF(OR($B227="No",AQ$6=""),"",IF(NOT(ISNUMBER(_xll.ciqfunctions.udf.CIQ(AQ$6,"IQ_TEV",$AI227,$I$2,$I$3))),"",_xll.ciqfunctions.udf.CIQ(AQ$6,"IQ_TEV",$AI227,$I$2,$I$3)))</f>
        <v/>
      </c>
      <c r="AR227" s="718" t="str">
        <f>IF(OR($B227="No",AR$6=""),"",IF(NOT(ISNUMBER(_xll.ciqfunctions.udf.CIQ(AR$6,"IQ_TEV",$AI227,$I$2,$I$3))),"",_xll.ciqfunctions.udf.CIQ(AR$6,"IQ_TEV",$AI227,$I$2,$I$3)))</f>
        <v/>
      </c>
      <c r="AS227" s="718" t="str">
        <f>IF(OR($B227="No",AS$6=""),"",IF(NOT(ISNUMBER(_xll.ciqfunctions.udf.CIQ(AS$6,"IQ_TEV",$AI227,$I$2,$I$3))),"",_xll.ciqfunctions.udf.CIQ(AS$6,"IQ_TEV",$AI227,$I$2,$I$3)))</f>
        <v/>
      </c>
      <c r="AT227" s="718" t="str">
        <f>IF(OR($B227="No",AT$6=""),"",IF(NOT(ISNUMBER(_xll.ciqfunctions.udf.CIQ(AT$6,"IQ_TEV",$AI227,$I$2,$I$3))),"",_xll.ciqfunctions.udf.CIQ(AT$6,"IQ_TEV",$AI227,$I$2,$I$3)))</f>
        <v/>
      </c>
      <c r="AV227" s="251">
        <f t="shared" si="129"/>
        <v>44365</v>
      </c>
      <c r="AW227" s="719">
        <f t="shared" si="130"/>
        <v>0.629542916666743</v>
      </c>
      <c r="AX227" s="719">
        <f t="shared" si="131"/>
        <v>1.3014266467903588</v>
      </c>
      <c r="AY227" s="719" t="e">
        <f t="shared" si="132"/>
        <v>#N/A</v>
      </c>
      <c r="AZ227" s="719" t="e">
        <f t="shared" si="133"/>
        <v>#N/A</v>
      </c>
      <c r="BA227" s="719" t="e">
        <f t="shared" si="134"/>
        <v>#N/A</v>
      </c>
      <c r="BB227" s="719" t="e">
        <f t="shared" si="135"/>
        <v>#N/A</v>
      </c>
      <c r="BC227" s="719" t="e">
        <f t="shared" si="136"/>
        <v>#N/A</v>
      </c>
      <c r="BD227" s="719" t="e">
        <f t="shared" si="137"/>
        <v>#N/A</v>
      </c>
      <c r="BE227" s="719" t="e">
        <f t="shared" si="138"/>
        <v>#N/A</v>
      </c>
      <c r="BF227" s="719" t="e">
        <f t="shared" si="139"/>
        <v>#N/A</v>
      </c>
      <c r="BG227" s="719" t="e">
        <f t="shared" si="140"/>
        <v>#N/A</v>
      </c>
    </row>
    <row r="228" spans="1:59" ht="15" customHeight="1" x14ac:dyDescent="0.2">
      <c r="A228" s="251">
        <f t="shared" si="123"/>
        <v>44372</v>
      </c>
      <c r="B228" s="253" t="str">
        <f t="shared" si="141"/>
        <v>Yes</v>
      </c>
      <c r="C228" s="1033">
        <f>IF(C$6="","",IF(NOT(ISNUMBER(_xll.ciqfunctions.udf.CIQ(C$6,$F$2, $A228, $I$2, $I$3))),IF(C227=C$6,"",C227),_xll.ciqfunctions.udf.CIQ(C$6,$F$2, $A228, $I$2, $I$3)))</f>
        <v>138.53</v>
      </c>
      <c r="D228" s="1033">
        <f>IF(D$6="","",IF(NOT(ISNUMBER(_xll.ciqfunctions.udf.CIQ(D$6,$F$2, $A228, $I$2, $I$3))),IF(D227=D$6,"",D227),_xll.ciqfunctions.udf.CIQ(D$6,$F$2, $A228, $I$2, $I$3)))</f>
        <v>34433.842530000002</v>
      </c>
      <c r="E228" s="1033">
        <f>IF(E$6="","",IF(NOT(ISNUMBER(_xll.ciqfunctions.udf.CIQ(E$6,$F$2, $A228, $I$2, $I$3))),IF(E227=E$6,"",E227),_xll.ciqfunctions.udf.CIQ(E$6,$F$2, $A228, $I$2, $I$3)))</f>
        <v>11424.19542</v>
      </c>
      <c r="F228" s="1033">
        <f>IF(F$6="","",IF(NOT(ISNUMBER(_xll.ciqfunctions.udf.CIQ(F$6,$F$2, $A228, $I$2, $I$3))),IF(F227=F$6,"",F227),_xll.ciqfunctions.udf.CIQ(F$6,$F$2, $A228, $I$2, $I$3)))</f>
        <v>10158.704900000001</v>
      </c>
      <c r="G228" s="1033">
        <f>IF(G$6="","",IF(NOT(ISNUMBER(_xll.ciqfunctions.udf.CIQ(G$6,$F$2, $A228, $I$2, $I$3))),IF(G227=G$6,"",G227),_xll.ciqfunctions.udf.CIQ(G$6,$F$2, $A228, $I$2, $I$3)))</f>
        <v>394.51</v>
      </c>
      <c r="H228" s="1033" t="str">
        <f>IF(H$6="","",IF(NOT(ISNUMBER(_xll.ciqfunctions.udf.CIQ(H$6,$F$2, $A228, $I$2, $I$3))),IF(H227=H$6,"",H227),_xll.ciqfunctions.udf.CIQ(H$6,$F$2, $A228, $I$2, $I$3)))</f>
        <v/>
      </c>
      <c r="I228" s="1033" t="str">
        <f>IF(I$6="","",IF(NOT(ISNUMBER(_xll.ciqfunctions.udf.CIQ(I$6,$F$2, $A228, $I$2, $I$3))),IF(I227=I$6,"",I227),_xll.ciqfunctions.udf.CIQ(I$6,$F$2, $A228, $I$2, $I$3)))</f>
        <v/>
      </c>
      <c r="J228" s="1033" t="str">
        <f>IF(J$6="","",IF(NOT(ISNUMBER(_xll.ciqfunctions.udf.CIQ(J$6,$F$2, $A228, $I$2, $I$3))),IF(J227=J$6,"",J227),_xll.ciqfunctions.udf.CIQ(J$6,$F$2, $A228, $I$2, $I$3)))</f>
        <v/>
      </c>
      <c r="K228" s="1033" t="str">
        <f>IF(K$6="","",IF(NOT(ISNUMBER(_xll.ciqfunctions.udf.CIQ(K$6,$F$2, $A228, $I$2, $I$3))),IF(K227=K$6,"",K227),_xll.ciqfunctions.udf.CIQ(K$6,$F$2, $A228, $I$2, $I$3)))</f>
        <v/>
      </c>
      <c r="L228" s="254" t="str">
        <f>IF(L$6="","",IF(NOT(ISNUMBER(_xll.ciqfunctions.udf.CIQ(L$6,$F$2, $A228, $I$2, $I$3))),IF(L227=L$6,"",L227),_xll.ciqfunctions.udf.CIQ(L$6,$F$2, $A228, $I$2, $I$3)))</f>
        <v/>
      </c>
      <c r="M228" s="254" t="str">
        <f>IF(M$6="","",IF(NOT(ISNUMBER(_xll.ciqfunctions.udf.CIQ(M$6,$F$2, $A228, $I$2, $I$3))),IF(M227=M$6,"",M227),_xll.ciqfunctions.udf.CIQ(M$6,$F$2, $A228, $I$2, $I$3)))</f>
        <v/>
      </c>
      <c r="N228" s="254" t="str">
        <f>IF(N$6="","",IF(NOT(ISNUMBER(_xll.ciqfunctions.udf.CIQ(N$6,$F$2, $A228, $I$2, $I$3))),IF(N227=N$6,"",N227),_xll.ciqfunctions.udf.CIQ(N$6,$F$2, $A228, $I$2, $I$3)))</f>
        <v/>
      </c>
      <c r="O228" s="254" t="str">
        <f>IF(O$6="","",IF(NOT(ISNUMBER(_xll.ciqfunctions.udf.CIQ(O$6,$F$2, $A228, $I$2, $I$3))),IF(O227=O$6,"",O227),_xll.ciqfunctions.udf.CIQ(O$6,$F$2, $A228, $I$2, $I$3)))</f>
        <v/>
      </c>
      <c r="P228" s="254" t="str">
        <f>IF(P$6="","",IF(NOT(ISNUMBER(_xll.ciqfunctions.udf.CIQ(P$6,$F$2, $A228, $I$2, $I$3))),IF(P227=P$6,"",P227),_xll.ciqfunctions.udf.CIQ(P$6,$F$2, $A228, $I$2, $I$3)))</f>
        <v/>
      </c>
      <c r="Q228" s="254"/>
      <c r="R228" s="251">
        <f t="shared" si="124"/>
        <v>44372</v>
      </c>
      <c r="S228" s="255">
        <f t="shared" si="126"/>
        <v>0.92189234184239743</v>
      </c>
      <c r="T228" s="255">
        <f t="shared" si="127"/>
        <v>0.66643150310467636</v>
      </c>
      <c r="U228" s="255">
        <f t="shared" si="128"/>
        <v>0.59648982332496892</v>
      </c>
      <c r="V228" s="255">
        <f t="shared" si="142"/>
        <v>1.314195401970891</v>
      </c>
      <c r="W228" s="255">
        <f t="array" ref="W228">IFERROR(AVERAGE(IF(ISERROR(X228:AG228),"",X228:AG228)),"")</f>
        <v>1.3526149442423518</v>
      </c>
      <c r="X228" s="255">
        <f t="shared" si="143"/>
        <v>1.3526149442423518</v>
      </c>
      <c r="Y228" s="255" t="e">
        <f t="shared" si="144"/>
        <v>#N/A</v>
      </c>
      <c r="Z228" s="255" t="e">
        <f t="shared" si="145"/>
        <v>#N/A</v>
      </c>
      <c r="AA228" s="255" t="e">
        <f t="shared" si="146"/>
        <v>#N/A</v>
      </c>
      <c r="AB228" s="255" t="e">
        <f t="shared" si="147"/>
        <v>#N/A</v>
      </c>
      <c r="AC228" s="255" t="e">
        <f t="shared" si="148"/>
        <v>#N/A</v>
      </c>
      <c r="AD228" s="255" t="e">
        <f t="shared" si="149"/>
        <v>#N/A</v>
      </c>
      <c r="AE228" s="255" t="e">
        <f t="shared" si="150"/>
        <v>#N/A</v>
      </c>
      <c r="AF228" s="255" t="e">
        <f t="shared" si="151"/>
        <v>#N/A</v>
      </c>
      <c r="AG228" s="255" t="e">
        <f t="shared" si="152"/>
        <v>#N/A</v>
      </c>
      <c r="AI228" s="251">
        <f t="shared" si="125"/>
        <v>44372</v>
      </c>
      <c r="AJ228" s="718">
        <f>IF(OR($B228="No",AJ$6=""),"",IF(NOT(ISNUMBER(_xll.ciqfunctions.udf.CIQ(AJ$6,"IQ_TEV",$AI228,$I$2,$I$3))),"",_xll.ciqfunctions.udf.CIQ(AJ$6,"IQ_TEV",$AI228,$I$2,$I$3)))</f>
        <v>434819.27526999998</v>
      </c>
      <c r="AK228" s="718">
        <f>IF(OR($B228="No",AK$6=""),"",IF(NOT(ISNUMBER(_xll.ciqfunctions.udf.CIQ(AK$6,"IQ_TEV",$AI228,$I$2,$I$3))),"",_xll.ciqfunctions.udf.CIQ(AK$6,"IQ_TEV",$AI228,$I$2,$I$3)))</f>
        <v>173994.67709000001</v>
      </c>
      <c r="AL228" s="718" t="str">
        <f>IF(OR($B228="No",AL$6=""),"",IF(NOT(ISNUMBER(_xll.ciqfunctions.udf.CIQ(AL$6,"IQ_TEV",$AI228,$I$2,$I$3))),"",_xll.ciqfunctions.udf.CIQ(AL$6,"IQ_TEV",$AI228,$I$2,$I$3)))</f>
        <v/>
      </c>
      <c r="AM228" s="718" t="str">
        <f>IF(OR($B228="No",AM$6=""),"",IF(NOT(ISNUMBER(_xll.ciqfunctions.udf.CIQ(AM$6,"IQ_TEV",$AI228,$I$2,$I$3))),"",_xll.ciqfunctions.udf.CIQ(AM$6,"IQ_TEV",$AI228,$I$2,$I$3)))</f>
        <v/>
      </c>
      <c r="AN228" s="718" t="str">
        <f>IF(OR($B228="No",AN$6=""),"",IF(NOT(ISNUMBER(_xll.ciqfunctions.udf.CIQ(AN$6,"IQ_TEV",$AI228,$I$2,$I$3))),"",_xll.ciqfunctions.udf.CIQ(AN$6,"IQ_TEV",$AI228,$I$2,$I$3)))</f>
        <v/>
      </c>
      <c r="AO228" s="718" t="str">
        <f>IF(OR($B228="No",AO$6=""),"",IF(NOT(ISNUMBER(_xll.ciqfunctions.udf.CIQ(AO$6,"IQ_TEV",$AI228,$I$2,$I$3))),"",_xll.ciqfunctions.udf.CIQ(AO$6,"IQ_TEV",$AI228,$I$2,$I$3)))</f>
        <v/>
      </c>
      <c r="AP228" s="718" t="str">
        <f>IF(OR($B228="No",AP$6=""),"",IF(NOT(ISNUMBER(_xll.ciqfunctions.udf.CIQ(AP$6,"IQ_TEV",$AI228,$I$2,$I$3))),"",_xll.ciqfunctions.udf.CIQ(AP$6,"IQ_TEV",$AI228,$I$2,$I$3)))</f>
        <v/>
      </c>
      <c r="AQ228" s="718" t="str">
        <f>IF(OR($B228="No",AQ$6=""),"",IF(NOT(ISNUMBER(_xll.ciqfunctions.udf.CIQ(AQ$6,"IQ_TEV",$AI228,$I$2,$I$3))),"",_xll.ciqfunctions.udf.CIQ(AQ$6,"IQ_TEV",$AI228,$I$2,$I$3)))</f>
        <v/>
      </c>
      <c r="AR228" s="718" t="str">
        <f>IF(OR($B228="No",AR$6=""),"",IF(NOT(ISNUMBER(_xll.ciqfunctions.udf.CIQ(AR$6,"IQ_TEV",$AI228,$I$2,$I$3))),"",_xll.ciqfunctions.udf.CIQ(AR$6,"IQ_TEV",$AI228,$I$2,$I$3)))</f>
        <v/>
      </c>
      <c r="AS228" s="718" t="str">
        <f>IF(OR($B228="No",AS$6=""),"",IF(NOT(ISNUMBER(_xll.ciqfunctions.udf.CIQ(AS$6,"IQ_TEV",$AI228,$I$2,$I$3))),"",_xll.ciqfunctions.udf.CIQ(AS$6,"IQ_TEV",$AI228,$I$2,$I$3)))</f>
        <v/>
      </c>
      <c r="AT228" s="718" t="str">
        <f>IF(OR($B228="No",AT$6=""),"",IF(NOT(ISNUMBER(_xll.ciqfunctions.udf.CIQ(AT$6,"IQ_TEV",$AI228,$I$2,$I$3))),"",_xll.ciqfunctions.udf.CIQ(AT$6,"IQ_TEV",$AI228,$I$2,$I$3)))</f>
        <v/>
      </c>
      <c r="AV228" s="251">
        <f t="shared" si="129"/>
        <v>44372</v>
      </c>
      <c r="AW228" s="719">
        <f t="shared" si="130"/>
        <v>0.66560860232888364</v>
      </c>
      <c r="AX228" s="719">
        <f t="shared" si="131"/>
        <v>1.3839835312065034</v>
      </c>
      <c r="AY228" s="719" t="e">
        <f t="shared" si="132"/>
        <v>#N/A</v>
      </c>
      <c r="AZ228" s="719" t="e">
        <f t="shared" si="133"/>
        <v>#N/A</v>
      </c>
      <c r="BA228" s="719" t="e">
        <f t="shared" si="134"/>
        <v>#N/A</v>
      </c>
      <c r="BB228" s="719" t="e">
        <f t="shared" si="135"/>
        <v>#N/A</v>
      </c>
      <c r="BC228" s="719" t="e">
        <f t="shared" si="136"/>
        <v>#N/A</v>
      </c>
      <c r="BD228" s="719" t="e">
        <f t="shared" si="137"/>
        <v>#N/A</v>
      </c>
      <c r="BE228" s="719" t="e">
        <f t="shared" si="138"/>
        <v>#N/A</v>
      </c>
      <c r="BF228" s="719" t="e">
        <f t="shared" si="139"/>
        <v>#N/A</v>
      </c>
      <c r="BG228" s="719" t="e">
        <f t="shared" si="140"/>
        <v>#N/A</v>
      </c>
    </row>
    <row r="229" spans="1:59" ht="15" customHeight="1" x14ac:dyDescent="0.2">
      <c r="A229" s="251">
        <f t="shared" si="123"/>
        <v>44379</v>
      </c>
      <c r="B229" s="253" t="str">
        <f t="shared" si="141"/>
        <v>Yes</v>
      </c>
      <c r="C229" s="1033">
        <f>IF(C$6="","",IF(NOT(ISNUMBER(_xll.ciqfunctions.udf.CIQ(C$6,$F$2, $A229, $I$2, $I$3))),IF(C228=C$6,"",C228),_xll.ciqfunctions.udf.CIQ(C$6,$F$2, $A229, $I$2, $I$3)))</f>
        <v>140.11000000000001</v>
      </c>
      <c r="D229" s="1033">
        <f>IF(D$6="","",IF(NOT(ISNUMBER(_xll.ciqfunctions.udf.CIQ(D$6,$F$2, $A229, $I$2, $I$3))),IF(D228=D$6,"",D228),_xll.ciqfunctions.udf.CIQ(D$6,$F$2, $A229, $I$2, $I$3)))</f>
        <v>34786.345670000002</v>
      </c>
      <c r="E229" s="1033">
        <f>IF(E$6="","",IF(NOT(ISNUMBER(_xll.ciqfunctions.udf.CIQ(E$6,$F$2, $A229, $I$2, $I$3))),IF(E228=E$6,"",E228),_xll.ciqfunctions.udf.CIQ(E$6,$F$2, $A229, $I$2, $I$3)))</f>
        <v>11500.26535</v>
      </c>
      <c r="F229" s="1033">
        <f>IF(F$6="","",IF(NOT(ISNUMBER(_xll.ciqfunctions.udf.CIQ(F$6,$F$2, $A229, $I$2, $I$3))),IF(F228=F$6,"",F228),_xll.ciqfunctions.udf.CIQ(F$6,$F$2, $A229, $I$2, $I$3)))</f>
        <v>10166.78599</v>
      </c>
      <c r="G229" s="1033">
        <f>IF(G$6="","",IF(NOT(ISNUMBER(_xll.ciqfunctions.udf.CIQ(G$6,$F$2, $A229, $I$2, $I$3))),IF(G228=G$6,"",G228),_xll.ciqfunctions.udf.CIQ(G$6,$F$2, $A229, $I$2, $I$3)))</f>
        <v>398.94</v>
      </c>
      <c r="H229" s="1033" t="str">
        <f>IF(H$6="","",IF(NOT(ISNUMBER(_xll.ciqfunctions.udf.CIQ(H$6,$F$2, $A229, $I$2, $I$3))),IF(H228=H$6,"",H228),_xll.ciqfunctions.udf.CIQ(H$6,$F$2, $A229, $I$2, $I$3)))</f>
        <v/>
      </c>
      <c r="I229" s="1033" t="str">
        <f>IF(I$6="","",IF(NOT(ISNUMBER(_xll.ciqfunctions.udf.CIQ(I$6,$F$2, $A229, $I$2, $I$3))),IF(I228=I$6,"",I228),_xll.ciqfunctions.udf.CIQ(I$6,$F$2, $A229, $I$2, $I$3)))</f>
        <v/>
      </c>
      <c r="J229" s="1033" t="str">
        <f>IF(J$6="","",IF(NOT(ISNUMBER(_xll.ciqfunctions.udf.CIQ(J$6,$F$2, $A229, $I$2, $I$3))),IF(J228=J$6,"",J228),_xll.ciqfunctions.udf.CIQ(J$6,$F$2, $A229, $I$2, $I$3)))</f>
        <v/>
      </c>
      <c r="K229" s="1033" t="str">
        <f>IF(K$6="","",IF(NOT(ISNUMBER(_xll.ciqfunctions.udf.CIQ(K$6,$F$2, $A229, $I$2, $I$3))),IF(K228=K$6,"",K228),_xll.ciqfunctions.udf.CIQ(K$6,$F$2, $A229, $I$2, $I$3)))</f>
        <v/>
      </c>
      <c r="L229" s="254" t="str">
        <f>IF(L$6="","",IF(NOT(ISNUMBER(_xll.ciqfunctions.udf.CIQ(L$6,$F$2, $A229, $I$2, $I$3))),IF(L228=L$6,"",L228),_xll.ciqfunctions.udf.CIQ(L$6,$F$2, $A229, $I$2, $I$3)))</f>
        <v/>
      </c>
      <c r="M229" s="254" t="str">
        <f>IF(M$6="","",IF(NOT(ISNUMBER(_xll.ciqfunctions.udf.CIQ(M$6,$F$2, $A229, $I$2, $I$3))),IF(M228=M$6,"",M228),_xll.ciqfunctions.udf.CIQ(M$6,$F$2, $A229, $I$2, $I$3)))</f>
        <v/>
      </c>
      <c r="N229" s="254" t="str">
        <f>IF(N$6="","",IF(NOT(ISNUMBER(_xll.ciqfunctions.udf.CIQ(N$6,$F$2, $A229, $I$2, $I$3))),IF(N228=N$6,"",N228),_xll.ciqfunctions.udf.CIQ(N$6,$F$2, $A229, $I$2, $I$3)))</f>
        <v/>
      </c>
      <c r="O229" s="254" t="str">
        <f>IF(O$6="","",IF(NOT(ISNUMBER(_xll.ciqfunctions.udf.CIQ(O$6,$F$2, $A229, $I$2, $I$3))),IF(O228=O$6,"",O228),_xll.ciqfunctions.udf.CIQ(O$6,$F$2, $A229, $I$2, $I$3)))</f>
        <v/>
      </c>
      <c r="P229" s="254" t="str">
        <f>IF(P$6="","",IF(NOT(ISNUMBER(_xll.ciqfunctions.udf.CIQ(P$6,$F$2, $A229, $I$2, $I$3))),IF(P228=P$6,"",P228),_xll.ciqfunctions.udf.CIQ(P$6,$F$2, $A229, $I$2, $I$3)))</f>
        <v/>
      </c>
      <c r="Q229" s="254"/>
      <c r="R229" s="251">
        <f t="shared" si="124"/>
        <v>44379</v>
      </c>
      <c r="S229" s="255">
        <f t="shared" si="126"/>
        <v>0.94381243063263054</v>
      </c>
      <c r="T229" s="255">
        <f t="shared" si="127"/>
        <v>0.68349095085371947</v>
      </c>
      <c r="U229" s="255">
        <f t="shared" si="128"/>
        <v>0.60712031979681957</v>
      </c>
      <c r="V229" s="255">
        <f t="shared" si="142"/>
        <v>1.3160363080219089</v>
      </c>
      <c r="W229" s="255">
        <f t="array" ref="W229">IFERROR(AVERAGE(IF(ISERROR(X229:AG229),"",X229:AG229)),"")</f>
        <v>1.3790327389826467</v>
      </c>
      <c r="X229" s="255">
        <f t="shared" si="143"/>
        <v>1.3790327389826467</v>
      </c>
      <c r="Y229" s="255" t="e">
        <f t="shared" si="144"/>
        <v>#N/A</v>
      </c>
      <c r="Z229" s="255" t="e">
        <f t="shared" si="145"/>
        <v>#N/A</v>
      </c>
      <c r="AA229" s="255" t="e">
        <f t="shared" si="146"/>
        <v>#N/A</v>
      </c>
      <c r="AB229" s="255" t="e">
        <f t="shared" si="147"/>
        <v>#N/A</v>
      </c>
      <c r="AC229" s="255" t="e">
        <f t="shared" si="148"/>
        <v>#N/A</v>
      </c>
      <c r="AD229" s="255" t="e">
        <f t="shared" si="149"/>
        <v>#N/A</v>
      </c>
      <c r="AE229" s="255" t="e">
        <f t="shared" si="150"/>
        <v>#N/A</v>
      </c>
      <c r="AF229" s="255" t="e">
        <f t="shared" si="151"/>
        <v>#N/A</v>
      </c>
      <c r="AG229" s="255" t="e">
        <f t="shared" si="152"/>
        <v>#N/A</v>
      </c>
      <c r="AI229" s="251">
        <f t="shared" si="125"/>
        <v>44379</v>
      </c>
      <c r="AJ229" s="718">
        <f>IF(OR($B229="No",AJ$6=""),"",IF(NOT(ISNUMBER(_xll.ciqfunctions.udf.CIQ(AJ$6,"IQ_TEV",$AI229,$I$2,$I$3))),"",_xll.ciqfunctions.udf.CIQ(AJ$6,"IQ_TEV",$AI229,$I$2,$I$3)))</f>
        <v>439246.66583000001</v>
      </c>
      <c r="AK229" s="718">
        <f>IF(OR($B229="No",AK$6=""),"",IF(NOT(ISNUMBER(_xll.ciqfunctions.udf.CIQ(AK$6,"IQ_TEV",$AI229,$I$2,$I$3))),"",_xll.ciqfunctions.udf.CIQ(AK$6,"IQ_TEV",$AI229,$I$2,$I$3)))</f>
        <v>175953.04316</v>
      </c>
      <c r="AL229" s="718" t="str">
        <f>IF(OR($B229="No",AL$6=""),"",IF(NOT(ISNUMBER(_xll.ciqfunctions.udf.CIQ(AL$6,"IQ_TEV",$AI229,$I$2,$I$3))),"",_xll.ciqfunctions.udf.CIQ(AL$6,"IQ_TEV",$AI229,$I$2,$I$3)))</f>
        <v/>
      </c>
      <c r="AM229" s="718" t="str">
        <f>IF(OR($B229="No",AM$6=""),"",IF(NOT(ISNUMBER(_xll.ciqfunctions.udf.CIQ(AM$6,"IQ_TEV",$AI229,$I$2,$I$3))),"",_xll.ciqfunctions.udf.CIQ(AM$6,"IQ_TEV",$AI229,$I$2,$I$3)))</f>
        <v/>
      </c>
      <c r="AN229" s="718" t="str">
        <f>IF(OR($B229="No",AN$6=""),"",IF(NOT(ISNUMBER(_xll.ciqfunctions.udf.CIQ(AN$6,"IQ_TEV",$AI229,$I$2,$I$3))),"",_xll.ciqfunctions.udf.CIQ(AN$6,"IQ_TEV",$AI229,$I$2,$I$3)))</f>
        <v/>
      </c>
      <c r="AO229" s="718" t="str">
        <f>IF(OR($B229="No",AO$6=""),"",IF(NOT(ISNUMBER(_xll.ciqfunctions.udf.CIQ(AO$6,"IQ_TEV",$AI229,$I$2,$I$3))),"",_xll.ciqfunctions.udf.CIQ(AO$6,"IQ_TEV",$AI229,$I$2,$I$3)))</f>
        <v/>
      </c>
      <c r="AP229" s="718" t="str">
        <f>IF(OR($B229="No",AP$6=""),"",IF(NOT(ISNUMBER(_xll.ciqfunctions.udf.CIQ(AP$6,"IQ_TEV",$AI229,$I$2,$I$3))),"",_xll.ciqfunctions.udf.CIQ(AP$6,"IQ_TEV",$AI229,$I$2,$I$3)))</f>
        <v/>
      </c>
      <c r="AQ229" s="718" t="str">
        <f>IF(OR($B229="No",AQ$6=""),"",IF(NOT(ISNUMBER(_xll.ciqfunctions.udf.CIQ(AQ$6,"IQ_TEV",$AI229,$I$2,$I$3))),"",_xll.ciqfunctions.udf.CIQ(AQ$6,"IQ_TEV",$AI229,$I$2,$I$3)))</f>
        <v/>
      </c>
      <c r="AR229" s="718" t="str">
        <f>IF(OR($B229="No",AR$6=""),"",IF(NOT(ISNUMBER(_xll.ciqfunctions.udf.CIQ(AR$6,"IQ_TEV",$AI229,$I$2,$I$3))),"",_xll.ciqfunctions.udf.CIQ(AR$6,"IQ_TEV",$AI229,$I$2,$I$3)))</f>
        <v/>
      </c>
      <c r="AS229" s="718" t="str">
        <f>IF(OR($B229="No",AS$6=""),"",IF(NOT(ISNUMBER(_xll.ciqfunctions.udf.CIQ(AS$6,"IQ_TEV",$AI229,$I$2,$I$3))),"",_xll.ciqfunctions.udf.CIQ(AS$6,"IQ_TEV",$AI229,$I$2,$I$3)))</f>
        <v/>
      </c>
      <c r="AT229" s="718" t="str">
        <f>IF(OR($B229="No",AT$6=""),"",IF(NOT(ISNUMBER(_xll.ciqfunctions.udf.CIQ(AT$6,"IQ_TEV",$AI229,$I$2,$I$3))),"",_xll.ciqfunctions.udf.CIQ(AT$6,"IQ_TEV",$AI229,$I$2,$I$3)))</f>
        <v/>
      </c>
      <c r="AV229" s="251">
        <f t="shared" si="129"/>
        <v>44379</v>
      </c>
      <c r="AW229" s="719">
        <f t="shared" si="130"/>
        <v>0.68256806163074346</v>
      </c>
      <c r="AX229" s="719">
        <f t="shared" si="131"/>
        <v>1.4108160328498647</v>
      </c>
      <c r="AY229" s="719" t="e">
        <f t="shared" si="132"/>
        <v>#N/A</v>
      </c>
      <c r="AZ229" s="719" t="e">
        <f t="shared" si="133"/>
        <v>#N/A</v>
      </c>
      <c r="BA229" s="719" t="e">
        <f t="shared" si="134"/>
        <v>#N/A</v>
      </c>
      <c r="BB229" s="719" t="e">
        <f t="shared" si="135"/>
        <v>#N/A</v>
      </c>
      <c r="BC229" s="719" t="e">
        <f t="shared" si="136"/>
        <v>#N/A</v>
      </c>
      <c r="BD229" s="719" t="e">
        <f t="shared" si="137"/>
        <v>#N/A</v>
      </c>
      <c r="BE229" s="719" t="e">
        <f t="shared" si="138"/>
        <v>#N/A</v>
      </c>
      <c r="BF229" s="719" t="e">
        <f t="shared" si="139"/>
        <v>#N/A</v>
      </c>
      <c r="BG229" s="719" t="e">
        <f t="shared" si="140"/>
        <v>#N/A</v>
      </c>
    </row>
    <row r="230" spans="1:59" ht="15" customHeight="1" x14ac:dyDescent="0.2">
      <c r="A230" s="251">
        <f t="shared" si="123"/>
        <v>44386</v>
      </c>
      <c r="B230" s="253" t="str">
        <f t="shared" si="141"/>
        <v>Yes</v>
      </c>
      <c r="C230" s="1033">
        <f>IF(C$6="","",IF(NOT(ISNUMBER(_xll.ciqfunctions.udf.CIQ(C$6,$F$2, $A230, $I$2, $I$3))),IF(C229=C$6,"",C229),_xll.ciqfunctions.udf.CIQ(C$6,$F$2, $A230, $I$2, $I$3)))</f>
        <v>140.30000000000001</v>
      </c>
      <c r="D230" s="1033">
        <f>IF(D$6="","",IF(NOT(ISNUMBER(_xll.ciqfunctions.udf.CIQ(D$6,$F$2, $A230, $I$2, $I$3))),IF(D229=D$6,"",D229),_xll.ciqfunctions.udf.CIQ(D$6,$F$2, $A230, $I$2, $I$3)))</f>
        <v>34870.158990000004</v>
      </c>
      <c r="E230" s="1033">
        <f>IF(E$6="","",IF(NOT(ISNUMBER(_xll.ciqfunctions.udf.CIQ(E$6,$F$2, $A230, $I$2, $I$3))),IF(E229=E$6,"",E229),_xll.ciqfunctions.udf.CIQ(E$6,$F$2, $A230, $I$2, $I$3)))</f>
        <v>11490.90014</v>
      </c>
      <c r="F230" s="1033">
        <f>IF(F$6="","",IF(NOT(ISNUMBER(_xll.ciqfunctions.udf.CIQ(F$6,$F$2, $A230, $I$2, $I$3))),IF(F229=F$6,"",F229),_xll.ciqfunctions.udf.CIQ(F$6,$F$2, $A230, $I$2, $I$3)))</f>
        <v>10187.692660000001</v>
      </c>
      <c r="G230" s="1033">
        <f>IF(G$6="","",IF(NOT(ISNUMBER(_xll.ciqfunctions.udf.CIQ(G$6,$F$2, $A230, $I$2, $I$3))),IF(G229=G$6,"",G229),_xll.ciqfunctions.udf.CIQ(G$6,$F$2, $A230, $I$2, $I$3)))</f>
        <v>412.37</v>
      </c>
      <c r="H230" s="1033" t="str">
        <f>IF(H$6="","",IF(NOT(ISNUMBER(_xll.ciqfunctions.udf.CIQ(H$6,$F$2, $A230, $I$2, $I$3))),IF(H229=H$6,"",H229),_xll.ciqfunctions.udf.CIQ(H$6,$F$2, $A230, $I$2, $I$3)))</f>
        <v/>
      </c>
      <c r="I230" s="1033" t="str">
        <f>IF(I$6="","",IF(NOT(ISNUMBER(_xll.ciqfunctions.udf.CIQ(I$6,$F$2, $A230, $I$2, $I$3))),IF(I229=I$6,"",I229),_xll.ciqfunctions.udf.CIQ(I$6,$F$2, $A230, $I$2, $I$3)))</f>
        <v/>
      </c>
      <c r="J230" s="1033" t="str">
        <f>IF(J$6="","",IF(NOT(ISNUMBER(_xll.ciqfunctions.udf.CIQ(J$6,$F$2, $A230, $I$2, $I$3))),IF(J229=J$6,"",J229),_xll.ciqfunctions.udf.CIQ(J$6,$F$2, $A230, $I$2, $I$3)))</f>
        <v/>
      </c>
      <c r="K230" s="1033" t="str">
        <f>IF(K$6="","",IF(NOT(ISNUMBER(_xll.ciqfunctions.udf.CIQ(K$6,$F$2, $A230, $I$2, $I$3))),IF(K229=K$6,"",K229),_xll.ciqfunctions.udf.CIQ(K$6,$F$2, $A230, $I$2, $I$3)))</f>
        <v/>
      </c>
      <c r="L230" s="254" t="str">
        <f>IF(L$6="","",IF(NOT(ISNUMBER(_xll.ciqfunctions.udf.CIQ(L$6,$F$2, $A230, $I$2, $I$3))),IF(L229=L$6,"",L229),_xll.ciqfunctions.udf.CIQ(L$6,$F$2, $A230, $I$2, $I$3)))</f>
        <v/>
      </c>
      <c r="M230" s="254" t="str">
        <f>IF(M$6="","",IF(NOT(ISNUMBER(_xll.ciqfunctions.udf.CIQ(M$6,$F$2, $A230, $I$2, $I$3))),IF(M229=M$6,"",M229),_xll.ciqfunctions.udf.CIQ(M$6,$F$2, $A230, $I$2, $I$3)))</f>
        <v/>
      </c>
      <c r="N230" s="254" t="str">
        <f>IF(N$6="","",IF(NOT(ISNUMBER(_xll.ciqfunctions.udf.CIQ(N$6,$F$2, $A230, $I$2, $I$3))),IF(N229=N$6,"",N229),_xll.ciqfunctions.udf.CIQ(N$6,$F$2, $A230, $I$2, $I$3)))</f>
        <v/>
      </c>
      <c r="O230" s="254" t="str">
        <f>IF(O$6="","",IF(NOT(ISNUMBER(_xll.ciqfunctions.udf.CIQ(O$6,$F$2, $A230, $I$2, $I$3))),IF(O229=O$6,"",O229),_xll.ciqfunctions.udf.CIQ(O$6,$F$2, $A230, $I$2, $I$3)))</f>
        <v/>
      </c>
      <c r="P230" s="254" t="str">
        <f>IF(P$6="","",IF(NOT(ISNUMBER(_xll.ciqfunctions.udf.CIQ(P$6,$F$2, $A230, $I$2, $I$3))),IF(P229=P$6,"",P229),_xll.ciqfunctions.udf.CIQ(P$6,$F$2, $A230, $I$2, $I$3)))</f>
        <v/>
      </c>
      <c r="Q230" s="254"/>
      <c r="R230" s="251">
        <f t="shared" si="124"/>
        <v>44386</v>
      </c>
      <c r="S230" s="255">
        <f t="shared" si="126"/>
        <v>0.9464483906770258</v>
      </c>
      <c r="T230" s="255">
        <f t="shared" si="127"/>
        <v>0.68754711033421056</v>
      </c>
      <c r="U230" s="255">
        <f t="shared" si="128"/>
        <v>0.60581156570879635</v>
      </c>
      <c r="V230" s="255">
        <f t="shared" si="142"/>
        <v>1.3207989347603353</v>
      </c>
      <c r="W230" s="255">
        <f t="array" ref="W230">IFERROR(AVERAGE(IF(ISERROR(X230:AG230),"",X230:AG230)),"")</f>
        <v>1.4591209970779415</v>
      </c>
      <c r="X230" s="255">
        <f t="shared" si="143"/>
        <v>1.4591209970779415</v>
      </c>
      <c r="Y230" s="255" t="e">
        <f t="shared" si="144"/>
        <v>#N/A</v>
      </c>
      <c r="Z230" s="255" t="e">
        <f t="shared" si="145"/>
        <v>#N/A</v>
      </c>
      <c r="AA230" s="255" t="e">
        <f t="shared" si="146"/>
        <v>#N/A</v>
      </c>
      <c r="AB230" s="255" t="e">
        <f t="shared" si="147"/>
        <v>#N/A</v>
      </c>
      <c r="AC230" s="255" t="e">
        <f t="shared" si="148"/>
        <v>#N/A</v>
      </c>
      <c r="AD230" s="255" t="e">
        <f t="shared" si="149"/>
        <v>#N/A</v>
      </c>
      <c r="AE230" s="255" t="e">
        <f t="shared" si="150"/>
        <v>#N/A</v>
      </c>
      <c r="AF230" s="255" t="e">
        <f t="shared" si="151"/>
        <v>#N/A</v>
      </c>
      <c r="AG230" s="255" t="e">
        <f t="shared" si="152"/>
        <v>#N/A</v>
      </c>
      <c r="AI230" s="251">
        <f t="shared" si="125"/>
        <v>44386</v>
      </c>
      <c r="AJ230" s="718">
        <f>IF(OR($B230="No",AJ$6=""),"",IF(NOT(ISNUMBER(_xll.ciqfunctions.udf.CIQ(AJ$6,"IQ_TEV",$AI230,$I$2,$I$3))),"",_xll.ciqfunctions.udf.CIQ(AJ$6,"IQ_TEV",$AI230,$I$2,$I$3)))</f>
        <v>439779.07355999999</v>
      </c>
      <c r="AK230" s="718">
        <f>IF(OR($B230="No",AK$6=""),"",IF(NOT(ISNUMBER(_xll.ciqfunctions.udf.CIQ(AK$6,"IQ_TEV",$AI230,$I$2,$I$3))),"",_xll.ciqfunctions.udf.CIQ(AK$6,"IQ_TEV",$AI230,$I$2,$I$3)))</f>
        <v>181890.03106000001</v>
      </c>
      <c r="AL230" s="718" t="str">
        <f>IF(OR($B230="No",AL$6=""),"",IF(NOT(ISNUMBER(_xll.ciqfunctions.udf.CIQ(AL$6,"IQ_TEV",$AI230,$I$2,$I$3))),"",_xll.ciqfunctions.udf.CIQ(AL$6,"IQ_TEV",$AI230,$I$2,$I$3)))</f>
        <v/>
      </c>
      <c r="AM230" s="718" t="str">
        <f>IF(OR($B230="No",AM$6=""),"",IF(NOT(ISNUMBER(_xll.ciqfunctions.udf.CIQ(AM$6,"IQ_TEV",$AI230,$I$2,$I$3))),"",_xll.ciqfunctions.udf.CIQ(AM$6,"IQ_TEV",$AI230,$I$2,$I$3)))</f>
        <v/>
      </c>
      <c r="AN230" s="718" t="str">
        <f>IF(OR($B230="No",AN$6=""),"",IF(NOT(ISNUMBER(_xll.ciqfunctions.udf.CIQ(AN$6,"IQ_TEV",$AI230,$I$2,$I$3))),"",_xll.ciqfunctions.udf.CIQ(AN$6,"IQ_TEV",$AI230,$I$2,$I$3)))</f>
        <v/>
      </c>
      <c r="AO230" s="718" t="str">
        <f>IF(OR($B230="No",AO$6=""),"",IF(NOT(ISNUMBER(_xll.ciqfunctions.udf.CIQ(AO$6,"IQ_TEV",$AI230,$I$2,$I$3))),"",_xll.ciqfunctions.udf.CIQ(AO$6,"IQ_TEV",$AI230,$I$2,$I$3)))</f>
        <v/>
      </c>
      <c r="AP230" s="718" t="str">
        <f>IF(OR($B230="No",AP$6=""),"",IF(NOT(ISNUMBER(_xll.ciqfunctions.udf.CIQ(AP$6,"IQ_TEV",$AI230,$I$2,$I$3))),"",_xll.ciqfunctions.udf.CIQ(AP$6,"IQ_TEV",$AI230,$I$2,$I$3)))</f>
        <v/>
      </c>
      <c r="AQ230" s="718" t="str">
        <f>IF(OR($B230="No",AQ$6=""),"",IF(NOT(ISNUMBER(_xll.ciqfunctions.udf.CIQ(AQ$6,"IQ_TEV",$AI230,$I$2,$I$3))),"",_xll.ciqfunctions.udf.CIQ(AQ$6,"IQ_TEV",$AI230,$I$2,$I$3)))</f>
        <v/>
      </c>
      <c r="AR230" s="718" t="str">
        <f>IF(OR($B230="No",AR$6=""),"",IF(NOT(ISNUMBER(_xll.ciqfunctions.udf.CIQ(AR$6,"IQ_TEV",$AI230,$I$2,$I$3))),"",_xll.ciqfunctions.udf.CIQ(AR$6,"IQ_TEV",$AI230,$I$2,$I$3)))</f>
        <v/>
      </c>
      <c r="AS230" s="718" t="str">
        <f>IF(OR($B230="No",AS$6=""),"",IF(NOT(ISNUMBER(_xll.ciqfunctions.udf.CIQ(AS$6,"IQ_TEV",$AI230,$I$2,$I$3))),"",_xll.ciqfunctions.udf.CIQ(AS$6,"IQ_TEV",$AI230,$I$2,$I$3)))</f>
        <v/>
      </c>
      <c r="AT230" s="718" t="str">
        <f>IF(OR($B230="No",AT$6=""),"",IF(NOT(ISNUMBER(_xll.ciqfunctions.udf.CIQ(AT$6,"IQ_TEV",$AI230,$I$2,$I$3))),"",_xll.ciqfunctions.udf.CIQ(AT$6,"IQ_TEV",$AI230,$I$2,$I$3)))</f>
        <v/>
      </c>
      <c r="AV230" s="251">
        <f t="shared" si="129"/>
        <v>44386</v>
      </c>
      <c r="AW230" s="719">
        <f t="shared" si="130"/>
        <v>0.68460749029793777</v>
      </c>
      <c r="AX230" s="719">
        <f t="shared" si="131"/>
        <v>1.4921615177537002</v>
      </c>
      <c r="AY230" s="719" t="e">
        <f t="shared" si="132"/>
        <v>#N/A</v>
      </c>
      <c r="AZ230" s="719" t="e">
        <f t="shared" si="133"/>
        <v>#N/A</v>
      </c>
      <c r="BA230" s="719" t="e">
        <f t="shared" si="134"/>
        <v>#N/A</v>
      </c>
      <c r="BB230" s="719" t="e">
        <f t="shared" si="135"/>
        <v>#N/A</v>
      </c>
      <c r="BC230" s="719" t="e">
        <f t="shared" si="136"/>
        <v>#N/A</v>
      </c>
      <c r="BD230" s="719" t="e">
        <f t="shared" si="137"/>
        <v>#N/A</v>
      </c>
      <c r="BE230" s="719" t="e">
        <f t="shared" si="138"/>
        <v>#N/A</v>
      </c>
      <c r="BF230" s="719" t="e">
        <f t="shared" si="139"/>
        <v>#N/A</v>
      </c>
      <c r="BG230" s="719" t="e">
        <f t="shared" si="140"/>
        <v>#N/A</v>
      </c>
    </row>
    <row r="231" spans="1:59" ht="15" customHeight="1" x14ac:dyDescent="0.2">
      <c r="A231" s="251">
        <f t="shared" si="123"/>
        <v>44393</v>
      </c>
      <c r="B231" s="253" t="str">
        <f t="shared" si="141"/>
        <v>Yes</v>
      </c>
      <c r="C231" s="1033">
        <f>IF(C$6="","",IF(NOT(ISNUMBER(_xll.ciqfunctions.udf.CIQ(C$6,$F$2, $A231, $I$2, $I$3))),IF(C230=C$6,"",C230),_xll.ciqfunctions.udf.CIQ(C$6,$F$2, $A231, $I$2, $I$3)))</f>
        <v>141.56</v>
      </c>
      <c r="D231" s="1033">
        <f>IF(D$6="","",IF(NOT(ISNUMBER(_xll.ciqfunctions.udf.CIQ(D$6,$F$2, $A231, $I$2, $I$3))),IF(D230=D$6,"",D230),_xll.ciqfunctions.udf.CIQ(D$6,$F$2, $A231, $I$2, $I$3)))</f>
        <v>34687.850209999997</v>
      </c>
      <c r="E231" s="1033">
        <f>IF(E$6="","",IF(NOT(ISNUMBER(_xll.ciqfunctions.udf.CIQ(E$6,$F$2, $A231, $I$2, $I$3))),IF(E230=E$6,"",E230),_xll.ciqfunctions.udf.CIQ(E$6,$F$2, $A231, $I$2, $I$3)))</f>
        <v>11416.47345</v>
      </c>
      <c r="F231" s="1033">
        <f>IF(F$6="","",IF(NOT(ISNUMBER(_xll.ciqfunctions.udf.CIQ(F$6,$F$2, $A231, $I$2, $I$3))),IF(F230=F$6,"",F230),_xll.ciqfunctions.udf.CIQ(F$6,$F$2, $A231, $I$2, $I$3)))</f>
        <v>9622.9388600000002</v>
      </c>
      <c r="G231" s="1033">
        <f>IF(G$6="","",IF(NOT(ISNUMBER(_xll.ciqfunctions.udf.CIQ(G$6,$F$2, $A231, $I$2, $I$3))),IF(G230=G$6,"",G230),_xll.ciqfunctions.udf.CIQ(G$6,$F$2, $A231, $I$2, $I$3)))</f>
        <v>410.37</v>
      </c>
      <c r="H231" s="1033" t="str">
        <f>IF(H$6="","",IF(NOT(ISNUMBER(_xll.ciqfunctions.udf.CIQ(H$6,$F$2, $A231, $I$2, $I$3))),IF(H230=H$6,"",H230),_xll.ciqfunctions.udf.CIQ(H$6,$F$2, $A231, $I$2, $I$3)))</f>
        <v/>
      </c>
      <c r="I231" s="1033" t="str">
        <f>IF(I$6="","",IF(NOT(ISNUMBER(_xll.ciqfunctions.udf.CIQ(I$6,$F$2, $A231, $I$2, $I$3))),IF(I230=I$6,"",I230),_xll.ciqfunctions.udf.CIQ(I$6,$F$2, $A231, $I$2, $I$3)))</f>
        <v/>
      </c>
      <c r="J231" s="1033" t="str">
        <f>IF(J$6="","",IF(NOT(ISNUMBER(_xll.ciqfunctions.udf.CIQ(J$6,$F$2, $A231, $I$2, $I$3))),IF(J230=J$6,"",J230),_xll.ciqfunctions.udf.CIQ(J$6,$F$2, $A231, $I$2, $I$3)))</f>
        <v/>
      </c>
      <c r="K231" s="1033" t="str">
        <f>IF(K$6="","",IF(NOT(ISNUMBER(_xll.ciqfunctions.udf.CIQ(K$6,$F$2, $A231, $I$2, $I$3))),IF(K230=K$6,"",K230),_xll.ciqfunctions.udf.CIQ(K$6,$F$2, $A231, $I$2, $I$3)))</f>
        <v/>
      </c>
      <c r="L231" s="254" t="str">
        <f>IF(L$6="","",IF(NOT(ISNUMBER(_xll.ciqfunctions.udf.CIQ(L$6,$F$2, $A231, $I$2, $I$3))),IF(L230=L$6,"",L230),_xll.ciqfunctions.udf.CIQ(L$6,$F$2, $A231, $I$2, $I$3)))</f>
        <v/>
      </c>
      <c r="M231" s="254" t="str">
        <f>IF(M$6="","",IF(NOT(ISNUMBER(_xll.ciqfunctions.udf.CIQ(M$6,$F$2, $A231, $I$2, $I$3))),IF(M230=M$6,"",M230),_xll.ciqfunctions.udf.CIQ(M$6,$F$2, $A231, $I$2, $I$3)))</f>
        <v/>
      </c>
      <c r="N231" s="254" t="str">
        <f>IF(N$6="","",IF(NOT(ISNUMBER(_xll.ciqfunctions.udf.CIQ(N$6,$F$2, $A231, $I$2, $I$3))),IF(N230=N$6,"",N230),_xll.ciqfunctions.udf.CIQ(N$6,$F$2, $A231, $I$2, $I$3)))</f>
        <v/>
      </c>
      <c r="O231" s="254" t="str">
        <f>IF(O$6="","",IF(NOT(ISNUMBER(_xll.ciqfunctions.udf.CIQ(O$6,$F$2, $A231, $I$2, $I$3))),IF(O230=O$6,"",O230),_xll.ciqfunctions.udf.CIQ(O$6,$F$2, $A231, $I$2, $I$3)))</f>
        <v/>
      </c>
      <c r="P231" s="254" t="str">
        <f>IF(P$6="","",IF(NOT(ISNUMBER(_xll.ciqfunctions.udf.CIQ(P$6,$F$2, $A231, $I$2, $I$3))),IF(P230=P$6,"",P230),_xll.ciqfunctions.udf.CIQ(P$6,$F$2, $A231, $I$2, $I$3)))</f>
        <v/>
      </c>
      <c r="Q231" s="254"/>
      <c r="R231" s="251">
        <f t="shared" si="124"/>
        <v>44393</v>
      </c>
      <c r="S231" s="255">
        <f t="shared" si="126"/>
        <v>0.96392896781354054</v>
      </c>
      <c r="T231" s="255">
        <f t="shared" si="127"/>
        <v>0.67872424678013865</v>
      </c>
      <c r="U231" s="255">
        <f t="shared" si="128"/>
        <v>0.59541070605956925</v>
      </c>
      <c r="V231" s="255">
        <f t="shared" si="142"/>
        <v>1.1921456605417298</v>
      </c>
      <c r="W231" s="255">
        <f t="array" ref="W231">IFERROR(AVERAGE(IF(ISERROR(X231:AG231),"",X231:AG231)),"")</f>
        <v>1.447194227443497</v>
      </c>
      <c r="X231" s="255">
        <f t="shared" si="143"/>
        <v>1.447194227443497</v>
      </c>
      <c r="Y231" s="255" t="e">
        <f t="shared" si="144"/>
        <v>#N/A</v>
      </c>
      <c r="Z231" s="255" t="e">
        <f t="shared" si="145"/>
        <v>#N/A</v>
      </c>
      <c r="AA231" s="255" t="e">
        <f t="shared" si="146"/>
        <v>#N/A</v>
      </c>
      <c r="AB231" s="255" t="e">
        <f t="shared" si="147"/>
        <v>#N/A</v>
      </c>
      <c r="AC231" s="255" t="e">
        <f t="shared" si="148"/>
        <v>#N/A</v>
      </c>
      <c r="AD231" s="255" t="e">
        <f t="shared" si="149"/>
        <v>#N/A</v>
      </c>
      <c r="AE231" s="255" t="e">
        <f t="shared" si="150"/>
        <v>#N/A</v>
      </c>
      <c r="AF231" s="255" t="e">
        <f t="shared" si="151"/>
        <v>#N/A</v>
      </c>
      <c r="AG231" s="255" t="e">
        <f t="shared" si="152"/>
        <v>#N/A</v>
      </c>
      <c r="AI231" s="251">
        <f t="shared" si="125"/>
        <v>44393</v>
      </c>
      <c r="AJ231" s="718">
        <f>IF(OR($B231="No",AJ$6=""),"",IF(NOT(ISNUMBER(_xll.ciqfunctions.udf.CIQ(AJ$6,"IQ_TEV",$AI231,$I$2,$I$3))),"",_xll.ciqfunctions.udf.CIQ(AJ$6,"IQ_TEV",$AI231,$I$2,$I$3)))</f>
        <v>443309.77743000002</v>
      </c>
      <c r="AK231" s="718">
        <f>IF(OR($B231="No",AK$6=""),"",IF(NOT(ISNUMBER(_xll.ciqfunctions.udf.CIQ(AK$6,"IQ_TEV",$AI231,$I$2,$I$3))),"",_xll.ciqfunctions.udf.CIQ(AK$6,"IQ_TEV",$AI231,$I$2,$I$3)))</f>
        <v>181005.89287000001</v>
      </c>
      <c r="AL231" s="718" t="str">
        <f>IF(OR($B231="No",AL$6=""),"",IF(NOT(ISNUMBER(_xll.ciqfunctions.udf.CIQ(AL$6,"IQ_TEV",$AI231,$I$2,$I$3))),"",_xll.ciqfunctions.udf.CIQ(AL$6,"IQ_TEV",$AI231,$I$2,$I$3)))</f>
        <v/>
      </c>
      <c r="AM231" s="718" t="str">
        <f>IF(OR($B231="No",AM$6=""),"",IF(NOT(ISNUMBER(_xll.ciqfunctions.udf.CIQ(AM$6,"IQ_TEV",$AI231,$I$2,$I$3))),"",_xll.ciqfunctions.udf.CIQ(AM$6,"IQ_TEV",$AI231,$I$2,$I$3)))</f>
        <v/>
      </c>
      <c r="AN231" s="718" t="str">
        <f>IF(OR($B231="No",AN$6=""),"",IF(NOT(ISNUMBER(_xll.ciqfunctions.udf.CIQ(AN$6,"IQ_TEV",$AI231,$I$2,$I$3))),"",_xll.ciqfunctions.udf.CIQ(AN$6,"IQ_TEV",$AI231,$I$2,$I$3)))</f>
        <v/>
      </c>
      <c r="AO231" s="718" t="str">
        <f>IF(OR($B231="No",AO$6=""),"",IF(NOT(ISNUMBER(_xll.ciqfunctions.udf.CIQ(AO$6,"IQ_TEV",$AI231,$I$2,$I$3))),"",_xll.ciqfunctions.udf.CIQ(AO$6,"IQ_TEV",$AI231,$I$2,$I$3)))</f>
        <v/>
      </c>
      <c r="AP231" s="718" t="str">
        <f>IF(OR($B231="No",AP$6=""),"",IF(NOT(ISNUMBER(_xll.ciqfunctions.udf.CIQ(AP$6,"IQ_TEV",$AI231,$I$2,$I$3))),"",_xll.ciqfunctions.udf.CIQ(AP$6,"IQ_TEV",$AI231,$I$2,$I$3)))</f>
        <v/>
      </c>
      <c r="AQ231" s="718" t="str">
        <f>IF(OR($B231="No",AQ$6=""),"",IF(NOT(ISNUMBER(_xll.ciqfunctions.udf.CIQ(AQ$6,"IQ_TEV",$AI231,$I$2,$I$3))),"",_xll.ciqfunctions.udf.CIQ(AQ$6,"IQ_TEV",$AI231,$I$2,$I$3)))</f>
        <v/>
      </c>
      <c r="AR231" s="718" t="str">
        <f>IF(OR($B231="No",AR$6=""),"",IF(NOT(ISNUMBER(_xll.ciqfunctions.udf.CIQ(AR$6,"IQ_TEV",$AI231,$I$2,$I$3))),"",_xll.ciqfunctions.udf.CIQ(AR$6,"IQ_TEV",$AI231,$I$2,$I$3)))</f>
        <v/>
      </c>
      <c r="AS231" s="718" t="str">
        <f>IF(OR($B231="No",AS$6=""),"",IF(NOT(ISNUMBER(_xll.ciqfunctions.udf.CIQ(AS$6,"IQ_TEV",$AI231,$I$2,$I$3))),"",_xll.ciqfunctions.udf.CIQ(AS$6,"IQ_TEV",$AI231,$I$2,$I$3)))</f>
        <v/>
      </c>
      <c r="AT231" s="718" t="str">
        <f>IF(OR($B231="No",AT$6=""),"",IF(NOT(ISNUMBER(_xll.ciqfunctions.udf.CIQ(AT$6,"IQ_TEV",$AI231,$I$2,$I$3))),"",_xll.ciqfunctions.udf.CIQ(AT$6,"IQ_TEV",$AI231,$I$2,$I$3)))</f>
        <v/>
      </c>
      <c r="AV231" s="251">
        <f t="shared" si="129"/>
        <v>44393</v>
      </c>
      <c r="AW231" s="719">
        <f t="shared" si="130"/>
        <v>0.69813212242124068</v>
      </c>
      <c r="AX231" s="719">
        <f t="shared" si="131"/>
        <v>1.4800475213974758</v>
      </c>
      <c r="AY231" s="719" t="e">
        <f t="shared" si="132"/>
        <v>#N/A</v>
      </c>
      <c r="AZ231" s="719" t="e">
        <f t="shared" si="133"/>
        <v>#N/A</v>
      </c>
      <c r="BA231" s="719" t="e">
        <f t="shared" si="134"/>
        <v>#N/A</v>
      </c>
      <c r="BB231" s="719" t="e">
        <f t="shared" si="135"/>
        <v>#N/A</v>
      </c>
      <c r="BC231" s="719" t="e">
        <f t="shared" si="136"/>
        <v>#N/A</v>
      </c>
      <c r="BD231" s="719" t="e">
        <f t="shared" si="137"/>
        <v>#N/A</v>
      </c>
      <c r="BE231" s="719" t="e">
        <f t="shared" si="138"/>
        <v>#N/A</v>
      </c>
      <c r="BF231" s="719" t="e">
        <f t="shared" si="139"/>
        <v>#N/A</v>
      </c>
      <c r="BG231" s="719" t="e">
        <f t="shared" si="140"/>
        <v>#N/A</v>
      </c>
    </row>
    <row r="232" spans="1:59" ht="15" customHeight="1" x14ac:dyDescent="0.2">
      <c r="A232" s="251">
        <f t="shared" si="123"/>
        <v>44400</v>
      </c>
      <c r="B232" s="253" t="str">
        <f t="shared" si="141"/>
        <v>Yes</v>
      </c>
      <c r="C232" s="1033">
        <f>IF(C$6="","",IF(NOT(ISNUMBER(_xll.ciqfunctions.udf.CIQ(C$6,$F$2, $A232, $I$2, $I$3))),IF(C231=C$6,"",C231),_xll.ciqfunctions.udf.CIQ(C$6,$F$2, $A232, $I$2, $I$3)))</f>
        <v>142.43</v>
      </c>
      <c r="D232" s="1033">
        <f>IF(D$6="","",IF(NOT(ISNUMBER(_xll.ciqfunctions.udf.CIQ(D$6,$F$2, $A232, $I$2, $I$3))),IF(D231=D$6,"",D231),_xll.ciqfunctions.udf.CIQ(D$6,$F$2, $A232, $I$2, $I$3)))</f>
        <v>35061.55358</v>
      </c>
      <c r="E232" s="1033">
        <f>IF(E$6="","",IF(NOT(ISNUMBER(_xll.ciqfunctions.udf.CIQ(E$6,$F$2, $A232, $I$2, $I$3))),IF(E231=E$6,"",E231),_xll.ciqfunctions.udf.CIQ(E$6,$F$2, $A232, $I$2, $I$3)))</f>
        <v>11528.24374</v>
      </c>
      <c r="F232" s="1033">
        <f>IF(F$6="","",IF(NOT(ISNUMBER(_xll.ciqfunctions.udf.CIQ(F$6,$F$2, $A232, $I$2, $I$3))),IF(F231=F$6,"",F231),_xll.ciqfunctions.udf.CIQ(F$6,$F$2, $A232, $I$2, $I$3)))</f>
        <v>9999.4271100000005</v>
      </c>
      <c r="G232" s="1033">
        <f>IF(G$6="","",IF(NOT(ISNUMBER(_xll.ciqfunctions.udf.CIQ(G$6,$F$2, $A232, $I$2, $I$3))),IF(G231=G$6,"",G231),_xll.ciqfunctions.udf.CIQ(G$6,$F$2, $A232, $I$2, $I$3)))</f>
        <v>423.43</v>
      </c>
      <c r="H232" s="1033" t="str">
        <f>IF(H$6="","",IF(NOT(ISNUMBER(_xll.ciqfunctions.udf.CIQ(H$6,$F$2, $A232, $I$2, $I$3))),IF(H231=H$6,"",H231),_xll.ciqfunctions.udf.CIQ(H$6,$F$2, $A232, $I$2, $I$3)))</f>
        <v/>
      </c>
      <c r="I232" s="1033" t="str">
        <f>IF(I$6="","",IF(NOT(ISNUMBER(_xll.ciqfunctions.udf.CIQ(I$6,$F$2, $A232, $I$2, $I$3))),IF(I231=I$6,"",I231),_xll.ciqfunctions.udf.CIQ(I$6,$F$2, $A232, $I$2, $I$3)))</f>
        <v/>
      </c>
      <c r="J232" s="1033" t="str">
        <f>IF(J$6="","",IF(NOT(ISNUMBER(_xll.ciqfunctions.udf.CIQ(J$6,$F$2, $A232, $I$2, $I$3))),IF(J231=J$6,"",J231),_xll.ciqfunctions.udf.CIQ(J$6,$F$2, $A232, $I$2, $I$3)))</f>
        <v/>
      </c>
      <c r="K232" s="1033" t="str">
        <f>IF(K$6="","",IF(NOT(ISNUMBER(_xll.ciqfunctions.udf.CIQ(K$6,$F$2, $A232, $I$2, $I$3))),IF(K231=K$6,"",K231),_xll.ciqfunctions.udf.CIQ(K$6,$F$2, $A232, $I$2, $I$3)))</f>
        <v/>
      </c>
      <c r="L232" s="254" t="str">
        <f>IF(L$6="","",IF(NOT(ISNUMBER(_xll.ciqfunctions.udf.CIQ(L$6,$F$2, $A232, $I$2, $I$3))),IF(L231=L$6,"",L231),_xll.ciqfunctions.udf.CIQ(L$6,$F$2, $A232, $I$2, $I$3)))</f>
        <v/>
      </c>
      <c r="M232" s="254" t="str">
        <f>IF(M$6="","",IF(NOT(ISNUMBER(_xll.ciqfunctions.udf.CIQ(M$6,$F$2, $A232, $I$2, $I$3))),IF(M231=M$6,"",M231),_xll.ciqfunctions.udf.CIQ(M$6,$F$2, $A232, $I$2, $I$3)))</f>
        <v/>
      </c>
      <c r="N232" s="254" t="str">
        <f>IF(N$6="","",IF(NOT(ISNUMBER(_xll.ciqfunctions.udf.CIQ(N$6,$F$2, $A232, $I$2, $I$3))),IF(N231=N$6,"",N231),_xll.ciqfunctions.udf.CIQ(N$6,$F$2, $A232, $I$2, $I$3)))</f>
        <v/>
      </c>
      <c r="O232" s="254" t="str">
        <f>IF(O$6="","",IF(NOT(ISNUMBER(_xll.ciqfunctions.udf.CIQ(O$6,$F$2, $A232, $I$2, $I$3))),IF(O231=O$6,"",O231),_xll.ciqfunctions.udf.CIQ(O$6,$F$2, $A232, $I$2, $I$3)))</f>
        <v/>
      </c>
      <c r="P232" s="254" t="str">
        <f>IF(P$6="","",IF(NOT(ISNUMBER(_xll.ciqfunctions.udf.CIQ(P$6,$F$2, $A232, $I$2, $I$3))),IF(P231=P$6,"",P231),_xll.ciqfunctions.udf.CIQ(P$6,$F$2, $A232, $I$2, $I$3)))</f>
        <v/>
      </c>
      <c r="Q232" s="254"/>
      <c r="R232" s="251">
        <f t="shared" si="124"/>
        <v>44400</v>
      </c>
      <c r="S232" s="255">
        <f t="shared" si="126"/>
        <v>0.97599889012208663</v>
      </c>
      <c r="T232" s="255">
        <f t="shared" si="127"/>
        <v>0.69680968316563119</v>
      </c>
      <c r="U232" s="255">
        <f t="shared" si="128"/>
        <v>0.61103019819664284</v>
      </c>
      <c r="V232" s="255">
        <f t="shared" si="142"/>
        <v>1.2779112562178154</v>
      </c>
      <c r="W232" s="255">
        <f t="array" ref="W232">IFERROR(AVERAGE(IF(ISERROR(X232:AG232),"",X232:AG232)),"")</f>
        <v>1.5250760331564197</v>
      </c>
      <c r="X232" s="255">
        <f t="shared" si="143"/>
        <v>1.5250760331564197</v>
      </c>
      <c r="Y232" s="255" t="e">
        <f t="shared" si="144"/>
        <v>#N/A</v>
      </c>
      <c r="Z232" s="255" t="e">
        <f t="shared" si="145"/>
        <v>#N/A</v>
      </c>
      <c r="AA232" s="255" t="e">
        <f t="shared" si="146"/>
        <v>#N/A</v>
      </c>
      <c r="AB232" s="255" t="e">
        <f t="shared" si="147"/>
        <v>#N/A</v>
      </c>
      <c r="AC232" s="255" t="e">
        <f t="shared" si="148"/>
        <v>#N/A</v>
      </c>
      <c r="AD232" s="255" t="e">
        <f t="shared" si="149"/>
        <v>#N/A</v>
      </c>
      <c r="AE232" s="255" t="e">
        <f t="shared" si="150"/>
        <v>#N/A</v>
      </c>
      <c r="AF232" s="255" t="e">
        <f t="shared" si="151"/>
        <v>#N/A</v>
      </c>
      <c r="AG232" s="255" t="e">
        <f t="shared" si="152"/>
        <v>#N/A</v>
      </c>
      <c r="AI232" s="251">
        <f t="shared" si="125"/>
        <v>44400</v>
      </c>
      <c r="AJ232" s="718">
        <f>IF(OR($B232="No",AJ$6=""),"",IF(NOT(ISNUMBER(_xll.ciqfunctions.udf.CIQ(AJ$6,"IQ_TEV",$AI232,$I$2,$I$3))),"",_xll.ciqfunctions.udf.CIQ(AJ$6,"IQ_TEV",$AI232,$I$2,$I$3)))</f>
        <v>445747.64438000001</v>
      </c>
      <c r="AK232" s="718">
        <f>IF(OR($B232="No",AK$6=""),"",IF(NOT(ISNUMBER(_xll.ciqfunctions.udf.CIQ(AK$6,"IQ_TEV",$AI232,$I$2,$I$3))),"",_xll.ciqfunctions.udf.CIQ(AK$6,"IQ_TEV",$AI232,$I$2,$I$3)))</f>
        <v>186779.31520000001</v>
      </c>
      <c r="AL232" s="718" t="str">
        <f>IF(OR($B232="No",AL$6=""),"",IF(NOT(ISNUMBER(_xll.ciqfunctions.udf.CIQ(AL$6,"IQ_TEV",$AI232,$I$2,$I$3))),"",_xll.ciqfunctions.udf.CIQ(AL$6,"IQ_TEV",$AI232,$I$2,$I$3)))</f>
        <v/>
      </c>
      <c r="AM232" s="718" t="str">
        <f>IF(OR($B232="No",AM$6=""),"",IF(NOT(ISNUMBER(_xll.ciqfunctions.udf.CIQ(AM$6,"IQ_TEV",$AI232,$I$2,$I$3))),"",_xll.ciqfunctions.udf.CIQ(AM$6,"IQ_TEV",$AI232,$I$2,$I$3)))</f>
        <v/>
      </c>
      <c r="AN232" s="718" t="str">
        <f>IF(OR($B232="No",AN$6=""),"",IF(NOT(ISNUMBER(_xll.ciqfunctions.udf.CIQ(AN$6,"IQ_TEV",$AI232,$I$2,$I$3))),"",_xll.ciqfunctions.udf.CIQ(AN$6,"IQ_TEV",$AI232,$I$2,$I$3)))</f>
        <v/>
      </c>
      <c r="AO232" s="718" t="str">
        <f>IF(OR($B232="No",AO$6=""),"",IF(NOT(ISNUMBER(_xll.ciqfunctions.udf.CIQ(AO$6,"IQ_TEV",$AI232,$I$2,$I$3))),"",_xll.ciqfunctions.udf.CIQ(AO$6,"IQ_TEV",$AI232,$I$2,$I$3)))</f>
        <v/>
      </c>
      <c r="AP232" s="718" t="str">
        <f>IF(OR($B232="No",AP$6=""),"",IF(NOT(ISNUMBER(_xll.ciqfunctions.udf.CIQ(AP$6,"IQ_TEV",$AI232,$I$2,$I$3))),"",_xll.ciqfunctions.udf.CIQ(AP$6,"IQ_TEV",$AI232,$I$2,$I$3)))</f>
        <v/>
      </c>
      <c r="AQ232" s="718" t="str">
        <f>IF(OR($B232="No",AQ$6=""),"",IF(NOT(ISNUMBER(_xll.ciqfunctions.udf.CIQ(AQ$6,"IQ_TEV",$AI232,$I$2,$I$3))),"",_xll.ciqfunctions.udf.CIQ(AQ$6,"IQ_TEV",$AI232,$I$2,$I$3)))</f>
        <v/>
      </c>
      <c r="AR232" s="718" t="str">
        <f>IF(OR($B232="No",AR$6=""),"",IF(NOT(ISNUMBER(_xll.ciqfunctions.udf.CIQ(AR$6,"IQ_TEV",$AI232,$I$2,$I$3))),"",_xll.ciqfunctions.udf.CIQ(AR$6,"IQ_TEV",$AI232,$I$2,$I$3)))</f>
        <v/>
      </c>
      <c r="AS232" s="718" t="str">
        <f>IF(OR($B232="No",AS$6=""),"",IF(NOT(ISNUMBER(_xll.ciqfunctions.udf.CIQ(AS$6,"IQ_TEV",$AI232,$I$2,$I$3))),"",_xll.ciqfunctions.udf.CIQ(AS$6,"IQ_TEV",$AI232,$I$2,$I$3)))</f>
        <v/>
      </c>
      <c r="AT232" s="718" t="str">
        <f>IF(OR($B232="No",AT$6=""),"",IF(NOT(ISNUMBER(_xll.ciqfunctions.udf.CIQ(AT$6,"IQ_TEV",$AI232,$I$2,$I$3))),"",_xll.ciqfunctions.udf.CIQ(AT$6,"IQ_TEV",$AI232,$I$2,$I$3)))</f>
        <v/>
      </c>
      <c r="AV232" s="251">
        <f t="shared" si="129"/>
        <v>44400</v>
      </c>
      <c r="AW232" s="719">
        <f t="shared" si="130"/>
        <v>0.70747055885723342</v>
      </c>
      <c r="AX232" s="719">
        <f t="shared" si="131"/>
        <v>1.5591519169089572</v>
      </c>
      <c r="AY232" s="719" t="e">
        <f t="shared" si="132"/>
        <v>#N/A</v>
      </c>
      <c r="AZ232" s="719" t="e">
        <f t="shared" si="133"/>
        <v>#N/A</v>
      </c>
      <c r="BA232" s="719" t="e">
        <f t="shared" si="134"/>
        <v>#N/A</v>
      </c>
      <c r="BB232" s="719" t="e">
        <f t="shared" si="135"/>
        <v>#N/A</v>
      </c>
      <c r="BC232" s="719" t="e">
        <f t="shared" si="136"/>
        <v>#N/A</v>
      </c>
      <c r="BD232" s="719" t="e">
        <f t="shared" si="137"/>
        <v>#N/A</v>
      </c>
      <c r="BE232" s="719" t="e">
        <f t="shared" si="138"/>
        <v>#N/A</v>
      </c>
      <c r="BF232" s="719" t="e">
        <f t="shared" si="139"/>
        <v>#N/A</v>
      </c>
      <c r="BG232" s="719" t="e">
        <f t="shared" si="140"/>
        <v>#N/A</v>
      </c>
    </row>
    <row r="233" spans="1:59" ht="15" customHeight="1" x14ac:dyDescent="0.2">
      <c r="A233" s="251">
        <f t="shared" si="123"/>
        <v>44407</v>
      </c>
      <c r="B233" s="253" t="str">
        <f t="shared" si="141"/>
        <v>Yes</v>
      </c>
      <c r="C233" s="1033">
        <f>IF(C$6="","",IF(NOT(ISNUMBER(_xll.ciqfunctions.udf.CIQ(C$6,$F$2, $A233, $I$2, $I$3))),IF(C232=C$6,"",C232),_xll.ciqfunctions.udf.CIQ(C$6,$F$2, $A233, $I$2, $I$3)))</f>
        <v>142.55000000000001</v>
      </c>
      <c r="D233" s="1033">
        <f>IF(D$6="","",IF(NOT(ISNUMBER(_xll.ciqfunctions.udf.CIQ(D$6,$F$2, $A233, $I$2, $I$3))),IF(D232=D$6,"",D232),_xll.ciqfunctions.udf.CIQ(D$6,$F$2, $A233, $I$2, $I$3)))</f>
        <v>34935.471490000004</v>
      </c>
      <c r="E233" s="1033">
        <f>IF(E$6="","",IF(NOT(ISNUMBER(_xll.ciqfunctions.udf.CIQ(E$6,$F$2, $A233, $I$2, $I$3))),IF(E232=E$6,"",E232),_xll.ciqfunctions.udf.CIQ(E$6,$F$2, $A233, $I$2, $I$3)))</f>
        <v>11446.8485</v>
      </c>
      <c r="F233" s="1033">
        <f>IF(F$6="","",IF(NOT(ISNUMBER(_xll.ciqfunctions.udf.CIQ(F$6,$F$2, $A233, $I$2, $I$3))),IF(F232=F$6,"",F232),_xll.ciqfunctions.udf.CIQ(F$6,$F$2, $A233, $I$2, $I$3)))</f>
        <v>9924.0683100000006</v>
      </c>
      <c r="G233" s="1033">
        <f>IF(G$6="","",IF(NOT(ISNUMBER(_xll.ciqfunctions.udf.CIQ(G$6,$F$2, $A233, $I$2, $I$3))),IF(G232=G$6,"",G232),_xll.ciqfunctions.udf.CIQ(G$6,$F$2, $A233, $I$2, $I$3)))</f>
        <v>429.72</v>
      </c>
      <c r="H233" s="1033" t="str">
        <f>IF(H$6="","",IF(NOT(ISNUMBER(_xll.ciqfunctions.udf.CIQ(H$6,$F$2, $A233, $I$2, $I$3))),IF(H232=H$6,"",H232),_xll.ciqfunctions.udf.CIQ(H$6,$F$2, $A233, $I$2, $I$3)))</f>
        <v/>
      </c>
      <c r="I233" s="1033" t="str">
        <f>IF(I$6="","",IF(NOT(ISNUMBER(_xll.ciqfunctions.udf.CIQ(I$6,$F$2, $A233, $I$2, $I$3))),IF(I232=I$6,"",I232),_xll.ciqfunctions.udf.CIQ(I$6,$F$2, $A233, $I$2, $I$3)))</f>
        <v/>
      </c>
      <c r="J233" s="1033" t="str">
        <f>IF(J$6="","",IF(NOT(ISNUMBER(_xll.ciqfunctions.udf.CIQ(J$6,$F$2, $A233, $I$2, $I$3))),IF(J232=J$6,"",J232),_xll.ciqfunctions.udf.CIQ(J$6,$F$2, $A233, $I$2, $I$3)))</f>
        <v/>
      </c>
      <c r="K233" s="1033" t="str">
        <f>IF(K$6="","",IF(NOT(ISNUMBER(_xll.ciqfunctions.udf.CIQ(K$6,$F$2, $A233, $I$2, $I$3))),IF(K232=K$6,"",K232),_xll.ciqfunctions.udf.CIQ(K$6,$F$2, $A233, $I$2, $I$3)))</f>
        <v/>
      </c>
      <c r="L233" s="254" t="str">
        <f>IF(L$6="","",IF(NOT(ISNUMBER(_xll.ciqfunctions.udf.CIQ(L$6,$F$2, $A233, $I$2, $I$3))),IF(L232=L$6,"",L232),_xll.ciqfunctions.udf.CIQ(L$6,$F$2, $A233, $I$2, $I$3)))</f>
        <v/>
      </c>
      <c r="M233" s="254" t="str">
        <f>IF(M$6="","",IF(NOT(ISNUMBER(_xll.ciqfunctions.udf.CIQ(M$6,$F$2, $A233, $I$2, $I$3))),IF(M232=M$6,"",M232),_xll.ciqfunctions.udf.CIQ(M$6,$F$2, $A233, $I$2, $I$3)))</f>
        <v/>
      </c>
      <c r="N233" s="254" t="str">
        <f>IF(N$6="","",IF(NOT(ISNUMBER(_xll.ciqfunctions.udf.CIQ(N$6,$F$2, $A233, $I$2, $I$3))),IF(N232=N$6,"",N232),_xll.ciqfunctions.udf.CIQ(N$6,$F$2, $A233, $I$2, $I$3)))</f>
        <v/>
      </c>
      <c r="O233" s="254" t="str">
        <f>IF(O$6="","",IF(NOT(ISNUMBER(_xll.ciqfunctions.udf.CIQ(O$6,$F$2, $A233, $I$2, $I$3))),IF(O232=O$6,"",O232),_xll.ciqfunctions.udf.CIQ(O$6,$F$2, $A233, $I$2, $I$3)))</f>
        <v/>
      </c>
      <c r="P233" s="254" t="str">
        <f>IF(P$6="","",IF(NOT(ISNUMBER(_xll.ciqfunctions.udf.CIQ(P$6,$F$2, $A233, $I$2, $I$3))),IF(P232=P$6,"",P232),_xll.ciqfunctions.udf.CIQ(P$6,$F$2, $A233, $I$2, $I$3)))</f>
        <v/>
      </c>
      <c r="Q233" s="254"/>
      <c r="R233" s="251">
        <f t="shared" si="124"/>
        <v>44407</v>
      </c>
      <c r="S233" s="255">
        <f t="shared" si="126"/>
        <v>0.97766370699223115</v>
      </c>
      <c r="T233" s="255">
        <f t="shared" si="127"/>
        <v>0.69070791957156774</v>
      </c>
      <c r="U233" s="255">
        <f t="shared" si="128"/>
        <v>0.59965550899099429</v>
      </c>
      <c r="V233" s="255">
        <f t="shared" si="142"/>
        <v>1.2607442068572179</v>
      </c>
      <c r="W233" s="255">
        <f t="array" ref="W233">IFERROR(AVERAGE(IF(ISERROR(X233:AG233),"",X233:AG233)),"")</f>
        <v>1.5625857236567477</v>
      </c>
      <c r="X233" s="255">
        <f t="shared" si="143"/>
        <v>1.5625857236567477</v>
      </c>
      <c r="Y233" s="255" t="e">
        <f t="shared" si="144"/>
        <v>#N/A</v>
      </c>
      <c r="Z233" s="255" t="e">
        <f t="shared" si="145"/>
        <v>#N/A</v>
      </c>
      <c r="AA233" s="255" t="e">
        <f t="shared" si="146"/>
        <v>#N/A</v>
      </c>
      <c r="AB233" s="255" t="e">
        <f t="shared" si="147"/>
        <v>#N/A</v>
      </c>
      <c r="AC233" s="255" t="e">
        <f t="shared" si="148"/>
        <v>#N/A</v>
      </c>
      <c r="AD233" s="255" t="e">
        <f t="shared" si="149"/>
        <v>#N/A</v>
      </c>
      <c r="AE233" s="255" t="e">
        <f t="shared" si="150"/>
        <v>#N/A</v>
      </c>
      <c r="AF233" s="255" t="e">
        <f t="shared" si="151"/>
        <v>#N/A</v>
      </c>
      <c r="AG233" s="255" t="e">
        <f t="shared" si="152"/>
        <v>#N/A</v>
      </c>
      <c r="AI233" s="251">
        <f t="shared" si="125"/>
        <v>44407</v>
      </c>
      <c r="AJ233" s="718">
        <f>IF(OR($B233="No",AJ$6=""),"",IF(NOT(ISNUMBER(_xll.ciqfunctions.udf.CIQ(AJ$6,"IQ_TEV",$AI233,$I$2,$I$3))),"",_xll.ciqfunctions.udf.CIQ(AJ$6,"IQ_TEV",$AI233,$I$2,$I$3)))</f>
        <v>446083.90188999998</v>
      </c>
      <c r="AK233" s="718">
        <f>IF(OR($B233="No",AK$6=""),"",IF(NOT(ISNUMBER(_xll.ciqfunctions.udf.CIQ(AK$6,"IQ_TEV",$AI233,$I$2,$I$3))),"",_xll.ciqfunctions.udf.CIQ(AK$6,"IQ_TEV",$AI233,$I$2,$I$3)))</f>
        <v>189559.92978000001</v>
      </c>
      <c r="AL233" s="718" t="str">
        <f>IF(OR($B233="No",AL$6=""),"",IF(NOT(ISNUMBER(_xll.ciqfunctions.udf.CIQ(AL$6,"IQ_TEV",$AI233,$I$2,$I$3))),"",_xll.ciqfunctions.udf.CIQ(AL$6,"IQ_TEV",$AI233,$I$2,$I$3)))</f>
        <v/>
      </c>
      <c r="AM233" s="718" t="str">
        <f>IF(OR($B233="No",AM$6=""),"",IF(NOT(ISNUMBER(_xll.ciqfunctions.udf.CIQ(AM$6,"IQ_TEV",$AI233,$I$2,$I$3))),"",_xll.ciqfunctions.udf.CIQ(AM$6,"IQ_TEV",$AI233,$I$2,$I$3)))</f>
        <v/>
      </c>
      <c r="AN233" s="718" t="str">
        <f>IF(OR($B233="No",AN$6=""),"",IF(NOT(ISNUMBER(_xll.ciqfunctions.udf.CIQ(AN$6,"IQ_TEV",$AI233,$I$2,$I$3))),"",_xll.ciqfunctions.udf.CIQ(AN$6,"IQ_TEV",$AI233,$I$2,$I$3)))</f>
        <v/>
      </c>
      <c r="AO233" s="718" t="str">
        <f>IF(OR($B233="No",AO$6=""),"",IF(NOT(ISNUMBER(_xll.ciqfunctions.udf.CIQ(AO$6,"IQ_TEV",$AI233,$I$2,$I$3))),"",_xll.ciqfunctions.udf.CIQ(AO$6,"IQ_TEV",$AI233,$I$2,$I$3)))</f>
        <v/>
      </c>
      <c r="AP233" s="718" t="str">
        <f>IF(OR($B233="No",AP$6=""),"",IF(NOT(ISNUMBER(_xll.ciqfunctions.udf.CIQ(AP$6,"IQ_TEV",$AI233,$I$2,$I$3))),"",_xll.ciqfunctions.udf.CIQ(AP$6,"IQ_TEV",$AI233,$I$2,$I$3)))</f>
        <v/>
      </c>
      <c r="AQ233" s="718" t="str">
        <f>IF(OR($B233="No",AQ$6=""),"",IF(NOT(ISNUMBER(_xll.ciqfunctions.udf.CIQ(AQ$6,"IQ_TEV",$AI233,$I$2,$I$3))),"",_xll.ciqfunctions.udf.CIQ(AQ$6,"IQ_TEV",$AI233,$I$2,$I$3)))</f>
        <v/>
      </c>
      <c r="AR233" s="718" t="str">
        <f>IF(OR($B233="No",AR$6=""),"",IF(NOT(ISNUMBER(_xll.ciqfunctions.udf.CIQ(AR$6,"IQ_TEV",$AI233,$I$2,$I$3))),"",_xll.ciqfunctions.udf.CIQ(AR$6,"IQ_TEV",$AI233,$I$2,$I$3)))</f>
        <v/>
      </c>
      <c r="AS233" s="718" t="str">
        <f>IF(OR($B233="No",AS$6=""),"",IF(NOT(ISNUMBER(_xll.ciqfunctions.udf.CIQ(AS$6,"IQ_TEV",$AI233,$I$2,$I$3))),"",_xll.ciqfunctions.udf.CIQ(AS$6,"IQ_TEV",$AI233,$I$2,$I$3)))</f>
        <v/>
      </c>
      <c r="AT233" s="718" t="str">
        <f>IF(OR($B233="No",AT$6=""),"",IF(NOT(ISNUMBER(_xll.ciqfunctions.udf.CIQ(AT$6,"IQ_TEV",$AI233,$I$2,$I$3))),"",_xll.ciqfunctions.udf.CIQ(AT$6,"IQ_TEV",$AI233,$I$2,$I$3)))</f>
        <v/>
      </c>
      <c r="AV233" s="251">
        <f t="shared" si="129"/>
        <v>44407</v>
      </c>
      <c r="AW233" s="719">
        <f t="shared" si="130"/>
        <v>0.7087586190539803</v>
      </c>
      <c r="AX233" s="719">
        <f t="shared" si="131"/>
        <v>1.5972504350718078</v>
      </c>
      <c r="AY233" s="719" t="e">
        <f t="shared" si="132"/>
        <v>#N/A</v>
      </c>
      <c r="AZ233" s="719" t="e">
        <f t="shared" si="133"/>
        <v>#N/A</v>
      </c>
      <c r="BA233" s="719" t="e">
        <f t="shared" si="134"/>
        <v>#N/A</v>
      </c>
      <c r="BB233" s="719" t="e">
        <f t="shared" si="135"/>
        <v>#N/A</v>
      </c>
      <c r="BC233" s="719" t="e">
        <f t="shared" si="136"/>
        <v>#N/A</v>
      </c>
      <c r="BD233" s="719" t="e">
        <f t="shared" si="137"/>
        <v>#N/A</v>
      </c>
      <c r="BE233" s="719" t="e">
        <f t="shared" si="138"/>
        <v>#N/A</v>
      </c>
      <c r="BF233" s="719" t="e">
        <f t="shared" si="139"/>
        <v>#N/A</v>
      </c>
      <c r="BG233" s="719" t="e">
        <f t="shared" si="140"/>
        <v>#N/A</v>
      </c>
    </row>
    <row r="234" spans="1:59" ht="15" customHeight="1" x14ac:dyDescent="0.2">
      <c r="A234" s="251">
        <f t="shared" si="123"/>
        <v>44414</v>
      </c>
      <c r="B234" s="253" t="str">
        <f t="shared" si="141"/>
        <v>Yes</v>
      </c>
      <c r="C234" s="1033">
        <f>IF(C$6="","",IF(NOT(ISNUMBER(_xll.ciqfunctions.udf.CIQ(C$6,$F$2, $A234, $I$2, $I$3))),IF(C233=C$6,"",C233),_xll.ciqfunctions.udf.CIQ(C$6,$F$2, $A234, $I$2, $I$3)))</f>
        <v>145.22999999999999</v>
      </c>
      <c r="D234" s="1033">
        <f>IF(D$6="","",IF(NOT(ISNUMBER(_xll.ciqfunctions.udf.CIQ(D$6,$F$2, $A234, $I$2, $I$3))),IF(D233=D$6,"",D233),_xll.ciqfunctions.udf.CIQ(D$6,$F$2, $A234, $I$2, $I$3)))</f>
        <v>35208.506710000001</v>
      </c>
      <c r="E234" s="1033">
        <f>IF(E$6="","",IF(NOT(ISNUMBER(_xll.ciqfunctions.udf.CIQ(E$6,$F$2, $A234, $I$2, $I$3))),IF(E233=E$6,"",E233),_xll.ciqfunctions.udf.CIQ(E$6,$F$2, $A234, $I$2, $I$3)))</f>
        <v>11542.11571</v>
      </c>
      <c r="F234" s="1033">
        <f>IF(F$6="","",IF(NOT(ISNUMBER(_xll.ciqfunctions.udf.CIQ(F$6,$F$2, $A234, $I$2, $I$3))),IF(F233=F$6,"",F233),_xll.ciqfunctions.udf.CIQ(F$6,$F$2, $A234, $I$2, $I$3)))</f>
        <v>9885.1081599999998</v>
      </c>
      <c r="G234" s="1033">
        <f>IF(G$6="","",IF(NOT(ISNUMBER(_xll.ciqfunctions.udf.CIQ(G$6,$F$2, $A234, $I$2, $I$3))),IF(G233=G$6,"",G233),_xll.ciqfunctions.udf.CIQ(G$6,$F$2, $A234, $I$2, $I$3)))</f>
        <v>439.63</v>
      </c>
      <c r="H234" s="1033" t="str">
        <f>IF(H$6="","",IF(NOT(ISNUMBER(_xll.ciqfunctions.udf.CIQ(H$6,$F$2, $A234, $I$2, $I$3))),IF(H233=H$6,"",H233),_xll.ciqfunctions.udf.CIQ(H$6,$F$2, $A234, $I$2, $I$3)))</f>
        <v/>
      </c>
      <c r="I234" s="1033" t="str">
        <f>IF(I$6="","",IF(NOT(ISNUMBER(_xll.ciqfunctions.udf.CIQ(I$6,$F$2, $A234, $I$2, $I$3))),IF(I233=I$6,"",I233),_xll.ciqfunctions.udf.CIQ(I$6,$F$2, $A234, $I$2, $I$3)))</f>
        <v/>
      </c>
      <c r="J234" s="1033" t="str">
        <f>IF(J$6="","",IF(NOT(ISNUMBER(_xll.ciqfunctions.udf.CIQ(J$6,$F$2, $A234, $I$2, $I$3))),IF(J233=J$6,"",J233),_xll.ciqfunctions.udf.CIQ(J$6,$F$2, $A234, $I$2, $I$3)))</f>
        <v/>
      </c>
      <c r="K234" s="1033" t="str">
        <f>IF(K$6="","",IF(NOT(ISNUMBER(_xll.ciqfunctions.udf.CIQ(K$6,$F$2, $A234, $I$2, $I$3))),IF(K233=K$6,"",K233),_xll.ciqfunctions.udf.CIQ(K$6,$F$2, $A234, $I$2, $I$3)))</f>
        <v/>
      </c>
      <c r="L234" s="254" t="str">
        <f>IF(L$6="","",IF(NOT(ISNUMBER(_xll.ciqfunctions.udf.CIQ(L$6,$F$2, $A234, $I$2, $I$3))),IF(L233=L$6,"",L233),_xll.ciqfunctions.udf.CIQ(L$6,$F$2, $A234, $I$2, $I$3)))</f>
        <v/>
      </c>
      <c r="M234" s="254" t="str">
        <f>IF(M$6="","",IF(NOT(ISNUMBER(_xll.ciqfunctions.udf.CIQ(M$6,$F$2, $A234, $I$2, $I$3))),IF(M233=M$6,"",M233),_xll.ciqfunctions.udf.CIQ(M$6,$F$2, $A234, $I$2, $I$3)))</f>
        <v/>
      </c>
      <c r="N234" s="254" t="str">
        <f>IF(N$6="","",IF(NOT(ISNUMBER(_xll.ciqfunctions.udf.CIQ(N$6,$F$2, $A234, $I$2, $I$3))),IF(N233=N$6,"",N233),_xll.ciqfunctions.udf.CIQ(N$6,$F$2, $A234, $I$2, $I$3)))</f>
        <v/>
      </c>
      <c r="O234" s="254" t="str">
        <f>IF(O$6="","",IF(NOT(ISNUMBER(_xll.ciqfunctions.udf.CIQ(O$6,$F$2, $A234, $I$2, $I$3))),IF(O233=O$6,"",O233),_xll.ciqfunctions.udf.CIQ(O$6,$F$2, $A234, $I$2, $I$3)))</f>
        <v/>
      </c>
      <c r="P234" s="254" t="str">
        <f>IF(P$6="","",IF(NOT(ISNUMBER(_xll.ciqfunctions.udf.CIQ(P$6,$F$2, $A234, $I$2, $I$3))),IF(P233=P$6,"",P233),_xll.ciqfunctions.udf.CIQ(P$6,$F$2, $A234, $I$2, $I$3)))</f>
        <v/>
      </c>
      <c r="Q234" s="254"/>
      <c r="R234" s="251">
        <f t="shared" si="124"/>
        <v>44414</v>
      </c>
      <c r="S234" s="255">
        <f t="shared" si="126"/>
        <v>1.0148446170921197</v>
      </c>
      <c r="T234" s="255">
        <f t="shared" si="127"/>
        <v>0.70392150419166066</v>
      </c>
      <c r="U234" s="255">
        <f t="shared" si="128"/>
        <v>0.6129687556285035</v>
      </c>
      <c r="V234" s="255">
        <f t="shared" si="142"/>
        <v>1.2518689219781285</v>
      </c>
      <c r="W234" s="255">
        <f t="array" ref="W234">IFERROR(AVERAGE(IF(ISERROR(X234:AG234),"",X234:AG234)),"")</f>
        <v>1.6216828671954202</v>
      </c>
      <c r="X234" s="255">
        <f t="shared" si="143"/>
        <v>1.6216828671954202</v>
      </c>
      <c r="Y234" s="255" t="e">
        <f t="shared" si="144"/>
        <v>#N/A</v>
      </c>
      <c r="Z234" s="255" t="e">
        <f t="shared" si="145"/>
        <v>#N/A</v>
      </c>
      <c r="AA234" s="255" t="e">
        <f t="shared" si="146"/>
        <v>#N/A</v>
      </c>
      <c r="AB234" s="255" t="e">
        <f t="shared" si="147"/>
        <v>#N/A</v>
      </c>
      <c r="AC234" s="255" t="e">
        <f t="shared" si="148"/>
        <v>#N/A</v>
      </c>
      <c r="AD234" s="255" t="e">
        <f t="shared" si="149"/>
        <v>#N/A</v>
      </c>
      <c r="AE234" s="255" t="e">
        <f t="shared" si="150"/>
        <v>#N/A</v>
      </c>
      <c r="AF234" s="255" t="e">
        <f t="shared" si="151"/>
        <v>#N/A</v>
      </c>
      <c r="AG234" s="255" t="e">
        <f t="shared" si="152"/>
        <v>#N/A</v>
      </c>
      <c r="AI234" s="251">
        <f t="shared" si="125"/>
        <v>44414</v>
      </c>
      <c r="AJ234" s="718">
        <f>IF(OR($B234="No",AJ$6=""),"",IF(NOT(ISNUMBER(_xll.ciqfunctions.udf.CIQ(AJ$6,"IQ_TEV",$AI234,$I$2,$I$3))),"",_xll.ciqfunctions.udf.CIQ(AJ$6,"IQ_TEV",$AI234,$I$2,$I$3)))</f>
        <v>453593.65298000001</v>
      </c>
      <c r="AK234" s="718">
        <f>IF(OR($B234="No",AK$6=""),"",IF(NOT(ISNUMBER(_xll.ciqfunctions.udf.CIQ(AK$6,"IQ_TEV",$AI234,$I$2,$I$3))),"",_xll.ciqfunctions.udf.CIQ(AK$6,"IQ_TEV",$AI234,$I$2,$I$3)))</f>
        <v>193940.83447999999</v>
      </c>
      <c r="AL234" s="718" t="str">
        <f>IF(OR($B234="No",AL$6=""),"",IF(NOT(ISNUMBER(_xll.ciqfunctions.udf.CIQ(AL$6,"IQ_TEV",$AI234,$I$2,$I$3))),"",_xll.ciqfunctions.udf.CIQ(AL$6,"IQ_TEV",$AI234,$I$2,$I$3)))</f>
        <v/>
      </c>
      <c r="AM234" s="718" t="str">
        <f>IF(OR($B234="No",AM$6=""),"",IF(NOT(ISNUMBER(_xll.ciqfunctions.udf.CIQ(AM$6,"IQ_TEV",$AI234,$I$2,$I$3))),"",_xll.ciqfunctions.udf.CIQ(AM$6,"IQ_TEV",$AI234,$I$2,$I$3)))</f>
        <v/>
      </c>
      <c r="AN234" s="718" t="str">
        <f>IF(OR($B234="No",AN$6=""),"",IF(NOT(ISNUMBER(_xll.ciqfunctions.udf.CIQ(AN$6,"IQ_TEV",$AI234,$I$2,$I$3))),"",_xll.ciqfunctions.udf.CIQ(AN$6,"IQ_TEV",$AI234,$I$2,$I$3)))</f>
        <v/>
      </c>
      <c r="AO234" s="718" t="str">
        <f>IF(OR($B234="No",AO$6=""),"",IF(NOT(ISNUMBER(_xll.ciqfunctions.udf.CIQ(AO$6,"IQ_TEV",$AI234,$I$2,$I$3))),"",_xll.ciqfunctions.udf.CIQ(AO$6,"IQ_TEV",$AI234,$I$2,$I$3)))</f>
        <v/>
      </c>
      <c r="AP234" s="718" t="str">
        <f>IF(OR($B234="No",AP$6=""),"",IF(NOT(ISNUMBER(_xll.ciqfunctions.udf.CIQ(AP$6,"IQ_TEV",$AI234,$I$2,$I$3))),"",_xll.ciqfunctions.udf.CIQ(AP$6,"IQ_TEV",$AI234,$I$2,$I$3)))</f>
        <v/>
      </c>
      <c r="AQ234" s="718" t="str">
        <f>IF(OR($B234="No",AQ$6=""),"",IF(NOT(ISNUMBER(_xll.ciqfunctions.udf.CIQ(AQ$6,"IQ_TEV",$AI234,$I$2,$I$3))),"",_xll.ciqfunctions.udf.CIQ(AQ$6,"IQ_TEV",$AI234,$I$2,$I$3)))</f>
        <v/>
      </c>
      <c r="AR234" s="718" t="str">
        <f>IF(OR($B234="No",AR$6=""),"",IF(NOT(ISNUMBER(_xll.ciqfunctions.udf.CIQ(AR$6,"IQ_TEV",$AI234,$I$2,$I$3))),"",_xll.ciqfunctions.udf.CIQ(AR$6,"IQ_TEV",$AI234,$I$2,$I$3)))</f>
        <v/>
      </c>
      <c r="AS234" s="718" t="str">
        <f>IF(OR($B234="No",AS$6=""),"",IF(NOT(ISNUMBER(_xll.ciqfunctions.udf.CIQ(AS$6,"IQ_TEV",$AI234,$I$2,$I$3))),"",_xll.ciqfunctions.udf.CIQ(AS$6,"IQ_TEV",$AI234,$I$2,$I$3)))</f>
        <v/>
      </c>
      <c r="AT234" s="718" t="str">
        <f>IF(OR($B234="No",AT$6=""),"",IF(NOT(ISNUMBER(_xll.ciqfunctions.udf.CIQ(AT$6,"IQ_TEV",$AI234,$I$2,$I$3))),"",_xll.ciqfunctions.udf.CIQ(AT$6,"IQ_TEV",$AI234,$I$2,$I$3)))</f>
        <v/>
      </c>
      <c r="AV234" s="251">
        <f t="shared" si="129"/>
        <v>44414</v>
      </c>
      <c r="AW234" s="719">
        <f t="shared" si="130"/>
        <v>0.73752529690901736</v>
      </c>
      <c r="AX234" s="719">
        <f t="shared" si="131"/>
        <v>1.6572752865859885</v>
      </c>
      <c r="AY234" s="719" t="e">
        <f t="shared" si="132"/>
        <v>#N/A</v>
      </c>
      <c r="AZ234" s="719" t="e">
        <f t="shared" si="133"/>
        <v>#N/A</v>
      </c>
      <c r="BA234" s="719" t="e">
        <f t="shared" si="134"/>
        <v>#N/A</v>
      </c>
      <c r="BB234" s="719" t="e">
        <f t="shared" si="135"/>
        <v>#N/A</v>
      </c>
      <c r="BC234" s="719" t="e">
        <f t="shared" si="136"/>
        <v>#N/A</v>
      </c>
      <c r="BD234" s="719" t="e">
        <f t="shared" si="137"/>
        <v>#N/A</v>
      </c>
      <c r="BE234" s="719" t="e">
        <f t="shared" si="138"/>
        <v>#N/A</v>
      </c>
      <c r="BF234" s="719" t="e">
        <f t="shared" si="139"/>
        <v>#N/A</v>
      </c>
      <c r="BG234" s="719" t="e">
        <f t="shared" si="140"/>
        <v>#N/A</v>
      </c>
    </row>
    <row r="235" spans="1:59" ht="15" customHeight="1" x14ac:dyDescent="0.2">
      <c r="A235" s="251">
        <f t="shared" si="123"/>
        <v>44421</v>
      </c>
      <c r="B235" s="253" t="str">
        <f t="shared" si="141"/>
        <v>Yes</v>
      </c>
      <c r="C235" s="1033">
        <f>IF(C$6="","",IF(NOT(ISNUMBER(_xll.ciqfunctions.udf.CIQ(C$6,$F$2, $A235, $I$2, $I$3))),IF(C234=C$6,"",C234),_xll.ciqfunctions.udf.CIQ(C$6,$F$2, $A235, $I$2, $I$3)))</f>
        <v>149.53</v>
      </c>
      <c r="D235" s="1033">
        <f>IF(D$6="","",IF(NOT(ISNUMBER(_xll.ciqfunctions.udf.CIQ(D$6,$F$2, $A235, $I$2, $I$3))),IF(D234=D$6,"",D234),_xll.ciqfunctions.udf.CIQ(D$6,$F$2, $A235, $I$2, $I$3)))</f>
        <v>35515.383280000002</v>
      </c>
      <c r="E235" s="1033">
        <f>IF(E$6="","",IF(NOT(ISNUMBER(_xll.ciqfunctions.udf.CIQ(E$6,$F$2, $A235, $I$2, $I$3))),IF(E234=E$6,"",E234),_xll.ciqfunctions.udf.CIQ(E$6,$F$2, $A235, $I$2, $I$3)))</f>
        <v>11710.63732</v>
      </c>
      <c r="F235" s="1033">
        <f>IF(F$6="","",IF(NOT(ISNUMBER(_xll.ciqfunctions.udf.CIQ(F$6,$F$2, $A235, $I$2, $I$3))),IF(F234=F$6,"",F234),_xll.ciqfunctions.udf.CIQ(F$6,$F$2, $A235, $I$2, $I$3)))</f>
        <v>9965.3546600000009</v>
      </c>
      <c r="G235" s="1033">
        <f>IF(G$6="","",IF(NOT(ISNUMBER(_xll.ciqfunctions.udf.CIQ(G$6,$F$2, $A235, $I$2, $I$3))),IF(G234=G$6,"",G234),_xll.ciqfunctions.udf.CIQ(G$6,$F$2, $A235, $I$2, $I$3)))</f>
        <v>447.82</v>
      </c>
      <c r="H235" s="1033" t="str">
        <f>IF(H$6="","",IF(NOT(ISNUMBER(_xll.ciqfunctions.udf.CIQ(H$6,$F$2, $A235, $I$2, $I$3))),IF(H234=H$6,"",H234),_xll.ciqfunctions.udf.CIQ(H$6,$F$2, $A235, $I$2, $I$3)))</f>
        <v/>
      </c>
      <c r="I235" s="1033" t="str">
        <f>IF(I$6="","",IF(NOT(ISNUMBER(_xll.ciqfunctions.udf.CIQ(I$6,$F$2, $A235, $I$2, $I$3))),IF(I234=I$6,"",I234),_xll.ciqfunctions.udf.CIQ(I$6,$F$2, $A235, $I$2, $I$3)))</f>
        <v/>
      </c>
      <c r="J235" s="1033" t="str">
        <f>IF(J$6="","",IF(NOT(ISNUMBER(_xll.ciqfunctions.udf.CIQ(J$6,$F$2, $A235, $I$2, $I$3))),IF(J234=J$6,"",J234),_xll.ciqfunctions.udf.CIQ(J$6,$F$2, $A235, $I$2, $I$3)))</f>
        <v/>
      </c>
      <c r="K235" s="1033" t="str">
        <f>IF(K$6="","",IF(NOT(ISNUMBER(_xll.ciqfunctions.udf.CIQ(K$6,$F$2, $A235, $I$2, $I$3))),IF(K234=K$6,"",K234),_xll.ciqfunctions.udf.CIQ(K$6,$F$2, $A235, $I$2, $I$3)))</f>
        <v/>
      </c>
      <c r="L235" s="254" t="str">
        <f>IF(L$6="","",IF(NOT(ISNUMBER(_xll.ciqfunctions.udf.CIQ(L$6,$F$2, $A235, $I$2, $I$3))),IF(L234=L$6,"",L234),_xll.ciqfunctions.udf.CIQ(L$6,$F$2, $A235, $I$2, $I$3)))</f>
        <v/>
      </c>
      <c r="M235" s="254" t="str">
        <f>IF(M$6="","",IF(NOT(ISNUMBER(_xll.ciqfunctions.udf.CIQ(M$6,$F$2, $A235, $I$2, $I$3))),IF(M234=M$6,"",M234),_xll.ciqfunctions.udf.CIQ(M$6,$F$2, $A235, $I$2, $I$3)))</f>
        <v/>
      </c>
      <c r="N235" s="254" t="str">
        <f>IF(N$6="","",IF(NOT(ISNUMBER(_xll.ciqfunctions.udf.CIQ(N$6,$F$2, $A235, $I$2, $I$3))),IF(N234=N$6,"",N234),_xll.ciqfunctions.udf.CIQ(N$6,$F$2, $A235, $I$2, $I$3)))</f>
        <v/>
      </c>
      <c r="O235" s="254" t="str">
        <f>IF(O$6="","",IF(NOT(ISNUMBER(_xll.ciqfunctions.udf.CIQ(O$6,$F$2, $A235, $I$2, $I$3))),IF(O234=O$6,"",O234),_xll.ciqfunctions.udf.CIQ(O$6,$F$2, $A235, $I$2, $I$3)))</f>
        <v/>
      </c>
      <c r="P235" s="254" t="str">
        <f>IF(P$6="","",IF(NOT(ISNUMBER(_xll.ciqfunctions.udf.CIQ(P$6,$F$2, $A235, $I$2, $I$3))),IF(P234=P$6,"",P234),_xll.ciqfunctions.udf.CIQ(P$6,$F$2, $A235, $I$2, $I$3)))</f>
        <v/>
      </c>
      <c r="Q235" s="254"/>
      <c r="R235" s="251">
        <f t="shared" si="124"/>
        <v>44421</v>
      </c>
      <c r="S235" s="255">
        <f t="shared" si="126"/>
        <v>1.0745005549389566</v>
      </c>
      <c r="T235" s="255">
        <f t="shared" si="127"/>
        <v>0.71877284654089646</v>
      </c>
      <c r="U235" s="255">
        <f t="shared" si="128"/>
        <v>0.63651903864487536</v>
      </c>
      <c r="V235" s="255">
        <f t="shared" si="142"/>
        <v>1.2701494098112045</v>
      </c>
      <c r="W235" s="255">
        <f t="array" ref="W235">IFERROR(AVERAGE(IF(ISERROR(X235:AG235),"",X235:AG235)),"")</f>
        <v>1.6705229888484703</v>
      </c>
      <c r="X235" s="255">
        <f t="shared" si="143"/>
        <v>1.6705229888484703</v>
      </c>
      <c r="Y235" s="255" t="e">
        <f t="shared" si="144"/>
        <v>#N/A</v>
      </c>
      <c r="Z235" s="255" t="e">
        <f t="shared" si="145"/>
        <v>#N/A</v>
      </c>
      <c r="AA235" s="255" t="e">
        <f t="shared" si="146"/>
        <v>#N/A</v>
      </c>
      <c r="AB235" s="255" t="e">
        <f t="shared" si="147"/>
        <v>#N/A</v>
      </c>
      <c r="AC235" s="255" t="e">
        <f t="shared" si="148"/>
        <v>#N/A</v>
      </c>
      <c r="AD235" s="255" t="e">
        <f t="shared" si="149"/>
        <v>#N/A</v>
      </c>
      <c r="AE235" s="255" t="e">
        <f t="shared" si="150"/>
        <v>#N/A</v>
      </c>
      <c r="AF235" s="255" t="e">
        <f t="shared" si="151"/>
        <v>#N/A</v>
      </c>
      <c r="AG235" s="255" t="e">
        <f t="shared" si="152"/>
        <v>#N/A</v>
      </c>
      <c r="AI235" s="251">
        <f t="shared" si="125"/>
        <v>44421</v>
      </c>
      <c r="AJ235" s="718">
        <f>IF(OR($B235="No",AJ$6=""),"",IF(NOT(ISNUMBER(_xll.ciqfunctions.udf.CIQ(AJ$6,"IQ_TEV",$AI235,$I$2,$I$3))),"",_xll.ciqfunctions.udf.CIQ(AJ$6,"IQ_TEV",$AI235,$I$2,$I$3)))</f>
        <v>465642.88046000001</v>
      </c>
      <c r="AK235" s="718">
        <f>IF(OR($B235="No",AK$6=""),"",IF(NOT(ISNUMBER(_xll.ciqfunctions.udf.CIQ(AK$6,"IQ_TEV",$AI235,$I$2,$I$3))),"",_xll.ciqfunctions.udf.CIQ(AK$6,"IQ_TEV",$AI235,$I$2,$I$3)))</f>
        <v>197561.38033000001</v>
      </c>
      <c r="AL235" s="718" t="str">
        <f>IF(OR($B235="No",AL$6=""),"",IF(NOT(ISNUMBER(_xll.ciqfunctions.udf.CIQ(AL$6,"IQ_TEV",$AI235,$I$2,$I$3))),"",_xll.ciqfunctions.udf.CIQ(AL$6,"IQ_TEV",$AI235,$I$2,$I$3)))</f>
        <v/>
      </c>
      <c r="AM235" s="718" t="str">
        <f>IF(OR($B235="No",AM$6=""),"",IF(NOT(ISNUMBER(_xll.ciqfunctions.udf.CIQ(AM$6,"IQ_TEV",$AI235,$I$2,$I$3))),"",_xll.ciqfunctions.udf.CIQ(AM$6,"IQ_TEV",$AI235,$I$2,$I$3)))</f>
        <v/>
      </c>
      <c r="AN235" s="718" t="str">
        <f>IF(OR($B235="No",AN$6=""),"",IF(NOT(ISNUMBER(_xll.ciqfunctions.udf.CIQ(AN$6,"IQ_TEV",$AI235,$I$2,$I$3))),"",_xll.ciqfunctions.udf.CIQ(AN$6,"IQ_TEV",$AI235,$I$2,$I$3)))</f>
        <v/>
      </c>
      <c r="AO235" s="718" t="str">
        <f>IF(OR($B235="No",AO$6=""),"",IF(NOT(ISNUMBER(_xll.ciqfunctions.udf.CIQ(AO$6,"IQ_TEV",$AI235,$I$2,$I$3))),"",_xll.ciqfunctions.udf.CIQ(AO$6,"IQ_TEV",$AI235,$I$2,$I$3)))</f>
        <v/>
      </c>
      <c r="AP235" s="718" t="str">
        <f>IF(OR($B235="No",AP$6=""),"",IF(NOT(ISNUMBER(_xll.ciqfunctions.udf.CIQ(AP$6,"IQ_TEV",$AI235,$I$2,$I$3))),"",_xll.ciqfunctions.udf.CIQ(AP$6,"IQ_TEV",$AI235,$I$2,$I$3)))</f>
        <v/>
      </c>
      <c r="AQ235" s="718" t="str">
        <f>IF(OR($B235="No",AQ$6=""),"",IF(NOT(ISNUMBER(_xll.ciqfunctions.udf.CIQ(AQ$6,"IQ_TEV",$AI235,$I$2,$I$3))),"",_xll.ciqfunctions.udf.CIQ(AQ$6,"IQ_TEV",$AI235,$I$2,$I$3)))</f>
        <v/>
      </c>
      <c r="AR235" s="718" t="str">
        <f>IF(OR($B235="No",AR$6=""),"",IF(NOT(ISNUMBER(_xll.ciqfunctions.udf.CIQ(AR$6,"IQ_TEV",$AI235,$I$2,$I$3))),"",_xll.ciqfunctions.udf.CIQ(AR$6,"IQ_TEV",$AI235,$I$2,$I$3)))</f>
        <v/>
      </c>
      <c r="AS235" s="718" t="str">
        <f>IF(OR($B235="No",AS$6=""),"",IF(NOT(ISNUMBER(_xll.ciqfunctions.udf.CIQ(AS$6,"IQ_TEV",$AI235,$I$2,$I$3))),"",_xll.ciqfunctions.udf.CIQ(AS$6,"IQ_TEV",$AI235,$I$2,$I$3)))</f>
        <v/>
      </c>
      <c r="AT235" s="718" t="str">
        <f>IF(OR($B235="No",AT$6=""),"",IF(NOT(ISNUMBER(_xll.ciqfunctions.udf.CIQ(AT$6,"IQ_TEV",$AI235,$I$2,$I$3))),"",_xll.ciqfunctions.udf.CIQ(AT$6,"IQ_TEV",$AI235,$I$2,$I$3)))</f>
        <v/>
      </c>
      <c r="AV235" s="251">
        <f t="shared" si="129"/>
        <v>44421</v>
      </c>
      <c r="AW235" s="719">
        <f t="shared" si="130"/>
        <v>0.78368078743929259</v>
      </c>
      <c r="AX235" s="719">
        <f t="shared" si="131"/>
        <v>1.7068821011433877</v>
      </c>
      <c r="AY235" s="719" t="e">
        <f t="shared" si="132"/>
        <v>#N/A</v>
      </c>
      <c r="AZ235" s="719" t="e">
        <f t="shared" si="133"/>
        <v>#N/A</v>
      </c>
      <c r="BA235" s="719" t="e">
        <f t="shared" si="134"/>
        <v>#N/A</v>
      </c>
      <c r="BB235" s="719" t="e">
        <f t="shared" si="135"/>
        <v>#N/A</v>
      </c>
      <c r="BC235" s="719" t="e">
        <f t="shared" si="136"/>
        <v>#N/A</v>
      </c>
      <c r="BD235" s="719" t="e">
        <f t="shared" si="137"/>
        <v>#N/A</v>
      </c>
      <c r="BE235" s="719" t="e">
        <f t="shared" si="138"/>
        <v>#N/A</v>
      </c>
      <c r="BF235" s="719" t="e">
        <f t="shared" si="139"/>
        <v>#N/A</v>
      </c>
      <c r="BG235" s="719" t="e">
        <f t="shared" si="140"/>
        <v>#N/A</v>
      </c>
    </row>
    <row r="236" spans="1:59" ht="15" customHeight="1" x14ac:dyDescent="0.2">
      <c r="A236" s="251">
        <f t="shared" si="123"/>
        <v>44428</v>
      </c>
      <c r="B236" s="253" t="str">
        <f t="shared" si="141"/>
        <v>Yes</v>
      </c>
      <c r="C236" s="1033">
        <f>IF(C$6="","",IF(NOT(ISNUMBER(_xll.ciqfunctions.udf.CIQ(C$6,$F$2, $A236, $I$2, $I$3))),IF(C235=C$6,"",C235),_xll.ciqfunctions.udf.CIQ(C$6,$F$2, $A236, $I$2, $I$3)))</f>
        <v>151.44999999999999</v>
      </c>
      <c r="D236" s="1033">
        <f>IF(D$6="","",IF(NOT(ISNUMBER(_xll.ciqfunctions.udf.CIQ(D$6,$F$2, $A236, $I$2, $I$3))),IF(D235=D$6,"",D235),_xll.ciqfunctions.udf.CIQ(D$6,$F$2, $A236, $I$2, $I$3)))</f>
        <v>35120.084640000001</v>
      </c>
      <c r="E236" s="1033">
        <f>IF(E$6="","",IF(NOT(ISNUMBER(_xll.ciqfunctions.udf.CIQ(E$6,$F$2, $A236, $I$2, $I$3))),IF(E235=E$6,"",E235),_xll.ciqfunctions.udf.CIQ(E$6,$F$2, $A236, $I$2, $I$3)))</f>
        <v>11576.0597</v>
      </c>
      <c r="F236" s="1033">
        <f>IF(F$6="","",IF(NOT(ISNUMBER(_xll.ciqfunctions.udf.CIQ(F$6,$F$2, $A236, $I$2, $I$3))),IF(F235=F$6,"",F235),_xll.ciqfunctions.udf.CIQ(F$6,$F$2, $A236, $I$2, $I$3)))</f>
        <v>9810.7607700000008</v>
      </c>
      <c r="G236" s="1033">
        <f>IF(G$6="","",IF(NOT(ISNUMBER(_xll.ciqfunctions.udf.CIQ(G$6,$F$2, $A236, $I$2, $I$3))),IF(G235=G$6,"",G235),_xll.ciqfunctions.udf.CIQ(G$6,$F$2, $A236, $I$2, $I$3)))</f>
        <v>458.99</v>
      </c>
      <c r="H236" s="1033" t="str">
        <f>IF(H$6="","",IF(NOT(ISNUMBER(_xll.ciqfunctions.udf.CIQ(H$6,$F$2, $A236, $I$2, $I$3))),IF(H235=H$6,"",H235),_xll.ciqfunctions.udf.CIQ(H$6,$F$2, $A236, $I$2, $I$3)))</f>
        <v/>
      </c>
      <c r="I236" s="1033" t="str">
        <f>IF(I$6="","",IF(NOT(ISNUMBER(_xll.ciqfunctions.udf.CIQ(I$6,$F$2, $A236, $I$2, $I$3))),IF(I235=I$6,"",I235),_xll.ciqfunctions.udf.CIQ(I$6,$F$2, $A236, $I$2, $I$3)))</f>
        <v/>
      </c>
      <c r="J236" s="1033" t="str">
        <f>IF(J$6="","",IF(NOT(ISNUMBER(_xll.ciqfunctions.udf.CIQ(J$6,$F$2, $A236, $I$2, $I$3))),IF(J235=J$6,"",J235),_xll.ciqfunctions.udf.CIQ(J$6,$F$2, $A236, $I$2, $I$3)))</f>
        <v/>
      </c>
      <c r="K236" s="1033" t="str">
        <f>IF(K$6="","",IF(NOT(ISNUMBER(_xll.ciqfunctions.udf.CIQ(K$6,$F$2, $A236, $I$2, $I$3))),IF(K235=K$6,"",K235),_xll.ciqfunctions.udf.CIQ(K$6,$F$2, $A236, $I$2, $I$3)))</f>
        <v/>
      </c>
      <c r="L236" s="254" t="str">
        <f>IF(L$6="","",IF(NOT(ISNUMBER(_xll.ciqfunctions.udf.CIQ(L$6,$F$2, $A236, $I$2, $I$3))),IF(L235=L$6,"",L235),_xll.ciqfunctions.udf.CIQ(L$6,$F$2, $A236, $I$2, $I$3)))</f>
        <v/>
      </c>
      <c r="M236" s="254" t="str">
        <f>IF(M$6="","",IF(NOT(ISNUMBER(_xll.ciqfunctions.udf.CIQ(M$6,$F$2, $A236, $I$2, $I$3))),IF(M235=M$6,"",M235),_xll.ciqfunctions.udf.CIQ(M$6,$F$2, $A236, $I$2, $I$3)))</f>
        <v/>
      </c>
      <c r="N236" s="254" t="str">
        <f>IF(N$6="","",IF(NOT(ISNUMBER(_xll.ciqfunctions.udf.CIQ(N$6,$F$2, $A236, $I$2, $I$3))),IF(N235=N$6,"",N235),_xll.ciqfunctions.udf.CIQ(N$6,$F$2, $A236, $I$2, $I$3)))</f>
        <v/>
      </c>
      <c r="O236" s="254" t="str">
        <f>IF(O$6="","",IF(NOT(ISNUMBER(_xll.ciqfunctions.udf.CIQ(O$6,$F$2, $A236, $I$2, $I$3))),IF(O235=O$6,"",O235),_xll.ciqfunctions.udf.CIQ(O$6,$F$2, $A236, $I$2, $I$3)))</f>
        <v/>
      </c>
      <c r="P236" s="254" t="str">
        <f>IF(P$6="","",IF(NOT(ISNUMBER(_xll.ciqfunctions.udf.CIQ(P$6,$F$2, $A236, $I$2, $I$3))),IF(P235=P$6,"",P235),_xll.ciqfunctions.udf.CIQ(P$6,$F$2, $A236, $I$2, $I$3)))</f>
        <v/>
      </c>
      <c r="Q236" s="254"/>
      <c r="R236" s="251">
        <f t="shared" si="124"/>
        <v>44428</v>
      </c>
      <c r="S236" s="255">
        <f t="shared" si="126"/>
        <v>1.101137624861265</v>
      </c>
      <c r="T236" s="255">
        <f t="shared" si="127"/>
        <v>0.69964230349283207</v>
      </c>
      <c r="U236" s="255">
        <f t="shared" si="128"/>
        <v>0.61771230496443064</v>
      </c>
      <c r="V236" s="255">
        <f t="shared" si="142"/>
        <v>1.2349322760394781</v>
      </c>
      <c r="W236" s="255">
        <f t="array" ref="W236">IFERROR(AVERAGE(IF(ISERROR(X236:AG236),"",X236:AG236)),"")</f>
        <v>1.7371339972568429</v>
      </c>
      <c r="X236" s="255">
        <f t="shared" si="143"/>
        <v>1.7371339972568429</v>
      </c>
      <c r="Y236" s="255" t="e">
        <f t="shared" si="144"/>
        <v>#N/A</v>
      </c>
      <c r="Z236" s="255" t="e">
        <f t="shared" si="145"/>
        <v>#N/A</v>
      </c>
      <c r="AA236" s="255" t="e">
        <f t="shared" si="146"/>
        <v>#N/A</v>
      </c>
      <c r="AB236" s="255" t="e">
        <f t="shared" si="147"/>
        <v>#N/A</v>
      </c>
      <c r="AC236" s="255" t="e">
        <f t="shared" si="148"/>
        <v>#N/A</v>
      </c>
      <c r="AD236" s="255" t="e">
        <f t="shared" si="149"/>
        <v>#N/A</v>
      </c>
      <c r="AE236" s="255" t="e">
        <f t="shared" si="150"/>
        <v>#N/A</v>
      </c>
      <c r="AF236" s="255" t="e">
        <f t="shared" si="151"/>
        <v>#N/A</v>
      </c>
      <c r="AG236" s="255" t="e">
        <f t="shared" si="152"/>
        <v>#N/A</v>
      </c>
      <c r="AI236" s="251">
        <f t="shared" si="125"/>
        <v>44428</v>
      </c>
      <c r="AJ236" s="718">
        <f>IF(OR($B236="No",AJ$6=""),"",IF(NOT(ISNUMBER(_xll.ciqfunctions.udf.CIQ(AJ$6,"IQ_TEV",$AI236,$I$2,$I$3))),"",_xll.ciqfunctions.udf.CIQ(AJ$6,"IQ_TEV",$AI236,$I$2,$I$3)))</f>
        <v>471023.00063999998</v>
      </c>
      <c r="AK236" s="718">
        <f>IF(OR($B236="No",AK$6=""),"",IF(NOT(ISNUMBER(_xll.ciqfunctions.udf.CIQ(AK$6,"IQ_TEV",$AI236,$I$2,$I$3))),"",_xll.ciqfunctions.udf.CIQ(AK$6,"IQ_TEV",$AI236,$I$2,$I$3)))</f>
        <v>202499.29208000001</v>
      </c>
      <c r="AL236" s="718" t="str">
        <f>IF(OR($B236="No",AL$6=""),"",IF(NOT(ISNUMBER(_xll.ciqfunctions.udf.CIQ(AL$6,"IQ_TEV",$AI236,$I$2,$I$3))),"",_xll.ciqfunctions.udf.CIQ(AL$6,"IQ_TEV",$AI236,$I$2,$I$3)))</f>
        <v/>
      </c>
      <c r="AM236" s="718" t="str">
        <f>IF(OR($B236="No",AM$6=""),"",IF(NOT(ISNUMBER(_xll.ciqfunctions.udf.CIQ(AM$6,"IQ_TEV",$AI236,$I$2,$I$3))),"",_xll.ciqfunctions.udf.CIQ(AM$6,"IQ_TEV",$AI236,$I$2,$I$3)))</f>
        <v/>
      </c>
      <c r="AN236" s="718" t="str">
        <f>IF(OR($B236="No",AN$6=""),"",IF(NOT(ISNUMBER(_xll.ciqfunctions.udf.CIQ(AN$6,"IQ_TEV",$AI236,$I$2,$I$3))),"",_xll.ciqfunctions.udf.CIQ(AN$6,"IQ_TEV",$AI236,$I$2,$I$3)))</f>
        <v/>
      </c>
      <c r="AO236" s="718" t="str">
        <f>IF(OR($B236="No",AO$6=""),"",IF(NOT(ISNUMBER(_xll.ciqfunctions.udf.CIQ(AO$6,"IQ_TEV",$AI236,$I$2,$I$3))),"",_xll.ciqfunctions.udf.CIQ(AO$6,"IQ_TEV",$AI236,$I$2,$I$3)))</f>
        <v/>
      </c>
      <c r="AP236" s="718" t="str">
        <f>IF(OR($B236="No",AP$6=""),"",IF(NOT(ISNUMBER(_xll.ciqfunctions.udf.CIQ(AP$6,"IQ_TEV",$AI236,$I$2,$I$3))),"",_xll.ciqfunctions.udf.CIQ(AP$6,"IQ_TEV",$AI236,$I$2,$I$3)))</f>
        <v/>
      </c>
      <c r="AQ236" s="718" t="str">
        <f>IF(OR($B236="No",AQ$6=""),"",IF(NOT(ISNUMBER(_xll.ciqfunctions.udf.CIQ(AQ$6,"IQ_TEV",$AI236,$I$2,$I$3))),"",_xll.ciqfunctions.udf.CIQ(AQ$6,"IQ_TEV",$AI236,$I$2,$I$3)))</f>
        <v/>
      </c>
      <c r="AR236" s="718" t="str">
        <f>IF(OR($B236="No",AR$6=""),"",IF(NOT(ISNUMBER(_xll.ciqfunctions.udf.CIQ(AR$6,"IQ_TEV",$AI236,$I$2,$I$3))),"",_xll.ciqfunctions.udf.CIQ(AR$6,"IQ_TEV",$AI236,$I$2,$I$3)))</f>
        <v/>
      </c>
      <c r="AS236" s="718" t="str">
        <f>IF(OR($B236="No",AS$6=""),"",IF(NOT(ISNUMBER(_xll.ciqfunctions.udf.CIQ(AS$6,"IQ_TEV",$AI236,$I$2,$I$3))),"",_xll.ciqfunctions.udf.CIQ(AS$6,"IQ_TEV",$AI236,$I$2,$I$3)))</f>
        <v/>
      </c>
      <c r="AT236" s="718" t="str">
        <f>IF(OR($B236="No",AT$6=""),"",IF(NOT(ISNUMBER(_xll.ciqfunctions.udf.CIQ(AT$6,"IQ_TEV",$AI236,$I$2,$I$3))),"",_xll.ciqfunctions.udf.CIQ(AT$6,"IQ_TEV",$AI236,$I$2,$I$3)))</f>
        <v/>
      </c>
      <c r="AV236" s="251">
        <f t="shared" si="129"/>
        <v>44428</v>
      </c>
      <c r="AW236" s="719">
        <f t="shared" si="130"/>
        <v>0.80428975066385688</v>
      </c>
      <c r="AX236" s="719">
        <f t="shared" si="131"/>
        <v>1.774538770229086</v>
      </c>
      <c r="AY236" s="719" t="e">
        <f t="shared" si="132"/>
        <v>#N/A</v>
      </c>
      <c r="AZ236" s="719" t="e">
        <f t="shared" si="133"/>
        <v>#N/A</v>
      </c>
      <c r="BA236" s="719" t="e">
        <f t="shared" si="134"/>
        <v>#N/A</v>
      </c>
      <c r="BB236" s="719" t="e">
        <f t="shared" si="135"/>
        <v>#N/A</v>
      </c>
      <c r="BC236" s="719" t="e">
        <f t="shared" si="136"/>
        <v>#N/A</v>
      </c>
      <c r="BD236" s="719" t="e">
        <f t="shared" si="137"/>
        <v>#N/A</v>
      </c>
      <c r="BE236" s="719" t="e">
        <f t="shared" si="138"/>
        <v>#N/A</v>
      </c>
      <c r="BF236" s="719" t="e">
        <f t="shared" si="139"/>
        <v>#N/A</v>
      </c>
      <c r="BG236" s="719" t="e">
        <f t="shared" si="140"/>
        <v>#N/A</v>
      </c>
    </row>
    <row r="237" spans="1:59" ht="15" customHeight="1" x14ac:dyDescent="0.2">
      <c r="A237" s="251">
        <f t="shared" si="123"/>
        <v>44435</v>
      </c>
      <c r="B237" s="253" t="str">
        <f t="shared" si="141"/>
        <v>Yes</v>
      </c>
      <c r="C237" s="1033">
        <f>IF(C$6="","",IF(NOT(ISNUMBER(_xll.ciqfunctions.udf.CIQ(C$6,$F$2, $A237, $I$2, $I$3))),IF(C236=C$6,"",C236),_xll.ciqfunctions.udf.CIQ(C$6,$F$2, $A237, $I$2, $I$3)))</f>
        <v>146.52000000000001</v>
      </c>
      <c r="D237" s="1033">
        <f>IF(D$6="","",IF(NOT(ISNUMBER(_xll.ciqfunctions.udf.CIQ(D$6,$F$2, $A237, $I$2, $I$3))),IF(D236=D$6,"",D236),_xll.ciqfunctions.udf.CIQ(D$6,$F$2, $A237, $I$2, $I$3)))</f>
        <v>35455.798790000001</v>
      </c>
      <c r="E237" s="1033">
        <f>IF(E$6="","",IF(NOT(ISNUMBER(_xll.ciqfunctions.udf.CIQ(E$6,$F$2, $A237, $I$2, $I$3))),IF(E236=E$6,"",E236),_xll.ciqfunctions.udf.CIQ(E$6,$F$2, $A237, $I$2, $I$3)))</f>
        <v>11683.96146</v>
      </c>
      <c r="F237" s="1033">
        <f>IF(F$6="","",IF(NOT(ISNUMBER(_xll.ciqfunctions.udf.CIQ(F$6,$F$2, $A237, $I$2, $I$3))),IF(F236=F$6,"",F236),_xll.ciqfunctions.udf.CIQ(F$6,$F$2, $A237, $I$2, $I$3)))</f>
        <v>10012.246349999999</v>
      </c>
      <c r="G237" s="1033">
        <f>IF(G$6="","",IF(NOT(ISNUMBER(_xll.ciqfunctions.udf.CIQ(G$6,$F$2, $A237, $I$2, $I$3))),IF(G236=G$6,"",G236),_xll.ciqfunctions.udf.CIQ(G$6,$F$2, $A237, $I$2, $I$3)))</f>
        <v>450.34</v>
      </c>
      <c r="H237" s="1033" t="str">
        <f>IF(H$6="","",IF(NOT(ISNUMBER(_xll.ciqfunctions.udf.CIQ(H$6,$F$2, $A237, $I$2, $I$3))),IF(H236=H$6,"",H236),_xll.ciqfunctions.udf.CIQ(H$6,$F$2, $A237, $I$2, $I$3)))</f>
        <v/>
      </c>
      <c r="I237" s="1033" t="str">
        <f>IF(I$6="","",IF(NOT(ISNUMBER(_xll.ciqfunctions.udf.CIQ(I$6,$F$2, $A237, $I$2, $I$3))),IF(I236=I$6,"",I236),_xll.ciqfunctions.udf.CIQ(I$6,$F$2, $A237, $I$2, $I$3)))</f>
        <v/>
      </c>
      <c r="J237" s="1033" t="str">
        <f>IF(J$6="","",IF(NOT(ISNUMBER(_xll.ciqfunctions.udf.CIQ(J$6,$F$2, $A237, $I$2, $I$3))),IF(J236=J$6,"",J236),_xll.ciqfunctions.udf.CIQ(J$6,$F$2, $A237, $I$2, $I$3)))</f>
        <v/>
      </c>
      <c r="K237" s="1033" t="str">
        <f>IF(K$6="","",IF(NOT(ISNUMBER(_xll.ciqfunctions.udf.CIQ(K$6,$F$2, $A237, $I$2, $I$3))),IF(K236=K$6,"",K236),_xll.ciqfunctions.udf.CIQ(K$6,$F$2, $A237, $I$2, $I$3)))</f>
        <v/>
      </c>
      <c r="L237" s="254" t="str">
        <f>IF(L$6="","",IF(NOT(ISNUMBER(_xll.ciqfunctions.udf.CIQ(L$6,$F$2, $A237, $I$2, $I$3))),IF(L236=L$6,"",L236),_xll.ciqfunctions.udf.CIQ(L$6,$F$2, $A237, $I$2, $I$3)))</f>
        <v/>
      </c>
      <c r="M237" s="254" t="str">
        <f>IF(M$6="","",IF(NOT(ISNUMBER(_xll.ciqfunctions.udf.CIQ(M$6,$F$2, $A237, $I$2, $I$3))),IF(M236=M$6,"",M236),_xll.ciqfunctions.udf.CIQ(M$6,$F$2, $A237, $I$2, $I$3)))</f>
        <v/>
      </c>
      <c r="N237" s="254" t="str">
        <f>IF(N$6="","",IF(NOT(ISNUMBER(_xll.ciqfunctions.udf.CIQ(N$6,$F$2, $A237, $I$2, $I$3))),IF(N236=N$6,"",N236),_xll.ciqfunctions.udf.CIQ(N$6,$F$2, $A237, $I$2, $I$3)))</f>
        <v/>
      </c>
      <c r="O237" s="254" t="str">
        <f>IF(O$6="","",IF(NOT(ISNUMBER(_xll.ciqfunctions.udf.CIQ(O$6,$F$2, $A237, $I$2, $I$3))),IF(O236=O$6,"",O236),_xll.ciqfunctions.udf.CIQ(O$6,$F$2, $A237, $I$2, $I$3)))</f>
        <v/>
      </c>
      <c r="P237" s="254" t="str">
        <f>IF(P$6="","",IF(NOT(ISNUMBER(_xll.ciqfunctions.udf.CIQ(P$6,$F$2, $A237, $I$2, $I$3))),IF(P236=P$6,"",P236),_xll.ciqfunctions.udf.CIQ(P$6,$F$2, $A237, $I$2, $I$3)))</f>
        <v/>
      </c>
      <c r="Q237" s="254"/>
      <c r="R237" s="251">
        <f t="shared" si="124"/>
        <v>44435</v>
      </c>
      <c r="S237" s="255">
        <f t="shared" si="126"/>
        <v>1.0327413984461713</v>
      </c>
      <c r="T237" s="255">
        <f t="shared" si="127"/>
        <v>0.71588924529465392</v>
      </c>
      <c r="U237" s="255">
        <f t="shared" si="128"/>
        <v>0.63279118408245383</v>
      </c>
      <c r="V237" s="255">
        <f t="shared" si="142"/>
        <v>1.2808315326267459</v>
      </c>
      <c r="W237" s="255">
        <f t="array" ref="W237">IFERROR(AVERAGE(IF(ISERROR(X237:AG237),"",X237:AG237)),"")</f>
        <v>1.6855507185878702</v>
      </c>
      <c r="X237" s="255">
        <f t="shared" si="143"/>
        <v>1.6855507185878702</v>
      </c>
      <c r="Y237" s="255" t="e">
        <f t="shared" si="144"/>
        <v>#N/A</v>
      </c>
      <c r="Z237" s="255" t="e">
        <f t="shared" si="145"/>
        <v>#N/A</v>
      </c>
      <c r="AA237" s="255" t="e">
        <f t="shared" si="146"/>
        <v>#N/A</v>
      </c>
      <c r="AB237" s="255" t="e">
        <f t="shared" si="147"/>
        <v>#N/A</v>
      </c>
      <c r="AC237" s="255" t="e">
        <f t="shared" si="148"/>
        <v>#N/A</v>
      </c>
      <c r="AD237" s="255" t="e">
        <f t="shared" si="149"/>
        <v>#N/A</v>
      </c>
      <c r="AE237" s="255" t="e">
        <f t="shared" si="150"/>
        <v>#N/A</v>
      </c>
      <c r="AF237" s="255" t="e">
        <f t="shared" si="151"/>
        <v>#N/A</v>
      </c>
      <c r="AG237" s="255" t="e">
        <f t="shared" si="152"/>
        <v>#N/A</v>
      </c>
      <c r="AI237" s="251">
        <f>R237</f>
        <v>44435</v>
      </c>
      <c r="AJ237" s="718">
        <f>IF(OR($B237="No",AJ$6=""),"",IF(NOT(ISNUMBER(_xll.ciqfunctions.udf.CIQ(AJ$6,"IQ_TEV",$AI237,$I$2,$I$3))),"",_xll.ciqfunctions.udf.CIQ(AJ$6,"IQ_TEV",$AI237,$I$2,$I$3)))</f>
        <v>457208.42122000002</v>
      </c>
      <c r="AK237" s="718">
        <f>IF(OR($B237="No",AK$6=""),"",IF(NOT(ISNUMBER(_xll.ciqfunctions.udf.CIQ(AK$6,"IQ_TEV",$AI237,$I$2,$I$3))),"",_xll.ciqfunctions.udf.CIQ(AK$6,"IQ_TEV",$AI237,$I$2,$I$3)))</f>
        <v>198675.39444</v>
      </c>
      <c r="AL237" s="718" t="str">
        <f>IF(OR($B237="No",AL$6=""),"",IF(NOT(ISNUMBER(_xll.ciqfunctions.udf.CIQ(AL$6,"IQ_TEV",$AI237,$I$2,$I$3))),"",_xll.ciqfunctions.udf.CIQ(AL$6,"IQ_TEV",$AI237,$I$2,$I$3)))</f>
        <v/>
      </c>
      <c r="AM237" s="718" t="str">
        <f>IF(OR($B237="No",AM$6=""),"",IF(NOT(ISNUMBER(_xll.ciqfunctions.udf.CIQ(AM$6,"IQ_TEV",$AI237,$I$2,$I$3))),"",_xll.ciqfunctions.udf.CIQ(AM$6,"IQ_TEV",$AI237,$I$2,$I$3)))</f>
        <v/>
      </c>
      <c r="AN237" s="718" t="str">
        <f>IF(OR($B237="No",AN$6=""),"",IF(NOT(ISNUMBER(_xll.ciqfunctions.udf.CIQ(AN$6,"IQ_TEV",$AI237,$I$2,$I$3))),"",_xll.ciqfunctions.udf.CIQ(AN$6,"IQ_TEV",$AI237,$I$2,$I$3)))</f>
        <v/>
      </c>
      <c r="AO237" s="718" t="str">
        <f>IF(OR($B237="No",AO$6=""),"",IF(NOT(ISNUMBER(_xll.ciqfunctions.udf.CIQ(AO$6,"IQ_TEV",$AI237,$I$2,$I$3))),"",_xll.ciqfunctions.udf.CIQ(AO$6,"IQ_TEV",$AI237,$I$2,$I$3)))</f>
        <v/>
      </c>
      <c r="AP237" s="718" t="str">
        <f>IF(OR($B237="No",AP$6=""),"",IF(NOT(ISNUMBER(_xll.ciqfunctions.udf.CIQ(AP$6,"IQ_TEV",$AI237,$I$2,$I$3))),"",_xll.ciqfunctions.udf.CIQ(AP$6,"IQ_TEV",$AI237,$I$2,$I$3)))</f>
        <v/>
      </c>
      <c r="AQ237" s="718" t="str">
        <f>IF(OR($B237="No",AQ$6=""),"",IF(NOT(ISNUMBER(_xll.ciqfunctions.udf.CIQ(AQ$6,"IQ_TEV",$AI237,$I$2,$I$3))),"",_xll.ciqfunctions.udf.CIQ(AQ$6,"IQ_TEV",$AI237,$I$2,$I$3)))</f>
        <v/>
      </c>
      <c r="AR237" s="718" t="str">
        <f>IF(OR($B237="No",AR$6=""),"",IF(NOT(ISNUMBER(_xll.ciqfunctions.udf.CIQ(AR$6,"IQ_TEV",$AI237,$I$2,$I$3))),"",_xll.ciqfunctions.udf.CIQ(AR$6,"IQ_TEV",$AI237,$I$2,$I$3)))</f>
        <v/>
      </c>
      <c r="AS237" s="718" t="str">
        <f>IF(OR($B237="No",AS$6=""),"",IF(NOT(ISNUMBER(_xll.ciqfunctions.udf.CIQ(AS$6,"IQ_TEV",$AI237,$I$2,$I$3))),"",_xll.ciqfunctions.udf.CIQ(AS$6,"IQ_TEV",$AI237,$I$2,$I$3)))</f>
        <v/>
      </c>
      <c r="AT237" s="718" t="str">
        <f>IF(OR($B237="No",AT$6=""),"",IF(NOT(ISNUMBER(_xll.ciqfunctions.udf.CIQ(AT$6,"IQ_TEV",$AI237,$I$2,$I$3))),"",_xll.ciqfunctions.udf.CIQ(AT$6,"IQ_TEV",$AI237,$I$2,$I$3)))</f>
        <v/>
      </c>
      <c r="AV237" s="251">
        <f t="shared" si="129"/>
        <v>44435</v>
      </c>
      <c r="AW237" s="719">
        <f t="shared" si="130"/>
        <v>0.75137194405277752</v>
      </c>
      <c r="AX237" s="719">
        <f t="shared" si="131"/>
        <v>1.7221457364234363</v>
      </c>
      <c r="AY237" s="719" t="e">
        <f t="shared" si="132"/>
        <v>#N/A</v>
      </c>
      <c r="AZ237" s="719" t="e">
        <f t="shared" si="133"/>
        <v>#N/A</v>
      </c>
      <c r="BA237" s="719" t="e">
        <f t="shared" si="134"/>
        <v>#N/A</v>
      </c>
      <c r="BB237" s="719" t="e">
        <f t="shared" si="135"/>
        <v>#N/A</v>
      </c>
      <c r="BC237" s="719" t="e">
        <f t="shared" si="136"/>
        <v>#N/A</v>
      </c>
      <c r="BD237" s="719" t="e">
        <f t="shared" si="137"/>
        <v>#N/A</v>
      </c>
      <c r="BE237" s="719" t="e">
        <f t="shared" si="138"/>
        <v>#N/A</v>
      </c>
      <c r="BF237" s="719" t="e">
        <f t="shared" si="139"/>
        <v>#N/A</v>
      </c>
      <c r="BG237" s="719" t="e">
        <f t="shared" si="140"/>
        <v>#N/A</v>
      </c>
    </row>
    <row r="238" spans="1:59" ht="15" customHeight="1" x14ac:dyDescent="0.2">
      <c r="A238" s="251">
        <f t="shared" si="123"/>
        <v>44442</v>
      </c>
      <c r="B238" s="253" t="str">
        <f t="shared" si="141"/>
        <v>Yes</v>
      </c>
      <c r="C238" s="1033">
        <f>IF(C$6="","",IF(NOT(ISNUMBER(_xll.ciqfunctions.udf.CIQ(C$6,$F$2, $A238, $I$2, $I$3))),IF(C237=C$6,"",C237),_xll.ciqfunctions.udf.CIQ(C$6,$F$2, $A238, $I$2, $I$3)))</f>
        <v>149.25</v>
      </c>
      <c r="D238" s="1033">
        <f>IF(D$6="","",IF(NOT(ISNUMBER(_xll.ciqfunctions.udf.CIQ(D$6,$F$2, $A238, $I$2, $I$3))),IF(D237=D$6,"",D237),_xll.ciqfunctions.udf.CIQ(D$6,$F$2, $A238, $I$2, $I$3)))</f>
        <v>35369.08855</v>
      </c>
      <c r="E238" s="1033">
        <f>IF(E$6="","",IF(NOT(ISNUMBER(_xll.ciqfunctions.udf.CIQ(E$6,$F$2, $A238, $I$2, $I$3))),IF(E237=E$6,"",E237),_xll.ciqfunctions.udf.CIQ(E$6,$F$2, $A238, $I$2, $I$3)))</f>
        <v>11656.37383</v>
      </c>
      <c r="F238" s="1033">
        <f>IF(F$6="","",IF(NOT(ISNUMBER(_xll.ciqfunctions.udf.CIQ(F$6,$F$2, $A238, $I$2, $I$3))),IF(F237=F$6,"",F237),_xll.ciqfunctions.udf.CIQ(F$6,$F$2, $A238, $I$2, $I$3)))</f>
        <v>9954.7671300000002</v>
      </c>
      <c r="G238" s="1033">
        <f>IF(G$6="","",IF(NOT(ISNUMBER(_xll.ciqfunctions.udf.CIQ(G$6,$F$2, $A238, $I$2, $I$3))),IF(G237=G$6,"",G237),_xll.ciqfunctions.udf.CIQ(G$6,$F$2, $A238, $I$2, $I$3)))</f>
        <v>462.55</v>
      </c>
      <c r="H238" s="1033" t="str">
        <f>IF(H$6="","",IF(NOT(ISNUMBER(_xll.ciqfunctions.udf.CIQ(H$6,$F$2, $A238, $I$2, $I$3))),IF(H237=H$6,"",H237),_xll.ciqfunctions.udf.CIQ(H$6,$F$2, $A238, $I$2, $I$3)))</f>
        <v/>
      </c>
      <c r="I238" s="1033" t="str">
        <f>IF(I$6="","",IF(NOT(ISNUMBER(_xll.ciqfunctions.udf.CIQ(I$6,$F$2, $A238, $I$2, $I$3))),IF(I237=I$6,"",I237),_xll.ciqfunctions.udf.CIQ(I$6,$F$2, $A238, $I$2, $I$3)))</f>
        <v/>
      </c>
      <c r="J238" s="1033" t="str">
        <f>IF(J$6="","",IF(NOT(ISNUMBER(_xll.ciqfunctions.udf.CIQ(J$6,$F$2, $A238, $I$2, $I$3))),IF(J237=J$6,"",J237),_xll.ciqfunctions.udf.CIQ(J$6,$F$2, $A238, $I$2, $I$3)))</f>
        <v/>
      </c>
      <c r="K238" s="1033" t="str">
        <f>IF(K$6="","",IF(NOT(ISNUMBER(_xll.ciqfunctions.udf.CIQ(K$6,$F$2, $A238, $I$2, $I$3))),IF(K237=K$6,"",K237),_xll.ciqfunctions.udf.CIQ(K$6,$F$2, $A238, $I$2, $I$3)))</f>
        <v/>
      </c>
      <c r="L238" s="254" t="str">
        <f>IF(L$6="","",IF(NOT(ISNUMBER(_xll.ciqfunctions.udf.CIQ(L$6,$F$2, $A238, $I$2, $I$3))),IF(L237=L$6,"",L237),_xll.ciqfunctions.udf.CIQ(L$6,$F$2, $A238, $I$2, $I$3)))</f>
        <v/>
      </c>
      <c r="M238" s="254" t="str">
        <f>IF(M$6="","",IF(NOT(ISNUMBER(_xll.ciqfunctions.udf.CIQ(M$6,$F$2, $A238, $I$2, $I$3))),IF(M237=M$6,"",M237),_xll.ciqfunctions.udf.CIQ(M$6,$F$2, $A238, $I$2, $I$3)))</f>
        <v/>
      </c>
      <c r="N238" s="254" t="str">
        <f>IF(N$6="","",IF(NOT(ISNUMBER(_xll.ciqfunctions.udf.CIQ(N$6,$F$2, $A238, $I$2, $I$3))),IF(N237=N$6,"",N237),_xll.ciqfunctions.udf.CIQ(N$6,$F$2, $A238, $I$2, $I$3)))</f>
        <v/>
      </c>
      <c r="O238" s="254" t="str">
        <f>IF(O$6="","",IF(NOT(ISNUMBER(_xll.ciqfunctions.udf.CIQ(O$6,$F$2, $A238, $I$2, $I$3))),IF(O237=O$6,"",O237),_xll.ciqfunctions.udf.CIQ(O$6,$F$2, $A238, $I$2, $I$3)))</f>
        <v/>
      </c>
      <c r="P238" s="254" t="str">
        <f>IF(P$6="","",IF(NOT(ISNUMBER(_xll.ciqfunctions.udf.CIQ(P$6,$F$2, $A238, $I$2, $I$3))),IF(P237=P$6,"",P237),_xll.ciqfunctions.udf.CIQ(P$6,$F$2, $A238, $I$2, $I$3)))</f>
        <v/>
      </c>
      <c r="Q238" s="254"/>
      <c r="R238" s="251">
        <f t="shared" si="124"/>
        <v>44442</v>
      </c>
      <c r="S238" s="255">
        <f t="shared" si="126"/>
        <v>1.0706159822419536</v>
      </c>
      <c r="T238" s="255">
        <f t="shared" si="127"/>
        <v>0.71169288889173798</v>
      </c>
      <c r="U238" s="255">
        <f t="shared" si="128"/>
        <v>0.62893591297359763</v>
      </c>
      <c r="V238" s="255">
        <f t="shared" si="142"/>
        <v>1.2677375262605532</v>
      </c>
      <c r="W238" s="255">
        <f t="array" ref="W238">IFERROR(AVERAGE(IF(ISERROR(X238:AG238),"",X238:AG238)),"")</f>
        <v>1.7583636472061541</v>
      </c>
      <c r="X238" s="255">
        <f t="shared" si="143"/>
        <v>1.7583636472061541</v>
      </c>
      <c r="Y238" s="255" t="e">
        <f t="shared" si="144"/>
        <v>#N/A</v>
      </c>
      <c r="Z238" s="255" t="e">
        <f t="shared" si="145"/>
        <v>#N/A</v>
      </c>
      <c r="AA238" s="255" t="e">
        <f t="shared" si="146"/>
        <v>#N/A</v>
      </c>
      <c r="AB238" s="255" t="e">
        <f t="shared" si="147"/>
        <v>#N/A</v>
      </c>
      <c r="AC238" s="255" t="e">
        <f t="shared" si="148"/>
        <v>#N/A</v>
      </c>
      <c r="AD238" s="255" t="e">
        <f t="shared" si="149"/>
        <v>#N/A</v>
      </c>
      <c r="AE238" s="255" t="e">
        <f t="shared" si="150"/>
        <v>#N/A</v>
      </c>
      <c r="AF238" s="255" t="e">
        <f t="shared" si="151"/>
        <v>#N/A</v>
      </c>
      <c r="AG238" s="255" t="e">
        <f t="shared" si="152"/>
        <v>#N/A</v>
      </c>
      <c r="AI238" s="251">
        <f t="shared" si="125"/>
        <v>44442</v>
      </c>
      <c r="AJ238" s="718">
        <f>IF(OR($B238="No",AJ$6=""),"",IF(NOT(ISNUMBER(_xll.ciqfunctions.udf.CIQ(AJ$6,"IQ_TEV",$AI238,$I$2,$I$3))),"",_xll.ciqfunctions.udf.CIQ(AJ$6,"IQ_TEV",$AI238,$I$2,$I$3)))</f>
        <v>461445.29904000001</v>
      </c>
      <c r="AK238" s="718">
        <f>IF(OR($B238="No",AK$6=""),"",IF(NOT(ISNUMBER(_xll.ciqfunctions.udf.CIQ(AK$6,"IQ_TEV",$AI238,$I$2,$I$3))),"",_xll.ciqfunctions.udf.CIQ(AK$6,"IQ_TEV",$AI238,$I$2,$I$3)))</f>
        <v>204073.05804</v>
      </c>
      <c r="AL238" s="718" t="str">
        <f>IF(OR($B238="No",AL$6=""),"",IF(NOT(ISNUMBER(_xll.ciqfunctions.udf.CIQ(AL$6,"IQ_TEV",$AI238,$I$2,$I$3))),"",_xll.ciqfunctions.udf.CIQ(AL$6,"IQ_TEV",$AI238,$I$2,$I$3)))</f>
        <v/>
      </c>
      <c r="AM238" s="718" t="str">
        <f>IF(OR($B238="No",AM$6=""),"",IF(NOT(ISNUMBER(_xll.ciqfunctions.udf.CIQ(AM$6,"IQ_TEV",$AI238,$I$2,$I$3))),"",_xll.ciqfunctions.udf.CIQ(AM$6,"IQ_TEV",$AI238,$I$2,$I$3)))</f>
        <v/>
      </c>
      <c r="AN238" s="718" t="str">
        <f>IF(OR($B238="No",AN$6=""),"",IF(NOT(ISNUMBER(_xll.ciqfunctions.udf.CIQ(AN$6,"IQ_TEV",$AI238,$I$2,$I$3))),"",_xll.ciqfunctions.udf.CIQ(AN$6,"IQ_TEV",$AI238,$I$2,$I$3)))</f>
        <v/>
      </c>
      <c r="AO238" s="718" t="str">
        <f>IF(OR($B238="No",AO$6=""),"",IF(NOT(ISNUMBER(_xll.ciqfunctions.udf.CIQ(AO$6,"IQ_TEV",$AI238,$I$2,$I$3))),"",_xll.ciqfunctions.udf.CIQ(AO$6,"IQ_TEV",$AI238,$I$2,$I$3)))</f>
        <v/>
      </c>
      <c r="AP238" s="718" t="str">
        <f>IF(OR($B238="No",AP$6=""),"",IF(NOT(ISNUMBER(_xll.ciqfunctions.udf.CIQ(AP$6,"IQ_TEV",$AI238,$I$2,$I$3))),"",_xll.ciqfunctions.udf.CIQ(AP$6,"IQ_TEV",$AI238,$I$2,$I$3)))</f>
        <v/>
      </c>
      <c r="AQ238" s="718" t="str">
        <f>IF(OR($B238="No",AQ$6=""),"",IF(NOT(ISNUMBER(_xll.ciqfunctions.udf.CIQ(AQ$6,"IQ_TEV",$AI238,$I$2,$I$3))),"",_xll.ciqfunctions.udf.CIQ(AQ$6,"IQ_TEV",$AI238,$I$2,$I$3)))</f>
        <v/>
      </c>
      <c r="AR238" s="718" t="str">
        <f>IF(OR($B238="No",AR$6=""),"",IF(NOT(ISNUMBER(_xll.ciqfunctions.udf.CIQ(AR$6,"IQ_TEV",$AI238,$I$2,$I$3))),"",_xll.ciqfunctions.udf.CIQ(AR$6,"IQ_TEV",$AI238,$I$2,$I$3)))</f>
        <v/>
      </c>
      <c r="AS238" s="718" t="str">
        <f>IF(OR($B238="No",AS$6=""),"",IF(NOT(ISNUMBER(_xll.ciqfunctions.udf.CIQ(AS$6,"IQ_TEV",$AI238,$I$2,$I$3))),"",_xll.ciqfunctions.udf.CIQ(AS$6,"IQ_TEV",$AI238,$I$2,$I$3)))</f>
        <v/>
      </c>
      <c r="AT238" s="718" t="str">
        <f>IF(OR($B238="No",AT$6=""),"",IF(NOT(ISNUMBER(_xll.ciqfunctions.udf.CIQ(AT$6,"IQ_TEV",$AI238,$I$2,$I$3))),"",_xll.ciqfunctions.udf.CIQ(AT$6,"IQ_TEV",$AI238,$I$2,$I$3)))</f>
        <v/>
      </c>
      <c r="AV238" s="251">
        <f t="shared" si="129"/>
        <v>44442</v>
      </c>
      <c r="AW238" s="719">
        <f t="shared" si="130"/>
        <v>0.76760162968395496</v>
      </c>
      <c r="AX238" s="719">
        <f t="shared" si="131"/>
        <v>1.7961016834937986</v>
      </c>
      <c r="AY238" s="719" t="e">
        <f t="shared" si="132"/>
        <v>#N/A</v>
      </c>
      <c r="AZ238" s="719" t="e">
        <f t="shared" si="133"/>
        <v>#N/A</v>
      </c>
      <c r="BA238" s="719" t="e">
        <f t="shared" si="134"/>
        <v>#N/A</v>
      </c>
      <c r="BB238" s="719" t="e">
        <f t="shared" si="135"/>
        <v>#N/A</v>
      </c>
      <c r="BC238" s="719" t="e">
        <f t="shared" si="136"/>
        <v>#N/A</v>
      </c>
      <c r="BD238" s="719" t="e">
        <f t="shared" si="137"/>
        <v>#N/A</v>
      </c>
      <c r="BE238" s="719" t="e">
        <f t="shared" si="138"/>
        <v>#N/A</v>
      </c>
      <c r="BF238" s="719" t="e">
        <f t="shared" si="139"/>
        <v>#N/A</v>
      </c>
      <c r="BG238" s="719" t="e">
        <f t="shared" si="140"/>
        <v>#N/A</v>
      </c>
    </row>
    <row r="239" spans="1:59" ht="15" customHeight="1" x14ac:dyDescent="0.2">
      <c r="A239" s="251">
        <f t="shared" si="123"/>
        <v>44449</v>
      </c>
      <c r="B239" s="253" t="str">
        <f t="shared" si="141"/>
        <v>Yes</v>
      </c>
      <c r="C239" s="1033">
        <f>IF(C$6="","",IF(NOT(ISNUMBER(_xll.ciqfunctions.udf.CIQ(C$6,$F$2, $A239, $I$2, $I$3))),IF(C238=C$6,"",C238),_xll.ciqfunctions.udf.CIQ(C$6,$F$2, $A239, $I$2, $I$3)))</f>
        <v>145.88999999999999</v>
      </c>
      <c r="D239" s="1033">
        <f>IF(D$6="","",IF(NOT(ISNUMBER(_xll.ciqfunctions.udf.CIQ(D$6,$F$2, $A239, $I$2, $I$3))),IF(D238=D$6,"",D238),_xll.ciqfunctions.udf.CIQ(D$6,$F$2, $A239, $I$2, $I$3)))</f>
        <v>34607.723890000001</v>
      </c>
      <c r="E239" s="1033">
        <f>IF(E$6="","",IF(NOT(ISNUMBER(_xll.ciqfunctions.udf.CIQ(E$6,$F$2, $A239, $I$2, $I$3))),IF(E238=E$6,"",E238),_xll.ciqfunctions.udf.CIQ(E$6,$F$2, $A239, $I$2, $I$3)))</f>
        <v>11399.201870000001</v>
      </c>
      <c r="F239" s="1033">
        <f>IF(F$6="","",IF(NOT(ISNUMBER(_xll.ciqfunctions.udf.CIQ(F$6,$F$2, $A239, $I$2, $I$3))),IF(F238=F$6,"",F238),_xll.ciqfunctions.udf.CIQ(F$6,$F$2, $A239, $I$2, $I$3)))</f>
        <v>9657.9765200000002</v>
      </c>
      <c r="G239" s="1033">
        <f>IF(G$6="","",IF(NOT(ISNUMBER(_xll.ciqfunctions.udf.CIQ(G$6,$F$2, $A239, $I$2, $I$3))),IF(G238=G$6,"",G238),_xll.ciqfunctions.udf.CIQ(G$6,$F$2, $A239, $I$2, $I$3)))</f>
        <v>465.16</v>
      </c>
      <c r="H239" s="1033" t="str">
        <f>IF(H$6="","",IF(NOT(ISNUMBER(_xll.ciqfunctions.udf.CIQ(H$6,$F$2, $A239, $I$2, $I$3))),IF(H238=H$6,"",H238),_xll.ciqfunctions.udf.CIQ(H$6,$F$2, $A239, $I$2, $I$3)))</f>
        <v/>
      </c>
      <c r="I239" s="1033" t="str">
        <f>IF(I$6="","",IF(NOT(ISNUMBER(_xll.ciqfunctions.udf.CIQ(I$6,$F$2, $A239, $I$2, $I$3))),IF(I238=I$6,"",I238),_xll.ciqfunctions.udf.CIQ(I$6,$F$2, $A239, $I$2, $I$3)))</f>
        <v/>
      </c>
      <c r="J239" s="1033" t="str">
        <f>IF(J$6="","",IF(NOT(ISNUMBER(_xll.ciqfunctions.udf.CIQ(J$6,$F$2, $A239, $I$2, $I$3))),IF(J238=J$6,"",J238),_xll.ciqfunctions.udf.CIQ(J$6,$F$2, $A239, $I$2, $I$3)))</f>
        <v/>
      </c>
      <c r="K239" s="1033" t="str">
        <f>IF(K$6="","",IF(NOT(ISNUMBER(_xll.ciqfunctions.udf.CIQ(K$6,$F$2, $A239, $I$2, $I$3))),IF(K238=K$6,"",K238),_xll.ciqfunctions.udf.CIQ(K$6,$F$2, $A239, $I$2, $I$3)))</f>
        <v/>
      </c>
      <c r="L239" s="254" t="str">
        <f>IF(L$6="","",IF(NOT(ISNUMBER(_xll.ciqfunctions.udf.CIQ(L$6,$F$2, $A239, $I$2, $I$3))),IF(L238=L$6,"",L238),_xll.ciqfunctions.udf.CIQ(L$6,$F$2, $A239, $I$2, $I$3)))</f>
        <v/>
      </c>
      <c r="M239" s="254" t="str">
        <f>IF(M$6="","",IF(NOT(ISNUMBER(_xll.ciqfunctions.udf.CIQ(M$6,$F$2, $A239, $I$2, $I$3))),IF(M238=M$6,"",M238),_xll.ciqfunctions.udf.CIQ(M$6,$F$2, $A239, $I$2, $I$3)))</f>
        <v/>
      </c>
      <c r="N239" s="254" t="str">
        <f>IF(N$6="","",IF(NOT(ISNUMBER(_xll.ciqfunctions.udf.CIQ(N$6,$F$2, $A239, $I$2, $I$3))),IF(N238=N$6,"",N238),_xll.ciqfunctions.udf.CIQ(N$6,$F$2, $A239, $I$2, $I$3)))</f>
        <v/>
      </c>
      <c r="O239" s="254" t="str">
        <f>IF(O$6="","",IF(NOT(ISNUMBER(_xll.ciqfunctions.udf.CIQ(O$6,$F$2, $A239, $I$2, $I$3))),IF(O238=O$6,"",O238),_xll.ciqfunctions.udf.CIQ(O$6,$F$2, $A239, $I$2, $I$3)))</f>
        <v/>
      </c>
      <c r="P239" s="254" t="str">
        <f>IF(P$6="","",IF(NOT(ISNUMBER(_xll.ciqfunctions.udf.CIQ(P$6,$F$2, $A239, $I$2, $I$3))),IF(P238=P$6,"",P238),_xll.ciqfunctions.udf.CIQ(P$6,$F$2, $A239, $I$2, $I$3)))</f>
        <v/>
      </c>
      <c r="Q239" s="254"/>
      <c r="R239" s="251">
        <f t="shared" si="124"/>
        <v>44449</v>
      </c>
      <c r="S239" s="255">
        <f t="shared" si="126"/>
        <v>1.0240011098779132</v>
      </c>
      <c r="T239" s="255">
        <f t="shared" si="127"/>
        <v>0.67484652027431791</v>
      </c>
      <c r="U239" s="255">
        <f t="shared" si="128"/>
        <v>0.59299706547578968</v>
      </c>
      <c r="V239" s="255">
        <f t="shared" si="142"/>
        <v>1.2001273858173422</v>
      </c>
      <c r="W239" s="255">
        <f t="array" ref="W239">IFERROR(AVERAGE(IF(ISERROR(X239:AG239),"",X239:AG239)),"")</f>
        <v>1.7739280815791045</v>
      </c>
      <c r="X239" s="255">
        <f t="shared" si="143"/>
        <v>1.7739280815791045</v>
      </c>
      <c r="Y239" s="255" t="e">
        <f t="shared" si="144"/>
        <v>#N/A</v>
      </c>
      <c r="Z239" s="255" t="e">
        <f t="shared" si="145"/>
        <v>#N/A</v>
      </c>
      <c r="AA239" s="255" t="e">
        <f t="shared" si="146"/>
        <v>#N/A</v>
      </c>
      <c r="AB239" s="255" t="e">
        <f t="shared" si="147"/>
        <v>#N/A</v>
      </c>
      <c r="AC239" s="255" t="e">
        <f t="shared" si="148"/>
        <v>#N/A</v>
      </c>
      <c r="AD239" s="255" t="e">
        <f t="shared" si="149"/>
        <v>#N/A</v>
      </c>
      <c r="AE239" s="255" t="e">
        <f t="shared" si="150"/>
        <v>#N/A</v>
      </c>
      <c r="AF239" s="255" t="e">
        <f t="shared" si="151"/>
        <v>#N/A</v>
      </c>
      <c r="AG239" s="255" t="e">
        <f t="shared" si="152"/>
        <v>#N/A</v>
      </c>
      <c r="AI239" s="251">
        <f t="shared" si="125"/>
        <v>44449</v>
      </c>
      <c r="AJ239" s="718">
        <f>IF(OR($B239="No",AJ$6=""),"",IF(NOT(ISNUMBER(_xll.ciqfunctions.udf.CIQ(AJ$6,"IQ_TEV",$AI239,$I$2,$I$3))),"",_xll.ciqfunctions.udf.CIQ(AJ$6,"IQ_TEV",$AI239,$I$2,$I$3)))</f>
        <v>452075.94637999998</v>
      </c>
      <c r="AK239" s="718">
        <f>IF(OR($B239="No",AK$6=""),"",IF(NOT(ISNUMBER(_xll.ciqfunctions.udf.CIQ(AK$6,"IQ_TEV",$AI239,$I$2,$I$3))),"",_xll.ciqfunctions.udf.CIQ(AK$6,"IQ_TEV",$AI239,$I$2,$I$3)))</f>
        <v>205226.85837</v>
      </c>
      <c r="AL239" s="718" t="str">
        <f>IF(OR($B239="No",AL$6=""),"",IF(NOT(ISNUMBER(_xll.ciqfunctions.udf.CIQ(AL$6,"IQ_TEV",$AI239,$I$2,$I$3))),"",_xll.ciqfunctions.udf.CIQ(AL$6,"IQ_TEV",$AI239,$I$2,$I$3)))</f>
        <v/>
      </c>
      <c r="AM239" s="718" t="str">
        <f>IF(OR($B239="No",AM$6=""),"",IF(NOT(ISNUMBER(_xll.ciqfunctions.udf.CIQ(AM$6,"IQ_TEV",$AI239,$I$2,$I$3))),"",_xll.ciqfunctions.udf.CIQ(AM$6,"IQ_TEV",$AI239,$I$2,$I$3)))</f>
        <v/>
      </c>
      <c r="AN239" s="718" t="str">
        <f>IF(OR($B239="No",AN$6=""),"",IF(NOT(ISNUMBER(_xll.ciqfunctions.udf.CIQ(AN$6,"IQ_TEV",$AI239,$I$2,$I$3))),"",_xll.ciqfunctions.udf.CIQ(AN$6,"IQ_TEV",$AI239,$I$2,$I$3)))</f>
        <v/>
      </c>
      <c r="AO239" s="718" t="str">
        <f>IF(OR($B239="No",AO$6=""),"",IF(NOT(ISNUMBER(_xll.ciqfunctions.udf.CIQ(AO$6,"IQ_TEV",$AI239,$I$2,$I$3))),"",_xll.ciqfunctions.udf.CIQ(AO$6,"IQ_TEV",$AI239,$I$2,$I$3)))</f>
        <v/>
      </c>
      <c r="AP239" s="718" t="str">
        <f>IF(OR($B239="No",AP$6=""),"",IF(NOT(ISNUMBER(_xll.ciqfunctions.udf.CIQ(AP$6,"IQ_TEV",$AI239,$I$2,$I$3))),"",_xll.ciqfunctions.udf.CIQ(AP$6,"IQ_TEV",$AI239,$I$2,$I$3)))</f>
        <v/>
      </c>
      <c r="AQ239" s="718" t="str">
        <f>IF(OR($B239="No",AQ$6=""),"",IF(NOT(ISNUMBER(_xll.ciqfunctions.udf.CIQ(AQ$6,"IQ_TEV",$AI239,$I$2,$I$3))),"",_xll.ciqfunctions.udf.CIQ(AQ$6,"IQ_TEV",$AI239,$I$2,$I$3)))</f>
        <v/>
      </c>
      <c r="AR239" s="718" t="str">
        <f>IF(OR($B239="No",AR$6=""),"",IF(NOT(ISNUMBER(_xll.ciqfunctions.udf.CIQ(AR$6,"IQ_TEV",$AI239,$I$2,$I$3))),"",_xll.ciqfunctions.udf.CIQ(AR$6,"IQ_TEV",$AI239,$I$2,$I$3)))</f>
        <v/>
      </c>
      <c r="AS239" s="718" t="str">
        <f>IF(OR($B239="No",AS$6=""),"",IF(NOT(ISNUMBER(_xll.ciqfunctions.udf.CIQ(AS$6,"IQ_TEV",$AI239,$I$2,$I$3))),"",_xll.ciqfunctions.udf.CIQ(AS$6,"IQ_TEV",$AI239,$I$2,$I$3)))</f>
        <v/>
      </c>
      <c r="AT239" s="718" t="str">
        <f>IF(OR($B239="No",AT$6=""),"",IF(NOT(ISNUMBER(_xll.ciqfunctions.udf.CIQ(AT$6,"IQ_TEV",$AI239,$I$2,$I$3))),"",_xll.ciqfunctions.udf.CIQ(AT$6,"IQ_TEV",$AI239,$I$2,$I$3)))</f>
        <v/>
      </c>
      <c r="AV239" s="251">
        <f t="shared" si="129"/>
        <v>44449</v>
      </c>
      <c r="AW239" s="719">
        <f t="shared" si="130"/>
        <v>0.73171160530760049</v>
      </c>
      <c r="AX239" s="719">
        <f t="shared" si="131"/>
        <v>1.811910448629745</v>
      </c>
      <c r="AY239" s="719" t="e">
        <f t="shared" si="132"/>
        <v>#N/A</v>
      </c>
      <c r="AZ239" s="719" t="e">
        <f t="shared" si="133"/>
        <v>#N/A</v>
      </c>
      <c r="BA239" s="719" t="e">
        <f t="shared" si="134"/>
        <v>#N/A</v>
      </c>
      <c r="BB239" s="719" t="e">
        <f t="shared" si="135"/>
        <v>#N/A</v>
      </c>
      <c r="BC239" s="719" t="e">
        <f t="shared" si="136"/>
        <v>#N/A</v>
      </c>
      <c r="BD239" s="719" t="e">
        <f t="shared" si="137"/>
        <v>#N/A</v>
      </c>
      <c r="BE239" s="719" t="e">
        <f t="shared" si="138"/>
        <v>#N/A</v>
      </c>
      <c r="BF239" s="719" t="e">
        <f t="shared" si="139"/>
        <v>#N/A</v>
      </c>
      <c r="BG239" s="719" t="e">
        <f t="shared" si="140"/>
        <v>#N/A</v>
      </c>
    </row>
    <row r="240" spans="1:59" ht="15" customHeight="1" x14ac:dyDescent="0.2">
      <c r="A240" s="251">
        <f t="shared" si="123"/>
        <v>44456</v>
      </c>
      <c r="B240" s="253" t="str">
        <f t="shared" si="141"/>
        <v>Yes</v>
      </c>
      <c r="C240" s="1033">
        <f>IF(C$6="","",IF(NOT(ISNUMBER(_xll.ciqfunctions.udf.CIQ(C$6,$F$2, $A240, $I$2, $I$3))),IF(C239=C$6,"",C239),_xll.ciqfunctions.udf.CIQ(C$6,$F$2, $A240, $I$2, $I$3)))</f>
        <v>144.72999999999999</v>
      </c>
      <c r="D240" s="1033">
        <f>IF(D$6="","",IF(NOT(ISNUMBER(_xll.ciqfunctions.udf.CIQ(D$6,$F$2, $A240, $I$2, $I$3))),IF(D239=D$6,"",D239),_xll.ciqfunctions.udf.CIQ(D$6,$F$2, $A240, $I$2, $I$3)))</f>
        <v>34584.877679999998</v>
      </c>
      <c r="E240" s="1033">
        <f>IF(E$6="","",IF(NOT(ISNUMBER(_xll.ciqfunctions.udf.CIQ(E$6,$F$2, $A240, $I$2, $I$3))),IF(E239=E$6,"",E239),_xll.ciqfunctions.udf.CIQ(E$6,$F$2, $A240, $I$2, $I$3)))</f>
        <v>11331.33994</v>
      </c>
      <c r="F240" s="1033">
        <f>IF(F$6="","",IF(NOT(ISNUMBER(_xll.ciqfunctions.udf.CIQ(F$6,$F$2, $A240, $I$2, $I$3))),IF(F239=F$6,"",F239),_xll.ciqfunctions.udf.CIQ(F$6,$F$2, $A240, $I$2, $I$3)))</f>
        <v>9814.3519099999994</v>
      </c>
      <c r="G240" s="1033">
        <f>IF(G$6="","",IF(NOT(ISNUMBER(_xll.ciqfunctions.udf.CIQ(G$6,$F$2, $A240, $I$2, $I$3))),IF(G239=G$6,"",G239),_xll.ciqfunctions.udf.CIQ(G$6,$F$2, $A240, $I$2, $I$3)))</f>
        <v>459.51</v>
      </c>
      <c r="H240" s="1033" t="str">
        <f>IF(H$6="","",IF(NOT(ISNUMBER(_xll.ciqfunctions.udf.CIQ(H$6,$F$2, $A240, $I$2, $I$3))),IF(H239=H$6,"",H239),_xll.ciqfunctions.udf.CIQ(H$6,$F$2, $A240, $I$2, $I$3)))</f>
        <v/>
      </c>
      <c r="I240" s="1033" t="str">
        <f>IF(I$6="","",IF(NOT(ISNUMBER(_xll.ciqfunctions.udf.CIQ(I$6,$F$2, $A240, $I$2, $I$3))),IF(I239=I$6,"",I239),_xll.ciqfunctions.udf.CIQ(I$6,$F$2, $A240, $I$2, $I$3)))</f>
        <v/>
      </c>
      <c r="J240" s="1033" t="str">
        <f>IF(J$6="","",IF(NOT(ISNUMBER(_xll.ciqfunctions.udf.CIQ(J$6,$F$2, $A240, $I$2, $I$3))),IF(J239=J$6,"",J239),_xll.ciqfunctions.udf.CIQ(J$6,$F$2, $A240, $I$2, $I$3)))</f>
        <v/>
      </c>
      <c r="K240" s="1033" t="str">
        <f>IF(K$6="","",IF(NOT(ISNUMBER(_xll.ciqfunctions.udf.CIQ(K$6,$F$2, $A240, $I$2, $I$3))),IF(K239=K$6,"",K239),_xll.ciqfunctions.udf.CIQ(K$6,$F$2, $A240, $I$2, $I$3)))</f>
        <v/>
      </c>
      <c r="L240" s="254" t="str">
        <f>IF(L$6="","",IF(NOT(ISNUMBER(_xll.ciqfunctions.udf.CIQ(L$6,$F$2, $A240, $I$2, $I$3))),IF(L239=L$6,"",L239),_xll.ciqfunctions.udf.CIQ(L$6,$F$2, $A240, $I$2, $I$3)))</f>
        <v/>
      </c>
      <c r="M240" s="254" t="str">
        <f>IF(M$6="","",IF(NOT(ISNUMBER(_xll.ciqfunctions.udf.CIQ(M$6,$F$2, $A240, $I$2, $I$3))),IF(M239=M$6,"",M239),_xll.ciqfunctions.udf.CIQ(M$6,$F$2, $A240, $I$2, $I$3)))</f>
        <v/>
      </c>
      <c r="N240" s="254" t="str">
        <f>IF(N$6="","",IF(NOT(ISNUMBER(_xll.ciqfunctions.udf.CIQ(N$6,$F$2, $A240, $I$2, $I$3))),IF(N239=N$6,"",N239),_xll.ciqfunctions.udf.CIQ(N$6,$F$2, $A240, $I$2, $I$3)))</f>
        <v/>
      </c>
      <c r="O240" s="254" t="str">
        <f>IF(O$6="","",IF(NOT(ISNUMBER(_xll.ciqfunctions.udf.CIQ(O$6,$F$2, $A240, $I$2, $I$3))),IF(O239=O$6,"",O239),_xll.ciqfunctions.udf.CIQ(O$6,$F$2, $A240, $I$2, $I$3)))</f>
        <v/>
      </c>
      <c r="P240" s="254" t="str">
        <f>IF(P$6="","",IF(NOT(ISNUMBER(_xll.ciqfunctions.udf.CIQ(P$6,$F$2, $A240, $I$2, $I$3))),IF(P239=P$6,"",P239),_xll.ciqfunctions.udf.CIQ(P$6,$F$2, $A240, $I$2, $I$3)))</f>
        <v/>
      </c>
      <c r="Q240" s="254"/>
      <c r="R240" s="251">
        <f t="shared" si="124"/>
        <v>44456</v>
      </c>
      <c r="S240" s="255">
        <f t="shared" si="126"/>
        <v>1.0079078801331853</v>
      </c>
      <c r="T240" s="255">
        <f t="shared" si="127"/>
        <v>0.67374087416359463</v>
      </c>
      <c r="U240" s="255">
        <f t="shared" si="128"/>
        <v>0.5835136071968352</v>
      </c>
      <c r="V240" s="255">
        <f t="shared" si="142"/>
        <v>1.2357503527291387</v>
      </c>
      <c r="W240" s="255">
        <f t="array" ref="W240">IFERROR(AVERAGE(IF(ISERROR(X240:AG240),"",X240:AG240)),"")</f>
        <v>1.7402349573617983</v>
      </c>
      <c r="X240" s="255">
        <f t="shared" si="143"/>
        <v>1.7402349573617983</v>
      </c>
      <c r="Y240" s="255" t="e">
        <f t="shared" si="144"/>
        <v>#N/A</v>
      </c>
      <c r="Z240" s="255" t="e">
        <f t="shared" si="145"/>
        <v>#N/A</v>
      </c>
      <c r="AA240" s="255" t="e">
        <f t="shared" si="146"/>
        <v>#N/A</v>
      </c>
      <c r="AB240" s="255" t="e">
        <f t="shared" si="147"/>
        <v>#N/A</v>
      </c>
      <c r="AC240" s="255" t="e">
        <f t="shared" si="148"/>
        <v>#N/A</v>
      </c>
      <c r="AD240" s="255" t="e">
        <f t="shared" si="149"/>
        <v>#N/A</v>
      </c>
      <c r="AE240" s="255" t="e">
        <f t="shared" si="150"/>
        <v>#N/A</v>
      </c>
      <c r="AF240" s="255" t="e">
        <f t="shared" si="151"/>
        <v>#N/A</v>
      </c>
      <c r="AG240" s="255" t="e">
        <f t="shared" si="152"/>
        <v>#N/A</v>
      </c>
      <c r="AI240" s="251">
        <f t="shared" si="125"/>
        <v>44456</v>
      </c>
      <c r="AJ240" s="718">
        <f>IF(OR($B240="No",AJ$6=""),"",IF(NOT(ISNUMBER(_xll.ciqfunctions.udf.CIQ(AJ$6,"IQ_TEV",$AI240,$I$2,$I$3))),"",_xll.ciqfunctions.udf.CIQ(AJ$6,"IQ_TEV",$AI240,$I$2,$I$3)))</f>
        <v>448841.28891</v>
      </c>
      <c r="AK240" s="718">
        <f>IF(OR($B240="No",AK$6=""),"",IF(NOT(ISNUMBER(_xll.ciqfunctions.udf.CIQ(AK$6,"IQ_TEV",$AI240,$I$2,$I$3))),"",_xll.ciqfunctions.udf.CIQ(AK$6,"IQ_TEV",$AI240,$I$2,$I$3)))</f>
        <v>202729.16800999999</v>
      </c>
      <c r="AL240" s="718" t="str">
        <f>IF(OR($B240="No",AL$6=""),"",IF(NOT(ISNUMBER(_xll.ciqfunctions.udf.CIQ(AL$6,"IQ_TEV",$AI240,$I$2,$I$3))),"",_xll.ciqfunctions.udf.CIQ(AL$6,"IQ_TEV",$AI240,$I$2,$I$3)))</f>
        <v/>
      </c>
      <c r="AM240" s="718" t="str">
        <f>IF(OR($B240="No",AM$6=""),"",IF(NOT(ISNUMBER(_xll.ciqfunctions.udf.CIQ(AM$6,"IQ_TEV",$AI240,$I$2,$I$3))),"",_xll.ciqfunctions.udf.CIQ(AM$6,"IQ_TEV",$AI240,$I$2,$I$3)))</f>
        <v/>
      </c>
      <c r="AN240" s="718" t="str">
        <f>IF(OR($B240="No",AN$6=""),"",IF(NOT(ISNUMBER(_xll.ciqfunctions.udf.CIQ(AN$6,"IQ_TEV",$AI240,$I$2,$I$3))),"",_xll.ciqfunctions.udf.CIQ(AN$6,"IQ_TEV",$AI240,$I$2,$I$3)))</f>
        <v/>
      </c>
      <c r="AO240" s="718" t="str">
        <f>IF(OR($B240="No",AO$6=""),"",IF(NOT(ISNUMBER(_xll.ciqfunctions.udf.CIQ(AO$6,"IQ_TEV",$AI240,$I$2,$I$3))),"",_xll.ciqfunctions.udf.CIQ(AO$6,"IQ_TEV",$AI240,$I$2,$I$3)))</f>
        <v/>
      </c>
      <c r="AP240" s="718" t="str">
        <f>IF(OR($B240="No",AP$6=""),"",IF(NOT(ISNUMBER(_xll.ciqfunctions.udf.CIQ(AP$6,"IQ_TEV",$AI240,$I$2,$I$3))),"",_xll.ciqfunctions.udf.CIQ(AP$6,"IQ_TEV",$AI240,$I$2,$I$3)))</f>
        <v/>
      </c>
      <c r="AQ240" s="718" t="str">
        <f>IF(OR($B240="No",AQ$6=""),"",IF(NOT(ISNUMBER(_xll.ciqfunctions.udf.CIQ(AQ$6,"IQ_TEV",$AI240,$I$2,$I$3))),"",_xll.ciqfunctions.udf.CIQ(AQ$6,"IQ_TEV",$AI240,$I$2,$I$3)))</f>
        <v/>
      </c>
      <c r="AR240" s="718" t="str">
        <f>IF(OR($B240="No",AR$6=""),"",IF(NOT(ISNUMBER(_xll.ciqfunctions.udf.CIQ(AR$6,"IQ_TEV",$AI240,$I$2,$I$3))),"",_xll.ciqfunctions.udf.CIQ(AR$6,"IQ_TEV",$AI240,$I$2,$I$3)))</f>
        <v/>
      </c>
      <c r="AS240" s="718" t="str">
        <f>IF(OR($B240="No",AS$6=""),"",IF(NOT(ISNUMBER(_xll.ciqfunctions.udf.CIQ(AS$6,"IQ_TEV",$AI240,$I$2,$I$3))),"",_xll.ciqfunctions.udf.CIQ(AS$6,"IQ_TEV",$AI240,$I$2,$I$3)))</f>
        <v/>
      </c>
      <c r="AT240" s="718" t="str">
        <f>IF(OR($B240="No",AT$6=""),"",IF(NOT(ISNUMBER(_xll.ciqfunctions.udf.CIQ(AT$6,"IQ_TEV",$AI240,$I$2,$I$3))),"",_xll.ciqfunctions.udf.CIQ(AT$6,"IQ_TEV",$AI240,$I$2,$I$3)))</f>
        <v/>
      </c>
      <c r="AV240" s="251">
        <f t="shared" si="129"/>
        <v>44456</v>
      </c>
      <c r="AW240" s="719">
        <f t="shared" si="130"/>
        <v>0.71932100163835444</v>
      </c>
      <c r="AX240" s="719">
        <f t="shared" si="131"/>
        <v>1.777688409289925</v>
      </c>
      <c r="AY240" s="719" t="e">
        <f t="shared" si="132"/>
        <v>#N/A</v>
      </c>
      <c r="AZ240" s="719" t="e">
        <f t="shared" si="133"/>
        <v>#N/A</v>
      </c>
      <c r="BA240" s="719" t="e">
        <f t="shared" si="134"/>
        <v>#N/A</v>
      </c>
      <c r="BB240" s="719" t="e">
        <f t="shared" si="135"/>
        <v>#N/A</v>
      </c>
      <c r="BC240" s="719" t="e">
        <f t="shared" si="136"/>
        <v>#N/A</v>
      </c>
      <c r="BD240" s="719" t="e">
        <f t="shared" si="137"/>
        <v>#N/A</v>
      </c>
      <c r="BE240" s="719" t="e">
        <f t="shared" si="138"/>
        <v>#N/A</v>
      </c>
      <c r="BF240" s="719" t="e">
        <f t="shared" si="139"/>
        <v>#N/A</v>
      </c>
      <c r="BG240" s="719" t="e">
        <f t="shared" si="140"/>
        <v>#N/A</v>
      </c>
    </row>
    <row r="241" spans="1:59" ht="15" customHeight="1" x14ac:dyDescent="0.2">
      <c r="A241" s="251">
        <f t="shared" si="123"/>
        <v>44463</v>
      </c>
      <c r="B241" s="253" t="str">
        <f t="shared" si="141"/>
        <v>Yes</v>
      </c>
      <c r="C241" s="1033">
        <f>IF(C$6="","",IF(NOT(ISNUMBER(_xll.ciqfunctions.udf.CIQ(C$6,$F$2, $A241, $I$2, $I$3))),IF(C240=C$6,"",C240),_xll.ciqfunctions.udf.CIQ(C$6,$F$2, $A241, $I$2, $I$3)))</f>
        <v>143.16999999999999</v>
      </c>
      <c r="D241" s="1033">
        <f>IF(D$6="","",IF(NOT(ISNUMBER(_xll.ciqfunctions.udf.CIQ(D$6,$F$2, $A241, $I$2, $I$3))),IF(D240=D$6,"",D240),_xll.ciqfunctions.udf.CIQ(D$6,$F$2, $A241, $I$2, $I$3)))</f>
        <v>34797.999210000002</v>
      </c>
      <c r="E241" s="1033">
        <f>IF(E$6="","",IF(NOT(ISNUMBER(_xll.ciqfunctions.udf.CIQ(E$6,$F$2, $A241, $I$2, $I$3))),IF(E240=E$6,"",E240),_xll.ciqfunctions.udf.CIQ(E$6,$F$2, $A241, $I$2, $I$3)))</f>
        <v>11370.598260000001</v>
      </c>
      <c r="F241" s="1033">
        <f>IF(F$6="","",IF(NOT(ISNUMBER(_xll.ciqfunctions.udf.CIQ(F$6,$F$2, $A241, $I$2, $I$3))),IF(F240=F$6,"",F240),_xll.ciqfunctions.udf.CIQ(F$6,$F$2, $A241, $I$2, $I$3)))</f>
        <v>9892.4102800000001</v>
      </c>
      <c r="G241" s="1033">
        <f>IF(G$6="","",IF(NOT(ISNUMBER(_xll.ciqfunctions.udf.CIQ(G$6,$F$2, $A241, $I$2, $I$3))),IF(G240=G$6,"",G240),_xll.ciqfunctions.udf.CIQ(G$6,$F$2, $A241, $I$2, $I$3)))</f>
        <v>467.75</v>
      </c>
      <c r="H241" s="1033" t="str">
        <f>IF(H$6="","",IF(NOT(ISNUMBER(_xll.ciqfunctions.udf.CIQ(H$6,$F$2, $A241, $I$2, $I$3))),IF(H240=H$6,"",H240),_xll.ciqfunctions.udf.CIQ(H$6,$F$2, $A241, $I$2, $I$3)))</f>
        <v/>
      </c>
      <c r="I241" s="1033" t="str">
        <f>IF(I$6="","",IF(NOT(ISNUMBER(_xll.ciqfunctions.udf.CIQ(I$6,$F$2, $A241, $I$2, $I$3))),IF(I240=I$6,"",I240),_xll.ciqfunctions.udf.CIQ(I$6,$F$2, $A241, $I$2, $I$3)))</f>
        <v/>
      </c>
      <c r="J241" s="1033" t="str">
        <f>IF(J$6="","",IF(NOT(ISNUMBER(_xll.ciqfunctions.udf.CIQ(J$6,$F$2, $A241, $I$2, $I$3))),IF(J240=J$6,"",J240),_xll.ciqfunctions.udf.CIQ(J$6,$F$2, $A241, $I$2, $I$3)))</f>
        <v/>
      </c>
      <c r="K241" s="1033" t="str">
        <f>IF(K$6="","",IF(NOT(ISNUMBER(_xll.ciqfunctions.udf.CIQ(K$6,$F$2, $A241, $I$2, $I$3))),IF(K240=K$6,"",K240),_xll.ciqfunctions.udf.CIQ(K$6,$F$2, $A241, $I$2, $I$3)))</f>
        <v/>
      </c>
      <c r="L241" s="254" t="str">
        <f>IF(L$6="","",IF(NOT(ISNUMBER(_xll.ciqfunctions.udf.CIQ(L$6,$F$2, $A241, $I$2, $I$3))),IF(L240=L$6,"",L240),_xll.ciqfunctions.udf.CIQ(L$6,$F$2, $A241, $I$2, $I$3)))</f>
        <v/>
      </c>
      <c r="M241" s="254" t="str">
        <f>IF(M$6="","",IF(NOT(ISNUMBER(_xll.ciqfunctions.udf.CIQ(M$6,$F$2, $A241, $I$2, $I$3))),IF(M240=M$6,"",M240),_xll.ciqfunctions.udf.CIQ(M$6,$F$2, $A241, $I$2, $I$3)))</f>
        <v/>
      </c>
      <c r="N241" s="254" t="str">
        <f>IF(N$6="","",IF(NOT(ISNUMBER(_xll.ciqfunctions.udf.CIQ(N$6,$F$2, $A241, $I$2, $I$3))),IF(N240=N$6,"",N240),_xll.ciqfunctions.udf.CIQ(N$6,$F$2, $A241, $I$2, $I$3)))</f>
        <v/>
      </c>
      <c r="O241" s="254" t="str">
        <f>IF(O$6="","",IF(NOT(ISNUMBER(_xll.ciqfunctions.udf.CIQ(O$6,$F$2, $A241, $I$2, $I$3))),IF(O240=O$6,"",O240),_xll.ciqfunctions.udf.CIQ(O$6,$F$2, $A241, $I$2, $I$3)))</f>
        <v/>
      </c>
      <c r="P241" s="254" t="str">
        <f>IF(P$6="","",IF(NOT(ISNUMBER(_xll.ciqfunctions.udf.CIQ(P$6,$F$2, $A241, $I$2, $I$3))),IF(P240=P$6,"",P240),_xll.ciqfunctions.udf.CIQ(P$6,$F$2, $A241, $I$2, $I$3)))</f>
        <v/>
      </c>
      <c r="Q241" s="254"/>
      <c r="R241" s="251">
        <f t="shared" si="124"/>
        <v>44463</v>
      </c>
      <c r="S241" s="255">
        <f t="shared" si="126"/>
        <v>0.98626526082130961</v>
      </c>
      <c r="T241" s="255">
        <f t="shared" si="127"/>
        <v>0.68405492584901006</v>
      </c>
      <c r="U241" s="255">
        <f t="shared" si="128"/>
        <v>0.58899981485143393</v>
      </c>
      <c r="V241" s="255">
        <f t="shared" si="142"/>
        <v>1.2535323754099377</v>
      </c>
      <c r="W241" s="255">
        <f t="array" ref="W241">IFERROR(AVERAGE(IF(ISERROR(X241:AG241),"",X241:AG241)),"")</f>
        <v>1.7893732482557101</v>
      </c>
      <c r="X241" s="255">
        <f t="shared" si="143"/>
        <v>1.7893732482557101</v>
      </c>
      <c r="Y241" s="255" t="e">
        <f t="shared" si="144"/>
        <v>#N/A</v>
      </c>
      <c r="Z241" s="255" t="e">
        <f t="shared" si="145"/>
        <v>#N/A</v>
      </c>
      <c r="AA241" s="255" t="e">
        <f t="shared" si="146"/>
        <v>#N/A</v>
      </c>
      <c r="AB241" s="255" t="e">
        <f t="shared" si="147"/>
        <v>#N/A</v>
      </c>
      <c r="AC241" s="255" t="e">
        <f t="shared" si="148"/>
        <v>#N/A</v>
      </c>
      <c r="AD241" s="255" t="e">
        <f t="shared" si="149"/>
        <v>#N/A</v>
      </c>
      <c r="AE241" s="255" t="e">
        <f t="shared" si="150"/>
        <v>#N/A</v>
      </c>
      <c r="AF241" s="255" t="e">
        <f t="shared" si="151"/>
        <v>#N/A</v>
      </c>
      <c r="AG241" s="255" t="e">
        <f t="shared" si="152"/>
        <v>#N/A</v>
      </c>
      <c r="AI241" s="251">
        <f t="shared" si="125"/>
        <v>44463</v>
      </c>
      <c r="AJ241" s="718">
        <f>IF(OR($B241="No",AJ$6=""),"",IF(NOT(ISNUMBER(_xll.ciqfunctions.udf.CIQ(AJ$6,"IQ_TEV",$AI241,$I$2,$I$3))),"",_xll.ciqfunctions.udf.CIQ(AJ$6,"IQ_TEV",$AI241,$I$2,$I$3)))</f>
        <v>444491.23232000001</v>
      </c>
      <c r="AK241" s="718">
        <f>IF(OR($B241="No",AK$6=""),"",IF(NOT(ISNUMBER(_xll.ciqfunctions.udf.CIQ(AK$6,"IQ_TEV",$AI241,$I$2,$I$3))),"",_xll.ciqfunctions.udf.CIQ(AK$6,"IQ_TEV",$AI241,$I$2,$I$3)))</f>
        <v>205135.64374999999</v>
      </c>
      <c r="AL241" s="718" t="str">
        <f>IF(OR($B241="No",AL$6=""),"",IF(NOT(ISNUMBER(_xll.ciqfunctions.udf.CIQ(AL$6,"IQ_TEV",$AI241,$I$2,$I$3))),"",_xll.ciqfunctions.udf.CIQ(AL$6,"IQ_TEV",$AI241,$I$2,$I$3)))</f>
        <v/>
      </c>
      <c r="AM241" s="718" t="str">
        <f>IF(OR($B241="No",AM$6=""),"",IF(NOT(ISNUMBER(_xll.ciqfunctions.udf.CIQ(AM$6,"IQ_TEV",$AI241,$I$2,$I$3))),"",_xll.ciqfunctions.udf.CIQ(AM$6,"IQ_TEV",$AI241,$I$2,$I$3)))</f>
        <v/>
      </c>
      <c r="AN241" s="718" t="str">
        <f>IF(OR($B241="No",AN$6=""),"",IF(NOT(ISNUMBER(_xll.ciqfunctions.udf.CIQ(AN$6,"IQ_TEV",$AI241,$I$2,$I$3))),"",_xll.ciqfunctions.udf.CIQ(AN$6,"IQ_TEV",$AI241,$I$2,$I$3)))</f>
        <v/>
      </c>
      <c r="AO241" s="718" t="str">
        <f>IF(OR($B241="No",AO$6=""),"",IF(NOT(ISNUMBER(_xll.ciqfunctions.udf.CIQ(AO$6,"IQ_TEV",$AI241,$I$2,$I$3))),"",_xll.ciqfunctions.udf.CIQ(AO$6,"IQ_TEV",$AI241,$I$2,$I$3)))</f>
        <v/>
      </c>
      <c r="AP241" s="718" t="str">
        <f>IF(OR($B241="No",AP$6=""),"",IF(NOT(ISNUMBER(_xll.ciqfunctions.udf.CIQ(AP$6,"IQ_TEV",$AI241,$I$2,$I$3))),"",_xll.ciqfunctions.udf.CIQ(AP$6,"IQ_TEV",$AI241,$I$2,$I$3)))</f>
        <v/>
      </c>
      <c r="AQ241" s="718" t="str">
        <f>IF(OR($B241="No",AQ$6=""),"",IF(NOT(ISNUMBER(_xll.ciqfunctions.udf.CIQ(AQ$6,"IQ_TEV",$AI241,$I$2,$I$3))),"",_xll.ciqfunctions.udf.CIQ(AQ$6,"IQ_TEV",$AI241,$I$2,$I$3)))</f>
        <v/>
      </c>
      <c r="AR241" s="718" t="str">
        <f>IF(OR($B241="No",AR$6=""),"",IF(NOT(ISNUMBER(_xll.ciqfunctions.udf.CIQ(AR$6,"IQ_TEV",$AI241,$I$2,$I$3))),"",_xll.ciqfunctions.udf.CIQ(AR$6,"IQ_TEV",$AI241,$I$2,$I$3)))</f>
        <v/>
      </c>
      <c r="AS241" s="718" t="str">
        <f>IF(OR($B241="No",AS$6=""),"",IF(NOT(ISNUMBER(_xll.ciqfunctions.udf.CIQ(AS$6,"IQ_TEV",$AI241,$I$2,$I$3))),"",_xll.ciqfunctions.udf.CIQ(AS$6,"IQ_TEV",$AI241,$I$2,$I$3)))</f>
        <v/>
      </c>
      <c r="AT241" s="718" t="str">
        <f>IF(OR($B241="No",AT$6=""),"",IF(NOT(ISNUMBER(_xll.ciqfunctions.udf.CIQ(AT$6,"IQ_TEV",$AI241,$I$2,$I$3))),"",_xll.ciqfunctions.udf.CIQ(AT$6,"IQ_TEV",$AI241,$I$2,$I$3)))</f>
        <v/>
      </c>
      <c r="AV241" s="251">
        <f t="shared" si="129"/>
        <v>44463</v>
      </c>
      <c r="AW241" s="719">
        <f t="shared" si="130"/>
        <v>0.70265777604325552</v>
      </c>
      <c r="AX241" s="719">
        <f t="shared" si="131"/>
        <v>1.8106606738922522</v>
      </c>
      <c r="AY241" s="719" t="e">
        <f t="shared" si="132"/>
        <v>#N/A</v>
      </c>
      <c r="AZ241" s="719" t="e">
        <f t="shared" si="133"/>
        <v>#N/A</v>
      </c>
      <c r="BA241" s="719" t="e">
        <f t="shared" si="134"/>
        <v>#N/A</v>
      </c>
      <c r="BB241" s="719" t="e">
        <f t="shared" si="135"/>
        <v>#N/A</v>
      </c>
      <c r="BC241" s="719" t="e">
        <f t="shared" si="136"/>
        <v>#N/A</v>
      </c>
      <c r="BD241" s="719" t="e">
        <f t="shared" si="137"/>
        <v>#N/A</v>
      </c>
      <c r="BE241" s="719" t="e">
        <f t="shared" si="138"/>
        <v>#N/A</v>
      </c>
      <c r="BF241" s="719" t="e">
        <f t="shared" si="139"/>
        <v>#N/A</v>
      </c>
      <c r="BG241" s="719" t="e">
        <f t="shared" si="140"/>
        <v>#N/A</v>
      </c>
    </row>
    <row r="242" spans="1:59" ht="15" customHeight="1" x14ac:dyDescent="0.2">
      <c r="A242" s="251">
        <f t="shared" si="123"/>
        <v>44470</v>
      </c>
      <c r="B242" s="253" t="str">
        <f t="shared" si="141"/>
        <v>Yes</v>
      </c>
      <c r="C242" s="1033">
        <f>IF(C$6="","",IF(NOT(ISNUMBER(_xll.ciqfunctions.udf.CIQ(C$6,$F$2, $A242, $I$2, $I$3))),IF(C241=C$6,"",C241),_xll.ciqfunctions.udf.CIQ(C$6,$F$2, $A242, $I$2, $I$3)))</f>
        <v>137.05000000000001</v>
      </c>
      <c r="D242" s="1033">
        <f>IF(D$6="","",IF(NOT(ISNUMBER(_xll.ciqfunctions.udf.CIQ(D$6,$F$2, $A242, $I$2, $I$3))),IF(D241=D$6,"",D241),_xll.ciqfunctions.udf.CIQ(D$6,$F$2, $A242, $I$2, $I$3)))</f>
        <v>34326.458769999997</v>
      </c>
      <c r="E242" s="1033">
        <f>IF(E$6="","",IF(NOT(ISNUMBER(_xll.ciqfunctions.udf.CIQ(E$6,$F$2, $A242, $I$2, $I$3))),IF(E241=E$6,"",E241),_xll.ciqfunctions.udf.CIQ(E$6,$F$2, $A242, $I$2, $I$3)))</f>
        <v>11224.297839999999</v>
      </c>
      <c r="F242" s="1033">
        <f>IF(F$6="","",IF(NOT(ISNUMBER(_xll.ciqfunctions.udf.CIQ(F$6,$F$2, $A242, $I$2, $I$3))),IF(F241=F$6,"",F241),_xll.ciqfunctions.udf.CIQ(F$6,$F$2, $A242, $I$2, $I$3)))</f>
        <v>9503.9989299999997</v>
      </c>
      <c r="G242" s="1033">
        <f>IF(G$6="","",IF(NOT(ISNUMBER(_xll.ciqfunctions.udf.CIQ(G$6,$F$2, $A242, $I$2, $I$3))),IF(G241=G$6,"",G241),_xll.ciqfunctions.udf.CIQ(G$6,$F$2, $A242, $I$2, $I$3)))</f>
        <v>448.33</v>
      </c>
      <c r="H242" s="1033" t="str">
        <f>IF(H$6="","",IF(NOT(ISNUMBER(_xll.ciqfunctions.udf.CIQ(H$6,$F$2, $A242, $I$2, $I$3))),IF(H241=H$6,"",H241),_xll.ciqfunctions.udf.CIQ(H$6,$F$2, $A242, $I$2, $I$3)))</f>
        <v/>
      </c>
      <c r="I242" s="1033" t="str">
        <f>IF(I$6="","",IF(NOT(ISNUMBER(_xll.ciqfunctions.udf.CIQ(I$6,$F$2, $A242, $I$2, $I$3))),IF(I241=I$6,"",I241),_xll.ciqfunctions.udf.CIQ(I$6,$F$2, $A242, $I$2, $I$3)))</f>
        <v/>
      </c>
      <c r="J242" s="1033" t="str">
        <f>IF(J$6="","",IF(NOT(ISNUMBER(_xll.ciqfunctions.udf.CIQ(J$6,$F$2, $A242, $I$2, $I$3))),IF(J241=J$6,"",J241),_xll.ciqfunctions.udf.CIQ(J$6,$F$2, $A242, $I$2, $I$3)))</f>
        <v/>
      </c>
      <c r="K242" s="1033" t="str">
        <f>IF(K$6="","",IF(NOT(ISNUMBER(_xll.ciqfunctions.udf.CIQ(K$6,$F$2, $A242, $I$2, $I$3))),IF(K241=K$6,"",K241),_xll.ciqfunctions.udf.CIQ(K$6,$F$2, $A242, $I$2, $I$3)))</f>
        <v/>
      </c>
      <c r="L242" s="254" t="str">
        <f>IF(L$6="","",IF(NOT(ISNUMBER(_xll.ciqfunctions.udf.CIQ(L$6,$F$2, $A242, $I$2, $I$3))),IF(L241=L$6,"",L241),_xll.ciqfunctions.udf.CIQ(L$6,$F$2, $A242, $I$2, $I$3)))</f>
        <v/>
      </c>
      <c r="M242" s="254" t="str">
        <f>IF(M$6="","",IF(NOT(ISNUMBER(_xll.ciqfunctions.udf.CIQ(M$6,$F$2, $A242, $I$2, $I$3))),IF(M241=M$6,"",M241),_xll.ciqfunctions.udf.CIQ(M$6,$F$2, $A242, $I$2, $I$3)))</f>
        <v/>
      </c>
      <c r="N242" s="254" t="str">
        <f>IF(N$6="","",IF(NOT(ISNUMBER(_xll.ciqfunctions.udf.CIQ(N$6,$F$2, $A242, $I$2, $I$3))),IF(N241=N$6,"",N241),_xll.ciqfunctions.udf.CIQ(N$6,$F$2, $A242, $I$2, $I$3)))</f>
        <v/>
      </c>
      <c r="O242" s="254" t="str">
        <f>IF(O$6="","",IF(NOT(ISNUMBER(_xll.ciqfunctions.udf.CIQ(O$6,$F$2, $A242, $I$2, $I$3))),IF(O241=O$6,"",O241),_xll.ciqfunctions.udf.CIQ(O$6,$F$2, $A242, $I$2, $I$3)))</f>
        <v/>
      </c>
      <c r="P242" s="254" t="str">
        <f>IF(P$6="","",IF(NOT(ISNUMBER(_xll.ciqfunctions.udf.CIQ(P$6,$F$2, $A242, $I$2, $I$3))),IF(P241=P$6,"",P241),_xll.ciqfunctions.udf.CIQ(P$6,$F$2, $A242, $I$2, $I$3)))</f>
        <v/>
      </c>
      <c r="Q242" s="254"/>
      <c r="R242" s="251">
        <f t="shared" si="124"/>
        <v>44470</v>
      </c>
      <c r="S242" s="255">
        <f t="shared" si="126"/>
        <v>0.90135960044395147</v>
      </c>
      <c r="T242" s="255">
        <f t="shared" si="127"/>
        <v>0.66123464828285572</v>
      </c>
      <c r="U242" s="255">
        <f t="shared" si="128"/>
        <v>0.56855486244198272</v>
      </c>
      <c r="V242" s="255">
        <f t="shared" si="142"/>
        <v>1.1650506477594664</v>
      </c>
      <c r="W242" s="255">
        <f t="array" ref="W242">IFERROR(AVERAGE(IF(ISERROR(X242:AG242),"",X242:AG242)),"")</f>
        <v>1.6735643151052537</v>
      </c>
      <c r="X242" s="255">
        <f t="shared" si="143"/>
        <v>1.6735643151052537</v>
      </c>
      <c r="Y242" s="255" t="e">
        <f t="shared" si="144"/>
        <v>#N/A</v>
      </c>
      <c r="Z242" s="255" t="e">
        <f t="shared" si="145"/>
        <v>#N/A</v>
      </c>
      <c r="AA242" s="255" t="e">
        <f t="shared" si="146"/>
        <v>#N/A</v>
      </c>
      <c r="AB242" s="255" t="e">
        <f t="shared" si="147"/>
        <v>#N/A</v>
      </c>
      <c r="AC242" s="255" t="e">
        <f t="shared" si="148"/>
        <v>#N/A</v>
      </c>
      <c r="AD242" s="255" t="e">
        <f t="shared" si="149"/>
        <v>#N/A</v>
      </c>
      <c r="AE242" s="255" t="e">
        <f t="shared" si="150"/>
        <v>#N/A</v>
      </c>
      <c r="AF242" s="255" t="e">
        <f t="shared" si="151"/>
        <v>#N/A</v>
      </c>
      <c r="AG242" s="255" t="e">
        <f t="shared" si="152"/>
        <v>#N/A</v>
      </c>
      <c r="AI242" s="251">
        <f t="shared" si="125"/>
        <v>44470</v>
      </c>
      <c r="AJ242" s="718">
        <f>IF(OR($B242="No",AJ$6=""),"",IF(NOT(ISNUMBER(_xll.ciqfunctions.udf.CIQ(AJ$6,"IQ_TEV",$AI242,$I$2,$I$3))),"",_xll.ciqfunctions.udf.CIQ(AJ$6,"IQ_TEV",$AI242,$I$2,$I$3)))</f>
        <v>427425.62568</v>
      </c>
      <c r="AK242" s="718">
        <f>IF(OR($B242="No",AK$6=""),"",IF(NOT(ISNUMBER(_xll.ciqfunctions.udf.CIQ(AK$6,"IQ_TEV",$AI242,$I$2,$I$3))),"",_xll.ciqfunctions.udf.CIQ(AK$6,"IQ_TEV",$AI242,$I$2,$I$3)))</f>
        <v>196555.40225000001</v>
      </c>
      <c r="AL242" s="718" t="str">
        <f>IF(OR($B242="No",AL$6=""),"",IF(NOT(ISNUMBER(_xll.ciqfunctions.udf.CIQ(AL$6,"IQ_TEV",$AI242,$I$2,$I$3))),"",_xll.ciqfunctions.udf.CIQ(AL$6,"IQ_TEV",$AI242,$I$2,$I$3)))</f>
        <v/>
      </c>
      <c r="AM242" s="718" t="str">
        <f>IF(OR($B242="No",AM$6=""),"",IF(NOT(ISNUMBER(_xll.ciqfunctions.udf.CIQ(AM$6,"IQ_TEV",$AI242,$I$2,$I$3))),"",_xll.ciqfunctions.udf.CIQ(AM$6,"IQ_TEV",$AI242,$I$2,$I$3)))</f>
        <v/>
      </c>
      <c r="AN242" s="718" t="str">
        <f>IF(OR($B242="No",AN$6=""),"",IF(NOT(ISNUMBER(_xll.ciqfunctions.udf.CIQ(AN$6,"IQ_TEV",$AI242,$I$2,$I$3))),"",_xll.ciqfunctions.udf.CIQ(AN$6,"IQ_TEV",$AI242,$I$2,$I$3)))</f>
        <v/>
      </c>
      <c r="AO242" s="718" t="str">
        <f>IF(OR($B242="No",AO$6=""),"",IF(NOT(ISNUMBER(_xll.ciqfunctions.udf.CIQ(AO$6,"IQ_TEV",$AI242,$I$2,$I$3))),"",_xll.ciqfunctions.udf.CIQ(AO$6,"IQ_TEV",$AI242,$I$2,$I$3)))</f>
        <v/>
      </c>
      <c r="AP242" s="718" t="str">
        <f>IF(OR($B242="No",AP$6=""),"",IF(NOT(ISNUMBER(_xll.ciqfunctions.udf.CIQ(AP$6,"IQ_TEV",$AI242,$I$2,$I$3))),"",_xll.ciqfunctions.udf.CIQ(AP$6,"IQ_TEV",$AI242,$I$2,$I$3)))</f>
        <v/>
      </c>
      <c r="AQ242" s="718" t="str">
        <f>IF(OR($B242="No",AQ$6=""),"",IF(NOT(ISNUMBER(_xll.ciqfunctions.udf.CIQ(AQ$6,"IQ_TEV",$AI242,$I$2,$I$3))),"",_xll.ciqfunctions.udf.CIQ(AQ$6,"IQ_TEV",$AI242,$I$2,$I$3)))</f>
        <v/>
      </c>
      <c r="AR242" s="718" t="str">
        <f>IF(OR($B242="No",AR$6=""),"",IF(NOT(ISNUMBER(_xll.ciqfunctions.udf.CIQ(AR$6,"IQ_TEV",$AI242,$I$2,$I$3))),"",_xll.ciqfunctions.udf.CIQ(AR$6,"IQ_TEV",$AI242,$I$2,$I$3)))</f>
        <v/>
      </c>
      <c r="AS242" s="718" t="str">
        <f>IF(OR($B242="No",AS$6=""),"",IF(NOT(ISNUMBER(_xll.ciqfunctions.udf.CIQ(AS$6,"IQ_TEV",$AI242,$I$2,$I$3))),"",_xll.ciqfunctions.udf.CIQ(AS$6,"IQ_TEV",$AI242,$I$2,$I$3)))</f>
        <v/>
      </c>
      <c r="AT242" s="718" t="str">
        <f>IF(OR($B242="No",AT$6=""),"",IF(NOT(ISNUMBER(_xll.ciqfunctions.udf.CIQ(AT$6,"IQ_TEV",$AI242,$I$2,$I$3))),"",_xll.ciqfunctions.udf.CIQ(AT$6,"IQ_TEV",$AI242,$I$2,$I$3)))</f>
        <v/>
      </c>
      <c r="AV242" s="251">
        <f t="shared" si="129"/>
        <v>44470</v>
      </c>
      <c r="AW242" s="719">
        <f t="shared" si="130"/>
        <v>0.63728666017932634</v>
      </c>
      <c r="AX242" s="719">
        <f t="shared" si="131"/>
        <v>1.6930987187113247</v>
      </c>
      <c r="AY242" s="719" t="e">
        <f t="shared" si="132"/>
        <v>#N/A</v>
      </c>
      <c r="AZ242" s="719" t="e">
        <f t="shared" si="133"/>
        <v>#N/A</v>
      </c>
      <c r="BA242" s="719" t="e">
        <f t="shared" si="134"/>
        <v>#N/A</v>
      </c>
      <c r="BB242" s="719" t="e">
        <f t="shared" si="135"/>
        <v>#N/A</v>
      </c>
      <c r="BC242" s="719" t="e">
        <f t="shared" si="136"/>
        <v>#N/A</v>
      </c>
      <c r="BD242" s="719" t="e">
        <f t="shared" si="137"/>
        <v>#N/A</v>
      </c>
      <c r="BE242" s="719" t="e">
        <f t="shared" si="138"/>
        <v>#N/A</v>
      </c>
      <c r="BF242" s="719" t="e">
        <f t="shared" si="139"/>
        <v>#N/A</v>
      </c>
      <c r="BG242" s="719" t="e">
        <f t="shared" si="140"/>
        <v>#N/A</v>
      </c>
    </row>
    <row r="243" spans="1:59" ht="15" customHeight="1" x14ac:dyDescent="0.2">
      <c r="A243" s="251">
        <f t="shared" si="123"/>
        <v>44477</v>
      </c>
      <c r="B243" s="253" t="str">
        <f t="shared" si="141"/>
        <v>Yes</v>
      </c>
      <c r="C243" s="1033">
        <f>IF(C$6="","",IF(NOT(ISNUMBER(_xll.ciqfunctions.udf.CIQ(C$6,$F$2, $A243, $I$2, $I$3))),IF(C242=C$6,"",C242),_xll.ciqfunctions.udf.CIQ(C$6,$F$2, $A243, $I$2, $I$3)))</f>
        <v>139.66</v>
      </c>
      <c r="D243" s="1033">
        <f>IF(D$6="","",IF(NOT(ISNUMBER(_xll.ciqfunctions.udf.CIQ(D$6,$F$2, $A243, $I$2, $I$3))),IF(D242=D$6,"",D242),_xll.ciqfunctions.udf.CIQ(D$6,$F$2, $A243, $I$2, $I$3)))</f>
        <v>34746.249589999999</v>
      </c>
      <c r="E243" s="1033">
        <f>IF(E$6="","",IF(NOT(ISNUMBER(_xll.ciqfunctions.udf.CIQ(E$6,$F$2, $A243, $I$2, $I$3))),IF(E242=E$6,"",E242),_xll.ciqfunctions.udf.CIQ(E$6,$F$2, $A243, $I$2, $I$3)))</f>
        <v>11408.345649999999</v>
      </c>
      <c r="F243" s="1033">
        <f>IF(F$6="","",IF(NOT(ISNUMBER(_xll.ciqfunctions.udf.CIQ(F$6,$F$2, $A243, $I$2, $I$3))),IF(F242=F$6,"",F242),_xll.ciqfunctions.udf.CIQ(F$6,$F$2, $A243, $I$2, $I$3)))</f>
        <v>9464.7859700000008</v>
      </c>
      <c r="G243" s="1033">
        <f>IF(G$6="","",IF(NOT(ISNUMBER(_xll.ciqfunctions.udf.CIQ(G$6,$F$2, $A243, $I$2, $I$3))),IF(G242=G$6,"",G242),_xll.ciqfunctions.udf.CIQ(G$6,$F$2, $A243, $I$2, $I$3)))</f>
        <v>451.85</v>
      </c>
      <c r="H243" s="1033" t="str">
        <f>IF(H$6="","",IF(NOT(ISNUMBER(_xll.ciqfunctions.udf.CIQ(H$6,$F$2, $A243, $I$2, $I$3))),IF(H242=H$6,"",H242),_xll.ciqfunctions.udf.CIQ(H$6,$F$2, $A243, $I$2, $I$3)))</f>
        <v/>
      </c>
      <c r="I243" s="1033" t="str">
        <f>IF(I$6="","",IF(NOT(ISNUMBER(_xll.ciqfunctions.udf.CIQ(I$6,$F$2, $A243, $I$2, $I$3))),IF(I242=I$6,"",I242),_xll.ciqfunctions.udf.CIQ(I$6,$F$2, $A243, $I$2, $I$3)))</f>
        <v/>
      </c>
      <c r="J243" s="1033" t="str">
        <f>IF(J$6="","",IF(NOT(ISNUMBER(_xll.ciqfunctions.udf.CIQ(J$6,$F$2, $A243, $I$2, $I$3))),IF(J242=J$6,"",J242),_xll.ciqfunctions.udf.CIQ(J$6,$F$2, $A243, $I$2, $I$3)))</f>
        <v/>
      </c>
      <c r="K243" s="1033" t="str">
        <f>IF(K$6="","",IF(NOT(ISNUMBER(_xll.ciqfunctions.udf.CIQ(K$6,$F$2, $A243, $I$2, $I$3))),IF(K242=K$6,"",K242),_xll.ciqfunctions.udf.CIQ(K$6,$F$2, $A243, $I$2, $I$3)))</f>
        <v/>
      </c>
      <c r="L243" s="254" t="str">
        <f>IF(L$6="","",IF(NOT(ISNUMBER(_xll.ciqfunctions.udf.CIQ(L$6,$F$2, $A243, $I$2, $I$3))),IF(L242=L$6,"",L242),_xll.ciqfunctions.udf.CIQ(L$6,$F$2, $A243, $I$2, $I$3)))</f>
        <v/>
      </c>
      <c r="M243" s="254" t="str">
        <f>IF(M$6="","",IF(NOT(ISNUMBER(_xll.ciqfunctions.udf.CIQ(M$6,$F$2, $A243, $I$2, $I$3))),IF(M242=M$6,"",M242),_xll.ciqfunctions.udf.CIQ(M$6,$F$2, $A243, $I$2, $I$3)))</f>
        <v/>
      </c>
      <c r="N243" s="254" t="str">
        <f>IF(N$6="","",IF(NOT(ISNUMBER(_xll.ciqfunctions.udf.CIQ(N$6,$F$2, $A243, $I$2, $I$3))),IF(N242=N$6,"",N242),_xll.ciqfunctions.udf.CIQ(N$6,$F$2, $A243, $I$2, $I$3)))</f>
        <v/>
      </c>
      <c r="O243" s="254" t="str">
        <f>IF(O$6="","",IF(NOT(ISNUMBER(_xll.ciqfunctions.udf.CIQ(O$6,$F$2, $A243, $I$2, $I$3))),IF(O242=O$6,"",O242),_xll.ciqfunctions.udf.CIQ(O$6,$F$2, $A243, $I$2, $I$3)))</f>
        <v/>
      </c>
      <c r="P243" s="254" t="str">
        <f>IF(P$6="","",IF(NOT(ISNUMBER(_xll.ciqfunctions.udf.CIQ(P$6,$F$2, $A243, $I$2, $I$3))),IF(P242=P$6,"",P242),_xll.ciqfunctions.udf.CIQ(P$6,$F$2, $A243, $I$2, $I$3)))</f>
        <v/>
      </c>
      <c r="Q243" s="254"/>
      <c r="R243" s="251">
        <f t="shared" si="124"/>
        <v>44477</v>
      </c>
      <c r="S243" s="255">
        <f t="shared" si="126"/>
        <v>0.93756936736958929</v>
      </c>
      <c r="T243" s="255">
        <f t="shared" si="127"/>
        <v>0.68155049443196547</v>
      </c>
      <c r="U243" s="255">
        <f t="shared" si="128"/>
        <v>0.59427487552542901</v>
      </c>
      <c r="V243" s="255">
        <f t="shared" si="142"/>
        <v>1.1561177717065685</v>
      </c>
      <c r="W243" s="255">
        <f t="array" ref="W243">IFERROR(AVERAGE(IF(ISERROR(X243:AG243),"",X243:AG243)),"")</f>
        <v>1.6945554296618761</v>
      </c>
      <c r="X243" s="255">
        <f t="shared" si="143"/>
        <v>1.6945554296618761</v>
      </c>
      <c r="Y243" s="255" t="e">
        <f t="shared" si="144"/>
        <v>#N/A</v>
      </c>
      <c r="Z243" s="255" t="e">
        <f t="shared" si="145"/>
        <v>#N/A</v>
      </c>
      <c r="AA243" s="255" t="e">
        <f t="shared" si="146"/>
        <v>#N/A</v>
      </c>
      <c r="AB243" s="255" t="e">
        <f t="shared" si="147"/>
        <v>#N/A</v>
      </c>
      <c r="AC243" s="255" t="e">
        <f t="shared" si="148"/>
        <v>#N/A</v>
      </c>
      <c r="AD243" s="255" t="e">
        <f t="shared" si="149"/>
        <v>#N/A</v>
      </c>
      <c r="AE243" s="255" t="e">
        <f t="shared" si="150"/>
        <v>#N/A</v>
      </c>
      <c r="AF243" s="255" t="e">
        <f t="shared" si="151"/>
        <v>#N/A</v>
      </c>
      <c r="AG243" s="255" t="e">
        <f t="shared" si="152"/>
        <v>#N/A</v>
      </c>
      <c r="AI243" s="251">
        <f t="shared" si="125"/>
        <v>44477</v>
      </c>
      <c r="AJ243" s="718">
        <f>IF(OR($B243="No",AJ$6=""),"",IF(NOT(ISNUMBER(_xll.ciqfunctions.udf.CIQ(AJ$6,"IQ_TEV",$AI243,$I$2,$I$3))),"",_xll.ciqfunctions.udf.CIQ(AJ$6,"IQ_TEV",$AI243,$I$2,$I$3)))</f>
        <v>434703.60498</v>
      </c>
      <c r="AK243" s="718">
        <f>IF(OR($B243="No",AK$6=""),"",IF(NOT(ISNUMBER(_xll.ciqfunctions.udf.CIQ(AK$6,"IQ_TEV",$AI243,$I$2,$I$3))),"",_xll.ciqfunctions.udf.CIQ(AK$6,"IQ_TEV",$AI243,$I$2,$I$3)))</f>
        <v>199384.08900000001</v>
      </c>
      <c r="AL243" s="718" t="str">
        <f>IF(OR($B243="No",AL$6=""),"",IF(NOT(ISNUMBER(_xll.ciqfunctions.udf.CIQ(AL$6,"IQ_TEV",$AI243,$I$2,$I$3))),"",_xll.ciqfunctions.udf.CIQ(AL$6,"IQ_TEV",$AI243,$I$2,$I$3)))</f>
        <v/>
      </c>
      <c r="AM243" s="718" t="str">
        <f>IF(OR($B243="No",AM$6=""),"",IF(NOT(ISNUMBER(_xll.ciqfunctions.udf.CIQ(AM$6,"IQ_TEV",$AI243,$I$2,$I$3))),"",_xll.ciqfunctions.udf.CIQ(AM$6,"IQ_TEV",$AI243,$I$2,$I$3)))</f>
        <v/>
      </c>
      <c r="AN243" s="718" t="str">
        <f>IF(OR($B243="No",AN$6=""),"",IF(NOT(ISNUMBER(_xll.ciqfunctions.udf.CIQ(AN$6,"IQ_TEV",$AI243,$I$2,$I$3))),"",_xll.ciqfunctions.udf.CIQ(AN$6,"IQ_TEV",$AI243,$I$2,$I$3)))</f>
        <v/>
      </c>
      <c r="AO243" s="718" t="str">
        <f>IF(OR($B243="No",AO$6=""),"",IF(NOT(ISNUMBER(_xll.ciqfunctions.udf.CIQ(AO$6,"IQ_TEV",$AI243,$I$2,$I$3))),"",_xll.ciqfunctions.udf.CIQ(AO$6,"IQ_TEV",$AI243,$I$2,$I$3)))</f>
        <v/>
      </c>
      <c r="AP243" s="718" t="str">
        <f>IF(OR($B243="No",AP$6=""),"",IF(NOT(ISNUMBER(_xll.ciqfunctions.udf.CIQ(AP$6,"IQ_TEV",$AI243,$I$2,$I$3))),"",_xll.ciqfunctions.udf.CIQ(AP$6,"IQ_TEV",$AI243,$I$2,$I$3)))</f>
        <v/>
      </c>
      <c r="AQ243" s="718" t="str">
        <f>IF(OR($B243="No",AQ$6=""),"",IF(NOT(ISNUMBER(_xll.ciqfunctions.udf.CIQ(AQ$6,"IQ_TEV",$AI243,$I$2,$I$3))),"",_xll.ciqfunctions.udf.CIQ(AQ$6,"IQ_TEV",$AI243,$I$2,$I$3)))</f>
        <v/>
      </c>
      <c r="AR243" s="718" t="str">
        <f>IF(OR($B243="No",AR$6=""),"",IF(NOT(ISNUMBER(_xll.ciqfunctions.udf.CIQ(AR$6,"IQ_TEV",$AI243,$I$2,$I$3))),"",_xll.ciqfunctions.udf.CIQ(AR$6,"IQ_TEV",$AI243,$I$2,$I$3)))</f>
        <v/>
      </c>
      <c r="AS243" s="718" t="str">
        <f>IF(OR($B243="No",AS$6=""),"",IF(NOT(ISNUMBER(_xll.ciqfunctions.udf.CIQ(AS$6,"IQ_TEV",$AI243,$I$2,$I$3))),"",_xll.ciqfunctions.udf.CIQ(AS$6,"IQ_TEV",$AI243,$I$2,$I$3)))</f>
        <v/>
      </c>
      <c r="AT243" s="718" t="str">
        <f>IF(OR($B243="No",AT$6=""),"",IF(NOT(ISNUMBER(_xll.ciqfunctions.udf.CIQ(AT$6,"IQ_TEV",$AI243,$I$2,$I$3))),"",_xll.ciqfunctions.udf.CIQ(AT$6,"IQ_TEV",$AI243,$I$2,$I$3)))</f>
        <v/>
      </c>
      <c r="AV243" s="251">
        <f t="shared" si="129"/>
        <v>44477</v>
      </c>
      <c r="AW243" s="719">
        <f t="shared" si="130"/>
        <v>0.6651655184064007</v>
      </c>
      <c r="AX243" s="719">
        <f t="shared" si="131"/>
        <v>1.7318558964579398</v>
      </c>
      <c r="AY243" s="719" t="e">
        <f t="shared" si="132"/>
        <v>#N/A</v>
      </c>
      <c r="AZ243" s="719" t="e">
        <f t="shared" si="133"/>
        <v>#N/A</v>
      </c>
      <c r="BA243" s="719" t="e">
        <f t="shared" si="134"/>
        <v>#N/A</v>
      </c>
      <c r="BB243" s="719" t="e">
        <f t="shared" si="135"/>
        <v>#N/A</v>
      </c>
      <c r="BC243" s="719" t="e">
        <f t="shared" si="136"/>
        <v>#N/A</v>
      </c>
      <c r="BD243" s="719" t="e">
        <f t="shared" si="137"/>
        <v>#N/A</v>
      </c>
      <c r="BE243" s="719" t="e">
        <f t="shared" si="138"/>
        <v>#N/A</v>
      </c>
      <c r="BF243" s="719" t="e">
        <f t="shared" si="139"/>
        <v>#N/A</v>
      </c>
      <c r="BG243" s="719" t="e">
        <f t="shared" si="140"/>
        <v>#N/A</v>
      </c>
    </row>
    <row r="244" spans="1:59" ht="15" customHeight="1" x14ac:dyDescent="0.2">
      <c r="A244" s="251">
        <f t="shared" si="123"/>
        <v>44484</v>
      </c>
      <c r="B244" s="253" t="str">
        <f t="shared" si="141"/>
        <v>Yes</v>
      </c>
      <c r="C244" s="1033">
        <f>IF(C$6="","",IF(NOT(ISNUMBER(_xll.ciqfunctions.udf.CIQ(C$6,$F$2, $A244, $I$2, $I$3))),IF(C243=C$6,"",C243),_xll.ciqfunctions.udf.CIQ(C$6,$F$2, $A244, $I$2, $I$3)))</f>
        <v>140.55000000000001</v>
      </c>
      <c r="D244" s="1033">
        <f>IF(D$6="","",IF(NOT(ISNUMBER(_xll.ciqfunctions.udf.CIQ(D$6,$F$2, $A244, $I$2, $I$3))),IF(D243=D$6,"",D243),_xll.ciqfunctions.udf.CIQ(D$6,$F$2, $A244, $I$2, $I$3)))</f>
        <v>35294.756070000003</v>
      </c>
      <c r="E244" s="1033">
        <f>IF(E$6="","",IF(NOT(ISNUMBER(_xll.ciqfunctions.udf.CIQ(E$6,$F$2, $A244, $I$2, $I$3))),IF(E243=E$6,"",E243),_xll.ciqfunctions.udf.CIQ(E$6,$F$2, $A244, $I$2, $I$3)))</f>
        <v>11654.47213</v>
      </c>
      <c r="F244" s="1033">
        <f>IF(F$6="","",IF(NOT(ISNUMBER(_xll.ciqfunctions.udf.CIQ(F$6,$F$2, $A244, $I$2, $I$3))),IF(F243=F$6,"",F243),_xll.ciqfunctions.udf.CIQ(F$6,$F$2, $A244, $I$2, $I$3)))</f>
        <v>9555.0278500000004</v>
      </c>
      <c r="G244" s="1033">
        <f>IF(G$6="","",IF(NOT(ISNUMBER(_xll.ciqfunctions.udf.CIQ(G$6,$F$2, $A244, $I$2, $I$3))),IF(G243=G$6,"",G243),_xll.ciqfunctions.udf.CIQ(G$6,$F$2, $A244, $I$2, $I$3)))</f>
        <v>452.39</v>
      </c>
      <c r="H244" s="1033" t="str">
        <f>IF(H$6="","",IF(NOT(ISNUMBER(_xll.ciqfunctions.udf.CIQ(H$6,$F$2, $A244, $I$2, $I$3))),IF(H243=H$6,"",H243),_xll.ciqfunctions.udf.CIQ(H$6,$F$2, $A244, $I$2, $I$3)))</f>
        <v/>
      </c>
      <c r="I244" s="1033" t="str">
        <f>IF(I$6="","",IF(NOT(ISNUMBER(_xll.ciqfunctions.udf.CIQ(I$6,$F$2, $A244, $I$2, $I$3))),IF(I243=I$6,"",I243),_xll.ciqfunctions.udf.CIQ(I$6,$F$2, $A244, $I$2, $I$3)))</f>
        <v/>
      </c>
      <c r="J244" s="1033" t="str">
        <f>IF(J$6="","",IF(NOT(ISNUMBER(_xll.ciqfunctions.udf.CIQ(J$6,$F$2, $A244, $I$2, $I$3))),IF(J243=J$6,"",J243),_xll.ciqfunctions.udf.CIQ(J$6,$F$2, $A244, $I$2, $I$3)))</f>
        <v/>
      </c>
      <c r="K244" s="1033" t="str">
        <f>IF(K$6="","",IF(NOT(ISNUMBER(_xll.ciqfunctions.udf.CIQ(K$6,$F$2, $A244, $I$2, $I$3))),IF(K243=K$6,"",K243),_xll.ciqfunctions.udf.CIQ(K$6,$F$2, $A244, $I$2, $I$3)))</f>
        <v/>
      </c>
      <c r="L244" s="254" t="str">
        <f>IF(L$6="","",IF(NOT(ISNUMBER(_xll.ciqfunctions.udf.CIQ(L$6,$F$2, $A244, $I$2, $I$3))),IF(L243=L$6,"",L243),_xll.ciqfunctions.udf.CIQ(L$6,$F$2, $A244, $I$2, $I$3)))</f>
        <v/>
      </c>
      <c r="M244" s="254" t="str">
        <f>IF(M$6="","",IF(NOT(ISNUMBER(_xll.ciqfunctions.udf.CIQ(M$6,$F$2, $A244, $I$2, $I$3))),IF(M243=M$6,"",M243),_xll.ciqfunctions.udf.CIQ(M$6,$F$2, $A244, $I$2, $I$3)))</f>
        <v/>
      </c>
      <c r="N244" s="254" t="str">
        <f>IF(N$6="","",IF(NOT(ISNUMBER(_xll.ciqfunctions.udf.CIQ(N$6,$F$2, $A244, $I$2, $I$3))),IF(N243=N$6,"",N243),_xll.ciqfunctions.udf.CIQ(N$6,$F$2, $A244, $I$2, $I$3)))</f>
        <v/>
      </c>
      <c r="O244" s="254" t="str">
        <f>IF(O$6="","",IF(NOT(ISNUMBER(_xll.ciqfunctions.udf.CIQ(O$6,$F$2, $A244, $I$2, $I$3))),IF(O243=O$6,"",O243),_xll.ciqfunctions.udf.CIQ(O$6,$F$2, $A244, $I$2, $I$3)))</f>
        <v/>
      </c>
      <c r="P244" s="254" t="str">
        <f>IF(P$6="","",IF(NOT(ISNUMBER(_xll.ciqfunctions.udf.CIQ(P$6,$F$2, $A244, $I$2, $I$3))),IF(P243=P$6,"",P243),_xll.ciqfunctions.udf.CIQ(P$6,$F$2, $A244, $I$2, $I$3)))</f>
        <v/>
      </c>
      <c r="Q244" s="254"/>
      <c r="R244" s="251">
        <f t="shared" si="124"/>
        <v>44484</v>
      </c>
      <c r="S244" s="255">
        <f t="shared" si="126"/>
        <v>0.94991675915649298</v>
      </c>
      <c r="T244" s="255">
        <f t="shared" si="127"/>
        <v>0.70809555623076714</v>
      </c>
      <c r="U244" s="255">
        <f t="shared" si="128"/>
        <v>0.62867015730456344</v>
      </c>
      <c r="V244" s="255">
        <f t="shared" si="142"/>
        <v>1.1766752488473022</v>
      </c>
      <c r="W244" s="255">
        <f t="array" ref="W244">IFERROR(AVERAGE(IF(ISERROR(X244:AG244),"",X244:AG244)),"")</f>
        <v>1.6977756574631759</v>
      </c>
      <c r="X244" s="255">
        <f t="shared" si="143"/>
        <v>1.6977756574631759</v>
      </c>
      <c r="Y244" s="255" t="e">
        <f t="shared" si="144"/>
        <v>#N/A</v>
      </c>
      <c r="Z244" s="255" t="e">
        <f t="shared" si="145"/>
        <v>#N/A</v>
      </c>
      <c r="AA244" s="255" t="e">
        <f t="shared" si="146"/>
        <v>#N/A</v>
      </c>
      <c r="AB244" s="255" t="e">
        <f t="shared" si="147"/>
        <v>#N/A</v>
      </c>
      <c r="AC244" s="255" t="e">
        <f t="shared" si="148"/>
        <v>#N/A</v>
      </c>
      <c r="AD244" s="255" t="e">
        <f t="shared" si="149"/>
        <v>#N/A</v>
      </c>
      <c r="AE244" s="255" t="e">
        <f t="shared" si="150"/>
        <v>#N/A</v>
      </c>
      <c r="AF244" s="255" t="e">
        <f t="shared" si="151"/>
        <v>#N/A</v>
      </c>
      <c r="AG244" s="255" t="e">
        <f t="shared" si="152"/>
        <v>#N/A</v>
      </c>
      <c r="AI244" s="251">
        <f t="shared" si="125"/>
        <v>44484</v>
      </c>
      <c r="AJ244" s="718">
        <f>IF(OR($B244="No",AJ$6=""),"",IF(NOT(ISNUMBER(_xll.ciqfunctions.udf.CIQ(AJ$6,"IQ_TEV",$AI244,$I$2,$I$3))),"",_xll.ciqfunctions.udf.CIQ(AJ$6,"IQ_TEV",$AI244,$I$2,$I$3)))</f>
        <v>437185.36803999997</v>
      </c>
      <c r="AK244" s="718">
        <f>IF(OR($B244="No",AK$6=""),"",IF(NOT(ISNUMBER(_xll.ciqfunctions.udf.CIQ(AK$6,"IQ_TEV",$AI244,$I$2,$I$3))),"",_xll.ciqfunctions.udf.CIQ(AK$6,"IQ_TEV",$AI244,$I$2,$I$3)))</f>
        <v>199622.67386000001</v>
      </c>
      <c r="AL244" s="718" t="str">
        <f>IF(OR($B244="No",AL$6=""),"",IF(NOT(ISNUMBER(_xll.ciqfunctions.udf.CIQ(AL$6,"IQ_TEV",$AI244,$I$2,$I$3))),"",_xll.ciqfunctions.udf.CIQ(AL$6,"IQ_TEV",$AI244,$I$2,$I$3)))</f>
        <v/>
      </c>
      <c r="AM244" s="718" t="str">
        <f>IF(OR($B244="No",AM$6=""),"",IF(NOT(ISNUMBER(_xll.ciqfunctions.udf.CIQ(AM$6,"IQ_TEV",$AI244,$I$2,$I$3))),"",_xll.ciqfunctions.udf.CIQ(AM$6,"IQ_TEV",$AI244,$I$2,$I$3)))</f>
        <v/>
      </c>
      <c r="AN244" s="718" t="str">
        <f>IF(OR($B244="No",AN$6=""),"",IF(NOT(ISNUMBER(_xll.ciqfunctions.udf.CIQ(AN$6,"IQ_TEV",$AI244,$I$2,$I$3))),"",_xll.ciqfunctions.udf.CIQ(AN$6,"IQ_TEV",$AI244,$I$2,$I$3)))</f>
        <v/>
      </c>
      <c r="AO244" s="718" t="str">
        <f>IF(OR($B244="No",AO$6=""),"",IF(NOT(ISNUMBER(_xll.ciqfunctions.udf.CIQ(AO$6,"IQ_TEV",$AI244,$I$2,$I$3))),"",_xll.ciqfunctions.udf.CIQ(AO$6,"IQ_TEV",$AI244,$I$2,$I$3)))</f>
        <v/>
      </c>
      <c r="AP244" s="718" t="str">
        <f>IF(OR($B244="No",AP$6=""),"",IF(NOT(ISNUMBER(_xll.ciqfunctions.udf.CIQ(AP$6,"IQ_TEV",$AI244,$I$2,$I$3))),"",_xll.ciqfunctions.udf.CIQ(AP$6,"IQ_TEV",$AI244,$I$2,$I$3)))</f>
        <v/>
      </c>
      <c r="AQ244" s="718" t="str">
        <f>IF(OR($B244="No",AQ$6=""),"",IF(NOT(ISNUMBER(_xll.ciqfunctions.udf.CIQ(AQ$6,"IQ_TEV",$AI244,$I$2,$I$3))),"",_xll.ciqfunctions.udf.CIQ(AQ$6,"IQ_TEV",$AI244,$I$2,$I$3)))</f>
        <v/>
      </c>
      <c r="AR244" s="718" t="str">
        <f>IF(OR($B244="No",AR$6=""),"",IF(NOT(ISNUMBER(_xll.ciqfunctions.udf.CIQ(AR$6,"IQ_TEV",$AI244,$I$2,$I$3))),"",_xll.ciqfunctions.udf.CIQ(AR$6,"IQ_TEV",$AI244,$I$2,$I$3)))</f>
        <v/>
      </c>
      <c r="AS244" s="718" t="str">
        <f>IF(OR($B244="No",AS$6=""),"",IF(NOT(ISNUMBER(_xll.ciqfunctions.udf.CIQ(AS$6,"IQ_TEV",$AI244,$I$2,$I$3))),"",_xll.ciqfunctions.udf.CIQ(AS$6,"IQ_TEV",$AI244,$I$2,$I$3)))</f>
        <v/>
      </c>
      <c r="AT244" s="718" t="str">
        <f>IF(OR($B244="No",AT$6=""),"",IF(NOT(ISNUMBER(_xll.ciqfunctions.udf.CIQ(AT$6,"IQ_TEV",$AI244,$I$2,$I$3))),"",_xll.ciqfunctions.udf.CIQ(AT$6,"IQ_TEV",$AI244,$I$2,$I$3)))</f>
        <v/>
      </c>
      <c r="AV244" s="251">
        <f t="shared" si="129"/>
        <v>44484</v>
      </c>
      <c r="AW244" s="719">
        <f t="shared" si="130"/>
        <v>0.67467210226037366</v>
      </c>
      <c r="AX244" s="719">
        <f t="shared" si="131"/>
        <v>1.7351248606960872</v>
      </c>
      <c r="AY244" s="719" t="e">
        <f t="shared" si="132"/>
        <v>#N/A</v>
      </c>
      <c r="AZ244" s="719" t="e">
        <f t="shared" si="133"/>
        <v>#N/A</v>
      </c>
      <c r="BA244" s="719" t="e">
        <f t="shared" si="134"/>
        <v>#N/A</v>
      </c>
      <c r="BB244" s="719" t="e">
        <f t="shared" si="135"/>
        <v>#N/A</v>
      </c>
      <c r="BC244" s="719" t="e">
        <f t="shared" si="136"/>
        <v>#N/A</v>
      </c>
      <c r="BD244" s="719" t="e">
        <f t="shared" si="137"/>
        <v>#N/A</v>
      </c>
      <c r="BE244" s="719" t="e">
        <f t="shared" si="138"/>
        <v>#N/A</v>
      </c>
      <c r="BF244" s="719" t="e">
        <f t="shared" si="139"/>
        <v>#N/A</v>
      </c>
      <c r="BG244" s="719" t="e">
        <f t="shared" si="140"/>
        <v>#N/A</v>
      </c>
    </row>
    <row r="245" spans="1:59" ht="15" customHeight="1" x14ac:dyDescent="0.2">
      <c r="A245" s="251">
        <f t="shared" si="123"/>
        <v>44491</v>
      </c>
      <c r="B245" s="253" t="str">
        <f t="shared" si="141"/>
        <v>Yes</v>
      </c>
      <c r="C245" s="1033">
        <f>IF(C$6="","",IF(NOT(ISNUMBER(_xll.ciqfunctions.udf.CIQ(C$6,$F$2, $A245, $I$2, $I$3))),IF(C244=C$6,"",C244),_xll.ciqfunctions.udf.CIQ(C$6,$F$2, $A245, $I$2, $I$3)))</f>
        <v>148.34</v>
      </c>
      <c r="D245" s="1033">
        <f>IF(D$6="","",IF(NOT(ISNUMBER(_xll.ciqfunctions.udf.CIQ(D$6,$F$2, $A245, $I$2, $I$3))),IF(D244=D$6,"",D244),_xll.ciqfunctions.udf.CIQ(D$6,$F$2, $A245, $I$2, $I$3)))</f>
        <v>35677.018539999997</v>
      </c>
      <c r="E245" s="1033">
        <f>IF(E$6="","",IF(NOT(ISNUMBER(_xll.ciqfunctions.udf.CIQ(E$6,$F$2, $A245, $I$2, $I$3))),IF(E244=E$6,"",E244),_xll.ciqfunctions.udf.CIQ(E$6,$F$2, $A245, $I$2, $I$3)))</f>
        <v>11889.46197</v>
      </c>
      <c r="F245" s="1033">
        <f>IF(F$6="","",IF(NOT(ISNUMBER(_xll.ciqfunctions.udf.CIQ(F$6,$F$2, $A245, $I$2, $I$3))),IF(F244=F$6,"",F244),_xll.ciqfunctions.udf.CIQ(F$6,$F$2, $A245, $I$2, $I$3)))</f>
        <v>9839.7654999999995</v>
      </c>
      <c r="G245" s="1033">
        <f>IF(G$6="","",IF(NOT(ISNUMBER(_xll.ciqfunctions.udf.CIQ(G$6,$F$2, $A245, $I$2, $I$3))),IF(G244=G$6,"",G244),_xll.ciqfunctions.udf.CIQ(G$6,$F$2, $A245, $I$2, $I$3)))</f>
        <v>481.99</v>
      </c>
      <c r="H245" s="1033" t="str">
        <f>IF(H$6="","",IF(NOT(ISNUMBER(_xll.ciqfunctions.udf.CIQ(H$6,$F$2, $A245, $I$2, $I$3))),IF(H244=H$6,"",H244),_xll.ciqfunctions.udf.CIQ(H$6,$F$2, $A245, $I$2, $I$3)))</f>
        <v/>
      </c>
      <c r="I245" s="1033" t="str">
        <f>IF(I$6="","",IF(NOT(ISNUMBER(_xll.ciqfunctions.udf.CIQ(I$6,$F$2, $A245, $I$2, $I$3))),IF(I244=I$6,"",I244),_xll.ciqfunctions.udf.CIQ(I$6,$F$2, $A245, $I$2, $I$3)))</f>
        <v/>
      </c>
      <c r="J245" s="1033" t="str">
        <f>IF(J$6="","",IF(NOT(ISNUMBER(_xll.ciqfunctions.udf.CIQ(J$6,$F$2, $A245, $I$2, $I$3))),IF(J244=J$6,"",J244),_xll.ciqfunctions.udf.CIQ(J$6,$F$2, $A245, $I$2, $I$3)))</f>
        <v/>
      </c>
      <c r="K245" s="1033" t="str">
        <f>IF(K$6="","",IF(NOT(ISNUMBER(_xll.ciqfunctions.udf.CIQ(K$6,$F$2, $A245, $I$2, $I$3))),IF(K244=K$6,"",K244),_xll.ciqfunctions.udf.CIQ(K$6,$F$2, $A245, $I$2, $I$3)))</f>
        <v/>
      </c>
      <c r="L245" s="254" t="str">
        <f>IF(L$6="","",IF(NOT(ISNUMBER(_xll.ciqfunctions.udf.CIQ(L$6,$F$2, $A245, $I$2, $I$3))),IF(L244=L$6,"",L244),_xll.ciqfunctions.udf.CIQ(L$6,$F$2, $A245, $I$2, $I$3)))</f>
        <v/>
      </c>
      <c r="M245" s="254" t="str">
        <f>IF(M$6="","",IF(NOT(ISNUMBER(_xll.ciqfunctions.udf.CIQ(M$6,$F$2, $A245, $I$2, $I$3))),IF(M244=M$6,"",M244),_xll.ciqfunctions.udf.CIQ(M$6,$F$2, $A245, $I$2, $I$3)))</f>
        <v/>
      </c>
      <c r="N245" s="254" t="str">
        <f>IF(N$6="","",IF(NOT(ISNUMBER(_xll.ciqfunctions.udf.CIQ(N$6,$F$2, $A245, $I$2, $I$3))),IF(N244=N$6,"",N244),_xll.ciqfunctions.udf.CIQ(N$6,$F$2, $A245, $I$2, $I$3)))</f>
        <v/>
      </c>
      <c r="O245" s="254" t="str">
        <f>IF(O$6="","",IF(NOT(ISNUMBER(_xll.ciqfunctions.udf.CIQ(O$6,$F$2, $A245, $I$2, $I$3))),IF(O244=O$6,"",O244),_xll.ciqfunctions.udf.CIQ(O$6,$F$2, $A245, $I$2, $I$3)))</f>
        <v/>
      </c>
      <c r="P245" s="254" t="str">
        <f>IF(P$6="","",IF(NOT(ISNUMBER(_xll.ciqfunctions.udf.CIQ(P$6,$F$2, $A245, $I$2, $I$3))),IF(P244=P$6,"",P244),_xll.ciqfunctions.udf.CIQ(P$6,$F$2, $A245, $I$2, $I$3)))</f>
        <v/>
      </c>
      <c r="Q245" s="254"/>
      <c r="R245" s="251">
        <f t="shared" si="124"/>
        <v>44491</v>
      </c>
      <c r="S245" s="255">
        <f t="shared" si="126"/>
        <v>1.0579911209766926</v>
      </c>
      <c r="T245" s="255">
        <f t="shared" si="127"/>
        <v>0.72659521167606367</v>
      </c>
      <c r="U245" s="255">
        <f t="shared" si="128"/>
        <v>0.66150913408606926</v>
      </c>
      <c r="V245" s="255">
        <f t="shared" si="142"/>
        <v>1.2415396746657934</v>
      </c>
      <c r="W245" s="255">
        <f t="array" ref="W245">IFERROR(AVERAGE(IF(ISERROR(X245:AG245),"",X245:AG245)),"")</f>
        <v>1.8742918480529549</v>
      </c>
      <c r="X245" s="255">
        <f t="shared" si="143"/>
        <v>1.8742918480529549</v>
      </c>
      <c r="Y245" s="255" t="e">
        <f t="shared" si="144"/>
        <v>#N/A</v>
      </c>
      <c r="Z245" s="255" t="e">
        <f t="shared" si="145"/>
        <v>#N/A</v>
      </c>
      <c r="AA245" s="255" t="e">
        <f t="shared" si="146"/>
        <v>#N/A</v>
      </c>
      <c r="AB245" s="255" t="e">
        <f t="shared" si="147"/>
        <v>#N/A</v>
      </c>
      <c r="AC245" s="255" t="e">
        <f t="shared" si="148"/>
        <v>#N/A</v>
      </c>
      <c r="AD245" s="255" t="e">
        <f t="shared" si="149"/>
        <v>#N/A</v>
      </c>
      <c r="AE245" s="255" t="e">
        <f t="shared" si="150"/>
        <v>#N/A</v>
      </c>
      <c r="AF245" s="255" t="e">
        <f t="shared" si="151"/>
        <v>#N/A</v>
      </c>
      <c r="AG245" s="255" t="e">
        <f t="shared" si="152"/>
        <v>#N/A</v>
      </c>
      <c r="AI245" s="251">
        <f t="shared" si="125"/>
        <v>44491</v>
      </c>
      <c r="AJ245" s="718">
        <f>IF(OR($B245="No",AJ$6=""),"",IF(NOT(ISNUMBER(_xll.ciqfunctions.udf.CIQ(AJ$6,"IQ_TEV",$AI245,$I$2,$I$3))),"",_xll.ciqfunctions.udf.CIQ(AJ$6,"IQ_TEV",$AI245,$I$2,$I$3)))</f>
        <v>458907.76603</v>
      </c>
      <c r="AK245" s="718">
        <f>IF(OR($B245="No",AK$6=""),"",IF(NOT(ISNUMBER(_xll.ciqfunctions.udf.CIQ(AK$6,"IQ_TEV",$AI245,$I$2,$I$3))),"",_xll.ciqfunctions.udf.CIQ(AK$6,"IQ_TEV",$AI245,$I$2,$I$3)))</f>
        <v>212700.65865999999</v>
      </c>
      <c r="AL245" s="718" t="str">
        <f>IF(OR($B245="No",AL$6=""),"",IF(NOT(ISNUMBER(_xll.ciqfunctions.udf.CIQ(AL$6,"IQ_TEV",$AI245,$I$2,$I$3))),"",_xll.ciqfunctions.udf.CIQ(AL$6,"IQ_TEV",$AI245,$I$2,$I$3)))</f>
        <v/>
      </c>
      <c r="AM245" s="718" t="str">
        <f>IF(OR($B245="No",AM$6=""),"",IF(NOT(ISNUMBER(_xll.ciqfunctions.udf.CIQ(AM$6,"IQ_TEV",$AI245,$I$2,$I$3))),"",_xll.ciqfunctions.udf.CIQ(AM$6,"IQ_TEV",$AI245,$I$2,$I$3)))</f>
        <v/>
      </c>
      <c r="AN245" s="718" t="str">
        <f>IF(OR($B245="No",AN$6=""),"",IF(NOT(ISNUMBER(_xll.ciqfunctions.udf.CIQ(AN$6,"IQ_TEV",$AI245,$I$2,$I$3))),"",_xll.ciqfunctions.udf.CIQ(AN$6,"IQ_TEV",$AI245,$I$2,$I$3)))</f>
        <v/>
      </c>
      <c r="AO245" s="718" t="str">
        <f>IF(OR($B245="No",AO$6=""),"",IF(NOT(ISNUMBER(_xll.ciqfunctions.udf.CIQ(AO$6,"IQ_TEV",$AI245,$I$2,$I$3))),"",_xll.ciqfunctions.udf.CIQ(AO$6,"IQ_TEV",$AI245,$I$2,$I$3)))</f>
        <v/>
      </c>
      <c r="AP245" s="718" t="str">
        <f>IF(OR($B245="No",AP$6=""),"",IF(NOT(ISNUMBER(_xll.ciqfunctions.udf.CIQ(AP$6,"IQ_TEV",$AI245,$I$2,$I$3))),"",_xll.ciqfunctions.udf.CIQ(AP$6,"IQ_TEV",$AI245,$I$2,$I$3)))</f>
        <v/>
      </c>
      <c r="AQ245" s="718" t="str">
        <f>IF(OR($B245="No",AQ$6=""),"",IF(NOT(ISNUMBER(_xll.ciqfunctions.udf.CIQ(AQ$6,"IQ_TEV",$AI245,$I$2,$I$3))),"",_xll.ciqfunctions.udf.CIQ(AQ$6,"IQ_TEV",$AI245,$I$2,$I$3)))</f>
        <v/>
      </c>
      <c r="AR245" s="718" t="str">
        <f>IF(OR($B245="No",AR$6=""),"",IF(NOT(ISNUMBER(_xll.ciqfunctions.udf.CIQ(AR$6,"IQ_TEV",$AI245,$I$2,$I$3))),"",_xll.ciqfunctions.udf.CIQ(AR$6,"IQ_TEV",$AI245,$I$2,$I$3)))</f>
        <v/>
      </c>
      <c r="AS245" s="718" t="str">
        <f>IF(OR($B245="No",AS$6=""),"",IF(NOT(ISNUMBER(_xll.ciqfunctions.udf.CIQ(AS$6,"IQ_TEV",$AI245,$I$2,$I$3))),"",_xll.ciqfunctions.udf.CIQ(AS$6,"IQ_TEV",$AI245,$I$2,$I$3)))</f>
        <v/>
      </c>
      <c r="AT245" s="718" t="str">
        <f>IF(OR($B245="No",AT$6=""),"",IF(NOT(ISNUMBER(_xll.ciqfunctions.udf.CIQ(AT$6,"IQ_TEV",$AI245,$I$2,$I$3))),"",_xll.ciqfunctions.udf.CIQ(AT$6,"IQ_TEV",$AI245,$I$2,$I$3)))</f>
        <v/>
      </c>
      <c r="AV245" s="251">
        <f t="shared" si="129"/>
        <v>44491</v>
      </c>
      <c r="AW245" s="719">
        <f t="shared" si="130"/>
        <v>0.75788141475667259</v>
      </c>
      <c r="AX245" s="719">
        <f t="shared" si="131"/>
        <v>1.9143125284225087</v>
      </c>
      <c r="AY245" s="719" t="e">
        <f t="shared" si="132"/>
        <v>#N/A</v>
      </c>
      <c r="AZ245" s="719" t="e">
        <f t="shared" si="133"/>
        <v>#N/A</v>
      </c>
      <c r="BA245" s="719" t="e">
        <f t="shared" si="134"/>
        <v>#N/A</v>
      </c>
      <c r="BB245" s="719" t="e">
        <f t="shared" si="135"/>
        <v>#N/A</v>
      </c>
      <c r="BC245" s="719" t="e">
        <f t="shared" si="136"/>
        <v>#N/A</v>
      </c>
      <c r="BD245" s="719" t="e">
        <f t="shared" si="137"/>
        <v>#N/A</v>
      </c>
      <c r="BE245" s="719" t="e">
        <f t="shared" si="138"/>
        <v>#N/A</v>
      </c>
      <c r="BF245" s="719" t="e">
        <f t="shared" si="139"/>
        <v>#N/A</v>
      </c>
      <c r="BG245" s="719" t="e">
        <f t="shared" si="140"/>
        <v>#N/A</v>
      </c>
    </row>
    <row r="246" spans="1:59" ht="15" customHeight="1" x14ac:dyDescent="0.2">
      <c r="A246" s="251">
        <f t="shared" si="123"/>
        <v>44498</v>
      </c>
      <c r="B246" s="253" t="str">
        <f t="shared" si="141"/>
        <v>Yes</v>
      </c>
      <c r="C246" s="1033">
        <f>IF(C$6="","",IF(NOT(ISNUMBER(_xll.ciqfunctions.udf.CIQ(C$6,$F$2, $A246, $I$2, $I$3))),IF(C245=C$6,"",C245),_xll.ciqfunctions.udf.CIQ(C$6,$F$2, $A246, $I$2, $I$3)))</f>
        <v>149.41999999999999</v>
      </c>
      <c r="D246" s="1033">
        <f>IF(D$6="","",IF(NOT(ISNUMBER(_xll.ciqfunctions.udf.CIQ(D$6,$F$2, $A246, $I$2, $I$3))),IF(D245=D$6,"",D245),_xll.ciqfunctions.udf.CIQ(D$6,$F$2, $A246, $I$2, $I$3)))</f>
        <v>35819.560440000001</v>
      </c>
      <c r="E246" s="1033">
        <f>IF(E$6="","",IF(NOT(ISNUMBER(_xll.ciqfunctions.udf.CIQ(E$6,$F$2, $A246, $I$2, $I$3))),IF(E245=E$6,"",E245),_xll.ciqfunctions.udf.CIQ(E$6,$F$2, $A246, $I$2, $I$3)))</f>
        <v>11936.288</v>
      </c>
      <c r="F246" s="1033">
        <f>IF(F$6="","",IF(NOT(ISNUMBER(_xll.ciqfunctions.udf.CIQ(F$6,$F$2, $A246, $I$2, $I$3))),IF(F245=F$6,"",F245),_xll.ciqfunctions.udf.CIQ(F$6,$F$2, $A246, $I$2, $I$3)))</f>
        <v>9819.0684500000007</v>
      </c>
      <c r="G246" s="1033">
        <f>IF(G$6="","",IF(NOT(ISNUMBER(_xll.ciqfunctions.udf.CIQ(G$6,$F$2, $A246, $I$2, $I$3))),IF(G245=G$6,"",G245),_xll.ciqfunctions.udf.CIQ(G$6,$F$2, $A246, $I$2, $I$3)))</f>
        <v>491.54</v>
      </c>
      <c r="H246" s="1033" t="str">
        <f>IF(H$6="","",IF(NOT(ISNUMBER(_xll.ciqfunctions.udf.CIQ(H$6,$F$2, $A246, $I$2, $I$3))),IF(H245=H$6,"",H245),_xll.ciqfunctions.udf.CIQ(H$6,$F$2, $A246, $I$2, $I$3)))</f>
        <v/>
      </c>
      <c r="I246" s="1033" t="str">
        <f>IF(I$6="","",IF(NOT(ISNUMBER(_xll.ciqfunctions.udf.CIQ(I$6,$F$2, $A246, $I$2, $I$3))),IF(I245=I$6,"",I245),_xll.ciqfunctions.udf.CIQ(I$6,$F$2, $A246, $I$2, $I$3)))</f>
        <v/>
      </c>
      <c r="J246" s="1033" t="str">
        <f>IF(J$6="","",IF(NOT(ISNUMBER(_xll.ciqfunctions.udf.CIQ(J$6,$F$2, $A246, $I$2, $I$3))),IF(J245=J$6,"",J245),_xll.ciqfunctions.udf.CIQ(J$6,$F$2, $A246, $I$2, $I$3)))</f>
        <v/>
      </c>
      <c r="K246" s="1033" t="str">
        <f>IF(K$6="","",IF(NOT(ISNUMBER(_xll.ciqfunctions.udf.CIQ(K$6,$F$2, $A246, $I$2, $I$3))),IF(K245=K$6,"",K245),_xll.ciqfunctions.udf.CIQ(K$6,$F$2, $A246, $I$2, $I$3)))</f>
        <v/>
      </c>
      <c r="L246" s="254" t="str">
        <f>IF(L$6="","",IF(NOT(ISNUMBER(_xll.ciqfunctions.udf.CIQ(L$6,$F$2, $A246, $I$2, $I$3))),IF(L245=L$6,"",L245),_xll.ciqfunctions.udf.CIQ(L$6,$F$2, $A246, $I$2, $I$3)))</f>
        <v/>
      </c>
      <c r="M246" s="254" t="str">
        <f>IF(M$6="","",IF(NOT(ISNUMBER(_xll.ciqfunctions.udf.CIQ(M$6,$F$2, $A246, $I$2, $I$3))),IF(M245=M$6,"",M245),_xll.ciqfunctions.udf.CIQ(M$6,$F$2, $A246, $I$2, $I$3)))</f>
        <v/>
      </c>
      <c r="N246" s="254" t="str">
        <f>IF(N$6="","",IF(NOT(ISNUMBER(_xll.ciqfunctions.udf.CIQ(N$6,$F$2, $A246, $I$2, $I$3))),IF(N245=N$6,"",N245),_xll.ciqfunctions.udf.CIQ(N$6,$F$2, $A246, $I$2, $I$3)))</f>
        <v/>
      </c>
      <c r="O246" s="254" t="str">
        <f>IF(O$6="","",IF(NOT(ISNUMBER(_xll.ciqfunctions.udf.CIQ(O$6,$F$2, $A246, $I$2, $I$3))),IF(O245=O$6,"",O245),_xll.ciqfunctions.udf.CIQ(O$6,$F$2, $A246, $I$2, $I$3)))</f>
        <v/>
      </c>
      <c r="P246" s="254" t="str">
        <f>IF(P$6="","",IF(NOT(ISNUMBER(_xll.ciqfunctions.udf.CIQ(P$6,$F$2, $A246, $I$2, $I$3))),IF(P245=P$6,"",P245),_xll.ciqfunctions.udf.CIQ(P$6,$F$2, $A246, $I$2, $I$3)))</f>
        <v/>
      </c>
      <c r="Q246" s="254"/>
      <c r="R246" s="251">
        <f t="shared" si="124"/>
        <v>44498</v>
      </c>
      <c r="S246" s="255">
        <f t="shared" si="126"/>
        <v>1.0729744728079909</v>
      </c>
      <c r="T246" s="255">
        <f t="shared" si="127"/>
        <v>0.73349355049681697</v>
      </c>
      <c r="U246" s="255">
        <f t="shared" si="128"/>
        <v>0.66805290173125798</v>
      </c>
      <c r="V246" s="255">
        <f t="shared" si="142"/>
        <v>1.2368248002388027</v>
      </c>
      <c r="W246" s="255">
        <f t="array" ref="W246">IFERROR(AVERAGE(IF(ISERROR(X246:AG246),"",X246:AG246)),"")</f>
        <v>1.9312421730574276</v>
      </c>
      <c r="X246" s="255">
        <f t="shared" si="143"/>
        <v>1.9312421730574276</v>
      </c>
      <c r="Y246" s="255" t="e">
        <f t="shared" si="144"/>
        <v>#N/A</v>
      </c>
      <c r="Z246" s="255" t="e">
        <f t="shared" si="145"/>
        <v>#N/A</v>
      </c>
      <c r="AA246" s="255" t="e">
        <f t="shared" si="146"/>
        <v>#N/A</v>
      </c>
      <c r="AB246" s="255" t="e">
        <f t="shared" si="147"/>
        <v>#N/A</v>
      </c>
      <c r="AC246" s="255" t="e">
        <f t="shared" si="148"/>
        <v>#N/A</v>
      </c>
      <c r="AD246" s="255" t="e">
        <f t="shared" si="149"/>
        <v>#N/A</v>
      </c>
      <c r="AE246" s="255" t="e">
        <f t="shared" si="150"/>
        <v>#N/A</v>
      </c>
      <c r="AF246" s="255" t="e">
        <f t="shared" si="151"/>
        <v>#N/A</v>
      </c>
      <c r="AG246" s="255" t="e">
        <f t="shared" si="152"/>
        <v>#N/A</v>
      </c>
      <c r="AI246" s="251">
        <f t="shared" si="125"/>
        <v>44498</v>
      </c>
      <c r="AJ246" s="718">
        <f>IF(OR($B246="No",AJ$6=""),"",IF(NOT(ISNUMBER(_xll.ciqfunctions.udf.CIQ(AJ$6,"IQ_TEV",$AI246,$I$2,$I$3))),"",_xll.ciqfunctions.udf.CIQ(AJ$6,"IQ_TEV",$AI246,$I$2,$I$3)))</f>
        <v>461919.34366999997</v>
      </c>
      <c r="AK246" s="718">
        <f>IF(OR($B246="No",AK$6=""),"",IF(NOT(ISNUMBER(_xll.ciqfunctions.udf.CIQ(AK$6,"IQ_TEV",$AI246,$I$2,$I$3))),"",_xll.ciqfunctions.udf.CIQ(AK$6,"IQ_TEV",$AI246,$I$2,$I$3)))</f>
        <v>216920.07605999999</v>
      </c>
      <c r="AL246" s="718" t="str">
        <f>IF(OR($B246="No",AL$6=""),"",IF(NOT(ISNUMBER(_xll.ciqfunctions.udf.CIQ(AL$6,"IQ_TEV",$AI246,$I$2,$I$3))),"",_xll.ciqfunctions.udf.CIQ(AL$6,"IQ_TEV",$AI246,$I$2,$I$3)))</f>
        <v/>
      </c>
      <c r="AM246" s="718" t="str">
        <f>IF(OR($B246="No",AM$6=""),"",IF(NOT(ISNUMBER(_xll.ciqfunctions.udf.CIQ(AM$6,"IQ_TEV",$AI246,$I$2,$I$3))),"",_xll.ciqfunctions.udf.CIQ(AM$6,"IQ_TEV",$AI246,$I$2,$I$3)))</f>
        <v/>
      </c>
      <c r="AN246" s="718" t="str">
        <f>IF(OR($B246="No",AN$6=""),"",IF(NOT(ISNUMBER(_xll.ciqfunctions.udf.CIQ(AN$6,"IQ_TEV",$AI246,$I$2,$I$3))),"",_xll.ciqfunctions.udf.CIQ(AN$6,"IQ_TEV",$AI246,$I$2,$I$3)))</f>
        <v/>
      </c>
      <c r="AO246" s="718" t="str">
        <f>IF(OR($B246="No",AO$6=""),"",IF(NOT(ISNUMBER(_xll.ciqfunctions.udf.CIQ(AO$6,"IQ_TEV",$AI246,$I$2,$I$3))),"",_xll.ciqfunctions.udf.CIQ(AO$6,"IQ_TEV",$AI246,$I$2,$I$3)))</f>
        <v/>
      </c>
      <c r="AP246" s="718" t="str">
        <f>IF(OR($B246="No",AP$6=""),"",IF(NOT(ISNUMBER(_xll.ciqfunctions.udf.CIQ(AP$6,"IQ_TEV",$AI246,$I$2,$I$3))),"",_xll.ciqfunctions.udf.CIQ(AP$6,"IQ_TEV",$AI246,$I$2,$I$3)))</f>
        <v/>
      </c>
      <c r="AQ246" s="718" t="str">
        <f>IF(OR($B246="No",AQ$6=""),"",IF(NOT(ISNUMBER(_xll.ciqfunctions.udf.CIQ(AQ$6,"IQ_TEV",$AI246,$I$2,$I$3))),"",_xll.ciqfunctions.udf.CIQ(AQ$6,"IQ_TEV",$AI246,$I$2,$I$3)))</f>
        <v/>
      </c>
      <c r="AR246" s="718" t="str">
        <f>IF(OR($B246="No",AR$6=""),"",IF(NOT(ISNUMBER(_xll.ciqfunctions.udf.CIQ(AR$6,"IQ_TEV",$AI246,$I$2,$I$3))),"",_xll.ciqfunctions.udf.CIQ(AR$6,"IQ_TEV",$AI246,$I$2,$I$3)))</f>
        <v/>
      </c>
      <c r="AS246" s="718" t="str">
        <f>IF(OR($B246="No",AS$6=""),"",IF(NOT(ISNUMBER(_xll.ciqfunctions.udf.CIQ(AS$6,"IQ_TEV",$AI246,$I$2,$I$3))),"",_xll.ciqfunctions.udf.CIQ(AS$6,"IQ_TEV",$AI246,$I$2,$I$3)))</f>
        <v/>
      </c>
      <c r="AT246" s="718" t="str">
        <f>IF(OR($B246="No",AT$6=""),"",IF(NOT(ISNUMBER(_xll.ciqfunctions.udf.CIQ(AT$6,"IQ_TEV",$AI246,$I$2,$I$3))),"",_xll.ciqfunctions.udf.CIQ(AT$6,"IQ_TEV",$AI246,$I$2,$I$3)))</f>
        <v/>
      </c>
      <c r="AV246" s="251">
        <f t="shared" si="129"/>
        <v>44498</v>
      </c>
      <c r="AW246" s="719">
        <f t="shared" si="130"/>
        <v>0.76941749401776449</v>
      </c>
      <c r="AX246" s="719">
        <f t="shared" si="131"/>
        <v>1.9721247659065502</v>
      </c>
      <c r="AY246" s="719" t="e">
        <f t="shared" si="132"/>
        <v>#N/A</v>
      </c>
      <c r="AZ246" s="719" t="e">
        <f t="shared" si="133"/>
        <v>#N/A</v>
      </c>
      <c r="BA246" s="719" t="e">
        <f t="shared" si="134"/>
        <v>#N/A</v>
      </c>
      <c r="BB246" s="719" t="e">
        <f t="shared" si="135"/>
        <v>#N/A</v>
      </c>
      <c r="BC246" s="719" t="e">
        <f t="shared" si="136"/>
        <v>#N/A</v>
      </c>
      <c r="BD246" s="719" t="e">
        <f t="shared" si="137"/>
        <v>#N/A</v>
      </c>
      <c r="BE246" s="719" t="e">
        <f t="shared" si="138"/>
        <v>#N/A</v>
      </c>
      <c r="BF246" s="719" t="e">
        <f t="shared" si="139"/>
        <v>#N/A</v>
      </c>
      <c r="BG246" s="719" t="e">
        <f t="shared" si="140"/>
        <v>#N/A</v>
      </c>
    </row>
    <row r="247" spans="1:59" ht="15" customHeight="1" x14ac:dyDescent="0.2">
      <c r="A247" s="251">
        <f t="shared" si="123"/>
        <v>44505</v>
      </c>
      <c r="B247" s="253" t="str">
        <f t="shared" si="141"/>
        <v>Yes</v>
      </c>
      <c r="C247" s="1033">
        <f>IF(C$6="","",IF(NOT(ISNUMBER(_xll.ciqfunctions.udf.CIQ(C$6,$F$2, $A247, $I$2, $I$3))),IF(C246=C$6,"",C246),_xll.ciqfunctions.udf.CIQ(C$6,$F$2, $A247, $I$2, $I$3)))</f>
        <v>150.22999999999999</v>
      </c>
      <c r="D247" s="1033">
        <f>IF(D$6="","",IF(NOT(ISNUMBER(_xll.ciqfunctions.udf.CIQ(D$6,$F$2, $A247, $I$2, $I$3))),IF(D246=D$6,"",D246),_xll.ciqfunctions.udf.CIQ(D$6,$F$2, $A247, $I$2, $I$3)))</f>
        <v>36327.95016</v>
      </c>
      <c r="E247" s="1033">
        <f>IF(E$6="","",IF(NOT(ISNUMBER(_xll.ciqfunctions.udf.CIQ(E$6,$F$2, $A247, $I$2, $I$3))),IF(E246=E$6,"",E246),_xll.ciqfunctions.udf.CIQ(E$6,$F$2, $A247, $I$2, $I$3)))</f>
        <v>12236.088739999999</v>
      </c>
      <c r="F247" s="1033">
        <f>IF(F$6="","",IF(NOT(ISNUMBER(_xll.ciqfunctions.udf.CIQ(F$6,$F$2, $A247, $I$2, $I$3))),IF(F246=F$6,"",F246),_xll.ciqfunctions.udf.CIQ(F$6,$F$2, $A247, $I$2, $I$3)))</f>
        <v>10596.03045</v>
      </c>
      <c r="G247" s="1033">
        <f>IF(G$6="","",IF(NOT(ISNUMBER(_xll.ciqfunctions.udf.CIQ(G$6,$F$2, $A247, $I$2, $I$3))),IF(G246=G$6,"",G246),_xll.ciqfunctions.udf.CIQ(G$6,$F$2, $A247, $I$2, $I$3)))</f>
        <v>513.12</v>
      </c>
      <c r="H247" s="1033" t="str">
        <f>IF(H$6="","",IF(NOT(ISNUMBER(_xll.ciqfunctions.udf.CIQ(H$6,$F$2, $A247, $I$2, $I$3))),IF(H246=H$6,"",H246),_xll.ciqfunctions.udf.CIQ(H$6,$F$2, $A247, $I$2, $I$3)))</f>
        <v/>
      </c>
      <c r="I247" s="1033" t="str">
        <f>IF(I$6="","",IF(NOT(ISNUMBER(_xll.ciqfunctions.udf.CIQ(I$6,$F$2, $A247, $I$2, $I$3))),IF(I246=I$6,"",I246),_xll.ciqfunctions.udf.CIQ(I$6,$F$2, $A247, $I$2, $I$3)))</f>
        <v/>
      </c>
      <c r="J247" s="1033" t="str">
        <f>IF(J$6="","",IF(NOT(ISNUMBER(_xll.ciqfunctions.udf.CIQ(J$6,$F$2, $A247, $I$2, $I$3))),IF(J246=J$6,"",J246),_xll.ciqfunctions.udf.CIQ(J$6,$F$2, $A247, $I$2, $I$3)))</f>
        <v/>
      </c>
      <c r="K247" s="1033" t="str">
        <f>IF(K$6="","",IF(NOT(ISNUMBER(_xll.ciqfunctions.udf.CIQ(K$6,$F$2, $A247, $I$2, $I$3))),IF(K246=K$6,"",K246),_xll.ciqfunctions.udf.CIQ(K$6,$F$2, $A247, $I$2, $I$3)))</f>
        <v/>
      </c>
      <c r="L247" s="254" t="str">
        <f>IF(L$6="","",IF(NOT(ISNUMBER(_xll.ciqfunctions.udf.CIQ(L$6,$F$2, $A247, $I$2, $I$3))),IF(L246=L$6,"",L246),_xll.ciqfunctions.udf.CIQ(L$6,$F$2, $A247, $I$2, $I$3)))</f>
        <v/>
      </c>
      <c r="M247" s="254" t="str">
        <f>IF(M$6="","",IF(NOT(ISNUMBER(_xll.ciqfunctions.udf.CIQ(M$6,$F$2, $A247, $I$2, $I$3))),IF(M246=M$6,"",M246),_xll.ciqfunctions.udf.CIQ(M$6,$F$2, $A247, $I$2, $I$3)))</f>
        <v/>
      </c>
      <c r="N247" s="254" t="str">
        <f>IF(N$6="","",IF(NOT(ISNUMBER(_xll.ciqfunctions.udf.CIQ(N$6,$F$2, $A247, $I$2, $I$3))),IF(N246=N$6,"",N246),_xll.ciqfunctions.udf.CIQ(N$6,$F$2, $A247, $I$2, $I$3)))</f>
        <v/>
      </c>
      <c r="O247" s="254" t="str">
        <f>IF(O$6="","",IF(NOT(ISNUMBER(_xll.ciqfunctions.udf.CIQ(O$6,$F$2, $A247, $I$2, $I$3))),IF(O246=O$6,"",O246),_xll.ciqfunctions.udf.CIQ(O$6,$F$2, $A247, $I$2, $I$3)))</f>
        <v/>
      </c>
      <c r="P247" s="254" t="str">
        <f>IF(P$6="","",IF(NOT(ISNUMBER(_xll.ciqfunctions.udf.CIQ(P$6,$F$2, $A247, $I$2, $I$3))),IF(P246=P$6,"",P246),_xll.ciqfunctions.udf.CIQ(P$6,$F$2, $A247, $I$2, $I$3)))</f>
        <v/>
      </c>
      <c r="Q247" s="254"/>
      <c r="R247" s="251">
        <f t="shared" si="124"/>
        <v>44505</v>
      </c>
      <c r="S247" s="255">
        <f t="shared" si="126"/>
        <v>1.0842119866814648</v>
      </c>
      <c r="T247" s="255">
        <f t="shared" si="127"/>
        <v>0.75809715506184494</v>
      </c>
      <c r="U247" s="255">
        <f t="shared" si="128"/>
        <v>0.7099489664289409</v>
      </c>
      <c r="V247" s="255">
        <f t="shared" si="142"/>
        <v>1.4138199886615026</v>
      </c>
      <c r="W247" s="255">
        <f t="array" ref="W247">IFERROR(AVERAGE(IF(ISERROR(X247:AG247),"",X247:AG247)),"")</f>
        <v>2.0599320174130837</v>
      </c>
      <c r="X247" s="255">
        <f t="shared" si="143"/>
        <v>2.0599320174130837</v>
      </c>
      <c r="Y247" s="255" t="e">
        <f t="shared" si="144"/>
        <v>#N/A</v>
      </c>
      <c r="Z247" s="255" t="e">
        <f t="shared" si="145"/>
        <v>#N/A</v>
      </c>
      <c r="AA247" s="255" t="e">
        <f t="shared" si="146"/>
        <v>#N/A</v>
      </c>
      <c r="AB247" s="255" t="e">
        <f t="shared" si="147"/>
        <v>#N/A</v>
      </c>
      <c r="AC247" s="255" t="e">
        <f t="shared" si="148"/>
        <v>#N/A</v>
      </c>
      <c r="AD247" s="255" t="e">
        <f t="shared" si="149"/>
        <v>#N/A</v>
      </c>
      <c r="AE247" s="255" t="e">
        <f t="shared" si="150"/>
        <v>#N/A</v>
      </c>
      <c r="AF247" s="255" t="e">
        <f t="shared" si="151"/>
        <v>#N/A</v>
      </c>
      <c r="AG247" s="255" t="e">
        <f t="shared" si="152"/>
        <v>#N/A</v>
      </c>
      <c r="AI247" s="251">
        <f t="shared" si="125"/>
        <v>44505</v>
      </c>
      <c r="AJ247" s="718">
        <f>IF(OR($B247="No",AJ$6=""),"",IF(NOT(ISNUMBER(_xll.ciqfunctions.udf.CIQ(AJ$6,"IQ_TEV",$AI247,$I$2,$I$3))),"",_xll.ciqfunctions.udf.CIQ(AJ$6,"IQ_TEV",$AI247,$I$2,$I$3)))</f>
        <v>464178.0269</v>
      </c>
      <c r="AK247" s="718">
        <f>IF(OR($B247="No",AK$6=""),"",IF(NOT(ISNUMBER(_xll.ciqfunctions.udf.CIQ(AK$6,"IQ_TEV",$AI247,$I$2,$I$3))),"",_xll.ciqfunctions.udf.CIQ(AK$6,"IQ_TEV",$AI247,$I$2,$I$3)))</f>
        <v>226454.63389999999</v>
      </c>
      <c r="AL247" s="718" t="str">
        <f>IF(OR($B247="No",AL$6=""),"",IF(NOT(ISNUMBER(_xll.ciqfunctions.udf.CIQ(AL$6,"IQ_TEV",$AI247,$I$2,$I$3))),"",_xll.ciqfunctions.udf.CIQ(AL$6,"IQ_TEV",$AI247,$I$2,$I$3)))</f>
        <v/>
      </c>
      <c r="AM247" s="718" t="str">
        <f>IF(OR($B247="No",AM$6=""),"",IF(NOT(ISNUMBER(_xll.ciqfunctions.udf.CIQ(AM$6,"IQ_TEV",$AI247,$I$2,$I$3))),"",_xll.ciqfunctions.udf.CIQ(AM$6,"IQ_TEV",$AI247,$I$2,$I$3)))</f>
        <v/>
      </c>
      <c r="AN247" s="718" t="str">
        <f>IF(OR($B247="No",AN$6=""),"",IF(NOT(ISNUMBER(_xll.ciqfunctions.udf.CIQ(AN$6,"IQ_TEV",$AI247,$I$2,$I$3))),"",_xll.ciqfunctions.udf.CIQ(AN$6,"IQ_TEV",$AI247,$I$2,$I$3)))</f>
        <v/>
      </c>
      <c r="AO247" s="718" t="str">
        <f>IF(OR($B247="No",AO$6=""),"",IF(NOT(ISNUMBER(_xll.ciqfunctions.udf.CIQ(AO$6,"IQ_TEV",$AI247,$I$2,$I$3))),"",_xll.ciqfunctions.udf.CIQ(AO$6,"IQ_TEV",$AI247,$I$2,$I$3)))</f>
        <v/>
      </c>
      <c r="AP247" s="718" t="str">
        <f>IF(OR($B247="No",AP$6=""),"",IF(NOT(ISNUMBER(_xll.ciqfunctions.udf.CIQ(AP$6,"IQ_TEV",$AI247,$I$2,$I$3))),"",_xll.ciqfunctions.udf.CIQ(AP$6,"IQ_TEV",$AI247,$I$2,$I$3)))</f>
        <v/>
      </c>
      <c r="AQ247" s="718" t="str">
        <f>IF(OR($B247="No",AQ$6=""),"",IF(NOT(ISNUMBER(_xll.ciqfunctions.udf.CIQ(AQ$6,"IQ_TEV",$AI247,$I$2,$I$3))),"",_xll.ciqfunctions.udf.CIQ(AQ$6,"IQ_TEV",$AI247,$I$2,$I$3)))</f>
        <v/>
      </c>
      <c r="AR247" s="718" t="str">
        <f>IF(OR($B247="No",AR$6=""),"",IF(NOT(ISNUMBER(_xll.ciqfunctions.udf.CIQ(AR$6,"IQ_TEV",$AI247,$I$2,$I$3))),"",_xll.ciqfunctions.udf.CIQ(AR$6,"IQ_TEV",$AI247,$I$2,$I$3)))</f>
        <v/>
      </c>
      <c r="AS247" s="718" t="str">
        <f>IF(OR($B247="No",AS$6=""),"",IF(NOT(ISNUMBER(_xll.ciqfunctions.udf.CIQ(AS$6,"IQ_TEV",$AI247,$I$2,$I$3))),"",_xll.ciqfunctions.udf.CIQ(AS$6,"IQ_TEV",$AI247,$I$2,$I$3)))</f>
        <v/>
      </c>
      <c r="AT247" s="718" t="str">
        <f>IF(OR($B247="No",AT$6=""),"",IF(NOT(ISNUMBER(_xll.ciqfunctions.udf.CIQ(AT$6,"IQ_TEV",$AI247,$I$2,$I$3))),"",_xll.ciqfunctions.udf.CIQ(AT$6,"IQ_TEV",$AI247,$I$2,$I$3)))</f>
        <v/>
      </c>
      <c r="AV247" s="251">
        <f t="shared" si="129"/>
        <v>44505</v>
      </c>
      <c r="AW247" s="719">
        <f t="shared" si="130"/>
        <v>0.77806955346358375</v>
      </c>
      <c r="AX247" s="719">
        <f t="shared" si="131"/>
        <v>2.1027622615360197</v>
      </c>
      <c r="AY247" s="719" t="e">
        <f t="shared" si="132"/>
        <v>#N/A</v>
      </c>
      <c r="AZ247" s="719" t="e">
        <f t="shared" si="133"/>
        <v>#N/A</v>
      </c>
      <c r="BA247" s="719" t="e">
        <f t="shared" si="134"/>
        <v>#N/A</v>
      </c>
      <c r="BB247" s="719" t="e">
        <f t="shared" si="135"/>
        <v>#N/A</v>
      </c>
      <c r="BC247" s="719" t="e">
        <f t="shared" si="136"/>
        <v>#N/A</v>
      </c>
      <c r="BD247" s="719" t="e">
        <f t="shared" si="137"/>
        <v>#N/A</v>
      </c>
      <c r="BE247" s="719" t="e">
        <f t="shared" si="138"/>
        <v>#N/A</v>
      </c>
      <c r="BF247" s="719" t="e">
        <f t="shared" si="139"/>
        <v>#N/A</v>
      </c>
      <c r="BG247" s="719" t="e">
        <f t="shared" si="140"/>
        <v>#N/A</v>
      </c>
    </row>
    <row r="248" spans="1:59" ht="15" customHeight="1" x14ac:dyDescent="0.2">
      <c r="A248" s="251">
        <f t="shared" si="123"/>
        <v>44512</v>
      </c>
      <c r="B248" s="253" t="str">
        <f t="shared" si="141"/>
        <v>Yes</v>
      </c>
      <c r="C248" s="1033">
        <f>IF(C$6="","",IF(NOT(ISNUMBER(_xll.ciqfunctions.udf.CIQ(C$6,$F$2, $A248, $I$2, $I$3))),IF(C247=C$6,"",C247),_xll.ciqfunctions.udf.CIQ(C$6,$F$2, $A248, $I$2, $I$3)))</f>
        <v>147.76</v>
      </c>
      <c r="D248" s="1033">
        <f>IF(D$6="","",IF(NOT(ISNUMBER(_xll.ciqfunctions.udf.CIQ(D$6,$F$2, $A248, $I$2, $I$3))),IF(D247=D$6,"",D247),_xll.ciqfunctions.udf.CIQ(D$6,$F$2, $A248, $I$2, $I$3)))</f>
        <v>36100.305240000002</v>
      </c>
      <c r="E248" s="1033">
        <f>IF(E$6="","",IF(NOT(ISNUMBER(_xll.ciqfunctions.udf.CIQ(E$6,$F$2, $A248, $I$2, $I$3))),IF(E247=E$6,"",E247),_xll.ciqfunctions.udf.CIQ(E$6,$F$2, $A248, $I$2, $I$3)))</f>
        <v>12156.116690000001</v>
      </c>
      <c r="F248" s="1033">
        <f>IF(F$6="","",IF(NOT(ISNUMBER(_xll.ciqfunctions.udf.CIQ(F$6,$F$2, $A248, $I$2, $I$3))),IF(F247=F$6,"",F247),_xll.ciqfunctions.udf.CIQ(F$6,$F$2, $A248, $I$2, $I$3)))</f>
        <v>10683.2179</v>
      </c>
      <c r="G248" s="1033">
        <f>IF(G$6="","",IF(NOT(ISNUMBER(_xll.ciqfunctions.udf.CIQ(G$6,$F$2, $A248, $I$2, $I$3))),IF(G247=G$6,"",G247),_xll.ciqfunctions.udf.CIQ(G$6,$F$2, $A248, $I$2, $I$3)))</f>
        <v>517.16999999999996</v>
      </c>
      <c r="H248" s="1033" t="str">
        <f>IF(H$6="","",IF(NOT(ISNUMBER(_xll.ciqfunctions.udf.CIQ(H$6,$F$2, $A248, $I$2, $I$3))),IF(H247=H$6,"",H247),_xll.ciqfunctions.udf.CIQ(H$6,$F$2, $A248, $I$2, $I$3)))</f>
        <v/>
      </c>
      <c r="I248" s="1033" t="str">
        <f>IF(I$6="","",IF(NOT(ISNUMBER(_xll.ciqfunctions.udf.CIQ(I$6,$F$2, $A248, $I$2, $I$3))),IF(I247=I$6,"",I247),_xll.ciqfunctions.udf.CIQ(I$6,$F$2, $A248, $I$2, $I$3)))</f>
        <v/>
      </c>
      <c r="J248" s="1033" t="str">
        <f>IF(J$6="","",IF(NOT(ISNUMBER(_xll.ciqfunctions.udf.CIQ(J$6,$F$2, $A248, $I$2, $I$3))),IF(J247=J$6,"",J247),_xll.ciqfunctions.udf.CIQ(J$6,$F$2, $A248, $I$2, $I$3)))</f>
        <v/>
      </c>
      <c r="K248" s="1033" t="str">
        <f>IF(K$6="","",IF(NOT(ISNUMBER(_xll.ciqfunctions.udf.CIQ(K$6,$F$2, $A248, $I$2, $I$3))),IF(K247=K$6,"",K247),_xll.ciqfunctions.udf.CIQ(K$6,$F$2, $A248, $I$2, $I$3)))</f>
        <v/>
      </c>
      <c r="L248" s="254" t="str">
        <f>IF(L$6="","",IF(NOT(ISNUMBER(_xll.ciqfunctions.udf.CIQ(L$6,$F$2, $A248, $I$2, $I$3))),IF(L247=L$6,"",L247),_xll.ciqfunctions.udf.CIQ(L$6,$F$2, $A248, $I$2, $I$3)))</f>
        <v/>
      </c>
      <c r="M248" s="254" t="str">
        <f>IF(M$6="","",IF(NOT(ISNUMBER(_xll.ciqfunctions.udf.CIQ(M$6,$F$2, $A248, $I$2, $I$3))),IF(M247=M$6,"",M247),_xll.ciqfunctions.udf.CIQ(M$6,$F$2, $A248, $I$2, $I$3)))</f>
        <v/>
      </c>
      <c r="N248" s="254" t="str">
        <f>IF(N$6="","",IF(NOT(ISNUMBER(_xll.ciqfunctions.udf.CIQ(N$6,$F$2, $A248, $I$2, $I$3))),IF(N247=N$6,"",N247),_xll.ciqfunctions.udf.CIQ(N$6,$F$2, $A248, $I$2, $I$3)))</f>
        <v/>
      </c>
      <c r="O248" s="254" t="str">
        <f>IF(O$6="","",IF(NOT(ISNUMBER(_xll.ciqfunctions.udf.CIQ(O$6,$F$2, $A248, $I$2, $I$3))),IF(O247=O$6,"",O247),_xll.ciqfunctions.udf.CIQ(O$6,$F$2, $A248, $I$2, $I$3)))</f>
        <v/>
      </c>
      <c r="P248" s="254" t="str">
        <f>IF(P$6="","",IF(NOT(ISNUMBER(_xll.ciqfunctions.udf.CIQ(P$6,$F$2, $A248, $I$2, $I$3))),IF(P247=P$6,"",P247),_xll.ciqfunctions.udf.CIQ(P$6,$F$2, $A248, $I$2, $I$3)))</f>
        <v/>
      </c>
      <c r="Q248" s="254"/>
      <c r="R248" s="251">
        <f t="shared" si="124"/>
        <v>44512</v>
      </c>
      <c r="S248" s="255">
        <f t="shared" si="126"/>
        <v>1.0499445061043287</v>
      </c>
      <c r="T248" s="255">
        <f t="shared" si="127"/>
        <v>0.7470802415158404</v>
      </c>
      <c r="U248" s="255">
        <f t="shared" si="128"/>
        <v>0.69877316285752111</v>
      </c>
      <c r="V248" s="255">
        <f t="shared" si="142"/>
        <v>1.4336816538920347</v>
      </c>
      <c r="W248" s="255">
        <f t="array" ref="W248">IFERROR(AVERAGE(IF(ISERROR(X248:AG248),"",X248:AG248)),"")</f>
        <v>2.0840837259228335</v>
      </c>
      <c r="X248" s="255">
        <f t="shared" si="143"/>
        <v>2.0840837259228335</v>
      </c>
      <c r="Y248" s="255" t="e">
        <f t="shared" si="144"/>
        <v>#N/A</v>
      </c>
      <c r="Z248" s="255" t="e">
        <f t="shared" si="145"/>
        <v>#N/A</v>
      </c>
      <c r="AA248" s="255" t="e">
        <f t="shared" si="146"/>
        <v>#N/A</v>
      </c>
      <c r="AB248" s="255" t="e">
        <f t="shared" si="147"/>
        <v>#N/A</v>
      </c>
      <c r="AC248" s="255" t="e">
        <f t="shared" si="148"/>
        <v>#N/A</v>
      </c>
      <c r="AD248" s="255" t="e">
        <f t="shared" si="149"/>
        <v>#N/A</v>
      </c>
      <c r="AE248" s="255" t="e">
        <f t="shared" si="150"/>
        <v>#N/A</v>
      </c>
      <c r="AF248" s="255" t="e">
        <f t="shared" si="151"/>
        <v>#N/A</v>
      </c>
      <c r="AG248" s="255" t="e">
        <f t="shared" si="152"/>
        <v>#N/A</v>
      </c>
      <c r="AI248" s="251">
        <f t="shared" si="125"/>
        <v>44512</v>
      </c>
      <c r="AJ248" s="718">
        <f>IF(OR($B248="No",AJ$6=""),"",IF(NOT(ISNUMBER(_xll.ciqfunctions.udf.CIQ(AJ$6,"IQ_TEV",$AI248,$I$2,$I$3))),"",_xll.ciqfunctions.udf.CIQ(AJ$6,"IQ_TEV",$AI248,$I$2,$I$3)))</f>
        <v>457290.43728999997</v>
      </c>
      <c r="AK248" s="718">
        <f>IF(OR($B248="No",AK$6=""),"",IF(NOT(ISNUMBER(_xll.ciqfunctions.udf.CIQ(AK$6,"IQ_TEV",$AI248,$I$2,$I$3))),"",_xll.ciqfunctions.udf.CIQ(AK$6,"IQ_TEV",$AI248,$I$2,$I$3)))</f>
        <v>228244.02033</v>
      </c>
      <c r="AL248" s="718" t="str">
        <f>IF(OR($B248="No",AL$6=""),"",IF(NOT(ISNUMBER(_xll.ciqfunctions.udf.CIQ(AL$6,"IQ_TEV",$AI248,$I$2,$I$3))),"",_xll.ciqfunctions.udf.CIQ(AL$6,"IQ_TEV",$AI248,$I$2,$I$3)))</f>
        <v/>
      </c>
      <c r="AM248" s="718" t="str">
        <f>IF(OR($B248="No",AM$6=""),"",IF(NOT(ISNUMBER(_xll.ciqfunctions.udf.CIQ(AM$6,"IQ_TEV",$AI248,$I$2,$I$3))),"",_xll.ciqfunctions.udf.CIQ(AM$6,"IQ_TEV",$AI248,$I$2,$I$3)))</f>
        <v/>
      </c>
      <c r="AN248" s="718" t="str">
        <f>IF(OR($B248="No",AN$6=""),"",IF(NOT(ISNUMBER(_xll.ciqfunctions.udf.CIQ(AN$6,"IQ_TEV",$AI248,$I$2,$I$3))),"",_xll.ciqfunctions.udf.CIQ(AN$6,"IQ_TEV",$AI248,$I$2,$I$3)))</f>
        <v/>
      </c>
      <c r="AO248" s="718" t="str">
        <f>IF(OR($B248="No",AO$6=""),"",IF(NOT(ISNUMBER(_xll.ciqfunctions.udf.CIQ(AO$6,"IQ_TEV",$AI248,$I$2,$I$3))),"",_xll.ciqfunctions.udf.CIQ(AO$6,"IQ_TEV",$AI248,$I$2,$I$3)))</f>
        <v/>
      </c>
      <c r="AP248" s="718" t="str">
        <f>IF(OR($B248="No",AP$6=""),"",IF(NOT(ISNUMBER(_xll.ciqfunctions.udf.CIQ(AP$6,"IQ_TEV",$AI248,$I$2,$I$3))),"",_xll.ciqfunctions.udf.CIQ(AP$6,"IQ_TEV",$AI248,$I$2,$I$3)))</f>
        <v/>
      </c>
      <c r="AQ248" s="718" t="str">
        <f>IF(OR($B248="No",AQ$6=""),"",IF(NOT(ISNUMBER(_xll.ciqfunctions.udf.CIQ(AQ$6,"IQ_TEV",$AI248,$I$2,$I$3))),"",_xll.ciqfunctions.udf.CIQ(AQ$6,"IQ_TEV",$AI248,$I$2,$I$3)))</f>
        <v/>
      </c>
      <c r="AR248" s="718" t="str">
        <f>IF(OR($B248="No",AR$6=""),"",IF(NOT(ISNUMBER(_xll.ciqfunctions.udf.CIQ(AR$6,"IQ_TEV",$AI248,$I$2,$I$3))),"",_xll.ciqfunctions.udf.CIQ(AR$6,"IQ_TEV",$AI248,$I$2,$I$3)))</f>
        <v/>
      </c>
      <c r="AS248" s="718" t="str">
        <f>IF(OR($B248="No",AS$6=""),"",IF(NOT(ISNUMBER(_xll.ciqfunctions.udf.CIQ(AS$6,"IQ_TEV",$AI248,$I$2,$I$3))),"",_xll.ciqfunctions.udf.CIQ(AS$6,"IQ_TEV",$AI248,$I$2,$I$3)))</f>
        <v/>
      </c>
      <c r="AT248" s="718" t="str">
        <f>IF(OR($B248="No",AT$6=""),"",IF(NOT(ISNUMBER(_xll.ciqfunctions.udf.CIQ(AT$6,"IQ_TEV",$AI248,$I$2,$I$3))),"",_xll.ciqfunctions.udf.CIQ(AT$6,"IQ_TEV",$AI248,$I$2,$I$3)))</f>
        <v/>
      </c>
      <c r="AV248" s="251">
        <f t="shared" si="129"/>
        <v>44512</v>
      </c>
      <c r="AW248" s="719">
        <f t="shared" si="130"/>
        <v>0.75168611290289666</v>
      </c>
      <c r="AX248" s="719">
        <f t="shared" si="131"/>
        <v>2.1272794930480954</v>
      </c>
      <c r="AY248" s="719" t="e">
        <f t="shared" si="132"/>
        <v>#N/A</v>
      </c>
      <c r="AZ248" s="719" t="e">
        <f t="shared" si="133"/>
        <v>#N/A</v>
      </c>
      <c r="BA248" s="719" t="e">
        <f t="shared" si="134"/>
        <v>#N/A</v>
      </c>
      <c r="BB248" s="719" t="e">
        <f t="shared" si="135"/>
        <v>#N/A</v>
      </c>
      <c r="BC248" s="719" t="e">
        <f t="shared" si="136"/>
        <v>#N/A</v>
      </c>
      <c r="BD248" s="719" t="e">
        <f t="shared" si="137"/>
        <v>#N/A</v>
      </c>
      <c r="BE248" s="719" t="e">
        <f t="shared" si="138"/>
        <v>#N/A</v>
      </c>
      <c r="BF248" s="719" t="e">
        <f t="shared" si="139"/>
        <v>#N/A</v>
      </c>
      <c r="BG248" s="719" t="e">
        <f t="shared" si="140"/>
        <v>#N/A</v>
      </c>
    </row>
    <row r="249" spans="1:59" ht="15" customHeight="1" x14ac:dyDescent="0.2">
      <c r="A249" s="251">
        <f t="shared" si="123"/>
        <v>44519</v>
      </c>
      <c r="B249" s="253" t="str">
        <f t="shared" si="141"/>
        <v>Yes</v>
      </c>
      <c r="C249" s="1033">
        <f>IF(C$6="","",IF(NOT(ISNUMBER(_xll.ciqfunctions.udf.CIQ(C$6,$F$2, $A249, $I$2, $I$3))),IF(C248=C$6,"",C248),_xll.ciqfunctions.udf.CIQ(C$6,$F$2, $A249, $I$2, $I$3)))</f>
        <v>142.38999999999999</v>
      </c>
      <c r="D249" s="1033">
        <f>IF(D$6="","",IF(NOT(ISNUMBER(_xll.ciqfunctions.udf.CIQ(D$6,$F$2, $A249, $I$2, $I$3))),IF(D248=D$6,"",D248),_xll.ciqfunctions.udf.CIQ(D$6,$F$2, $A249, $I$2, $I$3)))</f>
        <v>35601.977729999999</v>
      </c>
      <c r="E249" s="1033">
        <f>IF(E$6="","",IF(NOT(ISNUMBER(_xll.ciqfunctions.udf.CIQ(E$6,$F$2, $A249, $I$2, $I$3))),IF(E248=E$6,"",E248),_xll.ciqfunctions.udf.CIQ(E$6,$F$2, $A249, $I$2, $I$3)))</f>
        <v>12017.521059999999</v>
      </c>
      <c r="F249" s="1033">
        <f>IF(F$6="","",IF(NOT(ISNUMBER(_xll.ciqfunctions.udf.CIQ(F$6,$F$2, $A249, $I$2, $I$3))),IF(F248=F$6,"",F248),_xll.ciqfunctions.udf.CIQ(F$6,$F$2, $A249, $I$2, $I$3)))</f>
        <v>10523.21953</v>
      </c>
      <c r="G249" s="1033">
        <f>IF(G$6="","",IF(NOT(ISNUMBER(_xll.ciqfunctions.udf.CIQ(G$6,$F$2, $A249, $I$2, $I$3))),IF(G248=G$6,"",G248),_xll.ciqfunctions.udf.CIQ(G$6,$F$2, $A249, $I$2, $I$3)))</f>
        <v>533.79</v>
      </c>
      <c r="H249" s="1033" t="str">
        <f>IF(H$6="","",IF(NOT(ISNUMBER(_xll.ciqfunctions.udf.CIQ(H$6,$F$2, $A249, $I$2, $I$3))),IF(H248=H$6,"",H248),_xll.ciqfunctions.udf.CIQ(H$6,$F$2, $A249, $I$2, $I$3)))</f>
        <v/>
      </c>
      <c r="I249" s="1033" t="str">
        <f>IF(I$6="","",IF(NOT(ISNUMBER(_xll.ciqfunctions.udf.CIQ(I$6,$F$2, $A249, $I$2, $I$3))),IF(I248=I$6,"",I248),_xll.ciqfunctions.udf.CIQ(I$6,$F$2, $A249, $I$2, $I$3)))</f>
        <v/>
      </c>
      <c r="J249" s="1033" t="str">
        <f>IF(J$6="","",IF(NOT(ISNUMBER(_xll.ciqfunctions.udf.CIQ(J$6,$F$2, $A249, $I$2, $I$3))),IF(J248=J$6,"",J248),_xll.ciqfunctions.udf.CIQ(J$6,$F$2, $A249, $I$2, $I$3)))</f>
        <v/>
      </c>
      <c r="K249" s="1033" t="str">
        <f>IF(K$6="","",IF(NOT(ISNUMBER(_xll.ciqfunctions.udf.CIQ(K$6,$F$2, $A249, $I$2, $I$3))),IF(K248=K$6,"",K248),_xll.ciqfunctions.udf.CIQ(K$6,$F$2, $A249, $I$2, $I$3)))</f>
        <v/>
      </c>
      <c r="L249" s="254" t="str">
        <f>IF(L$6="","",IF(NOT(ISNUMBER(_xll.ciqfunctions.udf.CIQ(L$6,$F$2, $A249, $I$2, $I$3))),IF(L248=L$6,"",L248),_xll.ciqfunctions.udf.CIQ(L$6,$F$2, $A249, $I$2, $I$3)))</f>
        <v/>
      </c>
      <c r="M249" s="254" t="str">
        <f>IF(M$6="","",IF(NOT(ISNUMBER(_xll.ciqfunctions.udf.CIQ(M$6,$F$2, $A249, $I$2, $I$3))),IF(M248=M$6,"",M248),_xll.ciqfunctions.udf.CIQ(M$6,$F$2, $A249, $I$2, $I$3)))</f>
        <v/>
      </c>
      <c r="N249" s="254" t="str">
        <f>IF(N$6="","",IF(NOT(ISNUMBER(_xll.ciqfunctions.udf.CIQ(N$6,$F$2, $A249, $I$2, $I$3))),IF(N248=N$6,"",N248),_xll.ciqfunctions.udf.CIQ(N$6,$F$2, $A249, $I$2, $I$3)))</f>
        <v/>
      </c>
      <c r="O249" s="254" t="str">
        <f>IF(O$6="","",IF(NOT(ISNUMBER(_xll.ciqfunctions.udf.CIQ(O$6,$F$2, $A249, $I$2, $I$3))),IF(O248=O$6,"",O248),_xll.ciqfunctions.udf.CIQ(O$6,$F$2, $A249, $I$2, $I$3)))</f>
        <v/>
      </c>
      <c r="P249" s="254" t="str">
        <f>IF(P$6="","",IF(NOT(ISNUMBER(_xll.ciqfunctions.udf.CIQ(P$6,$F$2, $A249, $I$2, $I$3))),IF(P248=P$6,"",P248),_xll.ciqfunctions.udf.CIQ(P$6,$F$2, $A249, $I$2, $I$3)))</f>
        <v/>
      </c>
      <c r="Q249" s="254"/>
      <c r="R249" s="251">
        <f t="shared" si="124"/>
        <v>44519</v>
      </c>
      <c r="S249" s="255">
        <f t="shared" si="126"/>
        <v>0.97544395116537164</v>
      </c>
      <c r="T249" s="255">
        <f t="shared" si="127"/>
        <v>0.72296359926761578</v>
      </c>
      <c r="U249" s="255">
        <f t="shared" si="128"/>
        <v>0.67940492687085796</v>
      </c>
      <c r="V249" s="255">
        <f t="shared" si="142"/>
        <v>1.3972333570056041</v>
      </c>
      <c r="W249" s="255">
        <f t="array" ref="W249">IFERROR(AVERAGE(IF(ISERROR(X249:AG249),"",X249:AG249)),"")</f>
        <v>2.1831951815850674</v>
      </c>
      <c r="X249" s="255">
        <f t="shared" si="143"/>
        <v>2.1831951815850674</v>
      </c>
      <c r="Y249" s="255" t="e">
        <f t="shared" si="144"/>
        <v>#N/A</v>
      </c>
      <c r="Z249" s="255" t="e">
        <f t="shared" si="145"/>
        <v>#N/A</v>
      </c>
      <c r="AA249" s="255" t="e">
        <f t="shared" si="146"/>
        <v>#N/A</v>
      </c>
      <c r="AB249" s="255" t="e">
        <f t="shared" si="147"/>
        <v>#N/A</v>
      </c>
      <c r="AC249" s="255" t="e">
        <f t="shared" si="148"/>
        <v>#N/A</v>
      </c>
      <c r="AD249" s="255" t="e">
        <f t="shared" si="149"/>
        <v>#N/A</v>
      </c>
      <c r="AE249" s="255" t="e">
        <f t="shared" si="150"/>
        <v>#N/A</v>
      </c>
      <c r="AF249" s="255" t="e">
        <f t="shared" si="151"/>
        <v>#N/A</v>
      </c>
      <c r="AG249" s="255" t="e">
        <f t="shared" si="152"/>
        <v>#N/A</v>
      </c>
      <c r="AI249" s="251">
        <f t="shared" si="125"/>
        <v>44519</v>
      </c>
      <c r="AJ249" s="718">
        <f>IF(OR($B249="No",AJ$6=""),"",IF(NOT(ISNUMBER(_xll.ciqfunctions.udf.CIQ(AJ$6,"IQ_TEV",$AI249,$I$2,$I$3))),"",_xll.ciqfunctions.udf.CIQ(AJ$6,"IQ_TEV",$AI249,$I$2,$I$3)))</f>
        <v>447023.20402</v>
      </c>
      <c r="AK249" s="718">
        <f>IF(OR($B249="No",AK$6=""),"",IF(NOT(ISNUMBER(_xll.ciqfunctions.udf.CIQ(AK$6,"IQ_TEV",$AI249,$I$2,$I$3))),"",_xll.ciqfunctions.udf.CIQ(AK$6,"IQ_TEV",$AI249,$I$2,$I$3)))</f>
        <v>235587.13206999999</v>
      </c>
      <c r="AL249" s="718" t="str">
        <f>IF(OR($B249="No",AL$6=""),"",IF(NOT(ISNUMBER(_xll.ciqfunctions.udf.CIQ(AL$6,"IQ_TEV",$AI249,$I$2,$I$3))),"",_xll.ciqfunctions.udf.CIQ(AL$6,"IQ_TEV",$AI249,$I$2,$I$3)))</f>
        <v/>
      </c>
      <c r="AM249" s="718" t="str">
        <f>IF(OR($B249="No",AM$6=""),"",IF(NOT(ISNUMBER(_xll.ciqfunctions.udf.CIQ(AM$6,"IQ_TEV",$AI249,$I$2,$I$3))),"",_xll.ciqfunctions.udf.CIQ(AM$6,"IQ_TEV",$AI249,$I$2,$I$3)))</f>
        <v/>
      </c>
      <c r="AN249" s="718" t="str">
        <f>IF(OR($B249="No",AN$6=""),"",IF(NOT(ISNUMBER(_xll.ciqfunctions.udf.CIQ(AN$6,"IQ_TEV",$AI249,$I$2,$I$3))),"",_xll.ciqfunctions.udf.CIQ(AN$6,"IQ_TEV",$AI249,$I$2,$I$3)))</f>
        <v/>
      </c>
      <c r="AO249" s="718" t="str">
        <f>IF(OR($B249="No",AO$6=""),"",IF(NOT(ISNUMBER(_xll.ciqfunctions.udf.CIQ(AO$6,"IQ_TEV",$AI249,$I$2,$I$3))),"",_xll.ciqfunctions.udf.CIQ(AO$6,"IQ_TEV",$AI249,$I$2,$I$3)))</f>
        <v/>
      </c>
      <c r="AP249" s="718" t="str">
        <f>IF(OR($B249="No",AP$6=""),"",IF(NOT(ISNUMBER(_xll.ciqfunctions.udf.CIQ(AP$6,"IQ_TEV",$AI249,$I$2,$I$3))),"",_xll.ciqfunctions.udf.CIQ(AP$6,"IQ_TEV",$AI249,$I$2,$I$3)))</f>
        <v/>
      </c>
      <c r="AQ249" s="718" t="str">
        <f>IF(OR($B249="No",AQ$6=""),"",IF(NOT(ISNUMBER(_xll.ciqfunctions.udf.CIQ(AQ$6,"IQ_TEV",$AI249,$I$2,$I$3))),"",_xll.ciqfunctions.udf.CIQ(AQ$6,"IQ_TEV",$AI249,$I$2,$I$3)))</f>
        <v/>
      </c>
      <c r="AR249" s="718" t="str">
        <f>IF(OR($B249="No",AR$6=""),"",IF(NOT(ISNUMBER(_xll.ciqfunctions.udf.CIQ(AR$6,"IQ_TEV",$AI249,$I$2,$I$3))),"",_xll.ciqfunctions.udf.CIQ(AR$6,"IQ_TEV",$AI249,$I$2,$I$3)))</f>
        <v/>
      </c>
      <c r="AS249" s="718" t="str">
        <f>IF(OR($B249="No",AS$6=""),"",IF(NOT(ISNUMBER(_xll.ciqfunctions.udf.CIQ(AS$6,"IQ_TEV",$AI249,$I$2,$I$3))),"",_xll.ciqfunctions.udf.CIQ(AS$6,"IQ_TEV",$AI249,$I$2,$I$3)))</f>
        <v/>
      </c>
      <c r="AT249" s="718" t="str">
        <f>IF(OR($B249="No",AT$6=""),"",IF(NOT(ISNUMBER(_xll.ciqfunctions.udf.CIQ(AT$6,"IQ_TEV",$AI249,$I$2,$I$3))),"",_xll.ciqfunctions.udf.CIQ(AT$6,"IQ_TEV",$AI249,$I$2,$I$3)))</f>
        <v/>
      </c>
      <c r="AV249" s="251">
        <f t="shared" si="129"/>
        <v>44519</v>
      </c>
      <c r="AW249" s="719">
        <f t="shared" si="130"/>
        <v>0.71235668794580298</v>
      </c>
      <c r="AX249" s="719">
        <f t="shared" si="131"/>
        <v>2.2278909470807617</v>
      </c>
      <c r="AY249" s="719" t="e">
        <f t="shared" si="132"/>
        <v>#N/A</v>
      </c>
      <c r="AZ249" s="719" t="e">
        <f t="shared" si="133"/>
        <v>#N/A</v>
      </c>
      <c r="BA249" s="719" t="e">
        <f t="shared" si="134"/>
        <v>#N/A</v>
      </c>
      <c r="BB249" s="719" t="e">
        <f t="shared" si="135"/>
        <v>#N/A</v>
      </c>
      <c r="BC249" s="719" t="e">
        <f t="shared" si="136"/>
        <v>#N/A</v>
      </c>
      <c r="BD249" s="719" t="e">
        <f t="shared" si="137"/>
        <v>#N/A</v>
      </c>
      <c r="BE249" s="719" t="e">
        <f t="shared" si="138"/>
        <v>#N/A</v>
      </c>
      <c r="BF249" s="719" t="e">
        <f t="shared" si="139"/>
        <v>#N/A</v>
      </c>
      <c r="BG249" s="719" t="e">
        <f t="shared" si="140"/>
        <v>#N/A</v>
      </c>
    </row>
    <row r="250" spans="1:59" ht="15" customHeight="1" x14ac:dyDescent="0.2">
      <c r="A250" s="251">
        <f t="shared" si="123"/>
        <v>44526</v>
      </c>
      <c r="B250" s="253" t="str">
        <f t="shared" si="141"/>
        <v>Yes</v>
      </c>
      <c r="C250" s="1033">
        <f>IF(C$6="","",IF(NOT(ISNUMBER(_xll.ciqfunctions.udf.CIQ(C$6,$F$2, $A250, $I$2, $I$3))),IF(C249=C$6,"",C249),_xll.ciqfunctions.udf.CIQ(C$6,$F$2, $A250, $I$2, $I$3)))</f>
        <v>144.9</v>
      </c>
      <c r="D250" s="1033">
        <f>IF(D$6="","",IF(NOT(ISNUMBER(_xll.ciqfunctions.udf.CIQ(D$6,$F$2, $A250, $I$2, $I$3))),IF(D249=D$6,"",D249),_xll.ciqfunctions.udf.CIQ(D$6,$F$2, $A250, $I$2, $I$3)))</f>
        <v>34899.336600000002</v>
      </c>
      <c r="E250" s="1033">
        <f>IF(E$6="","",IF(NOT(ISNUMBER(_xll.ciqfunctions.udf.CIQ(E$6,$F$2, $A250, $I$2, $I$3))),IF(E249=E$6,"",E249),_xll.ciqfunctions.udf.CIQ(E$6,$F$2, $A250, $I$2, $I$3)))</f>
        <v>11803.293449999999</v>
      </c>
      <c r="F250" s="1033">
        <f>IF(F$6="","",IF(NOT(ISNUMBER(_xll.ciqfunctions.udf.CIQ(F$6,$F$2, $A250, $I$2, $I$3))),IF(F249=F$6,"",F249),_xll.ciqfunctions.udf.CIQ(F$6,$F$2, $A250, $I$2, $I$3)))</f>
        <v>10127.03541</v>
      </c>
      <c r="G250" s="1033">
        <f>IF(G$6="","",IF(NOT(ISNUMBER(_xll.ciqfunctions.udf.CIQ(G$6,$F$2, $A250, $I$2, $I$3))),IF(G249=G$6,"",G249),_xll.ciqfunctions.udf.CIQ(G$6,$F$2, $A250, $I$2, $I$3)))</f>
        <v>546.13</v>
      </c>
      <c r="H250" s="1033" t="str">
        <f>IF(H$6="","",IF(NOT(ISNUMBER(_xll.ciqfunctions.udf.CIQ(H$6,$F$2, $A250, $I$2, $I$3))),IF(H249=H$6,"",H249),_xll.ciqfunctions.udf.CIQ(H$6,$F$2, $A250, $I$2, $I$3)))</f>
        <v/>
      </c>
      <c r="I250" s="1033" t="str">
        <f>IF(I$6="","",IF(NOT(ISNUMBER(_xll.ciqfunctions.udf.CIQ(I$6,$F$2, $A250, $I$2, $I$3))),IF(I249=I$6,"",I249),_xll.ciqfunctions.udf.CIQ(I$6,$F$2, $A250, $I$2, $I$3)))</f>
        <v/>
      </c>
      <c r="J250" s="1033" t="str">
        <f>IF(J$6="","",IF(NOT(ISNUMBER(_xll.ciqfunctions.udf.CIQ(J$6,$F$2, $A250, $I$2, $I$3))),IF(J249=J$6,"",J249),_xll.ciqfunctions.udf.CIQ(J$6,$F$2, $A250, $I$2, $I$3)))</f>
        <v/>
      </c>
      <c r="K250" s="1033" t="str">
        <f>IF(K$6="","",IF(NOT(ISNUMBER(_xll.ciqfunctions.udf.CIQ(K$6,$F$2, $A250, $I$2, $I$3))),IF(K249=K$6,"",K249),_xll.ciqfunctions.udf.CIQ(K$6,$F$2, $A250, $I$2, $I$3)))</f>
        <v/>
      </c>
      <c r="L250" s="254" t="str">
        <f>IF(L$6="","",IF(NOT(ISNUMBER(_xll.ciqfunctions.udf.CIQ(L$6,$F$2, $A250, $I$2, $I$3))),IF(L249=L$6,"",L249),_xll.ciqfunctions.udf.CIQ(L$6,$F$2, $A250, $I$2, $I$3)))</f>
        <v/>
      </c>
      <c r="M250" s="254" t="str">
        <f>IF(M$6="","",IF(NOT(ISNUMBER(_xll.ciqfunctions.udf.CIQ(M$6,$F$2, $A250, $I$2, $I$3))),IF(M249=M$6,"",M249),_xll.ciqfunctions.udf.CIQ(M$6,$F$2, $A250, $I$2, $I$3)))</f>
        <v/>
      </c>
      <c r="N250" s="254" t="str">
        <f>IF(N$6="","",IF(NOT(ISNUMBER(_xll.ciqfunctions.udf.CIQ(N$6,$F$2, $A250, $I$2, $I$3))),IF(N249=N$6,"",N249),_xll.ciqfunctions.udf.CIQ(N$6,$F$2, $A250, $I$2, $I$3)))</f>
        <v/>
      </c>
      <c r="O250" s="254" t="str">
        <f>IF(O$6="","",IF(NOT(ISNUMBER(_xll.ciqfunctions.udf.CIQ(O$6,$F$2, $A250, $I$2, $I$3))),IF(O249=O$6,"",O249),_xll.ciqfunctions.udf.CIQ(O$6,$F$2, $A250, $I$2, $I$3)))</f>
        <v/>
      </c>
      <c r="P250" s="254" t="str">
        <f>IF(P$6="","",IF(NOT(ISNUMBER(_xll.ciqfunctions.udf.CIQ(P$6,$F$2, $A250, $I$2, $I$3))),IF(P249=P$6,"",P249),_xll.ciqfunctions.udf.CIQ(P$6,$F$2, $A250, $I$2, $I$3)))</f>
        <v/>
      </c>
      <c r="Q250" s="254"/>
      <c r="R250" s="251">
        <f t="shared" si="124"/>
        <v>44526</v>
      </c>
      <c r="S250" s="255">
        <f t="shared" si="126"/>
        <v>1.0102663706992234</v>
      </c>
      <c r="T250" s="255">
        <f t="shared" si="127"/>
        <v>0.6889591655948728</v>
      </c>
      <c r="U250" s="255">
        <f t="shared" si="128"/>
        <v>0.64946739633444239</v>
      </c>
      <c r="V250" s="255">
        <f t="shared" si="142"/>
        <v>1.3069809598877509</v>
      </c>
      <c r="W250" s="255">
        <f t="array" ref="W250">IFERROR(AVERAGE(IF(ISERROR(X250:AG250),"",X250:AG250)),"")</f>
        <v>2.2567833502295902</v>
      </c>
      <c r="X250" s="255">
        <f t="shared" si="143"/>
        <v>2.2567833502295902</v>
      </c>
      <c r="Y250" s="255" t="e">
        <f t="shared" si="144"/>
        <v>#N/A</v>
      </c>
      <c r="Z250" s="255" t="e">
        <f t="shared" si="145"/>
        <v>#N/A</v>
      </c>
      <c r="AA250" s="255" t="e">
        <f t="shared" si="146"/>
        <v>#N/A</v>
      </c>
      <c r="AB250" s="255" t="e">
        <f t="shared" si="147"/>
        <v>#N/A</v>
      </c>
      <c r="AC250" s="255" t="e">
        <f t="shared" si="148"/>
        <v>#N/A</v>
      </c>
      <c r="AD250" s="255" t="e">
        <f t="shared" si="149"/>
        <v>#N/A</v>
      </c>
      <c r="AE250" s="255" t="e">
        <f t="shared" si="150"/>
        <v>#N/A</v>
      </c>
      <c r="AF250" s="255" t="e">
        <f t="shared" si="151"/>
        <v>#N/A</v>
      </c>
      <c r="AG250" s="255" t="e">
        <f t="shared" si="152"/>
        <v>#N/A</v>
      </c>
      <c r="AI250" s="251">
        <f t="shared" si="125"/>
        <v>44526</v>
      </c>
      <c r="AJ250" s="718">
        <f>IF(OR($B250="No",AJ$6=""),"",IF(NOT(ISNUMBER(_xll.ciqfunctions.udf.CIQ(AJ$6,"IQ_TEV",$AI250,$I$2,$I$3))),"",_xll.ciqfunctions.udf.CIQ(AJ$6,"IQ_TEV",$AI250,$I$2,$I$3)))</f>
        <v>454022.33354000002</v>
      </c>
      <c r="AK250" s="718">
        <f>IF(OR($B250="No",AK$6=""),"",IF(NOT(ISNUMBER(_xll.ciqfunctions.udf.CIQ(AK$6,"IQ_TEV",$AI250,$I$2,$I$3))),"",_xll.ciqfunctions.udf.CIQ(AK$6,"IQ_TEV",$AI250,$I$2,$I$3)))</f>
        <v>241039.23790000001</v>
      </c>
      <c r="AL250" s="718" t="str">
        <f>IF(OR($B250="No",AL$6=""),"",IF(NOT(ISNUMBER(_xll.ciqfunctions.udf.CIQ(AL$6,"IQ_TEV",$AI250,$I$2,$I$3))),"",_xll.ciqfunctions.udf.CIQ(AL$6,"IQ_TEV",$AI250,$I$2,$I$3)))</f>
        <v/>
      </c>
      <c r="AM250" s="718" t="str">
        <f>IF(OR($B250="No",AM$6=""),"",IF(NOT(ISNUMBER(_xll.ciqfunctions.udf.CIQ(AM$6,"IQ_TEV",$AI250,$I$2,$I$3))),"",_xll.ciqfunctions.udf.CIQ(AM$6,"IQ_TEV",$AI250,$I$2,$I$3)))</f>
        <v/>
      </c>
      <c r="AN250" s="718" t="str">
        <f>IF(OR($B250="No",AN$6=""),"",IF(NOT(ISNUMBER(_xll.ciqfunctions.udf.CIQ(AN$6,"IQ_TEV",$AI250,$I$2,$I$3))),"",_xll.ciqfunctions.udf.CIQ(AN$6,"IQ_TEV",$AI250,$I$2,$I$3)))</f>
        <v/>
      </c>
      <c r="AO250" s="718" t="str">
        <f>IF(OR($B250="No",AO$6=""),"",IF(NOT(ISNUMBER(_xll.ciqfunctions.udf.CIQ(AO$6,"IQ_TEV",$AI250,$I$2,$I$3))),"",_xll.ciqfunctions.udf.CIQ(AO$6,"IQ_TEV",$AI250,$I$2,$I$3)))</f>
        <v/>
      </c>
      <c r="AP250" s="718" t="str">
        <f>IF(OR($B250="No",AP$6=""),"",IF(NOT(ISNUMBER(_xll.ciqfunctions.udf.CIQ(AP$6,"IQ_TEV",$AI250,$I$2,$I$3))),"",_xll.ciqfunctions.udf.CIQ(AP$6,"IQ_TEV",$AI250,$I$2,$I$3)))</f>
        <v/>
      </c>
      <c r="AQ250" s="718" t="str">
        <f>IF(OR($B250="No",AQ$6=""),"",IF(NOT(ISNUMBER(_xll.ciqfunctions.udf.CIQ(AQ$6,"IQ_TEV",$AI250,$I$2,$I$3))),"",_xll.ciqfunctions.udf.CIQ(AQ$6,"IQ_TEV",$AI250,$I$2,$I$3)))</f>
        <v/>
      </c>
      <c r="AR250" s="718" t="str">
        <f>IF(OR($B250="No",AR$6=""),"",IF(NOT(ISNUMBER(_xll.ciqfunctions.udf.CIQ(AR$6,"IQ_TEV",$AI250,$I$2,$I$3))),"",_xll.ciqfunctions.udf.CIQ(AR$6,"IQ_TEV",$AI250,$I$2,$I$3)))</f>
        <v/>
      </c>
      <c r="AS250" s="718" t="str">
        <f>IF(OR($B250="No",AS$6=""),"",IF(NOT(ISNUMBER(_xll.ciqfunctions.udf.CIQ(AS$6,"IQ_TEV",$AI250,$I$2,$I$3))),"",_xll.ciqfunctions.udf.CIQ(AS$6,"IQ_TEV",$AI250,$I$2,$I$3)))</f>
        <v/>
      </c>
      <c r="AT250" s="718" t="str">
        <f>IF(OR($B250="No",AT$6=""),"",IF(NOT(ISNUMBER(_xll.ciqfunctions.udf.CIQ(AT$6,"IQ_TEV",$AI250,$I$2,$I$3))),"",_xll.ciqfunctions.udf.CIQ(AT$6,"IQ_TEV",$AI250,$I$2,$I$3)))</f>
        <v/>
      </c>
      <c r="AV250" s="251">
        <f t="shared" si="129"/>
        <v>44526</v>
      </c>
      <c r="AW250" s="719">
        <f t="shared" si="130"/>
        <v>0.73916739069141424</v>
      </c>
      <c r="AX250" s="719">
        <f t="shared" si="131"/>
        <v>2.3025928329458782</v>
      </c>
      <c r="AY250" s="719" t="e">
        <f t="shared" si="132"/>
        <v>#N/A</v>
      </c>
      <c r="AZ250" s="719" t="e">
        <f t="shared" si="133"/>
        <v>#N/A</v>
      </c>
      <c r="BA250" s="719" t="e">
        <f t="shared" si="134"/>
        <v>#N/A</v>
      </c>
      <c r="BB250" s="719" t="e">
        <f t="shared" si="135"/>
        <v>#N/A</v>
      </c>
      <c r="BC250" s="719" t="e">
        <f t="shared" si="136"/>
        <v>#N/A</v>
      </c>
      <c r="BD250" s="719" t="e">
        <f t="shared" si="137"/>
        <v>#N/A</v>
      </c>
      <c r="BE250" s="719" t="e">
        <f t="shared" si="138"/>
        <v>#N/A</v>
      </c>
      <c r="BF250" s="719" t="e">
        <f t="shared" si="139"/>
        <v>#N/A</v>
      </c>
      <c r="BG250" s="719" t="e">
        <f t="shared" si="140"/>
        <v>#N/A</v>
      </c>
    </row>
    <row r="251" spans="1:59" ht="15" customHeight="1" x14ac:dyDescent="0.2">
      <c r="A251" s="251">
        <f t="shared" si="123"/>
        <v>44533</v>
      </c>
      <c r="B251" s="253" t="str">
        <f t="shared" si="141"/>
        <v>Yes</v>
      </c>
      <c r="C251" s="1033">
        <f>IF(C$6="","",IF(NOT(ISNUMBER(_xll.ciqfunctions.udf.CIQ(C$6,$F$2, $A251, $I$2, $I$3))),IF(C250=C$6,"",C250),_xll.ciqfunctions.udf.CIQ(C$6,$F$2, $A251, $I$2, $I$3)))</f>
        <v>137.51</v>
      </c>
      <c r="D251" s="1033">
        <f>IF(D$6="","",IF(NOT(ISNUMBER(_xll.ciqfunctions.udf.CIQ(D$6,$F$2, $A251, $I$2, $I$3))),IF(D250=D$6,"",D250),_xll.ciqfunctions.udf.CIQ(D$6,$F$2, $A251, $I$2, $I$3)))</f>
        <v>34580.080090000003</v>
      </c>
      <c r="E251" s="1033">
        <f>IF(E$6="","",IF(NOT(ISNUMBER(_xll.ciqfunctions.udf.CIQ(E$6,$F$2, $A251, $I$2, $I$3))),IF(E250=E$6,"",E250),_xll.ciqfunctions.udf.CIQ(E$6,$F$2, $A251, $I$2, $I$3)))</f>
        <v>11700.513209999999</v>
      </c>
      <c r="F251" s="1033">
        <f>IF(F$6="","",IF(NOT(ISNUMBER(_xll.ciqfunctions.udf.CIQ(F$6,$F$2, $A251, $I$2, $I$3))),IF(F250=F$6,"",F250),_xll.ciqfunctions.udf.CIQ(F$6,$F$2, $A251, $I$2, $I$3)))</f>
        <v>9466.1121700000003</v>
      </c>
      <c r="G251" s="1033">
        <f>IF(G$6="","",IF(NOT(ISNUMBER(_xll.ciqfunctions.udf.CIQ(G$6,$F$2, $A251, $I$2, $I$3))),IF(G250=G$6,"",G250),_xll.ciqfunctions.udf.CIQ(G$6,$F$2, $A251, $I$2, $I$3)))</f>
        <v>528.92999999999995</v>
      </c>
      <c r="H251" s="1033" t="str">
        <f>IF(H$6="","",IF(NOT(ISNUMBER(_xll.ciqfunctions.udf.CIQ(H$6,$F$2, $A251, $I$2, $I$3))),IF(H250=H$6,"",H250),_xll.ciqfunctions.udf.CIQ(H$6,$F$2, $A251, $I$2, $I$3)))</f>
        <v/>
      </c>
      <c r="I251" s="1033" t="str">
        <f>IF(I$6="","",IF(NOT(ISNUMBER(_xll.ciqfunctions.udf.CIQ(I$6,$F$2, $A251, $I$2, $I$3))),IF(I250=I$6,"",I250),_xll.ciqfunctions.udf.CIQ(I$6,$F$2, $A251, $I$2, $I$3)))</f>
        <v/>
      </c>
      <c r="J251" s="1033" t="str">
        <f>IF(J$6="","",IF(NOT(ISNUMBER(_xll.ciqfunctions.udf.CIQ(J$6,$F$2, $A251, $I$2, $I$3))),IF(J250=J$6,"",J250),_xll.ciqfunctions.udf.CIQ(J$6,$F$2, $A251, $I$2, $I$3)))</f>
        <v/>
      </c>
      <c r="K251" s="1033" t="str">
        <f>IF(K$6="","",IF(NOT(ISNUMBER(_xll.ciqfunctions.udf.CIQ(K$6,$F$2, $A251, $I$2, $I$3))),IF(K250=K$6,"",K250),_xll.ciqfunctions.udf.CIQ(K$6,$F$2, $A251, $I$2, $I$3)))</f>
        <v/>
      </c>
      <c r="L251" s="254" t="str">
        <f>IF(L$6="","",IF(NOT(ISNUMBER(_xll.ciqfunctions.udf.CIQ(L$6,$F$2, $A251, $I$2, $I$3))),IF(L250=L$6,"",L250),_xll.ciqfunctions.udf.CIQ(L$6,$F$2, $A251, $I$2, $I$3)))</f>
        <v/>
      </c>
      <c r="M251" s="254" t="str">
        <f>IF(M$6="","",IF(NOT(ISNUMBER(_xll.ciqfunctions.udf.CIQ(M$6,$F$2, $A251, $I$2, $I$3))),IF(M250=M$6,"",M250),_xll.ciqfunctions.udf.CIQ(M$6,$F$2, $A251, $I$2, $I$3)))</f>
        <v/>
      </c>
      <c r="N251" s="254" t="str">
        <f>IF(N$6="","",IF(NOT(ISNUMBER(_xll.ciqfunctions.udf.CIQ(N$6,$F$2, $A251, $I$2, $I$3))),IF(N250=N$6,"",N250),_xll.ciqfunctions.udf.CIQ(N$6,$F$2, $A251, $I$2, $I$3)))</f>
        <v/>
      </c>
      <c r="O251" s="254" t="str">
        <f>IF(O$6="","",IF(NOT(ISNUMBER(_xll.ciqfunctions.udf.CIQ(O$6,$F$2, $A251, $I$2, $I$3))),IF(O250=O$6,"",O250),_xll.ciqfunctions.udf.CIQ(O$6,$F$2, $A251, $I$2, $I$3)))</f>
        <v/>
      </c>
      <c r="P251" s="254" t="str">
        <f>IF(P$6="","",IF(NOT(ISNUMBER(_xll.ciqfunctions.udf.CIQ(P$6,$F$2, $A251, $I$2, $I$3))),IF(P250=P$6,"",P250),_xll.ciqfunctions.udf.CIQ(P$6,$F$2, $A251, $I$2, $I$3)))</f>
        <v/>
      </c>
      <c r="Q251" s="254"/>
      <c r="R251" s="251">
        <f t="shared" si="124"/>
        <v>44533</v>
      </c>
      <c r="S251" s="255">
        <f t="shared" si="126"/>
        <v>0.90774139844617086</v>
      </c>
      <c r="T251" s="255">
        <f t="shared" si="127"/>
        <v>0.67350869400223146</v>
      </c>
      <c r="U251" s="255">
        <f t="shared" si="128"/>
        <v>0.63510423103777436</v>
      </c>
      <c r="V251" s="255">
        <f t="shared" si="142"/>
        <v>1.1564198856051715</v>
      </c>
      <c r="W251" s="255">
        <f t="array" ref="W251">IFERROR(AVERAGE(IF(ISERROR(X251:AG251),"",X251:AG251)),"")</f>
        <v>2.1542131313733672</v>
      </c>
      <c r="X251" s="255">
        <f t="shared" si="143"/>
        <v>2.1542131313733672</v>
      </c>
      <c r="Y251" s="255" t="e">
        <f t="shared" si="144"/>
        <v>#N/A</v>
      </c>
      <c r="Z251" s="255" t="e">
        <f t="shared" si="145"/>
        <v>#N/A</v>
      </c>
      <c r="AA251" s="255" t="e">
        <f t="shared" si="146"/>
        <v>#N/A</v>
      </c>
      <c r="AB251" s="255" t="e">
        <f t="shared" si="147"/>
        <v>#N/A</v>
      </c>
      <c r="AC251" s="255" t="e">
        <f t="shared" si="148"/>
        <v>#N/A</v>
      </c>
      <c r="AD251" s="255" t="e">
        <f t="shared" si="149"/>
        <v>#N/A</v>
      </c>
      <c r="AE251" s="255" t="e">
        <f t="shared" si="150"/>
        <v>#N/A</v>
      </c>
      <c r="AF251" s="255" t="e">
        <f t="shared" si="151"/>
        <v>#N/A</v>
      </c>
      <c r="AG251" s="255" t="e">
        <f t="shared" si="152"/>
        <v>#N/A</v>
      </c>
      <c r="AI251" s="251">
        <f t="shared" si="125"/>
        <v>44533</v>
      </c>
      <c r="AJ251" s="718">
        <f>IF(OR($B251="No",AJ$6=""),"",IF(NOT(ISNUMBER(_xll.ciqfunctions.udf.CIQ(AJ$6,"IQ_TEV",$AI251,$I$2,$I$3))),"",_xll.ciqfunctions.udf.CIQ(AJ$6,"IQ_TEV",$AI251,$I$2,$I$3)))</f>
        <v>432286.02675999998</v>
      </c>
      <c r="AK251" s="718">
        <f>IF(OR($B251="No",AK$6=""),"",IF(NOT(ISNUMBER(_xll.ciqfunctions.udf.CIQ(AK$6,"IQ_TEV",$AI251,$I$2,$I$3))),"",_xll.ciqfunctions.udf.CIQ(AK$6,"IQ_TEV",$AI251,$I$2,$I$3)))</f>
        <v>233439.86835</v>
      </c>
      <c r="AL251" s="718" t="str">
        <f>IF(OR($B251="No",AL$6=""),"",IF(NOT(ISNUMBER(_xll.ciqfunctions.udf.CIQ(AL$6,"IQ_TEV",$AI251,$I$2,$I$3))),"",_xll.ciqfunctions.udf.CIQ(AL$6,"IQ_TEV",$AI251,$I$2,$I$3)))</f>
        <v/>
      </c>
      <c r="AM251" s="718" t="str">
        <f>IF(OR($B251="No",AM$6=""),"",IF(NOT(ISNUMBER(_xll.ciqfunctions.udf.CIQ(AM$6,"IQ_TEV",$AI251,$I$2,$I$3))),"",_xll.ciqfunctions.udf.CIQ(AM$6,"IQ_TEV",$AI251,$I$2,$I$3)))</f>
        <v/>
      </c>
      <c r="AN251" s="718" t="str">
        <f>IF(OR($B251="No",AN$6=""),"",IF(NOT(ISNUMBER(_xll.ciqfunctions.udf.CIQ(AN$6,"IQ_TEV",$AI251,$I$2,$I$3))),"",_xll.ciqfunctions.udf.CIQ(AN$6,"IQ_TEV",$AI251,$I$2,$I$3)))</f>
        <v/>
      </c>
      <c r="AO251" s="718" t="str">
        <f>IF(OR($B251="No",AO$6=""),"",IF(NOT(ISNUMBER(_xll.ciqfunctions.udf.CIQ(AO$6,"IQ_TEV",$AI251,$I$2,$I$3))),"",_xll.ciqfunctions.udf.CIQ(AO$6,"IQ_TEV",$AI251,$I$2,$I$3)))</f>
        <v/>
      </c>
      <c r="AP251" s="718" t="str">
        <f>IF(OR($B251="No",AP$6=""),"",IF(NOT(ISNUMBER(_xll.ciqfunctions.udf.CIQ(AP$6,"IQ_TEV",$AI251,$I$2,$I$3))),"",_xll.ciqfunctions.udf.CIQ(AP$6,"IQ_TEV",$AI251,$I$2,$I$3)))</f>
        <v/>
      </c>
      <c r="AQ251" s="718" t="str">
        <f>IF(OR($B251="No",AQ$6=""),"",IF(NOT(ISNUMBER(_xll.ciqfunctions.udf.CIQ(AQ$6,"IQ_TEV",$AI251,$I$2,$I$3))),"",_xll.ciqfunctions.udf.CIQ(AQ$6,"IQ_TEV",$AI251,$I$2,$I$3)))</f>
        <v/>
      </c>
      <c r="AR251" s="718" t="str">
        <f>IF(OR($B251="No",AR$6=""),"",IF(NOT(ISNUMBER(_xll.ciqfunctions.udf.CIQ(AR$6,"IQ_TEV",$AI251,$I$2,$I$3))),"",_xll.ciqfunctions.udf.CIQ(AR$6,"IQ_TEV",$AI251,$I$2,$I$3)))</f>
        <v/>
      </c>
      <c r="AS251" s="718" t="str">
        <f>IF(OR($B251="No",AS$6=""),"",IF(NOT(ISNUMBER(_xll.ciqfunctions.udf.CIQ(AS$6,"IQ_TEV",$AI251,$I$2,$I$3))),"",_xll.ciqfunctions.udf.CIQ(AS$6,"IQ_TEV",$AI251,$I$2,$I$3)))</f>
        <v/>
      </c>
      <c r="AT251" s="718" t="str">
        <f>IF(OR($B251="No",AT$6=""),"",IF(NOT(ISNUMBER(_xll.ciqfunctions.udf.CIQ(AT$6,"IQ_TEV",$AI251,$I$2,$I$3))),"",_xll.ciqfunctions.udf.CIQ(AT$6,"IQ_TEV",$AI251,$I$2,$I$3)))</f>
        <v/>
      </c>
      <c r="AV251" s="251">
        <f t="shared" si="129"/>
        <v>44533</v>
      </c>
      <c r="AW251" s="719">
        <f t="shared" si="130"/>
        <v>0.65590479950764746</v>
      </c>
      <c r="AX251" s="719">
        <f t="shared" si="131"/>
        <v>2.198470269211465</v>
      </c>
      <c r="AY251" s="719" t="e">
        <f t="shared" si="132"/>
        <v>#N/A</v>
      </c>
      <c r="AZ251" s="719" t="e">
        <f t="shared" si="133"/>
        <v>#N/A</v>
      </c>
      <c r="BA251" s="719" t="e">
        <f t="shared" si="134"/>
        <v>#N/A</v>
      </c>
      <c r="BB251" s="719" t="e">
        <f t="shared" si="135"/>
        <v>#N/A</v>
      </c>
      <c r="BC251" s="719" t="e">
        <f t="shared" si="136"/>
        <v>#N/A</v>
      </c>
      <c r="BD251" s="719" t="e">
        <f t="shared" si="137"/>
        <v>#N/A</v>
      </c>
      <c r="BE251" s="719" t="e">
        <f t="shared" si="138"/>
        <v>#N/A</v>
      </c>
      <c r="BF251" s="719" t="e">
        <f t="shared" si="139"/>
        <v>#N/A</v>
      </c>
      <c r="BG251" s="719" t="e">
        <f t="shared" si="140"/>
        <v>#N/A</v>
      </c>
    </row>
    <row r="252" spans="1:59" ht="15" customHeight="1" x14ac:dyDescent="0.2">
      <c r="A252" s="251">
        <f t="shared" si="123"/>
        <v>44540</v>
      </c>
      <c r="B252" s="253" t="str">
        <f t="shared" si="141"/>
        <v>Yes</v>
      </c>
      <c r="C252" s="1033">
        <f>IF(C$6="","",IF(NOT(ISNUMBER(_xll.ciqfunctions.udf.CIQ(C$6,$F$2, $A252, $I$2, $I$3))),IF(C251=C$6,"",C251),_xll.ciqfunctions.udf.CIQ(C$6,$F$2, $A252, $I$2, $I$3)))</f>
        <v>141.03</v>
      </c>
      <c r="D252" s="1033">
        <f>IF(D$6="","",IF(NOT(ISNUMBER(_xll.ciqfunctions.udf.CIQ(D$6,$F$2, $A252, $I$2, $I$3))),IF(D251=D$6,"",D251),_xll.ciqfunctions.udf.CIQ(D$6,$F$2, $A252, $I$2, $I$3)))</f>
        <v>35970.994489999997</v>
      </c>
      <c r="E252" s="1033">
        <f>IF(E$6="","",IF(NOT(ISNUMBER(_xll.ciqfunctions.udf.CIQ(E$6,$F$2, $A252, $I$2, $I$3))),IF(E251=E$6,"",E251),_xll.ciqfunctions.udf.CIQ(E$6,$F$2, $A252, $I$2, $I$3)))</f>
        <v>12103.01921</v>
      </c>
      <c r="F252" s="1033">
        <f>IF(F$6="","",IF(NOT(ISNUMBER(_xll.ciqfunctions.udf.CIQ(F$6,$F$2, $A252, $I$2, $I$3))),IF(F251=F$6,"",F251),_xll.ciqfunctions.udf.CIQ(F$6,$F$2, $A252, $I$2, $I$3)))</f>
        <v>9617.9972899999993</v>
      </c>
      <c r="G252" s="1033">
        <f>IF(G$6="","",IF(NOT(ISNUMBER(_xll.ciqfunctions.udf.CIQ(G$6,$F$2, $A252, $I$2, $I$3))),IF(G251=G$6,"",G251),_xll.ciqfunctions.udf.CIQ(G$6,$F$2, $A252, $I$2, $I$3)))</f>
        <v>558.82000000000005</v>
      </c>
      <c r="H252" s="1033" t="str">
        <f>IF(H$6="","",IF(NOT(ISNUMBER(_xll.ciqfunctions.udf.CIQ(H$6,$F$2, $A252, $I$2, $I$3))),IF(H251=H$6,"",H251),_xll.ciqfunctions.udf.CIQ(H$6,$F$2, $A252, $I$2, $I$3)))</f>
        <v/>
      </c>
      <c r="I252" s="1033" t="str">
        <f>IF(I$6="","",IF(NOT(ISNUMBER(_xll.ciqfunctions.udf.CIQ(I$6,$F$2, $A252, $I$2, $I$3))),IF(I251=I$6,"",I251),_xll.ciqfunctions.udf.CIQ(I$6,$F$2, $A252, $I$2, $I$3)))</f>
        <v/>
      </c>
      <c r="J252" s="1033" t="str">
        <f>IF(J$6="","",IF(NOT(ISNUMBER(_xll.ciqfunctions.udf.CIQ(J$6,$F$2, $A252, $I$2, $I$3))),IF(J251=J$6,"",J251),_xll.ciqfunctions.udf.CIQ(J$6,$F$2, $A252, $I$2, $I$3)))</f>
        <v/>
      </c>
      <c r="K252" s="1033" t="str">
        <f>IF(K$6="","",IF(NOT(ISNUMBER(_xll.ciqfunctions.udf.CIQ(K$6,$F$2, $A252, $I$2, $I$3))),IF(K251=K$6,"",K251),_xll.ciqfunctions.udf.CIQ(K$6,$F$2, $A252, $I$2, $I$3)))</f>
        <v/>
      </c>
      <c r="L252" s="254" t="str">
        <f>IF(L$6="","",IF(NOT(ISNUMBER(_xll.ciqfunctions.udf.CIQ(L$6,$F$2, $A252, $I$2, $I$3))),IF(L251=L$6,"",L251),_xll.ciqfunctions.udf.CIQ(L$6,$F$2, $A252, $I$2, $I$3)))</f>
        <v/>
      </c>
      <c r="M252" s="254" t="str">
        <f>IF(M$6="","",IF(NOT(ISNUMBER(_xll.ciqfunctions.udf.CIQ(M$6,$F$2, $A252, $I$2, $I$3))),IF(M251=M$6,"",M251),_xll.ciqfunctions.udf.CIQ(M$6,$F$2, $A252, $I$2, $I$3)))</f>
        <v/>
      </c>
      <c r="N252" s="254" t="str">
        <f>IF(N$6="","",IF(NOT(ISNUMBER(_xll.ciqfunctions.udf.CIQ(N$6,$F$2, $A252, $I$2, $I$3))),IF(N251=N$6,"",N251),_xll.ciqfunctions.udf.CIQ(N$6,$F$2, $A252, $I$2, $I$3)))</f>
        <v/>
      </c>
      <c r="O252" s="254" t="str">
        <f>IF(O$6="","",IF(NOT(ISNUMBER(_xll.ciqfunctions.udf.CIQ(O$6,$F$2, $A252, $I$2, $I$3))),IF(O251=O$6,"",O251),_xll.ciqfunctions.udf.CIQ(O$6,$F$2, $A252, $I$2, $I$3)))</f>
        <v/>
      </c>
      <c r="P252" s="254" t="str">
        <f>IF(P$6="","",IF(NOT(ISNUMBER(_xll.ciqfunctions.udf.CIQ(P$6,$F$2, $A252, $I$2, $I$3))),IF(P251=P$6,"",P251),_xll.ciqfunctions.udf.CIQ(P$6,$F$2, $A252, $I$2, $I$3)))</f>
        <v/>
      </c>
      <c r="Q252" s="254"/>
      <c r="R252" s="251">
        <f t="shared" si="124"/>
        <v>44540</v>
      </c>
      <c r="S252" s="255">
        <f t="shared" si="126"/>
        <v>0.95657602663706998</v>
      </c>
      <c r="T252" s="255">
        <f t="shared" si="127"/>
        <v>0.74082222638719597</v>
      </c>
      <c r="U252" s="255">
        <f t="shared" si="128"/>
        <v>0.69135298284941316</v>
      </c>
      <c r="V252" s="255">
        <f t="shared" si="142"/>
        <v>1.1910199502582741</v>
      </c>
      <c r="W252" s="255">
        <f t="array" ref="W252">IFERROR(AVERAGE(IF(ISERROR(X252:AG252),"",X252:AG252)),"")</f>
        <v>2.3324587035601412</v>
      </c>
      <c r="X252" s="255">
        <f t="shared" si="143"/>
        <v>2.3324587035601412</v>
      </c>
      <c r="Y252" s="255" t="e">
        <f t="shared" si="144"/>
        <v>#N/A</v>
      </c>
      <c r="Z252" s="255" t="e">
        <f t="shared" si="145"/>
        <v>#N/A</v>
      </c>
      <c r="AA252" s="255" t="e">
        <f t="shared" si="146"/>
        <v>#N/A</v>
      </c>
      <c r="AB252" s="255" t="e">
        <f t="shared" si="147"/>
        <v>#N/A</v>
      </c>
      <c r="AC252" s="255" t="e">
        <f t="shared" si="148"/>
        <v>#N/A</v>
      </c>
      <c r="AD252" s="255" t="e">
        <f t="shared" si="149"/>
        <v>#N/A</v>
      </c>
      <c r="AE252" s="255" t="e">
        <f t="shared" si="150"/>
        <v>#N/A</v>
      </c>
      <c r="AF252" s="255" t="e">
        <f t="shared" si="151"/>
        <v>#N/A</v>
      </c>
      <c r="AG252" s="255" t="e">
        <f t="shared" si="152"/>
        <v>#N/A</v>
      </c>
      <c r="AI252" s="251">
        <f t="shared" si="125"/>
        <v>44540</v>
      </c>
      <c r="AJ252" s="718">
        <f>IF(OR($B252="No",AJ$6=""),"",IF(NOT(ISNUMBER(_xll.ciqfunctions.udf.CIQ(AJ$6,"IQ_TEV",$AI252,$I$2,$I$3))),"",_xll.ciqfunctions.udf.CIQ(AJ$6,"IQ_TEV",$AI252,$I$2,$I$3)))</f>
        <v>442050.07893000002</v>
      </c>
      <c r="AK252" s="718">
        <f>IF(OR($B252="No",AK$6=""),"",IF(NOT(ISNUMBER(_xll.ciqfunctions.udf.CIQ(AK$6,"IQ_TEV",$AI252,$I$2,$I$3))),"",_xll.ciqfunctions.udf.CIQ(AK$6,"IQ_TEV",$AI252,$I$2,$I$3)))</f>
        <v>244975.78787999999</v>
      </c>
      <c r="AL252" s="718" t="str">
        <f>IF(OR($B252="No",AL$6=""),"",IF(NOT(ISNUMBER(_xll.ciqfunctions.udf.CIQ(AL$6,"IQ_TEV",$AI252,$I$2,$I$3))),"",_xll.ciqfunctions.udf.CIQ(AL$6,"IQ_TEV",$AI252,$I$2,$I$3)))</f>
        <v/>
      </c>
      <c r="AM252" s="718" t="str">
        <f>IF(OR($B252="No",AM$6=""),"",IF(NOT(ISNUMBER(_xll.ciqfunctions.udf.CIQ(AM$6,"IQ_TEV",$AI252,$I$2,$I$3))),"",_xll.ciqfunctions.udf.CIQ(AM$6,"IQ_TEV",$AI252,$I$2,$I$3)))</f>
        <v/>
      </c>
      <c r="AN252" s="718" t="str">
        <f>IF(OR($B252="No",AN$6=""),"",IF(NOT(ISNUMBER(_xll.ciqfunctions.udf.CIQ(AN$6,"IQ_TEV",$AI252,$I$2,$I$3))),"",_xll.ciqfunctions.udf.CIQ(AN$6,"IQ_TEV",$AI252,$I$2,$I$3)))</f>
        <v/>
      </c>
      <c r="AO252" s="718" t="str">
        <f>IF(OR($B252="No",AO$6=""),"",IF(NOT(ISNUMBER(_xll.ciqfunctions.udf.CIQ(AO$6,"IQ_TEV",$AI252,$I$2,$I$3))),"",_xll.ciqfunctions.udf.CIQ(AO$6,"IQ_TEV",$AI252,$I$2,$I$3)))</f>
        <v/>
      </c>
      <c r="AP252" s="718" t="str">
        <f>IF(OR($B252="No",AP$6=""),"",IF(NOT(ISNUMBER(_xll.ciqfunctions.udf.CIQ(AP$6,"IQ_TEV",$AI252,$I$2,$I$3))),"",_xll.ciqfunctions.udf.CIQ(AP$6,"IQ_TEV",$AI252,$I$2,$I$3)))</f>
        <v/>
      </c>
      <c r="AQ252" s="718" t="str">
        <f>IF(OR($B252="No",AQ$6=""),"",IF(NOT(ISNUMBER(_xll.ciqfunctions.udf.CIQ(AQ$6,"IQ_TEV",$AI252,$I$2,$I$3))),"",_xll.ciqfunctions.udf.CIQ(AQ$6,"IQ_TEV",$AI252,$I$2,$I$3)))</f>
        <v/>
      </c>
      <c r="AR252" s="718" t="str">
        <f>IF(OR($B252="No",AR$6=""),"",IF(NOT(ISNUMBER(_xll.ciqfunctions.udf.CIQ(AR$6,"IQ_TEV",$AI252,$I$2,$I$3))),"",_xll.ciqfunctions.udf.CIQ(AR$6,"IQ_TEV",$AI252,$I$2,$I$3)))</f>
        <v/>
      </c>
      <c r="AS252" s="718" t="str">
        <f>IF(OR($B252="No",AS$6=""),"",IF(NOT(ISNUMBER(_xll.ciqfunctions.udf.CIQ(AS$6,"IQ_TEV",$AI252,$I$2,$I$3))),"",_xll.ciqfunctions.udf.CIQ(AS$6,"IQ_TEV",$AI252,$I$2,$I$3)))</f>
        <v/>
      </c>
      <c r="AT252" s="718" t="str">
        <f>IF(OR($B252="No",AT$6=""),"",IF(NOT(ISNUMBER(_xll.ciqfunctions.udf.CIQ(AT$6,"IQ_TEV",$AI252,$I$2,$I$3))),"",_xll.ciqfunctions.udf.CIQ(AT$6,"IQ_TEV",$AI252,$I$2,$I$3)))</f>
        <v/>
      </c>
      <c r="AV252" s="251">
        <f t="shared" si="129"/>
        <v>44540</v>
      </c>
      <c r="AW252" s="719">
        <f t="shared" si="130"/>
        <v>0.6933067506466386</v>
      </c>
      <c r="AX252" s="719">
        <f t="shared" si="131"/>
        <v>2.3565293698506076</v>
      </c>
      <c r="AY252" s="719" t="e">
        <f t="shared" si="132"/>
        <v>#N/A</v>
      </c>
      <c r="AZ252" s="719" t="e">
        <f t="shared" si="133"/>
        <v>#N/A</v>
      </c>
      <c r="BA252" s="719" t="e">
        <f t="shared" si="134"/>
        <v>#N/A</v>
      </c>
      <c r="BB252" s="719" t="e">
        <f t="shared" si="135"/>
        <v>#N/A</v>
      </c>
      <c r="BC252" s="719" t="e">
        <f t="shared" si="136"/>
        <v>#N/A</v>
      </c>
      <c r="BD252" s="719" t="e">
        <f t="shared" si="137"/>
        <v>#N/A</v>
      </c>
      <c r="BE252" s="719" t="e">
        <f t="shared" si="138"/>
        <v>#N/A</v>
      </c>
      <c r="BF252" s="719" t="e">
        <f t="shared" si="139"/>
        <v>#N/A</v>
      </c>
      <c r="BG252" s="719" t="e">
        <f t="shared" si="140"/>
        <v>#N/A</v>
      </c>
    </row>
    <row r="253" spans="1:59" ht="15" customHeight="1" x14ac:dyDescent="0.2">
      <c r="A253" s="251">
        <f t="shared" si="123"/>
        <v>44547</v>
      </c>
      <c r="B253" s="253" t="str">
        <f t="shared" si="141"/>
        <v>Yes</v>
      </c>
      <c r="C253" s="1033">
        <f>IF(C$6="","",IF(NOT(ISNUMBER(_xll.ciqfunctions.udf.CIQ(C$6,$F$2, $A253, $I$2, $I$3))),IF(C252=C$6,"",C252),_xll.ciqfunctions.udf.CIQ(C$6,$F$2, $A253, $I$2, $I$3)))</f>
        <v>138.75</v>
      </c>
      <c r="D253" s="1033">
        <f>IF(D$6="","",IF(NOT(ISNUMBER(_xll.ciqfunctions.udf.CIQ(D$6,$F$2, $A253, $I$2, $I$3))),IF(D252=D$6,"",D252),_xll.ciqfunctions.udf.CIQ(D$6,$F$2, $A253, $I$2, $I$3)))</f>
        <v>35365.435279999998</v>
      </c>
      <c r="E253" s="1033">
        <f>IF(E$6="","",IF(NOT(ISNUMBER(_xll.ciqfunctions.udf.CIQ(E$6,$F$2, $A253, $I$2, $I$3))),IF(E252=E$6,"",E252),_xll.ciqfunctions.udf.CIQ(E$6,$F$2, $A253, $I$2, $I$3)))</f>
        <v>11886.938469999999</v>
      </c>
      <c r="F253" s="1033">
        <f>IF(F$6="","",IF(NOT(ISNUMBER(_xll.ciqfunctions.udf.CIQ(F$6,$F$2, $A253, $I$2, $I$3))),IF(F252=F$6,"",F252),_xll.ciqfunctions.udf.CIQ(F$6,$F$2, $A253, $I$2, $I$3)))</f>
        <v>9146.9268300000003</v>
      </c>
      <c r="G253" s="1033">
        <f>IF(G$6="","",IF(NOT(ISNUMBER(_xll.ciqfunctions.udf.CIQ(G$6,$F$2, $A253, $I$2, $I$3))),IF(G252=G$6,"",G252),_xll.ciqfunctions.udf.CIQ(G$6,$F$2, $A253, $I$2, $I$3)))</f>
        <v>547.61</v>
      </c>
      <c r="H253" s="1033" t="str">
        <f>IF(H$6="","",IF(NOT(ISNUMBER(_xll.ciqfunctions.udf.CIQ(H$6,$F$2, $A253, $I$2, $I$3))),IF(H252=H$6,"",H252),_xll.ciqfunctions.udf.CIQ(H$6,$F$2, $A253, $I$2, $I$3)))</f>
        <v/>
      </c>
      <c r="I253" s="1033" t="str">
        <f>IF(I$6="","",IF(NOT(ISNUMBER(_xll.ciqfunctions.udf.CIQ(I$6,$F$2, $A253, $I$2, $I$3))),IF(I252=I$6,"",I252),_xll.ciqfunctions.udf.CIQ(I$6,$F$2, $A253, $I$2, $I$3)))</f>
        <v/>
      </c>
      <c r="J253" s="1033" t="str">
        <f>IF(J$6="","",IF(NOT(ISNUMBER(_xll.ciqfunctions.udf.CIQ(J$6,$F$2, $A253, $I$2, $I$3))),IF(J252=J$6,"",J252),_xll.ciqfunctions.udf.CIQ(J$6,$F$2, $A253, $I$2, $I$3)))</f>
        <v/>
      </c>
      <c r="K253" s="1033" t="str">
        <f>IF(K$6="","",IF(NOT(ISNUMBER(_xll.ciqfunctions.udf.CIQ(K$6,$F$2, $A253, $I$2, $I$3))),IF(K252=K$6,"",K252),_xll.ciqfunctions.udf.CIQ(K$6,$F$2, $A253, $I$2, $I$3)))</f>
        <v/>
      </c>
      <c r="L253" s="254" t="str">
        <f>IF(L$6="","",IF(NOT(ISNUMBER(_xll.ciqfunctions.udf.CIQ(L$6,$F$2, $A253, $I$2, $I$3))),IF(L252=L$6,"",L252),_xll.ciqfunctions.udf.CIQ(L$6,$F$2, $A253, $I$2, $I$3)))</f>
        <v/>
      </c>
      <c r="M253" s="254" t="str">
        <f>IF(M$6="","",IF(NOT(ISNUMBER(_xll.ciqfunctions.udf.CIQ(M$6,$F$2, $A253, $I$2, $I$3))),IF(M252=M$6,"",M252),_xll.ciqfunctions.udf.CIQ(M$6,$F$2, $A253, $I$2, $I$3)))</f>
        <v/>
      </c>
      <c r="N253" s="254" t="str">
        <f>IF(N$6="","",IF(NOT(ISNUMBER(_xll.ciqfunctions.udf.CIQ(N$6,$F$2, $A253, $I$2, $I$3))),IF(N252=N$6,"",N252),_xll.ciqfunctions.udf.CIQ(N$6,$F$2, $A253, $I$2, $I$3)))</f>
        <v/>
      </c>
      <c r="O253" s="254" t="str">
        <f>IF(O$6="","",IF(NOT(ISNUMBER(_xll.ciqfunctions.udf.CIQ(O$6,$F$2, $A253, $I$2, $I$3))),IF(O252=O$6,"",O252),_xll.ciqfunctions.udf.CIQ(O$6,$F$2, $A253, $I$2, $I$3)))</f>
        <v/>
      </c>
      <c r="P253" s="254" t="str">
        <f>IF(P$6="","",IF(NOT(ISNUMBER(_xll.ciqfunctions.udf.CIQ(P$6,$F$2, $A253, $I$2, $I$3))),IF(P252=P$6,"",P252),_xll.ciqfunctions.udf.CIQ(P$6,$F$2, $A253, $I$2, $I$3)))</f>
        <v/>
      </c>
      <c r="Q253" s="254"/>
      <c r="R253" s="251">
        <f t="shared" si="124"/>
        <v>44547</v>
      </c>
      <c r="S253" s="255">
        <f t="shared" si="126"/>
        <v>0.92494450610432866</v>
      </c>
      <c r="T253" s="255">
        <f t="shared" si="127"/>
        <v>0.71151608828599544</v>
      </c>
      <c r="U253" s="255">
        <f t="shared" si="128"/>
        <v>0.66115648412508299</v>
      </c>
      <c r="V253" s="255">
        <f t="shared" si="142"/>
        <v>1.0837081321409561</v>
      </c>
      <c r="W253" s="255">
        <f t="array" ref="W253">IFERROR(AVERAGE(IF(ISERROR(X253:AG253),"",X253:AG253)),"")</f>
        <v>2.2656091597590793</v>
      </c>
      <c r="X253" s="255">
        <f t="shared" si="143"/>
        <v>2.2656091597590793</v>
      </c>
      <c r="Y253" s="255" t="e">
        <f t="shared" si="144"/>
        <v>#N/A</v>
      </c>
      <c r="Z253" s="255" t="e">
        <f t="shared" si="145"/>
        <v>#N/A</v>
      </c>
      <c r="AA253" s="255" t="e">
        <f t="shared" si="146"/>
        <v>#N/A</v>
      </c>
      <c r="AB253" s="255" t="e">
        <f t="shared" si="147"/>
        <v>#N/A</v>
      </c>
      <c r="AC253" s="255" t="e">
        <f t="shared" si="148"/>
        <v>#N/A</v>
      </c>
      <c r="AD253" s="255" t="e">
        <f t="shared" si="149"/>
        <v>#N/A</v>
      </c>
      <c r="AE253" s="255" t="e">
        <f t="shared" si="150"/>
        <v>#N/A</v>
      </c>
      <c r="AF253" s="255" t="e">
        <f t="shared" si="151"/>
        <v>#N/A</v>
      </c>
      <c r="AG253" s="255" t="e">
        <f t="shared" si="152"/>
        <v>#N/A</v>
      </c>
      <c r="AI253" s="251">
        <f t="shared" si="125"/>
        <v>44547</v>
      </c>
      <c r="AJ253" s="718">
        <f>IF(OR($B253="No",AJ$6=""),"",IF(NOT(ISNUMBER(_xll.ciqfunctions.udf.CIQ(AJ$6,"IQ_TEV",$AI253,$I$2,$I$3))),"",_xll.ciqfunctions.udf.CIQ(AJ$6,"IQ_TEV",$AI253,$I$2,$I$3)))</f>
        <v>435725.63604999997</v>
      </c>
      <c r="AK253" s="718">
        <f>IF(OR($B253="No",AK$6=""),"",IF(NOT(ISNUMBER(_xll.ciqfunctions.udf.CIQ(AK$6,"IQ_TEV",$AI253,$I$2,$I$3))),"",_xll.ciqfunctions.udf.CIQ(AK$6,"IQ_TEV",$AI253,$I$2,$I$3)))</f>
        <v>240004.89274000001</v>
      </c>
      <c r="AL253" s="718" t="str">
        <f>IF(OR($B253="No",AL$6=""),"",IF(NOT(ISNUMBER(_xll.ciqfunctions.udf.CIQ(AL$6,"IQ_TEV",$AI253,$I$2,$I$3))),"",_xll.ciqfunctions.udf.CIQ(AL$6,"IQ_TEV",$AI253,$I$2,$I$3)))</f>
        <v/>
      </c>
      <c r="AM253" s="718" t="str">
        <f>IF(OR($B253="No",AM$6=""),"",IF(NOT(ISNUMBER(_xll.ciqfunctions.udf.CIQ(AM$6,"IQ_TEV",$AI253,$I$2,$I$3))),"",_xll.ciqfunctions.udf.CIQ(AM$6,"IQ_TEV",$AI253,$I$2,$I$3)))</f>
        <v/>
      </c>
      <c r="AN253" s="718" t="str">
        <f>IF(OR($B253="No",AN$6=""),"",IF(NOT(ISNUMBER(_xll.ciqfunctions.udf.CIQ(AN$6,"IQ_TEV",$AI253,$I$2,$I$3))),"",_xll.ciqfunctions.udf.CIQ(AN$6,"IQ_TEV",$AI253,$I$2,$I$3)))</f>
        <v/>
      </c>
      <c r="AO253" s="718" t="str">
        <f>IF(OR($B253="No",AO$6=""),"",IF(NOT(ISNUMBER(_xll.ciqfunctions.udf.CIQ(AO$6,"IQ_TEV",$AI253,$I$2,$I$3))),"",_xll.ciqfunctions.udf.CIQ(AO$6,"IQ_TEV",$AI253,$I$2,$I$3)))</f>
        <v/>
      </c>
      <c r="AP253" s="718" t="str">
        <f>IF(OR($B253="No",AP$6=""),"",IF(NOT(ISNUMBER(_xll.ciqfunctions.udf.CIQ(AP$6,"IQ_TEV",$AI253,$I$2,$I$3))),"",_xll.ciqfunctions.udf.CIQ(AP$6,"IQ_TEV",$AI253,$I$2,$I$3)))</f>
        <v/>
      </c>
      <c r="AQ253" s="718" t="str">
        <f>IF(OR($B253="No",AQ$6=""),"",IF(NOT(ISNUMBER(_xll.ciqfunctions.udf.CIQ(AQ$6,"IQ_TEV",$AI253,$I$2,$I$3))),"",_xll.ciqfunctions.udf.CIQ(AQ$6,"IQ_TEV",$AI253,$I$2,$I$3)))</f>
        <v/>
      </c>
      <c r="AR253" s="718" t="str">
        <f>IF(OR($B253="No",AR$6=""),"",IF(NOT(ISNUMBER(_xll.ciqfunctions.udf.CIQ(AR$6,"IQ_TEV",$AI253,$I$2,$I$3))),"",_xll.ciqfunctions.udf.CIQ(AR$6,"IQ_TEV",$AI253,$I$2,$I$3)))</f>
        <v/>
      </c>
      <c r="AS253" s="718" t="str">
        <f>IF(OR($B253="No",AS$6=""),"",IF(NOT(ISNUMBER(_xll.ciqfunctions.udf.CIQ(AS$6,"IQ_TEV",$AI253,$I$2,$I$3))),"",_xll.ciqfunctions.udf.CIQ(AS$6,"IQ_TEV",$AI253,$I$2,$I$3)))</f>
        <v/>
      </c>
      <c r="AT253" s="718" t="str">
        <f>IF(OR($B253="No",AT$6=""),"",IF(NOT(ISNUMBER(_xll.ciqfunctions.udf.CIQ(AT$6,"IQ_TEV",$AI253,$I$2,$I$3))),"",_xll.ciqfunctions.udf.CIQ(AT$6,"IQ_TEV",$AI253,$I$2,$I$3)))</f>
        <v/>
      </c>
      <c r="AV253" s="251">
        <f t="shared" si="129"/>
        <v>44547</v>
      </c>
      <c r="AW253" s="719">
        <f t="shared" si="130"/>
        <v>0.66908048685158361</v>
      </c>
      <c r="AX253" s="719">
        <f t="shared" si="131"/>
        <v>2.2884207797068723</v>
      </c>
      <c r="AY253" s="719" t="e">
        <f t="shared" si="132"/>
        <v>#N/A</v>
      </c>
      <c r="AZ253" s="719" t="e">
        <f t="shared" si="133"/>
        <v>#N/A</v>
      </c>
      <c r="BA253" s="719" t="e">
        <f t="shared" si="134"/>
        <v>#N/A</v>
      </c>
      <c r="BB253" s="719" t="e">
        <f t="shared" si="135"/>
        <v>#N/A</v>
      </c>
      <c r="BC253" s="719" t="e">
        <f t="shared" si="136"/>
        <v>#N/A</v>
      </c>
      <c r="BD253" s="719" t="e">
        <f t="shared" si="137"/>
        <v>#N/A</v>
      </c>
      <c r="BE253" s="719" t="e">
        <f t="shared" si="138"/>
        <v>#N/A</v>
      </c>
      <c r="BF253" s="719" t="e">
        <f t="shared" si="139"/>
        <v>#N/A</v>
      </c>
      <c r="BG253" s="719" t="e">
        <f t="shared" si="140"/>
        <v>#N/A</v>
      </c>
    </row>
    <row r="254" spans="1:59" ht="15" customHeight="1" x14ac:dyDescent="0.2">
      <c r="A254" s="251">
        <f t="shared" si="123"/>
        <v>44554</v>
      </c>
      <c r="B254" s="253" t="str">
        <f t="shared" si="141"/>
        <v>Yes</v>
      </c>
      <c r="C254" s="1033">
        <f>IF(C$6="","",IF(NOT(ISNUMBER(_xll.ciqfunctions.udf.CIQ(C$6,$F$2, $A254, $I$2, $I$3))),IF(C253=C$6,"",C253),_xll.ciqfunctions.udf.CIQ(C$6,$F$2, $A254, $I$2, $I$3)))</f>
        <v>139.49</v>
      </c>
      <c r="D254" s="1033">
        <f>IF(D$6="","",IF(NOT(ISNUMBER(_xll.ciqfunctions.udf.CIQ(D$6,$F$2, $A254, $I$2, $I$3))),IF(D253=D$6,"",D253),_xll.ciqfunctions.udf.CIQ(D$6,$F$2, $A254, $I$2, $I$3)))</f>
        <v>35950.563130000002</v>
      </c>
      <c r="E254" s="1033">
        <f>IF(E$6="","",IF(NOT(ISNUMBER(_xll.ciqfunctions.udf.CIQ(E$6,$F$2, $A254, $I$2, $I$3))),IF(E253=E$6,"",E253),_xll.ciqfunctions.udf.CIQ(E$6,$F$2, $A254, $I$2, $I$3)))</f>
        <v>12087.11872</v>
      </c>
      <c r="F254" s="1033">
        <f>IF(F$6="","",IF(NOT(ISNUMBER(_xll.ciqfunctions.udf.CIQ(F$6,$F$2, $A254, $I$2, $I$3))),IF(F253=F$6,"",F253),_xll.ciqfunctions.udf.CIQ(F$6,$F$2, $A254, $I$2, $I$3)))</f>
        <v>9319.3571699999993</v>
      </c>
      <c r="G254" s="1033">
        <f>IF(G$6="","",IF(NOT(ISNUMBER(_xll.ciqfunctions.udf.CIQ(G$6,$F$2, $A254, $I$2, $I$3))),IF(G253=G$6,"",G253),_xll.ciqfunctions.udf.CIQ(G$6,$F$2, $A254, $I$2, $I$3)))</f>
        <v>550.37</v>
      </c>
      <c r="H254" s="1033" t="str">
        <f>IF(H$6="","",IF(NOT(ISNUMBER(_xll.ciqfunctions.udf.CIQ(H$6,$F$2, $A254, $I$2, $I$3))),IF(H253=H$6,"",H253),_xll.ciqfunctions.udf.CIQ(H$6,$F$2, $A254, $I$2, $I$3)))</f>
        <v/>
      </c>
      <c r="I254" s="1033" t="str">
        <f>IF(I$6="","",IF(NOT(ISNUMBER(_xll.ciqfunctions.udf.CIQ(I$6,$F$2, $A254, $I$2, $I$3))),IF(I253=I$6,"",I253),_xll.ciqfunctions.udf.CIQ(I$6,$F$2, $A254, $I$2, $I$3)))</f>
        <v/>
      </c>
      <c r="J254" s="1033" t="str">
        <f>IF(J$6="","",IF(NOT(ISNUMBER(_xll.ciqfunctions.udf.CIQ(J$6,$F$2, $A254, $I$2, $I$3))),IF(J253=J$6,"",J253),_xll.ciqfunctions.udf.CIQ(J$6,$F$2, $A254, $I$2, $I$3)))</f>
        <v/>
      </c>
      <c r="K254" s="1033" t="str">
        <f>IF(K$6="","",IF(NOT(ISNUMBER(_xll.ciqfunctions.udf.CIQ(K$6,$F$2, $A254, $I$2, $I$3))),IF(K253=K$6,"",K253),_xll.ciqfunctions.udf.CIQ(K$6,$F$2, $A254, $I$2, $I$3)))</f>
        <v/>
      </c>
      <c r="L254" s="254" t="str">
        <f>IF(L$6="","",IF(NOT(ISNUMBER(_xll.ciqfunctions.udf.CIQ(L$6,$F$2, $A254, $I$2, $I$3))),IF(L253=L$6,"",L253),_xll.ciqfunctions.udf.CIQ(L$6,$F$2, $A254, $I$2, $I$3)))</f>
        <v/>
      </c>
      <c r="M254" s="254" t="str">
        <f>IF(M$6="","",IF(NOT(ISNUMBER(_xll.ciqfunctions.udf.CIQ(M$6,$F$2, $A254, $I$2, $I$3))),IF(M253=M$6,"",M253),_xll.ciqfunctions.udf.CIQ(M$6,$F$2, $A254, $I$2, $I$3)))</f>
        <v/>
      </c>
      <c r="N254" s="254" t="str">
        <f>IF(N$6="","",IF(NOT(ISNUMBER(_xll.ciqfunctions.udf.CIQ(N$6,$F$2, $A254, $I$2, $I$3))),IF(N253=N$6,"",N253),_xll.ciqfunctions.udf.CIQ(N$6,$F$2, $A254, $I$2, $I$3)))</f>
        <v/>
      </c>
      <c r="O254" s="254" t="str">
        <f>IF(O$6="","",IF(NOT(ISNUMBER(_xll.ciqfunctions.udf.CIQ(O$6,$F$2, $A254, $I$2, $I$3))),IF(O253=O$6,"",O253),_xll.ciqfunctions.udf.CIQ(O$6,$F$2, $A254, $I$2, $I$3)))</f>
        <v/>
      </c>
      <c r="P254" s="254" t="str">
        <f>IF(P$6="","",IF(NOT(ISNUMBER(_xll.ciqfunctions.udf.CIQ(P$6,$F$2, $A254, $I$2, $I$3))),IF(P253=P$6,"",P253),_xll.ciqfunctions.udf.CIQ(P$6,$F$2, $A254, $I$2, $I$3)))</f>
        <v/>
      </c>
      <c r="Q254" s="254"/>
      <c r="R254" s="251">
        <f t="shared" si="124"/>
        <v>44554</v>
      </c>
      <c r="S254" s="255">
        <f t="shared" si="126"/>
        <v>0.93521087680355186</v>
      </c>
      <c r="T254" s="255">
        <f t="shared" si="127"/>
        <v>0.73983344734153489</v>
      </c>
      <c r="U254" s="255">
        <f t="shared" si="128"/>
        <v>0.68913094711406164</v>
      </c>
      <c r="V254" s="255">
        <f t="shared" si="142"/>
        <v>1.1229884837129633</v>
      </c>
      <c r="W254" s="255">
        <f t="array" ref="W254">IFERROR(AVERAGE(IF(ISERROR(X254:AG254),"",X254:AG254)),"")</f>
        <v>2.282068101854613</v>
      </c>
      <c r="X254" s="255">
        <f t="shared" si="143"/>
        <v>2.282068101854613</v>
      </c>
      <c r="Y254" s="255" t="e">
        <f t="shared" si="144"/>
        <v>#N/A</v>
      </c>
      <c r="Z254" s="255" t="e">
        <f t="shared" si="145"/>
        <v>#N/A</v>
      </c>
      <c r="AA254" s="255" t="e">
        <f t="shared" si="146"/>
        <v>#N/A</v>
      </c>
      <c r="AB254" s="255" t="e">
        <f t="shared" si="147"/>
        <v>#N/A</v>
      </c>
      <c r="AC254" s="255" t="e">
        <f t="shared" si="148"/>
        <v>#N/A</v>
      </c>
      <c r="AD254" s="255" t="e">
        <f t="shared" si="149"/>
        <v>#N/A</v>
      </c>
      <c r="AE254" s="255" t="e">
        <f t="shared" si="150"/>
        <v>#N/A</v>
      </c>
      <c r="AF254" s="255" t="e">
        <f t="shared" si="151"/>
        <v>#N/A</v>
      </c>
      <c r="AG254" s="255" t="e">
        <f t="shared" si="152"/>
        <v>#N/A</v>
      </c>
      <c r="AI254" s="251">
        <f t="shared" si="125"/>
        <v>44554</v>
      </c>
      <c r="AJ254" s="718">
        <f>IF(OR($B254="No",AJ$6=""),"",IF(NOT(ISNUMBER(_xll.ciqfunctions.udf.CIQ(AJ$6,"IQ_TEV",$AI254,$I$2,$I$3))),"",_xll.ciqfunctions.udf.CIQ(AJ$6,"IQ_TEV",$AI254,$I$2,$I$3)))</f>
        <v>437778.30611</v>
      </c>
      <c r="AK254" s="718">
        <f>IF(OR($B254="No",AK$6=""),"",IF(NOT(ISNUMBER(_xll.ciqfunctions.udf.CIQ(AK$6,"IQ_TEV",$AI254,$I$2,$I$3))),"",_xll.ciqfunctions.udf.CIQ(AK$6,"IQ_TEV",$AI254,$I$2,$I$3)))</f>
        <v>241227.93732</v>
      </c>
      <c r="AL254" s="718" t="str">
        <f>IF(OR($B254="No",AL$6=""),"",IF(NOT(ISNUMBER(_xll.ciqfunctions.udf.CIQ(AL$6,"IQ_TEV",$AI254,$I$2,$I$3))),"",_xll.ciqfunctions.udf.CIQ(AL$6,"IQ_TEV",$AI254,$I$2,$I$3)))</f>
        <v/>
      </c>
      <c r="AM254" s="718" t="str">
        <f>IF(OR($B254="No",AM$6=""),"",IF(NOT(ISNUMBER(_xll.ciqfunctions.udf.CIQ(AM$6,"IQ_TEV",$AI254,$I$2,$I$3))),"",_xll.ciqfunctions.udf.CIQ(AM$6,"IQ_TEV",$AI254,$I$2,$I$3)))</f>
        <v/>
      </c>
      <c r="AN254" s="718" t="str">
        <f>IF(OR($B254="No",AN$6=""),"",IF(NOT(ISNUMBER(_xll.ciqfunctions.udf.CIQ(AN$6,"IQ_TEV",$AI254,$I$2,$I$3))),"",_xll.ciqfunctions.udf.CIQ(AN$6,"IQ_TEV",$AI254,$I$2,$I$3)))</f>
        <v/>
      </c>
      <c r="AO254" s="718" t="str">
        <f>IF(OR($B254="No",AO$6=""),"",IF(NOT(ISNUMBER(_xll.ciqfunctions.udf.CIQ(AO$6,"IQ_TEV",$AI254,$I$2,$I$3))),"",_xll.ciqfunctions.udf.CIQ(AO$6,"IQ_TEV",$AI254,$I$2,$I$3)))</f>
        <v/>
      </c>
      <c r="AP254" s="718" t="str">
        <f>IF(OR($B254="No",AP$6=""),"",IF(NOT(ISNUMBER(_xll.ciqfunctions.udf.CIQ(AP$6,"IQ_TEV",$AI254,$I$2,$I$3))),"",_xll.ciqfunctions.udf.CIQ(AP$6,"IQ_TEV",$AI254,$I$2,$I$3)))</f>
        <v/>
      </c>
      <c r="AQ254" s="718" t="str">
        <f>IF(OR($B254="No",AQ$6=""),"",IF(NOT(ISNUMBER(_xll.ciqfunctions.udf.CIQ(AQ$6,"IQ_TEV",$AI254,$I$2,$I$3))),"",_xll.ciqfunctions.udf.CIQ(AQ$6,"IQ_TEV",$AI254,$I$2,$I$3)))</f>
        <v/>
      </c>
      <c r="AR254" s="718" t="str">
        <f>IF(OR($B254="No",AR$6=""),"",IF(NOT(ISNUMBER(_xll.ciqfunctions.udf.CIQ(AR$6,"IQ_TEV",$AI254,$I$2,$I$3))),"",_xll.ciqfunctions.udf.CIQ(AR$6,"IQ_TEV",$AI254,$I$2,$I$3)))</f>
        <v/>
      </c>
      <c r="AS254" s="718" t="str">
        <f>IF(OR($B254="No",AS$6=""),"",IF(NOT(ISNUMBER(_xll.ciqfunctions.udf.CIQ(AS$6,"IQ_TEV",$AI254,$I$2,$I$3))),"",_xll.ciqfunctions.udf.CIQ(AS$6,"IQ_TEV",$AI254,$I$2,$I$3)))</f>
        <v/>
      </c>
      <c r="AT254" s="718" t="str">
        <f>IF(OR($B254="No",AT$6=""),"",IF(NOT(ISNUMBER(_xll.ciqfunctions.udf.CIQ(AT$6,"IQ_TEV",$AI254,$I$2,$I$3))),"",_xll.ciqfunctions.udf.CIQ(AT$6,"IQ_TEV",$AI254,$I$2,$I$3)))</f>
        <v/>
      </c>
      <c r="AV254" s="251">
        <f t="shared" si="129"/>
        <v>44554</v>
      </c>
      <c r="AW254" s="719">
        <f t="shared" si="130"/>
        <v>0.67694339704008888</v>
      </c>
      <c r="AX254" s="719">
        <f t="shared" si="131"/>
        <v>2.3051782931286371</v>
      </c>
      <c r="AY254" s="719" t="e">
        <f t="shared" si="132"/>
        <v>#N/A</v>
      </c>
      <c r="AZ254" s="719" t="e">
        <f t="shared" si="133"/>
        <v>#N/A</v>
      </c>
      <c r="BA254" s="719" t="e">
        <f t="shared" si="134"/>
        <v>#N/A</v>
      </c>
      <c r="BB254" s="719" t="e">
        <f t="shared" si="135"/>
        <v>#N/A</v>
      </c>
      <c r="BC254" s="719" t="e">
        <f t="shared" si="136"/>
        <v>#N/A</v>
      </c>
      <c r="BD254" s="719" t="e">
        <f t="shared" si="137"/>
        <v>#N/A</v>
      </c>
      <c r="BE254" s="719" t="e">
        <f t="shared" si="138"/>
        <v>#N/A</v>
      </c>
      <c r="BF254" s="719" t="e">
        <f t="shared" si="139"/>
        <v>#N/A</v>
      </c>
      <c r="BG254" s="719" t="e">
        <f t="shared" si="140"/>
        <v>#N/A</v>
      </c>
    </row>
    <row r="255" spans="1:59" ht="15" customHeight="1" x14ac:dyDescent="0.2">
      <c r="A255" s="251">
        <f t="shared" si="123"/>
        <v>44561</v>
      </c>
      <c r="B255" s="253" t="str">
        <f t="shared" si="141"/>
        <v>Yes</v>
      </c>
      <c r="C255" s="1033">
        <f>IF(C$6="","",IF(NOT(ISNUMBER(_xll.ciqfunctions.udf.CIQ(C$6,$F$2, $A255, $I$2, $I$3))),IF(C254=C$6,"",C254),_xll.ciqfunctions.udf.CIQ(C$6,$F$2, $A255, $I$2, $I$3)))</f>
        <v>144.69</v>
      </c>
      <c r="D255" s="1033">
        <f>IF(D$6="","",IF(NOT(ISNUMBER(_xll.ciqfunctions.udf.CIQ(D$6,$F$2, $A255, $I$2, $I$3))),IF(D254=D$6,"",D254),_xll.ciqfunctions.udf.CIQ(D$6,$F$2, $A255, $I$2, $I$3)))</f>
        <v>36338.29765</v>
      </c>
      <c r="E255" s="1033">
        <f>IF(E$6="","",IF(NOT(ISNUMBER(_xll.ciqfunctions.udf.CIQ(E$6,$F$2, $A255, $I$2, $I$3))),IF(E254=E$6,"",E254),_xll.ciqfunctions.udf.CIQ(E$6,$F$2, $A255, $I$2, $I$3)))</f>
        <v>12266.851290000001</v>
      </c>
      <c r="F255" s="1033">
        <f>IF(F$6="","",IF(NOT(ISNUMBER(_xll.ciqfunctions.udf.CIQ(F$6,$F$2, $A255, $I$2, $I$3))),IF(F254=F$6,"",F254),_xll.ciqfunctions.udf.CIQ(F$6,$F$2, $A255, $I$2, $I$3)))</f>
        <v>9486.2073099999998</v>
      </c>
      <c r="G255" s="1033">
        <f>IF(G$6="","",IF(NOT(ISNUMBER(_xll.ciqfunctions.udf.CIQ(G$6,$F$2, $A255, $I$2, $I$3))),IF(G254=G$6,"",G254),_xll.ciqfunctions.udf.CIQ(G$6,$F$2, $A255, $I$2, $I$3)))</f>
        <v>567.70000000000005</v>
      </c>
      <c r="H255" s="1033" t="str">
        <f>IF(H$6="","",IF(NOT(ISNUMBER(_xll.ciqfunctions.udf.CIQ(H$6,$F$2, $A255, $I$2, $I$3))),IF(H254=H$6,"",H254),_xll.ciqfunctions.udf.CIQ(H$6,$F$2, $A255, $I$2, $I$3)))</f>
        <v/>
      </c>
      <c r="I255" s="1033" t="str">
        <f>IF(I$6="","",IF(NOT(ISNUMBER(_xll.ciqfunctions.udf.CIQ(I$6,$F$2, $A255, $I$2, $I$3))),IF(I254=I$6,"",I254),_xll.ciqfunctions.udf.CIQ(I$6,$F$2, $A255, $I$2, $I$3)))</f>
        <v/>
      </c>
      <c r="J255" s="1033" t="str">
        <f>IF(J$6="","",IF(NOT(ISNUMBER(_xll.ciqfunctions.udf.CIQ(J$6,$F$2, $A255, $I$2, $I$3))),IF(J254=J$6,"",J254),_xll.ciqfunctions.udf.CIQ(J$6,$F$2, $A255, $I$2, $I$3)))</f>
        <v/>
      </c>
      <c r="K255" s="1033" t="str">
        <f>IF(K$6="","",IF(NOT(ISNUMBER(_xll.ciqfunctions.udf.CIQ(K$6,$F$2, $A255, $I$2, $I$3))),IF(K254=K$6,"",K254),_xll.ciqfunctions.udf.CIQ(K$6,$F$2, $A255, $I$2, $I$3)))</f>
        <v/>
      </c>
      <c r="L255" s="254" t="str">
        <f>IF(L$6="","",IF(NOT(ISNUMBER(_xll.ciqfunctions.udf.CIQ(L$6,$F$2, $A255, $I$2, $I$3))),IF(L254=L$6,"",L254),_xll.ciqfunctions.udf.CIQ(L$6,$F$2, $A255, $I$2, $I$3)))</f>
        <v/>
      </c>
      <c r="M255" s="254" t="str">
        <f>IF(M$6="","",IF(NOT(ISNUMBER(_xll.ciqfunctions.udf.CIQ(M$6,$F$2, $A255, $I$2, $I$3))),IF(M254=M$6,"",M254),_xll.ciqfunctions.udf.CIQ(M$6,$F$2, $A255, $I$2, $I$3)))</f>
        <v/>
      </c>
      <c r="N255" s="254" t="str">
        <f>IF(N$6="","",IF(NOT(ISNUMBER(_xll.ciqfunctions.udf.CIQ(N$6,$F$2, $A255, $I$2, $I$3))),IF(N254=N$6,"",N254),_xll.ciqfunctions.udf.CIQ(N$6,$F$2, $A255, $I$2, $I$3)))</f>
        <v/>
      </c>
      <c r="O255" s="254" t="str">
        <f>IF(O$6="","",IF(NOT(ISNUMBER(_xll.ciqfunctions.udf.CIQ(O$6,$F$2, $A255, $I$2, $I$3))),IF(O254=O$6,"",O254),_xll.ciqfunctions.udf.CIQ(O$6,$F$2, $A255, $I$2, $I$3)))</f>
        <v/>
      </c>
      <c r="P255" s="254" t="str">
        <f>IF(P$6="","",IF(NOT(ISNUMBER(_xll.ciqfunctions.udf.CIQ(P$6,$F$2, $A255, $I$2, $I$3))),IF(P254=P$6,"",P254),_xll.ciqfunctions.udf.CIQ(P$6,$F$2, $A255, $I$2, $I$3)))</f>
        <v/>
      </c>
      <c r="Q255" s="254"/>
      <c r="R255" s="251">
        <f t="shared" si="124"/>
        <v>44561</v>
      </c>
      <c r="S255" s="255">
        <f t="shared" si="126"/>
        <v>1.0073529411764706</v>
      </c>
      <c r="T255" s="255">
        <f t="shared" si="127"/>
        <v>0.7585979235514213</v>
      </c>
      <c r="U255" s="255">
        <f t="shared" si="128"/>
        <v>0.71424792107817137</v>
      </c>
      <c r="V255" s="255">
        <f t="shared" si="142"/>
        <v>1.1609976424204085</v>
      </c>
      <c r="W255" s="255">
        <f t="array" ref="W255">IFERROR(AVERAGE(IF(ISERROR(X255:AG255),"",X255:AG255)),"")</f>
        <v>2.3854135607370748</v>
      </c>
      <c r="X255" s="255">
        <f t="shared" si="143"/>
        <v>2.3854135607370748</v>
      </c>
      <c r="Y255" s="255" t="e">
        <f t="shared" si="144"/>
        <v>#N/A</v>
      </c>
      <c r="Z255" s="255" t="e">
        <f t="shared" si="145"/>
        <v>#N/A</v>
      </c>
      <c r="AA255" s="255" t="e">
        <f t="shared" si="146"/>
        <v>#N/A</v>
      </c>
      <c r="AB255" s="255" t="e">
        <f t="shared" si="147"/>
        <v>#N/A</v>
      </c>
      <c r="AC255" s="255" t="e">
        <f t="shared" si="148"/>
        <v>#N/A</v>
      </c>
      <c r="AD255" s="255" t="e">
        <f t="shared" si="149"/>
        <v>#N/A</v>
      </c>
      <c r="AE255" s="255" t="e">
        <f t="shared" si="150"/>
        <v>#N/A</v>
      </c>
      <c r="AF255" s="255" t="e">
        <f t="shared" si="151"/>
        <v>#N/A</v>
      </c>
      <c r="AG255" s="255" t="e">
        <f t="shared" si="152"/>
        <v>#N/A</v>
      </c>
      <c r="AI255" s="251">
        <f t="shared" si="125"/>
        <v>44561</v>
      </c>
      <c r="AJ255" s="718">
        <f>IF(OR($B255="No",AJ$6=""),"",IF(NOT(ISNUMBER(_xll.ciqfunctions.udf.CIQ(AJ$6,"IQ_TEV",$AI255,$I$2,$I$3))),"",_xll.ciqfunctions.udf.CIQ(AJ$6,"IQ_TEV",$AI255,$I$2,$I$3)))</f>
        <v>452202.47408999997</v>
      </c>
      <c r="AK255" s="718">
        <f>IF(OR($B255="No",AK$6=""),"",IF(NOT(ISNUMBER(_xll.ciqfunctions.udf.CIQ(AK$6,"IQ_TEV",$AI255,$I$2,$I$3))),"",_xll.ciqfunctions.udf.CIQ(AK$6,"IQ_TEV",$AI255,$I$2,$I$3)))</f>
        <v>248912.62229999999</v>
      </c>
      <c r="AL255" s="718" t="str">
        <f>IF(OR($B255="No",AL$6=""),"",IF(NOT(ISNUMBER(_xll.ciqfunctions.udf.CIQ(AL$6,"IQ_TEV",$AI255,$I$2,$I$3))),"",_xll.ciqfunctions.udf.CIQ(AL$6,"IQ_TEV",$AI255,$I$2,$I$3)))</f>
        <v/>
      </c>
      <c r="AM255" s="718" t="str">
        <f>IF(OR($B255="No",AM$6=""),"",IF(NOT(ISNUMBER(_xll.ciqfunctions.udf.CIQ(AM$6,"IQ_TEV",$AI255,$I$2,$I$3))),"",_xll.ciqfunctions.udf.CIQ(AM$6,"IQ_TEV",$AI255,$I$2,$I$3)))</f>
        <v/>
      </c>
      <c r="AN255" s="718" t="str">
        <f>IF(OR($B255="No",AN$6=""),"",IF(NOT(ISNUMBER(_xll.ciqfunctions.udf.CIQ(AN$6,"IQ_TEV",$AI255,$I$2,$I$3))),"",_xll.ciqfunctions.udf.CIQ(AN$6,"IQ_TEV",$AI255,$I$2,$I$3)))</f>
        <v/>
      </c>
      <c r="AO255" s="718" t="str">
        <f>IF(OR($B255="No",AO$6=""),"",IF(NOT(ISNUMBER(_xll.ciqfunctions.udf.CIQ(AO$6,"IQ_TEV",$AI255,$I$2,$I$3))),"",_xll.ciqfunctions.udf.CIQ(AO$6,"IQ_TEV",$AI255,$I$2,$I$3)))</f>
        <v/>
      </c>
      <c r="AP255" s="718" t="str">
        <f>IF(OR($B255="No",AP$6=""),"",IF(NOT(ISNUMBER(_xll.ciqfunctions.udf.CIQ(AP$6,"IQ_TEV",$AI255,$I$2,$I$3))),"",_xll.ciqfunctions.udf.CIQ(AP$6,"IQ_TEV",$AI255,$I$2,$I$3)))</f>
        <v/>
      </c>
      <c r="AQ255" s="718" t="str">
        <f>IF(OR($B255="No",AQ$6=""),"",IF(NOT(ISNUMBER(_xll.ciqfunctions.udf.CIQ(AQ$6,"IQ_TEV",$AI255,$I$2,$I$3))),"",_xll.ciqfunctions.udf.CIQ(AQ$6,"IQ_TEV",$AI255,$I$2,$I$3)))</f>
        <v/>
      </c>
      <c r="AR255" s="718" t="str">
        <f>IF(OR($B255="No",AR$6=""),"",IF(NOT(ISNUMBER(_xll.ciqfunctions.udf.CIQ(AR$6,"IQ_TEV",$AI255,$I$2,$I$3))),"",_xll.ciqfunctions.udf.CIQ(AR$6,"IQ_TEV",$AI255,$I$2,$I$3)))</f>
        <v/>
      </c>
      <c r="AS255" s="718" t="str">
        <f>IF(OR($B255="No",AS$6=""),"",IF(NOT(ISNUMBER(_xll.ciqfunctions.udf.CIQ(AS$6,"IQ_TEV",$AI255,$I$2,$I$3))),"",_xll.ciqfunctions.udf.CIQ(AS$6,"IQ_TEV",$AI255,$I$2,$I$3)))</f>
        <v/>
      </c>
      <c r="AT255" s="718" t="str">
        <f>IF(OR($B255="No",AT$6=""),"",IF(NOT(ISNUMBER(_xll.ciqfunctions.udf.CIQ(AT$6,"IQ_TEV",$AI255,$I$2,$I$3))),"",_xll.ciqfunctions.udf.CIQ(AT$6,"IQ_TEV",$AI255,$I$2,$I$3)))</f>
        <v/>
      </c>
      <c r="AV255" s="251">
        <f t="shared" si="129"/>
        <v>44561</v>
      </c>
      <c r="AW255" s="719">
        <f t="shared" si="130"/>
        <v>0.73219627941060139</v>
      </c>
      <c r="AX255" s="719">
        <f t="shared" si="131"/>
        <v>2.4104698040025805</v>
      </c>
      <c r="AY255" s="719" t="e">
        <f t="shared" si="132"/>
        <v>#N/A</v>
      </c>
      <c r="AZ255" s="719" t="e">
        <f t="shared" si="133"/>
        <v>#N/A</v>
      </c>
      <c r="BA255" s="719" t="e">
        <f t="shared" si="134"/>
        <v>#N/A</v>
      </c>
      <c r="BB255" s="719" t="e">
        <f t="shared" si="135"/>
        <v>#N/A</v>
      </c>
      <c r="BC255" s="719" t="e">
        <f t="shared" si="136"/>
        <v>#N/A</v>
      </c>
      <c r="BD255" s="719" t="e">
        <f t="shared" si="137"/>
        <v>#N/A</v>
      </c>
      <c r="BE255" s="719" t="e">
        <f t="shared" si="138"/>
        <v>#N/A</v>
      </c>
      <c r="BF255" s="719" t="e">
        <f t="shared" si="139"/>
        <v>#N/A</v>
      </c>
      <c r="BG255" s="719" t="e">
        <f t="shared" si="140"/>
        <v>#N/A</v>
      </c>
    </row>
    <row r="256" spans="1:59" ht="15" customHeight="1" x14ac:dyDescent="0.2">
      <c r="A256" s="251">
        <f t="shared" si="123"/>
        <v>44568</v>
      </c>
      <c r="B256" s="253" t="str">
        <f t="shared" si="141"/>
        <v>Yes</v>
      </c>
      <c r="C256" s="1033">
        <f>IF(C$6="","",IF(NOT(ISNUMBER(_xll.ciqfunctions.udf.CIQ(C$6,$F$2, $A256, $I$2, $I$3))),IF(C255=C$6,"",C255),_xll.ciqfunctions.udf.CIQ(C$6,$F$2, $A256, $I$2, $I$3)))</f>
        <v>144.88999999999999</v>
      </c>
      <c r="D256" s="1033">
        <f>IF(D$6="","",IF(NOT(ISNUMBER(_xll.ciqfunctions.udf.CIQ(D$6,$F$2, $A256, $I$2, $I$3))),IF(D255=D$6,"",D255),_xll.ciqfunctions.udf.CIQ(D$6,$F$2, $A256, $I$2, $I$3)))</f>
        <v>36231.659119999997</v>
      </c>
      <c r="E256" s="1033">
        <f>IF(E$6="","",IF(NOT(ISNUMBER(_xll.ciqfunctions.udf.CIQ(E$6,$F$2, $A256, $I$2, $I$3))),IF(E255=E$6,"",E255),_xll.ciqfunctions.udf.CIQ(E$6,$F$2, $A256, $I$2, $I$3)))</f>
        <v>12180.31099</v>
      </c>
      <c r="F256" s="1033">
        <f>IF(F$6="","",IF(NOT(ISNUMBER(_xll.ciqfunctions.udf.CIQ(F$6,$F$2, $A256, $I$2, $I$3))),IF(F255=F$6,"",F255),_xll.ciqfunctions.udf.CIQ(F$6,$F$2, $A256, $I$2, $I$3)))</f>
        <v>9165.56862</v>
      </c>
      <c r="G256" s="1033">
        <f>IF(G$6="","",IF(NOT(ISNUMBER(_xll.ciqfunctions.udf.CIQ(G$6,$F$2, $A256, $I$2, $I$3))),IF(G255=G$6,"",G255),_xll.ciqfunctions.udf.CIQ(G$6,$F$2, $A256, $I$2, $I$3)))</f>
        <v>536.17999999999995</v>
      </c>
      <c r="H256" s="1033" t="str">
        <f>IF(H$6="","",IF(NOT(ISNUMBER(_xll.ciqfunctions.udf.CIQ(H$6,$F$2, $A256, $I$2, $I$3))),IF(H255=H$6,"",H255),_xll.ciqfunctions.udf.CIQ(H$6,$F$2, $A256, $I$2, $I$3)))</f>
        <v/>
      </c>
      <c r="I256" s="1033" t="str">
        <f>IF(I$6="","",IF(NOT(ISNUMBER(_xll.ciqfunctions.udf.CIQ(I$6,$F$2, $A256, $I$2, $I$3))),IF(I255=I$6,"",I255),_xll.ciqfunctions.udf.CIQ(I$6,$F$2, $A256, $I$2, $I$3)))</f>
        <v/>
      </c>
      <c r="J256" s="1033" t="str">
        <f>IF(J$6="","",IF(NOT(ISNUMBER(_xll.ciqfunctions.udf.CIQ(J$6,$F$2, $A256, $I$2, $I$3))),IF(J255=J$6,"",J255),_xll.ciqfunctions.udf.CIQ(J$6,$F$2, $A256, $I$2, $I$3)))</f>
        <v/>
      </c>
      <c r="K256" s="1033" t="str">
        <f>IF(K$6="","",IF(NOT(ISNUMBER(_xll.ciqfunctions.udf.CIQ(K$6,$F$2, $A256, $I$2, $I$3))),IF(K255=K$6,"",K255),_xll.ciqfunctions.udf.CIQ(K$6,$F$2, $A256, $I$2, $I$3)))</f>
        <v/>
      </c>
      <c r="L256" s="254" t="str">
        <f>IF(L$6="","",IF(NOT(ISNUMBER(_xll.ciqfunctions.udf.CIQ(L$6,$F$2, $A256, $I$2, $I$3))),IF(L255=L$6,"",L255),_xll.ciqfunctions.udf.CIQ(L$6,$F$2, $A256, $I$2, $I$3)))</f>
        <v/>
      </c>
      <c r="M256" s="254" t="str">
        <f>IF(M$6="","",IF(NOT(ISNUMBER(_xll.ciqfunctions.udf.CIQ(M$6,$F$2, $A256, $I$2, $I$3))),IF(M255=M$6,"",M255),_xll.ciqfunctions.udf.CIQ(M$6,$F$2, $A256, $I$2, $I$3)))</f>
        <v/>
      </c>
      <c r="N256" s="254" t="str">
        <f>IF(N$6="","",IF(NOT(ISNUMBER(_xll.ciqfunctions.udf.CIQ(N$6,$F$2, $A256, $I$2, $I$3))),IF(N255=N$6,"",N255),_xll.ciqfunctions.udf.CIQ(N$6,$F$2, $A256, $I$2, $I$3)))</f>
        <v/>
      </c>
      <c r="O256" s="254" t="str">
        <f>IF(O$6="","",IF(NOT(ISNUMBER(_xll.ciqfunctions.udf.CIQ(O$6,$F$2, $A256, $I$2, $I$3))),IF(O255=O$6,"",O255),_xll.ciqfunctions.udf.CIQ(O$6,$F$2, $A256, $I$2, $I$3)))</f>
        <v/>
      </c>
      <c r="P256" s="254" t="str">
        <f>IF(P$6="","",IF(NOT(ISNUMBER(_xll.ciqfunctions.udf.CIQ(P$6,$F$2, $A256, $I$2, $I$3))),IF(P255=P$6,"",P255),_xll.ciqfunctions.udf.CIQ(P$6,$F$2, $A256, $I$2, $I$3)))</f>
        <v/>
      </c>
      <c r="Q256" s="254"/>
      <c r="R256" s="251">
        <f t="shared" si="124"/>
        <v>44568</v>
      </c>
      <c r="S256" s="255">
        <f t="shared" si="126"/>
        <v>1.0101276359600444</v>
      </c>
      <c r="T256" s="255">
        <f t="shared" si="127"/>
        <v>0.75343713425867964</v>
      </c>
      <c r="U256" s="255">
        <f t="shared" si="128"/>
        <v>0.70215422842165265</v>
      </c>
      <c r="V256" s="255">
        <f t="shared" si="142"/>
        <v>1.0879548097565745</v>
      </c>
      <c r="W256" s="255">
        <f t="array" ref="W256">IFERROR(AVERAGE(IF(ISERROR(X256:AG256),"",X256:AG256)),"")</f>
        <v>2.1974476712982285</v>
      </c>
      <c r="X256" s="255">
        <f t="shared" si="143"/>
        <v>2.1974476712982285</v>
      </c>
      <c r="Y256" s="255" t="e">
        <f t="shared" si="144"/>
        <v>#N/A</v>
      </c>
      <c r="Z256" s="255" t="e">
        <f t="shared" si="145"/>
        <v>#N/A</v>
      </c>
      <c r="AA256" s="255" t="e">
        <f t="shared" si="146"/>
        <v>#N/A</v>
      </c>
      <c r="AB256" s="255" t="e">
        <f t="shared" si="147"/>
        <v>#N/A</v>
      </c>
      <c r="AC256" s="255" t="e">
        <f t="shared" si="148"/>
        <v>#N/A</v>
      </c>
      <c r="AD256" s="255" t="e">
        <f t="shared" si="149"/>
        <v>#N/A</v>
      </c>
      <c r="AE256" s="255" t="e">
        <f t="shared" si="150"/>
        <v>#N/A</v>
      </c>
      <c r="AF256" s="255" t="e">
        <f t="shared" si="151"/>
        <v>#N/A</v>
      </c>
      <c r="AG256" s="255" t="e">
        <f t="shared" si="152"/>
        <v>#N/A</v>
      </c>
      <c r="AI256" s="251">
        <f t="shared" si="125"/>
        <v>44568</v>
      </c>
      <c r="AJ256" s="718">
        <f>IF(OR($B256="No",AJ$6=""),"",IF(NOT(ISNUMBER(_xll.ciqfunctions.udf.CIQ(AJ$6,"IQ_TEV",$AI256,$I$2,$I$3))),"",_xll.ciqfunctions.udf.CIQ(AJ$6,"IQ_TEV",$AI256,$I$2,$I$3)))</f>
        <v>452757.24978000001</v>
      </c>
      <c r="AK256" s="718">
        <f>IF(OR($B256="No",AK$6=""),"",IF(NOT(ISNUMBER(_xll.ciqfunctions.udf.CIQ(AK$6,"IQ_TEV",$AI256,$I$2,$I$3))),"",_xll.ciqfunctions.udf.CIQ(AK$6,"IQ_TEV",$AI256,$I$2,$I$3)))</f>
        <v>234935.63034</v>
      </c>
      <c r="AL256" s="718" t="str">
        <f>IF(OR($B256="No",AL$6=""),"",IF(NOT(ISNUMBER(_xll.ciqfunctions.udf.CIQ(AL$6,"IQ_TEV",$AI256,$I$2,$I$3))),"",_xll.ciqfunctions.udf.CIQ(AL$6,"IQ_TEV",$AI256,$I$2,$I$3)))</f>
        <v/>
      </c>
      <c r="AM256" s="718" t="str">
        <f>IF(OR($B256="No",AM$6=""),"",IF(NOT(ISNUMBER(_xll.ciqfunctions.udf.CIQ(AM$6,"IQ_TEV",$AI256,$I$2,$I$3))),"",_xll.ciqfunctions.udf.CIQ(AM$6,"IQ_TEV",$AI256,$I$2,$I$3)))</f>
        <v/>
      </c>
      <c r="AN256" s="718" t="str">
        <f>IF(OR($B256="No",AN$6=""),"",IF(NOT(ISNUMBER(_xll.ciqfunctions.udf.CIQ(AN$6,"IQ_TEV",$AI256,$I$2,$I$3))),"",_xll.ciqfunctions.udf.CIQ(AN$6,"IQ_TEV",$AI256,$I$2,$I$3)))</f>
        <v/>
      </c>
      <c r="AO256" s="718" t="str">
        <f>IF(OR($B256="No",AO$6=""),"",IF(NOT(ISNUMBER(_xll.ciqfunctions.udf.CIQ(AO$6,"IQ_TEV",$AI256,$I$2,$I$3))),"",_xll.ciqfunctions.udf.CIQ(AO$6,"IQ_TEV",$AI256,$I$2,$I$3)))</f>
        <v/>
      </c>
      <c r="AP256" s="718" t="str">
        <f>IF(OR($B256="No",AP$6=""),"",IF(NOT(ISNUMBER(_xll.ciqfunctions.udf.CIQ(AP$6,"IQ_TEV",$AI256,$I$2,$I$3))),"",_xll.ciqfunctions.udf.CIQ(AP$6,"IQ_TEV",$AI256,$I$2,$I$3)))</f>
        <v/>
      </c>
      <c r="AQ256" s="718" t="str">
        <f>IF(OR($B256="No",AQ$6=""),"",IF(NOT(ISNUMBER(_xll.ciqfunctions.udf.CIQ(AQ$6,"IQ_TEV",$AI256,$I$2,$I$3))),"",_xll.ciqfunctions.udf.CIQ(AQ$6,"IQ_TEV",$AI256,$I$2,$I$3)))</f>
        <v/>
      </c>
      <c r="AR256" s="718" t="str">
        <f>IF(OR($B256="No",AR$6=""),"",IF(NOT(ISNUMBER(_xll.ciqfunctions.udf.CIQ(AR$6,"IQ_TEV",$AI256,$I$2,$I$3))),"",_xll.ciqfunctions.udf.CIQ(AR$6,"IQ_TEV",$AI256,$I$2,$I$3)))</f>
        <v/>
      </c>
      <c r="AS256" s="718" t="str">
        <f>IF(OR($B256="No",AS$6=""),"",IF(NOT(ISNUMBER(_xll.ciqfunctions.udf.CIQ(AS$6,"IQ_TEV",$AI256,$I$2,$I$3))),"",_xll.ciqfunctions.udf.CIQ(AS$6,"IQ_TEV",$AI256,$I$2,$I$3)))</f>
        <v/>
      </c>
      <c r="AT256" s="718" t="str">
        <f>IF(OR($B256="No",AT$6=""),"",IF(NOT(ISNUMBER(_xll.ciqfunctions.udf.CIQ(AT$6,"IQ_TEV",$AI256,$I$2,$I$3))),"",_xll.ciqfunctions.udf.CIQ(AT$6,"IQ_TEV",$AI256,$I$2,$I$3)))</f>
        <v/>
      </c>
      <c r="AV256" s="251">
        <f t="shared" si="129"/>
        <v>44568</v>
      </c>
      <c r="AW256" s="719">
        <f t="shared" si="130"/>
        <v>0.73432139026511267</v>
      </c>
      <c r="AX256" s="719">
        <f t="shared" si="131"/>
        <v>2.2189644131151902</v>
      </c>
      <c r="AY256" s="719" t="e">
        <f t="shared" si="132"/>
        <v>#N/A</v>
      </c>
      <c r="AZ256" s="719" t="e">
        <f t="shared" si="133"/>
        <v>#N/A</v>
      </c>
      <c r="BA256" s="719" t="e">
        <f t="shared" si="134"/>
        <v>#N/A</v>
      </c>
      <c r="BB256" s="719" t="e">
        <f t="shared" si="135"/>
        <v>#N/A</v>
      </c>
      <c r="BC256" s="719" t="e">
        <f t="shared" si="136"/>
        <v>#N/A</v>
      </c>
      <c r="BD256" s="719" t="e">
        <f t="shared" si="137"/>
        <v>#N/A</v>
      </c>
      <c r="BE256" s="719" t="e">
        <f t="shared" si="138"/>
        <v>#N/A</v>
      </c>
      <c r="BF256" s="719" t="e">
        <f t="shared" si="139"/>
        <v>#N/A</v>
      </c>
      <c r="BG256" s="719" t="e">
        <f t="shared" si="140"/>
        <v>#N/A</v>
      </c>
    </row>
    <row r="257" spans="1:59" ht="15" customHeight="1" x14ac:dyDescent="0.2">
      <c r="A257" s="251">
        <f t="shared" si="123"/>
        <v>44575</v>
      </c>
      <c r="B257" s="253" t="str">
        <f t="shared" si="141"/>
        <v>Yes</v>
      </c>
      <c r="C257" s="1033">
        <f>IF(C$6="","",IF(NOT(ISNUMBER(_xll.ciqfunctions.udf.CIQ(C$6,$F$2, $A257, $I$2, $I$3))),IF(C256=C$6,"",C256),_xll.ciqfunctions.udf.CIQ(C$6,$F$2, $A257, $I$2, $I$3)))</f>
        <v>145.06</v>
      </c>
      <c r="D257" s="1033">
        <f>IF(D$6="","",IF(NOT(ISNUMBER(_xll.ciqfunctions.udf.CIQ(D$6,$F$2, $A257, $I$2, $I$3))),IF(D256=D$6,"",D256),_xll.ciqfunctions.udf.CIQ(D$6,$F$2, $A257, $I$2, $I$3)))</f>
        <v>35911.809450000001</v>
      </c>
      <c r="E257" s="1033">
        <f>IF(E$6="","",IF(NOT(ISNUMBER(_xll.ciqfunctions.udf.CIQ(E$6,$F$2, $A257, $I$2, $I$3))),IF(E256=E$6,"",E256),_xll.ciqfunctions.udf.CIQ(E$6,$F$2, $A257, $I$2, $I$3)))</f>
        <v>12015.33181</v>
      </c>
      <c r="F257" s="1033">
        <f>IF(F$6="","",IF(NOT(ISNUMBER(_xll.ciqfunctions.udf.CIQ(F$6,$F$2, $A257, $I$2, $I$3))),IF(F256=F$6,"",F256),_xll.ciqfunctions.udf.CIQ(F$6,$F$2, $A257, $I$2, $I$3)))</f>
        <v>8792.1798199999994</v>
      </c>
      <c r="G257" s="1033">
        <f>IF(G$6="","",IF(NOT(ISNUMBER(_xll.ciqfunctions.udf.CIQ(G$6,$F$2, $A257, $I$2, $I$3))),IF(G256=G$6,"",G256),_xll.ciqfunctions.udf.CIQ(G$6,$F$2, $A257, $I$2, $I$3)))</f>
        <v>502.99</v>
      </c>
      <c r="H257" s="1033" t="str">
        <f>IF(H$6="","",IF(NOT(ISNUMBER(_xll.ciqfunctions.udf.CIQ(H$6,$F$2, $A257, $I$2, $I$3))),IF(H256=H$6,"",H256),_xll.ciqfunctions.udf.CIQ(H$6,$F$2, $A257, $I$2, $I$3)))</f>
        <v/>
      </c>
      <c r="I257" s="1033" t="str">
        <f>IF(I$6="","",IF(NOT(ISNUMBER(_xll.ciqfunctions.udf.CIQ(I$6,$F$2, $A257, $I$2, $I$3))),IF(I256=I$6,"",I256),_xll.ciqfunctions.udf.CIQ(I$6,$F$2, $A257, $I$2, $I$3)))</f>
        <v/>
      </c>
      <c r="J257" s="1033" t="str">
        <f>IF(J$6="","",IF(NOT(ISNUMBER(_xll.ciqfunctions.udf.CIQ(J$6,$F$2, $A257, $I$2, $I$3))),IF(J256=J$6,"",J256),_xll.ciqfunctions.udf.CIQ(J$6,$F$2, $A257, $I$2, $I$3)))</f>
        <v/>
      </c>
      <c r="K257" s="1033" t="str">
        <f>IF(K$6="","",IF(NOT(ISNUMBER(_xll.ciqfunctions.udf.CIQ(K$6,$F$2, $A257, $I$2, $I$3))),IF(K256=K$6,"",K256),_xll.ciqfunctions.udf.CIQ(K$6,$F$2, $A257, $I$2, $I$3)))</f>
        <v/>
      </c>
      <c r="L257" s="254" t="str">
        <f>IF(L$6="","",IF(NOT(ISNUMBER(_xll.ciqfunctions.udf.CIQ(L$6,$F$2, $A257, $I$2, $I$3))),IF(L256=L$6,"",L256),_xll.ciqfunctions.udf.CIQ(L$6,$F$2, $A257, $I$2, $I$3)))</f>
        <v/>
      </c>
      <c r="M257" s="254" t="str">
        <f>IF(M$6="","",IF(NOT(ISNUMBER(_xll.ciqfunctions.udf.CIQ(M$6,$F$2, $A257, $I$2, $I$3))),IF(M256=M$6,"",M256),_xll.ciqfunctions.udf.CIQ(M$6,$F$2, $A257, $I$2, $I$3)))</f>
        <v/>
      </c>
      <c r="N257" s="254" t="str">
        <f>IF(N$6="","",IF(NOT(ISNUMBER(_xll.ciqfunctions.udf.CIQ(N$6,$F$2, $A257, $I$2, $I$3))),IF(N256=N$6,"",N256),_xll.ciqfunctions.udf.CIQ(N$6,$F$2, $A257, $I$2, $I$3)))</f>
        <v/>
      </c>
      <c r="O257" s="254" t="str">
        <f>IF(O$6="","",IF(NOT(ISNUMBER(_xll.ciqfunctions.udf.CIQ(O$6,$F$2, $A257, $I$2, $I$3))),IF(O256=O$6,"",O256),_xll.ciqfunctions.udf.CIQ(O$6,$F$2, $A257, $I$2, $I$3)))</f>
        <v/>
      </c>
      <c r="P257" s="254" t="str">
        <f>IF(P$6="","",IF(NOT(ISNUMBER(_xll.ciqfunctions.udf.CIQ(P$6,$F$2, $A257, $I$2, $I$3))),IF(P256=P$6,"",P256),_xll.ciqfunctions.udf.CIQ(P$6,$F$2, $A257, $I$2, $I$3)))</f>
        <v/>
      </c>
      <c r="Q257" s="254"/>
      <c r="R257" s="251">
        <f t="shared" si="124"/>
        <v>44575</v>
      </c>
      <c r="S257" s="255">
        <f t="shared" si="126"/>
        <v>1.0124861265260821</v>
      </c>
      <c r="T257" s="255">
        <f t="shared" si="127"/>
        <v>0.73795795658975538</v>
      </c>
      <c r="U257" s="255">
        <f t="shared" si="128"/>
        <v>0.67909898713355332</v>
      </c>
      <c r="V257" s="255">
        <f t="shared" si="142"/>
        <v>1.0028952817347077</v>
      </c>
      <c r="W257" s="255">
        <f t="array" ref="W257">IFERROR(AVERAGE(IF(ISERROR(X257:AG257),"",X257:AG257)),"")</f>
        <v>1.9995229292146224</v>
      </c>
      <c r="X257" s="255">
        <f t="shared" si="143"/>
        <v>1.9995229292146224</v>
      </c>
      <c r="Y257" s="255" t="e">
        <f t="shared" si="144"/>
        <v>#N/A</v>
      </c>
      <c r="Z257" s="255" t="e">
        <f t="shared" si="145"/>
        <v>#N/A</v>
      </c>
      <c r="AA257" s="255" t="e">
        <f t="shared" si="146"/>
        <v>#N/A</v>
      </c>
      <c r="AB257" s="255" t="e">
        <f t="shared" si="147"/>
        <v>#N/A</v>
      </c>
      <c r="AC257" s="255" t="e">
        <f t="shared" si="148"/>
        <v>#N/A</v>
      </c>
      <c r="AD257" s="255" t="e">
        <f t="shared" si="149"/>
        <v>#N/A</v>
      </c>
      <c r="AE257" s="255" t="e">
        <f t="shared" si="150"/>
        <v>#N/A</v>
      </c>
      <c r="AF257" s="255" t="e">
        <f t="shared" si="151"/>
        <v>#N/A</v>
      </c>
      <c r="AG257" s="255" t="e">
        <f t="shared" si="152"/>
        <v>#N/A</v>
      </c>
      <c r="AI257" s="251">
        <f t="shared" si="125"/>
        <v>44575</v>
      </c>
      <c r="AJ257" s="718">
        <f>IF(OR($B257="No",AJ$6=""),"",IF(NOT(ISNUMBER(_xll.ciqfunctions.udf.CIQ(AJ$6,"IQ_TEV",$AI257,$I$2,$I$3))),"",_xll.ciqfunctions.udf.CIQ(AJ$6,"IQ_TEV",$AI257,$I$2,$I$3)))</f>
        <v>453228.80911999999</v>
      </c>
      <c r="AK257" s="718">
        <f>IF(OR($B257="No",AK$6=""),"",IF(NOT(ISNUMBER(_xll.ciqfunctions.udf.CIQ(AK$6,"IQ_TEV",$AI257,$I$2,$I$3))),"",_xll.ciqfunctions.udf.CIQ(AK$6,"IQ_TEV",$AI257,$I$2,$I$3)))</f>
        <v>220218.10613</v>
      </c>
      <c r="AL257" s="718" t="str">
        <f>IF(OR($B257="No",AL$6=""),"",IF(NOT(ISNUMBER(_xll.ciqfunctions.udf.CIQ(AL$6,"IQ_TEV",$AI257,$I$2,$I$3))),"",_xll.ciqfunctions.udf.CIQ(AL$6,"IQ_TEV",$AI257,$I$2,$I$3)))</f>
        <v/>
      </c>
      <c r="AM257" s="718" t="str">
        <f>IF(OR($B257="No",AM$6=""),"",IF(NOT(ISNUMBER(_xll.ciqfunctions.udf.CIQ(AM$6,"IQ_TEV",$AI257,$I$2,$I$3))),"",_xll.ciqfunctions.udf.CIQ(AM$6,"IQ_TEV",$AI257,$I$2,$I$3)))</f>
        <v/>
      </c>
      <c r="AN257" s="718" t="str">
        <f>IF(OR($B257="No",AN$6=""),"",IF(NOT(ISNUMBER(_xll.ciqfunctions.udf.CIQ(AN$6,"IQ_TEV",$AI257,$I$2,$I$3))),"",_xll.ciqfunctions.udf.CIQ(AN$6,"IQ_TEV",$AI257,$I$2,$I$3)))</f>
        <v/>
      </c>
      <c r="AO257" s="718" t="str">
        <f>IF(OR($B257="No",AO$6=""),"",IF(NOT(ISNUMBER(_xll.ciqfunctions.udf.CIQ(AO$6,"IQ_TEV",$AI257,$I$2,$I$3))),"",_xll.ciqfunctions.udf.CIQ(AO$6,"IQ_TEV",$AI257,$I$2,$I$3)))</f>
        <v/>
      </c>
      <c r="AP257" s="718" t="str">
        <f>IF(OR($B257="No",AP$6=""),"",IF(NOT(ISNUMBER(_xll.ciqfunctions.udf.CIQ(AP$6,"IQ_TEV",$AI257,$I$2,$I$3))),"",_xll.ciqfunctions.udf.CIQ(AP$6,"IQ_TEV",$AI257,$I$2,$I$3)))</f>
        <v/>
      </c>
      <c r="AQ257" s="718" t="str">
        <f>IF(OR($B257="No",AQ$6=""),"",IF(NOT(ISNUMBER(_xll.ciqfunctions.udf.CIQ(AQ$6,"IQ_TEV",$AI257,$I$2,$I$3))),"",_xll.ciqfunctions.udf.CIQ(AQ$6,"IQ_TEV",$AI257,$I$2,$I$3)))</f>
        <v/>
      </c>
      <c r="AR257" s="718" t="str">
        <f>IF(OR($B257="No",AR$6=""),"",IF(NOT(ISNUMBER(_xll.ciqfunctions.udf.CIQ(AR$6,"IQ_TEV",$AI257,$I$2,$I$3))),"",_xll.ciqfunctions.udf.CIQ(AR$6,"IQ_TEV",$AI257,$I$2,$I$3)))</f>
        <v/>
      </c>
      <c r="AS257" s="718" t="str">
        <f>IF(OR($B257="No",AS$6=""),"",IF(NOT(ISNUMBER(_xll.ciqfunctions.udf.CIQ(AS$6,"IQ_TEV",$AI257,$I$2,$I$3))),"",_xll.ciqfunctions.udf.CIQ(AS$6,"IQ_TEV",$AI257,$I$2,$I$3)))</f>
        <v/>
      </c>
      <c r="AT257" s="718" t="str">
        <f>IF(OR($B257="No",AT$6=""),"",IF(NOT(ISNUMBER(_xll.ciqfunctions.udf.CIQ(AT$6,"IQ_TEV",$AI257,$I$2,$I$3))),"",_xll.ciqfunctions.udf.CIQ(AT$6,"IQ_TEV",$AI257,$I$2,$I$3)))</f>
        <v/>
      </c>
      <c r="AV257" s="251">
        <f t="shared" si="129"/>
        <v>44575</v>
      </c>
      <c r="AW257" s="719">
        <f t="shared" si="130"/>
        <v>0.73612773450485403</v>
      </c>
      <c r="AX257" s="719">
        <f t="shared" si="131"/>
        <v>2.0173126389139351</v>
      </c>
      <c r="AY257" s="719" t="e">
        <f t="shared" si="132"/>
        <v>#N/A</v>
      </c>
      <c r="AZ257" s="719" t="e">
        <f t="shared" si="133"/>
        <v>#N/A</v>
      </c>
      <c r="BA257" s="719" t="e">
        <f t="shared" si="134"/>
        <v>#N/A</v>
      </c>
      <c r="BB257" s="719" t="e">
        <f t="shared" si="135"/>
        <v>#N/A</v>
      </c>
      <c r="BC257" s="719" t="e">
        <f t="shared" si="136"/>
        <v>#N/A</v>
      </c>
      <c r="BD257" s="719" t="e">
        <f t="shared" si="137"/>
        <v>#N/A</v>
      </c>
      <c r="BE257" s="719" t="e">
        <f t="shared" si="138"/>
        <v>#N/A</v>
      </c>
      <c r="BF257" s="719" t="e">
        <f t="shared" si="139"/>
        <v>#N/A</v>
      </c>
      <c r="BG257" s="719" t="e">
        <f t="shared" si="140"/>
        <v>#N/A</v>
      </c>
    </row>
    <row r="258" spans="1:59" ht="15" customHeight="1" x14ac:dyDescent="0.2">
      <c r="A258" s="251">
        <f t="shared" si="123"/>
        <v>44582</v>
      </c>
      <c r="B258" s="253" t="str">
        <f t="shared" si="141"/>
        <v>Yes</v>
      </c>
      <c r="C258" s="1033">
        <f>IF(C$6="","",IF(NOT(ISNUMBER(_xll.ciqfunctions.udf.CIQ(C$6,$F$2, $A258, $I$2, $I$3))),IF(C257=C$6,"",C257),_xll.ciqfunctions.udf.CIQ(C$6,$F$2, $A258, $I$2, $I$3)))</f>
        <v>140.19</v>
      </c>
      <c r="D258" s="1033">
        <f>IF(D$6="","",IF(NOT(ISNUMBER(_xll.ciqfunctions.udf.CIQ(D$6,$F$2, $A258, $I$2, $I$3))),IF(D257=D$6,"",D257),_xll.ciqfunctions.udf.CIQ(D$6,$F$2, $A258, $I$2, $I$3)))</f>
        <v>34265.371209999998</v>
      </c>
      <c r="E258" s="1033">
        <f>IF(E$6="","",IF(NOT(ISNUMBER(_xll.ciqfunctions.udf.CIQ(E$6,$F$2, $A258, $I$2, $I$3))),IF(E257=E$6,"",E257),_xll.ciqfunctions.udf.CIQ(E$6,$F$2, $A258, $I$2, $I$3)))</f>
        <v>11537.28304</v>
      </c>
      <c r="F258" s="1033">
        <f>IF(F$6="","",IF(NOT(ISNUMBER(_xll.ciqfunctions.udf.CIQ(F$6,$F$2, $A258, $I$2, $I$3))),IF(F257=F$6,"",F257),_xll.ciqfunctions.udf.CIQ(F$6,$F$2, $A258, $I$2, $I$3)))</f>
        <v>8123.5724300000002</v>
      </c>
      <c r="G258" s="1033">
        <f>IF(G$6="","",IF(NOT(ISNUMBER(_xll.ciqfunctions.udf.CIQ(G$6,$F$2, $A258, $I$2, $I$3))),IF(G257=G$6,"",G257),_xll.ciqfunctions.udf.CIQ(G$6,$F$2, $A258, $I$2, $I$3)))</f>
        <v>481.61</v>
      </c>
      <c r="H258" s="1033" t="str">
        <f>IF(H$6="","",IF(NOT(ISNUMBER(_xll.ciqfunctions.udf.CIQ(H$6,$F$2, $A258, $I$2, $I$3))),IF(H257=H$6,"",H257),_xll.ciqfunctions.udf.CIQ(H$6,$F$2, $A258, $I$2, $I$3)))</f>
        <v/>
      </c>
      <c r="I258" s="1033" t="str">
        <f>IF(I$6="","",IF(NOT(ISNUMBER(_xll.ciqfunctions.udf.CIQ(I$6,$F$2, $A258, $I$2, $I$3))),IF(I257=I$6,"",I257),_xll.ciqfunctions.udf.CIQ(I$6,$F$2, $A258, $I$2, $I$3)))</f>
        <v/>
      </c>
      <c r="J258" s="1033" t="str">
        <f>IF(J$6="","",IF(NOT(ISNUMBER(_xll.ciqfunctions.udf.CIQ(J$6,$F$2, $A258, $I$2, $I$3))),IF(J257=J$6,"",J257),_xll.ciqfunctions.udf.CIQ(J$6,$F$2, $A258, $I$2, $I$3)))</f>
        <v/>
      </c>
      <c r="K258" s="1033" t="str">
        <f>IF(K$6="","",IF(NOT(ISNUMBER(_xll.ciqfunctions.udf.CIQ(K$6,$F$2, $A258, $I$2, $I$3))),IF(K257=K$6,"",K257),_xll.ciqfunctions.udf.CIQ(K$6,$F$2, $A258, $I$2, $I$3)))</f>
        <v/>
      </c>
      <c r="L258" s="254" t="str">
        <f>IF(L$6="","",IF(NOT(ISNUMBER(_xll.ciqfunctions.udf.CIQ(L$6,$F$2, $A258, $I$2, $I$3))),IF(L257=L$6,"",L257),_xll.ciqfunctions.udf.CIQ(L$6,$F$2, $A258, $I$2, $I$3)))</f>
        <v/>
      </c>
      <c r="M258" s="254" t="str">
        <f>IF(M$6="","",IF(NOT(ISNUMBER(_xll.ciqfunctions.udf.CIQ(M$6,$F$2, $A258, $I$2, $I$3))),IF(M257=M$6,"",M257),_xll.ciqfunctions.udf.CIQ(M$6,$F$2, $A258, $I$2, $I$3)))</f>
        <v/>
      </c>
      <c r="N258" s="254" t="str">
        <f>IF(N$6="","",IF(NOT(ISNUMBER(_xll.ciqfunctions.udf.CIQ(N$6,$F$2, $A258, $I$2, $I$3))),IF(N257=N$6,"",N257),_xll.ciqfunctions.udf.CIQ(N$6,$F$2, $A258, $I$2, $I$3)))</f>
        <v/>
      </c>
      <c r="O258" s="254" t="str">
        <f>IF(O$6="","",IF(NOT(ISNUMBER(_xll.ciqfunctions.udf.CIQ(O$6,$F$2, $A258, $I$2, $I$3))),IF(O257=O$6,"",O257),_xll.ciqfunctions.udf.CIQ(O$6,$F$2, $A258, $I$2, $I$3)))</f>
        <v/>
      </c>
      <c r="P258" s="254" t="str">
        <f>IF(P$6="","",IF(NOT(ISNUMBER(_xll.ciqfunctions.udf.CIQ(P$6,$F$2, $A258, $I$2, $I$3))),IF(P257=P$6,"",P257),_xll.ciqfunctions.udf.CIQ(P$6,$F$2, $A258, $I$2, $I$3)))</f>
        <v/>
      </c>
      <c r="Q258" s="254"/>
      <c r="R258" s="251">
        <f t="shared" si="124"/>
        <v>44582</v>
      </c>
      <c r="S258" s="255">
        <f t="shared" si="126"/>
        <v>0.94492230854605985</v>
      </c>
      <c r="T258" s="255">
        <f t="shared" si="127"/>
        <v>0.65827830571542068</v>
      </c>
      <c r="U258" s="255">
        <f t="shared" si="128"/>
        <v>0.61229340754569828</v>
      </c>
      <c r="V258" s="255">
        <f t="shared" si="142"/>
        <v>0.8505837259908493</v>
      </c>
      <c r="W258" s="255">
        <f t="array" ref="W258">IFERROR(AVERAGE(IF(ISERROR(X258:AG258),"",X258:AG258)),"")</f>
        <v>1.8720257618224103</v>
      </c>
      <c r="X258" s="255">
        <f t="shared" si="143"/>
        <v>1.8720257618224103</v>
      </c>
      <c r="Y258" s="255" t="e">
        <f t="shared" si="144"/>
        <v>#N/A</v>
      </c>
      <c r="Z258" s="255" t="e">
        <f t="shared" si="145"/>
        <v>#N/A</v>
      </c>
      <c r="AA258" s="255" t="e">
        <f t="shared" si="146"/>
        <v>#N/A</v>
      </c>
      <c r="AB258" s="255" t="e">
        <f t="shared" si="147"/>
        <v>#N/A</v>
      </c>
      <c r="AC258" s="255" t="e">
        <f t="shared" si="148"/>
        <v>#N/A</v>
      </c>
      <c r="AD258" s="255" t="e">
        <f t="shared" si="149"/>
        <v>#N/A</v>
      </c>
      <c r="AE258" s="255" t="e">
        <f t="shared" si="150"/>
        <v>#N/A</v>
      </c>
      <c r="AF258" s="255" t="e">
        <f t="shared" si="151"/>
        <v>#N/A</v>
      </c>
      <c r="AG258" s="255" t="e">
        <f t="shared" si="152"/>
        <v>#N/A</v>
      </c>
      <c r="AI258" s="251">
        <f t="shared" si="125"/>
        <v>44582</v>
      </c>
      <c r="AJ258" s="718">
        <f>IF(OR($B258="No",AJ$6=""),"",IF(NOT(ISNUMBER(_xll.ciqfunctions.udf.CIQ(AJ$6,"IQ_TEV",$AI258,$I$2,$I$3))),"",_xll.ciqfunctions.udf.CIQ(AJ$6,"IQ_TEV",$AI258,$I$2,$I$3)))</f>
        <v>439720.02103</v>
      </c>
      <c r="AK258" s="718">
        <f>IF(OR($B258="No",AK$6=""),"",IF(NOT(ISNUMBER(_xll.ciqfunctions.udf.CIQ(AK$6,"IQ_TEV",$AI258,$I$2,$I$3))),"",_xll.ciqfunctions.udf.CIQ(AK$6,"IQ_TEV",$AI258,$I$2,$I$3)))</f>
        <v>210737.51957999999</v>
      </c>
      <c r="AL258" s="718" t="str">
        <f>IF(OR($B258="No",AL$6=""),"",IF(NOT(ISNUMBER(_xll.ciqfunctions.udf.CIQ(AL$6,"IQ_TEV",$AI258,$I$2,$I$3))),"",_xll.ciqfunctions.udf.CIQ(AL$6,"IQ_TEV",$AI258,$I$2,$I$3)))</f>
        <v/>
      </c>
      <c r="AM258" s="718" t="str">
        <f>IF(OR($B258="No",AM$6=""),"",IF(NOT(ISNUMBER(_xll.ciqfunctions.udf.CIQ(AM$6,"IQ_TEV",$AI258,$I$2,$I$3))),"",_xll.ciqfunctions.udf.CIQ(AM$6,"IQ_TEV",$AI258,$I$2,$I$3)))</f>
        <v/>
      </c>
      <c r="AN258" s="718" t="str">
        <f>IF(OR($B258="No",AN$6=""),"",IF(NOT(ISNUMBER(_xll.ciqfunctions.udf.CIQ(AN$6,"IQ_TEV",$AI258,$I$2,$I$3))),"",_xll.ciqfunctions.udf.CIQ(AN$6,"IQ_TEV",$AI258,$I$2,$I$3)))</f>
        <v/>
      </c>
      <c r="AO258" s="718" t="str">
        <f>IF(OR($B258="No",AO$6=""),"",IF(NOT(ISNUMBER(_xll.ciqfunctions.udf.CIQ(AO$6,"IQ_TEV",$AI258,$I$2,$I$3))),"",_xll.ciqfunctions.udf.CIQ(AO$6,"IQ_TEV",$AI258,$I$2,$I$3)))</f>
        <v/>
      </c>
      <c r="AP258" s="718" t="str">
        <f>IF(OR($B258="No",AP$6=""),"",IF(NOT(ISNUMBER(_xll.ciqfunctions.udf.CIQ(AP$6,"IQ_TEV",$AI258,$I$2,$I$3))),"",_xll.ciqfunctions.udf.CIQ(AP$6,"IQ_TEV",$AI258,$I$2,$I$3)))</f>
        <v/>
      </c>
      <c r="AQ258" s="718" t="str">
        <f>IF(OR($B258="No",AQ$6=""),"",IF(NOT(ISNUMBER(_xll.ciqfunctions.udf.CIQ(AQ$6,"IQ_TEV",$AI258,$I$2,$I$3))),"",_xll.ciqfunctions.udf.CIQ(AQ$6,"IQ_TEV",$AI258,$I$2,$I$3)))</f>
        <v/>
      </c>
      <c r="AR258" s="718" t="str">
        <f>IF(OR($B258="No",AR$6=""),"",IF(NOT(ISNUMBER(_xll.ciqfunctions.udf.CIQ(AR$6,"IQ_TEV",$AI258,$I$2,$I$3))),"",_xll.ciqfunctions.udf.CIQ(AR$6,"IQ_TEV",$AI258,$I$2,$I$3)))</f>
        <v/>
      </c>
      <c r="AS258" s="718" t="str">
        <f>IF(OR($B258="No",AS$6=""),"",IF(NOT(ISNUMBER(_xll.ciqfunctions.udf.CIQ(AS$6,"IQ_TEV",$AI258,$I$2,$I$3))),"",_xll.ciqfunctions.udf.CIQ(AS$6,"IQ_TEV",$AI258,$I$2,$I$3)))</f>
        <v/>
      </c>
      <c r="AT258" s="718" t="str">
        <f>IF(OR($B258="No",AT$6=""),"",IF(NOT(ISNUMBER(_xll.ciqfunctions.udf.CIQ(AT$6,"IQ_TEV",$AI258,$I$2,$I$3))),"",_xll.ciqfunctions.udf.CIQ(AT$6,"IQ_TEV",$AI258,$I$2,$I$3)))</f>
        <v/>
      </c>
      <c r="AV258" s="251">
        <f t="shared" si="129"/>
        <v>44582</v>
      </c>
      <c r="AW258" s="719">
        <f t="shared" si="130"/>
        <v>0.68438128505003082</v>
      </c>
      <c r="AX258" s="719">
        <f t="shared" si="131"/>
        <v>1.8874146295070893</v>
      </c>
      <c r="AY258" s="719" t="e">
        <f t="shared" si="132"/>
        <v>#N/A</v>
      </c>
      <c r="AZ258" s="719" t="e">
        <f t="shared" si="133"/>
        <v>#N/A</v>
      </c>
      <c r="BA258" s="719" t="e">
        <f t="shared" si="134"/>
        <v>#N/A</v>
      </c>
      <c r="BB258" s="719" t="e">
        <f t="shared" si="135"/>
        <v>#N/A</v>
      </c>
      <c r="BC258" s="719" t="e">
        <f t="shared" si="136"/>
        <v>#N/A</v>
      </c>
      <c r="BD258" s="719" t="e">
        <f t="shared" si="137"/>
        <v>#N/A</v>
      </c>
      <c r="BE258" s="719" t="e">
        <f t="shared" si="138"/>
        <v>#N/A</v>
      </c>
      <c r="BF258" s="719" t="e">
        <f t="shared" si="139"/>
        <v>#N/A</v>
      </c>
      <c r="BG258" s="719" t="e">
        <f t="shared" si="140"/>
        <v>#N/A</v>
      </c>
    </row>
    <row r="259" spans="1:59" ht="15" customHeight="1" x14ac:dyDescent="0.2">
      <c r="A259" s="251">
        <f t="shared" si="123"/>
        <v>44589</v>
      </c>
      <c r="B259" s="253" t="str">
        <f t="shared" si="141"/>
        <v>Yes</v>
      </c>
      <c r="C259" s="1033">
        <f>IF(C$6="","",IF(NOT(ISNUMBER(_xll.ciqfunctions.udf.CIQ(C$6,$F$2, $A259, $I$2, $I$3))),IF(C258=C$6,"",C258),_xll.ciqfunctions.udf.CIQ(C$6,$F$2, $A259, $I$2, $I$3)))</f>
        <v>137.52000000000001</v>
      </c>
      <c r="D259" s="1033">
        <f>IF(D$6="","",IF(NOT(ISNUMBER(_xll.ciqfunctions.udf.CIQ(D$6,$F$2, $A259, $I$2, $I$3))),IF(D258=D$6,"",D258),_xll.ciqfunctions.udf.CIQ(D$6,$F$2, $A259, $I$2, $I$3)))</f>
        <v>34725.472300000001</v>
      </c>
      <c r="E259" s="1033">
        <f>IF(E$6="","",IF(NOT(ISNUMBER(_xll.ciqfunctions.udf.CIQ(E$6,$F$2, $A259, $I$2, $I$3))),IF(E258=E$6,"",E258),_xll.ciqfunctions.udf.CIQ(E$6,$F$2, $A259, $I$2, $I$3)))</f>
        <v>11581.051439999999</v>
      </c>
      <c r="F259" s="1033">
        <f>IF(F$6="","",IF(NOT(ISNUMBER(_xll.ciqfunctions.udf.CIQ(F$6,$F$2, $A259, $I$2, $I$3))),IF(F258=F$6,"",F258),_xll.ciqfunctions.udf.CIQ(F$6,$F$2, $A259, $I$2, $I$3)))</f>
        <v>8258.5337199999994</v>
      </c>
      <c r="G259" s="1033">
        <f>IF(G$6="","",IF(NOT(ISNUMBER(_xll.ciqfunctions.udf.CIQ(G$6,$F$2, $A259, $I$2, $I$3))),IF(G258=G$6,"",G258),_xll.ciqfunctions.udf.CIQ(G$6,$F$2, $A259, $I$2, $I$3)))</f>
        <v>492.43</v>
      </c>
      <c r="H259" s="1033" t="str">
        <f>IF(H$6="","",IF(NOT(ISNUMBER(_xll.ciqfunctions.udf.CIQ(H$6,$F$2, $A259, $I$2, $I$3))),IF(H258=H$6,"",H258),_xll.ciqfunctions.udf.CIQ(H$6,$F$2, $A259, $I$2, $I$3)))</f>
        <v/>
      </c>
      <c r="I259" s="1033" t="str">
        <f>IF(I$6="","",IF(NOT(ISNUMBER(_xll.ciqfunctions.udf.CIQ(I$6,$F$2, $A259, $I$2, $I$3))),IF(I258=I$6,"",I258),_xll.ciqfunctions.udf.CIQ(I$6,$F$2, $A259, $I$2, $I$3)))</f>
        <v/>
      </c>
      <c r="J259" s="1033" t="str">
        <f>IF(J$6="","",IF(NOT(ISNUMBER(_xll.ciqfunctions.udf.CIQ(J$6,$F$2, $A259, $I$2, $I$3))),IF(J258=J$6,"",J258),_xll.ciqfunctions.udf.CIQ(J$6,$F$2, $A259, $I$2, $I$3)))</f>
        <v/>
      </c>
      <c r="K259" s="1033" t="str">
        <f>IF(K$6="","",IF(NOT(ISNUMBER(_xll.ciqfunctions.udf.CIQ(K$6,$F$2, $A259, $I$2, $I$3))),IF(K258=K$6,"",K258),_xll.ciqfunctions.udf.CIQ(K$6,$F$2, $A259, $I$2, $I$3)))</f>
        <v/>
      </c>
      <c r="L259" s="254" t="str">
        <f>IF(L$6="","",IF(NOT(ISNUMBER(_xll.ciqfunctions.udf.CIQ(L$6,$F$2, $A259, $I$2, $I$3))),IF(L258=L$6,"",L258),_xll.ciqfunctions.udf.CIQ(L$6,$F$2, $A259, $I$2, $I$3)))</f>
        <v/>
      </c>
      <c r="M259" s="254" t="str">
        <f>IF(M$6="","",IF(NOT(ISNUMBER(_xll.ciqfunctions.udf.CIQ(M$6,$F$2, $A259, $I$2, $I$3))),IF(M258=M$6,"",M258),_xll.ciqfunctions.udf.CIQ(M$6,$F$2, $A259, $I$2, $I$3)))</f>
        <v/>
      </c>
      <c r="N259" s="254" t="str">
        <f>IF(N$6="","",IF(NOT(ISNUMBER(_xll.ciqfunctions.udf.CIQ(N$6,$F$2, $A259, $I$2, $I$3))),IF(N258=N$6,"",N258),_xll.ciqfunctions.udf.CIQ(N$6,$F$2, $A259, $I$2, $I$3)))</f>
        <v/>
      </c>
      <c r="O259" s="254" t="str">
        <f>IF(O$6="","",IF(NOT(ISNUMBER(_xll.ciqfunctions.udf.CIQ(O$6,$F$2, $A259, $I$2, $I$3))),IF(O258=O$6,"",O258),_xll.ciqfunctions.udf.CIQ(O$6,$F$2, $A259, $I$2, $I$3)))</f>
        <v/>
      </c>
      <c r="P259" s="254" t="str">
        <f>IF(P$6="","",IF(NOT(ISNUMBER(_xll.ciqfunctions.udf.CIQ(P$6,$F$2, $A259, $I$2, $I$3))),IF(P258=P$6,"",P258),_xll.ciqfunctions.udf.CIQ(P$6,$F$2, $A259, $I$2, $I$3)))</f>
        <v/>
      </c>
      <c r="Q259" s="254"/>
      <c r="R259" s="251">
        <f t="shared" si="124"/>
        <v>44589</v>
      </c>
      <c r="S259" s="255">
        <f t="shared" si="126"/>
        <v>0.90788013318534988</v>
      </c>
      <c r="T259" s="255">
        <f t="shared" si="127"/>
        <v>0.68054497404675218</v>
      </c>
      <c r="U259" s="255">
        <f t="shared" si="128"/>
        <v>0.61840988250207785</v>
      </c>
      <c r="V259" s="255">
        <f t="shared" si="142"/>
        <v>0.88132847149104165</v>
      </c>
      <c r="W259" s="255">
        <f t="array" ref="W259">IFERROR(AVERAGE(IF(ISERROR(X259:AG259),"",X259:AG259)),"")</f>
        <v>1.9365495855447552</v>
      </c>
      <c r="X259" s="255">
        <f t="shared" si="143"/>
        <v>1.9365495855447552</v>
      </c>
      <c r="Y259" s="255" t="e">
        <f t="shared" si="144"/>
        <v>#N/A</v>
      </c>
      <c r="Z259" s="255" t="e">
        <f t="shared" si="145"/>
        <v>#N/A</v>
      </c>
      <c r="AA259" s="255" t="e">
        <f t="shared" si="146"/>
        <v>#N/A</v>
      </c>
      <c r="AB259" s="255" t="e">
        <f t="shared" si="147"/>
        <v>#N/A</v>
      </c>
      <c r="AC259" s="255" t="e">
        <f t="shared" si="148"/>
        <v>#N/A</v>
      </c>
      <c r="AD259" s="255" t="e">
        <f t="shared" si="149"/>
        <v>#N/A</v>
      </c>
      <c r="AE259" s="255" t="e">
        <f t="shared" si="150"/>
        <v>#N/A</v>
      </c>
      <c r="AF259" s="255" t="e">
        <f t="shared" si="151"/>
        <v>#N/A</v>
      </c>
      <c r="AG259" s="255" t="e">
        <f t="shared" si="152"/>
        <v>#N/A</v>
      </c>
      <c r="AI259" s="251">
        <f t="shared" si="125"/>
        <v>44589</v>
      </c>
      <c r="AJ259" s="718">
        <f>IF(OR($B259="No",AJ$6=""),"",IF(NOT(ISNUMBER(_xll.ciqfunctions.udf.CIQ(AJ$6,"IQ_TEV",$AI259,$I$2,$I$3))),"",_xll.ciqfunctions.udf.CIQ(AJ$6,"IQ_TEV",$AI259,$I$2,$I$3)))</f>
        <v>432313.76553999999</v>
      </c>
      <c r="AK259" s="718">
        <f>IF(OR($B259="No",AK$6=""),"",IF(NOT(ISNUMBER(_xll.ciqfunctions.udf.CIQ(AK$6,"IQ_TEV",$AI259,$I$2,$I$3))),"",_xll.ciqfunctions.udf.CIQ(AK$6,"IQ_TEV",$AI259,$I$2,$I$3)))</f>
        <v>215535.45908</v>
      </c>
      <c r="AL259" s="718" t="str">
        <f>IF(OR($B259="No",AL$6=""),"",IF(NOT(ISNUMBER(_xll.ciqfunctions.udf.CIQ(AL$6,"IQ_TEV",$AI259,$I$2,$I$3))),"",_xll.ciqfunctions.udf.CIQ(AL$6,"IQ_TEV",$AI259,$I$2,$I$3)))</f>
        <v/>
      </c>
      <c r="AM259" s="718" t="str">
        <f>IF(OR($B259="No",AM$6=""),"",IF(NOT(ISNUMBER(_xll.ciqfunctions.udf.CIQ(AM$6,"IQ_TEV",$AI259,$I$2,$I$3))),"",_xll.ciqfunctions.udf.CIQ(AM$6,"IQ_TEV",$AI259,$I$2,$I$3)))</f>
        <v/>
      </c>
      <c r="AN259" s="718" t="str">
        <f>IF(OR($B259="No",AN$6=""),"",IF(NOT(ISNUMBER(_xll.ciqfunctions.udf.CIQ(AN$6,"IQ_TEV",$AI259,$I$2,$I$3))),"",_xll.ciqfunctions.udf.CIQ(AN$6,"IQ_TEV",$AI259,$I$2,$I$3)))</f>
        <v/>
      </c>
      <c r="AO259" s="718" t="str">
        <f>IF(OR($B259="No",AO$6=""),"",IF(NOT(ISNUMBER(_xll.ciqfunctions.udf.CIQ(AO$6,"IQ_TEV",$AI259,$I$2,$I$3))),"",_xll.ciqfunctions.udf.CIQ(AO$6,"IQ_TEV",$AI259,$I$2,$I$3)))</f>
        <v/>
      </c>
      <c r="AP259" s="718" t="str">
        <f>IF(OR($B259="No",AP$6=""),"",IF(NOT(ISNUMBER(_xll.ciqfunctions.udf.CIQ(AP$6,"IQ_TEV",$AI259,$I$2,$I$3))),"",_xll.ciqfunctions.udf.CIQ(AP$6,"IQ_TEV",$AI259,$I$2,$I$3)))</f>
        <v/>
      </c>
      <c r="AQ259" s="718" t="str">
        <f>IF(OR($B259="No",AQ$6=""),"",IF(NOT(ISNUMBER(_xll.ciqfunctions.udf.CIQ(AQ$6,"IQ_TEV",$AI259,$I$2,$I$3))),"",_xll.ciqfunctions.udf.CIQ(AQ$6,"IQ_TEV",$AI259,$I$2,$I$3)))</f>
        <v/>
      </c>
      <c r="AR259" s="718" t="str">
        <f>IF(OR($B259="No",AR$6=""),"",IF(NOT(ISNUMBER(_xll.ciqfunctions.udf.CIQ(AR$6,"IQ_TEV",$AI259,$I$2,$I$3))),"",_xll.ciqfunctions.udf.CIQ(AR$6,"IQ_TEV",$AI259,$I$2,$I$3)))</f>
        <v/>
      </c>
      <c r="AS259" s="718" t="str">
        <f>IF(OR($B259="No",AS$6=""),"",IF(NOT(ISNUMBER(_xll.ciqfunctions.udf.CIQ(AS$6,"IQ_TEV",$AI259,$I$2,$I$3))),"",_xll.ciqfunctions.udf.CIQ(AS$6,"IQ_TEV",$AI259,$I$2,$I$3)))</f>
        <v/>
      </c>
      <c r="AT259" s="718" t="str">
        <f>IF(OR($B259="No",AT$6=""),"",IF(NOT(ISNUMBER(_xll.ciqfunctions.udf.CIQ(AT$6,"IQ_TEV",$AI259,$I$2,$I$3))),"",_xll.ciqfunctions.udf.CIQ(AT$6,"IQ_TEV",$AI259,$I$2,$I$3)))</f>
        <v/>
      </c>
      <c r="AV259" s="251">
        <f t="shared" si="129"/>
        <v>44589</v>
      </c>
      <c r="AW259" s="719">
        <f t="shared" si="130"/>
        <v>0.6560110550331355</v>
      </c>
      <c r="AX259" s="719">
        <f t="shared" si="131"/>
        <v>1.9531534724592139</v>
      </c>
      <c r="AY259" s="719" t="e">
        <f t="shared" si="132"/>
        <v>#N/A</v>
      </c>
      <c r="AZ259" s="719" t="e">
        <f t="shared" si="133"/>
        <v>#N/A</v>
      </c>
      <c r="BA259" s="719" t="e">
        <f t="shared" si="134"/>
        <v>#N/A</v>
      </c>
      <c r="BB259" s="719" t="e">
        <f t="shared" si="135"/>
        <v>#N/A</v>
      </c>
      <c r="BC259" s="719" t="e">
        <f t="shared" si="136"/>
        <v>#N/A</v>
      </c>
      <c r="BD259" s="719" t="e">
        <f t="shared" si="137"/>
        <v>#N/A</v>
      </c>
      <c r="BE259" s="719" t="e">
        <f t="shared" si="138"/>
        <v>#N/A</v>
      </c>
      <c r="BF259" s="719" t="e">
        <f t="shared" si="139"/>
        <v>#N/A</v>
      </c>
      <c r="BG259" s="719" t="e">
        <f t="shared" si="140"/>
        <v>#N/A</v>
      </c>
    </row>
    <row r="260" spans="1:59" ht="15" customHeight="1" x14ac:dyDescent="0.2">
      <c r="A260" s="251">
        <f t="shared" si="123"/>
        <v>44596</v>
      </c>
      <c r="B260" s="253" t="str">
        <f t="shared" si="141"/>
        <v>Yes</v>
      </c>
      <c r="C260" s="1033">
        <f>IF(C$6="","",IF(NOT(ISNUMBER(_xll.ciqfunctions.udf.CIQ(C$6,$F$2, $A260, $I$2, $I$3))),IF(C259=C$6,"",C259),_xll.ciqfunctions.udf.CIQ(C$6,$F$2, $A260, $I$2, $I$3)))</f>
        <v>139.33000000000001</v>
      </c>
      <c r="D260" s="1033">
        <f>IF(D$6="","",IF(NOT(ISNUMBER(_xll.ciqfunctions.udf.CIQ(D$6,$F$2, $A260, $I$2, $I$3))),IF(D259=D$6,"",D259),_xll.ciqfunctions.udf.CIQ(D$6,$F$2, $A260, $I$2, $I$3)))</f>
        <v>35089.743710000002</v>
      </c>
      <c r="E260" s="1033">
        <f>IF(E$6="","",IF(NOT(ISNUMBER(_xll.ciqfunctions.udf.CIQ(E$6,$F$2, $A260, $I$2, $I$3))),IF(E259=E$6,"",E259),_xll.ciqfunctions.udf.CIQ(E$6,$F$2, $A260, $I$2, $I$3)))</f>
        <v>11689.30465</v>
      </c>
      <c r="F260" s="1033">
        <f>IF(F$6="","",IF(NOT(ISNUMBER(_xll.ciqfunctions.udf.CIQ(F$6,$F$2, $A260, $I$2, $I$3))),IF(F259=F$6,"",F259),_xll.ciqfunctions.udf.CIQ(F$6,$F$2, $A260, $I$2, $I$3)))</f>
        <v>8241.7612399999998</v>
      </c>
      <c r="G260" s="1033">
        <f>IF(G$6="","",IF(NOT(ISNUMBER(_xll.ciqfunctions.udf.CIQ(G$6,$F$2, $A260, $I$2, $I$3))),IF(G259=G$6,"",G259),_xll.ciqfunctions.udf.CIQ(G$6,$F$2, $A260, $I$2, $I$3)))</f>
        <v>519.77</v>
      </c>
      <c r="H260" s="1033" t="str">
        <f>IF(H$6="","",IF(NOT(ISNUMBER(_xll.ciqfunctions.udf.CIQ(H$6,$F$2, $A260, $I$2, $I$3))),IF(H259=H$6,"",H259),_xll.ciqfunctions.udf.CIQ(H$6,$F$2, $A260, $I$2, $I$3)))</f>
        <v/>
      </c>
      <c r="I260" s="1033" t="str">
        <f>IF(I$6="","",IF(NOT(ISNUMBER(_xll.ciqfunctions.udf.CIQ(I$6,$F$2, $A260, $I$2, $I$3))),IF(I259=I$6,"",I259),_xll.ciqfunctions.udf.CIQ(I$6,$F$2, $A260, $I$2, $I$3)))</f>
        <v/>
      </c>
      <c r="J260" s="1033" t="str">
        <f>IF(J$6="","",IF(NOT(ISNUMBER(_xll.ciqfunctions.udf.CIQ(J$6,$F$2, $A260, $I$2, $I$3))),IF(J259=J$6,"",J259),_xll.ciqfunctions.udf.CIQ(J$6,$F$2, $A260, $I$2, $I$3)))</f>
        <v/>
      </c>
      <c r="K260" s="1033" t="str">
        <f>IF(K$6="","",IF(NOT(ISNUMBER(_xll.ciqfunctions.udf.CIQ(K$6,$F$2, $A260, $I$2, $I$3))),IF(K259=K$6,"",K259),_xll.ciqfunctions.udf.CIQ(K$6,$F$2, $A260, $I$2, $I$3)))</f>
        <v/>
      </c>
      <c r="L260" s="254" t="str">
        <f>IF(L$6="","",IF(NOT(ISNUMBER(_xll.ciqfunctions.udf.CIQ(L$6,$F$2, $A260, $I$2, $I$3))),IF(L259=L$6,"",L259),_xll.ciqfunctions.udf.CIQ(L$6,$F$2, $A260, $I$2, $I$3)))</f>
        <v/>
      </c>
      <c r="M260" s="254" t="str">
        <f>IF(M$6="","",IF(NOT(ISNUMBER(_xll.ciqfunctions.udf.CIQ(M$6,$F$2, $A260, $I$2, $I$3))),IF(M259=M$6,"",M259),_xll.ciqfunctions.udf.CIQ(M$6,$F$2, $A260, $I$2, $I$3)))</f>
        <v/>
      </c>
      <c r="N260" s="254" t="str">
        <f>IF(N$6="","",IF(NOT(ISNUMBER(_xll.ciqfunctions.udf.CIQ(N$6,$F$2, $A260, $I$2, $I$3))),IF(N259=N$6,"",N259),_xll.ciqfunctions.udf.CIQ(N$6,$F$2, $A260, $I$2, $I$3)))</f>
        <v/>
      </c>
      <c r="O260" s="254" t="str">
        <f>IF(O$6="","",IF(NOT(ISNUMBER(_xll.ciqfunctions.udf.CIQ(O$6,$F$2, $A260, $I$2, $I$3))),IF(O259=O$6,"",O259),_xll.ciqfunctions.udf.CIQ(O$6,$F$2, $A260, $I$2, $I$3)))</f>
        <v/>
      </c>
      <c r="P260" s="254" t="str">
        <f>IF(P$6="","",IF(NOT(ISNUMBER(_xll.ciqfunctions.udf.CIQ(P$6,$F$2, $A260, $I$2, $I$3))),IF(P259=P$6,"",P259),_xll.ciqfunctions.udf.CIQ(P$6,$F$2, $A260, $I$2, $I$3)))</f>
        <v/>
      </c>
      <c r="Q260" s="254"/>
      <c r="R260" s="251">
        <f t="shared" si="124"/>
        <v>44596</v>
      </c>
      <c r="S260" s="255">
        <f t="shared" si="126"/>
        <v>0.93299112097669279</v>
      </c>
      <c r="T260" s="255">
        <f t="shared" si="127"/>
        <v>0.69817394916840736</v>
      </c>
      <c r="U260" s="255">
        <f t="shared" si="128"/>
        <v>0.63353787548132101</v>
      </c>
      <c r="V260" s="255">
        <f t="shared" si="142"/>
        <v>0.87750763050021341</v>
      </c>
      <c r="W260" s="255">
        <f t="array" ref="W260">IFERROR(AVERAGE(IF(ISERROR(X260:AG260),"",X260:AG260)),"")</f>
        <v>2.0995885264476115</v>
      </c>
      <c r="X260" s="255">
        <f t="shared" si="143"/>
        <v>2.0995885264476115</v>
      </c>
      <c r="Y260" s="255" t="e">
        <f t="shared" si="144"/>
        <v>#N/A</v>
      </c>
      <c r="Z260" s="255" t="e">
        <f t="shared" si="145"/>
        <v>#N/A</v>
      </c>
      <c r="AA260" s="255" t="e">
        <f t="shared" si="146"/>
        <v>#N/A</v>
      </c>
      <c r="AB260" s="255" t="e">
        <f t="shared" si="147"/>
        <v>#N/A</v>
      </c>
      <c r="AC260" s="255" t="e">
        <f t="shared" si="148"/>
        <v>#N/A</v>
      </c>
      <c r="AD260" s="255" t="e">
        <f t="shared" si="149"/>
        <v>#N/A</v>
      </c>
      <c r="AE260" s="255" t="e">
        <f t="shared" si="150"/>
        <v>#N/A</v>
      </c>
      <c r="AF260" s="255" t="e">
        <f t="shared" si="151"/>
        <v>#N/A</v>
      </c>
      <c r="AG260" s="255" t="e">
        <f t="shared" si="152"/>
        <v>#N/A</v>
      </c>
      <c r="AI260" s="251">
        <f t="shared" si="125"/>
        <v>44596</v>
      </c>
      <c r="AJ260" s="718">
        <f>IF(OR($B260="No",AJ$6=""),"",IF(NOT(ISNUMBER(_xll.ciqfunctions.udf.CIQ(AJ$6,"IQ_TEV",$AI260,$I$2,$I$3))),"",_xll.ciqfunctions.udf.CIQ(AJ$6,"IQ_TEV",$AI260,$I$2,$I$3)))</f>
        <v>437334.48554999998</v>
      </c>
      <c r="AK260" s="718">
        <f>IF(OR($B260="No",AK$6=""),"",IF(NOT(ISNUMBER(_xll.ciqfunctions.udf.CIQ(AK$6,"IQ_TEV",$AI260,$I$2,$I$3))),"",_xll.ciqfunctions.udf.CIQ(AK$6,"IQ_TEV",$AI260,$I$2,$I$3)))</f>
        <v>227658.90325</v>
      </c>
      <c r="AL260" s="718" t="str">
        <f>IF(OR($B260="No",AL$6=""),"",IF(NOT(ISNUMBER(_xll.ciqfunctions.udf.CIQ(AL$6,"IQ_TEV",$AI260,$I$2,$I$3))),"",_xll.ciqfunctions.udf.CIQ(AL$6,"IQ_TEV",$AI260,$I$2,$I$3)))</f>
        <v/>
      </c>
      <c r="AM260" s="718" t="str">
        <f>IF(OR($B260="No",AM$6=""),"",IF(NOT(ISNUMBER(_xll.ciqfunctions.udf.CIQ(AM$6,"IQ_TEV",$AI260,$I$2,$I$3))),"",_xll.ciqfunctions.udf.CIQ(AM$6,"IQ_TEV",$AI260,$I$2,$I$3)))</f>
        <v/>
      </c>
      <c r="AN260" s="718" t="str">
        <f>IF(OR($B260="No",AN$6=""),"",IF(NOT(ISNUMBER(_xll.ciqfunctions.udf.CIQ(AN$6,"IQ_TEV",$AI260,$I$2,$I$3))),"",_xll.ciqfunctions.udf.CIQ(AN$6,"IQ_TEV",$AI260,$I$2,$I$3)))</f>
        <v/>
      </c>
      <c r="AO260" s="718" t="str">
        <f>IF(OR($B260="No",AO$6=""),"",IF(NOT(ISNUMBER(_xll.ciqfunctions.udf.CIQ(AO$6,"IQ_TEV",$AI260,$I$2,$I$3))),"",_xll.ciqfunctions.udf.CIQ(AO$6,"IQ_TEV",$AI260,$I$2,$I$3)))</f>
        <v/>
      </c>
      <c r="AP260" s="718" t="str">
        <f>IF(OR($B260="No",AP$6=""),"",IF(NOT(ISNUMBER(_xll.ciqfunctions.udf.CIQ(AP$6,"IQ_TEV",$AI260,$I$2,$I$3))),"",_xll.ciqfunctions.udf.CIQ(AP$6,"IQ_TEV",$AI260,$I$2,$I$3)))</f>
        <v/>
      </c>
      <c r="AQ260" s="718" t="str">
        <f>IF(OR($B260="No",AQ$6=""),"",IF(NOT(ISNUMBER(_xll.ciqfunctions.udf.CIQ(AQ$6,"IQ_TEV",$AI260,$I$2,$I$3))),"",_xll.ciqfunctions.udf.CIQ(AQ$6,"IQ_TEV",$AI260,$I$2,$I$3)))</f>
        <v/>
      </c>
      <c r="AR260" s="718" t="str">
        <f>IF(OR($B260="No",AR$6=""),"",IF(NOT(ISNUMBER(_xll.ciqfunctions.udf.CIQ(AR$6,"IQ_TEV",$AI260,$I$2,$I$3))),"",_xll.ciqfunctions.udf.CIQ(AR$6,"IQ_TEV",$AI260,$I$2,$I$3)))</f>
        <v/>
      </c>
      <c r="AS260" s="718" t="str">
        <f>IF(OR($B260="No",AS$6=""),"",IF(NOT(ISNUMBER(_xll.ciqfunctions.udf.CIQ(AS$6,"IQ_TEV",$AI260,$I$2,$I$3))),"",_xll.ciqfunctions.udf.CIQ(AS$6,"IQ_TEV",$AI260,$I$2,$I$3)))</f>
        <v/>
      </c>
      <c r="AT260" s="718" t="str">
        <f>IF(OR($B260="No",AT$6=""),"",IF(NOT(ISNUMBER(_xll.ciqfunctions.udf.CIQ(AT$6,"IQ_TEV",$AI260,$I$2,$I$3))),"",_xll.ciqfunctions.udf.CIQ(AT$6,"IQ_TEV",$AI260,$I$2,$I$3)))</f>
        <v/>
      </c>
      <c r="AV260" s="251">
        <f t="shared" si="129"/>
        <v>44596</v>
      </c>
      <c r="AW260" s="719">
        <f t="shared" si="130"/>
        <v>0.67524330832583535</v>
      </c>
      <c r="AX260" s="719">
        <f t="shared" si="131"/>
        <v>2.1192625266335074</v>
      </c>
      <c r="AY260" s="719" t="e">
        <f t="shared" si="132"/>
        <v>#N/A</v>
      </c>
      <c r="AZ260" s="719" t="e">
        <f t="shared" si="133"/>
        <v>#N/A</v>
      </c>
      <c r="BA260" s="719" t="e">
        <f t="shared" si="134"/>
        <v>#N/A</v>
      </c>
      <c r="BB260" s="719" t="e">
        <f t="shared" si="135"/>
        <v>#N/A</v>
      </c>
      <c r="BC260" s="719" t="e">
        <f t="shared" si="136"/>
        <v>#N/A</v>
      </c>
      <c r="BD260" s="719" t="e">
        <f t="shared" si="137"/>
        <v>#N/A</v>
      </c>
      <c r="BE260" s="719" t="e">
        <f t="shared" si="138"/>
        <v>#N/A</v>
      </c>
      <c r="BF260" s="719" t="e">
        <f t="shared" si="139"/>
        <v>#N/A</v>
      </c>
      <c r="BG260" s="719" t="e">
        <f t="shared" si="140"/>
        <v>#N/A</v>
      </c>
    </row>
    <row r="261" spans="1:59" ht="15" customHeight="1" x14ac:dyDescent="0.2">
      <c r="A261" s="251">
        <f t="shared" si="123"/>
        <v>44603</v>
      </c>
      <c r="B261" s="253" t="str">
        <f t="shared" si="141"/>
        <v>Yes</v>
      </c>
      <c r="C261" s="1033">
        <f>IF(C$6="","",IF(NOT(ISNUMBER(_xll.ciqfunctions.udf.CIQ(C$6,$F$2, $A261, $I$2, $I$3))),IF(C260=C$6,"",C260),_xll.ciqfunctions.udf.CIQ(C$6,$F$2, $A261, $I$2, $I$3)))</f>
        <v>135.33000000000001</v>
      </c>
      <c r="D261" s="1033">
        <f>IF(D$6="","",IF(NOT(ISNUMBER(_xll.ciqfunctions.udf.CIQ(D$6,$F$2, $A261, $I$2, $I$3))),IF(D260=D$6,"",D260),_xll.ciqfunctions.udf.CIQ(D$6,$F$2, $A261, $I$2, $I$3)))</f>
        <v>34738.060660000003</v>
      </c>
      <c r="E261" s="1033">
        <f>IF(E$6="","",IF(NOT(ISNUMBER(_xll.ciqfunctions.udf.CIQ(E$6,$F$2, $A261, $I$2, $I$3))),IF(E260=E$6,"",E260),_xll.ciqfunctions.udf.CIQ(E$6,$F$2, $A261, $I$2, $I$3)))</f>
        <v>11545.871789999999</v>
      </c>
      <c r="F261" s="1033">
        <f>IF(F$6="","",IF(NOT(ISNUMBER(_xll.ciqfunctions.udf.CIQ(F$6,$F$2, $A261, $I$2, $I$3))),IF(F260=F$6,"",F260),_xll.ciqfunctions.udf.CIQ(F$6,$F$2, $A261, $I$2, $I$3)))</f>
        <v>8340.1182499999995</v>
      </c>
      <c r="G261" s="1033">
        <f>IF(G$6="","",IF(NOT(ISNUMBER(_xll.ciqfunctions.udf.CIQ(G$6,$F$2, $A261, $I$2, $I$3))),IF(G260=G$6,"",G260),_xll.ciqfunctions.udf.CIQ(G$6,$F$2, $A261, $I$2, $I$3)))</f>
        <v>509.67</v>
      </c>
      <c r="H261" s="1033" t="str">
        <f>IF(H$6="","",IF(NOT(ISNUMBER(_xll.ciqfunctions.udf.CIQ(H$6,$F$2, $A261, $I$2, $I$3))),IF(H260=H$6,"",H260),_xll.ciqfunctions.udf.CIQ(H$6,$F$2, $A261, $I$2, $I$3)))</f>
        <v/>
      </c>
      <c r="I261" s="1033" t="str">
        <f>IF(I$6="","",IF(NOT(ISNUMBER(_xll.ciqfunctions.udf.CIQ(I$6,$F$2, $A261, $I$2, $I$3))),IF(I260=I$6,"",I260),_xll.ciqfunctions.udf.CIQ(I$6,$F$2, $A261, $I$2, $I$3)))</f>
        <v/>
      </c>
      <c r="J261" s="1033" t="str">
        <f>IF(J$6="","",IF(NOT(ISNUMBER(_xll.ciqfunctions.udf.CIQ(J$6,$F$2, $A261, $I$2, $I$3))),IF(J260=J$6,"",J260),_xll.ciqfunctions.udf.CIQ(J$6,$F$2, $A261, $I$2, $I$3)))</f>
        <v/>
      </c>
      <c r="K261" s="1033" t="str">
        <f>IF(K$6="","",IF(NOT(ISNUMBER(_xll.ciqfunctions.udf.CIQ(K$6,$F$2, $A261, $I$2, $I$3))),IF(K260=K$6,"",K260),_xll.ciqfunctions.udf.CIQ(K$6,$F$2, $A261, $I$2, $I$3)))</f>
        <v/>
      </c>
      <c r="L261" s="254" t="str">
        <f>IF(L$6="","",IF(NOT(ISNUMBER(_xll.ciqfunctions.udf.CIQ(L$6,$F$2, $A261, $I$2, $I$3))),IF(L260=L$6,"",L260),_xll.ciqfunctions.udf.CIQ(L$6,$F$2, $A261, $I$2, $I$3)))</f>
        <v/>
      </c>
      <c r="M261" s="254" t="str">
        <f>IF(M$6="","",IF(NOT(ISNUMBER(_xll.ciqfunctions.udf.CIQ(M$6,$F$2, $A261, $I$2, $I$3))),IF(M260=M$6,"",M260),_xll.ciqfunctions.udf.CIQ(M$6,$F$2, $A261, $I$2, $I$3)))</f>
        <v/>
      </c>
      <c r="N261" s="254" t="str">
        <f>IF(N$6="","",IF(NOT(ISNUMBER(_xll.ciqfunctions.udf.CIQ(N$6,$F$2, $A261, $I$2, $I$3))),IF(N260=N$6,"",N260),_xll.ciqfunctions.udf.CIQ(N$6,$F$2, $A261, $I$2, $I$3)))</f>
        <v/>
      </c>
      <c r="O261" s="254" t="str">
        <f>IF(O$6="","",IF(NOT(ISNUMBER(_xll.ciqfunctions.udf.CIQ(O$6,$F$2, $A261, $I$2, $I$3))),IF(O260=O$6,"",O260),_xll.ciqfunctions.udf.CIQ(O$6,$F$2, $A261, $I$2, $I$3)))</f>
        <v/>
      </c>
      <c r="P261" s="254" t="str">
        <f>IF(P$6="","",IF(NOT(ISNUMBER(_xll.ciqfunctions.udf.CIQ(P$6,$F$2, $A261, $I$2, $I$3))),IF(P260=P$6,"",P260),_xll.ciqfunctions.udf.CIQ(P$6,$F$2, $A261, $I$2, $I$3)))</f>
        <v/>
      </c>
      <c r="Q261" s="254"/>
      <c r="R261" s="251">
        <f t="shared" si="124"/>
        <v>44603</v>
      </c>
      <c r="S261" s="255">
        <f t="shared" si="126"/>
        <v>0.87749722530521668</v>
      </c>
      <c r="T261" s="255">
        <f t="shared" si="127"/>
        <v>0.68115418981052134</v>
      </c>
      <c r="U261" s="255">
        <f t="shared" si="128"/>
        <v>0.61349365416841239</v>
      </c>
      <c r="V261" s="255">
        <f t="shared" si="142"/>
        <v>0.89991376814612578</v>
      </c>
      <c r="W261" s="255">
        <f t="array" ref="W261">IFERROR(AVERAGE(IF(ISERROR(X261:AG261),"",X261:AG261)),"")</f>
        <v>2.039358339793667</v>
      </c>
      <c r="X261" s="255">
        <f t="shared" si="143"/>
        <v>2.039358339793667</v>
      </c>
      <c r="Y261" s="255" t="e">
        <f t="shared" si="144"/>
        <v>#N/A</v>
      </c>
      <c r="Z261" s="255" t="e">
        <f t="shared" si="145"/>
        <v>#N/A</v>
      </c>
      <c r="AA261" s="255" t="e">
        <f t="shared" si="146"/>
        <v>#N/A</v>
      </c>
      <c r="AB261" s="255" t="e">
        <f t="shared" si="147"/>
        <v>#N/A</v>
      </c>
      <c r="AC261" s="255" t="e">
        <f t="shared" si="148"/>
        <v>#N/A</v>
      </c>
      <c r="AD261" s="255" t="e">
        <f t="shared" si="149"/>
        <v>#N/A</v>
      </c>
      <c r="AE261" s="255" t="e">
        <f t="shared" si="150"/>
        <v>#N/A</v>
      </c>
      <c r="AF261" s="255" t="e">
        <f t="shared" si="151"/>
        <v>#N/A</v>
      </c>
      <c r="AG261" s="255" t="e">
        <f t="shared" si="152"/>
        <v>#N/A</v>
      </c>
      <c r="AI261" s="251">
        <f t="shared" si="125"/>
        <v>44603</v>
      </c>
      <c r="AJ261" s="718">
        <f>IF(OR($B261="No",AJ$6=""),"",IF(NOT(ISNUMBER(_xll.ciqfunctions.udf.CIQ(AJ$6,"IQ_TEV",$AI261,$I$2,$I$3))),"",_xll.ciqfunctions.udf.CIQ(AJ$6,"IQ_TEV",$AI261,$I$2,$I$3)))</f>
        <v>426238.97171999997</v>
      </c>
      <c r="AK261" s="718">
        <f>IF(OR($B261="No",AK$6=""),"",IF(NOT(ISNUMBER(_xll.ciqfunctions.udf.CIQ(AK$6,"IQ_TEV",$AI261,$I$2,$I$3))),"",_xll.ciqfunctions.udf.CIQ(AK$6,"IQ_TEV",$AI261,$I$2,$I$3)))</f>
        <v>223180.23514</v>
      </c>
      <c r="AL261" s="718" t="str">
        <f>IF(OR($B261="No",AL$6=""),"",IF(NOT(ISNUMBER(_xll.ciqfunctions.udf.CIQ(AL$6,"IQ_TEV",$AI261,$I$2,$I$3))),"",_xll.ciqfunctions.udf.CIQ(AL$6,"IQ_TEV",$AI261,$I$2,$I$3)))</f>
        <v/>
      </c>
      <c r="AM261" s="718" t="str">
        <f>IF(OR($B261="No",AM$6=""),"",IF(NOT(ISNUMBER(_xll.ciqfunctions.udf.CIQ(AM$6,"IQ_TEV",$AI261,$I$2,$I$3))),"",_xll.ciqfunctions.udf.CIQ(AM$6,"IQ_TEV",$AI261,$I$2,$I$3)))</f>
        <v/>
      </c>
      <c r="AN261" s="718" t="str">
        <f>IF(OR($B261="No",AN$6=""),"",IF(NOT(ISNUMBER(_xll.ciqfunctions.udf.CIQ(AN$6,"IQ_TEV",$AI261,$I$2,$I$3))),"",_xll.ciqfunctions.udf.CIQ(AN$6,"IQ_TEV",$AI261,$I$2,$I$3)))</f>
        <v/>
      </c>
      <c r="AO261" s="718" t="str">
        <f>IF(OR($B261="No",AO$6=""),"",IF(NOT(ISNUMBER(_xll.ciqfunctions.udf.CIQ(AO$6,"IQ_TEV",$AI261,$I$2,$I$3))),"",_xll.ciqfunctions.udf.CIQ(AO$6,"IQ_TEV",$AI261,$I$2,$I$3)))</f>
        <v/>
      </c>
      <c r="AP261" s="718" t="str">
        <f>IF(OR($B261="No",AP$6=""),"",IF(NOT(ISNUMBER(_xll.ciqfunctions.udf.CIQ(AP$6,"IQ_TEV",$AI261,$I$2,$I$3))),"",_xll.ciqfunctions.udf.CIQ(AP$6,"IQ_TEV",$AI261,$I$2,$I$3)))</f>
        <v/>
      </c>
      <c r="AQ261" s="718" t="str">
        <f>IF(OR($B261="No",AQ$6=""),"",IF(NOT(ISNUMBER(_xll.ciqfunctions.udf.CIQ(AQ$6,"IQ_TEV",$AI261,$I$2,$I$3))),"",_xll.ciqfunctions.udf.CIQ(AQ$6,"IQ_TEV",$AI261,$I$2,$I$3)))</f>
        <v/>
      </c>
      <c r="AR261" s="718" t="str">
        <f>IF(OR($B261="No",AR$6=""),"",IF(NOT(ISNUMBER(_xll.ciqfunctions.udf.CIQ(AR$6,"IQ_TEV",$AI261,$I$2,$I$3))),"",_xll.ciqfunctions.udf.CIQ(AR$6,"IQ_TEV",$AI261,$I$2,$I$3)))</f>
        <v/>
      </c>
      <c r="AS261" s="718" t="str">
        <f>IF(OR($B261="No",AS$6=""),"",IF(NOT(ISNUMBER(_xll.ciqfunctions.udf.CIQ(AS$6,"IQ_TEV",$AI261,$I$2,$I$3))),"",_xll.ciqfunctions.udf.CIQ(AS$6,"IQ_TEV",$AI261,$I$2,$I$3)))</f>
        <v/>
      </c>
      <c r="AT261" s="718" t="str">
        <f>IF(OR($B261="No",AT$6=""),"",IF(NOT(ISNUMBER(_xll.ciqfunctions.udf.CIQ(AT$6,"IQ_TEV",$AI261,$I$2,$I$3))),"",_xll.ciqfunctions.udf.CIQ(AT$6,"IQ_TEV",$AI261,$I$2,$I$3)))</f>
        <v/>
      </c>
      <c r="AV261" s="251">
        <f t="shared" si="129"/>
        <v>44603</v>
      </c>
      <c r="AW261" s="719">
        <f t="shared" si="130"/>
        <v>0.63274109112069521</v>
      </c>
      <c r="AX261" s="719">
        <f t="shared" si="131"/>
        <v>2.0578981723064094</v>
      </c>
      <c r="AY261" s="719" t="e">
        <f t="shared" si="132"/>
        <v>#N/A</v>
      </c>
      <c r="AZ261" s="719" t="e">
        <f t="shared" si="133"/>
        <v>#N/A</v>
      </c>
      <c r="BA261" s="719" t="e">
        <f t="shared" si="134"/>
        <v>#N/A</v>
      </c>
      <c r="BB261" s="719" t="e">
        <f t="shared" si="135"/>
        <v>#N/A</v>
      </c>
      <c r="BC261" s="719" t="e">
        <f t="shared" si="136"/>
        <v>#N/A</v>
      </c>
      <c r="BD261" s="719" t="e">
        <f t="shared" si="137"/>
        <v>#N/A</v>
      </c>
      <c r="BE261" s="719" t="e">
        <f t="shared" si="138"/>
        <v>#N/A</v>
      </c>
      <c r="BF261" s="719" t="e">
        <f t="shared" si="139"/>
        <v>#N/A</v>
      </c>
      <c r="BG261" s="719" t="e">
        <f t="shared" si="140"/>
        <v>#N/A</v>
      </c>
    </row>
    <row r="262" spans="1:59" ht="15" customHeight="1" x14ac:dyDescent="0.2">
      <c r="A262" s="251">
        <f t="shared" si="123"/>
        <v>44610</v>
      </c>
      <c r="B262" s="253" t="str">
        <f t="shared" si="141"/>
        <v>Yes</v>
      </c>
      <c r="C262" s="1033">
        <f>IF(C$6="","",IF(NOT(ISNUMBER(_xll.ciqfunctions.udf.CIQ(C$6,$F$2, $A262, $I$2, $I$3))),IF(C261=C$6,"",C261),_xll.ciqfunctions.udf.CIQ(C$6,$F$2, $A262, $I$2, $I$3)))</f>
        <v>137.99</v>
      </c>
      <c r="D262" s="1033">
        <f>IF(D$6="","",IF(NOT(ISNUMBER(_xll.ciqfunctions.udf.CIQ(D$6,$F$2, $A262, $I$2, $I$3))),IF(D261=D$6,"",D261),_xll.ciqfunctions.udf.CIQ(D$6,$F$2, $A262, $I$2, $I$3)))</f>
        <v>34079.18219</v>
      </c>
      <c r="E262" s="1033">
        <f>IF(E$6="","",IF(NOT(ISNUMBER(_xll.ciqfunctions.udf.CIQ(E$6,$F$2, $A262, $I$2, $I$3))),IF(E261=E$6,"",E261),_xll.ciqfunctions.udf.CIQ(E$6,$F$2, $A262, $I$2, $I$3)))</f>
        <v>11395.139579999999</v>
      </c>
      <c r="F262" s="1033">
        <f>IF(F$6="","",IF(NOT(ISNUMBER(_xll.ciqfunctions.udf.CIQ(F$6,$F$2, $A262, $I$2, $I$3))),IF(F261=F$6,"",F261),_xll.ciqfunctions.udf.CIQ(F$6,$F$2, $A262, $I$2, $I$3)))</f>
        <v>8173.4458100000002</v>
      </c>
      <c r="G262" s="1033">
        <f>IF(G$6="","",IF(NOT(ISNUMBER(_xll.ciqfunctions.udf.CIQ(G$6,$F$2, $A262, $I$2, $I$3))),IF(G261=G$6,"",G261),_xll.ciqfunctions.udf.CIQ(G$6,$F$2, $A262, $I$2, $I$3)))</f>
        <v>512.66999999999996</v>
      </c>
      <c r="H262" s="1033" t="str">
        <f>IF(H$6="","",IF(NOT(ISNUMBER(_xll.ciqfunctions.udf.CIQ(H$6,$F$2, $A262, $I$2, $I$3))),IF(H261=H$6,"",H261),_xll.ciqfunctions.udf.CIQ(H$6,$F$2, $A262, $I$2, $I$3)))</f>
        <v/>
      </c>
      <c r="I262" s="1033" t="str">
        <f>IF(I$6="","",IF(NOT(ISNUMBER(_xll.ciqfunctions.udf.CIQ(I$6,$F$2, $A262, $I$2, $I$3))),IF(I261=I$6,"",I261),_xll.ciqfunctions.udf.CIQ(I$6,$F$2, $A262, $I$2, $I$3)))</f>
        <v/>
      </c>
      <c r="J262" s="1033" t="str">
        <f>IF(J$6="","",IF(NOT(ISNUMBER(_xll.ciqfunctions.udf.CIQ(J$6,$F$2, $A262, $I$2, $I$3))),IF(J261=J$6,"",J261),_xll.ciqfunctions.udf.CIQ(J$6,$F$2, $A262, $I$2, $I$3)))</f>
        <v/>
      </c>
      <c r="K262" s="1033" t="str">
        <f>IF(K$6="","",IF(NOT(ISNUMBER(_xll.ciqfunctions.udf.CIQ(K$6,$F$2, $A262, $I$2, $I$3))),IF(K261=K$6,"",K261),_xll.ciqfunctions.udf.CIQ(K$6,$F$2, $A262, $I$2, $I$3)))</f>
        <v/>
      </c>
      <c r="L262" s="254" t="str">
        <f>IF(L$6="","",IF(NOT(ISNUMBER(_xll.ciqfunctions.udf.CIQ(L$6,$F$2, $A262, $I$2, $I$3))),IF(L261=L$6,"",L261),_xll.ciqfunctions.udf.CIQ(L$6,$F$2, $A262, $I$2, $I$3)))</f>
        <v/>
      </c>
      <c r="M262" s="254" t="str">
        <f>IF(M$6="","",IF(NOT(ISNUMBER(_xll.ciqfunctions.udf.CIQ(M$6,$F$2, $A262, $I$2, $I$3))),IF(M261=M$6,"",M261),_xll.ciqfunctions.udf.CIQ(M$6,$F$2, $A262, $I$2, $I$3)))</f>
        <v/>
      </c>
      <c r="N262" s="254" t="str">
        <f>IF(N$6="","",IF(NOT(ISNUMBER(_xll.ciqfunctions.udf.CIQ(N$6,$F$2, $A262, $I$2, $I$3))),IF(N261=N$6,"",N261),_xll.ciqfunctions.udf.CIQ(N$6,$F$2, $A262, $I$2, $I$3)))</f>
        <v/>
      </c>
      <c r="O262" s="254" t="str">
        <f>IF(O$6="","",IF(NOT(ISNUMBER(_xll.ciqfunctions.udf.CIQ(O$6,$F$2, $A262, $I$2, $I$3))),IF(O261=O$6,"",O261),_xll.ciqfunctions.udf.CIQ(O$6,$F$2, $A262, $I$2, $I$3)))</f>
        <v/>
      </c>
      <c r="P262" s="254" t="str">
        <f>IF(P$6="","",IF(NOT(ISNUMBER(_xll.ciqfunctions.udf.CIQ(P$6,$F$2, $A262, $I$2, $I$3))),IF(P261=P$6,"",P261),_xll.ciqfunctions.udf.CIQ(P$6,$F$2, $A262, $I$2, $I$3)))</f>
        <v/>
      </c>
      <c r="Q262" s="254"/>
      <c r="R262" s="251">
        <f t="shared" si="124"/>
        <v>44610</v>
      </c>
      <c r="S262" s="255">
        <f t="shared" si="126"/>
        <v>0.91440066592674829</v>
      </c>
      <c r="T262" s="255">
        <f t="shared" si="127"/>
        <v>0.64926765730492542</v>
      </c>
      <c r="U262" s="255">
        <f t="shared" si="128"/>
        <v>0.59242937520037264</v>
      </c>
      <c r="V262" s="255">
        <f t="shared" si="142"/>
        <v>0.86194509024080856</v>
      </c>
      <c r="W262" s="255">
        <f t="array" ref="W262">IFERROR(AVERAGE(IF(ISERROR(X262:AG262),"",X262:AG262)),"")</f>
        <v>2.0572484942453335</v>
      </c>
      <c r="X262" s="255">
        <f t="shared" si="143"/>
        <v>2.0572484942453335</v>
      </c>
      <c r="Y262" s="255" t="e">
        <f t="shared" si="144"/>
        <v>#N/A</v>
      </c>
      <c r="Z262" s="255" t="e">
        <f t="shared" si="145"/>
        <v>#N/A</v>
      </c>
      <c r="AA262" s="255" t="e">
        <f t="shared" si="146"/>
        <v>#N/A</v>
      </c>
      <c r="AB262" s="255" t="e">
        <f t="shared" si="147"/>
        <v>#N/A</v>
      </c>
      <c r="AC262" s="255" t="e">
        <f t="shared" si="148"/>
        <v>#N/A</v>
      </c>
      <c r="AD262" s="255" t="e">
        <f t="shared" si="149"/>
        <v>#N/A</v>
      </c>
      <c r="AE262" s="255" t="e">
        <f t="shared" si="150"/>
        <v>#N/A</v>
      </c>
      <c r="AF262" s="255" t="e">
        <f t="shared" si="151"/>
        <v>#N/A</v>
      </c>
      <c r="AG262" s="255" t="e">
        <f t="shared" si="152"/>
        <v>#N/A</v>
      </c>
      <c r="AI262" s="251">
        <f t="shared" si="125"/>
        <v>44610</v>
      </c>
      <c r="AJ262" s="718">
        <f>IF(OR($B262="No",AJ$6=""),"",IF(NOT(ISNUMBER(_xll.ciqfunctions.udf.CIQ(AJ$6,"IQ_TEV",$AI262,$I$2,$I$3))),"",_xll.ciqfunctions.udf.CIQ(AJ$6,"IQ_TEV",$AI262,$I$2,$I$3)))</f>
        <v>433968.48842000001</v>
      </c>
      <c r="AK262" s="718">
        <f>IF(OR($B262="No",AK$6=""),"",IF(NOT(ISNUMBER(_xll.ciqfunctions.udf.CIQ(AK$6,"IQ_TEV",$AI262,$I$2,$I$3))),"",_xll.ciqfunctions.udf.CIQ(AK$6,"IQ_TEV",$AI262,$I$2,$I$3)))</f>
        <v>224510.53260000001</v>
      </c>
      <c r="AL262" s="718" t="str">
        <f>IF(OR($B262="No",AL$6=""),"",IF(NOT(ISNUMBER(_xll.ciqfunctions.udf.CIQ(AL$6,"IQ_TEV",$AI262,$I$2,$I$3))),"",_xll.ciqfunctions.udf.CIQ(AL$6,"IQ_TEV",$AI262,$I$2,$I$3)))</f>
        <v/>
      </c>
      <c r="AM262" s="718" t="str">
        <f>IF(OR($B262="No",AM$6=""),"",IF(NOT(ISNUMBER(_xll.ciqfunctions.udf.CIQ(AM$6,"IQ_TEV",$AI262,$I$2,$I$3))),"",_xll.ciqfunctions.udf.CIQ(AM$6,"IQ_TEV",$AI262,$I$2,$I$3)))</f>
        <v/>
      </c>
      <c r="AN262" s="718" t="str">
        <f>IF(OR($B262="No",AN$6=""),"",IF(NOT(ISNUMBER(_xll.ciqfunctions.udf.CIQ(AN$6,"IQ_TEV",$AI262,$I$2,$I$3))),"",_xll.ciqfunctions.udf.CIQ(AN$6,"IQ_TEV",$AI262,$I$2,$I$3)))</f>
        <v/>
      </c>
      <c r="AO262" s="718" t="str">
        <f>IF(OR($B262="No",AO$6=""),"",IF(NOT(ISNUMBER(_xll.ciqfunctions.udf.CIQ(AO$6,"IQ_TEV",$AI262,$I$2,$I$3))),"",_xll.ciqfunctions.udf.CIQ(AO$6,"IQ_TEV",$AI262,$I$2,$I$3)))</f>
        <v/>
      </c>
      <c r="AP262" s="718" t="str">
        <f>IF(OR($B262="No",AP$6=""),"",IF(NOT(ISNUMBER(_xll.ciqfunctions.udf.CIQ(AP$6,"IQ_TEV",$AI262,$I$2,$I$3))),"",_xll.ciqfunctions.udf.CIQ(AP$6,"IQ_TEV",$AI262,$I$2,$I$3)))</f>
        <v/>
      </c>
      <c r="AQ262" s="718" t="str">
        <f>IF(OR($B262="No",AQ$6=""),"",IF(NOT(ISNUMBER(_xll.ciqfunctions.udf.CIQ(AQ$6,"IQ_TEV",$AI262,$I$2,$I$3))),"",_xll.ciqfunctions.udf.CIQ(AQ$6,"IQ_TEV",$AI262,$I$2,$I$3)))</f>
        <v/>
      </c>
      <c r="AR262" s="718" t="str">
        <f>IF(OR($B262="No",AR$6=""),"",IF(NOT(ISNUMBER(_xll.ciqfunctions.udf.CIQ(AR$6,"IQ_TEV",$AI262,$I$2,$I$3))),"",_xll.ciqfunctions.udf.CIQ(AR$6,"IQ_TEV",$AI262,$I$2,$I$3)))</f>
        <v/>
      </c>
      <c r="AS262" s="718" t="str">
        <f>IF(OR($B262="No",AS$6=""),"",IF(NOT(ISNUMBER(_xll.ciqfunctions.udf.CIQ(AS$6,"IQ_TEV",$AI262,$I$2,$I$3))),"",_xll.ciqfunctions.udf.CIQ(AS$6,"IQ_TEV",$AI262,$I$2,$I$3)))</f>
        <v/>
      </c>
      <c r="AT262" s="718" t="str">
        <f>IF(OR($B262="No",AT$6=""),"",IF(NOT(ISNUMBER(_xll.ciqfunctions.udf.CIQ(AT$6,"IQ_TEV",$AI262,$I$2,$I$3))),"",_xll.ciqfunctions.udf.CIQ(AT$6,"IQ_TEV",$AI262,$I$2,$I$3)))</f>
        <v/>
      </c>
      <c r="AV262" s="251">
        <f t="shared" si="129"/>
        <v>44610</v>
      </c>
      <c r="AW262" s="719">
        <f t="shared" si="130"/>
        <v>0.66234959800984017</v>
      </c>
      <c r="AX262" s="719">
        <f t="shared" si="131"/>
        <v>2.0761252082668569</v>
      </c>
      <c r="AY262" s="719" t="e">
        <f t="shared" si="132"/>
        <v>#N/A</v>
      </c>
      <c r="AZ262" s="719" t="e">
        <f t="shared" si="133"/>
        <v>#N/A</v>
      </c>
      <c r="BA262" s="719" t="e">
        <f t="shared" si="134"/>
        <v>#N/A</v>
      </c>
      <c r="BB262" s="719" t="e">
        <f t="shared" si="135"/>
        <v>#N/A</v>
      </c>
      <c r="BC262" s="719" t="e">
        <f t="shared" si="136"/>
        <v>#N/A</v>
      </c>
      <c r="BD262" s="719" t="e">
        <f t="shared" si="137"/>
        <v>#N/A</v>
      </c>
      <c r="BE262" s="719" t="e">
        <f t="shared" si="138"/>
        <v>#N/A</v>
      </c>
      <c r="BF262" s="719" t="e">
        <f t="shared" si="139"/>
        <v>#N/A</v>
      </c>
      <c r="BG262" s="719" t="e">
        <f t="shared" si="140"/>
        <v>#N/A</v>
      </c>
    </row>
    <row r="263" spans="1:59" ht="15" customHeight="1" x14ac:dyDescent="0.2">
      <c r="A263" s="251">
        <f>IF(WEEKDAY(A264-7)=7,A264-8,IF(WEEKDAY(A264-7)=1,A264-9,A264-7))</f>
        <v>44617</v>
      </c>
      <c r="B263" s="253" t="str">
        <f t="shared" si="141"/>
        <v>Yes</v>
      </c>
      <c r="C263" s="1033">
        <f>IF(C$6="","",IF(NOT(ISNUMBER(_xll.ciqfunctions.udf.CIQ(C$6,$F$2, $A263, $I$2, $I$3))),IF(C262=C$6,"",C262),_xll.ciqfunctions.udf.CIQ(C$6,$F$2, $A263, $I$2, $I$3)))</f>
        <v>136.38</v>
      </c>
      <c r="D263" s="1033">
        <f>IF(D$6="","",IF(NOT(ISNUMBER(_xll.ciqfunctions.udf.CIQ(D$6,$F$2, $A263, $I$2, $I$3))),IF(D262=D$6,"",D262),_xll.ciqfunctions.udf.CIQ(D$6,$F$2, $A263, $I$2, $I$3)))</f>
        <v>34058.750829999997</v>
      </c>
      <c r="E263" s="1033">
        <f>IF(E$6="","",IF(NOT(ISNUMBER(_xll.ciqfunctions.udf.CIQ(E$6,$F$2, $A263, $I$2, $I$3))),IF(E262=E$6,"",E262),_xll.ciqfunctions.udf.CIQ(E$6,$F$2, $A263, $I$2, $I$3)))</f>
        <v>11478.453289999999</v>
      </c>
      <c r="F263" s="1033">
        <f>IF(F$6="","",IF(NOT(ISNUMBER(_xll.ciqfunctions.udf.CIQ(F$6,$F$2, $A263, $I$2, $I$3))),IF(F262=F$6,"",F262),_xll.ciqfunctions.udf.CIQ(F$6,$F$2, $A263, $I$2, $I$3)))</f>
        <v>8108.5355600000003</v>
      </c>
      <c r="G263" s="1033">
        <f>IF(G$6="","",IF(NOT(ISNUMBER(_xll.ciqfunctions.udf.CIQ(G$6,$F$2, $A263, $I$2, $I$3))),IF(G262=G$6,"",G262),_xll.ciqfunctions.udf.CIQ(G$6,$F$2, $A263, $I$2, $I$3)))</f>
        <v>517.49</v>
      </c>
      <c r="H263" s="1033" t="str">
        <f>IF(H$6="","",IF(NOT(ISNUMBER(_xll.ciqfunctions.udf.CIQ(H$6,$F$2, $A263, $I$2, $I$3))),IF(H262=H$6,"",H262),_xll.ciqfunctions.udf.CIQ(H$6,$F$2, $A263, $I$2, $I$3)))</f>
        <v/>
      </c>
      <c r="I263" s="1033" t="str">
        <f>IF(I$6="","",IF(NOT(ISNUMBER(_xll.ciqfunctions.udf.CIQ(I$6,$F$2, $A263, $I$2, $I$3))),IF(I262=I$6,"",I262),_xll.ciqfunctions.udf.CIQ(I$6,$F$2, $A263, $I$2, $I$3)))</f>
        <v/>
      </c>
      <c r="J263" s="1033" t="str">
        <f>IF(J$6="","",IF(NOT(ISNUMBER(_xll.ciqfunctions.udf.CIQ(J$6,$F$2, $A263, $I$2, $I$3))),IF(J262=J$6,"",J262),_xll.ciqfunctions.udf.CIQ(J$6,$F$2, $A263, $I$2, $I$3)))</f>
        <v/>
      </c>
      <c r="K263" s="1033" t="str">
        <f>IF(K$6="","",IF(NOT(ISNUMBER(_xll.ciqfunctions.udf.CIQ(K$6,$F$2, $A263, $I$2, $I$3))),IF(K262=K$6,"",K262),_xll.ciqfunctions.udf.CIQ(K$6,$F$2, $A263, $I$2, $I$3)))</f>
        <v/>
      </c>
      <c r="L263" s="254" t="str">
        <f>IF(L$6="","",IF(NOT(ISNUMBER(_xll.ciqfunctions.udf.CIQ(L$6,$F$2, $A263, $I$2, $I$3))),IF(L262=L$6,"",L262),_xll.ciqfunctions.udf.CIQ(L$6,$F$2, $A263, $I$2, $I$3)))</f>
        <v/>
      </c>
      <c r="M263" s="254" t="str">
        <f>IF(M$6="","",IF(NOT(ISNUMBER(_xll.ciqfunctions.udf.CIQ(M$6,$F$2, $A263, $I$2, $I$3))),IF(M262=M$6,"",M262),_xll.ciqfunctions.udf.CIQ(M$6,$F$2, $A263, $I$2, $I$3)))</f>
        <v/>
      </c>
      <c r="N263" s="254" t="str">
        <f>IF(N$6="","",IF(NOT(ISNUMBER(_xll.ciqfunctions.udf.CIQ(N$6,$F$2, $A263, $I$2, $I$3))),IF(N262=N$6,"",N262),_xll.ciqfunctions.udf.CIQ(N$6,$F$2, $A263, $I$2, $I$3)))</f>
        <v/>
      </c>
      <c r="O263" s="254" t="str">
        <f>IF(O$6="","",IF(NOT(ISNUMBER(_xll.ciqfunctions.udf.CIQ(O$6,$F$2, $A263, $I$2, $I$3))),IF(O262=O$6,"",O262),_xll.ciqfunctions.udf.CIQ(O$6,$F$2, $A263, $I$2, $I$3)))</f>
        <v/>
      </c>
      <c r="P263" s="254" t="str">
        <f>IF(P$6="","",IF(NOT(ISNUMBER(_xll.ciqfunctions.udf.CIQ(P$6,$F$2, $A263, $I$2, $I$3))),IF(P262=P$6,"",P262),_xll.ciqfunctions.udf.CIQ(P$6,$F$2, $A263, $I$2, $I$3)))</f>
        <v/>
      </c>
      <c r="Q263" s="254"/>
      <c r="R263" s="251">
        <f t="shared" si="124"/>
        <v>44617</v>
      </c>
      <c r="S263" s="255">
        <f t="shared" si="126"/>
        <v>0.892064372918979</v>
      </c>
      <c r="T263" s="255">
        <f t="shared" si="127"/>
        <v>0.64827887825926389</v>
      </c>
      <c r="U263" s="255">
        <f t="shared" si="128"/>
        <v>0.6040721636216555</v>
      </c>
      <c r="V263" s="255">
        <f t="shared" si="142"/>
        <v>0.84715826420644058</v>
      </c>
      <c r="W263" s="255">
        <f t="array" ref="W263">IFERROR(AVERAGE(IF(ISERROR(X263:AG263),"",X263:AG263)),"")</f>
        <v>2.0859920090643449</v>
      </c>
      <c r="X263" s="255">
        <f t="shared" si="143"/>
        <v>2.0859920090643449</v>
      </c>
      <c r="Y263" s="255" t="e">
        <f t="shared" si="144"/>
        <v>#N/A</v>
      </c>
      <c r="Z263" s="255" t="e">
        <f t="shared" si="145"/>
        <v>#N/A</v>
      </c>
      <c r="AA263" s="255" t="e">
        <f t="shared" si="146"/>
        <v>#N/A</v>
      </c>
      <c r="AB263" s="255" t="e">
        <f t="shared" si="147"/>
        <v>#N/A</v>
      </c>
      <c r="AC263" s="255" t="e">
        <f t="shared" si="148"/>
        <v>#N/A</v>
      </c>
      <c r="AD263" s="255" t="e">
        <f t="shared" si="149"/>
        <v>#N/A</v>
      </c>
      <c r="AE263" s="255" t="e">
        <f t="shared" si="150"/>
        <v>#N/A</v>
      </c>
      <c r="AF263" s="255" t="e">
        <f t="shared" si="151"/>
        <v>#N/A</v>
      </c>
      <c r="AG263" s="255" t="e">
        <f t="shared" si="152"/>
        <v>#N/A</v>
      </c>
      <c r="AI263" s="251">
        <f t="shared" si="125"/>
        <v>44617</v>
      </c>
      <c r="AJ263" s="718">
        <f>IF(OR($B263="No",AJ$6=""),"",IF(NOT(ISNUMBER(_xll.ciqfunctions.udf.CIQ(AJ$6,"IQ_TEV",$AI263,$I$2,$I$3))),"",_xll.ciqfunctions.udf.CIQ(AJ$6,"IQ_TEV",$AI263,$I$2,$I$3)))</f>
        <v>429502.5441</v>
      </c>
      <c r="AK263" s="718">
        <f>IF(OR($B263="No",AK$6=""),"",IF(NOT(ISNUMBER(_xll.ciqfunctions.udf.CIQ(AK$6,"IQ_TEV",$AI263,$I$2,$I$3))),"",_xll.ciqfunctions.udf.CIQ(AK$6,"IQ_TEV",$AI263,$I$2,$I$3)))</f>
        <v>226647.87718000001</v>
      </c>
      <c r="AL263" s="718" t="str">
        <f>IF(OR($B263="No",AL$6=""),"",IF(NOT(ISNUMBER(_xll.ciqfunctions.udf.CIQ(AL$6,"IQ_TEV",$AI263,$I$2,$I$3))),"",_xll.ciqfunctions.udf.CIQ(AL$6,"IQ_TEV",$AI263,$I$2,$I$3)))</f>
        <v/>
      </c>
      <c r="AM263" s="718" t="str">
        <f>IF(OR($B263="No",AM$6=""),"",IF(NOT(ISNUMBER(_xll.ciqfunctions.udf.CIQ(AM$6,"IQ_TEV",$AI263,$I$2,$I$3))),"",_xll.ciqfunctions.udf.CIQ(AM$6,"IQ_TEV",$AI263,$I$2,$I$3)))</f>
        <v/>
      </c>
      <c r="AN263" s="718" t="str">
        <f>IF(OR($B263="No",AN$6=""),"",IF(NOT(ISNUMBER(_xll.ciqfunctions.udf.CIQ(AN$6,"IQ_TEV",$AI263,$I$2,$I$3))),"",_xll.ciqfunctions.udf.CIQ(AN$6,"IQ_TEV",$AI263,$I$2,$I$3)))</f>
        <v/>
      </c>
      <c r="AO263" s="718" t="str">
        <f>IF(OR($B263="No",AO$6=""),"",IF(NOT(ISNUMBER(_xll.ciqfunctions.udf.CIQ(AO$6,"IQ_TEV",$AI263,$I$2,$I$3))),"",_xll.ciqfunctions.udf.CIQ(AO$6,"IQ_TEV",$AI263,$I$2,$I$3)))</f>
        <v/>
      </c>
      <c r="AP263" s="718" t="str">
        <f>IF(OR($B263="No",AP$6=""),"",IF(NOT(ISNUMBER(_xll.ciqfunctions.udf.CIQ(AP$6,"IQ_TEV",$AI263,$I$2,$I$3))),"",_xll.ciqfunctions.udf.CIQ(AP$6,"IQ_TEV",$AI263,$I$2,$I$3)))</f>
        <v/>
      </c>
      <c r="AQ263" s="718" t="str">
        <f>IF(OR($B263="No",AQ$6=""),"",IF(NOT(ISNUMBER(_xll.ciqfunctions.udf.CIQ(AQ$6,"IQ_TEV",$AI263,$I$2,$I$3))),"",_xll.ciqfunctions.udf.CIQ(AQ$6,"IQ_TEV",$AI263,$I$2,$I$3)))</f>
        <v/>
      </c>
      <c r="AR263" s="718" t="str">
        <f>IF(OR($B263="No",AR$6=""),"",IF(NOT(ISNUMBER(_xll.ciqfunctions.udf.CIQ(AR$6,"IQ_TEV",$AI263,$I$2,$I$3))),"",_xll.ciqfunctions.udf.CIQ(AR$6,"IQ_TEV",$AI263,$I$2,$I$3)))</f>
        <v/>
      </c>
      <c r="AS263" s="718" t="str">
        <f>IF(OR($B263="No",AS$6=""),"",IF(NOT(ISNUMBER(_xll.ciqfunctions.udf.CIQ(AS$6,"IQ_TEV",$AI263,$I$2,$I$3))),"",_xll.ciqfunctions.udf.CIQ(AS$6,"IQ_TEV",$AI263,$I$2,$I$3)))</f>
        <v/>
      </c>
      <c r="AT263" s="718" t="str">
        <f>IF(OR($B263="No",AT$6=""),"",IF(NOT(ISNUMBER(_xll.ciqfunctions.udf.CIQ(AT$6,"IQ_TEV",$AI263,$I$2,$I$3))),"",_xll.ciqfunctions.udf.CIQ(AT$6,"IQ_TEV",$AI263,$I$2,$I$3)))</f>
        <v/>
      </c>
      <c r="AV263" s="251">
        <f t="shared" si="129"/>
        <v>44617</v>
      </c>
      <c r="AW263" s="719">
        <f t="shared" si="130"/>
        <v>0.64524245557165161</v>
      </c>
      <c r="AX263" s="719">
        <f t="shared" si="131"/>
        <v>2.1054099792980869</v>
      </c>
      <c r="AY263" s="719" t="e">
        <f t="shared" si="132"/>
        <v>#N/A</v>
      </c>
      <c r="AZ263" s="719" t="e">
        <f t="shared" si="133"/>
        <v>#N/A</v>
      </c>
      <c r="BA263" s="719" t="e">
        <f t="shared" si="134"/>
        <v>#N/A</v>
      </c>
      <c r="BB263" s="719" t="e">
        <f t="shared" si="135"/>
        <v>#N/A</v>
      </c>
      <c r="BC263" s="719" t="e">
        <f t="shared" si="136"/>
        <v>#N/A</v>
      </c>
      <c r="BD263" s="719" t="e">
        <f t="shared" si="137"/>
        <v>#N/A</v>
      </c>
      <c r="BE263" s="719" t="e">
        <f t="shared" si="138"/>
        <v>#N/A</v>
      </c>
      <c r="BF263" s="719" t="e">
        <f t="shared" si="139"/>
        <v>#N/A</v>
      </c>
      <c r="BG263" s="719" t="e">
        <f t="shared" si="140"/>
        <v>#N/A</v>
      </c>
    </row>
    <row r="264" spans="1:59" ht="15" customHeight="1" x14ac:dyDescent="0.2">
      <c r="A264" s="251">
        <f>IF(WEEKDAY(A265-7)=7,A265-8,IF(WEEKDAY(A265-7)=1,A265-9,A265-7))</f>
        <v>44624</v>
      </c>
      <c r="B264" s="253" t="str">
        <f t="shared" si="141"/>
        <v>Yes</v>
      </c>
      <c r="C264" s="1033">
        <f>IF(C$6="","",IF(NOT(ISNUMBER(_xll.ciqfunctions.udf.CIQ(C$6,$F$2, $A264, $I$2, $I$3))),IF(C263=C$6,"",C263),_xll.ciqfunctions.udf.CIQ(C$6,$F$2, $A264, $I$2, $I$3)))</f>
        <v>142.82</v>
      </c>
      <c r="D264" s="1033">
        <f>IF(D$6="","",IF(NOT(ISNUMBER(_xll.ciqfunctions.udf.CIQ(D$6,$F$2, $A264, $I$2, $I$3))),IF(D263=D$6,"",D263),_xll.ciqfunctions.udf.CIQ(D$6,$F$2, $A264, $I$2, $I$3)))</f>
        <v>33614.797100000003</v>
      </c>
      <c r="E264" s="1033">
        <f>IF(E$6="","",IF(NOT(ISNUMBER(_xll.ciqfunctions.udf.CIQ(E$6,$F$2, $A264, $I$2, $I$3))),IF(E263=E$6,"",E263),_xll.ciqfunctions.udf.CIQ(E$6,$F$2, $A264, $I$2, $I$3)))</f>
        <v>11513.66649</v>
      </c>
      <c r="F264" s="1033">
        <f>IF(F$6="","",IF(NOT(ISNUMBER(_xll.ciqfunctions.udf.CIQ(F$6,$F$2, $A264, $I$2, $I$3))),IF(F263=F$6,"",F263),_xll.ciqfunctions.udf.CIQ(F$6,$F$2, $A264, $I$2, $I$3)))</f>
        <v>7918.0411400000003</v>
      </c>
      <c r="G264" s="1033">
        <f>IF(G$6="","",IF(NOT(ISNUMBER(_xll.ciqfunctions.udf.CIQ(G$6,$F$2, $A264, $I$2, $I$3))),IF(G263=G$6,"",G263),_xll.ciqfunctions.udf.CIQ(G$6,$F$2, $A264, $I$2, $I$3)))</f>
        <v>525.5</v>
      </c>
      <c r="H264" s="1033" t="str">
        <f>IF(H$6="","",IF(NOT(ISNUMBER(_xll.ciqfunctions.udf.CIQ(H$6,$F$2, $A264, $I$2, $I$3))),IF(H263=H$6,"",H263),_xll.ciqfunctions.udf.CIQ(H$6,$F$2, $A264, $I$2, $I$3)))</f>
        <v/>
      </c>
      <c r="I264" s="1033" t="str">
        <f>IF(I$6="","",IF(NOT(ISNUMBER(_xll.ciqfunctions.udf.CIQ(I$6,$F$2, $A264, $I$2, $I$3))),IF(I263=I$6,"",I263),_xll.ciqfunctions.udf.CIQ(I$6,$F$2, $A264, $I$2, $I$3)))</f>
        <v/>
      </c>
      <c r="J264" s="1033" t="str">
        <f>IF(J$6="","",IF(NOT(ISNUMBER(_xll.ciqfunctions.udf.CIQ(J$6,$F$2, $A264, $I$2, $I$3))),IF(J263=J$6,"",J263),_xll.ciqfunctions.udf.CIQ(J$6,$F$2, $A264, $I$2, $I$3)))</f>
        <v/>
      </c>
      <c r="K264" s="1033" t="str">
        <f>IF(K$6="","",IF(NOT(ISNUMBER(_xll.ciqfunctions.udf.CIQ(K$6,$F$2, $A264, $I$2, $I$3))),IF(K263=K$6,"",K263),_xll.ciqfunctions.udf.CIQ(K$6,$F$2, $A264, $I$2, $I$3)))</f>
        <v/>
      </c>
      <c r="L264" s="254" t="str">
        <f>IF(L$6="","",IF(NOT(ISNUMBER(_xll.ciqfunctions.udf.CIQ(L$6,$F$2, $A264, $I$2, $I$3))),IF(L263=L$6,"",L263),_xll.ciqfunctions.udf.CIQ(L$6,$F$2, $A264, $I$2, $I$3)))</f>
        <v/>
      </c>
      <c r="M264" s="254" t="str">
        <f>IF(M$6="","",IF(NOT(ISNUMBER(_xll.ciqfunctions.udf.CIQ(M$6,$F$2, $A264, $I$2, $I$3))),IF(M263=M$6,"",M263),_xll.ciqfunctions.udf.CIQ(M$6,$F$2, $A264, $I$2, $I$3)))</f>
        <v/>
      </c>
      <c r="N264" s="254" t="str">
        <f>IF(N$6="","",IF(NOT(ISNUMBER(_xll.ciqfunctions.udf.CIQ(N$6,$F$2, $A264, $I$2, $I$3))),IF(N263=N$6,"",N263),_xll.ciqfunctions.udf.CIQ(N$6,$F$2, $A264, $I$2, $I$3)))</f>
        <v/>
      </c>
      <c r="O264" s="254" t="str">
        <f>IF(O$6="","",IF(NOT(ISNUMBER(_xll.ciqfunctions.udf.CIQ(O$6,$F$2, $A264, $I$2, $I$3))),IF(O263=O$6,"",O263),_xll.ciqfunctions.udf.CIQ(O$6,$F$2, $A264, $I$2, $I$3)))</f>
        <v/>
      </c>
      <c r="P264" s="254" t="str">
        <f>IF(P$6="","",IF(NOT(ISNUMBER(_xll.ciqfunctions.udf.CIQ(P$6,$F$2, $A264, $I$2, $I$3))),IF(P263=P$6,"",P263),_xll.ciqfunctions.udf.CIQ(P$6,$F$2, $A264, $I$2, $I$3)))</f>
        <v/>
      </c>
      <c r="Q264" s="254"/>
      <c r="R264" s="251">
        <f t="shared" si="124"/>
        <v>44624</v>
      </c>
      <c r="S264" s="255">
        <f t="shared" ref="S264:S267" si="153">IFERROR(IF(C264="",NA(),IF(OR($B264="No",C264=""),NA(),IF(AND(ISNA(S263),C264=S$3),0,IF($A$2="Yes",C264/C263-1,C264/S$3-1)))),"")</f>
        <v>0.9814095449500555</v>
      </c>
      <c r="T264" s="255">
        <f t="shared" ref="T264:T267" si="154">IFERROR(IF(D264="",NA(),IF(OR($B264="No",D264=""),NA(),IF(AND(ISNA(T263),D264=T$3),0,IF($A$2="Yes",D264/D263-1,D264/T$3-1)))),"")</f>
        <v>0.62679366408520654</v>
      </c>
      <c r="U264" s="255">
        <f t="shared" ref="U264:U267" si="155">IFERROR(IF(E264="",NA(),IF(OR($B264="No",E264=""),NA(),IF(AND(ISNA(U263),E264=U$3),0,IF($A$2="Yes",E264/E263-1,E264/U$3-1)))),"")</f>
        <v>0.6089930804459851</v>
      </c>
      <c r="V264" s="255">
        <f t="shared" si="142"/>
        <v>0.8037628397695018</v>
      </c>
      <c r="W264" s="255">
        <f t="array" ref="W264">IFERROR(AVERAGE(IF(ISERROR(X264:AG264),"",X264:AG264)),"")</f>
        <v>2.1337587214502953</v>
      </c>
      <c r="X264" s="255">
        <f t="shared" si="143"/>
        <v>2.1337587214502953</v>
      </c>
      <c r="Y264" s="255" t="e">
        <f t="shared" si="144"/>
        <v>#N/A</v>
      </c>
      <c r="Z264" s="255" t="e">
        <f t="shared" si="145"/>
        <v>#N/A</v>
      </c>
      <c r="AA264" s="255" t="e">
        <f t="shared" si="146"/>
        <v>#N/A</v>
      </c>
      <c r="AB264" s="255" t="e">
        <f t="shared" si="147"/>
        <v>#N/A</v>
      </c>
      <c r="AC264" s="255" t="e">
        <f t="shared" si="148"/>
        <v>#N/A</v>
      </c>
      <c r="AD264" s="255" t="e">
        <f t="shared" si="149"/>
        <v>#N/A</v>
      </c>
      <c r="AE264" s="255" t="e">
        <f t="shared" si="150"/>
        <v>#N/A</v>
      </c>
      <c r="AF264" s="255" t="e">
        <f t="shared" si="151"/>
        <v>#N/A</v>
      </c>
      <c r="AG264" s="255" t="e">
        <f t="shared" si="152"/>
        <v>#N/A</v>
      </c>
      <c r="AI264" s="251">
        <f t="shared" si="125"/>
        <v>44624</v>
      </c>
      <c r="AJ264" s="718">
        <f>IF(OR($B264="No",AJ$6=""),"",IF(NOT(ISNUMBER(_xll.ciqfunctions.udf.CIQ(AJ$6,"IQ_TEV",$AI264,$I$2,$I$3))),"",_xll.ciqfunctions.udf.CIQ(AJ$6,"IQ_TEV",$AI264,$I$2,$I$3)))</f>
        <v>447366.32137000002</v>
      </c>
      <c r="AK264" s="718">
        <f>IF(OR($B264="No",AK$6=""),"",IF(NOT(ISNUMBER(_xll.ciqfunctions.udf.CIQ(AK$6,"IQ_TEV",$AI264,$I$2,$I$3))),"",_xll.ciqfunctions.udf.CIQ(AK$6,"IQ_TEV",$AI264,$I$2,$I$3)))</f>
        <v>230451.1145</v>
      </c>
      <c r="AL264" s="718" t="str">
        <f>IF(OR($B264="No",AL$6=""),"",IF(NOT(ISNUMBER(_xll.ciqfunctions.udf.CIQ(AL$6,"IQ_TEV",$AI264,$I$2,$I$3))),"",_xll.ciqfunctions.udf.CIQ(AL$6,"IQ_TEV",$AI264,$I$2,$I$3)))</f>
        <v/>
      </c>
      <c r="AM264" s="718" t="str">
        <f>IF(OR($B264="No",AM$6=""),"",IF(NOT(ISNUMBER(_xll.ciqfunctions.udf.CIQ(AM$6,"IQ_TEV",$AI264,$I$2,$I$3))),"",_xll.ciqfunctions.udf.CIQ(AM$6,"IQ_TEV",$AI264,$I$2,$I$3)))</f>
        <v/>
      </c>
      <c r="AN264" s="718" t="str">
        <f>IF(OR($B264="No",AN$6=""),"",IF(NOT(ISNUMBER(_xll.ciqfunctions.udf.CIQ(AN$6,"IQ_TEV",$AI264,$I$2,$I$3))),"",_xll.ciqfunctions.udf.CIQ(AN$6,"IQ_TEV",$AI264,$I$2,$I$3)))</f>
        <v/>
      </c>
      <c r="AO264" s="718" t="str">
        <f>IF(OR($B264="No",AO$6=""),"",IF(NOT(ISNUMBER(_xll.ciqfunctions.udf.CIQ(AO$6,"IQ_TEV",$AI264,$I$2,$I$3))),"",_xll.ciqfunctions.udf.CIQ(AO$6,"IQ_TEV",$AI264,$I$2,$I$3)))</f>
        <v/>
      </c>
      <c r="AP264" s="718" t="str">
        <f>IF(OR($B264="No",AP$6=""),"",IF(NOT(ISNUMBER(_xll.ciqfunctions.udf.CIQ(AP$6,"IQ_TEV",$AI264,$I$2,$I$3))),"",_xll.ciqfunctions.udf.CIQ(AP$6,"IQ_TEV",$AI264,$I$2,$I$3)))</f>
        <v/>
      </c>
      <c r="AQ264" s="718" t="str">
        <f>IF(OR($B264="No",AQ$6=""),"",IF(NOT(ISNUMBER(_xll.ciqfunctions.udf.CIQ(AQ$6,"IQ_TEV",$AI264,$I$2,$I$3))),"",_xll.ciqfunctions.udf.CIQ(AQ$6,"IQ_TEV",$AI264,$I$2,$I$3)))</f>
        <v/>
      </c>
      <c r="AR264" s="718" t="str">
        <f>IF(OR($B264="No",AR$6=""),"",IF(NOT(ISNUMBER(_xll.ciqfunctions.udf.CIQ(AR$6,"IQ_TEV",$AI264,$I$2,$I$3))),"",_xll.ciqfunctions.udf.CIQ(AR$6,"IQ_TEV",$AI264,$I$2,$I$3)))</f>
        <v/>
      </c>
      <c r="AS264" s="718" t="str">
        <f>IF(OR($B264="No",AS$6=""),"",IF(NOT(ISNUMBER(_xll.ciqfunctions.udf.CIQ(AS$6,"IQ_TEV",$AI264,$I$2,$I$3))),"",_xll.ciqfunctions.udf.CIQ(AS$6,"IQ_TEV",$AI264,$I$2,$I$3)))</f>
        <v/>
      </c>
      <c r="AT264" s="718" t="str">
        <f>IF(OR($B264="No",AT$6=""),"",IF(NOT(ISNUMBER(_xll.ciqfunctions.udf.CIQ(AT$6,"IQ_TEV",$AI264,$I$2,$I$3))),"",_xll.ciqfunctions.udf.CIQ(AT$6,"IQ_TEV",$AI264,$I$2,$I$3)))</f>
        <v/>
      </c>
      <c r="AV264" s="251">
        <f t="shared" ref="AV264:AV267" si="156">AI264</f>
        <v>44624</v>
      </c>
      <c r="AW264" s="719">
        <f t="shared" si="130"/>
        <v>0.71367102528610027</v>
      </c>
      <c r="AX264" s="719">
        <f t="shared" si="131"/>
        <v>2.1575199362679776</v>
      </c>
      <c r="AY264" s="719" t="e">
        <f t="shared" si="132"/>
        <v>#N/A</v>
      </c>
      <c r="AZ264" s="719" t="e">
        <f t="shared" si="133"/>
        <v>#N/A</v>
      </c>
      <c r="BA264" s="719" t="e">
        <f t="shared" si="134"/>
        <v>#N/A</v>
      </c>
      <c r="BB264" s="719" t="e">
        <f t="shared" si="135"/>
        <v>#N/A</v>
      </c>
      <c r="BC264" s="719" t="e">
        <f t="shared" si="136"/>
        <v>#N/A</v>
      </c>
      <c r="BD264" s="719" t="e">
        <f t="shared" si="137"/>
        <v>#N/A</v>
      </c>
      <c r="BE264" s="719" t="e">
        <f t="shared" si="138"/>
        <v>#N/A</v>
      </c>
      <c r="BF264" s="719" t="e">
        <f t="shared" si="139"/>
        <v>#N/A</v>
      </c>
      <c r="BG264" s="719" t="e">
        <f t="shared" si="140"/>
        <v>#N/A</v>
      </c>
    </row>
    <row r="265" spans="1:59" ht="15" customHeight="1" x14ac:dyDescent="0.2">
      <c r="A265" s="251">
        <f>IF(WEEKDAY(A266-7)=7,A266-8,IF(WEEKDAY(A266-7)=1,A266-9,A266-7))</f>
        <v>44631</v>
      </c>
      <c r="B265" s="253" t="str">
        <f t="shared" ref="B265:B267" si="157">IF(AND(B264="No",COUNT(C265:F265)=0),"No","Yes")</f>
        <v>Yes</v>
      </c>
      <c r="C265" s="1033">
        <f>IF(C$6="","",IF(NOT(ISNUMBER(_xll.ciqfunctions.udf.CIQ(C$6,$F$2, $A265, $I$2, $I$3))),IF(C264=C$6,"",C264),_xll.ciqfunctions.udf.CIQ(C$6,$F$2, $A265, $I$2, $I$3)))</f>
        <v>142.07</v>
      </c>
      <c r="D265" s="1033">
        <f>IF(D$6="","",IF(NOT(ISNUMBER(_xll.ciqfunctions.udf.CIQ(D$6,$F$2, $A265, $I$2, $I$3))),IF(D264=D$6,"",D264),_xll.ciqfunctions.udf.CIQ(D$6,$F$2, $A265, $I$2, $I$3)))</f>
        <v>32944.187080000003</v>
      </c>
      <c r="E265" s="1033">
        <f>IF(E$6="","",IF(NOT(ISNUMBER(_xll.ciqfunctions.udf.CIQ(E$6,$F$2, $A265, $I$2, $I$3))),IF(E264=E$6,"",E264),_xll.ciqfunctions.udf.CIQ(E$6,$F$2, $A265, $I$2, $I$3)))</f>
        <v>11331.7273</v>
      </c>
      <c r="F265" s="1033">
        <f>IF(F$6="","",IF(NOT(ISNUMBER(_xll.ciqfunctions.udf.CIQ(F$6,$F$2, $A265, $I$2, $I$3))),IF(F264=F$6,"",F264),_xll.ciqfunctions.udf.CIQ(F$6,$F$2, $A265, $I$2, $I$3)))</f>
        <v>7680.6620700000003</v>
      </c>
      <c r="G265" s="1033">
        <f>IF(G$6="","",IF(NOT(ISNUMBER(_xll.ciqfunctions.udf.CIQ(G$6,$F$2, $A265, $I$2, $I$3))),IF(G264=G$6,"",G264),_xll.ciqfunctions.udf.CIQ(G$6,$F$2, $A265, $I$2, $I$3)))</f>
        <v>527.41999999999996</v>
      </c>
      <c r="H265" s="1033" t="str">
        <f>IF(H$6="","",IF(NOT(ISNUMBER(_xll.ciqfunctions.udf.CIQ(H$6,$F$2, $A265, $I$2, $I$3))),IF(H264=H$6,"",H264),_xll.ciqfunctions.udf.CIQ(H$6,$F$2, $A265, $I$2, $I$3)))</f>
        <v/>
      </c>
      <c r="I265" s="1033" t="str">
        <f>IF(I$6="","",IF(NOT(ISNUMBER(_xll.ciqfunctions.udf.CIQ(I$6,$F$2, $A265, $I$2, $I$3))),IF(I264=I$6,"",I264),_xll.ciqfunctions.udf.CIQ(I$6,$F$2, $A265, $I$2, $I$3)))</f>
        <v/>
      </c>
      <c r="J265" s="1033" t="str">
        <f>IF(J$6="","",IF(NOT(ISNUMBER(_xll.ciqfunctions.udf.CIQ(J$6,$F$2, $A265, $I$2, $I$3))),IF(J264=J$6,"",J264),_xll.ciqfunctions.udf.CIQ(J$6,$F$2, $A265, $I$2, $I$3)))</f>
        <v/>
      </c>
      <c r="K265" s="1033" t="str">
        <f>IF(K$6="","",IF(NOT(ISNUMBER(_xll.ciqfunctions.udf.CIQ(K$6,$F$2, $A265, $I$2, $I$3))),IF(K264=K$6,"",K264),_xll.ciqfunctions.udf.CIQ(K$6,$F$2, $A265, $I$2, $I$3)))</f>
        <v/>
      </c>
      <c r="L265" s="254" t="str">
        <f>IF(L$6="","",IF(NOT(ISNUMBER(_xll.ciqfunctions.udf.CIQ(L$6,$F$2, $A265, $I$2, $I$3))),IF(L264=L$6,"",L264),_xll.ciqfunctions.udf.CIQ(L$6,$F$2, $A265, $I$2, $I$3)))</f>
        <v/>
      </c>
      <c r="M265" s="254" t="str">
        <f>IF(M$6="","",IF(NOT(ISNUMBER(_xll.ciqfunctions.udf.CIQ(M$6,$F$2, $A265, $I$2, $I$3))),IF(M264=M$6,"",M264),_xll.ciqfunctions.udf.CIQ(M$6,$F$2, $A265, $I$2, $I$3)))</f>
        <v/>
      </c>
      <c r="N265" s="254" t="str">
        <f>IF(N$6="","",IF(NOT(ISNUMBER(_xll.ciqfunctions.udf.CIQ(N$6,$F$2, $A265, $I$2, $I$3))),IF(N264=N$6,"",N264),_xll.ciqfunctions.udf.CIQ(N$6,$F$2, $A265, $I$2, $I$3)))</f>
        <v/>
      </c>
      <c r="O265" s="254" t="str">
        <f>IF(O$6="","",IF(NOT(ISNUMBER(_xll.ciqfunctions.udf.CIQ(O$6,$F$2, $A265, $I$2, $I$3))),IF(O264=O$6,"",O264),_xll.ciqfunctions.udf.CIQ(O$6,$F$2, $A265, $I$2, $I$3)))</f>
        <v/>
      </c>
      <c r="P265" s="254" t="str">
        <f>IF(P$6="","",IF(NOT(ISNUMBER(_xll.ciqfunctions.udf.CIQ(P$6,$F$2, $A265, $I$2, $I$3))),IF(P264=P$6,"",P264),_xll.ciqfunctions.udf.CIQ(P$6,$F$2, $A265, $I$2, $I$3)))</f>
        <v/>
      </c>
      <c r="Q265" s="254"/>
      <c r="R265" s="251">
        <f t="shared" si="124"/>
        <v>44631</v>
      </c>
      <c r="S265" s="255">
        <f t="shared" si="153"/>
        <v>0.97100443951165372</v>
      </c>
      <c r="T265" s="255">
        <f t="shared" si="154"/>
        <v>0.59433938127747066</v>
      </c>
      <c r="U265" s="255">
        <f t="shared" si="155"/>
        <v>0.58356773935014905</v>
      </c>
      <c r="V265" s="255">
        <f t="shared" ref="V265:V267" si="158">IFERROR(IF(F265="",NA(),IF(OR($B265="No",F265=""),NA(),IF(AND(ISNA(V264),F265=V$3),0,IF($A$2="Yes",F265/F264-1,F265/V$3-1)))),"")</f>
        <v>0.74968689625842222</v>
      </c>
      <c r="W265" s="255">
        <f t="array" ref="W265">IFERROR(AVERAGE(IF(ISERROR(X265:AG265),"",X265:AG265)),"")</f>
        <v>2.1452084202993618</v>
      </c>
      <c r="X265" s="255">
        <f t="shared" ref="X265:X267" si="159">IF(G265="",NA(),IF(OR($B265="No",G265=""),NA(),IF(AND(ISNA(X264),G265=X$3),0,IF($A$2="Yes",G265/G264-1,G265/X$3-1))))</f>
        <v>2.1452084202993618</v>
      </c>
      <c r="Y265" s="255" t="e">
        <f t="shared" si="144"/>
        <v>#N/A</v>
      </c>
      <c r="Z265" s="255" t="e">
        <f t="shared" si="145"/>
        <v>#N/A</v>
      </c>
      <c r="AA265" s="255" t="e">
        <f t="shared" si="146"/>
        <v>#N/A</v>
      </c>
      <c r="AB265" s="255" t="e">
        <f t="shared" si="147"/>
        <v>#N/A</v>
      </c>
      <c r="AC265" s="255" t="e">
        <f t="shared" si="148"/>
        <v>#N/A</v>
      </c>
      <c r="AD265" s="255" t="e">
        <f t="shared" si="149"/>
        <v>#N/A</v>
      </c>
      <c r="AE265" s="255" t="e">
        <f t="shared" si="150"/>
        <v>#N/A</v>
      </c>
      <c r="AF265" s="255" t="e">
        <f t="shared" si="151"/>
        <v>#N/A</v>
      </c>
      <c r="AG265" s="255" t="e">
        <f t="shared" si="152"/>
        <v>#N/A</v>
      </c>
      <c r="AI265" s="251">
        <f t="shared" si="125"/>
        <v>44631</v>
      </c>
      <c r="AJ265" s="718">
        <f>IF(OR($B265="No",AJ$6=""),"",IF(NOT(ISNUMBER(_xll.ciqfunctions.udf.CIQ(AJ$6,"IQ_TEV",$AI265,$I$2,$I$3))),"",_xll.ciqfunctions.udf.CIQ(AJ$6,"IQ_TEV",$AI265,$I$2,$I$3)))</f>
        <v>445285.91252999997</v>
      </c>
      <c r="AK265" s="718">
        <f>IF(OR($B265="No",AK$6=""),"",IF(NOT(ISNUMBER(_xll.ciqfunctions.udf.CIQ(AK$6,"IQ_TEV",$AI265,$I$2,$I$3))),"",_xll.ciqfunctions.udf.CIQ(AK$6,"IQ_TEV",$AI265,$I$2,$I$3)))</f>
        <v>231273.35503000001</v>
      </c>
      <c r="AL265" s="718" t="str">
        <f>IF(OR($B265="No",AL$6=""),"",IF(NOT(ISNUMBER(_xll.ciqfunctions.udf.CIQ(AL$6,"IQ_TEV",$AI265,$I$2,$I$3))),"",_xll.ciqfunctions.udf.CIQ(AL$6,"IQ_TEV",$AI265,$I$2,$I$3)))</f>
        <v/>
      </c>
      <c r="AM265" s="718" t="str">
        <f>IF(OR($B265="No",AM$6=""),"",IF(NOT(ISNUMBER(_xll.ciqfunctions.udf.CIQ(AM$6,"IQ_TEV",$AI265,$I$2,$I$3))),"",_xll.ciqfunctions.udf.CIQ(AM$6,"IQ_TEV",$AI265,$I$2,$I$3)))</f>
        <v/>
      </c>
      <c r="AN265" s="718" t="str">
        <f>IF(OR($B265="No",AN$6=""),"",IF(NOT(ISNUMBER(_xll.ciqfunctions.udf.CIQ(AN$6,"IQ_TEV",$AI265,$I$2,$I$3))),"",_xll.ciqfunctions.udf.CIQ(AN$6,"IQ_TEV",$AI265,$I$2,$I$3)))</f>
        <v/>
      </c>
      <c r="AO265" s="718" t="str">
        <f>IF(OR($B265="No",AO$6=""),"",IF(NOT(ISNUMBER(_xll.ciqfunctions.udf.CIQ(AO$6,"IQ_TEV",$AI265,$I$2,$I$3))),"",_xll.ciqfunctions.udf.CIQ(AO$6,"IQ_TEV",$AI265,$I$2,$I$3)))</f>
        <v/>
      </c>
      <c r="AP265" s="718" t="str">
        <f>IF(OR($B265="No",AP$6=""),"",IF(NOT(ISNUMBER(_xll.ciqfunctions.udf.CIQ(AP$6,"IQ_TEV",$AI265,$I$2,$I$3))),"",_xll.ciqfunctions.udf.CIQ(AP$6,"IQ_TEV",$AI265,$I$2,$I$3)))</f>
        <v/>
      </c>
      <c r="AQ265" s="718" t="str">
        <f>IF(OR($B265="No",AQ$6=""),"",IF(NOT(ISNUMBER(_xll.ciqfunctions.udf.CIQ(AQ$6,"IQ_TEV",$AI265,$I$2,$I$3))),"",_xll.ciqfunctions.udf.CIQ(AQ$6,"IQ_TEV",$AI265,$I$2,$I$3)))</f>
        <v/>
      </c>
      <c r="AR265" s="718" t="str">
        <f>IF(OR($B265="No",AR$6=""),"",IF(NOT(ISNUMBER(_xll.ciqfunctions.udf.CIQ(AR$6,"IQ_TEV",$AI265,$I$2,$I$3))),"",_xll.ciqfunctions.udf.CIQ(AR$6,"IQ_TEV",$AI265,$I$2,$I$3)))</f>
        <v/>
      </c>
      <c r="AS265" s="718" t="str">
        <f>IF(OR($B265="No",AS$6=""),"",IF(NOT(ISNUMBER(_xll.ciqfunctions.udf.CIQ(AS$6,"IQ_TEV",$AI265,$I$2,$I$3))),"",_xll.ciqfunctions.udf.CIQ(AS$6,"IQ_TEV",$AI265,$I$2,$I$3)))</f>
        <v/>
      </c>
      <c r="AT265" s="718" t="str">
        <f>IF(OR($B265="No",AT$6=""),"",IF(NOT(ISNUMBER(_xll.ciqfunctions.udf.CIQ(AT$6,"IQ_TEV",$AI265,$I$2,$I$3))),"",_xll.ciqfunctions.udf.CIQ(AT$6,"IQ_TEV",$AI265,$I$2,$I$3)))</f>
        <v/>
      </c>
      <c r="AV265" s="251">
        <f t="shared" si="156"/>
        <v>44631</v>
      </c>
      <c r="AW265" s="719">
        <f t="shared" si="130"/>
        <v>0.70570185957210674</v>
      </c>
      <c r="AX265" s="719">
        <f t="shared" si="131"/>
        <v>2.1687858434497049</v>
      </c>
      <c r="AY265" s="719" t="e">
        <f t="shared" si="132"/>
        <v>#N/A</v>
      </c>
      <c r="AZ265" s="719" t="e">
        <f t="shared" si="133"/>
        <v>#N/A</v>
      </c>
      <c r="BA265" s="719" t="e">
        <f t="shared" si="134"/>
        <v>#N/A</v>
      </c>
      <c r="BB265" s="719" t="e">
        <f t="shared" si="135"/>
        <v>#N/A</v>
      </c>
      <c r="BC265" s="719" t="e">
        <f t="shared" si="136"/>
        <v>#N/A</v>
      </c>
      <c r="BD265" s="719" t="e">
        <f t="shared" si="137"/>
        <v>#N/A</v>
      </c>
      <c r="BE265" s="719" t="e">
        <f t="shared" si="138"/>
        <v>#N/A</v>
      </c>
      <c r="BF265" s="719" t="e">
        <f t="shared" si="139"/>
        <v>#N/A</v>
      </c>
      <c r="BG265" s="719" t="e">
        <f t="shared" si="140"/>
        <v>#N/A</v>
      </c>
    </row>
    <row r="266" spans="1:59" ht="15" customHeight="1" x14ac:dyDescent="0.2">
      <c r="A266" s="251">
        <f>IF(WEEKDAY(A267-7)=7,A267-8,IF(WEEKDAY(A267-7)=1,A267-9,A267-7))</f>
        <v>44638</v>
      </c>
      <c r="B266" s="253" t="str">
        <f t="shared" si="157"/>
        <v>Yes</v>
      </c>
      <c r="C266" s="1033">
        <f>IF(C$6="","",IF(NOT(ISNUMBER(_xll.ciqfunctions.udf.CIQ(C$6,$F$2, $A266, $I$2, $I$3))),IF(C265=C$6,"",C265),_xll.ciqfunctions.udf.CIQ(C$6,$F$2, $A266, $I$2, $I$3)))</f>
        <v>145.44</v>
      </c>
      <c r="D266" s="1033">
        <f>IF(D$6="","",IF(NOT(ISNUMBER(_xll.ciqfunctions.udf.CIQ(D$6,$F$2, $A266, $I$2, $I$3))),IF(D265=D$6,"",D265),_xll.ciqfunctions.udf.CIQ(D$6,$F$2, $A266, $I$2, $I$3)))</f>
        <v>34754.933010000001</v>
      </c>
      <c r="E266" s="1033">
        <f>IF(E$6="","",IF(NOT(ISNUMBER(_xll.ciqfunctions.udf.CIQ(E$6,$F$2, $A266, $I$2, $I$3))),IF(E265=E$6,"",E265),_xll.ciqfunctions.udf.CIQ(E$6,$F$2, $A266, $I$2, $I$3)))</f>
        <v>11963.153399999999</v>
      </c>
      <c r="F266" s="1033">
        <f>IF(F$6="","",IF(NOT(ISNUMBER(_xll.ciqfunctions.udf.CIQ(F$6,$F$2, $A266, $I$2, $I$3))),IF(F265=F$6,"",F265),_xll.ciqfunctions.udf.CIQ(F$6,$F$2, $A266, $I$2, $I$3)))</f>
        <v>8346.8909399999993</v>
      </c>
      <c r="G266" s="1033">
        <f>IF(G$6="","",IF(NOT(ISNUMBER(_xll.ciqfunctions.udf.CIQ(G$6,$F$2, $A266, $I$2, $I$3))),IF(G265=G$6,"",G265),_xll.ciqfunctions.udf.CIQ(G$6,$F$2, $A266, $I$2, $I$3)))</f>
        <v>561.35</v>
      </c>
      <c r="H266" s="1033" t="str">
        <f>IF(H$6="","",IF(NOT(ISNUMBER(_xll.ciqfunctions.udf.CIQ(H$6,$F$2, $A266, $I$2, $I$3))),IF(H265=H$6,"",H265),_xll.ciqfunctions.udf.CIQ(H$6,$F$2, $A266, $I$2, $I$3)))</f>
        <v/>
      </c>
      <c r="I266" s="1033" t="str">
        <f>IF(I$6="","",IF(NOT(ISNUMBER(_xll.ciqfunctions.udf.CIQ(I$6,$F$2, $A266, $I$2, $I$3))),IF(I265=I$6,"",I265),_xll.ciqfunctions.udf.CIQ(I$6,$F$2, $A266, $I$2, $I$3)))</f>
        <v/>
      </c>
      <c r="J266" s="1033" t="str">
        <f>IF(J$6="","",IF(NOT(ISNUMBER(_xll.ciqfunctions.udf.CIQ(J$6,$F$2, $A266, $I$2, $I$3))),IF(J265=J$6,"",J265),_xll.ciqfunctions.udf.CIQ(J$6,$F$2, $A266, $I$2, $I$3)))</f>
        <v/>
      </c>
      <c r="K266" s="1033" t="str">
        <f>IF(K$6="","",IF(NOT(ISNUMBER(_xll.ciqfunctions.udf.CIQ(K$6,$F$2, $A266, $I$2, $I$3))),IF(K265=K$6,"",K265),_xll.ciqfunctions.udf.CIQ(K$6,$F$2, $A266, $I$2, $I$3)))</f>
        <v/>
      </c>
      <c r="L266" s="254" t="str">
        <f>IF(L$6="","",IF(NOT(ISNUMBER(_xll.ciqfunctions.udf.CIQ(L$6,$F$2, $A266, $I$2, $I$3))),IF(L265=L$6,"",L265),_xll.ciqfunctions.udf.CIQ(L$6,$F$2, $A266, $I$2, $I$3)))</f>
        <v/>
      </c>
      <c r="M266" s="254" t="str">
        <f>IF(M$6="","",IF(NOT(ISNUMBER(_xll.ciqfunctions.udf.CIQ(M$6,$F$2, $A266, $I$2, $I$3))),IF(M265=M$6,"",M265),_xll.ciqfunctions.udf.CIQ(M$6,$F$2, $A266, $I$2, $I$3)))</f>
        <v/>
      </c>
      <c r="N266" s="254" t="str">
        <f>IF(N$6="","",IF(NOT(ISNUMBER(_xll.ciqfunctions.udf.CIQ(N$6,$F$2, $A266, $I$2, $I$3))),IF(N265=N$6,"",N265),_xll.ciqfunctions.udf.CIQ(N$6,$F$2, $A266, $I$2, $I$3)))</f>
        <v/>
      </c>
      <c r="O266" s="254" t="str">
        <f>IF(O$6="","",IF(NOT(ISNUMBER(_xll.ciqfunctions.udf.CIQ(O$6,$F$2, $A266, $I$2, $I$3))),IF(O265=O$6,"",O265),_xll.ciqfunctions.udf.CIQ(O$6,$F$2, $A266, $I$2, $I$3)))</f>
        <v/>
      </c>
      <c r="P266" s="254" t="str">
        <f>IF(P$6="","",IF(NOT(ISNUMBER(_xll.ciqfunctions.udf.CIQ(P$6,$F$2, $A266, $I$2, $I$3))),IF(P265=P$6,"",P265),_xll.ciqfunctions.udf.CIQ(P$6,$F$2, $A266, $I$2, $I$3)))</f>
        <v/>
      </c>
      <c r="Q266" s="254"/>
      <c r="R266" s="251">
        <f t="shared" si="124"/>
        <v>44638</v>
      </c>
      <c r="S266" s="255">
        <f t="shared" si="153"/>
        <v>1.0177580466148726</v>
      </c>
      <c r="T266" s="255">
        <f t="shared" si="154"/>
        <v>0.68197072997872676</v>
      </c>
      <c r="U266" s="255">
        <f t="shared" si="155"/>
        <v>0.67180724382037038</v>
      </c>
      <c r="V266" s="255">
        <f t="shared" si="158"/>
        <v>0.90145661521287868</v>
      </c>
      <c r="W266" s="255">
        <f t="array" ref="W266">IFERROR(AVERAGE(IF(ISERROR(X266:AG266),"",X266:AG266)),"")</f>
        <v>2.3475460671477131</v>
      </c>
      <c r="X266" s="255">
        <f t="shared" si="159"/>
        <v>2.3475460671477131</v>
      </c>
      <c r="Y266" s="255" t="e">
        <f t="shared" si="144"/>
        <v>#N/A</v>
      </c>
      <c r="Z266" s="255" t="e">
        <f t="shared" si="145"/>
        <v>#N/A</v>
      </c>
      <c r="AA266" s="255" t="e">
        <f t="shared" si="146"/>
        <v>#N/A</v>
      </c>
      <c r="AB266" s="255" t="e">
        <f t="shared" si="147"/>
        <v>#N/A</v>
      </c>
      <c r="AC266" s="255" t="e">
        <f t="shared" si="148"/>
        <v>#N/A</v>
      </c>
      <c r="AD266" s="255" t="e">
        <f t="shared" si="149"/>
        <v>#N/A</v>
      </c>
      <c r="AE266" s="255" t="e">
        <f t="shared" si="150"/>
        <v>#N/A</v>
      </c>
      <c r="AF266" s="255" t="e">
        <f t="shared" si="151"/>
        <v>#N/A</v>
      </c>
      <c r="AG266" s="255" t="e">
        <f t="shared" si="152"/>
        <v>#N/A</v>
      </c>
      <c r="AI266" s="251">
        <f t="shared" si="125"/>
        <v>44638</v>
      </c>
      <c r="AJ266" s="718">
        <f>IF(OR($B266="No",AJ$6=""),"",IF(NOT(ISNUMBER(_xll.ciqfunctions.udf.CIQ(AJ$6,"IQ_TEV",$AI266,$I$2,$I$3))),"",_xll.ciqfunctions.udf.CIQ(AJ$6,"IQ_TEV",$AI266,$I$2,$I$3)))</f>
        <v>452514.82923999999</v>
      </c>
      <c r="AK266" s="718">
        <f>IF(OR($B266="No",AK$6=""),"",IF(NOT(ISNUMBER(_xll.ciqfunctions.udf.CIQ(AK$6,"IQ_TEV",$AI266,$I$2,$I$3))),"",_xll.ciqfunctions.udf.CIQ(AK$6,"IQ_TEV",$AI266,$I$2,$I$3)))</f>
        <v>246311.95519000001</v>
      </c>
      <c r="AL266" s="718" t="str">
        <f>IF(OR($B266="No",AL$6=""),"",IF(NOT(ISNUMBER(_xll.ciqfunctions.udf.CIQ(AL$6,"IQ_TEV",$AI266,$I$2,$I$3))),"",_xll.ciqfunctions.udf.CIQ(AL$6,"IQ_TEV",$AI266,$I$2,$I$3)))</f>
        <v/>
      </c>
      <c r="AM266" s="718" t="str">
        <f>IF(OR($B266="No",AM$6=""),"",IF(NOT(ISNUMBER(_xll.ciqfunctions.udf.CIQ(AM$6,"IQ_TEV",$AI266,$I$2,$I$3))),"",_xll.ciqfunctions.udf.CIQ(AM$6,"IQ_TEV",$AI266,$I$2,$I$3)))</f>
        <v/>
      </c>
      <c r="AN266" s="718" t="str">
        <f>IF(OR($B266="No",AN$6=""),"",IF(NOT(ISNUMBER(_xll.ciqfunctions.udf.CIQ(AN$6,"IQ_TEV",$AI266,$I$2,$I$3))),"",_xll.ciqfunctions.udf.CIQ(AN$6,"IQ_TEV",$AI266,$I$2,$I$3)))</f>
        <v/>
      </c>
      <c r="AO266" s="718" t="str">
        <f>IF(OR($B266="No",AO$6=""),"",IF(NOT(ISNUMBER(_xll.ciqfunctions.udf.CIQ(AO$6,"IQ_TEV",$AI266,$I$2,$I$3))),"",_xll.ciqfunctions.udf.CIQ(AO$6,"IQ_TEV",$AI266,$I$2,$I$3)))</f>
        <v/>
      </c>
      <c r="AP266" s="718" t="str">
        <f>IF(OR($B266="No",AP$6=""),"",IF(NOT(ISNUMBER(_xll.ciqfunctions.udf.CIQ(AP$6,"IQ_TEV",$AI266,$I$2,$I$3))),"",_xll.ciqfunctions.udf.CIQ(AP$6,"IQ_TEV",$AI266,$I$2,$I$3)))</f>
        <v/>
      </c>
      <c r="AQ266" s="718" t="str">
        <f>IF(OR($B266="No",AQ$6=""),"",IF(NOT(ISNUMBER(_xll.ciqfunctions.udf.CIQ(AQ$6,"IQ_TEV",$AI266,$I$2,$I$3))),"",_xll.ciqfunctions.udf.CIQ(AQ$6,"IQ_TEV",$AI266,$I$2,$I$3)))</f>
        <v/>
      </c>
      <c r="AR266" s="718" t="str">
        <f>IF(OR($B266="No",AR$6=""),"",IF(NOT(ISNUMBER(_xll.ciqfunctions.udf.CIQ(AR$6,"IQ_TEV",$AI266,$I$2,$I$3))),"",_xll.ciqfunctions.udf.CIQ(AR$6,"IQ_TEV",$AI266,$I$2,$I$3)))</f>
        <v/>
      </c>
      <c r="AS266" s="718" t="str">
        <f>IF(OR($B266="No",AS$6=""),"",IF(NOT(ISNUMBER(_xll.ciqfunctions.udf.CIQ(AS$6,"IQ_TEV",$AI266,$I$2,$I$3))),"",_xll.ciqfunctions.udf.CIQ(AS$6,"IQ_TEV",$AI266,$I$2,$I$3)))</f>
        <v/>
      </c>
      <c r="AT266" s="718" t="str">
        <f>IF(OR($B266="No",AT$6=""),"",IF(NOT(ISNUMBER(_xll.ciqfunctions.udf.CIQ(AT$6,"IQ_TEV",$AI266,$I$2,$I$3))),"",_xll.ciqfunctions.udf.CIQ(AT$6,"IQ_TEV",$AI266,$I$2,$I$3)))</f>
        <v/>
      </c>
      <c r="AV266" s="251">
        <f t="shared" si="156"/>
        <v>44638</v>
      </c>
      <c r="AW266" s="719">
        <f t="shared" si="130"/>
        <v>0.7333927797830806</v>
      </c>
      <c r="AX266" s="719">
        <f t="shared" si="131"/>
        <v>2.3748368314077726</v>
      </c>
      <c r="AY266" s="719" t="e">
        <f t="shared" si="132"/>
        <v>#N/A</v>
      </c>
      <c r="AZ266" s="719" t="e">
        <f t="shared" si="133"/>
        <v>#N/A</v>
      </c>
      <c r="BA266" s="719" t="e">
        <f t="shared" si="134"/>
        <v>#N/A</v>
      </c>
      <c r="BB266" s="719" t="e">
        <f t="shared" si="135"/>
        <v>#N/A</v>
      </c>
      <c r="BC266" s="719" t="e">
        <f t="shared" si="136"/>
        <v>#N/A</v>
      </c>
      <c r="BD266" s="719" t="e">
        <f t="shared" si="137"/>
        <v>#N/A</v>
      </c>
      <c r="BE266" s="719" t="e">
        <f t="shared" si="138"/>
        <v>#N/A</v>
      </c>
      <c r="BF266" s="719" t="e">
        <f t="shared" si="139"/>
        <v>#N/A</v>
      </c>
      <c r="BG266" s="719" t="e">
        <f t="shared" si="140"/>
        <v>#N/A</v>
      </c>
    </row>
    <row r="267" spans="1:59" ht="15" customHeight="1" x14ac:dyDescent="0.2">
      <c r="A267" s="251">
        <f>IF(WEEKDAY(D3)=7,D3-1,IF(WEEKDAY(D3)=1,D3-2,D3))</f>
        <v>44645</v>
      </c>
      <c r="B267" s="253" t="str">
        <f t="shared" si="157"/>
        <v>Yes</v>
      </c>
      <c r="C267" s="1033">
        <f>IF(C$6="","",IF(NOT(ISNUMBER(_xll.ciqfunctions.udf.CIQ(C$6,$F$2, $A267, $I$2, $I$3))),IF(C266=C$6,"",C266),_xll.ciqfunctions.udf.CIQ(C$6,$F$2, $A267, $I$2, $I$3)))</f>
        <v>143.80000000000001</v>
      </c>
      <c r="D267" s="1033">
        <f>IF(D$6="","",IF(NOT(ISNUMBER(_xll.ciqfunctions.udf.CIQ(D$6,$F$2, $A267, $I$2, $I$3))),IF(D266=D$6,"",D266),_xll.ciqfunctions.udf.CIQ(D$6,$F$2, $A267, $I$2, $I$3)))</f>
        <v>34933.949999999997</v>
      </c>
      <c r="E267" s="1033">
        <f>IF(E$6="","",IF(NOT(ISNUMBER(_xll.ciqfunctions.udf.CIQ(E$6,$F$2, $A267, $I$2, $I$3))),IF(E266=E$6,"",E266),_xll.ciqfunctions.udf.CIQ(E$6,$F$2, $A267, $I$2, $I$3)))</f>
        <v>12000.47</v>
      </c>
      <c r="F267" s="1033">
        <f>IF(F$6="","",IF(NOT(ISNUMBER(_xll.ciqfunctions.udf.CIQ(F$6,$F$2, $A267, $I$2, $I$3))),IF(F266=F$6,"",F266),_xll.ciqfunctions.udf.CIQ(F$6,$F$2, $A267, $I$2, $I$3)))</f>
        <v>8189.85</v>
      </c>
      <c r="G267" s="1033">
        <f>IF(G$6="","",IF(NOT(ISNUMBER(_xll.ciqfunctions.udf.CIQ(G$6,$F$2, $A267, $I$2, $I$3))),IF(G266=G$6,"",G266),_xll.ciqfunctions.udf.CIQ(G$6,$F$2, $A267, $I$2, $I$3)))</f>
        <v>557.61</v>
      </c>
      <c r="H267" s="1033" t="str">
        <f>IF(H$6="","",IF(NOT(ISNUMBER(_xll.ciqfunctions.udf.CIQ(H$6,$F$2, $A267, $I$2, $I$3))),IF(H266=H$6,"",H266),_xll.ciqfunctions.udf.CIQ(H$6,$F$2, $A267, $I$2, $I$3)))</f>
        <v/>
      </c>
      <c r="I267" s="1033" t="str">
        <f>IF(I$6="","",IF(NOT(ISNUMBER(_xll.ciqfunctions.udf.CIQ(I$6,$F$2, $A267, $I$2, $I$3))),IF(I266=I$6,"",I266),_xll.ciqfunctions.udf.CIQ(I$6,$F$2, $A267, $I$2, $I$3)))</f>
        <v/>
      </c>
      <c r="J267" s="1033" t="str">
        <f>IF(J$6="","",IF(NOT(ISNUMBER(_xll.ciqfunctions.udf.CIQ(J$6,$F$2, $A267, $I$2, $I$3))),IF(J266=J$6,"",J266),_xll.ciqfunctions.udf.CIQ(J$6,$F$2, $A267, $I$2, $I$3)))</f>
        <v/>
      </c>
      <c r="K267" s="1033" t="str">
        <f>IF(K$6="","",IF(NOT(ISNUMBER(_xll.ciqfunctions.udf.CIQ(K$6,$F$2, $A267, $I$2, $I$3))),IF(K266=K$6,"",K266),_xll.ciqfunctions.udf.CIQ(K$6,$F$2, $A267, $I$2, $I$3)))</f>
        <v/>
      </c>
      <c r="L267" s="254" t="str">
        <f>IF(L$6="","",IF(NOT(ISNUMBER(_xll.ciqfunctions.udf.CIQ(L$6,$F$2, $A267, $I$2, $I$3))),IF(L266=L$6,"",L266),_xll.ciqfunctions.udf.CIQ(L$6,$F$2, $A267, $I$2, $I$3)))</f>
        <v/>
      </c>
      <c r="M267" s="254" t="str">
        <f>IF(M$6="","",IF(NOT(ISNUMBER(_xll.ciqfunctions.udf.CIQ(M$6,$F$2, $A267, $I$2, $I$3))),IF(M266=M$6,"",M266),_xll.ciqfunctions.udf.CIQ(M$6,$F$2, $A267, $I$2, $I$3)))</f>
        <v/>
      </c>
      <c r="N267" s="254" t="str">
        <f>IF(N$6="","",IF(NOT(ISNUMBER(_xll.ciqfunctions.udf.CIQ(N$6,$F$2, $A267, $I$2, $I$3))),IF(N266=N$6,"",N266),_xll.ciqfunctions.udf.CIQ(N$6,$F$2, $A267, $I$2, $I$3)))</f>
        <v/>
      </c>
      <c r="O267" s="254" t="str">
        <f>IF(O$6="","",IF(NOT(ISNUMBER(_xll.ciqfunctions.udf.CIQ(O$6,$F$2, $A267, $I$2, $I$3))),IF(O266=O$6,"",O266),_xll.ciqfunctions.udf.CIQ(O$6,$F$2, $A267, $I$2, $I$3)))</f>
        <v/>
      </c>
      <c r="P267" s="254" t="str">
        <f>IF(P$6="","",IF(NOT(ISNUMBER(_xll.ciqfunctions.udf.CIQ(P$6,$F$2, $A267, $I$2, $I$3))),IF(P266=P$6,"",P266),_xll.ciqfunctions.udf.CIQ(P$6,$F$2, $A267, $I$2, $I$3)))</f>
        <v/>
      </c>
      <c r="Q267" s="254"/>
      <c r="R267" s="251">
        <f t="shared" si="124"/>
        <v>44645</v>
      </c>
      <c r="S267" s="255">
        <f t="shared" si="153"/>
        <v>0.99500554938956731</v>
      </c>
      <c r="T267" s="255">
        <f t="shared" si="154"/>
        <v>0.6906342868114288</v>
      </c>
      <c r="U267" s="255">
        <f t="shared" si="155"/>
        <v>0.67702210315626665</v>
      </c>
      <c r="V267" s="255">
        <f t="shared" si="158"/>
        <v>0.86568203323154913</v>
      </c>
      <c r="W267" s="255">
        <f t="array" ref="W267">IFERROR(AVERAGE(IF(ISERROR(X267:AG267),"",X267:AG267)),"")</f>
        <v>2.3252430079313018</v>
      </c>
      <c r="X267" s="255">
        <f t="shared" si="159"/>
        <v>2.3252430079313018</v>
      </c>
      <c r="Y267" s="255" t="e">
        <f t="shared" si="144"/>
        <v>#N/A</v>
      </c>
      <c r="Z267" s="255" t="e">
        <f t="shared" si="145"/>
        <v>#N/A</v>
      </c>
      <c r="AA267" s="255" t="e">
        <f t="shared" si="146"/>
        <v>#N/A</v>
      </c>
      <c r="AB267" s="255" t="e">
        <f t="shared" si="147"/>
        <v>#N/A</v>
      </c>
      <c r="AC267" s="255" t="e">
        <f t="shared" si="148"/>
        <v>#N/A</v>
      </c>
      <c r="AD267" s="255" t="e">
        <f t="shared" si="149"/>
        <v>#N/A</v>
      </c>
      <c r="AE267" s="255" t="e">
        <f t="shared" si="150"/>
        <v>#N/A</v>
      </c>
      <c r="AF267" s="255" t="e">
        <f t="shared" si="151"/>
        <v>#N/A</v>
      </c>
      <c r="AG267" s="255" t="e">
        <f t="shared" si="152"/>
        <v>#N/A</v>
      </c>
      <c r="AI267" s="251">
        <f t="shared" si="125"/>
        <v>44645</v>
      </c>
      <c r="AJ267" s="718">
        <f>IF(OR($B267="No",AJ$6=""),"",IF(NOT(ISNUMBER(_xll.ciqfunctions.udf.CIQ(AJ$6,"IQ_TEV",$AI267,$I$2,$I$3))),"",_xll.ciqfunctions.udf.CIQ(AJ$6,"IQ_TEV",$AI267,$I$2,$I$3)))</f>
        <v>445332.68440999999</v>
      </c>
      <c r="AK267" s="718">
        <f>IF(OR($B267="No",AK$6=""),"",IF(NOT(ISNUMBER(_xll.ciqfunctions.udf.CIQ(AK$6,"IQ_TEV",$AI267,$I$2,$I$3))),"",_xll.ciqfunctions.udf.CIQ(AK$6,"IQ_TEV",$AI267,$I$2,$I$3)))</f>
        <v>244875.90849</v>
      </c>
      <c r="AL267" s="718" t="str">
        <f>IF(OR($B267="No",AL$6=""),"",IF(NOT(ISNUMBER(_xll.ciqfunctions.udf.CIQ(AL$6,"IQ_TEV",$AI267,$I$2,$I$3))),"",_xll.ciqfunctions.udf.CIQ(AL$6,"IQ_TEV",$AI267,$I$2,$I$3)))</f>
        <v/>
      </c>
      <c r="AM267" s="718" t="str">
        <f>IF(OR($B267="No",AM$6=""),"",IF(NOT(ISNUMBER(_xll.ciqfunctions.udf.CIQ(AM$6,"IQ_TEV",$AI267,$I$2,$I$3))),"",_xll.ciqfunctions.udf.CIQ(AM$6,"IQ_TEV",$AI267,$I$2,$I$3)))</f>
        <v/>
      </c>
      <c r="AN267" s="718" t="str">
        <f>IF(OR($B267="No",AN$6=""),"",IF(NOT(ISNUMBER(_xll.ciqfunctions.udf.CIQ(AN$6,"IQ_TEV",$AI267,$I$2,$I$3))),"",_xll.ciqfunctions.udf.CIQ(AN$6,"IQ_TEV",$AI267,$I$2,$I$3)))</f>
        <v/>
      </c>
      <c r="AO267" s="718" t="str">
        <f>IF(OR($B267="No",AO$6=""),"",IF(NOT(ISNUMBER(_xll.ciqfunctions.udf.CIQ(AO$6,"IQ_TEV",$AI267,$I$2,$I$3))),"",_xll.ciqfunctions.udf.CIQ(AO$6,"IQ_TEV",$AI267,$I$2,$I$3)))</f>
        <v/>
      </c>
      <c r="AP267" s="718" t="str">
        <f>IF(OR($B267="No",AP$6=""),"",IF(NOT(ISNUMBER(_xll.ciqfunctions.udf.CIQ(AP$6,"IQ_TEV",$AI267,$I$2,$I$3))),"",_xll.ciqfunctions.udf.CIQ(AP$6,"IQ_TEV",$AI267,$I$2,$I$3)))</f>
        <v/>
      </c>
      <c r="AQ267" s="718" t="str">
        <f>IF(OR($B267="No",AQ$6=""),"",IF(NOT(ISNUMBER(_xll.ciqfunctions.udf.CIQ(AQ$6,"IQ_TEV",$AI267,$I$2,$I$3))),"",_xll.ciqfunctions.udf.CIQ(AQ$6,"IQ_TEV",$AI267,$I$2,$I$3)))</f>
        <v/>
      </c>
      <c r="AR267" s="718" t="str">
        <f>IF(OR($B267="No",AR$6=""),"",IF(NOT(ISNUMBER(_xll.ciqfunctions.udf.CIQ(AR$6,"IQ_TEV",$AI267,$I$2,$I$3))),"",_xll.ciqfunctions.udf.CIQ(AR$6,"IQ_TEV",$AI267,$I$2,$I$3)))</f>
        <v/>
      </c>
      <c r="AS267" s="718" t="str">
        <f>IF(OR($B267="No",AS$6=""),"",IF(NOT(ISNUMBER(_xll.ciqfunctions.udf.CIQ(AS$6,"IQ_TEV",$AI267,$I$2,$I$3))),"",_xll.ciqfunctions.udf.CIQ(AS$6,"IQ_TEV",$AI267,$I$2,$I$3)))</f>
        <v/>
      </c>
      <c r="AT267" s="718" t="str">
        <f>IF(OR($B267="No",AT$6=""),"",IF(NOT(ISNUMBER(_xll.ciqfunctions.udf.CIQ(AT$6,"IQ_TEV",$AI267,$I$2,$I$3))),"",_xll.ciqfunctions.udf.CIQ(AT$6,"IQ_TEV",$AI267,$I$2,$I$3)))</f>
        <v/>
      </c>
      <c r="AV267" s="251">
        <f t="shared" si="156"/>
        <v>44645</v>
      </c>
      <c r="AW267" s="719">
        <f t="shared" si="130"/>
        <v>0.70588102284776144</v>
      </c>
      <c r="AX267" s="719">
        <f t="shared" si="131"/>
        <v>2.3551608749928956</v>
      </c>
      <c r="AY267" s="719" t="e">
        <f t="shared" si="132"/>
        <v>#N/A</v>
      </c>
      <c r="AZ267" s="719" t="e">
        <f t="shared" si="133"/>
        <v>#N/A</v>
      </c>
      <c r="BA267" s="719" t="e">
        <f t="shared" si="134"/>
        <v>#N/A</v>
      </c>
      <c r="BB267" s="719" t="e">
        <f t="shared" si="135"/>
        <v>#N/A</v>
      </c>
      <c r="BC267" s="719" t="e">
        <f t="shared" si="136"/>
        <v>#N/A</v>
      </c>
      <c r="BD267" s="719" t="e">
        <f t="shared" si="137"/>
        <v>#N/A</v>
      </c>
      <c r="BE267" s="719" t="e">
        <f t="shared" si="138"/>
        <v>#N/A</v>
      </c>
      <c r="BF267" s="719" t="e">
        <f t="shared" si="139"/>
        <v>#N/A</v>
      </c>
      <c r="BG267" s="719" t="e">
        <f t="shared" si="140"/>
        <v>#N/A</v>
      </c>
    </row>
    <row r="268" spans="1:59" x14ac:dyDescent="0.2">
      <c r="C268" s="1034"/>
      <c r="D268" s="1035"/>
      <c r="E268" s="1035"/>
      <c r="F268" s="1035"/>
      <c r="G268" s="1034"/>
      <c r="H268" s="1034"/>
      <c r="I268" s="1034"/>
      <c r="J268" s="1034"/>
      <c r="K268" s="1034"/>
    </row>
    <row r="269" spans="1:59" x14ac:dyDescent="0.2">
      <c r="C269" s="1034"/>
      <c r="D269" s="1035"/>
      <c r="E269" s="1035"/>
      <c r="F269" s="1035"/>
      <c r="G269" s="1034"/>
      <c r="H269" s="1034"/>
      <c r="I269" s="1034"/>
      <c r="J269" s="1034"/>
      <c r="K269" s="1034"/>
    </row>
    <row r="270" spans="1:59" x14ac:dyDescent="0.2">
      <c r="C270" s="1034"/>
      <c r="D270" s="1035"/>
      <c r="E270" s="1035"/>
      <c r="F270" s="1035"/>
      <c r="G270" s="1034"/>
      <c r="H270" s="1034"/>
      <c r="I270" s="1034"/>
      <c r="J270" s="1034"/>
      <c r="K270" s="1034"/>
    </row>
    <row r="271" spans="1:59" x14ac:dyDescent="0.2">
      <c r="C271" s="1034"/>
      <c r="D271" s="1035"/>
      <c r="E271" s="1035"/>
      <c r="F271" s="1035"/>
      <c r="G271" s="1034"/>
      <c r="H271" s="1034"/>
      <c r="I271" s="1034"/>
      <c r="J271" s="1034"/>
      <c r="K271" s="1034"/>
    </row>
    <row r="272" spans="1:59" x14ac:dyDescent="0.2">
      <c r="C272" s="1034"/>
      <c r="D272" s="1035"/>
      <c r="E272" s="1035"/>
      <c r="F272" s="1035"/>
      <c r="G272" s="1034"/>
      <c r="H272" s="1034"/>
      <c r="I272" s="1034"/>
      <c r="J272" s="1034"/>
      <c r="K272" s="1034"/>
    </row>
    <row r="273" spans="3:11" x14ac:dyDescent="0.2">
      <c r="C273" s="1034"/>
      <c r="D273" s="1035"/>
      <c r="E273" s="1035"/>
      <c r="F273" s="1035"/>
      <c r="G273" s="1034"/>
      <c r="H273" s="1034"/>
      <c r="I273" s="1034"/>
      <c r="J273" s="1034"/>
      <c r="K273" s="1034"/>
    </row>
    <row r="274" spans="3:11" x14ac:dyDescent="0.2">
      <c r="C274" s="1034"/>
      <c r="D274" s="1035"/>
      <c r="E274" s="1035"/>
      <c r="F274" s="1035"/>
      <c r="G274" s="1034"/>
      <c r="H274" s="1034"/>
      <c r="I274" s="1034"/>
      <c r="J274" s="1034"/>
      <c r="K274" s="1034"/>
    </row>
    <row r="275" spans="3:11" x14ac:dyDescent="0.2">
      <c r="C275" s="1034"/>
      <c r="D275" s="1035"/>
      <c r="E275" s="1035"/>
      <c r="F275" s="1035"/>
      <c r="G275" s="1034"/>
      <c r="H275" s="1034"/>
      <c r="I275" s="1034"/>
      <c r="J275" s="1034"/>
      <c r="K275" s="1034"/>
    </row>
    <row r="276" spans="3:11" x14ac:dyDescent="0.2">
      <c r="C276" s="1034"/>
      <c r="D276" s="1035"/>
      <c r="E276" s="1035"/>
      <c r="F276" s="1035"/>
      <c r="G276" s="1034"/>
      <c r="H276" s="1034"/>
      <c r="I276" s="1034"/>
      <c r="J276" s="1034"/>
      <c r="K276" s="1034"/>
    </row>
    <row r="277" spans="3:11" x14ac:dyDescent="0.2">
      <c r="C277" s="1034"/>
      <c r="D277" s="1035"/>
      <c r="E277" s="1035"/>
      <c r="F277" s="1035"/>
      <c r="G277" s="1034"/>
      <c r="H277" s="1034"/>
      <c r="I277" s="1034"/>
      <c r="J277" s="1034"/>
      <c r="K277" s="1034"/>
    </row>
    <row r="278" spans="3:11" x14ac:dyDescent="0.2">
      <c r="C278" s="1034"/>
      <c r="D278" s="1035"/>
      <c r="E278" s="1035"/>
      <c r="F278" s="1035"/>
      <c r="G278" s="1034"/>
      <c r="H278" s="1034"/>
      <c r="I278" s="1034"/>
      <c r="J278" s="1034"/>
      <c r="K278" s="1034"/>
    </row>
    <row r="279" spans="3:11" x14ac:dyDescent="0.2">
      <c r="C279" s="1034"/>
      <c r="D279" s="1035"/>
      <c r="E279" s="1035"/>
      <c r="F279" s="1035"/>
      <c r="G279" s="1034"/>
      <c r="H279" s="1034"/>
      <c r="I279" s="1034"/>
      <c r="J279" s="1034"/>
      <c r="K279" s="1034"/>
    </row>
    <row r="280" spans="3:11" x14ac:dyDescent="0.2">
      <c r="C280" s="1034"/>
      <c r="D280" s="1035"/>
      <c r="E280" s="1035"/>
      <c r="F280" s="1035"/>
      <c r="G280" s="1034"/>
      <c r="H280" s="1034"/>
      <c r="I280" s="1034"/>
      <c r="J280" s="1034"/>
      <c r="K280" s="1034"/>
    </row>
    <row r="281" spans="3:11" x14ac:dyDescent="0.2">
      <c r="C281" s="1034"/>
      <c r="D281" s="1035"/>
      <c r="E281" s="1035"/>
      <c r="F281" s="1035"/>
      <c r="G281" s="1034"/>
      <c r="H281" s="1034"/>
      <c r="I281" s="1034"/>
      <c r="J281" s="1034"/>
      <c r="K281" s="1034"/>
    </row>
    <row r="282" spans="3:11" x14ac:dyDescent="0.2">
      <c r="C282" s="1034"/>
      <c r="D282" s="1035"/>
      <c r="E282" s="1035"/>
      <c r="F282" s="1035"/>
      <c r="G282" s="1034"/>
      <c r="H282" s="1034"/>
      <c r="I282" s="1034"/>
      <c r="J282" s="1034"/>
      <c r="K282" s="1034"/>
    </row>
    <row r="283" spans="3:11" x14ac:dyDescent="0.2">
      <c r="C283" s="1034"/>
      <c r="D283" s="1035"/>
      <c r="E283" s="1035"/>
      <c r="F283" s="1035"/>
      <c r="G283" s="1034"/>
      <c r="H283" s="1034"/>
      <c r="I283" s="1034"/>
      <c r="J283" s="1034"/>
      <c r="K283" s="1034"/>
    </row>
    <row r="284" spans="3:11" x14ac:dyDescent="0.2">
      <c r="C284" s="1034"/>
      <c r="D284" s="1035"/>
      <c r="E284" s="1035"/>
      <c r="F284" s="1035"/>
      <c r="G284" s="1034"/>
      <c r="H284" s="1034"/>
      <c r="I284" s="1034"/>
      <c r="J284" s="1034"/>
      <c r="K284" s="1034"/>
    </row>
    <row r="285" spans="3:11" x14ac:dyDescent="0.2">
      <c r="C285" s="1034"/>
      <c r="D285" s="1035"/>
      <c r="E285" s="1035"/>
      <c r="F285" s="1035"/>
      <c r="G285" s="1034"/>
      <c r="H285" s="1034"/>
      <c r="I285" s="1034"/>
      <c r="J285" s="1034"/>
      <c r="K285" s="1034"/>
    </row>
    <row r="286" spans="3:11" x14ac:dyDescent="0.2">
      <c r="C286" s="1034"/>
      <c r="D286" s="1035"/>
      <c r="E286" s="1035"/>
      <c r="F286" s="1035"/>
      <c r="G286" s="1034"/>
      <c r="H286" s="1034"/>
      <c r="I286" s="1034"/>
      <c r="J286" s="1034"/>
      <c r="K286" s="1034"/>
    </row>
    <row r="287" spans="3:11" x14ac:dyDescent="0.2">
      <c r="C287" s="1034"/>
      <c r="D287" s="1035"/>
      <c r="E287" s="1035"/>
      <c r="F287" s="1035"/>
      <c r="G287" s="1034"/>
      <c r="H287" s="1034"/>
      <c r="I287" s="1034"/>
      <c r="J287" s="1034"/>
      <c r="K287" s="1034"/>
    </row>
    <row r="288" spans="3:11" x14ac:dyDescent="0.2">
      <c r="C288" s="1034"/>
      <c r="D288" s="1035"/>
      <c r="E288" s="1035"/>
      <c r="F288" s="1035"/>
      <c r="G288" s="1034"/>
      <c r="H288" s="1034"/>
      <c r="I288" s="1034"/>
      <c r="J288" s="1034"/>
      <c r="K288" s="1034"/>
    </row>
    <row r="289" spans="3:11" x14ac:dyDescent="0.2">
      <c r="C289" s="1034"/>
      <c r="D289" s="1035"/>
      <c r="E289" s="1035"/>
      <c r="F289" s="1035"/>
      <c r="G289" s="1034"/>
      <c r="H289" s="1034"/>
      <c r="I289" s="1034"/>
      <c r="J289" s="1034"/>
      <c r="K289" s="1034"/>
    </row>
    <row r="290" spans="3:11" x14ac:dyDescent="0.2">
      <c r="C290" s="1034"/>
      <c r="D290" s="1035"/>
      <c r="E290" s="1035"/>
      <c r="F290" s="1035"/>
      <c r="G290" s="1034"/>
      <c r="H290" s="1034"/>
      <c r="I290" s="1034"/>
      <c r="J290" s="1034"/>
      <c r="K290" s="1034"/>
    </row>
    <row r="291" spans="3:11" x14ac:dyDescent="0.2">
      <c r="C291" s="1034"/>
      <c r="D291" s="1035"/>
      <c r="E291" s="1035"/>
      <c r="F291" s="1035"/>
      <c r="G291" s="1034"/>
      <c r="H291" s="1034"/>
      <c r="I291" s="1034"/>
      <c r="J291" s="1034"/>
      <c r="K291" s="1034"/>
    </row>
    <row r="292" spans="3:11" x14ac:dyDescent="0.2">
      <c r="C292" s="1034"/>
      <c r="D292" s="1035"/>
      <c r="E292" s="1035"/>
      <c r="F292" s="1035"/>
      <c r="G292" s="1034"/>
      <c r="H292" s="1034"/>
      <c r="I292" s="1034"/>
      <c r="J292" s="1034"/>
      <c r="K292" s="1034"/>
    </row>
    <row r="293" spans="3:11" x14ac:dyDescent="0.2">
      <c r="C293" s="1034"/>
      <c r="D293" s="1035"/>
      <c r="E293" s="1035"/>
      <c r="F293" s="1035"/>
      <c r="G293" s="1034"/>
      <c r="H293" s="1034"/>
      <c r="I293" s="1034"/>
      <c r="J293" s="1034"/>
      <c r="K293" s="1034"/>
    </row>
    <row r="294" spans="3:11" x14ac:dyDescent="0.2">
      <c r="C294" s="1034"/>
      <c r="D294" s="1035"/>
      <c r="E294" s="1035"/>
      <c r="F294" s="1035"/>
      <c r="G294" s="1034"/>
      <c r="H294" s="1034"/>
      <c r="I294" s="1034"/>
      <c r="J294" s="1034"/>
      <c r="K294" s="1034"/>
    </row>
    <row r="295" spans="3:11" x14ac:dyDescent="0.2">
      <c r="C295" s="1034"/>
      <c r="D295" s="1035"/>
      <c r="E295" s="1035"/>
      <c r="F295" s="1035"/>
      <c r="G295" s="1034"/>
      <c r="H295" s="1034"/>
      <c r="I295" s="1034"/>
      <c r="J295" s="1034"/>
      <c r="K295" s="1034"/>
    </row>
    <row r="296" spans="3:11" x14ac:dyDescent="0.2">
      <c r="C296" s="1034"/>
      <c r="D296" s="1035"/>
      <c r="E296" s="1035"/>
      <c r="F296" s="1035"/>
      <c r="G296" s="1034"/>
      <c r="H296" s="1034"/>
      <c r="I296" s="1034"/>
      <c r="J296" s="1034"/>
      <c r="K296" s="1034"/>
    </row>
    <row r="297" spans="3:11" x14ac:dyDescent="0.2">
      <c r="C297" s="1034"/>
      <c r="D297" s="1035"/>
      <c r="E297" s="1035"/>
      <c r="F297" s="1035"/>
      <c r="G297" s="1034"/>
      <c r="H297" s="1034"/>
      <c r="I297" s="1034"/>
      <c r="J297" s="1034"/>
      <c r="K297" s="1034"/>
    </row>
    <row r="298" spans="3:11" x14ac:dyDescent="0.2">
      <c r="C298" s="1034"/>
      <c r="D298" s="1035"/>
      <c r="E298" s="1035"/>
      <c r="F298" s="1035"/>
      <c r="G298" s="1034"/>
      <c r="H298" s="1034"/>
      <c r="I298" s="1034"/>
      <c r="J298" s="1034"/>
      <c r="K298" s="1034"/>
    </row>
    <row r="299" spans="3:11" x14ac:dyDescent="0.2">
      <c r="C299" s="1034"/>
      <c r="D299" s="1035"/>
      <c r="E299" s="1035"/>
      <c r="F299" s="1035"/>
      <c r="G299" s="1034"/>
      <c r="H299" s="1034"/>
      <c r="I299" s="1034"/>
      <c r="J299" s="1034"/>
      <c r="K299" s="1034"/>
    </row>
    <row r="300" spans="3:11" x14ac:dyDescent="0.2">
      <c r="C300" s="1034"/>
      <c r="D300" s="1035"/>
      <c r="E300" s="1035"/>
      <c r="F300" s="1035"/>
      <c r="G300" s="1034"/>
      <c r="H300" s="1034"/>
      <c r="I300" s="1034"/>
      <c r="J300" s="1034"/>
      <c r="K300" s="1034"/>
    </row>
    <row r="301" spans="3:11" x14ac:dyDescent="0.2">
      <c r="C301" s="1034"/>
      <c r="D301" s="1035"/>
      <c r="E301" s="1035"/>
      <c r="F301" s="1035"/>
      <c r="G301" s="1034"/>
      <c r="H301" s="1034"/>
      <c r="I301" s="1034"/>
      <c r="J301" s="1034"/>
      <c r="K301" s="1034"/>
    </row>
    <row r="302" spans="3:11" x14ac:dyDescent="0.2">
      <c r="C302" s="1034"/>
      <c r="D302" s="1035"/>
      <c r="E302" s="1035"/>
      <c r="F302" s="1035"/>
      <c r="G302" s="1034"/>
      <c r="H302" s="1034"/>
      <c r="I302" s="1034"/>
      <c r="J302" s="1034"/>
      <c r="K302" s="1034"/>
    </row>
    <row r="303" spans="3:11" x14ac:dyDescent="0.2">
      <c r="C303" s="1034"/>
      <c r="D303" s="1035"/>
      <c r="E303" s="1035"/>
      <c r="F303" s="1035"/>
      <c r="G303" s="1034"/>
      <c r="H303" s="1034"/>
      <c r="I303" s="1034"/>
      <c r="J303" s="1034"/>
      <c r="K303" s="1034"/>
    </row>
    <row r="304" spans="3:11" x14ac:dyDescent="0.2">
      <c r="C304" s="1034"/>
      <c r="D304" s="1035"/>
      <c r="E304" s="1035"/>
      <c r="F304" s="1035"/>
      <c r="G304" s="1034"/>
      <c r="H304" s="1034"/>
      <c r="I304" s="1034"/>
      <c r="J304" s="1034"/>
      <c r="K304" s="1034"/>
    </row>
    <row r="305" spans="3:11" x14ac:dyDescent="0.2">
      <c r="C305" s="1034"/>
      <c r="D305" s="1035"/>
      <c r="E305" s="1035"/>
      <c r="F305" s="1035"/>
      <c r="G305" s="1034"/>
      <c r="H305" s="1034"/>
      <c r="I305" s="1034"/>
      <c r="J305" s="1034"/>
      <c r="K305" s="1034"/>
    </row>
    <row r="306" spans="3:11" x14ac:dyDescent="0.2">
      <c r="C306" s="1034"/>
      <c r="D306" s="1035"/>
      <c r="E306" s="1035"/>
      <c r="F306" s="1035"/>
      <c r="G306" s="1034"/>
      <c r="H306" s="1034"/>
      <c r="I306" s="1034"/>
      <c r="J306" s="1034"/>
      <c r="K306" s="1034"/>
    </row>
    <row r="307" spans="3:11" x14ac:dyDescent="0.2">
      <c r="C307" s="1034"/>
      <c r="D307" s="1035"/>
      <c r="E307" s="1035"/>
      <c r="F307" s="1035"/>
      <c r="G307" s="1034"/>
      <c r="H307" s="1034"/>
      <c r="I307" s="1034"/>
      <c r="J307" s="1034"/>
      <c r="K307" s="1034"/>
    </row>
    <row r="308" spans="3:11" x14ac:dyDescent="0.2">
      <c r="C308" s="1034"/>
      <c r="D308" s="1035"/>
      <c r="E308" s="1035"/>
      <c r="F308" s="1035"/>
      <c r="G308" s="1034"/>
      <c r="H308" s="1034"/>
      <c r="I308" s="1034"/>
      <c r="J308" s="1034"/>
      <c r="K308" s="1034"/>
    </row>
    <row r="309" spans="3:11" x14ac:dyDescent="0.2">
      <c r="C309" s="1034"/>
      <c r="D309" s="1035"/>
      <c r="E309" s="1035"/>
      <c r="F309" s="1035"/>
      <c r="G309" s="1034"/>
      <c r="H309" s="1034"/>
      <c r="I309" s="1034"/>
      <c r="J309" s="1034"/>
      <c r="K309" s="1034"/>
    </row>
  </sheetData>
  <sortState xmlns:xlrd2="http://schemas.microsoft.com/office/spreadsheetml/2017/richdata2" ref="A2:C217">
    <sortCondition ref="A2:A217"/>
  </sortState>
  <pageMargins left="0.7" right="0.7" top="0.75" bottom="0.75" header="0.3" footer="0.3"/>
  <pageSetup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tabColor theme="0" tint="-0.499984740745262"/>
  </sheetPr>
  <dimension ref="A1:D32"/>
  <sheetViews>
    <sheetView showGridLines="0" workbookViewId="0"/>
  </sheetViews>
  <sheetFormatPr defaultColWidth="9" defaultRowHeight="12.75" x14ac:dyDescent="0.2"/>
  <cols>
    <col min="1" max="1" width="28.5" style="9" customWidth="1"/>
    <col min="2" max="2" width="40.625" style="11" customWidth="1"/>
    <col min="3" max="3" width="108.25" style="9" customWidth="1"/>
    <col min="4" max="4" width="55.5" style="9" customWidth="1"/>
    <col min="5" max="16384" width="9" style="9"/>
  </cols>
  <sheetData>
    <row r="1" spans="1:4" s="17" customFormat="1" ht="20.100000000000001" customHeight="1" x14ac:dyDescent="0.4">
      <c r="A1" s="938" t="s">
        <v>97</v>
      </c>
      <c r="B1" s="935"/>
      <c r="C1" s="903"/>
      <c r="D1" s="903"/>
    </row>
    <row r="2" spans="1:4" ht="15" customHeight="1" x14ac:dyDescent="0.2">
      <c r="A2" s="24"/>
      <c r="B2" s="364"/>
      <c r="C2" s="25"/>
      <c r="D2" s="25"/>
    </row>
    <row r="3" spans="1:4" s="12" customFormat="1" ht="15" customHeight="1" x14ac:dyDescent="0.2">
      <c r="A3" s="373" t="s">
        <v>100</v>
      </c>
      <c r="B3" s="374" t="s">
        <v>102</v>
      </c>
      <c r="C3" s="373" t="s">
        <v>98</v>
      </c>
      <c r="D3" s="375" t="s">
        <v>99</v>
      </c>
    </row>
    <row r="4" spans="1:4" s="12" customFormat="1" ht="136.5" customHeight="1" x14ac:dyDescent="0.2">
      <c r="A4" s="370" t="s">
        <v>92</v>
      </c>
      <c r="B4" s="371" t="s">
        <v>113</v>
      </c>
      <c r="C4" s="372" t="s">
        <v>144</v>
      </c>
      <c r="D4" s="372" t="s">
        <v>178</v>
      </c>
    </row>
    <row r="5" spans="1:4" ht="115.5" customHeight="1" x14ac:dyDescent="0.2">
      <c r="A5" s="365" t="s">
        <v>53</v>
      </c>
      <c r="B5" s="366" t="s">
        <v>146</v>
      </c>
      <c r="C5" s="367" t="s">
        <v>158</v>
      </c>
      <c r="D5" s="367" t="s">
        <v>179</v>
      </c>
    </row>
    <row r="6" spans="1:4" ht="28.5" customHeight="1" x14ac:dyDescent="0.2">
      <c r="A6" s="365" t="s">
        <v>182</v>
      </c>
      <c r="B6" s="366" t="s">
        <v>183</v>
      </c>
      <c r="C6" s="367" t="s">
        <v>184</v>
      </c>
      <c r="D6" s="367" t="s">
        <v>185</v>
      </c>
    </row>
    <row r="7" spans="1:4" ht="69" customHeight="1" x14ac:dyDescent="0.2">
      <c r="A7" s="365" t="s">
        <v>486</v>
      </c>
      <c r="B7" s="366" t="s">
        <v>151</v>
      </c>
      <c r="C7" s="368" t="s">
        <v>130</v>
      </c>
      <c r="D7" s="368" t="s">
        <v>180</v>
      </c>
    </row>
    <row r="8" spans="1:4" ht="137.25" customHeight="1" x14ac:dyDescent="0.2">
      <c r="A8" s="365" t="s">
        <v>487</v>
      </c>
      <c r="B8" s="366" t="s">
        <v>152</v>
      </c>
      <c r="C8" s="368" t="s">
        <v>150</v>
      </c>
      <c r="D8" s="368" t="s">
        <v>488</v>
      </c>
    </row>
    <row r="9" spans="1:4" ht="213" customHeight="1" x14ac:dyDescent="0.2">
      <c r="A9" s="365" t="s">
        <v>55</v>
      </c>
      <c r="B9" s="366" t="s">
        <v>112</v>
      </c>
      <c r="C9" s="367" t="s">
        <v>142</v>
      </c>
      <c r="D9" s="367" t="s">
        <v>197</v>
      </c>
    </row>
    <row r="10" spans="1:4" ht="138.75" customHeight="1" x14ac:dyDescent="0.2">
      <c r="A10" s="365" t="s">
        <v>56</v>
      </c>
      <c r="B10" s="366" t="s">
        <v>166</v>
      </c>
      <c r="C10" s="367" t="s">
        <v>143</v>
      </c>
      <c r="D10" s="367" t="s">
        <v>198</v>
      </c>
    </row>
    <row r="11" spans="1:4" ht="255" customHeight="1" x14ac:dyDescent="0.2">
      <c r="A11" s="365" t="s">
        <v>54</v>
      </c>
      <c r="B11" s="366" t="s">
        <v>165</v>
      </c>
      <c r="C11" s="367" t="s">
        <v>489</v>
      </c>
      <c r="D11" s="367" t="s">
        <v>199</v>
      </c>
    </row>
    <row r="12" spans="1:4" ht="55.5" customHeight="1" x14ac:dyDescent="0.2">
      <c r="A12" s="365" t="s">
        <v>109</v>
      </c>
      <c r="B12" s="366" t="s">
        <v>118</v>
      </c>
      <c r="C12" s="366" t="s">
        <v>168</v>
      </c>
      <c r="D12" s="367" t="s">
        <v>138</v>
      </c>
    </row>
    <row r="13" spans="1:4" ht="56.25" customHeight="1" x14ac:dyDescent="0.2">
      <c r="A13" s="365" t="s">
        <v>35</v>
      </c>
      <c r="B13" s="369" t="s">
        <v>490</v>
      </c>
      <c r="C13" s="366" t="s">
        <v>491</v>
      </c>
      <c r="D13" s="367" t="s">
        <v>140</v>
      </c>
    </row>
    <row r="14" spans="1:4" ht="31.5" customHeight="1" x14ac:dyDescent="0.2">
      <c r="A14" s="365" t="s">
        <v>101</v>
      </c>
      <c r="B14" s="366" t="s">
        <v>164</v>
      </c>
      <c r="C14" s="366" t="s">
        <v>157</v>
      </c>
      <c r="D14" s="367" t="s">
        <v>133</v>
      </c>
    </row>
    <row r="15" spans="1:4" ht="85.5" customHeight="1" x14ac:dyDescent="0.2">
      <c r="A15" s="365" t="s">
        <v>42</v>
      </c>
      <c r="B15" s="369" t="s">
        <v>492</v>
      </c>
      <c r="C15" s="367" t="s">
        <v>126</v>
      </c>
      <c r="D15" s="367" t="s">
        <v>134</v>
      </c>
    </row>
    <row r="16" spans="1:4" ht="30" customHeight="1" x14ac:dyDescent="0.2">
      <c r="A16" s="365" t="s">
        <v>89</v>
      </c>
      <c r="B16" s="366" t="s">
        <v>163</v>
      </c>
      <c r="C16" s="367" t="s">
        <v>156</v>
      </c>
      <c r="D16" s="367" t="s">
        <v>135</v>
      </c>
    </row>
    <row r="17" spans="1:4" ht="38.25" x14ac:dyDescent="0.2">
      <c r="A17" s="365" t="s">
        <v>104</v>
      </c>
      <c r="B17" s="366" t="s">
        <v>116</v>
      </c>
      <c r="C17" s="367" t="s">
        <v>129</v>
      </c>
      <c r="D17" s="367" t="s">
        <v>121</v>
      </c>
    </row>
    <row r="18" spans="1:4" ht="76.5" x14ac:dyDescent="0.2">
      <c r="A18" s="365" t="s">
        <v>6</v>
      </c>
      <c r="B18" s="366" t="s">
        <v>111</v>
      </c>
      <c r="C18" s="366" t="s">
        <v>155</v>
      </c>
      <c r="D18" s="367" t="s">
        <v>139</v>
      </c>
    </row>
    <row r="19" spans="1:4" ht="25.5" x14ac:dyDescent="0.2">
      <c r="A19" s="365" t="s">
        <v>94</v>
      </c>
      <c r="B19" s="366" t="s">
        <v>160</v>
      </c>
      <c r="C19" s="366" t="s">
        <v>154</v>
      </c>
      <c r="D19" s="367" t="s">
        <v>132</v>
      </c>
    </row>
    <row r="20" spans="1:4" ht="45" customHeight="1" x14ac:dyDescent="0.2">
      <c r="A20" s="365" t="s">
        <v>108</v>
      </c>
      <c r="B20" s="366" t="s">
        <v>117</v>
      </c>
      <c r="C20" s="367" t="s">
        <v>147</v>
      </c>
      <c r="D20" s="367" t="s">
        <v>122</v>
      </c>
    </row>
    <row r="21" spans="1:4" ht="69.75" customHeight="1" x14ac:dyDescent="0.2">
      <c r="A21" s="365" t="s">
        <v>1</v>
      </c>
      <c r="B21" s="366" t="s">
        <v>172</v>
      </c>
      <c r="C21" s="367" t="s">
        <v>173</v>
      </c>
      <c r="D21" s="367" t="s">
        <v>174</v>
      </c>
    </row>
    <row r="22" spans="1:4" ht="32.25" customHeight="1" x14ac:dyDescent="0.2">
      <c r="A22" s="365" t="s">
        <v>91</v>
      </c>
      <c r="B22" s="366" t="s">
        <v>175</v>
      </c>
      <c r="C22" s="367" t="s">
        <v>176</v>
      </c>
      <c r="D22" s="367" t="s">
        <v>181</v>
      </c>
    </row>
    <row r="23" spans="1:4" ht="69" customHeight="1" x14ac:dyDescent="0.2">
      <c r="A23" s="365" t="s">
        <v>106</v>
      </c>
      <c r="B23" s="366" t="s">
        <v>148</v>
      </c>
      <c r="C23" s="368" t="s">
        <v>149</v>
      </c>
      <c r="D23" s="368" t="s">
        <v>124</v>
      </c>
    </row>
    <row r="24" spans="1:4" ht="60" customHeight="1" x14ac:dyDescent="0.2">
      <c r="A24" s="365" t="s">
        <v>107</v>
      </c>
      <c r="B24" s="366" t="s">
        <v>170</v>
      </c>
      <c r="C24" s="368" t="s">
        <v>169</v>
      </c>
      <c r="D24" s="368" t="s">
        <v>177</v>
      </c>
    </row>
    <row r="25" spans="1:4" ht="39.75" customHeight="1" x14ac:dyDescent="0.2">
      <c r="A25" s="365" t="s">
        <v>105</v>
      </c>
      <c r="B25" s="366" t="s">
        <v>119</v>
      </c>
      <c r="C25" s="366" t="s">
        <v>159</v>
      </c>
      <c r="D25" s="368" t="s">
        <v>123</v>
      </c>
    </row>
    <row r="26" spans="1:4" ht="98.25" x14ac:dyDescent="0.2">
      <c r="A26" s="365" t="s">
        <v>493</v>
      </c>
      <c r="B26" s="366" t="s">
        <v>171</v>
      </c>
      <c r="C26" s="366" t="s">
        <v>494</v>
      </c>
      <c r="D26" s="368" t="s">
        <v>495</v>
      </c>
    </row>
    <row r="27" spans="1:4" ht="68.25" customHeight="1" x14ac:dyDescent="0.2">
      <c r="A27" s="365" t="s">
        <v>0</v>
      </c>
      <c r="B27" s="366" t="s">
        <v>161</v>
      </c>
      <c r="C27" s="367" t="s">
        <v>127</v>
      </c>
      <c r="D27" s="367" t="s">
        <v>141</v>
      </c>
    </row>
    <row r="28" spans="1:4" ht="29.25" customHeight="1" x14ac:dyDescent="0.2">
      <c r="A28" s="365" t="s">
        <v>90</v>
      </c>
      <c r="B28" s="366" t="s">
        <v>162</v>
      </c>
      <c r="C28" s="367" t="s">
        <v>153</v>
      </c>
      <c r="D28" s="367" t="s">
        <v>136</v>
      </c>
    </row>
    <row r="29" spans="1:4" ht="38.25" x14ac:dyDescent="0.2">
      <c r="A29" s="365" t="s">
        <v>103</v>
      </c>
      <c r="B29" s="366" t="s">
        <v>115</v>
      </c>
      <c r="C29" s="367" t="s">
        <v>128</v>
      </c>
      <c r="D29" s="367" t="s">
        <v>120</v>
      </c>
    </row>
    <row r="30" spans="1:4" ht="145.5" customHeight="1" x14ac:dyDescent="0.2">
      <c r="A30" s="365" t="s">
        <v>45</v>
      </c>
      <c r="B30" s="366" t="s">
        <v>114</v>
      </c>
      <c r="C30" s="367" t="s">
        <v>145</v>
      </c>
      <c r="D30" s="367" t="s">
        <v>137</v>
      </c>
    </row>
    <row r="31" spans="1:4" ht="67.5" customHeight="1" x14ac:dyDescent="0.2">
      <c r="A31" s="366" t="s">
        <v>110</v>
      </c>
      <c r="B31" s="366" t="s">
        <v>167</v>
      </c>
      <c r="C31" s="368" t="s">
        <v>131</v>
      </c>
      <c r="D31" s="368" t="s">
        <v>125</v>
      </c>
    </row>
    <row r="32" spans="1:4" s="16" customFormat="1" ht="15.75" x14ac:dyDescent="0.2">
      <c r="A32" s="13"/>
      <c r="B32" s="14"/>
      <c r="C32" s="13"/>
      <c r="D32" s="15"/>
    </row>
  </sheetData>
  <sortState xmlns:xlrd2="http://schemas.microsoft.com/office/spreadsheetml/2017/richdata2" ref="A4:D27">
    <sortCondition ref="A4"/>
  </sortState>
  <printOptions horizontalCentered="1"/>
  <pageMargins left="0.5" right="0.5" top="0.5" bottom="0.5" header="0.3" footer="0.3"/>
  <pageSetup scale="40"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theme="1" tint="0.249977111117893"/>
  </sheetPr>
  <dimension ref="A1:M46"/>
  <sheetViews>
    <sheetView showGridLines="0" topLeftCell="A3" zoomScale="80" zoomScaleNormal="80" workbookViewId="0">
      <selection activeCell="H20" sqref="H20"/>
    </sheetView>
  </sheetViews>
  <sheetFormatPr defaultColWidth="9" defaultRowHeight="12.75" outlineLevelRow="1" x14ac:dyDescent="0.2"/>
  <cols>
    <col min="1" max="1" width="2.625" style="399" customWidth="1"/>
    <col min="2" max="2" width="39.75" style="399" customWidth="1"/>
    <col min="3" max="5" width="10.5" style="399" customWidth="1"/>
    <col min="6" max="7" width="10" style="399" customWidth="1"/>
    <col min="8" max="8" width="9.75" style="399" customWidth="1"/>
    <col min="9" max="9" width="10" style="399" customWidth="1"/>
    <col min="10" max="10" width="10.5" style="399" customWidth="1"/>
    <col min="11" max="11" width="2.25" style="399" customWidth="1"/>
    <col min="12" max="16384" width="9" style="399"/>
  </cols>
  <sheetData>
    <row r="1" spans="1:12" hidden="1" outlineLevel="1" x14ac:dyDescent="0.2">
      <c r="A1" s="962"/>
      <c r="B1" s="963" t="str">
        <f>Target</f>
        <v>NYSE:WMT</v>
      </c>
      <c r="C1" s="962" t="s">
        <v>578</v>
      </c>
      <c r="D1" s="962" t="s">
        <v>577</v>
      </c>
      <c r="E1" s="962" t="s">
        <v>576</v>
      </c>
      <c r="F1" s="962" t="s">
        <v>575</v>
      </c>
      <c r="G1" s="962" t="s">
        <v>574</v>
      </c>
      <c r="H1" s="962" t="s">
        <v>573</v>
      </c>
      <c r="I1" s="962" t="s">
        <v>572</v>
      </c>
      <c r="J1" s="964">
        <f>Input!C8</f>
        <v>44645</v>
      </c>
      <c r="K1" s="399" t="s">
        <v>624</v>
      </c>
    </row>
    <row r="2" spans="1:12" hidden="1" outlineLevel="1" x14ac:dyDescent="0.2">
      <c r="A2" s="962"/>
      <c r="B2" s="963" t="str">
        <f>Input!C6</f>
        <v>USD</v>
      </c>
      <c r="C2" s="962"/>
      <c r="D2" s="962"/>
      <c r="E2" s="962"/>
      <c r="F2" s="962"/>
      <c r="G2" s="962"/>
      <c r="H2" s="962"/>
      <c r="I2" s="962"/>
      <c r="J2" s="962" t="s">
        <v>371</v>
      </c>
    </row>
    <row r="3" spans="1:12" collapsed="1" x14ac:dyDescent="0.2">
      <c r="B3" s="442" t="s">
        <v>607</v>
      </c>
    </row>
    <row r="5" spans="1:12" ht="15.75" x14ac:dyDescent="0.2">
      <c r="B5" s="441" t="str">
        <f>Input!$C$9</f>
        <v>Walmart Inc.</v>
      </c>
      <c r="C5" s="441"/>
      <c r="D5" s="441"/>
      <c r="E5" s="441"/>
      <c r="F5" s="441"/>
      <c r="G5" s="441"/>
      <c r="H5" s="441"/>
      <c r="I5" s="441"/>
    </row>
    <row r="8" spans="1:12" ht="15" x14ac:dyDescent="0.2">
      <c r="B8" s="451" t="s">
        <v>606</v>
      </c>
      <c r="C8" s="450"/>
      <c r="D8" s="450"/>
      <c r="E8" s="450"/>
      <c r="F8" s="450"/>
      <c r="G8" s="450"/>
      <c r="H8" s="450"/>
      <c r="I8" s="450"/>
    </row>
    <row r="9" spans="1:12" x14ac:dyDescent="0.2">
      <c r="B9" s="449" t="str">
        <f>Input!$C$6&amp;"mm"</f>
        <v>USDmm</v>
      </c>
      <c r="C9" s="448">
        <f>_xll.ciqfunctions.udf.CIQ($B$1,"IQ_PERIODDATE_BS",C$1,$J$1,,$K$1)</f>
        <v>42400</v>
      </c>
      <c r="D9" s="448">
        <f>_xll.ciqfunctions.udf.CIQ($B$1,"IQ_PERIODDATE_BS",D$1,$J$1,,$K$1)</f>
        <v>42766</v>
      </c>
      <c r="E9" s="448">
        <f>_xll.ciqfunctions.udf.CIQ($B$1,"IQ_PERIODDATE_BS",E$1,$J$1,,$K$1)</f>
        <v>43131</v>
      </c>
      <c r="F9" s="448">
        <f>_xll.ciqfunctions.udf.CIQ($B$1,"IQ_PERIODDATE_BS",F$1,$J$1,,$K$1)</f>
        <v>43496</v>
      </c>
      <c r="G9" s="448">
        <f>_xll.ciqfunctions.udf.CIQ($B$1,"IQ_PERIODDATE_BS",G$1,$J$1,,$K$1)</f>
        <v>43861</v>
      </c>
      <c r="H9" s="448">
        <f>_xll.ciqfunctions.udf.CIQ($B$1,"IQ_PERIODDATE_BS",H$1,$J$1,,$K$1)</f>
        <v>44227</v>
      </c>
      <c r="I9" s="448">
        <f>_xll.ciqfunctions.udf.CIQ($B$1,"IQ_PERIODDATE_BS",I$1,$J$1,,$K$1)</f>
        <v>44592</v>
      </c>
    </row>
    <row r="10" spans="1:12" x14ac:dyDescent="0.2">
      <c r="B10" s="407" t="str">
        <f>_xll.ciqfunctions.udf.CIQRANGE($B$1, "IQ_BUS_SEG_NAME", 1, 10, , $J$1, $J$2, , , , "Segment Name")</f>
        <v>Segment Name</v>
      </c>
      <c r="C10" s="447" t="str">
        <f>_xll.ciqfunctions.udf.CIQRANGE($B$1, "IQ_BUS_SEG_REV", 1, 10, C$1, $J$1, $J$2, , , $B$2, "")</f>
        <v/>
      </c>
      <c r="D10" s="447" t="str">
        <f>_xll.ciqfunctions.udf.CIQRANGE($B$1, "IQ_BUS_SEG_REV", 1, 10, D$1, $J$1, $J$2, , , $B$2, "")</f>
        <v/>
      </c>
      <c r="E10" s="447" t="str">
        <f>_xll.ciqfunctions.udf.CIQRANGE($B$1, "IQ_BUS_SEG_REV", 1, 10, E$1, $J$1, $J$2, , , $B$2, "")</f>
        <v/>
      </c>
      <c r="F10" s="447" t="str">
        <f>_xll.ciqfunctions.udf.CIQRANGE($B$1, "IQ_BUS_SEG_REV", 1, 10, F$1, $J$1, $J$2, , , $B$2, "")</f>
        <v/>
      </c>
      <c r="G10" s="447" t="str">
        <f>_xll.ciqfunctions.udf.CIQRANGE($B$1, "IQ_BUS_SEG_REV", 1, 10, G$1, $J$1, $J$2, , , $B$2, "")</f>
        <v/>
      </c>
      <c r="H10" s="447" t="str">
        <f>_xll.ciqfunctions.udf.CIQRANGE($B$1, "IQ_BUS_SEG_REV", 1, 10, H$1, $J$1, $J$2, , , $B$2, "")</f>
        <v/>
      </c>
      <c r="I10" s="447" t="str">
        <f>_xll.ciqfunctions.udf.CIQRANGE($B$1, "IQ_BUS_SEG_REV", 1, 10, I$1, $J$1, $J$2, , , $B$2, "")</f>
        <v/>
      </c>
    </row>
    <row r="11" spans="1:12" x14ac:dyDescent="0.2">
      <c r="B11" s="399" t="str">
        <f>_xll.ciqfunctions.udf.CIQ("NYSE:WMT", "IQ_BUS_SEG_NAME", IQ_LTM, "3/25/2022", "L", , , , 1)</f>
        <v>Walmart U.S.</v>
      </c>
      <c r="C11" s="445">
        <f>_xll.ciqfunctions.udf.CIQ("NYSE:WMT", "IQ_BUS_SEG_REV", IQ_FY-6, "3/25/2022", "L", , , "USD", 1)</f>
        <v>298378</v>
      </c>
      <c r="D11" s="445">
        <f>_xll.ciqfunctions.udf.CIQ("NYSE:WMT", "IQ_BUS_SEG_REV", IQ_FY-5, "3/25/2022", "L", , , "USD", 1)</f>
        <v>307833</v>
      </c>
      <c r="E11" s="445">
        <f>_xll.ciqfunctions.udf.CIQ("NYSE:WMT", "IQ_BUS_SEG_REV", IQ_FY-4, "3/25/2022", "L", , , "USD", 1)</f>
        <v>318477</v>
      </c>
      <c r="F11" s="445">
        <f>_xll.ciqfunctions.udf.CIQ("NYSE:WMT", "IQ_BUS_SEG_REV", IQ_FY-3, "3/25/2022", "L", , , "USD", 1)</f>
        <v>331666</v>
      </c>
      <c r="G11" s="445">
        <f>_xll.ciqfunctions.udf.CIQ("NYSE:WMT", "IQ_BUS_SEG_REV", IQ_FY-2, "3/25/2022", "L", , , "USD", 1)</f>
        <v>341004</v>
      </c>
      <c r="H11" s="445">
        <f>_xll.ciqfunctions.udf.CIQ("NYSE:WMT", "IQ_BUS_SEG_REV", IQ_FY-1, "3/25/2022", "L", , , "USD", 1)</f>
        <v>369963</v>
      </c>
      <c r="I11" s="445">
        <f>_xll.ciqfunctions.udf.CIQ("NYSE:WMT", "IQ_BUS_SEG_REV", IQ_FY, "3/25/2022", "L", , , "USD", 1)</f>
        <v>393247</v>
      </c>
      <c r="L11" s="404"/>
    </row>
    <row r="12" spans="1:12" collapsed="1" x14ac:dyDescent="0.2">
      <c r="B12" s="399" t="str">
        <f>_xll.ciqfunctions.udf.CIQ("NYSE:WMT", "IQ_BUS_SEG_NAME", IQ_LTM, "3/25/2022", "L", , , , 2)</f>
        <v>Walmart International</v>
      </c>
      <c r="C12" s="445">
        <f>_xll.ciqfunctions.udf.CIQ("NYSE:WMT", "IQ_BUS_SEG_REV", IQ_FY-6, "3/25/2022", "L", , , "USD", 2)</f>
        <v>123408</v>
      </c>
      <c r="D12" s="445">
        <f>_xll.ciqfunctions.udf.CIQ("NYSE:WMT", "IQ_BUS_SEG_REV", IQ_FY-5, "3/25/2022", "L", , , "USD", 2)</f>
        <v>116119</v>
      </c>
      <c r="E12" s="445">
        <f>_xll.ciqfunctions.udf.CIQ("NYSE:WMT", "IQ_BUS_SEG_REV", IQ_FY-4, "3/25/2022", "L", , , "USD", 2)</f>
        <v>118068</v>
      </c>
      <c r="F12" s="445">
        <f>_xll.ciqfunctions.udf.CIQ("NYSE:WMT", "IQ_BUS_SEG_REV", IQ_FY-3, "3/25/2022", "L", , , "USD", 2)</f>
        <v>120824</v>
      </c>
      <c r="G12" s="445">
        <f>_xll.ciqfunctions.udf.CIQ("NYSE:WMT", "IQ_BUS_SEG_REV", IQ_FY-2, "3/25/2022", "L", , , "USD", 2)</f>
        <v>120130</v>
      </c>
      <c r="H12" s="445">
        <f>_xll.ciqfunctions.udf.CIQ("NYSE:WMT", "IQ_BUS_SEG_REV", IQ_FY-1, "3/25/2022", "L", , , "USD", 2)</f>
        <v>121360</v>
      </c>
      <c r="I12" s="445">
        <f>_xll.ciqfunctions.udf.CIQ("NYSE:WMT", "IQ_BUS_SEG_REV", IQ_FY, "3/25/2022", "L", , , "USD", 2)</f>
        <v>100959</v>
      </c>
    </row>
    <row r="13" spans="1:12" x14ac:dyDescent="0.2">
      <c r="B13" s="399" t="str">
        <f>_xll.ciqfunctions.udf.CIQ("NYSE:WMT", "IQ_BUS_SEG_NAME", IQ_LTM, "3/25/2022", "L", , , , 3)</f>
        <v>Sam's Club</v>
      </c>
      <c r="C13" s="445">
        <f>_xll.ciqfunctions.udf.CIQ("NYSE:WMT", "IQ_BUS_SEG_REV", IQ_FY-6, "3/25/2022", "L", , , "USD", 3)</f>
        <v>56828</v>
      </c>
      <c r="D13" s="445">
        <f>_xll.ciqfunctions.udf.CIQ("NYSE:WMT", "IQ_BUS_SEG_REV", IQ_FY-5, "3/25/2022", "L", , , "USD", 3)</f>
        <v>57365</v>
      </c>
      <c r="E13" s="445">
        <f>_xll.ciqfunctions.udf.CIQ("NYSE:WMT", "IQ_BUS_SEG_REV", IQ_FY-4, "3/25/2022", "L", , , "USD", 3)</f>
        <v>59216</v>
      </c>
      <c r="F13" s="445">
        <f>_xll.ciqfunctions.udf.CIQ("NYSE:WMT", "IQ_BUS_SEG_REV", IQ_FY-3, "3/25/2022", "L", , , "USD", 3)</f>
        <v>57839</v>
      </c>
      <c r="G13" s="445">
        <f>_xll.ciqfunctions.udf.CIQ("NYSE:WMT", "IQ_BUS_SEG_REV", IQ_FY-2, "3/25/2022", "L", , , "USD", 3)</f>
        <v>58792</v>
      </c>
      <c r="H13" s="445">
        <f>_xll.ciqfunctions.udf.CIQ("NYSE:WMT", "IQ_BUS_SEG_REV", IQ_FY-1, "3/25/2022", "L", , , "USD", 3)</f>
        <v>63910</v>
      </c>
      <c r="I13" s="445">
        <f>_xll.ciqfunctions.udf.CIQ("NYSE:WMT", "IQ_BUS_SEG_REV", IQ_FY, "3/25/2022", "L", , , "USD", 3)</f>
        <v>73556</v>
      </c>
    </row>
    <row r="14" spans="1:12" x14ac:dyDescent="0.2">
      <c r="B14" s="399" t="str">
        <f>_xll.ciqfunctions.udf.CIQ("NYSE:WMT", "IQ_BUS_SEG_NAME", IQ_LTM, "3/25/2022", "L", , , , 4)</f>
        <v>Corporate and Support</v>
      </c>
      <c r="C14" s="445">
        <f>_xll.ciqfunctions.udf.CIQ("NYSE:WMT", "IQ_BUS_SEG_REV", IQ_FY-6, "3/25/2022", "L", , , "USD", 4)</f>
        <v>0</v>
      </c>
      <c r="D14" s="445">
        <f>_xll.ciqfunctions.udf.CIQ("NYSE:WMT", "IQ_BUS_SEG_REV", IQ_FY-5, "3/25/2022", "L", , , "USD", 4)</f>
        <v>0</v>
      </c>
      <c r="E14" s="445">
        <f>_xll.ciqfunctions.udf.CIQ("NYSE:WMT", "IQ_BUS_SEG_REV", IQ_FY-4, "3/25/2022", "L", , , "USD", 4)</f>
        <v>0</v>
      </c>
      <c r="F14" s="445">
        <f>_xll.ciqfunctions.udf.CIQ("NYSE:WMT", "IQ_BUS_SEG_REV", IQ_FY-3, "3/25/2022", "L", , , "USD", 4)</f>
        <v>0</v>
      </c>
      <c r="G14" s="445">
        <f>_xll.ciqfunctions.udf.CIQ("NYSE:WMT", "IQ_BUS_SEG_REV", IQ_FY-2, "3/25/2022", "L", , , "USD", 4)</f>
        <v>0</v>
      </c>
      <c r="H14" s="445">
        <f>_xll.ciqfunctions.udf.CIQ("NYSE:WMT", "IQ_BUS_SEG_REV", IQ_FY-1, "3/25/2022", "L", , , "USD", 4)</f>
        <v>0</v>
      </c>
      <c r="I14" s="445">
        <f>_xll.ciqfunctions.udf.CIQ("NYSE:WMT", "IQ_BUS_SEG_REV", IQ_FY, "3/25/2022", "L", , , "USD", 4)</f>
        <v>0</v>
      </c>
    </row>
    <row r="15" spans="1:12" x14ac:dyDescent="0.2">
      <c r="B15" s="456" t="str">
        <f>_xll.ciqfunctions.udf.CIQ("NYSE:WMT", "IQ_BUS_SEG_NAME", IQ_LTM, "3/25/2022", "L", , , , 5)</f>
        <v>Segment Adjustment</v>
      </c>
      <c r="C15" s="445">
        <f>_xll.ciqfunctions.udf.CIQ("NYSE:WMT", "IQ_BUS_SEG_REV", IQ_FY-6, "3/25/2022", "L", , , "USD", 5)</f>
        <v>0</v>
      </c>
      <c r="D15" s="445">
        <f>_xll.ciqfunctions.udf.CIQ("NYSE:WMT", "IQ_BUS_SEG_REV", IQ_FY-5, "3/25/2022", "L", , , "USD", 5)</f>
        <v>0</v>
      </c>
      <c r="E15" s="445">
        <f>_xll.ciqfunctions.udf.CIQ("NYSE:WMT", "IQ_BUS_SEG_REV", IQ_FY-4, "3/25/2022", "L", , , "USD", 5)</f>
        <v>0</v>
      </c>
      <c r="F15" s="445">
        <f>_xll.ciqfunctions.udf.CIQ("NYSE:WMT", "IQ_BUS_SEG_REV", IQ_FY-3, "3/25/2022", "L", , , "USD", 5)</f>
        <v>0</v>
      </c>
      <c r="G15" s="445">
        <f>_xll.ciqfunctions.udf.CIQ("NYSE:WMT", "IQ_BUS_SEG_REV", IQ_FY-2, "3/25/2022", "L", , , "USD", 5)</f>
        <v>0</v>
      </c>
      <c r="H15" s="445">
        <f>_xll.ciqfunctions.udf.CIQ("NYSE:WMT", "IQ_BUS_SEG_REV", IQ_FY-1, "3/25/2022", "L", , , "USD", 5)</f>
        <v>0</v>
      </c>
      <c r="I15" s="445">
        <f>_xll.ciqfunctions.udf.CIQ("NYSE:WMT", "IQ_BUS_SEG_REV", IQ_FY, "3/25/2022", "L", , , "USD", 5)</f>
        <v>0</v>
      </c>
    </row>
    <row r="16" spans="1:12" x14ac:dyDescent="0.2">
      <c r="B16" s="454" t="str">
        <f>_xll.ciqfunctions.udf.CIQ("NYSE:WMT", "IQ_BUS_SEG_NAME", IQ_LTM, "3/25/2022", "L", , , , 6)</f>
        <v>U.S.</v>
      </c>
      <c r="C16" s="445">
        <f>_xll.ciqfunctions.udf.CIQ("NYSE:WMT", "IQ_BUS_SEG_REV", IQ_FY-6, "3/25/2022", "L", , , "USD", 6)</f>
        <v>0</v>
      </c>
      <c r="D16" s="445">
        <f>_xll.ciqfunctions.udf.CIQ("NYSE:WMT", "IQ_BUS_SEG_REV", IQ_FY-5, "3/25/2022", "L", , , "USD", 6)</f>
        <v>0</v>
      </c>
      <c r="E16" s="445">
        <f>_xll.ciqfunctions.udf.CIQ("NYSE:WMT", "IQ_BUS_SEG_REV", IQ_FY-4, "3/25/2022", "L", , , "USD", 6)</f>
        <v>0</v>
      </c>
      <c r="F16" s="445">
        <f>_xll.ciqfunctions.udf.CIQ("NYSE:WMT", "IQ_BUS_SEG_REV", IQ_FY-3, "3/25/2022", "L", , , "USD", 6)</f>
        <v>0</v>
      </c>
      <c r="G16" s="445">
        <f>_xll.ciqfunctions.udf.CIQ("NYSE:WMT", "IQ_BUS_SEG_REV", IQ_FY-2, "3/25/2022", "L", , , "USD", 6)</f>
        <v>0</v>
      </c>
      <c r="H16" s="445">
        <f>_xll.ciqfunctions.udf.CIQ("NYSE:WMT", "IQ_BUS_SEG_REV", IQ_FY-1, "3/25/2022", "L", , , "USD", 6)</f>
        <v>0</v>
      </c>
      <c r="I16" s="445">
        <f>_xll.ciqfunctions.udf.CIQ("NYSE:WMT", "IQ_BUS_SEG_REV", IQ_FY, "3/25/2022", "L", , , "USD", 6)</f>
        <v>0</v>
      </c>
    </row>
    <row r="17" spans="2:13" x14ac:dyDescent="0.2">
      <c r="B17" s="454" t="str">
        <f>_xll.ciqfunctions.udf.CIQ("NYSE:WMT", "IQ_BUS_SEG_NAME", IQ_LTM, "3/25/2022", "L", , , , 7)</f>
        <v>Other Unallocated</v>
      </c>
      <c r="C17" s="455">
        <f>_xll.ciqfunctions.udf.CIQ("NYSE:WMT", "IQ_BUS_SEG_REV", IQ_FY-6, "3/25/2022", "L", , , "USD", 7)</f>
        <v>0</v>
      </c>
      <c r="D17" s="455">
        <f>_xll.ciqfunctions.udf.CIQ("NYSE:WMT", "IQ_BUS_SEG_REV", IQ_FY-5, "3/25/2022", "L", , , "USD", 7)</f>
        <v>0</v>
      </c>
      <c r="E17" s="455">
        <f>_xll.ciqfunctions.udf.CIQ("NYSE:WMT", "IQ_BUS_SEG_REV", IQ_FY-4, "3/25/2022", "L", , , "USD", 7)</f>
        <v>0</v>
      </c>
      <c r="F17" s="455">
        <f>_xll.ciqfunctions.udf.CIQ("NYSE:WMT", "IQ_BUS_SEG_REV", IQ_FY-3, "3/25/2022", "L", , , "USD", 7)</f>
        <v>0</v>
      </c>
      <c r="G17" s="455">
        <f>_xll.ciqfunctions.udf.CIQ("NYSE:WMT", "IQ_BUS_SEG_REV", IQ_FY-2, "3/25/2022", "L", , , "USD", 7)</f>
        <v>0</v>
      </c>
      <c r="H17" s="455">
        <f>_xll.ciqfunctions.udf.CIQ("NYSE:WMT", "IQ_BUS_SEG_REV", IQ_FY-1, "3/25/2022", "L", , , "USD", 7)</f>
        <v>0</v>
      </c>
      <c r="I17" s="455">
        <f>_xll.ciqfunctions.udf.CIQ("NYSE:WMT", "IQ_BUS_SEG_REV", IQ_FY, "3/25/2022", "L", , , "USD", 7)</f>
        <v>0</v>
      </c>
    </row>
    <row r="18" spans="2:13" x14ac:dyDescent="0.2">
      <c r="B18" s="454"/>
      <c r="C18" s="455"/>
      <c r="D18" s="455"/>
      <c r="E18" s="455"/>
      <c r="F18" s="455"/>
      <c r="G18" s="455"/>
      <c r="H18" s="455"/>
      <c r="I18" s="455"/>
    </row>
    <row r="19" spans="2:13" x14ac:dyDescent="0.2">
      <c r="B19" s="454"/>
    </row>
    <row r="20" spans="2:13" x14ac:dyDescent="0.2">
      <c r="B20" s="454"/>
    </row>
    <row r="21" spans="2:13" collapsed="1" x14ac:dyDescent="0.2">
      <c r="B21" s="444" t="s">
        <v>539</v>
      </c>
      <c r="C21" s="443">
        <f>C46</f>
        <v>482130</v>
      </c>
      <c r="D21" s="443">
        <f t="shared" ref="D21:I21" si="0">D46</f>
        <v>485873</v>
      </c>
      <c r="E21" s="443">
        <f t="shared" si="0"/>
        <v>500343</v>
      </c>
      <c r="F21" s="443">
        <f t="shared" si="0"/>
        <v>514405</v>
      </c>
      <c r="G21" s="443">
        <f t="shared" si="0"/>
        <v>523964</v>
      </c>
      <c r="H21" s="443">
        <f t="shared" si="0"/>
        <v>559151</v>
      </c>
      <c r="I21" s="443">
        <f t="shared" si="0"/>
        <v>572754</v>
      </c>
    </row>
    <row r="22" spans="2:13" x14ac:dyDescent="0.2">
      <c r="B22" s="453"/>
      <c r="C22" s="452"/>
      <c r="D22" s="452"/>
      <c r="E22" s="452"/>
      <c r="F22" s="452"/>
      <c r="G22" s="452"/>
      <c r="H22" s="452"/>
      <c r="I22" s="452"/>
    </row>
    <row r="23" spans="2:13" ht="15" x14ac:dyDescent="0.2">
      <c r="B23" s="451" t="s">
        <v>605</v>
      </c>
      <c r="C23" s="450"/>
      <c r="D23" s="450"/>
      <c r="E23" s="450"/>
      <c r="F23" s="450"/>
      <c r="G23" s="450"/>
      <c r="H23" s="450"/>
      <c r="I23" s="450"/>
    </row>
    <row r="24" spans="2:13" x14ac:dyDescent="0.2">
      <c r="B24" s="449" t="str">
        <f>Input!$C$6&amp;"mm"</f>
        <v>USDmm</v>
      </c>
      <c r="C24" s="448">
        <f t="shared" ref="C24:I24" si="1">+C9</f>
        <v>42400</v>
      </c>
      <c r="D24" s="448">
        <f t="shared" si="1"/>
        <v>42766</v>
      </c>
      <c r="E24" s="448">
        <f t="shared" si="1"/>
        <v>43131</v>
      </c>
      <c r="F24" s="448">
        <f t="shared" si="1"/>
        <v>43496</v>
      </c>
      <c r="G24" s="448">
        <f t="shared" si="1"/>
        <v>43861</v>
      </c>
      <c r="H24" s="448">
        <f t="shared" si="1"/>
        <v>44227</v>
      </c>
      <c r="I24" s="448">
        <f t="shared" si="1"/>
        <v>44592</v>
      </c>
    </row>
    <row r="25" spans="2:13" x14ac:dyDescent="0.2">
      <c r="B25" s="407" t="str">
        <f>_xll.ciqfunctions.udf.CIQRANGE($B$1, "IQ_GEO_SEG_NAME", 1, 20, , $J$1, $J$2, , , , "Segment Name")</f>
        <v>Segment Name</v>
      </c>
      <c r="C25" s="447" t="str">
        <f>_xll.ciqfunctions.udf.CIQRANGE($B$1, "IQ_GEO_SEG_REV", 1, 20, C$1, $J$1, $J$2, , , $B$2, "")</f>
        <v/>
      </c>
      <c r="D25" s="447" t="str">
        <f>_xll.ciqfunctions.udf.CIQRANGE($B$1, "IQ_GEO_SEG_REV", 1, 20, D$1, $J$1, $J$2, , , $B$2, "")</f>
        <v/>
      </c>
      <c r="E25" s="447" t="str">
        <f>_xll.ciqfunctions.udf.CIQRANGE($B$1, "IQ_GEO_SEG_REV", 1, 20, E$1, $J$1, $J$2, , , $B$2, "")</f>
        <v/>
      </c>
      <c r="F25" s="447" t="str">
        <f>_xll.ciqfunctions.udf.CIQRANGE($B$1, "IQ_GEO_SEG_REV", 1, 20, F$1, $J$1, $J$2, , , $B$2, "")</f>
        <v/>
      </c>
      <c r="G25" s="447" t="str">
        <f>_xll.ciqfunctions.udf.CIQRANGE($B$1, "IQ_GEO_SEG_REV", 1, 20, G$1, $J$1, $J$2, , , $B$2, "")</f>
        <v/>
      </c>
      <c r="H25" s="447" t="str">
        <f>_xll.ciqfunctions.udf.CIQRANGE($B$1, "IQ_GEO_SEG_REV", 1, 20, H$1, $J$1, $J$2, , , $B$2, "")</f>
        <v/>
      </c>
      <c r="I25" s="447" t="str">
        <f>_xll.ciqfunctions.udf.CIQRANGE($B$1, "IQ_GEO_SEG_REV", 1, 20, I$1, $J$1, $J$2, , , $B$2, "")</f>
        <v/>
      </c>
    </row>
    <row r="26" spans="2:13" x14ac:dyDescent="0.2">
      <c r="B26" s="399" t="str">
        <f>_xll.ciqfunctions.udf.CIQ("NYSE:WMT", "IQ_GEO_SEG_NAME", IQ_LTM, "3/25/2022", "L", , , , 1)</f>
        <v>U.S.</v>
      </c>
      <c r="C26" s="445">
        <f>_xll.ciqfunctions.udf.CIQ("NYSE:WMT", "IQ_GEO_SEG_REV", IQ_FY-6, "3/25/2022", "L", , , "USD", 1)</f>
        <v>357559</v>
      </c>
      <c r="D26" s="445">
        <f>_xll.ciqfunctions.udf.CIQ("NYSE:WMT", "IQ_GEO_SEG_REV", IQ_FY-5, "3/25/2022", "L", , , "USD", 1)</f>
        <v>367784</v>
      </c>
      <c r="E26" s="445">
        <f>_xll.ciqfunctions.udf.CIQ("NYSE:WMT", "IQ_GEO_SEG_REV", IQ_FY-4, "3/25/2022", "L", , , "USD", 1)</f>
        <v>380580</v>
      </c>
      <c r="F26" s="445">
        <f>_xll.ciqfunctions.udf.CIQ("NYSE:WMT", "IQ_GEO_SEG_REV", IQ_FY-3, "3/25/2022", "L", , , "USD", 1)</f>
        <v>392265</v>
      </c>
      <c r="G26" s="445">
        <f>_xll.ciqfunctions.udf.CIQ("NYSE:WMT", "IQ_GEO_SEG_REV", IQ_FY-2, "3/25/2022", "L", , , "USD", 1)</f>
        <v>402532</v>
      </c>
      <c r="H26" s="445">
        <f>_xll.ciqfunctions.udf.CIQ("NYSE:WMT", "IQ_GEO_SEG_REV", IQ_FY-1, "3/25/2022", "L", , , "USD", 1)</f>
        <v>436649</v>
      </c>
      <c r="I26" s="445">
        <f>_xll.ciqfunctions.udf.CIQ("NYSE:WMT", "IQ_GEO_SEG_REV", IQ_FY, "3/25/2022", "L", , , "USD", 1)</f>
        <v>470295</v>
      </c>
    </row>
    <row r="27" spans="2:13" x14ac:dyDescent="0.2">
      <c r="B27" s="399" t="str">
        <f>_xll.ciqfunctions.udf.CIQ("NYSE:WMT", "IQ_GEO_SEG_NAME", IQ_LTM, "3/25/2022", "L", , , , 2)</f>
        <v>Non-U.S.</v>
      </c>
      <c r="C27" s="445">
        <f>_xll.ciqfunctions.udf.CIQ("NYSE:WMT", "IQ_GEO_SEG_REV", IQ_FY-6, "3/25/2022", "L", , , "USD", 2)</f>
        <v>124571</v>
      </c>
      <c r="D27" s="445">
        <f>_xll.ciqfunctions.udf.CIQ("NYSE:WMT", "IQ_GEO_SEG_REV", IQ_FY-5, "3/25/2022", "L", , , "USD", 2)</f>
        <v>118089</v>
      </c>
      <c r="E27" s="445">
        <f>_xll.ciqfunctions.udf.CIQ("NYSE:WMT", "IQ_GEO_SEG_REV", IQ_FY-4, "3/25/2022", "L", , , "USD", 2)</f>
        <v>119763</v>
      </c>
      <c r="F27" s="445">
        <f>_xll.ciqfunctions.udf.CIQ("NYSE:WMT", "IQ_GEO_SEG_REV", IQ_FY-3, "3/25/2022", "L", , , "USD", 2)</f>
        <v>122140</v>
      </c>
      <c r="G27" s="445">
        <f>_xll.ciqfunctions.udf.CIQ("NYSE:WMT", "IQ_GEO_SEG_REV", IQ_FY-2, "3/25/2022", "L", , , "USD", 2)</f>
        <v>121432</v>
      </c>
      <c r="H27" s="445">
        <f>_xll.ciqfunctions.udf.CIQ("NYSE:WMT", "IQ_GEO_SEG_REV", IQ_FY-1, "3/25/2022", "L", , , "USD", 2)</f>
        <v>122502</v>
      </c>
      <c r="I27" s="445">
        <f>_xll.ciqfunctions.udf.CIQ("NYSE:WMT", "IQ_GEO_SEG_REV", IQ_FY, "3/25/2022", "L", , , "USD", 2)</f>
        <v>102459</v>
      </c>
      <c r="M27" s="681"/>
    </row>
    <row r="28" spans="2:13" x14ac:dyDescent="0.2">
      <c r="B28" s="446" t="str">
        <f>_xll.ciqfunctions.udf.CIQ("NYSE:WMT", "IQ_GEO_SEG_NAME", IQ_LTM, "3/25/2022", "L", , , , 3)</f>
        <v>United States and Puerto Rico</v>
      </c>
      <c r="C28" s="445">
        <f>_xll.ciqfunctions.udf.CIQ("NYSE:WMT", "IQ_GEO_SEG_REV", IQ_FY-6, "3/25/2022", "L", , , "USD", 3)</f>
        <v>0</v>
      </c>
      <c r="D28" s="445">
        <f>_xll.ciqfunctions.udf.CIQ("NYSE:WMT", "IQ_GEO_SEG_REV", IQ_FY-5, "3/25/2022", "L", , , "USD", 3)</f>
        <v>0</v>
      </c>
      <c r="E28" s="445">
        <f>_xll.ciqfunctions.udf.CIQ("NYSE:WMT", "IQ_GEO_SEG_REV", IQ_FY-4, "3/25/2022", "L", , , "USD", 3)</f>
        <v>0</v>
      </c>
      <c r="F28" s="445">
        <f>_xll.ciqfunctions.udf.CIQ("NYSE:WMT", "IQ_GEO_SEG_REV", IQ_FY-3, "3/25/2022", "L", , , "USD", 3)</f>
        <v>0</v>
      </c>
      <c r="G28" s="445">
        <f>_xll.ciqfunctions.udf.CIQ("NYSE:WMT", "IQ_GEO_SEG_REV", IQ_FY-2, "3/25/2022", "L", , , "USD", 3)</f>
        <v>0</v>
      </c>
      <c r="H28" s="445">
        <f>_xll.ciqfunctions.udf.CIQ("NYSE:WMT", "IQ_GEO_SEG_REV", IQ_FY-1, "3/25/2022", "L", , , "USD", 3)</f>
        <v>0</v>
      </c>
      <c r="I28" s="445">
        <f>_xll.ciqfunctions.udf.CIQ("NYSE:WMT", "IQ_GEO_SEG_REV", IQ_FY, "3/25/2022", "L", , , "USD", 3)</f>
        <v>0</v>
      </c>
      <c r="M28" s="681"/>
    </row>
    <row r="29" spans="2:13" x14ac:dyDescent="0.2">
      <c r="C29" s="445"/>
      <c r="D29" s="445"/>
      <c r="E29" s="445"/>
      <c r="F29" s="445"/>
      <c r="G29" s="445"/>
      <c r="H29" s="445"/>
      <c r="I29" s="445"/>
      <c r="M29" s="681"/>
    </row>
    <row r="30" spans="2:13" x14ac:dyDescent="0.2">
      <c r="C30" s="445"/>
      <c r="D30" s="445"/>
      <c r="E30" s="445"/>
      <c r="F30" s="445"/>
      <c r="G30" s="445"/>
      <c r="H30" s="445"/>
      <c r="I30" s="445"/>
      <c r="M30" s="681"/>
    </row>
    <row r="31" spans="2:13" x14ac:dyDescent="0.2">
      <c r="C31" s="445"/>
      <c r="D31" s="445"/>
      <c r="E31" s="445"/>
      <c r="F31" s="445"/>
      <c r="G31" s="445"/>
      <c r="H31" s="445"/>
      <c r="I31" s="445"/>
      <c r="M31" s="681"/>
    </row>
    <row r="32" spans="2:13" x14ac:dyDescent="0.2">
      <c r="C32" s="445"/>
      <c r="D32" s="445"/>
      <c r="E32" s="445"/>
      <c r="F32" s="445"/>
      <c r="G32" s="445"/>
      <c r="H32" s="445"/>
      <c r="I32" s="445"/>
      <c r="M32" s="681"/>
    </row>
    <row r="33" spans="2:13" x14ac:dyDescent="0.2">
      <c r="C33" s="445"/>
      <c r="D33" s="445"/>
      <c r="E33" s="445"/>
      <c r="F33" s="445"/>
      <c r="G33" s="445"/>
      <c r="H33" s="445"/>
      <c r="I33" s="445"/>
      <c r="M33" s="681"/>
    </row>
    <row r="34" spans="2:13" x14ac:dyDescent="0.2">
      <c r="C34" s="445"/>
      <c r="D34" s="445"/>
      <c r="E34" s="445"/>
      <c r="F34" s="445"/>
      <c r="G34" s="445"/>
      <c r="H34" s="445"/>
      <c r="I34" s="445"/>
      <c r="M34" s="681"/>
    </row>
    <row r="35" spans="2:13" x14ac:dyDescent="0.2">
      <c r="C35" s="445"/>
      <c r="D35" s="445"/>
      <c r="E35" s="445"/>
      <c r="F35" s="445"/>
      <c r="G35" s="445"/>
      <c r="H35" s="445"/>
      <c r="I35" s="445"/>
    </row>
    <row r="36" spans="2:13" x14ac:dyDescent="0.2">
      <c r="C36" s="445"/>
      <c r="D36" s="445"/>
      <c r="E36" s="445"/>
      <c r="F36" s="445"/>
      <c r="G36" s="445"/>
      <c r="H36" s="445"/>
      <c r="I36" s="445"/>
    </row>
    <row r="37" spans="2:13" hidden="1" outlineLevel="1" x14ac:dyDescent="0.2">
      <c r="C37" s="398"/>
      <c r="D37" s="398"/>
      <c r="E37" s="398"/>
      <c r="F37" s="398"/>
      <c r="G37" s="398"/>
      <c r="H37" s="398"/>
      <c r="I37" s="398"/>
    </row>
    <row r="38" spans="2:13" hidden="1" outlineLevel="1" x14ac:dyDescent="0.2">
      <c r="C38" s="398"/>
      <c r="D38" s="398"/>
      <c r="E38" s="398"/>
      <c r="F38" s="398"/>
      <c r="G38" s="398"/>
      <c r="H38" s="398"/>
      <c r="I38" s="398"/>
    </row>
    <row r="39" spans="2:13" hidden="1" outlineLevel="1" x14ac:dyDescent="0.2">
      <c r="C39" s="398"/>
      <c r="D39" s="398"/>
      <c r="E39" s="398"/>
      <c r="F39" s="398"/>
      <c r="G39" s="398"/>
      <c r="H39" s="398"/>
      <c r="I39" s="398"/>
    </row>
    <row r="40" spans="2:13" hidden="1" outlineLevel="1" x14ac:dyDescent="0.2">
      <c r="C40" s="398"/>
      <c r="D40" s="398"/>
      <c r="E40" s="398"/>
      <c r="F40" s="398"/>
      <c r="G40" s="398"/>
      <c r="H40" s="398"/>
      <c r="I40" s="398"/>
    </row>
    <row r="41" spans="2:13" hidden="1" outlineLevel="1" x14ac:dyDescent="0.2">
      <c r="C41" s="398"/>
      <c r="D41" s="398"/>
      <c r="E41" s="398"/>
      <c r="F41" s="398"/>
      <c r="G41" s="398"/>
      <c r="H41" s="398"/>
      <c r="I41" s="398"/>
    </row>
    <row r="42" spans="2:13" hidden="1" outlineLevel="1" x14ac:dyDescent="0.2">
      <c r="C42" s="398"/>
      <c r="D42" s="398"/>
      <c r="E42" s="398"/>
      <c r="F42" s="398"/>
      <c r="G42" s="398"/>
      <c r="H42" s="398"/>
      <c r="I42" s="398"/>
    </row>
    <row r="43" spans="2:13" hidden="1" outlineLevel="1" x14ac:dyDescent="0.2">
      <c r="C43" s="398"/>
      <c r="D43" s="398"/>
      <c r="E43" s="398"/>
      <c r="F43" s="398"/>
      <c r="G43" s="398"/>
      <c r="H43" s="398"/>
      <c r="I43" s="398"/>
    </row>
    <row r="44" spans="2:13" hidden="1" outlineLevel="1" x14ac:dyDescent="0.2">
      <c r="C44" s="398"/>
      <c r="D44" s="398"/>
      <c r="E44" s="398"/>
      <c r="F44" s="398"/>
      <c r="G44" s="398"/>
      <c r="H44" s="398"/>
      <c r="I44" s="398"/>
    </row>
    <row r="45" spans="2:13" hidden="1" outlineLevel="1" x14ac:dyDescent="0.2">
      <c r="C45" s="398"/>
      <c r="D45" s="398"/>
      <c r="E45" s="398"/>
      <c r="F45" s="398"/>
      <c r="G45" s="398"/>
      <c r="H45" s="398"/>
      <c r="I45" s="398"/>
    </row>
    <row r="46" spans="2:13" collapsed="1" x14ac:dyDescent="0.2">
      <c r="B46" s="444" t="s">
        <v>539</v>
      </c>
      <c r="C46" s="443">
        <f>SUM(C26:C45)</f>
        <v>482130</v>
      </c>
      <c r="D46" s="443">
        <f t="shared" ref="D46:I46" si="2">SUM(D26:D45)</f>
        <v>485873</v>
      </c>
      <c r="E46" s="443">
        <f t="shared" si="2"/>
        <v>500343</v>
      </c>
      <c r="F46" s="443">
        <f t="shared" si="2"/>
        <v>514405</v>
      </c>
      <c r="G46" s="443">
        <f t="shared" si="2"/>
        <v>523964</v>
      </c>
      <c r="H46" s="443">
        <f t="shared" si="2"/>
        <v>559151</v>
      </c>
      <c r="I46" s="443">
        <f t="shared" si="2"/>
        <v>572754</v>
      </c>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1" tint="0.249977111117893"/>
  </sheetPr>
  <dimension ref="B1:CG1000"/>
  <sheetViews>
    <sheetView showGridLines="0" zoomScale="80" zoomScaleNormal="80" workbookViewId="0"/>
  </sheetViews>
  <sheetFormatPr defaultColWidth="9" defaultRowHeight="15.75" customHeight="1" x14ac:dyDescent="0.2"/>
  <cols>
    <col min="1" max="1" width="2.25" style="457" customWidth="1"/>
    <col min="2" max="2" width="32.25" customWidth="1"/>
    <col min="3" max="6" width="14.625" customWidth="1"/>
    <col min="7" max="7" width="16.625" customWidth="1"/>
    <col min="8" max="8" width="5.75" style="458" customWidth="1"/>
    <col min="9" max="25" width="1.625" style="458" customWidth="1"/>
    <col min="26" max="27" width="1.625" style="458" hidden="1" customWidth="1"/>
    <col min="28" max="60" width="1.625" style="458" customWidth="1"/>
    <col min="61" max="61" width="14.5" style="457" customWidth="1"/>
    <col min="62" max="62" width="5.75" customWidth="1"/>
    <col min="63" max="63" width="14.5" customWidth="1"/>
    <col min="64" max="64" width="14.25" customWidth="1"/>
    <col min="65" max="65" width="16.5" customWidth="1"/>
    <col min="66" max="66" width="47.75" customWidth="1"/>
    <col min="67" max="67" width="15.625" customWidth="1"/>
    <col min="68" max="68" width="36.625" customWidth="1"/>
    <col min="69" max="70" width="15.625" customWidth="1"/>
    <col min="71" max="71" width="21.625" customWidth="1"/>
    <col min="72" max="72" width="23" customWidth="1"/>
    <col min="73" max="73" width="20.75" customWidth="1"/>
    <col min="74" max="77" width="15.625" customWidth="1"/>
    <col min="78" max="78" width="4.625" customWidth="1"/>
    <col min="79" max="79" width="9" style="457"/>
    <col min="80" max="80" width="35.625" style="457" customWidth="1"/>
    <col min="81" max="81" width="4.75" style="457" customWidth="1"/>
    <col min="82" max="82" width="9" style="457"/>
    <col min="83" max="83" width="13.25" style="457" customWidth="1"/>
    <col min="84" max="16384" width="9" style="457"/>
  </cols>
  <sheetData>
    <row r="1" spans="2:85" ht="14.25" x14ac:dyDescent="0.2">
      <c r="B1" s="442" t="s">
        <v>583</v>
      </c>
      <c r="C1" s="489"/>
      <c r="D1" s="457"/>
      <c r="E1" s="472"/>
      <c r="F1" s="739"/>
      <c r="G1" s="746"/>
      <c r="H1" s="507">
        <f>COUNTA(D9:D10008)+ROW(F8)</f>
        <v>24</v>
      </c>
      <c r="BI1" s="629" t="s">
        <v>1062</v>
      </c>
      <c r="BJ1" s="498">
        <v>36</v>
      </c>
      <c r="BK1" s="497">
        <v>1000</v>
      </c>
      <c r="BL1" s="497"/>
      <c r="BM1" s="497"/>
      <c r="BN1" s="497"/>
      <c r="BO1" s="497"/>
      <c r="BP1" s="497"/>
      <c r="BQ1" s="497"/>
      <c r="BR1" s="497"/>
      <c r="BS1" s="497"/>
      <c r="BT1" s="497"/>
      <c r="BU1" s="497"/>
      <c r="BV1" s="497"/>
      <c r="BW1" s="497"/>
      <c r="BX1" s="497"/>
      <c r="BY1" s="497"/>
      <c r="BZ1" s="497"/>
    </row>
    <row r="2" spans="2:85" s="496" customFormat="1" ht="14.25" x14ac:dyDescent="0.2">
      <c r="B2" s="506" t="s">
        <v>645</v>
      </c>
      <c r="C2" s="505">
        <f>Input!C8</f>
        <v>44645</v>
      </c>
      <c r="D2" s="497"/>
      <c r="E2" s="497"/>
      <c r="F2" s="740"/>
      <c r="G2" s="747" t="s">
        <v>627</v>
      </c>
      <c r="H2" s="399">
        <f>IFERROR(MATCH(G2,$C$8:$C$1048576,0),0)</f>
        <v>3</v>
      </c>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8"/>
      <c r="BK2" s="497"/>
      <c r="BL2" s="497"/>
      <c r="BM2" s="497"/>
      <c r="BN2" s="497"/>
      <c r="BO2" s="497"/>
      <c r="BP2" s="497"/>
      <c r="BQ2" s="497"/>
      <c r="BR2" s="497"/>
      <c r="BS2" s="497"/>
      <c r="BT2" s="497"/>
      <c r="BU2" s="497"/>
      <c r="BV2" s="497"/>
      <c r="BW2" s="497"/>
      <c r="BX2" s="497"/>
      <c r="BY2" s="497"/>
      <c r="BZ2" s="497"/>
      <c r="CA2" s="457"/>
      <c r="CB2" s="457"/>
      <c r="CC2" s="457"/>
      <c r="CD2" s="457"/>
      <c r="CE2" s="457"/>
      <c r="CF2" s="457"/>
      <c r="CG2" s="457"/>
    </row>
    <row r="3" spans="2:85" s="496" customFormat="1" ht="14.25" x14ac:dyDescent="0.2">
      <c r="B3" s="504" t="s">
        <v>644</v>
      </c>
      <c r="C3" s="503" t="str">
        <f>+Target</f>
        <v>NYSE:WMT</v>
      </c>
      <c r="D3" s="497"/>
      <c r="E3" s="497"/>
      <c r="F3" s="740"/>
      <c r="G3" s="747" t="s">
        <v>626</v>
      </c>
      <c r="H3" s="399">
        <f>IFERROR(MATCH(G3,$C$8:$C$1048576,0),0)</f>
        <v>11</v>
      </c>
      <c r="I3" s="494"/>
      <c r="J3" s="494"/>
      <c r="K3" s="494"/>
      <c r="L3" s="494"/>
      <c r="M3" s="494"/>
      <c r="N3" s="494"/>
      <c r="O3" s="49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502"/>
      <c r="BE3" s="494"/>
      <c r="BF3" s="494"/>
      <c r="BG3" s="494"/>
      <c r="BH3" s="494"/>
      <c r="BI3" s="494"/>
      <c r="BJ3" s="498"/>
      <c r="BK3" s="501"/>
      <c r="BL3" s="497"/>
      <c r="BM3" s="497"/>
      <c r="BN3" s="497"/>
      <c r="BO3" s="497"/>
      <c r="BP3" s="497"/>
      <c r="BQ3" s="497"/>
      <c r="BR3" s="497"/>
      <c r="BS3" s="497"/>
      <c r="BT3" s="497"/>
      <c r="BU3" s="497"/>
      <c r="BV3" s="497"/>
      <c r="BW3" s="497"/>
      <c r="BX3" s="497"/>
      <c r="BY3" s="497"/>
      <c r="BZ3" s="497"/>
      <c r="CA3" s="457"/>
      <c r="CB3" s="457"/>
      <c r="CC3" s="457"/>
      <c r="CD3" s="457"/>
      <c r="CE3" s="457"/>
      <c r="CF3" s="457"/>
      <c r="CG3" s="457"/>
    </row>
    <row r="4" spans="2:85" s="496" customFormat="1" ht="14.25" x14ac:dyDescent="0.2">
      <c r="B4" s="500" t="s">
        <v>643</v>
      </c>
      <c r="C4" s="499" t="str">
        <f>Input!C6</f>
        <v>USD</v>
      </c>
      <c r="D4" s="497"/>
      <c r="E4" s="497"/>
      <c r="F4" s="740"/>
      <c r="G4" s="747" t="s">
        <v>642</v>
      </c>
      <c r="H4" s="494">
        <f>COUNTIF(C8:C1048576,"Financial")</f>
        <v>8</v>
      </c>
      <c r="I4" s="494"/>
      <c r="J4" s="494"/>
      <c r="K4" s="494"/>
      <c r="L4" s="494"/>
      <c r="M4" s="494"/>
      <c r="N4" s="494"/>
      <c r="O4" s="494"/>
      <c r="P4" s="494"/>
      <c r="Q4" s="494"/>
      <c r="R4" s="494"/>
      <c r="S4" s="494"/>
      <c r="T4" s="494"/>
      <c r="U4" s="494"/>
      <c r="V4" s="494"/>
      <c r="W4" s="494"/>
      <c r="X4" s="494"/>
      <c r="Y4" s="494"/>
      <c r="Z4" s="494"/>
      <c r="AA4" s="494"/>
      <c r="AB4" s="494"/>
      <c r="AC4" s="494"/>
      <c r="AD4" s="494"/>
      <c r="AE4" s="494"/>
      <c r="AF4" s="494"/>
      <c r="AG4" s="494"/>
      <c r="AH4" s="494"/>
      <c r="AI4" s="494"/>
      <c r="AJ4" s="494"/>
      <c r="AK4" s="494"/>
      <c r="AL4" s="494"/>
      <c r="AM4" s="494"/>
      <c r="AN4" s="494"/>
      <c r="AO4" s="494"/>
      <c r="AP4" s="494"/>
      <c r="AQ4" s="494"/>
      <c r="AR4" s="494"/>
      <c r="AS4" s="494"/>
      <c r="AT4" s="494"/>
      <c r="AU4" s="494"/>
      <c r="AV4" s="494"/>
      <c r="AW4" s="494"/>
      <c r="AX4" s="494"/>
      <c r="AY4" s="494"/>
      <c r="AZ4" s="494"/>
      <c r="BA4" s="494"/>
      <c r="BB4" s="494"/>
      <c r="BC4" s="494"/>
      <c r="BD4" s="494"/>
      <c r="BE4" s="494"/>
      <c r="BF4" s="494"/>
      <c r="BG4" s="494"/>
      <c r="BH4" s="494"/>
      <c r="BI4" s="494"/>
      <c r="BJ4" s="487"/>
      <c r="BK4" s="497">
        <v>1</v>
      </c>
      <c r="BL4" s="497">
        <v>2</v>
      </c>
      <c r="BM4" s="497">
        <v>3</v>
      </c>
      <c r="BN4" s="497">
        <v>4</v>
      </c>
      <c r="BO4" s="497">
        <v>5</v>
      </c>
      <c r="BP4" s="497">
        <v>6</v>
      </c>
      <c r="BQ4" s="497">
        <v>7</v>
      </c>
      <c r="BR4" s="497">
        <v>8</v>
      </c>
      <c r="BS4" s="497">
        <v>9</v>
      </c>
      <c r="BT4" s="497">
        <v>10</v>
      </c>
      <c r="BU4" s="497">
        <v>11</v>
      </c>
      <c r="BV4" s="497">
        <v>12</v>
      </c>
      <c r="BW4" s="497">
        <v>13</v>
      </c>
      <c r="BX4" s="497">
        <v>14</v>
      </c>
      <c r="BY4" s="497">
        <v>15</v>
      </c>
      <c r="BZ4" s="497"/>
      <c r="CA4" s="457"/>
      <c r="CB4" s="457"/>
      <c r="CC4" s="457"/>
      <c r="CD4" s="457"/>
      <c r="CE4" s="457"/>
      <c r="CF4" s="457"/>
      <c r="CG4" s="457"/>
    </row>
    <row r="5" spans="2:85" ht="15" customHeight="1" x14ac:dyDescent="0.2">
      <c r="B5" s="489"/>
      <c r="C5" s="489"/>
      <c r="D5" s="495"/>
      <c r="E5" s="495"/>
      <c r="F5" s="741"/>
      <c r="G5" s="747" t="s">
        <v>641</v>
      </c>
      <c r="H5" s="494">
        <f>COUNTIF(C8:C1048576,"Legal")</f>
        <v>7</v>
      </c>
      <c r="I5" s="492"/>
      <c r="J5" s="492"/>
      <c r="K5" s="492"/>
      <c r="L5" s="492"/>
      <c r="M5" s="492"/>
      <c r="N5" s="492"/>
      <c r="O5" s="492"/>
      <c r="P5" s="492"/>
      <c r="Q5" s="492"/>
      <c r="R5" s="492"/>
      <c r="S5" s="492"/>
      <c r="T5" s="492"/>
      <c r="U5" s="492"/>
      <c r="V5" s="492"/>
      <c r="W5" s="492"/>
      <c r="X5" s="492"/>
      <c r="Y5" s="492"/>
      <c r="Z5" s="492"/>
      <c r="AA5" s="492"/>
      <c r="AB5" s="492"/>
      <c r="AC5" s="492"/>
      <c r="AD5" s="492"/>
      <c r="AE5" s="492"/>
      <c r="AF5" s="492"/>
      <c r="AG5" s="492"/>
      <c r="AH5" s="492"/>
      <c r="AI5" s="492"/>
      <c r="AJ5" s="492"/>
      <c r="AK5" s="492"/>
      <c r="AL5" s="492"/>
      <c r="AM5" s="492"/>
      <c r="AN5" s="492"/>
      <c r="AO5" s="492"/>
      <c r="AP5" s="492"/>
      <c r="AQ5" s="492"/>
      <c r="AR5" s="492"/>
      <c r="AS5" s="492"/>
      <c r="AT5" s="492"/>
      <c r="AU5" s="492"/>
      <c r="AV5" s="492"/>
      <c r="AW5" s="492"/>
      <c r="AX5" s="492"/>
      <c r="AY5" s="492"/>
      <c r="AZ5" s="492"/>
      <c r="BA5" s="492"/>
      <c r="BB5" s="492"/>
      <c r="BC5" s="492"/>
      <c r="BD5" s="493"/>
      <c r="BE5" s="492"/>
      <c r="BF5" s="492"/>
      <c r="BG5" s="492"/>
      <c r="BH5" s="492"/>
      <c r="BI5" s="492"/>
      <c r="BJ5" s="487"/>
      <c r="BK5" s="491"/>
      <c r="BL5" s="490"/>
      <c r="BM5" s="490"/>
      <c r="BN5" s="490"/>
      <c r="BO5" s="490"/>
      <c r="BP5" s="490"/>
      <c r="BQ5" s="490"/>
      <c r="BR5" s="490"/>
      <c r="BS5" s="490"/>
      <c r="BT5" s="490"/>
      <c r="BU5" s="490"/>
      <c r="BV5" s="490"/>
      <c r="BW5" s="490"/>
      <c r="BX5" s="490"/>
      <c r="BY5" s="490"/>
      <c r="BZ5" s="490"/>
    </row>
    <row r="6" spans="2:85" ht="15" customHeight="1" x14ac:dyDescent="0.2">
      <c r="B6" s="489"/>
      <c r="C6" s="488"/>
      <c r="D6" s="488"/>
      <c r="E6" s="488"/>
      <c r="F6" s="742"/>
      <c r="G6" s="748"/>
      <c r="H6" s="488"/>
      <c r="I6" s="488"/>
      <c r="J6" s="488"/>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8"/>
      <c r="AP6" s="488"/>
      <c r="AQ6" s="488"/>
      <c r="AR6" s="488"/>
      <c r="AS6" s="488"/>
      <c r="AT6" s="488"/>
      <c r="AU6" s="488"/>
      <c r="AV6" s="488"/>
      <c r="AW6" s="488"/>
      <c r="AX6" s="488"/>
      <c r="AY6" s="488"/>
      <c r="AZ6" s="488"/>
      <c r="BA6" s="488"/>
      <c r="BB6" s="488"/>
      <c r="BC6" s="488"/>
      <c r="BD6" s="488"/>
      <c r="BE6" s="488"/>
      <c r="BF6" s="488"/>
      <c r="BG6" s="488"/>
      <c r="BH6" s="488"/>
      <c r="BI6" s="488"/>
      <c r="BJ6" s="487"/>
      <c r="BK6" s="486"/>
      <c r="BL6" s="485"/>
      <c r="BM6" s="477"/>
      <c r="BN6" s="484"/>
      <c r="BO6" s="477"/>
      <c r="BP6" s="477"/>
      <c r="BQ6" s="1522" t="s">
        <v>640</v>
      </c>
      <c r="BR6" s="1523"/>
      <c r="BS6" s="1524"/>
      <c r="BT6" s="1522" t="s">
        <v>639</v>
      </c>
      <c r="BU6" s="1523"/>
      <c r="BV6" s="1524"/>
      <c r="BW6" s="1522" t="s">
        <v>638</v>
      </c>
      <c r="BX6" s="1523"/>
      <c r="BY6" s="1524"/>
      <c r="BZ6" s="483"/>
    </row>
    <row r="7" spans="2:85" s="474" customFormat="1" ht="19.5" x14ac:dyDescent="0.3">
      <c r="B7" s="482" t="str">
        <f>Overview!$P$3</f>
        <v>Walmart Inc.</v>
      </c>
      <c r="C7" s="481"/>
      <c r="D7" s="481"/>
      <c r="E7" s="481"/>
      <c r="F7" s="743"/>
      <c r="G7" s="749"/>
      <c r="H7" s="479"/>
      <c r="I7" s="479"/>
      <c r="J7" s="479"/>
      <c r="K7" s="479"/>
      <c r="L7" s="479"/>
      <c r="M7" s="479"/>
      <c r="N7" s="479"/>
      <c r="O7" s="479"/>
      <c r="P7" s="479"/>
      <c r="Q7" s="479"/>
      <c r="R7" s="479"/>
      <c r="S7" s="479"/>
      <c r="T7" s="479"/>
      <c r="U7" s="479"/>
      <c r="V7" s="479"/>
      <c r="W7" s="479"/>
      <c r="X7" s="479"/>
      <c r="Y7" s="479"/>
      <c r="Z7" s="479"/>
      <c r="AA7" s="479"/>
      <c r="AB7" s="479"/>
      <c r="AC7" s="479"/>
      <c r="AD7" s="479"/>
      <c r="AE7" s="479"/>
      <c r="AF7" s="479"/>
      <c r="AG7" s="479"/>
      <c r="AH7" s="479"/>
      <c r="AI7" s="479"/>
      <c r="AJ7" s="479"/>
      <c r="AK7" s="479"/>
      <c r="AL7" s="479"/>
      <c r="AM7" s="479"/>
      <c r="AN7" s="479"/>
      <c r="AO7" s="479"/>
      <c r="AP7" s="479"/>
      <c r="AQ7" s="479"/>
      <c r="AR7" s="479"/>
      <c r="AS7" s="479"/>
      <c r="AT7" s="479"/>
      <c r="AU7" s="479"/>
      <c r="AV7" s="479"/>
      <c r="AW7" s="479"/>
      <c r="AX7" s="479"/>
      <c r="AY7" s="479"/>
      <c r="AZ7" s="479"/>
      <c r="BA7" s="479"/>
      <c r="BB7" s="479"/>
      <c r="BC7" s="479"/>
      <c r="BD7" s="480"/>
      <c r="BE7" s="479"/>
      <c r="BF7" s="479"/>
      <c r="BG7" s="479"/>
      <c r="BH7" s="479"/>
      <c r="BI7" s="479"/>
      <c r="BJ7" s="478"/>
      <c r="BK7" s="476" t="s">
        <v>1046</v>
      </c>
      <c r="BL7" s="476" t="s">
        <v>637</v>
      </c>
      <c r="BM7" s="476" t="s">
        <v>636</v>
      </c>
      <c r="BN7" s="476" t="s">
        <v>635</v>
      </c>
      <c r="BO7" s="476" t="s">
        <v>634</v>
      </c>
      <c r="BP7" s="476" t="s">
        <v>633</v>
      </c>
      <c r="BQ7" s="607" t="s">
        <v>632</v>
      </c>
      <c r="BR7" s="476" t="s">
        <v>631</v>
      </c>
      <c r="BS7" s="608" t="s">
        <v>630</v>
      </c>
      <c r="BT7" s="607" t="s">
        <v>632</v>
      </c>
      <c r="BU7" s="476" t="s">
        <v>631</v>
      </c>
      <c r="BV7" s="608" t="s">
        <v>630</v>
      </c>
      <c r="BW7" s="607" t="s">
        <v>632</v>
      </c>
      <c r="BX7" s="476" t="s">
        <v>631</v>
      </c>
      <c r="BY7" s="608" t="s">
        <v>630</v>
      </c>
      <c r="BZ7" s="475"/>
      <c r="CA7" s="457"/>
      <c r="CB7" s="457"/>
      <c r="CC7" s="457"/>
      <c r="CD7" s="457"/>
      <c r="CE7" s="457"/>
      <c r="CF7" s="457"/>
      <c r="CG7" s="457"/>
    </row>
    <row r="8" spans="2:85" ht="35.25" customHeight="1" x14ac:dyDescent="0.2">
      <c r="B8" s="471" t="s">
        <v>629</v>
      </c>
      <c r="C8" s="471" t="s">
        <v>628</v>
      </c>
      <c r="D8" s="470" t="s">
        <v>580</v>
      </c>
      <c r="E8" s="469" t="str">
        <f>"Total Value Disclosed ("&amp;$C$4&amp;" mm)"</f>
        <v>Total Value Disclosed (USD mm)</v>
      </c>
      <c r="F8" s="468" t="s">
        <v>579</v>
      </c>
      <c r="G8" s="750"/>
      <c r="H8" s="473"/>
      <c r="I8" s="473"/>
      <c r="J8" s="473"/>
      <c r="K8" s="473"/>
      <c r="L8" s="473"/>
      <c r="M8" s="473"/>
      <c r="N8" s="473"/>
      <c r="O8" s="473"/>
      <c r="P8" s="473"/>
      <c r="Q8" s="473"/>
      <c r="R8" s="473"/>
      <c r="S8" s="473"/>
      <c r="T8" s="473"/>
      <c r="U8" s="473"/>
      <c r="V8" s="473"/>
      <c r="W8" s="473"/>
      <c r="X8" s="473"/>
      <c r="Y8" s="473"/>
      <c r="Z8" s="473"/>
      <c r="AA8" s="473"/>
      <c r="AB8" s="473"/>
      <c r="AC8" s="473"/>
      <c r="AD8" s="473"/>
      <c r="AE8" s="473"/>
      <c r="AF8" s="473"/>
      <c r="AG8" s="473"/>
      <c r="AH8" s="473"/>
      <c r="AI8" s="473"/>
      <c r="AJ8" s="473"/>
      <c r="AK8" s="473"/>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63">
        <f>BJ7+1</f>
        <v>1</v>
      </c>
      <c r="BK8" s="461" t="str">
        <f>IF(OR(_xll.ciqfunctions.udf.CIQ($C$3,"IQ_TRANSACTION_LIST_INCL_SUBS",$BJ8)=0,_xll.ciqfunctions.udf.CIQ($C$3,"IQ_TRANSACTION_LIST_INCL_SUBS",$BJ8)="NA"),"",_xll.ciqfunctions.udf.CIQ($C$3,"IQ_TRANSACTION_LIST_INCL_SUBS",$BJ8))</f>
        <v>IQTR1765471035</v>
      </c>
      <c r="BL8" s="462">
        <f>IF($BK8="","",IF(OR(_xll.ciqfunctions.udf.CIQ($BK8,"IQ_TR_ANN_DATE")=0,_xll.ciqfunctions.udf.CIQ($BK8,"IQ_TR_ANN_DATE")="NA"),"-", _xll.ciqfunctions.udf.CIQ($BK8,"IQ_TR_ANN_DATE")))</f>
        <v>44587</v>
      </c>
      <c r="BM8" s="460">
        <f>IF($BK8="","",IF(AND($BL8&lt;=$C$2,$BL8&gt;=EDATE($C$2,-$BJ$1)),IF(_xll.ciqfunctions.udf.CIQ($BK8,"IQ_TR_TOTALVALUE",,$C$4)="NA","-",_xll.ciqfunctions.udf.CIQ($BK8,"IQ_TR_TOTALVALUE",,$C$4)),""))</f>
        <v>0</v>
      </c>
      <c r="BN8" s="459" t="str">
        <f>IF($BK8="","",IF(AND($BL8&lt;=$C$2,$BL8&gt;=EDATE($C$2,-$BJ$1)),IF(_xll.ciqfunctions.udf.CIQ($BK8,"IQ_TR_SELLERNAME")="NA","-",_xll.ciqfunctions.udf.CIQ($BK8,"IQ_TR_SELLERNAME")),""))</f>
        <v>Foundation Capital, LLC; Core Innovation Capital LLC; Obvious Ventures, L.P.</v>
      </c>
      <c r="BO8" s="459" t="str">
        <f>IF($BK8="","",IF(AND($BL8&lt;=$C$2,$BL8&gt;=EDATE($C$2,-$BJ$1)),IF(_xll.ciqfunctions.udf.CIQ($BK8,"IQ_TR_BUYERNAME")="NA","-",_xll.ciqfunctions.udf.CIQ($BK8,"IQ_TR_BUYERNAME")),""))</f>
        <v>Hazel</v>
      </c>
      <c r="BP8" s="459" t="str">
        <f>IF($BK8="","",IF(AND($BL8&lt;=$C$2,$BL8&gt;=EDATE($C$2,-$BJ$1)),IF(_xll.ciqfunctions.udf.CIQ($BK8,"IQ_TR_TARGETNAME")="NA","-",_xll.ciqfunctions.udf.CIQ($BK8,"IQ_TR_TARGETNAME")),""))</f>
        <v>One Finance, Inc.</v>
      </c>
      <c r="BQ8" s="459">
        <f>IF($BK8="","",IF(AND($BL8&lt;=$C$2,$BL8&gt;=EDATE($C$2,-$BJ$1)),IF(_xll.ciqfunctions.udf.CIQ($BK8,"IQ_TR_BUY_ACC_ADVISORS")="NA","-",_xll.ciqfunctions.udf.CIQ($BK8,"IQ_TR_BUY_ACC_ADVISORS")),""))</f>
        <v>0</v>
      </c>
      <c r="BR8" s="459">
        <f>IF($BK8="","",IF(AND($BL8&lt;=$C$2,$BL8&gt;=EDATE($C$2,-$BJ$1)),IF(_xll.ciqfunctions.udf.CIQ($BK8,"IQ_TR_SELL_ACC_ADVISORS")="NA","-",_xll.ciqfunctions.udf.CIQ($BK8,"IQ_TR_SELL_ACC_ADVISORS")),""))</f>
        <v>0</v>
      </c>
      <c r="BS8" s="459">
        <f>IF($BK8="","",IF(AND($BL8&lt;=$C$2,$BL8&gt;=EDATE($C$2,-$BJ$1)),IF(_xll.ciqfunctions.udf.CIQ($BK8,"IQ_TR_TARGET_ACC_ADVISORS")="NA","-",_xll.ciqfunctions.udf.CIQ($BK8,"IQ_TR_TARGET_ACC_ADVISORS")),""))</f>
        <v>0</v>
      </c>
      <c r="BT8" s="459">
        <f>IF($BK8="","",IF(AND($BL8&lt;=$C$2,$BL8&gt;=EDATE($C$2,-$BJ$1)),IF(_xll.ciqfunctions.udf.CIQ($BK8,"IQ_TR_BUY_FIN_ADVISORS")="NA","-",_xll.ciqfunctions.udf.CIQ($BK8,"IQ_TR_BUY_FIN_ADVISORS")),""))</f>
        <v>0</v>
      </c>
      <c r="BU8" s="459">
        <f>IF($BK8="","",IF(AND($BL8&lt;=$C$2,$BL8&gt;=EDATE($C$2,-$BJ$1)),IF(_xll.ciqfunctions.udf.CIQ($BK8,"IQ_TR_SELL_FIN_ADVISORS")="NA","-",_xll.ciqfunctions.udf.CIQ($BK8,"IQ_TR_SELL_FIN_ADVISORS")),""))</f>
        <v>0</v>
      </c>
      <c r="BV8" s="459">
        <f>IF(AND($BL8&lt;=$C$2,$BL8&gt;=EDATE($C$2,-$BJ$1)),IF(IF($BK8="","",IF(IF(_xll.ciqfunctions.udf.CIQ($BK8,"IQ_TR_target_FIN_ADVISORS")="NA",_xll.ciqfunctions.udf.CIQ($BK8,"IQ_TR_lead_UNDERWRITERS"),_xll.ciqfunctions.udf.CIQ($BK8,"IQ_TR_target_FIN_ADVISORS"))="NA",_xll.ciqfunctions.udf.CIQ($BK8,"IQ_TR_UNDERWRITERS_other"),IF(_xll.ciqfunctions.udf.CIQ($BK8,"IQ_TR_target_FIN_ADVISORS")="NA",_xll.ciqfunctions.udf.CIQ($BK8,"IQ_TR_lead_UNDERWRITERS"),_xll.ciqfunctions.udf.CIQ($BK8,"IQ_TR_target_FIN_ADVISORS"))))="NA","-",IF($BK8="","",IF(IF(_xll.ciqfunctions.udf.CIQ($BK8,"IQ_TR_target_FIN_ADVISORS")="NA",_xll.ciqfunctions.udf.CIQ($BK8,"IQ_TR_lead_UNDERWRITERS"),_xll.ciqfunctions.udf.CIQ($BK8,"IQ_TR_target_FIN_ADVISORS"))="NA",_xll.ciqfunctions.udf.CIQ($BK8,"IQ_TR_UNDERWRITERS_other"),IF(_xll.ciqfunctions.udf.CIQ($BK8,"IQ_TR_target_FIN_ADVISORS")="NA",_xll.ciqfunctions.udf.CIQ($BK8,"IQ_TR_lead_UNDERWRITERS"),_xll.ciqfunctions.udf.CIQ($BK8,"IQ_TR_target_FIN_ADVISORS"))))),"")</f>
        <v>0</v>
      </c>
      <c r="BW8" s="459">
        <f>IF($BK8="","",IF(AND($BL8&lt;=$C$2,$BL8&gt;=EDATE($C$2,-$BJ$1)),IF(_xll.ciqfunctions.udf.CIQ($BK8,"IQ_TR_BUY_LEG_ADVISORS")="NA","-",_xll.ciqfunctions.udf.CIQ($BK8,"IQ_TR_BUY_LEG_ADVISORS")),""))</f>
        <v>0</v>
      </c>
      <c r="BX8" s="459">
        <f>IF($BK8="","",IF(AND($BL8&lt;=$C$2,$BL8&gt;=EDATE($C$2,-$BJ$1)),IF(_xll.ciqfunctions.udf.CIQ($BK8,"IQ_TR_SELL_LEG_ADVISORS")="NA","-",_xll.ciqfunctions.udf.CIQ($BK8,"IQ_TR_SELL_LEG_ADVISORS")),""))</f>
        <v>0</v>
      </c>
      <c r="BY8" s="459">
        <f>IF($BK8="","",IF(AND($BL8&lt;=$C$2,$BL8&gt;=EDATE($C$2,-$BJ$1)),IF(_xll.ciqfunctions.udf.CIQ($BK8,"IQ_TR_TARGET_LEG_ADVISORS")="NA","-",_xll.ciqfunctions.udf.CIQ($BK8,"IQ_TR_TARGET_LEG_ADVISORS")),""))</f>
        <v>0</v>
      </c>
      <c r="BZ8" s="467"/>
    </row>
    <row r="9" spans="2:85" ht="15.75" customHeight="1" x14ac:dyDescent="0.2">
      <c r="B9" s="751" t="s">
        <v>1301</v>
      </c>
      <c r="C9" s="751" t="s">
        <v>1314</v>
      </c>
      <c r="D9" s="744">
        <v>5</v>
      </c>
      <c r="E9" s="744">
        <v>3894.127</v>
      </c>
      <c r="F9" s="468">
        <v>44258</v>
      </c>
      <c r="G9" s="745">
        <f t="shared" ref="G9:G25" si="0">IFERROR(DATEVALUE(F9),F9)</f>
        <v>44258</v>
      </c>
      <c r="H9" s="466"/>
      <c r="I9" s="466"/>
      <c r="J9" s="466"/>
      <c r="K9" s="466"/>
      <c r="L9" s="466"/>
      <c r="M9" s="466"/>
      <c r="N9" s="466"/>
      <c r="O9" s="466"/>
      <c r="P9" s="466"/>
      <c r="Q9" s="466"/>
      <c r="R9" s="466"/>
      <c r="S9" s="466"/>
      <c r="T9" s="466"/>
      <c r="U9" s="466"/>
      <c r="V9" s="466"/>
      <c r="W9" s="466"/>
      <c r="X9" s="466"/>
      <c r="Y9" s="466"/>
      <c r="Z9" s="466"/>
      <c r="AA9" s="466"/>
      <c r="AB9" s="466"/>
      <c r="AC9" s="466"/>
      <c r="AD9" s="466"/>
      <c r="AE9" s="466"/>
      <c r="AF9" s="466"/>
      <c r="AG9" s="466"/>
      <c r="AH9" s="466"/>
      <c r="AI9" s="466"/>
      <c r="AJ9" s="466"/>
      <c r="AK9" s="466"/>
      <c r="AL9" s="466"/>
      <c r="AM9" s="466"/>
      <c r="AN9" s="466"/>
      <c r="AO9" s="466"/>
      <c r="AP9" s="466"/>
      <c r="AQ9" s="466"/>
      <c r="AR9" s="466"/>
      <c r="AS9" s="466"/>
      <c r="AT9" s="466"/>
      <c r="AU9" s="466"/>
      <c r="AV9" s="466"/>
      <c r="AW9" s="466"/>
      <c r="AX9" s="466"/>
      <c r="AY9" s="466"/>
      <c r="AZ9" s="466"/>
      <c r="BA9" s="466"/>
      <c r="BB9" s="466"/>
      <c r="BC9" s="466"/>
      <c r="BD9" s="466"/>
      <c r="BE9" s="466"/>
      <c r="BF9" s="466"/>
      <c r="BG9" s="466"/>
      <c r="BH9" s="466"/>
      <c r="BJ9" s="463">
        <f t="shared" ref="BJ9:BJ72" si="1">BJ8+1</f>
        <v>2</v>
      </c>
      <c r="BZ9" s="467"/>
    </row>
    <row r="10" spans="2:85" ht="15.75" customHeight="1" x14ac:dyDescent="0.2">
      <c r="B10" s="751" t="s">
        <v>1302</v>
      </c>
      <c r="C10" s="751" t="s">
        <v>627</v>
      </c>
      <c r="D10" s="744">
        <v>2</v>
      </c>
      <c r="E10" s="744">
        <v>1345.067</v>
      </c>
      <c r="F10" s="468">
        <v>44258</v>
      </c>
      <c r="G10" s="745">
        <f t="shared" si="0"/>
        <v>44258</v>
      </c>
      <c r="H10" s="464"/>
      <c r="I10" s="464"/>
      <c r="J10" s="464"/>
      <c r="K10" s="464"/>
      <c r="L10" s="464"/>
      <c r="M10" s="464"/>
      <c r="N10" s="464"/>
      <c r="O10" s="464"/>
      <c r="P10" s="464"/>
      <c r="Q10" s="464"/>
      <c r="R10" s="464"/>
      <c r="S10" s="464"/>
      <c r="T10" s="464"/>
      <c r="U10" s="464"/>
      <c r="V10" s="464"/>
      <c r="W10" s="464"/>
      <c r="X10" s="464"/>
      <c r="Y10" s="464"/>
      <c r="Z10" s="464"/>
      <c r="AA10" s="464"/>
      <c r="AB10" s="464"/>
      <c r="AC10" s="464"/>
      <c r="AD10" s="464"/>
      <c r="AE10" s="464"/>
      <c r="AF10" s="464"/>
      <c r="AG10" s="464"/>
      <c r="AH10" s="464"/>
      <c r="AI10" s="464"/>
      <c r="AJ10" s="464"/>
      <c r="AK10" s="464"/>
      <c r="AL10" s="464"/>
      <c r="AM10" s="464"/>
      <c r="AN10" s="464"/>
      <c r="AO10" s="464"/>
      <c r="AP10" s="464"/>
      <c r="AQ10" s="464"/>
      <c r="AR10" s="464"/>
      <c r="AS10" s="464"/>
      <c r="AT10" s="464"/>
      <c r="AU10" s="464"/>
      <c r="AV10" s="464"/>
      <c r="AW10" s="464"/>
      <c r="AX10" s="464"/>
      <c r="AY10" s="464"/>
      <c r="AZ10" s="464"/>
      <c r="BA10" s="464"/>
      <c r="BB10" s="464"/>
      <c r="BC10" s="464"/>
      <c r="BD10" s="464"/>
      <c r="BE10" s="464"/>
      <c r="BF10" s="464"/>
      <c r="BG10" s="464"/>
      <c r="BH10" s="464"/>
      <c r="BJ10" s="463">
        <f t="shared" si="1"/>
        <v>3</v>
      </c>
      <c r="BZ10" s="467"/>
    </row>
    <row r="11" spans="2:85" ht="15.75" customHeight="1" x14ac:dyDescent="0.2">
      <c r="B11" s="751" t="s">
        <v>1303</v>
      </c>
      <c r="C11" s="751" t="s">
        <v>627</v>
      </c>
      <c r="D11" s="744">
        <v>2</v>
      </c>
      <c r="E11" s="744">
        <v>1345.067</v>
      </c>
      <c r="F11" s="468">
        <v>44258</v>
      </c>
      <c r="G11" s="745">
        <f t="shared" si="0"/>
        <v>44258</v>
      </c>
      <c r="H11" s="466"/>
      <c r="I11" s="466"/>
      <c r="J11" s="466"/>
      <c r="K11" s="466"/>
      <c r="L11" s="466"/>
      <c r="M11" s="466"/>
      <c r="N11" s="466"/>
      <c r="O11" s="466"/>
      <c r="P11" s="466"/>
      <c r="Q11" s="466"/>
      <c r="R11" s="466"/>
      <c r="S11" s="466"/>
      <c r="T11" s="466"/>
      <c r="U11" s="466"/>
      <c r="V11" s="466"/>
      <c r="W11" s="466"/>
      <c r="X11" s="466"/>
      <c r="Y11" s="466"/>
      <c r="Z11" s="466"/>
      <c r="AA11" s="466"/>
      <c r="AB11" s="466"/>
      <c r="AC11" s="466"/>
      <c r="AD11" s="466"/>
      <c r="AE11" s="466"/>
      <c r="AF11" s="466"/>
      <c r="AG11" s="466"/>
      <c r="AH11" s="466"/>
      <c r="AI11" s="466"/>
      <c r="AJ11" s="466"/>
      <c r="AK11" s="466"/>
      <c r="AL11" s="466"/>
      <c r="AM11" s="466"/>
      <c r="AN11" s="466"/>
      <c r="AO11" s="466"/>
      <c r="AP11" s="466"/>
      <c r="AQ11" s="466"/>
      <c r="AR11" s="466"/>
      <c r="AS11" s="466"/>
      <c r="AT11" s="466"/>
      <c r="AU11" s="466"/>
      <c r="AV11" s="466"/>
      <c r="AW11" s="466"/>
      <c r="AX11" s="466"/>
      <c r="AY11" s="466"/>
      <c r="AZ11" s="466"/>
      <c r="BA11" s="466"/>
      <c r="BB11" s="466"/>
      <c r="BC11" s="466"/>
      <c r="BD11" s="466"/>
      <c r="BE11" s="466"/>
      <c r="BF11" s="466"/>
      <c r="BG11" s="466"/>
      <c r="BH11" s="466"/>
      <c r="BJ11" s="463">
        <f t="shared" si="1"/>
        <v>4</v>
      </c>
      <c r="BZ11" s="467"/>
    </row>
    <row r="12" spans="2:85" ht="15.75" customHeight="1" x14ac:dyDescent="0.2">
      <c r="B12" s="751" t="s">
        <v>1304</v>
      </c>
      <c r="C12" s="751" t="s">
        <v>627</v>
      </c>
      <c r="D12" s="744">
        <v>1</v>
      </c>
      <c r="E12" s="744">
        <v>848.48699999999997</v>
      </c>
      <c r="F12" s="468">
        <v>44258</v>
      </c>
      <c r="G12" s="745">
        <f t="shared" si="0"/>
        <v>44258</v>
      </c>
      <c r="H12" s="464"/>
      <c r="I12" s="464"/>
      <c r="J12" s="464"/>
      <c r="K12" s="464"/>
      <c r="L12" s="464"/>
      <c r="M12" s="464"/>
      <c r="N12" s="464"/>
      <c r="O12" s="464"/>
      <c r="P12" s="464"/>
      <c r="Q12" s="464"/>
      <c r="R12" s="464"/>
      <c r="S12" s="464"/>
      <c r="T12" s="464"/>
      <c r="U12" s="464"/>
      <c r="V12" s="464"/>
      <c r="W12" s="464"/>
      <c r="X12" s="464"/>
      <c r="Y12" s="464"/>
      <c r="Z12" s="464"/>
      <c r="AA12" s="464"/>
      <c r="AB12" s="464"/>
      <c r="AC12" s="464"/>
      <c r="AD12" s="464"/>
      <c r="AE12" s="464"/>
      <c r="AF12" s="464"/>
      <c r="AG12" s="464"/>
      <c r="AH12" s="464"/>
      <c r="AI12" s="464"/>
      <c r="AJ12" s="464"/>
      <c r="AK12" s="464"/>
      <c r="AL12" s="464"/>
      <c r="AM12" s="464"/>
      <c r="AN12" s="464"/>
      <c r="AO12" s="464"/>
      <c r="AP12" s="464"/>
      <c r="AQ12" s="464"/>
      <c r="AR12" s="464"/>
      <c r="AS12" s="464"/>
      <c r="AT12" s="464"/>
      <c r="AU12" s="464"/>
      <c r="AV12" s="464"/>
      <c r="AW12" s="464"/>
      <c r="AX12" s="464"/>
      <c r="AY12" s="464"/>
      <c r="AZ12" s="464"/>
      <c r="BA12" s="464"/>
      <c r="BB12" s="464"/>
      <c r="BC12" s="464"/>
      <c r="BD12" s="464"/>
      <c r="BE12" s="464"/>
      <c r="BF12" s="464"/>
      <c r="BG12" s="464"/>
      <c r="BH12" s="464"/>
      <c r="BJ12" s="463">
        <f t="shared" si="1"/>
        <v>5</v>
      </c>
      <c r="BZ12" s="467"/>
    </row>
    <row r="13" spans="2:85" ht="15.75" customHeight="1" x14ac:dyDescent="0.2">
      <c r="B13" s="751" t="s">
        <v>1305</v>
      </c>
      <c r="C13" s="751" t="s">
        <v>627</v>
      </c>
      <c r="D13" s="744">
        <v>1</v>
      </c>
      <c r="E13" s="744">
        <v>848.48699999999997</v>
      </c>
      <c r="F13" s="468">
        <v>44258</v>
      </c>
      <c r="G13" s="745">
        <f t="shared" si="0"/>
        <v>44258</v>
      </c>
      <c r="H13" s="466"/>
      <c r="I13" s="466"/>
      <c r="J13" s="466"/>
      <c r="K13" s="466"/>
      <c r="L13" s="466"/>
      <c r="M13" s="466"/>
      <c r="N13" s="466"/>
      <c r="O13" s="466"/>
      <c r="P13" s="466"/>
      <c r="Q13" s="466"/>
      <c r="R13" s="466"/>
      <c r="S13" s="466"/>
      <c r="T13" s="466"/>
      <c r="U13" s="466"/>
      <c r="V13" s="466"/>
      <c r="W13" s="466"/>
      <c r="X13" s="466"/>
      <c r="Y13" s="466"/>
      <c r="Z13" s="466"/>
      <c r="AA13" s="466"/>
      <c r="AB13" s="466"/>
      <c r="AC13" s="466"/>
      <c r="AD13" s="466"/>
      <c r="AE13" s="466"/>
      <c r="AF13" s="466"/>
      <c r="AG13" s="466"/>
      <c r="AH13" s="466"/>
      <c r="AI13" s="466"/>
      <c r="AJ13" s="466"/>
      <c r="AK13" s="466"/>
      <c r="AL13" s="466"/>
      <c r="AM13" s="466"/>
      <c r="AN13" s="466"/>
      <c r="AO13" s="466"/>
      <c r="AP13" s="466"/>
      <c r="AQ13" s="466"/>
      <c r="AR13" s="466"/>
      <c r="AS13" s="466"/>
      <c r="AT13" s="466"/>
      <c r="AU13" s="466"/>
      <c r="AV13" s="466"/>
      <c r="AW13" s="466"/>
      <c r="AX13" s="466"/>
      <c r="AY13" s="466"/>
      <c r="AZ13" s="466"/>
      <c r="BA13" s="466"/>
      <c r="BB13" s="466"/>
      <c r="BC13" s="466"/>
      <c r="BD13" s="466"/>
      <c r="BE13" s="466"/>
      <c r="BF13" s="466"/>
      <c r="BG13" s="466"/>
      <c r="BH13" s="466"/>
      <c r="BJ13" s="463">
        <f t="shared" si="1"/>
        <v>6</v>
      </c>
      <c r="BZ13" s="467"/>
    </row>
    <row r="14" spans="2:85" ht="15.75" customHeight="1" x14ac:dyDescent="0.2">
      <c r="B14" s="751" t="s">
        <v>1306</v>
      </c>
      <c r="C14" s="751" t="s">
        <v>627</v>
      </c>
      <c r="D14" s="744">
        <v>2</v>
      </c>
      <c r="E14" s="744">
        <v>1345.067</v>
      </c>
      <c r="F14" s="468">
        <v>44258</v>
      </c>
      <c r="G14" s="745">
        <f t="shared" si="0"/>
        <v>44258</v>
      </c>
      <c r="H14" s="464"/>
      <c r="I14" s="464"/>
      <c r="J14" s="464"/>
      <c r="K14" s="464"/>
      <c r="L14" s="464"/>
      <c r="M14" s="464"/>
      <c r="N14" s="464"/>
      <c r="O14" s="464"/>
      <c r="P14" s="464"/>
      <c r="Q14" s="464"/>
      <c r="R14" s="464"/>
      <c r="S14" s="464"/>
      <c r="T14" s="464"/>
      <c r="U14" s="464"/>
      <c r="V14" s="464"/>
      <c r="W14" s="464"/>
      <c r="X14" s="464"/>
      <c r="Y14" s="464"/>
      <c r="Z14" s="464"/>
      <c r="AA14" s="464"/>
      <c r="AB14" s="464"/>
      <c r="AC14" s="464"/>
      <c r="AD14" s="464"/>
      <c r="AE14" s="464"/>
      <c r="AF14" s="464"/>
      <c r="AG14" s="464"/>
      <c r="AH14" s="464"/>
      <c r="AI14" s="464"/>
      <c r="AJ14" s="464"/>
      <c r="AK14" s="464"/>
      <c r="AL14" s="464"/>
      <c r="AM14" s="464"/>
      <c r="AN14" s="464"/>
      <c r="AO14" s="464"/>
      <c r="AP14" s="464"/>
      <c r="AQ14" s="464"/>
      <c r="AR14" s="464"/>
      <c r="AS14" s="464"/>
      <c r="AT14" s="464"/>
      <c r="AU14" s="464"/>
      <c r="AV14" s="464"/>
      <c r="AW14" s="464"/>
      <c r="AX14" s="464"/>
      <c r="AY14" s="464"/>
      <c r="AZ14" s="464"/>
      <c r="BA14" s="464"/>
      <c r="BB14" s="464"/>
      <c r="BC14" s="464"/>
      <c r="BD14" s="464"/>
      <c r="BE14" s="464"/>
      <c r="BF14" s="464"/>
      <c r="BG14" s="464"/>
      <c r="BH14" s="464"/>
      <c r="BJ14" s="463">
        <f t="shared" si="1"/>
        <v>7</v>
      </c>
      <c r="BZ14" s="467"/>
    </row>
    <row r="15" spans="2:85" ht="15.75" customHeight="1" x14ac:dyDescent="0.2">
      <c r="B15" s="751" t="s">
        <v>1310</v>
      </c>
      <c r="C15" s="751" t="s">
        <v>627</v>
      </c>
      <c r="D15" s="744">
        <v>1</v>
      </c>
      <c r="E15" s="744">
        <v>499.06</v>
      </c>
      <c r="F15" s="468">
        <v>43983</v>
      </c>
      <c r="G15" s="745">
        <f t="shared" si="0"/>
        <v>43983</v>
      </c>
      <c r="H15" s="466"/>
      <c r="I15" s="466"/>
      <c r="J15" s="466"/>
      <c r="K15" s="466"/>
      <c r="L15" s="466"/>
      <c r="M15" s="466"/>
      <c r="N15" s="466"/>
      <c r="O15" s="466"/>
      <c r="P15" s="466"/>
      <c r="Q15" s="466"/>
      <c r="R15" s="466"/>
      <c r="S15" s="466"/>
      <c r="T15" s="466"/>
      <c r="U15" s="466"/>
      <c r="V15" s="466"/>
      <c r="W15" s="466"/>
      <c r="X15" s="466"/>
      <c r="Y15" s="466"/>
      <c r="Z15" s="466"/>
      <c r="AA15" s="466"/>
      <c r="AB15" s="466"/>
      <c r="AC15" s="466"/>
      <c r="AD15" s="466"/>
      <c r="AE15" s="466"/>
      <c r="AF15" s="466"/>
      <c r="AG15" s="466"/>
      <c r="AH15" s="466"/>
      <c r="AI15" s="466"/>
      <c r="AJ15" s="466"/>
      <c r="AK15" s="466"/>
      <c r="AL15" s="466"/>
      <c r="AM15" s="466"/>
      <c r="AN15" s="466"/>
      <c r="AO15" s="466"/>
      <c r="AP15" s="466"/>
      <c r="AQ15" s="466"/>
      <c r="AR15" s="466"/>
      <c r="AS15" s="466"/>
      <c r="AT15" s="466"/>
      <c r="AU15" s="466"/>
      <c r="AV15" s="466"/>
      <c r="AW15" s="466"/>
      <c r="AX15" s="466"/>
      <c r="AY15" s="466"/>
      <c r="AZ15" s="466"/>
      <c r="BA15" s="466"/>
      <c r="BB15" s="466"/>
      <c r="BC15" s="466"/>
      <c r="BD15" s="466"/>
      <c r="BE15" s="466"/>
      <c r="BF15" s="466"/>
      <c r="BG15" s="466"/>
      <c r="BH15" s="466"/>
      <c r="BJ15" s="463">
        <f t="shared" si="1"/>
        <v>8</v>
      </c>
      <c r="BZ15" s="467"/>
    </row>
    <row r="16" spans="2:85" ht="15.75" customHeight="1" x14ac:dyDescent="0.2">
      <c r="B16" s="751" t="s">
        <v>1311</v>
      </c>
      <c r="C16" s="751" t="s">
        <v>627</v>
      </c>
      <c r="D16" s="744">
        <v>1</v>
      </c>
      <c r="E16" s="744">
        <v>499.06</v>
      </c>
      <c r="F16" s="468">
        <v>43983</v>
      </c>
      <c r="G16" s="745">
        <f t="shared" si="0"/>
        <v>43983</v>
      </c>
      <c r="H16" s="464"/>
      <c r="I16" s="464"/>
      <c r="J16" s="464"/>
      <c r="K16" s="464"/>
      <c r="L16" s="464"/>
      <c r="M16" s="464"/>
      <c r="N16" s="464"/>
      <c r="O16" s="464"/>
      <c r="P16" s="464"/>
      <c r="Q16" s="464"/>
      <c r="R16" s="464"/>
      <c r="S16" s="464"/>
      <c r="T16" s="464"/>
      <c r="U16" s="464"/>
      <c r="V16" s="464"/>
      <c r="W16" s="464"/>
      <c r="X16" s="464"/>
      <c r="Y16" s="464"/>
      <c r="Z16" s="464"/>
      <c r="AA16" s="464"/>
      <c r="AB16" s="464"/>
      <c r="AC16" s="464"/>
      <c r="AD16" s="464"/>
      <c r="AE16" s="464"/>
      <c r="AF16" s="464"/>
      <c r="AG16" s="464"/>
      <c r="AH16" s="464"/>
      <c r="AI16" s="464"/>
      <c r="AJ16" s="464"/>
      <c r="AK16" s="464"/>
      <c r="AL16" s="464"/>
      <c r="AM16" s="464"/>
      <c r="AN16" s="464"/>
      <c r="AO16" s="464"/>
      <c r="AP16" s="464"/>
      <c r="AQ16" s="464"/>
      <c r="AR16" s="464"/>
      <c r="AS16" s="464"/>
      <c r="AT16" s="464"/>
      <c r="AU16" s="464"/>
      <c r="AV16" s="464"/>
      <c r="AW16" s="464"/>
      <c r="AX16" s="464"/>
      <c r="AY16" s="464"/>
      <c r="AZ16" s="464"/>
      <c r="BA16" s="464"/>
      <c r="BB16" s="464"/>
      <c r="BC16" s="464"/>
      <c r="BD16" s="464"/>
      <c r="BE16" s="464"/>
      <c r="BF16" s="464"/>
      <c r="BG16" s="464"/>
      <c r="BH16" s="464"/>
      <c r="BJ16" s="463">
        <f t="shared" si="1"/>
        <v>9</v>
      </c>
      <c r="BZ16" s="467"/>
    </row>
    <row r="17" spans="2:78" ht="15.75" customHeight="1" x14ac:dyDescent="0.2">
      <c r="B17" s="751" t="s">
        <v>1312</v>
      </c>
      <c r="C17" s="751" t="s">
        <v>627</v>
      </c>
      <c r="D17" s="744">
        <v>1</v>
      </c>
      <c r="E17" s="744">
        <v>499.06</v>
      </c>
      <c r="F17" s="468">
        <v>43983</v>
      </c>
      <c r="G17" s="745">
        <f t="shared" si="0"/>
        <v>43983</v>
      </c>
      <c r="H17" s="466"/>
      <c r="I17" s="466"/>
      <c r="J17" s="466"/>
      <c r="K17" s="466"/>
      <c r="L17" s="466"/>
      <c r="M17" s="466"/>
      <c r="N17" s="466"/>
      <c r="O17" s="466"/>
      <c r="P17" s="466"/>
      <c r="Q17" s="466"/>
      <c r="R17" s="466"/>
      <c r="S17" s="466"/>
      <c r="T17" s="466"/>
      <c r="U17" s="466"/>
      <c r="V17" s="466"/>
      <c r="W17" s="466"/>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466"/>
      <c r="BA17" s="466"/>
      <c r="BB17" s="466"/>
      <c r="BC17" s="466"/>
      <c r="BD17" s="466"/>
      <c r="BE17" s="466"/>
      <c r="BF17" s="466"/>
      <c r="BG17" s="466"/>
      <c r="BH17" s="466"/>
      <c r="BJ17" s="463">
        <f t="shared" si="1"/>
        <v>10</v>
      </c>
      <c r="BZ17" s="467"/>
    </row>
    <row r="18" spans="2:78" ht="15.75" customHeight="1" x14ac:dyDescent="0.2">
      <c r="B18" s="751" t="s">
        <v>1298</v>
      </c>
      <c r="C18" s="751" t="s">
        <v>626</v>
      </c>
      <c r="D18" s="744">
        <v>2</v>
      </c>
      <c r="E18" s="744">
        <v>253.13767999999999</v>
      </c>
      <c r="F18" s="468">
        <v>44495</v>
      </c>
      <c r="G18" s="745">
        <f t="shared" si="0"/>
        <v>44495</v>
      </c>
      <c r="H18" s="464"/>
      <c r="I18" s="464"/>
      <c r="J18" s="464"/>
      <c r="K18" s="464"/>
      <c r="L18" s="464"/>
      <c r="M18" s="464"/>
      <c r="N18" s="464"/>
      <c r="O18" s="464"/>
      <c r="P18" s="464"/>
      <c r="Q18" s="464"/>
      <c r="R18" s="464"/>
      <c r="S18" s="464"/>
      <c r="T18" s="464"/>
      <c r="U18" s="464"/>
      <c r="V18" s="464"/>
      <c r="W18" s="464"/>
      <c r="X18" s="464"/>
      <c r="Y18" s="464"/>
      <c r="Z18" s="464"/>
      <c r="AA18" s="464"/>
      <c r="AB18" s="464"/>
      <c r="AC18" s="464"/>
      <c r="AD18" s="464"/>
      <c r="AE18" s="464"/>
      <c r="AF18" s="464"/>
      <c r="AG18" s="464"/>
      <c r="AH18" s="464"/>
      <c r="AI18" s="464"/>
      <c r="AJ18" s="464"/>
      <c r="AK18" s="464"/>
      <c r="AL18" s="464"/>
      <c r="AM18" s="464"/>
      <c r="AN18" s="464"/>
      <c r="AO18" s="464"/>
      <c r="AP18" s="464"/>
      <c r="AQ18" s="464"/>
      <c r="AR18" s="464"/>
      <c r="AS18" s="464"/>
      <c r="AT18" s="464"/>
      <c r="AU18" s="464"/>
      <c r="AV18" s="464"/>
      <c r="AW18" s="464"/>
      <c r="AX18" s="464"/>
      <c r="AY18" s="464"/>
      <c r="AZ18" s="464"/>
      <c r="BA18" s="464"/>
      <c r="BB18" s="464"/>
      <c r="BC18" s="464"/>
      <c r="BD18" s="464"/>
      <c r="BE18" s="464"/>
      <c r="BF18" s="464"/>
      <c r="BG18" s="464"/>
      <c r="BH18" s="464"/>
      <c r="BJ18" s="463">
        <f t="shared" si="1"/>
        <v>11</v>
      </c>
      <c r="BZ18" s="467"/>
    </row>
    <row r="19" spans="2:78" ht="15.75" customHeight="1" x14ac:dyDescent="0.2">
      <c r="B19" s="751" t="s">
        <v>1299</v>
      </c>
      <c r="C19" s="751" t="s">
        <v>626</v>
      </c>
      <c r="D19" s="744">
        <v>16</v>
      </c>
      <c r="E19" s="744">
        <v>2634.2028799999998</v>
      </c>
      <c r="F19" s="468">
        <v>44495</v>
      </c>
      <c r="G19" s="745">
        <f t="shared" si="0"/>
        <v>44495</v>
      </c>
      <c r="H19" s="466"/>
      <c r="I19" s="466"/>
      <c r="J19" s="466"/>
      <c r="K19" s="466"/>
      <c r="L19" s="466"/>
      <c r="M19" s="466"/>
      <c r="N19" s="466"/>
      <c r="O19" s="466"/>
      <c r="P19" s="466"/>
      <c r="Q19" s="466"/>
      <c r="R19" s="466"/>
      <c r="S19" s="466"/>
      <c r="T19" s="466"/>
      <c r="U19" s="466"/>
      <c r="V19" s="466"/>
      <c r="W19" s="466"/>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466"/>
      <c r="BA19" s="466"/>
      <c r="BB19" s="466"/>
      <c r="BC19" s="466"/>
      <c r="BD19" s="466"/>
      <c r="BE19" s="466"/>
      <c r="BF19" s="466"/>
      <c r="BG19" s="466"/>
      <c r="BH19" s="466"/>
      <c r="BJ19" s="463">
        <f t="shared" si="1"/>
        <v>12</v>
      </c>
      <c r="BZ19" s="467"/>
    </row>
    <row r="20" spans="2:78" ht="15.75" customHeight="1" x14ac:dyDescent="0.2">
      <c r="B20" s="751" t="s">
        <v>1300</v>
      </c>
      <c r="C20" s="751" t="s">
        <v>626</v>
      </c>
      <c r="D20" s="744">
        <v>1</v>
      </c>
      <c r="E20" s="744">
        <v>60</v>
      </c>
      <c r="F20" s="468">
        <v>44375</v>
      </c>
      <c r="G20" s="745">
        <f t="shared" si="0"/>
        <v>44375</v>
      </c>
      <c r="H20" s="464"/>
      <c r="I20" s="464"/>
      <c r="J20" s="464"/>
      <c r="K20" s="464"/>
      <c r="L20" s="464"/>
      <c r="M20" s="464"/>
      <c r="N20" s="464"/>
      <c r="O20" s="464"/>
      <c r="P20" s="464"/>
      <c r="Q20" s="464"/>
      <c r="R20" s="464"/>
      <c r="S20" s="464"/>
      <c r="T20" s="464"/>
      <c r="U20" s="464"/>
      <c r="V20" s="464"/>
      <c r="W20" s="464"/>
      <c r="X20" s="464"/>
      <c r="Y20" s="464"/>
      <c r="Z20" s="464"/>
      <c r="AA20" s="464"/>
      <c r="AB20" s="464"/>
      <c r="AC20" s="464"/>
      <c r="AD20" s="464"/>
      <c r="AE20" s="464"/>
      <c r="AF20" s="464"/>
      <c r="AG20" s="464"/>
      <c r="AH20" s="464"/>
      <c r="AI20" s="464"/>
      <c r="AJ20" s="464"/>
      <c r="AK20" s="464"/>
      <c r="AL20" s="464"/>
      <c r="AM20" s="464"/>
      <c r="AN20" s="464"/>
      <c r="AO20" s="464"/>
      <c r="AP20" s="464"/>
      <c r="AQ20" s="464"/>
      <c r="AR20" s="464"/>
      <c r="AS20" s="464"/>
      <c r="AT20" s="464"/>
      <c r="AU20" s="464"/>
      <c r="AV20" s="464"/>
      <c r="AW20" s="464"/>
      <c r="AX20" s="464"/>
      <c r="AY20" s="464"/>
      <c r="AZ20" s="464"/>
      <c r="BA20" s="464"/>
      <c r="BB20" s="464"/>
      <c r="BC20" s="464"/>
      <c r="BD20" s="464"/>
      <c r="BE20" s="464"/>
      <c r="BF20" s="464"/>
      <c r="BG20" s="464"/>
      <c r="BH20" s="464"/>
      <c r="BJ20" s="463">
        <f t="shared" si="1"/>
        <v>13</v>
      </c>
      <c r="BZ20" s="467"/>
    </row>
    <row r="21" spans="2:78" ht="15.75" customHeight="1" x14ac:dyDescent="0.2">
      <c r="B21" s="751" t="s">
        <v>1307</v>
      </c>
      <c r="C21" s="751" t="s">
        <v>626</v>
      </c>
      <c r="D21" s="744">
        <v>4</v>
      </c>
      <c r="E21" s="744">
        <v>1844.127</v>
      </c>
      <c r="F21" s="468">
        <v>44258</v>
      </c>
      <c r="G21" s="745">
        <f t="shared" si="0"/>
        <v>44258</v>
      </c>
      <c r="H21" s="466"/>
      <c r="I21" s="466"/>
      <c r="J21" s="466"/>
      <c r="K21" s="466"/>
      <c r="L21" s="466"/>
      <c r="M21" s="466"/>
      <c r="N21" s="466"/>
      <c r="O21" s="466"/>
      <c r="P21" s="466"/>
      <c r="Q21" s="466"/>
      <c r="R21" s="466"/>
      <c r="S21" s="466"/>
      <c r="T21" s="466"/>
      <c r="U21" s="466"/>
      <c r="V21" s="466"/>
      <c r="W21" s="466"/>
      <c r="X21" s="466"/>
      <c r="Y21" s="466"/>
      <c r="Z21" s="466"/>
      <c r="AA21" s="466"/>
      <c r="AB21" s="466"/>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466"/>
      <c r="BA21" s="466"/>
      <c r="BB21" s="466"/>
      <c r="BC21" s="466"/>
      <c r="BD21" s="466"/>
      <c r="BE21" s="466"/>
      <c r="BF21" s="466"/>
      <c r="BG21" s="466"/>
      <c r="BH21" s="466"/>
      <c r="BJ21" s="463">
        <f t="shared" si="1"/>
        <v>14</v>
      </c>
      <c r="BZ21" s="467"/>
    </row>
    <row r="22" spans="2:78" ht="15.75" customHeight="1" x14ac:dyDescent="0.2">
      <c r="B22" s="751" t="s">
        <v>1308</v>
      </c>
      <c r="C22" s="751" t="s">
        <v>626</v>
      </c>
      <c r="D22" s="744">
        <v>1</v>
      </c>
      <c r="E22" s="744">
        <v>695</v>
      </c>
      <c r="F22" s="468">
        <v>44257</v>
      </c>
      <c r="G22" s="745">
        <f t="shared" si="0"/>
        <v>44257</v>
      </c>
      <c r="H22" s="464"/>
      <c r="I22" s="464"/>
      <c r="J22" s="464"/>
      <c r="K22" s="464"/>
      <c r="L22" s="464"/>
      <c r="M22" s="464"/>
      <c r="N22" s="464"/>
      <c r="O22" s="464"/>
      <c r="P22" s="464"/>
      <c r="Q22" s="464"/>
      <c r="R22" s="464"/>
      <c r="S22" s="464"/>
      <c r="T22" s="464"/>
      <c r="U22" s="464"/>
      <c r="V22" s="464"/>
      <c r="W22" s="464"/>
      <c r="X22" s="464"/>
      <c r="Y22" s="464"/>
      <c r="Z22" s="464"/>
      <c r="AA22" s="464"/>
      <c r="AB22" s="464"/>
      <c r="AC22" s="464"/>
      <c r="AD22" s="464"/>
      <c r="AE22" s="464"/>
      <c r="AF22" s="464"/>
      <c r="AG22" s="464"/>
      <c r="AH22" s="464"/>
      <c r="AI22" s="464"/>
      <c r="AJ22" s="464"/>
      <c r="AK22" s="464"/>
      <c r="AL22" s="464"/>
      <c r="AM22" s="464"/>
      <c r="AN22" s="464"/>
      <c r="AO22" s="464"/>
      <c r="AP22" s="464"/>
      <c r="AQ22" s="464"/>
      <c r="AR22" s="464"/>
      <c r="AS22" s="464"/>
      <c r="AT22" s="464"/>
      <c r="AU22" s="464"/>
      <c r="AV22" s="464"/>
      <c r="AW22" s="464"/>
      <c r="AX22" s="464"/>
      <c r="AY22" s="464"/>
      <c r="AZ22" s="464"/>
      <c r="BA22" s="464"/>
      <c r="BB22" s="464"/>
      <c r="BC22" s="464"/>
      <c r="BD22" s="464"/>
      <c r="BE22" s="464"/>
      <c r="BF22" s="464"/>
      <c r="BG22" s="464"/>
      <c r="BH22" s="464"/>
      <c r="BJ22" s="463">
        <f t="shared" si="1"/>
        <v>15</v>
      </c>
      <c r="BZ22" s="467"/>
    </row>
    <row r="23" spans="2:78" ht="15.75" customHeight="1" x14ac:dyDescent="0.2">
      <c r="B23" s="751" t="s">
        <v>1309</v>
      </c>
      <c r="C23" s="751" t="s">
        <v>626</v>
      </c>
      <c r="D23" s="744">
        <v>2</v>
      </c>
      <c r="E23" s="744">
        <v>1865</v>
      </c>
      <c r="F23" s="468">
        <v>44257</v>
      </c>
      <c r="G23" s="745">
        <f t="shared" si="0"/>
        <v>44257</v>
      </c>
      <c r="H23" s="466"/>
      <c r="I23" s="466"/>
      <c r="J23" s="466"/>
      <c r="K23" s="466"/>
      <c r="L23" s="466"/>
      <c r="M23" s="466"/>
      <c r="N23" s="466"/>
      <c r="O23" s="466"/>
      <c r="P23" s="466"/>
      <c r="Q23" s="466"/>
      <c r="R23" s="466"/>
      <c r="S23" s="466"/>
      <c r="T23" s="466"/>
      <c r="U23" s="466"/>
      <c r="V23" s="466"/>
      <c r="W23" s="466"/>
      <c r="X23" s="466"/>
      <c r="Y23" s="466"/>
      <c r="Z23" s="466"/>
      <c r="AA23" s="466"/>
      <c r="AB23" s="466"/>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466"/>
      <c r="BA23" s="466"/>
      <c r="BB23" s="466"/>
      <c r="BC23" s="466"/>
      <c r="BD23" s="466"/>
      <c r="BE23" s="466"/>
      <c r="BF23" s="466"/>
      <c r="BG23" s="466"/>
      <c r="BH23" s="466"/>
      <c r="BJ23" s="463">
        <f t="shared" si="1"/>
        <v>16</v>
      </c>
      <c r="BZ23" s="467"/>
    </row>
    <row r="24" spans="2:78" ht="15.75" customHeight="1" x14ac:dyDescent="0.2">
      <c r="B24" s="751" t="s">
        <v>1313</v>
      </c>
      <c r="C24" s="751" t="s">
        <v>626</v>
      </c>
      <c r="D24" s="744">
        <v>1</v>
      </c>
      <c r="E24" s="744">
        <v>88.5</v>
      </c>
      <c r="F24" s="468">
        <v>43601</v>
      </c>
      <c r="G24" s="745">
        <f t="shared" si="0"/>
        <v>43601</v>
      </c>
      <c r="H24" s="464"/>
      <c r="I24" s="464"/>
      <c r="J24" s="464"/>
      <c r="K24" s="464"/>
      <c r="L24" s="464"/>
      <c r="M24" s="464"/>
      <c r="N24" s="464"/>
      <c r="O24" s="464"/>
      <c r="P24" s="464"/>
      <c r="Q24" s="464"/>
      <c r="R24" s="464"/>
      <c r="S24" s="464"/>
      <c r="T24" s="464"/>
      <c r="U24" s="464"/>
      <c r="V24" s="464"/>
      <c r="W24" s="464"/>
      <c r="X24" s="464"/>
      <c r="Y24" s="464"/>
      <c r="Z24" s="464"/>
      <c r="AA24" s="464"/>
      <c r="AB24" s="464"/>
      <c r="AC24" s="464"/>
      <c r="AD24" s="464"/>
      <c r="AE24" s="464"/>
      <c r="AF24" s="464"/>
      <c r="AG24" s="464"/>
      <c r="AH24" s="464"/>
      <c r="AI24" s="464"/>
      <c r="AJ24" s="464"/>
      <c r="AK24" s="464"/>
      <c r="AL24" s="464"/>
      <c r="AM24" s="464"/>
      <c r="AN24" s="464"/>
      <c r="AO24" s="464"/>
      <c r="AP24" s="464"/>
      <c r="AQ24" s="464"/>
      <c r="AR24" s="464"/>
      <c r="AS24" s="464"/>
      <c r="AT24" s="464"/>
      <c r="AU24" s="464"/>
      <c r="AV24" s="464"/>
      <c r="AW24" s="464"/>
      <c r="AX24" s="464"/>
      <c r="AY24" s="464"/>
      <c r="AZ24" s="464"/>
      <c r="BA24" s="464"/>
      <c r="BB24" s="464"/>
      <c r="BC24" s="464"/>
      <c r="BD24" s="464"/>
      <c r="BE24" s="464"/>
      <c r="BF24" s="464"/>
      <c r="BG24" s="464"/>
      <c r="BH24" s="464"/>
      <c r="BJ24" s="463">
        <f t="shared" si="1"/>
        <v>17</v>
      </c>
      <c r="BZ24" s="467"/>
    </row>
    <row r="25" spans="2:78" ht="15.75" customHeight="1" x14ac:dyDescent="0.2">
      <c r="B25" s="751"/>
      <c r="C25" s="751"/>
      <c r="D25" s="744"/>
      <c r="E25" s="744"/>
      <c r="F25" s="468"/>
      <c r="G25" s="745">
        <f t="shared" si="0"/>
        <v>0</v>
      </c>
      <c r="H25" s="466"/>
      <c r="I25" s="466"/>
      <c r="J25" s="466"/>
      <c r="K25" s="466"/>
      <c r="L25" s="466"/>
      <c r="M25" s="466"/>
      <c r="N25" s="466"/>
      <c r="O25" s="466"/>
      <c r="P25" s="466"/>
      <c r="Q25" s="466"/>
      <c r="R25" s="466"/>
      <c r="S25" s="466"/>
      <c r="T25" s="466"/>
      <c r="U25" s="466"/>
      <c r="V25" s="466"/>
      <c r="W25" s="466"/>
      <c r="X25" s="466"/>
      <c r="Y25" s="466"/>
      <c r="Z25" s="466"/>
      <c r="AA25" s="466"/>
      <c r="AB25" s="466"/>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466"/>
      <c r="BA25" s="466"/>
      <c r="BB25" s="466"/>
      <c r="BC25" s="466"/>
      <c r="BD25" s="466"/>
      <c r="BE25" s="466"/>
      <c r="BF25" s="466"/>
      <c r="BG25" s="466"/>
      <c r="BH25" s="466"/>
      <c r="BJ25" s="463">
        <f t="shared" si="1"/>
        <v>18</v>
      </c>
      <c r="BZ25" s="467"/>
    </row>
    <row r="26" spans="2:78" ht="15.75" customHeight="1" x14ac:dyDescent="0.2">
      <c r="H26" s="464"/>
      <c r="I26" s="464"/>
      <c r="J26" s="464"/>
      <c r="K26" s="464"/>
      <c r="L26" s="464"/>
      <c r="M26" s="464"/>
      <c r="N26" s="464"/>
      <c r="O26" s="464"/>
      <c r="P26" s="464"/>
      <c r="Q26" s="464"/>
      <c r="R26" s="464"/>
      <c r="S26" s="464"/>
      <c r="T26" s="464"/>
      <c r="U26" s="464"/>
      <c r="V26" s="464"/>
      <c r="W26" s="464"/>
      <c r="X26" s="464"/>
      <c r="Y26" s="464"/>
      <c r="Z26" s="464"/>
      <c r="AA26" s="464"/>
      <c r="AB26" s="464"/>
      <c r="AC26" s="464"/>
      <c r="AD26" s="464"/>
      <c r="AE26" s="464"/>
      <c r="AF26" s="464"/>
      <c r="AG26" s="464"/>
      <c r="AH26" s="464"/>
      <c r="AI26" s="464"/>
      <c r="AJ26" s="464"/>
      <c r="AK26" s="464"/>
      <c r="AL26" s="464"/>
      <c r="AM26" s="464"/>
      <c r="AN26" s="464"/>
      <c r="AO26" s="464"/>
      <c r="AP26" s="464"/>
      <c r="AQ26" s="464"/>
      <c r="AR26" s="464"/>
      <c r="AS26" s="464"/>
      <c r="AT26" s="464"/>
      <c r="AU26" s="464"/>
      <c r="AV26" s="464"/>
      <c r="AW26" s="464"/>
      <c r="AX26" s="464"/>
      <c r="AY26" s="464"/>
      <c r="AZ26" s="464"/>
      <c r="BA26" s="464"/>
      <c r="BB26" s="464"/>
      <c r="BC26" s="464"/>
      <c r="BD26" s="464"/>
      <c r="BE26" s="464"/>
      <c r="BF26" s="464"/>
      <c r="BG26" s="464"/>
      <c r="BH26" s="464"/>
      <c r="BJ26" s="463">
        <f t="shared" si="1"/>
        <v>19</v>
      </c>
      <c r="BZ26" s="467"/>
    </row>
    <row r="27" spans="2:78" ht="15.75" customHeight="1" x14ac:dyDescent="0.2">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466"/>
      <c r="BA27" s="466"/>
      <c r="BB27" s="466"/>
      <c r="BC27" s="466"/>
      <c r="BD27" s="466"/>
      <c r="BE27" s="466"/>
      <c r="BF27" s="466"/>
      <c r="BG27" s="466"/>
      <c r="BH27" s="466"/>
      <c r="BJ27" s="463">
        <f t="shared" si="1"/>
        <v>20</v>
      </c>
      <c r="BZ27" s="467"/>
    </row>
    <row r="28" spans="2:78" ht="15.75" customHeight="1" x14ac:dyDescent="0.2">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466"/>
      <c r="BA28" s="466"/>
      <c r="BB28" s="466"/>
      <c r="BC28" s="466"/>
      <c r="BD28" s="466"/>
      <c r="BE28" s="466"/>
      <c r="BF28" s="466"/>
      <c r="BG28" s="466"/>
      <c r="BH28" s="466"/>
      <c r="BJ28" s="463">
        <f t="shared" si="1"/>
        <v>21</v>
      </c>
      <c r="BZ28" s="467"/>
    </row>
    <row r="29" spans="2:78" ht="15.75" customHeight="1" x14ac:dyDescent="0.2">
      <c r="H29" s="466"/>
      <c r="I29" s="466"/>
      <c r="J29" s="466"/>
      <c r="K29" s="466"/>
      <c r="L29" s="466"/>
      <c r="M29" s="466"/>
      <c r="N29" s="466"/>
      <c r="O29" s="466"/>
      <c r="P29" s="466"/>
      <c r="Q29" s="466"/>
      <c r="R29" s="466"/>
      <c r="S29" s="466"/>
      <c r="T29" s="466"/>
      <c r="U29" s="466"/>
      <c r="V29" s="466"/>
      <c r="W29" s="466"/>
      <c r="X29" s="466"/>
      <c r="Y29" s="466"/>
      <c r="Z29" s="466"/>
      <c r="AA29" s="466"/>
      <c r="AB29" s="466"/>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466"/>
      <c r="BA29" s="466"/>
      <c r="BB29" s="466"/>
      <c r="BC29" s="466"/>
      <c r="BD29" s="466"/>
      <c r="BE29" s="466"/>
      <c r="BF29" s="466"/>
      <c r="BG29" s="466"/>
      <c r="BH29" s="466"/>
      <c r="BJ29" s="463">
        <f t="shared" si="1"/>
        <v>22</v>
      </c>
      <c r="BZ29" s="467"/>
    </row>
    <row r="30" spans="2:78" ht="15.75" customHeight="1" x14ac:dyDescent="0.2">
      <c r="H30" s="464"/>
      <c r="I30" s="464"/>
      <c r="J30" s="464"/>
      <c r="K30" s="464"/>
      <c r="L30" s="464"/>
      <c r="M30" s="464"/>
      <c r="N30" s="464"/>
      <c r="O30" s="464"/>
      <c r="P30" s="464"/>
      <c r="Q30" s="464"/>
      <c r="R30" s="464"/>
      <c r="S30" s="464"/>
      <c r="T30" s="464"/>
      <c r="U30" s="464"/>
      <c r="V30" s="464"/>
      <c r="W30" s="464"/>
      <c r="X30" s="464"/>
      <c r="Y30" s="464"/>
      <c r="Z30" s="464"/>
      <c r="AA30" s="464"/>
      <c r="AB30" s="464"/>
      <c r="AC30" s="464"/>
      <c r="AD30" s="464"/>
      <c r="AE30" s="464"/>
      <c r="AF30" s="464"/>
      <c r="AG30" s="464"/>
      <c r="AH30" s="464"/>
      <c r="AI30" s="464"/>
      <c r="AJ30" s="464"/>
      <c r="AK30" s="464"/>
      <c r="AL30" s="464"/>
      <c r="AM30" s="464"/>
      <c r="AN30" s="464"/>
      <c r="AO30" s="464"/>
      <c r="AP30" s="464"/>
      <c r="AQ30" s="464"/>
      <c r="AR30" s="464"/>
      <c r="AS30" s="464"/>
      <c r="AT30" s="464"/>
      <c r="AU30" s="464"/>
      <c r="AV30" s="464"/>
      <c r="AW30" s="464"/>
      <c r="AX30" s="464"/>
      <c r="AY30" s="464"/>
      <c r="AZ30" s="464"/>
      <c r="BA30" s="464"/>
      <c r="BB30" s="464"/>
      <c r="BC30" s="464"/>
      <c r="BD30" s="464"/>
      <c r="BE30" s="464"/>
      <c r="BF30" s="464"/>
      <c r="BG30" s="464"/>
      <c r="BH30" s="464"/>
      <c r="BJ30" s="463">
        <f t="shared" si="1"/>
        <v>23</v>
      </c>
      <c r="BZ30" s="467"/>
    </row>
    <row r="31" spans="2:78" ht="15.75" customHeight="1" x14ac:dyDescent="0.2">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466"/>
      <c r="BA31" s="466"/>
      <c r="BB31" s="466"/>
      <c r="BC31" s="466"/>
      <c r="BD31" s="466"/>
      <c r="BE31" s="466"/>
      <c r="BF31" s="466"/>
      <c r="BG31" s="466"/>
      <c r="BH31" s="466"/>
      <c r="BJ31" s="463">
        <f t="shared" si="1"/>
        <v>24</v>
      </c>
      <c r="BZ31" s="467"/>
    </row>
    <row r="32" spans="2:78" ht="15.75" customHeight="1" x14ac:dyDescent="0.2">
      <c r="H32" s="464"/>
      <c r="I32" s="464"/>
      <c r="J32" s="464"/>
      <c r="K32" s="464"/>
      <c r="L32" s="464"/>
      <c r="M32" s="464"/>
      <c r="N32" s="464"/>
      <c r="O32" s="464"/>
      <c r="P32" s="464"/>
      <c r="Q32" s="464"/>
      <c r="R32" s="464"/>
      <c r="S32" s="464"/>
      <c r="T32" s="464"/>
      <c r="U32" s="464"/>
      <c r="V32" s="464"/>
      <c r="W32" s="464"/>
      <c r="X32" s="464"/>
      <c r="Y32" s="464"/>
      <c r="Z32" s="464"/>
      <c r="AA32" s="464"/>
      <c r="AB32" s="464"/>
      <c r="AC32" s="464"/>
      <c r="AD32" s="464"/>
      <c r="AE32" s="464"/>
      <c r="AF32" s="464"/>
      <c r="AG32" s="464"/>
      <c r="AH32" s="464"/>
      <c r="AI32" s="464"/>
      <c r="AJ32" s="464"/>
      <c r="AK32" s="464"/>
      <c r="AL32" s="464"/>
      <c r="AM32" s="464"/>
      <c r="AN32" s="464"/>
      <c r="AO32" s="464"/>
      <c r="AP32" s="464"/>
      <c r="AQ32" s="464"/>
      <c r="AR32" s="464"/>
      <c r="AS32" s="464"/>
      <c r="AT32" s="464"/>
      <c r="AU32" s="464"/>
      <c r="AV32" s="464"/>
      <c r="AW32" s="464"/>
      <c r="AX32" s="464"/>
      <c r="AY32" s="464"/>
      <c r="AZ32" s="464"/>
      <c r="BA32" s="464"/>
      <c r="BB32" s="464"/>
      <c r="BC32" s="464"/>
      <c r="BD32" s="464"/>
      <c r="BE32" s="464"/>
      <c r="BF32" s="464"/>
      <c r="BG32" s="464"/>
      <c r="BH32" s="464"/>
      <c r="BJ32" s="463">
        <f t="shared" si="1"/>
        <v>25</v>
      </c>
      <c r="BZ32" s="467"/>
    </row>
    <row r="33" spans="8:78" ht="15.75" customHeight="1" x14ac:dyDescent="0.2">
      <c r="H33" s="466"/>
      <c r="I33" s="466"/>
      <c r="J33" s="466"/>
      <c r="K33" s="466"/>
      <c r="L33" s="466"/>
      <c r="M33" s="466"/>
      <c r="N33" s="466"/>
      <c r="O33" s="466"/>
      <c r="P33" s="466"/>
      <c r="Q33" s="466"/>
      <c r="R33" s="466"/>
      <c r="S33" s="466"/>
      <c r="T33" s="466"/>
      <c r="U33" s="466"/>
      <c r="V33" s="466"/>
      <c r="W33" s="466"/>
      <c r="X33" s="466"/>
      <c r="Y33" s="466"/>
      <c r="Z33" s="466"/>
      <c r="AA33" s="466"/>
      <c r="AB33" s="466"/>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466"/>
      <c r="BA33" s="466"/>
      <c r="BB33" s="466"/>
      <c r="BC33" s="466"/>
      <c r="BD33" s="466"/>
      <c r="BE33" s="466"/>
      <c r="BF33" s="466"/>
      <c r="BG33" s="466"/>
      <c r="BH33" s="466"/>
      <c r="BJ33" s="463">
        <f t="shared" si="1"/>
        <v>26</v>
      </c>
      <c r="BZ33" s="467"/>
    </row>
    <row r="34" spans="8:78" ht="15.75" customHeight="1" x14ac:dyDescent="0.2">
      <c r="H34" s="464"/>
      <c r="I34" s="464"/>
      <c r="J34" s="464"/>
      <c r="K34" s="464"/>
      <c r="L34" s="464"/>
      <c r="M34" s="464"/>
      <c r="N34" s="464"/>
      <c r="O34" s="464"/>
      <c r="P34" s="464"/>
      <c r="Q34" s="464"/>
      <c r="R34" s="464"/>
      <c r="S34" s="464"/>
      <c r="T34" s="464"/>
      <c r="U34" s="464"/>
      <c r="V34" s="464"/>
      <c r="W34" s="464"/>
      <c r="X34" s="464"/>
      <c r="Y34" s="464"/>
      <c r="Z34" s="464"/>
      <c r="AA34" s="464"/>
      <c r="AB34" s="464"/>
      <c r="AC34" s="464"/>
      <c r="AD34" s="464"/>
      <c r="AE34" s="464"/>
      <c r="AF34" s="464"/>
      <c r="AG34" s="464"/>
      <c r="AH34" s="464"/>
      <c r="AI34" s="464"/>
      <c r="AJ34" s="464"/>
      <c r="AK34" s="464"/>
      <c r="AL34" s="464"/>
      <c r="AM34" s="464"/>
      <c r="AN34" s="464"/>
      <c r="AO34" s="464"/>
      <c r="AP34" s="464"/>
      <c r="AQ34" s="464"/>
      <c r="AR34" s="464"/>
      <c r="AS34" s="464"/>
      <c r="AT34" s="464"/>
      <c r="AU34" s="464"/>
      <c r="AV34" s="464"/>
      <c r="AW34" s="464"/>
      <c r="AX34" s="464"/>
      <c r="AY34" s="464"/>
      <c r="AZ34" s="464"/>
      <c r="BA34" s="464"/>
      <c r="BB34" s="464"/>
      <c r="BC34" s="464"/>
      <c r="BD34" s="464"/>
      <c r="BE34" s="464"/>
      <c r="BF34" s="464"/>
      <c r="BG34" s="464"/>
      <c r="BH34" s="464"/>
      <c r="BJ34" s="463">
        <f t="shared" si="1"/>
        <v>27</v>
      </c>
      <c r="BZ34" s="467"/>
    </row>
    <row r="35" spans="8:78" ht="15.75" customHeight="1" x14ac:dyDescent="0.2">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466"/>
      <c r="BA35" s="466"/>
      <c r="BB35" s="466"/>
      <c r="BC35" s="466"/>
      <c r="BD35" s="466"/>
      <c r="BE35" s="466"/>
      <c r="BF35" s="466"/>
      <c r="BG35" s="466"/>
      <c r="BH35" s="466"/>
      <c r="BJ35" s="463">
        <f t="shared" si="1"/>
        <v>28</v>
      </c>
      <c r="BZ35" s="467"/>
    </row>
    <row r="36" spans="8:78" ht="15.75" customHeight="1" x14ac:dyDescent="0.2">
      <c r="H36" s="464"/>
      <c r="I36" s="464"/>
      <c r="J36" s="464"/>
      <c r="K36" s="464"/>
      <c r="L36" s="464"/>
      <c r="M36" s="464"/>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464"/>
      <c r="AK36" s="464"/>
      <c r="AL36" s="464"/>
      <c r="AM36" s="464"/>
      <c r="AN36" s="464"/>
      <c r="AO36" s="464"/>
      <c r="AP36" s="464"/>
      <c r="AQ36" s="464"/>
      <c r="AR36" s="464"/>
      <c r="AS36" s="464"/>
      <c r="AT36" s="464"/>
      <c r="AU36" s="464"/>
      <c r="AV36" s="464"/>
      <c r="AW36" s="464"/>
      <c r="AX36" s="464"/>
      <c r="AY36" s="464"/>
      <c r="AZ36" s="464"/>
      <c r="BA36" s="464"/>
      <c r="BB36" s="464"/>
      <c r="BC36" s="464"/>
      <c r="BD36" s="464"/>
      <c r="BE36" s="464"/>
      <c r="BF36" s="464"/>
      <c r="BG36" s="464"/>
      <c r="BH36" s="464"/>
      <c r="BJ36" s="463">
        <f t="shared" si="1"/>
        <v>29</v>
      </c>
      <c r="BZ36" s="467"/>
    </row>
    <row r="37" spans="8:78" ht="15.75" customHeight="1" x14ac:dyDescent="0.2">
      <c r="H37" s="466"/>
      <c r="I37" s="466"/>
      <c r="J37" s="466"/>
      <c r="K37" s="466"/>
      <c r="L37" s="466"/>
      <c r="M37" s="466"/>
      <c r="N37" s="466"/>
      <c r="O37" s="466"/>
      <c r="P37" s="466"/>
      <c r="Q37" s="466"/>
      <c r="R37" s="466"/>
      <c r="S37" s="466"/>
      <c r="T37" s="466"/>
      <c r="U37" s="466"/>
      <c r="V37" s="466"/>
      <c r="W37" s="466"/>
      <c r="X37" s="466"/>
      <c r="Y37" s="466"/>
      <c r="Z37" s="466"/>
      <c r="AA37" s="466"/>
      <c r="AB37" s="466"/>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466"/>
      <c r="BA37" s="466"/>
      <c r="BB37" s="466"/>
      <c r="BC37" s="466"/>
      <c r="BD37" s="466"/>
      <c r="BE37" s="466"/>
      <c r="BF37" s="466"/>
      <c r="BG37" s="466"/>
      <c r="BH37" s="466"/>
      <c r="BJ37" s="463">
        <f t="shared" si="1"/>
        <v>30</v>
      </c>
      <c r="BZ37" s="467"/>
    </row>
    <row r="38" spans="8:78" ht="15.75" customHeight="1" x14ac:dyDescent="0.2">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466"/>
      <c r="BA38" s="466"/>
      <c r="BB38" s="466"/>
      <c r="BC38" s="466"/>
      <c r="BD38" s="466"/>
      <c r="BE38" s="466"/>
      <c r="BF38" s="466"/>
      <c r="BG38" s="466"/>
      <c r="BH38" s="466"/>
      <c r="BJ38" s="463">
        <f t="shared" si="1"/>
        <v>31</v>
      </c>
      <c r="BZ38" s="467"/>
    </row>
    <row r="39" spans="8:78" ht="15.75" customHeight="1" x14ac:dyDescent="0.2">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466"/>
      <c r="BA39" s="466"/>
      <c r="BB39" s="466"/>
      <c r="BC39" s="466"/>
      <c r="BD39" s="466"/>
      <c r="BE39" s="466"/>
      <c r="BF39" s="466"/>
      <c r="BG39" s="466"/>
      <c r="BH39" s="466"/>
      <c r="BJ39" s="463">
        <f t="shared" si="1"/>
        <v>32</v>
      </c>
      <c r="BZ39" s="467"/>
    </row>
    <row r="40" spans="8:78" ht="15.75" customHeight="1" x14ac:dyDescent="0.2">
      <c r="H40" s="464"/>
      <c r="I40" s="464"/>
      <c r="J40" s="464"/>
      <c r="K40" s="464"/>
      <c r="L40" s="464"/>
      <c r="M40" s="464"/>
      <c r="N40" s="464"/>
      <c r="O40" s="464"/>
      <c r="P40" s="464"/>
      <c r="Q40" s="464"/>
      <c r="R40" s="464"/>
      <c r="S40" s="464"/>
      <c r="T40" s="464"/>
      <c r="U40" s="464"/>
      <c r="V40" s="464"/>
      <c r="W40" s="464"/>
      <c r="X40" s="464"/>
      <c r="Y40" s="464"/>
      <c r="Z40" s="464"/>
      <c r="AA40" s="464"/>
      <c r="AB40" s="464"/>
      <c r="AC40" s="464"/>
      <c r="AD40" s="464"/>
      <c r="AE40" s="464"/>
      <c r="AF40" s="464"/>
      <c r="AG40" s="464"/>
      <c r="AH40" s="464"/>
      <c r="AI40" s="464"/>
      <c r="AJ40" s="464"/>
      <c r="AK40" s="464"/>
      <c r="AL40" s="464"/>
      <c r="AM40" s="464"/>
      <c r="AN40" s="464"/>
      <c r="AO40" s="464"/>
      <c r="AP40" s="464"/>
      <c r="AQ40" s="464"/>
      <c r="AR40" s="464"/>
      <c r="AS40" s="464"/>
      <c r="AT40" s="464"/>
      <c r="AU40" s="464"/>
      <c r="AV40" s="464"/>
      <c r="AW40" s="464"/>
      <c r="AX40" s="464"/>
      <c r="AY40" s="464"/>
      <c r="AZ40" s="464"/>
      <c r="BA40" s="464"/>
      <c r="BB40" s="464"/>
      <c r="BC40" s="464"/>
      <c r="BD40" s="464"/>
      <c r="BE40" s="464"/>
      <c r="BF40" s="464"/>
      <c r="BG40" s="464"/>
      <c r="BH40" s="464"/>
      <c r="BJ40" s="463">
        <f t="shared" si="1"/>
        <v>33</v>
      </c>
      <c r="BZ40" s="467"/>
    </row>
    <row r="41" spans="8:78" ht="15.75" customHeight="1" x14ac:dyDescent="0.2">
      <c r="H41" s="466"/>
      <c r="I41" s="466"/>
      <c r="J41" s="466"/>
      <c r="K41" s="466"/>
      <c r="L41" s="466"/>
      <c r="M41" s="466"/>
      <c r="N41" s="466"/>
      <c r="O41" s="466"/>
      <c r="P41" s="466"/>
      <c r="Q41" s="466"/>
      <c r="R41" s="466"/>
      <c r="S41" s="466"/>
      <c r="T41" s="466"/>
      <c r="U41" s="466"/>
      <c r="V41" s="466"/>
      <c r="W41" s="466"/>
      <c r="X41" s="466"/>
      <c r="Y41" s="466"/>
      <c r="Z41" s="466"/>
      <c r="AA41" s="466"/>
      <c r="AB41" s="466"/>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466"/>
      <c r="BA41" s="466"/>
      <c r="BB41" s="466"/>
      <c r="BC41" s="466"/>
      <c r="BD41" s="466"/>
      <c r="BE41" s="466"/>
      <c r="BF41" s="466"/>
      <c r="BG41" s="466"/>
      <c r="BH41" s="466"/>
      <c r="BJ41" s="463">
        <f t="shared" si="1"/>
        <v>34</v>
      </c>
      <c r="BZ41" s="467"/>
    </row>
    <row r="42" spans="8:78" ht="15.75" customHeight="1" x14ac:dyDescent="0.2">
      <c r="H42" s="464"/>
      <c r="I42" s="464"/>
      <c r="J42" s="464"/>
      <c r="K42" s="464"/>
      <c r="L42" s="464"/>
      <c r="M42" s="464"/>
      <c r="N42" s="464"/>
      <c r="O42" s="464"/>
      <c r="P42" s="464"/>
      <c r="Q42" s="464"/>
      <c r="R42" s="464"/>
      <c r="S42" s="464"/>
      <c r="T42" s="464"/>
      <c r="U42" s="464"/>
      <c r="V42" s="464"/>
      <c r="W42" s="464"/>
      <c r="X42" s="464"/>
      <c r="Y42" s="464"/>
      <c r="Z42" s="464"/>
      <c r="AA42" s="464"/>
      <c r="AB42" s="464"/>
      <c r="AC42" s="464"/>
      <c r="AD42" s="464"/>
      <c r="AE42" s="464"/>
      <c r="AF42" s="464"/>
      <c r="AG42" s="464"/>
      <c r="AH42" s="464"/>
      <c r="AI42" s="464"/>
      <c r="AJ42" s="464"/>
      <c r="AK42" s="464"/>
      <c r="AL42" s="464"/>
      <c r="AM42" s="464"/>
      <c r="AN42" s="464"/>
      <c r="AO42" s="464"/>
      <c r="AP42" s="464"/>
      <c r="AQ42" s="464"/>
      <c r="AR42" s="464"/>
      <c r="AS42" s="464"/>
      <c r="AT42" s="464"/>
      <c r="AU42" s="464"/>
      <c r="AV42" s="464"/>
      <c r="AW42" s="464"/>
      <c r="AX42" s="464"/>
      <c r="AY42" s="464"/>
      <c r="AZ42" s="464"/>
      <c r="BA42" s="464"/>
      <c r="BB42" s="464"/>
      <c r="BC42" s="464"/>
      <c r="BD42" s="464"/>
      <c r="BE42" s="464"/>
      <c r="BF42" s="464"/>
      <c r="BG42" s="464"/>
      <c r="BH42" s="464"/>
      <c r="BJ42" s="463">
        <f t="shared" si="1"/>
        <v>35</v>
      </c>
      <c r="BZ42" s="467"/>
    </row>
    <row r="43" spans="8:78" ht="15.75" customHeight="1" x14ac:dyDescent="0.2">
      <c r="H43" s="466"/>
      <c r="I43" s="466"/>
      <c r="J43" s="466"/>
      <c r="K43" s="466"/>
      <c r="L43" s="466"/>
      <c r="M43" s="466"/>
      <c r="N43" s="466"/>
      <c r="O43" s="466"/>
      <c r="P43" s="466"/>
      <c r="Q43" s="466"/>
      <c r="R43" s="466"/>
      <c r="S43" s="466"/>
      <c r="T43" s="466"/>
      <c r="U43" s="466"/>
      <c r="V43" s="466"/>
      <c r="W43" s="466"/>
      <c r="X43" s="466"/>
      <c r="Y43" s="466"/>
      <c r="Z43" s="466"/>
      <c r="AA43" s="466"/>
      <c r="AB43" s="466"/>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466"/>
      <c r="BA43" s="466"/>
      <c r="BB43" s="466"/>
      <c r="BC43" s="466"/>
      <c r="BD43" s="466"/>
      <c r="BE43" s="466"/>
      <c r="BF43" s="466"/>
      <c r="BG43" s="466"/>
      <c r="BH43" s="466"/>
      <c r="BJ43" s="463">
        <f t="shared" si="1"/>
        <v>36</v>
      </c>
      <c r="BZ43" s="467"/>
    </row>
    <row r="44" spans="8:78" ht="15.75" customHeight="1" x14ac:dyDescent="0.2">
      <c r="H44" s="464"/>
      <c r="I44" s="464"/>
      <c r="J44" s="464"/>
      <c r="K44" s="464"/>
      <c r="L44" s="464"/>
      <c r="M44" s="464"/>
      <c r="N44" s="464"/>
      <c r="O44" s="464"/>
      <c r="P44" s="464"/>
      <c r="Q44" s="464"/>
      <c r="R44" s="464"/>
      <c r="S44" s="464"/>
      <c r="T44" s="464"/>
      <c r="U44" s="464"/>
      <c r="V44" s="464"/>
      <c r="W44" s="464"/>
      <c r="X44" s="464"/>
      <c r="Y44" s="464"/>
      <c r="Z44" s="464"/>
      <c r="AA44" s="464"/>
      <c r="AB44" s="464"/>
      <c r="AC44" s="464"/>
      <c r="AD44" s="464"/>
      <c r="AE44" s="464"/>
      <c r="AF44" s="464"/>
      <c r="AG44" s="464"/>
      <c r="AH44" s="464"/>
      <c r="AI44" s="464"/>
      <c r="AJ44" s="464"/>
      <c r="AK44" s="464"/>
      <c r="AL44" s="464"/>
      <c r="AM44" s="464"/>
      <c r="AN44" s="464"/>
      <c r="AO44" s="464"/>
      <c r="AP44" s="464"/>
      <c r="AQ44" s="464"/>
      <c r="AR44" s="464"/>
      <c r="AS44" s="464"/>
      <c r="AT44" s="464"/>
      <c r="AU44" s="464"/>
      <c r="AV44" s="464"/>
      <c r="AW44" s="464"/>
      <c r="AX44" s="464"/>
      <c r="AY44" s="464"/>
      <c r="AZ44" s="464"/>
      <c r="BA44" s="464"/>
      <c r="BB44" s="464"/>
      <c r="BC44" s="464"/>
      <c r="BD44" s="464"/>
      <c r="BE44" s="464"/>
      <c r="BF44" s="464"/>
      <c r="BG44" s="464"/>
      <c r="BH44" s="464"/>
      <c r="BJ44" s="463">
        <f t="shared" si="1"/>
        <v>37</v>
      </c>
      <c r="BZ44" s="467"/>
    </row>
    <row r="45" spans="8:78" ht="15.75" customHeight="1" x14ac:dyDescent="0.2">
      <c r="H45" s="466"/>
      <c r="I45" s="466"/>
      <c r="J45" s="466"/>
      <c r="K45" s="466"/>
      <c r="L45" s="466"/>
      <c r="M45" s="466"/>
      <c r="N45" s="466"/>
      <c r="O45" s="466"/>
      <c r="P45" s="466"/>
      <c r="Q45" s="466"/>
      <c r="R45" s="466"/>
      <c r="S45" s="466"/>
      <c r="T45" s="466"/>
      <c r="U45" s="466"/>
      <c r="V45" s="466"/>
      <c r="W45" s="466"/>
      <c r="X45" s="466"/>
      <c r="Y45" s="466"/>
      <c r="Z45" s="466"/>
      <c r="AA45" s="466"/>
      <c r="AB45" s="466"/>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466"/>
      <c r="BA45" s="466"/>
      <c r="BB45" s="466"/>
      <c r="BC45" s="466"/>
      <c r="BD45" s="466"/>
      <c r="BE45" s="466"/>
      <c r="BF45" s="466"/>
      <c r="BG45" s="466"/>
      <c r="BH45" s="466"/>
      <c r="BJ45" s="463">
        <f t="shared" si="1"/>
        <v>38</v>
      </c>
      <c r="BZ45" s="467"/>
    </row>
    <row r="46" spans="8:78" ht="15.75" customHeight="1" x14ac:dyDescent="0.2">
      <c r="H46" s="464"/>
      <c r="I46" s="464"/>
      <c r="J46" s="464"/>
      <c r="K46" s="464"/>
      <c r="L46" s="464"/>
      <c r="M46" s="464"/>
      <c r="N46" s="464"/>
      <c r="O46" s="464"/>
      <c r="P46" s="464"/>
      <c r="Q46" s="464"/>
      <c r="R46" s="464"/>
      <c r="S46" s="464"/>
      <c r="T46" s="464"/>
      <c r="U46" s="464"/>
      <c r="V46" s="464"/>
      <c r="W46" s="464"/>
      <c r="X46" s="464"/>
      <c r="Y46" s="464"/>
      <c r="Z46" s="464"/>
      <c r="AA46" s="464"/>
      <c r="AB46" s="464"/>
      <c r="AC46" s="464"/>
      <c r="AD46" s="464"/>
      <c r="AE46" s="464"/>
      <c r="AF46" s="464"/>
      <c r="AG46" s="464"/>
      <c r="AH46" s="464"/>
      <c r="AI46" s="464"/>
      <c r="AJ46" s="464"/>
      <c r="AK46" s="464"/>
      <c r="AL46" s="464"/>
      <c r="AM46" s="464"/>
      <c r="AN46" s="464"/>
      <c r="AO46" s="464"/>
      <c r="AP46" s="464"/>
      <c r="AQ46" s="464"/>
      <c r="AR46" s="464"/>
      <c r="AS46" s="464"/>
      <c r="AT46" s="464"/>
      <c r="AU46" s="464"/>
      <c r="AV46" s="464"/>
      <c r="AW46" s="464"/>
      <c r="AX46" s="464"/>
      <c r="AY46" s="464"/>
      <c r="AZ46" s="464"/>
      <c r="BA46" s="464"/>
      <c r="BB46" s="464"/>
      <c r="BC46" s="464"/>
      <c r="BD46" s="464"/>
      <c r="BE46" s="464"/>
      <c r="BF46" s="464"/>
      <c r="BG46" s="464"/>
      <c r="BH46" s="464"/>
      <c r="BJ46" s="463">
        <f t="shared" si="1"/>
        <v>39</v>
      </c>
      <c r="BZ46" s="467"/>
    </row>
    <row r="47" spans="8:78" ht="15.75" customHeight="1" x14ac:dyDescent="0.2">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c r="BC47" s="466"/>
      <c r="BD47" s="466"/>
      <c r="BE47" s="466"/>
      <c r="BF47" s="466"/>
      <c r="BG47" s="466"/>
      <c r="BH47" s="466"/>
      <c r="BJ47" s="463">
        <f t="shared" si="1"/>
        <v>40</v>
      </c>
      <c r="BZ47" s="467"/>
    </row>
    <row r="48" spans="8:78" ht="15.75" customHeight="1" x14ac:dyDescent="0.2">
      <c r="H48" s="464"/>
      <c r="I48" s="464"/>
      <c r="J48" s="464"/>
      <c r="K48" s="464"/>
      <c r="L48" s="464"/>
      <c r="M48" s="464"/>
      <c r="N48" s="464"/>
      <c r="O48" s="464"/>
      <c r="P48" s="464"/>
      <c r="Q48" s="464"/>
      <c r="R48" s="464"/>
      <c r="S48" s="464"/>
      <c r="T48" s="464"/>
      <c r="U48" s="464"/>
      <c r="V48" s="464"/>
      <c r="W48" s="464"/>
      <c r="X48" s="464"/>
      <c r="Y48" s="464"/>
      <c r="Z48" s="464"/>
      <c r="AA48" s="464"/>
      <c r="AB48" s="464"/>
      <c r="AC48" s="464"/>
      <c r="AD48" s="464"/>
      <c r="AE48" s="464"/>
      <c r="AF48" s="464"/>
      <c r="AG48" s="464"/>
      <c r="AH48" s="464"/>
      <c r="AI48" s="464"/>
      <c r="AJ48" s="464"/>
      <c r="AK48" s="464"/>
      <c r="AL48" s="464"/>
      <c r="AM48" s="464"/>
      <c r="AN48" s="464"/>
      <c r="AO48" s="464"/>
      <c r="AP48" s="464"/>
      <c r="AQ48" s="464"/>
      <c r="AR48" s="464"/>
      <c r="AS48" s="464"/>
      <c r="AT48" s="464"/>
      <c r="AU48" s="464"/>
      <c r="AV48" s="464"/>
      <c r="AW48" s="464"/>
      <c r="AX48" s="464"/>
      <c r="AY48" s="464"/>
      <c r="AZ48" s="464"/>
      <c r="BA48" s="464"/>
      <c r="BB48" s="464"/>
      <c r="BC48" s="464"/>
      <c r="BD48" s="464"/>
      <c r="BE48" s="464"/>
      <c r="BF48" s="464"/>
      <c r="BG48" s="464"/>
      <c r="BH48" s="464"/>
      <c r="BJ48" s="463">
        <f t="shared" si="1"/>
        <v>41</v>
      </c>
      <c r="BZ48" s="467"/>
    </row>
    <row r="49" spans="8:78" ht="15.75" customHeight="1" x14ac:dyDescent="0.2">
      <c r="H49" s="466"/>
      <c r="I49" s="466"/>
      <c r="J49" s="466"/>
      <c r="K49" s="466"/>
      <c r="L49" s="466"/>
      <c r="M49" s="466"/>
      <c r="N49" s="466"/>
      <c r="O49" s="466"/>
      <c r="P49" s="466"/>
      <c r="Q49" s="466"/>
      <c r="R49" s="466"/>
      <c r="S49" s="466"/>
      <c r="T49" s="466"/>
      <c r="U49" s="466"/>
      <c r="V49" s="466"/>
      <c r="W49" s="466"/>
      <c r="X49" s="466"/>
      <c r="Y49" s="466"/>
      <c r="Z49" s="466"/>
      <c r="AA49" s="466"/>
      <c r="AB49" s="466"/>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466"/>
      <c r="BA49" s="466"/>
      <c r="BB49" s="466"/>
      <c r="BC49" s="466"/>
      <c r="BD49" s="466"/>
      <c r="BE49" s="466"/>
      <c r="BF49" s="466"/>
      <c r="BG49" s="466"/>
      <c r="BH49" s="466"/>
      <c r="BJ49" s="463">
        <f t="shared" si="1"/>
        <v>42</v>
      </c>
      <c r="BZ49" s="467"/>
    </row>
    <row r="50" spans="8:78" ht="15.75" customHeight="1" x14ac:dyDescent="0.2">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4"/>
      <c r="BC50" s="464"/>
      <c r="BD50" s="464"/>
      <c r="BE50" s="464"/>
      <c r="BF50" s="464"/>
      <c r="BG50" s="464"/>
      <c r="BH50" s="464"/>
      <c r="BJ50" s="463">
        <f t="shared" si="1"/>
        <v>43</v>
      </c>
      <c r="BZ50" s="467"/>
    </row>
    <row r="51" spans="8:78" ht="15.75" customHeight="1" x14ac:dyDescent="0.2">
      <c r="H51" s="466"/>
      <c r="I51" s="466"/>
      <c r="J51" s="466"/>
      <c r="K51" s="466"/>
      <c r="L51" s="466"/>
      <c r="M51" s="466"/>
      <c r="N51" s="466"/>
      <c r="O51" s="466"/>
      <c r="P51" s="466"/>
      <c r="Q51" s="466"/>
      <c r="R51" s="466"/>
      <c r="S51" s="466"/>
      <c r="T51" s="466"/>
      <c r="U51" s="466"/>
      <c r="V51" s="466"/>
      <c r="W51" s="466"/>
      <c r="X51" s="466"/>
      <c r="Y51" s="466"/>
      <c r="Z51" s="466"/>
      <c r="AA51" s="466"/>
      <c r="AB51" s="466"/>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466"/>
      <c r="BA51" s="466"/>
      <c r="BB51" s="466"/>
      <c r="BC51" s="466"/>
      <c r="BD51" s="466"/>
      <c r="BE51" s="466"/>
      <c r="BF51" s="466"/>
      <c r="BG51" s="466"/>
      <c r="BH51" s="466"/>
      <c r="BJ51" s="463">
        <f t="shared" si="1"/>
        <v>44</v>
      </c>
      <c r="BZ51" s="467"/>
    </row>
    <row r="52" spans="8:78" ht="15.75" customHeight="1" x14ac:dyDescent="0.2">
      <c r="H52" s="464"/>
      <c r="I52" s="464"/>
      <c r="J52" s="464"/>
      <c r="K52" s="464"/>
      <c r="L52" s="464"/>
      <c r="M52" s="464"/>
      <c r="N52" s="464"/>
      <c r="O52" s="464"/>
      <c r="P52" s="464"/>
      <c r="Q52" s="464"/>
      <c r="R52" s="464"/>
      <c r="S52" s="464"/>
      <c r="T52" s="464"/>
      <c r="U52" s="464"/>
      <c r="V52" s="464"/>
      <c r="W52" s="464"/>
      <c r="X52" s="464"/>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4"/>
      <c r="BC52" s="464"/>
      <c r="BD52" s="464"/>
      <c r="BE52" s="464"/>
      <c r="BF52" s="464"/>
      <c r="BG52" s="464"/>
      <c r="BH52" s="464"/>
      <c r="BJ52" s="463">
        <f t="shared" si="1"/>
        <v>45</v>
      </c>
      <c r="BZ52" s="467"/>
    </row>
    <row r="53" spans="8:78" ht="15.75" customHeight="1" x14ac:dyDescent="0.2">
      <c r="H53" s="466"/>
      <c r="I53" s="466"/>
      <c r="J53" s="466"/>
      <c r="K53" s="466"/>
      <c r="L53" s="466"/>
      <c r="M53" s="466"/>
      <c r="N53" s="466"/>
      <c r="O53" s="466"/>
      <c r="P53" s="466"/>
      <c r="Q53" s="466"/>
      <c r="R53" s="466"/>
      <c r="S53" s="466"/>
      <c r="T53" s="466"/>
      <c r="U53" s="466"/>
      <c r="V53" s="466"/>
      <c r="W53" s="466"/>
      <c r="X53" s="466"/>
      <c r="Y53" s="466"/>
      <c r="Z53" s="466"/>
      <c r="AA53" s="466"/>
      <c r="AB53" s="466"/>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466"/>
      <c r="BA53" s="466"/>
      <c r="BB53" s="466"/>
      <c r="BC53" s="466"/>
      <c r="BD53" s="466"/>
      <c r="BE53" s="466"/>
      <c r="BF53" s="466"/>
      <c r="BG53" s="466"/>
      <c r="BH53" s="466"/>
      <c r="BJ53" s="463">
        <f t="shared" si="1"/>
        <v>46</v>
      </c>
      <c r="BZ53" s="467"/>
    </row>
    <row r="54" spans="8:78" ht="15.75" customHeight="1" x14ac:dyDescent="0.2">
      <c r="H54" s="464"/>
      <c r="I54" s="464"/>
      <c r="J54" s="464"/>
      <c r="K54" s="464"/>
      <c r="L54" s="464"/>
      <c r="M54" s="464"/>
      <c r="N54" s="464"/>
      <c r="O54" s="464"/>
      <c r="P54" s="464"/>
      <c r="Q54" s="464"/>
      <c r="R54" s="464"/>
      <c r="S54" s="464"/>
      <c r="T54" s="464"/>
      <c r="U54" s="464"/>
      <c r="V54" s="464"/>
      <c r="W54" s="464"/>
      <c r="X54" s="464"/>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4"/>
      <c r="BC54" s="464"/>
      <c r="BD54" s="464"/>
      <c r="BE54" s="464"/>
      <c r="BF54" s="464"/>
      <c r="BG54" s="464"/>
      <c r="BH54" s="464"/>
      <c r="BJ54" s="463">
        <f t="shared" si="1"/>
        <v>47</v>
      </c>
      <c r="BZ54" s="467"/>
    </row>
    <row r="55" spans="8:78" ht="15.75" customHeight="1" x14ac:dyDescent="0.2">
      <c r="H55" s="466"/>
      <c r="I55" s="466"/>
      <c r="J55" s="466"/>
      <c r="K55" s="466"/>
      <c r="L55" s="466"/>
      <c r="M55" s="466"/>
      <c r="N55" s="466"/>
      <c r="O55" s="466"/>
      <c r="P55" s="466"/>
      <c r="Q55" s="466"/>
      <c r="R55" s="466"/>
      <c r="S55" s="466"/>
      <c r="T55" s="466"/>
      <c r="U55" s="466"/>
      <c r="V55" s="466"/>
      <c r="W55" s="466"/>
      <c r="X55" s="466"/>
      <c r="Y55" s="466"/>
      <c r="Z55" s="466"/>
      <c r="AA55" s="466"/>
      <c r="AB55" s="466"/>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466"/>
      <c r="BA55" s="466"/>
      <c r="BB55" s="466"/>
      <c r="BC55" s="466"/>
      <c r="BD55" s="466"/>
      <c r="BE55" s="466"/>
      <c r="BF55" s="466"/>
      <c r="BG55" s="466"/>
      <c r="BH55" s="466"/>
      <c r="BJ55" s="463">
        <f t="shared" si="1"/>
        <v>48</v>
      </c>
      <c r="BZ55" s="467"/>
    </row>
    <row r="56" spans="8:78" ht="15.75" customHeight="1" x14ac:dyDescent="0.2">
      <c r="H56" s="464"/>
      <c r="I56" s="464"/>
      <c r="J56" s="464"/>
      <c r="K56" s="464"/>
      <c r="L56" s="464"/>
      <c r="M56" s="464"/>
      <c r="N56" s="464"/>
      <c r="O56" s="464"/>
      <c r="P56" s="464"/>
      <c r="Q56" s="464"/>
      <c r="R56" s="464"/>
      <c r="S56" s="464"/>
      <c r="T56" s="464"/>
      <c r="U56" s="464"/>
      <c r="V56" s="464"/>
      <c r="W56" s="464"/>
      <c r="X56" s="464"/>
      <c r="Y56" s="464"/>
      <c r="Z56" s="464"/>
      <c r="AA56" s="464"/>
      <c r="AB56" s="464"/>
      <c r="AC56" s="464"/>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64"/>
      <c r="BA56" s="464"/>
      <c r="BB56" s="464"/>
      <c r="BC56" s="464"/>
      <c r="BD56" s="464"/>
      <c r="BE56" s="464"/>
      <c r="BF56" s="464"/>
      <c r="BG56" s="464"/>
      <c r="BH56" s="464"/>
      <c r="BJ56" s="463">
        <f t="shared" si="1"/>
        <v>49</v>
      </c>
      <c r="BZ56" s="467"/>
    </row>
    <row r="57" spans="8:78" ht="15.75" customHeight="1" x14ac:dyDescent="0.2">
      <c r="H57" s="466"/>
      <c r="I57" s="466"/>
      <c r="J57" s="466"/>
      <c r="K57" s="466"/>
      <c r="L57" s="466"/>
      <c r="M57" s="466"/>
      <c r="N57" s="466"/>
      <c r="O57" s="466"/>
      <c r="P57" s="466"/>
      <c r="Q57" s="466"/>
      <c r="R57" s="466"/>
      <c r="S57" s="466"/>
      <c r="T57" s="466"/>
      <c r="U57" s="466"/>
      <c r="V57" s="466"/>
      <c r="W57" s="466"/>
      <c r="X57" s="466"/>
      <c r="Y57" s="466"/>
      <c r="Z57" s="466"/>
      <c r="AA57" s="466"/>
      <c r="AB57" s="466"/>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466"/>
      <c r="BA57" s="466"/>
      <c r="BB57" s="466"/>
      <c r="BC57" s="466"/>
      <c r="BD57" s="466"/>
      <c r="BE57" s="466"/>
      <c r="BF57" s="466"/>
      <c r="BG57" s="466"/>
      <c r="BH57" s="466"/>
      <c r="BJ57" s="463">
        <f t="shared" si="1"/>
        <v>50</v>
      </c>
      <c r="BZ57" s="467"/>
    </row>
    <row r="58" spans="8:78" ht="15.75" customHeight="1" x14ac:dyDescent="0.2">
      <c r="H58" s="464"/>
      <c r="I58" s="464"/>
      <c r="J58" s="464"/>
      <c r="K58" s="464"/>
      <c r="L58" s="464"/>
      <c r="M58" s="464"/>
      <c r="N58" s="464"/>
      <c r="O58" s="464"/>
      <c r="P58" s="464"/>
      <c r="Q58" s="464"/>
      <c r="R58" s="464"/>
      <c r="S58" s="464"/>
      <c r="T58" s="464"/>
      <c r="U58" s="464"/>
      <c r="V58" s="464"/>
      <c r="W58" s="464"/>
      <c r="X58" s="464"/>
      <c r="Y58" s="464"/>
      <c r="Z58" s="464"/>
      <c r="AA58" s="464"/>
      <c r="AB58" s="464"/>
      <c r="AC58" s="464"/>
      <c r="AD58" s="464"/>
      <c r="AE58" s="464"/>
      <c r="AF58" s="464"/>
      <c r="AG58" s="464"/>
      <c r="AH58" s="464"/>
      <c r="AI58" s="464"/>
      <c r="AJ58" s="464"/>
      <c r="AK58" s="464"/>
      <c r="AL58" s="464"/>
      <c r="AM58" s="464"/>
      <c r="AN58" s="464"/>
      <c r="AO58" s="464"/>
      <c r="AP58" s="464"/>
      <c r="AQ58" s="464"/>
      <c r="AR58" s="464"/>
      <c r="AS58" s="464"/>
      <c r="AT58" s="464"/>
      <c r="AU58" s="464"/>
      <c r="AV58" s="464"/>
      <c r="AW58" s="464"/>
      <c r="AX58" s="464"/>
      <c r="AY58" s="464"/>
      <c r="AZ58" s="464"/>
      <c r="BA58" s="464"/>
      <c r="BB58" s="464"/>
      <c r="BC58" s="464"/>
      <c r="BD58" s="464"/>
      <c r="BE58" s="464"/>
      <c r="BF58" s="464"/>
      <c r="BG58" s="464"/>
      <c r="BH58" s="464"/>
      <c r="BJ58" s="463">
        <f t="shared" si="1"/>
        <v>51</v>
      </c>
      <c r="BZ58" s="467"/>
    </row>
    <row r="59" spans="8:78" ht="15.75" customHeight="1" x14ac:dyDescent="0.2">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466"/>
      <c r="BA59" s="466"/>
      <c r="BB59" s="466"/>
      <c r="BC59" s="466"/>
      <c r="BD59" s="466"/>
      <c r="BE59" s="466"/>
      <c r="BF59" s="466"/>
      <c r="BG59" s="466"/>
      <c r="BH59" s="466"/>
      <c r="BJ59" s="463">
        <f t="shared" si="1"/>
        <v>52</v>
      </c>
      <c r="BZ59" s="467"/>
    </row>
    <row r="60" spans="8:78" ht="15.75" customHeight="1" x14ac:dyDescent="0.2">
      <c r="H60" s="464"/>
      <c r="I60" s="464"/>
      <c r="J60" s="464"/>
      <c r="K60" s="464"/>
      <c r="L60" s="464"/>
      <c r="M60" s="464"/>
      <c r="N60" s="464"/>
      <c r="O60" s="464"/>
      <c r="P60" s="464"/>
      <c r="Q60" s="464"/>
      <c r="R60" s="464"/>
      <c r="S60" s="464"/>
      <c r="T60" s="464"/>
      <c r="U60" s="464"/>
      <c r="V60" s="464"/>
      <c r="W60" s="464"/>
      <c r="X60" s="464"/>
      <c r="Y60" s="464"/>
      <c r="Z60" s="464"/>
      <c r="AA60" s="464"/>
      <c r="AB60" s="464"/>
      <c r="AC60" s="464"/>
      <c r="AD60" s="464"/>
      <c r="AE60" s="464"/>
      <c r="AF60" s="464"/>
      <c r="AG60" s="464"/>
      <c r="AH60" s="464"/>
      <c r="AI60" s="464"/>
      <c r="AJ60" s="464"/>
      <c r="AK60" s="464"/>
      <c r="AL60" s="464"/>
      <c r="AM60" s="464"/>
      <c r="AN60" s="464"/>
      <c r="AO60" s="464"/>
      <c r="AP60" s="464"/>
      <c r="AQ60" s="464"/>
      <c r="AR60" s="464"/>
      <c r="AS60" s="464"/>
      <c r="AT60" s="464"/>
      <c r="AU60" s="464"/>
      <c r="AV60" s="464"/>
      <c r="AW60" s="464"/>
      <c r="AX60" s="464"/>
      <c r="AY60" s="464"/>
      <c r="AZ60" s="464"/>
      <c r="BA60" s="464"/>
      <c r="BB60" s="464"/>
      <c r="BC60" s="464"/>
      <c r="BD60" s="464"/>
      <c r="BE60" s="464"/>
      <c r="BF60" s="464"/>
      <c r="BG60" s="464"/>
      <c r="BH60" s="464"/>
      <c r="BJ60" s="463">
        <f t="shared" si="1"/>
        <v>53</v>
      </c>
      <c r="BZ60" s="467"/>
    </row>
    <row r="61" spans="8:78" ht="15.75" customHeight="1" x14ac:dyDescent="0.2">
      <c r="H61" s="466"/>
      <c r="I61" s="466"/>
      <c r="J61" s="466"/>
      <c r="K61" s="466"/>
      <c r="L61" s="466"/>
      <c r="M61" s="466"/>
      <c r="N61" s="466"/>
      <c r="O61" s="466"/>
      <c r="P61" s="466"/>
      <c r="Q61" s="466"/>
      <c r="R61" s="466"/>
      <c r="S61" s="466"/>
      <c r="T61" s="466"/>
      <c r="U61" s="466"/>
      <c r="V61" s="466"/>
      <c r="W61" s="466"/>
      <c r="X61" s="466"/>
      <c r="Y61" s="466"/>
      <c r="Z61" s="466"/>
      <c r="AA61" s="466"/>
      <c r="AB61" s="466"/>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466"/>
      <c r="BA61" s="466"/>
      <c r="BB61" s="466"/>
      <c r="BC61" s="466"/>
      <c r="BD61" s="466"/>
      <c r="BE61" s="466"/>
      <c r="BF61" s="466"/>
      <c r="BG61" s="466"/>
      <c r="BH61" s="466"/>
      <c r="BJ61" s="463">
        <f t="shared" si="1"/>
        <v>54</v>
      </c>
      <c r="BZ61" s="467"/>
    </row>
    <row r="62" spans="8:78" ht="15.75" customHeight="1" x14ac:dyDescent="0.2">
      <c r="H62" s="464"/>
      <c r="I62" s="464"/>
      <c r="J62" s="464"/>
      <c r="K62" s="464"/>
      <c r="L62" s="464"/>
      <c r="M62" s="464"/>
      <c r="N62" s="464"/>
      <c r="O62" s="464"/>
      <c r="P62" s="464"/>
      <c r="Q62" s="464"/>
      <c r="R62" s="464"/>
      <c r="S62" s="464"/>
      <c r="T62" s="464"/>
      <c r="U62" s="464"/>
      <c r="V62" s="464"/>
      <c r="W62" s="464"/>
      <c r="X62" s="464"/>
      <c r="Y62" s="464"/>
      <c r="Z62" s="464"/>
      <c r="AA62" s="464"/>
      <c r="AB62" s="464"/>
      <c r="AC62" s="464"/>
      <c r="AD62" s="464"/>
      <c r="AE62" s="464"/>
      <c r="AF62" s="464"/>
      <c r="AG62" s="464"/>
      <c r="AH62" s="464"/>
      <c r="AI62" s="464"/>
      <c r="AJ62" s="464"/>
      <c r="AK62" s="464"/>
      <c r="AL62" s="464"/>
      <c r="AM62" s="464"/>
      <c r="AN62" s="464"/>
      <c r="AO62" s="464"/>
      <c r="AP62" s="464"/>
      <c r="AQ62" s="464"/>
      <c r="AR62" s="464"/>
      <c r="AS62" s="464"/>
      <c r="AT62" s="464"/>
      <c r="AU62" s="464"/>
      <c r="AV62" s="464"/>
      <c r="AW62" s="464"/>
      <c r="AX62" s="464"/>
      <c r="AY62" s="464"/>
      <c r="AZ62" s="464"/>
      <c r="BA62" s="464"/>
      <c r="BB62" s="464"/>
      <c r="BC62" s="464"/>
      <c r="BD62" s="464"/>
      <c r="BE62" s="464"/>
      <c r="BF62" s="464"/>
      <c r="BG62" s="464"/>
      <c r="BH62" s="464"/>
      <c r="BJ62" s="463">
        <f t="shared" si="1"/>
        <v>55</v>
      </c>
      <c r="BZ62" s="467"/>
    </row>
    <row r="63" spans="8:78" ht="15.75" customHeight="1" x14ac:dyDescent="0.2">
      <c r="H63" s="466"/>
      <c r="I63" s="466"/>
      <c r="J63" s="466"/>
      <c r="K63" s="466"/>
      <c r="L63" s="466"/>
      <c r="M63" s="466"/>
      <c r="N63" s="466"/>
      <c r="O63" s="466"/>
      <c r="P63" s="466"/>
      <c r="Q63" s="466"/>
      <c r="R63" s="466"/>
      <c r="S63" s="466"/>
      <c r="T63" s="466"/>
      <c r="U63" s="466"/>
      <c r="V63" s="466"/>
      <c r="W63" s="466"/>
      <c r="X63" s="466"/>
      <c r="Y63" s="466"/>
      <c r="Z63" s="466"/>
      <c r="AA63" s="466"/>
      <c r="AB63" s="466"/>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466"/>
      <c r="BA63" s="466"/>
      <c r="BB63" s="466"/>
      <c r="BC63" s="466"/>
      <c r="BD63" s="466"/>
      <c r="BE63" s="466"/>
      <c r="BF63" s="466"/>
      <c r="BG63" s="466"/>
      <c r="BH63" s="466"/>
      <c r="BJ63" s="463">
        <f t="shared" si="1"/>
        <v>56</v>
      </c>
      <c r="BZ63" s="467"/>
    </row>
    <row r="64" spans="8:78" ht="15.75" customHeight="1" x14ac:dyDescent="0.2">
      <c r="H64" s="464"/>
      <c r="I64" s="464"/>
      <c r="J64" s="464"/>
      <c r="K64" s="464"/>
      <c r="L64" s="464"/>
      <c r="M64" s="464"/>
      <c r="N64" s="464"/>
      <c r="O64" s="464"/>
      <c r="P64" s="464"/>
      <c r="Q64" s="464"/>
      <c r="R64" s="464"/>
      <c r="S64" s="464"/>
      <c r="T64" s="464"/>
      <c r="U64" s="464"/>
      <c r="V64" s="464"/>
      <c r="W64" s="464"/>
      <c r="X64" s="464"/>
      <c r="Y64" s="464"/>
      <c r="Z64" s="464"/>
      <c r="AA64" s="464"/>
      <c r="AB64" s="464"/>
      <c r="AC64" s="464"/>
      <c r="AD64" s="464"/>
      <c r="AE64" s="464"/>
      <c r="AF64" s="464"/>
      <c r="AG64" s="464"/>
      <c r="AH64" s="464"/>
      <c r="AI64" s="464"/>
      <c r="AJ64" s="464"/>
      <c r="AK64" s="464"/>
      <c r="AL64" s="464"/>
      <c r="AM64" s="464"/>
      <c r="AN64" s="464"/>
      <c r="AO64" s="464"/>
      <c r="AP64" s="464"/>
      <c r="AQ64" s="464"/>
      <c r="AR64" s="464"/>
      <c r="AS64" s="464"/>
      <c r="AT64" s="464"/>
      <c r="AU64" s="464"/>
      <c r="AV64" s="464"/>
      <c r="AW64" s="464"/>
      <c r="AX64" s="464"/>
      <c r="AY64" s="464"/>
      <c r="AZ64" s="464"/>
      <c r="BA64" s="464"/>
      <c r="BB64" s="464"/>
      <c r="BC64" s="464"/>
      <c r="BD64" s="464"/>
      <c r="BE64" s="464"/>
      <c r="BF64" s="464"/>
      <c r="BG64" s="464"/>
      <c r="BH64" s="464"/>
      <c r="BJ64" s="463">
        <f t="shared" si="1"/>
        <v>57</v>
      </c>
      <c r="BZ64" s="467"/>
    </row>
    <row r="65" spans="8:78" ht="15.75" customHeight="1" x14ac:dyDescent="0.2">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6"/>
      <c r="BC65" s="466"/>
      <c r="BD65" s="466"/>
      <c r="BE65" s="466"/>
      <c r="BF65" s="466"/>
      <c r="BG65" s="466"/>
      <c r="BH65" s="466"/>
      <c r="BJ65" s="463">
        <f t="shared" si="1"/>
        <v>58</v>
      </c>
      <c r="BZ65" s="467"/>
    </row>
    <row r="66" spans="8:78" ht="15.75" customHeight="1" x14ac:dyDescent="0.2">
      <c r="H66" s="464"/>
      <c r="I66" s="464"/>
      <c r="J66" s="464"/>
      <c r="K66" s="464"/>
      <c r="L66" s="464"/>
      <c r="M66" s="464"/>
      <c r="N66" s="464"/>
      <c r="O66" s="464"/>
      <c r="P66" s="464"/>
      <c r="Q66" s="464"/>
      <c r="R66" s="464"/>
      <c r="S66" s="464"/>
      <c r="T66" s="464"/>
      <c r="U66" s="464"/>
      <c r="V66" s="464"/>
      <c r="W66" s="464"/>
      <c r="X66" s="464"/>
      <c r="Y66" s="464"/>
      <c r="Z66" s="464"/>
      <c r="AA66" s="464"/>
      <c r="AB66" s="464"/>
      <c r="AC66" s="464"/>
      <c r="AD66" s="464"/>
      <c r="AE66" s="464"/>
      <c r="AF66" s="464"/>
      <c r="AG66" s="464"/>
      <c r="AH66" s="464"/>
      <c r="AI66" s="464"/>
      <c r="AJ66" s="464"/>
      <c r="AK66" s="464"/>
      <c r="AL66" s="464"/>
      <c r="AM66" s="464"/>
      <c r="AN66" s="464"/>
      <c r="AO66" s="464"/>
      <c r="AP66" s="464"/>
      <c r="AQ66" s="464"/>
      <c r="AR66" s="464"/>
      <c r="AS66" s="464"/>
      <c r="AT66" s="464"/>
      <c r="AU66" s="464"/>
      <c r="AV66" s="464"/>
      <c r="AW66" s="464"/>
      <c r="AX66" s="464"/>
      <c r="AY66" s="464"/>
      <c r="AZ66" s="464"/>
      <c r="BA66" s="464"/>
      <c r="BB66" s="464"/>
      <c r="BC66" s="464"/>
      <c r="BD66" s="464"/>
      <c r="BE66" s="464"/>
      <c r="BF66" s="464"/>
      <c r="BG66" s="464"/>
      <c r="BH66" s="464"/>
      <c r="BJ66" s="463">
        <f t="shared" si="1"/>
        <v>59</v>
      </c>
      <c r="BZ66" s="467"/>
    </row>
    <row r="67" spans="8:78" ht="15.75" customHeight="1" x14ac:dyDescent="0.2">
      <c r="H67" s="466"/>
      <c r="I67" s="466"/>
      <c r="J67" s="466"/>
      <c r="K67" s="466"/>
      <c r="L67" s="466"/>
      <c r="M67" s="466"/>
      <c r="N67" s="466"/>
      <c r="O67" s="466"/>
      <c r="P67" s="466"/>
      <c r="Q67" s="466"/>
      <c r="R67" s="466"/>
      <c r="S67" s="466"/>
      <c r="T67" s="466"/>
      <c r="U67" s="466"/>
      <c r="V67" s="466"/>
      <c r="W67" s="466"/>
      <c r="X67" s="466"/>
      <c r="Y67" s="466"/>
      <c r="Z67" s="466"/>
      <c r="AA67" s="466"/>
      <c r="AB67" s="466"/>
      <c r="AC67" s="466"/>
      <c r="AD67" s="466"/>
      <c r="AE67" s="466"/>
      <c r="AF67" s="466"/>
      <c r="AG67" s="466"/>
      <c r="AH67" s="466"/>
      <c r="AI67" s="466"/>
      <c r="AJ67" s="466"/>
      <c r="AK67" s="466"/>
      <c r="AL67" s="466"/>
      <c r="AM67" s="466"/>
      <c r="AN67" s="466"/>
      <c r="AO67" s="466"/>
      <c r="AP67" s="466"/>
      <c r="AQ67" s="466"/>
      <c r="AR67" s="466"/>
      <c r="AS67" s="466"/>
      <c r="AT67" s="466"/>
      <c r="AU67" s="466"/>
      <c r="AV67" s="466"/>
      <c r="AW67" s="466"/>
      <c r="AX67" s="466"/>
      <c r="AY67" s="466"/>
      <c r="AZ67" s="466"/>
      <c r="BA67" s="466"/>
      <c r="BB67" s="466"/>
      <c r="BC67" s="466"/>
      <c r="BD67" s="466"/>
      <c r="BE67" s="466"/>
      <c r="BF67" s="466"/>
      <c r="BG67" s="466"/>
      <c r="BH67" s="466"/>
      <c r="BJ67" s="463">
        <f t="shared" si="1"/>
        <v>60</v>
      </c>
      <c r="BZ67" s="467"/>
    </row>
    <row r="68" spans="8:78" ht="15.75" customHeight="1" x14ac:dyDescent="0.2">
      <c r="H68" s="464"/>
      <c r="I68" s="464"/>
      <c r="J68" s="464"/>
      <c r="K68" s="464"/>
      <c r="L68" s="464"/>
      <c r="M68" s="464"/>
      <c r="N68" s="464"/>
      <c r="O68" s="464"/>
      <c r="P68" s="464"/>
      <c r="Q68" s="464"/>
      <c r="R68" s="464"/>
      <c r="S68" s="464"/>
      <c r="T68" s="464"/>
      <c r="U68" s="464"/>
      <c r="V68" s="464"/>
      <c r="W68" s="464"/>
      <c r="X68" s="464"/>
      <c r="Y68" s="464"/>
      <c r="Z68" s="464"/>
      <c r="AA68" s="464"/>
      <c r="AB68" s="464"/>
      <c r="AC68" s="464"/>
      <c r="AD68" s="464"/>
      <c r="AE68" s="464"/>
      <c r="AF68" s="464"/>
      <c r="AG68" s="464"/>
      <c r="AH68" s="464"/>
      <c r="AI68" s="464"/>
      <c r="AJ68" s="464"/>
      <c r="AK68" s="464"/>
      <c r="AL68" s="464"/>
      <c r="AM68" s="464"/>
      <c r="AN68" s="464"/>
      <c r="AO68" s="464"/>
      <c r="AP68" s="464"/>
      <c r="AQ68" s="464"/>
      <c r="AR68" s="464"/>
      <c r="AS68" s="464"/>
      <c r="AT68" s="464"/>
      <c r="AU68" s="464"/>
      <c r="AV68" s="464"/>
      <c r="AW68" s="464"/>
      <c r="AX68" s="464"/>
      <c r="AY68" s="464"/>
      <c r="AZ68" s="464"/>
      <c r="BA68" s="464"/>
      <c r="BB68" s="464"/>
      <c r="BC68" s="464"/>
      <c r="BD68" s="464"/>
      <c r="BE68" s="464"/>
      <c r="BF68" s="464"/>
      <c r="BG68" s="464"/>
      <c r="BH68" s="464"/>
      <c r="BJ68" s="463">
        <f t="shared" si="1"/>
        <v>61</v>
      </c>
      <c r="BZ68" s="467"/>
    </row>
    <row r="69" spans="8:78" ht="15.75" customHeight="1" x14ac:dyDescent="0.2">
      <c r="H69" s="466"/>
      <c r="I69" s="466"/>
      <c r="J69" s="466"/>
      <c r="K69" s="466"/>
      <c r="L69" s="466"/>
      <c r="M69" s="466"/>
      <c r="N69" s="466"/>
      <c r="O69" s="466"/>
      <c r="P69" s="466"/>
      <c r="Q69" s="466"/>
      <c r="R69" s="466"/>
      <c r="S69" s="466"/>
      <c r="T69" s="466"/>
      <c r="U69" s="466"/>
      <c r="V69" s="466"/>
      <c r="W69" s="466"/>
      <c r="X69" s="466"/>
      <c r="Y69" s="466"/>
      <c r="Z69" s="466"/>
      <c r="AA69" s="466"/>
      <c r="AB69" s="466"/>
      <c r="AC69" s="466"/>
      <c r="AD69" s="466"/>
      <c r="AE69" s="466"/>
      <c r="AF69" s="466"/>
      <c r="AG69" s="466"/>
      <c r="AH69" s="466"/>
      <c r="AI69" s="466"/>
      <c r="AJ69" s="466"/>
      <c r="AK69" s="466"/>
      <c r="AL69" s="466"/>
      <c r="AM69" s="466"/>
      <c r="AN69" s="466"/>
      <c r="AO69" s="466"/>
      <c r="AP69" s="466"/>
      <c r="AQ69" s="466"/>
      <c r="AR69" s="466"/>
      <c r="AS69" s="466"/>
      <c r="AT69" s="466"/>
      <c r="AU69" s="466"/>
      <c r="AV69" s="466"/>
      <c r="AW69" s="466"/>
      <c r="AX69" s="466"/>
      <c r="AY69" s="466"/>
      <c r="AZ69" s="466"/>
      <c r="BA69" s="466"/>
      <c r="BB69" s="466"/>
      <c r="BC69" s="466"/>
      <c r="BD69" s="466"/>
      <c r="BE69" s="466"/>
      <c r="BF69" s="466"/>
      <c r="BG69" s="466"/>
      <c r="BH69" s="466"/>
      <c r="BJ69" s="463">
        <f t="shared" si="1"/>
        <v>62</v>
      </c>
      <c r="BZ69" s="467"/>
    </row>
    <row r="70" spans="8:78" ht="15.75" customHeight="1" x14ac:dyDescent="0.2">
      <c r="H70" s="464"/>
      <c r="I70" s="464"/>
      <c r="J70" s="464"/>
      <c r="K70" s="464"/>
      <c r="L70" s="464"/>
      <c r="M70" s="464"/>
      <c r="N70" s="464"/>
      <c r="O70" s="464"/>
      <c r="P70" s="464"/>
      <c r="Q70" s="464"/>
      <c r="R70" s="464"/>
      <c r="S70" s="464"/>
      <c r="T70" s="464"/>
      <c r="U70" s="464"/>
      <c r="V70" s="464"/>
      <c r="W70" s="464"/>
      <c r="X70" s="464"/>
      <c r="Y70" s="464"/>
      <c r="Z70" s="464"/>
      <c r="AA70" s="464"/>
      <c r="AB70" s="464"/>
      <c r="AC70" s="464"/>
      <c r="AD70" s="464"/>
      <c r="AE70" s="464"/>
      <c r="AF70" s="464"/>
      <c r="AG70" s="464"/>
      <c r="AH70" s="464"/>
      <c r="AI70" s="464"/>
      <c r="AJ70" s="464"/>
      <c r="AK70" s="464"/>
      <c r="AL70" s="464"/>
      <c r="AM70" s="464"/>
      <c r="AN70" s="464"/>
      <c r="AO70" s="464"/>
      <c r="AP70" s="464"/>
      <c r="AQ70" s="464"/>
      <c r="AR70" s="464"/>
      <c r="AS70" s="464"/>
      <c r="AT70" s="464"/>
      <c r="AU70" s="464"/>
      <c r="AV70" s="464"/>
      <c r="AW70" s="464"/>
      <c r="AX70" s="464"/>
      <c r="AY70" s="464"/>
      <c r="AZ70" s="464"/>
      <c r="BA70" s="464"/>
      <c r="BB70" s="464"/>
      <c r="BC70" s="464"/>
      <c r="BD70" s="464"/>
      <c r="BE70" s="464"/>
      <c r="BF70" s="464"/>
      <c r="BG70" s="464"/>
      <c r="BH70" s="464"/>
      <c r="BJ70" s="463">
        <f t="shared" si="1"/>
        <v>63</v>
      </c>
      <c r="BZ70" s="467"/>
    </row>
    <row r="71" spans="8:78" ht="15.75" customHeight="1" x14ac:dyDescent="0.2">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6"/>
      <c r="BC71" s="466"/>
      <c r="BD71" s="466"/>
      <c r="BE71" s="466"/>
      <c r="BF71" s="466"/>
      <c r="BG71" s="466"/>
      <c r="BH71" s="466"/>
      <c r="BJ71" s="463">
        <f t="shared" si="1"/>
        <v>64</v>
      </c>
      <c r="BZ71" s="467"/>
    </row>
    <row r="72" spans="8:78" ht="15.75" customHeight="1" x14ac:dyDescent="0.2">
      <c r="H72" s="464"/>
      <c r="I72" s="464"/>
      <c r="J72" s="464"/>
      <c r="K72" s="464"/>
      <c r="L72" s="464"/>
      <c r="M72" s="464"/>
      <c r="N72" s="464"/>
      <c r="O72" s="464"/>
      <c r="P72" s="464"/>
      <c r="Q72" s="464"/>
      <c r="R72" s="464"/>
      <c r="S72" s="464"/>
      <c r="T72" s="464"/>
      <c r="U72" s="464"/>
      <c r="V72" s="464"/>
      <c r="W72" s="464"/>
      <c r="X72" s="464"/>
      <c r="Y72" s="464"/>
      <c r="Z72" s="464"/>
      <c r="AA72" s="464"/>
      <c r="AB72" s="464"/>
      <c r="AC72" s="464"/>
      <c r="AD72" s="464"/>
      <c r="AE72" s="464"/>
      <c r="AF72" s="464"/>
      <c r="AG72" s="464"/>
      <c r="AH72" s="464"/>
      <c r="AI72" s="464"/>
      <c r="AJ72" s="464"/>
      <c r="AK72" s="464"/>
      <c r="AL72" s="464"/>
      <c r="AM72" s="464"/>
      <c r="AN72" s="464"/>
      <c r="AO72" s="464"/>
      <c r="AP72" s="464"/>
      <c r="AQ72" s="464"/>
      <c r="AR72" s="464"/>
      <c r="AS72" s="464"/>
      <c r="AT72" s="464"/>
      <c r="AU72" s="464"/>
      <c r="AV72" s="464"/>
      <c r="AW72" s="464"/>
      <c r="AX72" s="464"/>
      <c r="AY72" s="464"/>
      <c r="AZ72" s="464"/>
      <c r="BA72" s="464"/>
      <c r="BB72" s="464"/>
      <c r="BC72" s="464"/>
      <c r="BD72" s="464"/>
      <c r="BE72" s="464"/>
      <c r="BF72" s="464"/>
      <c r="BG72" s="464"/>
      <c r="BH72" s="464"/>
      <c r="BJ72" s="463">
        <f t="shared" si="1"/>
        <v>65</v>
      </c>
      <c r="BZ72" s="467"/>
    </row>
    <row r="73" spans="8:78" ht="15.75" customHeight="1" x14ac:dyDescent="0.2">
      <c r="H73" s="466"/>
      <c r="I73" s="466"/>
      <c r="J73" s="466"/>
      <c r="K73" s="466"/>
      <c r="L73" s="466"/>
      <c r="M73" s="466"/>
      <c r="N73" s="466"/>
      <c r="O73" s="466"/>
      <c r="P73" s="466"/>
      <c r="Q73" s="466"/>
      <c r="R73" s="466"/>
      <c r="S73" s="466"/>
      <c r="T73" s="466"/>
      <c r="U73" s="466"/>
      <c r="V73" s="466"/>
      <c r="W73" s="466"/>
      <c r="X73" s="466"/>
      <c r="Y73" s="466"/>
      <c r="Z73" s="466"/>
      <c r="AA73" s="466"/>
      <c r="AB73" s="466"/>
      <c r="AC73" s="466"/>
      <c r="AD73" s="466"/>
      <c r="AE73" s="466"/>
      <c r="AF73" s="466"/>
      <c r="AG73" s="466"/>
      <c r="AH73" s="466"/>
      <c r="AI73" s="466"/>
      <c r="AJ73" s="466"/>
      <c r="AK73" s="466"/>
      <c r="AL73" s="466"/>
      <c r="AM73" s="466"/>
      <c r="AN73" s="466"/>
      <c r="AO73" s="466"/>
      <c r="AP73" s="466"/>
      <c r="AQ73" s="466"/>
      <c r="AR73" s="466"/>
      <c r="AS73" s="466"/>
      <c r="AT73" s="466"/>
      <c r="AU73" s="466"/>
      <c r="AV73" s="466"/>
      <c r="AW73" s="466"/>
      <c r="AX73" s="466"/>
      <c r="AY73" s="466"/>
      <c r="AZ73" s="466"/>
      <c r="BA73" s="466"/>
      <c r="BB73" s="466"/>
      <c r="BC73" s="466"/>
      <c r="BD73" s="466"/>
      <c r="BE73" s="466"/>
      <c r="BF73" s="466"/>
      <c r="BG73" s="466"/>
      <c r="BH73" s="466"/>
      <c r="BJ73" s="463">
        <f t="shared" ref="BJ73:BJ136" si="2">BJ72+1</f>
        <v>66</v>
      </c>
      <c r="BZ73" s="467"/>
    </row>
    <row r="74" spans="8:78" ht="15.75" customHeight="1" x14ac:dyDescent="0.2">
      <c r="H74" s="464"/>
      <c r="I74" s="464"/>
      <c r="J74" s="464"/>
      <c r="K74" s="464"/>
      <c r="L74" s="464"/>
      <c r="M74" s="464"/>
      <c r="N74" s="464"/>
      <c r="O74" s="464"/>
      <c r="P74" s="464"/>
      <c r="Q74" s="464"/>
      <c r="R74" s="464"/>
      <c r="S74" s="464"/>
      <c r="T74" s="464"/>
      <c r="U74" s="464"/>
      <c r="V74" s="464"/>
      <c r="W74" s="464"/>
      <c r="X74" s="464"/>
      <c r="Y74" s="464"/>
      <c r="Z74" s="464"/>
      <c r="AA74" s="464"/>
      <c r="AB74" s="464"/>
      <c r="AC74" s="464"/>
      <c r="AD74" s="464"/>
      <c r="AE74" s="464"/>
      <c r="AF74" s="464"/>
      <c r="AG74" s="464"/>
      <c r="AH74" s="464"/>
      <c r="AI74" s="464"/>
      <c r="AJ74" s="464"/>
      <c r="AK74" s="464"/>
      <c r="AL74" s="464"/>
      <c r="AM74" s="464"/>
      <c r="AN74" s="464"/>
      <c r="AO74" s="464"/>
      <c r="AP74" s="464"/>
      <c r="AQ74" s="464"/>
      <c r="AR74" s="464"/>
      <c r="AS74" s="464"/>
      <c r="AT74" s="464"/>
      <c r="AU74" s="464"/>
      <c r="AV74" s="464"/>
      <c r="AW74" s="464"/>
      <c r="AX74" s="464"/>
      <c r="AY74" s="464"/>
      <c r="AZ74" s="464"/>
      <c r="BA74" s="464"/>
      <c r="BB74" s="464"/>
      <c r="BC74" s="464"/>
      <c r="BD74" s="464"/>
      <c r="BE74" s="464"/>
      <c r="BF74" s="464"/>
      <c r="BG74" s="464"/>
      <c r="BH74" s="464"/>
      <c r="BJ74" s="463">
        <f t="shared" si="2"/>
        <v>67</v>
      </c>
      <c r="BZ74" s="467"/>
    </row>
    <row r="75" spans="8:78" ht="15.75" customHeight="1" x14ac:dyDescent="0.2">
      <c r="H75" s="466"/>
      <c r="I75" s="466"/>
      <c r="J75" s="466"/>
      <c r="K75" s="466"/>
      <c r="L75" s="466"/>
      <c r="M75" s="466"/>
      <c r="N75" s="466"/>
      <c r="O75" s="466"/>
      <c r="P75" s="466"/>
      <c r="Q75" s="466"/>
      <c r="R75" s="466"/>
      <c r="S75" s="466"/>
      <c r="T75" s="466"/>
      <c r="U75" s="466"/>
      <c r="V75" s="466"/>
      <c r="W75" s="466"/>
      <c r="X75" s="466"/>
      <c r="Y75" s="466"/>
      <c r="Z75" s="466"/>
      <c r="AA75" s="466"/>
      <c r="AB75" s="466"/>
      <c r="AC75" s="466"/>
      <c r="AD75" s="466"/>
      <c r="AE75" s="466"/>
      <c r="AF75" s="466"/>
      <c r="AG75" s="466"/>
      <c r="AH75" s="466"/>
      <c r="AI75" s="466"/>
      <c r="AJ75" s="466"/>
      <c r="AK75" s="466"/>
      <c r="AL75" s="466"/>
      <c r="AM75" s="466"/>
      <c r="AN75" s="466"/>
      <c r="AO75" s="466"/>
      <c r="AP75" s="466"/>
      <c r="AQ75" s="466"/>
      <c r="AR75" s="466"/>
      <c r="AS75" s="466"/>
      <c r="AT75" s="466"/>
      <c r="AU75" s="466"/>
      <c r="AV75" s="466"/>
      <c r="AW75" s="466"/>
      <c r="AX75" s="466"/>
      <c r="AY75" s="466"/>
      <c r="AZ75" s="466"/>
      <c r="BA75" s="466"/>
      <c r="BB75" s="466"/>
      <c r="BC75" s="466"/>
      <c r="BD75" s="466"/>
      <c r="BE75" s="466"/>
      <c r="BF75" s="466"/>
      <c r="BG75" s="466"/>
      <c r="BH75" s="466"/>
      <c r="BJ75" s="463">
        <f t="shared" si="2"/>
        <v>68</v>
      </c>
      <c r="BZ75" s="467"/>
    </row>
    <row r="76" spans="8:78" ht="15.75" customHeight="1" x14ac:dyDescent="0.2">
      <c r="H76" s="464"/>
      <c r="I76" s="464"/>
      <c r="J76" s="464"/>
      <c r="K76" s="464"/>
      <c r="L76" s="464"/>
      <c r="M76" s="464"/>
      <c r="N76" s="464"/>
      <c r="O76" s="464"/>
      <c r="P76" s="464"/>
      <c r="Q76" s="464"/>
      <c r="R76" s="464"/>
      <c r="S76" s="464"/>
      <c r="T76" s="464"/>
      <c r="U76" s="464"/>
      <c r="V76" s="464"/>
      <c r="W76" s="464"/>
      <c r="X76" s="464"/>
      <c r="Y76" s="464"/>
      <c r="Z76" s="464"/>
      <c r="AA76" s="464"/>
      <c r="AB76" s="464"/>
      <c r="AC76" s="464"/>
      <c r="AD76" s="464"/>
      <c r="AE76" s="464"/>
      <c r="AF76" s="464"/>
      <c r="AG76" s="464"/>
      <c r="AH76" s="464"/>
      <c r="AI76" s="464"/>
      <c r="AJ76" s="464"/>
      <c r="AK76" s="464"/>
      <c r="AL76" s="464"/>
      <c r="AM76" s="464"/>
      <c r="AN76" s="464"/>
      <c r="AO76" s="464"/>
      <c r="AP76" s="464"/>
      <c r="AQ76" s="464"/>
      <c r="AR76" s="464"/>
      <c r="AS76" s="464"/>
      <c r="AT76" s="464"/>
      <c r="AU76" s="464"/>
      <c r="AV76" s="464"/>
      <c r="AW76" s="464"/>
      <c r="AX76" s="464"/>
      <c r="AY76" s="464"/>
      <c r="AZ76" s="464"/>
      <c r="BA76" s="464"/>
      <c r="BB76" s="464"/>
      <c r="BC76" s="464"/>
      <c r="BD76" s="464"/>
      <c r="BE76" s="464"/>
      <c r="BF76" s="464"/>
      <c r="BG76" s="464"/>
      <c r="BH76" s="464"/>
      <c r="BJ76" s="463">
        <f t="shared" si="2"/>
        <v>69</v>
      </c>
      <c r="BZ76" s="467"/>
    </row>
    <row r="77" spans="8:78" ht="15.75" customHeight="1" x14ac:dyDescent="0.2">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6"/>
      <c r="BC77" s="466"/>
      <c r="BD77" s="466"/>
      <c r="BE77" s="466"/>
      <c r="BF77" s="466"/>
      <c r="BG77" s="466"/>
      <c r="BH77" s="466"/>
      <c r="BJ77" s="463">
        <f t="shared" si="2"/>
        <v>70</v>
      </c>
      <c r="BZ77" s="467"/>
    </row>
    <row r="78" spans="8:78" ht="15.75" customHeight="1" x14ac:dyDescent="0.2">
      <c r="H78" s="464"/>
      <c r="I78" s="464"/>
      <c r="J78" s="464"/>
      <c r="K78" s="464"/>
      <c r="L78" s="464"/>
      <c r="M78" s="464"/>
      <c r="N78" s="464"/>
      <c r="O78" s="464"/>
      <c r="P78" s="464"/>
      <c r="Q78" s="464"/>
      <c r="R78" s="464"/>
      <c r="S78" s="464"/>
      <c r="T78" s="464"/>
      <c r="U78" s="464"/>
      <c r="V78" s="464"/>
      <c r="W78" s="464"/>
      <c r="X78" s="464"/>
      <c r="Y78" s="464"/>
      <c r="Z78" s="464"/>
      <c r="AA78" s="464"/>
      <c r="AB78" s="464"/>
      <c r="AC78" s="464"/>
      <c r="AD78" s="464"/>
      <c r="AE78" s="464"/>
      <c r="AF78" s="464"/>
      <c r="AG78" s="464"/>
      <c r="AH78" s="464"/>
      <c r="AI78" s="464"/>
      <c r="AJ78" s="464"/>
      <c r="AK78" s="464"/>
      <c r="AL78" s="464"/>
      <c r="AM78" s="464"/>
      <c r="AN78" s="464"/>
      <c r="AO78" s="464"/>
      <c r="AP78" s="464"/>
      <c r="AQ78" s="464"/>
      <c r="AR78" s="464"/>
      <c r="AS78" s="464"/>
      <c r="AT78" s="464"/>
      <c r="AU78" s="464"/>
      <c r="AV78" s="464"/>
      <c r="AW78" s="464"/>
      <c r="AX78" s="464"/>
      <c r="AY78" s="464"/>
      <c r="AZ78" s="464"/>
      <c r="BA78" s="464"/>
      <c r="BB78" s="464"/>
      <c r="BC78" s="464"/>
      <c r="BD78" s="464"/>
      <c r="BE78" s="464"/>
      <c r="BF78" s="464"/>
      <c r="BG78" s="464"/>
      <c r="BH78" s="464"/>
      <c r="BJ78" s="463">
        <f t="shared" si="2"/>
        <v>71</v>
      </c>
      <c r="BZ78" s="467"/>
    </row>
    <row r="79" spans="8:78" ht="15.75" customHeight="1" x14ac:dyDescent="0.2">
      <c r="H79" s="466"/>
      <c r="I79" s="466"/>
      <c r="J79" s="466"/>
      <c r="K79" s="466"/>
      <c r="L79" s="466"/>
      <c r="M79" s="466"/>
      <c r="N79" s="466"/>
      <c r="O79" s="466"/>
      <c r="P79" s="466"/>
      <c r="Q79" s="466"/>
      <c r="R79" s="466"/>
      <c r="S79" s="466"/>
      <c r="T79" s="466"/>
      <c r="U79" s="466"/>
      <c r="V79" s="466"/>
      <c r="W79" s="466"/>
      <c r="X79" s="466"/>
      <c r="Y79" s="466"/>
      <c r="Z79" s="466"/>
      <c r="AA79" s="466"/>
      <c r="AB79" s="466"/>
      <c r="AC79" s="466"/>
      <c r="AD79" s="466"/>
      <c r="AE79" s="466"/>
      <c r="AF79" s="466"/>
      <c r="AG79" s="466"/>
      <c r="AH79" s="466"/>
      <c r="AI79" s="466"/>
      <c r="AJ79" s="466"/>
      <c r="AK79" s="466"/>
      <c r="AL79" s="466"/>
      <c r="AM79" s="466"/>
      <c r="AN79" s="466"/>
      <c r="AO79" s="466"/>
      <c r="AP79" s="466"/>
      <c r="AQ79" s="466"/>
      <c r="AR79" s="466"/>
      <c r="AS79" s="466"/>
      <c r="AT79" s="466"/>
      <c r="AU79" s="466"/>
      <c r="AV79" s="466"/>
      <c r="AW79" s="466"/>
      <c r="AX79" s="466"/>
      <c r="AY79" s="466"/>
      <c r="AZ79" s="466"/>
      <c r="BA79" s="466"/>
      <c r="BB79" s="466"/>
      <c r="BC79" s="466"/>
      <c r="BD79" s="466"/>
      <c r="BE79" s="466"/>
      <c r="BF79" s="466"/>
      <c r="BG79" s="466"/>
      <c r="BH79" s="466"/>
      <c r="BJ79" s="463">
        <f t="shared" si="2"/>
        <v>72</v>
      </c>
      <c r="BZ79" s="467"/>
    </row>
    <row r="80" spans="8:78" ht="15.75" customHeight="1" x14ac:dyDescent="0.2">
      <c r="H80" s="464"/>
      <c r="I80" s="464"/>
      <c r="J80" s="464"/>
      <c r="K80" s="464"/>
      <c r="L80" s="464"/>
      <c r="M80" s="464"/>
      <c r="N80" s="464"/>
      <c r="O80" s="464"/>
      <c r="P80" s="464"/>
      <c r="Q80" s="464"/>
      <c r="R80" s="464"/>
      <c r="S80" s="464"/>
      <c r="T80" s="464"/>
      <c r="U80" s="464"/>
      <c r="V80" s="464"/>
      <c r="W80" s="464"/>
      <c r="X80" s="464"/>
      <c r="Y80" s="464"/>
      <c r="Z80" s="464"/>
      <c r="AA80" s="464"/>
      <c r="AB80" s="464"/>
      <c r="AC80" s="464"/>
      <c r="AD80" s="464"/>
      <c r="AE80" s="464"/>
      <c r="AF80" s="464"/>
      <c r="AG80" s="464"/>
      <c r="AH80" s="464"/>
      <c r="AI80" s="464"/>
      <c r="AJ80" s="464"/>
      <c r="AK80" s="464"/>
      <c r="AL80" s="464"/>
      <c r="AM80" s="464"/>
      <c r="AN80" s="464"/>
      <c r="AO80" s="464"/>
      <c r="AP80" s="464"/>
      <c r="AQ80" s="464"/>
      <c r="AR80" s="464"/>
      <c r="AS80" s="464"/>
      <c r="AT80" s="464"/>
      <c r="AU80" s="464"/>
      <c r="AV80" s="464"/>
      <c r="AW80" s="464"/>
      <c r="AX80" s="464"/>
      <c r="AY80" s="464"/>
      <c r="AZ80" s="464"/>
      <c r="BA80" s="464"/>
      <c r="BB80" s="464"/>
      <c r="BC80" s="464"/>
      <c r="BD80" s="464"/>
      <c r="BE80" s="464"/>
      <c r="BF80" s="464"/>
      <c r="BG80" s="464"/>
      <c r="BH80" s="464"/>
      <c r="BJ80" s="463">
        <f t="shared" si="2"/>
        <v>73</v>
      </c>
      <c r="BZ80" s="467"/>
    </row>
    <row r="81" spans="8:78" ht="15.75" customHeight="1" x14ac:dyDescent="0.2">
      <c r="H81" s="466"/>
      <c r="I81" s="466"/>
      <c r="J81" s="466"/>
      <c r="K81" s="466"/>
      <c r="L81" s="466"/>
      <c r="M81" s="466"/>
      <c r="N81" s="466"/>
      <c r="O81" s="466"/>
      <c r="P81" s="466"/>
      <c r="Q81" s="466"/>
      <c r="R81" s="466"/>
      <c r="S81" s="466"/>
      <c r="T81" s="466"/>
      <c r="U81" s="466"/>
      <c r="V81" s="466"/>
      <c r="W81" s="466"/>
      <c r="X81" s="466"/>
      <c r="Y81" s="466"/>
      <c r="Z81" s="466"/>
      <c r="AA81" s="466"/>
      <c r="AB81" s="466"/>
      <c r="AC81" s="466"/>
      <c r="AD81" s="466"/>
      <c r="AE81" s="466"/>
      <c r="AF81" s="466"/>
      <c r="AG81" s="466"/>
      <c r="AH81" s="466"/>
      <c r="AI81" s="466"/>
      <c r="AJ81" s="466"/>
      <c r="AK81" s="466"/>
      <c r="AL81" s="466"/>
      <c r="AM81" s="466"/>
      <c r="AN81" s="466"/>
      <c r="AO81" s="466"/>
      <c r="AP81" s="466"/>
      <c r="AQ81" s="466"/>
      <c r="AR81" s="466"/>
      <c r="AS81" s="466"/>
      <c r="AT81" s="466"/>
      <c r="AU81" s="466"/>
      <c r="AV81" s="466"/>
      <c r="AW81" s="466"/>
      <c r="AX81" s="466"/>
      <c r="AY81" s="466"/>
      <c r="AZ81" s="466"/>
      <c r="BA81" s="466"/>
      <c r="BB81" s="466"/>
      <c r="BC81" s="466"/>
      <c r="BD81" s="466"/>
      <c r="BE81" s="466"/>
      <c r="BF81" s="466"/>
      <c r="BG81" s="466"/>
      <c r="BH81" s="466"/>
      <c r="BJ81" s="463">
        <f t="shared" si="2"/>
        <v>74</v>
      </c>
      <c r="BZ81" s="467"/>
    </row>
    <row r="82" spans="8:78" ht="15.75" customHeight="1" x14ac:dyDescent="0.2">
      <c r="H82" s="464"/>
      <c r="I82" s="464"/>
      <c r="J82" s="464"/>
      <c r="K82" s="464"/>
      <c r="L82" s="464"/>
      <c r="M82" s="464"/>
      <c r="N82" s="464"/>
      <c r="O82" s="464"/>
      <c r="P82" s="464"/>
      <c r="Q82" s="464"/>
      <c r="R82" s="464"/>
      <c r="S82" s="464"/>
      <c r="T82" s="464"/>
      <c r="U82" s="464"/>
      <c r="V82" s="464"/>
      <c r="W82" s="464"/>
      <c r="X82" s="464"/>
      <c r="Y82" s="464"/>
      <c r="Z82" s="464"/>
      <c r="AA82" s="464"/>
      <c r="AB82" s="464"/>
      <c r="AC82" s="464"/>
      <c r="AD82" s="464"/>
      <c r="AE82" s="464"/>
      <c r="AF82" s="464"/>
      <c r="AG82" s="464"/>
      <c r="AH82" s="464"/>
      <c r="AI82" s="464"/>
      <c r="AJ82" s="464"/>
      <c r="AK82" s="464"/>
      <c r="AL82" s="464"/>
      <c r="AM82" s="464"/>
      <c r="AN82" s="464"/>
      <c r="AO82" s="464"/>
      <c r="AP82" s="464"/>
      <c r="AQ82" s="464"/>
      <c r="AR82" s="464"/>
      <c r="AS82" s="464"/>
      <c r="AT82" s="464"/>
      <c r="AU82" s="464"/>
      <c r="AV82" s="464"/>
      <c r="AW82" s="464"/>
      <c r="AX82" s="464"/>
      <c r="AY82" s="464"/>
      <c r="AZ82" s="464"/>
      <c r="BA82" s="464"/>
      <c r="BB82" s="464"/>
      <c r="BC82" s="464"/>
      <c r="BD82" s="464"/>
      <c r="BE82" s="464"/>
      <c r="BF82" s="464"/>
      <c r="BG82" s="464"/>
      <c r="BH82" s="464"/>
      <c r="BJ82" s="463">
        <f t="shared" si="2"/>
        <v>75</v>
      </c>
      <c r="BZ82" s="467"/>
    </row>
    <row r="83" spans="8:78" ht="15.75" customHeight="1" x14ac:dyDescent="0.2">
      <c r="H83" s="466"/>
      <c r="I83" s="466"/>
      <c r="J83" s="466"/>
      <c r="K83" s="466"/>
      <c r="L83" s="466"/>
      <c r="M83" s="466"/>
      <c r="N83" s="466"/>
      <c r="O83" s="466"/>
      <c r="P83" s="466"/>
      <c r="Q83" s="466"/>
      <c r="R83" s="466"/>
      <c r="S83" s="466"/>
      <c r="T83" s="466"/>
      <c r="U83" s="466"/>
      <c r="V83" s="466"/>
      <c r="W83" s="466"/>
      <c r="X83" s="466"/>
      <c r="Y83" s="466"/>
      <c r="Z83" s="466"/>
      <c r="AA83" s="466"/>
      <c r="AB83" s="466"/>
      <c r="AC83" s="466"/>
      <c r="AD83" s="466"/>
      <c r="AE83" s="466"/>
      <c r="AF83" s="466"/>
      <c r="AG83" s="466"/>
      <c r="AH83" s="466"/>
      <c r="AI83" s="466"/>
      <c r="AJ83" s="466"/>
      <c r="AK83" s="466"/>
      <c r="AL83" s="466"/>
      <c r="AM83" s="466"/>
      <c r="AN83" s="466"/>
      <c r="AO83" s="466"/>
      <c r="AP83" s="466"/>
      <c r="AQ83" s="466"/>
      <c r="AR83" s="466"/>
      <c r="AS83" s="466"/>
      <c r="AT83" s="466"/>
      <c r="AU83" s="466"/>
      <c r="AV83" s="466"/>
      <c r="AW83" s="466"/>
      <c r="AX83" s="466"/>
      <c r="AY83" s="466"/>
      <c r="AZ83" s="466"/>
      <c r="BA83" s="466"/>
      <c r="BB83" s="466"/>
      <c r="BC83" s="466"/>
      <c r="BD83" s="466"/>
      <c r="BE83" s="466"/>
      <c r="BF83" s="466"/>
      <c r="BG83" s="466"/>
      <c r="BH83" s="466"/>
      <c r="BJ83" s="463">
        <f t="shared" si="2"/>
        <v>76</v>
      </c>
      <c r="BZ83" s="467"/>
    </row>
    <row r="84" spans="8:78" ht="15.75" customHeight="1" x14ac:dyDescent="0.2">
      <c r="H84" s="464"/>
      <c r="I84" s="464"/>
      <c r="J84" s="464"/>
      <c r="K84" s="464"/>
      <c r="L84" s="464"/>
      <c r="M84" s="464"/>
      <c r="N84" s="464"/>
      <c r="O84" s="464"/>
      <c r="P84" s="464"/>
      <c r="Q84" s="464"/>
      <c r="R84" s="464"/>
      <c r="S84" s="464"/>
      <c r="T84" s="464"/>
      <c r="U84" s="464"/>
      <c r="V84" s="464"/>
      <c r="W84" s="464"/>
      <c r="X84" s="464"/>
      <c r="Y84" s="464"/>
      <c r="Z84" s="464"/>
      <c r="AA84" s="464"/>
      <c r="AB84" s="464"/>
      <c r="AC84" s="464"/>
      <c r="AD84" s="464"/>
      <c r="AE84" s="464"/>
      <c r="AF84" s="464"/>
      <c r="AG84" s="464"/>
      <c r="AH84" s="464"/>
      <c r="AI84" s="464"/>
      <c r="AJ84" s="464"/>
      <c r="AK84" s="464"/>
      <c r="AL84" s="464"/>
      <c r="AM84" s="464"/>
      <c r="AN84" s="464"/>
      <c r="AO84" s="464"/>
      <c r="AP84" s="464"/>
      <c r="AQ84" s="464"/>
      <c r="AR84" s="464"/>
      <c r="AS84" s="464"/>
      <c r="AT84" s="464"/>
      <c r="AU84" s="464"/>
      <c r="AV84" s="464"/>
      <c r="AW84" s="464"/>
      <c r="AX84" s="464"/>
      <c r="AY84" s="464"/>
      <c r="AZ84" s="464"/>
      <c r="BA84" s="464"/>
      <c r="BB84" s="464"/>
      <c r="BC84" s="464"/>
      <c r="BD84" s="464"/>
      <c r="BE84" s="464"/>
      <c r="BF84" s="464"/>
      <c r="BG84" s="464"/>
      <c r="BH84" s="464"/>
      <c r="BJ84" s="463">
        <f t="shared" si="2"/>
        <v>77</v>
      </c>
      <c r="BZ84" s="467"/>
    </row>
    <row r="85" spans="8:78" ht="15.75" customHeight="1" x14ac:dyDescent="0.2">
      <c r="H85" s="466"/>
      <c r="I85" s="466"/>
      <c r="J85" s="466"/>
      <c r="K85" s="466"/>
      <c r="L85" s="466"/>
      <c r="M85" s="466"/>
      <c r="N85" s="466"/>
      <c r="O85" s="466"/>
      <c r="P85" s="466"/>
      <c r="Q85" s="466"/>
      <c r="R85" s="466"/>
      <c r="S85" s="466"/>
      <c r="T85" s="466"/>
      <c r="U85" s="466"/>
      <c r="V85" s="466"/>
      <c r="W85" s="466"/>
      <c r="X85" s="466"/>
      <c r="Y85" s="466"/>
      <c r="Z85" s="466"/>
      <c r="AA85" s="466"/>
      <c r="AB85" s="466"/>
      <c r="AC85" s="466"/>
      <c r="AD85" s="466"/>
      <c r="AE85" s="466"/>
      <c r="AF85" s="466"/>
      <c r="AG85" s="466"/>
      <c r="AH85" s="466"/>
      <c r="AI85" s="466"/>
      <c r="AJ85" s="466"/>
      <c r="AK85" s="466"/>
      <c r="AL85" s="466"/>
      <c r="AM85" s="466"/>
      <c r="AN85" s="466"/>
      <c r="AO85" s="466"/>
      <c r="AP85" s="466"/>
      <c r="AQ85" s="466"/>
      <c r="AR85" s="466"/>
      <c r="AS85" s="466"/>
      <c r="AT85" s="466"/>
      <c r="AU85" s="466"/>
      <c r="AV85" s="466"/>
      <c r="AW85" s="466"/>
      <c r="AX85" s="466"/>
      <c r="AY85" s="466"/>
      <c r="AZ85" s="466"/>
      <c r="BA85" s="466"/>
      <c r="BB85" s="466"/>
      <c r="BC85" s="466"/>
      <c r="BD85" s="466"/>
      <c r="BE85" s="466"/>
      <c r="BF85" s="466"/>
      <c r="BG85" s="466"/>
      <c r="BH85" s="466"/>
      <c r="BJ85" s="463">
        <f t="shared" si="2"/>
        <v>78</v>
      </c>
      <c r="BZ85" s="467"/>
    </row>
    <row r="86" spans="8:78" ht="15.75" customHeight="1" x14ac:dyDescent="0.2">
      <c r="H86" s="464"/>
      <c r="I86" s="464"/>
      <c r="J86" s="464"/>
      <c r="K86" s="464"/>
      <c r="L86" s="464"/>
      <c r="M86" s="464"/>
      <c r="N86" s="464"/>
      <c r="O86" s="464"/>
      <c r="P86" s="464"/>
      <c r="Q86" s="464"/>
      <c r="R86" s="464"/>
      <c r="S86" s="464"/>
      <c r="T86" s="464"/>
      <c r="U86" s="464"/>
      <c r="V86" s="464"/>
      <c r="W86" s="464"/>
      <c r="X86" s="464"/>
      <c r="Y86" s="464"/>
      <c r="Z86" s="464"/>
      <c r="AA86" s="464"/>
      <c r="AB86" s="464"/>
      <c r="AC86" s="464"/>
      <c r="AD86" s="464"/>
      <c r="AE86" s="464"/>
      <c r="AF86" s="464"/>
      <c r="AG86" s="464"/>
      <c r="AH86" s="464"/>
      <c r="AI86" s="464"/>
      <c r="AJ86" s="464"/>
      <c r="AK86" s="464"/>
      <c r="AL86" s="464"/>
      <c r="AM86" s="464"/>
      <c r="AN86" s="464"/>
      <c r="AO86" s="464"/>
      <c r="AP86" s="464"/>
      <c r="AQ86" s="464"/>
      <c r="AR86" s="464"/>
      <c r="AS86" s="464"/>
      <c r="AT86" s="464"/>
      <c r="AU86" s="464"/>
      <c r="AV86" s="464"/>
      <c r="AW86" s="464"/>
      <c r="AX86" s="464"/>
      <c r="AY86" s="464"/>
      <c r="AZ86" s="464"/>
      <c r="BA86" s="464"/>
      <c r="BB86" s="464"/>
      <c r="BC86" s="464"/>
      <c r="BD86" s="464"/>
      <c r="BE86" s="464"/>
      <c r="BF86" s="464"/>
      <c r="BG86" s="464"/>
      <c r="BH86" s="464"/>
      <c r="BJ86" s="463">
        <f t="shared" si="2"/>
        <v>79</v>
      </c>
      <c r="BZ86" s="467"/>
    </row>
    <row r="87" spans="8:78" ht="15.75" customHeight="1" x14ac:dyDescent="0.2">
      <c r="H87" s="466"/>
      <c r="I87" s="466"/>
      <c r="J87" s="466"/>
      <c r="K87" s="466"/>
      <c r="L87" s="466"/>
      <c r="M87" s="466"/>
      <c r="N87" s="466"/>
      <c r="O87" s="466"/>
      <c r="P87" s="466"/>
      <c r="Q87" s="466"/>
      <c r="R87" s="466"/>
      <c r="S87" s="466"/>
      <c r="T87" s="466"/>
      <c r="U87" s="466"/>
      <c r="V87" s="466"/>
      <c r="W87" s="466"/>
      <c r="X87" s="466"/>
      <c r="Y87" s="466"/>
      <c r="Z87" s="466"/>
      <c r="AA87" s="466"/>
      <c r="AB87" s="466"/>
      <c r="AC87" s="466"/>
      <c r="AD87" s="466"/>
      <c r="AE87" s="466"/>
      <c r="AF87" s="466"/>
      <c r="AG87" s="466"/>
      <c r="AH87" s="466"/>
      <c r="AI87" s="466"/>
      <c r="AJ87" s="466"/>
      <c r="AK87" s="466"/>
      <c r="AL87" s="466"/>
      <c r="AM87" s="466"/>
      <c r="AN87" s="466"/>
      <c r="AO87" s="466"/>
      <c r="AP87" s="466"/>
      <c r="AQ87" s="466"/>
      <c r="AR87" s="466"/>
      <c r="AS87" s="466"/>
      <c r="AT87" s="466"/>
      <c r="AU87" s="466"/>
      <c r="AV87" s="466"/>
      <c r="AW87" s="466"/>
      <c r="AX87" s="466"/>
      <c r="AY87" s="466"/>
      <c r="AZ87" s="466"/>
      <c r="BA87" s="466"/>
      <c r="BB87" s="466"/>
      <c r="BC87" s="466"/>
      <c r="BD87" s="466"/>
      <c r="BE87" s="466"/>
      <c r="BF87" s="466"/>
      <c r="BG87" s="466"/>
      <c r="BH87" s="466"/>
      <c r="BJ87" s="463">
        <f t="shared" si="2"/>
        <v>80</v>
      </c>
      <c r="BZ87" s="467"/>
    </row>
    <row r="88" spans="8:78" ht="15.75" customHeight="1" x14ac:dyDescent="0.2">
      <c r="H88" s="464"/>
      <c r="I88" s="464"/>
      <c r="J88" s="464"/>
      <c r="K88" s="464"/>
      <c r="L88" s="464"/>
      <c r="M88" s="464"/>
      <c r="N88" s="464"/>
      <c r="O88" s="464"/>
      <c r="P88" s="464"/>
      <c r="Q88" s="464"/>
      <c r="R88" s="464"/>
      <c r="S88" s="464"/>
      <c r="T88" s="464"/>
      <c r="U88" s="464"/>
      <c r="V88" s="464"/>
      <c r="W88" s="464"/>
      <c r="X88" s="464"/>
      <c r="Y88" s="464"/>
      <c r="Z88" s="464"/>
      <c r="AA88" s="464"/>
      <c r="AB88" s="464"/>
      <c r="AC88" s="464"/>
      <c r="AD88" s="464"/>
      <c r="AE88" s="464"/>
      <c r="AF88" s="464"/>
      <c r="AG88" s="464"/>
      <c r="AH88" s="464"/>
      <c r="AI88" s="464"/>
      <c r="AJ88" s="464"/>
      <c r="AK88" s="464"/>
      <c r="AL88" s="464"/>
      <c r="AM88" s="464"/>
      <c r="AN88" s="464"/>
      <c r="AO88" s="464"/>
      <c r="AP88" s="464"/>
      <c r="AQ88" s="464"/>
      <c r="AR88" s="464"/>
      <c r="AS88" s="464"/>
      <c r="AT88" s="464"/>
      <c r="AU88" s="464"/>
      <c r="AV88" s="464"/>
      <c r="AW88" s="464"/>
      <c r="AX88" s="464"/>
      <c r="AY88" s="464"/>
      <c r="AZ88" s="464"/>
      <c r="BA88" s="464"/>
      <c r="BB88" s="464"/>
      <c r="BC88" s="464"/>
      <c r="BD88" s="464"/>
      <c r="BE88" s="464"/>
      <c r="BF88" s="464"/>
      <c r="BG88" s="464"/>
      <c r="BH88" s="464"/>
      <c r="BJ88" s="463">
        <f t="shared" si="2"/>
        <v>81</v>
      </c>
      <c r="BZ88" s="467"/>
    </row>
    <row r="89" spans="8:78" ht="15.75" customHeight="1" x14ac:dyDescent="0.2">
      <c r="H89" s="466"/>
      <c r="I89" s="466"/>
      <c r="J89" s="466"/>
      <c r="K89" s="466"/>
      <c r="L89" s="466"/>
      <c r="M89" s="466"/>
      <c r="N89" s="466"/>
      <c r="O89" s="466"/>
      <c r="P89" s="466"/>
      <c r="Q89" s="466"/>
      <c r="R89" s="466"/>
      <c r="S89" s="466"/>
      <c r="T89" s="466"/>
      <c r="U89" s="466"/>
      <c r="V89" s="466"/>
      <c r="W89" s="466"/>
      <c r="X89" s="466"/>
      <c r="Y89" s="466"/>
      <c r="Z89" s="466"/>
      <c r="AA89" s="466"/>
      <c r="AB89" s="466"/>
      <c r="AC89" s="466"/>
      <c r="AD89" s="466"/>
      <c r="AE89" s="466"/>
      <c r="AF89" s="466"/>
      <c r="AG89" s="466"/>
      <c r="AH89" s="466"/>
      <c r="AI89" s="466"/>
      <c r="AJ89" s="466"/>
      <c r="AK89" s="466"/>
      <c r="AL89" s="466"/>
      <c r="AM89" s="466"/>
      <c r="AN89" s="466"/>
      <c r="AO89" s="466"/>
      <c r="AP89" s="466"/>
      <c r="AQ89" s="466"/>
      <c r="AR89" s="466"/>
      <c r="AS89" s="466"/>
      <c r="AT89" s="466"/>
      <c r="AU89" s="466"/>
      <c r="AV89" s="466"/>
      <c r="AW89" s="466"/>
      <c r="AX89" s="466"/>
      <c r="AY89" s="466"/>
      <c r="AZ89" s="466"/>
      <c r="BA89" s="466"/>
      <c r="BB89" s="466"/>
      <c r="BC89" s="466"/>
      <c r="BD89" s="466"/>
      <c r="BE89" s="466"/>
      <c r="BF89" s="466"/>
      <c r="BG89" s="466"/>
      <c r="BH89" s="466"/>
      <c r="BJ89" s="463">
        <f t="shared" si="2"/>
        <v>82</v>
      </c>
      <c r="BZ89" s="467"/>
    </row>
    <row r="90" spans="8:78" ht="15.75" customHeight="1" x14ac:dyDescent="0.2">
      <c r="H90" s="464"/>
      <c r="I90" s="464"/>
      <c r="J90" s="464"/>
      <c r="K90" s="464"/>
      <c r="L90" s="464"/>
      <c r="M90" s="464"/>
      <c r="N90" s="464"/>
      <c r="O90" s="464"/>
      <c r="P90" s="464"/>
      <c r="Q90" s="464"/>
      <c r="R90" s="464"/>
      <c r="S90" s="464"/>
      <c r="T90" s="464"/>
      <c r="U90" s="464"/>
      <c r="V90" s="464"/>
      <c r="W90" s="464"/>
      <c r="X90" s="464"/>
      <c r="Y90" s="464"/>
      <c r="Z90" s="464"/>
      <c r="AA90" s="464"/>
      <c r="AB90" s="464"/>
      <c r="AC90" s="464"/>
      <c r="AD90" s="464"/>
      <c r="AE90" s="464"/>
      <c r="AF90" s="464"/>
      <c r="AG90" s="464"/>
      <c r="AH90" s="464"/>
      <c r="AI90" s="464"/>
      <c r="AJ90" s="464"/>
      <c r="AK90" s="464"/>
      <c r="AL90" s="464"/>
      <c r="AM90" s="464"/>
      <c r="AN90" s="464"/>
      <c r="AO90" s="464"/>
      <c r="AP90" s="464"/>
      <c r="AQ90" s="464"/>
      <c r="AR90" s="464"/>
      <c r="AS90" s="464"/>
      <c r="AT90" s="464"/>
      <c r="AU90" s="464"/>
      <c r="AV90" s="464"/>
      <c r="AW90" s="464"/>
      <c r="AX90" s="464"/>
      <c r="AY90" s="464"/>
      <c r="AZ90" s="464"/>
      <c r="BA90" s="464"/>
      <c r="BB90" s="464"/>
      <c r="BC90" s="464"/>
      <c r="BD90" s="464"/>
      <c r="BE90" s="464"/>
      <c r="BF90" s="464"/>
      <c r="BG90" s="464"/>
      <c r="BH90" s="464"/>
      <c r="BJ90" s="463">
        <f t="shared" si="2"/>
        <v>83</v>
      </c>
      <c r="BZ90" s="467"/>
    </row>
    <row r="91" spans="8:78" ht="15.75" customHeight="1" x14ac:dyDescent="0.2">
      <c r="H91" s="466"/>
      <c r="I91" s="466"/>
      <c r="J91" s="466"/>
      <c r="K91" s="466"/>
      <c r="L91" s="466"/>
      <c r="M91" s="466"/>
      <c r="N91" s="466"/>
      <c r="O91" s="466"/>
      <c r="P91" s="466"/>
      <c r="Q91" s="466"/>
      <c r="R91" s="466"/>
      <c r="S91" s="466"/>
      <c r="T91" s="466"/>
      <c r="U91" s="466"/>
      <c r="V91" s="466"/>
      <c r="W91" s="466"/>
      <c r="X91" s="466"/>
      <c r="Y91" s="466"/>
      <c r="Z91" s="466"/>
      <c r="AA91" s="466"/>
      <c r="AB91" s="466"/>
      <c r="AC91" s="466"/>
      <c r="AD91" s="466"/>
      <c r="AE91" s="466"/>
      <c r="AF91" s="466"/>
      <c r="AG91" s="466"/>
      <c r="AH91" s="466"/>
      <c r="AI91" s="466"/>
      <c r="AJ91" s="466"/>
      <c r="AK91" s="466"/>
      <c r="AL91" s="466"/>
      <c r="AM91" s="466"/>
      <c r="AN91" s="466"/>
      <c r="AO91" s="466"/>
      <c r="AP91" s="466"/>
      <c r="AQ91" s="466"/>
      <c r="AR91" s="466"/>
      <c r="AS91" s="466"/>
      <c r="AT91" s="466"/>
      <c r="AU91" s="466"/>
      <c r="AV91" s="466"/>
      <c r="AW91" s="466"/>
      <c r="AX91" s="466"/>
      <c r="AY91" s="466"/>
      <c r="AZ91" s="466"/>
      <c r="BA91" s="466"/>
      <c r="BB91" s="466"/>
      <c r="BC91" s="466"/>
      <c r="BD91" s="466"/>
      <c r="BE91" s="466"/>
      <c r="BF91" s="466"/>
      <c r="BG91" s="466"/>
      <c r="BH91" s="466"/>
      <c r="BJ91" s="463">
        <f t="shared" si="2"/>
        <v>84</v>
      </c>
      <c r="BZ91" s="467"/>
    </row>
    <row r="92" spans="8:78" ht="15.75" customHeight="1" x14ac:dyDescent="0.2">
      <c r="H92" s="464"/>
      <c r="I92" s="464"/>
      <c r="J92" s="464"/>
      <c r="K92" s="464"/>
      <c r="L92" s="464"/>
      <c r="M92" s="464"/>
      <c r="N92" s="464"/>
      <c r="O92" s="464"/>
      <c r="P92" s="464"/>
      <c r="Q92" s="464"/>
      <c r="R92" s="464"/>
      <c r="S92" s="464"/>
      <c r="T92" s="464"/>
      <c r="U92" s="464"/>
      <c r="V92" s="464"/>
      <c r="W92" s="464"/>
      <c r="X92" s="464"/>
      <c r="Y92" s="464"/>
      <c r="Z92" s="464"/>
      <c r="AA92" s="464"/>
      <c r="AB92" s="464"/>
      <c r="AC92" s="464"/>
      <c r="AD92" s="464"/>
      <c r="AE92" s="464"/>
      <c r="AF92" s="464"/>
      <c r="AG92" s="464"/>
      <c r="AH92" s="464"/>
      <c r="AI92" s="464"/>
      <c r="AJ92" s="464"/>
      <c r="AK92" s="464"/>
      <c r="AL92" s="464"/>
      <c r="AM92" s="464"/>
      <c r="AN92" s="464"/>
      <c r="AO92" s="464"/>
      <c r="AP92" s="464"/>
      <c r="AQ92" s="464"/>
      <c r="AR92" s="464"/>
      <c r="AS92" s="464"/>
      <c r="AT92" s="464"/>
      <c r="AU92" s="464"/>
      <c r="AV92" s="464"/>
      <c r="AW92" s="464"/>
      <c r="AX92" s="464"/>
      <c r="AY92" s="464"/>
      <c r="AZ92" s="464"/>
      <c r="BA92" s="464"/>
      <c r="BB92" s="464"/>
      <c r="BC92" s="464"/>
      <c r="BD92" s="464"/>
      <c r="BE92" s="464"/>
      <c r="BF92" s="464"/>
      <c r="BG92" s="464"/>
      <c r="BH92" s="464"/>
      <c r="BJ92" s="463">
        <f t="shared" si="2"/>
        <v>85</v>
      </c>
      <c r="BZ92" s="467"/>
    </row>
    <row r="93" spans="8:78" ht="15.75" customHeight="1" x14ac:dyDescent="0.2">
      <c r="H93" s="466"/>
      <c r="I93" s="466"/>
      <c r="J93" s="466"/>
      <c r="K93" s="466"/>
      <c r="L93" s="466"/>
      <c r="M93" s="466"/>
      <c r="N93" s="466"/>
      <c r="O93" s="466"/>
      <c r="P93" s="466"/>
      <c r="Q93" s="466"/>
      <c r="R93" s="466"/>
      <c r="S93" s="466"/>
      <c r="T93" s="466"/>
      <c r="U93" s="466"/>
      <c r="V93" s="466"/>
      <c r="W93" s="466"/>
      <c r="X93" s="466"/>
      <c r="Y93" s="466"/>
      <c r="Z93" s="466"/>
      <c r="AA93" s="466"/>
      <c r="AB93" s="466"/>
      <c r="AC93" s="466"/>
      <c r="AD93" s="466"/>
      <c r="AE93" s="466"/>
      <c r="AF93" s="466"/>
      <c r="AG93" s="466"/>
      <c r="AH93" s="466"/>
      <c r="AI93" s="466"/>
      <c r="AJ93" s="466"/>
      <c r="AK93" s="466"/>
      <c r="AL93" s="466"/>
      <c r="AM93" s="466"/>
      <c r="AN93" s="466"/>
      <c r="AO93" s="466"/>
      <c r="AP93" s="466"/>
      <c r="AQ93" s="466"/>
      <c r="AR93" s="466"/>
      <c r="AS93" s="466"/>
      <c r="AT93" s="466"/>
      <c r="AU93" s="466"/>
      <c r="AV93" s="466"/>
      <c r="AW93" s="466"/>
      <c r="AX93" s="466"/>
      <c r="AY93" s="466"/>
      <c r="AZ93" s="466"/>
      <c r="BA93" s="466"/>
      <c r="BB93" s="466"/>
      <c r="BC93" s="466"/>
      <c r="BD93" s="466"/>
      <c r="BE93" s="466"/>
      <c r="BF93" s="466"/>
      <c r="BG93" s="466"/>
      <c r="BH93" s="466"/>
      <c r="BJ93" s="463">
        <f t="shared" si="2"/>
        <v>86</v>
      </c>
      <c r="BZ93" s="467"/>
    </row>
    <row r="94" spans="8:78" ht="15.75" customHeight="1" x14ac:dyDescent="0.2">
      <c r="H94" s="464"/>
      <c r="I94" s="464"/>
      <c r="J94" s="464"/>
      <c r="K94" s="464"/>
      <c r="L94" s="464"/>
      <c r="M94" s="464"/>
      <c r="N94" s="464"/>
      <c r="O94" s="464"/>
      <c r="P94" s="464"/>
      <c r="Q94" s="464"/>
      <c r="R94" s="464"/>
      <c r="S94" s="464"/>
      <c r="T94" s="464"/>
      <c r="U94" s="464"/>
      <c r="V94" s="464"/>
      <c r="W94" s="464"/>
      <c r="X94" s="464"/>
      <c r="Y94" s="464"/>
      <c r="Z94" s="464"/>
      <c r="AA94" s="464"/>
      <c r="AB94" s="464"/>
      <c r="AC94" s="464"/>
      <c r="AD94" s="464"/>
      <c r="AE94" s="464"/>
      <c r="AF94" s="464"/>
      <c r="AG94" s="464"/>
      <c r="AH94" s="464"/>
      <c r="AI94" s="464"/>
      <c r="AJ94" s="464"/>
      <c r="AK94" s="464"/>
      <c r="AL94" s="464"/>
      <c r="AM94" s="464"/>
      <c r="AN94" s="464"/>
      <c r="AO94" s="464"/>
      <c r="AP94" s="464"/>
      <c r="AQ94" s="464"/>
      <c r="AR94" s="464"/>
      <c r="AS94" s="464"/>
      <c r="AT94" s="464"/>
      <c r="AU94" s="464"/>
      <c r="AV94" s="464"/>
      <c r="AW94" s="464"/>
      <c r="AX94" s="464"/>
      <c r="AY94" s="464"/>
      <c r="AZ94" s="464"/>
      <c r="BA94" s="464"/>
      <c r="BB94" s="464"/>
      <c r="BC94" s="464"/>
      <c r="BD94" s="464"/>
      <c r="BE94" s="464"/>
      <c r="BF94" s="464"/>
      <c r="BG94" s="464"/>
      <c r="BH94" s="464"/>
      <c r="BJ94" s="463">
        <f t="shared" si="2"/>
        <v>87</v>
      </c>
      <c r="BZ94" s="467"/>
    </row>
    <row r="95" spans="8:78" ht="15.75" customHeight="1" x14ac:dyDescent="0.2">
      <c r="H95" s="466"/>
      <c r="I95" s="466"/>
      <c r="J95" s="466"/>
      <c r="K95" s="466"/>
      <c r="L95" s="466"/>
      <c r="M95" s="466"/>
      <c r="N95" s="466"/>
      <c r="O95" s="466"/>
      <c r="P95" s="466"/>
      <c r="Q95" s="466"/>
      <c r="R95" s="466"/>
      <c r="S95" s="466"/>
      <c r="T95" s="466"/>
      <c r="U95" s="466"/>
      <c r="V95" s="466"/>
      <c r="W95" s="466"/>
      <c r="X95" s="466"/>
      <c r="Y95" s="466"/>
      <c r="Z95" s="466"/>
      <c r="AA95" s="466"/>
      <c r="AB95" s="466"/>
      <c r="AC95" s="466"/>
      <c r="AD95" s="466"/>
      <c r="AE95" s="466"/>
      <c r="AF95" s="466"/>
      <c r="AG95" s="466"/>
      <c r="AH95" s="466"/>
      <c r="AI95" s="466"/>
      <c r="AJ95" s="466"/>
      <c r="AK95" s="466"/>
      <c r="AL95" s="466"/>
      <c r="AM95" s="466"/>
      <c r="AN95" s="466"/>
      <c r="AO95" s="466"/>
      <c r="AP95" s="466"/>
      <c r="AQ95" s="466"/>
      <c r="AR95" s="466"/>
      <c r="AS95" s="466"/>
      <c r="AT95" s="466"/>
      <c r="AU95" s="466"/>
      <c r="AV95" s="466"/>
      <c r="AW95" s="466"/>
      <c r="AX95" s="466"/>
      <c r="AY95" s="466"/>
      <c r="AZ95" s="466"/>
      <c r="BA95" s="466"/>
      <c r="BB95" s="466"/>
      <c r="BC95" s="466"/>
      <c r="BD95" s="466"/>
      <c r="BE95" s="466"/>
      <c r="BF95" s="466"/>
      <c r="BG95" s="466"/>
      <c r="BH95" s="466"/>
      <c r="BJ95" s="463">
        <f t="shared" si="2"/>
        <v>88</v>
      </c>
      <c r="BZ95" s="467"/>
    </row>
    <row r="96" spans="8:78" ht="15.75" customHeight="1" x14ac:dyDescent="0.2">
      <c r="H96" s="464"/>
      <c r="I96" s="464"/>
      <c r="J96" s="464"/>
      <c r="K96" s="464"/>
      <c r="L96" s="464"/>
      <c r="M96" s="464"/>
      <c r="N96" s="464"/>
      <c r="O96" s="464"/>
      <c r="P96" s="464"/>
      <c r="Q96" s="464"/>
      <c r="R96" s="464"/>
      <c r="S96" s="464"/>
      <c r="T96" s="464"/>
      <c r="U96" s="464"/>
      <c r="V96" s="464"/>
      <c r="W96" s="464"/>
      <c r="X96" s="464"/>
      <c r="Y96" s="464"/>
      <c r="Z96" s="464"/>
      <c r="AA96" s="464"/>
      <c r="AB96" s="464"/>
      <c r="AC96" s="464"/>
      <c r="AD96" s="464"/>
      <c r="AE96" s="464"/>
      <c r="AF96" s="464"/>
      <c r="AG96" s="464"/>
      <c r="AH96" s="464"/>
      <c r="AI96" s="464"/>
      <c r="AJ96" s="464"/>
      <c r="AK96" s="464"/>
      <c r="AL96" s="464"/>
      <c r="AM96" s="464"/>
      <c r="AN96" s="464"/>
      <c r="AO96" s="464"/>
      <c r="AP96" s="464"/>
      <c r="AQ96" s="464"/>
      <c r="AR96" s="464"/>
      <c r="AS96" s="464"/>
      <c r="AT96" s="464"/>
      <c r="AU96" s="464"/>
      <c r="AV96" s="464"/>
      <c r="AW96" s="464"/>
      <c r="AX96" s="464"/>
      <c r="AY96" s="464"/>
      <c r="AZ96" s="464"/>
      <c r="BA96" s="464"/>
      <c r="BB96" s="464"/>
      <c r="BC96" s="464"/>
      <c r="BD96" s="464"/>
      <c r="BE96" s="464"/>
      <c r="BF96" s="464"/>
      <c r="BG96" s="464"/>
      <c r="BH96" s="464"/>
      <c r="BJ96" s="463">
        <f t="shared" si="2"/>
        <v>89</v>
      </c>
      <c r="BZ96" s="467"/>
    </row>
    <row r="97" spans="8:78" ht="15.75" customHeight="1" x14ac:dyDescent="0.2">
      <c r="H97" s="466"/>
      <c r="I97" s="466"/>
      <c r="J97" s="466"/>
      <c r="K97" s="466"/>
      <c r="L97" s="466"/>
      <c r="M97" s="466"/>
      <c r="N97" s="466"/>
      <c r="O97" s="466"/>
      <c r="P97" s="466"/>
      <c r="Q97" s="466"/>
      <c r="R97" s="466"/>
      <c r="S97" s="466"/>
      <c r="T97" s="466"/>
      <c r="U97" s="466"/>
      <c r="V97" s="466"/>
      <c r="W97" s="466"/>
      <c r="X97" s="466"/>
      <c r="Y97" s="466"/>
      <c r="Z97" s="466"/>
      <c r="AA97" s="466"/>
      <c r="AB97" s="466"/>
      <c r="AC97" s="466"/>
      <c r="AD97" s="466"/>
      <c r="AE97" s="466"/>
      <c r="AF97" s="466"/>
      <c r="AG97" s="466"/>
      <c r="AH97" s="466"/>
      <c r="AI97" s="466"/>
      <c r="AJ97" s="466"/>
      <c r="AK97" s="466"/>
      <c r="AL97" s="466"/>
      <c r="AM97" s="466"/>
      <c r="AN97" s="466"/>
      <c r="AO97" s="466"/>
      <c r="AP97" s="466"/>
      <c r="AQ97" s="466"/>
      <c r="AR97" s="466"/>
      <c r="AS97" s="466"/>
      <c r="AT97" s="466"/>
      <c r="AU97" s="466"/>
      <c r="AV97" s="466"/>
      <c r="AW97" s="466"/>
      <c r="AX97" s="466"/>
      <c r="AY97" s="466"/>
      <c r="AZ97" s="466"/>
      <c r="BA97" s="466"/>
      <c r="BB97" s="466"/>
      <c r="BC97" s="466"/>
      <c r="BD97" s="466"/>
      <c r="BE97" s="466"/>
      <c r="BF97" s="466"/>
      <c r="BG97" s="466"/>
      <c r="BH97" s="466"/>
      <c r="BJ97" s="463">
        <f t="shared" si="2"/>
        <v>90</v>
      </c>
      <c r="BZ97" s="467"/>
    </row>
    <row r="98" spans="8:78" ht="15.75" customHeight="1" x14ac:dyDescent="0.2">
      <c r="H98" s="464"/>
      <c r="I98" s="464"/>
      <c r="J98" s="464"/>
      <c r="K98" s="464"/>
      <c r="L98" s="464"/>
      <c r="M98" s="464"/>
      <c r="N98" s="464"/>
      <c r="O98" s="464"/>
      <c r="P98" s="464"/>
      <c r="Q98" s="464"/>
      <c r="R98" s="464"/>
      <c r="S98" s="464"/>
      <c r="T98" s="464"/>
      <c r="U98" s="464"/>
      <c r="V98" s="464"/>
      <c r="W98" s="464"/>
      <c r="X98" s="464"/>
      <c r="Y98" s="464"/>
      <c r="Z98" s="464"/>
      <c r="AA98" s="464"/>
      <c r="AB98" s="464"/>
      <c r="AC98" s="464"/>
      <c r="AD98" s="464"/>
      <c r="AE98" s="464"/>
      <c r="AF98" s="464"/>
      <c r="AG98" s="464"/>
      <c r="AH98" s="464"/>
      <c r="AI98" s="464"/>
      <c r="AJ98" s="464"/>
      <c r="AK98" s="464"/>
      <c r="AL98" s="464"/>
      <c r="AM98" s="464"/>
      <c r="AN98" s="464"/>
      <c r="AO98" s="464"/>
      <c r="AP98" s="464"/>
      <c r="AQ98" s="464"/>
      <c r="AR98" s="464"/>
      <c r="AS98" s="464"/>
      <c r="AT98" s="464"/>
      <c r="AU98" s="464"/>
      <c r="AV98" s="464"/>
      <c r="AW98" s="464"/>
      <c r="AX98" s="464"/>
      <c r="AY98" s="464"/>
      <c r="AZ98" s="464"/>
      <c r="BA98" s="464"/>
      <c r="BB98" s="464"/>
      <c r="BC98" s="464"/>
      <c r="BD98" s="464"/>
      <c r="BE98" s="464"/>
      <c r="BF98" s="464"/>
      <c r="BG98" s="464"/>
      <c r="BH98" s="464"/>
      <c r="BJ98" s="463">
        <f t="shared" si="2"/>
        <v>91</v>
      </c>
      <c r="BZ98" s="467"/>
    </row>
    <row r="99" spans="8:78" ht="15.75" customHeight="1" x14ac:dyDescent="0.2">
      <c r="H99" s="466"/>
      <c r="I99" s="466"/>
      <c r="J99" s="466"/>
      <c r="K99" s="466"/>
      <c r="L99" s="466"/>
      <c r="M99" s="466"/>
      <c r="N99" s="466"/>
      <c r="O99" s="466"/>
      <c r="P99" s="466"/>
      <c r="Q99" s="466"/>
      <c r="R99" s="466"/>
      <c r="S99" s="466"/>
      <c r="T99" s="466"/>
      <c r="U99" s="466"/>
      <c r="V99" s="466"/>
      <c r="W99" s="466"/>
      <c r="X99" s="466"/>
      <c r="Y99" s="466"/>
      <c r="Z99" s="466"/>
      <c r="AA99" s="466"/>
      <c r="AB99" s="466"/>
      <c r="AC99" s="466"/>
      <c r="AD99" s="466"/>
      <c r="AE99" s="466"/>
      <c r="AF99" s="466"/>
      <c r="AG99" s="466"/>
      <c r="AH99" s="466"/>
      <c r="AI99" s="466"/>
      <c r="AJ99" s="466"/>
      <c r="AK99" s="466"/>
      <c r="AL99" s="466"/>
      <c r="AM99" s="466"/>
      <c r="AN99" s="466"/>
      <c r="AO99" s="466"/>
      <c r="AP99" s="466"/>
      <c r="AQ99" s="466"/>
      <c r="AR99" s="466"/>
      <c r="AS99" s="466"/>
      <c r="AT99" s="466"/>
      <c r="AU99" s="466"/>
      <c r="AV99" s="466"/>
      <c r="AW99" s="466"/>
      <c r="AX99" s="466"/>
      <c r="AY99" s="466"/>
      <c r="AZ99" s="466"/>
      <c r="BA99" s="466"/>
      <c r="BB99" s="466"/>
      <c r="BC99" s="466"/>
      <c r="BD99" s="466"/>
      <c r="BE99" s="466"/>
      <c r="BF99" s="466"/>
      <c r="BG99" s="466"/>
      <c r="BH99" s="466"/>
      <c r="BJ99" s="463">
        <f t="shared" si="2"/>
        <v>92</v>
      </c>
      <c r="BZ99" s="467"/>
    </row>
    <row r="100" spans="8:78" ht="15.75" customHeight="1" x14ac:dyDescent="0.2">
      <c r="H100" s="464"/>
      <c r="I100" s="464"/>
      <c r="J100" s="464"/>
      <c r="K100" s="464"/>
      <c r="L100" s="464"/>
      <c r="M100" s="464"/>
      <c r="N100" s="464"/>
      <c r="O100" s="464"/>
      <c r="P100" s="464"/>
      <c r="Q100" s="464"/>
      <c r="R100" s="464"/>
      <c r="S100" s="464"/>
      <c r="T100" s="464"/>
      <c r="U100" s="464"/>
      <c r="V100" s="464"/>
      <c r="W100" s="464"/>
      <c r="X100" s="464"/>
      <c r="Y100" s="464"/>
      <c r="Z100" s="464"/>
      <c r="AA100" s="464"/>
      <c r="AB100" s="464"/>
      <c r="AC100" s="464"/>
      <c r="AD100" s="464"/>
      <c r="AE100" s="464"/>
      <c r="AF100" s="464"/>
      <c r="AG100" s="464"/>
      <c r="AH100" s="464"/>
      <c r="AI100" s="464"/>
      <c r="AJ100" s="464"/>
      <c r="AK100" s="464"/>
      <c r="AL100" s="464"/>
      <c r="AM100" s="464"/>
      <c r="AN100" s="464"/>
      <c r="AO100" s="464"/>
      <c r="AP100" s="464"/>
      <c r="AQ100" s="464"/>
      <c r="AR100" s="464"/>
      <c r="AS100" s="464"/>
      <c r="AT100" s="464"/>
      <c r="AU100" s="464"/>
      <c r="AV100" s="464"/>
      <c r="AW100" s="464"/>
      <c r="AX100" s="464"/>
      <c r="AY100" s="464"/>
      <c r="AZ100" s="464"/>
      <c r="BA100" s="464"/>
      <c r="BB100" s="464"/>
      <c r="BC100" s="464"/>
      <c r="BD100" s="464"/>
      <c r="BE100" s="464"/>
      <c r="BF100" s="464"/>
      <c r="BG100" s="464"/>
      <c r="BH100" s="464"/>
      <c r="BJ100" s="463">
        <f t="shared" si="2"/>
        <v>93</v>
      </c>
      <c r="BZ100" s="467"/>
    </row>
    <row r="101" spans="8:78" ht="15.75" customHeight="1" x14ac:dyDescent="0.2">
      <c r="H101" s="466"/>
      <c r="I101" s="466"/>
      <c r="J101" s="466"/>
      <c r="K101" s="466"/>
      <c r="L101" s="466"/>
      <c r="M101" s="466"/>
      <c r="N101" s="466"/>
      <c r="O101" s="466"/>
      <c r="P101" s="466"/>
      <c r="Q101" s="466"/>
      <c r="R101" s="466"/>
      <c r="S101" s="466"/>
      <c r="T101" s="466"/>
      <c r="U101" s="466"/>
      <c r="V101" s="466"/>
      <c r="W101" s="466"/>
      <c r="X101" s="466"/>
      <c r="Y101" s="466"/>
      <c r="Z101" s="466"/>
      <c r="AA101" s="466"/>
      <c r="AB101" s="466"/>
      <c r="AC101" s="466"/>
      <c r="AD101" s="466"/>
      <c r="AE101" s="466"/>
      <c r="AF101" s="466"/>
      <c r="AG101" s="466"/>
      <c r="AH101" s="466"/>
      <c r="AI101" s="466"/>
      <c r="AJ101" s="466"/>
      <c r="AK101" s="466"/>
      <c r="AL101" s="466"/>
      <c r="AM101" s="466"/>
      <c r="AN101" s="466"/>
      <c r="AO101" s="466"/>
      <c r="AP101" s="466"/>
      <c r="AQ101" s="466"/>
      <c r="AR101" s="466"/>
      <c r="AS101" s="466"/>
      <c r="AT101" s="466"/>
      <c r="AU101" s="466"/>
      <c r="AV101" s="466"/>
      <c r="AW101" s="466"/>
      <c r="AX101" s="466"/>
      <c r="AY101" s="466"/>
      <c r="AZ101" s="466"/>
      <c r="BA101" s="466"/>
      <c r="BB101" s="466"/>
      <c r="BC101" s="466"/>
      <c r="BD101" s="466"/>
      <c r="BE101" s="466"/>
      <c r="BF101" s="466"/>
      <c r="BG101" s="466"/>
      <c r="BH101" s="466"/>
      <c r="BJ101" s="463">
        <f t="shared" si="2"/>
        <v>94</v>
      </c>
      <c r="BZ101" s="467"/>
    </row>
    <row r="102" spans="8:78" ht="15.75" customHeight="1" x14ac:dyDescent="0.2">
      <c r="H102" s="464"/>
      <c r="I102" s="464"/>
      <c r="J102" s="464"/>
      <c r="K102" s="464"/>
      <c r="L102" s="464"/>
      <c r="M102" s="464"/>
      <c r="N102" s="464"/>
      <c r="O102" s="464"/>
      <c r="P102" s="464"/>
      <c r="Q102" s="464"/>
      <c r="R102" s="464"/>
      <c r="S102" s="464"/>
      <c r="T102" s="464"/>
      <c r="U102" s="464"/>
      <c r="V102" s="464"/>
      <c r="W102" s="464"/>
      <c r="X102" s="464"/>
      <c r="Y102" s="464"/>
      <c r="Z102" s="464"/>
      <c r="AA102" s="464"/>
      <c r="AB102" s="464"/>
      <c r="AC102" s="464"/>
      <c r="AD102" s="464"/>
      <c r="AE102" s="464"/>
      <c r="AF102" s="464"/>
      <c r="AG102" s="464"/>
      <c r="AH102" s="464"/>
      <c r="AI102" s="464"/>
      <c r="AJ102" s="464"/>
      <c r="AK102" s="464"/>
      <c r="AL102" s="464"/>
      <c r="AM102" s="464"/>
      <c r="AN102" s="464"/>
      <c r="AO102" s="464"/>
      <c r="AP102" s="464"/>
      <c r="AQ102" s="464"/>
      <c r="AR102" s="464"/>
      <c r="AS102" s="464"/>
      <c r="AT102" s="464"/>
      <c r="AU102" s="464"/>
      <c r="AV102" s="464"/>
      <c r="AW102" s="464"/>
      <c r="AX102" s="464"/>
      <c r="AY102" s="464"/>
      <c r="AZ102" s="464"/>
      <c r="BA102" s="464"/>
      <c r="BB102" s="464"/>
      <c r="BC102" s="464"/>
      <c r="BD102" s="464"/>
      <c r="BE102" s="464"/>
      <c r="BF102" s="464"/>
      <c r="BG102" s="464"/>
      <c r="BH102" s="464"/>
      <c r="BJ102" s="463">
        <f t="shared" si="2"/>
        <v>95</v>
      </c>
      <c r="BZ102" s="467"/>
    </row>
    <row r="103" spans="8:78" ht="15.75" customHeight="1" x14ac:dyDescent="0.2">
      <c r="H103" s="466"/>
      <c r="I103" s="466"/>
      <c r="J103" s="466"/>
      <c r="K103" s="466"/>
      <c r="L103" s="466"/>
      <c r="M103" s="466"/>
      <c r="N103" s="466"/>
      <c r="O103" s="466"/>
      <c r="P103" s="466"/>
      <c r="Q103" s="466"/>
      <c r="R103" s="466"/>
      <c r="S103" s="466"/>
      <c r="T103" s="466"/>
      <c r="U103" s="466"/>
      <c r="V103" s="466"/>
      <c r="W103" s="466"/>
      <c r="X103" s="466"/>
      <c r="Y103" s="466"/>
      <c r="Z103" s="466"/>
      <c r="AA103" s="466"/>
      <c r="AB103" s="466"/>
      <c r="AC103" s="466"/>
      <c r="AD103" s="466"/>
      <c r="AE103" s="466"/>
      <c r="AF103" s="466"/>
      <c r="AG103" s="466"/>
      <c r="AH103" s="466"/>
      <c r="AI103" s="466"/>
      <c r="AJ103" s="466"/>
      <c r="AK103" s="466"/>
      <c r="AL103" s="466"/>
      <c r="AM103" s="466"/>
      <c r="AN103" s="466"/>
      <c r="AO103" s="466"/>
      <c r="AP103" s="466"/>
      <c r="AQ103" s="466"/>
      <c r="AR103" s="466"/>
      <c r="AS103" s="466"/>
      <c r="AT103" s="466"/>
      <c r="AU103" s="466"/>
      <c r="AV103" s="466"/>
      <c r="AW103" s="466"/>
      <c r="AX103" s="466"/>
      <c r="AY103" s="466"/>
      <c r="AZ103" s="466"/>
      <c r="BA103" s="466"/>
      <c r="BB103" s="466"/>
      <c r="BC103" s="466"/>
      <c r="BD103" s="466"/>
      <c r="BE103" s="466"/>
      <c r="BF103" s="466"/>
      <c r="BG103" s="466"/>
      <c r="BH103" s="466"/>
      <c r="BJ103" s="463">
        <f t="shared" si="2"/>
        <v>96</v>
      </c>
      <c r="BZ103" s="467"/>
    </row>
    <row r="104" spans="8:78" ht="15.75" customHeight="1" x14ac:dyDescent="0.2">
      <c r="H104" s="464"/>
      <c r="I104" s="464"/>
      <c r="J104" s="464"/>
      <c r="K104" s="464"/>
      <c r="L104" s="464"/>
      <c r="M104" s="464"/>
      <c r="N104" s="464"/>
      <c r="O104" s="464"/>
      <c r="P104" s="464"/>
      <c r="Q104" s="464"/>
      <c r="R104" s="464"/>
      <c r="S104" s="464"/>
      <c r="T104" s="464"/>
      <c r="U104" s="464"/>
      <c r="V104" s="464"/>
      <c r="W104" s="464"/>
      <c r="X104" s="464"/>
      <c r="Y104" s="464"/>
      <c r="Z104" s="464"/>
      <c r="AA104" s="464"/>
      <c r="AB104" s="464"/>
      <c r="AC104" s="464"/>
      <c r="AD104" s="464"/>
      <c r="AE104" s="464"/>
      <c r="AF104" s="464"/>
      <c r="AG104" s="464"/>
      <c r="AH104" s="464"/>
      <c r="AI104" s="464"/>
      <c r="AJ104" s="464"/>
      <c r="AK104" s="464"/>
      <c r="AL104" s="464"/>
      <c r="AM104" s="464"/>
      <c r="AN104" s="464"/>
      <c r="AO104" s="464"/>
      <c r="AP104" s="464"/>
      <c r="AQ104" s="464"/>
      <c r="AR104" s="464"/>
      <c r="AS104" s="464"/>
      <c r="AT104" s="464"/>
      <c r="AU104" s="464"/>
      <c r="AV104" s="464"/>
      <c r="AW104" s="464"/>
      <c r="AX104" s="464"/>
      <c r="AY104" s="464"/>
      <c r="AZ104" s="464"/>
      <c r="BA104" s="464"/>
      <c r="BB104" s="464"/>
      <c r="BC104" s="464"/>
      <c r="BD104" s="464"/>
      <c r="BE104" s="464"/>
      <c r="BF104" s="464"/>
      <c r="BG104" s="464"/>
      <c r="BH104" s="464"/>
      <c r="BJ104" s="463">
        <f t="shared" si="2"/>
        <v>97</v>
      </c>
      <c r="BZ104" s="467"/>
    </row>
    <row r="105" spans="8:78" ht="15.75" customHeight="1" x14ac:dyDescent="0.2">
      <c r="H105" s="466"/>
      <c r="I105" s="466"/>
      <c r="J105" s="466"/>
      <c r="K105" s="466"/>
      <c r="L105" s="466"/>
      <c r="M105" s="466"/>
      <c r="N105" s="466"/>
      <c r="O105" s="466"/>
      <c r="P105" s="466"/>
      <c r="Q105" s="466"/>
      <c r="R105" s="466"/>
      <c r="S105" s="466"/>
      <c r="T105" s="466"/>
      <c r="U105" s="466"/>
      <c r="V105" s="466"/>
      <c r="W105" s="466"/>
      <c r="X105" s="466"/>
      <c r="Y105" s="466"/>
      <c r="Z105" s="466"/>
      <c r="AA105" s="466"/>
      <c r="AB105" s="466"/>
      <c r="AC105" s="466"/>
      <c r="AD105" s="466"/>
      <c r="AE105" s="466"/>
      <c r="AF105" s="466"/>
      <c r="AG105" s="466"/>
      <c r="AH105" s="466"/>
      <c r="AI105" s="466"/>
      <c r="AJ105" s="466"/>
      <c r="AK105" s="466"/>
      <c r="AL105" s="466"/>
      <c r="AM105" s="466"/>
      <c r="AN105" s="466"/>
      <c r="AO105" s="466"/>
      <c r="AP105" s="466"/>
      <c r="AQ105" s="466"/>
      <c r="AR105" s="466"/>
      <c r="AS105" s="466"/>
      <c r="AT105" s="466"/>
      <c r="AU105" s="466"/>
      <c r="AV105" s="466"/>
      <c r="AW105" s="466"/>
      <c r="AX105" s="466"/>
      <c r="AY105" s="466"/>
      <c r="AZ105" s="466"/>
      <c r="BA105" s="466"/>
      <c r="BB105" s="466"/>
      <c r="BC105" s="466"/>
      <c r="BD105" s="466"/>
      <c r="BE105" s="466"/>
      <c r="BF105" s="466"/>
      <c r="BG105" s="466"/>
      <c r="BH105" s="466"/>
      <c r="BJ105" s="463">
        <f t="shared" si="2"/>
        <v>98</v>
      </c>
      <c r="BZ105" s="467"/>
    </row>
    <row r="106" spans="8:78" ht="15.75" customHeight="1" x14ac:dyDescent="0.2">
      <c r="H106" s="464"/>
      <c r="I106" s="464"/>
      <c r="J106" s="464"/>
      <c r="K106" s="464"/>
      <c r="L106" s="464"/>
      <c r="M106" s="464"/>
      <c r="N106" s="464"/>
      <c r="O106" s="464"/>
      <c r="P106" s="464"/>
      <c r="Q106" s="464"/>
      <c r="R106" s="464"/>
      <c r="S106" s="464"/>
      <c r="T106" s="464"/>
      <c r="U106" s="464"/>
      <c r="V106" s="464"/>
      <c r="W106" s="464"/>
      <c r="X106" s="464"/>
      <c r="Y106" s="464"/>
      <c r="Z106" s="464"/>
      <c r="AA106" s="464"/>
      <c r="AB106" s="464"/>
      <c r="AC106" s="464"/>
      <c r="AD106" s="464"/>
      <c r="AE106" s="464"/>
      <c r="AF106" s="464"/>
      <c r="AG106" s="464"/>
      <c r="AH106" s="464"/>
      <c r="AI106" s="464"/>
      <c r="AJ106" s="464"/>
      <c r="AK106" s="464"/>
      <c r="AL106" s="464"/>
      <c r="AM106" s="464"/>
      <c r="AN106" s="464"/>
      <c r="AO106" s="464"/>
      <c r="AP106" s="464"/>
      <c r="AQ106" s="464"/>
      <c r="AR106" s="464"/>
      <c r="AS106" s="464"/>
      <c r="AT106" s="464"/>
      <c r="AU106" s="464"/>
      <c r="AV106" s="464"/>
      <c r="AW106" s="464"/>
      <c r="AX106" s="464"/>
      <c r="AY106" s="464"/>
      <c r="AZ106" s="464"/>
      <c r="BA106" s="464"/>
      <c r="BB106" s="464"/>
      <c r="BC106" s="464"/>
      <c r="BD106" s="464"/>
      <c r="BE106" s="464"/>
      <c r="BF106" s="464"/>
      <c r="BG106" s="464"/>
      <c r="BH106" s="464"/>
      <c r="BJ106" s="463">
        <f t="shared" si="2"/>
        <v>99</v>
      </c>
      <c r="BZ106" s="467"/>
    </row>
    <row r="107" spans="8:78" ht="15.75" customHeight="1" x14ac:dyDescent="0.2">
      <c r="H107" s="466"/>
      <c r="I107" s="466"/>
      <c r="J107" s="466"/>
      <c r="K107" s="466"/>
      <c r="L107" s="466"/>
      <c r="M107" s="466"/>
      <c r="N107" s="466"/>
      <c r="O107" s="466"/>
      <c r="P107" s="466"/>
      <c r="Q107" s="466"/>
      <c r="R107" s="466"/>
      <c r="S107" s="466"/>
      <c r="T107" s="466"/>
      <c r="U107" s="466"/>
      <c r="V107" s="466"/>
      <c r="W107" s="466"/>
      <c r="X107" s="466"/>
      <c r="Y107" s="466"/>
      <c r="Z107" s="466"/>
      <c r="AA107" s="466"/>
      <c r="AB107" s="466"/>
      <c r="AC107" s="466"/>
      <c r="AD107" s="466"/>
      <c r="AE107" s="466"/>
      <c r="AF107" s="466"/>
      <c r="AG107" s="466"/>
      <c r="AH107" s="466"/>
      <c r="AI107" s="466"/>
      <c r="AJ107" s="466"/>
      <c r="AK107" s="466"/>
      <c r="AL107" s="466"/>
      <c r="AM107" s="466"/>
      <c r="AN107" s="466"/>
      <c r="AO107" s="466"/>
      <c r="AP107" s="466"/>
      <c r="AQ107" s="466"/>
      <c r="AR107" s="466"/>
      <c r="AS107" s="466"/>
      <c r="AT107" s="466"/>
      <c r="AU107" s="466"/>
      <c r="AV107" s="466"/>
      <c r="AW107" s="466"/>
      <c r="AX107" s="466"/>
      <c r="AY107" s="466"/>
      <c r="AZ107" s="466"/>
      <c r="BA107" s="466"/>
      <c r="BB107" s="466"/>
      <c r="BC107" s="466"/>
      <c r="BD107" s="466"/>
      <c r="BE107" s="466"/>
      <c r="BF107" s="466"/>
      <c r="BG107" s="466"/>
      <c r="BH107" s="466"/>
      <c r="BJ107" s="463">
        <f t="shared" si="2"/>
        <v>100</v>
      </c>
      <c r="BZ107" s="467"/>
    </row>
    <row r="108" spans="8:78" ht="15.75" customHeight="1" x14ac:dyDescent="0.2">
      <c r="H108" s="464"/>
      <c r="I108" s="464"/>
      <c r="J108" s="464"/>
      <c r="K108" s="464"/>
      <c r="L108" s="464"/>
      <c r="M108" s="464"/>
      <c r="N108" s="464"/>
      <c r="O108" s="464"/>
      <c r="P108" s="464"/>
      <c r="Q108" s="464"/>
      <c r="R108" s="464"/>
      <c r="S108" s="464"/>
      <c r="T108" s="464"/>
      <c r="U108" s="464"/>
      <c r="V108" s="464"/>
      <c r="W108" s="464"/>
      <c r="X108" s="464"/>
      <c r="Y108" s="464"/>
      <c r="Z108" s="464"/>
      <c r="AA108" s="464"/>
      <c r="AB108" s="464"/>
      <c r="AC108" s="464"/>
      <c r="AD108" s="464"/>
      <c r="AE108" s="464"/>
      <c r="AF108" s="464"/>
      <c r="AG108" s="464"/>
      <c r="AH108" s="464"/>
      <c r="AI108" s="464"/>
      <c r="AJ108" s="464"/>
      <c r="AK108" s="464"/>
      <c r="AL108" s="464"/>
      <c r="AM108" s="464"/>
      <c r="AN108" s="464"/>
      <c r="AO108" s="464"/>
      <c r="AP108" s="464"/>
      <c r="AQ108" s="464"/>
      <c r="AR108" s="464"/>
      <c r="AS108" s="464"/>
      <c r="AT108" s="464"/>
      <c r="AU108" s="464"/>
      <c r="AV108" s="464"/>
      <c r="AW108" s="464"/>
      <c r="AX108" s="464"/>
      <c r="AY108" s="464"/>
      <c r="AZ108" s="464"/>
      <c r="BA108" s="464"/>
      <c r="BB108" s="464"/>
      <c r="BC108" s="464"/>
      <c r="BD108" s="464"/>
      <c r="BE108" s="464"/>
      <c r="BF108" s="464"/>
      <c r="BG108" s="464"/>
      <c r="BH108" s="464"/>
      <c r="BJ108" s="463">
        <f t="shared" si="2"/>
        <v>101</v>
      </c>
      <c r="BZ108" s="467"/>
    </row>
    <row r="109" spans="8:78" ht="15.75" customHeight="1" x14ac:dyDescent="0.2">
      <c r="H109" s="466"/>
      <c r="I109" s="466"/>
      <c r="J109" s="466"/>
      <c r="K109" s="466"/>
      <c r="L109" s="466"/>
      <c r="M109" s="466"/>
      <c r="N109" s="466"/>
      <c r="O109" s="466"/>
      <c r="P109" s="466"/>
      <c r="Q109" s="466"/>
      <c r="R109" s="466"/>
      <c r="S109" s="466"/>
      <c r="T109" s="466"/>
      <c r="U109" s="466"/>
      <c r="V109" s="466"/>
      <c r="W109" s="466"/>
      <c r="X109" s="466"/>
      <c r="Y109" s="466"/>
      <c r="Z109" s="466"/>
      <c r="AA109" s="466"/>
      <c r="AB109" s="466"/>
      <c r="AC109" s="466"/>
      <c r="AD109" s="466"/>
      <c r="AE109" s="466"/>
      <c r="AF109" s="466"/>
      <c r="AG109" s="466"/>
      <c r="AH109" s="466"/>
      <c r="AI109" s="466"/>
      <c r="AJ109" s="466"/>
      <c r="AK109" s="466"/>
      <c r="AL109" s="466"/>
      <c r="AM109" s="466"/>
      <c r="AN109" s="466"/>
      <c r="AO109" s="466"/>
      <c r="AP109" s="466"/>
      <c r="AQ109" s="466"/>
      <c r="AR109" s="466"/>
      <c r="AS109" s="466"/>
      <c r="AT109" s="466"/>
      <c r="AU109" s="466"/>
      <c r="AV109" s="466"/>
      <c r="AW109" s="466"/>
      <c r="AX109" s="466"/>
      <c r="AY109" s="466"/>
      <c r="AZ109" s="466"/>
      <c r="BA109" s="466"/>
      <c r="BB109" s="466"/>
      <c r="BC109" s="466"/>
      <c r="BD109" s="466"/>
      <c r="BE109" s="466"/>
      <c r="BF109" s="466"/>
      <c r="BG109" s="466"/>
      <c r="BH109" s="466"/>
      <c r="BJ109" s="463">
        <f t="shared" si="2"/>
        <v>102</v>
      </c>
      <c r="BZ109" s="467"/>
    </row>
    <row r="110" spans="8:78" ht="15.75" customHeight="1" x14ac:dyDescent="0.2">
      <c r="H110" s="464"/>
      <c r="I110" s="464"/>
      <c r="J110" s="464"/>
      <c r="K110" s="464"/>
      <c r="L110" s="464"/>
      <c r="M110" s="464"/>
      <c r="N110" s="464"/>
      <c r="O110" s="464"/>
      <c r="P110" s="464"/>
      <c r="Q110" s="464"/>
      <c r="R110" s="464"/>
      <c r="S110" s="464"/>
      <c r="T110" s="464"/>
      <c r="U110" s="464"/>
      <c r="V110" s="464"/>
      <c r="W110" s="464"/>
      <c r="X110" s="464"/>
      <c r="Y110" s="464"/>
      <c r="Z110" s="464"/>
      <c r="AA110" s="464"/>
      <c r="AB110" s="464"/>
      <c r="AC110" s="464"/>
      <c r="AD110" s="464"/>
      <c r="AE110" s="464"/>
      <c r="AF110" s="464"/>
      <c r="AG110" s="464"/>
      <c r="AH110" s="464"/>
      <c r="AI110" s="464"/>
      <c r="AJ110" s="464"/>
      <c r="AK110" s="464"/>
      <c r="AL110" s="464"/>
      <c r="AM110" s="464"/>
      <c r="AN110" s="464"/>
      <c r="AO110" s="464"/>
      <c r="AP110" s="464"/>
      <c r="AQ110" s="464"/>
      <c r="AR110" s="464"/>
      <c r="AS110" s="464"/>
      <c r="AT110" s="464"/>
      <c r="AU110" s="464"/>
      <c r="AV110" s="464"/>
      <c r="AW110" s="464"/>
      <c r="AX110" s="464"/>
      <c r="AY110" s="464"/>
      <c r="AZ110" s="464"/>
      <c r="BA110" s="464"/>
      <c r="BB110" s="464"/>
      <c r="BC110" s="464"/>
      <c r="BD110" s="464"/>
      <c r="BE110" s="464"/>
      <c r="BF110" s="464"/>
      <c r="BG110" s="464"/>
      <c r="BH110" s="464"/>
      <c r="BJ110" s="463">
        <f t="shared" si="2"/>
        <v>103</v>
      </c>
      <c r="BZ110" s="467"/>
    </row>
    <row r="111" spans="8:78" ht="15.75" customHeight="1" x14ac:dyDescent="0.2">
      <c r="H111" s="466"/>
      <c r="I111" s="466"/>
      <c r="J111" s="466"/>
      <c r="K111" s="466"/>
      <c r="L111" s="466"/>
      <c r="M111" s="466"/>
      <c r="N111" s="466"/>
      <c r="O111" s="466"/>
      <c r="P111" s="466"/>
      <c r="Q111" s="466"/>
      <c r="R111" s="466"/>
      <c r="S111" s="466"/>
      <c r="T111" s="466"/>
      <c r="U111" s="466"/>
      <c r="V111" s="466"/>
      <c r="W111" s="466"/>
      <c r="X111" s="466"/>
      <c r="Y111" s="466"/>
      <c r="Z111" s="466"/>
      <c r="AA111" s="466"/>
      <c r="AB111" s="466"/>
      <c r="AC111" s="466"/>
      <c r="AD111" s="466"/>
      <c r="AE111" s="466"/>
      <c r="AF111" s="466"/>
      <c r="AG111" s="466"/>
      <c r="AH111" s="466"/>
      <c r="AI111" s="466"/>
      <c r="AJ111" s="466"/>
      <c r="AK111" s="466"/>
      <c r="AL111" s="466"/>
      <c r="AM111" s="466"/>
      <c r="AN111" s="466"/>
      <c r="AO111" s="466"/>
      <c r="AP111" s="466"/>
      <c r="AQ111" s="466"/>
      <c r="AR111" s="466"/>
      <c r="AS111" s="466"/>
      <c r="AT111" s="466"/>
      <c r="AU111" s="466"/>
      <c r="AV111" s="466"/>
      <c r="AW111" s="466"/>
      <c r="AX111" s="466"/>
      <c r="AY111" s="466"/>
      <c r="AZ111" s="466"/>
      <c r="BA111" s="466"/>
      <c r="BB111" s="466"/>
      <c r="BC111" s="466"/>
      <c r="BD111" s="466"/>
      <c r="BE111" s="466"/>
      <c r="BF111" s="466"/>
      <c r="BG111" s="466"/>
      <c r="BH111" s="466"/>
      <c r="BJ111" s="463">
        <f t="shared" si="2"/>
        <v>104</v>
      </c>
      <c r="BZ111" s="467"/>
    </row>
    <row r="112" spans="8:78" ht="15.75" customHeight="1" x14ac:dyDescent="0.2">
      <c r="H112" s="464"/>
      <c r="I112" s="464"/>
      <c r="J112" s="464"/>
      <c r="K112" s="464"/>
      <c r="L112" s="464"/>
      <c r="M112" s="464"/>
      <c r="N112" s="464"/>
      <c r="O112" s="464"/>
      <c r="P112" s="464"/>
      <c r="Q112" s="464"/>
      <c r="R112" s="464"/>
      <c r="S112" s="464"/>
      <c r="T112" s="464"/>
      <c r="U112" s="464"/>
      <c r="V112" s="464"/>
      <c r="W112" s="464"/>
      <c r="X112" s="464"/>
      <c r="Y112" s="464"/>
      <c r="Z112" s="464"/>
      <c r="AA112" s="464"/>
      <c r="AB112" s="464"/>
      <c r="AC112" s="464"/>
      <c r="AD112" s="464"/>
      <c r="AE112" s="464"/>
      <c r="AF112" s="464"/>
      <c r="AG112" s="464"/>
      <c r="AH112" s="464"/>
      <c r="AI112" s="464"/>
      <c r="AJ112" s="464"/>
      <c r="AK112" s="464"/>
      <c r="AL112" s="464"/>
      <c r="AM112" s="464"/>
      <c r="AN112" s="464"/>
      <c r="AO112" s="464"/>
      <c r="AP112" s="464"/>
      <c r="AQ112" s="464"/>
      <c r="AR112" s="464"/>
      <c r="AS112" s="464"/>
      <c r="AT112" s="464"/>
      <c r="AU112" s="464"/>
      <c r="AV112" s="464"/>
      <c r="AW112" s="464"/>
      <c r="AX112" s="464"/>
      <c r="AY112" s="464"/>
      <c r="AZ112" s="464"/>
      <c r="BA112" s="464"/>
      <c r="BB112" s="464"/>
      <c r="BC112" s="464"/>
      <c r="BD112" s="464"/>
      <c r="BE112" s="464"/>
      <c r="BF112" s="464"/>
      <c r="BG112" s="464"/>
      <c r="BH112" s="464"/>
      <c r="BJ112" s="463">
        <f t="shared" si="2"/>
        <v>105</v>
      </c>
      <c r="BZ112" s="467"/>
    </row>
    <row r="113" spans="8:78" ht="15.75" customHeight="1" x14ac:dyDescent="0.2">
      <c r="H113" s="466"/>
      <c r="I113" s="466"/>
      <c r="J113" s="466"/>
      <c r="K113" s="466"/>
      <c r="L113" s="466"/>
      <c r="M113" s="466"/>
      <c r="N113" s="466"/>
      <c r="O113" s="466"/>
      <c r="P113" s="466"/>
      <c r="Q113" s="466"/>
      <c r="R113" s="466"/>
      <c r="S113" s="466"/>
      <c r="T113" s="466"/>
      <c r="U113" s="466"/>
      <c r="V113" s="466"/>
      <c r="W113" s="466"/>
      <c r="X113" s="466"/>
      <c r="Y113" s="466"/>
      <c r="Z113" s="466"/>
      <c r="AA113" s="466"/>
      <c r="AB113" s="466"/>
      <c r="AC113" s="466"/>
      <c r="AD113" s="466"/>
      <c r="AE113" s="466"/>
      <c r="AF113" s="466"/>
      <c r="AG113" s="466"/>
      <c r="AH113" s="466"/>
      <c r="AI113" s="466"/>
      <c r="AJ113" s="466"/>
      <c r="AK113" s="466"/>
      <c r="AL113" s="466"/>
      <c r="AM113" s="466"/>
      <c r="AN113" s="466"/>
      <c r="AO113" s="466"/>
      <c r="AP113" s="466"/>
      <c r="AQ113" s="466"/>
      <c r="AR113" s="466"/>
      <c r="AS113" s="466"/>
      <c r="AT113" s="466"/>
      <c r="AU113" s="466"/>
      <c r="AV113" s="466"/>
      <c r="AW113" s="466"/>
      <c r="AX113" s="466"/>
      <c r="AY113" s="466"/>
      <c r="AZ113" s="466"/>
      <c r="BA113" s="466"/>
      <c r="BB113" s="466"/>
      <c r="BC113" s="466"/>
      <c r="BD113" s="466"/>
      <c r="BE113" s="466"/>
      <c r="BF113" s="466"/>
      <c r="BG113" s="466"/>
      <c r="BH113" s="466"/>
      <c r="BJ113" s="463">
        <f t="shared" si="2"/>
        <v>106</v>
      </c>
      <c r="BZ113" s="467"/>
    </row>
    <row r="114" spans="8:78" ht="15.75" customHeight="1" x14ac:dyDescent="0.2">
      <c r="H114" s="464"/>
      <c r="I114" s="464"/>
      <c r="J114" s="464"/>
      <c r="K114" s="464"/>
      <c r="L114" s="464"/>
      <c r="M114" s="464"/>
      <c r="N114" s="464"/>
      <c r="O114" s="464"/>
      <c r="P114" s="464"/>
      <c r="Q114" s="464"/>
      <c r="R114" s="464"/>
      <c r="S114" s="464"/>
      <c r="T114" s="464"/>
      <c r="U114" s="464"/>
      <c r="V114" s="464"/>
      <c r="W114" s="464"/>
      <c r="X114" s="464"/>
      <c r="Y114" s="464"/>
      <c r="Z114" s="464"/>
      <c r="AA114" s="464"/>
      <c r="AB114" s="464"/>
      <c r="AC114" s="464"/>
      <c r="AD114" s="464"/>
      <c r="AE114" s="464"/>
      <c r="AF114" s="464"/>
      <c r="AG114" s="464"/>
      <c r="AH114" s="464"/>
      <c r="AI114" s="464"/>
      <c r="AJ114" s="464"/>
      <c r="AK114" s="464"/>
      <c r="AL114" s="464"/>
      <c r="AM114" s="464"/>
      <c r="AN114" s="464"/>
      <c r="AO114" s="464"/>
      <c r="AP114" s="464"/>
      <c r="AQ114" s="464"/>
      <c r="AR114" s="464"/>
      <c r="AS114" s="464"/>
      <c r="AT114" s="464"/>
      <c r="AU114" s="464"/>
      <c r="AV114" s="464"/>
      <c r="AW114" s="464"/>
      <c r="AX114" s="464"/>
      <c r="AY114" s="464"/>
      <c r="AZ114" s="464"/>
      <c r="BA114" s="464"/>
      <c r="BB114" s="464"/>
      <c r="BC114" s="464"/>
      <c r="BD114" s="464"/>
      <c r="BE114" s="464"/>
      <c r="BF114" s="464"/>
      <c r="BG114" s="464"/>
      <c r="BH114" s="464"/>
      <c r="BJ114" s="463">
        <f t="shared" si="2"/>
        <v>107</v>
      </c>
      <c r="BZ114" s="467"/>
    </row>
    <row r="115" spans="8:78" ht="15.75" customHeight="1" x14ac:dyDescent="0.2">
      <c r="H115" s="466"/>
      <c r="I115" s="466"/>
      <c r="J115" s="466"/>
      <c r="K115" s="466"/>
      <c r="L115" s="466"/>
      <c r="M115" s="466"/>
      <c r="N115" s="466"/>
      <c r="O115" s="466"/>
      <c r="P115" s="466"/>
      <c r="Q115" s="466"/>
      <c r="R115" s="466"/>
      <c r="S115" s="466"/>
      <c r="T115" s="466"/>
      <c r="U115" s="466"/>
      <c r="V115" s="466"/>
      <c r="W115" s="466"/>
      <c r="X115" s="466"/>
      <c r="Y115" s="466"/>
      <c r="Z115" s="466"/>
      <c r="AA115" s="466"/>
      <c r="AB115" s="466"/>
      <c r="AC115" s="466"/>
      <c r="AD115" s="466"/>
      <c r="AE115" s="466"/>
      <c r="AF115" s="466"/>
      <c r="AG115" s="466"/>
      <c r="AH115" s="466"/>
      <c r="AI115" s="466"/>
      <c r="AJ115" s="466"/>
      <c r="AK115" s="466"/>
      <c r="AL115" s="466"/>
      <c r="AM115" s="466"/>
      <c r="AN115" s="466"/>
      <c r="AO115" s="466"/>
      <c r="AP115" s="466"/>
      <c r="AQ115" s="466"/>
      <c r="AR115" s="466"/>
      <c r="AS115" s="466"/>
      <c r="AT115" s="466"/>
      <c r="AU115" s="466"/>
      <c r="AV115" s="466"/>
      <c r="AW115" s="466"/>
      <c r="AX115" s="466"/>
      <c r="AY115" s="466"/>
      <c r="AZ115" s="466"/>
      <c r="BA115" s="466"/>
      <c r="BB115" s="466"/>
      <c r="BC115" s="466"/>
      <c r="BD115" s="466"/>
      <c r="BE115" s="466"/>
      <c r="BF115" s="466"/>
      <c r="BG115" s="466"/>
      <c r="BH115" s="466"/>
      <c r="BJ115" s="463">
        <f t="shared" si="2"/>
        <v>108</v>
      </c>
      <c r="BZ115" s="467"/>
    </row>
    <row r="116" spans="8:78" ht="15.75" customHeight="1" x14ac:dyDescent="0.2">
      <c r="H116" s="464"/>
      <c r="I116" s="464"/>
      <c r="J116" s="464"/>
      <c r="K116" s="464"/>
      <c r="L116" s="464"/>
      <c r="M116" s="464"/>
      <c r="N116" s="464"/>
      <c r="O116" s="464"/>
      <c r="P116" s="464"/>
      <c r="Q116" s="464"/>
      <c r="R116" s="464"/>
      <c r="S116" s="464"/>
      <c r="T116" s="464"/>
      <c r="U116" s="464"/>
      <c r="V116" s="464"/>
      <c r="W116" s="464"/>
      <c r="X116" s="464"/>
      <c r="Y116" s="464"/>
      <c r="Z116" s="464"/>
      <c r="AA116" s="464"/>
      <c r="AB116" s="464"/>
      <c r="AC116" s="464"/>
      <c r="AD116" s="464"/>
      <c r="AE116" s="464"/>
      <c r="AF116" s="464"/>
      <c r="AG116" s="464"/>
      <c r="AH116" s="464"/>
      <c r="AI116" s="464"/>
      <c r="AJ116" s="464"/>
      <c r="AK116" s="464"/>
      <c r="AL116" s="464"/>
      <c r="AM116" s="464"/>
      <c r="AN116" s="464"/>
      <c r="AO116" s="464"/>
      <c r="AP116" s="464"/>
      <c r="AQ116" s="464"/>
      <c r="AR116" s="464"/>
      <c r="AS116" s="464"/>
      <c r="AT116" s="464"/>
      <c r="AU116" s="464"/>
      <c r="AV116" s="464"/>
      <c r="AW116" s="464"/>
      <c r="AX116" s="464"/>
      <c r="AY116" s="464"/>
      <c r="AZ116" s="464"/>
      <c r="BA116" s="464"/>
      <c r="BB116" s="464"/>
      <c r="BC116" s="464"/>
      <c r="BD116" s="464"/>
      <c r="BE116" s="464"/>
      <c r="BF116" s="464"/>
      <c r="BG116" s="464"/>
      <c r="BH116" s="464"/>
      <c r="BJ116" s="463">
        <f t="shared" si="2"/>
        <v>109</v>
      </c>
      <c r="BZ116" s="467"/>
    </row>
    <row r="117" spans="8:78" ht="15.75" customHeight="1" x14ac:dyDescent="0.2">
      <c r="H117" s="466"/>
      <c r="I117" s="466"/>
      <c r="J117" s="466"/>
      <c r="K117" s="466"/>
      <c r="L117" s="466"/>
      <c r="M117" s="466"/>
      <c r="N117" s="466"/>
      <c r="O117" s="466"/>
      <c r="P117" s="466"/>
      <c r="Q117" s="466"/>
      <c r="R117" s="466"/>
      <c r="S117" s="466"/>
      <c r="T117" s="466"/>
      <c r="U117" s="466"/>
      <c r="V117" s="466"/>
      <c r="W117" s="466"/>
      <c r="X117" s="466"/>
      <c r="Y117" s="466"/>
      <c r="Z117" s="466"/>
      <c r="AA117" s="466"/>
      <c r="AB117" s="466"/>
      <c r="AC117" s="466"/>
      <c r="AD117" s="466"/>
      <c r="AE117" s="466"/>
      <c r="AF117" s="466"/>
      <c r="AG117" s="466"/>
      <c r="AH117" s="466"/>
      <c r="AI117" s="466"/>
      <c r="AJ117" s="466"/>
      <c r="AK117" s="466"/>
      <c r="AL117" s="466"/>
      <c r="AM117" s="466"/>
      <c r="AN117" s="466"/>
      <c r="AO117" s="466"/>
      <c r="AP117" s="466"/>
      <c r="AQ117" s="466"/>
      <c r="AR117" s="466"/>
      <c r="AS117" s="466"/>
      <c r="AT117" s="466"/>
      <c r="AU117" s="466"/>
      <c r="AV117" s="466"/>
      <c r="AW117" s="466"/>
      <c r="AX117" s="466"/>
      <c r="AY117" s="466"/>
      <c r="AZ117" s="466"/>
      <c r="BA117" s="466"/>
      <c r="BB117" s="466"/>
      <c r="BC117" s="466"/>
      <c r="BD117" s="466"/>
      <c r="BE117" s="466"/>
      <c r="BF117" s="466"/>
      <c r="BG117" s="466"/>
      <c r="BH117" s="466"/>
      <c r="BJ117" s="463">
        <f t="shared" si="2"/>
        <v>110</v>
      </c>
      <c r="BZ117" s="467"/>
    </row>
    <row r="118" spans="8:78" ht="15.75" customHeight="1" x14ac:dyDescent="0.2">
      <c r="H118" s="464"/>
      <c r="I118" s="464"/>
      <c r="J118" s="464"/>
      <c r="K118" s="464"/>
      <c r="L118" s="464"/>
      <c r="M118" s="464"/>
      <c r="N118" s="464"/>
      <c r="O118" s="464"/>
      <c r="P118" s="464"/>
      <c r="Q118" s="464"/>
      <c r="R118" s="464"/>
      <c r="S118" s="464"/>
      <c r="T118" s="464"/>
      <c r="U118" s="464"/>
      <c r="V118" s="464"/>
      <c r="W118" s="464"/>
      <c r="X118" s="464"/>
      <c r="Y118" s="464"/>
      <c r="Z118" s="464"/>
      <c r="AA118" s="464"/>
      <c r="AB118" s="464"/>
      <c r="AC118" s="464"/>
      <c r="AD118" s="464"/>
      <c r="AE118" s="464"/>
      <c r="AF118" s="464"/>
      <c r="AG118" s="464"/>
      <c r="AH118" s="464"/>
      <c r="AI118" s="464"/>
      <c r="AJ118" s="464"/>
      <c r="AK118" s="464"/>
      <c r="AL118" s="464"/>
      <c r="AM118" s="464"/>
      <c r="AN118" s="464"/>
      <c r="AO118" s="464"/>
      <c r="AP118" s="464"/>
      <c r="AQ118" s="464"/>
      <c r="AR118" s="464"/>
      <c r="AS118" s="464"/>
      <c r="AT118" s="464"/>
      <c r="AU118" s="464"/>
      <c r="AV118" s="464"/>
      <c r="AW118" s="464"/>
      <c r="AX118" s="464"/>
      <c r="AY118" s="464"/>
      <c r="AZ118" s="464"/>
      <c r="BA118" s="464"/>
      <c r="BB118" s="464"/>
      <c r="BC118" s="464"/>
      <c r="BD118" s="464"/>
      <c r="BE118" s="464"/>
      <c r="BF118" s="464"/>
      <c r="BG118" s="464"/>
      <c r="BH118" s="464"/>
      <c r="BJ118" s="463">
        <f t="shared" si="2"/>
        <v>111</v>
      </c>
      <c r="BZ118" s="467"/>
    </row>
    <row r="119" spans="8:78" ht="15.75" customHeight="1" x14ac:dyDescent="0.2">
      <c r="H119" s="466"/>
      <c r="I119" s="466"/>
      <c r="J119" s="466"/>
      <c r="K119" s="466"/>
      <c r="L119" s="466"/>
      <c r="M119" s="466"/>
      <c r="N119" s="466"/>
      <c r="O119" s="466"/>
      <c r="P119" s="466"/>
      <c r="Q119" s="466"/>
      <c r="R119" s="466"/>
      <c r="S119" s="466"/>
      <c r="T119" s="466"/>
      <c r="U119" s="466"/>
      <c r="V119" s="466"/>
      <c r="W119" s="466"/>
      <c r="X119" s="466"/>
      <c r="Y119" s="466"/>
      <c r="Z119" s="466"/>
      <c r="AA119" s="466"/>
      <c r="AB119" s="466"/>
      <c r="AC119" s="466"/>
      <c r="AD119" s="466"/>
      <c r="AE119" s="466"/>
      <c r="AF119" s="466"/>
      <c r="AG119" s="466"/>
      <c r="AH119" s="466"/>
      <c r="AI119" s="466"/>
      <c r="AJ119" s="466"/>
      <c r="AK119" s="466"/>
      <c r="AL119" s="466"/>
      <c r="AM119" s="466"/>
      <c r="AN119" s="466"/>
      <c r="AO119" s="466"/>
      <c r="AP119" s="466"/>
      <c r="AQ119" s="466"/>
      <c r="AR119" s="466"/>
      <c r="AS119" s="466"/>
      <c r="AT119" s="466"/>
      <c r="AU119" s="466"/>
      <c r="AV119" s="466"/>
      <c r="AW119" s="466"/>
      <c r="AX119" s="466"/>
      <c r="AY119" s="466"/>
      <c r="AZ119" s="466"/>
      <c r="BA119" s="466"/>
      <c r="BB119" s="466"/>
      <c r="BC119" s="466"/>
      <c r="BD119" s="466"/>
      <c r="BE119" s="466"/>
      <c r="BF119" s="466"/>
      <c r="BG119" s="466"/>
      <c r="BH119" s="466"/>
      <c r="BJ119" s="463">
        <f t="shared" si="2"/>
        <v>112</v>
      </c>
      <c r="BZ119" s="467"/>
    </row>
    <row r="120" spans="8:78" ht="15.75" customHeight="1" x14ac:dyDescent="0.2">
      <c r="H120" s="464"/>
      <c r="I120" s="464"/>
      <c r="J120" s="464"/>
      <c r="K120" s="464"/>
      <c r="L120" s="464"/>
      <c r="M120" s="464"/>
      <c r="N120" s="464"/>
      <c r="O120" s="464"/>
      <c r="P120" s="464"/>
      <c r="Q120" s="464"/>
      <c r="R120" s="464"/>
      <c r="S120" s="464"/>
      <c r="T120" s="464"/>
      <c r="U120" s="464"/>
      <c r="V120" s="464"/>
      <c r="W120" s="464"/>
      <c r="X120" s="464"/>
      <c r="Y120" s="464"/>
      <c r="Z120" s="464"/>
      <c r="AA120" s="464"/>
      <c r="AB120" s="464"/>
      <c r="AC120" s="464"/>
      <c r="AD120" s="464"/>
      <c r="AE120" s="464"/>
      <c r="AF120" s="464"/>
      <c r="AG120" s="464"/>
      <c r="AH120" s="464"/>
      <c r="AI120" s="464"/>
      <c r="AJ120" s="464"/>
      <c r="AK120" s="464"/>
      <c r="AL120" s="464"/>
      <c r="AM120" s="464"/>
      <c r="AN120" s="464"/>
      <c r="AO120" s="464"/>
      <c r="AP120" s="464"/>
      <c r="AQ120" s="464"/>
      <c r="AR120" s="464"/>
      <c r="AS120" s="464"/>
      <c r="AT120" s="464"/>
      <c r="AU120" s="464"/>
      <c r="AV120" s="464"/>
      <c r="AW120" s="464"/>
      <c r="AX120" s="464"/>
      <c r="AY120" s="464"/>
      <c r="AZ120" s="464"/>
      <c r="BA120" s="464"/>
      <c r="BB120" s="464"/>
      <c r="BC120" s="464"/>
      <c r="BD120" s="464"/>
      <c r="BE120" s="464"/>
      <c r="BF120" s="464"/>
      <c r="BG120" s="464"/>
      <c r="BH120" s="464"/>
      <c r="BJ120" s="463">
        <f t="shared" si="2"/>
        <v>113</v>
      </c>
      <c r="BZ120" s="467"/>
    </row>
    <row r="121" spans="8:78" ht="15.75" customHeight="1" x14ac:dyDescent="0.2">
      <c r="H121" s="466"/>
      <c r="I121" s="466"/>
      <c r="J121" s="466"/>
      <c r="K121" s="466"/>
      <c r="L121" s="466"/>
      <c r="M121" s="466"/>
      <c r="N121" s="466"/>
      <c r="O121" s="466"/>
      <c r="P121" s="466"/>
      <c r="Q121" s="466"/>
      <c r="R121" s="466"/>
      <c r="S121" s="466"/>
      <c r="T121" s="466"/>
      <c r="U121" s="466"/>
      <c r="V121" s="466"/>
      <c r="W121" s="466"/>
      <c r="X121" s="466"/>
      <c r="Y121" s="466"/>
      <c r="Z121" s="466"/>
      <c r="AA121" s="466"/>
      <c r="AB121" s="466"/>
      <c r="AC121" s="466"/>
      <c r="AD121" s="466"/>
      <c r="AE121" s="466"/>
      <c r="AF121" s="466"/>
      <c r="AG121" s="466"/>
      <c r="AH121" s="466"/>
      <c r="AI121" s="466"/>
      <c r="AJ121" s="466"/>
      <c r="AK121" s="466"/>
      <c r="AL121" s="466"/>
      <c r="AM121" s="466"/>
      <c r="AN121" s="466"/>
      <c r="AO121" s="466"/>
      <c r="AP121" s="466"/>
      <c r="AQ121" s="466"/>
      <c r="AR121" s="466"/>
      <c r="AS121" s="466"/>
      <c r="AT121" s="466"/>
      <c r="AU121" s="466"/>
      <c r="AV121" s="466"/>
      <c r="AW121" s="466"/>
      <c r="AX121" s="466"/>
      <c r="AY121" s="466"/>
      <c r="AZ121" s="466"/>
      <c r="BA121" s="466"/>
      <c r="BB121" s="466"/>
      <c r="BC121" s="466"/>
      <c r="BD121" s="466"/>
      <c r="BE121" s="466"/>
      <c r="BF121" s="466"/>
      <c r="BG121" s="466"/>
      <c r="BH121" s="466"/>
      <c r="BJ121" s="463">
        <f t="shared" si="2"/>
        <v>114</v>
      </c>
      <c r="BZ121" s="467"/>
    </row>
    <row r="122" spans="8:78" ht="15.75" customHeight="1" x14ac:dyDescent="0.2">
      <c r="H122" s="464"/>
      <c r="I122" s="464"/>
      <c r="J122" s="464"/>
      <c r="K122" s="464"/>
      <c r="L122" s="464"/>
      <c r="M122" s="464"/>
      <c r="N122" s="464"/>
      <c r="O122" s="464"/>
      <c r="P122" s="464"/>
      <c r="Q122" s="464"/>
      <c r="R122" s="464"/>
      <c r="S122" s="464"/>
      <c r="T122" s="464"/>
      <c r="U122" s="464"/>
      <c r="V122" s="464"/>
      <c r="W122" s="464"/>
      <c r="X122" s="464"/>
      <c r="Y122" s="464"/>
      <c r="Z122" s="464"/>
      <c r="AA122" s="464"/>
      <c r="AB122" s="464"/>
      <c r="AC122" s="464"/>
      <c r="AD122" s="464"/>
      <c r="AE122" s="464"/>
      <c r="AF122" s="464"/>
      <c r="AG122" s="464"/>
      <c r="AH122" s="464"/>
      <c r="AI122" s="464"/>
      <c r="AJ122" s="464"/>
      <c r="AK122" s="464"/>
      <c r="AL122" s="464"/>
      <c r="AM122" s="464"/>
      <c r="AN122" s="464"/>
      <c r="AO122" s="464"/>
      <c r="AP122" s="464"/>
      <c r="AQ122" s="464"/>
      <c r="AR122" s="464"/>
      <c r="AS122" s="464"/>
      <c r="AT122" s="464"/>
      <c r="AU122" s="464"/>
      <c r="AV122" s="464"/>
      <c r="AW122" s="464"/>
      <c r="AX122" s="464"/>
      <c r="AY122" s="464"/>
      <c r="AZ122" s="464"/>
      <c r="BA122" s="464"/>
      <c r="BB122" s="464"/>
      <c r="BC122" s="464"/>
      <c r="BD122" s="464"/>
      <c r="BE122" s="464"/>
      <c r="BF122" s="464"/>
      <c r="BG122" s="464"/>
      <c r="BH122" s="464"/>
      <c r="BJ122" s="463">
        <f t="shared" si="2"/>
        <v>115</v>
      </c>
      <c r="BZ122" s="467"/>
    </row>
    <row r="123" spans="8:78" ht="15.75" customHeight="1" x14ac:dyDescent="0.2">
      <c r="H123" s="466"/>
      <c r="I123" s="466"/>
      <c r="J123" s="466"/>
      <c r="K123" s="466"/>
      <c r="L123" s="466"/>
      <c r="M123" s="466"/>
      <c r="N123" s="466"/>
      <c r="O123" s="466"/>
      <c r="P123" s="466"/>
      <c r="Q123" s="466"/>
      <c r="R123" s="466"/>
      <c r="S123" s="466"/>
      <c r="T123" s="466"/>
      <c r="U123" s="466"/>
      <c r="V123" s="466"/>
      <c r="W123" s="466"/>
      <c r="X123" s="466"/>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c r="AV123" s="466"/>
      <c r="AW123" s="466"/>
      <c r="AX123" s="466"/>
      <c r="AY123" s="466"/>
      <c r="AZ123" s="466"/>
      <c r="BA123" s="466"/>
      <c r="BB123" s="466"/>
      <c r="BC123" s="466"/>
      <c r="BD123" s="466"/>
      <c r="BE123" s="466"/>
      <c r="BF123" s="466"/>
      <c r="BG123" s="466"/>
      <c r="BH123" s="466"/>
      <c r="BJ123" s="463">
        <f t="shared" si="2"/>
        <v>116</v>
      </c>
      <c r="BZ123" s="467"/>
    </row>
    <row r="124" spans="8:78" ht="15.75" customHeight="1" x14ac:dyDescent="0.2">
      <c r="H124" s="464"/>
      <c r="I124" s="464"/>
      <c r="J124" s="464"/>
      <c r="K124" s="464"/>
      <c r="L124" s="464"/>
      <c r="M124" s="464"/>
      <c r="N124" s="464"/>
      <c r="O124" s="464"/>
      <c r="P124" s="464"/>
      <c r="Q124" s="464"/>
      <c r="R124" s="464"/>
      <c r="S124" s="464"/>
      <c r="T124" s="464"/>
      <c r="U124" s="464"/>
      <c r="V124" s="464"/>
      <c r="W124" s="464"/>
      <c r="X124" s="464"/>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c r="AV124" s="464"/>
      <c r="AW124" s="464"/>
      <c r="AX124" s="464"/>
      <c r="AY124" s="464"/>
      <c r="AZ124" s="464"/>
      <c r="BA124" s="464"/>
      <c r="BB124" s="464"/>
      <c r="BC124" s="464"/>
      <c r="BD124" s="464"/>
      <c r="BE124" s="464"/>
      <c r="BF124" s="464"/>
      <c r="BG124" s="464"/>
      <c r="BH124" s="464"/>
      <c r="BJ124" s="463">
        <f t="shared" si="2"/>
        <v>117</v>
      </c>
      <c r="BZ124" s="467"/>
    </row>
    <row r="125" spans="8:78" ht="15.75" customHeight="1" x14ac:dyDescent="0.2">
      <c r="H125" s="466"/>
      <c r="I125" s="466"/>
      <c r="J125" s="466"/>
      <c r="K125" s="466"/>
      <c r="L125" s="466"/>
      <c r="M125" s="466"/>
      <c r="N125" s="466"/>
      <c r="O125" s="466"/>
      <c r="P125" s="466"/>
      <c r="Q125" s="466"/>
      <c r="R125" s="466"/>
      <c r="S125" s="466"/>
      <c r="T125" s="466"/>
      <c r="U125" s="466"/>
      <c r="V125" s="466"/>
      <c r="W125" s="466"/>
      <c r="X125" s="466"/>
      <c r="Y125" s="466"/>
      <c r="Z125" s="466"/>
      <c r="AA125" s="466"/>
      <c r="AB125" s="466"/>
      <c r="AC125" s="466"/>
      <c r="AD125" s="466"/>
      <c r="AE125" s="466"/>
      <c r="AF125" s="466"/>
      <c r="AG125" s="466"/>
      <c r="AH125" s="466"/>
      <c r="AI125" s="466"/>
      <c r="AJ125" s="466"/>
      <c r="AK125" s="466"/>
      <c r="AL125" s="466"/>
      <c r="AM125" s="466"/>
      <c r="AN125" s="466"/>
      <c r="AO125" s="466"/>
      <c r="AP125" s="466"/>
      <c r="AQ125" s="466"/>
      <c r="AR125" s="466"/>
      <c r="AS125" s="466"/>
      <c r="AT125" s="466"/>
      <c r="AU125" s="466"/>
      <c r="AV125" s="466"/>
      <c r="AW125" s="466"/>
      <c r="AX125" s="466"/>
      <c r="AY125" s="466"/>
      <c r="AZ125" s="466"/>
      <c r="BA125" s="466"/>
      <c r="BB125" s="466"/>
      <c r="BC125" s="466"/>
      <c r="BD125" s="466"/>
      <c r="BE125" s="466"/>
      <c r="BF125" s="466"/>
      <c r="BG125" s="466"/>
      <c r="BH125" s="466"/>
      <c r="BJ125" s="463">
        <f t="shared" si="2"/>
        <v>118</v>
      </c>
      <c r="BZ125" s="467"/>
    </row>
    <row r="126" spans="8:78" ht="15.75" customHeight="1" x14ac:dyDescent="0.2">
      <c r="H126" s="464"/>
      <c r="I126" s="464"/>
      <c r="J126" s="464"/>
      <c r="K126" s="464"/>
      <c r="L126" s="464"/>
      <c r="M126" s="464"/>
      <c r="N126" s="464"/>
      <c r="O126" s="464"/>
      <c r="P126" s="464"/>
      <c r="Q126" s="464"/>
      <c r="R126" s="464"/>
      <c r="S126" s="464"/>
      <c r="T126" s="464"/>
      <c r="U126" s="464"/>
      <c r="V126" s="464"/>
      <c r="W126" s="464"/>
      <c r="X126" s="464"/>
      <c r="Y126" s="464"/>
      <c r="Z126" s="464"/>
      <c r="AA126" s="464"/>
      <c r="AB126" s="464"/>
      <c r="AC126" s="464"/>
      <c r="AD126" s="464"/>
      <c r="AE126" s="464"/>
      <c r="AF126" s="464"/>
      <c r="AG126" s="464"/>
      <c r="AH126" s="464"/>
      <c r="AI126" s="464"/>
      <c r="AJ126" s="464"/>
      <c r="AK126" s="464"/>
      <c r="AL126" s="464"/>
      <c r="AM126" s="464"/>
      <c r="AN126" s="464"/>
      <c r="AO126" s="464"/>
      <c r="AP126" s="464"/>
      <c r="AQ126" s="464"/>
      <c r="AR126" s="464"/>
      <c r="AS126" s="464"/>
      <c r="AT126" s="464"/>
      <c r="AU126" s="464"/>
      <c r="AV126" s="464"/>
      <c r="AW126" s="464"/>
      <c r="AX126" s="464"/>
      <c r="AY126" s="464"/>
      <c r="AZ126" s="464"/>
      <c r="BA126" s="464"/>
      <c r="BB126" s="464"/>
      <c r="BC126" s="464"/>
      <c r="BD126" s="464"/>
      <c r="BE126" s="464"/>
      <c r="BF126" s="464"/>
      <c r="BG126" s="464"/>
      <c r="BH126" s="464"/>
      <c r="BJ126" s="463">
        <f t="shared" si="2"/>
        <v>119</v>
      </c>
      <c r="BZ126" s="467"/>
    </row>
    <row r="127" spans="8:78" ht="15.75" customHeight="1" x14ac:dyDescent="0.2">
      <c r="H127" s="466"/>
      <c r="I127" s="466"/>
      <c r="J127" s="466"/>
      <c r="K127" s="466"/>
      <c r="L127" s="466"/>
      <c r="M127" s="466"/>
      <c r="N127" s="466"/>
      <c r="O127" s="466"/>
      <c r="P127" s="466"/>
      <c r="Q127" s="466"/>
      <c r="R127" s="466"/>
      <c r="S127" s="466"/>
      <c r="T127" s="466"/>
      <c r="U127" s="466"/>
      <c r="V127" s="466"/>
      <c r="W127" s="466"/>
      <c r="X127" s="466"/>
      <c r="Y127" s="466"/>
      <c r="Z127" s="466"/>
      <c r="AA127" s="466"/>
      <c r="AB127" s="466"/>
      <c r="AC127" s="466"/>
      <c r="AD127" s="466"/>
      <c r="AE127" s="466"/>
      <c r="AF127" s="466"/>
      <c r="AG127" s="466"/>
      <c r="AH127" s="466"/>
      <c r="AI127" s="466"/>
      <c r="AJ127" s="466"/>
      <c r="AK127" s="466"/>
      <c r="AL127" s="466"/>
      <c r="AM127" s="466"/>
      <c r="AN127" s="466"/>
      <c r="AO127" s="466"/>
      <c r="AP127" s="466"/>
      <c r="AQ127" s="466"/>
      <c r="AR127" s="466"/>
      <c r="AS127" s="466"/>
      <c r="AT127" s="466"/>
      <c r="AU127" s="466"/>
      <c r="AV127" s="466"/>
      <c r="AW127" s="466"/>
      <c r="AX127" s="466"/>
      <c r="AY127" s="466"/>
      <c r="AZ127" s="466"/>
      <c r="BA127" s="466"/>
      <c r="BB127" s="466"/>
      <c r="BC127" s="466"/>
      <c r="BD127" s="466"/>
      <c r="BE127" s="466"/>
      <c r="BF127" s="466"/>
      <c r="BG127" s="466"/>
      <c r="BH127" s="466"/>
      <c r="BJ127" s="463">
        <f t="shared" si="2"/>
        <v>120</v>
      </c>
      <c r="BZ127" s="467"/>
    </row>
    <row r="128" spans="8:78" ht="15.75" customHeight="1" x14ac:dyDescent="0.2">
      <c r="H128" s="464"/>
      <c r="I128" s="464"/>
      <c r="J128" s="464"/>
      <c r="K128" s="464"/>
      <c r="L128" s="464"/>
      <c r="M128" s="464"/>
      <c r="N128" s="464"/>
      <c r="O128" s="464"/>
      <c r="P128" s="464"/>
      <c r="Q128" s="464"/>
      <c r="R128" s="464"/>
      <c r="S128" s="464"/>
      <c r="T128" s="464"/>
      <c r="U128" s="464"/>
      <c r="V128" s="464"/>
      <c r="W128" s="464"/>
      <c r="X128" s="464"/>
      <c r="Y128" s="464"/>
      <c r="Z128" s="464"/>
      <c r="AA128" s="464"/>
      <c r="AB128" s="464"/>
      <c r="AC128" s="464"/>
      <c r="AD128" s="464"/>
      <c r="AE128" s="464"/>
      <c r="AF128" s="464"/>
      <c r="AG128" s="464"/>
      <c r="AH128" s="464"/>
      <c r="AI128" s="464"/>
      <c r="AJ128" s="464"/>
      <c r="AK128" s="464"/>
      <c r="AL128" s="464"/>
      <c r="AM128" s="464"/>
      <c r="AN128" s="464"/>
      <c r="AO128" s="464"/>
      <c r="AP128" s="464"/>
      <c r="AQ128" s="464"/>
      <c r="AR128" s="464"/>
      <c r="AS128" s="464"/>
      <c r="AT128" s="464"/>
      <c r="AU128" s="464"/>
      <c r="AV128" s="464"/>
      <c r="AW128" s="464"/>
      <c r="AX128" s="464"/>
      <c r="AY128" s="464"/>
      <c r="AZ128" s="464"/>
      <c r="BA128" s="464"/>
      <c r="BB128" s="464"/>
      <c r="BC128" s="464"/>
      <c r="BD128" s="464"/>
      <c r="BE128" s="464"/>
      <c r="BF128" s="464"/>
      <c r="BG128" s="464"/>
      <c r="BH128" s="464"/>
      <c r="BJ128" s="463">
        <f t="shared" si="2"/>
        <v>121</v>
      </c>
      <c r="BZ128" s="467"/>
    </row>
    <row r="129" spans="8:78" ht="15.75" customHeight="1" x14ac:dyDescent="0.2">
      <c r="H129" s="466"/>
      <c r="I129" s="466"/>
      <c r="J129" s="466"/>
      <c r="K129" s="466"/>
      <c r="L129" s="466"/>
      <c r="M129" s="466"/>
      <c r="N129" s="466"/>
      <c r="O129" s="466"/>
      <c r="P129" s="466"/>
      <c r="Q129" s="466"/>
      <c r="R129" s="466"/>
      <c r="S129" s="466"/>
      <c r="T129" s="466"/>
      <c r="U129" s="466"/>
      <c r="V129" s="466"/>
      <c r="W129" s="466"/>
      <c r="X129" s="466"/>
      <c r="Y129" s="466"/>
      <c r="Z129" s="466"/>
      <c r="AA129" s="466"/>
      <c r="AB129" s="466"/>
      <c r="AC129" s="466"/>
      <c r="AD129" s="466"/>
      <c r="AE129" s="466"/>
      <c r="AF129" s="466"/>
      <c r="AG129" s="466"/>
      <c r="AH129" s="466"/>
      <c r="AI129" s="466"/>
      <c r="AJ129" s="466"/>
      <c r="AK129" s="466"/>
      <c r="AL129" s="466"/>
      <c r="AM129" s="466"/>
      <c r="AN129" s="466"/>
      <c r="AO129" s="466"/>
      <c r="AP129" s="466"/>
      <c r="AQ129" s="466"/>
      <c r="AR129" s="466"/>
      <c r="AS129" s="466"/>
      <c r="AT129" s="466"/>
      <c r="AU129" s="466"/>
      <c r="AV129" s="466"/>
      <c r="AW129" s="466"/>
      <c r="AX129" s="466"/>
      <c r="AY129" s="466"/>
      <c r="AZ129" s="466"/>
      <c r="BA129" s="466"/>
      <c r="BB129" s="466"/>
      <c r="BC129" s="466"/>
      <c r="BD129" s="466"/>
      <c r="BE129" s="466"/>
      <c r="BF129" s="466"/>
      <c r="BG129" s="466"/>
      <c r="BH129" s="466"/>
      <c r="BJ129" s="463">
        <f t="shared" si="2"/>
        <v>122</v>
      </c>
      <c r="BZ129" s="467"/>
    </row>
    <row r="130" spans="8:78" ht="15.75" customHeight="1" x14ac:dyDescent="0.2">
      <c r="H130" s="464"/>
      <c r="I130" s="464"/>
      <c r="J130" s="464"/>
      <c r="K130" s="464"/>
      <c r="L130" s="464"/>
      <c r="M130" s="464"/>
      <c r="N130" s="464"/>
      <c r="O130" s="464"/>
      <c r="P130" s="464"/>
      <c r="Q130" s="464"/>
      <c r="R130" s="464"/>
      <c r="S130" s="464"/>
      <c r="T130" s="464"/>
      <c r="U130" s="464"/>
      <c r="V130" s="464"/>
      <c r="W130" s="464"/>
      <c r="X130" s="464"/>
      <c r="Y130" s="464"/>
      <c r="Z130" s="464"/>
      <c r="AA130" s="464"/>
      <c r="AB130" s="464"/>
      <c r="AC130" s="464"/>
      <c r="AD130" s="464"/>
      <c r="AE130" s="464"/>
      <c r="AF130" s="464"/>
      <c r="AG130" s="464"/>
      <c r="AH130" s="464"/>
      <c r="AI130" s="464"/>
      <c r="AJ130" s="464"/>
      <c r="AK130" s="464"/>
      <c r="AL130" s="464"/>
      <c r="AM130" s="464"/>
      <c r="AN130" s="464"/>
      <c r="AO130" s="464"/>
      <c r="AP130" s="464"/>
      <c r="AQ130" s="464"/>
      <c r="AR130" s="464"/>
      <c r="AS130" s="464"/>
      <c r="AT130" s="464"/>
      <c r="AU130" s="464"/>
      <c r="AV130" s="464"/>
      <c r="AW130" s="464"/>
      <c r="AX130" s="464"/>
      <c r="AY130" s="464"/>
      <c r="AZ130" s="464"/>
      <c r="BA130" s="464"/>
      <c r="BB130" s="464"/>
      <c r="BC130" s="464"/>
      <c r="BD130" s="464"/>
      <c r="BE130" s="464"/>
      <c r="BF130" s="464"/>
      <c r="BG130" s="464"/>
      <c r="BH130" s="464"/>
      <c r="BJ130" s="463">
        <f t="shared" si="2"/>
        <v>123</v>
      </c>
      <c r="BZ130" s="467"/>
    </row>
    <row r="131" spans="8:78" ht="15.75" customHeight="1" x14ac:dyDescent="0.2">
      <c r="H131" s="466"/>
      <c r="I131" s="466"/>
      <c r="J131" s="466"/>
      <c r="K131" s="466"/>
      <c r="L131" s="466"/>
      <c r="M131" s="466"/>
      <c r="N131" s="466"/>
      <c r="O131" s="466"/>
      <c r="P131" s="466"/>
      <c r="Q131" s="466"/>
      <c r="R131" s="466"/>
      <c r="S131" s="466"/>
      <c r="T131" s="466"/>
      <c r="U131" s="466"/>
      <c r="V131" s="466"/>
      <c r="W131" s="466"/>
      <c r="X131" s="466"/>
      <c r="Y131" s="466"/>
      <c r="Z131" s="466"/>
      <c r="AA131" s="466"/>
      <c r="AB131" s="466"/>
      <c r="AC131" s="466"/>
      <c r="AD131" s="466"/>
      <c r="AE131" s="466"/>
      <c r="AF131" s="466"/>
      <c r="AG131" s="466"/>
      <c r="AH131" s="466"/>
      <c r="AI131" s="466"/>
      <c r="AJ131" s="466"/>
      <c r="AK131" s="466"/>
      <c r="AL131" s="466"/>
      <c r="AM131" s="466"/>
      <c r="AN131" s="466"/>
      <c r="AO131" s="466"/>
      <c r="AP131" s="466"/>
      <c r="AQ131" s="466"/>
      <c r="AR131" s="466"/>
      <c r="AS131" s="466"/>
      <c r="AT131" s="466"/>
      <c r="AU131" s="466"/>
      <c r="AV131" s="466"/>
      <c r="AW131" s="466"/>
      <c r="AX131" s="466"/>
      <c r="AY131" s="466"/>
      <c r="AZ131" s="466"/>
      <c r="BA131" s="466"/>
      <c r="BB131" s="466"/>
      <c r="BC131" s="466"/>
      <c r="BD131" s="466"/>
      <c r="BE131" s="466"/>
      <c r="BF131" s="466"/>
      <c r="BG131" s="466"/>
      <c r="BH131" s="466"/>
      <c r="BJ131" s="463">
        <f t="shared" si="2"/>
        <v>124</v>
      </c>
      <c r="BZ131" s="467"/>
    </row>
    <row r="132" spans="8:78" ht="15.75" customHeight="1" x14ac:dyDescent="0.2">
      <c r="H132" s="464"/>
      <c r="I132" s="464"/>
      <c r="J132" s="464"/>
      <c r="K132" s="464"/>
      <c r="L132" s="464"/>
      <c r="M132" s="464"/>
      <c r="N132" s="464"/>
      <c r="O132" s="464"/>
      <c r="P132" s="464"/>
      <c r="Q132" s="464"/>
      <c r="R132" s="464"/>
      <c r="S132" s="464"/>
      <c r="T132" s="464"/>
      <c r="U132" s="464"/>
      <c r="V132" s="464"/>
      <c r="W132" s="464"/>
      <c r="X132" s="464"/>
      <c r="Y132" s="464"/>
      <c r="Z132" s="464"/>
      <c r="AA132" s="464"/>
      <c r="AB132" s="464"/>
      <c r="AC132" s="464"/>
      <c r="AD132" s="464"/>
      <c r="AE132" s="464"/>
      <c r="AF132" s="464"/>
      <c r="AG132" s="464"/>
      <c r="AH132" s="464"/>
      <c r="AI132" s="464"/>
      <c r="AJ132" s="464"/>
      <c r="AK132" s="464"/>
      <c r="AL132" s="464"/>
      <c r="AM132" s="464"/>
      <c r="AN132" s="464"/>
      <c r="AO132" s="464"/>
      <c r="AP132" s="464"/>
      <c r="AQ132" s="464"/>
      <c r="AR132" s="464"/>
      <c r="AS132" s="464"/>
      <c r="AT132" s="464"/>
      <c r="AU132" s="464"/>
      <c r="AV132" s="464"/>
      <c r="AW132" s="464"/>
      <c r="AX132" s="464"/>
      <c r="AY132" s="464"/>
      <c r="AZ132" s="464"/>
      <c r="BA132" s="464"/>
      <c r="BB132" s="464"/>
      <c r="BC132" s="464"/>
      <c r="BD132" s="464"/>
      <c r="BE132" s="464"/>
      <c r="BF132" s="464"/>
      <c r="BG132" s="464"/>
      <c r="BH132" s="464"/>
      <c r="BJ132" s="463">
        <f t="shared" si="2"/>
        <v>125</v>
      </c>
      <c r="BZ132" s="467"/>
    </row>
    <row r="133" spans="8:78" ht="15.75" customHeight="1" x14ac:dyDescent="0.2">
      <c r="H133" s="466"/>
      <c r="I133" s="466"/>
      <c r="J133" s="466"/>
      <c r="K133" s="466"/>
      <c r="L133" s="466"/>
      <c r="M133" s="466"/>
      <c r="N133" s="466"/>
      <c r="O133" s="466"/>
      <c r="P133" s="466"/>
      <c r="Q133" s="466"/>
      <c r="R133" s="466"/>
      <c r="S133" s="466"/>
      <c r="T133" s="466"/>
      <c r="U133" s="466"/>
      <c r="V133" s="466"/>
      <c r="W133" s="466"/>
      <c r="X133" s="466"/>
      <c r="Y133" s="466"/>
      <c r="Z133" s="466"/>
      <c r="AA133" s="466"/>
      <c r="AB133" s="466"/>
      <c r="AC133" s="466"/>
      <c r="AD133" s="466"/>
      <c r="AE133" s="466"/>
      <c r="AF133" s="466"/>
      <c r="AG133" s="466"/>
      <c r="AH133" s="466"/>
      <c r="AI133" s="466"/>
      <c r="AJ133" s="466"/>
      <c r="AK133" s="466"/>
      <c r="AL133" s="466"/>
      <c r="AM133" s="466"/>
      <c r="AN133" s="466"/>
      <c r="AO133" s="466"/>
      <c r="AP133" s="466"/>
      <c r="AQ133" s="466"/>
      <c r="AR133" s="466"/>
      <c r="AS133" s="466"/>
      <c r="AT133" s="466"/>
      <c r="AU133" s="466"/>
      <c r="AV133" s="466"/>
      <c r="AW133" s="466"/>
      <c r="AX133" s="466"/>
      <c r="AY133" s="466"/>
      <c r="AZ133" s="466"/>
      <c r="BA133" s="466"/>
      <c r="BB133" s="466"/>
      <c r="BC133" s="466"/>
      <c r="BD133" s="466"/>
      <c r="BE133" s="466"/>
      <c r="BF133" s="466"/>
      <c r="BG133" s="466"/>
      <c r="BH133" s="466"/>
      <c r="BJ133" s="463">
        <f t="shared" si="2"/>
        <v>126</v>
      </c>
      <c r="BZ133" s="467"/>
    </row>
    <row r="134" spans="8:78" ht="15.75" customHeight="1" x14ac:dyDescent="0.2">
      <c r="H134" s="464"/>
      <c r="I134" s="464"/>
      <c r="J134" s="464"/>
      <c r="K134" s="464"/>
      <c r="L134" s="464"/>
      <c r="M134" s="464"/>
      <c r="N134" s="464"/>
      <c r="O134" s="464"/>
      <c r="P134" s="464"/>
      <c r="Q134" s="464"/>
      <c r="R134" s="464"/>
      <c r="S134" s="464"/>
      <c r="T134" s="464"/>
      <c r="U134" s="464"/>
      <c r="V134" s="464"/>
      <c r="W134" s="464"/>
      <c r="X134" s="464"/>
      <c r="Y134" s="464"/>
      <c r="Z134" s="464"/>
      <c r="AA134" s="464"/>
      <c r="AB134" s="464"/>
      <c r="AC134" s="464"/>
      <c r="AD134" s="464"/>
      <c r="AE134" s="464"/>
      <c r="AF134" s="464"/>
      <c r="AG134" s="464"/>
      <c r="AH134" s="464"/>
      <c r="AI134" s="464"/>
      <c r="AJ134" s="464"/>
      <c r="AK134" s="464"/>
      <c r="AL134" s="464"/>
      <c r="AM134" s="464"/>
      <c r="AN134" s="464"/>
      <c r="AO134" s="464"/>
      <c r="AP134" s="464"/>
      <c r="AQ134" s="464"/>
      <c r="AR134" s="464"/>
      <c r="AS134" s="464"/>
      <c r="AT134" s="464"/>
      <c r="AU134" s="464"/>
      <c r="AV134" s="464"/>
      <c r="AW134" s="464"/>
      <c r="AX134" s="464"/>
      <c r="AY134" s="464"/>
      <c r="AZ134" s="464"/>
      <c r="BA134" s="464"/>
      <c r="BB134" s="464"/>
      <c r="BC134" s="464"/>
      <c r="BD134" s="464"/>
      <c r="BE134" s="464"/>
      <c r="BF134" s="464"/>
      <c r="BG134" s="464"/>
      <c r="BH134" s="464"/>
      <c r="BJ134" s="463">
        <f t="shared" si="2"/>
        <v>127</v>
      </c>
      <c r="BZ134" s="467"/>
    </row>
    <row r="135" spans="8:78" ht="15.75" customHeight="1" x14ac:dyDescent="0.2">
      <c r="H135" s="466"/>
      <c r="I135" s="466"/>
      <c r="J135" s="466"/>
      <c r="K135" s="466"/>
      <c r="L135" s="466"/>
      <c r="M135" s="466"/>
      <c r="N135" s="466"/>
      <c r="O135" s="466"/>
      <c r="P135" s="466"/>
      <c r="Q135" s="466"/>
      <c r="R135" s="466"/>
      <c r="S135" s="466"/>
      <c r="T135" s="466"/>
      <c r="U135" s="466"/>
      <c r="V135" s="466"/>
      <c r="W135" s="466"/>
      <c r="X135" s="466"/>
      <c r="Y135" s="466"/>
      <c r="Z135" s="466"/>
      <c r="AA135" s="466"/>
      <c r="AB135" s="466"/>
      <c r="AC135" s="466"/>
      <c r="AD135" s="466"/>
      <c r="AE135" s="466"/>
      <c r="AF135" s="466"/>
      <c r="AG135" s="466"/>
      <c r="AH135" s="466"/>
      <c r="AI135" s="466"/>
      <c r="AJ135" s="466"/>
      <c r="AK135" s="466"/>
      <c r="AL135" s="466"/>
      <c r="AM135" s="466"/>
      <c r="AN135" s="466"/>
      <c r="AO135" s="466"/>
      <c r="AP135" s="466"/>
      <c r="AQ135" s="466"/>
      <c r="AR135" s="466"/>
      <c r="AS135" s="466"/>
      <c r="AT135" s="466"/>
      <c r="AU135" s="466"/>
      <c r="AV135" s="466"/>
      <c r="AW135" s="466"/>
      <c r="AX135" s="466"/>
      <c r="AY135" s="466"/>
      <c r="AZ135" s="466"/>
      <c r="BA135" s="466"/>
      <c r="BB135" s="466"/>
      <c r="BC135" s="466"/>
      <c r="BD135" s="466"/>
      <c r="BE135" s="466"/>
      <c r="BF135" s="466"/>
      <c r="BG135" s="466"/>
      <c r="BH135" s="466"/>
      <c r="BJ135" s="463">
        <f t="shared" si="2"/>
        <v>128</v>
      </c>
      <c r="BZ135" s="467"/>
    </row>
    <row r="136" spans="8:78" ht="15.75" customHeight="1" x14ac:dyDescent="0.2">
      <c r="H136" s="464"/>
      <c r="I136" s="464"/>
      <c r="J136" s="464"/>
      <c r="K136" s="464"/>
      <c r="L136" s="464"/>
      <c r="M136" s="464"/>
      <c r="N136" s="464"/>
      <c r="O136" s="464"/>
      <c r="P136" s="464"/>
      <c r="Q136" s="464"/>
      <c r="R136" s="464"/>
      <c r="S136" s="464"/>
      <c r="T136" s="464"/>
      <c r="U136" s="464"/>
      <c r="V136" s="464"/>
      <c r="W136" s="464"/>
      <c r="X136" s="464"/>
      <c r="Y136" s="464"/>
      <c r="Z136" s="464"/>
      <c r="AA136" s="464"/>
      <c r="AB136" s="464"/>
      <c r="AC136" s="464"/>
      <c r="AD136" s="464"/>
      <c r="AE136" s="464"/>
      <c r="AF136" s="464"/>
      <c r="AG136" s="464"/>
      <c r="AH136" s="464"/>
      <c r="AI136" s="464"/>
      <c r="AJ136" s="464"/>
      <c r="AK136" s="464"/>
      <c r="AL136" s="464"/>
      <c r="AM136" s="464"/>
      <c r="AN136" s="464"/>
      <c r="AO136" s="464"/>
      <c r="AP136" s="464"/>
      <c r="AQ136" s="464"/>
      <c r="AR136" s="464"/>
      <c r="AS136" s="464"/>
      <c r="AT136" s="464"/>
      <c r="AU136" s="464"/>
      <c r="AV136" s="464"/>
      <c r="AW136" s="464"/>
      <c r="AX136" s="464"/>
      <c r="AY136" s="464"/>
      <c r="AZ136" s="464"/>
      <c r="BA136" s="464"/>
      <c r="BB136" s="464"/>
      <c r="BC136" s="464"/>
      <c r="BD136" s="464"/>
      <c r="BE136" s="464"/>
      <c r="BF136" s="464"/>
      <c r="BG136" s="464"/>
      <c r="BH136" s="464"/>
      <c r="BJ136" s="463">
        <f t="shared" si="2"/>
        <v>129</v>
      </c>
      <c r="BZ136" s="467"/>
    </row>
    <row r="137" spans="8:78" ht="15.75" customHeight="1" x14ac:dyDescent="0.2">
      <c r="H137" s="466"/>
      <c r="I137" s="466"/>
      <c r="J137" s="466"/>
      <c r="K137" s="466"/>
      <c r="L137" s="466"/>
      <c r="M137" s="466"/>
      <c r="N137" s="466"/>
      <c r="O137" s="466"/>
      <c r="P137" s="466"/>
      <c r="Q137" s="466"/>
      <c r="R137" s="466"/>
      <c r="S137" s="466"/>
      <c r="T137" s="466"/>
      <c r="U137" s="466"/>
      <c r="V137" s="466"/>
      <c r="W137" s="466"/>
      <c r="X137" s="466"/>
      <c r="Y137" s="466"/>
      <c r="Z137" s="466"/>
      <c r="AA137" s="466"/>
      <c r="AB137" s="466"/>
      <c r="AC137" s="466"/>
      <c r="AD137" s="466"/>
      <c r="AE137" s="466"/>
      <c r="AF137" s="466"/>
      <c r="AG137" s="466"/>
      <c r="AH137" s="466"/>
      <c r="AI137" s="466"/>
      <c r="AJ137" s="466"/>
      <c r="AK137" s="466"/>
      <c r="AL137" s="466"/>
      <c r="AM137" s="466"/>
      <c r="AN137" s="466"/>
      <c r="AO137" s="466"/>
      <c r="AP137" s="466"/>
      <c r="AQ137" s="466"/>
      <c r="AR137" s="466"/>
      <c r="AS137" s="466"/>
      <c r="AT137" s="466"/>
      <c r="AU137" s="466"/>
      <c r="AV137" s="466"/>
      <c r="AW137" s="466"/>
      <c r="AX137" s="466"/>
      <c r="AY137" s="466"/>
      <c r="AZ137" s="466"/>
      <c r="BA137" s="466"/>
      <c r="BB137" s="466"/>
      <c r="BC137" s="466"/>
      <c r="BD137" s="466"/>
      <c r="BE137" s="466"/>
      <c r="BF137" s="466"/>
      <c r="BG137" s="466"/>
      <c r="BH137" s="466"/>
      <c r="BJ137" s="463">
        <f t="shared" ref="BJ137:BJ200" si="3">BJ136+1</f>
        <v>130</v>
      </c>
      <c r="BZ137" s="467"/>
    </row>
    <row r="138" spans="8:78" ht="15.75" customHeight="1" x14ac:dyDescent="0.2">
      <c r="H138" s="464"/>
      <c r="I138" s="464"/>
      <c r="J138" s="464"/>
      <c r="K138" s="464"/>
      <c r="L138" s="464"/>
      <c r="M138" s="464"/>
      <c r="N138" s="464"/>
      <c r="O138" s="464"/>
      <c r="P138" s="464"/>
      <c r="Q138" s="464"/>
      <c r="R138" s="464"/>
      <c r="S138" s="464"/>
      <c r="T138" s="464"/>
      <c r="U138" s="464"/>
      <c r="V138" s="464"/>
      <c r="W138" s="464"/>
      <c r="X138" s="464"/>
      <c r="Y138" s="464"/>
      <c r="Z138" s="464"/>
      <c r="AA138" s="464"/>
      <c r="AB138" s="464"/>
      <c r="AC138" s="464"/>
      <c r="AD138" s="464"/>
      <c r="AE138" s="464"/>
      <c r="AF138" s="464"/>
      <c r="AG138" s="464"/>
      <c r="AH138" s="464"/>
      <c r="AI138" s="464"/>
      <c r="AJ138" s="464"/>
      <c r="AK138" s="464"/>
      <c r="AL138" s="464"/>
      <c r="AM138" s="464"/>
      <c r="AN138" s="464"/>
      <c r="AO138" s="464"/>
      <c r="AP138" s="464"/>
      <c r="AQ138" s="464"/>
      <c r="AR138" s="464"/>
      <c r="AS138" s="464"/>
      <c r="AT138" s="464"/>
      <c r="AU138" s="464"/>
      <c r="AV138" s="464"/>
      <c r="AW138" s="464"/>
      <c r="AX138" s="464"/>
      <c r="AY138" s="464"/>
      <c r="AZ138" s="464"/>
      <c r="BA138" s="464"/>
      <c r="BB138" s="464"/>
      <c r="BC138" s="464"/>
      <c r="BD138" s="464"/>
      <c r="BE138" s="464"/>
      <c r="BF138" s="464"/>
      <c r="BG138" s="464"/>
      <c r="BH138" s="464"/>
      <c r="BJ138" s="463">
        <f t="shared" si="3"/>
        <v>131</v>
      </c>
      <c r="BZ138" s="467"/>
    </row>
    <row r="139" spans="8:78" ht="15.75" customHeight="1" x14ac:dyDescent="0.2">
      <c r="H139" s="464"/>
      <c r="I139" s="464"/>
      <c r="J139" s="464"/>
      <c r="K139" s="464"/>
      <c r="L139" s="464"/>
      <c r="M139" s="464"/>
      <c r="N139" s="464"/>
      <c r="O139" s="464"/>
      <c r="P139" s="464"/>
      <c r="Q139" s="464"/>
      <c r="R139" s="464"/>
      <c r="S139" s="464"/>
      <c r="T139" s="464"/>
      <c r="U139" s="464"/>
      <c r="V139" s="464"/>
      <c r="W139" s="464"/>
      <c r="X139" s="464"/>
      <c r="Y139" s="464"/>
      <c r="Z139" s="464"/>
      <c r="AA139" s="464"/>
      <c r="AB139" s="464"/>
      <c r="AC139" s="464"/>
      <c r="AD139" s="464"/>
      <c r="AE139" s="464"/>
      <c r="AF139" s="464"/>
      <c r="AG139" s="464"/>
      <c r="AH139" s="464"/>
      <c r="AI139" s="464"/>
      <c r="AJ139" s="464"/>
      <c r="AK139" s="464"/>
      <c r="AL139" s="464"/>
      <c r="AM139" s="464"/>
      <c r="AN139" s="464"/>
      <c r="AO139" s="464"/>
      <c r="AP139" s="464"/>
      <c r="AQ139" s="464"/>
      <c r="AR139" s="464"/>
      <c r="AS139" s="464"/>
      <c r="AT139" s="464"/>
      <c r="AU139" s="464"/>
      <c r="AV139" s="464"/>
      <c r="AW139" s="464"/>
      <c r="AX139" s="464"/>
      <c r="AY139" s="464"/>
      <c r="AZ139" s="464"/>
      <c r="BA139" s="464"/>
      <c r="BB139" s="464"/>
      <c r="BC139" s="464"/>
      <c r="BD139" s="464"/>
      <c r="BE139" s="464"/>
      <c r="BF139" s="464"/>
      <c r="BG139" s="464"/>
      <c r="BH139" s="464"/>
      <c r="BJ139" s="463">
        <f t="shared" si="3"/>
        <v>132</v>
      </c>
      <c r="BZ139" s="467"/>
    </row>
    <row r="140" spans="8:78" ht="15.75" customHeight="1" x14ac:dyDescent="0.2">
      <c r="H140" s="466"/>
      <c r="I140" s="466"/>
      <c r="J140" s="466"/>
      <c r="K140" s="466"/>
      <c r="L140" s="466"/>
      <c r="M140" s="466"/>
      <c r="N140" s="466"/>
      <c r="O140" s="466"/>
      <c r="P140" s="466"/>
      <c r="Q140" s="466"/>
      <c r="R140" s="466"/>
      <c r="S140" s="466"/>
      <c r="T140" s="466"/>
      <c r="U140" s="466"/>
      <c r="V140" s="466"/>
      <c r="W140" s="466"/>
      <c r="X140" s="466"/>
      <c r="Y140" s="466"/>
      <c r="Z140" s="466"/>
      <c r="AA140" s="466"/>
      <c r="AB140" s="466"/>
      <c r="AC140" s="466"/>
      <c r="AD140" s="466"/>
      <c r="AE140" s="466"/>
      <c r="AF140" s="466"/>
      <c r="AG140" s="466"/>
      <c r="AH140" s="466"/>
      <c r="AI140" s="466"/>
      <c r="AJ140" s="466"/>
      <c r="AK140" s="466"/>
      <c r="AL140" s="466"/>
      <c r="AM140" s="466"/>
      <c r="AN140" s="466"/>
      <c r="AO140" s="466"/>
      <c r="AP140" s="466"/>
      <c r="AQ140" s="466"/>
      <c r="AR140" s="466"/>
      <c r="AS140" s="466"/>
      <c r="AT140" s="466"/>
      <c r="AU140" s="466"/>
      <c r="AV140" s="466"/>
      <c r="AW140" s="466"/>
      <c r="AX140" s="466"/>
      <c r="AY140" s="466"/>
      <c r="AZ140" s="466"/>
      <c r="BA140" s="466"/>
      <c r="BB140" s="466"/>
      <c r="BC140" s="466"/>
      <c r="BD140" s="466"/>
      <c r="BE140" s="466"/>
      <c r="BF140" s="466"/>
      <c r="BG140" s="466"/>
      <c r="BH140" s="466"/>
      <c r="BJ140" s="463">
        <f t="shared" si="3"/>
        <v>133</v>
      </c>
      <c r="BZ140" s="467"/>
    </row>
    <row r="141" spans="8:78" ht="15.75" customHeight="1" x14ac:dyDescent="0.2">
      <c r="H141" s="466"/>
      <c r="I141" s="466"/>
      <c r="J141" s="466"/>
      <c r="K141" s="466"/>
      <c r="L141" s="466"/>
      <c r="M141" s="466"/>
      <c r="N141" s="466"/>
      <c r="O141" s="466"/>
      <c r="P141" s="466"/>
      <c r="Q141" s="466"/>
      <c r="R141" s="466"/>
      <c r="S141" s="466"/>
      <c r="T141" s="466"/>
      <c r="U141" s="466"/>
      <c r="V141" s="466"/>
      <c r="W141" s="466"/>
      <c r="X141" s="466"/>
      <c r="Y141" s="466"/>
      <c r="Z141" s="466"/>
      <c r="AA141" s="466"/>
      <c r="AB141" s="466"/>
      <c r="AC141" s="466"/>
      <c r="AD141" s="466"/>
      <c r="AE141" s="466"/>
      <c r="AF141" s="466"/>
      <c r="AG141" s="466"/>
      <c r="AH141" s="466"/>
      <c r="AI141" s="466"/>
      <c r="AJ141" s="466"/>
      <c r="AK141" s="466"/>
      <c r="AL141" s="466"/>
      <c r="AM141" s="466"/>
      <c r="AN141" s="466"/>
      <c r="AO141" s="466"/>
      <c r="AP141" s="466"/>
      <c r="AQ141" s="466"/>
      <c r="AR141" s="466"/>
      <c r="AS141" s="466"/>
      <c r="AT141" s="466"/>
      <c r="AU141" s="466"/>
      <c r="AV141" s="466"/>
      <c r="AW141" s="466"/>
      <c r="AX141" s="466"/>
      <c r="AY141" s="466"/>
      <c r="AZ141" s="466"/>
      <c r="BA141" s="466"/>
      <c r="BB141" s="466"/>
      <c r="BC141" s="466"/>
      <c r="BD141" s="466"/>
      <c r="BE141" s="466"/>
      <c r="BF141" s="466"/>
      <c r="BG141" s="466"/>
      <c r="BH141" s="466"/>
      <c r="BJ141" s="463">
        <f t="shared" si="3"/>
        <v>134</v>
      </c>
      <c r="BZ141" s="467"/>
    </row>
    <row r="142" spans="8:78" ht="15.75" customHeight="1" x14ac:dyDescent="0.2">
      <c r="H142" s="464"/>
      <c r="I142" s="464"/>
      <c r="J142" s="464"/>
      <c r="K142" s="464"/>
      <c r="L142" s="464"/>
      <c r="M142" s="464"/>
      <c r="N142" s="464"/>
      <c r="O142" s="464"/>
      <c r="P142" s="464"/>
      <c r="Q142" s="464"/>
      <c r="R142" s="464"/>
      <c r="S142" s="464"/>
      <c r="T142" s="464"/>
      <c r="U142" s="464"/>
      <c r="V142" s="464"/>
      <c r="W142" s="464"/>
      <c r="X142" s="464"/>
      <c r="Y142" s="464"/>
      <c r="Z142" s="464"/>
      <c r="AA142" s="464"/>
      <c r="AB142" s="464"/>
      <c r="AC142" s="464"/>
      <c r="AD142" s="464"/>
      <c r="AE142" s="464"/>
      <c r="AF142" s="464"/>
      <c r="AG142" s="464"/>
      <c r="AH142" s="464"/>
      <c r="AI142" s="464"/>
      <c r="AJ142" s="464"/>
      <c r="AK142" s="464"/>
      <c r="AL142" s="464"/>
      <c r="AM142" s="464"/>
      <c r="AN142" s="464"/>
      <c r="AO142" s="464"/>
      <c r="AP142" s="464"/>
      <c r="AQ142" s="464"/>
      <c r="AR142" s="464"/>
      <c r="AS142" s="464"/>
      <c r="AT142" s="464"/>
      <c r="AU142" s="464"/>
      <c r="AV142" s="464"/>
      <c r="AW142" s="464"/>
      <c r="AX142" s="464"/>
      <c r="AY142" s="464"/>
      <c r="AZ142" s="464"/>
      <c r="BA142" s="464"/>
      <c r="BB142" s="464"/>
      <c r="BC142" s="464"/>
      <c r="BD142" s="464"/>
      <c r="BE142" s="464"/>
      <c r="BF142" s="464"/>
      <c r="BG142" s="464"/>
      <c r="BH142" s="464"/>
      <c r="BJ142" s="463">
        <f t="shared" si="3"/>
        <v>135</v>
      </c>
      <c r="BZ142" s="467"/>
    </row>
    <row r="143" spans="8:78" ht="15.75" customHeight="1" x14ac:dyDescent="0.2">
      <c r="H143" s="466"/>
      <c r="I143" s="466"/>
      <c r="J143" s="466"/>
      <c r="K143" s="466"/>
      <c r="L143" s="466"/>
      <c r="M143" s="466"/>
      <c r="N143" s="466"/>
      <c r="O143" s="466"/>
      <c r="P143" s="466"/>
      <c r="Q143" s="466"/>
      <c r="R143" s="466"/>
      <c r="S143" s="466"/>
      <c r="T143" s="466"/>
      <c r="U143" s="466"/>
      <c r="V143" s="466"/>
      <c r="W143" s="466"/>
      <c r="X143" s="466"/>
      <c r="Y143" s="466"/>
      <c r="Z143" s="466"/>
      <c r="AA143" s="466"/>
      <c r="AB143" s="466"/>
      <c r="AC143" s="466"/>
      <c r="AD143" s="466"/>
      <c r="AE143" s="466"/>
      <c r="AF143" s="466"/>
      <c r="AG143" s="466"/>
      <c r="AH143" s="466"/>
      <c r="AI143" s="466"/>
      <c r="AJ143" s="466"/>
      <c r="AK143" s="466"/>
      <c r="AL143" s="466"/>
      <c r="AM143" s="466"/>
      <c r="AN143" s="466"/>
      <c r="AO143" s="466"/>
      <c r="AP143" s="466"/>
      <c r="AQ143" s="466"/>
      <c r="AR143" s="466"/>
      <c r="AS143" s="466"/>
      <c r="AT143" s="466"/>
      <c r="AU143" s="466"/>
      <c r="AV143" s="466"/>
      <c r="AW143" s="466"/>
      <c r="AX143" s="466"/>
      <c r="AY143" s="466"/>
      <c r="AZ143" s="466"/>
      <c r="BA143" s="466"/>
      <c r="BB143" s="466"/>
      <c r="BC143" s="466"/>
      <c r="BD143" s="466"/>
      <c r="BE143" s="466"/>
      <c r="BF143" s="466"/>
      <c r="BG143" s="466"/>
      <c r="BH143" s="466"/>
      <c r="BJ143" s="463">
        <f t="shared" si="3"/>
        <v>136</v>
      </c>
      <c r="BZ143" s="467"/>
    </row>
    <row r="144" spans="8:78" ht="15.75" customHeight="1" x14ac:dyDescent="0.2">
      <c r="H144" s="464"/>
      <c r="I144" s="464"/>
      <c r="J144" s="464"/>
      <c r="K144" s="464"/>
      <c r="L144" s="464"/>
      <c r="M144" s="464"/>
      <c r="N144" s="464"/>
      <c r="O144" s="464"/>
      <c r="P144" s="464"/>
      <c r="Q144" s="464"/>
      <c r="R144" s="464"/>
      <c r="S144" s="464"/>
      <c r="T144" s="464"/>
      <c r="U144" s="464"/>
      <c r="V144" s="464"/>
      <c r="W144" s="464"/>
      <c r="X144" s="464"/>
      <c r="Y144" s="464"/>
      <c r="Z144" s="464"/>
      <c r="AA144" s="464"/>
      <c r="AB144" s="464"/>
      <c r="AC144" s="464"/>
      <c r="AD144" s="464"/>
      <c r="AE144" s="464"/>
      <c r="AF144" s="464"/>
      <c r="AG144" s="464"/>
      <c r="AH144" s="464"/>
      <c r="AI144" s="464"/>
      <c r="AJ144" s="464"/>
      <c r="AK144" s="464"/>
      <c r="AL144" s="464"/>
      <c r="AM144" s="464"/>
      <c r="AN144" s="464"/>
      <c r="AO144" s="464"/>
      <c r="AP144" s="464"/>
      <c r="AQ144" s="464"/>
      <c r="AR144" s="464"/>
      <c r="AS144" s="464"/>
      <c r="AT144" s="464"/>
      <c r="AU144" s="464"/>
      <c r="AV144" s="464"/>
      <c r="AW144" s="464"/>
      <c r="AX144" s="464"/>
      <c r="AY144" s="464"/>
      <c r="AZ144" s="464"/>
      <c r="BA144" s="464"/>
      <c r="BB144" s="464"/>
      <c r="BC144" s="464"/>
      <c r="BD144" s="464"/>
      <c r="BE144" s="464"/>
      <c r="BF144" s="464"/>
      <c r="BG144" s="464"/>
      <c r="BH144" s="464"/>
      <c r="BJ144" s="463">
        <f t="shared" si="3"/>
        <v>137</v>
      </c>
      <c r="BZ144" s="467"/>
    </row>
    <row r="145" spans="8:78" ht="15.75" customHeight="1" x14ac:dyDescent="0.2">
      <c r="H145" s="466"/>
      <c r="I145" s="466"/>
      <c r="J145" s="466"/>
      <c r="K145" s="466"/>
      <c r="L145" s="466"/>
      <c r="M145" s="466"/>
      <c r="N145" s="466"/>
      <c r="O145" s="466"/>
      <c r="P145" s="466"/>
      <c r="Q145" s="466"/>
      <c r="R145" s="466"/>
      <c r="S145" s="466"/>
      <c r="T145" s="466"/>
      <c r="U145" s="466"/>
      <c r="V145" s="466"/>
      <c r="W145" s="466"/>
      <c r="X145" s="466"/>
      <c r="Y145" s="466"/>
      <c r="Z145" s="466"/>
      <c r="AA145" s="466"/>
      <c r="AB145" s="466"/>
      <c r="AC145" s="466"/>
      <c r="AD145" s="466"/>
      <c r="AE145" s="466"/>
      <c r="AF145" s="466"/>
      <c r="AG145" s="466"/>
      <c r="AH145" s="466"/>
      <c r="AI145" s="466"/>
      <c r="AJ145" s="466"/>
      <c r="AK145" s="466"/>
      <c r="AL145" s="466"/>
      <c r="AM145" s="466"/>
      <c r="AN145" s="466"/>
      <c r="AO145" s="466"/>
      <c r="AP145" s="466"/>
      <c r="AQ145" s="466"/>
      <c r="AR145" s="466"/>
      <c r="AS145" s="466"/>
      <c r="AT145" s="466"/>
      <c r="AU145" s="466"/>
      <c r="AV145" s="466"/>
      <c r="AW145" s="466"/>
      <c r="AX145" s="466"/>
      <c r="AY145" s="466"/>
      <c r="AZ145" s="466"/>
      <c r="BA145" s="466"/>
      <c r="BB145" s="466"/>
      <c r="BC145" s="466"/>
      <c r="BD145" s="466"/>
      <c r="BE145" s="466"/>
      <c r="BF145" s="466"/>
      <c r="BG145" s="466"/>
      <c r="BH145" s="466"/>
      <c r="BJ145" s="463">
        <f t="shared" si="3"/>
        <v>138</v>
      </c>
      <c r="BZ145" s="467"/>
    </row>
    <row r="146" spans="8:78" ht="15.75" customHeight="1" x14ac:dyDescent="0.2">
      <c r="H146" s="464"/>
      <c r="I146" s="464"/>
      <c r="J146" s="464"/>
      <c r="K146" s="464"/>
      <c r="L146" s="464"/>
      <c r="M146" s="464"/>
      <c r="N146" s="464"/>
      <c r="O146" s="464"/>
      <c r="P146" s="464"/>
      <c r="Q146" s="464"/>
      <c r="R146" s="464"/>
      <c r="S146" s="464"/>
      <c r="T146" s="464"/>
      <c r="U146" s="464"/>
      <c r="V146" s="464"/>
      <c r="W146" s="464"/>
      <c r="X146" s="464"/>
      <c r="Y146" s="464"/>
      <c r="Z146" s="464"/>
      <c r="AA146" s="464"/>
      <c r="AB146" s="464"/>
      <c r="AC146" s="464"/>
      <c r="AD146" s="464"/>
      <c r="AE146" s="464"/>
      <c r="AF146" s="464"/>
      <c r="AG146" s="464"/>
      <c r="AH146" s="464"/>
      <c r="AI146" s="464"/>
      <c r="AJ146" s="464"/>
      <c r="AK146" s="464"/>
      <c r="AL146" s="464"/>
      <c r="AM146" s="464"/>
      <c r="AN146" s="464"/>
      <c r="AO146" s="464"/>
      <c r="AP146" s="464"/>
      <c r="AQ146" s="464"/>
      <c r="AR146" s="464"/>
      <c r="AS146" s="464"/>
      <c r="AT146" s="464"/>
      <c r="AU146" s="464"/>
      <c r="AV146" s="464"/>
      <c r="AW146" s="464"/>
      <c r="AX146" s="464"/>
      <c r="AY146" s="464"/>
      <c r="AZ146" s="464"/>
      <c r="BA146" s="464"/>
      <c r="BB146" s="464"/>
      <c r="BC146" s="464"/>
      <c r="BD146" s="464"/>
      <c r="BE146" s="464"/>
      <c r="BF146" s="464"/>
      <c r="BG146" s="464"/>
      <c r="BH146" s="464"/>
      <c r="BJ146" s="463">
        <f t="shared" si="3"/>
        <v>139</v>
      </c>
      <c r="BZ146" s="467"/>
    </row>
    <row r="147" spans="8:78" ht="15.75" customHeight="1" x14ac:dyDescent="0.2">
      <c r="H147" s="466"/>
      <c r="I147" s="466"/>
      <c r="J147" s="466"/>
      <c r="K147" s="466"/>
      <c r="L147" s="466"/>
      <c r="M147" s="466"/>
      <c r="N147" s="466"/>
      <c r="O147" s="466"/>
      <c r="P147" s="466"/>
      <c r="Q147" s="466"/>
      <c r="R147" s="466"/>
      <c r="S147" s="466"/>
      <c r="T147" s="466"/>
      <c r="U147" s="466"/>
      <c r="V147" s="466"/>
      <c r="W147" s="466"/>
      <c r="X147" s="466"/>
      <c r="Y147" s="466"/>
      <c r="Z147" s="466"/>
      <c r="AA147" s="466"/>
      <c r="AB147" s="466"/>
      <c r="AC147" s="466"/>
      <c r="AD147" s="466"/>
      <c r="AE147" s="466"/>
      <c r="AF147" s="466"/>
      <c r="AG147" s="466"/>
      <c r="AH147" s="466"/>
      <c r="AI147" s="466"/>
      <c r="AJ147" s="466"/>
      <c r="AK147" s="466"/>
      <c r="AL147" s="466"/>
      <c r="AM147" s="466"/>
      <c r="AN147" s="466"/>
      <c r="AO147" s="466"/>
      <c r="AP147" s="466"/>
      <c r="AQ147" s="466"/>
      <c r="AR147" s="466"/>
      <c r="AS147" s="466"/>
      <c r="AT147" s="466"/>
      <c r="AU147" s="466"/>
      <c r="AV147" s="466"/>
      <c r="AW147" s="466"/>
      <c r="AX147" s="466"/>
      <c r="AY147" s="466"/>
      <c r="AZ147" s="466"/>
      <c r="BA147" s="466"/>
      <c r="BB147" s="466"/>
      <c r="BC147" s="466"/>
      <c r="BD147" s="466"/>
      <c r="BE147" s="466"/>
      <c r="BF147" s="466"/>
      <c r="BG147" s="466"/>
      <c r="BH147" s="466"/>
      <c r="BJ147" s="463">
        <f t="shared" si="3"/>
        <v>140</v>
      </c>
      <c r="BZ147" s="467"/>
    </row>
    <row r="148" spans="8:78" ht="15.75" customHeight="1" x14ac:dyDescent="0.2">
      <c r="H148" s="464"/>
      <c r="I148" s="464"/>
      <c r="J148" s="464"/>
      <c r="K148" s="464"/>
      <c r="L148" s="464"/>
      <c r="M148" s="464"/>
      <c r="N148" s="464"/>
      <c r="O148" s="464"/>
      <c r="P148" s="464"/>
      <c r="Q148" s="464"/>
      <c r="R148" s="464"/>
      <c r="S148" s="464"/>
      <c r="T148" s="464"/>
      <c r="U148" s="464"/>
      <c r="V148" s="464"/>
      <c r="W148" s="464"/>
      <c r="X148" s="464"/>
      <c r="Y148" s="464"/>
      <c r="Z148" s="464"/>
      <c r="AA148" s="464"/>
      <c r="AB148" s="464"/>
      <c r="AC148" s="464"/>
      <c r="AD148" s="464"/>
      <c r="AE148" s="464"/>
      <c r="AF148" s="464"/>
      <c r="AG148" s="464"/>
      <c r="AH148" s="464"/>
      <c r="AI148" s="464"/>
      <c r="AJ148" s="464"/>
      <c r="AK148" s="464"/>
      <c r="AL148" s="464"/>
      <c r="AM148" s="464"/>
      <c r="AN148" s="464"/>
      <c r="AO148" s="464"/>
      <c r="AP148" s="464"/>
      <c r="AQ148" s="464"/>
      <c r="AR148" s="464"/>
      <c r="AS148" s="464"/>
      <c r="AT148" s="464"/>
      <c r="AU148" s="464"/>
      <c r="AV148" s="464"/>
      <c r="AW148" s="464"/>
      <c r="AX148" s="464"/>
      <c r="AY148" s="464"/>
      <c r="AZ148" s="464"/>
      <c r="BA148" s="464"/>
      <c r="BB148" s="464"/>
      <c r="BC148" s="464"/>
      <c r="BD148" s="464"/>
      <c r="BE148" s="464"/>
      <c r="BF148" s="464"/>
      <c r="BG148" s="464"/>
      <c r="BH148" s="464"/>
      <c r="BJ148" s="463">
        <f t="shared" si="3"/>
        <v>141</v>
      </c>
      <c r="BZ148" s="467"/>
    </row>
    <row r="149" spans="8:78" ht="15.75" customHeight="1" x14ac:dyDescent="0.2">
      <c r="H149" s="466"/>
      <c r="I149" s="466"/>
      <c r="J149" s="466"/>
      <c r="K149" s="466"/>
      <c r="L149" s="466"/>
      <c r="M149" s="466"/>
      <c r="N149" s="466"/>
      <c r="O149" s="466"/>
      <c r="P149" s="466"/>
      <c r="Q149" s="466"/>
      <c r="R149" s="466"/>
      <c r="S149" s="466"/>
      <c r="T149" s="466"/>
      <c r="U149" s="466"/>
      <c r="V149" s="466"/>
      <c r="W149" s="466"/>
      <c r="X149" s="466"/>
      <c r="Y149" s="466"/>
      <c r="Z149" s="466"/>
      <c r="AA149" s="466"/>
      <c r="AB149" s="466"/>
      <c r="AC149" s="466"/>
      <c r="AD149" s="466"/>
      <c r="AE149" s="466"/>
      <c r="AF149" s="466"/>
      <c r="AG149" s="466"/>
      <c r="AH149" s="466"/>
      <c r="AI149" s="466"/>
      <c r="AJ149" s="466"/>
      <c r="AK149" s="466"/>
      <c r="AL149" s="466"/>
      <c r="AM149" s="466"/>
      <c r="AN149" s="466"/>
      <c r="AO149" s="466"/>
      <c r="AP149" s="466"/>
      <c r="AQ149" s="466"/>
      <c r="AR149" s="466"/>
      <c r="AS149" s="466"/>
      <c r="AT149" s="466"/>
      <c r="AU149" s="466"/>
      <c r="AV149" s="466"/>
      <c r="AW149" s="466"/>
      <c r="AX149" s="466"/>
      <c r="AY149" s="466"/>
      <c r="AZ149" s="466"/>
      <c r="BA149" s="466"/>
      <c r="BB149" s="466"/>
      <c r="BC149" s="466"/>
      <c r="BD149" s="466"/>
      <c r="BE149" s="466"/>
      <c r="BF149" s="466"/>
      <c r="BG149" s="466"/>
      <c r="BH149" s="466"/>
      <c r="BJ149" s="463">
        <f t="shared" si="3"/>
        <v>142</v>
      </c>
      <c r="BZ149" s="467"/>
    </row>
    <row r="150" spans="8:78" ht="15.75" customHeight="1" x14ac:dyDescent="0.2">
      <c r="H150" s="464"/>
      <c r="I150" s="464"/>
      <c r="J150" s="464"/>
      <c r="K150" s="464"/>
      <c r="L150" s="464"/>
      <c r="M150" s="464"/>
      <c r="N150" s="464"/>
      <c r="O150" s="464"/>
      <c r="P150" s="464"/>
      <c r="Q150" s="464"/>
      <c r="R150" s="464"/>
      <c r="S150" s="464"/>
      <c r="T150" s="464"/>
      <c r="U150" s="464"/>
      <c r="V150" s="464"/>
      <c r="W150" s="464"/>
      <c r="X150" s="464"/>
      <c r="Y150" s="464"/>
      <c r="Z150" s="464"/>
      <c r="AA150" s="464"/>
      <c r="AB150" s="464"/>
      <c r="AC150" s="464"/>
      <c r="AD150" s="464"/>
      <c r="AE150" s="464"/>
      <c r="AF150" s="464"/>
      <c r="AG150" s="464"/>
      <c r="AH150" s="464"/>
      <c r="AI150" s="464"/>
      <c r="AJ150" s="464"/>
      <c r="AK150" s="464"/>
      <c r="AL150" s="464"/>
      <c r="AM150" s="464"/>
      <c r="AN150" s="464"/>
      <c r="AO150" s="464"/>
      <c r="AP150" s="464"/>
      <c r="AQ150" s="464"/>
      <c r="AR150" s="464"/>
      <c r="AS150" s="464"/>
      <c r="AT150" s="464"/>
      <c r="AU150" s="464"/>
      <c r="AV150" s="464"/>
      <c r="AW150" s="464"/>
      <c r="AX150" s="464"/>
      <c r="AY150" s="464"/>
      <c r="AZ150" s="464"/>
      <c r="BA150" s="464"/>
      <c r="BB150" s="464"/>
      <c r="BC150" s="464"/>
      <c r="BD150" s="464"/>
      <c r="BE150" s="464"/>
      <c r="BF150" s="464"/>
      <c r="BG150" s="464"/>
      <c r="BH150" s="464"/>
      <c r="BJ150" s="463">
        <f t="shared" si="3"/>
        <v>143</v>
      </c>
      <c r="BZ150" s="467"/>
    </row>
    <row r="151" spans="8:78" ht="15.75" customHeight="1" x14ac:dyDescent="0.2">
      <c r="H151" s="466"/>
      <c r="I151" s="466"/>
      <c r="J151" s="466"/>
      <c r="K151" s="466"/>
      <c r="L151" s="466"/>
      <c r="M151" s="466"/>
      <c r="N151" s="466"/>
      <c r="O151" s="466"/>
      <c r="P151" s="466"/>
      <c r="Q151" s="466"/>
      <c r="R151" s="466"/>
      <c r="S151" s="466"/>
      <c r="T151" s="466"/>
      <c r="U151" s="466"/>
      <c r="V151" s="466"/>
      <c r="W151" s="466"/>
      <c r="X151" s="466"/>
      <c r="Y151" s="466"/>
      <c r="Z151" s="466"/>
      <c r="AA151" s="466"/>
      <c r="AB151" s="466"/>
      <c r="AC151" s="466"/>
      <c r="AD151" s="466"/>
      <c r="AE151" s="466"/>
      <c r="AF151" s="466"/>
      <c r="AG151" s="466"/>
      <c r="AH151" s="466"/>
      <c r="AI151" s="466"/>
      <c r="AJ151" s="466"/>
      <c r="AK151" s="466"/>
      <c r="AL151" s="466"/>
      <c r="AM151" s="466"/>
      <c r="AN151" s="466"/>
      <c r="AO151" s="466"/>
      <c r="AP151" s="466"/>
      <c r="AQ151" s="466"/>
      <c r="AR151" s="466"/>
      <c r="AS151" s="466"/>
      <c r="AT151" s="466"/>
      <c r="AU151" s="466"/>
      <c r="AV151" s="466"/>
      <c r="AW151" s="466"/>
      <c r="AX151" s="466"/>
      <c r="AY151" s="466"/>
      <c r="AZ151" s="466"/>
      <c r="BA151" s="466"/>
      <c r="BB151" s="466"/>
      <c r="BC151" s="466"/>
      <c r="BD151" s="466"/>
      <c r="BE151" s="466"/>
      <c r="BF151" s="466"/>
      <c r="BG151" s="466"/>
      <c r="BH151" s="466"/>
      <c r="BJ151" s="463">
        <f t="shared" si="3"/>
        <v>144</v>
      </c>
      <c r="BZ151" s="467"/>
    </row>
    <row r="152" spans="8:78" ht="15.75" customHeight="1" x14ac:dyDescent="0.2">
      <c r="H152" s="464"/>
      <c r="I152" s="464"/>
      <c r="J152" s="464"/>
      <c r="K152" s="464"/>
      <c r="L152" s="464"/>
      <c r="M152" s="464"/>
      <c r="N152" s="464"/>
      <c r="O152" s="464"/>
      <c r="P152" s="464"/>
      <c r="Q152" s="464"/>
      <c r="R152" s="464"/>
      <c r="S152" s="464"/>
      <c r="T152" s="464"/>
      <c r="U152" s="464"/>
      <c r="V152" s="464"/>
      <c r="W152" s="464"/>
      <c r="X152" s="464"/>
      <c r="Y152" s="464"/>
      <c r="Z152" s="464"/>
      <c r="AA152" s="464"/>
      <c r="AB152" s="464"/>
      <c r="AC152" s="464"/>
      <c r="AD152" s="464"/>
      <c r="AE152" s="464"/>
      <c r="AF152" s="464"/>
      <c r="AG152" s="464"/>
      <c r="AH152" s="464"/>
      <c r="AI152" s="464"/>
      <c r="AJ152" s="464"/>
      <c r="AK152" s="464"/>
      <c r="AL152" s="464"/>
      <c r="AM152" s="464"/>
      <c r="AN152" s="464"/>
      <c r="AO152" s="464"/>
      <c r="AP152" s="464"/>
      <c r="AQ152" s="464"/>
      <c r="AR152" s="464"/>
      <c r="AS152" s="464"/>
      <c r="AT152" s="464"/>
      <c r="AU152" s="464"/>
      <c r="AV152" s="464"/>
      <c r="AW152" s="464"/>
      <c r="AX152" s="464"/>
      <c r="AY152" s="464"/>
      <c r="AZ152" s="464"/>
      <c r="BA152" s="464"/>
      <c r="BB152" s="464"/>
      <c r="BC152" s="464"/>
      <c r="BD152" s="464"/>
      <c r="BE152" s="464"/>
      <c r="BF152" s="464"/>
      <c r="BG152" s="464"/>
      <c r="BH152" s="464"/>
      <c r="BJ152" s="463">
        <f t="shared" si="3"/>
        <v>145</v>
      </c>
      <c r="BZ152" s="467"/>
    </row>
    <row r="153" spans="8:78" ht="15.75" customHeight="1" x14ac:dyDescent="0.2">
      <c r="H153" s="466"/>
      <c r="I153" s="466"/>
      <c r="J153" s="466"/>
      <c r="K153" s="466"/>
      <c r="L153" s="466"/>
      <c r="M153" s="466"/>
      <c r="N153" s="466"/>
      <c r="O153" s="466"/>
      <c r="P153" s="466"/>
      <c r="Q153" s="466"/>
      <c r="R153" s="466"/>
      <c r="S153" s="466"/>
      <c r="T153" s="466"/>
      <c r="U153" s="466"/>
      <c r="V153" s="466"/>
      <c r="W153" s="466"/>
      <c r="X153" s="466"/>
      <c r="Y153" s="466"/>
      <c r="Z153" s="466"/>
      <c r="AA153" s="466"/>
      <c r="AB153" s="466"/>
      <c r="AC153" s="466"/>
      <c r="AD153" s="466"/>
      <c r="AE153" s="466"/>
      <c r="AF153" s="466"/>
      <c r="AG153" s="466"/>
      <c r="AH153" s="466"/>
      <c r="AI153" s="466"/>
      <c r="AJ153" s="466"/>
      <c r="AK153" s="466"/>
      <c r="AL153" s="466"/>
      <c r="AM153" s="466"/>
      <c r="AN153" s="466"/>
      <c r="AO153" s="466"/>
      <c r="AP153" s="466"/>
      <c r="AQ153" s="466"/>
      <c r="AR153" s="466"/>
      <c r="AS153" s="466"/>
      <c r="AT153" s="466"/>
      <c r="AU153" s="466"/>
      <c r="AV153" s="466"/>
      <c r="AW153" s="466"/>
      <c r="AX153" s="466"/>
      <c r="AY153" s="466"/>
      <c r="AZ153" s="466"/>
      <c r="BA153" s="466"/>
      <c r="BB153" s="466"/>
      <c r="BC153" s="466"/>
      <c r="BD153" s="466"/>
      <c r="BE153" s="466"/>
      <c r="BF153" s="466"/>
      <c r="BG153" s="466"/>
      <c r="BH153" s="466"/>
      <c r="BJ153" s="463">
        <f t="shared" si="3"/>
        <v>146</v>
      </c>
      <c r="BZ153" s="467"/>
    </row>
    <row r="154" spans="8:78" ht="15.75" customHeight="1" x14ac:dyDescent="0.2">
      <c r="H154" s="464"/>
      <c r="I154" s="464"/>
      <c r="J154" s="464"/>
      <c r="K154" s="464"/>
      <c r="L154" s="464"/>
      <c r="M154" s="464"/>
      <c r="N154" s="464"/>
      <c r="O154" s="464"/>
      <c r="P154" s="464"/>
      <c r="Q154" s="464"/>
      <c r="R154" s="464"/>
      <c r="S154" s="464"/>
      <c r="T154" s="464"/>
      <c r="U154" s="464"/>
      <c r="V154" s="464"/>
      <c r="W154" s="464"/>
      <c r="X154" s="464"/>
      <c r="Y154" s="464"/>
      <c r="Z154" s="464"/>
      <c r="AA154" s="464"/>
      <c r="AB154" s="464"/>
      <c r="AC154" s="464"/>
      <c r="AD154" s="464"/>
      <c r="AE154" s="464"/>
      <c r="AF154" s="464"/>
      <c r="AG154" s="464"/>
      <c r="AH154" s="464"/>
      <c r="AI154" s="464"/>
      <c r="AJ154" s="464"/>
      <c r="AK154" s="464"/>
      <c r="AL154" s="464"/>
      <c r="AM154" s="464"/>
      <c r="AN154" s="464"/>
      <c r="AO154" s="464"/>
      <c r="AP154" s="464"/>
      <c r="AQ154" s="464"/>
      <c r="AR154" s="464"/>
      <c r="AS154" s="464"/>
      <c r="AT154" s="464"/>
      <c r="AU154" s="464"/>
      <c r="AV154" s="464"/>
      <c r="AW154" s="464"/>
      <c r="AX154" s="464"/>
      <c r="AY154" s="464"/>
      <c r="AZ154" s="464"/>
      <c r="BA154" s="464"/>
      <c r="BB154" s="464"/>
      <c r="BC154" s="464"/>
      <c r="BD154" s="464"/>
      <c r="BE154" s="464"/>
      <c r="BF154" s="464"/>
      <c r="BG154" s="464"/>
      <c r="BH154" s="464"/>
      <c r="BJ154" s="463">
        <f t="shared" si="3"/>
        <v>147</v>
      </c>
      <c r="BZ154" s="467"/>
    </row>
    <row r="155" spans="8:78" ht="15.75" customHeight="1" x14ac:dyDescent="0.2">
      <c r="H155" s="466"/>
      <c r="I155" s="466"/>
      <c r="J155" s="466"/>
      <c r="K155" s="466"/>
      <c r="L155" s="466"/>
      <c r="M155" s="466"/>
      <c r="N155" s="466"/>
      <c r="O155" s="466"/>
      <c r="P155" s="466"/>
      <c r="Q155" s="466"/>
      <c r="R155" s="466"/>
      <c r="S155" s="466"/>
      <c r="T155" s="466"/>
      <c r="U155" s="466"/>
      <c r="V155" s="466"/>
      <c r="W155" s="466"/>
      <c r="X155" s="466"/>
      <c r="Y155" s="466"/>
      <c r="Z155" s="466"/>
      <c r="AA155" s="466"/>
      <c r="AB155" s="466"/>
      <c r="AC155" s="466"/>
      <c r="AD155" s="466"/>
      <c r="AE155" s="466"/>
      <c r="AF155" s="466"/>
      <c r="AG155" s="466"/>
      <c r="AH155" s="466"/>
      <c r="AI155" s="466"/>
      <c r="AJ155" s="466"/>
      <c r="AK155" s="466"/>
      <c r="AL155" s="466"/>
      <c r="AM155" s="466"/>
      <c r="AN155" s="466"/>
      <c r="AO155" s="466"/>
      <c r="AP155" s="466"/>
      <c r="AQ155" s="466"/>
      <c r="AR155" s="466"/>
      <c r="AS155" s="466"/>
      <c r="AT155" s="466"/>
      <c r="AU155" s="466"/>
      <c r="AV155" s="466"/>
      <c r="AW155" s="466"/>
      <c r="AX155" s="466"/>
      <c r="AY155" s="466"/>
      <c r="AZ155" s="466"/>
      <c r="BA155" s="466"/>
      <c r="BB155" s="466"/>
      <c r="BC155" s="466"/>
      <c r="BD155" s="466"/>
      <c r="BE155" s="466"/>
      <c r="BF155" s="466"/>
      <c r="BG155" s="466"/>
      <c r="BH155" s="466"/>
      <c r="BJ155" s="463">
        <f t="shared" si="3"/>
        <v>148</v>
      </c>
      <c r="BZ155" s="467"/>
    </row>
    <row r="156" spans="8:78" ht="15.75" customHeight="1" x14ac:dyDescent="0.2">
      <c r="H156" s="464"/>
      <c r="I156" s="464"/>
      <c r="J156" s="464"/>
      <c r="K156" s="464"/>
      <c r="L156" s="464"/>
      <c r="M156" s="464"/>
      <c r="N156" s="464"/>
      <c r="O156" s="464"/>
      <c r="P156" s="464"/>
      <c r="Q156" s="464"/>
      <c r="R156" s="464"/>
      <c r="S156" s="464"/>
      <c r="T156" s="464"/>
      <c r="U156" s="464"/>
      <c r="V156" s="464"/>
      <c r="W156" s="464"/>
      <c r="X156" s="464"/>
      <c r="Y156" s="464"/>
      <c r="Z156" s="464"/>
      <c r="AA156" s="464"/>
      <c r="AB156" s="464"/>
      <c r="AC156" s="464"/>
      <c r="AD156" s="464"/>
      <c r="AE156" s="464"/>
      <c r="AF156" s="464"/>
      <c r="AG156" s="464"/>
      <c r="AH156" s="464"/>
      <c r="AI156" s="464"/>
      <c r="AJ156" s="464"/>
      <c r="AK156" s="464"/>
      <c r="AL156" s="464"/>
      <c r="AM156" s="464"/>
      <c r="AN156" s="464"/>
      <c r="AO156" s="464"/>
      <c r="AP156" s="464"/>
      <c r="AQ156" s="464"/>
      <c r="AR156" s="464"/>
      <c r="AS156" s="464"/>
      <c r="AT156" s="464"/>
      <c r="AU156" s="464"/>
      <c r="AV156" s="464"/>
      <c r="AW156" s="464"/>
      <c r="AX156" s="464"/>
      <c r="AY156" s="464"/>
      <c r="AZ156" s="464"/>
      <c r="BA156" s="464"/>
      <c r="BB156" s="464"/>
      <c r="BC156" s="464"/>
      <c r="BD156" s="464"/>
      <c r="BE156" s="464"/>
      <c r="BF156" s="464"/>
      <c r="BG156" s="464"/>
      <c r="BH156" s="464"/>
      <c r="BJ156" s="463">
        <f t="shared" si="3"/>
        <v>149</v>
      </c>
      <c r="BZ156" s="467"/>
    </row>
    <row r="157" spans="8:78" ht="15.75" customHeight="1" x14ac:dyDescent="0.2">
      <c r="H157" s="466"/>
      <c r="I157" s="466"/>
      <c r="J157" s="466"/>
      <c r="K157" s="466"/>
      <c r="L157" s="466"/>
      <c r="M157" s="466"/>
      <c r="N157" s="466"/>
      <c r="O157" s="466"/>
      <c r="P157" s="466"/>
      <c r="Q157" s="466"/>
      <c r="R157" s="466"/>
      <c r="S157" s="466"/>
      <c r="T157" s="466"/>
      <c r="U157" s="466"/>
      <c r="V157" s="466"/>
      <c r="W157" s="466"/>
      <c r="X157" s="466"/>
      <c r="Y157" s="466"/>
      <c r="Z157" s="466"/>
      <c r="AA157" s="466"/>
      <c r="AB157" s="466"/>
      <c r="AC157" s="466"/>
      <c r="AD157" s="466"/>
      <c r="AE157" s="466"/>
      <c r="AF157" s="466"/>
      <c r="AG157" s="466"/>
      <c r="AH157" s="466"/>
      <c r="AI157" s="466"/>
      <c r="AJ157" s="466"/>
      <c r="AK157" s="466"/>
      <c r="AL157" s="466"/>
      <c r="AM157" s="466"/>
      <c r="AN157" s="466"/>
      <c r="AO157" s="466"/>
      <c r="AP157" s="466"/>
      <c r="AQ157" s="466"/>
      <c r="AR157" s="466"/>
      <c r="AS157" s="466"/>
      <c r="AT157" s="466"/>
      <c r="AU157" s="466"/>
      <c r="AV157" s="466"/>
      <c r="AW157" s="466"/>
      <c r="AX157" s="466"/>
      <c r="AY157" s="466"/>
      <c r="AZ157" s="466"/>
      <c r="BA157" s="466"/>
      <c r="BB157" s="466"/>
      <c r="BC157" s="466"/>
      <c r="BD157" s="466"/>
      <c r="BE157" s="466"/>
      <c r="BF157" s="466"/>
      <c r="BG157" s="466"/>
      <c r="BH157" s="466"/>
      <c r="BJ157" s="463">
        <f t="shared" si="3"/>
        <v>150</v>
      </c>
      <c r="BZ157" s="467"/>
    </row>
    <row r="158" spans="8:78" ht="15.75" customHeight="1" x14ac:dyDescent="0.2">
      <c r="H158" s="464"/>
      <c r="I158" s="464"/>
      <c r="J158" s="464"/>
      <c r="K158" s="464"/>
      <c r="L158" s="464"/>
      <c r="M158" s="464"/>
      <c r="N158" s="464"/>
      <c r="O158" s="464"/>
      <c r="P158" s="464"/>
      <c r="Q158" s="464"/>
      <c r="R158" s="464"/>
      <c r="S158" s="464"/>
      <c r="T158" s="464"/>
      <c r="U158" s="464"/>
      <c r="V158" s="464"/>
      <c r="W158" s="464"/>
      <c r="X158" s="464"/>
      <c r="Y158" s="464"/>
      <c r="Z158" s="464"/>
      <c r="AA158" s="464"/>
      <c r="AB158" s="464"/>
      <c r="AC158" s="464"/>
      <c r="AD158" s="464"/>
      <c r="AE158" s="464"/>
      <c r="AF158" s="464"/>
      <c r="AG158" s="464"/>
      <c r="AH158" s="464"/>
      <c r="AI158" s="464"/>
      <c r="AJ158" s="464"/>
      <c r="AK158" s="464"/>
      <c r="AL158" s="464"/>
      <c r="AM158" s="464"/>
      <c r="AN158" s="464"/>
      <c r="AO158" s="464"/>
      <c r="AP158" s="464"/>
      <c r="AQ158" s="464"/>
      <c r="AR158" s="464"/>
      <c r="AS158" s="464"/>
      <c r="AT158" s="464"/>
      <c r="AU158" s="464"/>
      <c r="AV158" s="464"/>
      <c r="AW158" s="464"/>
      <c r="AX158" s="464"/>
      <c r="AY158" s="464"/>
      <c r="AZ158" s="464"/>
      <c r="BA158" s="464"/>
      <c r="BB158" s="464"/>
      <c r="BC158" s="464"/>
      <c r="BD158" s="464"/>
      <c r="BE158" s="464"/>
      <c r="BF158" s="464"/>
      <c r="BG158" s="464"/>
      <c r="BH158" s="464"/>
      <c r="BJ158" s="463">
        <f t="shared" si="3"/>
        <v>151</v>
      </c>
      <c r="BZ158" s="467"/>
    </row>
    <row r="159" spans="8:78" ht="15.75" customHeight="1" x14ac:dyDescent="0.2">
      <c r="H159" s="466"/>
      <c r="I159" s="466"/>
      <c r="J159" s="466"/>
      <c r="K159" s="466"/>
      <c r="L159" s="466"/>
      <c r="M159" s="466"/>
      <c r="N159" s="466"/>
      <c r="O159" s="466"/>
      <c r="P159" s="466"/>
      <c r="Q159" s="466"/>
      <c r="R159" s="466"/>
      <c r="S159" s="466"/>
      <c r="T159" s="466"/>
      <c r="U159" s="466"/>
      <c r="V159" s="466"/>
      <c r="W159" s="466"/>
      <c r="X159" s="466"/>
      <c r="Y159" s="466"/>
      <c r="Z159" s="466"/>
      <c r="AA159" s="466"/>
      <c r="AB159" s="466"/>
      <c r="AC159" s="466"/>
      <c r="AD159" s="466"/>
      <c r="AE159" s="466"/>
      <c r="AF159" s="466"/>
      <c r="AG159" s="466"/>
      <c r="AH159" s="466"/>
      <c r="AI159" s="466"/>
      <c r="AJ159" s="466"/>
      <c r="AK159" s="466"/>
      <c r="AL159" s="466"/>
      <c r="AM159" s="466"/>
      <c r="AN159" s="466"/>
      <c r="AO159" s="466"/>
      <c r="AP159" s="466"/>
      <c r="AQ159" s="466"/>
      <c r="AR159" s="466"/>
      <c r="AS159" s="466"/>
      <c r="AT159" s="466"/>
      <c r="AU159" s="466"/>
      <c r="AV159" s="466"/>
      <c r="AW159" s="466"/>
      <c r="AX159" s="466"/>
      <c r="AY159" s="466"/>
      <c r="AZ159" s="466"/>
      <c r="BA159" s="466"/>
      <c r="BB159" s="466"/>
      <c r="BC159" s="466"/>
      <c r="BD159" s="466"/>
      <c r="BE159" s="466"/>
      <c r="BF159" s="466"/>
      <c r="BG159" s="466"/>
      <c r="BH159" s="466"/>
      <c r="BJ159" s="463">
        <f t="shared" si="3"/>
        <v>152</v>
      </c>
      <c r="BZ159" s="467"/>
    </row>
    <row r="160" spans="8:78" ht="15.75" customHeight="1" x14ac:dyDescent="0.2">
      <c r="H160" s="464"/>
      <c r="I160" s="464"/>
      <c r="J160" s="464"/>
      <c r="K160" s="464"/>
      <c r="L160" s="464"/>
      <c r="M160" s="464"/>
      <c r="N160" s="464"/>
      <c r="O160" s="464"/>
      <c r="P160" s="464"/>
      <c r="Q160" s="464"/>
      <c r="R160" s="464"/>
      <c r="S160" s="464"/>
      <c r="T160" s="464"/>
      <c r="U160" s="464"/>
      <c r="V160" s="464"/>
      <c r="W160" s="464"/>
      <c r="X160" s="464"/>
      <c r="Y160" s="464"/>
      <c r="Z160" s="464"/>
      <c r="AA160" s="464"/>
      <c r="AB160" s="464"/>
      <c r="AC160" s="464"/>
      <c r="AD160" s="464"/>
      <c r="AE160" s="464"/>
      <c r="AF160" s="464"/>
      <c r="AG160" s="464"/>
      <c r="AH160" s="464"/>
      <c r="AI160" s="464"/>
      <c r="AJ160" s="464"/>
      <c r="AK160" s="464"/>
      <c r="AL160" s="464"/>
      <c r="AM160" s="464"/>
      <c r="AN160" s="464"/>
      <c r="AO160" s="464"/>
      <c r="AP160" s="464"/>
      <c r="AQ160" s="464"/>
      <c r="AR160" s="464"/>
      <c r="AS160" s="464"/>
      <c r="AT160" s="464"/>
      <c r="AU160" s="464"/>
      <c r="AV160" s="464"/>
      <c r="AW160" s="464"/>
      <c r="AX160" s="464"/>
      <c r="AY160" s="464"/>
      <c r="AZ160" s="464"/>
      <c r="BA160" s="464"/>
      <c r="BB160" s="464"/>
      <c r="BC160" s="464"/>
      <c r="BD160" s="464"/>
      <c r="BE160" s="464"/>
      <c r="BF160" s="464"/>
      <c r="BG160" s="464"/>
      <c r="BH160" s="464"/>
      <c r="BJ160" s="463">
        <f t="shared" si="3"/>
        <v>153</v>
      </c>
      <c r="BZ160" s="467"/>
    </row>
    <row r="161" spans="8:78" ht="15.75" customHeight="1" x14ac:dyDescent="0.2">
      <c r="H161" s="466"/>
      <c r="I161" s="466"/>
      <c r="J161" s="466"/>
      <c r="K161" s="466"/>
      <c r="L161" s="466"/>
      <c r="M161" s="466"/>
      <c r="N161" s="466"/>
      <c r="O161" s="466"/>
      <c r="P161" s="466"/>
      <c r="Q161" s="466"/>
      <c r="R161" s="466"/>
      <c r="S161" s="466"/>
      <c r="T161" s="466"/>
      <c r="U161" s="466"/>
      <c r="V161" s="466"/>
      <c r="W161" s="466"/>
      <c r="X161" s="466"/>
      <c r="Y161" s="466"/>
      <c r="Z161" s="466"/>
      <c r="AA161" s="466"/>
      <c r="AB161" s="466"/>
      <c r="AC161" s="466"/>
      <c r="AD161" s="466"/>
      <c r="AE161" s="466"/>
      <c r="AF161" s="466"/>
      <c r="AG161" s="466"/>
      <c r="AH161" s="466"/>
      <c r="AI161" s="466"/>
      <c r="AJ161" s="466"/>
      <c r="AK161" s="466"/>
      <c r="AL161" s="466"/>
      <c r="AM161" s="466"/>
      <c r="AN161" s="466"/>
      <c r="AO161" s="466"/>
      <c r="AP161" s="466"/>
      <c r="AQ161" s="466"/>
      <c r="AR161" s="466"/>
      <c r="AS161" s="466"/>
      <c r="AT161" s="466"/>
      <c r="AU161" s="466"/>
      <c r="AV161" s="466"/>
      <c r="AW161" s="466"/>
      <c r="AX161" s="466"/>
      <c r="AY161" s="466"/>
      <c r="AZ161" s="466"/>
      <c r="BA161" s="466"/>
      <c r="BB161" s="466"/>
      <c r="BC161" s="466"/>
      <c r="BD161" s="466"/>
      <c r="BE161" s="466"/>
      <c r="BF161" s="466"/>
      <c r="BG161" s="466"/>
      <c r="BH161" s="466"/>
      <c r="BJ161" s="463">
        <f t="shared" si="3"/>
        <v>154</v>
      </c>
      <c r="BZ161" s="467"/>
    </row>
    <row r="162" spans="8:78" ht="15.75" customHeight="1" x14ac:dyDescent="0.2">
      <c r="H162" s="464"/>
      <c r="I162" s="464"/>
      <c r="J162" s="464"/>
      <c r="K162" s="464"/>
      <c r="L162" s="464"/>
      <c r="M162" s="464"/>
      <c r="N162" s="464"/>
      <c r="O162" s="464"/>
      <c r="P162" s="464"/>
      <c r="Q162" s="464"/>
      <c r="R162" s="464"/>
      <c r="S162" s="464"/>
      <c r="T162" s="464"/>
      <c r="U162" s="464"/>
      <c r="V162" s="464"/>
      <c r="W162" s="464"/>
      <c r="X162" s="464"/>
      <c r="Y162" s="464"/>
      <c r="Z162" s="464"/>
      <c r="AA162" s="464"/>
      <c r="AB162" s="464"/>
      <c r="AC162" s="464"/>
      <c r="AD162" s="464"/>
      <c r="AE162" s="464"/>
      <c r="AF162" s="464"/>
      <c r="AG162" s="464"/>
      <c r="AH162" s="464"/>
      <c r="AI162" s="464"/>
      <c r="AJ162" s="464"/>
      <c r="AK162" s="464"/>
      <c r="AL162" s="464"/>
      <c r="AM162" s="464"/>
      <c r="AN162" s="464"/>
      <c r="AO162" s="464"/>
      <c r="AP162" s="464"/>
      <c r="AQ162" s="464"/>
      <c r="AR162" s="464"/>
      <c r="AS162" s="464"/>
      <c r="AT162" s="464"/>
      <c r="AU162" s="464"/>
      <c r="AV162" s="464"/>
      <c r="AW162" s="464"/>
      <c r="AX162" s="464"/>
      <c r="AY162" s="464"/>
      <c r="AZ162" s="464"/>
      <c r="BA162" s="464"/>
      <c r="BB162" s="464"/>
      <c r="BC162" s="464"/>
      <c r="BD162" s="464"/>
      <c r="BE162" s="464"/>
      <c r="BF162" s="464"/>
      <c r="BG162" s="464"/>
      <c r="BH162" s="464"/>
      <c r="BJ162" s="463">
        <f t="shared" si="3"/>
        <v>155</v>
      </c>
      <c r="BZ162" s="467"/>
    </row>
    <row r="163" spans="8:78" ht="15.75" customHeight="1" x14ac:dyDescent="0.2">
      <c r="H163" s="466"/>
      <c r="I163" s="466"/>
      <c r="J163" s="466"/>
      <c r="K163" s="466"/>
      <c r="L163" s="466"/>
      <c r="M163" s="466"/>
      <c r="N163" s="466"/>
      <c r="O163" s="466"/>
      <c r="P163" s="466"/>
      <c r="Q163" s="466"/>
      <c r="R163" s="466"/>
      <c r="S163" s="466"/>
      <c r="T163" s="466"/>
      <c r="U163" s="466"/>
      <c r="V163" s="466"/>
      <c r="W163" s="466"/>
      <c r="X163" s="466"/>
      <c r="Y163" s="466"/>
      <c r="Z163" s="466"/>
      <c r="AA163" s="466"/>
      <c r="AB163" s="466"/>
      <c r="AC163" s="466"/>
      <c r="AD163" s="466"/>
      <c r="AE163" s="466"/>
      <c r="AF163" s="466"/>
      <c r="AG163" s="466"/>
      <c r="AH163" s="466"/>
      <c r="AI163" s="466"/>
      <c r="AJ163" s="466"/>
      <c r="AK163" s="466"/>
      <c r="AL163" s="466"/>
      <c r="AM163" s="466"/>
      <c r="AN163" s="466"/>
      <c r="AO163" s="466"/>
      <c r="AP163" s="466"/>
      <c r="AQ163" s="466"/>
      <c r="AR163" s="466"/>
      <c r="AS163" s="466"/>
      <c r="AT163" s="466"/>
      <c r="AU163" s="466"/>
      <c r="AV163" s="466"/>
      <c r="AW163" s="466"/>
      <c r="AX163" s="466"/>
      <c r="AY163" s="466"/>
      <c r="AZ163" s="466"/>
      <c r="BA163" s="466"/>
      <c r="BB163" s="466"/>
      <c r="BC163" s="466"/>
      <c r="BD163" s="466"/>
      <c r="BE163" s="466"/>
      <c r="BF163" s="466"/>
      <c r="BG163" s="466"/>
      <c r="BH163" s="466"/>
      <c r="BJ163" s="463">
        <f t="shared" si="3"/>
        <v>156</v>
      </c>
      <c r="BZ163" s="467"/>
    </row>
    <row r="164" spans="8:78" ht="15.75" customHeight="1" x14ac:dyDescent="0.2">
      <c r="H164" s="464"/>
      <c r="I164" s="464"/>
      <c r="J164" s="464"/>
      <c r="K164" s="464"/>
      <c r="L164" s="464"/>
      <c r="M164" s="464"/>
      <c r="N164" s="464"/>
      <c r="O164" s="464"/>
      <c r="P164" s="464"/>
      <c r="Q164" s="464"/>
      <c r="R164" s="464"/>
      <c r="S164" s="464"/>
      <c r="T164" s="464"/>
      <c r="U164" s="464"/>
      <c r="V164" s="464"/>
      <c r="W164" s="464"/>
      <c r="X164" s="464"/>
      <c r="Y164" s="464"/>
      <c r="Z164" s="464"/>
      <c r="AA164" s="464"/>
      <c r="AB164" s="464"/>
      <c r="AC164" s="464"/>
      <c r="AD164" s="464"/>
      <c r="AE164" s="464"/>
      <c r="AF164" s="464"/>
      <c r="AG164" s="464"/>
      <c r="AH164" s="464"/>
      <c r="AI164" s="464"/>
      <c r="AJ164" s="464"/>
      <c r="AK164" s="464"/>
      <c r="AL164" s="464"/>
      <c r="AM164" s="464"/>
      <c r="AN164" s="464"/>
      <c r="AO164" s="464"/>
      <c r="AP164" s="464"/>
      <c r="AQ164" s="464"/>
      <c r="AR164" s="464"/>
      <c r="AS164" s="464"/>
      <c r="AT164" s="464"/>
      <c r="AU164" s="464"/>
      <c r="AV164" s="464"/>
      <c r="AW164" s="464"/>
      <c r="AX164" s="464"/>
      <c r="AY164" s="464"/>
      <c r="AZ164" s="464"/>
      <c r="BA164" s="464"/>
      <c r="BB164" s="464"/>
      <c r="BC164" s="464"/>
      <c r="BD164" s="464"/>
      <c r="BE164" s="464"/>
      <c r="BF164" s="464"/>
      <c r="BG164" s="464"/>
      <c r="BH164" s="464"/>
      <c r="BJ164" s="463">
        <f t="shared" si="3"/>
        <v>157</v>
      </c>
      <c r="BZ164" s="467"/>
    </row>
    <row r="165" spans="8:78" ht="15.75" customHeight="1" x14ac:dyDescent="0.2">
      <c r="H165" s="466"/>
      <c r="I165" s="466"/>
      <c r="J165" s="466"/>
      <c r="K165" s="466"/>
      <c r="L165" s="466"/>
      <c r="M165" s="466"/>
      <c r="N165" s="466"/>
      <c r="O165" s="466"/>
      <c r="P165" s="466"/>
      <c r="Q165" s="466"/>
      <c r="R165" s="466"/>
      <c r="S165" s="466"/>
      <c r="T165" s="466"/>
      <c r="U165" s="466"/>
      <c r="V165" s="466"/>
      <c r="W165" s="466"/>
      <c r="X165" s="466"/>
      <c r="Y165" s="466"/>
      <c r="Z165" s="466"/>
      <c r="AA165" s="466"/>
      <c r="AB165" s="466"/>
      <c r="AC165" s="466"/>
      <c r="AD165" s="466"/>
      <c r="AE165" s="466"/>
      <c r="AF165" s="466"/>
      <c r="AG165" s="466"/>
      <c r="AH165" s="466"/>
      <c r="AI165" s="466"/>
      <c r="AJ165" s="466"/>
      <c r="AK165" s="466"/>
      <c r="AL165" s="466"/>
      <c r="AM165" s="466"/>
      <c r="AN165" s="466"/>
      <c r="AO165" s="466"/>
      <c r="AP165" s="466"/>
      <c r="AQ165" s="466"/>
      <c r="AR165" s="466"/>
      <c r="AS165" s="466"/>
      <c r="AT165" s="466"/>
      <c r="AU165" s="466"/>
      <c r="AV165" s="466"/>
      <c r="AW165" s="466"/>
      <c r="AX165" s="466"/>
      <c r="AY165" s="466"/>
      <c r="AZ165" s="466"/>
      <c r="BA165" s="466"/>
      <c r="BB165" s="466"/>
      <c r="BC165" s="466"/>
      <c r="BD165" s="466"/>
      <c r="BE165" s="466"/>
      <c r="BF165" s="466"/>
      <c r="BG165" s="466"/>
      <c r="BH165" s="466"/>
      <c r="BJ165" s="463">
        <f t="shared" si="3"/>
        <v>158</v>
      </c>
      <c r="BZ165" s="467"/>
    </row>
    <row r="166" spans="8:78" ht="15.75" customHeight="1" x14ac:dyDescent="0.2">
      <c r="H166" s="464"/>
      <c r="I166" s="464"/>
      <c r="J166" s="464"/>
      <c r="K166" s="464"/>
      <c r="L166" s="464"/>
      <c r="M166" s="464"/>
      <c r="N166" s="464"/>
      <c r="O166" s="464"/>
      <c r="P166" s="464"/>
      <c r="Q166" s="464"/>
      <c r="R166" s="464"/>
      <c r="S166" s="464"/>
      <c r="T166" s="464"/>
      <c r="U166" s="464"/>
      <c r="V166" s="464"/>
      <c r="W166" s="464"/>
      <c r="X166" s="464"/>
      <c r="Y166" s="464"/>
      <c r="Z166" s="464"/>
      <c r="AA166" s="464"/>
      <c r="AB166" s="464"/>
      <c r="AC166" s="464"/>
      <c r="AD166" s="464"/>
      <c r="AE166" s="464"/>
      <c r="AF166" s="464"/>
      <c r="AG166" s="464"/>
      <c r="AH166" s="464"/>
      <c r="AI166" s="464"/>
      <c r="AJ166" s="464"/>
      <c r="AK166" s="464"/>
      <c r="AL166" s="464"/>
      <c r="AM166" s="464"/>
      <c r="AN166" s="464"/>
      <c r="AO166" s="464"/>
      <c r="AP166" s="464"/>
      <c r="AQ166" s="464"/>
      <c r="AR166" s="464"/>
      <c r="AS166" s="464"/>
      <c r="AT166" s="464"/>
      <c r="AU166" s="464"/>
      <c r="AV166" s="464"/>
      <c r="AW166" s="464"/>
      <c r="AX166" s="464"/>
      <c r="AY166" s="464"/>
      <c r="AZ166" s="464"/>
      <c r="BA166" s="464"/>
      <c r="BB166" s="464"/>
      <c r="BC166" s="464"/>
      <c r="BD166" s="464"/>
      <c r="BE166" s="464"/>
      <c r="BF166" s="464"/>
      <c r="BG166" s="464"/>
      <c r="BH166" s="464"/>
      <c r="BJ166" s="463">
        <f t="shared" si="3"/>
        <v>159</v>
      </c>
      <c r="BZ166" s="467"/>
    </row>
    <row r="167" spans="8:78" ht="15.75" customHeight="1" x14ac:dyDescent="0.2">
      <c r="H167" s="466"/>
      <c r="I167" s="466"/>
      <c r="J167" s="466"/>
      <c r="K167" s="466"/>
      <c r="L167" s="466"/>
      <c r="M167" s="466"/>
      <c r="N167" s="466"/>
      <c r="O167" s="466"/>
      <c r="P167" s="466"/>
      <c r="Q167" s="466"/>
      <c r="R167" s="466"/>
      <c r="S167" s="466"/>
      <c r="T167" s="466"/>
      <c r="U167" s="466"/>
      <c r="V167" s="466"/>
      <c r="W167" s="466"/>
      <c r="X167" s="466"/>
      <c r="Y167" s="466"/>
      <c r="Z167" s="466"/>
      <c r="AA167" s="466"/>
      <c r="AB167" s="466"/>
      <c r="AC167" s="466"/>
      <c r="AD167" s="466"/>
      <c r="AE167" s="466"/>
      <c r="AF167" s="466"/>
      <c r="AG167" s="466"/>
      <c r="AH167" s="466"/>
      <c r="AI167" s="466"/>
      <c r="AJ167" s="466"/>
      <c r="AK167" s="466"/>
      <c r="AL167" s="466"/>
      <c r="AM167" s="466"/>
      <c r="AN167" s="466"/>
      <c r="AO167" s="466"/>
      <c r="AP167" s="466"/>
      <c r="AQ167" s="466"/>
      <c r="AR167" s="466"/>
      <c r="AS167" s="466"/>
      <c r="AT167" s="466"/>
      <c r="AU167" s="466"/>
      <c r="AV167" s="466"/>
      <c r="AW167" s="466"/>
      <c r="AX167" s="466"/>
      <c r="AY167" s="466"/>
      <c r="AZ167" s="466"/>
      <c r="BA167" s="466"/>
      <c r="BB167" s="466"/>
      <c r="BC167" s="466"/>
      <c r="BD167" s="466"/>
      <c r="BE167" s="466"/>
      <c r="BF167" s="466"/>
      <c r="BG167" s="466"/>
      <c r="BH167" s="466"/>
      <c r="BJ167" s="463">
        <f t="shared" si="3"/>
        <v>160</v>
      </c>
      <c r="BZ167" s="467"/>
    </row>
    <row r="168" spans="8:78" ht="15.75" customHeight="1" x14ac:dyDescent="0.2">
      <c r="H168" s="464"/>
      <c r="I168" s="464"/>
      <c r="J168" s="464"/>
      <c r="K168" s="464"/>
      <c r="L168" s="464"/>
      <c r="M168" s="464"/>
      <c r="N168" s="464"/>
      <c r="O168" s="464"/>
      <c r="P168" s="464"/>
      <c r="Q168" s="464"/>
      <c r="R168" s="464"/>
      <c r="S168" s="464"/>
      <c r="T168" s="464"/>
      <c r="U168" s="464"/>
      <c r="V168" s="464"/>
      <c r="W168" s="464"/>
      <c r="X168" s="464"/>
      <c r="Y168" s="464"/>
      <c r="Z168" s="464"/>
      <c r="AA168" s="464"/>
      <c r="AB168" s="464"/>
      <c r="AC168" s="464"/>
      <c r="AD168" s="464"/>
      <c r="AE168" s="464"/>
      <c r="AF168" s="464"/>
      <c r="AG168" s="464"/>
      <c r="AH168" s="464"/>
      <c r="AI168" s="464"/>
      <c r="AJ168" s="464"/>
      <c r="AK168" s="464"/>
      <c r="AL168" s="464"/>
      <c r="AM168" s="464"/>
      <c r="AN168" s="464"/>
      <c r="AO168" s="464"/>
      <c r="AP168" s="464"/>
      <c r="AQ168" s="464"/>
      <c r="AR168" s="464"/>
      <c r="AS168" s="464"/>
      <c r="AT168" s="464"/>
      <c r="AU168" s="464"/>
      <c r="AV168" s="464"/>
      <c r="AW168" s="464"/>
      <c r="AX168" s="464"/>
      <c r="AY168" s="464"/>
      <c r="AZ168" s="464"/>
      <c r="BA168" s="464"/>
      <c r="BB168" s="464"/>
      <c r="BC168" s="464"/>
      <c r="BD168" s="464"/>
      <c r="BE168" s="464"/>
      <c r="BF168" s="464"/>
      <c r="BG168" s="464"/>
      <c r="BH168" s="464"/>
      <c r="BJ168" s="463">
        <f t="shared" si="3"/>
        <v>161</v>
      </c>
      <c r="BZ168" s="467"/>
    </row>
    <row r="169" spans="8:78" ht="15.75" customHeight="1" x14ac:dyDescent="0.2">
      <c r="H169" s="466"/>
      <c r="I169" s="466"/>
      <c r="J169" s="466"/>
      <c r="K169" s="466"/>
      <c r="L169" s="466"/>
      <c r="M169" s="466"/>
      <c r="N169" s="466"/>
      <c r="O169" s="466"/>
      <c r="P169" s="466"/>
      <c r="Q169" s="466"/>
      <c r="R169" s="466"/>
      <c r="S169" s="466"/>
      <c r="T169" s="466"/>
      <c r="U169" s="466"/>
      <c r="V169" s="466"/>
      <c r="W169" s="466"/>
      <c r="X169" s="466"/>
      <c r="Y169" s="466"/>
      <c r="Z169" s="466"/>
      <c r="AA169" s="466"/>
      <c r="AB169" s="466"/>
      <c r="AC169" s="466"/>
      <c r="AD169" s="466"/>
      <c r="AE169" s="466"/>
      <c r="AF169" s="466"/>
      <c r="AG169" s="466"/>
      <c r="AH169" s="466"/>
      <c r="AI169" s="466"/>
      <c r="AJ169" s="466"/>
      <c r="AK169" s="466"/>
      <c r="AL169" s="466"/>
      <c r="AM169" s="466"/>
      <c r="AN169" s="466"/>
      <c r="AO169" s="466"/>
      <c r="AP169" s="466"/>
      <c r="AQ169" s="466"/>
      <c r="AR169" s="466"/>
      <c r="AS169" s="466"/>
      <c r="AT169" s="466"/>
      <c r="AU169" s="466"/>
      <c r="AV169" s="466"/>
      <c r="AW169" s="466"/>
      <c r="AX169" s="466"/>
      <c r="AY169" s="466"/>
      <c r="AZ169" s="466"/>
      <c r="BA169" s="466"/>
      <c r="BB169" s="466"/>
      <c r="BC169" s="466"/>
      <c r="BD169" s="466"/>
      <c r="BE169" s="466"/>
      <c r="BF169" s="466"/>
      <c r="BG169" s="466"/>
      <c r="BH169" s="466"/>
      <c r="BJ169" s="463">
        <f t="shared" si="3"/>
        <v>162</v>
      </c>
      <c r="BZ169" s="467"/>
    </row>
    <row r="170" spans="8:78" ht="15.75" customHeight="1" x14ac:dyDescent="0.2">
      <c r="H170" s="464"/>
      <c r="I170" s="464"/>
      <c r="J170" s="464"/>
      <c r="K170" s="464"/>
      <c r="L170" s="464"/>
      <c r="M170" s="464"/>
      <c r="N170" s="464"/>
      <c r="O170" s="464"/>
      <c r="P170" s="464"/>
      <c r="Q170" s="464"/>
      <c r="R170" s="464"/>
      <c r="S170" s="464"/>
      <c r="T170" s="464"/>
      <c r="U170" s="464"/>
      <c r="V170" s="464"/>
      <c r="W170" s="464"/>
      <c r="X170" s="464"/>
      <c r="Y170" s="464"/>
      <c r="Z170" s="464"/>
      <c r="AA170" s="464"/>
      <c r="AB170" s="464"/>
      <c r="AC170" s="464"/>
      <c r="AD170" s="464"/>
      <c r="AE170" s="464"/>
      <c r="AF170" s="464"/>
      <c r="AG170" s="464"/>
      <c r="AH170" s="464"/>
      <c r="AI170" s="464"/>
      <c r="AJ170" s="464"/>
      <c r="AK170" s="464"/>
      <c r="AL170" s="464"/>
      <c r="AM170" s="464"/>
      <c r="AN170" s="464"/>
      <c r="AO170" s="464"/>
      <c r="AP170" s="464"/>
      <c r="AQ170" s="464"/>
      <c r="AR170" s="464"/>
      <c r="AS170" s="464"/>
      <c r="AT170" s="464"/>
      <c r="AU170" s="464"/>
      <c r="AV170" s="464"/>
      <c r="AW170" s="464"/>
      <c r="AX170" s="464"/>
      <c r="AY170" s="464"/>
      <c r="AZ170" s="464"/>
      <c r="BA170" s="464"/>
      <c r="BB170" s="464"/>
      <c r="BC170" s="464"/>
      <c r="BD170" s="464"/>
      <c r="BE170" s="464"/>
      <c r="BF170" s="464"/>
      <c r="BG170" s="464"/>
      <c r="BH170" s="464"/>
      <c r="BJ170" s="463">
        <f t="shared" si="3"/>
        <v>163</v>
      </c>
      <c r="BZ170" s="467"/>
    </row>
    <row r="171" spans="8:78" ht="15.75" customHeight="1" x14ac:dyDescent="0.2">
      <c r="H171" s="466"/>
      <c r="I171" s="466"/>
      <c r="J171" s="466"/>
      <c r="K171" s="466"/>
      <c r="L171" s="466"/>
      <c r="M171" s="466"/>
      <c r="N171" s="466"/>
      <c r="O171" s="466"/>
      <c r="P171" s="466"/>
      <c r="Q171" s="466"/>
      <c r="R171" s="466"/>
      <c r="S171" s="466"/>
      <c r="T171" s="466"/>
      <c r="U171" s="466"/>
      <c r="V171" s="466"/>
      <c r="W171" s="466"/>
      <c r="X171" s="466"/>
      <c r="Y171" s="466"/>
      <c r="Z171" s="466"/>
      <c r="AA171" s="466"/>
      <c r="AB171" s="466"/>
      <c r="AC171" s="466"/>
      <c r="AD171" s="466"/>
      <c r="AE171" s="466"/>
      <c r="AF171" s="466"/>
      <c r="AG171" s="466"/>
      <c r="AH171" s="466"/>
      <c r="AI171" s="466"/>
      <c r="AJ171" s="466"/>
      <c r="AK171" s="466"/>
      <c r="AL171" s="466"/>
      <c r="AM171" s="466"/>
      <c r="AN171" s="466"/>
      <c r="AO171" s="466"/>
      <c r="AP171" s="466"/>
      <c r="AQ171" s="466"/>
      <c r="AR171" s="466"/>
      <c r="AS171" s="466"/>
      <c r="AT171" s="466"/>
      <c r="AU171" s="466"/>
      <c r="AV171" s="466"/>
      <c r="AW171" s="466"/>
      <c r="AX171" s="466"/>
      <c r="AY171" s="466"/>
      <c r="AZ171" s="466"/>
      <c r="BA171" s="466"/>
      <c r="BB171" s="466"/>
      <c r="BC171" s="466"/>
      <c r="BD171" s="466"/>
      <c r="BE171" s="466"/>
      <c r="BF171" s="466"/>
      <c r="BG171" s="466"/>
      <c r="BH171" s="466"/>
      <c r="BJ171" s="463">
        <f t="shared" si="3"/>
        <v>164</v>
      </c>
      <c r="BZ171" s="467"/>
    </row>
    <row r="172" spans="8:78" ht="15.75" customHeight="1" x14ac:dyDescent="0.2">
      <c r="H172" s="464"/>
      <c r="I172" s="464"/>
      <c r="J172" s="464"/>
      <c r="K172" s="464"/>
      <c r="L172" s="464"/>
      <c r="M172" s="464"/>
      <c r="N172" s="464"/>
      <c r="O172" s="464"/>
      <c r="P172" s="464"/>
      <c r="Q172" s="464"/>
      <c r="R172" s="464"/>
      <c r="S172" s="464"/>
      <c r="T172" s="464"/>
      <c r="U172" s="464"/>
      <c r="V172" s="464"/>
      <c r="W172" s="464"/>
      <c r="X172" s="464"/>
      <c r="Y172" s="464"/>
      <c r="Z172" s="464"/>
      <c r="AA172" s="464"/>
      <c r="AB172" s="464"/>
      <c r="AC172" s="464"/>
      <c r="AD172" s="464"/>
      <c r="AE172" s="464"/>
      <c r="AF172" s="464"/>
      <c r="AG172" s="464"/>
      <c r="AH172" s="464"/>
      <c r="AI172" s="464"/>
      <c r="AJ172" s="464"/>
      <c r="AK172" s="464"/>
      <c r="AL172" s="464"/>
      <c r="AM172" s="464"/>
      <c r="AN172" s="464"/>
      <c r="AO172" s="464"/>
      <c r="AP172" s="464"/>
      <c r="AQ172" s="464"/>
      <c r="AR172" s="464"/>
      <c r="AS172" s="464"/>
      <c r="AT172" s="464"/>
      <c r="AU172" s="464"/>
      <c r="AV172" s="464"/>
      <c r="AW172" s="464"/>
      <c r="AX172" s="464"/>
      <c r="AY172" s="464"/>
      <c r="AZ172" s="464"/>
      <c r="BA172" s="464"/>
      <c r="BB172" s="464"/>
      <c r="BC172" s="464"/>
      <c r="BD172" s="464"/>
      <c r="BE172" s="464"/>
      <c r="BF172" s="464"/>
      <c r="BG172" s="464"/>
      <c r="BH172" s="464"/>
      <c r="BJ172" s="463">
        <f t="shared" si="3"/>
        <v>165</v>
      </c>
      <c r="BZ172" s="467"/>
    </row>
    <row r="173" spans="8:78" ht="15.75" customHeight="1" x14ac:dyDescent="0.2">
      <c r="H173" s="466"/>
      <c r="I173" s="466"/>
      <c r="J173" s="466"/>
      <c r="K173" s="466"/>
      <c r="L173" s="466"/>
      <c r="M173" s="466"/>
      <c r="N173" s="466"/>
      <c r="O173" s="466"/>
      <c r="P173" s="466"/>
      <c r="Q173" s="466"/>
      <c r="R173" s="466"/>
      <c r="S173" s="466"/>
      <c r="T173" s="466"/>
      <c r="U173" s="466"/>
      <c r="V173" s="466"/>
      <c r="W173" s="466"/>
      <c r="X173" s="466"/>
      <c r="Y173" s="466"/>
      <c r="Z173" s="466"/>
      <c r="AA173" s="466"/>
      <c r="AB173" s="466"/>
      <c r="AC173" s="466"/>
      <c r="AD173" s="466"/>
      <c r="AE173" s="466"/>
      <c r="AF173" s="466"/>
      <c r="AG173" s="466"/>
      <c r="AH173" s="466"/>
      <c r="AI173" s="466"/>
      <c r="AJ173" s="466"/>
      <c r="AK173" s="466"/>
      <c r="AL173" s="466"/>
      <c r="AM173" s="466"/>
      <c r="AN173" s="466"/>
      <c r="AO173" s="466"/>
      <c r="AP173" s="466"/>
      <c r="AQ173" s="466"/>
      <c r="AR173" s="466"/>
      <c r="AS173" s="466"/>
      <c r="AT173" s="466"/>
      <c r="AU173" s="466"/>
      <c r="AV173" s="466"/>
      <c r="AW173" s="466"/>
      <c r="AX173" s="466"/>
      <c r="AY173" s="466"/>
      <c r="AZ173" s="466"/>
      <c r="BA173" s="466"/>
      <c r="BB173" s="466"/>
      <c r="BC173" s="466"/>
      <c r="BD173" s="466"/>
      <c r="BE173" s="466"/>
      <c r="BF173" s="466"/>
      <c r="BG173" s="466"/>
      <c r="BH173" s="466"/>
      <c r="BJ173" s="463">
        <f t="shared" si="3"/>
        <v>166</v>
      </c>
      <c r="BZ173" s="467"/>
    </row>
    <row r="174" spans="8:78" ht="15.75" customHeight="1" x14ac:dyDescent="0.2">
      <c r="H174" s="464"/>
      <c r="I174" s="464"/>
      <c r="J174" s="464"/>
      <c r="K174" s="464"/>
      <c r="L174" s="464"/>
      <c r="M174" s="464"/>
      <c r="N174" s="464"/>
      <c r="O174" s="464"/>
      <c r="P174" s="464"/>
      <c r="Q174" s="464"/>
      <c r="R174" s="464"/>
      <c r="S174" s="464"/>
      <c r="T174" s="464"/>
      <c r="U174" s="464"/>
      <c r="V174" s="464"/>
      <c r="W174" s="464"/>
      <c r="X174" s="464"/>
      <c r="Y174" s="464"/>
      <c r="Z174" s="464"/>
      <c r="AA174" s="464"/>
      <c r="AB174" s="464"/>
      <c r="AC174" s="464"/>
      <c r="AD174" s="464"/>
      <c r="AE174" s="464"/>
      <c r="AF174" s="464"/>
      <c r="AG174" s="464"/>
      <c r="AH174" s="464"/>
      <c r="AI174" s="464"/>
      <c r="AJ174" s="464"/>
      <c r="AK174" s="464"/>
      <c r="AL174" s="464"/>
      <c r="AM174" s="464"/>
      <c r="AN174" s="464"/>
      <c r="AO174" s="464"/>
      <c r="AP174" s="464"/>
      <c r="AQ174" s="464"/>
      <c r="AR174" s="464"/>
      <c r="AS174" s="464"/>
      <c r="AT174" s="464"/>
      <c r="AU174" s="464"/>
      <c r="AV174" s="464"/>
      <c r="AW174" s="464"/>
      <c r="AX174" s="464"/>
      <c r="AY174" s="464"/>
      <c r="AZ174" s="464"/>
      <c r="BA174" s="464"/>
      <c r="BB174" s="464"/>
      <c r="BC174" s="464"/>
      <c r="BD174" s="464"/>
      <c r="BE174" s="464"/>
      <c r="BF174" s="464"/>
      <c r="BG174" s="464"/>
      <c r="BH174" s="464"/>
      <c r="BJ174" s="463">
        <f t="shared" si="3"/>
        <v>167</v>
      </c>
      <c r="BZ174" s="467"/>
    </row>
    <row r="175" spans="8:78" ht="15.75" customHeight="1" x14ac:dyDescent="0.2">
      <c r="H175" s="466"/>
      <c r="I175" s="466"/>
      <c r="J175" s="466"/>
      <c r="K175" s="466"/>
      <c r="L175" s="466"/>
      <c r="M175" s="466"/>
      <c r="N175" s="466"/>
      <c r="O175" s="466"/>
      <c r="P175" s="466"/>
      <c r="Q175" s="466"/>
      <c r="R175" s="466"/>
      <c r="S175" s="466"/>
      <c r="T175" s="466"/>
      <c r="U175" s="466"/>
      <c r="V175" s="466"/>
      <c r="W175" s="466"/>
      <c r="X175" s="466"/>
      <c r="Y175" s="466"/>
      <c r="Z175" s="466"/>
      <c r="AA175" s="466"/>
      <c r="AB175" s="466"/>
      <c r="AC175" s="466"/>
      <c r="AD175" s="466"/>
      <c r="AE175" s="466"/>
      <c r="AF175" s="466"/>
      <c r="AG175" s="466"/>
      <c r="AH175" s="466"/>
      <c r="AI175" s="466"/>
      <c r="AJ175" s="466"/>
      <c r="AK175" s="466"/>
      <c r="AL175" s="466"/>
      <c r="AM175" s="466"/>
      <c r="AN175" s="466"/>
      <c r="AO175" s="466"/>
      <c r="AP175" s="466"/>
      <c r="AQ175" s="466"/>
      <c r="AR175" s="466"/>
      <c r="AS175" s="466"/>
      <c r="AT175" s="466"/>
      <c r="AU175" s="466"/>
      <c r="AV175" s="466"/>
      <c r="AW175" s="466"/>
      <c r="AX175" s="466"/>
      <c r="AY175" s="466"/>
      <c r="AZ175" s="466"/>
      <c r="BA175" s="466"/>
      <c r="BB175" s="466"/>
      <c r="BC175" s="466"/>
      <c r="BD175" s="466"/>
      <c r="BE175" s="466"/>
      <c r="BF175" s="466"/>
      <c r="BG175" s="466"/>
      <c r="BH175" s="466"/>
      <c r="BJ175" s="463">
        <f t="shared" si="3"/>
        <v>168</v>
      </c>
      <c r="BZ175" s="467"/>
    </row>
    <row r="176" spans="8:78" ht="15.75" customHeight="1" x14ac:dyDescent="0.2">
      <c r="H176" s="464"/>
      <c r="I176" s="464"/>
      <c r="J176" s="464"/>
      <c r="K176" s="464"/>
      <c r="L176" s="464"/>
      <c r="M176" s="464"/>
      <c r="N176" s="464"/>
      <c r="O176" s="464"/>
      <c r="P176" s="464"/>
      <c r="Q176" s="464"/>
      <c r="R176" s="464"/>
      <c r="S176" s="464"/>
      <c r="T176" s="464"/>
      <c r="U176" s="464"/>
      <c r="V176" s="464"/>
      <c r="W176" s="464"/>
      <c r="X176" s="464"/>
      <c r="Y176" s="464"/>
      <c r="Z176" s="464"/>
      <c r="AA176" s="464"/>
      <c r="AB176" s="464"/>
      <c r="AC176" s="464"/>
      <c r="AD176" s="464"/>
      <c r="AE176" s="464"/>
      <c r="AF176" s="464"/>
      <c r="AG176" s="464"/>
      <c r="AH176" s="464"/>
      <c r="AI176" s="464"/>
      <c r="AJ176" s="464"/>
      <c r="AK176" s="464"/>
      <c r="AL176" s="464"/>
      <c r="AM176" s="464"/>
      <c r="AN176" s="464"/>
      <c r="AO176" s="464"/>
      <c r="AP176" s="464"/>
      <c r="AQ176" s="464"/>
      <c r="AR176" s="464"/>
      <c r="AS176" s="464"/>
      <c r="AT176" s="464"/>
      <c r="AU176" s="464"/>
      <c r="AV176" s="464"/>
      <c r="AW176" s="464"/>
      <c r="AX176" s="464"/>
      <c r="AY176" s="464"/>
      <c r="AZ176" s="464"/>
      <c r="BA176" s="464"/>
      <c r="BB176" s="464"/>
      <c r="BC176" s="464"/>
      <c r="BD176" s="464"/>
      <c r="BE176" s="464"/>
      <c r="BF176" s="464"/>
      <c r="BG176" s="464"/>
      <c r="BH176" s="464"/>
      <c r="BJ176" s="463">
        <f t="shared" si="3"/>
        <v>169</v>
      </c>
      <c r="BZ176" s="467"/>
    </row>
    <row r="177" spans="8:78" ht="15.75" customHeight="1" x14ac:dyDescent="0.2">
      <c r="H177" s="466"/>
      <c r="I177" s="466"/>
      <c r="J177" s="466"/>
      <c r="K177" s="466"/>
      <c r="L177" s="466"/>
      <c r="M177" s="466"/>
      <c r="N177" s="466"/>
      <c r="O177" s="466"/>
      <c r="P177" s="466"/>
      <c r="Q177" s="466"/>
      <c r="R177" s="466"/>
      <c r="S177" s="466"/>
      <c r="T177" s="466"/>
      <c r="U177" s="466"/>
      <c r="V177" s="466"/>
      <c r="W177" s="466"/>
      <c r="X177" s="466"/>
      <c r="Y177" s="466"/>
      <c r="Z177" s="466"/>
      <c r="AA177" s="466"/>
      <c r="AB177" s="466"/>
      <c r="AC177" s="466"/>
      <c r="AD177" s="466"/>
      <c r="AE177" s="466"/>
      <c r="AF177" s="466"/>
      <c r="AG177" s="466"/>
      <c r="AH177" s="466"/>
      <c r="AI177" s="466"/>
      <c r="AJ177" s="466"/>
      <c r="AK177" s="466"/>
      <c r="AL177" s="466"/>
      <c r="AM177" s="466"/>
      <c r="AN177" s="466"/>
      <c r="AO177" s="466"/>
      <c r="AP177" s="466"/>
      <c r="AQ177" s="466"/>
      <c r="AR177" s="466"/>
      <c r="AS177" s="466"/>
      <c r="AT177" s="466"/>
      <c r="AU177" s="466"/>
      <c r="AV177" s="466"/>
      <c r="AW177" s="466"/>
      <c r="AX177" s="466"/>
      <c r="AY177" s="466"/>
      <c r="AZ177" s="466"/>
      <c r="BA177" s="466"/>
      <c r="BB177" s="466"/>
      <c r="BC177" s="466"/>
      <c r="BD177" s="466"/>
      <c r="BE177" s="466"/>
      <c r="BF177" s="466"/>
      <c r="BG177" s="466"/>
      <c r="BH177" s="466"/>
      <c r="BJ177" s="463">
        <f t="shared" si="3"/>
        <v>170</v>
      </c>
      <c r="BZ177" s="467"/>
    </row>
    <row r="178" spans="8:78" ht="15.75" customHeight="1" x14ac:dyDescent="0.2">
      <c r="H178" s="464"/>
      <c r="I178" s="464"/>
      <c r="J178" s="464"/>
      <c r="K178" s="464"/>
      <c r="L178" s="464"/>
      <c r="M178" s="464"/>
      <c r="N178" s="464"/>
      <c r="O178" s="464"/>
      <c r="P178" s="464"/>
      <c r="Q178" s="464"/>
      <c r="R178" s="464"/>
      <c r="S178" s="464"/>
      <c r="T178" s="464"/>
      <c r="U178" s="464"/>
      <c r="V178" s="464"/>
      <c r="W178" s="464"/>
      <c r="X178" s="464"/>
      <c r="Y178" s="464"/>
      <c r="Z178" s="464"/>
      <c r="AA178" s="464"/>
      <c r="AB178" s="464"/>
      <c r="AC178" s="464"/>
      <c r="AD178" s="464"/>
      <c r="AE178" s="464"/>
      <c r="AF178" s="464"/>
      <c r="AG178" s="464"/>
      <c r="AH178" s="464"/>
      <c r="AI178" s="464"/>
      <c r="AJ178" s="464"/>
      <c r="AK178" s="464"/>
      <c r="AL178" s="464"/>
      <c r="AM178" s="464"/>
      <c r="AN178" s="464"/>
      <c r="AO178" s="464"/>
      <c r="AP178" s="464"/>
      <c r="AQ178" s="464"/>
      <c r="AR178" s="464"/>
      <c r="AS178" s="464"/>
      <c r="AT178" s="464"/>
      <c r="AU178" s="464"/>
      <c r="AV178" s="464"/>
      <c r="AW178" s="464"/>
      <c r="AX178" s="464"/>
      <c r="AY178" s="464"/>
      <c r="AZ178" s="464"/>
      <c r="BA178" s="464"/>
      <c r="BB178" s="464"/>
      <c r="BC178" s="464"/>
      <c r="BD178" s="464"/>
      <c r="BE178" s="464"/>
      <c r="BF178" s="464"/>
      <c r="BG178" s="464"/>
      <c r="BH178" s="464"/>
      <c r="BJ178" s="463">
        <f t="shared" si="3"/>
        <v>171</v>
      </c>
      <c r="BZ178" s="467"/>
    </row>
    <row r="179" spans="8:78" ht="15.75" customHeight="1" x14ac:dyDescent="0.2">
      <c r="H179" s="466"/>
      <c r="I179" s="466"/>
      <c r="J179" s="466"/>
      <c r="K179" s="466"/>
      <c r="L179" s="466"/>
      <c r="M179" s="466"/>
      <c r="N179" s="466"/>
      <c r="O179" s="466"/>
      <c r="P179" s="466"/>
      <c r="Q179" s="466"/>
      <c r="R179" s="466"/>
      <c r="S179" s="466"/>
      <c r="T179" s="466"/>
      <c r="U179" s="466"/>
      <c r="V179" s="466"/>
      <c r="W179" s="466"/>
      <c r="X179" s="466"/>
      <c r="Y179" s="466"/>
      <c r="Z179" s="466"/>
      <c r="AA179" s="466"/>
      <c r="AB179" s="466"/>
      <c r="AC179" s="466"/>
      <c r="AD179" s="466"/>
      <c r="AE179" s="466"/>
      <c r="AF179" s="466"/>
      <c r="AG179" s="466"/>
      <c r="AH179" s="466"/>
      <c r="AI179" s="466"/>
      <c r="AJ179" s="466"/>
      <c r="AK179" s="466"/>
      <c r="AL179" s="466"/>
      <c r="AM179" s="466"/>
      <c r="AN179" s="466"/>
      <c r="AO179" s="466"/>
      <c r="AP179" s="466"/>
      <c r="AQ179" s="466"/>
      <c r="AR179" s="466"/>
      <c r="AS179" s="466"/>
      <c r="AT179" s="466"/>
      <c r="AU179" s="466"/>
      <c r="AV179" s="466"/>
      <c r="AW179" s="466"/>
      <c r="AX179" s="466"/>
      <c r="AY179" s="466"/>
      <c r="AZ179" s="466"/>
      <c r="BA179" s="466"/>
      <c r="BB179" s="466"/>
      <c r="BC179" s="466"/>
      <c r="BD179" s="466"/>
      <c r="BE179" s="466"/>
      <c r="BF179" s="466"/>
      <c r="BG179" s="466"/>
      <c r="BH179" s="466"/>
      <c r="BJ179" s="463">
        <f t="shared" si="3"/>
        <v>172</v>
      </c>
      <c r="BZ179" s="467"/>
    </row>
    <row r="180" spans="8:78" ht="15.75" customHeight="1" x14ac:dyDescent="0.2">
      <c r="H180" s="464"/>
      <c r="I180" s="464"/>
      <c r="J180" s="464"/>
      <c r="K180" s="464"/>
      <c r="L180" s="464"/>
      <c r="M180" s="464"/>
      <c r="N180" s="464"/>
      <c r="O180" s="464"/>
      <c r="P180" s="464"/>
      <c r="Q180" s="464"/>
      <c r="R180" s="464"/>
      <c r="S180" s="464"/>
      <c r="T180" s="464"/>
      <c r="U180" s="464"/>
      <c r="V180" s="464"/>
      <c r="W180" s="464"/>
      <c r="X180" s="464"/>
      <c r="Y180" s="464"/>
      <c r="Z180" s="464"/>
      <c r="AA180" s="464"/>
      <c r="AB180" s="464"/>
      <c r="AC180" s="464"/>
      <c r="AD180" s="464"/>
      <c r="AE180" s="464"/>
      <c r="AF180" s="464"/>
      <c r="AG180" s="464"/>
      <c r="AH180" s="464"/>
      <c r="AI180" s="464"/>
      <c r="AJ180" s="464"/>
      <c r="AK180" s="464"/>
      <c r="AL180" s="464"/>
      <c r="AM180" s="464"/>
      <c r="AN180" s="464"/>
      <c r="AO180" s="464"/>
      <c r="AP180" s="464"/>
      <c r="AQ180" s="464"/>
      <c r="AR180" s="464"/>
      <c r="AS180" s="464"/>
      <c r="AT180" s="464"/>
      <c r="AU180" s="464"/>
      <c r="AV180" s="464"/>
      <c r="AW180" s="464"/>
      <c r="AX180" s="464"/>
      <c r="AY180" s="464"/>
      <c r="AZ180" s="464"/>
      <c r="BA180" s="464"/>
      <c r="BB180" s="464"/>
      <c r="BC180" s="464"/>
      <c r="BD180" s="464"/>
      <c r="BE180" s="464"/>
      <c r="BF180" s="464"/>
      <c r="BG180" s="464"/>
      <c r="BH180" s="464"/>
      <c r="BJ180" s="463">
        <f t="shared" si="3"/>
        <v>173</v>
      </c>
      <c r="BZ180" s="467"/>
    </row>
    <row r="181" spans="8:78" ht="15.75" customHeight="1" x14ac:dyDescent="0.2">
      <c r="H181" s="466"/>
      <c r="I181" s="466"/>
      <c r="J181" s="466"/>
      <c r="K181" s="466"/>
      <c r="L181" s="466"/>
      <c r="M181" s="466"/>
      <c r="N181" s="466"/>
      <c r="O181" s="466"/>
      <c r="P181" s="466"/>
      <c r="Q181" s="466"/>
      <c r="R181" s="466"/>
      <c r="S181" s="466"/>
      <c r="T181" s="466"/>
      <c r="U181" s="466"/>
      <c r="V181" s="466"/>
      <c r="W181" s="466"/>
      <c r="X181" s="466"/>
      <c r="Y181" s="466"/>
      <c r="Z181" s="466"/>
      <c r="AA181" s="466"/>
      <c r="AB181" s="466"/>
      <c r="AC181" s="466"/>
      <c r="AD181" s="466"/>
      <c r="AE181" s="466"/>
      <c r="AF181" s="466"/>
      <c r="AG181" s="466"/>
      <c r="AH181" s="466"/>
      <c r="AI181" s="466"/>
      <c r="AJ181" s="466"/>
      <c r="AK181" s="466"/>
      <c r="AL181" s="466"/>
      <c r="AM181" s="466"/>
      <c r="AN181" s="466"/>
      <c r="AO181" s="466"/>
      <c r="AP181" s="466"/>
      <c r="AQ181" s="466"/>
      <c r="AR181" s="466"/>
      <c r="AS181" s="466"/>
      <c r="AT181" s="466"/>
      <c r="AU181" s="466"/>
      <c r="AV181" s="466"/>
      <c r="AW181" s="466"/>
      <c r="AX181" s="466"/>
      <c r="AY181" s="466"/>
      <c r="AZ181" s="466"/>
      <c r="BA181" s="466"/>
      <c r="BB181" s="466"/>
      <c r="BC181" s="466"/>
      <c r="BD181" s="466"/>
      <c r="BE181" s="466"/>
      <c r="BF181" s="466"/>
      <c r="BG181" s="466"/>
      <c r="BH181" s="466"/>
      <c r="BJ181" s="463">
        <f t="shared" si="3"/>
        <v>174</v>
      </c>
      <c r="BZ181" s="467"/>
    </row>
    <row r="182" spans="8:78" ht="15.75" customHeight="1" x14ac:dyDescent="0.2">
      <c r="H182" s="464"/>
      <c r="I182" s="464"/>
      <c r="J182" s="464"/>
      <c r="K182" s="464"/>
      <c r="L182" s="464"/>
      <c r="M182" s="464"/>
      <c r="N182" s="464"/>
      <c r="O182" s="464"/>
      <c r="P182" s="464"/>
      <c r="Q182" s="464"/>
      <c r="R182" s="464"/>
      <c r="S182" s="464"/>
      <c r="T182" s="464"/>
      <c r="U182" s="464"/>
      <c r="V182" s="464"/>
      <c r="W182" s="464"/>
      <c r="X182" s="464"/>
      <c r="Y182" s="464"/>
      <c r="Z182" s="464"/>
      <c r="AA182" s="464"/>
      <c r="AB182" s="464"/>
      <c r="AC182" s="464"/>
      <c r="AD182" s="464"/>
      <c r="AE182" s="464"/>
      <c r="AF182" s="464"/>
      <c r="AG182" s="464"/>
      <c r="AH182" s="464"/>
      <c r="AI182" s="464"/>
      <c r="AJ182" s="464"/>
      <c r="AK182" s="464"/>
      <c r="AL182" s="464"/>
      <c r="AM182" s="464"/>
      <c r="AN182" s="464"/>
      <c r="AO182" s="464"/>
      <c r="AP182" s="464"/>
      <c r="AQ182" s="464"/>
      <c r="AR182" s="464"/>
      <c r="AS182" s="464"/>
      <c r="AT182" s="464"/>
      <c r="AU182" s="464"/>
      <c r="AV182" s="464"/>
      <c r="AW182" s="464"/>
      <c r="AX182" s="464"/>
      <c r="AY182" s="464"/>
      <c r="AZ182" s="464"/>
      <c r="BA182" s="464"/>
      <c r="BB182" s="464"/>
      <c r="BC182" s="464"/>
      <c r="BD182" s="464"/>
      <c r="BE182" s="464"/>
      <c r="BF182" s="464"/>
      <c r="BG182" s="464"/>
      <c r="BH182" s="464"/>
      <c r="BJ182" s="463">
        <f t="shared" si="3"/>
        <v>175</v>
      </c>
      <c r="BZ182" s="467"/>
    </row>
    <row r="183" spans="8:78" ht="15.75" customHeight="1" x14ac:dyDescent="0.2">
      <c r="H183" s="466"/>
      <c r="I183" s="466"/>
      <c r="J183" s="466"/>
      <c r="K183" s="466"/>
      <c r="L183" s="466"/>
      <c r="M183" s="466"/>
      <c r="N183" s="466"/>
      <c r="O183" s="466"/>
      <c r="P183" s="466"/>
      <c r="Q183" s="466"/>
      <c r="R183" s="466"/>
      <c r="S183" s="466"/>
      <c r="T183" s="466"/>
      <c r="U183" s="466"/>
      <c r="V183" s="466"/>
      <c r="W183" s="466"/>
      <c r="X183" s="466"/>
      <c r="Y183" s="466"/>
      <c r="Z183" s="466"/>
      <c r="AA183" s="466"/>
      <c r="AB183" s="466"/>
      <c r="AC183" s="466"/>
      <c r="AD183" s="466"/>
      <c r="AE183" s="466"/>
      <c r="AF183" s="466"/>
      <c r="AG183" s="466"/>
      <c r="AH183" s="466"/>
      <c r="AI183" s="466"/>
      <c r="AJ183" s="466"/>
      <c r="AK183" s="466"/>
      <c r="AL183" s="466"/>
      <c r="AM183" s="466"/>
      <c r="AN183" s="466"/>
      <c r="AO183" s="466"/>
      <c r="AP183" s="466"/>
      <c r="AQ183" s="466"/>
      <c r="AR183" s="466"/>
      <c r="AS183" s="466"/>
      <c r="AT183" s="466"/>
      <c r="AU183" s="466"/>
      <c r="AV183" s="466"/>
      <c r="AW183" s="466"/>
      <c r="AX183" s="466"/>
      <c r="AY183" s="466"/>
      <c r="AZ183" s="466"/>
      <c r="BA183" s="466"/>
      <c r="BB183" s="466"/>
      <c r="BC183" s="466"/>
      <c r="BD183" s="466"/>
      <c r="BE183" s="466"/>
      <c r="BF183" s="466"/>
      <c r="BG183" s="466"/>
      <c r="BH183" s="466"/>
      <c r="BJ183" s="463">
        <f t="shared" si="3"/>
        <v>176</v>
      </c>
      <c r="BZ183" s="467"/>
    </row>
    <row r="184" spans="8:78" ht="15.75" customHeight="1" x14ac:dyDescent="0.2">
      <c r="H184" s="464"/>
      <c r="I184" s="464"/>
      <c r="J184" s="464"/>
      <c r="K184" s="464"/>
      <c r="L184" s="464"/>
      <c r="M184" s="464"/>
      <c r="N184" s="464"/>
      <c r="O184" s="464"/>
      <c r="P184" s="464"/>
      <c r="Q184" s="464"/>
      <c r="R184" s="464"/>
      <c r="S184" s="464"/>
      <c r="T184" s="464"/>
      <c r="U184" s="464"/>
      <c r="V184" s="464"/>
      <c r="W184" s="464"/>
      <c r="X184" s="464"/>
      <c r="Y184" s="464"/>
      <c r="Z184" s="464"/>
      <c r="AA184" s="464"/>
      <c r="AB184" s="464"/>
      <c r="AC184" s="464"/>
      <c r="AD184" s="464"/>
      <c r="AE184" s="464"/>
      <c r="AF184" s="464"/>
      <c r="AG184" s="464"/>
      <c r="AH184" s="464"/>
      <c r="AI184" s="464"/>
      <c r="AJ184" s="464"/>
      <c r="AK184" s="464"/>
      <c r="AL184" s="464"/>
      <c r="AM184" s="464"/>
      <c r="AN184" s="464"/>
      <c r="AO184" s="464"/>
      <c r="AP184" s="464"/>
      <c r="AQ184" s="464"/>
      <c r="AR184" s="464"/>
      <c r="AS184" s="464"/>
      <c r="AT184" s="464"/>
      <c r="AU184" s="464"/>
      <c r="AV184" s="464"/>
      <c r="AW184" s="464"/>
      <c r="AX184" s="464"/>
      <c r="AY184" s="464"/>
      <c r="AZ184" s="464"/>
      <c r="BA184" s="464"/>
      <c r="BB184" s="464"/>
      <c r="BC184" s="464"/>
      <c r="BD184" s="464"/>
      <c r="BE184" s="464"/>
      <c r="BF184" s="464"/>
      <c r="BG184" s="464"/>
      <c r="BH184" s="464"/>
      <c r="BJ184" s="463">
        <f t="shared" si="3"/>
        <v>177</v>
      </c>
      <c r="BZ184" s="467"/>
    </row>
    <row r="185" spans="8:78" ht="15.75" customHeight="1" x14ac:dyDescent="0.2">
      <c r="H185" s="466"/>
      <c r="I185" s="466"/>
      <c r="J185" s="466"/>
      <c r="K185" s="466"/>
      <c r="L185" s="466"/>
      <c r="M185" s="466"/>
      <c r="N185" s="466"/>
      <c r="O185" s="466"/>
      <c r="P185" s="466"/>
      <c r="Q185" s="466"/>
      <c r="R185" s="466"/>
      <c r="S185" s="466"/>
      <c r="T185" s="466"/>
      <c r="U185" s="466"/>
      <c r="V185" s="466"/>
      <c r="W185" s="466"/>
      <c r="X185" s="466"/>
      <c r="Y185" s="466"/>
      <c r="Z185" s="466"/>
      <c r="AA185" s="466"/>
      <c r="AB185" s="466"/>
      <c r="AC185" s="466"/>
      <c r="AD185" s="466"/>
      <c r="AE185" s="466"/>
      <c r="AF185" s="466"/>
      <c r="AG185" s="466"/>
      <c r="AH185" s="466"/>
      <c r="AI185" s="466"/>
      <c r="AJ185" s="466"/>
      <c r="AK185" s="466"/>
      <c r="AL185" s="466"/>
      <c r="AM185" s="466"/>
      <c r="AN185" s="466"/>
      <c r="AO185" s="466"/>
      <c r="AP185" s="466"/>
      <c r="AQ185" s="466"/>
      <c r="AR185" s="466"/>
      <c r="AS185" s="466"/>
      <c r="AT185" s="466"/>
      <c r="AU185" s="466"/>
      <c r="AV185" s="466"/>
      <c r="AW185" s="466"/>
      <c r="AX185" s="466"/>
      <c r="AY185" s="466"/>
      <c r="AZ185" s="466"/>
      <c r="BA185" s="466"/>
      <c r="BB185" s="466"/>
      <c r="BC185" s="466"/>
      <c r="BD185" s="466"/>
      <c r="BE185" s="466"/>
      <c r="BF185" s="466"/>
      <c r="BG185" s="466"/>
      <c r="BH185" s="466"/>
      <c r="BJ185" s="463">
        <f t="shared" si="3"/>
        <v>178</v>
      </c>
      <c r="BZ185" s="467"/>
    </row>
    <row r="186" spans="8:78" ht="15.75" customHeight="1" x14ac:dyDescent="0.2">
      <c r="H186" s="464"/>
      <c r="I186" s="464"/>
      <c r="J186" s="464"/>
      <c r="K186" s="464"/>
      <c r="L186" s="464"/>
      <c r="M186" s="464"/>
      <c r="N186" s="464"/>
      <c r="O186" s="464"/>
      <c r="P186" s="464"/>
      <c r="Q186" s="464"/>
      <c r="R186" s="464"/>
      <c r="S186" s="464"/>
      <c r="T186" s="464"/>
      <c r="U186" s="464"/>
      <c r="V186" s="464"/>
      <c r="W186" s="464"/>
      <c r="X186" s="464"/>
      <c r="Y186" s="464"/>
      <c r="Z186" s="464"/>
      <c r="AA186" s="464"/>
      <c r="AB186" s="464"/>
      <c r="AC186" s="464"/>
      <c r="AD186" s="464"/>
      <c r="AE186" s="464"/>
      <c r="AF186" s="464"/>
      <c r="AG186" s="464"/>
      <c r="AH186" s="464"/>
      <c r="AI186" s="464"/>
      <c r="AJ186" s="464"/>
      <c r="AK186" s="464"/>
      <c r="AL186" s="464"/>
      <c r="AM186" s="464"/>
      <c r="AN186" s="464"/>
      <c r="AO186" s="464"/>
      <c r="AP186" s="464"/>
      <c r="AQ186" s="464"/>
      <c r="AR186" s="464"/>
      <c r="AS186" s="464"/>
      <c r="AT186" s="464"/>
      <c r="AU186" s="464"/>
      <c r="AV186" s="464"/>
      <c r="AW186" s="464"/>
      <c r="AX186" s="464"/>
      <c r="AY186" s="464"/>
      <c r="AZ186" s="464"/>
      <c r="BA186" s="464"/>
      <c r="BB186" s="464"/>
      <c r="BC186" s="464"/>
      <c r="BD186" s="464"/>
      <c r="BE186" s="464"/>
      <c r="BF186" s="464"/>
      <c r="BG186" s="464"/>
      <c r="BH186" s="464"/>
      <c r="BJ186" s="463">
        <f t="shared" si="3"/>
        <v>179</v>
      </c>
      <c r="BZ186" s="467"/>
    </row>
    <row r="187" spans="8:78" ht="15.75" customHeight="1" x14ac:dyDescent="0.2">
      <c r="H187" s="466"/>
      <c r="I187" s="466"/>
      <c r="J187" s="466"/>
      <c r="K187" s="466"/>
      <c r="L187" s="466"/>
      <c r="M187" s="466"/>
      <c r="N187" s="466"/>
      <c r="O187" s="466"/>
      <c r="P187" s="466"/>
      <c r="Q187" s="466"/>
      <c r="R187" s="466"/>
      <c r="S187" s="466"/>
      <c r="T187" s="466"/>
      <c r="U187" s="466"/>
      <c r="V187" s="466"/>
      <c r="W187" s="466"/>
      <c r="X187" s="466"/>
      <c r="Y187" s="466"/>
      <c r="Z187" s="466"/>
      <c r="AA187" s="466"/>
      <c r="AB187" s="466"/>
      <c r="AC187" s="466"/>
      <c r="AD187" s="466"/>
      <c r="AE187" s="466"/>
      <c r="AF187" s="466"/>
      <c r="AG187" s="466"/>
      <c r="AH187" s="466"/>
      <c r="AI187" s="466"/>
      <c r="AJ187" s="466"/>
      <c r="AK187" s="466"/>
      <c r="AL187" s="466"/>
      <c r="AM187" s="466"/>
      <c r="AN187" s="466"/>
      <c r="AO187" s="466"/>
      <c r="AP187" s="466"/>
      <c r="AQ187" s="466"/>
      <c r="AR187" s="466"/>
      <c r="AS187" s="466"/>
      <c r="AT187" s="466"/>
      <c r="AU187" s="466"/>
      <c r="AV187" s="466"/>
      <c r="AW187" s="466"/>
      <c r="AX187" s="466"/>
      <c r="AY187" s="466"/>
      <c r="AZ187" s="466"/>
      <c r="BA187" s="466"/>
      <c r="BB187" s="466"/>
      <c r="BC187" s="466"/>
      <c r="BD187" s="466"/>
      <c r="BE187" s="466"/>
      <c r="BF187" s="466"/>
      <c r="BG187" s="466"/>
      <c r="BH187" s="466"/>
      <c r="BJ187" s="463">
        <f t="shared" si="3"/>
        <v>180</v>
      </c>
      <c r="BZ187" s="467"/>
    </row>
    <row r="188" spans="8:78" ht="15.75" customHeight="1" x14ac:dyDescent="0.2">
      <c r="H188" s="464"/>
      <c r="I188" s="464"/>
      <c r="J188" s="464"/>
      <c r="K188" s="464"/>
      <c r="L188" s="464"/>
      <c r="M188" s="464"/>
      <c r="N188" s="464"/>
      <c r="O188" s="464"/>
      <c r="P188" s="464"/>
      <c r="Q188" s="464"/>
      <c r="R188" s="464"/>
      <c r="S188" s="464"/>
      <c r="T188" s="464"/>
      <c r="U188" s="464"/>
      <c r="V188" s="464"/>
      <c r="W188" s="464"/>
      <c r="X188" s="464"/>
      <c r="Y188" s="464"/>
      <c r="Z188" s="464"/>
      <c r="AA188" s="464"/>
      <c r="AB188" s="464"/>
      <c r="AC188" s="464"/>
      <c r="AD188" s="464"/>
      <c r="AE188" s="464"/>
      <c r="AF188" s="464"/>
      <c r="AG188" s="464"/>
      <c r="AH188" s="464"/>
      <c r="AI188" s="464"/>
      <c r="AJ188" s="464"/>
      <c r="AK188" s="464"/>
      <c r="AL188" s="464"/>
      <c r="AM188" s="464"/>
      <c r="AN188" s="464"/>
      <c r="AO188" s="464"/>
      <c r="AP188" s="464"/>
      <c r="AQ188" s="464"/>
      <c r="AR188" s="464"/>
      <c r="AS188" s="464"/>
      <c r="AT188" s="464"/>
      <c r="AU188" s="464"/>
      <c r="AV188" s="464"/>
      <c r="AW188" s="464"/>
      <c r="AX188" s="464"/>
      <c r="AY188" s="464"/>
      <c r="AZ188" s="464"/>
      <c r="BA188" s="464"/>
      <c r="BB188" s="464"/>
      <c r="BC188" s="464"/>
      <c r="BD188" s="464"/>
      <c r="BE188" s="464"/>
      <c r="BF188" s="464"/>
      <c r="BG188" s="464"/>
      <c r="BH188" s="464"/>
      <c r="BJ188" s="463">
        <f t="shared" si="3"/>
        <v>181</v>
      </c>
      <c r="BZ188" s="467"/>
    </row>
    <row r="189" spans="8:78" ht="15.75" customHeight="1" x14ac:dyDescent="0.2">
      <c r="H189" s="466"/>
      <c r="I189" s="466"/>
      <c r="J189" s="466"/>
      <c r="K189" s="466"/>
      <c r="L189" s="466"/>
      <c r="M189" s="466"/>
      <c r="N189" s="466"/>
      <c r="O189" s="466"/>
      <c r="P189" s="466"/>
      <c r="Q189" s="466"/>
      <c r="R189" s="466"/>
      <c r="S189" s="466"/>
      <c r="T189" s="466"/>
      <c r="U189" s="466"/>
      <c r="V189" s="466"/>
      <c r="W189" s="466"/>
      <c r="X189" s="466"/>
      <c r="Y189" s="466"/>
      <c r="Z189" s="466"/>
      <c r="AA189" s="466"/>
      <c r="AB189" s="466"/>
      <c r="AC189" s="466"/>
      <c r="AD189" s="466"/>
      <c r="AE189" s="466"/>
      <c r="AF189" s="466"/>
      <c r="AG189" s="466"/>
      <c r="AH189" s="466"/>
      <c r="AI189" s="466"/>
      <c r="AJ189" s="466"/>
      <c r="AK189" s="466"/>
      <c r="AL189" s="466"/>
      <c r="AM189" s="466"/>
      <c r="AN189" s="466"/>
      <c r="AO189" s="466"/>
      <c r="AP189" s="466"/>
      <c r="AQ189" s="466"/>
      <c r="AR189" s="466"/>
      <c r="AS189" s="466"/>
      <c r="AT189" s="466"/>
      <c r="AU189" s="466"/>
      <c r="AV189" s="466"/>
      <c r="AW189" s="466"/>
      <c r="AX189" s="466"/>
      <c r="AY189" s="466"/>
      <c r="AZ189" s="466"/>
      <c r="BA189" s="466"/>
      <c r="BB189" s="466"/>
      <c r="BC189" s="466"/>
      <c r="BD189" s="466"/>
      <c r="BE189" s="466"/>
      <c r="BF189" s="466"/>
      <c r="BG189" s="466"/>
      <c r="BH189" s="466"/>
      <c r="BJ189" s="463">
        <f t="shared" si="3"/>
        <v>182</v>
      </c>
      <c r="BZ189" s="467"/>
    </row>
    <row r="190" spans="8:78" ht="15.75" customHeight="1" x14ac:dyDescent="0.2">
      <c r="H190" s="464"/>
      <c r="I190" s="464"/>
      <c r="J190" s="464"/>
      <c r="K190" s="464"/>
      <c r="L190" s="464"/>
      <c r="M190" s="464"/>
      <c r="N190" s="464"/>
      <c r="O190" s="464"/>
      <c r="P190" s="464"/>
      <c r="Q190" s="464"/>
      <c r="R190" s="464"/>
      <c r="S190" s="464"/>
      <c r="T190" s="464"/>
      <c r="U190" s="464"/>
      <c r="V190" s="464"/>
      <c r="W190" s="464"/>
      <c r="X190" s="464"/>
      <c r="Y190" s="464"/>
      <c r="Z190" s="464"/>
      <c r="AA190" s="464"/>
      <c r="AB190" s="464"/>
      <c r="AC190" s="464"/>
      <c r="AD190" s="464"/>
      <c r="AE190" s="464"/>
      <c r="AF190" s="464"/>
      <c r="AG190" s="464"/>
      <c r="AH190" s="464"/>
      <c r="AI190" s="464"/>
      <c r="AJ190" s="464"/>
      <c r="AK190" s="464"/>
      <c r="AL190" s="464"/>
      <c r="AM190" s="464"/>
      <c r="AN190" s="464"/>
      <c r="AO190" s="464"/>
      <c r="AP190" s="464"/>
      <c r="AQ190" s="464"/>
      <c r="AR190" s="464"/>
      <c r="AS190" s="464"/>
      <c r="AT190" s="464"/>
      <c r="AU190" s="464"/>
      <c r="AV190" s="464"/>
      <c r="AW190" s="464"/>
      <c r="AX190" s="464"/>
      <c r="AY190" s="464"/>
      <c r="AZ190" s="464"/>
      <c r="BA190" s="464"/>
      <c r="BB190" s="464"/>
      <c r="BC190" s="464"/>
      <c r="BD190" s="464"/>
      <c r="BE190" s="464"/>
      <c r="BF190" s="464"/>
      <c r="BG190" s="464"/>
      <c r="BH190" s="464"/>
      <c r="BJ190" s="463">
        <f t="shared" si="3"/>
        <v>183</v>
      </c>
      <c r="BZ190" s="467"/>
    </row>
    <row r="191" spans="8:78" ht="15.75" customHeight="1" x14ac:dyDescent="0.2">
      <c r="H191" s="466"/>
      <c r="I191" s="466"/>
      <c r="J191" s="466"/>
      <c r="K191" s="466"/>
      <c r="L191" s="466"/>
      <c r="M191" s="466"/>
      <c r="N191" s="466"/>
      <c r="O191" s="466"/>
      <c r="P191" s="466"/>
      <c r="Q191" s="466"/>
      <c r="R191" s="466"/>
      <c r="S191" s="466"/>
      <c r="T191" s="466"/>
      <c r="U191" s="466"/>
      <c r="V191" s="466"/>
      <c r="W191" s="466"/>
      <c r="X191" s="466"/>
      <c r="Y191" s="466"/>
      <c r="Z191" s="466"/>
      <c r="AA191" s="466"/>
      <c r="AB191" s="466"/>
      <c r="AC191" s="466"/>
      <c r="AD191" s="466"/>
      <c r="AE191" s="466"/>
      <c r="AF191" s="466"/>
      <c r="AG191" s="466"/>
      <c r="AH191" s="466"/>
      <c r="AI191" s="466"/>
      <c r="AJ191" s="466"/>
      <c r="AK191" s="466"/>
      <c r="AL191" s="466"/>
      <c r="AM191" s="466"/>
      <c r="AN191" s="466"/>
      <c r="AO191" s="466"/>
      <c r="AP191" s="466"/>
      <c r="AQ191" s="466"/>
      <c r="AR191" s="466"/>
      <c r="AS191" s="466"/>
      <c r="AT191" s="466"/>
      <c r="AU191" s="466"/>
      <c r="AV191" s="466"/>
      <c r="AW191" s="466"/>
      <c r="AX191" s="466"/>
      <c r="AY191" s="466"/>
      <c r="AZ191" s="466"/>
      <c r="BA191" s="466"/>
      <c r="BB191" s="466"/>
      <c r="BC191" s="466"/>
      <c r="BD191" s="466"/>
      <c r="BE191" s="466"/>
      <c r="BF191" s="466"/>
      <c r="BG191" s="466"/>
      <c r="BH191" s="466"/>
      <c r="BJ191" s="463">
        <f t="shared" si="3"/>
        <v>184</v>
      </c>
      <c r="BZ191" s="467"/>
    </row>
    <row r="192" spans="8:78" ht="15.75" customHeight="1" x14ac:dyDescent="0.2">
      <c r="H192" s="465"/>
      <c r="I192" s="465"/>
      <c r="J192" s="465"/>
      <c r="K192" s="465"/>
      <c r="L192" s="465"/>
      <c r="M192" s="465"/>
      <c r="N192" s="465"/>
      <c r="O192" s="465"/>
      <c r="P192" s="465"/>
      <c r="Q192" s="465"/>
      <c r="R192" s="465"/>
      <c r="S192" s="465"/>
      <c r="T192" s="465"/>
      <c r="U192" s="465"/>
      <c r="V192" s="465"/>
      <c r="W192" s="465"/>
      <c r="X192" s="465"/>
      <c r="Y192" s="465"/>
      <c r="Z192" s="465"/>
      <c r="AA192" s="465"/>
      <c r="AB192" s="465"/>
      <c r="AC192" s="465"/>
      <c r="AD192" s="465"/>
      <c r="AE192" s="465"/>
      <c r="AF192" s="465"/>
      <c r="AG192" s="465"/>
      <c r="AH192" s="465"/>
      <c r="AI192" s="465"/>
      <c r="AJ192" s="465"/>
      <c r="AK192" s="465"/>
      <c r="AL192" s="465"/>
      <c r="AM192" s="465"/>
      <c r="AN192" s="465"/>
      <c r="AO192" s="465"/>
      <c r="AP192" s="465"/>
      <c r="AQ192" s="465"/>
      <c r="AR192" s="465"/>
      <c r="AS192" s="465"/>
      <c r="AT192" s="465"/>
      <c r="AU192" s="465"/>
      <c r="AV192" s="465"/>
      <c r="AW192" s="465"/>
      <c r="AX192" s="465"/>
      <c r="AY192" s="465"/>
      <c r="AZ192" s="465"/>
      <c r="BA192" s="465"/>
      <c r="BB192" s="465"/>
      <c r="BC192" s="465"/>
      <c r="BD192" s="465"/>
      <c r="BE192" s="465"/>
      <c r="BF192" s="465"/>
      <c r="BG192" s="465"/>
      <c r="BH192" s="465"/>
      <c r="BJ192" s="463">
        <f t="shared" si="3"/>
        <v>185</v>
      </c>
      <c r="BZ192" s="467"/>
    </row>
    <row r="193" spans="8:78" ht="15.75" customHeight="1" x14ac:dyDescent="0.2">
      <c r="H193" s="464"/>
      <c r="I193" s="464"/>
      <c r="J193" s="464"/>
      <c r="K193" s="464"/>
      <c r="L193" s="464"/>
      <c r="M193" s="464"/>
      <c r="N193" s="464"/>
      <c r="O193" s="464"/>
      <c r="P193" s="464"/>
      <c r="Q193" s="464"/>
      <c r="R193" s="464"/>
      <c r="S193" s="464"/>
      <c r="T193" s="464"/>
      <c r="U193" s="464"/>
      <c r="V193" s="464"/>
      <c r="W193" s="464"/>
      <c r="X193" s="464"/>
      <c r="Y193" s="464"/>
      <c r="Z193" s="464"/>
      <c r="AA193" s="464"/>
      <c r="AB193" s="464"/>
      <c r="AC193" s="464"/>
      <c r="AD193" s="464"/>
      <c r="AE193" s="464"/>
      <c r="AF193" s="464"/>
      <c r="AG193" s="464"/>
      <c r="AH193" s="464"/>
      <c r="AI193" s="464"/>
      <c r="AJ193" s="464"/>
      <c r="AK193" s="464"/>
      <c r="AL193" s="464"/>
      <c r="AM193" s="464"/>
      <c r="AN193" s="464"/>
      <c r="AO193" s="464"/>
      <c r="AP193" s="464"/>
      <c r="AQ193" s="464"/>
      <c r="AR193" s="464"/>
      <c r="AS193" s="464"/>
      <c r="AT193" s="464"/>
      <c r="AU193" s="464"/>
      <c r="AV193" s="464"/>
      <c r="AW193" s="464"/>
      <c r="AX193" s="464"/>
      <c r="AY193" s="464"/>
      <c r="AZ193" s="464"/>
      <c r="BA193" s="464"/>
      <c r="BB193" s="464"/>
      <c r="BC193" s="464"/>
      <c r="BD193" s="464"/>
      <c r="BE193" s="464"/>
      <c r="BF193" s="464"/>
      <c r="BG193" s="464"/>
      <c r="BH193" s="464"/>
      <c r="BJ193" s="463">
        <f t="shared" si="3"/>
        <v>186</v>
      </c>
      <c r="BZ193" s="467"/>
    </row>
    <row r="194" spans="8:78" ht="15.75" customHeight="1" x14ac:dyDescent="0.2">
      <c r="H194" s="465"/>
      <c r="I194" s="465"/>
      <c r="J194" s="465"/>
      <c r="K194" s="465"/>
      <c r="L194" s="465"/>
      <c r="M194" s="465"/>
      <c r="N194" s="465"/>
      <c r="O194" s="465"/>
      <c r="P194" s="465"/>
      <c r="Q194" s="465"/>
      <c r="R194" s="465"/>
      <c r="S194" s="465"/>
      <c r="T194" s="465"/>
      <c r="U194" s="465"/>
      <c r="V194" s="465"/>
      <c r="W194" s="465"/>
      <c r="X194" s="465"/>
      <c r="Y194" s="465"/>
      <c r="Z194" s="465"/>
      <c r="AA194" s="465"/>
      <c r="AB194" s="465"/>
      <c r="AC194" s="465"/>
      <c r="AD194" s="465"/>
      <c r="AE194" s="465"/>
      <c r="AF194" s="465"/>
      <c r="AG194" s="465"/>
      <c r="AH194" s="465"/>
      <c r="AI194" s="465"/>
      <c r="AJ194" s="465"/>
      <c r="AK194" s="465"/>
      <c r="AL194" s="465"/>
      <c r="AM194" s="465"/>
      <c r="AN194" s="465"/>
      <c r="AO194" s="465"/>
      <c r="AP194" s="465"/>
      <c r="AQ194" s="465"/>
      <c r="AR194" s="465"/>
      <c r="AS194" s="465"/>
      <c r="AT194" s="465"/>
      <c r="AU194" s="465"/>
      <c r="AV194" s="465"/>
      <c r="AW194" s="465"/>
      <c r="AX194" s="465"/>
      <c r="AY194" s="465"/>
      <c r="AZ194" s="465"/>
      <c r="BA194" s="465"/>
      <c r="BB194" s="465"/>
      <c r="BC194" s="465"/>
      <c r="BD194" s="465"/>
      <c r="BE194" s="465"/>
      <c r="BF194" s="465"/>
      <c r="BG194" s="465"/>
      <c r="BH194" s="465"/>
      <c r="BJ194" s="463">
        <f t="shared" si="3"/>
        <v>187</v>
      </c>
      <c r="BZ194" s="467"/>
    </row>
    <row r="195" spans="8:78" ht="15.75" customHeight="1" x14ac:dyDescent="0.2">
      <c r="H195" s="464"/>
      <c r="I195" s="464"/>
      <c r="J195" s="464"/>
      <c r="K195" s="464"/>
      <c r="L195" s="464"/>
      <c r="M195" s="464"/>
      <c r="N195" s="464"/>
      <c r="O195" s="464"/>
      <c r="P195" s="464"/>
      <c r="Q195" s="464"/>
      <c r="R195" s="464"/>
      <c r="S195" s="464"/>
      <c r="T195" s="464"/>
      <c r="U195" s="464"/>
      <c r="V195" s="464"/>
      <c r="W195" s="464"/>
      <c r="X195" s="464"/>
      <c r="Y195" s="464"/>
      <c r="Z195" s="464"/>
      <c r="AA195" s="464"/>
      <c r="AB195" s="464"/>
      <c r="AC195" s="464"/>
      <c r="AD195" s="464"/>
      <c r="AE195" s="464"/>
      <c r="AF195" s="464"/>
      <c r="AG195" s="464"/>
      <c r="AH195" s="464"/>
      <c r="AI195" s="464"/>
      <c r="AJ195" s="464"/>
      <c r="AK195" s="464"/>
      <c r="AL195" s="464"/>
      <c r="AM195" s="464"/>
      <c r="AN195" s="464"/>
      <c r="AO195" s="464"/>
      <c r="AP195" s="464"/>
      <c r="AQ195" s="464"/>
      <c r="AR195" s="464"/>
      <c r="AS195" s="464"/>
      <c r="AT195" s="464"/>
      <c r="AU195" s="464"/>
      <c r="AV195" s="464"/>
      <c r="AW195" s="464"/>
      <c r="AX195" s="464"/>
      <c r="AY195" s="464"/>
      <c r="AZ195" s="464"/>
      <c r="BA195" s="464"/>
      <c r="BB195" s="464"/>
      <c r="BC195" s="464"/>
      <c r="BD195" s="464"/>
      <c r="BE195" s="464"/>
      <c r="BF195" s="464"/>
      <c r="BG195" s="464"/>
      <c r="BH195" s="464"/>
      <c r="BJ195" s="463">
        <f t="shared" si="3"/>
        <v>188</v>
      </c>
      <c r="BZ195" s="467"/>
    </row>
    <row r="196" spans="8:78" ht="15.75" customHeight="1" x14ac:dyDescent="0.2">
      <c r="H196" s="465"/>
      <c r="I196" s="465"/>
      <c r="J196" s="465"/>
      <c r="K196" s="465"/>
      <c r="L196" s="465"/>
      <c r="M196" s="465"/>
      <c r="N196" s="465"/>
      <c r="O196" s="465"/>
      <c r="P196" s="465"/>
      <c r="Q196" s="465"/>
      <c r="R196" s="465"/>
      <c r="S196" s="465"/>
      <c r="T196" s="465"/>
      <c r="U196" s="465"/>
      <c r="V196" s="465"/>
      <c r="W196" s="465"/>
      <c r="X196" s="465"/>
      <c r="Y196" s="465"/>
      <c r="Z196" s="465"/>
      <c r="AA196" s="465"/>
      <c r="AB196" s="465"/>
      <c r="AC196" s="465"/>
      <c r="AD196" s="465"/>
      <c r="AE196" s="465"/>
      <c r="AF196" s="465"/>
      <c r="AG196" s="465"/>
      <c r="AH196" s="465"/>
      <c r="AI196" s="465"/>
      <c r="AJ196" s="465"/>
      <c r="AK196" s="465"/>
      <c r="AL196" s="465"/>
      <c r="AM196" s="465"/>
      <c r="AN196" s="465"/>
      <c r="AO196" s="465"/>
      <c r="AP196" s="465"/>
      <c r="AQ196" s="465"/>
      <c r="AR196" s="465"/>
      <c r="AS196" s="465"/>
      <c r="AT196" s="465"/>
      <c r="AU196" s="465"/>
      <c r="AV196" s="465"/>
      <c r="AW196" s="465"/>
      <c r="AX196" s="465"/>
      <c r="AY196" s="465"/>
      <c r="AZ196" s="465"/>
      <c r="BA196" s="465"/>
      <c r="BB196" s="465"/>
      <c r="BC196" s="465"/>
      <c r="BD196" s="465"/>
      <c r="BE196" s="465"/>
      <c r="BF196" s="465"/>
      <c r="BG196" s="465"/>
      <c r="BH196" s="465"/>
      <c r="BJ196" s="463">
        <f t="shared" si="3"/>
        <v>189</v>
      </c>
      <c r="BZ196" s="467"/>
    </row>
    <row r="197" spans="8:78" ht="15.75" customHeight="1" x14ac:dyDescent="0.2">
      <c r="H197" s="464"/>
      <c r="I197" s="464"/>
      <c r="J197" s="464"/>
      <c r="K197" s="464"/>
      <c r="L197" s="464"/>
      <c r="M197" s="464"/>
      <c r="N197" s="464"/>
      <c r="O197" s="464"/>
      <c r="P197" s="464"/>
      <c r="Q197" s="464"/>
      <c r="R197" s="464"/>
      <c r="S197" s="464"/>
      <c r="T197" s="464"/>
      <c r="U197" s="464"/>
      <c r="V197" s="464"/>
      <c r="W197" s="464"/>
      <c r="X197" s="464"/>
      <c r="Y197" s="464"/>
      <c r="Z197" s="464"/>
      <c r="AA197" s="464"/>
      <c r="AB197" s="464"/>
      <c r="AC197" s="464"/>
      <c r="AD197" s="464"/>
      <c r="AE197" s="464"/>
      <c r="AF197" s="464"/>
      <c r="AG197" s="464"/>
      <c r="AH197" s="464"/>
      <c r="AI197" s="464"/>
      <c r="AJ197" s="464"/>
      <c r="AK197" s="464"/>
      <c r="AL197" s="464"/>
      <c r="AM197" s="464"/>
      <c r="AN197" s="464"/>
      <c r="AO197" s="464"/>
      <c r="AP197" s="464"/>
      <c r="AQ197" s="464"/>
      <c r="AR197" s="464"/>
      <c r="AS197" s="464"/>
      <c r="AT197" s="464"/>
      <c r="AU197" s="464"/>
      <c r="AV197" s="464"/>
      <c r="AW197" s="464"/>
      <c r="AX197" s="464"/>
      <c r="AY197" s="464"/>
      <c r="AZ197" s="464"/>
      <c r="BA197" s="464"/>
      <c r="BB197" s="464"/>
      <c r="BC197" s="464"/>
      <c r="BD197" s="464"/>
      <c r="BE197" s="464"/>
      <c r="BF197" s="464"/>
      <c r="BG197" s="464"/>
      <c r="BH197" s="464"/>
      <c r="BJ197" s="463">
        <f t="shared" si="3"/>
        <v>190</v>
      </c>
      <c r="BZ197" s="467"/>
    </row>
    <row r="198" spans="8:78" ht="15.75" customHeight="1" x14ac:dyDescent="0.2">
      <c r="H198" s="465"/>
      <c r="I198" s="465"/>
      <c r="J198" s="465"/>
      <c r="K198" s="465"/>
      <c r="L198" s="465"/>
      <c r="M198" s="465"/>
      <c r="N198" s="465"/>
      <c r="O198" s="465"/>
      <c r="P198" s="465"/>
      <c r="Q198" s="465"/>
      <c r="R198" s="465"/>
      <c r="S198" s="465"/>
      <c r="T198" s="465"/>
      <c r="U198" s="465"/>
      <c r="V198" s="465"/>
      <c r="W198" s="465"/>
      <c r="X198" s="465"/>
      <c r="Y198" s="465"/>
      <c r="Z198" s="465"/>
      <c r="AA198" s="465"/>
      <c r="AB198" s="465"/>
      <c r="AC198" s="465"/>
      <c r="AD198" s="465"/>
      <c r="AE198" s="465"/>
      <c r="AF198" s="465"/>
      <c r="AG198" s="465"/>
      <c r="AH198" s="465"/>
      <c r="AI198" s="465"/>
      <c r="AJ198" s="465"/>
      <c r="AK198" s="465"/>
      <c r="AL198" s="465"/>
      <c r="AM198" s="465"/>
      <c r="AN198" s="465"/>
      <c r="AO198" s="465"/>
      <c r="AP198" s="465"/>
      <c r="AQ198" s="465"/>
      <c r="AR198" s="465"/>
      <c r="AS198" s="465"/>
      <c r="AT198" s="465"/>
      <c r="AU198" s="465"/>
      <c r="AV198" s="465"/>
      <c r="AW198" s="465"/>
      <c r="AX198" s="465"/>
      <c r="AY198" s="465"/>
      <c r="AZ198" s="465"/>
      <c r="BA198" s="465"/>
      <c r="BB198" s="465"/>
      <c r="BC198" s="465"/>
      <c r="BD198" s="465"/>
      <c r="BE198" s="465"/>
      <c r="BF198" s="465"/>
      <c r="BG198" s="465"/>
      <c r="BH198" s="465"/>
      <c r="BJ198" s="463">
        <f t="shared" si="3"/>
        <v>191</v>
      </c>
      <c r="BZ198" s="467"/>
    </row>
    <row r="199" spans="8:78" ht="15.75" customHeight="1" x14ac:dyDescent="0.2">
      <c r="H199" s="464"/>
      <c r="I199" s="464"/>
      <c r="J199" s="464"/>
      <c r="K199" s="464"/>
      <c r="L199" s="464"/>
      <c r="M199" s="464"/>
      <c r="N199" s="464"/>
      <c r="O199" s="464"/>
      <c r="P199" s="464"/>
      <c r="Q199" s="464"/>
      <c r="R199" s="464"/>
      <c r="S199" s="464"/>
      <c r="T199" s="464"/>
      <c r="U199" s="464"/>
      <c r="V199" s="464"/>
      <c r="W199" s="464"/>
      <c r="X199" s="464"/>
      <c r="Y199" s="464"/>
      <c r="Z199" s="464"/>
      <c r="AA199" s="464"/>
      <c r="AB199" s="464"/>
      <c r="AC199" s="464"/>
      <c r="AD199" s="464"/>
      <c r="AE199" s="464"/>
      <c r="AF199" s="464"/>
      <c r="AG199" s="464"/>
      <c r="AH199" s="464"/>
      <c r="AI199" s="464"/>
      <c r="AJ199" s="464"/>
      <c r="AK199" s="464"/>
      <c r="AL199" s="464"/>
      <c r="AM199" s="464"/>
      <c r="AN199" s="464"/>
      <c r="AO199" s="464"/>
      <c r="AP199" s="464"/>
      <c r="AQ199" s="464"/>
      <c r="AR199" s="464"/>
      <c r="AS199" s="464"/>
      <c r="AT199" s="464"/>
      <c r="AU199" s="464"/>
      <c r="AV199" s="464"/>
      <c r="AW199" s="464"/>
      <c r="AX199" s="464"/>
      <c r="AY199" s="464"/>
      <c r="AZ199" s="464"/>
      <c r="BA199" s="464"/>
      <c r="BB199" s="464"/>
      <c r="BC199" s="464"/>
      <c r="BD199" s="464"/>
      <c r="BE199" s="464"/>
      <c r="BF199" s="464"/>
      <c r="BG199" s="464"/>
      <c r="BH199" s="464"/>
      <c r="BJ199" s="463">
        <f t="shared" si="3"/>
        <v>192</v>
      </c>
      <c r="BZ199" s="467"/>
    </row>
    <row r="200" spans="8:78" ht="15.75" customHeight="1" x14ac:dyDescent="0.2">
      <c r="H200" s="465"/>
      <c r="I200" s="465"/>
      <c r="J200" s="465"/>
      <c r="K200" s="465"/>
      <c r="L200" s="465"/>
      <c r="M200" s="465"/>
      <c r="N200" s="465"/>
      <c r="O200" s="465"/>
      <c r="P200" s="465"/>
      <c r="Q200" s="465"/>
      <c r="R200" s="465"/>
      <c r="S200" s="465"/>
      <c r="T200" s="465"/>
      <c r="U200" s="465"/>
      <c r="V200" s="465"/>
      <c r="W200" s="465"/>
      <c r="X200" s="465"/>
      <c r="Y200" s="465"/>
      <c r="Z200" s="465"/>
      <c r="AA200" s="465"/>
      <c r="AB200" s="465"/>
      <c r="AC200" s="465"/>
      <c r="AD200" s="465"/>
      <c r="AE200" s="465"/>
      <c r="AF200" s="465"/>
      <c r="AG200" s="465"/>
      <c r="AH200" s="465"/>
      <c r="AI200" s="465"/>
      <c r="AJ200" s="465"/>
      <c r="AK200" s="465"/>
      <c r="AL200" s="465"/>
      <c r="AM200" s="465"/>
      <c r="AN200" s="465"/>
      <c r="AO200" s="465"/>
      <c r="AP200" s="465"/>
      <c r="AQ200" s="465"/>
      <c r="AR200" s="465"/>
      <c r="AS200" s="465"/>
      <c r="AT200" s="465"/>
      <c r="AU200" s="465"/>
      <c r="AV200" s="465"/>
      <c r="AW200" s="465"/>
      <c r="AX200" s="465"/>
      <c r="AY200" s="465"/>
      <c r="AZ200" s="465"/>
      <c r="BA200" s="465"/>
      <c r="BB200" s="465"/>
      <c r="BC200" s="465"/>
      <c r="BD200" s="465"/>
      <c r="BE200" s="465"/>
      <c r="BF200" s="465"/>
      <c r="BG200" s="465"/>
      <c r="BH200" s="465"/>
      <c r="BJ200" s="463">
        <f t="shared" si="3"/>
        <v>193</v>
      </c>
      <c r="BZ200" s="467"/>
    </row>
    <row r="201" spans="8:78" ht="15.75" customHeight="1" x14ac:dyDescent="0.2">
      <c r="H201" s="464"/>
      <c r="I201" s="464"/>
      <c r="J201" s="464"/>
      <c r="K201" s="464"/>
      <c r="L201" s="464"/>
      <c r="M201" s="464"/>
      <c r="N201" s="464"/>
      <c r="O201" s="464"/>
      <c r="P201" s="464"/>
      <c r="Q201" s="464"/>
      <c r="R201" s="464"/>
      <c r="S201" s="464"/>
      <c r="T201" s="464"/>
      <c r="U201" s="464"/>
      <c r="V201" s="464"/>
      <c r="W201" s="464"/>
      <c r="X201" s="464"/>
      <c r="Y201" s="464"/>
      <c r="Z201" s="464"/>
      <c r="AA201" s="464"/>
      <c r="AB201" s="464"/>
      <c r="AC201" s="464"/>
      <c r="AD201" s="464"/>
      <c r="AE201" s="464"/>
      <c r="AF201" s="464"/>
      <c r="AG201" s="464"/>
      <c r="AH201" s="464"/>
      <c r="AI201" s="464"/>
      <c r="AJ201" s="464"/>
      <c r="AK201" s="464"/>
      <c r="AL201" s="464"/>
      <c r="AM201" s="464"/>
      <c r="AN201" s="464"/>
      <c r="AO201" s="464"/>
      <c r="AP201" s="464"/>
      <c r="AQ201" s="464"/>
      <c r="AR201" s="464"/>
      <c r="AS201" s="464"/>
      <c r="AT201" s="464"/>
      <c r="AU201" s="464"/>
      <c r="AV201" s="464"/>
      <c r="AW201" s="464"/>
      <c r="AX201" s="464"/>
      <c r="AY201" s="464"/>
      <c r="AZ201" s="464"/>
      <c r="BA201" s="464"/>
      <c r="BB201" s="464"/>
      <c r="BC201" s="464"/>
      <c r="BD201" s="464"/>
      <c r="BE201" s="464"/>
      <c r="BF201" s="464"/>
      <c r="BG201" s="464"/>
      <c r="BH201" s="464"/>
      <c r="BJ201" s="463">
        <f t="shared" ref="BJ201:BJ264" si="4">BJ200+1</f>
        <v>194</v>
      </c>
      <c r="BZ201" s="467"/>
    </row>
    <row r="202" spans="8:78" ht="15.75" customHeight="1" x14ac:dyDescent="0.2">
      <c r="H202" s="465"/>
      <c r="I202" s="465"/>
      <c r="J202" s="465"/>
      <c r="K202" s="465"/>
      <c r="L202" s="465"/>
      <c r="M202" s="465"/>
      <c r="N202" s="465"/>
      <c r="O202" s="465"/>
      <c r="P202" s="465"/>
      <c r="Q202" s="465"/>
      <c r="R202" s="465"/>
      <c r="S202" s="465"/>
      <c r="T202" s="465"/>
      <c r="U202" s="465"/>
      <c r="V202" s="465"/>
      <c r="W202" s="465"/>
      <c r="X202" s="465"/>
      <c r="Y202" s="465"/>
      <c r="Z202" s="465"/>
      <c r="AA202" s="465"/>
      <c r="AB202" s="465"/>
      <c r="AC202" s="465"/>
      <c r="AD202" s="465"/>
      <c r="AE202" s="465"/>
      <c r="AF202" s="465"/>
      <c r="AG202" s="465"/>
      <c r="AH202" s="465"/>
      <c r="AI202" s="465"/>
      <c r="AJ202" s="465"/>
      <c r="AK202" s="465"/>
      <c r="AL202" s="465"/>
      <c r="AM202" s="465"/>
      <c r="AN202" s="465"/>
      <c r="AO202" s="465"/>
      <c r="AP202" s="465"/>
      <c r="AQ202" s="465"/>
      <c r="AR202" s="465"/>
      <c r="AS202" s="465"/>
      <c r="AT202" s="465"/>
      <c r="AU202" s="465"/>
      <c r="AV202" s="465"/>
      <c r="AW202" s="465"/>
      <c r="AX202" s="465"/>
      <c r="AY202" s="465"/>
      <c r="AZ202" s="465"/>
      <c r="BA202" s="465"/>
      <c r="BB202" s="465"/>
      <c r="BC202" s="465"/>
      <c r="BD202" s="465"/>
      <c r="BE202" s="465"/>
      <c r="BF202" s="465"/>
      <c r="BG202" s="465"/>
      <c r="BH202" s="465"/>
      <c r="BJ202" s="463">
        <f t="shared" si="4"/>
        <v>195</v>
      </c>
      <c r="BZ202" s="467"/>
    </row>
    <row r="203" spans="8:78" ht="15.75" customHeight="1" x14ac:dyDescent="0.2">
      <c r="H203" s="464"/>
      <c r="I203" s="464"/>
      <c r="J203" s="464"/>
      <c r="K203" s="464"/>
      <c r="L203" s="464"/>
      <c r="M203" s="464"/>
      <c r="N203" s="464"/>
      <c r="O203" s="464"/>
      <c r="P203" s="464"/>
      <c r="Q203" s="464"/>
      <c r="R203" s="464"/>
      <c r="S203" s="464"/>
      <c r="T203" s="464"/>
      <c r="U203" s="464"/>
      <c r="V203" s="464"/>
      <c r="W203" s="464"/>
      <c r="X203" s="464"/>
      <c r="Y203" s="464"/>
      <c r="Z203" s="464"/>
      <c r="AA203" s="464"/>
      <c r="AB203" s="464"/>
      <c r="AC203" s="464"/>
      <c r="AD203" s="464"/>
      <c r="AE203" s="464"/>
      <c r="AF203" s="464"/>
      <c r="AG203" s="464"/>
      <c r="AH203" s="464"/>
      <c r="AI203" s="464"/>
      <c r="AJ203" s="464"/>
      <c r="AK203" s="464"/>
      <c r="AL203" s="464"/>
      <c r="AM203" s="464"/>
      <c r="AN203" s="464"/>
      <c r="AO203" s="464"/>
      <c r="AP203" s="464"/>
      <c r="AQ203" s="464"/>
      <c r="AR203" s="464"/>
      <c r="AS203" s="464"/>
      <c r="AT203" s="464"/>
      <c r="AU203" s="464"/>
      <c r="AV203" s="464"/>
      <c r="AW203" s="464"/>
      <c r="AX203" s="464"/>
      <c r="AY203" s="464"/>
      <c r="AZ203" s="464"/>
      <c r="BA203" s="464"/>
      <c r="BB203" s="464"/>
      <c r="BC203" s="464"/>
      <c r="BD203" s="464"/>
      <c r="BE203" s="464"/>
      <c r="BF203" s="464"/>
      <c r="BG203" s="464"/>
      <c r="BH203" s="464"/>
      <c r="BJ203" s="463">
        <f t="shared" si="4"/>
        <v>196</v>
      </c>
      <c r="BZ203" s="467"/>
    </row>
    <row r="204" spans="8:78" ht="15.75" customHeight="1" x14ac:dyDescent="0.2">
      <c r="H204" s="465"/>
      <c r="I204" s="465"/>
      <c r="J204" s="465"/>
      <c r="K204" s="465"/>
      <c r="L204" s="465"/>
      <c r="M204" s="465"/>
      <c r="N204" s="465"/>
      <c r="O204" s="465"/>
      <c r="P204" s="465"/>
      <c r="Q204" s="465"/>
      <c r="R204" s="465"/>
      <c r="S204" s="465"/>
      <c r="T204" s="465"/>
      <c r="U204" s="465"/>
      <c r="V204" s="465"/>
      <c r="W204" s="465"/>
      <c r="X204" s="465"/>
      <c r="Y204" s="465"/>
      <c r="Z204" s="465"/>
      <c r="AA204" s="465"/>
      <c r="AB204" s="465"/>
      <c r="AC204" s="465"/>
      <c r="AD204" s="465"/>
      <c r="AE204" s="465"/>
      <c r="AF204" s="465"/>
      <c r="AG204" s="465"/>
      <c r="AH204" s="465"/>
      <c r="AI204" s="465"/>
      <c r="AJ204" s="465"/>
      <c r="AK204" s="465"/>
      <c r="AL204" s="465"/>
      <c r="AM204" s="465"/>
      <c r="AN204" s="465"/>
      <c r="AO204" s="465"/>
      <c r="AP204" s="465"/>
      <c r="AQ204" s="465"/>
      <c r="AR204" s="465"/>
      <c r="AS204" s="465"/>
      <c r="AT204" s="465"/>
      <c r="AU204" s="465"/>
      <c r="AV204" s="465"/>
      <c r="AW204" s="465"/>
      <c r="AX204" s="465"/>
      <c r="AY204" s="465"/>
      <c r="AZ204" s="465"/>
      <c r="BA204" s="465"/>
      <c r="BB204" s="465"/>
      <c r="BC204" s="465"/>
      <c r="BD204" s="465"/>
      <c r="BE204" s="465"/>
      <c r="BF204" s="465"/>
      <c r="BG204" s="465"/>
      <c r="BH204" s="465"/>
      <c r="BJ204" s="463">
        <f t="shared" si="4"/>
        <v>197</v>
      </c>
      <c r="BZ204" s="467"/>
    </row>
    <row r="205" spans="8:78" ht="15.75" customHeight="1" x14ac:dyDescent="0.2">
      <c r="H205" s="464"/>
      <c r="I205" s="464"/>
      <c r="J205" s="464"/>
      <c r="K205" s="464"/>
      <c r="L205" s="464"/>
      <c r="M205" s="464"/>
      <c r="N205" s="464"/>
      <c r="O205" s="464"/>
      <c r="P205" s="464"/>
      <c r="Q205" s="464"/>
      <c r="R205" s="464"/>
      <c r="S205" s="464"/>
      <c r="T205" s="464"/>
      <c r="U205" s="464"/>
      <c r="V205" s="464"/>
      <c r="W205" s="464"/>
      <c r="X205" s="464"/>
      <c r="Y205" s="464"/>
      <c r="Z205" s="464"/>
      <c r="AA205" s="464"/>
      <c r="AB205" s="464"/>
      <c r="AC205" s="464"/>
      <c r="AD205" s="464"/>
      <c r="AE205" s="464"/>
      <c r="AF205" s="464"/>
      <c r="AG205" s="464"/>
      <c r="AH205" s="464"/>
      <c r="AI205" s="464"/>
      <c r="AJ205" s="464"/>
      <c r="AK205" s="464"/>
      <c r="AL205" s="464"/>
      <c r="AM205" s="464"/>
      <c r="AN205" s="464"/>
      <c r="AO205" s="464"/>
      <c r="AP205" s="464"/>
      <c r="AQ205" s="464"/>
      <c r="AR205" s="464"/>
      <c r="AS205" s="464"/>
      <c r="AT205" s="464"/>
      <c r="AU205" s="464"/>
      <c r="AV205" s="464"/>
      <c r="AW205" s="464"/>
      <c r="AX205" s="464"/>
      <c r="AY205" s="464"/>
      <c r="AZ205" s="464"/>
      <c r="BA205" s="464"/>
      <c r="BB205" s="464"/>
      <c r="BC205" s="464"/>
      <c r="BD205" s="464"/>
      <c r="BE205" s="464"/>
      <c r="BF205" s="464"/>
      <c r="BG205" s="464"/>
      <c r="BH205" s="464"/>
      <c r="BJ205" s="463">
        <f t="shared" si="4"/>
        <v>198</v>
      </c>
      <c r="BZ205" s="467"/>
    </row>
    <row r="206" spans="8:78" ht="15.75" customHeight="1" x14ac:dyDescent="0.2">
      <c r="H206" s="465"/>
      <c r="I206" s="465"/>
      <c r="J206" s="465"/>
      <c r="K206" s="465"/>
      <c r="L206" s="465"/>
      <c r="M206" s="465"/>
      <c r="N206" s="465"/>
      <c r="O206" s="465"/>
      <c r="P206" s="465"/>
      <c r="Q206" s="465"/>
      <c r="R206" s="465"/>
      <c r="S206" s="465"/>
      <c r="T206" s="465"/>
      <c r="U206" s="465"/>
      <c r="V206" s="465"/>
      <c r="W206" s="465"/>
      <c r="X206" s="465"/>
      <c r="Y206" s="465"/>
      <c r="Z206" s="465"/>
      <c r="AA206" s="465"/>
      <c r="AB206" s="465"/>
      <c r="AC206" s="465"/>
      <c r="AD206" s="465"/>
      <c r="AE206" s="465"/>
      <c r="AF206" s="465"/>
      <c r="AG206" s="465"/>
      <c r="AH206" s="465"/>
      <c r="AI206" s="465"/>
      <c r="AJ206" s="465"/>
      <c r="AK206" s="465"/>
      <c r="AL206" s="465"/>
      <c r="AM206" s="465"/>
      <c r="AN206" s="465"/>
      <c r="AO206" s="465"/>
      <c r="AP206" s="465"/>
      <c r="AQ206" s="465"/>
      <c r="AR206" s="465"/>
      <c r="AS206" s="465"/>
      <c r="AT206" s="465"/>
      <c r="AU206" s="465"/>
      <c r="AV206" s="465"/>
      <c r="AW206" s="465"/>
      <c r="AX206" s="465"/>
      <c r="AY206" s="465"/>
      <c r="AZ206" s="465"/>
      <c r="BA206" s="465"/>
      <c r="BB206" s="465"/>
      <c r="BC206" s="465"/>
      <c r="BD206" s="465"/>
      <c r="BE206" s="465"/>
      <c r="BF206" s="465"/>
      <c r="BG206" s="465"/>
      <c r="BH206" s="465"/>
      <c r="BJ206" s="463">
        <f t="shared" si="4"/>
        <v>199</v>
      </c>
      <c r="BZ206" s="467"/>
    </row>
    <row r="207" spans="8:78" ht="15.75" customHeight="1" x14ac:dyDescent="0.2">
      <c r="H207" s="464"/>
      <c r="I207" s="464"/>
      <c r="J207" s="464"/>
      <c r="K207" s="464"/>
      <c r="L207" s="464"/>
      <c r="M207" s="464"/>
      <c r="N207" s="464"/>
      <c r="O207" s="464"/>
      <c r="P207" s="464"/>
      <c r="Q207" s="464"/>
      <c r="R207" s="464"/>
      <c r="S207" s="464"/>
      <c r="T207" s="464"/>
      <c r="U207" s="464"/>
      <c r="V207" s="464"/>
      <c r="W207" s="464"/>
      <c r="X207" s="464"/>
      <c r="Y207" s="464"/>
      <c r="Z207" s="464"/>
      <c r="AA207" s="464"/>
      <c r="AB207" s="464"/>
      <c r="AC207" s="464"/>
      <c r="AD207" s="464"/>
      <c r="AE207" s="464"/>
      <c r="AF207" s="464"/>
      <c r="AG207" s="464"/>
      <c r="AH207" s="464"/>
      <c r="AI207" s="464"/>
      <c r="AJ207" s="464"/>
      <c r="AK207" s="464"/>
      <c r="AL207" s="464"/>
      <c r="AM207" s="464"/>
      <c r="AN207" s="464"/>
      <c r="AO207" s="464"/>
      <c r="AP207" s="464"/>
      <c r="AQ207" s="464"/>
      <c r="AR207" s="464"/>
      <c r="AS207" s="464"/>
      <c r="AT207" s="464"/>
      <c r="AU207" s="464"/>
      <c r="AV207" s="464"/>
      <c r="AW207" s="464"/>
      <c r="AX207" s="464"/>
      <c r="AY207" s="464"/>
      <c r="AZ207" s="464"/>
      <c r="BA207" s="464"/>
      <c r="BB207" s="464"/>
      <c r="BC207" s="464"/>
      <c r="BD207" s="464"/>
      <c r="BE207" s="464"/>
      <c r="BF207" s="464"/>
      <c r="BG207" s="464"/>
      <c r="BH207" s="464"/>
      <c r="BJ207" s="463">
        <f t="shared" si="4"/>
        <v>200</v>
      </c>
      <c r="BZ207" s="467"/>
    </row>
    <row r="208" spans="8:78" ht="15.75" customHeight="1" x14ac:dyDescent="0.2">
      <c r="H208" s="464"/>
      <c r="I208" s="464"/>
      <c r="J208" s="464"/>
      <c r="K208" s="464"/>
      <c r="L208" s="464"/>
      <c r="M208" s="464"/>
      <c r="N208" s="464"/>
      <c r="O208" s="464"/>
      <c r="P208" s="464"/>
      <c r="Q208" s="464"/>
      <c r="R208" s="464"/>
      <c r="S208" s="464"/>
      <c r="T208" s="464"/>
      <c r="U208" s="464"/>
      <c r="V208" s="464"/>
      <c r="W208" s="464"/>
      <c r="X208" s="464"/>
      <c r="Y208" s="464"/>
      <c r="Z208" s="464"/>
      <c r="AA208" s="464"/>
      <c r="AB208" s="464"/>
      <c r="AC208" s="464"/>
      <c r="AD208" s="464"/>
      <c r="AE208" s="464"/>
      <c r="AF208" s="464"/>
      <c r="AG208" s="464"/>
      <c r="AH208" s="464"/>
      <c r="AI208" s="464"/>
      <c r="AJ208" s="464"/>
      <c r="AK208" s="464"/>
      <c r="AL208" s="464"/>
      <c r="AM208" s="464"/>
      <c r="AN208" s="464"/>
      <c r="AO208" s="464"/>
      <c r="AP208" s="464"/>
      <c r="AQ208" s="464"/>
      <c r="AR208" s="464"/>
      <c r="AS208" s="464"/>
      <c r="AT208" s="464"/>
      <c r="AU208" s="464"/>
      <c r="AV208" s="464"/>
      <c r="AW208" s="464"/>
      <c r="AX208" s="464"/>
      <c r="AY208" s="464"/>
      <c r="AZ208" s="464"/>
      <c r="BA208" s="464"/>
      <c r="BB208" s="464"/>
      <c r="BC208" s="464"/>
      <c r="BD208" s="464"/>
      <c r="BE208" s="464"/>
      <c r="BF208" s="464"/>
      <c r="BG208" s="464"/>
      <c r="BH208" s="464"/>
      <c r="BJ208" s="463">
        <f t="shared" si="4"/>
        <v>201</v>
      </c>
      <c r="BZ208" s="467"/>
    </row>
    <row r="209" spans="8:78" ht="15.75" customHeight="1" x14ac:dyDescent="0.2">
      <c r="H209" s="464"/>
      <c r="I209" s="464"/>
      <c r="J209" s="464"/>
      <c r="K209" s="464"/>
      <c r="L209" s="464"/>
      <c r="M209" s="464"/>
      <c r="N209" s="464"/>
      <c r="O209" s="464"/>
      <c r="P209" s="464"/>
      <c r="Q209" s="464"/>
      <c r="R209" s="464"/>
      <c r="S209" s="464"/>
      <c r="T209" s="464"/>
      <c r="U209" s="464"/>
      <c r="V209" s="464"/>
      <c r="W209" s="464"/>
      <c r="X209" s="464"/>
      <c r="Y209" s="464"/>
      <c r="Z209" s="464"/>
      <c r="AA209" s="464"/>
      <c r="AB209" s="464"/>
      <c r="AC209" s="464"/>
      <c r="AD209" s="464"/>
      <c r="AE209" s="464"/>
      <c r="AF209" s="464"/>
      <c r="AG209" s="464"/>
      <c r="AH209" s="464"/>
      <c r="AI209" s="464"/>
      <c r="AJ209" s="464"/>
      <c r="AK209" s="464"/>
      <c r="AL209" s="464"/>
      <c r="AM209" s="464"/>
      <c r="AN209" s="464"/>
      <c r="AO209" s="464"/>
      <c r="AP209" s="464"/>
      <c r="AQ209" s="464"/>
      <c r="AR209" s="464"/>
      <c r="AS209" s="464"/>
      <c r="AT209" s="464"/>
      <c r="AU209" s="464"/>
      <c r="AV209" s="464"/>
      <c r="AW209" s="464"/>
      <c r="AX209" s="464"/>
      <c r="AY209" s="464"/>
      <c r="AZ209" s="464"/>
      <c r="BA209" s="464"/>
      <c r="BB209" s="464"/>
      <c r="BC209" s="464"/>
      <c r="BD209" s="464"/>
      <c r="BE209" s="464"/>
      <c r="BF209" s="464"/>
      <c r="BG209" s="464"/>
      <c r="BH209" s="464"/>
      <c r="BJ209" s="463">
        <f t="shared" si="4"/>
        <v>202</v>
      </c>
      <c r="BZ209" s="467"/>
    </row>
    <row r="210" spans="8:78" ht="15.75" customHeight="1" x14ac:dyDescent="0.2">
      <c r="H210" s="464"/>
      <c r="I210" s="464"/>
      <c r="J210" s="464"/>
      <c r="K210" s="464"/>
      <c r="L210" s="464"/>
      <c r="M210" s="464"/>
      <c r="N210" s="464"/>
      <c r="O210" s="464"/>
      <c r="P210" s="464"/>
      <c r="Q210" s="464"/>
      <c r="R210" s="464"/>
      <c r="S210" s="464"/>
      <c r="T210" s="464"/>
      <c r="U210" s="464"/>
      <c r="V210" s="464"/>
      <c r="W210" s="464"/>
      <c r="X210" s="464"/>
      <c r="Y210" s="464"/>
      <c r="Z210" s="464"/>
      <c r="AA210" s="464"/>
      <c r="AB210" s="464"/>
      <c r="AC210" s="464"/>
      <c r="AD210" s="464"/>
      <c r="AE210" s="464"/>
      <c r="AF210" s="464"/>
      <c r="AG210" s="464"/>
      <c r="AH210" s="464"/>
      <c r="AI210" s="464"/>
      <c r="AJ210" s="464"/>
      <c r="AK210" s="464"/>
      <c r="AL210" s="464"/>
      <c r="AM210" s="464"/>
      <c r="AN210" s="464"/>
      <c r="AO210" s="464"/>
      <c r="AP210" s="464"/>
      <c r="AQ210" s="464"/>
      <c r="AR210" s="464"/>
      <c r="AS210" s="464"/>
      <c r="AT210" s="464"/>
      <c r="AU210" s="464"/>
      <c r="AV210" s="464"/>
      <c r="AW210" s="464"/>
      <c r="AX210" s="464"/>
      <c r="AY210" s="464"/>
      <c r="AZ210" s="464"/>
      <c r="BA210" s="464"/>
      <c r="BB210" s="464"/>
      <c r="BC210" s="464"/>
      <c r="BD210" s="464"/>
      <c r="BE210" s="464"/>
      <c r="BF210" s="464"/>
      <c r="BG210" s="464"/>
      <c r="BH210" s="464"/>
      <c r="BJ210" s="463">
        <f t="shared" si="4"/>
        <v>203</v>
      </c>
      <c r="BZ210" s="467"/>
    </row>
    <row r="211" spans="8:78" ht="15.75" customHeight="1" x14ac:dyDescent="0.2">
      <c r="H211" s="464"/>
      <c r="I211" s="464"/>
      <c r="J211" s="464"/>
      <c r="K211" s="464"/>
      <c r="L211" s="464"/>
      <c r="M211" s="464"/>
      <c r="N211" s="464"/>
      <c r="O211" s="464"/>
      <c r="P211" s="464"/>
      <c r="Q211" s="464"/>
      <c r="R211" s="464"/>
      <c r="S211" s="464"/>
      <c r="T211" s="464"/>
      <c r="U211" s="464"/>
      <c r="V211" s="464"/>
      <c r="W211" s="464"/>
      <c r="X211" s="464"/>
      <c r="Y211" s="464"/>
      <c r="Z211" s="464"/>
      <c r="AA211" s="464"/>
      <c r="AB211" s="464"/>
      <c r="AC211" s="464"/>
      <c r="AD211" s="464"/>
      <c r="AE211" s="464"/>
      <c r="AF211" s="464"/>
      <c r="AG211" s="464"/>
      <c r="AH211" s="464"/>
      <c r="AI211" s="464"/>
      <c r="AJ211" s="464"/>
      <c r="AK211" s="464"/>
      <c r="AL211" s="464"/>
      <c r="AM211" s="464"/>
      <c r="AN211" s="464"/>
      <c r="AO211" s="464"/>
      <c r="AP211" s="464"/>
      <c r="AQ211" s="464"/>
      <c r="AR211" s="464"/>
      <c r="AS211" s="464"/>
      <c r="AT211" s="464"/>
      <c r="AU211" s="464"/>
      <c r="AV211" s="464"/>
      <c r="AW211" s="464"/>
      <c r="AX211" s="464"/>
      <c r="AY211" s="464"/>
      <c r="AZ211" s="464"/>
      <c r="BA211" s="464"/>
      <c r="BB211" s="464"/>
      <c r="BC211" s="464"/>
      <c r="BD211" s="464"/>
      <c r="BE211" s="464"/>
      <c r="BF211" s="464"/>
      <c r="BG211" s="464"/>
      <c r="BH211" s="464"/>
      <c r="BJ211" s="463">
        <f t="shared" si="4"/>
        <v>204</v>
      </c>
      <c r="BZ211" s="467"/>
    </row>
    <row r="212" spans="8:78" ht="15.75" customHeight="1" x14ac:dyDescent="0.2">
      <c r="H212" s="464"/>
      <c r="I212" s="464"/>
      <c r="J212" s="464"/>
      <c r="K212" s="464"/>
      <c r="L212" s="464"/>
      <c r="M212" s="464"/>
      <c r="N212" s="464"/>
      <c r="O212" s="464"/>
      <c r="P212" s="464"/>
      <c r="Q212" s="464"/>
      <c r="R212" s="464"/>
      <c r="S212" s="464"/>
      <c r="T212" s="464"/>
      <c r="U212" s="464"/>
      <c r="V212" s="464"/>
      <c r="W212" s="464"/>
      <c r="X212" s="464"/>
      <c r="Y212" s="464"/>
      <c r="Z212" s="464"/>
      <c r="AA212" s="464"/>
      <c r="AB212" s="464"/>
      <c r="AC212" s="464"/>
      <c r="AD212" s="464"/>
      <c r="AE212" s="464"/>
      <c r="AF212" s="464"/>
      <c r="AG212" s="464"/>
      <c r="AH212" s="464"/>
      <c r="AI212" s="464"/>
      <c r="AJ212" s="464"/>
      <c r="AK212" s="464"/>
      <c r="AL212" s="464"/>
      <c r="AM212" s="464"/>
      <c r="AN212" s="464"/>
      <c r="AO212" s="464"/>
      <c r="AP212" s="464"/>
      <c r="AQ212" s="464"/>
      <c r="AR212" s="464"/>
      <c r="AS212" s="464"/>
      <c r="AT212" s="464"/>
      <c r="AU212" s="464"/>
      <c r="AV212" s="464"/>
      <c r="AW212" s="464"/>
      <c r="AX212" s="464"/>
      <c r="AY212" s="464"/>
      <c r="AZ212" s="464"/>
      <c r="BA212" s="464"/>
      <c r="BB212" s="464"/>
      <c r="BC212" s="464"/>
      <c r="BD212" s="464"/>
      <c r="BE212" s="464"/>
      <c r="BF212" s="464"/>
      <c r="BG212" s="464"/>
      <c r="BH212" s="464"/>
      <c r="BJ212" s="463">
        <f t="shared" si="4"/>
        <v>205</v>
      </c>
      <c r="BZ212" s="467"/>
    </row>
    <row r="213" spans="8:78" ht="15.75" customHeight="1" x14ac:dyDescent="0.2">
      <c r="H213" s="464"/>
      <c r="I213" s="464"/>
      <c r="J213" s="464"/>
      <c r="K213" s="464"/>
      <c r="L213" s="464"/>
      <c r="M213" s="464"/>
      <c r="N213" s="464"/>
      <c r="O213" s="464"/>
      <c r="P213" s="464"/>
      <c r="Q213" s="464"/>
      <c r="R213" s="464"/>
      <c r="S213" s="464"/>
      <c r="T213" s="464"/>
      <c r="U213" s="464"/>
      <c r="V213" s="464"/>
      <c r="W213" s="464"/>
      <c r="X213" s="464"/>
      <c r="Y213" s="464"/>
      <c r="Z213" s="464"/>
      <c r="AA213" s="464"/>
      <c r="AB213" s="464"/>
      <c r="AC213" s="464"/>
      <c r="AD213" s="464"/>
      <c r="AE213" s="464"/>
      <c r="AF213" s="464"/>
      <c r="AG213" s="464"/>
      <c r="AH213" s="464"/>
      <c r="AI213" s="464"/>
      <c r="AJ213" s="464"/>
      <c r="AK213" s="464"/>
      <c r="AL213" s="464"/>
      <c r="AM213" s="464"/>
      <c r="AN213" s="464"/>
      <c r="AO213" s="464"/>
      <c r="AP213" s="464"/>
      <c r="AQ213" s="464"/>
      <c r="AR213" s="464"/>
      <c r="AS213" s="464"/>
      <c r="AT213" s="464"/>
      <c r="AU213" s="464"/>
      <c r="AV213" s="464"/>
      <c r="AW213" s="464"/>
      <c r="AX213" s="464"/>
      <c r="AY213" s="464"/>
      <c r="AZ213" s="464"/>
      <c r="BA213" s="464"/>
      <c r="BB213" s="464"/>
      <c r="BC213" s="464"/>
      <c r="BD213" s="464"/>
      <c r="BE213" s="464"/>
      <c r="BF213" s="464"/>
      <c r="BG213" s="464"/>
      <c r="BH213" s="464"/>
      <c r="BJ213" s="463">
        <f t="shared" si="4"/>
        <v>206</v>
      </c>
      <c r="BZ213" s="467"/>
    </row>
    <row r="214" spans="8:78" ht="15.75" customHeight="1" x14ac:dyDescent="0.2">
      <c r="H214" s="464"/>
      <c r="I214" s="464"/>
      <c r="J214" s="464"/>
      <c r="K214" s="464"/>
      <c r="L214" s="464"/>
      <c r="M214" s="464"/>
      <c r="N214" s="464"/>
      <c r="O214" s="464"/>
      <c r="P214" s="464"/>
      <c r="Q214" s="464"/>
      <c r="R214" s="464"/>
      <c r="S214" s="464"/>
      <c r="T214" s="464"/>
      <c r="U214" s="464"/>
      <c r="V214" s="464"/>
      <c r="W214" s="464"/>
      <c r="X214" s="464"/>
      <c r="Y214" s="464"/>
      <c r="Z214" s="464"/>
      <c r="AA214" s="464"/>
      <c r="AB214" s="464"/>
      <c r="AC214" s="464"/>
      <c r="AD214" s="464"/>
      <c r="AE214" s="464"/>
      <c r="AF214" s="464"/>
      <c r="AG214" s="464"/>
      <c r="AH214" s="464"/>
      <c r="AI214" s="464"/>
      <c r="AJ214" s="464"/>
      <c r="AK214" s="464"/>
      <c r="AL214" s="464"/>
      <c r="AM214" s="464"/>
      <c r="AN214" s="464"/>
      <c r="AO214" s="464"/>
      <c r="AP214" s="464"/>
      <c r="AQ214" s="464"/>
      <c r="AR214" s="464"/>
      <c r="AS214" s="464"/>
      <c r="AT214" s="464"/>
      <c r="AU214" s="464"/>
      <c r="AV214" s="464"/>
      <c r="AW214" s="464"/>
      <c r="AX214" s="464"/>
      <c r="AY214" s="464"/>
      <c r="AZ214" s="464"/>
      <c r="BA214" s="464"/>
      <c r="BB214" s="464"/>
      <c r="BC214" s="464"/>
      <c r="BD214" s="464"/>
      <c r="BE214" s="464"/>
      <c r="BF214" s="464"/>
      <c r="BG214" s="464"/>
      <c r="BH214" s="464"/>
      <c r="BJ214" s="463">
        <f t="shared" si="4"/>
        <v>207</v>
      </c>
      <c r="BZ214" s="467"/>
    </row>
    <row r="215" spans="8:78" ht="15.75" customHeight="1" x14ac:dyDescent="0.2">
      <c r="H215" s="464"/>
      <c r="I215" s="464"/>
      <c r="J215" s="464"/>
      <c r="K215" s="464"/>
      <c r="L215" s="464"/>
      <c r="M215" s="464"/>
      <c r="N215" s="464"/>
      <c r="O215" s="464"/>
      <c r="P215" s="464"/>
      <c r="Q215" s="464"/>
      <c r="R215" s="464"/>
      <c r="S215" s="464"/>
      <c r="T215" s="464"/>
      <c r="U215" s="464"/>
      <c r="V215" s="464"/>
      <c r="W215" s="464"/>
      <c r="X215" s="464"/>
      <c r="Y215" s="464"/>
      <c r="Z215" s="464"/>
      <c r="AA215" s="464"/>
      <c r="AB215" s="464"/>
      <c r="AC215" s="464"/>
      <c r="AD215" s="464"/>
      <c r="AE215" s="464"/>
      <c r="AF215" s="464"/>
      <c r="AG215" s="464"/>
      <c r="AH215" s="464"/>
      <c r="AI215" s="464"/>
      <c r="AJ215" s="464"/>
      <c r="AK215" s="464"/>
      <c r="AL215" s="464"/>
      <c r="AM215" s="464"/>
      <c r="AN215" s="464"/>
      <c r="AO215" s="464"/>
      <c r="AP215" s="464"/>
      <c r="AQ215" s="464"/>
      <c r="AR215" s="464"/>
      <c r="AS215" s="464"/>
      <c r="AT215" s="464"/>
      <c r="AU215" s="464"/>
      <c r="AV215" s="464"/>
      <c r="AW215" s="464"/>
      <c r="AX215" s="464"/>
      <c r="AY215" s="464"/>
      <c r="AZ215" s="464"/>
      <c r="BA215" s="464"/>
      <c r="BB215" s="464"/>
      <c r="BC215" s="464"/>
      <c r="BD215" s="464"/>
      <c r="BE215" s="464"/>
      <c r="BF215" s="464"/>
      <c r="BG215" s="464"/>
      <c r="BH215" s="464"/>
      <c r="BJ215" s="463">
        <f t="shared" si="4"/>
        <v>208</v>
      </c>
      <c r="BZ215" s="467"/>
    </row>
    <row r="216" spans="8:78" ht="15.75" customHeight="1" x14ac:dyDescent="0.2">
      <c r="H216" s="464"/>
      <c r="I216" s="464"/>
      <c r="J216" s="464"/>
      <c r="K216" s="464"/>
      <c r="L216" s="464"/>
      <c r="M216" s="464"/>
      <c r="N216" s="464"/>
      <c r="O216" s="464"/>
      <c r="P216" s="464"/>
      <c r="Q216" s="464"/>
      <c r="R216" s="464"/>
      <c r="S216" s="464"/>
      <c r="T216" s="464"/>
      <c r="U216" s="464"/>
      <c r="V216" s="464"/>
      <c r="W216" s="464"/>
      <c r="X216" s="464"/>
      <c r="Y216" s="464"/>
      <c r="Z216" s="464"/>
      <c r="AA216" s="464"/>
      <c r="AB216" s="464"/>
      <c r="AC216" s="464"/>
      <c r="AD216" s="464"/>
      <c r="AE216" s="464"/>
      <c r="AF216" s="464"/>
      <c r="AG216" s="464"/>
      <c r="AH216" s="464"/>
      <c r="AI216" s="464"/>
      <c r="AJ216" s="464"/>
      <c r="AK216" s="464"/>
      <c r="AL216" s="464"/>
      <c r="AM216" s="464"/>
      <c r="AN216" s="464"/>
      <c r="AO216" s="464"/>
      <c r="AP216" s="464"/>
      <c r="AQ216" s="464"/>
      <c r="AR216" s="464"/>
      <c r="AS216" s="464"/>
      <c r="AT216" s="464"/>
      <c r="AU216" s="464"/>
      <c r="AV216" s="464"/>
      <c r="AW216" s="464"/>
      <c r="AX216" s="464"/>
      <c r="AY216" s="464"/>
      <c r="AZ216" s="464"/>
      <c r="BA216" s="464"/>
      <c r="BB216" s="464"/>
      <c r="BC216" s="464"/>
      <c r="BD216" s="464"/>
      <c r="BE216" s="464"/>
      <c r="BF216" s="464"/>
      <c r="BG216" s="464"/>
      <c r="BH216" s="464"/>
      <c r="BJ216" s="463">
        <f t="shared" si="4"/>
        <v>209</v>
      </c>
      <c r="BZ216" s="467"/>
    </row>
    <row r="217" spans="8:78" ht="15.75" customHeight="1" x14ac:dyDescent="0.2">
      <c r="H217" s="464"/>
      <c r="I217" s="464"/>
      <c r="J217" s="464"/>
      <c r="K217" s="464"/>
      <c r="L217" s="464"/>
      <c r="M217" s="464"/>
      <c r="N217" s="464"/>
      <c r="O217" s="464"/>
      <c r="P217" s="464"/>
      <c r="Q217" s="464"/>
      <c r="R217" s="464"/>
      <c r="S217" s="464"/>
      <c r="T217" s="464"/>
      <c r="U217" s="464"/>
      <c r="V217" s="464"/>
      <c r="W217" s="464"/>
      <c r="X217" s="464"/>
      <c r="Y217" s="464"/>
      <c r="Z217" s="464"/>
      <c r="AA217" s="464"/>
      <c r="AB217" s="464"/>
      <c r="AC217" s="464"/>
      <c r="AD217" s="464"/>
      <c r="AE217" s="464"/>
      <c r="AF217" s="464"/>
      <c r="AG217" s="464"/>
      <c r="AH217" s="464"/>
      <c r="AI217" s="464"/>
      <c r="AJ217" s="464"/>
      <c r="AK217" s="464"/>
      <c r="AL217" s="464"/>
      <c r="AM217" s="464"/>
      <c r="AN217" s="464"/>
      <c r="AO217" s="464"/>
      <c r="AP217" s="464"/>
      <c r="AQ217" s="464"/>
      <c r="AR217" s="464"/>
      <c r="AS217" s="464"/>
      <c r="AT217" s="464"/>
      <c r="AU217" s="464"/>
      <c r="AV217" s="464"/>
      <c r="AW217" s="464"/>
      <c r="AX217" s="464"/>
      <c r="AY217" s="464"/>
      <c r="AZ217" s="464"/>
      <c r="BA217" s="464"/>
      <c r="BB217" s="464"/>
      <c r="BC217" s="464"/>
      <c r="BD217" s="464"/>
      <c r="BE217" s="464"/>
      <c r="BF217" s="464"/>
      <c r="BG217" s="464"/>
      <c r="BH217" s="464"/>
      <c r="BJ217" s="463">
        <f t="shared" si="4"/>
        <v>210</v>
      </c>
      <c r="BZ217" s="467"/>
    </row>
    <row r="218" spans="8:78" ht="15.75" customHeight="1" x14ac:dyDescent="0.2">
      <c r="H218" s="464"/>
      <c r="I218" s="464"/>
      <c r="J218" s="464"/>
      <c r="K218" s="464"/>
      <c r="L218" s="464"/>
      <c r="M218" s="464"/>
      <c r="N218" s="464"/>
      <c r="O218" s="464"/>
      <c r="P218" s="464"/>
      <c r="Q218" s="464"/>
      <c r="R218" s="464"/>
      <c r="S218" s="464"/>
      <c r="T218" s="464"/>
      <c r="U218" s="464"/>
      <c r="V218" s="464"/>
      <c r="W218" s="464"/>
      <c r="X218" s="464"/>
      <c r="Y218" s="464"/>
      <c r="Z218" s="464"/>
      <c r="AA218" s="464"/>
      <c r="AB218" s="464"/>
      <c r="AC218" s="464"/>
      <c r="AD218" s="464"/>
      <c r="AE218" s="464"/>
      <c r="AF218" s="464"/>
      <c r="AG218" s="464"/>
      <c r="AH218" s="464"/>
      <c r="AI218" s="464"/>
      <c r="AJ218" s="464"/>
      <c r="AK218" s="464"/>
      <c r="AL218" s="464"/>
      <c r="AM218" s="464"/>
      <c r="AN218" s="464"/>
      <c r="AO218" s="464"/>
      <c r="AP218" s="464"/>
      <c r="AQ218" s="464"/>
      <c r="AR218" s="464"/>
      <c r="AS218" s="464"/>
      <c r="AT218" s="464"/>
      <c r="AU218" s="464"/>
      <c r="AV218" s="464"/>
      <c r="AW218" s="464"/>
      <c r="AX218" s="464"/>
      <c r="AY218" s="464"/>
      <c r="AZ218" s="464"/>
      <c r="BA218" s="464"/>
      <c r="BB218" s="464"/>
      <c r="BC218" s="464"/>
      <c r="BD218" s="464"/>
      <c r="BE218" s="464"/>
      <c r="BF218" s="464"/>
      <c r="BG218" s="464"/>
      <c r="BH218" s="464"/>
      <c r="BJ218" s="463">
        <f t="shared" si="4"/>
        <v>211</v>
      </c>
      <c r="BZ218" s="467"/>
    </row>
    <row r="219" spans="8:78" ht="15.75" customHeight="1" x14ac:dyDescent="0.2">
      <c r="H219" s="464"/>
      <c r="I219" s="464"/>
      <c r="J219" s="464"/>
      <c r="K219" s="464"/>
      <c r="L219" s="464"/>
      <c r="M219" s="464"/>
      <c r="N219" s="464"/>
      <c r="O219" s="464"/>
      <c r="P219" s="464"/>
      <c r="Q219" s="464"/>
      <c r="R219" s="464"/>
      <c r="S219" s="464"/>
      <c r="T219" s="464"/>
      <c r="U219" s="464"/>
      <c r="V219" s="464"/>
      <c r="W219" s="464"/>
      <c r="X219" s="464"/>
      <c r="Y219" s="464"/>
      <c r="Z219" s="464"/>
      <c r="AA219" s="464"/>
      <c r="AB219" s="464"/>
      <c r="AC219" s="464"/>
      <c r="AD219" s="464"/>
      <c r="AE219" s="464"/>
      <c r="AF219" s="464"/>
      <c r="AG219" s="464"/>
      <c r="AH219" s="464"/>
      <c r="AI219" s="464"/>
      <c r="AJ219" s="464"/>
      <c r="AK219" s="464"/>
      <c r="AL219" s="464"/>
      <c r="AM219" s="464"/>
      <c r="AN219" s="464"/>
      <c r="AO219" s="464"/>
      <c r="AP219" s="464"/>
      <c r="AQ219" s="464"/>
      <c r="AR219" s="464"/>
      <c r="AS219" s="464"/>
      <c r="AT219" s="464"/>
      <c r="AU219" s="464"/>
      <c r="AV219" s="464"/>
      <c r="AW219" s="464"/>
      <c r="AX219" s="464"/>
      <c r="AY219" s="464"/>
      <c r="AZ219" s="464"/>
      <c r="BA219" s="464"/>
      <c r="BB219" s="464"/>
      <c r="BC219" s="464"/>
      <c r="BD219" s="464"/>
      <c r="BE219" s="464"/>
      <c r="BF219" s="464"/>
      <c r="BG219" s="464"/>
      <c r="BH219" s="464"/>
      <c r="BJ219" s="463">
        <f t="shared" si="4"/>
        <v>212</v>
      </c>
      <c r="BZ219" s="467"/>
    </row>
    <row r="220" spans="8:78" ht="15.75" customHeight="1" x14ac:dyDescent="0.2">
      <c r="H220" s="464"/>
      <c r="I220" s="464"/>
      <c r="J220" s="464"/>
      <c r="K220" s="464"/>
      <c r="L220" s="464"/>
      <c r="M220" s="464"/>
      <c r="N220" s="464"/>
      <c r="O220" s="464"/>
      <c r="P220" s="464"/>
      <c r="Q220" s="464"/>
      <c r="R220" s="464"/>
      <c r="S220" s="464"/>
      <c r="T220" s="464"/>
      <c r="U220" s="464"/>
      <c r="V220" s="464"/>
      <c r="W220" s="464"/>
      <c r="X220" s="464"/>
      <c r="Y220" s="464"/>
      <c r="Z220" s="464"/>
      <c r="AA220" s="464"/>
      <c r="AB220" s="464"/>
      <c r="AC220" s="464"/>
      <c r="AD220" s="464"/>
      <c r="AE220" s="464"/>
      <c r="AF220" s="464"/>
      <c r="AG220" s="464"/>
      <c r="AH220" s="464"/>
      <c r="AI220" s="464"/>
      <c r="AJ220" s="464"/>
      <c r="AK220" s="464"/>
      <c r="AL220" s="464"/>
      <c r="AM220" s="464"/>
      <c r="AN220" s="464"/>
      <c r="AO220" s="464"/>
      <c r="AP220" s="464"/>
      <c r="AQ220" s="464"/>
      <c r="AR220" s="464"/>
      <c r="AS220" s="464"/>
      <c r="AT220" s="464"/>
      <c r="AU220" s="464"/>
      <c r="AV220" s="464"/>
      <c r="AW220" s="464"/>
      <c r="AX220" s="464"/>
      <c r="AY220" s="464"/>
      <c r="AZ220" s="464"/>
      <c r="BA220" s="464"/>
      <c r="BB220" s="464"/>
      <c r="BC220" s="464"/>
      <c r="BD220" s="464"/>
      <c r="BE220" s="464"/>
      <c r="BF220" s="464"/>
      <c r="BG220" s="464"/>
      <c r="BH220" s="464"/>
      <c r="BJ220" s="463">
        <f t="shared" si="4"/>
        <v>213</v>
      </c>
      <c r="BZ220" s="467"/>
    </row>
    <row r="221" spans="8:78" ht="15.75" customHeight="1" x14ac:dyDescent="0.2">
      <c r="H221" s="464"/>
      <c r="I221" s="464"/>
      <c r="J221" s="464"/>
      <c r="K221" s="464"/>
      <c r="L221" s="464"/>
      <c r="M221" s="464"/>
      <c r="N221" s="464"/>
      <c r="O221" s="464"/>
      <c r="P221" s="464"/>
      <c r="Q221" s="464"/>
      <c r="R221" s="464"/>
      <c r="S221" s="464"/>
      <c r="T221" s="464"/>
      <c r="U221" s="464"/>
      <c r="V221" s="464"/>
      <c r="W221" s="464"/>
      <c r="X221" s="464"/>
      <c r="Y221" s="464"/>
      <c r="Z221" s="464"/>
      <c r="AA221" s="464"/>
      <c r="AB221" s="464"/>
      <c r="AC221" s="464"/>
      <c r="AD221" s="464"/>
      <c r="AE221" s="464"/>
      <c r="AF221" s="464"/>
      <c r="AG221" s="464"/>
      <c r="AH221" s="464"/>
      <c r="AI221" s="464"/>
      <c r="AJ221" s="464"/>
      <c r="AK221" s="464"/>
      <c r="AL221" s="464"/>
      <c r="AM221" s="464"/>
      <c r="AN221" s="464"/>
      <c r="AO221" s="464"/>
      <c r="AP221" s="464"/>
      <c r="AQ221" s="464"/>
      <c r="AR221" s="464"/>
      <c r="AS221" s="464"/>
      <c r="AT221" s="464"/>
      <c r="AU221" s="464"/>
      <c r="AV221" s="464"/>
      <c r="AW221" s="464"/>
      <c r="AX221" s="464"/>
      <c r="AY221" s="464"/>
      <c r="AZ221" s="464"/>
      <c r="BA221" s="464"/>
      <c r="BB221" s="464"/>
      <c r="BC221" s="464"/>
      <c r="BD221" s="464"/>
      <c r="BE221" s="464"/>
      <c r="BF221" s="464"/>
      <c r="BG221" s="464"/>
      <c r="BH221" s="464"/>
      <c r="BJ221" s="463">
        <f t="shared" si="4"/>
        <v>214</v>
      </c>
      <c r="BZ221" s="467"/>
    </row>
    <row r="222" spans="8:78" ht="15.75" customHeight="1" x14ac:dyDescent="0.2">
      <c r="H222" s="464"/>
      <c r="I222" s="464"/>
      <c r="J222" s="464"/>
      <c r="K222" s="464"/>
      <c r="L222" s="464"/>
      <c r="M222" s="464"/>
      <c r="N222" s="464"/>
      <c r="O222" s="464"/>
      <c r="P222" s="464"/>
      <c r="Q222" s="464"/>
      <c r="R222" s="464"/>
      <c r="S222" s="464"/>
      <c r="T222" s="464"/>
      <c r="U222" s="464"/>
      <c r="V222" s="464"/>
      <c r="W222" s="464"/>
      <c r="X222" s="464"/>
      <c r="Y222" s="464"/>
      <c r="Z222" s="464"/>
      <c r="AA222" s="464"/>
      <c r="AB222" s="464"/>
      <c r="AC222" s="464"/>
      <c r="AD222" s="464"/>
      <c r="AE222" s="464"/>
      <c r="AF222" s="464"/>
      <c r="AG222" s="464"/>
      <c r="AH222" s="464"/>
      <c r="AI222" s="464"/>
      <c r="AJ222" s="464"/>
      <c r="AK222" s="464"/>
      <c r="AL222" s="464"/>
      <c r="AM222" s="464"/>
      <c r="AN222" s="464"/>
      <c r="AO222" s="464"/>
      <c r="AP222" s="464"/>
      <c r="AQ222" s="464"/>
      <c r="AR222" s="464"/>
      <c r="AS222" s="464"/>
      <c r="AT222" s="464"/>
      <c r="AU222" s="464"/>
      <c r="AV222" s="464"/>
      <c r="AW222" s="464"/>
      <c r="AX222" s="464"/>
      <c r="AY222" s="464"/>
      <c r="AZ222" s="464"/>
      <c r="BA222" s="464"/>
      <c r="BB222" s="464"/>
      <c r="BC222" s="464"/>
      <c r="BD222" s="464"/>
      <c r="BE222" s="464"/>
      <c r="BF222" s="464"/>
      <c r="BG222" s="464"/>
      <c r="BH222" s="464"/>
      <c r="BJ222" s="463">
        <f t="shared" si="4"/>
        <v>215</v>
      </c>
      <c r="BZ222" s="467"/>
    </row>
    <row r="223" spans="8:78" ht="15.75" customHeight="1" x14ac:dyDescent="0.2">
      <c r="H223" s="464"/>
      <c r="I223" s="464"/>
      <c r="J223" s="464"/>
      <c r="K223" s="464"/>
      <c r="L223" s="464"/>
      <c r="M223" s="464"/>
      <c r="N223" s="464"/>
      <c r="O223" s="464"/>
      <c r="P223" s="464"/>
      <c r="Q223" s="464"/>
      <c r="R223" s="464"/>
      <c r="S223" s="464"/>
      <c r="T223" s="464"/>
      <c r="U223" s="464"/>
      <c r="V223" s="464"/>
      <c r="W223" s="464"/>
      <c r="X223" s="464"/>
      <c r="Y223" s="464"/>
      <c r="Z223" s="464"/>
      <c r="AA223" s="464"/>
      <c r="AB223" s="464"/>
      <c r="AC223" s="464"/>
      <c r="AD223" s="464"/>
      <c r="AE223" s="464"/>
      <c r="AF223" s="464"/>
      <c r="AG223" s="464"/>
      <c r="AH223" s="464"/>
      <c r="AI223" s="464"/>
      <c r="AJ223" s="464"/>
      <c r="AK223" s="464"/>
      <c r="AL223" s="464"/>
      <c r="AM223" s="464"/>
      <c r="AN223" s="464"/>
      <c r="AO223" s="464"/>
      <c r="AP223" s="464"/>
      <c r="AQ223" s="464"/>
      <c r="AR223" s="464"/>
      <c r="AS223" s="464"/>
      <c r="AT223" s="464"/>
      <c r="AU223" s="464"/>
      <c r="AV223" s="464"/>
      <c r="AW223" s="464"/>
      <c r="AX223" s="464"/>
      <c r="AY223" s="464"/>
      <c r="AZ223" s="464"/>
      <c r="BA223" s="464"/>
      <c r="BB223" s="464"/>
      <c r="BC223" s="464"/>
      <c r="BD223" s="464"/>
      <c r="BE223" s="464"/>
      <c r="BF223" s="464"/>
      <c r="BG223" s="464"/>
      <c r="BH223" s="464"/>
      <c r="BJ223" s="463">
        <f t="shared" si="4"/>
        <v>216</v>
      </c>
      <c r="BZ223" s="467"/>
    </row>
    <row r="224" spans="8:78" ht="15.75" customHeight="1" x14ac:dyDescent="0.2">
      <c r="H224" s="464"/>
      <c r="I224" s="464"/>
      <c r="J224" s="464"/>
      <c r="K224" s="464"/>
      <c r="L224" s="464"/>
      <c r="M224" s="464"/>
      <c r="N224" s="464"/>
      <c r="O224" s="464"/>
      <c r="P224" s="464"/>
      <c r="Q224" s="464"/>
      <c r="R224" s="464"/>
      <c r="S224" s="464"/>
      <c r="T224" s="464"/>
      <c r="U224" s="464"/>
      <c r="V224" s="464"/>
      <c r="W224" s="464"/>
      <c r="X224" s="464"/>
      <c r="Y224" s="464"/>
      <c r="Z224" s="464"/>
      <c r="AA224" s="464"/>
      <c r="AB224" s="464"/>
      <c r="AC224" s="464"/>
      <c r="AD224" s="464"/>
      <c r="AE224" s="464"/>
      <c r="AF224" s="464"/>
      <c r="AG224" s="464"/>
      <c r="AH224" s="464"/>
      <c r="AI224" s="464"/>
      <c r="AJ224" s="464"/>
      <c r="AK224" s="464"/>
      <c r="AL224" s="464"/>
      <c r="AM224" s="464"/>
      <c r="AN224" s="464"/>
      <c r="AO224" s="464"/>
      <c r="AP224" s="464"/>
      <c r="AQ224" s="464"/>
      <c r="AR224" s="464"/>
      <c r="AS224" s="464"/>
      <c r="AT224" s="464"/>
      <c r="AU224" s="464"/>
      <c r="AV224" s="464"/>
      <c r="AW224" s="464"/>
      <c r="AX224" s="464"/>
      <c r="AY224" s="464"/>
      <c r="AZ224" s="464"/>
      <c r="BA224" s="464"/>
      <c r="BB224" s="464"/>
      <c r="BC224" s="464"/>
      <c r="BD224" s="464"/>
      <c r="BE224" s="464"/>
      <c r="BF224" s="464"/>
      <c r="BG224" s="464"/>
      <c r="BH224" s="464"/>
      <c r="BJ224" s="463">
        <f t="shared" si="4"/>
        <v>217</v>
      </c>
      <c r="BZ224" s="467"/>
    </row>
    <row r="225" spans="8:78" ht="15.75" customHeight="1" x14ac:dyDescent="0.2">
      <c r="H225" s="464"/>
      <c r="I225" s="464"/>
      <c r="J225" s="464"/>
      <c r="K225" s="464"/>
      <c r="L225" s="464"/>
      <c r="M225" s="464"/>
      <c r="N225" s="464"/>
      <c r="O225" s="464"/>
      <c r="P225" s="464"/>
      <c r="Q225" s="464"/>
      <c r="R225" s="464"/>
      <c r="S225" s="464"/>
      <c r="T225" s="464"/>
      <c r="U225" s="464"/>
      <c r="V225" s="464"/>
      <c r="W225" s="464"/>
      <c r="X225" s="464"/>
      <c r="Y225" s="464"/>
      <c r="Z225" s="464"/>
      <c r="AA225" s="464"/>
      <c r="AB225" s="464"/>
      <c r="AC225" s="464"/>
      <c r="AD225" s="464"/>
      <c r="AE225" s="464"/>
      <c r="AF225" s="464"/>
      <c r="AG225" s="464"/>
      <c r="AH225" s="464"/>
      <c r="AI225" s="464"/>
      <c r="AJ225" s="464"/>
      <c r="AK225" s="464"/>
      <c r="AL225" s="464"/>
      <c r="AM225" s="464"/>
      <c r="AN225" s="464"/>
      <c r="AO225" s="464"/>
      <c r="AP225" s="464"/>
      <c r="AQ225" s="464"/>
      <c r="AR225" s="464"/>
      <c r="AS225" s="464"/>
      <c r="AT225" s="464"/>
      <c r="AU225" s="464"/>
      <c r="AV225" s="464"/>
      <c r="AW225" s="464"/>
      <c r="AX225" s="464"/>
      <c r="AY225" s="464"/>
      <c r="AZ225" s="464"/>
      <c r="BA225" s="464"/>
      <c r="BB225" s="464"/>
      <c r="BC225" s="464"/>
      <c r="BD225" s="464"/>
      <c r="BE225" s="464"/>
      <c r="BF225" s="464"/>
      <c r="BG225" s="464"/>
      <c r="BH225" s="464"/>
      <c r="BJ225" s="463">
        <f t="shared" si="4"/>
        <v>218</v>
      </c>
      <c r="BZ225" s="467"/>
    </row>
    <row r="226" spans="8:78" ht="15.75" customHeight="1" x14ac:dyDescent="0.2">
      <c r="H226" s="464"/>
      <c r="I226" s="464"/>
      <c r="J226" s="464"/>
      <c r="K226" s="464"/>
      <c r="L226" s="464"/>
      <c r="M226" s="464"/>
      <c r="N226" s="464"/>
      <c r="O226" s="464"/>
      <c r="P226" s="464"/>
      <c r="Q226" s="464"/>
      <c r="R226" s="464"/>
      <c r="S226" s="464"/>
      <c r="T226" s="464"/>
      <c r="U226" s="464"/>
      <c r="V226" s="464"/>
      <c r="W226" s="464"/>
      <c r="X226" s="464"/>
      <c r="Y226" s="464"/>
      <c r="Z226" s="464"/>
      <c r="AA226" s="464"/>
      <c r="AB226" s="464"/>
      <c r="AC226" s="464"/>
      <c r="AD226" s="464"/>
      <c r="AE226" s="464"/>
      <c r="AF226" s="464"/>
      <c r="AG226" s="464"/>
      <c r="AH226" s="464"/>
      <c r="AI226" s="464"/>
      <c r="AJ226" s="464"/>
      <c r="AK226" s="464"/>
      <c r="AL226" s="464"/>
      <c r="AM226" s="464"/>
      <c r="AN226" s="464"/>
      <c r="AO226" s="464"/>
      <c r="AP226" s="464"/>
      <c r="AQ226" s="464"/>
      <c r="AR226" s="464"/>
      <c r="AS226" s="464"/>
      <c r="AT226" s="464"/>
      <c r="AU226" s="464"/>
      <c r="AV226" s="464"/>
      <c r="AW226" s="464"/>
      <c r="AX226" s="464"/>
      <c r="AY226" s="464"/>
      <c r="AZ226" s="464"/>
      <c r="BA226" s="464"/>
      <c r="BB226" s="464"/>
      <c r="BC226" s="464"/>
      <c r="BD226" s="464"/>
      <c r="BE226" s="464"/>
      <c r="BF226" s="464"/>
      <c r="BG226" s="464"/>
      <c r="BH226" s="464"/>
      <c r="BJ226" s="463">
        <f t="shared" si="4"/>
        <v>219</v>
      </c>
      <c r="BZ226" s="467"/>
    </row>
    <row r="227" spans="8:78" ht="15.75" customHeight="1" x14ac:dyDescent="0.2">
      <c r="H227" s="464"/>
      <c r="I227" s="464"/>
      <c r="J227" s="464"/>
      <c r="K227" s="464"/>
      <c r="L227" s="464"/>
      <c r="M227" s="464"/>
      <c r="N227" s="464"/>
      <c r="O227" s="464"/>
      <c r="P227" s="464"/>
      <c r="Q227" s="464"/>
      <c r="R227" s="464"/>
      <c r="S227" s="464"/>
      <c r="T227" s="464"/>
      <c r="U227" s="464"/>
      <c r="V227" s="464"/>
      <c r="W227" s="464"/>
      <c r="X227" s="464"/>
      <c r="Y227" s="464"/>
      <c r="Z227" s="464"/>
      <c r="AA227" s="464"/>
      <c r="AB227" s="464"/>
      <c r="AC227" s="464"/>
      <c r="AD227" s="464"/>
      <c r="AE227" s="464"/>
      <c r="AF227" s="464"/>
      <c r="AG227" s="464"/>
      <c r="AH227" s="464"/>
      <c r="AI227" s="464"/>
      <c r="AJ227" s="464"/>
      <c r="AK227" s="464"/>
      <c r="AL227" s="464"/>
      <c r="AM227" s="464"/>
      <c r="AN227" s="464"/>
      <c r="AO227" s="464"/>
      <c r="AP227" s="464"/>
      <c r="AQ227" s="464"/>
      <c r="AR227" s="464"/>
      <c r="AS227" s="464"/>
      <c r="AT227" s="464"/>
      <c r="AU227" s="464"/>
      <c r="AV227" s="464"/>
      <c r="AW227" s="464"/>
      <c r="AX227" s="464"/>
      <c r="AY227" s="464"/>
      <c r="AZ227" s="464"/>
      <c r="BA227" s="464"/>
      <c r="BB227" s="464"/>
      <c r="BC227" s="464"/>
      <c r="BD227" s="464"/>
      <c r="BE227" s="464"/>
      <c r="BF227" s="464"/>
      <c r="BG227" s="464"/>
      <c r="BH227" s="464"/>
      <c r="BJ227" s="463">
        <f t="shared" si="4"/>
        <v>220</v>
      </c>
      <c r="BZ227" s="467"/>
    </row>
    <row r="228" spans="8:78" ht="15.75" customHeight="1" x14ac:dyDescent="0.2">
      <c r="H228" s="464"/>
      <c r="I228" s="464"/>
      <c r="J228" s="464"/>
      <c r="K228" s="464"/>
      <c r="L228" s="464"/>
      <c r="M228" s="464"/>
      <c r="N228" s="464"/>
      <c r="O228" s="464"/>
      <c r="P228" s="464"/>
      <c r="Q228" s="464"/>
      <c r="R228" s="464"/>
      <c r="S228" s="464"/>
      <c r="T228" s="464"/>
      <c r="U228" s="464"/>
      <c r="V228" s="464"/>
      <c r="W228" s="464"/>
      <c r="X228" s="464"/>
      <c r="Y228" s="464"/>
      <c r="Z228" s="464"/>
      <c r="AA228" s="464"/>
      <c r="AB228" s="464"/>
      <c r="AC228" s="464"/>
      <c r="AD228" s="464"/>
      <c r="AE228" s="464"/>
      <c r="AF228" s="464"/>
      <c r="AG228" s="464"/>
      <c r="AH228" s="464"/>
      <c r="AI228" s="464"/>
      <c r="AJ228" s="464"/>
      <c r="AK228" s="464"/>
      <c r="AL228" s="464"/>
      <c r="AM228" s="464"/>
      <c r="AN228" s="464"/>
      <c r="AO228" s="464"/>
      <c r="AP228" s="464"/>
      <c r="AQ228" s="464"/>
      <c r="AR228" s="464"/>
      <c r="AS228" s="464"/>
      <c r="AT228" s="464"/>
      <c r="AU228" s="464"/>
      <c r="AV228" s="464"/>
      <c r="AW228" s="464"/>
      <c r="AX228" s="464"/>
      <c r="AY228" s="464"/>
      <c r="AZ228" s="464"/>
      <c r="BA228" s="464"/>
      <c r="BB228" s="464"/>
      <c r="BC228" s="464"/>
      <c r="BD228" s="464"/>
      <c r="BE228" s="464"/>
      <c r="BF228" s="464"/>
      <c r="BG228" s="464"/>
      <c r="BH228" s="464"/>
      <c r="BJ228" s="463">
        <f t="shared" si="4"/>
        <v>221</v>
      </c>
      <c r="BZ228" s="467"/>
    </row>
    <row r="229" spans="8:78" ht="15.75" customHeight="1" x14ac:dyDescent="0.2">
      <c r="H229" s="464"/>
      <c r="I229" s="464"/>
      <c r="J229" s="464"/>
      <c r="K229" s="464"/>
      <c r="L229" s="464"/>
      <c r="M229" s="464"/>
      <c r="N229" s="464"/>
      <c r="O229" s="464"/>
      <c r="P229" s="464"/>
      <c r="Q229" s="464"/>
      <c r="R229" s="464"/>
      <c r="S229" s="464"/>
      <c r="T229" s="464"/>
      <c r="U229" s="464"/>
      <c r="V229" s="464"/>
      <c r="W229" s="464"/>
      <c r="X229" s="464"/>
      <c r="Y229" s="464"/>
      <c r="Z229" s="464"/>
      <c r="AA229" s="464"/>
      <c r="AB229" s="464"/>
      <c r="AC229" s="464"/>
      <c r="AD229" s="464"/>
      <c r="AE229" s="464"/>
      <c r="AF229" s="464"/>
      <c r="AG229" s="464"/>
      <c r="AH229" s="464"/>
      <c r="AI229" s="464"/>
      <c r="AJ229" s="464"/>
      <c r="AK229" s="464"/>
      <c r="AL229" s="464"/>
      <c r="AM229" s="464"/>
      <c r="AN229" s="464"/>
      <c r="AO229" s="464"/>
      <c r="AP229" s="464"/>
      <c r="AQ229" s="464"/>
      <c r="AR229" s="464"/>
      <c r="AS229" s="464"/>
      <c r="AT229" s="464"/>
      <c r="AU229" s="464"/>
      <c r="AV229" s="464"/>
      <c r="AW229" s="464"/>
      <c r="AX229" s="464"/>
      <c r="AY229" s="464"/>
      <c r="AZ229" s="464"/>
      <c r="BA229" s="464"/>
      <c r="BB229" s="464"/>
      <c r="BC229" s="464"/>
      <c r="BD229" s="464"/>
      <c r="BE229" s="464"/>
      <c r="BF229" s="464"/>
      <c r="BG229" s="464"/>
      <c r="BH229" s="464"/>
      <c r="BJ229" s="463">
        <f t="shared" si="4"/>
        <v>222</v>
      </c>
      <c r="BZ229" s="467"/>
    </row>
    <row r="230" spans="8:78" ht="15.75" customHeight="1" x14ac:dyDescent="0.2">
      <c r="H230" s="464"/>
      <c r="I230" s="464"/>
      <c r="J230" s="464"/>
      <c r="K230" s="464"/>
      <c r="L230" s="464"/>
      <c r="M230" s="464"/>
      <c r="N230" s="464"/>
      <c r="O230" s="464"/>
      <c r="P230" s="464"/>
      <c r="Q230" s="464"/>
      <c r="R230" s="464"/>
      <c r="S230" s="464"/>
      <c r="T230" s="464"/>
      <c r="U230" s="464"/>
      <c r="V230" s="464"/>
      <c r="W230" s="464"/>
      <c r="X230" s="464"/>
      <c r="Y230" s="464"/>
      <c r="Z230" s="464"/>
      <c r="AA230" s="464"/>
      <c r="AB230" s="464"/>
      <c r="AC230" s="464"/>
      <c r="AD230" s="464"/>
      <c r="AE230" s="464"/>
      <c r="AF230" s="464"/>
      <c r="AG230" s="464"/>
      <c r="AH230" s="464"/>
      <c r="AI230" s="464"/>
      <c r="AJ230" s="464"/>
      <c r="AK230" s="464"/>
      <c r="AL230" s="464"/>
      <c r="AM230" s="464"/>
      <c r="AN230" s="464"/>
      <c r="AO230" s="464"/>
      <c r="AP230" s="464"/>
      <c r="AQ230" s="464"/>
      <c r="AR230" s="464"/>
      <c r="AS230" s="464"/>
      <c r="AT230" s="464"/>
      <c r="AU230" s="464"/>
      <c r="AV230" s="464"/>
      <c r="AW230" s="464"/>
      <c r="AX230" s="464"/>
      <c r="AY230" s="464"/>
      <c r="AZ230" s="464"/>
      <c r="BA230" s="464"/>
      <c r="BB230" s="464"/>
      <c r="BC230" s="464"/>
      <c r="BD230" s="464"/>
      <c r="BE230" s="464"/>
      <c r="BF230" s="464"/>
      <c r="BG230" s="464"/>
      <c r="BH230" s="464"/>
      <c r="BJ230" s="463">
        <f t="shared" si="4"/>
        <v>223</v>
      </c>
      <c r="BZ230" s="467"/>
    </row>
    <row r="231" spans="8:78" ht="15.75" customHeight="1" x14ac:dyDescent="0.2">
      <c r="H231" s="464"/>
      <c r="I231" s="464"/>
      <c r="J231" s="464"/>
      <c r="K231" s="464"/>
      <c r="L231" s="464"/>
      <c r="M231" s="464"/>
      <c r="N231" s="464"/>
      <c r="O231" s="464"/>
      <c r="P231" s="464"/>
      <c r="Q231" s="464"/>
      <c r="R231" s="464"/>
      <c r="S231" s="464"/>
      <c r="T231" s="464"/>
      <c r="U231" s="464"/>
      <c r="V231" s="464"/>
      <c r="W231" s="464"/>
      <c r="X231" s="464"/>
      <c r="Y231" s="464"/>
      <c r="Z231" s="464"/>
      <c r="AA231" s="464"/>
      <c r="AB231" s="464"/>
      <c r="AC231" s="464"/>
      <c r="AD231" s="464"/>
      <c r="AE231" s="464"/>
      <c r="AF231" s="464"/>
      <c r="AG231" s="464"/>
      <c r="AH231" s="464"/>
      <c r="AI231" s="464"/>
      <c r="AJ231" s="464"/>
      <c r="AK231" s="464"/>
      <c r="AL231" s="464"/>
      <c r="AM231" s="464"/>
      <c r="AN231" s="464"/>
      <c r="AO231" s="464"/>
      <c r="AP231" s="464"/>
      <c r="AQ231" s="464"/>
      <c r="AR231" s="464"/>
      <c r="AS231" s="464"/>
      <c r="AT231" s="464"/>
      <c r="AU231" s="464"/>
      <c r="AV231" s="464"/>
      <c r="AW231" s="464"/>
      <c r="AX231" s="464"/>
      <c r="AY231" s="464"/>
      <c r="AZ231" s="464"/>
      <c r="BA231" s="464"/>
      <c r="BB231" s="464"/>
      <c r="BC231" s="464"/>
      <c r="BD231" s="464"/>
      <c r="BE231" s="464"/>
      <c r="BF231" s="464"/>
      <c r="BG231" s="464"/>
      <c r="BH231" s="464"/>
      <c r="BJ231" s="463">
        <f t="shared" si="4"/>
        <v>224</v>
      </c>
      <c r="BZ231" s="467"/>
    </row>
    <row r="232" spans="8:78" ht="15.75" customHeight="1" x14ac:dyDescent="0.2">
      <c r="H232" s="464"/>
      <c r="I232" s="464"/>
      <c r="J232" s="464"/>
      <c r="K232" s="464"/>
      <c r="L232" s="464"/>
      <c r="M232" s="464"/>
      <c r="N232" s="464"/>
      <c r="O232" s="464"/>
      <c r="P232" s="464"/>
      <c r="Q232" s="464"/>
      <c r="R232" s="464"/>
      <c r="S232" s="464"/>
      <c r="T232" s="464"/>
      <c r="U232" s="464"/>
      <c r="V232" s="464"/>
      <c r="W232" s="464"/>
      <c r="X232" s="464"/>
      <c r="Y232" s="464"/>
      <c r="Z232" s="464"/>
      <c r="AA232" s="464"/>
      <c r="AB232" s="464"/>
      <c r="AC232" s="464"/>
      <c r="AD232" s="464"/>
      <c r="AE232" s="464"/>
      <c r="AF232" s="464"/>
      <c r="AG232" s="464"/>
      <c r="AH232" s="464"/>
      <c r="AI232" s="464"/>
      <c r="AJ232" s="464"/>
      <c r="AK232" s="464"/>
      <c r="AL232" s="464"/>
      <c r="AM232" s="464"/>
      <c r="AN232" s="464"/>
      <c r="AO232" s="464"/>
      <c r="AP232" s="464"/>
      <c r="AQ232" s="464"/>
      <c r="AR232" s="464"/>
      <c r="AS232" s="464"/>
      <c r="AT232" s="464"/>
      <c r="AU232" s="464"/>
      <c r="AV232" s="464"/>
      <c r="AW232" s="464"/>
      <c r="AX232" s="464"/>
      <c r="AY232" s="464"/>
      <c r="AZ232" s="464"/>
      <c r="BA232" s="464"/>
      <c r="BB232" s="464"/>
      <c r="BC232" s="464"/>
      <c r="BD232" s="464"/>
      <c r="BE232" s="464"/>
      <c r="BF232" s="464"/>
      <c r="BG232" s="464"/>
      <c r="BH232" s="464"/>
      <c r="BJ232" s="463">
        <f t="shared" si="4"/>
        <v>225</v>
      </c>
      <c r="BZ232" s="467"/>
    </row>
    <row r="233" spans="8:78" ht="15.75" customHeight="1" x14ac:dyDescent="0.2">
      <c r="H233" s="464"/>
      <c r="I233" s="464"/>
      <c r="J233" s="464"/>
      <c r="K233" s="464"/>
      <c r="L233" s="464"/>
      <c r="M233" s="464"/>
      <c r="N233" s="464"/>
      <c r="O233" s="464"/>
      <c r="P233" s="464"/>
      <c r="Q233" s="464"/>
      <c r="R233" s="464"/>
      <c r="S233" s="464"/>
      <c r="T233" s="464"/>
      <c r="U233" s="464"/>
      <c r="V233" s="464"/>
      <c r="W233" s="464"/>
      <c r="X233" s="464"/>
      <c r="Y233" s="464"/>
      <c r="Z233" s="464"/>
      <c r="AA233" s="464"/>
      <c r="AB233" s="464"/>
      <c r="AC233" s="464"/>
      <c r="AD233" s="464"/>
      <c r="AE233" s="464"/>
      <c r="AF233" s="464"/>
      <c r="AG233" s="464"/>
      <c r="AH233" s="464"/>
      <c r="AI233" s="464"/>
      <c r="AJ233" s="464"/>
      <c r="AK233" s="464"/>
      <c r="AL233" s="464"/>
      <c r="AM233" s="464"/>
      <c r="AN233" s="464"/>
      <c r="AO233" s="464"/>
      <c r="AP233" s="464"/>
      <c r="AQ233" s="464"/>
      <c r="AR233" s="464"/>
      <c r="AS233" s="464"/>
      <c r="AT233" s="464"/>
      <c r="AU233" s="464"/>
      <c r="AV233" s="464"/>
      <c r="AW233" s="464"/>
      <c r="AX233" s="464"/>
      <c r="AY233" s="464"/>
      <c r="AZ233" s="464"/>
      <c r="BA233" s="464"/>
      <c r="BB233" s="464"/>
      <c r="BC233" s="464"/>
      <c r="BD233" s="464"/>
      <c r="BE233" s="464"/>
      <c r="BF233" s="464"/>
      <c r="BG233" s="464"/>
      <c r="BH233" s="464"/>
      <c r="BJ233" s="463">
        <f t="shared" si="4"/>
        <v>226</v>
      </c>
      <c r="BZ233" s="467"/>
    </row>
    <row r="234" spans="8:78" ht="15.75" customHeight="1" x14ac:dyDescent="0.2">
      <c r="H234" s="464"/>
      <c r="I234" s="464"/>
      <c r="J234" s="464"/>
      <c r="K234" s="464"/>
      <c r="L234" s="464"/>
      <c r="M234" s="464"/>
      <c r="N234" s="464"/>
      <c r="O234" s="464"/>
      <c r="P234" s="464"/>
      <c r="Q234" s="464"/>
      <c r="R234" s="464"/>
      <c r="S234" s="464"/>
      <c r="T234" s="464"/>
      <c r="U234" s="464"/>
      <c r="V234" s="464"/>
      <c r="W234" s="464"/>
      <c r="X234" s="464"/>
      <c r="Y234" s="464"/>
      <c r="Z234" s="464"/>
      <c r="AA234" s="464"/>
      <c r="AB234" s="464"/>
      <c r="AC234" s="464"/>
      <c r="AD234" s="464"/>
      <c r="AE234" s="464"/>
      <c r="AF234" s="464"/>
      <c r="AG234" s="464"/>
      <c r="AH234" s="464"/>
      <c r="AI234" s="464"/>
      <c r="AJ234" s="464"/>
      <c r="AK234" s="464"/>
      <c r="AL234" s="464"/>
      <c r="AM234" s="464"/>
      <c r="AN234" s="464"/>
      <c r="AO234" s="464"/>
      <c r="AP234" s="464"/>
      <c r="AQ234" s="464"/>
      <c r="AR234" s="464"/>
      <c r="AS234" s="464"/>
      <c r="AT234" s="464"/>
      <c r="AU234" s="464"/>
      <c r="AV234" s="464"/>
      <c r="AW234" s="464"/>
      <c r="AX234" s="464"/>
      <c r="AY234" s="464"/>
      <c r="AZ234" s="464"/>
      <c r="BA234" s="464"/>
      <c r="BB234" s="464"/>
      <c r="BC234" s="464"/>
      <c r="BD234" s="464"/>
      <c r="BE234" s="464"/>
      <c r="BF234" s="464"/>
      <c r="BG234" s="464"/>
      <c r="BH234" s="464"/>
      <c r="BJ234" s="463">
        <f t="shared" si="4"/>
        <v>227</v>
      </c>
      <c r="BZ234" s="467"/>
    </row>
    <row r="235" spans="8:78" ht="15.75" customHeight="1" x14ac:dyDescent="0.2">
      <c r="H235" s="464"/>
      <c r="I235" s="464"/>
      <c r="J235" s="464"/>
      <c r="K235" s="464"/>
      <c r="L235" s="464"/>
      <c r="M235" s="464"/>
      <c r="N235" s="464"/>
      <c r="O235" s="464"/>
      <c r="P235" s="464"/>
      <c r="Q235" s="464"/>
      <c r="R235" s="464"/>
      <c r="S235" s="464"/>
      <c r="T235" s="464"/>
      <c r="U235" s="464"/>
      <c r="V235" s="464"/>
      <c r="W235" s="464"/>
      <c r="X235" s="464"/>
      <c r="Y235" s="464"/>
      <c r="Z235" s="464"/>
      <c r="AA235" s="464"/>
      <c r="AB235" s="464"/>
      <c r="AC235" s="464"/>
      <c r="AD235" s="464"/>
      <c r="AE235" s="464"/>
      <c r="AF235" s="464"/>
      <c r="AG235" s="464"/>
      <c r="AH235" s="464"/>
      <c r="AI235" s="464"/>
      <c r="AJ235" s="464"/>
      <c r="AK235" s="464"/>
      <c r="AL235" s="464"/>
      <c r="AM235" s="464"/>
      <c r="AN235" s="464"/>
      <c r="AO235" s="464"/>
      <c r="AP235" s="464"/>
      <c r="AQ235" s="464"/>
      <c r="AR235" s="464"/>
      <c r="AS235" s="464"/>
      <c r="AT235" s="464"/>
      <c r="AU235" s="464"/>
      <c r="AV235" s="464"/>
      <c r="AW235" s="464"/>
      <c r="AX235" s="464"/>
      <c r="AY235" s="464"/>
      <c r="AZ235" s="464"/>
      <c r="BA235" s="464"/>
      <c r="BB235" s="464"/>
      <c r="BC235" s="464"/>
      <c r="BD235" s="464"/>
      <c r="BE235" s="464"/>
      <c r="BF235" s="464"/>
      <c r="BG235" s="464"/>
      <c r="BH235" s="464"/>
      <c r="BJ235" s="463">
        <f t="shared" si="4"/>
        <v>228</v>
      </c>
      <c r="BZ235" s="467"/>
    </row>
    <row r="236" spans="8:78" ht="15.75" customHeight="1" x14ac:dyDescent="0.2">
      <c r="H236" s="464"/>
      <c r="I236" s="464"/>
      <c r="J236" s="464"/>
      <c r="K236" s="464"/>
      <c r="L236" s="464"/>
      <c r="M236" s="464"/>
      <c r="N236" s="464"/>
      <c r="O236" s="464"/>
      <c r="P236" s="464"/>
      <c r="Q236" s="464"/>
      <c r="R236" s="464"/>
      <c r="S236" s="464"/>
      <c r="T236" s="464"/>
      <c r="U236" s="464"/>
      <c r="V236" s="464"/>
      <c r="W236" s="464"/>
      <c r="X236" s="464"/>
      <c r="Y236" s="464"/>
      <c r="Z236" s="464"/>
      <c r="AA236" s="464"/>
      <c r="AB236" s="464"/>
      <c r="AC236" s="464"/>
      <c r="AD236" s="464"/>
      <c r="AE236" s="464"/>
      <c r="AF236" s="464"/>
      <c r="AG236" s="464"/>
      <c r="AH236" s="464"/>
      <c r="AI236" s="464"/>
      <c r="AJ236" s="464"/>
      <c r="AK236" s="464"/>
      <c r="AL236" s="464"/>
      <c r="AM236" s="464"/>
      <c r="AN236" s="464"/>
      <c r="AO236" s="464"/>
      <c r="AP236" s="464"/>
      <c r="AQ236" s="464"/>
      <c r="AR236" s="464"/>
      <c r="AS236" s="464"/>
      <c r="AT236" s="464"/>
      <c r="AU236" s="464"/>
      <c r="AV236" s="464"/>
      <c r="AW236" s="464"/>
      <c r="AX236" s="464"/>
      <c r="AY236" s="464"/>
      <c r="AZ236" s="464"/>
      <c r="BA236" s="464"/>
      <c r="BB236" s="464"/>
      <c r="BC236" s="464"/>
      <c r="BD236" s="464"/>
      <c r="BE236" s="464"/>
      <c r="BF236" s="464"/>
      <c r="BG236" s="464"/>
      <c r="BH236" s="464"/>
      <c r="BJ236" s="463">
        <f t="shared" si="4"/>
        <v>229</v>
      </c>
      <c r="BZ236" s="467"/>
    </row>
    <row r="237" spans="8:78" ht="15.75" customHeight="1" x14ac:dyDescent="0.2">
      <c r="H237" s="464"/>
      <c r="I237" s="464"/>
      <c r="J237" s="464"/>
      <c r="K237" s="464"/>
      <c r="L237" s="464"/>
      <c r="M237" s="464"/>
      <c r="N237" s="464"/>
      <c r="O237" s="464"/>
      <c r="P237" s="464"/>
      <c r="Q237" s="464"/>
      <c r="R237" s="464"/>
      <c r="S237" s="464"/>
      <c r="T237" s="464"/>
      <c r="U237" s="464"/>
      <c r="V237" s="464"/>
      <c r="W237" s="464"/>
      <c r="X237" s="464"/>
      <c r="Y237" s="464"/>
      <c r="Z237" s="464"/>
      <c r="AA237" s="464"/>
      <c r="AB237" s="464"/>
      <c r="AC237" s="464"/>
      <c r="AD237" s="464"/>
      <c r="AE237" s="464"/>
      <c r="AF237" s="464"/>
      <c r="AG237" s="464"/>
      <c r="AH237" s="464"/>
      <c r="AI237" s="464"/>
      <c r="AJ237" s="464"/>
      <c r="AK237" s="464"/>
      <c r="AL237" s="464"/>
      <c r="AM237" s="464"/>
      <c r="AN237" s="464"/>
      <c r="AO237" s="464"/>
      <c r="AP237" s="464"/>
      <c r="AQ237" s="464"/>
      <c r="AR237" s="464"/>
      <c r="AS237" s="464"/>
      <c r="AT237" s="464"/>
      <c r="AU237" s="464"/>
      <c r="AV237" s="464"/>
      <c r="AW237" s="464"/>
      <c r="AX237" s="464"/>
      <c r="AY237" s="464"/>
      <c r="AZ237" s="464"/>
      <c r="BA237" s="464"/>
      <c r="BB237" s="464"/>
      <c r="BC237" s="464"/>
      <c r="BD237" s="464"/>
      <c r="BE237" s="464"/>
      <c r="BF237" s="464"/>
      <c r="BG237" s="464"/>
      <c r="BH237" s="464"/>
      <c r="BJ237" s="463">
        <f t="shared" si="4"/>
        <v>230</v>
      </c>
      <c r="BZ237" s="467"/>
    </row>
    <row r="238" spans="8:78" ht="15.75" customHeight="1" x14ac:dyDescent="0.2">
      <c r="H238" s="464"/>
      <c r="I238" s="464"/>
      <c r="J238" s="464"/>
      <c r="K238" s="464"/>
      <c r="L238" s="464"/>
      <c r="M238" s="464"/>
      <c r="N238" s="464"/>
      <c r="O238" s="464"/>
      <c r="P238" s="464"/>
      <c r="Q238" s="464"/>
      <c r="R238" s="464"/>
      <c r="S238" s="464"/>
      <c r="T238" s="464"/>
      <c r="U238" s="464"/>
      <c r="V238" s="464"/>
      <c r="W238" s="464"/>
      <c r="X238" s="464"/>
      <c r="Y238" s="464"/>
      <c r="Z238" s="464"/>
      <c r="AA238" s="464"/>
      <c r="AB238" s="464"/>
      <c r="AC238" s="464"/>
      <c r="AD238" s="464"/>
      <c r="AE238" s="464"/>
      <c r="AF238" s="464"/>
      <c r="AG238" s="464"/>
      <c r="AH238" s="464"/>
      <c r="AI238" s="464"/>
      <c r="AJ238" s="464"/>
      <c r="AK238" s="464"/>
      <c r="AL238" s="464"/>
      <c r="AM238" s="464"/>
      <c r="AN238" s="464"/>
      <c r="AO238" s="464"/>
      <c r="AP238" s="464"/>
      <c r="AQ238" s="464"/>
      <c r="AR238" s="464"/>
      <c r="AS238" s="464"/>
      <c r="AT238" s="464"/>
      <c r="AU238" s="464"/>
      <c r="AV238" s="464"/>
      <c r="AW238" s="464"/>
      <c r="AX238" s="464"/>
      <c r="AY238" s="464"/>
      <c r="AZ238" s="464"/>
      <c r="BA238" s="464"/>
      <c r="BB238" s="464"/>
      <c r="BC238" s="464"/>
      <c r="BD238" s="464"/>
      <c r="BE238" s="464"/>
      <c r="BF238" s="464"/>
      <c r="BG238" s="464"/>
      <c r="BH238" s="464"/>
      <c r="BJ238" s="463">
        <f t="shared" si="4"/>
        <v>231</v>
      </c>
      <c r="BZ238" s="467"/>
    </row>
    <row r="239" spans="8:78" ht="15.75" customHeight="1" x14ac:dyDescent="0.2">
      <c r="H239" s="464"/>
      <c r="I239" s="464"/>
      <c r="J239" s="464"/>
      <c r="K239" s="464"/>
      <c r="L239" s="464"/>
      <c r="M239" s="464"/>
      <c r="N239" s="464"/>
      <c r="O239" s="464"/>
      <c r="P239" s="464"/>
      <c r="Q239" s="464"/>
      <c r="R239" s="464"/>
      <c r="S239" s="464"/>
      <c r="T239" s="464"/>
      <c r="U239" s="464"/>
      <c r="V239" s="464"/>
      <c r="W239" s="464"/>
      <c r="X239" s="464"/>
      <c r="Y239" s="464"/>
      <c r="Z239" s="464"/>
      <c r="AA239" s="464"/>
      <c r="AB239" s="464"/>
      <c r="AC239" s="464"/>
      <c r="AD239" s="464"/>
      <c r="AE239" s="464"/>
      <c r="AF239" s="464"/>
      <c r="AG239" s="464"/>
      <c r="AH239" s="464"/>
      <c r="AI239" s="464"/>
      <c r="AJ239" s="464"/>
      <c r="AK239" s="464"/>
      <c r="AL239" s="464"/>
      <c r="AM239" s="464"/>
      <c r="AN239" s="464"/>
      <c r="AO239" s="464"/>
      <c r="AP239" s="464"/>
      <c r="AQ239" s="464"/>
      <c r="AR239" s="464"/>
      <c r="AS239" s="464"/>
      <c r="AT239" s="464"/>
      <c r="AU239" s="464"/>
      <c r="AV239" s="464"/>
      <c r="AW239" s="464"/>
      <c r="AX239" s="464"/>
      <c r="AY239" s="464"/>
      <c r="AZ239" s="464"/>
      <c r="BA239" s="464"/>
      <c r="BB239" s="464"/>
      <c r="BC239" s="464"/>
      <c r="BD239" s="464"/>
      <c r="BE239" s="464"/>
      <c r="BF239" s="464"/>
      <c r="BG239" s="464"/>
      <c r="BH239" s="464"/>
      <c r="BJ239" s="463">
        <f t="shared" si="4"/>
        <v>232</v>
      </c>
      <c r="BZ239" s="467"/>
    </row>
    <row r="240" spans="8:78" ht="15.75" customHeight="1" x14ac:dyDescent="0.2">
      <c r="H240" s="464"/>
      <c r="I240" s="464"/>
      <c r="J240" s="464"/>
      <c r="K240" s="464"/>
      <c r="L240" s="464"/>
      <c r="M240" s="464"/>
      <c r="N240" s="464"/>
      <c r="O240" s="464"/>
      <c r="P240" s="464"/>
      <c r="Q240" s="464"/>
      <c r="R240" s="464"/>
      <c r="S240" s="464"/>
      <c r="T240" s="464"/>
      <c r="U240" s="464"/>
      <c r="V240" s="464"/>
      <c r="W240" s="464"/>
      <c r="X240" s="464"/>
      <c r="Y240" s="464"/>
      <c r="Z240" s="464"/>
      <c r="AA240" s="464"/>
      <c r="AB240" s="464"/>
      <c r="AC240" s="464"/>
      <c r="AD240" s="464"/>
      <c r="AE240" s="464"/>
      <c r="AF240" s="464"/>
      <c r="AG240" s="464"/>
      <c r="AH240" s="464"/>
      <c r="AI240" s="464"/>
      <c r="AJ240" s="464"/>
      <c r="AK240" s="464"/>
      <c r="AL240" s="464"/>
      <c r="AM240" s="464"/>
      <c r="AN240" s="464"/>
      <c r="AO240" s="464"/>
      <c r="AP240" s="464"/>
      <c r="AQ240" s="464"/>
      <c r="AR240" s="464"/>
      <c r="AS240" s="464"/>
      <c r="AT240" s="464"/>
      <c r="AU240" s="464"/>
      <c r="AV240" s="464"/>
      <c r="AW240" s="464"/>
      <c r="AX240" s="464"/>
      <c r="AY240" s="464"/>
      <c r="AZ240" s="464"/>
      <c r="BA240" s="464"/>
      <c r="BB240" s="464"/>
      <c r="BC240" s="464"/>
      <c r="BD240" s="464"/>
      <c r="BE240" s="464"/>
      <c r="BF240" s="464"/>
      <c r="BG240" s="464"/>
      <c r="BH240" s="464"/>
      <c r="BJ240" s="463">
        <f t="shared" si="4"/>
        <v>233</v>
      </c>
      <c r="BZ240" s="467"/>
    </row>
    <row r="241" spans="8:78" ht="15.75" customHeight="1" x14ac:dyDescent="0.2">
      <c r="H241" s="464"/>
      <c r="I241" s="464"/>
      <c r="J241" s="464"/>
      <c r="K241" s="464"/>
      <c r="L241" s="464"/>
      <c r="M241" s="464"/>
      <c r="N241" s="464"/>
      <c r="O241" s="464"/>
      <c r="P241" s="464"/>
      <c r="Q241" s="464"/>
      <c r="R241" s="464"/>
      <c r="S241" s="464"/>
      <c r="T241" s="464"/>
      <c r="U241" s="464"/>
      <c r="V241" s="464"/>
      <c r="W241" s="464"/>
      <c r="X241" s="464"/>
      <c r="Y241" s="464"/>
      <c r="Z241" s="464"/>
      <c r="AA241" s="464"/>
      <c r="AB241" s="464"/>
      <c r="AC241" s="464"/>
      <c r="AD241" s="464"/>
      <c r="AE241" s="464"/>
      <c r="AF241" s="464"/>
      <c r="AG241" s="464"/>
      <c r="AH241" s="464"/>
      <c r="AI241" s="464"/>
      <c r="AJ241" s="464"/>
      <c r="AK241" s="464"/>
      <c r="AL241" s="464"/>
      <c r="AM241" s="464"/>
      <c r="AN241" s="464"/>
      <c r="AO241" s="464"/>
      <c r="AP241" s="464"/>
      <c r="AQ241" s="464"/>
      <c r="AR241" s="464"/>
      <c r="AS241" s="464"/>
      <c r="AT241" s="464"/>
      <c r="AU241" s="464"/>
      <c r="AV241" s="464"/>
      <c r="AW241" s="464"/>
      <c r="AX241" s="464"/>
      <c r="AY241" s="464"/>
      <c r="AZ241" s="464"/>
      <c r="BA241" s="464"/>
      <c r="BB241" s="464"/>
      <c r="BC241" s="464"/>
      <c r="BD241" s="464"/>
      <c r="BE241" s="464"/>
      <c r="BF241" s="464"/>
      <c r="BG241" s="464"/>
      <c r="BH241" s="464"/>
      <c r="BJ241" s="463">
        <f t="shared" si="4"/>
        <v>234</v>
      </c>
      <c r="BZ241" s="467"/>
    </row>
    <row r="242" spans="8:78" ht="15.75" customHeight="1" x14ac:dyDescent="0.2">
      <c r="H242" s="464"/>
      <c r="I242" s="464"/>
      <c r="J242" s="464"/>
      <c r="K242" s="464"/>
      <c r="L242" s="464"/>
      <c r="M242" s="464"/>
      <c r="N242" s="464"/>
      <c r="O242" s="464"/>
      <c r="P242" s="464"/>
      <c r="Q242" s="464"/>
      <c r="R242" s="464"/>
      <c r="S242" s="464"/>
      <c r="T242" s="464"/>
      <c r="U242" s="464"/>
      <c r="V242" s="464"/>
      <c r="W242" s="464"/>
      <c r="X242" s="464"/>
      <c r="Y242" s="464"/>
      <c r="Z242" s="464"/>
      <c r="AA242" s="464"/>
      <c r="AB242" s="464"/>
      <c r="AC242" s="464"/>
      <c r="AD242" s="464"/>
      <c r="AE242" s="464"/>
      <c r="AF242" s="464"/>
      <c r="AG242" s="464"/>
      <c r="AH242" s="464"/>
      <c r="AI242" s="464"/>
      <c r="AJ242" s="464"/>
      <c r="AK242" s="464"/>
      <c r="AL242" s="464"/>
      <c r="AM242" s="464"/>
      <c r="AN242" s="464"/>
      <c r="AO242" s="464"/>
      <c r="AP242" s="464"/>
      <c r="AQ242" s="464"/>
      <c r="AR242" s="464"/>
      <c r="AS242" s="464"/>
      <c r="AT242" s="464"/>
      <c r="AU242" s="464"/>
      <c r="AV242" s="464"/>
      <c r="AW242" s="464"/>
      <c r="AX242" s="464"/>
      <c r="AY242" s="464"/>
      <c r="AZ242" s="464"/>
      <c r="BA242" s="464"/>
      <c r="BB242" s="464"/>
      <c r="BC242" s="464"/>
      <c r="BD242" s="464"/>
      <c r="BE242" s="464"/>
      <c r="BF242" s="464"/>
      <c r="BG242" s="464"/>
      <c r="BH242" s="464"/>
      <c r="BJ242" s="463">
        <f t="shared" si="4"/>
        <v>235</v>
      </c>
      <c r="BZ242" s="467"/>
    </row>
    <row r="243" spans="8:78" ht="15.75" customHeight="1" x14ac:dyDescent="0.2">
      <c r="H243" s="464"/>
      <c r="I243" s="464"/>
      <c r="J243" s="464"/>
      <c r="K243" s="464"/>
      <c r="L243" s="464"/>
      <c r="M243" s="464"/>
      <c r="N243" s="464"/>
      <c r="O243" s="464"/>
      <c r="P243" s="464"/>
      <c r="Q243" s="464"/>
      <c r="R243" s="464"/>
      <c r="S243" s="464"/>
      <c r="T243" s="464"/>
      <c r="U243" s="464"/>
      <c r="V243" s="464"/>
      <c r="W243" s="464"/>
      <c r="X243" s="464"/>
      <c r="Y243" s="464"/>
      <c r="Z243" s="464"/>
      <c r="AA243" s="464"/>
      <c r="AB243" s="464"/>
      <c r="AC243" s="464"/>
      <c r="AD243" s="464"/>
      <c r="AE243" s="464"/>
      <c r="AF243" s="464"/>
      <c r="AG243" s="464"/>
      <c r="AH243" s="464"/>
      <c r="AI243" s="464"/>
      <c r="AJ243" s="464"/>
      <c r="AK243" s="464"/>
      <c r="AL243" s="464"/>
      <c r="AM243" s="464"/>
      <c r="AN243" s="464"/>
      <c r="AO243" s="464"/>
      <c r="AP243" s="464"/>
      <c r="AQ243" s="464"/>
      <c r="AR243" s="464"/>
      <c r="AS243" s="464"/>
      <c r="AT243" s="464"/>
      <c r="AU243" s="464"/>
      <c r="AV243" s="464"/>
      <c r="AW243" s="464"/>
      <c r="AX243" s="464"/>
      <c r="AY243" s="464"/>
      <c r="AZ243" s="464"/>
      <c r="BA243" s="464"/>
      <c r="BB243" s="464"/>
      <c r="BC243" s="464"/>
      <c r="BD243" s="464"/>
      <c r="BE243" s="464"/>
      <c r="BF243" s="464"/>
      <c r="BG243" s="464"/>
      <c r="BH243" s="464"/>
      <c r="BJ243" s="463">
        <f t="shared" si="4"/>
        <v>236</v>
      </c>
      <c r="BZ243" s="467"/>
    </row>
    <row r="244" spans="8:78" ht="15.75" customHeight="1" x14ac:dyDescent="0.2">
      <c r="H244" s="464"/>
      <c r="I244" s="464"/>
      <c r="J244" s="464"/>
      <c r="K244" s="464"/>
      <c r="L244" s="464"/>
      <c r="M244" s="464"/>
      <c r="N244" s="464"/>
      <c r="O244" s="464"/>
      <c r="P244" s="464"/>
      <c r="Q244" s="464"/>
      <c r="R244" s="464"/>
      <c r="S244" s="464"/>
      <c r="T244" s="464"/>
      <c r="U244" s="464"/>
      <c r="V244" s="464"/>
      <c r="W244" s="464"/>
      <c r="X244" s="464"/>
      <c r="Y244" s="464"/>
      <c r="Z244" s="464"/>
      <c r="AA244" s="464"/>
      <c r="AB244" s="464"/>
      <c r="AC244" s="464"/>
      <c r="AD244" s="464"/>
      <c r="AE244" s="464"/>
      <c r="AF244" s="464"/>
      <c r="AG244" s="464"/>
      <c r="AH244" s="464"/>
      <c r="AI244" s="464"/>
      <c r="AJ244" s="464"/>
      <c r="AK244" s="464"/>
      <c r="AL244" s="464"/>
      <c r="AM244" s="464"/>
      <c r="AN244" s="464"/>
      <c r="AO244" s="464"/>
      <c r="AP244" s="464"/>
      <c r="AQ244" s="464"/>
      <c r="AR244" s="464"/>
      <c r="AS244" s="464"/>
      <c r="AT244" s="464"/>
      <c r="AU244" s="464"/>
      <c r="AV244" s="464"/>
      <c r="AW244" s="464"/>
      <c r="AX244" s="464"/>
      <c r="AY244" s="464"/>
      <c r="AZ244" s="464"/>
      <c r="BA244" s="464"/>
      <c r="BB244" s="464"/>
      <c r="BC244" s="464"/>
      <c r="BD244" s="464"/>
      <c r="BE244" s="464"/>
      <c r="BF244" s="464"/>
      <c r="BG244" s="464"/>
      <c r="BH244" s="464"/>
      <c r="BJ244" s="463">
        <f t="shared" si="4"/>
        <v>237</v>
      </c>
      <c r="BZ244" s="467"/>
    </row>
    <row r="245" spans="8:78" ht="15.75" customHeight="1" x14ac:dyDescent="0.2">
      <c r="H245" s="464"/>
      <c r="I245" s="464"/>
      <c r="J245" s="464"/>
      <c r="K245" s="464"/>
      <c r="L245" s="464"/>
      <c r="M245" s="464"/>
      <c r="N245" s="464"/>
      <c r="O245" s="464"/>
      <c r="P245" s="464"/>
      <c r="Q245" s="464"/>
      <c r="R245" s="464"/>
      <c r="S245" s="464"/>
      <c r="T245" s="464"/>
      <c r="U245" s="464"/>
      <c r="V245" s="464"/>
      <c r="W245" s="464"/>
      <c r="X245" s="464"/>
      <c r="Y245" s="464"/>
      <c r="Z245" s="464"/>
      <c r="AA245" s="464"/>
      <c r="AB245" s="464"/>
      <c r="AC245" s="464"/>
      <c r="AD245" s="464"/>
      <c r="AE245" s="464"/>
      <c r="AF245" s="464"/>
      <c r="AG245" s="464"/>
      <c r="AH245" s="464"/>
      <c r="AI245" s="464"/>
      <c r="AJ245" s="464"/>
      <c r="AK245" s="464"/>
      <c r="AL245" s="464"/>
      <c r="AM245" s="464"/>
      <c r="AN245" s="464"/>
      <c r="AO245" s="464"/>
      <c r="AP245" s="464"/>
      <c r="AQ245" s="464"/>
      <c r="AR245" s="464"/>
      <c r="AS245" s="464"/>
      <c r="AT245" s="464"/>
      <c r="AU245" s="464"/>
      <c r="AV245" s="464"/>
      <c r="AW245" s="464"/>
      <c r="AX245" s="464"/>
      <c r="AY245" s="464"/>
      <c r="AZ245" s="464"/>
      <c r="BA245" s="464"/>
      <c r="BB245" s="464"/>
      <c r="BC245" s="464"/>
      <c r="BD245" s="464"/>
      <c r="BE245" s="464"/>
      <c r="BF245" s="464"/>
      <c r="BG245" s="464"/>
      <c r="BH245" s="464"/>
      <c r="BJ245" s="463">
        <f t="shared" si="4"/>
        <v>238</v>
      </c>
      <c r="BZ245" s="467"/>
    </row>
    <row r="246" spans="8:78" ht="15.75" customHeight="1" x14ac:dyDescent="0.2">
      <c r="H246" s="464"/>
      <c r="I246" s="464"/>
      <c r="J246" s="464"/>
      <c r="K246" s="464"/>
      <c r="L246" s="464"/>
      <c r="M246" s="464"/>
      <c r="N246" s="464"/>
      <c r="O246" s="464"/>
      <c r="P246" s="464"/>
      <c r="Q246" s="464"/>
      <c r="R246" s="464"/>
      <c r="S246" s="464"/>
      <c r="T246" s="464"/>
      <c r="U246" s="464"/>
      <c r="V246" s="464"/>
      <c r="W246" s="464"/>
      <c r="X246" s="464"/>
      <c r="Y246" s="464"/>
      <c r="Z246" s="464"/>
      <c r="AA246" s="464"/>
      <c r="AB246" s="464"/>
      <c r="AC246" s="464"/>
      <c r="AD246" s="464"/>
      <c r="AE246" s="464"/>
      <c r="AF246" s="464"/>
      <c r="AG246" s="464"/>
      <c r="AH246" s="464"/>
      <c r="AI246" s="464"/>
      <c r="AJ246" s="464"/>
      <c r="AK246" s="464"/>
      <c r="AL246" s="464"/>
      <c r="AM246" s="464"/>
      <c r="AN246" s="464"/>
      <c r="AO246" s="464"/>
      <c r="AP246" s="464"/>
      <c r="AQ246" s="464"/>
      <c r="AR246" s="464"/>
      <c r="AS246" s="464"/>
      <c r="AT246" s="464"/>
      <c r="AU246" s="464"/>
      <c r="AV246" s="464"/>
      <c r="AW246" s="464"/>
      <c r="AX246" s="464"/>
      <c r="AY246" s="464"/>
      <c r="AZ246" s="464"/>
      <c r="BA246" s="464"/>
      <c r="BB246" s="464"/>
      <c r="BC246" s="464"/>
      <c r="BD246" s="464"/>
      <c r="BE246" s="464"/>
      <c r="BF246" s="464"/>
      <c r="BG246" s="464"/>
      <c r="BH246" s="464"/>
      <c r="BJ246" s="463">
        <f t="shared" si="4"/>
        <v>239</v>
      </c>
      <c r="BZ246" s="467"/>
    </row>
    <row r="247" spans="8:78" ht="15.75" customHeight="1" x14ac:dyDescent="0.2">
      <c r="H247" s="464"/>
      <c r="I247" s="464"/>
      <c r="J247" s="464"/>
      <c r="K247" s="464"/>
      <c r="L247" s="464"/>
      <c r="M247" s="464"/>
      <c r="N247" s="464"/>
      <c r="O247" s="464"/>
      <c r="P247" s="464"/>
      <c r="Q247" s="464"/>
      <c r="R247" s="464"/>
      <c r="S247" s="464"/>
      <c r="T247" s="464"/>
      <c r="U247" s="464"/>
      <c r="V247" s="464"/>
      <c r="W247" s="464"/>
      <c r="X247" s="464"/>
      <c r="Y247" s="464"/>
      <c r="Z247" s="464"/>
      <c r="AA247" s="464"/>
      <c r="AB247" s="464"/>
      <c r="AC247" s="464"/>
      <c r="AD247" s="464"/>
      <c r="AE247" s="464"/>
      <c r="AF247" s="464"/>
      <c r="AG247" s="464"/>
      <c r="AH247" s="464"/>
      <c r="AI247" s="464"/>
      <c r="AJ247" s="464"/>
      <c r="AK247" s="464"/>
      <c r="AL247" s="464"/>
      <c r="AM247" s="464"/>
      <c r="AN247" s="464"/>
      <c r="AO247" s="464"/>
      <c r="AP247" s="464"/>
      <c r="AQ247" s="464"/>
      <c r="AR247" s="464"/>
      <c r="AS247" s="464"/>
      <c r="AT247" s="464"/>
      <c r="AU247" s="464"/>
      <c r="AV247" s="464"/>
      <c r="AW247" s="464"/>
      <c r="AX247" s="464"/>
      <c r="AY247" s="464"/>
      <c r="AZ247" s="464"/>
      <c r="BA247" s="464"/>
      <c r="BB247" s="464"/>
      <c r="BC247" s="464"/>
      <c r="BD247" s="464"/>
      <c r="BE247" s="464"/>
      <c r="BF247" s="464"/>
      <c r="BG247" s="464"/>
      <c r="BH247" s="464"/>
      <c r="BJ247" s="463">
        <f t="shared" si="4"/>
        <v>240</v>
      </c>
      <c r="BZ247" s="467"/>
    </row>
    <row r="248" spans="8:78" ht="15.75" customHeight="1" x14ac:dyDescent="0.2">
      <c r="H248" s="464"/>
      <c r="I248" s="464"/>
      <c r="J248" s="464"/>
      <c r="K248" s="464"/>
      <c r="L248" s="464"/>
      <c r="M248" s="464"/>
      <c r="N248" s="464"/>
      <c r="O248" s="464"/>
      <c r="P248" s="464"/>
      <c r="Q248" s="464"/>
      <c r="R248" s="464"/>
      <c r="S248" s="464"/>
      <c r="T248" s="464"/>
      <c r="U248" s="464"/>
      <c r="V248" s="464"/>
      <c r="W248" s="464"/>
      <c r="X248" s="464"/>
      <c r="Y248" s="464"/>
      <c r="Z248" s="464"/>
      <c r="AA248" s="464"/>
      <c r="AB248" s="464"/>
      <c r="AC248" s="464"/>
      <c r="AD248" s="464"/>
      <c r="AE248" s="464"/>
      <c r="AF248" s="464"/>
      <c r="AG248" s="464"/>
      <c r="AH248" s="464"/>
      <c r="AI248" s="464"/>
      <c r="AJ248" s="464"/>
      <c r="AK248" s="464"/>
      <c r="AL248" s="464"/>
      <c r="AM248" s="464"/>
      <c r="AN248" s="464"/>
      <c r="AO248" s="464"/>
      <c r="AP248" s="464"/>
      <c r="AQ248" s="464"/>
      <c r="AR248" s="464"/>
      <c r="AS248" s="464"/>
      <c r="AT248" s="464"/>
      <c r="AU248" s="464"/>
      <c r="AV248" s="464"/>
      <c r="AW248" s="464"/>
      <c r="AX248" s="464"/>
      <c r="AY248" s="464"/>
      <c r="AZ248" s="464"/>
      <c r="BA248" s="464"/>
      <c r="BB248" s="464"/>
      <c r="BC248" s="464"/>
      <c r="BD248" s="464"/>
      <c r="BE248" s="464"/>
      <c r="BF248" s="464"/>
      <c r="BG248" s="464"/>
      <c r="BH248" s="464"/>
      <c r="BJ248" s="463">
        <f t="shared" si="4"/>
        <v>241</v>
      </c>
      <c r="BZ248" s="467"/>
    </row>
    <row r="249" spans="8:78" ht="15.75" customHeight="1" x14ac:dyDescent="0.2">
      <c r="H249" s="464"/>
      <c r="I249" s="464"/>
      <c r="J249" s="464"/>
      <c r="K249" s="464"/>
      <c r="L249" s="464"/>
      <c r="M249" s="464"/>
      <c r="N249" s="464"/>
      <c r="O249" s="464"/>
      <c r="P249" s="464"/>
      <c r="Q249" s="464"/>
      <c r="R249" s="464"/>
      <c r="S249" s="464"/>
      <c r="T249" s="464"/>
      <c r="U249" s="464"/>
      <c r="V249" s="464"/>
      <c r="W249" s="464"/>
      <c r="X249" s="464"/>
      <c r="Y249" s="464"/>
      <c r="Z249" s="464"/>
      <c r="AA249" s="464"/>
      <c r="AB249" s="464"/>
      <c r="AC249" s="464"/>
      <c r="AD249" s="464"/>
      <c r="AE249" s="464"/>
      <c r="AF249" s="464"/>
      <c r="AG249" s="464"/>
      <c r="AH249" s="464"/>
      <c r="AI249" s="464"/>
      <c r="AJ249" s="464"/>
      <c r="AK249" s="464"/>
      <c r="AL249" s="464"/>
      <c r="AM249" s="464"/>
      <c r="AN249" s="464"/>
      <c r="AO249" s="464"/>
      <c r="AP249" s="464"/>
      <c r="AQ249" s="464"/>
      <c r="AR249" s="464"/>
      <c r="AS249" s="464"/>
      <c r="AT249" s="464"/>
      <c r="AU249" s="464"/>
      <c r="AV249" s="464"/>
      <c r="AW249" s="464"/>
      <c r="AX249" s="464"/>
      <c r="AY249" s="464"/>
      <c r="AZ249" s="464"/>
      <c r="BA249" s="464"/>
      <c r="BB249" s="464"/>
      <c r="BC249" s="464"/>
      <c r="BD249" s="464"/>
      <c r="BE249" s="464"/>
      <c r="BF249" s="464"/>
      <c r="BG249" s="464"/>
      <c r="BH249" s="464"/>
      <c r="BJ249" s="463">
        <f t="shared" si="4"/>
        <v>242</v>
      </c>
      <c r="BZ249" s="467"/>
    </row>
    <row r="250" spans="8:78" ht="15.75" customHeight="1" x14ac:dyDescent="0.2">
      <c r="H250" s="464"/>
      <c r="I250" s="464"/>
      <c r="J250" s="464"/>
      <c r="K250" s="464"/>
      <c r="L250" s="464"/>
      <c r="M250" s="464"/>
      <c r="N250" s="464"/>
      <c r="O250" s="464"/>
      <c r="P250" s="464"/>
      <c r="Q250" s="464"/>
      <c r="R250" s="464"/>
      <c r="S250" s="464"/>
      <c r="T250" s="464"/>
      <c r="U250" s="464"/>
      <c r="V250" s="464"/>
      <c r="W250" s="464"/>
      <c r="X250" s="464"/>
      <c r="Y250" s="464"/>
      <c r="Z250" s="464"/>
      <c r="AA250" s="464"/>
      <c r="AB250" s="464"/>
      <c r="AC250" s="464"/>
      <c r="AD250" s="464"/>
      <c r="AE250" s="464"/>
      <c r="AF250" s="464"/>
      <c r="AG250" s="464"/>
      <c r="AH250" s="464"/>
      <c r="AI250" s="464"/>
      <c r="AJ250" s="464"/>
      <c r="AK250" s="464"/>
      <c r="AL250" s="464"/>
      <c r="AM250" s="464"/>
      <c r="AN250" s="464"/>
      <c r="AO250" s="464"/>
      <c r="AP250" s="464"/>
      <c r="AQ250" s="464"/>
      <c r="AR250" s="464"/>
      <c r="AS250" s="464"/>
      <c r="AT250" s="464"/>
      <c r="AU250" s="464"/>
      <c r="AV250" s="464"/>
      <c r="AW250" s="464"/>
      <c r="AX250" s="464"/>
      <c r="AY250" s="464"/>
      <c r="AZ250" s="464"/>
      <c r="BA250" s="464"/>
      <c r="BB250" s="464"/>
      <c r="BC250" s="464"/>
      <c r="BD250" s="464"/>
      <c r="BE250" s="464"/>
      <c r="BF250" s="464"/>
      <c r="BG250" s="464"/>
      <c r="BH250" s="464"/>
      <c r="BJ250" s="463">
        <f t="shared" si="4"/>
        <v>243</v>
      </c>
      <c r="BZ250" s="467"/>
    </row>
    <row r="251" spans="8:78" ht="15.75" customHeight="1" x14ac:dyDescent="0.2">
      <c r="H251" s="464"/>
      <c r="I251" s="464"/>
      <c r="J251" s="464"/>
      <c r="K251" s="464"/>
      <c r="L251" s="464"/>
      <c r="M251" s="464"/>
      <c r="N251" s="464"/>
      <c r="O251" s="464"/>
      <c r="P251" s="464"/>
      <c r="Q251" s="464"/>
      <c r="R251" s="464"/>
      <c r="S251" s="464"/>
      <c r="T251" s="464"/>
      <c r="U251" s="464"/>
      <c r="V251" s="464"/>
      <c r="W251" s="464"/>
      <c r="X251" s="464"/>
      <c r="Y251" s="464"/>
      <c r="Z251" s="464"/>
      <c r="AA251" s="464"/>
      <c r="AB251" s="464"/>
      <c r="AC251" s="464"/>
      <c r="AD251" s="464"/>
      <c r="AE251" s="464"/>
      <c r="AF251" s="464"/>
      <c r="AG251" s="464"/>
      <c r="AH251" s="464"/>
      <c r="AI251" s="464"/>
      <c r="AJ251" s="464"/>
      <c r="AK251" s="464"/>
      <c r="AL251" s="464"/>
      <c r="AM251" s="464"/>
      <c r="AN251" s="464"/>
      <c r="AO251" s="464"/>
      <c r="AP251" s="464"/>
      <c r="AQ251" s="464"/>
      <c r="AR251" s="464"/>
      <c r="AS251" s="464"/>
      <c r="AT251" s="464"/>
      <c r="AU251" s="464"/>
      <c r="AV251" s="464"/>
      <c r="AW251" s="464"/>
      <c r="AX251" s="464"/>
      <c r="AY251" s="464"/>
      <c r="AZ251" s="464"/>
      <c r="BA251" s="464"/>
      <c r="BB251" s="464"/>
      <c r="BC251" s="464"/>
      <c r="BD251" s="464"/>
      <c r="BE251" s="464"/>
      <c r="BF251" s="464"/>
      <c r="BG251" s="464"/>
      <c r="BH251" s="464"/>
      <c r="BJ251" s="463">
        <f t="shared" si="4"/>
        <v>244</v>
      </c>
      <c r="BZ251" s="467"/>
    </row>
    <row r="252" spans="8:78" ht="15.75" customHeight="1" x14ac:dyDescent="0.2">
      <c r="H252" s="464"/>
      <c r="I252" s="464"/>
      <c r="J252" s="464"/>
      <c r="K252" s="464"/>
      <c r="L252" s="464"/>
      <c r="M252" s="464"/>
      <c r="N252" s="464"/>
      <c r="O252" s="464"/>
      <c r="P252" s="464"/>
      <c r="Q252" s="464"/>
      <c r="R252" s="464"/>
      <c r="S252" s="464"/>
      <c r="T252" s="464"/>
      <c r="U252" s="464"/>
      <c r="V252" s="464"/>
      <c r="W252" s="464"/>
      <c r="X252" s="464"/>
      <c r="Y252" s="464"/>
      <c r="Z252" s="464"/>
      <c r="AA252" s="464"/>
      <c r="AB252" s="464"/>
      <c r="AC252" s="464"/>
      <c r="AD252" s="464"/>
      <c r="AE252" s="464"/>
      <c r="AF252" s="464"/>
      <c r="AG252" s="464"/>
      <c r="AH252" s="464"/>
      <c r="AI252" s="464"/>
      <c r="AJ252" s="464"/>
      <c r="AK252" s="464"/>
      <c r="AL252" s="464"/>
      <c r="AM252" s="464"/>
      <c r="AN252" s="464"/>
      <c r="AO252" s="464"/>
      <c r="AP252" s="464"/>
      <c r="AQ252" s="464"/>
      <c r="AR252" s="464"/>
      <c r="AS252" s="464"/>
      <c r="AT252" s="464"/>
      <c r="AU252" s="464"/>
      <c r="AV252" s="464"/>
      <c r="AW252" s="464"/>
      <c r="AX252" s="464"/>
      <c r="AY252" s="464"/>
      <c r="AZ252" s="464"/>
      <c r="BA252" s="464"/>
      <c r="BB252" s="464"/>
      <c r="BC252" s="464"/>
      <c r="BD252" s="464"/>
      <c r="BE252" s="464"/>
      <c r="BF252" s="464"/>
      <c r="BG252" s="464"/>
      <c r="BH252" s="464"/>
      <c r="BJ252" s="463">
        <f t="shared" si="4"/>
        <v>245</v>
      </c>
      <c r="BZ252" s="467"/>
    </row>
    <row r="253" spans="8:78" ht="15.75" customHeight="1" x14ac:dyDescent="0.2">
      <c r="H253" s="464"/>
      <c r="I253" s="464"/>
      <c r="J253" s="464"/>
      <c r="K253" s="464"/>
      <c r="L253" s="464"/>
      <c r="M253" s="464"/>
      <c r="N253" s="464"/>
      <c r="O253" s="464"/>
      <c r="P253" s="464"/>
      <c r="Q253" s="464"/>
      <c r="R253" s="464"/>
      <c r="S253" s="464"/>
      <c r="T253" s="464"/>
      <c r="U253" s="464"/>
      <c r="V253" s="464"/>
      <c r="W253" s="464"/>
      <c r="X253" s="464"/>
      <c r="Y253" s="464"/>
      <c r="Z253" s="464"/>
      <c r="AA253" s="464"/>
      <c r="AB253" s="464"/>
      <c r="AC253" s="464"/>
      <c r="AD253" s="464"/>
      <c r="AE253" s="464"/>
      <c r="AF253" s="464"/>
      <c r="AG253" s="464"/>
      <c r="AH253" s="464"/>
      <c r="AI253" s="464"/>
      <c r="AJ253" s="464"/>
      <c r="AK253" s="464"/>
      <c r="AL253" s="464"/>
      <c r="AM253" s="464"/>
      <c r="AN253" s="464"/>
      <c r="AO253" s="464"/>
      <c r="AP253" s="464"/>
      <c r="AQ253" s="464"/>
      <c r="AR253" s="464"/>
      <c r="AS253" s="464"/>
      <c r="AT253" s="464"/>
      <c r="AU253" s="464"/>
      <c r="AV253" s="464"/>
      <c r="AW253" s="464"/>
      <c r="AX253" s="464"/>
      <c r="AY253" s="464"/>
      <c r="AZ253" s="464"/>
      <c r="BA253" s="464"/>
      <c r="BB253" s="464"/>
      <c r="BC253" s="464"/>
      <c r="BD253" s="464"/>
      <c r="BE253" s="464"/>
      <c r="BF253" s="464"/>
      <c r="BG253" s="464"/>
      <c r="BH253" s="464"/>
      <c r="BJ253" s="463">
        <f t="shared" si="4"/>
        <v>246</v>
      </c>
      <c r="BZ253" s="467"/>
    </row>
    <row r="254" spans="8:78" ht="15.75" customHeight="1" x14ac:dyDescent="0.2">
      <c r="H254" s="464"/>
      <c r="I254" s="464"/>
      <c r="J254" s="464"/>
      <c r="K254" s="464"/>
      <c r="L254" s="464"/>
      <c r="M254" s="464"/>
      <c r="N254" s="464"/>
      <c r="O254" s="464"/>
      <c r="P254" s="464"/>
      <c r="Q254" s="464"/>
      <c r="R254" s="464"/>
      <c r="S254" s="464"/>
      <c r="T254" s="464"/>
      <c r="U254" s="464"/>
      <c r="V254" s="464"/>
      <c r="W254" s="464"/>
      <c r="X254" s="464"/>
      <c r="Y254" s="464"/>
      <c r="Z254" s="464"/>
      <c r="AA254" s="464"/>
      <c r="AB254" s="464"/>
      <c r="AC254" s="464"/>
      <c r="AD254" s="464"/>
      <c r="AE254" s="464"/>
      <c r="AF254" s="464"/>
      <c r="AG254" s="464"/>
      <c r="AH254" s="464"/>
      <c r="AI254" s="464"/>
      <c r="AJ254" s="464"/>
      <c r="AK254" s="464"/>
      <c r="AL254" s="464"/>
      <c r="AM254" s="464"/>
      <c r="AN254" s="464"/>
      <c r="AO254" s="464"/>
      <c r="AP254" s="464"/>
      <c r="AQ254" s="464"/>
      <c r="AR254" s="464"/>
      <c r="AS254" s="464"/>
      <c r="AT254" s="464"/>
      <c r="AU254" s="464"/>
      <c r="AV254" s="464"/>
      <c r="AW254" s="464"/>
      <c r="AX254" s="464"/>
      <c r="AY254" s="464"/>
      <c r="AZ254" s="464"/>
      <c r="BA254" s="464"/>
      <c r="BB254" s="464"/>
      <c r="BC254" s="464"/>
      <c r="BD254" s="464"/>
      <c r="BE254" s="464"/>
      <c r="BF254" s="464"/>
      <c r="BG254" s="464"/>
      <c r="BH254" s="464"/>
      <c r="BJ254" s="463">
        <f t="shared" si="4"/>
        <v>247</v>
      </c>
      <c r="BZ254" s="467"/>
    </row>
    <row r="255" spans="8:78" ht="15.75" customHeight="1" x14ac:dyDescent="0.2">
      <c r="H255" s="464"/>
      <c r="I255" s="464"/>
      <c r="J255" s="464"/>
      <c r="K255" s="464"/>
      <c r="L255" s="464"/>
      <c r="M255" s="464"/>
      <c r="N255" s="464"/>
      <c r="O255" s="464"/>
      <c r="P255" s="464"/>
      <c r="Q255" s="464"/>
      <c r="R255" s="464"/>
      <c r="S255" s="464"/>
      <c r="T255" s="464"/>
      <c r="U255" s="464"/>
      <c r="V255" s="464"/>
      <c r="W255" s="464"/>
      <c r="X255" s="464"/>
      <c r="Y255" s="464"/>
      <c r="Z255" s="464"/>
      <c r="AA255" s="464"/>
      <c r="AB255" s="464"/>
      <c r="AC255" s="464"/>
      <c r="AD255" s="464"/>
      <c r="AE255" s="464"/>
      <c r="AF255" s="464"/>
      <c r="AG255" s="464"/>
      <c r="AH255" s="464"/>
      <c r="AI255" s="464"/>
      <c r="AJ255" s="464"/>
      <c r="AK255" s="464"/>
      <c r="AL255" s="464"/>
      <c r="AM255" s="464"/>
      <c r="AN255" s="464"/>
      <c r="AO255" s="464"/>
      <c r="AP255" s="464"/>
      <c r="AQ255" s="464"/>
      <c r="AR255" s="464"/>
      <c r="AS255" s="464"/>
      <c r="AT255" s="464"/>
      <c r="AU255" s="464"/>
      <c r="AV255" s="464"/>
      <c r="AW255" s="464"/>
      <c r="AX255" s="464"/>
      <c r="AY255" s="464"/>
      <c r="AZ255" s="464"/>
      <c r="BA255" s="464"/>
      <c r="BB255" s="464"/>
      <c r="BC255" s="464"/>
      <c r="BD255" s="464"/>
      <c r="BE255" s="464"/>
      <c r="BF255" s="464"/>
      <c r="BG255" s="464"/>
      <c r="BH255" s="464"/>
      <c r="BJ255" s="463">
        <f t="shared" si="4"/>
        <v>248</v>
      </c>
      <c r="BZ255" s="467"/>
    </row>
    <row r="256" spans="8:78" ht="15.75" customHeight="1" x14ac:dyDescent="0.2">
      <c r="H256" s="464"/>
      <c r="I256" s="464"/>
      <c r="J256" s="464"/>
      <c r="K256" s="464"/>
      <c r="L256" s="464"/>
      <c r="M256" s="464"/>
      <c r="N256" s="464"/>
      <c r="O256" s="464"/>
      <c r="P256" s="464"/>
      <c r="Q256" s="464"/>
      <c r="R256" s="464"/>
      <c r="S256" s="464"/>
      <c r="T256" s="464"/>
      <c r="U256" s="464"/>
      <c r="V256" s="464"/>
      <c r="W256" s="464"/>
      <c r="X256" s="464"/>
      <c r="Y256" s="464"/>
      <c r="Z256" s="464"/>
      <c r="AA256" s="464"/>
      <c r="AB256" s="464"/>
      <c r="AC256" s="464"/>
      <c r="AD256" s="464"/>
      <c r="AE256" s="464"/>
      <c r="AF256" s="464"/>
      <c r="AG256" s="464"/>
      <c r="AH256" s="464"/>
      <c r="AI256" s="464"/>
      <c r="AJ256" s="464"/>
      <c r="AK256" s="464"/>
      <c r="AL256" s="464"/>
      <c r="AM256" s="464"/>
      <c r="AN256" s="464"/>
      <c r="AO256" s="464"/>
      <c r="AP256" s="464"/>
      <c r="AQ256" s="464"/>
      <c r="AR256" s="464"/>
      <c r="AS256" s="464"/>
      <c r="AT256" s="464"/>
      <c r="AU256" s="464"/>
      <c r="AV256" s="464"/>
      <c r="AW256" s="464"/>
      <c r="AX256" s="464"/>
      <c r="AY256" s="464"/>
      <c r="AZ256" s="464"/>
      <c r="BA256" s="464"/>
      <c r="BB256" s="464"/>
      <c r="BC256" s="464"/>
      <c r="BD256" s="464"/>
      <c r="BE256" s="464"/>
      <c r="BF256" s="464"/>
      <c r="BG256" s="464"/>
      <c r="BH256" s="464"/>
      <c r="BJ256" s="463">
        <f t="shared" si="4"/>
        <v>249</v>
      </c>
      <c r="BZ256" s="467"/>
    </row>
    <row r="257" spans="8:78" ht="15.75" customHeight="1" x14ac:dyDescent="0.2">
      <c r="H257" s="464"/>
      <c r="I257" s="464"/>
      <c r="J257" s="464"/>
      <c r="K257" s="464"/>
      <c r="L257" s="464"/>
      <c r="M257" s="464"/>
      <c r="N257" s="464"/>
      <c r="O257" s="464"/>
      <c r="P257" s="464"/>
      <c r="Q257" s="464"/>
      <c r="R257" s="464"/>
      <c r="S257" s="464"/>
      <c r="T257" s="464"/>
      <c r="U257" s="464"/>
      <c r="V257" s="464"/>
      <c r="W257" s="464"/>
      <c r="X257" s="464"/>
      <c r="Y257" s="464"/>
      <c r="Z257" s="464"/>
      <c r="AA257" s="464"/>
      <c r="AB257" s="464"/>
      <c r="AC257" s="464"/>
      <c r="AD257" s="464"/>
      <c r="AE257" s="464"/>
      <c r="AF257" s="464"/>
      <c r="AG257" s="464"/>
      <c r="AH257" s="464"/>
      <c r="AI257" s="464"/>
      <c r="AJ257" s="464"/>
      <c r="AK257" s="464"/>
      <c r="AL257" s="464"/>
      <c r="AM257" s="464"/>
      <c r="AN257" s="464"/>
      <c r="AO257" s="464"/>
      <c r="AP257" s="464"/>
      <c r="AQ257" s="464"/>
      <c r="AR257" s="464"/>
      <c r="AS257" s="464"/>
      <c r="AT257" s="464"/>
      <c r="AU257" s="464"/>
      <c r="AV257" s="464"/>
      <c r="AW257" s="464"/>
      <c r="AX257" s="464"/>
      <c r="AY257" s="464"/>
      <c r="AZ257" s="464"/>
      <c r="BA257" s="464"/>
      <c r="BB257" s="464"/>
      <c r="BC257" s="464"/>
      <c r="BD257" s="464"/>
      <c r="BE257" s="464"/>
      <c r="BF257" s="464"/>
      <c r="BG257" s="464"/>
      <c r="BH257" s="464"/>
      <c r="BJ257" s="463">
        <f t="shared" si="4"/>
        <v>250</v>
      </c>
      <c r="BZ257" s="467"/>
    </row>
    <row r="258" spans="8:78" ht="15.75" customHeight="1" x14ac:dyDescent="0.2">
      <c r="H258" s="464"/>
      <c r="I258" s="464"/>
      <c r="J258" s="464"/>
      <c r="K258" s="464"/>
      <c r="L258" s="464"/>
      <c r="M258" s="464"/>
      <c r="N258" s="464"/>
      <c r="O258" s="464"/>
      <c r="P258" s="464"/>
      <c r="Q258" s="464"/>
      <c r="R258" s="464"/>
      <c r="S258" s="464"/>
      <c r="T258" s="464"/>
      <c r="U258" s="464"/>
      <c r="V258" s="464"/>
      <c r="W258" s="464"/>
      <c r="X258" s="464"/>
      <c r="Y258" s="464"/>
      <c r="Z258" s="464"/>
      <c r="AA258" s="464"/>
      <c r="AB258" s="464"/>
      <c r="AC258" s="464"/>
      <c r="AD258" s="464"/>
      <c r="AE258" s="464"/>
      <c r="AF258" s="464"/>
      <c r="AG258" s="464"/>
      <c r="AH258" s="464"/>
      <c r="AI258" s="464"/>
      <c r="AJ258" s="464"/>
      <c r="AK258" s="464"/>
      <c r="AL258" s="464"/>
      <c r="AM258" s="464"/>
      <c r="AN258" s="464"/>
      <c r="AO258" s="464"/>
      <c r="AP258" s="464"/>
      <c r="AQ258" s="464"/>
      <c r="AR258" s="464"/>
      <c r="AS258" s="464"/>
      <c r="AT258" s="464"/>
      <c r="AU258" s="464"/>
      <c r="AV258" s="464"/>
      <c r="AW258" s="464"/>
      <c r="AX258" s="464"/>
      <c r="AY258" s="464"/>
      <c r="AZ258" s="464"/>
      <c r="BA258" s="464"/>
      <c r="BB258" s="464"/>
      <c r="BC258" s="464"/>
      <c r="BD258" s="464"/>
      <c r="BE258" s="464"/>
      <c r="BF258" s="464"/>
      <c r="BG258" s="464"/>
      <c r="BH258" s="464"/>
      <c r="BJ258" s="463">
        <f t="shared" si="4"/>
        <v>251</v>
      </c>
      <c r="BZ258" s="467"/>
    </row>
    <row r="259" spans="8:78" ht="15.75" customHeight="1" x14ac:dyDescent="0.2">
      <c r="H259" s="464"/>
      <c r="I259" s="464"/>
      <c r="J259" s="464"/>
      <c r="K259" s="464"/>
      <c r="L259" s="464"/>
      <c r="M259" s="464"/>
      <c r="N259" s="464"/>
      <c r="O259" s="464"/>
      <c r="P259" s="464"/>
      <c r="Q259" s="464"/>
      <c r="R259" s="464"/>
      <c r="S259" s="464"/>
      <c r="T259" s="464"/>
      <c r="U259" s="464"/>
      <c r="V259" s="464"/>
      <c r="W259" s="464"/>
      <c r="X259" s="464"/>
      <c r="Y259" s="464"/>
      <c r="Z259" s="464"/>
      <c r="AA259" s="464"/>
      <c r="AB259" s="464"/>
      <c r="AC259" s="464"/>
      <c r="AD259" s="464"/>
      <c r="AE259" s="464"/>
      <c r="AF259" s="464"/>
      <c r="AG259" s="464"/>
      <c r="AH259" s="464"/>
      <c r="AI259" s="464"/>
      <c r="AJ259" s="464"/>
      <c r="AK259" s="464"/>
      <c r="AL259" s="464"/>
      <c r="AM259" s="464"/>
      <c r="AN259" s="464"/>
      <c r="AO259" s="464"/>
      <c r="AP259" s="464"/>
      <c r="AQ259" s="464"/>
      <c r="AR259" s="464"/>
      <c r="AS259" s="464"/>
      <c r="AT259" s="464"/>
      <c r="AU259" s="464"/>
      <c r="AV259" s="464"/>
      <c r="AW259" s="464"/>
      <c r="AX259" s="464"/>
      <c r="AY259" s="464"/>
      <c r="AZ259" s="464"/>
      <c r="BA259" s="464"/>
      <c r="BB259" s="464"/>
      <c r="BC259" s="464"/>
      <c r="BD259" s="464"/>
      <c r="BE259" s="464"/>
      <c r="BF259" s="464"/>
      <c r="BG259" s="464"/>
      <c r="BH259" s="464"/>
      <c r="BJ259" s="463">
        <f t="shared" si="4"/>
        <v>252</v>
      </c>
      <c r="BZ259" s="467"/>
    </row>
    <row r="260" spans="8:78" ht="15.75" customHeight="1" x14ac:dyDescent="0.2">
      <c r="H260" s="464"/>
      <c r="I260" s="464"/>
      <c r="J260" s="464"/>
      <c r="K260" s="464"/>
      <c r="L260" s="464"/>
      <c r="M260" s="464"/>
      <c r="N260" s="464"/>
      <c r="O260" s="464"/>
      <c r="P260" s="464"/>
      <c r="Q260" s="464"/>
      <c r="R260" s="464"/>
      <c r="S260" s="464"/>
      <c r="T260" s="464"/>
      <c r="U260" s="464"/>
      <c r="V260" s="464"/>
      <c r="W260" s="464"/>
      <c r="X260" s="464"/>
      <c r="Y260" s="464"/>
      <c r="Z260" s="464"/>
      <c r="AA260" s="464"/>
      <c r="AB260" s="464"/>
      <c r="AC260" s="464"/>
      <c r="AD260" s="464"/>
      <c r="AE260" s="464"/>
      <c r="AF260" s="464"/>
      <c r="AG260" s="464"/>
      <c r="AH260" s="464"/>
      <c r="AI260" s="464"/>
      <c r="AJ260" s="464"/>
      <c r="AK260" s="464"/>
      <c r="AL260" s="464"/>
      <c r="AM260" s="464"/>
      <c r="AN260" s="464"/>
      <c r="AO260" s="464"/>
      <c r="AP260" s="464"/>
      <c r="AQ260" s="464"/>
      <c r="AR260" s="464"/>
      <c r="AS260" s="464"/>
      <c r="AT260" s="464"/>
      <c r="AU260" s="464"/>
      <c r="AV260" s="464"/>
      <c r="AW260" s="464"/>
      <c r="AX260" s="464"/>
      <c r="AY260" s="464"/>
      <c r="AZ260" s="464"/>
      <c r="BA260" s="464"/>
      <c r="BB260" s="464"/>
      <c r="BC260" s="464"/>
      <c r="BD260" s="464"/>
      <c r="BE260" s="464"/>
      <c r="BF260" s="464"/>
      <c r="BG260" s="464"/>
      <c r="BH260" s="464"/>
      <c r="BJ260" s="463">
        <f t="shared" si="4"/>
        <v>253</v>
      </c>
      <c r="BZ260" s="467"/>
    </row>
    <row r="261" spans="8:78" ht="15.75" customHeight="1" x14ac:dyDescent="0.2">
      <c r="H261" s="464"/>
      <c r="I261" s="464"/>
      <c r="J261" s="464"/>
      <c r="K261" s="464"/>
      <c r="L261" s="464"/>
      <c r="M261" s="464"/>
      <c r="N261" s="464"/>
      <c r="O261" s="464"/>
      <c r="P261" s="464"/>
      <c r="Q261" s="464"/>
      <c r="R261" s="464"/>
      <c r="S261" s="464"/>
      <c r="T261" s="464"/>
      <c r="U261" s="464"/>
      <c r="V261" s="464"/>
      <c r="W261" s="464"/>
      <c r="X261" s="464"/>
      <c r="Y261" s="464"/>
      <c r="Z261" s="464"/>
      <c r="AA261" s="464"/>
      <c r="AB261" s="464"/>
      <c r="AC261" s="464"/>
      <c r="AD261" s="464"/>
      <c r="AE261" s="464"/>
      <c r="AF261" s="464"/>
      <c r="AG261" s="464"/>
      <c r="AH261" s="464"/>
      <c r="AI261" s="464"/>
      <c r="AJ261" s="464"/>
      <c r="AK261" s="464"/>
      <c r="AL261" s="464"/>
      <c r="AM261" s="464"/>
      <c r="AN261" s="464"/>
      <c r="AO261" s="464"/>
      <c r="AP261" s="464"/>
      <c r="AQ261" s="464"/>
      <c r="AR261" s="464"/>
      <c r="AS261" s="464"/>
      <c r="AT261" s="464"/>
      <c r="AU261" s="464"/>
      <c r="AV261" s="464"/>
      <c r="AW261" s="464"/>
      <c r="AX261" s="464"/>
      <c r="AY261" s="464"/>
      <c r="AZ261" s="464"/>
      <c r="BA261" s="464"/>
      <c r="BB261" s="464"/>
      <c r="BC261" s="464"/>
      <c r="BD261" s="464"/>
      <c r="BE261" s="464"/>
      <c r="BF261" s="464"/>
      <c r="BG261" s="464"/>
      <c r="BH261" s="464"/>
      <c r="BJ261" s="463">
        <f t="shared" si="4"/>
        <v>254</v>
      </c>
      <c r="BZ261" s="467"/>
    </row>
    <row r="262" spans="8:78" ht="15.75" customHeight="1" x14ac:dyDescent="0.2">
      <c r="H262" s="464"/>
      <c r="I262" s="464"/>
      <c r="J262" s="464"/>
      <c r="K262" s="464"/>
      <c r="L262" s="464"/>
      <c r="M262" s="464"/>
      <c r="N262" s="464"/>
      <c r="O262" s="464"/>
      <c r="P262" s="464"/>
      <c r="Q262" s="464"/>
      <c r="R262" s="464"/>
      <c r="S262" s="464"/>
      <c r="T262" s="464"/>
      <c r="U262" s="464"/>
      <c r="V262" s="464"/>
      <c r="W262" s="464"/>
      <c r="X262" s="464"/>
      <c r="Y262" s="464"/>
      <c r="Z262" s="464"/>
      <c r="AA262" s="464"/>
      <c r="AB262" s="464"/>
      <c r="AC262" s="464"/>
      <c r="AD262" s="464"/>
      <c r="AE262" s="464"/>
      <c r="AF262" s="464"/>
      <c r="AG262" s="464"/>
      <c r="AH262" s="464"/>
      <c r="AI262" s="464"/>
      <c r="AJ262" s="464"/>
      <c r="AK262" s="464"/>
      <c r="AL262" s="464"/>
      <c r="AM262" s="464"/>
      <c r="AN262" s="464"/>
      <c r="AO262" s="464"/>
      <c r="AP262" s="464"/>
      <c r="AQ262" s="464"/>
      <c r="AR262" s="464"/>
      <c r="AS262" s="464"/>
      <c r="AT262" s="464"/>
      <c r="AU262" s="464"/>
      <c r="AV262" s="464"/>
      <c r="AW262" s="464"/>
      <c r="AX262" s="464"/>
      <c r="AY262" s="464"/>
      <c r="AZ262" s="464"/>
      <c r="BA262" s="464"/>
      <c r="BB262" s="464"/>
      <c r="BC262" s="464"/>
      <c r="BD262" s="464"/>
      <c r="BE262" s="464"/>
      <c r="BF262" s="464"/>
      <c r="BG262" s="464"/>
      <c r="BH262" s="464"/>
      <c r="BJ262" s="463">
        <f t="shared" si="4"/>
        <v>255</v>
      </c>
      <c r="BZ262" s="467"/>
    </row>
    <row r="263" spans="8:78" ht="15.75" customHeight="1" x14ac:dyDescent="0.2">
      <c r="H263" s="464"/>
      <c r="I263" s="464"/>
      <c r="J263" s="464"/>
      <c r="K263" s="464"/>
      <c r="L263" s="464"/>
      <c r="M263" s="464"/>
      <c r="N263" s="464"/>
      <c r="O263" s="464"/>
      <c r="P263" s="464"/>
      <c r="Q263" s="464"/>
      <c r="R263" s="464"/>
      <c r="S263" s="464"/>
      <c r="T263" s="464"/>
      <c r="U263" s="464"/>
      <c r="V263" s="464"/>
      <c r="W263" s="464"/>
      <c r="X263" s="464"/>
      <c r="Y263" s="464"/>
      <c r="Z263" s="464"/>
      <c r="AA263" s="464"/>
      <c r="AB263" s="464"/>
      <c r="AC263" s="464"/>
      <c r="AD263" s="464"/>
      <c r="AE263" s="464"/>
      <c r="AF263" s="464"/>
      <c r="AG263" s="464"/>
      <c r="AH263" s="464"/>
      <c r="AI263" s="464"/>
      <c r="AJ263" s="464"/>
      <c r="AK263" s="464"/>
      <c r="AL263" s="464"/>
      <c r="AM263" s="464"/>
      <c r="AN263" s="464"/>
      <c r="AO263" s="464"/>
      <c r="AP263" s="464"/>
      <c r="AQ263" s="464"/>
      <c r="AR263" s="464"/>
      <c r="AS263" s="464"/>
      <c r="AT263" s="464"/>
      <c r="AU263" s="464"/>
      <c r="AV263" s="464"/>
      <c r="AW263" s="464"/>
      <c r="AX263" s="464"/>
      <c r="AY263" s="464"/>
      <c r="AZ263" s="464"/>
      <c r="BA263" s="464"/>
      <c r="BB263" s="464"/>
      <c r="BC263" s="464"/>
      <c r="BD263" s="464"/>
      <c r="BE263" s="464"/>
      <c r="BF263" s="464"/>
      <c r="BG263" s="464"/>
      <c r="BH263" s="464"/>
      <c r="BJ263" s="463">
        <f t="shared" si="4"/>
        <v>256</v>
      </c>
      <c r="BZ263" s="467"/>
    </row>
    <row r="264" spans="8:78" ht="15.75" customHeight="1" x14ac:dyDescent="0.2">
      <c r="H264" s="464"/>
      <c r="I264" s="464"/>
      <c r="J264" s="464"/>
      <c r="K264" s="464"/>
      <c r="L264" s="464"/>
      <c r="M264" s="464"/>
      <c r="N264" s="464"/>
      <c r="O264" s="464"/>
      <c r="P264" s="464"/>
      <c r="Q264" s="464"/>
      <c r="R264" s="464"/>
      <c r="S264" s="464"/>
      <c r="T264" s="464"/>
      <c r="U264" s="464"/>
      <c r="V264" s="464"/>
      <c r="W264" s="464"/>
      <c r="X264" s="464"/>
      <c r="Y264" s="464"/>
      <c r="Z264" s="464"/>
      <c r="AA264" s="464"/>
      <c r="AB264" s="464"/>
      <c r="AC264" s="464"/>
      <c r="AD264" s="464"/>
      <c r="AE264" s="464"/>
      <c r="AF264" s="464"/>
      <c r="AG264" s="464"/>
      <c r="AH264" s="464"/>
      <c r="AI264" s="464"/>
      <c r="AJ264" s="464"/>
      <c r="AK264" s="464"/>
      <c r="AL264" s="464"/>
      <c r="AM264" s="464"/>
      <c r="AN264" s="464"/>
      <c r="AO264" s="464"/>
      <c r="AP264" s="464"/>
      <c r="AQ264" s="464"/>
      <c r="AR264" s="464"/>
      <c r="AS264" s="464"/>
      <c r="AT264" s="464"/>
      <c r="AU264" s="464"/>
      <c r="AV264" s="464"/>
      <c r="AW264" s="464"/>
      <c r="AX264" s="464"/>
      <c r="AY264" s="464"/>
      <c r="AZ264" s="464"/>
      <c r="BA264" s="464"/>
      <c r="BB264" s="464"/>
      <c r="BC264" s="464"/>
      <c r="BD264" s="464"/>
      <c r="BE264" s="464"/>
      <c r="BF264" s="464"/>
      <c r="BG264" s="464"/>
      <c r="BH264" s="464"/>
      <c r="BJ264" s="463">
        <f t="shared" si="4"/>
        <v>257</v>
      </c>
      <c r="BZ264" s="467"/>
    </row>
    <row r="265" spans="8:78" ht="15.75" customHeight="1" x14ac:dyDescent="0.2">
      <c r="H265" s="464"/>
      <c r="I265" s="464"/>
      <c r="J265" s="464"/>
      <c r="K265" s="464"/>
      <c r="L265" s="464"/>
      <c r="M265" s="464"/>
      <c r="N265" s="464"/>
      <c r="O265" s="464"/>
      <c r="P265" s="464"/>
      <c r="Q265" s="464"/>
      <c r="R265" s="464"/>
      <c r="S265" s="464"/>
      <c r="T265" s="464"/>
      <c r="U265" s="464"/>
      <c r="V265" s="464"/>
      <c r="W265" s="464"/>
      <c r="X265" s="464"/>
      <c r="Y265" s="464"/>
      <c r="Z265" s="464"/>
      <c r="AA265" s="464"/>
      <c r="AB265" s="464"/>
      <c r="AC265" s="464"/>
      <c r="AD265" s="464"/>
      <c r="AE265" s="464"/>
      <c r="AF265" s="464"/>
      <c r="AG265" s="464"/>
      <c r="AH265" s="464"/>
      <c r="AI265" s="464"/>
      <c r="AJ265" s="464"/>
      <c r="AK265" s="464"/>
      <c r="AL265" s="464"/>
      <c r="AM265" s="464"/>
      <c r="AN265" s="464"/>
      <c r="AO265" s="464"/>
      <c r="AP265" s="464"/>
      <c r="AQ265" s="464"/>
      <c r="AR265" s="464"/>
      <c r="AS265" s="464"/>
      <c r="AT265" s="464"/>
      <c r="AU265" s="464"/>
      <c r="AV265" s="464"/>
      <c r="AW265" s="464"/>
      <c r="AX265" s="464"/>
      <c r="AY265" s="464"/>
      <c r="AZ265" s="464"/>
      <c r="BA265" s="464"/>
      <c r="BB265" s="464"/>
      <c r="BC265" s="464"/>
      <c r="BD265" s="464"/>
      <c r="BE265" s="464"/>
      <c r="BF265" s="464"/>
      <c r="BG265" s="464"/>
      <c r="BH265" s="464"/>
      <c r="BJ265" s="463">
        <f t="shared" ref="BJ265:BJ328" si="5">BJ264+1</f>
        <v>258</v>
      </c>
      <c r="BZ265" s="467"/>
    </row>
    <row r="266" spans="8:78" ht="15.75" customHeight="1" x14ac:dyDescent="0.2">
      <c r="H266" s="464"/>
      <c r="I266" s="464"/>
      <c r="J266" s="464"/>
      <c r="K266" s="464"/>
      <c r="L266" s="464"/>
      <c r="M266" s="464"/>
      <c r="N266" s="464"/>
      <c r="O266" s="464"/>
      <c r="P266" s="464"/>
      <c r="Q266" s="464"/>
      <c r="R266" s="464"/>
      <c r="S266" s="464"/>
      <c r="T266" s="464"/>
      <c r="U266" s="464"/>
      <c r="V266" s="464"/>
      <c r="W266" s="464"/>
      <c r="X266" s="464"/>
      <c r="Y266" s="464"/>
      <c r="Z266" s="464"/>
      <c r="AA266" s="464"/>
      <c r="AB266" s="464"/>
      <c r="AC266" s="464"/>
      <c r="AD266" s="464"/>
      <c r="AE266" s="464"/>
      <c r="AF266" s="464"/>
      <c r="AG266" s="464"/>
      <c r="AH266" s="464"/>
      <c r="AI266" s="464"/>
      <c r="AJ266" s="464"/>
      <c r="AK266" s="464"/>
      <c r="AL266" s="464"/>
      <c r="AM266" s="464"/>
      <c r="AN266" s="464"/>
      <c r="AO266" s="464"/>
      <c r="AP266" s="464"/>
      <c r="AQ266" s="464"/>
      <c r="AR266" s="464"/>
      <c r="AS266" s="464"/>
      <c r="AT266" s="464"/>
      <c r="AU266" s="464"/>
      <c r="AV266" s="464"/>
      <c r="AW266" s="464"/>
      <c r="AX266" s="464"/>
      <c r="AY266" s="464"/>
      <c r="AZ266" s="464"/>
      <c r="BA266" s="464"/>
      <c r="BB266" s="464"/>
      <c r="BC266" s="464"/>
      <c r="BD266" s="464"/>
      <c r="BE266" s="464"/>
      <c r="BF266" s="464"/>
      <c r="BG266" s="464"/>
      <c r="BH266" s="464"/>
      <c r="BJ266" s="463">
        <f t="shared" si="5"/>
        <v>259</v>
      </c>
      <c r="BZ266" s="467"/>
    </row>
    <row r="267" spans="8:78" ht="15.75" customHeight="1" x14ac:dyDescent="0.2">
      <c r="H267" s="464"/>
      <c r="I267" s="464"/>
      <c r="J267" s="464"/>
      <c r="K267" s="464"/>
      <c r="L267" s="464"/>
      <c r="M267" s="464"/>
      <c r="N267" s="464"/>
      <c r="O267" s="464"/>
      <c r="P267" s="464"/>
      <c r="Q267" s="464"/>
      <c r="R267" s="464"/>
      <c r="S267" s="464"/>
      <c r="T267" s="464"/>
      <c r="U267" s="464"/>
      <c r="V267" s="464"/>
      <c r="W267" s="464"/>
      <c r="X267" s="464"/>
      <c r="Y267" s="464"/>
      <c r="Z267" s="464"/>
      <c r="AA267" s="464"/>
      <c r="AB267" s="464"/>
      <c r="AC267" s="464"/>
      <c r="AD267" s="464"/>
      <c r="AE267" s="464"/>
      <c r="AF267" s="464"/>
      <c r="AG267" s="464"/>
      <c r="AH267" s="464"/>
      <c r="AI267" s="464"/>
      <c r="AJ267" s="464"/>
      <c r="AK267" s="464"/>
      <c r="AL267" s="464"/>
      <c r="AM267" s="464"/>
      <c r="AN267" s="464"/>
      <c r="AO267" s="464"/>
      <c r="AP267" s="464"/>
      <c r="AQ267" s="464"/>
      <c r="AR267" s="464"/>
      <c r="AS267" s="464"/>
      <c r="AT267" s="464"/>
      <c r="AU267" s="464"/>
      <c r="AV267" s="464"/>
      <c r="AW267" s="464"/>
      <c r="AX267" s="464"/>
      <c r="AY267" s="464"/>
      <c r="AZ267" s="464"/>
      <c r="BA267" s="464"/>
      <c r="BB267" s="464"/>
      <c r="BC267" s="464"/>
      <c r="BD267" s="464"/>
      <c r="BE267" s="464"/>
      <c r="BF267" s="464"/>
      <c r="BG267" s="464"/>
      <c r="BH267" s="464"/>
      <c r="BJ267" s="463">
        <f t="shared" si="5"/>
        <v>260</v>
      </c>
      <c r="BZ267" s="467"/>
    </row>
    <row r="268" spans="8:78" ht="15.75" customHeight="1" x14ac:dyDescent="0.2">
      <c r="H268" s="464"/>
      <c r="I268" s="464"/>
      <c r="J268" s="464"/>
      <c r="K268" s="464"/>
      <c r="L268" s="464"/>
      <c r="M268" s="464"/>
      <c r="N268" s="464"/>
      <c r="O268" s="464"/>
      <c r="P268" s="464"/>
      <c r="Q268" s="464"/>
      <c r="R268" s="464"/>
      <c r="S268" s="464"/>
      <c r="T268" s="464"/>
      <c r="U268" s="464"/>
      <c r="V268" s="464"/>
      <c r="W268" s="464"/>
      <c r="X268" s="464"/>
      <c r="Y268" s="464"/>
      <c r="Z268" s="464"/>
      <c r="AA268" s="464"/>
      <c r="AB268" s="464"/>
      <c r="AC268" s="464"/>
      <c r="AD268" s="464"/>
      <c r="AE268" s="464"/>
      <c r="AF268" s="464"/>
      <c r="AG268" s="464"/>
      <c r="AH268" s="464"/>
      <c r="AI268" s="464"/>
      <c r="AJ268" s="464"/>
      <c r="AK268" s="464"/>
      <c r="AL268" s="464"/>
      <c r="AM268" s="464"/>
      <c r="AN268" s="464"/>
      <c r="AO268" s="464"/>
      <c r="AP268" s="464"/>
      <c r="AQ268" s="464"/>
      <c r="AR268" s="464"/>
      <c r="AS268" s="464"/>
      <c r="AT268" s="464"/>
      <c r="AU268" s="464"/>
      <c r="AV268" s="464"/>
      <c r="AW268" s="464"/>
      <c r="AX268" s="464"/>
      <c r="AY268" s="464"/>
      <c r="AZ268" s="464"/>
      <c r="BA268" s="464"/>
      <c r="BB268" s="464"/>
      <c r="BC268" s="464"/>
      <c r="BD268" s="464"/>
      <c r="BE268" s="464"/>
      <c r="BF268" s="464"/>
      <c r="BG268" s="464"/>
      <c r="BH268" s="464"/>
      <c r="BJ268" s="463">
        <f t="shared" si="5"/>
        <v>261</v>
      </c>
      <c r="BZ268" s="467"/>
    </row>
    <row r="269" spans="8:78" ht="15.75" customHeight="1" x14ac:dyDescent="0.2">
      <c r="H269" s="464"/>
      <c r="I269" s="464"/>
      <c r="J269" s="464"/>
      <c r="K269" s="464"/>
      <c r="L269" s="464"/>
      <c r="M269" s="464"/>
      <c r="N269" s="464"/>
      <c r="O269" s="464"/>
      <c r="P269" s="464"/>
      <c r="Q269" s="464"/>
      <c r="R269" s="464"/>
      <c r="S269" s="464"/>
      <c r="T269" s="464"/>
      <c r="U269" s="464"/>
      <c r="V269" s="464"/>
      <c r="W269" s="464"/>
      <c r="X269" s="464"/>
      <c r="Y269" s="464"/>
      <c r="Z269" s="464"/>
      <c r="AA269" s="464"/>
      <c r="AB269" s="464"/>
      <c r="AC269" s="464"/>
      <c r="AD269" s="464"/>
      <c r="AE269" s="464"/>
      <c r="AF269" s="464"/>
      <c r="AG269" s="464"/>
      <c r="AH269" s="464"/>
      <c r="AI269" s="464"/>
      <c r="AJ269" s="464"/>
      <c r="AK269" s="464"/>
      <c r="AL269" s="464"/>
      <c r="AM269" s="464"/>
      <c r="AN269" s="464"/>
      <c r="AO269" s="464"/>
      <c r="AP269" s="464"/>
      <c r="AQ269" s="464"/>
      <c r="AR269" s="464"/>
      <c r="AS269" s="464"/>
      <c r="AT269" s="464"/>
      <c r="AU269" s="464"/>
      <c r="AV269" s="464"/>
      <c r="AW269" s="464"/>
      <c r="AX269" s="464"/>
      <c r="AY269" s="464"/>
      <c r="AZ269" s="464"/>
      <c r="BA269" s="464"/>
      <c r="BB269" s="464"/>
      <c r="BC269" s="464"/>
      <c r="BD269" s="464"/>
      <c r="BE269" s="464"/>
      <c r="BF269" s="464"/>
      <c r="BG269" s="464"/>
      <c r="BH269" s="464"/>
      <c r="BJ269" s="463">
        <f t="shared" si="5"/>
        <v>262</v>
      </c>
      <c r="BZ269" s="467"/>
    </row>
    <row r="270" spans="8:78" ht="15.75" customHeight="1" x14ac:dyDescent="0.2">
      <c r="H270" s="464"/>
      <c r="I270" s="464"/>
      <c r="J270" s="464"/>
      <c r="K270" s="464"/>
      <c r="L270" s="464"/>
      <c r="M270" s="464"/>
      <c r="N270" s="464"/>
      <c r="O270" s="464"/>
      <c r="P270" s="464"/>
      <c r="Q270" s="464"/>
      <c r="R270" s="464"/>
      <c r="S270" s="464"/>
      <c r="T270" s="464"/>
      <c r="U270" s="464"/>
      <c r="V270" s="464"/>
      <c r="W270" s="464"/>
      <c r="X270" s="464"/>
      <c r="Y270" s="464"/>
      <c r="Z270" s="464"/>
      <c r="AA270" s="464"/>
      <c r="AB270" s="464"/>
      <c r="AC270" s="464"/>
      <c r="AD270" s="464"/>
      <c r="AE270" s="464"/>
      <c r="AF270" s="464"/>
      <c r="AG270" s="464"/>
      <c r="AH270" s="464"/>
      <c r="AI270" s="464"/>
      <c r="AJ270" s="464"/>
      <c r="AK270" s="464"/>
      <c r="AL270" s="464"/>
      <c r="AM270" s="464"/>
      <c r="AN270" s="464"/>
      <c r="AO270" s="464"/>
      <c r="AP270" s="464"/>
      <c r="AQ270" s="464"/>
      <c r="AR270" s="464"/>
      <c r="AS270" s="464"/>
      <c r="AT270" s="464"/>
      <c r="AU270" s="464"/>
      <c r="AV270" s="464"/>
      <c r="AW270" s="464"/>
      <c r="AX270" s="464"/>
      <c r="AY270" s="464"/>
      <c r="AZ270" s="464"/>
      <c r="BA270" s="464"/>
      <c r="BB270" s="464"/>
      <c r="BC270" s="464"/>
      <c r="BD270" s="464"/>
      <c r="BE270" s="464"/>
      <c r="BF270" s="464"/>
      <c r="BG270" s="464"/>
      <c r="BH270" s="464"/>
      <c r="BJ270" s="463">
        <f t="shared" si="5"/>
        <v>263</v>
      </c>
      <c r="BZ270" s="467"/>
    </row>
    <row r="271" spans="8:78" ht="15.75" customHeight="1" x14ac:dyDescent="0.2">
      <c r="H271" s="464"/>
      <c r="I271" s="464"/>
      <c r="J271" s="464"/>
      <c r="K271" s="464"/>
      <c r="L271" s="464"/>
      <c r="M271" s="464"/>
      <c r="N271" s="464"/>
      <c r="O271" s="464"/>
      <c r="P271" s="464"/>
      <c r="Q271" s="464"/>
      <c r="R271" s="464"/>
      <c r="S271" s="464"/>
      <c r="T271" s="464"/>
      <c r="U271" s="464"/>
      <c r="V271" s="464"/>
      <c r="W271" s="464"/>
      <c r="X271" s="464"/>
      <c r="Y271" s="464"/>
      <c r="Z271" s="464"/>
      <c r="AA271" s="464"/>
      <c r="AB271" s="464"/>
      <c r="AC271" s="464"/>
      <c r="AD271" s="464"/>
      <c r="AE271" s="464"/>
      <c r="AF271" s="464"/>
      <c r="AG271" s="464"/>
      <c r="AH271" s="464"/>
      <c r="AI271" s="464"/>
      <c r="AJ271" s="464"/>
      <c r="AK271" s="464"/>
      <c r="AL271" s="464"/>
      <c r="AM271" s="464"/>
      <c r="AN271" s="464"/>
      <c r="AO271" s="464"/>
      <c r="AP271" s="464"/>
      <c r="AQ271" s="464"/>
      <c r="AR271" s="464"/>
      <c r="AS271" s="464"/>
      <c r="AT271" s="464"/>
      <c r="AU271" s="464"/>
      <c r="AV271" s="464"/>
      <c r="AW271" s="464"/>
      <c r="AX271" s="464"/>
      <c r="AY271" s="464"/>
      <c r="AZ271" s="464"/>
      <c r="BA271" s="464"/>
      <c r="BB271" s="464"/>
      <c r="BC271" s="464"/>
      <c r="BD271" s="464"/>
      <c r="BE271" s="464"/>
      <c r="BF271" s="464"/>
      <c r="BG271" s="464"/>
      <c r="BH271" s="464"/>
      <c r="BJ271" s="463">
        <f t="shared" si="5"/>
        <v>264</v>
      </c>
      <c r="BZ271" s="467"/>
    </row>
    <row r="272" spans="8:78" ht="15.75" customHeight="1" x14ac:dyDescent="0.2">
      <c r="H272" s="464"/>
      <c r="I272" s="464"/>
      <c r="J272" s="464"/>
      <c r="K272" s="464"/>
      <c r="L272" s="464"/>
      <c r="M272" s="464"/>
      <c r="N272" s="464"/>
      <c r="O272" s="464"/>
      <c r="P272" s="464"/>
      <c r="Q272" s="464"/>
      <c r="R272" s="464"/>
      <c r="S272" s="464"/>
      <c r="T272" s="464"/>
      <c r="U272" s="464"/>
      <c r="V272" s="464"/>
      <c r="W272" s="464"/>
      <c r="X272" s="464"/>
      <c r="Y272" s="464"/>
      <c r="Z272" s="464"/>
      <c r="AA272" s="464"/>
      <c r="AB272" s="464"/>
      <c r="AC272" s="464"/>
      <c r="AD272" s="464"/>
      <c r="AE272" s="464"/>
      <c r="AF272" s="464"/>
      <c r="AG272" s="464"/>
      <c r="AH272" s="464"/>
      <c r="AI272" s="464"/>
      <c r="AJ272" s="464"/>
      <c r="AK272" s="464"/>
      <c r="AL272" s="464"/>
      <c r="AM272" s="464"/>
      <c r="AN272" s="464"/>
      <c r="AO272" s="464"/>
      <c r="AP272" s="464"/>
      <c r="AQ272" s="464"/>
      <c r="AR272" s="464"/>
      <c r="AS272" s="464"/>
      <c r="AT272" s="464"/>
      <c r="AU272" s="464"/>
      <c r="AV272" s="464"/>
      <c r="AW272" s="464"/>
      <c r="AX272" s="464"/>
      <c r="AY272" s="464"/>
      <c r="AZ272" s="464"/>
      <c r="BA272" s="464"/>
      <c r="BB272" s="464"/>
      <c r="BC272" s="464"/>
      <c r="BD272" s="464"/>
      <c r="BE272" s="464"/>
      <c r="BF272" s="464"/>
      <c r="BG272" s="464"/>
      <c r="BH272" s="464"/>
      <c r="BJ272" s="463">
        <f t="shared" si="5"/>
        <v>265</v>
      </c>
      <c r="BZ272" s="467"/>
    </row>
    <row r="273" spans="8:78" ht="15.75" customHeight="1" x14ac:dyDescent="0.2">
      <c r="H273" s="464"/>
      <c r="I273" s="464"/>
      <c r="J273" s="464"/>
      <c r="K273" s="464"/>
      <c r="L273" s="464"/>
      <c r="M273" s="464"/>
      <c r="N273" s="464"/>
      <c r="O273" s="464"/>
      <c r="P273" s="464"/>
      <c r="Q273" s="464"/>
      <c r="R273" s="464"/>
      <c r="S273" s="464"/>
      <c r="T273" s="464"/>
      <c r="U273" s="464"/>
      <c r="V273" s="464"/>
      <c r="W273" s="464"/>
      <c r="X273" s="464"/>
      <c r="Y273" s="464"/>
      <c r="Z273" s="464"/>
      <c r="AA273" s="464"/>
      <c r="AB273" s="464"/>
      <c r="AC273" s="464"/>
      <c r="AD273" s="464"/>
      <c r="AE273" s="464"/>
      <c r="AF273" s="464"/>
      <c r="AG273" s="464"/>
      <c r="AH273" s="464"/>
      <c r="AI273" s="464"/>
      <c r="AJ273" s="464"/>
      <c r="AK273" s="464"/>
      <c r="AL273" s="464"/>
      <c r="AM273" s="464"/>
      <c r="AN273" s="464"/>
      <c r="AO273" s="464"/>
      <c r="AP273" s="464"/>
      <c r="AQ273" s="464"/>
      <c r="AR273" s="464"/>
      <c r="AS273" s="464"/>
      <c r="AT273" s="464"/>
      <c r="AU273" s="464"/>
      <c r="AV273" s="464"/>
      <c r="AW273" s="464"/>
      <c r="AX273" s="464"/>
      <c r="AY273" s="464"/>
      <c r="AZ273" s="464"/>
      <c r="BA273" s="464"/>
      <c r="BB273" s="464"/>
      <c r="BC273" s="464"/>
      <c r="BD273" s="464"/>
      <c r="BE273" s="464"/>
      <c r="BF273" s="464"/>
      <c r="BG273" s="464"/>
      <c r="BH273" s="464"/>
      <c r="BJ273" s="463">
        <f t="shared" si="5"/>
        <v>266</v>
      </c>
      <c r="BZ273" s="467"/>
    </row>
    <row r="274" spans="8:78" ht="15.75" customHeight="1" x14ac:dyDescent="0.2">
      <c r="H274" s="464"/>
      <c r="I274" s="464"/>
      <c r="J274" s="464"/>
      <c r="K274" s="464"/>
      <c r="L274" s="464"/>
      <c r="M274" s="464"/>
      <c r="N274" s="464"/>
      <c r="O274" s="464"/>
      <c r="P274" s="464"/>
      <c r="Q274" s="464"/>
      <c r="R274" s="464"/>
      <c r="S274" s="464"/>
      <c r="T274" s="464"/>
      <c r="U274" s="464"/>
      <c r="V274" s="464"/>
      <c r="W274" s="464"/>
      <c r="X274" s="464"/>
      <c r="Y274" s="464"/>
      <c r="Z274" s="464"/>
      <c r="AA274" s="464"/>
      <c r="AB274" s="464"/>
      <c r="AC274" s="464"/>
      <c r="AD274" s="464"/>
      <c r="AE274" s="464"/>
      <c r="AF274" s="464"/>
      <c r="AG274" s="464"/>
      <c r="AH274" s="464"/>
      <c r="AI274" s="464"/>
      <c r="AJ274" s="464"/>
      <c r="AK274" s="464"/>
      <c r="AL274" s="464"/>
      <c r="AM274" s="464"/>
      <c r="AN274" s="464"/>
      <c r="AO274" s="464"/>
      <c r="AP274" s="464"/>
      <c r="AQ274" s="464"/>
      <c r="AR274" s="464"/>
      <c r="AS274" s="464"/>
      <c r="AT274" s="464"/>
      <c r="AU274" s="464"/>
      <c r="AV274" s="464"/>
      <c r="AW274" s="464"/>
      <c r="AX274" s="464"/>
      <c r="AY274" s="464"/>
      <c r="AZ274" s="464"/>
      <c r="BA274" s="464"/>
      <c r="BB274" s="464"/>
      <c r="BC274" s="464"/>
      <c r="BD274" s="464"/>
      <c r="BE274" s="464"/>
      <c r="BF274" s="464"/>
      <c r="BG274" s="464"/>
      <c r="BH274" s="464"/>
      <c r="BJ274" s="463">
        <f t="shared" si="5"/>
        <v>267</v>
      </c>
      <c r="BZ274" s="467"/>
    </row>
    <row r="275" spans="8:78" ht="15.75" customHeight="1" x14ac:dyDescent="0.2">
      <c r="H275" s="464"/>
      <c r="I275" s="464"/>
      <c r="J275" s="464"/>
      <c r="K275" s="464"/>
      <c r="L275" s="464"/>
      <c r="M275" s="464"/>
      <c r="N275" s="464"/>
      <c r="O275" s="464"/>
      <c r="P275" s="464"/>
      <c r="Q275" s="464"/>
      <c r="R275" s="464"/>
      <c r="S275" s="464"/>
      <c r="T275" s="464"/>
      <c r="U275" s="464"/>
      <c r="V275" s="464"/>
      <c r="W275" s="464"/>
      <c r="X275" s="464"/>
      <c r="Y275" s="464"/>
      <c r="Z275" s="464"/>
      <c r="AA275" s="464"/>
      <c r="AB275" s="464"/>
      <c r="AC275" s="464"/>
      <c r="AD275" s="464"/>
      <c r="AE275" s="464"/>
      <c r="AF275" s="464"/>
      <c r="AG275" s="464"/>
      <c r="AH275" s="464"/>
      <c r="AI275" s="464"/>
      <c r="AJ275" s="464"/>
      <c r="AK275" s="464"/>
      <c r="AL275" s="464"/>
      <c r="AM275" s="464"/>
      <c r="AN275" s="464"/>
      <c r="AO275" s="464"/>
      <c r="AP275" s="464"/>
      <c r="AQ275" s="464"/>
      <c r="AR275" s="464"/>
      <c r="AS275" s="464"/>
      <c r="AT275" s="464"/>
      <c r="AU275" s="464"/>
      <c r="AV275" s="464"/>
      <c r="AW275" s="464"/>
      <c r="AX275" s="464"/>
      <c r="AY275" s="464"/>
      <c r="AZ275" s="464"/>
      <c r="BA275" s="464"/>
      <c r="BB275" s="464"/>
      <c r="BC275" s="464"/>
      <c r="BD275" s="464"/>
      <c r="BE275" s="464"/>
      <c r="BF275" s="464"/>
      <c r="BG275" s="464"/>
      <c r="BH275" s="464"/>
      <c r="BJ275" s="463">
        <f t="shared" si="5"/>
        <v>268</v>
      </c>
      <c r="BZ275" s="467"/>
    </row>
    <row r="276" spans="8:78" ht="15.75" customHeight="1" x14ac:dyDescent="0.2">
      <c r="H276" s="464"/>
      <c r="I276" s="464"/>
      <c r="J276" s="464"/>
      <c r="K276" s="464"/>
      <c r="L276" s="464"/>
      <c r="M276" s="464"/>
      <c r="N276" s="464"/>
      <c r="O276" s="464"/>
      <c r="P276" s="464"/>
      <c r="Q276" s="464"/>
      <c r="R276" s="464"/>
      <c r="S276" s="464"/>
      <c r="T276" s="464"/>
      <c r="U276" s="464"/>
      <c r="V276" s="464"/>
      <c r="W276" s="464"/>
      <c r="X276" s="464"/>
      <c r="Y276" s="464"/>
      <c r="Z276" s="464"/>
      <c r="AA276" s="464"/>
      <c r="AB276" s="464"/>
      <c r="AC276" s="464"/>
      <c r="AD276" s="464"/>
      <c r="AE276" s="464"/>
      <c r="AF276" s="464"/>
      <c r="AG276" s="464"/>
      <c r="AH276" s="464"/>
      <c r="AI276" s="464"/>
      <c r="AJ276" s="464"/>
      <c r="AK276" s="464"/>
      <c r="AL276" s="464"/>
      <c r="AM276" s="464"/>
      <c r="AN276" s="464"/>
      <c r="AO276" s="464"/>
      <c r="AP276" s="464"/>
      <c r="AQ276" s="464"/>
      <c r="AR276" s="464"/>
      <c r="AS276" s="464"/>
      <c r="AT276" s="464"/>
      <c r="AU276" s="464"/>
      <c r="AV276" s="464"/>
      <c r="AW276" s="464"/>
      <c r="AX276" s="464"/>
      <c r="AY276" s="464"/>
      <c r="AZ276" s="464"/>
      <c r="BA276" s="464"/>
      <c r="BB276" s="464"/>
      <c r="BC276" s="464"/>
      <c r="BD276" s="464"/>
      <c r="BE276" s="464"/>
      <c r="BF276" s="464"/>
      <c r="BG276" s="464"/>
      <c r="BH276" s="464"/>
      <c r="BJ276" s="463">
        <f t="shared" si="5"/>
        <v>269</v>
      </c>
      <c r="BZ276" s="467"/>
    </row>
    <row r="277" spans="8:78" ht="15.75" customHeight="1" x14ac:dyDescent="0.2">
      <c r="H277" s="464"/>
      <c r="I277" s="464"/>
      <c r="J277" s="464"/>
      <c r="K277" s="464"/>
      <c r="L277" s="464"/>
      <c r="M277" s="464"/>
      <c r="N277" s="464"/>
      <c r="O277" s="464"/>
      <c r="P277" s="464"/>
      <c r="Q277" s="464"/>
      <c r="R277" s="464"/>
      <c r="S277" s="464"/>
      <c r="T277" s="464"/>
      <c r="U277" s="464"/>
      <c r="V277" s="464"/>
      <c r="W277" s="464"/>
      <c r="X277" s="464"/>
      <c r="Y277" s="464"/>
      <c r="Z277" s="464"/>
      <c r="AA277" s="464"/>
      <c r="AB277" s="464"/>
      <c r="AC277" s="464"/>
      <c r="AD277" s="464"/>
      <c r="AE277" s="464"/>
      <c r="AF277" s="464"/>
      <c r="AG277" s="464"/>
      <c r="AH277" s="464"/>
      <c r="AI277" s="464"/>
      <c r="AJ277" s="464"/>
      <c r="AK277" s="464"/>
      <c r="AL277" s="464"/>
      <c r="AM277" s="464"/>
      <c r="AN277" s="464"/>
      <c r="AO277" s="464"/>
      <c r="AP277" s="464"/>
      <c r="AQ277" s="464"/>
      <c r="AR277" s="464"/>
      <c r="AS277" s="464"/>
      <c r="AT277" s="464"/>
      <c r="AU277" s="464"/>
      <c r="AV277" s="464"/>
      <c r="AW277" s="464"/>
      <c r="AX277" s="464"/>
      <c r="AY277" s="464"/>
      <c r="AZ277" s="464"/>
      <c r="BA277" s="464"/>
      <c r="BB277" s="464"/>
      <c r="BC277" s="464"/>
      <c r="BD277" s="464"/>
      <c r="BE277" s="464"/>
      <c r="BF277" s="464"/>
      <c r="BG277" s="464"/>
      <c r="BH277" s="464"/>
      <c r="BJ277" s="463">
        <f t="shared" si="5"/>
        <v>270</v>
      </c>
      <c r="BZ277" s="467"/>
    </row>
    <row r="278" spans="8:78" ht="15.75" customHeight="1" x14ac:dyDescent="0.2">
      <c r="H278" s="464"/>
      <c r="I278" s="464"/>
      <c r="J278" s="464"/>
      <c r="K278" s="464"/>
      <c r="L278" s="464"/>
      <c r="M278" s="464"/>
      <c r="N278" s="464"/>
      <c r="O278" s="464"/>
      <c r="P278" s="464"/>
      <c r="Q278" s="464"/>
      <c r="R278" s="464"/>
      <c r="S278" s="464"/>
      <c r="T278" s="464"/>
      <c r="U278" s="464"/>
      <c r="V278" s="464"/>
      <c r="W278" s="464"/>
      <c r="X278" s="464"/>
      <c r="Y278" s="464"/>
      <c r="Z278" s="464"/>
      <c r="AA278" s="464"/>
      <c r="AB278" s="464"/>
      <c r="AC278" s="464"/>
      <c r="AD278" s="464"/>
      <c r="AE278" s="464"/>
      <c r="AF278" s="464"/>
      <c r="AG278" s="464"/>
      <c r="AH278" s="464"/>
      <c r="AI278" s="464"/>
      <c r="AJ278" s="464"/>
      <c r="AK278" s="464"/>
      <c r="AL278" s="464"/>
      <c r="AM278" s="464"/>
      <c r="AN278" s="464"/>
      <c r="AO278" s="464"/>
      <c r="AP278" s="464"/>
      <c r="AQ278" s="464"/>
      <c r="AR278" s="464"/>
      <c r="AS278" s="464"/>
      <c r="AT278" s="464"/>
      <c r="AU278" s="464"/>
      <c r="AV278" s="464"/>
      <c r="AW278" s="464"/>
      <c r="AX278" s="464"/>
      <c r="AY278" s="464"/>
      <c r="AZ278" s="464"/>
      <c r="BA278" s="464"/>
      <c r="BB278" s="464"/>
      <c r="BC278" s="464"/>
      <c r="BD278" s="464"/>
      <c r="BE278" s="464"/>
      <c r="BF278" s="464"/>
      <c r="BG278" s="464"/>
      <c r="BH278" s="464"/>
      <c r="BJ278" s="463">
        <f t="shared" si="5"/>
        <v>271</v>
      </c>
      <c r="BZ278" s="467"/>
    </row>
    <row r="279" spans="8:78" ht="15.75" customHeight="1" x14ac:dyDescent="0.2">
      <c r="H279" s="464"/>
      <c r="I279" s="464"/>
      <c r="J279" s="464"/>
      <c r="K279" s="464"/>
      <c r="L279" s="464"/>
      <c r="M279" s="464"/>
      <c r="N279" s="464"/>
      <c r="O279" s="464"/>
      <c r="P279" s="464"/>
      <c r="Q279" s="464"/>
      <c r="R279" s="464"/>
      <c r="S279" s="464"/>
      <c r="T279" s="464"/>
      <c r="U279" s="464"/>
      <c r="V279" s="464"/>
      <c r="W279" s="464"/>
      <c r="X279" s="464"/>
      <c r="Y279" s="464"/>
      <c r="Z279" s="464"/>
      <c r="AA279" s="464"/>
      <c r="AB279" s="464"/>
      <c r="AC279" s="464"/>
      <c r="AD279" s="464"/>
      <c r="AE279" s="464"/>
      <c r="AF279" s="464"/>
      <c r="AG279" s="464"/>
      <c r="AH279" s="464"/>
      <c r="AI279" s="464"/>
      <c r="AJ279" s="464"/>
      <c r="AK279" s="464"/>
      <c r="AL279" s="464"/>
      <c r="AM279" s="464"/>
      <c r="AN279" s="464"/>
      <c r="AO279" s="464"/>
      <c r="AP279" s="464"/>
      <c r="AQ279" s="464"/>
      <c r="AR279" s="464"/>
      <c r="AS279" s="464"/>
      <c r="AT279" s="464"/>
      <c r="AU279" s="464"/>
      <c r="AV279" s="464"/>
      <c r="AW279" s="464"/>
      <c r="AX279" s="464"/>
      <c r="AY279" s="464"/>
      <c r="AZ279" s="464"/>
      <c r="BA279" s="464"/>
      <c r="BB279" s="464"/>
      <c r="BC279" s="464"/>
      <c r="BD279" s="464"/>
      <c r="BE279" s="464"/>
      <c r="BF279" s="464"/>
      <c r="BG279" s="464"/>
      <c r="BH279" s="464"/>
      <c r="BJ279" s="463">
        <f t="shared" si="5"/>
        <v>272</v>
      </c>
      <c r="BZ279" s="467"/>
    </row>
    <row r="280" spans="8:78" ht="15.75" customHeight="1" x14ac:dyDescent="0.2">
      <c r="H280" s="464"/>
      <c r="I280" s="464"/>
      <c r="J280" s="464"/>
      <c r="K280" s="464"/>
      <c r="L280" s="464"/>
      <c r="M280" s="464"/>
      <c r="N280" s="464"/>
      <c r="O280" s="464"/>
      <c r="P280" s="464"/>
      <c r="Q280" s="464"/>
      <c r="R280" s="464"/>
      <c r="S280" s="464"/>
      <c r="T280" s="464"/>
      <c r="U280" s="464"/>
      <c r="V280" s="464"/>
      <c r="W280" s="464"/>
      <c r="X280" s="464"/>
      <c r="Y280" s="464"/>
      <c r="Z280" s="464"/>
      <c r="AA280" s="464"/>
      <c r="AB280" s="464"/>
      <c r="AC280" s="464"/>
      <c r="AD280" s="464"/>
      <c r="AE280" s="464"/>
      <c r="AF280" s="464"/>
      <c r="AG280" s="464"/>
      <c r="AH280" s="464"/>
      <c r="AI280" s="464"/>
      <c r="AJ280" s="464"/>
      <c r="AK280" s="464"/>
      <c r="AL280" s="464"/>
      <c r="AM280" s="464"/>
      <c r="AN280" s="464"/>
      <c r="AO280" s="464"/>
      <c r="AP280" s="464"/>
      <c r="AQ280" s="464"/>
      <c r="AR280" s="464"/>
      <c r="AS280" s="464"/>
      <c r="AT280" s="464"/>
      <c r="AU280" s="464"/>
      <c r="AV280" s="464"/>
      <c r="AW280" s="464"/>
      <c r="AX280" s="464"/>
      <c r="AY280" s="464"/>
      <c r="AZ280" s="464"/>
      <c r="BA280" s="464"/>
      <c r="BB280" s="464"/>
      <c r="BC280" s="464"/>
      <c r="BD280" s="464"/>
      <c r="BE280" s="464"/>
      <c r="BF280" s="464"/>
      <c r="BG280" s="464"/>
      <c r="BH280" s="464"/>
      <c r="BJ280" s="463">
        <f t="shared" si="5"/>
        <v>273</v>
      </c>
      <c r="BZ280" s="467"/>
    </row>
    <row r="281" spans="8:78" ht="15.75" customHeight="1" x14ac:dyDescent="0.2">
      <c r="H281" s="464"/>
      <c r="I281" s="464"/>
      <c r="J281" s="464"/>
      <c r="K281" s="464"/>
      <c r="L281" s="464"/>
      <c r="M281" s="464"/>
      <c r="N281" s="464"/>
      <c r="O281" s="464"/>
      <c r="P281" s="464"/>
      <c r="Q281" s="464"/>
      <c r="R281" s="464"/>
      <c r="S281" s="464"/>
      <c r="T281" s="464"/>
      <c r="U281" s="464"/>
      <c r="V281" s="464"/>
      <c r="W281" s="464"/>
      <c r="X281" s="464"/>
      <c r="Y281" s="464"/>
      <c r="Z281" s="464"/>
      <c r="AA281" s="464"/>
      <c r="AB281" s="464"/>
      <c r="AC281" s="464"/>
      <c r="AD281" s="464"/>
      <c r="AE281" s="464"/>
      <c r="AF281" s="464"/>
      <c r="AG281" s="464"/>
      <c r="AH281" s="464"/>
      <c r="AI281" s="464"/>
      <c r="AJ281" s="464"/>
      <c r="AK281" s="464"/>
      <c r="AL281" s="464"/>
      <c r="AM281" s="464"/>
      <c r="AN281" s="464"/>
      <c r="AO281" s="464"/>
      <c r="AP281" s="464"/>
      <c r="AQ281" s="464"/>
      <c r="AR281" s="464"/>
      <c r="AS281" s="464"/>
      <c r="AT281" s="464"/>
      <c r="AU281" s="464"/>
      <c r="AV281" s="464"/>
      <c r="AW281" s="464"/>
      <c r="AX281" s="464"/>
      <c r="AY281" s="464"/>
      <c r="AZ281" s="464"/>
      <c r="BA281" s="464"/>
      <c r="BB281" s="464"/>
      <c r="BC281" s="464"/>
      <c r="BD281" s="464"/>
      <c r="BE281" s="464"/>
      <c r="BF281" s="464"/>
      <c r="BG281" s="464"/>
      <c r="BH281" s="464"/>
      <c r="BJ281" s="463">
        <f t="shared" si="5"/>
        <v>274</v>
      </c>
      <c r="BZ281" s="467"/>
    </row>
    <row r="282" spans="8:78" ht="15.75" customHeight="1" x14ac:dyDescent="0.2">
      <c r="H282" s="464"/>
      <c r="I282" s="464"/>
      <c r="J282" s="464"/>
      <c r="K282" s="464"/>
      <c r="L282" s="464"/>
      <c r="M282" s="464"/>
      <c r="N282" s="464"/>
      <c r="O282" s="464"/>
      <c r="P282" s="464"/>
      <c r="Q282" s="464"/>
      <c r="R282" s="464"/>
      <c r="S282" s="464"/>
      <c r="T282" s="464"/>
      <c r="U282" s="464"/>
      <c r="V282" s="464"/>
      <c r="W282" s="464"/>
      <c r="X282" s="464"/>
      <c r="Y282" s="464"/>
      <c r="Z282" s="464"/>
      <c r="AA282" s="464"/>
      <c r="AB282" s="464"/>
      <c r="AC282" s="464"/>
      <c r="AD282" s="464"/>
      <c r="AE282" s="464"/>
      <c r="AF282" s="464"/>
      <c r="AG282" s="464"/>
      <c r="AH282" s="464"/>
      <c r="AI282" s="464"/>
      <c r="AJ282" s="464"/>
      <c r="AK282" s="464"/>
      <c r="AL282" s="464"/>
      <c r="AM282" s="464"/>
      <c r="AN282" s="464"/>
      <c r="AO282" s="464"/>
      <c r="AP282" s="464"/>
      <c r="AQ282" s="464"/>
      <c r="AR282" s="464"/>
      <c r="AS282" s="464"/>
      <c r="AT282" s="464"/>
      <c r="AU282" s="464"/>
      <c r="AV282" s="464"/>
      <c r="AW282" s="464"/>
      <c r="AX282" s="464"/>
      <c r="AY282" s="464"/>
      <c r="AZ282" s="464"/>
      <c r="BA282" s="464"/>
      <c r="BB282" s="464"/>
      <c r="BC282" s="464"/>
      <c r="BD282" s="464"/>
      <c r="BE282" s="464"/>
      <c r="BF282" s="464"/>
      <c r="BG282" s="464"/>
      <c r="BH282" s="464"/>
      <c r="BJ282" s="463">
        <f t="shared" si="5"/>
        <v>275</v>
      </c>
      <c r="BZ282" s="467"/>
    </row>
    <row r="283" spans="8:78" ht="15.75" customHeight="1" x14ac:dyDescent="0.2">
      <c r="H283" s="464"/>
      <c r="I283" s="464"/>
      <c r="J283" s="464"/>
      <c r="K283" s="464"/>
      <c r="L283" s="464"/>
      <c r="M283" s="464"/>
      <c r="N283" s="464"/>
      <c r="O283" s="464"/>
      <c r="P283" s="464"/>
      <c r="Q283" s="464"/>
      <c r="R283" s="464"/>
      <c r="S283" s="464"/>
      <c r="T283" s="464"/>
      <c r="U283" s="464"/>
      <c r="V283" s="464"/>
      <c r="W283" s="464"/>
      <c r="X283" s="464"/>
      <c r="Y283" s="464"/>
      <c r="Z283" s="464"/>
      <c r="AA283" s="464"/>
      <c r="AB283" s="464"/>
      <c r="AC283" s="464"/>
      <c r="AD283" s="464"/>
      <c r="AE283" s="464"/>
      <c r="AF283" s="464"/>
      <c r="AG283" s="464"/>
      <c r="AH283" s="464"/>
      <c r="AI283" s="464"/>
      <c r="AJ283" s="464"/>
      <c r="AK283" s="464"/>
      <c r="AL283" s="464"/>
      <c r="AM283" s="464"/>
      <c r="AN283" s="464"/>
      <c r="AO283" s="464"/>
      <c r="AP283" s="464"/>
      <c r="AQ283" s="464"/>
      <c r="AR283" s="464"/>
      <c r="AS283" s="464"/>
      <c r="AT283" s="464"/>
      <c r="AU283" s="464"/>
      <c r="AV283" s="464"/>
      <c r="AW283" s="464"/>
      <c r="AX283" s="464"/>
      <c r="AY283" s="464"/>
      <c r="AZ283" s="464"/>
      <c r="BA283" s="464"/>
      <c r="BB283" s="464"/>
      <c r="BC283" s="464"/>
      <c r="BD283" s="464"/>
      <c r="BE283" s="464"/>
      <c r="BF283" s="464"/>
      <c r="BG283" s="464"/>
      <c r="BH283" s="464"/>
      <c r="BJ283" s="463">
        <f t="shared" si="5"/>
        <v>276</v>
      </c>
      <c r="BZ283" s="467"/>
    </row>
    <row r="284" spans="8:78" ht="15.75" customHeight="1" x14ac:dyDescent="0.2">
      <c r="H284" s="464"/>
      <c r="I284" s="464"/>
      <c r="J284" s="464"/>
      <c r="K284" s="464"/>
      <c r="L284" s="464"/>
      <c r="M284" s="464"/>
      <c r="N284" s="464"/>
      <c r="O284" s="464"/>
      <c r="P284" s="464"/>
      <c r="Q284" s="464"/>
      <c r="R284" s="464"/>
      <c r="S284" s="464"/>
      <c r="T284" s="464"/>
      <c r="U284" s="464"/>
      <c r="V284" s="464"/>
      <c r="W284" s="464"/>
      <c r="X284" s="464"/>
      <c r="Y284" s="464"/>
      <c r="Z284" s="464"/>
      <c r="AA284" s="464"/>
      <c r="AB284" s="464"/>
      <c r="AC284" s="464"/>
      <c r="AD284" s="464"/>
      <c r="AE284" s="464"/>
      <c r="AF284" s="464"/>
      <c r="AG284" s="464"/>
      <c r="AH284" s="464"/>
      <c r="AI284" s="464"/>
      <c r="AJ284" s="464"/>
      <c r="AK284" s="464"/>
      <c r="AL284" s="464"/>
      <c r="AM284" s="464"/>
      <c r="AN284" s="464"/>
      <c r="AO284" s="464"/>
      <c r="AP284" s="464"/>
      <c r="AQ284" s="464"/>
      <c r="AR284" s="464"/>
      <c r="AS284" s="464"/>
      <c r="AT284" s="464"/>
      <c r="AU284" s="464"/>
      <c r="AV284" s="464"/>
      <c r="AW284" s="464"/>
      <c r="AX284" s="464"/>
      <c r="AY284" s="464"/>
      <c r="AZ284" s="464"/>
      <c r="BA284" s="464"/>
      <c r="BB284" s="464"/>
      <c r="BC284" s="464"/>
      <c r="BD284" s="464"/>
      <c r="BE284" s="464"/>
      <c r="BF284" s="464"/>
      <c r="BG284" s="464"/>
      <c r="BH284" s="464"/>
      <c r="BJ284" s="463">
        <f t="shared" si="5"/>
        <v>277</v>
      </c>
      <c r="BZ284" s="467"/>
    </row>
    <row r="285" spans="8:78" ht="15.75" customHeight="1" x14ac:dyDescent="0.2">
      <c r="H285" s="464"/>
      <c r="I285" s="464"/>
      <c r="J285" s="464"/>
      <c r="K285" s="464"/>
      <c r="L285" s="464"/>
      <c r="M285" s="464"/>
      <c r="N285" s="464"/>
      <c r="O285" s="464"/>
      <c r="P285" s="464"/>
      <c r="Q285" s="464"/>
      <c r="R285" s="464"/>
      <c r="S285" s="464"/>
      <c r="T285" s="464"/>
      <c r="U285" s="464"/>
      <c r="V285" s="464"/>
      <c r="W285" s="464"/>
      <c r="X285" s="464"/>
      <c r="Y285" s="464"/>
      <c r="Z285" s="464"/>
      <c r="AA285" s="464"/>
      <c r="AB285" s="464"/>
      <c r="AC285" s="464"/>
      <c r="AD285" s="464"/>
      <c r="AE285" s="464"/>
      <c r="AF285" s="464"/>
      <c r="AG285" s="464"/>
      <c r="AH285" s="464"/>
      <c r="AI285" s="464"/>
      <c r="AJ285" s="464"/>
      <c r="AK285" s="464"/>
      <c r="AL285" s="464"/>
      <c r="AM285" s="464"/>
      <c r="AN285" s="464"/>
      <c r="AO285" s="464"/>
      <c r="AP285" s="464"/>
      <c r="AQ285" s="464"/>
      <c r="AR285" s="464"/>
      <c r="AS285" s="464"/>
      <c r="AT285" s="464"/>
      <c r="AU285" s="464"/>
      <c r="AV285" s="464"/>
      <c r="AW285" s="464"/>
      <c r="AX285" s="464"/>
      <c r="AY285" s="464"/>
      <c r="AZ285" s="464"/>
      <c r="BA285" s="464"/>
      <c r="BB285" s="464"/>
      <c r="BC285" s="464"/>
      <c r="BD285" s="464"/>
      <c r="BE285" s="464"/>
      <c r="BF285" s="464"/>
      <c r="BG285" s="464"/>
      <c r="BH285" s="464"/>
      <c r="BJ285" s="463">
        <f t="shared" si="5"/>
        <v>278</v>
      </c>
      <c r="BZ285" s="467"/>
    </row>
    <row r="286" spans="8:78" ht="15.75" customHeight="1" x14ac:dyDescent="0.2">
      <c r="H286" s="464"/>
      <c r="I286" s="464"/>
      <c r="J286" s="464"/>
      <c r="K286" s="464"/>
      <c r="L286" s="464"/>
      <c r="M286" s="464"/>
      <c r="N286" s="464"/>
      <c r="O286" s="464"/>
      <c r="P286" s="464"/>
      <c r="Q286" s="464"/>
      <c r="R286" s="464"/>
      <c r="S286" s="464"/>
      <c r="T286" s="464"/>
      <c r="U286" s="464"/>
      <c r="V286" s="464"/>
      <c r="W286" s="464"/>
      <c r="X286" s="464"/>
      <c r="Y286" s="464"/>
      <c r="Z286" s="464"/>
      <c r="AA286" s="464"/>
      <c r="AB286" s="464"/>
      <c r="AC286" s="464"/>
      <c r="AD286" s="464"/>
      <c r="AE286" s="464"/>
      <c r="AF286" s="464"/>
      <c r="AG286" s="464"/>
      <c r="AH286" s="464"/>
      <c r="AI286" s="464"/>
      <c r="AJ286" s="464"/>
      <c r="AK286" s="464"/>
      <c r="AL286" s="464"/>
      <c r="AM286" s="464"/>
      <c r="AN286" s="464"/>
      <c r="AO286" s="464"/>
      <c r="AP286" s="464"/>
      <c r="AQ286" s="464"/>
      <c r="AR286" s="464"/>
      <c r="AS286" s="464"/>
      <c r="AT286" s="464"/>
      <c r="AU286" s="464"/>
      <c r="AV286" s="464"/>
      <c r="AW286" s="464"/>
      <c r="AX286" s="464"/>
      <c r="AY286" s="464"/>
      <c r="AZ286" s="464"/>
      <c r="BA286" s="464"/>
      <c r="BB286" s="464"/>
      <c r="BC286" s="464"/>
      <c r="BD286" s="464"/>
      <c r="BE286" s="464"/>
      <c r="BF286" s="464"/>
      <c r="BG286" s="464"/>
      <c r="BH286" s="464"/>
      <c r="BJ286" s="463">
        <f t="shared" si="5"/>
        <v>279</v>
      </c>
      <c r="BZ286" s="467"/>
    </row>
    <row r="287" spans="8:78" ht="15.75" customHeight="1" x14ac:dyDescent="0.2">
      <c r="H287" s="464"/>
      <c r="I287" s="464"/>
      <c r="J287" s="464"/>
      <c r="K287" s="464"/>
      <c r="L287" s="464"/>
      <c r="M287" s="464"/>
      <c r="N287" s="464"/>
      <c r="O287" s="464"/>
      <c r="P287" s="464"/>
      <c r="Q287" s="464"/>
      <c r="R287" s="464"/>
      <c r="S287" s="464"/>
      <c r="T287" s="464"/>
      <c r="U287" s="464"/>
      <c r="V287" s="464"/>
      <c r="W287" s="464"/>
      <c r="X287" s="464"/>
      <c r="Y287" s="464"/>
      <c r="Z287" s="464"/>
      <c r="AA287" s="464"/>
      <c r="AB287" s="464"/>
      <c r="AC287" s="464"/>
      <c r="AD287" s="464"/>
      <c r="AE287" s="464"/>
      <c r="AF287" s="464"/>
      <c r="AG287" s="464"/>
      <c r="AH287" s="464"/>
      <c r="AI287" s="464"/>
      <c r="AJ287" s="464"/>
      <c r="AK287" s="464"/>
      <c r="AL287" s="464"/>
      <c r="AM287" s="464"/>
      <c r="AN287" s="464"/>
      <c r="AO287" s="464"/>
      <c r="AP287" s="464"/>
      <c r="AQ287" s="464"/>
      <c r="AR287" s="464"/>
      <c r="AS287" s="464"/>
      <c r="AT287" s="464"/>
      <c r="AU287" s="464"/>
      <c r="AV287" s="464"/>
      <c r="AW287" s="464"/>
      <c r="AX287" s="464"/>
      <c r="AY287" s="464"/>
      <c r="AZ287" s="464"/>
      <c r="BA287" s="464"/>
      <c r="BB287" s="464"/>
      <c r="BC287" s="464"/>
      <c r="BD287" s="464"/>
      <c r="BE287" s="464"/>
      <c r="BF287" s="464"/>
      <c r="BG287" s="464"/>
      <c r="BH287" s="464"/>
      <c r="BJ287" s="463">
        <f t="shared" si="5"/>
        <v>280</v>
      </c>
      <c r="BZ287" s="467"/>
    </row>
    <row r="288" spans="8:78" ht="15.75" customHeight="1" x14ac:dyDescent="0.2">
      <c r="H288" s="464"/>
      <c r="I288" s="464"/>
      <c r="J288" s="464"/>
      <c r="K288" s="464"/>
      <c r="L288" s="464"/>
      <c r="M288" s="464"/>
      <c r="N288" s="464"/>
      <c r="O288" s="464"/>
      <c r="P288" s="464"/>
      <c r="Q288" s="464"/>
      <c r="R288" s="464"/>
      <c r="S288" s="464"/>
      <c r="T288" s="464"/>
      <c r="U288" s="464"/>
      <c r="V288" s="464"/>
      <c r="W288" s="464"/>
      <c r="X288" s="464"/>
      <c r="Y288" s="464"/>
      <c r="Z288" s="464"/>
      <c r="AA288" s="464"/>
      <c r="AB288" s="464"/>
      <c r="AC288" s="464"/>
      <c r="AD288" s="464"/>
      <c r="AE288" s="464"/>
      <c r="AF288" s="464"/>
      <c r="AG288" s="464"/>
      <c r="AH288" s="464"/>
      <c r="AI288" s="464"/>
      <c r="AJ288" s="464"/>
      <c r="AK288" s="464"/>
      <c r="AL288" s="464"/>
      <c r="AM288" s="464"/>
      <c r="AN288" s="464"/>
      <c r="AO288" s="464"/>
      <c r="AP288" s="464"/>
      <c r="AQ288" s="464"/>
      <c r="AR288" s="464"/>
      <c r="AS288" s="464"/>
      <c r="AT288" s="464"/>
      <c r="AU288" s="464"/>
      <c r="AV288" s="464"/>
      <c r="AW288" s="464"/>
      <c r="AX288" s="464"/>
      <c r="AY288" s="464"/>
      <c r="AZ288" s="464"/>
      <c r="BA288" s="464"/>
      <c r="BB288" s="464"/>
      <c r="BC288" s="464"/>
      <c r="BD288" s="464"/>
      <c r="BE288" s="464"/>
      <c r="BF288" s="464"/>
      <c r="BG288" s="464"/>
      <c r="BH288" s="464"/>
      <c r="BJ288" s="463">
        <f t="shared" si="5"/>
        <v>281</v>
      </c>
      <c r="BZ288" s="467"/>
    </row>
    <row r="289" spans="8:78" ht="15.75" customHeight="1" x14ac:dyDescent="0.2">
      <c r="H289" s="464"/>
      <c r="I289" s="464"/>
      <c r="J289" s="464"/>
      <c r="K289" s="464"/>
      <c r="L289" s="464"/>
      <c r="M289" s="464"/>
      <c r="N289" s="464"/>
      <c r="O289" s="464"/>
      <c r="P289" s="464"/>
      <c r="Q289" s="464"/>
      <c r="R289" s="464"/>
      <c r="S289" s="464"/>
      <c r="T289" s="464"/>
      <c r="U289" s="46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4"/>
      <c r="AT289" s="464"/>
      <c r="AU289" s="464"/>
      <c r="AV289" s="464"/>
      <c r="AW289" s="464"/>
      <c r="AX289" s="464"/>
      <c r="AY289" s="464"/>
      <c r="AZ289" s="464"/>
      <c r="BA289" s="464"/>
      <c r="BB289" s="464"/>
      <c r="BC289" s="464"/>
      <c r="BD289" s="464"/>
      <c r="BE289" s="464"/>
      <c r="BF289" s="464"/>
      <c r="BG289" s="464"/>
      <c r="BH289" s="464"/>
      <c r="BJ289" s="463">
        <f t="shared" si="5"/>
        <v>282</v>
      </c>
      <c r="BZ289" s="467"/>
    </row>
    <row r="290" spans="8:78" ht="15.75" customHeight="1" x14ac:dyDescent="0.2">
      <c r="H290" s="464"/>
      <c r="I290" s="464"/>
      <c r="J290" s="464"/>
      <c r="K290" s="464"/>
      <c r="L290" s="464"/>
      <c r="M290" s="464"/>
      <c r="N290" s="464"/>
      <c r="O290" s="464"/>
      <c r="P290" s="464"/>
      <c r="Q290" s="464"/>
      <c r="R290" s="464"/>
      <c r="S290" s="464"/>
      <c r="T290" s="464"/>
      <c r="U290" s="464"/>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4"/>
      <c r="AT290" s="464"/>
      <c r="AU290" s="464"/>
      <c r="AV290" s="464"/>
      <c r="AW290" s="464"/>
      <c r="AX290" s="464"/>
      <c r="AY290" s="464"/>
      <c r="AZ290" s="464"/>
      <c r="BA290" s="464"/>
      <c r="BB290" s="464"/>
      <c r="BC290" s="464"/>
      <c r="BD290" s="464"/>
      <c r="BE290" s="464"/>
      <c r="BF290" s="464"/>
      <c r="BG290" s="464"/>
      <c r="BH290" s="464"/>
      <c r="BJ290" s="463">
        <f t="shared" si="5"/>
        <v>283</v>
      </c>
      <c r="BZ290" s="467"/>
    </row>
    <row r="291" spans="8:78" ht="15.75" customHeight="1" x14ac:dyDescent="0.2">
      <c r="H291" s="464"/>
      <c r="I291" s="464"/>
      <c r="J291" s="464"/>
      <c r="K291" s="464"/>
      <c r="L291" s="464"/>
      <c r="M291" s="464"/>
      <c r="N291" s="464"/>
      <c r="O291" s="464"/>
      <c r="P291" s="464"/>
      <c r="Q291" s="464"/>
      <c r="R291" s="464"/>
      <c r="S291" s="464"/>
      <c r="T291" s="464"/>
      <c r="U291" s="464"/>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4"/>
      <c r="AT291" s="464"/>
      <c r="AU291" s="464"/>
      <c r="AV291" s="464"/>
      <c r="AW291" s="464"/>
      <c r="AX291" s="464"/>
      <c r="AY291" s="464"/>
      <c r="AZ291" s="464"/>
      <c r="BA291" s="464"/>
      <c r="BB291" s="464"/>
      <c r="BC291" s="464"/>
      <c r="BD291" s="464"/>
      <c r="BE291" s="464"/>
      <c r="BF291" s="464"/>
      <c r="BG291" s="464"/>
      <c r="BH291" s="464"/>
      <c r="BJ291" s="463">
        <f t="shared" si="5"/>
        <v>284</v>
      </c>
      <c r="BZ291" s="467"/>
    </row>
    <row r="292" spans="8:78" ht="15.75" customHeight="1" x14ac:dyDescent="0.2">
      <c r="H292" s="464"/>
      <c r="I292" s="464"/>
      <c r="J292" s="464"/>
      <c r="K292" s="464"/>
      <c r="L292" s="464"/>
      <c r="M292" s="464"/>
      <c r="N292" s="464"/>
      <c r="O292" s="464"/>
      <c r="P292" s="464"/>
      <c r="Q292" s="464"/>
      <c r="R292" s="464"/>
      <c r="S292" s="464"/>
      <c r="T292" s="464"/>
      <c r="U292" s="464"/>
      <c r="V292" s="464"/>
      <c r="W292" s="464"/>
      <c r="X292" s="464"/>
      <c r="Y292" s="464"/>
      <c r="Z292" s="464"/>
      <c r="AA292" s="464"/>
      <c r="AB292" s="464"/>
      <c r="AC292" s="464"/>
      <c r="AD292" s="464"/>
      <c r="AE292" s="464"/>
      <c r="AF292" s="464"/>
      <c r="AG292" s="464"/>
      <c r="AH292" s="464"/>
      <c r="AI292" s="464"/>
      <c r="AJ292" s="464"/>
      <c r="AK292" s="464"/>
      <c r="AL292" s="464"/>
      <c r="AM292" s="464"/>
      <c r="AN292" s="464"/>
      <c r="AO292" s="464"/>
      <c r="AP292" s="464"/>
      <c r="AQ292" s="464"/>
      <c r="AR292" s="464"/>
      <c r="AS292" s="464"/>
      <c r="AT292" s="464"/>
      <c r="AU292" s="464"/>
      <c r="AV292" s="464"/>
      <c r="AW292" s="464"/>
      <c r="AX292" s="464"/>
      <c r="AY292" s="464"/>
      <c r="AZ292" s="464"/>
      <c r="BA292" s="464"/>
      <c r="BB292" s="464"/>
      <c r="BC292" s="464"/>
      <c r="BD292" s="464"/>
      <c r="BE292" s="464"/>
      <c r="BF292" s="464"/>
      <c r="BG292" s="464"/>
      <c r="BH292" s="464"/>
      <c r="BJ292" s="463">
        <f t="shared" si="5"/>
        <v>285</v>
      </c>
      <c r="BZ292" s="467"/>
    </row>
    <row r="293" spans="8:78" ht="15.75" customHeight="1" x14ac:dyDescent="0.2">
      <c r="H293" s="464"/>
      <c r="I293" s="464"/>
      <c r="J293" s="464"/>
      <c r="K293" s="464"/>
      <c r="L293" s="464"/>
      <c r="M293" s="464"/>
      <c r="N293" s="464"/>
      <c r="O293" s="464"/>
      <c r="P293" s="464"/>
      <c r="Q293" s="464"/>
      <c r="R293" s="464"/>
      <c r="S293" s="464"/>
      <c r="T293" s="464"/>
      <c r="U293" s="464"/>
      <c r="V293" s="464"/>
      <c r="W293" s="464"/>
      <c r="X293" s="464"/>
      <c r="Y293" s="464"/>
      <c r="Z293" s="464"/>
      <c r="AA293" s="464"/>
      <c r="AB293" s="464"/>
      <c r="AC293" s="464"/>
      <c r="AD293" s="464"/>
      <c r="AE293" s="464"/>
      <c r="AF293" s="464"/>
      <c r="AG293" s="464"/>
      <c r="AH293" s="464"/>
      <c r="AI293" s="464"/>
      <c r="AJ293" s="464"/>
      <c r="AK293" s="464"/>
      <c r="AL293" s="464"/>
      <c r="AM293" s="464"/>
      <c r="AN293" s="464"/>
      <c r="AO293" s="464"/>
      <c r="AP293" s="464"/>
      <c r="AQ293" s="464"/>
      <c r="AR293" s="464"/>
      <c r="AS293" s="464"/>
      <c r="AT293" s="464"/>
      <c r="AU293" s="464"/>
      <c r="AV293" s="464"/>
      <c r="AW293" s="464"/>
      <c r="AX293" s="464"/>
      <c r="AY293" s="464"/>
      <c r="AZ293" s="464"/>
      <c r="BA293" s="464"/>
      <c r="BB293" s="464"/>
      <c r="BC293" s="464"/>
      <c r="BD293" s="464"/>
      <c r="BE293" s="464"/>
      <c r="BF293" s="464"/>
      <c r="BG293" s="464"/>
      <c r="BH293" s="464"/>
      <c r="BJ293" s="463">
        <f t="shared" si="5"/>
        <v>286</v>
      </c>
      <c r="BZ293" s="467"/>
    </row>
    <row r="294" spans="8:78" ht="15.75" customHeight="1" x14ac:dyDescent="0.2">
      <c r="H294" s="464"/>
      <c r="I294" s="464"/>
      <c r="J294" s="464"/>
      <c r="K294" s="464"/>
      <c r="L294" s="464"/>
      <c r="M294" s="464"/>
      <c r="N294" s="464"/>
      <c r="O294" s="464"/>
      <c r="P294" s="464"/>
      <c r="Q294" s="464"/>
      <c r="R294" s="464"/>
      <c r="S294" s="464"/>
      <c r="T294" s="464"/>
      <c r="U294" s="464"/>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4"/>
      <c r="AT294" s="464"/>
      <c r="AU294" s="464"/>
      <c r="AV294" s="464"/>
      <c r="AW294" s="464"/>
      <c r="AX294" s="464"/>
      <c r="AY294" s="464"/>
      <c r="AZ294" s="464"/>
      <c r="BA294" s="464"/>
      <c r="BB294" s="464"/>
      <c r="BC294" s="464"/>
      <c r="BD294" s="464"/>
      <c r="BE294" s="464"/>
      <c r="BF294" s="464"/>
      <c r="BG294" s="464"/>
      <c r="BH294" s="464"/>
      <c r="BJ294" s="463">
        <f t="shared" si="5"/>
        <v>287</v>
      </c>
      <c r="BZ294" s="467"/>
    </row>
    <row r="295" spans="8:78" ht="15.75" customHeight="1" x14ac:dyDescent="0.2">
      <c r="H295" s="464"/>
      <c r="I295" s="464"/>
      <c r="J295" s="464"/>
      <c r="K295" s="464"/>
      <c r="L295" s="464"/>
      <c r="M295" s="464"/>
      <c r="N295" s="464"/>
      <c r="O295" s="464"/>
      <c r="P295" s="464"/>
      <c r="Q295" s="464"/>
      <c r="R295" s="464"/>
      <c r="S295" s="464"/>
      <c r="T295" s="464"/>
      <c r="U295" s="464"/>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4"/>
      <c r="AT295" s="464"/>
      <c r="AU295" s="464"/>
      <c r="AV295" s="464"/>
      <c r="AW295" s="464"/>
      <c r="AX295" s="464"/>
      <c r="AY295" s="464"/>
      <c r="AZ295" s="464"/>
      <c r="BA295" s="464"/>
      <c r="BB295" s="464"/>
      <c r="BC295" s="464"/>
      <c r="BD295" s="464"/>
      <c r="BE295" s="464"/>
      <c r="BF295" s="464"/>
      <c r="BG295" s="464"/>
      <c r="BH295" s="464"/>
      <c r="BJ295" s="463">
        <f t="shared" si="5"/>
        <v>288</v>
      </c>
      <c r="BZ295" s="467"/>
    </row>
    <row r="296" spans="8:78" ht="15.75" customHeight="1" x14ac:dyDescent="0.2">
      <c r="H296" s="464"/>
      <c r="I296" s="464"/>
      <c r="J296" s="464"/>
      <c r="K296" s="464"/>
      <c r="L296" s="464"/>
      <c r="M296" s="464"/>
      <c r="N296" s="464"/>
      <c r="O296" s="464"/>
      <c r="P296" s="464"/>
      <c r="Q296" s="464"/>
      <c r="R296" s="464"/>
      <c r="S296" s="464"/>
      <c r="T296" s="464"/>
      <c r="U296" s="464"/>
      <c r="V296" s="464"/>
      <c r="W296" s="464"/>
      <c r="X296" s="464"/>
      <c r="Y296" s="464"/>
      <c r="Z296" s="464"/>
      <c r="AA296" s="464"/>
      <c r="AB296" s="464"/>
      <c r="AC296" s="464"/>
      <c r="AD296" s="464"/>
      <c r="AE296" s="464"/>
      <c r="AF296" s="464"/>
      <c r="AG296" s="464"/>
      <c r="AH296" s="464"/>
      <c r="AI296" s="464"/>
      <c r="AJ296" s="464"/>
      <c r="AK296" s="464"/>
      <c r="AL296" s="464"/>
      <c r="AM296" s="464"/>
      <c r="AN296" s="464"/>
      <c r="AO296" s="464"/>
      <c r="AP296" s="464"/>
      <c r="AQ296" s="464"/>
      <c r="AR296" s="464"/>
      <c r="AS296" s="464"/>
      <c r="AT296" s="464"/>
      <c r="AU296" s="464"/>
      <c r="AV296" s="464"/>
      <c r="AW296" s="464"/>
      <c r="AX296" s="464"/>
      <c r="AY296" s="464"/>
      <c r="AZ296" s="464"/>
      <c r="BA296" s="464"/>
      <c r="BB296" s="464"/>
      <c r="BC296" s="464"/>
      <c r="BD296" s="464"/>
      <c r="BE296" s="464"/>
      <c r="BF296" s="464"/>
      <c r="BG296" s="464"/>
      <c r="BH296" s="464"/>
      <c r="BJ296" s="463">
        <f t="shared" si="5"/>
        <v>289</v>
      </c>
      <c r="BZ296" s="467"/>
    </row>
    <row r="297" spans="8:78" ht="15.75" customHeight="1" x14ac:dyDescent="0.2">
      <c r="H297" s="464"/>
      <c r="I297" s="464"/>
      <c r="J297" s="464"/>
      <c r="K297" s="464"/>
      <c r="L297" s="464"/>
      <c r="M297" s="464"/>
      <c r="N297" s="464"/>
      <c r="O297" s="464"/>
      <c r="P297" s="464"/>
      <c r="Q297" s="464"/>
      <c r="R297" s="464"/>
      <c r="S297" s="464"/>
      <c r="T297" s="464"/>
      <c r="U297" s="464"/>
      <c r="V297" s="464"/>
      <c r="W297" s="464"/>
      <c r="X297" s="464"/>
      <c r="Y297" s="464"/>
      <c r="Z297" s="464"/>
      <c r="AA297" s="464"/>
      <c r="AB297" s="464"/>
      <c r="AC297" s="464"/>
      <c r="AD297" s="464"/>
      <c r="AE297" s="464"/>
      <c r="AF297" s="464"/>
      <c r="AG297" s="464"/>
      <c r="AH297" s="464"/>
      <c r="AI297" s="464"/>
      <c r="AJ297" s="464"/>
      <c r="AK297" s="464"/>
      <c r="AL297" s="464"/>
      <c r="AM297" s="464"/>
      <c r="AN297" s="464"/>
      <c r="AO297" s="464"/>
      <c r="AP297" s="464"/>
      <c r="AQ297" s="464"/>
      <c r="AR297" s="464"/>
      <c r="AS297" s="464"/>
      <c r="AT297" s="464"/>
      <c r="AU297" s="464"/>
      <c r="AV297" s="464"/>
      <c r="AW297" s="464"/>
      <c r="AX297" s="464"/>
      <c r="AY297" s="464"/>
      <c r="AZ297" s="464"/>
      <c r="BA297" s="464"/>
      <c r="BB297" s="464"/>
      <c r="BC297" s="464"/>
      <c r="BD297" s="464"/>
      <c r="BE297" s="464"/>
      <c r="BF297" s="464"/>
      <c r="BG297" s="464"/>
      <c r="BH297" s="464"/>
      <c r="BJ297" s="463">
        <f t="shared" si="5"/>
        <v>290</v>
      </c>
      <c r="BZ297" s="467"/>
    </row>
    <row r="298" spans="8:78" ht="15.75" customHeight="1" x14ac:dyDescent="0.2">
      <c r="H298" s="464"/>
      <c r="I298" s="464"/>
      <c r="J298" s="464"/>
      <c r="K298" s="464"/>
      <c r="L298" s="464"/>
      <c r="M298" s="464"/>
      <c r="N298" s="464"/>
      <c r="O298" s="464"/>
      <c r="P298" s="464"/>
      <c r="Q298" s="464"/>
      <c r="R298" s="464"/>
      <c r="S298" s="464"/>
      <c r="T298" s="464"/>
      <c r="U298" s="464"/>
      <c r="V298" s="464"/>
      <c r="W298" s="464"/>
      <c r="X298" s="464"/>
      <c r="Y298" s="464"/>
      <c r="Z298" s="464"/>
      <c r="AA298" s="464"/>
      <c r="AB298" s="464"/>
      <c r="AC298" s="464"/>
      <c r="AD298" s="464"/>
      <c r="AE298" s="464"/>
      <c r="AF298" s="464"/>
      <c r="AG298" s="464"/>
      <c r="AH298" s="464"/>
      <c r="AI298" s="464"/>
      <c r="AJ298" s="464"/>
      <c r="AK298" s="464"/>
      <c r="AL298" s="464"/>
      <c r="AM298" s="464"/>
      <c r="AN298" s="464"/>
      <c r="AO298" s="464"/>
      <c r="AP298" s="464"/>
      <c r="AQ298" s="464"/>
      <c r="AR298" s="464"/>
      <c r="AS298" s="464"/>
      <c r="AT298" s="464"/>
      <c r="AU298" s="464"/>
      <c r="AV298" s="464"/>
      <c r="AW298" s="464"/>
      <c r="AX298" s="464"/>
      <c r="AY298" s="464"/>
      <c r="AZ298" s="464"/>
      <c r="BA298" s="464"/>
      <c r="BB298" s="464"/>
      <c r="BC298" s="464"/>
      <c r="BD298" s="464"/>
      <c r="BE298" s="464"/>
      <c r="BF298" s="464"/>
      <c r="BG298" s="464"/>
      <c r="BH298" s="464"/>
      <c r="BJ298" s="463">
        <f t="shared" si="5"/>
        <v>291</v>
      </c>
      <c r="BZ298" s="467"/>
    </row>
    <row r="299" spans="8:78" ht="15.75" customHeight="1" x14ac:dyDescent="0.2">
      <c r="H299" s="464"/>
      <c r="I299" s="464"/>
      <c r="J299" s="464"/>
      <c r="K299" s="464"/>
      <c r="L299" s="464"/>
      <c r="M299" s="464"/>
      <c r="N299" s="464"/>
      <c r="O299" s="464"/>
      <c r="P299" s="464"/>
      <c r="Q299" s="464"/>
      <c r="R299" s="464"/>
      <c r="S299" s="464"/>
      <c r="T299" s="464"/>
      <c r="U299" s="464"/>
      <c r="V299" s="464"/>
      <c r="W299" s="464"/>
      <c r="X299" s="464"/>
      <c r="Y299" s="464"/>
      <c r="Z299" s="464"/>
      <c r="AA299" s="464"/>
      <c r="AB299" s="464"/>
      <c r="AC299" s="464"/>
      <c r="AD299" s="464"/>
      <c r="AE299" s="464"/>
      <c r="AF299" s="464"/>
      <c r="AG299" s="464"/>
      <c r="AH299" s="464"/>
      <c r="AI299" s="464"/>
      <c r="AJ299" s="464"/>
      <c r="AK299" s="464"/>
      <c r="AL299" s="464"/>
      <c r="AM299" s="464"/>
      <c r="AN299" s="464"/>
      <c r="AO299" s="464"/>
      <c r="AP299" s="464"/>
      <c r="AQ299" s="464"/>
      <c r="AR299" s="464"/>
      <c r="AS299" s="464"/>
      <c r="AT299" s="464"/>
      <c r="AU299" s="464"/>
      <c r="AV299" s="464"/>
      <c r="AW299" s="464"/>
      <c r="AX299" s="464"/>
      <c r="AY299" s="464"/>
      <c r="AZ299" s="464"/>
      <c r="BA299" s="464"/>
      <c r="BB299" s="464"/>
      <c r="BC299" s="464"/>
      <c r="BD299" s="464"/>
      <c r="BE299" s="464"/>
      <c r="BF299" s="464"/>
      <c r="BG299" s="464"/>
      <c r="BH299" s="464"/>
      <c r="BJ299" s="463">
        <f t="shared" si="5"/>
        <v>292</v>
      </c>
      <c r="BZ299" s="467"/>
    </row>
    <row r="300" spans="8:78" ht="15.75" customHeight="1" x14ac:dyDescent="0.2">
      <c r="H300" s="464"/>
      <c r="I300" s="464"/>
      <c r="J300" s="464"/>
      <c r="K300" s="464"/>
      <c r="L300" s="464"/>
      <c r="M300" s="464"/>
      <c r="N300" s="464"/>
      <c r="O300" s="464"/>
      <c r="P300" s="464"/>
      <c r="Q300" s="464"/>
      <c r="R300" s="464"/>
      <c r="S300" s="464"/>
      <c r="T300" s="464"/>
      <c r="U300" s="464"/>
      <c r="V300" s="464"/>
      <c r="W300" s="464"/>
      <c r="X300" s="464"/>
      <c r="Y300" s="464"/>
      <c r="Z300" s="464"/>
      <c r="AA300" s="464"/>
      <c r="AB300" s="464"/>
      <c r="AC300" s="464"/>
      <c r="AD300" s="464"/>
      <c r="AE300" s="464"/>
      <c r="AF300" s="464"/>
      <c r="AG300" s="464"/>
      <c r="AH300" s="464"/>
      <c r="AI300" s="464"/>
      <c r="AJ300" s="464"/>
      <c r="AK300" s="464"/>
      <c r="AL300" s="464"/>
      <c r="AM300" s="464"/>
      <c r="AN300" s="464"/>
      <c r="AO300" s="464"/>
      <c r="AP300" s="464"/>
      <c r="AQ300" s="464"/>
      <c r="AR300" s="464"/>
      <c r="AS300" s="464"/>
      <c r="AT300" s="464"/>
      <c r="AU300" s="464"/>
      <c r="AV300" s="464"/>
      <c r="AW300" s="464"/>
      <c r="AX300" s="464"/>
      <c r="AY300" s="464"/>
      <c r="AZ300" s="464"/>
      <c r="BA300" s="464"/>
      <c r="BB300" s="464"/>
      <c r="BC300" s="464"/>
      <c r="BD300" s="464"/>
      <c r="BE300" s="464"/>
      <c r="BF300" s="464"/>
      <c r="BG300" s="464"/>
      <c r="BH300" s="464"/>
      <c r="BJ300" s="463">
        <f t="shared" si="5"/>
        <v>293</v>
      </c>
      <c r="BZ300" s="467"/>
    </row>
    <row r="301" spans="8:78" ht="15.75" customHeight="1" x14ac:dyDescent="0.2">
      <c r="H301" s="464"/>
      <c r="I301" s="464"/>
      <c r="J301" s="464"/>
      <c r="K301" s="464"/>
      <c r="L301" s="464"/>
      <c r="M301" s="464"/>
      <c r="N301" s="464"/>
      <c r="O301" s="464"/>
      <c r="P301" s="464"/>
      <c r="Q301" s="464"/>
      <c r="R301" s="464"/>
      <c r="S301" s="464"/>
      <c r="T301" s="464"/>
      <c r="U301" s="464"/>
      <c r="V301" s="464"/>
      <c r="W301" s="464"/>
      <c r="X301" s="464"/>
      <c r="Y301" s="464"/>
      <c r="Z301" s="464"/>
      <c r="AA301" s="464"/>
      <c r="AB301" s="464"/>
      <c r="AC301" s="464"/>
      <c r="AD301" s="464"/>
      <c r="AE301" s="464"/>
      <c r="AF301" s="464"/>
      <c r="AG301" s="464"/>
      <c r="AH301" s="464"/>
      <c r="AI301" s="464"/>
      <c r="AJ301" s="464"/>
      <c r="AK301" s="464"/>
      <c r="AL301" s="464"/>
      <c r="AM301" s="464"/>
      <c r="AN301" s="464"/>
      <c r="AO301" s="464"/>
      <c r="AP301" s="464"/>
      <c r="AQ301" s="464"/>
      <c r="AR301" s="464"/>
      <c r="AS301" s="464"/>
      <c r="AT301" s="464"/>
      <c r="AU301" s="464"/>
      <c r="AV301" s="464"/>
      <c r="AW301" s="464"/>
      <c r="AX301" s="464"/>
      <c r="AY301" s="464"/>
      <c r="AZ301" s="464"/>
      <c r="BA301" s="464"/>
      <c r="BB301" s="464"/>
      <c r="BC301" s="464"/>
      <c r="BD301" s="464"/>
      <c r="BE301" s="464"/>
      <c r="BF301" s="464"/>
      <c r="BG301" s="464"/>
      <c r="BH301" s="464"/>
      <c r="BJ301" s="463">
        <f t="shared" si="5"/>
        <v>294</v>
      </c>
      <c r="BZ301" s="467"/>
    </row>
    <row r="302" spans="8:78" ht="15.75" customHeight="1" x14ac:dyDescent="0.2">
      <c r="H302" s="464"/>
      <c r="I302" s="464"/>
      <c r="J302" s="464"/>
      <c r="K302" s="464"/>
      <c r="L302" s="464"/>
      <c r="M302" s="464"/>
      <c r="N302" s="464"/>
      <c r="O302" s="464"/>
      <c r="P302" s="464"/>
      <c r="Q302" s="464"/>
      <c r="R302" s="464"/>
      <c r="S302" s="464"/>
      <c r="T302" s="464"/>
      <c r="U302" s="464"/>
      <c r="V302" s="464"/>
      <c r="W302" s="464"/>
      <c r="X302" s="464"/>
      <c r="Y302" s="464"/>
      <c r="Z302" s="464"/>
      <c r="AA302" s="464"/>
      <c r="AB302" s="464"/>
      <c r="AC302" s="464"/>
      <c r="AD302" s="464"/>
      <c r="AE302" s="464"/>
      <c r="AF302" s="464"/>
      <c r="AG302" s="464"/>
      <c r="AH302" s="464"/>
      <c r="AI302" s="464"/>
      <c r="AJ302" s="464"/>
      <c r="AK302" s="464"/>
      <c r="AL302" s="464"/>
      <c r="AM302" s="464"/>
      <c r="AN302" s="464"/>
      <c r="AO302" s="464"/>
      <c r="AP302" s="464"/>
      <c r="AQ302" s="464"/>
      <c r="AR302" s="464"/>
      <c r="AS302" s="464"/>
      <c r="AT302" s="464"/>
      <c r="AU302" s="464"/>
      <c r="AV302" s="464"/>
      <c r="AW302" s="464"/>
      <c r="AX302" s="464"/>
      <c r="AY302" s="464"/>
      <c r="AZ302" s="464"/>
      <c r="BA302" s="464"/>
      <c r="BB302" s="464"/>
      <c r="BC302" s="464"/>
      <c r="BD302" s="464"/>
      <c r="BE302" s="464"/>
      <c r="BF302" s="464"/>
      <c r="BG302" s="464"/>
      <c r="BH302" s="464"/>
      <c r="BJ302" s="463">
        <f t="shared" si="5"/>
        <v>295</v>
      </c>
      <c r="BZ302" s="467"/>
    </row>
    <row r="303" spans="8:78" ht="15.75" customHeight="1" x14ac:dyDescent="0.2">
      <c r="H303" s="464"/>
      <c r="I303" s="464"/>
      <c r="J303" s="464"/>
      <c r="K303" s="464"/>
      <c r="L303" s="464"/>
      <c r="M303" s="464"/>
      <c r="N303" s="464"/>
      <c r="O303" s="464"/>
      <c r="P303" s="464"/>
      <c r="Q303" s="464"/>
      <c r="R303" s="464"/>
      <c r="S303" s="464"/>
      <c r="T303" s="464"/>
      <c r="U303" s="464"/>
      <c r="V303" s="464"/>
      <c r="W303" s="464"/>
      <c r="X303" s="464"/>
      <c r="Y303" s="464"/>
      <c r="Z303" s="464"/>
      <c r="AA303" s="464"/>
      <c r="AB303" s="464"/>
      <c r="AC303" s="464"/>
      <c r="AD303" s="464"/>
      <c r="AE303" s="464"/>
      <c r="AF303" s="464"/>
      <c r="AG303" s="464"/>
      <c r="AH303" s="464"/>
      <c r="AI303" s="464"/>
      <c r="AJ303" s="464"/>
      <c r="AK303" s="464"/>
      <c r="AL303" s="464"/>
      <c r="AM303" s="464"/>
      <c r="AN303" s="464"/>
      <c r="AO303" s="464"/>
      <c r="AP303" s="464"/>
      <c r="AQ303" s="464"/>
      <c r="AR303" s="464"/>
      <c r="AS303" s="464"/>
      <c r="AT303" s="464"/>
      <c r="AU303" s="464"/>
      <c r="AV303" s="464"/>
      <c r="AW303" s="464"/>
      <c r="AX303" s="464"/>
      <c r="AY303" s="464"/>
      <c r="AZ303" s="464"/>
      <c r="BA303" s="464"/>
      <c r="BB303" s="464"/>
      <c r="BC303" s="464"/>
      <c r="BD303" s="464"/>
      <c r="BE303" s="464"/>
      <c r="BF303" s="464"/>
      <c r="BG303" s="464"/>
      <c r="BH303" s="464"/>
      <c r="BJ303" s="463">
        <f t="shared" si="5"/>
        <v>296</v>
      </c>
      <c r="BZ303" s="467"/>
    </row>
    <row r="304" spans="8:78" ht="15.75" customHeight="1" x14ac:dyDescent="0.2">
      <c r="H304" s="464"/>
      <c r="I304" s="464"/>
      <c r="J304" s="464"/>
      <c r="K304" s="464"/>
      <c r="L304" s="464"/>
      <c r="M304" s="464"/>
      <c r="N304" s="464"/>
      <c r="O304" s="464"/>
      <c r="P304" s="464"/>
      <c r="Q304" s="464"/>
      <c r="R304" s="464"/>
      <c r="S304" s="464"/>
      <c r="T304" s="464"/>
      <c r="U304" s="464"/>
      <c r="V304" s="464"/>
      <c r="W304" s="464"/>
      <c r="X304" s="464"/>
      <c r="Y304" s="464"/>
      <c r="Z304" s="464"/>
      <c r="AA304" s="464"/>
      <c r="AB304" s="464"/>
      <c r="AC304" s="464"/>
      <c r="AD304" s="464"/>
      <c r="AE304" s="464"/>
      <c r="AF304" s="464"/>
      <c r="AG304" s="464"/>
      <c r="AH304" s="464"/>
      <c r="AI304" s="464"/>
      <c r="AJ304" s="464"/>
      <c r="AK304" s="464"/>
      <c r="AL304" s="464"/>
      <c r="AM304" s="464"/>
      <c r="AN304" s="464"/>
      <c r="AO304" s="464"/>
      <c r="AP304" s="464"/>
      <c r="AQ304" s="464"/>
      <c r="AR304" s="464"/>
      <c r="AS304" s="464"/>
      <c r="AT304" s="464"/>
      <c r="AU304" s="464"/>
      <c r="AV304" s="464"/>
      <c r="AW304" s="464"/>
      <c r="AX304" s="464"/>
      <c r="AY304" s="464"/>
      <c r="AZ304" s="464"/>
      <c r="BA304" s="464"/>
      <c r="BB304" s="464"/>
      <c r="BC304" s="464"/>
      <c r="BD304" s="464"/>
      <c r="BE304" s="464"/>
      <c r="BF304" s="464"/>
      <c r="BG304" s="464"/>
      <c r="BH304" s="464"/>
      <c r="BJ304" s="463">
        <f t="shared" si="5"/>
        <v>297</v>
      </c>
      <c r="BZ304" s="467"/>
    </row>
    <row r="305" spans="8:78" ht="15.75" customHeight="1" x14ac:dyDescent="0.2">
      <c r="H305" s="464"/>
      <c r="I305" s="464"/>
      <c r="J305" s="464"/>
      <c r="K305" s="464"/>
      <c r="L305" s="464"/>
      <c r="M305" s="464"/>
      <c r="N305" s="464"/>
      <c r="O305" s="464"/>
      <c r="P305" s="464"/>
      <c r="Q305" s="464"/>
      <c r="R305" s="464"/>
      <c r="S305" s="464"/>
      <c r="T305" s="464"/>
      <c r="U305" s="464"/>
      <c r="V305" s="464"/>
      <c r="W305" s="464"/>
      <c r="X305" s="464"/>
      <c r="Y305" s="464"/>
      <c r="Z305" s="464"/>
      <c r="AA305" s="464"/>
      <c r="AB305" s="464"/>
      <c r="AC305" s="464"/>
      <c r="AD305" s="464"/>
      <c r="AE305" s="464"/>
      <c r="AF305" s="464"/>
      <c r="AG305" s="464"/>
      <c r="AH305" s="464"/>
      <c r="AI305" s="464"/>
      <c r="AJ305" s="464"/>
      <c r="AK305" s="464"/>
      <c r="AL305" s="464"/>
      <c r="AM305" s="464"/>
      <c r="AN305" s="464"/>
      <c r="AO305" s="464"/>
      <c r="AP305" s="464"/>
      <c r="AQ305" s="464"/>
      <c r="AR305" s="464"/>
      <c r="AS305" s="464"/>
      <c r="AT305" s="464"/>
      <c r="AU305" s="464"/>
      <c r="AV305" s="464"/>
      <c r="AW305" s="464"/>
      <c r="AX305" s="464"/>
      <c r="AY305" s="464"/>
      <c r="AZ305" s="464"/>
      <c r="BA305" s="464"/>
      <c r="BB305" s="464"/>
      <c r="BC305" s="464"/>
      <c r="BD305" s="464"/>
      <c r="BE305" s="464"/>
      <c r="BF305" s="464"/>
      <c r="BG305" s="464"/>
      <c r="BH305" s="464"/>
      <c r="BJ305" s="463">
        <f t="shared" si="5"/>
        <v>298</v>
      </c>
      <c r="BZ305" s="467"/>
    </row>
    <row r="306" spans="8:78" ht="15.75" customHeight="1" x14ac:dyDescent="0.2">
      <c r="H306" s="464"/>
      <c r="I306" s="464"/>
      <c r="J306" s="464"/>
      <c r="K306" s="464"/>
      <c r="L306" s="464"/>
      <c r="M306" s="464"/>
      <c r="N306" s="464"/>
      <c r="O306" s="464"/>
      <c r="P306" s="464"/>
      <c r="Q306" s="464"/>
      <c r="R306" s="464"/>
      <c r="S306" s="464"/>
      <c r="T306" s="464"/>
      <c r="U306" s="464"/>
      <c r="V306" s="464"/>
      <c r="W306" s="464"/>
      <c r="X306" s="464"/>
      <c r="Y306" s="464"/>
      <c r="Z306" s="464"/>
      <c r="AA306" s="464"/>
      <c r="AB306" s="464"/>
      <c r="AC306" s="464"/>
      <c r="AD306" s="464"/>
      <c r="AE306" s="464"/>
      <c r="AF306" s="464"/>
      <c r="AG306" s="464"/>
      <c r="AH306" s="464"/>
      <c r="AI306" s="464"/>
      <c r="AJ306" s="464"/>
      <c r="AK306" s="464"/>
      <c r="AL306" s="464"/>
      <c r="AM306" s="464"/>
      <c r="AN306" s="464"/>
      <c r="AO306" s="464"/>
      <c r="AP306" s="464"/>
      <c r="AQ306" s="464"/>
      <c r="AR306" s="464"/>
      <c r="AS306" s="464"/>
      <c r="AT306" s="464"/>
      <c r="AU306" s="464"/>
      <c r="AV306" s="464"/>
      <c r="AW306" s="464"/>
      <c r="AX306" s="464"/>
      <c r="AY306" s="464"/>
      <c r="AZ306" s="464"/>
      <c r="BA306" s="464"/>
      <c r="BB306" s="464"/>
      <c r="BC306" s="464"/>
      <c r="BD306" s="464"/>
      <c r="BE306" s="464"/>
      <c r="BF306" s="464"/>
      <c r="BG306" s="464"/>
      <c r="BH306" s="464"/>
      <c r="BJ306" s="463">
        <f t="shared" si="5"/>
        <v>299</v>
      </c>
      <c r="BZ306" s="467"/>
    </row>
    <row r="307" spans="8:78" ht="15.75" customHeight="1" x14ac:dyDescent="0.2">
      <c r="H307" s="464"/>
      <c r="I307" s="464"/>
      <c r="J307" s="464"/>
      <c r="K307" s="464"/>
      <c r="L307" s="464"/>
      <c r="M307" s="464"/>
      <c r="N307" s="464"/>
      <c r="O307" s="464"/>
      <c r="P307" s="464"/>
      <c r="Q307" s="464"/>
      <c r="R307" s="464"/>
      <c r="S307" s="464"/>
      <c r="T307" s="464"/>
      <c r="U307" s="464"/>
      <c r="V307" s="464"/>
      <c r="W307" s="464"/>
      <c r="X307" s="464"/>
      <c r="Y307" s="464"/>
      <c r="Z307" s="464"/>
      <c r="AA307" s="464"/>
      <c r="AB307" s="464"/>
      <c r="AC307" s="464"/>
      <c r="AD307" s="464"/>
      <c r="AE307" s="464"/>
      <c r="AF307" s="464"/>
      <c r="AG307" s="464"/>
      <c r="AH307" s="464"/>
      <c r="AI307" s="464"/>
      <c r="AJ307" s="464"/>
      <c r="AK307" s="464"/>
      <c r="AL307" s="464"/>
      <c r="AM307" s="464"/>
      <c r="AN307" s="464"/>
      <c r="AO307" s="464"/>
      <c r="AP307" s="464"/>
      <c r="AQ307" s="464"/>
      <c r="AR307" s="464"/>
      <c r="AS307" s="464"/>
      <c r="AT307" s="464"/>
      <c r="AU307" s="464"/>
      <c r="AV307" s="464"/>
      <c r="AW307" s="464"/>
      <c r="AX307" s="464"/>
      <c r="AY307" s="464"/>
      <c r="AZ307" s="464"/>
      <c r="BA307" s="464"/>
      <c r="BB307" s="464"/>
      <c r="BC307" s="464"/>
      <c r="BD307" s="464"/>
      <c r="BE307" s="464"/>
      <c r="BF307" s="464"/>
      <c r="BG307" s="464"/>
      <c r="BH307" s="464"/>
      <c r="BJ307" s="463">
        <f t="shared" si="5"/>
        <v>300</v>
      </c>
      <c r="BZ307" s="467"/>
    </row>
    <row r="308" spans="8:78" ht="15.75" customHeight="1" x14ac:dyDescent="0.2">
      <c r="H308" s="464"/>
      <c r="I308" s="464"/>
      <c r="J308" s="464"/>
      <c r="K308" s="464"/>
      <c r="L308" s="464"/>
      <c r="M308" s="464"/>
      <c r="N308" s="464"/>
      <c r="O308" s="464"/>
      <c r="P308" s="464"/>
      <c r="Q308" s="464"/>
      <c r="R308" s="464"/>
      <c r="S308" s="464"/>
      <c r="T308" s="464"/>
      <c r="U308" s="464"/>
      <c r="V308" s="464"/>
      <c r="W308" s="464"/>
      <c r="X308" s="464"/>
      <c r="Y308" s="464"/>
      <c r="Z308" s="464"/>
      <c r="AA308" s="464"/>
      <c r="AB308" s="464"/>
      <c r="AC308" s="464"/>
      <c r="AD308" s="464"/>
      <c r="AE308" s="464"/>
      <c r="AF308" s="464"/>
      <c r="AG308" s="464"/>
      <c r="AH308" s="464"/>
      <c r="AI308" s="464"/>
      <c r="AJ308" s="464"/>
      <c r="AK308" s="464"/>
      <c r="AL308" s="464"/>
      <c r="AM308" s="464"/>
      <c r="AN308" s="464"/>
      <c r="AO308" s="464"/>
      <c r="AP308" s="464"/>
      <c r="AQ308" s="464"/>
      <c r="AR308" s="464"/>
      <c r="AS308" s="464"/>
      <c r="AT308" s="464"/>
      <c r="AU308" s="464"/>
      <c r="AV308" s="464"/>
      <c r="AW308" s="464"/>
      <c r="AX308" s="464"/>
      <c r="AY308" s="464"/>
      <c r="AZ308" s="464"/>
      <c r="BA308" s="464"/>
      <c r="BB308" s="464"/>
      <c r="BC308" s="464"/>
      <c r="BD308" s="464"/>
      <c r="BE308" s="464"/>
      <c r="BF308" s="464"/>
      <c r="BG308" s="464"/>
      <c r="BH308" s="464"/>
      <c r="BJ308" s="463">
        <f t="shared" si="5"/>
        <v>301</v>
      </c>
      <c r="BZ308" s="467"/>
    </row>
    <row r="309" spans="8:78" ht="15.75" customHeight="1" x14ac:dyDescent="0.2">
      <c r="H309" s="464"/>
      <c r="I309" s="464"/>
      <c r="J309" s="464"/>
      <c r="K309" s="464"/>
      <c r="L309" s="464"/>
      <c r="M309" s="464"/>
      <c r="N309" s="464"/>
      <c r="O309" s="464"/>
      <c r="P309" s="464"/>
      <c r="Q309" s="464"/>
      <c r="R309" s="464"/>
      <c r="S309" s="464"/>
      <c r="T309" s="464"/>
      <c r="U309" s="464"/>
      <c r="V309" s="464"/>
      <c r="W309" s="464"/>
      <c r="X309" s="464"/>
      <c r="Y309" s="464"/>
      <c r="Z309" s="464"/>
      <c r="AA309" s="464"/>
      <c r="AB309" s="464"/>
      <c r="AC309" s="464"/>
      <c r="AD309" s="464"/>
      <c r="AE309" s="464"/>
      <c r="AF309" s="464"/>
      <c r="AG309" s="464"/>
      <c r="AH309" s="464"/>
      <c r="AI309" s="464"/>
      <c r="AJ309" s="464"/>
      <c r="AK309" s="464"/>
      <c r="AL309" s="464"/>
      <c r="AM309" s="464"/>
      <c r="AN309" s="464"/>
      <c r="AO309" s="464"/>
      <c r="AP309" s="464"/>
      <c r="AQ309" s="464"/>
      <c r="AR309" s="464"/>
      <c r="AS309" s="464"/>
      <c r="AT309" s="464"/>
      <c r="AU309" s="464"/>
      <c r="AV309" s="464"/>
      <c r="AW309" s="464"/>
      <c r="AX309" s="464"/>
      <c r="AY309" s="464"/>
      <c r="AZ309" s="464"/>
      <c r="BA309" s="464"/>
      <c r="BB309" s="464"/>
      <c r="BC309" s="464"/>
      <c r="BD309" s="464"/>
      <c r="BE309" s="464"/>
      <c r="BF309" s="464"/>
      <c r="BG309" s="464"/>
      <c r="BH309" s="464"/>
      <c r="BJ309" s="463">
        <f t="shared" si="5"/>
        <v>302</v>
      </c>
      <c r="BZ309" s="467"/>
    </row>
    <row r="310" spans="8:78" ht="15.75" customHeight="1" x14ac:dyDescent="0.2">
      <c r="H310" s="464"/>
      <c r="I310" s="464"/>
      <c r="J310" s="464"/>
      <c r="K310" s="464"/>
      <c r="L310" s="464"/>
      <c r="M310" s="464"/>
      <c r="N310" s="464"/>
      <c r="O310" s="464"/>
      <c r="P310" s="464"/>
      <c r="Q310" s="464"/>
      <c r="R310" s="464"/>
      <c r="S310" s="464"/>
      <c r="T310" s="464"/>
      <c r="U310" s="464"/>
      <c r="V310" s="464"/>
      <c r="W310" s="464"/>
      <c r="X310" s="464"/>
      <c r="Y310" s="464"/>
      <c r="Z310" s="464"/>
      <c r="AA310" s="464"/>
      <c r="AB310" s="464"/>
      <c r="AC310" s="464"/>
      <c r="AD310" s="464"/>
      <c r="AE310" s="464"/>
      <c r="AF310" s="464"/>
      <c r="AG310" s="464"/>
      <c r="AH310" s="464"/>
      <c r="AI310" s="464"/>
      <c r="AJ310" s="464"/>
      <c r="AK310" s="464"/>
      <c r="AL310" s="464"/>
      <c r="AM310" s="464"/>
      <c r="AN310" s="464"/>
      <c r="AO310" s="464"/>
      <c r="AP310" s="464"/>
      <c r="AQ310" s="464"/>
      <c r="AR310" s="464"/>
      <c r="AS310" s="464"/>
      <c r="AT310" s="464"/>
      <c r="AU310" s="464"/>
      <c r="AV310" s="464"/>
      <c r="AW310" s="464"/>
      <c r="AX310" s="464"/>
      <c r="AY310" s="464"/>
      <c r="AZ310" s="464"/>
      <c r="BA310" s="464"/>
      <c r="BB310" s="464"/>
      <c r="BC310" s="464"/>
      <c r="BD310" s="464"/>
      <c r="BE310" s="464"/>
      <c r="BF310" s="464"/>
      <c r="BG310" s="464"/>
      <c r="BH310" s="464"/>
      <c r="BJ310" s="463">
        <f t="shared" si="5"/>
        <v>303</v>
      </c>
      <c r="BZ310" s="467"/>
    </row>
    <row r="311" spans="8:78" ht="15.75" customHeight="1" x14ac:dyDescent="0.2">
      <c r="H311" s="464"/>
      <c r="I311" s="464"/>
      <c r="J311" s="464"/>
      <c r="K311" s="464"/>
      <c r="L311" s="464"/>
      <c r="M311" s="464"/>
      <c r="N311" s="464"/>
      <c r="O311" s="464"/>
      <c r="P311" s="464"/>
      <c r="Q311" s="464"/>
      <c r="R311" s="464"/>
      <c r="S311" s="464"/>
      <c r="T311" s="464"/>
      <c r="U311" s="464"/>
      <c r="V311" s="464"/>
      <c r="W311" s="464"/>
      <c r="X311" s="464"/>
      <c r="Y311" s="464"/>
      <c r="Z311" s="464"/>
      <c r="AA311" s="464"/>
      <c r="AB311" s="464"/>
      <c r="AC311" s="464"/>
      <c r="AD311" s="464"/>
      <c r="AE311" s="464"/>
      <c r="AF311" s="464"/>
      <c r="AG311" s="464"/>
      <c r="AH311" s="464"/>
      <c r="AI311" s="464"/>
      <c r="AJ311" s="464"/>
      <c r="AK311" s="464"/>
      <c r="AL311" s="464"/>
      <c r="AM311" s="464"/>
      <c r="AN311" s="464"/>
      <c r="AO311" s="464"/>
      <c r="AP311" s="464"/>
      <c r="AQ311" s="464"/>
      <c r="AR311" s="464"/>
      <c r="AS311" s="464"/>
      <c r="AT311" s="464"/>
      <c r="AU311" s="464"/>
      <c r="AV311" s="464"/>
      <c r="AW311" s="464"/>
      <c r="AX311" s="464"/>
      <c r="AY311" s="464"/>
      <c r="AZ311" s="464"/>
      <c r="BA311" s="464"/>
      <c r="BB311" s="464"/>
      <c r="BC311" s="464"/>
      <c r="BD311" s="464"/>
      <c r="BE311" s="464"/>
      <c r="BF311" s="464"/>
      <c r="BG311" s="464"/>
      <c r="BH311" s="464"/>
      <c r="BJ311" s="463">
        <f t="shared" si="5"/>
        <v>304</v>
      </c>
      <c r="BZ311" s="467"/>
    </row>
    <row r="312" spans="8:78" ht="15.75" customHeight="1" x14ac:dyDescent="0.2">
      <c r="H312" s="464"/>
      <c r="I312" s="464"/>
      <c r="J312" s="464"/>
      <c r="K312" s="464"/>
      <c r="L312" s="464"/>
      <c r="M312" s="464"/>
      <c r="N312" s="464"/>
      <c r="O312" s="464"/>
      <c r="P312" s="464"/>
      <c r="Q312" s="464"/>
      <c r="R312" s="464"/>
      <c r="S312" s="464"/>
      <c r="T312" s="464"/>
      <c r="U312" s="464"/>
      <c r="V312" s="464"/>
      <c r="W312" s="464"/>
      <c r="X312" s="464"/>
      <c r="Y312" s="464"/>
      <c r="Z312" s="464"/>
      <c r="AA312" s="464"/>
      <c r="AB312" s="464"/>
      <c r="AC312" s="464"/>
      <c r="AD312" s="464"/>
      <c r="AE312" s="464"/>
      <c r="AF312" s="464"/>
      <c r="AG312" s="464"/>
      <c r="AH312" s="464"/>
      <c r="AI312" s="464"/>
      <c r="AJ312" s="464"/>
      <c r="AK312" s="464"/>
      <c r="AL312" s="464"/>
      <c r="AM312" s="464"/>
      <c r="AN312" s="464"/>
      <c r="AO312" s="464"/>
      <c r="AP312" s="464"/>
      <c r="AQ312" s="464"/>
      <c r="AR312" s="464"/>
      <c r="AS312" s="464"/>
      <c r="AT312" s="464"/>
      <c r="AU312" s="464"/>
      <c r="AV312" s="464"/>
      <c r="AW312" s="464"/>
      <c r="AX312" s="464"/>
      <c r="AY312" s="464"/>
      <c r="AZ312" s="464"/>
      <c r="BA312" s="464"/>
      <c r="BB312" s="464"/>
      <c r="BC312" s="464"/>
      <c r="BD312" s="464"/>
      <c r="BE312" s="464"/>
      <c r="BF312" s="464"/>
      <c r="BG312" s="464"/>
      <c r="BH312" s="464"/>
      <c r="BJ312" s="463">
        <f t="shared" si="5"/>
        <v>305</v>
      </c>
      <c r="BZ312" s="467"/>
    </row>
    <row r="313" spans="8:78" ht="15.75" customHeight="1" x14ac:dyDescent="0.2">
      <c r="H313" s="464"/>
      <c r="I313" s="464"/>
      <c r="J313" s="464"/>
      <c r="K313" s="464"/>
      <c r="L313" s="464"/>
      <c r="M313" s="464"/>
      <c r="N313" s="464"/>
      <c r="O313" s="464"/>
      <c r="P313" s="464"/>
      <c r="Q313" s="464"/>
      <c r="R313" s="464"/>
      <c r="S313" s="464"/>
      <c r="T313" s="464"/>
      <c r="U313" s="464"/>
      <c r="V313" s="464"/>
      <c r="W313" s="464"/>
      <c r="X313" s="464"/>
      <c r="Y313" s="464"/>
      <c r="Z313" s="464"/>
      <c r="AA313" s="464"/>
      <c r="AB313" s="464"/>
      <c r="AC313" s="464"/>
      <c r="AD313" s="464"/>
      <c r="AE313" s="464"/>
      <c r="AF313" s="464"/>
      <c r="AG313" s="464"/>
      <c r="AH313" s="464"/>
      <c r="AI313" s="464"/>
      <c r="AJ313" s="464"/>
      <c r="AK313" s="464"/>
      <c r="AL313" s="464"/>
      <c r="AM313" s="464"/>
      <c r="AN313" s="464"/>
      <c r="AO313" s="464"/>
      <c r="AP313" s="464"/>
      <c r="AQ313" s="464"/>
      <c r="AR313" s="464"/>
      <c r="AS313" s="464"/>
      <c r="AT313" s="464"/>
      <c r="AU313" s="464"/>
      <c r="AV313" s="464"/>
      <c r="AW313" s="464"/>
      <c r="AX313" s="464"/>
      <c r="AY313" s="464"/>
      <c r="AZ313" s="464"/>
      <c r="BA313" s="464"/>
      <c r="BB313" s="464"/>
      <c r="BC313" s="464"/>
      <c r="BD313" s="464"/>
      <c r="BE313" s="464"/>
      <c r="BF313" s="464"/>
      <c r="BG313" s="464"/>
      <c r="BH313" s="464"/>
      <c r="BJ313" s="463">
        <f t="shared" si="5"/>
        <v>306</v>
      </c>
      <c r="BZ313" s="467"/>
    </row>
    <row r="314" spans="8:78" ht="15.75" customHeight="1" x14ac:dyDescent="0.2">
      <c r="H314" s="464"/>
      <c r="I314" s="464"/>
      <c r="J314" s="464"/>
      <c r="K314" s="464"/>
      <c r="L314" s="464"/>
      <c r="M314" s="464"/>
      <c r="N314" s="464"/>
      <c r="O314" s="464"/>
      <c r="P314" s="464"/>
      <c r="Q314" s="464"/>
      <c r="R314" s="464"/>
      <c r="S314" s="464"/>
      <c r="T314" s="464"/>
      <c r="U314" s="464"/>
      <c r="V314" s="464"/>
      <c r="W314" s="464"/>
      <c r="X314" s="464"/>
      <c r="Y314" s="464"/>
      <c r="Z314" s="464"/>
      <c r="AA314" s="464"/>
      <c r="AB314" s="464"/>
      <c r="AC314" s="464"/>
      <c r="AD314" s="464"/>
      <c r="AE314" s="464"/>
      <c r="AF314" s="464"/>
      <c r="AG314" s="464"/>
      <c r="AH314" s="464"/>
      <c r="AI314" s="464"/>
      <c r="AJ314" s="464"/>
      <c r="AK314" s="464"/>
      <c r="AL314" s="464"/>
      <c r="AM314" s="464"/>
      <c r="AN314" s="464"/>
      <c r="AO314" s="464"/>
      <c r="AP314" s="464"/>
      <c r="AQ314" s="464"/>
      <c r="AR314" s="464"/>
      <c r="AS314" s="464"/>
      <c r="AT314" s="464"/>
      <c r="AU314" s="464"/>
      <c r="AV314" s="464"/>
      <c r="AW314" s="464"/>
      <c r="AX314" s="464"/>
      <c r="AY314" s="464"/>
      <c r="AZ314" s="464"/>
      <c r="BA314" s="464"/>
      <c r="BB314" s="464"/>
      <c r="BC314" s="464"/>
      <c r="BD314" s="464"/>
      <c r="BE314" s="464"/>
      <c r="BF314" s="464"/>
      <c r="BG314" s="464"/>
      <c r="BH314" s="464"/>
      <c r="BJ314" s="463">
        <f t="shared" si="5"/>
        <v>307</v>
      </c>
      <c r="BZ314" s="467"/>
    </row>
    <row r="315" spans="8:78" ht="15.75" customHeight="1" x14ac:dyDescent="0.2">
      <c r="H315" s="464"/>
      <c r="I315" s="464"/>
      <c r="J315" s="464"/>
      <c r="K315" s="464"/>
      <c r="L315" s="464"/>
      <c r="M315" s="464"/>
      <c r="N315" s="464"/>
      <c r="O315" s="464"/>
      <c r="P315" s="464"/>
      <c r="Q315" s="464"/>
      <c r="R315" s="464"/>
      <c r="S315" s="464"/>
      <c r="T315" s="464"/>
      <c r="U315" s="464"/>
      <c r="V315" s="464"/>
      <c r="W315" s="464"/>
      <c r="X315" s="464"/>
      <c r="Y315" s="464"/>
      <c r="Z315" s="464"/>
      <c r="AA315" s="464"/>
      <c r="AB315" s="464"/>
      <c r="AC315" s="464"/>
      <c r="AD315" s="464"/>
      <c r="AE315" s="464"/>
      <c r="AF315" s="464"/>
      <c r="AG315" s="464"/>
      <c r="AH315" s="464"/>
      <c r="AI315" s="464"/>
      <c r="AJ315" s="464"/>
      <c r="AK315" s="464"/>
      <c r="AL315" s="464"/>
      <c r="AM315" s="464"/>
      <c r="AN315" s="464"/>
      <c r="AO315" s="464"/>
      <c r="AP315" s="464"/>
      <c r="AQ315" s="464"/>
      <c r="AR315" s="464"/>
      <c r="AS315" s="464"/>
      <c r="AT315" s="464"/>
      <c r="AU315" s="464"/>
      <c r="AV315" s="464"/>
      <c r="AW315" s="464"/>
      <c r="AX315" s="464"/>
      <c r="AY315" s="464"/>
      <c r="AZ315" s="464"/>
      <c r="BA315" s="464"/>
      <c r="BB315" s="464"/>
      <c r="BC315" s="464"/>
      <c r="BD315" s="464"/>
      <c r="BE315" s="464"/>
      <c r="BF315" s="464"/>
      <c r="BG315" s="464"/>
      <c r="BH315" s="464"/>
      <c r="BJ315" s="463">
        <f t="shared" si="5"/>
        <v>308</v>
      </c>
      <c r="BZ315" s="467"/>
    </row>
    <row r="316" spans="8:78" ht="15.75" customHeight="1" x14ac:dyDescent="0.2">
      <c r="H316" s="464"/>
      <c r="I316" s="464"/>
      <c r="J316" s="464"/>
      <c r="K316" s="464"/>
      <c r="L316" s="464"/>
      <c r="M316" s="464"/>
      <c r="N316" s="464"/>
      <c r="O316" s="464"/>
      <c r="P316" s="464"/>
      <c r="Q316" s="464"/>
      <c r="R316" s="464"/>
      <c r="S316" s="464"/>
      <c r="T316" s="464"/>
      <c r="U316" s="464"/>
      <c r="V316" s="464"/>
      <c r="W316" s="464"/>
      <c r="X316" s="464"/>
      <c r="Y316" s="464"/>
      <c r="Z316" s="464"/>
      <c r="AA316" s="464"/>
      <c r="AB316" s="464"/>
      <c r="AC316" s="464"/>
      <c r="AD316" s="464"/>
      <c r="AE316" s="464"/>
      <c r="AF316" s="464"/>
      <c r="AG316" s="464"/>
      <c r="AH316" s="464"/>
      <c r="AI316" s="464"/>
      <c r="AJ316" s="464"/>
      <c r="AK316" s="464"/>
      <c r="AL316" s="464"/>
      <c r="AM316" s="464"/>
      <c r="AN316" s="464"/>
      <c r="AO316" s="464"/>
      <c r="AP316" s="464"/>
      <c r="AQ316" s="464"/>
      <c r="AR316" s="464"/>
      <c r="AS316" s="464"/>
      <c r="AT316" s="464"/>
      <c r="AU316" s="464"/>
      <c r="AV316" s="464"/>
      <c r="AW316" s="464"/>
      <c r="AX316" s="464"/>
      <c r="AY316" s="464"/>
      <c r="AZ316" s="464"/>
      <c r="BA316" s="464"/>
      <c r="BB316" s="464"/>
      <c r="BC316" s="464"/>
      <c r="BD316" s="464"/>
      <c r="BE316" s="464"/>
      <c r="BF316" s="464"/>
      <c r="BG316" s="464"/>
      <c r="BH316" s="464"/>
      <c r="BJ316" s="463">
        <f t="shared" si="5"/>
        <v>309</v>
      </c>
      <c r="BZ316" s="467"/>
    </row>
    <row r="317" spans="8:78" ht="15.75" customHeight="1" x14ac:dyDescent="0.2">
      <c r="H317" s="464"/>
      <c r="I317" s="464"/>
      <c r="J317" s="464"/>
      <c r="K317" s="464"/>
      <c r="L317" s="464"/>
      <c r="M317" s="464"/>
      <c r="N317" s="464"/>
      <c r="O317" s="464"/>
      <c r="P317" s="464"/>
      <c r="Q317" s="464"/>
      <c r="R317" s="464"/>
      <c r="S317" s="464"/>
      <c r="T317" s="464"/>
      <c r="U317" s="464"/>
      <c r="V317" s="464"/>
      <c r="W317" s="464"/>
      <c r="X317" s="464"/>
      <c r="Y317" s="464"/>
      <c r="Z317" s="464"/>
      <c r="AA317" s="464"/>
      <c r="AB317" s="464"/>
      <c r="AC317" s="464"/>
      <c r="AD317" s="464"/>
      <c r="AE317" s="464"/>
      <c r="AF317" s="464"/>
      <c r="AG317" s="464"/>
      <c r="AH317" s="464"/>
      <c r="AI317" s="464"/>
      <c r="AJ317" s="464"/>
      <c r="AK317" s="464"/>
      <c r="AL317" s="464"/>
      <c r="AM317" s="464"/>
      <c r="AN317" s="464"/>
      <c r="AO317" s="464"/>
      <c r="AP317" s="464"/>
      <c r="AQ317" s="464"/>
      <c r="AR317" s="464"/>
      <c r="AS317" s="464"/>
      <c r="AT317" s="464"/>
      <c r="AU317" s="464"/>
      <c r="AV317" s="464"/>
      <c r="AW317" s="464"/>
      <c r="AX317" s="464"/>
      <c r="AY317" s="464"/>
      <c r="AZ317" s="464"/>
      <c r="BA317" s="464"/>
      <c r="BB317" s="464"/>
      <c r="BC317" s="464"/>
      <c r="BD317" s="464"/>
      <c r="BE317" s="464"/>
      <c r="BF317" s="464"/>
      <c r="BG317" s="464"/>
      <c r="BH317" s="464"/>
      <c r="BJ317" s="463">
        <f t="shared" si="5"/>
        <v>310</v>
      </c>
      <c r="BZ317" s="467"/>
    </row>
    <row r="318" spans="8:78" ht="15.75" customHeight="1" x14ac:dyDescent="0.2">
      <c r="H318" s="464"/>
      <c r="I318" s="464"/>
      <c r="J318" s="464"/>
      <c r="K318" s="464"/>
      <c r="L318" s="464"/>
      <c r="M318" s="464"/>
      <c r="N318" s="464"/>
      <c r="O318" s="464"/>
      <c r="P318" s="464"/>
      <c r="Q318" s="464"/>
      <c r="R318" s="464"/>
      <c r="S318" s="464"/>
      <c r="T318" s="464"/>
      <c r="U318" s="464"/>
      <c r="V318" s="464"/>
      <c r="W318" s="464"/>
      <c r="X318" s="464"/>
      <c r="Y318" s="464"/>
      <c r="Z318" s="464"/>
      <c r="AA318" s="464"/>
      <c r="AB318" s="464"/>
      <c r="AC318" s="464"/>
      <c r="AD318" s="464"/>
      <c r="AE318" s="464"/>
      <c r="AF318" s="464"/>
      <c r="AG318" s="464"/>
      <c r="AH318" s="464"/>
      <c r="AI318" s="464"/>
      <c r="AJ318" s="464"/>
      <c r="AK318" s="464"/>
      <c r="AL318" s="464"/>
      <c r="AM318" s="464"/>
      <c r="AN318" s="464"/>
      <c r="AO318" s="464"/>
      <c r="AP318" s="464"/>
      <c r="AQ318" s="464"/>
      <c r="AR318" s="464"/>
      <c r="AS318" s="464"/>
      <c r="AT318" s="464"/>
      <c r="AU318" s="464"/>
      <c r="AV318" s="464"/>
      <c r="AW318" s="464"/>
      <c r="AX318" s="464"/>
      <c r="AY318" s="464"/>
      <c r="AZ318" s="464"/>
      <c r="BA318" s="464"/>
      <c r="BB318" s="464"/>
      <c r="BC318" s="464"/>
      <c r="BD318" s="464"/>
      <c r="BE318" s="464"/>
      <c r="BF318" s="464"/>
      <c r="BG318" s="464"/>
      <c r="BH318" s="464"/>
      <c r="BJ318" s="463">
        <f t="shared" si="5"/>
        <v>311</v>
      </c>
      <c r="BZ318" s="467"/>
    </row>
    <row r="319" spans="8:78" ht="15.75" customHeight="1" x14ac:dyDescent="0.2">
      <c r="H319" s="464"/>
      <c r="I319" s="464"/>
      <c r="J319" s="464"/>
      <c r="K319" s="464"/>
      <c r="L319" s="464"/>
      <c r="M319" s="464"/>
      <c r="N319" s="464"/>
      <c r="O319" s="464"/>
      <c r="P319" s="464"/>
      <c r="Q319" s="464"/>
      <c r="R319" s="464"/>
      <c r="S319" s="464"/>
      <c r="T319" s="464"/>
      <c r="U319" s="464"/>
      <c r="V319" s="464"/>
      <c r="W319" s="464"/>
      <c r="X319" s="464"/>
      <c r="Y319" s="464"/>
      <c r="Z319" s="464"/>
      <c r="AA319" s="464"/>
      <c r="AB319" s="464"/>
      <c r="AC319" s="464"/>
      <c r="AD319" s="464"/>
      <c r="AE319" s="464"/>
      <c r="AF319" s="464"/>
      <c r="AG319" s="464"/>
      <c r="AH319" s="464"/>
      <c r="AI319" s="464"/>
      <c r="AJ319" s="464"/>
      <c r="AK319" s="464"/>
      <c r="AL319" s="464"/>
      <c r="AM319" s="464"/>
      <c r="AN319" s="464"/>
      <c r="AO319" s="464"/>
      <c r="AP319" s="464"/>
      <c r="AQ319" s="464"/>
      <c r="AR319" s="464"/>
      <c r="AS319" s="464"/>
      <c r="AT319" s="464"/>
      <c r="AU319" s="464"/>
      <c r="AV319" s="464"/>
      <c r="AW319" s="464"/>
      <c r="AX319" s="464"/>
      <c r="AY319" s="464"/>
      <c r="AZ319" s="464"/>
      <c r="BA319" s="464"/>
      <c r="BB319" s="464"/>
      <c r="BC319" s="464"/>
      <c r="BD319" s="464"/>
      <c r="BE319" s="464"/>
      <c r="BF319" s="464"/>
      <c r="BG319" s="464"/>
      <c r="BH319" s="464"/>
      <c r="BJ319" s="463">
        <f t="shared" si="5"/>
        <v>312</v>
      </c>
      <c r="BZ319" s="467"/>
    </row>
    <row r="320" spans="8:78" ht="15.75" customHeight="1" x14ac:dyDescent="0.2">
      <c r="H320" s="464"/>
      <c r="I320" s="464"/>
      <c r="J320" s="464"/>
      <c r="K320" s="464"/>
      <c r="L320" s="464"/>
      <c r="M320" s="464"/>
      <c r="N320" s="464"/>
      <c r="O320" s="464"/>
      <c r="P320" s="464"/>
      <c r="Q320" s="464"/>
      <c r="R320" s="464"/>
      <c r="S320" s="464"/>
      <c r="T320" s="464"/>
      <c r="U320" s="464"/>
      <c r="V320" s="464"/>
      <c r="W320" s="464"/>
      <c r="X320" s="464"/>
      <c r="Y320" s="464"/>
      <c r="Z320" s="464"/>
      <c r="AA320" s="464"/>
      <c r="AB320" s="464"/>
      <c r="AC320" s="464"/>
      <c r="AD320" s="464"/>
      <c r="AE320" s="464"/>
      <c r="AF320" s="464"/>
      <c r="AG320" s="464"/>
      <c r="AH320" s="464"/>
      <c r="AI320" s="464"/>
      <c r="AJ320" s="464"/>
      <c r="AK320" s="464"/>
      <c r="AL320" s="464"/>
      <c r="AM320" s="464"/>
      <c r="AN320" s="464"/>
      <c r="AO320" s="464"/>
      <c r="AP320" s="464"/>
      <c r="AQ320" s="464"/>
      <c r="AR320" s="464"/>
      <c r="AS320" s="464"/>
      <c r="AT320" s="464"/>
      <c r="AU320" s="464"/>
      <c r="AV320" s="464"/>
      <c r="AW320" s="464"/>
      <c r="AX320" s="464"/>
      <c r="AY320" s="464"/>
      <c r="AZ320" s="464"/>
      <c r="BA320" s="464"/>
      <c r="BB320" s="464"/>
      <c r="BC320" s="464"/>
      <c r="BD320" s="464"/>
      <c r="BE320" s="464"/>
      <c r="BF320" s="464"/>
      <c r="BG320" s="464"/>
      <c r="BH320" s="464"/>
      <c r="BJ320" s="463">
        <f t="shared" si="5"/>
        <v>313</v>
      </c>
      <c r="BZ320" s="467"/>
    </row>
    <row r="321" spans="8:78" ht="15.75" customHeight="1" x14ac:dyDescent="0.2">
      <c r="H321" s="464"/>
      <c r="I321" s="464"/>
      <c r="J321" s="464"/>
      <c r="K321" s="464"/>
      <c r="L321" s="464"/>
      <c r="M321" s="464"/>
      <c r="N321" s="464"/>
      <c r="O321" s="464"/>
      <c r="P321" s="464"/>
      <c r="Q321" s="464"/>
      <c r="R321" s="464"/>
      <c r="S321" s="464"/>
      <c r="T321" s="464"/>
      <c r="U321" s="464"/>
      <c r="V321" s="464"/>
      <c r="W321" s="464"/>
      <c r="X321" s="464"/>
      <c r="Y321" s="464"/>
      <c r="Z321" s="464"/>
      <c r="AA321" s="464"/>
      <c r="AB321" s="464"/>
      <c r="AC321" s="464"/>
      <c r="AD321" s="464"/>
      <c r="AE321" s="464"/>
      <c r="AF321" s="464"/>
      <c r="AG321" s="464"/>
      <c r="AH321" s="464"/>
      <c r="AI321" s="464"/>
      <c r="AJ321" s="464"/>
      <c r="AK321" s="464"/>
      <c r="AL321" s="464"/>
      <c r="AM321" s="464"/>
      <c r="AN321" s="464"/>
      <c r="AO321" s="464"/>
      <c r="AP321" s="464"/>
      <c r="AQ321" s="464"/>
      <c r="AR321" s="464"/>
      <c r="AS321" s="464"/>
      <c r="AT321" s="464"/>
      <c r="AU321" s="464"/>
      <c r="AV321" s="464"/>
      <c r="AW321" s="464"/>
      <c r="AX321" s="464"/>
      <c r="AY321" s="464"/>
      <c r="AZ321" s="464"/>
      <c r="BA321" s="464"/>
      <c r="BB321" s="464"/>
      <c r="BC321" s="464"/>
      <c r="BD321" s="464"/>
      <c r="BE321" s="464"/>
      <c r="BF321" s="464"/>
      <c r="BG321" s="464"/>
      <c r="BH321" s="464"/>
      <c r="BJ321" s="463">
        <f t="shared" si="5"/>
        <v>314</v>
      </c>
      <c r="BZ321" s="467"/>
    </row>
    <row r="322" spans="8:78" ht="15.75" customHeight="1" x14ac:dyDescent="0.2">
      <c r="H322" s="464"/>
      <c r="I322" s="464"/>
      <c r="J322" s="464"/>
      <c r="K322" s="464"/>
      <c r="L322" s="464"/>
      <c r="M322" s="464"/>
      <c r="N322" s="464"/>
      <c r="O322" s="464"/>
      <c r="P322" s="464"/>
      <c r="Q322" s="464"/>
      <c r="R322" s="464"/>
      <c r="S322" s="464"/>
      <c r="T322" s="464"/>
      <c r="U322" s="464"/>
      <c r="V322" s="464"/>
      <c r="W322" s="464"/>
      <c r="X322" s="464"/>
      <c r="Y322" s="464"/>
      <c r="Z322" s="464"/>
      <c r="AA322" s="464"/>
      <c r="AB322" s="464"/>
      <c r="AC322" s="464"/>
      <c r="AD322" s="464"/>
      <c r="AE322" s="464"/>
      <c r="AF322" s="464"/>
      <c r="AG322" s="464"/>
      <c r="AH322" s="464"/>
      <c r="AI322" s="464"/>
      <c r="AJ322" s="464"/>
      <c r="AK322" s="464"/>
      <c r="AL322" s="464"/>
      <c r="AM322" s="464"/>
      <c r="AN322" s="464"/>
      <c r="AO322" s="464"/>
      <c r="AP322" s="464"/>
      <c r="AQ322" s="464"/>
      <c r="AR322" s="464"/>
      <c r="AS322" s="464"/>
      <c r="AT322" s="464"/>
      <c r="AU322" s="464"/>
      <c r="AV322" s="464"/>
      <c r="AW322" s="464"/>
      <c r="AX322" s="464"/>
      <c r="AY322" s="464"/>
      <c r="AZ322" s="464"/>
      <c r="BA322" s="464"/>
      <c r="BB322" s="464"/>
      <c r="BC322" s="464"/>
      <c r="BD322" s="464"/>
      <c r="BE322" s="464"/>
      <c r="BF322" s="464"/>
      <c r="BG322" s="464"/>
      <c r="BH322" s="464"/>
      <c r="BJ322" s="463">
        <f t="shared" si="5"/>
        <v>315</v>
      </c>
      <c r="BZ322" s="467"/>
    </row>
    <row r="323" spans="8:78" ht="15.75" customHeight="1" x14ac:dyDescent="0.2">
      <c r="H323" s="464"/>
      <c r="I323" s="464"/>
      <c r="J323" s="464"/>
      <c r="K323" s="464"/>
      <c r="L323" s="464"/>
      <c r="M323" s="464"/>
      <c r="N323" s="464"/>
      <c r="O323" s="464"/>
      <c r="P323" s="464"/>
      <c r="Q323" s="464"/>
      <c r="R323" s="464"/>
      <c r="S323" s="464"/>
      <c r="T323" s="464"/>
      <c r="U323" s="464"/>
      <c r="V323" s="464"/>
      <c r="W323" s="464"/>
      <c r="X323" s="464"/>
      <c r="Y323" s="464"/>
      <c r="Z323" s="464"/>
      <c r="AA323" s="464"/>
      <c r="AB323" s="464"/>
      <c r="AC323" s="464"/>
      <c r="AD323" s="464"/>
      <c r="AE323" s="464"/>
      <c r="AF323" s="464"/>
      <c r="AG323" s="464"/>
      <c r="AH323" s="464"/>
      <c r="AI323" s="464"/>
      <c r="AJ323" s="464"/>
      <c r="AK323" s="464"/>
      <c r="AL323" s="464"/>
      <c r="AM323" s="464"/>
      <c r="AN323" s="464"/>
      <c r="AO323" s="464"/>
      <c r="AP323" s="464"/>
      <c r="AQ323" s="464"/>
      <c r="AR323" s="464"/>
      <c r="AS323" s="464"/>
      <c r="AT323" s="464"/>
      <c r="AU323" s="464"/>
      <c r="AV323" s="464"/>
      <c r="AW323" s="464"/>
      <c r="AX323" s="464"/>
      <c r="AY323" s="464"/>
      <c r="AZ323" s="464"/>
      <c r="BA323" s="464"/>
      <c r="BB323" s="464"/>
      <c r="BC323" s="464"/>
      <c r="BD323" s="464"/>
      <c r="BE323" s="464"/>
      <c r="BF323" s="464"/>
      <c r="BG323" s="464"/>
      <c r="BH323" s="464"/>
      <c r="BJ323" s="463">
        <f t="shared" si="5"/>
        <v>316</v>
      </c>
      <c r="BZ323" s="467"/>
    </row>
    <row r="324" spans="8:78" ht="15.75" customHeight="1" x14ac:dyDescent="0.2">
      <c r="H324" s="464"/>
      <c r="I324" s="464"/>
      <c r="J324" s="464"/>
      <c r="K324" s="464"/>
      <c r="L324" s="464"/>
      <c r="M324" s="464"/>
      <c r="N324" s="464"/>
      <c r="O324" s="464"/>
      <c r="P324" s="464"/>
      <c r="Q324" s="464"/>
      <c r="R324" s="464"/>
      <c r="S324" s="464"/>
      <c r="T324" s="464"/>
      <c r="U324" s="464"/>
      <c r="V324" s="464"/>
      <c r="W324" s="464"/>
      <c r="X324" s="464"/>
      <c r="Y324" s="464"/>
      <c r="Z324" s="464"/>
      <c r="AA324" s="464"/>
      <c r="AB324" s="464"/>
      <c r="AC324" s="464"/>
      <c r="AD324" s="464"/>
      <c r="AE324" s="464"/>
      <c r="AF324" s="464"/>
      <c r="AG324" s="464"/>
      <c r="AH324" s="464"/>
      <c r="AI324" s="464"/>
      <c r="AJ324" s="464"/>
      <c r="AK324" s="464"/>
      <c r="AL324" s="464"/>
      <c r="AM324" s="464"/>
      <c r="AN324" s="464"/>
      <c r="AO324" s="464"/>
      <c r="AP324" s="464"/>
      <c r="AQ324" s="464"/>
      <c r="AR324" s="464"/>
      <c r="AS324" s="464"/>
      <c r="AT324" s="464"/>
      <c r="AU324" s="464"/>
      <c r="AV324" s="464"/>
      <c r="AW324" s="464"/>
      <c r="AX324" s="464"/>
      <c r="AY324" s="464"/>
      <c r="AZ324" s="464"/>
      <c r="BA324" s="464"/>
      <c r="BB324" s="464"/>
      <c r="BC324" s="464"/>
      <c r="BD324" s="464"/>
      <c r="BE324" s="464"/>
      <c r="BF324" s="464"/>
      <c r="BG324" s="464"/>
      <c r="BH324" s="464"/>
      <c r="BJ324" s="463">
        <f t="shared" si="5"/>
        <v>317</v>
      </c>
      <c r="BZ324" s="467"/>
    </row>
    <row r="325" spans="8:78" ht="15.75" customHeight="1" x14ac:dyDescent="0.2">
      <c r="H325" s="464"/>
      <c r="I325" s="464"/>
      <c r="J325" s="464"/>
      <c r="K325" s="464"/>
      <c r="L325" s="464"/>
      <c r="M325" s="464"/>
      <c r="N325" s="464"/>
      <c r="O325" s="464"/>
      <c r="P325" s="464"/>
      <c r="Q325" s="464"/>
      <c r="R325" s="464"/>
      <c r="S325" s="464"/>
      <c r="T325" s="464"/>
      <c r="U325" s="464"/>
      <c r="V325" s="464"/>
      <c r="W325" s="464"/>
      <c r="X325" s="464"/>
      <c r="Y325" s="464"/>
      <c r="Z325" s="464"/>
      <c r="AA325" s="464"/>
      <c r="AB325" s="464"/>
      <c r="AC325" s="464"/>
      <c r="AD325" s="464"/>
      <c r="AE325" s="464"/>
      <c r="AF325" s="464"/>
      <c r="AG325" s="464"/>
      <c r="AH325" s="464"/>
      <c r="AI325" s="464"/>
      <c r="AJ325" s="464"/>
      <c r="AK325" s="464"/>
      <c r="AL325" s="464"/>
      <c r="AM325" s="464"/>
      <c r="AN325" s="464"/>
      <c r="AO325" s="464"/>
      <c r="AP325" s="464"/>
      <c r="AQ325" s="464"/>
      <c r="AR325" s="464"/>
      <c r="AS325" s="464"/>
      <c r="AT325" s="464"/>
      <c r="AU325" s="464"/>
      <c r="AV325" s="464"/>
      <c r="AW325" s="464"/>
      <c r="AX325" s="464"/>
      <c r="AY325" s="464"/>
      <c r="AZ325" s="464"/>
      <c r="BA325" s="464"/>
      <c r="BB325" s="464"/>
      <c r="BC325" s="464"/>
      <c r="BD325" s="464"/>
      <c r="BE325" s="464"/>
      <c r="BF325" s="464"/>
      <c r="BG325" s="464"/>
      <c r="BH325" s="464"/>
      <c r="BJ325" s="463">
        <f t="shared" si="5"/>
        <v>318</v>
      </c>
      <c r="BZ325" s="467"/>
    </row>
    <row r="326" spans="8:78" ht="15.75" customHeight="1" x14ac:dyDescent="0.2">
      <c r="H326" s="464"/>
      <c r="I326" s="464"/>
      <c r="J326" s="464"/>
      <c r="K326" s="464"/>
      <c r="L326" s="464"/>
      <c r="M326" s="464"/>
      <c r="N326" s="464"/>
      <c r="O326" s="464"/>
      <c r="P326" s="464"/>
      <c r="Q326" s="464"/>
      <c r="R326" s="464"/>
      <c r="S326" s="464"/>
      <c r="T326" s="464"/>
      <c r="U326" s="464"/>
      <c r="V326" s="464"/>
      <c r="W326" s="464"/>
      <c r="X326" s="464"/>
      <c r="Y326" s="464"/>
      <c r="Z326" s="464"/>
      <c r="AA326" s="464"/>
      <c r="AB326" s="464"/>
      <c r="AC326" s="464"/>
      <c r="AD326" s="464"/>
      <c r="AE326" s="464"/>
      <c r="AF326" s="464"/>
      <c r="AG326" s="464"/>
      <c r="AH326" s="464"/>
      <c r="AI326" s="464"/>
      <c r="AJ326" s="464"/>
      <c r="AK326" s="464"/>
      <c r="AL326" s="464"/>
      <c r="AM326" s="464"/>
      <c r="AN326" s="464"/>
      <c r="AO326" s="464"/>
      <c r="AP326" s="464"/>
      <c r="AQ326" s="464"/>
      <c r="AR326" s="464"/>
      <c r="AS326" s="464"/>
      <c r="AT326" s="464"/>
      <c r="AU326" s="464"/>
      <c r="AV326" s="464"/>
      <c r="AW326" s="464"/>
      <c r="AX326" s="464"/>
      <c r="AY326" s="464"/>
      <c r="AZ326" s="464"/>
      <c r="BA326" s="464"/>
      <c r="BB326" s="464"/>
      <c r="BC326" s="464"/>
      <c r="BD326" s="464"/>
      <c r="BE326" s="464"/>
      <c r="BF326" s="464"/>
      <c r="BG326" s="464"/>
      <c r="BH326" s="464"/>
      <c r="BJ326" s="463">
        <f t="shared" si="5"/>
        <v>319</v>
      </c>
      <c r="BZ326" s="467"/>
    </row>
    <row r="327" spans="8:78" ht="15.75" customHeight="1" x14ac:dyDescent="0.2">
      <c r="H327" s="464"/>
      <c r="I327" s="464"/>
      <c r="J327" s="464"/>
      <c r="K327" s="464"/>
      <c r="L327" s="464"/>
      <c r="M327" s="464"/>
      <c r="N327" s="464"/>
      <c r="O327" s="464"/>
      <c r="P327" s="464"/>
      <c r="Q327" s="464"/>
      <c r="R327" s="464"/>
      <c r="S327" s="464"/>
      <c r="T327" s="464"/>
      <c r="U327" s="464"/>
      <c r="V327" s="464"/>
      <c r="W327" s="464"/>
      <c r="X327" s="464"/>
      <c r="Y327" s="464"/>
      <c r="Z327" s="464"/>
      <c r="AA327" s="464"/>
      <c r="AB327" s="464"/>
      <c r="AC327" s="464"/>
      <c r="AD327" s="464"/>
      <c r="AE327" s="464"/>
      <c r="AF327" s="464"/>
      <c r="AG327" s="464"/>
      <c r="AH327" s="464"/>
      <c r="AI327" s="464"/>
      <c r="AJ327" s="464"/>
      <c r="AK327" s="464"/>
      <c r="AL327" s="464"/>
      <c r="AM327" s="464"/>
      <c r="AN327" s="464"/>
      <c r="AO327" s="464"/>
      <c r="AP327" s="464"/>
      <c r="AQ327" s="464"/>
      <c r="AR327" s="464"/>
      <c r="AS327" s="464"/>
      <c r="AT327" s="464"/>
      <c r="AU327" s="464"/>
      <c r="AV327" s="464"/>
      <c r="AW327" s="464"/>
      <c r="AX327" s="464"/>
      <c r="AY327" s="464"/>
      <c r="AZ327" s="464"/>
      <c r="BA327" s="464"/>
      <c r="BB327" s="464"/>
      <c r="BC327" s="464"/>
      <c r="BD327" s="464"/>
      <c r="BE327" s="464"/>
      <c r="BF327" s="464"/>
      <c r="BG327" s="464"/>
      <c r="BH327" s="464"/>
      <c r="BJ327" s="463">
        <f t="shared" si="5"/>
        <v>320</v>
      </c>
      <c r="BZ327" s="467"/>
    </row>
    <row r="328" spans="8:78" ht="15.75" customHeight="1" x14ac:dyDescent="0.2">
      <c r="H328" s="464"/>
      <c r="I328" s="464"/>
      <c r="J328" s="464"/>
      <c r="K328" s="464"/>
      <c r="L328" s="464"/>
      <c r="M328" s="464"/>
      <c r="N328" s="464"/>
      <c r="O328" s="464"/>
      <c r="P328" s="464"/>
      <c r="Q328" s="464"/>
      <c r="R328" s="464"/>
      <c r="S328" s="464"/>
      <c r="T328" s="464"/>
      <c r="U328" s="464"/>
      <c r="V328" s="464"/>
      <c r="W328" s="464"/>
      <c r="X328" s="464"/>
      <c r="Y328" s="464"/>
      <c r="Z328" s="464"/>
      <c r="AA328" s="464"/>
      <c r="AB328" s="464"/>
      <c r="AC328" s="464"/>
      <c r="AD328" s="464"/>
      <c r="AE328" s="464"/>
      <c r="AF328" s="464"/>
      <c r="AG328" s="464"/>
      <c r="AH328" s="464"/>
      <c r="AI328" s="464"/>
      <c r="AJ328" s="464"/>
      <c r="AK328" s="464"/>
      <c r="AL328" s="464"/>
      <c r="AM328" s="464"/>
      <c r="AN328" s="464"/>
      <c r="AO328" s="464"/>
      <c r="AP328" s="464"/>
      <c r="AQ328" s="464"/>
      <c r="AR328" s="464"/>
      <c r="AS328" s="464"/>
      <c r="AT328" s="464"/>
      <c r="AU328" s="464"/>
      <c r="AV328" s="464"/>
      <c r="AW328" s="464"/>
      <c r="AX328" s="464"/>
      <c r="AY328" s="464"/>
      <c r="AZ328" s="464"/>
      <c r="BA328" s="464"/>
      <c r="BB328" s="464"/>
      <c r="BC328" s="464"/>
      <c r="BD328" s="464"/>
      <c r="BE328" s="464"/>
      <c r="BF328" s="464"/>
      <c r="BG328" s="464"/>
      <c r="BH328" s="464"/>
      <c r="BJ328" s="463">
        <f t="shared" si="5"/>
        <v>321</v>
      </c>
      <c r="BZ328" s="467"/>
    </row>
    <row r="329" spans="8:78" ht="15.75" customHeight="1" x14ac:dyDescent="0.2">
      <c r="H329" s="464"/>
      <c r="I329" s="464"/>
      <c r="J329" s="464"/>
      <c r="K329" s="464"/>
      <c r="L329" s="464"/>
      <c r="M329" s="464"/>
      <c r="N329" s="464"/>
      <c r="O329" s="464"/>
      <c r="P329" s="464"/>
      <c r="Q329" s="464"/>
      <c r="R329" s="464"/>
      <c r="S329" s="464"/>
      <c r="T329" s="464"/>
      <c r="U329" s="464"/>
      <c r="V329" s="464"/>
      <c r="W329" s="464"/>
      <c r="X329" s="464"/>
      <c r="Y329" s="464"/>
      <c r="Z329" s="464"/>
      <c r="AA329" s="464"/>
      <c r="AB329" s="464"/>
      <c r="AC329" s="464"/>
      <c r="AD329" s="464"/>
      <c r="AE329" s="464"/>
      <c r="AF329" s="464"/>
      <c r="AG329" s="464"/>
      <c r="AH329" s="464"/>
      <c r="AI329" s="464"/>
      <c r="AJ329" s="464"/>
      <c r="AK329" s="464"/>
      <c r="AL329" s="464"/>
      <c r="AM329" s="464"/>
      <c r="AN329" s="464"/>
      <c r="AO329" s="464"/>
      <c r="AP329" s="464"/>
      <c r="AQ329" s="464"/>
      <c r="AR329" s="464"/>
      <c r="AS329" s="464"/>
      <c r="AT329" s="464"/>
      <c r="AU329" s="464"/>
      <c r="AV329" s="464"/>
      <c r="AW329" s="464"/>
      <c r="AX329" s="464"/>
      <c r="AY329" s="464"/>
      <c r="AZ329" s="464"/>
      <c r="BA329" s="464"/>
      <c r="BB329" s="464"/>
      <c r="BC329" s="464"/>
      <c r="BD329" s="464"/>
      <c r="BE329" s="464"/>
      <c r="BF329" s="464"/>
      <c r="BG329" s="464"/>
      <c r="BH329" s="464"/>
      <c r="BJ329" s="463">
        <f t="shared" ref="BJ329:BJ392" si="6">BJ328+1</f>
        <v>322</v>
      </c>
      <c r="BZ329" s="467"/>
    </row>
    <row r="330" spans="8:78" ht="15.75" customHeight="1" x14ac:dyDescent="0.2">
      <c r="H330" s="464"/>
      <c r="I330" s="464"/>
      <c r="J330" s="464"/>
      <c r="K330" s="464"/>
      <c r="L330" s="464"/>
      <c r="M330" s="464"/>
      <c r="N330" s="464"/>
      <c r="O330" s="464"/>
      <c r="P330" s="464"/>
      <c r="Q330" s="464"/>
      <c r="R330" s="464"/>
      <c r="S330" s="464"/>
      <c r="T330" s="464"/>
      <c r="U330" s="464"/>
      <c r="V330" s="464"/>
      <c r="W330" s="464"/>
      <c r="X330" s="464"/>
      <c r="Y330" s="464"/>
      <c r="Z330" s="464"/>
      <c r="AA330" s="464"/>
      <c r="AB330" s="464"/>
      <c r="AC330" s="464"/>
      <c r="AD330" s="464"/>
      <c r="AE330" s="464"/>
      <c r="AF330" s="464"/>
      <c r="AG330" s="464"/>
      <c r="AH330" s="464"/>
      <c r="AI330" s="464"/>
      <c r="AJ330" s="464"/>
      <c r="AK330" s="464"/>
      <c r="AL330" s="464"/>
      <c r="AM330" s="464"/>
      <c r="AN330" s="464"/>
      <c r="AO330" s="464"/>
      <c r="AP330" s="464"/>
      <c r="AQ330" s="464"/>
      <c r="AR330" s="464"/>
      <c r="AS330" s="464"/>
      <c r="AT330" s="464"/>
      <c r="AU330" s="464"/>
      <c r="AV330" s="464"/>
      <c r="AW330" s="464"/>
      <c r="AX330" s="464"/>
      <c r="AY330" s="464"/>
      <c r="AZ330" s="464"/>
      <c r="BA330" s="464"/>
      <c r="BB330" s="464"/>
      <c r="BC330" s="464"/>
      <c r="BD330" s="464"/>
      <c r="BE330" s="464"/>
      <c r="BF330" s="464"/>
      <c r="BG330" s="464"/>
      <c r="BH330" s="464"/>
      <c r="BJ330" s="463">
        <f t="shared" si="6"/>
        <v>323</v>
      </c>
      <c r="BZ330" s="467"/>
    </row>
    <row r="331" spans="8:78" ht="15.75" customHeight="1" x14ac:dyDescent="0.2">
      <c r="H331" s="464"/>
      <c r="I331" s="464"/>
      <c r="J331" s="464"/>
      <c r="K331" s="464"/>
      <c r="L331" s="464"/>
      <c r="M331" s="464"/>
      <c r="N331" s="464"/>
      <c r="O331" s="464"/>
      <c r="P331" s="464"/>
      <c r="Q331" s="464"/>
      <c r="R331" s="464"/>
      <c r="S331" s="464"/>
      <c r="T331" s="464"/>
      <c r="U331" s="464"/>
      <c r="V331" s="464"/>
      <c r="W331" s="464"/>
      <c r="X331" s="464"/>
      <c r="Y331" s="464"/>
      <c r="Z331" s="464"/>
      <c r="AA331" s="464"/>
      <c r="AB331" s="464"/>
      <c r="AC331" s="464"/>
      <c r="AD331" s="464"/>
      <c r="AE331" s="464"/>
      <c r="AF331" s="464"/>
      <c r="AG331" s="464"/>
      <c r="AH331" s="464"/>
      <c r="AI331" s="464"/>
      <c r="AJ331" s="464"/>
      <c r="AK331" s="464"/>
      <c r="AL331" s="464"/>
      <c r="AM331" s="464"/>
      <c r="AN331" s="464"/>
      <c r="AO331" s="464"/>
      <c r="AP331" s="464"/>
      <c r="AQ331" s="464"/>
      <c r="AR331" s="464"/>
      <c r="AS331" s="464"/>
      <c r="AT331" s="464"/>
      <c r="AU331" s="464"/>
      <c r="AV331" s="464"/>
      <c r="AW331" s="464"/>
      <c r="AX331" s="464"/>
      <c r="AY331" s="464"/>
      <c r="AZ331" s="464"/>
      <c r="BA331" s="464"/>
      <c r="BB331" s="464"/>
      <c r="BC331" s="464"/>
      <c r="BD331" s="464"/>
      <c r="BE331" s="464"/>
      <c r="BF331" s="464"/>
      <c r="BG331" s="464"/>
      <c r="BH331" s="464"/>
      <c r="BJ331" s="463">
        <f t="shared" si="6"/>
        <v>324</v>
      </c>
      <c r="BZ331" s="467"/>
    </row>
    <row r="332" spans="8:78" ht="15.75" customHeight="1" x14ac:dyDescent="0.2">
      <c r="H332" s="464"/>
      <c r="I332" s="464"/>
      <c r="J332" s="464"/>
      <c r="K332" s="464"/>
      <c r="L332" s="464"/>
      <c r="M332" s="464"/>
      <c r="N332" s="464"/>
      <c r="O332" s="464"/>
      <c r="P332" s="464"/>
      <c r="Q332" s="464"/>
      <c r="R332" s="464"/>
      <c r="S332" s="464"/>
      <c r="T332" s="464"/>
      <c r="U332" s="464"/>
      <c r="V332" s="464"/>
      <c r="W332" s="464"/>
      <c r="X332" s="464"/>
      <c r="Y332" s="464"/>
      <c r="Z332" s="464"/>
      <c r="AA332" s="464"/>
      <c r="AB332" s="464"/>
      <c r="AC332" s="464"/>
      <c r="AD332" s="464"/>
      <c r="AE332" s="464"/>
      <c r="AF332" s="464"/>
      <c r="AG332" s="464"/>
      <c r="AH332" s="464"/>
      <c r="AI332" s="464"/>
      <c r="AJ332" s="464"/>
      <c r="AK332" s="464"/>
      <c r="AL332" s="464"/>
      <c r="AM332" s="464"/>
      <c r="AN332" s="464"/>
      <c r="AO332" s="464"/>
      <c r="AP332" s="464"/>
      <c r="AQ332" s="464"/>
      <c r="AR332" s="464"/>
      <c r="AS332" s="464"/>
      <c r="AT332" s="464"/>
      <c r="AU332" s="464"/>
      <c r="AV332" s="464"/>
      <c r="AW332" s="464"/>
      <c r="AX332" s="464"/>
      <c r="AY332" s="464"/>
      <c r="AZ332" s="464"/>
      <c r="BA332" s="464"/>
      <c r="BB332" s="464"/>
      <c r="BC332" s="464"/>
      <c r="BD332" s="464"/>
      <c r="BE332" s="464"/>
      <c r="BF332" s="464"/>
      <c r="BG332" s="464"/>
      <c r="BH332" s="464"/>
      <c r="BJ332" s="463">
        <f t="shared" si="6"/>
        <v>325</v>
      </c>
      <c r="BZ332" s="467"/>
    </row>
    <row r="333" spans="8:78" ht="15.75" customHeight="1" x14ac:dyDescent="0.2">
      <c r="H333" s="464"/>
      <c r="I333" s="464"/>
      <c r="J333" s="464"/>
      <c r="K333" s="464"/>
      <c r="L333" s="464"/>
      <c r="M333" s="464"/>
      <c r="N333" s="464"/>
      <c r="O333" s="464"/>
      <c r="P333" s="464"/>
      <c r="Q333" s="464"/>
      <c r="R333" s="464"/>
      <c r="S333" s="464"/>
      <c r="T333" s="464"/>
      <c r="U333" s="464"/>
      <c r="V333" s="464"/>
      <c r="W333" s="464"/>
      <c r="X333" s="464"/>
      <c r="Y333" s="464"/>
      <c r="Z333" s="464"/>
      <c r="AA333" s="464"/>
      <c r="AB333" s="464"/>
      <c r="AC333" s="464"/>
      <c r="AD333" s="464"/>
      <c r="AE333" s="464"/>
      <c r="AF333" s="464"/>
      <c r="AG333" s="464"/>
      <c r="AH333" s="464"/>
      <c r="AI333" s="464"/>
      <c r="AJ333" s="464"/>
      <c r="AK333" s="464"/>
      <c r="AL333" s="464"/>
      <c r="AM333" s="464"/>
      <c r="AN333" s="464"/>
      <c r="AO333" s="464"/>
      <c r="AP333" s="464"/>
      <c r="AQ333" s="464"/>
      <c r="AR333" s="464"/>
      <c r="AS333" s="464"/>
      <c r="AT333" s="464"/>
      <c r="AU333" s="464"/>
      <c r="AV333" s="464"/>
      <c r="AW333" s="464"/>
      <c r="AX333" s="464"/>
      <c r="AY333" s="464"/>
      <c r="AZ333" s="464"/>
      <c r="BA333" s="464"/>
      <c r="BB333" s="464"/>
      <c r="BC333" s="464"/>
      <c r="BD333" s="464"/>
      <c r="BE333" s="464"/>
      <c r="BF333" s="464"/>
      <c r="BG333" s="464"/>
      <c r="BH333" s="464"/>
      <c r="BJ333" s="463">
        <f t="shared" si="6"/>
        <v>326</v>
      </c>
      <c r="BZ333" s="467"/>
    </row>
    <row r="334" spans="8:78" ht="15.75" customHeight="1" x14ac:dyDescent="0.2">
      <c r="H334" s="464"/>
      <c r="I334" s="464"/>
      <c r="J334" s="464"/>
      <c r="K334" s="464"/>
      <c r="L334" s="464"/>
      <c r="M334" s="464"/>
      <c r="N334" s="464"/>
      <c r="O334" s="464"/>
      <c r="P334" s="464"/>
      <c r="Q334" s="464"/>
      <c r="R334" s="464"/>
      <c r="S334" s="464"/>
      <c r="T334" s="464"/>
      <c r="U334" s="464"/>
      <c r="V334" s="464"/>
      <c r="W334" s="464"/>
      <c r="X334" s="464"/>
      <c r="Y334" s="464"/>
      <c r="Z334" s="464"/>
      <c r="AA334" s="464"/>
      <c r="AB334" s="464"/>
      <c r="AC334" s="464"/>
      <c r="AD334" s="464"/>
      <c r="AE334" s="464"/>
      <c r="AF334" s="464"/>
      <c r="AG334" s="464"/>
      <c r="AH334" s="464"/>
      <c r="AI334" s="464"/>
      <c r="AJ334" s="464"/>
      <c r="AK334" s="464"/>
      <c r="AL334" s="464"/>
      <c r="AM334" s="464"/>
      <c r="AN334" s="464"/>
      <c r="AO334" s="464"/>
      <c r="AP334" s="464"/>
      <c r="AQ334" s="464"/>
      <c r="AR334" s="464"/>
      <c r="AS334" s="464"/>
      <c r="AT334" s="464"/>
      <c r="AU334" s="464"/>
      <c r="AV334" s="464"/>
      <c r="AW334" s="464"/>
      <c r="AX334" s="464"/>
      <c r="AY334" s="464"/>
      <c r="AZ334" s="464"/>
      <c r="BA334" s="464"/>
      <c r="BB334" s="464"/>
      <c r="BC334" s="464"/>
      <c r="BD334" s="464"/>
      <c r="BE334" s="464"/>
      <c r="BF334" s="464"/>
      <c r="BG334" s="464"/>
      <c r="BH334" s="464"/>
      <c r="BJ334" s="463">
        <f t="shared" si="6"/>
        <v>327</v>
      </c>
      <c r="BZ334" s="467"/>
    </row>
    <row r="335" spans="8:78" ht="15.75" customHeight="1" x14ac:dyDescent="0.2">
      <c r="H335" s="464"/>
      <c r="I335" s="464"/>
      <c r="J335" s="464"/>
      <c r="K335" s="464"/>
      <c r="L335" s="464"/>
      <c r="M335" s="464"/>
      <c r="N335" s="464"/>
      <c r="O335" s="464"/>
      <c r="P335" s="464"/>
      <c r="Q335" s="464"/>
      <c r="R335" s="464"/>
      <c r="S335" s="464"/>
      <c r="T335" s="464"/>
      <c r="U335" s="464"/>
      <c r="V335" s="464"/>
      <c r="W335" s="464"/>
      <c r="X335" s="464"/>
      <c r="Y335" s="464"/>
      <c r="Z335" s="464"/>
      <c r="AA335" s="464"/>
      <c r="AB335" s="464"/>
      <c r="AC335" s="464"/>
      <c r="AD335" s="464"/>
      <c r="AE335" s="464"/>
      <c r="AF335" s="464"/>
      <c r="AG335" s="464"/>
      <c r="AH335" s="464"/>
      <c r="AI335" s="464"/>
      <c r="AJ335" s="464"/>
      <c r="AK335" s="464"/>
      <c r="AL335" s="464"/>
      <c r="AM335" s="464"/>
      <c r="AN335" s="464"/>
      <c r="AO335" s="464"/>
      <c r="AP335" s="464"/>
      <c r="AQ335" s="464"/>
      <c r="AR335" s="464"/>
      <c r="AS335" s="464"/>
      <c r="AT335" s="464"/>
      <c r="AU335" s="464"/>
      <c r="AV335" s="464"/>
      <c r="AW335" s="464"/>
      <c r="AX335" s="464"/>
      <c r="AY335" s="464"/>
      <c r="AZ335" s="464"/>
      <c r="BA335" s="464"/>
      <c r="BB335" s="464"/>
      <c r="BC335" s="464"/>
      <c r="BD335" s="464"/>
      <c r="BE335" s="464"/>
      <c r="BF335" s="464"/>
      <c r="BG335" s="464"/>
      <c r="BH335" s="464"/>
      <c r="BJ335" s="463">
        <f t="shared" si="6"/>
        <v>328</v>
      </c>
      <c r="BZ335" s="467"/>
    </row>
    <row r="336" spans="8:78" ht="15.75" customHeight="1" x14ac:dyDescent="0.2">
      <c r="H336" s="464"/>
      <c r="I336" s="464"/>
      <c r="J336" s="464"/>
      <c r="K336" s="464"/>
      <c r="L336" s="464"/>
      <c r="M336" s="464"/>
      <c r="N336" s="464"/>
      <c r="O336" s="464"/>
      <c r="P336" s="464"/>
      <c r="Q336" s="464"/>
      <c r="R336" s="464"/>
      <c r="S336" s="464"/>
      <c r="T336" s="464"/>
      <c r="U336" s="464"/>
      <c r="V336" s="464"/>
      <c r="W336" s="464"/>
      <c r="X336" s="464"/>
      <c r="Y336" s="464"/>
      <c r="Z336" s="464"/>
      <c r="AA336" s="464"/>
      <c r="AB336" s="464"/>
      <c r="AC336" s="464"/>
      <c r="AD336" s="464"/>
      <c r="AE336" s="464"/>
      <c r="AF336" s="464"/>
      <c r="AG336" s="464"/>
      <c r="AH336" s="464"/>
      <c r="AI336" s="464"/>
      <c r="AJ336" s="464"/>
      <c r="AK336" s="464"/>
      <c r="AL336" s="464"/>
      <c r="AM336" s="464"/>
      <c r="AN336" s="464"/>
      <c r="AO336" s="464"/>
      <c r="AP336" s="464"/>
      <c r="AQ336" s="464"/>
      <c r="AR336" s="464"/>
      <c r="AS336" s="464"/>
      <c r="AT336" s="464"/>
      <c r="AU336" s="464"/>
      <c r="AV336" s="464"/>
      <c r="AW336" s="464"/>
      <c r="AX336" s="464"/>
      <c r="AY336" s="464"/>
      <c r="AZ336" s="464"/>
      <c r="BA336" s="464"/>
      <c r="BB336" s="464"/>
      <c r="BC336" s="464"/>
      <c r="BD336" s="464"/>
      <c r="BE336" s="464"/>
      <c r="BF336" s="464"/>
      <c r="BG336" s="464"/>
      <c r="BH336" s="464"/>
      <c r="BJ336" s="463">
        <f t="shared" si="6"/>
        <v>329</v>
      </c>
      <c r="BZ336" s="467"/>
    </row>
    <row r="337" spans="8:78" ht="15.75" customHeight="1" x14ac:dyDescent="0.2">
      <c r="H337" s="464"/>
      <c r="I337" s="464"/>
      <c r="J337" s="464"/>
      <c r="K337" s="464"/>
      <c r="L337" s="464"/>
      <c r="M337" s="464"/>
      <c r="N337" s="464"/>
      <c r="O337" s="464"/>
      <c r="P337" s="464"/>
      <c r="Q337" s="464"/>
      <c r="R337" s="464"/>
      <c r="S337" s="464"/>
      <c r="T337" s="464"/>
      <c r="U337" s="464"/>
      <c r="V337" s="464"/>
      <c r="W337" s="464"/>
      <c r="X337" s="464"/>
      <c r="Y337" s="464"/>
      <c r="Z337" s="464"/>
      <c r="AA337" s="464"/>
      <c r="AB337" s="464"/>
      <c r="AC337" s="464"/>
      <c r="AD337" s="464"/>
      <c r="AE337" s="464"/>
      <c r="AF337" s="464"/>
      <c r="AG337" s="464"/>
      <c r="AH337" s="464"/>
      <c r="AI337" s="464"/>
      <c r="AJ337" s="464"/>
      <c r="AK337" s="464"/>
      <c r="AL337" s="464"/>
      <c r="AM337" s="464"/>
      <c r="AN337" s="464"/>
      <c r="AO337" s="464"/>
      <c r="AP337" s="464"/>
      <c r="AQ337" s="464"/>
      <c r="AR337" s="464"/>
      <c r="AS337" s="464"/>
      <c r="AT337" s="464"/>
      <c r="AU337" s="464"/>
      <c r="AV337" s="464"/>
      <c r="AW337" s="464"/>
      <c r="AX337" s="464"/>
      <c r="AY337" s="464"/>
      <c r="AZ337" s="464"/>
      <c r="BA337" s="464"/>
      <c r="BB337" s="464"/>
      <c r="BC337" s="464"/>
      <c r="BD337" s="464"/>
      <c r="BE337" s="464"/>
      <c r="BF337" s="464"/>
      <c r="BG337" s="464"/>
      <c r="BH337" s="464"/>
      <c r="BJ337" s="463">
        <f t="shared" si="6"/>
        <v>330</v>
      </c>
      <c r="BZ337" s="467"/>
    </row>
    <row r="338" spans="8:78" ht="15.75" customHeight="1" x14ac:dyDescent="0.2">
      <c r="H338" s="464"/>
      <c r="I338" s="464"/>
      <c r="J338" s="464"/>
      <c r="K338" s="464"/>
      <c r="L338" s="464"/>
      <c r="M338" s="464"/>
      <c r="N338" s="464"/>
      <c r="O338" s="464"/>
      <c r="P338" s="464"/>
      <c r="Q338" s="464"/>
      <c r="R338" s="464"/>
      <c r="S338" s="464"/>
      <c r="T338" s="464"/>
      <c r="U338" s="464"/>
      <c r="V338" s="464"/>
      <c r="W338" s="464"/>
      <c r="X338" s="464"/>
      <c r="Y338" s="464"/>
      <c r="Z338" s="464"/>
      <c r="AA338" s="464"/>
      <c r="AB338" s="464"/>
      <c r="AC338" s="464"/>
      <c r="AD338" s="464"/>
      <c r="AE338" s="464"/>
      <c r="AF338" s="464"/>
      <c r="AG338" s="464"/>
      <c r="AH338" s="464"/>
      <c r="AI338" s="464"/>
      <c r="AJ338" s="464"/>
      <c r="AK338" s="464"/>
      <c r="AL338" s="464"/>
      <c r="AM338" s="464"/>
      <c r="AN338" s="464"/>
      <c r="AO338" s="464"/>
      <c r="AP338" s="464"/>
      <c r="AQ338" s="464"/>
      <c r="AR338" s="464"/>
      <c r="AS338" s="464"/>
      <c r="AT338" s="464"/>
      <c r="AU338" s="464"/>
      <c r="AV338" s="464"/>
      <c r="AW338" s="464"/>
      <c r="AX338" s="464"/>
      <c r="AY338" s="464"/>
      <c r="AZ338" s="464"/>
      <c r="BA338" s="464"/>
      <c r="BB338" s="464"/>
      <c r="BC338" s="464"/>
      <c r="BD338" s="464"/>
      <c r="BE338" s="464"/>
      <c r="BF338" s="464"/>
      <c r="BG338" s="464"/>
      <c r="BH338" s="464"/>
      <c r="BJ338" s="463">
        <f t="shared" si="6"/>
        <v>331</v>
      </c>
      <c r="BZ338" s="467"/>
    </row>
    <row r="339" spans="8:78" ht="15.75" customHeight="1" x14ac:dyDescent="0.2">
      <c r="H339" s="464"/>
      <c r="I339" s="464"/>
      <c r="J339" s="464"/>
      <c r="K339" s="464"/>
      <c r="L339" s="464"/>
      <c r="M339" s="464"/>
      <c r="N339" s="464"/>
      <c r="O339" s="464"/>
      <c r="P339" s="464"/>
      <c r="Q339" s="464"/>
      <c r="R339" s="464"/>
      <c r="S339" s="464"/>
      <c r="T339" s="464"/>
      <c r="U339" s="464"/>
      <c r="V339" s="464"/>
      <c r="W339" s="464"/>
      <c r="X339" s="464"/>
      <c r="Y339" s="464"/>
      <c r="Z339" s="464"/>
      <c r="AA339" s="464"/>
      <c r="AB339" s="464"/>
      <c r="AC339" s="464"/>
      <c r="AD339" s="464"/>
      <c r="AE339" s="464"/>
      <c r="AF339" s="464"/>
      <c r="AG339" s="464"/>
      <c r="AH339" s="464"/>
      <c r="AI339" s="464"/>
      <c r="AJ339" s="464"/>
      <c r="AK339" s="464"/>
      <c r="AL339" s="464"/>
      <c r="AM339" s="464"/>
      <c r="AN339" s="464"/>
      <c r="AO339" s="464"/>
      <c r="AP339" s="464"/>
      <c r="AQ339" s="464"/>
      <c r="AR339" s="464"/>
      <c r="AS339" s="464"/>
      <c r="AT339" s="464"/>
      <c r="AU339" s="464"/>
      <c r="AV339" s="464"/>
      <c r="AW339" s="464"/>
      <c r="AX339" s="464"/>
      <c r="AY339" s="464"/>
      <c r="AZ339" s="464"/>
      <c r="BA339" s="464"/>
      <c r="BB339" s="464"/>
      <c r="BC339" s="464"/>
      <c r="BD339" s="464"/>
      <c r="BE339" s="464"/>
      <c r="BF339" s="464"/>
      <c r="BG339" s="464"/>
      <c r="BH339" s="464"/>
      <c r="BJ339" s="463">
        <f t="shared" si="6"/>
        <v>332</v>
      </c>
      <c r="BZ339" s="467"/>
    </row>
    <row r="340" spans="8:78" ht="15.75" customHeight="1" x14ac:dyDescent="0.2">
      <c r="H340" s="464"/>
      <c r="I340" s="464"/>
      <c r="J340" s="464"/>
      <c r="K340" s="464"/>
      <c r="L340" s="464"/>
      <c r="M340" s="464"/>
      <c r="N340" s="464"/>
      <c r="O340" s="464"/>
      <c r="P340" s="464"/>
      <c r="Q340" s="464"/>
      <c r="R340" s="464"/>
      <c r="S340" s="464"/>
      <c r="T340" s="464"/>
      <c r="U340" s="464"/>
      <c r="V340" s="464"/>
      <c r="W340" s="464"/>
      <c r="X340" s="464"/>
      <c r="Y340" s="464"/>
      <c r="Z340" s="464"/>
      <c r="AA340" s="464"/>
      <c r="AB340" s="464"/>
      <c r="AC340" s="464"/>
      <c r="AD340" s="464"/>
      <c r="AE340" s="464"/>
      <c r="AF340" s="464"/>
      <c r="AG340" s="464"/>
      <c r="AH340" s="464"/>
      <c r="AI340" s="464"/>
      <c r="AJ340" s="464"/>
      <c r="AK340" s="464"/>
      <c r="AL340" s="464"/>
      <c r="AM340" s="464"/>
      <c r="AN340" s="464"/>
      <c r="AO340" s="464"/>
      <c r="AP340" s="464"/>
      <c r="AQ340" s="464"/>
      <c r="AR340" s="464"/>
      <c r="AS340" s="464"/>
      <c r="AT340" s="464"/>
      <c r="AU340" s="464"/>
      <c r="AV340" s="464"/>
      <c r="AW340" s="464"/>
      <c r="AX340" s="464"/>
      <c r="AY340" s="464"/>
      <c r="AZ340" s="464"/>
      <c r="BA340" s="464"/>
      <c r="BB340" s="464"/>
      <c r="BC340" s="464"/>
      <c r="BD340" s="464"/>
      <c r="BE340" s="464"/>
      <c r="BF340" s="464"/>
      <c r="BG340" s="464"/>
      <c r="BH340" s="464"/>
      <c r="BJ340" s="463">
        <f t="shared" si="6"/>
        <v>333</v>
      </c>
      <c r="BZ340" s="467"/>
    </row>
    <row r="341" spans="8:78" ht="15.75" customHeight="1" x14ac:dyDescent="0.2">
      <c r="H341" s="464"/>
      <c r="I341" s="464"/>
      <c r="J341" s="464"/>
      <c r="K341" s="464"/>
      <c r="L341" s="464"/>
      <c r="M341" s="464"/>
      <c r="N341" s="464"/>
      <c r="O341" s="464"/>
      <c r="P341" s="464"/>
      <c r="Q341" s="464"/>
      <c r="R341" s="464"/>
      <c r="S341" s="464"/>
      <c r="T341" s="464"/>
      <c r="U341" s="464"/>
      <c r="V341" s="464"/>
      <c r="W341" s="464"/>
      <c r="X341" s="464"/>
      <c r="Y341" s="464"/>
      <c r="Z341" s="464"/>
      <c r="AA341" s="464"/>
      <c r="AB341" s="464"/>
      <c r="AC341" s="464"/>
      <c r="AD341" s="464"/>
      <c r="AE341" s="464"/>
      <c r="AF341" s="464"/>
      <c r="AG341" s="464"/>
      <c r="AH341" s="464"/>
      <c r="AI341" s="464"/>
      <c r="AJ341" s="464"/>
      <c r="AK341" s="464"/>
      <c r="AL341" s="464"/>
      <c r="AM341" s="464"/>
      <c r="AN341" s="464"/>
      <c r="AO341" s="464"/>
      <c r="AP341" s="464"/>
      <c r="AQ341" s="464"/>
      <c r="AR341" s="464"/>
      <c r="AS341" s="464"/>
      <c r="AT341" s="464"/>
      <c r="AU341" s="464"/>
      <c r="AV341" s="464"/>
      <c r="AW341" s="464"/>
      <c r="AX341" s="464"/>
      <c r="AY341" s="464"/>
      <c r="AZ341" s="464"/>
      <c r="BA341" s="464"/>
      <c r="BB341" s="464"/>
      <c r="BC341" s="464"/>
      <c r="BD341" s="464"/>
      <c r="BE341" s="464"/>
      <c r="BF341" s="464"/>
      <c r="BG341" s="464"/>
      <c r="BH341" s="464"/>
      <c r="BJ341" s="463">
        <f t="shared" si="6"/>
        <v>334</v>
      </c>
      <c r="BZ341" s="467"/>
    </row>
    <row r="342" spans="8:78" ht="15.75" customHeight="1" x14ac:dyDescent="0.2">
      <c r="H342" s="464"/>
      <c r="I342" s="464"/>
      <c r="J342" s="464"/>
      <c r="K342" s="464"/>
      <c r="L342" s="464"/>
      <c r="M342" s="464"/>
      <c r="N342" s="464"/>
      <c r="O342" s="464"/>
      <c r="P342" s="464"/>
      <c r="Q342" s="464"/>
      <c r="R342" s="464"/>
      <c r="S342" s="464"/>
      <c r="T342" s="464"/>
      <c r="U342" s="464"/>
      <c r="V342" s="464"/>
      <c r="W342" s="464"/>
      <c r="X342" s="464"/>
      <c r="Y342" s="464"/>
      <c r="Z342" s="464"/>
      <c r="AA342" s="464"/>
      <c r="AB342" s="464"/>
      <c r="AC342" s="464"/>
      <c r="AD342" s="464"/>
      <c r="AE342" s="464"/>
      <c r="AF342" s="464"/>
      <c r="AG342" s="464"/>
      <c r="AH342" s="464"/>
      <c r="AI342" s="464"/>
      <c r="AJ342" s="464"/>
      <c r="AK342" s="464"/>
      <c r="AL342" s="464"/>
      <c r="AM342" s="464"/>
      <c r="AN342" s="464"/>
      <c r="AO342" s="464"/>
      <c r="AP342" s="464"/>
      <c r="AQ342" s="464"/>
      <c r="AR342" s="464"/>
      <c r="AS342" s="464"/>
      <c r="AT342" s="464"/>
      <c r="AU342" s="464"/>
      <c r="AV342" s="464"/>
      <c r="AW342" s="464"/>
      <c r="AX342" s="464"/>
      <c r="AY342" s="464"/>
      <c r="AZ342" s="464"/>
      <c r="BA342" s="464"/>
      <c r="BB342" s="464"/>
      <c r="BC342" s="464"/>
      <c r="BD342" s="464"/>
      <c r="BE342" s="464"/>
      <c r="BF342" s="464"/>
      <c r="BG342" s="464"/>
      <c r="BH342" s="464"/>
      <c r="BJ342" s="463">
        <f t="shared" si="6"/>
        <v>335</v>
      </c>
      <c r="BZ342" s="467"/>
    </row>
    <row r="343" spans="8:78" ht="15.75" customHeight="1" x14ac:dyDescent="0.2">
      <c r="H343" s="464"/>
      <c r="I343" s="464"/>
      <c r="J343" s="464"/>
      <c r="K343" s="464"/>
      <c r="L343" s="464"/>
      <c r="M343" s="464"/>
      <c r="N343" s="464"/>
      <c r="O343" s="464"/>
      <c r="P343" s="464"/>
      <c r="Q343" s="464"/>
      <c r="R343" s="464"/>
      <c r="S343" s="464"/>
      <c r="T343" s="464"/>
      <c r="U343" s="464"/>
      <c r="V343" s="464"/>
      <c r="W343" s="464"/>
      <c r="X343" s="464"/>
      <c r="Y343" s="464"/>
      <c r="Z343" s="464"/>
      <c r="AA343" s="464"/>
      <c r="AB343" s="464"/>
      <c r="AC343" s="464"/>
      <c r="AD343" s="464"/>
      <c r="AE343" s="464"/>
      <c r="AF343" s="464"/>
      <c r="AG343" s="464"/>
      <c r="AH343" s="464"/>
      <c r="AI343" s="464"/>
      <c r="AJ343" s="464"/>
      <c r="AK343" s="464"/>
      <c r="AL343" s="464"/>
      <c r="AM343" s="464"/>
      <c r="AN343" s="464"/>
      <c r="AO343" s="464"/>
      <c r="AP343" s="464"/>
      <c r="AQ343" s="464"/>
      <c r="AR343" s="464"/>
      <c r="AS343" s="464"/>
      <c r="AT343" s="464"/>
      <c r="AU343" s="464"/>
      <c r="AV343" s="464"/>
      <c r="AW343" s="464"/>
      <c r="AX343" s="464"/>
      <c r="AY343" s="464"/>
      <c r="AZ343" s="464"/>
      <c r="BA343" s="464"/>
      <c r="BB343" s="464"/>
      <c r="BC343" s="464"/>
      <c r="BD343" s="464"/>
      <c r="BE343" s="464"/>
      <c r="BF343" s="464"/>
      <c r="BG343" s="464"/>
      <c r="BH343" s="464"/>
      <c r="BJ343" s="463">
        <f t="shared" si="6"/>
        <v>336</v>
      </c>
      <c r="BZ343" s="467"/>
    </row>
    <row r="344" spans="8:78" ht="15.75" customHeight="1" x14ac:dyDescent="0.2">
      <c r="H344" s="464"/>
      <c r="I344" s="464"/>
      <c r="J344" s="464"/>
      <c r="K344" s="464"/>
      <c r="L344" s="464"/>
      <c r="M344" s="464"/>
      <c r="N344" s="464"/>
      <c r="O344" s="464"/>
      <c r="P344" s="464"/>
      <c r="Q344" s="464"/>
      <c r="R344" s="464"/>
      <c r="S344" s="464"/>
      <c r="T344" s="464"/>
      <c r="U344" s="464"/>
      <c r="V344" s="464"/>
      <c r="W344" s="464"/>
      <c r="X344" s="464"/>
      <c r="Y344" s="464"/>
      <c r="Z344" s="464"/>
      <c r="AA344" s="464"/>
      <c r="AB344" s="464"/>
      <c r="AC344" s="464"/>
      <c r="AD344" s="464"/>
      <c r="AE344" s="464"/>
      <c r="AF344" s="464"/>
      <c r="AG344" s="464"/>
      <c r="AH344" s="464"/>
      <c r="AI344" s="464"/>
      <c r="AJ344" s="464"/>
      <c r="AK344" s="464"/>
      <c r="AL344" s="464"/>
      <c r="AM344" s="464"/>
      <c r="AN344" s="464"/>
      <c r="AO344" s="464"/>
      <c r="AP344" s="464"/>
      <c r="AQ344" s="464"/>
      <c r="AR344" s="464"/>
      <c r="AS344" s="464"/>
      <c r="AT344" s="464"/>
      <c r="AU344" s="464"/>
      <c r="AV344" s="464"/>
      <c r="AW344" s="464"/>
      <c r="AX344" s="464"/>
      <c r="AY344" s="464"/>
      <c r="AZ344" s="464"/>
      <c r="BA344" s="464"/>
      <c r="BB344" s="464"/>
      <c r="BC344" s="464"/>
      <c r="BD344" s="464"/>
      <c r="BE344" s="464"/>
      <c r="BF344" s="464"/>
      <c r="BG344" s="464"/>
      <c r="BH344" s="464"/>
      <c r="BJ344" s="463">
        <f t="shared" si="6"/>
        <v>337</v>
      </c>
      <c r="BZ344" s="467"/>
    </row>
    <row r="345" spans="8:78" ht="15.75" customHeight="1" x14ac:dyDescent="0.2">
      <c r="H345" s="464"/>
      <c r="I345" s="464"/>
      <c r="J345" s="464"/>
      <c r="K345" s="464"/>
      <c r="L345" s="464"/>
      <c r="M345" s="464"/>
      <c r="N345" s="464"/>
      <c r="O345" s="464"/>
      <c r="P345" s="464"/>
      <c r="Q345" s="464"/>
      <c r="R345" s="464"/>
      <c r="S345" s="464"/>
      <c r="T345" s="464"/>
      <c r="U345" s="464"/>
      <c r="V345" s="464"/>
      <c r="W345" s="464"/>
      <c r="X345" s="464"/>
      <c r="Y345" s="464"/>
      <c r="Z345" s="464"/>
      <c r="AA345" s="464"/>
      <c r="AB345" s="464"/>
      <c r="AC345" s="464"/>
      <c r="AD345" s="464"/>
      <c r="AE345" s="464"/>
      <c r="AF345" s="464"/>
      <c r="AG345" s="464"/>
      <c r="AH345" s="464"/>
      <c r="AI345" s="464"/>
      <c r="AJ345" s="464"/>
      <c r="AK345" s="464"/>
      <c r="AL345" s="464"/>
      <c r="AM345" s="464"/>
      <c r="AN345" s="464"/>
      <c r="AO345" s="464"/>
      <c r="AP345" s="464"/>
      <c r="AQ345" s="464"/>
      <c r="AR345" s="464"/>
      <c r="AS345" s="464"/>
      <c r="AT345" s="464"/>
      <c r="AU345" s="464"/>
      <c r="AV345" s="464"/>
      <c r="AW345" s="464"/>
      <c r="AX345" s="464"/>
      <c r="AY345" s="464"/>
      <c r="AZ345" s="464"/>
      <c r="BA345" s="464"/>
      <c r="BB345" s="464"/>
      <c r="BC345" s="464"/>
      <c r="BD345" s="464"/>
      <c r="BE345" s="464"/>
      <c r="BF345" s="464"/>
      <c r="BG345" s="464"/>
      <c r="BH345" s="464"/>
      <c r="BJ345" s="463">
        <f t="shared" si="6"/>
        <v>338</v>
      </c>
      <c r="BZ345" s="467"/>
    </row>
    <row r="346" spans="8:78" ht="15.75" customHeight="1" x14ac:dyDescent="0.2">
      <c r="H346" s="464"/>
      <c r="I346" s="464"/>
      <c r="J346" s="464"/>
      <c r="K346" s="464"/>
      <c r="L346" s="464"/>
      <c r="M346" s="464"/>
      <c r="N346" s="464"/>
      <c r="O346" s="464"/>
      <c r="P346" s="464"/>
      <c r="Q346" s="464"/>
      <c r="R346" s="464"/>
      <c r="S346" s="464"/>
      <c r="T346" s="464"/>
      <c r="U346" s="464"/>
      <c r="V346" s="464"/>
      <c r="W346" s="464"/>
      <c r="X346" s="464"/>
      <c r="Y346" s="464"/>
      <c r="Z346" s="464"/>
      <c r="AA346" s="464"/>
      <c r="AB346" s="464"/>
      <c r="AC346" s="464"/>
      <c r="AD346" s="464"/>
      <c r="AE346" s="464"/>
      <c r="AF346" s="464"/>
      <c r="AG346" s="464"/>
      <c r="AH346" s="464"/>
      <c r="AI346" s="464"/>
      <c r="AJ346" s="464"/>
      <c r="AK346" s="464"/>
      <c r="AL346" s="464"/>
      <c r="AM346" s="464"/>
      <c r="AN346" s="464"/>
      <c r="AO346" s="464"/>
      <c r="AP346" s="464"/>
      <c r="AQ346" s="464"/>
      <c r="AR346" s="464"/>
      <c r="AS346" s="464"/>
      <c r="AT346" s="464"/>
      <c r="AU346" s="464"/>
      <c r="AV346" s="464"/>
      <c r="AW346" s="464"/>
      <c r="AX346" s="464"/>
      <c r="AY346" s="464"/>
      <c r="AZ346" s="464"/>
      <c r="BA346" s="464"/>
      <c r="BB346" s="464"/>
      <c r="BC346" s="464"/>
      <c r="BD346" s="464"/>
      <c r="BE346" s="464"/>
      <c r="BF346" s="464"/>
      <c r="BG346" s="464"/>
      <c r="BH346" s="464"/>
      <c r="BJ346" s="463">
        <f t="shared" si="6"/>
        <v>339</v>
      </c>
      <c r="BZ346" s="467"/>
    </row>
    <row r="347" spans="8:78" ht="15.75" customHeight="1" x14ac:dyDescent="0.2">
      <c r="H347" s="464"/>
      <c r="I347" s="464"/>
      <c r="J347" s="464"/>
      <c r="K347" s="464"/>
      <c r="L347" s="464"/>
      <c r="M347" s="464"/>
      <c r="N347" s="464"/>
      <c r="O347" s="464"/>
      <c r="P347" s="464"/>
      <c r="Q347" s="464"/>
      <c r="R347" s="464"/>
      <c r="S347" s="464"/>
      <c r="T347" s="464"/>
      <c r="U347" s="464"/>
      <c r="V347" s="464"/>
      <c r="W347" s="464"/>
      <c r="X347" s="464"/>
      <c r="Y347" s="464"/>
      <c r="Z347" s="464"/>
      <c r="AA347" s="464"/>
      <c r="AB347" s="464"/>
      <c r="AC347" s="464"/>
      <c r="AD347" s="464"/>
      <c r="AE347" s="464"/>
      <c r="AF347" s="464"/>
      <c r="AG347" s="464"/>
      <c r="AH347" s="464"/>
      <c r="AI347" s="464"/>
      <c r="AJ347" s="464"/>
      <c r="AK347" s="464"/>
      <c r="AL347" s="464"/>
      <c r="AM347" s="464"/>
      <c r="AN347" s="464"/>
      <c r="AO347" s="464"/>
      <c r="AP347" s="464"/>
      <c r="AQ347" s="464"/>
      <c r="AR347" s="464"/>
      <c r="AS347" s="464"/>
      <c r="AT347" s="464"/>
      <c r="AU347" s="464"/>
      <c r="AV347" s="464"/>
      <c r="AW347" s="464"/>
      <c r="AX347" s="464"/>
      <c r="AY347" s="464"/>
      <c r="AZ347" s="464"/>
      <c r="BA347" s="464"/>
      <c r="BB347" s="464"/>
      <c r="BC347" s="464"/>
      <c r="BD347" s="464"/>
      <c r="BE347" s="464"/>
      <c r="BF347" s="464"/>
      <c r="BG347" s="464"/>
      <c r="BH347" s="464"/>
      <c r="BJ347" s="463">
        <f t="shared" si="6"/>
        <v>340</v>
      </c>
      <c r="BZ347" s="467"/>
    </row>
    <row r="348" spans="8:78" ht="15.75" customHeight="1" x14ac:dyDescent="0.2">
      <c r="H348" s="464"/>
      <c r="I348" s="464"/>
      <c r="J348" s="464"/>
      <c r="K348" s="464"/>
      <c r="L348" s="464"/>
      <c r="M348" s="464"/>
      <c r="N348" s="464"/>
      <c r="O348" s="464"/>
      <c r="P348" s="464"/>
      <c r="Q348" s="464"/>
      <c r="R348" s="464"/>
      <c r="S348" s="464"/>
      <c r="T348" s="464"/>
      <c r="U348" s="464"/>
      <c r="V348" s="464"/>
      <c r="W348" s="464"/>
      <c r="X348" s="464"/>
      <c r="Y348" s="464"/>
      <c r="Z348" s="464"/>
      <c r="AA348" s="464"/>
      <c r="AB348" s="464"/>
      <c r="AC348" s="464"/>
      <c r="AD348" s="464"/>
      <c r="AE348" s="464"/>
      <c r="AF348" s="464"/>
      <c r="AG348" s="464"/>
      <c r="AH348" s="464"/>
      <c r="AI348" s="464"/>
      <c r="AJ348" s="464"/>
      <c r="AK348" s="464"/>
      <c r="AL348" s="464"/>
      <c r="AM348" s="464"/>
      <c r="AN348" s="464"/>
      <c r="AO348" s="464"/>
      <c r="AP348" s="464"/>
      <c r="AQ348" s="464"/>
      <c r="AR348" s="464"/>
      <c r="AS348" s="464"/>
      <c r="AT348" s="464"/>
      <c r="AU348" s="464"/>
      <c r="AV348" s="464"/>
      <c r="AW348" s="464"/>
      <c r="AX348" s="464"/>
      <c r="AY348" s="464"/>
      <c r="AZ348" s="464"/>
      <c r="BA348" s="464"/>
      <c r="BB348" s="464"/>
      <c r="BC348" s="464"/>
      <c r="BD348" s="464"/>
      <c r="BE348" s="464"/>
      <c r="BF348" s="464"/>
      <c r="BG348" s="464"/>
      <c r="BH348" s="464"/>
      <c r="BJ348" s="463">
        <f t="shared" si="6"/>
        <v>341</v>
      </c>
      <c r="BZ348" s="467"/>
    </row>
    <row r="349" spans="8:78" ht="15.75" customHeight="1" x14ac:dyDescent="0.2">
      <c r="H349" s="464"/>
      <c r="I349" s="464"/>
      <c r="J349" s="464"/>
      <c r="K349" s="464"/>
      <c r="L349" s="464"/>
      <c r="M349" s="464"/>
      <c r="N349" s="464"/>
      <c r="O349" s="464"/>
      <c r="P349" s="464"/>
      <c r="Q349" s="464"/>
      <c r="R349" s="464"/>
      <c r="S349" s="464"/>
      <c r="T349" s="464"/>
      <c r="U349" s="464"/>
      <c r="V349" s="464"/>
      <c r="W349" s="464"/>
      <c r="X349" s="464"/>
      <c r="Y349" s="464"/>
      <c r="Z349" s="464"/>
      <c r="AA349" s="464"/>
      <c r="AB349" s="464"/>
      <c r="AC349" s="464"/>
      <c r="AD349" s="464"/>
      <c r="AE349" s="464"/>
      <c r="AF349" s="464"/>
      <c r="AG349" s="464"/>
      <c r="AH349" s="464"/>
      <c r="AI349" s="464"/>
      <c r="AJ349" s="464"/>
      <c r="AK349" s="464"/>
      <c r="AL349" s="464"/>
      <c r="AM349" s="464"/>
      <c r="AN349" s="464"/>
      <c r="AO349" s="464"/>
      <c r="AP349" s="464"/>
      <c r="AQ349" s="464"/>
      <c r="AR349" s="464"/>
      <c r="AS349" s="464"/>
      <c r="AT349" s="464"/>
      <c r="AU349" s="464"/>
      <c r="AV349" s="464"/>
      <c r="AW349" s="464"/>
      <c r="AX349" s="464"/>
      <c r="AY349" s="464"/>
      <c r="AZ349" s="464"/>
      <c r="BA349" s="464"/>
      <c r="BB349" s="464"/>
      <c r="BC349" s="464"/>
      <c r="BD349" s="464"/>
      <c r="BE349" s="464"/>
      <c r="BF349" s="464"/>
      <c r="BG349" s="464"/>
      <c r="BH349" s="464"/>
      <c r="BJ349" s="463">
        <f t="shared" si="6"/>
        <v>342</v>
      </c>
      <c r="BZ349" s="467"/>
    </row>
    <row r="350" spans="8:78" ht="15.75" customHeight="1" x14ac:dyDescent="0.2">
      <c r="H350" s="464"/>
      <c r="I350" s="464"/>
      <c r="J350" s="464"/>
      <c r="K350" s="464"/>
      <c r="L350" s="464"/>
      <c r="M350" s="464"/>
      <c r="N350" s="464"/>
      <c r="O350" s="464"/>
      <c r="P350" s="464"/>
      <c r="Q350" s="464"/>
      <c r="R350" s="464"/>
      <c r="S350" s="464"/>
      <c r="T350" s="464"/>
      <c r="U350" s="464"/>
      <c r="V350" s="464"/>
      <c r="W350" s="464"/>
      <c r="X350" s="464"/>
      <c r="Y350" s="464"/>
      <c r="Z350" s="464"/>
      <c r="AA350" s="464"/>
      <c r="AB350" s="464"/>
      <c r="AC350" s="464"/>
      <c r="AD350" s="464"/>
      <c r="AE350" s="464"/>
      <c r="AF350" s="464"/>
      <c r="AG350" s="464"/>
      <c r="AH350" s="464"/>
      <c r="AI350" s="464"/>
      <c r="AJ350" s="464"/>
      <c r="AK350" s="464"/>
      <c r="AL350" s="464"/>
      <c r="AM350" s="464"/>
      <c r="AN350" s="464"/>
      <c r="AO350" s="464"/>
      <c r="AP350" s="464"/>
      <c r="AQ350" s="464"/>
      <c r="AR350" s="464"/>
      <c r="AS350" s="464"/>
      <c r="AT350" s="464"/>
      <c r="AU350" s="464"/>
      <c r="AV350" s="464"/>
      <c r="AW350" s="464"/>
      <c r="AX350" s="464"/>
      <c r="AY350" s="464"/>
      <c r="AZ350" s="464"/>
      <c r="BA350" s="464"/>
      <c r="BB350" s="464"/>
      <c r="BC350" s="464"/>
      <c r="BD350" s="464"/>
      <c r="BE350" s="464"/>
      <c r="BF350" s="464"/>
      <c r="BG350" s="464"/>
      <c r="BH350" s="464"/>
      <c r="BJ350" s="463">
        <f t="shared" si="6"/>
        <v>343</v>
      </c>
      <c r="BZ350" s="467"/>
    </row>
    <row r="351" spans="8:78" ht="15.75" customHeight="1" x14ac:dyDescent="0.2">
      <c r="H351" s="464"/>
      <c r="I351" s="464"/>
      <c r="J351" s="464"/>
      <c r="K351" s="464"/>
      <c r="L351" s="464"/>
      <c r="M351" s="464"/>
      <c r="N351" s="464"/>
      <c r="O351" s="464"/>
      <c r="P351" s="464"/>
      <c r="Q351" s="464"/>
      <c r="R351" s="464"/>
      <c r="S351" s="464"/>
      <c r="T351" s="464"/>
      <c r="U351" s="464"/>
      <c r="V351" s="464"/>
      <c r="W351" s="464"/>
      <c r="X351" s="464"/>
      <c r="Y351" s="464"/>
      <c r="Z351" s="464"/>
      <c r="AA351" s="464"/>
      <c r="AB351" s="464"/>
      <c r="AC351" s="464"/>
      <c r="AD351" s="464"/>
      <c r="AE351" s="464"/>
      <c r="AF351" s="464"/>
      <c r="AG351" s="464"/>
      <c r="AH351" s="464"/>
      <c r="AI351" s="464"/>
      <c r="AJ351" s="464"/>
      <c r="AK351" s="464"/>
      <c r="AL351" s="464"/>
      <c r="AM351" s="464"/>
      <c r="AN351" s="464"/>
      <c r="AO351" s="464"/>
      <c r="AP351" s="464"/>
      <c r="AQ351" s="464"/>
      <c r="AR351" s="464"/>
      <c r="AS351" s="464"/>
      <c r="AT351" s="464"/>
      <c r="AU351" s="464"/>
      <c r="AV351" s="464"/>
      <c r="AW351" s="464"/>
      <c r="AX351" s="464"/>
      <c r="AY351" s="464"/>
      <c r="AZ351" s="464"/>
      <c r="BA351" s="464"/>
      <c r="BB351" s="464"/>
      <c r="BC351" s="464"/>
      <c r="BD351" s="464"/>
      <c r="BE351" s="464"/>
      <c r="BF351" s="464"/>
      <c r="BG351" s="464"/>
      <c r="BH351" s="464"/>
      <c r="BJ351" s="463">
        <f t="shared" si="6"/>
        <v>344</v>
      </c>
      <c r="BZ351" s="467"/>
    </row>
    <row r="352" spans="8:78" ht="15.75" customHeight="1" x14ac:dyDescent="0.2">
      <c r="H352" s="464"/>
      <c r="I352" s="464"/>
      <c r="J352" s="464"/>
      <c r="K352" s="464"/>
      <c r="L352" s="464"/>
      <c r="M352" s="464"/>
      <c r="N352" s="464"/>
      <c r="O352" s="464"/>
      <c r="P352" s="464"/>
      <c r="Q352" s="464"/>
      <c r="R352" s="464"/>
      <c r="S352" s="464"/>
      <c r="T352" s="464"/>
      <c r="U352" s="464"/>
      <c r="V352" s="464"/>
      <c r="W352" s="464"/>
      <c r="X352" s="464"/>
      <c r="Y352" s="464"/>
      <c r="Z352" s="464"/>
      <c r="AA352" s="464"/>
      <c r="AB352" s="464"/>
      <c r="AC352" s="464"/>
      <c r="AD352" s="464"/>
      <c r="AE352" s="464"/>
      <c r="AF352" s="464"/>
      <c r="AG352" s="464"/>
      <c r="AH352" s="464"/>
      <c r="AI352" s="464"/>
      <c r="AJ352" s="464"/>
      <c r="AK352" s="464"/>
      <c r="AL352" s="464"/>
      <c r="AM352" s="464"/>
      <c r="AN352" s="464"/>
      <c r="AO352" s="464"/>
      <c r="AP352" s="464"/>
      <c r="AQ352" s="464"/>
      <c r="AR352" s="464"/>
      <c r="AS352" s="464"/>
      <c r="AT352" s="464"/>
      <c r="AU352" s="464"/>
      <c r="AV352" s="464"/>
      <c r="AW352" s="464"/>
      <c r="AX352" s="464"/>
      <c r="AY352" s="464"/>
      <c r="AZ352" s="464"/>
      <c r="BA352" s="464"/>
      <c r="BB352" s="464"/>
      <c r="BC352" s="464"/>
      <c r="BD352" s="464"/>
      <c r="BE352" s="464"/>
      <c r="BF352" s="464"/>
      <c r="BG352" s="464"/>
      <c r="BH352" s="464"/>
      <c r="BJ352" s="463">
        <f t="shared" si="6"/>
        <v>345</v>
      </c>
      <c r="BZ352" s="467"/>
    </row>
    <row r="353" spans="8:78" ht="15.75" customHeight="1" x14ac:dyDescent="0.2">
      <c r="H353" s="464"/>
      <c r="I353" s="464"/>
      <c r="J353" s="464"/>
      <c r="K353" s="464"/>
      <c r="L353" s="464"/>
      <c r="M353" s="464"/>
      <c r="N353" s="464"/>
      <c r="O353" s="464"/>
      <c r="P353" s="464"/>
      <c r="Q353" s="464"/>
      <c r="R353" s="464"/>
      <c r="S353" s="464"/>
      <c r="T353" s="464"/>
      <c r="U353" s="464"/>
      <c r="V353" s="464"/>
      <c r="W353" s="464"/>
      <c r="X353" s="464"/>
      <c r="Y353" s="464"/>
      <c r="Z353" s="464"/>
      <c r="AA353" s="464"/>
      <c r="AB353" s="464"/>
      <c r="AC353" s="464"/>
      <c r="AD353" s="464"/>
      <c r="AE353" s="464"/>
      <c r="AF353" s="464"/>
      <c r="AG353" s="464"/>
      <c r="AH353" s="464"/>
      <c r="AI353" s="464"/>
      <c r="AJ353" s="464"/>
      <c r="AK353" s="464"/>
      <c r="AL353" s="464"/>
      <c r="AM353" s="464"/>
      <c r="AN353" s="464"/>
      <c r="AO353" s="464"/>
      <c r="AP353" s="464"/>
      <c r="AQ353" s="464"/>
      <c r="AR353" s="464"/>
      <c r="AS353" s="464"/>
      <c r="AT353" s="464"/>
      <c r="AU353" s="464"/>
      <c r="AV353" s="464"/>
      <c r="AW353" s="464"/>
      <c r="AX353" s="464"/>
      <c r="AY353" s="464"/>
      <c r="AZ353" s="464"/>
      <c r="BA353" s="464"/>
      <c r="BB353" s="464"/>
      <c r="BC353" s="464"/>
      <c r="BD353" s="464"/>
      <c r="BE353" s="464"/>
      <c r="BF353" s="464"/>
      <c r="BG353" s="464"/>
      <c r="BH353" s="464"/>
      <c r="BJ353" s="463">
        <f t="shared" si="6"/>
        <v>346</v>
      </c>
      <c r="BZ353" s="467"/>
    </row>
    <row r="354" spans="8:78" ht="15.75" customHeight="1" x14ac:dyDescent="0.2">
      <c r="H354" s="464"/>
      <c r="I354" s="464"/>
      <c r="J354" s="464"/>
      <c r="K354" s="464"/>
      <c r="L354" s="464"/>
      <c r="M354" s="464"/>
      <c r="N354" s="464"/>
      <c r="O354" s="464"/>
      <c r="P354" s="464"/>
      <c r="Q354" s="464"/>
      <c r="R354" s="464"/>
      <c r="S354" s="464"/>
      <c r="T354" s="464"/>
      <c r="U354" s="464"/>
      <c r="V354" s="464"/>
      <c r="W354" s="464"/>
      <c r="X354" s="464"/>
      <c r="Y354" s="464"/>
      <c r="Z354" s="464"/>
      <c r="AA354" s="464"/>
      <c r="AB354" s="464"/>
      <c r="AC354" s="464"/>
      <c r="AD354" s="464"/>
      <c r="AE354" s="464"/>
      <c r="AF354" s="464"/>
      <c r="AG354" s="464"/>
      <c r="AH354" s="464"/>
      <c r="AI354" s="464"/>
      <c r="AJ354" s="464"/>
      <c r="AK354" s="464"/>
      <c r="AL354" s="464"/>
      <c r="AM354" s="464"/>
      <c r="AN354" s="464"/>
      <c r="AO354" s="464"/>
      <c r="AP354" s="464"/>
      <c r="AQ354" s="464"/>
      <c r="AR354" s="464"/>
      <c r="AS354" s="464"/>
      <c r="AT354" s="464"/>
      <c r="AU354" s="464"/>
      <c r="AV354" s="464"/>
      <c r="AW354" s="464"/>
      <c r="AX354" s="464"/>
      <c r="AY354" s="464"/>
      <c r="AZ354" s="464"/>
      <c r="BA354" s="464"/>
      <c r="BB354" s="464"/>
      <c r="BC354" s="464"/>
      <c r="BD354" s="464"/>
      <c r="BE354" s="464"/>
      <c r="BF354" s="464"/>
      <c r="BG354" s="464"/>
      <c r="BH354" s="464"/>
      <c r="BJ354" s="463">
        <f t="shared" si="6"/>
        <v>347</v>
      </c>
      <c r="BZ354" s="467"/>
    </row>
    <row r="355" spans="8:78" ht="15.75" customHeight="1" x14ac:dyDescent="0.2">
      <c r="H355" s="464"/>
      <c r="I355" s="464"/>
      <c r="J355" s="464"/>
      <c r="K355" s="464"/>
      <c r="L355" s="464"/>
      <c r="M355" s="464"/>
      <c r="N355" s="464"/>
      <c r="O355" s="464"/>
      <c r="P355" s="464"/>
      <c r="Q355" s="464"/>
      <c r="R355" s="464"/>
      <c r="S355" s="464"/>
      <c r="T355" s="464"/>
      <c r="U355" s="464"/>
      <c r="V355" s="464"/>
      <c r="W355" s="464"/>
      <c r="X355" s="464"/>
      <c r="Y355" s="464"/>
      <c r="Z355" s="464"/>
      <c r="AA355" s="464"/>
      <c r="AB355" s="464"/>
      <c r="AC355" s="464"/>
      <c r="AD355" s="464"/>
      <c r="AE355" s="464"/>
      <c r="AF355" s="464"/>
      <c r="AG355" s="464"/>
      <c r="AH355" s="464"/>
      <c r="AI355" s="464"/>
      <c r="AJ355" s="464"/>
      <c r="AK355" s="464"/>
      <c r="AL355" s="464"/>
      <c r="AM355" s="464"/>
      <c r="AN355" s="464"/>
      <c r="AO355" s="464"/>
      <c r="AP355" s="464"/>
      <c r="AQ355" s="464"/>
      <c r="AR355" s="464"/>
      <c r="AS355" s="464"/>
      <c r="AT355" s="464"/>
      <c r="AU355" s="464"/>
      <c r="AV355" s="464"/>
      <c r="AW355" s="464"/>
      <c r="AX355" s="464"/>
      <c r="AY355" s="464"/>
      <c r="AZ355" s="464"/>
      <c r="BA355" s="464"/>
      <c r="BB355" s="464"/>
      <c r="BC355" s="464"/>
      <c r="BD355" s="464"/>
      <c r="BE355" s="464"/>
      <c r="BF355" s="464"/>
      <c r="BG355" s="464"/>
      <c r="BH355" s="464"/>
      <c r="BJ355" s="463">
        <f t="shared" si="6"/>
        <v>348</v>
      </c>
      <c r="BZ355" s="467"/>
    </row>
    <row r="356" spans="8:78" ht="15.75" customHeight="1" x14ac:dyDescent="0.2">
      <c r="H356" s="464"/>
      <c r="I356" s="464"/>
      <c r="J356" s="464"/>
      <c r="K356" s="464"/>
      <c r="L356" s="464"/>
      <c r="M356" s="464"/>
      <c r="N356" s="464"/>
      <c r="O356" s="464"/>
      <c r="P356" s="464"/>
      <c r="Q356" s="464"/>
      <c r="R356" s="464"/>
      <c r="S356" s="464"/>
      <c r="T356" s="464"/>
      <c r="U356" s="464"/>
      <c r="V356" s="464"/>
      <c r="W356" s="464"/>
      <c r="X356" s="464"/>
      <c r="Y356" s="464"/>
      <c r="Z356" s="464"/>
      <c r="AA356" s="464"/>
      <c r="AB356" s="464"/>
      <c r="AC356" s="464"/>
      <c r="AD356" s="464"/>
      <c r="AE356" s="464"/>
      <c r="AF356" s="464"/>
      <c r="AG356" s="464"/>
      <c r="AH356" s="464"/>
      <c r="AI356" s="464"/>
      <c r="AJ356" s="464"/>
      <c r="AK356" s="464"/>
      <c r="AL356" s="464"/>
      <c r="AM356" s="464"/>
      <c r="AN356" s="464"/>
      <c r="AO356" s="464"/>
      <c r="AP356" s="464"/>
      <c r="AQ356" s="464"/>
      <c r="AR356" s="464"/>
      <c r="AS356" s="464"/>
      <c r="AT356" s="464"/>
      <c r="AU356" s="464"/>
      <c r="AV356" s="464"/>
      <c r="AW356" s="464"/>
      <c r="AX356" s="464"/>
      <c r="AY356" s="464"/>
      <c r="AZ356" s="464"/>
      <c r="BA356" s="464"/>
      <c r="BB356" s="464"/>
      <c r="BC356" s="464"/>
      <c r="BD356" s="464"/>
      <c r="BE356" s="464"/>
      <c r="BF356" s="464"/>
      <c r="BG356" s="464"/>
      <c r="BH356" s="464"/>
      <c r="BJ356" s="463">
        <f t="shared" si="6"/>
        <v>349</v>
      </c>
      <c r="BZ356" s="467"/>
    </row>
    <row r="357" spans="8:78" ht="15.75" customHeight="1" x14ac:dyDescent="0.2">
      <c r="H357" s="464"/>
      <c r="I357" s="464"/>
      <c r="J357" s="464"/>
      <c r="K357" s="464"/>
      <c r="L357" s="464"/>
      <c r="M357" s="464"/>
      <c r="N357" s="464"/>
      <c r="O357" s="464"/>
      <c r="P357" s="464"/>
      <c r="Q357" s="464"/>
      <c r="R357" s="464"/>
      <c r="S357" s="464"/>
      <c r="T357" s="464"/>
      <c r="U357" s="464"/>
      <c r="V357" s="464"/>
      <c r="W357" s="464"/>
      <c r="X357" s="464"/>
      <c r="Y357" s="464"/>
      <c r="Z357" s="464"/>
      <c r="AA357" s="464"/>
      <c r="AB357" s="464"/>
      <c r="AC357" s="464"/>
      <c r="AD357" s="464"/>
      <c r="AE357" s="464"/>
      <c r="AF357" s="464"/>
      <c r="AG357" s="464"/>
      <c r="AH357" s="464"/>
      <c r="AI357" s="464"/>
      <c r="AJ357" s="464"/>
      <c r="AK357" s="464"/>
      <c r="AL357" s="464"/>
      <c r="AM357" s="464"/>
      <c r="AN357" s="464"/>
      <c r="AO357" s="464"/>
      <c r="AP357" s="464"/>
      <c r="AQ357" s="464"/>
      <c r="AR357" s="464"/>
      <c r="AS357" s="464"/>
      <c r="AT357" s="464"/>
      <c r="AU357" s="464"/>
      <c r="AV357" s="464"/>
      <c r="AW357" s="464"/>
      <c r="AX357" s="464"/>
      <c r="AY357" s="464"/>
      <c r="AZ357" s="464"/>
      <c r="BA357" s="464"/>
      <c r="BB357" s="464"/>
      <c r="BC357" s="464"/>
      <c r="BD357" s="464"/>
      <c r="BE357" s="464"/>
      <c r="BF357" s="464"/>
      <c r="BG357" s="464"/>
      <c r="BH357" s="464"/>
      <c r="BJ357" s="463">
        <f t="shared" si="6"/>
        <v>350</v>
      </c>
      <c r="BZ357" s="467"/>
    </row>
    <row r="358" spans="8:78" ht="15.75" customHeight="1" x14ac:dyDescent="0.2">
      <c r="H358" s="464"/>
      <c r="I358" s="464"/>
      <c r="J358" s="464"/>
      <c r="K358" s="464"/>
      <c r="L358" s="464"/>
      <c r="M358" s="464"/>
      <c r="N358" s="464"/>
      <c r="O358" s="464"/>
      <c r="P358" s="464"/>
      <c r="Q358" s="464"/>
      <c r="R358" s="464"/>
      <c r="S358" s="464"/>
      <c r="T358" s="464"/>
      <c r="U358" s="464"/>
      <c r="V358" s="464"/>
      <c r="W358" s="464"/>
      <c r="X358" s="464"/>
      <c r="Y358" s="464"/>
      <c r="Z358" s="464"/>
      <c r="AA358" s="464"/>
      <c r="AB358" s="464"/>
      <c r="AC358" s="464"/>
      <c r="AD358" s="464"/>
      <c r="AE358" s="464"/>
      <c r="AF358" s="464"/>
      <c r="AG358" s="464"/>
      <c r="AH358" s="464"/>
      <c r="AI358" s="464"/>
      <c r="AJ358" s="464"/>
      <c r="AK358" s="464"/>
      <c r="AL358" s="464"/>
      <c r="AM358" s="464"/>
      <c r="AN358" s="464"/>
      <c r="AO358" s="464"/>
      <c r="AP358" s="464"/>
      <c r="AQ358" s="464"/>
      <c r="AR358" s="464"/>
      <c r="AS358" s="464"/>
      <c r="AT358" s="464"/>
      <c r="AU358" s="464"/>
      <c r="AV358" s="464"/>
      <c r="AW358" s="464"/>
      <c r="AX358" s="464"/>
      <c r="AY358" s="464"/>
      <c r="AZ358" s="464"/>
      <c r="BA358" s="464"/>
      <c r="BB358" s="464"/>
      <c r="BC358" s="464"/>
      <c r="BD358" s="464"/>
      <c r="BE358" s="464"/>
      <c r="BF358" s="464"/>
      <c r="BG358" s="464"/>
      <c r="BH358" s="464"/>
      <c r="BJ358" s="463">
        <f t="shared" si="6"/>
        <v>351</v>
      </c>
      <c r="BZ358" s="467"/>
    </row>
    <row r="359" spans="8:78" ht="15.75" customHeight="1" x14ac:dyDescent="0.2">
      <c r="H359" s="464"/>
      <c r="I359" s="464"/>
      <c r="J359" s="464"/>
      <c r="K359" s="464"/>
      <c r="L359" s="464"/>
      <c r="M359" s="464"/>
      <c r="N359" s="464"/>
      <c r="O359" s="464"/>
      <c r="P359" s="464"/>
      <c r="Q359" s="464"/>
      <c r="R359" s="464"/>
      <c r="S359" s="464"/>
      <c r="T359" s="464"/>
      <c r="U359" s="464"/>
      <c r="V359" s="464"/>
      <c r="W359" s="464"/>
      <c r="X359" s="464"/>
      <c r="Y359" s="464"/>
      <c r="Z359" s="464"/>
      <c r="AA359" s="464"/>
      <c r="AB359" s="464"/>
      <c r="AC359" s="464"/>
      <c r="AD359" s="464"/>
      <c r="AE359" s="464"/>
      <c r="AF359" s="464"/>
      <c r="AG359" s="464"/>
      <c r="AH359" s="464"/>
      <c r="AI359" s="464"/>
      <c r="AJ359" s="464"/>
      <c r="AK359" s="464"/>
      <c r="AL359" s="464"/>
      <c r="AM359" s="464"/>
      <c r="AN359" s="464"/>
      <c r="AO359" s="464"/>
      <c r="AP359" s="464"/>
      <c r="AQ359" s="464"/>
      <c r="AR359" s="464"/>
      <c r="AS359" s="464"/>
      <c r="AT359" s="464"/>
      <c r="AU359" s="464"/>
      <c r="AV359" s="464"/>
      <c r="AW359" s="464"/>
      <c r="AX359" s="464"/>
      <c r="AY359" s="464"/>
      <c r="AZ359" s="464"/>
      <c r="BA359" s="464"/>
      <c r="BB359" s="464"/>
      <c r="BC359" s="464"/>
      <c r="BD359" s="464"/>
      <c r="BE359" s="464"/>
      <c r="BF359" s="464"/>
      <c r="BG359" s="464"/>
      <c r="BH359" s="464"/>
      <c r="BJ359" s="463">
        <f t="shared" si="6"/>
        <v>352</v>
      </c>
      <c r="BZ359" s="467"/>
    </row>
    <row r="360" spans="8:78" ht="15.75" customHeight="1" x14ac:dyDescent="0.2">
      <c r="H360" s="464"/>
      <c r="I360" s="464"/>
      <c r="J360" s="464"/>
      <c r="K360" s="464"/>
      <c r="L360" s="464"/>
      <c r="M360" s="464"/>
      <c r="N360" s="464"/>
      <c r="O360" s="464"/>
      <c r="P360" s="464"/>
      <c r="Q360" s="464"/>
      <c r="R360" s="464"/>
      <c r="S360" s="464"/>
      <c r="T360" s="464"/>
      <c r="U360" s="464"/>
      <c r="V360" s="464"/>
      <c r="W360" s="464"/>
      <c r="X360" s="464"/>
      <c r="Y360" s="464"/>
      <c r="Z360" s="464"/>
      <c r="AA360" s="464"/>
      <c r="AB360" s="464"/>
      <c r="AC360" s="464"/>
      <c r="AD360" s="464"/>
      <c r="AE360" s="464"/>
      <c r="AF360" s="464"/>
      <c r="AG360" s="464"/>
      <c r="AH360" s="464"/>
      <c r="AI360" s="464"/>
      <c r="AJ360" s="464"/>
      <c r="AK360" s="464"/>
      <c r="AL360" s="464"/>
      <c r="AM360" s="464"/>
      <c r="AN360" s="464"/>
      <c r="AO360" s="464"/>
      <c r="AP360" s="464"/>
      <c r="AQ360" s="464"/>
      <c r="AR360" s="464"/>
      <c r="AS360" s="464"/>
      <c r="AT360" s="464"/>
      <c r="AU360" s="464"/>
      <c r="AV360" s="464"/>
      <c r="AW360" s="464"/>
      <c r="AX360" s="464"/>
      <c r="AY360" s="464"/>
      <c r="AZ360" s="464"/>
      <c r="BA360" s="464"/>
      <c r="BB360" s="464"/>
      <c r="BC360" s="464"/>
      <c r="BD360" s="464"/>
      <c r="BE360" s="464"/>
      <c r="BF360" s="464"/>
      <c r="BG360" s="464"/>
      <c r="BH360" s="464"/>
      <c r="BJ360" s="463">
        <f t="shared" si="6"/>
        <v>353</v>
      </c>
      <c r="BZ360" s="467"/>
    </row>
    <row r="361" spans="8:78" ht="15.75" customHeight="1" x14ac:dyDescent="0.2">
      <c r="H361" s="464"/>
      <c r="I361" s="464"/>
      <c r="J361" s="464"/>
      <c r="K361" s="464"/>
      <c r="L361" s="464"/>
      <c r="M361" s="464"/>
      <c r="N361" s="464"/>
      <c r="O361" s="464"/>
      <c r="P361" s="464"/>
      <c r="Q361" s="464"/>
      <c r="R361" s="464"/>
      <c r="S361" s="464"/>
      <c r="T361" s="464"/>
      <c r="U361" s="464"/>
      <c r="V361" s="464"/>
      <c r="W361" s="464"/>
      <c r="X361" s="464"/>
      <c r="Y361" s="464"/>
      <c r="Z361" s="464"/>
      <c r="AA361" s="464"/>
      <c r="AB361" s="464"/>
      <c r="AC361" s="464"/>
      <c r="AD361" s="464"/>
      <c r="AE361" s="464"/>
      <c r="AF361" s="464"/>
      <c r="AG361" s="464"/>
      <c r="AH361" s="464"/>
      <c r="AI361" s="464"/>
      <c r="AJ361" s="464"/>
      <c r="AK361" s="464"/>
      <c r="AL361" s="464"/>
      <c r="AM361" s="464"/>
      <c r="AN361" s="464"/>
      <c r="AO361" s="464"/>
      <c r="AP361" s="464"/>
      <c r="AQ361" s="464"/>
      <c r="AR361" s="464"/>
      <c r="AS361" s="464"/>
      <c r="AT361" s="464"/>
      <c r="AU361" s="464"/>
      <c r="AV361" s="464"/>
      <c r="AW361" s="464"/>
      <c r="AX361" s="464"/>
      <c r="AY361" s="464"/>
      <c r="AZ361" s="464"/>
      <c r="BA361" s="464"/>
      <c r="BB361" s="464"/>
      <c r="BC361" s="464"/>
      <c r="BD361" s="464"/>
      <c r="BE361" s="464"/>
      <c r="BF361" s="464"/>
      <c r="BG361" s="464"/>
      <c r="BH361" s="464"/>
      <c r="BJ361" s="463">
        <f t="shared" si="6"/>
        <v>354</v>
      </c>
      <c r="BZ361" s="467"/>
    </row>
    <row r="362" spans="8:78" ht="15.75" customHeight="1" x14ac:dyDescent="0.2">
      <c r="H362" s="464"/>
      <c r="I362" s="464"/>
      <c r="J362" s="464"/>
      <c r="K362" s="464"/>
      <c r="L362" s="464"/>
      <c r="M362" s="464"/>
      <c r="N362" s="464"/>
      <c r="O362" s="464"/>
      <c r="P362" s="464"/>
      <c r="Q362" s="464"/>
      <c r="R362" s="464"/>
      <c r="S362" s="464"/>
      <c r="T362" s="464"/>
      <c r="U362" s="464"/>
      <c r="V362" s="464"/>
      <c r="W362" s="464"/>
      <c r="X362" s="464"/>
      <c r="Y362" s="464"/>
      <c r="Z362" s="464"/>
      <c r="AA362" s="464"/>
      <c r="AB362" s="464"/>
      <c r="AC362" s="464"/>
      <c r="AD362" s="464"/>
      <c r="AE362" s="464"/>
      <c r="AF362" s="464"/>
      <c r="AG362" s="464"/>
      <c r="AH362" s="464"/>
      <c r="AI362" s="464"/>
      <c r="AJ362" s="464"/>
      <c r="AK362" s="464"/>
      <c r="AL362" s="464"/>
      <c r="AM362" s="464"/>
      <c r="AN362" s="464"/>
      <c r="AO362" s="464"/>
      <c r="AP362" s="464"/>
      <c r="AQ362" s="464"/>
      <c r="AR362" s="464"/>
      <c r="AS362" s="464"/>
      <c r="AT362" s="464"/>
      <c r="AU362" s="464"/>
      <c r="AV362" s="464"/>
      <c r="AW362" s="464"/>
      <c r="AX362" s="464"/>
      <c r="AY362" s="464"/>
      <c r="AZ362" s="464"/>
      <c r="BA362" s="464"/>
      <c r="BB362" s="464"/>
      <c r="BC362" s="464"/>
      <c r="BD362" s="464"/>
      <c r="BE362" s="464"/>
      <c r="BF362" s="464"/>
      <c r="BG362" s="464"/>
      <c r="BH362" s="464"/>
      <c r="BJ362" s="463">
        <f t="shared" si="6"/>
        <v>355</v>
      </c>
      <c r="BZ362" s="467"/>
    </row>
    <row r="363" spans="8:78" ht="15.75" customHeight="1" x14ac:dyDescent="0.2">
      <c r="H363" s="464"/>
      <c r="I363" s="464"/>
      <c r="J363" s="464"/>
      <c r="K363" s="464"/>
      <c r="L363" s="464"/>
      <c r="M363" s="464"/>
      <c r="N363" s="464"/>
      <c r="O363" s="464"/>
      <c r="P363" s="464"/>
      <c r="Q363" s="464"/>
      <c r="R363" s="464"/>
      <c r="S363" s="464"/>
      <c r="T363" s="464"/>
      <c r="U363" s="464"/>
      <c r="V363" s="464"/>
      <c r="W363" s="464"/>
      <c r="X363" s="464"/>
      <c r="Y363" s="464"/>
      <c r="Z363" s="464"/>
      <c r="AA363" s="464"/>
      <c r="AB363" s="464"/>
      <c r="AC363" s="464"/>
      <c r="AD363" s="464"/>
      <c r="AE363" s="464"/>
      <c r="AF363" s="464"/>
      <c r="AG363" s="464"/>
      <c r="AH363" s="464"/>
      <c r="AI363" s="464"/>
      <c r="AJ363" s="464"/>
      <c r="AK363" s="464"/>
      <c r="AL363" s="464"/>
      <c r="AM363" s="464"/>
      <c r="AN363" s="464"/>
      <c r="AO363" s="464"/>
      <c r="AP363" s="464"/>
      <c r="AQ363" s="464"/>
      <c r="AR363" s="464"/>
      <c r="AS363" s="464"/>
      <c r="AT363" s="464"/>
      <c r="AU363" s="464"/>
      <c r="AV363" s="464"/>
      <c r="AW363" s="464"/>
      <c r="AX363" s="464"/>
      <c r="AY363" s="464"/>
      <c r="AZ363" s="464"/>
      <c r="BA363" s="464"/>
      <c r="BB363" s="464"/>
      <c r="BC363" s="464"/>
      <c r="BD363" s="464"/>
      <c r="BE363" s="464"/>
      <c r="BF363" s="464"/>
      <c r="BG363" s="464"/>
      <c r="BH363" s="464"/>
      <c r="BJ363" s="463">
        <f t="shared" si="6"/>
        <v>356</v>
      </c>
      <c r="BZ363" s="467"/>
    </row>
    <row r="364" spans="8:78" ht="15.75" customHeight="1" x14ac:dyDescent="0.2">
      <c r="H364" s="464"/>
      <c r="I364" s="464"/>
      <c r="J364" s="464"/>
      <c r="K364" s="464"/>
      <c r="L364" s="464"/>
      <c r="M364" s="464"/>
      <c r="N364" s="464"/>
      <c r="O364" s="464"/>
      <c r="P364" s="464"/>
      <c r="Q364" s="464"/>
      <c r="R364" s="464"/>
      <c r="S364" s="464"/>
      <c r="T364" s="464"/>
      <c r="U364" s="464"/>
      <c r="V364" s="464"/>
      <c r="W364" s="464"/>
      <c r="X364" s="464"/>
      <c r="Y364" s="464"/>
      <c r="Z364" s="464"/>
      <c r="AA364" s="464"/>
      <c r="AB364" s="464"/>
      <c r="AC364" s="464"/>
      <c r="AD364" s="464"/>
      <c r="AE364" s="464"/>
      <c r="AF364" s="464"/>
      <c r="AG364" s="464"/>
      <c r="AH364" s="464"/>
      <c r="AI364" s="464"/>
      <c r="AJ364" s="464"/>
      <c r="AK364" s="464"/>
      <c r="AL364" s="464"/>
      <c r="AM364" s="464"/>
      <c r="AN364" s="464"/>
      <c r="AO364" s="464"/>
      <c r="AP364" s="464"/>
      <c r="AQ364" s="464"/>
      <c r="AR364" s="464"/>
      <c r="AS364" s="464"/>
      <c r="AT364" s="464"/>
      <c r="AU364" s="464"/>
      <c r="AV364" s="464"/>
      <c r="AW364" s="464"/>
      <c r="AX364" s="464"/>
      <c r="AY364" s="464"/>
      <c r="AZ364" s="464"/>
      <c r="BA364" s="464"/>
      <c r="BB364" s="464"/>
      <c r="BC364" s="464"/>
      <c r="BD364" s="464"/>
      <c r="BE364" s="464"/>
      <c r="BF364" s="464"/>
      <c r="BG364" s="464"/>
      <c r="BH364" s="464"/>
      <c r="BJ364" s="463">
        <f t="shared" si="6"/>
        <v>357</v>
      </c>
      <c r="BZ364" s="467"/>
    </row>
    <row r="365" spans="8:78" ht="15.75" customHeight="1" x14ac:dyDescent="0.2">
      <c r="H365" s="464"/>
      <c r="I365" s="464"/>
      <c r="J365" s="464"/>
      <c r="K365" s="464"/>
      <c r="L365" s="464"/>
      <c r="M365" s="464"/>
      <c r="N365" s="464"/>
      <c r="O365" s="464"/>
      <c r="P365" s="464"/>
      <c r="Q365" s="464"/>
      <c r="R365" s="464"/>
      <c r="S365" s="464"/>
      <c r="T365" s="464"/>
      <c r="U365" s="464"/>
      <c r="V365" s="464"/>
      <c r="W365" s="464"/>
      <c r="X365" s="464"/>
      <c r="Y365" s="464"/>
      <c r="Z365" s="464"/>
      <c r="AA365" s="464"/>
      <c r="AB365" s="464"/>
      <c r="AC365" s="464"/>
      <c r="AD365" s="464"/>
      <c r="AE365" s="464"/>
      <c r="AF365" s="464"/>
      <c r="AG365" s="464"/>
      <c r="AH365" s="464"/>
      <c r="AI365" s="464"/>
      <c r="AJ365" s="464"/>
      <c r="AK365" s="464"/>
      <c r="AL365" s="464"/>
      <c r="AM365" s="464"/>
      <c r="AN365" s="464"/>
      <c r="AO365" s="464"/>
      <c r="AP365" s="464"/>
      <c r="AQ365" s="464"/>
      <c r="AR365" s="464"/>
      <c r="AS365" s="464"/>
      <c r="AT365" s="464"/>
      <c r="AU365" s="464"/>
      <c r="AV365" s="464"/>
      <c r="AW365" s="464"/>
      <c r="AX365" s="464"/>
      <c r="AY365" s="464"/>
      <c r="AZ365" s="464"/>
      <c r="BA365" s="464"/>
      <c r="BB365" s="464"/>
      <c r="BC365" s="464"/>
      <c r="BD365" s="464"/>
      <c r="BE365" s="464"/>
      <c r="BF365" s="464"/>
      <c r="BG365" s="464"/>
      <c r="BH365" s="464"/>
      <c r="BJ365" s="463">
        <f t="shared" si="6"/>
        <v>358</v>
      </c>
      <c r="BZ365" s="467"/>
    </row>
    <row r="366" spans="8:78" ht="15.75" customHeight="1" x14ac:dyDescent="0.2">
      <c r="H366" s="464"/>
      <c r="I366" s="464"/>
      <c r="J366" s="464"/>
      <c r="K366" s="464"/>
      <c r="L366" s="464"/>
      <c r="M366" s="464"/>
      <c r="N366" s="464"/>
      <c r="O366" s="464"/>
      <c r="P366" s="464"/>
      <c r="Q366" s="464"/>
      <c r="R366" s="464"/>
      <c r="S366" s="464"/>
      <c r="T366" s="464"/>
      <c r="U366" s="464"/>
      <c r="V366" s="464"/>
      <c r="W366" s="464"/>
      <c r="X366" s="464"/>
      <c r="Y366" s="464"/>
      <c r="Z366" s="464"/>
      <c r="AA366" s="464"/>
      <c r="AB366" s="464"/>
      <c r="AC366" s="464"/>
      <c r="AD366" s="464"/>
      <c r="AE366" s="464"/>
      <c r="AF366" s="464"/>
      <c r="AG366" s="464"/>
      <c r="AH366" s="464"/>
      <c r="AI366" s="464"/>
      <c r="AJ366" s="464"/>
      <c r="AK366" s="464"/>
      <c r="AL366" s="464"/>
      <c r="AM366" s="464"/>
      <c r="AN366" s="464"/>
      <c r="AO366" s="464"/>
      <c r="AP366" s="464"/>
      <c r="AQ366" s="464"/>
      <c r="AR366" s="464"/>
      <c r="AS366" s="464"/>
      <c r="AT366" s="464"/>
      <c r="AU366" s="464"/>
      <c r="AV366" s="464"/>
      <c r="AW366" s="464"/>
      <c r="AX366" s="464"/>
      <c r="AY366" s="464"/>
      <c r="AZ366" s="464"/>
      <c r="BA366" s="464"/>
      <c r="BB366" s="464"/>
      <c r="BC366" s="464"/>
      <c r="BD366" s="464"/>
      <c r="BE366" s="464"/>
      <c r="BF366" s="464"/>
      <c r="BG366" s="464"/>
      <c r="BH366" s="464"/>
      <c r="BJ366" s="463">
        <f t="shared" si="6"/>
        <v>359</v>
      </c>
      <c r="BZ366" s="467"/>
    </row>
    <row r="367" spans="8:78" ht="15.75" customHeight="1" x14ac:dyDescent="0.2">
      <c r="H367" s="464"/>
      <c r="I367" s="464"/>
      <c r="J367" s="464"/>
      <c r="K367" s="464"/>
      <c r="L367" s="464"/>
      <c r="M367" s="464"/>
      <c r="N367" s="464"/>
      <c r="O367" s="464"/>
      <c r="P367" s="464"/>
      <c r="Q367" s="464"/>
      <c r="R367" s="464"/>
      <c r="S367" s="464"/>
      <c r="T367" s="464"/>
      <c r="U367" s="464"/>
      <c r="V367" s="464"/>
      <c r="W367" s="464"/>
      <c r="X367" s="464"/>
      <c r="Y367" s="464"/>
      <c r="Z367" s="464"/>
      <c r="AA367" s="464"/>
      <c r="AB367" s="464"/>
      <c r="AC367" s="464"/>
      <c r="AD367" s="464"/>
      <c r="AE367" s="464"/>
      <c r="AF367" s="464"/>
      <c r="AG367" s="464"/>
      <c r="AH367" s="464"/>
      <c r="AI367" s="464"/>
      <c r="AJ367" s="464"/>
      <c r="AK367" s="464"/>
      <c r="AL367" s="464"/>
      <c r="AM367" s="464"/>
      <c r="AN367" s="464"/>
      <c r="AO367" s="464"/>
      <c r="AP367" s="464"/>
      <c r="AQ367" s="464"/>
      <c r="AR367" s="464"/>
      <c r="AS367" s="464"/>
      <c r="AT367" s="464"/>
      <c r="AU367" s="464"/>
      <c r="AV367" s="464"/>
      <c r="AW367" s="464"/>
      <c r="AX367" s="464"/>
      <c r="AY367" s="464"/>
      <c r="AZ367" s="464"/>
      <c r="BA367" s="464"/>
      <c r="BB367" s="464"/>
      <c r="BC367" s="464"/>
      <c r="BD367" s="464"/>
      <c r="BE367" s="464"/>
      <c r="BF367" s="464"/>
      <c r="BG367" s="464"/>
      <c r="BH367" s="464"/>
      <c r="BJ367" s="463">
        <f t="shared" si="6"/>
        <v>360</v>
      </c>
      <c r="BZ367" s="467"/>
    </row>
    <row r="368" spans="8:78" ht="15.75" customHeight="1" x14ac:dyDescent="0.2">
      <c r="H368" s="464"/>
      <c r="I368" s="464"/>
      <c r="J368" s="464"/>
      <c r="K368" s="464"/>
      <c r="L368" s="464"/>
      <c r="M368" s="464"/>
      <c r="N368" s="464"/>
      <c r="O368" s="464"/>
      <c r="P368" s="464"/>
      <c r="Q368" s="464"/>
      <c r="R368" s="464"/>
      <c r="S368" s="464"/>
      <c r="T368" s="464"/>
      <c r="U368" s="464"/>
      <c r="V368" s="464"/>
      <c r="W368" s="464"/>
      <c r="X368" s="464"/>
      <c r="Y368" s="464"/>
      <c r="Z368" s="464"/>
      <c r="AA368" s="464"/>
      <c r="AB368" s="464"/>
      <c r="AC368" s="464"/>
      <c r="AD368" s="464"/>
      <c r="AE368" s="464"/>
      <c r="AF368" s="464"/>
      <c r="AG368" s="464"/>
      <c r="AH368" s="464"/>
      <c r="AI368" s="464"/>
      <c r="AJ368" s="464"/>
      <c r="AK368" s="464"/>
      <c r="AL368" s="464"/>
      <c r="AM368" s="464"/>
      <c r="AN368" s="464"/>
      <c r="AO368" s="464"/>
      <c r="AP368" s="464"/>
      <c r="AQ368" s="464"/>
      <c r="AR368" s="464"/>
      <c r="AS368" s="464"/>
      <c r="AT368" s="464"/>
      <c r="AU368" s="464"/>
      <c r="AV368" s="464"/>
      <c r="AW368" s="464"/>
      <c r="AX368" s="464"/>
      <c r="AY368" s="464"/>
      <c r="AZ368" s="464"/>
      <c r="BA368" s="464"/>
      <c r="BB368" s="464"/>
      <c r="BC368" s="464"/>
      <c r="BD368" s="464"/>
      <c r="BE368" s="464"/>
      <c r="BF368" s="464"/>
      <c r="BG368" s="464"/>
      <c r="BH368" s="464"/>
      <c r="BJ368" s="463">
        <f t="shared" si="6"/>
        <v>361</v>
      </c>
      <c r="BZ368" s="467"/>
    </row>
    <row r="369" spans="8:78" ht="15.75" customHeight="1" x14ac:dyDescent="0.2">
      <c r="H369" s="464"/>
      <c r="I369" s="464"/>
      <c r="J369" s="464"/>
      <c r="K369" s="464"/>
      <c r="L369" s="464"/>
      <c r="M369" s="464"/>
      <c r="N369" s="464"/>
      <c r="O369" s="464"/>
      <c r="P369" s="464"/>
      <c r="Q369" s="464"/>
      <c r="R369" s="464"/>
      <c r="S369" s="464"/>
      <c r="T369" s="464"/>
      <c r="U369" s="464"/>
      <c r="V369" s="464"/>
      <c r="W369" s="464"/>
      <c r="X369" s="464"/>
      <c r="Y369" s="464"/>
      <c r="Z369" s="464"/>
      <c r="AA369" s="464"/>
      <c r="AB369" s="464"/>
      <c r="AC369" s="464"/>
      <c r="AD369" s="464"/>
      <c r="AE369" s="464"/>
      <c r="AF369" s="464"/>
      <c r="AG369" s="464"/>
      <c r="AH369" s="464"/>
      <c r="AI369" s="464"/>
      <c r="AJ369" s="464"/>
      <c r="AK369" s="464"/>
      <c r="AL369" s="464"/>
      <c r="AM369" s="464"/>
      <c r="AN369" s="464"/>
      <c r="AO369" s="464"/>
      <c r="AP369" s="464"/>
      <c r="AQ369" s="464"/>
      <c r="AR369" s="464"/>
      <c r="AS369" s="464"/>
      <c r="AT369" s="464"/>
      <c r="AU369" s="464"/>
      <c r="AV369" s="464"/>
      <c r="AW369" s="464"/>
      <c r="AX369" s="464"/>
      <c r="AY369" s="464"/>
      <c r="AZ369" s="464"/>
      <c r="BA369" s="464"/>
      <c r="BB369" s="464"/>
      <c r="BC369" s="464"/>
      <c r="BD369" s="464"/>
      <c r="BE369" s="464"/>
      <c r="BF369" s="464"/>
      <c r="BG369" s="464"/>
      <c r="BH369" s="464"/>
      <c r="BJ369" s="463">
        <f t="shared" si="6"/>
        <v>362</v>
      </c>
      <c r="BZ369" s="467"/>
    </row>
    <row r="370" spans="8:78" ht="15.75" customHeight="1" x14ac:dyDescent="0.2">
      <c r="H370" s="464"/>
      <c r="I370" s="464"/>
      <c r="J370" s="464"/>
      <c r="K370" s="464"/>
      <c r="L370" s="464"/>
      <c r="M370" s="464"/>
      <c r="N370" s="464"/>
      <c r="O370" s="464"/>
      <c r="P370" s="464"/>
      <c r="Q370" s="464"/>
      <c r="R370" s="464"/>
      <c r="S370" s="464"/>
      <c r="T370" s="464"/>
      <c r="U370" s="464"/>
      <c r="V370" s="464"/>
      <c r="W370" s="464"/>
      <c r="X370" s="464"/>
      <c r="Y370" s="464"/>
      <c r="Z370" s="464"/>
      <c r="AA370" s="464"/>
      <c r="AB370" s="464"/>
      <c r="AC370" s="464"/>
      <c r="AD370" s="464"/>
      <c r="AE370" s="464"/>
      <c r="AF370" s="464"/>
      <c r="AG370" s="464"/>
      <c r="AH370" s="464"/>
      <c r="AI370" s="464"/>
      <c r="AJ370" s="464"/>
      <c r="AK370" s="464"/>
      <c r="AL370" s="464"/>
      <c r="AM370" s="464"/>
      <c r="AN370" s="464"/>
      <c r="AO370" s="464"/>
      <c r="AP370" s="464"/>
      <c r="AQ370" s="464"/>
      <c r="AR370" s="464"/>
      <c r="AS370" s="464"/>
      <c r="AT370" s="464"/>
      <c r="AU370" s="464"/>
      <c r="AV370" s="464"/>
      <c r="AW370" s="464"/>
      <c r="AX370" s="464"/>
      <c r="AY370" s="464"/>
      <c r="AZ370" s="464"/>
      <c r="BA370" s="464"/>
      <c r="BB370" s="464"/>
      <c r="BC370" s="464"/>
      <c r="BD370" s="464"/>
      <c r="BE370" s="464"/>
      <c r="BF370" s="464"/>
      <c r="BG370" s="464"/>
      <c r="BH370" s="464"/>
      <c r="BJ370" s="463">
        <f t="shared" si="6"/>
        <v>363</v>
      </c>
      <c r="BZ370" s="467"/>
    </row>
    <row r="371" spans="8:78" ht="15.75" customHeight="1" x14ac:dyDescent="0.2">
      <c r="H371" s="464"/>
      <c r="I371" s="464"/>
      <c r="J371" s="464"/>
      <c r="K371" s="464"/>
      <c r="L371" s="464"/>
      <c r="M371" s="464"/>
      <c r="N371" s="464"/>
      <c r="O371" s="464"/>
      <c r="P371" s="464"/>
      <c r="Q371" s="464"/>
      <c r="R371" s="464"/>
      <c r="S371" s="464"/>
      <c r="T371" s="464"/>
      <c r="U371" s="464"/>
      <c r="V371" s="464"/>
      <c r="W371" s="464"/>
      <c r="X371" s="464"/>
      <c r="Y371" s="464"/>
      <c r="Z371" s="464"/>
      <c r="AA371" s="464"/>
      <c r="AB371" s="464"/>
      <c r="AC371" s="464"/>
      <c r="AD371" s="464"/>
      <c r="AE371" s="464"/>
      <c r="AF371" s="464"/>
      <c r="AG371" s="464"/>
      <c r="AH371" s="464"/>
      <c r="AI371" s="464"/>
      <c r="AJ371" s="464"/>
      <c r="AK371" s="464"/>
      <c r="AL371" s="464"/>
      <c r="AM371" s="464"/>
      <c r="AN371" s="464"/>
      <c r="AO371" s="464"/>
      <c r="AP371" s="464"/>
      <c r="AQ371" s="464"/>
      <c r="AR371" s="464"/>
      <c r="AS371" s="464"/>
      <c r="AT371" s="464"/>
      <c r="AU371" s="464"/>
      <c r="AV371" s="464"/>
      <c r="AW371" s="464"/>
      <c r="AX371" s="464"/>
      <c r="AY371" s="464"/>
      <c r="AZ371" s="464"/>
      <c r="BA371" s="464"/>
      <c r="BB371" s="464"/>
      <c r="BC371" s="464"/>
      <c r="BD371" s="464"/>
      <c r="BE371" s="464"/>
      <c r="BF371" s="464"/>
      <c r="BG371" s="464"/>
      <c r="BH371" s="464"/>
      <c r="BJ371" s="463">
        <f t="shared" si="6"/>
        <v>364</v>
      </c>
      <c r="BZ371" s="467"/>
    </row>
    <row r="372" spans="8:78" ht="15.75" customHeight="1" x14ac:dyDescent="0.2">
      <c r="H372" s="464"/>
      <c r="I372" s="464"/>
      <c r="J372" s="464"/>
      <c r="K372" s="464"/>
      <c r="L372" s="464"/>
      <c r="M372" s="464"/>
      <c r="N372" s="464"/>
      <c r="O372" s="464"/>
      <c r="P372" s="464"/>
      <c r="Q372" s="464"/>
      <c r="R372" s="464"/>
      <c r="S372" s="464"/>
      <c r="T372" s="464"/>
      <c r="U372" s="464"/>
      <c r="V372" s="464"/>
      <c r="W372" s="464"/>
      <c r="X372" s="464"/>
      <c r="Y372" s="464"/>
      <c r="Z372" s="464"/>
      <c r="AA372" s="464"/>
      <c r="AB372" s="464"/>
      <c r="AC372" s="464"/>
      <c r="AD372" s="464"/>
      <c r="AE372" s="464"/>
      <c r="AF372" s="464"/>
      <c r="AG372" s="464"/>
      <c r="AH372" s="464"/>
      <c r="AI372" s="464"/>
      <c r="AJ372" s="464"/>
      <c r="AK372" s="464"/>
      <c r="AL372" s="464"/>
      <c r="AM372" s="464"/>
      <c r="AN372" s="464"/>
      <c r="AO372" s="464"/>
      <c r="AP372" s="464"/>
      <c r="AQ372" s="464"/>
      <c r="AR372" s="464"/>
      <c r="AS372" s="464"/>
      <c r="AT372" s="464"/>
      <c r="AU372" s="464"/>
      <c r="AV372" s="464"/>
      <c r="AW372" s="464"/>
      <c r="AX372" s="464"/>
      <c r="AY372" s="464"/>
      <c r="AZ372" s="464"/>
      <c r="BA372" s="464"/>
      <c r="BB372" s="464"/>
      <c r="BC372" s="464"/>
      <c r="BD372" s="464"/>
      <c r="BE372" s="464"/>
      <c r="BF372" s="464"/>
      <c r="BG372" s="464"/>
      <c r="BH372" s="464"/>
      <c r="BJ372" s="463">
        <f t="shared" si="6"/>
        <v>365</v>
      </c>
      <c r="BZ372" s="467"/>
    </row>
    <row r="373" spans="8:78" ht="15.75" customHeight="1" x14ac:dyDescent="0.2">
      <c r="H373" s="464"/>
      <c r="I373" s="464"/>
      <c r="J373" s="464"/>
      <c r="K373" s="464"/>
      <c r="L373" s="464"/>
      <c r="M373" s="464"/>
      <c r="N373" s="464"/>
      <c r="O373" s="464"/>
      <c r="P373" s="464"/>
      <c r="Q373" s="464"/>
      <c r="R373" s="464"/>
      <c r="S373" s="464"/>
      <c r="T373" s="464"/>
      <c r="U373" s="464"/>
      <c r="V373" s="464"/>
      <c r="W373" s="464"/>
      <c r="X373" s="464"/>
      <c r="Y373" s="464"/>
      <c r="Z373" s="464"/>
      <c r="AA373" s="464"/>
      <c r="AB373" s="464"/>
      <c r="AC373" s="464"/>
      <c r="AD373" s="464"/>
      <c r="AE373" s="464"/>
      <c r="AF373" s="464"/>
      <c r="AG373" s="464"/>
      <c r="AH373" s="464"/>
      <c r="AI373" s="464"/>
      <c r="AJ373" s="464"/>
      <c r="AK373" s="464"/>
      <c r="AL373" s="464"/>
      <c r="AM373" s="464"/>
      <c r="AN373" s="464"/>
      <c r="AO373" s="464"/>
      <c r="AP373" s="464"/>
      <c r="AQ373" s="464"/>
      <c r="AR373" s="464"/>
      <c r="AS373" s="464"/>
      <c r="AT373" s="464"/>
      <c r="AU373" s="464"/>
      <c r="AV373" s="464"/>
      <c r="AW373" s="464"/>
      <c r="AX373" s="464"/>
      <c r="AY373" s="464"/>
      <c r="AZ373" s="464"/>
      <c r="BA373" s="464"/>
      <c r="BB373" s="464"/>
      <c r="BC373" s="464"/>
      <c r="BD373" s="464"/>
      <c r="BE373" s="464"/>
      <c r="BF373" s="464"/>
      <c r="BG373" s="464"/>
      <c r="BH373" s="464"/>
      <c r="BJ373" s="463">
        <f t="shared" si="6"/>
        <v>366</v>
      </c>
      <c r="BZ373" s="467"/>
    </row>
    <row r="374" spans="8:78" ht="15.75" customHeight="1" x14ac:dyDescent="0.2">
      <c r="H374" s="464"/>
      <c r="I374" s="464"/>
      <c r="J374" s="464"/>
      <c r="K374" s="464"/>
      <c r="L374" s="464"/>
      <c r="M374" s="464"/>
      <c r="N374" s="464"/>
      <c r="O374" s="464"/>
      <c r="P374" s="464"/>
      <c r="Q374" s="464"/>
      <c r="R374" s="464"/>
      <c r="S374" s="464"/>
      <c r="T374" s="464"/>
      <c r="U374" s="464"/>
      <c r="V374" s="464"/>
      <c r="W374" s="464"/>
      <c r="X374" s="464"/>
      <c r="Y374" s="464"/>
      <c r="Z374" s="464"/>
      <c r="AA374" s="464"/>
      <c r="AB374" s="464"/>
      <c r="AC374" s="464"/>
      <c r="AD374" s="464"/>
      <c r="AE374" s="464"/>
      <c r="AF374" s="464"/>
      <c r="AG374" s="464"/>
      <c r="AH374" s="464"/>
      <c r="AI374" s="464"/>
      <c r="AJ374" s="464"/>
      <c r="AK374" s="464"/>
      <c r="AL374" s="464"/>
      <c r="AM374" s="464"/>
      <c r="AN374" s="464"/>
      <c r="AO374" s="464"/>
      <c r="AP374" s="464"/>
      <c r="AQ374" s="464"/>
      <c r="AR374" s="464"/>
      <c r="AS374" s="464"/>
      <c r="AT374" s="464"/>
      <c r="AU374" s="464"/>
      <c r="AV374" s="464"/>
      <c r="AW374" s="464"/>
      <c r="AX374" s="464"/>
      <c r="AY374" s="464"/>
      <c r="AZ374" s="464"/>
      <c r="BA374" s="464"/>
      <c r="BB374" s="464"/>
      <c r="BC374" s="464"/>
      <c r="BD374" s="464"/>
      <c r="BE374" s="464"/>
      <c r="BF374" s="464"/>
      <c r="BG374" s="464"/>
      <c r="BH374" s="464"/>
      <c r="BJ374" s="463">
        <f t="shared" si="6"/>
        <v>367</v>
      </c>
      <c r="BZ374" s="467"/>
    </row>
    <row r="375" spans="8:78" ht="15.75" customHeight="1" x14ac:dyDescent="0.2">
      <c r="H375" s="464"/>
      <c r="I375" s="464"/>
      <c r="J375" s="464"/>
      <c r="K375" s="464"/>
      <c r="L375" s="464"/>
      <c r="M375" s="464"/>
      <c r="N375" s="464"/>
      <c r="O375" s="464"/>
      <c r="P375" s="464"/>
      <c r="Q375" s="464"/>
      <c r="R375" s="464"/>
      <c r="S375" s="464"/>
      <c r="T375" s="464"/>
      <c r="U375" s="464"/>
      <c r="V375" s="464"/>
      <c r="W375" s="464"/>
      <c r="X375" s="464"/>
      <c r="Y375" s="464"/>
      <c r="Z375" s="464"/>
      <c r="AA375" s="464"/>
      <c r="AB375" s="464"/>
      <c r="AC375" s="464"/>
      <c r="AD375" s="464"/>
      <c r="AE375" s="464"/>
      <c r="AF375" s="464"/>
      <c r="AG375" s="464"/>
      <c r="AH375" s="464"/>
      <c r="AI375" s="464"/>
      <c r="AJ375" s="464"/>
      <c r="AK375" s="464"/>
      <c r="AL375" s="464"/>
      <c r="AM375" s="464"/>
      <c r="AN375" s="464"/>
      <c r="AO375" s="464"/>
      <c r="AP375" s="464"/>
      <c r="AQ375" s="464"/>
      <c r="AR375" s="464"/>
      <c r="AS375" s="464"/>
      <c r="AT375" s="464"/>
      <c r="AU375" s="464"/>
      <c r="AV375" s="464"/>
      <c r="AW375" s="464"/>
      <c r="AX375" s="464"/>
      <c r="AY375" s="464"/>
      <c r="AZ375" s="464"/>
      <c r="BA375" s="464"/>
      <c r="BB375" s="464"/>
      <c r="BC375" s="464"/>
      <c r="BD375" s="464"/>
      <c r="BE375" s="464"/>
      <c r="BF375" s="464"/>
      <c r="BG375" s="464"/>
      <c r="BH375" s="464"/>
      <c r="BJ375" s="463">
        <f t="shared" si="6"/>
        <v>368</v>
      </c>
      <c r="BZ375" s="467"/>
    </row>
    <row r="376" spans="8:78" ht="15.75" customHeight="1" x14ac:dyDescent="0.2">
      <c r="H376" s="464"/>
      <c r="I376" s="464"/>
      <c r="J376" s="464"/>
      <c r="K376" s="464"/>
      <c r="L376" s="464"/>
      <c r="M376" s="464"/>
      <c r="N376" s="464"/>
      <c r="O376" s="464"/>
      <c r="P376" s="464"/>
      <c r="Q376" s="464"/>
      <c r="R376" s="464"/>
      <c r="S376" s="464"/>
      <c r="T376" s="464"/>
      <c r="U376" s="464"/>
      <c r="V376" s="464"/>
      <c r="W376" s="464"/>
      <c r="X376" s="464"/>
      <c r="Y376" s="464"/>
      <c r="Z376" s="464"/>
      <c r="AA376" s="464"/>
      <c r="AB376" s="464"/>
      <c r="AC376" s="464"/>
      <c r="AD376" s="464"/>
      <c r="AE376" s="464"/>
      <c r="AF376" s="464"/>
      <c r="AG376" s="464"/>
      <c r="AH376" s="464"/>
      <c r="AI376" s="464"/>
      <c r="AJ376" s="464"/>
      <c r="AK376" s="464"/>
      <c r="AL376" s="464"/>
      <c r="AM376" s="464"/>
      <c r="AN376" s="464"/>
      <c r="AO376" s="464"/>
      <c r="AP376" s="464"/>
      <c r="AQ376" s="464"/>
      <c r="AR376" s="464"/>
      <c r="AS376" s="464"/>
      <c r="AT376" s="464"/>
      <c r="AU376" s="464"/>
      <c r="AV376" s="464"/>
      <c r="AW376" s="464"/>
      <c r="AX376" s="464"/>
      <c r="AY376" s="464"/>
      <c r="AZ376" s="464"/>
      <c r="BA376" s="464"/>
      <c r="BB376" s="464"/>
      <c r="BC376" s="464"/>
      <c r="BD376" s="464"/>
      <c r="BE376" s="464"/>
      <c r="BF376" s="464"/>
      <c r="BG376" s="464"/>
      <c r="BH376" s="464"/>
      <c r="BJ376" s="463">
        <f t="shared" si="6"/>
        <v>369</v>
      </c>
      <c r="BZ376" s="467"/>
    </row>
    <row r="377" spans="8:78" ht="15.75" customHeight="1" x14ac:dyDescent="0.2">
      <c r="H377" s="464"/>
      <c r="I377" s="464"/>
      <c r="J377" s="464"/>
      <c r="K377" s="464"/>
      <c r="L377" s="464"/>
      <c r="M377" s="464"/>
      <c r="N377" s="464"/>
      <c r="O377" s="464"/>
      <c r="P377" s="464"/>
      <c r="Q377" s="464"/>
      <c r="R377" s="464"/>
      <c r="S377" s="464"/>
      <c r="T377" s="464"/>
      <c r="U377" s="464"/>
      <c r="V377" s="464"/>
      <c r="W377" s="464"/>
      <c r="X377" s="464"/>
      <c r="Y377" s="464"/>
      <c r="Z377" s="464"/>
      <c r="AA377" s="464"/>
      <c r="AB377" s="464"/>
      <c r="AC377" s="464"/>
      <c r="AD377" s="464"/>
      <c r="AE377" s="464"/>
      <c r="AF377" s="464"/>
      <c r="AG377" s="464"/>
      <c r="AH377" s="464"/>
      <c r="AI377" s="464"/>
      <c r="AJ377" s="464"/>
      <c r="AK377" s="464"/>
      <c r="AL377" s="464"/>
      <c r="AM377" s="464"/>
      <c r="AN377" s="464"/>
      <c r="AO377" s="464"/>
      <c r="AP377" s="464"/>
      <c r="AQ377" s="464"/>
      <c r="AR377" s="464"/>
      <c r="AS377" s="464"/>
      <c r="AT377" s="464"/>
      <c r="AU377" s="464"/>
      <c r="AV377" s="464"/>
      <c r="AW377" s="464"/>
      <c r="AX377" s="464"/>
      <c r="AY377" s="464"/>
      <c r="AZ377" s="464"/>
      <c r="BA377" s="464"/>
      <c r="BB377" s="464"/>
      <c r="BC377" s="464"/>
      <c r="BD377" s="464"/>
      <c r="BE377" s="464"/>
      <c r="BF377" s="464"/>
      <c r="BG377" s="464"/>
      <c r="BH377" s="464"/>
      <c r="BJ377" s="463">
        <f t="shared" si="6"/>
        <v>370</v>
      </c>
      <c r="BZ377" s="467"/>
    </row>
    <row r="378" spans="8:78" ht="15.75" customHeight="1" x14ac:dyDescent="0.2">
      <c r="H378" s="464"/>
      <c r="I378" s="464"/>
      <c r="J378" s="464"/>
      <c r="K378" s="464"/>
      <c r="L378" s="464"/>
      <c r="M378" s="464"/>
      <c r="N378" s="464"/>
      <c r="O378" s="464"/>
      <c r="P378" s="464"/>
      <c r="Q378" s="464"/>
      <c r="R378" s="464"/>
      <c r="S378" s="464"/>
      <c r="T378" s="464"/>
      <c r="U378" s="464"/>
      <c r="V378" s="464"/>
      <c r="W378" s="464"/>
      <c r="X378" s="464"/>
      <c r="Y378" s="464"/>
      <c r="Z378" s="464"/>
      <c r="AA378" s="464"/>
      <c r="AB378" s="464"/>
      <c r="AC378" s="464"/>
      <c r="AD378" s="464"/>
      <c r="AE378" s="464"/>
      <c r="AF378" s="464"/>
      <c r="AG378" s="464"/>
      <c r="AH378" s="464"/>
      <c r="AI378" s="464"/>
      <c r="AJ378" s="464"/>
      <c r="AK378" s="464"/>
      <c r="AL378" s="464"/>
      <c r="AM378" s="464"/>
      <c r="AN378" s="464"/>
      <c r="AO378" s="464"/>
      <c r="AP378" s="464"/>
      <c r="AQ378" s="464"/>
      <c r="AR378" s="464"/>
      <c r="AS378" s="464"/>
      <c r="AT378" s="464"/>
      <c r="AU378" s="464"/>
      <c r="AV378" s="464"/>
      <c r="AW378" s="464"/>
      <c r="AX378" s="464"/>
      <c r="AY378" s="464"/>
      <c r="AZ378" s="464"/>
      <c r="BA378" s="464"/>
      <c r="BB378" s="464"/>
      <c r="BC378" s="464"/>
      <c r="BD378" s="464"/>
      <c r="BE378" s="464"/>
      <c r="BF378" s="464"/>
      <c r="BG378" s="464"/>
      <c r="BH378" s="464"/>
      <c r="BJ378" s="463">
        <f t="shared" si="6"/>
        <v>371</v>
      </c>
      <c r="BZ378" s="467"/>
    </row>
    <row r="379" spans="8:78" ht="15.75" customHeight="1" x14ac:dyDescent="0.2">
      <c r="H379" s="464"/>
      <c r="I379" s="464"/>
      <c r="J379" s="464"/>
      <c r="K379" s="464"/>
      <c r="L379" s="464"/>
      <c r="M379" s="464"/>
      <c r="N379" s="464"/>
      <c r="O379" s="464"/>
      <c r="P379" s="464"/>
      <c r="Q379" s="464"/>
      <c r="R379" s="464"/>
      <c r="S379" s="464"/>
      <c r="T379" s="464"/>
      <c r="U379" s="464"/>
      <c r="V379" s="464"/>
      <c r="W379" s="464"/>
      <c r="X379" s="464"/>
      <c r="Y379" s="464"/>
      <c r="Z379" s="464"/>
      <c r="AA379" s="464"/>
      <c r="AB379" s="464"/>
      <c r="AC379" s="464"/>
      <c r="AD379" s="464"/>
      <c r="AE379" s="464"/>
      <c r="AF379" s="464"/>
      <c r="AG379" s="464"/>
      <c r="AH379" s="464"/>
      <c r="AI379" s="464"/>
      <c r="AJ379" s="464"/>
      <c r="AK379" s="464"/>
      <c r="AL379" s="464"/>
      <c r="AM379" s="464"/>
      <c r="AN379" s="464"/>
      <c r="AO379" s="464"/>
      <c r="AP379" s="464"/>
      <c r="AQ379" s="464"/>
      <c r="AR379" s="464"/>
      <c r="AS379" s="464"/>
      <c r="AT379" s="464"/>
      <c r="AU379" s="464"/>
      <c r="AV379" s="464"/>
      <c r="AW379" s="464"/>
      <c r="AX379" s="464"/>
      <c r="AY379" s="464"/>
      <c r="AZ379" s="464"/>
      <c r="BA379" s="464"/>
      <c r="BB379" s="464"/>
      <c r="BC379" s="464"/>
      <c r="BD379" s="464"/>
      <c r="BE379" s="464"/>
      <c r="BF379" s="464"/>
      <c r="BG379" s="464"/>
      <c r="BH379" s="464"/>
      <c r="BJ379" s="463">
        <f t="shared" si="6"/>
        <v>372</v>
      </c>
      <c r="BZ379" s="467"/>
    </row>
    <row r="380" spans="8:78" ht="15.75" customHeight="1" x14ac:dyDescent="0.2">
      <c r="H380" s="464"/>
      <c r="I380" s="464"/>
      <c r="J380" s="464"/>
      <c r="K380" s="464"/>
      <c r="L380" s="464"/>
      <c r="M380" s="464"/>
      <c r="N380" s="464"/>
      <c r="O380" s="464"/>
      <c r="P380" s="464"/>
      <c r="Q380" s="464"/>
      <c r="R380" s="464"/>
      <c r="S380" s="464"/>
      <c r="T380" s="464"/>
      <c r="U380" s="464"/>
      <c r="V380" s="464"/>
      <c r="W380" s="464"/>
      <c r="X380" s="464"/>
      <c r="Y380" s="464"/>
      <c r="Z380" s="464"/>
      <c r="AA380" s="464"/>
      <c r="AB380" s="464"/>
      <c r="AC380" s="464"/>
      <c r="AD380" s="464"/>
      <c r="AE380" s="464"/>
      <c r="AF380" s="464"/>
      <c r="AG380" s="464"/>
      <c r="AH380" s="464"/>
      <c r="AI380" s="464"/>
      <c r="AJ380" s="464"/>
      <c r="AK380" s="464"/>
      <c r="AL380" s="464"/>
      <c r="AM380" s="464"/>
      <c r="AN380" s="464"/>
      <c r="AO380" s="464"/>
      <c r="AP380" s="464"/>
      <c r="AQ380" s="464"/>
      <c r="AR380" s="464"/>
      <c r="AS380" s="464"/>
      <c r="AT380" s="464"/>
      <c r="AU380" s="464"/>
      <c r="AV380" s="464"/>
      <c r="AW380" s="464"/>
      <c r="AX380" s="464"/>
      <c r="AY380" s="464"/>
      <c r="AZ380" s="464"/>
      <c r="BA380" s="464"/>
      <c r="BB380" s="464"/>
      <c r="BC380" s="464"/>
      <c r="BD380" s="464"/>
      <c r="BE380" s="464"/>
      <c r="BF380" s="464"/>
      <c r="BG380" s="464"/>
      <c r="BH380" s="464"/>
      <c r="BJ380" s="463">
        <f t="shared" si="6"/>
        <v>373</v>
      </c>
      <c r="BZ380" s="467"/>
    </row>
    <row r="381" spans="8:78" ht="15.75" customHeight="1" x14ac:dyDescent="0.2">
      <c r="H381" s="464"/>
      <c r="I381" s="464"/>
      <c r="J381" s="464"/>
      <c r="K381" s="464"/>
      <c r="L381" s="464"/>
      <c r="M381" s="464"/>
      <c r="N381" s="464"/>
      <c r="O381" s="464"/>
      <c r="P381" s="464"/>
      <c r="Q381" s="464"/>
      <c r="R381" s="464"/>
      <c r="S381" s="464"/>
      <c r="T381" s="464"/>
      <c r="U381" s="464"/>
      <c r="V381" s="464"/>
      <c r="W381" s="464"/>
      <c r="X381" s="464"/>
      <c r="Y381" s="464"/>
      <c r="Z381" s="464"/>
      <c r="AA381" s="464"/>
      <c r="AB381" s="464"/>
      <c r="AC381" s="464"/>
      <c r="AD381" s="464"/>
      <c r="AE381" s="464"/>
      <c r="AF381" s="464"/>
      <c r="AG381" s="464"/>
      <c r="AH381" s="464"/>
      <c r="AI381" s="464"/>
      <c r="AJ381" s="464"/>
      <c r="AK381" s="464"/>
      <c r="AL381" s="464"/>
      <c r="AM381" s="464"/>
      <c r="AN381" s="464"/>
      <c r="AO381" s="464"/>
      <c r="AP381" s="464"/>
      <c r="AQ381" s="464"/>
      <c r="AR381" s="464"/>
      <c r="AS381" s="464"/>
      <c r="AT381" s="464"/>
      <c r="AU381" s="464"/>
      <c r="AV381" s="464"/>
      <c r="AW381" s="464"/>
      <c r="AX381" s="464"/>
      <c r="AY381" s="464"/>
      <c r="AZ381" s="464"/>
      <c r="BA381" s="464"/>
      <c r="BB381" s="464"/>
      <c r="BC381" s="464"/>
      <c r="BD381" s="464"/>
      <c r="BE381" s="464"/>
      <c r="BF381" s="464"/>
      <c r="BG381" s="464"/>
      <c r="BH381" s="464"/>
      <c r="BJ381" s="463">
        <f t="shared" si="6"/>
        <v>374</v>
      </c>
      <c r="BZ381" s="467"/>
    </row>
    <row r="382" spans="8:78" ht="15.75" customHeight="1" x14ac:dyDescent="0.2">
      <c r="H382" s="464"/>
      <c r="I382" s="464"/>
      <c r="J382" s="464"/>
      <c r="K382" s="464"/>
      <c r="L382" s="464"/>
      <c r="M382" s="464"/>
      <c r="N382" s="464"/>
      <c r="O382" s="464"/>
      <c r="P382" s="464"/>
      <c r="Q382" s="464"/>
      <c r="R382" s="464"/>
      <c r="S382" s="464"/>
      <c r="T382" s="464"/>
      <c r="U382" s="464"/>
      <c r="V382" s="464"/>
      <c r="W382" s="464"/>
      <c r="X382" s="464"/>
      <c r="Y382" s="464"/>
      <c r="Z382" s="464"/>
      <c r="AA382" s="464"/>
      <c r="AB382" s="464"/>
      <c r="AC382" s="464"/>
      <c r="AD382" s="464"/>
      <c r="AE382" s="464"/>
      <c r="AF382" s="464"/>
      <c r="AG382" s="464"/>
      <c r="AH382" s="464"/>
      <c r="AI382" s="464"/>
      <c r="AJ382" s="464"/>
      <c r="AK382" s="464"/>
      <c r="AL382" s="464"/>
      <c r="AM382" s="464"/>
      <c r="AN382" s="464"/>
      <c r="AO382" s="464"/>
      <c r="AP382" s="464"/>
      <c r="AQ382" s="464"/>
      <c r="AR382" s="464"/>
      <c r="AS382" s="464"/>
      <c r="AT382" s="464"/>
      <c r="AU382" s="464"/>
      <c r="AV382" s="464"/>
      <c r="AW382" s="464"/>
      <c r="AX382" s="464"/>
      <c r="AY382" s="464"/>
      <c r="AZ382" s="464"/>
      <c r="BA382" s="464"/>
      <c r="BB382" s="464"/>
      <c r="BC382" s="464"/>
      <c r="BD382" s="464"/>
      <c r="BE382" s="464"/>
      <c r="BF382" s="464"/>
      <c r="BG382" s="464"/>
      <c r="BH382" s="464"/>
      <c r="BJ382" s="463">
        <f t="shared" si="6"/>
        <v>375</v>
      </c>
      <c r="BZ382" s="467"/>
    </row>
    <row r="383" spans="8:78" ht="15.75" customHeight="1" x14ac:dyDescent="0.2">
      <c r="H383" s="464"/>
      <c r="I383" s="464"/>
      <c r="J383" s="464"/>
      <c r="K383" s="464"/>
      <c r="L383" s="464"/>
      <c r="M383" s="464"/>
      <c r="N383" s="464"/>
      <c r="O383" s="464"/>
      <c r="P383" s="464"/>
      <c r="Q383" s="464"/>
      <c r="R383" s="464"/>
      <c r="S383" s="464"/>
      <c r="T383" s="464"/>
      <c r="U383" s="464"/>
      <c r="V383" s="464"/>
      <c r="W383" s="464"/>
      <c r="X383" s="464"/>
      <c r="Y383" s="464"/>
      <c r="Z383" s="464"/>
      <c r="AA383" s="464"/>
      <c r="AB383" s="464"/>
      <c r="AC383" s="464"/>
      <c r="AD383" s="464"/>
      <c r="AE383" s="464"/>
      <c r="AF383" s="464"/>
      <c r="AG383" s="464"/>
      <c r="AH383" s="464"/>
      <c r="AI383" s="464"/>
      <c r="AJ383" s="464"/>
      <c r="AK383" s="464"/>
      <c r="AL383" s="464"/>
      <c r="AM383" s="464"/>
      <c r="AN383" s="464"/>
      <c r="AO383" s="464"/>
      <c r="AP383" s="464"/>
      <c r="AQ383" s="464"/>
      <c r="AR383" s="464"/>
      <c r="AS383" s="464"/>
      <c r="AT383" s="464"/>
      <c r="AU383" s="464"/>
      <c r="AV383" s="464"/>
      <c r="AW383" s="464"/>
      <c r="AX383" s="464"/>
      <c r="AY383" s="464"/>
      <c r="AZ383" s="464"/>
      <c r="BA383" s="464"/>
      <c r="BB383" s="464"/>
      <c r="BC383" s="464"/>
      <c r="BD383" s="464"/>
      <c r="BE383" s="464"/>
      <c r="BF383" s="464"/>
      <c r="BG383" s="464"/>
      <c r="BH383" s="464"/>
      <c r="BJ383" s="463">
        <f t="shared" si="6"/>
        <v>376</v>
      </c>
      <c r="BZ383" s="467"/>
    </row>
    <row r="384" spans="8:78" ht="15.75" customHeight="1" x14ac:dyDescent="0.2">
      <c r="H384" s="464"/>
      <c r="I384" s="464"/>
      <c r="J384" s="464"/>
      <c r="K384" s="464"/>
      <c r="L384" s="464"/>
      <c r="M384" s="464"/>
      <c r="N384" s="464"/>
      <c r="O384" s="464"/>
      <c r="P384" s="464"/>
      <c r="Q384" s="464"/>
      <c r="R384" s="464"/>
      <c r="S384" s="464"/>
      <c r="T384" s="464"/>
      <c r="U384" s="464"/>
      <c r="V384" s="464"/>
      <c r="W384" s="464"/>
      <c r="X384" s="464"/>
      <c r="Y384" s="464"/>
      <c r="Z384" s="464"/>
      <c r="AA384" s="464"/>
      <c r="AB384" s="464"/>
      <c r="AC384" s="464"/>
      <c r="AD384" s="464"/>
      <c r="AE384" s="464"/>
      <c r="AF384" s="464"/>
      <c r="AG384" s="464"/>
      <c r="AH384" s="464"/>
      <c r="AI384" s="464"/>
      <c r="AJ384" s="464"/>
      <c r="AK384" s="464"/>
      <c r="AL384" s="464"/>
      <c r="AM384" s="464"/>
      <c r="AN384" s="464"/>
      <c r="AO384" s="464"/>
      <c r="AP384" s="464"/>
      <c r="AQ384" s="464"/>
      <c r="AR384" s="464"/>
      <c r="AS384" s="464"/>
      <c r="AT384" s="464"/>
      <c r="AU384" s="464"/>
      <c r="AV384" s="464"/>
      <c r="AW384" s="464"/>
      <c r="AX384" s="464"/>
      <c r="AY384" s="464"/>
      <c r="AZ384" s="464"/>
      <c r="BA384" s="464"/>
      <c r="BB384" s="464"/>
      <c r="BC384" s="464"/>
      <c r="BD384" s="464"/>
      <c r="BE384" s="464"/>
      <c r="BF384" s="464"/>
      <c r="BG384" s="464"/>
      <c r="BH384" s="464"/>
      <c r="BJ384" s="463">
        <f t="shared" si="6"/>
        <v>377</v>
      </c>
      <c r="BZ384" s="467"/>
    </row>
    <row r="385" spans="8:78" ht="15.75" customHeight="1" x14ac:dyDescent="0.2">
      <c r="H385" s="464"/>
      <c r="I385" s="464"/>
      <c r="J385" s="464"/>
      <c r="K385" s="464"/>
      <c r="L385" s="464"/>
      <c r="M385" s="464"/>
      <c r="N385" s="464"/>
      <c r="O385" s="464"/>
      <c r="P385" s="464"/>
      <c r="Q385" s="464"/>
      <c r="R385" s="464"/>
      <c r="S385" s="464"/>
      <c r="T385" s="464"/>
      <c r="U385" s="464"/>
      <c r="V385" s="464"/>
      <c r="W385" s="464"/>
      <c r="X385" s="464"/>
      <c r="Y385" s="464"/>
      <c r="Z385" s="464"/>
      <c r="AA385" s="464"/>
      <c r="AB385" s="464"/>
      <c r="AC385" s="464"/>
      <c r="AD385" s="464"/>
      <c r="AE385" s="464"/>
      <c r="AF385" s="464"/>
      <c r="AG385" s="464"/>
      <c r="AH385" s="464"/>
      <c r="AI385" s="464"/>
      <c r="AJ385" s="464"/>
      <c r="AK385" s="464"/>
      <c r="AL385" s="464"/>
      <c r="AM385" s="464"/>
      <c r="AN385" s="464"/>
      <c r="AO385" s="464"/>
      <c r="AP385" s="464"/>
      <c r="AQ385" s="464"/>
      <c r="AR385" s="464"/>
      <c r="AS385" s="464"/>
      <c r="AT385" s="464"/>
      <c r="AU385" s="464"/>
      <c r="AV385" s="464"/>
      <c r="AW385" s="464"/>
      <c r="AX385" s="464"/>
      <c r="AY385" s="464"/>
      <c r="AZ385" s="464"/>
      <c r="BA385" s="464"/>
      <c r="BB385" s="464"/>
      <c r="BC385" s="464"/>
      <c r="BD385" s="464"/>
      <c r="BE385" s="464"/>
      <c r="BF385" s="464"/>
      <c r="BG385" s="464"/>
      <c r="BH385" s="464"/>
      <c r="BJ385" s="463">
        <f t="shared" si="6"/>
        <v>378</v>
      </c>
      <c r="BZ385" s="467"/>
    </row>
    <row r="386" spans="8:78" ht="15.75" customHeight="1" x14ac:dyDescent="0.2">
      <c r="H386" s="464"/>
      <c r="I386" s="464"/>
      <c r="J386" s="464"/>
      <c r="K386" s="464"/>
      <c r="L386" s="464"/>
      <c r="M386" s="464"/>
      <c r="N386" s="464"/>
      <c r="O386" s="464"/>
      <c r="P386" s="464"/>
      <c r="Q386" s="464"/>
      <c r="R386" s="464"/>
      <c r="S386" s="464"/>
      <c r="T386" s="464"/>
      <c r="U386" s="464"/>
      <c r="V386" s="464"/>
      <c r="W386" s="464"/>
      <c r="X386" s="464"/>
      <c r="Y386" s="464"/>
      <c r="Z386" s="464"/>
      <c r="AA386" s="464"/>
      <c r="AB386" s="464"/>
      <c r="AC386" s="464"/>
      <c r="AD386" s="464"/>
      <c r="AE386" s="464"/>
      <c r="AF386" s="464"/>
      <c r="AG386" s="464"/>
      <c r="AH386" s="464"/>
      <c r="AI386" s="464"/>
      <c r="AJ386" s="464"/>
      <c r="AK386" s="464"/>
      <c r="AL386" s="464"/>
      <c r="AM386" s="464"/>
      <c r="AN386" s="464"/>
      <c r="AO386" s="464"/>
      <c r="AP386" s="464"/>
      <c r="AQ386" s="464"/>
      <c r="AR386" s="464"/>
      <c r="AS386" s="464"/>
      <c r="AT386" s="464"/>
      <c r="AU386" s="464"/>
      <c r="AV386" s="464"/>
      <c r="AW386" s="464"/>
      <c r="AX386" s="464"/>
      <c r="AY386" s="464"/>
      <c r="AZ386" s="464"/>
      <c r="BA386" s="464"/>
      <c r="BB386" s="464"/>
      <c r="BC386" s="464"/>
      <c r="BD386" s="464"/>
      <c r="BE386" s="464"/>
      <c r="BF386" s="464"/>
      <c r="BG386" s="464"/>
      <c r="BH386" s="464"/>
      <c r="BJ386" s="463">
        <f t="shared" si="6"/>
        <v>379</v>
      </c>
      <c r="BZ386" s="467"/>
    </row>
    <row r="387" spans="8:78" ht="15.75" customHeight="1" x14ac:dyDescent="0.2">
      <c r="H387" s="464"/>
      <c r="I387" s="464"/>
      <c r="J387" s="464"/>
      <c r="K387" s="464"/>
      <c r="L387" s="464"/>
      <c r="M387" s="464"/>
      <c r="N387" s="464"/>
      <c r="O387" s="464"/>
      <c r="P387" s="464"/>
      <c r="Q387" s="464"/>
      <c r="R387" s="464"/>
      <c r="S387" s="464"/>
      <c r="T387" s="464"/>
      <c r="U387" s="464"/>
      <c r="V387" s="464"/>
      <c r="W387" s="464"/>
      <c r="X387" s="464"/>
      <c r="Y387" s="464"/>
      <c r="Z387" s="464"/>
      <c r="AA387" s="464"/>
      <c r="AB387" s="464"/>
      <c r="AC387" s="464"/>
      <c r="AD387" s="464"/>
      <c r="AE387" s="464"/>
      <c r="AF387" s="464"/>
      <c r="AG387" s="464"/>
      <c r="AH387" s="464"/>
      <c r="AI387" s="464"/>
      <c r="AJ387" s="464"/>
      <c r="AK387" s="464"/>
      <c r="AL387" s="464"/>
      <c r="AM387" s="464"/>
      <c r="AN387" s="464"/>
      <c r="AO387" s="464"/>
      <c r="AP387" s="464"/>
      <c r="AQ387" s="464"/>
      <c r="AR387" s="464"/>
      <c r="AS387" s="464"/>
      <c r="AT387" s="464"/>
      <c r="AU387" s="464"/>
      <c r="AV387" s="464"/>
      <c r="AW387" s="464"/>
      <c r="AX387" s="464"/>
      <c r="AY387" s="464"/>
      <c r="AZ387" s="464"/>
      <c r="BA387" s="464"/>
      <c r="BB387" s="464"/>
      <c r="BC387" s="464"/>
      <c r="BD387" s="464"/>
      <c r="BE387" s="464"/>
      <c r="BF387" s="464"/>
      <c r="BG387" s="464"/>
      <c r="BH387" s="464"/>
      <c r="BJ387" s="463">
        <f t="shared" si="6"/>
        <v>380</v>
      </c>
      <c r="BZ387" s="467"/>
    </row>
    <row r="388" spans="8:78" ht="15.75" customHeight="1" x14ac:dyDescent="0.2">
      <c r="H388" s="464"/>
      <c r="I388" s="464"/>
      <c r="J388" s="464"/>
      <c r="K388" s="464"/>
      <c r="L388" s="464"/>
      <c r="M388" s="464"/>
      <c r="N388" s="464"/>
      <c r="O388" s="464"/>
      <c r="P388" s="464"/>
      <c r="Q388" s="464"/>
      <c r="R388" s="464"/>
      <c r="S388" s="464"/>
      <c r="T388" s="464"/>
      <c r="U388" s="464"/>
      <c r="V388" s="464"/>
      <c r="W388" s="464"/>
      <c r="X388" s="464"/>
      <c r="Y388" s="464"/>
      <c r="Z388" s="464"/>
      <c r="AA388" s="464"/>
      <c r="AB388" s="464"/>
      <c r="AC388" s="464"/>
      <c r="AD388" s="464"/>
      <c r="AE388" s="464"/>
      <c r="AF388" s="464"/>
      <c r="AG388" s="464"/>
      <c r="AH388" s="464"/>
      <c r="AI388" s="464"/>
      <c r="AJ388" s="464"/>
      <c r="AK388" s="464"/>
      <c r="AL388" s="464"/>
      <c r="AM388" s="464"/>
      <c r="AN388" s="464"/>
      <c r="AO388" s="464"/>
      <c r="AP388" s="464"/>
      <c r="AQ388" s="464"/>
      <c r="AR388" s="464"/>
      <c r="AS388" s="464"/>
      <c r="AT388" s="464"/>
      <c r="AU388" s="464"/>
      <c r="AV388" s="464"/>
      <c r="AW388" s="464"/>
      <c r="AX388" s="464"/>
      <c r="AY388" s="464"/>
      <c r="AZ388" s="464"/>
      <c r="BA388" s="464"/>
      <c r="BB388" s="464"/>
      <c r="BC388" s="464"/>
      <c r="BD388" s="464"/>
      <c r="BE388" s="464"/>
      <c r="BF388" s="464"/>
      <c r="BG388" s="464"/>
      <c r="BH388" s="464"/>
      <c r="BJ388" s="463">
        <f t="shared" si="6"/>
        <v>381</v>
      </c>
      <c r="BZ388" s="467"/>
    </row>
    <row r="389" spans="8:78" ht="15.75" customHeight="1" x14ac:dyDescent="0.2">
      <c r="H389" s="464"/>
      <c r="I389" s="464"/>
      <c r="J389" s="464"/>
      <c r="K389" s="464"/>
      <c r="L389" s="464"/>
      <c r="M389" s="464"/>
      <c r="N389" s="464"/>
      <c r="O389" s="464"/>
      <c r="P389" s="464"/>
      <c r="Q389" s="464"/>
      <c r="R389" s="464"/>
      <c r="S389" s="464"/>
      <c r="T389" s="464"/>
      <c r="U389" s="464"/>
      <c r="V389" s="464"/>
      <c r="W389" s="464"/>
      <c r="X389" s="464"/>
      <c r="Y389" s="464"/>
      <c r="Z389" s="464"/>
      <c r="AA389" s="464"/>
      <c r="AB389" s="464"/>
      <c r="AC389" s="464"/>
      <c r="AD389" s="464"/>
      <c r="AE389" s="464"/>
      <c r="AF389" s="464"/>
      <c r="AG389" s="464"/>
      <c r="AH389" s="464"/>
      <c r="AI389" s="464"/>
      <c r="AJ389" s="464"/>
      <c r="AK389" s="464"/>
      <c r="AL389" s="464"/>
      <c r="AM389" s="464"/>
      <c r="AN389" s="464"/>
      <c r="AO389" s="464"/>
      <c r="AP389" s="464"/>
      <c r="AQ389" s="464"/>
      <c r="AR389" s="464"/>
      <c r="AS389" s="464"/>
      <c r="AT389" s="464"/>
      <c r="AU389" s="464"/>
      <c r="AV389" s="464"/>
      <c r="AW389" s="464"/>
      <c r="AX389" s="464"/>
      <c r="AY389" s="464"/>
      <c r="AZ389" s="464"/>
      <c r="BA389" s="464"/>
      <c r="BB389" s="464"/>
      <c r="BC389" s="464"/>
      <c r="BD389" s="464"/>
      <c r="BE389" s="464"/>
      <c r="BF389" s="464"/>
      <c r="BG389" s="464"/>
      <c r="BH389" s="464"/>
      <c r="BJ389" s="463">
        <f t="shared" si="6"/>
        <v>382</v>
      </c>
      <c r="BZ389" s="467"/>
    </row>
    <row r="390" spans="8:78" ht="15.75" customHeight="1" x14ac:dyDescent="0.2">
      <c r="H390" s="464"/>
      <c r="I390" s="464"/>
      <c r="J390" s="464"/>
      <c r="K390" s="464"/>
      <c r="L390" s="464"/>
      <c r="M390" s="464"/>
      <c r="N390" s="464"/>
      <c r="O390" s="464"/>
      <c r="P390" s="464"/>
      <c r="Q390" s="464"/>
      <c r="R390" s="464"/>
      <c r="S390" s="464"/>
      <c r="T390" s="464"/>
      <c r="U390" s="464"/>
      <c r="V390" s="464"/>
      <c r="W390" s="464"/>
      <c r="X390" s="464"/>
      <c r="Y390" s="464"/>
      <c r="Z390" s="464"/>
      <c r="AA390" s="464"/>
      <c r="AB390" s="464"/>
      <c r="AC390" s="464"/>
      <c r="AD390" s="464"/>
      <c r="AE390" s="464"/>
      <c r="AF390" s="464"/>
      <c r="AG390" s="464"/>
      <c r="AH390" s="464"/>
      <c r="AI390" s="464"/>
      <c r="AJ390" s="464"/>
      <c r="AK390" s="464"/>
      <c r="AL390" s="464"/>
      <c r="AM390" s="464"/>
      <c r="AN390" s="464"/>
      <c r="AO390" s="464"/>
      <c r="AP390" s="464"/>
      <c r="AQ390" s="464"/>
      <c r="AR390" s="464"/>
      <c r="AS390" s="464"/>
      <c r="AT390" s="464"/>
      <c r="AU390" s="464"/>
      <c r="AV390" s="464"/>
      <c r="AW390" s="464"/>
      <c r="AX390" s="464"/>
      <c r="AY390" s="464"/>
      <c r="AZ390" s="464"/>
      <c r="BA390" s="464"/>
      <c r="BB390" s="464"/>
      <c r="BC390" s="464"/>
      <c r="BD390" s="464"/>
      <c r="BE390" s="464"/>
      <c r="BF390" s="464"/>
      <c r="BG390" s="464"/>
      <c r="BH390" s="464"/>
      <c r="BJ390" s="463">
        <f t="shared" si="6"/>
        <v>383</v>
      </c>
      <c r="BZ390" s="467"/>
    </row>
    <row r="391" spans="8:78" ht="15.75" customHeight="1" x14ac:dyDescent="0.2">
      <c r="H391" s="464"/>
      <c r="I391" s="464"/>
      <c r="J391" s="464"/>
      <c r="K391" s="464"/>
      <c r="L391" s="464"/>
      <c r="M391" s="464"/>
      <c r="N391" s="464"/>
      <c r="O391" s="464"/>
      <c r="P391" s="464"/>
      <c r="Q391" s="464"/>
      <c r="R391" s="464"/>
      <c r="S391" s="464"/>
      <c r="T391" s="464"/>
      <c r="U391" s="464"/>
      <c r="V391" s="464"/>
      <c r="W391" s="464"/>
      <c r="X391" s="464"/>
      <c r="Y391" s="464"/>
      <c r="Z391" s="464"/>
      <c r="AA391" s="464"/>
      <c r="AB391" s="464"/>
      <c r="AC391" s="464"/>
      <c r="AD391" s="464"/>
      <c r="AE391" s="464"/>
      <c r="AF391" s="464"/>
      <c r="AG391" s="464"/>
      <c r="AH391" s="464"/>
      <c r="AI391" s="464"/>
      <c r="AJ391" s="464"/>
      <c r="AK391" s="464"/>
      <c r="AL391" s="464"/>
      <c r="AM391" s="464"/>
      <c r="AN391" s="464"/>
      <c r="AO391" s="464"/>
      <c r="AP391" s="464"/>
      <c r="AQ391" s="464"/>
      <c r="AR391" s="464"/>
      <c r="AS391" s="464"/>
      <c r="AT391" s="464"/>
      <c r="AU391" s="464"/>
      <c r="AV391" s="464"/>
      <c r="AW391" s="464"/>
      <c r="AX391" s="464"/>
      <c r="AY391" s="464"/>
      <c r="AZ391" s="464"/>
      <c r="BA391" s="464"/>
      <c r="BB391" s="464"/>
      <c r="BC391" s="464"/>
      <c r="BD391" s="464"/>
      <c r="BE391" s="464"/>
      <c r="BF391" s="464"/>
      <c r="BG391" s="464"/>
      <c r="BH391" s="464"/>
      <c r="BJ391" s="463">
        <f t="shared" si="6"/>
        <v>384</v>
      </c>
      <c r="BZ391" s="467"/>
    </row>
    <row r="392" spans="8:78" ht="15.75" customHeight="1" x14ac:dyDescent="0.2">
      <c r="H392" s="464"/>
      <c r="I392" s="464"/>
      <c r="J392" s="464"/>
      <c r="K392" s="464"/>
      <c r="L392" s="464"/>
      <c r="M392" s="464"/>
      <c r="N392" s="464"/>
      <c r="O392" s="464"/>
      <c r="P392" s="464"/>
      <c r="Q392" s="464"/>
      <c r="R392" s="464"/>
      <c r="S392" s="464"/>
      <c r="T392" s="464"/>
      <c r="U392" s="464"/>
      <c r="V392" s="464"/>
      <c r="W392" s="464"/>
      <c r="X392" s="464"/>
      <c r="Y392" s="464"/>
      <c r="Z392" s="464"/>
      <c r="AA392" s="464"/>
      <c r="AB392" s="464"/>
      <c r="AC392" s="464"/>
      <c r="AD392" s="464"/>
      <c r="AE392" s="464"/>
      <c r="AF392" s="464"/>
      <c r="AG392" s="464"/>
      <c r="AH392" s="464"/>
      <c r="AI392" s="464"/>
      <c r="AJ392" s="464"/>
      <c r="AK392" s="464"/>
      <c r="AL392" s="464"/>
      <c r="AM392" s="464"/>
      <c r="AN392" s="464"/>
      <c r="AO392" s="464"/>
      <c r="AP392" s="464"/>
      <c r="AQ392" s="464"/>
      <c r="AR392" s="464"/>
      <c r="AS392" s="464"/>
      <c r="AT392" s="464"/>
      <c r="AU392" s="464"/>
      <c r="AV392" s="464"/>
      <c r="AW392" s="464"/>
      <c r="AX392" s="464"/>
      <c r="AY392" s="464"/>
      <c r="AZ392" s="464"/>
      <c r="BA392" s="464"/>
      <c r="BB392" s="464"/>
      <c r="BC392" s="464"/>
      <c r="BD392" s="464"/>
      <c r="BE392" s="464"/>
      <c r="BF392" s="464"/>
      <c r="BG392" s="464"/>
      <c r="BH392" s="464"/>
      <c r="BJ392" s="463">
        <f t="shared" si="6"/>
        <v>385</v>
      </c>
      <c r="BZ392" s="467"/>
    </row>
    <row r="393" spans="8:78" ht="15.75" customHeight="1" x14ac:dyDescent="0.2">
      <c r="H393" s="464"/>
      <c r="I393" s="464"/>
      <c r="J393" s="464"/>
      <c r="K393" s="464"/>
      <c r="L393" s="464"/>
      <c r="M393" s="464"/>
      <c r="N393" s="464"/>
      <c r="O393" s="464"/>
      <c r="P393" s="464"/>
      <c r="Q393" s="464"/>
      <c r="R393" s="464"/>
      <c r="S393" s="464"/>
      <c r="T393" s="464"/>
      <c r="U393" s="464"/>
      <c r="V393" s="464"/>
      <c r="W393" s="464"/>
      <c r="X393" s="464"/>
      <c r="Y393" s="464"/>
      <c r="Z393" s="464"/>
      <c r="AA393" s="464"/>
      <c r="AB393" s="464"/>
      <c r="AC393" s="464"/>
      <c r="AD393" s="464"/>
      <c r="AE393" s="464"/>
      <c r="AF393" s="464"/>
      <c r="AG393" s="464"/>
      <c r="AH393" s="464"/>
      <c r="AI393" s="464"/>
      <c r="AJ393" s="464"/>
      <c r="AK393" s="464"/>
      <c r="AL393" s="464"/>
      <c r="AM393" s="464"/>
      <c r="AN393" s="464"/>
      <c r="AO393" s="464"/>
      <c r="AP393" s="464"/>
      <c r="AQ393" s="464"/>
      <c r="AR393" s="464"/>
      <c r="AS393" s="464"/>
      <c r="AT393" s="464"/>
      <c r="AU393" s="464"/>
      <c r="AV393" s="464"/>
      <c r="AW393" s="464"/>
      <c r="AX393" s="464"/>
      <c r="AY393" s="464"/>
      <c r="AZ393" s="464"/>
      <c r="BA393" s="464"/>
      <c r="BB393" s="464"/>
      <c r="BC393" s="464"/>
      <c r="BD393" s="464"/>
      <c r="BE393" s="464"/>
      <c r="BF393" s="464"/>
      <c r="BG393" s="464"/>
      <c r="BH393" s="464"/>
      <c r="BJ393" s="463">
        <f t="shared" ref="BJ393:BJ456" si="7">BJ392+1</f>
        <v>386</v>
      </c>
      <c r="BZ393" s="467"/>
    </row>
    <row r="394" spans="8:78" ht="15.75" customHeight="1" x14ac:dyDescent="0.2">
      <c r="H394" s="464"/>
      <c r="I394" s="464"/>
      <c r="J394" s="464"/>
      <c r="K394" s="464"/>
      <c r="L394" s="464"/>
      <c r="M394" s="464"/>
      <c r="N394" s="464"/>
      <c r="O394" s="464"/>
      <c r="P394" s="464"/>
      <c r="Q394" s="464"/>
      <c r="R394" s="464"/>
      <c r="S394" s="464"/>
      <c r="T394" s="464"/>
      <c r="U394" s="464"/>
      <c r="V394" s="464"/>
      <c r="W394" s="464"/>
      <c r="X394" s="464"/>
      <c r="Y394" s="464"/>
      <c r="Z394" s="464"/>
      <c r="AA394" s="464"/>
      <c r="AB394" s="464"/>
      <c r="AC394" s="464"/>
      <c r="AD394" s="464"/>
      <c r="AE394" s="464"/>
      <c r="AF394" s="464"/>
      <c r="AG394" s="464"/>
      <c r="AH394" s="464"/>
      <c r="AI394" s="464"/>
      <c r="AJ394" s="464"/>
      <c r="AK394" s="464"/>
      <c r="AL394" s="464"/>
      <c r="AM394" s="464"/>
      <c r="AN394" s="464"/>
      <c r="AO394" s="464"/>
      <c r="AP394" s="464"/>
      <c r="AQ394" s="464"/>
      <c r="AR394" s="464"/>
      <c r="AS394" s="464"/>
      <c r="AT394" s="464"/>
      <c r="AU394" s="464"/>
      <c r="AV394" s="464"/>
      <c r="AW394" s="464"/>
      <c r="AX394" s="464"/>
      <c r="AY394" s="464"/>
      <c r="AZ394" s="464"/>
      <c r="BA394" s="464"/>
      <c r="BB394" s="464"/>
      <c r="BC394" s="464"/>
      <c r="BD394" s="464"/>
      <c r="BE394" s="464"/>
      <c r="BF394" s="464"/>
      <c r="BG394" s="464"/>
      <c r="BH394" s="464"/>
      <c r="BJ394" s="463">
        <f t="shared" si="7"/>
        <v>387</v>
      </c>
      <c r="BZ394" s="467"/>
    </row>
    <row r="395" spans="8:78" ht="15.75" customHeight="1" x14ac:dyDescent="0.2">
      <c r="H395" s="464"/>
      <c r="I395" s="464"/>
      <c r="J395" s="464"/>
      <c r="K395" s="464"/>
      <c r="L395" s="464"/>
      <c r="M395" s="464"/>
      <c r="N395" s="464"/>
      <c r="O395" s="464"/>
      <c r="P395" s="464"/>
      <c r="Q395" s="464"/>
      <c r="R395" s="464"/>
      <c r="S395" s="464"/>
      <c r="T395" s="464"/>
      <c r="U395" s="464"/>
      <c r="V395" s="464"/>
      <c r="W395" s="464"/>
      <c r="X395" s="464"/>
      <c r="Y395" s="464"/>
      <c r="Z395" s="464"/>
      <c r="AA395" s="464"/>
      <c r="AB395" s="464"/>
      <c r="AC395" s="464"/>
      <c r="AD395" s="464"/>
      <c r="AE395" s="464"/>
      <c r="AF395" s="464"/>
      <c r="AG395" s="464"/>
      <c r="AH395" s="464"/>
      <c r="AI395" s="464"/>
      <c r="AJ395" s="464"/>
      <c r="AK395" s="464"/>
      <c r="AL395" s="464"/>
      <c r="AM395" s="464"/>
      <c r="AN395" s="464"/>
      <c r="AO395" s="464"/>
      <c r="AP395" s="464"/>
      <c r="AQ395" s="464"/>
      <c r="AR395" s="464"/>
      <c r="AS395" s="464"/>
      <c r="AT395" s="464"/>
      <c r="AU395" s="464"/>
      <c r="AV395" s="464"/>
      <c r="AW395" s="464"/>
      <c r="AX395" s="464"/>
      <c r="AY395" s="464"/>
      <c r="AZ395" s="464"/>
      <c r="BA395" s="464"/>
      <c r="BB395" s="464"/>
      <c r="BC395" s="464"/>
      <c r="BD395" s="464"/>
      <c r="BE395" s="464"/>
      <c r="BF395" s="464"/>
      <c r="BG395" s="464"/>
      <c r="BH395" s="464"/>
      <c r="BJ395" s="463">
        <f t="shared" si="7"/>
        <v>388</v>
      </c>
      <c r="BZ395" s="467"/>
    </row>
    <row r="396" spans="8:78" ht="15.75" customHeight="1" x14ac:dyDescent="0.2">
      <c r="H396" s="464"/>
      <c r="I396" s="464"/>
      <c r="J396" s="464"/>
      <c r="K396" s="464"/>
      <c r="L396" s="464"/>
      <c r="M396" s="464"/>
      <c r="N396" s="464"/>
      <c r="O396" s="464"/>
      <c r="P396" s="464"/>
      <c r="Q396" s="464"/>
      <c r="R396" s="464"/>
      <c r="S396" s="464"/>
      <c r="T396" s="464"/>
      <c r="U396" s="464"/>
      <c r="V396" s="464"/>
      <c r="W396" s="464"/>
      <c r="X396" s="464"/>
      <c r="Y396" s="464"/>
      <c r="Z396" s="464"/>
      <c r="AA396" s="464"/>
      <c r="AB396" s="464"/>
      <c r="AC396" s="464"/>
      <c r="AD396" s="464"/>
      <c r="AE396" s="464"/>
      <c r="AF396" s="464"/>
      <c r="AG396" s="464"/>
      <c r="AH396" s="464"/>
      <c r="AI396" s="464"/>
      <c r="AJ396" s="464"/>
      <c r="AK396" s="464"/>
      <c r="AL396" s="464"/>
      <c r="AM396" s="464"/>
      <c r="AN396" s="464"/>
      <c r="AO396" s="464"/>
      <c r="AP396" s="464"/>
      <c r="AQ396" s="464"/>
      <c r="AR396" s="464"/>
      <c r="AS396" s="464"/>
      <c r="AT396" s="464"/>
      <c r="AU396" s="464"/>
      <c r="AV396" s="464"/>
      <c r="AW396" s="464"/>
      <c r="AX396" s="464"/>
      <c r="AY396" s="464"/>
      <c r="AZ396" s="464"/>
      <c r="BA396" s="464"/>
      <c r="BB396" s="464"/>
      <c r="BC396" s="464"/>
      <c r="BD396" s="464"/>
      <c r="BE396" s="464"/>
      <c r="BF396" s="464"/>
      <c r="BG396" s="464"/>
      <c r="BH396" s="464"/>
      <c r="BJ396" s="463">
        <f t="shared" si="7"/>
        <v>389</v>
      </c>
      <c r="BZ396" s="467"/>
    </row>
    <row r="397" spans="8:78" ht="15.75" customHeight="1" x14ac:dyDescent="0.2">
      <c r="H397" s="464"/>
      <c r="I397" s="464"/>
      <c r="J397" s="464"/>
      <c r="K397" s="464"/>
      <c r="L397" s="464"/>
      <c r="M397" s="464"/>
      <c r="N397" s="464"/>
      <c r="O397" s="464"/>
      <c r="P397" s="464"/>
      <c r="Q397" s="464"/>
      <c r="R397" s="464"/>
      <c r="S397" s="464"/>
      <c r="T397" s="464"/>
      <c r="U397" s="464"/>
      <c r="V397" s="464"/>
      <c r="W397" s="464"/>
      <c r="X397" s="464"/>
      <c r="Y397" s="464"/>
      <c r="Z397" s="464"/>
      <c r="AA397" s="464"/>
      <c r="AB397" s="464"/>
      <c r="AC397" s="464"/>
      <c r="AD397" s="464"/>
      <c r="AE397" s="464"/>
      <c r="AF397" s="464"/>
      <c r="AG397" s="464"/>
      <c r="AH397" s="464"/>
      <c r="AI397" s="464"/>
      <c r="AJ397" s="464"/>
      <c r="AK397" s="464"/>
      <c r="AL397" s="464"/>
      <c r="AM397" s="464"/>
      <c r="AN397" s="464"/>
      <c r="AO397" s="464"/>
      <c r="AP397" s="464"/>
      <c r="AQ397" s="464"/>
      <c r="AR397" s="464"/>
      <c r="AS397" s="464"/>
      <c r="AT397" s="464"/>
      <c r="AU397" s="464"/>
      <c r="AV397" s="464"/>
      <c r="AW397" s="464"/>
      <c r="AX397" s="464"/>
      <c r="AY397" s="464"/>
      <c r="AZ397" s="464"/>
      <c r="BA397" s="464"/>
      <c r="BB397" s="464"/>
      <c r="BC397" s="464"/>
      <c r="BD397" s="464"/>
      <c r="BE397" s="464"/>
      <c r="BF397" s="464"/>
      <c r="BG397" s="464"/>
      <c r="BH397" s="464"/>
      <c r="BJ397" s="463">
        <f t="shared" si="7"/>
        <v>390</v>
      </c>
      <c r="BZ397" s="467"/>
    </row>
    <row r="398" spans="8:78" ht="15.75" customHeight="1" x14ac:dyDescent="0.2">
      <c r="H398" s="464"/>
      <c r="I398" s="464"/>
      <c r="J398" s="464"/>
      <c r="K398" s="464"/>
      <c r="L398" s="464"/>
      <c r="M398" s="464"/>
      <c r="N398" s="464"/>
      <c r="O398" s="464"/>
      <c r="P398" s="464"/>
      <c r="Q398" s="464"/>
      <c r="R398" s="464"/>
      <c r="S398" s="464"/>
      <c r="T398" s="464"/>
      <c r="U398" s="464"/>
      <c r="V398" s="464"/>
      <c r="W398" s="464"/>
      <c r="X398" s="464"/>
      <c r="Y398" s="464"/>
      <c r="Z398" s="464"/>
      <c r="AA398" s="464"/>
      <c r="AB398" s="464"/>
      <c r="AC398" s="464"/>
      <c r="AD398" s="464"/>
      <c r="AE398" s="464"/>
      <c r="AF398" s="464"/>
      <c r="AG398" s="464"/>
      <c r="AH398" s="464"/>
      <c r="AI398" s="464"/>
      <c r="AJ398" s="464"/>
      <c r="AK398" s="464"/>
      <c r="AL398" s="464"/>
      <c r="AM398" s="464"/>
      <c r="AN398" s="464"/>
      <c r="AO398" s="464"/>
      <c r="AP398" s="464"/>
      <c r="AQ398" s="464"/>
      <c r="AR398" s="464"/>
      <c r="AS398" s="464"/>
      <c r="AT398" s="464"/>
      <c r="AU398" s="464"/>
      <c r="AV398" s="464"/>
      <c r="AW398" s="464"/>
      <c r="AX398" s="464"/>
      <c r="AY398" s="464"/>
      <c r="AZ398" s="464"/>
      <c r="BA398" s="464"/>
      <c r="BB398" s="464"/>
      <c r="BC398" s="464"/>
      <c r="BD398" s="464"/>
      <c r="BE398" s="464"/>
      <c r="BF398" s="464"/>
      <c r="BG398" s="464"/>
      <c r="BH398" s="464"/>
      <c r="BJ398" s="463">
        <f t="shared" si="7"/>
        <v>391</v>
      </c>
      <c r="BZ398" s="467"/>
    </row>
    <row r="399" spans="8:78" ht="15.75" customHeight="1" x14ac:dyDescent="0.2">
      <c r="H399" s="464"/>
      <c r="I399" s="464"/>
      <c r="J399" s="464"/>
      <c r="K399" s="464"/>
      <c r="L399" s="464"/>
      <c r="M399" s="464"/>
      <c r="N399" s="464"/>
      <c r="O399" s="464"/>
      <c r="P399" s="464"/>
      <c r="Q399" s="464"/>
      <c r="R399" s="464"/>
      <c r="S399" s="464"/>
      <c r="T399" s="464"/>
      <c r="U399" s="464"/>
      <c r="V399" s="464"/>
      <c r="W399" s="464"/>
      <c r="X399" s="464"/>
      <c r="Y399" s="464"/>
      <c r="Z399" s="464"/>
      <c r="AA399" s="464"/>
      <c r="AB399" s="464"/>
      <c r="AC399" s="464"/>
      <c r="AD399" s="464"/>
      <c r="AE399" s="464"/>
      <c r="AF399" s="464"/>
      <c r="AG399" s="464"/>
      <c r="AH399" s="464"/>
      <c r="AI399" s="464"/>
      <c r="AJ399" s="464"/>
      <c r="AK399" s="464"/>
      <c r="AL399" s="464"/>
      <c r="AM399" s="464"/>
      <c r="AN399" s="464"/>
      <c r="AO399" s="464"/>
      <c r="AP399" s="464"/>
      <c r="AQ399" s="464"/>
      <c r="AR399" s="464"/>
      <c r="AS399" s="464"/>
      <c r="AT399" s="464"/>
      <c r="AU399" s="464"/>
      <c r="AV399" s="464"/>
      <c r="AW399" s="464"/>
      <c r="AX399" s="464"/>
      <c r="AY399" s="464"/>
      <c r="AZ399" s="464"/>
      <c r="BA399" s="464"/>
      <c r="BB399" s="464"/>
      <c r="BC399" s="464"/>
      <c r="BD399" s="464"/>
      <c r="BE399" s="464"/>
      <c r="BF399" s="464"/>
      <c r="BG399" s="464"/>
      <c r="BH399" s="464"/>
      <c r="BJ399" s="463">
        <f t="shared" si="7"/>
        <v>392</v>
      </c>
      <c r="BZ399" s="467"/>
    </row>
    <row r="400" spans="8:78" ht="15.75" customHeight="1" x14ac:dyDescent="0.2">
      <c r="H400" s="464"/>
      <c r="I400" s="464"/>
      <c r="J400" s="464"/>
      <c r="K400" s="464"/>
      <c r="L400" s="464"/>
      <c r="M400" s="464"/>
      <c r="N400" s="464"/>
      <c r="O400" s="464"/>
      <c r="P400" s="464"/>
      <c r="Q400" s="464"/>
      <c r="R400" s="464"/>
      <c r="S400" s="464"/>
      <c r="T400" s="464"/>
      <c r="U400" s="464"/>
      <c r="V400" s="464"/>
      <c r="W400" s="464"/>
      <c r="X400" s="464"/>
      <c r="Y400" s="464"/>
      <c r="Z400" s="464"/>
      <c r="AA400" s="464"/>
      <c r="AB400" s="464"/>
      <c r="AC400" s="464"/>
      <c r="AD400" s="464"/>
      <c r="AE400" s="464"/>
      <c r="AF400" s="464"/>
      <c r="AG400" s="464"/>
      <c r="AH400" s="464"/>
      <c r="AI400" s="464"/>
      <c r="AJ400" s="464"/>
      <c r="AK400" s="464"/>
      <c r="AL400" s="464"/>
      <c r="AM400" s="464"/>
      <c r="AN400" s="464"/>
      <c r="AO400" s="464"/>
      <c r="AP400" s="464"/>
      <c r="AQ400" s="464"/>
      <c r="AR400" s="464"/>
      <c r="AS400" s="464"/>
      <c r="AT400" s="464"/>
      <c r="AU400" s="464"/>
      <c r="AV400" s="464"/>
      <c r="AW400" s="464"/>
      <c r="AX400" s="464"/>
      <c r="AY400" s="464"/>
      <c r="AZ400" s="464"/>
      <c r="BA400" s="464"/>
      <c r="BB400" s="464"/>
      <c r="BC400" s="464"/>
      <c r="BD400" s="464"/>
      <c r="BE400" s="464"/>
      <c r="BF400" s="464"/>
      <c r="BG400" s="464"/>
      <c r="BH400" s="464"/>
      <c r="BJ400" s="463">
        <f t="shared" si="7"/>
        <v>393</v>
      </c>
      <c r="BZ400" s="467"/>
    </row>
    <row r="401" spans="8:78" ht="15.75" customHeight="1" x14ac:dyDescent="0.2">
      <c r="H401" s="464"/>
      <c r="I401" s="464"/>
      <c r="J401" s="464"/>
      <c r="K401" s="464"/>
      <c r="L401" s="464"/>
      <c r="M401" s="464"/>
      <c r="N401" s="464"/>
      <c r="O401" s="464"/>
      <c r="P401" s="464"/>
      <c r="Q401" s="464"/>
      <c r="R401" s="464"/>
      <c r="S401" s="464"/>
      <c r="T401" s="464"/>
      <c r="U401" s="464"/>
      <c r="V401" s="464"/>
      <c r="W401" s="464"/>
      <c r="X401" s="464"/>
      <c r="Y401" s="464"/>
      <c r="Z401" s="464"/>
      <c r="AA401" s="464"/>
      <c r="AB401" s="464"/>
      <c r="AC401" s="464"/>
      <c r="AD401" s="464"/>
      <c r="AE401" s="464"/>
      <c r="AF401" s="464"/>
      <c r="AG401" s="464"/>
      <c r="AH401" s="464"/>
      <c r="AI401" s="464"/>
      <c r="AJ401" s="464"/>
      <c r="AK401" s="464"/>
      <c r="AL401" s="464"/>
      <c r="AM401" s="464"/>
      <c r="AN401" s="464"/>
      <c r="AO401" s="464"/>
      <c r="AP401" s="464"/>
      <c r="AQ401" s="464"/>
      <c r="AR401" s="464"/>
      <c r="AS401" s="464"/>
      <c r="AT401" s="464"/>
      <c r="AU401" s="464"/>
      <c r="AV401" s="464"/>
      <c r="AW401" s="464"/>
      <c r="AX401" s="464"/>
      <c r="AY401" s="464"/>
      <c r="AZ401" s="464"/>
      <c r="BA401" s="464"/>
      <c r="BB401" s="464"/>
      <c r="BC401" s="464"/>
      <c r="BD401" s="464"/>
      <c r="BE401" s="464"/>
      <c r="BF401" s="464"/>
      <c r="BG401" s="464"/>
      <c r="BH401" s="464"/>
      <c r="BJ401" s="463">
        <f t="shared" si="7"/>
        <v>394</v>
      </c>
      <c r="BZ401" s="467"/>
    </row>
    <row r="402" spans="8:78" ht="15.75" customHeight="1" x14ac:dyDescent="0.2">
      <c r="H402" s="464"/>
      <c r="I402" s="464"/>
      <c r="J402" s="464"/>
      <c r="K402" s="464"/>
      <c r="L402" s="464"/>
      <c r="M402" s="464"/>
      <c r="N402" s="464"/>
      <c r="O402" s="464"/>
      <c r="P402" s="464"/>
      <c r="Q402" s="464"/>
      <c r="R402" s="464"/>
      <c r="S402" s="464"/>
      <c r="T402" s="464"/>
      <c r="U402" s="464"/>
      <c r="V402" s="464"/>
      <c r="W402" s="464"/>
      <c r="X402" s="464"/>
      <c r="Y402" s="464"/>
      <c r="Z402" s="464"/>
      <c r="AA402" s="464"/>
      <c r="AB402" s="464"/>
      <c r="AC402" s="464"/>
      <c r="AD402" s="464"/>
      <c r="AE402" s="464"/>
      <c r="AF402" s="464"/>
      <c r="AG402" s="464"/>
      <c r="AH402" s="464"/>
      <c r="AI402" s="464"/>
      <c r="AJ402" s="464"/>
      <c r="AK402" s="464"/>
      <c r="AL402" s="464"/>
      <c r="AM402" s="464"/>
      <c r="AN402" s="464"/>
      <c r="AO402" s="464"/>
      <c r="AP402" s="464"/>
      <c r="AQ402" s="464"/>
      <c r="AR402" s="464"/>
      <c r="AS402" s="464"/>
      <c r="AT402" s="464"/>
      <c r="AU402" s="464"/>
      <c r="AV402" s="464"/>
      <c r="AW402" s="464"/>
      <c r="AX402" s="464"/>
      <c r="AY402" s="464"/>
      <c r="AZ402" s="464"/>
      <c r="BA402" s="464"/>
      <c r="BB402" s="464"/>
      <c r="BC402" s="464"/>
      <c r="BD402" s="464"/>
      <c r="BE402" s="464"/>
      <c r="BF402" s="464"/>
      <c r="BG402" s="464"/>
      <c r="BH402" s="464"/>
      <c r="BJ402" s="463">
        <f t="shared" si="7"/>
        <v>395</v>
      </c>
      <c r="BZ402" s="467"/>
    </row>
    <row r="403" spans="8:78" ht="15.75" customHeight="1" x14ac:dyDescent="0.2">
      <c r="H403" s="464"/>
      <c r="I403" s="464"/>
      <c r="J403" s="464"/>
      <c r="K403" s="464"/>
      <c r="L403" s="464"/>
      <c r="M403" s="464"/>
      <c r="N403" s="464"/>
      <c r="O403" s="464"/>
      <c r="P403" s="464"/>
      <c r="Q403" s="464"/>
      <c r="R403" s="464"/>
      <c r="S403" s="464"/>
      <c r="T403" s="464"/>
      <c r="U403" s="464"/>
      <c r="V403" s="464"/>
      <c r="W403" s="464"/>
      <c r="X403" s="464"/>
      <c r="Y403" s="464"/>
      <c r="Z403" s="464"/>
      <c r="AA403" s="464"/>
      <c r="AB403" s="464"/>
      <c r="AC403" s="464"/>
      <c r="AD403" s="464"/>
      <c r="AE403" s="464"/>
      <c r="AF403" s="464"/>
      <c r="AG403" s="464"/>
      <c r="AH403" s="464"/>
      <c r="AI403" s="464"/>
      <c r="AJ403" s="464"/>
      <c r="AK403" s="464"/>
      <c r="AL403" s="464"/>
      <c r="AM403" s="464"/>
      <c r="AN403" s="464"/>
      <c r="AO403" s="464"/>
      <c r="AP403" s="464"/>
      <c r="AQ403" s="464"/>
      <c r="AR403" s="464"/>
      <c r="AS403" s="464"/>
      <c r="AT403" s="464"/>
      <c r="AU403" s="464"/>
      <c r="AV403" s="464"/>
      <c r="AW403" s="464"/>
      <c r="AX403" s="464"/>
      <c r="AY403" s="464"/>
      <c r="AZ403" s="464"/>
      <c r="BA403" s="464"/>
      <c r="BB403" s="464"/>
      <c r="BC403" s="464"/>
      <c r="BD403" s="464"/>
      <c r="BE403" s="464"/>
      <c r="BF403" s="464"/>
      <c r="BG403" s="464"/>
      <c r="BH403" s="464"/>
      <c r="BJ403" s="463">
        <f t="shared" si="7"/>
        <v>396</v>
      </c>
      <c r="BZ403" s="467"/>
    </row>
    <row r="404" spans="8:78" ht="15.75" customHeight="1" x14ac:dyDescent="0.2">
      <c r="H404" s="464"/>
      <c r="I404" s="464"/>
      <c r="J404" s="464"/>
      <c r="K404" s="464"/>
      <c r="L404" s="464"/>
      <c r="M404" s="464"/>
      <c r="N404" s="464"/>
      <c r="O404" s="464"/>
      <c r="P404" s="464"/>
      <c r="Q404" s="464"/>
      <c r="R404" s="464"/>
      <c r="S404" s="464"/>
      <c r="T404" s="464"/>
      <c r="U404" s="464"/>
      <c r="V404" s="464"/>
      <c r="W404" s="464"/>
      <c r="X404" s="464"/>
      <c r="Y404" s="464"/>
      <c r="Z404" s="464"/>
      <c r="AA404" s="464"/>
      <c r="AB404" s="464"/>
      <c r="AC404" s="464"/>
      <c r="AD404" s="464"/>
      <c r="AE404" s="464"/>
      <c r="AF404" s="464"/>
      <c r="AG404" s="464"/>
      <c r="AH404" s="464"/>
      <c r="AI404" s="464"/>
      <c r="AJ404" s="464"/>
      <c r="AK404" s="464"/>
      <c r="AL404" s="464"/>
      <c r="AM404" s="464"/>
      <c r="AN404" s="464"/>
      <c r="AO404" s="464"/>
      <c r="AP404" s="464"/>
      <c r="AQ404" s="464"/>
      <c r="AR404" s="464"/>
      <c r="AS404" s="464"/>
      <c r="AT404" s="464"/>
      <c r="AU404" s="464"/>
      <c r="AV404" s="464"/>
      <c r="AW404" s="464"/>
      <c r="AX404" s="464"/>
      <c r="AY404" s="464"/>
      <c r="AZ404" s="464"/>
      <c r="BA404" s="464"/>
      <c r="BB404" s="464"/>
      <c r="BC404" s="464"/>
      <c r="BD404" s="464"/>
      <c r="BE404" s="464"/>
      <c r="BF404" s="464"/>
      <c r="BG404" s="464"/>
      <c r="BH404" s="464"/>
      <c r="BJ404" s="463">
        <f t="shared" si="7"/>
        <v>397</v>
      </c>
      <c r="BZ404" s="467"/>
    </row>
    <row r="405" spans="8:78" ht="15.75" customHeight="1" x14ac:dyDescent="0.2">
      <c r="H405" s="464"/>
      <c r="I405" s="464"/>
      <c r="J405" s="464"/>
      <c r="K405" s="464"/>
      <c r="L405" s="464"/>
      <c r="M405" s="464"/>
      <c r="N405" s="464"/>
      <c r="O405" s="464"/>
      <c r="P405" s="464"/>
      <c r="Q405" s="464"/>
      <c r="R405" s="464"/>
      <c r="S405" s="464"/>
      <c r="T405" s="464"/>
      <c r="U405" s="464"/>
      <c r="V405" s="464"/>
      <c r="W405" s="464"/>
      <c r="X405" s="464"/>
      <c r="Y405" s="464"/>
      <c r="Z405" s="464"/>
      <c r="AA405" s="464"/>
      <c r="AB405" s="464"/>
      <c r="AC405" s="464"/>
      <c r="AD405" s="464"/>
      <c r="AE405" s="464"/>
      <c r="AF405" s="464"/>
      <c r="AG405" s="464"/>
      <c r="AH405" s="464"/>
      <c r="AI405" s="464"/>
      <c r="AJ405" s="464"/>
      <c r="AK405" s="464"/>
      <c r="AL405" s="464"/>
      <c r="AM405" s="464"/>
      <c r="AN405" s="464"/>
      <c r="AO405" s="464"/>
      <c r="AP405" s="464"/>
      <c r="AQ405" s="464"/>
      <c r="AR405" s="464"/>
      <c r="AS405" s="464"/>
      <c r="AT405" s="464"/>
      <c r="AU405" s="464"/>
      <c r="AV405" s="464"/>
      <c r="AW405" s="464"/>
      <c r="AX405" s="464"/>
      <c r="AY405" s="464"/>
      <c r="AZ405" s="464"/>
      <c r="BA405" s="464"/>
      <c r="BB405" s="464"/>
      <c r="BC405" s="464"/>
      <c r="BD405" s="464"/>
      <c r="BE405" s="464"/>
      <c r="BF405" s="464"/>
      <c r="BG405" s="464"/>
      <c r="BH405" s="464"/>
      <c r="BJ405" s="463">
        <f t="shared" si="7"/>
        <v>398</v>
      </c>
      <c r="BZ405" s="467"/>
    </row>
    <row r="406" spans="8:78" ht="15.75" customHeight="1" x14ac:dyDescent="0.2">
      <c r="H406" s="464"/>
      <c r="I406" s="464"/>
      <c r="J406" s="464"/>
      <c r="K406" s="464"/>
      <c r="L406" s="464"/>
      <c r="M406" s="464"/>
      <c r="N406" s="464"/>
      <c r="O406" s="464"/>
      <c r="P406" s="464"/>
      <c r="Q406" s="464"/>
      <c r="R406" s="464"/>
      <c r="S406" s="464"/>
      <c r="T406" s="464"/>
      <c r="U406" s="464"/>
      <c r="V406" s="464"/>
      <c r="W406" s="464"/>
      <c r="X406" s="464"/>
      <c r="Y406" s="464"/>
      <c r="Z406" s="464"/>
      <c r="AA406" s="464"/>
      <c r="AB406" s="464"/>
      <c r="AC406" s="464"/>
      <c r="AD406" s="464"/>
      <c r="AE406" s="464"/>
      <c r="AF406" s="464"/>
      <c r="AG406" s="464"/>
      <c r="AH406" s="464"/>
      <c r="AI406" s="464"/>
      <c r="AJ406" s="464"/>
      <c r="AK406" s="464"/>
      <c r="AL406" s="464"/>
      <c r="AM406" s="464"/>
      <c r="AN406" s="464"/>
      <c r="AO406" s="464"/>
      <c r="AP406" s="464"/>
      <c r="AQ406" s="464"/>
      <c r="AR406" s="464"/>
      <c r="AS406" s="464"/>
      <c r="AT406" s="464"/>
      <c r="AU406" s="464"/>
      <c r="AV406" s="464"/>
      <c r="AW406" s="464"/>
      <c r="AX406" s="464"/>
      <c r="AY406" s="464"/>
      <c r="AZ406" s="464"/>
      <c r="BA406" s="464"/>
      <c r="BB406" s="464"/>
      <c r="BC406" s="464"/>
      <c r="BD406" s="464"/>
      <c r="BE406" s="464"/>
      <c r="BF406" s="464"/>
      <c r="BG406" s="464"/>
      <c r="BH406" s="464"/>
      <c r="BJ406" s="463">
        <f t="shared" si="7"/>
        <v>399</v>
      </c>
      <c r="BZ406" s="467"/>
    </row>
    <row r="407" spans="8:78" ht="15.75" customHeight="1" x14ac:dyDescent="0.2">
      <c r="H407" s="464"/>
      <c r="I407" s="464"/>
      <c r="J407" s="464"/>
      <c r="K407" s="464"/>
      <c r="L407" s="464"/>
      <c r="M407" s="464"/>
      <c r="N407" s="464"/>
      <c r="O407" s="464"/>
      <c r="P407" s="464"/>
      <c r="Q407" s="464"/>
      <c r="R407" s="464"/>
      <c r="S407" s="464"/>
      <c r="T407" s="464"/>
      <c r="U407" s="464"/>
      <c r="V407" s="464"/>
      <c r="W407" s="464"/>
      <c r="X407" s="464"/>
      <c r="Y407" s="464"/>
      <c r="Z407" s="464"/>
      <c r="AA407" s="464"/>
      <c r="AB407" s="464"/>
      <c r="AC407" s="464"/>
      <c r="AD407" s="464"/>
      <c r="AE407" s="464"/>
      <c r="AF407" s="464"/>
      <c r="AG407" s="464"/>
      <c r="AH407" s="464"/>
      <c r="AI407" s="464"/>
      <c r="AJ407" s="464"/>
      <c r="AK407" s="464"/>
      <c r="AL407" s="464"/>
      <c r="AM407" s="464"/>
      <c r="AN407" s="464"/>
      <c r="AO407" s="464"/>
      <c r="AP407" s="464"/>
      <c r="AQ407" s="464"/>
      <c r="AR407" s="464"/>
      <c r="AS407" s="464"/>
      <c r="AT407" s="464"/>
      <c r="AU407" s="464"/>
      <c r="AV407" s="464"/>
      <c r="AW407" s="464"/>
      <c r="AX407" s="464"/>
      <c r="AY407" s="464"/>
      <c r="AZ407" s="464"/>
      <c r="BA407" s="464"/>
      <c r="BB407" s="464"/>
      <c r="BC407" s="464"/>
      <c r="BD407" s="464"/>
      <c r="BE407" s="464"/>
      <c r="BF407" s="464"/>
      <c r="BG407" s="464"/>
      <c r="BH407" s="464"/>
      <c r="BJ407" s="463">
        <f t="shared" si="7"/>
        <v>400</v>
      </c>
      <c r="BZ407" s="467"/>
    </row>
    <row r="408" spans="8:78" ht="15.75" customHeight="1" x14ac:dyDescent="0.2">
      <c r="H408" s="464"/>
      <c r="I408" s="464"/>
      <c r="J408" s="464"/>
      <c r="K408" s="464"/>
      <c r="L408" s="464"/>
      <c r="M408" s="464"/>
      <c r="N408" s="464"/>
      <c r="O408" s="464"/>
      <c r="P408" s="464"/>
      <c r="Q408" s="464"/>
      <c r="R408" s="464"/>
      <c r="S408" s="464"/>
      <c r="T408" s="464"/>
      <c r="U408" s="464"/>
      <c r="V408" s="464"/>
      <c r="W408" s="464"/>
      <c r="X408" s="464"/>
      <c r="Y408" s="464"/>
      <c r="Z408" s="464"/>
      <c r="AA408" s="464"/>
      <c r="AB408" s="464"/>
      <c r="AC408" s="464"/>
      <c r="AD408" s="464"/>
      <c r="AE408" s="464"/>
      <c r="AF408" s="464"/>
      <c r="AG408" s="464"/>
      <c r="AH408" s="464"/>
      <c r="AI408" s="464"/>
      <c r="AJ408" s="464"/>
      <c r="AK408" s="464"/>
      <c r="AL408" s="464"/>
      <c r="AM408" s="464"/>
      <c r="AN408" s="464"/>
      <c r="AO408" s="464"/>
      <c r="AP408" s="464"/>
      <c r="AQ408" s="464"/>
      <c r="AR408" s="464"/>
      <c r="AS408" s="464"/>
      <c r="AT408" s="464"/>
      <c r="AU408" s="464"/>
      <c r="AV408" s="464"/>
      <c r="AW408" s="464"/>
      <c r="AX408" s="464"/>
      <c r="AY408" s="464"/>
      <c r="AZ408" s="464"/>
      <c r="BA408" s="464"/>
      <c r="BB408" s="464"/>
      <c r="BC408" s="464"/>
      <c r="BD408" s="464"/>
      <c r="BE408" s="464"/>
      <c r="BF408" s="464"/>
      <c r="BG408" s="464"/>
      <c r="BH408" s="464"/>
      <c r="BJ408" s="463">
        <f t="shared" si="7"/>
        <v>401</v>
      </c>
      <c r="BZ408" s="467"/>
    </row>
    <row r="409" spans="8:78" ht="15.75" customHeight="1" x14ac:dyDescent="0.2">
      <c r="H409" s="464"/>
      <c r="I409" s="464"/>
      <c r="J409" s="464"/>
      <c r="K409" s="464"/>
      <c r="L409" s="464"/>
      <c r="M409" s="464"/>
      <c r="N409" s="464"/>
      <c r="O409" s="464"/>
      <c r="P409" s="464"/>
      <c r="Q409" s="464"/>
      <c r="R409" s="464"/>
      <c r="S409" s="464"/>
      <c r="T409" s="464"/>
      <c r="U409" s="464"/>
      <c r="V409" s="464"/>
      <c r="W409" s="464"/>
      <c r="X409" s="464"/>
      <c r="Y409" s="464"/>
      <c r="Z409" s="464"/>
      <c r="AA409" s="464"/>
      <c r="AB409" s="464"/>
      <c r="AC409" s="464"/>
      <c r="AD409" s="464"/>
      <c r="AE409" s="464"/>
      <c r="AF409" s="464"/>
      <c r="AG409" s="464"/>
      <c r="AH409" s="464"/>
      <c r="AI409" s="464"/>
      <c r="AJ409" s="464"/>
      <c r="AK409" s="464"/>
      <c r="AL409" s="464"/>
      <c r="AM409" s="464"/>
      <c r="AN409" s="464"/>
      <c r="AO409" s="464"/>
      <c r="AP409" s="464"/>
      <c r="AQ409" s="464"/>
      <c r="AR409" s="464"/>
      <c r="AS409" s="464"/>
      <c r="AT409" s="464"/>
      <c r="AU409" s="464"/>
      <c r="AV409" s="464"/>
      <c r="AW409" s="464"/>
      <c r="AX409" s="464"/>
      <c r="AY409" s="464"/>
      <c r="AZ409" s="464"/>
      <c r="BA409" s="464"/>
      <c r="BB409" s="464"/>
      <c r="BC409" s="464"/>
      <c r="BD409" s="464"/>
      <c r="BE409" s="464"/>
      <c r="BF409" s="464"/>
      <c r="BG409" s="464"/>
      <c r="BH409" s="464"/>
      <c r="BJ409" s="463">
        <f t="shared" si="7"/>
        <v>402</v>
      </c>
      <c r="BZ409" s="467"/>
    </row>
    <row r="410" spans="8:78" ht="15.75" customHeight="1" x14ac:dyDescent="0.2">
      <c r="H410" s="464"/>
      <c r="I410" s="464"/>
      <c r="J410" s="464"/>
      <c r="K410" s="464"/>
      <c r="L410" s="464"/>
      <c r="M410" s="464"/>
      <c r="N410" s="464"/>
      <c r="O410" s="464"/>
      <c r="P410" s="464"/>
      <c r="Q410" s="464"/>
      <c r="R410" s="464"/>
      <c r="S410" s="464"/>
      <c r="T410" s="464"/>
      <c r="U410" s="464"/>
      <c r="V410" s="464"/>
      <c r="W410" s="464"/>
      <c r="X410" s="464"/>
      <c r="Y410" s="464"/>
      <c r="Z410" s="464"/>
      <c r="AA410" s="464"/>
      <c r="AB410" s="464"/>
      <c r="AC410" s="464"/>
      <c r="AD410" s="464"/>
      <c r="AE410" s="464"/>
      <c r="AF410" s="464"/>
      <c r="AG410" s="464"/>
      <c r="AH410" s="464"/>
      <c r="AI410" s="464"/>
      <c r="AJ410" s="464"/>
      <c r="AK410" s="464"/>
      <c r="AL410" s="464"/>
      <c r="AM410" s="464"/>
      <c r="AN410" s="464"/>
      <c r="AO410" s="464"/>
      <c r="AP410" s="464"/>
      <c r="AQ410" s="464"/>
      <c r="AR410" s="464"/>
      <c r="AS410" s="464"/>
      <c r="AT410" s="464"/>
      <c r="AU410" s="464"/>
      <c r="AV410" s="464"/>
      <c r="AW410" s="464"/>
      <c r="AX410" s="464"/>
      <c r="AY410" s="464"/>
      <c r="AZ410" s="464"/>
      <c r="BA410" s="464"/>
      <c r="BB410" s="464"/>
      <c r="BC410" s="464"/>
      <c r="BD410" s="464"/>
      <c r="BE410" s="464"/>
      <c r="BF410" s="464"/>
      <c r="BG410" s="464"/>
      <c r="BH410" s="464"/>
      <c r="BJ410" s="463">
        <f t="shared" si="7"/>
        <v>403</v>
      </c>
      <c r="BZ410" s="467"/>
    </row>
    <row r="411" spans="8:78" ht="15.75" customHeight="1" x14ac:dyDescent="0.2">
      <c r="H411" s="464"/>
      <c r="I411" s="464"/>
      <c r="J411" s="464"/>
      <c r="K411" s="464"/>
      <c r="L411" s="464"/>
      <c r="M411" s="464"/>
      <c r="N411" s="464"/>
      <c r="O411" s="464"/>
      <c r="P411" s="464"/>
      <c r="Q411" s="464"/>
      <c r="R411" s="464"/>
      <c r="S411" s="464"/>
      <c r="T411" s="464"/>
      <c r="U411" s="464"/>
      <c r="V411" s="464"/>
      <c r="W411" s="464"/>
      <c r="X411" s="464"/>
      <c r="Y411" s="464"/>
      <c r="Z411" s="464"/>
      <c r="AA411" s="464"/>
      <c r="AB411" s="464"/>
      <c r="AC411" s="464"/>
      <c r="AD411" s="464"/>
      <c r="AE411" s="464"/>
      <c r="AF411" s="464"/>
      <c r="AG411" s="464"/>
      <c r="AH411" s="464"/>
      <c r="AI411" s="464"/>
      <c r="AJ411" s="464"/>
      <c r="AK411" s="464"/>
      <c r="AL411" s="464"/>
      <c r="AM411" s="464"/>
      <c r="AN411" s="464"/>
      <c r="AO411" s="464"/>
      <c r="AP411" s="464"/>
      <c r="AQ411" s="464"/>
      <c r="AR411" s="464"/>
      <c r="AS411" s="464"/>
      <c r="AT411" s="464"/>
      <c r="AU411" s="464"/>
      <c r="AV411" s="464"/>
      <c r="AW411" s="464"/>
      <c r="AX411" s="464"/>
      <c r="AY411" s="464"/>
      <c r="AZ411" s="464"/>
      <c r="BA411" s="464"/>
      <c r="BB411" s="464"/>
      <c r="BC411" s="464"/>
      <c r="BD411" s="464"/>
      <c r="BE411" s="464"/>
      <c r="BF411" s="464"/>
      <c r="BG411" s="464"/>
      <c r="BH411" s="464"/>
      <c r="BJ411" s="463">
        <f t="shared" si="7"/>
        <v>404</v>
      </c>
      <c r="BZ411" s="467"/>
    </row>
    <row r="412" spans="8:78" ht="15.75" customHeight="1" x14ac:dyDescent="0.2">
      <c r="H412" s="464"/>
      <c r="I412" s="464"/>
      <c r="J412" s="464"/>
      <c r="K412" s="464"/>
      <c r="L412" s="464"/>
      <c r="M412" s="464"/>
      <c r="N412" s="464"/>
      <c r="O412" s="464"/>
      <c r="P412" s="464"/>
      <c r="Q412" s="464"/>
      <c r="R412" s="464"/>
      <c r="S412" s="464"/>
      <c r="T412" s="464"/>
      <c r="U412" s="464"/>
      <c r="V412" s="464"/>
      <c r="W412" s="464"/>
      <c r="X412" s="464"/>
      <c r="Y412" s="464"/>
      <c r="Z412" s="464"/>
      <c r="AA412" s="464"/>
      <c r="AB412" s="464"/>
      <c r="AC412" s="464"/>
      <c r="AD412" s="464"/>
      <c r="AE412" s="464"/>
      <c r="AF412" s="464"/>
      <c r="AG412" s="464"/>
      <c r="AH412" s="464"/>
      <c r="AI412" s="464"/>
      <c r="AJ412" s="464"/>
      <c r="AK412" s="464"/>
      <c r="AL412" s="464"/>
      <c r="AM412" s="464"/>
      <c r="AN412" s="464"/>
      <c r="AO412" s="464"/>
      <c r="AP412" s="464"/>
      <c r="AQ412" s="464"/>
      <c r="AR412" s="464"/>
      <c r="AS412" s="464"/>
      <c r="AT412" s="464"/>
      <c r="AU412" s="464"/>
      <c r="AV412" s="464"/>
      <c r="AW412" s="464"/>
      <c r="AX412" s="464"/>
      <c r="AY412" s="464"/>
      <c r="AZ412" s="464"/>
      <c r="BA412" s="464"/>
      <c r="BB412" s="464"/>
      <c r="BC412" s="464"/>
      <c r="BD412" s="464"/>
      <c r="BE412" s="464"/>
      <c r="BF412" s="464"/>
      <c r="BG412" s="464"/>
      <c r="BH412" s="464"/>
      <c r="BJ412" s="463">
        <f t="shared" si="7"/>
        <v>405</v>
      </c>
      <c r="BZ412" s="467"/>
    </row>
    <row r="413" spans="8:78" ht="15.75" customHeight="1" x14ac:dyDescent="0.2">
      <c r="H413" s="464"/>
      <c r="I413" s="464"/>
      <c r="J413" s="464"/>
      <c r="K413" s="464"/>
      <c r="L413" s="464"/>
      <c r="M413" s="464"/>
      <c r="N413" s="464"/>
      <c r="O413" s="464"/>
      <c r="P413" s="464"/>
      <c r="Q413" s="464"/>
      <c r="R413" s="464"/>
      <c r="S413" s="464"/>
      <c r="T413" s="464"/>
      <c r="U413" s="464"/>
      <c r="V413" s="464"/>
      <c r="W413" s="464"/>
      <c r="X413" s="464"/>
      <c r="Y413" s="464"/>
      <c r="Z413" s="464"/>
      <c r="AA413" s="464"/>
      <c r="AB413" s="464"/>
      <c r="AC413" s="464"/>
      <c r="AD413" s="464"/>
      <c r="AE413" s="464"/>
      <c r="AF413" s="464"/>
      <c r="AG413" s="464"/>
      <c r="AH413" s="464"/>
      <c r="AI413" s="464"/>
      <c r="AJ413" s="464"/>
      <c r="AK413" s="464"/>
      <c r="AL413" s="464"/>
      <c r="AM413" s="464"/>
      <c r="AN413" s="464"/>
      <c r="AO413" s="464"/>
      <c r="AP413" s="464"/>
      <c r="AQ413" s="464"/>
      <c r="AR413" s="464"/>
      <c r="AS413" s="464"/>
      <c r="AT413" s="464"/>
      <c r="AU413" s="464"/>
      <c r="AV413" s="464"/>
      <c r="AW413" s="464"/>
      <c r="AX413" s="464"/>
      <c r="AY413" s="464"/>
      <c r="AZ413" s="464"/>
      <c r="BA413" s="464"/>
      <c r="BB413" s="464"/>
      <c r="BC413" s="464"/>
      <c r="BD413" s="464"/>
      <c r="BE413" s="464"/>
      <c r="BF413" s="464"/>
      <c r="BG413" s="464"/>
      <c r="BH413" s="464"/>
      <c r="BJ413" s="463">
        <f t="shared" si="7"/>
        <v>406</v>
      </c>
      <c r="BZ413" s="467"/>
    </row>
    <row r="414" spans="8:78" ht="15.75" customHeight="1" x14ac:dyDescent="0.2">
      <c r="H414" s="464"/>
      <c r="I414" s="464"/>
      <c r="J414" s="464"/>
      <c r="K414" s="464"/>
      <c r="L414" s="464"/>
      <c r="M414" s="464"/>
      <c r="N414" s="464"/>
      <c r="O414" s="464"/>
      <c r="P414" s="464"/>
      <c r="Q414" s="464"/>
      <c r="R414" s="464"/>
      <c r="S414" s="464"/>
      <c r="T414" s="464"/>
      <c r="U414" s="464"/>
      <c r="V414" s="464"/>
      <c r="W414" s="464"/>
      <c r="X414" s="464"/>
      <c r="Y414" s="464"/>
      <c r="Z414" s="464"/>
      <c r="AA414" s="464"/>
      <c r="AB414" s="464"/>
      <c r="AC414" s="464"/>
      <c r="AD414" s="464"/>
      <c r="AE414" s="464"/>
      <c r="AF414" s="464"/>
      <c r="AG414" s="464"/>
      <c r="AH414" s="464"/>
      <c r="AI414" s="464"/>
      <c r="AJ414" s="464"/>
      <c r="AK414" s="464"/>
      <c r="AL414" s="464"/>
      <c r="AM414" s="464"/>
      <c r="AN414" s="464"/>
      <c r="AO414" s="464"/>
      <c r="AP414" s="464"/>
      <c r="AQ414" s="464"/>
      <c r="AR414" s="464"/>
      <c r="AS414" s="464"/>
      <c r="AT414" s="464"/>
      <c r="AU414" s="464"/>
      <c r="AV414" s="464"/>
      <c r="AW414" s="464"/>
      <c r="AX414" s="464"/>
      <c r="AY414" s="464"/>
      <c r="AZ414" s="464"/>
      <c r="BA414" s="464"/>
      <c r="BB414" s="464"/>
      <c r="BC414" s="464"/>
      <c r="BD414" s="464"/>
      <c r="BE414" s="464"/>
      <c r="BF414" s="464"/>
      <c r="BG414" s="464"/>
      <c r="BH414" s="464"/>
      <c r="BJ414" s="463">
        <f t="shared" si="7"/>
        <v>407</v>
      </c>
      <c r="BZ414" s="467"/>
    </row>
    <row r="415" spans="8:78" ht="15.75" customHeight="1" x14ac:dyDescent="0.2">
      <c r="H415" s="464"/>
      <c r="I415" s="464"/>
      <c r="J415" s="464"/>
      <c r="K415" s="464"/>
      <c r="L415" s="464"/>
      <c r="M415" s="464"/>
      <c r="N415" s="464"/>
      <c r="O415" s="464"/>
      <c r="P415" s="464"/>
      <c r="Q415" s="464"/>
      <c r="R415" s="464"/>
      <c r="S415" s="464"/>
      <c r="T415" s="464"/>
      <c r="U415" s="464"/>
      <c r="V415" s="464"/>
      <c r="W415" s="464"/>
      <c r="X415" s="464"/>
      <c r="Y415" s="464"/>
      <c r="Z415" s="464"/>
      <c r="AA415" s="464"/>
      <c r="AB415" s="464"/>
      <c r="AC415" s="464"/>
      <c r="AD415" s="464"/>
      <c r="AE415" s="464"/>
      <c r="AF415" s="464"/>
      <c r="AG415" s="464"/>
      <c r="AH415" s="464"/>
      <c r="AI415" s="464"/>
      <c r="AJ415" s="464"/>
      <c r="AK415" s="464"/>
      <c r="AL415" s="464"/>
      <c r="AM415" s="464"/>
      <c r="AN415" s="464"/>
      <c r="AO415" s="464"/>
      <c r="AP415" s="464"/>
      <c r="AQ415" s="464"/>
      <c r="AR415" s="464"/>
      <c r="AS415" s="464"/>
      <c r="AT415" s="464"/>
      <c r="AU415" s="464"/>
      <c r="AV415" s="464"/>
      <c r="AW415" s="464"/>
      <c r="AX415" s="464"/>
      <c r="AY415" s="464"/>
      <c r="AZ415" s="464"/>
      <c r="BA415" s="464"/>
      <c r="BB415" s="464"/>
      <c r="BC415" s="464"/>
      <c r="BD415" s="464"/>
      <c r="BE415" s="464"/>
      <c r="BF415" s="464"/>
      <c r="BG415" s="464"/>
      <c r="BH415" s="464"/>
      <c r="BJ415" s="463">
        <f t="shared" si="7"/>
        <v>408</v>
      </c>
      <c r="BZ415" s="467"/>
    </row>
    <row r="416" spans="8:78" ht="15.75" customHeight="1" x14ac:dyDescent="0.2">
      <c r="H416" s="464"/>
      <c r="I416" s="464"/>
      <c r="J416" s="464"/>
      <c r="K416" s="464"/>
      <c r="L416" s="464"/>
      <c r="M416" s="464"/>
      <c r="N416" s="464"/>
      <c r="O416" s="464"/>
      <c r="P416" s="464"/>
      <c r="Q416" s="464"/>
      <c r="R416" s="464"/>
      <c r="S416" s="464"/>
      <c r="T416" s="464"/>
      <c r="U416" s="464"/>
      <c r="V416" s="464"/>
      <c r="W416" s="464"/>
      <c r="X416" s="464"/>
      <c r="Y416" s="464"/>
      <c r="Z416" s="464"/>
      <c r="AA416" s="464"/>
      <c r="AB416" s="464"/>
      <c r="AC416" s="464"/>
      <c r="AD416" s="464"/>
      <c r="AE416" s="464"/>
      <c r="AF416" s="464"/>
      <c r="AG416" s="464"/>
      <c r="AH416" s="464"/>
      <c r="AI416" s="464"/>
      <c r="AJ416" s="464"/>
      <c r="AK416" s="464"/>
      <c r="AL416" s="464"/>
      <c r="AM416" s="464"/>
      <c r="AN416" s="464"/>
      <c r="AO416" s="464"/>
      <c r="AP416" s="464"/>
      <c r="AQ416" s="464"/>
      <c r="AR416" s="464"/>
      <c r="AS416" s="464"/>
      <c r="AT416" s="464"/>
      <c r="AU416" s="464"/>
      <c r="AV416" s="464"/>
      <c r="AW416" s="464"/>
      <c r="AX416" s="464"/>
      <c r="AY416" s="464"/>
      <c r="AZ416" s="464"/>
      <c r="BA416" s="464"/>
      <c r="BB416" s="464"/>
      <c r="BC416" s="464"/>
      <c r="BD416" s="464"/>
      <c r="BE416" s="464"/>
      <c r="BF416" s="464"/>
      <c r="BG416" s="464"/>
      <c r="BH416" s="464"/>
      <c r="BJ416" s="463">
        <f t="shared" si="7"/>
        <v>409</v>
      </c>
      <c r="BZ416" s="467"/>
    </row>
    <row r="417" spans="8:78" ht="15.75" customHeight="1" x14ac:dyDescent="0.2">
      <c r="H417" s="464"/>
      <c r="I417" s="464"/>
      <c r="J417" s="464"/>
      <c r="K417" s="464"/>
      <c r="L417" s="464"/>
      <c r="M417" s="464"/>
      <c r="N417" s="464"/>
      <c r="O417" s="464"/>
      <c r="P417" s="464"/>
      <c r="Q417" s="464"/>
      <c r="R417" s="464"/>
      <c r="S417" s="464"/>
      <c r="T417" s="464"/>
      <c r="U417" s="464"/>
      <c r="V417" s="464"/>
      <c r="W417" s="464"/>
      <c r="X417" s="464"/>
      <c r="Y417" s="464"/>
      <c r="Z417" s="464"/>
      <c r="AA417" s="464"/>
      <c r="AB417" s="464"/>
      <c r="AC417" s="464"/>
      <c r="AD417" s="464"/>
      <c r="AE417" s="464"/>
      <c r="AF417" s="464"/>
      <c r="AG417" s="464"/>
      <c r="AH417" s="464"/>
      <c r="AI417" s="464"/>
      <c r="AJ417" s="464"/>
      <c r="AK417" s="464"/>
      <c r="AL417" s="464"/>
      <c r="AM417" s="464"/>
      <c r="AN417" s="464"/>
      <c r="AO417" s="464"/>
      <c r="AP417" s="464"/>
      <c r="AQ417" s="464"/>
      <c r="AR417" s="464"/>
      <c r="AS417" s="464"/>
      <c r="AT417" s="464"/>
      <c r="AU417" s="464"/>
      <c r="AV417" s="464"/>
      <c r="AW417" s="464"/>
      <c r="AX417" s="464"/>
      <c r="AY417" s="464"/>
      <c r="AZ417" s="464"/>
      <c r="BA417" s="464"/>
      <c r="BB417" s="464"/>
      <c r="BC417" s="464"/>
      <c r="BD417" s="464"/>
      <c r="BE417" s="464"/>
      <c r="BF417" s="464"/>
      <c r="BG417" s="464"/>
      <c r="BH417" s="464"/>
      <c r="BJ417" s="463">
        <f t="shared" si="7"/>
        <v>410</v>
      </c>
      <c r="BZ417" s="467"/>
    </row>
    <row r="418" spans="8:78" ht="15.75" customHeight="1" x14ac:dyDescent="0.2">
      <c r="H418" s="464"/>
      <c r="I418" s="464"/>
      <c r="J418" s="464"/>
      <c r="K418" s="464"/>
      <c r="L418" s="464"/>
      <c r="M418" s="464"/>
      <c r="N418" s="464"/>
      <c r="O418" s="464"/>
      <c r="P418" s="464"/>
      <c r="Q418" s="464"/>
      <c r="R418" s="464"/>
      <c r="S418" s="464"/>
      <c r="T418" s="464"/>
      <c r="U418" s="464"/>
      <c r="V418" s="464"/>
      <c r="W418" s="464"/>
      <c r="X418" s="464"/>
      <c r="Y418" s="464"/>
      <c r="Z418" s="464"/>
      <c r="AA418" s="464"/>
      <c r="AB418" s="464"/>
      <c r="AC418" s="464"/>
      <c r="AD418" s="464"/>
      <c r="AE418" s="464"/>
      <c r="AF418" s="464"/>
      <c r="AG418" s="464"/>
      <c r="AH418" s="464"/>
      <c r="AI418" s="464"/>
      <c r="AJ418" s="464"/>
      <c r="AK418" s="464"/>
      <c r="AL418" s="464"/>
      <c r="AM418" s="464"/>
      <c r="AN418" s="464"/>
      <c r="AO418" s="464"/>
      <c r="AP418" s="464"/>
      <c r="AQ418" s="464"/>
      <c r="AR418" s="464"/>
      <c r="AS418" s="464"/>
      <c r="AT418" s="464"/>
      <c r="AU418" s="464"/>
      <c r="AV418" s="464"/>
      <c r="AW418" s="464"/>
      <c r="AX418" s="464"/>
      <c r="AY418" s="464"/>
      <c r="AZ418" s="464"/>
      <c r="BA418" s="464"/>
      <c r="BB418" s="464"/>
      <c r="BC418" s="464"/>
      <c r="BD418" s="464"/>
      <c r="BE418" s="464"/>
      <c r="BF418" s="464"/>
      <c r="BG418" s="464"/>
      <c r="BH418" s="464"/>
      <c r="BJ418" s="463">
        <f t="shared" si="7"/>
        <v>411</v>
      </c>
      <c r="BZ418" s="467"/>
    </row>
    <row r="419" spans="8:78" ht="15.75" customHeight="1" x14ac:dyDescent="0.2">
      <c r="H419" s="464"/>
      <c r="I419" s="464"/>
      <c r="J419" s="464"/>
      <c r="K419" s="464"/>
      <c r="L419" s="464"/>
      <c r="M419" s="464"/>
      <c r="N419" s="464"/>
      <c r="O419" s="464"/>
      <c r="P419" s="464"/>
      <c r="Q419" s="464"/>
      <c r="R419" s="464"/>
      <c r="S419" s="464"/>
      <c r="T419" s="464"/>
      <c r="U419" s="464"/>
      <c r="V419" s="464"/>
      <c r="W419" s="464"/>
      <c r="X419" s="464"/>
      <c r="Y419" s="464"/>
      <c r="Z419" s="464"/>
      <c r="AA419" s="464"/>
      <c r="AB419" s="464"/>
      <c r="AC419" s="464"/>
      <c r="AD419" s="464"/>
      <c r="AE419" s="464"/>
      <c r="AF419" s="464"/>
      <c r="AG419" s="464"/>
      <c r="AH419" s="464"/>
      <c r="AI419" s="464"/>
      <c r="AJ419" s="464"/>
      <c r="AK419" s="464"/>
      <c r="AL419" s="464"/>
      <c r="AM419" s="464"/>
      <c r="AN419" s="464"/>
      <c r="AO419" s="464"/>
      <c r="AP419" s="464"/>
      <c r="AQ419" s="464"/>
      <c r="AR419" s="464"/>
      <c r="AS419" s="464"/>
      <c r="AT419" s="464"/>
      <c r="AU419" s="464"/>
      <c r="AV419" s="464"/>
      <c r="AW419" s="464"/>
      <c r="AX419" s="464"/>
      <c r="AY419" s="464"/>
      <c r="AZ419" s="464"/>
      <c r="BA419" s="464"/>
      <c r="BB419" s="464"/>
      <c r="BC419" s="464"/>
      <c r="BD419" s="464"/>
      <c r="BE419" s="464"/>
      <c r="BF419" s="464"/>
      <c r="BG419" s="464"/>
      <c r="BH419" s="464"/>
      <c r="BJ419" s="463">
        <f t="shared" si="7"/>
        <v>412</v>
      </c>
      <c r="BZ419" s="467"/>
    </row>
    <row r="420" spans="8:78" ht="15.75" customHeight="1" x14ac:dyDescent="0.2">
      <c r="H420" s="464"/>
      <c r="I420" s="464"/>
      <c r="J420" s="464"/>
      <c r="K420" s="464"/>
      <c r="L420" s="464"/>
      <c r="M420" s="464"/>
      <c r="N420" s="464"/>
      <c r="O420" s="464"/>
      <c r="P420" s="464"/>
      <c r="Q420" s="464"/>
      <c r="R420" s="464"/>
      <c r="S420" s="464"/>
      <c r="T420" s="464"/>
      <c r="U420" s="464"/>
      <c r="V420" s="464"/>
      <c r="W420" s="464"/>
      <c r="X420" s="464"/>
      <c r="Y420" s="464"/>
      <c r="Z420" s="464"/>
      <c r="AA420" s="464"/>
      <c r="AB420" s="464"/>
      <c r="AC420" s="464"/>
      <c r="AD420" s="464"/>
      <c r="AE420" s="464"/>
      <c r="AF420" s="464"/>
      <c r="AG420" s="464"/>
      <c r="AH420" s="464"/>
      <c r="AI420" s="464"/>
      <c r="AJ420" s="464"/>
      <c r="AK420" s="464"/>
      <c r="AL420" s="464"/>
      <c r="AM420" s="464"/>
      <c r="AN420" s="464"/>
      <c r="AO420" s="464"/>
      <c r="AP420" s="464"/>
      <c r="AQ420" s="464"/>
      <c r="AR420" s="464"/>
      <c r="AS420" s="464"/>
      <c r="AT420" s="464"/>
      <c r="AU420" s="464"/>
      <c r="AV420" s="464"/>
      <c r="AW420" s="464"/>
      <c r="AX420" s="464"/>
      <c r="AY420" s="464"/>
      <c r="AZ420" s="464"/>
      <c r="BA420" s="464"/>
      <c r="BB420" s="464"/>
      <c r="BC420" s="464"/>
      <c r="BD420" s="464"/>
      <c r="BE420" s="464"/>
      <c r="BF420" s="464"/>
      <c r="BG420" s="464"/>
      <c r="BH420" s="464"/>
      <c r="BJ420" s="463">
        <f t="shared" si="7"/>
        <v>413</v>
      </c>
      <c r="BZ420" s="467"/>
    </row>
    <row r="421" spans="8:78" ht="15.75" customHeight="1" x14ac:dyDescent="0.2">
      <c r="H421" s="464"/>
      <c r="I421" s="464"/>
      <c r="J421" s="464"/>
      <c r="K421" s="464"/>
      <c r="L421" s="464"/>
      <c r="M421" s="464"/>
      <c r="N421" s="464"/>
      <c r="O421" s="464"/>
      <c r="P421" s="464"/>
      <c r="Q421" s="464"/>
      <c r="R421" s="464"/>
      <c r="S421" s="464"/>
      <c r="T421" s="464"/>
      <c r="U421" s="464"/>
      <c r="V421" s="464"/>
      <c r="W421" s="464"/>
      <c r="X421" s="464"/>
      <c r="Y421" s="464"/>
      <c r="Z421" s="464"/>
      <c r="AA421" s="464"/>
      <c r="AB421" s="464"/>
      <c r="AC421" s="464"/>
      <c r="AD421" s="464"/>
      <c r="AE421" s="464"/>
      <c r="AF421" s="464"/>
      <c r="AG421" s="464"/>
      <c r="AH421" s="464"/>
      <c r="AI421" s="464"/>
      <c r="AJ421" s="464"/>
      <c r="AK421" s="464"/>
      <c r="AL421" s="464"/>
      <c r="AM421" s="464"/>
      <c r="AN421" s="464"/>
      <c r="AO421" s="464"/>
      <c r="AP421" s="464"/>
      <c r="AQ421" s="464"/>
      <c r="AR421" s="464"/>
      <c r="AS421" s="464"/>
      <c r="AT421" s="464"/>
      <c r="AU421" s="464"/>
      <c r="AV421" s="464"/>
      <c r="AW421" s="464"/>
      <c r="AX421" s="464"/>
      <c r="AY421" s="464"/>
      <c r="AZ421" s="464"/>
      <c r="BA421" s="464"/>
      <c r="BB421" s="464"/>
      <c r="BC421" s="464"/>
      <c r="BD421" s="464"/>
      <c r="BE421" s="464"/>
      <c r="BF421" s="464"/>
      <c r="BG421" s="464"/>
      <c r="BH421" s="464"/>
      <c r="BJ421" s="463">
        <f t="shared" si="7"/>
        <v>414</v>
      </c>
      <c r="BZ421" s="467"/>
    </row>
    <row r="422" spans="8:78" ht="15.75" customHeight="1" x14ac:dyDescent="0.2">
      <c r="H422" s="464"/>
      <c r="I422" s="464"/>
      <c r="J422" s="464"/>
      <c r="K422" s="464"/>
      <c r="L422" s="464"/>
      <c r="M422" s="464"/>
      <c r="N422" s="464"/>
      <c r="O422" s="464"/>
      <c r="P422" s="464"/>
      <c r="Q422" s="464"/>
      <c r="R422" s="464"/>
      <c r="S422" s="464"/>
      <c r="T422" s="464"/>
      <c r="U422" s="464"/>
      <c r="V422" s="464"/>
      <c r="W422" s="464"/>
      <c r="X422" s="464"/>
      <c r="Y422" s="464"/>
      <c r="Z422" s="464"/>
      <c r="AA422" s="464"/>
      <c r="AB422" s="464"/>
      <c r="AC422" s="464"/>
      <c r="AD422" s="464"/>
      <c r="AE422" s="464"/>
      <c r="AF422" s="464"/>
      <c r="AG422" s="464"/>
      <c r="AH422" s="464"/>
      <c r="AI422" s="464"/>
      <c r="AJ422" s="464"/>
      <c r="AK422" s="464"/>
      <c r="AL422" s="464"/>
      <c r="AM422" s="464"/>
      <c r="AN422" s="464"/>
      <c r="AO422" s="464"/>
      <c r="AP422" s="464"/>
      <c r="AQ422" s="464"/>
      <c r="AR422" s="464"/>
      <c r="AS422" s="464"/>
      <c r="AT422" s="464"/>
      <c r="AU422" s="464"/>
      <c r="AV422" s="464"/>
      <c r="AW422" s="464"/>
      <c r="AX422" s="464"/>
      <c r="AY422" s="464"/>
      <c r="AZ422" s="464"/>
      <c r="BA422" s="464"/>
      <c r="BB422" s="464"/>
      <c r="BC422" s="464"/>
      <c r="BD422" s="464"/>
      <c r="BE422" s="464"/>
      <c r="BF422" s="464"/>
      <c r="BG422" s="464"/>
      <c r="BH422" s="464"/>
      <c r="BJ422" s="463">
        <f t="shared" si="7"/>
        <v>415</v>
      </c>
      <c r="BZ422" s="467"/>
    </row>
    <row r="423" spans="8:78" ht="15.75" customHeight="1" x14ac:dyDescent="0.2">
      <c r="H423" s="464"/>
      <c r="I423" s="464"/>
      <c r="J423" s="464"/>
      <c r="K423" s="464"/>
      <c r="L423" s="464"/>
      <c r="M423" s="464"/>
      <c r="N423" s="464"/>
      <c r="O423" s="464"/>
      <c r="P423" s="464"/>
      <c r="Q423" s="464"/>
      <c r="R423" s="464"/>
      <c r="S423" s="464"/>
      <c r="T423" s="464"/>
      <c r="U423" s="464"/>
      <c r="V423" s="464"/>
      <c r="W423" s="464"/>
      <c r="X423" s="464"/>
      <c r="Y423" s="464"/>
      <c r="Z423" s="464"/>
      <c r="AA423" s="464"/>
      <c r="AB423" s="464"/>
      <c r="AC423" s="464"/>
      <c r="AD423" s="464"/>
      <c r="AE423" s="464"/>
      <c r="AF423" s="464"/>
      <c r="AG423" s="464"/>
      <c r="AH423" s="464"/>
      <c r="AI423" s="464"/>
      <c r="AJ423" s="464"/>
      <c r="AK423" s="464"/>
      <c r="AL423" s="464"/>
      <c r="AM423" s="464"/>
      <c r="AN423" s="464"/>
      <c r="AO423" s="464"/>
      <c r="AP423" s="464"/>
      <c r="AQ423" s="464"/>
      <c r="AR423" s="464"/>
      <c r="AS423" s="464"/>
      <c r="AT423" s="464"/>
      <c r="AU423" s="464"/>
      <c r="AV423" s="464"/>
      <c r="AW423" s="464"/>
      <c r="AX423" s="464"/>
      <c r="AY423" s="464"/>
      <c r="AZ423" s="464"/>
      <c r="BA423" s="464"/>
      <c r="BB423" s="464"/>
      <c r="BC423" s="464"/>
      <c r="BD423" s="464"/>
      <c r="BE423" s="464"/>
      <c r="BF423" s="464"/>
      <c r="BG423" s="464"/>
      <c r="BH423" s="464"/>
      <c r="BJ423" s="463">
        <f t="shared" si="7"/>
        <v>416</v>
      </c>
      <c r="BZ423" s="467"/>
    </row>
    <row r="424" spans="8:78" ht="15.75" customHeight="1" x14ac:dyDescent="0.2">
      <c r="H424" s="464"/>
      <c r="I424" s="464"/>
      <c r="J424" s="464"/>
      <c r="K424" s="464"/>
      <c r="L424" s="464"/>
      <c r="M424" s="464"/>
      <c r="N424" s="464"/>
      <c r="O424" s="464"/>
      <c r="P424" s="464"/>
      <c r="Q424" s="464"/>
      <c r="R424" s="464"/>
      <c r="S424" s="464"/>
      <c r="T424" s="464"/>
      <c r="U424" s="464"/>
      <c r="V424" s="464"/>
      <c r="W424" s="464"/>
      <c r="X424" s="464"/>
      <c r="Y424" s="464"/>
      <c r="Z424" s="464"/>
      <c r="AA424" s="464"/>
      <c r="AB424" s="464"/>
      <c r="AC424" s="464"/>
      <c r="AD424" s="464"/>
      <c r="AE424" s="464"/>
      <c r="AF424" s="464"/>
      <c r="AG424" s="464"/>
      <c r="AH424" s="464"/>
      <c r="AI424" s="464"/>
      <c r="AJ424" s="464"/>
      <c r="AK424" s="464"/>
      <c r="AL424" s="464"/>
      <c r="AM424" s="464"/>
      <c r="AN424" s="464"/>
      <c r="AO424" s="464"/>
      <c r="AP424" s="464"/>
      <c r="AQ424" s="464"/>
      <c r="AR424" s="464"/>
      <c r="AS424" s="464"/>
      <c r="AT424" s="464"/>
      <c r="AU424" s="464"/>
      <c r="AV424" s="464"/>
      <c r="AW424" s="464"/>
      <c r="AX424" s="464"/>
      <c r="AY424" s="464"/>
      <c r="AZ424" s="464"/>
      <c r="BA424" s="464"/>
      <c r="BB424" s="464"/>
      <c r="BC424" s="464"/>
      <c r="BD424" s="464"/>
      <c r="BE424" s="464"/>
      <c r="BF424" s="464"/>
      <c r="BG424" s="464"/>
      <c r="BH424" s="464"/>
      <c r="BJ424" s="463">
        <f t="shared" si="7"/>
        <v>417</v>
      </c>
      <c r="BZ424" s="467"/>
    </row>
    <row r="425" spans="8:78" ht="15.75" customHeight="1" x14ac:dyDescent="0.2">
      <c r="H425" s="464"/>
      <c r="I425" s="464"/>
      <c r="J425" s="464"/>
      <c r="K425" s="464"/>
      <c r="L425" s="464"/>
      <c r="M425" s="464"/>
      <c r="N425" s="464"/>
      <c r="O425" s="464"/>
      <c r="P425" s="464"/>
      <c r="Q425" s="464"/>
      <c r="R425" s="464"/>
      <c r="S425" s="464"/>
      <c r="T425" s="464"/>
      <c r="U425" s="464"/>
      <c r="V425" s="464"/>
      <c r="W425" s="464"/>
      <c r="X425" s="464"/>
      <c r="Y425" s="464"/>
      <c r="Z425" s="464"/>
      <c r="AA425" s="464"/>
      <c r="AB425" s="464"/>
      <c r="AC425" s="464"/>
      <c r="AD425" s="464"/>
      <c r="AE425" s="464"/>
      <c r="AF425" s="464"/>
      <c r="AG425" s="464"/>
      <c r="AH425" s="464"/>
      <c r="AI425" s="464"/>
      <c r="AJ425" s="464"/>
      <c r="AK425" s="464"/>
      <c r="AL425" s="464"/>
      <c r="AM425" s="464"/>
      <c r="AN425" s="464"/>
      <c r="AO425" s="464"/>
      <c r="AP425" s="464"/>
      <c r="AQ425" s="464"/>
      <c r="AR425" s="464"/>
      <c r="AS425" s="464"/>
      <c r="AT425" s="464"/>
      <c r="AU425" s="464"/>
      <c r="AV425" s="464"/>
      <c r="AW425" s="464"/>
      <c r="AX425" s="464"/>
      <c r="AY425" s="464"/>
      <c r="AZ425" s="464"/>
      <c r="BA425" s="464"/>
      <c r="BB425" s="464"/>
      <c r="BC425" s="464"/>
      <c r="BD425" s="464"/>
      <c r="BE425" s="464"/>
      <c r="BF425" s="464"/>
      <c r="BG425" s="464"/>
      <c r="BH425" s="464"/>
      <c r="BJ425" s="463">
        <f t="shared" si="7"/>
        <v>418</v>
      </c>
      <c r="BZ425" s="467"/>
    </row>
    <row r="426" spans="8:78" ht="15.75" customHeight="1" x14ac:dyDescent="0.2">
      <c r="H426" s="464"/>
      <c r="I426" s="464"/>
      <c r="J426" s="464"/>
      <c r="K426" s="464"/>
      <c r="L426" s="464"/>
      <c r="M426" s="464"/>
      <c r="N426" s="464"/>
      <c r="O426" s="464"/>
      <c r="P426" s="464"/>
      <c r="Q426" s="464"/>
      <c r="R426" s="464"/>
      <c r="S426" s="464"/>
      <c r="T426" s="464"/>
      <c r="U426" s="464"/>
      <c r="V426" s="464"/>
      <c r="W426" s="464"/>
      <c r="X426" s="464"/>
      <c r="Y426" s="464"/>
      <c r="Z426" s="464"/>
      <c r="AA426" s="464"/>
      <c r="AB426" s="464"/>
      <c r="AC426" s="464"/>
      <c r="AD426" s="464"/>
      <c r="AE426" s="464"/>
      <c r="AF426" s="464"/>
      <c r="AG426" s="464"/>
      <c r="AH426" s="464"/>
      <c r="AI426" s="464"/>
      <c r="AJ426" s="464"/>
      <c r="AK426" s="464"/>
      <c r="AL426" s="464"/>
      <c r="AM426" s="464"/>
      <c r="AN426" s="464"/>
      <c r="AO426" s="464"/>
      <c r="AP426" s="464"/>
      <c r="AQ426" s="464"/>
      <c r="AR426" s="464"/>
      <c r="AS426" s="464"/>
      <c r="AT426" s="464"/>
      <c r="AU426" s="464"/>
      <c r="AV426" s="464"/>
      <c r="AW426" s="464"/>
      <c r="AX426" s="464"/>
      <c r="AY426" s="464"/>
      <c r="AZ426" s="464"/>
      <c r="BA426" s="464"/>
      <c r="BB426" s="464"/>
      <c r="BC426" s="464"/>
      <c r="BD426" s="464"/>
      <c r="BE426" s="464"/>
      <c r="BF426" s="464"/>
      <c r="BG426" s="464"/>
      <c r="BH426" s="464"/>
      <c r="BJ426" s="463">
        <f t="shared" si="7"/>
        <v>419</v>
      </c>
      <c r="BZ426" s="467"/>
    </row>
    <row r="427" spans="8:78" ht="15.75" customHeight="1" x14ac:dyDescent="0.2">
      <c r="H427" s="464"/>
      <c r="I427" s="464"/>
      <c r="J427" s="464"/>
      <c r="K427" s="464"/>
      <c r="L427" s="464"/>
      <c r="M427" s="464"/>
      <c r="N427" s="464"/>
      <c r="O427" s="464"/>
      <c r="P427" s="464"/>
      <c r="Q427" s="464"/>
      <c r="R427" s="464"/>
      <c r="S427" s="464"/>
      <c r="T427" s="464"/>
      <c r="U427" s="464"/>
      <c r="V427" s="464"/>
      <c r="W427" s="464"/>
      <c r="X427" s="464"/>
      <c r="Y427" s="464"/>
      <c r="Z427" s="464"/>
      <c r="AA427" s="464"/>
      <c r="AB427" s="464"/>
      <c r="AC427" s="464"/>
      <c r="AD427" s="464"/>
      <c r="AE427" s="464"/>
      <c r="AF427" s="464"/>
      <c r="AG427" s="464"/>
      <c r="AH427" s="464"/>
      <c r="AI427" s="464"/>
      <c r="AJ427" s="464"/>
      <c r="AK427" s="464"/>
      <c r="AL427" s="464"/>
      <c r="AM427" s="464"/>
      <c r="AN427" s="464"/>
      <c r="AO427" s="464"/>
      <c r="AP427" s="464"/>
      <c r="AQ427" s="464"/>
      <c r="AR427" s="464"/>
      <c r="AS427" s="464"/>
      <c r="AT427" s="464"/>
      <c r="AU427" s="464"/>
      <c r="AV427" s="464"/>
      <c r="AW427" s="464"/>
      <c r="AX427" s="464"/>
      <c r="AY427" s="464"/>
      <c r="AZ427" s="464"/>
      <c r="BA427" s="464"/>
      <c r="BB427" s="464"/>
      <c r="BC427" s="464"/>
      <c r="BD427" s="464"/>
      <c r="BE427" s="464"/>
      <c r="BF427" s="464"/>
      <c r="BG427" s="464"/>
      <c r="BH427" s="464"/>
      <c r="BJ427" s="463">
        <f t="shared" si="7"/>
        <v>420</v>
      </c>
      <c r="BZ427" s="467"/>
    </row>
    <row r="428" spans="8:78" ht="15.75" customHeight="1" x14ac:dyDescent="0.2">
      <c r="H428" s="464"/>
      <c r="I428" s="464"/>
      <c r="J428" s="464"/>
      <c r="K428" s="464"/>
      <c r="L428" s="464"/>
      <c r="M428" s="464"/>
      <c r="N428" s="464"/>
      <c r="O428" s="464"/>
      <c r="P428" s="464"/>
      <c r="Q428" s="464"/>
      <c r="R428" s="464"/>
      <c r="S428" s="464"/>
      <c r="T428" s="464"/>
      <c r="U428" s="464"/>
      <c r="V428" s="464"/>
      <c r="W428" s="464"/>
      <c r="X428" s="464"/>
      <c r="Y428" s="464"/>
      <c r="Z428" s="464"/>
      <c r="AA428" s="464"/>
      <c r="AB428" s="464"/>
      <c r="AC428" s="464"/>
      <c r="AD428" s="464"/>
      <c r="AE428" s="464"/>
      <c r="AF428" s="464"/>
      <c r="AG428" s="464"/>
      <c r="AH428" s="464"/>
      <c r="AI428" s="464"/>
      <c r="AJ428" s="464"/>
      <c r="AK428" s="464"/>
      <c r="AL428" s="464"/>
      <c r="AM428" s="464"/>
      <c r="AN428" s="464"/>
      <c r="AO428" s="464"/>
      <c r="AP428" s="464"/>
      <c r="AQ428" s="464"/>
      <c r="AR428" s="464"/>
      <c r="AS428" s="464"/>
      <c r="AT428" s="464"/>
      <c r="AU428" s="464"/>
      <c r="AV428" s="464"/>
      <c r="AW428" s="464"/>
      <c r="AX428" s="464"/>
      <c r="AY428" s="464"/>
      <c r="AZ428" s="464"/>
      <c r="BA428" s="464"/>
      <c r="BB428" s="464"/>
      <c r="BC428" s="464"/>
      <c r="BD428" s="464"/>
      <c r="BE428" s="464"/>
      <c r="BF428" s="464"/>
      <c r="BG428" s="464"/>
      <c r="BH428" s="464"/>
      <c r="BJ428" s="463">
        <f t="shared" si="7"/>
        <v>421</v>
      </c>
      <c r="BZ428" s="467"/>
    </row>
    <row r="429" spans="8:78" ht="15.75" customHeight="1" x14ac:dyDescent="0.2">
      <c r="H429" s="464"/>
      <c r="I429" s="464"/>
      <c r="J429" s="464"/>
      <c r="K429" s="464"/>
      <c r="L429" s="464"/>
      <c r="M429" s="464"/>
      <c r="N429" s="464"/>
      <c r="O429" s="464"/>
      <c r="P429" s="464"/>
      <c r="Q429" s="464"/>
      <c r="R429" s="464"/>
      <c r="S429" s="464"/>
      <c r="T429" s="464"/>
      <c r="U429" s="464"/>
      <c r="V429" s="464"/>
      <c r="W429" s="464"/>
      <c r="X429" s="464"/>
      <c r="Y429" s="464"/>
      <c r="Z429" s="464"/>
      <c r="AA429" s="464"/>
      <c r="AB429" s="464"/>
      <c r="AC429" s="464"/>
      <c r="AD429" s="464"/>
      <c r="AE429" s="464"/>
      <c r="AF429" s="464"/>
      <c r="AG429" s="464"/>
      <c r="AH429" s="464"/>
      <c r="AI429" s="464"/>
      <c r="AJ429" s="464"/>
      <c r="AK429" s="464"/>
      <c r="AL429" s="464"/>
      <c r="AM429" s="464"/>
      <c r="AN429" s="464"/>
      <c r="AO429" s="464"/>
      <c r="AP429" s="464"/>
      <c r="AQ429" s="464"/>
      <c r="AR429" s="464"/>
      <c r="AS429" s="464"/>
      <c r="AT429" s="464"/>
      <c r="AU429" s="464"/>
      <c r="AV429" s="464"/>
      <c r="AW429" s="464"/>
      <c r="AX429" s="464"/>
      <c r="AY429" s="464"/>
      <c r="AZ429" s="464"/>
      <c r="BA429" s="464"/>
      <c r="BB429" s="464"/>
      <c r="BC429" s="464"/>
      <c r="BD429" s="464"/>
      <c r="BE429" s="464"/>
      <c r="BF429" s="464"/>
      <c r="BG429" s="464"/>
      <c r="BH429" s="464"/>
      <c r="BJ429" s="463">
        <f t="shared" si="7"/>
        <v>422</v>
      </c>
      <c r="BZ429" s="467"/>
    </row>
    <row r="430" spans="8:78" ht="15.75" customHeight="1" x14ac:dyDescent="0.2">
      <c r="H430" s="464"/>
      <c r="I430" s="464"/>
      <c r="J430" s="464"/>
      <c r="K430" s="464"/>
      <c r="L430" s="464"/>
      <c r="M430" s="464"/>
      <c r="N430" s="464"/>
      <c r="O430" s="464"/>
      <c r="P430" s="464"/>
      <c r="Q430" s="464"/>
      <c r="R430" s="464"/>
      <c r="S430" s="464"/>
      <c r="T430" s="464"/>
      <c r="U430" s="464"/>
      <c r="V430" s="464"/>
      <c r="W430" s="464"/>
      <c r="X430" s="464"/>
      <c r="Y430" s="464"/>
      <c r="Z430" s="464"/>
      <c r="AA430" s="464"/>
      <c r="AB430" s="464"/>
      <c r="AC430" s="464"/>
      <c r="AD430" s="464"/>
      <c r="AE430" s="464"/>
      <c r="AF430" s="464"/>
      <c r="AG430" s="464"/>
      <c r="AH430" s="464"/>
      <c r="AI430" s="464"/>
      <c r="AJ430" s="464"/>
      <c r="AK430" s="464"/>
      <c r="AL430" s="464"/>
      <c r="AM430" s="464"/>
      <c r="AN430" s="464"/>
      <c r="AO430" s="464"/>
      <c r="AP430" s="464"/>
      <c r="AQ430" s="464"/>
      <c r="AR430" s="464"/>
      <c r="AS430" s="464"/>
      <c r="AT430" s="464"/>
      <c r="AU430" s="464"/>
      <c r="AV430" s="464"/>
      <c r="AW430" s="464"/>
      <c r="AX430" s="464"/>
      <c r="AY430" s="464"/>
      <c r="AZ430" s="464"/>
      <c r="BA430" s="464"/>
      <c r="BB430" s="464"/>
      <c r="BC430" s="464"/>
      <c r="BD430" s="464"/>
      <c r="BE430" s="464"/>
      <c r="BF430" s="464"/>
      <c r="BG430" s="464"/>
      <c r="BH430" s="464"/>
      <c r="BJ430" s="463">
        <f t="shared" si="7"/>
        <v>423</v>
      </c>
      <c r="BZ430" s="467"/>
    </row>
    <row r="431" spans="8:78" ht="15.75" customHeight="1" x14ac:dyDescent="0.2">
      <c r="H431" s="464"/>
      <c r="I431" s="464"/>
      <c r="J431" s="464"/>
      <c r="K431" s="464"/>
      <c r="L431" s="464"/>
      <c r="M431" s="464"/>
      <c r="N431" s="464"/>
      <c r="O431" s="464"/>
      <c r="P431" s="464"/>
      <c r="Q431" s="464"/>
      <c r="R431" s="464"/>
      <c r="S431" s="464"/>
      <c r="T431" s="464"/>
      <c r="U431" s="464"/>
      <c r="V431" s="464"/>
      <c r="W431" s="464"/>
      <c r="X431" s="464"/>
      <c r="Y431" s="464"/>
      <c r="Z431" s="464"/>
      <c r="AA431" s="464"/>
      <c r="AB431" s="464"/>
      <c r="AC431" s="464"/>
      <c r="AD431" s="464"/>
      <c r="AE431" s="464"/>
      <c r="AF431" s="464"/>
      <c r="AG431" s="464"/>
      <c r="AH431" s="464"/>
      <c r="AI431" s="464"/>
      <c r="AJ431" s="464"/>
      <c r="AK431" s="464"/>
      <c r="AL431" s="464"/>
      <c r="AM431" s="464"/>
      <c r="AN431" s="464"/>
      <c r="AO431" s="464"/>
      <c r="AP431" s="464"/>
      <c r="AQ431" s="464"/>
      <c r="AR431" s="464"/>
      <c r="AS431" s="464"/>
      <c r="AT431" s="464"/>
      <c r="AU431" s="464"/>
      <c r="AV431" s="464"/>
      <c r="AW431" s="464"/>
      <c r="AX431" s="464"/>
      <c r="AY431" s="464"/>
      <c r="AZ431" s="464"/>
      <c r="BA431" s="464"/>
      <c r="BB431" s="464"/>
      <c r="BC431" s="464"/>
      <c r="BD431" s="464"/>
      <c r="BE431" s="464"/>
      <c r="BF431" s="464"/>
      <c r="BG431" s="464"/>
      <c r="BH431" s="464"/>
      <c r="BJ431" s="463">
        <f t="shared" si="7"/>
        <v>424</v>
      </c>
      <c r="BZ431" s="467"/>
    </row>
    <row r="432" spans="8:78" ht="15.75" customHeight="1" x14ac:dyDescent="0.2">
      <c r="H432" s="464"/>
      <c r="I432" s="464"/>
      <c r="J432" s="464"/>
      <c r="K432" s="464"/>
      <c r="L432" s="464"/>
      <c r="M432" s="464"/>
      <c r="N432" s="464"/>
      <c r="O432" s="464"/>
      <c r="P432" s="464"/>
      <c r="Q432" s="464"/>
      <c r="R432" s="464"/>
      <c r="S432" s="464"/>
      <c r="T432" s="464"/>
      <c r="U432" s="464"/>
      <c r="V432" s="464"/>
      <c r="W432" s="464"/>
      <c r="X432" s="464"/>
      <c r="Y432" s="464"/>
      <c r="Z432" s="464"/>
      <c r="AA432" s="464"/>
      <c r="AB432" s="464"/>
      <c r="AC432" s="464"/>
      <c r="AD432" s="464"/>
      <c r="AE432" s="464"/>
      <c r="AF432" s="464"/>
      <c r="AG432" s="464"/>
      <c r="AH432" s="464"/>
      <c r="AI432" s="464"/>
      <c r="AJ432" s="464"/>
      <c r="AK432" s="464"/>
      <c r="AL432" s="464"/>
      <c r="AM432" s="464"/>
      <c r="AN432" s="464"/>
      <c r="AO432" s="464"/>
      <c r="AP432" s="464"/>
      <c r="AQ432" s="464"/>
      <c r="AR432" s="464"/>
      <c r="AS432" s="464"/>
      <c r="AT432" s="464"/>
      <c r="AU432" s="464"/>
      <c r="AV432" s="464"/>
      <c r="AW432" s="464"/>
      <c r="AX432" s="464"/>
      <c r="AY432" s="464"/>
      <c r="AZ432" s="464"/>
      <c r="BA432" s="464"/>
      <c r="BB432" s="464"/>
      <c r="BC432" s="464"/>
      <c r="BD432" s="464"/>
      <c r="BE432" s="464"/>
      <c r="BF432" s="464"/>
      <c r="BG432" s="464"/>
      <c r="BH432" s="464"/>
      <c r="BJ432" s="463">
        <f t="shared" si="7"/>
        <v>425</v>
      </c>
      <c r="BZ432" s="467"/>
    </row>
    <row r="433" spans="8:78" ht="15.75" customHeight="1" x14ac:dyDescent="0.2">
      <c r="H433" s="464"/>
      <c r="I433" s="464"/>
      <c r="J433" s="464"/>
      <c r="K433" s="464"/>
      <c r="L433" s="464"/>
      <c r="M433" s="464"/>
      <c r="N433" s="464"/>
      <c r="O433" s="464"/>
      <c r="P433" s="464"/>
      <c r="Q433" s="464"/>
      <c r="R433" s="464"/>
      <c r="S433" s="464"/>
      <c r="T433" s="464"/>
      <c r="U433" s="464"/>
      <c r="V433" s="464"/>
      <c r="W433" s="464"/>
      <c r="X433" s="464"/>
      <c r="Y433" s="464"/>
      <c r="Z433" s="464"/>
      <c r="AA433" s="464"/>
      <c r="AB433" s="464"/>
      <c r="AC433" s="464"/>
      <c r="AD433" s="464"/>
      <c r="AE433" s="464"/>
      <c r="AF433" s="464"/>
      <c r="AG433" s="464"/>
      <c r="AH433" s="464"/>
      <c r="AI433" s="464"/>
      <c r="AJ433" s="464"/>
      <c r="AK433" s="464"/>
      <c r="AL433" s="464"/>
      <c r="AM433" s="464"/>
      <c r="AN433" s="464"/>
      <c r="AO433" s="464"/>
      <c r="AP433" s="464"/>
      <c r="AQ433" s="464"/>
      <c r="AR433" s="464"/>
      <c r="AS433" s="464"/>
      <c r="AT433" s="464"/>
      <c r="AU433" s="464"/>
      <c r="AV433" s="464"/>
      <c r="AW433" s="464"/>
      <c r="AX433" s="464"/>
      <c r="AY433" s="464"/>
      <c r="AZ433" s="464"/>
      <c r="BA433" s="464"/>
      <c r="BB433" s="464"/>
      <c r="BC433" s="464"/>
      <c r="BD433" s="464"/>
      <c r="BE433" s="464"/>
      <c r="BF433" s="464"/>
      <c r="BG433" s="464"/>
      <c r="BH433" s="464"/>
      <c r="BJ433" s="463">
        <f t="shared" si="7"/>
        <v>426</v>
      </c>
      <c r="BZ433" s="467"/>
    </row>
    <row r="434" spans="8:78" ht="15.75" customHeight="1" x14ac:dyDescent="0.2">
      <c r="H434" s="464"/>
      <c r="I434" s="464"/>
      <c r="J434" s="464"/>
      <c r="K434" s="464"/>
      <c r="L434" s="464"/>
      <c r="M434" s="464"/>
      <c r="N434" s="464"/>
      <c r="O434" s="464"/>
      <c r="P434" s="464"/>
      <c r="Q434" s="464"/>
      <c r="R434" s="464"/>
      <c r="S434" s="464"/>
      <c r="T434" s="464"/>
      <c r="U434" s="464"/>
      <c r="V434" s="464"/>
      <c r="W434" s="464"/>
      <c r="X434" s="464"/>
      <c r="Y434" s="464"/>
      <c r="Z434" s="464"/>
      <c r="AA434" s="464"/>
      <c r="AB434" s="464"/>
      <c r="AC434" s="464"/>
      <c r="AD434" s="464"/>
      <c r="AE434" s="464"/>
      <c r="AF434" s="464"/>
      <c r="AG434" s="464"/>
      <c r="AH434" s="464"/>
      <c r="AI434" s="464"/>
      <c r="AJ434" s="464"/>
      <c r="AK434" s="464"/>
      <c r="AL434" s="464"/>
      <c r="AM434" s="464"/>
      <c r="AN434" s="464"/>
      <c r="AO434" s="464"/>
      <c r="AP434" s="464"/>
      <c r="AQ434" s="464"/>
      <c r="AR434" s="464"/>
      <c r="AS434" s="464"/>
      <c r="AT434" s="464"/>
      <c r="AU434" s="464"/>
      <c r="AV434" s="464"/>
      <c r="AW434" s="464"/>
      <c r="AX434" s="464"/>
      <c r="AY434" s="464"/>
      <c r="AZ434" s="464"/>
      <c r="BA434" s="464"/>
      <c r="BB434" s="464"/>
      <c r="BC434" s="464"/>
      <c r="BD434" s="464"/>
      <c r="BE434" s="464"/>
      <c r="BF434" s="464"/>
      <c r="BG434" s="464"/>
      <c r="BH434" s="464"/>
      <c r="BJ434" s="463">
        <f t="shared" si="7"/>
        <v>427</v>
      </c>
      <c r="BZ434" s="467"/>
    </row>
    <row r="435" spans="8:78" ht="15.75" customHeight="1" x14ac:dyDescent="0.2">
      <c r="H435" s="464"/>
      <c r="I435" s="464"/>
      <c r="J435" s="464"/>
      <c r="K435" s="464"/>
      <c r="L435" s="464"/>
      <c r="M435" s="464"/>
      <c r="N435" s="464"/>
      <c r="O435" s="464"/>
      <c r="P435" s="464"/>
      <c r="Q435" s="464"/>
      <c r="R435" s="464"/>
      <c r="S435" s="464"/>
      <c r="T435" s="464"/>
      <c r="U435" s="464"/>
      <c r="V435" s="464"/>
      <c r="W435" s="464"/>
      <c r="X435" s="464"/>
      <c r="Y435" s="464"/>
      <c r="Z435" s="464"/>
      <c r="AA435" s="464"/>
      <c r="AB435" s="464"/>
      <c r="AC435" s="464"/>
      <c r="AD435" s="464"/>
      <c r="AE435" s="464"/>
      <c r="AF435" s="464"/>
      <c r="AG435" s="464"/>
      <c r="AH435" s="464"/>
      <c r="AI435" s="464"/>
      <c r="AJ435" s="464"/>
      <c r="AK435" s="464"/>
      <c r="AL435" s="464"/>
      <c r="AM435" s="464"/>
      <c r="AN435" s="464"/>
      <c r="AO435" s="464"/>
      <c r="AP435" s="464"/>
      <c r="AQ435" s="464"/>
      <c r="AR435" s="464"/>
      <c r="AS435" s="464"/>
      <c r="AT435" s="464"/>
      <c r="AU435" s="464"/>
      <c r="AV435" s="464"/>
      <c r="AW435" s="464"/>
      <c r="AX435" s="464"/>
      <c r="AY435" s="464"/>
      <c r="AZ435" s="464"/>
      <c r="BA435" s="464"/>
      <c r="BB435" s="464"/>
      <c r="BC435" s="464"/>
      <c r="BD435" s="464"/>
      <c r="BE435" s="464"/>
      <c r="BF435" s="464"/>
      <c r="BG435" s="464"/>
      <c r="BH435" s="464"/>
      <c r="BJ435" s="463">
        <f t="shared" si="7"/>
        <v>428</v>
      </c>
      <c r="BZ435" s="467"/>
    </row>
    <row r="436" spans="8:78" ht="15.75" customHeight="1" x14ac:dyDescent="0.2">
      <c r="H436" s="464"/>
      <c r="I436" s="464"/>
      <c r="J436" s="464"/>
      <c r="K436" s="464"/>
      <c r="L436" s="464"/>
      <c r="M436" s="464"/>
      <c r="N436" s="464"/>
      <c r="O436" s="464"/>
      <c r="P436" s="464"/>
      <c r="Q436" s="464"/>
      <c r="R436" s="464"/>
      <c r="S436" s="464"/>
      <c r="T436" s="464"/>
      <c r="U436" s="464"/>
      <c r="V436" s="464"/>
      <c r="W436" s="464"/>
      <c r="X436" s="464"/>
      <c r="Y436" s="464"/>
      <c r="Z436" s="464"/>
      <c r="AA436" s="464"/>
      <c r="AB436" s="464"/>
      <c r="AC436" s="464"/>
      <c r="AD436" s="464"/>
      <c r="AE436" s="464"/>
      <c r="AF436" s="464"/>
      <c r="AG436" s="464"/>
      <c r="AH436" s="464"/>
      <c r="AI436" s="464"/>
      <c r="AJ436" s="464"/>
      <c r="AK436" s="464"/>
      <c r="AL436" s="464"/>
      <c r="AM436" s="464"/>
      <c r="AN436" s="464"/>
      <c r="AO436" s="464"/>
      <c r="AP436" s="464"/>
      <c r="AQ436" s="464"/>
      <c r="AR436" s="464"/>
      <c r="AS436" s="464"/>
      <c r="AT436" s="464"/>
      <c r="AU436" s="464"/>
      <c r="AV436" s="464"/>
      <c r="AW436" s="464"/>
      <c r="AX436" s="464"/>
      <c r="AY436" s="464"/>
      <c r="AZ436" s="464"/>
      <c r="BA436" s="464"/>
      <c r="BB436" s="464"/>
      <c r="BC436" s="464"/>
      <c r="BD436" s="464"/>
      <c r="BE436" s="464"/>
      <c r="BF436" s="464"/>
      <c r="BG436" s="464"/>
      <c r="BH436" s="464"/>
      <c r="BJ436" s="463">
        <f t="shared" si="7"/>
        <v>429</v>
      </c>
      <c r="BZ436" s="467"/>
    </row>
    <row r="437" spans="8:78" ht="15.75" customHeight="1" x14ac:dyDescent="0.2">
      <c r="H437" s="464"/>
      <c r="I437" s="464"/>
      <c r="J437" s="464"/>
      <c r="K437" s="464"/>
      <c r="L437" s="464"/>
      <c r="M437" s="464"/>
      <c r="N437" s="464"/>
      <c r="O437" s="464"/>
      <c r="P437" s="464"/>
      <c r="Q437" s="464"/>
      <c r="R437" s="464"/>
      <c r="S437" s="464"/>
      <c r="T437" s="464"/>
      <c r="U437" s="464"/>
      <c r="V437" s="464"/>
      <c r="W437" s="464"/>
      <c r="X437" s="464"/>
      <c r="Y437" s="464"/>
      <c r="Z437" s="464"/>
      <c r="AA437" s="464"/>
      <c r="AB437" s="464"/>
      <c r="AC437" s="464"/>
      <c r="AD437" s="464"/>
      <c r="AE437" s="464"/>
      <c r="AF437" s="464"/>
      <c r="AG437" s="464"/>
      <c r="AH437" s="464"/>
      <c r="AI437" s="464"/>
      <c r="AJ437" s="464"/>
      <c r="AK437" s="464"/>
      <c r="AL437" s="464"/>
      <c r="AM437" s="464"/>
      <c r="AN437" s="464"/>
      <c r="AO437" s="464"/>
      <c r="AP437" s="464"/>
      <c r="AQ437" s="464"/>
      <c r="AR437" s="464"/>
      <c r="AS437" s="464"/>
      <c r="AT437" s="464"/>
      <c r="AU437" s="464"/>
      <c r="AV437" s="464"/>
      <c r="AW437" s="464"/>
      <c r="AX437" s="464"/>
      <c r="AY437" s="464"/>
      <c r="AZ437" s="464"/>
      <c r="BA437" s="464"/>
      <c r="BB437" s="464"/>
      <c r="BC437" s="464"/>
      <c r="BD437" s="464"/>
      <c r="BE437" s="464"/>
      <c r="BF437" s="464"/>
      <c r="BG437" s="464"/>
      <c r="BH437" s="464"/>
      <c r="BJ437" s="463">
        <f t="shared" si="7"/>
        <v>430</v>
      </c>
      <c r="BZ437" s="467"/>
    </row>
    <row r="438" spans="8:78" ht="15.75" customHeight="1" x14ac:dyDescent="0.2">
      <c r="H438" s="464"/>
      <c r="I438" s="464"/>
      <c r="J438" s="464"/>
      <c r="K438" s="464"/>
      <c r="L438" s="464"/>
      <c r="M438" s="464"/>
      <c r="N438" s="464"/>
      <c r="O438" s="464"/>
      <c r="P438" s="464"/>
      <c r="Q438" s="464"/>
      <c r="R438" s="464"/>
      <c r="S438" s="464"/>
      <c r="T438" s="464"/>
      <c r="U438" s="464"/>
      <c r="V438" s="464"/>
      <c r="W438" s="464"/>
      <c r="X438" s="464"/>
      <c r="Y438" s="464"/>
      <c r="Z438" s="464"/>
      <c r="AA438" s="464"/>
      <c r="AB438" s="464"/>
      <c r="AC438" s="464"/>
      <c r="AD438" s="464"/>
      <c r="AE438" s="464"/>
      <c r="AF438" s="464"/>
      <c r="AG438" s="464"/>
      <c r="AH438" s="464"/>
      <c r="AI438" s="464"/>
      <c r="AJ438" s="464"/>
      <c r="AK438" s="464"/>
      <c r="AL438" s="464"/>
      <c r="AM438" s="464"/>
      <c r="AN438" s="464"/>
      <c r="AO438" s="464"/>
      <c r="AP438" s="464"/>
      <c r="AQ438" s="464"/>
      <c r="AR438" s="464"/>
      <c r="AS438" s="464"/>
      <c r="AT438" s="464"/>
      <c r="AU438" s="464"/>
      <c r="AV438" s="464"/>
      <c r="AW438" s="464"/>
      <c r="AX438" s="464"/>
      <c r="AY438" s="464"/>
      <c r="AZ438" s="464"/>
      <c r="BA438" s="464"/>
      <c r="BB438" s="464"/>
      <c r="BC438" s="464"/>
      <c r="BD438" s="464"/>
      <c r="BE438" s="464"/>
      <c r="BF438" s="464"/>
      <c r="BG438" s="464"/>
      <c r="BH438" s="464"/>
      <c r="BJ438" s="463">
        <f t="shared" si="7"/>
        <v>431</v>
      </c>
      <c r="BZ438" s="467"/>
    </row>
    <row r="439" spans="8:78" ht="15.75" customHeight="1" x14ac:dyDescent="0.2">
      <c r="H439" s="464"/>
      <c r="I439" s="464"/>
      <c r="J439" s="464"/>
      <c r="K439" s="464"/>
      <c r="L439" s="464"/>
      <c r="M439" s="464"/>
      <c r="N439" s="464"/>
      <c r="O439" s="464"/>
      <c r="P439" s="464"/>
      <c r="Q439" s="464"/>
      <c r="R439" s="464"/>
      <c r="S439" s="464"/>
      <c r="T439" s="464"/>
      <c r="U439" s="464"/>
      <c r="V439" s="464"/>
      <c r="W439" s="464"/>
      <c r="X439" s="464"/>
      <c r="Y439" s="464"/>
      <c r="Z439" s="464"/>
      <c r="AA439" s="464"/>
      <c r="AB439" s="464"/>
      <c r="AC439" s="464"/>
      <c r="AD439" s="464"/>
      <c r="AE439" s="464"/>
      <c r="AF439" s="464"/>
      <c r="AG439" s="464"/>
      <c r="AH439" s="464"/>
      <c r="AI439" s="464"/>
      <c r="AJ439" s="464"/>
      <c r="AK439" s="464"/>
      <c r="AL439" s="464"/>
      <c r="AM439" s="464"/>
      <c r="AN439" s="464"/>
      <c r="AO439" s="464"/>
      <c r="AP439" s="464"/>
      <c r="AQ439" s="464"/>
      <c r="AR439" s="464"/>
      <c r="AS439" s="464"/>
      <c r="AT439" s="464"/>
      <c r="AU439" s="464"/>
      <c r="AV439" s="464"/>
      <c r="AW439" s="464"/>
      <c r="AX439" s="464"/>
      <c r="AY439" s="464"/>
      <c r="AZ439" s="464"/>
      <c r="BA439" s="464"/>
      <c r="BB439" s="464"/>
      <c r="BC439" s="464"/>
      <c r="BD439" s="464"/>
      <c r="BE439" s="464"/>
      <c r="BF439" s="464"/>
      <c r="BG439" s="464"/>
      <c r="BH439" s="464"/>
      <c r="BJ439" s="463">
        <f t="shared" si="7"/>
        <v>432</v>
      </c>
      <c r="BZ439" s="467"/>
    </row>
    <row r="440" spans="8:78" ht="15.75" customHeight="1" x14ac:dyDescent="0.2">
      <c r="H440" s="464"/>
      <c r="I440" s="464"/>
      <c r="J440" s="464"/>
      <c r="K440" s="464"/>
      <c r="L440" s="464"/>
      <c r="M440" s="464"/>
      <c r="N440" s="464"/>
      <c r="O440" s="464"/>
      <c r="P440" s="464"/>
      <c r="Q440" s="464"/>
      <c r="R440" s="464"/>
      <c r="S440" s="464"/>
      <c r="T440" s="464"/>
      <c r="U440" s="464"/>
      <c r="V440" s="464"/>
      <c r="W440" s="464"/>
      <c r="X440" s="464"/>
      <c r="Y440" s="464"/>
      <c r="Z440" s="464"/>
      <c r="AA440" s="464"/>
      <c r="AB440" s="464"/>
      <c r="AC440" s="464"/>
      <c r="AD440" s="464"/>
      <c r="AE440" s="464"/>
      <c r="AF440" s="464"/>
      <c r="AG440" s="464"/>
      <c r="AH440" s="464"/>
      <c r="AI440" s="464"/>
      <c r="AJ440" s="464"/>
      <c r="AK440" s="464"/>
      <c r="AL440" s="464"/>
      <c r="AM440" s="464"/>
      <c r="AN440" s="464"/>
      <c r="AO440" s="464"/>
      <c r="AP440" s="464"/>
      <c r="AQ440" s="464"/>
      <c r="AR440" s="464"/>
      <c r="AS440" s="464"/>
      <c r="AT440" s="464"/>
      <c r="AU440" s="464"/>
      <c r="AV440" s="464"/>
      <c r="AW440" s="464"/>
      <c r="AX440" s="464"/>
      <c r="AY440" s="464"/>
      <c r="AZ440" s="464"/>
      <c r="BA440" s="464"/>
      <c r="BB440" s="464"/>
      <c r="BC440" s="464"/>
      <c r="BD440" s="464"/>
      <c r="BE440" s="464"/>
      <c r="BF440" s="464"/>
      <c r="BG440" s="464"/>
      <c r="BH440" s="464"/>
      <c r="BJ440" s="463">
        <f t="shared" si="7"/>
        <v>433</v>
      </c>
      <c r="BZ440" s="467"/>
    </row>
    <row r="441" spans="8:78" ht="15.75" customHeight="1" x14ac:dyDescent="0.2">
      <c r="H441" s="464"/>
      <c r="I441" s="464"/>
      <c r="J441" s="464"/>
      <c r="K441" s="464"/>
      <c r="L441" s="464"/>
      <c r="M441" s="464"/>
      <c r="N441" s="464"/>
      <c r="O441" s="464"/>
      <c r="P441" s="464"/>
      <c r="Q441" s="464"/>
      <c r="R441" s="464"/>
      <c r="S441" s="464"/>
      <c r="T441" s="464"/>
      <c r="U441" s="464"/>
      <c r="V441" s="464"/>
      <c r="W441" s="464"/>
      <c r="X441" s="464"/>
      <c r="Y441" s="464"/>
      <c r="Z441" s="464"/>
      <c r="AA441" s="464"/>
      <c r="AB441" s="464"/>
      <c r="AC441" s="464"/>
      <c r="AD441" s="464"/>
      <c r="AE441" s="464"/>
      <c r="AF441" s="464"/>
      <c r="AG441" s="464"/>
      <c r="AH441" s="464"/>
      <c r="AI441" s="464"/>
      <c r="AJ441" s="464"/>
      <c r="AK441" s="464"/>
      <c r="AL441" s="464"/>
      <c r="AM441" s="464"/>
      <c r="AN441" s="464"/>
      <c r="AO441" s="464"/>
      <c r="AP441" s="464"/>
      <c r="AQ441" s="464"/>
      <c r="AR441" s="464"/>
      <c r="AS441" s="464"/>
      <c r="AT441" s="464"/>
      <c r="AU441" s="464"/>
      <c r="AV441" s="464"/>
      <c r="AW441" s="464"/>
      <c r="AX441" s="464"/>
      <c r="AY441" s="464"/>
      <c r="AZ441" s="464"/>
      <c r="BA441" s="464"/>
      <c r="BB441" s="464"/>
      <c r="BC441" s="464"/>
      <c r="BD441" s="464"/>
      <c r="BE441" s="464"/>
      <c r="BF441" s="464"/>
      <c r="BG441" s="464"/>
      <c r="BH441" s="464"/>
      <c r="BJ441" s="463">
        <f t="shared" si="7"/>
        <v>434</v>
      </c>
      <c r="BZ441" s="467"/>
    </row>
    <row r="442" spans="8:78" ht="15.75" customHeight="1" x14ac:dyDescent="0.2">
      <c r="H442" s="464"/>
      <c r="I442" s="464"/>
      <c r="J442" s="464"/>
      <c r="K442" s="464"/>
      <c r="L442" s="464"/>
      <c r="M442" s="464"/>
      <c r="N442" s="464"/>
      <c r="O442" s="464"/>
      <c r="P442" s="464"/>
      <c r="Q442" s="464"/>
      <c r="R442" s="464"/>
      <c r="S442" s="464"/>
      <c r="T442" s="464"/>
      <c r="U442" s="464"/>
      <c r="V442" s="464"/>
      <c r="W442" s="464"/>
      <c r="X442" s="464"/>
      <c r="Y442" s="464"/>
      <c r="Z442" s="464"/>
      <c r="AA442" s="464"/>
      <c r="AB442" s="464"/>
      <c r="AC442" s="464"/>
      <c r="AD442" s="464"/>
      <c r="AE442" s="464"/>
      <c r="AF442" s="464"/>
      <c r="AG442" s="464"/>
      <c r="AH442" s="464"/>
      <c r="AI442" s="464"/>
      <c r="AJ442" s="464"/>
      <c r="AK442" s="464"/>
      <c r="AL442" s="464"/>
      <c r="AM442" s="464"/>
      <c r="AN442" s="464"/>
      <c r="AO442" s="464"/>
      <c r="AP442" s="464"/>
      <c r="AQ442" s="464"/>
      <c r="AR442" s="464"/>
      <c r="AS442" s="464"/>
      <c r="AT442" s="464"/>
      <c r="AU442" s="464"/>
      <c r="AV442" s="464"/>
      <c r="AW442" s="464"/>
      <c r="AX442" s="464"/>
      <c r="AY442" s="464"/>
      <c r="AZ442" s="464"/>
      <c r="BA442" s="464"/>
      <c r="BB442" s="464"/>
      <c r="BC442" s="464"/>
      <c r="BD442" s="464"/>
      <c r="BE442" s="464"/>
      <c r="BF442" s="464"/>
      <c r="BG442" s="464"/>
      <c r="BH442" s="464"/>
      <c r="BJ442" s="463">
        <f t="shared" si="7"/>
        <v>435</v>
      </c>
      <c r="BZ442" s="467"/>
    </row>
    <row r="443" spans="8:78" ht="15.75" customHeight="1" x14ac:dyDescent="0.2">
      <c r="H443" s="464"/>
      <c r="I443" s="464"/>
      <c r="J443" s="464"/>
      <c r="K443" s="464"/>
      <c r="L443" s="464"/>
      <c r="M443" s="464"/>
      <c r="N443" s="464"/>
      <c r="O443" s="464"/>
      <c r="P443" s="464"/>
      <c r="Q443" s="464"/>
      <c r="R443" s="464"/>
      <c r="S443" s="464"/>
      <c r="T443" s="464"/>
      <c r="U443" s="464"/>
      <c r="V443" s="464"/>
      <c r="W443" s="464"/>
      <c r="X443" s="464"/>
      <c r="Y443" s="464"/>
      <c r="Z443" s="464"/>
      <c r="AA443" s="464"/>
      <c r="AB443" s="464"/>
      <c r="AC443" s="464"/>
      <c r="AD443" s="464"/>
      <c r="AE443" s="464"/>
      <c r="AF443" s="464"/>
      <c r="AG443" s="464"/>
      <c r="AH443" s="464"/>
      <c r="AI443" s="464"/>
      <c r="AJ443" s="464"/>
      <c r="AK443" s="464"/>
      <c r="AL443" s="464"/>
      <c r="AM443" s="464"/>
      <c r="AN443" s="464"/>
      <c r="AO443" s="464"/>
      <c r="AP443" s="464"/>
      <c r="AQ443" s="464"/>
      <c r="AR443" s="464"/>
      <c r="AS443" s="464"/>
      <c r="AT443" s="464"/>
      <c r="AU443" s="464"/>
      <c r="AV443" s="464"/>
      <c r="AW443" s="464"/>
      <c r="AX443" s="464"/>
      <c r="AY443" s="464"/>
      <c r="AZ443" s="464"/>
      <c r="BA443" s="464"/>
      <c r="BB443" s="464"/>
      <c r="BC443" s="464"/>
      <c r="BD443" s="464"/>
      <c r="BE443" s="464"/>
      <c r="BF443" s="464"/>
      <c r="BG443" s="464"/>
      <c r="BH443" s="464"/>
      <c r="BJ443" s="463">
        <f t="shared" si="7"/>
        <v>436</v>
      </c>
      <c r="BZ443" s="467"/>
    </row>
    <row r="444" spans="8:78" ht="15.75" customHeight="1" x14ac:dyDescent="0.2">
      <c r="H444" s="464"/>
      <c r="I444" s="464"/>
      <c r="J444" s="464"/>
      <c r="K444" s="464"/>
      <c r="L444" s="464"/>
      <c r="M444" s="464"/>
      <c r="N444" s="464"/>
      <c r="O444" s="464"/>
      <c r="P444" s="464"/>
      <c r="Q444" s="464"/>
      <c r="R444" s="464"/>
      <c r="S444" s="464"/>
      <c r="T444" s="464"/>
      <c r="U444" s="464"/>
      <c r="V444" s="464"/>
      <c r="W444" s="464"/>
      <c r="X444" s="464"/>
      <c r="Y444" s="464"/>
      <c r="Z444" s="464"/>
      <c r="AA444" s="464"/>
      <c r="AB444" s="464"/>
      <c r="AC444" s="464"/>
      <c r="AD444" s="464"/>
      <c r="AE444" s="464"/>
      <c r="AF444" s="464"/>
      <c r="AG444" s="464"/>
      <c r="AH444" s="464"/>
      <c r="AI444" s="464"/>
      <c r="AJ444" s="464"/>
      <c r="AK444" s="464"/>
      <c r="AL444" s="464"/>
      <c r="AM444" s="464"/>
      <c r="AN444" s="464"/>
      <c r="AO444" s="464"/>
      <c r="AP444" s="464"/>
      <c r="AQ444" s="464"/>
      <c r="AR444" s="464"/>
      <c r="AS444" s="464"/>
      <c r="AT444" s="464"/>
      <c r="AU444" s="464"/>
      <c r="AV444" s="464"/>
      <c r="AW444" s="464"/>
      <c r="AX444" s="464"/>
      <c r="AY444" s="464"/>
      <c r="AZ444" s="464"/>
      <c r="BA444" s="464"/>
      <c r="BB444" s="464"/>
      <c r="BC444" s="464"/>
      <c r="BD444" s="464"/>
      <c r="BE444" s="464"/>
      <c r="BF444" s="464"/>
      <c r="BG444" s="464"/>
      <c r="BH444" s="464"/>
      <c r="BJ444" s="463">
        <f t="shared" si="7"/>
        <v>437</v>
      </c>
      <c r="BZ444" s="467"/>
    </row>
    <row r="445" spans="8:78" ht="15.75" customHeight="1" x14ac:dyDescent="0.2">
      <c r="H445" s="464"/>
      <c r="I445" s="464"/>
      <c r="J445" s="464"/>
      <c r="K445" s="464"/>
      <c r="L445" s="464"/>
      <c r="M445" s="464"/>
      <c r="N445" s="464"/>
      <c r="O445" s="464"/>
      <c r="P445" s="464"/>
      <c r="Q445" s="464"/>
      <c r="R445" s="464"/>
      <c r="S445" s="464"/>
      <c r="T445" s="464"/>
      <c r="U445" s="464"/>
      <c r="V445" s="464"/>
      <c r="W445" s="464"/>
      <c r="X445" s="464"/>
      <c r="Y445" s="464"/>
      <c r="Z445" s="464"/>
      <c r="AA445" s="464"/>
      <c r="AB445" s="464"/>
      <c r="AC445" s="464"/>
      <c r="AD445" s="464"/>
      <c r="AE445" s="464"/>
      <c r="AF445" s="464"/>
      <c r="AG445" s="464"/>
      <c r="AH445" s="464"/>
      <c r="AI445" s="464"/>
      <c r="AJ445" s="464"/>
      <c r="AK445" s="464"/>
      <c r="AL445" s="464"/>
      <c r="AM445" s="464"/>
      <c r="AN445" s="464"/>
      <c r="AO445" s="464"/>
      <c r="AP445" s="464"/>
      <c r="AQ445" s="464"/>
      <c r="AR445" s="464"/>
      <c r="AS445" s="464"/>
      <c r="AT445" s="464"/>
      <c r="AU445" s="464"/>
      <c r="AV445" s="464"/>
      <c r="AW445" s="464"/>
      <c r="AX445" s="464"/>
      <c r="AY445" s="464"/>
      <c r="AZ445" s="464"/>
      <c r="BA445" s="464"/>
      <c r="BB445" s="464"/>
      <c r="BC445" s="464"/>
      <c r="BD445" s="464"/>
      <c r="BE445" s="464"/>
      <c r="BF445" s="464"/>
      <c r="BG445" s="464"/>
      <c r="BH445" s="464"/>
      <c r="BJ445" s="463">
        <f t="shared" si="7"/>
        <v>438</v>
      </c>
      <c r="BZ445" s="467"/>
    </row>
    <row r="446" spans="8:78" ht="15.75" customHeight="1" x14ac:dyDescent="0.2">
      <c r="H446" s="464"/>
      <c r="I446" s="464"/>
      <c r="J446" s="464"/>
      <c r="K446" s="464"/>
      <c r="L446" s="464"/>
      <c r="M446" s="464"/>
      <c r="N446" s="464"/>
      <c r="O446" s="464"/>
      <c r="P446" s="464"/>
      <c r="Q446" s="464"/>
      <c r="R446" s="464"/>
      <c r="S446" s="464"/>
      <c r="T446" s="464"/>
      <c r="U446" s="464"/>
      <c r="V446" s="464"/>
      <c r="W446" s="464"/>
      <c r="X446" s="464"/>
      <c r="Y446" s="464"/>
      <c r="Z446" s="464"/>
      <c r="AA446" s="464"/>
      <c r="AB446" s="464"/>
      <c r="AC446" s="464"/>
      <c r="AD446" s="464"/>
      <c r="AE446" s="464"/>
      <c r="AF446" s="464"/>
      <c r="AG446" s="464"/>
      <c r="AH446" s="464"/>
      <c r="AI446" s="464"/>
      <c r="AJ446" s="464"/>
      <c r="AK446" s="464"/>
      <c r="AL446" s="464"/>
      <c r="AM446" s="464"/>
      <c r="AN446" s="464"/>
      <c r="AO446" s="464"/>
      <c r="AP446" s="464"/>
      <c r="AQ446" s="464"/>
      <c r="AR446" s="464"/>
      <c r="AS446" s="464"/>
      <c r="AT446" s="464"/>
      <c r="AU446" s="464"/>
      <c r="AV446" s="464"/>
      <c r="AW446" s="464"/>
      <c r="AX446" s="464"/>
      <c r="AY446" s="464"/>
      <c r="AZ446" s="464"/>
      <c r="BA446" s="464"/>
      <c r="BB446" s="464"/>
      <c r="BC446" s="464"/>
      <c r="BD446" s="464"/>
      <c r="BE446" s="464"/>
      <c r="BF446" s="464"/>
      <c r="BG446" s="464"/>
      <c r="BH446" s="464"/>
      <c r="BJ446" s="463">
        <f t="shared" si="7"/>
        <v>439</v>
      </c>
      <c r="BZ446" s="467"/>
    </row>
    <row r="447" spans="8:78" ht="15.75" customHeight="1" x14ac:dyDescent="0.2">
      <c r="H447" s="464"/>
      <c r="I447" s="464"/>
      <c r="J447" s="464"/>
      <c r="K447" s="464"/>
      <c r="L447" s="464"/>
      <c r="M447" s="464"/>
      <c r="N447" s="464"/>
      <c r="O447" s="464"/>
      <c r="P447" s="464"/>
      <c r="Q447" s="464"/>
      <c r="R447" s="464"/>
      <c r="S447" s="464"/>
      <c r="T447" s="464"/>
      <c r="U447" s="464"/>
      <c r="V447" s="464"/>
      <c r="W447" s="464"/>
      <c r="X447" s="464"/>
      <c r="Y447" s="464"/>
      <c r="Z447" s="464"/>
      <c r="AA447" s="464"/>
      <c r="AB447" s="464"/>
      <c r="AC447" s="464"/>
      <c r="AD447" s="464"/>
      <c r="AE447" s="464"/>
      <c r="AF447" s="464"/>
      <c r="AG447" s="464"/>
      <c r="AH447" s="464"/>
      <c r="AI447" s="464"/>
      <c r="AJ447" s="464"/>
      <c r="AK447" s="464"/>
      <c r="AL447" s="464"/>
      <c r="AM447" s="464"/>
      <c r="AN447" s="464"/>
      <c r="AO447" s="464"/>
      <c r="AP447" s="464"/>
      <c r="AQ447" s="464"/>
      <c r="AR447" s="464"/>
      <c r="AS447" s="464"/>
      <c r="AT447" s="464"/>
      <c r="AU447" s="464"/>
      <c r="AV447" s="464"/>
      <c r="AW447" s="464"/>
      <c r="AX447" s="464"/>
      <c r="AY447" s="464"/>
      <c r="AZ447" s="464"/>
      <c r="BA447" s="464"/>
      <c r="BB447" s="464"/>
      <c r="BC447" s="464"/>
      <c r="BD447" s="464"/>
      <c r="BE447" s="464"/>
      <c r="BF447" s="464"/>
      <c r="BG447" s="464"/>
      <c r="BH447" s="464"/>
      <c r="BJ447" s="463">
        <f t="shared" si="7"/>
        <v>440</v>
      </c>
      <c r="BZ447" s="467"/>
    </row>
    <row r="448" spans="8:78" ht="15.75" customHeight="1" x14ac:dyDescent="0.2">
      <c r="H448" s="464"/>
      <c r="I448" s="464"/>
      <c r="J448" s="464"/>
      <c r="K448" s="464"/>
      <c r="L448" s="464"/>
      <c r="M448" s="464"/>
      <c r="N448" s="464"/>
      <c r="O448" s="464"/>
      <c r="P448" s="464"/>
      <c r="Q448" s="464"/>
      <c r="R448" s="464"/>
      <c r="S448" s="464"/>
      <c r="T448" s="464"/>
      <c r="U448" s="464"/>
      <c r="V448" s="464"/>
      <c r="W448" s="464"/>
      <c r="X448" s="464"/>
      <c r="Y448" s="464"/>
      <c r="Z448" s="464"/>
      <c r="AA448" s="464"/>
      <c r="AB448" s="464"/>
      <c r="AC448" s="464"/>
      <c r="AD448" s="464"/>
      <c r="AE448" s="464"/>
      <c r="AF448" s="464"/>
      <c r="AG448" s="464"/>
      <c r="AH448" s="464"/>
      <c r="AI448" s="464"/>
      <c r="AJ448" s="464"/>
      <c r="AK448" s="464"/>
      <c r="AL448" s="464"/>
      <c r="AM448" s="464"/>
      <c r="AN448" s="464"/>
      <c r="AO448" s="464"/>
      <c r="AP448" s="464"/>
      <c r="AQ448" s="464"/>
      <c r="AR448" s="464"/>
      <c r="AS448" s="464"/>
      <c r="AT448" s="464"/>
      <c r="AU448" s="464"/>
      <c r="AV448" s="464"/>
      <c r="AW448" s="464"/>
      <c r="AX448" s="464"/>
      <c r="AY448" s="464"/>
      <c r="AZ448" s="464"/>
      <c r="BA448" s="464"/>
      <c r="BB448" s="464"/>
      <c r="BC448" s="464"/>
      <c r="BD448" s="464"/>
      <c r="BE448" s="464"/>
      <c r="BF448" s="464"/>
      <c r="BG448" s="464"/>
      <c r="BH448" s="464"/>
      <c r="BJ448" s="463">
        <f t="shared" si="7"/>
        <v>441</v>
      </c>
      <c r="BZ448" s="467"/>
    </row>
    <row r="449" spans="8:78" ht="15.75" customHeight="1" x14ac:dyDescent="0.2">
      <c r="H449" s="464"/>
      <c r="I449" s="464"/>
      <c r="J449" s="464"/>
      <c r="K449" s="464"/>
      <c r="L449" s="464"/>
      <c r="M449" s="464"/>
      <c r="N449" s="464"/>
      <c r="O449" s="464"/>
      <c r="P449" s="464"/>
      <c r="Q449" s="464"/>
      <c r="R449" s="464"/>
      <c r="S449" s="464"/>
      <c r="T449" s="464"/>
      <c r="U449" s="464"/>
      <c r="V449" s="464"/>
      <c r="W449" s="464"/>
      <c r="X449" s="464"/>
      <c r="Y449" s="464"/>
      <c r="Z449" s="464"/>
      <c r="AA449" s="464"/>
      <c r="AB449" s="464"/>
      <c r="AC449" s="464"/>
      <c r="AD449" s="464"/>
      <c r="AE449" s="464"/>
      <c r="AF449" s="464"/>
      <c r="AG449" s="464"/>
      <c r="AH449" s="464"/>
      <c r="AI449" s="464"/>
      <c r="AJ449" s="464"/>
      <c r="AK449" s="464"/>
      <c r="AL449" s="464"/>
      <c r="AM449" s="464"/>
      <c r="AN449" s="464"/>
      <c r="AO449" s="464"/>
      <c r="AP449" s="464"/>
      <c r="AQ449" s="464"/>
      <c r="AR449" s="464"/>
      <c r="AS449" s="464"/>
      <c r="AT449" s="464"/>
      <c r="AU449" s="464"/>
      <c r="AV449" s="464"/>
      <c r="AW449" s="464"/>
      <c r="AX449" s="464"/>
      <c r="AY449" s="464"/>
      <c r="AZ449" s="464"/>
      <c r="BA449" s="464"/>
      <c r="BB449" s="464"/>
      <c r="BC449" s="464"/>
      <c r="BD449" s="464"/>
      <c r="BE449" s="464"/>
      <c r="BF449" s="464"/>
      <c r="BG449" s="464"/>
      <c r="BH449" s="464"/>
      <c r="BJ449" s="463">
        <f t="shared" si="7"/>
        <v>442</v>
      </c>
      <c r="BZ449" s="467"/>
    </row>
    <row r="450" spans="8:78" ht="15.75" customHeight="1" x14ac:dyDescent="0.2">
      <c r="H450" s="464"/>
      <c r="I450" s="464"/>
      <c r="J450" s="464"/>
      <c r="K450" s="464"/>
      <c r="L450" s="464"/>
      <c r="M450" s="464"/>
      <c r="N450" s="464"/>
      <c r="O450" s="464"/>
      <c r="P450" s="464"/>
      <c r="Q450" s="464"/>
      <c r="R450" s="464"/>
      <c r="S450" s="464"/>
      <c r="T450" s="464"/>
      <c r="U450" s="464"/>
      <c r="V450" s="464"/>
      <c r="W450" s="464"/>
      <c r="X450" s="464"/>
      <c r="Y450" s="464"/>
      <c r="Z450" s="464"/>
      <c r="AA450" s="464"/>
      <c r="AB450" s="464"/>
      <c r="AC450" s="464"/>
      <c r="AD450" s="464"/>
      <c r="AE450" s="464"/>
      <c r="AF450" s="464"/>
      <c r="AG450" s="464"/>
      <c r="AH450" s="464"/>
      <c r="AI450" s="464"/>
      <c r="AJ450" s="464"/>
      <c r="AK450" s="464"/>
      <c r="AL450" s="464"/>
      <c r="AM450" s="464"/>
      <c r="AN450" s="464"/>
      <c r="AO450" s="464"/>
      <c r="AP450" s="464"/>
      <c r="AQ450" s="464"/>
      <c r="AR450" s="464"/>
      <c r="AS450" s="464"/>
      <c r="AT450" s="464"/>
      <c r="AU450" s="464"/>
      <c r="AV450" s="464"/>
      <c r="AW450" s="464"/>
      <c r="AX450" s="464"/>
      <c r="AY450" s="464"/>
      <c r="AZ450" s="464"/>
      <c r="BA450" s="464"/>
      <c r="BB450" s="464"/>
      <c r="BC450" s="464"/>
      <c r="BD450" s="464"/>
      <c r="BE450" s="464"/>
      <c r="BF450" s="464"/>
      <c r="BG450" s="464"/>
      <c r="BH450" s="464"/>
      <c r="BJ450" s="463">
        <f t="shared" si="7"/>
        <v>443</v>
      </c>
      <c r="BZ450" s="467"/>
    </row>
    <row r="451" spans="8:78" ht="15.75" customHeight="1" x14ac:dyDescent="0.2">
      <c r="H451" s="464"/>
      <c r="I451" s="464"/>
      <c r="J451" s="464"/>
      <c r="K451" s="464"/>
      <c r="L451" s="464"/>
      <c r="M451" s="464"/>
      <c r="N451" s="464"/>
      <c r="O451" s="464"/>
      <c r="P451" s="464"/>
      <c r="Q451" s="464"/>
      <c r="R451" s="464"/>
      <c r="S451" s="464"/>
      <c r="T451" s="464"/>
      <c r="U451" s="464"/>
      <c r="V451" s="464"/>
      <c r="W451" s="464"/>
      <c r="X451" s="464"/>
      <c r="Y451" s="464"/>
      <c r="Z451" s="464"/>
      <c r="AA451" s="464"/>
      <c r="AB451" s="464"/>
      <c r="AC451" s="464"/>
      <c r="AD451" s="464"/>
      <c r="AE451" s="464"/>
      <c r="AF451" s="464"/>
      <c r="AG451" s="464"/>
      <c r="AH451" s="464"/>
      <c r="AI451" s="464"/>
      <c r="AJ451" s="464"/>
      <c r="AK451" s="464"/>
      <c r="AL451" s="464"/>
      <c r="AM451" s="464"/>
      <c r="AN451" s="464"/>
      <c r="AO451" s="464"/>
      <c r="AP451" s="464"/>
      <c r="AQ451" s="464"/>
      <c r="AR451" s="464"/>
      <c r="AS451" s="464"/>
      <c r="AT451" s="464"/>
      <c r="AU451" s="464"/>
      <c r="AV451" s="464"/>
      <c r="AW451" s="464"/>
      <c r="AX451" s="464"/>
      <c r="AY451" s="464"/>
      <c r="AZ451" s="464"/>
      <c r="BA451" s="464"/>
      <c r="BB451" s="464"/>
      <c r="BC451" s="464"/>
      <c r="BD451" s="464"/>
      <c r="BE451" s="464"/>
      <c r="BF451" s="464"/>
      <c r="BG451" s="464"/>
      <c r="BH451" s="464"/>
      <c r="BJ451" s="463">
        <f t="shared" si="7"/>
        <v>444</v>
      </c>
      <c r="BZ451" s="467"/>
    </row>
    <row r="452" spans="8:78" ht="15.75" customHeight="1" x14ac:dyDescent="0.2">
      <c r="H452" s="464"/>
      <c r="I452" s="464"/>
      <c r="J452" s="464"/>
      <c r="K452" s="464"/>
      <c r="L452" s="464"/>
      <c r="M452" s="464"/>
      <c r="N452" s="464"/>
      <c r="O452" s="464"/>
      <c r="P452" s="464"/>
      <c r="Q452" s="464"/>
      <c r="R452" s="464"/>
      <c r="S452" s="464"/>
      <c r="T452" s="464"/>
      <c r="U452" s="464"/>
      <c r="V452" s="464"/>
      <c r="W452" s="464"/>
      <c r="X452" s="464"/>
      <c r="Y452" s="464"/>
      <c r="Z452" s="464"/>
      <c r="AA452" s="464"/>
      <c r="AB452" s="464"/>
      <c r="AC452" s="464"/>
      <c r="AD452" s="464"/>
      <c r="AE452" s="464"/>
      <c r="AF452" s="464"/>
      <c r="AG452" s="464"/>
      <c r="AH452" s="464"/>
      <c r="AI452" s="464"/>
      <c r="AJ452" s="464"/>
      <c r="AK452" s="464"/>
      <c r="AL452" s="464"/>
      <c r="AM452" s="464"/>
      <c r="AN452" s="464"/>
      <c r="AO452" s="464"/>
      <c r="AP452" s="464"/>
      <c r="AQ452" s="464"/>
      <c r="AR452" s="464"/>
      <c r="AS452" s="464"/>
      <c r="AT452" s="464"/>
      <c r="AU452" s="464"/>
      <c r="AV452" s="464"/>
      <c r="AW452" s="464"/>
      <c r="AX452" s="464"/>
      <c r="AY452" s="464"/>
      <c r="AZ452" s="464"/>
      <c r="BA452" s="464"/>
      <c r="BB452" s="464"/>
      <c r="BC452" s="464"/>
      <c r="BD452" s="464"/>
      <c r="BE452" s="464"/>
      <c r="BF452" s="464"/>
      <c r="BG452" s="464"/>
      <c r="BH452" s="464"/>
      <c r="BJ452" s="463">
        <f t="shared" si="7"/>
        <v>445</v>
      </c>
      <c r="BZ452" s="467"/>
    </row>
    <row r="453" spans="8:78" ht="15.75" customHeight="1" x14ac:dyDescent="0.2">
      <c r="H453" s="464"/>
      <c r="I453" s="464"/>
      <c r="J453" s="464"/>
      <c r="K453" s="464"/>
      <c r="L453" s="464"/>
      <c r="M453" s="464"/>
      <c r="N453" s="464"/>
      <c r="O453" s="464"/>
      <c r="P453" s="464"/>
      <c r="Q453" s="464"/>
      <c r="R453" s="464"/>
      <c r="S453" s="464"/>
      <c r="T453" s="464"/>
      <c r="U453" s="464"/>
      <c r="V453" s="464"/>
      <c r="W453" s="464"/>
      <c r="X453" s="464"/>
      <c r="Y453" s="464"/>
      <c r="Z453" s="464"/>
      <c r="AA453" s="464"/>
      <c r="AB453" s="464"/>
      <c r="AC453" s="464"/>
      <c r="AD453" s="464"/>
      <c r="AE453" s="464"/>
      <c r="AF453" s="464"/>
      <c r="AG453" s="464"/>
      <c r="AH453" s="464"/>
      <c r="AI453" s="464"/>
      <c r="AJ453" s="464"/>
      <c r="AK453" s="464"/>
      <c r="AL453" s="464"/>
      <c r="AM453" s="464"/>
      <c r="AN453" s="464"/>
      <c r="AO453" s="464"/>
      <c r="AP453" s="464"/>
      <c r="AQ453" s="464"/>
      <c r="AR453" s="464"/>
      <c r="AS453" s="464"/>
      <c r="AT453" s="464"/>
      <c r="AU453" s="464"/>
      <c r="AV453" s="464"/>
      <c r="AW453" s="464"/>
      <c r="AX453" s="464"/>
      <c r="AY453" s="464"/>
      <c r="AZ453" s="464"/>
      <c r="BA453" s="464"/>
      <c r="BB453" s="464"/>
      <c r="BC453" s="464"/>
      <c r="BD453" s="464"/>
      <c r="BE453" s="464"/>
      <c r="BF453" s="464"/>
      <c r="BG453" s="464"/>
      <c r="BH453" s="464"/>
      <c r="BJ453" s="463">
        <f t="shared" si="7"/>
        <v>446</v>
      </c>
      <c r="BZ453" s="467"/>
    </row>
    <row r="454" spans="8:78" ht="15.75" customHeight="1" x14ac:dyDescent="0.2">
      <c r="H454" s="464"/>
      <c r="I454" s="464"/>
      <c r="J454" s="464"/>
      <c r="K454" s="464"/>
      <c r="L454" s="464"/>
      <c r="M454" s="464"/>
      <c r="N454" s="464"/>
      <c r="O454" s="464"/>
      <c r="P454" s="464"/>
      <c r="Q454" s="464"/>
      <c r="R454" s="464"/>
      <c r="S454" s="464"/>
      <c r="T454" s="464"/>
      <c r="U454" s="464"/>
      <c r="V454" s="464"/>
      <c r="W454" s="464"/>
      <c r="X454" s="464"/>
      <c r="Y454" s="464"/>
      <c r="Z454" s="464"/>
      <c r="AA454" s="464"/>
      <c r="AB454" s="464"/>
      <c r="AC454" s="464"/>
      <c r="AD454" s="464"/>
      <c r="AE454" s="464"/>
      <c r="AF454" s="464"/>
      <c r="AG454" s="464"/>
      <c r="AH454" s="464"/>
      <c r="AI454" s="464"/>
      <c r="AJ454" s="464"/>
      <c r="AK454" s="464"/>
      <c r="AL454" s="464"/>
      <c r="AM454" s="464"/>
      <c r="AN454" s="464"/>
      <c r="AO454" s="464"/>
      <c r="AP454" s="464"/>
      <c r="AQ454" s="464"/>
      <c r="AR454" s="464"/>
      <c r="AS454" s="464"/>
      <c r="AT454" s="464"/>
      <c r="AU454" s="464"/>
      <c r="AV454" s="464"/>
      <c r="AW454" s="464"/>
      <c r="AX454" s="464"/>
      <c r="AY454" s="464"/>
      <c r="AZ454" s="464"/>
      <c r="BA454" s="464"/>
      <c r="BB454" s="464"/>
      <c r="BC454" s="464"/>
      <c r="BD454" s="464"/>
      <c r="BE454" s="464"/>
      <c r="BF454" s="464"/>
      <c r="BG454" s="464"/>
      <c r="BH454" s="464"/>
      <c r="BJ454" s="463">
        <f t="shared" si="7"/>
        <v>447</v>
      </c>
      <c r="BZ454" s="467"/>
    </row>
    <row r="455" spans="8:78" ht="15.75" customHeight="1" x14ac:dyDescent="0.2">
      <c r="H455" s="464"/>
      <c r="I455" s="464"/>
      <c r="J455" s="464"/>
      <c r="K455" s="464"/>
      <c r="L455" s="464"/>
      <c r="M455" s="464"/>
      <c r="N455" s="464"/>
      <c r="O455" s="464"/>
      <c r="P455" s="464"/>
      <c r="Q455" s="464"/>
      <c r="R455" s="464"/>
      <c r="S455" s="464"/>
      <c r="T455" s="464"/>
      <c r="U455" s="464"/>
      <c r="V455" s="464"/>
      <c r="W455" s="464"/>
      <c r="X455" s="464"/>
      <c r="Y455" s="464"/>
      <c r="Z455" s="464"/>
      <c r="AA455" s="464"/>
      <c r="AB455" s="464"/>
      <c r="AC455" s="464"/>
      <c r="AD455" s="464"/>
      <c r="AE455" s="464"/>
      <c r="AF455" s="464"/>
      <c r="AG455" s="464"/>
      <c r="AH455" s="464"/>
      <c r="AI455" s="464"/>
      <c r="AJ455" s="464"/>
      <c r="AK455" s="464"/>
      <c r="AL455" s="464"/>
      <c r="AM455" s="464"/>
      <c r="AN455" s="464"/>
      <c r="AO455" s="464"/>
      <c r="AP455" s="464"/>
      <c r="AQ455" s="464"/>
      <c r="AR455" s="464"/>
      <c r="AS455" s="464"/>
      <c r="AT455" s="464"/>
      <c r="AU455" s="464"/>
      <c r="AV455" s="464"/>
      <c r="AW455" s="464"/>
      <c r="AX455" s="464"/>
      <c r="AY455" s="464"/>
      <c r="AZ455" s="464"/>
      <c r="BA455" s="464"/>
      <c r="BB455" s="464"/>
      <c r="BC455" s="464"/>
      <c r="BD455" s="464"/>
      <c r="BE455" s="464"/>
      <c r="BF455" s="464"/>
      <c r="BG455" s="464"/>
      <c r="BH455" s="464"/>
      <c r="BJ455" s="463">
        <f t="shared" si="7"/>
        <v>448</v>
      </c>
      <c r="BZ455" s="467"/>
    </row>
    <row r="456" spans="8:78" ht="15.75" customHeight="1" x14ac:dyDescent="0.2">
      <c r="H456" s="464"/>
      <c r="I456" s="464"/>
      <c r="J456" s="464"/>
      <c r="K456" s="464"/>
      <c r="L456" s="464"/>
      <c r="M456" s="464"/>
      <c r="N456" s="464"/>
      <c r="O456" s="464"/>
      <c r="P456" s="464"/>
      <c r="Q456" s="464"/>
      <c r="R456" s="464"/>
      <c r="S456" s="464"/>
      <c r="T456" s="464"/>
      <c r="U456" s="464"/>
      <c r="V456" s="464"/>
      <c r="W456" s="464"/>
      <c r="X456" s="464"/>
      <c r="Y456" s="464"/>
      <c r="Z456" s="464"/>
      <c r="AA456" s="464"/>
      <c r="AB456" s="464"/>
      <c r="AC456" s="464"/>
      <c r="AD456" s="464"/>
      <c r="AE456" s="464"/>
      <c r="AF456" s="464"/>
      <c r="AG456" s="464"/>
      <c r="AH456" s="464"/>
      <c r="AI456" s="464"/>
      <c r="AJ456" s="464"/>
      <c r="AK456" s="464"/>
      <c r="AL456" s="464"/>
      <c r="AM456" s="464"/>
      <c r="AN456" s="464"/>
      <c r="AO456" s="464"/>
      <c r="AP456" s="464"/>
      <c r="AQ456" s="464"/>
      <c r="AR456" s="464"/>
      <c r="AS456" s="464"/>
      <c r="AT456" s="464"/>
      <c r="AU456" s="464"/>
      <c r="AV456" s="464"/>
      <c r="AW456" s="464"/>
      <c r="AX456" s="464"/>
      <c r="AY456" s="464"/>
      <c r="AZ456" s="464"/>
      <c r="BA456" s="464"/>
      <c r="BB456" s="464"/>
      <c r="BC456" s="464"/>
      <c r="BD456" s="464"/>
      <c r="BE456" s="464"/>
      <c r="BF456" s="464"/>
      <c r="BG456" s="464"/>
      <c r="BH456" s="464"/>
      <c r="BJ456" s="463">
        <f t="shared" si="7"/>
        <v>449</v>
      </c>
      <c r="BZ456" s="467"/>
    </row>
    <row r="457" spans="8:78" ht="15.75" customHeight="1" x14ac:dyDescent="0.2">
      <c r="H457" s="464"/>
      <c r="I457" s="464"/>
      <c r="J457" s="464"/>
      <c r="K457" s="464"/>
      <c r="L457" s="464"/>
      <c r="M457" s="464"/>
      <c r="N457" s="464"/>
      <c r="O457" s="464"/>
      <c r="P457" s="464"/>
      <c r="Q457" s="464"/>
      <c r="R457" s="464"/>
      <c r="S457" s="464"/>
      <c r="T457" s="464"/>
      <c r="U457" s="464"/>
      <c r="V457" s="464"/>
      <c r="W457" s="464"/>
      <c r="X457" s="464"/>
      <c r="Y457" s="464"/>
      <c r="Z457" s="464"/>
      <c r="AA457" s="464"/>
      <c r="AB457" s="464"/>
      <c r="AC457" s="464"/>
      <c r="AD457" s="464"/>
      <c r="AE457" s="464"/>
      <c r="AF457" s="464"/>
      <c r="AG457" s="464"/>
      <c r="AH457" s="464"/>
      <c r="AI457" s="464"/>
      <c r="AJ457" s="464"/>
      <c r="AK457" s="464"/>
      <c r="AL457" s="464"/>
      <c r="AM457" s="464"/>
      <c r="AN457" s="464"/>
      <c r="AO457" s="464"/>
      <c r="AP457" s="464"/>
      <c r="AQ457" s="464"/>
      <c r="AR457" s="464"/>
      <c r="AS457" s="464"/>
      <c r="AT457" s="464"/>
      <c r="AU457" s="464"/>
      <c r="AV457" s="464"/>
      <c r="AW457" s="464"/>
      <c r="AX457" s="464"/>
      <c r="AY457" s="464"/>
      <c r="AZ457" s="464"/>
      <c r="BA457" s="464"/>
      <c r="BB457" s="464"/>
      <c r="BC457" s="464"/>
      <c r="BD457" s="464"/>
      <c r="BE457" s="464"/>
      <c r="BF457" s="464"/>
      <c r="BG457" s="464"/>
      <c r="BH457" s="464"/>
      <c r="BJ457" s="463">
        <f t="shared" ref="BJ457:BJ520" si="8">BJ456+1</f>
        <v>450</v>
      </c>
      <c r="BZ457" s="467"/>
    </row>
    <row r="458" spans="8:78" ht="15.75" customHeight="1" x14ac:dyDescent="0.2">
      <c r="H458" s="464"/>
      <c r="I458" s="464"/>
      <c r="J458" s="464"/>
      <c r="K458" s="464"/>
      <c r="L458" s="464"/>
      <c r="M458" s="464"/>
      <c r="N458" s="464"/>
      <c r="O458" s="464"/>
      <c r="P458" s="464"/>
      <c r="Q458" s="464"/>
      <c r="R458" s="464"/>
      <c r="S458" s="464"/>
      <c r="T458" s="464"/>
      <c r="U458" s="464"/>
      <c r="V458" s="464"/>
      <c r="W458" s="464"/>
      <c r="X458" s="464"/>
      <c r="Y458" s="464"/>
      <c r="Z458" s="464"/>
      <c r="AA458" s="464"/>
      <c r="AB458" s="464"/>
      <c r="AC458" s="464"/>
      <c r="AD458" s="464"/>
      <c r="AE458" s="464"/>
      <c r="AF458" s="464"/>
      <c r="AG458" s="464"/>
      <c r="AH458" s="464"/>
      <c r="AI458" s="464"/>
      <c r="AJ458" s="464"/>
      <c r="AK458" s="464"/>
      <c r="AL458" s="464"/>
      <c r="AM458" s="464"/>
      <c r="AN458" s="464"/>
      <c r="AO458" s="464"/>
      <c r="AP458" s="464"/>
      <c r="AQ458" s="464"/>
      <c r="AR458" s="464"/>
      <c r="AS458" s="464"/>
      <c r="AT458" s="464"/>
      <c r="AU458" s="464"/>
      <c r="AV458" s="464"/>
      <c r="AW458" s="464"/>
      <c r="AX458" s="464"/>
      <c r="AY458" s="464"/>
      <c r="AZ458" s="464"/>
      <c r="BA458" s="464"/>
      <c r="BB458" s="464"/>
      <c r="BC458" s="464"/>
      <c r="BD458" s="464"/>
      <c r="BE458" s="464"/>
      <c r="BF458" s="464"/>
      <c r="BG458" s="464"/>
      <c r="BH458" s="464"/>
      <c r="BJ458" s="463">
        <f t="shared" si="8"/>
        <v>451</v>
      </c>
      <c r="BZ458" s="467"/>
    </row>
    <row r="459" spans="8:78" ht="15.75" customHeight="1" x14ac:dyDescent="0.2">
      <c r="H459" s="464"/>
      <c r="I459" s="464"/>
      <c r="J459" s="464"/>
      <c r="K459" s="464"/>
      <c r="L459" s="464"/>
      <c r="M459" s="464"/>
      <c r="N459" s="464"/>
      <c r="O459" s="464"/>
      <c r="P459" s="464"/>
      <c r="Q459" s="464"/>
      <c r="R459" s="464"/>
      <c r="S459" s="464"/>
      <c r="T459" s="464"/>
      <c r="U459" s="464"/>
      <c r="V459" s="464"/>
      <c r="W459" s="464"/>
      <c r="X459" s="464"/>
      <c r="Y459" s="464"/>
      <c r="Z459" s="464"/>
      <c r="AA459" s="464"/>
      <c r="AB459" s="464"/>
      <c r="AC459" s="464"/>
      <c r="AD459" s="464"/>
      <c r="AE459" s="464"/>
      <c r="AF459" s="464"/>
      <c r="AG459" s="464"/>
      <c r="AH459" s="464"/>
      <c r="AI459" s="464"/>
      <c r="AJ459" s="464"/>
      <c r="AK459" s="464"/>
      <c r="AL459" s="464"/>
      <c r="AM459" s="464"/>
      <c r="AN459" s="464"/>
      <c r="AO459" s="464"/>
      <c r="AP459" s="464"/>
      <c r="AQ459" s="464"/>
      <c r="AR459" s="464"/>
      <c r="AS459" s="464"/>
      <c r="AT459" s="464"/>
      <c r="AU459" s="464"/>
      <c r="AV459" s="464"/>
      <c r="AW459" s="464"/>
      <c r="AX459" s="464"/>
      <c r="AY459" s="464"/>
      <c r="AZ459" s="464"/>
      <c r="BA459" s="464"/>
      <c r="BB459" s="464"/>
      <c r="BC459" s="464"/>
      <c r="BD459" s="464"/>
      <c r="BE459" s="464"/>
      <c r="BF459" s="464"/>
      <c r="BG459" s="464"/>
      <c r="BH459" s="464"/>
      <c r="BJ459" s="463">
        <f t="shared" si="8"/>
        <v>452</v>
      </c>
      <c r="BZ459" s="467"/>
    </row>
    <row r="460" spans="8:78" ht="15.75" customHeight="1" x14ac:dyDescent="0.2">
      <c r="H460" s="464"/>
      <c r="I460" s="464"/>
      <c r="J460" s="464"/>
      <c r="K460" s="464"/>
      <c r="L460" s="464"/>
      <c r="M460" s="464"/>
      <c r="N460" s="464"/>
      <c r="O460" s="464"/>
      <c r="P460" s="464"/>
      <c r="Q460" s="464"/>
      <c r="R460" s="464"/>
      <c r="S460" s="464"/>
      <c r="T460" s="464"/>
      <c r="U460" s="464"/>
      <c r="V460" s="464"/>
      <c r="W460" s="464"/>
      <c r="X460" s="464"/>
      <c r="Y460" s="464"/>
      <c r="Z460" s="464"/>
      <c r="AA460" s="464"/>
      <c r="AB460" s="464"/>
      <c r="AC460" s="464"/>
      <c r="AD460" s="464"/>
      <c r="AE460" s="464"/>
      <c r="AF460" s="464"/>
      <c r="AG460" s="464"/>
      <c r="AH460" s="464"/>
      <c r="AI460" s="464"/>
      <c r="AJ460" s="464"/>
      <c r="AK460" s="464"/>
      <c r="AL460" s="464"/>
      <c r="AM460" s="464"/>
      <c r="AN460" s="464"/>
      <c r="AO460" s="464"/>
      <c r="AP460" s="464"/>
      <c r="AQ460" s="464"/>
      <c r="AR460" s="464"/>
      <c r="AS460" s="464"/>
      <c r="AT460" s="464"/>
      <c r="AU460" s="464"/>
      <c r="AV460" s="464"/>
      <c r="AW460" s="464"/>
      <c r="AX460" s="464"/>
      <c r="AY460" s="464"/>
      <c r="AZ460" s="464"/>
      <c r="BA460" s="464"/>
      <c r="BB460" s="464"/>
      <c r="BC460" s="464"/>
      <c r="BD460" s="464"/>
      <c r="BE460" s="464"/>
      <c r="BF460" s="464"/>
      <c r="BG460" s="464"/>
      <c r="BH460" s="464"/>
      <c r="BJ460" s="463">
        <f t="shared" si="8"/>
        <v>453</v>
      </c>
      <c r="BZ460" s="467"/>
    </row>
    <row r="461" spans="8:78" ht="15.75" customHeight="1" x14ac:dyDescent="0.2">
      <c r="H461" s="464"/>
      <c r="I461" s="464"/>
      <c r="J461" s="464"/>
      <c r="K461" s="464"/>
      <c r="L461" s="464"/>
      <c r="M461" s="464"/>
      <c r="N461" s="464"/>
      <c r="O461" s="464"/>
      <c r="P461" s="464"/>
      <c r="Q461" s="464"/>
      <c r="R461" s="464"/>
      <c r="S461" s="464"/>
      <c r="T461" s="464"/>
      <c r="U461" s="464"/>
      <c r="V461" s="464"/>
      <c r="W461" s="464"/>
      <c r="X461" s="464"/>
      <c r="Y461" s="464"/>
      <c r="Z461" s="464"/>
      <c r="AA461" s="464"/>
      <c r="AB461" s="464"/>
      <c r="AC461" s="464"/>
      <c r="AD461" s="464"/>
      <c r="AE461" s="464"/>
      <c r="AF461" s="464"/>
      <c r="AG461" s="464"/>
      <c r="AH461" s="464"/>
      <c r="AI461" s="464"/>
      <c r="AJ461" s="464"/>
      <c r="AK461" s="464"/>
      <c r="AL461" s="464"/>
      <c r="AM461" s="464"/>
      <c r="AN461" s="464"/>
      <c r="AO461" s="464"/>
      <c r="AP461" s="464"/>
      <c r="AQ461" s="464"/>
      <c r="AR461" s="464"/>
      <c r="AS461" s="464"/>
      <c r="AT461" s="464"/>
      <c r="AU461" s="464"/>
      <c r="AV461" s="464"/>
      <c r="AW461" s="464"/>
      <c r="AX461" s="464"/>
      <c r="AY461" s="464"/>
      <c r="AZ461" s="464"/>
      <c r="BA461" s="464"/>
      <c r="BB461" s="464"/>
      <c r="BC461" s="464"/>
      <c r="BD461" s="464"/>
      <c r="BE461" s="464"/>
      <c r="BF461" s="464"/>
      <c r="BG461" s="464"/>
      <c r="BH461" s="464"/>
      <c r="BJ461" s="463">
        <f t="shared" si="8"/>
        <v>454</v>
      </c>
      <c r="BZ461" s="467"/>
    </row>
    <row r="462" spans="8:78" ht="15.75" customHeight="1" x14ac:dyDescent="0.2">
      <c r="H462" s="464"/>
      <c r="I462" s="464"/>
      <c r="J462" s="464"/>
      <c r="K462" s="464"/>
      <c r="L462" s="464"/>
      <c r="M462" s="464"/>
      <c r="N462" s="464"/>
      <c r="O462" s="464"/>
      <c r="P462" s="464"/>
      <c r="Q462" s="464"/>
      <c r="R462" s="464"/>
      <c r="S462" s="464"/>
      <c r="T462" s="464"/>
      <c r="U462" s="464"/>
      <c r="V462" s="464"/>
      <c r="W462" s="464"/>
      <c r="X462" s="464"/>
      <c r="Y462" s="464"/>
      <c r="Z462" s="464"/>
      <c r="AA462" s="464"/>
      <c r="AB462" s="464"/>
      <c r="AC462" s="464"/>
      <c r="AD462" s="464"/>
      <c r="AE462" s="464"/>
      <c r="AF462" s="464"/>
      <c r="AG462" s="464"/>
      <c r="AH462" s="464"/>
      <c r="AI462" s="464"/>
      <c r="AJ462" s="464"/>
      <c r="AK462" s="464"/>
      <c r="AL462" s="464"/>
      <c r="AM462" s="464"/>
      <c r="AN462" s="464"/>
      <c r="AO462" s="464"/>
      <c r="AP462" s="464"/>
      <c r="AQ462" s="464"/>
      <c r="AR462" s="464"/>
      <c r="AS462" s="464"/>
      <c r="AT462" s="464"/>
      <c r="AU462" s="464"/>
      <c r="AV462" s="464"/>
      <c r="AW462" s="464"/>
      <c r="AX462" s="464"/>
      <c r="AY462" s="464"/>
      <c r="AZ462" s="464"/>
      <c r="BA462" s="464"/>
      <c r="BB462" s="464"/>
      <c r="BC462" s="464"/>
      <c r="BD462" s="464"/>
      <c r="BE462" s="464"/>
      <c r="BF462" s="464"/>
      <c r="BG462" s="464"/>
      <c r="BH462" s="464"/>
      <c r="BJ462" s="463">
        <f t="shared" si="8"/>
        <v>455</v>
      </c>
      <c r="BZ462" s="467"/>
    </row>
    <row r="463" spans="8:78" ht="15.75" customHeight="1" x14ac:dyDescent="0.2">
      <c r="H463" s="464"/>
      <c r="I463" s="464"/>
      <c r="J463" s="464"/>
      <c r="K463" s="464"/>
      <c r="L463" s="464"/>
      <c r="M463" s="464"/>
      <c r="N463" s="464"/>
      <c r="O463" s="464"/>
      <c r="P463" s="464"/>
      <c r="Q463" s="464"/>
      <c r="R463" s="464"/>
      <c r="S463" s="464"/>
      <c r="T463" s="464"/>
      <c r="U463" s="464"/>
      <c r="V463" s="464"/>
      <c r="W463" s="464"/>
      <c r="X463" s="464"/>
      <c r="Y463" s="464"/>
      <c r="Z463" s="464"/>
      <c r="AA463" s="464"/>
      <c r="AB463" s="464"/>
      <c r="AC463" s="464"/>
      <c r="AD463" s="464"/>
      <c r="AE463" s="464"/>
      <c r="AF463" s="464"/>
      <c r="AG463" s="464"/>
      <c r="AH463" s="464"/>
      <c r="AI463" s="464"/>
      <c r="AJ463" s="464"/>
      <c r="AK463" s="464"/>
      <c r="AL463" s="464"/>
      <c r="AM463" s="464"/>
      <c r="AN463" s="464"/>
      <c r="AO463" s="464"/>
      <c r="AP463" s="464"/>
      <c r="AQ463" s="464"/>
      <c r="AR463" s="464"/>
      <c r="AS463" s="464"/>
      <c r="AT463" s="464"/>
      <c r="AU463" s="464"/>
      <c r="AV463" s="464"/>
      <c r="AW463" s="464"/>
      <c r="AX463" s="464"/>
      <c r="AY463" s="464"/>
      <c r="AZ463" s="464"/>
      <c r="BA463" s="464"/>
      <c r="BB463" s="464"/>
      <c r="BC463" s="464"/>
      <c r="BD463" s="464"/>
      <c r="BE463" s="464"/>
      <c r="BF463" s="464"/>
      <c r="BG463" s="464"/>
      <c r="BH463" s="464"/>
      <c r="BJ463" s="463">
        <f t="shared" si="8"/>
        <v>456</v>
      </c>
      <c r="BZ463" s="467"/>
    </row>
    <row r="464" spans="8:78" ht="15.75" customHeight="1" x14ac:dyDescent="0.2">
      <c r="H464" s="464"/>
      <c r="I464" s="464"/>
      <c r="J464" s="464"/>
      <c r="K464" s="464"/>
      <c r="L464" s="464"/>
      <c r="M464" s="464"/>
      <c r="N464" s="464"/>
      <c r="O464" s="464"/>
      <c r="P464" s="464"/>
      <c r="Q464" s="464"/>
      <c r="R464" s="464"/>
      <c r="S464" s="464"/>
      <c r="T464" s="464"/>
      <c r="U464" s="464"/>
      <c r="V464" s="464"/>
      <c r="W464" s="464"/>
      <c r="X464" s="464"/>
      <c r="Y464" s="464"/>
      <c r="Z464" s="464"/>
      <c r="AA464" s="464"/>
      <c r="AB464" s="464"/>
      <c r="AC464" s="464"/>
      <c r="AD464" s="464"/>
      <c r="AE464" s="464"/>
      <c r="AF464" s="464"/>
      <c r="AG464" s="464"/>
      <c r="AH464" s="464"/>
      <c r="AI464" s="464"/>
      <c r="AJ464" s="464"/>
      <c r="AK464" s="464"/>
      <c r="AL464" s="464"/>
      <c r="AM464" s="464"/>
      <c r="AN464" s="464"/>
      <c r="AO464" s="464"/>
      <c r="AP464" s="464"/>
      <c r="AQ464" s="464"/>
      <c r="AR464" s="464"/>
      <c r="AS464" s="464"/>
      <c r="AT464" s="464"/>
      <c r="AU464" s="464"/>
      <c r="AV464" s="464"/>
      <c r="AW464" s="464"/>
      <c r="AX464" s="464"/>
      <c r="AY464" s="464"/>
      <c r="AZ464" s="464"/>
      <c r="BA464" s="464"/>
      <c r="BB464" s="464"/>
      <c r="BC464" s="464"/>
      <c r="BD464" s="464"/>
      <c r="BE464" s="464"/>
      <c r="BF464" s="464"/>
      <c r="BG464" s="464"/>
      <c r="BH464" s="464"/>
      <c r="BJ464" s="463">
        <f t="shared" si="8"/>
        <v>457</v>
      </c>
      <c r="BZ464" s="467"/>
    </row>
    <row r="465" spans="8:78" ht="15.75" customHeight="1" x14ac:dyDescent="0.2">
      <c r="H465" s="464"/>
      <c r="I465" s="464"/>
      <c r="J465" s="464"/>
      <c r="K465" s="464"/>
      <c r="L465" s="464"/>
      <c r="M465" s="464"/>
      <c r="N465" s="464"/>
      <c r="O465" s="464"/>
      <c r="P465" s="464"/>
      <c r="Q465" s="464"/>
      <c r="R465" s="464"/>
      <c r="S465" s="464"/>
      <c r="T465" s="464"/>
      <c r="U465" s="464"/>
      <c r="V465" s="464"/>
      <c r="W465" s="464"/>
      <c r="X465" s="464"/>
      <c r="Y465" s="464"/>
      <c r="Z465" s="464"/>
      <c r="AA465" s="464"/>
      <c r="AB465" s="464"/>
      <c r="AC465" s="464"/>
      <c r="AD465" s="464"/>
      <c r="AE465" s="464"/>
      <c r="AF465" s="464"/>
      <c r="AG465" s="464"/>
      <c r="AH465" s="464"/>
      <c r="AI465" s="464"/>
      <c r="AJ465" s="464"/>
      <c r="AK465" s="464"/>
      <c r="AL465" s="464"/>
      <c r="AM465" s="464"/>
      <c r="AN465" s="464"/>
      <c r="AO465" s="464"/>
      <c r="AP465" s="464"/>
      <c r="AQ465" s="464"/>
      <c r="AR465" s="464"/>
      <c r="AS465" s="464"/>
      <c r="AT465" s="464"/>
      <c r="AU465" s="464"/>
      <c r="AV465" s="464"/>
      <c r="AW465" s="464"/>
      <c r="AX465" s="464"/>
      <c r="AY465" s="464"/>
      <c r="AZ465" s="464"/>
      <c r="BA465" s="464"/>
      <c r="BB465" s="464"/>
      <c r="BC465" s="464"/>
      <c r="BD465" s="464"/>
      <c r="BE465" s="464"/>
      <c r="BF465" s="464"/>
      <c r="BG465" s="464"/>
      <c r="BH465" s="464"/>
      <c r="BJ465" s="463">
        <f t="shared" si="8"/>
        <v>458</v>
      </c>
      <c r="BZ465" s="467"/>
    </row>
    <row r="466" spans="8:78" ht="15.75" customHeight="1" x14ac:dyDescent="0.2">
      <c r="H466" s="464"/>
      <c r="I466" s="464"/>
      <c r="J466" s="464"/>
      <c r="K466" s="464"/>
      <c r="L466" s="464"/>
      <c r="M466" s="464"/>
      <c r="N466" s="464"/>
      <c r="O466" s="464"/>
      <c r="P466" s="464"/>
      <c r="Q466" s="464"/>
      <c r="R466" s="464"/>
      <c r="S466" s="464"/>
      <c r="T466" s="464"/>
      <c r="U466" s="464"/>
      <c r="V466" s="464"/>
      <c r="W466" s="464"/>
      <c r="X466" s="464"/>
      <c r="Y466" s="464"/>
      <c r="Z466" s="464"/>
      <c r="AA466" s="464"/>
      <c r="AB466" s="464"/>
      <c r="AC466" s="464"/>
      <c r="AD466" s="464"/>
      <c r="AE466" s="464"/>
      <c r="AF466" s="464"/>
      <c r="AG466" s="464"/>
      <c r="AH466" s="464"/>
      <c r="AI466" s="464"/>
      <c r="AJ466" s="464"/>
      <c r="AK466" s="464"/>
      <c r="AL466" s="464"/>
      <c r="AM466" s="464"/>
      <c r="AN466" s="464"/>
      <c r="AO466" s="464"/>
      <c r="AP466" s="464"/>
      <c r="AQ466" s="464"/>
      <c r="AR466" s="464"/>
      <c r="AS466" s="464"/>
      <c r="AT466" s="464"/>
      <c r="AU466" s="464"/>
      <c r="AV466" s="464"/>
      <c r="AW466" s="464"/>
      <c r="AX466" s="464"/>
      <c r="AY466" s="464"/>
      <c r="AZ466" s="464"/>
      <c r="BA466" s="464"/>
      <c r="BB466" s="464"/>
      <c r="BC466" s="464"/>
      <c r="BD466" s="464"/>
      <c r="BE466" s="464"/>
      <c r="BF466" s="464"/>
      <c r="BG466" s="464"/>
      <c r="BH466" s="464"/>
      <c r="BJ466" s="463">
        <f t="shared" si="8"/>
        <v>459</v>
      </c>
      <c r="BZ466" s="467"/>
    </row>
    <row r="467" spans="8:78" ht="15.75" customHeight="1" x14ac:dyDescent="0.2">
      <c r="H467" s="464"/>
      <c r="I467" s="464"/>
      <c r="J467" s="464"/>
      <c r="K467" s="464"/>
      <c r="L467" s="464"/>
      <c r="M467" s="464"/>
      <c r="N467" s="464"/>
      <c r="O467" s="464"/>
      <c r="P467" s="464"/>
      <c r="Q467" s="464"/>
      <c r="R467" s="464"/>
      <c r="S467" s="464"/>
      <c r="T467" s="464"/>
      <c r="U467" s="464"/>
      <c r="V467" s="464"/>
      <c r="W467" s="464"/>
      <c r="X467" s="464"/>
      <c r="Y467" s="464"/>
      <c r="Z467" s="464"/>
      <c r="AA467" s="464"/>
      <c r="AB467" s="464"/>
      <c r="AC467" s="464"/>
      <c r="AD467" s="464"/>
      <c r="AE467" s="464"/>
      <c r="AF467" s="464"/>
      <c r="AG467" s="464"/>
      <c r="AH467" s="464"/>
      <c r="AI467" s="464"/>
      <c r="AJ467" s="464"/>
      <c r="AK467" s="464"/>
      <c r="AL467" s="464"/>
      <c r="AM467" s="464"/>
      <c r="AN467" s="464"/>
      <c r="AO467" s="464"/>
      <c r="AP467" s="464"/>
      <c r="AQ467" s="464"/>
      <c r="AR467" s="464"/>
      <c r="AS467" s="464"/>
      <c r="AT467" s="464"/>
      <c r="AU467" s="464"/>
      <c r="AV467" s="464"/>
      <c r="AW467" s="464"/>
      <c r="AX467" s="464"/>
      <c r="AY467" s="464"/>
      <c r="AZ467" s="464"/>
      <c r="BA467" s="464"/>
      <c r="BB467" s="464"/>
      <c r="BC467" s="464"/>
      <c r="BD467" s="464"/>
      <c r="BE467" s="464"/>
      <c r="BF467" s="464"/>
      <c r="BG467" s="464"/>
      <c r="BH467" s="464"/>
      <c r="BJ467" s="463">
        <f t="shared" si="8"/>
        <v>460</v>
      </c>
      <c r="BZ467" s="467"/>
    </row>
    <row r="468" spans="8:78" ht="15.75" customHeight="1" x14ac:dyDescent="0.2">
      <c r="H468" s="464"/>
      <c r="I468" s="464"/>
      <c r="J468" s="464"/>
      <c r="K468" s="464"/>
      <c r="L468" s="464"/>
      <c r="M468" s="464"/>
      <c r="N468" s="464"/>
      <c r="O468" s="464"/>
      <c r="P468" s="464"/>
      <c r="Q468" s="464"/>
      <c r="R468" s="464"/>
      <c r="S468" s="464"/>
      <c r="T468" s="464"/>
      <c r="U468" s="464"/>
      <c r="V468" s="464"/>
      <c r="W468" s="464"/>
      <c r="X468" s="464"/>
      <c r="Y468" s="464"/>
      <c r="Z468" s="464"/>
      <c r="AA468" s="464"/>
      <c r="AB468" s="464"/>
      <c r="AC468" s="464"/>
      <c r="AD468" s="464"/>
      <c r="AE468" s="464"/>
      <c r="AF468" s="464"/>
      <c r="AG468" s="464"/>
      <c r="AH468" s="464"/>
      <c r="AI468" s="464"/>
      <c r="AJ468" s="464"/>
      <c r="AK468" s="464"/>
      <c r="AL468" s="464"/>
      <c r="AM468" s="464"/>
      <c r="AN468" s="464"/>
      <c r="AO468" s="464"/>
      <c r="AP468" s="464"/>
      <c r="AQ468" s="464"/>
      <c r="AR468" s="464"/>
      <c r="AS468" s="464"/>
      <c r="AT468" s="464"/>
      <c r="AU468" s="464"/>
      <c r="AV468" s="464"/>
      <c r="AW468" s="464"/>
      <c r="AX468" s="464"/>
      <c r="AY468" s="464"/>
      <c r="AZ468" s="464"/>
      <c r="BA468" s="464"/>
      <c r="BB468" s="464"/>
      <c r="BC468" s="464"/>
      <c r="BD468" s="464"/>
      <c r="BE468" s="464"/>
      <c r="BF468" s="464"/>
      <c r="BG468" s="464"/>
      <c r="BH468" s="464"/>
      <c r="BJ468" s="463">
        <f t="shared" si="8"/>
        <v>461</v>
      </c>
      <c r="BZ468" s="467"/>
    </row>
    <row r="469" spans="8:78" ht="15.75" customHeight="1" x14ac:dyDescent="0.2">
      <c r="H469" s="464"/>
      <c r="I469" s="464"/>
      <c r="J469" s="464"/>
      <c r="K469" s="464"/>
      <c r="L469" s="464"/>
      <c r="M469" s="464"/>
      <c r="N469" s="464"/>
      <c r="O469" s="464"/>
      <c r="P469" s="464"/>
      <c r="Q469" s="464"/>
      <c r="R469" s="464"/>
      <c r="S469" s="464"/>
      <c r="T469" s="464"/>
      <c r="U469" s="464"/>
      <c r="V469" s="464"/>
      <c r="W469" s="464"/>
      <c r="X469" s="464"/>
      <c r="Y469" s="464"/>
      <c r="Z469" s="464"/>
      <c r="AA469" s="464"/>
      <c r="AB469" s="464"/>
      <c r="AC469" s="464"/>
      <c r="AD469" s="464"/>
      <c r="AE469" s="464"/>
      <c r="AF469" s="464"/>
      <c r="AG469" s="464"/>
      <c r="AH469" s="464"/>
      <c r="AI469" s="464"/>
      <c r="AJ469" s="464"/>
      <c r="AK469" s="464"/>
      <c r="AL469" s="464"/>
      <c r="AM469" s="464"/>
      <c r="AN469" s="464"/>
      <c r="AO469" s="464"/>
      <c r="AP469" s="464"/>
      <c r="AQ469" s="464"/>
      <c r="AR469" s="464"/>
      <c r="AS469" s="464"/>
      <c r="AT469" s="464"/>
      <c r="AU469" s="464"/>
      <c r="AV469" s="464"/>
      <c r="AW469" s="464"/>
      <c r="AX469" s="464"/>
      <c r="AY469" s="464"/>
      <c r="AZ469" s="464"/>
      <c r="BA469" s="464"/>
      <c r="BB469" s="464"/>
      <c r="BC469" s="464"/>
      <c r="BD469" s="464"/>
      <c r="BE469" s="464"/>
      <c r="BF469" s="464"/>
      <c r="BG469" s="464"/>
      <c r="BH469" s="464"/>
      <c r="BJ469" s="463">
        <f t="shared" si="8"/>
        <v>462</v>
      </c>
      <c r="BZ469" s="467"/>
    </row>
    <row r="470" spans="8:78" ht="15.75" customHeight="1" x14ac:dyDescent="0.2">
      <c r="H470" s="464"/>
      <c r="I470" s="464"/>
      <c r="J470" s="464"/>
      <c r="K470" s="464"/>
      <c r="L470" s="464"/>
      <c r="M470" s="464"/>
      <c r="N470" s="464"/>
      <c r="O470" s="464"/>
      <c r="P470" s="464"/>
      <c r="Q470" s="464"/>
      <c r="R470" s="464"/>
      <c r="S470" s="464"/>
      <c r="T470" s="464"/>
      <c r="U470" s="464"/>
      <c r="V470" s="464"/>
      <c r="W470" s="464"/>
      <c r="X470" s="464"/>
      <c r="Y470" s="464"/>
      <c r="Z470" s="464"/>
      <c r="AA470" s="464"/>
      <c r="AB470" s="464"/>
      <c r="AC470" s="464"/>
      <c r="AD470" s="464"/>
      <c r="AE470" s="464"/>
      <c r="AF470" s="464"/>
      <c r="AG470" s="464"/>
      <c r="AH470" s="464"/>
      <c r="AI470" s="464"/>
      <c r="AJ470" s="464"/>
      <c r="AK470" s="464"/>
      <c r="AL470" s="464"/>
      <c r="AM470" s="464"/>
      <c r="AN470" s="464"/>
      <c r="AO470" s="464"/>
      <c r="AP470" s="464"/>
      <c r="AQ470" s="464"/>
      <c r="AR470" s="464"/>
      <c r="AS470" s="464"/>
      <c r="AT470" s="464"/>
      <c r="AU470" s="464"/>
      <c r="AV470" s="464"/>
      <c r="AW470" s="464"/>
      <c r="AX470" s="464"/>
      <c r="AY470" s="464"/>
      <c r="AZ470" s="464"/>
      <c r="BA470" s="464"/>
      <c r="BB470" s="464"/>
      <c r="BC470" s="464"/>
      <c r="BD470" s="464"/>
      <c r="BE470" s="464"/>
      <c r="BF470" s="464"/>
      <c r="BG470" s="464"/>
      <c r="BH470" s="464"/>
      <c r="BJ470" s="463">
        <f t="shared" si="8"/>
        <v>463</v>
      </c>
      <c r="BZ470" s="467"/>
    </row>
    <row r="471" spans="8:78" ht="15.75" customHeight="1" x14ac:dyDescent="0.2">
      <c r="H471" s="464"/>
      <c r="I471" s="464"/>
      <c r="J471" s="464"/>
      <c r="K471" s="464"/>
      <c r="L471" s="464"/>
      <c r="M471" s="464"/>
      <c r="N471" s="464"/>
      <c r="O471" s="464"/>
      <c r="P471" s="464"/>
      <c r="Q471" s="464"/>
      <c r="R471" s="464"/>
      <c r="S471" s="464"/>
      <c r="T471" s="464"/>
      <c r="U471" s="464"/>
      <c r="V471" s="464"/>
      <c r="W471" s="464"/>
      <c r="X471" s="464"/>
      <c r="Y471" s="464"/>
      <c r="Z471" s="464"/>
      <c r="AA471" s="464"/>
      <c r="AB471" s="464"/>
      <c r="AC471" s="464"/>
      <c r="AD471" s="464"/>
      <c r="AE471" s="464"/>
      <c r="AF471" s="464"/>
      <c r="AG471" s="464"/>
      <c r="AH471" s="464"/>
      <c r="AI471" s="464"/>
      <c r="AJ471" s="464"/>
      <c r="AK471" s="464"/>
      <c r="AL471" s="464"/>
      <c r="AM471" s="464"/>
      <c r="AN471" s="464"/>
      <c r="AO471" s="464"/>
      <c r="AP471" s="464"/>
      <c r="AQ471" s="464"/>
      <c r="AR471" s="464"/>
      <c r="AS471" s="464"/>
      <c r="AT471" s="464"/>
      <c r="AU471" s="464"/>
      <c r="AV471" s="464"/>
      <c r="AW471" s="464"/>
      <c r="AX471" s="464"/>
      <c r="AY471" s="464"/>
      <c r="AZ471" s="464"/>
      <c r="BA471" s="464"/>
      <c r="BB471" s="464"/>
      <c r="BC471" s="464"/>
      <c r="BD471" s="464"/>
      <c r="BE471" s="464"/>
      <c r="BF471" s="464"/>
      <c r="BG471" s="464"/>
      <c r="BH471" s="464"/>
      <c r="BJ471" s="463">
        <f t="shared" si="8"/>
        <v>464</v>
      </c>
      <c r="BZ471" s="467"/>
    </row>
    <row r="472" spans="8:78" ht="15.75" customHeight="1" x14ac:dyDescent="0.2">
      <c r="H472" s="464"/>
      <c r="I472" s="464"/>
      <c r="J472" s="464"/>
      <c r="K472" s="464"/>
      <c r="L472" s="464"/>
      <c r="M472" s="464"/>
      <c r="N472" s="464"/>
      <c r="O472" s="464"/>
      <c r="P472" s="464"/>
      <c r="Q472" s="464"/>
      <c r="R472" s="464"/>
      <c r="S472" s="464"/>
      <c r="T472" s="464"/>
      <c r="U472" s="464"/>
      <c r="V472" s="464"/>
      <c r="W472" s="464"/>
      <c r="X472" s="464"/>
      <c r="Y472" s="464"/>
      <c r="Z472" s="464"/>
      <c r="AA472" s="464"/>
      <c r="AB472" s="464"/>
      <c r="AC472" s="464"/>
      <c r="AD472" s="464"/>
      <c r="AE472" s="464"/>
      <c r="AF472" s="464"/>
      <c r="AG472" s="464"/>
      <c r="AH472" s="464"/>
      <c r="AI472" s="464"/>
      <c r="AJ472" s="464"/>
      <c r="AK472" s="464"/>
      <c r="AL472" s="464"/>
      <c r="AM472" s="464"/>
      <c r="AN472" s="464"/>
      <c r="AO472" s="464"/>
      <c r="AP472" s="464"/>
      <c r="AQ472" s="464"/>
      <c r="AR472" s="464"/>
      <c r="AS472" s="464"/>
      <c r="AT472" s="464"/>
      <c r="AU472" s="464"/>
      <c r="AV472" s="464"/>
      <c r="AW472" s="464"/>
      <c r="AX472" s="464"/>
      <c r="AY472" s="464"/>
      <c r="AZ472" s="464"/>
      <c r="BA472" s="464"/>
      <c r="BB472" s="464"/>
      <c r="BC472" s="464"/>
      <c r="BD472" s="464"/>
      <c r="BE472" s="464"/>
      <c r="BF472" s="464"/>
      <c r="BG472" s="464"/>
      <c r="BH472" s="464"/>
      <c r="BJ472" s="463">
        <f t="shared" si="8"/>
        <v>465</v>
      </c>
      <c r="BZ472" s="467"/>
    </row>
    <row r="473" spans="8:78" ht="15.75" customHeight="1" x14ac:dyDescent="0.2">
      <c r="H473" s="464"/>
      <c r="I473" s="464"/>
      <c r="J473" s="464"/>
      <c r="K473" s="464"/>
      <c r="L473" s="464"/>
      <c r="M473" s="464"/>
      <c r="N473" s="464"/>
      <c r="O473" s="464"/>
      <c r="P473" s="464"/>
      <c r="Q473" s="464"/>
      <c r="R473" s="464"/>
      <c r="S473" s="464"/>
      <c r="T473" s="464"/>
      <c r="U473" s="464"/>
      <c r="V473" s="464"/>
      <c r="W473" s="464"/>
      <c r="X473" s="464"/>
      <c r="Y473" s="464"/>
      <c r="Z473" s="464"/>
      <c r="AA473" s="464"/>
      <c r="AB473" s="464"/>
      <c r="AC473" s="464"/>
      <c r="AD473" s="464"/>
      <c r="AE473" s="464"/>
      <c r="AF473" s="464"/>
      <c r="AG473" s="464"/>
      <c r="AH473" s="464"/>
      <c r="AI473" s="464"/>
      <c r="AJ473" s="464"/>
      <c r="AK473" s="464"/>
      <c r="AL473" s="464"/>
      <c r="AM473" s="464"/>
      <c r="AN473" s="464"/>
      <c r="AO473" s="464"/>
      <c r="AP473" s="464"/>
      <c r="AQ473" s="464"/>
      <c r="AR473" s="464"/>
      <c r="AS473" s="464"/>
      <c r="AT473" s="464"/>
      <c r="AU473" s="464"/>
      <c r="AV473" s="464"/>
      <c r="AW473" s="464"/>
      <c r="AX473" s="464"/>
      <c r="AY473" s="464"/>
      <c r="AZ473" s="464"/>
      <c r="BA473" s="464"/>
      <c r="BB473" s="464"/>
      <c r="BC473" s="464"/>
      <c r="BD473" s="464"/>
      <c r="BE473" s="464"/>
      <c r="BF473" s="464"/>
      <c r="BG473" s="464"/>
      <c r="BH473" s="464"/>
      <c r="BJ473" s="463">
        <f t="shared" si="8"/>
        <v>466</v>
      </c>
      <c r="BZ473" s="467"/>
    </row>
    <row r="474" spans="8:78" ht="15.75" customHeight="1" x14ac:dyDescent="0.2">
      <c r="H474" s="464"/>
      <c r="I474" s="464"/>
      <c r="J474" s="464"/>
      <c r="K474" s="464"/>
      <c r="L474" s="464"/>
      <c r="M474" s="464"/>
      <c r="N474" s="464"/>
      <c r="O474" s="464"/>
      <c r="P474" s="464"/>
      <c r="Q474" s="464"/>
      <c r="R474" s="464"/>
      <c r="S474" s="464"/>
      <c r="T474" s="464"/>
      <c r="U474" s="464"/>
      <c r="V474" s="464"/>
      <c r="W474" s="464"/>
      <c r="X474" s="464"/>
      <c r="Y474" s="464"/>
      <c r="Z474" s="464"/>
      <c r="AA474" s="464"/>
      <c r="AB474" s="464"/>
      <c r="AC474" s="464"/>
      <c r="AD474" s="464"/>
      <c r="AE474" s="464"/>
      <c r="AF474" s="464"/>
      <c r="AG474" s="464"/>
      <c r="AH474" s="464"/>
      <c r="AI474" s="464"/>
      <c r="AJ474" s="464"/>
      <c r="AK474" s="464"/>
      <c r="AL474" s="464"/>
      <c r="AM474" s="464"/>
      <c r="AN474" s="464"/>
      <c r="AO474" s="464"/>
      <c r="AP474" s="464"/>
      <c r="AQ474" s="464"/>
      <c r="AR474" s="464"/>
      <c r="AS474" s="464"/>
      <c r="AT474" s="464"/>
      <c r="AU474" s="464"/>
      <c r="AV474" s="464"/>
      <c r="AW474" s="464"/>
      <c r="AX474" s="464"/>
      <c r="AY474" s="464"/>
      <c r="AZ474" s="464"/>
      <c r="BA474" s="464"/>
      <c r="BB474" s="464"/>
      <c r="BC474" s="464"/>
      <c r="BD474" s="464"/>
      <c r="BE474" s="464"/>
      <c r="BF474" s="464"/>
      <c r="BG474" s="464"/>
      <c r="BH474" s="464"/>
      <c r="BJ474" s="463">
        <f t="shared" si="8"/>
        <v>467</v>
      </c>
      <c r="BZ474" s="467"/>
    </row>
    <row r="475" spans="8:78" ht="15.75" customHeight="1" x14ac:dyDescent="0.2">
      <c r="H475" s="464"/>
      <c r="I475" s="464"/>
      <c r="J475" s="464"/>
      <c r="K475" s="464"/>
      <c r="L475" s="464"/>
      <c r="M475" s="464"/>
      <c r="N475" s="464"/>
      <c r="O475" s="464"/>
      <c r="P475" s="464"/>
      <c r="Q475" s="464"/>
      <c r="R475" s="464"/>
      <c r="S475" s="464"/>
      <c r="T475" s="464"/>
      <c r="U475" s="464"/>
      <c r="V475" s="464"/>
      <c r="W475" s="464"/>
      <c r="X475" s="464"/>
      <c r="Y475" s="464"/>
      <c r="Z475" s="464"/>
      <c r="AA475" s="464"/>
      <c r="AB475" s="464"/>
      <c r="AC475" s="464"/>
      <c r="AD475" s="464"/>
      <c r="AE475" s="464"/>
      <c r="AF475" s="464"/>
      <c r="AG475" s="464"/>
      <c r="AH475" s="464"/>
      <c r="AI475" s="464"/>
      <c r="AJ475" s="464"/>
      <c r="AK475" s="464"/>
      <c r="AL475" s="464"/>
      <c r="AM475" s="464"/>
      <c r="AN475" s="464"/>
      <c r="AO475" s="464"/>
      <c r="AP475" s="464"/>
      <c r="AQ475" s="464"/>
      <c r="AR475" s="464"/>
      <c r="AS475" s="464"/>
      <c r="AT475" s="464"/>
      <c r="AU475" s="464"/>
      <c r="AV475" s="464"/>
      <c r="AW475" s="464"/>
      <c r="AX475" s="464"/>
      <c r="AY475" s="464"/>
      <c r="AZ475" s="464"/>
      <c r="BA475" s="464"/>
      <c r="BB475" s="464"/>
      <c r="BC475" s="464"/>
      <c r="BD475" s="464"/>
      <c r="BE475" s="464"/>
      <c r="BF475" s="464"/>
      <c r="BG475" s="464"/>
      <c r="BH475" s="464"/>
      <c r="BJ475" s="463">
        <f t="shared" si="8"/>
        <v>468</v>
      </c>
      <c r="BZ475" s="467"/>
    </row>
    <row r="476" spans="8:78" ht="15.75" customHeight="1" x14ac:dyDescent="0.2">
      <c r="H476" s="464"/>
      <c r="I476" s="464"/>
      <c r="J476" s="464"/>
      <c r="K476" s="464"/>
      <c r="L476" s="464"/>
      <c r="M476" s="464"/>
      <c r="N476" s="464"/>
      <c r="O476" s="464"/>
      <c r="P476" s="464"/>
      <c r="Q476" s="464"/>
      <c r="R476" s="464"/>
      <c r="S476" s="464"/>
      <c r="T476" s="464"/>
      <c r="U476" s="464"/>
      <c r="V476" s="464"/>
      <c r="W476" s="464"/>
      <c r="X476" s="464"/>
      <c r="Y476" s="464"/>
      <c r="Z476" s="464"/>
      <c r="AA476" s="464"/>
      <c r="AB476" s="464"/>
      <c r="AC476" s="464"/>
      <c r="AD476" s="464"/>
      <c r="AE476" s="464"/>
      <c r="AF476" s="464"/>
      <c r="AG476" s="464"/>
      <c r="AH476" s="464"/>
      <c r="AI476" s="464"/>
      <c r="AJ476" s="464"/>
      <c r="AK476" s="464"/>
      <c r="AL476" s="464"/>
      <c r="AM476" s="464"/>
      <c r="AN476" s="464"/>
      <c r="AO476" s="464"/>
      <c r="AP476" s="464"/>
      <c r="AQ476" s="464"/>
      <c r="AR476" s="464"/>
      <c r="AS476" s="464"/>
      <c r="AT476" s="464"/>
      <c r="AU476" s="464"/>
      <c r="AV476" s="464"/>
      <c r="AW476" s="464"/>
      <c r="AX476" s="464"/>
      <c r="AY476" s="464"/>
      <c r="AZ476" s="464"/>
      <c r="BA476" s="464"/>
      <c r="BB476" s="464"/>
      <c r="BC476" s="464"/>
      <c r="BD476" s="464"/>
      <c r="BE476" s="464"/>
      <c r="BF476" s="464"/>
      <c r="BG476" s="464"/>
      <c r="BH476" s="464"/>
      <c r="BJ476" s="463">
        <f t="shared" si="8"/>
        <v>469</v>
      </c>
      <c r="BZ476" s="467"/>
    </row>
    <row r="477" spans="8:78" ht="15.75" customHeight="1" x14ac:dyDescent="0.2">
      <c r="H477" s="464"/>
      <c r="I477" s="464"/>
      <c r="J477" s="464"/>
      <c r="K477" s="464"/>
      <c r="L477" s="464"/>
      <c r="M477" s="464"/>
      <c r="N477" s="464"/>
      <c r="O477" s="464"/>
      <c r="P477" s="464"/>
      <c r="Q477" s="464"/>
      <c r="R477" s="464"/>
      <c r="S477" s="464"/>
      <c r="T477" s="464"/>
      <c r="U477" s="464"/>
      <c r="V477" s="464"/>
      <c r="W477" s="464"/>
      <c r="X477" s="464"/>
      <c r="Y477" s="464"/>
      <c r="Z477" s="464"/>
      <c r="AA477" s="464"/>
      <c r="AB477" s="464"/>
      <c r="AC477" s="464"/>
      <c r="AD477" s="464"/>
      <c r="AE477" s="464"/>
      <c r="AF477" s="464"/>
      <c r="AG477" s="464"/>
      <c r="AH477" s="464"/>
      <c r="AI477" s="464"/>
      <c r="AJ477" s="464"/>
      <c r="AK477" s="464"/>
      <c r="AL477" s="464"/>
      <c r="AM477" s="464"/>
      <c r="AN477" s="464"/>
      <c r="AO477" s="464"/>
      <c r="AP477" s="464"/>
      <c r="AQ477" s="464"/>
      <c r="AR477" s="464"/>
      <c r="AS477" s="464"/>
      <c r="AT477" s="464"/>
      <c r="AU477" s="464"/>
      <c r="AV477" s="464"/>
      <c r="AW477" s="464"/>
      <c r="AX477" s="464"/>
      <c r="AY477" s="464"/>
      <c r="AZ477" s="464"/>
      <c r="BA477" s="464"/>
      <c r="BB477" s="464"/>
      <c r="BC477" s="464"/>
      <c r="BD477" s="464"/>
      <c r="BE477" s="464"/>
      <c r="BF477" s="464"/>
      <c r="BG477" s="464"/>
      <c r="BH477" s="464"/>
      <c r="BJ477" s="463">
        <f t="shared" si="8"/>
        <v>470</v>
      </c>
      <c r="BZ477" s="467"/>
    </row>
    <row r="478" spans="8:78" ht="15.75" customHeight="1" x14ac:dyDescent="0.2">
      <c r="H478" s="464"/>
      <c r="I478" s="464"/>
      <c r="J478" s="464"/>
      <c r="K478" s="464"/>
      <c r="L478" s="464"/>
      <c r="M478" s="464"/>
      <c r="N478" s="464"/>
      <c r="O478" s="464"/>
      <c r="P478" s="464"/>
      <c r="Q478" s="464"/>
      <c r="R478" s="464"/>
      <c r="S478" s="464"/>
      <c r="T478" s="464"/>
      <c r="U478" s="464"/>
      <c r="V478" s="464"/>
      <c r="W478" s="464"/>
      <c r="X478" s="464"/>
      <c r="Y478" s="464"/>
      <c r="Z478" s="464"/>
      <c r="AA478" s="464"/>
      <c r="AB478" s="464"/>
      <c r="AC478" s="464"/>
      <c r="AD478" s="464"/>
      <c r="AE478" s="464"/>
      <c r="AF478" s="464"/>
      <c r="AG478" s="464"/>
      <c r="AH478" s="464"/>
      <c r="AI478" s="464"/>
      <c r="AJ478" s="464"/>
      <c r="AK478" s="464"/>
      <c r="AL478" s="464"/>
      <c r="AM478" s="464"/>
      <c r="AN478" s="464"/>
      <c r="AO478" s="464"/>
      <c r="AP478" s="464"/>
      <c r="AQ478" s="464"/>
      <c r="AR478" s="464"/>
      <c r="AS478" s="464"/>
      <c r="AT478" s="464"/>
      <c r="AU478" s="464"/>
      <c r="AV478" s="464"/>
      <c r="AW478" s="464"/>
      <c r="AX478" s="464"/>
      <c r="AY478" s="464"/>
      <c r="AZ478" s="464"/>
      <c r="BA478" s="464"/>
      <c r="BB478" s="464"/>
      <c r="BC478" s="464"/>
      <c r="BD478" s="464"/>
      <c r="BE478" s="464"/>
      <c r="BF478" s="464"/>
      <c r="BG478" s="464"/>
      <c r="BH478" s="464"/>
      <c r="BJ478" s="463">
        <f t="shared" si="8"/>
        <v>471</v>
      </c>
      <c r="BZ478" s="467"/>
    </row>
    <row r="479" spans="8:78" ht="15.75" customHeight="1" x14ac:dyDescent="0.2">
      <c r="H479" s="464"/>
      <c r="I479" s="464"/>
      <c r="J479" s="464"/>
      <c r="K479" s="464"/>
      <c r="L479" s="464"/>
      <c r="M479" s="464"/>
      <c r="N479" s="464"/>
      <c r="O479" s="464"/>
      <c r="P479" s="464"/>
      <c r="Q479" s="464"/>
      <c r="R479" s="464"/>
      <c r="S479" s="464"/>
      <c r="T479" s="464"/>
      <c r="U479" s="464"/>
      <c r="V479" s="464"/>
      <c r="W479" s="464"/>
      <c r="X479" s="464"/>
      <c r="Y479" s="464"/>
      <c r="Z479" s="464"/>
      <c r="AA479" s="464"/>
      <c r="AB479" s="464"/>
      <c r="AC479" s="464"/>
      <c r="AD479" s="464"/>
      <c r="AE479" s="464"/>
      <c r="AF479" s="464"/>
      <c r="AG479" s="464"/>
      <c r="AH479" s="464"/>
      <c r="AI479" s="464"/>
      <c r="AJ479" s="464"/>
      <c r="AK479" s="464"/>
      <c r="AL479" s="464"/>
      <c r="AM479" s="464"/>
      <c r="AN479" s="464"/>
      <c r="AO479" s="464"/>
      <c r="AP479" s="464"/>
      <c r="AQ479" s="464"/>
      <c r="AR479" s="464"/>
      <c r="AS479" s="464"/>
      <c r="AT479" s="464"/>
      <c r="AU479" s="464"/>
      <c r="AV479" s="464"/>
      <c r="AW479" s="464"/>
      <c r="AX479" s="464"/>
      <c r="AY479" s="464"/>
      <c r="AZ479" s="464"/>
      <c r="BA479" s="464"/>
      <c r="BB479" s="464"/>
      <c r="BC479" s="464"/>
      <c r="BD479" s="464"/>
      <c r="BE479" s="464"/>
      <c r="BF479" s="464"/>
      <c r="BG479" s="464"/>
      <c r="BH479" s="464"/>
      <c r="BJ479" s="463">
        <f t="shared" si="8"/>
        <v>472</v>
      </c>
      <c r="BZ479" s="467"/>
    </row>
    <row r="480" spans="8:78" ht="15.75" customHeight="1" x14ac:dyDescent="0.2">
      <c r="H480" s="464"/>
      <c r="I480" s="464"/>
      <c r="J480" s="464"/>
      <c r="K480" s="464"/>
      <c r="L480" s="464"/>
      <c r="M480" s="464"/>
      <c r="N480" s="464"/>
      <c r="O480" s="464"/>
      <c r="P480" s="464"/>
      <c r="Q480" s="464"/>
      <c r="R480" s="464"/>
      <c r="S480" s="464"/>
      <c r="T480" s="464"/>
      <c r="U480" s="464"/>
      <c r="V480" s="464"/>
      <c r="W480" s="464"/>
      <c r="X480" s="464"/>
      <c r="Y480" s="464"/>
      <c r="Z480" s="464"/>
      <c r="AA480" s="464"/>
      <c r="AB480" s="464"/>
      <c r="AC480" s="464"/>
      <c r="AD480" s="464"/>
      <c r="AE480" s="464"/>
      <c r="AF480" s="464"/>
      <c r="AG480" s="464"/>
      <c r="AH480" s="464"/>
      <c r="AI480" s="464"/>
      <c r="AJ480" s="464"/>
      <c r="AK480" s="464"/>
      <c r="AL480" s="464"/>
      <c r="AM480" s="464"/>
      <c r="AN480" s="464"/>
      <c r="AO480" s="464"/>
      <c r="AP480" s="464"/>
      <c r="AQ480" s="464"/>
      <c r="AR480" s="464"/>
      <c r="AS480" s="464"/>
      <c r="AT480" s="464"/>
      <c r="AU480" s="464"/>
      <c r="AV480" s="464"/>
      <c r="AW480" s="464"/>
      <c r="AX480" s="464"/>
      <c r="AY480" s="464"/>
      <c r="AZ480" s="464"/>
      <c r="BA480" s="464"/>
      <c r="BB480" s="464"/>
      <c r="BC480" s="464"/>
      <c r="BD480" s="464"/>
      <c r="BE480" s="464"/>
      <c r="BF480" s="464"/>
      <c r="BG480" s="464"/>
      <c r="BH480" s="464"/>
      <c r="BJ480" s="463">
        <f t="shared" si="8"/>
        <v>473</v>
      </c>
      <c r="BZ480" s="467"/>
    </row>
    <row r="481" spans="8:78" ht="15.75" customHeight="1" x14ac:dyDescent="0.2">
      <c r="H481" s="464"/>
      <c r="I481" s="464"/>
      <c r="J481" s="464"/>
      <c r="K481" s="464"/>
      <c r="L481" s="464"/>
      <c r="M481" s="464"/>
      <c r="N481" s="464"/>
      <c r="O481" s="464"/>
      <c r="P481" s="464"/>
      <c r="Q481" s="464"/>
      <c r="R481" s="464"/>
      <c r="S481" s="464"/>
      <c r="T481" s="464"/>
      <c r="U481" s="464"/>
      <c r="V481" s="464"/>
      <c r="W481" s="464"/>
      <c r="X481" s="464"/>
      <c r="Y481" s="464"/>
      <c r="Z481" s="464"/>
      <c r="AA481" s="464"/>
      <c r="AB481" s="464"/>
      <c r="AC481" s="464"/>
      <c r="AD481" s="464"/>
      <c r="AE481" s="464"/>
      <c r="AF481" s="464"/>
      <c r="AG481" s="464"/>
      <c r="AH481" s="464"/>
      <c r="AI481" s="464"/>
      <c r="AJ481" s="464"/>
      <c r="AK481" s="464"/>
      <c r="AL481" s="464"/>
      <c r="AM481" s="464"/>
      <c r="AN481" s="464"/>
      <c r="AO481" s="464"/>
      <c r="AP481" s="464"/>
      <c r="AQ481" s="464"/>
      <c r="AR481" s="464"/>
      <c r="AS481" s="464"/>
      <c r="AT481" s="464"/>
      <c r="AU481" s="464"/>
      <c r="AV481" s="464"/>
      <c r="AW481" s="464"/>
      <c r="AX481" s="464"/>
      <c r="AY481" s="464"/>
      <c r="AZ481" s="464"/>
      <c r="BA481" s="464"/>
      <c r="BB481" s="464"/>
      <c r="BC481" s="464"/>
      <c r="BD481" s="464"/>
      <c r="BE481" s="464"/>
      <c r="BF481" s="464"/>
      <c r="BG481" s="464"/>
      <c r="BH481" s="464"/>
      <c r="BJ481" s="463">
        <f t="shared" si="8"/>
        <v>474</v>
      </c>
      <c r="BZ481" s="467"/>
    </row>
    <row r="482" spans="8:78" ht="15.75" customHeight="1" x14ac:dyDescent="0.2">
      <c r="H482" s="464"/>
      <c r="I482" s="464"/>
      <c r="J482" s="464"/>
      <c r="K482" s="464"/>
      <c r="L482" s="464"/>
      <c r="M482" s="464"/>
      <c r="N482" s="464"/>
      <c r="O482" s="464"/>
      <c r="P482" s="464"/>
      <c r="Q482" s="464"/>
      <c r="R482" s="464"/>
      <c r="S482" s="464"/>
      <c r="T482" s="464"/>
      <c r="U482" s="464"/>
      <c r="V482" s="464"/>
      <c r="W482" s="464"/>
      <c r="X482" s="464"/>
      <c r="Y482" s="464"/>
      <c r="Z482" s="464"/>
      <c r="AA482" s="464"/>
      <c r="AB482" s="464"/>
      <c r="AC482" s="464"/>
      <c r="AD482" s="464"/>
      <c r="AE482" s="464"/>
      <c r="AF482" s="464"/>
      <c r="AG482" s="464"/>
      <c r="AH482" s="464"/>
      <c r="AI482" s="464"/>
      <c r="AJ482" s="464"/>
      <c r="AK482" s="464"/>
      <c r="AL482" s="464"/>
      <c r="AM482" s="464"/>
      <c r="AN482" s="464"/>
      <c r="AO482" s="464"/>
      <c r="AP482" s="464"/>
      <c r="AQ482" s="464"/>
      <c r="AR482" s="464"/>
      <c r="AS482" s="464"/>
      <c r="AT482" s="464"/>
      <c r="AU482" s="464"/>
      <c r="AV482" s="464"/>
      <c r="AW482" s="464"/>
      <c r="AX482" s="464"/>
      <c r="AY482" s="464"/>
      <c r="AZ482" s="464"/>
      <c r="BA482" s="464"/>
      <c r="BB482" s="464"/>
      <c r="BC482" s="464"/>
      <c r="BD482" s="464"/>
      <c r="BE482" s="464"/>
      <c r="BF482" s="464"/>
      <c r="BG482" s="464"/>
      <c r="BH482" s="464"/>
      <c r="BJ482" s="463">
        <f t="shared" si="8"/>
        <v>475</v>
      </c>
      <c r="BZ482" s="467"/>
    </row>
    <row r="483" spans="8:78" ht="15.75" customHeight="1" x14ac:dyDescent="0.2">
      <c r="H483" s="464"/>
      <c r="I483" s="464"/>
      <c r="J483" s="464"/>
      <c r="K483" s="464"/>
      <c r="L483" s="464"/>
      <c r="M483" s="464"/>
      <c r="N483" s="464"/>
      <c r="O483" s="464"/>
      <c r="P483" s="464"/>
      <c r="Q483" s="464"/>
      <c r="R483" s="464"/>
      <c r="S483" s="464"/>
      <c r="T483" s="464"/>
      <c r="U483" s="464"/>
      <c r="V483" s="464"/>
      <c r="W483" s="464"/>
      <c r="X483" s="464"/>
      <c r="Y483" s="464"/>
      <c r="Z483" s="464"/>
      <c r="AA483" s="464"/>
      <c r="AB483" s="464"/>
      <c r="AC483" s="464"/>
      <c r="AD483" s="464"/>
      <c r="AE483" s="464"/>
      <c r="AF483" s="464"/>
      <c r="AG483" s="464"/>
      <c r="AH483" s="464"/>
      <c r="AI483" s="464"/>
      <c r="AJ483" s="464"/>
      <c r="AK483" s="464"/>
      <c r="AL483" s="464"/>
      <c r="AM483" s="464"/>
      <c r="AN483" s="464"/>
      <c r="AO483" s="464"/>
      <c r="AP483" s="464"/>
      <c r="AQ483" s="464"/>
      <c r="AR483" s="464"/>
      <c r="AS483" s="464"/>
      <c r="AT483" s="464"/>
      <c r="AU483" s="464"/>
      <c r="AV483" s="464"/>
      <c r="AW483" s="464"/>
      <c r="AX483" s="464"/>
      <c r="AY483" s="464"/>
      <c r="AZ483" s="464"/>
      <c r="BA483" s="464"/>
      <c r="BB483" s="464"/>
      <c r="BC483" s="464"/>
      <c r="BD483" s="464"/>
      <c r="BE483" s="464"/>
      <c r="BF483" s="464"/>
      <c r="BG483" s="464"/>
      <c r="BH483" s="464"/>
      <c r="BJ483" s="463">
        <f t="shared" si="8"/>
        <v>476</v>
      </c>
      <c r="BZ483" s="467"/>
    </row>
    <row r="484" spans="8:78" ht="15.75" customHeight="1" x14ac:dyDescent="0.2">
      <c r="H484" s="464"/>
      <c r="I484" s="464"/>
      <c r="J484" s="464"/>
      <c r="K484" s="464"/>
      <c r="L484" s="464"/>
      <c r="M484" s="464"/>
      <c r="N484" s="464"/>
      <c r="O484" s="464"/>
      <c r="P484" s="464"/>
      <c r="Q484" s="464"/>
      <c r="R484" s="464"/>
      <c r="S484" s="464"/>
      <c r="T484" s="464"/>
      <c r="U484" s="464"/>
      <c r="V484" s="464"/>
      <c r="W484" s="464"/>
      <c r="X484" s="464"/>
      <c r="Y484" s="464"/>
      <c r="Z484" s="464"/>
      <c r="AA484" s="464"/>
      <c r="AB484" s="464"/>
      <c r="AC484" s="464"/>
      <c r="AD484" s="464"/>
      <c r="AE484" s="464"/>
      <c r="AF484" s="464"/>
      <c r="AG484" s="464"/>
      <c r="AH484" s="464"/>
      <c r="AI484" s="464"/>
      <c r="AJ484" s="464"/>
      <c r="AK484" s="464"/>
      <c r="AL484" s="464"/>
      <c r="AM484" s="464"/>
      <c r="AN484" s="464"/>
      <c r="AO484" s="464"/>
      <c r="AP484" s="464"/>
      <c r="AQ484" s="464"/>
      <c r="AR484" s="464"/>
      <c r="AS484" s="464"/>
      <c r="AT484" s="464"/>
      <c r="AU484" s="464"/>
      <c r="AV484" s="464"/>
      <c r="AW484" s="464"/>
      <c r="AX484" s="464"/>
      <c r="AY484" s="464"/>
      <c r="AZ484" s="464"/>
      <c r="BA484" s="464"/>
      <c r="BB484" s="464"/>
      <c r="BC484" s="464"/>
      <c r="BD484" s="464"/>
      <c r="BE484" s="464"/>
      <c r="BF484" s="464"/>
      <c r="BG484" s="464"/>
      <c r="BH484" s="464"/>
      <c r="BJ484" s="463">
        <f t="shared" si="8"/>
        <v>477</v>
      </c>
      <c r="BZ484" s="467"/>
    </row>
    <row r="485" spans="8:78" ht="15.75" customHeight="1" x14ac:dyDescent="0.2">
      <c r="H485" s="464"/>
      <c r="I485" s="464"/>
      <c r="J485" s="464"/>
      <c r="K485" s="464"/>
      <c r="L485" s="464"/>
      <c r="M485" s="464"/>
      <c r="N485" s="464"/>
      <c r="O485" s="464"/>
      <c r="P485" s="464"/>
      <c r="Q485" s="464"/>
      <c r="R485" s="464"/>
      <c r="S485" s="464"/>
      <c r="T485" s="464"/>
      <c r="U485" s="464"/>
      <c r="V485" s="464"/>
      <c r="W485" s="464"/>
      <c r="X485" s="464"/>
      <c r="Y485" s="464"/>
      <c r="Z485" s="464"/>
      <c r="AA485" s="464"/>
      <c r="AB485" s="464"/>
      <c r="AC485" s="464"/>
      <c r="AD485" s="464"/>
      <c r="AE485" s="464"/>
      <c r="AF485" s="464"/>
      <c r="AG485" s="464"/>
      <c r="AH485" s="464"/>
      <c r="AI485" s="464"/>
      <c r="AJ485" s="464"/>
      <c r="AK485" s="464"/>
      <c r="AL485" s="464"/>
      <c r="AM485" s="464"/>
      <c r="AN485" s="464"/>
      <c r="AO485" s="464"/>
      <c r="AP485" s="464"/>
      <c r="AQ485" s="464"/>
      <c r="AR485" s="464"/>
      <c r="AS485" s="464"/>
      <c r="AT485" s="464"/>
      <c r="AU485" s="464"/>
      <c r="AV485" s="464"/>
      <c r="AW485" s="464"/>
      <c r="AX485" s="464"/>
      <c r="AY485" s="464"/>
      <c r="AZ485" s="464"/>
      <c r="BA485" s="464"/>
      <c r="BB485" s="464"/>
      <c r="BC485" s="464"/>
      <c r="BD485" s="464"/>
      <c r="BE485" s="464"/>
      <c r="BF485" s="464"/>
      <c r="BG485" s="464"/>
      <c r="BH485" s="464"/>
      <c r="BJ485" s="463">
        <f t="shared" si="8"/>
        <v>478</v>
      </c>
      <c r="BZ485" s="467"/>
    </row>
    <row r="486" spans="8:78" ht="15.75" customHeight="1" x14ac:dyDescent="0.2">
      <c r="H486" s="464"/>
      <c r="I486" s="464"/>
      <c r="J486" s="464"/>
      <c r="K486" s="464"/>
      <c r="L486" s="464"/>
      <c r="M486" s="464"/>
      <c r="N486" s="464"/>
      <c r="O486" s="464"/>
      <c r="P486" s="464"/>
      <c r="Q486" s="464"/>
      <c r="R486" s="464"/>
      <c r="S486" s="464"/>
      <c r="T486" s="464"/>
      <c r="U486" s="464"/>
      <c r="V486" s="464"/>
      <c r="W486" s="464"/>
      <c r="X486" s="464"/>
      <c r="Y486" s="464"/>
      <c r="Z486" s="464"/>
      <c r="AA486" s="464"/>
      <c r="AB486" s="464"/>
      <c r="AC486" s="464"/>
      <c r="AD486" s="464"/>
      <c r="AE486" s="464"/>
      <c r="AF486" s="464"/>
      <c r="AG486" s="464"/>
      <c r="AH486" s="464"/>
      <c r="AI486" s="464"/>
      <c r="AJ486" s="464"/>
      <c r="AK486" s="464"/>
      <c r="AL486" s="464"/>
      <c r="AM486" s="464"/>
      <c r="AN486" s="464"/>
      <c r="AO486" s="464"/>
      <c r="AP486" s="464"/>
      <c r="AQ486" s="464"/>
      <c r="AR486" s="464"/>
      <c r="AS486" s="464"/>
      <c r="AT486" s="464"/>
      <c r="AU486" s="464"/>
      <c r="AV486" s="464"/>
      <c r="AW486" s="464"/>
      <c r="AX486" s="464"/>
      <c r="AY486" s="464"/>
      <c r="AZ486" s="464"/>
      <c r="BA486" s="464"/>
      <c r="BB486" s="464"/>
      <c r="BC486" s="464"/>
      <c r="BD486" s="464"/>
      <c r="BE486" s="464"/>
      <c r="BF486" s="464"/>
      <c r="BG486" s="464"/>
      <c r="BH486" s="464"/>
      <c r="BJ486" s="463">
        <f t="shared" si="8"/>
        <v>479</v>
      </c>
      <c r="BZ486" s="467"/>
    </row>
    <row r="487" spans="8:78" ht="15.75" customHeight="1" x14ac:dyDescent="0.2">
      <c r="H487" s="464"/>
      <c r="I487" s="464"/>
      <c r="J487" s="464"/>
      <c r="K487" s="464"/>
      <c r="L487" s="464"/>
      <c r="M487" s="464"/>
      <c r="N487" s="464"/>
      <c r="O487" s="464"/>
      <c r="P487" s="464"/>
      <c r="Q487" s="464"/>
      <c r="R487" s="464"/>
      <c r="S487" s="464"/>
      <c r="T487" s="464"/>
      <c r="U487" s="464"/>
      <c r="V487" s="464"/>
      <c r="W487" s="464"/>
      <c r="X487" s="464"/>
      <c r="Y487" s="464"/>
      <c r="Z487" s="464"/>
      <c r="AA487" s="464"/>
      <c r="AB487" s="464"/>
      <c r="AC487" s="464"/>
      <c r="AD487" s="464"/>
      <c r="AE487" s="464"/>
      <c r="AF487" s="464"/>
      <c r="AG487" s="464"/>
      <c r="AH487" s="464"/>
      <c r="AI487" s="464"/>
      <c r="AJ487" s="464"/>
      <c r="AK487" s="464"/>
      <c r="AL487" s="464"/>
      <c r="AM487" s="464"/>
      <c r="AN487" s="464"/>
      <c r="AO487" s="464"/>
      <c r="AP487" s="464"/>
      <c r="AQ487" s="464"/>
      <c r="AR487" s="464"/>
      <c r="AS487" s="464"/>
      <c r="AT487" s="464"/>
      <c r="AU487" s="464"/>
      <c r="AV487" s="464"/>
      <c r="AW487" s="464"/>
      <c r="AX487" s="464"/>
      <c r="AY487" s="464"/>
      <c r="AZ487" s="464"/>
      <c r="BA487" s="464"/>
      <c r="BB487" s="464"/>
      <c r="BC487" s="464"/>
      <c r="BD487" s="464"/>
      <c r="BE487" s="464"/>
      <c r="BF487" s="464"/>
      <c r="BG487" s="464"/>
      <c r="BH487" s="464"/>
      <c r="BJ487" s="463">
        <f t="shared" si="8"/>
        <v>480</v>
      </c>
      <c r="BZ487" s="467"/>
    </row>
    <row r="488" spans="8:78" ht="15.75" customHeight="1" x14ac:dyDescent="0.2">
      <c r="H488" s="464"/>
      <c r="I488" s="464"/>
      <c r="J488" s="464"/>
      <c r="K488" s="464"/>
      <c r="L488" s="464"/>
      <c r="M488" s="464"/>
      <c r="N488" s="464"/>
      <c r="O488" s="464"/>
      <c r="P488" s="464"/>
      <c r="Q488" s="464"/>
      <c r="R488" s="464"/>
      <c r="S488" s="464"/>
      <c r="T488" s="464"/>
      <c r="U488" s="464"/>
      <c r="V488" s="464"/>
      <c r="W488" s="464"/>
      <c r="X488" s="464"/>
      <c r="Y488" s="464"/>
      <c r="Z488" s="464"/>
      <c r="AA488" s="464"/>
      <c r="AB488" s="464"/>
      <c r="AC488" s="464"/>
      <c r="AD488" s="464"/>
      <c r="AE488" s="464"/>
      <c r="AF488" s="464"/>
      <c r="AG488" s="464"/>
      <c r="AH488" s="464"/>
      <c r="AI488" s="464"/>
      <c r="AJ488" s="464"/>
      <c r="AK488" s="464"/>
      <c r="AL488" s="464"/>
      <c r="AM488" s="464"/>
      <c r="AN488" s="464"/>
      <c r="AO488" s="464"/>
      <c r="AP488" s="464"/>
      <c r="AQ488" s="464"/>
      <c r="AR488" s="464"/>
      <c r="AS488" s="464"/>
      <c r="AT488" s="464"/>
      <c r="AU488" s="464"/>
      <c r="AV488" s="464"/>
      <c r="AW488" s="464"/>
      <c r="AX488" s="464"/>
      <c r="AY488" s="464"/>
      <c r="AZ488" s="464"/>
      <c r="BA488" s="464"/>
      <c r="BB488" s="464"/>
      <c r="BC488" s="464"/>
      <c r="BD488" s="464"/>
      <c r="BE488" s="464"/>
      <c r="BF488" s="464"/>
      <c r="BG488" s="464"/>
      <c r="BH488" s="464"/>
      <c r="BJ488" s="463">
        <f t="shared" si="8"/>
        <v>481</v>
      </c>
      <c r="BZ488" s="467"/>
    </row>
    <row r="489" spans="8:78" ht="15.75" customHeight="1" x14ac:dyDescent="0.2">
      <c r="H489" s="464"/>
      <c r="I489" s="464"/>
      <c r="J489" s="464"/>
      <c r="K489" s="464"/>
      <c r="L489" s="464"/>
      <c r="M489" s="464"/>
      <c r="N489" s="464"/>
      <c r="O489" s="464"/>
      <c r="P489" s="464"/>
      <c r="Q489" s="464"/>
      <c r="R489" s="464"/>
      <c r="S489" s="464"/>
      <c r="T489" s="464"/>
      <c r="U489" s="464"/>
      <c r="V489" s="464"/>
      <c r="W489" s="464"/>
      <c r="X489" s="464"/>
      <c r="Y489" s="464"/>
      <c r="Z489" s="464"/>
      <c r="AA489" s="464"/>
      <c r="AB489" s="464"/>
      <c r="AC489" s="464"/>
      <c r="AD489" s="464"/>
      <c r="AE489" s="464"/>
      <c r="AF489" s="464"/>
      <c r="AG489" s="464"/>
      <c r="AH489" s="464"/>
      <c r="AI489" s="464"/>
      <c r="AJ489" s="464"/>
      <c r="AK489" s="464"/>
      <c r="AL489" s="464"/>
      <c r="AM489" s="464"/>
      <c r="AN489" s="464"/>
      <c r="AO489" s="464"/>
      <c r="AP489" s="464"/>
      <c r="AQ489" s="464"/>
      <c r="AR489" s="464"/>
      <c r="AS489" s="464"/>
      <c r="AT489" s="464"/>
      <c r="AU489" s="464"/>
      <c r="AV489" s="464"/>
      <c r="AW489" s="464"/>
      <c r="AX489" s="464"/>
      <c r="AY489" s="464"/>
      <c r="AZ489" s="464"/>
      <c r="BA489" s="464"/>
      <c r="BB489" s="464"/>
      <c r="BC489" s="464"/>
      <c r="BD489" s="464"/>
      <c r="BE489" s="464"/>
      <c r="BF489" s="464"/>
      <c r="BG489" s="464"/>
      <c r="BH489" s="464"/>
      <c r="BJ489" s="463">
        <f t="shared" si="8"/>
        <v>482</v>
      </c>
      <c r="BZ489" s="467"/>
    </row>
    <row r="490" spans="8:78" ht="15.75" customHeight="1" x14ac:dyDescent="0.2">
      <c r="H490" s="464"/>
      <c r="I490" s="464"/>
      <c r="J490" s="464"/>
      <c r="K490" s="464"/>
      <c r="L490" s="464"/>
      <c r="M490" s="464"/>
      <c r="N490" s="464"/>
      <c r="O490" s="464"/>
      <c r="P490" s="464"/>
      <c r="Q490" s="464"/>
      <c r="R490" s="464"/>
      <c r="S490" s="464"/>
      <c r="T490" s="464"/>
      <c r="U490" s="464"/>
      <c r="V490" s="464"/>
      <c r="W490" s="464"/>
      <c r="X490" s="464"/>
      <c r="Y490" s="464"/>
      <c r="Z490" s="464"/>
      <c r="AA490" s="464"/>
      <c r="AB490" s="464"/>
      <c r="AC490" s="464"/>
      <c r="AD490" s="464"/>
      <c r="AE490" s="464"/>
      <c r="AF490" s="464"/>
      <c r="AG490" s="464"/>
      <c r="AH490" s="464"/>
      <c r="AI490" s="464"/>
      <c r="AJ490" s="464"/>
      <c r="AK490" s="464"/>
      <c r="AL490" s="464"/>
      <c r="AM490" s="464"/>
      <c r="AN490" s="464"/>
      <c r="AO490" s="464"/>
      <c r="AP490" s="464"/>
      <c r="AQ490" s="464"/>
      <c r="AR490" s="464"/>
      <c r="AS490" s="464"/>
      <c r="AT490" s="464"/>
      <c r="AU490" s="464"/>
      <c r="AV490" s="464"/>
      <c r="AW490" s="464"/>
      <c r="AX490" s="464"/>
      <c r="AY490" s="464"/>
      <c r="AZ490" s="464"/>
      <c r="BA490" s="464"/>
      <c r="BB490" s="464"/>
      <c r="BC490" s="464"/>
      <c r="BD490" s="464"/>
      <c r="BE490" s="464"/>
      <c r="BF490" s="464"/>
      <c r="BG490" s="464"/>
      <c r="BH490" s="464"/>
      <c r="BJ490" s="463">
        <f t="shared" si="8"/>
        <v>483</v>
      </c>
      <c r="BZ490" s="467"/>
    </row>
    <row r="491" spans="8:78" ht="15.75" customHeight="1" x14ac:dyDescent="0.2">
      <c r="H491" s="464"/>
      <c r="I491" s="464"/>
      <c r="J491" s="464"/>
      <c r="K491" s="464"/>
      <c r="L491" s="464"/>
      <c r="M491" s="464"/>
      <c r="N491" s="464"/>
      <c r="O491" s="464"/>
      <c r="P491" s="464"/>
      <c r="Q491" s="464"/>
      <c r="R491" s="464"/>
      <c r="S491" s="464"/>
      <c r="T491" s="464"/>
      <c r="U491" s="464"/>
      <c r="V491" s="464"/>
      <c r="W491" s="464"/>
      <c r="X491" s="464"/>
      <c r="Y491" s="464"/>
      <c r="Z491" s="464"/>
      <c r="AA491" s="464"/>
      <c r="AB491" s="464"/>
      <c r="AC491" s="464"/>
      <c r="AD491" s="464"/>
      <c r="AE491" s="464"/>
      <c r="AF491" s="464"/>
      <c r="AG491" s="464"/>
      <c r="AH491" s="464"/>
      <c r="AI491" s="464"/>
      <c r="AJ491" s="464"/>
      <c r="AK491" s="464"/>
      <c r="AL491" s="464"/>
      <c r="AM491" s="464"/>
      <c r="AN491" s="464"/>
      <c r="AO491" s="464"/>
      <c r="AP491" s="464"/>
      <c r="AQ491" s="464"/>
      <c r="AR491" s="464"/>
      <c r="AS491" s="464"/>
      <c r="AT491" s="464"/>
      <c r="AU491" s="464"/>
      <c r="AV491" s="464"/>
      <c r="AW491" s="464"/>
      <c r="AX491" s="464"/>
      <c r="AY491" s="464"/>
      <c r="AZ491" s="464"/>
      <c r="BA491" s="464"/>
      <c r="BB491" s="464"/>
      <c r="BC491" s="464"/>
      <c r="BD491" s="464"/>
      <c r="BE491" s="464"/>
      <c r="BF491" s="464"/>
      <c r="BG491" s="464"/>
      <c r="BH491" s="464"/>
      <c r="BJ491" s="463">
        <f t="shared" si="8"/>
        <v>484</v>
      </c>
      <c r="BZ491" s="467"/>
    </row>
    <row r="492" spans="8:78" ht="15.75" customHeight="1" x14ac:dyDescent="0.2">
      <c r="H492" s="464"/>
      <c r="I492" s="464"/>
      <c r="J492" s="464"/>
      <c r="K492" s="464"/>
      <c r="L492" s="464"/>
      <c r="M492" s="464"/>
      <c r="N492" s="464"/>
      <c r="O492" s="464"/>
      <c r="P492" s="464"/>
      <c r="Q492" s="464"/>
      <c r="R492" s="464"/>
      <c r="S492" s="464"/>
      <c r="T492" s="464"/>
      <c r="U492" s="464"/>
      <c r="V492" s="464"/>
      <c r="W492" s="464"/>
      <c r="X492" s="464"/>
      <c r="Y492" s="464"/>
      <c r="Z492" s="464"/>
      <c r="AA492" s="464"/>
      <c r="AB492" s="464"/>
      <c r="AC492" s="464"/>
      <c r="AD492" s="464"/>
      <c r="AE492" s="464"/>
      <c r="AF492" s="464"/>
      <c r="AG492" s="464"/>
      <c r="AH492" s="464"/>
      <c r="AI492" s="464"/>
      <c r="AJ492" s="464"/>
      <c r="AK492" s="464"/>
      <c r="AL492" s="464"/>
      <c r="AM492" s="464"/>
      <c r="AN492" s="464"/>
      <c r="AO492" s="464"/>
      <c r="AP492" s="464"/>
      <c r="AQ492" s="464"/>
      <c r="AR492" s="464"/>
      <c r="AS492" s="464"/>
      <c r="AT492" s="464"/>
      <c r="AU492" s="464"/>
      <c r="AV492" s="464"/>
      <c r="AW492" s="464"/>
      <c r="AX492" s="464"/>
      <c r="AY492" s="464"/>
      <c r="AZ492" s="464"/>
      <c r="BA492" s="464"/>
      <c r="BB492" s="464"/>
      <c r="BC492" s="464"/>
      <c r="BD492" s="464"/>
      <c r="BE492" s="464"/>
      <c r="BF492" s="464"/>
      <c r="BG492" s="464"/>
      <c r="BH492" s="464"/>
      <c r="BJ492" s="463">
        <f t="shared" si="8"/>
        <v>485</v>
      </c>
      <c r="BZ492" s="467"/>
    </row>
    <row r="493" spans="8:78" ht="15.75" customHeight="1" x14ac:dyDescent="0.2">
      <c r="H493" s="464"/>
      <c r="I493" s="464"/>
      <c r="J493" s="464"/>
      <c r="K493" s="464"/>
      <c r="L493" s="464"/>
      <c r="M493" s="464"/>
      <c r="N493" s="464"/>
      <c r="O493" s="464"/>
      <c r="P493" s="464"/>
      <c r="Q493" s="464"/>
      <c r="R493" s="464"/>
      <c r="S493" s="464"/>
      <c r="T493" s="464"/>
      <c r="U493" s="464"/>
      <c r="V493" s="464"/>
      <c r="W493" s="464"/>
      <c r="X493" s="464"/>
      <c r="Y493" s="464"/>
      <c r="Z493" s="464"/>
      <c r="AA493" s="464"/>
      <c r="AB493" s="464"/>
      <c r="AC493" s="464"/>
      <c r="AD493" s="464"/>
      <c r="AE493" s="464"/>
      <c r="AF493" s="464"/>
      <c r="AG493" s="464"/>
      <c r="AH493" s="464"/>
      <c r="AI493" s="464"/>
      <c r="AJ493" s="464"/>
      <c r="AK493" s="464"/>
      <c r="AL493" s="464"/>
      <c r="AM493" s="464"/>
      <c r="AN493" s="464"/>
      <c r="AO493" s="464"/>
      <c r="AP493" s="464"/>
      <c r="AQ493" s="464"/>
      <c r="AR493" s="464"/>
      <c r="AS493" s="464"/>
      <c r="AT493" s="464"/>
      <c r="AU493" s="464"/>
      <c r="AV493" s="464"/>
      <c r="AW493" s="464"/>
      <c r="AX493" s="464"/>
      <c r="AY493" s="464"/>
      <c r="AZ493" s="464"/>
      <c r="BA493" s="464"/>
      <c r="BB493" s="464"/>
      <c r="BC493" s="464"/>
      <c r="BD493" s="464"/>
      <c r="BE493" s="464"/>
      <c r="BF493" s="464"/>
      <c r="BG493" s="464"/>
      <c r="BH493" s="464"/>
      <c r="BJ493" s="463">
        <f t="shared" si="8"/>
        <v>486</v>
      </c>
      <c r="BZ493" s="467"/>
    </row>
    <row r="494" spans="8:78" ht="15.75" customHeight="1" x14ac:dyDescent="0.2">
      <c r="H494" s="464"/>
      <c r="I494" s="464"/>
      <c r="J494" s="464"/>
      <c r="K494" s="464"/>
      <c r="L494" s="464"/>
      <c r="M494" s="464"/>
      <c r="N494" s="464"/>
      <c r="O494" s="464"/>
      <c r="P494" s="464"/>
      <c r="Q494" s="464"/>
      <c r="R494" s="464"/>
      <c r="S494" s="464"/>
      <c r="T494" s="464"/>
      <c r="U494" s="464"/>
      <c r="V494" s="464"/>
      <c r="W494" s="464"/>
      <c r="X494" s="464"/>
      <c r="Y494" s="464"/>
      <c r="Z494" s="464"/>
      <c r="AA494" s="464"/>
      <c r="AB494" s="464"/>
      <c r="AC494" s="464"/>
      <c r="AD494" s="464"/>
      <c r="AE494" s="464"/>
      <c r="AF494" s="464"/>
      <c r="AG494" s="464"/>
      <c r="AH494" s="464"/>
      <c r="AI494" s="464"/>
      <c r="AJ494" s="464"/>
      <c r="AK494" s="464"/>
      <c r="AL494" s="464"/>
      <c r="AM494" s="464"/>
      <c r="AN494" s="464"/>
      <c r="AO494" s="464"/>
      <c r="AP494" s="464"/>
      <c r="AQ494" s="464"/>
      <c r="AR494" s="464"/>
      <c r="AS494" s="464"/>
      <c r="AT494" s="464"/>
      <c r="AU494" s="464"/>
      <c r="AV494" s="464"/>
      <c r="AW494" s="464"/>
      <c r="AX494" s="464"/>
      <c r="AY494" s="464"/>
      <c r="AZ494" s="464"/>
      <c r="BA494" s="464"/>
      <c r="BB494" s="464"/>
      <c r="BC494" s="464"/>
      <c r="BD494" s="464"/>
      <c r="BE494" s="464"/>
      <c r="BF494" s="464"/>
      <c r="BG494" s="464"/>
      <c r="BH494" s="464"/>
      <c r="BJ494" s="463">
        <f t="shared" si="8"/>
        <v>487</v>
      </c>
      <c r="BZ494" s="467"/>
    </row>
    <row r="495" spans="8:78" ht="15.75" customHeight="1" x14ac:dyDescent="0.2">
      <c r="H495" s="464"/>
      <c r="I495" s="464"/>
      <c r="J495" s="464"/>
      <c r="K495" s="464"/>
      <c r="L495" s="464"/>
      <c r="M495" s="464"/>
      <c r="N495" s="464"/>
      <c r="O495" s="464"/>
      <c r="P495" s="464"/>
      <c r="Q495" s="464"/>
      <c r="R495" s="464"/>
      <c r="S495" s="464"/>
      <c r="T495" s="464"/>
      <c r="U495" s="464"/>
      <c r="V495" s="464"/>
      <c r="W495" s="464"/>
      <c r="X495" s="464"/>
      <c r="Y495" s="464"/>
      <c r="Z495" s="464"/>
      <c r="AA495" s="464"/>
      <c r="AB495" s="464"/>
      <c r="AC495" s="464"/>
      <c r="AD495" s="464"/>
      <c r="AE495" s="464"/>
      <c r="AF495" s="464"/>
      <c r="AG495" s="464"/>
      <c r="AH495" s="464"/>
      <c r="AI495" s="464"/>
      <c r="AJ495" s="464"/>
      <c r="AK495" s="464"/>
      <c r="AL495" s="464"/>
      <c r="AM495" s="464"/>
      <c r="AN495" s="464"/>
      <c r="AO495" s="464"/>
      <c r="AP495" s="464"/>
      <c r="AQ495" s="464"/>
      <c r="AR495" s="464"/>
      <c r="AS495" s="464"/>
      <c r="AT495" s="464"/>
      <c r="AU495" s="464"/>
      <c r="AV495" s="464"/>
      <c r="AW495" s="464"/>
      <c r="AX495" s="464"/>
      <c r="AY495" s="464"/>
      <c r="AZ495" s="464"/>
      <c r="BA495" s="464"/>
      <c r="BB495" s="464"/>
      <c r="BC495" s="464"/>
      <c r="BD495" s="464"/>
      <c r="BE495" s="464"/>
      <c r="BF495" s="464"/>
      <c r="BG495" s="464"/>
      <c r="BH495" s="464"/>
      <c r="BJ495" s="463">
        <f t="shared" si="8"/>
        <v>488</v>
      </c>
      <c r="BZ495" s="467"/>
    </row>
    <row r="496" spans="8:78" ht="15.75" customHeight="1" x14ac:dyDescent="0.2">
      <c r="H496" s="464"/>
      <c r="I496" s="464"/>
      <c r="J496" s="464"/>
      <c r="K496" s="464"/>
      <c r="L496" s="464"/>
      <c r="M496" s="464"/>
      <c r="N496" s="464"/>
      <c r="O496" s="464"/>
      <c r="P496" s="464"/>
      <c r="Q496" s="464"/>
      <c r="R496" s="464"/>
      <c r="S496" s="464"/>
      <c r="T496" s="464"/>
      <c r="U496" s="464"/>
      <c r="V496" s="464"/>
      <c r="W496" s="464"/>
      <c r="X496" s="464"/>
      <c r="Y496" s="464"/>
      <c r="Z496" s="464"/>
      <c r="AA496" s="464"/>
      <c r="AB496" s="464"/>
      <c r="AC496" s="464"/>
      <c r="AD496" s="464"/>
      <c r="AE496" s="464"/>
      <c r="AF496" s="464"/>
      <c r="AG496" s="464"/>
      <c r="AH496" s="464"/>
      <c r="AI496" s="464"/>
      <c r="AJ496" s="464"/>
      <c r="AK496" s="464"/>
      <c r="AL496" s="464"/>
      <c r="AM496" s="464"/>
      <c r="AN496" s="464"/>
      <c r="AO496" s="464"/>
      <c r="AP496" s="464"/>
      <c r="AQ496" s="464"/>
      <c r="AR496" s="464"/>
      <c r="AS496" s="464"/>
      <c r="AT496" s="464"/>
      <c r="AU496" s="464"/>
      <c r="AV496" s="464"/>
      <c r="AW496" s="464"/>
      <c r="AX496" s="464"/>
      <c r="AY496" s="464"/>
      <c r="AZ496" s="464"/>
      <c r="BA496" s="464"/>
      <c r="BB496" s="464"/>
      <c r="BC496" s="464"/>
      <c r="BD496" s="464"/>
      <c r="BE496" s="464"/>
      <c r="BF496" s="464"/>
      <c r="BG496" s="464"/>
      <c r="BH496" s="464"/>
      <c r="BJ496" s="463">
        <f t="shared" si="8"/>
        <v>489</v>
      </c>
      <c r="BZ496" s="467"/>
    </row>
    <row r="497" spans="8:78" ht="15.75" customHeight="1" x14ac:dyDescent="0.2">
      <c r="H497" s="464"/>
      <c r="I497" s="464"/>
      <c r="J497" s="464"/>
      <c r="K497" s="464"/>
      <c r="L497" s="464"/>
      <c r="M497" s="464"/>
      <c r="N497" s="464"/>
      <c r="O497" s="464"/>
      <c r="P497" s="464"/>
      <c r="Q497" s="464"/>
      <c r="R497" s="464"/>
      <c r="S497" s="464"/>
      <c r="T497" s="464"/>
      <c r="U497" s="464"/>
      <c r="V497" s="464"/>
      <c r="W497" s="464"/>
      <c r="X497" s="464"/>
      <c r="Y497" s="464"/>
      <c r="Z497" s="464"/>
      <c r="AA497" s="464"/>
      <c r="AB497" s="464"/>
      <c r="AC497" s="464"/>
      <c r="AD497" s="464"/>
      <c r="AE497" s="464"/>
      <c r="AF497" s="464"/>
      <c r="AG497" s="464"/>
      <c r="AH497" s="464"/>
      <c r="AI497" s="464"/>
      <c r="AJ497" s="464"/>
      <c r="AK497" s="464"/>
      <c r="AL497" s="464"/>
      <c r="AM497" s="464"/>
      <c r="AN497" s="464"/>
      <c r="AO497" s="464"/>
      <c r="AP497" s="464"/>
      <c r="AQ497" s="464"/>
      <c r="AR497" s="464"/>
      <c r="AS497" s="464"/>
      <c r="AT497" s="464"/>
      <c r="AU497" s="464"/>
      <c r="AV497" s="464"/>
      <c r="AW497" s="464"/>
      <c r="AX497" s="464"/>
      <c r="AY497" s="464"/>
      <c r="AZ497" s="464"/>
      <c r="BA497" s="464"/>
      <c r="BB497" s="464"/>
      <c r="BC497" s="464"/>
      <c r="BD497" s="464"/>
      <c r="BE497" s="464"/>
      <c r="BF497" s="464"/>
      <c r="BG497" s="464"/>
      <c r="BH497" s="464"/>
      <c r="BJ497" s="463">
        <f t="shared" si="8"/>
        <v>490</v>
      </c>
      <c r="BZ497" s="467"/>
    </row>
    <row r="498" spans="8:78" ht="15.75" customHeight="1" x14ac:dyDescent="0.2">
      <c r="H498" s="464"/>
      <c r="I498" s="464"/>
      <c r="J498" s="464"/>
      <c r="K498" s="464"/>
      <c r="L498" s="464"/>
      <c r="M498" s="464"/>
      <c r="N498" s="464"/>
      <c r="O498" s="464"/>
      <c r="P498" s="464"/>
      <c r="Q498" s="464"/>
      <c r="R498" s="464"/>
      <c r="S498" s="464"/>
      <c r="T498" s="464"/>
      <c r="U498" s="464"/>
      <c r="V498" s="464"/>
      <c r="W498" s="464"/>
      <c r="X498" s="464"/>
      <c r="Y498" s="464"/>
      <c r="Z498" s="464"/>
      <c r="AA498" s="464"/>
      <c r="AB498" s="464"/>
      <c r="AC498" s="464"/>
      <c r="AD498" s="464"/>
      <c r="AE498" s="464"/>
      <c r="AF498" s="464"/>
      <c r="AG498" s="464"/>
      <c r="AH498" s="464"/>
      <c r="AI498" s="464"/>
      <c r="AJ498" s="464"/>
      <c r="AK498" s="464"/>
      <c r="AL498" s="464"/>
      <c r="AM498" s="464"/>
      <c r="AN498" s="464"/>
      <c r="AO498" s="464"/>
      <c r="AP498" s="464"/>
      <c r="AQ498" s="464"/>
      <c r="AR498" s="464"/>
      <c r="AS498" s="464"/>
      <c r="AT498" s="464"/>
      <c r="AU498" s="464"/>
      <c r="AV498" s="464"/>
      <c r="AW498" s="464"/>
      <c r="AX498" s="464"/>
      <c r="AY498" s="464"/>
      <c r="AZ498" s="464"/>
      <c r="BA498" s="464"/>
      <c r="BB498" s="464"/>
      <c r="BC498" s="464"/>
      <c r="BD498" s="464"/>
      <c r="BE498" s="464"/>
      <c r="BF498" s="464"/>
      <c r="BG498" s="464"/>
      <c r="BH498" s="464"/>
      <c r="BJ498" s="463">
        <f t="shared" si="8"/>
        <v>491</v>
      </c>
      <c r="BZ498" s="467"/>
    </row>
    <row r="499" spans="8:78" ht="15.75" customHeight="1" x14ac:dyDescent="0.2">
      <c r="H499" s="464"/>
      <c r="I499" s="464"/>
      <c r="J499" s="464"/>
      <c r="K499" s="464"/>
      <c r="L499" s="464"/>
      <c r="M499" s="464"/>
      <c r="N499" s="464"/>
      <c r="O499" s="464"/>
      <c r="P499" s="464"/>
      <c r="Q499" s="464"/>
      <c r="R499" s="464"/>
      <c r="S499" s="464"/>
      <c r="T499" s="464"/>
      <c r="U499" s="464"/>
      <c r="V499" s="464"/>
      <c r="W499" s="464"/>
      <c r="X499" s="464"/>
      <c r="Y499" s="464"/>
      <c r="Z499" s="464"/>
      <c r="AA499" s="464"/>
      <c r="AB499" s="464"/>
      <c r="AC499" s="464"/>
      <c r="AD499" s="464"/>
      <c r="AE499" s="464"/>
      <c r="AF499" s="464"/>
      <c r="AG499" s="464"/>
      <c r="AH499" s="464"/>
      <c r="AI499" s="464"/>
      <c r="AJ499" s="464"/>
      <c r="AK499" s="464"/>
      <c r="AL499" s="464"/>
      <c r="AM499" s="464"/>
      <c r="AN499" s="464"/>
      <c r="AO499" s="464"/>
      <c r="AP499" s="464"/>
      <c r="AQ499" s="464"/>
      <c r="AR499" s="464"/>
      <c r="AS499" s="464"/>
      <c r="AT499" s="464"/>
      <c r="AU499" s="464"/>
      <c r="AV499" s="464"/>
      <c r="AW499" s="464"/>
      <c r="AX499" s="464"/>
      <c r="AY499" s="464"/>
      <c r="AZ499" s="464"/>
      <c r="BA499" s="464"/>
      <c r="BB499" s="464"/>
      <c r="BC499" s="464"/>
      <c r="BD499" s="464"/>
      <c r="BE499" s="464"/>
      <c r="BF499" s="464"/>
      <c r="BG499" s="464"/>
      <c r="BH499" s="464"/>
      <c r="BJ499" s="463">
        <f t="shared" si="8"/>
        <v>492</v>
      </c>
      <c r="BZ499" s="467"/>
    </row>
    <row r="500" spans="8:78" ht="15.75" customHeight="1" x14ac:dyDescent="0.2">
      <c r="H500" s="464"/>
      <c r="I500" s="464"/>
      <c r="J500" s="464"/>
      <c r="K500" s="464"/>
      <c r="L500" s="464"/>
      <c r="M500" s="464"/>
      <c r="N500" s="464"/>
      <c r="O500" s="464"/>
      <c r="P500" s="464"/>
      <c r="Q500" s="464"/>
      <c r="R500" s="464"/>
      <c r="S500" s="464"/>
      <c r="T500" s="464"/>
      <c r="U500" s="464"/>
      <c r="V500" s="464"/>
      <c r="W500" s="464"/>
      <c r="X500" s="464"/>
      <c r="Y500" s="464"/>
      <c r="Z500" s="464"/>
      <c r="AA500" s="464"/>
      <c r="AB500" s="464"/>
      <c r="AC500" s="464"/>
      <c r="AD500" s="464"/>
      <c r="AE500" s="464"/>
      <c r="AF500" s="464"/>
      <c r="AG500" s="464"/>
      <c r="AH500" s="464"/>
      <c r="AI500" s="464"/>
      <c r="AJ500" s="464"/>
      <c r="AK500" s="464"/>
      <c r="AL500" s="464"/>
      <c r="AM500" s="464"/>
      <c r="AN500" s="464"/>
      <c r="AO500" s="464"/>
      <c r="AP500" s="464"/>
      <c r="AQ500" s="464"/>
      <c r="AR500" s="464"/>
      <c r="AS500" s="464"/>
      <c r="AT500" s="464"/>
      <c r="AU500" s="464"/>
      <c r="AV500" s="464"/>
      <c r="AW500" s="464"/>
      <c r="AX500" s="464"/>
      <c r="AY500" s="464"/>
      <c r="AZ500" s="464"/>
      <c r="BA500" s="464"/>
      <c r="BB500" s="464"/>
      <c r="BC500" s="464"/>
      <c r="BD500" s="464"/>
      <c r="BE500" s="464"/>
      <c r="BF500" s="464"/>
      <c r="BG500" s="464"/>
      <c r="BH500" s="464"/>
      <c r="BJ500" s="463">
        <f t="shared" si="8"/>
        <v>493</v>
      </c>
      <c r="BZ500" s="467"/>
    </row>
    <row r="501" spans="8:78" ht="15.75" customHeight="1" x14ac:dyDescent="0.2">
      <c r="H501" s="464"/>
      <c r="I501" s="464"/>
      <c r="J501" s="464"/>
      <c r="K501" s="464"/>
      <c r="L501" s="464"/>
      <c r="M501" s="464"/>
      <c r="N501" s="464"/>
      <c r="O501" s="464"/>
      <c r="P501" s="464"/>
      <c r="Q501" s="464"/>
      <c r="R501" s="464"/>
      <c r="S501" s="464"/>
      <c r="T501" s="464"/>
      <c r="U501" s="464"/>
      <c r="V501" s="464"/>
      <c r="W501" s="464"/>
      <c r="X501" s="464"/>
      <c r="Y501" s="464"/>
      <c r="Z501" s="464"/>
      <c r="AA501" s="464"/>
      <c r="AB501" s="464"/>
      <c r="AC501" s="464"/>
      <c r="AD501" s="464"/>
      <c r="AE501" s="464"/>
      <c r="AF501" s="464"/>
      <c r="AG501" s="464"/>
      <c r="AH501" s="464"/>
      <c r="AI501" s="464"/>
      <c r="AJ501" s="464"/>
      <c r="AK501" s="464"/>
      <c r="AL501" s="464"/>
      <c r="AM501" s="464"/>
      <c r="AN501" s="464"/>
      <c r="AO501" s="464"/>
      <c r="AP501" s="464"/>
      <c r="AQ501" s="464"/>
      <c r="AR501" s="464"/>
      <c r="AS501" s="464"/>
      <c r="AT501" s="464"/>
      <c r="AU501" s="464"/>
      <c r="AV501" s="464"/>
      <c r="AW501" s="464"/>
      <c r="AX501" s="464"/>
      <c r="AY501" s="464"/>
      <c r="AZ501" s="464"/>
      <c r="BA501" s="464"/>
      <c r="BB501" s="464"/>
      <c r="BC501" s="464"/>
      <c r="BD501" s="464"/>
      <c r="BE501" s="464"/>
      <c r="BF501" s="464"/>
      <c r="BG501" s="464"/>
      <c r="BH501" s="464"/>
      <c r="BJ501" s="463">
        <f t="shared" si="8"/>
        <v>494</v>
      </c>
      <c r="BZ501" s="467"/>
    </row>
    <row r="502" spans="8:78" ht="15.75" customHeight="1" x14ac:dyDescent="0.2">
      <c r="H502" s="464"/>
      <c r="I502" s="464"/>
      <c r="J502" s="464"/>
      <c r="K502" s="464"/>
      <c r="L502" s="464"/>
      <c r="M502" s="464"/>
      <c r="N502" s="464"/>
      <c r="O502" s="464"/>
      <c r="P502" s="464"/>
      <c r="Q502" s="464"/>
      <c r="R502" s="464"/>
      <c r="S502" s="464"/>
      <c r="T502" s="464"/>
      <c r="U502" s="464"/>
      <c r="V502" s="464"/>
      <c r="W502" s="464"/>
      <c r="X502" s="464"/>
      <c r="Y502" s="464"/>
      <c r="Z502" s="464"/>
      <c r="AA502" s="464"/>
      <c r="AB502" s="464"/>
      <c r="AC502" s="464"/>
      <c r="AD502" s="464"/>
      <c r="AE502" s="464"/>
      <c r="AF502" s="464"/>
      <c r="AG502" s="464"/>
      <c r="AH502" s="464"/>
      <c r="AI502" s="464"/>
      <c r="AJ502" s="464"/>
      <c r="AK502" s="464"/>
      <c r="AL502" s="464"/>
      <c r="AM502" s="464"/>
      <c r="AN502" s="464"/>
      <c r="AO502" s="464"/>
      <c r="AP502" s="464"/>
      <c r="AQ502" s="464"/>
      <c r="AR502" s="464"/>
      <c r="AS502" s="464"/>
      <c r="AT502" s="464"/>
      <c r="AU502" s="464"/>
      <c r="AV502" s="464"/>
      <c r="AW502" s="464"/>
      <c r="AX502" s="464"/>
      <c r="AY502" s="464"/>
      <c r="AZ502" s="464"/>
      <c r="BA502" s="464"/>
      <c r="BB502" s="464"/>
      <c r="BC502" s="464"/>
      <c r="BD502" s="464"/>
      <c r="BE502" s="464"/>
      <c r="BF502" s="464"/>
      <c r="BG502" s="464"/>
      <c r="BH502" s="464"/>
      <c r="BJ502" s="463">
        <f t="shared" si="8"/>
        <v>495</v>
      </c>
      <c r="BZ502" s="467"/>
    </row>
    <row r="503" spans="8:78" ht="15.75" customHeight="1" x14ac:dyDescent="0.2">
      <c r="H503" s="464"/>
      <c r="I503" s="464"/>
      <c r="J503" s="464"/>
      <c r="K503" s="464"/>
      <c r="L503" s="464"/>
      <c r="M503" s="464"/>
      <c r="N503" s="464"/>
      <c r="O503" s="464"/>
      <c r="P503" s="464"/>
      <c r="Q503" s="464"/>
      <c r="R503" s="464"/>
      <c r="S503" s="464"/>
      <c r="T503" s="464"/>
      <c r="U503" s="464"/>
      <c r="V503" s="464"/>
      <c r="W503" s="464"/>
      <c r="X503" s="464"/>
      <c r="Y503" s="464"/>
      <c r="Z503" s="464"/>
      <c r="AA503" s="464"/>
      <c r="AB503" s="464"/>
      <c r="AC503" s="464"/>
      <c r="AD503" s="464"/>
      <c r="AE503" s="464"/>
      <c r="AF503" s="464"/>
      <c r="AG503" s="464"/>
      <c r="AH503" s="464"/>
      <c r="AI503" s="464"/>
      <c r="AJ503" s="464"/>
      <c r="AK503" s="464"/>
      <c r="AL503" s="464"/>
      <c r="AM503" s="464"/>
      <c r="AN503" s="464"/>
      <c r="AO503" s="464"/>
      <c r="AP503" s="464"/>
      <c r="AQ503" s="464"/>
      <c r="AR503" s="464"/>
      <c r="AS503" s="464"/>
      <c r="AT503" s="464"/>
      <c r="AU503" s="464"/>
      <c r="AV503" s="464"/>
      <c r="AW503" s="464"/>
      <c r="AX503" s="464"/>
      <c r="AY503" s="464"/>
      <c r="AZ503" s="464"/>
      <c r="BA503" s="464"/>
      <c r="BB503" s="464"/>
      <c r="BC503" s="464"/>
      <c r="BD503" s="464"/>
      <c r="BE503" s="464"/>
      <c r="BF503" s="464"/>
      <c r="BG503" s="464"/>
      <c r="BH503" s="464"/>
      <c r="BJ503" s="463">
        <f t="shared" si="8"/>
        <v>496</v>
      </c>
      <c r="BZ503" s="467"/>
    </row>
    <row r="504" spans="8:78" ht="15.75" customHeight="1" x14ac:dyDescent="0.2">
      <c r="H504" s="464"/>
      <c r="I504" s="464"/>
      <c r="J504" s="464"/>
      <c r="K504" s="464"/>
      <c r="L504" s="464"/>
      <c r="M504" s="464"/>
      <c r="N504" s="464"/>
      <c r="O504" s="464"/>
      <c r="P504" s="464"/>
      <c r="Q504" s="464"/>
      <c r="R504" s="464"/>
      <c r="S504" s="464"/>
      <c r="T504" s="464"/>
      <c r="U504" s="464"/>
      <c r="V504" s="464"/>
      <c r="W504" s="464"/>
      <c r="X504" s="464"/>
      <c r="Y504" s="464"/>
      <c r="Z504" s="464"/>
      <c r="AA504" s="464"/>
      <c r="AB504" s="464"/>
      <c r="AC504" s="464"/>
      <c r="AD504" s="464"/>
      <c r="AE504" s="464"/>
      <c r="AF504" s="464"/>
      <c r="AG504" s="464"/>
      <c r="AH504" s="464"/>
      <c r="AI504" s="464"/>
      <c r="AJ504" s="464"/>
      <c r="AK504" s="464"/>
      <c r="AL504" s="464"/>
      <c r="AM504" s="464"/>
      <c r="AN504" s="464"/>
      <c r="AO504" s="464"/>
      <c r="AP504" s="464"/>
      <c r="AQ504" s="464"/>
      <c r="AR504" s="464"/>
      <c r="AS504" s="464"/>
      <c r="AT504" s="464"/>
      <c r="AU504" s="464"/>
      <c r="AV504" s="464"/>
      <c r="AW504" s="464"/>
      <c r="AX504" s="464"/>
      <c r="AY504" s="464"/>
      <c r="AZ504" s="464"/>
      <c r="BA504" s="464"/>
      <c r="BB504" s="464"/>
      <c r="BC504" s="464"/>
      <c r="BD504" s="464"/>
      <c r="BE504" s="464"/>
      <c r="BF504" s="464"/>
      <c r="BG504" s="464"/>
      <c r="BH504" s="464"/>
      <c r="BJ504" s="463">
        <f t="shared" si="8"/>
        <v>497</v>
      </c>
      <c r="BZ504" s="467"/>
    </row>
    <row r="505" spans="8:78" ht="15.75" customHeight="1" x14ac:dyDescent="0.2">
      <c r="H505" s="464"/>
      <c r="I505" s="464"/>
      <c r="J505" s="464"/>
      <c r="K505" s="464"/>
      <c r="L505" s="464"/>
      <c r="M505" s="464"/>
      <c r="N505" s="464"/>
      <c r="O505" s="464"/>
      <c r="P505" s="464"/>
      <c r="Q505" s="464"/>
      <c r="R505" s="464"/>
      <c r="S505" s="464"/>
      <c r="T505" s="464"/>
      <c r="U505" s="464"/>
      <c r="V505" s="464"/>
      <c r="W505" s="464"/>
      <c r="X505" s="464"/>
      <c r="Y505" s="464"/>
      <c r="Z505" s="464"/>
      <c r="AA505" s="464"/>
      <c r="AB505" s="464"/>
      <c r="AC505" s="464"/>
      <c r="AD505" s="464"/>
      <c r="AE505" s="464"/>
      <c r="AF505" s="464"/>
      <c r="AG505" s="464"/>
      <c r="AH505" s="464"/>
      <c r="AI505" s="464"/>
      <c r="AJ505" s="464"/>
      <c r="AK505" s="464"/>
      <c r="AL505" s="464"/>
      <c r="AM505" s="464"/>
      <c r="AN505" s="464"/>
      <c r="AO505" s="464"/>
      <c r="AP505" s="464"/>
      <c r="AQ505" s="464"/>
      <c r="AR505" s="464"/>
      <c r="AS505" s="464"/>
      <c r="AT505" s="464"/>
      <c r="AU505" s="464"/>
      <c r="AV505" s="464"/>
      <c r="AW505" s="464"/>
      <c r="AX505" s="464"/>
      <c r="AY505" s="464"/>
      <c r="AZ505" s="464"/>
      <c r="BA505" s="464"/>
      <c r="BB505" s="464"/>
      <c r="BC505" s="464"/>
      <c r="BD505" s="464"/>
      <c r="BE505" s="464"/>
      <c r="BF505" s="464"/>
      <c r="BG505" s="464"/>
      <c r="BH505" s="464"/>
      <c r="BJ505" s="463">
        <f t="shared" si="8"/>
        <v>498</v>
      </c>
      <c r="BZ505" s="467"/>
    </row>
    <row r="506" spans="8:78" ht="15.75" customHeight="1" x14ac:dyDescent="0.2">
      <c r="H506" s="464"/>
      <c r="I506" s="464"/>
      <c r="J506" s="464"/>
      <c r="K506" s="464"/>
      <c r="L506" s="464"/>
      <c r="M506" s="464"/>
      <c r="N506" s="464"/>
      <c r="O506" s="464"/>
      <c r="P506" s="464"/>
      <c r="Q506" s="464"/>
      <c r="R506" s="464"/>
      <c r="S506" s="464"/>
      <c r="T506" s="464"/>
      <c r="U506" s="464"/>
      <c r="V506" s="464"/>
      <c r="W506" s="464"/>
      <c r="X506" s="464"/>
      <c r="Y506" s="464"/>
      <c r="Z506" s="464"/>
      <c r="AA506" s="464"/>
      <c r="AB506" s="464"/>
      <c r="AC506" s="464"/>
      <c r="AD506" s="464"/>
      <c r="AE506" s="464"/>
      <c r="AF506" s="464"/>
      <c r="AG506" s="464"/>
      <c r="AH506" s="464"/>
      <c r="AI506" s="464"/>
      <c r="AJ506" s="464"/>
      <c r="AK506" s="464"/>
      <c r="AL506" s="464"/>
      <c r="AM506" s="464"/>
      <c r="AN506" s="464"/>
      <c r="AO506" s="464"/>
      <c r="AP506" s="464"/>
      <c r="AQ506" s="464"/>
      <c r="AR506" s="464"/>
      <c r="AS506" s="464"/>
      <c r="AT506" s="464"/>
      <c r="AU506" s="464"/>
      <c r="AV506" s="464"/>
      <c r="AW506" s="464"/>
      <c r="AX506" s="464"/>
      <c r="AY506" s="464"/>
      <c r="AZ506" s="464"/>
      <c r="BA506" s="464"/>
      <c r="BB506" s="464"/>
      <c r="BC506" s="464"/>
      <c r="BD506" s="464"/>
      <c r="BE506" s="464"/>
      <c r="BF506" s="464"/>
      <c r="BG506" s="464"/>
      <c r="BH506" s="464"/>
      <c r="BJ506" s="463">
        <f t="shared" si="8"/>
        <v>499</v>
      </c>
      <c r="BZ506" s="467"/>
    </row>
    <row r="507" spans="8:78" ht="15.75" customHeight="1" x14ac:dyDescent="0.2">
      <c r="H507" s="464"/>
      <c r="I507" s="464"/>
      <c r="J507" s="464"/>
      <c r="K507" s="464"/>
      <c r="L507" s="464"/>
      <c r="M507" s="464"/>
      <c r="N507" s="464"/>
      <c r="O507" s="464"/>
      <c r="P507" s="464"/>
      <c r="Q507" s="464"/>
      <c r="R507" s="464"/>
      <c r="S507" s="464"/>
      <c r="T507" s="464"/>
      <c r="U507" s="464"/>
      <c r="V507" s="464"/>
      <c r="W507" s="464"/>
      <c r="X507" s="464"/>
      <c r="Y507" s="464"/>
      <c r="Z507" s="464"/>
      <c r="AA507" s="464"/>
      <c r="AB507" s="464"/>
      <c r="AC507" s="464"/>
      <c r="AD507" s="464"/>
      <c r="AE507" s="464"/>
      <c r="AF507" s="464"/>
      <c r="AG507" s="464"/>
      <c r="AH507" s="464"/>
      <c r="AI507" s="464"/>
      <c r="AJ507" s="464"/>
      <c r="AK507" s="464"/>
      <c r="AL507" s="464"/>
      <c r="AM507" s="464"/>
      <c r="AN507" s="464"/>
      <c r="AO507" s="464"/>
      <c r="AP507" s="464"/>
      <c r="AQ507" s="464"/>
      <c r="AR507" s="464"/>
      <c r="AS507" s="464"/>
      <c r="AT507" s="464"/>
      <c r="AU507" s="464"/>
      <c r="AV507" s="464"/>
      <c r="AW507" s="464"/>
      <c r="AX507" s="464"/>
      <c r="AY507" s="464"/>
      <c r="AZ507" s="464"/>
      <c r="BA507" s="464"/>
      <c r="BB507" s="464"/>
      <c r="BC507" s="464"/>
      <c r="BD507" s="464"/>
      <c r="BE507" s="464"/>
      <c r="BF507" s="464"/>
      <c r="BG507" s="464"/>
      <c r="BH507" s="464"/>
      <c r="BJ507" s="463">
        <f t="shared" si="8"/>
        <v>500</v>
      </c>
      <c r="BZ507" s="467"/>
    </row>
    <row r="508" spans="8:78" ht="15.75" customHeight="1" x14ac:dyDescent="0.2">
      <c r="BJ508" s="463">
        <f t="shared" si="8"/>
        <v>501</v>
      </c>
      <c r="BZ508" s="467"/>
    </row>
    <row r="509" spans="8:78" ht="15.75" customHeight="1" x14ac:dyDescent="0.2">
      <c r="BJ509" s="463">
        <f t="shared" si="8"/>
        <v>502</v>
      </c>
      <c r="BZ509" s="467"/>
    </row>
    <row r="510" spans="8:78" ht="15.75" customHeight="1" x14ac:dyDescent="0.2">
      <c r="BJ510" s="463">
        <f t="shared" si="8"/>
        <v>503</v>
      </c>
      <c r="BZ510" s="467"/>
    </row>
    <row r="511" spans="8:78" ht="15.75" customHeight="1" x14ac:dyDescent="0.2">
      <c r="BJ511" s="463">
        <f t="shared" si="8"/>
        <v>504</v>
      </c>
      <c r="BZ511" s="467"/>
    </row>
    <row r="512" spans="8:78" ht="15.75" customHeight="1" x14ac:dyDescent="0.2">
      <c r="BJ512" s="463">
        <f t="shared" si="8"/>
        <v>505</v>
      </c>
      <c r="BZ512" s="467"/>
    </row>
    <row r="513" spans="62:78" ht="15.75" customHeight="1" x14ac:dyDescent="0.2">
      <c r="BJ513" s="463">
        <f t="shared" si="8"/>
        <v>506</v>
      </c>
      <c r="BZ513" s="467"/>
    </row>
    <row r="514" spans="62:78" ht="15.75" customHeight="1" x14ac:dyDescent="0.2">
      <c r="BJ514" s="463">
        <f t="shared" si="8"/>
        <v>507</v>
      </c>
      <c r="BZ514" s="467"/>
    </row>
    <row r="515" spans="62:78" ht="15.75" customHeight="1" x14ac:dyDescent="0.2">
      <c r="BJ515" s="463">
        <f t="shared" si="8"/>
        <v>508</v>
      </c>
      <c r="BZ515" s="467"/>
    </row>
    <row r="516" spans="62:78" ht="15.75" customHeight="1" x14ac:dyDescent="0.2">
      <c r="BJ516" s="463">
        <f t="shared" si="8"/>
        <v>509</v>
      </c>
      <c r="BZ516" s="467"/>
    </row>
    <row r="517" spans="62:78" ht="15.75" customHeight="1" x14ac:dyDescent="0.2">
      <c r="BJ517" s="463">
        <f t="shared" si="8"/>
        <v>510</v>
      </c>
      <c r="BZ517" s="467"/>
    </row>
    <row r="518" spans="62:78" ht="15.75" customHeight="1" x14ac:dyDescent="0.2">
      <c r="BJ518" s="463">
        <f t="shared" si="8"/>
        <v>511</v>
      </c>
      <c r="BZ518" s="467"/>
    </row>
    <row r="519" spans="62:78" ht="15.75" customHeight="1" x14ac:dyDescent="0.2">
      <c r="BJ519" s="463">
        <f t="shared" si="8"/>
        <v>512</v>
      </c>
      <c r="BZ519" s="467"/>
    </row>
    <row r="520" spans="62:78" ht="15.75" customHeight="1" x14ac:dyDescent="0.2">
      <c r="BJ520" s="463">
        <f t="shared" si="8"/>
        <v>513</v>
      </c>
      <c r="BZ520" s="467"/>
    </row>
    <row r="521" spans="62:78" ht="15.75" customHeight="1" x14ac:dyDescent="0.2">
      <c r="BJ521" s="463">
        <f t="shared" ref="BJ521:BJ584" si="9">BJ520+1</f>
        <v>514</v>
      </c>
      <c r="BZ521" s="467"/>
    </row>
    <row r="522" spans="62:78" ht="15.75" customHeight="1" x14ac:dyDescent="0.2">
      <c r="BJ522" s="463">
        <f t="shared" si="9"/>
        <v>515</v>
      </c>
      <c r="BZ522" s="467"/>
    </row>
    <row r="523" spans="62:78" ht="15.75" customHeight="1" x14ac:dyDescent="0.2">
      <c r="BJ523" s="463">
        <f t="shared" si="9"/>
        <v>516</v>
      </c>
      <c r="BZ523" s="467"/>
    </row>
    <row r="524" spans="62:78" ht="15.75" customHeight="1" x14ac:dyDescent="0.2">
      <c r="BJ524" s="463">
        <f t="shared" si="9"/>
        <v>517</v>
      </c>
      <c r="BZ524" s="467"/>
    </row>
    <row r="525" spans="62:78" ht="15.75" customHeight="1" x14ac:dyDescent="0.2">
      <c r="BJ525" s="463">
        <f t="shared" si="9"/>
        <v>518</v>
      </c>
      <c r="BZ525" s="467"/>
    </row>
    <row r="526" spans="62:78" ht="15.75" customHeight="1" x14ac:dyDescent="0.2">
      <c r="BJ526" s="463">
        <f t="shared" si="9"/>
        <v>519</v>
      </c>
      <c r="BZ526" s="467"/>
    </row>
    <row r="527" spans="62:78" ht="15.75" customHeight="1" x14ac:dyDescent="0.2">
      <c r="BJ527" s="463">
        <f t="shared" si="9"/>
        <v>520</v>
      </c>
      <c r="BZ527" s="467"/>
    </row>
    <row r="528" spans="62:78" ht="15.75" customHeight="1" x14ac:dyDescent="0.2">
      <c r="BJ528" s="463">
        <f t="shared" si="9"/>
        <v>521</v>
      </c>
      <c r="BZ528" s="467"/>
    </row>
    <row r="529" spans="62:78" ht="15.75" customHeight="1" x14ac:dyDescent="0.2">
      <c r="BJ529" s="463">
        <f t="shared" si="9"/>
        <v>522</v>
      </c>
      <c r="BZ529" s="467"/>
    </row>
    <row r="530" spans="62:78" ht="15.75" customHeight="1" x14ac:dyDescent="0.2">
      <c r="BJ530" s="463">
        <f t="shared" si="9"/>
        <v>523</v>
      </c>
      <c r="BZ530" s="467"/>
    </row>
    <row r="531" spans="62:78" ht="15.75" customHeight="1" x14ac:dyDescent="0.2">
      <c r="BJ531" s="463">
        <f t="shared" si="9"/>
        <v>524</v>
      </c>
      <c r="BZ531" s="467"/>
    </row>
    <row r="532" spans="62:78" ht="15.75" customHeight="1" x14ac:dyDescent="0.2">
      <c r="BJ532" s="463">
        <f t="shared" si="9"/>
        <v>525</v>
      </c>
      <c r="BZ532" s="467"/>
    </row>
    <row r="533" spans="62:78" ht="15.75" customHeight="1" x14ac:dyDescent="0.2">
      <c r="BJ533" s="463">
        <f t="shared" si="9"/>
        <v>526</v>
      </c>
      <c r="BZ533" s="467"/>
    </row>
    <row r="534" spans="62:78" ht="15.75" customHeight="1" x14ac:dyDescent="0.2">
      <c r="BJ534" s="463">
        <f t="shared" si="9"/>
        <v>527</v>
      </c>
      <c r="BZ534" s="467"/>
    </row>
    <row r="535" spans="62:78" ht="15.75" customHeight="1" x14ac:dyDescent="0.2">
      <c r="BJ535" s="463">
        <f t="shared" si="9"/>
        <v>528</v>
      </c>
      <c r="BZ535" s="467"/>
    </row>
    <row r="536" spans="62:78" ht="15.75" customHeight="1" x14ac:dyDescent="0.2">
      <c r="BJ536" s="463">
        <f t="shared" si="9"/>
        <v>529</v>
      </c>
      <c r="BZ536" s="467"/>
    </row>
    <row r="537" spans="62:78" ht="15.75" customHeight="1" x14ac:dyDescent="0.2">
      <c r="BJ537" s="463">
        <f t="shared" si="9"/>
        <v>530</v>
      </c>
      <c r="BZ537" s="467"/>
    </row>
    <row r="538" spans="62:78" ht="15.75" customHeight="1" x14ac:dyDescent="0.2">
      <c r="BJ538" s="463">
        <f t="shared" si="9"/>
        <v>531</v>
      </c>
      <c r="BZ538" s="467"/>
    </row>
    <row r="539" spans="62:78" ht="15.75" customHeight="1" x14ac:dyDescent="0.2">
      <c r="BJ539" s="463">
        <f t="shared" si="9"/>
        <v>532</v>
      </c>
      <c r="BZ539" s="467"/>
    </row>
    <row r="540" spans="62:78" ht="15.75" customHeight="1" x14ac:dyDescent="0.2">
      <c r="BJ540" s="463">
        <f t="shared" si="9"/>
        <v>533</v>
      </c>
      <c r="BZ540" s="467"/>
    </row>
    <row r="541" spans="62:78" ht="15.75" customHeight="1" x14ac:dyDescent="0.2">
      <c r="BJ541" s="463">
        <f t="shared" si="9"/>
        <v>534</v>
      </c>
      <c r="BZ541" s="467"/>
    </row>
    <row r="542" spans="62:78" ht="15.75" customHeight="1" x14ac:dyDescent="0.2">
      <c r="BJ542" s="463">
        <f t="shared" si="9"/>
        <v>535</v>
      </c>
      <c r="BZ542" s="467"/>
    </row>
    <row r="543" spans="62:78" ht="15.75" customHeight="1" x14ac:dyDescent="0.2">
      <c r="BJ543" s="463">
        <f t="shared" si="9"/>
        <v>536</v>
      </c>
      <c r="BZ543" s="467"/>
    </row>
    <row r="544" spans="62:78" ht="15.75" customHeight="1" x14ac:dyDescent="0.2">
      <c r="BJ544" s="463">
        <f t="shared" si="9"/>
        <v>537</v>
      </c>
      <c r="BZ544" s="467"/>
    </row>
    <row r="545" spans="62:78" ht="15.75" customHeight="1" x14ac:dyDescent="0.2">
      <c r="BJ545" s="463">
        <f t="shared" si="9"/>
        <v>538</v>
      </c>
      <c r="BZ545" s="467"/>
    </row>
    <row r="546" spans="62:78" ht="15.75" customHeight="1" x14ac:dyDescent="0.2">
      <c r="BJ546" s="463">
        <f t="shared" si="9"/>
        <v>539</v>
      </c>
      <c r="BZ546" s="467"/>
    </row>
    <row r="547" spans="62:78" ht="15.75" customHeight="1" x14ac:dyDescent="0.2">
      <c r="BJ547" s="463">
        <f t="shared" si="9"/>
        <v>540</v>
      </c>
      <c r="BZ547" s="467"/>
    </row>
    <row r="548" spans="62:78" ht="15.75" customHeight="1" x14ac:dyDescent="0.2">
      <c r="BJ548" s="463">
        <f t="shared" si="9"/>
        <v>541</v>
      </c>
      <c r="BZ548" s="467"/>
    </row>
    <row r="549" spans="62:78" ht="15.75" customHeight="1" x14ac:dyDescent="0.2">
      <c r="BJ549" s="463">
        <f t="shared" si="9"/>
        <v>542</v>
      </c>
      <c r="BZ549" s="467"/>
    </row>
    <row r="550" spans="62:78" ht="15.75" customHeight="1" x14ac:dyDescent="0.2">
      <c r="BJ550" s="463">
        <f t="shared" si="9"/>
        <v>543</v>
      </c>
      <c r="BZ550" s="467"/>
    </row>
    <row r="551" spans="62:78" ht="15.75" customHeight="1" x14ac:dyDescent="0.2">
      <c r="BJ551" s="463">
        <f t="shared" si="9"/>
        <v>544</v>
      </c>
      <c r="BZ551" s="467"/>
    </row>
    <row r="552" spans="62:78" ht="15.75" customHeight="1" x14ac:dyDescent="0.2">
      <c r="BJ552" s="463">
        <f t="shared" si="9"/>
        <v>545</v>
      </c>
      <c r="BZ552" s="467"/>
    </row>
    <row r="553" spans="62:78" ht="15.75" customHeight="1" x14ac:dyDescent="0.2">
      <c r="BJ553" s="463">
        <f t="shared" si="9"/>
        <v>546</v>
      </c>
      <c r="BZ553" s="467"/>
    </row>
    <row r="554" spans="62:78" ht="15.75" customHeight="1" x14ac:dyDescent="0.2">
      <c r="BJ554" s="463">
        <f t="shared" si="9"/>
        <v>547</v>
      </c>
      <c r="BZ554" s="467"/>
    </row>
    <row r="555" spans="62:78" ht="15.75" customHeight="1" x14ac:dyDescent="0.2">
      <c r="BJ555" s="463">
        <f t="shared" si="9"/>
        <v>548</v>
      </c>
      <c r="BZ555" s="467"/>
    </row>
    <row r="556" spans="62:78" ht="15.75" customHeight="1" x14ac:dyDescent="0.2">
      <c r="BJ556" s="463">
        <f t="shared" si="9"/>
        <v>549</v>
      </c>
      <c r="BZ556" s="467"/>
    </row>
    <row r="557" spans="62:78" ht="15.75" customHeight="1" x14ac:dyDescent="0.2">
      <c r="BJ557" s="463">
        <f t="shared" si="9"/>
        <v>550</v>
      </c>
      <c r="BZ557" s="467"/>
    </row>
    <row r="558" spans="62:78" ht="15.75" customHeight="1" x14ac:dyDescent="0.2">
      <c r="BJ558" s="463">
        <f t="shared" si="9"/>
        <v>551</v>
      </c>
      <c r="BZ558" s="467"/>
    </row>
    <row r="559" spans="62:78" ht="15.75" customHeight="1" x14ac:dyDescent="0.2">
      <c r="BJ559" s="463">
        <f t="shared" si="9"/>
        <v>552</v>
      </c>
      <c r="BZ559" s="467"/>
    </row>
    <row r="560" spans="62:78" ht="15.75" customHeight="1" x14ac:dyDescent="0.2">
      <c r="BJ560" s="463">
        <f t="shared" si="9"/>
        <v>553</v>
      </c>
      <c r="BZ560" s="467"/>
    </row>
    <row r="561" spans="62:78" ht="15.75" customHeight="1" x14ac:dyDescent="0.2">
      <c r="BJ561" s="463">
        <f t="shared" si="9"/>
        <v>554</v>
      </c>
      <c r="BZ561" s="467"/>
    </row>
    <row r="562" spans="62:78" ht="15.75" customHeight="1" x14ac:dyDescent="0.2">
      <c r="BJ562" s="463">
        <f t="shared" si="9"/>
        <v>555</v>
      </c>
      <c r="BZ562" s="467"/>
    </row>
    <row r="563" spans="62:78" ht="15.75" customHeight="1" x14ac:dyDescent="0.2">
      <c r="BJ563" s="463">
        <f t="shared" si="9"/>
        <v>556</v>
      </c>
      <c r="BZ563" s="467"/>
    </row>
    <row r="564" spans="62:78" ht="15.75" customHeight="1" x14ac:dyDescent="0.2">
      <c r="BJ564" s="463">
        <f t="shared" si="9"/>
        <v>557</v>
      </c>
      <c r="BZ564" s="467"/>
    </row>
    <row r="565" spans="62:78" ht="15.75" customHeight="1" x14ac:dyDescent="0.2">
      <c r="BJ565" s="463">
        <f t="shared" si="9"/>
        <v>558</v>
      </c>
      <c r="BZ565" s="467"/>
    </row>
    <row r="566" spans="62:78" ht="15.75" customHeight="1" x14ac:dyDescent="0.2">
      <c r="BJ566" s="463">
        <f t="shared" si="9"/>
        <v>559</v>
      </c>
      <c r="BZ566" s="467"/>
    </row>
    <row r="567" spans="62:78" ht="15.75" customHeight="1" x14ac:dyDescent="0.2">
      <c r="BJ567" s="463">
        <f t="shared" si="9"/>
        <v>560</v>
      </c>
      <c r="BZ567" s="467"/>
    </row>
    <row r="568" spans="62:78" ht="15.75" customHeight="1" x14ac:dyDescent="0.2">
      <c r="BJ568" s="463">
        <f t="shared" si="9"/>
        <v>561</v>
      </c>
      <c r="BZ568" s="467"/>
    </row>
    <row r="569" spans="62:78" ht="15.75" customHeight="1" x14ac:dyDescent="0.2">
      <c r="BJ569" s="463">
        <f t="shared" si="9"/>
        <v>562</v>
      </c>
      <c r="BZ569" s="467"/>
    </row>
    <row r="570" spans="62:78" ht="15.75" customHeight="1" x14ac:dyDescent="0.2">
      <c r="BJ570" s="463">
        <f t="shared" si="9"/>
        <v>563</v>
      </c>
      <c r="BZ570" s="467"/>
    </row>
    <row r="571" spans="62:78" ht="15.75" customHeight="1" x14ac:dyDescent="0.2">
      <c r="BJ571" s="463">
        <f t="shared" si="9"/>
        <v>564</v>
      </c>
      <c r="BZ571" s="467"/>
    </row>
    <row r="572" spans="62:78" ht="15.75" customHeight="1" x14ac:dyDescent="0.2">
      <c r="BJ572" s="463">
        <f t="shared" si="9"/>
        <v>565</v>
      </c>
      <c r="BZ572" s="467"/>
    </row>
    <row r="573" spans="62:78" ht="15.75" customHeight="1" x14ac:dyDescent="0.2">
      <c r="BJ573" s="463">
        <f t="shared" si="9"/>
        <v>566</v>
      </c>
      <c r="BZ573" s="467"/>
    </row>
    <row r="574" spans="62:78" ht="15.75" customHeight="1" x14ac:dyDescent="0.2">
      <c r="BJ574" s="463">
        <f t="shared" si="9"/>
        <v>567</v>
      </c>
      <c r="BZ574" s="467"/>
    </row>
    <row r="575" spans="62:78" ht="15.75" customHeight="1" x14ac:dyDescent="0.2">
      <c r="BJ575" s="463">
        <f t="shared" si="9"/>
        <v>568</v>
      </c>
      <c r="BZ575" s="467"/>
    </row>
    <row r="576" spans="62:78" ht="15.75" customHeight="1" x14ac:dyDescent="0.2">
      <c r="BJ576" s="463">
        <f t="shared" si="9"/>
        <v>569</v>
      </c>
      <c r="BZ576" s="467"/>
    </row>
    <row r="577" spans="62:78" ht="15.75" customHeight="1" x14ac:dyDescent="0.2">
      <c r="BJ577" s="463">
        <f t="shared" si="9"/>
        <v>570</v>
      </c>
      <c r="BZ577" s="467"/>
    </row>
    <row r="578" spans="62:78" ht="15.75" customHeight="1" x14ac:dyDescent="0.2">
      <c r="BJ578" s="463">
        <f t="shared" si="9"/>
        <v>571</v>
      </c>
      <c r="BZ578" s="467"/>
    </row>
    <row r="579" spans="62:78" ht="15.75" customHeight="1" x14ac:dyDescent="0.2">
      <c r="BJ579" s="463">
        <f t="shared" si="9"/>
        <v>572</v>
      </c>
      <c r="BZ579" s="467"/>
    </row>
    <row r="580" spans="62:78" ht="15.75" customHeight="1" x14ac:dyDescent="0.2">
      <c r="BJ580" s="463">
        <f t="shared" si="9"/>
        <v>573</v>
      </c>
      <c r="BZ580" s="467"/>
    </row>
    <row r="581" spans="62:78" ht="15.75" customHeight="1" x14ac:dyDescent="0.2">
      <c r="BJ581" s="463">
        <f t="shared" si="9"/>
        <v>574</v>
      </c>
      <c r="BZ581" s="467"/>
    </row>
    <row r="582" spans="62:78" ht="15.75" customHeight="1" x14ac:dyDescent="0.2">
      <c r="BJ582" s="463">
        <f t="shared" si="9"/>
        <v>575</v>
      </c>
      <c r="BZ582" s="467"/>
    </row>
    <row r="583" spans="62:78" ht="15.75" customHeight="1" x14ac:dyDescent="0.2">
      <c r="BJ583" s="463">
        <f t="shared" si="9"/>
        <v>576</v>
      </c>
      <c r="BZ583" s="467"/>
    </row>
    <row r="584" spans="62:78" ht="15.75" customHeight="1" x14ac:dyDescent="0.2">
      <c r="BJ584" s="463">
        <f t="shared" si="9"/>
        <v>577</v>
      </c>
      <c r="BZ584" s="467"/>
    </row>
    <row r="585" spans="62:78" ht="15.75" customHeight="1" x14ac:dyDescent="0.2">
      <c r="BJ585" s="463">
        <f t="shared" ref="BJ585:BJ648" si="10">BJ584+1</f>
        <v>578</v>
      </c>
      <c r="BZ585" s="467"/>
    </row>
    <row r="586" spans="62:78" ht="15.75" customHeight="1" x14ac:dyDescent="0.2">
      <c r="BJ586" s="463">
        <f t="shared" si="10"/>
        <v>579</v>
      </c>
      <c r="BZ586" s="467"/>
    </row>
    <row r="587" spans="62:78" ht="15.75" customHeight="1" x14ac:dyDescent="0.2">
      <c r="BJ587" s="463">
        <f t="shared" si="10"/>
        <v>580</v>
      </c>
      <c r="BZ587" s="467"/>
    </row>
    <row r="588" spans="62:78" ht="15.75" customHeight="1" x14ac:dyDescent="0.2">
      <c r="BJ588" s="463">
        <f t="shared" si="10"/>
        <v>581</v>
      </c>
      <c r="BZ588" s="467"/>
    </row>
    <row r="589" spans="62:78" ht="15.75" customHeight="1" x14ac:dyDescent="0.2">
      <c r="BJ589" s="463">
        <f t="shared" si="10"/>
        <v>582</v>
      </c>
      <c r="BZ589" s="467"/>
    </row>
    <row r="590" spans="62:78" ht="15.75" customHeight="1" x14ac:dyDescent="0.2">
      <c r="BJ590" s="463">
        <f t="shared" si="10"/>
        <v>583</v>
      </c>
      <c r="BZ590" s="467"/>
    </row>
    <row r="591" spans="62:78" ht="15.75" customHeight="1" x14ac:dyDescent="0.2">
      <c r="BJ591" s="463">
        <f t="shared" si="10"/>
        <v>584</v>
      </c>
      <c r="BZ591" s="467"/>
    </row>
    <row r="592" spans="62:78" ht="15.75" customHeight="1" x14ac:dyDescent="0.2">
      <c r="BJ592" s="463">
        <f t="shared" si="10"/>
        <v>585</v>
      </c>
      <c r="BZ592" s="467"/>
    </row>
    <row r="593" spans="62:78" ht="15.75" customHeight="1" x14ac:dyDescent="0.2">
      <c r="BJ593" s="463">
        <f t="shared" si="10"/>
        <v>586</v>
      </c>
      <c r="BZ593" s="467"/>
    </row>
    <row r="594" spans="62:78" ht="15.75" customHeight="1" x14ac:dyDescent="0.2">
      <c r="BJ594" s="463">
        <f t="shared" si="10"/>
        <v>587</v>
      </c>
      <c r="BZ594" s="467"/>
    </row>
    <row r="595" spans="62:78" ht="15.75" customHeight="1" x14ac:dyDescent="0.2">
      <c r="BJ595" s="463">
        <f t="shared" si="10"/>
        <v>588</v>
      </c>
      <c r="BZ595" s="467"/>
    </row>
    <row r="596" spans="62:78" ht="15.75" customHeight="1" x14ac:dyDescent="0.2">
      <c r="BJ596" s="463">
        <f t="shared" si="10"/>
        <v>589</v>
      </c>
      <c r="BZ596" s="467"/>
    </row>
    <row r="597" spans="62:78" ht="15.75" customHeight="1" x14ac:dyDescent="0.2">
      <c r="BJ597" s="463">
        <f t="shared" si="10"/>
        <v>590</v>
      </c>
      <c r="BZ597" s="467"/>
    </row>
    <row r="598" spans="62:78" ht="15.75" customHeight="1" x14ac:dyDescent="0.2">
      <c r="BJ598" s="463">
        <f t="shared" si="10"/>
        <v>591</v>
      </c>
      <c r="BZ598" s="467"/>
    </row>
    <row r="599" spans="62:78" ht="15.75" customHeight="1" x14ac:dyDescent="0.2">
      <c r="BJ599" s="463">
        <f t="shared" si="10"/>
        <v>592</v>
      </c>
      <c r="BZ599" s="467"/>
    </row>
    <row r="600" spans="62:78" ht="15.75" customHeight="1" x14ac:dyDescent="0.2">
      <c r="BJ600" s="463">
        <f t="shared" si="10"/>
        <v>593</v>
      </c>
      <c r="BZ600" s="467"/>
    </row>
    <row r="601" spans="62:78" ht="15.75" customHeight="1" x14ac:dyDescent="0.2">
      <c r="BJ601" s="463">
        <f t="shared" si="10"/>
        <v>594</v>
      </c>
      <c r="BZ601" s="467"/>
    </row>
    <row r="602" spans="62:78" ht="15.75" customHeight="1" x14ac:dyDescent="0.2">
      <c r="BJ602" s="463">
        <f t="shared" si="10"/>
        <v>595</v>
      </c>
      <c r="BZ602" s="467"/>
    </row>
    <row r="603" spans="62:78" ht="15.75" customHeight="1" x14ac:dyDescent="0.2">
      <c r="BJ603" s="463">
        <f t="shared" si="10"/>
        <v>596</v>
      </c>
      <c r="BZ603" s="467"/>
    </row>
    <row r="604" spans="62:78" ht="15.75" customHeight="1" x14ac:dyDescent="0.2">
      <c r="BJ604" s="463">
        <f t="shared" si="10"/>
        <v>597</v>
      </c>
      <c r="BZ604" s="467"/>
    </row>
    <row r="605" spans="62:78" ht="15.75" customHeight="1" x14ac:dyDescent="0.2">
      <c r="BJ605" s="463">
        <f t="shared" si="10"/>
        <v>598</v>
      </c>
      <c r="BZ605" s="467"/>
    </row>
    <row r="606" spans="62:78" ht="15.75" customHeight="1" x14ac:dyDescent="0.2">
      <c r="BJ606" s="463">
        <f t="shared" si="10"/>
        <v>599</v>
      </c>
      <c r="BZ606" s="467"/>
    </row>
    <row r="607" spans="62:78" ht="15.75" customHeight="1" x14ac:dyDescent="0.2">
      <c r="BJ607" s="463">
        <f t="shared" si="10"/>
        <v>600</v>
      </c>
      <c r="BZ607" s="467"/>
    </row>
    <row r="608" spans="62:78" ht="15.75" customHeight="1" x14ac:dyDescent="0.2">
      <c r="BJ608" s="463">
        <f t="shared" si="10"/>
        <v>601</v>
      </c>
      <c r="BZ608" s="467"/>
    </row>
    <row r="609" spans="62:78" ht="15.75" customHeight="1" x14ac:dyDescent="0.2">
      <c r="BJ609" s="463">
        <f t="shared" si="10"/>
        <v>602</v>
      </c>
      <c r="BZ609" s="467"/>
    </row>
    <row r="610" spans="62:78" ht="15.75" customHeight="1" x14ac:dyDescent="0.2">
      <c r="BJ610" s="463">
        <f t="shared" si="10"/>
        <v>603</v>
      </c>
      <c r="BZ610" s="467"/>
    </row>
    <row r="611" spans="62:78" ht="15.75" customHeight="1" x14ac:dyDescent="0.2">
      <c r="BJ611" s="463">
        <f t="shared" si="10"/>
        <v>604</v>
      </c>
      <c r="BZ611" s="467"/>
    </row>
    <row r="612" spans="62:78" ht="15.75" customHeight="1" x14ac:dyDescent="0.2">
      <c r="BJ612" s="463">
        <f t="shared" si="10"/>
        <v>605</v>
      </c>
      <c r="BZ612" s="467"/>
    </row>
    <row r="613" spans="62:78" ht="15.75" customHeight="1" x14ac:dyDescent="0.2">
      <c r="BJ613" s="463">
        <f t="shared" si="10"/>
        <v>606</v>
      </c>
      <c r="BZ613" s="467"/>
    </row>
    <row r="614" spans="62:78" ht="15.75" customHeight="1" x14ac:dyDescent="0.2">
      <c r="BJ614" s="463">
        <f t="shared" si="10"/>
        <v>607</v>
      </c>
      <c r="BZ614" s="467"/>
    </row>
    <row r="615" spans="62:78" ht="15.75" customHeight="1" x14ac:dyDescent="0.2">
      <c r="BJ615" s="463">
        <f t="shared" si="10"/>
        <v>608</v>
      </c>
      <c r="BZ615" s="467"/>
    </row>
    <row r="616" spans="62:78" ht="15.75" customHeight="1" x14ac:dyDescent="0.2">
      <c r="BJ616" s="463">
        <f t="shared" si="10"/>
        <v>609</v>
      </c>
      <c r="BZ616" s="467"/>
    </row>
    <row r="617" spans="62:78" ht="15.75" customHeight="1" x14ac:dyDescent="0.2">
      <c r="BJ617" s="463">
        <f t="shared" si="10"/>
        <v>610</v>
      </c>
      <c r="BZ617" s="467"/>
    </row>
    <row r="618" spans="62:78" ht="15.75" customHeight="1" x14ac:dyDescent="0.2">
      <c r="BJ618" s="463">
        <f t="shared" si="10"/>
        <v>611</v>
      </c>
      <c r="BZ618" s="467"/>
    </row>
    <row r="619" spans="62:78" ht="15.75" customHeight="1" x14ac:dyDescent="0.2">
      <c r="BJ619" s="463">
        <f t="shared" si="10"/>
        <v>612</v>
      </c>
      <c r="BZ619" s="467"/>
    </row>
    <row r="620" spans="62:78" ht="15.75" customHeight="1" x14ac:dyDescent="0.2">
      <c r="BJ620" s="463">
        <f t="shared" si="10"/>
        <v>613</v>
      </c>
      <c r="BZ620" s="467"/>
    </row>
    <row r="621" spans="62:78" ht="15.75" customHeight="1" x14ac:dyDescent="0.2">
      <c r="BJ621" s="463">
        <f t="shared" si="10"/>
        <v>614</v>
      </c>
      <c r="BZ621" s="467"/>
    </row>
    <row r="622" spans="62:78" ht="15.75" customHeight="1" x14ac:dyDescent="0.2">
      <c r="BJ622" s="463">
        <f t="shared" si="10"/>
        <v>615</v>
      </c>
      <c r="BZ622" s="467"/>
    </row>
    <row r="623" spans="62:78" ht="15.75" customHeight="1" x14ac:dyDescent="0.2">
      <c r="BJ623" s="463">
        <f t="shared" si="10"/>
        <v>616</v>
      </c>
      <c r="BZ623" s="467"/>
    </row>
    <row r="624" spans="62:78" ht="15.75" customHeight="1" x14ac:dyDescent="0.2">
      <c r="BJ624" s="463">
        <f t="shared" si="10"/>
        <v>617</v>
      </c>
      <c r="BZ624" s="467"/>
    </row>
    <row r="625" spans="62:78" ht="15.75" customHeight="1" x14ac:dyDescent="0.2">
      <c r="BJ625" s="463">
        <f t="shared" si="10"/>
        <v>618</v>
      </c>
      <c r="BZ625" s="467"/>
    </row>
    <row r="626" spans="62:78" ht="15.75" customHeight="1" x14ac:dyDescent="0.2">
      <c r="BJ626" s="463">
        <f t="shared" si="10"/>
        <v>619</v>
      </c>
      <c r="BZ626" s="467"/>
    </row>
    <row r="627" spans="62:78" ht="15.75" customHeight="1" x14ac:dyDescent="0.2">
      <c r="BJ627" s="463">
        <f t="shared" si="10"/>
        <v>620</v>
      </c>
      <c r="BZ627" s="467"/>
    </row>
    <row r="628" spans="62:78" ht="15.75" customHeight="1" x14ac:dyDescent="0.2">
      <c r="BJ628" s="463">
        <f t="shared" si="10"/>
        <v>621</v>
      </c>
      <c r="BZ628" s="467"/>
    </row>
    <row r="629" spans="62:78" ht="15.75" customHeight="1" x14ac:dyDescent="0.2">
      <c r="BJ629" s="463">
        <f t="shared" si="10"/>
        <v>622</v>
      </c>
      <c r="BZ629" s="467"/>
    </row>
    <row r="630" spans="62:78" ht="15.75" customHeight="1" x14ac:dyDescent="0.2">
      <c r="BJ630" s="463">
        <f t="shared" si="10"/>
        <v>623</v>
      </c>
      <c r="BZ630" s="467"/>
    </row>
    <row r="631" spans="62:78" ht="15.75" customHeight="1" x14ac:dyDescent="0.2">
      <c r="BJ631" s="463">
        <f t="shared" si="10"/>
        <v>624</v>
      </c>
      <c r="BZ631" s="467"/>
    </row>
    <row r="632" spans="62:78" ht="15.75" customHeight="1" x14ac:dyDescent="0.2">
      <c r="BJ632" s="463">
        <f t="shared" si="10"/>
        <v>625</v>
      </c>
      <c r="BZ632" s="467"/>
    </row>
    <row r="633" spans="62:78" ht="15.75" customHeight="1" x14ac:dyDescent="0.2">
      <c r="BJ633" s="463">
        <f t="shared" si="10"/>
        <v>626</v>
      </c>
      <c r="BZ633" s="467"/>
    </row>
    <row r="634" spans="62:78" ht="15.75" customHeight="1" x14ac:dyDescent="0.2">
      <c r="BJ634" s="463">
        <f t="shared" si="10"/>
        <v>627</v>
      </c>
      <c r="BZ634" s="467"/>
    </row>
    <row r="635" spans="62:78" ht="15.75" customHeight="1" x14ac:dyDescent="0.2">
      <c r="BJ635" s="463">
        <f t="shared" si="10"/>
        <v>628</v>
      </c>
      <c r="BZ635" s="467"/>
    </row>
    <row r="636" spans="62:78" ht="15.75" customHeight="1" x14ac:dyDescent="0.2">
      <c r="BJ636" s="463">
        <f t="shared" si="10"/>
        <v>629</v>
      </c>
      <c r="BZ636" s="467"/>
    </row>
    <row r="637" spans="62:78" ht="15.75" customHeight="1" x14ac:dyDescent="0.2">
      <c r="BJ637" s="463">
        <f t="shared" si="10"/>
        <v>630</v>
      </c>
      <c r="BZ637" s="467"/>
    </row>
    <row r="638" spans="62:78" ht="15.75" customHeight="1" x14ac:dyDescent="0.2">
      <c r="BJ638" s="463">
        <f t="shared" si="10"/>
        <v>631</v>
      </c>
      <c r="BZ638" s="467"/>
    </row>
    <row r="639" spans="62:78" ht="15.75" customHeight="1" x14ac:dyDescent="0.2">
      <c r="BJ639" s="463">
        <f t="shared" si="10"/>
        <v>632</v>
      </c>
      <c r="BZ639" s="467"/>
    </row>
    <row r="640" spans="62:78" ht="15.75" customHeight="1" x14ac:dyDescent="0.2">
      <c r="BJ640" s="463">
        <f t="shared" si="10"/>
        <v>633</v>
      </c>
      <c r="BZ640" s="467"/>
    </row>
    <row r="641" spans="62:78" ht="15.75" customHeight="1" x14ac:dyDescent="0.2">
      <c r="BJ641" s="463">
        <f t="shared" si="10"/>
        <v>634</v>
      </c>
      <c r="BZ641" s="467"/>
    </row>
    <row r="642" spans="62:78" ht="15.75" customHeight="1" x14ac:dyDescent="0.2">
      <c r="BJ642" s="463">
        <f t="shared" si="10"/>
        <v>635</v>
      </c>
      <c r="BZ642" s="467"/>
    </row>
    <row r="643" spans="62:78" ht="15.75" customHeight="1" x14ac:dyDescent="0.2">
      <c r="BJ643" s="463">
        <f t="shared" si="10"/>
        <v>636</v>
      </c>
      <c r="BZ643" s="467"/>
    </row>
    <row r="644" spans="62:78" ht="15.75" customHeight="1" x14ac:dyDescent="0.2">
      <c r="BJ644" s="463">
        <f t="shared" si="10"/>
        <v>637</v>
      </c>
      <c r="BZ644" s="467"/>
    </row>
    <row r="645" spans="62:78" ht="15.75" customHeight="1" x14ac:dyDescent="0.2">
      <c r="BJ645" s="463">
        <f t="shared" si="10"/>
        <v>638</v>
      </c>
      <c r="BZ645" s="467"/>
    </row>
    <row r="646" spans="62:78" ht="15.75" customHeight="1" x14ac:dyDescent="0.2">
      <c r="BJ646" s="463">
        <f t="shared" si="10"/>
        <v>639</v>
      </c>
      <c r="BZ646" s="467"/>
    </row>
    <row r="647" spans="62:78" ht="15.75" customHeight="1" x14ac:dyDescent="0.2">
      <c r="BJ647" s="463">
        <f t="shared" si="10"/>
        <v>640</v>
      </c>
      <c r="BZ647" s="467"/>
    </row>
    <row r="648" spans="62:78" ht="15.75" customHeight="1" x14ac:dyDescent="0.2">
      <c r="BJ648" s="463">
        <f t="shared" si="10"/>
        <v>641</v>
      </c>
      <c r="BZ648" s="467"/>
    </row>
    <row r="649" spans="62:78" ht="15.75" customHeight="1" x14ac:dyDescent="0.2">
      <c r="BJ649" s="463">
        <f t="shared" ref="BJ649:BJ712" si="11">BJ648+1</f>
        <v>642</v>
      </c>
      <c r="BZ649" s="467"/>
    </row>
    <row r="650" spans="62:78" ht="15.75" customHeight="1" x14ac:dyDescent="0.2">
      <c r="BJ650" s="463">
        <f t="shared" si="11"/>
        <v>643</v>
      </c>
      <c r="BZ650" s="467"/>
    </row>
    <row r="651" spans="62:78" ht="15.75" customHeight="1" x14ac:dyDescent="0.2">
      <c r="BJ651" s="463">
        <f t="shared" si="11"/>
        <v>644</v>
      </c>
      <c r="BZ651" s="467"/>
    </row>
    <row r="652" spans="62:78" ht="15.75" customHeight="1" x14ac:dyDescent="0.2">
      <c r="BJ652" s="463">
        <f t="shared" si="11"/>
        <v>645</v>
      </c>
      <c r="BZ652" s="467"/>
    </row>
    <row r="653" spans="62:78" ht="15.75" customHeight="1" x14ac:dyDescent="0.2">
      <c r="BJ653" s="463">
        <f t="shared" si="11"/>
        <v>646</v>
      </c>
      <c r="BZ653" s="467"/>
    </row>
    <row r="654" spans="62:78" ht="15.75" customHeight="1" x14ac:dyDescent="0.2">
      <c r="BJ654" s="463">
        <f t="shared" si="11"/>
        <v>647</v>
      </c>
      <c r="BZ654" s="467"/>
    </row>
    <row r="655" spans="62:78" ht="15.75" customHeight="1" x14ac:dyDescent="0.2">
      <c r="BJ655" s="463">
        <f t="shared" si="11"/>
        <v>648</v>
      </c>
      <c r="BZ655" s="467"/>
    </row>
    <row r="656" spans="62:78" ht="15.75" customHeight="1" x14ac:dyDescent="0.2">
      <c r="BJ656" s="463">
        <f t="shared" si="11"/>
        <v>649</v>
      </c>
      <c r="BZ656" s="467"/>
    </row>
    <row r="657" spans="62:78" ht="15.75" customHeight="1" x14ac:dyDescent="0.2">
      <c r="BJ657" s="463">
        <f t="shared" si="11"/>
        <v>650</v>
      </c>
      <c r="BZ657" s="467"/>
    </row>
    <row r="658" spans="62:78" ht="15.75" customHeight="1" x14ac:dyDescent="0.2">
      <c r="BJ658" s="463">
        <f t="shared" si="11"/>
        <v>651</v>
      </c>
      <c r="BZ658" s="467"/>
    </row>
    <row r="659" spans="62:78" ht="15.75" customHeight="1" x14ac:dyDescent="0.2">
      <c r="BJ659" s="463">
        <f t="shared" si="11"/>
        <v>652</v>
      </c>
      <c r="BZ659" s="467"/>
    </row>
    <row r="660" spans="62:78" ht="15.75" customHeight="1" x14ac:dyDescent="0.2">
      <c r="BJ660" s="463">
        <f t="shared" si="11"/>
        <v>653</v>
      </c>
      <c r="BZ660" s="467"/>
    </row>
    <row r="661" spans="62:78" ht="15.75" customHeight="1" x14ac:dyDescent="0.2">
      <c r="BJ661" s="463">
        <f t="shared" si="11"/>
        <v>654</v>
      </c>
      <c r="BZ661" s="467"/>
    </row>
    <row r="662" spans="62:78" ht="15.75" customHeight="1" x14ac:dyDescent="0.2">
      <c r="BJ662" s="463">
        <f t="shared" si="11"/>
        <v>655</v>
      </c>
      <c r="BZ662" s="467"/>
    </row>
    <row r="663" spans="62:78" ht="15.75" customHeight="1" x14ac:dyDescent="0.2">
      <c r="BJ663" s="463">
        <f t="shared" si="11"/>
        <v>656</v>
      </c>
      <c r="BZ663" s="467"/>
    </row>
    <row r="664" spans="62:78" ht="15.75" customHeight="1" x14ac:dyDescent="0.2">
      <c r="BJ664" s="463">
        <f t="shared" si="11"/>
        <v>657</v>
      </c>
      <c r="BZ664" s="467"/>
    </row>
    <row r="665" spans="62:78" ht="15.75" customHeight="1" x14ac:dyDescent="0.2">
      <c r="BJ665" s="463">
        <f t="shared" si="11"/>
        <v>658</v>
      </c>
      <c r="BZ665" s="467"/>
    </row>
    <row r="666" spans="62:78" ht="15.75" customHeight="1" x14ac:dyDescent="0.2">
      <c r="BJ666" s="463">
        <f t="shared" si="11"/>
        <v>659</v>
      </c>
      <c r="BZ666" s="467"/>
    </row>
    <row r="667" spans="62:78" ht="15.75" customHeight="1" x14ac:dyDescent="0.2">
      <c r="BJ667" s="463">
        <f t="shared" si="11"/>
        <v>660</v>
      </c>
      <c r="BZ667" s="467"/>
    </row>
    <row r="668" spans="62:78" ht="15.75" customHeight="1" x14ac:dyDescent="0.2">
      <c r="BJ668" s="463">
        <f t="shared" si="11"/>
        <v>661</v>
      </c>
      <c r="BZ668" s="467"/>
    </row>
    <row r="669" spans="62:78" ht="15.75" customHeight="1" x14ac:dyDescent="0.2">
      <c r="BJ669" s="463">
        <f t="shared" si="11"/>
        <v>662</v>
      </c>
      <c r="BZ669" s="467"/>
    </row>
    <row r="670" spans="62:78" ht="15.75" customHeight="1" x14ac:dyDescent="0.2">
      <c r="BJ670" s="463">
        <f t="shared" si="11"/>
        <v>663</v>
      </c>
      <c r="BZ670" s="467"/>
    </row>
    <row r="671" spans="62:78" ht="15.75" customHeight="1" x14ac:dyDescent="0.2">
      <c r="BJ671" s="463">
        <f t="shared" si="11"/>
        <v>664</v>
      </c>
      <c r="BZ671" s="467"/>
    </row>
    <row r="672" spans="62:78" ht="15.75" customHeight="1" x14ac:dyDescent="0.2">
      <c r="BJ672" s="463">
        <f t="shared" si="11"/>
        <v>665</v>
      </c>
      <c r="BZ672" s="467"/>
    </row>
    <row r="673" spans="62:78" ht="15.75" customHeight="1" x14ac:dyDescent="0.2">
      <c r="BJ673" s="463">
        <f t="shared" si="11"/>
        <v>666</v>
      </c>
      <c r="BZ673" s="467"/>
    </row>
    <row r="674" spans="62:78" ht="15.75" customHeight="1" x14ac:dyDescent="0.2">
      <c r="BJ674" s="463">
        <f t="shared" si="11"/>
        <v>667</v>
      </c>
      <c r="BZ674" s="467"/>
    </row>
    <row r="675" spans="62:78" ht="15.75" customHeight="1" x14ac:dyDescent="0.2">
      <c r="BJ675" s="463">
        <f t="shared" si="11"/>
        <v>668</v>
      </c>
      <c r="BZ675" s="467"/>
    </row>
    <row r="676" spans="62:78" ht="15.75" customHeight="1" x14ac:dyDescent="0.2">
      <c r="BJ676" s="463">
        <f t="shared" si="11"/>
        <v>669</v>
      </c>
      <c r="BZ676" s="467"/>
    </row>
    <row r="677" spans="62:78" ht="15.75" customHeight="1" x14ac:dyDescent="0.2">
      <c r="BJ677" s="463">
        <f t="shared" si="11"/>
        <v>670</v>
      </c>
      <c r="BZ677" s="467"/>
    </row>
    <row r="678" spans="62:78" ht="15.75" customHeight="1" x14ac:dyDescent="0.2">
      <c r="BJ678" s="463">
        <f t="shared" si="11"/>
        <v>671</v>
      </c>
      <c r="BZ678" s="467"/>
    </row>
    <row r="679" spans="62:78" ht="15.75" customHeight="1" x14ac:dyDescent="0.2">
      <c r="BJ679" s="463">
        <f t="shared" si="11"/>
        <v>672</v>
      </c>
      <c r="BZ679" s="467"/>
    </row>
    <row r="680" spans="62:78" ht="15.75" customHeight="1" x14ac:dyDescent="0.2">
      <c r="BJ680" s="463">
        <f t="shared" si="11"/>
        <v>673</v>
      </c>
      <c r="BZ680" s="467"/>
    </row>
    <row r="681" spans="62:78" ht="15.75" customHeight="1" x14ac:dyDescent="0.2">
      <c r="BJ681" s="463">
        <f t="shared" si="11"/>
        <v>674</v>
      </c>
      <c r="BZ681" s="467"/>
    </row>
    <row r="682" spans="62:78" ht="15.75" customHeight="1" x14ac:dyDescent="0.2">
      <c r="BJ682" s="463">
        <f t="shared" si="11"/>
        <v>675</v>
      </c>
      <c r="BZ682" s="467"/>
    </row>
    <row r="683" spans="62:78" ht="15.75" customHeight="1" x14ac:dyDescent="0.2">
      <c r="BJ683" s="463">
        <f t="shared" si="11"/>
        <v>676</v>
      </c>
      <c r="BZ683" s="467"/>
    </row>
    <row r="684" spans="62:78" ht="15.75" customHeight="1" x14ac:dyDescent="0.2">
      <c r="BJ684" s="463">
        <f t="shared" si="11"/>
        <v>677</v>
      </c>
      <c r="BZ684" s="467"/>
    </row>
    <row r="685" spans="62:78" ht="15.75" customHeight="1" x14ac:dyDescent="0.2">
      <c r="BJ685" s="463">
        <f t="shared" si="11"/>
        <v>678</v>
      </c>
      <c r="BZ685" s="467"/>
    </row>
    <row r="686" spans="62:78" ht="15.75" customHeight="1" x14ac:dyDescent="0.2">
      <c r="BJ686" s="463">
        <f t="shared" si="11"/>
        <v>679</v>
      </c>
      <c r="BZ686" s="467"/>
    </row>
    <row r="687" spans="62:78" ht="15.75" customHeight="1" x14ac:dyDescent="0.2">
      <c r="BJ687" s="463">
        <f t="shared" si="11"/>
        <v>680</v>
      </c>
      <c r="BZ687" s="467"/>
    </row>
    <row r="688" spans="62:78" ht="15.75" customHeight="1" x14ac:dyDescent="0.2">
      <c r="BJ688" s="463">
        <f t="shared" si="11"/>
        <v>681</v>
      </c>
      <c r="BZ688" s="467"/>
    </row>
    <row r="689" spans="62:78" ht="15.75" customHeight="1" x14ac:dyDescent="0.2">
      <c r="BJ689" s="463">
        <f t="shared" si="11"/>
        <v>682</v>
      </c>
      <c r="BZ689" s="467"/>
    </row>
    <row r="690" spans="62:78" ht="15.75" customHeight="1" x14ac:dyDescent="0.2">
      <c r="BJ690" s="463">
        <f t="shared" si="11"/>
        <v>683</v>
      </c>
      <c r="BZ690" s="467"/>
    </row>
    <row r="691" spans="62:78" ht="15.75" customHeight="1" x14ac:dyDescent="0.2">
      <c r="BJ691" s="463">
        <f t="shared" si="11"/>
        <v>684</v>
      </c>
      <c r="BZ691" s="467"/>
    </row>
    <row r="692" spans="62:78" ht="15.75" customHeight="1" x14ac:dyDescent="0.2">
      <c r="BJ692" s="463">
        <f t="shared" si="11"/>
        <v>685</v>
      </c>
      <c r="BZ692" s="467"/>
    </row>
    <row r="693" spans="62:78" ht="15.75" customHeight="1" x14ac:dyDescent="0.2">
      <c r="BJ693" s="463">
        <f t="shared" si="11"/>
        <v>686</v>
      </c>
      <c r="BZ693" s="467"/>
    </row>
    <row r="694" spans="62:78" ht="15.75" customHeight="1" x14ac:dyDescent="0.2">
      <c r="BJ694" s="463">
        <f t="shared" si="11"/>
        <v>687</v>
      </c>
      <c r="BZ694" s="467"/>
    </row>
    <row r="695" spans="62:78" ht="15.75" customHeight="1" x14ac:dyDescent="0.2">
      <c r="BJ695" s="463">
        <f t="shared" si="11"/>
        <v>688</v>
      </c>
      <c r="BZ695" s="467"/>
    </row>
    <row r="696" spans="62:78" ht="15.75" customHeight="1" x14ac:dyDescent="0.2">
      <c r="BJ696" s="463">
        <f t="shared" si="11"/>
        <v>689</v>
      </c>
      <c r="BZ696" s="467"/>
    </row>
    <row r="697" spans="62:78" ht="15.75" customHeight="1" x14ac:dyDescent="0.2">
      <c r="BJ697" s="463">
        <f t="shared" si="11"/>
        <v>690</v>
      </c>
      <c r="BZ697" s="467"/>
    </row>
    <row r="698" spans="62:78" ht="15.75" customHeight="1" x14ac:dyDescent="0.2">
      <c r="BJ698" s="463">
        <f t="shared" si="11"/>
        <v>691</v>
      </c>
      <c r="BZ698" s="467"/>
    </row>
    <row r="699" spans="62:78" ht="15.75" customHeight="1" x14ac:dyDescent="0.2">
      <c r="BJ699" s="463">
        <f t="shared" si="11"/>
        <v>692</v>
      </c>
      <c r="BZ699" s="467"/>
    </row>
    <row r="700" spans="62:78" ht="15.75" customHeight="1" x14ac:dyDescent="0.2">
      <c r="BJ700" s="463">
        <f t="shared" si="11"/>
        <v>693</v>
      </c>
      <c r="BZ700" s="467"/>
    </row>
    <row r="701" spans="62:78" ht="15.75" customHeight="1" x14ac:dyDescent="0.2">
      <c r="BJ701" s="463">
        <f t="shared" si="11"/>
        <v>694</v>
      </c>
      <c r="BZ701" s="467"/>
    </row>
    <row r="702" spans="62:78" ht="15.75" customHeight="1" x14ac:dyDescent="0.2">
      <c r="BJ702" s="463">
        <f t="shared" si="11"/>
        <v>695</v>
      </c>
      <c r="BZ702" s="467"/>
    </row>
    <row r="703" spans="62:78" ht="15.75" customHeight="1" x14ac:dyDescent="0.2">
      <c r="BJ703" s="463">
        <f t="shared" si="11"/>
        <v>696</v>
      </c>
      <c r="BZ703" s="467"/>
    </row>
    <row r="704" spans="62:78" ht="15.75" customHeight="1" x14ac:dyDescent="0.2">
      <c r="BJ704" s="463">
        <f t="shared" si="11"/>
        <v>697</v>
      </c>
      <c r="BZ704" s="467"/>
    </row>
    <row r="705" spans="62:78" ht="15.75" customHeight="1" x14ac:dyDescent="0.2">
      <c r="BJ705" s="463">
        <f t="shared" si="11"/>
        <v>698</v>
      </c>
      <c r="BZ705" s="467"/>
    </row>
    <row r="706" spans="62:78" ht="15.75" customHeight="1" x14ac:dyDescent="0.2">
      <c r="BJ706" s="463">
        <f t="shared" si="11"/>
        <v>699</v>
      </c>
      <c r="BZ706" s="467"/>
    </row>
    <row r="707" spans="62:78" ht="15.75" customHeight="1" x14ac:dyDescent="0.2">
      <c r="BJ707" s="463">
        <f t="shared" si="11"/>
        <v>700</v>
      </c>
      <c r="BZ707" s="467"/>
    </row>
    <row r="708" spans="62:78" ht="15.75" customHeight="1" x14ac:dyDescent="0.2">
      <c r="BJ708" s="463">
        <f t="shared" si="11"/>
        <v>701</v>
      </c>
      <c r="BZ708" s="467"/>
    </row>
    <row r="709" spans="62:78" ht="15.75" customHeight="1" x14ac:dyDescent="0.2">
      <c r="BJ709" s="463">
        <f t="shared" si="11"/>
        <v>702</v>
      </c>
      <c r="BZ709" s="467"/>
    </row>
    <row r="710" spans="62:78" ht="15.75" customHeight="1" x14ac:dyDescent="0.2">
      <c r="BJ710" s="463">
        <f t="shared" si="11"/>
        <v>703</v>
      </c>
      <c r="BZ710" s="467"/>
    </row>
    <row r="711" spans="62:78" ht="15.75" customHeight="1" x14ac:dyDescent="0.2">
      <c r="BJ711" s="463">
        <f t="shared" si="11"/>
        <v>704</v>
      </c>
      <c r="BZ711" s="467"/>
    </row>
    <row r="712" spans="62:78" ht="15.75" customHeight="1" x14ac:dyDescent="0.2">
      <c r="BJ712" s="463">
        <f t="shared" si="11"/>
        <v>705</v>
      </c>
      <c r="BZ712" s="467"/>
    </row>
    <row r="713" spans="62:78" ht="15.75" customHeight="1" x14ac:dyDescent="0.2">
      <c r="BJ713" s="463">
        <f t="shared" ref="BJ713:BJ776" si="12">BJ712+1</f>
        <v>706</v>
      </c>
      <c r="BZ713" s="467"/>
    </row>
    <row r="714" spans="62:78" ht="15.75" customHeight="1" x14ac:dyDescent="0.2">
      <c r="BJ714" s="463">
        <f t="shared" si="12"/>
        <v>707</v>
      </c>
      <c r="BZ714" s="467"/>
    </row>
    <row r="715" spans="62:78" ht="15.75" customHeight="1" x14ac:dyDescent="0.2">
      <c r="BJ715" s="463">
        <f t="shared" si="12"/>
        <v>708</v>
      </c>
      <c r="BZ715" s="467"/>
    </row>
    <row r="716" spans="62:78" ht="15.75" customHeight="1" x14ac:dyDescent="0.2">
      <c r="BJ716" s="463">
        <f t="shared" si="12"/>
        <v>709</v>
      </c>
      <c r="BZ716" s="467"/>
    </row>
    <row r="717" spans="62:78" ht="15.75" customHeight="1" x14ac:dyDescent="0.2">
      <c r="BJ717" s="463">
        <f t="shared" si="12"/>
        <v>710</v>
      </c>
      <c r="BZ717" s="467"/>
    </row>
    <row r="718" spans="62:78" ht="15.75" customHeight="1" x14ac:dyDescent="0.2">
      <c r="BJ718" s="463">
        <f t="shared" si="12"/>
        <v>711</v>
      </c>
      <c r="BZ718" s="467"/>
    </row>
    <row r="719" spans="62:78" ht="15.75" customHeight="1" x14ac:dyDescent="0.2">
      <c r="BJ719" s="463">
        <f t="shared" si="12"/>
        <v>712</v>
      </c>
      <c r="BZ719" s="467"/>
    </row>
    <row r="720" spans="62:78" ht="15.75" customHeight="1" x14ac:dyDescent="0.2">
      <c r="BJ720" s="463">
        <f t="shared" si="12"/>
        <v>713</v>
      </c>
      <c r="BZ720" s="467"/>
    </row>
    <row r="721" spans="62:78" ht="15.75" customHeight="1" x14ac:dyDescent="0.2">
      <c r="BJ721" s="463">
        <f t="shared" si="12"/>
        <v>714</v>
      </c>
      <c r="BZ721" s="467"/>
    </row>
    <row r="722" spans="62:78" ht="15.75" customHeight="1" x14ac:dyDescent="0.2">
      <c r="BJ722" s="463">
        <f t="shared" si="12"/>
        <v>715</v>
      </c>
      <c r="BZ722" s="467"/>
    </row>
    <row r="723" spans="62:78" ht="15.75" customHeight="1" x14ac:dyDescent="0.2">
      <c r="BJ723" s="463">
        <f t="shared" si="12"/>
        <v>716</v>
      </c>
      <c r="BZ723" s="467"/>
    </row>
    <row r="724" spans="62:78" ht="15.75" customHeight="1" x14ac:dyDescent="0.2">
      <c r="BJ724" s="463">
        <f t="shared" si="12"/>
        <v>717</v>
      </c>
      <c r="BZ724" s="467"/>
    </row>
    <row r="725" spans="62:78" ht="15.75" customHeight="1" x14ac:dyDescent="0.2">
      <c r="BJ725" s="463">
        <f t="shared" si="12"/>
        <v>718</v>
      </c>
      <c r="BZ725" s="467"/>
    </row>
    <row r="726" spans="62:78" ht="15.75" customHeight="1" x14ac:dyDescent="0.2">
      <c r="BJ726" s="463">
        <f t="shared" si="12"/>
        <v>719</v>
      </c>
      <c r="BZ726" s="467"/>
    </row>
    <row r="727" spans="62:78" ht="15.75" customHeight="1" x14ac:dyDescent="0.2">
      <c r="BJ727" s="463">
        <f t="shared" si="12"/>
        <v>720</v>
      </c>
      <c r="BZ727" s="467"/>
    </row>
    <row r="728" spans="62:78" ht="15.75" customHeight="1" x14ac:dyDescent="0.2">
      <c r="BJ728" s="463">
        <f t="shared" si="12"/>
        <v>721</v>
      </c>
      <c r="BZ728" s="467"/>
    </row>
    <row r="729" spans="62:78" ht="15.75" customHeight="1" x14ac:dyDescent="0.2">
      <c r="BJ729" s="463">
        <f t="shared" si="12"/>
        <v>722</v>
      </c>
      <c r="BZ729" s="467"/>
    </row>
    <row r="730" spans="62:78" ht="15.75" customHeight="1" x14ac:dyDescent="0.2">
      <c r="BJ730" s="463">
        <f t="shared" si="12"/>
        <v>723</v>
      </c>
      <c r="BZ730" s="467"/>
    </row>
    <row r="731" spans="62:78" ht="15.75" customHeight="1" x14ac:dyDescent="0.2">
      <c r="BJ731" s="463">
        <f t="shared" si="12"/>
        <v>724</v>
      </c>
      <c r="BZ731" s="467"/>
    </row>
    <row r="732" spans="62:78" ht="15.75" customHeight="1" x14ac:dyDescent="0.2">
      <c r="BJ732" s="463">
        <f t="shared" si="12"/>
        <v>725</v>
      </c>
      <c r="BZ732" s="467"/>
    </row>
    <row r="733" spans="62:78" ht="15.75" customHeight="1" x14ac:dyDescent="0.2">
      <c r="BJ733" s="463">
        <f t="shared" si="12"/>
        <v>726</v>
      </c>
      <c r="BZ733" s="467"/>
    </row>
    <row r="734" spans="62:78" ht="15.75" customHeight="1" x14ac:dyDescent="0.2">
      <c r="BJ734" s="463">
        <f t="shared" si="12"/>
        <v>727</v>
      </c>
      <c r="BZ734" s="467"/>
    </row>
    <row r="735" spans="62:78" ht="15.75" customHeight="1" x14ac:dyDescent="0.2">
      <c r="BJ735" s="463">
        <f t="shared" si="12"/>
        <v>728</v>
      </c>
      <c r="BZ735" s="467"/>
    </row>
    <row r="736" spans="62:78" ht="15.75" customHeight="1" x14ac:dyDescent="0.2">
      <c r="BJ736" s="463">
        <f t="shared" si="12"/>
        <v>729</v>
      </c>
      <c r="BZ736" s="467"/>
    </row>
    <row r="737" spans="62:78" ht="15.75" customHeight="1" x14ac:dyDescent="0.2">
      <c r="BJ737" s="463">
        <f t="shared" si="12"/>
        <v>730</v>
      </c>
      <c r="BZ737" s="467"/>
    </row>
    <row r="738" spans="62:78" ht="15.75" customHeight="1" x14ac:dyDescent="0.2">
      <c r="BJ738" s="463">
        <f t="shared" si="12"/>
        <v>731</v>
      </c>
      <c r="BZ738" s="467"/>
    </row>
    <row r="739" spans="62:78" ht="15.75" customHeight="1" x14ac:dyDescent="0.2">
      <c r="BJ739" s="463">
        <f t="shared" si="12"/>
        <v>732</v>
      </c>
      <c r="BZ739" s="467"/>
    </row>
    <row r="740" spans="62:78" ht="15.75" customHeight="1" x14ac:dyDescent="0.2">
      <c r="BJ740" s="463">
        <f t="shared" si="12"/>
        <v>733</v>
      </c>
      <c r="BZ740" s="467"/>
    </row>
    <row r="741" spans="62:78" ht="15.75" customHeight="1" x14ac:dyDescent="0.2">
      <c r="BJ741" s="463">
        <f t="shared" si="12"/>
        <v>734</v>
      </c>
      <c r="BZ741" s="467"/>
    </row>
    <row r="742" spans="62:78" ht="15.75" customHeight="1" x14ac:dyDescent="0.2">
      <c r="BJ742" s="463">
        <f t="shared" si="12"/>
        <v>735</v>
      </c>
      <c r="BZ742" s="467"/>
    </row>
    <row r="743" spans="62:78" ht="15.75" customHeight="1" x14ac:dyDescent="0.2">
      <c r="BJ743" s="463">
        <f t="shared" si="12"/>
        <v>736</v>
      </c>
      <c r="BZ743" s="467"/>
    </row>
    <row r="744" spans="62:78" ht="15.75" customHeight="1" x14ac:dyDescent="0.2">
      <c r="BJ744" s="463">
        <f t="shared" si="12"/>
        <v>737</v>
      </c>
      <c r="BZ744" s="467"/>
    </row>
    <row r="745" spans="62:78" ht="15.75" customHeight="1" x14ac:dyDescent="0.2">
      <c r="BJ745" s="463">
        <f t="shared" si="12"/>
        <v>738</v>
      </c>
      <c r="BZ745" s="467"/>
    </row>
    <row r="746" spans="62:78" ht="15.75" customHeight="1" x14ac:dyDescent="0.2">
      <c r="BJ746" s="463">
        <f t="shared" si="12"/>
        <v>739</v>
      </c>
      <c r="BZ746" s="467"/>
    </row>
    <row r="747" spans="62:78" ht="15.75" customHeight="1" x14ac:dyDescent="0.2">
      <c r="BJ747" s="463">
        <f t="shared" si="12"/>
        <v>740</v>
      </c>
      <c r="BZ747" s="467"/>
    </row>
    <row r="748" spans="62:78" ht="15.75" customHeight="1" x14ac:dyDescent="0.2">
      <c r="BJ748" s="463">
        <f t="shared" si="12"/>
        <v>741</v>
      </c>
      <c r="BZ748" s="467"/>
    </row>
    <row r="749" spans="62:78" ht="15.75" customHeight="1" x14ac:dyDescent="0.2">
      <c r="BJ749" s="463">
        <f t="shared" si="12"/>
        <v>742</v>
      </c>
      <c r="BZ749" s="467"/>
    </row>
    <row r="750" spans="62:78" ht="15.75" customHeight="1" x14ac:dyDescent="0.2">
      <c r="BJ750" s="463">
        <f t="shared" si="12"/>
        <v>743</v>
      </c>
      <c r="BZ750" s="467"/>
    </row>
    <row r="751" spans="62:78" ht="15.75" customHeight="1" x14ac:dyDescent="0.2">
      <c r="BJ751" s="463">
        <f t="shared" si="12"/>
        <v>744</v>
      </c>
      <c r="BZ751" s="467"/>
    </row>
    <row r="752" spans="62:78" ht="15.75" customHeight="1" x14ac:dyDescent="0.2">
      <c r="BJ752" s="463">
        <f t="shared" si="12"/>
        <v>745</v>
      </c>
      <c r="BZ752" s="467"/>
    </row>
    <row r="753" spans="62:78" ht="15.75" customHeight="1" x14ac:dyDescent="0.2">
      <c r="BJ753" s="463">
        <f t="shared" si="12"/>
        <v>746</v>
      </c>
      <c r="BZ753" s="467"/>
    </row>
    <row r="754" spans="62:78" ht="15.75" customHeight="1" x14ac:dyDescent="0.2">
      <c r="BJ754" s="463">
        <f t="shared" si="12"/>
        <v>747</v>
      </c>
      <c r="BZ754" s="467"/>
    </row>
    <row r="755" spans="62:78" ht="15.75" customHeight="1" x14ac:dyDescent="0.2">
      <c r="BJ755" s="463">
        <f t="shared" si="12"/>
        <v>748</v>
      </c>
      <c r="BZ755" s="467"/>
    </row>
    <row r="756" spans="62:78" ht="15.75" customHeight="1" x14ac:dyDescent="0.2">
      <c r="BJ756" s="463">
        <f t="shared" si="12"/>
        <v>749</v>
      </c>
      <c r="BZ756" s="467"/>
    </row>
    <row r="757" spans="62:78" ht="15.75" customHeight="1" x14ac:dyDescent="0.2">
      <c r="BJ757" s="463">
        <f t="shared" si="12"/>
        <v>750</v>
      </c>
      <c r="BZ757" s="467"/>
    </row>
    <row r="758" spans="62:78" ht="15.75" customHeight="1" x14ac:dyDescent="0.2">
      <c r="BJ758" s="463">
        <f t="shared" si="12"/>
        <v>751</v>
      </c>
      <c r="BZ758" s="467"/>
    </row>
    <row r="759" spans="62:78" ht="15.75" customHeight="1" x14ac:dyDescent="0.2">
      <c r="BJ759" s="463">
        <f t="shared" si="12"/>
        <v>752</v>
      </c>
      <c r="BZ759" s="467"/>
    </row>
    <row r="760" spans="62:78" ht="15.75" customHeight="1" x14ac:dyDescent="0.2">
      <c r="BJ760" s="463">
        <f t="shared" si="12"/>
        <v>753</v>
      </c>
      <c r="BZ760" s="467"/>
    </row>
    <row r="761" spans="62:78" ht="15.75" customHeight="1" x14ac:dyDescent="0.2">
      <c r="BJ761" s="463">
        <f t="shared" si="12"/>
        <v>754</v>
      </c>
      <c r="BZ761" s="467"/>
    </row>
    <row r="762" spans="62:78" ht="15.75" customHeight="1" x14ac:dyDescent="0.2">
      <c r="BJ762" s="463">
        <f t="shared" si="12"/>
        <v>755</v>
      </c>
      <c r="BZ762" s="467"/>
    </row>
    <row r="763" spans="62:78" ht="15.75" customHeight="1" x14ac:dyDescent="0.2">
      <c r="BJ763" s="463">
        <f t="shared" si="12"/>
        <v>756</v>
      </c>
      <c r="BZ763" s="467"/>
    </row>
    <row r="764" spans="62:78" ht="15.75" customHeight="1" x14ac:dyDescent="0.2">
      <c r="BJ764" s="463">
        <f t="shared" si="12"/>
        <v>757</v>
      </c>
      <c r="BZ764" s="467"/>
    </row>
    <row r="765" spans="62:78" ht="15.75" customHeight="1" x14ac:dyDescent="0.2">
      <c r="BJ765" s="463">
        <f t="shared" si="12"/>
        <v>758</v>
      </c>
      <c r="BZ765" s="467"/>
    </row>
    <row r="766" spans="62:78" ht="15.75" customHeight="1" x14ac:dyDescent="0.2">
      <c r="BJ766" s="463">
        <f t="shared" si="12"/>
        <v>759</v>
      </c>
      <c r="BZ766" s="467"/>
    </row>
    <row r="767" spans="62:78" ht="15.75" customHeight="1" x14ac:dyDescent="0.2">
      <c r="BJ767" s="463">
        <f t="shared" si="12"/>
        <v>760</v>
      </c>
      <c r="BZ767" s="467"/>
    </row>
    <row r="768" spans="62:78" ht="15.75" customHeight="1" x14ac:dyDescent="0.2">
      <c r="BJ768" s="463">
        <f t="shared" si="12"/>
        <v>761</v>
      </c>
      <c r="BZ768" s="467"/>
    </row>
    <row r="769" spans="62:78" ht="15.75" customHeight="1" x14ac:dyDescent="0.2">
      <c r="BJ769" s="463">
        <f t="shared" si="12"/>
        <v>762</v>
      </c>
      <c r="BZ769" s="467"/>
    </row>
    <row r="770" spans="62:78" ht="15.75" customHeight="1" x14ac:dyDescent="0.2">
      <c r="BJ770" s="463">
        <f t="shared" si="12"/>
        <v>763</v>
      </c>
      <c r="BZ770" s="467"/>
    </row>
    <row r="771" spans="62:78" ht="15.75" customHeight="1" x14ac:dyDescent="0.2">
      <c r="BJ771" s="463">
        <f t="shared" si="12"/>
        <v>764</v>
      </c>
      <c r="BZ771" s="467"/>
    </row>
    <row r="772" spans="62:78" ht="15.75" customHeight="1" x14ac:dyDescent="0.2">
      <c r="BJ772" s="463">
        <f t="shared" si="12"/>
        <v>765</v>
      </c>
      <c r="BZ772" s="467"/>
    </row>
    <row r="773" spans="62:78" ht="15.75" customHeight="1" x14ac:dyDescent="0.2">
      <c r="BJ773" s="463">
        <f t="shared" si="12"/>
        <v>766</v>
      </c>
      <c r="BZ773" s="467"/>
    </row>
    <row r="774" spans="62:78" ht="15.75" customHeight="1" x14ac:dyDescent="0.2">
      <c r="BJ774" s="463">
        <f t="shared" si="12"/>
        <v>767</v>
      </c>
      <c r="BZ774" s="467"/>
    </row>
    <row r="775" spans="62:78" ht="15.75" customHeight="1" x14ac:dyDescent="0.2">
      <c r="BJ775" s="463">
        <f t="shared" si="12"/>
        <v>768</v>
      </c>
      <c r="BZ775" s="467"/>
    </row>
    <row r="776" spans="62:78" ht="15.75" customHeight="1" x14ac:dyDescent="0.2">
      <c r="BJ776" s="463">
        <f t="shared" si="12"/>
        <v>769</v>
      </c>
      <c r="BZ776" s="467"/>
    </row>
    <row r="777" spans="62:78" ht="15.75" customHeight="1" x14ac:dyDescent="0.2">
      <c r="BJ777" s="463">
        <f t="shared" ref="BJ777:BJ840" si="13">BJ776+1</f>
        <v>770</v>
      </c>
      <c r="BZ777" s="467"/>
    </row>
    <row r="778" spans="62:78" ht="15.75" customHeight="1" x14ac:dyDescent="0.2">
      <c r="BJ778" s="463">
        <f t="shared" si="13"/>
        <v>771</v>
      </c>
      <c r="BZ778" s="467"/>
    </row>
    <row r="779" spans="62:78" ht="15.75" customHeight="1" x14ac:dyDescent="0.2">
      <c r="BJ779" s="463">
        <f t="shared" si="13"/>
        <v>772</v>
      </c>
      <c r="BZ779" s="467"/>
    </row>
    <row r="780" spans="62:78" ht="15.75" customHeight="1" x14ac:dyDescent="0.2">
      <c r="BJ780" s="463">
        <f t="shared" si="13"/>
        <v>773</v>
      </c>
      <c r="BZ780" s="467"/>
    </row>
    <row r="781" spans="62:78" ht="15.75" customHeight="1" x14ac:dyDescent="0.2">
      <c r="BJ781" s="463">
        <f t="shared" si="13"/>
        <v>774</v>
      </c>
      <c r="BZ781" s="467"/>
    </row>
    <row r="782" spans="62:78" ht="15.75" customHeight="1" x14ac:dyDescent="0.2">
      <c r="BJ782" s="463">
        <f t="shared" si="13"/>
        <v>775</v>
      </c>
      <c r="BZ782" s="467"/>
    </row>
    <row r="783" spans="62:78" ht="15.75" customHeight="1" x14ac:dyDescent="0.2">
      <c r="BJ783" s="463">
        <f t="shared" si="13"/>
        <v>776</v>
      </c>
      <c r="BZ783" s="467"/>
    </row>
    <row r="784" spans="62:78" ht="15.75" customHeight="1" x14ac:dyDescent="0.2">
      <c r="BJ784" s="463">
        <f t="shared" si="13"/>
        <v>777</v>
      </c>
      <c r="BZ784" s="467"/>
    </row>
    <row r="785" spans="62:78" ht="15.75" customHeight="1" x14ac:dyDescent="0.2">
      <c r="BJ785" s="463">
        <f t="shared" si="13"/>
        <v>778</v>
      </c>
      <c r="BZ785" s="467"/>
    </row>
    <row r="786" spans="62:78" ht="15.75" customHeight="1" x14ac:dyDescent="0.2">
      <c r="BJ786" s="463">
        <f t="shared" si="13"/>
        <v>779</v>
      </c>
      <c r="BZ786" s="467"/>
    </row>
    <row r="787" spans="62:78" ht="15.75" customHeight="1" x14ac:dyDescent="0.2">
      <c r="BJ787" s="463">
        <f t="shared" si="13"/>
        <v>780</v>
      </c>
      <c r="BZ787" s="467"/>
    </row>
    <row r="788" spans="62:78" ht="15.75" customHeight="1" x14ac:dyDescent="0.2">
      <c r="BJ788" s="463">
        <f t="shared" si="13"/>
        <v>781</v>
      </c>
      <c r="BZ788" s="467"/>
    </row>
    <row r="789" spans="62:78" ht="15.75" customHeight="1" x14ac:dyDescent="0.2">
      <c r="BJ789" s="463">
        <f t="shared" si="13"/>
        <v>782</v>
      </c>
      <c r="BZ789" s="467"/>
    </row>
    <row r="790" spans="62:78" ht="15.75" customHeight="1" x14ac:dyDescent="0.2">
      <c r="BJ790" s="463">
        <f t="shared" si="13"/>
        <v>783</v>
      </c>
      <c r="BZ790" s="467"/>
    </row>
    <row r="791" spans="62:78" ht="15.75" customHeight="1" x14ac:dyDescent="0.2">
      <c r="BJ791" s="463">
        <f t="shared" si="13"/>
        <v>784</v>
      </c>
      <c r="BZ791" s="467"/>
    </row>
    <row r="792" spans="62:78" ht="15.75" customHeight="1" x14ac:dyDescent="0.2">
      <c r="BJ792" s="463">
        <f t="shared" si="13"/>
        <v>785</v>
      </c>
      <c r="BZ792" s="467"/>
    </row>
    <row r="793" spans="62:78" ht="15.75" customHeight="1" x14ac:dyDescent="0.2">
      <c r="BJ793" s="463">
        <f t="shared" si="13"/>
        <v>786</v>
      </c>
      <c r="BZ793" s="467"/>
    </row>
    <row r="794" spans="62:78" ht="15.75" customHeight="1" x14ac:dyDescent="0.2">
      <c r="BJ794" s="463">
        <f t="shared" si="13"/>
        <v>787</v>
      </c>
      <c r="BZ794" s="467"/>
    </row>
    <row r="795" spans="62:78" ht="15.75" customHeight="1" x14ac:dyDescent="0.2">
      <c r="BJ795" s="463">
        <f t="shared" si="13"/>
        <v>788</v>
      </c>
      <c r="BZ795" s="467"/>
    </row>
    <row r="796" spans="62:78" ht="15.75" customHeight="1" x14ac:dyDescent="0.2">
      <c r="BJ796" s="463">
        <f t="shared" si="13"/>
        <v>789</v>
      </c>
      <c r="BZ796" s="467"/>
    </row>
    <row r="797" spans="62:78" ht="15.75" customHeight="1" x14ac:dyDescent="0.2">
      <c r="BJ797" s="463">
        <f t="shared" si="13"/>
        <v>790</v>
      </c>
      <c r="BZ797" s="467"/>
    </row>
    <row r="798" spans="62:78" ht="15.75" customHeight="1" x14ac:dyDescent="0.2">
      <c r="BJ798" s="463">
        <f t="shared" si="13"/>
        <v>791</v>
      </c>
      <c r="BZ798" s="467"/>
    </row>
    <row r="799" spans="62:78" ht="15.75" customHeight="1" x14ac:dyDescent="0.2">
      <c r="BJ799" s="463">
        <f t="shared" si="13"/>
        <v>792</v>
      </c>
      <c r="BZ799" s="467"/>
    </row>
    <row r="800" spans="62:78" ht="15.75" customHeight="1" x14ac:dyDescent="0.2">
      <c r="BJ800" s="463">
        <f t="shared" si="13"/>
        <v>793</v>
      </c>
      <c r="BZ800" s="467"/>
    </row>
    <row r="801" spans="62:78" ht="15.75" customHeight="1" x14ac:dyDescent="0.2">
      <c r="BJ801" s="463">
        <f t="shared" si="13"/>
        <v>794</v>
      </c>
      <c r="BZ801" s="467"/>
    </row>
    <row r="802" spans="62:78" ht="15.75" customHeight="1" x14ac:dyDescent="0.2">
      <c r="BJ802" s="463">
        <f t="shared" si="13"/>
        <v>795</v>
      </c>
      <c r="BZ802" s="467"/>
    </row>
    <row r="803" spans="62:78" ht="15.75" customHeight="1" x14ac:dyDescent="0.2">
      <c r="BJ803" s="463">
        <f t="shared" si="13"/>
        <v>796</v>
      </c>
      <c r="BZ803" s="467"/>
    </row>
    <row r="804" spans="62:78" ht="15.75" customHeight="1" x14ac:dyDescent="0.2">
      <c r="BJ804" s="463">
        <f t="shared" si="13"/>
        <v>797</v>
      </c>
      <c r="BZ804" s="467"/>
    </row>
    <row r="805" spans="62:78" ht="15.75" customHeight="1" x14ac:dyDescent="0.2">
      <c r="BJ805" s="463">
        <f t="shared" si="13"/>
        <v>798</v>
      </c>
      <c r="BZ805" s="467"/>
    </row>
    <row r="806" spans="62:78" ht="15.75" customHeight="1" x14ac:dyDescent="0.2">
      <c r="BJ806" s="463">
        <f t="shared" si="13"/>
        <v>799</v>
      </c>
      <c r="BZ806" s="467"/>
    </row>
    <row r="807" spans="62:78" ht="15.75" customHeight="1" x14ac:dyDescent="0.2">
      <c r="BJ807" s="463">
        <f t="shared" si="13"/>
        <v>800</v>
      </c>
      <c r="BZ807" s="467"/>
    </row>
    <row r="808" spans="62:78" ht="15.75" customHeight="1" x14ac:dyDescent="0.2">
      <c r="BJ808" s="463">
        <f t="shared" si="13"/>
        <v>801</v>
      </c>
      <c r="BZ808" s="467"/>
    </row>
    <row r="809" spans="62:78" ht="15.75" customHeight="1" x14ac:dyDescent="0.2">
      <c r="BJ809" s="463">
        <f t="shared" si="13"/>
        <v>802</v>
      </c>
      <c r="BZ809" s="467"/>
    </row>
    <row r="810" spans="62:78" ht="15.75" customHeight="1" x14ac:dyDescent="0.2">
      <c r="BJ810" s="463">
        <f t="shared" si="13"/>
        <v>803</v>
      </c>
      <c r="BZ810" s="467"/>
    </row>
    <row r="811" spans="62:78" ht="15.75" customHeight="1" x14ac:dyDescent="0.2">
      <c r="BJ811" s="463">
        <f t="shared" si="13"/>
        <v>804</v>
      </c>
      <c r="BZ811" s="467"/>
    </row>
    <row r="812" spans="62:78" ht="15.75" customHeight="1" x14ac:dyDescent="0.2">
      <c r="BJ812" s="463">
        <f t="shared" si="13"/>
        <v>805</v>
      </c>
      <c r="BZ812" s="467"/>
    </row>
    <row r="813" spans="62:78" ht="15.75" customHeight="1" x14ac:dyDescent="0.2">
      <c r="BJ813" s="463">
        <f t="shared" si="13"/>
        <v>806</v>
      </c>
      <c r="BZ813" s="467"/>
    </row>
    <row r="814" spans="62:78" ht="15.75" customHeight="1" x14ac:dyDescent="0.2">
      <c r="BJ814" s="463">
        <f t="shared" si="13"/>
        <v>807</v>
      </c>
      <c r="BZ814" s="467"/>
    </row>
    <row r="815" spans="62:78" ht="15.75" customHeight="1" x14ac:dyDescent="0.2">
      <c r="BJ815" s="463">
        <f t="shared" si="13"/>
        <v>808</v>
      </c>
      <c r="BZ815" s="467"/>
    </row>
    <row r="816" spans="62:78" ht="15.75" customHeight="1" x14ac:dyDescent="0.2">
      <c r="BJ816" s="463">
        <f t="shared" si="13"/>
        <v>809</v>
      </c>
      <c r="BZ816" s="467"/>
    </row>
    <row r="817" spans="62:78" ht="15.75" customHeight="1" x14ac:dyDescent="0.2">
      <c r="BJ817" s="463">
        <f t="shared" si="13"/>
        <v>810</v>
      </c>
      <c r="BZ817" s="467"/>
    </row>
    <row r="818" spans="62:78" ht="15.75" customHeight="1" x14ac:dyDescent="0.2">
      <c r="BJ818" s="463">
        <f t="shared" si="13"/>
        <v>811</v>
      </c>
      <c r="BZ818" s="467"/>
    </row>
    <row r="819" spans="62:78" ht="15.75" customHeight="1" x14ac:dyDescent="0.2">
      <c r="BJ819" s="463">
        <f t="shared" si="13"/>
        <v>812</v>
      </c>
      <c r="BZ819" s="467"/>
    </row>
    <row r="820" spans="62:78" ht="15.75" customHeight="1" x14ac:dyDescent="0.2">
      <c r="BJ820" s="463">
        <f t="shared" si="13"/>
        <v>813</v>
      </c>
      <c r="BZ820" s="467"/>
    </row>
    <row r="821" spans="62:78" ht="15.75" customHeight="1" x14ac:dyDescent="0.2">
      <c r="BJ821" s="463">
        <f t="shared" si="13"/>
        <v>814</v>
      </c>
      <c r="BZ821" s="467"/>
    </row>
    <row r="822" spans="62:78" ht="15.75" customHeight="1" x14ac:dyDescent="0.2">
      <c r="BJ822" s="463">
        <f t="shared" si="13"/>
        <v>815</v>
      </c>
      <c r="BZ822" s="467"/>
    </row>
    <row r="823" spans="62:78" ht="15.75" customHeight="1" x14ac:dyDescent="0.2">
      <c r="BJ823" s="463">
        <f t="shared" si="13"/>
        <v>816</v>
      </c>
      <c r="BZ823" s="467"/>
    </row>
    <row r="824" spans="62:78" ht="15.75" customHeight="1" x14ac:dyDescent="0.2">
      <c r="BJ824" s="463">
        <f t="shared" si="13"/>
        <v>817</v>
      </c>
      <c r="BZ824" s="467"/>
    </row>
    <row r="825" spans="62:78" ht="15.75" customHeight="1" x14ac:dyDescent="0.2">
      <c r="BJ825" s="463">
        <f t="shared" si="13"/>
        <v>818</v>
      </c>
      <c r="BZ825" s="467"/>
    </row>
    <row r="826" spans="62:78" ht="15.75" customHeight="1" x14ac:dyDescent="0.2">
      <c r="BJ826" s="463">
        <f t="shared" si="13"/>
        <v>819</v>
      </c>
      <c r="BZ826" s="467"/>
    </row>
    <row r="827" spans="62:78" ht="15.75" customHeight="1" x14ac:dyDescent="0.2">
      <c r="BJ827" s="463">
        <f t="shared" si="13"/>
        <v>820</v>
      </c>
      <c r="BZ827" s="467"/>
    </row>
    <row r="828" spans="62:78" ht="15.75" customHeight="1" x14ac:dyDescent="0.2">
      <c r="BJ828" s="463">
        <f t="shared" si="13"/>
        <v>821</v>
      </c>
      <c r="BZ828" s="467"/>
    </row>
    <row r="829" spans="62:78" ht="15.75" customHeight="1" x14ac:dyDescent="0.2">
      <c r="BJ829" s="463">
        <f t="shared" si="13"/>
        <v>822</v>
      </c>
      <c r="BZ829" s="467"/>
    </row>
    <row r="830" spans="62:78" ht="15.75" customHeight="1" x14ac:dyDescent="0.2">
      <c r="BJ830" s="463">
        <f t="shared" si="13"/>
        <v>823</v>
      </c>
      <c r="BZ830" s="467"/>
    </row>
    <row r="831" spans="62:78" ht="15.75" customHeight="1" x14ac:dyDescent="0.2">
      <c r="BJ831" s="463">
        <f t="shared" si="13"/>
        <v>824</v>
      </c>
      <c r="BZ831" s="467"/>
    </row>
    <row r="832" spans="62:78" ht="15.75" customHeight="1" x14ac:dyDescent="0.2">
      <c r="BJ832" s="463">
        <f t="shared" si="13"/>
        <v>825</v>
      </c>
      <c r="BZ832" s="467"/>
    </row>
    <row r="833" spans="62:78" ht="15.75" customHeight="1" x14ac:dyDescent="0.2">
      <c r="BJ833" s="463">
        <f t="shared" si="13"/>
        <v>826</v>
      </c>
      <c r="BZ833" s="467"/>
    </row>
    <row r="834" spans="62:78" ht="15.75" customHeight="1" x14ac:dyDescent="0.2">
      <c r="BJ834" s="463">
        <f t="shared" si="13"/>
        <v>827</v>
      </c>
      <c r="BZ834" s="467"/>
    </row>
    <row r="835" spans="62:78" ht="15.75" customHeight="1" x14ac:dyDescent="0.2">
      <c r="BJ835" s="463">
        <f t="shared" si="13"/>
        <v>828</v>
      </c>
      <c r="BZ835" s="467"/>
    </row>
    <row r="836" spans="62:78" ht="15.75" customHeight="1" x14ac:dyDescent="0.2">
      <c r="BJ836" s="463">
        <f t="shared" si="13"/>
        <v>829</v>
      </c>
      <c r="BZ836" s="467"/>
    </row>
    <row r="837" spans="62:78" ht="15.75" customHeight="1" x14ac:dyDescent="0.2">
      <c r="BJ837" s="463">
        <f t="shared" si="13"/>
        <v>830</v>
      </c>
      <c r="BZ837" s="467"/>
    </row>
    <row r="838" spans="62:78" ht="15.75" customHeight="1" x14ac:dyDescent="0.2">
      <c r="BJ838" s="463">
        <f t="shared" si="13"/>
        <v>831</v>
      </c>
      <c r="BZ838" s="467"/>
    </row>
    <row r="839" spans="62:78" ht="15.75" customHeight="1" x14ac:dyDescent="0.2">
      <c r="BJ839" s="463">
        <f t="shared" si="13"/>
        <v>832</v>
      </c>
      <c r="BZ839" s="467"/>
    </row>
    <row r="840" spans="62:78" ht="15.75" customHeight="1" x14ac:dyDescent="0.2">
      <c r="BJ840" s="463">
        <f t="shared" si="13"/>
        <v>833</v>
      </c>
      <c r="BZ840" s="467"/>
    </row>
    <row r="841" spans="62:78" ht="15.75" customHeight="1" x14ac:dyDescent="0.2">
      <c r="BJ841" s="463">
        <f t="shared" ref="BJ841:BJ904" si="14">BJ840+1</f>
        <v>834</v>
      </c>
      <c r="BZ841" s="467"/>
    </row>
    <row r="842" spans="62:78" ht="15.75" customHeight="1" x14ac:dyDescent="0.2">
      <c r="BJ842" s="463">
        <f t="shared" si="14"/>
        <v>835</v>
      </c>
      <c r="BZ842" s="467"/>
    </row>
    <row r="843" spans="62:78" ht="15.75" customHeight="1" x14ac:dyDescent="0.2">
      <c r="BJ843" s="463">
        <f t="shared" si="14"/>
        <v>836</v>
      </c>
      <c r="BZ843" s="467"/>
    </row>
    <row r="844" spans="62:78" ht="15.75" customHeight="1" x14ac:dyDescent="0.2">
      <c r="BJ844" s="463">
        <f t="shared" si="14"/>
        <v>837</v>
      </c>
      <c r="BZ844" s="467"/>
    </row>
    <row r="845" spans="62:78" ht="15.75" customHeight="1" x14ac:dyDescent="0.2">
      <c r="BJ845" s="463">
        <f t="shared" si="14"/>
        <v>838</v>
      </c>
      <c r="BZ845" s="467"/>
    </row>
    <row r="846" spans="62:78" ht="15.75" customHeight="1" x14ac:dyDescent="0.2">
      <c r="BJ846" s="463">
        <f t="shared" si="14"/>
        <v>839</v>
      </c>
      <c r="BZ846" s="467"/>
    </row>
    <row r="847" spans="62:78" ht="15.75" customHeight="1" x14ac:dyDescent="0.2">
      <c r="BJ847" s="463">
        <f t="shared" si="14"/>
        <v>840</v>
      </c>
      <c r="BZ847" s="467"/>
    </row>
    <row r="848" spans="62:78" ht="15.75" customHeight="1" x14ac:dyDescent="0.2">
      <c r="BJ848" s="463">
        <f t="shared" si="14"/>
        <v>841</v>
      </c>
      <c r="BZ848" s="467"/>
    </row>
    <row r="849" spans="62:78" ht="15.75" customHeight="1" x14ac:dyDescent="0.2">
      <c r="BJ849" s="463">
        <f t="shared" si="14"/>
        <v>842</v>
      </c>
      <c r="BZ849" s="467"/>
    </row>
    <row r="850" spans="62:78" ht="15.75" customHeight="1" x14ac:dyDescent="0.2">
      <c r="BJ850" s="463">
        <f t="shared" si="14"/>
        <v>843</v>
      </c>
      <c r="BZ850" s="467"/>
    </row>
    <row r="851" spans="62:78" ht="15.75" customHeight="1" x14ac:dyDescent="0.2">
      <c r="BJ851" s="463">
        <f t="shared" si="14"/>
        <v>844</v>
      </c>
      <c r="BZ851" s="467"/>
    </row>
    <row r="852" spans="62:78" ht="15.75" customHeight="1" x14ac:dyDescent="0.2">
      <c r="BJ852" s="463">
        <f t="shared" si="14"/>
        <v>845</v>
      </c>
      <c r="BZ852" s="467"/>
    </row>
    <row r="853" spans="62:78" ht="15.75" customHeight="1" x14ac:dyDescent="0.2">
      <c r="BJ853" s="463">
        <f t="shared" si="14"/>
        <v>846</v>
      </c>
      <c r="BZ853" s="467"/>
    </row>
    <row r="854" spans="62:78" ht="15.75" customHeight="1" x14ac:dyDescent="0.2">
      <c r="BJ854" s="463">
        <f t="shared" si="14"/>
        <v>847</v>
      </c>
      <c r="BZ854" s="467"/>
    </row>
    <row r="855" spans="62:78" ht="15.75" customHeight="1" x14ac:dyDescent="0.2">
      <c r="BJ855" s="463">
        <f t="shared" si="14"/>
        <v>848</v>
      </c>
      <c r="BZ855" s="467"/>
    </row>
    <row r="856" spans="62:78" ht="15.75" customHeight="1" x14ac:dyDescent="0.2">
      <c r="BJ856" s="463">
        <f t="shared" si="14"/>
        <v>849</v>
      </c>
      <c r="BZ856" s="467"/>
    </row>
    <row r="857" spans="62:78" ht="15.75" customHeight="1" x14ac:dyDescent="0.2">
      <c r="BJ857" s="463">
        <f t="shared" si="14"/>
        <v>850</v>
      </c>
      <c r="BZ857" s="467"/>
    </row>
    <row r="858" spans="62:78" ht="15.75" customHeight="1" x14ac:dyDescent="0.2">
      <c r="BJ858" s="463">
        <f t="shared" si="14"/>
        <v>851</v>
      </c>
      <c r="BZ858" s="467"/>
    </row>
    <row r="859" spans="62:78" ht="15.75" customHeight="1" x14ac:dyDescent="0.2">
      <c r="BJ859" s="463">
        <f t="shared" si="14"/>
        <v>852</v>
      </c>
      <c r="BZ859" s="467"/>
    </row>
    <row r="860" spans="62:78" ht="15.75" customHeight="1" x14ac:dyDescent="0.2">
      <c r="BJ860" s="463">
        <f t="shared" si="14"/>
        <v>853</v>
      </c>
      <c r="BZ860" s="467"/>
    </row>
    <row r="861" spans="62:78" ht="15.75" customHeight="1" x14ac:dyDescent="0.2">
      <c r="BJ861" s="463">
        <f t="shared" si="14"/>
        <v>854</v>
      </c>
      <c r="BZ861" s="467"/>
    </row>
    <row r="862" spans="62:78" ht="15.75" customHeight="1" x14ac:dyDescent="0.2">
      <c r="BJ862" s="463">
        <f t="shared" si="14"/>
        <v>855</v>
      </c>
      <c r="BZ862" s="467"/>
    </row>
    <row r="863" spans="62:78" ht="15.75" customHeight="1" x14ac:dyDescent="0.2">
      <c r="BJ863" s="463">
        <f t="shared" si="14"/>
        <v>856</v>
      </c>
      <c r="BZ863" s="467"/>
    </row>
    <row r="864" spans="62:78" ht="15.75" customHeight="1" x14ac:dyDescent="0.2">
      <c r="BJ864" s="463">
        <f t="shared" si="14"/>
        <v>857</v>
      </c>
      <c r="BZ864" s="467"/>
    </row>
    <row r="865" spans="62:78" ht="15.75" customHeight="1" x14ac:dyDescent="0.2">
      <c r="BJ865" s="463">
        <f t="shared" si="14"/>
        <v>858</v>
      </c>
      <c r="BZ865" s="467"/>
    </row>
    <row r="866" spans="62:78" ht="15.75" customHeight="1" x14ac:dyDescent="0.2">
      <c r="BJ866" s="463">
        <f t="shared" si="14"/>
        <v>859</v>
      </c>
      <c r="BZ866" s="467"/>
    </row>
    <row r="867" spans="62:78" ht="15.75" customHeight="1" x14ac:dyDescent="0.2">
      <c r="BJ867" s="463">
        <f t="shared" si="14"/>
        <v>860</v>
      </c>
      <c r="BZ867" s="467"/>
    </row>
    <row r="868" spans="62:78" ht="15.75" customHeight="1" x14ac:dyDescent="0.2">
      <c r="BJ868" s="463">
        <f t="shared" si="14"/>
        <v>861</v>
      </c>
      <c r="BZ868" s="467"/>
    </row>
    <row r="869" spans="62:78" ht="15.75" customHeight="1" x14ac:dyDescent="0.2">
      <c r="BJ869" s="463">
        <f t="shared" si="14"/>
        <v>862</v>
      </c>
      <c r="BZ869" s="467"/>
    </row>
    <row r="870" spans="62:78" ht="15.75" customHeight="1" x14ac:dyDescent="0.2">
      <c r="BJ870" s="463">
        <f t="shared" si="14"/>
        <v>863</v>
      </c>
      <c r="BZ870" s="467"/>
    </row>
    <row r="871" spans="62:78" ht="15.75" customHeight="1" x14ac:dyDescent="0.2">
      <c r="BJ871" s="463">
        <f t="shared" si="14"/>
        <v>864</v>
      </c>
      <c r="BZ871" s="467"/>
    </row>
    <row r="872" spans="62:78" ht="15.75" customHeight="1" x14ac:dyDescent="0.2">
      <c r="BJ872" s="463">
        <f t="shared" si="14"/>
        <v>865</v>
      </c>
      <c r="BZ872" s="467"/>
    </row>
    <row r="873" spans="62:78" ht="15.75" customHeight="1" x14ac:dyDescent="0.2">
      <c r="BJ873" s="463">
        <f t="shared" si="14"/>
        <v>866</v>
      </c>
      <c r="BZ873" s="467"/>
    </row>
    <row r="874" spans="62:78" ht="15.75" customHeight="1" x14ac:dyDescent="0.2">
      <c r="BJ874" s="463">
        <f t="shared" si="14"/>
        <v>867</v>
      </c>
      <c r="BZ874" s="467"/>
    </row>
    <row r="875" spans="62:78" ht="15.75" customHeight="1" x14ac:dyDescent="0.2">
      <c r="BJ875" s="463">
        <f t="shared" si="14"/>
        <v>868</v>
      </c>
      <c r="BZ875" s="467"/>
    </row>
    <row r="876" spans="62:78" ht="15.75" customHeight="1" x14ac:dyDescent="0.2">
      <c r="BJ876" s="463">
        <f t="shared" si="14"/>
        <v>869</v>
      </c>
      <c r="BZ876" s="467"/>
    </row>
    <row r="877" spans="62:78" ht="15.75" customHeight="1" x14ac:dyDescent="0.2">
      <c r="BJ877" s="463">
        <f t="shared" si="14"/>
        <v>870</v>
      </c>
      <c r="BZ877" s="467"/>
    </row>
    <row r="878" spans="62:78" ht="15.75" customHeight="1" x14ac:dyDescent="0.2">
      <c r="BJ878" s="463">
        <f t="shared" si="14"/>
        <v>871</v>
      </c>
      <c r="BZ878" s="467"/>
    </row>
    <row r="879" spans="62:78" ht="15.75" customHeight="1" x14ac:dyDescent="0.2">
      <c r="BJ879" s="463">
        <f t="shared" si="14"/>
        <v>872</v>
      </c>
      <c r="BZ879" s="467"/>
    </row>
    <row r="880" spans="62:78" ht="15.75" customHeight="1" x14ac:dyDescent="0.2">
      <c r="BJ880" s="463">
        <f t="shared" si="14"/>
        <v>873</v>
      </c>
      <c r="BZ880" s="467"/>
    </row>
    <row r="881" spans="62:78" ht="15.75" customHeight="1" x14ac:dyDescent="0.2">
      <c r="BJ881" s="463">
        <f t="shared" si="14"/>
        <v>874</v>
      </c>
      <c r="BZ881" s="467"/>
    </row>
    <row r="882" spans="62:78" ht="15.75" customHeight="1" x14ac:dyDescent="0.2">
      <c r="BJ882" s="463">
        <f t="shared" si="14"/>
        <v>875</v>
      </c>
      <c r="BZ882" s="467"/>
    </row>
    <row r="883" spans="62:78" ht="15.75" customHeight="1" x14ac:dyDescent="0.2">
      <c r="BJ883" s="463">
        <f t="shared" si="14"/>
        <v>876</v>
      </c>
      <c r="BZ883" s="467"/>
    </row>
    <row r="884" spans="62:78" ht="15.75" customHeight="1" x14ac:dyDescent="0.2">
      <c r="BJ884" s="463">
        <f t="shared" si="14"/>
        <v>877</v>
      </c>
      <c r="BZ884" s="467"/>
    </row>
    <row r="885" spans="62:78" ht="15.75" customHeight="1" x14ac:dyDescent="0.2">
      <c r="BJ885" s="463">
        <f t="shared" si="14"/>
        <v>878</v>
      </c>
      <c r="BZ885" s="467"/>
    </row>
    <row r="886" spans="62:78" ht="15.75" customHeight="1" x14ac:dyDescent="0.2">
      <c r="BJ886" s="463">
        <f t="shared" si="14"/>
        <v>879</v>
      </c>
      <c r="BZ886" s="467"/>
    </row>
    <row r="887" spans="62:78" ht="15.75" customHeight="1" x14ac:dyDescent="0.2">
      <c r="BJ887" s="463">
        <f t="shared" si="14"/>
        <v>880</v>
      </c>
      <c r="BZ887" s="467"/>
    </row>
    <row r="888" spans="62:78" ht="15.75" customHeight="1" x14ac:dyDescent="0.2">
      <c r="BJ888" s="463">
        <f t="shared" si="14"/>
        <v>881</v>
      </c>
      <c r="BZ888" s="467"/>
    </row>
    <row r="889" spans="62:78" ht="15.75" customHeight="1" x14ac:dyDescent="0.2">
      <c r="BJ889" s="463">
        <f t="shared" si="14"/>
        <v>882</v>
      </c>
      <c r="BZ889" s="467"/>
    </row>
    <row r="890" spans="62:78" ht="15.75" customHeight="1" x14ac:dyDescent="0.2">
      <c r="BJ890" s="463">
        <f t="shared" si="14"/>
        <v>883</v>
      </c>
      <c r="BZ890" s="467"/>
    </row>
    <row r="891" spans="62:78" ht="15.75" customHeight="1" x14ac:dyDescent="0.2">
      <c r="BJ891" s="463">
        <f t="shared" si="14"/>
        <v>884</v>
      </c>
      <c r="BZ891" s="467"/>
    </row>
    <row r="892" spans="62:78" ht="15.75" customHeight="1" x14ac:dyDescent="0.2">
      <c r="BJ892" s="463">
        <f t="shared" si="14"/>
        <v>885</v>
      </c>
      <c r="BZ892" s="467"/>
    </row>
    <row r="893" spans="62:78" ht="15.75" customHeight="1" x14ac:dyDescent="0.2">
      <c r="BJ893" s="463">
        <f t="shared" si="14"/>
        <v>886</v>
      </c>
      <c r="BZ893" s="467"/>
    </row>
    <row r="894" spans="62:78" ht="15.75" customHeight="1" x14ac:dyDescent="0.2">
      <c r="BJ894" s="463">
        <f t="shared" si="14"/>
        <v>887</v>
      </c>
      <c r="BZ894" s="467"/>
    </row>
    <row r="895" spans="62:78" ht="15.75" customHeight="1" x14ac:dyDescent="0.2">
      <c r="BJ895" s="463">
        <f t="shared" si="14"/>
        <v>888</v>
      </c>
      <c r="BZ895" s="467"/>
    </row>
    <row r="896" spans="62:78" ht="15.75" customHeight="1" x14ac:dyDescent="0.2">
      <c r="BJ896" s="463">
        <f t="shared" si="14"/>
        <v>889</v>
      </c>
      <c r="BZ896" s="467"/>
    </row>
    <row r="897" spans="62:78" ht="15.75" customHeight="1" x14ac:dyDescent="0.2">
      <c r="BJ897" s="463">
        <f t="shared" si="14"/>
        <v>890</v>
      </c>
      <c r="BZ897" s="467"/>
    </row>
    <row r="898" spans="62:78" ht="15.75" customHeight="1" x14ac:dyDescent="0.2">
      <c r="BJ898" s="463">
        <f t="shared" si="14"/>
        <v>891</v>
      </c>
      <c r="BZ898" s="467"/>
    </row>
    <row r="899" spans="62:78" ht="15.75" customHeight="1" x14ac:dyDescent="0.2">
      <c r="BJ899" s="463">
        <f t="shared" si="14"/>
        <v>892</v>
      </c>
      <c r="BZ899" s="467"/>
    </row>
    <row r="900" spans="62:78" ht="15.75" customHeight="1" x14ac:dyDescent="0.2">
      <c r="BJ900" s="463">
        <f t="shared" si="14"/>
        <v>893</v>
      </c>
      <c r="BZ900" s="467"/>
    </row>
    <row r="901" spans="62:78" ht="15.75" customHeight="1" x14ac:dyDescent="0.2">
      <c r="BJ901" s="463">
        <f t="shared" si="14"/>
        <v>894</v>
      </c>
      <c r="BZ901" s="467"/>
    </row>
    <row r="902" spans="62:78" ht="15.75" customHeight="1" x14ac:dyDescent="0.2">
      <c r="BJ902" s="463">
        <f t="shared" si="14"/>
        <v>895</v>
      </c>
      <c r="BZ902" s="467"/>
    </row>
    <row r="903" spans="62:78" ht="15.75" customHeight="1" x14ac:dyDescent="0.2">
      <c r="BJ903" s="463">
        <f t="shared" si="14"/>
        <v>896</v>
      </c>
      <c r="BZ903" s="467"/>
    </row>
    <row r="904" spans="62:78" ht="15.75" customHeight="1" x14ac:dyDescent="0.2">
      <c r="BJ904" s="463">
        <f t="shared" si="14"/>
        <v>897</v>
      </c>
      <c r="BZ904" s="467"/>
    </row>
    <row r="905" spans="62:78" ht="15.75" customHeight="1" x14ac:dyDescent="0.2">
      <c r="BJ905" s="463">
        <f t="shared" ref="BJ905:BJ968" si="15">BJ904+1</f>
        <v>898</v>
      </c>
      <c r="BZ905" s="467"/>
    </row>
    <row r="906" spans="62:78" ht="15.75" customHeight="1" x14ac:dyDescent="0.2">
      <c r="BJ906" s="463">
        <f t="shared" si="15"/>
        <v>899</v>
      </c>
      <c r="BZ906" s="467"/>
    </row>
    <row r="907" spans="62:78" ht="15.75" customHeight="1" x14ac:dyDescent="0.2">
      <c r="BJ907" s="463">
        <f t="shared" si="15"/>
        <v>900</v>
      </c>
      <c r="BZ907" s="467"/>
    </row>
    <row r="908" spans="62:78" ht="15.75" customHeight="1" x14ac:dyDescent="0.2">
      <c r="BJ908" s="463">
        <f t="shared" si="15"/>
        <v>901</v>
      </c>
      <c r="BZ908" s="467"/>
    </row>
    <row r="909" spans="62:78" ht="15.75" customHeight="1" x14ac:dyDescent="0.2">
      <c r="BJ909" s="463">
        <f t="shared" si="15"/>
        <v>902</v>
      </c>
      <c r="BZ909" s="467"/>
    </row>
    <row r="910" spans="62:78" ht="15.75" customHeight="1" x14ac:dyDescent="0.2">
      <c r="BJ910" s="463">
        <f t="shared" si="15"/>
        <v>903</v>
      </c>
      <c r="BZ910" s="467"/>
    </row>
    <row r="911" spans="62:78" ht="15.75" customHeight="1" x14ac:dyDescent="0.2">
      <c r="BJ911" s="463">
        <f t="shared" si="15"/>
        <v>904</v>
      </c>
      <c r="BZ911" s="467"/>
    </row>
    <row r="912" spans="62:78" ht="15.75" customHeight="1" x14ac:dyDescent="0.2">
      <c r="BJ912" s="463">
        <f t="shared" si="15"/>
        <v>905</v>
      </c>
      <c r="BZ912" s="467"/>
    </row>
    <row r="913" spans="62:78" ht="15.75" customHeight="1" x14ac:dyDescent="0.2">
      <c r="BJ913" s="463">
        <f t="shared" si="15"/>
        <v>906</v>
      </c>
      <c r="BZ913" s="467"/>
    </row>
    <row r="914" spans="62:78" ht="15.75" customHeight="1" x14ac:dyDescent="0.2">
      <c r="BJ914" s="463">
        <f t="shared" si="15"/>
        <v>907</v>
      </c>
      <c r="BZ914" s="467"/>
    </row>
    <row r="915" spans="62:78" ht="15.75" customHeight="1" x14ac:dyDescent="0.2">
      <c r="BJ915" s="463">
        <f t="shared" si="15"/>
        <v>908</v>
      </c>
      <c r="BZ915" s="467"/>
    </row>
    <row r="916" spans="62:78" ht="15.75" customHeight="1" x14ac:dyDescent="0.2">
      <c r="BJ916" s="463">
        <f t="shared" si="15"/>
        <v>909</v>
      </c>
      <c r="BZ916" s="467"/>
    </row>
    <row r="917" spans="62:78" ht="15.75" customHeight="1" x14ac:dyDescent="0.2">
      <c r="BJ917" s="463">
        <f t="shared" si="15"/>
        <v>910</v>
      </c>
      <c r="BZ917" s="467"/>
    </row>
    <row r="918" spans="62:78" ht="15.75" customHeight="1" x14ac:dyDescent="0.2">
      <c r="BJ918" s="463">
        <f t="shared" si="15"/>
        <v>911</v>
      </c>
      <c r="BZ918" s="467"/>
    </row>
    <row r="919" spans="62:78" ht="15.75" customHeight="1" x14ac:dyDescent="0.2">
      <c r="BJ919" s="463">
        <f t="shared" si="15"/>
        <v>912</v>
      </c>
      <c r="BZ919" s="467"/>
    </row>
    <row r="920" spans="62:78" ht="15.75" customHeight="1" x14ac:dyDescent="0.2">
      <c r="BJ920" s="463">
        <f t="shared" si="15"/>
        <v>913</v>
      </c>
      <c r="BZ920" s="467"/>
    </row>
    <row r="921" spans="62:78" ht="15.75" customHeight="1" x14ac:dyDescent="0.2">
      <c r="BJ921" s="463">
        <f t="shared" si="15"/>
        <v>914</v>
      </c>
      <c r="BZ921" s="467"/>
    </row>
    <row r="922" spans="62:78" ht="15.75" customHeight="1" x14ac:dyDescent="0.2">
      <c r="BJ922" s="463">
        <f t="shared" si="15"/>
        <v>915</v>
      </c>
      <c r="BZ922" s="467"/>
    </row>
    <row r="923" spans="62:78" ht="15.75" customHeight="1" x14ac:dyDescent="0.2">
      <c r="BJ923" s="463">
        <f t="shared" si="15"/>
        <v>916</v>
      </c>
      <c r="BZ923" s="467"/>
    </row>
    <row r="924" spans="62:78" ht="15.75" customHeight="1" x14ac:dyDescent="0.2">
      <c r="BJ924" s="463">
        <f t="shared" si="15"/>
        <v>917</v>
      </c>
      <c r="BZ924" s="467"/>
    </row>
    <row r="925" spans="62:78" ht="15.75" customHeight="1" x14ac:dyDescent="0.2">
      <c r="BJ925" s="463">
        <f t="shared" si="15"/>
        <v>918</v>
      </c>
      <c r="BZ925" s="467"/>
    </row>
    <row r="926" spans="62:78" ht="15.75" customHeight="1" x14ac:dyDescent="0.2">
      <c r="BJ926" s="463">
        <f t="shared" si="15"/>
        <v>919</v>
      </c>
      <c r="BZ926" s="467"/>
    </row>
    <row r="927" spans="62:78" ht="15.75" customHeight="1" x14ac:dyDescent="0.2">
      <c r="BJ927" s="463">
        <f t="shared" si="15"/>
        <v>920</v>
      </c>
      <c r="BZ927" s="467"/>
    </row>
    <row r="928" spans="62:78" ht="15.75" customHeight="1" x14ac:dyDescent="0.2">
      <c r="BJ928" s="463">
        <f t="shared" si="15"/>
        <v>921</v>
      </c>
      <c r="BZ928" s="467"/>
    </row>
    <row r="929" spans="62:78" ht="15.75" customHeight="1" x14ac:dyDescent="0.2">
      <c r="BJ929" s="463">
        <f t="shared" si="15"/>
        <v>922</v>
      </c>
      <c r="BZ929" s="467"/>
    </row>
    <row r="930" spans="62:78" ht="15.75" customHeight="1" x14ac:dyDescent="0.2">
      <c r="BJ930" s="463">
        <f t="shared" si="15"/>
        <v>923</v>
      </c>
      <c r="BZ930" s="467"/>
    </row>
    <row r="931" spans="62:78" ht="15.75" customHeight="1" x14ac:dyDescent="0.2">
      <c r="BJ931" s="463">
        <f t="shared" si="15"/>
        <v>924</v>
      </c>
      <c r="BZ931" s="467"/>
    </row>
    <row r="932" spans="62:78" ht="15.75" customHeight="1" x14ac:dyDescent="0.2">
      <c r="BJ932" s="463">
        <f t="shared" si="15"/>
        <v>925</v>
      </c>
      <c r="BZ932" s="467"/>
    </row>
    <row r="933" spans="62:78" ht="15.75" customHeight="1" x14ac:dyDescent="0.2">
      <c r="BJ933" s="463">
        <f t="shared" si="15"/>
        <v>926</v>
      </c>
      <c r="BZ933" s="467"/>
    </row>
    <row r="934" spans="62:78" ht="15.75" customHeight="1" x14ac:dyDescent="0.2">
      <c r="BJ934" s="463">
        <f t="shared" si="15"/>
        <v>927</v>
      </c>
      <c r="BZ934" s="467"/>
    </row>
    <row r="935" spans="62:78" ht="15.75" customHeight="1" x14ac:dyDescent="0.2">
      <c r="BJ935" s="463">
        <f t="shared" si="15"/>
        <v>928</v>
      </c>
      <c r="BZ935" s="467"/>
    </row>
    <row r="936" spans="62:78" ht="15.75" customHeight="1" x14ac:dyDescent="0.2">
      <c r="BJ936" s="463">
        <f t="shared" si="15"/>
        <v>929</v>
      </c>
      <c r="BZ936" s="467"/>
    </row>
    <row r="937" spans="62:78" ht="15.75" customHeight="1" x14ac:dyDescent="0.2">
      <c r="BJ937" s="463">
        <f t="shared" si="15"/>
        <v>930</v>
      </c>
      <c r="BZ937" s="467"/>
    </row>
    <row r="938" spans="62:78" ht="15.75" customHeight="1" x14ac:dyDescent="0.2">
      <c r="BJ938" s="463">
        <f t="shared" si="15"/>
        <v>931</v>
      </c>
      <c r="BZ938" s="467"/>
    </row>
    <row r="939" spans="62:78" ht="15.75" customHeight="1" x14ac:dyDescent="0.2">
      <c r="BJ939" s="463">
        <f t="shared" si="15"/>
        <v>932</v>
      </c>
      <c r="BZ939" s="467"/>
    </row>
    <row r="940" spans="62:78" ht="15.75" customHeight="1" x14ac:dyDescent="0.2">
      <c r="BJ940" s="463">
        <f t="shared" si="15"/>
        <v>933</v>
      </c>
      <c r="BZ940" s="467"/>
    </row>
    <row r="941" spans="62:78" ht="15.75" customHeight="1" x14ac:dyDescent="0.2">
      <c r="BJ941" s="463">
        <f t="shared" si="15"/>
        <v>934</v>
      </c>
      <c r="BZ941" s="467"/>
    </row>
    <row r="942" spans="62:78" ht="15.75" customHeight="1" x14ac:dyDescent="0.2">
      <c r="BJ942" s="463">
        <f t="shared" si="15"/>
        <v>935</v>
      </c>
      <c r="BZ942" s="467"/>
    </row>
    <row r="943" spans="62:78" ht="15.75" customHeight="1" x14ac:dyDescent="0.2">
      <c r="BJ943" s="463">
        <f t="shared" si="15"/>
        <v>936</v>
      </c>
      <c r="BZ943" s="467"/>
    </row>
    <row r="944" spans="62:78" ht="15.75" customHeight="1" x14ac:dyDescent="0.2">
      <c r="BJ944" s="463">
        <f t="shared" si="15"/>
        <v>937</v>
      </c>
      <c r="BZ944" s="467"/>
    </row>
    <row r="945" spans="62:78" ht="15.75" customHeight="1" x14ac:dyDescent="0.2">
      <c r="BJ945" s="463">
        <f t="shared" si="15"/>
        <v>938</v>
      </c>
      <c r="BZ945" s="467"/>
    </row>
    <row r="946" spans="62:78" ht="15.75" customHeight="1" x14ac:dyDescent="0.2">
      <c r="BJ946" s="463">
        <f t="shared" si="15"/>
        <v>939</v>
      </c>
      <c r="BZ946" s="467"/>
    </row>
    <row r="947" spans="62:78" ht="15.75" customHeight="1" x14ac:dyDescent="0.2">
      <c r="BJ947" s="463">
        <f t="shared" si="15"/>
        <v>940</v>
      </c>
      <c r="BZ947" s="467"/>
    </row>
    <row r="948" spans="62:78" ht="15.75" customHeight="1" x14ac:dyDescent="0.2">
      <c r="BJ948" s="463">
        <f t="shared" si="15"/>
        <v>941</v>
      </c>
      <c r="BZ948" s="467"/>
    </row>
    <row r="949" spans="62:78" ht="15.75" customHeight="1" x14ac:dyDescent="0.2">
      <c r="BJ949" s="463">
        <f t="shared" si="15"/>
        <v>942</v>
      </c>
      <c r="BZ949" s="467"/>
    </row>
    <row r="950" spans="62:78" ht="15.75" customHeight="1" x14ac:dyDescent="0.2">
      <c r="BJ950" s="463">
        <f t="shared" si="15"/>
        <v>943</v>
      </c>
      <c r="BZ950" s="467"/>
    </row>
    <row r="951" spans="62:78" ht="15.75" customHeight="1" x14ac:dyDescent="0.2">
      <c r="BJ951" s="463">
        <f t="shared" si="15"/>
        <v>944</v>
      </c>
      <c r="BZ951" s="467"/>
    </row>
    <row r="952" spans="62:78" ht="15.75" customHeight="1" x14ac:dyDescent="0.2">
      <c r="BJ952" s="463">
        <f t="shared" si="15"/>
        <v>945</v>
      </c>
      <c r="BZ952" s="467"/>
    </row>
    <row r="953" spans="62:78" ht="15.75" customHeight="1" x14ac:dyDescent="0.2">
      <c r="BJ953" s="463">
        <f t="shared" si="15"/>
        <v>946</v>
      </c>
      <c r="BZ953" s="467"/>
    </row>
    <row r="954" spans="62:78" ht="15.75" customHeight="1" x14ac:dyDescent="0.2">
      <c r="BJ954" s="463">
        <f t="shared" si="15"/>
        <v>947</v>
      </c>
      <c r="BZ954" s="467"/>
    </row>
    <row r="955" spans="62:78" ht="15.75" customHeight="1" x14ac:dyDescent="0.2">
      <c r="BJ955" s="463">
        <f t="shared" si="15"/>
        <v>948</v>
      </c>
      <c r="BZ955" s="467"/>
    </row>
    <row r="956" spans="62:78" ht="15.75" customHeight="1" x14ac:dyDescent="0.2">
      <c r="BJ956" s="463">
        <f t="shared" si="15"/>
        <v>949</v>
      </c>
      <c r="BZ956" s="467"/>
    </row>
    <row r="957" spans="62:78" ht="15.75" customHeight="1" x14ac:dyDescent="0.2">
      <c r="BJ957" s="463">
        <f t="shared" si="15"/>
        <v>950</v>
      </c>
      <c r="BZ957" s="467"/>
    </row>
    <row r="958" spans="62:78" ht="15.75" customHeight="1" x14ac:dyDescent="0.2">
      <c r="BJ958" s="463">
        <f t="shared" si="15"/>
        <v>951</v>
      </c>
      <c r="BZ958" s="467"/>
    </row>
    <row r="959" spans="62:78" ht="15.75" customHeight="1" x14ac:dyDescent="0.2">
      <c r="BJ959" s="463">
        <f t="shared" si="15"/>
        <v>952</v>
      </c>
      <c r="BZ959" s="467"/>
    </row>
    <row r="960" spans="62:78" ht="15.75" customHeight="1" x14ac:dyDescent="0.2">
      <c r="BJ960" s="463">
        <f t="shared" si="15"/>
        <v>953</v>
      </c>
      <c r="BZ960" s="467"/>
    </row>
    <row r="961" spans="62:78" ht="15.75" customHeight="1" x14ac:dyDescent="0.2">
      <c r="BJ961" s="463">
        <f t="shared" si="15"/>
        <v>954</v>
      </c>
      <c r="BZ961" s="467"/>
    </row>
    <row r="962" spans="62:78" ht="15.75" customHeight="1" x14ac:dyDescent="0.2">
      <c r="BJ962" s="463">
        <f t="shared" si="15"/>
        <v>955</v>
      </c>
      <c r="BZ962" s="467"/>
    </row>
    <row r="963" spans="62:78" ht="15.75" customHeight="1" x14ac:dyDescent="0.2">
      <c r="BJ963" s="463">
        <f t="shared" si="15"/>
        <v>956</v>
      </c>
      <c r="BZ963" s="467"/>
    </row>
    <row r="964" spans="62:78" ht="15.75" customHeight="1" x14ac:dyDescent="0.2">
      <c r="BJ964" s="463">
        <f t="shared" si="15"/>
        <v>957</v>
      </c>
      <c r="BZ964" s="467"/>
    </row>
    <row r="965" spans="62:78" ht="15.75" customHeight="1" x14ac:dyDescent="0.2">
      <c r="BJ965" s="463">
        <f t="shared" si="15"/>
        <v>958</v>
      </c>
      <c r="BZ965" s="467"/>
    </row>
    <row r="966" spans="62:78" ht="15.75" customHeight="1" x14ac:dyDescent="0.2">
      <c r="BJ966" s="463">
        <f t="shared" si="15"/>
        <v>959</v>
      </c>
      <c r="BZ966" s="467"/>
    </row>
    <row r="967" spans="62:78" ht="15.75" customHeight="1" x14ac:dyDescent="0.2">
      <c r="BJ967" s="463">
        <f t="shared" si="15"/>
        <v>960</v>
      </c>
      <c r="BZ967" s="467"/>
    </row>
    <row r="968" spans="62:78" ht="15.75" customHeight="1" x14ac:dyDescent="0.2">
      <c r="BJ968" s="463">
        <f t="shared" si="15"/>
        <v>961</v>
      </c>
      <c r="BZ968" s="467"/>
    </row>
    <row r="969" spans="62:78" ht="15.75" customHeight="1" x14ac:dyDescent="0.2">
      <c r="BJ969" s="463">
        <f t="shared" ref="BJ969:BJ1000" si="16">BJ968+1</f>
        <v>962</v>
      </c>
      <c r="BZ969" s="467"/>
    </row>
    <row r="970" spans="62:78" ht="15.75" customHeight="1" x14ac:dyDescent="0.2">
      <c r="BJ970" s="463">
        <f t="shared" si="16"/>
        <v>963</v>
      </c>
      <c r="BZ970" s="467"/>
    </row>
    <row r="971" spans="62:78" ht="15.75" customHeight="1" x14ac:dyDescent="0.2">
      <c r="BJ971" s="463">
        <f t="shared" si="16"/>
        <v>964</v>
      </c>
      <c r="BZ971" s="467"/>
    </row>
    <row r="972" spans="62:78" ht="15.75" customHeight="1" x14ac:dyDescent="0.2">
      <c r="BJ972" s="463">
        <f t="shared" si="16"/>
        <v>965</v>
      </c>
      <c r="BZ972" s="467"/>
    </row>
    <row r="973" spans="62:78" ht="15.75" customHeight="1" x14ac:dyDescent="0.2">
      <c r="BJ973" s="463">
        <f t="shared" si="16"/>
        <v>966</v>
      </c>
      <c r="BZ973" s="467"/>
    </row>
    <row r="974" spans="62:78" ht="15.75" customHeight="1" x14ac:dyDescent="0.2">
      <c r="BJ974" s="463">
        <f t="shared" si="16"/>
        <v>967</v>
      </c>
      <c r="BZ974" s="467"/>
    </row>
    <row r="975" spans="62:78" ht="15.75" customHeight="1" x14ac:dyDescent="0.2">
      <c r="BJ975" s="463">
        <f t="shared" si="16"/>
        <v>968</v>
      </c>
      <c r="BZ975" s="467"/>
    </row>
    <row r="976" spans="62:78" ht="15.75" customHeight="1" x14ac:dyDescent="0.2">
      <c r="BJ976" s="463">
        <f t="shared" si="16"/>
        <v>969</v>
      </c>
      <c r="BZ976" s="467"/>
    </row>
    <row r="977" spans="62:78" ht="15.75" customHeight="1" x14ac:dyDescent="0.2">
      <c r="BJ977" s="463">
        <f t="shared" si="16"/>
        <v>970</v>
      </c>
      <c r="BZ977" s="467"/>
    </row>
    <row r="978" spans="62:78" ht="15.75" customHeight="1" x14ac:dyDescent="0.2">
      <c r="BJ978" s="463">
        <f t="shared" si="16"/>
        <v>971</v>
      </c>
      <c r="BZ978" s="467"/>
    </row>
    <row r="979" spans="62:78" ht="15.75" customHeight="1" x14ac:dyDescent="0.2">
      <c r="BJ979" s="463">
        <f t="shared" si="16"/>
        <v>972</v>
      </c>
      <c r="BZ979" s="467"/>
    </row>
    <row r="980" spans="62:78" ht="15.75" customHeight="1" x14ac:dyDescent="0.2">
      <c r="BJ980" s="463">
        <f t="shared" si="16"/>
        <v>973</v>
      </c>
      <c r="BZ980" s="467"/>
    </row>
    <row r="981" spans="62:78" ht="15.75" customHeight="1" x14ac:dyDescent="0.2">
      <c r="BJ981" s="463">
        <f t="shared" si="16"/>
        <v>974</v>
      </c>
      <c r="BZ981" s="467"/>
    </row>
    <row r="982" spans="62:78" ht="15.75" customHeight="1" x14ac:dyDescent="0.2">
      <c r="BJ982" s="463">
        <f t="shared" si="16"/>
        <v>975</v>
      </c>
      <c r="BZ982" s="467"/>
    </row>
    <row r="983" spans="62:78" ht="15.75" customHeight="1" x14ac:dyDescent="0.2">
      <c r="BJ983" s="463">
        <f t="shared" si="16"/>
        <v>976</v>
      </c>
      <c r="BZ983" s="467"/>
    </row>
    <row r="984" spans="62:78" ht="15.75" customHeight="1" x14ac:dyDescent="0.2">
      <c r="BJ984" s="463">
        <f t="shared" si="16"/>
        <v>977</v>
      </c>
      <c r="BZ984" s="467"/>
    </row>
    <row r="985" spans="62:78" ht="15.75" customHeight="1" x14ac:dyDescent="0.2">
      <c r="BJ985" s="463">
        <f t="shared" si="16"/>
        <v>978</v>
      </c>
      <c r="BZ985" s="467"/>
    </row>
    <row r="986" spans="62:78" ht="15.75" customHeight="1" x14ac:dyDescent="0.2">
      <c r="BJ986" s="463">
        <f t="shared" si="16"/>
        <v>979</v>
      </c>
      <c r="BZ986" s="467"/>
    </row>
    <row r="987" spans="62:78" ht="15.75" customHeight="1" x14ac:dyDescent="0.2">
      <c r="BJ987" s="463">
        <f t="shared" si="16"/>
        <v>980</v>
      </c>
      <c r="BZ987" s="467"/>
    </row>
    <row r="988" spans="62:78" ht="15.75" customHeight="1" x14ac:dyDescent="0.2">
      <c r="BJ988" s="463">
        <f t="shared" si="16"/>
        <v>981</v>
      </c>
      <c r="BZ988" s="467"/>
    </row>
    <row r="989" spans="62:78" ht="15.75" customHeight="1" x14ac:dyDescent="0.2">
      <c r="BJ989" s="463">
        <f t="shared" si="16"/>
        <v>982</v>
      </c>
      <c r="BZ989" s="467"/>
    </row>
    <row r="990" spans="62:78" ht="15.75" customHeight="1" x14ac:dyDescent="0.2">
      <c r="BJ990" s="463">
        <f t="shared" si="16"/>
        <v>983</v>
      </c>
      <c r="BZ990" s="467"/>
    </row>
    <row r="991" spans="62:78" ht="15.75" customHeight="1" x14ac:dyDescent="0.2">
      <c r="BJ991" s="463">
        <f t="shared" si="16"/>
        <v>984</v>
      </c>
      <c r="BZ991" s="467"/>
    </row>
    <row r="992" spans="62:78" ht="15.75" customHeight="1" x14ac:dyDescent="0.2">
      <c r="BJ992" s="463">
        <f t="shared" si="16"/>
        <v>985</v>
      </c>
      <c r="BZ992" s="467"/>
    </row>
    <row r="993" spans="62:78" ht="15.75" customHeight="1" x14ac:dyDescent="0.2">
      <c r="BJ993" s="463">
        <f t="shared" si="16"/>
        <v>986</v>
      </c>
      <c r="BZ993" s="467"/>
    </row>
    <row r="994" spans="62:78" ht="15.75" customHeight="1" x14ac:dyDescent="0.2">
      <c r="BJ994" s="463">
        <f t="shared" si="16"/>
        <v>987</v>
      </c>
      <c r="BZ994" s="467"/>
    </row>
    <row r="995" spans="62:78" ht="15.75" customHeight="1" x14ac:dyDescent="0.2">
      <c r="BJ995" s="463">
        <f t="shared" si="16"/>
        <v>988</v>
      </c>
      <c r="BZ995" s="467"/>
    </row>
    <row r="996" spans="62:78" ht="15.75" customHeight="1" x14ac:dyDescent="0.2">
      <c r="BJ996" s="463">
        <f t="shared" si="16"/>
        <v>989</v>
      </c>
      <c r="BZ996" s="467"/>
    </row>
    <row r="997" spans="62:78" ht="15.75" customHeight="1" x14ac:dyDescent="0.2">
      <c r="BJ997" s="463">
        <f t="shared" si="16"/>
        <v>990</v>
      </c>
      <c r="BZ997" s="467"/>
    </row>
    <row r="998" spans="62:78" ht="15.75" customHeight="1" x14ac:dyDescent="0.2">
      <c r="BJ998" s="463">
        <f t="shared" si="16"/>
        <v>991</v>
      </c>
      <c r="BZ998" s="467"/>
    </row>
    <row r="999" spans="62:78" ht="15.75" customHeight="1" x14ac:dyDescent="0.2">
      <c r="BJ999" s="463">
        <f t="shared" si="16"/>
        <v>992</v>
      </c>
      <c r="BZ999" s="467"/>
    </row>
    <row r="1000" spans="62:78" ht="15.75" customHeight="1" x14ac:dyDescent="0.2">
      <c r="BJ1000" s="463">
        <f t="shared" si="16"/>
        <v>993</v>
      </c>
      <c r="BZ1000" s="467"/>
    </row>
  </sheetData>
  <sortState xmlns:xlrd2="http://schemas.microsoft.com/office/spreadsheetml/2017/richdata2" ref="B9:G1000">
    <sortCondition ref="C9"/>
    <sortCondition descending="1" ref="G9"/>
  </sortState>
  <mergeCells count="3">
    <mergeCell ref="BQ6:BS6"/>
    <mergeCell ref="BT6:BV6"/>
    <mergeCell ref="BW6:BY6"/>
  </mergeCells>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Advisors">
                <anchor moveWithCells="1">
                  <from>
                    <xdr:col>4</xdr:col>
                    <xdr:colOff>781050</xdr:colOff>
                    <xdr:row>1</xdr:row>
                    <xdr:rowOff>104775</xdr:rowOff>
                  </from>
                  <to>
                    <xdr:col>5</xdr:col>
                    <xdr:colOff>742950</xdr:colOff>
                    <xdr:row>3</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8">
    <tabColor rgb="FF989494"/>
  </sheetPr>
  <dimension ref="A1:J26"/>
  <sheetViews>
    <sheetView showGridLines="0" workbookViewId="0">
      <selection activeCell="F16" sqref="F16:J26"/>
    </sheetView>
  </sheetViews>
  <sheetFormatPr defaultRowHeight="14.25" x14ac:dyDescent="0.2"/>
  <cols>
    <col min="1" max="1" width="10.125" customWidth="1"/>
    <col min="2" max="2" width="20.5" style="571" bestFit="1" customWidth="1"/>
    <col min="5" max="5" width="25.75" customWidth="1"/>
    <col min="6" max="6" width="27.25" customWidth="1"/>
    <col min="7" max="8" width="26.25" customWidth="1"/>
    <col min="9" max="9" width="23.25" customWidth="1"/>
    <col min="10" max="10" width="13.75" customWidth="1"/>
    <col min="11" max="11" width="5.25" customWidth="1"/>
  </cols>
  <sheetData>
    <row r="1" spans="1:10" x14ac:dyDescent="0.2">
      <c r="A1" t="str">
        <f>Target</f>
        <v>NYSE:WMT</v>
      </c>
    </row>
    <row r="2" spans="1:10" x14ac:dyDescent="0.2">
      <c r="F2" t="s">
        <v>1276</v>
      </c>
      <c r="G2" t="s">
        <v>1277</v>
      </c>
      <c r="H2" t="s">
        <v>1278</v>
      </c>
      <c r="I2" t="s">
        <v>1279</v>
      </c>
      <c r="J2" t="s">
        <v>1280</v>
      </c>
    </row>
    <row r="3" spans="1:10" ht="15" x14ac:dyDescent="0.25">
      <c r="A3" s="508" t="s">
        <v>592</v>
      </c>
      <c r="B3" s="508" t="str">
        <f>_xll.ciqfunctions.udf.CIQRANGE($A$1, "IQ_PROFESSIONAL_ID", 1, 10, , , , , "Professional CIQ ID")</f>
        <v>Professional CIQ ID</v>
      </c>
      <c r="C3" s="508" t="str">
        <f>_xll.ciqfunctions.udf.CIQRANGE($A$1, "IQ_PROFESSIONAL", 1, 10, , , , , "Name")</f>
        <v>Name</v>
      </c>
      <c r="D3" s="508" t="str">
        <f>_xll.ciqfunctions.udf.CIQRANGE($A$1, "IQ_PROFESSIONAL_TITLE", 1, 10, , , , , "Title")</f>
        <v>Title</v>
      </c>
      <c r="E3" s="508" t="str">
        <f>_xll.ciqfunctions.udf.CIQRANGE($A$1, "IQ_PROFESSIONAL_BACKGROUND", 1, 10, , , , , "Professional Background")</f>
        <v>Professional Background</v>
      </c>
      <c r="F3" s="508" t="s">
        <v>1271</v>
      </c>
      <c r="G3" s="508" t="s">
        <v>1272</v>
      </c>
      <c r="H3" s="508" t="s">
        <v>1273</v>
      </c>
      <c r="I3" s="508" t="s">
        <v>1274</v>
      </c>
      <c r="J3" s="508" t="s">
        <v>1275</v>
      </c>
    </row>
    <row r="4" spans="1:10" x14ac:dyDescent="0.2">
      <c r="A4">
        <v>1</v>
      </c>
      <c r="B4" s="571" t="str">
        <f>_xll.ciqfunctions.udf.CIQ("NYSE:WMT", "IQ_PROFESSIONAL_ID", 1)</f>
        <v>IQ21958515</v>
      </c>
      <c r="C4" t="str">
        <f>_xll.ciqfunctions.udf.CIQ("NYSE:WMT", "IQ_PROFESSIONAL", 1)</f>
        <v>McMillon, C.</v>
      </c>
      <c r="D4" t="str">
        <f>_xll.ciqfunctions.udf.CIQ("NYSE:WMT", "IQ_PROFESSIONAL_TITLE", 1)</f>
        <v>President, CEO &amp; Director</v>
      </c>
      <c r="E4" t="str">
        <f>_xll.ciqfunctions.udf.CIQ("NYSE:WMT", "IQ_PROFESSIONAL_BACKGROUND", 1)</f>
        <v>Mr. C. Douglas McMillon, also known as Doug, has been the Chief Executive Officer and President of Walmart Inc. (formerly known as Wal-Mart Stores, Inc.) since February 1, 2014. Mr. McMillon served as the President and Chief Executive Officer of Wal-Mart International Operations at Walmart Inc. (formerly known as Wal-Mart Stores, Inc.) from February 1, 2009 to January 2014. He served as an Executive Vice President of Walmart Inc. (formerly known as Wal-Mart Stores, Inc.) since August 4, 2005. He served as the Chief Executive Officer of Sam's Club Discount Warehouse Stores Operations from August 4, 2005 to February 1, 2009. He served as the Chief Executive Officer and President of SAM'S West, Inc. from August 4, 2005 to January 2009. He was responsible for the overall corporate strategy and direction of Sam's Club. Mr. McMillon served as an Executive Vice President of Merchandising and Replenishment of Sam's Club of Walmart Inc. (formerly known as Wal-Mart Stores, Inc.) until August 2005. He worked two consecutive summers as an Associate at the Wal-Mart Distribution Centers in Northwest Arkansas. He served as a Buyer Trainee for Wal-Mart working in Store #894 in Tulsa, OK. Mr. McMillon served as a Buyer for Food and Candy, Ladieswear and Crafts, a Divisional Merchandise Manager for Home Furnishings and Infants and Toddlers, Vice President and General Merchandise Manager at Sam’s Club International and Senior Vice President and General Merchandise Manager at Walmart Inc. (formerly known as Wal-Mart Stores, Inc.), where he oversaw purchases for Toys, Electronics, Video Games, Photo, Sporting Goods, Stationary and Office Supplies. He serves as a Director of National Chapter of Students in Free Enterprise (SIFE). He has been a Director of Walmart Inc. (formerly known as Wal-Mart Stores, Inc.) since November 25, 2013. He serves as of Director of US-China Business Council, Inc. He serves on the Executive Board of Director of Center of Retailing Excellence at the University of Arkansas and on the Corporate Board of Advisors for National Council at La Raza. He has been a Director of Walmart Inc. (formerly known as Wal-Mart Stores, Inc.) since November 25, 2013. He served as Director of Massmart Holdings Limited from June 20, 2011 to August 20, 2012. He served as a Director of Wal-Mart de Mexico SAB De CV since 2009. He has been recognized as a Young Global Leader by the World Economic Forum. Mr. McMillon also serves as a member of the executive committee of the Business Roundtable, and serves as a member of the boards of directors of a number of organizations, including The Consumer Goods Forum, The US-China Business Council, and Crystal Bridges Museum of American Art. Mr. McMillon graduated from the University of Arkansas in Fayetteville, with a Bachelor of Science in Business Administration (BSBA) in Accounting. Mr. McMillon received an M.B.A. in Finance from the University of Tulsa. He was Chief Executive Officer and President of Walmart Inc. at Wal-Mart.com USA, LLC.</v>
      </c>
      <c r="F4" t="str">
        <f>TRIM(_xll.ciqfunctions.udf.CIQ($B4, F$2))</f>
        <v>Walmart Inc.</v>
      </c>
      <c r="G4" s="571" t="str">
        <f>TRIM(_xll.ciqfunctions.udf.CIQ($B4, G$2))</f>
        <v>Sam's West, Inc., Wal-Mart Canada Corp., Wal-Mart de México, S.A.B. de C.V., Wal-Mart International, Wal-Mart.com USA, LLC</v>
      </c>
      <c r="H4" s="571" t="str">
        <f>TRIM(_xll.ciqfunctions.udf.CIQ($B4, H$2))</f>
        <v>Walmart Inc.</v>
      </c>
      <c r="I4" s="571" t="str">
        <f>TRIM(_xll.ciqfunctions.udf.CIQ($B4, I$2))</f>
        <v>Massmart Holdings Limited, Wal-Mart de México, S.A.B. de C.V.</v>
      </c>
      <c r="J4" s="571" t="str">
        <f>TRIM(_xll.ciqfunctions.udf.CIQ($B4, J$2))</f>
        <v>Chief Executive Officer, Member of the Board of Directors, President, Senior Key Executive(Prior), Unit CEO(Prior), Unit President(Prior)</v>
      </c>
    </row>
    <row r="5" spans="1:10" x14ac:dyDescent="0.2">
      <c r="A5">
        <v>2</v>
      </c>
      <c r="B5" s="571" t="str">
        <f>_xll.ciqfunctions.udf.CIQ("NYSE:WMT", "IQ_PROFESSIONAL_ID", 2)</f>
        <v>IQ313897242</v>
      </c>
      <c r="C5" t="str">
        <f>_xll.ciqfunctions.udf.CIQ("NYSE:WMT", "IQ_PROFESSIONAL", 2)</f>
        <v>Biggs, M.</v>
      </c>
      <c r="D5" t="str">
        <f>_xll.ciqfunctions.udf.CIQ("NYSE:WMT", "IQ_PROFESSIONAL_TITLE", 2)</f>
        <v>Executive VP &amp; CFO</v>
      </c>
      <c r="E5" t="str">
        <f>_xll.ciqfunctions.udf.CIQ("NYSE:WMT", "IQ_PROFESSIONAL_BACKGROUND", 2)</f>
        <v>Mr. M. Brett Biggs serves as Director at Adobe Inc since January 10, 2022. He has been the Chief Financial Officer and Executive Vice President at Walmart Inc. (formerly known as Wal-Mart Stores, Inc.) since January 1, 2016., where he is responsible for all global finance and indirect procurement functions as well as corporate strategy. His oversight has also included the company’s global Enterprise Business Services work to drive innovation and deliver digital technology and finance transformation initiatives worldwide. Mr. Biggs served as the Executive Vice President &amp; Chief Financial Officer of International Division at Walmart Inc. (formerly known as Wal-Mart Stores, Inc.) from January 2014 to December 31, 2015. He joined Wal-Mart in 2000 and is responsible for all financial activities and strategy for Sam’s Club. Mr. Biggs worked in all of the retailer's three major divisions since 2000. Mr. Biggs served as Chief Financial Officer of Sam's West, Inc. He served as Chief Financial Officer of Walmart U.S. from January 2013 to January 2014 and held senior positions in the Sam's Club division before that. Previous to that, he served in various capacities including Senior Vice President of Global Finance and Senior Vice President of International Strategy and Mergers &amp; Acquisitions. He serves on the American Red Cross Board of Governors, Walton Arts Center Board and the Board of Regents at Pepperdine University. Within Walmart, he serves on the Walmart Foundation Board and is an executive sponsor for the Hispanic/Latino Resource Group. He led the strategy and execution for Wal-Mart’s entry into Japan and India as well as acquisitions and Partnerships in China, the U.K., Brazil and Central America. He was Senior Vice President of Corporate Finance and Senior Vice President of Operations for Sam’s Club. Prior to joining Wal-Mart, Mr. Biggs served various M&amp;A and corporate finance positions with Leggett &amp; Platt, a Fortune 500 diversified manufacturing company, Phillips Petroleum Co. and Price Waterhouse. He served as a Director of Wal-Mart de Mexico SAB De CV since 2014 until 2016. Mr. Biggs graduated Summa Cum Laude from Harding University with a B.A. in Accounting and an MBA with Honors from Oklahoma State University.</v>
      </c>
      <c r="F5" t="str">
        <f>TRIM(_xll.ciqfunctions.udf.CIQ($B5, F$2))</f>
        <v>Walmart Inc.</v>
      </c>
      <c r="G5" t="str">
        <f>TRIM(_xll.ciqfunctions.udf.CIQ($B5, G$2))</f>
        <v>Sam's West, Inc.</v>
      </c>
      <c r="H5" t="str">
        <f>TRIM(_xll.ciqfunctions.udf.CIQ($B5, H$2))</f>
        <v>Adobe Inc.</v>
      </c>
      <c r="I5" t="str">
        <f>TRIM(_xll.ciqfunctions.udf.CIQ($B5, I$2))</f>
        <v>Wal-Mart de México, S.A.B. de C.V.</v>
      </c>
      <c r="J5" t="str">
        <f>TRIM(_xll.ciqfunctions.udf.CIQ($B5, J$2))</f>
        <v>Chief Financial Officer, Finance and Accounting Professional(Prior), Senior Key Executive(Prior)</v>
      </c>
    </row>
    <row r="6" spans="1:10" x14ac:dyDescent="0.2">
      <c r="A6">
        <v>3</v>
      </c>
      <c r="B6" s="571" t="str">
        <f>_xll.ciqfunctions.udf.CIQ("NYSE:WMT", "IQ_PROFESSIONAL_ID", 3)</f>
        <v>IQ615814011</v>
      </c>
      <c r="C6" t="str">
        <f>_xll.ciqfunctions.udf.CIQ("NYSE:WMT", "IQ_PROFESSIONAL", 3)</f>
        <v>Kumar, Suresh</v>
      </c>
      <c r="D6" t="str">
        <f>_xll.ciqfunctions.udf.CIQ("NYSE:WMT", "IQ_PROFESSIONAL_TITLE", 3)</f>
        <v>Global CTO, Chief Development Officer &amp; Executive VP</v>
      </c>
      <c r="E6" t="str">
        <f>_xll.ciqfunctions.udf.CIQ("NYSE:WMT", "IQ_PROFESSIONAL_BACKGROUND", 3)</f>
        <v>Mr. Suresh Kumar serves as Director at Flipkart Online Services Pvt. Ltd. since 2021. Mr. Kumar serves as  Executive Vice President, Global Chief Technology Officer and Chief Development Officer at Walmart Inc. since July 2019. He has experience of technology leadership experience coming from Google, Microsoft, Amazon and IBM. He was most recently at Google, serving as vice president and general manager of display, video, app ads and analytics. From February 2018 until June 2019, Mr. Kumar was Vice President and General Manager at Google LLC. Prior to Google, he was the corporate vice president of Microsoft’s cloud infrastructure and operations from May 2014 to February 2018. He spent 15 years at Amazon in various leadership roles, including vice president of technology for retail systems and operations, and he led Amazon’s retail supply chain and inventory management systems. Before Amazon, he was a research staff member at the IBM Thomas J. Watson Research Center. He holds a PhD in Engineering from Princeton University, and a Bachelor of Technology from the Indian Institute of Technology, Madras.</v>
      </c>
      <c r="F6" t="str">
        <f>TRIM(_xll.ciqfunctions.udf.CIQ($B6, F$2))</f>
        <v>Walmart Inc.</v>
      </c>
      <c r="G6" t="str">
        <f>TRIM(_xll.ciqfunctions.udf.CIQ($B6, G$2))</f>
        <v>0</v>
      </c>
      <c r="H6" t="str">
        <f>TRIM(_xll.ciqfunctions.udf.CIQ($B6, H$2))</f>
        <v>Flipkart Online Services Pvt. Ltd.</v>
      </c>
      <c r="I6" t="str">
        <f>TRIM(_xll.ciqfunctions.udf.CIQ($B6, I$2))</f>
        <v>0</v>
      </c>
      <c r="J6" t="str">
        <f>TRIM(_xll.ciqfunctions.udf.CIQ($B6, J$2))</f>
        <v>Chief Technology Officer</v>
      </c>
    </row>
    <row r="7" spans="1:10" x14ac:dyDescent="0.2">
      <c r="A7">
        <v>4</v>
      </c>
      <c r="B7" s="571" t="str">
        <f>_xll.ciqfunctions.udf.CIQ("NYSE:WMT", "IQ_PROFESSIONAL_ID", 4)</f>
        <v>IQ267447160</v>
      </c>
      <c r="C7" t="str">
        <f>_xll.ciqfunctions.udf.CIQ("NYSE:WMT", "IQ_PROFESSIONAL", 4)</f>
        <v>McKenna, Judith</v>
      </c>
      <c r="D7" t="str">
        <f>_xll.ciqfunctions.udf.CIQ("NYSE:WMT", "IQ_PROFESSIONAL_TITLE", 4)</f>
        <v>Executive VP, President &amp; CEO of Walmart International</v>
      </c>
      <c r="E7" t="str">
        <f>_xll.ciqfunctions.udf.CIQ("NYSE:WMT", "IQ_PROFESSIONAL_BACKGROUND", 4)</f>
        <v>Ms. Judith McKenna has been President and Chief Executive Officer of Walmart International since February 1, 2018. Ms. McKenna has been Executive Vice President, President and Chief Executive Officer (CEO) of Walmart International at Walmart Inc. (formerly known as Wal-Mart Stores, Inc.) since February 1, 2018. Ms. McKenna served as the Chief Operating Officer at Wal-Mart.com USA, LLC from February 2015 to January 2018 and Executive Vice President since April 2014 with responsibilities for its U.S. store operations, including more than 4,500 retail locations. Ms. McKenna served as Chief Development Officer of Walmart Inc. (formerly known as Wal-Mart Stores, Inc.) from April 2014 to February 2015. She led the strategy, development and growth of Walmart’s small-format business and Walmart Services, as well as the development of new formats and the integration of digital commerce into existing store formats. She served as Executive Vice President of Strategy and International Development for Walmart International from April 2013 to April 2014. There, she led several areas including international strategy, real estate, mergers and acquisitions, integration, global format development and purchase leverage. She served as the Chief Operating Officer of ASDA Group Ltd. from July 2011 to April 2013 and ASDA Stores Limited. Ms. McKenna served in a variety of roles since joining Walmart Inc. (formerly known as Wal-Mart Stores, Inc.) in 1996, including as the Chief Financial Officer of ASDA Group Ltd. She has been Director of Wal-Mart Stores (UK) Ltd Since April 29, 2018. She is a passionate ambassador for diversity and a respected judge for a number of equality and diversity awards in the U.K. She is a Trustee of Asda’s Tickled Pink charity which has raised $58 million for Breast Cancer charities over the last 17 years and in 2012 she was awarded the prestigious “Retail Woman of the Year” award. Prior to joining Asda, she worked at Allied Domecq in the leisure and brewing industry in a variety of finance roles. She graduated with an honours degree in law from Hull University in England before gaining her ICAEW accounting qualification at KPMG, one of the U.K.’s leading accounting firms. In 2013, she was awarded an honorary doctorate in law from Hull University.</v>
      </c>
      <c r="F7" t="str">
        <f>TRIM(_xll.ciqfunctions.udf.CIQ($B7, F$2))</f>
        <v>Wal-Mart International, Walmart Inc.</v>
      </c>
      <c r="G7" t="str">
        <f>TRIM(_xll.ciqfunctions.udf.CIQ($B7, G$2))</f>
        <v>ASDA Group Limited, Asda Stores Limited, Wal-Mart.com USA, LLC</v>
      </c>
      <c r="H7" t="str">
        <f>TRIM(_xll.ciqfunctions.udf.CIQ($B7, H$2))</f>
        <v>Wal-Mart Stores (UK) Limited</v>
      </c>
      <c r="I7" t="str">
        <f>TRIM(_xll.ciqfunctions.udf.CIQ($B7, I$2))</f>
        <v>0</v>
      </c>
      <c r="J7" t="str">
        <f>TRIM(_xll.ciqfunctions.udf.CIQ($B7, J$2))</f>
        <v>Operations Professional(Prior), Other Key Executive(Prior), Senior Key Executive</v>
      </c>
    </row>
    <row r="8" spans="1:10" x14ac:dyDescent="0.2">
      <c r="A8">
        <v>5</v>
      </c>
      <c r="B8" s="571" t="str">
        <f>_xll.ciqfunctions.udf.CIQ("NYSE:WMT", "IQ_PROFESSIONAL_ID", 5)</f>
        <v>IQ313896666</v>
      </c>
      <c r="C8" t="str">
        <f>_xll.ciqfunctions.udf.CIQ("NYSE:WMT", "IQ_PROFESSIONAL", 5)</f>
        <v>Furner, John</v>
      </c>
      <c r="D8" t="str">
        <f>_xll.ciqfunctions.udf.CIQ("NYSE:WMT", "IQ_PROFESSIONAL_TITLE", 5)</f>
        <v>Executive VP, CEO &amp; President of Walmart US</v>
      </c>
      <c r="E8" t="str">
        <f>_xll.ciqfunctions.udf.CIQ("NYSE:WMT", "IQ_PROFESSIONAL_BACKGROUND", 5)</f>
        <v>Mr. John R. Furner serves as Executive Vice President of Walmart Inc. and has been its President &amp; Chief Executive Officer of Walmart U.S. since November 2019. Mr. Furner has been President and Chief Executive Officer of Wal-Mart.com USA, LLC, since November 1, 2019. He served as Executive Vice President, Chief Executive Officer and President of Sam’s Club at Walmart Inc. (formerly known as Wal-Mart Stor</v>
      </c>
      <c r="F8" t="str">
        <f>TRIM(_xll.ciqfunctions.udf.CIQ($B8, F$2))</f>
        <v>Walmart Inc.</v>
      </c>
      <c r="G8" t="str">
        <f>TRIM(_xll.ciqfunctions.udf.CIQ($B8, G$2))</f>
        <v>Sam's West, Inc., Wal-Mart.com USA, LLC</v>
      </c>
      <c r="H8" t="str">
        <f>TRIM(_xll.ciqfunctions.udf.CIQ($B8, H$2))</f>
        <v>0</v>
      </c>
      <c r="I8" t="str">
        <f>TRIM(_xll.ciqfunctions.udf.CIQ($B8, I$2))</f>
        <v>0</v>
      </c>
      <c r="J8" t="str">
        <f>TRIM(_xll.ciqfunctions.udf.CIQ($B8, J$2))</f>
        <v>Marketing Professional(Prior), Senior Key Executive, Senior Key Executive(Prior)</v>
      </c>
    </row>
    <row r="9" spans="1:10" x14ac:dyDescent="0.2">
      <c r="A9">
        <v>6</v>
      </c>
      <c r="B9" s="571" t="str">
        <f>_xll.ciqfunctions.udf.CIQ("NYSE:WMT", "IQ_PROFESSIONAL_ID", 6)</f>
        <v>IQ601591865</v>
      </c>
      <c r="C9" t="str">
        <f>_xll.ciqfunctions.udf.CIQ("NYSE:WMT", "IQ_PROFESSIONAL", 6)</f>
        <v>McLay, Kathryn</v>
      </c>
      <c r="D9" t="str">
        <f>_xll.ciqfunctions.udf.CIQ("NYSE:WMT", "IQ_PROFESSIONAL_TITLE", 6)</f>
        <v>Executive VP, President &amp; CEO of Sam’s Club Division</v>
      </c>
      <c r="E9" t="str">
        <f>_xll.ciqfunctions.udf.CIQ("NYSE:WMT", "IQ_PROFESSIONAL_BACKGROUND", 6)</f>
        <v>Ms. Kathryn McLay has been Corporate Executive Vice President, President and Chief Executive Officer at Sam's West, Inc. since November 15, 2019. She has been Executive Vice President, President and Chief Executive Officer of Sam’s Club Division at Walmart Inc. since November 15, 2019. She served as Executive Vice President of Neighborhood Markets, Walmart U.S. since February 2019 until November 15, 2019. Her responsibilities include the growth and overall operations of Neighborhood Markets across the U.S. Ms. McLay joined Walmart in April 2015 as the Vice President of U.S. Finance and Strategy, where she led the Legacy strategy – a set of initiatives identified by Walmart U.S. as critical to transforming the U.S. business. She was then promoted to Senior Vice President of supply chain, where she had oversight of U.S. flow. In this role, she led the organization to develop an integrated end-to-end Walmart U.S. supply chain. In addition to her strategic role, she led the Import and Reverse Supply Chain teams, where she was responsible for ensuring product flows throughout international and domestic distribution channels to and from stores at the right time and with the highest quality. Ms. McLay commenced her career in 1992 at Deloitte as an undergraduate cadet .After years in both external and internal audit, she moved to Qantas where she was promoted to Internal Audit Manager. In 2001, Kathryn joined Australian retailer Woolworths as the Corporate Audit Manager and completed her professional studies as a Certified Internal Auditor. In 2004, Ms. McLay was appointed Head of Audit reporting to the CEO and the Audit Committee Chair. In 2007, she was selected as the General Manager for Business Development and subsequently held executive leadership roles throughout Woolworths’ retail and supply chain, including the General Manager for Cost, Northern Logistics Operations Manager for warehousing and transportation, and General Manager of Replenishment. She also played an active role within the professional auditing and retailing communities. In 2004, she joined the Board of the Institute of Internal Auditors as a Director. She was later appointed as President and Chairman of the Institute of Internal Auditors in 2007. In 2012, Ms. McLay was also appointed to the Board of ECRA, an industry Board comprised of Retailers and Suppliers. She finished her business degree and her postgraduate studies in psychology.</v>
      </c>
      <c r="F9" t="str">
        <f>TRIM(_xll.ciqfunctions.udf.CIQ($B9, F$2))</f>
        <v>Sam's West, Inc., Walmart Inc.</v>
      </c>
      <c r="G9" t="str">
        <f>TRIM(_xll.ciqfunctions.udf.CIQ($B9, G$2))</f>
        <v>0</v>
      </c>
      <c r="H9" t="str">
        <f>TRIM(_xll.ciqfunctions.udf.CIQ($B9, H$2))</f>
        <v>0</v>
      </c>
      <c r="I9" t="str">
        <f>TRIM(_xll.ciqfunctions.udf.CIQ($B9, I$2))</f>
        <v>0</v>
      </c>
      <c r="J9" t="str">
        <f>TRIM(_xll.ciqfunctions.udf.CIQ($B9, J$2))</f>
        <v>Senior Key Executive</v>
      </c>
    </row>
    <row r="10" spans="1:10" x14ac:dyDescent="0.2">
      <c r="A10">
        <v>7</v>
      </c>
      <c r="B10" s="571" t="str">
        <f>_xll.ciqfunctions.udf.CIQ("NYSE:WMT", "IQ_PROFESSIONAL_ID", 7)</f>
        <v>IQ650137783</v>
      </c>
      <c r="C10" t="str">
        <f>_xll.ciqfunctions.udf.CIQ("NYSE:WMT", "IQ_PROFESSIONAL", 7)</f>
        <v>Nicholas, Christopher</v>
      </c>
      <c r="D10" t="str">
        <f>_xll.ciqfunctions.udf.CIQ("NYSE:WMT", "IQ_PROFESSIONAL_TITLE", 7)</f>
        <v>Executive VP &amp; COO</v>
      </c>
      <c r="E10" t="str">
        <f>_xll.ciqfunctions.udf.CIQ("NYSE:WMT", "IQ_PROFESSIONAL_BACKGROUND", 7)</f>
        <v>Mr. Christopher Nicholas, also known as Chris, serves as Director of ASDA Group Limited. He serves as Executive Vice President since 2021 &amp; Chief Operating Officer since October 6, 2021 of Walmart Inc. He served as Executive Vice President and Chief Financial Officer of Walmart International at Walmart Inc. since January 4, 2020 until 2021 and served as its Executive Vice President and Chief Financial Officer of Walmart U.S. since 2021 until October 6, 2021. He joined Walmart in August 2018 as senior Vice President and deputy Chief Financial Officerof Walmart International. He served as Director of Wal-Mart de México SAB. de C.V. He is the Chief Financial Officer of Salling Group A/S. Mr. Christopher Nicholas serves as Chief Financial Officer of Salling Group A/S (formerly known as Dansk Supermarked A/S). He joined Walmart Inc. in 2018 as Senior Vice President and Deputy Director of Finance leading the following teams: Business Performance (FP&amp;A), Global Sourcing, Technology Finance and ISM Commercial. During his career, Christopher has held senior leadership positions across several core retail functions, including Merchandising, GNFR, Real Estate, Audit, Treasury, Investor Relations, M&amp;A, Strategy and a number of internationally based Chief Financial Officer roles for Tesco. He is a chartered Accountant and has a BSc in Management Sciences (Economics) from the University of Manchester Institute of Science and Technology.</v>
      </c>
      <c r="F10" t="str">
        <f>TRIM(_xll.ciqfunctions.udf.CIQ($B10, F$2))</f>
        <v>Salling Group A/S, Walmart Inc.</v>
      </c>
      <c r="G10" t="str">
        <f>TRIM(_xll.ciqfunctions.udf.CIQ($B10, G$2))</f>
        <v>0</v>
      </c>
      <c r="H10" t="str">
        <f>TRIM(_xll.ciqfunctions.udf.CIQ($B10, H$2))</f>
        <v>ASDA Group Limited</v>
      </c>
      <c r="I10" t="str">
        <f>TRIM(_xll.ciqfunctions.udf.CIQ($B10, I$2))</f>
        <v>Wal-Mart de México, S.A.B. de C.V.</v>
      </c>
      <c r="J10" t="str">
        <f>TRIM(_xll.ciqfunctions.udf.CIQ($B10, J$2))</f>
        <v>Chief Operating Officer, Finance and Accounting Professional(Prior), Senior Key Executive(Prior)</v>
      </c>
    </row>
    <row r="11" spans="1:10" x14ac:dyDescent="0.2">
      <c r="A11">
        <v>8</v>
      </c>
      <c r="B11" s="571" t="str">
        <f>_xll.ciqfunctions.udf.CIQ("NYSE:WMT", "IQ_PROFESSIONAL_ID", 8)</f>
        <v>IQ586922683</v>
      </c>
      <c r="C11" t="str">
        <f>_xll.ciqfunctions.udf.CIQ("NYSE:WMT", "IQ_PROFESSIONAL", 8)</f>
        <v>Binder, Daniel</v>
      </c>
      <c r="D11" t="str">
        <f>_xll.ciqfunctions.udf.CIQ("NYSE:WMT", "IQ_PROFESSIONAL_TITLE", 8)</f>
        <v>Senior Vice President of Investor Relations</v>
      </c>
      <c r="E11" t="str">
        <f>_xll.ciqfunctions.udf.CIQ("NYSE:WMT", "IQ_PROFESSIONAL_BACKGROUND", 8)</f>
        <v>Mr. Daniel Thomas Binder, CFA, also known as Dan, is Senior Vice President of Investor Relations at Walmart Inc. He was Vice President of Investor Relations at Walmart Inc. since July 2018. Mr. Binder served as a Managing Director and Senior Equity Research Analyst at Jefferies LLC, Research Division. He covered the broadline retail, department stores, consumer products, and hardline retail within the consumer sector of United States equity research. Mr. Binder joined Jefferies in July 2007 and has up to 18 years of experience as an Equity Research Analyst. Prior to this, he was at The Buckingham Research Group, where he spent over seven years as a Senior Vice President covering the broadline and hardline retail sectors. Prior to this, he held an Equity Research Analyst position at Brown Brothers Harriman &amp; Co., Research Division, where he spent nearly three years covering the broadline and hardline retail sectors. Mr. Binder began his career in retail equity research at Morgan Stanley Dean Witter, where he spent two and a half years. He has also been ranked in the past in the Best on the Street Annual Analyst Survey conducted by The Wall Street Journal. Mr. Binder is a CFA charterholder. He holds a Bachelor of Science from St. John’s University, where he graduated with honors.</v>
      </c>
      <c r="F11" t="str">
        <f>TRIM(_xll.ciqfunctions.udf.CIQ($B11, F$2))</f>
        <v>Walmart Inc.</v>
      </c>
      <c r="G11" t="str">
        <f>TRIM(_xll.ciqfunctions.udf.CIQ($B11, G$2))</f>
        <v>Brown Brothers Harriman &amp; Co., Research Division, Jefferies LLC, Research Division, The Buckingham Research Group Incorporated</v>
      </c>
      <c r="H11" t="str">
        <f>TRIM(_xll.ciqfunctions.udf.CIQ($B11, H$2))</f>
        <v>0</v>
      </c>
      <c r="I11" t="str">
        <f>TRIM(_xll.ciqfunctions.udf.CIQ($B11, I$2))</f>
        <v>0</v>
      </c>
      <c r="J11" t="str">
        <f>TRIM(_xll.ciqfunctions.udf.CIQ($B11, J$2))</f>
        <v>Head of Investor Relations, Investor Relations Professional, Other Key Executive(Prior)</v>
      </c>
    </row>
    <row r="12" spans="1:10" x14ac:dyDescent="0.2">
      <c r="A12">
        <v>9</v>
      </c>
      <c r="B12" s="571" t="str">
        <f>_xll.ciqfunctions.udf.CIQ("NYSE:WMT", "IQ_PROFESSIONAL_ID", 9)</f>
        <v>IQ552858514</v>
      </c>
      <c r="C12" t="str">
        <f>_xll.ciqfunctions.udf.CIQ("NYSE:WMT", "IQ_PROFESSIONAL", 9)</f>
        <v>Brand, Rachel</v>
      </c>
      <c r="D12" t="str">
        <f>_xll.ciqfunctions.udf.CIQ("NYSE:WMT", "IQ_PROFESSIONAL_TITLE", 9)</f>
        <v>Executive VP of Global Governance, Chief Legal Officer &amp; Corporate Secretary</v>
      </c>
      <c r="E12" t="str">
        <f>_xll.ciqfunctions.udf.CIQ("NYSE:WMT", "IQ_PROFESSIONAL_BACKGROUND", 9)</f>
        <v>Ms. Rachel L. Brand has been Executive Vice President of Global Governance, Chief Legal Officer and Corporate Secretary at Walmart Inc. (formerly known as Wal-Mart Stores Inc.) since April 2, 2018. Ms. Brand is responsible for the organization’s Legal, Global Ethics and Compliance and Global Investigation, Security, Aviation and Travel departments, along with her role as corporate secretary. She has deep academic and professional experience to her role, coming to the company from the U.S. Department of Justice, where she served as Associate Attorney General from May 2017 to February 2018, the department’s third-ranking position. Ms. Brand, the first woman to serve as Associate Attorney General, was confirmed by the U.S. Senate and sworn into office May 22, 2017. As Associate Attorney General, she oversaw thousands of attorneys and professionals across the department’s civil law divisions, including Antitrust, Tax and Environment and Natural Resources. After graduating from Harvard Law School, where she served as deputy editor-in-chief of the Harvard Journal of Law and Public Policy, she clerked on the Massachusetts Supreme Court and then the U.S. Supreme Court, where she clerked for Justice Anthony Kennedy. She previously served as Assistant Attorney General for the Office of Legal Policy in the George W. Bush administration and was appointed by President Barack Obama to served on the Privacy and Civil Liberties Oversight Board from August 2012 to February 2017. Outside of government, she served as an Associate Professor of law at George Mason University’s Antonin Scalia Law School from January 2017 to May 2017, an adjunct professor at George Washington University Law School and a private-practice lawyer in Washington, D.C. She earned a Bachelor of Arts degree from the University of Minnesota-Morris and her J.D. from Harvard Law School.</v>
      </c>
      <c r="F12" t="str">
        <f>TRIM(_xll.ciqfunctions.udf.CIQ($B12, F$2))</f>
        <v>Walmart Inc.</v>
      </c>
      <c r="G12" t="str">
        <f>TRIM(_xll.ciqfunctions.udf.CIQ($B12, G$2))</f>
        <v>0</v>
      </c>
      <c r="H12" t="str">
        <f>TRIM(_xll.ciqfunctions.udf.CIQ($B12, H$2))</f>
        <v>0</v>
      </c>
      <c r="I12" t="str">
        <f>TRIM(_xll.ciqfunctions.udf.CIQ($B12, I$2))</f>
        <v>0</v>
      </c>
      <c r="J12" t="str">
        <f>TRIM(_xll.ciqfunctions.udf.CIQ($B12, J$2))</f>
        <v>Chief Legal Officer, Secretary</v>
      </c>
    </row>
    <row r="13" spans="1:10" x14ac:dyDescent="0.2">
      <c r="A13">
        <v>10</v>
      </c>
      <c r="B13" s="571" t="str">
        <f>_xll.ciqfunctions.udf.CIQ("NYSE:WMT", "IQ_PROFESSIONAL_ID", 10)</f>
        <v>IQ1677958467</v>
      </c>
      <c r="C13" t="str">
        <f>_xll.ciqfunctions.udf.CIQ("NYSE:WMT", "IQ_PROFESSIONAL", 10)</f>
        <v>Miner, Matthew</v>
      </c>
      <c r="D13" t="str">
        <f>_xll.ciqfunctions.udf.CIQ("NYSE:WMT", "IQ_PROFESSIONAL_TITLE", 10)</f>
        <v>Executive VP and Global Chief Ethics &amp; Compliance Officer</v>
      </c>
      <c r="E13" t="str">
        <f>_xll.ciqfunctions.udf.CIQ("NYSE:WMT", "IQ_PROFESSIONAL_BACKGROUND", 10)</f>
        <v>Mr. Matthew Miner, also known as Matt, serves as Executive Vice President and Global Chief Ethics and Compliance Officer of Walmart Inc. since August 2021. He was also a partner at Morgan, Lewis &amp; Bockius LLP from 2012 to February 2018 and its Leader of the Washington White Collar Litigation and Government Enforcement Practice before being appointed to the Justice Department. He had been a Partner at White &amp; Case, L.L.P. since May 2011. Mr. Miner joined White &amp; Case from the US Senate, where he was Minority Staff Director on the Judiciary and where he had also served as counsel on Investigations. Prior to that, he served as a Deputy Assistant Attorney General in the Criminal Division of the U.S. Department of Justice. Among his accomplishments, he was the architect of the Division’s groundbreaking Evaluation of Corporate Compliance Program (ECCP) guidance, as well as first-of-its-kind training to educate prosecutors on compliance program design and key compliance challenges. He managed the Criminal Division’s Fraud and Appellate Sections, including the Department’s Foreign Corrupt Practices Act (FCPA) Unit, the Market Integrity and Major Frauds Unit, and the nationwide Medicare Fraud Strike Force program. He has served as minority deputy staff director and senior counsel and as minority chief counsel of its Administrative Oversight and the Courts. Mr. Miner has also held the positions of majority chief counsel for crime, terrorism and oversight for the Senate Judiciary and as majority counsel for the Senate Permanent on Investigations. As part of his Senate staff responsibilities, Mr. Miner has handled key criminal law and national security legislation such as the Fair Sentencing Act, reauthorization of the Patriot Act and efforts to revise the honest services fraud statute following the US Supreme Court decision in Skilling v. United States. He also helped manage numerous high-level confirmation hearings, including the Supreme Court nominations of Elena Kagan and Sonia Sotomayor and the US Attorney General nomination of Eric Holder. In 2007, Mr. Miner served as the lead minority counsel in one of the largest congressional oversight investigations in recent history. Prior to his Senate service, Mr. Miner was an Assistant US Attorney in the Office of the US Attorney in the Middle District of Alabama, where he served as corporate fraud coordinator and managed the largest corporate fraud investigation in the district's history. He holds a Bachelor of Arts in Economics from the University of Cincinnati and a Juris Doctor from the University of Michigan Law School.</v>
      </c>
      <c r="F13" t="str">
        <f>TRIM(_xll.ciqfunctions.udf.CIQ($B13, F$2))</f>
        <v>Walmart Inc.</v>
      </c>
      <c r="G13" t="str">
        <f>TRIM(_xll.ciqfunctions.udf.CIQ($B13, G$2))</f>
        <v>White &amp; Case LLP</v>
      </c>
      <c r="H13" t="str">
        <f>TRIM(_xll.ciqfunctions.udf.CIQ($B13, H$2))</f>
        <v>0</v>
      </c>
      <c r="I13" t="str">
        <f>TRIM(_xll.ciqfunctions.udf.CIQ($B13, I$2))</f>
        <v>0</v>
      </c>
      <c r="J13" t="str">
        <f>TRIM(_xll.ciqfunctions.udf.CIQ($B13, J$2))</f>
        <v>Chief Compliance Officer</v>
      </c>
    </row>
    <row r="15" spans="1:10" s="571" customFormat="1" x14ac:dyDescent="0.2">
      <c r="F15" s="571" t="s">
        <v>1276</v>
      </c>
      <c r="G15" s="571" t="s">
        <v>1277</v>
      </c>
      <c r="H15" s="571" t="s">
        <v>1278</v>
      </c>
      <c r="I15" s="571" t="s">
        <v>1279</v>
      </c>
      <c r="J15" s="571" t="s">
        <v>1280</v>
      </c>
    </row>
    <row r="16" spans="1:10" ht="15" x14ac:dyDescent="0.25">
      <c r="A16" s="508" t="s">
        <v>1281</v>
      </c>
      <c r="B16" s="508" t="str">
        <f>_xll.ciqfunctions.udf.CIQRANGE($A$1, "IQ_BOARD_MEMBER_ID", 1, 10, , , , , "Board Member CIQ ID")</f>
        <v>Board Member CIQ ID</v>
      </c>
      <c r="C16" s="508" t="str">
        <f>_xll.ciqfunctions.udf.CIQRANGE($A$1,"IQ_BOARD_MEMBER",1,10,,,,,"Name")</f>
        <v>Name</v>
      </c>
      <c r="D16" s="508" t="str">
        <f>_xll.ciqfunctions.udf.CIQRANGE($A$1, "IQ_BOARD_MEMBER_TITLE", 1, 10, , , , , "Title")</f>
        <v>Title</v>
      </c>
      <c r="E16" s="508" t="str">
        <f>_xll.ciqfunctions.udf.CIQRANGE($A$1, "IQ_BOARD_MEMBER_BACKGROUND", 1, 10, , , , , "Board Member Background")</f>
        <v>Board Member Background</v>
      </c>
      <c r="F16" s="508" t="s">
        <v>1271</v>
      </c>
      <c r="G16" s="508" t="s">
        <v>1272</v>
      </c>
      <c r="H16" s="508" t="s">
        <v>1273</v>
      </c>
      <c r="I16" s="508" t="s">
        <v>1274</v>
      </c>
      <c r="J16" s="508" t="s">
        <v>1275</v>
      </c>
    </row>
    <row r="17" spans="1:10" x14ac:dyDescent="0.2">
      <c r="A17" s="571">
        <v>1</v>
      </c>
      <c r="B17" s="571" t="str">
        <f>_xll.ciqfunctions.udf.CIQ("NYSE:WMT", "IQ_BOARD_MEMBER_ID", 1)</f>
        <v>IQ43928202</v>
      </c>
      <c r="C17" t="str">
        <f>_xll.ciqfunctions.udf.CIQ("NYSE:WMT", "IQ_BOARD_MEMBER", 1)</f>
        <v>Penner, Gregory</v>
      </c>
      <c r="D17" t="str">
        <f>_xll.ciqfunctions.udf.CIQ("NYSE:WMT", "IQ_BOARD_MEMBER_TITLE", 1)</f>
        <v>Chairman</v>
      </c>
      <c r="E17" t="str">
        <f>_xll.ciqfunctions.udf.CIQ("NYSE:WMT", "IQ_BOARD_MEMBER_BACKGROUND", 1)</f>
        <v>Mr. Gregory Boyd Penner, also known as Greg, is the Founder and General Partner at Madrone Capital Partners, LLC since 2005. Mr. Penner serves as a General Partner at DT Capital Partners. From 2002 to 2005, he served as a Senior Vice President and the Chief Financial Officer at Wal-Mart Japan. From 2000 to 2002, he was responsible for the business development, legal and finance affairs at Walmart.com. He served as Senior Vice President of Finance and Strategy for Walmart.com from 2000 to 2002. He was a General Partner at Peninsula Capital Management Inc from 1997 to 2000. He was a Manager at Peninsula Capital and a Financial Analyst for Goldman, Sachs &amp; Co. He serves as Co-Chairman of Charter Fund, Inc. Mr. Penner has been the Chairman of the Board at Walmart Inc. (formerly known as Wal-Mart Stores, Inc.), since June 5, 2015. He serves as a Director of Teach For America, Inc and Outcome Software Inc. He served as a Director of Castleton Commodities International LLC, eHarmony, Inc. Since August 2018, Mr. Penner has served on the board of directors of Quibi. Mr. Penner was a Director of 99Bill Corporation since August 11, 2005. He served as a Vice Chairman of Walmart Inc. (formerly known as Wal-Mart Stores, Inc.), from June 2014 to June 2015 and as its Director since June 6, 2008. He serves as Director of Seiyu GK (formerly known as The Seiyu, Ltd.), from 2003 to 2008. He served as an Independent Director of Baidu, Inc. since May 2004 until February 26, 2017. He served as Director of Hyatt Hotels Corporation from October 2007 to September 11, 2014. He served as a Director of BioSpace.com, Inc. and Cuil, Inc. Mr. Penner holds an M.B.A. degree from the Stanford Graduate School of Business in 1997 and a B.S. in International Economics from the School of Foreign Service from the Georgetown University in 1992.</v>
      </c>
      <c r="F17" s="571" t="str">
        <f>TRIM(_xll.ciqfunctions.udf.CIQ($B17, F$2))</f>
        <v>DT Capital Partners, Madrone Capital Partners</v>
      </c>
      <c r="G17" s="571" t="str">
        <f>TRIM(_xll.ciqfunctions.udf.CIQ($B17, G$2))</f>
        <v>Peninsula Capital Management, Inc., The Goldman Sachs Group, Inc.</v>
      </c>
      <c r="H17" s="571" t="str">
        <f>TRIM(_xll.ciqfunctions.udf.CIQ($B17, H$2))</f>
        <v>eHarmony, Inc., Outcome Software, Inc., Seiyu GK, Walmart Inc.</v>
      </c>
      <c r="I17" s="571" t="str">
        <f>TRIM(_xll.ciqfunctions.udf.CIQ($B17, I$2))</f>
        <v>99Bill Corporation, Baidu, Inc., BioSpace, Inc., Cuil, Inc., Hyatt Hotels Corporation</v>
      </c>
      <c r="J17" s="571" t="str">
        <f>TRIM(_xll.ciqfunctions.udf.CIQ($B17, J$2))</f>
        <v>Chairman of Technology/Science/R&amp;D Committee(Prior), Chairman of the Board, Member of Compensation Committee(Prior), Member of Executive Committee, Member of Stock Options Committee(Prior), Member of Strategy/Strategic Planning Committee(Prior), Member of Technology/Science/R&amp;D Committee(Prior), Member of the Board of Directors, Vice Chairman(Prior)</v>
      </c>
    </row>
    <row r="18" spans="1:10" x14ac:dyDescent="0.2">
      <c r="A18" s="571">
        <v>2</v>
      </c>
      <c r="B18" s="571" t="str">
        <f>_xll.ciqfunctions.udf.CIQ("NYSE:WMT", "IQ_BOARD_MEMBER_ID", 2)</f>
        <v>IQ21958515</v>
      </c>
      <c r="C18" t="str">
        <f>_xll.ciqfunctions.udf.CIQ("NYSE:WMT", "IQ_BOARD_MEMBER", 2)</f>
        <v>McMillon, C.</v>
      </c>
      <c r="D18" t="str">
        <f>_xll.ciqfunctions.udf.CIQ("NYSE:WMT", "IQ_BOARD_MEMBER_TITLE", 2)</f>
        <v>President, CEO &amp; Director</v>
      </c>
      <c r="E18" t="str">
        <f>_xll.ciqfunctions.udf.CIQ("NYSE:WMT", "IQ_BOARD_MEMBER_BACKGROUND", 2)</f>
        <v>Mr. C. Douglas McMillon, also known as Doug, has been the Chief Executive Officer and President of Walmart Inc. (formerly known as Wal-Mart Stores, Inc.) since February 1, 2014. Mr. McMillon served as the President and Chief Executive Officer of Wal-Mart International Operations at Walmart Inc. (formerly known as Wal-Mart Stores, Inc.) from February 1, 2009 to January 2014. He served as an Executive Vice President of Walmart Inc. (formerly known as Wal-Mart Stores, Inc.) since August 4, 2005. He served as the Chief Executive Officer of Sam's Club Discount Warehouse Stores Operations from August 4, 2005 to February 1, 2009. He served as the Chief Executive Officer and President of SAM'S West, Inc. from August 4, 2005 to January 2009. He was responsible for the overall corporate strategy and direction of Sam's Club. Mr. McMillon served as an Executive Vice President of Merchandising and Replenishment of Sam's Club of Walmart Inc. (formerly known as Wal-Mart Stores, Inc.) until August 2005. He worked two consecutive summers as an Associate at the Wal-Mart Distribution Centers in Northwest Arkansas. He served as a Buyer Trainee for Wal-Mart working in Store #894 in Tulsa, OK. Mr. McMillon served as a Buyer for Food and Candy, Ladieswear and Crafts, a Divisional Merchandise Manager for Home Furnishings and Infants and Toddlers, Vice President and General Merchandise Manager at Sam’s Club International and Senior Vice President and General Merchandise Manager at Walmart Inc. (formerly known as Wal-Mart Stores, Inc.), where he oversaw purchases for Toys, Electronics, Video Games, Photo, Sporting Goods, Stationary and Office Supplies. He serves as a Director of National Chapter of Students in Free Enterprise (SIFE). He has been a Director of Walmart Inc. (formerly known as Wal-Mart Stores, Inc.) since November 25, 2013. He serves as of Director of US-China Business Council, Inc. He serves on the Executive Board of Director of Center of Retailing Excellence at the University of Arkansas and on the Corporate Board of Advisors for National Council at La Raza. He has been a Director of Walmart Inc. (formerly known as Wal-Mart Stores, Inc.) since November 25, 2013. He served as Director of Massmart Holdings Limited from June 20, 2011 to August 20, 2012. He served as a Director of Wal-Mart de Mexico SAB De CV since 2009. He has been recognized as a Young Global Leader by the World Economic Forum. Mr. McMillon also serves as a member of the executive committee of the Business Roundtable, and serves as a member of the boards of directors of a number of organizations, including The Consumer Goods Forum, The US-China Business Council, and Crystal Bridges Museum of American Art. Mr. McMillon graduated from the University of Arkansas in Fayetteville, with a Bachelor of Science in Business Administration (BSBA) in Accounting. Mr. McMillon received an M.B.A. in Finance from the University of Tulsa. He was Chief Executive Officer and President of Walmart Inc. at Wal-Mart.com USA, LLC.</v>
      </c>
      <c r="F18" t="str">
        <f>TRIM(_xll.ciqfunctions.udf.CIQ($B18, F$2))</f>
        <v>Walmart Inc.</v>
      </c>
      <c r="G18" t="str">
        <f>TRIM(_xll.ciqfunctions.udf.CIQ($B18, G$2))</f>
        <v>Sam's West, Inc., Wal-Mart Canada Corp., Wal-Mart de México, S.A.B. de C.V., Wal-Mart International, Wal-Mart.com USA, LLC</v>
      </c>
      <c r="H18" t="str">
        <f>TRIM(_xll.ciqfunctions.udf.CIQ($B18, H$2))</f>
        <v>Walmart Inc.</v>
      </c>
      <c r="I18" t="str">
        <f>TRIM(_xll.ciqfunctions.udf.CIQ($B18, I$2))</f>
        <v>Massmart Holdings Limited, Wal-Mart de México, S.A.B. de C.V.</v>
      </c>
      <c r="J18" t="str">
        <f>TRIM(_xll.ciqfunctions.udf.CIQ($B18, J$2))</f>
        <v>Chief Executive Officer, Member of the Board of Directors, President, Senior Key Executive(Prior), Unit CEO(Prior), Unit President(Prior)</v>
      </c>
    </row>
    <row r="19" spans="1:10" x14ac:dyDescent="0.2">
      <c r="A19" s="571">
        <v>3</v>
      </c>
      <c r="B19" s="571" t="str">
        <f>_xll.ciqfunctions.udf.CIQ("NYSE:WMT", "IQ_BOARD_MEMBER_ID", 3)</f>
        <v>IQ102264452</v>
      </c>
      <c r="C19" t="str">
        <f>_xll.ciqfunctions.udf.CIQ("NYSE:WMT", "IQ_BOARD_MEMBER", 3)</f>
        <v>Reinemund, Steven</v>
      </c>
      <c r="D19" t="str">
        <f>_xll.ciqfunctions.udf.CIQ("NYSE:WMT", "IQ_BOARD_MEMBER_TITLE", 3)</f>
        <v>Independent Director</v>
      </c>
      <c r="E19" t="str">
        <f>_xll.ciqfunctions.udf.CIQ("NYSE:WMT", "IQ_BOARD_MEMBER_BACKGROUND", 3)</f>
        <v>Mr. Steven S. Reinemund, also known as Steve, has been a Director at Vertiv Group Corporation. He served as an Independent Director of GS Acquisition Holdings Corp II since June 29, 2020. Mr. Reinemund was a Director of GS Acquisition Holdings Corp. since June 12, 2018. Mr. Reinemund serves as an Independent Director at Vertiv Holdings Co. since February 7, 2020. He serves as Director of Vertiv Holdings, LLC. He is a Managing Partner at Highline Group. He served as a Dean of the Calloway School of Business and Accountancy at Wake Forest University and Babcock Graduate School of Management at Wake Forest University. He was executive in residence at Wake Forest University. Mr. Reinemund served as Dean of Business and Professor of Leadership and Strategy at Wake Forest University since July 1, 2008 until June 2014. Mr. Reinemund held a distinguished career with PepsiCo, Inc. He served as the Executive Chairman of Pepsico Inc., from October 1, 2006 to May 2, 2007 and also served as its Chief Executive Officer from May 2001 to October 1, 2006 and as Chairman and Chief Executive Officer from May 2001 to October 2006. He served as the President and Chief Operating Officer of PepsiCo Inc., from September 1999 to May 2001. He began his career with PepsiCo Inc., in 1984 as a Senior Operating Officer of Pizza Hut Inc., and also served as its President and Chief Executive Officer since 1986. He served as the President and Chief Executive Officer of Pizza Hut Worldwide since 1991. He served as the Chief Executive Officer and President at Frito-Lay Inc., since 1992 and also served as its Chairman. He served as the Chairman and Chief Executive Officer of PepsiCo's global Frito-Lay business from 1996 to 1999. From 1992 to 1996, he led Frito-Lay North America. He served five years as an Officer in the United States Marine Corps, achieved the rank of Captain. He served as the Chairman of PepsiCo Inc., since May 2007. From 1990 to 1999, he served as the Chairman of Salvation Army from 1996 to 1999 and also serves on National Advisory Board. He served as the Chairman of the National Minority Supplier Development Council from 2005 to 2007. He served as an Independent Non-Executive Director at Exxon Mobil Corporation since May 30, 2007 until May 2020 and served as its Presiding Director since 2016. He has been an Independent Director of Walmart Inc. (formerly known as Wal-Mart Stores, Inc.), since 2010 and Chick-fil-A, Inc. since July 2015. He served as an Independent Director of Marriott International, Inc. from April 27, 2007 to May 8, 2020. He serves as a Director of The Cooper Institute since 2010. He serves as a Member of Advisory Board at The British-American Business Council. He served as a Director at American Express Company from 2007 to May 11, 2015. He served as a Board Member at Defense Business Board. He served as a Director of Business Council of New York State Inc. Mr. Reinemund served as a Director of Johnson &amp; Johnson from October 14, 2003 to April 24, 2008. He served as a Director of Frito-Lay, Inc. He serves as a Director of the United States Naval Academy Foundation. Mr. Reinemund served as a Director of Grocery Manufacturers Association. He served as a Director of PepsiCo Inc., from 1996 to May 2, 2007. He served on National Council of La Raza and honored with its President's Award in 1997. He was also awarded the Salvation Army's top volunteer award, The Order of Auxiliary Service Medal. He was honored with the William Booth Award in 1999 and the 1998 Excellence in Board Leadership Award from The National Assembly of National Voluntary Health and Social Welfare Organizations. He serves as an Independent Director at Catalyst Partners Acquisition Corp. since May 2021. He was twice named to Barron’s “World’s Most Respected CEO List" and was named to Businessweek’s Top 25 “Managers of the Year” in 2002 and 2005. He is a seasoned business executive with deep operational leadership experience. He holds a Master's of Business Adminis</v>
      </c>
      <c r="F19" t="str">
        <f>TRIM(_xll.ciqfunctions.udf.CIQ($B19, F$2))</f>
        <v>Highline Group</v>
      </c>
      <c r="G19" t="str">
        <f>TRIM(_xll.ciqfunctions.udf.CIQ($B19, G$2))</f>
        <v>Babcock Graduate School of Management, Wake Forest University, Calloway School of Business and Accountancy, Wake Forest University, Frito-Lay, Inc., PepsiCo, Inc.</v>
      </c>
      <c r="H19" t="str">
        <f>TRIM(_xll.ciqfunctions.udf.CIQ($B19, H$2))</f>
        <v>Catalyst Partners Acquisition Corp., Chick-fil-A, Inc., Vertiv Group Corporation, Vertiv Holding Corporation, Vertiv Holdings Co, Walmart Inc.</v>
      </c>
      <c r="I19" t="str">
        <f>TRIM(_xll.ciqfunctions.udf.CIQ($B19, I$2))</f>
        <v>American Express Company, Business Council of New York State Inc., Defense Business Board, Exxon Mobil Corporation, Frito-Lay, Inc., Grocery Manufacturers Association, GS Acquisition Holdings Corp, GS Acquisition Holdings Corp II, Johnson &amp; Johnson, Marriott International, Inc., PepsiCo, Inc.</v>
      </c>
      <c r="J19" t="str">
        <f>TRIM(_xll.ciqfunctions.udf.CIQ($B19, J$2))</f>
        <v>Chairman of Compensation Committee, Chairman of Finance Committee, Chairman of Strategy/Strategic Planning Committee, Member of Compensation Committee, Member of Compensation Committee(Prior), Member of Corporate Governance Committee, Member of Finance Committee(Prior), Member of Nominating Committee, Member of Strategy/Strategic Planning Committee(Prior), Member of the Board of Directors</v>
      </c>
    </row>
    <row r="20" spans="1:10" x14ac:dyDescent="0.2">
      <c r="A20" s="571">
        <v>4</v>
      </c>
      <c r="B20" s="571" t="str">
        <f>_xll.ciqfunctions.udf.CIQ("NYSE:WMT", "IQ_BOARD_MEMBER_ID", 4)</f>
        <v>IQ214879689</v>
      </c>
      <c r="C20" t="str">
        <f>_xll.ciqfunctions.udf.CIQ("NYSE:WMT", "IQ_BOARD_MEMBER", 4)</f>
        <v>Flynn, Timothy</v>
      </c>
      <c r="D20" t="str">
        <f>_xll.ciqfunctions.udf.CIQ("NYSE:WMT", "IQ_BOARD_MEMBER_TITLE", 4)</f>
        <v>Independent Director</v>
      </c>
      <c r="E20" t="str">
        <f>_xll.ciqfunctions.udf.CIQ("NYSE:WMT", "IQ_BOARD_MEMBER_BACKGROUND", 4)</f>
        <v>Mr. Timothy Patrick Flynn, also known as Tim, has been an Independent Director of UnitedHealth Group Incorporated since January 17, 2017. Mr. Flynn served as Advisory Chairman of BT Americas Inc. Mr. Flynn served as the Chief Executive Officer at KPMG LLP from 2005 to 2008. Mr. Flynn served as Global Managing Partner of Audit for KPMG International. As the global managing Partner, where he Chaired the global audit steering group and served as a Member of the International Executive Team of KPMG International. Mr. Flynn held a number of key leadership positions throughout his 32 years at KPMG, providing him with perspective on the issues facing major companies and the evolving business environment. He joined a predecessor of KPMG in 1979 and became a Partner in 1988. He served as an Audit Partner on accounts for technology and manufacturing companies. He served as Client Service Partner for some of KPMG's largest clients, including those in the financial services industry and led a cultural transformation that made that firm one of Fortune's Top 100 Great Places to Work. He served as the Chairman of KPMG International Cooperative from October 1, 2007 to September 30, 2011 and led a team of senior Partners responsible for the management and operations of the global network and led a Board of senior Partners responsible for strategy, oversight, risk management and governance of the global network. During his Chairmanship of KPMG LLP, he led the redesign of governance, compensation and incentive programs focusing on integrity, professionalism and personal accountability. He served as the Chairman of KPMG International from 2007 until October 2011. He served as the Chairman of KPMG LLP from 2005 to June 2010. Mr. Flynn served as Vice Chairman of Audit &amp; Risk Advisory Services for KPMG LLP and also served as Vice Chairman of Human Resources from 1996 to 2001. He has been an Independent Director at Walmart Inc. since July 27, 2012. He has been a Director of kCura LLC since August 28, 2017. He has been an Independent Director of JPMorgan Chase &amp; Co. since May 15, 2012. He had been an Independent Director of Alcoa Corporation since November 1, 2016 until May 6, 2021. He is a Director of J.P. Morgan Securities Plc. since June 3, 2020. He is a Director of JPMorgan Chase Bank, Dearborn. He is a Director of JPMorgan Chase Bank, National Association since 2016. He is a Director of Relativity ODA LLC since August 28, 2017. He serves on the Board of Directors of the New York YMCA and Alcoa. Mr. Flynn serves as a Member of Strategic Board of Governors of Opus College of Business. He served as a Director of Committee Encouraging Corporate Philanthropy. He served as a Trustee of Financial Accounting Foundation Inc. He served as a Director of KPMG International Cooperative until September 30, 2011. He served as Director of The Chubb Corporation from September 4, 2013 until January 2016. He served as a Director at KPMG LLP until June 2010. He serves as a Member of the Dean's Advisory Council within Villanova University's College of Commerce and Finance. He serves as a Trustee of The University of St. Thomas, St. Paul, Minnesota. He served as a Trustee of the Financial Accounting Standards Board, a Member of the World Economic Forum's International Business Council and a Founding Member of The Prince of Wales' International Integrated Reporting Committee. Mr. Flynn holds a Bachelor's Degree in Accounting from The University of St. Thomas, St. Paul, Minnesota. He served as Director of Chase Bank USA, N.A.</v>
      </c>
      <c r="F20" t="str">
        <f>TRIM(_xll.ciqfunctions.udf.CIQ($B20, F$2))</f>
        <v>0</v>
      </c>
      <c r="G20" t="str">
        <f>TRIM(_xll.ciqfunctions.udf.CIQ($B20, G$2))</f>
        <v>KPMG LLP</v>
      </c>
      <c r="H20" t="str">
        <f>TRIM(_xll.ciqfunctions.udf.CIQ($B20, H$2))</f>
        <v>J.P. Morgan Securities plc, JPMorgan Chase &amp; Co., JPMorgan Chase Bank, Dearborn, JPMorgan Chase Bank, National Association, Relativity ODA LLC, UnitedHealth Group Incorporated, Walmart Inc.</v>
      </c>
      <c r="I20" t="str">
        <f>TRIM(_xll.ciqfunctions.udf.CIQ($B20, I$2))</f>
        <v>Alcoa Corporation, BT Americas Inc., Chase Bank USA, N.A., Financial Accounting Foundation Inc., KPMG International Cooperative, KPMG LLP, The Chubb Corporation</v>
      </c>
      <c r="J20" t="str">
        <f>TRIM(_xll.ciqfunctions.udf.CIQ($B20, J$2))</f>
        <v>Chairman of Audit Committee, Member of Audit Committee, Member of Finance Committee(Prior), Member of Strategy/Strategic Planning Committee(Prior), Member of the Board of Directors</v>
      </c>
    </row>
    <row r="21" spans="1:10" x14ac:dyDescent="0.2">
      <c r="A21" s="571">
        <v>5</v>
      </c>
      <c r="B21" s="571" t="str">
        <f>_xll.ciqfunctions.udf.CIQ("NYSE:WMT", "IQ_BOARD_MEMBER_ID", 5)</f>
        <v>IQ278305362</v>
      </c>
      <c r="C21" t="str">
        <f>_xll.ciqfunctions.udf.CIQ("NYSE:WMT", "IQ_BOARD_MEMBER", 5)</f>
        <v>Horton, Thomas</v>
      </c>
      <c r="D21" t="str">
        <f>_xll.ciqfunctions.udf.CIQ("NYSE:WMT", "IQ_BOARD_MEMBER_TITLE", 5)</f>
        <v>Lead Independent Director</v>
      </c>
      <c r="E21" t="str">
        <f>_xll.ciqfunctions.udf.CIQ("NYSE:WMT", "IQ_BOARD_MEMBER_BACKGROUND", 5)</f>
        <v>Mr. Thomas W. Horton, also known as Tom, has been Director of EnLink Midstream Manager, LLC, Managing Member of EnLink Midstream LLC since August 2019. He is a Partner at Global Infrastructure Partners, an infrastructure investment fund, New York, NY since 2019. Mr. Horton serves as Director at EnLink Midstream Partners, LP. Mr. Horton has been an Independent Director of General Electric Company since April 25, 2018 and as its Lead Independent Director since October 1, 2018. Mr. Horton had been a Senior Advisor at Warburg Pincus since October 20, 2015 until 2019. Mr. Horton is a part of Industrials and Business Services Group. He served as the Chief Executive Officer of American Airlines Group Inc. from November 28, 2011 to December 2013 and its President from July 2010 to December 2013. Mr. Horton served as the Chairman and Chief Executive Officer of American Airlines, Inc. from 2011 to 2014. He served as the Chief Financial Officer of American Airlines Group Inc. since March 29, 2006 and also served as its Executive Vice President of Finance &amp; Planning and Principal Accounting Officer. He served as the Chief Financial Officer of American Airlines, Inc. since March 2006 and served as its Executive Vice President of Finance &amp; Planning and Principal Accounting Officer. He has business and financial experience. He served as an Executive Vice President and Chief Financial Officer of American Airlines Group Inc and American Airlines, Inc., from March 2006 to July 2010. Mr. Horton served as an Executive Vice President of Finance and Planning at American Airlines Group Inc. from March 29, 2006 to 2010. Mr. Horton served as a Senior Vice President of Finance at American Airlines, Inc and also served as a Senior Vice President and Chief Financial Officer of American Airlines Group Inc. from January 2000 to 2002. Mr. Horton joined American Airlines Group Inc. in 1985 and held a range of senior financial positions including Vice President and Controller. Mr. Horton served as Vice President of Europe of American Airlines from January 1998 to January 2000 and Vice President and Controller of American Airlines from 1994 to 1998. Prior to American Airlines Group Inc., and American Airlines, Mr. Horton served as a Senior Executive Vice President and Chief Financial Officer of AT&amp;T Corp., since June 2002 until February 2006. From 1998 to 2000, he served as Vice President with general management responsibility for American Airlines Group’s primary international operations. He was Chairman and Chief Executive Officer of AMR Corporation from 2010 to 2013 and served as its Chief Financial Officer from 2006 to 2010. During his tenure as Chief Financial Officer, he oversaw American's acquisition of TWA in 2001. He is a highly respected business executive and Partner at GIP. He has been Chairman of The Oneworld Alliance since December 15, 2011. He serves as the Chairman of US Airways Group, Inc. and US Airways Inc. Mr. Horton served as the Chairman of American Airlines Group Inc. since December 2013 until June 4, 2014. He served as Vice Chairman of AT&amp;T Corp., from January 2005 to February 2006. He serves as a Director of American Airlines, Inc. He has been an Independent Director of Walmart Inc. (formerly known as Wal-Mart Stores, Inc.), since November 21, 2014 and its Lead Independent Director since June 05, 2018. He had been Lead Director and Director of QUALCOMM Incorporated since December 12, 2008 until March 2019 and its Lead Director since 2015. He has been a Director of US Airways Inc. and US Airways Group, Inc. since December 9, 2013. He serves as a Member of Executive Board at the Cox School of Business at Southern Methodist University. He served as a Director of Orbitz, Inc., since September 2000. He served as a Director of Expressjet Holdings Inc., from August 12, 2005 to March 29, 2006. He is Member of the Board of the National Air and Space Museum. Mr. Horton is a Certified Public Accountant. He holds a B.B.A. degree magna cum laude in</v>
      </c>
      <c r="F21" t="str">
        <f>TRIM(_xll.ciqfunctions.udf.CIQ($B21, F$2))</f>
        <v>0</v>
      </c>
      <c r="G21" t="str">
        <f>TRIM(_xll.ciqfunctions.udf.CIQ($B21, G$2))</f>
        <v>American Airlines Group Inc., American Airlines, Inc., AT&amp;T Corp., Warburg Pincus LLC</v>
      </c>
      <c r="H21" t="str">
        <f>TRIM(_xll.ciqfunctions.udf.CIQ($B21, H$2))</f>
        <v>American Airlines, Inc., EnLink Midstream Partners, LP, EnLink Midstream, LLC, General Electric Company, The Oneworld Alliance, Walmart Inc.</v>
      </c>
      <c r="I21" t="str">
        <f>TRIM(_xll.ciqfunctions.udf.CIQ($B21, I$2))</f>
        <v>American Airlines Group Inc., AT&amp;T Corp., ExpressJet Holdings Inc., Orbitz, Inc., QUALCOMM Incorporated, US Airways Group, Inc., US Airways Inc.</v>
      </c>
      <c r="J21" t="str">
        <f>TRIM(_xll.ciqfunctions.udf.CIQ($B21, J$2))</f>
        <v>Chairman of Corporate Governance Committee, Chairman of Finance Committee(Prior), Chairman of Nominating Committee, Chairman of Strategy/Strategic Planning Committee(Prior), Lead Director, Member of Audit Committee, Member of Corporate Governance Committee, Member of Executive Committee, Member of Finance Committee, Member of Nominating Committee, Member of the Board of Directors</v>
      </c>
    </row>
    <row r="22" spans="1:10" x14ac:dyDescent="0.2">
      <c r="A22" s="571">
        <v>6</v>
      </c>
      <c r="B22" s="571" t="str">
        <f>_xll.ciqfunctions.udf.CIQ("NYSE:WMT", "IQ_BOARD_MEMBER_ID", 6)</f>
        <v>IQ553069958</v>
      </c>
      <c r="C22" t="str">
        <f>_xll.ciqfunctions.udf.CIQ("NYSE:WMT", "IQ_BOARD_MEMBER", 6)</f>
        <v>Friar, Sarah</v>
      </c>
      <c r="D22" t="str">
        <f>_xll.ciqfunctions.udf.CIQ("NYSE:WMT", "IQ_BOARD_MEMBER_TITLE", 6)</f>
        <v>Independent Director</v>
      </c>
      <c r="E22" t="str">
        <f>_xll.ciqfunctions.udf.CIQ("NYSE:WMT", "IQ_BOARD_MEMBER_BACKGROUND", 6)</f>
        <v>Ms. Sarah J. Friar is Co-Founder of Ladies Who Launch, L.L.C. She serves as an Independent Director at Dragoneer Growth Opportunities Corp. II. Ms. Friar has been Member of Strategic Advisory Board since March 2021 at Anthemis Group SA. She has been an Independent Director of Dragoneer Growth Opportunities Corp. III since March 22, 2021. She serves as Member of Advisors at States Title Holding, Inc. Ms. Friar has been an Independent Director at Dragoneer Growth Opportunities Corp., since August 13, 2020. She has been Chief Executive Officer at Nextdoor Holdings, Inc. (formerly known as Nextdoor, Inc.) since December 2018 and President and as Chairperson of the Board of Directors since November 2021. She is Director at Nextdoor Holdings, Inc. (formerly known as Nextdoor, Inc.) Ms. Friar has been an Independent Director of Walmart Inc. since February 8, 2018. She served as Chief Financial Officer and Treasurer at Square, Inc. since July 2012 until November 16, 2018. She served as the Senior Vice President of Finance &amp; Strategy at Salesforce.com, Inc., from April 2011 to July 2012. Previously, she served in various positions from 2002 to 2012 at The Goldman Sachs Group, Inc. She was an Analyst at Goldman Sachs Group Inc., Research Division. Ms. Friar served as the Managing Director, Business Unit Leader for Technology and Lead Software Analyst/Analyst at Goldman Sachs Group Inc., Research Division. From July 2000 to April 2011, she spent at Goldman Sachs in corporate finance, M&amp;A and equity research and ultimately as Business Leader for the GS Technology Research group. Ms. Friar joined Goldman Sachs in 2000 as an Associate in the Technology Investment Banking Group. In 2002, she joined Global Investment Research to cover software stocks. Ms. Friar served as Managing Director at Goldman Sachs since 2006. Since 2007, at Goldman, she was the Business Unit Leader for the Technology sector, part of the broader TMT Research group in Americas Equity Research. Prior to joining Goldman, Ms. Friar worked as a Consultant for McKinsey &amp; Company in both London and South Africa. She is Vice-Chair of the Board of Spark Program Inc. She served as an Independent Director of New Relic, Inc., from June 2014 to April 30, 2018. She has been Independent Director of Slack Technologies, Inc., since March 2017. She serves as a Member of Business Advisory Council at Illuminate Ventures. She served as a Director of Model N, Inc., from September 2012 to May 31, 2015. Ms. Friar holds an MBA from Stanford University Graduate School of Business (1998-2000) and a Masters of Engineering, in Metallurgy, Economics and Management from the University of Oxford in (1992-1996).</v>
      </c>
      <c r="F22" t="str">
        <f>TRIM(_xll.ciqfunctions.udf.CIQ($B22, F$2))</f>
        <v>Ladies Who Launch, L.L.C., Nextdoor Holdings, Inc.</v>
      </c>
      <c r="G22" t="str">
        <f>TRIM(_xll.ciqfunctions.udf.CIQ($B22, G$2))</f>
        <v>Block, Inc., Goldman Sachs Group, Inc., Research Division</v>
      </c>
      <c r="H22" t="str">
        <f>TRIM(_xll.ciqfunctions.udf.CIQ($B22, H$2))</f>
        <v>Anthemis Group SA, Doma Holdings Inc., Dragoneer Growth Opportunities Corp. III, Illuminate Ventures, Nextdoor Holdings, Inc., Slack Technologies, Inc., Walmart Inc.</v>
      </c>
      <c r="I22" t="str">
        <f>TRIM(_xll.ciqfunctions.udf.CIQ($B22, I$2))</f>
        <v>Dragoneer Growth Opportunities Corp., Dragoneer Growth Opportunities Corp. II, Model N, Inc., New Relic, Inc.</v>
      </c>
      <c r="J22" t="str">
        <f>TRIM(_xll.ciqfunctions.udf.CIQ($B22, J$2))</f>
        <v>Chairman of Finance Committee, Member of Audit Committee, Member of Finance Committee, Member of the Board of Directors</v>
      </c>
    </row>
    <row r="23" spans="1:10" x14ac:dyDescent="0.2">
      <c r="A23" s="571">
        <v>7</v>
      </c>
      <c r="B23" s="571" t="str">
        <f>_xll.ciqfunctions.udf.CIQ("NYSE:WMT", "IQ_BOARD_MEMBER_ID", 7)</f>
        <v>IQ313058</v>
      </c>
      <c r="C23" t="str">
        <f>_xll.ciqfunctions.udf.CIQ("NYSE:WMT", "IQ_BOARD_MEMBER", 7)</f>
        <v>Walton, S.</v>
      </c>
      <c r="D23" t="str">
        <f>_xll.ciqfunctions.udf.CIQ("NYSE:WMT", "IQ_BOARD_MEMBER_TITLE", 7)</f>
        <v>Director</v>
      </c>
      <c r="E23" t="str">
        <f>_xll.ciqfunctions.udf.CIQ("NYSE:WMT", "IQ_BOARD_MEMBER_BACKGROUND", 7)</f>
        <v>Mr. S. Robson Walton, also known as Rob, J.D., serves as an Advisor of Greener Capital Management, LLC. Mr. Walton served as Senior Vice President, Secretary and General Counsel of Walmart Inc. (formerly known as Wal-Mart Stores, Inc.) since joined in 1969. Prior to Walmart Inc. (formerly known as Wal-Mart Stores, Inc.), he was in private law practice as a Partner with the law firm of Conner and Winters in Tulsa, Okla. Mr. Walton served as the Chairman of Walmart Inc. (formerly known as Wal-Mart Stores, Inc.), from 1992 to June 5, 2015 and previously served as its Vice Chairman. He has been a Director at Walmart Inc. (formerly known as Wal-Mart Stores, Inc.), since 1978. He served as a Director of Hope Enterprise Corporation and Walton Family Foundation Inc., The. He serves as a Trustee at Wooster College. He serves as a Director and Member of Executive Committee of Conservation International. Mr. Walton serves as a Member of Campaign Advisory Committee, Program Committee and Corporate Partnership Committee Chairman and Business Chairman on the Conservation International Center for Environmental Leadership. In addition to his duties at Walmart, Mr. Walton is involved with a number of non-profit and educational organizations, including Conservation International, where he serves as Chairman of that organization’s executive committee and the College of Wooster, where he is an Emeritus Life Trustee for the college. He received a J.D. degree in 1969 from the Columbia University School of Law in New York. Mr. Walton attended Wooster College and graduated from the University of Arkansas in 1966 with a B.S. degree in Business Administration.</v>
      </c>
      <c r="F23" t="str">
        <f>TRIM(_xll.ciqfunctions.udf.CIQ($B23, F$2))</f>
        <v>Greener Capital Management, LLC</v>
      </c>
      <c r="G23" t="str">
        <f>TRIM(_xll.ciqfunctions.udf.CIQ($B23, G$2))</f>
        <v>0</v>
      </c>
      <c r="H23" t="str">
        <f>TRIM(_xll.ciqfunctions.udf.CIQ($B23, H$2))</f>
        <v>Walmart Inc.</v>
      </c>
      <c r="I23" t="str">
        <f>TRIM(_xll.ciqfunctions.udf.CIQ($B23, I$2))</f>
        <v>Hope Enterprise Corporation</v>
      </c>
      <c r="J23" t="str">
        <f>TRIM(_xll.ciqfunctions.udf.CIQ($B23, J$2))</f>
        <v>Chairman of the Board(Prior), Member of Compensation Committee(Prior), Member of Executive Committee, Member of Finance Committee, Member of the Board of Directors</v>
      </c>
    </row>
    <row r="24" spans="1:10" x14ac:dyDescent="0.2">
      <c r="A24" s="571">
        <v>8</v>
      </c>
      <c r="B24" s="571" t="str">
        <f>_xll.ciqfunctions.udf.CIQ("NYSE:WMT", "IQ_BOARD_MEMBER_ID", 8)</f>
        <v>IQ196010014</v>
      </c>
      <c r="C24" t="str">
        <f>_xll.ciqfunctions.udf.CIQ("NYSE:WMT", "IQ_BOARD_MEMBER", 8)</f>
        <v>Mayer, Marissa</v>
      </c>
      <c r="D24" t="str">
        <f>_xll.ciqfunctions.udf.CIQ("NYSE:WMT", "IQ_BOARD_MEMBER_TITLE", 8)</f>
        <v>Independent Director</v>
      </c>
      <c r="E24" t="str">
        <f>_xll.ciqfunctions.udf.CIQ("NYSE:WMT", "IQ_BOARD_MEMBER_BACKGROUND", 8)</f>
        <v>Ms. Marissa A. Mayer has been a Director of Lucile Packard Children's Hospital Stanford since April 1, 2018. Ms. Mayer has been Director of Maisonette Inc. since June 7, 2019. Ms. Mayer co-founded Lumi Labs Inc., a technology incubator focused on consumer internet technologies in March 2018. Ms. Mayer served as the Chief Executive Officer and President of Yahoo! Inc. (Now known as Altaba Inc.) from July 17, 2012 to June 13, 2017. Prior to Yahoo, Ms. Mayer served as a Vice President of Location &amp; Local Services of Alphabet Inc. (also known as Google, Inc.) from October 12, 2010 to July 16, 2012. She served as Vice President of Search Products &amp; User Experience of Google Inc. She served as Vice President of Local and Maps of Google, where she oversaw product management, engineering, design and strategy for its suite of local and geographical products, including Google Maps, Google Earth, Zagat, Street View and local search, for desktop and mobile. She also curated the Google Doodle program, celebrating special events on Google's homepage around the world. During her 13 Years at Google, Ms. Mayer served numerous positions, including engineer, designer, product Manager and executive and launched more than 100 well-known features and products. She played an instrumental role in Google search, leading the product management effort for more than 10 years, a period during which Google Search grew from a few hundred thousand to well over a billion searches per day. She led the development of some of Google's most successful services including image, book and product search, toolbar and iGoogle and defined such pivotal products as Google News and Gmail. Ms. Mayer is listed as an inventor on several patents in artificial intelligence and interface design. She joined Google as first female engineer in 1999 and played an important role in developing Google's culture. Her contributions included overseeing the look-and-feel of Google's iconic homepage and founding the Associate Product Manager program, which has hired over 300 of Google's future leaders and is considered the industry's ideal standard in transforming new computer science graduates into executive leaders. Prior to Google, she served at the UBS research lab in Zurich, Switzerland and at SRI International in Menlo Park, California. Ms. Mayer served as an Independent Director at AliphCom, Inc. since May 1, 2013 until October 2016. She has been a Director of Walmart Inc. (formerly known as Wal-Mart Stores, Inc.) since 2012. She served as Director of Yahoo! Inc. from July 17, 2012 to June 13, 2017. She serves as a Trustee of San Francisco Ballet Association. She serves on the Board of Directors of Walmart and Jawbone. She has been a Member of Executive Council at TechNet since March 14, 2013. She serves on the boards of various non-profits, including Stanford Children’s Hospital and San Francisco Museum of Modern Art. She served as a Director of New York City Ballet, Inc. Ms. Mayer has been honored with the Matrix Award by the New York Women in Communications, as a Young Global Leader by the World Economic Forum and as "Woman of the Year" by Glamour magazine. Fortune has named Ms. Mayer has been featured in various publications, including Newsweek ("10 Tech Leaders of the Future"), Red Herring ("15 Women to Watch"), Business 2.0 ("Silicon Valley Dream Team"), BusinessWeek, Fortune and Fast Company. While at Stanford, she taught computer programming to more than 3000 students and received the Centennial Teaching and Forsythe Awards for Ms. Mayer contributions to undergraduate education. She is credited as an inventor on several patents in artificial intelligence and interface design. In 2008, the Illinois Institute of Technology awarded Ms. Mayer an honorary doctorate of engineering. She graduated with honors from Stanford University with a B.S. in Symbolic Systems and Artificial Intelligence and M.S. in Computer Science and Artificial Intelligence.</v>
      </c>
      <c r="F24" t="str">
        <f>TRIM(_xll.ciqfunctions.udf.CIQ($B24, F$2))</f>
        <v>Sunshine Inc</v>
      </c>
      <c r="G24" t="str">
        <f>TRIM(_xll.ciqfunctions.udf.CIQ($B24, G$2))</f>
        <v>Alphabet Inc., Altaba Inc., TechNet, Yahoo! UK Limited</v>
      </c>
      <c r="H24" t="str">
        <f>TRIM(_xll.ciqfunctions.udf.CIQ($B24, H$2))</f>
        <v>Lucile Packard Children's Hospital Stanford, Maisonette Inc., San Francisco Ballet Association, Walmart Inc.</v>
      </c>
      <c r="I24" t="str">
        <f>TRIM(_xll.ciqfunctions.udf.CIQ($B24, I$2))</f>
        <v>AliphCom, Inc., Altaba Inc., New York City Ballet, Inc.</v>
      </c>
      <c r="J24" t="str">
        <f>TRIM(_xll.ciqfunctions.udf.CIQ($B24, J$2))</f>
        <v>Member of Compensation Committee, Member of Compensation Committee(Prior), Member of Corporate Governance Committee(Prior), Member of Nominating Committee(Prior), Member of Strategy/Strategic Planning Committee(Prior), Member of the Board of Directors</v>
      </c>
    </row>
    <row r="25" spans="1:10" x14ac:dyDescent="0.2">
      <c r="A25" s="571">
        <v>9</v>
      </c>
      <c r="B25" s="571" t="str">
        <f>_xll.ciqfunctions.udf.CIQ("NYSE:WMT", "IQ_BOARD_MEMBER_ID", 9)</f>
        <v>IQ331567198</v>
      </c>
      <c r="C25" t="str">
        <f>_xll.ciqfunctions.udf.CIQ("NYSE:WMT", "IQ_BOARD_MEMBER", 9)</f>
        <v>Walton, Steuart</v>
      </c>
      <c r="D25" t="str">
        <f>_xll.ciqfunctions.udf.CIQ("NYSE:WMT", "IQ_BOARD_MEMBER_TITLE", 9)</f>
        <v>Director</v>
      </c>
      <c r="E25" t="str">
        <f>_xll.ciqfunctions.udf.CIQ("NYSE:WMT", "IQ_BOARD_MEMBER_BACKGROUND", 9)</f>
        <v>Mr. Steuart L. Walton is the founder and Chairman of RZC Investments, LLC, an investment business which he founded in May 2016. Mr. Walton Founded Game Composites, Ltd., in February 2013 and served as its Chief Executive Officer since February 2013 until November 2017. Before founding Game Composites, Mr. Walton worked in Wal-Mart's International division as a Senior Director, International Mergers and Acquisitions from June 2011 to January 2013. Prior to his service at Walmart Inc. (formerly known as Wal-Mart Stores, Inc.), he served as an Associate at Allen &amp; Overy, LLP in London from 2007 to 2010, where he advised companies on securities offerings. In 2004, he served in the offices of U.S. Senator Peter Fitzgerald. He has been a Director of Walmart Inc. (formerly known as Wal-Mart Stores, Inc.) since June 3, 2016. Mr. Walton is also a Member of the boards of Directors of Rapha Racing Limited, Crystal Bridges Museum of American Art, Leadership for Educational Equity, the Smithsonian National Air and Space Museum and the Walton Family Foundation. He is a graduate of Georgetown University Law Center and he holds a bachelor’s degree in business administration from the University of Colorado, Boulder.</v>
      </c>
      <c r="F25" t="str">
        <f>TRIM(_xll.ciqfunctions.udf.CIQ($B25, F$2))</f>
        <v>0</v>
      </c>
      <c r="G25" t="str">
        <f>TRIM(_xll.ciqfunctions.udf.CIQ($B25, G$2))</f>
        <v>0</v>
      </c>
      <c r="H25" t="str">
        <f>TRIM(_xll.ciqfunctions.udf.CIQ($B25, H$2))</f>
        <v>Walmart Inc.</v>
      </c>
      <c r="I25" t="str">
        <f>TRIM(_xll.ciqfunctions.udf.CIQ($B25, I$2))</f>
        <v>0</v>
      </c>
      <c r="J25" t="str">
        <f>TRIM(_xll.ciqfunctions.udf.CIQ($B25, J$2))</f>
        <v>Member of Finance Committee(Prior), Member of Strategy/Strategic Planning Committee(Prior), Member of the Board of Directors</v>
      </c>
    </row>
    <row r="26" spans="1:10" x14ac:dyDescent="0.2">
      <c r="A26" s="571">
        <v>10</v>
      </c>
      <c r="B26" s="571" t="str">
        <f>_xll.ciqfunctions.udf.CIQ("NYSE:WMT", "IQ_BOARD_MEMBER_ID", 10)</f>
        <v>IQ428339736</v>
      </c>
      <c r="C26" t="str">
        <f>_xll.ciqfunctions.udf.CIQ("NYSE:WMT", "IQ_BOARD_MEMBER", 10)</f>
        <v>Harris, Carla</v>
      </c>
      <c r="D26" t="str">
        <f>_xll.ciqfunctions.udf.CIQ("NYSE:WMT", "IQ_BOARD_MEMBER_TITLE", 10)</f>
        <v>Independent Director</v>
      </c>
      <c r="E26" t="str">
        <f>_xll.ciqfunctions.udf.CIQ("NYSE:WMT", "IQ_BOARD_MEMBER_BACKGROUND", 10)</f>
        <v>Ms. Carla A. Harris has been Senior Client Advisor at Morgan Stanley since August 2013 and served as Vice Chairman of Global Wealth Management since August 2013 until December 2021. Ms. Harris serves as an Independent Director at Cummins Inc. since May 11, 2021. Ms. Harris served as Managing Director and Senior Client Advisor of Morgan Stanley &amp; Company, Inc. since June 2012. She joined Morgan Stanley in 1987. She serves as Treasurer of The Apollo Theater Foundation, Inc. She serves as the Chairman of The Food Bank For New York City. She serves as Director at St. Vincent's Medical Center Inc. She has been a Director at Walmart Inc. (formerly known as Wal-Mart Stores, Inc.) since June 2, 2017. She also serves as Director of The Apollo Theater Foundation, Inc. In August 2013, she was appointed by President Barack Obama to Chair the National Women’s Business Council. For more than a decade, Ms. Harris was a senior member of the equity syndicate desk and executed such transactions as initial public offerings for UPS, Martha Stewart Living Omnimedia, Ariba, Redback, the General Motors sub-IPO of Delphi Automotive, and the $3.2 Billion common stock transaction for Immunex Corporation, one of the largest biotechnology common stock transactions in U.S. history. Ms. Harris currently serves on the board of several nonprofit organizations including Seize Every Opportunity and Harvard University Board of Overseers. She serves as a Trustee of The Mount Sinai Hospital. She served as a Director of The Harvard Business School Club of New York, Inc. She serves as Member of Advisory Board at Oath Inc. since November 2017. She was Chair of the Morgan Stanley Foundation from 2005 to 2014 and sits on the boards of several community organizations. Ms. Harris is a Gospel Recording Artist and A Popular Public Speaker, who gives impact full career guidance to corporate audiences based on her book, “Expect to Win”. Ms. Harris completed her M.B.A. from Harvard Business School and holds an A.B. in Economics from Harvard University.</v>
      </c>
      <c r="F26" t="str">
        <f>TRIM(_xll.ciqfunctions.udf.CIQ($B26, F$2))</f>
        <v>0</v>
      </c>
      <c r="G26" t="str">
        <f>TRIM(_xll.ciqfunctions.udf.CIQ($B26, G$2))</f>
        <v>Morgan Stanley, The Apollo Theater Foundation, Inc.</v>
      </c>
      <c r="H26" t="str">
        <f>TRIM(_xll.ciqfunctions.udf.CIQ($B26, H$2))</f>
        <v>Cummins Inc., St. Vincent's Medical Center Inc., The Mount Sinai Hospital, Walmart Inc., Yahoo Inc.</v>
      </c>
      <c r="I26" t="str">
        <f>TRIM(_xll.ciqfunctions.udf.CIQ($B26, I$2))</f>
        <v>The Apollo Theater Foundation, Inc., The Harvard Business School Club of New York, Inc.</v>
      </c>
      <c r="J26" t="str">
        <f>TRIM(_xll.ciqfunctions.udf.CIQ($B26, J$2))</f>
        <v>Member of Compensation Committee, Member of Corporate Governance Committee, Member of Finance Committee, Member of Nominating Committee, Member of the Board of Directors</v>
      </c>
    </row>
  </sheetData>
  <pageMargins left="0.7" right="0.7" top="0.75" bottom="0.75" header="0.3" footer="0.3"/>
  <pageSetup orientation="portrait" horizontalDpi="4294967295" verticalDpi="4294967295"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tabColor theme="1" tint="0.249977111117893"/>
  </sheetPr>
  <dimension ref="A1:P35"/>
  <sheetViews>
    <sheetView showGridLines="0" zoomScale="80" zoomScaleNormal="80" workbookViewId="0"/>
  </sheetViews>
  <sheetFormatPr defaultColWidth="9" defaultRowHeight="14.25" x14ac:dyDescent="0.2"/>
  <cols>
    <col min="1" max="1" width="11.25" style="610" customWidth="1"/>
    <col min="2" max="2" width="47.25" customWidth="1"/>
    <col min="3" max="3" width="29.25" customWidth="1"/>
    <col min="4" max="4" width="20" customWidth="1"/>
    <col min="5" max="5" width="31" customWidth="1"/>
    <col min="6" max="6" width="20" customWidth="1"/>
    <col min="7" max="7" width="39.25" customWidth="1"/>
    <col min="8" max="8" width="40.25" customWidth="1"/>
    <col min="9" max="10" width="19.25" customWidth="1"/>
    <col min="11" max="11" width="8.75"/>
    <col min="12" max="12" width="23.25" style="610" customWidth="1"/>
    <col min="13" max="13" width="11.25" style="610" customWidth="1"/>
    <col min="14" max="14" width="16.625" style="610" customWidth="1"/>
    <col min="15" max="15" width="19" style="610" customWidth="1"/>
    <col min="16" max="16" width="20.5" style="610" customWidth="1"/>
    <col min="17" max="16384" width="9" style="610"/>
  </cols>
  <sheetData>
    <row r="1" spans="1:16" ht="12.75" x14ac:dyDescent="0.2">
      <c r="A1" s="949" t="s">
        <v>501</v>
      </c>
      <c r="B1" s="950" t="str">
        <f>+Target</f>
        <v>NYSE:WMT</v>
      </c>
      <c r="C1" s="951" t="str">
        <f>Input!$C$9</f>
        <v>Walmart Inc.</v>
      </c>
      <c r="D1" s="952"/>
      <c r="E1" s="610"/>
      <c r="F1" s="953"/>
      <c r="G1" s="610"/>
      <c r="H1" s="953" t="s">
        <v>648</v>
      </c>
      <c r="I1" s="610">
        <f>+COUNTA(B6:B1048576)</f>
        <v>4</v>
      </c>
      <c r="J1" s="610"/>
      <c r="K1" s="610"/>
    </row>
    <row r="2" spans="1:16" ht="12.75" x14ac:dyDescent="0.2">
      <c r="A2" s="949" t="s">
        <v>59</v>
      </c>
      <c r="B2" s="954">
        <f>_xll.ciqfunctions.udf.CIQGETDATE(IQ_TODAY)</f>
        <v>44645</v>
      </c>
      <c r="C2" s="610"/>
      <c r="D2" s="952"/>
      <c r="E2" s="610"/>
      <c r="F2" s="610"/>
      <c r="G2" s="610"/>
      <c r="H2" s="610"/>
      <c r="I2" s="610"/>
      <c r="J2" s="610"/>
      <c r="K2" s="610"/>
    </row>
    <row r="3" spans="1:16" ht="12.75" x14ac:dyDescent="0.2">
      <c r="A3" s="949" t="s">
        <v>367</v>
      </c>
      <c r="B3" s="950" t="str">
        <f>Input!C6</f>
        <v>USD</v>
      </c>
      <c r="C3" s="610"/>
      <c r="D3" s="952"/>
      <c r="E3" s="610"/>
      <c r="F3" s="610"/>
      <c r="G3" s="610"/>
      <c r="H3" s="610" t="s">
        <v>1136</v>
      </c>
      <c r="I3" s="610"/>
      <c r="J3" s="610"/>
      <c r="K3" s="610"/>
    </row>
    <row r="4" spans="1:16" ht="12.75" x14ac:dyDescent="0.2">
      <c r="B4" s="610"/>
      <c r="C4" s="610"/>
      <c r="D4" s="952"/>
      <c r="E4" s="610"/>
      <c r="F4" s="610"/>
      <c r="G4" s="610"/>
      <c r="H4" s="610"/>
      <c r="I4" s="610"/>
      <c r="J4" s="610" t="str">
        <f>IF($A4="","",IF(ISNUMBER(MATCH($A4,$M$6:$M$1005,0)),IF(INDEX($N$6:$N$1005,MATCH($A4,$M$6:$M$1005,0))=0,"-",INDEX($N$6:$N$1005,MATCH($A4,$M$6:$M$1005,0))),IF(_xll.ciqfunctions.udf.CIQ($B$1,"IQ_LATEST_TRANSACTION",$K4)=0,"-",_xll.ciqfunctions.udf.CIQ($B$1,"IQ_LATEST_TRANSACTION",$K4))))</f>
        <v/>
      </c>
      <c r="K4" s="610"/>
    </row>
    <row r="5" spans="1:16" ht="12.75" x14ac:dyDescent="0.2">
      <c r="A5" s="955" t="str">
        <f>_xll.ciqfunctions.udf.CIQRANGE($B$1,"IQ_INVESTORS_ALL_ID",1,1000,,,,,"Investors ID")</f>
        <v>Investors ID</v>
      </c>
      <c r="B5" s="955" t="s">
        <v>589</v>
      </c>
      <c r="C5" s="955" t="s">
        <v>588</v>
      </c>
      <c r="D5" s="956" t="s">
        <v>587</v>
      </c>
      <c r="E5" s="955" t="s">
        <v>586</v>
      </c>
      <c r="F5" s="955" t="s">
        <v>585</v>
      </c>
      <c r="G5" s="955" t="str">
        <f>"Most Recent Transaction Size ("&amp;$B$3&amp;" in mm)"</f>
        <v>Most Recent Transaction Size (USD in mm)</v>
      </c>
      <c r="H5" s="955" t="s">
        <v>647</v>
      </c>
      <c r="I5" s="957" t="str">
        <f>"IQ_INVESTORS_ALL_STAKE"</f>
        <v>IQ_INVESTORS_ALL_STAKE</v>
      </c>
      <c r="J5" s="955" t="s">
        <v>646</v>
      </c>
      <c r="K5" s="958"/>
      <c r="M5" s="1067" t="str">
        <f>_xll.ciqfunctions.udf.CIQRANGE($B$1,"IQ_INVESTORS_CURR_ID",1,1000,,,,,"Investors ID")</f>
        <v>Investors ID</v>
      </c>
      <c r="N5" s="1067" t="str">
        <f>_xll.ciqfunctions.udf.CIQRANGE($B$1,"IQ_INVESTORS_CURR_TRANSACTION_ID",1,1000,,,,,"Investors Trans ID")</f>
        <v>Investors Trans ID</v>
      </c>
      <c r="O5" s="1067" t="str">
        <f>_xll.ciqfunctions.udf.CIQRANGE($B$1,"IQ_INVESTORS_CURR_TRANSACTION_DATE",1,1000,,,,,"Investors Trans Date")</f>
        <v>Investors Trans Date</v>
      </c>
      <c r="P5" s="1067" t="str">
        <f>_xll.ciqfunctions.udf.CIQRANGE($B$1,"IQ_INVESTORS_CURR_RECENT_AMOUNT",1,1000,,,,,"Investors Last Inv Amt")</f>
        <v>Investors Last Inv Amt</v>
      </c>
    </row>
    <row r="6" spans="1:16" ht="12.75" x14ac:dyDescent="0.2">
      <c r="A6" s="951" t="str">
        <f>_xll.ciqfunctions.udf.CIQ("NYSE:WMT", "IQ_INVESTORS_ALL_ID", 1)</f>
        <v>IQ24348366</v>
      </c>
      <c r="B6" s="951" t="str">
        <f>IF($A6="","",IF(_xll.ciqfunctions.udf.CIQ($B$1,"IQ_INVESTORS_ALL",$K6)="NA","-",_xll.ciqfunctions.udf.CIQ($B$1,"IQ_INVESTORS_ALL",$K6)))</f>
        <v>AB Trust &amp; Investment Services Group</v>
      </c>
      <c r="C6" s="951" t="str">
        <f>IF($A6="","",IF(_xll.ciqfunctions.udf.CIQ($B$1,"IQ_INVESTORS_ALL_REL",$K6)="NA","-",_xll.ciqfunctions.udf.CIQ($B$1,"IQ_INVESTORS_ALL_REL",$K6)))</f>
        <v>Current Investment</v>
      </c>
      <c r="D6" s="959">
        <f>IF($A6="","",IF(OR($J6=0,_xll.ciqfunctions.udf.CIQ($J6,"IQ_TR_CLOSED_DATE")="(Invalid Transaction Id)", _xll.ciqfunctions.udf.CIQ($J6,"IQ_TR_CLOSED_DATE")="(Invalid DataTypeId)",_xll.ciqfunctions.udf.CIQ($J6,"IQ_TR_CLOSED_DATE")="NA"),"-",_xll.ciqfunctions.udf.CIQ($J6,"IQ_TR_CLOSED_DATE")))</f>
        <v>38595</v>
      </c>
      <c r="E6" s="951" t="str">
        <f>IF($A6="","",IF(_xll.ciqfunctions.udf.CIQ($A6,"IQ_COMPANY_TYPE")="NA","-",_xll.ciqfunctions.udf.CIQ($A6,"IQ_COMPANY_TYPE")))</f>
        <v>Private Investment Firm</v>
      </c>
      <c r="F6" s="951">
        <f>IF($A6="","",IF(_xll.ciqfunctions.udf.CIQ($B$1,"IQ_INVESTORS_ALL_COVER",$K6)="NA","-",_xll.ciqfunctions.udf.CIQ($B$1,"IQ_INVESTORS_ALL_COVER",$K6)))</f>
        <v>0</v>
      </c>
      <c r="G6" s="960">
        <f>IF($A6="","",IF(OR($J6="-",_xll.ciqfunctions.udf.CIQ($J6,"IQ_TR_TOTALVALUE",,$B$3)="(Invalid Transaction Id)",_xll.ciqfunctions.udf.CIQ($J6,"IQ_TR_TOTALVALUE",,$B$3)="NA"),"-",_xll.ciqfunctions.udf.CIQ($J6,"IQ_TR_TOTALVALUE",,$B$3)))</f>
        <v>0</v>
      </c>
      <c r="H6" s="960">
        <f>IF($A6="","",IF(_xll.ciqfunctions.udf.CIQ($B$1,"IQ_INVESTORS_CURR_RECENT_AMOUNT",$A6)="NA","-",_xll.ciqfunctions.udf.CIQ($B$1,"IQ_INVESTORS_CURR_RECENT_AMOUNT",$A6)))</f>
        <v>0</v>
      </c>
      <c r="I6" s="961" t="str">
        <f>IF(OR(_xll.ciqfunctions.udf.CIQ($B$1,$I$5,A6)="Unknown",_xll.ciqfunctions.udf.CIQ($B$1,$I$5,A6)="NA"),"-",_xll.ciqfunctions.udf.CIQ($B$1,$I$5,A6))</f>
        <v>Minority</v>
      </c>
      <c r="J6" s="951" t="str">
        <f>IF($A6="","",IF(ISNUMBER(MATCH($A6,$M$6:$M$1005,0)),IF(INDEX($N$6:$N$1005,MATCH($A6,$M$6:$M$1005,0))="NA","-",INDEX($N$6:$N$1005,MATCH($A6,$M$6:$M$1005,0))),IF(_xll.ciqfunctions.udf.CIQ($B$1,"IQ_LATEST_TRANSACTION",$K6)="NA","-",_xll.ciqfunctions.udf.CIQ($B$1,"IQ_LATEST_TRANSACTION",$K6))))</f>
        <v>IQTR256963877</v>
      </c>
      <c r="K6" s="610">
        <f>K5+1</f>
        <v>1</v>
      </c>
      <c r="M6" s="610" t="str">
        <f>_xll.ciqfunctions.udf.CIQ("NYSE:WMT", "IQ_INVESTORS_CURR_ID", 1)</f>
        <v>IQ24348366</v>
      </c>
      <c r="N6" s="610" t="str">
        <f>_xll.ciqfunctions.udf.CIQ("NYSE:WMT", "IQ_INVESTORS_CURR_TRANSACTION_ID", 1)</f>
        <v>IQTR256963877</v>
      </c>
      <c r="O6" s="952">
        <f>_xll.ciqfunctions.udf.CIQ("NYSE:WMT", "IQ_INVESTORS_CURR_TRANSACTION_DATE", 1)</f>
        <v>38457</v>
      </c>
      <c r="P6" s="610">
        <f>_xll.ciqfunctions.udf.CIQ("NYSE:WMT", "IQ_INVESTORS_CURR_RECENT_AMOUNT", 1)</f>
        <v>0</v>
      </c>
    </row>
    <row r="7" spans="1:16" ht="12.75" x14ac:dyDescent="0.2">
      <c r="A7" s="951" t="str">
        <f>_xll.ciqfunctions.udf.CIQ("NYSE:WMT", "IQ_INVESTORS_ALL_ID", 2)</f>
        <v>IQ257064976</v>
      </c>
      <c r="B7" s="951" t="str">
        <f>IF($A7="","",IF(_xll.ciqfunctions.udf.CIQ($B$1,"IQ_INVESTORS_ALL",$K7)="NA","-",_xll.ciqfunctions.udf.CIQ($B$1,"IQ_INVESTORS_ALL",$K7)))</f>
        <v>American Federation of Labor and Congress of Industrial Organizations, Endowment Arm</v>
      </c>
      <c r="C7" s="951" t="str">
        <f>IF($A7="","",IF(_xll.ciqfunctions.udf.CIQ($B$1,"IQ_INVESTORS_ALL_REL",$K7)="NA","-",_xll.ciqfunctions.udf.CIQ($B$1,"IQ_INVESTORS_ALL_REL",$K7)))</f>
        <v>Prior Investment</v>
      </c>
      <c r="D7" s="959">
        <f>IF($A7="","",IF(OR($J7=0,_xll.ciqfunctions.udf.CIQ($J7,"IQ_TR_CLOSED_DATE")="(Invalid Transaction Id)", _xll.ciqfunctions.udf.CIQ($J7,"IQ_TR_CLOSED_DATE")="(Invalid DataTypeId)",_xll.ciqfunctions.udf.CIQ($J7,"IQ_TR_CLOSED_DATE")="NA"),"-",_xll.ciqfunctions.udf.CIQ($J7,"IQ_TR_CLOSED_DATE")))</f>
        <v>0</v>
      </c>
      <c r="E7" s="951" t="str">
        <f>IF($A7="","",IF(_xll.ciqfunctions.udf.CIQ($A7,"IQ_COMPANY_TYPE")="NA","-",_xll.ciqfunctions.udf.CIQ($A7,"IQ_COMPANY_TYPE")))</f>
        <v>Private Investment Firm</v>
      </c>
      <c r="F7" s="951">
        <f>IF($A7="","",IF(_xll.ciqfunctions.udf.CIQ($B$1,"IQ_INVESTORS_ALL_COVER",$K7)="NA","-",_xll.ciqfunctions.udf.CIQ($B$1,"IQ_INVESTORS_ALL_COVER",$K7)))</f>
        <v>0</v>
      </c>
      <c r="G7" s="960">
        <f>IF($A7="","",IF(OR($J7="-",_xll.ciqfunctions.udf.CIQ($J7,"IQ_TR_TOTALVALUE",,$B$3)="(Invalid Transaction Id)",_xll.ciqfunctions.udf.CIQ($J7,"IQ_TR_TOTALVALUE",,$B$3)="NA"),"-",_xll.ciqfunctions.udf.CIQ($J7,"IQ_TR_TOTALVALUE",,$B$3)))</f>
        <v>516.92538999999999</v>
      </c>
      <c r="H7" s="960">
        <f>IF($A7="","",IF(_xll.ciqfunctions.udf.CIQ($B$1,"IQ_INVESTORS_CURR_RECENT_AMOUNT",$A7)="NA","-",_xll.ciqfunctions.udf.CIQ($B$1,"IQ_INVESTORS_CURR_RECENT_AMOUNT",$A7)))</f>
        <v>0</v>
      </c>
      <c r="I7" s="961" t="str">
        <f>IF(OR(_xll.ciqfunctions.udf.CIQ($B$1,$I$5,A7)="Unknown",_xll.ciqfunctions.udf.CIQ($B$1,$I$5,A7)="NA"),"-",_xll.ciqfunctions.udf.CIQ($B$1,$I$5,A7))</f>
        <v>-</v>
      </c>
      <c r="J7" s="951" t="str">
        <f>IF($A7="","",IF(ISNUMBER(MATCH($A7,$M$6:$M$1005,0)),IF(INDEX($N$6:$N$1005,MATCH($A7,$M$6:$M$1005,0))="NA","-",INDEX($N$6:$N$1005,MATCH($A7,$M$6:$M$1005,0))),IF(_xll.ciqfunctions.udf.CIQ($B$1,"IQ_LATEST_TRANSACTION",$K7)="NA","-",_xll.ciqfunctions.udf.CIQ($B$1,"IQ_LATEST_TRANSACTION",$K7))))</f>
        <v>IQTR318218475</v>
      </c>
      <c r="K7" s="610">
        <f t="shared" ref="K7:K9" si="0">K6+1</f>
        <v>2</v>
      </c>
      <c r="M7" s="610" t="str">
        <f>_xll.ciqfunctions.udf.CIQ("NYSE:WMT", "IQ_INVESTORS_CURR_ID", 2)</f>
        <v>IQ247771785</v>
      </c>
      <c r="N7" s="610" t="str">
        <f>_xll.ciqfunctions.udf.CIQ("NYSE:WMT", "IQ_INVESTORS_CURR_TRANSACTION_ID", 2)</f>
        <v>IQTR665730989</v>
      </c>
      <c r="O7" s="952">
        <f>_xll.ciqfunctions.udf.CIQ("NYSE:WMT", "IQ_INVESTORS_CURR_TRANSACTION_DATE", 2)</f>
        <v>43948</v>
      </c>
      <c r="P7" s="610">
        <f>_xll.ciqfunctions.udf.CIQ("NYSE:WMT", "IQ_INVESTORS_CURR_RECENT_AMOUNT", 2)</f>
        <v>0</v>
      </c>
    </row>
    <row r="8" spans="1:16" ht="12.75" x14ac:dyDescent="0.2">
      <c r="A8" s="951" t="str">
        <f>_xll.ciqfunctions.udf.CIQ("NYSE:WMT", "IQ_INVESTORS_ALL_ID", 3)</f>
        <v>IQ247771785</v>
      </c>
      <c r="B8" s="951" t="str">
        <f>IF($A8="","",IF(_xll.ciqfunctions.udf.CIQ($B$1,"IQ_INVESTORS_ALL",$K8)="NA","-",_xll.ciqfunctions.udf.CIQ($B$1,"IQ_INVESTORS_ALL",$K8)))</f>
        <v>As You Sow Foundation</v>
      </c>
      <c r="C8" s="951" t="str">
        <f>IF($A8="","",IF(_xll.ciqfunctions.udf.CIQ($B$1,"IQ_INVESTORS_ALL_REL",$K8)="NA","-",_xll.ciqfunctions.udf.CIQ($B$1,"IQ_INVESTORS_ALL_REL",$K8)))</f>
        <v>Current Investment</v>
      </c>
      <c r="D8" s="959">
        <f>IF($A8="","",IF(OR($J8=0,_xll.ciqfunctions.udf.CIQ($J8,"IQ_TR_CLOSED_DATE")="(Invalid Transaction Id)", _xll.ciqfunctions.udf.CIQ($J8,"IQ_TR_CLOSED_DATE")="(Invalid DataTypeId)",_xll.ciqfunctions.udf.CIQ($J8,"IQ_TR_CLOSED_DATE")="NA"),"-",_xll.ciqfunctions.udf.CIQ($J8,"IQ_TR_CLOSED_DATE")))</f>
        <v>43987</v>
      </c>
      <c r="E8" s="951" t="str">
        <f>IF($A8="","",IF(_xll.ciqfunctions.udf.CIQ($A8,"IQ_COMPANY_TYPE")="NA","-",_xll.ciqfunctions.udf.CIQ($A8,"IQ_COMPANY_TYPE")))</f>
        <v>Foundation/Charitable Institution</v>
      </c>
      <c r="F8" s="951">
        <f>IF($A8="","",IF(_xll.ciqfunctions.udf.CIQ($B$1,"IQ_INVESTORS_ALL_COVER",$K8)="NA","-",_xll.ciqfunctions.udf.CIQ($B$1,"IQ_INVESTORS_ALL_COVER",$K8)))</f>
        <v>0</v>
      </c>
      <c r="G8" s="960">
        <f>IF($A8="","",IF(OR($J8="-",_xll.ciqfunctions.udf.CIQ($J8,"IQ_TR_TOTALVALUE",,$B$3)="(Invalid Transaction Id)",_xll.ciqfunctions.udf.CIQ($J8,"IQ_TR_TOTALVALUE",,$B$3)="NA"),"-",_xll.ciqfunctions.udf.CIQ($J8,"IQ_TR_TOTALVALUE",,$B$3)))</f>
        <v>0</v>
      </c>
      <c r="H8" s="960">
        <f>IF($A8="","",IF(_xll.ciqfunctions.udf.CIQ($B$1,"IQ_INVESTORS_CURR_RECENT_AMOUNT",$A8)="NA","-",_xll.ciqfunctions.udf.CIQ($B$1,"IQ_INVESTORS_CURR_RECENT_AMOUNT",$A8)))</f>
        <v>0</v>
      </c>
      <c r="I8" s="961" t="str">
        <f>IF(OR(_xll.ciqfunctions.udf.CIQ($B$1,$I$5,A8)="Unknown",_xll.ciqfunctions.udf.CIQ($B$1,$I$5,A8)="NA"),"-",_xll.ciqfunctions.udf.CIQ($B$1,$I$5,A8))</f>
        <v>-</v>
      </c>
      <c r="J8" s="951" t="str">
        <f>IF($A8="","",IF(ISNUMBER(MATCH($A8,$M$6:$M$1005,0)),IF(INDEX($N$6:$N$1005,MATCH($A8,$M$6:$M$1005,0))="NA","-",INDEX($N$6:$N$1005,MATCH($A8,$M$6:$M$1005,0))),IF(_xll.ciqfunctions.udf.CIQ($B$1,"IQ_LATEST_TRANSACTION",$K8)="NA","-",_xll.ciqfunctions.udf.CIQ($B$1,"IQ_LATEST_TRANSACTION",$K8))))</f>
        <v>IQTR665730989</v>
      </c>
      <c r="K8" s="610">
        <f t="shared" si="0"/>
        <v>3</v>
      </c>
      <c r="M8" s="610" t="str">
        <f>_xll.ciqfunctions.udf.CIQ("NYSE:WMT", "IQ_INVESTORS_CURR_ID", 3)</f>
        <v>IQ3534831</v>
      </c>
      <c r="N8" s="610" t="str">
        <f>_xll.ciqfunctions.udf.CIQ("NYSE:WMT", "IQ_INVESTORS_CURR_TRANSACTION_ID", 3)</f>
        <v>IQTR713776501</v>
      </c>
      <c r="O8" s="952">
        <f>_xll.ciqfunctions.udf.CIQ("NYSE:WMT", "IQ_INVESTORS_CURR_TRANSACTION_DATE", 3)</f>
        <v>44321</v>
      </c>
      <c r="P8" s="610">
        <f>_xll.ciqfunctions.udf.CIQ("NYSE:WMT", "IQ_INVESTORS_CURR_RECENT_AMOUNT", 3)</f>
        <v>0</v>
      </c>
    </row>
    <row r="9" spans="1:16" ht="12.75" x14ac:dyDescent="0.2">
      <c r="A9" s="951" t="str">
        <f>_xll.ciqfunctions.udf.CIQ("NYSE:WMT", "IQ_INVESTORS_ALL_ID", 4)</f>
        <v>IQ3534831</v>
      </c>
      <c r="B9" s="951" t="str">
        <f>IF($A9="","",IF(_xll.ciqfunctions.udf.CIQ($B$1,"IQ_INVESTORS_ALL",$K9)="NA","-",_xll.ciqfunctions.udf.CIQ($B$1,"IQ_INVESTORS_ALL",$K9)))</f>
        <v>Employees' Retirement System of Rhode Island</v>
      </c>
      <c r="C9" s="951" t="str">
        <f>IF($A9="","",IF(_xll.ciqfunctions.udf.CIQ($B$1,"IQ_INVESTORS_ALL_REL",$K9)="NA","-",_xll.ciqfunctions.udf.CIQ($B$1,"IQ_INVESTORS_ALL_REL",$K9)))</f>
        <v>Current Investment</v>
      </c>
      <c r="D9" s="959">
        <f>IF($A9="","",IF(OR($J9=0,_xll.ciqfunctions.udf.CIQ($J9,"IQ_TR_CLOSED_DATE")="(Invalid Transaction Id)", _xll.ciqfunctions.udf.CIQ($J9,"IQ_TR_CLOSED_DATE")="(Invalid DataTypeId)",_xll.ciqfunctions.udf.CIQ($J9,"IQ_TR_CLOSED_DATE")="NA"),"-",_xll.ciqfunctions.udf.CIQ($J9,"IQ_TR_CLOSED_DATE")))</f>
        <v>44351</v>
      </c>
      <c r="E9" s="951" t="str">
        <f>IF($A9="","",IF(_xll.ciqfunctions.udf.CIQ($A9,"IQ_COMPANY_TYPE")="NA","-",_xll.ciqfunctions.udf.CIQ($A9,"IQ_COMPANY_TYPE")))</f>
        <v>Private Investment Firm</v>
      </c>
      <c r="F9" s="951">
        <f>IF($A9="","",IF(_xll.ciqfunctions.udf.CIQ($B$1,"IQ_INVESTORS_ALL_COVER",$K9)="NA","-",_xll.ciqfunctions.udf.CIQ($B$1,"IQ_INVESTORS_ALL_COVER",$K9)))</f>
        <v>0</v>
      </c>
      <c r="G9" s="960">
        <f>IF($A9="","",IF(OR($J9="-",_xll.ciqfunctions.udf.CIQ($J9,"IQ_TR_TOTALVALUE",,$B$3)="(Invalid Transaction Id)",_xll.ciqfunctions.udf.CIQ($J9,"IQ_TR_TOTALVALUE",,$B$3)="NA"),"-",_xll.ciqfunctions.udf.CIQ($J9,"IQ_TR_TOTALVALUE",,$B$3)))</f>
        <v>0</v>
      </c>
      <c r="H9" s="960">
        <f>IF($A9="","",IF(_xll.ciqfunctions.udf.CIQ($B$1,"IQ_INVESTORS_CURR_RECENT_AMOUNT",$A9)="NA","-",_xll.ciqfunctions.udf.CIQ($B$1,"IQ_INVESTORS_CURR_RECENT_AMOUNT",$A9)))</f>
        <v>0</v>
      </c>
      <c r="I9" s="961" t="str">
        <f>IF(OR(_xll.ciqfunctions.udf.CIQ($B$1,$I$5,A9)="Unknown",_xll.ciqfunctions.udf.CIQ($B$1,$I$5,A9)="NA"),"-",_xll.ciqfunctions.udf.CIQ($B$1,$I$5,A9))</f>
        <v>Minority</v>
      </c>
      <c r="J9" s="951" t="str">
        <f>IF($A9="","",IF(ISNUMBER(MATCH($A9,$M$6:$M$1005,0)),IF(INDEX($N$6:$N$1005,MATCH($A9,$M$6:$M$1005,0))="NA","-",INDEX($N$6:$N$1005,MATCH($A9,$M$6:$M$1005,0))),IF(_xll.ciqfunctions.udf.CIQ($B$1,"IQ_LATEST_TRANSACTION",$K9)="NA","-",_xll.ciqfunctions.udf.CIQ($B$1,"IQ_LATEST_TRANSACTION",$K9))))</f>
        <v>IQTR713776501</v>
      </c>
      <c r="K9" s="610">
        <f t="shared" si="0"/>
        <v>4</v>
      </c>
      <c r="M9" s="610" t="str">
        <f>_xll.ciqfunctions.udf.CIQ("NYSE:WMT", "IQ_INVESTORS_CURR_ID", 4)</f>
        <v>IQ145484106</v>
      </c>
      <c r="N9" s="610">
        <f>_xll.ciqfunctions.udf.CIQ("NYSE:WMT", "IQ_INVESTORS_CURR_TRANSACTION_ID", 4)</f>
        <v>0</v>
      </c>
      <c r="O9" s="952">
        <f>_xll.ciqfunctions.udf.CIQ("NYSE:WMT", "IQ_INVESTORS_CURR_TRANSACTION_DATE", 4)</f>
        <v>0</v>
      </c>
      <c r="P9" s="610">
        <f>_xll.ciqfunctions.udf.CIQ("NYSE:WMT", "IQ_INVESTORS_CURR_RECENT_AMOUNT", 4)</f>
        <v>0</v>
      </c>
    </row>
    <row r="10" spans="1:16" x14ac:dyDescent="0.2">
      <c r="A10" s="951" t="str">
        <f>_xll.ciqfunctions.udf.CIQ("NYSE:WMT", "IQ_INVESTORS_ALL_ID", 5)</f>
        <v>IQ145484106</v>
      </c>
      <c r="M10" s="610" t="str">
        <f>_xll.ciqfunctions.udf.CIQ("NYSE:WMT", "IQ_INVESTORS_CURR_ID", 5)</f>
        <v>IQ247397669</v>
      </c>
      <c r="N10" s="610" t="str">
        <f>_xll.ciqfunctions.udf.CIQ("NYSE:WMT", "IQ_INVESTORS_CURR_TRANSACTION_ID", 5)</f>
        <v>IQTR711296673</v>
      </c>
      <c r="O10" s="952">
        <f>_xll.ciqfunctions.udf.CIQ("NYSE:WMT", "IQ_INVESTORS_CURR_TRANSACTION_DATE", 5)</f>
        <v>44300</v>
      </c>
      <c r="P10" s="610">
        <f>_xll.ciqfunctions.udf.CIQ("NYSE:WMT", "IQ_INVESTORS_CURR_RECENT_AMOUNT", 5)</f>
        <v>0</v>
      </c>
    </row>
    <row r="11" spans="1:16" x14ac:dyDescent="0.2">
      <c r="A11" s="951" t="str">
        <f>_xll.ciqfunctions.udf.CIQ("NYSE:WMT", "IQ_INVESTORS_ALL_ID", 6)</f>
        <v>IQ247397669</v>
      </c>
      <c r="M11" s="610" t="str">
        <f>_xll.ciqfunctions.udf.CIQ("NYSE:WMT", "IQ_INVESTORS_CURR_ID", 6)</f>
        <v>IQ597313751</v>
      </c>
      <c r="N11" s="610" t="str">
        <f>_xll.ciqfunctions.udf.CIQ("NYSE:WMT", "IQ_INVESTORS_CURR_TRANSACTION_ID", 6)</f>
        <v>IQTR716221629</v>
      </c>
      <c r="O11" s="610">
        <f>_xll.ciqfunctions.udf.CIQ("NYSE:WMT", "IQ_INVESTORS_CURR_TRANSACTION_DATE", 6)</f>
        <v>44340</v>
      </c>
      <c r="P11" s="610">
        <f>_xll.ciqfunctions.udf.CIQ("NYSE:WMT", "IQ_INVESTORS_CURR_RECENT_AMOUNT", 6)</f>
        <v>0</v>
      </c>
    </row>
    <row r="12" spans="1:16" x14ac:dyDescent="0.2">
      <c r="A12" s="951" t="str">
        <f>_xll.ciqfunctions.udf.CIQ("NYSE:WMT", "IQ_INVESTORS_ALL_ID", 7)</f>
        <v>IQ6461700</v>
      </c>
      <c r="M12" s="610" t="str">
        <f>_xll.ciqfunctions.udf.CIQ("NYSE:WMT", "IQ_INVESTORS_CURR_ID", 7)</f>
        <v>IQ629781638</v>
      </c>
      <c r="N12" s="610" t="str">
        <f>_xll.ciqfunctions.udf.CIQ("NYSE:WMT", "IQ_INVESTORS_CURR_TRANSACTION_ID", 7)</f>
        <v>IQTR694708037</v>
      </c>
      <c r="O12" s="610">
        <f>_xll.ciqfunctions.udf.CIQ("NYSE:WMT", "IQ_INVESTORS_CURR_TRANSACTION_DATE", 7)</f>
        <v>43972</v>
      </c>
      <c r="P12" s="610">
        <f>_xll.ciqfunctions.udf.CIQ("NYSE:WMT", "IQ_INVESTORS_CURR_RECENT_AMOUNT", 7)</f>
        <v>0</v>
      </c>
    </row>
    <row r="13" spans="1:16" x14ac:dyDescent="0.2">
      <c r="A13" s="951" t="str">
        <f>_xll.ciqfunctions.udf.CIQ("NYSE:WMT", "IQ_INVESTORS_ALL_ID", 8)</f>
        <v>IQ597313751</v>
      </c>
      <c r="M13" s="610" t="str">
        <f>_xll.ciqfunctions.udf.CIQ("NYSE:WMT", "IQ_INVESTORS_CURR_ID", 8)</f>
        <v>IQ415800115</v>
      </c>
      <c r="N13" s="610">
        <f>_xll.ciqfunctions.udf.CIQ("NYSE:WMT", "IQ_INVESTORS_CURR_TRANSACTION_ID", 8)</f>
        <v>0</v>
      </c>
      <c r="O13" s="610">
        <f>_xll.ciqfunctions.udf.CIQ("NYSE:WMT", "IQ_INVESTORS_CURR_TRANSACTION_DATE", 8)</f>
        <v>0</v>
      </c>
      <c r="P13" s="610">
        <f>_xll.ciqfunctions.udf.CIQ("NYSE:WMT", "IQ_INVESTORS_CURR_RECENT_AMOUNT", 8)</f>
        <v>0</v>
      </c>
    </row>
    <row r="14" spans="1:16" x14ac:dyDescent="0.2">
      <c r="A14" s="951" t="str">
        <f>_xll.ciqfunctions.udf.CIQ("NYSE:WMT", "IQ_INVESTORS_ALL_ID", 9)</f>
        <v>IQ629781638</v>
      </c>
      <c r="M14" s="610" t="str">
        <f>_xll.ciqfunctions.udf.CIQ("NYSE:WMT", "IQ_INVESTORS_CURR_ID", 9)</f>
        <v>IQ84225802</v>
      </c>
      <c r="N14" s="610" t="str">
        <f>_xll.ciqfunctions.udf.CIQ("NYSE:WMT", "IQ_INVESTORS_CURR_TRANSACTION_ID", 9)</f>
        <v>IQTR263519802</v>
      </c>
      <c r="O14" s="610">
        <f>_xll.ciqfunctions.udf.CIQ("NYSE:WMT", "IQ_INVESTORS_CURR_TRANSACTION_DATE", 9)</f>
        <v>41752</v>
      </c>
      <c r="P14" s="610">
        <f>_xll.ciqfunctions.udf.CIQ("NYSE:WMT", "IQ_INVESTORS_CURR_RECENT_AMOUNT", 9)</f>
        <v>0</v>
      </c>
    </row>
    <row r="15" spans="1:16" x14ac:dyDescent="0.2">
      <c r="A15" s="951" t="str">
        <f>_xll.ciqfunctions.udf.CIQ("NYSE:WMT", "IQ_INVESTORS_ALL_ID", 10)</f>
        <v>IQ3708988</v>
      </c>
      <c r="M15" s="610" t="str">
        <f>_xll.ciqfunctions.udf.CIQ("NYSE:WMT", "IQ_INVESTORS_CURR_ID", 10)</f>
        <v>IQ713554602</v>
      </c>
      <c r="N15" s="610" t="str">
        <f>_xll.ciqfunctions.udf.CIQ("NYSE:WMT", "IQ_INVESTORS_CURR_TRANSACTION_ID", 10)</f>
        <v>IQTR713151811</v>
      </c>
      <c r="O15" s="610">
        <f>_xll.ciqfunctions.udf.CIQ("NYSE:WMT", "IQ_INVESTORS_CURR_TRANSACTION_DATE", 10)</f>
        <v>44315</v>
      </c>
      <c r="P15" s="610">
        <f>_xll.ciqfunctions.udf.CIQ("NYSE:WMT", "IQ_INVESTORS_CURR_RECENT_AMOUNT", 10)</f>
        <v>0</v>
      </c>
    </row>
    <row r="16" spans="1:16" x14ac:dyDescent="0.2">
      <c r="A16" s="951" t="str">
        <f>_xll.ciqfunctions.udf.CIQ("NYSE:WMT", "IQ_INVESTORS_ALL_ID", 11)</f>
        <v>IQ3754870</v>
      </c>
      <c r="M16" s="610" t="str">
        <f>_xll.ciqfunctions.udf.CIQ("NYSE:WMT", "IQ_INVESTORS_CURR_ID", 11)</f>
        <v>IQ665052252</v>
      </c>
      <c r="N16" s="610">
        <f>_xll.ciqfunctions.udf.CIQ("NYSE:WMT", "IQ_INVESTORS_CURR_TRANSACTION_ID", 11)</f>
        <v>0</v>
      </c>
      <c r="O16" s="610">
        <f>_xll.ciqfunctions.udf.CIQ("NYSE:WMT", "IQ_INVESTORS_CURR_TRANSACTION_DATE", 11)</f>
        <v>0</v>
      </c>
      <c r="P16" s="610">
        <f>_xll.ciqfunctions.udf.CIQ("NYSE:WMT", "IQ_INVESTORS_CURR_RECENT_AMOUNT", 11)</f>
        <v>0</v>
      </c>
    </row>
    <row r="17" spans="1:16" x14ac:dyDescent="0.2">
      <c r="A17" s="951" t="str">
        <f>_xll.ciqfunctions.udf.CIQ("NYSE:WMT", "IQ_INVESTORS_ALL_ID", 12)</f>
        <v>IQ415800115</v>
      </c>
      <c r="M17" s="610" t="str">
        <f>_xll.ciqfunctions.udf.CIQ("NYSE:WMT", "IQ_INVESTORS_CURR_ID", 12)</f>
        <v>IQ26992017</v>
      </c>
      <c r="N17" s="610">
        <f>_xll.ciqfunctions.udf.CIQ("NYSE:WMT", "IQ_INVESTORS_CURR_TRANSACTION_ID", 12)</f>
        <v>0</v>
      </c>
      <c r="O17" s="610">
        <f>_xll.ciqfunctions.udf.CIQ("NYSE:WMT", "IQ_INVESTORS_CURR_TRANSACTION_DATE", 12)</f>
        <v>0</v>
      </c>
      <c r="P17" s="610">
        <f>_xll.ciqfunctions.udf.CIQ("NYSE:WMT", "IQ_INVESTORS_CURR_RECENT_AMOUNT", 12)</f>
        <v>0</v>
      </c>
    </row>
    <row r="18" spans="1:16" x14ac:dyDescent="0.2">
      <c r="A18" s="951" t="str">
        <f>_xll.ciqfunctions.udf.CIQ("NYSE:WMT", "IQ_INVESTORS_ALL_ID", 13)</f>
        <v>IQ84225802</v>
      </c>
      <c r="M18" s="610" t="str">
        <f>_xll.ciqfunctions.udf.CIQ("NYSE:WMT", "IQ_INVESTORS_CURR_ID", 13)</f>
        <v>IQ36309344</v>
      </c>
      <c r="N18" s="610" t="str">
        <f>_xll.ciqfunctions.udf.CIQ("NYSE:WMT", "IQ_INVESTORS_CURR_TRANSACTION_ID", 13)</f>
        <v>IQTR716272309</v>
      </c>
      <c r="O18" s="610">
        <f>_xll.ciqfunctions.udf.CIQ("NYSE:WMT", "IQ_INVESTORS_CURR_TRANSACTION_DATE", 13)</f>
        <v>44341</v>
      </c>
      <c r="P18" s="610">
        <f>_xll.ciqfunctions.udf.CIQ("NYSE:WMT", "IQ_INVESTORS_CURR_RECENT_AMOUNT", 13)</f>
        <v>0</v>
      </c>
    </row>
    <row r="19" spans="1:16" x14ac:dyDescent="0.2">
      <c r="A19" s="951" t="str">
        <f>_xll.ciqfunctions.udf.CIQ("NYSE:WMT", "IQ_INVESTORS_ALL_ID", 14)</f>
        <v>IQ49184006</v>
      </c>
    </row>
    <row r="20" spans="1:16" x14ac:dyDescent="0.2">
      <c r="A20" s="951" t="str">
        <f>_xll.ciqfunctions.udf.CIQ("NYSE:WMT", "IQ_INVESTORS_ALL_ID", 15)</f>
        <v>IQ713554602</v>
      </c>
    </row>
    <row r="21" spans="1:16" x14ac:dyDescent="0.2">
      <c r="A21" s="951" t="str">
        <f>_xll.ciqfunctions.udf.CIQ("NYSE:WMT", "IQ_INVESTORS_ALL_ID", 16)</f>
        <v>IQ665052252</v>
      </c>
    </row>
    <row r="22" spans="1:16" x14ac:dyDescent="0.2">
      <c r="A22" s="951" t="str">
        <f>_xll.ciqfunctions.udf.CIQ("NYSE:WMT", "IQ_INVESTORS_ALL_ID", 17)</f>
        <v>IQ26992017</v>
      </c>
    </row>
    <row r="23" spans="1:16" x14ac:dyDescent="0.2">
      <c r="A23" s="951" t="str">
        <f>_xll.ciqfunctions.udf.CIQ("NYSE:WMT", "IQ_INVESTORS_ALL_ID", 18)</f>
        <v>IQ36309344</v>
      </c>
    </row>
    <row r="24" spans="1:16" x14ac:dyDescent="0.2">
      <c r="A24" s="951"/>
    </row>
    <row r="25" spans="1:16" x14ac:dyDescent="0.2">
      <c r="A25" s="951"/>
    </row>
    <row r="26" spans="1:16" x14ac:dyDescent="0.2">
      <c r="A26" s="951"/>
    </row>
    <row r="27" spans="1:16" x14ac:dyDescent="0.2">
      <c r="A27" s="951"/>
    </row>
    <row r="28" spans="1:16" x14ac:dyDescent="0.2">
      <c r="A28" s="951"/>
    </row>
    <row r="29" spans="1:16" x14ac:dyDescent="0.2">
      <c r="A29" s="951"/>
    </row>
    <row r="30" spans="1:16" x14ac:dyDescent="0.2">
      <c r="A30" s="951"/>
    </row>
    <row r="31" spans="1:16" x14ac:dyDescent="0.2">
      <c r="A31" s="951"/>
    </row>
    <row r="32" spans="1:16" x14ac:dyDescent="0.2">
      <c r="A32" s="951"/>
    </row>
    <row r="33" spans="1:1" x14ac:dyDescent="0.2">
      <c r="A33" s="951"/>
    </row>
    <row r="34" spans="1:1" x14ac:dyDescent="0.2">
      <c r="A34" s="951"/>
    </row>
    <row r="35" spans="1:1" x14ac:dyDescent="0.2">
      <c r="A35" s="951"/>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Refresh_Ownership">
                <anchor moveWithCells="1">
                  <from>
                    <xdr:col>2</xdr:col>
                    <xdr:colOff>1924050</xdr:colOff>
                    <xdr:row>0</xdr:row>
                    <xdr:rowOff>57150</xdr:rowOff>
                  </from>
                  <to>
                    <xdr:col>3</xdr:col>
                    <xdr:colOff>933450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tabColor theme="1" tint="0.249977111117893"/>
  </sheetPr>
  <dimension ref="A1:W77"/>
  <sheetViews>
    <sheetView showGridLines="0" workbookViewId="0">
      <selection activeCell="C7" sqref="C7"/>
    </sheetView>
  </sheetViews>
  <sheetFormatPr defaultColWidth="9" defaultRowHeight="14.25" outlineLevelRow="1" x14ac:dyDescent="0.2"/>
  <cols>
    <col min="1" max="1" width="3.75" style="509" customWidth="1"/>
    <col min="2" max="2" width="14.25" style="509" customWidth="1"/>
    <col min="3" max="3" width="10.25" style="509" customWidth="1"/>
    <col min="4" max="4" width="9.25" style="509" customWidth="1"/>
    <col min="5" max="5" width="12.625" style="509" customWidth="1"/>
    <col min="6" max="6" width="13.5" style="509" customWidth="1"/>
    <col min="7" max="7" width="9.25" style="509" customWidth="1"/>
    <col min="8" max="8" width="9.75" style="509" customWidth="1"/>
    <col min="9" max="9" width="3.5" style="509" customWidth="1"/>
    <col min="10" max="12" width="9.625" style="509" customWidth="1"/>
    <col min="13" max="14" width="9.75" style="509" customWidth="1"/>
    <col min="15" max="16" width="14" style="509" customWidth="1"/>
    <col min="17" max="18" width="9" style="509"/>
    <col min="19" max="19" width="13.25" style="510" customWidth="1"/>
    <col min="20" max="20" width="12.75" style="510" customWidth="1"/>
    <col min="21" max="21" width="12.5" style="510" customWidth="1"/>
    <col min="22" max="22" width="12.625" style="510" customWidth="1"/>
    <col min="23" max="23" width="12.75" style="510" customWidth="1"/>
    <col min="24" max="16384" width="9" style="509"/>
  </cols>
  <sheetData>
    <row r="1" spans="1:23" ht="15" customHeight="1" outlineLevel="1" x14ac:dyDescent="0.2">
      <c r="A1" s="511"/>
      <c r="B1" s="939" t="s">
        <v>644</v>
      </c>
      <c r="C1" s="940" t="str">
        <f>Target</f>
        <v>NYSE:WMT</v>
      </c>
      <c r="D1" s="939"/>
      <c r="E1" s="940" t="s">
        <v>1047</v>
      </c>
      <c r="F1" s="941">
        <f>EDATE(H1,-12*1)</f>
        <v>44280</v>
      </c>
      <c r="G1" s="940" t="s">
        <v>1048</v>
      </c>
      <c r="H1" s="941">
        <f>Input!C8</f>
        <v>44645</v>
      </c>
      <c r="I1" s="942"/>
      <c r="J1" s="942" t="s">
        <v>1049</v>
      </c>
      <c r="K1" s="943" t="s">
        <v>1050</v>
      </c>
      <c r="L1" s="944"/>
      <c r="M1" s="945" t="s">
        <v>608</v>
      </c>
      <c r="N1" s="945" t="s">
        <v>608</v>
      </c>
      <c r="O1" s="945" t="s">
        <v>612</v>
      </c>
      <c r="P1" s="945" t="s">
        <v>612</v>
      </c>
      <c r="Q1" s="944"/>
      <c r="R1" s="944"/>
      <c r="S1" s="946"/>
    </row>
    <row r="2" spans="1:23" ht="15" customHeight="1" outlineLevel="1" x14ac:dyDescent="0.2">
      <c r="A2" s="511"/>
      <c r="B2" s="939" t="s">
        <v>1051</v>
      </c>
      <c r="C2" s="947" t="s">
        <v>624</v>
      </c>
      <c r="D2" s="939"/>
      <c r="E2" s="939"/>
      <c r="F2" s="939"/>
      <c r="G2" s="939" t="s">
        <v>1052</v>
      </c>
      <c r="H2" s="939" t="str">
        <f>Input!C6</f>
        <v>USD</v>
      </c>
      <c r="I2" s="939"/>
      <c r="J2" s="939" t="s">
        <v>1053</v>
      </c>
      <c r="K2" s="948" t="str">
        <f>Input!C7</f>
        <v>USD</v>
      </c>
      <c r="L2" s="944"/>
      <c r="M2" s="945" t="str">
        <f>"FY"&amp;_xll.ciqfunctions.udf.CIQ($C$1,"iq_fiscal_y_EST",IQ_FY+1,H1)</f>
        <v>FY2023</v>
      </c>
      <c r="N2" s="945" t="str">
        <f>"FY"&amp;_xll.ciqfunctions.udf.CIQ($C$1,"iq_fiscal_y_EST",IQ_FY+2,H1)</f>
        <v>FY2024</v>
      </c>
      <c r="O2" s="945" t="str">
        <f>"FY"&amp;_xll.ciqfunctions.udf.CIQ($C$1,"iq_fiscal_y_EST",IQ_FY+1,H1)</f>
        <v>FY2023</v>
      </c>
      <c r="P2" s="945" t="str">
        <f>"FY"&amp;_xll.ciqfunctions.udf.CIQ($C$1,"iq_fiscal_y_EST",IQ_FY+2,H1)</f>
        <v>FY2024</v>
      </c>
      <c r="Q2" s="944"/>
      <c r="R2" s="944"/>
      <c r="S2" s="946"/>
    </row>
    <row r="3" spans="1:23" ht="20.100000000000001" customHeight="1" x14ac:dyDescent="0.2">
      <c r="B3" s="442" t="s">
        <v>1054</v>
      </c>
      <c r="U3" s="609"/>
      <c r="W3" s="609"/>
    </row>
    <row r="4" spans="1:23" ht="15" customHeight="1" x14ac:dyDescent="0.2">
      <c r="B4" s="610"/>
      <c r="S4" s="611"/>
      <c r="T4" s="611"/>
      <c r="U4" s="609"/>
      <c r="V4" s="611"/>
      <c r="W4" s="609"/>
    </row>
    <row r="5" spans="1:23" ht="20.100000000000001" customHeight="1" x14ac:dyDescent="0.2">
      <c r="B5" s="441" t="str">
        <f>Overview!$P$3</f>
        <v>Walmart Inc.</v>
      </c>
      <c r="C5" s="441"/>
      <c r="D5" s="441"/>
      <c r="E5" s="441"/>
      <c r="F5" s="441"/>
      <c r="G5" s="441"/>
      <c r="H5" s="441"/>
      <c r="I5" s="441"/>
      <c r="J5" s="441"/>
      <c r="K5" s="441"/>
      <c r="L5" s="441"/>
      <c r="M5" s="441"/>
      <c r="N5" s="441"/>
      <c r="O5" s="441"/>
      <c r="P5" s="441"/>
      <c r="Q5" s="441"/>
    </row>
    <row r="7" spans="1:23" ht="17.100000000000001" customHeight="1" x14ac:dyDescent="0.2">
      <c r="B7" s="612" t="s">
        <v>59</v>
      </c>
      <c r="C7" s="612" t="str">
        <f>"EPS FY " &amp;RIGHT(+_xll.ciqfunctions.udf.CIQ($C$1,"iq_fiscal_y",IQ_FY,H1)+1,2)&amp;"E"</f>
        <v>EPS FY 23E</v>
      </c>
      <c r="Q7" s="510"/>
      <c r="R7" s="510"/>
      <c r="U7" s="509"/>
      <c r="V7" s="509"/>
      <c r="W7" s="509"/>
    </row>
    <row r="8" spans="1:23" ht="17.100000000000001" customHeight="1" x14ac:dyDescent="0.2">
      <c r="B8" s="613">
        <f>+IF(WORKDAY($F$1,A8)&lt;=$H$1,WORKDAY($F$1,A8),"")</f>
        <v>44280</v>
      </c>
      <c r="C8" s="614">
        <f>+IFERROR(IF(_xll.ciqfunctions.udf.CIQ($C$1,$M$1,M$2,$B8,,$C$2,$K$2)="NA",NA(),_xll.ciqfunctions.udf.CIQ($C$1,$M$1,M$2,$B8,,$C$2,$K$2)),"NA")</f>
        <v>5.8777900000000001</v>
      </c>
      <c r="P8" s="615"/>
      <c r="Q8" s="510"/>
      <c r="R8" s="510"/>
      <c r="U8" s="509"/>
      <c r="V8" s="509"/>
      <c r="W8" s="509"/>
    </row>
    <row r="9" spans="1:23" s="510" customFormat="1" ht="16.149999999999999" customHeight="1" x14ac:dyDescent="0.2">
      <c r="A9" s="509"/>
      <c r="B9" s="613">
        <f t="shared" ref="B9:B60" si="0">+IF(WORKDAY($B8,5)&lt;=$H$1,WORKDAY($B8,5),"")</f>
        <v>44287</v>
      </c>
      <c r="C9" s="614">
        <f>+IFERROR(IF(_xll.ciqfunctions.udf.CIQ($C$1,$M$1,M$2,$B9,,$C$2,$K$2)="NA",NA(),_xll.ciqfunctions.udf.CIQ($C$1,$M$1,M$2,$B9,,$C$2,$K$2)),"NA")</f>
        <v>5.8777900000000001</v>
      </c>
      <c r="D9" s="509"/>
      <c r="E9" s="509"/>
      <c r="F9" s="509"/>
      <c r="G9" s="509"/>
      <c r="H9" s="509"/>
      <c r="I9" s="509"/>
      <c r="J9" s="509"/>
      <c r="K9" s="509"/>
      <c r="L9" s="509"/>
      <c r="M9" s="509"/>
      <c r="N9" s="509"/>
      <c r="P9" s="509"/>
    </row>
    <row r="10" spans="1:23" s="510" customFormat="1" ht="16.149999999999999" customHeight="1" x14ac:dyDescent="0.2">
      <c r="A10" s="509"/>
      <c r="B10" s="613">
        <f t="shared" si="0"/>
        <v>44294</v>
      </c>
      <c r="C10" s="614">
        <f>+IFERROR(IF(_xll.ciqfunctions.udf.CIQ($C$1,$M$1,M$2,$B10,,$C$2,$K$2)="NA",NA(),_xll.ciqfunctions.udf.CIQ($C$1,$M$1,M$2,$B10,,$C$2,$K$2)),"NA")</f>
        <v>5.87812</v>
      </c>
      <c r="D10" s="509"/>
      <c r="E10" s="509"/>
      <c r="F10" s="509"/>
      <c r="G10" s="509"/>
      <c r="H10" s="509"/>
      <c r="I10" s="509"/>
      <c r="J10" s="509"/>
      <c r="K10" s="509"/>
      <c r="L10" s="509"/>
      <c r="M10" s="509"/>
      <c r="N10" s="509"/>
      <c r="P10" s="509"/>
    </row>
    <row r="11" spans="1:23" s="510" customFormat="1" ht="16.149999999999999" customHeight="1" x14ac:dyDescent="0.2">
      <c r="A11" s="509"/>
      <c r="B11" s="613">
        <f t="shared" si="0"/>
        <v>44301</v>
      </c>
      <c r="C11" s="614">
        <f>+IFERROR(IF(_xll.ciqfunctions.udf.CIQ($C$1,$M$1,M$2,$B11,,$C$2,$K$2)="NA",NA(),_xll.ciqfunctions.udf.CIQ($C$1,$M$1,M$2,$B11,,$C$2,$K$2)),"NA")</f>
        <v>5.87812</v>
      </c>
      <c r="D11" s="509"/>
      <c r="E11" s="509"/>
      <c r="F11" s="509"/>
      <c r="G11" s="509"/>
      <c r="H11" s="509"/>
      <c r="I11" s="509"/>
      <c r="J11" s="509"/>
      <c r="K11" s="509"/>
      <c r="L11" s="509"/>
      <c r="M11" s="509"/>
      <c r="N11" s="509"/>
      <c r="P11" s="509"/>
    </row>
    <row r="12" spans="1:23" s="510" customFormat="1" ht="16.149999999999999" customHeight="1" x14ac:dyDescent="0.2">
      <c r="A12" s="509"/>
      <c r="B12" s="613">
        <f t="shared" si="0"/>
        <v>44308</v>
      </c>
      <c r="C12" s="614">
        <f>+IFERROR(IF(_xll.ciqfunctions.udf.CIQ($C$1,$M$1,M$2,$B12,,$C$2,$K$2)="NA",NA(),_xll.ciqfunctions.udf.CIQ($C$1,$M$1,M$2,$B12,,$C$2,$K$2)),"NA")</f>
        <v>5.87812</v>
      </c>
      <c r="D12" s="509"/>
      <c r="E12" s="509"/>
      <c r="F12" s="509"/>
      <c r="G12" s="509"/>
      <c r="H12" s="509"/>
      <c r="I12" s="509"/>
      <c r="J12" s="509"/>
      <c r="K12" s="509"/>
      <c r="L12" s="509"/>
      <c r="M12" s="509"/>
      <c r="N12" s="509"/>
      <c r="P12" s="509"/>
    </row>
    <row r="13" spans="1:23" s="510" customFormat="1" ht="16.149999999999999" customHeight="1" x14ac:dyDescent="0.2">
      <c r="A13" s="509"/>
      <c r="B13" s="613">
        <f t="shared" si="0"/>
        <v>44315</v>
      </c>
      <c r="C13" s="614">
        <f>+IFERROR(IF(_xll.ciqfunctions.udf.CIQ($C$1,$M$1,M$2,$B13,,$C$2,$K$2)="NA",NA(),_xll.ciqfunctions.udf.CIQ($C$1,$M$1,M$2,$B13,,$C$2,$K$2)),"NA")</f>
        <v>5.87812</v>
      </c>
      <c r="D13" s="509"/>
      <c r="E13" s="509"/>
      <c r="F13" s="509"/>
      <c r="G13" s="509"/>
      <c r="H13" s="509"/>
      <c r="I13" s="509"/>
      <c r="J13" s="509"/>
      <c r="K13" s="509"/>
      <c r="L13" s="509"/>
      <c r="M13" s="509"/>
      <c r="N13" s="509"/>
      <c r="P13" s="509"/>
    </row>
    <row r="14" spans="1:23" ht="16.149999999999999" customHeight="1" x14ac:dyDescent="0.2">
      <c r="B14" s="613">
        <f t="shared" si="0"/>
        <v>44322</v>
      </c>
      <c r="C14" s="614">
        <f>+IFERROR(IF(_xll.ciqfunctions.udf.CIQ($C$1,$M$1,M$2,$B14,,$C$2,$K$2)="NA",NA(),_xll.ciqfunctions.udf.CIQ($C$1,$M$1,M$2,$B14,,$C$2,$K$2)),"NA")</f>
        <v>5.87812</v>
      </c>
      <c r="G14" s="510"/>
      <c r="H14" s="510"/>
      <c r="I14" s="510"/>
      <c r="J14" s="510"/>
      <c r="K14" s="510"/>
      <c r="L14" s="510"/>
      <c r="M14" s="510"/>
      <c r="N14" s="510"/>
      <c r="Q14" s="510"/>
      <c r="R14" s="510"/>
      <c r="U14" s="509"/>
      <c r="V14" s="509"/>
      <c r="W14" s="509"/>
    </row>
    <row r="15" spans="1:23" ht="16.149999999999999" customHeight="1" x14ac:dyDescent="0.2">
      <c r="B15" s="613">
        <f t="shared" si="0"/>
        <v>44329</v>
      </c>
      <c r="C15" s="614">
        <f>+IFERROR(IF(_xll.ciqfunctions.udf.CIQ($C$1,$M$1,M$2,$B15,,$C$2,$K$2)="NA",NA(),_xll.ciqfunctions.udf.CIQ($C$1,$M$1,M$2,$B15,,$C$2,$K$2)),"NA")</f>
        <v>5.8830200000000001</v>
      </c>
      <c r="G15" s="510"/>
      <c r="H15" s="510"/>
      <c r="I15" s="510"/>
      <c r="J15" s="510"/>
      <c r="K15" s="510"/>
      <c r="L15" s="510"/>
      <c r="M15" s="510"/>
      <c r="N15" s="510"/>
      <c r="O15" s="614"/>
      <c r="Q15" s="510"/>
      <c r="R15" s="510"/>
      <c r="U15" s="509"/>
      <c r="V15" s="509"/>
      <c r="W15" s="509"/>
    </row>
    <row r="16" spans="1:23" ht="15" customHeight="1" x14ac:dyDescent="0.2">
      <c r="B16" s="613">
        <f t="shared" si="0"/>
        <v>44336</v>
      </c>
      <c r="C16" s="614">
        <f>+IFERROR(IF(_xll.ciqfunctions.udf.CIQ($C$1,$M$1,M$2,$B16,,$C$2,$K$2)="NA",NA(),_xll.ciqfunctions.udf.CIQ($C$1,$M$1,M$2,$B16,,$C$2,$K$2)),"NA")</f>
        <v>6.2245600000000003</v>
      </c>
      <c r="O16" s="614"/>
      <c r="Q16" s="510"/>
      <c r="R16" s="510"/>
      <c r="U16" s="509"/>
      <c r="V16" s="509"/>
      <c r="W16" s="509"/>
    </row>
    <row r="17" spans="2:23" ht="16.149999999999999" customHeight="1" x14ac:dyDescent="0.2">
      <c r="B17" s="613">
        <f t="shared" si="0"/>
        <v>44343</v>
      </c>
      <c r="C17" s="614">
        <f>+IFERROR(IF(_xll.ciqfunctions.udf.CIQ($C$1,$M$1,M$2,$B17,,$C$2,$K$2)="NA",NA(),_xll.ciqfunctions.udf.CIQ($C$1,$M$1,M$2,$B17,,$C$2,$K$2)),"NA")</f>
        <v>6.2291100000000004</v>
      </c>
      <c r="O17" s="614"/>
      <c r="Q17" s="510"/>
      <c r="R17" s="510"/>
      <c r="U17" s="509"/>
      <c r="V17" s="509"/>
      <c r="W17" s="509"/>
    </row>
    <row r="18" spans="2:23" ht="16.149999999999999" customHeight="1" x14ac:dyDescent="0.2">
      <c r="B18" s="613">
        <f t="shared" si="0"/>
        <v>44350</v>
      </c>
      <c r="C18" s="614">
        <f>+IFERROR(IF(_xll.ciqfunctions.udf.CIQ($C$1,$M$1,M$2,$B18,,$C$2,$K$2)="NA",NA(),_xll.ciqfunctions.udf.CIQ($C$1,$M$1,M$2,$B18,,$C$2,$K$2)),"NA")</f>
        <v>6.2197100000000001</v>
      </c>
      <c r="O18" s="614"/>
      <c r="Q18" s="510"/>
      <c r="R18" s="510"/>
      <c r="U18" s="509"/>
      <c r="V18" s="509"/>
      <c r="W18" s="509"/>
    </row>
    <row r="19" spans="2:23" ht="16.149999999999999" customHeight="1" x14ac:dyDescent="0.2">
      <c r="B19" s="613">
        <f t="shared" si="0"/>
        <v>44357</v>
      </c>
      <c r="C19" s="614">
        <f>+IFERROR(IF(_xll.ciqfunctions.udf.CIQ($C$1,$M$1,M$2,$B19,,$C$2,$K$2)="NA",NA(),_xll.ciqfunctions.udf.CIQ($C$1,$M$1,M$2,$B19,,$C$2,$K$2)),"NA")</f>
        <v>6.2282000000000002</v>
      </c>
      <c r="O19" s="614"/>
      <c r="Q19" s="510"/>
      <c r="R19" s="510"/>
      <c r="U19" s="509"/>
      <c r="V19" s="509"/>
      <c r="W19" s="509"/>
    </row>
    <row r="20" spans="2:23" ht="16.149999999999999" customHeight="1" x14ac:dyDescent="0.2">
      <c r="B20" s="613">
        <f t="shared" si="0"/>
        <v>44364</v>
      </c>
      <c r="C20" s="614">
        <f>+IFERROR(IF(_xll.ciqfunctions.udf.CIQ($C$1,$M$1,M$2,$B20,,$C$2,$K$2)="NA",NA(),_xll.ciqfunctions.udf.CIQ($C$1,$M$1,M$2,$B20,,$C$2,$K$2)),"NA")</f>
        <v>6.2283099999999996</v>
      </c>
      <c r="O20" s="614"/>
      <c r="Q20" s="510"/>
      <c r="R20" s="510"/>
      <c r="U20" s="509"/>
      <c r="V20" s="509"/>
      <c r="W20" s="509"/>
    </row>
    <row r="21" spans="2:23" ht="16.149999999999999" customHeight="1" x14ac:dyDescent="0.2">
      <c r="B21" s="613">
        <f t="shared" si="0"/>
        <v>44371</v>
      </c>
      <c r="C21" s="614">
        <f>+IFERROR(IF(_xll.ciqfunctions.udf.CIQ($C$1,$M$1,M$2,$B21,,$C$2,$K$2)="NA",NA(),_xll.ciqfunctions.udf.CIQ($C$1,$M$1,M$2,$B21,,$C$2,$K$2)),"NA")</f>
        <v>6.2407399999999997</v>
      </c>
      <c r="O21" s="614"/>
      <c r="Q21" s="510"/>
      <c r="R21" s="510"/>
      <c r="U21" s="509"/>
      <c r="V21" s="509"/>
      <c r="W21" s="509"/>
    </row>
    <row r="22" spans="2:23" ht="16.149999999999999" customHeight="1" x14ac:dyDescent="0.2">
      <c r="B22" s="613">
        <f t="shared" si="0"/>
        <v>44378</v>
      </c>
      <c r="C22" s="614">
        <f>+IFERROR(IF(_xll.ciqfunctions.udf.CIQ($C$1,$M$1,M$2,$B22,,$C$2,$K$2)="NA",NA(),_xll.ciqfunctions.udf.CIQ($C$1,$M$1,M$2,$B22,,$C$2,$K$2)),"NA")</f>
        <v>6.2407399999999997</v>
      </c>
      <c r="O22" s="614"/>
      <c r="Q22" s="510"/>
      <c r="R22" s="510"/>
      <c r="U22" s="509"/>
      <c r="V22" s="509"/>
      <c r="W22" s="509"/>
    </row>
    <row r="23" spans="2:23" ht="16.149999999999999" customHeight="1" x14ac:dyDescent="0.2">
      <c r="B23" s="613">
        <f t="shared" si="0"/>
        <v>44385</v>
      </c>
      <c r="C23" s="614">
        <f>+IFERROR(IF(_xll.ciqfunctions.udf.CIQ($C$1,$M$1,M$2,$B23,,$C$2,$K$2)="NA",NA(),_xll.ciqfunctions.udf.CIQ($C$1,$M$1,M$2,$B23,,$C$2,$K$2)),"NA")</f>
        <v>6.2513399999999999</v>
      </c>
      <c r="O23" s="614"/>
      <c r="Q23" s="510"/>
      <c r="R23" s="510"/>
      <c r="U23" s="509"/>
      <c r="V23" s="509"/>
      <c r="W23" s="509"/>
    </row>
    <row r="24" spans="2:23" ht="16.149999999999999" customHeight="1" x14ac:dyDescent="0.2">
      <c r="B24" s="613">
        <f t="shared" si="0"/>
        <v>44392</v>
      </c>
      <c r="C24" s="614">
        <f>+IFERROR(IF(_xll.ciqfunctions.udf.CIQ($C$1,$M$1,M$2,$B24,,$C$2,$K$2)="NA",NA(),_xll.ciqfunctions.udf.CIQ($C$1,$M$1,M$2,$B24,,$C$2,$K$2)),"NA")</f>
        <v>6.2573999999999996</v>
      </c>
      <c r="O24" s="614"/>
      <c r="Q24" s="510"/>
      <c r="R24" s="510"/>
      <c r="U24" s="509"/>
      <c r="V24" s="509"/>
      <c r="W24" s="509"/>
    </row>
    <row r="25" spans="2:23" ht="16.149999999999999" customHeight="1" x14ac:dyDescent="0.2">
      <c r="B25" s="613">
        <f t="shared" si="0"/>
        <v>44399</v>
      </c>
      <c r="C25" s="614">
        <f>+IFERROR(IF(_xll.ciqfunctions.udf.CIQ($C$1,$M$1,M$2,$B25,,$C$2,$K$2)="NA",NA(),_xll.ciqfunctions.udf.CIQ($C$1,$M$1,M$2,$B25,,$C$2,$K$2)),"NA")</f>
        <v>6.2573999999999996</v>
      </c>
      <c r="O25" s="614"/>
      <c r="Q25" s="510"/>
      <c r="R25" s="510"/>
      <c r="U25" s="509"/>
      <c r="V25" s="509"/>
      <c r="W25" s="509"/>
    </row>
    <row r="26" spans="2:23" ht="16.149999999999999" customHeight="1" x14ac:dyDescent="0.2">
      <c r="B26" s="613">
        <f t="shared" si="0"/>
        <v>44406</v>
      </c>
      <c r="C26" s="614">
        <f>+IFERROR(IF(_xll.ciqfunctions.udf.CIQ($C$1,$M$1,M$2,$B26,,$C$2,$K$2)="NA",NA(),_xll.ciqfunctions.udf.CIQ($C$1,$M$1,M$2,$B26,,$C$2,$K$2)),"NA")</f>
        <v>6.2573999999999996</v>
      </c>
      <c r="O26" s="614"/>
      <c r="Q26" s="510"/>
      <c r="R26" s="510"/>
      <c r="U26" s="509"/>
      <c r="V26" s="509"/>
      <c r="W26" s="509"/>
    </row>
    <row r="27" spans="2:23" ht="16.149999999999999" customHeight="1" x14ac:dyDescent="0.2">
      <c r="B27" s="613">
        <f t="shared" si="0"/>
        <v>44413</v>
      </c>
      <c r="C27" s="614">
        <f>+IFERROR(IF(_xll.ciqfunctions.udf.CIQ($C$1,$M$1,M$2,$B27,,$C$2,$K$2)="NA",NA(),_xll.ciqfunctions.udf.CIQ($C$1,$M$1,M$2,$B27,,$C$2,$K$2)),"NA")</f>
        <v>6.25509</v>
      </c>
      <c r="O27" s="614"/>
      <c r="Q27" s="510"/>
      <c r="R27" s="510"/>
      <c r="U27" s="509"/>
      <c r="V27" s="509"/>
      <c r="W27" s="509"/>
    </row>
    <row r="28" spans="2:23" ht="16.149999999999999" customHeight="1" x14ac:dyDescent="0.2">
      <c r="B28" s="613">
        <f t="shared" si="0"/>
        <v>44420</v>
      </c>
      <c r="C28" s="614">
        <f>+IFERROR(IF(_xll.ciqfunctions.udf.CIQ($C$1,$M$1,M$2,$B28,,$C$2,$K$2)="NA",NA(),_xll.ciqfunctions.udf.CIQ($C$1,$M$1,M$2,$B28,,$C$2,$K$2)),"NA")</f>
        <v>6.2956599999999998</v>
      </c>
      <c r="O28" s="614"/>
      <c r="Q28" s="510"/>
      <c r="R28" s="510"/>
      <c r="U28" s="509"/>
      <c r="V28" s="509"/>
      <c r="W28" s="509"/>
    </row>
    <row r="29" spans="2:23" ht="16.149999999999999" customHeight="1" x14ac:dyDescent="0.2">
      <c r="B29" s="613">
        <f t="shared" si="0"/>
        <v>44427</v>
      </c>
      <c r="C29" s="614">
        <f>+IFERROR(IF(_xll.ciqfunctions.udf.CIQ($C$1,$M$1,M$2,$B29,,$C$2,$K$2)="NA",NA(),_xll.ciqfunctions.udf.CIQ($C$1,$M$1,M$2,$B29,,$C$2,$K$2)),"NA")</f>
        <v>6.5366799999999996</v>
      </c>
      <c r="O29" s="614"/>
      <c r="Q29" s="510"/>
      <c r="R29" s="510"/>
      <c r="U29" s="509"/>
      <c r="V29" s="509"/>
      <c r="W29" s="509"/>
    </row>
    <row r="30" spans="2:23" ht="16.149999999999999" customHeight="1" x14ac:dyDescent="0.2">
      <c r="B30" s="613">
        <f t="shared" si="0"/>
        <v>44434</v>
      </c>
      <c r="C30" s="614">
        <f>+IFERROR(IF(_xll.ciqfunctions.udf.CIQ($C$1,$M$1,M$2,$B30,,$C$2,$K$2)="NA",NA(),_xll.ciqfunctions.udf.CIQ($C$1,$M$1,M$2,$B30,,$C$2,$K$2)),"NA")</f>
        <v>6.5507400000000002</v>
      </c>
      <c r="O30" s="614"/>
      <c r="Q30" s="510"/>
      <c r="R30" s="510"/>
      <c r="U30" s="509"/>
      <c r="V30" s="509"/>
      <c r="W30" s="509"/>
    </row>
    <row r="31" spans="2:23" ht="16.149999999999999" customHeight="1" x14ac:dyDescent="0.2">
      <c r="B31" s="613">
        <f t="shared" si="0"/>
        <v>44441</v>
      </c>
      <c r="C31" s="614">
        <f>+IFERROR(IF(_xll.ciqfunctions.udf.CIQ($C$1,$M$1,M$2,$B31,,$C$2,$K$2)="NA",NA(),_xll.ciqfunctions.udf.CIQ($C$1,$M$1,M$2,$B31,,$C$2,$K$2)),"NA")</f>
        <v>6.5507400000000002</v>
      </c>
      <c r="O31" s="614"/>
      <c r="Q31" s="510"/>
      <c r="R31" s="510"/>
      <c r="U31" s="509"/>
      <c r="V31" s="509"/>
      <c r="W31" s="509"/>
    </row>
    <row r="32" spans="2:23" ht="16.149999999999999" customHeight="1" x14ac:dyDescent="0.2">
      <c r="B32" s="613">
        <f t="shared" si="0"/>
        <v>44448</v>
      </c>
      <c r="C32" s="614">
        <f>+IFERROR(IF(_xll.ciqfunctions.udf.CIQ($C$1,$M$1,M$2,$B32,,$C$2,$K$2)="NA",NA(),_xll.ciqfunctions.udf.CIQ($C$1,$M$1,M$2,$B32,,$C$2,$K$2)),"NA")</f>
        <v>6.5560600000000004</v>
      </c>
      <c r="O32" s="614"/>
      <c r="Q32" s="510"/>
      <c r="R32" s="510"/>
      <c r="U32" s="509"/>
      <c r="V32" s="509"/>
      <c r="W32" s="509"/>
    </row>
    <row r="33" spans="2:23" ht="16.149999999999999" customHeight="1" x14ac:dyDescent="0.2">
      <c r="B33" s="613">
        <f t="shared" si="0"/>
        <v>44455</v>
      </c>
      <c r="C33" s="614">
        <f>+IFERROR(IF(_xll.ciqfunctions.udf.CIQ($C$1,$M$1,M$2,$B33,,$C$2,$K$2)="NA",NA(),_xll.ciqfunctions.udf.CIQ($C$1,$M$1,M$2,$B33,,$C$2,$K$2)),"NA")</f>
        <v>6.5560600000000004</v>
      </c>
      <c r="O33" s="614"/>
      <c r="Q33" s="510"/>
      <c r="R33" s="510"/>
      <c r="U33" s="509"/>
      <c r="V33" s="509"/>
      <c r="W33" s="509"/>
    </row>
    <row r="34" spans="2:23" ht="16.149999999999999" customHeight="1" x14ac:dyDescent="0.2">
      <c r="B34" s="613">
        <f t="shared" si="0"/>
        <v>44462</v>
      </c>
      <c r="C34" s="614">
        <f>+IFERROR(IF(_xll.ciqfunctions.udf.CIQ($C$1,$M$1,M$2,$B34,,$C$2,$K$2)="NA",NA(),_xll.ciqfunctions.udf.CIQ($C$1,$M$1,M$2,$B34,,$C$2,$K$2)),"NA")</f>
        <v>6.5604300000000002</v>
      </c>
      <c r="O34" s="614"/>
      <c r="Q34" s="510"/>
      <c r="R34" s="510"/>
      <c r="U34" s="509"/>
      <c r="V34" s="509"/>
      <c r="W34" s="509"/>
    </row>
    <row r="35" spans="2:23" ht="16.149999999999999" customHeight="1" x14ac:dyDescent="0.2">
      <c r="B35" s="613">
        <f t="shared" si="0"/>
        <v>44469</v>
      </c>
      <c r="C35" s="614">
        <f>+IFERROR(IF(_xll.ciqfunctions.udf.CIQ($C$1,$M$1,M$2,$B35,,$C$2,$K$2)="NA",NA(),_xll.ciqfunctions.udf.CIQ($C$1,$M$1,M$2,$B35,,$C$2,$K$2)),"NA")</f>
        <v>6.5604300000000002</v>
      </c>
      <c r="O35" s="614"/>
      <c r="Q35" s="510"/>
      <c r="R35" s="510"/>
      <c r="U35" s="509"/>
      <c r="V35" s="509"/>
      <c r="W35" s="509"/>
    </row>
    <row r="36" spans="2:23" ht="16.149999999999999" customHeight="1" x14ac:dyDescent="0.2">
      <c r="B36" s="613">
        <f t="shared" si="0"/>
        <v>44476</v>
      </c>
      <c r="C36" s="614">
        <f>+IFERROR(IF(_xll.ciqfunctions.udf.CIQ($C$1,$M$1,M$2,$B36,,$C$2,$K$2)="NA",NA(),_xll.ciqfunctions.udf.CIQ($C$1,$M$1,M$2,$B36,,$C$2,$K$2)),"NA")</f>
        <v>6.5604300000000002</v>
      </c>
      <c r="O36" s="614"/>
      <c r="Q36" s="510"/>
      <c r="R36" s="510"/>
      <c r="U36" s="509"/>
      <c r="V36" s="509"/>
      <c r="W36" s="509"/>
    </row>
    <row r="37" spans="2:23" ht="16.149999999999999" customHeight="1" x14ac:dyDescent="0.2">
      <c r="B37" s="613">
        <f t="shared" si="0"/>
        <v>44483</v>
      </c>
      <c r="C37" s="614">
        <f>+IFERROR(IF(_xll.ciqfunctions.udf.CIQ($C$1,$M$1,M$2,$B37,,$C$2,$K$2)="NA",NA(),_xll.ciqfunctions.udf.CIQ($C$1,$M$1,M$2,$B37,,$C$2,$K$2)),"NA")</f>
        <v>6.5604300000000002</v>
      </c>
      <c r="O37" s="614"/>
      <c r="Q37" s="510"/>
      <c r="R37" s="510"/>
      <c r="U37" s="509"/>
      <c r="V37" s="509"/>
      <c r="W37" s="509"/>
    </row>
    <row r="38" spans="2:23" ht="16.149999999999999" customHeight="1" x14ac:dyDescent="0.2">
      <c r="B38" s="613">
        <f t="shared" si="0"/>
        <v>44490</v>
      </c>
      <c r="C38" s="614">
        <f>+IFERROR(IF(_xll.ciqfunctions.udf.CIQ($C$1,$M$1,M$2,$B38,,$C$2,$K$2)="NA",NA(),_xll.ciqfunctions.udf.CIQ($C$1,$M$1,M$2,$B38,,$C$2,$K$2)),"NA")</f>
        <v>6.5788700000000002</v>
      </c>
      <c r="O38" s="614"/>
      <c r="Q38" s="510"/>
      <c r="R38" s="510"/>
      <c r="U38" s="509"/>
      <c r="V38" s="509"/>
      <c r="W38" s="509"/>
    </row>
    <row r="39" spans="2:23" ht="16.149999999999999" customHeight="1" x14ac:dyDescent="0.2">
      <c r="B39" s="613">
        <f t="shared" si="0"/>
        <v>44497</v>
      </c>
      <c r="C39" s="614">
        <f>+IFERROR(IF(_xll.ciqfunctions.udf.CIQ($C$1,$M$1,M$2,$B39,,$C$2,$K$2)="NA",NA(),_xll.ciqfunctions.udf.CIQ($C$1,$M$1,M$2,$B39,,$C$2,$K$2)),"NA")</f>
        <v>6.5788700000000002</v>
      </c>
      <c r="O39" s="614"/>
      <c r="Q39" s="510"/>
      <c r="R39" s="510"/>
      <c r="U39" s="509"/>
      <c r="V39" s="509"/>
      <c r="W39" s="509"/>
    </row>
    <row r="40" spans="2:23" ht="16.149999999999999" customHeight="1" x14ac:dyDescent="0.2">
      <c r="B40" s="613">
        <f t="shared" si="0"/>
        <v>44504</v>
      </c>
      <c r="C40" s="614">
        <f>+IFERROR(IF(_xll.ciqfunctions.udf.CIQ($C$1,$M$1,M$2,$B40,,$C$2,$K$2)="NA",NA(),_xll.ciqfunctions.udf.CIQ($C$1,$M$1,M$2,$B40,,$C$2,$K$2)),"NA")</f>
        <v>6.5784799999999999</v>
      </c>
      <c r="O40" s="614"/>
      <c r="Q40" s="510"/>
      <c r="R40" s="510"/>
      <c r="U40" s="509"/>
      <c r="V40" s="509"/>
      <c r="W40" s="509"/>
    </row>
    <row r="41" spans="2:23" ht="16.149999999999999" customHeight="1" x14ac:dyDescent="0.2">
      <c r="B41" s="613">
        <f t="shared" si="0"/>
        <v>44511</v>
      </c>
      <c r="C41" s="614">
        <f>+IFERROR(IF(_xll.ciqfunctions.udf.CIQ($C$1,$M$1,M$2,$B41,,$C$2,$K$2)="NA",NA(),_xll.ciqfunctions.udf.CIQ($C$1,$M$1,M$2,$B41,,$C$2,$K$2)),"NA")</f>
        <v>6.5765000000000002</v>
      </c>
      <c r="O41" s="614"/>
      <c r="Q41" s="510"/>
      <c r="R41" s="510"/>
      <c r="U41" s="509"/>
      <c r="V41" s="509"/>
      <c r="W41" s="509"/>
    </row>
    <row r="42" spans="2:23" ht="16.149999999999999" customHeight="1" x14ac:dyDescent="0.2">
      <c r="B42" s="613">
        <f t="shared" si="0"/>
        <v>44518</v>
      </c>
      <c r="C42" s="614">
        <f>+IFERROR(IF(_xll.ciqfunctions.udf.CIQ($C$1,$M$1,M$2,$B42,,$C$2,$K$2)="NA",NA(),_xll.ciqfunctions.udf.CIQ($C$1,$M$1,M$2,$B42,,$C$2,$K$2)),"NA")</f>
        <v>6.6719400000000002</v>
      </c>
      <c r="Q42" s="510"/>
      <c r="R42" s="510"/>
      <c r="U42" s="509"/>
      <c r="V42" s="509"/>
      <c r="W42" s="509"/>
    </row>
    <row r="43" spans="2:23" ht="16.149999999999999" customHeight="1" x14ac:dyDescent="0.2">
      <c r="B43" s="613">
        <f t="shared" si="0"/>
        <v>44525</v>
      </c>
      <c r="C43" s="614">
        <f>+IFERROR(IF(_xll.ciqfunctions.udf.CIQ($C$1,$M$1,M$2,$B43,,$C$2,$K$2)="NA",NA(),_xll.ciqfunctions.udf.CIQ($C$1,$M$1,M$2,$B43,,$C$2,$K$2)),"NA")</f>
        <v>6.6830999999999996</v>
      </c>
      <c r="Q43" s="510"/>
      <c r="R43" s="510"/>
      <c r="U43" s="509"/>
      <c r="V43" s="509"/>
      <c r="W43" s="509"/>
    </row>
    <row r="44" spans="2:23" ht="16.149999999999999" customHeight="1" x14ac:dyDescent="0.2">
      <c r="B44" s="613">
        <f t="shared" si="0"/>
        <v>44532</v>
      </c>
      <c r="C44" s="614">
        <f>+IFERROR(IF(_xll.ciqfunctions.udf.CIQ($C$1,$M$1,M$2,$B44,,$C$2,$K$2)="NA",NA(),_xll.ciqfunctions.udf.CIQ($C$1,$M$1,M$2,$B44,,$C$2,$K$2)),"NA")</f>
        <v>6.6751199999999997</v>
      </c>
      <c r="D44" s="1525"/>
      <c r="E44" s="1525"/>
      <c r="F44" s="1525"/>
      <c r="G44" s="1525"/>
      <c r="Q44" s="510"/>
      <c r="R44" s="510"/>
      <c r="U44" s="509"/>
      <c r="V44" s="509"/>
      <c r="W44" s="509"/>
    </row>
    <row r="45" spans="2:23" ht="16.149999999999999" customHeight="1" x14ac:dyDescent="0.2">
      <c r="B45" s="613">
        <f t="shared" si="0"/>
        <v>44539</v>
      </c>
      <c r="C45" s="614">
        <f>+IFERROR(IF(_xll.ciqfunctions.udf.CIQ($C$1,$M$1,M$2,$B45,,$C$2,$K$2)="NA",NA(),_xll.ciqfunctions.udf.CIQ($C$1,$M$1,M$2,$B45,,$C$2,$K$2)),"NA")</f>
        <v>6.6751199999999997</v>
      </c>
      <c r="D45" s="616"/>
      <c r="E45" s="616"/>
      <c r="F45" s="616"/>
      <c r="G45" s="616"/>
      <c r="Q45" s="510"/>
      <c r="R45" s="510"/>
      <c r="U45" s="509"/>
      <c r="V45" s="509"/>
      <c r="W45" s="509"/>
    </row>
    <row r="46" spans="2:23" ht="16.149999999999999" customHeight="1" x14ac:dyDescent="0.2">
      <c r="B46" s="613">
        <f t="shared" si="0"/>
        <v>44546</v>
      </c>
      <c r="C46" s="614">
        <f>+IFERROR(IF(_xll.ciqfunctions.udf.CIQ($C$1,$M$1,M$2,$B46,,$C$2,$K$2)="NA",NA(),_xll.ciqfunctions.udf.CIQ($C$1,$M$1,M$2,$B46,,$C$2,$K$2)),"NA")</f>
        <v>6.68825</v>
      </c>
      <c r="D46" s="617"/>
      <c r="E46" s="617"/>
      <c r="F46" s="617"/>
      <c r="G46" s="617"/>
      <c r="Q46" s="510"/>
      <c r="R46" s="510"/>
      <c r="U46" s="509"/>
      <c r="V46" s="509"/>
      <c r="W46" s="509"/>
    </row>
    <row r="47" spans="2:23" ht="16.149999999999999" customHeight="1" x14ac:dyDescent="0.2">
      <c r="B47" s="613">
        <f t="shared" si="0"/>
        <v>44553</v>
      </c>
      <c r="C47" s="614">
        <f>+IFERROR(IF(_xll.ciqfunctions.udf.CIQ($C$1,$M$1,M$2,$B47,,$C$2,$K$2)="NA",NA(),_xll.ciqfunctions.udf.CIQ($C$1,$M$1,M$2,$B47,,$C$2,$K$2)),"NA")</f>
        <v>6.6935599999999997</v>
      </c>
      <c r="D47" s="617"/>
      <c r="E47" s="617"/>
      <c r="F47" s="617"/>
      <c r="G47" s="617"/>
      <c r="Q47" s="510"/>
      <c r="R47" s="510"/>
      <c r="U47" s="509"/>
      <c r="V47" s="509"/>
      <c r="W47" s="509"/>
    </row>
    <row r="48" spans="2:23" ht="16.149999999999999" customHeight="1" x14ac:dyDescent="0.2">
      <c r="B48" s="613">
        <f t="shared" si="0"/>
        <v>44560</v>
      </c>
      <c r="C48" s="614">
        <f>+IFERROR(IF(_xll.ciqfunctions.udf.CIQ($C$1,$M$1,M$2,$B48,,$C$2,$K$2)="NA",NA(),_xll.ciqfunctions.udf.CIQ($C$1,$M$1,M$2,$B48,,$C$2,$K$2)),"NA")</f>
        <v>6.6935599999999997</v>
      </c>
      <c r="D48" s="617"/>
      <c r="E48" s="617"/>
      <c r="F48" s="617"/>
      <c r="G48" s="617"/>
      <c r="Q48" s="510"/>
      <c r="R48" s="510"/>
      <c r="U48" s="509"/>
      <c r="V48" s="509"/>
      <c r="W48" s="509"/>
    </row>
    <row r="49" spans="2:23" ht="16.149999999999999" customHeight="1" x14ac:dyDescent="0.2">
      <c r="B49" s="613">
        <f t="shared" si="0"/>
        <v>44567</v>
      </c>
      <c r="C49" s="614">
        <f>+IFERROR(IF(_xll.ciqfunctions.udf.CIQ($C$1,$M$1,M$2,$B49,,$C$2,$K$2)="NA",NA(),_xll.ciqfunctions.udf.CIQ($C$1,$M$1,M$2,$B49,,$C$2,$K$2)),"NA")</f>
        <v>6.6935599999999997</v>
      </c>
      <c r="D49" s="617"/>
      <c r="E49" s="617"/>
      <c r="F49" s="617"/>
      <c r="G49" s="617"/>
      <c r="Q49" s="510"/>
      <c r="R49" s="510"/>
      <c r="U49" s="509"/>
      <c r="V49" s="509"/>
      <c r="W49" s="509"/>
    </row>
    <row r="50" spans="2:23" ht="16.149999999999999" customHeight="1" x14ac:dyDescent="0.2">
      <c r="B50" s="613">
        <f t="shared" si="0"/>
        <v>44574</v>
      </c>
      <c r="C50" s="614">
        <f>+IFERROR(IF(_xll.ciqfunctions.udf.CIQ($C$1,$M$1,M$2,$B50,,$C$2,$K$2)="NA",NA(),_xll.ciqfunctions.udf.CIQ($C$1,$M$1,M$2,$B50,,$C$2,$K$2)),"NA")</f>
        <v>6.6952699999999998</v>
      </c>
      <c r="D50" s="617"/>
      <c r="E50" s="617"/>
      <c r="F50" s="617"/>
      <c r="G50" s="617"/>
      <c r="Q50" s="510"/>
      <c r="R50" s="510"/>
      <c r="U50" s="509"/>
      <c r="V50" s="509"/>
      <c r="W50" s="509"/>
    </row>
    <row r="51" spans="2:23" ht="16.149999999999999" customHeight="1" x14ac:dyDescent="0.2">
      <c r="B51" s="613">
        <f t="shared" si="0"/>
        <v>44581</v>
      </c>
      <c r="C51" s="614">
        <f>+IFERROR(IF(_xll.ciqfunctions.udf.CIQ($C$1,$M$1,M$2,$B51,,$C$2,$K$2)="NA",NA(),_xll.ciqfunctions.udf.CIQ($C$1,$M$1,M$2,$B51,,$C$2,$K$2)),"NA")</f>
        <v>6.6867799999999997</v>
      </c>
      <c r="Q51" s="510"/>
      <c r="R51" s="510"/>
      <c r="U51" s="509"/>
      <c r="V51" s="509"/>
      <c r="W51" s="509"/>
    </row>
    <row r="52" spans="2:23" ht="16.149999999999999" customHeight="1" x14ac:dyDescent="0.2">
      <c r="B52" s="613">
        <f t="shared" si="0"/>
        <v>44588</v>
      </c>
      <c r="C52" s="614">
        <f>+IFERROR(IF(_xll.ciqfunctions.udf.CIQ($C$1,$M$1,M$2,$B52,,$C$2,$K$2)="NA",NA(),_xll.ciqfunctions.udf.CIQ($C$1,$M$1,M$2,$B52,,$C$2,$K$2)),"NA")</f>
        <v>6.6877599999999999</v>
      </c>
      <c r="O52" s="614"/>
      <c r="Q52" s="510"/>
      <c r="R52" s="510"/>
      <c r="U52" s="509"/>
      <c r="V52" s="509"/>
      <c r="W52" s="509"/>
    </row>
    <row r="53" spans="2:23" ht="16.149999999999999" customHeight="1" x14ac:dyDescent="0.2">
      <c r="B53" s="613">
        <f t="shared" si="0"/>
        <v>44595</v>
      </c>
      <c r="C53" s="614">
        <f>+IFERROR(IF(_xll.ciqfunctions.udf.CIQ($C$1,$M$1,M$2,$B53,,$C$2,$K$2)="NA",NA(),_xll.ciqfunctions.udf.CIQ($C$1,$M$1,M$2,$B53,,$C$2,$K$2)),"NA")</f>
        <v>6.6906999999999996</v>
      </c>
      <c r="O53" s="614"/>
      <c r="Q53" s="510"/>
      <c r="R53" s="510"/>
      <c r="U53" s="509"/>
      <c r="V53" s="509"/>
      <c r="W53" s="509"/>
    </row>
    <row r="54" spans="2:23" ht="16.149999999999999" customHeight="1" x14ac:dyDescent="0.2">
      <c r="B54" s="613">
        <f t="shared" si="0"/>
        <v>44602</v>
      </c>
      <c r="C54" s="614">
        <f>+IFERROR(IF(_xll.ciqfunctions.udf.CIQ($C$1,$M$1,M$2,$B54,,$C$2,$K$2)="NA",NA(),_xll.ciqfunctions.udf.CIQ($C$1,$M$1,M$2,$B54,,$C$2,$K$2)),"NA")</f>
        <v>6.6923599999999999</v>
      </c>
      <c r="O54" s="614"/>
      <c r="Q54" s="510"/>
      <c r="R54" s="510"/>
      <c r="U54" s="509"/>
      <c r="V54" s="509"/>
      <c r="W54" s="509"/>
    </row>
    <row r="55" spans="2:23" ht="16.149999999999999" customHeight="1" x14ac:dyDescent="0.2">
      <c r="B55" s="613">
        <f t="shared" si="0"/>
        <v>44609</v>
      </c>
      <c r="C55" s="614">
        <f>+IFERROR(IF(_xll.ciqfunctions.udf.CIQ($C$1,$M$1,M$2,$B55,,$C$2,$K$2)="NA",NA(),_xll.ciqfunctions.udf.CIQ($C$1,$M$1,M$2,$B55,,$C$2,$K$2)),"NA")</f>
        <v>6.71028</v>
      </c>
      <c r="O55" s="614"/>
      <c r="Q55" s="510"/>
      <c r="R55" s="510"/>
      <c r="U55" s="509"/>
      <c r="V55" s="509"/>
      <c r="W55" s="509"/>
    </row>
    <row r="56" spans="2:23" ht="16.149999999999999" customHeight="1" x14ac:dyDescent="0.2">
      <c r="B56" s="613">
        <f t="shared" si="0"/>
        <v>44616</v>
      </c>
      <c r="C56" s="614">
        <f>+IFERROR(IF(_xll.ciqfunctions.udf.CIQ($C$1,$M$1,M$2,$B56,,$C$2,$K$2)="NA",NA(),_xll.ciqfunctions.udf.CIQ($C$1,$M$1,M$2,$B56,,$C$2,$K$2)),"NA")</f>
        <v>6.7334100000000001</v>
      </c>
      <c r="O56" s="614"/>
      <c r="Q56" s="510"/>
      <c r="R56" s="510"/>
      <c r="U56" s="509"/>
      <c r="V56" s="509"/>
      <c r="W56" s="509"/>
    </row>
    <row r="57" spans="2:23" ht="16.149999999999999" customHeight="1" x14ac:dyDescent="0.2">
      <c r="B57" s="613">
        <f t="shared" si="0"/>
        <v>44623</v>
      </c>
      <c r="C57" s="614">
        <f>+IFERROR(IF(_xll.ciqfunctions.udf.CIQ($C$1,$M$1,M$2,$B57,,$C$2,$K$2)="NA",NA(),_xll.ciqfunctions.udf.CIQ($C$1,$M$1,M$2,$B57,,$C$2,$K$2)),"NA")</f>
        <v>6.7339000000000002</v>
      </c>
      <c r="O57" s="614"/>
      <c r="Q57" s="510"/>
      <c r="R57" s="510"/>
      <c r="U57" s="509"/>
      <c r="V57" s="509"/>
      <c r="W57" s="509"/>
    </row>
    <row r="58" spans="2:23" ht="16.149999999999999" customHeight="1" x14ac:dyDescent="0.2">
      <c r="B58" s="613">
        <f t="shared" si="0"/>
        <v>44630</v>
      </c>
      <c r="C58" s="614">
        <f>+IFERROR(IF(_xll.ciqfunctions.udf.CIQ($C$1,$M$1,M$2,$B58,,$C$2,$K$2)="NA",NA(),_xll.ciqfunctions.udf.CIQ($C$1,$M$1,M$2,$B58,,$C$2,$K$2)),"NA")</f>
        <v>6.7339000000000002</v>
      </c>
      <c r="O58" s="614"/>
      <c r="Q58" s="614"/>
      <c r="R58" s="614"/>
      <c r="S58" s="618"/>
      <c r="T58" s="618"/>
      <c r="U58" s="509"/>
      <c r="V58" s="509"/>
      <c r="W58" s="509"/>
    </row>
    <row r="59" spans="2:23" ht="16.149999999999999" customHeight="1" x14ac:dyDescent="0.2">
      <c r="B59" s="613">
        <f t="shared" si="0"/>
        <v>44637</v>
      </c>
      <c r="C59" s="614">
        <f>+IFERROR(IF(_xll.ciqfunctions.udf.CIQ($C$1,$M$1,M$2,$B59,,$C$2,$K$2)="NA",NA(),_xll.ciqfunctions.udf.CIQ($C$1,$M$1,M$2,$B59,,$C$2,$K$2)),"NA")</f>
        <v>6.7588600000000003</v>
      </c>
      <c r="O59" s="614"/>
      <c r="S59" s="509"/>
      <c r="T59" s="509"/>
      <c r="U59" s="509"/>
      <c r="V59" s="509"/>
      <c r="W59" s="509"/>
    </row>
    <row r="60" spans="2:23" ht="16.149999999999999" customHeight="1" x14ac:dyDescent="0.2">
      <c r="B60" s="613">
        <f t="shared" si="0"/>
        <v>44644</v>
      </c>
      <c r="S60" s="509"/>
      <c r="T60" s="509"/>
      <c r="U60" s="509"/>
      <c r="V60" s="509"/>
      <c r="W60" s="509"/>
    </row>
    <row r="61" spans="2:23" ht="16.149999999999999" customHeight="1" x14ac:dyDescent="0.2">
      <c r="B61" s="613"/>
      <c r="U61" s="509"/>
      <c r="V61" s="509"/>
      <c r="W61" s="509"/>
    </row>
    <row r="62" spans="2:23" ht="16.149999999999999" customHeight="1" x14ac:dyDescent="0.2">
      <c r="S62" s="619"/>
      <c r="T62" s="619"/>
      <c r="U62" s="509"/>
      <c r="V62" s="509"/>
      <c r="W62" s="509"/>
    </row>
    <row r="63" spans="2:23" x14ac:dyDescent="0.2">
      <c r="P63" s="510"/>
      <c r="Q63" s="510"/>
      <c r="R63" s="510"/>
      <c r="U63" s="509"/>
      <c r="V63" s="509"/>
      <c r="W63" s="509"/>
    </row>
    <row r="64" spans="2:23" x14ac:dyDescent="0.2">
      <c r="P64" s="510"/>
      <c r="Q64" s="510"/>
      <c r="R64" s="510"/>
      <c r="U64" s="509"/>
      <c r="V64" s="509"/>
      <c r="W64" s="509"/>
    </row>
    <row r="65" spans="16:23" x14ac:dyDescent="0.2">
      <c r="P65" s="510"/>
      <c r="Q65" s="510"/>
      <c r="R65" s="510"/>
      <c r="U65" s="509"/>
      <c r="V65" s="509"/>
      <c r="W65" s="509"/>
    </row>
    <row r="66" spans="16:23" x14ac:dyDescent="0.2">
      <c r="P66" s="510"/>
      <c r="Q66" s="510"/>
      <c r="R66" s="510"/>
      <c r="U66" s="509"/>
      <c r="V66" s="509"/>
      <c r="W66" s="509"/>
    </row>
    <row r="67" spans="16:23" x14ac:dyDescent="0.2">
      <c r="P67" s="510"/>
      <c r="Q67" s="510"/>
      <c r="R67" s="510"/>
      <c r="U67" s="509"/>
      <c r="V67" s="509"/>
      <c r="W67" s="509"/>
    </row>
    <row r="68" spans="16:23" x14ac:dyDescent="0.2">
      <c r="P68" s="510"/>
      <c r="Q68" s="510"/>
      <c r="R68" s="510"/>
      <c r="U68" s="509"/>
      <c r="V68" s="509"/>
      <c r="W68" s="509"/>
    </row>
    <row r="69" spans="16:23" x14ac:dyDescent="0.2">
      <c r="P69" s="510"/>
      <c r="Q69" s="510"/>
      <c r="R69" s="510"/>
      <c r="U69" s="509"/>
      <c r="V69" s="509"/>
      <c r="W69" s="509"/>
    </row>
    <row r="70" spans="16:23" x14ac:dyDescent="0.2">
      <c r="P70" s="510"/>
      <c r="Q70" s="510"/>
      <c r="R70" s="510"/>
      <c r="U70" s="509"/>
      <c r="V70" s="509"/>
      <c r="W70" s="509"/>
    </row>
    <row r="71" spans="16:23" x14ac:dyDescent="0.2">
      <c r="P71" s="510"/>
      <c r="Q71" s="510"/>
      <c r="R71" s="510"/>
      <c r="U71" s="509"/>
      <c r="V71" s="509"/>
      <c r="W71" s="509"/>
    </row>
    <row r="72" spans="16:23" x14ac:dyDescent="0.2">
      <c r="P72" s="510"/>
      <c r="Q72" s="510"/>
      <c r="R72" s="510"/>
      <c r="U72" s="509"/>
      <c r="V72" s="509"/>
      <c r="W72" s="509"/>
    </row>
    <row r="73" spans="16:23" x14ac:dyDescent="0.2">
      <c r="P73" s="510"/>
      <c r="Q73" s="510"/>
      <c r="R73" s="510"/>
      <c r="U73" s="509"/>
      <c r="V73" s="509"/>
      <c r="W73" s="509"/>
    </row>
    <row r="74" spans="16:23" x14ac:dyDescent="0.2">
      <c r="P74" s="510"/>
      <c r="Q74" s="510"/>
      <c r="R74" s="510"/>
      <c r="U74" s="509"/>
      <c r="V74" s="509"/>
      <c r="W74" s="509"/>
    </row>
    <row r="75" spans="16:23" x14ac:dyDescent="0.2">
      <c r="P75" s="510"/>
      <c r="Q75" s="510"/>
      <c r="R75" s="510"/>
      <c r="U75" s="509"/>
      <c r="V75" s="509"/>
      <c r="W75" s="509"/>
    </row>
    <row r="76" spans="16:23" x14ac:dyDescent="0.2">
      <c r="P76" s="510"/>
      <c r="Q76" s="510"/>
      <c r="R76" s="510"/>
      <c r="U76" s="509"/>
      <c r="V76" s="509"/>
      <c r="W76" s="509"/>
    </row>
    <row r="77" spans="16:23" x14ac:dyDescent="0.2">
      <c r="P77" s="510"/>
      <c r="Q77" s="510"/>
      <c r="R77" s="510"/>
      <c r="U77" s="509"/>
      <c r="V77" s="509"/>
      <c r="W77" s="509"/>
    </row>
  </sheetData>
  <mergeCells count="2">
    <mergeCell ref="D44:E44"/>
    <mergeCell ref="F44:G44"/>
  </mergeCells>
  <conditionalFormatting sqref="D46:G50">
    <cfRule type="cellIs" dxfId="0" priority="1" operator="lessThan">
      <formula>0</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tabColor theme="1" tint="0.249977111117893"/>
  </sheetPr>
  <dimension ref="A1:X26"/>
  <sheetViews>
    <sheetView showGridLines="0" zoomScale="80" zoomScaleNormal="80" workbookViewId="0">
      <selection activeCell="E7" sqref="E7:E26"/>
    </sheetView>
  </sheetViews>
  <sheetFormatPr defaultColWidth="9" defaultRowHeight="14.25" x14ac:dyDescent="0.2"/>
  <cols>
    <col min="1" max="1" width="8.75" customWidth="1"/>
    <col min="2" max="2" width="16.25" customWidth="1"/>
    <col min="3" max="3" width="25.25" customWidth="1"/>
    <col min="4" max="4" width="16.25" customWidth="1"/>
    <col min="5" max="5" width="16" customWidth="1"/>
    <col min="6" max="6" width="17.625" bestFit="1" customWidth="1"/>
    <col min="7" max="7" width="74.75" customWidth="1"/>
    <col min="8" max="8" width="23" customWidth="1"/>
    <col min="9" max="9" width="15.75" customWidth="1"/>
    <col min="10" max="10" width="37.25" customWidth="1"/>
    <col min="11" max="11" width="22.625" customWidth="1"/>
    <col min="12" max="13" width="13" customWidth="1"/>
    <col min="14" max="14" width="20.25" customWidth="1"/>
    <col min="15" max="15" width="24.75" customWidth="1"/>
    <col min="16" max="16" width="26.75" customWidth="1"/>
    <col min="17" max="17" width="21.25" customWidth="1"/>
    <col min="18" max="18" width="13.25" customWidth="1"/>
    <col min="19" max="19" width="12.5" customWidth="1"/>
    <col min="20" max="20" width="22.625" customWidth="1"/>
    <col min="21" max="21" width="17.75" customWidth="1"/>
    <col min="22" max="22" width="15.25" customWidth="1"/>
    <col min="23" max="23" width="13.75" customWidth="1"/>
    <col min="24" max="24" width="8.75" customWidth="1"/>
    <col min="25" max="16384" width="9" style="636"/>
  </cols>
  <sheetData>
    <row r="1" spans="1:24" x14ac:dyDescent="0.2">
      <c r="A1" s="636"/>
      <c r="B1" s="633" t="str">
        <f>Target</f>
        <v>NYSE:WMT</v>
      </c>
      <c r="C1" s="633" t="str">
        <f>_xll.ciqfunctions.udf.CIQ(B1,"IQ_COMPANY_ID")</f>
        <v>IQ313055</v>
      </c>
      <c r="D1" s="633" t="str">
        <f>Input!C6</f>
        <v>USD</v>
      </c>
      <c r="E1" s="634" t="s">
        <v>1063</v>
      </c>
      <c r="F1" s="764">
        <f>Input!C8</f>
        <v>44645</v>
      </c>
      <c r="H1" s="649" t="s">
        <v>1068</v>
      </c>
      <c r="I1" s="637">
        <v>50</v>
      </c>
      <c r="J1" s="633"/>
      <c r="K1" s="682"/>
      <c r="L1" s="633"/>
      <c r="M1" s="633"/>
      <c r="N1" s="633"/>
      <c r="O1" s="633"/>
      <c r="P1" s="635"/>
      <c r="Q1" s="633" t="s">
        <v>1099</v>
      </c>
      <c r="R1" s="633"/>
      <c r="S1" s="633"/>
      <c r="T1" s="639" t="s">
        <v>1145</v>
      </c>
      <c r="U1" s="766">
        <f>MAX(V7:V25)</f>
        <v>8</v>
      </c>
      <c r="V1" s="766"/>
      <c r="W1" s="636"/>
      <c r="X1" s="636"/>
    </row>
    <row r="2" spans="1:24" ht="38.25" x14ac:dyDescent="0.2">
      <c r="A2" s="640" t="s">
        <v>1068</v>
      </c>
      <c r="B2" s="633">
        <f>COUNTIF(B7:B26,"&lt;&gt;0")-COUNTBLANK(B7:B26)-COUNTIF(B7:B26,"NA")</f>
        <v>20</v>
      </c>
      <c r="C2" s="633"/>
      <c r="D2" s="633"/>
      <c r="E2" s="634" t="s">
        <v>1066</v>
      </c>
      <c r="F2" s="765">
        <v>12</v>
      </c>
      <c r="H2" s="633"/>
      <c r="I2" s="633"/>
      <c r="J2" s="633"/>
      <c r="K2" s="633"/>
      <c r="L2" s="633"/>
      <c r="M2" s="633"/>
      <c r="N2" s="633"/>
      <c r="O2" s="633"/>
      <c r="P2" s="633"/>
      <c r="Q2" s="633"/>
      <c r="R2" s="633"/>
      <c r="S2" s="633"/>
      <c r="T2" s="639" t="s">
        <v>1146</v>
      </c>
      <c r="U2" s="766">
        <f>MAX(W7:W25)</f>
        <v>11</v>
      </c>
      <c r="V2" s="766"/>
      <c r="W2" s="636"/>
      <c r="X2" s="636"/>
    </row>
    <row r="3" spans="1:24" x14ac:dyDescent="0.2">
      <c r="A3" s="636"/>
      <c r="B3" s="633"/>
      <c r="F3" s="571"/>
      <c r="G3" s="633"/>
      <c r="J3" s="633"/>
      <c r="M3" s="571"/>
      <c r="N3" s="571"/>
      <c r="O3" s="633"/>
      <c r="T3" s="647" t="s">
        <v>1067</v>
      </c>
      <c r="U3" s="648"/>
      <c r="V3" s="648"/>
      <c r="W3" s="636"/>
      <c r="X3" s="636"/>
    </row>
    <row r="4" spans="1:24" ht="15.75" x14ac:dyDescent="0.2">
      <c r="A4" s="636"/>
      <c r="B4" s="638" t="s">
        <v>1020</v>
      </c>
      <c r="C4" s="638"/>
      <c r="D4" s="638"/>
      <c r="E4" s="638"/>
      <c r="F4" s="638"/>
      <c r="G4" s="638"/>
      <c r="H4" s="638"/>
      <c r="I4" s="638"/>
      <c r="J4" s="638"/>
      <c r="K4" s="638"/>
      <c r="L4" s="638"/>
      <c r="M4" s="638"/>
      <c r="N4" s="638"/>
      <c r="O4" s="638"/>
      <c r="P4" s="638"/>
      <c r="Q4" s="638"/>
      <c r="R4" s="638"/>
      <c r="S4" s="638"/>
      <c r="T4" s="647"/>
      <c r="U4" s="648"/>
      <c r="V4" s="648"/>
      <c r="W4" s="636"/>
      <c r="X4" s="636"/>
    </row>
    <row r="5" spans="1:24" x14ac:dyDescent="0.2">
      <c r="A5" s="636"/>
      <c r="B5" s="636" t="s">
        <v>1143</v>
      </c>
      <c r="C5" s="633" t="s">
        <v>1003</v>
      </c>
      <c r="D5" s="636"/>
      <c r="E5" s="636" t="s">
        <v>1141</v>
      </c>
      <c r="F5" s="633" t="s">
        <v>1007</v>
      </c>
      <c r="G5" s="633" t="str">
        <f>"IQ_TR_BUYER_ID"</f>
        <v>IQ_TR_BUYER_ID</v>
      </c>
      <c r="H5" s="633" t="s">
        <v>1008</v>
      </c>
      <c r="I5" s="633" t="s">
        <v>1009</v>
      </c>
      <c r="J5" s="633" t="s">
        <v>1005</v>
      </c>
      <c r="K5" s="633" t="str">
        <f>"IQ_TR_TARGET_ID"</f>
        <v>IQ_TR_TARGET_ID</v>
      </c>
      <c r="L5" s="633"/>
      <c r="M5" s="633"/>
      <c r="N5" s="633" t="s">
        <v>1004</v>
      </c>
      <c r="O5" s="633" t="str">
        <f>"IQ_TR_STATUS"</f>
        <v>IQ_TR_STATUS</v>
      </c>
      <c r="P5" s="636"/>
      <c r="Q5" s="636"/>
      <c r="R5" s="636"/>
      <c r="S5" s="636"/>
      <c r="T5" s="636"/>
      <c r="U5" s="636"/>
      <c r="V5" s="636"/>
      <c r="W5" s="767"/>
      <c r="X5" s="636"/>
    </row>
    <row r="6" spans="1:24" ht="38.25" x14ac:dyDescent="0.2">
      <c r="A6" s="636"/>
      <c r="B6" s="644" t="s">
        <v>1142</v>
      </c>
      <c r="C6" s="644" t="s">
        <v>1144</v>
      </c>
      <c r="D6" s="644" t="s">
        <v>1015</v>
      </c>
      <c r="E6" s="644" t="s">
        <v>1147</v>
      </c>
      <c r="F6" s="644" t="s">
        <v>1010</v>
      </c>
      <c r="G6" s="644" t="s">
        <v>1011</v>
      </c>
      <c r="H6" s="644" t="s">
        <v>1151</v>
      </c>
      <c r="I6" s="644" t="s">
        <v>1013</v>
      </c>
      <c r="J6" s="644" t="s">
        <v>1006</v>
      </c>
      <c r="K6" s="644" t="s">
        <v>1018</v>
      </c>
      <c r="L6" s="644" t="s">
        <v>1012</v>
      </c>
      <c r="M6" s="644" t="s">
        <v>1165</v>
      </c>
      <c r="N6" s="644" t="str">
        <f>"Total Transaction Value" &amp; CHAR(10) &amp;"(in mn " &amp; $D$1 &amp; ")"</f>
        <v>Total Transaction Value
(in mn USD)</v>
      </c>
      <c r="O6" s="644" t="s">
        <v>1014</v>
      </c>
      <c r="P6" s="644" t="s">
        <v>639</v>
      </c>
      <c r="Q6" s="644" t="s">
        <v>638</v>
      </c>
      <c r="R6" s="644" t="s">
        <v>1016</v>
      </c>
      <c r="S6" s="646" t="s">
        <v>1017</v>
      </c>
      <c r="T6" s="644" t="s">
        <v>1019</v>
      </c>
      <c r="U6" s="644" t="s">
        <v>1148</v>
      </c>
      <c r="V6" s="644" t="s">
        <v>1149</v>
      </c>
      <c r="W6" s="644" t="s">
        <v>1150</v>
      </c>
      <c r="X6" s="636"/>
    </row>
    <row r="7" spans="1:24" x14ac:dyDescent="0.2">
      <c r="A7" s="636">
        <f>A6+1</f>
        <v>1</v>
      </c>
      <c r="B7" t="str">
        <f>_xll.ciqfunctions.udf.CIQ($B$1, "IQ_TRANSACTION_LIST_MA", A7)</f>
        <v>IQTR1757402517</v>
      </c>
      <c r="C7" s="641">
        <f>IF(OR($B7&lt;&gt;"NA",$B7&lt;&gt;0),IF(OR(_xll.ciqfunctions.udf.CIQ($B7,C$5)=0,_xll.ciqfunctions.udf.CIQ($B7,C$5)="(Invalid DataTypeId)",_xll.ciqfunctions.udf.CIQ($B7,C$5)="NA"),"-",_xll.ciqfunctions.udf.CIQ($B7,C$5)),"")</f>
        <v>44502</v>
      </c>
      <c r="D7" s="738">
        <f t="shared" ref="D7" si="0">IFERROR(IF(ISTEXT(C7),DATE(RIGHT(C7,4),LEFT(C7,FIND("/",C7,1)-1)*1,MID(C7,FIND("/",C7,1)+1,FIND("/",C7,4)-FIND("/",C7,1)-1)),C7),"")</f>
        <v>44502</v>
      </c>
      <c r="E7" s="738" t="str">
        <f>IF(OR($B7&lt;&gt;"NA",$B7&lt;&gt;0),IF(OR(_xll.ciqfunctions.udf.CIQ($B7,E$5)=0,_xll.ciqfunctions.udf.CIQ($B7,E$5)="(Invalid DataTypeId)",_xll.ciqfunctions.udf.CIQ($B7,E$5)="NA"),"-",_xll.ciqfunctions.udf.CIQ($B7,E$5)),"")</f>
        <v>-</v>
      </c>
      <c r="F7" s="640" t="str">
        <f>IF(OR($B7&lt;&gt;0,$B7&lt;&gt;"NA"),IF(OR(_xll.ciqfunctions.udf.CIQ($B7,F$5)=0,_xll.ciqfunctions.udf.CIQ($B7,F$5)="NA"),"-",_xll.ciqfunctions.udf.CIQ($B7,F$5)),"")</f>
        <v>Walmart Inc.</v>
      </c>
      <c r="G7" s="640" t="str">
        <f>IF(OR($B7&lt;&gt;"NA",$B7&lt;&gt;0),IF(OR(_xll.ciqfunctions.udf.CIQ($B7,G$5)=0,_xll.ciqfunctions.udf.CIQ($B7,G$5)="NA"),"-",_xll.ciqfunctions.udf.CIQ($B7,$G$5)),"")</f>
        <v>IQ313055</v>
      </c>
      <c r="H7" s="640" t="str">
        <f>IF(OR($B7&lt;&gt;"NA",$B7&lt;&gt;0),IF(OR(_xll.ciqfunctions.udf.CIQ($B7,H$5)=0,_xll.ciqfunctions.udf.CIQ($B7,H$5)="NA"),"-",_xll.ciqfunctions.udf.CIQ($B7,H$5)),"")</f>
        <v>Botmock</v>
      </c>
      <c r="I7" s="640" t="str">
        <f>IF(OR($B7&lt;&gt;"NA",$B7&lt;&gt;0),IF(OR(_xll.ciqfunctions.udf.CIQ($B7,I$5)=0,_xll.ciqfunctions.udf.CIQ($B7,I$5)="NA"),"-",_xll.ciqfunctions.udf.CIQ($B7,I$5)),"")</f>
        <v>IQ639574928</v>
      </c>
      <c r="J7" s="640" t="str">
        <f>IF(OR($B7&lt;&gt;"NA",$B7&lt;&gt;0),IF(OR(_xll.ciqfunctions.udf.CIQ($B7,J$5)=0,_xll.ciqfunctions.udf.CIQ($B7,J$5)="NA"),"-",_xll.ciqfunctions.udf.CIQ($B7,J$5)),"")</f>
        <v>Certain Assets of Botmock</v>
      </c>
      <c r="K7" s="640" t="str">
        <f>IF(OR($B7&lt;&gt;"NA",$B7&lt;&gt;0),IF(OR(_xll.ciqfunctions.udf.CIQ($B7,K$5)=0,_xll.ciqfunctions.udf.CIQ($B7,K$5)="NA"),"-",_xll.ciqfunctions.udf.CIQ($B7,K$5)),"")</f>
        <v>IQ1757402493</v>
      </c>
      <c r="L7" s="640" t="str">
        <f t="shared" ref="L7:L26" si="1">IF($H7&lt;&gt;"-",$H7,$J7)</f>
        <v>Botmock</v>
      </c>
      <c r="M7" s="640" t="str">
        <f>IF($R7=1,$L7,$F7)</f>
        <v>Botmock</v>
      </c>
      <c r="N7" s="642" t="str">
        <f>IF(OR($B7&lt;&gt;"NA",$B7&lt;&gt;0),IF(OR(_xll.ciqfunctions.udf.CIQ($B7,N$5,,$D$1)=0,_xll.ciqfunctions.udf.CIQ($B7,N$5,,$D$1)="NA"),"-",_xll.ciqfunctions.udf.CIQ($B7,N$5,,$D$1)),"")</f>
        <v>-</v>
      </c>
      <c r="O7" s="640" t="str">
        <f>IF(OR($B7&lt;&gt;"NA",$B7&lt;&gt;0),IF(OR(_xll.ciqfunctions.udf.CIQ($B7,O$5)=0,_xll.ciqfunctions.udf.CIQ($B7,O$5)="NA"),"-",_xll.ciqfunctions.udf.CIQ($B7,O$5)),"")</f>
        <v>Announced</v>
      </c>
      <c r="P7" s="643">
        <f>IF(IF($R7=1,_xll.ciqfunctions.udf.CIQ($B7,"IQ_TR_BUY_FIN_ADVISORS"),IF($S7=1,_xll.ciqfunctions.udf.CIQ($B7,"IQ_TR_SELL_FIN_ADVISORS"),IF($T7=1,_xll.ciqfunctions.udf.CIQ($B7,"IQ_TR_TARGET_FIN_ADVISORS"),"-")))="NA","-",IF($R7=1,_xll.ciqfunctions.udf.CIQ($B7,"IQ_TR_BUY_FIN_ADVISORS"),IF($S7=1,_xll.ciqfunctions.udf.CIQ($B7,"IQ_TR_SELL_FIN_ADVISORS"),IF($T7=1,_xll.ciqfunctions.udf.CIQ($B7,"IQ_TR_TARGET_FIN_ADVISORS"),"-"))))</f>
        <v>0</v>
      </c>
      <c r="Q7" s="643">
        <f>IF(IF($R7=1,_xll.ciqfunctions.udf.CIQ($B7,"IQ_TR_BUY_LEG_ADVISORS"),IF($S7=1,_xll.ciqfunctions.udf.CIQ($B7,"IQ_TR_SELL_LEG_ADVISORS"),IF($T7=1,_xll.ciqfunctions.udf.CIQ($B7,"IQ_TR_TARGET_LEG_ADVISORS"),"-")))="NA","-",IF($R7=1,_xll.ciqfunctions.udf.CIQ($B7,"IQ_TR_BUY_LEG_ADVISORS"),IF($S7=1,_xll.ciqfunctions.udf.CIQ($B7,"IQ_TR_SELL_LEG_ADVISORS"),IF($T7=1,_xll.ciqfunctions.udf.CIQ($B7,"IQ_TR_TARGET_LEG_ADVISORS"),"-"))))</f>
        <v>0</v>
      </c>
      <c r="R7" s="645">
        <f>IF(IFERROR(SEARCH($C$1,G7,1),0)&gt;0,1,0)*$U7</f>
        <v>1</v>
      </c>
      <c r="S7" s="645">
        <f>IF(IFERROR(SEARCH($C$1,I7,1),0)&gt;0,1,0)*$U7</f>
        <v>0</v>
      </c>
      <c r="T7" s="645">
        <f>IF(IFERROR(SEARCH($C$1,K7,1),0)&gt;0,1,0)*$U7</f>
        <v>0</v>
      </c>
      <c r="U7" s="645">
        <f t="shared" ref="U7:U26" si="2">IFERROR(IF(OR($O7&lt;&gt;"Cancelled"),1,0),0)</f>
        <v>1</v>
      </c>
      <c r="V7" s="636">
        <f>IF(AND($R7&lt;&gt;0,OR($I7&lt;&gt;"-",$K7&lt;&gt;"-")),SUMIF($R$7:R7,"&gt;0"),0)</f>
        <v>1</v>
      </c>
      <c r="W7" s="636">
        <f>IF(AND(OR($S7&gt;0,$T7&gt;0),$G7&lt;&gt;"-"),SUMIFS($S$7:S7, $S$7:S7,"&gt;0", $G$7:G7, "&lt;&gt;" &amp; "-")+SUMIFS($T$7:T7,$T$7:T7,"&gt;0", $G$7:G7, "&lt;&gt;" &amp; "-"),0)</f>
        <v>0</v>
      </c>
      <c r="X7" s="636"/>
    </row>
    <row r="8" spans="1:24" ht="25.5" x14ac:dyDescent="0.2">
      <c r="A8" s="636">
        <f t="shared" ref="A8:A26" si="3">A7+1</f>
        <v>2</v>
      </c>
      <c r="B8" s="571" t="str">
        <f>_xll.ciqfunctions.udf.CIQ($B$1, "IQ_TRANSACTION_LIST_MA", A8)</f>
        <v>IQTR714744188</v>
      </c>
      <c r="C8" s="641">
        <f>IF(OR($B8&lt;&gt;"NA",$B8&lt;&gt;0),IF(OR(_xll.ciqfunctions.udf.CIQ($B8,C$5)=0,_xll.ciqfunctions.udf.CIQ($B8,C$5)="(Invalid DataTypeId)",_xll.ciqfunctions.udf.CIQ($B8,C$5)="NA"),"-",_xll.ciqfunctions.udf.CIQ($B8,C$5)),"")</f>
        <v>44329</v>
      </c>
      <c r="D8" s="738">
        <f t="shared" ref="D8:D26" si="4">IFERROR(IF(ISTEXT(C8),DATE(RIGHT(C8,4),LEFT(C8,FIND("/",C8,1)-1)*1,MID(C8,FIND("/",C8,1)+1,FIND("/",C8,4)-FIND("/",C8,1)-1)),C8),"")</f>
        <v>44329</v>
      </c>
      <c r="E8" s="738">
        <f>IF(OR($B8&lt;&gt;"NA",$B8&lt;&gt;0),IF(OR(_xll.ciqfunctions.udf.CIQ($B8,E$5)=0,_xll.ciqfunctions.udf.CIQ($B8,E$5)="(Invalid DataTypeId)",_xll.ciqfunctions.udf.CIQ($B8,E$5)="NA"),"-",_xll.ciqfunctions.udf.CIQ($B8,E$5)),"")</f>
        <v>44336</v>
      </c>
      <c r="F8" s="640" t="str">
        <f>IF(OR($B8&lt;&gt;0,$B8&lt;&gt;"NA"),IF(OR(_xll.ciqfunctions.udf.CIQ($B8,F$5)=0,_xll.ciqfunctions.udf.CIQ($B8,F$5)="NA"),"-",_xll.ciqfunctions.udf.CIQ($B8,F$5)),"")</f>
        <v>Walmart Inc.</v>
      </c>
      <c r="G8" s="640" t="str">
        <f>IF(OR($B8&lt;&gt;"NA",$B8&lt;&gt;0),IF(OR(_xll.ciqfunctions.udf.CIQ($B8,G$5)=0,_xll.ciqfunctions.udf.CIQ($B8,G$5)="NA"),"-",_xll.ciqfunctions.udf.CIQ($B8,$G$5)),"")</f>
        <v>IQ313055</v>
      </c>
      <c r="H8" s="640" t="str">
        <f>IF(OR($B8&lt;&gt;"NA",$B8&lt;&gt;0),IF(OR(_xll.ciqfunctions.udf.CIQ($B8,H$5)=0,_xll.ciqfunctions.udf.CIQ($B8,H$5)="NA"),"-",_xll.ciqfunctions.udf.CIQ($B8,H$5)),"")</f>
        <v>-</v>
      </c>
      <c r="I8" s="640" t="str">
        <f>IF(OR($B8&lt;&gt;"NA",$B8&lt;&gt;0),IF(OR(_xll.ciqfunctions.udf.CIQ($B8,I$5)=0,_xll.ciqfunctions.udf.CIQ($B8,I$5)="NA"),"-",_xll.ciqfunctions.udf.CIQ($B8,I$5)),"")</f>
        <v>-</v>
      </c>
      <c r="J8" s="640" t="str">
        <f>IF(OR($B8&lt;&gt;"NA",$B8&lt;&gt;0),IF(OR(_xll.ciqfunctions.udf.CIQ($B8,J$5)=0,_xll.ciqfunctions.udf.CIQ($B8,J$5)="NA"),"-",_xll.ciqfunctions.udf.CIQ($B8,J$5)),"")</f>
        <v>Zeekit Online Shopping Ltd.</v>
      </c>
      <c r="K8" s="640" t="str">
        <f>IF(OR($B8&lt;&gt;"NA",$B8&lt;&gt;0),IF(OR(_xll.ciqfunctions.udf.CIQ($B8,K$5)=0,_xll.ciqfunctions.udf.CIQ($B8,K$5)="NA"),"-",_xll.ciqfunctions.udf.CIQ($B8,K$5)),"")</f>
        <v>IQ384220902</v>
      </c>
      <c r="L8" s="640" t="str">
        <f t="shared" si="1"/>
        <v>Zeekit Online Shopping Ltd.</v>
      </c>
      <c r="M8" s="640" t="str">
        <f t="shared" ref="M8:M26" si="5">IF($R8=1,$L8,$F8)</f>
        <v>Zeekit Online Shopping Ltd.</v>
      </c>
      <c r="N8" s="642" t="str">
        <f>IF(OR($B8&lt;&gt;"NA",$B8&lt;&gt;0),IF(OR(_xll.ciqfunctions.udf.CIQ($B8,N$5,,$D$1)=0,_xll.ciqfunctions.udf.CIQ($B8,N$5,,$D$1)="NA"),"-",_xll.ciqfunctions.udf.CIQ($B8,N$5,,$D$1)),"")</f>
        <v>-</v>
      </c>
      <c r="O8" s="640" t="str">
        <f>IF(OR($B8&lt;&gt;"NA",$B8&lt;&gt;0),IF(OR(_xll.ciqfunctions.udf.CIQ($B8,O$5)=0,_xll.ciqfunctions.udf.CIQ($B8,O$5)="NA"),"-",_xll.ciqfunctions.udf.CIQ($B8,O$5)),"")</f>
        <v>Closed</v>
      </c>
      <c r="P8" s="643">
        <f>IF(IF($R8=1,_xll.ciqfunctions.udf.CIQ($B8,"IQ_TR_BUY_FIN_ADVISORS"),IF($S8=1,_xll.ciqfunctions.udf.CIQ($B8,"IQ_TR_SELL_FIN_ADVISORS"),IF($T8=1,_xll.ciqfunctions.udf.CIQ($B8,"IQ_TR_TARGET_FIN_ADVISORS"),"-")))="NA","-",IF($R8=1,_xll.ciqfunctions.udf.CIQ($B8,"IQ_TR_BUY_FIN_ADVISORS"),IF($S8=1,_xll.ciqfunctions.udf.CIQ($B8,"IQ_TR_SELL_FIN_ADVISORS"),IF($T8=1,_xll.ciqfunctions.udf.CIQ($B8,"IQ_TR_TARGET_FIN_ADVISORS"),"-"))))</f>
        <v>0</v>
      </c>
      <c r="Q8" s="643" t="str">
        <f>IF(IF($R8=1,_xll.ciqfunctions.udf.CIQ($B8,"IQ_TR_BUY_LEG_ADVISORS"),IF($S8=1,_xll.ciqfunctions.udf.CIQ($B8,"IQ_TR_SELL_LEG_ADVISORS"),IF($T8=1,_xll.ciqfunctions.udf.CIQ($B8,"IQ_TR_TARGET_LEG_ADVISORS"),"-")))="NA","-",IF($R8=1,_xll.ciqfunctions.udf.CIQ($B8,"IQ_TR_BUY_LEG_ADVISORS"),IF($S8=1,_xll.ciqfunctions.udf.CIQ($B8,"IQ_TR_SELL_LEG_ADVISORS"),IF($T8=1,_xll.ciqfunctions.udf.CIQ($B8,"IQ_TR_TARGET_LEG_ADVISORS"),"-"))))</f>
        <v>Morrison &amp; Foerster LLP</v>
      </c>
      <c r="R8" s="645">
        <f t="shared" ref="R8:R26" si="6">IF(IFERROR(SEARCH($C$1,G8,1),0)&gt;0,1,0)*$U8</f>
        <v>1</v>
      </c>
      <c r="S8" s="645">
        <f t="shared" ref="S8:S26" si="7">IF(IFERROR(SEARCH($C$1,I8,1),0)&gt;0,1,0)*$U8</f>
        <v>0</v>
      </c>
      <c r="T8" s="645">
        <f t="shared" ref="T8:T26" si="8">IF(IFERROR(SEARCH($C$1,K8,1),0)&gt;0,1,0)*$U8</f>
        <v>0</v>
      </c>
      <c r="U8" s="645">
        <f t="shared" si="2"/>
        <v>1</v>
      </c>
      <c r="V8" s="636">
        <f>IF(AND($R8&lt;&gt;0,OR($I8&lt;&gt;"-",$K8&lt;&gt;"-")),SUMIF($R$7:R8,"&gt;0"),0)</f>
        <v>2</v>
      </c>
      <c r="W8" s="636">
        <f>IF(AND(OR($S8&gt;0,$T8&gt;0),$G8&lt;&gt;"-"),SUMIFS($S$7:S8, $S$7:S8,"&gt;0", $G$7:G8, "&lt;&gt;" &amp; "-")+SUMIFS($T$7:T8,$T$7:T8,"&gt;0", $G$7:G8, "&lt;&gt;" &amp; "-"),0)</f>
        <v>0</v>
      </c>
      <c r="X8" s="636"/>
    </row>
    <row r="9" spans="1:24" ht="51" x14ac:dyDescent="0.2">
      <c r="A9" s="636">
        <f t="shared" si="3"/>
        <v>3</v>
      </c>
      <c r="B9" s="571" t="str">
        <f>_xll.ciqfunctions.udf.CIQ($B$1, "IQ_TRANSACTION_LIST_MA", A9)</f>
        <v>IQTR708988542</v>
      </c>
      <c r="C9" s="641">
        <f>IF(OR($B9&lt;&gt;"NA",$B9&lt;&gt;0),IF(OR(_xll.ciqfunctions.udf.CIQ($B9,C$5)=0,_xll.ciqfunctions.udf.CIQ($B9,C$5)="(Invalid DataTypeId)",_xll.ciqfunctions.udf.CIQ($B9,C$5)="NA"),"-",_xll.ciqfunctions.udf.CIQ($B9,C$5)),"")</f>
        <v>44279</v>
      </c>
      <c r="D9" s="738">
        <f t="shared" si="4"/>
        <v>44279</v>
      </c>
      <c r="E9" s="738" t="str">
        <f>IF(OR($B9&lt;&gt;"NA",$B9&lt;&gt;0),IF(OR(_xll.ciqfunctions.udf.CIQ($B9,E$5)=0,_xll.ciqfunctions.udf.CIQ($B9,E$5)="(Invalid DataTypeId)",_xll.ciqfunctions.udf.CIQ($B9,E$5)="NA"),"-",_xll.ciqfunctions.udf.CIQ($B9,E$5)),"")</f>
        <v>-</v>
      </c>
      <c r="F9" s="640" t="str">
        <f>IF(OR($B9&lt;&gt;0,$B9&lt;&gt;"NA"),IF(OR(_xll.ciqfunctions.udf.CIQ($B9,F$5)=0,_xll.ciqfunctions.udf.CIQ($B9,F$5)="NA"),"-",_xll.ciqfunctions.udf.CIQ($B9,F$5)),"")</f>
        <v>Atacadão S.A.</v>
      </c>
      <c r="G9" s="640" t="str">
        <f>IF(OR($B9&lt;&gt;"NA",$B9&lt;&gt;0),IF(OR(_xll.ciqfunctions.udf.CIQ($B9,G$5)=0,_xll.ciqfunctions.udf.CIQ($B9,G$5)="NA"),"-",_xll.ciqfunctions.udf.CIQ($B9,$G$5)),"")</f>
        <v>IQ223164951</v>
      </c>
      <c r="H9" s="640" t="str">
        <f>IF(OR($B9&lt;&gt;"NA",$B9&lt;&gt;0),IF(OR(_xll.ciqfunctions.udf.CIQ($B9,H$5)=0,_xll.ciqfunctions.udf.CIQ($B9,H$5)="NA"),"-",_xll.ciqfunctions.udf.CIQ($B9,H$5)),"")</f>
        <v>Advent International Corporation; Walmart Inc.</v>
      </c>
      <c r="I9" s="640" t="str">
        <f>IF(OR($B9&lt;&gt;"NA",$B9&lt;&gt;0),IF(OR(_xll.ciqfunctions.udf.CIQ($B9,I$5)=0,_xll.ciqfunctions.udf.CIQ($B9,I$5)="NA"),"-",_xll.ciqfunctions.udf.CIQ($B9,I$5)),"")</f>
        <v>IQ18613; IQ313055</v>
      </c>
      <c r="J9" s="640" t="str">
        <f>IF(OR($B9&lt;&gt;"NA",$B9&lt;&gt;0),IF(OR(_xll.ciqfunctions.udf.CIQ($B9,J$5)=0,_xll.ciqfunctions.udf.CIQ($B9,J$5)="NA"),"-",_xll.ciqfunctions.udf.CIQ($B9,J$5)),"")</f>
        <v>Grupo Big Brasil S.A.</v>
      </c>
      <c r="K9" s="640" t="str">
        <f>IF(OR($B9&lt;&gt;"NA",$B9&lt;&gt;0),IF(OR(_xll.ciqfunctions.udf.CIQ($B9,K$5)=0,_xll.ciqfunctions.udf.CIQ($B9,K$5)="NA"),"-",_xll.ciqfunctions.udf.CIQ($B9,K$5)),"")</f>
        <v>IQ648914700</v>
      </c>
      <c r="L9" s="640" t="str">
        <f t="shared" si="1"/>
        <v>Advent International Corporation; Walmart Inc.</v>
      </c>
      <c r="M9" s="640" t="str">
        <f t="shared" si="5"/>
        <v>Atacadão S.A.</v>
      </c>
      <c r="N9" s="642">
        <f>IF(OR($B9&lt;&gt;"NA",$B9&lt;&gt;0),IF(OR(_xll.ciqfunctions.udf.CIQ($B9,N$5,,$D$1)=0,_xll.ciqfunctions.udf.CIQ($B9,N$5,,$D$1)="NA"),"-",_xll.ciqfunctions.udf.CIQ($B9,N$5,,$D$1)),"")</f>
        <v>1917.1819800000001</v>
      </c>
      <c r="O9" s="640" t="str">
        <f>IF(OR($B9&lt;&gt;"NA",$B9&lt;&gt;0),IF(OR(_xll.ciqfunctions.udf.CIQ($B9,O$5)=0,_xll.ciqfunctions.udf.CIQ($B9,O$5)="NA"),"-",_xll.ciqfunctions.udf.CIQ($B9,O$5)),"")</f>
        <v>Announced</v>
      </c>
      <c r="P9" s="643">
        <f>IF(IF($R9=1,_xll.ciqfunctions.udf.CIQ($B9,"IQ_TR_BUY_FIN_ADVISORS"),IF($S9=1,_xll.ciqfunctions.udf.CIQ($B9,"IQ_TR_SELL_FIN_ADVISORS"),IF($T9=1,_xll.ciqfunctions.udf.CIQ($B9,"IQ_TR_TARGET_FIN_ADVISORS"),"-")))="NA","-",IF($R9=1,_xll.ciqfunctions.udf.CIQ($B9,"IQ_TR_BUY_FIN_ADVISORS"),IF($S9=1,_xll.ciqfunctions.udf.CIQ($B9,"IQ_TR_SELL_FIN_ADVISORS"),IF($T9=1,_xll.ciqfunctions.udf.CIQ($B9,"IQ_TR_TARGET_FIN_ADVISORS"),"-"))))</f>
        <v>0</v>
      </c>
      <c r="Q9" s="643">
        <f>IF(IF($R9=1,_xll.ciqfunctions.udf.CIQ($B9,"IQ_TR_BUY_LEG_ADVISORS"),IF($S9=1,_xll.ciqfunctions.udf.CIQ($B9,"IQ_TR_SELL_LEG_ADVISORS"),IF($T9=1,_xll.ciqfunctions.udf.CIQ($B9,"IQ_TR_TARGET_LEG_ADVISORS"),"-")))="NA","-",IF($R9=1,_xll.ciqfunctions.udf.CIQ($B9,"IQ_TR_BUY_LEG_ADVISORS"),IF($S9=1,_xll.ciqfunctions.udf.CIQ($B9,"IQ_TR_SELL_LEG_ADVISORS"),IF($T9=1,_xll.ciqfunctions.udf.CIQ($B9,"IQ_TR_TARGET_LEG_ADVISORS"),"-"))))</f>
        <v>0</v>
      </c>
      <c r="R9" s="645">
        <f t="shared" si="6"/>
        <v>0</v>
      </c>
      <c r="S9" s="645">
        <f t="shared" si="7"/>
        <v>1</v>
      </c>
      <c r="T9" s="645">
        <f t="shared" si="8"/>
        <v>0</v>
      </c>
      <c r="U9" s="645">
        <f t="shared" si="2"/>
        <v>1</v>
      </c>
      <c r="V9" s="636">
        <f>IF(AND($R9&lt;&gt;0,OR($I9&lt;&gt;"-",$K9&lt;&gt;"-")),SUMIF($R$7:R9,"&gt;0"),0)</f>
        <v>0</v>
      </c>
      <c r="W9" s="636">
        <f>IF(AND(OR($S9&gt;0,$T9&gt;0),$G9&lt;&gt;"-"),SUMIFS($S$7:S9, $S$7:S9,"&gt;0", $G$7:G9, "&lt;&gt;" &amp; "-")+SUMIFS($T$7:T9,$T$7:T9,"&gt;0", $G$7:G9, "&lt;&gt;" &amp; "-"),0)</f>
        <v>1</v>
      </c>
      <c r="X9" s="636"/>
    </row>
    <row r="10" spans="1:24" ht="63.75" x14ac:dyDescent="0.2">
      <c r="A10" s="636">
        <f t="shared" si="3"/>
        <v>4</v>
      </c>
      <c r="B10" s="571" t="str">
        <f>_xll.ciqfunctions.udf.CIQ($B$1, "IQ_TRANSACTION_LIST_MA", A10)</f>
        <v>IQTR704123499</v>
      </c>
      <c r="C10" s="641">
        <f>IF(OR($B10&lt;&gt;"NA",$B10&lt;&gt;0),IF(OR(_xll.ciqfunctions.udf.CIQ($B10,C$5)=0,_xll.ciqfunctions.udf.CIQ($B10,C$5)="(Invalid DataTypeId)",_xll.ciqfunctions.udf.CIQ($B10,C$5)="NA"),"-",_xll.ciqfunctions.udf.CIQ($B10,C$5)),"")</f>
        <v>44231</v>
      </c>
      <c r="D10" s="738">
        <f t="shared" si="4"/>
        <v>44231</v>
      </c>
      <c r="E10" s="738">
        <f>IF(OR($B10&lt;&gt;"NA",$B10&lt;&gt;0),IF(OR(_xll.ciqfunctions.udf.CIQ($B10,E$5)=0,_xll.ciqfunctions.udf.CIQ($B10,E$5)="(Invalid DataTypeId)",_xll.ciqfunctions.udf.CIQ($B10,E$5)="NA"),"-",_xll.ciqfunctions.udf.CIQ($B10,E$5)),"")</f>
        <v>44231</v>
      </c>
      <c r="F10" s="640" t="str">
        <f>IF(OR($B10&lt;&gt;0,$B10&lt;&gt;"NA"),IF(OR(_xll.ciqfunctions.udf.CIQ($B10,F$5)=0,_xll.ciqfunctions.udf.CIQ($B10,F$5)="NA"),"-",_xll.ciqfunctions.udf.CIQ($B10,F$5)),"")</f>
        <v>Walmart Inc.</v>
      </c>
      <c r="G10" s="640" t="str">
        <f>IF(OR($B10&lt;&gt;"NA",$B10&lt;&gt;0),IF(OR(_xll.ciqfunctions.udf.CIQ($B10,G$5)=0,_xll.ciqfunctions.udf.CIQ($B10,G$5)="NA"),"-",_xll.ciqfunctions.udf.CIQ($B10,$G$5)),"")</f>
        <v>IQ313055</v>
      </c>
      <c r="H10" s="640" t="str">
        <f>IF(OR($B10&lt;&gt;"NA",$B10&lt;&gt;0),IF(OR(_xll.ciqfunctions.udf.CIQ($B10,H$5)=0,_xll.ciqfunctions.udf.CIQ($B10,H$5)="NA"),"-",_xll.ciqfunctions.udf.CIQ($B10,H$5)),"")</f>
        <v>WI Harper Group; KLP Enterprises; Wavemaker Partners, LLC</v>
      </c>
      <c r="I10" s="640" t="str">
        <f>IF(OR($B10&lt;&gt;"NA",$B10&lt;&gt;0),IF(OR(_xll.ciqfunctions.udf.CIQ($B10,I$5)=0,_xll.ciqfunctions.udf.CIQ($B10,I$5)="NA"),"-",_xll.ciqfunctions.udf.CIQ($B10,I$5)),"")</f>
        <v>IQ23957; IQ26750185; IQ98119086</v>
      </c>
      <c r="J10" s="640" t="str">
        <f>IF(OR($B10&lt;&gt;"NA",$B10&lt;&gt;0),IF(OR(_xll.ciqfunctions.udf.CIQ($B10,J$5)=0,_xll.ciqfunctions.udf.CIQ($B10,J$5)="NA"),"-",_xll.ciqfunctions.udf.CIQ($B10,J$5)),"")</f>
        <v>PaperG, Inc.</v>
      </c>
      <c r="K10" s="640" t="str">
        <f>IF(OR($B10&lt;&gt;"NA",$B10&lt;&gt;0),IF(OR(_xll.ciqfunctions.udf.CIQ($B10,K$5)=0,_xll.ciqfunctions.udf.CIQ($B10,K$5)="NA"),"-",_xll.ciqfunctions.udf.CIQ($B10,K$5)),"")</f>
        <v>IQ82271678</v>
      </c>
      <c r="L10" s="640" t="str">
        <f t="shared" si="1"/>
        <v>WI Harper Group; KLP Enterprises; Wavemaker Partners, LLC</v>
      </c>
      <c r="M10" s="640" t="str">
        <f t="shared" si="5"/>
        <v>WI Harper Group; KLP Enterprises; Wavemaker Partners, LLC</v>
      </c>
      <c r="N10" s="642" t="str">
        <f>IF(OR($B10&lt;&gt;"NA",$B10&lt;&gt;0),IF(OR(_xll.ciqfunctions.udf.CIQ($B10,N$5,,$D$1)=0,_xll.ciqfunctions.udf.CIQ($B10,N$5,,$D$1)="NA"),"-",_xll.ciqfunctions.udf.CIQ($B10,N$5,,$D$1)),"")</f>
        <v>-</v>
      </c>
      <c r="O10" s="640" t="str">
        <f>IF(OR($B10&lt;&gt;"NA",$B10&lt;&gt;0),IF(OR(_xll.ciqfunctions.udf.CIQ($B10,O$5)=0,_xll.ciqfunctions.udf.CIQ($B10,O$5)="NA"),"-",_xll.ciqfunctions.udf.CIQ($B10,O$5)),"")</f>
        <v>Closed</v>
      </c>
      <c r="P10" s="643">
        <f>IF(IF($R10=1,_xll.ciqfunctions.udf.CIQ($B10,"IQ_TR_BUY_FIN_ADVISORS"),IF($S10=1,_xll.ciqfunctions.udf.CIQ($B10,"IQ_TR_SELL_FIN_ADVISORS"),IF($T10=1,_xll.ciqfunctions.udf.CIQ($B10,"IQ_TR_TARGET_FIN_ADVISORS"),"-")))="NA","-",IF($R10=1,_xll.ciqfunctions.udf.CIQ($B10,"IQ_TR_BUY_FIN_ADVISORS"),IF($S10=1,_xll.ciqfunctions.udf.CIQ($B10,"IQ_TR_SELL_FIN_ADVISORS"),IF($T10=1,_xll.ciqfunctions.udf.CIQ($B10,"IQ_TR_TARGET_FIN_ADVISORS"),"-"))))</f>
        <v>0</v>
      </c>
      <c r="Q10" s="643">
        <f>IF(IF($R10=1,_xll.ciqfunctions.udf.CIQ($B10,"IQ_TR_BUY_LEG_ADVISORS"),IF($S10=1,_xll.ciqfunctions.udf.CIQ($B10,"IQ_TR_SELL_LEG_ADVISORS"),IF($T10=1,_xll.ciqfunctions.udf.CIQ($B10,"IQ_TR_TARGET_LEG_ADVISORS"),"-")))="NA","-",IF($R10=1,_xll.ciqfunctions.udf.CIQ($B10,"IQ_TR_BUY_LEG_ADVISORS"),IF($S10=1,_xll.ciqfunctions.udf.CIQ($B10,"IQ_TR_SELL_LEG_ADVISORS"),IF($T10=1,_xll.ciqfunctions.udf.CIQ($B10,"IQ_TR_TARGET_LEG_ADVISORS"),"-"))))</f>
        <v>0</v>
      </c>
      <c r="R10" s="645">
        <f t="shared" si="6"/>
        <v>1</v>
      </c>
      <c r="S10" s="645">
        <f t="shared" si="7"/>
        <v>0</v>
      </c>
      <c r="T10" s="645">
        <f t="shared" si="8"/>
        <v>0</v>
      </c>
      <c r="U10" s="645">
        <f t="shared" si="2"/>
        <v>1</v>
      </c>
      <c r="V10" s="636">
        <f>IF(AND($R10&lt;&gt;0,OR($I10&lt;&gt;"-",$K10&lt;&gt;"-")),SUMIF($R$7:R10,"&gt;0"),0)</f>
        <v>3</v>
      </c>
      <c r="W10" s="636">
        <f>IF(AND(OR($S10&gt;0,$T10&gt;0),$G10&lt;&gt;"-"),SUMIFS($S$7:S10, $S$7:S10,"&gt;0", $G$7:G10, "&lt;&gt;" &amp; "-")+SUMIFS($T$7:T10,$T$7:T10,"&gt;0", $G$7:G10, "&lt;&gt;" &amp; "-"),0)</f>
        <v>0</v>
      </c>
      <c r="X10" s="636"/>
    </row>
    <row r="11" spans="1:24" ht="102" x14ac:dyDescent="0.2">
      <c r="A11" s="636">
        <f t="shared" si="3"/>
        <v>5</v>
      </c>
      <c r="B11" s="571" t="str">
        <f>_xll.ciqfunctions.udf.CIQ($B$1, "IQ_TRANSACTION_LIST_MA", A11)</f>
        <v>IQTR695640882</v>
      </c>
      <c r="C11" s="641">
        <f>IF(OR($B11&lt;&gt;"NA",$B11&lt;&gt;0),IF(OR(_xll.ciqfunctions.udf.CIQ($B11,C$5)=0,_xll.ciqfunctions.udf.CIQ($B11,C$5)="(Invalid DataTypeId)",_xll.ciqfunctions.udf.CIQ($B11,C$5)="NA"),"-",_xll.ciqfunctions.udf.CIQ($B11,C$5)),"")</f>
        <v>44155</v>
      </c>
      <c r="D11" s="738">
        <f t="shared" si="4"/>
        <v>44155</v>
      </c>
      <c r="E11" s="738" t="str">
        <f>IF(OR($B11&lt;&gt;"NA",$B11&lt;&gt;0),IF(OR(_xll.ciqfunctions.udf.CIQ($B11,E$5)=0,_xll.ciqfunctions.udf.CIQ($B11,E$5)="(Invalid DataTypeId)",_xll.ciqfunctions.udf.CIQ($B11,E$5)="NA"),"-",_xll.ciqfunctions.udf.CIQ($B11,E$5)),"")</f>
        <v>-</v>
      </c>
      <c r="F11" s="640" t="str">
        <f>IF(OR($B11&lt;&gt;0,$B11&lt;&gt;"NA"),IF(OR(_xll.ciqfunctions.udf.CIQ($B11,F$5)=0,_xll.ciqfunctions.udf.CIQ($B11,F$5)="NA"),"-",_xll.ciqfunctions.udf.CIQ($B11,F$5)),"")</f>
        <v>Walmart Inc.</v>
      </c>
      <c r="G11" s="640" t="str">
        <f>IF(OR($B11&lt;&gt;"NA",$B11&lt;&gt;0),IF(OR(_xll.ciqfunctions.udf.CIQ($B11,G$5)=0,_xll.ciqfunctions.udf.CIQ($B11,G$5)="NA"),"-",_xll.ciqfunctions.udf.CIQ($B11,$G$5)),"")</f>
        <v>IQ313055</v>
      </c>
      <c r="H11" s="640" t="str">
        <f>IF(OR($B11&lt;&gt;"NA",$B11&lt;&gt;0),IF(OR(_xll.ciqfunctions.udf.CIQ($B11,H$5)=0,_xll.ciqfunctions.udf.CIQ($B11,H$5)="NA"),"-",_xll.ciqfunctions.udf.CIQ($B11,H$5)),"")</f>
        <v>Floodgate Fund, LP; Morado Venture Partners; Tuesday Capital; Visionnaire Ventures</v>
      </c>
      <c r="I11" s="640" t="str">
        <f>IF(OR($B11&lt;&gt;"NA",$B11&lt;&gt;0),IF(OR(_xll.ciqfunctions.udf.CIQ($B11,I$5)=0,_xll.ciqfunctions.udf.CIQ($B11,I$5)="NA"),"-",_xll.ciqfunctions.udf.CIQ($B11,I$5)),"")</f>
        <v>IQ36547370; IQ130411271; IQ140053756; IQ261478556</v>
      </c>
      <c r="J11" s="640" t="str">
        <f>IF(OR($B11&lt;&gt;"NA",$B11&lt;&gt;0),IF(OR(_xll.ciqfunctions.udf.CIQ($B11,J$5)=0,_xll.ciqfunctions.udf.CIQ($B11,J$5)="NA"),"-",_xll.ciqfunctions.udf.CIQ($B11,J$5)),"")</f>
        <v>Walmart.com USA, LLC</v>
      </c>
      <c r="K11" s="640" t="str">
        <f>IF(OR($B11&lt;&gt;"NA",$B11&lt;&gt;0),IF(OR(_xll.ciqfunctions.udf.CIQ($B11,K$5)=0,_xll.ciqfunctions.udf.CIQ($B11,K$5)="NA"),"-",_xll.ciqfunctions.udf.CIQ($B11,K$5)),"")</f>
        <v>IQ550066655</v>
      </c>
      <c r="L11" s="640" t="str">
        <f t="shared" si="1"/>
        <v>Floodgate Fund, LP; Morado Venture Partners; Tuesday Capital; Visionnaire Ventures</v>
      </c>
      <c r="M11" s="640" t="str">
        <f t="shared" si="5"/>
        <v>Floodgate Fund, LP; Morado Venture Partners; Tuesday Capital; Visionnaire Ventures</v>
      </c>
      <c r="N11" s="642" t="str">
        <f>IF(OR($B11&lt;&gt;"NA",$B11&lt;&gt;0),IF(OR(_xll.ciqfunctions.udf.CIQ($B11,N$5,,$D$1)=0,_xll.ciqfunctions.udf.CIQ($B11,N$5,,$D$1)="NA"),"-",_xll.ciqfunctions.udf.CIQ($B11,N$5,,$D$1)),"")</f>
        <v>-</v>
      </c>
      <c r="O11" s="640" t="str">
        <f>IF(OR($B11&lt;&gt;"NA",$B11&lt;&gt;0),IF(OR(_xll.ciqfunctions.udf.CIQ($B11,O$5)=0,_xll.ciqfunctions.udf.CIQ($B11,O$5)="NA"),"-",_xll.ciqfunctions.udf.CIQ($B11,O$5)),"")</f>
        <v>Announced</v>
      </c>
      <c r="P11" s="643">
        <f>IF(IF($R11=1,_xll.ciqfunctions.udf.CIQ($B11,"IQ_TR_BUY_FIN_ADVISORS"),IF($S11=1,_xll.ciqfunctions.udf.CIQ($B11,"IQ_TR_SELL_FIN_ADVISORS"),IF($T11=1,_xll.ciqfunctions.udf.CIQ($B11,"IQ_TR_TARGET_FIN_ADVISORS"),"-")))="NA","-",IF($R11=1,_xll.ciqfunctions.udf.CIQ($B11,"IQ_TR_BUY_FIN_ADVISORS"),IF($S11=1,_xll.ciqfunctions.udf.CIQ($B11,"IQ_TR_SELL_FIN_ADVISORS"),IF($T11=1,_xll.ciqfunctions.udf.CIQ($B11,"IQ_TR_TARGET_FIN_ADVISORS"),"-"))))</f>
        <v>0</v>
      </c>
      <c r="Q11" s="643">
        <f>IF(IF($R11=1,_xll.ciqfunctions.udf.CIQ($B11,"IQ_TR_BUY_LEG_ADVISORS"),IF($S11=1,_xll.ciqfunctions.udf.CIQ($B11,"IQ_TR_SELL_LEG_ADVISORS"),IF($T11=1,_xll.ciqfunctions.udf.CIQ($B11,"IQ_TR_TARGET_LEG_ADVISORS"),"-")))="NA","-",IF($R11=1,_xll.ciqfunctions.udf.CIQ($B11,"IQ_TR_BUY_LEG_ADVISORS"),IF($S11=1,_xll.ciqfunctions.udf.CIQ($B11,"IQ_TR_SELL_LEG_ADVISORS"),IF($T11=1,_xll.ciqfunctions.udf.CIQ($B11,"IQ_TR_TARGET_LEG_ADVISORS"),"-"))))</f>
        <v>0</v>
      </c>
      <c r="R11" s="645">
        <f t="shared" si="6"/>
        <v>1</v>
      </c>
      <c r="S11" s="645">
        <f t="shared" si="7"/>
        <v>0</v>
      </c>
      <c r="T11" s="645">
        <f t="shared" si="8"/>
        <v>0</v>
      </c>
      <c r="U11" s="645">
        <f t="shared" si="2"/>
        <v>1</v>
      </c>
      <c r="V11" s="636">
        <f>IF(AND($R11&lt;&gt;0,OR($I11&lt;&gt;"-",$K11&lt;&gt;"-")),SUMIF($R$7:R11,"&gt;0"),0)</f>
        <v>4</v>
      </c>
      <c r="W11" s="636">
        <f>IF(AND(OR($S11&gt;0,$T11&gt;0),$G11&lt;&gt;"-"),SUMIFS($S$7:S11, $S$7:S11,"&gt;0", $G$7:G11, "&lt;&gt;" &amp; "-")+SUMIFS($T$7:T11,$T$7:T11,"&gt;0", $G$7:G11, "&lt;&gt;" &amp; "-"),0)</f>
        <v>0</v>
      </c>
      <c r="X11" s="636"/>
    </row>
    <row r="12" spans="1:24" ht="38.25" x14ac:dyDescent="0.2">
      <c r="A12" s="636">
        <f t="shared" si="3"/>
        <v>6</v>
      </c>
      <c r="B12" s="571" t="str">
        <f>_xll.ciqfunctions.udf.CIQ($B$1, "IQ_TRANSACTION_LIST_MA", A12)</f>
        <v>IQTR695084337</v>
      </c>
      <c r="C12" s="641">
        <f>IF(OR($B12&lt;&gt;"NA",$B12&lt;&gt;0),IF(OR(_xll.ciqfunctions.udf.CIQ($B12,C$5)=0,_xll.ciqfunctions.udf.CIQ($B12,C$5)="(Invalid DataTypeId)",_xll.ciqfunctions.udf.CIQ($B12,C$5)="NA"),"-",_xll.ciqfunctions.udf.CIQ($B12,C$5)),"")</f>
        <v>44150</v>
      </c>
      <c r="D12" s="738">
        <f t="shared" si="4"/>
        <v>44150</v>
      </c>
      <c r="E12" s="738">
        <f>IF(OR($B12&lt;&gt;"NA",$B12&lt;&gt;0),IF(OR(_xll.ciqfunctions.udf.CIQ($B12,E$5)=0,_xll.ciqfunctions.udf.CIQ($B12,E$5)="(Invalid DataTypeId)",_xll.ciqfunctions.udf.CIQ($B12,E$5)="NA"),"-",_xll.ciqfunctions.udf.CIQ($B12,E$5)),"")</f>
        <v>44256</v>
      </c>
      <c r="F12" s="640" t="str">
        <f>IF(OR($B12&lt;&gt;0,$B12&lt;&gt;"NA"),IF(OR(_xll.ciqfunctions.udf.CIQ($B12,F$5)=0,_xll.ciqfunctions.udf.CIQ($B12,F$5)="NA"),"-",_xll.ciqfunctions.udf.CIQ($B12,F$5)),"")</f>
        <v>KKR &amp; Co. Inc.; KKR Asian Fund III</v>
      </c>
      <c r="G12" s="640" t="str">
        <f>IF(OR($B12&lt;&gt;"NA",$B12&lt;&gt;0),IF(OR(_xll.ciqfunctions.udf.CIQ($B12,G$5)=0,_xll.ciqfunctions.udf.CIQ($B12,G$5)="NA"),"-",_xll.ciqfunctions.udf.CIQ($B12,$G$5)),"")</f>
        <v>IQ21401; IQ415878471</v>
      </c>
      <c r="H12" s="640" t="str">
        <f>IF(OR($B12&lt;&gt;"NA",$B12&lt;&gt;0),IF(OR(_xll.ciqfunctions.udf.CIQ($B12,H$5)=0,_xll.ciqfunctions.udf.CIQ($B12,H$5)="NA"),"-",_xll.ciqfunctions.udf.CIQ($B12,H$5)),"")</f>
        <v>Walmart Inc.</v>
      </c>
      <c r="I12" s="640" t="str">
        <f>IF(OR($B12&lt;&gt;"NA",$B12&lt;&gt;0),IF(OR(_xll.ciqfunctions.udf.CIQ($B12,I$5)=0,_xll.ciqfunctions.udf.CIQ($B12,I$5)="NA"),"-",_xll.ciqfunctions.udf.CIQ($B12,I$5)),"")</f>
        <v>IQ313055</v>
      </c>
      <c r="J12" s="640" t="str">
        <f>IF(OR($B12&lt;&gt;"NA",$B12&lt;&gt;0),IF(OR(_xll.ciqfunctions.udf.CIQ($B12,J$5)=0,_xll.ciqfunctions.udf.CIQ($B12,J$5)="NA"),"-",_xll.ciqfunctions.udf.CIQ($B12,J$5)),"")</f>
        <v>Seiyu GK</v>
      </c>
      <c r="K12" s="640" t="str">
        <f>IF(OR($B12&lt;&gt;"NA",$B12&lt;&gt;0),IF(OR(_xll.ciqfunctions.udf.CIQ($B12,K$5)=0,_xll.ciqfunctions.udf.CIQ($B12,K$5)="NA"),"-",_xll.ciqfunctions.udf.CIQ($B12,K$5)),"")</f>
        <v>IQ874545</v>
      </c>
      <c r="L12" s="640" t="str">
        <f t="shared" si="1"/>
        <v>Walmart Inc.</v>
      </c>
      <c r="M12" s="640" t="str">
        <f t="shared" si="5"/>
        <v>KKR &amp; Co. Inc.; KKR Asian Fund III</v>
      </c>
      <c r="N12" s="642" t="str">
        <f>IF(OR($B12&lt;&gt;"NA",$B12&lt;&gt;0),IF(OR(_xll.ciqfunctions.udf.CIQ($B12,N$5,,$D$1)=0,_xll.ciqfunctions.udf.CIQ($B12,N$5,,$D$1)="NA"),"-",_xll.ciqfunctions.udf.CIQ($B12,N$5,,$D$1)),"")</f>
        <v>-</v>
      </c>
      <c r="O12" s="640" t="str">
        <f>IF(OR($B12&lt;&gt;"NA",$B12&lt;&gt;0),IF(OR(_xll.ciqfunctions.udf.CIQ($B12,O$5)=0,_xll.ciqfunctions.udf.CIQ($B12,O$5)="NA"),"-",_xll.ciqfunctions.udf.CIQ($B12,O$5)),"")</f>
        <v>Closed</v>
      </c>
      <c r="P12" s="643">
        <f>IF(IF($R12=1,_xll.ciqfunctions.udf.CIQ($B12,"IQ_TR_BUY_FIN_ADVISORS"),IF($S12=1,_xll.ciqfunctions.udf.CIQ($B12,"IQ_TR_SELL_FIN_ADVISORS"),IF($T12=1,_xll.ciqfunctions.udf.CIQ($B12,"IQ_TR_TARGET_FIN_ADVISORS"),"-")))="NA","-",IF($R12=1,_xll.ciqfunctions.udf.CIQ($B12,"IQ_TR_BUY_FIN_ADVISORS"),IF($S12=1,_xll.ciqfunctions.udf.CIQ($B12,"IQ_TR_SELL_FIN_ADVISORS"),IF($T12=1,_xll.ciqfunctions.udf.CIQ($B12,"IQ_TR_TARGET_FIN_ADVISORS"),"-"))))</f>
        <v>0</v>
      </c>
      <c r="Q12" s="643">
        <f>IF(IF($R12=1,_xll.ciqfunctions.udf.CIQ($B12,"IQ_TR_BUY_LEG_ADVISORS"),IF($S12=1,_xll.ciqfunctions.udf.CIQ($B12,"IQ_TR_SELL_LEG_ADVISORS"),IF($T12=1,_xll.ciqfunctions.udf.CIQ($B12,"IQ_TR_TARGET_LEG_ADVISORS"),"-")))="NA","-",IF($R12=1,_xll.ciqfunctions.udf.CIQ($B12,"IQ_TR_BUY_LEG_ADVISORS"),IF($S12=1,_xll.ciqfunctions.udf.CIQ($B12,"IQ_TR_SELL_LEG_ADVISORS"),IF($T12=1,_xll.ciqfunctions.udf.CIQ($B12,"IQ_TR_TARGET_LEG_ADVISORS"),"-"))))</f>
        <v>0</v>
      </c>
      <c r="R12" s="645">
        <f t="shared" si="6"/>
        <v>0</v>
      </c>
      <c r="S12" s="645">
        <f t="shared" si="7"/>
        <v>1</v>
      </c>
      <c r="T12" s="645">
        <f t="shared" si="8"/>
        <v>0</v>
      </c>
      <c r="U12" s="645">
        <f t="shared" si="2"/>
        <v>1</v>
      </c>
      <c r="V12" s="636">
        <f>IF(AND($R12&lt;&gt;0,OR($I12&lt;&gt;"-",$K12&lt;&gt;"-")),SUMIF($R$7:R12,"&gt;0"),0)</f>
        <v>0</v>
      </c>
      <c r="W12" s="636">
        <f>IF(AND(OR($S12&gt;0,$T12&gt;0),$G12&lt;&gt;"-"),SUMIFS($S$7:S12, $S$7:S12,"&gt;0", $G$7:G12, "&lt;&gt;" &amp; "-")+SUMIFS($T$7:T12,$T$7:T12,"&gt;0", $G$7:G12, "&lt;&gt;" &amp; "-"),0)</f>
        <v>2</v>
      </c>
      <c r="X12" s="636"/>
    </row>
    <row r="13" spans="1:24" ht="38.25" x14ac:dyDescent="0.2">
      <c r="A13" s="636">
        <f t="shared" si="3"/>
        <v>7</v>
      </c>
      <c r="B13" s="571" t="str">
        <f>_xll.ciqfunctions.udf.CIQ($B$1, "IQ_TRANSACTION_LIST_MA", A13)</f>
        <v>IQTR695117983</v>
      </c>
      <c r="C13" s="641">
        <f>IF(OR($B13&lt;&gt;"NA",$B13&lt;&gt;0),IF(OR(_xll.ciqfunctions.udf.CIQ($B13,C$5)=0,_xll.ciqfunctions.udf.CIQ($B13,C$5)="(Invalid DataTypeId)",_xll.ciqfunctions.udf.CIQ($B13,C$5)="NA"),"-",_xll.ciqfunctions.udf.CIQ($B13,C$5)),"")</f>
        <v>44150</v>
      </c>
      <c r="D13" s="738">
        <f t="shared" si="4"/>
        <v>44150</v>
      </c>
      <c r="E13" s="738">
        <f>IF(OR($B13&lt;&gt;"NA",$B13&lt;&gt;0),IF(OR(_xll.ciqfunctions.udf.CIQ($B13,E$5)=0,_xll.ciqfunctions.udf.CIQ($B13,E$5)="(Invalid DataTypeId)",_xll.ciqfunctions.udf.CIQ($B13,E$5)="NA"),"-",_xll.ciqfunctions.udf.CIQ($B13,E$5)),"")</f>
        <v>44256</v>
      </c>
      <c r="F13" s="640" t="str">
        <f>IF(OR($B13&lt;&gt;0,$B13&lt;&gt;"NA"),IF(OR(_xll.ciqfunctions.udf.CIQ($B13,F$5)=0,_xll.ciqfunctions.udf.CIQ($B13,F$5)="NA"),"-",_xll.ciqfunctions.udf.CIQ($B13,F$5)),"")</f>
        <v>Rakuten, Inc. (nka:Rakuten Group, Inc.)</v>
      </c>
      <c r="G13" s="640" t="str">
        <f>IF(OR($B13&lt;&gt;"NA",$B13&lt;&gt;0),IF(OR(_xll.ciqfunctions.udf.CIQ($B13,G$5)=0,_xll.ciqfunctions.udf.CIQ($B13,G$5)="NA"),"-",_xll.ciqfunctions.udf.CIQ($B13,$G$5)),"")</f>
        <v>IQ4018231</v>
      </c>
      <c r="H13" s="640" t="str">
        <f>IF(OR($B13&lt;&gt;"NA",$B13&lt;&gt;0),IF(OR(_xll.ciqfunctions.udf.CIQ($B13,H$5)=0,_xll.ciqfunctions.udf.CIQ($B13,H$5)="NA"),"-",_xll.ciqfunctions.udf.CIQ($B13,H$5)),"")</f>
        <v>Walmart Inc.</v>
      </c>
      <c r="I13" s="640" t="str">
        <f>IF(OR($B13&lt;&gt;"NA",$B13&lt;&gt;0),IF(OR(_xll.ciqfunctions.udf.CIQ($B13,I$5)=0,_xll.ciqfunctions.udf.CIQ($B13,I$5)="NA"),"-",_xll.ciqfunctions.udf.CIQ($B13,I$5)),"")</f>
        <v>IQ313055</v>
      </c>
      <c r="J13" s="640" t="str">
        <f>IF(OR($B13&lt;&gt;"NA",$B13&lt;&gt;0),IF(OR(_xll.ciqfunctions.udf.CIQ($B13,J$5)=0,_xll.ciqfunctions.udf.CIQ($B13,J$5)="NA"),"-",_xll.ciqfunctions.udf.CIQ($B13,J$5)),"")</f>
        <v>Seiyu GK</v>
      </c>
      <c r="K13" s="640" t="str">
        <f>IF(OR($B13&lt;&gt;"NA",$B13&lt;&gt;0),IF(OR(_xll.ciqfunctions.udf.CIQ($B13,K$5)=0,_xll.ciqfunctions.udf.CIQ($B13,K$5)="NA"),"-",_xll.ciqfunctions.udf.CIQ($B13,K$5)),"")</f>
        <v>IQ874545</v>
      </c>
      <c r="L13" s="640" t="str">
        <f t="shared" si="1"/>
        <v>Walmart Inc.</v>
      </c>
      <c r="M13" s="640" t="str">
        <f t="shared" si="5"/>
        <v>Rakuten, Inc. (nka:Rakuten Group, Inc.)</v>
      </c>
      <c r="N13" s="642" t="str">
        <f>IF(OR($B13&lt;&gt;"NA",$B13&lt;&gt;0),IF(OR(_xll.ciqfunctions.udf.CIQ($B13,N$5,,$D$1)=0,_xll.ciqfunctions.udf.CIQ($B13,N$5,,$D$1)="NA"),"-",_xll.ciqfunctions.udf.CIQ($B13,N$5,,$D$1)),"")</f>
        <v>-</v>
      </c>
      <c r="O13" s="640" t="str">
        <f>IF(OR($B13&lt;&gt;"NA",$B13&lt;&gt;0),IF(OR(_xll.ciqfunctions.udf.CIQ($B13,O$5)=0,_xll.ciqfunctions.udf.CIQ($B13,O$5)="NA"),"-",_xll.ciqfunctions.udf.CIQ($B13,O$5)),"")</f>
        <v>Closed</v>
      </c>
      <c r="P13" s="643">
        <f>IF(IF($R13=1,_xll.ciqfunctions.udf.CIQ($B13,"IQ_TR_BUY_FIN_ADVISORS"),IF($S13=1,_xll.ciqfunctions.udf.CIQ($B13,"IQ_TR_SELL_FIN_ADVISORS"),IF($T13=1,_xll.ciqfunctions.udf.CIQ($B13,"IQ_TR_TARGET_FIN_ADVISORS"),"-")))="NA","-",IF($R13=1,_xll.ciqfunctions.udf.CIQ($B13,"IQ_TR_BUY_FIN_ADVISORS"),IF($S13=1,_xll.ciqfunctions.udf.CIQ($B13,"IQ_TR_SELL_FIN_ADVISORS"),IF($T13=1,_xll.ciqfunctions.udf.CIQ($B13,"IQ_TR_TARGET_FIN_ADVISORS"),"-"))))</f>
        <v>0</v>
      </c>
      <c r="Q13" s="643">
        <f>IF(IF($R13=1,_xll.ciqfunctions.udf.CIQ($B13,"IQ_TR_BUY_LEG_ADVISORS"),IF($S13=1,_xll.ciqfunctions.udf.CIQ($B13,"IQ_TR_SELL_LEG_ADVISORS"),IF($T13=1,_xll.ciqfunctions.udf.CIQ($B13,"IQ_TR_TARGET_LEG_ADVISORS"),"-")))="NA","-",IF($R13=1,_xll.ciqfunctions.udf.CIQ($B13,"IQ_TR_BUY_LEG_ADVISORS"),IF($S13=1,_xll.ciqfunctions.udf.CIQ($B13,"IQ_TR_SELL_LEG_ADVISORS"),IF($T13=1,_xll.ciqfunctions.udf.CIQ($B13,"IQ_TR_TARGET_LEG_ADVISORS"),"-"))))</f>
        <v>0</v>
      </c>
      <c r="R13" s="645">
        <f t="shared" si="6"/>
        <v>0</v>
      </c>
      <c r="S13" s="645">
        <f t="shared" si="7"/>
        <v>1</v>
      </c>
      <c r="T13" s="645">
        <f t="shared" si="8"/>
        <v>0</v>
      </c>
      <c r="U13" s="645">
        <f t="shared" si="2"/>
        <v>1</v>
      </c>
      <c r="V13" s="636">
        <f>IF(AND($R13&lt;&gt;0,OR($I13&lt;&gt;"-",$K13&lt;&gt;"-")),SUMIF($R$7:R13,"&gt;0"),0)</f>
        <v>0</v>
      </c>
      <c r="W13" s="636">
        <f>IF(AND(OR($S13&gt;0,$T13&gt;0),$G13&lt;&gt;"-"),SUMIFS($S$7:S13, $S$7:S13,"&gt;0", $G$7:G13, "&lt;&gt;" &amp; "-")+SUMIFS($T$7:T13,$T$7:T13,"&gt;0", $G$7:G13, "&lt;&gt;" &amp; "-"),0)</f>
        <v>3</v>
      </c>
      <c r="X13" s="636"/>
    </row>
    <row r="14" spans="1:24" ht="25.5" x14ac:dyDescent="0.2">
      <c r="A14" s="636">
        <f t="shared" si="3"/>
        <v>8</v>
      </c>
      <c r="B14" s="571" t="str">
        <f>_xll.ciqfunctions.udf.CIQ($B$1, "IQ_TRANSACTION_LIST_MA", A14)</f>
        <v>IQTR694220519</v>
      </c>
      <c r="C14" s="641">
        <f>IF(OR($B14&lt;&gt;"NA",$B14&lt;&gt;0),IF(OR(_xll.ciqfunctions.udf.CIQ($B14,C$5)=0,_xll.ciqfunctions.udf.CIQ($B14,C$5)="(Invalid DataTypeId)",_xll.ciqfunctions.udf.CIQ($B14,C$5)="NA"),"-",_xll.ciqfunctions.udf.CIQ($B14,C$5)),"")</f>
        <v>44141</v>
      </c>
      <c r="D14" s="738">
        <f t="shared" si="4"/>
        <v>44141</v>
      </c>
      <c r="E14" s="738">
        <f>IF(OR($B14&lt;&gt;"NA",$B14&lt;&gt;0),IF(OR(_xll.ciqfunctions.udf.CIQ($B14,E$5)=0,_xll.ciqfunctions.udf.CIQ($B14,E$5)="(Invalid DataTypeId)",_xll.ciqfunctions.udf.CIQ($B14,E$5)="NA"),"-",_xll.ciqfunctions.udf.CIQ($B14,E$5)),"")</f>
        <v>44141</v>
      </c>
      <c r="F14" s="640" t="str">
        <f>IF(OR($B14&lt;&gt;0,$B14&lt;&gt;"NA"),IF(OR(_xll.ciqfunctions.udf.CIQ($B14,F$5)=0,_xll.ciqfunctions.udf.CIQ($B14,F$5)="NA"),"-",_xll.ciqfunctions.udf.CIQ($B14,F$5)),"")</f>
        <v>Grupo de Narváez S.A.</v>
      </c>
      <c r="G14" s="640" t="str">
        <f>IF(OR($B14&lt;&gt;"NA",$B14&lt;&gt;0),IF(OR(_xll.ciqfunctions.udf.CIQ($B14,G$5)=0,_xll.ciqfunctions.udf.CIQ($B14,G$5)="NA"),"-",_xll.ciqfunctions.udf.CIQ($B14,$G$5)),"")</f>
        <v>IQ216076710</v>
      </c>
      <c r="H14" s="640" t="str">
        <f>IF(OR($B14&lt;&gt;"NA",$B14&lt;&gt;0),IF(OR(_xll.ciqfunctions.udf.CIQ($B14,H$5)=0,_xll.ciqfunctions.udf.CIQ($B14,H$5)="NA"),"-",_xll.ciqfunctions.udf.CIQ($B14,H$5)),"")</f>
        <v>Walmart Inc.</v>
      </c>
      <c r="I14" s="640" t="str">
        <f>IF(OR($B14&lt;&gt;"NA",$B14&lt;&gt;0),IF(OR(_xll.ciqfunctions.udf.CIQ($B14,I$5)=0,_xll.ciqfunctions.udf.CIQ($B14,I$5)="NA"),"-",_xll.ciqfunctions.udf.CIQ($B14,I$5)),"")</f>
        <v>IQ313055</v>
      </c>
      <c r="J14" s="640" t="str">
        <f>IF(OR($B14&lt;&gt;"NA",$B14&lt;&gt;0),IF(OR(_xll.ciqfunctions.udf.CIQ($B14,J$5)=0,_xll.ciqfunctions.udf.CIQ($B14,J$5)="NA"),"-",_xll.ciqfunctions.udf.CIQ($B14,J$5)),"")</f>
        <v>Walmart Argentina S.R.L</v>
      </c>
      <c r="K14" s="640" t="str">
        <f>IF(OR($B14&lt;&gt;"NA",$B14&lt;&gt;0),IF(OR(_xll.ciqfunctions.udf.CIQ($B14,K$5)=0,_xll.ciqfunctions.udf.CIQ($B14,K$5)="NA"),"-",_xll.ciqfunctions.udf.CIQ($B14,K$5)),"")</f>
        <v>IQ5503177</v>
      </c>
      <c r="L14" s="640" t="str">
        <f t="shared" si="1"/>
        <v>Walmart Inc.</v>
      </c>
      <c r="M14" s="640" t="str">
        <f t="shared" si="5"/>
        <v>Grupo de Narváez S.A.</v>
      </c>
      <c r="N14" s="642" t="str">
        <f>IF(OR($B14&lt;&gt;"NA",$B14&lt;&gt;0),IF(OR(_xll.ciqfunctions.udf.CIQ($B14,N$5,,$D$1)=0,_xll.ciqfunctions.udf.CIQ($B14,N$5,,$D$1)="NA"),"-",_xll.ciqfunctions.udf.CIQ($B14,N$5,,$D$1)),"")</f>
        <v>-</v>
      </c>
      <c r="O14" s="640" t="str">
        <f>IF(OR($B14&lt;&gt;"NA",$B14&lt;&gt;0),IF(OR(_xll.ciqfunctions.udf.CIQ($B14,O$5)=0,_xll.ciqfunctions.udf.CIQ($B14,O$5)="NA"),"-",_xll.ciqfunctions.udf.CIQ($B14,O$5)),"")</f>
        <v>Closed</v>
      </c>
      <c r="P14" s="643" t="str">
        <f>IF(IF($R14=1,_xll.ciqfunctions.udf.CIQ($B14,"IQ_TR_BUY_FIN_ADVISORS"),IF($S14=1,_xll.ciqfunctions.udf.CIQ($B14,"IQ_TR_SELL_FIN_ADVISORS"),IF($T14=1,_xll.ciqfunctions.udf.CIQ($B14,"IQ_TR_TARGET_FIN_ADVISORS"),"-")))="NA","-",IF($R14=1,_xll.ciqfunctions.udf.CIQ($B14,"IQ_TR_BUY_FIN_ADVISORS"),IF($S14=1,_xll.ciqfunctions.udf.CIQ($B14,"IQ_TR_SELL_FIN_ADVISORS"),IF($T14=1,_xll.ciqfunctions.udf.CIQ($B14,"IQ_TR_TARGET_FIN_ADVISORS"),"-"))))</f>
        <v>Citigroup Inc. (NYSE:C)</v>
      </c>
      <c r="Q14" s="643" t="str">
        <f>IF(IF($R14=1,_xll.ciqfunctions.udf.CIQ($B14,"IQ_TR_BUY_LEG_ADVISORS"),IF($S14=1,_xll.ciqfunctions.udf.CIQ($B14,"IQ_TR_SELL_LEG_ADVISORS"),IF($T14=1,_xll.ciqfunctions.udf.CIQ($B14,"IQ_TR_TARGET_LEG_ADVISORS"),"-")))="NA","-",IF($R14=1,_xll.ciqfunctions.udf.CIQ($B14,"IQ_TR_BUY_LEG_ADVISORS"),IF($S14=1,_xll.ciqfunctions.udf.CIQ($B14,"IQ_TR_SELL_LEG_ADVISORS"),IF($T14=1,_xll.ciqfunctions.udf.CIQ($B14,"IQ_TR_TARGET_LEG_ADVISORS"),"-"))))</f>
        <v>Marval, O'Farrell &amp; Mairal</v>
      </c>
      <c r="R14" s="645">
        <f t="shared" si="6"/>
        <v>0</v>
      </c>
      <c r="S14" s="645">
        <f t="shared" si="7"/>
        <v>1</v>
      </c>
      <c r="T14" s="645">
        <f t="shared" si="8"/>
        <v>0</v>
      </c>
      <c r="U14" s="645">
        <f t="shared" si="2"/>
        <v>1</v>
      </c>
      <c r="V14" s="636">
        <f>IF(AND($R14&lt;&gt;0,OR($I14&lt;&gt;"-",$K14&lt;&gt;"-")),SUMIF($R$7:R14,"&gt;0"),0)</f>
        <v>0</v>
      </c>
      <c r="W14" s="636">
        <f>IF(AND(OR($S14&gt;0,$T14&gt;0),$G14&lt;&gt;"-"),SUMIFS($S$7:S14, $S$7:S14,"&gt;0", $G$7:G14, "&lt;&gt;" &amp; "-")+SUMIFS($T$7:T14,$T$7:T14,"&gt;0", $G$7:G14, "&lt;&gt;" &amp; "-"),0)</f>
        <v>4</v>
      </c>
      <c r="X14" s="636"/>
    </row>
    <row r="15" spans="1:24" ht="25.5" x14ac:dyDescent="0.2">
      <c r="A15" s="636">
        <f t="shared" si="3"/>
        <v>9</v>
      </c>
      <c r="B15" s="571" t="str">
        <f>_xll.ciqfunctions.udf.CIQ($B$1, "IQ_TRANSACTION_LIST_MA", A15)</f>
        <v>IQTR691597982</v>
      </c>
      <c r="C15" s="641">
        <f>IF(OR($B15&lt;&gt;"NA",$B15&lt;&gt;0),IF(OR(_xll.ciqfunctions.udf.CIQ($B15,C$5)=0,_xll.ciqfunctions.udf.CIQ($B15,C$5)="(Invalid DataTypeId)",_xll.ciqfunctions.udf.CIQ($B15,C$5)="NA"),"-",_xll.ciqfunctions.udf.CIQ($B15,C$5)),"")</f>
        <v>44117</v>
      </c>
      <c r="D15" s="738">
        <f t="shared" si="4"/>
        <v>44117</v>
      </c>
      <c r="E15" s="738">
        <f>IF(OR($B15&lt;&gt;"NA",$B15&lt;&gt;0),IF(OR(_xll.ciqfunctions.udf.CIQ($B15,E$5)=0,_xll.ciqfunctions.udf.CIQ($B15,E$5)="(Invalid DataTypeId)",_xll.ciqfunctions.udf.CIQ($B15,E$5)="NA"),"-",_xll.ciqfunctions.udf.CIQ($B15,E$5)),"")</f>
        <v>44117</v>
      </c>
      <c r="F15" s="640" t="str">
        <f>IF(OR($B15&lt;&gt;0,$B15&lt;&gt;"NA"),IF(OR(_xll.ciqfunctions.udf.CIQ($B15,F$5)=0,_xll.ciqfunctions.udf.CIQ($B15,F$5)="NA"),"-",_xll.ciqfunctions.udf.CIQ($B15,F$5)),"")</f>
        <v>CriticalPoint Capital, LLC</v>
      </c>
      <c r="G15" s="640" t="str">
        <f>IF(OR($B15&lt;&gt;"NA",$B15&lt;&gt;0),IF(OR(_xll.ciqfunctions.udf.CIQ($B15,G$5)=0,_xll.ciqfunctions.udf.CIQ($B15,G$5)="NA"),"-",_xll.ciqfunctions.udf.CIQ($B15,$G$5)),"")</f>
        <v>IQ247314403</v>
      </c>
      <c r="H15" s="640" t="str">
        <f>IF(OR($B15&lt;&gt;"NA",$B15&lt;&gt;0),IF(OR(_xll.ciqfunctions.udf.CIQ($B15,H$5)=0,_xll.ciqfunctions.udf.CIQ($B15,H$5)="NA"),"-",_xll.ciqfunctions.udf.CIQ($B15,H$5)),"")</f>
        <v>Walmart Inc.</v>
      </c>
      <c r="I15" s="640" t="str">
        <f>IF(OR($B15&lt;&gt;"NA",$B15&lt;&gt;0),IF(OR(_xll.ciqfunctions.udf.CIQ($B15,I$5)=0,_xll.ciqfunctions.udf.CIQ($B15,I$5)="NA"),"-",_xll.ciqfunctions.udf.CIQ($B15,I$5)),"")</f>
        <v>IQ313055</v>
      </c>
      <c r="J15" s="640" t="str">
        <f>IF(OR($B15&lt;&gt;"NA",$B15&lt;&gt;0),IF(OR(_xll.ciqfunctions.udf.CIQ($B15,J$5)=0,_xll.ciqfunctions.udf.CIQ($B15,J$5)="NA"),"-",_xll.ciqfunctions.udf.CIQ($B15,J$5)),"")</f>
        <v>Shoebuy.com, Inc.</v>
      </c>
      <c r="K15" s="640" t="str">
        <f>IF(OR($B15&lt;&gt;"NA",$B15&lt;&gt;0),IF(OR(_xll.ciqfunctions.udf.CIQ($B15,K$5)=0,_xll.ciqfunctions.udf.CIQ($B15,K$5)="NA"),"-",_xll.ciqfunctions.udf.CIQ($B15,K$5)),"")</f>
        <v>IQ9686842</v>
      </c>
      <c r="L15" s="640" t="str">
        <f t="shared" si="1"/>
        <v>Walmart Inc.</v>
      </c>
      <c r="M15" s="640" t="str">
        <f t="shared" si="5"/>
        <v>CriticalPoint Capital, LLC</v>
      </c>
      <c r="N15" s="642" t="str">
        <f>IF(OR($B15&lt;&gt;"NA",$B15&lt;&gt;0),IF(OR(_xll.ciqfunctions.udf.CIQ($B15,N$5,,$D$1)=0,_xll.ciqfunctions.udf.CIQ($B15,N$5,,$D$1)="NA"),"-",_xll.ciqfunctions.udf.CIQ($B15,N$5,,$D$1)),"")</f>
        <v>-</v>
      </c>
      <c r="O15" s="640" t="str">
        <f>IF(OR($B15&lt;&gt;"NA",$B15&lt;&gt;0),IF(OR(_xll.ciqfunctions.udf.CIQ($B15,O$5)=0,_xll.ciqfunctions.udf.CIQ($B15,O$5)="NA"),"-",_xll.ciqfunctions.udf.CIQ($B15,O$5)),"")</f>
        <v>Closed</v>
      </c>
      <c r="P15" s="643">
        <f>IF(IF($R15=1,_xll.ciqfunctions.udf.CIQ($B15,"IQ_TR_BUY_FIN_ADVISORS"),IF($S15=1,_xll.ciqfunctions.udf.CIQ($B15,"IQ_TR_SELL_FIN_ADVISORS"),IF($T15=1,_xll.ciqfunctions.udf.CIQ($B15,"IQ_TR_TARGET_FIN_ADVISORS"),"-")))="NA","-",IF($R15=1,_xll.ciqfunctions.udf.CIQ($B15,"IQ_TR_BUY_FIN_ADVISORS"),IF($S15=1,_xll.ciqfunctions.udf.CIQ($B15,"IQ_TR_SELL_FIN_ADVISORS"),IF($T15=1,_xll.ciqfunctions.udf.CIQ($B15,"IQ_TR_TARGET_FIN_ADVISORS"),"-"))))</f>
        <v>0</v>
      </c>
      <c r="Q15" s="643">
        <f>IF(IF($R15=1,_xll.ciqfunctions.udf.CIQ($B15,"IQ_TR_BUY_LEG_ADVISORS"),IF($S15=1,_xll.ciqfunctions.udf.CIQ($B15,"IQ_TR_SELL_LEG_ADVISORS"),IF($T15=1,_xll.ciqfunctions.udf.CIQ($B15,"IQ_TR_TARGET_LEG_ADVISORS"),"-")))="NA","-",IF($R15=1,_xll.ciqfunctions.udf.CIQ($B15,"IQ_TR_BUY_LEG_ADVISORS"),IF($S15=1,_xll.ciqfunctions.udf.CIQ($B15,"IQ_TR_SELL_LEG_ADVISORS"),IF($T15=1,_xll.ciqfunctions.udf.CIQ($B15,"IQ_TR_TARGET_LEG_ADVISORS"),"-"))))</f>
        <v>0</v>
      </c>
      <c r="R15" s="645">
        <f t="shared" si="6"/>
        <v>0</v>
      </c>
      <c r="S15" s="645">
        <f t="shared" si="7"/>
        <v>1</v>
      </c>
      <c r="T15" s="645">
        <f t="shared" si="8"/>
        <v>0</v>
      </c>
      <c r="U15" s="645">
        <f t="shared" si="2"/>
        <v>1</v>
      </c>
      <c r="V15" s="636">
        <f>IF(AND($R15&lt;&gt;0,OR($I15&lt;&gt;"-",$K15&lt;&gt;"-")),SUMIF($R$7:R15,"&gt;0"),0)</f>
        <v>0</v>
      </c>
      <c r="W15" s="636">
        <f>IF(AND(OR($S15&gt;0,$T15&gt;0),$G15&lt;&gt;"-"),SUMIFS($S$7:S15, $S$7:S15,"&gt;0", $G$7:G15, "&lt;&gt;" &amp; "-")+SUMIFS($T$7:T15,$T$7:T15,"&gt;0", $G$7:G15, "&lt;&gt;" &amp; "-"),0)</f>
        <v>5</v>
      </c>
      <c r="X15" s="636"/>
    </row>
    <row r="16" spans="1:24" ht="25.5" x14ac:dyDescent="0.2">
      <c r="A16" s="636">
        <f t="shared" si="3"/>
        <v>10</v>
      </c>
      <c r="B16" s="571" t="str">
        <f>_xll.ciqfunctions.udf.CIQ($B$1, "IQ_TRANSACTION_LIST_MA", A16)</f>
        <v>IQTR690579127</v>
      </c>
      <c r="C16" s="641">
        <f>IF(OR($B16&lt;&gt;"NA",$B16&lt;&gt;0),IF(OR(_xll.ciqfunctions.udf.CIQ($B16,C$5)=0,_xll.ciqfunctions.udf.CIQ($B16,C$5)="(Invalid DataTypeId)",_xll.ciqfunctions.udf.CIQ($B16,C$5)="NA"),"-",_xll.ciqfunctions.udf.CIQ($B16,C$5)),"")</f>
        <v>44106</v>
      </c>
      <c r="D16" s="738">
        <f t="shared" si="4"/>
        <v>44106</v>
      </c>
      <c r="E16" s="738">
        <f>IF(OR($B16&lt;&gt;"NA",$B16&lt;&gt;0),IF(OR(_xll.ciqfunctions.udf.CIQ($B16,E$5)=0,_xll.ciqfunctions.udf.CIQ($B16,E$5)="(Invalid DataTypeId)",_xll.ciqfunctions.udf.CIQ($B16,E$5)="NA"),"-",_xll.ciqfunctions.udf.CIQ($B16,E$5)),"")</f>
        <v>44243</v>
      </c>
      <c r="F16" s="640" t="str">
        <f>IF(OR($B16&lt;&gt;0,$B16&lt;&gt;"NA"),IF(OR(_xll.ciqfunctions.udf.CIQ($B16,F$5)=0,_xll.ciqfunctions.udf.CIQ($B16,F$5)="NA"),"-",_xll.ciqfunctions.udf.CIQ($B16,F$5)),"")</f>
        <v>TDR Capital LLP</v>
      </c>
      <c r="G16" s="640" t="str">
        <f>IF(OR($B16&lt;&gt;"NA",$B16&lt;&gt;0),IF(OR(_xll.ciqfunctions.udf.CIQ($B16,G$5)=0,_xll.ciqfunctions.udf.CIQ($B16,G$5)="NA"),"-",_xll.ciqfunctions.udf.CIQ($B16,$G$5)),"")</f>
        <v>IQ5721952</v>
      </c>
      <c r="H16" s="640" t="str">
        <f>IF(OR($B16&lt;&gt;"NA",$B16&lt;&gt;0),IF(OR(_xll.ciqfunctions.udf.CIQ($B16,H$5)=0,_xll.ciqfunctions.udf.CIQ($B16,H$5)="NA"),"-",_xll.ciqfunctions.udf.CIQ($B16,H$5)),"")</f>
        <v>Walmart Inc.</v>
      </c>
      <c r="I16" s="640" t="str">
        <f>IF(OR($B16&lt;&gt;"NA",$B16&lt;&gt;0),IF(OR(_xll.ciqfunctions.udf.CIQ($B16,I$5)=0,_xll.ciqfunctions.udf.CIQ($B16,I$5)="NA"),"-",_xll.ciqfunctions.udf.CIQ($B16,I$5)),"")</f>
        <v>IQ313055</v>
      </c>
      <c r="J16" s="640" t="str">
        <f>IF(OR($B16&lt;&gt;"NA",$B16&lt;&gt;0),IF(OR(_xll.ciqfunctions.udf.CIQ($B16,J$5)=0,_xll.ciqfunctions.udf.CIQ($B16,J$5)="NA"),"-",_xll.ciqfunctions.udf.CIQ($B16,J$5)),"")</f>
        <v>ASDA Group Limited</v>
      </c>
      <c r="K16" s="640" t="str">
        <f>IF(OR($B16&lt;&gt;"NA",$B16&lt;&gt;0),IF(OR(_xll.ciqfunctions.udf.CIQ($B16,K$5)=0,_xll.ciqfunctions.udf.CIQ($B16,K$5)="NA"),"-",_xll.ciqfunctions.udf.CIQ($B16,K$5)),"")</f>
        <v>IQ5463617</v>
      </c>
      <c r="L16" s="640" t="str">
        <f t="shared" si="1"/>
        <v>Walmart Inc.</v>
      </c>
      <c r="M16" s="640" t="str">
        <f t="shared" si="5"/>
        <v>TDR Capital LLP</v>
      </c>
      <c r="N16" s="642" t="str">
        <f>IF(OR($B16&lt;&gt;"NA",$B16&lt;&gt;0),IF(OR(_xll.ciqfunctions.udf.CIQ($B16,N$5,,$D$1)=0,_xll.ciqfunctions.udf.CIQ($B16,N$5,,$D$1)="NA"),"-",_xll.ciqfunctions.udf.CIQ($B16,N$5,,$D$1)),"")</f>
        <v>-</v>
      </c>
      <c r="O16" s="640" t="str">
        <f>IF(OR($B16&lt;&gt;"NA",$B16&lt;&gt;0),IF(OR(_xll.ciqfunctions.udf.CIQ($B16,O$5)=0,_xll.ciqfunctions.udf.CIQ($B16,O$5)="NA"),"-",_xll.ciqfunctions.udf.CIQ($B16,O$5)),"")</f>
        <v>Closed</v>
      </c>
      <c r="P16" s="643" t="str">
        <f>IF(IF($R16=1,_xll.ciqfunctions.udf.CIQ($B16,"IQ_TR_BUY_FIN_ADVISORS"),IF($S16=1,_xll.ciqfunctions.udf.CIQ($B16,"IQ_TR_SELL_FIN_ADVISORS"),IF($T16=1,_xll.ciqfunctions.udf.CIQ($B16,"IQ_TR_TARGET_FIN_ADVISORS"),"-")))="NA","-",IF($R16=1,_xll.ciqfunctions.udf.CIQ($B16,"IQ_TR_BUY_FIN_ADVISORS"),IF($S16=1,_xll.ciqfunctions.udf.CIQ($B16,"IQ_TR_SELL_FIN_ADVISORS"),IF($T16=1,_xll.ciqfunctions.udf.CIQ($B16,"IQ_TR_TARGET_FIN_ADVISORS"),"-"))))</f>
        <v>Rothschild &amp; Co SCA (ENXTPA:ROTH)</v>
      </c>
      <c r="Q16" s="643" t="str">
        <f>IF(IF($R16=1,_xll.ciqfunctions.udf.CIQ($B16,"IQ_TR_BUY_LEG_ADVISORS"),IF($S16=1,_xll.ciqfunctions.udf.CIQ($B16,"IQ_TR_SELL_LEG_ADVISORS"),IF($T16=1,_xll.ciqfunctions.udf.CIQ($B16,"IQ_TR_TARGET_LEG_ADVISORS"),"-")))="NA","-",IF($R16=1,_xll.ciqfunctions.udf.CIQ($B16,"IQ_TR_BUY_LEG_ADVISORS"),IF($S16=1,_xll.ciqfunctions.udf.CIQ($B16,"IQ_TR_SELL_LEG_ADVISORS"),IF($T16=1,_xll.ciqfunctions.udf.CIQ($B16,"IQ_TR_TARGET_LEG_ADVISORS"),"-"))))</f>
        <v>Slaughter and May</v>
      </c>
      <c r="R16" s="645">
        <f t="shared" si="6"/>
        <v>0</v>
      </c>
      <c r="S16" s="645">
        <f t="shared" si="7"/>
        <v>1</v>
      </c>
      <c r="T16" s="645">
        <f t="shared" si="8"/>
        <v>0</v>
      </c>
      <c r="U16" s="645">
        <f t="shared" si="2"/>
        <v>1</v>
      </c>
      <c r="V16" s="636">
        <f>IF(AND($R16&lt;&gt;0,OR($I16&lt;&gt;"-",$K16&lt;&gt;"-")),SUMIF($R$7:R16,"&gt;0"),0)</f>
        <v>0</v>
      </c>
      <c r="W16" s="636">
        <f>IF(AND(OR($S16&gt;0,$T16&gt;0),$G16&lt;&gt;"-"),SUMIFS($S$7:S16, $S$7:S16,"&gt;0", $G$7:G16, "&lt;&gt;" &amp; "-")+SUMIFS($T$7:T16,$T$7:T16,"&gt;0", $G$7:G16, "&lt;&gt;" &amp; "-"),0)</f>
        <v>6</v>
      </c>
      <c r="X16" s="636"/>
    </row>
    <row r="17" spans="1:24" ht="25.5" x14ac:dyDescent="0.2">
      <c r="A17" s="636">
        <f t="shared" si="3"/>
        <v>11</v>
      </c>
      <c r="B17" s="571" t="str">
        <f>_xll.ciqfunctions.udf.CIQ($B$1, "IQ_TRANSACTION_LIST_MA", A17)</f>
        <v>IQTR685234459</v>
      </c>
      <c r="C17" s="641">
        <f>IF(OR($B17&lt;&gt;"NA",$B17&lt;&gt;0),IF(OR(_xll.ciqfunctions.udf.CIQ($B17,C$5)=0,_xll.ciqfunctions.udf.CIQ($B17,C$5)="(Invalid DataTypeId)",_xll.ciqfunctions.udf.CIQ($B17,C$5)="NA"),"-",_xll.ciqfunctions.udf.CIQ($B17,C$5)),"")</f>
        <v>44068</v>
      </c>
      <c r="D17" s="738">
        <f t="shared" si="4"/>
        <v>44068</v>
      </c>
      <c r="E17" s="738">
        <f>IF(OR($B17&lt;&gt;"NA",$B17&lt;&gt;0),IF(OR(_xll.ciqfunctions.udf.CIQ($B17,E$5)=0,_xll.ciqfunctions.udf.CIQ($B17,E$5)="(Invalid DataTypeId)",_xll.ciqfunctions.udf.CIQ($B17,E$5)="NA"),"-",_xll.ciqfunctions.udf.CIQ($B17,E$5)),"")</f>
        <v>44135</v>
      </c>
      <c r="F17" s="640" t="str">
        <f>IF(OR($B17&lt;&gt;0,$B17&lt;&gt;"NA"),IF(OR(_xll.ciqfunctions.udf.CIQ($B17,F$5)=0,_xll.ciqfunctions.udf.CIQ($B17,F$5)="NA"),"-",_xll.ciqfunctions.udf.CIQ($B17,F$5)),"")</f>
        <v>Delta Galil Industries Ltd.</v>
      </c>
      <c r="G17" s="640" t="str">
        <f>IF(OR($B17&lt;&gt;"NA",$B17&lt;&gt;0),IF(OR(_xll.ciqfunctions.udf.CIQ($B17,G$5)=0,_xll.ciqfunctions.udf.CIQ($B17,G$5)="NA"),"-",_xll.ciqfunctions.udf.CIQ($B17,$G$5)),"")</f>
        <v>IQ398806</v>
      </c>
      <c r="H17" s="640" t="str">
        <f>IF(OR($B17&lt;&gt;"NA",$B17&lt;&gt;0),IF(OR(_xll.ciqfunctions.udf.CIQ($B17,H$5)=0,_xll.ciqfunctions.udf.CIQ($B17,H$5)="NA"),"-",_xll.ciqfunctions.udf.CIQ($B17,H$5)),"")</f>
        <v>Walmart Inc.</v>
      </c>
      <c r="I17" s="640" t="str">
        <f>IF(OR($B17&lt;&gt;"NA",$B17&lt;&gt;0),IF(OR(_xll.ciqfunctions.udf.CIQ($B17,I$5)=0,_xll.ciqfunctions.udf.CIQ($B17,I$5)="NA"),"-",_xll.ciqfunctions.udf.CIQ($B17,I$5)),"")</f>
        <v>IQ313055</v>
      </c>
      <c r="J17" s="640" t="str">
        <f>IF(OR($B17&lt;&gt;"NA",$B17&lt;&gt;0),IF(OR(_xll.ciqfunctions.udf.CIQ($B17,J$5)=0,_xll.ciqfunctions.udf.CIQ($B17,J$5)="NA"),"-",_xll.ciqfunctions.udf.CIQ($B17,J$5)),"")</f>
        <v>BareWeb, Inc.</v>
      </c>
      <c r="K17" s="640" t="str">
        <f>IF(OR($B17&lt;&gt;"NA",$B17&lt;&gt;0),IF(OR(_xll.ciqfunctions.udf.CIQ($B17,K$5)=0,_xll.ciqfunctions.udf.CIQ($B17,K$5)="NA"),"-",_xll.ciqfunctions.udf.CIQ($B17,K$5)),"")</f>
        <v>IQ9673909</v>
      </c>
      <c r="L17" s="640" t="str">
        <f t="shared" si="1"/>
        <v>Walmart Inc.</v>
      </c>
      <c r="M17" s="640" t="str">
        <f t="shared" si="5"/>
        <v>Delta Galil Industries Ltd.</v>
      </c>
      <c r="N17" s="642" t="str">
        <f>IF(OR($B17&lt;&gt;"NA",$B17&lt;&gt;0),IF(OR(_xll.ciqfunctions.udf.CIQ($B17,N$5,,$D$1)=0,_xll.ciqfunctions.udf.CIQ($B17,N$5,,$D$1)="NA"),"-",_xll.ciqfunctions.udf.CIQ($B17,N$5,,$D$1)),"")</f>
        <v>-</v>
      </c>
      <c r="O17" s="640" t="str">
        <f>IF(OR($B17&lt;&gt;"NA",$B17&lt;&gt;0),IF(OR(_xll.ciqfunctions.udf.CIQ($B17,O$5)=0,_xll.ciqfunctions.udf.CIQ($B17,O$5)="NA"),"-",_xll.ciqfunctions.udf.CIQ($B17,O$5)),"")</f>
        <v>Closed</v>
      </c>
      <c r="P17" s="643">
        <f>IF(IF($R17=1,_xll.ciqfunctions.udf.CIQ($B17,"IQ_TR_BUY_FIN_ADVISORS"),IF($S17=1,_xll.ciqfunctions.udf.CIQ($B17,"IQ_TR_SELL_FIN_ADVISORS"),IF($T17=1,_xll.ciqfunctions.udf.CIQ($B17,"IQ_TR_TARGET_FIN_ADVISORS"),"-")))="NA","-",IF($R17=1,_xll.ciqfunctions.udf.CIQ($B17,"IQ_TR_BUY_FIN_ADVISORS"),IF($S17=1,_xll.ciqfunctions.udf.CIQ($B17,"IQ_TR_SELL_FIN_ADVISORS"),IF($T17=1,_xll.ciqfunctions.udf.CIQ($B17,"IQ_TR_TARGET_FIN_ADVISORS"),"-"))))</f>
        <v>0</v>
      </c>
      <c r="Q17" s="643">
        <f>IF(IF($R17=1,_xll.ciqfunctions.udf.CIQ($B17,"IQ_TR_BUY_LEG_ADVISORS"),IF($S17=1,_xll.ciqfunctions.udf.CIQ($B17,"IQ_TR_SELL_LEG_ADVISORS"),IF($T17=1,_xll.ciqfunctions.udf.CIQ($B17,"IQ_TR_TARGET_LEG_ADVISORS"),"-")))="NA","-",IF($R17=1,_xll.ciqfunctions.udf.CIQ($B17,"IQ_TR_BUY_LEG_ADVISORS"),IF($S17=1,_xll.ciqfunctions.udf.CIQ($B17,"IQ_TR_SELL_LEG_ADVISORS"),IF($T17=1,_xll.ciqfunctions.udf.CIQ($B17,"IQ_TR_TARGET_LEG_ADVISORS"),"-"))))</f>
        <v>0</v>
      </c>
      <c r="R17" s="645">
        <f t="shared" si="6"/>
        <v>0</v>
      </c>
      <c r="S17" s="645">
        <f t="shared" si="7"/>
        <v>1</v>
      </c>
      <c r="T17" s="645">
        <f t="shared" si="8"/>
        <v>0</v>
      </c>
      <c r="U17" s="645">
        <f t="shared" si="2"/>
        <v>1</v>
      </c>
      <c r="V17" s="636">
        <f>IF(AND($R17&lt;&gt;0,OR($I17&lt;&gt;"-",$K17&lt;&gt;"-")),SUMIF($R$7:R17,"&gt;0"),0)</f>
        <v>0</v>
      </c>
      <c r="W17" s="636">
        <f>IF(AND(OR($S17&gt;0,$T17&gt;0),$G17&lt;&gt;"-"),SUMIFS($S$7:S17, $S$7:S17,"&gt;0", $G$7:G17, "&lt;&gt;" &amp; "-")+SUMIFS($T$7:T17,$T$7:T17,"&gt;0", $G$7:G17, "&lt;&gt;" &amp; "-"),0)</f>
        <v>7</v>
      </c>
      <c r="X17" s="636"/>
    </row>
    <row r="18" spans="1:24" ht="25.5" x14ac:dyDescent="0.2">
      <c r="A18" s="636">
        <f t="shared" si="3"/>
        <v>12</v>
      </c>
      <c r="B18" s="571" t="str">
        <f>_xll.ciqfunctions.udf.CIQ($B$1, "IQ_TRANSACTION_LIST_MA", A18)</f>
        <v>IQTR664873918</v>
      </c>
      <c r="C18" s="641">
        <f>IF(OR($B18&lt;&gt;"NA",$B18&lt;&gt;0),IF(OR(_xll.ciqfunctions.udf.CIQ($B18,C$5)=0,_xll.ciqfunctions.udf.CIQ($B18,C$5)="(Invalid DataTypeId)",_xll.ciqfunctions.udf.CIQ($B18,C$5)="NA"),"-",_xll.ciqfunctions.udf.CIQ($B18,C$5)),"")</f>
        <v>43941</v>
      </c>
      <c r="D18" s="738">
        <f t="shared" si="4"/>
        <v>43941</v>
      </c>
      <c r="E18" s="738" t="str">
        <f>IF(OR($B18&lt;&gt;"NA",$B18&lt;&gt;0),IF(OR(_xll.ciqfunctions.udf.CIQ($B18,E$5)=0,_xll.ciqfunctions.udf.CIQ($B18,E$5)="(Invalid DataTypeId)",_xll.ciqfunctions.udf.CIQ($B18,E$5)="NA"),"-",_xll.ciqfunctions.udf.CIQ($B18,E$5)),"")</f>
        <v>-</v>
      </c>
      <c r="F18" s="640" t="str">
        <f>IF(OR($B18&lt;&gt;0,$B18&lt;&gt;"NA"),IF(OR(_xll.ciqfunctions.udf.CIQ($B18,F$5)=0,_xll.ciqfunctions.udf.CIQ($B18,F$5)="NA"),"-",_xll.ciqfunctions.udf.CIQ($B18,F$5)),"")</f>
        <v>Fandango Media, LLC</v>
      </c>
      <c r="G18" s="640" t="str">
        <f>IF(OR($B18&lt;&gt;"NA",$B18&lt;&gt;0),IF(OR(_xll.ciqfunctions.udf.CIQ($B18,G$5)=0,_xll.ciqfunctions.udf.CIQ($B18,G$5)="NA"),"-",_xll.ciqfunctions.udf.CIQ($B18,$G$5)),"")</f>
        <v>IQ183308</v>
      </c>
      <c r="H18" s="640" t="str">
        <f>IF(OR($B18&lt;&gt;"NA",$B18&lt;&gt;0),IF(OR(_xll.ciqfunctions.udf.CIQ($B18,H$5)=0,_xll.ciqfunctions.udf.CIQ($B18,H$5)="NA"),"-",_xll.ciqfunctions.udf.CIQ($B18,H$5)),"")</f>
        <v>Walmart Inc.</v>
      </c>
      <c r="I18" s="640" t="str">
        <f>IF(OR($B18&lt;&gt;"NA",$B18&lt;&gt;0),IF(OR(_xll.ciqfunctions.udf.CIQ($B18,I$5)=0,_xll.ciqfunctions.udf.CIQ($B18,I$5)="NA"),"-",_xll.ciqfunctions.udf.CIQ($B18,I$5)),"")</f>
        <v>IQ313055</v>
      </c>
      <c r="J18" s="640" t="str">
        <f>IF(OR($B18&lt;&gt;"NA",$B18&lt;&gt;0),IF(OR(_xll.ciqfunctions.udf.CIQ($B18,J$5)=0,_xll.ciqfunctions.udf.CIQ($B18,J$5)="NA"),"-",_xll.ciqfunctions.udf.CIQ($B18,J$5)),"")</f>
        <v>VUDU, Inc.</v>
      </c>
      <c r="K18" s="640" t="str">
        <f>IF(OR($B18&lt;&gt;"NA",$B18&lt;&gt;0),IF(OR(_xll.ciqfunctions.udf.CIQ($B18,K$5)=0,_xll.ciqfunctions.udf.CIQ($B18,K$5)="NA"),"-",_xll.ciqfunctions.udf.CIQ($B18,K$5)),"")</f>
        <v>IQ34104665</v>
      </c>
      <c r="L18" s="640" t="str">
        <f t="shared" si="1"/>
        <v>Walmart Inc.</v>
      </c>
      <c r="M18" s="640" t="str">
        <f t="shared" si="5"/>
        <v>Fandango Media, LLC</v>
      </c>
      <c r="N18" s="642" t="str">
        <f>IF(OR($B18&lt;&gt;"NA",$B18&lt;&gt;0),IF(OR(_xll.ciqfunctions.udf.CIQ($B18,N$5,,$D$1)=0,_xll.ciqfunctions.udf.CIQ($B18,N$5,,$D$1)="NA"),"-",_xll.ciqfunctions.udf.CIQ($B18,N$5,,$D$1)),"")</f>
        <v>-</v>
      </c>
      <c r="O18" s="640" t="str">
        <f>IF(OR($B18&lt;&gt;"NA",$B18&lt;&gt;0),IF(OR(_xll.ciqfunctions.udf.CIQ($B18,O$5)=0,_xll.ciqfunctions.udf.CIQ($B18,O$5)="NA"),"-",_xll.ciqfunctions.udf.CIQ($B18,O$5)),"")</f>
        <v>Effective</v>
      </c>
      <c r="P18" s="643" t="str">
        <f>IF(IF($R18=1,_xll.ciqfunctions.udf.CIQ($B18,"IQ_TR_BUY_FIN_ADVISORS"),IF($S18=1,_xll.ciqfunctions.udf.CIQ($B18,"IQ_TR_SELL_FIN_ADVISORS"),IF($T18=1,_xll.ciqfunctions.udf.CIQ($B18,"IQ_TR_TARGET_FIN_ADVISORS"),"-")))="NA","-",IF($R18=1,_xll.ciqfunctions.udf.CIQ($B18,"IQ_TR_BUY_FIN_ADVISORS"),IF($S18=1,_xll.ciqfunctions.udf.CIQ($B18,"IQ_TR_SELL_FIN_ADVISORS"),IF($T18=1,_xll.ciqfunctions.udf.CIQ($B18,"IQ_TR_TARGET_FIN_ADVISORS"),"-"))))</f>
        <v>Centerview Partners LLC</v>
      </c>
      <c r="Q18" s="643" t="str">
        <f>IF(IF($R18=1,_xll.ciqfunctions.udf.CIQ($B18,"IQ_TR_BUY_LEG_ADVISORS"),IF($S18=1,_xll.ciqfunctions.udf.CIQ($B18,"IQ_TR_SELL_LEG_ADVISORS"),IF($T18=1,_xll.ciqfunctions.udf.CIQ($B18,"IQ_TR_TARGET_LEG_ADVISORS"),"-")))="NA","-",IF($R18=1,_xll.ciqfunctions.udf.CIQ($B18,"IQ_TR_BUY_LEG_ADVISORS"),IF($S18=1,_xll.ciqfunctions.udf.CIQ($B18,"IQ_TR_SELL_LEG_ADVISORS"),IF($T18=1,_xll.ciqfunctions.udf.CIQ($B18,"IQ_TR_TARGET_LEG_ADVISORS"),"-"))))</f>
        <v>Paul Hastings LLP</v>
      </c>
      <c r="R18" s="645">
        <f t="shared" si="6"/>
        <v>0</v>
      </c>
      <c r="S18" s="645">
        <f t="shared" si="7"/>
        <v>1</v>
      </c>
      <c r="T18" s="645">
        <f t="shared" si="8"/>
        <v>0</v>
      </c>
      <c r="U18" s="645">
        <f t="shared" si="2"/>
        <v>1</v>
      </c>
      <c r="V18" s="636">
        <f>IF(AND($R18&lt;&gt;0,OR($I18&lt;&gt;"-",$K18&lt;&gt;"-")),SUMIF($R$7:R18,"&gt;0"),0)</f>
        <v>0</v>
      </c>
      <c r="W18" s="636">
        <f>IF(AND(OR($S18&gt;0,$T18&gt;0),$G18&lt;&gt;"-"),SUMIFS($S$7:S18, $S$7:S18,"&gt;0", $G$7:G18, "&lt;&gt;" &amp; "-")+SUMIFS($T$7:T18,$T$7:T18,"&gt;0", $G$7:G18, "&lt;&gt;" &amp; "-"),0)</f>
        <v>8</v>
      </c>
      <c r="X18" s="636"/>
    </row>
    <row r="19" spans="1:24" x14ac:dyDescent="0.2">
      <c r="A19" s="636">
        <f t="shared" si="3"/>
        <v>13</v>
      </c>
      <c r="B19" s="571" t="str">
        <f>_xll.ciqfunctions.udf.CIQ($B$1, "IQ_TRANSACTION_LIST_MA", A19)</f>
        <v>IQTR604283954</v>
      </c>
      <c r="C19" s="641">
        <f>IF(OR($B19&lt;&gt;"NA",$B19&lt;&gt;0),IF(OR(_xll.ciqfunctions.udf.CIQ($B19,C$5)=0,_xll.ciqfunctions.udf.CIQ($B19,C$5)="(Invalid DataTypeId)",_xll.ciqfunctions.udf.CIQ($B19,C$5)="NA"),"-",_xll.ciqfunctions.udf.CIQ($B19,C$5)),"")</f>
        <v>43521</v>
      </c>
      <c r="D19" s="738">
        <f t="shared" si="4"/>
        <v>43521</v>
      </c>
      <c r="E19" s="738">
        <f>IF(OR($B19&lt;&gt;"NA",$B19&lt;&gt;0),IF(OR(_xll.ciqfunctions.udf.CIQ($B19,E$5)=0,_xll.ciqfunctions.udf.CIQ($B19,E$5)="(Invalid DataTypeId)",_xll.ciqfunctions.udf.CIQ($B19,E$5)="NA"),"-",_xll.ciqfunctions.udf.CIQ($B19,E$5)),"")</f>
        <v>43521</v>
      </c>
      <c r="F19" s="640" t="str">
        <f>IF(OR($B19&lt;&gt;0,$B19&lt;&gt;"NA"),IF(OR(_xll.ciqfunctions.udf.CIQ($B19,F$5)=0,_xll.ciqfunctions.udf.CIQ($B19,F$5)="NA"),"-",_xll.ciqfunctions.udf.CIQ($B19,F$5)),"")</f>
        <v>Walmart Inc.</v>
      </c>
      <c r="G19" s="640" t="str">
        <f>IF(OR($B19&lt;&gt;"NA",$B19&lt;&gt;0),IF(OR(_xll.ciqfunctions.udf.CIQ($B19,G$5)=0,_xll.ciqfunctions.udf.CIQ($B19,G$5)="NA"),"-",_xll.ciqfunctions.udf.CIQ($B19,$G$5)),"")</f>
        <v>IQ313055</v>
      </c>
      <c r="H19" s="640" t="str">
        <f>IF(OR($B19&lt;&gt;"NA",$B19&lt;&gt;0),IF(OR(_xll.ciqfunctions.udf.CIQ($B19,H$5)=0,_xll.ciqfunctions.udf.CIQ($B19,H$5)="NA"),"-",_xll.ciqfunctions.udf.CIQ($B19,H$5)),"")</f>
        <v>-</v>
      </c>
      <c r="I19" s="640" t="str">
        <f>IF(OR($B19&lt;&gt;"NA",$B19&lt;&gt;0),IF(OR(_xll.ciqfunctions.udf.CIQ($B19,I$5)=0,_xll.ciqfunctions.udf.CIQ($B19,I$5)="NA"),"-",_xll.ciqfunctions.udf.CIQ($B19,I$5)),"")</f>
        <v>-</v>
      </c>
      <c r="J19" s="640" t="str">
        <f>IF(OR($B19&lt;&gt;"NA",$B19&lt;&gt;0),IF(OR(_xll.ciqfunctions.udf.CIQ($B19,J$5)=0,_xll.ciqfunctions.udf.CIQ($B19,J$5)="NA"),"-",_xll.ciqfunctions.udf.CIQ($B19,J$5)),"")</f>
        <v>Aspectiva Ltd.</v>
      </c>
      <c r="K19" s="640" t="str">
        <f>IF(OR($B19&lt;&gt;"NA",$B19&lt;&gt;0),IF(OR(_xll.ciqfunctions.udf.CIQ($B19,K$5)=0,_xll.ciqfunctions.udf.CIQ($B19,K$5)="NA"),"-",_xll.ciqfunctions.udf.CIQ($B19,K$5)),"")</f>
        <v>IQ409723065</v>
      </c>
      <c r="L19" s="640" t="str">
        <f t="shared" si="1"/>
        <v>Aspectiva Ltd.</v>
      </c>
      <c r="M19" s="640" t="str">
        <f t="shared" si="5"/>
        <v>Aspectiva Ltd.</v>
      </c>
      <c r="N19" s="642" t="str">
        <f>IF(OR($B19&lt;&gt;"NA",$B19&lt;&gt;0),IF(OR(_xll.ciqfunctions.udf.CIQ($B19,N$5,,$D$1)=0,_xll.ciqfunctions.udf.CIQ($B19,N$5,,$D$1)="NA"),"-",_xll.ciqfunctions.udf.CIQ($B19,N$5,,$D$1)),"")</f>
        <v>-</v>
      </c>
      <c r="O19" s="640" t="str">
        <f>IF(OR($B19&lt;&gt;"NA",$B19&lt;&gt;0),IF(OR(_xll.ciqfunctions.udf.CIQ($B19,O$5)=0,_xll.ciqfunctions.udf.CIQ($B19,O$5)="NA"),"-",_xll.ciqfunctions.udf.CIQ($B19,O$5)),"")</f>
        <v>Closed</v>
      </c>
      <c r="P19" s="643">
        <f>IF(IF($R19=1,_xll.ciqfunctions.udf.CIQ($B19,"IQ_TR_BUY_FIN_ADVISORS"),IF($S19=1,_xll.ciqfunctions.udf.CIQ($B19,"IQ_TR_SELL_FIN_ADVISORS"),IF($T19=1,_xll.ciqfunctions.udf.CIQ($B19,"IQ_TR_TARGET_FIN_ADVISORS"),"-")))="NA","-",IF($R19=1,_xll.ciqfunctions.udf.CIQ($B19,"IQ_TR_BUY_FIN_ADVISORS"),IF($S19=1,_xll.ciqfunctions.udf.CIQ($B19,"IQ_TR_SELL_FIN_ADVISORS"),IF($T19=1,_xll.ciqfunctions.udf.CIQ($B19,"IQ_TR_TARGET_FIN_ADVISORS"),"-"))))</f>
        <v>0</v>
      </c>
      <c r="Q19" s="643">
        <f>IF(IF($R19=1,_xll.ciqfunctions.udf.CIQ($B19,"IQ_TR_BUY_LEG_ADVISORS"),IF($S19=1,_xll.ciqfunctions.udf.CIQ($B19,"IQ_TR_SELL_LEG_ADVISORS"),IF($T19=1,_xll.ciqfunctions.udf.CIQ($B19,"IQ_TR_TARGET_LEG_ADVISORS"),"-")))="NA","-",IF($R19=1,_xll.ciqfunctions.udf.CIQ($B19,"IQ_TR_BUY_LEG_ADVISORS"),IF($S19=1,_xll.ciqfunctions.udf.CIQ($B19,"IQ_TR_SELL_LEG_ADVISORS"),IF($T19=1,_xll.ciqfunctions.udf.CIQ($B19,"IQ_TR_TARGET_LEG_ADVISORS"),"-"))))</f>
        <v>0</v>
      </c>
      <c r="R19" s="645">
        <f t="shared" si="6"/>
        <v>1</v>
      </c>
      <c r="S19" s="645">
        <f t="shared" si="7"/>
        <v>0</v>
      </c>
      <c r="T19" s="645">
        <f t="shared" si="8"/>
        <v>0</v>
      </c>
      <c r="U19" s="645">
        <f t="shared" si="2"/>
        <v>1</v>
      </c>
      <c r="V19" s="636">
        <f>IF(AND($R19&lt;&gt;0,OR($I19&lt;&gt;"-",$K19&lt;&gt;"-")),SUMIF($R$7:R19,"&gt;0"),0)</f>
        <v>5</v>
      </c>
      <c r="W19" s="636">
        <f>IF(AND(OR($S19&gt;0,$T19&gt;0),$G19&lt;&gt;"-"),SUMIFS($S$7:S19, $S$7:S19,"&gt;0", $G$7:G19, "&lt;&gt;" &amp; "-")+SUMIFS($T$7:T19,$T$7:T19,"&gt;0", $G$7:G19, "&lt;&gt;" &amp; "-"),0)</f>
        <v>0</v>
      </c>
      <c r="X19" s="636"/>
    </row>
    <row r="20" spans="1:24" ht="51" x14ac:dyDescent="0.2">
      <c r="A20" s="636">
        <f t="shared" si="3"/>
        <v>14</v>
      </c>
      <c r="B20" s="571" t="str">
        <f>_xll.ciqfunctions.udf.CIQ($B$1, "IQ_TRANSACTION_LIST_MA", A20)</f>
        <v>IQTR594098199</v>
      </c>
      <c r="C20" s="641">
        <f>IF(OR($B20&lt;&gt;"NA",$B20&lt;&gt;0),IF(OR(_xll.ciqfunctions.udf.CIQ($B20,C$5)=0,_xll.ciqfunctions.udf.CIQ($B20,C$5)="(Invalid DataTypeId)",_xll.ciqfunctions.udf.CIQ($B20,C$5)="NA"),"-",_xll.ciqfunctions.udf.CIQ($B20,C$5)),"")</f>
        <v>43440</v>
      </c>
      <c r="D20" s="738">
        <f t="shared" si="4"/>
        <v>43440</v>
      </c>
      <c r="E20" s="738">
        <f>IF(OR($B20&lt;&gt;"NA",$B20&lt;&gt;0),IF(OR(_xll.ciqfunctions.udf.CIQ($B20,E$5)=0,_xll.ciqfunctions.udf.CIQ($B20,E$5)="(Invalid DataTypeId)",_xll.ciqfunctions.udf.CIQ($B20,E$5)="NA"),"-",_xll.ciqfunctions.udf.CIQ($B20,E$5)),"")</f>
        <v>43465</v>
      </c>
      <c r="F20" s="640" t="str">
        <f>IF(OR($B20&lt;&gt;0,$B20&lt;&gt;"NA"),IF(OR(_xll.ciqfunctions.udf.CIQ($B20,F$5)=0,_xll.ciqfunctions.udf.CIQ($B20,F$5)="NA"),"-",_xll.ciqfunctions.udf.CIQ($B20,F$5)),"")</f>
        <v>Walmart Inc.</v>
      </c>
      <c r="G20" s="640" t="str">
        <f>IF(OR($B20&lt;&gt;"NA",$B20&lt;&gt;0),IF(OR(_xll.ciqfunctions.udf.CIQ($B20,G$5)=0,_xll.ciqfunctions.udf.CIQ($B20,G$5)="NA"),"-",_xll.ciqfunctions.udf.CIQ($B20,$G$5)),"")</f>
        <v>IQ313055</v>
      </c>
      <c r="H20" s="640" t="str">
        <f>IF(OR($B20&lt;&gt;"NA",$B20&lt;&gt;0),IF(OR(_xll.ciqfunctions.udf.CIQ($B20,H$5)=0,_xll.ciqfunctions.udf.CIQ($B20,H$5)="NA"),"-",_xll.ciqfunctions.udf.CIQ($B20,H$5)),"")</f>
        <v>Polaris Venture Partners, Inc.; Saints Capital Services, LLC</v>
      </c>
      <c r="I20" s="640" t="str">
        <f>IF(OR($B20&lt;&gt;"NA",$B20&lt;&gt;0),IF(OR(_xll.ciqfunctions.udf.CIQ($B20,I$5)=0,_xll.ciqfunctions.udf.CIQ($B20,I$5)="NA"),"-",_xll.ciqfunctions.udf.CIQ($B20,I$5)),"")</f>
        <v>IQ22471; IQ823590</v>
      </c>
      <c r="J20" s="640" t="str">
        <f>IF(OR($B20&lt;&gt;"NA",$B20&lt;&gt;0),IF(OR(_xll.ciqfunctions.udf.CIQ($B20,J$5)=0,_xll.ciqfunctions.udf.CIQ($B20,J$5)="NA"),"-",_xll.ciqfunctions.udf.CIQ($B20,J$5)),"")</f>
        <v>Art.com Inc.</v>
      </c>
      <c r="K20" s="640" t="str">
        <f>IF(OR($B20&lt;&gt;"NA",$B20&lt;&gt;0),IF(OR(_xll.ciqfunctions.udf.CIQ($B20,K$5)=0,_xll.ciqfunctions.udf.CIQ($B20,K$5)="NA"),"-",_xll.ciqfunctions.udf.CIQ($B20,K$5)),"")</f>
        <v>IQ889120</v>
      </c>
      <c r="L20" s="640" t="str">
        <f t="shared" si="1"/>
        <v>Polaris Venture Partners, Inc.; Saints Capital Services, LLC</v>
      </c>
      <c r="M20" s="640" t="str">
        <f t="shared" si="5"/>
        <v>Polaris Venture Partners, Inc.; Saints Capital Services, LLC</v>
      </c>
      <c r="N20" s="642" t="str">
        <f>IF(OR($B20&lt;&gt;"NA",$B20&lt;&gt;0),IF(OR(_xll.ciqfunctions.udf.CIQ($B20,N$5,,$D$1)=0,_xll.ciqfunctions.udf.CIQ($B20,N$5,,$D$1)="NA"),"-",_xll.ciqfunctions.udf.CIQ($B20,N$5,,$D$1)),"")</f>
        <v>-</v>
      </c>
      <c r="O20" s="640" t="str">
        <f>IF(OR($B20&lt;&gt;"NA",$B20&lt;&gt;0),IF(OR(_xll.ciqfunctions.udf.CIQ($B20,O$5)=0,_xll.ciqfunctions.udf.CIQ($B20,O$5)="NA"),"-",_xll.ciqfunctions.udf.CIQ($B20,O$5)),"")</f>
        <v>Closed</v>
      </c>
      <c r="P20" s="643">
        <f>IF(IF($R20=1,_xll.ciqfunctions.udf.CIQ($B20,"IQ_TR_BUY_FIN_ADVISORS"),IF($S20=1,_xll.ciqfunctions.udf.CIQ($B20,"IQ_TR_SELL_FIN_ADVISORS"),IF($T20=1,_xll.ciqfunctions.udf.CIQ($B20,"IQ_TR_TARGET_FIN_ADVISORS"),"-")))="NA","-",IF($R20=1,_xll.ciqfunctions.udf.CIQ($B20,"IQ_TR_BUY_FIN_ADVISORS"),IF($S20=1,_xll.ciqfunctions.udf.CIQ($B20,"IQ_TR_SELL_FIN_ADVISORS"),IF($T20=1,_xll.ciqfunctions.udf.CIQ($B20,"IQ_TR_TARGET_FIN_ADVISORS"),"-"))))</f>
        <v>0</v>
      </c>
      <c r="Q20" s="643" t="str">
        <f>IF(IF($R20=1,_xll.ciqfunctions.udf.CIQ($B20,"IQ_TR_BUY_LEG_ADVISORS"),IF($S20=1,_xll.ciqfunctions.udf.CIQ($B20,"IQ_TR_SELL_LEG_ADVISORS"),IF($T20=1,_xll.ciqfunctions.udf.CIQ($B20,"IQ_TR_TARGET_LEG_ADVISORS"),"-")))="NA","-",IF($R20=1,_xll.ciqfunctions.udf.CIQ($B20,"IQ_TR_BUY_LEG_ADVISORS"),IF($S20=1,_xll.ciqfunctions.udf.CIQ($B20,"IQ_TR_SELL_LEG_ADVISORS"),IF($T20=1,_xll.ciqfunctions.udf.CIQ($B20,"IQ_TR_TARGET_LEG_ADVISORS"),"-"))))</f>
        <v>Morrison &amp; Foerster LLP</v>
      </c>
      <c r="R20" s="645">
        <f t="shared" si="6"/>
        <v>1</v>
      </c>
      <c r="S20" s="645">
        <f t="shared" si="7"/>
        <v>0</v>
      </c>
      <c r="T20" s="645">
        <f t="shared" si="8"/>
        <v>0</v>
      </c>
      <c r="U20" s="645">
        <f t="shared" si="2"/>
        <v>1</v>
      </c>
      <c r="V20" s="636">
        <f>IF(AND($R20&lt;&gt;0,OR($I20&lt;&gt;"-",$K20&lt;&gt;"-")),SUMIF($R$7:R20,"&gt;0"),0)</f>
        <v>6</v>
      </c>
      <c r="W20" s="636">
        <f>IF(AND(OR($S20&gt;0,$T20&gt;0),$G20&lt;&gt;"-"),SUMIFS($S$7:S20, $S$7:S20,"&gt;0", $G$7:G20, "&lt;&gt;" &amp; "-")+SUMIFS($T$7:T20,$T$7:T20,"&gt;0", $G$7:G20, "&lt;&gt;" &amp; "-"),0)</f>
        <v>0</v>
      </c>
      <c r="X20" s="636"/>
    </row>
    <row r="21" spans="1:24" x14ac:dyDescent="0.2">
      <c r="A21" s="636">
        <f t="shared" si="3"/>
        <v>15</v>
      </c>
      <c r="B21" s="571" t="str">
        <f>_xll.ciqfunctions.udf.CIQ($B$1, "IQ_TRANSACTION_LIST_MA", A21)</f>
        <v>IQTR586665934</v>
      </c>
      <c r="C21" s="641">
        <f>IF(OR($B21&lt;&gt;"NA",$B21&lt;&gt;0),IF(OR(_xll.ciqfunctions.udf.CIQ($B21,C$5)=0,_xll.ciqfunctions.udf.CIQ($B21,C$5)="(Invalid DataTypeId)",_xll.ciqfunctions.udf.CIQ($B21,C$5)="NA"),"-",_xll.ciqfunctions.udf.CIQ($B21,C$5)),"")</f>
        <v>43385</v>
      </c>
      <c r="D21" s="738">
        <f t="shared" si="4"/>
        <v>43385</v>
      </c>
      <c r="E21" s="738">
        <f>IF(OR($B21&lt;&gt;"NA",$B21&lt;&gt;0),IF(OR(_xll.ciqfunctions.udf.CIQ($B21,E$5)=0,_xll.ciqfunctions.udf.CIQ($B21,E$5)="(Invalid DataTypeId)",_xll.ciqfunctions.udf.CIQ($B21,E$5)="NA"),"-",_xll.ciqfunctions.udf.CIQ($B21,E$5)),"")</f>
        <v>43385</v>
      </c>
      <c r="F21" s="640" t="str">
        <f>IF(OR($B21&lt;&gt;0,$B21&lt;&gt;"NA"),IF(OR(_xll.ciqfunctions.udf.CIQ($B21,F$5)=0,_xll.ciqfunctions.udf.CIQ($B21,F$5)="NA"),"-",_xll.ciqfunctions.udf.CIQ($B21,F$5)),"")</f>
        <v>Walmart Inc.</v>
      </c>
      <c r="G21" s="640" t="str">
        <f>IF(OR($B21&lt;&gt;"NA",$B21&lt;&gt;0),IF(OR(_xll.ciqfunctions.udf.CIQ($B21,G$5)=0,_xll.ciqfunctions.udf.CIQ($B21,G$5)="NA"),"-",_xll.ciqfunctions.udf.CIQ($B21,$G$5)),"")</f>
        <v>IQ313055</v>
      </c>
      <c r="H21" s="640" t="str">
        <f>IF(OR($B21&lt;&gt;"NA",$B21&lt;&gt;0),IF(OR(_xll.ciqfunctions.udf.CIQ($B21,H$5)=0,_xll.ciqfunctions.udf.CIQ($B21,H$5)="NA"),"-",_xll.ciqfunctions.udf.CIQ($B21,H$5)),"")</f>
        <v>-</v>
      </c>
      <c r="I21" s="640" t="str">
        <f>IF(OR($B21&lt;&gt;"NA",$B21&lt;&gt;0),IF(OR(_xll.ciqfunctions.udf.CIQ($B21,I$5)=0,_xll.ciqfunctions.udf.CIQ($B21,I$5)="NA"),"-",_xll.ciqfunctions.udf.CIQ($B21,I$5)),"")</f>
        <v>-</v>
      </c>
      <c r="J21" s="640" t="str">
        <f>IF(OR($B21&lt;&gt;"NA",$B21&lt;&gt;0),IF(OR(_xll.ciqfunctions.udf.CIQ($B21,J$5)=0,_xll.ciqfunctions.udf.CIQ($B21,J$5)="NA"),"-",_xll.ciqfunctions.udf.CIQ($B21,J$5)),"")</f>
        <v>BareWeb, Inc.</v>
      </c>
      <c r="K21" s="640" t="str">
        <f>IF(OR($B21&lt;&gt;"NA",$B21&lt;&gt;0),IF(OR(_xll.ciqfunctions.udf.CIQ($B21,K$5)=0,_xll.ciqfunctions.udf.CIQ($B21,K$5)="NA"),"-",_xll.ciqfunctions.udf.CIQ($B21,K$5)),"")</f>
        <v>IQ9673909</v>
      </c>
      <c r="L21" s="640" t="str">
        <f t="shared" si="1"/>
        <v>BareWeb, Inc.</v>
      </c>
      <c r="M21" s="640" t="str">
        <f t="shared" si="5"/>
        <v>BareWeb, Inc.</v>
      </c>
      <c r="N21" s="642" t="str">
        <f>IF(OR($B21&lt;&gt;"NA",$B21&lt;&gt;0),IF(OR(_xll.ciqfunctions.udf.CIQ($B21,N$5,,$D$1)=0,_xll.ciqfunctions.udf.CIQ($B21,N$5,,$D$1)="NA"),"-",_xll.ciqfunctions.udf.CIQ($B21,N$5,,$D$1)),"")</f>
        <v>-</v>
      </c>
      <c r="O21" s="640" t="str">
        <f>IF(OR($B21&lt;&gt;"NA",$B21&lt;&gt;0),IF(OR(_xll.ciqfunctions.udf.CIQ($B21,O$5)=0,_xll.ciqfunctions.udf.CIQ($B21,O$5)="NA"),"-",_xll.ciqfunctions.udf.CIQ($B21,O$5)),"")</f>
        <v>Closed</v>
      </c>
      <c r="P21" s="643">
        <f>IF(IF($R21=1,_xll.ciqfunctions.udf.CIQ($B21,"IQ_TR_BUY_FIN_ADVISORS"),IF($S21=1,_xll.ciqfunctions.udf.CIQ($B21,"IQ_TR_SELL_FIN_ADVISORS"),IF($T21=1,_xll.ciqfunctions.udf.CIQ($B21,"IQ_TR_TARGET_FIN_ADVISORS"),"-")))="NA","-",IF($R21=1,_xll.ciqfunctions.udf.CIQ($B21,"IQ_TR_BUY_FIN_ADVISORS"),IF($S21=1,_xll.ciqfunctions.udf.CIQ($B21,"IQ_TR_SELL_FIN_ADVISORS"),IF($T21=1,_xll.ciqfunctions.udf.CIQ($B21,"IQ_TR_TARGET_FIN_ADVISORS"),"-"))))</f>
        <v>0</v>
      </c>
      <c r="Q21" s="643" t="str">
        <f>IF(IF($R21=1,_xll.ciqfunctions.udf.CIQ($B21,"IQ_TR_BUY_LEG_ADVISORS"),IF($S21=1,_xll.ciqfunctions.udf.CIQ($B21,"IQ_TR_SELL_LEG_ADVISORS"),IF($T21=1,_xll.ciqfunctions.udf.CIQ($B21,"IQ_TR_TARGET_LEG_ADVISORS"),"-")))="NA","-",IF($R21=1,_xll.ciqfunctions.udf.CIQ($B21,"IQ_TR_BUY_LEG_ADVISORS"),IF($S21=1,_xll.ciqfunctions.udf.CIQ($B21,"IQ_TR_SELL_LEG_ADVISORS"),IF($T21=1,_xll.ciqfunctions.udf.CIQ($B21,"IQ_TR_TARGET_LEG_ADVISORS"),"-"))))</f>
        <v>Morrison &amp; Foerster LLP</v>
      </c>
      <c r="R21" s="645">
        <f t="shared" si="6"/>
        <v>1</v>
      </c>
      <c r="S21" s="645">
        <f t="shared" si="7"/>
        <v>0</v>
      </c>
      <c r="T21" s="645">
        <f t="shared" si="8"/>
        <v>0</v>
      </c>
      <c r="U21" s="645">
        <f t="shared" si="2"/>
        <v>1</v>
      </c>
      <c r="V21" s="636">
        <f>IF(AND($R21&lt;&gt;0,OR($I21&lt;&gt;"-",$K21&lt;&gt;"-")),SUMIF($R$7:R21,"&gt;0"),0)</f>
        <v>7</v>
      </c>
      <c r="W21" s="636">
        <f>IF(AND(OR($S21&gt;0,$T21&gt;0),$G21&lt;&gt;"-"),SUMIFS($S$7:S21, $S$7:S21,"&gt;0", $G$7:G21, "&lt;&gt;" &amp; "-")+SUMIFS($T$7:T21,$T$7:T21,"&gt;0", $G$7:G21, "&lt;&gt;" &amp; "-"),0)</f>
        <v>0</v>
      </c>
      <c r="X21" s="636"/>
    </row>
    <row r="22" spans="1:24" ht="25.5" x14ac:dyDescent="0.2">
      <c r="A22" s="636">
        <f t="shared" si="3"/>
        <v>16</v>
      </c>
      <c r="B22" s="571" t="str">
        <f>_xll.ciqfunctions.udf.CIQ($B$1, "IQ_TRANSACTION_LIST_MA", A22)</f>
        <v>IQTR584974096</v>
      </c>
      <c r="C22" s="641">
        <f>IF(OR($B22&lt;&gt;"NA",$B22&lt;&gt;0),IF(OR(_xll.ciqfunctions.udf.CIQ($B22,C$5)=0,_xll.ciqfunctions.udf.CIQ($B22,C$5)="(Invalid DataTypeId)",_xll.ciqfunctions.udf.CIQ($B22,C$5)="NA"),"-",_xll.ciqfunctions.udf.CIQ($B22,C$5)),"")</f>
        <v>43375</v>
      </c>
      <c r="D22" s="738">
        <f t="shared" si="4"/>
        <v>43375</v>
      </c>
      <c r="E22" s="738">
        <f>IF(OR($B22&lt;&gt;"NA",$B22&lt;&gt;0),IF(OR(_xll.ciqfunctions.udf.CIQ($B22,E$5)=0,_xll.ciqfunctions.udf.CIQ($B22,E$5)="(Invalid DataTypeId)",_xll.ciqfunctions.udf.CIQ($B22,E$5)="NA"),"-",_xll.ciqfunctions.udf.CIQ($B22,E$5)),"")</f>
        <v>43465</v>
      </c>
      <c r="F22" s="640" t="str">
        <f>IF(OR($B22&lt;&gt;0,$B22&lt;&gt;"NA"),IF(OR(_xll.ciqfunctions.udf.CIQ($B22,F$5)=0,_xll.ciqfunctions.udf.CIQ($B22,F$5)="NA"),"-",_xll.ciqfunctions.udf.CIQ($B22,F$5)),"")</f>
        <v>Walmart Inc.</v>
      </c>
      <c r="G22" s="640" t="str">
        <f>IF(OR($B22&lt;&gt;"NA",$B22&lt;&gt;0),IF(OR(_xll.ciqfunctions.udf.CIQ($B22,G$5)=0,_xll.ciqfunctions.udf.CIQ($B22,G$5)="NA"),"-",_xll.ciqfunctions.udf.CIQ($B22,$G$5)),"")</f>
        <v>IQ313055</v>
      </c>
      <c r="H22" s="640" t="str">
        <f>IF(OR($B22&lt;&gt;"NA",$B22&lt;&gt;0),IF(OR(_xll.ciqfunctions.udf.CIQ($B22,H$5)=0,_xll.ciqfunctions.udf.CIQ($B22,H$5)="NA"),"-",_xll.ciqfunctions.udf.CIQ($B22,H$5)),"")</f>
        <v>Greycroft LP; FJ Labs, Inc.</v>
      </c>
      <c r="I22" s="640" t="str">
        <f>IF(OR($B22&lt;&gt;"NA",$B22&lt;&gt;0),IF(OR(_xll.ciqfunctions.udf.CIQ($B22,I$5)=0,_xll.ciqfunctions.udf.CIQ($B22,I$5)="NA"),"-",_xll.ciqfunctions.udf.CIQ($B22,I$5)),"")</f>
        <v>IQ26255156; IQ285551884</v>
      </c>
      <c r="J22" s="640" t="str">
        <f>IF(OR($B22&lt;&gt;"NA",$B22&lt;&gt;0),IF(OR(_xll.ciqfunctions.udf.CIQ($B22,J$5)=0,_xll.ciqfunctions.udf.CIQ($B22,J$5)="NA"),"-",_xll.ciqfunctions.udf.CIQ($B22,J$5)),"")</f>
        <v>ELOQUII Design, Inc.</v>
      </c>
      <c r="K22" s="640" t="str">
        <f>IF(OR($B22&lt;&gt;"NA",$B22&lt;&gt;0),IF(OR(_xll.ciqfunctions.udf.CIQ($B22,K$5)=0,_xll.ciqfunctions.udf.CIQ($B22,K$5)="NA"),"-",_xll.ciqfunctions.udf.CIQ($B22,K$5)),"")</f>
        <v>IQ274108750</v>
      </c>
      <c r="L22" s="640" t="str">
        <f t="shared" si="1"/>
        <v>Greycroft LP; FJ Labs, Inc.</v>
      </c>
      <c r="M22" s="640" t="str">
        <f t="shared" si="5"/>
        <v>Greycroft LP; FJ Labs, Inc.</v>
      </c>
      <c r="N22" s="642" t="str">
        <f>IF(OR($B22&lt;&gt;"NA",$B22&lt;&gt;0),IF(OR(_xll.ciqfunctions.udf.CIQ($B22,N$5,,$D$1)=0,_xll.ciqfunctions.udf.CIQ($B22,N$5,,$D$1)="NA"),"-",_xll.ciqfunctions.udf.CIQ($B22,N$5,,$D$1)),"")</f>
        <v>-</v>
      </c>
      <c r="O22" s="640" t="str">
        <f>IF(OR($B22&lt;&gt;"NA",$B22&lt;&gt;0),IF(OR(_xll.ciqfunctions.udf.CIQ($B22,O$5)=0,_xll.ciqfunctions.udf.CIQ($B22,O$5)="NA"),"-",_xll.ciqfunctions.udf.CIQ($B22,O$5)),"")</f>
        <v>Closed</v>
      </c>
      <c r="P22" s="643">
        <f>IF(IF($R22=1,_xll.ciqfunctions.udf.CIQ($B22,"IQ_TR_BUY_FIN_ADVISORS"),IF($S22=1,_xll.ciqfunctions.udf.CIQ($B22,"IQ_TR_SELL_FIN_ADVISORS"),IF($T22=1,_xll.ciqfunctions.udf.CIQ($B22,"IQ_TR_TARGET_FIN_ADVISORS"),"-")))="NA","-",IF($R22=1,_xll.ciqfunctions.udf.CIQ($B22,"IQ_TR_BUY_FIN_ADVISORS"),IF($S22=1,_xll.ciqfunctions.udf.CIQ($B22,"IQ_TR_SELL_FIN_ADVISORS"),IF($T22=1,_xll.ciqfunctions.udf.CIQ($B22,"IQ_TR_TARGET_FIN_ADVISORS"),"-"))))</f>
        <v>0</v>
      </c>
      <c r="Q22" s="643" t="str">
        <f>IF(IF($R22=1,_xll.ciqfunctions.udf.CIQ($B22,"IQ_TR_BUY_LEG_ADVISORS"),IF($S22=1,_xll.ciqfunctions.udf.CIQ($B22,"IQ_TR_SELL_LEG_ADVISORS"),IF($T22=1,_xll.ciqfunctions.udf.CIQ($B22,"IQ_TR_TARGET_LEG_ADVISORS"),"-")))="NA","-",IF($R22=1,_xll.ciqfunctions.udf.CIQ($B22,"IQ_TR_BUY_LEG_ADVISORS"),IF($S22=1,_xll.ciqfunctions.udf.CIQ($B22,"IQ_TR_SELL_LEG_ADVISORS"),IF($T22=1,_xll.ciqfunctions.udf.CIQ($B22,"IQ_TR_TARGET_LEG_ADVISORS"),"-"))))</f>
        <v>Morrison &amp; Foerster LLP</v>
      </c>
      <c r="R22" s="645">
        <f t="shared" si="6"/>
        <v>1</v>
      </c>
      <c r="S22" s="645">
        <f t="shared" si="7"/>
        <v>0</v>
      </c>
      <c r="T22" s="645">
        <f t="shared" si="8"/>
        <v>0</v>
      </c>
      <c r="U22" s="645">
        <f t="shared" si="2"/>
        <v>1</v>
      </c>
      <c r="V22" s="636">
        <f>IF(AND($R22&lt;&gt;0,OR($I22&lt;&gt;"-",$K22&lt;&gt;"-")),SUMIF($R$7:R22,"&gt;0"),0)</f>
        <v>8</v>
      </c>
      <c r="W22" s="636">
        <f>IF(AND(OR($S22&gt;0,$T22&gt;0),$G22&lt;&gt;"-"),SUMIFS($S$7:S22, $S$7:S22,"&gt;0", $G$7:G22, "&lt;&gt;" &amp; "-")+SUMIFS($T$7:T22,$T$7:T22,"&gt;0", $G$7:G22, "&lt;&gt;" &amp; "-"),0)</f>
        <v>0</v>
      </c>
      <c r="X22" s="636"/>
    </row>
    <row r="23" spans="1:24" ht="51" x14ac:dyDescent="0.2">
      <c r="A23" s="636">
        <f t="shared" si="3"/>
        <v>17</v>
      </c>
      <c r="B23" s="571" t="str">
        <f>_xll.ciqfunctions.udf.CIQ($B$1, "IQ_TRANSACTION_LIST_MA", A23)</f>
        <v>IQTR579436216</v>
      </c>
      <c r="C23" s="641">
        <f>IF(OR($B23&lt;&gt;"NA",$B23&lt;&gt;0),IF(OR(_xll.ciqfunctions.udf.CIQ($B23,C$5)=0,_xll.ciqfunctions.udf.CIQ($B23,C$5)="(Invalid DataTypeId)",_xll.ciqfunctions.udf.CIQ($B23,C$5)="NA"),"-",_xll.ciqfunctions.udf.CIQ($B23,C$5)),"")</f>
        <v>43342</v>
      </c>
      <c r="D23" s="738">
        <f t="shared" si="4"/>
        <v>43342</v>
      </c>
      <c r="E23" s="738">
        <f>IF(OR($B23&lt;&gt;"NA",$B23&lt;&gt;0),IF(OR(_xll.ciqfunctions.udf.CIQ($B23,E$5)=0,_xll.ciqfunctions.udf.CIQ($B23,E$5)="(Invalid DataTypeId)",_xll.ciqfunctions.udf.CIQ($B23,E$5)="NA"),"-",_xll.ciqfunctions.udf.CIQ($B23,E$5)),"")</f>
        <v>43342</v>
      </c>
      <c r="F23" s="640" t="str">
        <f>IF(OR($B23&lt;&gt;0,$B23&lt;&gt;"NA"),IF(OR(_xll.ciqfunctions.udf.CIQ($B23,F$5)=0,_xll.ciqfunctions.udf.CIQ($B23,F$5)="NA"),"-",_xll.ciqfunctions.udf.CIQ($B23,F$5)),"")</f>
        <v>Distribuidora Internacional de Alimentación, S.A.</v>
      </c>
      <c r="G23" s="640" t="str">
        <f>IF(OR($B23&lt;&gt;"NA",$B23&lt;&gt;0),IF(OR(_xll.ciqfunctions.udf.CIQ($B23,G$5)=0,_xll.ciqfunctions.udf.CIQ($B23,G$5)="NA"),"-",_xll.ciqfunctions.udf.CIQ($B23,$G$5)),"")</f>
        <v>IQ13514970</v>
      </c>
      <c r="H23" s="640" t="str">
        <f>IF(OR($B23&lt;&gt;"NA",$B23&lt;&gt;0),IF(OR(_xll.ciqfunctions.udf.CIQ($B23,H$5)=0,_xll.ciqfunctions.udf.CIQ($B23,H$5)="NA"),"-",_xll.ciqfunctions.udf.CIQ($B23,H$5)),"")</f>
        <v>Walmart Inc.</v>
      </c>
      <c r="I23" s="640" t="str">
        <f>IF(OR($B23&lt;&gt;"NA",$B23&lt;&gt;0),IF(OR(_xll.ciqfunctions.udf.CIQ($B23,I$5)=0,_xll.ciqfunctions.udf.CIQ($B23,I$5)="NA"),"-",_xll.ciqfunctions.udf.CIQ($B23,I$5)),"")</f>
        <v>IQ313055</v>
      </c>
      <c r="J23" s="640" t="str">
        <f>IF(OR($B23&lt;&gt;"NA",$B23&lt;&gt;0),IF(OR(_xll.ciqfunctions.udf.CIQ($B23,J$5)=0,_xll.ciqfunctions.udf.CIQ($B23,J$5)="NA"),"-",_xll.ciqfunctions.udf.CIQ($B23,J$5)),"")</f>
        <v>12 Walmart stores in Argentina</v>
      </c>
      <c r="K23" s="640" t="str">
        <f>IF(OR($B23&lt;&gt;"NA",$B23&lt;&gt;0),IF(OR(_xll.ciqfunctions.udf.CIQ($B23,K$5)=0,_xll.ciqfunctions.udf.CIQ($B23,K$5)="NA"),"-",_xll.ciqfunctions.udf.CIQ($B23,K$5)),"")</f>
        <v>IQ579436044</v>
      </c>
      <c r="L23" s="640" t="str">
        <f t="shared" si="1"/>
        <v>Walmart Inc.</v>
      </c>
      <c r="M23" s="640" t="str">
        <f t="shared" si="5"/>
        <v>Distribuidora Internacional de Alimentación, S.A.</v>
      </c>
      <c r="N23" s="642" t="str">
        <f>IF(OR($B23&lt;&gt;"NA",$B23&lt;&gt;0),IF(OR(_xll.ciqfunctions.udf.CIQ($B23,N$5,,$D$1)=0,_xll.ciqfunctions.udf.CIQ($B23,N$5,,$D$1)="NA"),"-",_xll.ciqfunctions.udf.CIQ($B23,N$5,,$D$1)),"")</f>
        <v>-</v>
      </c>
      <c r="O23" s="640" t="str">
        <f>IF(OR($B23&lt;&gt;"NA",$B23&lt;&gt;0),IF(OR(_xll.ciqfunctions.udf.CIQ($B23,O$5)=0,_xll.ciqfunctions.udf.CIQ($B23,O$5)="NA"),"-",_xll.ciqfunctions.udf.CIQ($B23,O$5)),"")</f>
        <v>Closed</v>
      </c>
      <c r="P23" s="643">
        <f>IF(IF($R23=1,_xll.ciqfunctions.udf.CIQ($B23,"IQ_TR_BUY_FIN_ADVISORS"),IF($S23=1,_xll.ciqfunctions.udf.CIQ($B23,"IQ_TR_SELL_FIN_ADVISORS"),IF($T23=1,_xll.ciqfunctions.udf.CIQ($B23,"IQ_TR_TARGET_FIN_ADVISORS"),"-")))="NA","-",IF($R23=1,_xll.ciqfunctions.udf.CIQ($B23,"IQ_TR_BUY_FIN_ADVISORS"),IF($S23=1,_xll.ciqfunctions.udf.CIQ($B23,"IQ_TR_SELL_FIN_ADVISORS"),IF($T23=1,_xll.ciqfunctions.udf.CIQ($B23,"IQ_TR_TARGET_FIN_ADVISORS"),"-"))))</f>
        <v>0</v>
      </c>
      <c r="Q23" s="643">
        <f>IF(IF($R23=1,_xll.ciqfunctions.udf.CIQ($B23,"IQ_TR_BUY_LEG_ADVISORS"),IF($S23=1,_xll.ciqfunctions.udf.CIQ($B23,"IQ_TR_SELL_LEG_ADVISORS"),IF($T23=1,_xll.ciqfunctions.udf.CIQ($B23,"IQ_TR_TARGET_LEG_ADVISORS"),"-")))="NA","-",IF($R23=1,_xll.ciqfunctions.udf.CIQ($B23,"IQ_TR_BUY_LEG_ADVISORS"),IF($S23=1,_xll.ciqfunctions.udf.CIQ($B23,"IQ_TR_SELL_LEG_ADVISORS"),IF($T23=1,_xll.ciqfunctions.udf.CIQ($B23,"IQ_TR_TARGET_LEG_ADVISORS"),"-"))))</f>
        <v>0</v>
      </c>
      <c r="R23" s="645">
        <f t="shared" si="6"/>
        <v>0</v>
      </c>
      <c r="S23" s="645">
        <f t="shared" si="7"/>
        <v>1</v>
      </c>
      <c r="T23" s="645">
        <f t="shared" si="8"/>
        <v>0</v>
      </c>
      <c r="U23" s="645">
        <f t="shared" si="2"/>
        <v>1</v>
      </c>
      <c r="V23" s="636">
        <f>IF(AND($R23&lt;&gt;0,OR($I23&lt;&gt;"-",$K23&lt;&gt;"-")),SUMIF($R$7:R23,"&gt;0"),0)</f>
        <v>0</v>
      </c>
      <c r="W23" s="636">
        <f>IF(AND(OR($S23&gt;0,$T23&gt;0),$G23&lt;&gt;"-"),SUMIFS($S$7:S23, $S$7:S23,"&gt;0", $G$7:G23, "&lt;&gt;" &amp; "-")+SUMIFS($T$7:T23,$T$7:T23,"&gt;0", $G$7:G23, "&lt;&gt;" &amp; "-"),0)</f>
        <v>9</v>
      </c>
      <c r="X23" s="636"/>
    </row>
    <row r="24" spans="1:24" ht="38.25" x14ac:dyDescent="0.2">
      <c r="A24" s="636">
        <f t="shared" si="3"/>
        <v>18</v>
      </c>
      <c r="B24" s="571" t="str">
        <f>_xll.ciqfunctions.udf.CIQ($B$1, "IQ_TRANSACTION_LIST_MA", A24)</f>
        <v>IQTR569756508</v>
      </c>
      <c r="C24" s="641">
        <f>IF(OR($B24&lt;&gt;"NA",$B24&lt;&gt;0),IF(OR(_xll.ciqfunctions.udf.CIQ($B24,C$5)=0,_xll.ciqfunctions.udf.CIQ($B24,C$5)="(Invalid DataTypeId)",_xll.ciqfunctions.udf.CIQ($B24,C$5)="NA"),"-",_xll.ciqfunctions.udf.CIQ($B24,C$5)),"")</f>
        <v>43255</v>
      </c>
      <c r="D24" s="738">
        <f t="shared" si="4"/>
        <v>43255</v>
      </c>
      <c r="E24" s="738">
        <f>IF(OR($B24&lt;&gt;"NA",$B24&lt;&gt;0),IF(OR(_xll.ciqfunctions.udf.CIQ($B24,E$5)=0,_xll.ciqfunctions.udf.CIQ($B24,E$5)="(Invalid DataTypeId)",_xll.ciqfunctions.udf.CIQ($B24,E$5)="NA"),"-",_xll.ciqfunctions.udf.CIQ($B24,E$5)),"")</f>
        <v>43313</v>
      </c>
      <c r="F24" s="640" t="str">
        <f>IF(OR($B24&lt;&gt;0,$B24&lt;&gt;"NA"),IF(OR(_xll.ciqfunctions.udf.CIQ($B24,F$5)=0,_xll.ciqfunctions.udf.CIQ($B24,F$5)="NA"),"-",_xll.ciqfunctions.udf.CIQ($B24,F$5)),"")</f>
        <v>Advent International Corporation</v>
      </c>
      <c r="G24" s="640" t="str">
        <f>IF(OR($B24&lt;&gt;"NA",$B24&lt;&gt;0),IF(OR(_xll.ciqfunctions.udf.CIQ($B24,G$5)=0,_xll.ciqfunctions.udf.CIQ($B24,G$5)="NA"),"-",_xll.ciqfunctions.udf.CIQ($B24,$G$5)),"")</f>
        <v>IQ18613</v>
      </c>
      <c r="H24" s="640" t="str">
        <f>IF(OR($B24&lt;&gt;"NA",$B24&lt;&gt;0),IF(OR(_xll.ciqfunctions.udf.CIQ($B24,H$5)=0,_xll.ciqfunctions.udf.CIQ($B24,H$5)="NA"),"-",_xll.ciqfunctions.udf.CIQ($B24,H$5)),"")</f>
        <v>Walmart Inc.</v>
      </c>
      <c r="I24" s="640" t="str">
        <f>IF(OR($B24&lt;&gt;"NA",$B24&lt;&gt;0),IF(OR(_xll.ciqfunctions.udf.CIQ($B24,I$5)=0,_xll.ciqfunctions.udf.CIQ($B24,I$5)="NA"),"-",_xll.ciqfunctions.udf.CIQ($B24,I$5)),"")</f>
        <v>IQ313055</v>
      </c>
      <c r="J24" s="640" t="str">
        <f>IF(OR($B24&lt;&gt;"NA",$B24&lt;&gt;0),IF(OR(_xll.ciqfunctions.udf.CIQ($B24,J$5)=0,_xll.ciqfunctions.udf.CIQ($B24,J$5)="NA"),"-",_xll.ciqfunctions.udf.CIQ($B24,J$5)),"")</f>
        <v>WMS Supermercados do Brasil Ltda.</v>
      </c>
      <c r="K24" s="640" t="str">
        <f>IF(OR($B24&lt;&gt;"NA",$B24&lt;&gt;0),IF(OR(_xll.ciqfunctions.udf.CIQ($B24,K$5)=0,_xll.ciqfunctions.udf.CIQ($B24,K$5)="NA"),"-",_xll.ciqfunctions.udf.CIQ($B24,K$5)),"")</f>
        <v>IQ569782428</v>
      </c>
      <c r="L24" s="640" t="str">
        <f t="shared" si="1"/>
        <v>Walmart Inc.</v>
      </c>
      <c r="M24" s="640" t="str">
        <f t="shared" si="5"/>
        <v>Advent International Corporation</v>
      </c>
      <c r="N24" s="642">
        <f>IF(OR($B24&lt;&gt;"NA",$B24&lt;&gt;0),IF(OR(_xll.ciqfunctions.udf.CIQ($B24,N$5,,$D$1)=0,_xll.ciqfunctions.udf.CIQ($B24,N$5,,$D$1)="NA"),"-",_xll.ciqfunctions.udf.CIQ($B24,N$5,,$D$1)),"")</f>
        <v>250</v>
      </c>
      <c r="O24" s="640" t="str">
        <f>IF(OR($B24&lt;&gt;"NA",$B24&lt;&gt;0),IF(OR(_xll.ciqfunctions.udf.CIQ($B24,O$5)=0,_xll.ciqfunctions.udf.CIQ($B24,O$5)="NA"),"-",_xll.ciqfunctions.udf.CIQ($B24,O$5)),"")</f>
        <v>Closed</v>
      </c>
      <c r="P24" s="643" t="str">
        <f>IF(IF($R24=1,_xll.ciqfunctions.udf.CIQ($B24,"IQ_TR_BUY_FIN_ADVISORS"),IF($S24=1,_xll.ciqfunctions.udf.CIQ($B24,"IQ_TR_SELL_FIN_ADVISORS"),IF($T24=1,_xll.ciqfunctions.udf.CIQ($B24,"IQ_TR_TARGET_FIN_ADVISORS"),"-")))="NA","-",IF($R24=1,_xll.ciqfunctions.udf.CIQ($B24,"IQ_TR_BUY_FIN_ADVISORS"),IF($S24=1,_xll.ciqfunctions.udf.CIQ($B24,"IQ_TR_SELL_FIN_ADVISORS"),IF($T24=1,_xll.ciqfunctions.udf.CIQ($B24,"IQ_TR_TARGET_FIN_ADVISORS"),"-"))))</f>
        <v>Goldman Sachs &amp; Co. LLC</v>
      </c>
      <c r="Q24" s="643" t="str">
        <f>IF(IF($R24=1,_xll.ciqfunctions.udf.CIQ($B24,"IQ_TR_BUY_LEG_ADVISORS"),IF($S24=1,_xll.ciqfunctions.udf.CIQ($B24,"IQ_TR_SELL_LEG_ADVISORS"),IF($T24=1,_xll.ciqfunctions.udf.CIQ($B24,"IQ_TR_TARGET_LEG_ADVISORS"),"-")))="NA","-",IF($R24=1,_xll.ciqfunctions.udf.CIQ($B24,"IQ_TR_BUY_LEG_ADVISORS"),IF($S24=1,_xll.ciqfunctions.udf.CIQ($B24,"IQ_TR_SELL_LEG_ADVISORS"),IF($T24=1,_xll.ciqfunctions.udf.CIQ($B24,"IQ_TR_TARGET_LEG_ADVISORS"),"-"))))</f>
        <v>Skadden, Arps, Slate, Meagher &amp; Flom LLP</v>
      </c>
      <c r="R24" s="645">
        <f t="shared" si="6"/>
        <v>0</v>
      </c>
      <c r="S24" s="645">
        <f t="shared" si="7"/>
        <v>1</v>
      </c>
      <c r="T24" s="645">
        <f t="shared" si="8"/>
        <v>0</v>
      </c>
      <c r="U24" s="645">
        <f t="shared" si="2"/>
        <v>1</v>
      </c>
      <c r="V24" s="636">
        <f>IF(AND($R24&lt;&gt;0,OR($I24&lt;&gt;"-",$K24&lt;&gt;"-")),SUMIF($R$7:R24,"&gt;0"),0)</f>
        <v>0</v>
      </c>
      <c r="W24" s="636">
        <f>IF(AND(OR($S24&gt;0,$T24&gt;0),$G24&lt;&gt;"-"),SUMIFS($S$7:S24, $S$7:S24,"&gt;0", $G$7:G24, "&lt;&gt;" &amp; "-")+SUMIFS($T$7:T24,$T$7:T24,"&gt;0", $G$7:G24, "&lt;&gt;" &amp; "-"),0)</f>
        <v>10</v>
      </c>
      <c r="X24" s="636"/>
    </row>
    <row r="25" spans="1:24" ht="38.25" x14ac:dyDescent="0.2">
      <c r="A25" s="636">
        <f t="shared" si="3"/>
        <v>19</v>
      </c>
      <c r="B25" s="571" t="str">
        <f>_xll.ciqfunctions.udf.CIQ($B$1, "IQ_TRANSACTION_LIST_MA", A25)</f>
        <v>IQTR668013109</v>
      </c>
      <c r="C25" s="641">
        <f>IF(OR($B25&lt;&gt;"NA",$B25&lt;&gt;0),IF(OR(_xll.ciqfunctions.udf.CIQ($B25,C$5)=0,_xll.ciqfunctions.udf.CIQ($B25,C$5)="(Invalid DataTypeId)",_xll.ciqfunctions.udf.CIQ($B25,C$5)="NA"),"-",_xll.ciqfunctions.udf.CIQ($B25,C$5)),"")</f>
        <v>43255</v>
      </c>
      <c r="D25" s="738">
        <f t="shared" si="4"/>
        <v>43255</v>
      </c>
      <c r="E25" s="738">
        <f>IF(OR($B25&lt;&gt;"NA",$B25&lt;&gt;0),IF(OR(_xll.ciqfunctions.udf.CIQ($B25,E$5)=0,_xll.ciqfunctions.udf.CIQ($B25,E$5)="(Invalid DataTypeId)",_xll.ciqfunctions.udf.CIQ($B25,E$5)="NA"),"-",_xll.ciqfunctions.udf.CIQ($B25,E$5)),"")</f>
        <v>43255</v>
      </c>
      <c r="F25" s="640" t="str">
        <f>IF(OR($B25&lt;&gt;0,$B25&lt;&gt;"NA"),IF(OR(_xll.ciqfunctions.udf.CIQ($B25,F$5)=0,_xll.ciqfunctions.udf.CIQ($B25,F$5)="NA"),"-",_xll.ciqfunctions.udf.CIQ($B25,F$5)),"")</f>
        <v>Advent International Corporation</v>
      </c>
      <c r="G25" s="640" t="str">
        <f>IF(OR($B25&lt;&gt;"NA",$B25&lt;&gt;0),IF(OR(_xll.ciqfunctions.udf.CIQ($B25,G$5)=0,_xll.ciqfunctions.udf.CIQ($B25,G$5)="NA"),"-",_xll.ciqfunctions.udf.CIQ($B25,$G$5)),"")</f>
        <v>IQ18613</v>
      </c>
      <c r="H25" s="640" t="str">
        <f>IF(OR($B25&lt;&gt;"NA",$B25&lt;&gt;0),IF(OR(_xll.ciqfunctions.udf.CIQ($B25,H$5)=0,_xll.ciqfunctions.udf.CIQ($B25,H$5)="NA"),"-",_xll.ciqfunctions.udf.CIQ($B25,H$5)),"")</f>
        <v>Walmart Inc.</v>
      </c>
      <c r="I25" s="640" t="str">
        <f>IF(OR($B25&lt;&gt;"NA",$B25&lt;&gt;0),IF(OR(_xll.ciqfunctions.udf.CIQ($B25,I$5)=0,_xll.ciqfunctions.udf.CIQ($B25,I$5)="NA"),"-",_xll.ciqfunctions.udf.CIQ($B25,I$5)),"")</f>
        <v>IQ313055</v>
      </c>
      <c r="J25" s="640" t="str">
        <f>IF(OR($B25&lt;&gt;"NA",$B25&lt;&gt;0),IF(OR(_xll.ciqfunctions.udf.CIQ($B25,J$5)=0,_xll.ciqfunctions.udf.CIQ($B25,J$5)="NA"),"-",_xll.ciqfunctions.udf.CIQ($B25,J$5)),"")</f>
        <v>Walmart Brasil Ltda.</v>
      </c>
      <c r="K25" s="640" t="str">
        <f>IF(OR($B25&lt;&gt;"NA",$B25&lt;&gt;0),IF(OR(_xll.ciqfunctions.udf.CIQ($B25,K$5)=0,_xll.ciqfunctions.udf.CIQ($B25,K$5)="NA"),"-",_xll.ciqfunctions.udf.CIQ($B25,K$5)),"")</f>
        <v>IQ5490538</v>
      </c>
      <c r="L25" s="640" t="str">
        <f t="shared" si="1"/>
        <v>Walmart Inc.</v>
      </c>
      <c r="M25" s="640" t="str">
        <f t="shared" si="5"/>
        <v>Advent International Corporation</v>
      </c>
      <c r="N25" s="642" t="str">
        <f>IF(OR($B25&lt;&gt;"NA",$B25&lt;&gt;0),IF(OR(_xll.ciqfunctions.udf.CIQ($B25,N$5,,$D$1)=0,_xll.ciqfunctions.udf.CIQ($B25,N$5,,$D$1)="NA"),"-",_xll.ciqfunctions.udf.CIQ($B25,N$5,,$D$1)),"")</f>
        <v>-</v>
      </c>
      <c r="O25" s="640" t="str">
        <f>IF(OR($B25&lt;&gt;"NA",$B25&lt;&gt;0),IF(OR(_xll.ciqfunctions.udf.CIQ($B25,O$5)=0,_xll.ciqfunctions.udf.CIQ($B25,O$5)="NA"),"-",_xll.ciqfunctions.udf.CIQ($B25,O$5)),"")</f>
        <v>Closed</v>
      </c>
      <c r="P25" s="643" t="str">
        <f>IF(IF($R25=1,_xll.ciqfunctions.udf.CIQ($B25,"IQ_TR_BUY_FIN_ADVISORS"),IF($S25=1,_xll.ciqfunctions.udf.CIQ($B25,"IQ_TR_SELL_FIN_ADVISORS"),IF($T25=1,_xll.ciqfunctions.udf.CIQ($B25,"IQ_TR_TARGET_FIN_ADVISORS"),"-")))="NA","-",IF($R25=1,_xll.ciqfunctions.udf.CIQ($B25,"IQ_TR_BUY_FIN_ADVISORS"),IF($S25=1,_xll.ciqfunctions.udf.CIQ($B25,"IQ_TR_SELL_FIN_ADVISORS"),IF($T25=1,_xll.ciqfunctions.udf.CIQ($B25,"IQ_TR_TARGET_FIN_ADVISORS"),"-"))))</f>
        <v>The Goldman Sachs Group, Inc. (NYSE:GS)</v>
      </c>
      <c r="Q25" s="643">
        <f>IF(IF($R25=1,_xll.ciqfunctions.udf.CIQ($B25,"IQ_TR_BUY_LEG_ADVISORS"),IF($S25=1,_xll.ciqfunctions.udf.CIQ($B25,"IQ_TR_SELL_LEG_ADVISORS"),IF($T25=1,_xll.ciqfunctions.udf.CIQ($B25,"IQ_TR_TARGET_LEG_ADVISORS"),"-")))="NA","-",IF($R25=1,_xll.ciqfunctions.udf.CIQ($B25,"IQ_TR_BUY_LEG_ADVISORS"),IF($S25=1,_xll.ciqfunctions.udf.CIQ($B25,"IQ_TR_SELL_LEG_ADVISORS"),IF($T25=1,_xll.ciqfunctions.udf.CIQ($B25,"IQ_TR_TARGET_LEG_ADVISORS"),"-"))))</f>
        <v>0</v>
      </c>
      <c r="R25" s="645">
        <f t="shared" si="6"/>
        <v>0</v>
      </c>
      <c r="S25" s="645">
        <f t="shared" si="7"/>
        <v>1</v>
      </c>
      <c r="T25" s="645">
        <f t="shared" si="8"/>
        <v>0</v>
      </c>
      <c r="U25" s="645">
        <f t="shared" si="2"/>
        <v>1</v>
      </c>
      <c r="V25" s="636">
        <f>IF(AND($R25&lt;&gt;0,OR($I25&lt;&gt;"-",$K25&lt;&gt;"-")),SUMIF($R$7:R25,"&gt;0"),0)</f>
        <v>0</v>
      </c>
      <c r="W25" s="636">
        <f>IF(AND(OR($S25&gt;0,$T25&gt;0),$G25&lt;&gt;"-"),SUMIFS($S$7:S25, $S$7:S25,"&gt;0", $G$7:G25, "&lt;&gt;" &amp; "-")+SUMIFS($T$7:T25,$T$7:T25,"&gt;0", $G$7:G25, "&lt;&gt;" &amp; "-"),0)</f>
        <v>11</v>
      </c>
      <c r="X25" s="636"/>
    </row>
    <row r="26" spans="1:24" ht="409.5" x14ac:dyDescent="0.2">
      <c r="A26" s="636">
        <f t="shared" si="3"/>
        <v>20</v>
      </c>
      <c r="B26" s="571" t="str">
        <f>_xll.ciqfunctions.udf.CIQ($B$1, "IQ_TRANSACTION_LIST_MA", A26)</f>
        <v>IQTR563483103</v>
      </c>
      <c r="C26" s="641">
        <f>IF(OR($B26&lt;&gt;"NA",$B26&lt;&gt;0),IF(OR(_xll.ciqfunctions.udf.CIQ($B26,C$5)=0,_xll.ciqfunctions.udf.CIQ($B26,C$5)="(Invalid DataTypeId)",_xll.ciqfunctions.udf.CIQ($B26,C$5)="NA"),"-",_xll.ciqfunctions.udf.CIQ($B26,C$5)),"")</f>
        <v>43228</v>
      </c>
      <c r="D26" s="738">
        <f t="shared" si="4"/>
        <v>43228</v>
      </c>
      <c r="E26" s="738">
        <f>IF(OR($B26&lt;&gt;"NA",$B26&lt;&gt;0),IF(OR(_xll.ciqfunctions.udf.CIQ($B26,E$5)=0,_xll.ciqfunctions.udf.CIQ($B26,E$5)="(Invalid DataTypeId)",_xll.ciqfunctions.udf.CIQ($B26,E$5)="NA"),"-",_xll.ciqfunctions.udf.CIQ($B26,E$5)),"")</f>
        <v>43330</v>
      </c>
      <c r="F26" s="640" t="str">
        <f>IF(OR($B26&lt;&gt;0,$B26&lt;&gt;"NA"),IF(OR(_xll.ciqfunctions.udf.CIQ($B26,F$5)=0,_xll.ciqfunctions.udf.CIQ($B26,F$5)="NA"),"-",_xll.ciqfunctions.udf.CIQ($B26,F$5)),"")</f>
        <v>Walmart Inc.</v>
      </c>
      <c r="G26" s="640" t="str">
        <f>IF(OR($B26&lt;&gt;"NA",$B26&lt;&gt;0),IF(OR(_xll.ciqfunctions.udf.CIQ($B26,G$5)=0,_xll.ciqfunctions.udf.CIQ($B26,G$5)="NA"),"-",_xll.ciqfunctions.udf.CIQ($B26,$G$5)),"")</f>
        <v>IQ313055</v>
      </c>
      <c r="H26" s="640" t="str">
        <f>IF(OR($B26&lt;&gt;"NA",$B26&lt;&gt;0),IF(OR(_xll.ciqfunctions.udf.CIQ($B26,H$5)=0,_xll.ciqfunctions.udf.CIQ($B26,H$5)="NA"),"-",_xll.ciqfunctions.udf.CIQ($B26,H$5)),"")</f>
        <v>Accel Partners; eBay Inc.; Fidelity Investments; The Vanguard Group, Inc.; Sofina Société Anonyme; Naspers Limited; Morgan Stanley Investment Management Inc.; Strategic Advisers LLC; Qatar Investment Authority; Morgan Stanley Institutional Fund, Inc. - Small Company Growth Portfolio (nka:Morgan Stanley Institutional Fund, Inc. - Inception Portfolio); Morgan Stanley Institutional Fund Trust - Mid Cap Growth Portfolio (nka:Morgan Stanley Institutional Fund Trust - Discovery Portfolio); Helion Venture Partners, LLC; Morgan Stanley Institutional Fund, Inc. - International Opportunity Portfolio; Fidelity Rutland Square Trust II - Strategic Advisers Growth Fund; Steadview Capital Management LLC; Inversiones Mobiliarias Y Desarrollo S.A.; DST Global; Morgan Stanley Institutional Fund, Inc. - Global Discovery Portfolio; C.Y.C., S.A.; SoftBank Vision Fund L.P.; SoftBank Investment Advisers (UK) Limited</v>
      </c>
      <c r="I26" s="640" t="str">
        <f>IF(OR($B26&lt;&gt;"NA",$B26&lt;&gt;0),IF(OR(_xll.ciqfunctions.udf.CIQ($B26,I$5)=0,_xll.ciqfunctions.udf.CIQ($B26,I$5)="NA"),"-",_xll.ciqfunctions.udf.CIQ($B26,I$5)),"")</f>
        <v>IQ18561; IQ27862; IQ163894; IQ417222; IQ874526; IQ882310; IQ4032076; IQ22571957; IQ27869250; IQ28113509; IQ28115806; IQ28461729; IQ104869711; IQ106836796; IQ108451193; IQ128250936; IQ128410083; IQ128536572; IQ129067012; IQ421343807; IQ431291830</v>
      </c>
      <c r="J26" s="640" t="str">
        <f>IF(OR($B26&lt;&gt;"NA",$B26&lt;&gt;0),IF(OR(_xll.ciqfunctions.udf.CIQ($B26,J$5)=0,_xll.ciqfunctions.udf.CIQ($B26,J$5)="NA"),"-",_xll.ciqfunctions.udf.CIQ($B26,J$5)),"")</f>
        <v>Flipkart Private Limited</v>
      </c>
      <c r="K26" s="640" t="str">
        <f>IF(OR($B26&lt;&gt;"NA",$B26&lt;&gt;0),IF(OR(_xll.ciqfunctions.udf.CIQ($B26,K$5)=0,_xll.ciqfunctions.udf.CIQ($B26,K$5)="NA"),"-",_xll.ciqfunctions.udf.CIQ($B26,K$5)),"")</f>
        <v>IQ309452892</v>
      </c>
      <c r="L26" s="640" t="str">
        <f t="shared" si="1"/>
        <v>Accel Partners; eBay Inc.; Fidelity Investments; The Vanguard Group, Inc.; Sofina Société Anonyme; Naspers Limited; Morgan Stanley Investment Management Inc.; Strategic Advisers LLC; Qatar Investment Authority; Morgan Stanley Institutional Fund, Inc. - Small Company Growth Portfolio (nka:Morgan Stanley Institutional Fund, Inc. - Inception Portfolio); Morgan Stanley Institutional Fund Trust - Mid Cap Growth Portfolio (nka:Morgan Stanley Institutional Fund Trust - Discovery Portfolio); Helion Venture Partners, LLC; Morgan Stanley Institutional Fund, Inc. - International Opportunity Portfolio; Fidelity Rutland Square Trust II - Strategic Advisers Growth Fund; Steadview Capital Management LLC; Inversiones Mobiliarias Y Desarrollo S.A.; DST Global; Morgan Stanley Institutional Fund, Inc. - Global Discovery Portfolio; C.Y.C., S.A.; SoftBank Vision Fund L.P.; SoftBank Investment Advisers (UK) Limited</v>
      </c>
      <c r="M26" s="640" t="str">
        <f t="shared" si="5"/>
        <v>Accel Partners; eBay Inc.; Fidelity Investments; The Vanguard Group, Inc.; Sofina Société Anonyme; Naspers Limited; Morgan Stanley Investment Management Inc.; Strategic Advisers LLC; Qatar Investment Authority; Morgan Stanley Institutional Fund, Inc. - Small Company Growth Portfolio (nka:Morgan Stanley Institutional Fund, Inc. - Inception Portfolio); Morgan Stanley Institutional Fund Trust - Mid Cap Growth Portfolio (nka:Morgan Stanley Institutional Fund Trust - Discovery Portfolio); Helion Venture Partners, LLC; Morgan Stanley Institutional Fund, Inc. - International Opportunity Portfolio; Fidelity Rutland Square Trust II - Strategic Advisers Growth Fund; Steadview Capital Management LLC; Inversiones Mobiliarias Y Desarrollo S.A.; DST Global; Morgan Stanley Institutional Fund, Inc. - Global Discovery Portfolio; C.Y.C., S.A.; SoftBank Vision Fund L.P.; SoftBank Investment Advisers (UK) Limited</v>
      </c>
      <c r="N26" s="642">
        <f>IF(OR($B26&lt;&gt;"NA",$B26&lt;&gt;0),IF(OR(_xll.ciqfunctions.udf.CIQ($B26,N$5,,$D$1)=0,_xll.ciqfunctions.udf.CIQ($B26,N$5,,$D$1)="NA"),"-",_xll.ciqfunctions.udf.CIQ($B26,N$5,,$D$1)),"")</f>
        <v>16000</v>
      </c>
      <c r="O26" s="640" t="str">
        <f>IF(OR($B26&lt;&gt;"NA",$B26&lt;&gt;0),IF(OR(_xll.ciqfunctions.udf.CIQ($B26,O$5)=0,_xll.ciqfunctions.udf.CIQ($B26,O$5)="NA"),"-",_xll.ciqfunctions.udf.CIQ($B26,O$5)),"")</f>
        <v>Closed</v>
      </c>
      <c r="P26" s="643" t="str">
        <f>IF(IF($R26=1,_xll.ciqfunctions.udf.CIQ($B26,"IQ_TR_BUY_FIN_ADVISORS"),IF($S26=1,_xll.ciqfunctions.udf.CIQ($B26,"IQ_TR_SELL_FIN_ADVISORS"),IF($T26=1,_xll.ciqfunctions.udf.CIQ($B26,"IQ_TR_TARGET_FIN_ADVISORS"),"-")))="NA","-",IF($R26=1,_xll.ciqfunctions.udf.CIQ($B26,"IQ_TR_BUY_FIN_ADVISORS"),IF($S26=1,_xll.ciqfunctions.udf.CIQ($B26,"IQ_TR_SELL_FIN_ADVISORS"),IF($T26=1,_xll.ciqfunctions.udf.CIQ($B26,"IQ_TR_TARGET_FIN_ADVISORS"),"-"))))</f>
        <v>Barclays Capital Inc.; J.P. Morgan Securities LLC</v>
      </c>
      <c r="Q26" s="643" t="str">
        <f>IF(IF($R26=1,_xll.ciqfunctions.udf.CIQ($B26,"IQ_TR_BUY_LEG_ADVISORS"),IF($S26=1,_xll.ciqfunctions.udf.CIQ($B26,"IQ_TR_SELL_LEG_ADVISORS"),IF($T26=1,_xll.ciqfunctions.udf.CIQ($B26,"IQ_TR_TARGET_LEG_ADVISORS"),"-")))="NA","-",IF($R26=1,_xll.ciqfunctions.udf.CIQ($B26,"IQ_TR_BUY_LEG_ADVISORS"),IF($S26=1,_xll.ciqfunctions.udf.CIQ($B26,"IQ_TR_SELL_LEG_ADVISORS"),IF($T26=1,_xll.ciqfunctions.udf.CIQ($B26,"IQ_TR_TARGET_LEG_ADVISORS"),"-"))))</f>
        <v>Gibson, Dunn &amp; Crutcher LLP; Hogan Lovells US LLP; Shardul Amarchand Mangaldas &amp; Co; WongPartnership LLP</v>
      </c>
      <c r="R26" s="645">
        <f t="shared" si="6"/>
        <v>1</v>
      </c>
      <c r="S26" s="645">
        <f t="shared" si="7"/>
        <v>0</v>
      </c>
      <c r="T26" s="645">
        <f t="shared" si="8"/>
        <v>0</v>
      </c>
      <c r="U26" s="645">
        <f t="shared" si="2"/>
        <v>1</v>
      </c>
      <c r="V26" s="636">
        <f>IF(AND($R26&lt;&gt;0,OR($I26&lt;&gt;"-",$K26&lt;&gt;"-")),SUMIF($R$7:R26,"&gt;0"),0)</f>
        <v>9</v>
      </c>
      <c r="W26" s="636">
        <f>IF(AND(OR($S26&gt;0,$T26&gt;0),$G26&lt;&gt;"-"),SUMIFS($S$7:S26, $S$7:S26,"&gt;0", $G$7:G26, "&lt;&gt;" &amp; "-")+SUMIFS($T$7:T26,$T$7:T26,"&gt;0", $G$7:G26, "&lt;&gt;" &amp; "-"),0)</f>
        <v>0</v>
      </c>
      <c r="X26" s="636"/>
    </row>
  </sheetData>
  <pageMargins left="0.7" right="0.7" top="0.75" bottom="0.75" header="0.3" footer="0.3"/>
  <pageSetup orientation="portrait" horizontalDpi="4294967295" verticalDpi="4294967295" r:id="rId1"/>
  <ignoredErrors>
    <ignoredError sqref="D7" formula="1"/>
  </ignoredError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theme="1" tint="0.249977111117893"/>
  </sheetPr>
  <dimension ref="B1:R507"/>
  <sheetViews>
    <sheetView showGridLines="0" zoomScale="80" zoomScaleNormal="80" workbookViewId="0">
      <selection activeCell="C5" sqref="C5"/>
    </sheetView>
  </sheetViews>
  <sheetFormatPr defaultColWidth="9" defaultRowHeight="14.25" x14ac:dyDescent="0.2"/>
  <cols>
    <col min="1" max="1" width="2.75" style="509" customWidth="1"/>
    <col min="2" max="2" width="9" style="509"/>
    <col min="3" max="3" width="14.5" style="509" customWidth="1"/>
    <col min="4" max="4" width="106.5" style="509" customWidth="1"/>
    <col min="5" max="5" width="16" style="509" customWidth="1"/>
    <col min="6" max="6" width="53.75" style="509" customWidth="1"/>
    <col min="7" max="8" width="17.25" style="509" customWidth="1"/>
    <col min="9" max="15" width="9" style="509"/>
    <col min="16" max="16" width="52.625" style="509" customWidth="1"/>
    <col min="17" max="16384" width="9" style="509"/>
  </cols>
  <sheetData>
    <row r="1" spans="2:18" x14ac:dyDescent="0.2">
      <c r="B1" s="511" t="str">
        <f>+Target</f>
        <v>NYSE:WMT</v>
      </c>
      <c r="C1" s="522">
        <f>+D1-6*30</f>
        <v>44464</v>
      </c>
      <c r="D1" s="522" cm="1">
        <f t="array" ref="D1">_xll.ciqfunctions.udf.CIQGETDATE(IQ_TODAY)-1</f>
        <v>44644</v>
      </c>
      <c r="E1" s="511"/>
      <c r="F1" s="511"/>
      <c r="G1" s="511"/>
      <c r="H1" s="521" t="s">
        <v>922</v>
      </c>
      <c r="I1" s="511" t="s">
        <v>1036</v>
      </c>
      <c r="J1" s="511"/>
    </row>
    <row r="3" spans="2:18" x14ac:dyDescent="0.2">
      <c r="I3" s="511" t="s">
        <v>921</v>
      </c>
    </row>
    <row r="5" spans="2:18" ht="15.75" x14ac:dyDescent="0.2">
      <c r="B5" s="441" t="str">
        <f>Input!$C$9</f>
        <v>Walmart Inc.</v>
      </c>
      <c r="C5" s="441"/>
      <c r="D5" s="441"/>
      <c r="E5" s="441"/>
      <c r="F5" s="441"/>
      <c r="G5" s="441"/>
      <c r="H5" s="441"/>
      <c r="I5" s="441"/>
      <c r="J5" s="441"/>
      <c r="K5" s="441"/>
      <c r="L5" s="441"/>
      <c r="M5" s="441"/>
      <c r="N5" s="441"/>
      <c r="P5" s="516" t="s">
        <v>920</v>
      </c>
      <c r="Q5" s="515" t="s">
        <v>919</v>
      </c>
      <c r="R5" s="515" t="s">
        <v>918</v>
      </c>
    </row>
    <row r="6" spans="2:18" x14ac:dyDescent="0.2">
      <c r="P6" s="519" t="s">
        <v>917</v>
      </c>
      <c r="Q6" s="510" t="s">
        <v>190</v>
      </c>
      <c r="R6" s="517" t="s">
        <v>916</v>
      </c>
    </row>
    <row r="7" spans="2:18" x14ac:dyDescent="0.2">
      <c r="B7" s="582" t="s">
        <v>915</v>
      </c>
      <c r="C7" s="582" t="str">
        <f>_xll.ciqfunctions.udf.CIQRANGE('CIQ Key Developments'!$B$1,"IQ_KEY_DEV_ID",'CIQ Key Developments'!C$1,'CIQ Key Developments'!D$1,'CIQ Key Developments'!$I$1,,,,"Key Dev ID")</f>
        <v>Key Dev ID</v>
      </c>
      <c r="D7" s="582" t="s">
        <v>914</v>
      </c>
      <c r="E7" s="582" t="s">
        <v>404</v>
      </c>
      <c r="F7" s="582" t="s">
        <v>913</v>
      </c>
      <c r="G7" s="582" t="s">
        <v>59</v>
      </c>
      <c r="H7" s="582" t="s">
        <v>912</v>
      </c>
      <c r="I7" s="582" t="s">
        <v>438</v>
      </c>
      <c r="P7" s="519" t="s">
        <v>911</v>
      </c>
      <c r="Q7" s="510" t="s">
        <v>190</v>
      </c>
      <c r="R7" s="517" t="s">
        <v>910</v>
      </c>
    </row>
    <row r="8" spans="2:18" x14ac:dyDescent="0.2">
      <c r="B8" s="7">
        <v>1</v>
      </c>
      <c r="C8" s="7" t="s">
        <v>1448</v>
      </c>
      <c r="D8" s="7" t="str">
        <f>IF(LEN($C8),_xll.ciqfunctions.udf.CIQ($C8,"IQ_KEY_DEV_HEADLINE"),"")</f>
        <v>Kona Gold Beverage, Inc. Begins Selling Ooh La Lemin Sparkling Lemonades in Walmart Stores</v>
      </c>
      <c r="E8" s="7" t="str">
        <f>IF(LEN($C8)&gt;0,_xll.ciqfunctions.udf.CIQ($C8,"IQ_KEY_DEV_TYPE"),"")</f>
        <v>Client Announcements</v>
      </c>
      <c r="F8" s="7" t="str">
        <f>IF(LEN($C8)&gt;0,_xll.ciqfunctions.udf.CIQ($C8,"IQ_KEY_DEV_SITUATION"),"")</f>
        <v>Kona Gold Beverage Inc. announced its wholly owned subsidiary, Gold Leaf Distribution, has begun to sell the Company’s new Sparkling Ooh La Lemin Lemonades into Walmart stores in South Carolina. There are 110 Walmart store locations in South Carolina and Gold Leaf Distribution has been tasked to sell all 6 new flavors of Sparkling Ooh La Lemin Lemonades into those stores. The Company’s new 12 oz Sparkling Ooh La Lemin Lemonades are also authorized in all Walmart stores nationwide. Kona Gold Beverage announced earlier this month that its popular non-sparkling Ooh La Lemin Lemonades will be sold in Walmart brick and mortar stores. The Company’s 16 oz Ooh La Lemin Lemonades, available in 4 flavors, will be included in modular sets in all stores with 12 ft or wider coolers in select states starting in June of 2022. Gold Leaf will also be tasked to launch and distribute the 4 flavors in June across the state of South Carolina. The 4 flavors of Ooh La Lemin are also authorized in Walmart’s system nationwide, which will give the Company fire power to secure distribution in states where it’s currently lacking.</v>
      </c>
      <c r="G8" s="19" t="str">
        <f t="shared" ref="G8:G71" si="0">+IF(LEN($C8)&gt;0,TEXT(_xll.ciqfunctions.udf.CIQ($C8,"IQ_KEY_DEV_DATE"),"dd MMM yyyy"),"")</f>
        <v>22 Mar 2022</v>
      </c>
      <c r="H8" s="19" t="str">
        <f>+IF(LEN($C8)&gt;0,TEXT(IF(_xll.ciqfunctions.udf.CIQ($C8,"IQ_KEY_DEV_TIME")="NA","",_xll.ciqfunctions.udf.CIQ($C8,"IQ_KEY_DEV_TIME")),"h:mm AM/PM"),"")</f>
        <v>12:00 AM</v>
      </c>
      <c r="I8" s="7" t="str">
        <f>IF(LEN($C8)&gt;0,_xll.ciqfunctions.udf.CIQ($C8,"IQ_KEY_DEV_SOURCE"),"")</f>
        <v>GlobeNewswire</v>
      </c>
      <c r="P8" s="519" t="s">
        <v>909</v>
      </c>
      <c r="Q8" s="510" t="s">
        <v>190</v>
      </c>
      <c r="R8" s="517" t="s">
        <v>908</v>
      </c>
    </row>
    <row r="9" spans="2:18" x14ac:dyDescent="0.2">
      <c r="B9" s="7">
        <f>+B8+1</f>
        <v>2</v>
      </c>
      <c r="C9" s="7" t="s">
        <v>1449</v>
      </c>
      <c r="D9" s="7" t="str">
        <f>IF(LEN($C9),_xll.ciqfunctions.udf.CIQ($C9,"IQ_KEY_DEV_HEADLINE"),"")</f>
        <v>Walmart Inc. Presents at Florida Supply Chain Summit, Mar-21-2022</v>
      </c>
      <c r="E9" s="7" t="str">
        <f>IF(LEN($C9)&gt;0,_xll.ciqfunctions.udf.CIQ($C9,"IQ_KEY_DEV_TYPE"),"")</f>
        <v>Company Conference Presentations</v>
      </c>
      <c r="F9" s="7" t="str">
        <f>IF(LEN($C9)&gt;0,_xll.ciqfunctions.udf.CIQ($C9,"IQ_KEY_DEV_SITUATION"),"")</f>
        <v>Walmart Inc. Presents at Florida Supply Chain Summit, Mar-21-2022 . Venue: Hotel Alba, Tampa, Florida, United States.</v>
      </c>
      <c r="G9" s="19" t="str">
        <f t="shared" si="0"/>
        <v>21 Mar 2022</v>
      </c>
      <c r="H9" s="19" t="str">
        <f>+IF(LEN($C9)&gt;0,TEXT(IF(_xll.ciqfunctions.udf.CIQ($C9,"IQ_KEY_DEV_TIME")="NA","",_xll.ciqfunctions.udf.CIQ($C9,"IQ_KEY_DEV_TIME")),"h:mm AM/PM"),"")</f>
        <v>8:00 AM</v>
      </c>
      <c r="I9" s="7" t="str">
        <f>IF(LEN($C9)&gt;0,_xll.ciqfunctions.udf.CIQ($C9,"IQ_KEY_DEV_SOURCE"),"")</f>
        <v>Business Wire</v>
      </c>
      <c r="P9" s="519" t="s">
        <v>907</v>
      </c>
      <c r="Q9" s="510" t="s">
        <v>190</v>
      </c>
      <c r="R9" s="517" t="s">
        <v>906</v>
      </c>
    </row>
    <row r="10" spans="2:18" x14ac:dyDescent="0.2">
      <c r="B10" s="7">
        <v>3</v>
      </c>
      <c r="C10" s="7" t="s">
        <v>1446</v>
      </c>
      <c r="D10" s="7" t="str">
        <f>IF(LEN($C10),_xll.ciqfunctions.udf.CIQ($C10,"IQ_KEY_DEV_HEADLINE"),"")</f>
        <v>Walmart Inc. Connect Now Available on Downstream by Jungle Scout</v>
      </c>
      <c r="E10" s="7" t="str">
        <f>IF(LEN($C10)&gt;0,_xll.ciqfunctions.udf.CIQ($C10,"IQ_KEY_DEV_TYPE"),"")</f>
        <v>Client Announcements</v>
      </c>
      <c r="F10" s="7" t="str">
        <f>IF(LEN($C10)&gt;0,_xll.ciqfunctions.udf.CIQ($C10,"IQ_KEY_DEV_SITUATION"),"")</f>
        <v>Jungle Scout, announced a new partnership and integration with Walmart Connect, allowing brands and agencies to create and optimize Walmart search campaigns using Downstream's powerful automation tools. Downstream's integration with Walmart Connect's Sponsored Product API will empower suppliers and sellers with capabilities including: Campaign Management: Sellers can easily create and launch campaigns with the level of control and visibility that they need. Downstream offers high volumes of data, robust filtering, and bulk editing capabilities. Automation &amp; Optimization: Rulebooks, a powerful rules-based automation and optimization tool, gives suppliers and sellers control over campaigns by creating precise rules for how Downstream updates bids. Unified Platform for Analytics &amp; Insights: Sellers can obtain a unified view of ecommerce businesses, leverage insights to measure the effectiveness of campaigns, and identify new opportunities with access to real-time KPIs.</v>
      </c>
      <c r="G10" s="19" t="str">
        <f t="shared" si="0"/>
        <v>16 Mar 2022</v>
      </c>
      <c r="H10" s="19" t="str">
        <f>+IF(LEN($C10)&gt;0,TEXT(IF(_xll.ciqfunctions.udf.CIQ($C10,"IQ_KEY_DEV_TIME")="NA","",_xll.ciqfunctions.udf.CIQ($C10,"IQ_KEY_DEV_TIME")),"h:mm AM/PM"),"")</f>
        <v>12:00 AM</v>
      </c>
      <c r="I10" s="7" t="str">
        <f>IF(LEN($C10)&gt;0,_xll.ciqfunctions.udf.CIQ($C10,"IQ_KEY_DEV_SOURCE"),"")</f>
        <v>GlobeNewswire</v>
      </c>
      <c r="P10" s="510"/>
      <c r="Q10" s="510"/>
      <c r="R10" s="517"/>
    </row>
    <row r="11" spans="2:18" x14ac:dyDescent="0.2">
      <c r="B11" s="7">
        <v>4</v>
      </c>
      <c r="C11" s="7" t="s">
        <v>1447</v>
      </c>
      <c r="D11" s="7" t="str">
        <f>IF(LEN($C11),_xll.ciqfunctions.udf.CIQ($C11,"IQ_KEY_DEV_HEADLINE"),"")</f>
        <v>Walmart Inc. Announces Plans to Hire 5,000+ Tech Workers, Expands to New Locations</v>
      </c>
      <c r="E11" s="7" t="str">
        <f>IF(LEN($C11)&gt;0,_xll.ciqfunctions.udf.CIQ($C11,"IQ_KEY_DEV_TYPE"),"")</f>
        <v>Business Expansions</v>
      </c>
      <c r="F11" s="7" t="str">
        <f>IF(LEN($C11)&gt;0,_xll.ciqfunctions.udf.CIQ($C11,"IQ_KEY_DEV_SITUATION"),"")</f>
        <v>Walmart Inc. announced plans to make Toronto, Ontario and Atlanta, Georgia two new Walmart Global Tech hubs because of their growing tech presence, connection to Walmart and broad and diverse local talent. The expansion is part of Walmart Global Tech's plan to hire more than 5,000 associates globally this fiscal year. Walmart Global Tech plans to make Toronto one of its large hubs, with hundreds of new jobs over time. The initial hiring phase is expected to include 45 full-time roles in software development, technical program management and product management. Initial hiring in Atlanta is expected to include 140 new full-time roles such as data scientists and software engineers.</v>
      </c>
      <c r="G11" s="19" t="str">
        <f t="shared" si="0"/>
        <v>15 Mar 2022</v>
      </c>
      <c r="H11" s="19" t="str">
        <f>+IF(LEN($C11)&gt;0,TEXT(IF(_xll.ciqfunctions.udf.CIQ($C11,"IQ_KEY_DEV_TIME")="NA","",_xll.ciqfunctions.udf.CIQ($C11,"IQ_KEY_DEV_TIME")),"h:mm AM/PM"),"")</f>
        <v>12:00 AM</v>
      </c>
      <c r="I11" s="7" t="str">
        <f>IF(LEN($C11)&gt;0,_xll.ciqfunctions.udf.CIQ($C11,"IQ_KEY_DEV_SOURCE"),"")</f>
        <v>Canada News Wire</v>
      </c>
      <c r="P11" s="516" t="s">
        <v>905</v>
      </c>
      <c r="Q11" s="516"/>
      <c r="R11" s="515" t="s">
        <v>904</v>
      </c>
    </row>
    <row r="12" spans="2:18" x14ac:dyDescent="0.2">
      <c r="B12" s="7">
        <v>5</v>
      </c>
      <c r="C12" s="7" t="s">
        <v>1440</v>
      </c>
      <c r="D12" s="7" t="str">
        <f>IF(LEN($C12),_xll.ciqfunctions.udf.CIQ($C12,"IQ_KEY_DEV_HEADLINE"),"")</f>
        <v>Walmart Inc. Presents at 11th Annual UBS Global Consumer and Retail Conference, Mar-10-2022 12:00 PM</v>
      </c>
      <c r="E12" s="7" t="str">
        <f>IF(LEN($C12)&gt;0,_xll.ciqfunctions.udf.CIQ($C12,"IQ_KEY_DEV_TYPE"),"")</f>
        <v>Company Conference Presentations</v>
      </c>
      <c r="F12" s="7" t="str">
        <f>IF(LEN($C12)&gt;0,_xll.ciqfunctions.udf.CIQ($C12,"IQ_KEY_DEV_SITUATION"),"")</f>
        <v>Walmart Inc. Presents at 11th Annual UBS Global Consumer and Retail Conference, Mar-10-2022 12:00 PM. Venue: Four Seasons Hotel Boston, Boston, Massachusetts, United States. Speakers: M. Brett Biggs, Executive VP &amp; CFO.</v>
      </c>
      <c r="G12" s="19" t="str">
        <f t="shared" si="0"/>
        <v>11 Mar 2022</v>
      </c>
      <c r="H12" s="19" t="str">
        <f>+IF(LEN($C12)&gt;0,TEXT(IF(_xll.ciqfunctions.udf.CIQ($C12,"IQ_KEY_DEV_TIME")="NA","",_xll.ciqfunctions.udf.CIQ($C12,"IQ_KEY_DEV_TIME")),"h:mm AM/PM"),"")</f>
        <v>1:00 AM</v>
      </c>
      <c r="I12" s="7" t="str">
        <f>IF(LEN($C12)&gt;0,_xll.ciqfunctions.udf.CIQ($C12,"IQ_KEY_DEV_SOURCE"),"")</f>
        <v>PR Newswire, Business Wire, GlobeNewswire, Company Website</v>
      </c>
      <c r="P12" s="510" t="s">
        <v>903</v>
      </c>
      <c r="Q12" s="510" t="s">
        <v>190</v>
      </c>
      <c r="R12" s="517" t="s">
        <v>902</v>
      </c>
    </row>
    <row r="13" spans="2:18" x14ac:dyDescent="0.2">
      <c r="B13" s="7">
        <v>6</v>
      </c>
      <c r="C13" s="7" t="s">
        <v>1441</v>
      </c>
      <c r="D13" s="7" t="str">
        <f>IF(LEN($C13),_xll.ciqfunctions.udf.CIQ($C13,"IQ_KEY_DEV_HEADLINE"),"")</f>
        <v>Walmart Inc. Expands Baytown Campus with New 1,000,000+ Square-Foot Distribution Center, Opening Fall 2022</v>
      </c>
      <c r="E13" s="7" t="str">
        <f>IF(LEN($C13)&gt;0,_xll.ciqfunctions.udf.CIQ($C13,"IQ_KEY_DEV_TYPE"),"")</f>
        <v>Business Expansions</v>
      </c>
      <c r="F13" s="7" t="str">
        <f>IF(LEN($C13)&gt;0,_xll.ciqfunctions.udf.CIQ($C13,"IQ_KEY_DEV_SITUATION"),"")</f>
        <v>Walmart Inc. announced plans to expand its Baytown, TX supply chain campus with a new 1,000,000+ square-foot distribution center to support the retailer’s growing supply chain network. The new facility, located at 4633 Borusan Road, is the retailer’s fourth in Baytown and is set to open in the Fall of 2022, bringing the total square-footage of the campus to over 5,000,000 square-feet. The expansion will create an additional 300 full-time jobs due to growth across multiple shifts. The Baytown campus is currently hiring full-time positions, including specialized roles and leadership positions. Candidates can search for open positions and complete applications online at careers.walmart.com. Full-time positions qualify for Walmart’s total rewards and benefits plans, including medical, vision and dental insurance, 401(k) matching, paid time off, associate stock purchase plan and access to a free college degree 100% paid for by Walmart.</v>
      </c>
      <c r="G13" s="19" t="str">
        <f t="shared" si="0"/>
        <v>10 Mar 2022</v>
      </c>
      <c r="H13" s="19" t="str">
        <f>+IF(LEN($C13)&gt;0,TEXT(IF(_xll.ciqfunctions.udf.CIQ($C13,"IQ_KEY_DEV_TIME")="NA","",_xll.ciqfunctions.udf.CIQ($C13,"IQ_KEY_DEV_TIME")),"h:mm AM/PM"),"")</f>
        <v>12:00 AM</v>
      </c>
      <c r="I13" s="7" t="str">
        <f>IF(LEN($C13)&gt;0,_xll.ciqfunctions.udf.CIQ($C13,"IQ_KEY_DEV_SOURCE"),"")</f>
        <v>Business Wire</v>
      </c>
      <c r="P13" s="510" t="s">
        <v>755</v>
      </c>
      <c r="Q13" s="510" t="s">
        <v>190</v>
      </c>
      <c r="R13" s="517" t="s">
        <v>754</v>
      </c>
    </row>
    <row r="14" spans="2:18" x14ac:dyDescent="0.2">
      <c r="B14" s="7">
        <v>7</v>
      </c>
      <c r="C14" s="7" t="s">
        <v>1442</v>
      </c>
      <c r="D14" s="7" t="str">
        <f>IF(LEN($C14),_xll.ciqfunctions.udf.CIQ($C14,"IQ_KEY_DEV_HEADLINE"),"")</f>
        <v>Walmart Inc. Presents at BofA Securities 2022 Consumer and Retail Technology Conference, Mar-09-2022 03:30 PM</v>
      </c>
      <c r="E14" s="7" t="str">
        <f>IF(LEN($C14)&gt;0,_xll.ciqfunctions.udf.CIQ($C14,"IQ_KEY_DEV_TYPE"),"")</f>
        <v>Company Conference Presentations</v>
      </c>
      <c r="F14" s="7" t="str">
        <f>IF(LEN($C14)&gt;0,_xll.ciqfunctions.udf.CIQ($C14,"IQ_KEY_DEV_SITUATION"),"")</f>
        <v>Walmart Inc. Presents at BofA Securities 2022 Consumer and Retail Technology Conference, Mar-09-2022 03:30 PM. Venue: New York City, New York, United States.</v>
      </c>
      <c r="G14" s="19" t="str">
        <f t="shared" si="0"/>
        <v>10 Mar 2022</v>
      </c>
      <c r="H14" s="19" t="str">
        <f>+IF(LEN($C14)&gt;0,TEXT(IF(_xll.ciqfunctions.udf.CIQ($C14,"IQ_KEY_DEV_TIME")="NA","",_xll.ciqfunctions.udf.CIQ($C14,"IQ_KEY_DEV_TIME")),"h:mm AM/PM"),"")</f>
        <v>4:30 AM</v>
      </c>
      <c r="I14" s="7" t="str">
        <f>IF(LEN($C14)&gt;0,_xll.ciqfunctions.udf.CIQ($C14,"IQ_KEY_DEV_SOURCE"),"")</f>
        <v>PR Newswire, Business Wire, GlobeNewswire, Company Website</v>
      </c>
      <c r="P14" s="510" t="s">
        <v>901</v>
      </c>
      <c r="Q14" s="510" t="s">
        <v>190</v>
      </c>
      <c r="R14" s="517" t="s">
        <v>900</v>
      </c>
    </row>
    <row r="15" spans="2:18" x14ac:dyDescent="0.2">
      <c r="B15" s="7">
        <v>8</v>
      </c>
      <c r="C15" s="7" t="s">
        <v>1443</v>
      </c>
      <c r="D15" s="7" t="str">
        <f>IF(LEN($C15),_xll.ciqfunctions.udf.CIQ($C15,"IQ_KEY_DEV_HEADLINE"),"")</f>
        <v>Delivery Solutions Collaborates with Walmart GoLocal to Provide Premium Delivery Experience for Shoppers</v>
      </c>
      <c r="E15" s="7" t="str">
        <f>IF(LEN($C15)&gt;0,_xll.ciqfunctions.udf.CIQ($C15,"IQ_KEY_DEV_TYPE"),"")</f>
        <v>Client Announcements</v>
      </c>
      <c r="F15" s="7" t="str">
        <f>IF(LEN($C15)&gt;0,_xll.ciqfunctions.udf.CIQ($C15,"IQ_KEY_DEV_SITUATION"),"")</f>
        <v>Delivery Solutions announced that Walmart GoLocal, Walmart’s white-label delivery as a service business, will join the Delivery Solutions platform as a last mile delivery service provider. The collaboration will further enable Delivery Solutions customers to deploy an omnichannel shopping experience complete with express, same-day and next-day delivery, providing retailers of all sizes with reliable, fast and efficient delivery. Since its inception in 2018, Delivery Solutions has made a name for itself by offering an end-to-end white-label solution that includes everything from e-commerce delivery intelligence while the consumer is browsing, to post-purchase tracking, visibility, and communication. Because of advancements in mobility and online access, customers expect a wide range of innovative, instantaneous delivery options that fit their post-pandemic lifestyles. As the inventor and leader of same-day delivery aggregation and orchestration, Delivery Solutions continues to delight brands and customers with innovative fulfillment, delivery, and post-purchase customer notifications, while also offering a competitive offering for traditional brick and mortar retail clients. Walmart GoLocal is a white-label delivery as a service offering that empowers businesses to grow using Walmart’s delivery capabilities and nationwide coverage at competitive pricing. This includes delivery on a range of assortment, including those with size and complex requirements, as well as the flexibility to meet varying timelines such as express, same-day and next-day. Walmart GoLocal is an important part of Walmart’s overall strategy, which includes diversifying its revenue streams and profit pools with initiatives like Walmart Connect and Walmart Fulfillment Services.</v>
      </c>
      <c r="G15" s="19" t="str">
        <f t="shared" si="0"/>
        <v>09 Mar 2022</v>
      </c>
      <c r="H15" s="19" t="str">
        <f>+IF(LEN($C15)&gt;0,TEXT(IF(_xll.ciqfunctions.udf.CIQ($C15,"IQ_KEY_DEV_TIME")="NA","",_xll.ciqfunctions.udf.CIQ($C15,"IQ_KEY_DEV_TIME")),"h:mm AM/PM"),"")</f>
        <v>12:00 AM</v>
      </c>
      <c r="I15" s="7" t="str">
        <f>IF(LEN($C15)&gt;0,_xll.ciqfunctions.udf.CIQ($C15,"IQ_KEY_DEV_SOURCE"),"")</f>
        <v>Business Wire</v>
      </c>
      <c r="P15" s="510" t="s">
        <v>899</v>
      </c>
      <c r="Q15" s="510" t="s">
        <v>724</v>
      </c>
      <c r="R15" s="517" t="s">
        <v>898</v>
      </c>
    </row>
    <row r="16" spans="2:18" x14ac:dyDescent="0.2">
      <c r="B16" s="7">
        <v>9</v>
      </c>
      <c r="C16" s="7" t="s">
        <v>1444</v>
      </c>
      <c r="D16" s="7" t="str">
        <f>IF(LEN($C16),_xll.ciqfunctions.udf.CIQ($C16,"IQ_KEY_DEV_HEADLINE"),"")</f>
        <v>Walmart Selects Shippensburg, Pennsylvania for New Fulfillment Center, Opening Spring 2022</v>
      </c>
      <c r="E16" s="7" t="str">
        <f>IF(LEN($C16)&gt;0,_xll.ciqfunctions.udf.CIQ($C16,"IQ_KEY_DEV_TYPE"),"")</f>
        <v>Business Expansions</v>
      </c>
      <c r="F16" s="7" t="str">
        <f>IF(LEN($C16)&gt;0,_xll.ciqfunctions.udf.CIQ($C16,"IQ_KEY_DEV_SITUATION"),"")</f>
        <v>Walmart announced plans for a new fulfillment center in southern Pennsylvania to support the retailers rapidly increasing supply chain network and eCommerce capabilities. The 1.8M+ square-foot Shippensburg facility will be located at 2281 United Drive and is set to open Spring of 2022, creating up to 600 permanent, full-time jobs across the region. The company to open a new state-of-the-art fulfillment center in Shippensburg, which will be instrumental in providing customers with increased access and faster shipping on millions of every-day low priced items. Walmart fulfillment centers are an important part of the retailers supply chain network. Unlike distribution centers, which are focused on receiving, storing, and distributing product to Walmart stores, fulfillment centers are focused on storing millions of items that are picked, packed and shipped directly to customers as soon as next-day.</v>
      </c>
      <c r="G16" s="19" t="str">
        <f t="shared" si="0"/>
        <v>08 Mar 2022</v>
      </c>
      <c r="H16" s="19" t="str">
        <f>+IF(LEN($C16)&gt;0,TEXT(IF(_xll.ciqfunctions.udf.CIQ($C16,"IQ_KEY_DEV_TIME")="NA","",_xll.ciqfunctions.udf.CIQ($C16,"IQ_KEY_DEV_TIME")),"h:mm AM/PM"),"")</f>
        <v>12:00 AM</v>
      </c>
      <c r="I16" s="7" t="str">
        <f>IF(LEN($C16)&gt;0,_xll.ciqfunctions.udf.CIQ($C16,"IQ_KEY_DEV_SOURCE"),"")</f>
        <v>Business Wire</v>
      </c>
      <c r="P16" s="510" t="s">
        <v>897</v>
      </c>
      <c r="Q16" s="510" t="s">
        <v>190</v>
      </c>
      <c r="R16" s="517" t="s">
        <v>896</v>
      </c>
    </row>
    <row r="17" spans="2:18" x14ac:dyDescent="0.2">
      <c r="B17" s="7">
        <v>10</v>
      </c>
      <c r="C17" s="7" t="s">
        <v>1439</v>
      </c>
      <c r="D17" s="7" t="str">
        <f>IF(LEN($C17),_xll.ciqfunctions.udf.CIQ($C17,"IQ_KEY_DEV_HEADLINE"),"")</f>
        <v>Walmart Teams Up With Space NK To Launch Prestige Beauty Featuring Top Beauty Brands</v>
      </c>
      <c r="E17" s="7" t="str">
        <f>IF(LEN($C17)&gt;0,_xll.ciqfunctions.udf.CIQ($C17,"IQ_KEY_DEV_TYPE"),"")</f>
        <v>Client Announcements</v>
      </c>
      <c r="F17" s="7" t="str">
        <f>IF(LEN($C17)&gt;0,_xll.ciqfunctions.udf.CIQ($C17,"IQ_KEY_DEV_SITUATION"),"")</f>
        <v>Walmart and Space NK are teaming up to bring prestige beauty products to Walmart.com and nearly 250 Walmart stores nationwide this summer. The unique collaboration, called BEAUTYSPACENK, leverages Walmart’s size and scale with the iconic British personal care and beauty company’s assortment of high-quality beauty brands and products. Customers will now have a convenient way to shop both beauty staples and prestige specialty items during their weekly Walmart shopping trip. Space NK has thoughtfully curated a collection of prestige products specifically for the Walmart customer, spanning a variety of price points across skincare, makeup, haircare and bath and body. Available on Walmart.com March 15, BEAUTYSPACENK features over 600 products from 15 brands, including both new and established, some of which are only available at Walmart - with more to come throughout the year. Combining Walmart’s knowledge of the U.S. customer and Space NK’s established track record of discovering and curating the best in beauty, BEAUTYSPACENK is sorted under four pillars – skincare, makeup, haircare and bath and body – spanning luxe, indie, award-winning, plant-powered and more.</v>
      </c>
      <c r="G17" s="19" t="str">
        <f t="shared" si="0"/>
        <v>07 Mar 2022</v>
      </c>
      <c r="H17" s="19" t="str">
        <f>+IF(LEN($C17)&gt;0,TEXT(IF(_xll.ciqfunctions.udf.CIQ($C17,"IQ_KEY_DEV_TIME")="NA","",_xll.ciqfunctions.udf.CIQ($C17,"IQ_KEY_DEV_TIME")),"h:mm AM/PM"),"")</f>
        <v>12:00 AM</v>
      </c>
      <c r="I17" s="7" t="str">
        <f>IF(LEN($C17)&gt;0,_xll.ciqfunctions.udf.CIQ($C17,"IQ_KEY_DEV_SOURCE"),"")</f>
        <v>Business Wire</v>
      </c>
      <c r="P17" s="510" t="s">
        <v>895</v>
      </c>
      <c r="Q17" s="510" t="s">
        <v>190</v>
      </c>
      <c r="R17" s="517" t="s">
        <v>894</v>
      </c>
    </row>
    <row r="18" spans="2:18" x14ac:dyDescent="0.2">
      <c r="B18" s="7">
        <v>11</v>
      </c>
      <c r="C18" s="7" t="s">
        <v>1438</v>
      </c>
      <c r="D18" s="7" t="str">
        <f>IF(LEN($C18),_xll.ciqfunctions.udf.CIQ($C18,"IQ_KEY_DEV_HEADLINE"),"")</f>
        <v>Walmart Inc. Presents at The World Ocean Summit, Mar-01-2022</v>
      </c>
      <c r="E18" s="7" t="str">
        <f>IF(LEN($C18)&gt;0,_xll.ciqfunctions.udf.CIQ($C18,"IQ_KEY_DEV_TYPE"),"")</f>
        <v>Company Conference Presentations</v>
      </c>
      <c r="F18" s="7" t="str">
        <f>IF(LEN($C18)&gt;0,_xll.ciqfunctions.udf.CIQ($C18,"IQ_KEY_DEV_SITUATION"),"")</f>
        <v>Walmart Inc. Presents at The World Ocean Summit, Mar-01-2022 . Speakers: Jane Louis Ewing, Senior Vice President of International People.</v>
      </c>
      <c r="G18" s="19" t="str">
        <f t="shared" si="0"/>
        <v>01 Mar 2022</v>
      </c>
      <c r="H18" s="19" t="str">
        <f>+IF(LEN($C18)&gt;0,TEXT(IF(_xll.ciqfunctions.udf.CIQ($C18,"IQ_KEY_DEV_TIME")="NA","",_xll.ciqfunctions.udf.CIQ($C18,"IQ_KEY_DEV_TIME")),"h:mm AM/PM"),"")</f>
        <v>8:00 AM</v>
      </c>
      <c r="I18" s="7" t="str">
        <f>IF(LEN($C18)&gt;0,_xll.ciqfunctions.udf.CIQ($C18,"IQ_KEY_DEV_SOURCE"),"")</f>
        <v>PR Newswire Europe</v>
      </c>
      <c r="P18" s="510" t="s">
        <v>893</v>
      </c>
      <c r="Q18" s="510" t="s">
        <v>190</v>
      </c>
      <c r="R18" s="517" t="s">
        <v>892</v>
      </c>
    </row>
    <row r="19" spans="2:18" x14ac:dyDescent="0.2">
      <c r="B19" s="7">
        <v>12</v>
      </c>
      <c r="C19" s="7" t="s">
        <v>1433</v>
      </c>
      <c r="D19" s="7" t="str">
        <f>IF(LEN($C19),_xll.ciqfunctions.udf.CIQ($C19,"IQ_KEY_DEV_HEADLINE"),"")</f>
        <v>Walmart Inc. Presents at Social Media Strategies Summit, Feb-23-2022 08:15 AM</v>
      </c>
      <c r="E19" s="7" t="str">
        <f>IF(LEN($C19)&gt;0,_xll.ciqfunctions.udf.CIQ($C19,"IQ_KEY_DEV_TYPE"),"")</f>
        <v>Company Conference Presentations</v>
      </c>
      <c r="F19" s="7" t="str">
        <f>IF(LEN($C19)&gt;0,_xll.ciqfunctions.udf.CIQ($C19,"IQ_KEY_DEV_SITUATION"),"")</f>
        <v>Walmart Inc. Presents at Social Media Strategies Summit, Feb-23-2022 08:15 AM. Speakers: Marissa Kargas, Director, Digital Strategy &amp; Brand Engagement.</v>
      </c>
      <c r="G19" s="19" t="str">
        <f t="shared" si="0"/>
        <v>24 Feb 2022</v>
      </c>
      <c r="H19" s="19" t="str">
        <f>+IF(LEN($C19)&gt;0,TEXT(IF(_xll.ciqfunctions.udf.CIQ($C19,"IQ_KEY_DEV_TIME")="NA","",_xll.ciqfunctions.udf.CIQ($C19,"IQ_KEY_DEV_TIME")),"h:mm AM/PM"),"")</f>
        <v>12:15 AM</v>
      </c>
      <c r="I19" s="7" t="str">
        <f>IF(LEN($C19)&gt;0,_xll.ciqfunctions.udf.CIQ($C19,"IQ_KEY_DEV_SOURCE"),"")</f>
        <v>GlobeNewswire</v>
      </c>
      <c r="P19" s="510" t="s">
        <v>891</v>
      </c>
      <c r="Q19" s="510" t="s">
        <v>190</v>
      </c>
      <c r="R19" s="517" t="s">
        <v>890</v>
      </c>
    </row>
    <row r="20" spans="2:18" x14ac:dyDescent="0.2">
      <c r="B20" s="7">
        <f t="shared" ref="B20:B83" si="1">+B19+1</f>
        <v>13</v>
      </c>
      <c r="C20" s="7" t="s">
        <v>1434</v>
      </c>
      <c r="D20" s="7" t="str">
        <f>IF(LEN($C20),_xll.ciqfunctions.udf.CIQ($C20,"IQ_KEY_DEV_HEADLINE"),"")</f>
        <v>Tot Squad's Parenting Services Now Available on Walmart.Com and Select Walmart Stores</v>
      </c>
      <c r="E20" s="7" t="str">
        <f>IF(LEN($C20)&gt;0,_xll.ciqfunctions.udf.CIQ($C20,"IQ_KEY_DEV_TYPE"),"")</f>
        <v>Client Announcements</v>
      </c>
      <c r="F20" s="7" t="str">
        <f>IF(LEN($C20)&gt;0,_xll.ciqfunctions.udf.CIQ($C20,"IQ_KEY_DEV_SITUATION"),"")</f>
        <v>Tot Squad announced that its services are now available at Walmart - both in-store and online - and can easily be added to baby registries, purchased independently, or added-on to a product purchase. By offering expecting parents the option to register for services and experiences, Tot Squad's experts serve as the proverbial village - or squad - for new parents. How Tot Squad x Walmart works: Looking for a car seat or breast pump and help getting it set up correctly? First, locate the product would like. On its page on Walmart.com, simply select the option under Get Expert Help before adding the item and service to cart or registry, and a consultation with one of Tot Squad's experts will be included in purchase. If in-store, tags with QR codes will be located throughout the baby department in select stores that can be scanned to buy support from Tot Squad. Tot Squad has experts available for a variety of parenting needs, so keep an eye out for the Get Expert Help option (online) and QR codes (in-store). Some of Tot Squad's top experts include: Sleep Consultants; From newborns to toddlers, experts help solve common sleep challenges so that baby, and Mom and Dad, get a good night's sleep; Breastfeeding Coaches and Lactation Support; Breastfeeding is the hardest part of bringing a new baby home for millions of families; Diet and Nutrition Experts; Diet support for pregnant and breastfeeding moms; Feeding support for babies, such as how to introduce a bottle, formula, or solids; or dealing with picky eating or food allergies; Car Seat Technicians; With as many as 95% of car seats installed incorrectly, and car accidents as a leading cause of death for children, most families need this crucial support.</v>
      </c>
      <c r="G20" s="19" t="str">
        <f t="shared" si="0"/>
        <v>23 Feb 2022</v>
      </c>
      <c r="H20" s="19" t="str">
        <f>+IF(LEN($C20)&gt;0,TEXT(IF(_xll.ciqfunctions.udf.CIQ($C20,"IQ_KEY_DEV_TIME")="NA","",_xll.ciqfunctions.udf.CIQ($C20,"IQ_KEY_DEV_TIME")),"h:mm AM/PM"),"")</f>
        <v>12:00 AM</v>
      </c>
      <c r="I20" s="7" t="str">
        <f>IF(LEN($C20)&gt;0,_xll.ciqfunctions.udf.CIQ($C20,"IQ_KEY_DEV_SOURCE"),"")</f>
        <v>PR Newswire</v>
      </c>
      <c r="P20" s="510" t="s">
        <v>889</v>
      </c>
      <c r="Q20" s="510" t="s">
        <v>190</v>
      </c>
      <c r="R20" s="517" t="s">
        <v>888</v>
      </c>
    </row>
    <row r="21" spans="2:18" x14ac:dyDescent="0.2">
      <c r="B21" s="7">
        <f t="shared" si="1"/>
        <v>14</v>
      </c>
      <c r="C21" s="7" t="s">
        <v>1435</v>
      </c>
      <c r="D21" s="7" t="str">
        <f>IF(LEN($C21),_xll.ciqfunctions.udf.CIQ($C21,"IQ_KEY_DEV_HEADLINE"),"")</f>
        <v>Walmart Inc. Presents at The Retail Supply Chain Conference, Feb-22-2022 10:45 AM</v>
      </c>
      <c r="E21" s="7" t="str">
        <f>IF(LEN($C21)&gt;0,_xll.ciqfunctions.udf.CIQ($C21,"IQ_KEY_DEV_TYPE"),"")</f>
        <v>Company Conference Presentations</v>
      </c>
      <c r="F21" s="7" t="str">
        <f>IF(LEN($C21)&gt;0,_xll.ciqfunctions.udf.CIQ($C21,"IQ_KEY_DEV_SITUATION"),"")</f>
        <v>Walmart Inc. Presents at The Retail Supply Chain Conference, Feb-22-2022 10:45 AM. Venue: Dallas, Texas, United States. Speakers: Wes Whalberg, Senior Director, Automation &amp; Innovation.</v>
      </c>
      <c r="G21" s="19" t="str">
        <f t="shared" si="0"/>
        <v>23 Feb 2022</v>
      </c>
      <c r="H21" s="19" t="str">
        <f>+IF(LEN($C21)&gt;0,TEXT(IF(_xll.ciqfunctions.udf.CIQ($C21,"IQ_KEY_DEV_TIME")="NA","",_xll.ciqfunctions.udf.CIQ($C21,"IQ_KEY_DEV_TIME")),"h:mm AM/PM"),"")</f>
        <v>12:45 AM</v>
      </c>
      <c r="I21" s="7" t="str">
        <f>IF(LEN($C21)&gt;0,_xll.ciqfunctions.udf.CIQ($C21,"IQ_KEY_DEV_SOURCE"),"")</f>
        <v>GlobeNewswire, Company Website</v>
      </c>
      <c r="P21" s="510" t="s">
        <v>887</v>
      </c>
      <c r="Q21" s="510" t="s">
        <v>190</v>
      </c>
      <c r="R21" s="517" t="s">
        <v>886</v>
      </c>
    </row>
    <row r="22" spans="2:18" x14ac:dyDescent="0.2">
      <c r="B22" s="7">
        <f t="shared" si="1"/>
        <v>15</v>
      </c>
      <c r="C22" s="7" t="s">
        <v>1436</v>
      </c>
      <c r="D22" s="7" t="str">
        <f>IF(LEN($C22),_xll.ciqfunctions.udf.CIQ($C22,"IQ_KEY_DEV_HEADLINE"),"")</f>
        <v>Splash Beverage Group, Inc. Receives Walmart Authorization for TapouT in Arkansas</v>
      </c>
      <c r="E22" s="7" t="str">
        <f>IF(LEN($C22)&gt;0,_xll.ciqfunctions.udf.CIQ($C22,"IQ_KEY_DEV_TYPE"),"")</f>
        <v>Client Announcements</v>
      </c>
      <c r="F22" s="7" t="str">
        <f>IF(LEN($C22)&gt;0,_xll.ciqfunctions.udf.CIQ($C22,"IQ_KEY_DEV_SITUATION"),"")</f>
        <v>Splash Beverage Group, Inc. announced that through its existing distribution agreement with Central Distribution in Arkansas, TapouT, its high-performance energy drink will now be distributed through Walmart in Arkansas. Central Distribution will launch all three flavors of TapouT in 125 Walmart stores throughout Arkansas. The agreement will begin with the initial launch in Bentonville, home to Walmart’s Corporate Headquarters. Tapout will be featured in all Walmart banners in Arkansas including SuperCenters and Walmart Neighborhood Marts.</v>
      </c>
      <c r="G22" s="19" t="str">
        <f t="shared" si="0"/>
        <v>22 Feb 2022</v>
      </c>
      <c r="H22" s="19" t="str">
        <f>+IF(LEN($C22)&gt;0,TEXT(IF(_xll.ciqfunctions.udf.CIQ($C22,"IQ_KEY_DEV_TIME")="NA","",_xll.ciqfunctions.udf.CIQ($C22,"IQ_KEY_DEV_TIME")),"h:mm AM/PM"),"")</f>
        <v>12:00 AM</v>
      </c>
      <c r="I22" s="7" t="str">
        <f>IF(LEN($C22)&gt;0,_xll.ciqfunctions.udf.CIQ($C22,"IQ_KEY_DEV_SOURCE"),"")</f>
        <v>GlobeNewswire</v>
      </c>
      <c r="P22" s="510"/>
      <c r="Q22" s="510"/>
      <c r="R22" s="510"/>
    </row>
    <row r="23" spans="2:18" x14ac:dyDescent="0.2">
      <c r="B23" s="7">
        <f t="shared" si="1"/>
        <v>16</v>
      </c>
      <c r="C23" s="7" t="s">
        <v>1374</v>
      </c>
      <c r="D23" s="7" t="str">
        <f>IF(LEN($C23),_xll.ciqfunctions.udf.CIQ($C23,"IQ_KEY_DEV_HEADLINE"),"")</f>
        <v>Walmart Inc., Q4 2022 Earnings Call, Feb 17, 2022</v>
      </c>
      <c r="E23" s="7" t="str">
        <f>IF(LEN($C23)&gt;0,_xll.ciqfunctions.udf.CIQ($C23,"IQ_KEY_DEV_TYPE"),"")</f>
        <v>Earnings Calls</v>
      </c>
      <c r="F23" s="7" t="str">
        <f>IF(LEN($C23)&gt;0,_xll.ciqfunctions.udf.CIQ($C23,"IQ_KEY_DEV_SITUATION"),"")</f>
        <v>Walmart Inc., Q4 2022 Earnings Call, Feb 17, 2022</v>
      </c>
      <c r="G23" s="19" t="str">
        <f t="shared" si="0"/>
        <v>17 Feb 2022</v>
      </c>
      <c r="H23" s="19" t="str">
        <f>+IF(LEN($C23)&gt;0,TEXT(IF(_xll.ciqfunctions.udf.CIQ($C23,"IQ_KEY_DEV_TIME")="NA","",_xll.ciqfunctions.udf.CIQ($C23,"IQ_KEY_DEV_TIME")),"h:mm AM/PM"),"")</f>
        <v>9:00 PM</v>
      </c>
      <c r="I23" s="7" t="str">
        <f>IF(LEN($C23)&gt;0,_xll.ciqfunctions.udf.CIQ($C23,"IQ_KEY_DEV_SOURCE"),"")</f>
        <v>Business Wire, Company Website</v>
      </c>
      <c r="P23" s="516" t="s">
        <v>885</v>
      </c>
      <c r="Q23" s="516"/>
      <c r="R23" s="515" t="s">
        <v>884</v>
      </c>
    </row>
    <row r="24" spans="2:18" x14ac:dyDescent="0.2">
      <c r="B24" s="7">
        <f t="shared" si="1"/>
        <v>17</v>
      </c>
      <c r="C24" s="7" t="s">
        <v>1375</v>
      </c>
      <c r="D24" s="7" t="str">
        <f>IF(LEN($C24),_xll.ciqfunctions.udf.CIQ($C24,"IQ_KEY_DEV_HEADLINE"),"")</f>
        <v>Walmart Inc. Provides Earnings Guidance for the Fiscal 2022</v>
      </c>
      <c r="E24" s="7" t="str">
        <f>IF(LEN($C24)&gt;0,_xll.ciqfunctions.udf.CIQ($C24,"IQ_KEY_DEV_TYPE"),"")</f>
        <v>Corporate Guidance - New/Confirmed</v>
      </c>
      <c r="F24" s="7" t="str">
        <f>IF(LEN($C24)&gt;0,_xll.ciqfunctions.udf.CIQ($C24,"IQ_KEY_DEV_SITUATION"),"")</f>
        <v>Walmart Inc. provided earnings guidance for the fiscal 2022. For the period, the company expects total company sales to increase about 4% with Walmart U.S. comp sales slightly above 3% for the year. Total company operating income to increase at a rate slightly higher than sales growth and EPS to grow 5% to 6%.</v>
      </c>
      <c r="G24" s="19" t="str">
        <f t="shared" si="0"/>
        <v>17 Feb 2022</v>
      </c>
      <c r="H24" s="19" t="str">
        <f>+IF(LEN($C24)&gt;0,TEXT(IF(_xll.ciqfunctions.udf.CIQ($C24,"IQ_KEY_DEV_TIME")="NA","",_xll.ciqfunctions.udf.CIQ($C24,"IQ_KEY_DEV_TIME")),"h:mm AM/PM"),"")</f>
        <v>12:00 AM</v>
      </c>
      <c r="I24" s="7" t="str">
        <f>IF(LEN($C24)&gt;0,_xll.ciqfunctions.udf.CIQ($C24,"IQ_KEY_DEV_SOURCE"),"")</f>
        <v>Transcript Collection</v>
      </c>
      <c r="P24" s="514" t="s">
        <v>883</v>
      </c>
      <c r="Q24" s="510" t="s">
        <v>190</v>
      </c>
      <c r="R24" s="513" t="s">
        <v>882</v>
      </c>
    </row>
    <row r="25" spans="2:18" x14ac:dyDescent="0.2">
      <c r="B25" s="7">
        <f t="shared" si="1"/>
        <v>18</v>
      </c>
      <c r="C25" s="7" t="s">
        <v>1376</v>
      </c>
      <c r="D25" s="7" t="str">
        <f>IF(LEN($C25),_xll.ciqfunctions.udf.CIQ($C25,"IQ_KEY_DEV_HEADLINE"),"")</f>
        <v>Walmart Inc. Reports Earnings Results for the Fourth Quarter Ended January 31, 2022</v>
      </c>
      <c r="E25" s="7" t="str">
        <f>IF(LEN($C25)&gt;0,_xll.ciqfunctions.udf.CIQ($C25,"IQ_KEY_DEV_TYPE"),"")</f>
        <v>Announcements of Earnings</v>
      </c>
      <c r="F25" s="7" t="str">
        <f>IF(LEN($C25)&gt;0,_xll.ciqfunctions.udf.CIQ($C25,"IQ_KEY_DEV_SITUATION"),"")</f>
        <v>Walmart Inc. reported earnings results for the fourth quarter ended January 31, 2022. For the fourth quarter, the company reported sales was USD 151,525 million compared to USD 150,985 million a year ago. Revenue was USD 152,871 million compared to USD 152,079 million a year ago. Net income was USD 3,562 million compared to net loss of USD 2,091 million a year ago. Basic earnings per share from continuing operations was USD 1.29 compared to basic loss per share from continuing operations of USD 0.74 a year ago. Diluted earnings per share from continuing operations was USD 1.28 compared to diluted loss per share from continuing operations of USD 0.74 a year ago._x000D_</v>
      </c>
      <c r="G25" s="19" t="str">
        <f t="shared" si="0"/>
        <v>17 Feb 2022</v>
      </c>
      <c r="H25" s="19" t="str">
        <f>+IF(LEN($C25)&gt;0,TEXT(IF(_xll.ciqfunctions.udf.CIQ($C25,"IQ_KEY_DEV_TIME")="NA","",_xll.ciqfunctions.udf.CIQ($C25,"IQ_KEY_DEV_TIME")),"h:mm AM/PM"),"")</f>
        <v>12:00 AM</v>
      </c>
      <c r="I25" s="7" t="str">
        <f>IF(LEN($C25)&gt;0,_xll.ciqfunctions.udf.CIQ($C25,"IQ_KEY_DEV_SOURCE"),"")</f>
        <v>S&amp;P Capital IQ Financials Database</v>
      </c>
      <c r="P25" s="514" t="s">
        <v>765</v>
      </c>
      <c r="Q25" s="510" t="s">
        <v>190</v>
      </c>
      <c r="R25" s="513" t="s">
        <v>764</v>
      </c>
    </row>
    <row r="26" spans="2:18" x14ac:dyDescent="0.2">
      <c r="B26" s="7">
        <f t="shared" si="1"/>
        <v>19</v>
      </c>
      <c r="C26" s="7" t="s">
        <v>1377</v>
      </c>
      <c r="D26" s="7" t="str">
        <f>IF(LEN($C26),_xll.ciqfunctions.udf.CIQ($C26,"IQ_KEY_DEV_HEADLINE"),"")</f>
        <v>Walmart Inc. Reports Earnings Results for the Full Year Ended January 31, 2022</v>
      </c>
      <c r="E26" s="7" t="str">
        <f>IF(LEN($C26)&gt;0,_xll.ciqfunctions.udf.CIQ($C26,"IQ_KEY_DEV_TYPE"),"")</f>
        <v>Announcements of Earnings</v>
      </c>
      <c r="F26" s="7" t="str">
        <f>IF(LEN($C26)&gt;0,_xll.ciqfunctions.udf.CIQ($C26,"IQ_KEY_DEV_SITUATION"),"")</f>
        <v>Walmart Inc. reported earnings results for the full year ended January 31, 2022. For the full year, the company reported sales was USD 567,762 million compared to USD 555,233 million a year ago. Revenue was USD 572,754 million compared to USD 559,151 million a year ago. Net income was USD 13,673 million compared to USD 13,510 million a year ago. Basic earnings per share from continuing operations was USD 4.9 compared to USD 4.77 a year ago. Diluted earnings per share from continuing operations was USD 4.87 compared to USD 4.75 a year ago._x000D_</v>
      </c>
      <c r="G26" s="19" t="str">
        <f t="shared" si="0"/>
        <v>17 Feb 2022</v>
      </c>
      <c r="H26" s="19" t="str">
        <f>+IF(LEN($C26)&gt;0,TEXT(IF(_xll.ciqfunctions.udf.CIQ($C26,"IQ_KEY_DEV_TIME")="NA","",_xll.ciqfunctions.udf.CIQ($C26,"IQ_KEY_DEV_TIME")),"h:mm AM/PM"),"")</f>
        <v>12:00 AM</v>
      </c>
      <c r="I26" s="7" t="str">
        <f>IF(LEN($C26)&gt;0,_xll.ciqfunctions.udf.CIQ($C26,"IQ_KEY_DEV_SOURCE"),"")</f>
        <v>S&amp;P Capital IQ Financials Database</v>
      </c>
      <c r="P26" s="514" t="s">
        <v>881</v>
      </c>
      <c r="Q26" s="510" t="s">
        <v>190</v>
      </c>
      <c r="R26" s="513" t="s">
        <v>880</v>
      </c>
    </row>
    <row r="27" spans="2:18" x14ac:dyDescent="0.2">
      <c r="B27" s="7">
        <f t="shared" si="1"/>
        <v>20</v>
      </c>
      <c r="C27" s="7" t="s">
        <v>1378</v>
      </c>
      <c r="D27" s="7" t="str">
        <f>IF(LEN($C27),_xll.ciqfunctions.udf.CIQ($C27,"IQ_KEY_DEV_HEADLINE"),"")</f>
        <v>Walmart Inc. to Report Q4, 2022 Results on Feb 17, 2022</v>
      </c>
      <c r="E27" s="7" t="str">
        <f>IF(LEN($C27)&gt;0,_xll.ciqfunctions.udf.CIQ($C27,"IQ_KEY_DEV_TYPE"),"")</f>
        <v>Earnings Release Date</v>
      </c>
      <c r="F27" s="7" t="str">
        <f>IF(LEN($C27)&gt;0,_xll.ciqfunctions.udf.CIQ($C27,"IQ_KEY_DEV_SITUATION"),"")</f>
        <v>Walmart Inc. announced that they will report Q4, 2022 results at 6:00 AM, Central Standard Time on Feb 17, 2022</v>
      </c>
      <c r="G27" s="19" t="str">
        <f t="shared" si="0"/>
        <v>17 Feb 2022</v>
      </c>
      <c r="H27" s="19" t="str">
        <f>+IF(LEN($C27)&gt;0,TEXT(IF(_xll.ciqfunctions.udf.CIQ($C27,"IQ_KEY_DEV_TIME")="NA","",_xll.ciqfunctions.udf.CIQ($C27,"IQ_KEY_DEV_TIME")),"h:mm AM/PM"),"")</f>
        <v>8:00 PM</v>
      </c>
      <c r="I27" s="7" t="str">
        <f>IF(LEN($C27)&gt;0,_xll.ciqfunctions.udf.CIQ($C27,"IQ_KEY_DEV_SOURCE"),"")</f>
        <v>Company Website</v>
      </c>
      <c r="P27" s="514" t="s">
        <v>753</v>
      </c>
      <c r="Q27" s="510" t="s">
        <v>190</v>
      </c>
      <c r="R27" s="513" t="s">
        <v>752</v>
      </c>
    </row>
    <row r="28" spans="2:18" x14ac:dyDescent="0.2">
      <c r="B28" s="7">
        <f t="shared" si="1"/>
        <v>21</v>
      </c>
      <c r="C28" s="7" t="s">
        <v>1379</v>
      </c>
      <c r="D28" s="7" t="str">
        <f>IF(LEN($C28),_xll.ciqfunctions.udf.CIQ($C28,"IQ_KEY_DEV_HEADLINE"),"")</f>
        <v>Walmart Inc. Presents at Diversity, Equity &amp; Inclusion Virtual Summit, Feb-17-2022</v>
      </c>
      <c r="E28" s="7" t="str">
        <f>IF(LEN($C28)&gt;0,_xll.ciqfunctions.udf.CIQ($C28,"IQ_KEY_DEV_TYPE"),"")</f>
        <v>Company Conference Presentations</v>
      </c>
      <c r="F28" s="7" t="str">
        <f>IF(LEN($C28)&gt;0,_xll.ciqfunctions.udf.CIQ($C28,"IQ_KEY_DEV_SITUATION"),"")</f>
        <v>Walmart Inc. Presents at Diversity, Equity &amp; Inclusion Virtual Summit, Feb-17-2022 . Speakers: Tony Waller, VP/Constituent Relations and Racial Equity.</v>
      </c>
      <c r="G28" s="19" t="str">
        <f t="shared" si="0"/>
        <v>17 Feb 2022</v>
      </c>
      <c r="H28" s="19" t="str">
        <f>+IF(LEN($C28)&gt;0,TEXT(IF(_xll.ciqfunctions.udf.CIQ($C28,"IQ_KEY_DEV_TIME")="NA","",_xll.ciqfunctions.udf.CIQ($C28,"IQ_KEY_DEV_TIME")),"h:mm AM/PM"),"")</f>
        <v>8:00 AM</v>
      </c>
      <c r="I28" s="7" t="str">
        <f>IF(LEN($C28)&gt;0,_xll.ciqfunctions.udf.CIQ($C28,"IQ_KEY_DEV_SOURCE"),"")</f>
        <v>PR Newswire, Company Website</v>
      </c>
      <c r="P28" s="514" t="s">
        <v>879</v>
      </c>
      <c r="Q28" s="510" t="s">
        <v>190</v>
      </c>
      <c r="R28" s="513" t="s">
        <v>878</v>
      </c>
    </row>
    <row r="29" spans="2:18" x14ac:dyDescent="0.2">
      <c r="B29" s="7">
        <f t="shared" si="1"/>
        <v>22</v>
      </c>
      <c r="C29" s="7" t="s">
        <v>1437</v>
      </c>
      <c r="D29" s="7" t="str">
        <f>IF(LEN($C29),_xll.ciqfunctions.udf.CIQ($C29,"IQ_KEY_DEV_HEADLINE"),"")</f>
        <v>ChocXO Expands Distribution in Quebec</v>
      </c>
      <c r="E29" s="7" t="str">
        <f>IF(LEN($C29)&gt;0,_xll.ciqfunctions.udf.CIQ($C29,"IQ_KEY_DEV_TYPE"),"")</f>
        <v>Client Announcements</v>
      </c>
      <c r="F29" s="7" t="str">
        <f>IF(LEN($C29)&gt;0,_xll.ciqfunctions.udf.CIQ($C29,"IQ_KEY_DEV_SITUATION"),"")</f>
        <v>ChocXO has expanded its Canadian presence across several retail grocery stores in Quebec. ChocXO's products are now available in Walmart, Loblaws, Costco, Tau, and La Moisson. Additionally, all ChocXO SKUs are now listed with Satau Inc. As ChocXO continues to push in the Quebec market they will constantly be looking for new retail partners who are making healthy and natural foods more accessible to Quebec consumers. Starting the month of February 2022, ChocXO's beloved dark chocolate products will be on shelves in several retail doors across Quebec. The following ChocXO products will be available in-store at Loblaws and Satau and will feature the brand's new packaging: the Coconut, Almond, and Sea Salt Snaps, the Raspberry Quinoa Snaps, Dark Chocolate Covered Almonds, Dark Chocolate Almond Butter Cups, and ChocXO's newest Dark Chocolate Peanut Butter Cups and Coconut Almond Butter Cups. Walmart will carry all ChocXO products excluding the Dark Chocolate Covered Almonds and Costco will carry the Coconut, Almont and Sea Salt Snaps and the Dark Chocolate Almond Butter Cups.</v>
      </c>
      <c r="G29" s="19" t="str">
        <f t="shared" si="0"/>
        <v>15 Feb 2022</v>
      </c>
      <c r="H29" s="19" t="str">
        <f>+IF(LEN($C29)&gt;0,TEXT(IF(_xll.ciqfunctions.udf.CIQ($C29,"IQ_KEY_DEV_TIME")="NA","",_xll.ciqfunctions.udf.CIQ($C29,"IQ_KEY_DEV_TIME")),"h:mm AM/PM"),"")</f>
        <v>12:00 AM</v>
      </c>
      <c r="I29" s="7" t="str">
        <f>IF(LEN($C29)&gt;0,_xll.ciqfunctions.udf.CIQ($C29,"IQ_KEY_DEV_SOURCE"),"")</f>
        <v>PR Newswire</v>
      </c>
      <c r="P29" s="514" t="s">
        <v>877</v>
      </c>
      <c r="Q29" s="510" t="s">
        <v>190</v>
      </c>
      <c r="R29" s="513" t="s">
        <v>876</v>
      </c>
    </row>
    <row r="30" spans="2:18" x14ac:dyDescent="0.2">
      <c r="B30" s="7">
        <f t="shared" si="1"/>
        <v>23</v>
      </c>
      <c r="C30" s="7" t="s">
        <v>1380</v>
      </c>
      <c r="D30" s="7" t="str">
        <f>IF(LEN($C30),_xll.ciqfunctions.udf.CIQ($C30,"IQ_KEY_DEV_HEADLINE"),"")</f>
        <v>Walmart Inc. Presents at 18th Annual RLA Conf &amp; Expo Las Vegas 2022, Feb-06-2022</v>
      </c>
      <c r="E30" s="7" t="str">
        <f>IF(LEN($C30)&gt;0,_xll.ciqfunctions.udf.CIQ($C30,"IQ_KEY_DEV_TYPE"),"")</f>
        <v>Company Conference Presentations</v>
      </c>
      <c r="F30" s="7" t="str">
        <f>IF(LEN($C30)&gt;0,_xll.ciqfunctions.udf.CIQ($C30,"IQ_KEY_DEV_SITUATION"),"")</f>
        <v>Walmart Inc. Presents at 18th Annual RLA Conf &amp; Expo Las Vegas 2022, Feb-06-2022 . Venue: Las Vegas, Nevada, United States. Speakers: Brad Harris, Director, Circular Economy.</v>
      </c>
      <c r="G30" s="19" t="str">
        <f t="shared" si="0"/>
        <v>06 Feb 2022</v>
      </c>
      <c r="H30" s="19" t="str">
        <f>+IF(LEN($C30)&gt;0,TEXT(IF(_xll.ciqfunctions.udf.CIQ($C30,"IQ_KEY_DEV_TIME")="NA","",_xll.ciqfunctions.udf.CIQ($C30,"IQ_KEY_DEV_TIME")),"h:mm AM/PM"),"")</f>
        <v>8:00 AM</v>
      </c>
      <c r="I30" s="7" t="str">
        <f>IF(LEN($C30)&gt;0,_xll.ciqfunctions.udf.CIQ($C30,"IQ_KEY_DEV_SOURCE"),"")</f>
        <v>Other, Company Website</v>
      </c>
      <c r="P30" s="514" t="s">
        <v>875</v>
      </c>
      <c r="Q30" s="510" t="s">
        <v>190</v>
      </c>
      <c r="R30" s="513" t="s">
        <v>874</v>
      </c>
    </row>
    <row r="31" spans="2:18" x14ac:dyDescent="0.2">
      <c r="B31" s="7">
        <f t="shared" si="1"/>
        <v>24</v>
      </c>
      <c r="C31" s="7" t="s">
        <v>1381</v>
      </c>
      <c r="D31" s="7" t="str">
        <f>IF(LEN($C31),_xll.ciqfunctions.udf.CIQ($C31,"IQ_KEY_DEV_HEADLINE"),"")</f>
        <v>Angi Inc. Announces It Is Coming Soon to Walmart</v>
      </c>
      <c r="E31" s="7" t="str">
        <f>IF(LEN($C31)&gt;0,_xll.ciqfunctions.udf.CIQ($C31,"IQ_KEY_DEV_TYPE"),"")</f>
        <v>Client Announcements</v>
      </c>
      <c r="F31" s="7" t="str">
        <f>IF(LEN($C31)&gt;0,_xll.ciqfunctions.udf.CIQ($C31,"IQ_KEY_DEV_SITUATION"),"")</f>
        <v>Angi Inc. is teaming up with Walmart. Angi’s highly-rated pros will soon be available in nearly 4,000 Walmart stores across all 50 states and nationwide online. This service offering includes over 150 common home projects including flooring, painting, plumbing, electrical, tv mounting, installation and assembly services for furniture and more. Prices start at just $49 for furniture assembly and $79 for TV mounting, all backed by the Angi Happiness Guarantee, which covers projects up to their full purchase price. Walmart will be Angi’s first limited-time exclusive retailer to offer these services. This exciting new launch illustrates how Walmart, one of the world’s top retailers, continues to innovate on behalf of its customers. Purchasing a service at Walmart is simple, fast and easy. Services can be purchased online or in-store alongside any eligible item or from the Angi dedicated landing page at any time on Walmart.com. It’s as easy as purchasing any other item at Walmart. Once the item is purchased, Angi will reach out to coordinate your booking and ensure the service is completed to delight the customer. For larger projects such as painting and flooring, after a Walmart customer requests a quote, a dedicated project advisor provides a custom quote, finds a pro and handles all the work, walking alongside the customer the whole way to help make the project a success.</v>
      </c>
      <c r="G31" s="19" t="str">
        <f t="shared" si="0"/>
        <v>31 Jan 2022</v>
      </c>
      <c r="H31" s="19" t="str">
        <f>+IF(LEN($C31)&gt;0,TEXT(IF(_xll.ciqfunctions.udf.CIQ($C31,"IQ_KEY_DEV_TIME")="NA","",_xll.ciqfunctions.udf.CIQ($C31,"IQ_KEY_DEV_TIME")),"h:mm AM/PM"),"")</f>
        <v>12:00 AM</v>
      </c>
      <c r="I31" s="7" t="str">
        <f>IF(LEN($C31)&gt;0,_xll.ciqfunctions.udf.CIQ($C31,"IQ_KEY_DEV_SOURCE"),"")</f>
        <v>GlobeNewswire</v>
      </c>
      <c r="P31" s="514" t="s">
        <v>873</v>
      </c>
      <c r="Q31" s="510" t="s">
        <v>190</v>
      </c>
      <c r="R31" s="513" t="s">
        <v>872</v>
      </c>
    </row>
    <row r="32" spans="2:18" x14ac:dyDescent="0.2">
      <c r="B32" s="7">
        <f t="shared" si="1"/>
        <v>25</v>
      </c>
      <c r="C32" s="7" t="s">
        <v>1382</v>
      </c>
      <c r="D32" s="7" t="str">
        <f>IF(LEN($C32),_xll.ciqfunctions.udf.CIQ($C32,"IQ_KEY_DEV_HEADLINE"),"")</f>
        <v>LikeMeat's Plant-Based Chick'n Wings Available at Walmart Nationwide</v>
      </c>
      <c r="E32" s="7" t="str">
        <f>IF(LEN($C32)&gt;0,_xll.ciqfunctions.udf.CIQ($C32,"IQ_KEY_DEV_TYPE"),"")</f>
        <v>Client Announcements</v>
      </c>
      <c r="F32" s="7" t="str">
        <f>IF(LEN($C32)&gt;0,_xll.ciqfunctions.udf.CIQ($C32,"IQ_KEY_DEV_SITUATION"),"")</f>
        <v>LIVEKINDLY Collective announced that LikeMeat’s Like Chick’n Wings are available nationwide at over 3,600 Walmart stores. LIVEKINDLY Collective recently cracked the chick’n wing code with the release of Like Chick’n Wings, the Collective’s innovative, delicious, plant-based take on America’s favorite party food, launched under its brand, LikeMeat. With this new Walmart availability, only weeks after the Wings’ introduction at Sprouts and Sam’s Club, the Collective estimates that close to 10 million Like Chick’n Wings will be consumed during football watch parties this year. Even the staunchest meat-lovers are fans of Like Chick'n Wings’ satisfyingly crispy coating and juicy, bone-free, meaty texture. Gluten-free, certified plant-based and made with non-GMO ingredients, Like Chick'n Wings are now available in a one-pound Family Pack in the freezer aisle at over 3,600 Walmart locations nationwide. Each one includes a pouch of vegan buffalo sauce so user can toss, sauce and dip to user heart's content, all while keeping it plant-based.</v>
      </c>
      <c r="G32" s="19" t="str">
        <f t="shared" si="0"/>
        <v>31 Jan 2022</v>
      </c>
      <c r="H32" s="19" t="str">
        <f>+IF(LEN($C32)&gt;0,TEXT(IF(_xll.ciqfunctions.udf.CIQ($C32,"IQ_KEY_DEV_TIME")="NA","",_xll.ciqfunctions.udf.CIQ($C32,"IQ_KEY_DEV_TIME")),"h:mm AM/PM"),"")</f>
        <v>12:00 AM</v>
      </c>
      <c r="I32" s="7" t="str">
        <f>IF(LEN($C32)&gt;0,_xll.ciqfunctions.udf.CIQ($C32,"IQ_KEY_DEV_SOURCE"),"")</f>
        <v>Business Wire</v>
      </c>
      <c r="P32" s="514" t="s">
        <v>871</v>
      </c>
      <c r="Q32" s="510" t="s">
        <v>190</v>
      </c>
      <c r="R32" s="513" t="s">
        <v>870</v>
      </c>
    </row>
    <row r="33" spans="2:18" x14ac:dyDescent="0.2">
      <c r="B33" s="7">
        <f t="shared" si="1"/>
        <v>26</v>
      </c>
      <c r="C33" s="7" t="s">
        <v>1445</v>
      </c>
      <c r="D33" s="7" t="str">
        <f>IF(LEN($C33),_xll.ciqfunctions.udf.CIQ($C33,"IQ_KEY_DEV_HEADLINE"),"")</f>
        <v>Quest Diagnostics and Quest Diagnostics Empower People to Take Control of Their Healthcare Through New Consumer-Initiated Laboratory Testing Solution Powered by Questdirect™ Through Walmart.com</v>
      </c>
      <c r="E33" s="7" t="str">
        <f>IF(LEN($C33)&gt;0,_xll.ciqfunctions.udf.CIQ($C33,"IQ_KEY_DEV_TYPE"),"")</f>
        <v>Client Announcements</v>
      </c>
      <c r="F33" s="7" t="str">
        <f>IF(LEN($C33)&gt;0,_xll.ciqfunctions.udf.CIQ($C33,"IQ_KEY_DEV_SITUATION"),"")</f>
        <v>Quest Diagnostics Incorporated announced that they will now offer consumer-initiated laboratory testing powered by QuestDirect™ in collaboration with Walmart. The new solution allows people to take control of their health care and purchase the same high quality laboratory tests ordered by healthcare providers through a consumer-friendly website. This collaboration builds upon a long-standing relationship between Walmart and Quest Diagnostics to broaden access to high quality health services. With this new testing solution, an individual can purchase among more than 50 different tests, including general health, digestive health, allergy, heart health, women's health, and infectious disease.</v>
      </c>
      <c r="G33" s="19" t="str">
        <f t="shared" si="0"/>
        <v>31 Jan 2022</v>
      </c>
      <c r="H33" s="19" t="str">
        <f>+IF(LEN($C33)&gt;0,TEXT(IF(_xll.ciqfunctions.udf.CIQ($C33,"IQ_KEY_DEV_TIME")="NA","",_xll.ciqfunctions.udf.CIQ($C33,"IQ_KEY_DEV_TIME")),"h:mm AM/PM"),"")</f>
        <v>12:00 AM</v>
      </c>
      <c r="I33" s="7" t="str">
        <f>IF(LEN($C33)&gt;0,_xll.ciqfunctions.udf.CIQ($C33,"IQ_KEY_DEV_SOURCE"),"")</f>
        <v>PR Newswire</v>
      </c>
      <c r="P33" s="514" t="s">
        <v>869</v>
      </c>
      <c r="Q33" s="510" t="s">
        <v>190</v>
      </c>
      <c r="R33" s="513" t="s">
        <v>868</v>
      </c>
    </row>
    <row r="34" spans="2:18" x14ac:dyDescent="0.2">
      <c r="B34" s="7">
        <f t="shared" si="1"/>
        <v>27</v>
      </c>
      <c r="C34" s="7" t="s">
        <v>1383</v>
      </c>
      <c r="D34" s="7" t="str">
        <f>IF(LEN($C34),_xll.ciqfunctions.udf.CIQ($C34,"IQ_KEY_DEV_HEADLINE"),"")</f>
        <v>Else Nutrition Holdings Inc. Starts Selling on Walmart.com</v>
      </c>
      <c r="E34" s="7" t="str">
        <f>IF(LEN($C34)&gt;0,_xll.ciqfunctions.udf.CIQ($C34,"IQ_KEY_DEV_TYPE"),"")</f>
        <v>Client Announcements</v>
      </c>
      <c r="F34" s="7" t="str">
        <f>IF(LEN($C34)&gt;0,_xll.ciqfunctions.udf.CIQ($C34,"IQ_KEY_DEV_SITUATION"),"")</f>
        <v>Else Nutrition Holdings Inc. announced that its toddler and kids nutrition products are now available for sale on the platform. Walmart.com's traffic was much higher than pre-pandemic levels (for example, there was a 48% increase compared to the same quarter two years ago). Online shopping, particularly in the grocery and FMCG segment (Fast Moving Consumer Goods), has undergone a surge in popularity due to the pandemic.</v>
      </c>
      <c r="G34" s="19" t="str">
        <f t="shared" si="0"/>
        <v>27 Jan 2022</v>
      </c>
      <c r="H34" s="19" t="str">
        <f>+IF(LEN($C34)&gt;0,TEXT(IF(_xll.ciqfunctions.udf.CIQ($C34,"IQ_KEY_DEV_TIME")="NA","",_xll.ciqfunctions.udf.CIQ($C34,"IQ_KEY_DEV_TIME")),"h:mm AM/PM"),"")</f>
        <v>12:00 AM</v>
      </c>
      <c r="I34" s="7" t="str">
        <f>IF(LEN($C34)&gt;0,_xll.ciqfunctions.udf.CIQ($C34,"IQ_KEY_DEV_SOURCE"),"")</f>
        <v>SEDAR</v>
      </c>
      <c r="P34" s="514" t="s">
        <v>747</v>
      </c>
      <c r="Q34" s="510" t="s">
        <v>190</v>
      </c>
      <c r="R34" s="513" t="s">
        <v>746</v>
      </c>
    </row>
    <row r="35" spans="2:18" x14ac:dyDescent="0.2">
      <c r="B35" s="7">
        <f t="shared" si="1"/>
        <v>28</v>
      </c>
      <c r="C35" s="7" t="s">
        <v>1384</v>
      </c>
      <c r="D35" s="7" t="str">
        <f>IF(LEN($C35),_xll.ciqfunctions.udf.CIQ($C35,"IQ_KEY_DEV_HEADLINE"),"")</f>
        <v>Nutritional Growth Solutions Expansion Accelerates with Walmart and RangeMe Approval</v>
      </c>
      <c r="E35" s="7" t="str">
        <f>IF(LEN($C35)&gt;0,_xll.ciqfunctions.udf.CIQ($C35,"IQ_KEY_DEV_TYPE"),"")</f>
        <v>Client Announcements</v>
      </c>
      <c r="F35" s="7" t="str">
        <f>IF(LEN($C35)&gt;0,_xll.ciqfunctions.udf.CIQ($C35,"IQ_KEY_DEV_SITUATION"),"")</f>
        <v>Nutritional Growth Solutions Ltd. will commence its retail expansion strategy in the US, after receiving approval from Walmart Inc. and RangeMe America LLC to begin selling Healthy Heights® through Walmart.com and RangeMe.com respectively. The approval for listing on Walmart.com will see Nutritional Growth Solutions' product, Healthy Heights® Grow Daily 3+ single serve shake mixes sold on Walmart's ecommerce platform, which receives approximately 100 million unique visitors each month, as soon as the products are ready for shipping, which is expected March 2022. The approval is final, and no additional terms need to be met in order to activate the listing. Both Walmart.com and Nutritional Growth Solutions are free to terminate the engagement at any time. The set up and approval of Healthy Heights® Grow Daily 3+ on the platform paves the way for ranging expansion which is expected to occur in Second Quarter 2022.</v>
      </c>
      <c r="G35" s="19" t="str">
        <f t="shared" si="0"/>
        <v>24 Jan 2022</v>
      </c>
      <c r="H35" s="19" t="str">
        <f>+IF(LEN($C35)&gt;0,TEXT(IF(_xll.ciqfunctions.udf.CIQ($C35,"IQ_KEY_DEV_TIME")="NA","",_xll.ciqfunctions.udf.CIQ($C35,"IQ_KEY_DEV_TIME")),"h:mm AM/PM"),"")</f>
        <v>12:00 AM</v>
      </c>
      <c r="I35" s="7" t="str">
        <f>IF(LEN($C35)&gt;0,_xll.ciqfunctions.udf.CIQ($C35,"IQ_KEY_DEV_SOURCE"),"")</f>
        <v>Australian Stock Exchange</v>
      </c>
      <c r="P35" s="514" t="s">
        <v>867</v>
      </c>
      <c r="Q35" s="510" t="s">
        <v>190</v>
      </c>
      <c r="R35" s="513" t="s">
        <v>866</v>
      </c>
    </row>
    <row r="36" spans="2:18" x14ac:dyDescent="0.2">
      <c r="B36" s="7">
        <f t="shared" si="1"/>
        <v>29</v>
      </c>
      <c r="C36" s="7" t="s">
        <v>1385</v>
      </c>
      <c r="D36" s="7" t="str">
        <f>IF(LEN($C36),_xll.ciqfunctions.udf.CIQ($C36,"IQ_KEY_DEV_HEADLINE"),"")</f>
        <v>Hims &amp; Hers and Walmart Collaborate to Expand Availability of Hair Care Offerings to 1,400+ Stores Nationwide and Online</v>
      </c>
      <c r="E36" s="7" t="str">
        <f>IF(LEN($C36)&gt;0,_xll.ciqfunctions.udf.CIQ($C36,"IQ_KEY_DEV_TYPE"),"")</f>
        <v>Client Announcements</v>
      </c>
      <c r="F36" s="7" t="str">
        <f>IF(LEN($C36)&gt;0,_xll.ciqfunctions.udf.CIQ($C36,"IQ_KEY_DEV_SITUATION"),"")</f>
        <v>Hims &amp; Hers Health, Inc. announced the launch of its high quality hair care solutions at select Walmart retail locations nationwide and on walmart.com. This launch offers Walmart customers access to a range of Hims &amp; Hers hair loss products designed to help treat this condition – one that 1 in 3 women experience in their lifetime and two-thirds of American men will experience to some degree by the age of 35 – while also serving as a big step towards Hims &amp; Hers achieving its vision of mass market accessibility. Hims &amp; Hers hair care offerings – including the Hers minoxidil 5% topical foam and Hers minoxidil 2% topical solution, Hers Triple Threat shampoo, Hims minoxidil 5% topical foam and Hims minoxidil 5% topical solution, Hims Thick Fix shampoo and Hims Thick Fix system, which includes the Thick Fix shampoo, gummy vitamins and minoxidil 5% topical solution – will be available on walmart.com and select stores starting this weekend.</v>
      </c>
      <c r="G36" s="19" t="str">
        <f t="shared" si="0"/>
        <v>20 Jan 2022</v>
      </c>
      <c r="H36" s="19" t="str">
        <f>+IF(LEN($C36)&gt;0,TEXT(IF(_xll.ciqfunctions.udf.CIQ($C36,"IQ_KEY_DEV_TIME")="NA","",_xll.ciqfunctions.udf.CIQ($C36,"IQ_KEY_DEV_TIME")),"h:mm AM/PM"),"")</f>
        <v>12:00 AM</v>
      </c>
      <c r="I36" s="7" t="str">
        <f>IF(LEN($C36)&gt;0,_xll.ciqfunctions.udf.CIQ($C36,"IQ_KEY_DEV_SOURCE"),"")</f>
        <v>Business Wire</v>
      </c>
      <c r="P36" s="514" t="s">
        <v>733</v>
      </c>
      <c r="Q36" s="510" t="s">
        <v>190</v>
      </c>
      <c r="R36" s="513" t="s">
        <v>732</v>
      </c>
    </row>
    <row r="37" spans="2:18" x14ac:dyDescent="0.2">
      <c r="B37" s="7">
        <f t="shared" si="1"/>
        <v>30</v>
      </c>
      <c r="C37" s="7" t="s">
        <v>1386</v>
      </c>
      <c r="D37" s="7" t="str">
        <f>IF(LEN($C37),_xll.ciqfunctions.udf.CIQ($C37,"IQ_KEY_DEV_HEADLINE"),"")</f>
        <v>Walmart Inc. Presents at Work Transformation Summit, Jan-19-2022</v>
      </c>
      <c r="E37" s="7" t="str">
        <f>IF(LEN($C37)&gt;0,_xll.ciqfunctions.udf.CIQ($C37,"IQ_KEY_DEV_TYPE"),"")</f>
        <v>Company Conference Presentations</v>
      </c>
      <c r="F37" s="7" t="str">
        <f>IF(LEN($C37)&gt;0,_xll.ciqfunctions.udf.CIQ($C37,"IQ_KEY_DEV_SITUATION"),"")</f>
        <v>Walmart Inc. Presents at Work Transformation Summit, Jan-19-2022 . Speakers: Donna Morris, Executive VP of Global People &amp; Chief People Officer.</v>
      </c>
      <c r="G37" s="19" t="str">
        <f t="shared" si="0"/>
        <v>19 Jan 2022</v>
      </c>
      <c r="H37" s="19" t="str">
        <f>+IF(LEN($C37)&gt;0,TEXT(IF(_xll.ciqfunctions.udf.CIQ($C37,"IQ_KEY_DEV_TIME")="NA","",_xll.ciqfunctions.udf.CIQ($C37,"IQ_KEY_DEV_TIME")),"h:mm AM/PM"),"")</f>
        <v>8:00 AM</v>
      </c>
      <c r="I37" s="7" t="str">
        <f>IF(LEN($C37)&gt;0,_xll.ciqfunctions.udf.CIQ($C37,"IQ_KEY_DEV_SOURCE"),"")</f>
        <v>GlobeNewswire</v>
      </c>
      <c r="P37" s="514" t="s">
        <v>787</v>
      </c>
      <c r="Q37" s="510" t="s">
        <v>190</v>
      </c>
      <c r="R37" s="513" t="s">
        <v>786</v>
      </c>
    </row>
    <row r="38" spans="2:18" x14ac:dyDescent="0.2">
      <c r="B38" s="7">
        <f t="shared" si="1"/>
        <v>31</v>
      </c>
      <c r="C38" s="7" t="s">
        <v>1387</v>
      </c>
      <c r="D38" s="7" t="str">
        <f>IF(LEN($C38),_xll.ciqfunctions.udf.CIQ($C38,"IQ_KEY_DEV_HEADLINE"),"")</f>
        <v>Eat Well Group Announces Expanded Distribution of Amara Organic Foods to Walmart.com and Walmart Canada</v>
      </c>
      <c r="E38" s="7" t="str">
        <f>IF(LEN($C38)&gt;0,_xll.ciqfunctions.udf.CIQ($C38,"IQ_KEY_DEV_TYPE"),"")</f>
        <v>Client Announcements</v>
      </c>
      <c r="F38" s="7" t="str">
        <f>IF(LEN($C38)&gt;0,_xll.ciqfunctions.udf.CIQ($C38,"IQ_KEY_DEV_SITUATION"),"")</f>
        <v>Eat Well Investment Group Inc. announce that it's majority-owned portfolio company, Amara Organic Foods is now available nationwide across Walmart Canada and on Walmart's expansive eCommerce platform, Walmart.com. National distribution to Walmart locations across Canada adds to Amara's strong retail footprint with distribution to many of North America's leading big-box retailers, including: Whole Foods, Sprouts Farmer's Market, Loblaws and more. Amara is focused on developing a blend of natural and traditional-big box retailers in order to become a household brand for every family. With strong demand in both natural and conventional channels, Amara continues to accelerate its omnichannel sales distribution strategy and strengthen its ecommerce platform.</v>
      </c>
      <c r="G38" s="19" t="str">
        <f t="shared" si="0"/>
        <v>19 Jan 2022</v>
      </c>
      <c r="H38" s="19" t="str">
        <f>+IF(LEN($C38)&gt;0,TEXT(IF(_xll.ciqfunctions.udf.CIQ($C38,"IQ_KEY_DEV_TIME")="NA","",_xll.ciqfunctions.udf.CIQ($C38,"IQ_KEY_DEV_TIME")),"h:mm AM/PM"),"")</f>
        <v>12:00 AM</v>
      </c>
      <c r="I38" s="7" t="str">
        <f>IF(LEN($C38)&gt;0,_xll.ciqfunctions.udf.CIQ($C38,"IQ_KEY_DEV_SOURCE"),"")</f>
        <v>SEDAR</v>
      </c>
      <c r="P38" s="514" t="s">
        <v>785</v>
      </c>
      <c r="Q38" s="510" t="s">
        <v>190</v>
      </c>
      <c r="R38" s="513" t="s">
        <v>784</v>
      </c>
    </row>
    <row r="39" spans="2:18" x14ac:dyDescent="0.2">
      <c r="B39" s="7">
        <f t="shared" si="1"/>
        <v>32</v>
      </c>
      <c r="C39" s="7" t="s">
        <v>1388</v>
      </c>
      <c r="D39" s="7" t="str">
        <f>IF(LEN($C39),_xll.ciqfunctions.udf.CIQ($C39,"IQ_KEY_DEV_HEADLINE"),"")</f>
        <v>Walmart Inc. Presents at NRF 2022: Retail's Big Show &amp; EXPO, Jan-16-2022 10:15 AM</v>
      </c>
      <c r="E39" s="7" t="str">
        <f>IF(LEN($C39)&gt;0,_xll.ciqfunctions.udf.CIQ($C39,"IQ_KEY_DEV_TYPE"),"")</f>
        <v>Company Conference Presentations</v>
      </c>
      <c r="F39" s="7" t="str">
        <f>IF(LEN($C39)&gt;0,_xll.ciqfunctions.udf.CIQ($C39,"IQ_KEY_DEV_SITUATION"),"")</f>
        <v>Walmart Inc. Presents at NRF 2022: Retail's Big Show &amp; EXPO, Jan-16-2022 10:15 AM. Venue: Jacob K. Javits Convention Center, 429 11th Ave, New York City, New York, United States. Speakers: Zach Freeze, Sr. Director, Sustainability.</v>
      </c>
      <c r="G39" s="19" t="str">
        <f t="shared" si="0"/>
        <v>16 Jan 2022</v>
      </c>
      <c r="H39" s="19" t="str">
        <f>+IF(LEN($C39)&gt;0,TEXT(IF(_xll.ciqfunctions.udf.CIQ($C39,"IQ_KEY_DEV_TIME")="NA","",_xll.ciqfunctions.udf.CIQ($C39,"IQ_KEY_DEV_TIME")),"h:mm AM/PM"),"")</f>
        <v>11:15 PM</v>
      </c>
      <c r="I39" s="7" t="str">
        <f>IF(LEN($C39)&gt;0,_xll.ciqfunctions.udf.CIQ($C39,"IQ_KEY_DEV_SOURCE"),"")</f>
        <v>PR Newswire, Business Wire, GlobeNewswire, Company Website</v>
      </c>
      <c r="P39" s="514" t="s">
        <v>865</v>
      </c>
      <c r="Q39" s="510" t="s">
        <v>190</v>
      </c>
      <c r="R39" s="513" t="s">
        <v>864</v>
      </c>
    </row>
    <row r="40" spans="2:18" x14ac:dyDescent="0.2">
      <c r="B40" s="7">
        <f t="shared" si="1"/>
        <v>33</v>
      </c>
      <c r="C40" s="7" t="s">
        <v>1389</v>
      </c>
      <c r="D40" s="7" t="str">
        <f>IF(LEN($C40),_xll.ciqfunctions.udf.CIQ($C40,"IQ_KEY_DEV_HEADLINE"),"")</f>
        <v>Sifter SP, LLC Teams Up with Walmart to Help Customers Take Greater Control of Their Health</v>
      </c>
      <c r="E40" s="7" t="str">
        <f>IF(LEN($C40)&gt;0,_xll.ciqfunctions.udf.CIQ($C40,"IQ_KEY_DEV_TYPE"),"")</f>
        <v>Client Announcements</v>
      </c>
      <c r="F40" s="7" t="str">
        <f>IF(LEN($C40)&gt;0,_xll.ciqfunctions.udf.CIQ($C40,"IQ_KEY_DEV_SITUATION"),"")</f>
        <v>Sifter SP Inc. is teaming up with Walmart to help customers take greater control of their health by making it easy to reach personal wellness goals while grocery shopping at Walmart both online and in-store. Just imagine a customer avoids dairy or has an allergy to it. In the new Shop-by-Diet tool, that customer can toggle on "dairy-none" then scan the food item they are interested in and it will let them know if it is a match for their wellness goals. More than 200 million consumers are said to be adhering to a diet or health-related program, while 85 million are reported to have allergies or food avoidances when shopping. Walmart's new "Shop-by-Diet" tool, powered by Sifter's technology rolling out on January 12, 2022, will help shoppers find foods and supplements that fit their personal dietary and lifestyle goals with greater variety and flavor. Walmart customers will be able to discover and shop for foods based on allergens such as nuts or dairy; medical diets such as diabetes and heart health; and dozens of lifestyle diets, from vegan to keto to kosher. Shoppers also can use the Shop-by-Diet tool to sort through products based on responsible practices like grass-fed, or find products that won't interact with medications.</v>
      </c>
      <c r="G40" s="19" t="str">
        <f t="shared" si="0"/>
        <v>12 Jan 2022</v>
      </c>
      <c r="H40" s="19" t="str">
        <f>+IF(LEN($C40)&gt;0,TEXT(IF(_xll.ciqfunctions.udf.CIQ($C40,"IQ_KEY_DEV_TIME")="NA","",_xll.ciqfunctions.udf.CIQ($C40,"IQ_KEY_DEV_TIME")),"h:mm AM/PM"),"")</f>
        <v>12:00 AM</v>
      </c>
      <c r="I40" s="7" t="str">
        <f>IF(LEN($C40)&gt;0,_xll.ciqfunctions.udf.CIQ($C40,"IQ_KEY_DEV_SOURCE"),"")</f>
        <v>GlobeNewswire</v>
      </c>
      <c r="P40" s="514" t="s">
        <v>863</v>
      </c>
      <c r="Q40" s="510" t="s">
        <v>190</v>
      </c>
      <c r="R40" s="513" t="s">
        <v>862</v>
      </c>
    </row>
    <row r="41" spans="2:18" x14ac:dyDescent="0.2">
      <c r="B41" s="7">
        <f t="shared" si="1"/>
        <v>34</v>
      </c>
      <c r="C41" s="7" t="s">
        <v>1390</v>
      </c>
      <c r="D41" s="7" t="str">
        <f>IF(LEN($C41),_xll.ciqfunctions.udf.CIQ($C41,"IQ_KEY_DEV_HEADLINE"),"")</f>
        <v>Flora Growth Expands Product Distribution Through Walmart.com and Coppel in Mexico</v>
      </c>
      <c r="E41" s="7" t="str">
        <f>IF(LEN($C41)&gt;0,_xll.ciqfunctions.udf.CIQ($C41,"IQ_KEY_DEV_TYPE"),"")</f>
        <v>Client Announcements</v>
      </c>
      <c r="F41" s="7" t="str">
        <f>IF(LEN($C41)&gt;0,_xll.ciqfunctions.udf.CIQ($C41,"IQ_KEY_DEV_SITUATION"),"")</f>
        <v>Flora Growth Corp. announced that its Mind Naturals skincare brand has launched sales through Walmart.com and Coppel. The launch includes 12 products from the Mind Naturals portfolio, initially on e-commerce with subsequent plans to sell in brick and mortar retail locations. This launch expands upon last month’s initial orders for Mind Naturals to Mexico and Spain. Walmart is one of the leading retail chains in Central America, while Coppel has 1,253 stores in Mexico.</v>
      </c>
      <c r="G41" s="19" t="str">
        <f t="shared" si="0"/>
        <v>04 Jan 2022</v>
      </c>
      <c r="H41" s="19" t="str">
        <f>+IF(LEN($C41)&gt;0,TEXT(IF(_xll.ciqfunctions.udf.CIQ($C41,"IQ_KEY_DEV_TIME")="NA","",_xll.ciqfunctions.udf.CIQ($C41,"IQ_KEY_DEV_TIME")),"h:mm AM/PM"),"")</f>
        <v>12:00 AM</v>
      </c>
      <c r="I41" s="7" t="str">
        <f>IF(LEN($C41)&gt;0,_xll.ciqfunctions.udf.CIQ($C41,"IQ_KEY_DEV_SOURCE"),"")</f>
        <v>Business Wire</v>
      </c>
      <c r="P41" s="514" t="s">
        <v>861</v>
      </c>
      <c r="Q41" s="510" t="s">
        <v>190</v>
      </c>
      <c r="R41" s="513" t="s">
        <v>860</v>
      </c>
    </row>
    <row r="42" spans="2:18" x14ac:dyDescent="0.2">
      <c r="B42" s="7">
        <f t="shared" si="1"/>
        <v>35</v>
      </c>
      <c r="C42" s="7" t="s">
        <v>1391</v>
      </c>
      <c r="D42" s="7" t="str">
        <f>IF(LEN($C42),_xll.ciqfunctions.udf.CIQ($C42,"IQ_KEY_DEV_HEADLINE"),"")</f>
        <v>Stryve Foods, Inc. Announces Agreements with Costco and Walmart</v>
      </c>
      <c r="E42" s="7" t="str">
        <f>IF(LEN($C42)&gt;0,_xll.ciqfunctions.udf.CIQ($C42,"IQ_KEY_DEV_TYPE"),"")</f>
        <v>Client Announcements</v>
      </c>
      <c r="F42" s="7" t="str">
        <f>IF(LEN($C42)&gt;0,_xll.ciqfunctions.udf.CIQ($C42,"IQ_KEY_DEV_SITUATION"),"")</f>
        <v>Stryve Foods, Inc. announced new agreements for significant 2022 expansion of its domestic U.S. distribution footprint and product line penetration with Costco and Walmart. Following the recent addition of Costco warehouses in the northwest U.S. region, select Stryve Biltong and Vacadillos products are now available every day at Costco warehouses in Arizona and business centers nationwide, doubling Stryve’s previous Costco distribution. As part of this expansion, Costco will begin carrying the 12 oz. Hickory flavor of Stryve Biltong amongst its healthy and nutritious Stryve and Vacadillos offerings. Stryve’s Costco warehouse count is also set to increase significantly in 2022, with agreements in place to secure new distribution into Costco’s Bay Area region and participation in a 2022 national Costco multi-vendor mailer (MVM) campaign. The promotion in Costco’s popular warehouse member coupon book brings on-shelf placement in all U.S. Costco warehouse locations. At Walmart, Stryve is adding in April two new Vacadillos Carne Seca SKUs (Chili Lime and Habanero) and a Stryve Biltong multipack to its array of products offered at Walmart Supercenters, more than doubling its SKUs from two to five.</v>
      </c>
      <c r="G42" s="19" t="str">
        <f t="shared" si="0"/>
        <v>16 Dec 2021</v>
      </c>
      <c r="H42" s="19" t="str">
        <f>+IF(LEN($C42)&gt;0,TEXT(IF(_xll.ciqfunctions.udf.CIQ($C42,"IQ_KEY_DEV_TIME")="NA","",_xll.ciqfunctions.udf.CIQ($C42,"IQ_KEY_DEV_TIME")),"h:mm AM/PM"),"")</f>
        <v>12:00 AM</v>
      </c>
      <c r="I42" s="7" t="str">
        <f>IF(LEN($C42)&gt;0,_xll.ciqfunctions.udf.CIQ($C42,"IQ_KEY_DEV_SOURCE"),"")</f>
        <v>GlobeNewswire</v>
      </c>
      <c r="P42" s="514" t="s">
        <v>859</v>
      </c>
      <c r="Q42" s="510" t="s">
        <v>190</v>
      </c>
      <c r="R42" s="513" t="s">
        <v>858</v>
      </c>
    </row>
    <row r="43" spans="2:18" x14ac:dyDescent="0.2">
      <c r="B43" s="7">
        <f t="shared" si="1"/>
        <v>36</v>
      </c>
      <c r="C43" s="7" t="s">
        <v>1392</v>
      </c>
      <c r="D43" s="7" t="str">
        <f>IF(LEN($C43),_xll.ciqfunctions.udf.CIQ($C43,"IQ_KEY_DEV_HEADLINE"),"")</f>
        <v>Walmart Inc. Selects Salt Lake City, Utah for New Fulfillment Center, Opening Summer 2022</v>
      </c>
      <c r="E43" s="7" t="str">
        <f>IF(LEN($C43)&gt;0,_xll.ciqfunctions.udf.CIQ($C43,"IQ_KEY_DEV_TYPE"),"")</f>
        <v>Business Expansions</v>
      </c>
      <c r="F43" s="7" t="str">
        <f>IF(LEN($C43)&gt;0,_xll.ciqfunctions.udf.CIQ($C43,"IQ_KEY_DEV_SITUATION"),"")</f>
        <v>Walmart announced plans to build a new fulfillment center in Salt Lake City to support the retailer’s growing eCommerce business. The 1,000,000+ square-foot facility, which is located at 990 N 6550 W, is scheduled to open Summer of 2022 and will create approximately 450 full-time, permanent jobs across the region. The purpose of the facility will be to fulfill online orders placed on Walmart.com. Walmart fulfillment centers are an important part of the retailer’s supply chain network. Unlike distribution centers, which are focused on receiving, storing and distributing product to Walmart stores, fulfillment centers are focused on storing millions of items that are picked, packed and shipped directly to customers as soon as next-day. The facility is part of a broader initiative to add more capacity into Walmart’s supply chain as the retailer prepares for growth. In Third Quarter of FY22, Walmart U.S. eCommerce sales grew 8% for the quarter and 87% over the past two years. Walmart operates 3 distribution centers, 59 retail stores and employs 20,000+ associates in the state of Utah. In FYE 21, stores, clubs and the Walmart Foundation gave $19.4 million in cash and in-kind donations to local Utah organizations.</v>
      </c>
      <c r="G43" s="19" t="str">
        <f t="shared" si="0"/>
        <v>15 Dec 2021</v>
      </c>
      <c r="H43" s="19" t="str">
        <f>+IF(LEN($C43)&gt;0,TEXT(IF(_xll.ciqfunctions.udf.CIQ($C43,"IQ_KEY_DEV_TIME")="NA","",_xll.ciqfunctions.udf.CIQ($C43,"IQ_KEY_DEV_TIME")),"h:mm AM/PM"),"")</f>
        <v>12:00 AM</v>
      </c>
      <c r="I43" s="7" t="str">
        <f>IF(LEN($C43)&gt;0,_xll.ciqfunctions.udf.CIQ($C43,"IQ_KEY_DEV_SOURCE"),"")</f>
        <v>Business Wire</v>
      </c>
      <c r="P43" s="514" t="s">
        <v>857</v>
      </c>
      <c r="Q43" s="510" t="s">
        <v>190</v>
      </c>
      <c r="R43" s="513" t="s">
        <v>856</v>
      </c>
    </row>
    <row r="44" spans="2:18" x14ac:dyDescent="0.2">
      <c r="B44" s="7">
        <f t="shared" si="1"/>
        <v>37</v>
      </c>
      <c r="C44" s="7" t="s">
        <v>1393</v>
      </c>
      <c r="D44" s="7" t="str">
        <f>IF(LEN($C44),_xll.ciqfunctions.udf.CIQ($C44,"IQ_KEY_DEV_HEADLINE"),"")</f>
        <v>Walmart Inc. - Special Call</v>
      </c>
      <c r="E44" s="7" t="str">
        <f>IF(LEN($C44)&gt;0,_xll.ciqfunctions.udf.CIQ($C44,"IQ_KEY_DEV_TYPE"),"")</f>
        <v>Special Calls</v>
      </c>
      <c r="F44" s="7" t="str">
        <f>IF(LEN($C44)&gt;0,_xll.ciqfunctions.udf.CIQ($C44,"IQ_KEY_DEV_SITUATION"),"")</f>
        <v>To discuss 2021 ESG-Focused Discussion on Climate Change</v>
      </c>
      <c r="G44" s="19" t="str">
        <f t="shared" si="0"/>
        <v>11 Dec 2021</v>
      </c>
      <c r="H44" s="19" t="str">
        <f>+IF(LEN($C44)&gt;0,TEXT(IF(_xll.ciqfunctions.udf.CIQ($C44,"IQ_KEY_DEV_TIME")="NA","",_xll.ciqfunctions.udf.CIQ($C44,"IQ_KEY_DEV_TIME")),"h:mm AM/PM"),"")</f>
        <v>4:00 AM</v>
      </c>
      <c r="I44" s="7" t="str">
        <f>IF(LEN($C44)&gt;0,_xll.ciqfunctions.udf.CIQ($C44,"IQ_KEY_DEV_SOURCE"),"")</f>
        <v>Business Wire, Company Website</v>
      </c>
      <c r="P44" s="514" t="s">
        <v>855</v>
      </c>
      <c r="Q44" s="510" t="s">
        <v>724</v>
      </c>
      <c r="R44" s="513" t="s">
        <v>854</v>
      </c>
    </row>
    <row r="45" spans="2:18" x14ac:dyDescent="0.2">
      <c r="B45" s="7">
        <f t="shared" si="1"/>
        <v>38</v>
      </c>
      <c r="C45" s="7" t="s">
        <v>1394</v>
      </c>
      <c r="D45" s="7" t="str">
        <f>IF(LEN($C45),_xll.ciqfunctions.udf.CIQ($C45,"IQ_KEY_DEV_HEADLINE"),"")</f>
        <v>Walmart Inc. Presents at Morgan Stanley Global Consumer &amp; Retail Conference 2021, Dec-02-2021 11:00 AM</v>
      </c>
      <c r="E45" s="7" t="str">
        <f>IF(LEN($C45)&gt;0,_xll.ciqfunctions.udf.CIQ($C45,"IQ_KEY_DEV_TYPE"),"")</f>
        <v>Company Conference Presentations</v>
      </c>
      <c r="F45" s="7" t="str">
        <f>IF(LEN($C45)&gt;0,_xll.ciqfunctions.udf.CIQ($C45,"IQ_KEY_DEV_SITUATION"),"")</f>
        <v>Walmart Inc. Presents at Morgan Stanley Global Consumer &amp; Retail Conference 2021, Dec-02-2021 11:00 AM. Speakers: M. Brett Biggs, Executive VP &amp; CFO.</v>
      </c>
      <c r="G45" s="19" t="str">
        <f t="shared" si="0"/>
        <v>03 Dec 2021</v>
      </c>
      <c r="H45" s="19" t="str">
        <f>+IF(LEN($C45)&gt;0,TEXT(IF(_xll.ciqfunctions.udf.CIQ($C45,"IQ_KEY_DEV_TIME")="NA","",_xll.ciqfunctions.udf.CIQ($C45,"IQ_KEY_DEV_TIME")),"h:mm AM/PM"),"")</f>
        <v>12:00 AM</v>
      </c>
      <c r="I45" s="7" t="str">
        <f>IF(LEN($C45)&gt;0,_xll.ciqfunctions.udf.CIQ($C45,"IQ_KEY_DEV_SOURCE"),"")</f>
        <v>PR Newswire, Business Wire, GlobeNewswire, Company Website</v>
      </c>
      <c r="P45" s="514" t="s">
        <v>853</v>
      </c>
      <c r="Q45" s="510" t="s">
        <v>190</v>
      </c>
      <c r="R45" s="513" t="s">
        <v>852</v>
      </c>
    </row>
    <row r="46" spans="2:18" x14ac:dyDescent="0.2">
      <c r="B46" s="7">
        <f t="shared" si="1"/>
        <v>39</v>
      </c>
      <c r="C46" s="7" t="s">
        <v>1395</v>
      </c>
      <c r="D46" s="7" t="str">
        <f>IF(LEN($C46),_xll.ciqfunctions.udf.CIQ($C46,"IQ_KEY_DEV_HEADLINE"),"")</f>
        <v>Walmart Inc. Presents at Stephens Annual Investment Conference, Dec-01-2021 01:00 PM</v>
      </c>
      <c r="E46" s="7" t="str">
        <f>IF(LEN($C46)&gt;0,_xll.ciqfunctions.udf.CIQ($C46,"IQ_KEY_DEV_TYPE"),"")</f>
        <v>Company Conference Presentations</v>
      </c>
      <c r="F46" s="7" t="str">
        <f>IF(LEN($C46)&gt;0,_xll.ciqfunctions.udf.CIQ($C46,"IQ_KEY_DEV_SITUATION"),"")</f>
        <v>Walmart Inc. Presents at Stephens Annual Investment Conference, Dec-01-2021 01:00 PM. Venue: Omni Nashville Hotel, 250 Fifth Avenue South, Nashville, Tennessee, United States. Speakers: M. Brett Biggs, Executive VP &amp; CFO.</v>
      </c>
      <c r="G46" s="19" t="str">
        <f t="shared" si="0"/>
        <v>02 Dec 2021</v>
      </c>
      <c r="H46" s="19" t="str">
        <f>+IF(LEN($C46)&gt;0,TEXT(IF(_xll.ciqfunctions.udf.CIQ($C46,"IQ_KEY_DEV_TIME")="NA","",_xll.ciqfunctions.udf.CIQ($C46,"IQ_KEY_DEV_TIME")),"h:mm AM/PM"),"")</f>
        <v>2:00 AM</v>
      </c>
      <c r="I46" s="7" t="str">
        <f>IF(LEN($C46)&gt;0,_xll.ciqfunctions.udf.CIQ($C46,"IQ_KEY_DEV_SOURCE"),"")</f>
        <v>PR Newswire, Business Wire, GlobeNewswire, Canada News Wire, Company Website, SEDAR</v>
      </c>
      <c r="P46" s="514" t="s">
        <v>851</v>
      </c>
      <c r="Q46" s="510" t="s">
        <v>190</v>
      </c>
      <c r="R46" s="513" t="s">
        <v>850</v>
      </c>
    </row>
    <row r="47" spans="2:18" x14ac:dyDescent="0.2">
      <c r="B47" s="7">
        <f t="shared" si="1"/>
        <v>40</v>
      </c>
      <c r="C47" s="7" t="s">
        <v>1396</v>
      </c>
      <c r="D47" s="7" t="str">
        <f>IF(LEN($C47),_xll.ciqfunctions.udf.CIQ($C47,"IQ_KEY_DEV_HEADLINE"),"")</f>
        <v>Walmart Seeks Acquisitions</v>
      </c>
      <c r="E47" s="7" t="str">
        <f>IF(LEN($C47)&gt;0,_xll.ciqfunctions.udf.CIQ($C47,"IQ_KEY_DEV_TYPE"),"")</f>
        <v>Seeking Acquisitions/Investments</v>
      </c>
      <c r="F47" s="7" t="str">
        <f>IF(LEN($C47)&gt;0,_xll.ciqfunctions.udf.CIQ($C47,"IQ_KEY_DEV_SITUATION"),"")</f>
        <v>Walmart Inc. (NYSE:WMT) is looking for acquisitions. Brett Biggs, Chief Executive Officer said "You'll continue to see us make acquisitions. We made the acquisition of Jet, made the acquisition of PhonePe. And there's other acquisitions that don't get quite as much attention that are a little smaller, that are more capability-type acquisitions, talent acquisitions. You'll continue to see us be really active in that space as we bring people and bring ideas into the company that can help us develop the flywheel to where it needs to go".</v>
      </c>
      <c r="G47" s="19" t="str">
        <f t="shared" si="0"/>
        <v>02 Dec 2021</v>
      </c>
      <c r="H47" s="19" t="str">
        <f>+IF(LEN($C47)&gt;0,TEXT(IF(_xll.ciqfunctions.udf.CIQ($C47,"IQ_KEY_DEV_TIME")="NA","",_xll.ciqfunctions.udf.CIQ($C47,"IQ_KEY_DEV_TIME")),"h:mm AM/PM"),"")</f>
        <v>12:00 AM</v>
      </c>
      <c r="I47" s="7" t="str">
        <f>IF(LEN($C47)&gt;0,_xll.ciqfunctions.udf.CIQ($C47,"IQ_KEY_DEV_SOURCE"),"")</f>
        <v>Transcript Collection</v>
      </c>
      <c r="P47" s="514" t="s">
        <v>849</v>
      </c>
      <c r="Q47" s="510" t="s">
        <v>190</v>
      </c>
      <c r="R47" s="513" t="s">
        <v>848</v>
      </c>
    </row>
    <row r="48" spans="2:18" x14ac:dyDescent="0.2">
      <c r="B48" s="7">
        <f t="shared" si="1"/>
        <v>41</v>
      </c>
      <c r="C48" s="7" t="s">
        <v>1397</v>
      </c>
      <c r="D48" s="7" t="str">
        <f>IF(LEN($C48),_xll.ciqfunctions.udf.CIQ($C48,"IQ_KEY_DEV_HEADLINE"),"")</f>
        <v>Walmart Inc. Announces Transitioning of Brett Biggs as CFO, Effective January 31, 2023</v>
      </c>
      <c r="E48" s="7" t="str">
        <f>IF(LEN($C48)&gt;0,_xll.ciqfunctions.udf.CIQ($C48,"IQ_KEY_DEV_TYPE"),"")</f>
        <v>Executive Changes - CFO</v>
      </c>
      <c r="F48" s="7" t="str">
        <f>IF(LEN($C48)&gt;0,_xll.ciqfunctions.udf.CIQ($C48,"IQ_KEY_DEV_SITUATION"),"")</f>
        <v>Walmart Inc. announced that Chief Financial Officer Brett Biggs will begin transitioning from Walmart during this upcoming year, after 22 years with the company, to begin a new chapter of opportunities in both the for-profit and non-profit sectors. Biggs will remain in the CFO role until a successor is named next year and then support that transition, remaining as an associate until he leaves the company on January 31, 2023. As part of the transition, he will also continue representing the company as a board member on Walmart’s FinTech startup joint venture with Ribbit Capital. The company will consider internal and external candidates before naming a successor. Biggs has served as Walmart’s executive vice president and chief financial officer since Dec. 31, 2015. Biggs joined Walmart in 2000 and in his role as CFO is responsible for accounting and controls, corporate strategy and development, business planning and analysis, global procurement, internal audit, treasury, tax and investor relations. Previously, he held the roles of chief financial officer for Walmart International, Walmart U.S. and Sam’s Club. He has also served as senior vice president of international strategy, mergers and acquisitions, and as senior vice president of corporate finance. Biggs was also the senior vice president of operations for Sam’s Club. Prior to joining Walmart in 2000, Biggs held various M&amp;A and corporate finance positions with Leggett &amp; Platt, Phillips Petroleum Co. and Price Waterhouse.</v>
      </c>
      <c r="G48" s="19" t="str">
        <f t="shared" si="0"/>
        <v>29 Nov 2021</v>
      </c>
      <c r="H48" s="19" t="str">
        <f>+IF(LEN($C48)&gt;0,TEXT(IF(_xll.ciqfunctions.udf.CIQ($C48,"IQ_KEY_DEV_TIME")="NA","",_xll.ciqfunctions.udf.CIQ($C48,"IQ_KEY_DEV_TIME")),"h:mm AM/PM"),"")</f>
        <v>12:00 AM</v>
      </c>
      <c r="I48" s="7" t="str">
        <f>IF(LEN($C48)&gt;0,_xll.ciqfunctions.udf.CIQ($C48,"IQ_KEY_DEV_SOURCE"),"")</f>
        <v>Business Wire</v>
      </c>
      <c r="P48" s="514" t="s">
        <v>847</v>
      </c>
      <c r="Q48" s="510" t="s">
        <v>190</v>
      </c>
      <c r="R48" s="513" t="s">
        <v>846</v>
      </c>
    </row>
    <row r="49" spans="2:18" x14ac:dyDescent="0.2">
      <c r="B49" s="7">
        <f t="shared" si="1"/>
        <v>42</v>
      </c>
      <c r="C49" s="7" t="s">
        <v>1398</v>
      </c>
      <c r="D49" s="7" t="str">
        <f>IF(LEN($C49),_xll.ciqfunctions.udf.CIQ($C49,"IQ_KEY_DEV_HEADLINE"),"")</f>
        <v>Walmart Inc. Announces Transitioning of Brett Biggs as Executive Vice President, Effective January 31, 2023</v>
      </c>
      <c r="E49" s="7" t="str">
        <f>IF(LEN($C49)&gt;0,_xll.ciqfunctions.udf.CIQ($C49,"IQ_KEY_DEV_TYPE"),"")</f>
        <v>Executive/Board Changes - Other</v>
      </c>
      <c r="F49" s="7" t="str">
        <f>IF(LEN($C49)&gt;0,_xll.ciqfunctions.udf.CIQ($C49,"IQ_KEY_DEV_SITUATION"),"")</f>
        <v>Walmart Inc. announced that Executive Vice President Brett Biggs will begin transitioning from Walmart during this upcoming year, after 22 years with the company, to begin a new chapter of opportunities in both the for-profit and non-profit sectors. Biggs will remain in the CFO role until a successor is named next year and then support that transition, remaining as an associate until he leaves the company on January 31, 2023. As part of the transition, he will also continue representing the company as a board member on Walmart’s FinTech startup joint venture with Ribbit Capital. The company will consider internal and external candidates before naming a successor. Biggs has served as Walmart’s executive vice president and chief financial officer since Dec. 31, 2015. Biggs joined Walmart in 2000 and in his role as CFO is responsible for accounting and controls, corporate strategy and development, business planning and analysis, global procurement, internal audit, treasury, tax and investor relations. Previously, he held the roles of chief financial officer for Walmart International, Walmart U.S. and Sam’s Club. He has also served as senior vice president of international strategy, mergers and acquisitions, and as senior vice president of corporate finance. Biggs was also the senior vice president of operations for Sam’s Club. Prior to joining Walmart in 2000, Biggs held various M&amp;A and corporate finance positions with Leggett &amp; Platt, Phillips Petroleum Co. and Price Waterhouse.</v>
      </c>
      <c r="G49" s="19" t="str">
        <f t="shared" si="0"/>
        <v>29 Nov 2021</v>
      </c>
      <c r="H49" s="19" t="str">
        <f>+IF(LEN($C49)&gt;0,TEXT(IF(_xll.ciqfunctions.udf.CIQ($C49,"IQ_KEY_DEV_TIME")="NA","",_xll.ciqfunctions.udf.CIQ($C49,"IQ_KEY_DEV_TIME")),"h:mm AM/PM"),"")</f>
        <v>12:00 AM</v>
      </c>
      <c r="I49" s="7" t="str">
        <f>IF(LEN($C49)&gt;0,_xll.ciqfunctions.udf.CIQ($C49,"IQ_KEY_DEV_SOURCE"),"")</f>
        <v>Business Wire</v>
      </c>
      <c r="P49" s="514" t="s">
        <v>845</v>
      </c>
      <c r="Q49" s="510" t="s">
        <v>190</v>
      </c>
      <c r="R49" s="513" t="s">
        <v>844</v>
      </c>
    </row>
    <row r="50" spans="2:18" x14ac:dyDescent="0.2">
      <c r="B50" s="7">
        <f t="shared" si="1"/>
        <v>43</v>
      </c>
      <c r="C50" s="7" t="s">
        <v>1399</v>
      </c>
      <c r="D50" s="7" t="str">
        <f>IF(LEN($C50),_xll.ciqfunctions.udf.CIQ($C50,"IQ_KEY_DEV_HEADLINE"),"")</f>
        <v>Walmart and Droneup Announce First Multi-Site Commercial Drone Delivery Operations</v>
      </c>
      <c r="E50" s="7" t="str">
        <f>IF(LEN($C50)&gt;0,_xll.ciqfunctions.udf.CIQ($C50,"IQ_KEY_DEV_TYPE"),"")</f>
        <v>Client Announcements</v>
      </c>
      <c r="F50" s="7" t="str">
        <f>IF(LEN($C50)&gt;0,_xll.ciqfunctions.udf.CIQ($C50,"IQ_KEY_DEV_SITUATION"),"")</f>
        <v>DroneUp, LLC and Walmart announced the first multi-site commercial drone delivery operations. The three locations, which will be located at Walmart stores in Northwest Arkansas, will operate from 8:00 a.m. to 8:00 p.m., seven days per week, to deliver items to eligible Walmart customers by air in as little as 30 minutes. DroneUp's delivery operation provides Walmart customers a safe, convenient, fast, and sustainable delivery option on thousands of items – even the most fragile – powered by a crew of skilled operators. Enjoying the benefits of drone delivery is as easy as: Verify: Customer enters their address to verify eligibility. Shop: Customer selects from thousands of items for delivery. Secure: Operators pack the order and secure the box to the drone using a patented delivery release mechanism. Deliver: The flight engineer manages a controlled and guided delivery, placing the order gently at the customer's home. Eligible customers in Farmington, AR can begin placing orders at droneupdelivery.com. The additional locations at Walmart Neighborhood Market #5837 in Rogers, AR and Walmart Supercenter #100 in Bentonville, AR, are planned to open in the coming months. Walmart is well-positioned to be the drone delivery leader as it already has significant infrastructure in place to serve the public – more than 4,700 stores stocked with 120,000 of the most purchased items, located within 10 miles of over 90% of the U.S. population. Similarly, DroneUp's airport "Hubs" house convenient on-site operations where FAA certified flight engineers can conduct multiple and simultaneous deliveries. Drones are uniquely valuable due to their flexibility, speed, and low cost. Drones also require fewer fossil fuel-powered vehicles for short delivery trips. DroneUp has worked closely and continuously with the FAA to ensure the safe operation of drones in the National Airspace and has more than 190 active waivers and authorizations with the FAA to support DroneUp flights across the U.S.</v>
      </c>
      <c r="G50" s="19" t="str">
        <f t="shared" si="0"/>
        <v>22 Nov 2021</v>
      </c>
      <c r="H50" s="19" t="str">
        <f>+IF(LEN($C50)&gt;0,TEXT(IF(_xll.ciqfunctions.udf.CIQ($C50,"IQ_KEY_DEV_TIME")="NA","",_xll.ciqfunctions.udf.CIQ($C50,"IQ_KEY_DEV_TIME")),"h:mm AM/PM"),"")</f>
        <v>12:00 AM</v>
      </c>
      <c r="I50" s="7" t="str">
        <f>IF(LEN($C50)&gt;0,_xll.ciqfunctions.udf.CIQ($C50,"IQ_KEY_DEV_SOURCE"),"")</f>
        <v>PR Newswire</v>
      </c>
      <c r="P50" s="514" t="s">
        <v>843</v>
      </c>
      <c r="Q50" s="510" t="s">
        <v>190</v>
      </c>
      <c r="R50" s="513" t="s">
        <v>842</v>
      </c>
    </row>
    <row r="51" spans="2:18" x14ac:dyDescent="0.2">
      <c r="B51" s="7">
        <f t="shared" si="1"/>
        <v>44</v>
      </c>
      <c r="C51" s="7" t="s">
        <v>1400</v>
      </c>
      <c r="D51" s="7" t="str">
        <f>IF(LEN($C51),_xll.ciqfunctions.udf.CIQ($C51,"IQ_KEY_DEV_HEADLINE"),"")</f>
        <v>Walmart Teams with Zipline to Launch Autonomous Aircraft Delivery Service in Northwest Arkansas</v>
      </c>
      <c r="E51" s="7" t="str">
        <f>IF(LEN($C51)&gt;0,_xll.ciqfunctions.udf.CIQ($C51,"IQ_KEY_DEV_TYPE"),"")</f>
        <v>Client Announcements</v>
      </c>
      <c r="F51" s="7" t="str">
        <f>IF(LEN($C51)&gt;0,_xll.ciqfunctions.udf.CIQ($C51,"IQ_KEY_DEV_SITUATION"),"")</f>
        <v>Walmart and Zipline announced the launch of its much-anticipated instant delivery service in Pea Ridge, Ark. The new service will make on-demand deliveries of select health and wellness and consumable items from the Walmart Neighborhood Market in Pea Ridge, Ark. Since announcing the service last fall, Walmart and Zipline have been hard at work building a first-of-its kind 25-foot platform that serves as the infrastructure for take-off and landing. The platform, which is located directly behind the Neighborhood Market, houses several of Zipline’s proprietary autonomous aircraft as well as its flight operations crew. At full capacity, Zipline’s aircraft can service a 50-mile radius, nearly the size of the state of Connecticut. Eligible customers can begin placing orders for delivery. Here’s how it works: The customer opens the Zipline app, orders the products they would like delivered and selects a delivery time at checkout. A Walmart associate picks and packs the products and hands the package off to Zipline staff, who prepare the aircraft for launch. The aircraft departs to the customer’s home, drops the package and returns to the platform. The customer can track the status of the aircraft through the Zipline app.</v>
      </c>
      <c r="G51" s="19" t="str">
        <f t="shared" si="0"/>
        <v>18 Nov 2021</v>
      </c>
      <c r="H51" s="19" t="str">
        <f>+IF(LEN($C51)&gt;0,TEXT(IF(_xll.ciqfunctions.udf.CIQ($C51,"IQ_KEY_DEV_TIME")="NA","",_xll.ciqfunctions.udf.CIQ($C51,"IQ_KEY_DEV_TIME")),"h:mm AM/PM"),"")</f>
        <v>12:00 AM</v>
      </c>
      <c r="I51" s="7" t="str">
        <f>IF(LEN($C51)&gt;0,_xll.ciqfunctions.udf.CIQ($C51,"IQ_KEY_DEV_SOURCE"),"")</f>
        <v>GlobeNewswire</v>
      </c>
      <c r="P51" s="514" t="s">
        <v>841</v>
      </c>
      <c r="Q51" s="510" t="s">
        <v>190</v>
      </c>
      <c r="R51" s="513" t="s">
        <v>840</v>
      </c>
    </row>
    <row r="52" spans="2:18" x14ac:dyDescent="0.2">
      <c r="B52" s="7">
        <f t="shared" si="1"/>
        <v>45</v>
      </c>
      <c r="C52" s="7" t="s">
        <v>1401</v>
      </c>
      <c r="D52" s="7" t="str">
        <f>IF(LEN($C52),_xll.ciqfunctions.udf.CIQ($C52,"IQ_KEY_DEV_HEADLINE"),"")</f>
        <v>Walmart Inc. Presents at The SOUTHEAST RENEWABLE ENERGY SUMMIT, Nov-17-2021 03:15 PM</v>
      </c>
      <c r="E52" s="7" t="str">
        <f>IF(LEN($C52)&gt;0,_xll.ciqfunctions.udf.CIQ($C52,"IQ_KEY_DEV_TYPE"),"")</f>
        <v>Company Conference Presentations</v>
      </c>
      <c r="F52" s="7" t="str">
        <f>IF(LEN($C52)&gt;0,_xll.ciqfunctions.udf.CIQ($C52,"IQ_KEY_DEV_SITUATION"),"")</f>
        <v>Walmart Inc. Presents at The SOUTHEAST RENEWABLE ENERGY SUMMIT, Nov-17-2021 03:15 PM. Venue: Charlotte, North Carolina, United States. Speakers: Steve W. Chriss, Director, Energy Services.</v>
      </c>
      <c r="G52" s="19" t="str">
        <f t="shared" si="0"/>
        <v>18 Nov 2021</v>
      </c>
      <c r="H52" s="19" t="str">
        <f>+IF(LEN($C52)&gt;0,TEXT(IF(_xll.ciqfunctions.udf.CIQ($C52,"IQ_KEY_DEV_TIME")="NA","",_xll.ciqfunctions.udf.CIQ($C52,"IQ_KEY_DEV_TIME")),"h:mm AM/PM"),"")</f>
        <v>4:15 AM</v>
      </c>
      <c r="I52" s="7" t="str">
        <f>IF(LEN($C52)&gt;0,_xll.ciqfunctions.udf.CIQ($C52,"IQ_KEY_DEV_SOURCE"),"")</f>
        <v>Company Website</v>
      </c>
      <c r="P52" s="510"/>
      <c r="Q52" s="510"/>
      <c r="R52" s="510"/>
    </row>
    <row r="53" spans="2:18" x14ac:dyDescent="0.2">
      <c r="B53" s="7">
        <f t="shared" si="1"/>
        <v>46</v>
      </c>
      <c r="C53" s="7" t="s">
        <v>1402</v>
      </c>
      <c r="D53" s="7" t="str">
        <f>IF(LEN($C53),_xll.ciqfunctions.udf.CIQ($C53,"IQ_KEY_DEV_HEADLINE"),"")</f>
        <v>Walmart Inc., Q3 2022 Earnings Call, Nov 16, 2021</v>
      </c>
      <c r="E53" s="7" t="str">
        <f>IF(LEN($C53)&gt;0,_xll.ciqfunctions.udf.CIQ($C53,"IQ_KEY_DEV_TYPE"),"")</f>
        <v>Earnings Calls</v>
      </c>
      <c r="F53" s="7" t="str">
        <f>IF(LEN($C53)&gt;0,_xll.ciqfunctions.udf.CIQ($C53,"IQ_KEY_DEV_SITUATION"),"")</f>
        <v>Walmart Inc., Q3 2022 Earnings Call, Nov 16, 2021</v>
      </c>
      <c r="G53" s="19" t="str">
        <f t="shared" si="0"/>
        <v>16 Nov 2021</v>
      </c>
      <c r="H53" s="19" t="str">
        <f>+IF(LEN($C53)&gt;0,TEXT(IF(_xll.ciqfunctions.udf.CIQ($C53,"IQ_KEY_DEV_TIME")="NA","",_xll.ciqfunctions.udf.CIQ($C53,"IQ_KEY_DEV_TIME")),"h:mm AM/PM"),"")</f>
        <v>9:00 PM</v>
      </c>
      <c r="I53" s="7" t="str">
        <f>IF(LEN($C53)&gt;0,_xll.ciqfunctions.udf.CIQ($C53,"IQ_KEY_DEV_SOURCE"),"")</f>
        <v>Business Wire, Company Website</v>
      </c>
      <c r="P53" s="516" t="s">
        <v>839</v>
      </c>
      <c r="Q53" s="516"/>
      <c r="R53" s="515" t="s">
        <v>838</v>
      </c>
    </row>
    <row r="54" spans="2:18" x14ac:dyDescent="0.2">
      <c r="B54" s="7">
        <f t="shared" si="1"/>
        <v>47</v>
      </c>
      <c r="C54" s="7" t="s">
        <v>1403</v>
      </c>
      <c r="D54" s="7" t="str">
        <f>IF(LEN($C54),_xll.ciqfunctions.udf.CIQ($C54,"IQ_KEY_DEV_HEADLINE"),"")</f>
        <v>Walmart Inc. Provides Earnings Guidance for 2022</v>
      </c>
      <c r="E54" s="7" t="str">
        <f>IF(LEN($C54)&gt;0,_xll.ciqfunctions.udf.CIQ($C54,"IQ_KEY_DEV_TYPE"),"")</f>
        <v>Corporate Guidance - New/Confirmed</v>
      </c>
      <c r="F54" s="7" t="str">
        <f>IF(LEN($C54)&gt;0,_xll.ciqfunctions.udf.CIQ($C54,"IQ_KEY_DEV_SITUATION"),"")</f>
        <v>Walmart Inc. provided earnings guidance for 2022. For the period, the company now expects GAAP EPS of around $5.00.</v>
      </c>
      <c r="G54" s="19" t="str">
        <f t="shared" si="0"/>
        <v>16 Nov 2021</v>
      </c>
      <c r="H54" s="19" t="str">
        <f>+IF(LEN($C54)&gt;0,TEXT(IF(_xll.ciqfunctions.udf.CIQ($C54,"IQ_KEY_DEV_TIME")="NA","",_xll.ciqfunctions.udf.CIQ($C54,"IQ_KEY_DEV_TIME")),"h:mm AM/PM"),"")</f>
        <v>12:00 AM</v>
      </c>
      <c r="I54" s="7" t="str">
        <f>IF(LEN($C54)&gt;0,_xll.ciqfunctions.udf.CIQ($C54,"IQ_KEY_DEV_SOURCE"),"")</f>
        <v>Business Wire</v>
      </c>
      <c r="P54" s="514" t="s">
        <v>837</v>
      </c>
      <c r="Q54" s="510" t="s">
        <v>190</v>
      </c>
      <c r="R54" s="513" t="s">
        <v>836</v>
      </c>
    </row>
    <row r="55" spans="2:18" x14ac:dyDescent="0.2">
      <c r="B55" s="7">
        <f t="shared" si="1"/>
        <v>48</v>
      </c>
      <c r="C55" s="7" t="s">
        <v>1404</v>
      </c>
      <c r="D55" s="7" t="str">
        <f>IF(LEN($C55),_xll.ciqfunctions.udf.CIQ($C55,"IQ_KEY_DEV_HEADLINE"),"")</f>
        <v>Walmart Inc. Reports Earnings Results for the Third Quarter and Nine Months Ended October 31, 2021</v>
      </c>
      <c r="E55" s="7" t="str">
        <f>IF(LEN($C55)&gt;0,_xll.ciqfunctions.udf.CIQ($C55,"IQ_KEY_DEV_TYPE"),"")</f>
        <v>Announcements of Earnings</v>
      </c>
      <c r="F55" s="7" t="str">
        <f>IF(LEN($C55)&gt;0,_xll.ciqfunctions.udf.CIQ($C55,"IQ_KEY_DEV_SITUATION"),"")</f>
        <v>Walmart Inc. reported earnings results for the third quarter and nine months ended October 31, 2021. For the third quarter, the company reported sales was USD 139,207 million compared to USD 133,752 million a year ago. Revenue was USD 140,525 million compared to USD 134,708 million a year ago. Net income was USD 3,105 million compared to USD 5,135 million a year ago. Basic earnings per share from continuing operations was USD 1.11 compared to USD 1.81 a year ago. Diluted earnings per share from continuing operations was USD 1.11 compared to USD 1.8 a year ago._x000D_For the nine months, sales was USD 416,237 million compared to USD 404,248 million a year ago. Revenue was USD 419,883 million compared to USD 407,072 million a year ago. Net income was USD 10,111 million compared to USD 15,601 million a year ago. Basic earnings per share from continuing operations was USD 3.61 compared to USD 5.51 a year ago. Diluted earnings per share from continuing operations was USD 3.59 compared to USD 5.48 a year ago.</v>
      </c>
      <c r="G55" s="19" t="str">
        <f t="shared" si="0"/>
        <v>16 Nov 2021</v>
      </c>
      <c r="H55" s="19" t="str">
        <f>+IF(LEN($C55)&gt;0,TEXT(IF(_xll.ciqfunctions.udf.CIQ($C55,"IQ_KEY_DEV_TIME")="NA","",_xll.ciqfunctions.udf.CIQ($C55,"IQ_KEY_DEV_TIME")),"h:mm AM/PM"),"")</f>
        <v>12:00 AM</v>
      </c>
      <c r="I55" s="7" t="str">
        <f>IF(LEN($C55)&gt;0,_xll.ciqfunctions.udf.CIQ($C55,"IQ_KEY_DEV_SOURCE"),"")</f>
        <v>S&amp;P Capital IQ Financials Database</v>
      </c>
      <c r="P55" s="514" t="s">
        <v>835</v>
      </c>
      <c r="Q55" s="510" t="s">
        <v>190</v>
      </c>
      <c r="R55" s="513" t="s">
        <v>834</v>
      </c>
    </row>
    <row r="56" spans="2:18" x14ac:dyDescent="0.2">
      <c r="B56" s="7">
        <f t="shared" si="1"/>
        <v>49</v>
      </c>
      <c r="C56" s="7" t="s">
        <v>1405</v>
      </c>
      <c r="D56" s="7" t="str">
        <f>IF(LEN($C56),_xll.ciqfunctions.udf.CIQ($C56,"IQ_KEY_DEV_HEADLINE"),"")</f>
        <v>Walmart Inc. to Report Q3, 2022 Results on Nov 16, 2021</v>
      </c>
      <c r="E56" s="7" t="str">
        <f>IF(LEN($C56)&gt;0,_xll.ciqfunctions.udf.CIQ($C56,"IQ_KEY_DEV_TYPE"),"")</f>
        <v>Earnings Release Date</v>
      </c>
      <c r="F56" s="7" t="str">
        <f>IF(LEN($C56)&gt;0,_xll.ciqfunctions.udf.CIQ($C56,"IQ_KEY_DEV_SITUATION"),"")</f>
        <v>Walmart Inc. announced that they will report Q3, 2022 results at 6:00 AM, Central Standard Time on Nov 16, 2021</v>
      </c>
      <c r="G56" s="19" t="str">
        <f t="shared" si="0"/>
        <v>16 Nov 2021</v>
      </c>
      <c r="H56" s="19" t="str">
        <f>+IF(LEN($C56)&gt;0,TEXT(IF(_xll.ciqfunctions.udf.CIQ($C56,"IQ_KEY_DEV_TIME")="NA","",_xll.ciqfunctions.udf.CIQ($C56,"IQ_KEY_DEV_TIME")),"h:mm AM/PM"),"")</f>
        <v>8:00 PM</v>
      </c>
      <c r="I56" s="7" t="str">
        <f>IF(LEN($C56)&gt;0,_xll.ciqfunctions.udf.CIQ($C56,"IQ_KEY_DEV_SOURCE"),"")</f>
        <v>Company Website</v>
      </c>
      <c r="P56" s="514" t="s">
        <v>833</v>
      </c>
      <c r="Q56" s="510" t="s">
        <v>190</v>
      </c>
      <c r="R56" s="513" t="s">
        <v>832</v>
      </c>
    </row>
    <row r="57" spans="2:18" x14ac:dyDescent="0.2">
      <c r="B57" s="7">
        <f t="shared" si="1"/>
        <v>50</v>
      </c>
      <c r="C57" s="7" t="s">
        <v>1406</v>
      </c>
      <c r="D57" s="7" t="str">
        <f>IF(LEN($C57),_xll.ciqfunctions.udf.CIQ($C57,"IQ_KEY_DEV_HEADLINE"),"")</f>
        <v>Walmart Inc. Presents at KMWorld 2021, Nov-15-2021</v>
      </c>
      <c r="E57" s="7" t="str">
        <f>IF(LEN($C57)&gt;0,_xll.ciqfunctions.udf.CIQ($C57,"IQ_KEY_DEV_TYPE"),"")</f>
        <v>Company Conference Presentations</v>
      </c>
      <c r="F57" s="7" t="str">
        <f>IF(LEN($C57)&gt;0,_xll.ciqfunctions.udf.CIQ($C57,"IQ_KEY_DEV_SITUATION"),"")</f>
        <v>Walmart Inc. Presents at KMWorld 2021, Nov-15-2021 . Venue: JW Marriott, Washington, District Of Columbia, United States. Speakers: Amber Simpson, Senior Manager, Learning &amp; Development.</v>
      </c>
      <c r="G57" s="19" t="str">
        <f t="shared" si="0"/>
        <v>15 Nov 2021</v>
      </c>
      <c r="H57" s="19" t="str">
        <f>+IF(LEN($C57)&gt;0,TEXT(IF(_xll.ciqfunctions.udf.CIQ($C57,"IQ_KEY_DEV_TIME")="NA","",_xll.ciqfunctions.udf.CIQ($C57,"IQ_KEY_DEV_TIME")),"h:mm AM/PM"),"")</f>
        <v>8:00 AM</v>
      </c>
      <c r="I57" s="7" t="str">
        <f>IF(LEN($C57)&gt;0,_xll.ciqfunctions.udf.CIQ($C57,"IQ_KEY_DEV_SOURCE"),"")</f>
        <v>Company Website</v>
      </c>
      <c r="P57" s="514" t="s">
        <v>831</v>
      </c>
      <c r="Q57" s="510" t="s">
        <v>190</v>
      </c>
      <c r="R57" s="513" t="s">
        <v>830</v>
      </c>
    </row>
    <row r="58" spans="2:18" x14ac:dyDescent="0.2">
      <c r="B58" s="7">
        <f t="shared" si="1"/>
        <v>51</v>
      </c>
      <c r="C58" s="7" t="s">
        <v>1407</v>
      </c>
      <c r="D58" s="7" t="str">
        <f>IF(LEN($C58),_xll.ciqfunctions.udf.CIQ($C58,"IQ_KEY_DEV_HEADLINE"),"")</f>
        <v>Walmart Inc. Presents at Annual GraphQL Summit, Nov-10-2021</v>
      </c>
      <c r="E58" s="7" t="str">
        <f>IF(LEN($C58)&gt;0,_xll.ciqfunctions.udf.CIQ($C58,"IQ_KEY_DEV_TYPE"),"")</f>
        <v>Company Conference Presentations</v>
      </c>
      <c r="F58" s="7" t="str">
        <f>IF(LEN($C58)&gt;0,_xll.ciqfunctions.udf.CIQ($C58,"IQ_KEY_DEV_SITUATION"),"")</f>
        <v>Walmart Inc. Presents at Annual GraphQL Summit, Nov-10-2021 .</v>
      </c>
      <c r="G58" s="19" t="str">
        <f t="shared" si="0"/>
        <v>10 Nov 2021</v>
      </c>
      <c r="H58" s="19" t="str">
        <f>+IF(LEN($C58)&gt;0,TEXT(IF(_xll.ciqfunctions.udf.CIQ($C58,"IQ_KEY_DEV_TIME")="NA","",_xll.ciqfunctions.udf.CIQ($C58,"IQ_KEY_DEV_TIME")),"h:mm AM/PM"),"")</f>
        <v>8:00 AM</v>
      </c>
      <c r="I58" s="7" t="str">
        <f>IF(LEN($C58)&gt;0,_xll.ciqfunctions.udf.CIQ($C58,"IQ_KEY_DEV_SOURCE"),"")</f>
        <v>Business Wire</v>
      </c>
      <c r="P58" s="514" t="s">
        <v>745</v>
      </c>
      <c r="Q58" s="510" t="s">
        <v>190</v>
      </c>
      <c r="R58" s="513" t="s">
        <v>744</v>
      </c>
    </row>
    <row r="59" spans="2:18" x14ac:dyDescent="0.2">
      <c r="B59" s="7">
        <f t="shared" si="1"/>
        <v>52</v>
      </c>
      <c r="C59" s="7" t="s">
        <v>1408</v>
      </c>
      <c r="D59" s="7" t="str">
        <f>IF(LEN($C59),_xll.ciqfunctions.udf.CIQ($C59,"IQ_KEY_DEV_HEADLINE"),"")</f>
        <v>Walmart Plans to Build Two New High-Tech Facilities in the Dallas-Fort Worth Area</v>
      </c>
      <c r="E59" s="7" t="str">
        <f>IF(LEN($C59)&gt;0,_xll.ciqfunctions.udf.CIQ($C59,"IQ_KEY_DEV_TYPE"),"")</f>
        <v>Business Expansions</v>
      </c>
      <c r="F59" s="7" t="str">
        <f>IF(LEN($C59)&gt;0,_xll.ciqfunctions.udf.CIQ($C59,"IQ_KEY_DEV_SITUATION"),"")</f>
        <v>Walmart announced plans to build two new high-tech facilities in the Dallas-Fort Worth area to support the retailer's growing supply chain network a 1,500,000 square-foot automated fulfillment center, set to open in 2023, and 730,000 square-foot automated grocery distribution center, set to open in 2024, are among Walmart's largest automated fulfillment and distribution centers. The new Lancaster-based facilities will create approximately 1,000 full-time jobs across the region. 40% of the new jobs created will require STEM skills to support technical positions.</v>
      </c>
      <c r="G59" s="19" t="str">
        <f t="shared" si="0"/>
        <v>09 Nov 2021</v>
      </c>
      <c r="H59" s="19" t="str">
        <f>+IF(LEN($C59)&gt;0,TEXT(IF(_xll.ciqfunctions.udf.CIQ($C59,"IQ_KEY_DEV_TIME")="NA","",_xll.ciqfunctions.udf.CIQ($C59,"IQ_KEY_DEV_TIME")),"h:mm AM/PM"),"")</f>
        <v>12:00 AM</v>
      </c>
      <c r="I59" s="7" t="str">
        <f>IF(LEN($C59)&gt;0,_xll.ciqfunctions.udf.CIQ($C59,"IQ_KEY_DEV_SOURCE"),"")</f>
        <v>Business Wire</v>
      </c>
      <c r="P59" s="514" t="s">
        <v>743</v>
      </c>
      <c r="Q59" s="510" t="s">
        <v>190</v>
      </c>
      <c r="R59" s="513" t="s">
        <v>742</v>
      </c>
    </row>
    <row r="60" spans="2:18" x14ac:dyDescent="0.2">
      <c r="B60" s="7">
        <f t="shared" si="1"/>
        <v>53</v>
      </c>
      <c r="C60" s="7" t="s">
        <v>1409</v>
      </c>
      <c r="D60" s="7" t="str">
        <f>IF(LEN($C60),_xll.ciqfunctions.udf.CIQ($C60,"IQ_KEY_DEV_HEADLINE"),"")</f>
        <v>Walmart Inc. Presents at Augmented World Expo, Nov-09-2021</v>
      </c>
      <c r="E60" s="7" t="str">
        <f>IF(LEN($C60)&gt;0,_xll.ciqfunctions.udf.CIQ($C60,"IQ_KEY_DEV_TYPE"),"")</f>
        <v>Company Conference Presentations</v>
      </c>
      <c r="F60" s="7" t="str">
        <f>IF(LEN($C60)&gt;0,_xll.ciqfunctions.udf.CIQ($C60,"IQ_KEY_DEV_SITUATION"),"")</f>
        <v>Walmart Inc. Presents at Augmented World Expo, Nov-09-2021 . Venue: Santa Clara Convention Center, Santa Clara, California, United States. Speakers: Cynthia Maller, Head of CGI.</v>
      </c>
      <c r="G60" s="19" t="str">
        <f t="shared" si="0"/>
        <v>09 Nov 2021</v>
      </c>
      <c r="H60" s="19" t="str">
        <f>+IF(LEN($C60)&gt;0,TEXT(IF(_xll.ciqfunctions.udf.CIQ($C60,"IQ_KEY_DEV_TIME")="NA","",_xll.ciqfunctions.udf.CIQ($C60,"IQ_KEY_DEV_TIME")),"h:mm AM/PM"),"")</f>
        <v>8:00 AM</v>
      </c>
      <c r="I60" s="7" t="str">
        <f>IF(LEN($C60)&gt;0,_xll.ciqfunctions.udf.CIQ($C60,"IQ_KEY_DEV_SOURCE"),"")</f>
        <v>PR Newswire, Company Website</v>
      </c>
      <c r="P60" s="514" t="s">
        <v>829</v>
      </c>
      <c r="Q60" s="510" t="s">
        <v>190</v>
      </c>
      <c r="R60" s="513" t="s">
        <v>828</v>
      </c>
    </row>
    <row r="61" spans="2:18" x14ac:dyDescent="0.2">
      <c r="B61" s="7">
        <f t="shared" si="1"/>
        <v>54</v>
      </c>
      <c r="C61" s="7" t="s">
        <v>1410</v>
      </c>
      <c r="D61" s="7" t="str">
        <f>IF(LEN($C61),_xll.ciqfunctions.udf.CIQ($C61,"IQ_KEY_DEV_HEADLINE"),"")</f>
        <v>Walmart Inc. Presents at Virtual GTC, Nov-08-2021</v>
      </c>
      <c r="E61" s="7" t="str">
        <f>IF(LEN($C61)&gt;0,_xll.ciqfunctions.udf.CIQ($C61,"IQ_KEY_DEV_TYPE"),"")</f>
        <v>Company Conference Presentations</v>
      </c>
      <c r="F61" s="7" t="str">
        <f>IF(LEN($C61)&gt;0,_xll.ciqfunctions.udf.CIQ($C61,"IQ_KEY_DEV_SITUATION"),"")</f>
        <v>Walmart Inc. Presents at Virtual GTC, Nov-08-2021 .</v>
      </c>
      <c r="G61" s="19" t="str">
        <f t="shared" si="0"/>
        <v>08 Nov 2021</v>
      </c>
      <c r="H61" s="19" t="str">
        <f>+IF(LEN($C61)&gt;0,TEXT(IF(_xll.ciqfunctions.udf.CIQ($C61,"IQ_KEY_DEV_TIME")="NA","",_xll.ciqfunctions.udf.CIQ($C61,"IQ_KEY_DEV_TIME")),"h:mm AM/PM"),"")</f>
        <v>8:00 AM</v>
      </c>
      <c r="I61" s="7" t="str">
        <f>IF(LEN($C61)&gt;0,_xll.ciqfunctions.udf.CIQ($C61,"IQ_KEY_DEV_SOURCE"),"")</f>
        <v>GlobeNewswire, Company Website</v>
      </c>
      <c r="P61" s="514" t="s">
        <v>741</v>
      </c>
      <c r="Q61" s="510" t="s">
        <v>190</v>
      </c>
      <c r="R61" s="513" t="s">
        <v>740</v>
      </c>
    </row>
    <row r="62" spans="2:18" x14ac:dyDescent="0.2">
      <c r="B62" s="7">
        <f t="shared" si="1"/>
        <v>55</v>
      </c>
      <c r="C62" s="7" t="s">
        <v>1411</v>
      </c>
      <c r="D62" s="7" t="str">
        <f>IF(LEN($C62),_xll.ciqfunctions.udf.CIQ($C62,"IQ_KEY_DEV_HEADLINE"),"")</f>
        <v>Eat Beyond Global Holdings Inc. Announces its Portfolio Company Nabati Foods Signs Several New Contracts to Expand Distribution of its Products Throughout Asia and the United States</v>
      </c>
      <c r="E62" s="7" t="str">
        <f>IF(LEN($C62)&gt;0,_xll.ciqfunctions.udf.CIQ($C62,"IQ_KEY_DEV_TYPE"),"")</f>
        <v>Client Announcements</v>
      </c>
      <c r="F62" s="7" t="str">
        <f>IF(LEN($C62)&gt;0,_xll.ciqfunctions.udf.CIQ($C62,"IQ_KEY_DEV_SITUATION"),"")</f>
        <v>Eat Beyond Global Holdings Inc. announced that its portfolio company Nabati Foods has signed several new contracts to expand distribution of its products throughout Asia and the United States. Nanum Foods, a distributor based in South Korea has signed on to distribute Nabati Plant EggzTM and dairy-free cheesecakes under the brand ITABAN in Vietnam and South Korea. IMCD Japan has signed on to distribute Nabati Foods' full product line throughout Japan under the ITABAN brand via foodservice, grocery, and industrial channels. Walmart.com has now listed Nabati Foods' dairy-free cheesecakes and Nabati Plant EggzTM for sale throughout the United States (chocolate, blueberry, and peanut butter flavors). GTFO It's Vegan, a leading eCommerce retailer has now listed Nabati Cheeze Shreds, Nabati Plant EggzTM, and Nabati Foods' plant-based Chick'n and F'sh Burgers on its platform. KeHE, a major natural organic grocery distributor, will begin distributing Nabati CheeseTM to retail stores in October throughout the U.S. It currently distributes Nabati's four dairy-free cheesecake flavors to 433 stores. Satau-Tazé, a trusted supplier to health food and grocery stores in Québec will distribute Nabati Plant Eggz in Québec.</v>
      </c>
      <c r="G62" s="19" t="str">
        <f t="shared" si="0"/>
        <v>03 Nov 2021</v>
      </c>
      <c r="H62" s="19" t="str">
        <f>+IF(LEN($C62)&gt;0,TEXT(IF(_xll.ciqfunctions.udf.CIQ($C62,"IQ_KEY_DEV_TIME")="NA","",_xll.ciqfunctions.udf.CIQ($C62,"IQ_KEY_DEV_TIME")),"h:mm AM/PM"),"")</f>
        <v>12:00 AM</v>
      </c>
      <c r="I62" s="7" t="str">
        <f>IF(LEN($C62)&gt;0,_xll.ciqfunctions.udf.CIQ($C62,"IQ_KEY_DEV_SOURCE"),"")</f>
        <v>SEDAR</v>
      </c>
      <c r="P62" s="510"/>
      <c r="Q62" s="510"/>
      <c r="R62" s="510"/>
    </row>
    <row r="63" spans="2:18" x14ac:dyDescent="0.2">
      <c r="B63" s="7">
        <f t="shared" si="1"/>
        <v>56</v>
      </c>
      <c r="C63" s="7" t="s">
        <v>1412</v>
      </c>
      <c r="D63" s="7" t="str">
        <f>IF(LEN($C63),_xll.ciqfunctions.udf.CIQ($C63,"IQ_KEY_DEV_HEADLINE"),"")</f>
        <v>Sam’s Club and Walmart Launches First Eyewear Collection Created by the Legendary Elton John</v>
      </c>
      <c r="E63" s="7" t="str">
        <f>IF(LEN($C63)&gt;0,_xll.ciqfunctions.udf.CIQ($C63,"IQ_KEY_DEV_TYPE"),"")</f>
        <v>Client Announcements</v>
      </c>
      <c r="F63" s="7" t="str">
        <f>IF(LEN($C63)&gt;0,_xll.ciqfunctions.udf.CIQ($C63,"IQ_KEY_DEV_SITUATION"),"")</f>
        <v>Elton John Eyewear, a new line of stylish, accessible eyewear, is launching at Sam’s Club and at Walmart later this week. Elton John collaborated closely with the retailers on the development of the brand, with each pair inspired by his iconic style and famed music career. Each frame was given a name by Elton himself, like “Rocketman,” a nod to his chart-topping hit and most recent Academy Award Nominated film of the same name, “A-List” reflecting moments when he was at the peak of his career, and “Prodigy,” representing his rise from a shy piano prodigy in the UK to international celebrity. From their shapes and colors to their lenses, the goal of the collection was to ensure that there is a frame for every fan.
The launch of Elton John Eyewear also furthers Walmart’s support of the Elton John AIDS Foundation’s mission. Walmart Inc. will donate a minimum of $1 million annually from the Elton John Eyewear collection to support the Elton John AIDS Foundation to increase HIV education and awareness and encourage individuals to take the first steps toward a healthier future.</v>
      </c>
      <c r="G63" s="19" t="str">
        <f t="shared" si="0"/>
        <v>01 Nov 2021</v>
      </c>
      <c r="H63" s="19" t="str">
        <f>+IF(LEN($C63)&gt;0,TEXT(IF(_xll.ciqfunctions.udf.CIQ($C63,"IQ_KEY_DEV_TIME")="NA","",_xll.ciqfunctions.udf.CIQ($C63,"IQ_KEY_DEV_TIME")),"h:mm AM/PM"),"")</f>
        <v>12:00 AM</v>
      </c>
      <c r="I63" s="7" t="str">
        <f>IF(LEN($C63)&gt;0,_xll.ciqfunctions.udf.CIQ($C63,"IQ_KEY_DEV_SOURCE"),"")</f>
        <v>Business Wire</v>
      </c>
      <c r="P63" s="516" t="s">
        <v>827</v>
      </c>
      <c r="Q63" s="516"/>
      <c r="R63" s="515" t="s">
        <v>826</v>
      </c>
    </row>
    <row r="64" spans="2:18" x14ac:dyDescent="0.2">
      <c r="B64" s="7">
        <f t="shared" si="1"/>
        <v>57</v>
      </c>
      <c r="C64" s="7" t="s">
        <v>1413</v>
      </c>
      <c r="D64" s="7" t="str">
        <f>IF(LEN($C64),_xll.ciqfunctions.udf.CIQ($C64,"IQ_KEY_DEV_HEADLINE"),"")</f>
        <v>Revolutionparts and Walmart Announce Exclusive Agreement to Bring OEM Auto Parts to Walmart.Com</v>
      </c>
      <c r="E64" s="7" t="str">
        <f>IF(LEN($C64)&gt;0,_xll.ciqfunctions.udf.CIQ($C64,"IQ_KEY_DEV_TYPE"),"")</f>
        <v>Client Announcements</v>
      </c>
      <c r="F64" s="7" t="str">
        <f>IF(LEN($C64)&gt;0,_xll.ciqfunctions.udf.CIQ($C64,"IQ_KEY_DEV_SITUATION"),"")</f>
        <v>RevolutionParts and Walmart announced an exclusive agreement to bring OEM automotive parts to the Walmart Marketplace. Over the last two years, Walmart's U.S. eCommerce business doubled. The OEM parts ecommerce industry grew at a 30% rate last year and is continuing a similar trajectory in 2021. By teaming with RevolutionParts, Walmart.com will gain immediate access to hundreds of thousands of parts that will allow the retailer to immediately establish a strong offering of the booming genuine OEM parts and accessories eCommerce market. As part of the relationship, Walmart will build out pages dedicated to OEM parts, making the parts even easier to find. Customers will be able to search for parts based on the make, model and year of their vehicle, which will make shopping in this category simple and fast.</v>
      </c>
      <c r="G64" s="19" t="str">
        <f t="shared" si="0"/>
        <v>29 Oct 2021</v>
      </c>
      <c r="H64" s="19" t="str">
        <f>+IF(LEN($C64)&gt;0,TEXT(IF(_xll.ciqfunctions.udf.CIQ($C64,"IQ_KEY_DEV_TIME")="NA","",_xll.ciqfunctions.udf.CIQ($C64,"IQ_KEY_DEV_TIME")),"h:mm AM/PM"),"")</f>
        <v>12:00 AM</v>
      </c>
      <c r="I64" s="7" t="str">
        <f>IF(LEN($C64)&gt;0,_xll.ciqfunctions.udf.CIQ($C64,"IQ_KEY_DEV_SOURCE"),"")</f>
        <v>PR Newswire</v>
      </c>
      <c r="P64" s="514" t="s">
        <v>825</v>
      </c>
      <c r="Q64" s="510" t="s">
        <v>190</v>
      </c>
      <c r="R64" s="513" t="s">
        <v>824</v>
      </c>
    </row>
    <row r="65" spans="2:18" x14ac:dyDescent="0.2">
      <c r="B65" s="7">
        <f t="shared" si="1"/>
        <v>58</v>
      </c>
      <c r="C65" s="7" t="s">
        <v>1414</v>
      </c>
      <c r="D65" s="7" t="str">
        <f>IF(LEN($C65),_xll.ciqfunctions.udf.CIQ($C65,"IQ_KEY_DEV_HEADLINE"),"")</f>
        <v>Walmart Takes Immediate Steps for Customer Safety Following Voluntary Recall of Better Homes and Gardens Essential Oil Infused Aromatherapy Room Spray with Gemstones</v>
      </c>
      <c r="E65" s="7" t="str">
        <f>IF(LEN($C65)&gt;0,_xll.ciqfunctions.udf.CIQ($C65,"IQ_KEY_DEV_TYPE"),"")</f>
        <v>Product-Related Announcements</v>
      </c>
      <c r="F65" s="7" t="str">
        <f>IF(LEN($C65)&gt;0,_xll.ciqfunctions.udf.CIQ($C65,"IQ_KEY_DEV_SITUATION"),"")</f>
        <v>Walmart continues to assist the Consumer Product Safety Commission and Centers for Disease Control and Prevention in their investigation and on Oct. 22 voluntarily recalled about 3,900 bottles of Better Homes and Gardens-branded- Essential Oil Infused Aromatherapy Room Spray with Gemstones in six different scents due to the possible presence of a rare and dangerous bacteria. Walmart quickly enacted plans on behalf of its customers after federal agencies alerted the company of concerns with an aromatherapy room spray manufactured by Flora Classique Inc. and sold under the Better Homes &amp; Gardens brand. As soon as Walmart was alerted to the issue, the company pulled the product from the shelves of about 55 stores in 18 states that were part of a pilot program and put a register block in place at stores and online to prevent any further sales. The CPSC issued its recall on Oct. 22. For customers who purchased the product online, Walmart emailed each of them letters on Oct. 22 alerting them of the recall and indicating company records reflected they may have purchased one of six scents since February 2021 that were recalled. On after extensive research to identify contact information, Walmart also emailed more than 2,000 customers who purchased the product at one of its approximately 55 stores that sold it as part of the pilot program. In addition, the company is sending letters to another 263 customers with no email address on record and placing calls to a small number of other customers with no available email or physical address. Walmart is telling customers who purchased the Better Homes &amp; Gardens Essential Oil Infused Aromatherapy Room Spray with Gemstones since February they should stop using it immediately and follow recommendations in the voluntary Recall Notice for securing and returning the product to a Walmart store. This includes double bagging the bottle in clean, clear zip-top resealable bags and placing it in a small cardboard box. It is important that these products be handled correctly and returned to Walmart. Walmart will provide a full refund and offer a $20 gift card for any inconvenience.</v>
      </c>
      <c r="G65" s="19" t="str">
        <f t="shared" si="0"/>
        <v>27 Oct 2021</v>
      </c>
      <c r="H65" s="19" t="str">
        <f>+IF(LEN($C65)&gt;0,TEXT(IF(_xll.ciqfunctions.udf.CIQ($C65,"IQ_KEY_DEV_TIME")="NA","",_xll.ciqfunctions.udf.CIQ($C65,"IQ_KEY_DEV_TIME")),"h:mm AM/PM"),"")</f>
        <v>12:00 AM</v>
      </c>
      <c r="I65" s="7" t="str">
        <f>IF(LEN($C65)&gt;0,_xll.ciqfunctions.udf.CIQ($C65,"IQ_KEY_DEV_SOURCE"),"")</f>
        <v>Business Wire</v>
      </c>
      <c r="P65" s="514" t="s">
        <v>823</v>
      </c>
      <c r="Q65" s="510" t="s">
        <v>190</v>
      </c>
      <c r="R65" s="513" t="s">
        <v>822</v>
      </c>
    </row>
    <row r="66" spans="2:18" x14ac:dyDescent="0.2">
      <c r="B66" s="7">
        <f t="shared" si="1"/>
        <v>59</v>
      </c>
      <c r="C66" s="7" t="s">
        <v>1415</v>
      </c>
      <c r="D66" s="7" t="str">
        <f>IF(LEN($C66),_xll.ciqfunctions.udf.CIQ($C66,"IQ_KEY_DEV_HEADLINE"),"")</f>
        <v>Walmart Inc. Presents at KeyBanc Technology Leadership Forum, Oct-21-2021 11:30 AM</v>
      </c>
      <c r="E66" s="7" t="str">
        <f>IF(LEN($C66)&gt;0,_xll.ciqfunctions.udf.CIQ($C66,"IQ_KEY_DEV_TYPE"),"")</f>
        <v>Company Conference Presentations</v>
      </c>
      <c r="F66" s="7" t="str">
        <f>IF(LEN($C66)&gt;0,_xll.ciqfunctions.udf.CIQ($C66,"IQ_KEY_DEV_SITUATION"),"")</f>
        <v>Walmart Inc. Presents at KeyBanc Technology Leadership Forum, Oct-21-2021 11:30 AM. Speakers: Suresh Kumar, Global CTO, Chief Development Officer &amp; Executive VP.</v>
      </c>
      <c r="G66" s="19" t="str">
        <f t="shared" si="0"/>
        <v>22 Oct 2021</v>
      </c>
      <c r="H66" s="19" t="str">
        <f>+IF(LEN($C66)&gt;0,TEXT(IF(_xll.ciqfunctions.udf.CIQ($C66,"IQ_KEY_DEV_TIME")="NA","",_xll.ciqfunctions.udf.CIQ($C66,"IQ_KEY_DEV_TIME")),"h:mm AM/PM"),"")</f>
        <v>12:30 AM</v>
      </c>
      <c r="I66" s="7" t="str">
        <f>IF(LEN($C66)&gt;0,_xll.ciqfunctions.udf.CIQ($C66,"IQ_KEY_DEV_SOURCE"),"")</f>
        <v>Business Wire</v>
      </c>
      <c r="P66" s="514" t="s">
        <v>821</v>
      </c>
      <c r="Q66" s="510" t="s">
        <v>190</v>
      </c>
      <c r="R66" s="513" t="s">
        <v>820</v>
      </c>
    </row>
    <row r="67" spans="2:18" x14ac:dyDescent="0.2">
      <c r="B67" s="7">
        <f t="shared" si="1"/>
        <v>60</v>
      </c>
      <c r="C67" s="7" t="s">
        <v>1416</v>
      </c>
      <c r="D67" s="7" t="str">
        <f>IF(LEN($C67),_xll.ciqfunctions.udf.CIQ($C67,"IQ_KEY_DEV_HEADLINE"),"")</f>
        <v>Walmart Inc. Selects Spartanburg County for New High-Tech Grocery Distribution Center</v>
      </c>
      <c r="E67" s="7" t="str">
        <f>IF(LEN($C67)&gt;0,_xll.ciqfunctions.udf.CIQ($C67,"IQ_KEY_DEV_TYPE"),"")</f>
        <v>Business Expansions</v>
      </c>
      <c r="F67" s="7" t="str">
        <f>IF(LEN($C67)&gt;0,_xll.ciqfunctions.udf.CIQ($C67,"IQ_KEY_DEV_SITUATION"),"")</f>
        <v>Walmart Inc. announced plans to build a new, high-tech distribution center for fresh and frozen groceries in Spartanburg County, set to open in 2024. The new 720,000+ square-foot facility will create more than 400 full-time regional jobs and will rely on the combination of Walmart associates, automation technology, robotics and machine learning to process grocery perishables – such as produce, eggs, dairy, flowers and frozen goods – and deliver them to nearby stores. The high-tech facility marks Walmart’s largest grocery distribution center to date and will move 2x’s more product than a traditional grocery DC in addition to presenting new technology-focused job opportunities in the region.</v>
      </c>
      <c r="G67" s="19" t="str">
        <f t="shared" si="0"/>
        <v>19 Oct 2021</v>
      </c>
      <c r="H67" s="19" t="str">
        <f>+IF(LEN($C67)&gt;0,TEXT(IF(_xll.ciqfunctions.udf.CIQ($C67,"IQ_KEY_DEV_TIME")="NA","",_xll.ciqfunctions.udf.CIQ($C67,"IQ_KEY_DEV_TIME")),"h:mm AM/PM"),"")</f>
        <v>12:00 AM</v>
      </c>
      <c r="I67" s="7" t="str">
        <f>IF(LEN($C67)&gt;0,_xll.ciqfunctions.udf.CIQ($C67,"IQ_KEY_DEV_SOURCE"),"")</f>
        <v>Business Wire</v>
      </c>
      <c r="P67" s="514" t="s">
        <v>819</v>
      </c>
      <c r="Q67" s="510" t="s">
        <v>724</v>
      </c>
      <c r="R67" s="513" t="s">
        <v>818</v>
      </c>
    </row>
    <row r="68" spans="2:18" x14ac:dyDescent="0.2">
      <c r="B68" s="7">
        <f t="shared" si="1"/>
        <v>61</v>
      </c>
      <c r="C68" s="7" t="s">
        <v>1417</v>
      </c>
      <c r="D68" s="7" t="str">
        <f>IF(LEN($C68),_xll.ciqfunctions.udf.CIQ($C68,"IQ_KEY_DEV_HEADLINE"),"")</f>
        <v>Walmart Inc. Presents at 8th Annual HOPE Global Forum, Oct-19-2021</v>
      </c>
      <c r="E68" s="7" t="str">
        <f>IF(LEN($C68)&gt;0,_xll.ciqfunctions.udf.CIQ($C68,"IQ_KEY_DEV_TYPE"),"")</f>
        <v>Company Conference Presentations</v>
      </c>
      <c r="F68" s="7" t="str">
        <f>IF(LEN($C68)&gt;0,_xll.ciqfunctions.udf.CIQ($C68,"IQ_KEY_DEV_SITUATION"),"")</f>
        <v>Walmart Inc. Presents at 8th Annual HOPE Global Forum, Oct-19-2021 . Venue: Atlanta, Georgia, United States. Speakers: C. Douglas McMillon, President, CEO &amp; Director.</v>
      </c>
      <c r="G68" s="19" t="str">
        <f t="shared" si="0"/>
        <v>19 Oct 2021</v>
      </c>
      <c r="H68" s="19" t="str">
        <f>+IF(LEN($C68)&gt;0,TEXT(IF(_xll.ciqfunctions.udf.CIQ($C68,"IQ_KEY_DEV_TIME")="NA","",_xll.ciqfunctions.udf.CIQ($C68,"IQ_KEY_DEV_TIME")),"h:mm AM/PM"),"")</f>
        <v>8:00 AM</v>
      </c>
      <c r="I68" s="7" t="str">
        <f>IF(LEN($C68)&gt;0,_xll.ciqfunctions.udf.CIQ($C68,"IQ_KEY_DEV_SOURCE"),"")</f>
        <v>PR Newswire, Company Website</v>
      </c>
      <c r="P68" s="514" t="s">
        <v>817</v>
      </c>
      <c r="Q68" s="510" t="s">
        <v>724</v>
      </c>
      <c r="R68" s="513" t="s">
        <v>816</v>
      </c>
    </row>
    <row r="69" spans="2:18" x14ac:dyDescent="0.2">
      <c r="B69" s="7">
        <f t="shared" si="1"/>
        <v>62</v>
      </c>
      <c r="C69" s="7" t="s">
        <v>1418</v>
      </c>
      <c r="D69" s="7" t="str">
        <f>IF(LEN($C69),_xll.ciqfunctions.udf.CIQ($C69,"IQ_KEY_DEV_HEADLINE"),"")</f>
        <v>Walmart Inc. Presents at The Milken Institute Global Conference, Oct-18-2021 02:00 PM</v>
      </c>
      <c r="E69" s="7" t="str">
        <f>IF(LEN($C69)&gt;0,_xll.ciqfunctions.udf.CIQ($C69,"IQ_KEY_DEV_TYPE"),"")</f>
        <v>Company Conference Presentations</v>
      </c>
      <c r="F69" s="7" t="str">
        <f>IF(LEN($C69)&gt;0,_xll.ciqfunctions.udf.CIQ($C69,"IQ_KEY_DEV_SITUATION"),"")</f>
        <v>Walmart Inc. Presents at The Milken Institute Global Conference, Oct-18-2021 02:00 PM. Venue: The Beverly Hilton Hotel, Los Angeles, California, United States. Speakers: Brandon Carson, Vice President, Learning and Leadership Partner.</v>
      </c>
      <c r="G69" s="19" t="str">
        <f t="shared" si="0"/>
        <v>19 Oct 2021</v>
      </c>
      <c r="H69" s="19" t="str">
        <f>+IF(LEN($C69)&gt;0,TEXT(IF(_xll.ciqfunctions.udf.CIQ($C69,"IQ_KEY_DEV_TIME")="NA","",_xll.ciqfunctions.udf.CIQ($C69,"IQ_KEY_DEV_TIME")),"h:mm AM/PM"),"")</f>
        <v>5:00 AM</v>
      </c>
      <c r="I69" s="7" t="str">
        <f>IF(LEN($C69)&gt;0,_xll.ciqfunctions.udf.CIQ($C69,"IQ_KEY_DEV_SOURCE"),"")</f>
        <v>Business Wire, Company Website</v>
      </c>
      <c r="P69" s="514" t="s">
        <v>815</v>
      </c>
      <c r="Q69" s="510" t="s">
        <v>724</v>
      </c>
      <c r="R69" s="513" t="s">
        <v>814</v>
      </c>
    </row>
    <row r="70" spans="2:18" x14ac:dyDescent="0.2">
      <c r="B70" s="7">
        <f t="shared" si="1"/>
        <v>63</v>
      </c>
      <c r="C70" s="7" t="s">
        <v>1419</v>
      </c>
      <c r="D70" s="7" t="str">
        <f>IF(LEN($C70),_xll.ciqfunctions.udf.CIQ($C70,"IQ_KEY_DEV_HEADLINE"),"")</f>
        <v>Walmart Inc. Presents at HLTH 2021 Conference, Oct-18-2021 11:30 AM</v>
      </c>
      <c r="E70" s="7" t="str">
        <f>IF(LEN($C70)&gt;0,_xll.ciqfunctions.udf.CIQ($C70,"IQ_KEY_DEV_TYPE"),"")</f>
        <v>Company Conference Presentations</v>
      </c>
      <c r="F70" s="7" t="str">
        <f>IF(LEN($C70)&gt;0,_xll.ciqfunctions.udf.CIQ($C70,"IQ_KEY_DEV_SITUATION"),"")</f>
        <v>Walmart Inc. Presents at HLTH 2021 Conference, Oct-18-2021 11:30 AM. Venue: Boston, Massachusetts, United States. Speakers: Cheryl Pegus, Executive Vice President of Health &amp; Wellness.</v>
      </c>
      <c r="G70" s="19" t="str">
        <f t="shared" si="0"/>
        <v>18 Oct 2021</v>
      </c>
      <c r="H70" s="19" t="str">
        <f>+IF(LEN($C70)&gt;0,TEXT(IF(_xll.ciqfunctions.udf.CIQ($C70,"IQ_KEY_DEV_TIME")="NA","",_xll.ciqfunctions.udf.CIQ($C70,"IQ_KEY_DEV_TIME")),"h:mm AM/PM"),"")</f>
        <v>11:30 PM</v>
      </c>
      <c r="I70" s="7" t="str">
        <f>IF(LEN($C70)&gt;0,_xll.ciqfunctions.udf.CIQ($C70,"IQ_KEY_DEV_SOURCE"),"")</f>
        <v>PR Newswire, Business Wire, GlobeNewswire</v>
      </c>
      <c r="P70" s="514" t="s">
        <v>813</v>
      </c>
      <c r="Q70" s="510" t="s">
        <v>724</v>
      </c>
      <c r="R70" s="513" t="s">
        <v>812</v>
      </c>
    </row>
    <row r="71" spans="2:18" x14ac:dyDescent="0.2">
      <c r="B71" s="7">
        <f t="shared" si="1"/>
        <v>64</v>
      </c>
      <c r="C71" s="7" t="s">
        <v>1420</v>
      </c>
      <c r="D71" s="7" t="str">
        <f>IF(LEN($C71),_xll.ciqfunctions.udf.CIQ($C71,"IQ_KEY_DEV_HEADLINE"),"")</f>
        <v>Walmart Inc. Presents at Innovation@ Work, Oct-18-2021 09:15 AM</v>
      </c>
      <c r="E71" s="7" t="str">
        <f>IF(LEN($C71)&gt;0,_xll.ciqfunctions.udf.CIQ($C71,"IQ_KEY_DEV_TYPE"),"")</f>
        <v>Company Conference Presentations</v>
      </c>
      <c r="F71" s="7" t="str">
        <f>IF(LEN($C71)&gt;0,_xll.ciqfunctions.udf.CIQ($C71,"IQ_KEY_DEV_SITUATION"),"")</f>
        <v>Walmart Inc. Presents at Innovation@ Work, Oct-18-2021 09:15 AM. Speakers: Donna Morris, Executive VP of Global People &amp; Chief People Officer.</v>
      </c>
      <c r="G71" s="19" t="str">
        <f t="shared" si="0"/>
        <v>18 Oct 2021</v>
      </c>
      <c r="H71" s="19" t="str">
        <f>+IF(LEN($C71)&gt;0,TEXT(IF(_xll.ciqfunctions.udf.CIQ($C71,"IQ_KEY_DEV_TIME")="NA","",_xll.ciqfunctions.udf.CIQ($C71,"IQ_KEY_DEV_TIME")),"h:mm AM/PM"),"")</f>
        <v>9:15 PM</v>
      </c>
      <c r="I71" s="7" t="str">
        <f>IF(LEN($C71)&gt;0,_xll.ciqfunctions.udf.CIQ($C71,"IQ_KEY_DEV_SOURCE"),"")</f>
        <v>PR Newswire, Company Website</v>
      </c>
      <c r="P71" s="514" t="s">
        <v>811</v>
      </c>
      <c r="Q71" s="510" t="s">
        <v>724</v>
      </c>
      <c r="R71" s="513" t="s">
        <v>810</v>
      </c>
    </row>
    <row r="72" spans="2:18" x14ac:dyDescent="0.2">
      <c r="B72" s="7">
        <f t="shared" si="1"/>
        <v>65</v>
      </c>
      <c r="C72" s="7" t="s">
        <v>1421</v>
      </c>
      <c r="D72" s="7" t="str">
        <f>IF(LEN($C72),_xll.ciqfunctions.udf.CIQ($C72,"IQ_KEY_DEV_HEADLINE"),"")</f>
        <v>Walmart Selects Transcarent To Provide Go-to-Market Solution for Self-Insured Employers</v>
      </c>
      <c r="E72" s="7" t="str">
        <f>IF(LEN($C72)&gt;0,_xll.ciqfunctions.udf.CIQ($C72,"IQ_KEY_DEV_TYPE"),"")</f>
        <v>Client Announcements</v>
      </c>
      <c r="F72" s="7" t="str">
        <f>IF(LEN($C72)&gt;0,_xll.ciqfunctions.udf.CIQ($C72,"IQ_KEY_DEV_SITUATION"),"")</f>
        <v>Walmart and Transcarent announced they would be working together as go-to-market partners for self-insured employers across the country. The agreement allows Transcarent, which offers employees and their dependents a new, different and better health and care experience, to share Walmart’s everyday low cost on pharmaceuticals and other services with self-insured employers and their employees for the first time. The collaboration makes it easier for millions of employees and the families of self-insured employers to access high-value care — no matter where they live — at affordable prices. This new offering will allow employers of all sizes to leverage Walmart’s health care size and scale to more easily provide their employees convenient care and cost-effective health and wellness options. Walmart’s omnichannel offerings include Pharmacy services – retail and specialty, Optical services, national telehealth services that include a focus on behavioral health, OTC, Walmart health centers and low-cost fresh food. Through this range of services, the company focuses on Social Determinants of Health, personal behaviors and clinical care seven days a week. Walmart provides prescriptions, over-the-counter medications, a variety of immunizations and COVID-19 drive-thru testing in select locations. For those who receive their COVID-19 vaccination at Walmart and Sam’s Club, a Digital Vaccine Record is available for easy access of their vaccination record that can be saved, downloaded or shared with third-party verification apps. Walmart customers with a Walmart+ membership can also get free shipping on store purchases and medicines offered as part of the membership.</v>
      </c>
      <c r="G72" s="19" t="str">
        <f t="shared" ref="G72:G135" si="2">+IF(LEN($C72)&gt;0,TEXT(_xll.ciqfunctions.udf.CIQ($C72,"IQ_KEY_DEV_DATE"),"dd MMM yyyy"),"")</f>
        <v>15 Oct 2021</v>
      </c>
      <c r="H72" s="19" t="str">
        <f>+IF(LEN($C72)&gt;0,TEXT(IF(_xll.ciqfunctions.udf.CIQ($C72,"IQ_KEY_DEV_TIME")="NA","",_xll.ciqfunctions.udf.CIQ($C72,"IQ_KEY_DEV_TIME")),"h:mm AM/PM"),"")</f>
        <v>12:00 AM</v>
      </c>
      <c r="I72" s="7" t="str">
        <f>IF(LEN($C72)&gt;0,_xll.ciqfunctions.udf.CIQ($C72,"IQ_KEY_DEV_SOURCE"),"")</f>
        <v>Business Wire</v>
      </c>
      <c r="P72" s="510"/>
      <c r="Q72" s="510"/>
      <c r="R72" s="510"/>
    </row>
    <row r="73" spans="2:18" x14ac:dyDescent="0.2">
      <c r="B73" s="7">
        <f t="shared" si="1"/>
        <v>66</v>
      </c>
      <c r="C73" s="7" t="s">
        <v>1422</v>
      </c>
      <c r="D73" s="7" t="str">
        <f>IF(LEN($C73),_xll.ciqfunctions.udf.CIQ($C73,"IQ_KEY_DEV_HEADLINE"),"")</f>
        <v>Else Nutrition to Expand to Walmart.Com This November, Adding Kids Plant-Based Shakes to Listings</v>
      </c>
      <c r="E73" s="7" t="str">
        <f>IF(LEN($C73)&gt;0,_xll.ciqfunctions.udf.CIQ($C73,"IQ_KEY_DEV_TYPE"),"")</f>
        <v>Client Announcements</v>
      </c>
      <c r="F73" s="7" t="str">
        <f>IF(LEN($C73)&gt;0,_xll.ciqfunctions.udf.CIQ($C73,"IQ_KEY_DEV_SITUATION"),"")</f>
        <v>ELSE NUTRITION HOLDINGS INC. announced that it will be proceeding with its online distribution agreement with Walmart.com by November 2021, with its launch of Plant-Based Complete Nutrition for Toddler and Kids product range. Walmart’s U.S. e-commerce sales prior to the pandemic were $30 billion and are projected to hit over $64 billion by the end of 2021. During the year, sales have grown though increased customer demand for eating at home, entertaining, etc. Walmart.com’s traffic was much higher than pre-pandemic levels (for example, there was a 48% increase compared to the same quarter two years ago). Online shopping, particularly in the grocery and FMCG segment (Fast Moving Consumer Goods), has undergone a surge in popularity due to the pandemic. Else Nutrition announced the Walmart.com distribution agreement earlier this year in August, and since has added the additional listings of the Kids products.</v>
      </c>
      <c r="G73" s="19" t="str">
        <f t="shared" si="2"/>
        <v>12 Oct 2021</v>
      </c>
      <c r="H73" s="19" t="str">
        <f>+IF(LEN($C73)&gt;0,TEXT(IF(_xll.ciqfunctions.udf.CIQ($C73,"IQ_KEY_DEV_TIME")="NA","",_xll.ciqfunctions.udf.CIQ($C73,"IQ_KEY_DEV_TIME")),"h:mm AM/PM"),"")</f>
        <v>12:00 AM</v>
      </c>
      <c r="I73" s="7" t="str">
        <f>IF(LEN($C73)&gt;0,_xll.ciqfunctions.udf.CIQ($C73,"IQ_KEY_DEV_SOURCE"),"")</f>
        <v>GlobeNewswire – Canada</v>
      </c>
      <c r="P73" s="516" t="s">
        <v>809</v>
      </c>
      <c r="Q73" s="516"/>
      <c r="R73" s="515" t="s">
        <v>808</v>
      </c>
    </row>
    <row r="74" spans="2:18" x14ac:dyDescent="0.2">
      <c r="B74" s="7">
        <f t="shared" si="1"/>
        <v>67</v>
      </c>
      <c r="C74" s="7" t="s">
        <v>1423</v>
      </c>
      <c r="D74" s="7" t="str">
        <f>IF(LEN($C74),_xll.ciqfunctions.udf.CIQ($C74,"IQ_KEY_DEV_HEADLINE"),"")</f>
        <v>Walmart Inc. Presents at Open Networking &amp; Edge Summit + Kubernetes on Edge Day, Oct-11-2021 09:20 AM</v>
      </c>
      <c r="E74" s="7" t="str">
        <f>IF(LEN($C74)&gt;0,_xll.ciqfunctions.udf.CIQ($C74,"IQ_KEY_DEV_TYPE"),"")</f>
        <v>Company Conference Presentations</v>
      </c>
      <c r="F74" s="7" t="str">
        <f>IF(LEN($C74)&gt;0,_xll.ciqfunctions.udf.CIQ($C74,"IQ_KEY_DEV_SITUATION"),"")</f>
        <v>Walmart Inc. Presents at Open Networking &amp; Edge Summit + Kubernetes on Edge Day, Oct-11-2021 09:20 AM. Venue: Los Angeles, California, United States. Speakers: Koby Avital, Executive Vice President of Platforms.</v>
      </c>
      <c r="G74" s="19" t="str">
        <f t="shared" si="2"/>
        <v>12 Oct 2021</v>
      </c>
      <c r="H74" s="19" t="str">
        <f>+IF(LEN($C74)&gt;0,TEXT(IF(_xll.ciqfunctions.udf.CIQ($C74,"IQ_KEY_DEV_TIME")="NA","",_xll.ciqfunctions.udf.CIQ($C74,"IQ_KEY_DEV_TIME")),"h:mm AM/PM"),"")</f>
        <v>12:20 AM</v>
      </c>
      <c r="I74" s="7" t="str">
        <f>IF(LEN($C74)&gt;0,_xll.ciqfunctions.udf.CIQ($C74,"IQ_KEY_DEV_SOURCE"),"")</f>
        <v>PR Newswire, Company Website</v>
      </c>
      <c r="P74" s="514" t="s">
        <v>807</v>
      </c>
      <c r="Q74" s="510" t="s">
        <v>724</v>
      </c>
      <c r="R74" s="513" t="s">
        <v>806</v>
      </c>
    </row>
    <row r="75" spans="2:18" x14ac:dyDescent="0.2">
      <c r="B75" s="7">
        <f t="shared" si="1"/>
        <v>68</v>
      </c>
      <c r="C75" s="7" t="s">
        <v>1424</v>
      </c>
      <c r="D75" s="7" t="str">
        <f>IF(LEN($C75),_xll.ciqfunctions.udf.CIQ($C75,"IQ_KEY_DEV_HEADLINE"),"")</f>
        <v>The Home Depot Teams Up with Walmart GoLocal to Enhance Local Delivery Capabilities</v>
      </c>
      <c r="E75" s="7" t="str">
        <f>IF(LEN($C75)&gt;0,_xll.ciqfunctions.udf.CIQ($C75,"IQ_KEY_DEV_TYPE"),"")</f>
        <v>Client Announcements</v>
      </c>
      <c r="F75" s="7" t="str">
        <f>IF(LEN($C75)&gt;0,_xll.ciqfunctions.udf.CIQ($C75,"IQ_KEY_DEV_SITUATION"),"")</f>
        <v>Two of the world’s leading retailers are working together to expand same-day and next-day delivery capabilities for home improvement customers in the U.S. With Walmart GoLocal, The Home Depot customers have another option for same-day or next-day delivery on a variety of home improvement products. The company will offer delivery with Walmart GoLocal in select markets in the coming weeks, with plans to expand to multiple markets across the country by the end of the year. Products that qualify for this scheduled delivery, including tools, fasteners, paint and other supplies that easily fit in a car, will have that option enabled at online checkout. The Home Depot is building a comprehensive, innovative delivery network to provide customers with same-day or next-day delivery options no matter the product or project – whether that’s a box of nails, décor items or big and bulky shipments of lumber, drywall or appliances. Its network accommodates products of any size or volume, with delivery options for both Pro and DIY customers. In addition, The Home Depot’s 2,300 retail stores offer traditional in-store shopping experiences as well as the ability for customers to place orders online and pick them up in-store at a service desk, locker or curbside. Scheduled delivery is also available ­– customers can choose which day their project materials will be delivered directly to their homes or jobsites. In fiscal 2020, The Home Depot saw sales on digital platforms increase 86%, with more than half of online orders fulfilled through stores. The company moved a record 1.2 billion cubic feet of products through its delivery network and achieved record sales of $132.1 billion. Walmart recently launched Walmart GoLocal to extend the retailer’s expertise in local delivery to businesses of all sizes at competitive pricing. This includes delivery on a range of items, including those with size and complex requirements, as well as the flexibility to meet varying delivery timelines, such as express, same-day and next-day delivery. With Walmart GoLocal, businesses can focus on what they do best while leaving delivery speed and efficiency to Walmart.</v>
      </c>
      <c r="G75" s="19" t="str">
        <f t="shared" si="2"/>
        <v>06 Oct 2021</v>
      </c>
      <c r="H75" s="19" t="str">
        <f>+IF(LEN($C75)&gt;0,TEXT(IF(_xll.ciqfunctions.udf.CIQ($C75,"IQ_KEY_DEV_TIME")="NA","",_xll.ciqfunctions.udf.CIQ($C75,"IQ_KEY_DEV_TIME")),"h:mm AM/PM"),"")</f>
        <v>12:00 AM</v>
      </c>
      <c r="I75" s="7" t="str">
        <f>IF(LEN($C75)&gt;0,_xll.ciqfunctions.udf.CIQ($C75,"IQ_KEY_DEV_SOURCE"),"")</f>
        <v>Business Wire</v>
      </c>
      <c r="P75" s="514" t="s">
        <v>805</v>
      </c>
      <c r="Q75" s="510" t="s">
        <v>190</v>
      </c>
      <c r="R75" s="513" t="s">
        <v>804</v>
      </c>
    </row>
    <row r="76" spans="2:18" x14ac:dyDescent="0.2">
      <c r="B76" s="7">
        <f t="shared" si="1"/>
        <v>69</v>
      </c>
      <c r="C76" s="7" t="s">
        <v>1425</v>
      </c>
      <c r="D76" s="7" t="str">
        <f>IF(LEN($C76),_xll.ciqfunctions.udf.CIQ($C76,"IQ_KEY_DEV_HEADLINE"),"")</f>
        <v>Walmart U.S. Announces Executive Appointments</v>
      </c>
      <c r="E76" s="7" t="str">
        <f>IF(LEN($C76)&gt;0,_xll.ciqfunctions.udf.CIQ($C76,"IQ_KEY_DEV_TYPE"),"")</f>
        <v>Executive/Board Changes - Other</v>
      </c>
      <c r="F76" s="7" t="str">
        <f>IF(LEN($C76)&gt;0,_xll.ciqfunctions.udf.CIQ($C76,"IQ_KEY_DEV_SITUATION"),"")</f>
        <v>Walmart U.S. has promoted Chris Nicholas to chief operating officer and hired Instacart’s Seth Dallaire as chief revenue officer, both newly created positions. Steve
Schmitt, executive vice president and chief financial officer of Walmart U.S. omnichannel, will take over Nicholas’ previous position as Walmart U.S. CFO. Nicholas.
Nicholas joined Walmart in August 2018 as senior VP and deputy CFO of Walmart International and in January 2020 was elevated to Walmart International CFO. Then in February 2021, he was promoted to executive VP and CFO of Walmart U.S.  He also served as a board member of Walmart de Mexico from October 2019 to February 2021. Dallaire comes to Walmart after nearly two years as chief revenue officer at online delivery giant Instacart, where he also occupied a newly created position [1] . He started at Instacart in November 2019 after over seven years at Amazon, most recently as VP of global advertising sales and marketing. Prior to that, he spent two-and-a-half years at Yahoo! as vice president of global agencies and accounts and seven years at Microsoft as senior director of MSN advertising sales.</v>
      </c>
      <c r="G76" s="19" t="str">
        <f t="shared" si="2"/>
        <v>06 Oct 2021</v>
      </c>
      <c r="H76" s="19" t="str">
        <f>+IF(LEN($C76)&gt;0,TEXT(IF(_xll.ciqfunctions.udf.CIQ($C76,"IQ_KEY_DEV_TIME")="NA","",_xll.ciqfunctions.udf.CIQ($C76,"IQ_KEY_DEV_TIME")),"h:mm AM/PM"),"")</f>
        <v>12:00 AM</v>
      </c>
      <c r="I76" s="7" t="str">
        <f>IF(LEN($C76)&gt;0,_xll.ciqfunctions.udf.CIQ($C76,"IQ_KEY_DEV_SOURCE"),"")</f>
        <v>Supermarket News</v>
      </c>
      <c r="P76" s="514" t="s">
        <v>803</v>
      </c>
      <c r="Q76" s="510" t="s">
        <v>724</v>
      </c>
      <c r="R76" s="513" t="s">
        <v>802</v>
      </c>
    </row>
    <row r="77" spans="2:18" x14ac:dyDescent="0.2">
      <c r="B77" s="7">
        <f t="shared" si="1"/>
        <v>70</v>
      </c>
      <c r="C77" s="7" t="s">
        <v>1426</v>
      </c>
      <c r="D77" s="7" t="str">
        <f>IF(LEN($C77),_xll.ciqfunctions.udf.CIQ($C77,"IQ_KEY_DEV_HEADLINE"),"")</f>
        <v>Walmart Inc. - Special Call</v>
      </c>
      <c r="E77" s="7" t="str">
        <f>IF(LEN($C77)&gt;0,_xll.ciqfunctions.udf.CIQ($C77,"IQ_KEY_DEV_TYPE"),"")</f>
        <v>Special Calls</v>
      </c>
      <c r="F77" s="7" t="str">
        <f>IF(LEN($C77)&gt;0,_xll.ciqfunctions.udf.CIQ($C77,"IQ_KEY_DEV_SITUATION"),"")</f>
        <v>To focus on the company’s strategy and progress</v>
      </c>
      <c r="G77" s="19" t="str">
        <f t="shared" si="2"/>
        <v>30 Sep 2021</v>
      </c>
      <c r="H77" s="19" t="str">
        <f>+IF(LEN($C77)&gt;0,TEXT(IF(_xll.ciqfunctions.udf.CIQ($C77,"IQ_KEY_DEV_TIME")="NA","",_xll.ciqfunctions.udf.CIQ($C77,"IQ_KEY_DEV_TIME")),"h:mm AM/PM"),"")</f>
        <v>10:00 PM</v>
      </c>
      <c r="I77" s="7" t="str">
        <f>IF(LEN($C77)&gt;0,_xll.ciqfunctions.udf.CIQ($C77,"IQ_KEY_DEV_SOURCE"),"")</f>
        <v>Business Wire, Company Website</v>
      </c>
      <c r="P77" s="514" t="s">
        <v>801</v>
      </c>
      <c r="Q77" s="510" t="s">
        <v>724</v>
      </c>
      <c r="R77" s="513" t="s">
        <v>800</v>
      </c>
    </row>
    <row r="78" spans="2:18" x14ac:dyDescent="0.2">
      <c r="B78" s="7">
        <f t="shared" si="1"/>
        <v>71</v>
      </c>
      <c r="C78" s="7" t="s">
        <v>1427</v>
      </c>
      <c r="D78" s="7" t="str">
        <f>IF(LEN($C78),_xll.ciqfunctions.udf.CIQ($C78,"IQ_KEY_DEV_HEADLINE"),"")</f>
        <v>Walmart Inc. Selects Epic to Help Customers Simplify Their Healthcare</v>
      </c>
      <c r="E78" s="7" t="str">
        <f>IF(LEN($C78)&gt;0,_xll.ciqfunctions.udf.CIQ($C78,"IQ_KEY_DEV_TYPE"),"")</f>
        <v>Client Announcements</v>
      </c>
      <c r="F78" s="7" t="str">
        <f>IF(LEN($C78)&gt;0,_xll.ciqfunctions.udf.CIQ($C78,"IQ_KEY_DEV_SITUATION"),"")</f>
        <v>Walmart Inc. announced a new partnership with Epic to help make it simple for customers to live healthier. Through this single, unified system, Walmart Health will engage patients, healthcare professionals, insurance carriers and other stakeholders while enhancing communication, personalization and information sharing amongst healthcare professionals and patients utilizing a patient portal. Epic’s platform will support all of Walmart’s health and wellness lines of businesses as it is rolled out and will first be implemented in four new Walmart Health Centers opening in Florida in early 2022. Epic is used by more than 2,000 hospitals and 45,000 clinics, including most U.S. News &amp; World Report’s top-ranked hospitals and medical schools. To date, a majority of the U.S. population have their medical records in an Epic system. Epic’s online portal allows patients to securely access their health information, communicate with their providers, schedule appointments, and pay bills on their phone or computer.</v>
      </c>
      <c r="G78" s="19" t="str">
        <f t="shared" si="2"/>
        <v>28 Sep 2021</v>
      </c>
      <c r="H78" s="19" t="str">
        <f>+IF(LEN($C78)&gt;0,TEXT(IF(_xll.ciqfunctions.udf.CIQ($C78,"IQ_KEY_DEV_TIME")="NA","",_xll.ciqfunctions.udf.CIQ($C78,"IQ_KEY_DEV_TIME")),"h:mm AM/PM"),"")</f>
        <v>12:00 AM</v>
      </c>
      <c r="I78" s="7" t="str">
        <f>IF(LEN($C78)&gt;0,_xll.ciqfunctions.udf.CIQ($C78,"IQ_KEY_DEV_SOURCE"),"")</f>
        <v>Business Wire</v>
      </c>
      <c r="P78" s="514" t="s">
        <v>799</v>
      </c>
      <c r="Q78" s="510" t="s">
        <v>724</v>
      </c>
      <c r="R78" s="513" t="s">
        <v>798</v>
      </c>
    </row>
    <row r="79" spans="2:18" x14ac:dyDescent="0.2">
      <c r="B79" s="7">
        <f t="shared" si="1"/>
        <v>72</v>
      </c>
      <c r="C79" s="7"/>
      <c r="D79" s="7" t="str">
        <f>IF(LEN($C79),_xll.ciqfunctions.udf.CIQ($C79,"IQ_KEY_DEV_HEADLINE"),"")</f>
        <v/>
      </c>
      <c r="E79" s="7" t="str">
        <f>IF(LEN($C79)&gt;0,_xll.ciqfunctions.udf.CIQ($C79,"IQ_KEY_DEV_TYPE"),"")</f>
        <v/>
      </c>
      <c r="F79" s="7" t="str">
        <f>IF(LEN($C79)&gt;0,_xll.ciqfunctions.udf.CIQ($C79,"IQ_KEY_DEV_SITUATION"),"")</f>
        <v/>
      </c>
      <c r="G79" s="19" t="str">
        <f t="shared" si="2"/>
        <v/>
      </c>
      <c r="H79" s="19" t="str">
        <f>+IF(LEN($C79)&gt;0,TEXT(IF(_xll.ciqfunctions.udf.CIQ($C79,"IQ_KEY_DEV_TIME")="NA","",_xll.ciqfunctions.udf.CIQ($C79,"IQ_KEY_DEV_TIME")),"h:mm AM/PM"),"")</f>
        <v/>
      </c>
      <c r="I79" s="7" t="str">
        <f>IF(LEN($C79)&gt;0,_xll.ciqfunctions.udf.CIQ($C79,"IQ_KEY_DEV_SOURCE"),"")</f>
        <v/>
      </c>
      <c r="P79" s="514" t="s">
        <v>797</v>
      </c>
      <c r="Q79" s="510" t="s">
        <v>724</v>
      </c>
      <c r="R79" s="513" t="s">
        <v>796</v>
      </c>
    </row>
    <row r="80" spans="2:18" x14ac:dyDescent="0.2">
      <c r="B80" s="7">
        <f t="shared" si="1"/>
        <v>73</v>
      </c>
      <c r="C80" s="7"/>
      <c r="D80" s="7" t="str">
        <f>IF(LEN($C80),_xll.ciqfunctions.udf.CIQ($C80,"IQ_KEY_DEV_HEADLINE"),"")</f>
        <v/>
      </c>
      <c r="E80" s="7" t="str">
        <f>IF(LEN($C80)&gt;0,_xll.ciqfunctions.udf.CIQ($C80,"IQ_KEY_DEV_TYPE"),"")</f>
        <v/>
      </c>
      <c r="F80" s="7" t="str">
        <f>IF(LEN($C80)&gt;0,_xll.ciqfunctions.udf.CIQ($C80,"IQ_KEY_DEV_SITUATION"),"")</f>
        <v/>
      </c>
      <c r="G80" s="19" t="str">
        <f t="shared" si="2"/>
        <v/>
      </c>
      <c r="H80" s="19" t="str">
        <f>+IF(LEN($C80)&gt;0,TEXT(IF(_xll.ciqfunctions.udf.CIQ($C80,"IQ_KEY_DEV_TIME")="NA","",_xll.ciqfunctions.udf.CIQ($C80,"IQ_KEY_DEV_TIME")),"h:mm AM/PM"),"")</f>
        <v/>
      </c>
      <c r="I80" s="7" t="str">
        <f>IF(LEN($C80)&gt;0,_xll.ciqfunctions.udf.CIQ($C80,"IQ_KEY_DEV_SOURCE"),"")</f>
        <v/>
      </c>
      <c r="P80" s="514" t="s">
        <v>795</v>
      </c>
      <c r="Q80" s="510" t="s">
        <v>724</v>
      </c>
      <c r="R80" s="513" t="s">
        <v>794</v>
      </c>
    </row>
    <row r="81" spans="2:18" x14ac:dyDescent="0.2">
      <c r="B81" s="7">
        <f t="shared" si="1"/>
        <v>74</v>
      </c>
      <c r="C81" s="7"/>
      <c r="D81" s="7" t="str">
        <f>IF(LEN($C81),_xll.ciqfunctions.udf.CIQ($C81,"IQ_KEY_DEV_HEADLINE"),"")</f>
        <v/>
      </c>
      <c r="E81" s="7" t="str">
        <f>IF(LEN($C81)&gt;0,_xll.ciqfunctions.udf.CIQ($C81,"IQ_KEY_DEV_TYPE"),"")</f>
        <v/>
      </c>
      <c r="F81" s="7" t="str">
        <f>IF(LEN($C81)&gt;0,_xll.ciqfunctions.udf.CIQ($C81,"IQ_KEY_DEV_SITUATION"),"")</f>
        <v/>
      </c>
      <c r="G81" s="19" t="str">
        <f t="shared" si="2"/>
        <v/>
      </c>
      <c r="H81" s="19" t="str">
        <f>+IF(LEN($C81)&gt;0,TEXT(IF(_xll.ciqfunctions.udf.CIQ($C81,"IQ_KEY_DEV_TIME")="NA","",_xll.ciqfunctions.udf.CIQ($C81,"IQ_KEY_DEV_TIME")),"h:mm AM/PM"),"")</f>
        <v/>
      </c>
      <c r="I81" s="7" t="str">
        <f>IF(LEN($C81)&gt;0,_xll.ciqfunctions.udf.CIQ($C81,"IQ_KEY_DEV_SOURCE"),"")</f>
        <v/>
      </c>
      <c r="P81" s="514" t="s">
        <v>793</v>
      </c>
      <c r="Q81" s="510" t="s">
        <v>724</v>
      </c>
      <c r="R81" s="513" t="s">
        <v>792</v>
      </c>
    </row>
    <row r="82" spans="2:18" x14ac:dyDescent="0.2">
      <c r="B82" s="7">
        <f t="shared" si="1"/>
        <v>75</v>
      </c>
      <c r="C82" s="7"/>
      <c r="D82" s="7" t="str">
        <f>IF(LEN($C82),_xll.ciqfunctions.udf.CIQ($C82,"IQ_KEY_DEV_HEADLINE"),"")</f>
        <v/>
      </c>
      <c r="E82" s="7" t="str">
        <f>IF(LEN($C82)&gt;0,_xll.ciqfunctions.udf.CIQ($C82,"IQ_KEY_DEV_TYPE"),"")</f>
        <v/>
      </c>
      <c r="F82" s="7" t="str">
        <f>IF(LEN($C82)&gt;0,_xll.ciqfunctions.udf.CIQ($C82,"IQ_KEY_DEV_SITUATION"),"")</f>
        <v/>
      </c>
      <c r="G82" s="19" t="str">
        <f t="shared" si="2"/>
        <v/>
      </c>
      <c r="H82" s="19" t="str">
        <f>+IF(LEN($C82)&gt;0,TEXT(IF(_xll.ciqfunctions.udf.CIQ($C82,"IQ_KEY_DEV_TIME")="NA","",_xll.ciqfunctions.udf.CIQ($C82,"IQ_KEY_DEV_TIME")),"h:mm AM/PM"),"")</f>
        <v/>
      </c>
      <c r="I82" s="7" t="str">
        <f>IF(LEN($C82)&gt;0,_xll.ciqfunctions.udf.CIQ($C82,"IQ_KEY_DEV_SOURCE"),"")</f>
        <v/>
      </c>
      <c r="P82" s="514" t="s">
        <v>791</v>
      </c>
      <c r="Q82" s="510" t="s">
        <v>724</v>
      </c>
      <c r="R82" s="513" t="s">
        <v>790</v>
      </c>
    </row>
    <row r="83" spans="2:18" x14ac:dyDescent="0.2">
      <c r="B83" s="7">
        <f t="shared" si="1"/>
        <v>76</v>
      </c>
      <c r="C83" s="7"/>
      <c r="D83" s="7" t="str">
        <f>IF(LEN($C83),_xll.ciqfunctions.udf.CIQ($C83,"IQ_KEY_DEV_HEADLINE"),"")</f>
        <v/>
      </c>
      <c r="E83" s="7" t="str">
        <f>IF(LEN($C83)&gt;0,_xll.ciqfunctions.udf.CIQ($C83,"IQ_KEY_DEV_TYPE"),"")</f>
        <v/>
      </c>
      <c r="F83" s="7" t="str">
        <f>IF(LEN($C83)&gt;0,_xll.ciqfunctions.udf.CIQ($C83,"IQ_KEY_DEV_SITUATION"),"")</f>
        <v/>
      </c>
      <c r="G83" s="19" t="str">
        <f t="shared" si="2"/>
        <v/>
      </c>
      <c r="H83" s="19" t="str">
        <f>+IF(LEN($C83)&gt;0,TEXT(IF(_xll.ciqfunctions.udf.CIQ($C83,"IQ_KEY_DEV_TIME")="NA","",_xll.ciqfunctions.udf.CIQ($C83,"IQ_KEY_DEV_TIME")),"h:mm AM/PM"),"")</f>
        <v/>
      </c>
      <c r="I83" s="7" t="str">
        <f>IF(LEN($C83)&gt;0,_xll.ciqfunctions.udf.CIQ($C83,"IQ_KEY_DEV_SOURCE"),"")</f>
        <v/>
      </c>
      <c r="P83" s="514" t="s">
        <v>789</v>
      </c>
      <c r="Q83" s="510" t="s">
        <v>724</v>
      </c>
      <c r="R83" s="513" t="s">
        <v>788</v>
      </c>
    </row>
    <row r="84" spans="2:18" x14ac:dyDescent="0.2">
      <c r="B84" s="7">
        <f t="shared" ref="B84:B147" si="3">+B83+1</f>
        <v>77</v>
      </c>
      <c r="C84" s="7"/>
      <c r="D84" s="7" t="str">
        <f>IF(LEN($C84),_xll.ciqfunctions.udf.CIQ($C84,"IQ_KEY_DEV_HEADLINE"),"")</f>
        <v/>
      </c>
      <c r="E84" s="7" t="str">
        <f>IF(LEN($C84)&gt;0,_xll.ciqfunctions.udf.CIQ($C84,"IQ_KEY_DEV_TYPE"),"")</f>
        <v/>
      </c>
      <c r="F84" s="7" t="str">
        <f>IF(LEN($C84)&gt;0,_xll.ciqfunctions.udf.CIQ($C84,"IQ_KEY_DEV_SITUATION"),"")</f>
        <v/>
      </c>
      <c r="G84" s="19" t="str">
        <f t="shared" si="2"/>
        <v/>
      </c>
      <c r="H84" s="19" t="str">
        <f>+IF(LEN($C84)&gt;0,TEXT(IF(_xll.ciqfunctions.udf.CIQ($C84,"IQ_KEY_DEV_TIME")="NA","",_xll.ciqfunctions.udf.CIQ($C84,"IQ_KEY_DEV_TIME")),"h:mm AM/PM"),"")</f>
        <v/>
      </c>
      <c r="I84" s="7" t="str">
        <f>IF(LEN($C84)&gt;0,_xll.ciqfunctions.udf.CIQ($C84,"IQ_KEY_DEV_SOURCE"),"")</f>
        <v/>
      </c>
      <c r="P84" s="514" t="s">
        <v>733</v>
      </c>
      <c r="Q84" s="510" t="s">
        <v>724</v>
      </c>
      <c r="R84" s="513" t="s">
        <v>732</v>
      </c>
    </row>
    <row r="85" spans="2:18" x14ac:dyDescent="0.2">
      <c r="B85" s="7">
        <f t="shared" si="3"/>
        <v>78</v>
      </c>
      <c r="C85" s="7"/>
      <c r="D85" s="7" t="str">
        <f>IF(LEN($C85),_xll.ciqfunctions.udf.CIQ($C85,"IQ_KEY_DEV_HEADLINE"),"")</f>
        <v/>
      </c>
      <c r="E85" s="7" t="str">
        <f>IF(LEN($C85)&gt;0,_xll.ciqfunctions.udf.CIQ($C85,"IQ_KEY_DEV_TYPE"),"")</f>
        <v/>
      </c>
      <c r="F85" s="7" t="str">
        <f>IF(LEN($C85)&gt;0,_xll.ciqfunctions.udf.CIQ($C85,"IQ_KEY_DEV_SITUATION"),"")</f>
        <v/>
      </c>
      <c r="G85" s="19" t="str">
        <f t="shared" si="2"/>
        <v/>
      </c>
      <c r="H85" s="19" t="str">
        <f>+IF(LEN($C85)&gt;0,TEXT(IF(_xll.ciqfunctions.udf.CIQ($C85,"IQ_KEY_DEV_TIME")="NA","",_xll.ciqfunctions.udf.CIQ($C85,"IQ_KEY_DEV_TIME")),"h:mm AM/PM"),"")</f>
        <v/>
      </c>
      <c r="I85" s="7" t="str">
        <f>IF(LEN($C85)&gt;0,_xll.ciqfunctions.udf.CIQ($C85,"IQ_KEY_DEV_SOURCE"),"")</f>
        <v/>
      </c>
      <c r="P85" s="514" t="s">
        <v>787</v>
      </c>
      <c r="Q85" s="510" t="s">
        <v>724</v>
      </c>
      <c r="R85" s="513" t="s">
        <v>786</v>
      </c>
    </row>
    <row r="86" spans="2:18" x14ac:dyDescent="0.2">
      <c r="B86" s="7">
        <f t="shared" si="3"/>
        <v>79</v>
      </c>
      <c r="C86" s="7"/>
      <c r="D86" s="7" t="str">
        <f>IF(LEN($C86),_xll.ciqfunctions.udf.CIQ($C86,"IQ_KEY_DEV_HEADLINE"),"")</f>
        <v/>
      </c>
      <c r="E86" s="7" t="str">
        <f>IF(LEN($C86)&gt;0,_xll.ciqfunctions.udf.CIQ($C86,"IQ_KEY_DEV_TYPE"),"")</f>
        <v/>
      </c>
      <c r="F86" s="7" t="str">
        <f>IF(LEN($C86)&gt;0,_xll.ciqfunctions.udf.CIQ($C86,"IQ_KEY_DEV_SITUATION"),"")</f>
        <v/>
      </c>
      <c r="G86" s="19" t="str">
        <f t="shared" si="2"/>
        <v/>
      </c>
      <c r="H86" s="19" t="str">
        <f>+IF(LEN($C86)&gt;0,TEXT(IF(_xll.ciqfunctions.udf.CIQ($C86,"IQ_KEY_DEV_TIME")="NA","",_xll.ciqfunctions.udf.CIQ($C86,"IQ_KEY_DEV_TIME")),"h:mm AM/PM"),"")</f>
        <v/>
      </c>
      <c r="I86" s="7" t="str">
        <f>IF(LEN($C86)&gt;0,_xll.ciqfunctions.udf.CIQ($C86,"IQ_KEY_DEV_SOURCE"),"")</f>
        <v/>
      </c>
      <c r="P86" s="514" t="s">
        <v>785</v>
      </c>
      <c r="Q86" s="510" t="s">
        <v>724</v>
      </c>
      <c r="R86" s="513" t="s">
        <v>784</v>
      </c>
    </row>
    <row r="87" spans="2:18" x14ac:dyDescent="0.2">
      <c r="B87" s="7">
        <f t="shared" si="3"/>
        <v>80</v>
      </c>
      <c r="C87" s="7"/>
      <c r="D87" s="7" t="str">
        <f>IF(LEN($C87),_xll.ciqfunctions.udf.CIQ($C87,"IQ_KEY_DEV_HEADLINE"),"")</f>
        <v/>
      </c>
      <c r="E87" s="7" t="str">
        <f>IF(LEN($C87)&gt;0,_xll.ciqfunctions.udf.CIQ($C87,"IQ_KEY_DEV_TYPE"),"")</f>
        <v/>
      </c>
      <c r="F87" s="7" t="str">
        <f>IF(LEN($C87)&gt;0,_xll.ciqfunctions.udf.CIQ($C87,"IQ_KEY_DEV_SITUATION"),"")</f>
        <v/>
      </c>
      <c r="G87" s="19" t="str">
        <f t="shared" si="2"/>
        <v/>
      </c>
      <c r="H87" s="19" t="str">
        <f>+IF(LEN($C87)&gt;0,TEXT(IF(_xll.ciqfunctions.udf.CIQ($C87,"IQ_KEY_DEV_TIME")="NA","",_xll.ciqfunctions.udf.CIQ($C87,"IQ_KEY_DEV_TIME")),"h:mm AM/PM"),"")</f>
        <v/>
      </c>
      <c r="I87" s="7" t="str">
        <f>IF(LEN($C87)&gt;0,_xll.ciqfunctions.udf.CIQ($C87,"IQ_KEY_DEV_SOURCE"),"")</f>
        <v/>
      </c>
      <c r="P87" s="514" t="s">
        <v>783</v>
      </c>
      <c r="Q87" s="510" t="s">
        <v>724</v>
      </c>
      <c r="R87" s="513" t="s">
        <v>782</v>
      </c>
    </row>
    <row r="88" spans="2:18" x14ac:dyDescent="0.2">
      <c r="B88" s="7">
        <f t="shared" si="3"/>
        <v>81</v>
      </c>
      <c r="C88" s="7"/>
      <c r="D88" s="7" t="str">
        <f>IF(LEN($C88),_xll.ciqfunctions.udf.CIQ($C88,"IQ_KEY_DEV_HEADLINE"),"")</f>
        <v/>
      </c>
      <c r="E88" s="7" t="str">
        <f>IF(LEN($C88)&gt;0,_xll.ciqfunctions.udf.CIQ($C88,"IQ_KEY_DEV_TYPE"),"")</f>
        <v/>
      </c>
      <c r="F88" s="7" t="str">
        <f>IF(LEN($C88)&gt;0,_xll.ciqfunctions.udf.CIQ($C88,"IQ_KEY_DEV_SITUATION"),"")</f>
        <v/>
      </c>
      <c r="G88" s="19" t="str">
        <f t="shared" si="2"/>
        <v/>
      </c>
      <c r="H88" s="19" t="str">
        <f>+IF(LEN($C88)&gt;0,TEXT(IF(_xll.ciqfunctions.udf.CIQ($C88,"IQ_KEY_DEV_TIME")="NA","",_xll.ciqfunctions.udf.CIQ($C88,"IQ_KEY_DEV_TIME")),"h:mm AM/PM"),"")</f>
        <v/>
      </c>
      <c r="I88" s="7" t="str">
        <f>IF(LEN($C88)&gt;0,_xll.ciqfunctions.udf.CIQ($C88,"IQ_KEY_DEV_SOURCE"),"")</f>
        <v/>
      </c>
      <c r="P88" s="514" t="s">
        <v>781</v>
      </c>
      <c r="Q88" s="510" t="s">
        <v>724</v>
      </c>
      <c r="R88" s="513" t="s">
        <v>780</v>
      </c>
    </row>
    <row r="89" spans="2:18" x14ac:dyDescent="0.2">
      <c r="B89" s="7">
        <f t="shared" si="3"/>
        <v>82</v>
      </c>
      <c r="C89" s="7"/>
      <c r="D89" s="7" t="str">
        <f>IF(LEN($C89),_xll.ciqfunctions.udf.CIQ($C89,"IQ_KEY_DEV_HEADLINE"),"")</f>
        <v/>
      </c>
      <c r="E89" s="7" t="str">
        <f>IF(LEN($C89)&gt;0,_xll.ciqfunctions.udf.CIQ($C89,"IQ_KEY_DEV_TYPE"),"")</f>
        <v/>
      </c>
      <c r="F89" s="7" t="str">
        <f>IF(LEN($C89)&gt;0,_xll.ciqfunctions.udf.CIQ($C89,"IQ_KEY_DEV_SITUATION"),"")</f>
        <v/>
      </c>
      <c r="G89" s="19" t="str">
        <f t="shared" si="2"/>
        <v/>
      </c>
      <c r="H89" s="19" t="str">
        <f>+IF(LEN($C89)&gt;0,TEXT(IF(_xll.ciqfunctions.udf.CIQ($C89,"IQ_KEY_DEV_TIME")="NA","",_xll.ciqfunctions.udf.CIQ($C89,"IQ_KEY_DEV_TIME")),"h:mm AM/PM"),"")</f>
        <v/>
      </c>
      <c r="I89" s="7" t="str">
        <f>IF(LEN($C89)&gt;0,_xll.ciqfunctions.udf.CIQ($C89,"IQ_KEY_DEV_SOURCE"),"")</f>
        <v/>
      </c>
      <c r="P89" s="514" t="s">
        <v>779</v>
      </c>
      <c r="Q89" s="510" t="s">
        <v>724</v>
      </c>
      <c r="R89" s="513" t="s">
        <v>778</v>
      </c>
    </row>
    <row r="90" spans="2:18" x14ac:dyDescent="0.2">
      <c r="B90" s="7">
        <f t="shared" si="3"/>
        <v>83</v>
      </c>
      <c r="C90" s="7"/>
      <c r="D90" s="7" t="str">
        <f>IF(LEN($C90),_xll.ciqfunctions.udf.CIQ($C90,"IQ_KEY_DEV_HEADLINE"),"")</f>
        <v/>
      </c>
      <c r="E90" s="7" t="str">
        <f>IF(LEN($C90)&gt;0,_xll.ciqfunctions.udf.CIQ($C90,"IQ_KEY_DEV_TYPE"),"")</f>
        <v/>
      </c>
      <c r="F90" s="7" t="str">
        <f>IF(LEN($C90)&gt;0,_xll.ciqfunctions.udf.CIQ($C90,"IQ_KEY_DEV_SITUATION"),"")</f>
        <v/>
      </c>
      <c r="G90" s="19" t="str">
        <f t="shared" si="2"/>
        <v/>
      </c>
      <c r="H90" s="19" t="str">
        <f>+IF(LEN($C90)&gt;0,TEXT(IF(_xll.ciqfunctions.udf.CIQ($C90,"IQ_KEY_DEV_TIME")="NA","",_xll.ciqfunctions.udf.CIQ($C90,"IQ_KEY_DEV_TIME")),"h:mm AM/PM"),"")</f>
        <v/>
      </c>
      <c r="I90" s="7" t="str">
        <f>IF(LEN($C90)&gt;0,_xll.ciqfunctions.udf.CIQ($C90,"IQ_KEY_DEV_SOURCE"),"")</f>
        <v/>
      </c>
      <c r="P90" s="514" t="s">
        <v>777</v>
      </c>
      <c r="Q90" s="510" t="s">
        <v>724</v>
      </c>
      <c r="R90" s="513" t="s">
        <v>776</v>
      </c>
    </row>
    <row r="91" spans="2:18" x14ac:dyDescent="0.2">
      <c r="B91" s="7">
        <f t="shared" si="3"/>
        <v>84</v>
      </c>
      <c r="C91" s="7"/>
      <c r="D91" s="7" t="str">
        <f>IF(LEN($C91),_xll.ciqfunctions.udf.CIQ($C91,"IQ_KEY_DEV_HEADLINE"),"")</f>
        <v/>
      </c>
      <c r="E91" s="7" t="str">
        <f>IF(LEN($C91)&gt;0,_xll.ciqfunctions.udf.CIQ($C91,"IQ_KEY_DEV_TYPE"),"")</f>
        <v/>
      </c>
      <c r="F91" s="7" t="str">
        <f>IF(LEN($C91)&gt;0,_xll.ciqfunctions.udf.CIQ($C91,"IQ_KEY_DEV_SITUATION"),"")</f>
        <v/>
      </c>
      <c r="G91" s="19" t="str">
        <f t="shared" si="2"/>
        <v/>
      </c>
      <c r="H91" s="19" t="str">
        <f>+IF(LEN($C91)&gt;0,TEXT(IF(_xll.ciqfunctions.udf.CIQ($C91,"IQ_KEY_DEV_TIME")="NA","",_xll.ciqfunctions.udf.CIQ($C91,"IQ_KEY_DEV_TIME")),"h:mm AM/PM"),"")</f>
        <v/>
      </c>
      <c r="I91" s="7" t="str">
        <f>IF(LEN($C91)&gt;0,_xll.ciqfunctions.udf.CIQ($C91,"IQ_KEY_DEV_SOURCE"),"")</f>
        <v/>
      </c>
      <c r="P91" s="514" t="s">
        <v>775</v>
      </c>
      <c r="Q91" s="510" t="s">
        <v>724</v>
      </c>
      <c r="R91" s="513" t="s">
        <v>774</v>
      </c>
    </row>
    <row r="92" spans="2:18" x14ac:dyDescent="0.2">
      <c r="B92" s="7">
        <f t="shared" si="3"/>
        <v>85</v>
      </c>
      <c r="C92" s="7"/>
      <c r="D92" s="7" t="str">
        <f>IF(LEN($C92),_xll.ciqfunctions.udf.CIQ($C92,"IQ_KEY_DEV_HEADLINE"),"")</f>
        <v/>
      </c>
      <c r="E92" s="7" t="str">
        <f>IF(LEN($C92)&gt;0,_xll.ciqfunctions.udf.CIQ($C92,"IQ_KEY_DEV_TYPE"),"")</f>
        <v/>
      </c>
      <c r="F92" s="7" t="str">
        <f>IF(LEN($C92)&gt;0,_xll.ciqfunctions.udf.CIQ($C92,"IQ_KEY_DEV_SITUATION"),"")</f>
        <v/>
      </c>
      <c r="G92" s="19" t="str">
        <f t="shared" si="2"/>
        <v/>
      </c>
      <c r="H92" s="19" t="str">
        <f>+IF(LEN($C92)&gt;0,TEXT(IF(_xll.ciqfunctions.udf.CIQ($C92,"IQ_KEY_DEV_TIME")="NA","",_xll.ciqfunctions.udf.CIQ($C92,"IQ_KEY_DEV_TIME")),"h:mm AM/PM"),"")</f>
        <v/>
      </c>
      <c r="I92" s="7" t="str">
        <f>IF(LEN($C92)&gt;0,_xll.ciqfunctions.udf.CIQ($C92,"IQ_KEY_DEV_SOURCE"),"")</f>
        <v/>
      </c>
      <c r="P92" s="518" t="s">
        <v>773</v>
      </c>
      <c r="Q92" s="510" t="s">
        <v>724</v>
      </c>
      <c r="R92" s="517" t="s">
        <v>772</v>
      </c>
    </row>
    <row r="93" spans="2:18" x14ac:dyDescent="0.2">
      <c r="B93" s="7">
        <f t="shared" si="3"/>
        <v>86</v>
      </c>
      <c r="C93" s="7"/>
      <c r="D93" s="7" t="str">
        <f>IF(LEN($C93),_xll.ciqfunctions.udf.CIQ($C93,"IQ_KEY_DEV_HEADLINE"),"")</f>
        <v/>
      </c>
      <c r="E93" s="7" t="str">
        <f>IF(LEN($C93)&gt;0,_xll.ciqfunctions.udf.CIQ($C93,"IQ_KEY_DEV_TYPE"),"")</f>
        <v/>
      </c>
      <c r="F93" s="7" t="str">
        <f>IF(LEN($C93)&gt;0,_xll.ciqfunctions.udf.CIQ($C93,"IQ_KEY_DEV_SITUATION"),"")</f>
        <v/>
      </c>
      <c r="G93" s="19" t="str">
        <f t="shared" si="2"/>
        <v/>
      </c>
      <c r="H93" s="19" t="str">
        <f>+IF(LEN($C93)&gt;0,TEXT(IF(_xll.ciqfunctions.udf.CIQ($C93,"IQ_KEY_DEV_TIME")="NA","",_xll.ciqfunctions.udf.CIQ($C93,"IQ_KEY_DEV_TIME")),"h:mm AM/PM"),"")</f>
        <v/>
      </c>
      <c r="I93" s="7" t="str">
        <f>IF(LEN($C93)&gt;0,_xll.ciqfunctions.udf.CIQ($C93,"IQ_KEY_DEV_SOURCE"),"")</f>
        <v/>
      </c>
      <c r="P93" s="518" t="s">
        <v>771</v>
      </c>
      <c r="Q93" s="510" t="s">
        <v>724</v>
      </c>
      <c r="R93" s="517" t="s">
        <v>770</v>
      </c>
    </row>
    <row r="94" spans="2:18" x14ac:dyDescent="0.2">
      <c r="B94" s="7">
        <f t="shared" si="3"/>
        <v>87</v>
      </c>
      <c r="C94" s="7"/>
      <c r="D94" s="7" t="str">
        <f>IF(LEN($C94),_xll.ciqfunctions.udf.CIQ($C94,"IQ_KEY_DEV_HEADLINE"),"")</f>
        <v/>
      </c>
      <c r="E94" s="7" t="str">
        <f>IF(LEN($C94)&gt;0,_xll.ciqfunctions.udf.CIQ($C94,"IQ_KEY_DEV_TYPE"),"")</f>
        <v/>
      </c>
      <c r="F94" s="7" t="str">
        <f>IF(LEN($C94)&gt;0,_xll.ciqfunctions.udf.CIQ($C94,"IQ_KEY_DEV_SITUATION"),"")</f>
        <v/>
      </c>
      <c r="G94" s="19" t="str">
        <f t="shared" si="2"/>
        <v/>
      </c>
      <c r="H94" s="19" t="str">
        <f>+IF(LEN($C94)&gt;0,TEXT(IF(_xll.ciqfunctions.udf.CIQ($C94,"IQ_KEY_DEV_TIME")="NA","",_xll.ciqfunctions.udf.CIQ($C94,"IQ_KEY_DEV_TIME")),"h:mm AM/PM"),"")</f>
        <v/>
      </c>
      <c r="I94" s="7" t="str">
        <f>IF(LEN($C94)&gt;0,_xll.ciqfunctions.udf.CIQ($C94,"IQ_KEY_DEV_SOURCE"),"")</f>
        <v/>
      </c>
      <c r="P94" s="518" t="s">
        <v>769</v>
      </c>
      <c r="Q94" s="510" t="s">
        <v>724</v>
      </c>
      <c r="R94" s="517" t="s">
        <v>768</v>
      </c>
    </row>
    <row r="95" spans="2:18" x14ac:dyDescent="0.2">
      <c r="B95" s="7">
        <f t="shared" si="3"/>
        <v>88</v>
      </c>
      <c r="C95" s="7"/>
      <c r="D95" s="7" t="str">
        <f>IF(LEN($C95),_xll.ciqfunctions.udf.CIQ($C95,"IQ_KEY_DEV_HEADLINE"),"")</f>
        <v/>
      </c>
      <c r="E95" s="7" t="str">
        <f>IF(LEN($C95)&gt;0,_xll.ciqfunctions.udf.CIQ($C95,"IQ_KEY_DEV_TYPE"),"")</f>
        <v/>
      </c>
      <c r="F95" s="7" t="str">
        <f>IF(LEN($C95)&gt;0,_xll.ciqfunctions.udf.CIQ($C95,"IQ_KEY_DEV_SITUATION"),"")</f>
        <v/>
      </c>
      <c r="G95" s="19" t="str">
        <f t="shared" si="2"/>
        <v/>
      </c>
      <c r="H95" s="19" t="str">
        <f>+IF(LEN($C95)&gt;0,TEXT(IF(_xll.ciqfunctions.udf.CIQ($C95,"IQ_KEY_DEV_TIME")="NA","",_xll.ciqfunctions.udf.CIQ($C95,"IQ_KEY_DEV_TIME")),"h:mm AM/PM"),"")</f>
        <v/>
      </c>
      <c r="I95" s="7" t="str">
        <f>IF(LEN($C95)&gt;0,_xll.ciqfunctions.udf.CIQ($C95,"IQ_KEY_DEV_SOURCE"),"")</f>
        <v/>
      </c>
      <c r="P95" s="510"/>
      <c r="Q95" s="510"/>
      <c r="R95" s="510"/>
    </row>
    <row r="96" spans="2:18" x14ac:dyDescent="0.2">
      <c r="B96" s="7">
        <f t="shared" si="3"/>
        <v>89</v>
      </c>
      <c r="C96" s="7"/>
      <c r="D96" s="7" t="str">
        <f>IF(LEN($C96),_xll.ciqfunctions.udf.CIQ($C96,"IQ_KEY_DEV_HEADLINE"),"")</f>
        <v/>
      </c>
      <c r="E96" s="7" t="str">
        <f>IF(LEN($C96)&gt;0,_xll.ciqfunctions.udf.CIQ($C96,"IQ_KEY_DEV_TYPE"),"")</f>
        <v/>
      </c>
      <c r="F96" s="7" t="str">
        <f>IF(LEN($C96)&gt;0,_xll.ciqfunctions.udf.CIQ($C96,"IQ_KEY_DEV_SITUATION"),"")</f>
        <v/>
      </c>
      <c r="G96" s="19" t="str">
        <f t="shared" si="2"/>
        <v/>
      </c>
      <c r="H96" s="19" t="str">
        <f>+IF(LEN($C96)&gt;0,TEXT(IF(_xll.ciqfunctions.udf.CIQ($C96,"IQ_KEY_DEV_TIME")="NA","",_xll.ciqfunctions.udf.CIQ($C96,"IQ_KEY_DEV_TIME")),"h:mm AM/PM"),"")</f>
        <v/>
      </c>
      <c r="I96" s="7" t="str">
        <f>IF(LEN($C96)&gt;0,_xll.ciqfunctions.udf.CIQ($C96,"IQ_KEY_DEV_SOURCE"),"")</f>
        <v/>
      </c>
      <c r="P96" s="516" t="s">
        <v>767</v>
      </c>
      <c r="Q96" s="516"/>
      <c r="R96" s="515" t="s">
        <v>766</v>
      </c>
    </row>
    <row r="97" spans="2:18" x14ac:dyDescent="0.2">
      <c r="B97" s="7">
        <f t="shared" si="3"/>
        <v>90</v>
      </c>
      <c r="C97" s="7"/>
      <c r="D97" s="7" t="str">
        <f>IF(LEN($C97),_xll.ciqfunctions.udf.CIQ($C97,"IQ_KEY_DEV_HEADLINE"),"")</f>
        <v/>
      </c>
      <c r="E97" s="7" t="str">
        <f>IF(LEN($C97)&gt;0,_xll.ciqfunctions.udf.CIQ($C97,"IQ_KEY_DEV_TYPE"),"")</f>
        <v/>
      </c>
      <c r="F97" s="7" t="str">
        <f>IF(LEN($C97)&gt;0,_xll.ciqfunctions.udf.CIQ($C97,"IQ_KEY_DEV_SITUATION"),"")</f>
        <v/>
      </c>
      <c r="G97" s="19" t="str">
        <f t="shared" si="2"/>
        <v/>
      </c>
      <c r="H97" s="19" t="str">
        <f>+IF(LEN($C97)&gt;0,TEXT(IF(_xll.ciqfunctions.udf.CIQ($C97,"IQ_KEY_DEV_TIME")="NA","",_xll.ciqfunctions.udf.CIQ($C97,"IQ_KEY_DEV_TIME")),"h:mm AM/PM"),"")</f>
        <v/>
      </c>
      <c r="I97" s="7" t="str">
        <f>IF(LEN($C97)&gt;0,_xll.ciqfunctions.udf.CIQ($C97,"IQ_KEY_DEV_SOURCE"),"")</f>
        <v/>
      </c>
      <c r="P97" s="514" t="s">
        <v>765</v>
      </c>
      <c r="Q97" s="510" t="s">
        <v>190</v>
      </c>
      <c r="R97" s="513" t="s">
        <v>764</v>
      </c>
    </row>
    <row r="98" spans="2:18" x14ac:dyDescent="0.2">
      <c r="B98" s="7">
        <f t="shared" si="3"/>
        <v>91</v>
      </c>
      <c r="C98" s="7"/>
      <c r="D98" s="7" t="str">
        <f>IF(LEN($C98),_xll.ciqfunctions.udf.CIQ($C98,"IQ_KEY_DEV_HEADLINE"),"")</f>
        <v/>
      </c>
      <c r="E98" s="7" t="str">
        <f>IF(LEN($C98)&gt;0,_xll.ciqfunctions.udf.CIQ($C98,"IQ_KEY_DEV_TYPE"),"")</f>
        <v/>
      </c>
      <c r="F98" s="7" t="str">
        <f>IF(LEN($C98)&gt;0,_xll.ciqfunctions.udf.CIQ($C98,"IQ_KEY_DEV_SITUATION"),"")</f>
        <v/>
      </c>
      <c r="G98" s="19" t="str">
        <f t="shared" si="2"/>
        <v/>
      </c>
      <c r="H98" s="19" t="str">
        <f>+IF(LEN($C98)&gt;0,TEXT(IF(_xll.ciqfunctions.udf.CIQ($C98,"IQ_KEY_DEV_TIME")="NA","",_xll.ciqfunctions.udf.CIQ($C98,"IQ_KEY_DEV_TIME")),"h:mm AM/PM"),"")</f>
        <v/>
      </c>
      <c r="I98" s="7" t="str">
        <f>IF(LEN($C98)&gt;0,_xll.ciqfunctions.udf.CIQ($C98,"IQ_KEY_DEV_SOURCE"),"")</f>
        <v/>
      </c>
      <c r="P98" s="514" t="s">
        <v>763</v>
      </c>
      <c r="Q98" s="510" t="s">
        <v>724</v>
      </c>
      <c r="R98" s="513" t="s">
        <v>762</v>
      </c>
    </row>
    <row r="99" spans="2:18" x14ac:dyDescent="0.2">
      <c r="B99" s="7">
        <f t="shared" si="3"/>
        <v>92</v>
      </c>
      <c r="C99" s="7"/>
      <c r="D99" s="7" t="str">
        <f>IF(LEN($C99),_xll.ciqfunctions.udf.CIQ($C99,"IQ_KEY_DEV_HEADLINE"),"")</f>
        <v/>
      </c>
      <c r="E99" s="7" t="str">
        <f>IF(LEN($C99)&gt;0,_xll.ciqfunctions.udf.CIQ($C99,"IQ_KEY_DEV_TYPE"),"")</f>
        <v/>
      </c>
      <c r="F99" s="7" t="str">
        <f>IF(LEN($C99)&gt;0,_xll.ciqfunctions.udf.CIQ($C99,"IQ_KEY_DEV_SITUATION"),"")</f>
        <v/>
      </c>
      <c r="G99" s="19" t="str">
        <f t="shared" si="2"/>
        <v/>
      </c>
      <c r="H99" s="19" t="str">
        <f>+IF(LEN($C99)&gt;0,TEXT(IF(_xll.ciqfunctions.udf.CIQ($C99,"IQ_KEY_DEV_TIME")="NA","",_xll.ciqfunctions.udf.CIQ($C99,"IQ_KEY_DEV_TIME")),"h:mm AM/PM"),"")</f>
        <v/>
      </c>
      <c r="I99" s="7" t="str">
        <f>IF(LEN($C99)&gt;0,_xll.ciqfunctions.udf.CIQ($C99,"IQ_KEY_DEV_SOURCE"),"")</f>
        <v/>
      </c>
      <c r="P99" s="514" t="s">
        <v>761</v>
      </c>
      <c r="Q99" s="510" t="s">
        <v>724</v>
      </c>
      <c r="R99" s="513" t="s">
        <v>760</v>
      </c>
    </row>
    <row r="100" spans="2:18" x14ac:dyDescent="0.2">
      <c r="B100" s="7">
        <f t="shared" si="3"/>
        <v>93</v>
      </c>
      <c r="C100" s="7"/>
      <c r="D100" s="7" t="str">
        <f>IF(LEN($C100),_xll.ciqfunctions.udf.CIQ($C100,"IQ_KEY_DEV_HEADLINE"),"")</f>
        <v/>
      </c>
      <c r="E100" s="7" t="str">
        <f>IF(LEN($C100)&gt;0,_xll.ciqfunctions.udf.CIQ($C100,"IQ_KEY_DEV_TYPE"),"")</f>
        <v/>
      </c>
      <c r="F100" s="7" t="str">
        <f>IF(LEN($C100)&gt;0,_xll.ciqfunctions.udf.CIQ($C100,"IQ_KEY_DEV_SITUATION"),"")</f>
        <v/>
      </c>
      <c r="G100" s="19" t="str">
        <f t="shared" si="2"/>
        <v/>
      </c>
      <c r="H100" s="19" t="str">
        <f>+IF(LEN($C100)&gt;0,TEXT(IF(_xll.ciqfunctions.udf.CIQ($C100,"IQ_KEY_DEV_TIME")="NA","",_xll.ciqfunctions.udf.CIQ($C100,"IQ_KEY_DEV_TIME")),"h:mm AM/PM"),"")</f>
        <v/>
      </c>
      <c r="I100" s="7" t="str">
        <f>IF(LEN($C100)&gt;0,_xll.ciqfunctions.udf.CIQ($C100,"IQ_KEY_DEV_SOURCE"),"")</f>
        <v/>
      </c>
      <c r="P100" s="514" t="s">
        <v>759</v>
      </c>
      <c r="Q100" s="510" t="s">
        <v>724</v>
      </c>
      <c r="R100" s="513" t="s">
        <v>758</v>
      </c>
    </row>
    <row r="101" spans="2:18" x14ac:dyDescent="0.2">
      <c r="B101" s="7">
        <f t="shared" si="3"/>
        <v>94</v>
      </c>
      <c r="C101" s="7"/>
      <c r="D101" s="7" t="str">
        <f>IF(LEN($C101),_xll.ciqfunctions.udf.CIQ($C101,"IQ_KEY_DEV_HEADLINE"),"")</f>
        <v/>
      </c>
      <c r="E101" s="7" t="str">
        <f>IF(LEN($C101)&gt;0,_xll.ciqfunctions.udf.CIQ($C101,"IQ_KEY_DEV_TYPE"),"")</f>
        <v/>
      </c>
      <c r="F101" s="7" t="str">
        <f>IF(LEN($C101)&gt;0,_xll.ciqfunctions.udf.CIQ($C101,"IQ_KEY_DEV_SITUATION"),"")</f>
        <v/>
      </c>
      <c r="G101" s="19" t="str">
        <f t="shared" si="2"/>
        <v/>
      </c>
      <c r="H101" s="19" t="str">
        <f>+IF(LEN($C101)&gt;0,TEXT(IF(_xll.ciqfunctions.udf.CIQ($C101,"IQ_KEY_DEV_TIME")="NA","",_xll.ciqfunctions.udf.CIQ($C101,"IQ_KEY_DEV_TIME")),"h:mm AM/PM"),"")</f>
        <v/>
      </c>
      <c r="I101" s="7" t="str">
        <f>IF(LEN($C101)&gt;0,_xll.ciqfunctions.udf.CIQ($C101,"IQ_KEY_DEV_SOURCE"),"")</f>
        <v/>
      </c>
      <c r="P101" s="514" t="s">
        <v>757</v>
      </c>
      <c r="Q101" s="510" t="s">
        <v>724</v>
      </c>
      <c r="R101" s="513" t="s">
        <v>756</v>
      </c>
    </row>
    <row r="102" spans="2:18" x14ac:dyDescent="0.2">
      <c r="B102" s="7">
        <f t="shared" si="3"/>
        <v>95</v>
      </c>
      <c r="C102" s="7"/>
      <c r="D102" s="7" t="str">
        <f>IF(LEN($C102),_xll.ciqfunctions.udf.CIQ($C102,"IQ_KEY_DEV_HEADLINE"),"")</f>
        <v/>
      </c>
      <c r="E102" s="7" t="str">
        <f>IF(LEN($C102)&gt;0,_xll.ciqfunctions.udf.CIQ($C102,"IQ_KEY_DEV_TYPE"),"")</f>
        <v/>
      </c>
      <c r="F102" s="7" t="str">
        <f>IF(LEN($C102)&gt;0,_xll.ciqfunctions.udf.CIQ($C102,"IQ_KEY_DEV_SITUATION"),"")</f>
        <v/>
      </c>
      <c r="G102" s="19" t="str">
        <f t="shared" si="2"/>
        <v/>
      </c>
      <c r="H102" s="19" t="str">
        <f>+IF(LEN($C102)&gt;0,TEXT(IF(_xll.ciqfunctions.udf.CIQ($C102,"IQ_KEY_DEV_TIME")="NA","",_xll.ciqfunctions.udf.CIQ($C102,"IQ_KEY_DEV_TIME")),"h:mm AM/PM"),"")</f>
        <v/>
      </c>
      <c r="I102" s="7" t="str">
        <f>IF(LEN($C102)&gt;0,_xll.ciqfunctions.udf.CIQ($C102,"IQ_KEY_DEV_SOURCE"),"")</f>
        <v/>
      </c>
      <c r="P102" s="514" t="s">
        <v>755</v>
      </c>
      <c r="Q102" s="510" t="s">
        <v>724</v>
      </c>
      <c r="R102" s="513" t="s">
        <v>754</v>
      </c>
    </row>
    <row r="103" spans="2:18" x14ac:dyDescent="0.2">
      <c r="B103" s="7">
        <f t="shared" si="3"/>
        <v>96</v>
      </c>
      <c r="C103" s="7"/>
      <c r="D103" s="7" t="str">
        <f>IF(LEN($C103),_xll.ciqfunctions.udf.CIQ($C103,"IQ_KEY_DEV_HEADLINE"),"")</f>
        <v/>
      </c>
      <c r="E103" s="7" t="str">
        <f>IF(LEN($C103)&gt;0,_xll.ciqfunctions.udf.CIQ($C103,"IQ_KEY_DEV_TYPE"),"")</f>
        <v/>
      </c>
      <c r="F103" s="7" t="str">
        <f>IF(LEN($C103)&gt;0,_xll.ciqfunctions.udf.CIQ($C103,"IQ_KEY_DEV_SITUATION"),"")</f>
        <v/>
      </c>
      <c r="G103" s="19" t="str">
        <f t="shared" si="2"/>
        <v/>
      </c>
      <c r="H103" s="19" t="str">
        <f>+IF(LEN($C103)&gt;0,TEXT(IF(_xll.ciqfunctions.udf.CIQ($C103,"IQ_KEY_DEV_TIME")="NA","",_xll.ciqfunctions.udf.CIQ($C103,"IQ_KEY_DEV_TIME")),"h:mm AM/PM"),"")</f>
        <v/>
      </c>
      <c r="I103" s="7" t="str">
        <f>IF(LEN($C103)&gt;0,_xll.ciqfunctions.udf.CIQ($C103,"IQ_KEY_DEV_SOURCE"),"")</f>
        <v/>
      </c>
      <c r="P103" s="514" t="s">
        <v>753</v>
      </c>
      <c r="Q103" s="510" t="s">
        <v>724</v>
      </c>
      <c r="R103" s="513" t="s">
        <v>752</v>
      </c>
    </row>
    <row r="104" spans="2:18" x14ac:dyDescent="0.2">
      <c r="B104" s="7">
        <f t="shared" si="3"/>
        <v>97</v>
      </c>
      <c r="C104" s="7"/>
      <c r="D104" s="7" t="str">
        <f>IF(LEN($C104),_xll.ciqfunctions.udf.CIQ($C104,"IQ_KEY_DEV_HEADLINE"),"")</f>
        <v/>
      </c>
      <c r="E104" s="7" t="str">
        <f>IF(LEN($C104)&gt;0,_xll.ciqfunctions.udf.CIQ($C104,"IQ_KEY_DEV_TYPE"),"")</f>
        <v/>
      </c>
      <c r="F104" s="7" t="str">
        <f>IF(LEN($C104)&gt;0,_xll.ciqfunctions.udf.CIQ($C104,"IQ_KEY_DEV_SITUATION"),"")</f>
        <v/>
      </c>
      <c r="G104" s="19" t="str">
        <f t="shared" si="2"/>
        <v/>
      </c>
      <c r="H104" s="19" t="str">
        <f>+IF(LEN($C104)&gt;0,TEXT(IF(_xll.ciqfunctions.udf.CIQ($C104,"IQ_KEY_DEV_TIME")="NA","",_xll.ciqfunctions.udf.CIQ($C104,"IQ_KEY_DEV_TIME")),"h:mm AM/PM"),"")</f>
        <v/>
      </c>
      <c r="I104" s="7" t="str">
        <f>IF(LEN($C104)&gt;0,_xll.ciqfunctions.udf.CIQ($C104,"IQ_KEY_DEV_SOURCE"),"")</f>
        <v/>
      </c>
      <c r="P104" s="514" t="s">
        <v>751</v>
      </c>
      <c r="Q104" s="510" t="s">
        <v>724</v>
      </c>
      <c r="R104" s="513" t="s">
        <v>750</v>
      </c>
    </row>
    <row r="105" spans="2:18" x14ac:dyDescent="0.2">
      <c r="B105" s="7">
        <f t="shared" si="3"/>
        <v>98</v>
      </c>
      <c r="C105" s="7"/>
      <c r="D105" s="7" t="str">
        <f>IF(LEN($C105),_xll.ciqfunctions.udf.CIQ($C105,"IQ_KEY_DEV_HEADLINE"),"")</f>
        <v/>
      </c>
      <c r="E105" s="7" t="str">
        <f>IF(LEN($C105)&gt;0,_xll.ciqfunctions.udf.CIQ($C105,"IQ_KEY_DEV_TYPE"),"")</f>
        <v/>
      </c>
      <c r="F105" s="7" t="str">
        <f>IF(LEN($C105)&gt;0,_xll.ciqfunctions.udf.CIQ($C105,"IQ_KEY_DEV_SITUATION"),"")</f>
        <v/>
      </c>
      <c r="G105" s="19" t="str">
        <f t="shared" si="2"/>
        <v/>
      </c>
      <c r="H105" s="19" t="str">
        <f>+IF(LEN($C105)&gt;0,TEXT(IF(_xll.ciqfunctions.udf.CIQ($C105,"IQ_KEY_DEV_TIME")="NA","",_xll.ciqfunctions.udf.CIQ($C105,"IQ_KEY_DEV_TIME")),"h:mm AM/PM"),"")</f>
        <v/>
      </c>
      <c r="I105" s="7" t="str">
        <f>IF(LEN($C105)&gt;0,_xll.ciqfunctions.udf.CIQ($C105,"IQ_KEY_DEV_SOURCE"),"")</f>
        <v/>
      </c>
      <c r="P105" s="514" t="s">
        <v>749</v>
      </c>
      <c r="Q105" s="510" t="s">
        <v>724</v>
      </c>
      <c r="R105" s="513" t="s">
        <v>748</v>
      </c>
    </row>
    <row r="106" spans="2:18" x14ac:dyDescent="0.2">
      <c r="B106" s="7">
        <f t="shared" si="3"/>
        <v>99</v>
      </c>
      <c r="C106" s="7"/>
      <c r="D106" s="7" t="str">
        <f>IF(LEN($C106),_xll.ciqfunctions.udf.CIQ($C106,"IQ_KEY_DEV_HEADLINE"),"")</f>
        <v/>
      </c>
      <c r="E106" s="7" t="str">
        <f>IF(LEN($C106)&gt;0,_xll.ciqfunctions.udf.CIQ($C106,"IQ_KEY_DEV_TYPE"),"")</f>
        <v/>
      </c>
      <c r="F106" s="7" t="str">
        <f>IF(LEN($C106)&gt;0,_xll.ciqfunctions.udf.CIQ($C106,"IQ_KEY_DEV_SITUATION"),"")</f>
        <v/>
      </c>
      <c r="G106" s="19" t="str">
        <f t="shared" si="2"/>
        <v/>
      </c>
      <c r="H106" s="19" t="str">
        <f>+IF(LEN($C106)&gt;0,TEXT(IF(_xll.ciqfunctions.udf.CIQ($C106,"IQ_KEY_DEV_TIME")="NA","",_xll.ciqfunctions.udf.CIQ($C106,"IQ_KEY_DEV_TIME")),"h:mm AM/PM"),"")</f>
        <v/>
      </c>
      <c r="I106" s="7" t="str">
        <f>IF(LEN($C106)&gt;0,_xll.ciqfunctions.udf.CIQ($C106,"IQ_KEY_DEV_SOURCE"),"")</f>
        <v/>
      </c>
      <c r="P106" s="514" t="s">
        <v>747</v>
      </c>
      <c r="Q106" s="510" t="s">
        <v>724</v>
      </c>
      <c r="R106" s="513" t="s">
        <v>746</v>
      </c>
    </row>
    <row r="107" spans="2:18" x14ac:dyDescent="0.2">
      <c r="B107" s="7">
        <f t="shared" si="3"/>
        <v>100</v>
      </c>
      <c r="C107" s="7"/>
      <c r="D107" s="7" t="str">
        <f>IF(LEN($C107),_xll.ciqfunctions.udf.CIQ($C107,"IQ_KEY_DEV_HEADLINE"),"")</f>
        <v/>
      </c>
      <c r="E107" s="7" t="str">
        <f>IF(LEN($C107)&gt;0,_xll.ciqfunctions.udf.CIQ($C107,"IQ_KEY_DEV_TYPE"),"")</f>
        <v/>
      </c>
      <c r="F107" s="7" t="str">
        <f>IF(LEN($C107)&gt;0,_xll.ciqfunctions.udf.CIQ($C107,"IQ_KEY_DEV_SITUATION"),"")</f>
        <v/>
      </c>
      <c r="G107" s="19" t="str">
        <f t="shared" si="2"/>
        <v/>
      </c>
      <c r="H107" s="19" t="str">
        <f>+IF(LEN($C107)&gt;0,TEXT(IF(_xll.ciqfunctions.udf.CIQ($C107,"IQ_KEY_DEV_TIME")="NA","",_xll.ciqfunctions.udf.CIQ($C107,"IQ_KEY_DEV_TIME")),"h:mm AM/PM"),"")</f>
        <v/>
      </c>
      <c r="I107" s="7" t="str">
        <f>IF(LEN($C107)&gt;0,_xll.ciqfunctions.udf.CIQ($C107,"IQ_KEY_DEV_SOURCE"),"")</f>
        <v/>
      </c>
      <c r="P107" s="514" t="s">
        <v>745</v>
      </c>
      <c r="Q107" s="510" t="s">
        <v>724</v>
      </c>
      <c r="R107" s="513" t="s">
        <v>744</v>
      </c>
    </row>
    <row r="108" spans="2:18" x14ac:dyDescent="0.2">
      <c r="B108" s="7">
        <f t="shared" si="3"/>
        <v>101</v>
      </c>
      <c r="C108" s="7"/>
      <c r="D108" s="7" t="str">
        <f>IF(LEN($C108),_xll.ciqfunctions.udf.CIQ($C108,"IQ_KEY_DEV_HEADLINE"),"")</f>
        <v/>
      </c>
      <c r="E108" s="7" t="str">
        <f>IF(LEN($C108)&gt;0,_xll.ciqfunctions.udf.CIQ($C108,"IQ_KEY_DEV_TYPE"),"")</f>
        <v/>
      </c>
      <c r="F108" s="7" t="str">
        <f>IF(LEN($C108)&gt;0,_xll.ciqfunctions.udf.CIQ($C108,"IQ_KEY_DEV_SITUATION"),"")</f>
        <v/>
      </c>
      <c r="G108" s="19" t="str">
        <f t="shared" si="2"/>
        <v/>
      </c>
      <c r="H108" s="19" t="str">
        <f>+IF(LEN($C108)&gt;0,TEXT(IF(_xll.ciqfunctions.udf.CIQ($C108,"IQ_KEY_DEV_TIME")="NA","",_xll.ciqfunctions.udf.CIQ($C108,"IQ_KEY_DEV_TIME")),"h:mm AM/PM"),"")</f>
        <v/>
      </c>
      <c r="I108" s="7" t="str">
        <f>IF(LEN($C108)&gt;0,_xll.ciqfunctions.udf.CIQ($C108,"IQ_KEY_DEV_SOURCE"),"")</f>
        <v/>
      </c>
      <c r="P108" s="514" t="s">
        <v>743</v>
      </c>
      <c r="Q108" s="510" t="s">
        <v>724</v>
      </c>
      <c r="R108" s="513" t="s">
        <v>742</v>
      </c>
    </row>
    <row r="109" spans="2:18" x14ac:dyDescent="0.2">
      <c r="B109" s="7">
        <f t="shared" si="3"/>
        <v>102</v>
      </c>
      <c r="C109" s="7"/>
      <c r="D109" s="7" t="str">
        <f>IF(LEN($C109),_xll.ciqfunctions.udf.CIQ($C109,"IQ_KEY_DEV_HEADLINE"),"")</f>
        <v/>
      </c>
      <c r="E109" s="7" t="str">
        <f>IF(LEN($C109)&gt;0,_xll.ciqfunctions.udf.CIQ($C109,"IQ_KEY_DEV_TYPE"),"")</f>
        <v/>
      </c>
      <c r="F109" s="7" t="str">
        <f>IF(LEN($C109)&gt;0,_xll.ciqfunctions.udf.CIQ($C109,"IQ_KEY_DEV_SITUATION"),"")</f>
        <v/>
      </c>
      <c r="G109" s="19" t="str">
        <f t="shared" si="2"/>
        <v/>
      </c>
      <c r="H109" s="19" t="str">
        <f>+IF(LEN($C109)&gt;0,TEXT(IF(_xll.ciqfunctions.udf.CIQ($C109,"IQ_KEY_DEV_TIME")="NA","",_xll.ciqfunctions.udf.CIQ($C109,"IQ_KEY_DEV_TIME")),"h:mm AM/PM"),"")</f>
        <v/>
      </c>
      <c r="I109" s="7" t="str">
        <f>IF(LEN($C109)&gt;0,_xll.ciqfunctions.udf.CIQ($C109,"IQ_KEY_DEV_SOURCE"),"")</f>
        <v/>
      </c>
      <c r="P109" s="514" t="s">
        <v>741</v>
      </c>
      <c r="Q109" s="510" t="s">
        <v>724</v>
      </c>
      <c r="R109" s="513" t="s">
        <v>740</v>
      </c>
    </row>
    <row r="110" spans="2:18" x14ac:dyDescent="0.2">
      <c r="B110" s="7">
        <f t="shared" si="3"/>
        <v>103</v>
      </c>
      <c r="C110" s="7"/>
      <c r="D110" s="7" t="str">
        <f>IF(LEN($C110),_xll.ciqfunctions.udf.CIQ($C110,"IQ_KEY_DEV_HEADLINE"),"")</f>
        <v/>
      </c>
      <c r="E110" s="7" t="str">
        <f>IF(LEN($C110)&gt;0,_xll.ciqfunctions.udf.CIQ($C110,"IQ_KEY_DEV_TYPE"),"")</f>
        <v/>
      </c>
      <c r="F110" s="7" t="str">
        <f>IF(LEN($C110)&gt;0,_xll.ciqfunctions.udf.CIQ($C110,"IQ_KEY_DEV_SITUATION"),"")</f>
        <v/>
      </c>
      <c r="G110" s="19" t="str">
        <f t="shared" si="2"/>
        <v/>
      </c>
      <c r="H110" s="19" t="str">
        <f>+IF(LEN($C110)&gt;0,TEXT(IF(_xll.ciqfunctions.udf.CIQ($C110,"IQ_KEY_DEV_TIME")="NA","",_xll.ciqfunctions.udf.CIQ($C110,"IQ_KEY_DEV_TIME")),"h:mm AM/PM"),"")</f>
        <v/>
      </c>
      <c r="I110" s="7" t="str">
        <f>IF(LEN($C110)&gt;0,_xll.ciqfunctions.udf.CIQ($C110,"IQ_KEY_DEV_SOURCE"),"")</f>
        <v/>
      </c>
      <c r="P110" s="514" t="s">
        <v>739</v>
      </c>
      <c r="Q110" s="510" t="s">
        <v>724</v>
      </c>
      <c r="R110" s="513" t="s">
        <v>738</v>
      </c>
    </row>
    <row r="111" spans="2:18" x14ac:dyDescent="0.2">
      <c r="B111" s="7">
        <f t="shared" si="3"/>
        <v>104</v>
      </c>
      <c r="C111" s="7"/>
      <c r="D111" s="7" t="str">
        <f>IF(LEN($C111),_xll.ciqfunctions.udf.CIQ($C111,"IQ_KEY_DEV_HEADLINE"),"")</f>
        <v/>
      </c>
      <c r="E111" s="7" t="str">
        <f>IF(LEN($C111)&gt;0,_xll.ciqfunctions.udf.CIQ($C111,"IQ_KEY_DEV_TYPE"),"")</f>
        <v/>
      </c>
      <c r="F111" s="7" t="str">
        <f>IF(LEN($C111)&gt;0,_xll.ciqfunctions.udf.CIQ($C111,"IQ_KEY_DEV_SITUATION"),"")</f>
        <v/>
      </c>
      <c r="G111" s="19" t="str">
        <f t="shared" si="2"/>
        <v/>
      </c>
      <c r="H111" s="19" t="str">
        <f>+IF(LEN($C111)&gt;0,TEXT(IF(_xll.ciqfunctions.udf.CIQ($C111,"IQ_KEY_DEV_TIME")="NA","",_xll.ciqfunctions.udf.CIQ($C111,"IQ_KEY_DEV_TIME")),"h:mm AM/PM"),"")</f>
        <v/>
      </c>
      <c r="I111" s="7" t="str">
        <f>IF(LEN($C111)&gt;0,_xll.ciqfunctions.udf.CIQ($C111,"IQ_KEY_DEV_SOURCE"),"")</f>
        <v/>
      </c>
      <c r="P111" s="514" t="s">
        <v>737</v>
      </c>
      <c r="Q111" s="510" t="s">
        <v>190</v>
      </c>
      <c r="R111" s="513" t="s">
        <v>736</v>
      </c>
    </row>
    <row r="112" spans="2:18" x14ac:dyDescent="0.2">
      <c r="B112" s="7">
        <f t="shared" si="3"/>
        <v>105</v>
      </c>
      <c r="C112" s="7"/>
      <c r="D112" s="7" t="str">
        <f>IF(LEN($C112),_xll.ciqfunctions.udf.CIQ($C112,"IQ_KEY_DEV_HEADLINE"),"")</f>
        <v/>
      </c>
      <c r="E112" s="7" t="str">
        <f>IF(LEN($C112)&gt;0,_xll.ciqfunctions.udf.CIQ($C112,"IQ_KEY_DEV_TYPE"),"")</f>
        <v/>
      </c>
      <c r="F112" s="7" t="str">
        <f>IF(LEN($C112)&gt;0,_xll.ciqfunctions.udf.CIQ($C112,"IQ_KEY_DEV_SITUATION"),"")</f>
        <v/>
      </c>
      <c r="G112" s="19" t="str">
        <f t="shared" si="2"/>
        <v/>
      </c>
      <c r="H112" s="19" t="str">
        <f>+IF(LEN($C112)&gt;0,TEXT(IF(_xll.ciqfunctions.udf.CIQ($C112,"IQ_KEY_DEV_TIME")="NA","",_xll.ciqfunctions.udf.CIQ($C112,"IQ_KEY_DEV_TIME")),"h:mm AM/PM"),"")</f>
        <v/>
      </c>
      <c r="I112" s="7" t="str">
        <f>IF(LEN($C112)&gt;0,_xll.ciqfunctions.udf.CIQ($C112,"IQ_KEY_DEV_SOURCE"),"")</f>
        <v/>
      </c>
      <c r="P112" s="514" t="s">
        <v>735</v>
      </c>
      <c r="Q112" s="510" t="s">
        <v>724</v>
      </c>
      <c r="R112" s="513" t="s">
        <v>734</v>
      </c>
    </row>
    <row r="113" spans="2:18" x14ac:dyDescent="0.2">
      <c r="B113" s="7">
        <f t="shared" si="3"/>
        <v>106</v>
      </c>
      <c r="C113" s="7"/>
      <c r="D113" s="7" t="str">
        <f>IF(LEN($C113),_xll.ciqfunctions.udf.CIQ($C113,"IQ_KEY_DEV_HEADLINE"),"")</f>
        <v/>
      </c>
      <c r="E113" s="7" t="str">
        <f>IF(LEN($C113)&gt;0,_xll.ciqfunctions.udf.CIQ($C113,"IQ_KEY_DEV_TYPE"),"")</f>
        <v/>
      </c>
      <c r="F113" s="7" t="str">
        <f>IF(LEN($C113)&gt;0,_xll.ciqfunctions.udf.CIQ($C113,"IQ_KEY_DEV_SITUATION"),"")</f>
        <v/>
      </c>
      <c r="G113" s="19" t="str">
        <f t="shared" si="2"/>
        <v/>
      </c>
      <c r="H113" s="19" t="str">
        <f>+IF(LEN($C113)&gt;0,TEXT(IF(_xll.ciqfunctions.udf.CIQ($C113,"IQ_KEY_DEV_TIME")="NA","",_xll.ciqfunctions.udf.CIQ($C113,"IQ_KEY_DEV_TIME")),"h:mm AM/PM"),"")</f>
        <v/>
      </c>
      <c r="I113" s="7" t="str">
        <f>IF(LEN($C113)&gt;0,_xll.ciqfunctions.udf.CIQ($C113,"IQ_KEY_DEV_SOURCE"),"")</f>
        <v/>
      </c>
      <c r="P113" s="514" t="s">
        <v>733</v>
      </c>
      <c r="Q113" s="510" t="s">
        <v>724</v>
      </c>
      <c r="R113" s="513" t="s">
        <v>732</v>
      </c>
    </row>
    <row r="114" spans="2:18" x14ac:dyDescent="0.2">
      <c r="B114" s="7">
        <f t="shared" si="3"/>
        <v>107</v>
      </c>
      <c r="C114" s="7"/>
      <c r="D114" s="7" t="str">
        <f>IF(LEN($C114),_xll.ciqfunctions.udf.CIQ($C114,"IQ_KEY_DEV_HEADLINE"),"")</f>
        <v/>
      </c>
      <c r="E114" s="7" t="str">
        <f>IF(LEN($C114)&gt;0,_xll.ciqfunctions.udf.CIQ($C114,"IQ_KEY_DEV_TYPE"),"")</f>
        <v/>
      </c>
      <c r="F114" s="7" t="str">
        <f>IF(LEN($C114)&gt;0,_xll.ciqfunctions.udf.CIQ($C114,"IQ_KEY_DEV_SITUATION"),"")</f>
        <v/>
      </c>
      <c r="G114" s="19" t="str">
        <f t="shared" si="2"/>
        <v/>
      </c>
      <c r="H114" s="19" t="str">
        <f>+IF(LEN($C114)&gt;0,TEXT(IF(_xll.ciqfunctions.udf.CIQ($C114,"IQ_KEY_DEV_TIME")="NA","",_xll.ciqfunctions.udf.CIQ($C114,"IQ_KEY_DEV_TIME")),"h:mm AM/PM"),"")</f>
        <v/>
      </c>
      <c r="I114" s="7" t="str">
        <f>IF(LEN($C114)&gt;0,_xll.ciqfunctions.udf.CIQ($C114,"IQ_KEY_DEV_SOURCE"),"")</f>
        <v/>
      </c>
      <c r="P114" s="514" t="s">
        <v>731</v>
      </c>
      <c r="Q114" s="510" t="s">
        <v>724</v>
      </c>
      <c r="R114" s="513" t="s">
        <v>730</v>
      </c>
    </row>
    <row r="115" spans="2:18" x14ac:dyDescent="0.2">
      <c r="B115" s="7">
        <f t="shared" si="3"/>
        <v>108</v>
      </c>
      <c r="C115" s="7"/>
      <c r="D115" s="7" t="str">
        <f>IF(LEN($C115),_xll.ciqfunctions.udf.CIQ($C115,"IQ_KEY_DEV_HEADLINE"),"")</f>
        <v/>
      </c>
      <c r="E115" s="7" t="str">
        <f>IF(LEN($C115)&gt;0,_xll.ciqfunctions.udf.CIQ($C115,"IQ_KEY_DEV_TYPE"),"")</f>
        <v/>
      </c>
      <c r="F115" s="7" t="str">
        <f>IF(LEN($C115)&gt;0,_xll.ciqfunctions.udf.CIQ($C115,"IQ_KEY_DEV_SITUATION"),"")</f>
        <v/>
      </c>
      <c r="G115" s="19" t="str">
        <f t="shared" si="2"/>
        <v/>
      </c>
      <c r="H115" s="19" t="str">
        <f>+IF(LEN($C115)&gt;0,TEXT(IF(_xll.ciqfunctions.udf.CIQ($C115,"IQ_KEY_DEV_TIME")="NA","",_xll.ciqfunctions.udf.CIQ($C115,"IQ_KEY_DEV_TIME")),"h:mm AM/PM"),"")</f>
        <v/>
      </c>
      <c r="I115" s="7" t="str">
        <f>IF(LEN($C115)&gt;0,_xll.ciqfunctions.udf.CIQ($C115,"IQ_KEY_DEV_SOURCE"),"")</f>
        <v/>
      </c>
      <c r="P115" s="514" t="s">
        <v>729</v>
      </c>
      <c r="Q115" s="510" t="s">
        <v>724</v>
      </c>
      <c r="R115" s="513" t="s">
        <v>728</v>
      </c>
    </row>
    <row r="116" spans="2:18" x14ac:dyDescent="0.2">
      <c r="B116" s="7">
        <f t="shared" si="3"/>
        <v>109</v>
      </c>
      <c r="C116" s="7"/>
      <c r="D116" s="7" t="str">
        <f>IF(LEN($C116),_xll.ciqfunctions.udf.CIQ($C116,"IQ_KEY_DEV_HEADLINE"),"")</f>
        <v/>
      </c>
      <c r="E116" s="7" t="str">
        <f>IF(LEN($C116)&gt;0,_xll.ciqfunctions.udf.CIQ($C116,"IQ_KEY_DEV_TYPE"),"")</f>
        <v/>
      </c>
      <c r="F116" s="7" t="str">
        <f>IF(LEN($C116)&gt;0,_xll.ciqfunctions.udf.CIQ($C116,"IQ_KEY_DEV_SITUATION"),"")</f>
        <v/>
      </c>
      <c r="G116" s="19" t="str">
        <f t="shared" si="2"/>
        <v/>
      </c>
      <c r="H116" s="19" t="str">
        <f>+IF(LEN($C116)&gt;0,TEXT(IF(_xll.ciqfunctions.udf.CIQ($C116,"IQ_KEY_DEV_TIME")="NA","",_xll.ciqfunctions.udf.CIQ($C116,"IQ_KEY_DEV_TIME")),"h:mm AM/PM"),"")</f>
        <v/>
      </c>
      <c r="I116" s="7" t="str">
        <f>IF(LEN($C116)&gt;0,_xll.ciqfunctions.udf.CIQ($C116,"IQ_KEY_DEV_SOURCE"),"")</f>
        <v/>
      </c>
      <c r="P116" s="514" t="s">
        <v>727</v>
      </c>
      <c r="Q116" s="510" t="s">
        <v>724</v>
      </c>
      <c r="R116" s="513" t="s">
        <v>726</v>
      </c>
    </row>
    <row r="117" spans="2:18" x14ac:dyDescent="0.2">
      <c r="B117" s="7">
        <f t="shared" si="3"/>
        <v>110</v>
      </c>
      <c r="C117" s="7"/>
      <c r="D117" s="7" t="str">
        <f>IF(LEN($C117),_xll.ciqfunctions.udf.CIQ($C117,"IQ_KEY_DEV_HEADLINE"),"")</f>
        <v/>
      </c>
      <c r="E117" s="7" t="str">
        <f>IF(LEN($C117)&gt;0,_xll.ciqfunctions.udf.CIQ($C117,"IQ_KEY_DEV_TYPE"),"")</f>
        <v/>
      </c>
      <c r="F117" s="7" t="str">
        <f>IF(LEN($C117)&gt;0,_xll.ciqfunctions.udf.CIQ($C117,"IQ_KEY_DEV_SITUATION"),"")</f>
        <v/>
      </c>
      <c r="G117" s="19" t="str">
        <f t="shared" si="2"/>
        <v/>
      </c>
      <c r="H117" s="19" t="str">
        <f>+IF(LEN($C117)&gt;0,TEXT(IF(_xll.ciqfunctions.udf.CIQ($C117,"IQ_KEY_DEV_TIME")="NA","",_xll.ciqfunctions.udf.CIQ($C117,"IQ_KEY_DEV_TIME")),"h:mm AM/PM"),"")</f>
        <v/>
      </c>
      <c r="I117" s="7" t="str">
        <f>IF(LEN($C117)&gt;0,_xll.ciqfunctions.udf.CIQ($C117,"IQ_KEY_DEV_SOURCE"),"")</f>
        <v/>
      </c>
      <c r="P117" s="514" t="s">
        <v>725</v>
      </c>
      <c r="Q117" s="510" t="s">
        <v>724</v>
      </c>
      <c r="R117" s="513" t="s">
        <v>723</v>
      </c>
    </row>
    <row r="118" spans="2:18" x14ac:dyDescent="0.2">
      <c r="B118" s="7">
        <f t="shared" si="3"/>
        <v>111</v>
      </c>
      <c r="C118" s="7"/>
      <c r="D118" s="7" t="str">
        <f>IF(LEN($C118),_xll.ciqfunctions.udf.CIQ($C118,"IQ_KEY_DEV_HEADLINE"),"")</f>
        <v/>
      </c>
      <c r="E118" s="7" t="str">
        <f>IF(LEN($C118)&gt;0,_xll.ciqfunctions.udf.CIQ($C118,"IQ_KEY_DEV_TYPE"),"")</f>
        <v/>
      </c>
      <c r="F118" s="7" t="str">
        <f>IF(LEN($C118)&gt;0,_xll.ciqfunctions.udf.CIQ($C118,"IQ_KEY_DEV_SITUATION"),"")</f>
        <v/>
      </c>
      <c r="G118" s="19" t="str">
        <f t="shared" si="2"/>
        <v/>
      </c>
      <c r="H118" s="19" t="str">
        <f>+IF(LEN($C118)&gt;0,TEXT(IF(_xll.ciqfunctions.udf.CIQ($C118,"IQ_KEY_DEV_TIME")="NA","",_xll.ciqfunctions.udf.CIQ($C118,"IQ_KEY_DEV_TIME")),"h:mm AM/PM"),"")</f>
        <v/>
      </c>
      <c r="I118" s="7" t="str">
        <f>IF(LEN($C118)&gt;0,_xll.ciqfunctions.udf.CIQ($C118,"IQ_KEY_DEV_SOURCE"),"")</f>
        <v/>
      </c>
      <c r="P118" s="510"/>
      <c r="Q118" s="510"/>
      <c r="R118" s="510"/>
    </row>
    <row r="119" spans="2:18" x14ac:dyDescent="0.2">
      <c r="B119" s="7">
        <f t="shared" si="3"/>
        <v>112</v>
      </c>
      <c r="C119" s="7"/>
      <c r="D119" s="7" t="str">
        <f>IF(LEN($C119),_xll.ciqfunctions.udf.CIQ($C119,"IQ_KEY_DEV_HEADLINE"),"")</f>
        <v/>
      </c>
      <c r="E119" s="7" t="str">
        <f>IF(LEN($C119)&gt;0,_xll.ciqfunctions.udf.CIQ($C119,"IQ_KEY_DEV_TYPE"),"")</f>
        <v/>
      </c>
      <c r="F119" s="7" t="str">
        <f>IF(LEN($C119)&gt;0,_xll.ciqfunctions.udf.CIQ($C119,"IQ_KEY_DEV_SITUATION"),"")</f>
        <v/>
      </c>
      <c r="G119" s="19" t="str">
        <f t="shared" si="2"/>
        <v/>
      </c>
      <c r="H119" s="19" t="str">
        <f>+IF(LEN($C119)&gt;0,TEXT(IF(_xll.ciqfunctions.udf.CIQ($C119,"IQ_KEY_DEV_TIME")="NA","",_xll.ciqfunctions.udf.CIQ($C119,"IQ_KEY_DEV_TIME")),"h:mm AM/PM"),"")</f>
        <v/>
      </c>
      <c r="I119" s="7" t="str">
        <f>IF(LEN($C119)&gt;0,_xll.ciqfunctions.udf.CIQ($C119,"IQ_KEY_DEV_SOURCE"),"")</f>
        <v/>
      </c>
      <c r="P119" s="516" t="s">
        <v>722</v>
      </c>
      <c r="Q119" s="516"/>
      <c r="R119" s="515" t="s">
        <v>721</v>
      </c>
    </row>
    <row r="120" spans="2:18" x14ac:dyDescent="0.2">
      <c r="B120" s="7">
        <f t="shared" si="3"/>
        <v>113</v>
      </c>
      <c r="C120" s="7"/>
      <c r="D120" s="7" t="str">
        <f>IF(LEN($C120),_xll.ciqfunctions.udf.CIQ($C120,"IQ_KEY_DEV_HEADLINE"),"")</f>
        <v/>
      </c>
      <c r="E120" s="7" t="str">
        <f>IF(LEN($C120)&gt;0,_xll.ciqfunctions.udf.CIQ($C120,"IQ_KEY_DEV_TYPE"),"")</f>
        <v/>
      </c>
      <c r="F120" s="7" t="str">
        <f>IF(LEN($C120)&gt;0,_xll.ciqfunctions.udf.CIQ($C120,"IQ_KEY_DEV_SITUATION"),"")</f>
        <v/>
      </c>
      <c r="G120" s="19" t="str">
        <f t="shared" si="2"/>
        <v/>
      </c>
      <c r="H120" s="19" t="str">
        <f>+IF(LEN($C120)&gt;0,TEXT(IF(_xll.ciqfunctions.udf.CIQ($C120,"IQ_KEY_DEV_TIME")="NA","",_xll.ciqfunctions.udf.CIQ($C120,"IQ_KEY_DEV_TIME")),"h:mm AM/PM"),"")</f>
        <v/>
      </c>
      <c r="I120" s="7" t="str">
        <f>IF(LEN($C120)&gt;0,_xll.ciqfunctions.udf.CIQ($C120,"IQ_KEY_DEV_SOURCE"),"")</f>
        <v/>
      </c>
      <c r="P120" s="514" t="s">
        <v>720</v>
      </c>
      <c r="Q120" s="510" t="s">
        <v>190</v>
      </c>
      <c r="R120" s="513" t="s">
        <v>719</v>
      </c>
    </row>
    <row r="121" spans="2:18" x14ac:dyDescent="0.2">
      <c r="B121" s="7">
        <f t="shared" si="3"/>
        <v>114</v>
      </c>
      <c r="C121" s="7"/>
      <c r="D121" s="7" t="str">
        <f>IF(LEN($C121),_xll.ciqfunctions.udf.CIQ($C121,"IQ_KEY_DEV_HEADLINE"),"")</f>
        <v/>
      </c>
      <c r="E121" s="7" t="str">
        <f>IF(LEN($C121)&gt;0,_xll.ciqfunctions.udf.CIQ($C121,"IQ_KEY_DEV_TYPE"),"")</f>
        <v/>
      </c>
      <c r="F121" s="7" t="str">
        <f>IF(LEN($C121)&gt;0,_xll.ciqfunctions.udf.CIQ($C121,"IQ_KEY_DEV_SITUATION"),"")</f>
        <v/>
      </c>
      <c r="G121" s="19" t="str">
        <f t="shared" si="2"/>
        <v/>
      </c>
      <c r="H121" s="19" t="str">
        <f>+IF(LEN($C121)&gt;0,TEXT(IF(_xll.ciqfunctions.udf.CIQ($C121,"IQ_KEY_DEV_TIME")="NA","",_xll.ciqfunctions.udf.CIQ($C121,"IQ_KEY_DEV_TIME")),"h:mm AM/PM"),"")</f>
        <v/>
      </c>
      <c r="I121" s="7" t="str">
        <f>IF(LEN($C121)&gt;0,_xll.ciqfunctions.udf.CIQ($C121,"IQ_KEY_DEV_SOURCE"),"")</f>
        <v/>
      </c>
      <c r="P121" s="514" t="s">
        <v>718</v>
      </c>
      <c r="Q121" s="510" t="s">
        <v>190</v>
      </c>
      <c r="R121" s="513" t="s">
        <v>717</v>
      </c>
    </row>
    <row r="122" spans="2:18" x14ac:dyDescent="0.2">
      <c r="B122" s="7">
        <f t="shared" si="3"/>
        <v>115</v>
      </c>
      <c r="C122" s="7"/>
      <c r="D122" s="7" t="str">
        <f>IF(LEN($C122),_xll.ciqfunctions.udf.CIQ($C122,"IQ_KEY_DEV_HEADLINE"),"")</f>
        <v/>
      </c>
      <c r="E122" s="7" t="str">
        <f>IF(LEN($C122)&gt;0,_xll.ciqfunctions.udf.CIQ($C122,"IQ_KEY_DEV_TYPE"),"")</f>
        <v/>
      </c>
      <c r="F122" s="7" t="str">
        <f>IF(LEN($C122)&gt;0,_xll.ciqfunctions.udf.CIQ($C122,"IQ_KEY_DEV_SITUATION"),"")</f>
        <v/>
      </c>
      <c r="G122" s="19" t="str">
        <f t="shared" si="2"/>
        <v/>
      </c>
      <c r="H122" s="19" t="str">
        <f>+IF(LEN($C122)&gt;0,TEXT(IF(_xll.ciqfunctions.udf.CIQ($C122,"IQ_KEY_DEV_TIME")="NA","",_xll.ciqfunctions.udf.CIQ($C122,"IQ_KEY_DEV_TIME")),"h:mm AM/PM"),"")</f>
        <v/>
      </c>
      <c r="I122" s="7" t="str">
        <f>IF(LEN($C122)&gt;0,_xll.ciqfunctions.udf.CIQ($C122,"IQ_KEY_DEV_SOURCE"),"")</f>
        <v/>
      </c>
      <c r="P122" s="514" t="s">
        <v>716</v>
      </c>
      <c r="Q122" s="510" t="s">
        <v>190</v>
      </c>
      <c r="R122" s="513" t="s">
        <v>715</v>
      </c>
    </row>
    <row r="123" spans="2:18" x14ac:dyDescent="0.2">
      <c r="B123" s="7">
        <f t="shared" si="3"/>
        <v>116</v>
      </c>
      <c r="C123" s="7"/>
      <c r="D123" s="7" t="str">
        <f>IF(LEN($C123),_xll.ciqfunctions.udf.CIQ($C123,"IQ_KEY_DEV_HEADLINE"),"")</f>
        <v/>
      </c>
      <c r="E123" s="7" t="str">
        <f>IF(LEN($C123)&gt;0,_xll.ciqfunctions.udf.CIQ($C123,"IQ_KEY_DEV_TYPE"),"")</f>
        <v/>
      </c>
      <c r="F123" s="7" t="str">
        <f>IF(LEN($C123)&gt;0,_xll.ciqfunctions.udf.CIQ($C123,"IQ_KEY_DEV_SITUATION"),"")</f>
        <v/>
      </c>
      <c r="G123" s="19" t="str">
        <f t="shared" si="2"/>
        <v/>
      </c>
      <c r="H123" s="19" t="str">
        <f>+IF(LEN($C123)&gt;0,TEXT(IF(_xll.ciqfunctions.udf.CIQ($C123,"IQ_KEY_DEV_TIME")="NA","",_xll.ciqfunctions.udf.CIQ($C123,"IQ_KEY_DEV_TIME")),"h:mm AM/PM"),"")</f>
        <v/>
      </c>
      <c r="I123" s="7" t="str">
        <f>IF(LEN($C123)&gt;0,_xll.ciqfunctions.udf.CIQ($C123,"IQ_KEY_DEV_SOURCE"),"")</f>
        <v/>
      </c>
      <c r="P123" s="514" t="s">
        <v>714</v>
      </c>
      <c r="Q123" s="510" t="s">
        <v>190</v>
      </c>
      <c r="R123" s="513" t="s">
        <v>713</v>
      </c>
    </row>
    <row r="124" spans="2:18" x14ac:dyDescent="0.2">
      <c r="B124" s="7">
        <f t="shared" si="3"/>
        <v>117</v>
      </c>
      <c r="C124" s="7"/>
      <c r="D124" s="7" t="str">
        <f>IF(LEN($C124),_xll.ciqfunctions.udf.CIQ($C124,"IQ_KEY_DEV_HEADLINE"),"")</f>
        <v/>
      </c>
      <c r="E124" s="7" t="str">
        <f>IF(LEN($C124)&gt;0,_xll.ciqfunctions.udf.CIQ($C124,"IQ_KEY_DEV_TYPE"),"")</f>
        <v/>
      </c>
      <c r="F124" s="7" t="str">
        <f>IF(LEN($C124)&gt;0,_xll.ciqfunctions.udf.CIQ($C124,"IQ_KEY_DEV_SITUATION"),"")</f>
        <v/>
      </c>
      <c r="G124" s="19" t="str">
        <f t="shared" si="2"/>
        <v/>
      </c>
      <c r="H124" s="19" t="str">
        <f>+IF(LEN($C124)&gt;0,TEXT(IF(_xll.ciqfunctions.udf.CIQ($C124,"IQ_KEY_DEV_TIME")="NA","",_xll.ciqfunctions.udf.CIQ($C124,"IQ_KEY_DEV_TIME")),"h:mm AM/PM"),"")</f>
        <v/>
      </c>
      <c r="I124" s="7" t="str">
        <f>IF(LEN($C124)&gt;0,_xll.ciqfunctions.udf.CIQ($C124,"IQ_KEY_DEV_SOURCE"),"")</f>
        <v/>
      </c>
      <c r="P124" s="514" t="s">
        <v>712</v>
      </c>
      <c r="Q124" s="510" t="s">
        <v>190</v>
      </c>
      <c r="R124" s="513" t="s">
        <v>711</v>
      </c>
    </row>
    <row r="125" spans="2:18" x14ac:dyDescent="0.2">
      <c r="B125" s="7">
        <f t="shared" si="3"/>
        <v>118</v>
      </c>
      <c r="C125" s="7"/>
      <c r="D125" s="7" t="str">
        <f>IF(LEN($C125),_xll.ciqfunctions.udf.CIQ($C125,"IQ_KEY_DEV_HEADLINE"),"")</f>
        <v/>
      </c>
      <c r="E125" s="7" t="str">
        <f>IF(LEN($C125)&gt;0,_xll.ciqfunctions.udf.CIQ($C125,"IQ_KEY_DEV_TYPE"),"")</f>
        <v/>
      </c>
      <c r="F125" s="7" t="str">
        <f>IF(LEN($C125)&gt;0,_xll.ciqfunctions.udf.CIQ($C125,"IQ_KEY_DEV_SITUATION"),"")</f>
        <v/>
      </c>
      <c r="G125" s="19" t="str">
        <f t="shared" si="2"/>
        <v/>
      </c>
      <c r="H125" s="19" t="str">
        <f>+IF(LEN($C125)&gt;0,TEXT(IF(_xll.ciqfunctions.udf.CIQ($C125,"IQ_KEY_DEV_TIME")="NA","",_xll.ciqfunctions.udf.CIQ($C125,"IQ_KEY_DEV_TIME")),"h:mm AM/PM"),"")</f>
        <v/>
      </c>
      <c r="I125" s="7" t="str">
        <f>IF(LEN($C125)&gt;0,_xll.ciqfunctions.udf.CIQ($C125,"IQ_KEY_DEV_SOURCE"),"")</f>
        <v/>
      </c>
      <c r="P125" s="514" t="s">
        <v>710</v>
      </c>
      <c r="Q125" s="510" t="s">
        <v>190</v>
      </c>
      <c r="R125" s="513" t="s">
        <v>709</v>
      </c>
    </row>
    <row r="126" spans="2:18" x14ac:dyDescent="0.2">
      <c r="B126" s="7">
        <f t="shared" si="3"/>
        <v>119</v>
      </c>
      <c r="C126" s="7"/>
      <c r="D126" s="7" t="str">
        <f>IF(LEN($C126),_xll.ciqfunctions.udf.CIQ($C126,"IQ_KEY_DEV_HEADLINE"),"")</f>
        <v/>
      </c>
      <c r="E126" s="7" t="str">
        <f>IF(LEN($C126)&gt;0,_xll.ciqfunctions.udf.CIQ($C126,"IQ_KEY_DEV_TYPE"),"")</f>
        <v/>
      </c>
      <c r="F126" s="7" t="str">
        <f>IF(LEN($C126)&gt;0,_xll.ciqfunctions.udf.CIQ($C126,"IQ_KEY_DEV_SITUATION"),"")</f>
        <v/>
      </c>
      <c r="G126" s="19" t="str">
        <f t="shared" si="2"/>
        <v/>
      </c>
      <c r="H126" s="19" t="str">
        <f>+IF(LEN($C126)&gt;0,TEXT(IF(_xll.ciqfunctions.udf.CIQ($C126,"IQ_KEY_DEV_TIME")="NA","",_xll.ciqfunctions.udf.CIQ($C126,"IQ_KEY_DEV_TIME")),"h:mm AM/PM"),"")</f>
        <v/>
      </c>
      <c r="I126" s="7" t="str">
        <f>IF(LEN($C126)&gt;0,_xll.ciqfunctions.udf.CIQ($C126,"IQ_KEY_DEV_SOURCE"),"")</f>
        <v/>
      </c>
      <c r="P126" s="514" t="s">
        <v>708</v>
      </c>
      <c r="Q126" s="510" t="s">
        <v>190</v>
      </c>
      <c r="R126" s="513" t="s">
        <v>707</v>
      </c>
    </row>
    <row r="127" spans="2:18" x14ac:dyDescent="0.2">
      <c r="B127" s="7">
        <f t="shared" si="3"/>
        <v>120</v>
      </c>
      <c r="C127" s="7"/>
      <c r="D127" s="7" t="str">
        <f>IF(LEN($C127),_xll.ciqfunctions.udf.CIQ($C127,"IQ_KEY_DEV_HEADLINE"),"")</f>
        <v/>
      </c>
      <c r="E127" s="7" t="str">
        <f>IF(LEN($C127)&gt;0,_xll.ciqfunctions.udf.CIQ($C127,"IQ_KEY_DEV_TYPE"),"")</f>
        <v/>
      </c>
      <c r="F127" s="7" t="str">
        <f>IF(LEN($C127)&gt;0,_xll.ciqfunctions.udf.CIQ($C127,"IQ_KEY_DEV_SITUATION"),"")</f>
        <v/>
      </c>
      <c r="G127" s="19" t="str">
        <f t="shared" si="2"/>
        <v/>
      </c>
      <c r="H127" s="19" t="str">
        <f>+IF(LEN($C127)&gt;0,TEXT(IF(_xll.ciqfunctions.udf.CIQ($C127,"IQ_KEY_DEV_TIME")="NA","",_xll.ciqfunctions.udf.CIQ($C127,"IQ_KEY_DEV_TIME")),"h:mm AM/PM"),"")</f>
        <v/>
      </c>
      <c r="I127" s="7" t="str">
        <f>IF(LEN($C127)&gt;0,_xll.ciqfunctions.udf.CIQ($C127,"IQ_KEY_DEV_SOURCE"),"")</f>
        <v/>
      </c>
      <c r="P127" s="514" t="s">
        <v>706</v>
      </c>
      <c r="Q127" s="510" t="s">
        <v>190</v>
      </c>
      <c r="R127" s="513" t="s">
        <v>705</v>
      </c>
    </row>
    <row r="128" spans="2:18" x14ac:dyDescent="0.2">
      <c r="B128" s="7">
        <f t="shared" si="3"/>
        <v>121</v>
      </c>
      <c r="C128" s="7"/>
      <c r="D128" s="7" t="str">
        <f>IF(LEN($C128),_xll.ciqfunctions.udf.CIQ($C128,"IQ_KEY_DEV_HEADLINE"),"")</f>
        <v/>
      </c>
      <c r="E128" s="7" t="str">
        <f>IF(LEN($C128)&gt;0,_xll.ciqfunctions.udf.CIQ($C128,"IQ_KEY_DEV_TYPE"),"")</f>
        <v/>
      </c>
      <c r="F128" s="7" t="str">
        <f>IF(LEN($C128)&gt;0,_xll.ciqfunctions.udf.CIQ($C128,"IQ_KEY_DEV_SITUATION"),"")</f>
        <v/>
      </c>
      <c r="G128" s="19" t="str">
        <f t="shared" si="2"/>
        <v/>
      </c>
      <c r="H128" s="19" t="str">
        <f>+IF(LEN($C128)&gt;0,TEXT(IF(_xll.ciqfunctions.udf.CIQ($C128,"IQ_KEY_DEV_TIME")="NA","",_xll.ciqfunctions.udf.CIQ($C128,"IQ_KEY_DEV_TIME")),"h:mm AM/PM"),"")</f>
        <v/>
      </c>
      <c r="I128" s="7" t="str">
        <f>IF(LEN($C128)&gt;0,_xll.ciqfunctions.udf.CIQ($C128,"IQ_KEY_DEV_SOURCE"),"")</f>
        <v/>
      </c>
      <c r="P128" s="514" t="s">
        <v>704</v>
      </c>
      <c r="Q128" s="510" t="s">
        <v>190</v>
      </c>
      <c r="R128" s="513" t="s">
        <v>703</v>
      </c>
    </row>
    <row r="129" spans="2:18" x14ac:dyDescent="0.2">
      <c r="B129" s="7">
        <f t="shared" si="3"/>
        <v>122</v>
      </c>
      <c r="C129" s="7"/>
      <c r="D129" s="7" t="str">
        <f>IF(LEN($C129),_xll.ciqfunctions.udf.CIQ($C129,"IQ_KEY_DEV_HEADLINE"),"")</f>
        <v/>
      </c>
      <c r="E129" s="7" t="str">
        <f>IF(LEN($C129)&gt;0,_xll.ciqfunctions.udf.CIQ($C129,"IQ_KEY_DEV_TYPE"),"")</f>
        <v/>
      </c>
      <c r="F129" s="7" t="str">
        <f>IF(LEN($C129)&gt;0,_xll.ciqfunctions.udf.CIQ($C129,"IQ_KEY_DEV_SITUATION"),"")</f>
        <v/>
      </c>
      <c r="G129" s="19" t="str">
        <f t="shared" si="2"/>
        <v/>
      </c>
      <c r="H129" s="19" t="str">
        <f>+IF(LEN($C129)&gt;0,TEXT(IF(_xll.ciqfunctions.udf.CIQ($C129,"IQ_KEY_DEV_TIME")="NA","",_xll.ciqfunctions.udf.CIQ($C129,"IQ_KEY_DEV_TIME")),"h:mm AM/PM"),"")</f>
        <v/>
      </c>
      <c r="I129" s="7" t="str">
        <f>IF(LEN($C129)&gt;0,_xll.ciqfunctions.udf.CIQ($C129,"IQ_KEY_DEV_SOURCE"),"")</f>
        <v/>
      </c>
      <c r="P129" s="514" t="s">
        <v>702</v>
      </c>
      <c r="Q129" s="510" t="s">
        <v>190</v>
      </c>
      <c r="R129" s="513" t="s">
        <v>701</v>
      </c>
    </row>
    <row r="130" spans="2:18" x14ac:dyDescent="0.2">
      <c r="B130" s="7">
        <f t="shared" si="3"/>
        <v>123</v>
      </c>
      <c r="C130" s="7"/>
      <c r="D130" s="7" t="str">
        <f>IF(LEN($C130),_xll.ciqfunctions.udf.CIQ($C130,"IQ_KEY_DEV_HEADLINE"),"")</f>
        <v/>
      </c>
      <c r="E130" s="7" t="str">
        <f>IF(LEN($C130)&gt;0,_xll.ciqfunctions.udf.CIQ($C130,"IQ_KEY_DEV_TYPE"),"")</f>
        <v/>
      </c>
      <c r="F130" s="7" t="str">
        <f>IF(LEN($C130)&gt;0,_xll.ciqfunctions.udf.CIQ($C130,"IQ_KEY_DEV_SITUATION"),"")</f>
        <v/>
      </c>
      <c r="G130" s="19" t="str">
        <f t="shared" si="2"/>
        <v/>
      </c>
      <c r="H130" s="19" t="str">
        <f>+IF(LEN($C130)&gt;0,TEXT(IF(_xll.ciqfunctions.udf.CIQ($C130,"IQ_KEY_DEV_TIME")="NA","",_xll.ciqfunctions.udf.CIQ($C130,"IQ_KEY_DEV_TIME")),"h:mm AM/PM"),"")</f>
        <v/>
      </c>
      <c r="I130" s="7" t="str">
        <f>IF(LEN($C130)&gt;0,_xll.ciqfunctions.udf.CIQ($C130,"IQ_KEY_DEV_SOURCE"),"")</f>
        <v/>
      </c>
      <c r="P130" s="514" t="s">
        <v>700</v>
      </c>
      <c r="Q130" s="510" t="s">
        <v>190</v>
      </c>
      <c r="R130" s="513" t="s">
        <v>699</v>
      </c>
    </row>
    <row r="131" spans="2:18" x14ac:dyDescent="0.2">
      <c r="B131" s="7">
        <f t="shared" si="3"/>
        <v>124</v>
      </c>
      <c r="C131" s="7"/>
      <c r="D131" s="7" t="str">
        <f>IF(LEN($C131),_xll.ciqfunctions.udf.CIQ($C131,"IQ_KEY_DEV_HEADLINE"),"")</f>
        <v/>
      </c>
      <c r="E131" s="7" t="str">
        <f>IF(LEN($C131)&gt;0,_xll.ciqfunctions.udf.CIQ($C131,"IQ_KEY_DEV_TYPE"),"")</f>
        <v/>
      </c>
      <c r="F131" s="7" t="str">
        <f>IF(LEN($C131)&gt;0,_xll.ciqfunctions.udf.CIQ($C131,"IQ_KEY_DEV_SITUATION"),"")</f>
        <v/>
      </c>
      <c r="G131" s="19" t="str">
        <f t="shared" si="2"/>
        <v/>
      </c>
      <c r="H131" s="19" t="str">
        <f>+IF(LEN($C131)&gt;0,TEXT(IF(_xll.ciqfunctions.udf.CIQ($C131,"IQ_KEY_DEV_TIME")="NA","",_xll.ciqfunctions.udf.CIQ($C131,"IQ_KEY_DEV_TIME")),"h:mm AM/PM"),"")</f>
        <v/>
      </c>
      <c r="I131" s="7" t="str">
        <f>IF(LEN($C131)&gt;0,_xll.ciqfunctions.udf.CIQ($C131,"IQ_KEY_DEV_SOURCE"),"")</f>
        <v/>
      </c>
      <c r="P131" s="514" t="s">
        <v>698</v>
      </c>
      <c r="Q131" s="510" t="s">
        <v>190</v>
      </c>
      <c r="R131" s="513" t="s">
        <v>697</v>
      </c>
    </row>
    <row r="132" spans="2:18" x14ac:dyDescent="0.2">
      <c r="B132" s="7">
        <f t="shared" si="3"/>
        <v>125</v>
      </c>
      <c r="C132" s="7"/>
      <c r="D132" s="7" t="str">
        <f>IF(LEN($C132),_xll.ciqfunctions.udf.CIQ($C132,"IQ_KEY_DEV_HEADLINE"),"")</f>
        <v/>
      </c>
      <c r="E132" s="7" t="str">
        <f>IF(LEN($C132)&gt;0,_xll.ciqfunctions.udf.CIQ($C132,"IQ_KEY_DEV_TYPE"),"")</f>
        <v/>
      </c>
      <c r="F132" s="7" t="str">
        <f>IF(LEN($C132)&gt;0,_xll.ciqfunctions.udf.CIQ($C132,"IQ_KEY_DEV_SITUATION"),"")</f>
        <v/>
      </c>
      <c r="G132" s="19" t="str">
        <f t="shared" si="2"/>
        <v/>
      </c>
      <c r="H132" s="19" t="str">
        <f>+IF(LEN($C132)&gt;0,TEXT(IF(_xll.ciqfunctions.udf.CIQ($C132,"IQ_KEY_DEV_TIME")="NA","",_xll.ciqfunctions.udf.CIQ($C132,"IQ_KEY_DEV_TIME")),"h:mm AM/PM"),"")</f>
        <v/>
      </c>
      <c r="I132" s="7" t="str">
        <f>IF(LEN($C132)&gt;0,_xll.ciqfunctions.udf.CIQ($C132,"IQ_KEY_DEV_SOURCE"),"")</f>
        <v/>
      </c>
      <c r="P132" s="514" t="s">
        <v>696</v>
      </c>
      <c r="Q132" s="510" t="s">
        <v>190</v>
      </c>
      <c r="R132" s="513" t="s">
        <v>695</v>
      </c>
    </row>
    <row r="133" spans="2:18" x14ac:dyDescent="0.2">
      <c r="B133" s="7">
        <f t="shared" si="3"/>
        <v>126</v>
      </c>
      <c r="C133" s="7"/>
      <c r="D133" s="7" t="str">
        <f>IF(LEN($C133),_xll.ciqfunctions.udf.CIQ($C133,"IQ_KEY_DEV_HEADLINE"),"")</f>
        <v/>
      </c>
      <c r="E133" s="7" t="str">
        <f>IF(LEN($C133)&gt;0,_xll.ciqfunctions.udf.CIQ($C133,"IQ_KEY_DEV_TYPE"),"")</f>
        <v/>
      </c>
      <c r="F133" s="7" t="str">
        <f>IF(LEN($C133)&gt;0,_xll.ciqfunctions.udf.CIQ($C133,"IQ_KEY_DEV_SITUATION"),"")</f>
        <v/>
      </c>
      <c r="G133" s="19" t="str">
        <f t="shared" si="2"/>
        <v/>
      </c>
      <c r="H133" s="19" t="str">
        <f>+IF(LEN($C133)&gt;0,TEXT(IF(_xll.ciqfunctions.udf.CIQ($C133,"IQ_KEY_DEV_TIME")="NA","",_xll.ciqfunctions.udf.CIQ($C133,"IQ_KEY_DEV_TIME")),"h:mm AM/PM"),"")</f>
        <v/>
      </c>
      <c r="I133" s="7" t="str">
        <f>IF(LEN($C133)&gt;0,_xll.ciqfunctions.udf.CIQ($C133,"IQ_KEY_DEV_SOURCE"),"")</f>
        <v/>
      </c>
      <c r="P133" s="514" t="s">
        <v>694</v>
      </c>
      <c r="Q133" s="510" t="s">
        <v>190</v>
      </c>
      <c r="R133" s="513" t="s">
        <v>693</v>
      </c>
    </row>
    <row r="134" spans="2:18" x14ac:dyDescent="0.2">
      <c r="B134" s="7">
        <f t="shared" si="3"/>
        <v>127</v>
      </c>
      <c r="C134" s="7"/>
      <c r="D134" s="7" t="str">
        <f>IF(LEN($C134),_xll.ciqfunctions.udf.CIQ($C134,"IQ_KEY_DEV_HEADLINE"),"")</f>
        <v/>
      </c>
      <c r="E134" s="7" t="str">
        <f>IF(LEN($C134)&gt;0,_xll.ciqfunctions.udf.CIQ($C134,"IQ_KEY_DEV_TYPE"),"")</f>
        <v/>
      </c>
      <c r="F134" s="7" t="str">
        <f>IF(LEN($C134)&gt;0,_xll.ciqfunctions.udf.CIQ($C134,"IQ_KEY_DEV_SITUATION"),"")</f>
        <v/>
      </c>
      <c r="G134" s="19" t="str">
        <f t="shared" si="2"/>
        <v/>
      </c>
      <c r="H134" s="19" t="str">
        <f>+IF(LEN($C134)&gt;0,TEXT(IF(_xll.ciqfunctions.udf.CIQ($C134,"IQ_KEY_DEV_TIME")="NA","",_xll.ciqfunctions.udf.CIQ($C134,"IQ_KEY_DEV_TIME")),"h:mm AM/PM"),"")</f>
        <v/>
      </c>
      <c r="I134" s="7" t="str">
        <f>IF(LEN($C134)&gt;0,_xll.ciqfunctions.udf.CIQ($C134,"IQ_KEY_DEV_SOURCE"),"")</f>
        <v/>
      </c>
      <c r="P134" s="514" t="s">
        <v>692</v>
      </c>
      <c r="Q134" s="510" t="s">
        <v>190</v>
      </c>
      <c r="R134" s="513" t="s">
        <v>691</v>
      </c>
    </row>
    <row r="135" spans="2:18" x14ac:dyDescent="0.2">
      <c r="B135" s="7">
        <f t="shared" si="3"/>
        <v>128</v>
      </c>
      <c r="C135" s="7"/>
      <c r="D135" s="7" t="str">
        <f>IF(LEN($C135),_xll.ciqfunctions.udf.CIQ($C135,"IQ_KEY_DEV_HEADLINE"),"")</f>
        <v/>
      </c>
      <c r="E135" s="7" t="str">
        <f>IF(LEN($C135)&gt;0,_xll.ciqfunctions.udf.CIQ($C135,"IQ_KEY_DEV_TYPE"),"")</f>
        <v/>
      </c>
      <c r="F135" s="7" t="str">
        <f>IF(LEN($C135)&gt;0,_xll.ciqfunctions.udf.CIQ($C135,"IQ_KEY_DEV_SITUATION"),"")</f>
        <v/>
      </c>
      <c r="G135" s="19" t="str">
        <f t="shared" si="2"/>
        <v/>
      </c>
      <c r="H135" s="19" t="str">
        <f>+IF(LEN($C135)&gt;0,TEXT(IF(_xll.ciqfunctions.udf.CIQ($C135,"IQ_KEY_DEV_TIME")="NA","",_xll.ciqfunctions.udf.CIQ($C135,"IQ_KEY_DEV_TIME")),"h:mm AM/PM"),"")</f>
        <v/>
      </c>
      <c r="I135" s="7" t="str">
        <f>IF(LEN($C135)&gt;0,_xll.ciqfunctions.udf.CIQ($C135,"IQ_KEY_DEV_SOURCE"),"")</f>
        <v/>
      </c>
      <c r="P135" s="514" t="s">
        <v>690</v>
      </c>
      <c r="Q135" s="510" t="s">
        <v>190</v>
      </c>
      <c r="R135" s="513" t="s">
        <v>689</v>
      </c>
    </row>
    <row r="136" spans="2:18" x14ac:dyDescent="0.2">
      <c r="B136" s="7">
        <f t="shared" si="3"/>
        <v>129</v>
      </c>
      <c r="C136" s="7"/>
      <c r="D136" s="7" t="str">
        <f>IF(LEN($C136),_xll.ciqfunctions.udf.CIQ($C136,"IQ_KEY_DEV_HEADLINE"),"")</f>
        <v/>
      </c>
      <c r="E136" s="7" t="str">
        <f>IF(LEN($C136)&gt;0,_xll.ciqfunctions.udf.CIQ($C136,"IQ_KEY_DEV_TYPE"),"")</f>
        <v/>
      </c>
      <c r="F136" s="7" t="str">
        <f>IF(LEN($C136)&gt;0,_xll.ciqfunctions.udf.CIQ($C136,"IQ_KEY_DEV_SITUATION"),"")</f>
        <v/>
      </c>
      <c r="G136" s="19" t="str">
        <f t="shared" ref="G136:G199" si="4">+IF(LEN($C136)&gt;0,TEXT(_xll.ciqfunctions.udf.CIQ($C136,"IQ_KEY_DEV_DATE"),"dd MMM yyyy"),"")</f>
        <v/>
      </c>
      <c r="H136" s="19" t="str">
        <f>+IF(LEN($C136)&gt;0,TEXT(IF(_xll.ciqfunctions.udf.CIQ($C136,"IQ_KEY_DEV_TIME")="NA","",_xll.ciqfunctions.udf.CIQ($C136,"IQ_KEY_DEV_TIME")),"h:mm AM/PM"),"")</f>
        <v/>
      </c>
      <c r="I136" s="7" t="str">
        <f>IF(LEN($C136)&gt;0,_xll.ciqfunctions.udf.CIQ($C136,"IQ_KEY_DEV_SOURCE"),"")</f>
        <v/>
      </c>
      <c r="P136" s="514" t="s">
        <v>688</v>
      </c>
      <c r="Q136" s="510" t="s">
        <v>190</v>
      </c>
      <c r="R136" s="513" t="s">
        <v>687</v>
      </c>
    </row>
    <row r="137" spans="2:18" x14ac:dyDescent="0.2">
      <c r="B137" s="7">
        <f t="shared" si="3"/>
        <v>130</v>
      </c>
      <c r="C137" s="7"/>
      <c r="D137" s="7" t="str">
        <f>IF(LEN($C137),_xll.ciqfunctions.udf.CIQ($C137,"IQ_KEY_DEV_HEADLINE"),"")</f>
        <v/>
      </c>
      <c r="E137" s="7" t="str">
        <f>IF(LEN($C137)&gt;0,_xll.ciqfunctions.udf.CIQ($C137,"IQ_KEY_DEV_TYPE"),"")</f>
        <v/>
      </c>
      <c r="F137" s="7" t="str">
        <f>IF(LEN($C137)&gt;0,_xll.ciqfunctions.udf.CIQ($C137,"IQ_KEY_DEV_SITUATION"),"")</f>
        <v/>
      </c>
      <c r="G137" s="19" t="str">
        <f t="shared" si="4"/>
        <v/>
      </c>
      <c r="H137" s="19" t="str">
        <f>+IF(LEN($C137)&gt;0,TEXT(IF(_xll.ciqfunctions.udf.CIQ($C137,"IQ_KEY_DEV_TIME")="NA","",_xll.ciqfunctions.udf.CIQ($C137,"IQ_KEY_DEV_TIME")),"h:mm AM/PM"),"")</f>
        <v/>
      </c>
      <c r="I137" s="7" t="str">
        <f>IF(LEN($C137)&gt;0,_xll.ciqfunctions.udf.CIQ($C137,"IQ_KEY_DEV_SOURCE"),"")</f>
        <v/>
      </c>
      <c r="P137" s="514" t="s">
        <v>686</v>
      </c>
      <c r="Q137" s="510" t="s">
        <v>190</v>
      </c>
      <c r="R137" s="513" t="s">
        <v>685</v>
      </c>
    </row>
    <row r="138" spans="2:18" x14ac:dyDescent="0.2">
      <c r="B138" s="7">
        <f t="shared" si="3"/>
        <v>131</v>
      </c>
      <c r="C138" s="7"/>
      <c r="D138" s="7" t="str">
        <f>IF(LEN($C138),_xll.ciqfunctions.udf.CIQ($C138,"IQ_KEY_DEV_HEADLINE"),"")</f>
        <v/>
      </c>
      <c r="E138" s="7" t="str">
        <f>IF(LEN($C138)&gt;0,_xll.ciqfunctions.udf.CIQ($C138,"IQ_KEY_DEV_TYPE"),"")</f>
        <v/>
      </c>
      <c r="F138" s="7" t="str">
        <f>IF(LEN($C138)&gt;0,_xll.ciqfunctions.udf.CIQ($C138,"IQ_KEY_DEV_SITUATION"),"")</f>
        <v/>
      </c>
      <c r="G138" s="19" t="str">
        <f t="shared" si="4"/>
        <v/>
      </c>
      <c r="H138" s="19" t="str">
        <f>+IF(LEN($C138)&gt;0,TEXT(IF(_xll.ciqfunctions.udf.CIQ($C138,"IQ_KEY_DEV_TIME")="NA","",_xll.ciqfunctions.udf.CIQ($C138,"IQ_KEY_DEV_TIME")),"h:mm AM/PM"),"")</f>
        <v/>
      </c>
      <c r="I138" s="7" t="str">
        <f>IF(LEN($C138)&gt;0,_xll.ciqfunctions.udf.CIQ($C138,"IQ_KEY_DEV_SOURCE"),"")</f>
        <v/>
      </c>
      <c r="P138" s="514" t="s">
        <v>684</v>
      </c>
      <c r="Q138" s="510" t="s">
        <v>190</v>
      </c>
      <c r="R138" s="513" t="s">
        <v>683</v>
      </c>
    </row>
    <row r="139" spans="2:18" x14ac:dyDescent="0.2">
      <c r="B139" s="7">
        <f t="shared" si="3"/>
        <v>132</v>
      </c>
      <c r="C139" s="7"/>
      <c r="D139" s="7" t="str">
        <f>IF(LEN($C139),_xll.ciqfunctions.udf.CIQ($C139,"IQ_KEY_DEV_HEADLINE"),"")</f>
        <v/>
      </c>
      <c r="E139" s="7" t="str">
        <f>IF(LEN($C139)&gt;0,_xll.ciqfunctions.udf.CIQ($C139,"IQ_KEY_DEV_TYPE"),"")</f>
        <v/>
      </c>
      <c r="F139" s="7" t="str">
        <f>IF(LEN($C139)&gt;0,_xll.ciqfunctions.udf.CIQ($C139,"IQ_KEY_DEV_SITUATION"),"")</f>
        <v/>
      </c>
      <c r="G139" s="19" t="str">
        <f t="shared" si="4"/>
        <v/>
      </c>
      <c r="H139" s="19" t="str">
        <f>+IF(LEN($C139)&gt;0,TEXT(IF(_xll.ciqfunctions.udf.CIQ($C139,"IQ_KEY_DEV_TIME")="NA","",_xll.ciqfunctions.udf.CIQ($C139,"IQ_KEY_DEV_TIME")),"h:mm AM/PM"),"")</f>
        <v/>
      </c>
      <c r="I139" s="7" t="str">
        <f>IF(LEN($C139)&gt;0,_xll.ciqfunctions.udf.CIQ($C139,"IQ_KEY_DEV_SOURCE"),"")</f>
        <v/>
      </c>
      <c r="P139" s="514" t="s">
        <v>682</v>
      </c>
      <c r="Q139" s="510" t="s">
        <v>190</v>
      </c>
      <c r="R139" s="513" t="s">
        <v>681</v>
      </c>
    </row>
    <row r="140" spans="2:18" x14ac:dyDescent="0.2">
      <c r="B140" s="7">
        <f t="shared" si="3"/>
        <v>133</v>
      </c>
      <c r="C140" s="7"/>
      <c r="D140" s="7" t="str">
        <f>IF(LEN($C140),_xll.ciqfunctions.udf.CIQ($C140,"IQ_KEY_DEV_HEADLINE"),"")</f>
        <v/>
      </c>
      <c r="E140" s="7" t="str">
        <f>IF(LEN($C140)&gt;0,_xll.ciqfunctions.udf.CIQ($C140,"IQ_KEY_DEV_TYPE"),"")</f>
        <v/>
      </c>
      <c r="F140" s="7" t="str">
        <f>IF(LEN($C140)&gt;0,_xll.ciqfunctions.udf.CIQ($C140,"IQ_KEY_DEV_SITUATION"),"")</f>
        <v/>
      </c>
      <c r="G140" s="19" t="str">
        <f t="shared" si="4"/>
        <v/>
      </c>
      <c r="H140" s="19" t="str">
        <f>+IF(LEN($C140)&gt;0,TEXT(IF(_xll.ciqfunctions.udf.CIQ($C140,"IQ_KEY_DEV_TIME")="NA","",_xll.ciqfunctions.udf.CIQ($C140,"IQ_KEY_DEV_TIME")),"h:mm AM/PM"),"")</f>
        <v/>
      </c>
      <c r="I140" s="7" t="str">
        <f>IF(LEN($C140)&gt;0,_xll.ciqfunctions.udf.CIQ($C140,"IQ_KEY_DEV_SOURCE"),"")</f>
        <v/>
      </c>
      <c r="P140" s="514" t="s">
        <v>680</v>
      </c>
      <c r="Q140" s="510" t="s">
        <v>190</v>
      </c>
      <c r="R140" s="513" t="s">
        <v>679</v>
      </c>
    </row>
    <row r="141" spans="2:18" x14ac:dyDescent="0.2">
      <c r="B141" s="7">
        <f t="shared" si="3"/>
        <v>134</v>
      </c>
      <c r="C141" s="7"/>
      <c r="D141" s="7" t="str">
        <f>IF(LEN($C141),_xll.ciqfunctions.udf.CIQ($C141,"IQ_KEY_DEV_HEADLINE"),"")</f>
        <v/>
      </c>
      <c r="E141" s="7" t="str">
        <f>IF(LEN($C141)&gt;0,_xll.ciqfunctions.udf.CIQ($C141,"IQ_KEY_DEV_TYPE"),"")</f>
        <v/>
      </c>
      <c r="F141" s="7" t="str">
        <f>IF(LEN($C141)&gt;0,_xll.ciqfunctions.udf.CIQ($C141,"IQ_KEY_DEV_SITUATION"),"")</f>
        <v/>
      </c>
      <c r="G141" s="19" t="str">
        <f t="shared" si="4"/>
        <v/>
      </c>
      <c r="H141" s="19" t="str">
        <f>+IF(LEN($C141)&gt;0,TEXT(IF(_xll.ciqfunctions.udf.CIQ($C141,"IQ_KEY_DEV_TIME")="NA","",_xll.ciqfunctions.udf.CIQ($C141,"IQ_KEY_DEV_TIME")),"h:mm AM/PM"),"")</f>
        <v/>
      </c>
      <c r="I141" s="7" t="str">
        <f>IF(LEN($C141)&gt;0,_xll.ciqfunctions.udf.CIQ($C141,"IQ_KEY_DEV_SOURCE"),"")</f>
        <v/>
      </c>
      <c r="P141" s="514" t="s">
        <v>678</v>
      </c>
      <c r="Q141" s="510" t="s">
        <v>190</v>
      </c>
      <c r="R141" s="513" t="s">
        <v>677</v>
      </c>
    </row>
    <row r="142" spans="2:18" x14ac:dyDescent="0.2">
      <c r="B142" s="7">
        <f t="shared" si="3"/>
        <v>135</v>
      </c>
      <c r="C142" s="7"/>
      <c r="D142" s="7" t="str">
        <f>IF(LEN($C142),_xll.ciqfunctions.udf.CIQ($C142,"IQ_KEY_DEV_HEADLINE"),"")</f>
        <v/>
      </c>
      <c r="E142" s="7" t="str">
        <f>IF(LEN($C142)&gt;0,_xll.ciqfunctions.udf.CIQ($C142,"IQ_KEY_DEV_TYPE"),"")</f>
        <v/>
      </c>
      <c r="F142" s="7" t="str">
        <f>IF(LEN($C142)&gt;0,_xll.ciqfunctions.udf.CIQ($C142,"IQ_KEY_DEV_SITUATION"),"")</f>
        <v/>
      </c>
      <c r="G142" s="19" t="str">
        <f t="shared" si="4"/>
        <v/>
      </c>
      <c r="H142" s="19" t="str">
        <f>+IF(LEN($C142)&gt;0,TEXT(IF(_xll.ciqfunctions.udf.CIQ($C142,"IQ_KEY_DEV_TIME")="NA","",_xll.ciqfunctions.udf.CIQ($C142,"IQ_KEY_DEV_TIME")),"h:mm AM/PM"),"")</f>
        <v/>
      </c>
      <c r="I142" s="7" t="str">
        <f>IF(LEN($C142)&gt;0,_xll.ciqfunctions.udf.CIQ($C142,"IQ_KEY_DEV_SOURCE"),"")</f>
        <v/>
      </c>
      <c r="P142" s="514" t="s">
        <v>676</v>
      </c>
      <c r="Q142" s="510" t="s">
        <v>190</v>
      </c>
      <c r="R142" s="513" t="s">
        <v>675</v>
      </c>
    </row>
    <row r="143" spans="2:18" x14ac:dyDescent="0.2">
      <c r="B143" s="7">
        <f t="shared" si="3"/>
        <v>136</v>
      </c>
      <c r="C143" s="7"/>
      <c r="D143" s="7" t="str">
        <f>IF(LEN($C143),_xll.ciqfunctions.udf.CIQ($C143,"IQ_KEY_DEV_HEADLINE"),"")</f>
        <v/>
      </c>
      <c r="E143" s="7" t="str">
        <f>IF(LEN($C143)&gt;0,_xll.ciqfunctions.udf.CIQ($C143,"IQ_KEY_DEV_TYPE"),"")</f>
        <v/>
      </c>
      <c r="F143" s="7" t="str">
        <f>IF(LEN($C143)&gt;0,_xll.ciqfunctions.udf.CIQ($C143,"IQ_KEY_DEV_SITUATION"),"")</f>
        <v/>
      </c>
      <c r="G143" s="19" t="str">
        <f t="shared" si="4"/>
        <v/>
      </c>
      <c r="H143" s="19" t="str">
        <f>+IF(LEN($C143)&gt;0,TEXT(IF(_xll.ciqfunctions.udf.CIQ($C143,"IQ_KEY_DEV_TIME")="NA","",_xll.ciqfunctions.udf.CIQ($C143,"IQ_KEY_DEV_TIME")),"h:mm AM/PM"),"")</f>
        <v/>
      </c>
      <c r="I143" s="7" t="str">
        <f>IF(LEN($C143)&gt;0,_xll.ciqfunctions.udf.CIQ($C143,"IQ_KEY_DEV_SOURCE"),"")</f>
        <v/>
      </c>
      <c r="P143" s="514" t="s">
        <v>674</v>
      </c>
      <c r="Q143" s="510" t="s">
        <v>190</v>
      </c>
      <c r="R143" s="513" t="s">
        <v>673</v>
      </c>
    </row>
    <row r="144" spans="2:18" x14ac:dyDescent="0.2">
      <c r="B144" s="7">
        <f t="shared" si="3"/>
        <v>137</v>
      </c>
      <c r="C144" s="7"/>
      <c r="D144" s="7" t="str">
        <f>IF(LEN($C144),_xll.ciqfunctions.udf.CIQ($C144,"IQ_KEY_DEV_HEADLINE"),"")</f>
        <v/>
      </c>
      <c r="E144" s="7" t="str">
        <f>IF(LEN($C144)&gt;0,_xll.ciqfunctions.udf.CIQ($C144,"IQ_KEY_DEV_TYPE"),"")</f>
        <v/>
      </c>
      <c r="F144" s="7" t="str">
        <f>IF(LEN($C144)&gt;0,_xll.ciqfunctions.udf.CIQ($C144,"IQ_KEY_DEV_SITUATION"),"")</f>
        <v/>
      </c>
      <c r="G144" s="19" t="str">
        <f t="shared" si="4"/>
        <v/>
      </c>
      <c r="H144" s="19" t="str">
        <f>+IF(LEN($C144)&gt;0,TEXT(IF(_xll.ciqfunctions.udf.CIQ($C144,"IQ_KEY_DEV_TIME")="NA","",_xll.ciqfunctions.udf.CIQ($C144,"IQ_KEY_DEV_TIME")),"h:mm AM/PM"),"")</f>
        <v/>
      </c>
      <c r="I144" s="7" t="str">
        <f>IF(LEN($C144)&gt;0,_xll.ciqfunctions.udf.CIQ($C144,"IQ_KEY_DEV_SOURCE"),"")</f>
        <v/>
      </c>
      <c r="P144" s="514" t="s">
        <v>672</v>
      </c>
      <c r="Q144" s="510" t="s">
        <v>190</v>
      </c>
      <c r="R144" s="513" t="s">
        <v>671</v>
      </c>
    </row>
    <row r="145" spans="2:18" x14ac:dyDescent="0.2">
      <c r="B145" s="7">
        <f t="shared" si="3"/>
        <v>138</v>
      </c>
      <c r="C145" s="7"/>
      <c r="D145" s="7" t="str">
        <f>IF(LEN($C145),_xll.ciqfunctions.udf.CIQ($C145,"IQ_KEY_DEV_HEADLINE"),"")</f>
        <v/>
      </c>
      <c r="E145" s="7" t="str">
        <f>IF(LEN($C145)&gt;0,_xll.ciqfunctions.udf.CIQ($C145,"IQ_KEY_DEV_TYPE"),"")</f>
        <v/>
      </c>
      <c r="F145" s="7" t="str">
        <f>IF(LEN($C145)&gt;0,_xll.ciqfunctions.udf.CIQ($C145,"IQ_KEY_DEV_SITUATION"),"")</f>
        <v/>
      </c>
      <c r="G145" s="19" t="str">
        <f t="shared" si="4"/>
        <v/>
      </c>
      <c r="H145" s="19" t="str">
        <f>+IF(LEN($C145)&gt;0,TEXT(IF(_xll.ciqfunctions.udf.CIQ($C145,"IQ_KEY_DEV_TIME")="NA","",_xll.ciqfunctions.udf.CIQ($C145,"IQ_KEY_DEV_TIME")),"h:mm AM/PM"),"")</f>
        <v/>
      </c>
      <c r="I145" s="7" t="str">
        <f>IF(LEN($C145)&gt;0,_xll.ciqfunctions.udf.CIQ($C145,"IQ_KEY_DEV_SOURCE"),"")</f>
        <v/>
      </c>
      <c r="P145" s="514" t="s">
        <v>670</v>
      </c>
      <c r="Q145" s="510" t="s">
        <v>190</v>
      </c>
      <c r="R145" s="513" t="s">
        <v>669</v>
      </c>
    </row>
    <row r="146" spans="2:18" x14ac:dyDescent="0.2">
      <c r="B146" s="7">
        <f t="shared" si="3"/>
        <v>139</v>
      </c>
      <c r="C146" s="7"/>
      <c r="D146" s="7" t="str">
        <f>IF(LEN($C146),_xll.ciqfunctions.udf.CIQ($C146,"IQ_KEY_DEV_HEADLINE"),"")</f>
        <v/>
      </c>
      <c r="E146" s="7" t="str">
        <f>IF(LEN($C146)&gt;0,_xll.ciqfunctions.udf.CIQ($C146,"IQ_KEY_DEV_TYPE"),"")</f>
        <v/>
      </c>
      <c r="F146" s="7" t="str">
        <f>IF(LEN($C146)&gt;0,_xll.ciqfunctions.udf.CIQ($C146,"IQ_KEY_DEV_SITUATION"),"")</f>
        <v/>
      </c>
      <c r="G146" s="19" t="str">
        <f t="shared" si="4"/>
        <v/>
      </c>
      <c r="H146" s="19" t="str">
        <f>+IF(LEN($C146)&gt;0,TEXT(IF(_xll.ciqfunctions.udf.CIQ($C146,"IQ_KEY_DEV_TIME")="NA","",_xll.ciqfunctions.udf.CIQ($C146,"IQ_KEY_DEV_TIME")),"h:mm AM/PM"),"")</f>
        <v/>
      </c>
      <c r="I146" s="7" t="str">
        <f>IF(LEN($C146)&gt;0,_xll.ciqfunctions.udf.CIQ($C146,"IQ_KEY_DEV_SOURCE"),"")</f>
        <v/>
      </c>
      <c r="P146" s="514" t="s">
        <v>668</v>
      </c>
      <c r="Q146" s="510" t="s">
        <v>190</v>
      </c>
      <c r="R146" s="513" t="s">
        <v>667</v>
      </c>
    </row>
    <row r="147" spans="2:18" x14ac:dyDescent="0.2">
      <c r="B147" s="7">
        <f t="shared" si="3"/>
        <v>140</v>
      </c>
      <c r="C147" s="7"/>
      <c r="D147" s="7" t="str">
        <f>IF(LEN($C147),_xll.ciqfunctions.udf.CIQ($C147,"IQ_KEY_DEV_HEADLINE"),"")</f>
        <v/>
      </c>
      <c r="E147" s="7" t="str">
        <f>IF(LEN($C147)&gt;0,_xll.ciqfunctions.udf.CIQ($C147,"IQ_KEY_DEV_TYPE"),"")</f>
        <v/>
      </c>
      <c r="F147" s="7" t="str">
        <f>IF(LEN($C147)&gt;0,_xll.ciqfunctions.udf.CIQ($C147,"IQ_KEY_DEV_SITUATION"),"")</f>
        <v/>
      </c>
      <c r="G147" s="19" t="str">
        <f t="shared" si="4"/>
        <v/>
      </c>
      <c r="H147" s="19" t="str">
        <f>+IF(LEN($C147)&gt;0,TEXT(IF(_xll.ciqfunctions.udf.CIQ($C147,"IQ_KEY_DEV_TIME")="NA","",_xll.ciqfunctions.udf.CIQ($C147,"IQ_KEY_DEV_TIME")),"h:mm AM/PM"),"")</f>
        <v/>
      </c>
      <c r="I147" s="7" t="str">
        <f>IF(LEN($C147)&gt;0,_xll.ciqfunctions.udf.CIQ($C147,"IQ_KEY_DEV_SOURCE"),"")</f>
        <v/>
      </c>
      <c r="P147" s="514" t="s">
        <v>666</v>
      </c>
      <c r="Q147" s="510" t="s">
        <v>190</v>
      </c>
      <c r="R147" s="513" t="s">
        <v>665</v>
      </c>
    </row>
    <row r="148" spans="2:18" x14ac:dyDescent="0.2">
      <c r="B148" s="7">
        <f t="shared" ref="B148:B211" si="5">+B147+1</f>
        <v>141</v>
      </c>
      <c r="C148" s="7"/>
      <c r="D148" s="7" t="str">
        <f>IF(LEN($C148),_xll.ciqfunctions.udf.CIQ($C148,"IQ_KEY_DEV_HEADLINE"),"")</f>
        <v/>
      </c>
      <c r="E148" s="7" t="str">
        <f>IF(LEN($C148)&gt;0,_xll.ciqfunctions.udf.CIQ($C148,"IQ_KEY_DEV_TYPE"),"")</f>
        <v/>
      </c>
      <c r="F148" s="7" t="str">
        <f>IF(LEN($C148)&gt;0,_xll.ciqfunctions.udf.CIQ($C148,"IQ_KEY_DEV_SITUATION"),"")</f>
        <v/>
      </c>
      <c r="G148" s="19" t="str">
        <f t="shared" si="4"/>
        <v/>
      </c>
      <c r="H148" s="19" t="str">
        <f>+IF(LEN($C148)&gt;0,TEXT(IF(_xll.ciqfunctions.udf.CIQ($C148,"IQ_KEY_DEV_TIME")="NA","",_xll.ciqfunctions.udf.CIQ($C148,"IQ_KEY_DEV_TIME")),"h:mm AM/PM"),"")</f>
        <v/>
      </c>
      <c r="I148" s="7" t="str">
        <f>IF(LEN($C148)&gt;0,_xll.ciqfunctions.udf.CIQ($C148,"IQ_KEY_DEV_SOURCE"),"")</f>
        <v/>
      </c>
      <c r="P148" s="514" t="s">
        <v>664</v>
      </c>
      <c r="Q148" s="510" t="s">
        <v>190</v>
      </c>
      <c r="R148" s="513" t="s">
        <v>663</v>
      </c>
    </row>
    <row r="149" spans="2:18" x14ac:dyDescent="0.2">
      <c r="B149" s="7">
        <f t="shared" si="5"/>
        <v>142</v>
      </c>
      <c r="C149" s="7"/>
      <c r="D149" s="7" t="str">
        <f>IF(LEN($C149),_xll.ciqfunctions.udf.CIQ($C149,"IQ_KEY_DEV_HEADLINE"),"")</f>
        <v/>
      </c>
      <c r="E149" s="7" t="str">
        <f>IF(LEN($C149)&gt;0,_xll.ciqfunctions.udf.CIQ($C149,"IQ_KEY_DEV_TYPE"),"")</f>
        <v/>
      </c>
      <c r="F149" s="7" t="str">
        <f>IF(LEN($C149)&gt;0,_xll.ciqfunctions.udf.CIQ($C149,"IQ_KEY_DEV_SITUATION"),"")</f>
        <v/>
      </c>
      <c r="G149" s="19" t="str">
        <f t="shared" si="4"/>
        <v/>
      </c>
      <c r="H149" s="19" t="str">
        <f>+IF(LEN($C149)&gt;0,TEXT(IF(_xll.ciqfunctions.udf.CIQ($C149,"IQ_KEY_DEV_TIME")="NA","",_xll.ciqfunctions.udf.CIQ($C149,"IQ_KEY_DEV_TIME")),"h:mm AM/PM"),"")</f>
        <v/>
      </c>
      <c r="I149" s="7" t="str">
        <f>IF(LEN($C149)&gt;0,_xll.ciqfunctions.udf.CIQ($C149,"IQ_KEY_DEV_SOURCE"),"")</f>
        <v/>
      </c>
      <c r="P149" s="514" t="s">
        <v>662</v>
      </c>
      <c r="Q149" s="510" t="s">
        <v>190</v>
      </c>
      <c r="R149" s="513" t="s">
        <v>661</v>
      </c>
    </row>
    <row r="150" spans="2:18" x14ac:dyDescent="0.2">
      <c r="B150" s="7">
        <f t="shared" si="5"/>
        <v>143</v>
      </c>
      <c r="C150" s="7"/>
      <c r="D150" s="7" t="str">
        <f>IF(LEN($C150),_xll.ciqfunctions.udf.CIQ($C150,"IQ_KEY_DEV_HEADLINE"),"")</f>
        <v/>
      </c>
      <c r="E150" s="7" t="str">
        <f>IF(LEN($C150)&gt;0,_xll.ciqfunctions.udf.CIQ($C150,"IQ_KEY_DEV_TYPE"),"")</f>
        <v/>
      </c>
      <c r="F150" s="7" t="str">
        <f>IF(LEN($C150)&gt;0,_xll.ciqfunctions.udf.CIQ($C150,"IQ_KEY_DEV_SITUATION"),"")</f>
        <v/>
      </c>
      <c r="G150" s="19" t="str">
        <f t="shared" si="4"/>
        <v/>
      </c>
      <c r="H150" s="19" t="str">
        <f>+IF(LEN($C150)&gt;0,TEXT(IF(_xll.ciqfunctions.udf.CIQ($C150,"IQ_KEY_DEV_TIME")="NA","",_xll.ciqfunctions.udf.CIQ($C150,"IQ_KEY_DEV_TIME")),"h:mm AM/PM"),"")</f>
        <v/>
      </c>
      <c r="I150" s="7" t="str">
        <f>IF(LEN($C150)&gt;0,_xll.ciqfunctions.udf.CIQ($C150,"IQ_KEY_DEV_SOURCE"),"")</f>
        <v/>
      </c>
      <c r="P150" s="514" t="s">
        <v>660</v>
      </c>
      <c r="Q150" s="510" t="s">
        <v>190</v>
      </c>
      <c r="R150" s="513" t="s">
        <v>659</v>
      </c>
    </row>
    <row r="151" spans="2:18" x14ac:dyDescent="0.2">
      <c r="B151" s="7">
        <f t="shared" si="5"/>
        <v>144</v>
      </c>
      <c r="C151" s="7"/>
      <c r="D151" s="7" t="str">
        <f>IF(LEN($C151),_xll.ciqfunctions.udf.CIQ($C151,"IQ_KEY_DEV_HEADLINE"),"")</f>
        <v/>
      </c>
      <c r="E151" s="7" t="str">
        <f>IF(LEN($C151)&gt;0,_xll.ciqfunctions.udf.CIQ($C151,"IQ_KEY_DEV_TYPE"),"")</f>
        <v/>
      </c>
      <c r="F151" s="7" t="str">
        <f>IF(LEN($C151)&gt;0,_xll.ciqfunctions.udf.CIQ($C151,"IQ_KEY_DEV_SITUATION"),"")</f>
        <v/>
      </c>
      <c r="G151" s="19" t="str">
        <f t="shared" si="4"/>
        <v/>
      </c>
      <c r="H151" s="19" t="str">
        <f>+IF(LEN($C151)&gt;0,TEXT(IF(_xll.ciqfunctions.udf.CIQ($C151,"IQ_KEY_DEV_TIME")="NA","",_xll.ciqfunctions.udf.CIQ($C151,"IQ_KEY_DEV_TIME")),"h:mm AM/PM"),"")</f>
        <v/>
      </c>
      <c r="I151" s="7" t="str">
        <f>IF(LEN($C151)&gt;0,_xll.ciqfunctions.udf.CIQ($C151,"IQ_KEY_DEV_SOURCE"),"")</f>
        <v/>
      </c>
      <c r="P151" s="514" t="s">
        <v>658</v>
      </c>
      <c r="Q151" s="510" t="s">
        <v>190</v>
      </c>
      <c r="R151" s="513" t="s">
        <v>657</v>
      </c>
    </row>
    <row r="152" spans="2:18" x14ac:dyDescent="0.2">
      <c r="B152" s="7">
        <f t="shared" si="5"/>
        <v>145</v>
      </c>
      <c r="C152" s="7"/>
      <c r="D152" s="7" t="str">
        <f>IF(LEN($C152),_xll.ciqfunctions.udf.CIQ($C152,"IQ_KEY_DEV_HEADLINE"),"")</f>
        <v/>
      </c>
      <c r="E152" s="7" t="str">
        <f>IF(LEN($C152)&gt;0,_xll.ciqfunctions.udf.CIQ($C152,"IQ_KEY_DEV_TYPE"),"")</f>
        <v/>
      </c>
      <c r="F152" s="7" t="str">
        <f>IF(LEN($C152)&gt;0,_xll.ciqfunctions.udf.CIQ($C152,"IQ_KEY_DEV_SITUATION"),"")</f>
        <v/>
      </c>
      <c r="G152" s="19" t="str">
        <f t="shared" si="4"/>
        <v/>
      </c>
      <c r="H152" s="19" t="str">
        <f>+IF(LEN($C152)&gt;0,TEXT(IF(_xll.ciqfunctions.udf.CIQ($C152,"IQ_KEY_DEV_TIME")="NA","",_xll.ciqfunctions.udf.CIQ($C152,"IQ_KEY_DEV_TIME")),"h:mm AM/PM"),"")</f>
        <v/>
      </c>
      <c r="I152" s="7" t="str">
        <f>IF(LEN($C152)&gt;0,_xll.ciqfunctions.udf.CIQ($C152,"IQ_KEY_DEV_SOURCE"),"")</f>
        <v/>
      </c>
      <c r="P152" s="514" t="s">
        <v>656</v>
      </c>
      <c r="Q152" s="510" t="s">
        <v>190</v>
      </c>
      <c r="R152" s="513" t="s">
        <v>655</v>
      </c>
    </row>
    <row r="153" spans="2:18" x14ac:dyDescent="0.2">
      <c r="B153" s="7">
        <f t="shared" si="5"/>
        <v>146</v>
      </c>
      <c r="C153" s="7"/>
      <c r="D153" s="7" t="str">
        <f>IF(LEN($C153),_xll.ciqfunctions.udf.CIQ($C153,"IQ_KEY_DEV_HEADLINE"),"")</f>
        <v/>
      </c>
      <c r="E153" s="7" t="str">
        <f>IF(LEN($C153)&gt;0,_xll.ciqfunctions.udf.CIQ($C153,"IQ_KEY_DEV_TYPE"),"")</f>
        <v/>
      </c>
      <c r="F153" s="7" t="str">
        <f>IF(LEN($C153)&gt;0,_xll.ciqfunctions.udf.CIQ($C153,"IQ_KEY_DEV_SITUATION"),"")</f>
        <v/>
      </c>
      <c r="G153" s="19" t="str">
        <f t="shared" si="4"/>
        <v/>
      </c>
      <c r="H153" s="19" t="str">
        <f>+IF(LEN($C153)&gt;0,TEXT(IF(_xll.ciqfunctions.udf.CIQ($C153,"IQ_KEY_DEV_TIME")="NA","",_xll.ciqfunctions.udf.CIQ($C153,"IQ_KEY_DEV_TIME")),"h:mm AM/PM"),"")</f>
        <v/>
      </c>
      <c r="I153" s="7" t="str">
        <f>IF(LEN($C153)&gt;0,_xll.ciqfunctions.udf.CIQ($C153,"IQ_KEY_DEV_SOURCE"),"")</f>
        <v/>
      </c>
      <c r="P153" s="514" t="s">
        <v>654</v>
      </c>
      <c r="Q153" s="510" t="s">
        <v>190</v>
      </c>
      <c r="R153" s="513" t="s">
        <v>653</v>
      </c>
    </row>
    <row r="154" spans="2:18" x14ac:dyDescent="0.2">
      <c r="B154" s="7">
        <f t="shared" si="5"/>
        <v>147</v>
      </c>
      <c r="C154" s="7"/>
      <c r="D154" s="7" t="str">
        <f>IF(LEN($C154),_xll.ciqfunctions.udf.CIQ($C154,"IQ_KEY_DEV_HEADLINE"),"")</f>
        <v/>
      </c>
      <c r="E154" s="7" t="str">
        <f>IF(LEN($C154)&gt;0,_xll.ciqfunctions.udf.CIQ($C154,"IQ_KEY_DEV_TYPE"),"")</f>
        <v/>
      </c>
      <c r="F154" s="7" t="str">
        <f>IF(LEN($C154)&gt;0,_xll.ciqfunctions.udf.CIQ($C154,"IQ_KEY_DEV_SITUATION"),"")</f>
        <v/>
      </c>
      <c r="G154" s="19" t="str">
        <f t="shared" si="4"/>
        <v/>
      </c>
      <c r="H154" s="19" t="str">
        <f>+IF(LEN($C154)&gt;0,TEXT(IF(_xll.ciqfunctions.udf.CIQ($C154,"IQ_KEY_DEV_TIME")="NA","",_xll.ciqfunctions.udf.CIQ($C154,"IQ_KEY_DEV_TIME")),"h:mm AM/PM"),"")</f>
        <v/>
      </c>
      <c r="I154" s="7" t="str">
        <f>IF(LEN($C154)&gt;0,_xll.ciqfunctions.udf.CIQ($C154,"IQ_KEY_DEV_SOURCE"),"")</f>
        <v/>
      </c>
      <c r="P154" s="514" t="s">
        <v>652</v>
      </c>
      <c r="Q154" s="510" t="s">
        <v>190</v>
      </c>
      <c r="R154" s="513" t="s">
        <v>651</v>
      </c>
    </row>
    <row r="155" spans="2:18" x14ac:dyDescent="0.2">
      <c r="B155" s="7">
        <f t="shared" si="5"/>
        <v>148</v>
      </c>
      <c r="C155" s="7"/>
      <c r="D155" s="7" t="str">
        <f>IF(LEN($C155),_xll.ciqfunctions.udf.CIQ($C155,"IQ_KEY_DEV_HEADLINE"),"")</f>
        <v/>
      </c>
      <c r="E155" s="7" t="str">
        <f>IF(LEN($C155)&gt;0,_xll.ciqfunctions.udf.CIQ($C155,"IQ_KEY_DEV_TYPE"),"")</f>
        <v/>
      </c>
      <c r="F155" s="7" t="str">
        <f>IF(LEN($C155)&gt;0,_xll.ciqfunctions.udf.CIQ($C155,"IQ_KEY_DEV_SITUATION"),"")</f>
        <v/>
      </c>
      <c r="G155" s="19" t="str">
        <f t="shared" si="4"/>
        <v/>
      </c>
      <c r="H155" s="19" t="str">
        <f>+IF(LEN($C155)&gt;0,TEXT(IF(_xll.ciqfunctions.udf.CIQ($C155,"IQ_KEY_DEV_TIME")="NA","",_xll.ciqfunctions.udf.CIQ($C155,"IQ_KEY_DEV_TIME")),"h:mm AM/PM"),"")</f>
        <v/>
      </c>
      <c r="I155" s="7" t="str">
        <f>IF(LEN($C155)&gt;0,_xll.ciqfunctions.udf.CIQ($C155,"IQ_KEY_DEV_SOURCE"),"")</f>
        <v/>
      </c>
      <c r="P155" s="514" t="s">
        <v>650</v>
      </c>
      <c r="Q155" s="510" t="s">
        <v>190</v>
      </c>
      <c r="R155" s="513" t="s">
        <v>649</v>
      </c>
    </row>
    <row r="156" spans="2:18" x14ac:dyDescent="0.2">
      <c r="B156" s="7">
        <f t="shared" si="5"/>
        <v>149</v>
      </c>
      <c r="C156" s="7"/>
      <c r="D156" s="7" t="str">
        <f>IF(LEN($C156),_xll.ciqfunctions.udf.CIQ($C156,"IQ_KEY_DEV_HEADLINE"),"")</f>
        <v/>
      </c>
      <c r="E156" s="7" t="str">
        <f>IF(LEN($C156)&gt;0,_xll.ciqfunctions.udf.CIQ($C156,"IQ_KEY_DEV_TYPE"),"")</f>
        <v/>
      </c>
      <c r="F156" s="7" t="str">
        <f>IF(LEN($C156)&gt;0,_xll.ciqfunctions.udf.CIQ($C156,"IQ_KEY_DEV_SITUATION"),"")</f>
        <v/>
      </c>
      <c r="G156" s="19" t="str">
        <f t="shared" si="4"/>
        <v/>
      </c>
      <c r="H156" s="19" t="str">
        <f>+IF(LEN($C156)&gt;0,TEXT(IF(_xll.ciqfunctions.udf.CIQ($C156,"IQ_KEY_DEV_TIME")="NA","",_xll.ciqfunctions.udf.CIQ($C156,"IQ_KEY_DEV_TIME")),"h:mm AM/PM"),"")</f>
        <v/>
      </c>
      <c r="I156" s="7" t="str">
        <f>IF(LEN($C156)&gt;0,_xll.ciqfunctions.udf.CIQ($C156,"IQ_KEY_DEV_SOURCE"),"")</f>
        <v/>
      </c>
    </row>
    <row r="157" spans="2:18" x14ac:dyDescent="0.2">
      <c r="B157" s="7">
        <f t="shared" si="5"/>
        <v>150</v>
      </c>
      <c r="C157" s="7"/>
      <c r="D157" s="7" t="str">
        <f>IF(LEN($C157),_xll.ciqfunctions.udf.CIQ($C157,"IQ_KEY_DEV_HEADLINE"),"")</f>
        <v/>
      </c>
      <c r="E157" s="7" t="str">
        <f>IF(LEN($C157)&gt;0,_xll.ciqfunctions.udf.CIQ($C157,"IQ_KEY_DEV_TYPE"),"")</f>
        <v/>
      </c>
      <c r="F157" s="7" t="str">
        <f>IF(LEN($C157)&gt;0,_xll.ciqfunctions.udf.CIQ($C157,"IQ_KEY_DEV_SITUATION"),"")</f>
        <v/>
      </c>
      <c r="G157" s="19" t="str">
        <f t="shared" si="4"/>
        <v/>
      </c>
      <c r="H157" s="19" t="str">
        <f>+IF(LEN($C157)&gt;0,TEXT(IF(_xll.ciqfunctions.udf.CIQ($C157,"IQ_KEY_DEV_TIME")="NA","",_xll.ciqfunctions.udf.CIQ($C157,"IQ_KEY_DEV_TIME")),"h:mm AM/PM"),"")</f>
        <v/>
      </c>
      <c r="I157" s="7" t="str">
        <f>IF(LEN($C157)&gt;0,_xll.ciqfunctions.udf.CIQ($C157,"IQ_KEY_DEV_SOURCE"),"")</f>
        <v/>
      </c>
    </row>
    <row r="158" spans="2:18" x14ac:dyDescent="0.2">
      <c r="B158" s="7">
        <f t="shared" si="5"/>
        <v>151</v>
      </c>
      <c r="C158" s="7"/>
      <c r="D158" s="7" t="str">
        <f>IF(LEN($C158),_xll.ciqfunctions.udf.CIQ($C158,"IQ_KEY_DEV_HEADLINE"),"")</f>
        <v/>
      </c>
      <c r="E158" s="7" t="str">
        <f>IF(LEN($C158)&gt;0,_xll.ciqfunctions.udf.CIQ($C158,"IQ_KEY_DEV_TYPE"),"")</f>
        <v/>
      </c>
      <c r="F158" s="7" t="str">
        <f>IF(LEN($C158)&gt;0,_xll.ciqfunctions.udf.CIQ($C158,"IQ_KEY_DEV_SITUATION"),"")</f>
        <v/>
      </c>
      <c r="G158" s="19" t="str">
        <f t="shared" si="4"/>
        <v/>
      </c>
      <c r="H158" s="19" t="str">
        <f>+IF(LEN($C158)&gt;0,TEXT(IF(_xll.ciqfunctions.udf.CIQ($C158,"IQ_KEY_DEV_TIME")="NA","",_xll.ciqfunctions.udf.CIQ($C158,"IQ_KEY_DEV_TIME")),"h:mm AM/PM"),"")</f>
        <v/>
      </c>
      <c r="I158" s="7" t="str">
        <f>IF(LEN($C158)&gt;0,_xll.ciqfunctions.udf.CIQ($C158,"IQ_KEY_DEV_SOURCE"),"")</f>
        <v/>
      </c>
    </row>
    <row r="159" spans="2:18" x14ac:dyDescent="0.2">
      <c r="B159" s="7">
        <f t="shared" si="5"/>
        <v>152</v>
      </c>
      <c r="C159" s="7"/>
      <c r="D159" s="7" t="str">
        <f>IF(LEN($C159),_xll.ciqfunctions.udf.CIQ($C159,"IQ_KEY_DEV_HEADLINE"),"")</f>
        <v/>
      </c>
      <c r="E159" s="7" t="str">
        <f>IF(LEN($C159)&gt;0,_xll.ciqfunctions.udf.CIQ($C159,"IQ_KEY_DEV_TYPE"),"")</f>
        <v/>
      </c>
      <c r="F159" s="7" t="str">
        <f>IF(LEN($C159)&gt;0,_xll.ciqfunctions.udf.CIQ($C159,"IQ_KEY_DEV_SITUATION"),"")</f>
        <v/>
      </c>
      <c r="G159" s="19" t="str">
        <f t="shared" si="4"/>
        <v/>
      </c>
      <c r="H159" s="19" t="str">
        <f>+IF(LEN($C159)&gt;0,TEXT(IF(_xll.ciqfunctions.udf.CIQ($C159,"IQ_KEY_DEV_TIME")="NA","",_xll.ciqfunctions.udf.CIQ($C159,"IQ_KEY_DEV_TIME")),"h:mm AM/PM"),"")</f>
        <v/>
      </c>
      <c r="I159" s="7" t="str">
        <f>IF(LEN($C159)&gt;0,_xll.ciqfunctions.udf.CIQ($C159,"IQ_KEY_DEV_SOURCE"),"")</f>
        <v/>
      </c>
    </row>
    <row r="160" spans="2:18" x14ac:dyDescent="0.2">
      <c r="B160" s="7">
        <f t="shared" si="5"/>
        <v>153</v>
      </c>
      <c r="C160" s="7"/>
      <c r="D160" s="7" t="str">
        <f>IF(LEN($C160),_xll.ciqfunctions.udf.CIQ($C160,"IQ_KEY_DEV_HEADLINE"),"")</f>
        <v/>
      </c>
      <c r="E160" s="7" t="str">
        <f>IF(LEN($C160)&gt;0,_xll.ciqfunctions.udf.CIQ($C160,"IQ_KEY_DEV_TYPE"),"")</f>
        <v/>
      </c>
      <c r="F160" s="7" t="str">
        <f>IF(LEN($C160)&gt;0,_xll.ciqfunctions.udf.CIQ($C160,"IQ_KEY_DEV_SITUATION"),"")</f>
        <v/>
      </c>
      <c r="G160" s="19" t="str">
        <f t="shared" si="4"/>
        <v/>
      </c>
      <c r="H160" s="19" t="str">
        <f>+IF(LEN($C160)&gt;0,TEXT(IF(_xll.ciqfunctions.udf.CIQ($C160,"IQ_KEY_DEV_TIME")="NA","",_xll.ciqfunctions.udf.CIQ($C160,"IQ_KEY_DEV_TIME")),"h:mm AM/PM"),"")</f>
        <v/>
      </c>
      <c r="I160" s="7" t="str">
        <f>IF(LEN($C160)&gt;0,_xll.ciqfunctions.udf.CIQ($C160,"IQ_KEY_DEV_SOURCE"),"")</f>
        <v/>
      </c>
    </row>
    <row r="161" spans="2:9" x14ac:dyDescent="0.2">
      <c r="B161" s="7">
        <f t="shared" si="5"/>
        <v>154</v>
      </c>
      <c r="C161" s="7"/>
      <c r="D161" s="7" t="str">
        <f>IF(LEN($C161),_xll.ciqfunctions.udf.CIQ($C161,"IQ_KEY_DEV_HEADLINE"),"")</f>
        <v/>
      </c>
      <c r="E161" s="7" t="str">
        <f>IF(LEN($C161)&gt;0,_xll.ciqfunctions.udf.CIQ($C161,"IQ_KEY_DEV_TYPE"),"")</f>
        <v/>
      </c>
      <c r="F161" s="7" t="str">
        <f>IF(LEN($C161)&gt;0,_xll.ciqfunctions.udf.CIQ($C161,"IQ_KEY_DEV_SITUATION"),"")</f>
        <v/>
      </c>
      <c r="G161" s="19" t="str">
        <f t="shared" si="4"/>
        <v/>
      </c>
      <c r="H161" s="19" t="str">
        <f>+IF(LEN($C161)&gt;0,TEXT(IF(_xll.ciqfunctions.udf.CIQ($C161,"IQ_KEY_DEV_TIME")="NA","",_xll.ciqfunctions.udf.CIQ($C161,"IQ_KEY_DEV_TIME")),"h:mm AM/PM"),"")</f>
        <v/>
      </c>
      <c r="I161" s="7" t="str">
        <f>IF(LEN($C161)&gt;0,_xll.ciqfunctions.udf.CIQ($C161,"IQ_KEY_DEV_SOURCE"),"")</f>
        <v/>
      </c>
    </row>
    <row r="162" spans="2:9" x14ac:dyDescent="0.2">
      <c r="B162" s="7">
        <f t="shared" si="5"/>
        <v>155</v>
      </c>
      <c r="C162" s="7"/>
      <c r="D162" s="7" t="str">
        <f>IF(LEN($C162),_xll.ciqfunctions.udf.CIQ($C162,"IQ_KEY_DEV_HEADLINE"),"")</f>
        <v/>
      </c>
      <c r="E162" s="7" t="str">
        <f>IF(LEN($C162)&gt;0,_xll.ciqfunctions.udf.CIQ($C162,"IQ_KEY_DEV_TYPE"),"")</f>
        <v/>
      </c>
      <c r="F162" s="7" t="str">
        <f>IF(LEN($C162)&gt;0,_xll.ciqfunctions.udf.CIQ($C162,"IQ_KEY_DEV_SITUATION"),"")</f>
        <v/>
      </c>
      <c r="G162" s="19" t="str">
        <f t="shared" si="4"/>
        <v/>
      </c>
      <c r="H162" s="19" t="str">
        <f>+IF(LEN($C162)&gt;0,TEXT(IF(_xll.ciqfunctions.udf.CIQ($C162,"IQ_KEY_DEV_TIME")="NA","",_xll.ciqfunctions.udf.CIQ($C162,"IQ_KEY_DEV_TIME")),"h:mm AM/PM"),"")</f>
        <v/>
      </c>
      <c r="I162" s="7" t="str">
        <f>IF(LEN($C162)&gt;0,_xll.ciqfunctions.udf.CIQ($C162,"IQ_KEY_DEV_SOURCE"),"")</f>
        <v/>
      </c>
    </row>
    <row r="163" spans="2:9" x14ac:dyDescent="0.2">
      <c r="B163" s="7">
        <f t="shared" si="5"/>
        <v>156</v>
      </c>
      <c r="C163" s="7"/>
      <c r="D163" s="7" t="str">
        <f>IF(LEN($C163),_xll.ciqfunctions.udf.CIQ($C163,"IQ_KEY_DEV_HEADLINE"),"")</f>
        <v/>
      </c>
      <c r="E163" s="7" t="str">
        <f>IF(LEN($C163)&gt;0,_xll.ciqfunctions.udf.CIQ($C163,"IQ_KEY_DEV_TYPE"),"")</f>
        <v/>
      </c>
      <c r="F163" s="7" t="str">
        <f>IF(LEN($C163)&gt;0,_xll.ciqfunctions.udf.CIQ($C163,"IQ_KEY_DEV_SITUATION"),"")</f>
        <v/>
      </c>
      <c r="G163" s="19" t="str">
        <f t="shared" si="4"/>
        <v/>
      </c>
      <c r="H163" s="19" t="str">
        <f>+IF(LEN($C163)&gt;0,TEXT(IF(_xll.ciqfunctions.udf.CIQ($C163,"IQ_KEY_DEV_TIME")="NA","",_xll.ciqfunctions.udf.CIQ($C163,"IQ_KEY_DEV_TIME")),"h:mm AM/PM"),"")</f>
        <v/>
      </c>
      <c r="I163" s="7" t="str">
        <f>IF(LEN($C163)&gt;0,_xll.ciqfunctions.udf.CIQ($C163,"IQ_KEY_DEV_SOURCE"),"")</f>
        <v/>
      </c>
    </row>
    <row r="164" spans="2:9" x14ac:dyDescent="0.2">
      <c r="B164" s="7">
        <f t="shared" si="5"/>
        <v>157</v>
      </c>
      <c r="C164" s="7"/>
      <c r="D164" s="7" t="str">
        <f>IF(LEN($C164),_xll.ciqfunctions.udf.CIQ($C164,"IQ_KEY_DEV_HEADLINE"),"")</f>
        <v/>
      </c>
      <c r="E164" s="7" t="str">
        <f>IF(LEN($C164)&gt;0,_xll.ciqfunctions.udf.CIQ($C164,"IQ_KEY_DEV_TYPE"),"")</f>
        <v/>
      </c>
      <c r="F164" s="7" t="str">
        <f>IF(LEN($C164)&gt;0,_xll.ciqfunctions.udf.CIQ($C164,"IQ_KEY_DEV_SITUATION"),"")</f>
        <v/>
      </c>
      <c r="G164" s="19" t="str">
        <f t="shared" si="4"/>
        <v/>
      </c>
      <c r="H164" s="19" t="str">
        <f>+IF(LEN($C164)&gt;0,TEXT(IF(_xll.ciqfunctions.udf.CIQ($C164,"IQ_KEY_DEV_TIME")="NA","",_xll.ciqfunctions.udf.CIQ($C164,"IQ_KEY_DEV_TIME")),"h:mm AM/PM"),"")</f>
        <v/>
      </c>
      <c r="I164" s="7" t="str">
        <f>IF(LEN($C164)&gt;0,_xll.ciqfunctions.udf.CIQ($C164,"IQ_KEY_DEV_SOURCE"),"")</f>
        <v/>
      </c>
    </row>
    <row r="165" spans="2:9" x14ac:dyDescent="0.2">
      <c r="B165" s="7">
        <f t="shared" si="5"/>
        <v>158</v>
      </c>
      <c r="C165" s="7"/>
      <c r="D165" s="7" t="str">
        <f>IF(LEN($C165),_xll.ciqfunctions.udf.CIQ($C165,"IQ_KEY_DEV_HEADLINE"),"")</f>
        <v/>
      </c>
      <c r="E165" s="7" t="str">
        <f>IF(LEN($C165)&gt;0,_xll.ciqfunctions.udf.CIQ($C165,"IQ_KEY_DEV_TYPE"),"")</f>
        <v/>
      </c>
      <c r="F165" s="7" t="str">
        <f>IF(LEN($C165)&gt;0,_xll.ciqfunctions.udf.CIQ($C165,"IQ_KEY_DEV_SITUATION"),"")</f>
        <v/>
      </c>
      <c r="G165" s="19" t="str">
        <f t="shared" si="4"/>
        <v/>
      </c>
      <c r="H165" s="19" t="str">
        <f>+IF(LEN($C165)&gt;0,TEXT(IF(_xll.ciqfunctions.udf.CIQ($C165,"IQ_KEY_DEV_TIME")="NA","",_xll.ciqfunctions.udf.CIQ($C165,"IQ_KEY_DEV_TIME")),"h:mm AM/PM"),"")</f>
        <v/>
      </c>
      <c r="I165" s="7" t="str">
        <f>IF(LEN($C165)&gt;0,_xll.ciqfunctions.udf.CIQ($C165,"IQ_KEY_DEV_SOURCE"),"")</f>
        <v/>
      </c>
    </row>
    <row r="166" spans="2:9" x14ac:dyDescent="0.2">
      <c r="B166" s="7">
        <f t="shared" si="5"/>
        <v>159</v>
      </c>
      <c r="C166" s="7"/>
      <c r="D166" s="7" t="str">
        <f>IF(LEN($C166),_xll.ciqfunctions.udf.CIQ($C166,"IQ_KEY_DEV_HEADLINE"),"")</f>
        <v/>
      </c>
      <c r="E166" s="7" t="str">
        <f>IF(LEN($C166)&gt;0,_xll.ciqfunctions.udf.CIQ($C166,"IQ_KEY_DEV_TYPE"),"")</f>
        <v/>
      </c>
      <c r="F166" s="7" t="str">
        <f>IF(LEN($C166)&gt;0,_xll.ciqfunctions.udf.CIQ($C166,"IQ_KEY_DEV_SITUATION"),"")</f>
        <v/>
      </c>
      <c r="G166" s="19" t="str">
        <f t="shared" si="4"/>
        <v/>
      </c>
      <c r="H166" s="19" t="str">
        <f>+IF(LEN($C166)&gt;0,TEXT(IF(_xll.ciqfunctions.udf.CIQ($C166,"IQ_KEY_DEV_TIME")="NA","",_xll.ciqfunctions.udf.CIQ($C166,"IQ_KEY_DEV_TIME")),"h:mm AM/PM"),"")</f>
        <v/>
      </c>
      <c r="I166" s="7" t="str">
        <f>IF(LEN($C166)&gt;0,_xll.ciqfunctions.udf.CIQ($C166,"IQ_KEY_DEV_SOURCE"),"")</f>
        <v/>
      </c>
    </row>
    <row r="167" spans="2:9" x14ac:dyDescent="0.2">
      <c r="B167" s="7">
        <f t="shared" si="5"/>
        <v>160</v>
      </c>
      <c r="C167" s="7"/>
      <c r="D167" s="7" t="str">
        <f>IF(LEN($C167),_xll.ciqfunctions.udf.CIQ($C167,"IQ_KEY_DEV_HEADLINE"),"")</f>
        <v/>
      </c>
      <c r="E167" s="7" t="str">
        <f>IF(LEN($C167)&gt;0,_xll.ciqfunctions.udf.CIQ($C167,"IQ_KEY_DEV_TYPE"),"")</f>
        <v/>
      </c>
      <c r="F167" s="7" t="str">
        <f>IF(LEN($C167)&gt;0,_xll.ciqfunctions.udf.CIQ($C167,"IQ_KEY_DEV_SITUATION"),"")</f>
        <v/>
      </c>
      <c r="G167" s="19" t="str">
        <f t="shared" si="4"/>
        <v/>
      </c>
      <c r="H167" s="19" t="str">
        <f>+IF(LEN($C167)&gt;0,TEXT(IF(_xll.ciqfunctions.udf.CIQ($C167,"IQ_KEY_DEV_TIME")="NA","",_xll.ciqfunctions.udf.CIQ($C167,"IQ_KEY_DEV_TIME")),"h:mm AM/PM"),"")</f>
        <v/>
      </c>
      <c r="I167" s="7" t="str">
        <f>IF(LEN($C167)&gt;0,_xll.ciqfunctions.udf.CIQ($C167,"IQ_KEY_DEV_SOURCE"),"")</f>
        <v/>
      </c>
    </row>
    <row r="168" spans="2:9" x14ac:dyDescent="0.2">
      <c r="B168" s="7">
        <f t="shared" si="5"/>
        <v>161</v>
      </c>
      <c r="C168" s="7"/>
      <c r="D168" s="7" t="str">
        <f>IF(LEN($C168),_xll.ciqfunctions.udf.CIQ($C168,"IQ_KEY_DEV_HEADLINE"),"")</f>
        <v/>
      </c>
      <c r="E168" s="7" t="str">
        <f>IF(LEN($C168)&gt;0,_xll.ciqfunctions.udf.CIQ($C168,"IQ_KEY_DEV_TYPE"),"")</f>
        <v/>
      </c>
      <c r="F168" s="7" t="str">
        <f>IF(LEN($C168)&gt;0,_xll.ciqfunctions.udf.CIQ($C168,"IQ_KEY_DEV_SITUATION"),"")</f>
        <v/>
      </c>
      <c r="G168" s="19" t="str">
        <f t="shared" si="4"/>
        <v/>
      </c>
      <c r="H168" s="19" t="str">
        <f>+IF(LEN($C168)&gt;0,TEXT(IF(_xll.ciqfunctions.udf.CIQ($C168,"IQ_KEY_DEV_TIME")="NA","",_xll.ciqfunctions.udf.CIQ($C168,"IQ_KEY_DEV_TIME")),"h:mm AM/PM"),"")</f>
        <v/>
      </c>
      <c r="I168" s="7" t="str">
        <f>IF(LEN($C168)&gt;0,_xll.ciqfunctions.udf.CIQ($C168,"IQ_KEY_DEV_SOURCE"),"")</f>
        <v/>
      </c>
    </row>
    <row r="169" spans="2:9" x14ac:dyDescent="0.2">
      <c r="B169" s="7">
        <f t="shared" si="5"/>
        <v>162</v>
      </c>
      <c r="C169" s="7"/>
      <c r="D169" s="7" t="str">
        <f>IF(LEN($C169),_xll.ciqfunctions.udf.CIQ($C169,"IQ_KEY_DEV_HEADLINE"),"")</f>
        <v/>
      </c>
      <c r="E169" s="7" t="str">
        <f>IF(LEN($C169)&gt;0,_xll.ciqfunctions.udf.CIQ($C169,"IQ_KEY_DEV_TYPE"),"")</f>
        <v/>
      </c>
      <c r="F169" s="7" t="str">
        <f>IF(LEN($C169)&gt;0,_xll.ciqfunctions.udf.CIQ($C169,"IQ_KEY_DEV_SITUATION"),"")</f>
        <v/>
      </c>
      <c r="G169" s="19" t="str">
        <f t="shared" si="4"/>
        <v/>
      </c>
      <c r="H169" s="19" t="str">
        <f>+IF(LEN($C169)&gt;0,TEXT(IF(_xll.ciqfunctions.udf.CIQ($C169,"IQ_KEY_DEV_TIME")="NA","",_xll.ciqfunctions.udf.CIQ($C169,"IQ_KEY_DEV_TIME")),"h:mm AM/PM"),"")</f>
        <v/>
      </c>
      <c r="I169" s="7" t="str">
        <f>IF(LEN($C169)&gt;0,_xll.ciqfunctions.udf.CIQ($C169,"IQ_KEY_DEV_SOURCE"),"")</f>
        <v/>
      </c>
    </row>
    <row r="170" spans="2:9" x14ac:dyDescent="0.2">
      <c r="B170" s="7">
        <f t="shared" si="5"/>
        <v>163</v>
      </c>
      <c r="C170" s="7"/>
      <c r="D170" s="7" t="str">
        <f>IF(LEN($C170),_xll.ciqfunctions.udf.CIQ($C170,"IQ_KEY_DEV_HEADLINE"),"")</f>
        <v/>
      </c>
      <c r="E170" s="7" t="str">
        <f>IF(LEN($C170)&gt;0,_xll.ciqfunctions.udf.CIQ($C170,"IQ_KEY_DEV_TYPE"),"")</f>
        <v/>
      </c>
      <c r="F170" s="7" t="str">
        <f>IF(LEN($C170)&gt;0,_xll.ciqfunctions.udf.CIQ($C170,"IQ_KEY_DEV_SITUATION"),"")</f>
        <v/>
      </c>
      <c r="G170" s="19" t="str">
        <f t="shared" si="4"/>
        <v/>
      </c>
      <c r="H170" s="19" t="str">
        <f>+IF(LEN($C170)&gt;0,TEXT(IF(_xll.ciqfunctions.udf.CIQ($C170,"IQ_KEY_DEV_TIME")="NA","",_xll.ciqfunctions.udf.CIQ($C170,"IQ_KEY_DEV_TIME")),"h:mm AM/PM"),"")</f>
        <v/>
      </c>
      <c r="I170" s="7" t="str">
        <f>IF(LEN($C170)&gt;0,_xll.ciqfunctions.udf.CIQ($C170,"IQ_KEY_DEV_SOURCE"),"")</f>
        <v/>
      </c>
    </row>
    <row r="171" spans="2:9" x14ac:dyDescent="0.2">
      <c r="B171" s="7">
        <f t="shared" si="5"/>
        <v>164</v>
      </c>
      <c r="C171" s="7"/>
      <c r="D171" s="7" t="str">
        <f>IF(LEN($C171),_xll.ciqfunctions.udf.CIQ($C171,"IQ_KEY_DEV_HEADLINE"),"")</f>
        <v/>
      </c>
      <c r="E171" s="7" t="str">
        <f>IF(LEN($C171)&gt;0,_xll.ciqfunctions.udf.CIQ($C171,"IQ_KEY_DEV_TYPE"),"")</f>
        <v/>
      </c>
      <c r="F171" s="7" t="str">
        <f>IF(LEN($C171)&gt;0,_xll.ciqfunctions.udf.CIQ($C171,"IQ_KEY_DEV_SITUATION"),"")</f>
        <v/>
      </c>
      <c r="G171" s="19" t="str">
        <f t="shared" si="4"/>
        <v/>
      </c>
      <c r="H171" s="19" t="str">
        <f>+IF(LEN($C171)&gt;0,TEXT(IF(_xll.ciqfunctions.udf.CIQ($C171,"IQ_KEY_DEV_TIME")="NA","",_xll.ciqfunctions.udf.CIQ($C171,"IQ_KEY_DEV_TIME")),"h:mm AM/PM"),"")</f>
        <v/>
      </c>
      <c r="I171" s="7" t="str">
        <f>IF(LEN($C171)&gt;0,_xll.ciqfunctions.udf.CIQ($C171,"IQ_KEY_DEV_SOURCE"),"")</f>
        <v/>
      </c>
    </row>
    <row r="172" spans="2:9" x14ac:dyDescent="0.2">
      <c r="B172" s="7">
        <f t="shared" si="5"/>
        <v>165</v>
      </c>
      <c r="C172" s="7"/>
      <c r="D172" s="7" t="str">
        <f>IF(LEN($C172),_xll.ciqfunctions.udf.CIQ($C172,"IQ_KEY_DEV_HEADLINE"),"")</f>
        <v/>
      </c>
      <c r="E172" s="7" t="str">
        <f>IF(LEN($C172)&gt;0,_xll.ciqfunctions.udf.CIQ($C172,"IQ_KEY_DEV_TYPE"),"")</f>
        <v/>
      </c>
      <c r="F172" s="7" t="str">
        <f>IF(LEN($C172)&gt;0,_xll.ciqfunctions.udf.CIQ($C172,"IQ_KEY_DEV_SITUATION"),"")</f>
        <v/>
      </c>
      <c r="G172" s="19" t="str">
        <f t="shared" si="4"/>
        <v/>
      </c>
      <c r="H172" s="19" t="str">
        <f>+IF(LEN($C172)&gt;0,TEXT(IF(_xll.ciqfunctions.udf.CIQ($C172,"IQ_KEY_DEV_TIME")="NA","",_xll.ciqfunctions.udf.CIQ($C172,"IQ_KEY_DEV_TIME")),"h:mm AM/PM"),"")</f>
        <v/>
      </c>
      <c r="I172" s="7" t="str">
        <f>IF(LEN($C172)&gt;0,_xll.ciqfunctions.udf.CIQ($C172,"IQ_KEY_DEV_SOURCE"),"")</f>
        <v/>
      </c>
    </row>
    <row r="173" spans="2:9" x14ac:dyDescent="0.2">
      <c r="B173" s="7">
        <f t="shared" si="5"/>
        <v>166</v>
      </c>
      <c r="C173" s="7"/>
      <c r="D173" s="7" t="str">
        <f>IF(LEN($C173),_xll.ciqfunctions.udf.CIQ($C173,"IQ_KEY_DEV_HEADLINE"),"")</f>
        <v/>
      </c>
      <c r="E173" s="7" t="str">
        <f>IF(LEN($C173)&gt;0,_xll.ciqfunctions.udf.CIQ($C173,"IQ_KEY_DEV_TYPE"),"")</f>
        <v/>
      </c>
      <c r="F173" s="7" t="str">
        <f>IF(LEN($C173)&gt;0,_xll.ciqfunctions.udf.CIQ($C173,"IQ_KEY_DEV_SITUATION"),"")</f>
        <v/>
      </c>
      <c r="G173" s="19" t="str">
        <f t="shared" si="4"/>
        <v/>
      </c>
      <c r="H173" s="19" t="str">
        <f>+IF(LEN($C173)&gt;0,TEXT(IF(_xll.ciqfunctions.udf.CIQ($C173,"IQ_KEY_DEV_TIME")="NA","",_xll.ciqfunctions.udf.CIQ($C173,"IQ_KEY_DEV_TIME")),"h:mm AM/PM"),"")</f>
        <v/>
      </c>
      <c r="I173" s="7" t="str">
        <f>IF(LEN($C173)&gt;0,_xll.ciqfunctions.udf.CIQ($C173,"IQ_KEY_DEV_SOURCE"),"")</f>
        <v/>
      </c>
    </row>
    <row r="174" spans="2:9" x14ac:dyDescent="0.2">
      <c r="B174" s="7">
        <f t="shared" si="5"/>
        <v>167</v>
      </c>
      <c r="C174" s="7"/>
      <c r="D174" s="7" t="str">
        <f>IF(LEN($C174),_xll.ciqfunctions.udf.CIQ($C174,"IQ_KEY_DEV_HEADLINE"),"")</f>
        <v/>
      </c>
      <c r="E174" s="7" t="str">
        <f>IF(LEN($C174)&gt;0,_xll.ciqfunctions.udf.CIQ($C174,"IQ_KEY_DEV_TYPE"),"")</f>
        <v/>
      </c>
      <c r="F174" s="7" t="str">
        <f>IF(LEN($C174)&gt;0,_xll.ciqfunctions.udf.CIQ($C174,"IQ_KEY_DEV_SITUATION"),"")</f>
        <v/>
      </c>
      <c r="G174" s="19" t="str">
        <f t="shared" si="4"/>
        <v/>
      </c>
      <c r="H174" s="19" t="str">
        <f>+IF(LEN($C174)&gt;0,TEXT(IF(_xll.ciqfunctions.udf.CIQ($C174,"IQ_KEY_DEV_TIME")="NA","",_xll.ciqfunctions.udf.CIQ($C174,"IQ_KEY_DEV_TIME")),"h:mm AM/PM"),"")</f>
        <v/>
      </c>
      <c r="I174" s="7" t="str">
        <f>IF(LEN($C174)&gt;0,_xll.ciqfunctions.udf.CIQ($C174,"IQ_KEY_DEV_SOURCE"),"")</f>
        <v/>
      </c>
    </row>
    <row r="175" spans="2:9" x14ac:dyDescent="0.2">
      <c r="B175" s="7">
        <f t="shared" si="5"/>
        <v>168</v>
      </c>
      <c r="C175" s="7"/>
      <c r="D175" s="7" t="str">
        <f>IF(LEN($C175),_xll.ciqfunctions.udf.CIQ($C175,"IQ_KEY_DEV_HEADLINE"),"")</f>
        <v/>
      </c>
      <c r="E175" s="7" t="str">
        <f>IF(LEN($C175)&gt;0,_xll.ciqfunctions.udf.CIQ($C175,"IQ_KEY_DEV_TYPE"),"")</f>
        <v/>
      </c>
      <c r="F175" s="7" t="str">
        <f>IF(LEN($C175)&gt;0,_xll.ciqfunctions.udf.CIQ($C175,"IQ_KEY_DEV_SITUATION"),"")</f>
        <v/>
      </c>
      <c r="G175" s="19" t="str">
        <f t="shared" si="4"/>
        <v/>
      </c>
      <c r="H175" s="19" t="str">
        <f>+IF(LEN($C175)&gt;0,TEXT(IF(_xll.ciqfunctions.udf.CIQ($C175,"IQ_KEY_DEV_TIME")="NA","",_xll.ciqfunctions.udf.CIQ($C175,"IQ_KEY_DEV_TIME")),"h:mm AM/PM"),"")</f>
        <v/>
      </c>
      <c r="I175" s="7" t="str">
        <f>IF(LEN($C175)&gt;0,_xll.ciqfunctions.udf.CIQ($C175,"IQ_KEY_DEV_SOURCE"),"")</f>
        <v/>
      </c>
    </row>
    <row r="176" spans="2:9" x14ac:dyDescent="0.2">
      <c r="B176" s="7">
        <f t="shared" si="5"/>
        <v>169</v>
      </c>
      <c r="C176" s="7"/>
      <c r="D176" s="7" t="str">
        <f>IF(LEN($C176),_xll.ciqfunctions.udf.CIQ($C176,"IQ_KEY_DEV_HEADLINE"),"")</f>
        <v/>
      </c>
      <c r="E176" s="7" t="str">
        <f>IF(LEN($C176)&gt;0,_xll.ciqfunctions.udf.CIQ($C176,"IQ_KEY_DEV_TYPE"),"")</f>
        <v/>
      </c>
      <c r="F176" s="7" t="str">
        <f>IF(LEN($C176)&gt;0,_xll.ciqfunctions.udf.CIQ($C176,"IQ_KEY_DEV_SITUATION"),"")</f>
        <v/>
      </c>
      <c r="G176" s="19" t="str">
        <f t="shared" si="4"/>
        <v/>
      </c>
      <c r="H176" s="19" t="str">
        <f>+IF(LEN($C176)&gt;0,TEXT(IF(_xll.ciqfunctions.udf.CIQ($C176,"IQ_KEY_DEV_TIME")="NA","",_xll.ciqfunctions.udf.CIQ($C176,"IQ_KEY_DEV_TIME")),"h:mm AM/PM"),"")</f>
        <v/>
      </c>
      <c r="I176" s="7" t="str">
        <f>IF(LEN($C176)&gt;0,_xll.ciqfunctions.udf.CIQ($C176,"IQ_KEY_DEV_SOURCE"),"")</f>
        <v/>
      </c>
    </row>
    <row r="177" spans="2:9" x14ac:dyDescent="0.2">
      <c r="B177" s="7">
        <f t="shared" si="5"/>
        <v>170</v>
      </c>
      <c r="C177" s="7"/>
      <c r="D177" s="7" t="str">
        <f>IF(LEN($C177),_xll.ciqfunctions.udf.CIQ($C177,"IQ_KEY_DEV_HEADLINE"),"")</f>
        <v/>
      </c>
      <c r="E177" s="7" t="str">
        <f>IF(LEN($C177)&gt;0,_xll.ciqfunctions.udf.CIQ($C177,"IQ_KEY_DEV_TYPE"),"")</f>
        <v/>
      </c>
      <c r="F177" s="7" t="str">
        <f>IF(LEN($C177)&gt;0,_xll.ciqfunctions.udf.CIQ($C177,"IQ_KEY_DEV_SITUATION"),"")</f>
        <v/>
      </c>
      <c r="G177" s="19" t="str">
        <f t="shared" si="4"/>
        <v/>
      </c>
      <c r="H177" s="19" t="str">
        <f>+IF(LEN($C177)&gt;0,TEXT(IF(_xll.ciqfunctions.udf.CIQ($C177,"IQ_KEY_DEV_TIME")="NA","",_xll.ciqfunctions.udf.CIQ($C177,"IQ_KEY_DEV_TIME")),"h:mm AM/PM"),"")</f>
        <v/>
      </c>
      <c r="I177" s="7" t="str">
        <f>IF(LEN($C177)&gt;0,_xll.ciqfunctions.udf.CIQ($C177,"IQ_KEY_DEV_SOURCE"),"")</f>
        <v/>
      </c>
    </row>
    <row r="178" spans="2:9" x14ac:dyDescent="0.2">
      <c r="B178" s="7">
        <f t="shared" si="5"/>
        <v>171</v>
      </c>
      <c r="C178" s="7"/>
      <c r="D178" s="7" t="str">
        <f>IF(LEN($C178),_xll.ciqfunctions.udf.CIQ($C178,"IQ_KEY_DEV_HEADLINE"),"")</f>
        <v/>
      </c>
      <c r="E178" s="7" t="str">
        <f>IF(LEN($C178)&gt;0,_xll.ciqfunctions.udf.CIQ($C178,"IQ_KEY_DEV_TYPE"),"")</f>
        <v/>
      </c>
      <c r="F178" s="7" t="str">
        <f>IF(LEN($C178)&gt;0,_xll.ciqfunctions.udf.CIQ($C178,"IQ_KEY_DEV_SITUATION"),"")</f>
        <v/>
      </c>
      <c r="G178" s="19" t="str">
        <f t="shared" si="4"/>
        <v/>
      </c>
      <c r="H178" s="19" t="str">
        <f>+IF(LEN($C178)&gt;0,TEXT(IF(_xll.ciqfunctions.udf.CIQ($C178,"IQ_KEY_DEV_TIME")="NA","",_xll.ciqfunctions.udf.CIQ($C178,"IQ_KEY_DEV_TIME")),"h:mm AM/PM"),"")</f>
        <v/>
      </c>
      <c r="I178" s="7" t="str">
        <f>IF(LEN($C178)&gt;0,_xll.ciqfunctions.udf.CIQ($C178,"IQ_KEY_DEV_SOURCE"),"")</f>
        <v/>
      </c>
    </row>
    <row r="179" spans="2:9" x14ac:dyDescent="0.2">
      <c r="B179" s="7">
        <f t="shared" si="5"/>
        <v>172</v>
      </c>
      <c r="C179" s="7"/>
      <c r="D179" s="7" t="str">
        <f>IF(LEN($C179),_xll.ciqfunctions.udf.CIQ($C179,"IQ_KEY_DEV_HEADLINE"),"")</f>
        <v/>
      </c>
      <c r="E179" s="7" t="str">
        <f>IF(LEN($C179)&gt;0,_xll.ciqfunctions.udf.CIQ($C179,"IQ_KEY_DEV_TYPE"),"")</f>
        <v/>
      </c>
      <c r="F179" s="7" t="str">
        <f>IF(LEN($C179)&gt;0,_xll.ciqfunctions.udf.CIQ($C179,"IQ_KEY_DEV_SITUATION"),"")</f>
        <v/>
      </c>
      <c r="G179" s="19" t="str">
        <f t="shared" si="4"/>
        <v/>
      </c>
      <c r="H179" s="19" t="str">
        <f>+IF(LEN($C179)&gt;0,TEXT(IF(_xll.ciqfunctions.udf.CIQ($C179,"IQ_KEY_DEV_TIME")="NA","",_xll.ciqfunctions.udf.CIQ($C179,"IQ_KEY_DEV_TIME")),"h:mm AM/PM"),"")</f>
        <v/>
      </c>
      <c r="I179" s="7" t="str">
        <f>IF(LEN($C179)&gt;0,_xll.ciqfunctions.udf.CIQ($C179,"IQ_KEY_DEV_SOURCE"),"")</f>
        <v/>
      </c>
    </row>
    <row r="180" spans="2:9" x14ac:dyDescent="0.2">
      <c r="B180" s="7">
        <f t="shared" si="5"/>
        <v>173</v>
      </c>
      <c r="C180" s="7"/>
      <c r="D180" s="7" t="str">
        <f>IF(LEN($C180),_xll.ciqfunctions.udf.CIQ($C180,"IQ_KEY_DEV_HEADLINE"),"")</f>
        <v/>
      </c>
      <c r="E180" s="7" t="str">
        <f>IF(LEN($C180)&gt;0,_xll.ciqfunctions.udf.CIQ($C180,"IQ_KEY_DEV_TYPE"),"")</f>
        <v/>
      </c>
      <c r="F180" s="7" t="str">
        <f>IF(LEN($C180)&gt;0,_xll.ciqfunctions.udf.CIQ($C180,"IQ_KEY_DEV_SITUATION"),"")</f>
        <v/>
      </c>
      <c r="G180" s="19" t="str">
        <f t="shared" si="4"/>
        <v/>
      </c>
      <c r="H180" s="19" t="str">
        <f>+IF(LEN($C180)&gt;0,TEXT(IF(_xll.ciqfunctions.udf.CIQ($C180,"IQ_KEY_DEV_TIME")="NA","",_xll.ciqfunctions.udf.CIQ($C180,"IQ_KEY_DEV_TIME")),"h:mm AM/PM"),"")</f>
        <v/>
      </c>
      <c r="I180" s="7" t="str">
        <f>IF(LEN($C180)&gt;0,_xll.ciqfunctions.udf.CIQ($C180,"IQ_KEY_DEV_SOURCE"),"")</f>
        <v/>
      </c>
    </row>
    <row r="181" spans="2:9" x14ac:dyDescent="0.2">
      <c r="B181" s="7">
        <f t="shared" si="5"/>
        <v>174</v>
      </c>
      <c r="C181" s="7"/>
      <c r="D181" s="7" t="str">
        <f>IF(LEN($C181),_xll.ciqfunctions.udf.CIQ($C181,"IQ_KEY_DEV_HEADLINE"),"")</f>
        <v/>
      </c>
      <c r="E181" s="7" t="str">
        <f>IF(LEN($C181)&gt;0,_xll.ciqfunctions.udf.CIQ($C181,"IQ_KEY_DEV_TYPE"),"")</f>
        <v/>
      </c>
      <c r="F181" s="7" t="str">
        <f>IF(LEN($C181)&gt;0,_xll.ciqfunctions.udf.CIQ($C181,"IQ_KEY_DEV_SITUATION"),"")</f>
        <v/>
      </c>
      <c r="G181" s="19" t="str">
        <f t="shared" si="4"/>
        <v/>
      </c>
      <c r="H181" s="19" t="str">
        <f>+IF(LEN($C181)&gt;0,TEXT(IF(_xll.ciqfunctions.udf.CIQ($C181,"IQ_KEY_DEV_TIME")="NA","",_xll.ciqfunctions.udf.CIQ($C181,"IQ_KEY_DEV_TIME")),"h:mm AM/PM"),"")</f>
        <v/>
      </c>
      <c r="I181" s="7" t="str">
        <f>IF(LEN($C181)&gt;0,_xll.ciqfunctions.udf.CIQ($C181,"IQ_KEY_DEV_SOURCE"),"")</f>
        <v/>
      </c>
    </row>
    <row r="182" spans="2:9" x14ac:dyDescent="0.2">
      <c r="B182" s="7">
        <f t="shared" si="5"/>
        <v>175</v>
      </c>
      <c r="C182" s="7"/>
      <c r="D182" s="7" t="str">
        <f>IF(LEN($C182),_xll.ciqfunctions.udf.CIQ($C182,"IQ_KEY_DEV_HEADLINE"),"")</f>
        <v/>
      </c>
      <c r="E182" s="7" t="str">
        <f>IF(LEN($C182)&gt;0,_xll.ciqfunctions.udf.CIQ($C182,"IQ_KEY_DEV_TYPE"),"")</f>
        <v/>
      </c>
      <c r="F182" s="7" t="str">
        <f>IF(LEN($C182)&gt;0,_xll.ciqfunctions.udf.CIQ($C182,"IQ_KEY_DEV_SITUATION"),"")</f>
        <v/>
      </c>
      <c r="G182" s="19" t="str">
        <f t="shared" si="4"/>
        <v/>
      </c>
      <c r="H182" s="19" t="str">
        <f>+IF(LEN($C182)&gt;0,TEXT(IF(_xll.ciqfunctions.udf.CIQ($C182,"IQ_KEY_DEV_TIME")="NA","",_xll.ciqfunctions.udf.CIQ($C182,"IQ_KEY_DEV_TIME")),"h:mm AM/PM"),"")</f>
        <v/>
      </c>
      <c r="I182" s="7" t="str">
        <f>IF(LEN($C182)&gt;0,_xll.ciqfunctions.udf.CIQ($C182,"IQ_KEY_DEV_SOURCE"),"")</f>
        <v/>
      </c>
    </row>
    <row r="183" spans="2:9" x14ac:dyDescent="0.2">
      <c r="B183" s="7">
        <f t="shared" si="5"/>
        <v>176</v>
      </c>
      <c r="C183" s="7"/>
      <c r="D183" s="7" t="str">
        <f>IF(LEN($C183),_xll.ciqfunctions.udf.CIQ($C183,"IQ_KEY_DEV_HEADLINE"),"")</f>
        <v/>
      </c>
      <c r="E183" s="7" t="str">
        <f>IF(LEN($C183)&gt;0,_xll.ciqfunctions.udf.CIQ($C183,"IQ_KEY_DEV_TYPE"),"")</f>
        <v/>
      </c>
      <c r="F183" s="7" t="str">
        <f>IF(LEN($C183)&gt;0,_xll.ciqfunctions.udf.CIQ($C183,"IQ_KEY_DEV_SITUATION"),"")</f>
        <v/>
      </c>
      <c r="G183" s="19" t="str">
        <f t="shared" si="4"/>
        <v/>
      </c>
      <c r="H183" s="19" t="str">
        <f>+IF(LEN($C183)&gt;0,TEXT(IF(_xll.ciqfunctions.udf.CIQ($C183,"IQ_KEY_DEV_TIME")="NA","",_xll.ciqfunctions.udf.CIQ($C183,"IQ_KEY_DEV_TIME")),"h:mm AM/PM"),"")</f>
        <v/>
      </c>
      <c r="I183" s="7" t="str">
        <f>IF(LEN($C183)&gt;0,_xll.ciqfunctions.udf.CIQ($C183,"IQ_KEY_DEV_SOURCE"),"")</f>
        <v/>
      </c>
    </row>
    <row r="184" spans="2:9" x14ac:dyDescent="0.2">
      <c r="B184" s="7">
        <f t="shared" si="5"/>
        <v>177</v>
      </c>
      <c r="C184" s="7"/>
      <c r="D184" s="7" t="str">
        <f>IF(LEN($C184),_xll.ciqfunctions.udf.CIQ($C184,"IQ_KEY_DEV_HEADLINE"),"")</f>
        <v/>
      </c>
      <c r="E184" s="7" t="str">
        <f>IF(LEN($C184)&gt;0,_xll.ciqfunctions.udf.CIQ($C184,"IQ_KEY_DEV_TYPE"),"")</f>
        <v/>
      </c>
      <c r="F184" s="7" t="str">
        <f>IF(LEN($C184)&gt;0,_xll.ciqfunctions.udf.CIQ($C184,"IQ_KEY_DEV_SITUATION"),"")</f>
        <v/>
      </c>
      <c r="G184" s="19" t="str">
        <f t="shared" si="4"/>
        <v/>
      </c>
      <c r="H184" s="19" t="str">
        <f>+IF(LEN($C184)&gt;0,TEXT(IF(_xll.ciqfunctions.udf.CIQ($C184,"IQ_KEY_DEV_TIME")="NA","",_xll.ciqfunctions.udf.CIQ($C184,"IQ_KEY_DEV_TIME")),"h:mm AM/PM"),"")</f>
        <v/>
      </c>
      <c r="I184" s="7" t="str">
        <f>IF(LEN($C184)&gt;0,_xll.ciqfunctions.udf.CIQ($C184,"IQ_KEY_DEV_SOURCE"),"")</f>
        <v/>
      </c>
    </row>
    <row r="185" spans="2:9" x14ac:dyDescent="0.2">
      <c r="B185" s="7">
        <f t="shared" si="5"/>
        <v>178</v>
      </c>
      <c r="C185" s="7"/>
      <c r="D185" s="7" t="str">
        <f>IF(LEN($C185),_xll.ciqfunctions.udf.CIQ($C185,"IQ_KEY_DEV_HEADLINE"),"")</f>
        <v/>
      </c>
      <c r="E185" s="7" t="str">
        <f>IF(LEN($C185)&gt;0,_xll.ciqfunctions.udf.CIQ($C185,"IQ_KEY_DEV_TYPE"),"")</f>
        <v/>
      </c>
      <c r="F185" s="7" t="str">
        <f>IF(LEN($C185)&gt;0,_xll.ciqfunctions.udf.CIQ($C185,"IQ_KEY_DEV_SITUATION"),"")</f>
        <v/>
      </c>
      <c r="G185" s="19" t="str">
        <f t="shared" si="4"/>
        <v/>
      </c>
      <c r="H185" s="19" t="str">
        <f>+IF(LEN($C185)&gt;0,TEXT(IF(_xll.ciqfunctions.udf.CIQ($C185,"IQ_KEY_DEV_TIME")="NA","",_xll.ciqfunctions.udf.CIQ($C185,"IQ_KEY_DEV_TIME")),"h:mm AM/PM"),"")</f>
        <v/>
      </c>
      <c r="I185" s="7" t="str">
        <f>IF(LEN($C185)&gt;0,_xll.ciqfunctions.udf.CIQ($C185,"IQ_KEY_DEV_SOURCE"),"")</f>
        <v/>
      </c>
    </row>
    <row r="186" spans="2:9" x14ac:dyDescent="0.2">
      <c r="B186" s="7">
        <f t="shared" si="5"/>
        <v>179</v>
      </c>
      <c r="C186" s="7"/>
      <c r="D186" s="7" t="str">
        <f>IF(LEN($C186),_xll.ciqfunctions.udf.CIQ($C186,"IQ_KEY_DEV_HEADLINE"),"")</f>
        <v/>
      </c>
      <c r="E186" s="7" t="str">
        <f>IF(LEN($C186)&gt;0,_xll.ciqfunctions.udf.CIQ($C186,"IQ_KEY_DEV_TYPE"),"")</f>
        <v/>
      </c>
      <c r="F186" s="7" t="str">
        <f>IF(LEN($C186)&gt;0,_xll.ciqfunctions.udf.CIQ($C186,"IQ_KEY_DEV_SITUATION"),"")</f>
        <v/>
      </c>
      <c r="G186" s="19" t="str">
        <f t="shared" si="4"/>
        <v/>
      </c>
      <c r="H186" s="19" t="str">
        <f>+IF(LEN($C186)&gt;0,TEXT(IF(_xll.ciqfunctions.udf.CIQ($C186,"IQ_KEY_DEV_TIME")="NA","",_xll.ciqfunctions.udf.CIQ($C186,"IQ_KEY_DEV_TIME")),"h:mm AM/PM"),"")</f>
        <v/>
      </c>
      <c r="I186" s="7" t="str">
        <f>IF(LEN($C186)&gt;0,_xll.ciqfunctions.udf.CIQ($C186,"IQ_KEY_DEV_SOURCE"),"")</f>
        <v/>
      </c>
    </row>
    <row r="187" spans="2:9" x14ac:dyDescent="0.2">
      <c r="B187" s="7">
        <f t="shared" si="5"/>
        <v>180</v>
      </c>
      <c r="C187" s="7"/>
      <c r="D187" s="7" t="str">
        <f>IF(LEN($C187),_xll.ciqfunctions.udf.CIQ($C187,"IQ_KEY_DEV_HEADLINE"),"")</f>
        <v/>
      </c>
      <c r="E187" s="7" t="str">
        <f>IF(LEN($C187)&gt;0,_xll.ciqfunctions.udf.CIQ($C187,"IQ_KEY_DEV_TYPE"),"")</f>
        <v/>
      </c>
      <c r="F187" s="7" t="str">
        <f>IF(LEN($C187)&gt;0,_xll.ciqfunctions.udf.CIQ($C187,"IQ_KEY_DEV_SITUATION"),"")</f>
        <v/>
      </c>
      <c r="G187" s="19" t="str">
        <f t="shared" si="4"/>
        <v/>
      </c>
      <c r="H187" s="19" t="str">
        <f>+IF(LEN($C187)&gt;0,TEXT(IF(_xll.ciqfunctions.udf.CIQ($C187,"IQ_KEY_DEV_TIME")="NA","",_xll.ciqfunctions.udf.CIQ($C187,"IQ_KEY_DEV_TIME")),"h:mm AM/PM"),"")</f>
        <v/>
      </c>
      <c r="I187" s="7" t="str">
        <f>IF(LEN($C187)&gt;0,_xll.ciqfunctions.udf.CIQ($C187,"IQ_KEY_DEV_SOURCE"),"")</f>
        <v/>
      </c>
    </row>
    <row r="188" spans="2:9" x14ac:dyDescent="0.2">
      <c r="B188" s="7">
        <f t="shared" si="5"/>
        <v>181</v>
      </c>
      <c r="C188" s="7"/>
      <c r="D188" s="7" t="str">
        <f>IF(LEN($C188),_xll.ciqfunctions.udf.CIQ($C188,"IQ_KEY_DEV_HEADLINE"),"")</f>
        <v/>
      </c>
      <c r="E188" s="7" t="str">
        <f>IF(LEN($C188)&gt;0,_xll.ciqfunctions.udf.CIQ($C188,"IQ_KEY_DEV_TYPE"),"")</f>
        <v/>
      </c>
      <c r="F188" s="7" t="str">
        <f>IF(LEN($C188)&gt;0,_xll.ciqfunctions.udf.CIQ($C188,"IQ_KEY_DEV_SITUATION"),"")</f>
        <v/>
      </c>
      <c r="G188" s="19" t="str">
        <f t="shared" si="4"/>
        <v/>
      </c>
      <c r="H188" s="19" t="str">
        <f>+IF(LEN($C188)&gt;0,TEXT(IF(_xll.ciqfunctions.udf.CIQ($C188,"IQ_KEY_DEV_TIME")="NA","",_xll.ciqfunctions.udf.CIQ($C188,"IQ_KEY_DEV_TIME")),"h:mm AM/PM"),"")</f>
        <v/>
      </c>
      <c r="I188" s="7" t="str">
        <f>IF(LEN($C188)&gt;0,_xll.ciqfunctions.udf.CIQ($C188,"IQ_KEY_DEV_SOURCE"),"")</f>
        <v/>
      </c>
    </row>
    <row r="189" spans="2:9" x14ac:dyDescent="0.2">
      <c r="B189" s="7">
        <f t="shared" si="5"/>
        <v>182</v>
      </c>
      <c r="C189" s="7"/>
      <c r="D189" s="7" t="str">
        <f>IF(LEN($C189),_xll.ciqfunctions.udf.CIQ($C189,"IQ_KEY_DEV_HEADLINE"),"")</f>
        <v/>
      </c>
      <c r="E189" s="7" t="str">
        <f>IF(LEN($C189)&gt;0,_xll.ciqfunctions.udf.CIQ($C189,"IQ_KEY_DEV_TYPE"),"")</f>
        <v/>
      </c>
      <c r="F189" s="7" t="str">
        <f>IF(LEN($C189)&gt;0,_xll.ciqfunctions.udf.CIQ($C189,"IQ_KEY_DEV_SITUATION"),"")</f>
        <v/>
      </c>
      <c r="G189" s="19" t="str">
        <f t="shared" si="4"/>
        <v/>
      </c>
      <c r="H189" s="19" t="str">
        <f>+IF(LEN($C189)&gt;0,TEXT(IF(_xll.ciqfunctions.udf.CIQ($C189,"IQ_KEY_DEV_TIME")="NA","",_xll.ciqfunctions.udf.CIQ($C189,"IQ_KEY_DEV_TIME")),"h:mm AM/PM"),"")</f>
        <v/>
      </c>
      <c r="I189" s="7" t="str">
        <f>IF(LEN($C189)&gt;0,_xll.ciqfunctions.udf.CIQ($C189,"IQ_KEY_DEV_SOURCE"),"")</f>
        <v/>
      </c>
    </row>
    <row r="190" spans="2:9" x14ac:dyDescent="0.2">
      <c r="B190" s="7">
        <f t="shared" si="5"/>
        <v>183</v>
      </c>
      <c r="C190" s="7"/>
      <c r="D190" s="7" t="str">
        <f>IF(LEN($C190),_xll.ciqfunctions.udf.CIQ($C190,"IQ_KEY_DEV_HEADLINE"),"")</f>
        <v/>
      </c>
      <c r="E190" s="7" t="str">
        <f>IF(LEN($C190)&gt;0,_xll.ciqfunctions.udf.CIQ($C190,"IQ_KEY_DEV_TYPE"),"")</f>
        <v/>
      </c>
      <c r="F190" s="7" t="str">
        <f>IF(LEN($C190)&gt;0,_xll.ciqfunctions.udf.CIQ($C190,"IQ_KEY_DEV_SITUATION"),"")</f>
        <v/>
      </c>
      <c r="G190" s="19" t="str">
        <f t="shared" si="4"/>
        <v/>
      </c>
      <c r="H190" s="19" t="str">
        <f>+IF(LEN($C190)&gt;0,TEXT(IF(_xll.ciqfunctions.udf.CIQ($C190,"IQ_KEY_DEV_TIME")="NA","",_xll.ciqfunctions.udf.CIQ($C190,"IQ_KEY_DEV_TIME")),"h:mm AM/PM"),"")</f>
        <v/>
      </c>
      <c r="I190" s="7" t="str">
        <f>IF(LEN($C190)&gt;0,_xll.ciqfunctions.udf.CIQ($C190,"IQ_KEY_DEV_SOURCE"),"")</f>
        <v/>
      </c>
    </row>
    <row r="191" spans="2:9" x14ac:dyDescent="0.2">
      <c r="B191" s="7">
        <f t="shared" si="5"/>
        <v>184</v>
      </c>
      <c r="C191" s="7"/>
      <c r="D191" s="7" t="str">
        <f>IF(LEN($C191),_xll.ciqfunctions.udf.CIQ($C191,"IQ_KEY_DEV_HEADLINE"),"")</f>
        <v/>
      </c>
      <c r="E191" s="7" t="str">
        <f>IF(LEN($C191)&gt;0,_xll.ciqfunctions.udf.CIQ($C191,"IQ_KEY_DEV_TYPE"),"")</f>
        <v/>
      </c>
      <c r="F191" s="7" t="str">
        <f>IF(LEN($C191)&gt;0,_xll.ciqfunctions.udf.CIQ($C191,"IQ_KEY_DEV_SITUATION"),"")</f>
        <v/>
      </c>
      <c r="G191" s="19" t="str">
        <f t="shared" si="4"/>
        <v/>
      </c>
      <c r="H191" s="19" t="str">
        <f>+IF(LEN($C191)&gt;0,TEXT(IF(_xll.ciqfunctions.udf.CIQ($C191,"IQ_KEY_DEV_TIME")="NA","",_xll.ciqfunctions.udf.CIQ($C191,"IQ_KEY_DEV_TIME")),"h:mm AM/PM"),"")</f>
        <v/>
      </c>
      <c r="I191" s="7" t="str">
        <f>IF(LEN($C191)&gt;0,_xll.ciqfunctions.udf.CIQ($C191,"IQ_KEY_DEV_SOURCE"),"")</f>
        <v/>
      </c>
    </row>
    <row r="192" spans="2:9" x14ac:dyDescent="0.2">
      <c r="B192" s="7">
        <f t="shared" si="5"/>
        <v>185</v>
      </c>
      <c r="C192" s="7"/>
      <c r="D192" s="7" t="str">
        <f>IF(LEN($C192),_xll.ciqfunctions.udf.CIQ($C192,"IQ_KEY_DEV_HEADLINE"),"")</f>
        <v/>
      </c>
      <c r="E192" s="7" t="str">
        <f>IF(LEN($C192)&gt;0,_xll.ciqfunctions.udf.CIQ($C192,"IQ_KEY_DEV_TYPE"),"")</f>
        <v/>
      </c>
      <c r="F192" s="7" t="str">
        <f>IF(LEN($C192)&gt;0,_xll.ciqfunctions.udf.CIQ($C192,"IQ_KEY_DEV_SITUATION"),"")</f>
        <v/>
      </c>
      <c r="G192" s="19" t="str">
        <f t="shared" si="4"/>
        <v/>
      </c>
      <c r="H192" s="19" t="str">
        <f>+IF(LEN($C192)&gt;0,TEXT(IF(_xll.ciqfunctions.udf.CIQ($C192,"IQ_KEY_DEV_TIME")="NA","",_xll.ciqfunctions.udf.CIQ($C192,"IQ_KEY_DEV_TIME")),"h:mm AM/PM"),"")</f>
        <v/>
      </c>
      <c r="I192" s="7" t="str">
        <f>IF(LEN($C192)&gt;0,_xll.ciqfunctions.udf.CIQ($C192,"IQ_KEY_DEV_SOURCE"),"")</f>
        <v/>
      </c>
    </row>
    <row r="193" spans="2:9" x14ac:dyDescent="0.2">
      <c r="B193" s="7">
        <f t="shared" si="5"/>
        <v>186</v>
      </c>
      <c r="C193" s="7"/>
      <c r="D193" s="7" t="str">
        <f>IF(LEN($C193),_xll.ciqfunctions.udf.CIQ($C193,"IQ_KEY_DEV_HEADLINE"),"")</f>
        <v/>
      </c>
      <c r="E193" s="7" t="str">
        <f>IF(LEN($C193)&gt;0,_xll.ciqfunctions.udf.CIQ($C193,"IQ_KEY_DEV_TYPE"),"")</f>
        <v/>
      </c>
      <c r="F193" s="7" t="str">
        <f>IF(LEN($C193)&gt;0,_xll.ciqfunctions.udf.CIQ($C193,"IQ_KEY_DEV_SITUATION"),"")</f>
        <v/>
      </c>
      <c r="G193" s="19" t="str">
        <f t="shared" si="4"/>
        <v/>
      </c>
      <c r="H193" s="19" t="str">
        <f>+IF(LEN($C193)&gt;0,TEXT(IF(_xll.ciqfunctions.udf.CIQ($C193,"IQ_KEY_DEV_TIME")="NA","",_xll.ciqfunctions.udf.CIQ($C193,"IQ_KEY_DEV_TIME")),"h:mm AM/PM"),"")</f>
        <v/>
      </c>
      <c r="I193" s="7" t="str">
        <f>IF(LEN($C193)&gt;0,_xll.ciqfunctions.udf.CIQ($C193,"IQ_KEY_DEV_SOURCE"),"")</f>
        <v/>
      </c>
    </row>
    <row r="194" spans="2:9" x14ac:dyDescent="0.2">
      <c r="B194" s="7">
        <f t="shared" si="5"/>
        <v>187</v>
      </c>
      <c r="C194" s="7"/>
      <c r="D194" s="7" t="str">
        <f>IF(LEN($C194),_xll.ciqfunctions.udf.CIQ($C194,"IQ_KEY_DEV_HEADLINE"),"")</f>
        <v/>
      </c>
      <c r="E194" s="7" t="str">
        <f>IF(LEN($C194)&gt;0,_xll.ciqfunctions.udf.CIQ($C194,"IQ_KEY_DEV_TYPE"),"")</f>
        <v/>
      </c>
      <c r="F194" s="7" t="str">
        <f>IF(LEN($C194)&gt;0,_xll.ciqfunctions.udf.CIQ($C194,"IQ_KEY_DEV_SITUATION"),"")</f>
        <v/>
      </c>
      <c r="G194" s="19" t="str">
        <f t="shared" si="4"/>
        <v/>
      </c>
      <c r="H194" s="19" t="str">
        <f>+IF(LEN($C194)&gt;0,TEXT(IF(_xll.ciqfunctions.udf.CIQ($C194,"IQ_KEY_DEV_TIME")="NA","",_xll.ciqfunctions.udf.CIQ($C194,"IQ_KEY_DEV_TIME")),"h:mm AM/PM"),"")</f>
        <v/>
      </c>
      <c r="I194" s="7" t="str">
        <f>IF(LEN($C194)&gt;0,_xll.ciqfunctions.udf.CIQ($C194,"IQ_KEY_DEV_SOURCE"),"")</f>
        <v/>
      </c>
    </row>
    <row r="195" spans="2:9" x14ac:dyDescent="0.2">
      <c r="B195" s="7">
        <f t="shared" si="5"/>
        <v>188</v>
      </c>
      <c r="C195" s="7"/>
      <c r="D195" s="7" t="str">
        <f>IF(LEN($C195),_xll.ciqfunctions.udf.CIQ($C195,"IQ_KEY_DEV_HEADLINE"),"")</f>
        <v/>
      </c>
      <c r="E195" s="7" t="str">
        <f>IF(LEN($C195)&gt;0,_xll.ciqfunctions.udf.CIQ($C195,"IQ_KEY_DEV_TYPE"),"")</f>
        <v/>
      </c>
      <c r="F195" s="7" t="str">
        <f>IF(LEN($C195)&gt;0,_xll.ciqfunctions.udf.CIQ($C195,"IQ_KEY_DEV_SITUATION"),"")</f>
        <v/>
      </c>
      <c r="G195" s="19" t="str">
        <f t="shared" si="4"/>
        <v/>
      </c>
      <c r="H195" s="19" t="str">
        <f>+IF(LEN($C195)&gt;0,TEXT(IF(_xll.ciqfunctions.udf.CIQ($C195,"IQ_KEY_DEV_TIME")="NA","",_xll.ciqfunctions.udf.CIQ($C195,"IQ_KEY_DEV_TIME")),"h:mm AM/PM"),"")</f>
        <v/>
      </c>
      <c r="I195" s="7" t="str">
        <f>IF(LEN($C195)&gt;0,_xll.ciqfunctions.udf.CIQ($C195,"IQ_KEY_DEV_SOURCE"),"")</f>
        <v/>
      </c>
    </row>
    <row r="196" spans="2:9" x14ac:dyDescent="0.2">
      <c r="B196" s="7">
        <f t="shared" si="5"/>
        <v>189</v>
      </c>
      <c r="C196" s="7"/>
      <c r="D196" s="7" t="str">
        <f>IF(LEN($C196),_xll.ciqfunctions.udf.CIQ($C196,"IQ_KEY_DEV_HEADLINE"),"")</f>
        <v/>
      </c>
      <c r="E196" s="7" t="str">
        <f>IF(LEN($C196)&gt;0,_xll.ciqfunctions.udf.CIQ($C196,"IQ_KEY_DEV_TYPE"),"")</f>
        <v/>
      </c>
      <c r="F196" s="7" t="str">
        <f>IF(LEN($C196)&gt;0,_xll.ciqfunctions.udf.CIQ($C196,"IQ_KEY_DEV_SITUATION"),"")</f>
        <v/>
      </c>
      <c r="G196" s="19" t="str">
        <f t="shared" si="4"/>
        <v/>
      </c>
      <c r="H196" s="19" t="str">
        <f>+IF(LEN($C196)&gt;0,TEXT(IF(_xll.ciqfunctions.udf.CIQ($C196,"IQ_KEY_DEV_TIME")="NA","",_xll.ciqfunctions.udf.CIQ($C196,"IQ_KEY_DEV_TIME")),"h:mm AM/PM"),"")</f>
        <v/>
      </c>
      <c r="I196" s="7" t="str">
        <f>IF(LEN($C196)&gt;0,_xll.ciqfunctions.udf.CIQ($C196,"IQ_KEY_DEV_SOURCE"),"")</f>
        <v/>
      </c>
    </row>
    <row r="197" spans="2:9" x14ac:dyDescent="0.2">
      <c r="B197" s="7">
        <f t="shared" si="5"/>
        <v>190</v>
      </c>
      <c r="C197" s="7"/>
      <c r="D197" s="7" t="str">
        <f>IF(LEN($C197),_xll.ciqfunctions.udf.CIQ($C197,"IQ_KEY_DEV_HEADLINE"),"")</f>
        <v/>
      </c>
      <c r="E197" s="7" t="str">
        <f>IF(LEN($C197)&gt;0,_xll.ciqfunctions.udf.CIQ($C197,"IQ_KEY_DEV_TYPE"),"")</f>
        <v/>
      </c>
      <c r="F197" s="7" t="str">
        <f>IF(LEN($C197)&gt;0,_xll.ciqfunctions.udf.CIQ($C197,"IQ_KEY_DEV_SITUATION"),"")</f>
        <v/>
      </c>
      <c r="G197" s="19" t="str">
        <f t="shared" si="4"/>
        <v/>
      </c>
      <c r="H197" s="19" t="str">
        <f>+IF(LEN($C197)&gt;0,TEXT(IF(_xll.ciqfunctions.udf.CIQ($C197,"IQ_KEY_DEV_TIME")="NA","",_xll.ciqfunctions.udf.CIQ($C197,"IQ_KEY_DEV_TIME")),"h:mm AM/PM"),"")</f>
        <v/>
      </c>
      <c r="I197" s="7" t="str">
        <f>IF(LEN($C197)&gt;0,_xll.ciqfunctions.udf.CIQ($C197,"IQ_KEY_DEV_SOURCE"),"")</f>
        <v/>
      </c>
    </row>
    <row r="198" spans="2:9" x14ac:dyDescent="0.2">
      <c r="B198" s="7">
        <f t="shared" si="5"/>
        <v>191</v>
      </c>
      <c r="C198" s="7"/>
      <c r="D198" s="7" t="str">
        <f>IF(LEN($C198),_xll.ciqfunctions.udf.CIQ($C198,"IQ_KEY_DEV_HEADLINE"),"")</f>
        <v/>
      </c>
      <c r="E198" s="7" t="str">
        <f>IF(LEN($C198)&gt;0,_xll.ciqfunctions.udf.CIQ($C198,"IQ_KEY_DEV_TYPE"),"")</f>
        <v/>
      </c>
      <c r="F198" s="7" t="str">
        <f>IF(LEN($C198)&gt;0,_xll.ciqfunctions.udf.CIQ($C198,"IQ_KEY_DEV_SITUATION"),"")</f>
        <v/>
      </c>
      <c r="G198" s="19" t="str">
        <f t="shared" si="4"/>
        <v/>
      </c>
      <c r="H198" s="19" t="str">
        <f>+IF(LEN($C198)&gt;0,TEXT(IF(_xll.ciqfunctions.udf.CIQ($C198,"IQ_KEY_DEV_TIME")="NA","",_xll.ciqfunctions.udf.CIQ($C198,"IQ_KEY_DEV_TIME")),"h:mm AM/PM"),"")</f>
        <v/>
      </c>
      <c r="I198" s="7" t="str">
        <f>IF(LEN($C198)&gt;0,_xll.ciqfunctions.udf.CIQ($C198,"IQ_KEY_DEV_SOURCE"),"")</f>
        <v/>
      </c>
    </row>
    <row r="199" spans="2:9" x14ac:dyDescent="0.2">
      <c r="B199" s="7">
        <f t="shared" si="5"/>
        <v>192</v>
      </c>
      <c r="C199" s="7"/>
      <c r="D199" s="7" t="str">
        <f>IF(LEN($C199),_xll.ciqfunctions.udf.CIQ($C199,"IQ_KEY_DEV_HEADLINE"),"")</f>
        <v/>
      </c>
      <c r="E199" s="7" t="str">
        <f>IF(LEN($C199)&gt;0,_xll.ciqfunctions.udf.CIQ($C199,"IQ_KEY_DEV_TYPE"),"")</f>
        <v/>
      </c>
      <c r="F199" s="7" t="str">
        <f>IF(LEN($C199)&gt;0,_xll.ciqfunctions.udf.CIQ($C199,"IQ_KEY_DEV_SITUATION"),"")</f>
        <v/>
      </c>
      <c r="G199" s="19" t="str">
        <f t="shared" si="4"/>
        <v/>
      </c>
      <c r="H199" s="19" t="str">
        <f>+IF(LEN($C199)&gt;0,TEXT(IF(_xll.ciqfunctions.udf.CIQ($C199,"IQ_KEY_DEV_TIME")="NA","",_xll.ciqfunctions.udf.CIQ($C199,"IQ_KEY_DEV_TIME")),"h:mm AM/PM"),"")</f>
        <v/>
      </c>
      <c r="I199" s="7" t="str">
        <f>IF(LEN($C199)&gt;0,_xll.ciqfunctions.udf.CIQ($C199,"IQ_KEY_DEV_SOURCE"),"")</f>
        <v/>
      </c>
    </row>
    <row r="200" spans="2:9" x14ac:dyDescent="0.2">
      <c r="B200" s="7">
        <f t="shared" si="5"/>
        <v>193</v>
      </c>
      <c r="C200" s="7"/>
      <c r="D200" s="7" t="str">
        <f>IF(LEN($C200),_xll.ciqfunctions.udf.CIQ($C200,"IQ_KEY_DEV_HEADLINE"),"")</f>
        <v/>
      </c>
      <c r="E200" s="7" t="str">
        <f>IF(LEN($C200)&gt;0,_xll.ciqfunctions.udf.CIQ($C200,"IQ_KEY_DEV_TYPE"),"")</f>
        <v/>
      </c>
      <c r="F200" s="7" t="str">
        <f>IF(LEN($C200)&gt;0,_xll.ciqfunctions.udf.CIQ($C200,"IQ_KEY_DEV_SITUATION"),"")</f>
        <v/>
      </c>
      <c r="G200" s="19" t="str">
        <f t="shared" ref="G200:G263" si="6">+IF(LEN($C200)&gt;0,TEXT(_xll.ciqfunctions.udf.CIQ($C200,"IQ_KEY_DEV_DATE"),"dd MMM yyyy"),"")</f>
        <v/>
      </c>
      <c r="H200" s="19" t="str">
        <f>+IF(LEN($C200)&gt;0,TEXT(IF(_xll.ciqfunctions.udf.CIQ($C200,"IQ_KEY_DEV_TIME")="NA","",_xll.ciqfunctions.udf.CIQ($C200,"IQ_KEY_DEV_TIME")),"h:mm AM/PM"),"")</f>
        <v/>
      </c>
      <c r="I200" s="7" t="str">
        <f>IF(LEN($C200)&gt;0,_xll.ciqfunctions.udf.CIQ($C200,"IQ_KEY_DEV_SOURCE"),"")</f>
        <v/>
      </c>
    </row>
    <row r="201" spans="2:9" x14ac:dyDescent="0.2">
      <c r="B201" s="7">
        <f t="shared" si="5"/>
        <v>194</v>
      </c>
      <c r="C201" s="7"/>
      <c r="D201" s="7" t="str">
        <f>IF(LEN($C201),_xll.ciqfunctions.udf.CIQ($C201,"IQ_KEY_DEV_HEADLINE"),"")</f>
        <v/>
      </c>
      <c r="E201" s="7" t="str">
        <f>IF(LEN($C201)&gt;0,_xll.ciqfunctions.udf.CIQ($C201,"IQ_KEY_DEV_TYPE"),"")</f>
        <v/>
      </c>
      <c r="F201" s="7" t="str">
        <f>IF(LEN($C201)&gt;0,_xll.ciqfunctions.udf.CIQ($C201,"IQ_KEY_DEV_SITUATION"),"")</f>
        <v/>
      </c>
      <c r="G201" s="19" t="str">
        <f t="shared" si="6"/>
        <v/>
      </c>
      <c r="H201" s="19" t="str">
        <f>+IF(LEN($C201)&gt;0,TEXT(IF(_xll.ciqfunctions.udf.CIQ($C201,"IQ_KEY_DEV_TIME")="NA","",_xll.ciqfunctions.udf.CIQ($C201,"IQ_KEY_DEV_TIME")),"h:mm AM/PM"),"")</f>
        <v/>
      </c>
      <c r="I201" s="7" t="str">
        <f>IF(LEN($C201)&gt;0,_xll.ciqfunctions.udf.CIQ($C201,"IQ_KEY_DEV_SOURCE"),"")</f>
        <v/>
      </c>
    </row>
    <row r="202" spans="2:9" x14ac:dyDescent="0.2">
      <c r="B202" s="7">
        <f t="shared" si="5"/>
        <v>195</v>
      </c>
      <c r="C202" s="7"/>
      <c r="D202" s="7" t="str">
        <f>IF(LEN($C202),_xll.ciqfunctions.udf.CIQ($C202,"IQ_KEY_DEV_HEADLINE"),"")</f>
        <v/>
      </c>
      <c r="E202" s="7" t="str">
        <f>IF(LEN($C202)&gt;0,_xll.ciqfunctions.udf.CIQ($C202,"IQ_KEY_DEV_TYPE"),"")</f>
        <v/>
      </c>
      <c r="F202" s="7" t="str">
        <f>IF(LEN($C202)&gt;0,_xll.ciqfunctions.udf.CIQ($C202,"IQ_KEY_DEV_SITUATION"),"")</f>
        <v/>
      </c>
      <c r="G202" s="19" t="str">
        <f t="shared" si="6"/>
        <v/>
      </c>
      <c r="H202" s="19" t="str">
        <f>+IF(LEN($C202)&gt;0,TEXT(IF(_xll.ciqfunctions.udf.CIQ($C202,"IQ_KEY_DEV_TIME")="NA","",_xll.ciqfunctions.udf.CIQ($C202,"IQ_KEY_DEV_TIME")),"h:mm AM/PM"),"")</f>
        <v/>
      </c>
      <c r="I202" s="7" t="str">
        <f>IF(LEN($C202)&gt;0,_xll.ciqfunctions.udf.CIQ($C202,"IQ_KEY_DEV_SOURCE"),"")</f>
        <v/>
      </c>
    </row>
    <row r="203" spans="2:9" x14ac:dyDescent="0.2">
      <c r="B203" s="7">
        <f t="shared" si="5"/>
        <v>196</v>
      </c>
      <c r="C203" s="7"/>
      <c r="D203" s="7" t="str">
        <f>IF(LEN($C203),_xll.ciqfunctions.udf.CIQ($C203,"IQ_KEY_DEV_HEADLINE"),"")</f>
        <v/>
      </c>
      <c r="E203" s="7" t="str">
        <f>IF(LEN($C203)&gt;0,_xll.ciqfunctions.udf.CIQ($C203,"IQ_KEY_DEV_TYPE"),"")</f>
        <v/>
      </c>
      <c r="F203" s="7" t="str">
        <f>IF(LEN($C203)&gt;0,_xll.ciqfunctions.udf.CIQ($C203,"IQ_KEY_DEV_SITUATION"),"")</f>
        <v/>
      </c>
      <c r="G203" s="19" t="str">
        <f t="shared" si="6"/>
        <v/>
      </c>
      <c r="H203" s="19" t="str">
        <f>+IF(LEN($C203)&gt;0,TEXT(IF(_xll.ciqfunctions.udf.CIQ($C203,"IQ_KEY_DEV_TIME")="NA","",_xll.ciqfunctions.udf.CIQ($C203,"IQ_KEY_DEV_TIME")),"h:mm AM/PM"),"")</f>
        <v/>
      </c>
      <c r="I203" s="7" t="str">
        <f>IF(LEN($C203)&gt;0,_xll.ciqfunctions.udf.CIQ($C203,"IQ_KEY_DEV_SOURCE"),"")</f>
        <v/>
      </c>
    </row>
    <row r="204" spans="2:9" x14ac:dyDescent="0.2">
      <c r="B204" s="7">
        <f t="shared" si="5"/>
        <v>197</v>
      </c>
      <c r="C204" s="7"/>
      <c r="D204" s="7" t="str">
        <f>IF(LEN($C204),_xll.ciqfunctions.udf.CIQ($C204,"IQ_KEY_DEV_HEADLINE"),"")</f>
        <v/>
      </c>
      <c r="E204" s="7" t="str">
        <f>IF(LEN($C204)&gt;0,_xll.ciqfunctions.udf.CIQ($C204,"IQ_KEY_DEV_TYPE"),"")</f>
        <v/>
      </c>
      <c r="F204" s="7" t="str">
        <f>IF(LEN($C204)&gt;0,_xll.ciqfunctions.udf.CIQ($C204,"IQ_KEY_DEV_SITUATION"),"")</f>
        <v/>
      </c>
      <c r="G204" s="19" t="str">
        <f t="shared" si="6"/>
        <v/>
      </c>
      <c r="H204" s="19" t="str">
        <f>+IF(LEN($C204)&gt;0,TEXT(IF(_xll.ciqfunctions.udf.CIQ($C204,"IQ_KEY_DEV_TIME")="NA","",_xll.ciqfunctions.udf.CIQ($C204,"IQ_KEY_DEV_TIME")),"h:mm AM/PM"),"")</f>
        <v/>
      </c>
      <c r="I204" s="7" t="str">
        <f>IF(LEN($C204)&gt;0,_xll.ciqfunctions.udf.CIQ($C204,"IQ_KEY_DEV_SOURCE"),"")</f>
        <v/>
      </c>
    </row>
    <row r="205" spans="2:9" x14ac:dyDescent="0.2">
      <c r="B205" s="7">
        <f t="shared" si="5"/>
        <v>198</v>
      </c>
      <c r="C205" s="7"/>
      <c r="D205" s="7" t="str">
        <f>IF(LEN($C205),_xll.ciqfunctions.udf.CIQ($C205,"IQ_KEY_DEV_HEADLINE"),"")</f>
        <v/>
      </c>
      <c r="E205" s="7" t="str">
        <f>IF(LEN($C205)&gt;0,_xll.ciqfunctions.udf.CIQ($C205,"IQ_KEY_DEV_TYPE"),"")</f>
        <v/>
      </c>
      <c r="F205" s="7" t="str">
        <f>IF(LEN($C205)&gt;0,_xll.ciqfunctions.udf.CIQ($C205,"IQ_KEY_DEV_SITUATION"),"")</f>
        <v/>
      </c>
      <c r="G205" s="19" t="str">
        <f t="shared" si="6"/>
        <v/>
      </c>
      <c r="H205" s="19" t="str">
        <f>+IF(LEN($C205)&gt;0,TEXT(IF(_xll.ciqfunctions.udf.CIQ($C205,"IQ_KEY_DEV_TIME")="NA","",_xll.ciqfunctions.udf.CIQ($C205,"IQ_KEY_DEV_TIME")),"h:mm AM/PM"),"")</f>
        <v/>
      </c>
      <c r="I205" s="7" t="str">
        <f>IF(LEN($C205)&gt;0,_xll.ciqfunctions.udf.CIQ($C205,"IQ_KEY_DEV_SOURCE"),"")</f>
        <v/>
      </c>
    </row>
    <row r="206" spans="2:9" x14ac:dyDescent="0.2">
      <c r="B206" s="7">
        <f t="shared" si="5"/>
        <v>199</v>
      </c>
      <c r="C206" s="7"/>
      <c r="D206" s="7" t="str">
        <f>IF(LEN($C206),_xll.ciqfunctions.udf.CIQ($C206,"IQ_KEY_DEV_HEADLINE"),"")</f>
        <v/>
      </c>
      <c r="E206" s="7" t="str">
        <f>IF(LEN($C206)&gt;0,_xll.ciqfunctions.udf.CIQ($C206,"IQ_KEY_DEV_TYPE"),"")</f>
        <v/>
      </c>
      <c r="F206" s="7" t="str">
        <f>IF(LEN($C206)&gt;0,_xll.ciqfunctions.udf.CIQ($C206,"IQ_KEY_DEV_SITUATION"),"")</f>
        <v/>
      </c>
      <c r="G206" s="19" t="str">
        <f t="shared" si="6"/>
        <v/>
      </c>
      <c r="H206" s="19" t="str">
        <f>+IF(LEN($C206)&gt;0,TEXT(IF(_xll.ciqfunctions.udf.CIQ($C206,"IQ_KEY_DEV_TIME")="NA","",_xll.ciqfunctions.udf.CIQ($C206,"IQ_KEY_DEV_TIME")),"h:mm AM/PM"),"")</f>
        <v/>
      </c>
      <c r="I206" s="7" t="str">
        <f>IF(LEN($C206)&gt;0,_xll.ciqfunctions.udf.CIQ($C206,"IQ_KEY_DEV_SOURCE"),"")</f>
        <v/>
      </c>
    </row>
    <row r="207" spans="2:9" x14ac:dyDescent="0.2">
      <c r="B207" s="7">
        <f t="shared" si="5"/>
        <v>200</v>
      </c>
      <c r="C207" s="7"/>
      <c r="D207" s="7" t="str">
        <f>IF(LEN($C207),_xll.ciqfunctions.udf.CIQ($C207,"IQ_KEY_DEV_HEADLINE"),"")</f>
        <v/>
      </c>
      <c r="E207" s="7" t="str">
        <f>IF(LEN($C207)&gt;0,_xll.ciqfunctions.udf.CIQ($C207,"IQ_KEY_DEV_TYPE"),"")</f>
        <v/>
      </c>
      <c r="F207" s="7" t="str">
        <f>IF(LEN($C207)&gt;0,_xll.ciqfunctions.udf.CIQ($C207,"IQ_KEY_DEV_SITUATION"),"")</f>
        <v/>
      </c>
      <c r="G207" s="19" t="str">
        <f t="shared" si="6"/>
        <v/>
      </c>
      <c r="H207" s="19" t="str">
        <f>+IF(LEN($C207)&gt;0,TEXT(IF(_xll.ciqfunctions.udf.CIQ($C207,"IQ_KEY_DEV_TIME")="NA","",_xll.ciqfunctions.udf.CIQ($C207,"IQ_KEY_DEV_TIME")),"h:mm AM/PM"),"")</f>
        <v/>
      </c>
      <c r="I207" s="7" t="str">
        <f>IF(LEN($C207)&gt;0,_xll.ciqfunctions.udf.CIQ($C207,"IQ_KEY_DEV_SOURCE"),"")</f>
        <v/>
      </c>
    </row>
    <row r="208" spans="2:9" x14ac:dyDescent="0.2">
      <c r="B208" s="7">
        <f t="shared" si="5"/>
        <v>201</v>
      </c>
      <c r="C208" s="7"/>
      <c r="D208" s="7" t="str">
        <f>IF(LEN($C208),_xll.ciqfunctions.udf.CIQ($C208,"IQ_KEY_DEV_HEADLINE"),"")</f>
        <v/>
      </c>
      <c r="E208" s="7" t="str">
        <f>IF(LEN($C208)&gt;0,_xll.ciqfunctions.udf.CIQ($C208,"IQ_KEY_DEV_TYPE"),"")</f>
        <v/>
      </c>
      <c r="F208" s="7" t="str">
        <f>IF(LEN($C208)&gt;0,_xll.ciqfunctions.udf.CIQ($C208,"IQ_KEY_DEV_SITUATION"),"")</f>
        <v/>
      </c>
      <c r="G208" s="19" t="str">
        <f t="shared" si="6"/>
        <v/>
      </c>
      <c r="H208" s="19" t="str">
        <f>+IF(LEN($C208)&gt;0,TEXT(IF(_xll.ciqfunctions.udf.CIQ($C208,"IQ_KEY_DEV_TIME")="NA","",_xll.ciqfunctions.udf.CIQ($C208,"IQ_KEY_DEV_TIME")),"h:mm AM/PM"),"")</f>
        <v/>
      </c>
      <c r="I208" s="7" t="str">
        <f>IF(LEN($C208)&gt;0,_xll.ciqfunctions.udf.CIQ($C208,"IQ_KEY_DEV_SOURCE"),"")</f>
        <v/>
      </c>
    </row>
    <row r="209" spans="2:9" x14ac:dyDescent="0.2">
      <c r="B209" s="7">
        <f t="shared" si="5"/>
        <v>202</v>
      </c>
      <c r="C209" s="7"/>
      <c r="D209" s="7" t="str">
        <f>IF(LEN($C209),_xll.ciqfunctions.udf.CIQ($C209,"IQ_KEY_DEV_HEADLINE"),"")</f>
        <v/>
      </c>
      <c r="E209" s="7" t="str">
        <f>IF(LEN($C209)&gt;0,_xll.ciqfunctions.udf.CIQ($C209,"IQ_KEY_DEV_TYPE"),"")</f>
        <v/>
      </c>
      <c r="F209" s="7" t="str">
        <f>IF(LEN($C209)&gt;0,_xll.ciqfunctions.udf.CIQ($C209,"IQ_KEY_DEV_SITUATION"),"")</f>
        <v/>
      </c>
      <c r="G209" s="19" t="str">
        <f t="shared" si="6"/>
        <v/>
      </c>
      <c r="H209" s="19" t="str">
        <f>+IF(LEN($C209)&gt;0,TEXT(IF(_xll.ciqfunctions.udf.CIQ($C209,"IQ_KEY_DEV_TIME")="NA","",_xll.ciqfunctions.udf.CIQ($C209,"IQ_KEY_DEV_TIME")),"h:mm AM/PM"),"")</f>
        <v/>
      </c>
      <c r="I209" s="7" t="str">
        <f>IF(LEN($C209)&gt;0,_xll.ciqfunctions.udf.CIQ($C209,"IQ_KEY_DEV_SOURCE"),"")</f>
        <v/>
      </c>
    </row>
    <row r="210" spans="2:9" x14ac:dyDescent="0.2">
      <c r="B210" s="7">
        <f t="shared" si="5"/>
        <v>203</v>
      </c>
      <c r="C210" s="7"/>
      <c r="D210" s="7" t="str">
        <f>IF(LEN($C210),_xll.ciqfunctions.udf.CIQ($C210,"IQ_KEY_DEV_HEADLINE"),"")</f>
        <v/>
      </c>
      <c r="E210" s="7" t="str">
        <f>IF(LEN($C210)&gt;0,_xll.ciqfunctions.udf.CIQ($C210,"IQ_KEY_DEV_TYPE"),"")</f>
        <v/>
      </c>
      <c r="F210" s="7" t="str">
        <f>IF(LEN($C210)&gt;0,_xll.ciqfunctions.udf.CIQ($C210,"IQ_KEY_DEV_SITUATION"),"")</f>
        <v/>
      </c>
      <c r="G210" s="19" t="str">
        <f t="shared" si="6"/>
        <v/>
      </c>
      <c r="H210" s="19" t="str">
        <f>+IF(LEN($C210)&gt;0,TEXT(IF(_xll.ciqfunctions.udf.CIQ($C210,"IQ_KEY_DEV_TIME")="NA","",_xll.ciqfunctions.udf.CIQ($C210,"IQ_KEY_DEV_TIME")),"h:mm AM/PM"),"")</f>
        <v/>
      </c>
      <c r="I210" s="7" t="str">
        <f>IF(LEN($C210)&gt;0,_xll.ciqfunctions.udf.CIQ($C210,"IQ_KEY_DEV_SOURCE"),"")</f>
        <v/>
      </c>
    </row>
    <row r="211" spans="2:9" x14ac:dyDescent="0.2">
      <c r="B211" s="7">
        <f t="shared" si="5"/>
        <v>204</v>
      </c>
      <c r="C211" s="7"/>
      <c r="D211" s="7" t="str">
        <f>IF(LEN($C211),_xll.ciqfunctions.udf.CIQ($C211,"IQ_KEY_DEV_HEADLINE"),"")</f>
        <v/>
      </c>
      <c r="E211" s="7" t="str">
        <f>IF(LEN($C211)&gt;0,_xll.ciqfunctions.udf.CIQ($C211,"IQ_KEY_DEV_TYPE"),"")</f>
        <v/>
      </c>
      <c r="F211" s="7" t="str">
        <f>IF(LEN($C211)&gt;0,_xll.ciqfunctions.udf.CIQ($C211,"IQ_KEY_DEV_SITUATION"),"")</f>
        <v/>
      </c>
      <c r="G211" s="19" t="str">
        <f t="shared" si="6"/>
        <v/>
      </c>
      <c r="H211" s="19" t="str">
        <f>+IF(LEN($C211)&gt;0,TEXT(IF(_xll.ciqfunctions.udf.CIQ($C211,"IQ_KEY_DEV_TIME")="NA","",_xll.ciqfunctions.udf.CIQ($C211,"IQ_KEY_DEV_TIME")),"h:mm AM/PM"),"")</f>
        <v/>
      </c>
      <c r="I211" s="7" t="str">
        <f>IF(LEN($C211)&gt;0,_xll.ciqfunctions.udf.CIQ($C211,"IQ_KEY_DEV_SOURCE"),"")</f>
        <v/>
      </c>
    </row>
    <row r="212" spans="2:9" x14ac:dyDescent="0.2">
      <c r="B212" s="7">
        <f t="shared" ref="B212:B275" si="7">+B211+1</f>
        <v>205</v>
      </c>
      <c r="C212" s="7"/>
      <c r="D212" s="7" t="str">
        <f>IF(LEN($C212),_xll.ciqfunctions.udf.CIQ($C212,"IQ_KEY_DEV_HEADLINE"),"")</f>
        <v/>
      </c>
      <c r="E212" s="7" t="str">
        <f>IF(LEN($C212)&gt;0,_xll.ciqfunctions.udf.CIQ($C212,"IQ_KEY_DEV_TYPE"),"")</f>
        <v/>
      </c>
      <c r="F212" s="7" t="str">
        <f>IF(LEN($C212)&gt;0,_xll.ciqfunctions.udf.CIQ($C212,"IQ_KEY_DEV_SITUATION"),"")</f>
        <v/>
      </c>
      <c r="G212" s="19" t="str">
        <f t="shared" si="6"/>
        <v/>
      </c>
      <c r="H212" s="19" t="str">
        <f>+IF(LEN($C212)&gt;0,TEXT(IF(_xll.ciqfunctions.udf.CIQ($C212,"IQ_KEY_DEV_TIME")="NA","",_xll.ciqfunctions.udf.CIQ($C212,"IQ_KEY_DEV_TIME")),"h:mm AM/PM"),"")</f>
        <v/>
      </c>
      <c r="I212" s="7" t="str">
        <f>IF(LEN($C212)&gt;0,_xll.ciqfunctions.udf.CIQ($C212,"IQ_KEY_DEV_SOURCE"),"")</f>
        <v/>
      </c>
    </row>
    <row r="213" spans="2:9" x14ac:dyDescent="0.2">
      <c r="B213" s="7">
        <f t="shared" si="7"/>
        <v>206</v>
      </c>
      <c r="C213" s="7"/>
      <c r="D213" s="7" t="str">
        <f>IF(LEN($C213),_xll.ciqfunctions.udf.CIQ($C213,"IQ_KEY_DEV_HEADLINE"),"")</f>
        <v/>
      </c>
      <c r="E213" s="7" t="str">
        <f>IF(LEN($C213)&gt;0,_xll.ciqfunctions.udf.CIQ($C213,"IQ_KEY_DEV_TYPE"),"")</f>
        <v/>
      </c>
      <c r="F213" s="7" t="str">
        <f>IF(LEN($C213)&gt;0,_xll.ciqfunctions.udf.CIQ($C213,"IQ_KEY_DEV_SITUATION"),"")</f>
        <v/>
      </c>
      <c r="G213" s="19" t="str">
        <f t="shared" si="6"/>
        <v/>
      </c>
      <c r="H213" s="19" t="str">
        <f>+IF(LEN($C213)&gt;0,TEXT(IF(_xll.ciqfunctions.udf.CIQ($C213,"IQ_KEY_DEV_TIME")="NA","",_xll.ciqfunctions.udf.CIQ($C213,"IQ_KEY_DEV_TIME")),"h:mm AM/PM"),"")</f>
        <v/>
      </c>
      <c r="I213" s="7" t="str">
        <f>IF(LEN($C213)&gt;0,_xll.ciqfunctions.udf.CIQ($C213,"IQ_KEY_DEV_SOURCE"),"")</f>
        <v/>
      </c>
    </row>
    <row r="214" spans="2:9" x14ac:dyDescent="0.2">
      <c r="B214" s="7">
        <f t="shared" si="7"/>
        <v>207</v>
      </c>
      <c r="C214" s="7"/>
      <c r="D214" s="7" t="str">
        <f>IF(LEN($C214),_xll.ciqfunctions.udf.CIQ($C214,"IQ_KEY_DEV_HEADLINE"),"")</f>
        <v/>
      </c>
      <c r="E214" s="7" t="str">
        <f>IF(LEN($C214)&gt;0,_xll.ciqfunctions.udf.CIQ($C214,"IQ_KEY_DEV_TYPE"),"")</f>
        <v/>
      </c>
      <c r="F214" s="7" t="str">
        <f>IF(LEN($C214)&gt;0,_xll.ciqfunctions.udf.CIQ($C214,"IQ_KEY_DEV_SITUATION"),"")</f>
        <v/>
      </c>
      <c r="G214" s="19" t="str">
        <f t="shared" si="6"/>
        <v/>
      </c>
      <c r="H214" s="19" t="str">
        <f>+IF(LEN($C214)&gt;0,TEXT(IF(_xll.ciqfunctions.udf.CIQ($C214,"IQ_KEY_DEV_TIME")="NA","",_xll.ciqfunctions.udf.CIQ($C214,"IQ_KEY_DEV_TIME")),"h:mm AM/PM"),"")</f>
        <v/>
      </c>
      <c r="I214" s="7" t="str">
        <f>IF(LEN($C214)&gt;0,_xll.ciqfunctions.udf.CIQ($C214,"IQ_KEY_DEV_SOURCE"),"")</f>
        <v/>
      </c>
    </row>
    <row r="215" spans="2:9" x14ac:dyDescent="0.2">
      <c r="B215" s="7">
        <f t="shared" si="7"/>
        <v>208</v>
      </c>
      <c r="C215" s="7"/>
      <c r="D215" s="7" t="str">
        <f>IF(LEN($C215),_xll.ciqfunctions.udf.CIQ($C215,"IQ_KEY_DEV_HEADLINE"),"")</f>
        <v/>
      </c>
      <c r="E215" s="7" t="str">
        <f>IF(LEN($C215)&gt;0,_xll.ciqfunctions.udf.CIQ($C215,"IQ_KEY_DEV_TYPE"),"")</f>
        <v/>
      </c>
      <c r="F215" s="7" t="str">
        <f>IF(LEN($C215)&gt;0,_xll.ciqfunctions.udf.CIQ($C215,"IQ_KEY_DEV_SITUATION"),"")</f>
        <v/>
      </c>
      <c r="G215" s="19" t="str">
        <f t="shared" si="6"/>
        <v/>
      </c>
      <c r="H215" s="19" t="str">
        <f>+IF(LEN($C215)&gt;0,TEXT(IF(_xll.ciqfunctions.udf.CIQ($C215,"IQ_KEY_DEV_TIME")="NA","",_xll.ciqfunctions.udf.CIQ($C215,"IQ_KEY_DEV_TIME")),"h:mm AM/PM"),"")</f>
        <v/>
      </c>
      <c r="I215" s="7" t="str">
        <f>IF(LEN($C215)&gt;0,_xll.ciqfunctions.udf.CIQ($C215,"IQ_KEY_DEV_SOURCE"),"")</f>
        <v/>
      </c>
    </row>
    <row r="216" spans="2:9" x14ac:dyDescent="0.2">
      <c r="B216" s="7">
        <f t="shared" si="7"/>
        <v>209</v>
      </c>
      <c r="C216" s="7"/>
      <c r="D216" s="7" t="str">
        <f>IF(LEN($C216),_xll.ciqfunctions.udf.CIQ($C216,"IQ_KEY_DEV_HEADLINE"),"")</f>
        <v/>
      </c>
      <c r="E216" s="7" t="str">
        <f>IF(LEN($C216)&gt;0,_xll.ciqfunctions.udf.CIQ($C216,"IQ_KEY_DEV_TYPE"),"")</f>
        <v/>
      </c>
      <c r="F216" s="7" t="str">
        <f>IF(LEN($C216)&gt;0,_xll.ciqfunctions.udf.CIQ($C216,"IQ_KEY_DEV_SITUATION"),"")</f>
        <v/>
      </c>
      <c r="G216" s="19" t="str">
        <f t="shared" si="6"/>
        <v/>
      </c>
      <c r="H216" s="19" t="str">
        <f>+IF(LEN($C216)&gt;0,TEXT(IF(_xll.ciqfunctions.udf.CIQ($C216,"IQ_KEY_DEV_TIME")="NA","",_xll.ciqfunctions.udf.CIQ($C216,"IQ_KEY_DEV_TIME")),"h:mm AM/PM"),"")</f>
        <v/>
      </c>
      <c r="I216" s="7" t="str">
        <f>IF(LEN($C216)&gt;0,_xll.ciqfunctions.udf.CIQ($C216,"IQ_KEY_DEV_SOURCE"),"")</f>
        <v/>
      </c>
    </row>
    <row r="217" spans="2:9" x14ac:dyDescent="0.2">
      <c r="B217" s="7">
        <f t="shared" si="7"/>
        <v>210</v>
      </c>
      <c r="C217" s="7"/>
      <c r="D217" s="7" t="str">
        <f>IF(LEN($C217),_xll.ciqfunctions.udf.CIQ($C217,"IQ_KEY_DEV_HEADLINE"),"")</f>
        <v/>
      </c>
      <c r="E217" s="7" t="str">
        <f>IF(LEN($C217)&gt;0,_xll.ciqfunctions.udf.CIQ($C217,"IQ_KEY_DEV_TYPE"),"")</f>
        <v/>
      </c>
      <c r="F217" s="7" t="str">
        <f>IF(LEN($C217)&gt;0,_xll.ciqfunctions.udf.CIQ($C217,"IQ_KEY_DEV_SITUATION"),"")</f>
        <v/>
      </c>
      <c r="G217" s="19" t="str">
        <f t="shared" si="6"/>
        <v/>
      </c>
      <c r="H217" s="19" t="str">
        <f>+IF(LEN($C217)&gt;0,TEXT(IF(_xll.ciqfunctions.udf.CIQ($C217,"IQ_KEY_DEV_TIME")="NA","",_xll.ciqfunctions.udf.CIQ($C217,"IQ_KEY_DEV_TIME")),"h:mm AM/PM"),"")</f>
        <v/>
      </c>
      <c r="I217" s="7" t="str">
        <f>IF(LEN($C217)&gt;0,_xll.ciqfunctions.udf.CIQ($C217,"IQ_KEY_DEV_SOURCE"),"")</f>
        <v/>
      </c>
    </row>
    <row r="218" spans="2:9" x14ac:dyDescent="0.2">
      <c r="B218" s="7">
        <f t="shared" si="7"/>
        <v>211</v>
      </c>
      <c r="C218" s="7"/>
      <c r="D218" s="7" t="str">
        <f>IF(LEN($C218),_xll.ciqfunctions.udf.CIQ($C218,"IQ_KEY_DEV_HEADLINE"),"")</f>
        <v/>
      </c>
      <c r="E218" s="7" t="str">
        <f>IF(LEN($C218)&gt;0,_xll.ciqfunctions.udf.CIQ($C218,"IQ_KEY_DEV_TYPE"),"")</f>
        <v/>
      </c>
      <c r="F218" s="7" t="str">
        <f>IF(LEN($C218)&gt;0,_xll.ciqfunctions.udf.CIQ($C218,"IQ_KEY_DEV_SITUATION"),"")</f>
        <v/>
      </c>
      <c r="G218" s="19" t="str">
        <f t="shared" si="6"/>
        <v/>
      </c>
      <c r="H218" s="19" t="str">
        <f>+IF(LEN($C218)&gt;0,TEXT(IF(_xll.ciqfunctions.udf.CIQ($C218,"IQ_KEY_DEV_TIME")="NA","",_xll.ciqfunctions.udf.CIQ($C218,"IQ_KEY_DEV_TIME")),"h:mm AM/PM"),"")</f>
        <v/>
      </c>
      <c r="I218" s="7" t="str">
        <f>IF(LEN($C218)&gt;0,_xll.ciqfunctions.udf.CIQ($C218,"IQ_KEY_DEV_SOURCE"),"")</f>
        <v/>
      </c>
    </row>
    <row r="219" spans="2:9" x14ac:dyDescent="0.2">
      <c r="B219" s="7">
        <f t="shared" si="7"/>
        <v>212</v>
      </c>
      <c r="C219" s="7"/>
      <c r="D219" s="7" t="str">
        <f>IF(LEN($C219),_xll.ciqfunctions.udf.CIQ($C219,"IQ_KEY_DEV_HEADLINE"),"")</f>
        <v/>
      </c>
      <c r="E219" s="7" t="str">
        <f>IF(LEN($C219)&gt;0,_xll.ciqfunctions.udf.CIQ($C219,"IQ_KEY_DEV_TYPE"),"")</f>
        <v/>
      </c>
      <c r="F219" s="7" t="str">
        <f>IF(LEN($C219)&gt;0,_xll.ciqfunctions.udf.CIQ($C219,"IQ_KEY_DEV_SITUATION"),"")</f>
        <v/>
      </c>
      <c r="G219" s="19" t="str">
        <f t="shared" si="6"/>
        <v/>
      </c>
      <c r="H219" s="19" t="str">
        <f>+IF(LEN($C219)&gt;0,TEXT(IF(_xll.ciqfunctions.udf.CIQ($C219,"IQ_KEY_DEV_TIME")="NA","",_xll.ciqfunctions.udf.CIQ($C219,"IQ_KEY_DEV_TIME")),"h:mm AM/PM"),"")</f>
        <v/>
      </c>
      <c r="I219" s="7" t="str">
        <f>IF(LEN($C219)&gt;0,_xll.ciqfunctions.udf.CIQ($C219,"IQ_KEY_DEV_SOURCE"),"")</f>
        <v/>
      </c>
    </row>
    <row r="220" spans="2:9" x14ac:dyDescent="0.2">
      <c r="B220" s="7">
        <f t="shared" si="7"/>
        <v>213</v>
      </c>
      <c r="C220" s="7"/>
      <c r="D220" s="7" t="str">
        <f>IF(LEN($C220),_xll.ciqfunctions.udf.CIQ($C220,"IQ_KEY_DEV_HEADLINE"),"")</f>
        <v/>
      </c>
      <c r="E220" s="7" t="str">
        <f>IF(LEN($C220)&gt;0,_xll.ciqfunctions.udf.CIQ($C220,"IQ_KEY_DEV_TYPE"),"")</f>
        <v/>
      </c>
      <c r="F220" s="7" t="str">
        <f>IF(LEN($C220)&gt;0,_xll.ciqfunctions.udf.CIQ($C220,"IQ_KEY_DEV_SITUATION"),"")</f>
        <v/>
      </c>
      <c r="G220" s="19" t="str">
        <f t="shared" si="6"/>
        <v/>
      </c>
      <c r="H220" s="19" t="str">
        <f>+IF(LEN($C220)&gt;0,TEXT(IF(_xll.ciqfunctions.udf.CIQ($C220,"IQ_KEY_DEV_TIME")="NA","",_xll.ciqfunctions.udf.CIQ($C220,"IQ_KEY_DEV_TIME")),"h:mm AM/PM"),"")</f>
        <v/>
      </c>
      <c r="I220" s="7" t="str">
        <f>IF(LEN($C220)&gt;0,_xll.ciqfunctions.udf.CIQ($C220,"IQ_KEY_DEV_SOURCE"),"")</f>
        <v/>
      </c>
    </row>
    <row r="221" spans="2:9" x14ac:dyDescent="0.2">
      <c r="B221" s="7">
        <f t="shared" si="7"/>
        <v>214</v>
      </c>
      <c r="C221" s="7"/>
      <c r="D221" s="7" t="str">
        <f>IF(LEN($C221),_xll.ciqfunctions.udf.CIQ($C221,"IQ_KEY_DEV_HEADLINE"),"")</f>
        <v/>
      </c>
      <c r="E221" s="7" t="str">
        <f>IF(LEN($C221)&gt;0,_xll.ciqfunctions.udf.CIQ($C221,"IQ_KEY_DEV_TYPE"),"")</f>
        <v/>
      </c>
      <c r="F221" s="7" t="str">
        <f>IF(LEN($C221)&gt;0,_xll.ciqfunctions.udf.CIQ($C221,"IQ_KEY_DEV_SITUATION"),"")</f>
        <v/>
      </c>
      <c r="G221" s="19" t="str">
        <f t="shared" si="6"/>
        <v/>
      </c>
      <c r="H221" s="19" t="str">
        <f>+IF(LEN($C221)&gt;0,TEXT(IF(_xll.ciqfunctions.udf.CIQ($C221,"IQ_KEY_DEV_TIME")="NA","",_xll.ciqfunctions.udf.CIQ($C221,"IQ_KEY_DEV_TIME")),"h:mm AM/PM"),"")</f>
        <v/>
      </c>
      <c r="I221" s="7" t="str">
        <f>IF(LEN($C221)&gt;0,_xll.ciqfunctions.udf.CIQ($C221,"IQ_KEY_DEV_SOURCE"),"")</f>
        <v/>
      </c>
    </row>
    <row r="222" spans="2:9" x14ac:dyDescent="0.2">
      <c r="B222" s="7">
        <f t="shared" si="7"/>
        <v>215</v>
      </c>
      <c r="C222" s="7"/>
      <c r="D222" s="7" t="str">
        <f>IF(LEN($C222),_xll.ciqfunctions.udf.CIQ($C222,"IQ_KEY_DEV_HEADLINE"),"")</f>
        <v/>
      </c>
      <c r="E222" s="7" t="str">
        <f>IF(LEN($C222)&gt;0,_xll.ciqfunctions.udf.CIQ($C222,"IQ_KEY_DEV_TYPE"),"")</f>
        <v/>
      </c>
      <c r="F222" s="7" t="str">
        <f>IF(LEN($C222)&gt;0,_xll.ciqfunctions.udf.CIQ($C222,"IQ_KEY_DEV_SITUATION"),"")</f>
        <v/>
      </c>
      <c r="G222" s="19" t="str">
        <f t="shared" si="6"/>
        <v/>
      </c>
      <c r="H222" s="19" t="str">
        <f>+IF(LEN($C222)&gt;0,TEXT(IF(_xll.ciqfunctions.udf.CIQ($C222,"IQ_KEY_DEV_TIME")="NA","",_xll.ciqfunctions.udf.CIQ($C222,"IQ_KEY_DEV_TIME")),"h:mm AM/PM"),"")</f>
        <v/>
      </c>
      <c r="I222" s="7" t="str">
        <f>IF(LEN($C222)&gt;0,_xll.ciqfunctions.udf.CIQ($C222,"IQ_KEY_DEV_SOURCE"),"")</f>
        <v/>
      </c>
    </row>
    <row r="223" spans="2:9" x14ac:dyDescent="0.2">
      <c r="B223" s="7">
        <f t="shared" si="7"/>
        <v>216</v>
      </c>
      <c r="C223" s="7"/>
      <c r="D223" s="7" t="str">
        <f>IF(LEN($C223),_xll.ciqfunctions.udf.CIQ($C223,"IQ_KEY_DEV_HEADLINE"),"")</f>
        <v/>
      </c>
      <c r="E223" s="7" t="str">
        <f>IF(LEN($C223)&gt;0,_xll.ciqfunctions.udf.CIQ($C223,"IQ_KEY_DEV_TYPE"),"")</f>
        <v/>
      </c>
      <c r="F223" s="7" t="str">
        <f>IF(LEN($C223)&gt;0,_xll.ciqfunctions.udf.CIQ($C223,"IQ_KEY_DEV_SITUATION"),"")</f>
        <v/>
      </c>
      <c r="G223" s="19" t="str">
        <f t="shared" si="6"/>
        <v/>
      </c>
      <c r="H223" s="19" t="str">
        <f>+IF(LEN($C223)&gt;0,TEXT(IF(_xll.ciqfunctions.udf.CIQ($C223,"IQ_KEY_DEV_TIME")="NA","",_xll.ciqfunctions.udf.CIQ($C223,"IQ_KEY_DEV_TIME")),"h:mm AM/PM"),"")</f>
        <v/>
      </c>
      <c r="I223" s="7" t="str">
        <f>IF(LEN($C223)&gt;0,_xll.ciqfunctions.udf.CIQ($C223,"IQ_KEY_DEV_SOURCE"),"")</f>
        <v/>
      </c>
    </row>
    <row r="224" spans="2:9" x14ac:dyDescent="0.2">
      <c r="B224" s="7">
        <f t="shared" si="7"/>
        <v>217</v>
      </c>
      <c r="C224" s="7"/>
      <c r="D224" s="7" t="str">
        <f>IF(LEN($C224),_xll.ciqfunctions.udf.CIQ($C224,"IQ_KEY_DEV_HEADLINE"),"")</f>
        <v/>
      </c>
      <c r="E224" s="7" t="str">
        <f>IF(LEN($C224)&gt;0,_xll.ciqfunctions.udf.CIQ($C224,"IQ_KEY_DEV_TYPE"),"")</f>
        <v/>
      </c>
      <c r="F224" s="7" t="str">
        <f>IF(LEN($C224)&gt;0,_xll.ciqfunctions.udf.CIQ($C224,"IQ_KEY_DEV_SITUATION"),"")</f>
        <v/>
      </c>
      <c r="G224" s="19" t="str">
        <f t="shared" si="6"/>
        <v/>
      </c>
      <c r="H224" s="19" t="str">
        <f>+IF(LEN($C224)&gt;0,TEXT(IF(_xll.ciqfunctions.udf.CIQ($C224,"IQ_KEY_DEV_TIME")="NA","",_xll.ciqfunctions.udf.CIQ($C224,"IQ_KEY_DEV_TIME")),"h:mm AM/PM"),"")</f>
        <v/>
      </c>
      <c r="I224" s="7" t="str">
        <f>IF(LEN($C224)&gt;0,_xll.ciqfunctions.udf.CIQ($C224,"IQ_KEY_DEV_SOURCE"),"")</f>
        <v/>
      </c>
    </row>
    <row r="225" spans="2:9" x14ac:dyDescent="0.2">
      <c r="B225" s="7">
        <f t="shared" si="7"/>
        <v>218</v>
      </c>
      <c r="C225" s="7"/>
      <c r="D225" s="7" t="str">
        <f>IF(LEN($C225),_xll.ciqfunctions.udf.CIQ($C225,"IQ_KEY_DEV_HEADLINE"),"")</f>
        <v/>
      </c>
      <c r="E225" s="7" t="str">
        <f>IF(LEN($C225)&gt;0,_xll.ciqfunctions.udf.CIQ($C225,"IQ_KEY_DEV_TYPE"),"")</f>
        <v/>
      </c>
      <c r="F225" s="7" t="str">
        <f>IF(LEN($C225)&gt;0,_xll.ciqfunctions.udf.CIQ($C225,"IQ_KEY_DEV_SITUATION"),"")</f>
        <v/>
      </c>
      <c r="G225" s="19" t="str">
        <f t="shared" si="6"/>
        <v/>
      </c>
      <c r="H225" s="19" t="str">
        <f>+IF(LEN($C225)&gt;0,TEXT(IF(_xll.ciqfunctions.udf.CIQ($C225,"IQ_KEY_DEV_TIME")="NA","",_xll.ciqfunctions.udf.CIQ($C225,"IQ_KEY_DEV_TIME")),"h:mm AM/PM"),"")</f>
        <v/>
      </c>
      <c r="I225" s="7" t="str">
        <f>IF(LEN($C225)&gt;0,_xll.ciqfunctions.udf.CIQ($C225,"IQ_KEY_DEV_SOURCE"),"")</f>
        <v/>
      </c>
    </row>
    <row r="226" spans="2:9" x14ac:dyDescent="0.2">
      <c r="B226" s="7">
        <f t="shared" si="7"/>
        <v>219</v>
      </c>
      <c r="C226" s="7"/>
      <c r="D226" s="7" t="str">
        <f>IF(LEN($C226),_xll.ciqfunctions.udf.CIQ($C226,"IQ_KEY_DEV_HEADLINE"),"")</f>
        <v/>
      </c>
      <c r="E226" s="7" t="str">
        <f>IF(LEN($C226)&gt;0,_xll.ciqfunctions.udf.CIQ($C226,"IQ_KEY_DEV_TYPE"),"")</f>
        <v/>
      </c>
      <c r="F226" s="7" t="str">
        <f>IF(LEN($C226)&gt;0,_xll.ciqfunctions.udf.CIQ($C226,"IQ_KEY_DEV_SITUATION"),"")</f>
        <v/>
      </c>
      <c r="G226" s="19" t="str">
        <f t="shared" si="6"/>
        <v/>
      </c>
      <c r="H226" s="19" t="str">
        <f>+IF(LEN($C226)&gt;0,TEXT(IF(_xll.ciqfunctions.udf.CIQ($C226,"IQ_KEY_DEV_TIME")="NA","",_xll.ciqfunctions.udf.CIQ($C226,"IQ_KEY_DEV_TIME")),"h:mm AM/PM"),"")</f>
        <v/>
      </c>
      <c r="I226" s="7" t="str">
        <f>IF(LEN($C226)&gt;0,_xll.ciqfunctions.udf.CIQ($C226,"IQ_KEY_DEV_SOURCE"),"")</f>
        <v/>
      </c>
    </row>
    <row r="227" spans="2:9" x14ac:dyDescent="0.2">
      <c r="B227" s="7">
        <f t="shared" si="7"/>
        <v>220</v>
      </c>
      <c r="C227" s="7"/>
      <c r="D227" s="7" t="str">
        <f>IF(LEN($C227),_xll.ciqfunctions.udf.CIQ($C227,"IQ_KEY_DEV_HEADLINE"),"")</f>
        <v/>
      </c>
      <c r="E227" s="7" t="str">
        <f>IF(LEN($C227)&gt;0,_xll.ciqfunctions.udf.CIQ($C227,"IQ_KEY_DEV_TYPE"),"")</f>
        <v/>
      </c>
      <c r="F227" s="7" t="str">
        <f>IF(LEN($C227)&gt;0,_xll.ciqfunctions.udf.CIQ($C227,"IQ_KEY_DEV_SITUATION"),"")</f>
        <v/>
      </c>
      <c r="G227" s="19" t="str">
        <f t="shared" si="6"/>
        <v/>
      </c>
      <c r="H227" s="19" t="str">
        <f>+IF(LEN($C227)&gt;0,TEXT(IF(_xll.ciqfunctions.udf.CIQ($C227,"IQ_KEY_DEV_TIME")="NA","",_xll.ciqfunctions.udf.CIQ($C227,"IQ_KEY_DEV_TIME")),"h:mm AM/PM"),"")</f>
        <v/>
      </c>
      <c r="I227" s="7" t="str">
        <f>IF(LEN($C227)&gt;0,_xll.ciqfunctions.udf.CIQ($C227,"IQ_KEY_DEV_SOURCE"),"")</f>
        <v/>
      </c>
    </row>
    <row r="228" spans="2:9" x14ac:dyDescent="0.2">
      <c r="B228" s="7">
        <f t="shared" si="7"/>
        <v>221</v>
      </c>
      <c r="C228" s="7"/>
      <c r="D228" s="7" t="str">
        <f>IF(LEN($C228),_xll.ciqfunctions.udf.CIQ($C228,"IQ_KEY_DEV_HEADLINE"),"")</f>
        <v/>
      </c>
      <c r="E228" s="7" t="str">
        <f>IF(LEN($C228)&gt;0,_xll.ciqfunctions.udf.CIQ($C228,"IQ_KEY_DEV_TYPE"),"")</f>
        <v/>
      </c>
      <c r="F228" s="7" t="str">
        <f>IF(LEN($C228)&gt;0,_xll.ciqfunctions.udf.CIQ($C228,"IQ_KEY_DEV_SITUATION"),"")</f>
        <v/>
      </c>
      <c r="G228" s="19" t="str">
        <f t="shared" si="6"/>
        <v/>
      </c>
      <c r="H228" s="19" t="str">
        <f>+IF(LEN($C228)&gt;0,TEXT(IF(_xll.ciqfunctions.udf.CIQ($C228,"IQ_KEY_DEV_TIME")="NA","",_xll.ciqfunctions.udf.CIQ($C228,"IQ_KEY_DEV_TIME")),"h:mm AM/PM"),"")</f>
        <v/>
      </c>
      <c r="I228" s="7" t="str">
        <f>IF(LEN($C228)&gt;0,_xll.ciqfunctions.udf.CIQ($C228,"IQ_KEY_DEV_SOURCE"),"")</f>
        <v/>
      </c>
    </row>
    <row r="229" spans="2:9" x14ac:dyDescent="0.2">
      <c r="B229" s="7">
        <f t="shared" si="7"/>
        <v>222</v>
      </c>
      <c r="C229" s="7"/>
      <c r="D229" s="7" t="str">
        <f>IF(LEN($C229),_xll.ciqfunctions.udf.CIQ($C229,"IQ_KEY_DEV_HEADLINE"),"")</f>
        <v/>
      </c>
      <c r="E229" s="7" t="str">
        <f>IF(LEN($C229)&gt;0,_xll.ciqfunctions.udf.CIQ($C229,"IQ_KEY_DEV_TYPE"),"")</f>
        <v/>
      </c>
      <c r="F229" s="7" t="str">
        <f>IF(LEN($C229)&gt;0,_xll.ciqfunctions.udf.CIQ($C229,"IQ_KEY_DEV_SITUATION"),"")</f>
        <v/>
      </c>
      <c r="G229" s="19" t="str">
        <f t="shared" si="6"/>
        <v/>
      </c>
      <c r="H229" s="19" t="str">
        <f>+IF(LEN($C229)&gt;0,TEXT(IF(_xll.ciqfunctions.udf.CIQ($C229,"IQ_KEY_DEV_TIME")="NA","",_xll.ciqfunctions.udf.CIQ($C229,"IQ_KEY_DEV_TIME")),"h:mm AM/PM"),"")</f>
        <v/>
      </c>
      <c r="I229" s="7" t="str">
        <f>IF(LEN($C229)&gt;0,_xll.ciqfunctions.udf.CIQ($C229,"IQ_KEY_DEV_SOURCE"),"")</f>
        <v/>
      </c>
    </row>
    <row r="230" spans="2:9" x14ac:dyDescent="0.2">
      <c r="B230" s="7">
        <f t="shared" si="7"/>
        <v>223</v>
      </c>
      <c r="C230" s="7"/>
      <c r="D230" s="7" t="str">
        <f>IF(LEN($C230),_xll.ciqfunctions.udf.CIQ($C230,"IQ_KEY_DEV_HEADLINE"),"")</f>
        <v/>
      </c>
      <c r="E230" s="7" t="str">
        <f>IF(LEN($C230)&gt;0,_xll.ciqfunctions.udf.CIQ($C230,"IQ_KEY_DEV_TYPE"),"")</f>
        <v/>
      </c>
      <c r="F230" s="7" t="str">
        <f>IF(LEN($C230)&gt;0,_xll.ciqfunctions.udf.CIQ($C230,"IQ_KEY_DEV_SITUATION"),"")</f>
        <v/>
      </c>
      <c r="G230" s="19" t="str">
        <f t="shared" si="6"/>
        <v/>
      </c>
      <c r="H230" s="19" t="str">
        <f>+IF(LEN($C230)&gt;0,TEXT(IF(_xll.ciqfunctions.udf.CIQ($C230,"IQ_KEY_DEV_TIME")="NA","",_xll.ciqfunctions.udf.CIQ($C230,"IQ_KEY_DEV_TIME")),"h:mm AM/PM"),"")</f>
        <v/>
      </c>
      <c r="I230" s="7" t="str">
        <f>IF(LEN($C230)&gt;0,_xll.ciqfunctions.udf.CIQ($C230,"IQ_KEY_DEV_SOURCE"),"")</f>
        <v/>
      </c>
    </row>
    <row r="231" spans="2:9" x14ac:dyDescent="0.2">
      <c r="B231" s="7">
        <f t="shared" si="7"/>
        <v>224</v>
      </c>
      <c r="C231" s="7"/>
      <c r="D231" s="7" t="str">
        <f>IF(LEN($C231),_xll.ciqfunctions.udf.CIQ($C231,"IQ_KEY_DEV_HEADLINE"),"")</f>
        <v/>
      </c>
      <c r="E231" s="7" t="str">
        <f>IF(LEN($C231)&gt;0,_xll.ciqfunctions.udf.CIQ($C231,"IQ_KEY_DEV_TYPE"),"")</f>
        <v/>
      </c>
      <c r="F231" s="7" t="str">
        <f>IF(LEN($C231)&gt;0,_xll.ciqfunctions.udf.CIQ($C231,"IQ_KEY_DEV_SITUATION"),"")</f>
        <v/>
      </c>
      <c r="G231" s="19" t="str">
        <f t="shared" si="6"/>
        <v/>
      </c>
      <c r="H231" s="19" t="str">
        <f>+IF(LEN($C231)&gt;0,TEXT(IF(_xll.ciqfunctions.udf.CIQ($C231,"IQ_KEY_DEV_TIME")="NA","",_xll.ciqfunctions.udf.CIQ($C231,"IQ_KEY_DEV_TIME")),"h:mm AM/PM"),"")</f>
        <v/>
      </c>
      <c r="I231" s="7" t="str">
        <f>IF(LEN($C231)&gt;0,_xll.ciqfunctions.udf.CIQ($C231,"IQ_KEY_DEV_SOURCE"),"")</f>
        <v/>
      </c>
    </row>
    <row r="232" spans="2:9" x14ac:dyDescent="0.2">
      <c r="B232" s="7">
        <f t="shared" si="7"/>
        <v>225</v>
      </c>
      <c r="C232" s="7"/>
      <c r="D232" s="7" t="str">
        <f>IF(LEN($C232),_xll.ciqfunctions.udf.CIQ($C232,"IQ_KEY_DEV_HEADLINE"),"")</f>
        <v/>
      </c>
      <c r="E232" s="7" t="str">
        <f>IF(LEN($C232)&gt;0,_xll.ciqfunctions.udf.CIQ($C232,"IQ_KEY_DEV_TYPE"),"")</f>
        <v/>
      </c>
      <c r="F232" s="7" t="str">
        <f>IF(LEN($C232)&gt;0,_xll.ciqfunctions.udf.CIQ($C232,"IQ_KEY_DEV_SITUATION"),"")</f>
        <v/>
      </c>
      <c r="G232" s="19" t="str">
        <f t="shared" si="6"/>
        <v/>
      </c>
      <c r="H232" s="19" t="str">
        <f>+IF(LEN($C232)&gt;0,TEXT(IF(_xll.ciqfunctions.udf.CIQ($C232,"IQ_KEY_DEV_TIME")="NA","",_xll.ciqfunctions.udf.CIQ($C232,"IQ_KEY_DEV_TIME")),"h:mm AM/PM"),"")</f>
        <v/>
      </c>
      <c r="I232" s="7" t="str">
        <f>IF(LEN($C232)&gt;0,_xll.ciqfunctions.udf.CIQ($C232,"IQ_KEY_DEV_SOURCE"),"")</f>
        <v/>
      </c>
    </row>
    <row r="233" spans="2:9" x14ac:dyDescent="0.2">
      <c r="B233" s="7">
        <f t="shared" si="7"/>
        <v>226</v>
      </c>
      <c r="C233" s="7"/>
      <c r="D233" s="7" t="str">
        <f>IF(LEN($C233),_xll.ciqfunctions.udf.CIQ($C233,"IQ_KEY_DEV_HEADLINE"),"")</f>
        <v/>
      </c>
      <c r="E233" s="7" t="str">
        <f>IF(LEN($C233)&gt;0,_xll.ciqfunctions.udf.CIQ($C233,"IQ_KEY_DEV_TYPE"),"")</f>
        <v/>
      </c>
      <c r="F233" s="7" t="str">
        <f>IF(LEN($C233)&gt;0,_xll.ciqfunctions.udf.CIQ($C233,"IQ_KEY_DEV_SITUATION"),"")</f>
        <v/>
      </c>
      <c r="G233" s="19" t="str">
        <f t="shared" si="6"/>
        <v/>
      </c>
      <c r="H233" s="19" t="str">
        <f>+IF(LEN($C233)&gt;0,TEXT(IF(_xll.ciqfunctions.udf.CIQ($C233,"IQ_KEY_DEV_TIME")="NA","",_xll.ciqfunctions.udf.CIQ($C233,"IQ_KEY_DEV_TIME")),"h:mm AM/PM"),"")</f>
        <v/>
      </c>
      <c r="I233" s="7" t="str">
        <f>IF(LEN($C233)&gt;0,_xll.ciqfunctions.udf.CIQ($C233,"IQ_KEY_DEV_SOURCE"),"")</f>
        <v/>
      </c>
    </row>
    <row r="234" spans="2:9" x14ac:dyDescent="0.2">
      <c r="B234" s="7">
        <f t="shared" si="7"/>
        <v>227</v>
      </c>
      <c r="C234" s="7"/>
      <c r="D234" s="7" t="str">
        <f>IF(LEN($C234),_xll.ciqfunctions.udf.CIQ($C234,"IQ_KEY_DEV_HEADLINE"),"")</f>
        <v/>
      </c>
      <c r="E234" s="7" t="str">
        <f>IF(LEN($C234)&gt;0,_xll.ciqfunctions.udf.CIQ($C234,"IQ_KEY_DEV_TYPE"),"")</f>
        <v/>
      </c>
      <c r="F234" s="7" t="str">
        <f>IF(LEN($C234)&gt;0,_xll.ciqfunctions.udf.CIQ($C234,"IQ_KEY_DEV_SITUATION"),"")</f>
        <v/>
      </c>
      <c r="G234" s="19" t="str">
        <f t="shared" si="6"/>
        <v/>
      </c>
      <c r="H234" s="19" t="str">
        <f>+IF(LEN($C234)&gt;0,TEXT(IF(_xll.ciqfunctions.udf.CIQ($C234,"IQ_KEY_DEV_TIME")="NA","",_xll.ciqfunctions.udf.CIQ($C234,"IQ_KEY_DEV_TIME")),"h:mm AM/PM"),"")</f>
        <v/>
      </c>
      <c r="I234" s="7" t="str">
        <f>IF(LEN($C234)&gt;0,_xll.ciqfunctions.udf.CIQ($C234,"IQ_KEY_DEV_SOURCE"),"")</f>
        <v/>
      </c>
    </row>
    <row r="235" spans="2:9" x14ac:dyDescent="0.2">
      <c r="B235" s="7">
        <f t="shared" si="7"/>
        <v>228</v>
      </c>
      <c r="C235" s="7"/>
      <c r="D235" s="7" t="str">
        <f>IF(LEN($C235),_xll.ciqfunctions.udf.CIQ($C235,"IQ_KEY_DEV_HEADLINE"),"")</f>
        <v/>
      </c>
      <c r="E235" s="7" t="str">
        <f>IF(LEN($C235)&gt;0,_xll.ciqfunctions.udf.CIQ($C235,"IQ_KEY_DEV_TYPE"),"")</f>
        <v/>
      </c>
      <c r="F235" s="7" t="str">
        <f>IF(LEN($C235)&gt;0,_xll.ciqfunctions.udf.CIQ($C235,"IQ_KEY_DEV_SITUATION"),"")</f>
        <v/>
      </c>
      <c r="G235" s="19" t="str">
        <f t="shared" si="6"/>
        <v/>
      </c>
      <c r="H235" s="19" t="str">
        <f>+IF(LEN($C235)&gt;0,TEXT(IF(_xll.ciqfunctions.udf.CIQ($C235,"IQ_KEY_DEV_TIME")="NA","",_xll.ciqfunctions.udf.CIQ($C235,"IQ_KEY_DEV_TIME")),"h:mm AM/PM"),"")</f>
        <v/>
      </c>
      <c r="I235" s="7" t="str">
        <f>IF(LEN($C235)&gt;0,_xll.ciqfunctions.udf.CIQ($C235,"IQ_KEY_DEV_SOURCE"),"")</f>
        <v/>
      </c>
    </row>
    <row r="236" spans="2:9" x14ac:dyDescent="0.2">
      <c r="B236" s="7">
        <f t="shared" si="7"/>
        <v>229</v>
      </c>
      <c r="C236" s="7"/>
      <c r="D236" s="7" t="str">
        <f>IF(LEN($C236),_xll.ciqfunctions.udf.CIQ($C236,"IQ_KEY_DEV_HEADLINE"),"")</f>
        <v/>
      </c>
      <c r="E236" s="7" t="str">
        <f>IF(LEN($C236)&gt;0,_xll.ciqfunctions.udf.CIQ($C236,"IQ_KEY_DEV_TYPE"),"")</f>
        <v/>
      </c>
      <c r="F236" s="7" t="str">
        <f>IF(LEN($C236)&gt;0,_xll.ciqfunctions.udf.CIQ($C236,"IQ_KEY_DEV_SITUATION"),"")</f>
        <v/>
      </c>
      <c r="G236" s="19" t="str">
        <f t="shared" si="6"/>
        <v/>
      </c>
      <c r="H236" s="19" t="str">
        <f>+IF(LEN($C236)&gt;0,TEXT(IF(_xll.ciqfunctions.udf.CIQ($C236,"IQ_KEY_DEV_TIME")="NA","",_xll.ciqfunctions.udf.CIQ($C236,"IQ_KEY_DEV_TIME")),"h:mm AM/PM"),"")</f>
        <v/>
      </c>
      <c r="I236" s="7" t="str">
        <f>IF(LEN($C236)&gt;0,_xll.ciqfunctions.udf.CIQ($C236,"IQ_KEY_DEV_SOURCE"),"")</f>
        <v/>
      </c>
    </row>
    <row r="237" spans="2:9" x14ac:dyDescent="0.2">
      <c r="B237" s="7">
        <f t="shared" si="7"/>
        <v>230</v>
      </c>
      <c r="C237" s="7"/>
      <c r="D237" s="7" t="str">
        <f>IF(LEN($C237),_xll.ciqfunctions.udf.CIQ($C237,"IQ_KEY_DEV_HEADLINE"),"")</f>
        <v/>
      </c>
      <c r="E237" s="7" t="str">
        <f>IF(LEN($C237)&gt;0,_xll.ciqfunctions.udf.CIQ($C237,"IQ_KEY_DEV_TYPE"),"")</f>
        <v/>
      </c>
      <c r="F237" s="7" t="str">
        <f>IF(LEN($C237)&gt;0,_xll.ciqfunctions.udf.CIQ($C237,"IQ_KEY_DEV_SITUATION"),"")</f>
        <v/>
      </c>
      <c r="G237" s="19" t="str">
        <f t="shared" si="6"/>
        <v/>
      </c>
      <c r="H237" s="19" t="str">
        <f>+IF(LEN($C237)&gt;0,TEXT(IF(_xll.ciqfunctions.udf.CIQ($C237,"IQ_KEY_DEV_TIME")="NA","",_xll.ciqfunctions.udf.CIQ($C237,"IQ_KEY_DEV_TIME")),"h:mm AM/PM"),"")</f>
        <v/>
      </c>
      <c r="I237" s="7" t="str">
        <f>IF(LEN($C237)&gt;0,_xll.ciqfunctions.udf.CIQ($C237,"IQ_KEY_DEV_SOURCE"),"")</f>
        <v/>
      </c>
    </row>
    <row r="238" spans="2:9" x14ac:dyDescent="0.2">
      <c r="B238" s="7">
        <f t="shared" si="7"/>
        <v>231</v>
      </c>
      <c r="C238" s="7"/>
      <c r="D238" s="7" t="str">
        <f>IF(LEN($C238),_xll.ciqfunctions.udf.CIQ($C238,"IQ_KEY_DEV_HEADLINE"),"")</f>
        <v/>
      </c>
      <c r="E238" s="7" t="str">
        <f>IF(LEN($C238)&gt;0,_xll.ciqfunctions.udf.CIQ($C238,"IQ_KEY_DEV_TYPE"),"")</f>
        <v/>
      </c>
      <c r="F238" s="7" t="str">
        <f>IF(LEN($C238)&gt;0,_xll.ciqfunctions.udf.CIQ($C238,"IQ_KEY_DEV_SITUATION"),"")</f>
        <v/>
      </c>
      <c r="G238" s="19" t="str">
        <f t="shared" si="6"/>
        <v/>
      </c>
      <c r="H238" s="19" t="str">
        <f>+IF(LEN($C238)&gt;0,TEXT(IF(_xll.ciqfunctions.udf.CIQ($C238,"IQ_KEY_DEV_TIME")="NA","",_xll.ciqfunctions.udf.CIQ($C238,"IQ_KEY_DEV_TIME")),"h:mm AM/PM"),"")</f>
        <v/>
      </c>
      <c r="I238" s="7" t="str">
        <f>IF(LEN($C238)&gt;0,_xll.ciqfunctions.udf.CIQ($C238,"IQ_KEY_DEV_SOURCE"),"")</f>
        <v/>
      </c>
    </row>
    <row r="239" spans="2:9" x14ac:dyDescent="0.2">
      <c r="B239" s="7">
        <f t="shared" si="7"/>
        <v>232</v>
      </c>
      <c r="C239" s="7"/>
      <c r="D239" s="7" t="str">
        <f>IF(LEN($C239),_xll.ciqfunctions.udf.CIQ($C239,"IQ_KEY_DEV_HEADLINE"),"")</f>
        <v/>
      </c>
      <c r="E239" s="7" t="str">
        <f>IF(LEN($C239)&gt;0,_xll.ciqfunctions.udf.CIQ($C239,"IQ_KEY_DEV_TYPE"),"")</f>
        <v/>
      </c>
      <c r="F239" s="7" t="str">
        <f>IF(LEN($C239)&gt;0,_xll.ciqfunctions.udf.CIQ($C239,"IQ_KEY_DEV_SITUATION"),"")</f>
        <v/>
      </c>
      <c r="G239" s="19" t="str">
        <f t="shared" si="6"/>
        <v/>
      </c>
      <c r="H239" s="19" t="str">
        <f>+IF(LEN($C239)&gt;0,TEXT(IF(_xll.ciqfunctions.udf.CIQ($C239,"IQ_KEY_DEV_TIME")="NA","",_xll.ciqfunctions.udf.CIQ($C239,"IQ_KEY_DEV_TIME")),"h:mm AM/PM"),"")</f>
        <v/>
      </c>
      <c r="I239" s="7" t="str">
        <f>IF(LEN($C239)&gt;0,_xll.ciqfunctions.udf.CIQ($C239,"IQ_KEY_DEV_SOURCE"),"")</f>
        <v/>
      </c>
    </row>
    <row r="240" spans="2:9" x14ac:dyDescent="0.2">
      <c r="B240" s="7">
        <f t="shared" si="7"/>
        <v>233</v>
      </c>
      <c r="C240" s="7"/>
      <c r="D240" s="7" t="str">
        <f>IF(LEN($C240),_xll.ciqfunctions.udf.CIQ($C240,"IQ_KEY_DEV_HEADLINE"),"")</f>
        <v/>
      </c>
      <c r="E240" s="7" t="str">
        <f>IF(LEN($C240)&gt;0,_xll.ciqfunctions.udf.CIQ($C240,"IQ_KEY_DEV_TYPE"),"")</f>
        <v/>
      </c>
      <c r="F240" s="7" t="str">
        <f>IF(LEN($C240)&gt;0,_xll.ciqfunctions.udf.CIQ($C240,"IQ_KEY_DEV_SITUATION"),"")</f>
        <v/>
      </c>
      <c r="G240" s="19" t="str">
        <f t="shared" si="6"/>
        <v/>
      </c>
      <c r="H240" s="19" t="str">
        <f>+IF(LEN($C240)&gt;0,TEXT(IF(_xll.ciqfunctions.udf.CIQ($C240,"IQ_KEY_DEV_TIME")="NA","",_xll.ciqfunctions.udf.CIQ($C240,"IQ_KEY_DEV_TIME")),"h:mm AM/PM"),"")</f>
        <v/>
      </c>
      <c r="I240" s="7" t="str">
        <f>IF(LEN($C240)&gt;0,_xll.ciqfunctions.udf.CIQ($C240,"IQ_KEY_DEV_SOURCE"),"")</f>
        <v/>
      </c>
    </row>
    <row r="241" spans="2:9" x14ac:dyDescent="0.2">
      <c r="B241" s="7">
        <f t="shared" si="7"/>
        <v>234</v>
      </c>
      <c r="C241" s="7"/>
      <c r="D241" s="7" t="str">
        <f>IF(LEN($C241),_xll.ciqfunctions.udf.CIQ($C241,"IQ_KEY_DEV_HEADLINE"),"")</f>
        <v/>
      </c>
      <c r="E241" s="7" t="str">
        <f>IF(LEN($C241)&gt;0,_xll.ciqfunctions.udf.CIQ($C241,"IQ_KEY_DEV_TYPE"),"")</f>
        <v/>
      </c>
      <c r="F241" s="7" t="str">
        <f>IF(LEN($C241)&gt;0,_xll.ciqfunctions.udf.CIQ($C241,"IQ_KEY_DEV_SITUATION"),"")</f>
        <v/>
      </c>
      <c r="G241" s="19" t="str">
        <f t="shared" si="6"/>
        <v/>
      </c>
      <c r="H241" s="19" t="str">
        <f>+IF(LEN($C241)&gt;0,TEXT(IF(_xll.ciqfunctions.udf.CIQ($C241,"IQ_KEY_DEV_TIME")="NA","",_xll.ciqfunctions.udf.CIQ($C241,"IQ_KEY_DEV_TIME")),"h:mm AM/PM"),"")</f>
        <v/>
      </c>
      <c r="I241" s="7" t="str">
        <f>IF(LEN($C241)&gt;0,_xll.ciqfunctions.udf.CIQ($C241,"IQ_KEY_DEV_SOURCE"),"")</f>
        <v/>
      </c>
    </row>
    <row r="242" spans="2:9" x14ac:dyDescent="0.2">
      <c r="B242" s="7">
        <f t="shared" si="7"/>
        <v>235</v>
      </c>
      <c r="C242" s="7"/>
      <c r="D242" s="7" t="str">
        <f>IF(LEN($C242),_xll.ciqfunctions.udf.CIQ($C242,"IQ_KEY_DEV_HEADLINE"),"")</f>
        <v/>
      </c>
      <c r="E242" s="7" t="str">
        <f>IF(LEN($C242)&gt;0,_xll.ciqfunctions.udf.CIQ($C242,"IQ_KEY_DEV_TYPE"),"")</f>
        <v/>
      </c>
      <c r="F242" s="7" t="str">
        <f>IF(LEN($C242)&gt;0,_xll.ciqfunctions.udf.CIQ($C242,"IQ_KEY_DEV_SITUATION"),"")</f>
        <v/>
      </c>
      <c r="G242" s="19" t="str">
        <f t="shared" si="6"/>
        <v/>
      </c>
      <c r="H242" s="19" t="str">
        <f>+IF(LEN($C242)&gt;0,TEXT(IF(_xll.ciqfunctions.udf.CIQ($C242,"IQ_KEY_DEV_TIME")="NA","",_xll.ciqfunctions.udf.CIQ($C242,"IQ_KEY_DEV_TIME")),"h:mm AM/PM"),"")</f>
        <v/>
      </c>
      <c r="I242" s="7" t="str">
        <f>IF(LEN($C242)&gt;0,_xll.ciqfunctions.udf.CIQ($C242,"IQ_KEY_DEV_SOURCE"),"")</f>
        <v/>
      </c>
    </row>
    <row r="243" spans="2:9" x14ac:dyDescent="0.2">
      <c r="B243" s="7">
        <f t="shared" si="7"/>
        <v>236</v>
      </c>
      <c r="C243" s="7"/>
      <c r="D243" s="7" t="str">
        <f>IF(LEN($C243),_xll.ciqfunctions.udf.CIQ($C243,"IQ_KEY_DEV_HEADLINE"),"")</f>
        <v/>
      </c>
      <c r="E243" s="7" t="str">
        <f>IF(LEN($C243)&gt;0,_xll.ciqfunctions.udf.CIQ($C243,"IQ_KEY_DEV_TYPE"),"")</f>
        <v/>
      </c>
      <c r="F243" s="7" t="str">
        <f>IF(LEN($C243)&gt;0,_xll.ciqfunctions.udf.CIQ($C243,"IQ_KEY_DEV_SITUATION"),"")</f>
        <v/>
      </c>
      <c r="G243" s="19" t="str">
        <f t="shared" si="6"/>
        <v/>
      </c>
      <c r="H243" s="19" t="str">
        <f>+IF(LEN($C243)&gt;0,TEXT(IF(_xll.ciqfunctions.udf.CIQ($C243,"IQ_KEY_DEV_TIME")="NA","",_xll.ciqfunctions.udf.CIQ($C243,"IQ_KEY_DEV_TIME")),"h:mm AM/PM"),"")</f>
        <v/>
      </c>
      <c r="I243" s="7" t="str">
        <f>IF(LEN($C243)&gt;0,_xll.ciqfunctions.udf.CIQ($C243,"IQ_KEY_DEV_SOURCE"),"")</f>
        <v/>
      </c>
    </row>
    <row r="244" spans="2:9" x14ac:dyDescent="0.2">
      <c r="B244" s="7">
        <f t="shared" si="7"/>
        <v>237</v>
      </c>
      <c r="C244" s="7"/>
      <c r="D244" s="7" t="str">
        <f>IF(LEN($C244),_xll.ciqfunctions.udf.CIQ($C244,"IQ_KEY_DEV_HEADLINE"),"")</f>
        <v/>
      </c>
      <c r="E244" s="7" t="str">
        <f>IF(LEN($C244)&gt;0,_xll.ciqfunctions.udf.CIQ($C244,"IQ_KEY_DEV_TYPE"),"")</f>
        <v/>
      </c>
      <c r="F244" s="7" t="str">
        <f>IF(LEN($C244)&gt;0,_xll.ciqfunctions.udf.CIQ($C244,"IQ_KEY_DEV_SITUATION"),"")</f>
        <v/>
      </c>
      <c r="G244" s="19" t="str">
        <f t="shared" si="6"/>
        <v/>
      </c>
      <c r="H244" s="19" t="str">
        <f>+IF(LEN($C244)&gt;0,TEXT(IF(_xll.ciqfunctions.udf.CIQ($C244,"IQ_KEY_DEV_TIME")="NA","",_xll.ciqfunctions.udf.CIQ($C244,"IQ_KEY_DEV_TIME")),"h:mm AM/PM"),"")</f>
        <v/>
      </c>
      <c r="I244" s="7" t="str">
        <f>IF(LEN($C244)&gt;0,_xll.ciqfunctions.udf.CIQ($C244,"IQ_KEY_DEV_SOURCE"),"")</f>
        <v/>
      </c>
    </row>
    <row r="245" spans="2:9" x14ac:dyDescent="0.2">
      <c r="B245" s="7">
        <f t="shared" si="7"/>
        <v>238</v>
      </c>
      <c r="C245" s="7"/>
      <c r="D245" s="7" t="str">
        <f>IF(LEN($C245),_xll.ciqfunctions.udf.CIQ($C245,"IQ_KEY_DEV_HEADLINE"),"")</f>
        <v/>
      </c>
      <c r="E245" s="7" t="str">
        <f>IF(LEN($C245)&gt;0,_xll.ciqfunctions.udf.CIQ($C245,"IQ_KEY_DEV_TYPE"),"")</f>
        <v/>
      </c>
      <c r="F245" s="7" t="str">
        <f>IF(LEN($C245)&gt;0,_xll.ciqfunctions.udf.CIQ($C245,"IQ_KEY_DEV_SITUATION"),"")</f>
        <v/>
      </c>
      <c r="G245" s="19" t="str">
        <f t="shared" si="6"/>
        <v/>
      </c>
      <c r="H245" s="19" t="str">
        <f>+IF(LEN($C245)&gt;0,TEXT(IF(_xll.ciqfunctions.udf.CIQ($C245,"IQ_KEY_DEV_TIME")="NA","",_xll.ciqfunctions.udf.CIQ($C245,"IQ_KEY_DEV_TIME")),"h:mm AM/PM"),"")</f>
        <v/>
      </c>
      <c r="I245" s="7" t="str">
        <f>IF(LEN($C245)&gt;0,_xll.ciqfunctions.udf.CIQ($C245,"IQ_KEY_DEV_SOURCE"),"")</f>
        <v/>
      </c>
    </row>
    <row r="246" spans="2:9" x14ac:dyDescent="0.2">
      <c r="B246" s="7">
        <f t="shared" si="7"/>
        <v>239</v>
      </c>
      <c r="C246" s="7"/>
      <c r="D246" s="7" t="str">
        <f>IF(LEN($C246),_xll.ciqfunctions.udf.CIQ($C246,"IQ_KEY_DEV_HEADLINE"),"")</f>
        <v/>
      </c>
      <c r="E246" s="7" t="str">
        <f>IF(LEN($C246)&gt;0,_xll.ciqfunctions.udf.CIQ($C246,"IQ_KEY_DEV_TYPE"),"")</f>
        <v/>
      </c>
      <c r="F246" s="7" t="str">
        <f>IF(LEN($C246)&gt;0,_xll.ciqfunctions.udf.CIQ($C246,"IQ_KEY_DEV_SITUATION"),"")</f>
        <v/>
      </c>
      <c r="G246" s="19" t="str">
        <f t="shared" si="6"/>
        <v/>
      </c>
      <c r="H246" s="19" t="str">
        <f>+IF(LEN($C246)&gt;0,TEXT(IF(_xll.ciqfunctions.udf.CIQ($C246,"IQ_KEY_DEV_TIME")="NA","",_xll.ciqfunctions.udf.CIQ($C246,"IQ_KEY_DEV_TIME")),"h:mm AM/PM"),"")</f>
        <v/>
      </c>
      <c r="I246" s="7" t="str">
        <f>IF(LEN($C246)&gt;0,_xll.ciqfunctions.udf.CIQ($C246,"IQ_KEY_DEV_SOURCE"),"")</f>
        <v/>
      </c>
    </row>
    <row r="247" spans="2:9" x14ac:dyDescent="0.2">
      <c r="B247" s="7">
        <f t="shared" si="7"/>
        <v>240</v>
      </c>
      <c r="C247" s="7"/>
      <c r="D247" s="7" t="str">
        <f>IF(LEN($C247),_xll.ciqfunctions.udf.CIQ($C247,"IQ_KEY_DEV_HEADLINE"),"")</f>
        <v/>
      </c>
      <c r="E247" s="7" t="str">
        <f>IF(LEN($C247)&gt;0,_xll.ciqfunctions.udf.CIQ($C247,"IQ_KEY_DEV_TYPE"),"")</f>
        <v/>
      </c>
      <c r="F247" s="7" t="str">
        <f>IF(LEN($C247)&gt;0,_xll.ciqfunctions.udf.CIQ($C247,"IQ_KEY_DEV_SITUATION"),"")</f>
        <v/>
      </c>
      <c r="G247" s="19" t="str">
        <f t="shared" si="6"/>
        <v/>
      </c>
      <c r="H247" s="19" t="str">
        <f>+IF(LEN($C247)&gt;0,TEXT(IF(_xll.ciqfunctions.udf.CIQ($C247,"IQ_KEY_DEV_TIME")="NA","",_xll.ciqfunctions.udf.CIQ($C247,"IQ_KEY_DEV_TIME")),"h:mm AM/PM"),"")</f>
        <v/>
      </c>
      <c r="I247" s="7" t="str">
        <f>IF(LEN($C247)&gt;0,_xll.ciqfunctions.udf.CIQ($C247,"IQ_KEY_DEV_SOURCE"),"")</f>
        <v/>
      </c>
    </row>
    <row r="248" spans="2:9" x14ac:dyDescent="0.2">
      <c r="B248" s="7">
        <f t="shared" si="7"/>
        <v>241</v>
      </c>
      <c r="C248" s="7"/>
      <c r="D248" s="7" t="str">
        <f>IF(LEN($C248),_xll.ciqfunctions.udf.CIQ($C248,"IQ_KEY_DEV_HEADLINE"),"")</f>
        <v/>
      </c>
      <c r="E248" s="7" t="str">
        <f>IF(LEN($C248)&gt;0,_xll.ciqfunctions.udf.CIQ($C248,"IQ_KEY_DEV_TYPE"),"")</f>
        <v/>
      </c>
      <c r="F248" s="7" t="str">
        <f>IF(LEN($C248)&gt;0,_xll.ciqfunctions.udf.CIQ($C248,"IQ_KEY_DEV_SITUATION"),"")</f>
        <v/>
      </c>
      <c r="G248" s="19" t="str">
        <f t="shared" si="6"/>
        <v/>
      </c>
      <c r="H248" s="19" t="str">
        <f>+IF(LEN($C248)&gt;0,TEXT(IF(_xll.ciqfunctions.udf.CIQ($C248,"IQ_KEY_DEV_TIME")="NA","",_xll.ciqfunctions.udf.CIQ($C248,"IQ_KEY_DEV_TIME")),"h:mm AM/PM"),"")</f>
        <v/>
      </c>
      <c r="I248" s="7" t="str">
        <f>IF(LEN($C248)&gt;0,_xll.ciqfunctions.udf.CIQ($C248,"IQ_KEY_DEV_SOURCE"),"")</f>
        <v/>
      </c>
    </row>
    <row r="249" spans="2:9" x14ac:dyDescent="0.2">
      <c r="B249" s="7">
        <f t="shared" si="7"/>
        <v>242</v>
      </c>
      <c r="C249" s="7"/>
      <c r="D249" s="7" t="str">
        <f>IF(LEN($C249),_xll.ciqfunctions.udf.CIQ($C249,"IQ_KEY_DEV_HEADLINE"),"")</f>
        <v/>
      </c>
      <c r="E249" s="7" t="str">
        <f>IF(LEN($C249)&gt;0,_xll.ciqfunctions.udf.CIQ($C249,"IQ_KEY_DEV_TYPE"),"")</f>
        <v/>
      </c>
      <c r="F249" s="7" t="str">
        <f>IF(LEN($C249)&gt;0,_xll.ciqfunctions.udf.CIQ($C249,"IQ_KEY_DEV_SITUATION"),"")</f>
        <v/>
      </c>
      <c r="G249" s="19" t="str">
        <f t="shared" si="6"/>
        <v/>
      </c>
      <c r="H249" s="19" t="str">
        <f>+IF(LEN($C249)&gt;0,TEXT(IF(_xll.ciqfunctions.udf.CIQ($C249,"IQ_KEY_DEV_TIME")="NA","",_xll.ciqfunctions.udf.CIQ($C249,"IQ_KEY_DEV_TIME")),"h:mm AM/PM"),"")</f>
        <v/>
      </c>
      <c r="I249" s="7" t="str">
        <f>IF(LEN($C249)&gt;0,_xll.ciqfunctions.udf.CIQ($C249,"IQ_KEY_DEV_SOURCE"),"")</f>
        <v/>
      </c>
    </row>
    <row r="250" spans="2:9" x14ac:dyDescent="0.2">
      <c r="B250" s="7">
        <f t="shared" si="7"/>
        <v>243</v>
      </c>
      <c r="C250" s="7"/>
      <c r="D250" s="7" t="str">
        <f>IF(LEN($C250),_xll.ciqfunctions.udf.CIQ($C250,"IQ_KEY_DEV_HEADLINE"),"")</f>
        <v/>
      </c>
      <c r="E250" s="7" t="str">
        <f>IF(LEN($C250)&gt;0,_xll.ciqfunctions.udf.CIQ($C250,"IQ_KEY_DEV_TYPE"),"")</f>
        <v/>
      </c>
      <c r="F250" s="7" t="str">
        <f>IF(LEN($C250)&gt;0,_xll.ciqfunctions.udf.CIQ($C250,"IQ_KEY_DEV_SITUATION"),"")</f>
        <v/>
      </c>
      <c r="G250" s="19" t="str">
        <f t="shared" si="6"/>
        <v/>
      </c>
      <c r="H250" s="19" t="str">
        <f>+IF(LEN($C250)&gt;0,TEXT(IF(_xll.ciqfunctions.udf.CIQ($C250,"IQ_KEY_DEV_TIME")="NA","",_xll.ciqfunctions.udf.CIQ($C250,"IQ_KEY_DEV_TIME")),"h:mm AM/PM"),"")</f>
        <v/>
      </c>
      <c r="I250" s="7" t="str">
        <f>IF(LEN($C250)&gt;0,_xll.ciqfunctions.udf.CIQ($C250,"IQ_KEY_DEV_SOURCE"),"")</f>
        <v/>
      </c>
    </row>
    <row r="251" spans="2:9" x14ac:dyDescent="0.2">
      <c r="B251" s="7">
        <f t="shared" si="7"/>
        <v>244</v>
      </c>
      <c r="C251" s="7"/>
      <c r="D251" s="7" t="str">
        <f>IF(LEN($C251),_xll.ciqfunctions.udf.CIQ($C251,"IQ_KEY_DEV_HEADLINE"),"")</f>
        <v/>
      </c>
      <c r="E251" s="7" t="str">
        <f>IF(LEN($C251)&gt;0,_xll.ciqfunctions.udf.CIQ($C251,"IQ_KEY_DEV_TYPE"),"")</f>
        <v/>
      </c>
      <c r="F251" s="7" t="str">
        <f>IF(LEN($C251)&gt;0,_xll.ciqfunctions.udf.CIQ($C251,"IQ_KEY_DEV_SITUATION"),"")</f>
        <v/>
      </c>
      <c r="G251" s="19" t="str">
        <f t="shared" si="6"/>
        <v/>
      </c>
      <c r="H251" s="19" t="str">
        <f>+IF(LEN($C251)&gt;0,TEXT(IF(_xll.ciqfunctions.udf.CIQ($C251,"IQ_KEY_DEV_TIME")="NA","",_xll.ciqfunctions.udf.CIQ($C251,"IQ_KEY_DEV_TIME")),"h:mm AM/PM"),"")</f>
        <v/>
      </c>
      <c r="I251" s="7" t="str">
        <f>IF(LEN($C251)&gt;0,_xll.ciqfunctions.udf.CIQ($C251,"IQ_KEY_DEV_SOURCE"),"")</f>
        <v/>
      </c>
    </row>
    <row r="252" spans="2:9" x14ac:dyDescent="0.2">
      <c r="B252" s="7">
        <f t="shared" si="7"/>
        <v>245</v>
      </c>
      <c r="C252" s="7"/>
      <c r="D252" s="7" t="str">
        <f>IF(LEN($C252),_xll.ciqfunctions.udf.CIQ($C252,"IQ_KEY_DEV_HEADLINE"),"")</f>
        <v/>
      </c>
      <c r="E252" s="7" t="str">
        <f>IF(LEN($C252)&gt;0,_xll.ciqfunctions.udf.CIQ($C252,"IQ_KEY_DEV_TYPE"),"")</f>
        <v/>
      </c>
      <c r="F252" s="7" t="str">
        <f>IF(LEN($C252)&gt;0,_xll.ciqfunctions.udf.CIQ($C252,"IQ_KEY_DEV_SITUATION"),"")</f>
        <v/>
      </c>
      <c r="G252" s="19" t="str">
        <f t="shared" si="6"/>
        <v/>
      </c>
      <c r="H252" s="19" t="str">
        <f>+IF(LEN($C252)&gt;0,TEXT(IF(_xll.ciqfunctions.udf.CIQ($C252,"IQ_KEY_DEV_TIME")="NA","",_xll.ciqfunctions.udf.CIQ($C252,"IQ_KEY_DEV_TIME")),"h:mm AM/PM"),"")</f>
        <v/>
      </c>
      <c r="I252" s="7" t="str">
        <f>IF(LEN($C252)&gt;0,_xll.ciqfunctions.udf.CIQ($C252,"IQ_KEY_DEV_SOURCE"),"")</f>
        <v/>
      </c>
    </row>
    <row r="253" spans="2:9" x14ac:dyDescent="0.2">
      <c r="B253" s="7">
        <f t="shared" si="7"/>
        <v>246</v>
      </c>
      <c r="C253" s="7"/>
      <c r="D253" s="7" t="str">
        <f>IF(LEN($C253),_xll.ciqfunctions.udf.CIQ($C253,"IQ_KEY_DEV_HEADLINE"),"")</f>
        <v/>
      </c>
      <c r="E253" s="7" t="str">
        <f>IF(LEN($C253)&gt;0,_xll.ciqfunctions.udf.CIQ($C253,"IQ_KEY_DEV_TYPE"),"")</f>
        <v/>
      </c>
      <c r="F253" s="7" t="str">
        <f>IF(LEN($C253)&gt;0,_xll.ciqfunctions.udf.CIQ($C253,"IQ_KEY_DEV_SITUATION"),"")</f>
        <v/>
      </c>
      <c r="G253" s="19" t="str">
        <f t="shared" si="6"/>
        <v/>
      </c>
      <c r="H253" s="19" t="str">
        <f>+IF(LEN($C253)&gt;0,TEXT(IF(_xll.ciqfunctions.udf.CIQ($C253,"IQ_KEY_DEV_TIME")="NA","",_xll.ciqfunctions.udf.CIQ($C253,"IQ_KEY_DEV_TIME")),"h:mm AM/PM"),"")</f>
        <v/>
      </c>
      <c r="I253" s="7" t="str">
        <f>IF(LEN($C253)&gt;0,_xll.ciqfunctions.udf.CIQ($C253,"IQ_KEY_DEV_SOURCE"),"")</f>
        <v/>
      </c>
    </row>
    <row r="254" spans="2:9" x14ac:dyDescent="0.2">
      <c r="B254" s="7">
        <f t="shared" si="7"/>
        <v>247</v>
      </c>
      <c r="C254" s="7"/>
      <c r="D254" s="7" t="str">
        <f>IF(LEN($C254),_xll.ciqfunctions.udf.CIQ($C254,"IQ_KEY_DEV_HEADLINE"),"")</f>
        <v/>
      </c>
      <c r="E254" s="7" t="str">
        <f>IF(LEN($C254)&gt;0,_xll.ciqfunctions.udf.CIQ($C254,"IQ_KEY_DEV_TYPE"),"")</f>
        <v/>
      </c>
      <c r="F254" s="7" t="str">
        <f>IF(LEN($C254)&gt;0,_xll.ciqfunctions.udf.CIQ($C254,"IQ_KEY_DEV_SITUATION"),"")</f>
        <v/>
      </c>
      <c r="G254" s="19" t="str">
        <f t="shared" si="6"/>
        <v/>
      </c>
      <c r="H254" s="19" t="str">
        <f>+IF(LEN($C254)&gt;0,TEXT(IF(_xll.ciqfunctions.udf.CIQ($C254,"IQ_KEY_DEV_TIME")="NA","",_xll.ciqfunctions.udf.CIQ($C254,"IQ_KEY_DEV_TIME")),"h:mm AM/PM"),"")</f>
        <v/>
      </c>
      <c r="I254" s="7" t="str">
        <f>IF(LEN($C254)&gt;0,_xll.ciqfunctions.udf.CIQ($C254,"IQ_KEY_DEV_SOURCE"),"")</f>
        <v/>
      </c>
    </row>
    <row r="255" spans="2:9" x14ac:dyDescent="0.2">
      <c r="B255" s="7">
        <f t="shared" si="7"/>
        <v>248</v>
      </c>
      <c r="C255" s="7"/>
      <c r="D255" s="7" t="str">
        <f>IF(LEN($C255),_xll.ciqfunctions.udf.CIQ($C255,"IQ_KEY_DEV_HEADLINE"),"")</f>
        <v/>
      </c>
      <c r="E255" s="7" t="str">
        <f>IF(LEN($C255)&gt;0,_xll.ciqfunctions.udf.CIQ($C255,"IQ_KEY_DEV_TYPE"),"")</f>
        <v/>
      </c>
      <c r="F255" s="7" t="str">
        <f>IF(LEN($C255)&gt;0,_xll.ciqfunctions.udf.CIQ($C255,"IQ_KEY_DEV_SITUATION"),"")</f>
        <v/>
      </c>
      <c r="G255" s="19" t="str">
        <f t="shared" si="6"/>
        <v/>
      </c>
      <c r="H255" s="19" t="str">
        <f>+IF(LEN($C255)&gt;0,TEXT(IF(_xll.ciqfunctions.udf.CIQ($C255,"IQ_KEY_DEV_TIME")="NA","",_xll.ciqfunctions.udf.CIQ($C255,"IQ_KEY_DEV_TIME")),"h:mm AM/PM"),"")</f>
        <v/>
      </c>
      <c r="I255" s="7" t="str">
        <f>IF(LEN($C255)&gt;0,_xll.ciqfunctions.udf.CIQ($C255,"IQ_KEY_DEV_SOURCE"),"")</f>
        <v/>
      </c>
    </row>
    <row r="256" spans="2:9" x14ac:dyDescent="0.2">
      <c r="B256" s="7">
        <f t="shared" si="7"/>
        <v>249</v>
      </c>
      <c r="C256" s="7"/>
      <c r="D256" s="7" t="str">
        <f>IF(LEN($C256),_xll.ciqfunctions.udf.CIQ($C256,"IQ_KEY_DEV_HEADLINE"),"")</f>
        <v/>
      </c>
      <c r="E256" s="7" t="str">
        <f>IF(LEN($C256)&gt;0,_xll.ciqfunctions.udf.CIQ($C256,"IQ_KEY_DEV_TYPE"),"")</f>
        <v/>
      </c>
      <c r="F256" s="7" t="str">
        <f>IF(LEN($C256)&gt;0,_xll.ciqfunctions.udf.CIQ($C256,"IQ_KEY_DEV_SITUATION"),"")</f>
        <v/>
      </c>
      <c r="G256" s="19" t="str">
        <f t="shared" si="6"/>
        <v/>
      </c>
      <c r="H256" s="19" t="str">
        <f>+IF(LEN($C256)&gt;0,TEXT(IF(_xll.ciqfunctions.udf.CIQ($C256,"IQ_KEY_DEV_TIME")="NA","",_xll.ciqfunctions.udf.CIQ($C256,"IQ_KEY_DEV_TIME")),"h:mm AM/PM"),"")</f>
        <v/>
      </c>
      <c r="I256" s="7" t="str">
        <f>IF(LEN($C256)&gt;0,_xll.ciqfunctions.udf.CIQ($C256,"IQ_KEY_DEV_SOURCE"),"")</f>
        <v/>
      </c>
    </row>
    <row r="257" spans="2:9" x14ac:dyDescent="0.2">
      <c r="B257" s="7">
        <f t="shared" si="7"/>
        <v>250</v>
      </c>
      <c r="C257" s="7"/>
      <c r="D257" s="7" t="str">
        <f>IF(LEN($C257),_xll.ciqfunctions.udf.CIQ($C257,"IQ_KEY_DEV_HEADLINE"),"")</f>
        <v/>
      </c>
      <c r="E257" s="7" t="str">
        <f>IF(LEN($C257)&gt;0,_xll.ciqfunctions.udf.CIQ($C257,"IQ_KEY_DEV_TYPE"),"")</f>
        <v/>
      </c>
      <c r="F257" s="7" t="str">
        <f>IF(LEN($C257)&gt;0,_xll.ciqfunctions.udf.CIQ($C257,"IQ_KEY_DEV_SITUATION"),"")</f>
        <v/>
      </c>
      <c r="G257" s="19" t="str">
        <f t="shared" si="6"/>
        <v/>
      </c>
      <c r="H257" s="19" t="str">
        <f>+IF(LEN($C257)&gt;0,TEXT(IF(_xll.ciqfunctions.udf.CIQ($C257,"IQ_KEY_DEV_TIME")="NA","",_xll.ciqfunctions.udf.CIQ($C257,"IQ_KEY_DEV_TIME")),"h:mm AM/PM"),"")</f>
        <v/>
      </c>
      <c r="I257" s="7" t="str">
        <f>IF(LEN($C257)&gt;0,_xll.ciqfunctions.udf.CIQ($C257,"IQ_KEY_DEV_SOURCE"),"")</f>
        <v/>
      </c>
    </row>
    <row r="258" spans="2:9" x14ac:dyDescent="0.2">
      <c r="B258" s="7">
        <f t="shared" si="7"/>
        <v>251</v>
      </c>
      <c r="C258" s="7"/>
      <c r="D258" s="7" t="str">
        <f>IF(LEN($C258),_xll.ciqfunctions.udf.CIQ($C258,"IQ_KEY_DEV_HEADLINE"),"")</f>
        <v/>
      </c>
      <c r="E258" s="7" t="str">
        <f>IF(LEN($C258)&gt;0,_xll.ciqfunctions.udf.CIQ($C258,"IQ_KEY_DEV_TYPE"),"")</f>
        <v/>
      </c>
      <c r="F258" s="7" t="str">
        <f>IF(LEN($C258)&gt;0,_xll.ciqfunctions.udf.CIQ($C258,"IQ_KEY_DEV_SITUATION"),"")</f>
        <v/>
      </c>
      <c r="G258" s="19" t="str">
        <f t="shared" si="6"/>
        <v/>
      </c>
      <c r="H258" s="19" t="str">
        <f>+IF(LEN($C258)&gt;0,TEXT(IF(_xll.ciqfunctions.udf.CIQ($C258,"IQ_KEY_DEV_TIME")="NA","",_xll.ciqfunctions.udf.CIQ($C258,"IQ_KEY_DEV_TIME")),"h:mm AM/PM"),"")</f>
        <v/>
      </c>
      <c r="I258" s="7" t="str">
        <f>IF(LEN($C258)&gt;0,_xll.ciqfunctions.udf.CIQ($C258,"IQ_KEY_DEV_SOURCE"),"")</f>
        <v/>
      </c>
    </row>
    <row r="259" spans="2:9" x14ac:dyDescent="0.2">
      <c r="B259" s="7">
        <f t="shared" si="7"/>
        <v>252</v>
      </c>
      <c r="C259" s="7"/>
      <c r="D259" s="7" t="str">
        <f>IF(LEN($C259),_xll.ciqfunctions.udf.CIQ($C259,"IQ_KEY_DEV_HEADLINE"),"")</f>
        <v/>
      </c>
      <c r="E259" s="7" t="str">
        <f>IF(LEN($C259)&gt;0,_xll.ciqfunctions.udf.CIQ($C259,"IQ_KEY_DEV_TYPE"),"")</f>
        <v/>
      </c>
      <c r="F259" s="7" t="str">
        <f>IF(LEN($C259)&gt;0,_xll.ciqfunctions.udf.CIQ($C259,"IQ_KEY_DEV_SITUATION"),"")</f>
        <v/>
      </c>
      <c r="G259" s="19" t="str">
        <f t="shared" si="6"/>
        <v/>
      </c>
      <c r="H259" s="19" t="str">
        <f>+IF(LEN($C259)&gt;0,TEXT(IF(_xll.ciqfunctions.udf.CIQ($C259,"IQ_KEY_DEV_TIME")="NA","",_xll.ciqfunctions.udf.CIQ($C259,"IQ_KEY_DEV_TIME")),"h:mm AM/PM"),"")</f>
        <v/>
      </c>
      <c r="I259" s="7" t="str">
        <f>IF(LEN($C259)&gt;0,_xll.ciqfunctions.udf.CIQ($C259,"IQ_KEY_DEV_SOURCE"),"")</f>
        <v/>
      </c>
    </row>
    <row r="260" spans="2:9" x14ac:dyDescent="0.2">
      <c r="B260" s="7">
        <f t="shared" si="7"/>
        <v>253</v>
      </c>
      <c r="C260" s="7"/>
      <c r="D260" s="7" t="str">
        <f>IF(LEN($C260),_xll.ciqfunctions.udf.CIQ($C260,"IQ_KEY_DEV_HEADLINE"),"")</f>
        <v/>
      </c>
      <c r="E260" s="7" t="str">
        <f>IF(LEN($C260)&gt;0,_xll.ciqfunctions.udf.CIQ($C260,"IQ_KEY_DEV_TYPE"),"")</f>
        <v/>
      </c>
      <c r="F260" s="7" t="str">
        <f>IF(LEN($C260)&gt;0,_xll.ciqfunctions.udf.CIQ($C260,"IQ_KEY_DEV_SITUATION"),"")</f>
        <v/>
      </c>
      <c r="G260" s="19" t="str">
        <f t="shared" si="6"/>
        <v/>
      </c>
      <c r="H260" s="19" t="str">
        <f>+IF(LEN($C260)&gt;0,TEXT(IF(_xll.ciqfunctions.udf.CIQ($C260,"IQ_KEY_DEV_TIME")="NA","",_xll.ciqfunctions.udf.CIQ($C260,"IQ_KEY_DEV_TIME")),"h:mm AM/PM"),"")</f>
        <v/>
      </c>
      <c r="I260" s="7" t="str">
        <f>IF(LEN($C260)&gt;0,_xll.ciqfunctions.udf.CIQ($C260,"IQ_KEY_DEV_SOURCE"),"")</f>
        <v/>
      </c>
    </row>
    <row r="261" spans="2:9" x14ac:dyDescent="0.2">
      <c r="B261" s="7">
        <f t="shared" si="7"/>
        <v>254</v>
      </c>
      <c r="C261" s="7"/>
      <c r="D261" s="7" t="str">
        <f>IF(LEN($C261),_xll.ciqfunctions.udf.CIQ($C261,"IQ_KEY_DEV_HEADLINE"),"")</f>
        <v/>
      </c>
      <c r="E261" s="7" t="str">
        <f>IF(LEN($C261)&gt;0,_xll.ciqfunctions.udf.CIQ($C261,"IQ_KEY_DEV_TYPE"),"")</f>
        <v/>
      </c>
      <c r="F261" s="7" t="str">
        <f>IF(LEN($C261)&gt;0,_xll.ciqfunctions.udf.CIQ($C261,"IQ_KEY_DEV_SITUATION"),"")</f>
        <v/>
      </c>
      <c r="G261" s="19" t="str">
        <f t="shared" si="6"/>
        <v/>
      </c>
      <c r="H261" s="19" t="str">
        <f>+IF(LEN($C261)&gt;0,TEXT(IF(_xll.ciqfunctions.udf.CIQ($C261,"IQ_KEY_DEV_TIME")="NA","",_xll.ciqfunctions.udf.CIQ($C261,"IQ_KEY_DEV_TIME")),"h:mm AM/PM"),"")</f>
        <v/>
      </c>
      <c r="I261" s="7" t="str">
        <f>IF(LEN($C261)&gt;0,_xll.ciqfunctions.udf.CIQ($C261,"IQ_KEY_DEV_SOURCE"),"")</f>
        <v/>
      </c>
    </row>
    <row r="262" spans="2:9" x14ac:dyDescent="0.2">
      <c r="B262" s="7">
        <f t="shared" si="7"/>
        <v>255</v>
      </c>
      <c r="C262" s="7"/>
      <c r="D262" s="7" t="str">
        <f>IF(LEN($C262),_xll.ciqfunctions.udf.CIQ($C262,"IQ_KEY_DEV_HEADLINE"),"")</f>
        <v/>
      </c>
      <c r="E262" s="7" t="str">
        <f>IF(LEN($C262)&gt;0,_xll.ciqfunctions.udf.CIQ($C262,"IQ_KEY_DEV_TYPE"),"")</f>
        <v/>
      </c>
      <c r="F262" s="7" t="str">
        <f>IF(LEN($C262)&gt;0,_xll.ciqfunctions.udf.CIQ($C262,"IQ_KEY_DEV_SITUATION"),"")</f>
        <v/>
      </c>
      <c r="G262" s="19" t="str">
        <f t="shared" si="6"/>
        <v/>
      </c>
      <c r="H262" s="19" t="str">
        <f>+IF(LEN($C262)&gt;0,TEXT(IF(_xll.ciqfunctions.udf.CIQ($C262,"IQ_KEY_DEV_TIME")="NA","",_xll.ciqfunctions.udf.CIQ($C262,"IQ_KEY_DEV_TIME")),"h:mm AM/PM"),"")</f>
        <v/>
      </c>
      <c r="I262" s="7" t="str">
        <f>IF(LEN($C262)&gt;0,_xll.ciqfunctions.udf.CIQ($C262,"IQ_KEY_DEV_SOURCE"),"")</f>
        <v/>
      </c>
    </row>
    <row r="263" spans="2:9" x14ac:dyDescent="0.2">
      <c r="B263" s="7">
        <f t="shared" si="7"/>
        <v>256</v>
      </c>
      <c r="C263" s="7"/>
      <c r="D263" s="7" t="str">
        <f>IF(LEN($C263),_xll.ciqfunctions.udf.CIQ($C263,"IQ_KEY_DEV_HEADLINE"),"")</f>
        <v/>
      </c>
      <c r="E263" s="7" t="str">
        <f>IF(LEN($C263)&gt;0,_xll.ciqfunctions.udf.CIQ($C263,"IQ_KEY_DEV_TYPE"),"")</f>
        <v/>
      </c>
      <c r="F263" s="7" t="str">
        <f>IF(LEN($C263)&gt;0,_xll.ciqfunctions.udf.CIQ($C263,"IQ_KEY_DEV_SITUATION"),"")</f>
        <v/>
      </c>
      <c r="G263" s="19" t="str">
        <f t="shared" si="6"/>
        <v/>
      </c>
      <c r="H263" s="19" t="str">
        <f>+IF(LEN($C263)&gt;0,TEXT(IF(_xll.ciqfunctions.udf.CIQ($C263,"IQ_KEY_DEV_TIME")="NA","",_xll.ciqfunctions.udf.CIQ($C263,"IQ_KEY_DEV_TIME")),"h:mm AM/PM"),"")</f>
        <v/>
      </c>
      <c r="I263" s="7" t="str">
        <f>IF(LEN($C263)&gt;0,_xll.ciqfunctions.udf.CIQ($C263,"IQ_KEY_DEV_SOURCE"),"")</f>
        <v/>
      </c>
    </row>
    <row r="264" spans="2:9" x14ac:dyDescent="0.2">
      <c r="B264" s="7">
        <f t="shared" si="7"/>
        <v>257</v>
      </c>
      <c r="C264" s="7"/>
      <c r="D264" s="7" t="str">
        <f>IF(LEN($C264),_xll.ciqfunctions.udf.CIQ($C264,"IQ_KEY_DEV_HEADLINE"),"")</f>
        <v/>
      </c>
      <c r="E264" s="7" t="str">
        <f>IF(LEN($C264)&gt;0,_xll.ciqfunctions.udf.CIQ($C264,"IQ_KEY_DEV_TYPE"),"")</f>
        <v/>
      </c>
      <c r="F264" s="7" t="str">
        <f>IF(LEN($C264)&gt;0,_xll.ciqfunctions.udf.CIQ($C264,"IQ_KEY_DEV_SITUATION"),"")</f>
        <v/>
      </c>
      <c r="G264" s="19" t="str">
        <f t="shared" ref="G264:G327" si="8">+IF(LEN($C264)&gt;0,TEXT(_xll.ciqfunctions.udf.CIQ($C264,"IQ_KEY_DEV_DATE"),"dd MMM yyyy"),"")</f>
        <v/>
      </c>
      <c r="H264" s="19" t="str">
        <f>+IF(LEN($C264)&gt;0,TEXT(IF(_xll.ciqfunctions.udf.CIQ($C264,"IQ_KEY_DEV_TIME")="NA","",_xll.ciqfunctions.udf.CIQ($C264,"IQ_KEY_DEV_TIME")),"h:mm AM/PM"),"")</f>
        <v/>
      </c>
      <c r="I264" s="7" t="str">
        <f>IF(LEN($C264)&gt;0,_xll.ciqfunctions.udf.CIQ($C264,"IQ_KEY_DEV_SOURCE"),"")</f>
        <v/>
      </c>
    </row>
    <row r="265" spans="2:9" x14ac:dyDescent="0.2">
      <c r="B265" s="7">
        <f t="shared" si="7"/>
        <v>258</v>
      </c>
      <c r="C265" s="7"/>
      <c r="D265" s="7" t="str">
        <f>IF(LEN($C265),_xll.ciqfunctions.udf.CIQ($C265,"IQ_KEY_DEV_HEADLINE"),"")</f>
        <v/>
      </c>
      <c r="E265" s="7" t="str">
        <f>IF(LEN($C265)&gt;0,_xll.ciqfunctions.udf.CIQ($C265,"IQ_KEY_DEV_TYPE"),"")</f>
        <v/>
      </c>
      <c r="F265" s="7" t="str">
        <f>IF(LEN($C265)&gt;0,_xll.ciqfunctions.udf.CIQ($C265,"IQ_KEY_DEV_SITUATION"),"")</f>
        <v/>
      </c>
      <c r="G265" s="19" t="str">
        <f t="shared" si="8"/>
        <v/>
      </c>
      <c r="H265" s="19" t="str">
        <f>+IF(LEN($C265)&gt;0,TEXT(IF(_xll.ciqfunctions.udf.CIQ($C265,"IQ_KEY_DEV_TIME")="NA","",_xll.ciqfunctions.udf.CIQ($C265,"IQ_KEY_DEV_TIME")),"h:mm AM/PM"),"")</f>
        <v/>
      </c>
      <c r="I265" s="7" t="str">
        <f>IF(LEN($C265)&gt;0,_xll.ciqfunctions.udf.CIQ($C265,"IQ_KEY_DEV_SOURCE"),"")</f>
        <v/>
      </c>
    </row>
    <row r="266" spans="2:9" x14ac:dyDescent="0.2">
      <c r="B266" s="7">
        <f t="shared" si="7"/>
        <v>259</v>
      </c>
      <c r="C266" s="7"/>
      <c r="D266" s="7" t="str">
        <f>IF(LEN($C266),_xll.ciqfunctions.udf.CIQ($C266,"IQ_KEY_DEV_HEADLINE"),"")</f>
        <v/>
      </c>
      <c r="E266" s="7" t="str">
        <f>IF(LEN($C266)&gt;0,_xll.ciqfunctions.udf.CIQ($C266,"IQ_KEY_DEV_TYPE"),"")</f>
        <v/>
      </c>
      <c r="F266" s="7" t="str">
        <f>IF(LEN($C266)&gt;0,_xll.ciqfunctions.udf.CIQ($C266,"IQ_KEY_DEV_SITUATION"),"")</f>
        <v/>
      </c>
      <c r="G266" s="19" t="str">
        <f t="shared" si="8"/>
        <v/>
      </c>
      <c r="H266" s="19" t="str">
        <f>+IF(LEN($C266)&gt;0,TEXT(IF(_xll.ciqfunctions.udf.CIQ($C266,"IQ_KEY_DEV_TIME")="NA","",_xll.ciqfunctions.udf.CIQ($C266,"IQ_KEY_DEV_TIME")),"h:mm AM/PM"),"")</f>
        <v/>
      </c>
      <c r="I266" s="7" t="str">
        <f>IF(LEN($C266)&gt;0,_xll.ciqfunctions.udf.CIQ($C266,"IQ_KEY_DEV_SOURCE"),"")</f>
        <v/>
      </c>
    </row>
    <row r="267" spans="2:9" x14ac:dyDescent="0.2">
      <c r="B267" s="7">
        <f t="shared" si="7"/>
        <v>260</v>
      </c>
      <c r="C267" s="7"/>
      <c r="D267" s="7" t="str">
        <f>IF(LEN($C267),_xll.ciqfunctions.udf.CIQ($C267,"IQ_KEY_DEV_HEADLINE"),"")</f>
        <v/>
      </c>
      <c r="E267" s="7" t="str">
        <f>IF(LEN($C267)&gt;0,_xll.ciqfunctions.udf.CIQ($C267,"IQ_KEY_DEV_TYPE"),"")</f>
        <v/>
      </c>
      <c r="F267" s="7" t="str">
        <f>IF(LEN($C267)&gt;0,_xll.ciqfunctions.udf.CIQ($C267,"IQ_KEY_DEV_SITUATION"),"")</f>
        <v/>
      </c>
      <c r="G267" s="19" t="str">
        <f t="shared" si="8"/>
        <v/>
      </c>
      <c r="H267" s="19" t="str">
        <f>+IF(LEN($C267)&gt;0,TEXT(IF(_xll.ciqfunctions.udf.CIQ($C267,"IQ_KEY_DEV_TIME")="NA","",_xll.ciqfunctions.udf.CIQ($C267,"IQ_KEY_DEV_TIME")),"h:mm AM/PM"),"")</f>
        <v/>
      </c>
      <c r="I267" s="7" t="str">
        <f>IF(LEN($C267)&gt;0,_xll.ciqfunctions.udf.CIQ($C267,"IQ_KEY_DEV_SOURCE"),"")</f>
        <v/>
      </c>
    </row>
    <row r="268" spans="2:9" x14ac:dyDescent="0.2">
      <c r="B268" s="7">
        <f t="shared" si="7"/>
        <v>261</v>
      </c>
      <c r="C268" s="7"/>
      <c r="D268" s="7" t="str">
        <f>IF(LEN($C268),_xll.ciqfunctions.udf.CIQ($C268,"IQ_KEY_DEV_HEADLINE"),"")</f>
        <v/>
      </c>
      <c r="E268" s="7" t="str">
        <f>IF(LEN($C268)&gt;0,_xll.ciqfunctions.udf.CIQ($C268,"IQ_KEY_DEV_TYPE"),"")</f>
        <v/>
      </c>
      <c r="F268" s="7" t="str">
        <f>IF(LEN($C268)&gt;0,_xll.ciqfunctions.udf.CIQ($C268,"IQ_KEY_DEV_SITUATION"),"")</f>
        <v/>
      </c>
      <c r="G268" s="19" t="str">
        <f t="shared" si="8"/>
        <v/>
      </c>
      <c r="H268" s="19" t="str">
        <f>+IF(LEN($C268)&gt;0,TEXT(IF(_xll.ciqfunctions.udf.CIQ($C268,"IQ_KEY_DEV_TIME")="NA","",_xll.ciqfunctions.udf.CIQ($C268,"IQ_KEY_DEV_TIME")),"h:mm AM/PM"),"")</f>
        <v/>
      </c>
      <c r="I268" s="7" t="str">
        <f>IF(LEN($C268)&gt;0,_xll.ciqfunctions.udf.CIQ($C268,"IQ_KEY_DEV_SOURCE"),"")</f>
        <v/>
      </c>
    </row>
    <row r="269" spans="2:9" x14ac:dyDescent="0.2">
      <c r="B269" s="7">
        <f t="shared" si="7"/>
        <v>262</v>
      </c>
      <c r="C269" s="7"/>
      <c r="D269" s="7" t="str">
        <f>IF(LEN($C269),_xll.ciqfunctions.udf.CIQ($C269,"IQ_KEY_DEV_HEADLINE"),"")</f>
        <v/>
      </c>
      <c r="E269" s="7" t="str">
        <f>IF(LEN($C269)&gt;0,_xll.ciqfunctions.udf.CIQ($C269,"IQ_KEY_DEV_TYPE"),"")</f>
        <v/>
      </c>
      <c r="F269" s="7" t="str">
        <f>IF(LEN($C269)&gt;0,_xll.ciqfunctions.udf.CIQ($C269,"IQ_KEY_DEV_SITUATION"),"")</f>
        <v/>
      </c>
      <c r="G269" s="19" t="str">
        <f t="shared" si="8"/>
        <v/>
      </c>
      <c r="H269" s="19" t="str">
        <f>+IF(LEN($C269)&gt;0,TEXT(IF(_xll.ciqfunctions.udf.CIQ($C269,"IQ_KEY_DEV_TIME")="NA","",_xll.ciqfunctions.udf.CIQ($C269,"IQ_KEY_DEV_TIME")),"h:mm AM/PM"),"")</f>
        <v/>
      </c>
      <c r="I269" s="7" t="str">
        <f>IF(LEN($C269)&gt;0,_xll.ciqfunctions.udf.CIQ($C269,"IQ_KEY_DEV_SOURCE"),"")</f>
        <v/>
      </c>
    </row>
    <row r="270" spans="2:9" x14ac:dyDescent="0.2">
      <c r="B270" s="7">
        <f t="shared" si="7"/>
        <v>263</v>
      </c>
      <c r="C270" s="7"/>
      <c r="D270" s="7" t="str">
        <f>IF(LEN($C270),_xll.ciqfunctions.udf.CIQ($C270,"IQ_KEY_DEV_HEADLINE"),"")</f>
        <v/>
      </c>
      <c r="E270" s="7" t="str">
        <f>IF(LEN($C270)&gt;0,_xll.ciqfunctions.udf.CIQ($C270,"IQ_KEY_DEV_TYPE"),"")</f>
        <v/>
      </c>
      <c r="F270" s="7" t="str">
        <f>IF(LEN($C270)&gt;0,_xll.ciqfunctions.udf.CIQ($C270,"IQ_KEY_DEV_SITUATION"),"")</f>
        <v/>
      </c>
      <c r="G270" s="19" t="str">
        <f t="shared" si="8"/>
        <v/>
      </c>
      <c r="H270" s="19" t="str">
        <f>+IF(LEN($C270)&gt;0,TEXT(IF(_xll.ciqfunctions.udf.CIQ($C270,"IQ_KEY_DEV_TIME")="NA","",_xll.ciqfunctions.udf.CIQ($C270,"IQ_KEY_DEV_TIME")),"h:mm AM/PM"),"")</f>
        <v/>
      </c>
      <c r="I270" s="7" t="str">
        <f>IF(LEN($C270)&gt;0,_xll.ciqfunctions.udf.CIQ($C270,"IQ_KEY_DEV_SOURCE"),"")</f>
        <v/>
      </c>
    </row>
    <row r="271" spans="2:9" x14ac:dyDescent="0.2">
      <c r="B271" s="7">
        <f t="shared" si="7"/>
        <v>264</v>
      </c>
      <c r="C271" s="7"/>
      <c r="D271" s="7" t="str">
        <f>IF(LEN($C271),_xll.ciqfunctions.udf.CIQ($C271,"IQ_KEY_DEV_HEADLINE"),"")</f>
        <v/>
      </c>
      <c r="E271" s="7" t="str">
        <f>IF(LEN($C271)&gt;0,_xll.ciqfunctions.udf.CIQ($C271,"IQ_KEY_DEV_TYPE"),"")</f>
        <v/>
      </c>
      <c r="F271" s="7" t="str">
        <f>IF(LEN($C271)&gt;0,_xll.ciqfunctions.udf.CIQ($C271,"IQ_KEY_DEV_SITUATION"),"")</f>
        <v/>
      </c>
      <c r="G271" s="19" t="str">
        <f t="shared" si="8"/>
        <v/>
      </c>
      <c r="H271" s="19" t="str">
        <f>+IF(LEN($C271)&gt;0,TEXT(IF(_xll.ciqfunctions.udf.CIQ($C271,"IQ_KEY_DEV_TIME")="NA","",_xll.ciqfunctions.udf.CIQ($C271,"IQ_KEY_DEV_TIME")),"h:mm AM/PM"),"")</f>
        <v/>
      </c>
      <c r="I271" s="7" t="str">
        <f>IF(LEN($C271)&gt;0,_xll.ciqfunctions.udf.CIQ($C271,"IQ_KEY_DEV_SOURCE"),"")</f>
        <v/>
      </c>
    </row>
    <row r="272" spans="2:9" x14ac:dyDescent="0.2">
      <c r="B272" s="7">
        <f t="shared" si="7"/>
        <v>265</v>
      </c>
      <c r="C272" s="7"/>
      <c r="D272" s="7" t="str">
        <f>IF(LEN($C272),_xll.ciqfunctions.udf.CIQ($C272,"IQ_KEY_DEV_HEADLINE"),"")</f>
        <v/>
      </c>
      <c r="E272" s="7" t="str">
        <f>IF(LEN($C272)&gt;0,_xll.ciqfunctions.udf.CIQ($C272,"IQ_KEY_DEV_TYPE"),"")</f>
        <v/>
      </c>
      <c r="F272" s="7" t="str">
        <f>IF(LEN($C272)&gt;0,_xll.ciqfunctions.udf.CIQ($C272,"IQ_KEY_DEV_SITUATION"),"")</f>
        <v/>
      </c>
      <c r="G272" s="19" t="str">
        <f t="shared" si="8"/>
        <v/>
      </c>
      <c r="H272" s="19" t="str">
        <f>+IF(LEN($C272)&gt;0,TEXT(IF(_xll.ciqfunctions.udf.CIQ($C272,"IQ_KEY_DEV_TIME")="NA","",_xll.ciqfunctions.udf.CIQ($C272,"IQ_KEY_DEV_TIME")),"h:mm AM/PM"),"")</f>
        <v/>
      </c>
      <c r="I272" s="7" t="str">
        <f>IF(LEN($C272)&gt;0,_xll.ciqfunctions.udf.CIQ($C272,"IQ_KEY_DEV_SOURCE"),"")</f>
        <v/>
      </c>
    </row>
    <row r="273" spans="2:9" x14ac:dyDescent="0.2">
      <c r="B273" s="7">
        <f t="shared" si="7"/>
        <v>266</v>
      </c>
      <c r="C273" s="7"/>
      <c r="D273" s="7" t="str">
        <f>IF(LEN($C273),_xll.ciqfunctions.udf.CIQ($C273,"IQ_KEY_DEV_HEADLINE"),"")</f>
        <v/>
      </c>
      <c r="E273" s="7" t="str">
        <f>IF(LEN($C273)&gt;0,_xll.ciqfunctions.udf.CIQ($C273,"IQ_KEY_DEV_TYPE"),"")</f>
        <v/>
      </c>
      <c r="F273" s="7" t="str">
        <f>IF(LEN($C273)&gt;0,_xll.ciqfunctions.udf.CIQ($C273,"IQ_KEY_DEV_SITUATION"),"")</f>
        <v/>
      </c>
      <c r="G273" s="19" t="str">
        <f t="shared" si="8"/>
        <v/>
      </c>
      <c r="H273" s="19" t="str">
        <f>+IF(LEN($C273)&gt;0,TEXT(IF(_xll.ciqfunctions.udf.CIQ($C273,"IQ_KEY_DEV_TIME")="NA","",_xll.ciqfunctions.udf.CIQ($C273,"IQ_KEY_DEV_TIME")),"h:mm AM/PM"),"")</f>
        <v/>
      </c>
      <c r="I273" s="7" t="str">
        <f>IF(LEN($C273)&gt;0,_xll.ciqfunctions.udf.CIQ($C273,"IQ_KEY_DEV_SOURCE"),"")</f>
        <v/>
      </c>
    </row>
    <row r="274" spans="2:9" x14ac:dyDescent="0.2">
      <c r="B274" s="7">
        <f t="shared" si="7"/>
        <v>267</v>
      </c>
      <c r="C274" s="7"/>
      <c r="D274" s="7" t="str">
        <f>IF(LEN($C274),_xll.ciqfunctions.udf.CIQ($C274,"IQ_KEY_DEV_HEADLINE"),"")</f>
        <v/>
      </c>
      <c r="E274" s="7" t="str">
        <f>IF(LEN($C274)&gt;0,_xll.ciqfunctions.udf.CIQ($C274,"IQ_KEY_DEV_TYPE"),"")</f>
        <v/>
      </c>
      <c r="F274" s="7" t="str">
        <f>IF(LEN($C274)&gt;0,_xll.ciqfunctions.udf.CIQ($C274,"IQ_KEY_DEV_SITUATION"),"")</f>
        <v/>
      </c>
      <c r="G274" s="19" t="str">
        <f t="shared" si="8"/>
        <v/>
      </c>
      <c r="H274" s="19" t="str">
        <f>+IF(LEN($C274)&gt;0,TEXT(IF(_xll.ciqfunctions.udf.CIQ($C274,"IQ_KEY_DEV_TIME")="NA","",_xll.ciqfunctions.udf.CIQ($C274,"IQ_KEY_DEV_TIME")),"h:mm AM/PM"),"")</f>
        <v/>
      </c>
      <c r="I274" s="7" t="str">
        <f>IF(LEN($C274)&gt;0,_xll.ciqfunctions.udf.CIQ($C274,"IQ_KEY_DEV_SOURCE"),"")</f>
        <v/>
      </c>
    </row>
    <row r="275" spans="2:9" x14ac:dyDescent="0.2">
      <c r="B275" s="7">
        <f t="shared" si="7"/>
        <v>268</v>
      </c>
      <c r="C275" s="7"/>
      <c r="D275" s="7" t="str">
        <f>IF(LEN($C275),_xll.ciqfunctions.udf.CIQ($C275,"IQ_KEY_DEV_HEADLINE"),"")</f>
        <v/>
      </c>
      <c r="E275" s="7" t="str">
        <f>IF(LEN($C275)&gt;0,_xll.ciqfunctions.udf.CIQ($C275,"IQ_KEY_DEV_TYPE"),"")</f>
        <v/>
      </c>
      <c r="F275" s="7" t="str">
        <f>IF(LEN($C275)&gt;0,_xll.ciqfunctions.udf.CIQ($C275,"IQ_KEY_DEV_SITUATION"),"")</f>
        <v/>
      </c>
      <c r="G275" s="19" t="str">
        <f t="shared" si="8"/>
        <v/>
      </c>
      <c r="H275" s="19" t="str">
        <f>+IF(LEN($C275)&gt;0,TEXT(IF(_xll.ciqfunctions.udf.CIQ($C275,"IQ_KEY_DEV_TIME")="NA","",_xll.ciqfunctions.udf.CIQ($C275,"IQ_KEY_DEV_TIME")),"h:mm AM/PM"),"")</f>
        <v/>
      </c>
      <c r="I275" s="7" t="str">
        <f>IF(LEN($C275)&gt;0,_xll.ciqfunctions.udf.CIQ($C275,"IQ_KEY_DEV_SOURCE"),"")</f>
        <v/>
      </c>
    </row>
    <row r="276" spans="2:9" x14ac:dyDescent="0.2">
      <c r="B276" s="7">
        <f t="shared" ref="B276:B339" si="9">+B275+1</f>
        <v>269</v>
      </c>
      <c r="C276" s="7"/>
      <c r="D276" s="7" t="str">
        <f>IF(LEN($C276),_xll.ciqfunctions.udf.CIQ($C276,"IQ_KEY_DEV_HEADLINE"),"")</f>
        <v/>
      </c>
      <c r="E276" s="7" t="str">
        <f>IF(LEN($C276)&gt;0,_xll.ciqfunctions.udf.CIQ($C276,"IQ_KEY_DEV_TYPE"),"")</f>
        <v/>
      </c>
      <c r="F276" s="7" t="str">
        <f>IF(LEN($C276)&gt;0,_xll.ciqfunctions.udf.CIQ($C276,"IQ_KEY_DEV_SITUATION"),"")</f>
        <v/>
      </c>
      <c r="G276" s="19" t="str">
        <f t="shared" si="8"/>
        <v/>
      </c>
      <c r="H276" s="19" t="str">
        <f>+IF(LEN($C276)&gt;0,TEXT(IF(_xll.ciqfunctions.udf.CIQ($C276,"IQ_KEY_DEV_TIME")="NA","",_xll.ciqfunctions.udf.CIQ($C276,"IQ_KEY_DEV_TIME")),"h:mm AM/PM"),"")</f>
        <v/>
      </c>
      <c r="I276" s="7" t="str">
        <f>IF(LEN($C276)&gt;0,_xll.ciqfunctions.udf.CIQ($C276,"IQ_KEY_DEV_SOURCE"),"")</f>
        <v/>
      </c>
    </row>
    <row r="277" spans="2:9" x14ac:dyDescent="0.2">
      <c r="B277" s="7">
        <f t="shared" si="9"/>
        <v>270</v>
      </c>
      <c r="C277" s="7"/>
      <c r="D277" s="7" t="str">
        <f>IF(LEN($C277),_xll.ciqfunctions.udf.CIQ($C277,"IQ_KEY_DEV_HEADLINE"),"")</f>
        <v/>
      </c>
      <c r="E277" s="7" t="str">
        <f>IF(LEN($C277)&gt;0,_xll.ciqfunctions.udf.CIQ($C277,"IQ_KEY_DEV_TYPE"),"")</f>
        <v/>
      </c>
      <c r="F277" s="7" t="str">
        <f>IF(LEN($C277)&gt;0,_xll.ciqfunctions.udf.CIQ($C277,"IQ_KEY_DEV_SITUATION"),"")</f>
        <v/>
      </c>
      <c r="G277" s="19" t="str">
        <f t="shared" si="8"/>
        <v/>
      </c>
      <c r="H277" s="19" t="str">
        <f>+IF(LEN($C277)&gt;0,TEXT(IF(_xll.ciqfunctions.udf.CIQ($C277,"IQ_KEY_DEV_TIME")="NA","",_xll.ciqfunctions.udf.CIQ($C277,"IQ_KEY_DEV_TIME")),"h:mm AM/PM"),"")</f>
        <v/>
      </c>
      <c r="I277" s="7" t="str">
        <f>IF(LEN($C277)&gt;0,_xll.ciqfunctions.udf.CIQ($C277,"IQ_KEY_DEV_SOURCE"),"")</f>
        <v/>
      </c>
    </row>
    <row r="278" spans="2:9" x14ac:dyDescent="0.2">
      <c r="B278" s="7">
        <f t="shared" si="9"/>
        <v>271</v>
      </c>
      <c r="C278" s="7"/>
      <c r="D278" s="7" t="str">
        <f>IF(LEN($C278),_xll.ciqfunctions.udf.CIQ($C278,"IQ_KEY_DEV_HEADLINE"),"")</f>
        <v/>
      </c>
      <c r="E278" s="7" t="str">
        <f>IF(LEN($C278)&gt;0,_xll.ciqfunctions.udf.CIQ($C278,"IQ_KEY_DEV_TYPE"),"")</f>
        <v/>
      </c>
      <c r="F278" s="7" t="str">
        <f>IF(LEN($C278)&gt;0,_xll.ciqfunctions.udf.CIQ($C278,"IQ_KEY_DEV_SITUATION"),"")</f>
        <v/>
      </c>
      <c r="G278" s="19" t="str">
        <f t="shared" si="8"/>
        <v/>
      </c>
      <c r="H278" s="19" t="str">
        <f>+IF(LEN($C278)&gt;0,TEXT(IF(_xll.ciqfunctions.udf.CIQ($C278,"IQ_KEY_DEV_TIME")="NA","",_xll.ciqfunctions.udf.CIQ($C278,"IQ_KEY_DEV_TIME")),"h:mm AM/PM"),"")</f>
        <v/>
      </c>
      <c r="I278" s="7" t="str">
        <f>IF(LEN($C278)&gt;0,_xll.ciqfunctions.udf.CIQ($C278,"IQ_KEY_DEV_SOURCE"),"")</f>
        <v/>
      </c>
    </row>
    <row r="279" spans="2:9" x14ac:dyDescent="0.2">
      <c r="B279" s="7">
        <f t="shared" si="9"/>
        <v>272</v>
      </c>
      <c r="C279" s="7"/>
      <c r="D279" s="7" t="str">
        <f>IF(LEN($C279),_xll.ciqfunctions.udf.CIQ($C279,"IQ_KEY_DEV_HEADLINE"),"")</f>
        <v/>
      </c>
      <c r="E279" s="7" t="str">
        <f>IF(LEN($C279)&gt;0,_xll.ciqfunctions.udf.CIQ($C279,"IQ_KEY_DEV_TYPE"),"")</f>
        <v/>
      </c>
      <c r="F279" s="7" t="str">
        <f>IF(LEN($C279)&gt;0,_xll.ciqfunctions.udf.CIQ($C279,"IQ_KEY_DEV_SITUATION"),"")</f>
        <v/>
      </c>
      <c r="G279" s="19" t="str">
        <f t="shared" si="8"/>
        <v/>
      </c>
      <c r="H279" s="19" t="str">
        <f>+IF(LEN($C279)&gt;0,TEXT(IF(_xll.ciqfunctions.udf.CIQ($C279,"IQ_KEY_DEV_TIME")="NA","",_xll.ciqfunctions.udf.CIQ($C279,"IQ_KEY_DEV_TIME")),"h:mm AM/PM"),"")</f>
        <v/>
      </c>
      <c r="I279" s="7" t="str">
        <f>IF(LEN($C279)&gt;0,_xll.ciqfunctions.udf.CIQ($C279,"IQ_KEY_DEV_SOURCE"),"")</f>
        <v/>
      </c>
    </row>
    <row r="280" spans="2:9" x14ac:dyDescent="0.2">
      <c r="B280" s="7">
        <f t="shared" si="9"/>
        <v>273</v>
      </c>
      <c r="C280" s="7"/>
      <c r="D280" s="7" t="str">
        <f>IF(LEN($C280),_xll.ciqfunctions.udf.CIQ($C280,"IQ_KEY_DEV_HEADLINE"),"")</f>
        <v/>
      </c>
      <c r="E280" s="7" t="str">
        <f>IF(LEN($C280)&gt;0,_xll.ciqfunctions.udf.CIQ($C280,"IQ_KEY_DEV_TYPE"),"")</f>
        <v/>
      </c>
      <c r="F280" s="7" t="str">
        <f>IF(LEN($C280)&gt;0,_xll.ciqfunctions.udf.CIQ($C280,"IQ_KEY_DEV_SITUATION"),"")</f>
        <v/>
      </c>
      <c r="G280" s="19" t="str">
        <f t="shared" si="8"/>
        <v/>
      </c>
      <c r="H280" s="19" t="str">
        <f>+IF(LEN($C280)&gt;0,TEXT(IF(_xll.ciqfunctions.udf.CIQ($C280,"IQ_KEY_DEV_TIME")="NA","",_xll.ciqfunctions.udf.CIQ($C280,"IQ_KEY_DEV_TIME")),"h:mm AM/PM"),"")</f>
        <v/>
      </c>
      <c r="I280" s="7" t="str">
        <f>IF(LEN($C280)&gt;0,_xll.ciqfunctions.udf.CIQ($C280,"IQ_KEY_DEV_SOURCE"),"")</f>
        <v/>
      </c>
    </row>
    <row r="281" spans="2:9" x14ac:dyDescent="0.2">
      <c r="B281" s="7">
        <f t="shared" si="9"/>
        <v>274</v>
      </c>
      <c r="C281" s="7"/>
      <c r="D281" s="7" t="str">
        <f>IF(LEN($C281),_xll.ciqfunctions.udf.CIQ($C281,"IQ_KEY_DEV_HEADLINE"),"")</f>
        <v/>
      </c>
      <c r="E281" s="7" t="str">
        <f>IF(LEN($C281)&gt;0,_xll.ciqfunctions.udf.CIQ($C281,"IQ_KEY_DEV_TYPE"),"")</f>
        <v/>
      </c>
      <c r="F281" s="7" t="str">
        <f>IF(LEN($C281)&gt;0,_xll.ciqfunctions.udf.CIQ($C281,"IQ_KEY_DEV_SITUATION"),"")</f>
        <v/>
      </c>
      <c r="G281" s="19" t="str">
        <f t="shared" si="8"/>
        <v/>
      </c>
      <c r="H281" s="19" t="str">
        <f>+IF(LEN($C281)&gt;0,TEXT(IF(_xll.ciqfunctions.udf.CIQ($C281,"IQ_KEY_DEV_TIME")="NA","",_xll.ciqfunctions.udf.CIQ($C281,"IQ_KEY_DEV_TIME")),"h:mm AM/PM"),"")</f>
        <v/>
      </c>
      <c r="I281" s="7" t="str">
        <f>IF(LEN($C281)&gt;0,_xll.ciqfunctions.udf.CIQ($C281,"IQ_KEY_DEV_SOURCE"),"")</f>
        <v/>
      </c>
    </row>
    <row r="282" spans="2:9" x14ac:dyDescent="0.2">
      <c r="B282" s="7">
        <f t="shared" si="9"/>
        <v>275</v>
      </c>
      <c r="C282" s="7"/>
      <c r="D282" s="7" t="str">
        <f>IF(LEN($C282),_xll.ciqfunctions.udf.CIQ($C282,"IQ_KEY_DEV_HEADLINE"),"")</f>
        <v/>
      </c>
      <c r="E282" s="7" t="str">
        <f>IF(LEN($C282)&gt;0,_xll.ciqfunctions.udf.CIQ($C282,"IQ_KEY_DEV_TYPE"),"")</f>
        <v/>
      </c>
      <c r="F282" s="7" t="str">
        <f>IF(LEN($C282)&gt;0,_xll.ciqfunctions.udf.CIQ($C282,"IQ_KEY_DEV_SITUATION"),"")</f>
        <v/>
      </c>
      <c r="G282" s="19" t="str">
        <f t="shared" si="8"/>
        <v/>
      </c>
      <c r="H282" s="19" t="str">
        <f>+IF(LEN($C282)&gt;0,TEXT(IF(_xll.ciqfunctions.udf.CIQ($C282,"IQ_KEY_DEV_TIME")="NA","",_xll.ciqfunctions.udf.CIQ($C282,"IQ_KEY_DEV_TIME")),"h:mm AM/PM"),"")</f>
        <v/>
      </c>
      <c r="I282" s="7" t="str">
        <f>IF(LEN($C282)&gt;0,_xll.ciqfunctions.udf.CIQ($C282,"IQ_KEY_DEV_SOURCE"),"")</f>
        <v/>
      </c>
    </row>
    <row r="283" spans="2:9" x14ac:dyDescent="0.2">
      <c r="B283" s="7">
        <f t="shared" si="9"/>
        <v>276</v>
      </c>
      <c r="C283" s="7"/>
      <c r="D283" s="7" t="str">
        <f>IF(LEN($C283),_xll.ciqfunctions.udf.CIQ($C283,"IQ_KEY_DEV_HEADLINE"),"")</f>
        <v/>
      </c>
      <c r="E283" s="7" t="str">
        <f>IF(LEN($C283)&gt;0,_xll.ciqfunctions.udf.CIQ($C283,"IQ_KEY_DEV_TYPE"),"")</f>
        <v/>
      </c>
      <c r="F283" s="7" t="str">
        <f>IF(LEN($C283)&gt;0,_xll.ciqfunctions.udf.CIQ($C283,"IQ_KEY_DEV_SITUATION"),"")</f>
        <v/>
      </c>
      <c r="G283" s="19" t="str">
        <f t="shared" si="8"/>
        <v/>
      </c>
      <c r="H283" s="19" t="str">
        <f>+IF(LEN($C283)&gt;0,TEXT(IF(_xll.ciqfunctions.udf.CIQ($C283,"IQ_KEY_DEV_TIME")="NA","",_xll.ciqfunctions.udf.CIQ($C283,"IQ_KEY_DEV_TIME")),"h:mm AM/PM"),"")</f>
        <v/>
      </c>
      <c r="I283" s="7" t="str">
        <f>IF(LEN($C283)&gt;0,_xll.ciqfunctions.udf.CIQ($C283,"IQ_KEY_DEV_SOURCE"),"")</f>
        <v/>
      </c>
    </row>
    <row r="284" spans="2:9" x14ac:dyDescent="0.2">
      <c r="B284" s="7">
        <f t="shared" si="9"/>
        <v>277</v>
      </c>
      <c r="C284" s="7"/>
      <c r="D284" s="7" t="str">
        <f>IF(LEN($C284),_xll.ciqfunctions.udf.CIQ($C284,"IQ_KEY_DEV_HEADLINE"),"")</f>
        <v/>
      </c>
      <c r="E284" s="7" t="str">
        <f>IF(LEN($C284)&gt;0,_xll.ciqfunctions.udf.CIQ($C284,"IQ_KEY_DEV_TYPE"),"")</f>
        <v/>
      </c>
      <c r="F284" s="7" t="str">
        <f>IF(LEN($C284)&gt;0,_xll.ciqfunctions.udf.CIQ($C284,"IQ_KEY_DEV_SITUATION"),"")</f>
        <v/>
      </c>
      <c r="G284" s="19" t="str">
        <f t="shared" si="8"/>
        <v/>
      </c>
      <c r="H284" s="19" t="str">
        <f>+IF(LEN($C284)&gt;0,TEXT(IF(_xll.ciqfunctions.udf.CIQ($C284,"IQ_KEY_DEV_TIME")="NA","",_xll.ciqfunctions.udf.CIQ($C284,"IQ_KEY_DEV_TIME")),"h:mm AM/PM"),"")</f>
        <v/>
      </c>
      <c r="I284" s="7" t="str">
        <f>IF(LEN($C284)&gt;0,_xll.ciqfunctions.udf.CIQ($C284,"IQ_KEY_DEV_SOURCE"),"")</f>
        <v/>
      </c>
    </row>
    <row r="285" spans="2:9" x14ac:dyDescent="0.2">
      <c r="B285" s="7">
        <f t="shared" si="9"/>
        <v>278</v>
      </c>
      <c r="C285" s="7"/>
      <c r="D285" s="7" t="str">
        <f>IF(LEN($C285),_xll.ciqfunctions.udf.CIQ($C285,"IQ_KEY_DEV_HEADLINE"),"")</f>
        <v/>
      </c>
      <c r="E285" s="7" t="str">
        <f>IF(LEN($C285)&gt;0,_xll.ciqfunctions.udf.CIQ($C285,"IQ_KEY_DEV_TYPE"),"")</f>
        <v/>
      </c>
      <c r="F285" s="7" t="str">
        <f>IF(LEN($C285)&gt;0,_xll.ciqfunctions.udf.CIQ($C285,"IQ_KEY_DEV_SITUATION"),"")</f>
        <v/>
      </c>
      <c r="G285" s="19" t="str">
        <f t="shared" si="8"/>
        <v/>
      </c>
      <c r="H285" s="19" t="str">
        <f>+IF(LEN($C285)&gt;0,TEXT(IF(_xll.ciqfunctions.udf.CIQ($C285,"IQ_KEY_DEV_TIME")="NA","",_xll.ciqfunctions.udf.CIQ($C285,"IQ_KEY_DEV_TIME")),"h:mm AM/PM"),"")</f>
        <v/>
      </c>
      <c r="I285" s="7" t="str">
        <f>IF(LEN($C285)&gt;0,_xll.ciqfunctions.udf.CIQ($C285,"IQ_KEY_DEV_SOURCE"),"")</f>
        <v/>
      </c>
    </row>
    <row r="286" spans="2:9" x14ac:dyDescent="0.2">
      <c r="B286" s="7">
        <f t="shared" si="9"/>
        <v>279</v>
      </c>
      <c r="C286" s="7"/>
      <c r="D286" s="7" t="str">
        <f>IF(LEN($C286),_xll.ciqfunctions.udf.CIQ($C286,"IQ_KEY_DEV_HEADLINE"),"")</f>
        <v/>
      </c>
      <c r="E286" s="7" t="str">
        <f>IF(LEN($C286)&gt;0,_xll.ciqfunctions.udf.CIQ($C286,"IQ_KEY_DEV_TYPE"),"")</f>
        <v/>
      </c>
      <c r="F286" s="7" t="str">
        <f>IF(LEN($C286)&gt;0,_xll.ciqfunctions.udf.CIQ($C286,"IQ_KEY_DEV_SITUATION"),"")</f>
        <v/>
      </c>
      <c r="G286" s="19" t="str">
        <f t="shared" si="8"/>
        <v/>
      </c>
      <c r="H286" s="19" t="str">
        <f>+IF(LEN($C286)&gt;0,TEXT(IF(_xll.ciqfunctions.udf.CIQ($C286,"IQ_KEY_DEV_TIME")="NA","",_xll.ciqfunctions.udf.CIQ($C286,"IQ_KEY_DEV_TIME")),"h:mm AM/PM"),"")</f>
        <v/>
      </c>
      <c r="I286" s="7" t="str">
        <f>IF(LEN($C286)&gt;0,_xll.ciqfunctions.udf.CIQ($C286,"IQ_KEY_DEV_SOURCE"),"")</f>
        <v/>
      </c>
    </row>
    <row r="287" spans="2:9" x14ac:dyDescent="0.2">
      <c r="B287" s="7">
        <f t="shared" si="9"/>
        <v>280</v>
      </c>
      <c r="C287" s="7"/>
      <c r="D287" s="7" t="str">
        <f>IF(LEN($C287),_xll.ciqfunctions.udf.CIQ($C287,"IQ_KEY_DEV_HEADLINE"),"")</f>
        <v/>
      </c>
      <c r="E287" s="7" t="str">
        <f>IF(LEN($C287)&gt;0,_xll.ciqfunctions.udf.CIQ($C287,"IQ_KEY_DEV_TYPE"),"")</f>
        <v/>
      </c>
      <c r="F287" s="7" t="str">
        <f>IF(LEN($C287)&gt;0,_xll.ciqfunctions.udf.CIQ($C287,"IQ_KEY_DEV_SITUATION"),"")</f>
        <v/>
      </c>
      <c r="G287" s="19" t="str">
        <f t="shared" si="8"/>
        <v/>
      </c>
      <c r="H287" s="19" t="str">
        <f>+IF(LEN($C287)&gt;0,TEXT(IF(_xll.ciqfunctions.udf.CIQ($C287,"IQ_KEY_DEV_TIME")="NA","",_xll.ciqfunctions.udf.CIQ($C287,"IQ_KEY_DEV_TIME")),"h:mm AM/PM"),"")</f>
        <v/>
      </c>
      <c r="I287" s="7" t="str">
        <f>IF(LEN($C287)&gt;0,_xll.ciqfunctions.udf.CIQ($C287,"IQ_KEY_DEV_SOURCE"),"")</f>
        <v/>
      </c>
    </row>
    <row r="288" spans="2:9" x14ac:dyDescent="0.2">
      <c r="B288" s="7">
        <f t="shared" si="9"/>
        <v>281</v>
      </c>
      <c r="C288" s="7"/>
      <c r="D288" s="7" t="str">
        <f>IF(LEN($C288),_xll.ciqfunctions.udf.CIQ($C288,"IQ_KEY_DEV_HEADLINE"),"")</f>
        <v/>
      </c>
      <c r="E288" s="7" t="str">
        <f>IF(LEN($C288)&gt;0,_xll.ciqfunctions.udf.CIQ($C288,"IQ_KEY_DEV_TYPE"),"")</f>
        <v/>
      </c>
      <c r="F288" s="7" t="str">
        <f>IF(LEN($C288)&gt;0,_xll.ciqfunctions.udf.CIQ($C288,"IQ_KEY_DEV_SITUATION"),"")</f>
        <v/>
      </c>
      <c r="G288" s="19" t="str">
        <f t="shared" si="8"/>
        <v/>
      </c>
      <c r="H288" s="19" t="str">
        <f>+IF(LEN($C288)&gt;0,TEXT(IF(_xll.ciqfunctions.udf.CIQ($C288,"IQ_KEY_DEV_TIME")="NA","",_xll.ciqfunctions.udf.CIQ($C288,"IQ_KEY_DEV_TIME")),"h:mm AM/PM"),"")</f>
        <v/>
      </c>
      <c r="I288" s="7" t="str">
        <f>IF(LEN($C288)&gt;0,_xll.ciqfunctions.udf.CIQ($C288,"IQ_KEY_DEV_SOURCE"),"")</f>
        <v/>
      </c>
    </row>
    <row r="289" spans="2:9" x14ac:dyDescent="0.2">
      <c r="B289" s="7">
        <f t="shared" si="9"/>
        <v>282</v>
      </c>
      <c r="C289" s="7"/>
      <c r="D289" s="7" t="str">
        <f>IF(LEN($C289),_xll.ciqfunctions.udf.CIQ($C289,"IQ_KEY_DEV_HEADLINE"),"")</f>
        <v/>
      </c>
      <c r="E289" s="7" t="str">
        <f>IF(LEN($C289)&gt;0,_xll.ciqfunctions.udf.CIQ($C289,"IQ_KEY_DEV_TYPE"),"")</f>
        <v/>
      </c>
      <c r="F289" s="7" t="str">
        <f>IF(LEN($C289)&gt;0,_xll.ciqfunctions.udf.CIQ($C289,"IQ_KEY_DEV_SITUATION"),"")</f>
        <v/>
      </c>
      <c r="G289" s="19" t="str">
        <f t="shared" si="8"/>
        <v/>
      </c>
      <c r="H289" s="19" t="str">
        <f>+IF(LEN($C289)&gt;0,TEXT(IF(_xll.ciqfunctions.udf.CIQ($C289,"IQ_KEY_DEV_TIME")="NA","",_xll.ciqfunctions.udf.CIQ($C289,"IQ_KEY_DEV_TIME")),"h:mm AM/PM"),"")</f>
        <v/>
      </c>
      <c r="I289" s="7" t="str">
        <f>IF(LEN($C289)&gt;0,_xll.ciqfunctions.udf.CIQ($C289,"IQ_KEY_DEV_SOURCE"),"")</f>
        <v/>
      </c>
    </row>
    <row r="290" spans="2:9" x14ac:dyDescent="0.2">
      <c r="B290" s="7">
        <f t="shared" si="9"/>
        <v>283</v>
      </c>
      <c r="C290" s="7"/>
      <c r="D290" s="7" t="str">
        <f>IF(LEN($C290),_xll.ciqfunctions.udf.CIQ($C290,"IQ_KEY_DEV_HEADLINE"),"")</f>
        <v/>
      </c>
      <c r="E290" s="7" t="str">
        <f>IF(LEN($C290)&gt;0,_xll.ciqfunctions.udf.CIQ($C290,"IQ_KEY_DEV_TYPE"),"")</f>
        <v/>
      </c>
      <c r="F290" s="7" t="str">
        <f>IF(LEN($C290)&gt;0,_xll.ciqfunctions.udf.CIQ($C290,"IQ_KEY_DEV_SITUATION"),"")</f>
        <v/>
      </c>
      <c r="G290" s="19" t="str">
        <f t="shared" si="8"/>
        <v/>
      </c>
      <c r="H290" s="19" t="str">
        <f>+IF(LEN($C290)&gt;0,TEXT(IF(_xll.ciqfunctions.udf.CIQ($C290,"IQ_KEY_DEV_TIME")="NA","",_xll.ciqfunctions.udf.CIQ($C290,"IQ_KEY_DEV_TIME")),"h:mm AM/PM"),"")</f>
        <v/>
      </c>
      <c r="I290" s="7" t="str">
        <f>IF(LEN($C290)&gt;0,_xll.ciqfunctions.udf.CIQ($C290,"IQ_KEY_DEV_SOURCE"),"")</f>
        <v/>
      </c>
    </row>
    <row r="291" spans="2:9" x14ac:dyDescent="0.2">
      <c r="B291" s="7">
        <f t="shared" si="9"/>
        <v>284</v>
      </c>
      <c r="C291" s="7"/>
      <c r="D291" s="7" t="str">
        <f>IF(LEN($C291),_xll.ciqfunctions.udf.CIQ($C291,"IQ_KEY_DEV_HEADLINE"),"")</f>
        <v/>
      </c>
      <c r="E291" s="7" t="str">
        <f>IF(LEN($C291)&gt;0,_xll.ciqfunctions.udf.CIQ($C291,"IQ_KEY_DEV_TYPE"),"")</f>
        <v/>
      </c>
      <c r="F291" s="7" t="str">
        <f>IF(LEN($C291)&gt;0,_xll.ciqfunctions.udf.CIQ($C291,"IQ_KEY_DEV_SITUATION"),"")</f>
        <v/>
      </c>
      <c r="G291" s="19" t="str">
        <f t="shared" si="8"/>
        <v/>
      </c>
      <c r="H291" s="19" t="str">
        <f>+IF(LEN($C291)&gt;0,TEXT(IF(_xll.ciqfunctions.udf.CIQ($C291,"IQ_KEY_DEV_TIME")="NA","",_xll.ciqfunctions.udf.CIQ($C291,"IQ_KEY_DEV_TIME")),"h:mm AM/PM"),"")</f>
        <v/>
      </c>
      <c r="I291" s="7" t="str">
        <f>IF(LEN($C291)&gt;0,_xll.ciqfunctions.udf.CIQ($C291,"IQ_KEY_DEV_SOURCE"),"")</f>
        <v/>
      </c>
    </row>
    <row r="292" spans="2:9" x14ac:dyDescent="0.2">
      <c r="B292" s="7">
        <f t="shared" si="9"/>
        <v>285</v>
      </c>
      <c r="C292" s="7"/>
      <c r="D292" s="7" t="str">
        <f>IF(LEN($C292),_xll.ciqfunctions.udf.CIQ($C292,"IQ_KEY_DEV_HEADLINE"),"")</f>
        <v/>
      </c>
      <c r="E292" s="7" t="str">
        <f>IF(LEN($C292)&gt;0,_xll.ciqfunctions.udf.CIQ($C292,"IQ_KEY_DEV_TYPE"),"")</f>
        <v/>
      </c>
      <c r="F292" s="7" t="str">
        <f>IF(LEN($C292)&gt;0,_xll.ciqfunctions.udf.CIQ($C292,"IQ_KEY_DEV_SITUATION"),"")</f>
        <v/>
      </c>
      <c r="G292" s="19" t="str">
        <f t="shared" si="8"/>
        <v/>
      </c>
      <c r="H292" s="19" t="str">
        <f>+IF(LEN($C292)&gt;0,TEXT(IF(_xll.ciqfunctions.udf.CIQ($C292,"IQ_KEY_DEV_TIME")="NA","",_xll.ciqfunctions.udf.CIQ($C292,"IQ_KEY_DEV_TIME")),"h:mm AM/PM"),"")</f>
        <v/>
      </c>
      <c r="I292" s="7" t="str">
        <f>IF(LEN($C292)&gt;0,_xll.ciqfunctions.udf.CIQ($C292,"IQ_KEY_DEV_SOURCE"),"")</f>
        <v/>
      </c>
    </row>
    <row r="293" spans="2:9" x14ac:dyDescent="0.2">
      <c r="B293" s="7">
        <f t="shared" si="9"/>
        <v>286</v>
      </c>
      <c r="C293" s="7"/>
      <c r="D293" s="7" t="str">
        <f>IF(LEN($C293),_xll.ciqfunctions.udf.CIQ($C293,"IQ_KEY_DEV_HEADLINE"),"")</f>
        <v/>
      </c>
      <c r="E293" s="7" t="str">
        <f>IF(LEN($C293)&gt;0,_xll.ciqfunctions.udf.CIQ($C293,"IQ_KEY_DEV_TYPE"),"")</f>
        <v/>
      </c>
      <c r="F293" s="7" t="str">
        <f>IF(LEN($C293)&gt;0,_xll.ciqfunctions.udf.CIQ($C293,"IQ_KEY_DEV_SITUATION"),"")</f>
        <v/>
      </c>
      <c r="G293" s="19" t="str">
        <f t="shared" si="8"/>
        <v/>
      </c>
      <c r="H293" s="19" t="str">
        <f>+IF(LEN($C293)&gt;0,TEXT(IF(_xll.ciqfunctions.udf.CIQ($C293,"IQ_KEY_DEV_TIME")="NA","",_xll.ciqfunctions.udf.CIQ($C293,"IQ_KEY_DEV_TIME")),"h:mm AM/PM"),"")</f>
        <v/>
      </c>
      <c r="I293" s="7" t="str">
        <f>IF(LEN($C293)&gt;0,_xll.ciqfunctions.udf.CIQ($C293,"IQ_KEY_DEV_SOURCE"),"")</f>
        <v/>
      </c>
    </row>
    <row r="294" spans="2:9" x14ac:dyDescent="0.2">
      <c r="B294" s="7">
        <f t="shared" si="9"/>
        <v>287</v>
      </c>
      <c r="C294" s="7"/>
      <c r="D294" s="7" t="str">
        <f>IF(LEN($C294),_xll.ciqfunctions.udf.CIQ($C294,"IQ_KEY_DEV_HEADLINE"),"")</f>
        <v/>
      </c>
      <c r="E294" s="7" t="str">
        <f>IF(LEN($C294)&gt;0,_xll.ciqfunctions.udf.CIQ($C294,"IQ_KEY_DEV_TYPE"),"")</f>
        <v/>
      </c>
      <c r="F294" s="7" t="str">
        <f>IF(LEN($C294)&gt;0,_xll.ciqfunctions.udf.CIQ($C294,"IQ_KEY_DEV_SITUATION"),"")</f>
        <v/>
      </c>
      <c r="G294" s="19" t="str">
        <f t="shared" si="8"/>
        <v/>
      </c>
      <c r="H294" s="19" t="str">
        <f>+IF(LEN($C294)&gt;0,TEXT(IF(_xll.ciqfunctions.udf.CIQ($C294,"IQ_KEY_DEV_TIME")="NA","",_xll.ciqfunctions.udf.CIQ($C294,"IQ_KEY_DEV_TIME")),"h:mm AM/PM"),"")</f>
        <v/>
      </c>
      <c r="I294" s="7" t="str">
        <f>IF(LEN($C294)&gt;0,_xll.ciqfunctions.udf.CIQ($C294,"IQ_KEY_DEV_SOURCE"),"")</f>
        <v/>
      </c>
    </row>
    <row r="295" spans="2:9" x14ac:dyDescent="0.2">
      <c r="B295" s="7">
        <f t="shared" si="9"/>
        <v>288</v>
      </c>
      <c r="C295" s="7"/>
      <c r="D295" s="7" t="str">
        <f>IF(LEN($C295),_xll.ciqfunctions.udf.CIQ($C295,"IQ_KEY_DEV_HEADLINE"),"")</f>
        <v/>
      </c>
      <c r="E295" s="7" t="str">
        <f>IF(LEN($C295)&gt;0,_xll.ciqfunctions.udf.CIQ($C295,"IQ_KEY_DEV_TYPE"),"")</f>
        <v/>
      </c>
      <c r="F295" s="7" t="str">
        <f>IF(LEN($C295)&gt;0,_xll.ciqfunctions.udf.CIQ($C295,"IQ_KEY_DEV_SITUATION"),"")</f>
        <v/>
      </c>
      <c r="G295" s="19" t="str">
        <f t="shared" si="8"/>
        <v/>
      </c>
      <c r="H295" s="19" t="str">
        <f>+IF(LEN($C295)&gt;0,TEXT(IF(_xll.ciqfunctions.udf.CIQ($C295,"IQ_KEY_DEV_TIME")="NA","",_xll.ciqfunctions.udf.CIQ($C295,"IQ_KEY_DEV_TIME")),"h:mm AM/PM"),"")</f>
        <v/>
      </c>
      <c r="I295" s="7" t="str">
        <f>IF(LEN($C295)&gt;0,_xll.ciqfunctions.udf.CIQ($C295,"IQ_KEY_DEV_SOURCE"),"")</f>
        <v/>
      </c>
    </row>
    <row r="296" spans="2:9" x14ac:dyDescent="0.2">
      <c r="B296" s="7">
        <f t="shared" si="9"/>
        <v>289</v>
      </c>
      <c r="C296" s="7"/>
      <c r="D296" s="7" t="str">
        <f>IF(LEN($C296),_xll.ciqfunctions.udf.CIQ($C296,"IQ_KEY_DEV_HEADLINE"),"")</f>
        <v/>
      </c>
      <c r="E296" s="7" t="str">
        <f>IF(LEN($C296)&gt;0,_xll.ciqfunctions.udf.CIQ($C296,"IQ_KEY_DEV_TYPE"),"")</f>
        <v/>
      </c>
      <c r="F296" s="7" t="str">
        <f>IF(LEN($C296)&gt;0,_xll.ciqfunctions.udf.CIQ($C296,"IQ_KEY_DEV_SITUATION"),"")</f>
        <v/>
      </c>
      <c r="G296" s="19" t="str">
        <f t="shared" si="8"/>
        <v/>
      </c>
      <c r="H296" s="19" t="str">
        <f>+IF(LEN($C296)&gt;0,TEXT(IF(_xll.ciqfunctions.udf.CIQ($C296,"IQ_KEY_DEV_TIME")="NA","",_xll.ciqfunctions.udf.CIQ($C296,"IQ_KEY_DEV_TIME")),"h:mm AM/PM"),"")</f>
        <v/>
      </c>
      <c r="I296" s="7" t="str">
        <f>IF(LEN($C296)&gt;0,_xll.ciqfunctions.udf.CIQ($C296,"IQ_KEY_DEV_SOURCE"),"")</f>
        <v/>
      </c>
    </row>
    <row r="297" spans="2:9" x14ac:dyDescent="0.2">
      <c r="B297" s="7">
        <f t="shared" si="9"/>
        <v>290</v>
      </c>
      <c r="C297" s="7"/>
      <c r="D297" s="7" t="str">
        <f>IF(LEN($C297),_xll.ciqfunctions.udf.CIQ($C297,"IQ_KEY_DEV_HEADLINE"),"")</f>
        <v/>
      </c>
      <c r="E297" s="7" t="str">
        <f>IF(LEN($C297)&gt;0,_xll.ciqfunctions.udf.CIQ($C297,"IQ_KEY_DEV_TYPE"),"")</f>
        <v/>
      </c>
      <c r="F297" s="7" t="str">
        <f>IF(LEN($C297)&gt;0,_xll.ciqfunctions.udf.CIQ($C297,"IQ_KEY_DEV_SITUATION"),"")</f>
        <v/>
      </c>
      <c r="G297" s="19" t="str">
        <f t="shared" si="8"/>
        <v/>
      </c>
      <c r="H297" s="19" t="str">
        <f>+IF(LEN($C297)&gt;0,TEXT(IF(_xll.ciqfunctions.udf.CIQ($C297,"IQ_KEY_DEV_TIME")="NA","",_xll.ciqfunctions.udf.CIQ($C297,"IQ_KEY_DEV_TIME")),"h:mm AM/PM"),"")</f>
        <v/>
      </c>
      <c r="I297" s="7" t="str">
        <f>IF(LEN($C297)&gt;0,_xll.ciqfunctions.udf.CIQ($C297,"IQ_KEY_DEV_SOURCE"),"")</f>
        <v/>
      </c>
    </row>
    <row r="298" spans="2:9" x14ac:dyDescent="0.2">
      <c r="B298" s="7">
        <f t="shared" si="9"/>
        <v>291</v>
      </c>
      <c r="C298" s="7"/>
      <c r="D298" s="7" t="str">
        <f>IF(LEN($C298),_xll.ciqfunctions.udf.CIQ($C298,"IQ_KEY_DEV_HEADLINE"),"")</f>
        <v/>
      </c>
      <c r="E298" s="7" t="str">
        <f>IF(LEN($C298)&gt;0,_xll.ciqfunctions.udf.CIQ($C298,"IQ_KEY_DEV_TYPE"),"")</f>
        <v/>
      </c>
      <c r="F298" s="7" t="str">
        <f>IF(LEN($C298)&gt;0,_xll.ciqfunctions.udf.CIQ($C298,"IQ_KEY_DEV_SITUATION"),"")</f>
        <v/>
      </c>
      <c r="G298" s="19" t="str">
        <f t="shared" si="8"/>
        <v/>
      </c>
      <c r="H298" s="19" t="str">
        <f>+IF(LEN($C298)&gt;0,TEXT(IF(_xll.ciqfunctions.udf.CIQ($C298,"IQ_KEY_DEV_TIME")="NA","",_xll.ciqfunctions.udf.CIQ($C298,"IQ_KEY_DEV_TIME")),"h:mm AM/PM"),"")</f>
        <v/>
      </c>
      <c r="I298" s="7" t="str">
        <f>IF(LEN($C298)&gt;0,_xll.ciqfunctions.udf.CIQ($C298,"IQ_KEY_DEV_SOURCE"),"")</f>
        <v/>
      </c>
    </row>
    <row r="299" spans="2:9" x14ac:dyDescent="0.2">
      <c r="B299" s="7">
        <f t="shared" si="9"/>
        <v>292</v>
      </c>
      <c r="C299" s="7"/>
      <c r="D299" s="7" t="str">
        <f>IF(LEN($C299),_xll.ciqfunctions.udf.CIQ($C299,"IQ_KEY_DEV_HEADLINE"),"")</f>
        <v/>
      </c>
      <c r="E299" s="7" t="str">
        <f>IF(LEN($C299)&gt;0,_xll.ciqfunctions.udf.CIQ($C299,"IQ_KEY_DEV_TYPE"),"")</f>
        <v/>
      </c>
      <c r="F299" s="7" t="str">
        <f>IF(LEN($C299)&gt;0,_xll.ciqfunctions.udf.CIQ($C299,"IQ_KEY_DEV_SITUATION"),"")</f>
        <v/>
      </c>
      <c r="G299" s="19" t="str">
        <f t="shared" si="8"/>
        <v/>
      </c>
      <c r="H299" s="19" t="str">
        <f>+IF(LEN($C299)&gt;0,TEXT(IF(_xll.ciqfunctions.udf.CIQ($C299,"IQ_KEY_DEV_TIME")="NA","",_xll.ciqfunctions.udf.CIQ($C299,"IQ_KEY_DEV_TIME")),"h:mm AM/PM"),"")</f>
        <v/>
      </c>
      <c r="I299" s="7" t="str">
        <f>IF(LEN($C299)&gt;0,_xll.ciqfunctions.udf.CIQ($C299,"IQ_KEY_DEV_SOURCE"),"")</f>
        <v/>
      </c>
    </row>
    <row r="300" spans="2:9" x14ac:dyDescent="0.2">
      <c r="B300" s="7">
        <f t="shared" si="9"/>
        <v>293</v>
      </c>
      <c r="C300" s="7"/>
      <c r="D300" s="7" t="str">
        <f>IF(LEN($C300),_xll.ciqfunctions.udf.CIQ($C300,"IQ_KEY_DEV_HEADLINE"),"")</f>
        <v/>
      </c>
      <c r="E300" s="7" t="str">
        <f>IF(LEN($C300)&gt;0,_xll.ciqfunctions.udf.CIQ($C300,"IQ_KEY_DEV_TYPE"),"")</f>
        <v/>
      </c>
      <c r="F300" s="7" t="str">
        <f>IF(LEN($C300)&gt;0,_xll.ciqfunctions.udf.CIQ($C300,"IQ_KEY_DEV_SITUATION"),"")</f>
        <v/>
      </c>
      <c r="G300" s="19" t="str">
        <f t="shared" si="8"/>
        <v/>
      </c>
      <c r="H300" s="19" t="str">
        <f>+IF(LEN($C300)&gt;0,TEXT(IF(_xll.ciqfunctions.udf.CIQ($C300,"IQ_KEY_DEV_TIME")="NA","",_xll.ciqfunctions.udf.CIQ($C300,"IQ_KEY_DEV_TIME")),"h:mm AM/PM"),"")</f>
        <v/>
      </c>
      <c r="I300" s="7" t="str">
        <f>IF(LEN($C300)&gt;0,_xll.ciqfunctions.udf.CIQ($C300,"IQ_KEY_DEV_SOURCE"),"")</f>
        <v/>
      </c>
    </row>
    <row r="301" spans="2:9" x14ac:dyDescent="0.2">
      <c r="B301" s="7">
        <f t="shared" si="9"/>
        <v>294</v>
      </c>
      <c r="C301" s="7"/>
      <c r="D301" s="7" t="str">
        <f>IF(LEN($C301),_xll.ciqfunctions.udf.CIQ($C301,"IQ_KEY_DEV_HEADLINE"),"")</f>
        <v/>
      </c>
      <c r="E301" s="7" t="str">
        <f>IF(LEN($C301)&gt;0,_xll.ciqfunctions.udf.CIQ($C301,"IQ_KEY_DEV_TYPE"),"")</f>
        <v/>
      </c>
      <c r="F301" s="7" t="str">
        <f>IF(LEN($C301)&gt;0,_xll.ciqfunctions.udf.CIQ($C301,"IQ_KEY_DEV_SITUATION"),"")</f>
        <v/>
      </c>
      <c r="G301" s="19" t="str">
        <f t="shared" si="8"/>
        <v/>
      </c>
      <c r="H301" s="19" t="str">
        <f>+IF(LEN($C301)&gt;0,TEXT(IF(_xll.ciqfunctions.udf.CIQ($C301,"IQ_KEY_DEV_TIME")="NA","",_xll.ciqfunctions.udf.CIQ($C301,"IQ_KEY_DEV_TIME")),"h:mm AM/PM"),"")</f>
        <v/>
      </c>
      <c r="I301" s="7" t="str">
        <f>IF(LEN($C301)&gt;0,_xll.ciqfunctions.udf.CIQ($C301,"IQ_KEY_DEV_SOURCE"),"")</f>
        <v/>
      </c>
    </row>
    <row r="302" spans="2:9" x14ac:dyDescent="0.2">
      <c r="B302" s="7">
        <f t="shared" si="9"/>
        <v>295</v>
      </c>
      <c r="C302" s="7"/>
      <c r="D302" s="7" t="str">
        <f>IF(LEN($C302),_xll.ciqfunctions.udf.CIQ($C302,"IQ_KEY_DEV_HEADLINE"),"")</f>
        <v/>
      </c>
      <c r="E302" s="7" t="str">
        <f>IF(LEN($C302)&gt;0,_xll.ciqfunctions.udf.CIQ($C302,"IQ_KEY_DEV_TYPE"),"")</f>
        <v/>
      </c>
      <c r="F302" s="7" t="str">
        <f>IF(LEN($C302)&gt;0,_xll.ciqfunctions.udf.CIQ($C302,"IQ_KEY_DEV_SITUATION"),"")</f>
        <v/>
      </c>
      <c r="G302" s="19" t="str">
        <f t="shared" si="8"/>
        <v/>
      </c>
      <c r="H302" s="19" t="str">
        <f>+IF(LEN($C302)&gt;0,TEXT(IF(_xll.ciqfunctions.udf.CIQ($C302,"IQ_KEY_DEV_TIME")="NA","",_xll.ciqfunctions.udf.CIQ($C302,"IQ_KEY_DEV_TIME")),"h:mm AM/PM"),"")</f>
        <v/>
      </c>
      <c r="I302" s="7" t="str">
        <f>IF(LEN($C302)&gt;0,_xll.ciqfunctions.udf.CIQ($C302,"IQ_KEY_DEV_SOURCE"),"")</f>
        <v/>
      </c>
    </row>
    <row r="303" spans="2:9" x14ac:dyDescent="0.2">
      <c r="B303" s="7">
        <f t="shared" si="9"/>
        <v>296</v>
      </c>
      <c r="C303" s="7"/>
      <c r="D303" s="7" t="str">
        <f>IF(LEN($C303),_xll.ciqfunctions.udf.CIQ($C303,"IQ_KEY_DEV_HEADLINE"),"")</f>
        <v/>
      </c>
      <c r="E303" s="7" t="str">
        <f>IF(LEN($C303)&gt;0,_xll.ciqfunctions.udf.CIQ($C303,"IQ_KEY_DEV_TYPE"),"")</f>
        <v/>
      </c>
      <c r="F303" s="7" t="str">
        <f>IF(LEN($C303)&gt;0,_xll.ciqfunctions.udf.CIQ($C303,"IQ_KEY_DEV_SITUATION"),"")</f>
        <v/>
      </c>
      <c r="G303" s="19" t="str">
        <f t="shared" si="8"/>
        <v/>
      </c>
      <c r="H303" s="19" t="str">
        <f>+IF(LEN($C303)&gt;0,TEXT(IF(_xll.ciqfunctions.udf.CIQ($C303,"IQ_KEY_DEV_TIME")="NA","",_xll.ciqfunctions.udf.CIQ($C303,"IQ_KEY_DEV_TIME")),"h:mm AM/PM"),"")</f>
        <v/>
      </c>
      <c r="I303" s="7" t="str">
        <f>IF(LEN($C303)&gt;0,_xll.ciqfunctions.udf.CIQ($C303,"IQ_KEY_DEV_SOURCE"),"")</f>
        <v/>
      </c>
    </row>
    <row r="304" spans="2:9" x14ac:dyDescent="0.2">
      <c r="B304" s="7">
        <f t="shared" si="9"/>
        <v>297</v>
      </c>
      <c r="C304" s="7"/>
      <c r="D304" s="7" t="str">
        <f>IF(LEN($C304),_xll.ciqfunctions.udf.CIQ($C304,"IQ_KEY_DEV_HEADLINE"),"")</f>
        <v/>
      </c>
      <c r="E304" s="7" t="str">
        <f>IF(LEN($C304)&gt;0,_xll.ciqfunctions.udf.CIQ($C304,"IQ_KEY_DEV_TYPE"),"")</f>
        <v/>
      </c>
      <c r="F304" s="7" t="str">
        <f>IF(LEN($C304)&gt;0,_xll.ciqfunctions.udf.CIQ($C304,"IQ_KEY_DEV_SITUATION"),"")</f>
        <v/>
      </c>
      <c r="G304" s="19" t="str">
        <f t="shared" si="8"/>
        <v/>
      </c>
      <c r="H304" s="19" t="str">
        <f>+IF(LEN($C304)&gt;0,TEXT(IF(_xll.ciqfunctions.udf.CIQ($C304,"IQ_KEY_DEV_TIME")="NA","",_xll.ciqfunctions.udf.CIQ($C304,"IQ_KEY_DEV_TIME")),"h:mm AM/PM"),"")</f>
        <v/>
      </c>
      <c r="I304" s="7" t="str">
        <f>IF(LEN($C304)&gt;0,_xll.ciqfunctions.udf.CIQ($C304,"IQ_KEY_DEV_SOURCE"),"")</f>
        <v/>
      </c>
    </row>
    <row r="305" spans="2:9" x14ac:dyDescent="0.2">
      <c r="B305" s="7">
        <f t="shared" si="9"/>
        <v>298</v>
      </c>
      <c r="C305" s="7"/>
      <c r="D305" s="7" t="str">
        <f>IF(LEN($C305),_xll.ciqfunctions.udf.CIQ($C305,"IQ_KEY_DEV_HEADLINE"),"")</f>
        <v/>
      </c>
      <c r="E305" s="7" t="str">
        <f>IF(LEN($C305)&gt;0,_xll.ciqfunctions.udf.CIQ($C305,"IQ_KEY_DEV_TYPE"),"")</f>
        <v/>
      </c>
      <c r="F305" s="7" t="str">
        <f>IF(LEN($C305)&gt;0,_xll.ciqfunctions.udf.CIQ($C305,"IQ_KEY_DEV_SITUATION"),"")</f>
        <v/>
      </c>
      <c r="G305" s="19" t="str">
        <f t="shared" si="8"/>
        <v/>
      </c>
      <c r="H305" s="19" t="str">
        <f>+IF(LEN($C305)&gt;0,TEXT(IF(_xll.ciqfunctions.udf.CIQ($C305,"IQ_KEY_DEV_TIME")="NA","",_xll.ciqfunctions.udf.CIQ($C305,"IQ_KEY_DEV_TIME")),"h:mm AM/PM"),"")</f>
        <v/>
      </c>
      <c r="I305" s="7" t="str">
        <f>IF(LEN($C305)&gt;0,_xll.ciqfunctions.udf.CIQ($C305,"IQ_KEY_DEV_SOURCE"),"")</f>
        <v/>
      </c>
    </row>
    <row r="306" spans="2:9" x14ac:dyDescent="0.2">
      <c r="B306" s="7">
        <f t="shared" si="9"/>
        <v>299</v>
      </c>
      <c r="C306" s="7"/>
      <c r="D306" s="7" t="str">
        <f>IF(LEN($C306),_xll.ciqfunctions.udf.CIQ($C306,"IQ_KEY_DEV_HEADLINE"),"")</f>
        <v/>
      </c>
      <c r="E306" s="7" t="str">
        <f>IF(LEN($C306)&gt;0,_xll.ciqfunctions.udf.CIQ($C306,"IQ_KEY_DEV_TYPE"),"")</f>
        <v/>
      </c>
      <c r="F306" s="7" t="str">
        <f>IF(LEN($C306)&gt;0,_xll.ciqfunctions.udf.CIQ($C306,"IQ_KEY_DEV_SITUATION"),"")</f>
        <v/>
      </c>
      <c r="G306" s="19" t="str">
        <f t="shared" si="8"/>
        <v/>
      </c>
      <c r="H306" s="19" t="str">
        <f>+IF(LEN($C306)&gt;0,TEXT(IF(_xll.ciqfunctions.udf.CIQ($C306,"IQ_KEY_DEV_TIME")="NA","",_xll.ciqfunctions.udf.CIQ($C306,"IQ_KEY_DEV_TIME")),"h:mm AM/PM"),"")</f>
        <v/>
      </c>
      <c r="I306" s="7" t="str">
        <f>IF(LEN($C306)&gt;0,_xll.ciqfunctions.udf.CIQ($C306,"IQ_KEY_DEV_SOURCE"),"")</f>
        <v/>
      </c>
    </row>
    <row r="307" spans="2:9" x14ac:dyDescent="0.2">
      <c r="B307" s="7">
        <f t="shared" si="9"/>
        <v>300</v>
      </c>
      <c r="C307" s="7"/>
      <c r="D307" s="7" t="str">
        <f>IF(LEN($C307),_xll.ciqfunctions.udf.CIQ($C307,"IQ_KEY_DEV_HEADLINE"),"")</f>
        <v/>
      </c>
      <c r="E307" s="7" t="str">
        <f>IF(LEN($C307)&gt;0,_xll.ciqfunctions.udf.CIQ($C307,"IQ_KEY_DEV_TYPE"),"")</f>
        <v/>
      </c>
      <c r="F307" s="7" t="str">
        <f>IF(LEN($C307)&gt;0,_xll.ciqfunctions.udf.CIQ($C307,"IQ_KEY_DEV_SITUATION"),"")</f>
        <v/>
      </c>
      <c r="G307" s="19" t="str">
        <f t="shared" si="8"/>
        <v/>
      </c>
      <c r="H307" s="19" t="str">
        <f>+IF(LEN($C307)&gt;0,TEXT(IF(_xll.ciqfunctions.udf.CIQ($C307,"IQ_KEY_DEV_TIME")="NA","",_xll.ciqfunctions.udf.CIQ($C307,"IQ_KEY_DEV_TIME")),"h:mm AM/PM"),"")</f>
        <v/>
      </c>
      <c r="I307" s="7" t="str">
        <f>IF(LEN($C307)&gt;0,_xll.ciqfunctions.udf.CIQ($C307,"IQ_KEY_DEV_SOURCE"),"")</f>
        <v/>
      </c>
    </row>
    <row r="308" spans="2:9" x14ac:dyDescent="0.2">
      <c r="B308" s="7">
        <f t="shared" si="9"/>
        <v>301</v>
      </c>
      <c r="C308" s="7"/>
      <c r="D308" s="7" t="str">
        <f>IF(LEN($C308),_xll.ciqfunctions.udf.CIQ($C308,"IQ_KEY_DEV_HEADLINE"),"")</f>
        <v/>
      </c>
      <c r="E308" s="7" t="str">
        <f>IF(LEN($C308)&gt;0,_xll.ciqfunctions.udf.CIQ($C308,"IQ_KEY_DEV_TYPE"),"")</f>
        <v/>
      </c>
      <c r="F308" s="7" t="str">
        <f>IF(LEN($C308)&gt;0,_xll.ciqfunctions.udf.CIQ($C308,"IQ_KEY_DEV_SITUATION"),"")</f>
        <v/>
      </c>
      <c r="G308" s="19" t="str">
        <f t="shared" si="8"/>
        <v/>
      </c>
      <c r="H308" s="19" t="str">
        <f>+IF(LEN($C308)&gt;0,TEXT(IF(_xll.ciqfunctions.udf.CIQ($C308,"IQ_KEY_DEV_TIME")="NA","",_xll.ciqfunctions.udf.CIQ($C308,"IQ_KEY_DEV_TIME")),"h:mm AM/PM"),"")</f>
        <v/>
      </c>
      <c r="I308" s="7" t="str">
        <f>IF(LEN($C308)&gt;0,_xll.ciqfunctions.udf.CIQ($C308,"IQ_KEY_DEV_SOURCE"),"")</f>
        <v/>
      </c>
    </row>
    <row r="309" spans="2:9" x14ac:dyDescent="0.2">
      <c r="B309" s="7">
        <f t="shared" si="9"/>
        <v>302</v>
      </c>
      <c r="C309" s="7"/>
      <c r="D309" s="7" t="str">
        <f>IF(LEN($C309),_xll.ciqfunctions.udf.CIQ($C309,"IQ_KEY_DEV_HEADLINE"),"")</f>
        <v/>
      </c>
      <c r="E309" s="7" t="str">
        <f>IF(LEN($C309)&gt;0,_xll.ciqfunctions.udf.CIQ($C309,"IQ_KEY_DEV_TYPE"),"")</f>
        <v/>
      </c>
      <c r="F309" s="7" t="str">
        <f>IF(LEN($C309)&gt;0,_xll.ciqfunctions.udf.CIQ($C309,"IQ_KEY_DEV_SITUATION"),"")</f>
        <v/>
      </c>
      <c r="G309" s="19" t="str">
        <f t="shared" si="8"/>
        <v/>
      </c>
      <c r="H309" s="19" t="str">
        <f>+IF(LEN($C309)&gt;0,TEXT(IF(_xll.ciqfunctions.udf.CIQ($C309,"IQ_KEY_DEV_TIME")="NA","",_xll.ciqfunctions.udf.CIQ($C309,"IQ_KEY_DEV_TIME")),"h:mm AM/PM"),"")</f>
        <v/>
      </c>
      <c r="I309" s="7" t="str">
        <f>IF(LEN($C309)&gt;0,_xll.ciqfunctions.udf.CIQ($C309,"IQ_KEY_DEV_SOURCE"),"")</f>
        <v/>
      </c>
    </row>
    <row r="310" spans="2:9" x14ac:dyDescent="0.2">
      <c r="B310" s="7">
        <f t="shared" si="9"/>
        <v>303</v>
      </c>
      <c r="C310" s="7"/>
      <c r="D310" s="7" t="str">
        <f>IF(LEN($C310),_xll.ciqfunctions.udf.CIQ($C310,"IQ_KEY_DEV_HEADLINE"),"")</f>
        <v/>
      </c>
      <c r="E310" s="7" t="str">
        <f>IF(LEN($C310)&gt;0,_xll.ciqfunctions.udf.CIQ($C310,"IQ_KEY_DEV_TYPE"),"")</f>
        <v/>
      </c>
      <c r="F310" s="7" t="str">
        <f>IF(LEN($C310)&gt;0,_xll.ciqfunctions.udf.CIQ($C310,"IQ_KEY_DEV_SITUATION"),"")</f>
        <v/>
      </c>
      <c r="G310" s="19" t="str">
        <f t="shared" si="8"/>
        <v/>
      </c>
      <c r="H310" s="19" t="str">
        <f>+IF(LEN($C310)&gt;0,TEXT(IF(_xll.ciqfunctions.udf.CIQ($C310,"IQ_KEY_DEV_TIME")="NA","",_xll.ciqfunctions.udf.CIQ($C310,"IQ_KEY_DEV_TIME")),"h:mm AM/PM"),"")</f>
        <v/>
      </c>
      <c r="I310" s="7" t="str">
        <f>IF(LEN($C310)&gt;0,_xll.ciqfunctions.udf.CIQ($C310,"IQ_KEY_DEV_SOURCE"),"")</f>
        <v/>
      </c>
    </row>
    <row r="311" spans="2:9" x14ac:dyDescent="0.2">
      <c r="B311" s="7">
        <f t="shared" si="9"/>
        <v>304</v>
      </c>
      <c r="C311" s="7"/>
      <c r="D311" s="7" t="str">
        <f>IF(LEN($C311),_xll.ciqfunctions.udf.CIQ($C311,"IQ_KEY_DEV_HEADLINE"),"")</f>
        <v/>
      </c>
      <c r="E311" s="7" t="str">
        <f>IF(LEN($C311)&gt;0,_xll.ciqfunctions.udf.CIQ($C311,"IQ_KEY_DEV_TYPE"),"")</f>
        <v/>
      </c>
      <c r="F311" s="7" t="str">
        <f>IF(LEN($C311)&gt;0,_xll.ciqfunctions.udf.CIQ($C311,"IQ_KEY_DEV_SITUATION"),"")</f>
        <v/>
      </c>
      <c r="G311" s="19" t="str">
        <f t="shared" si="8"/>
        <v/>
      </c>
      <c r="H311" s="19" t="str">
        <f>+IF(LEN($C311)&gt;0,TEXT(IF(_xll.ciqfunctions.udf.CIQ($C311,"IQ_KEY_DEV_TIME")="NA","",_xll.ciqfunctions.udf.CIQ($C311,"IQ_KEY_DEV_TIME")),"h:mm AM/PM"),"")</f>
        <v/>
      </c>
      <c r="I311" s="7" t="str">
        <f>IF(LEN($C311)&gt;0,_xll.ciqfunctions.udf.CIQ($C311,"IQ_KEY_DEV_SOURCE"),"")</f>
        <v/>
      </c>
    </row>
    <row r="312" spans="2:9" x14ac:dyDescent="0.2">
      <c r="B312" s="7">
        <f t="shared" si="9"/>
        <v>305</v>
      </c>
      <c r="C312" s="7"/>
      <c r="D312" s="7" t="str">
        <f>IF(LEN($C312),_xll.ciqfunctions.udf.CIQ($C312,"IQ_KEY_DEV_HEADLINE"),"")</f>
        <v/>
      </c>
      <c r="E312" s="7" t="str">
        <f>IF(LEN($C312)&gt;0,_xll.ciqfunctions.udf.CIQ($C312,"IQ_KEY_DEV_TYPE"),"")</f>
        <v/>
      </c>
      <c r="F312" s="7" t="str">
        <f>IF(LEN($C312)&gt;0,_xll.ciqfunctions.udf.CIQ($C312,"IQ_KEY_DEV_SITUATION"),"")</f>
        <v/>
      </c>
      <c r="G312" s="19" t="str">
        <f t="shared" si="8"/>
        <v/>
      </c>
      <c r="H312" s="19" t="str">
        <f>+IF(LEN($C312)&gt;0,TEXT(IF(_xll.ciqfunctions.udf.CIQ($C312,"IQ_KEY_DEV_TIME")="NA","",_xll.ciqfunctions.udf.CIQ($C312,"IQ_KEY_DEV_TIME")),"h:mm AM/PM"),"")</f>
        <v/>
      </c>
      <c r="I312" s="7" t="str">
        <f>IF(LEN($C312)&gt;0,_xll.ciqfunctions.udf.CIQ($C312,"IQ_KEY_DEV_SOURCE"),"")</f>
        <v/>
      </c>
    </row>
    <row r="313" spans="2:9" x14ac:dyDescent="0.2">
      <c r="B313" s="7">
        <f t="shared" si="9"/>
        <v>306</v>
      </c>
      <c r="C313" s="7"/>
      <c r="D313" s="7" t="str">
        <f>IF(LEN($C313),_xll.ciqfunctions.udf.CIQ($C313,"IQ_KEY_DEV_HEADLINE"),"")</f>
        <v/>
      </c>
      <c r="E313" s="7" t="str">
        <f>IF(LEN($C313)&gt;0,_xll.ciqfunctions.udf.CIQ($C313,"IQ_KEY_DEV_TYPE"),"")</f>
        <v/>
      </c>
      <c r="F313" s="7" t="str">
        <f>IF(LEN($C313)&gt;0,_xll.ciqfunctions.udf.CIQ($C313,"IQ_KEY_DEV_SITUATION"),"")</f>
        <v/>
      </c>
      <c r="G313" s="19" t="str">
        <f t="shared" si="8"/>
        <v/>
      </c>
      <c r="H313" s="19" t="str">
        <f>+IF(LEN($C313)&gt;0,TEXT(IF(_xll.ciqfunctions.udf.CIQ($C313,"IQ_KEY_DEV_TIME")="NA","",_xll.ciqfunctions.udf.CIQ($C313,"IQ_KEY_DEV_TIME")),"h:mm AM/PM"),"")</f>
        <v/>
      </c>
      <c r="I313" s="7" t="str">
        <f>IF(LEN($C313)&gt;0,_xll.ciqfunctions.udf.CIQ($C313,"IQ_KEY_DEV_SOURCE"),"")</f>
        <v/>
      </c>
    </row>
    <row r="314" spans="2:9" x14ac:dyDescent="0.2">
      <c r="B314" s="7">
        <f t="shared" si="9"/>
        <v>307</v>
      </c>
      <c r="C314" s="7"/>
      <c r="D314" s="7" t="str">
        <f>IF(LEN($C314),_xll.ciqfunctions.udf.CIQ($C314,"IQ_KEY_DEV_HEADLINE"),"")</f>
        <v/>
      </c>
      <c r="E314" s="7" t="str">
        <f>IF(LEN($C314)&gt;0,_xll.ciqfunctions.udf.CIQ($C314,"IQ_KEY_DEV_TYPE"),"")</f>
        <v/>
      </c>
      <c r="F314" s="7" t="str">
        <f>IF(LEN($C314)&gt;0,_xll.ciqfunctions.udf.CIQ($C314,"IQ_KEY_DEV_SITUATION"),"")</f>
        <v/>
      </c>
      <c r="G314" s="19" t="str">
        <f t="shared" si="8"/>
        <v/>
      </c>
      <c r="H314" s="19" t="str">
        <f>+IF(LEN($C314)&gt;0,TEXT(IF(_xll.ciqfunctions.udf.CIQ($C314,"IQ_KEY_DEV_TIME")="NA","",_xll.ciqfunctions.udf.CIQ($C314,"IQ_KEY_DEV_TIME")),"h:mm AM/PM"),"")</f>
        <v/>
      </c>
      <c r="I314" s="7" t="str">
        <f>IF(LEN($C314)&gt;0,_xll.ciqfunctions.udf.CIQ($C314,"IQ_KEY_DEV_SOURCE"),"")</f>
        <v/>
      </c>
    </row>
    <row r="315" spans="2:9" x14ac:dyDescent="0.2">
      <c r="B315" s="7">
        <f t="shared" si="9"/>
        <v>308</v>
      </c>
      <c r="C315" s="7"/>
      <c r="D315" s="7" t="str">
        <f>IF(LEN($C315),_xll.ciqfunctions.udf.CIQ($C315,"IQ_KEY_DEV_HEADLINE"),"")</f>
        <v/>
      </c>
      <c r="E315" s="7" t="str">
        <f>IF(LEN($C315)&gt;0,_xll.ciqfunctions.udf.CIQ($C315,"IQ_KEY_DEV_TYPE"),"")</f>
        <v/>
      </c>
      <c r="F315" s="7" t="str">
        <f>IF(LEN($C315)&gt;0,_xll.ciqfunctions.udf.CIQ($C315,"IQ_KEY_DEV_SITUATION"),"")</f>
        <v/>
      </c>
      <c r="G315" s="19" t="str">
        <f t="shared" si="8"/>
        <v/>
      </c>
      <c r="H315" s="19" t="str">
        <f>+IF(LEN($C315)&gt;0,TEXT(IF(_xll.ciqfunctions.udf.CIQ($C315,"IQ_KEY_DEV_TIME")="NA","",_xll.ciqfunctions.udf.CIQ($C315,"IQ_KEY_DEV_TIME")),"h:mm AM/PM"),"")</f>
        <v/>
      </c>
      <c r="I315" s="7" t="str">
        <f>IF(LEN($C315)&gt;0,_xll.ciqfunctions.udf.CIQ($C315,"IQ_KEY_DEV_SOURCE"),"")</f>
        <v/>
      </c>
    </row>
    <row r="316" spans="2:9" x14ac:dyDescent="0.2">
      <c r="B316" s="7">
        <f t="shared" si="9"/>
        <v>309</v>
      </c>
      <c r="C316" s="7"/>
      <c r="D316" s="7" t="str">
        <f>IF(LEN($C316),_xll.ciqfunctions.udf.CIQ($C316,"IQ_KEY_DEV_HEADLINE"),"")</f>
        <v/>
      </c>
      <c r="E316" s="7" t="str">
        <f>IF(LEN($C316)&gt;0,_xll.ciqfunctions.udf.CIQ($C316,"IQ_KEY_DEV_TYPE"),"")</f>
        <v/>
      </c>
      <c r="F316" s="7" t="str">
        <f>IF(LEN($C316)&gt;0,_xll.ciqfunctions.udf.CIQ($C316,"IQ_KEY_DEV_SITUATION"),"")</f>
        <v/>
      </c>
      <c r="G316" s="19" t="str">
        <f t="shared" si="8"/>
        <v/>
      </c>
      <c r="H316" s="19" t="str">
        <f>+IF(LEN($C316)&gt;0,TEXT(IF(_xll.ciqfunctions.udf.CIQ($C316,"IQ_KEY_DEV_TIME")="NA","",_xll.ciqfunctions.udf.CIQ($C316,"IQ_KEY_DEV_TIME")),"h:mm AM/PM"),"")</f>
        <v/>
      </c>
      <c r="I316" s="7" t="str">
        <f>IF(LEN($C316)&gt;0,_xll.ciqfunctions.udf.CIQ($C316,"IQ_KEY_DEV_SOURCE"),"")</f>
        <v/>
      </c>
    </row>
    <row r="317" spans="2:9" x14ac:dyDescent="0.2">
      <c r="B317" s="7">
        <f t="shared" si="9"/>
        <v>310</v>
      </c>
      <c r="C317" s="7"/>
      <c r="D317" s="7" t="str">
        <f>IF(LEN($C317),_xll.ciqfunctions.udf.CIQ($C317,"IQ_KEY_DEV_HEADLINE"),"")</f>
        <v/>
      </c>
      <c r="E317" s="7" t="str">
        <f>IF(LEN($C317)&gt;0,_xll.ciqfunctions.udf.CIQ($C317,"IQ_KEY_DEV_TYPE"),"")</f>
        <v/>
      </c>
      <c r="F317" s="7" t="str">
        <f>IF(LEN($C317)&gt;0,_xll.ciqfunctions.udf.CIQ($C317,"IQ_KEY_DEV_SITUATION"),"")</f>
        <v/>
      </c>
      <c r="G317" s="19" t="str">
        <f t="shared" si="8"/>
        <v/>
      </c>
      <c r="H317" s="19" t="str">
        <f>+IF(LEN($C317)&gt;0,TEXT(IF(_xll.ciqfunctions.udf.CIQ($C317,"IQ_KEY_DEV_TIME")="NA","",_xll.ciqfunctions.udf.CIQ($C317,"IQ_KEY_DEV_TIME")),"h:mm AM/PM"),"")</f>
        <v/>
      </c>
      <c r="I317" s="7" t="str">
        <f>IF(LEN($C317)&gt;0,_xll.ciqfunctions.udf.CIQ($C317,"IQ_KEY_DEV_SOURCE"),"")</f>
        <v/>
      </c>
    </row>
    <row r="318" spans="2:9" x14ac:dyDescent="0.2">
      <c r="B318" s="7">
        <f t="shared" si="9"/>
        <v>311</v>
      </c>
      <c r="C318" s="7"/>
      <c r="D318" s="7" t="str">
        <f>IF(LEN($C318),_xll.ciqfunctions.udf.CIQ($C318,"IQ_KEY_DEV_HEADLINE"),"")</f>
        <v/>
      </c>
      <c r="E318" s="7" t="str">
        <f>IF(LEN($C318)&gt;0,_xll.ciqfunctions.udf.CIQ($C318,"IQ_KEY_DEV_TYPE"),"")</f>
        <v/>
      </c>
      <c r="F318" s="7" t="str">
        <f>IF(LEN($C318)&gt;0,_xll.ciqfunctions.udf.CIQ($C318,"IQ_KEY_DEV_SITUATION"),"")</f>
        <v/>
      </c>
      <c r="G318" s="19" t="str">
        <f t="shared" si="8"/>
        <v/>
      </c>
      <c r="H318" s="19" t="str">
        <f>+IF(LEN($C318)&gt;0,TEXT(IF(_xll.ciqfunctions.udf.CIQ($C318,"IQ_KEY_DEV_TIME")="NA","",_xll.ciqfunctions.udf.CIQ($C318,"IQ_KEY_DEV_TIME")),"h:mm AM/PM"),"")</f>
        <v/>
      </c>
      <c r="I318" s="7" t="str">
        <f>IF(LEN($C318)&gt;0,_xll.ciqfunctions.udf.CIQ($C318,"IQ_KEY_DEV_SOURCE"),"")</f>
        <v/>
      </c>
    </row>
    <row r="319" spans="2:9" x14ac:dyDescent="0.2">
      <c r="B319" s="7">
        <f t="shared" si="9"/>
        <v>312</v>
      </c>
      <c r="C319" s="7"/>
      <c r="D319" s="7" t="str">
        <f>IF(LEN($C319),_xll.ciqfunctions.udf.CIQ($C319,"IQ_KEY_DEV_HEADLINE"),"")</f>
        <v/>
      </c>
      <c r="E319" s="7" t="str">
        <f>IF(LEN($C319)&gt;0,_xll.ciqfunctions.udf.CIQ($C319,"IQ_KEY_DEV_TYPE"),"")</f>
        <v/>
      </c>
      <c r="F319" s="7" t="str">
        <f>IF(LEN($C319)&gt;0,_xll.ciqfunctions.udf.CIQ($C319,"IQ_KEY_DEV_SITUATION"),"")</f>
        <v/>
      </c>
      <c r="G319" s="19" t="str">
        <f t="shared" si="8"/>
        <v/>
      </c>
      <c r="H319" s="19" t="str">
        <f>+IF(LEN($C319)&gt;0,TEXT(IF(_xll.ciqfunctions.udf.CIQ($C319,"IQ_KEY_DEV_TIME")="NA","",_xll.ciqfunctions.udf.CIQ($C319,"IQ_KEY_DEV_TIME")),"h:mm AM/PM"),"")</f>
        <v/>
      </c>
      <c r="I319" s="7" t="str">
        <f>IF(LEN($C319)&gt;0,_xll.ciqfunctions.udf.CIQ($C319,"IQ_KEY_DEV_SOURCE"),"")</f>
        <v/>
      </c>
    </row>
    <row r="320" spans="2:9" x14ac:dyDescent="0.2">
      <c r="B320" s="7">
        <f t="shared" si="9"/>
        <v>313</v>
      </c>
      <c r="C320" s="7"/>
      <c r="D320" s="7" t="str">
        <f>IF(LEN($C320),_xll.ciqfunctions.udf.CIQ($C320,"IQ_KEY_DEV_HEADLINE"),"")</f>
        <v/>
      </c>
      <c r="E320" s="7" t="str">
        <f>IF(LEN($C320)&gt;0,_xll.ciqfunctions.udf.CIQ($C320,"IQ_KEY_DEV_TYPE"),"")</f>
        <v/>
      </c>
      <c r="F320" s="7" t="str">
        <f>IF(LEN($C320)&gt;0,_xll.ciqfunctions.udf.CIQ($C320,"IQ_KEY_DEV_SITUATION"),"")</f>
        <v/>
      </c>
      <c r="G320" s="19" t="str">
        <f t="shared" si="8"/>
        <v/>
      </c>
      <c r="H320" s="19" t="str">
        <f>+IF(LEN($C320)&gt;0,TEXT(IF(_xll.ciqfunctions.udf.CIQ($C320,"IQ_KEY_DEV_TIME")="NA","",_xll.ciqfunctions.udf.CIQ($C320,"IQ_KEY_DEV_TIME")),"h:mm AM/PM"),"")</f>
        <v/>
      </c>
      <c r="I320" s="7" t="str">
        <f>IF(LEN($C320)&gt;0,_xll.ciqfunctions.udf.CIQ($C320,"IQ_KEY_DEV_SOURCE"),"")</f>
        <v/>
      </c>
    </row>
    <row r="321" spans="2:9" x14ac:dyDescent="0.2">
      <c r="B321" s="7">
        <f t="shared" si="9"/>
        <v>314</v>
      </c>
      <c r="C321" s="7"/>
      <c r="D321" s="7" t="str">
        <f>IF(LEN($C321),_xll.ciqfunctions.udf.CIQ($C321,"IQ_KEY_DEV_HEADLINE"),"")</f>
        <v/>
      </c>
      <c r="E321" s="7" t="str">
        <f>IF(LEN($C321)&gt;0,_xll.ciqfunctions.udf.CIQ($C321,"IQ_KEY_DEV_TYPE"),"")</f>
        <v/>
      </c>
      <c r="F321" s="7" t="str">
        <f>IF(LEN($C321)&gt;0,_xll.ciqfunctions.udf.CIQ($C321,"IQ_KEY_DEV_SITUATION"),"")</f>
        <v/>
      </c>
      <c r="G321" s="19" t="str">
        <f t="shared" si="8"/>
        <v/>
      </c>
      <c r="H321" s="19" t="str">
        <f>+IF(LEN($C321)&gt;0,TEXT(IF(_xll.ciqfunctions.udf.CIQ($C321,"IQ_KEY_DEV_TIME")="NA","",_xll.ciqfunctions.udf.CIQ($C321,"IQ_KEY_DEV_TIME")),"h:mm AM/PM"),"")</f>
        <v/>
      </c>
      <c r="I321" s="7" t="str">
        <f>IF(LEN($C321)&gt;0,_xll.ciqfunctions.udf.CIQ($C321,"IQ_KEY_DEV_SOURCE"),"")</f>
        <v/>
      </c>
    </row>
    <row r="322" spans="2:9" x14ac:dyDescent="0.2">
      <c r="B322" s="7">
        <f t="shared" si="9"/>
        <v>315</v>
      </c>
      <c r="C322" s="7"/>
      <c r="D322" s="7" t="str">
        <f>IF(LEN($C322),_xll.ciqfunctions.udf.CIQ($C322,"IQ_KEY_DEV_HEADLINE"),"")</f>
        <v/>
      </c>
      <c r="E322" s="7" t="str">
        <f>IF(LEN($C322)&gt;0,_xll.ciqfunctions.udf.CIQ($C322,"IQ_KEY_DEV_TYPE"),"")</f>
        <v/>
      </c>
      <c r="F322" s="7" t="str">
        <f>IF(LEN($C322)&gt;0,_xll.ciqfunctions.udf.CIQ($C322,"IQ_KEY_DEV_SITUATION"),"")</f>
        <v/>
      </c>
      <c r="G322" s="19" t="str">
        <f t="shared" si="8"/>
        <v/>
      </c>
      <c r="H322" s="19" t="str">
        <f>+IF(LEN($C322)&gt;0,TEXT(IF(_xll.ciqfunctions.udf.CIQ($C322,"IQ_KEY_DEV_TIME")="NA","",_xll.ciqfunctions.udf.CIQ($C322,"IQ_KEY_DEV_TIME")),"h:mm AM/PM"),"")</f>
        <v/>
      </c>
      <c r="I322" s="7" t="str">
        <f>IF(LEN($C322)&gt;0,_xll.ciqfunctions.udf.CIQ($C322,"IQ_KEY_DEV_SOURCE"),"")</f>
        <v/>
      </c>
    </row>
    <row r="323" spans="2:9" x14ac:dyDescent="0.2">
      <c r="B323" s="7">
        <f t="shared" si="9"/>
        <v>316</v>
      </c>
      <c r="C323" s="7"/>
      <c r="D323" s="7" t="str">
        <f>IF(LEN($C323),_xll.ciqfunctions.udf.CIQ($C323,"IQ_KEY_DEV_HEADLINE"),"")</f>
        <v/>
      </c>
      <c r="E323" s="7" t="str">
        <f>IF(LEN($C323)&gt;0,_xll.ciqfunctions.udf.CIQ($C323,"IQ_KEY_DEV_TYPE"),"")</f>
        <v/>
      </c>
      <c r="F323" s="7" t="str">
        <f>IF(LEN($C323)&gt;0,_xll.ciqfunctions.udf.CIQ($C323,"IQ_KEY_DEV_SITUATION"),"")</f>
        <v/>
      </c>
      <c r="G323" s="19" t="str">
        <f t="shared" si="8"/>
        <v/>
      </c>
      <c r="H323" s="19" t="str">
        <f>+IF(LEN($C323)&gt;0,TEXT(IF(_xll.ciqfunctions.udf.CIQ($C323,"IQ_KEY_DEV_TIME")="NA","",_xll.ciqfunctions.udf.CIQ($C323,"IQ_KEY_DEV_TIME")),"h:mm AM/PM"),"")</f>
        <v/>
      </c>
      <c r="I323" s="7" t="str">
        <f>IF(LEN($C323)&gt;0,_xll.ciqfunctions.udf.CIQ($C323,"IQ_KEY_DEV_SOURCE"),"")</f>
        <v/>
      </c>
    </row>
    <row r="324" spans="2:9" x14ac:dyDescent="0.2">
      <c r="B324" s="7">
        <f t="shared" si="9"/>
        <v>317</v>
      </c>
      <c r="C324" s="7"/>
      <c r="D324" s="7" t="str">
        <f>IF(LEN($C324),_xll.ciqfunctions.udf.CIQ($C324,"IQ_KEY_DEV_HEADLINE"),"")</f>
        <v/>
      </c>
      <c r="E324" s="7" t="str">
        <f>IF(LEN($C324)&gt;0,_xll.ciqfunctions.udf.CIQ($C324,"IQ_KEY_DEV_TYPE"),"")</f>
        <v/>
      </c>
      <c r="F324" s="7" t="str">
        <f>IF(LEN($C324)&gt;0,_xll.ciqfunctions.udf.CIQ($C324,"IQ_KEY_DEV_SITUATION"),"")</f>
        <v/>
      </c>
      <c r="G324" s="19" t="str">
        <f t="shared" si="8"/>
        <v/>
      </c>
      <c r="H324" s="19" t="str">
        <f>+IF(LEN($C324)&gt;0,TEXT(IF(_xll.ciqfunctions.udf.CIQ($C324,"IQ_KEY_DEV_TIME")="NA","",_xll.ciqfunctions.udf.CIQ($C324,"IQ_KEY_DEV_TIME")),"h:mm AM/PM"),"")</f>
        <v/>
      </c>
      <c r="I324" s="7" t="str">
        <f>IF(LEN($C324)&gt;0,_xll.ciqfunctions.udf.CIQ($C324,"IQ_KEY_DEV_SOURCE"),"")</f>
        <v/>
      </c>
    </row>
    <row r="325" spans="2:9" x14ac:dyDescent="0.2">
      <c r="B325" s="7">
        <f t="shared" si="9"/>
        <v>318</v>
      </c>
      <c r="C325" s="7"/>
      <c r="D325" s="7" t="str">
        <f>IF(LEN($C325),_xll.ciqfunctions.udf.CIQ($C325,"IQ_KEY_DEV_HEADLINE"),"")</f>
        <v/>
      </c>
      <c r="E325" s="7" t="str">
        <f>IF(LEN($C325)&gt;0,_xll.ciqfunctions.udf.CIQ($C325,"IQ_KEY_DEV_TYPE"),"")</f>
        <v/>
      </c>
      <c r="F325" s="7" t="str">
        <f>IF(LEN($C325)&gt;0,_xll.ciqfunctions.udf.CIQ($C325,"IQ_KEY_DEV_SITUATION"),"")</f>
        <v/>
      </c>
      <c r="G325" s="19" t="str">
        <f t="shared" si="8"/>
        <v/>
      </c>
      <c r="H325" s="19" t="str">
        <f>+IF(LEN($C325)&gt;0,TEXT(IF(_xll.ciqfunctions.udf.CIQ($C325,"IQ_KEY_DEV_TIME")="NA","",_xll.ciqfunctions.udf.CIQ($C325,"IQ_KEY_DEV_TIME")),"h:mm AM/PM"),"")</f>
        <v/>
      </c>
      <c r="I325" s="7" t="str">
        <f>IF(LEN($C325)&gt;0,_xll.ciqfunctions.udf.CIQ($C325,"IQ_KEY_DEV_SOURCE"),"")</f>
        <v/>
      </c>
    </row>
    <row r="326" spans="2:9" x14ac:dyDescent="0.2">
      <c r="B326" s="7">
        <f t="shared" si="9"/>
        <v>319</v>
      </c>
      <c r="C326" s="7"/>
      <c r="D326" s="7" t="str">
        <f>IF(LEN($C326),_xll.ciqfunctions.udf.CIQ($C326,"IQ_KEY_DEV_HEADLINE"),"")</f>
        <v/>
      </c>
      <c r="E326" s="7" t="str">
        <f>IF(LEN($C326)&gt;0,_xll.ciqfunctions.udf.CIQ($C326,"IQ_KEY_DEV_TYPE"),"")</f>
        <v/>
      </c>
      <c r="F326" s="7" t="str">
        <f>IF(LEN($C326)&gt;0,_xll.ciqfunctions.udf.CIQ($C326,"IQ_KEY_DEV_SITUATION"),"")</f>
        <v/>
      </c>
      <c r="G326" s="19" t="str">
        <f t="shared" si="8"/>
        <v/>
      </c>
      <c r="H326" s="19" t="str">
        <f>+IF(LEN($C326)&gt;0,TEXT(IF(_xll.ciqfunctions.udf.CIQ($C326,"IQ_KEY_DEV_TIME")="NA","",_xll.ciqfunctions.udf.CIQ($C326,"IQ_KEY_DEV_TIME")),"h:mm AM/PM"),"")</f>
        <v/>
      </c>
      <c r="I326" s="7" t="str">
        <f>IF(LEN($C326)&gt;0,_xll.ciqfunctions.udf.CIQ($C326,"IQ_KEY_DEV_SOURCE"),"")</f>
        <v/>
      </c>
    </row>
    <row r="327" spans="2:9" x14ac:dyDescent="0.2">
      <c r="B327" s="7">
        <f t="shared" si="9"/>
        <v>320</v>
      </c>
      <c r="C327" s="7"/>
      <c r="D327" s="7" t="str">
        <f>IF(LEN($C327),_xll.ciqfunctions.udf.CIQ($C327,"IQ_KEY_DEV_HEADLINE"),"")</f>
        <v/>
      </c>
      <c r="E327" s="7" t="str">
        <f>IF(LEN($C327)&gt;0,_xll.ciqfunctions.udf.CIQ($C327,"IQ_KEY_DEV_TYPE"),"")</f>
        <v/>
      </c>
      <c r="F327" s="7" t="str">
        <f>IF(LEN($C327)&gt;0,_xll.ciqfunctions.udf.CIQ($C327,"IQ_KEY_DEV_SITUATION"),"")</f>
        <v/>
      </c>
      <c r="G327" s="19" t="str">
        <f t="shared" si="8"/>
        <v/>
      </c>
      <c r="H327" s="19" t="str">
        <f>+IF(LEN($C327)&gt;0,TEXT(IF(_xll.ciqfunctions.udf.CIQ($C327,"IQ_KEY_DEV_TIME")="NA","",_xll.ciqfunctions.udf.CIQ($C327,"IQ_KEY_DEV_TIME")),"h:mm AM/PM"),"")</f>
        <v/>
      </c>
      <c r="I327" s="7" t="str">
        <f>IF(LEN($C327)&gt;0,_xll.ciqfunctions.udf.CIQ($C327,"IQ_KEY_DEV_SOURCE"),"")</f>
        <v/>
      </c>
    </row>
    <row r="328" spans="2:9" x14ac:dyDescent="0.2">
      <c r="B328" s="7">
        <f t="shared" si="9"/>
        <v>321</v>
      </c>
      <c r="C328" s="7"/>
      <c r="D328" s="7" t="str">
        <f>IF(LEN($C328),_xll.ciqfunctions.udf.CIQ($C328,"IQ_KEY_DEV_HEADLINE"),"")</f>
        <v/>
      </c>
      <c r="E328" s="7" t="str">
        <f>IF(LEN($C328)&gt;0,_xll.ciqfunctions.udf.CIQ($C328,"IQ_KEY_DEV_TYPE"),"")</f>
        <v/>
      </c>
      <c r="F328" s="7" t="str">
        <f>IF(LEN($C328)&gt;0,_xll.ciqfunctions.udf.CIQ($C328,"IQ_KEY_DEV_SITUATION"),"")</f>
        <v/>
      </c>
      <c r="G328" s="19" t="str">
        <f t="shared" ref="G328:G391" si="10">+IF(LEN($C328)&gt;0,TEXT(_xll.ciqfunctions.udf.CIQ($C328,"IQ_KEY_DEV_DATE"),"dd MMM yyyy"),"")</f>
        <v/>
      </c>
      <c r="H328" s="19" t="str">
        <f>+IF(LEN($C328)&gt;0,TEXT(IF(_xll.ciqfunctions.udf.CIQ($C328,"IQ_KEY_DEV_TIME")="NA","",_xll.ciqfunctions.udf.CIQ($C328,"IQ_KEY_DEV_TIME")),"h:mm AM/PM"),"")</f>
        <v/>
      </c>
      <c r="I328" s="7" t="str">
        <f>IF(LEN($C328)&gt;0,_xll.ciqfunctions.udf.CIQ($C328,"IQ_KEY_DEV_SOURCE"),"")</f>
        <v/>
      </c>
    </row>
    <row r="329" spans="2:9" x14ac:dyDescent="0.2">
      <c r="B329" s="7">
        <f t="shared" si="9"/>
        <v>322</v>
      </c>
      <c r="C329" s="7"/>
      <c r="D329" s="7" t="str">
        <f>IF(LEN($C329),_xll.ciqfunctions.udf.CIQ($C329,"IQ_KEY_DEV_HEADLINE"),"")</f>
        <v/>
      </c>
      <c r="E329" s="7" t="str">
        <f>IF(LEN($C329)&gt;0,_xll.ciqfunctions.udf.CIQ($C329,"IQ_KEY_DEV_TYPE"),"")</f>
        <v/>
      </c>
      <c r="F329" s="7" t="str">
        <f>IF(LEN($C329)&gt;0,_xll.ciqfunctions.udf.CIQ($C329,"IQ_KEY_DEV_SITUATION"),"")</f>
        <v/>
      </c>
      <c r="G329" s="19" t="str">
        <f t="shared" si="10"/>
        <v/>
      </c>
      <c r="H329" s="19" t="str">
        <f>+IF(LEN($C329)&gt;0,TEXT(IF(_xll.ciqfunctions.udf.CIQ($C329,"IQ_KEY_DEV_TIME")="NA","",_xll.ciqfunctions.udf.CIQ($C329,"IQ_KEY_DEV_TIME")),"h:mm AM/PM"),"")</f>
        <v/>
      </c>
      <c r="I329" s="7" t="str">
        <f>IF(LEN($C329)&gt;0,_xll.ciqfunctions.udf.CIQ($C329,"IQ_KEY_DEV_SOURCE"),"")</f>
        <v/>
      </c>
    </row>
    <row r="330" spans="2:9" x14ac:dyDescent="0.2">
      <c r="B330" s="7">
        <f t="shared" si="9"/>
        <v>323</v>
      </c>
      <c r="C330" s="7"/>
      <c r="D330" s="7" t="str">
        <f>IF(LEN($C330),_xll.ciqfunctions.udf.CIQ($C330,"IQ_KEY_DEV_HEADLINE"),"")</f>
        <v/>
      </c>
      <c r="E330" s="7" t="str">
        <f>IF(LEN($C330)&gt;0,_xll.ciqfunctions.udf.CIQ($C330,"IQ_KEY_DEV_TYPE"),"")</f>
        <v/>
      </c>
      <c r="F330" s="7" t="str">
        <f>IF(LEN($C330)&gt;0,_xll.ciqfunctions.udf.CIQ($C330,"IQ_KEY_DEV_SITUATION"),"")</f>
        <v/>
      </c>
      <c r="G330" s="19" t="str">
        <f t="shared" si="10"/>
        <v/>
      </c>
      <c r="H330" s="19" t="str">
        <f>+IF(LEN($C330)&gt;0,TEXT(IF(_xll.ciqfunctions.udf.CIQ($C330,"IQ_KEY_DEV_TIME")="NA","",_xll.ciqfunctions.udf.CIQ($C330,"IQ_KEY_DEV_TIME")),"h:mm AM/PM"),"")</f>
        <v/>
      </c>
      <c r="I330" s="7" t="str">
        <f>IF(LEN($C330)&gt;0,_xll.ciqfunctions.udf.CIQ($C330,"IQ_KEY_DEV_SOURCE"),"")</f>
        <v/>
      </c>
    </row>
    <row r="331" spans="2:9" x14ac:dyDescent="0.2">
      <c r="B331" s="7">
        <f t="shared" si="9"/>
        <v>324</v>
      </c>
      <c r="C331" s="7"/>
      <c r="D331" s="7" t="str">
        <f>IF(LEN($C331),_xll.ciqfunctions.udf.CIQ($C331,"IQ_KEY_DEV_HEADLINE"),"")</f>
        <v/>
      </c>
      <c r="E331" s="7" t="str">
        <f>IF(LEN($C331)&gt;0,_xll.ciqfunctions.udf.CIQ($C331,"IQ_KEY_DEV_TYPE"),"")</f>
        <v/>
      </c>
      <c r="F331" s="7" t="str">
        <f>IF(LEN($C331)&gt;0,_xll.ciqfunctions.udf.CIQ($C331,"IQ_KEY_DEV_SITUATION"),"")</f>
        <v/>
      </c>
      <c r="G331" s="19" t="str">
        <f t="shared" si="10"/>
        <v/>
      </c>
      <c r="H331" s="19" t="str">
        <f>+IF(LEN($C331)&gt;0,TEXT(IF(_xll.ciqfunctions.udf.CIQ($C331,"IQ_KEY_DEV_TIME")="NA","",_xll.ciqfunctions.udf.CIQ($C331,"IQ_KEY_DEV_TIME")),"h:mm AM/PM"),"")</f>
        <v/>
      </c>
      <c r="I331" s="7" t="str">
        <f>IF(LEN($C331)&gt;0,_xll.ciqfunctions.udf.CIQ($C331,"IQ_KEY_DEV_SOURCE"),"")</f>
        <v/>
      </c>
    </row>
    <row r="332" spans="2:9" x14ac:dyDescent="0.2">
      <c r="B332" s="7">
        <f t="shared" si="9"/>
        <v>325</v>
      </c>
      <c r="C332" s="7"/>
      <c r="D332" s="7" t="str">
        <f>IF(LEN($C332),_xll.ciqfunctions.udf.CIQ($C332,"IQ_KEY_DEV_HEADLINE"),"")</f>
        <v/>
      </c>
      <c r="E332" s="7" t="str">
        <f>IF(LEN($C332)&gt;0,_xll.ciqfunctions.udf.CIQ($C332,"IQ_KEY_DEV_TYPE"),"")</f>
        <v/>
      </c>
      <c r="F332" s="7" t="str">
        <f>IF(LEN($C332)&gt;0,_xll.ciqfunctions.udf.CIQ($C332,"IQ_KEY_DEV_SITUATION"),"")</f>
        <v/>
      </c>
      <c r="G332" s="19" t="str">
        <f t="shared" si="10"/>
        <v/>
      </c>
      <c r="H332" s="19" t="str">
        <f>+IF(LEN($C332)&gt;0,TEXT(IF(_xll.ciqfunctions.udf.CIQ($C332,"IQ_KEY_DEV_TIME")="NA","",_xll.ciqfunctions.udf.CIQ($C332,"IQ_KEY_DEV_TIME")),"h:mm AM/PM"),"")</f>
        <v/>
      </c>
      <c r="I332" s="7" t="str">
        <f>IF(LEN($C332)&gt;0,_xll.ciqfunctions.udf.CIQ($C332,"IQ_KEY_DEV_SOURCE"),"")</f>
        <v/>
      </c>
    </row>
    <row r="333" spans="2:9" x14ac:dyDescent="0.2">
      <c r="B333" s="7">
        <f t="shared" si="9"/>
        <v>326</v>
      </c>
      <c r="C333" s="7"/>
      <c r="D333" s="7" t="str">
        <f>IF(LEN($C333),_xll.ciqfunctions.udf.CIQ($C333,"IQ_KEY_DEV_HEADLINE"),"")</f>
        <v/>
      </c>
      <c r="E333" s="7" t="str">
        <f>IF(LEN($C333)&gt;0,_xll.ciqfunctions.udf.CIQ($C333,"IQ_KEY_DEV_TYPE"),"")</f>
        <v/>
      </c>
      <c r="F333" s="7" t="str">
        <f>IF(LEN($C333)&gt;0,_xll.ciqfunctions.udf.CIQ($C333,"IQ_KEY_DEV_SITUATION"),"")</f>
        <v/>
      </c>
      <c r="G333" s="19" t="str">
        <f t="shared" si="10"/>
        <v/>
      </c>
      <c r="H333" s="19" t="str">
        <f>+IF(LEN($C333)&gt;0,TEXT(IF(_xll.ciqfunctions.udf.CIQ($C333,"IQ_KEY_DEV_TIME")="NA","",_xll.ciqfunctions.udf.CIQ($C333,"IQ_KEY_DEV_TIME")),"h:mm AM/PM"),"")</f>
        <v/>
      </c>
      <c r="I333" s="7" t="str">
        <f>IF(LEN($C333)&gt;0,_xll.ciqfunctions.udf.CIQ($C333,"IQ_KEY_DEV_SOURCE"),"")</f>
        <v/>
      </c>
    </row>
    <row r="334" spans="2:9" x14ac:dyDescent="0.2">
      <c r="B334" s="7">
        <f t="shared" si="9"/>
        <v>327</v>
      </c>
      <c r="C334" s="7"/>
      <c r="D334" s="7" t="str">
        <f>IF(LEN($C334),_xll.ciqfunctions.udf.CIQ($C334,"IQ_KEY_DEV_HEADLINE"),"")</f>
        <v/>
      </c>
      <c r="E334" s="7" t="str">
        <f>IF(LEN($C334)&gt;0,_xll.ciqfunctions.udf.CIQ($C334,"IQ_KEY_DEV_TYPE"),"")</f>
        <v/>
      </c>
      <c r="F334" s="7" t="str">
        <f>IF(LEN($C334)&gt;0,_xll.ciqfunctions.udf.CIQ($C334,"IQ_KEY_DEV_SITUATION"),"")</f>
        <v/>
      </c>
      <c r="G334" s="19" t="str">
        <f t="shared" si="10"/>
        <v/>
      </c>
      <c r="H334" s="19" t="str">
        <f>+IF(LEN($C334)&gt;0,TEXT(IF(_xll.ciqfunctions.udf.CIQ($C334,"IQ_KEY_DEV_TIME")="NA","",_xll.ciqfunctions.udf.CIQ($C334,"IQ_KEY_DEV_TIME")),"h:mm AM/PM"),"")</f>
        <v/>
      </c>
      <c r="I334" s="7" t="str">
        <f>IF(LEN($C334)&gt;0,_xll.ciqfunctions.udf.CIQ($C334,"IQ_KEY_DEV_SOURCE"),"")</f>
        <v/>
      </c>
    </row>
    <row r="335" spans="2:9" x14ac:dyDescent="0.2">
      <c r="B335" s="7">
        <f t="shared" si="9"/>
        <v>328</v>
      </c>
      <c r="C335" s="7"/>
      <c r="D335" s="7" t="str">
        <f>IF(LEN($C335),_xll.ciqfunctions.udf.CIQ($C335,"IQ_KEY_DEV_HEADLINE"),"")</f>
        <v/>
      </c>
      <c r="E335" s="7" t="str">
        <f>IF(LEN($C335)&gt;0,_xll.ciqfunctions.udf.CIQ($C335,"IQ_KEY_DEV_TYPE"),"")</f>
        <v/>
      </c>
      <c r="F335" s="7" t="str">
        <f>IF(LEN($C335)&gt;0,_xll.ciqfunctions.udf.CIQ($C335,"IQ_KEY_DEV_SITUATION"),"")</f>
        <v/>
      </c>
      <c r="G335" s="19" t="str">
        <f t="shared" si="10"/>
        <v/>
      </c>
      <c r="H335" s="19" t="str">
        <f>+IF(LEN($C335)&gt;0,TEXT(IF(_xll.ciqfunctions.udf.CIQ($C335,"IQ_KEY_DEV_TIME")="NA","",_xll.ciqfunctions.udf.CIQ($C335,"IQ_KEY_DEV_TIME")),"h:mm AM/PM"),"")</f>
        <v/>
      </c>
      <c r="I335" s="7" t="str">
        <f>IF(LEN($C335)&gt;0,_xll.ciqfunctions.udf.CIQ($C335,"IQ_KEY_DEV_SOURCE"),"")</f>
        <v/>
      </c>
    </row>
    <row r="336" spans="2:9" x14ac:dyDescent="0.2">
      <c r="B336" s="7">
        <f t="shared" si="9"/>
        <v>329</v>
      </c>
      <c r="C336" s="7"/>
      <c r="D336" s="7" t="str">
        <f>IF(LEN($C336),_xll.ciqfunctions.udf.CIQ($C336,"IQ_KEY_DEV_HEADLINE"),"")</f>
        <v/>
      </c>
      <c r="E336" s="7" t="str">
        <f>IF(LEN($C336)&gt;0,_xll.ciqfunctions.udf.CIQ($C336,"IQ_KEY_DEV_TYPE"),"")</f>
        <v/>
      </c>
      <c r="F336" s="7" t="str">
        <f>IF(LEN($C336)&gt;0,_xll.ciqfunctions.udf.CIQ($C336,"IQ_KEY_DEV_SITUATION"),"")</f>
        <v/>
      </c>
      <c r="G336" s="19" t="str">
        <f t="shared" si="10"/>
        <v/>
      </c>
      <c r="H336" s="19" t="str">
        <f>+IF(LEN($C336)&gt;0,TEXT(IF(_xll.ciqfunctions.udf.CIQ($C336,"IQ_KEY_DEV_TIME")="NA","",_xll.ciqfunctions.udf.CIQ($C336,"IQ_KEY_DEV_TIME")),"h:mm AM/PM"),"")</f>
        <v/>
      </c>
      <c r="I336" s="7" t="str">
        <f>IF(LEN($C336)&gt;0,_xll.ciqfunctions.udf.CIQ($C336,"IQ_KEY_DEV_SOURCE"),"")</f>
        <v/>
      </c>
    </row>
    <row r="337" spans="2:9" x14ac:dyDescent="0.2">
      <c r="B337" s="7">
        <f t="shared" si="9"/>
        <v>330</v>
      </c>
      <c r="C337" s="7"/>
      <c r="D337" s="7" t="str">
        <f>IF(LEN($C337),_xll.ciqfunctions.udf.CIQ($C337,"IQ_KEY_DEV_HEADLINE"),"")</f>
        <v/>
      </c>
      <c r="E337" s="7" t="str">
        <f>IF(LEN($C337)&gt;0,_xll.ciqfunctions.udf.CIQ($C337,"IQ_KEY_DEV_TYPE"),"")</f>
        <v/>
      </c>
      <c r="F337" s="7" t="str">
        <f>IF(LEN($C337)&gt;0,_xll.ciqfunctions.udf.CIQ($C337,"IQ_KEY_DEV_SITUATION"),"")</f>
        <v/>
      </c>
      <c r="G337" s="19" t="str">
        <f t="shared" si="10"/>
        <v/>
      </c>
      <c r="H337" s="19" t="str">
        <f>+IF(LEN($C337)&gt;0,TEXT(IF(_xll.ciqfunctions.udf.CIQ($C337,"IQ_KEY_DEV_TIME")="NA","",_xll.ciqfunctions.udf.CIQ($C337,"IQ_KEY_DEV_TIME")),"h:mm AM/PM"),"")</f>
        <v/>
      </c>
      <c r="I337" s="7" t="str">
        <f>IF(LEN($C337)&gt;0,_xll.ciqfunctions.udf.CIQ($C337,"IQ_KEY_DEV_SOURCE"),"")</f>
        <v/>
      </c>
    </row>
    <row r="338" spans="2:9" x14ac:dyDescent="0.2">
      <c r="B338" s="7">
        <f t="shared" si="9"/>
        <v>331</v>
      </c>
      <c r="C338" s="7"/>
      <c r="D338" s="7" t="str">
        <f>IF(LEN($C338),_xll.ciqfunctions.udf.CIQ($C338,"IQ_KEY_DEV_HEADLINE"),"")</f>
        <v/>
      </c>
      <c r="E338" s="7" t="str">
        <f>IF(LEN($C338)&gt;0,_xll.ciqfunctions.udf.CIQ($C338,"IQ_KEY_DEV_TYPE"),"")</f>
        <v/>
      </c>
      <c r="F338" s="7" t="str">
        <f>IF(LEN($C338)&gt;0,_xll.ciqfunctions.udf.CIQ($C338,"IQ_KEY_DEV_SITUATION"),"")</f>
        <v/>
      </c>
      <c r="G338" s="19" t="str">
        <f t="shared" si="10"/>
        <v/>
      </c>
      <c r="H338" s="19" t="str">
        <f>+IF(LEN($C338)&gt;0,TEXT(IF(_xll.ciqfunctions.udf.CIQ($C338,"IQ_KEY_DEV_TIME")="NA","",_xll.ciqfunctions.udf.CIQ($C338,"IQ_KEY_DEV_TIME")),"h:mm AM/PM"),"")</f>
        <v/>
      </c>
      <c r="I338" s="7" t="str">
        <f>IF(LEN($C338)&gt;0,_xll.ciqfunctions.udf.CIQ($C338,"IQ_KEY_DEV_SOURCE"),"")</f>
        <v/>
      </c>
    </row>
    <row r="339" spans="2:9" x14ac:dyDescent="0.2">
      <c r="B339" s="7">
        <f t="shared" si="9"/>
        <v>332</v>
      </c>
      <c r="C339" s="7"/>
      <c r="D339" s="7" t="str">
        <f>IF(LEN($C339),_xll.ciqfunctions.udf.CIQ($C339,"IQ_KEY_DEV_HEADLINE"),"")</f>
        <v/>
      </c>
      <c r="E339" s="7" t="str">
        <f>IF(LEN($C339)&gt;0,_xll.ciqfunctions.udf.CIQ($C339,"IQ_KEY_DEV_TYPE"),"")</f>
        <v/>
      </c>
      <c r="F339" s="7" t="str">
        <f>IF(LEN($C339)&gt;0,_xll.ciqfunctions.udf.CIQ($C339,"IQ_KEY_DEV_SITUATION"),"")</f>
        <v/>
      </c>
      <c r="G339" s="19" t="str">
        <f t="shared" si="10"/>
        <v/>
      </c>
      <c r="H339" s="19" t="str">
        <f>+IF(LEN($C339)&gt;0,TEXT(IF(_xll.ciqfunctions.udf.CIQ($C339,"IQ_KEY_DEV_TIME")="NA","",_xll.ciqfunctions.udf.CIQ($C339,"IQ_KEY_DEV_TIME")),"h:mm AM/PM"),"")</f>
        <v/>
      </c>
      <c r="I339" s="7" t="str">
        <f>IF(LEN($C339)&gt;0,_xll.ciqfunctions.udf.CIQ($C339,"IQ_KEY_DEV_SOURCE"),"")</f>
        <v/>
      </c>
    </row>
    <row r="340" spans="2:9" x14ac:dyDescent="0.2">
      <c r="B340" s="7">
        <f t="shared" ref="B340:B403" si="11">+B339+1</f>
        <v>333</v>
      </c>
      <c r="C340" s="7"/>
      <c r="D340" s="7" t="str">
        <f>IF(LEN($C340),_xll.ciqfunctions.udf.CIQ($C340,"IQ_KEY_DEV_HEADLINE"),"")</f>
        <v/>
      </c>
      <c r="E340" s="7" t="str">
        <f>IF(LEN($C340)&gt;0,_xll.ciqfunctions.udf.CIQ($C340,"IQ_KEY_DEV_TYPE"),"")</f>
        <v/>
      </c>
      <c r="F340" s="7" t="str">
        <f>IF(LEN($C340)&gt;0,_xll.ciqfunctions.udf.CIQ($C340,"IQ_KEY_DEV_SITUATION"),"")</f>
        <v/>
      </c>
      <c r="G340" s="19" t="str">
        <f t="shared" si="10"/>
        <v/>
      </c>
      <c r="H340" s="19" t="str">
        <f>+IF(LEN($C340)&gt;0,TEXT(IF(_xll.ciqfunctions.udf.CIQ($C340,"IQ_KEY_DEV_TIME")="NA","",_xll.ciqfunctions.udf.CIQ($C340,"IQ_KEY_DEV_TIME")),"h:mm AM/PM"),"")</f>
        <v/>
      </c>
      <c r="I340" s="7" t="str">
        <f>IF(LEN($C340)&gt;0,_xll.ciqfunctions.udf.CIQ($C340,"IQ_KEY_DEV_SOURCE"),"")</f>
        <v/>
      </c>
    </row>
    <row r="341" spans="2:9" x14ac:dyDescent="0.2">
      <c r="B341" s="7">
        <f t="shared" si="11"/>
        <v>334</v>
      </c>
      <c r="C341" s="7"/>
      <c r="D341" s="7" t="str">
        <f>IF(LEN($C341),_xll.ciqfunctions.udf.CIQ($C341,"IQ_KEY_DEV_HEADLINE"),"")</f>
        <v/>
      </c>
      <c r="E341" s="7" t="str">
        <f>IF(LEN($C341)&gt;0,_xll.ciqfunctions.udf.CIQ($C341,"IQ_KEY_DEV_TYPE"),"")</f>
        <v/>
      </c>
      <c r="F341" s="7" t="str">
        <f>IF(LEN($C341)&gt;0,_xll.ciqfunctions.udf.CIQ($C341,"IQ_KEY_DEV_SITUATION"),"")</f>
        <v/>
      </c>
      <c r="G341" s="19" t="str">
        <f t="shared" si="10"/>
        <v/>
      </c>
      <c r="H341" s="19" t="str">
        <f>+IF(LEN($C341)&gt;0,TEXT(IF(_xll.ciqfunctions.udf.CIQ($C341,"IQ_KEY_DEV_TIME")="NA","",_xll.ciqfunctions.udf.CIQ($C341,"IQ_KEY_DEV_TIME")),"h:mm AM/PM"),"")</f>
        <v/>
      </c>
      <c r="I341" s="7" t="str">
        <f>IF(LEN($C341)&gt;0,_xll.ciqfunctions.udf.CIQ($C341,"IQ_KEY_DEV_SOURCE"),"")</f>
        <v/>
      </c>
    </row>
    <row r="342" spans="2:9" x14ac:dyDescent="0.2">
      <c r="B342" s="7">
        <f t="shared" si="11"/>
        <v>335</v>
      </c>
      <c r="C342" s="7"/>
      <c r="D342" s="7" t="str">
        <f>IF(LEN($C342),_xll.ciqfunctions.udf.CIQ($C342,"IQ_KEY_DEV_HEADLINE"),"")</f>
        <v/>
      </c>
      <c r="E342" s="7" t="str">
        <f>IF(LEN($C342)&gt;0,_xll.ciqfunctions.udf.CIQ($C342,"IQ_KEY_DEV_TYPE"),"")</f>
        <v/>
      </c>
      <c r="F342" s="7" t="str">
        <f>IF(LEN($C342)&gt;0,_xll.ciqfunctions.udf.CIQ($C342,"IQ_KEY_DEV_SITUATION"),"")</f>
        <v/>
      </c>
      <c r="G342" s="19" t="str">
        <f t="shared" si="10"/>
        <v/>
      </c>
      <c r="H342" s="19" t="str">
        <f>+IF(LEN($C342)&gt;0,TEXT(IF(_xll.ciqfunctions.udf.CIQ($C342,"IQ_KEY_DEV_TIME")="NA","",_xll.ciqfunctions.udf.CIQ($C342,"IQ_KEY_DEV_TIME")),"h:mm AM/PM"),"")</f>
        <v/>
      </c>
      <c r="I342" s="7" t="str">
        <f>IF(LEN($C342)&gt;0,_xll.ciqfunctions.udf.CIQ($C342,"IQ_KEY_DEV_SOURCE"),"")</f>
        <v/>
      </c>
    </row>
    <row r="343" spans="2:9" x14ac:dyDescent="0.2">
      <c r="B343" s="7">
        <f t="shared" si="11"/>
        <v>336</v>
      </c>
      <c r="C343" s="7"/>
      <c r="D343" s="7" t="str">
        <f>IF(LEN($C343),_xll.ciqfunctions.udf.CIQ($C343,"IQ_KEY_DEV_HEADLINE"),"")</f>
        <v/>
      </c>
      <c r="E343" s="7" t="str">
        <f>IF(LEN($C343)&gt;0,_xll.ciqfunctions.udf.CIQ($C343,"IQ_KEY_DEV_TYPE"),"")</f>
        <v/>
      </c>
      <c r="F343" s="7" t="str">
        <f>IF(LEN($C343)&gt;0,_xll.ciqfunctions.udf.CIQ($C343,"IQ_KEY_DEV_SITUATION"),"")</f>
        <v/>
      </c>
      <c r="G343" s="19" t="str">
        <f t="shared" si="10"/>
        <v/>
      </c>
      <c r="H343" s="19" t="str">
        <f>+IF(LEN($C343)&gt;0,TEXT(IF(_xll.ciqfunctions.udf.CIQ($C343,"IQ_KEY_DEV_TIME")="NA","",_xll.ciqfunctions.udf.CIQ($C343,"IQ_KEY_DEV_TIME")),"h:mm AM/PM"),"")</f>
        <v/>
      </c>
      <c r="I343" s="7" t="str">
        <f>IF(LEN($C343)&gt;0,_xll.ciqfunctions.udf.CIQ($C343,"IQ_KEY_DEV_SOURCE"),"")</f>
        <v/>
      </c>
    </row>
    <row r="344" spans="2:9" x14ac:dyDescent="0.2">
      <c r="B344" s="7">
        <f t="shared" si="11"/>
        <v>337</v>
      </c>
      <c r="C344" s="7"/>
      <c r="D344" s="7" t="str">
        <f>IF(LEN($C344),_xll.ciqfunctions.udf.CIQ($C344,"IQ_KEY_DEV_HEADLINE"),"")</f>
        <v/>
      </c>
      <c r="E344" s="7" t="str">
        <f>IF(LEN($C344)&gt;0,_xll.ciqfunctions.udf.CIQ($C344,"IQ_KEY_DEV_TYPE"),"")</f>
        <v/>
      </c>
      <c r="F344" s="7" t="str">
        <f>IF(LEN($C344)&gt;0,_xll.ciqfunctions.udf.CIQ($C344,"IQ_KEY_DEV_SITUATION"),"")</f>
        <v/>
      </c>
      <c r="G344" s="19" t="str">
        <f t="shared" si="10"/>
        <v/>
      </c>
      <c r="H344" s="19" t="str">
        <f>+IF(LEN($C344)&gt;0,TEXT(IF(_xll.ciqfunctions.udf.CIQ($C344,"IQ_KEY_DEV_TIME")="NA","",_xll.ciqfunctions.udf.CIQ($C344,"IQ_KEY_DEV_TIME")),"h:mm AM/PM"),"")</f>
        <v/>
      </c>
      <c r="I344" s="7" t="str">
        <f>IF(LEN($C344)&gt;0,_xll.ciqfunctions.udf.CIQ($C344,"IQ_KEY_DEV_SOURCE"),"")</f>
        <v/>
      </c>
    </row>
    <row r="345" spans="2:9" x14ac:dyDescent="0.2">
      <c r="B345" s="7">
        <f t="shared" si="11"/>
        <v>338</v>
      </c>
      <c r="C345" s="7"/>
      <c r="D345" s="7" t="str">
        <f>IF(LEN($C345),_xll.ciqfunctions.udf.CIQ($C345,"IQ_KEY_DEV_HEADLINE"),"")</f>
        <v/>
      </c>
      <c r="E345" s="7" t="str">
        <f>IF(LEN($C345)&gt;0,_xll.ciqfunctions.udf.CIQ($C345,"IQ_KEY_DEV_TYPE"),"")</f>
        <v/>
      </c>
      <c r="F345" s="7" t="str">
        <f>IF(LEN($C345)&gt;0,_xll.ciqfunctions.udf.CIQ($C345,"IQ_KEY_DEV_SITUATION"),"")</f>
        <v/>
      </c>
      <c r="G345" s="19" t="str">
        <f t="shared" si="10"/>
        <v/>
      </c>
      <c r="H345" s="19" t="str">
        <f>+IF(LEN($C345)&gt;0,TEXT(IF(_xll.ciqfunctions.udf.CIQ($C345,"IQ_KEY_DEV_TIME")="NA","",_xll.ciqfunctions.udf.CIQ($C345,"IQ_KEY_DEV_TIME")),"h:mm AM/PM"),"")</f>
        <v/>
      </c>
      <c r="I345" s="7" t="str">
        <f>IF(LEN($C345)&gt;0,_xll.ciqfunctions.udf.CIQ($C345,"IQ_KEY_DEV_SOURCE"),"")</f>
        <v/>
      </c>
    </row>
    <row r="346" spans="2:9" x14ac:dyDescent="0.2">
      <c r="B346" s="7">
        <f t="shared" si="11"/>
        <v>339</v>
      </c>
      <c r="C346" s="7"/>
      <c r="D346" s="7" t="str">
        <f>IF(LEN($C346),_xll.ciqfunctions.udf.CIQ($C346,"IQ_KEY_DEV_HEADLINE"),"")</f>
        <v/>
      </c>
      <c r="E346" s="7" t="str">
        <f>IF(LEN($C346)&gt;0,_xll.ciqfunctions.udf.CIQ($C346,"IQ_KEY_DEV_TYPE"),"")</f>
        <v/>
      </c>
      <c r="F346" s="7" t="str">
        <f>IF(LEN($C346)&gt;0,_xll.ciqfunctions.udf.CIQ($C346,"IQ_KEY_DEV_SITUATION"),"")</f>
        <v/>
      </c>
      <c r="G346" s="19" t="str">
        <f t="shared" si="10"/>
        <v/>
      </c>
      <c r="H346" s="19" t="str">
        <f>+IF(LEN($C346)&gt;0,TEXT(IF(_xll.ciqfunctions.udf.CIQ($C346,"IQ_KEY_DEV_TIME")="NA","",_xll.ciqfunctions.udf.CIQ($C346,"IQ_KEY_DEV_TIME")),"h:mm AM/PM"),"")</f>
        <v/>
      </c>
      <c r="I346" s="7" t="str">
        <f>IF(LEN($C346)&gt;0,_xll.ciqfunctions.udf.CIQ($C346,"IQ_KEY_DEV_SOURCE"),"")</f>
        <v/>
      </c>
    </row>
    <row r="347" spans="2:9" x14ac:dyDescent="0.2">
      <c r="B347" s="7">
        <f t="shared" si="11"/>
        <v>340</v>
      </c>
      <c r="C347" s="7"/>
      <c r="D347" s="7" t="str">
        <f>IF(LEN($C347),_xll.ciqfunctions.udf.CIQ($C347,"IQ_KEY_DEV_HEADLINE"),"")</f>
        <v/>
      </c>
      <c r="E347" s="7" t="str">
        <f>IF(LEN($C347)&gt;0,_xll.ciqfunctions.udf.CIQ($C347,"IQ_KEY_DEV_TYPE"),"")</f>
        <v/>
      </c>
      <c r="F347" s="7" t="str">
        <f>IF(LEN($C347)&gt;0,_xll.ciqfunctions.udf.CIQ($C347,"IQ_KEY_DEV_SITUATION"),"")</f>
        <v/>
      </c>
      <c r="G347" s="19" t="str">
        <f t="shared" si="10"/>
        <v/>
      </c>
      <c r="H347" s="19" t="str">
        <f>+IF(LEN($C347)&gt;0,TEXT(IF(_xll.ciqfunctions.udf.CIQ($C347,"IQ_KEY_DEV_TIME")="NA","",_xll.ciqfunctions.udf.CIQ($C347,"IQ_KEY_DEV_TIME")),"h:mm AM/PM"),"")</f>
        <v/>
      </c>
      <c r="I347" s="7" t="str">
        <f>IF(LEN($C347)&gt;0,_xll.ciqfunctions.udf.CIQ($C347,"IQ_KEY_DEV_SOURCE"),"")</f>
        <v/>
      </c>
    </row>
    <row r="348" spans="2:9" x14ac:dyDescent="0.2">
      <c r="B348" s="7">
        <f t="shared" si="11"/>
        <v>341</v>
      </c>
      <c r="C348" s="7"/>
      <c r="D348" s="7" t="str">
        <f>IF(LEN($C348),_xll.ciqfunctions.udf.CIQ($C348,"IQ_KEY_DEV_HEADLINE"),"")</f>
        <v/>
      </c>
      <c r="E348" s="7" t="str">
        <f>IF(LEN($C348)&gt;0,_xll.ciqfunctions.udf.CIQ($C348,"IQ_KEY_DEV_TYPE"),"")</f>
        <v/>
      </c>
      <c r="F348" s="7" t="str">
        <f>IF(LEN($C348)&gt;0,_xll.ciqfunctions.udf.CIQ($C348,"IQ_KEY_DEV_SITUATION"),"")</f>
        <v/>
      </c>
      <c r="G348" s="19" t="str">
        <f t="shared" si="10"/>
        <v/>
      </c>
      <c r="H348" s="19" t="str">
        <f>+IF(LEN($C348)&gt;0,TEXT(IF(_xll.ciqfunctions.udf.CIQ($C348,"IQ_KEY_DEV_TIME")="NA","",_xll.ciqfunctions.udf.CIQ($C348,"IQ_KEY_DEV_TIME")),"h:mm AM/PM"),"")</f>
        <v/>
      </c>
      <c r="I348" s="7" t="str">
        <f>IF(LEN($C348)&gt;0,_xll.ciqfunctions.udf.CIQ($C348,"IQ_KEY_DEV_SOURCE"),"")</f>
        <v/>
      </c>
    </row>
    <row r="349" spans="2:9" x14ac:dyDescent="0.2">
      <c r="B349" s="7">
        <f t="shared" si="11"/>
        <v>342</v>
      </c>
      <c r="C349" s="7"/>
      <c r="D349" s="7" t="str">
        <f>IF(LEN($C349),_xll.ciqfunctions.udf.CIQ($C349,"IQ_KEY_DEV_HEADLINE"),"")</f>
        <v/>
      </c>
      <c r="E349" s="7" t="str">
        <f>IF(LEN($C349)&gt;0,_xll.ciqfunctions.udf.CIQ($C349,"IQ_KEY_DEV_TYPE"),"")</f>
        <v/>
      </c>
      <c r="F349" s="7" t="str">
        <f>IF(LEN($C349)&gt;0,_xll.ciqfunctions.udf.CIQ($C349,"IQ_KEY_DEV_SITUATION"),"")</f>
        <v/>
      </c>
      <c r="G349" s="19" t="str">
        <f t="shared" si="10"/>
        <v/>
      </c>
      <c r="H349" s="19" t="str">
        <f>+IF(LEN($C349)&gt;0,TEXT(IF(_xll.ciqfunctions.udf.CIQ($C349,"IQ_KEY_DEV_TIME")="NA","",_xll.ciqfunctions.udf.CIQ($C349,"IQ_KEY_DEV_TIME")),"h:mm AM/PM"),"")</f>
        <v/>
      </c>
      <c r="I349" s="7" t="str">
        <f>IF(LEN($C349)&gt;0,_xll.ciqfunctions.udf.CIQ($C349,"IQ_KEY_DEV_SOURCE"),"")</f>
        <v/>
      </c>
    </row>
    <row r="350" spans="2:9" x14ac:dyDescent="0.2">
      <c r="B350" s="7">
        <f t="shared" si="11"/>
        <v>343</v>
      </c>
      <c r="C350" s="7"/>
      <c r="D350" s="7" t="str">
        <f>IF(LEN($C350),_xll.ciqfunctions.udf.CIQ($C350,"IQ_KEY_DEV_HEADLINE"),"")</f>
        <v/>
      </c>
      <c r="E350" s="7" t="str">
        <f>IF(LEN($C350)&gt;0,_xll.ciqfunctions.udf.CIQ($C350,"IQ_KEY_DEV_TYPE"),"")</f>
        <v/>
      </c>
      <c r="F350" s="7" t="str">
        <f>IF(LEN($C350)&gt;0,_xll.ciqfunctions.udf.CIQ($C350,"IQ_KEY_DEV_SITUATION"),"")</f>
        <v/>
      </c>
      <c r="G350" s="19" t="str">
        <f t="shared" si="10"/>
        <v/>
      </c>
      <c r="H350" s="19" t="str">
        <f>+IF(LEN($C350)&gt;0,TEXT(IF(_xll.ciqfunctions.udf.CIQ($C350,"IQ_KEY_DEV_TIME")="NA","",_xll.ciqfunctions.udf.CIQ($C350,"IQ_KEY_DEV_TIME")),"h:mm AM/PM"),"")</f>
        <v/>
      </c>
      <c r="I350" s="7" t="str">
        <f>IF(LEN($C350)&gt;0,_xll.ciqfunctions.udf.CIQ($C350,"IQ_KEY_DEV_SOURCE"),"")</f>
        <v/>
      </c>
    </row>
    <row r="351" spans="2:9" x14ac:dyDescent="0.2">
      <c r="B351" s="7">
        <f t="shared" si="11"/>
        <v>344</v>
      </c>
      <c r="C351" s="7"/>
      <c r="D351" s="7" t="str">
        <f>IF(LEN($C351),_xll.ciqfunctions.udf.CIQ($C351,"IQ_KEY_DEV_HEADLINE"),"")</f>
        <v/>
      </c>
      <c r="E351" s="7" t="str">
        <f>IF(LEN($C351)&gt;0,_xll.ciqfunctions.udf.CIQ($C351,"IQ_KEY_DEV_TYPE"),"")</f>
        <v/>
      </c>
      <c r="F351" s="7" t="str">
        <f>IF(LEN($C351)&gt;0,_xll.ciqfunctions.udf.CIQ($C351,"IQ_KEY_DEV_SITUATION"),"")</f>
        <v/>
      </c>
      <c r="G351" s="19" t="str">
        <f t="shared" si="10"/>
        <v/>
      </c>
      <c r="H351" s="19" t="str">
        <f>+IF(LEN($C351)&gt;0,TEXT(IF(_xll.ciqfunctions.udf.CIQ($C351,"IQ_KEY_DEV_TIME")="NA","",_xll.ciqfunctions.udf.CIQ($C351,"IQ_KEY_DEV_TIME")),"h:mm AM/PM"),"")</f>
        <v/>
      </c>
      <c r="I351" s="7" t="str">
        <f>IF(LEN($C351)&gt;0,_xll.ciqfunctions.udf.CIQ($C351,"IQ_KEY_DEV_SOURCE"),"")</f>
        <v/>
      </c>
    </row>
    <row r="352" spans="2:9" x14ac:dyDescent="0.2">
      <c r="B352" s="7">
        <f t="shared" si="11"/>
        <v>345</v>
      </c>
      <c r="C352" s="7"/>
      <c r="D352" s="7" t="str">
        <f>IF(LEN($C352),_xll.ciqfunctions.udf.CIQ($C352,"IQ_KEY_DEV_HEADLINE"),"")</f>
        <v/>
      </c>
      <c r="E352" s="7" t="str">
        <f>IF(LEN($C352)&gt;0,_xll.ciqfunctions.udf.CIQ($C352,"IQ_KEY_DEV_TYPE"),"")</f>
        <v/>
      </c>
      <c r="F352" s="7" t="str">
        <f>IF(LEN($C352)&gt;0,_xll.ciqfunctions.udf.CIQ($C352,"IQ_KEY_DEV_SITUATION"),"")</f>
        <v/>
      </c>
      <c r="G352" s="19" t="str">
        <f t="shared" si="10"/>
        <v/>
      </c>
      <c r="H352" s="19" t="str">
        <f>+IF(LEN($C352)&gt;0,TEXT(IF(_xll.ciqfunctions.udf.CIQ($C352,"IQ_KEY_DEV_TIME")="NA","",_xll.ciqfunctions.udf.CIQ($C352,"IQ_KEY_DEV_TIME")),"h:mm AM/PM"),"")</f>
        <v/>
      </c>
      <c r="I352" s="7" t="str">
        <f>IF(LEN($C352)&gt;0,_xll.ciqfunctions.udf.CIQ($C352,"IQ_KEY_DEV_SOURCE"),"")</f>
        <v/>
      </c>
    </row>
    <row r="353" spans="2:9" x14ac:dyDescent="0.2">
      <c r="B353" s="7">
        <f t="shared" si="11"/>
        <v>346</v>
      </c>
      <c r="C353" s="7"/>
      <c r="D353" s="7" t="str">
        <f>IF(LEN($C353),_xll.ciqfunctions.udf.CIQ($C353,"IQ_KEY_DEV_HEADLINE"),"")</f>
        <v/>
      </c>
      <c r="E353" s="7" t="str">
        <f>IF(LEN($C353)&gt;0,_xll.ciqfunctions.udf.CIQ($C353,"IQ_KEY_DEV_TYPE"),"")</f>
        <v/>
      </c>
      <c r="F353" s="7" t="str">
        <f>IF(LEN($C353)&gt;0,_xll.ciqfunctions.udf.CIQ($C353,"IQ_KEY_DEV_SITUATION"),"")</f>
        <v/>
      </c>
      <c r="G353" s="19" t="str">
        <f t="shared" si="10"/>
        <v/>
      </c>
      <c r="H353" s="19" t="str">
        <f>+IF(LEN($C353)&gt;0,TEXT(IF(_xll.ciqfunctions.udf.CIQ($C353,"IQ_KEY_DEV_TIME")="NA","",_xll.ciqfunctions.udf.CIQ($C353,"IQ_KEY_DEV_TIME")),"h:mm AM/PM"),"")</f>
        <v/>
      </c>
      <c r="I353" s="7" t="str">
        <f>IF(LEN($C353)&gt;0,_xll.ciqfunctions.udf.CIQ($C353,"IQ_KEY_DEV_SOURCE"),"")</f>
        <v/>
      </c>
    </row>
    <row r="354" spans="2:9" x14ac:dyDescent="0.2">
      <c r="B354" s="7">
        <f t="shared" si="11"/>
        <v>347</v>
      </c>
      <c r="C354" s="7"/>
      <c r="D354" s="7" t="str">
        <f>IF(LEN($C354),_xll.ciqfunctions.udf.CIQ($C354,"IQ_KEY_DEV_HEADLINE"),"")</f>
        <v/>
      </c>
      <c r="E354" s="7" t="str">
        <f>IF(LEN($C354)&gt;0,_xll.ciqfunctions.udf.CIQ($C354,"IQ_KEY_DEV_TYPE"),"")</f>
        <v/>
      </c>
      <c r="F354" s="7" t="str">
        <f>IF(LEN($C354)&gt;0,_xll.ciqfunctions.udf.CIQ($C354,"IQ_KEY_DEV_SITUATION"),"")</f>
        <v/>
      </c>
      <c r="G354" s="19" t="str">
        <f t="shared" si="10"/>
        <v/>
      </c>
      <c r="H354" s="19" t="str">
        <f>+IF(LEN($C354)&gt;0,TEXT(IF(_xll.ciqfunctions.udf.CIQ($C354,"IQ_KEY_DEV_TIME")="NA","",_xll.ciqfunctions.udf.CIQ($C354,"IQ_KEY_DEV_TIME")),"h:mm AM/PM"),"")</f>
        <v/>
      </c>
      <c r="I354" s="7" t="str">
        <f>IF(LEN($C354)&gt;0,_xll.ciqfunctions.udf.CIQ($C354,"IQ_KEY_DEV_SOURCE"),"")</f>
        <v/>
      </c>
    </row>
    <row r="355" spans="2:9" x14ac:dyDescent="0.2">
      <c r="B355" s="7">
        <f t="shared" si="11"/>
        <v>348</v>
      </c>
      <c r="C355" s="7"/>
      <c r="D355" s="7" t="str">
        <f>IF(LEN($C355),_xll.ciqfunctions.udf.CIQ($C355,"IQ_KEY_DEV_HEADLINE"),"")</f>
        <v/>
      </c>
      <c r="E355" s="7" t="str">
        <f>IF(LEN($C355)&gt;0,_xll.ciqfunctions.udf.CIQ($C355,"IQ_KEY_DEV_TYPE"),"")</f>
        <v/>
      </c>
      <c r="F355" s="7" t="str">
        <f>IF(LEN($C355)&gt;0,_xll.ciqfunctions.udf.CIQ($C355,"IQ_KEY_DEV_SITUATION"),"")</f>
        <v/>
      </c>
      <c r="G355" s="19" t="str">
        <f t="shared" si="10"/>
        <v/>
      </c>
      <c r="H355" s="19" t="str">
        <f>+IF(LEN($C355)&gt;0,TEXT(IF(_xll.ciqfunctions.udf.CIQ($C355,"IQ_KEY_DEV_TIME")="NA","",_xll.ciqfunctions.udf.CIQ($C355,"IQ_KEY_DEV_TIME")),"h:mm AM/PM"),"")</f>
        <v/>
      </c>
      <c r="I355" s="7" t="str">
        <f>IF(LEN($C355)&gt;0,_xll.ciqfunctions.udf.CIQ($C355,"IQ_KEY_DEV_SOURCE"),"")</f>
        <v/>
      </c>
    </row>
    <row r="356" spans="2:9" x14ac:dyDescent="0.2">
      <c r="B356" s="7">
        <f t="shared" si="11"/>
        <v>349</v>
      </c>
      <c r="C356" s="7"/>
      <c r="D356" s="7" t="str">
        <f>IF(LEN($C356),_xll.ciqfunctions.udf.CIQ($C356,"IQ_KEY_DEV_HEADLINE"),"")</f>
        <v/>
      </c>
      <c r="E356" s="7" t="str">
        <f>IF(LEN($C356)&gt;0,_xll.ciqfunctions.udf.CIQ($C356,"IQ_KEY_DEV_TYPE"),"")</f>
        <v/>
      </c>
      <c r="F356" s="7" t="str">
        <f>IF(LEN($C356)&gt;0,_xll.ciqfunctions.udf.CIQ($C356,"IQ_KEY_DEV_SITUATION"),"")</f>
        <v/>
      </c>
      <c r="G356" s="19" t="str">
        <f t="shared" si="10"/>
        <v/>
      </c>
      <c r="H356" s="19" t="str">
        <f>+IF(LEN($C356)&gt;0,TEXT(IF(_xll.ciqfunctions.udf.CIQ($C356,"IQ_KEY_DEV_TIME")="NA","",_xll.ciqfunctions.udf.CIQ($C356,"IQ_KEY_DEV_TIME")),"h:mm AM/PM"),"")</f>
        <v/>
      </c>
      <c r="I356" s="7" t="str">
        <f>IF(LEN($C356)&gt;0,_xll.ciqfunctions.udf.CIQ($C356,"IQ_KEY_DEV_SOURCE"),"")</f>
        <v/>
      </c>
    </row>
    <row r="357" spans="2:9" x14ac:dyDescent="0.2">
      <c r="B357" s="7">
        <f t="shared" si="11"/>
        <v>350</v>
      </c>
      <c r="C357" s="7"/>
      <c r="D357" s="7" t="str">
        <f>IF(LEN($C357),_xll.ciqfunctions.udf.CIQ($C357,"IQ_KEY_DEV_HEADLINE"),"")</f>
        <v/>
      </c>
      <c r="E357" s="7" t="str">
        <f>IF(LEN($C357)&gt;0,_xll.ciqfunctions.udf.CIQ($C357,"IQ_KEY_DEV_TYPE"),"")</f>
        <v/>
      </c>
      <c r="F357" s="7" t="str">
        <f>IF(LEN($C357)&gt;0,_xll.ciqfunctions.udf.CIQ($C357,"IQ_KEY_DEV_SITUATION"),"")</f>
        <v/>
      </c>
      <c r="G357" s="19" t="str">
        <f t="shared" si="10"/>
        <v/>
      </c>
      <c r="H357" s="19" t="str">
        <f>+IF(LEN($C357)&gt;0,TEXT(IF(_xll.ciqfunctions.udf.CIQ($C357,"IQ_KEY_DEV_TIME")="NA","",_xll.ciqfunctions.udf.CIQ($C357,"IQ_KEY_DEV_TIME")),"h:mm AM/PM"),"")</f>
        <v/>
      </c>
      <c r="I357" s="7" t="str">
        <f>IF(LEN($C357)&gt;0,_xll.ciqfunctions.udf.CIQ($C357,"IQ_KEY_DEV_SOURCE"),"")</f>
        <v/>
      </c>
    </row>
    <row r="358" spans="2:9" x14ac:dyDescent="0.2">
      <c r="B358" s="7">
        <f t="shared" si="11"/>
        <v>351</v>
      </c>
      <c r="C358" s="7"/>
      <c r="D358" s="7" t="str">
        <f>IF(LEN($C358),_xll.ciqfunctions.udf.CIQ($C358,"IQ_KEY_DEV_HEADLINE"),"")</f>
        <v/>
      </c>
      <c r="E358" s="7" t="str">
        <f>IF(LEN($C358)&gt;0,_xll.ciqfunctions.udf.CIQ($C358,"IQ_KEY_DEV_TYPE"),"")</f>
        <v/>
      </c>
      <c r="F358" s="7" t="str">
        <f>IF(LEN($C358)&gt;0,_xll.ciqfunctions.udf.CIQ($C358,"IQ_KEY_DEV_SITUATION"),"")</f>
        <v/>
      </c>
      <c r="G358" s="19" t="str">
        <f t="shared" si="10"/>
        <v/>
      </c>
      <c r="H358" s="19" t="str">
        <f>+IF(LEN($C358)&gt;0,TEXT(IF(_xll.ciqfunctions.udf.CIQ($C358,"IQ_KEY_DEV_TIME")="NA","",_xll.ciqfunctions.udf.CIQ($C358,"IQ_KEY_DEV_TIME")),"h:mm AM/PM"),"")</f>
        <v/>
      </c>
      <c r="I358" s="7" t="str">
        <f>IF(LEN($C358)&gt;0,_xll.ciqfunctions.udf.CIQ($C358,"IQ_KEY_DEV_SOURCE"),"")</f>
        <v/>
      </c>
    </row>
    <row r="359" spans="2:9" x14ac:dyDescent="0.2">
      <c r="B359" s="7">
        <f t="shared" si="11"/>
        <v>352</v>
      </c>
      <c r="C359" s="7"/>
      <c r="D359" s="7" t="str">
        <f>IF(LEN($C359),_xll.ciqfunctions.udf.CIQ($C359,"IQ_KEY_DEV_HEADLINE"),"")</f>
        <v/>
      </c>
      <c r="E359" s="7" t="str">
        <f>IF(LEN($C359)&gt;0,_xll.ciqfunctions.udf.CIQ($C359,"IQ_KEY_DEV_TYPE"),"")</f>
        <v/>
      </c>
      <c r="F359" s="7" t="str">
        <f>IF(LEN($C359)&gt;0,_xll.ciqfunctions.udf.CIQ($C359,"IQ_KEY_DEV_SITUATION"),"")</f>
        <v/>
      </c>
      <c r="G359" s="19" t="str">
        <f t="shared" si="10"/>
        <v/>
      </c>
      <c r="H359" s="19" t="str">
        <f>+IF(LEN($C359)&gt;0,TEXT(IF(_xll.ciqfunctions.udf.CIQ($C359,"IQ_KEY_DEV_TIME")="NA","",_xll.ciqfunctions.udf.CIQ($C359,"IQ_KEY_DEV_TIME")),"h:mm AM/PM"),"")</f>
        <v/>
      </c>
      <c r="I359" s="7" t="str">
        <f>IF(LEN($C359)&gt;0,_xll.ciqfunctions.udf.CIQ($C359,"IQ_KEY_DEV_SOURCE"),"")</f>
        <v/>
      </c>
    </row>
    <row r="360" spans="2:9" x14ac:dyDescent="0.2">
      <c r="B360" s="7">
        <f t="shared" si="11"/>
        <v>353</v>
      </c>
      <c r="C360" s="7"/>
      <c r="D360" s="7" t="str">
        <f>IF(LEN($C360),_xll.ciqfunctions.udf.CIQ($C360,"IQ_KEY_DEV_HEADLINE"),"")</f>
        <v/>
      </c>
      <c r="E360" s="7" t="str">
        <f>IF(LEN($C360)&gt;0,_xll.ciqfunctions.udf.CIQ($C360,"IQ_KEY_DEV_TYPE"),"")</f>
        <v/>
      </c>
      <c r="F360" s="7" t="str">
        <f>IF(LEN($C360)&gt;0,_xll.ciqfunctions.udf.CIQ($C360,"IQ_KEY_DEV_SITUATION"),"")</f>
        <v/>
      </c>
      <c r="G360" s="19" t="str">
        <f t="shared" si="10"/>
        <v/>
      </c>
      <c r="H360" s="19" t="str">
        <f>+IF(LEN($C360)&gt;0,TEXT(IF(_xll.ciqfunctions.udf.CIQ($C360,"IQ_KEY_DEV_TIME")="NA","",_xll.ciqfunctions.udf.CIQ($C360,"IQ_KEY_DEV_TIME")),"h:mm AM/PM"),"")</f>
        <v/>
      </c>
      <c r="I360" s="7" t="str">
        <f>IF(LEN($C360)&gt;0,_xll.ciqfunctions.udf.CIQ($C360,"IQ_KEY_DEV_SOURCE"),"")</f>
        <v/>
      </c>
    </row>
    <row r="361" spans="2:9" x14ac:dyDescent="0.2">
      <c r="B361" s="7">
        <f t="shared" si="11"/>
        <v>354</v>
      </c>
      <c r="C361" s="7"/>
      <c r="D361" s="7" t="str">
        <f>IF(LEN($C361),_xll.ciqfunctions.udf.CIQ($C361,"IQ_KEY_DEV_HEADLINE"),"")</f>
        <v/>
      </c>
      <c r="E361" s="7" t="str">
        <f>IF(LEN($C361)&gt;0,_xll.ciqfunctions.udf.CIQ($C361,"IQ_KEY_DEV_TYPE"),"")</f>
        <v/>
      </c>
      <c r="F361" s="7" t="str">
        <f>IF(LEN($C361)&gt;0,_xll.ciqfunctions.udf.CIQ($C361,"IQ_KEY_DEV_SITUATION"),"")</f>
        <v/>
      </c>
      <c r="G361" s="19" t="str">
        <f t="shared" si="10"/>
        <v/>
      </c>
      <c r="H361" s="19" t="str">
        <f>+IF(LEN($C361)&gt;0,TEXT(IF(_xll.ciqfunctions.udf.CIQ($C361,"IQ_KEY_DEV_TIME")="NA","",_xll.ciqfunctions.udf.CIQ($C361,"IQ_KEY_DEV_TIME")),"h:mm AM/PM"),"")</f>
        <v/>
      </c>
      <c r="I361" s="7" t="str">
        <f>IF(LEN($C361)&gt;0,_xll.ciqfunctions.udf.CIQ($C361,"IQ_KEY_DEV_SOURCE"),"")</f>
        <v/>
      </c>
    </row>
    <row r="362" spans="2:9" x14ac:dyDescent="0.2">
      <c r="B362" s="7">
        <f t="shared" si="11"/>
        <v>355</v>
      </c>
      <c r="C362" s="7"/>
      <c r="D362" s="7" t="str">
        <f>IF(LEN($C362),_xll.ciqfunctions.udf.CIQ($C362,"IQ_KEY_DEV_HEADLINE"),"")</f>
        <v/>
      </c>
      <c r="E362" s="7" t="str">
        <f>IF(LEN($C362)&gt;0,_xll.ciqfunctions.udf.CIQ($C362,"IQ_KEY_DEV_TYPE"),"")</f>
        <v/>
      </c>
      <c r="F362" s="7" t="str">
        <f>IF(LEN($C362)&gt;0,_xll.ciqfunctions.udf.CIQ($C362,"IQ_KEY_DEV_SITUATION"),"")</f>
        <v/>
      </c>
      <c r="G362" s="19" t="str">
        <f t="shared" si="10"/>
        <v/>
      </c>
      <c r="H362" s="19" t="str">
        <f>+IF(LEN($C362)&gt;0,TEXT(IF(_xll.ciqfunctions.udf.CIQ($C362,"IQ_KEY_DEV_TIME")="NA","",_xll.ciqfunctions.udf.CIQ($C362,"IQ_KEY_DEV_TIME")),"h:mm AM/PM"),"")</f>
        <v/>
      </c>
      <c r="I362" s="7" t="str">
        <f>IF(LEN($C362)&gt;0,_xll.ciqfunctions.udf.CIQ($C362,"IQ_KEY_DEV_SOURCE"),"")</f>
        <v/>
      </c>
    </row>
    <row r="363" spans="2:9" x14ac:dyDescent="0.2">
      <c r="B363" s="7">
        <f t="shared" si="11"/>
        <v>356</v>
      </c>
      <c r="C363" s="7"/>
      <c r="D363" s="7" t="str">
        <f>IF(LEN($C363),_xll.ciqfunctions.udf.CIQ($C363,"IQ_KEY_DEV_HEADLINE"),"")</f>
        <v/>
      </c>
      <c r="E363" s="7" t="str">
        <f>IF(LEN($C363)&gt;0,_xll.ciqfunctions.udf.CIQ($C363,"IQ_KEY_DEV_TYPE"),"")</f>
        <v/>
      </c>
      <c r="F363" s="7" t="str">
        <f>IF(LEN($C363)&gt;0,_xll.ciqfunctions.udf.CIQ($C363,"IQ_KEY_DEV_SITUATION"),"")</f>
        <v/>
      </c>
      <c r="G363" s="19" t="str">
        <f t="shared" si="10"/>
        <v/>
      </c>
      <c r="H363" s="19" t="str">
        <f>+IF(LEN($C363)&gt;0,TEXT(IF(_xll.ciqfunctions.udf.CIQ($C363,"IQ_KEY_DEV_TIME")="NA","",_xll.ciqfunctions.udf.CIQ($C363,"IQ_KEY_DEV_TIME")),"h:mm AM/PM"),"")</f>
        <v/>
      </c>
      <c r="I363" s="7" t="str">
        <f>IF(LEN($C363)&gt;0,_xll.ciqfunctions.udf.CIQ($C363,"IQ_KEY_DEV_SOURCE"),"")</f>
        <v/>
      </c>
    </row>
    <row r="364" spans="2:9" x14ac:dyDescent="0.2">
      <c r="B364" s="7">
        <f t="shared" si="11"/>
        <v>357</v>
      </c>
      <c r="C364" s="7"/>
      <c r="D364" s="7" t="str">
        <f>IF(LEN($C364),_xll.ciqfunctions.udf.CIQ($C364,"IQ_KEY_DEV_HEADLINE"),"")</f>
        <v/>
      </c>
      <c r="E364" s="7" t="str">
        <f>IF(LEN($C364)&gt;0,_xll.ciqfunctions.udf.CIQ($C364,"IQ_KEY_DEV_TYPE"),"")</f>
        <v/>
      </c>
      <c r="F364" s="7" t="str">
        <f>IF(LEN($C364)&gt;0,_xll.ciqfunctions.udf.CIQ($C364,"IQ_KEY_DEV_SITUATION"),"")</f>
        <v/>
      </c>
      <c r="G364" s="19" t="str">
        <f t="shared" si="10"/>
        <v/>
      </c>
      <c r="H364" s="19" t="str">
        <f>+IF(LEN($C364)&gt;0,TEXT(IF(_xll.ciqfunctions.udf.CIQ($C364,"IQ_KEY_DEV_TIME")="NA","",_xll.ciqfunctions.udf.CIQ($C364,"IQ_KEY_DEV_TIME")),"h:mm AM/PM"),"")</f>
        <v/>
      </c>
      <c r="I364" s="7" t="str">
        <f>IF(LEN($C364)&gt;0,_xll.ciqfunctions.udf.CIQ($C364,"IQ_KEY_DEV_SOURCE"),"")</f>
        <v/>
      </c>
    </row>
    <row r="365" spans="2:9" x14ac:dyDescent="0.2">
      <c r="B365" s="7">
        <f t="shared" si="11"/>
        <v>358</v>
      </c>
      <c r="C365" s="7"/>
      <c r="D365" s="7" t="str">
        <f>IF(LEN($C365),_xll.ciqfunctions.udf.CIQ($C365,"IQ_KEY_DEV_HEADLINE"),"")</f>
        <v/>
      </c>
      <c r="E365" s="7" t="str">
        <f>IF(LEN($C365)&gt;0,_xll.ciqfunctions.udf.CIQ($C365,"IQ_KEY_DEV_TYPE"),"")</f>
        <v/>
      </c>
      <c r="F365" s="7" t="str">
        <f>IF(LEN($C365)&gt;0,_xll.ciqfunctions.udf.CIQ($C365,"IQ_KEY_DEV_SITUATION"),"")</f>
        <v/>
      </c>
      <c r="G365" s="19" t="str">
        <f t="shared" si="10"/>
        <v/>
      </c>
      <c r="H365" s="19" t="str">
        <f>+IF(LEN($C365)&gt;0,TEXT(IF(_xll.ciqfunctions.udf.CIQ($C365,"IQ_KEY_DEV_TIME")="NA","",_xll.ciqfunctions.udf.CIQ($C365,"IQ_KEY_DEV_TIME")),"h:mm AM/PM"),"")</f>
        <v/>
      </c>
      <c r="I365" s="7" t="str">
        <f>IF(LEN($C365)&gt;0,_xll.ciqfunctions.udf.CIQ($C365,"IQ_KEY_DEV_SOURCE"),"")</f>
        <v/>
      </c>
    </row>
    <row r="366" spans="2:9" x14ac:dyDescent="0.2">
      <c r="B366" s="7">
        <f t="shared" si="11"/>
        <v>359</v>
      </c>
      <c r="C366" s="7"/>
      <c r="D366" s="7" t="str">
        <f>IF(LEN($C366),_xll.ciqfunctions.udf.CIQ($C366,"IQ_KEY_DEV_HEADLINE"),"")</f>
        <v/>
      </c>
      <c r="E366" s="7" t="str">
        <f>IF(LEN($C366)&gt;0,_xll.ciqfunctions.udf.CIQ($C366,"IQ_KEY_DEV_TYPE"),"")</f>
        <v/>
      </c>
      <c r="F366" s="7" t="str">
        <f>IF(LEN($C366)&gt;0,_xll.ciqfunctions.udf.CIQ($C366,"IQ_KEY_DEV_SITUATION"),"")</f>
        <v/>
      </c>
      <c r="G366" s="19" t="str">
        <f t="shared" si="10"/>
        <v/>
      </c>
      <c r="H366" s="19" t="str">
        <f>+IF(LEN($C366)&gt;0,TEXT(IF(_xll.ciqfunctions.udf.CIQ($C366,"IQ_KEY_DEV_TIME")="NA","",_xll.ciqfunctions.udf.CIQ($C366,"IQ_KEY_DEV_TIME")),"h:mm AM/PM"),"")</f>
        <v/>
      </c>
      <c r="I366" s="7" t="str">
        <f>IF(LEN($C366)&gt;0,_xll.ciqfunctions.udf.CIQ($C366,"IQ_KEY_DEV_SOURCE"),"")</f>
        <v/>
      </c>
    </row>
    <row r="367" spans="2:9" x14ac:dyDescent="0.2">
      <c r="B367" s="7">
        <f t="shared" si="11"/>
        <v>360</v>
      </c>
      <c r="C367" s="7"/>
      <c r="D367" s="7" t="str">
        <f>IF(LEN($C367),_xll.ciqfunctions.udf.CIQ($C367,"IQ_KEY_DEV_HEADLINE"),"")</f>
        <v/>
      </c>
      <c r="E367" s="7" t="str">
        <f>IF(LEN($C367)&gt;0,_xll.ciqfunctions.udf.CIQ($C367,"IQ_KEY_DEV_TYPE"),"")</f>
        <v/>
      </c>
      <c r="F367" s="7" t="str">
        <f>IF(LEN($C367)&gt;0,_xll.ciqfunctions.udf.CIQ($C367,"IQ_KEY_DEV_SITUATION"),"")</f>
        <v/>
      </c>
      <c r="G367" s="19" t="str">
        <f t="shared" si="10"/>
        <v/>
      </c>
      <c r="H367" s="19" t="str">
        <f>+IF(LEN($C367)&gt;0,TEXT(IF(_xll.ciqfunctions.udf.CIQ($C367,"IQ_KEY_DEV_TIME")="NA","",_xll.ciqfunctions.udf.CIQ($C367,"IQ_KEY_DEV_TIME")),"h:mm AM/PM"),"")</f>
        <v/>
      </c>
      <c r="I367" s="7" t="str">
        <f>IF(LEN($C367)&gt;0,_xll.ciqfunctions.udf.CIQ($C367,"IQ_KEY_DEV_SOURCE"),"")</f>
        <v/>
      </c>
    </row>
    <row r="368" spans="2:9" x14ac:dyDescent="0.2">
      <c r="B368" s="7">
        <f t="shared" si="11"/>
        <v>361</v>
      </c>
      <c r="C368" s="7"/>
      <c r="D368" s="7" t="str">
        <f>IF(LEN($C368),_xll.ciqfunctions.udf.CIQ($C368,"IQ_KEY_DEV_HEADLINE"),"")</f>
        <v/>
      </c>
      <c r="E368" s="7" t="str">
        <f>IF(LEN($C368)&gt;0,_xll.ciqfunctions.udf.CIQ($C368,"IQ_KEY_DEV_TYPE"),"")</f>
        <v/>
      </c>
      <c r="F368" s="7" t="str">
        <f>IF(LEN($C368)&gt;0,_xll.ciqfunctions.udf.CIQ($C368,"IQ_KEY_DEV_SITUATION"),"")</f>
        <v/>
      </c>
      <c r="G368" s="19" t="str">
        <f t="shared" si="10"/>
        <v/>
      </c>
      <c r="H368" s="19" t="str">
        <f>+IF(LEN($C368)&gt;0,TEXT(IF(_xll.ciqfunctions.udf.CIQ($C368,"IQ_KEY_DEV_TIME")="NA","",_xll.ciqfunctions.udf.CIQ($C368,"IQ_KEY_DEV_TIME")),"h:mm AM/PM"),"")</f>
        <v/>
      </c>
      <c r="I368" s="7" t="str">
        <f>IF(LEN($C368)&gt;0,_xll.ciqfunctions.udf.CIQ($C368,"IQ_KEY_DEV_SOURCE"),"")</f>
        <v/>
      </c>
    </row>
    <row r="369" spans="2:9" x14ac:dyDescent="0.2">
      <c r="B369" s="7">
        <f t="shared" si="11"/>
        <v>362</v>
      </c>
      <c r="C369" s="7"/>
      <c r="D369" s="7" t="str">
        <f>IF(LEN($C369),_xll.ciqfunctions.udf.CIQ($C369,"IQ_KEY_DEV_HEADLINE"),"")</f>
        <v/>
      </c>
      <c r="E369" s="7" t="str">
        <f>IF(LEN($C369)&gt;0,_xll.ciqfunctions.udf.CIQ($C369,"IQ_KEY_DEV_TYPE"),"")</f>
        <v/>
      </c>
      <c r="F369" s="7" t="str">
        <f>IF(LEN($C369)&gt;0,_xll.ciqfunctions.udf.CIQ($C369,"IQ_KEY_DEV_SITUATION"),"")</f>
        <v/>
      </c>
      <c r="G369" s="19" t="str">
        <f t="shared" si="10"/>
        <v/>
      </c>
      <c r="H369" s="19" t="str">
        <f>+IF(LEN($C369)&gt;0,TEXT(IF(_xll.ciqfunctions.udf.CIQ($C369,"IQ_KEY_DEV_TIME")="NA","",_xll.ciqfunctions.udf.CIQ($C369,"IQ_KEY_DEV_TIME")),"h:mm AM/PM"),"")</f>
        <v/>
      </c>
      <c r="I369" s="7" t="str">
        <f>IF(LEN($C369)&gt;0,_xll.ciqfunctions.udf.CIQ($C369,"IQ_KEY_DEV_SOURCE"),"")</f>
        <v/>
      </c>
    </row>
    <row r="370" spans="2:9" x14ac:dyDescent="0.2">
      <c r="B370" s="7">
        <f t="shared" si="11"/>
        <v>363</v>
      </c>
      <c r="C370" s="7"/>
      <c r="D370" s="7" t="str">
        <f>IF(LEN($C370),_xll.ciqfunctions.udf.CIQ($C370,"IQ_KEY_DEV_HEADLINE"),"")</f>
        <v/>
      </c>
      <c r="E370" s="7" t="str">
        <f>IF(LEN($C370)&gt;0,_xll.ciqfunctions.udf.CIQ($C370,"IQ_KEY_DEV_TYPE"),"")</f>
        <v/>
      </c>
      <c r="F370" s="7" t="str">
        <f>IF(LEN($C370)&gt;0,_xll.ciqfunctions.udf.CIQ($C370,"IQ_KEY_DEV_SITUATION"),"")</f>
        <v/>
      </c>
      <c r="G370" s="19" t="str">
        <f t="shared" si="10"/>
        <v/>
      </c>
      <c r="H370" s="19" t="str">
        <f>+IF(LEN($C370)&gt;0,TEXT(IF(_xll.ciqfunctions.udf.CIQ($C370,"IQ_KEY_DEV_TIME")="NA","",_xll.ciqfunctions.udf.CIQ($C370,"IQ_KEY_DEV_TIME")),"h:mm AM/PM"),"")</f>
        <v/>
      </c>
      <c r="I370" s="7" t="str">
        <f>IF(LEN($C370)&gt;0,_xll.ciqfunctions.udf.CIQ($C370,"IQ_KEY_DEV_SOURCE"),"")</f>
        <v/>
      </c>
    </row>
    <row r="371" spans="2:9" x14ac:dyDescent="0.2">
      <c r="B371" s="7">
        <f t="shared" si="11"/>
        <v>364</v>
      </c>
      <c r="C371" s="7"/>
      <c r="D371" s="7" t="str">
        <f>IF(LEN($C371),_xll.ciqfunctions.udf.CIQ($C371,"IQ_KEY_DEV_HEADLINE"),"")</f>
        <v/>
      </c>
      <c r="E371" s="7" t="str">
        <f>IF(LEN($C371)&gt;0,_xll.ciqfunctions.udf.CIQ($C371,"IQ_KEY_DEV_TYPE"),"")</f>
        <v/>
      </c>
      <c r="F371" s="7" t="str">
        <f>IF(LEN($C371)&gt;0,_xll.ciqfunctions.udf.CIQ($C371,"IQ_KEY_DEV_SITUATION"),"")</f>
        <v/>
      </c>
      <c r="G371" s="19" t="str">
        <f t="shared" si="10"/>
        <v/>
      </c>
      <c r="H371" s="19" t="str">
        <f>+IF(LEN($C371)&gt;0,TEXT(IF(_xll.ciqfunctions.udf.CIQ($C371,"IQ_KEY_DEV_TIME")="NA","",_xll.ciqfunctions.udf.CIQ($C371,"IQ_KEY_DEV_TIME")),"h:mm AM/PM"),"")</f>
        <v/>
      </c>
      <c r="I371" s="7" t="str">
        <f>IF(LEN($C371)&gt;0,_xll.ciqfunctions.udf.CIQ($C371,"IQ_KEY_DEV_SOURCE"),"")</f>
        <v/>
      </c>
    </row>
    <row r="372" spans="2:9" x14ac:dyDescent="0.2">
      <c r="B372" s="7">
        <f t="shared" si="11"/>
        <v>365</v>
      </c>
      <c r="C372" s="7"/>
      <c r="D372" s="7" t="str">
        <f>IF(LEN($C372),_xll.ciqfunctions.udf.CIQ($C372,"IQ_KEY_DEV_HEADLINE"),"")</f>
        <v/>
      </c>
      <c r="E372" s="7" t="str">
        <f>IF(LEN($C372)&gt;0,_xll.ciqfunctions.udf.CIQ($C372,"IQ_KEY_DEV_TYPE"),"")</f>
        <v/>
      </c>
      <c r="F372" s="7" t="str">
        <f>IF(LEN($C372)&gt;0,_xll.ciqfunctions.udf.CIQ($C372,"IQ_KEY_DEV_SITUATION"),"")</f>
        <v/>
      </c>
      <c r="G372" s="19" t="str">
        <f t="shared" si="10"/>
        <v/>
      </c>
      <c r="H372" s="19" t="str">
        <f>+IF(LEN($C372)&gt;0,TEXT(IF(_xll.ciqfunctions.udf.CIQ($C372,"IQ_KEY_DEV_TIME")="NA","",_xll.ciqfunctions.udf.CIQ($C372,"IQ_KEY_DEV_TIME")),"h:mm AM/PM"),"")</f>
        <v/>
      </c>
      <c r="I372" s="7" t="str">
        <f>IF(LEN($C372)&gt;0,_xll.ciqfunctions.udf.CIQ($C372,"IQ_KEY_DEV_SOURCE"),"")</f>
        <v/>
      </c>
    </row>
    <row r="373" spans="2:9" x14ac:dyDescent="0.2">
      <c r="B373" s="7">
        <f t="shared" si="11"/>
        <v>366</v>
      </c>
      <c r="C373" s="7"/>
      <c r="D373" s="7" t="str">
        <f>IF(LEN($C373),_xll.ciqfunctions.udf.CIQ($C373,"IQ_KEY_DEV_HEADLINE"),"")</f>
        <v/>
      </c>
      <c r="E373" s="7" t="str">
        <f>IF(LEN($C373)&gt;0,_xll.ciqfunctions.udf.CIQ($C373,"IQ_KEY_DEV_TYPE"),"")</f>
        <v/>
      </c>
      <c r="F373" s="7" t="str">
        <f>IF(LEN($C373)&gt;0,_xll.ciqfunctions.udf.CIQ($C373,"IQ_KEY_DEV_SITUATION"),"")</f>
        <v/>
      </c>
      <c r="G373" s="19" t="str">
        <f t="shared" si="10"/>
        <v/>
      </c>
      <c r="H373" s="19" t="str">
        <f>+IF(LEN($C373)&gt;0,TEXT(IF(_xll.ciqfunctions.udf.CIQ($C373,"IQ_KEY_DEV_TIME")="NA","",_xll.ciqfunctions.udf.CIQ($C373,"IQ_KEY_DEV_TIME")),"h:mm AM/PM"),"")</f>
        <v/>
      </c>
      <c r="I373" s="7" t="str">
        <f>IF(LEN($C373)&gt;0,_xll.ciqfunctions.udf.CIQ($C373,"IQ_KEY_DEV_SOURCE"),"")</f>
        <v/>
      </c>
    </row>
    <row r="374" spans="2:9" x14ac:dyDescent="0.2">
      <c r="B374" s="7">
        <f t="shared" si="11"/>
        <v>367</v>
      </c>
      <c r="C374" s="7"/>
      <c r="D374" s="7" t="str">
        <f>IF(LEN($C374),_xll.ciqfunctions.udf.CIQ($C374,"IQ_KEY_DEV_HEADLINE"),"")</f>
        <v/>
      </c>
      <c r="E374" s="7" t="str">
        <f>IF(LEN($C374)&gt;0,_xll.ciqfunctions.udf.CIQ($C374,"IQ_KEY_DEV_TYPE"),"")</f>
        <v/>
      </c>
      <c r="F374" s="7" t="str">
        <f>IF(LEN($C374)&gt;0,_xll.ciqfunctions.udf.CIQ($C374,"IQ_KEY_DEV_SITUATION"),"")</f>
        <v/>
      </c>
      <c r="G374" s="19" t="str">
        <f t="shared" si="10"/>
        <v/>
      </c>
      <c r="H374" s="19" t="str">
        <f>+IF(LEN($C374)&gt;0,TEXT(IF(_xll.ciqfunctions.udf.CIQ($C374,"IQ_KEY_DEV_TIME")="NA","",_xll.ciqfunctions.udf.CIQ($C374,"IQ_KEY_DEV_TIME")),"h:mm AM/PM"),"")</f>
        <v/>
      </c>
      <c r="I374" s="7" t="str">
        <f>IF(LEN($C374)&gt;0,_xll.ciqfunctions.udf.CIQ($C374,"IQ_KEY_DEV_SOURCE"),"")</f>
        <v/>
      </c>
    </row>
    <row r="375" spans="2:9" x14ac:dyDescent="0.2">
      <c r="B375" s="7">
        <f t="shared" si="11"/>
        <v>368</v>
      </c>
      <c r="C375" s="7"/>
      <c r="D375" s="7" t="str">
        <f>IF(LEN($C375),_xll.ciqfunctions.udf.CIQ($C375,"IQ_KEY_DEV_HEADLINE"),"")</f>
        <v/>
      </c>
      <c r="E375" s="7" t="str">
        <f>IF(LEN($C375)&gt;0,_xll.ciqfunctions.udf.CIQ($C375,"IQ_KEY_DEV_TYPE"),"")</f>
        <v/>
      </c>
      <c r="F375" s="7" t="str">
        <f>IF(LEN($C375)&gt;0,_xll.ciqfunctions.udf.CIQ($C375,"IQ_KEY_DEV_SITUATION"),"")</f>
        <v/>
      </c>
      <c r="G375" s="19" t="str">
        <f t="shared" si="10"/>
        <v/>
      </c>
      <c r="H375" s="19" t="str">
        <f>+IF(LEN($C375)&gt;0,TEXT(IF(_xll.ciqfunctions.udf.CIQ($C375,"IQ_KEY_DEV_TIME")="NA","",_xll.ciqfunctions.udf.CIQ($C375,"IQ_KEY_DEV_TIME")),"h:mm AM/PM"),"")</f>
        <v/>
      </c>
      <c r="I375" s="7" t="str">
        <f>IF(LEN($C375)&gt;0,_xll.ciqfunctions.udf.CIQ($C375,"IQ_KEY_DEV_SOURCE"),"")</f>
        <v/>
      </c>
    </row>
    <row r="376" spans="2:9" x14ac:dyDescent="0.2">
      <c r="B376" s="7">
        <f t="shared" si="11"/>
        <v>369</v>
      </c>
      <c r="C376" s="7"/>
      <c r="D376" s="7" t="str">
        <f>IF(LEN($C376),_xll.ciqfunctions.udf.CIQ($C376,"IQ_KEY_DEV_HEADLINE"),"")</f>
        <v/>
      </c>
      <c r="E376" s="7" t="str">
        <f>IF(LEN($C376)&gt;0,_xll.ciqfunctions.udf.CIQ($C376,"IQ_KEY_DEV_TYPE"),"")</f>
        <v/>
      </c>
      <c r="F376" s="7" t="str">
        <f>IF(LEN($C376)&gt;0,_xll.ciqfunctions.udf.CIQ($C376,"IQ_KEY_DEV_SITUATION"),"")</f>
        <v/>
      </c>
      <c r="G376" s="19" t="str">
        <f t="shared" si="10"/>
        <v/>
      </c>
      <c r="H376" s="19" t="str">
        <f>+IF(LEN($C376)&gt;0,TEXT(IF(_xll.ciqfunctions.udf.CIQ($C376,"IQ_KEY_DEV_TIME")="NA","",_xll.ciqfunctions.udf.CIQ($C376,"IQ_KEY_DEV_TIME")),"h:mm AM/PM"),"")</f>
        <v/>
      </c>
      <c r="I376" s="7" t="str">
        <f>IF(LEN($C376)&gt;0,_xll.ciqfunctions.udf.CIQ($C376,"IQ_KEY_DEV_SOURCE"),"")</f>
        <v/>
      </c>
    </row>
    <row r="377" spans="2:9" x14ac:dyDescent="0.2">
      <c r="B377" s="7">
        <f t="shared" si="11"/>
        <v>370</v>
      </c>
      <c r="C377" s="7"/>
      <c r="D377" s="7" t="str">
        <f>IF(LEN($C377),_xll.ciqfunctions.udf.CIQ($C377,"IQ_KEY_DEV_HEADLINE"),"")</f>
        <v/>
      </c>
      <c r="E377" s="7" t="str">
        <f>IF(LEN($C377)&gt;0,_xll.ciqfunctions.udf.CIQ($C377,"IQ_KEY_DEV_TYPE"),"")</f>
        <v/>
      </c>
      <c r="F377" s="7" t="str">
        <f>IF(LEN($C377)&gt;0,_xll.ciqfunctions.udf.CIQ($C377,"IQ_KEY_DEV_SITUATION"),"")</f>
        <v/>
      </c>
      <c r="G377" s="19" t="str">
        <f t="shared" si="10"/>
        <v/>
      </c>
      <c r="H377" s="19" t="str">
        <f>+IF(LEN($C377)&gt;0,TEXT(IF(_xll.ciqfunctions.udf.CIQ($C377,"IQ_KEY_DEV_TIME")="NA","",_xll.ciqfunctions.udf.CIQ($C377,"IQ_KEY_DEV_TIME")),"h:mm AM/PM"),"")</f>
        <v/>
      </c>
      <c r="I377" s="7" t="str">
        <f>IF(LEN($C377)&gt;0,_xll.ciqfunctions.udf.CIQ($C377,"IQ_KEY_DEV_SOURCE"),"")</f>
        <v/>
      </c>
    </row>
    <row r="378" spans="2:9" x14ac:dyDescent="0.2">
      <c r="B378" s="7">
        <f t="shared" si="11"/>
        <v>371</v>
      </c>
      <c r="C378" s="7"/>
      <c r="D378" s="7" t="str">
        <f>IF(LEN($C378),_xll.ciqfunctions.udf.CIQ($C378,"IQ_KEY_DEV_HEADLINE"),"")</f>
        <v/>
      </c>
      <c r="E378" s="7" t="str">
        <f>IF(LEN($C378)&gt;0,_xll.ciqfunctions.udf.CIQ($C378,"IQ_KEY_DEV_TYPE"),"")</f>
        <v/>
      </c>
      <c r="F378" s="7" t="str">
        <f>IF(LEN($C378)&gt;0,_xll.ciqfunctions.udf.CIQ($C378,"IQ_KEY_DEV_SITUATION"),"")</f>
        <v/>
      </c>
      <c r="G378" s="19" t="str">
        <f t="shared" si="10"/>
        <v/>
      </c>
      <c r="H378" s="19" t="str">
        <f>+IF(LEN($C378)&gt;0,TEXT(IF(_xll.ciqfunctions.udf.CIQ($C378,"IQ_KEY_DEV_TIME")="NA","",_xll.ciqfunctions.udf.CIQ($C378,"IQ_KEY_DEV_TIME")),"h:mm AM/PM"),"")</f>
        <v/>
      </c>
      <c r="I378" s="7" t="str">
        <f>IF(LEN($C378)&gt;0,_xll.ciqfunctions.udf.CIQ($C378,"IQ_KEY_DEV_SOURCE"),"")</f>
        <v/>
      </c>
    </row>
    <row r="379" spans="2:9" x14ac:dyDescent="0.2">
      <c r="B379" s="7">
        <f t="shared" si="11"/>
        <v>372</v>
      </c>
      <c r="C379" s="7"/>
      <c r="D379" s="7" t="str">
        <f>IF(LEN($C379),_xll.ciqfunctions.udf.CIQ($C379,"IQ_KEY_DEV_HEADLINE"),"")</f>
        <v/>
      </c>
      <c r="E379" s="7" t="str">
        <f>IF(LEN($C379)&gt;0,_xll.ciqfunctions.udf.CIQ($C379,"IQ_KEY_DEV_TYPE"),"")</f>
        <v/>
      </c>
      <c r="F379" s="7" t="str">
        <f>IF(LEN($C379)&gt;0,_xll.ciqfunctions.udf.CIQ($C379,"IQ_KEY_DEV_SITUATION"),"")</f>
        <v/>
      </c>
      <c r="G379" s="19" t="str">
        <f t="shared" si="10"/>
        <v/>
      </c>
      <c r="H379" s="19" t="str">
        <f>+IF(LEN($C379)&gt;0,TEXT(IF(_xll.ciqfunctions.udf.CIQ($C379,"IQ_KEY_DEV_TIME")="NA","",_xll.ciqfunctions.udf.CIQ($C379,"IQ_KEY_DEV_TIME")),"h:mm AM/PM"),"")</f>
        <v/>
      </c>
      <c r="I379" s="7" t="str">
        <f>IF(LEN($C379)&gt;0,_xll.ciqfunctions.udf.CIQ($C379,"IQ_KEY_DEV_SOURCE"),"")</f>
        <v/>
      </c>
    </row>
    <row r="380" spans="2:9" x14ac:dyDescent="0.2">
      <c r="B380" s="7">
        <f t="shared" si="11"/>
        <v>373</v>
      </c>
      <c r="C380" s="7"/>
      <c r="D380" s="7" t="str">
        <f>IF(LEN($C380),_xll.ciqfunctions.udf.CIQ($C380,"IQ_KEY_DEV_HEADLINE"),"")</f>
        <v/>
      </c>
      <c r="E380" s="7" t="str">
        <f>IF(LEN($C380)&gt;0,_xll.ciqfunctions.udf.CIQ($C380,"IQ_KEY_DEV_TYPE"),"")</f>
        <v/>
      </c>
      <c r="F380" s="7" t="str">
        <f>IF(LEN($C380)&gt;0,_xll.ciqfunctions.udf.CIQ($C380,"IQ_KEY_DEV_SITUATION"),"")</f>
        <v/>
      </c>
      <c r="G380" s="19" t="str">
        <f t="shared" si="10"/>
        <v/>
      </c>
      <c r="H380" s="19" t="str">
        <f>+IF(LEN($C380)&gt;0,TEXT(IF(_xll.ciqfunctions.udf.CIQ($C380,"IQ_KEY_DEV_TIME")="NA","",_xll.ciqfunctions.udf.CIQ($C380,"IQ_KEY_DEV_TIME")),"h:mm AM/PM"),"")</f>
        <v/>
      </c>
      <c r="I380" s="7" t="str">
        <f>IF(LEN($C380)&gt;0,_xll.ciqfunctions.udf.CIQ($C380,"IQ_KEY_DEV_SOURCE"),"")</f>
        <v/>
      </c>
    </row>
    <row r="381" spans="2:9" x14ac:dyDescent="0.2">
      <c r="B381" s="7">
        <f t="shared" si="11"/>
        <v>374</v>
      </c>
      <c r="C381" s="7"/>
      <c r="D381" s="7" t="str">
        <f>IF(LEN($C381),_xll.ciqfunctions.udf.CIQ($C381,"IQ_KEY_DEV_HEADLINE"),"")</f>
        <v/>
      </c>
      <c r="E381" s="7" t="str">
        <f>IF(LEN($C381)&gt;0,_xll.ciqfunctions.udf.CIQ($C381,"IQ_KEY_DEV_TYPE"),"")</f>
        <v/>
      </c>
      <c r="F381" s="7" t="str">
        <f>IF(LEN($C381)&gt;0,_xll.ciqfunctions.udf.CIQ($C381,"IQ_KEY_DEV_SITUATION"),"")</f>
        <v/>
      </c>
      <c r="G381" s="19" t="str">
        <f t="shared" si="10"/>
        <v/>
      </c>
      <c r="H381" s="19" t="str">
        <f>+IF(LEN($C381)&gt;0,TEXT(IF(_xll.ciqfunctions.udf.CIQ($C381,"IQ_KEY_DEV_TIME")="NA","",_xll.ciqfunctions.udf.CIQ($C381,"IQ_KEY_DEV_TIME")),"h:mm AM/PM"),"")</f>
        <v/>
      </c>
      <c r="I381" s="7" t="str">
        <f>IF(LEN($C381)&gt;0,_xll.ciqfunctions.udf.CIQ($C381,"IQ_KEY_DEV_SOURCE"),"")</f>
        <v/>
      </c>
    </row>
    <row r="382" spans="2:9" x14ac:dyDescent="0.2">
      <c r="B382" s="7">
        <f t="shared" si="11"/>
        <v>375</v>
      </c>
      <c r="C382" s="7"/>
      <c r="D382" s="7" t="str">
        <f>IF(LEN($C382),_xll.ciqfunctions.udf.CIQ($C382,"IQ_KEY_DEV_HEADLINE"),"")</f>
        <v/>
      </c>
      <c r="E382" s="7" t="str">
        <f>IF(LEN($C382)&gt;0,_xll.ciqfunctions.udf.CIQ($C382,"IQ_KEY_DEV_TYPE"),"")</f>
        <v/>
      </c>
      <c r="F382" s="7" t="str">
        <f>IF(LEN($C382)&gt;0,_xll.ciqfunctions.udf.CIQ($C382,"IQ_KEY_DEV_SITUATION"),"")</f>
        <v/>
      </c>
      <c r="G382" s="19" t="str">
        <f t="shared" si="10"/>
        <v/>
      </c>
      <c r="H382" s="19" t="str">
        <f>+IF(LEN($C382)&gt;0,TEXT(IF(_xll.ciqfunctions.udf.CIQ($C382,"IQ_KEY_DEV_TIME")="NA","",_xll.ciqfunctions.udf.CIQ($C382,"IQ_KEY_DEV_TIME")),"h:mm AM/PM"),"")</f>
        <v/>
      </c>
      <c r="I382" s="7" t="str">
        <f>IF(LEN($C382)&gt;0,_xll.ciqfunctions.udf.CIQ($C382,"IQ_KEY_DEV_SOURCE"),"")</f>
        <v/>
      </c>
    </row>
    <row r="383" spans="2:9" x14ac:dyDescent="0.2">
      <c r="B383" s="7">
        <f t="shared" si="11"/>
        <v>376</v>
      </c>
      <c r="C383" s="7"/>
      <c r="D383" s="7" t="str">
        <f>IF(LEN($C383),_xll.ciqfunctions.udf.CIQ($C383,"IQ_KEY_DEV_HEADLINE"),"")</f>
        <v/>
      </c>
      <c r="E383" s="7" t="str">
        <f>IF(LEN($C383)&gt;0,_xll.ciqfunctions.udf.CIQ($C383,"IQ_KEY_DEV_TYPE"),"")</f>
        <v/>
      </c>
      <c r="F383" s="7" t="str">
        <f>IF(LEN($C383)&gt;0,_xll.ciqfunctions.udf.CIQ($C383,"IQ_KEY_DEV_SITUATION"),"")</f>
        <v/>
      </c>
      <c r="G383" s="19" t="str">
        <f t="shared" si="10"/>
        <v/>
      </c>
      <c r="H383" s="19" t="str">
        <f>+IF(LEN($C383)&gt;0,TEXT(IF(_xll.ciqfunctions.udf.CIQ($C383,"IQ_KEY_DEV_TIME")="NA","",_xll.ciqfunctions.udf.CIQ($C383,"IQ_KEY_DEV_TIME")),"h:mm AM/PM"),"")</f>
        <v/>
      </c>
      <c r="I383" s="7" t="str">
        <f>IF(LEN($C383)&gt;0,_xll.ciqfunctions.udf.CIQ($C383,"IQ_KEY_DEV_SOURCE"),"")</f>
        <v/>
      </c>
    </row>
    <row r="384" spans="2:9" x14ac:dyDescent="0.2">
      <c r="B384" s="7">
        <f t="shared" si="11"/>
        <v>377</v>
      </c>
      <c r="C384" s="7"/>
      <c r="D384" s="7" t="str">
        <f>IF(LEN($C384),_xll.ciqfunctions.udf.CIQ($C384,"IQ_KEY_DEV_HEADLINE"),"")</f>
        <v/>
      </c>
      <c r="E384" s="7" t="str">
        <f>IF(LEN($C384)&gt;0,_xll.ciqfunctions.udf.CIQ($C384,"IQ_KEY_DEV_TYPE"),"")</f>
        <v/>
      </c>
      <c r="F384" s="7" t="str">
        <f>IF(LEN($C384)&gt;0,_xll.ciqfunctions.udf.CIQ($C384,"IQ_KEY_DEV_SITUATION"),"")</f>
        <v/>
      </c>
      <c r="G384" s="19" t="str">
        <f t="shared" si="10"/>
        <v/>
      </c>
      <c r="H384" s="19" t="str">
        <f>+IF(LEN($C384)&gt;0,TEXT(IF(_xll.ciqfunctions.udf.CIQ($C384,"IQ_KEY_DEV_TIME")="NA","",_xll.ciqfunctions.udf.CIQ($C384,"IQ_KEY_DEV_TIME")),"h:mm AM/PM"),"")</f>
        <v/>
      </c>
      <c r="I384" s="7" t="str">
        <f>IF(LEN($C384)&gt;0,_xll.ciqfunctions.udf.CIQ($C384,"IQ_KEY_DEV_SOURCE"),"")</f>
        <v/>
      </c>
    </row>
    <row r="385" spans="2:9" x14ac:dyDescent="0.2">
      <c r="B385" s="7">
        <f t="shared" si="11"/>
        <v>378</v>
      </c>
      <c r="C385" s="7"/>
      <c r="D385" s="7" t="str">
        <f>IF(LEN($C385),_xll.ciqfunctions.udf.CIQ($C385,"IQ_KEY_DEV_HEADLINE"),"")</f>
        <v/>
      </c>
      <c r="E385" s="7" t="str">
        <f>IF(LEN($C385)&gt;0,_xll.ciqfunctions.udf.CIQ($C385,"IQ_KEY_DEV_TYPE"),"")</f>
        <v/>
      </c>
      <c r="F385" s="7" t="str">
        <f>IF(LEN($C385)&gt;0,_xll.ciqfunctions.udf.CIQ($C385,"IQ_KEY_DEV_SITUATION"),"")</f>
        <v/>
      </c>
      <c r="G385" s="19" t="str">
        <f t="shared" si="10"/>
        <v/>
      </c>
      <c r="H385" s="19" t="str">
        <f>+IF(LEN($C385)&gt;0,TEXT(IF(_xll.ciqfunctions.udf.CIQ($C385,"IQ_KEY_DEV_TIME")="NA","",_xll.ciqfunctions.udf.CIQ($C385,"IQ_KEY_DEV_TIME")),"h:mm AM/PM"),"")</f>
        <v/>
      </c>
      <c r="I385" s="7" t="str">
        <f>IF(LEN($C385)&gt;0,_xll.ciqfunctions.udf.CIQ($C385,"IQ_KEY_DEV_SOURCE"),"")</f>
        <v/>
      </c>
    </row>
    <row r="386" spans="2:9" x14ac:dyDescent="0.2">
      <c r="B386" s="7">
        <f t="shared" si="11"/>
        <v>379</v>
      </c>
      <c r="C386" s="7"/>
      <c r="D386" s="7" t="str">
        <f>IF(LEN($C386),_xll.ciqfunctions.udf.CIQ($C386,"IQ_KEY_DEV_HEADLINE"),"")</f>
        <v/>
      </c>
      <c r="E386" s="7" t="str">
        <f>IF(LEN($C386)&gt;0,_xll.ciqfunctions.udf.CIQ($C386,"IQ_KEY_DEV_TYPE"),"")</f>
        <v/>
      </c>
      <c r="F386" s="7" t="str">
        <f>IF(LEN($C386)&gt;0,_xll.ciqfunctions.udf.CIQ($C386,"IQ_KEY_DEV_SITUATION"),"")</f>
        <v/>
      </c>
      <c r="G386" s="19" t="str">
        <f t="shared" si="10"/>
        <v/>
      </c>
      <c r="H386" s="19" t="str">
        <f>+IF(LEN($C386)&gt;0,TEXT(IF(_xll.ciqfunctions.udf.CIQ($C386,"IQ_KEY_DEV_TIME")="NA","",_xll.ciqfunctions.udf.CIQ($C386,"IQ_KEY_DEV_TIME")),"h:mm AM/PM"),"")</f>
        <v/>
      </c>
      <c r="I386" s="7" t="str">
        <f>IF(LEN($C386)&gt;0,_xll.ciqfunctions.udf.CIQ($C386,"IQ_KEY_DEV_SOURCE"),"")</f>
        <v/>
      </c>
    </row>
    <row r="387" spans="2:9" x14ac:dyDescent="0.2">
      <c r="B387" s="7">
        <f t="shared" si="11"/>
        <v>380</v>
      </c>
      <c r="C387" s="7"/>
      <c r="D387" s="7" t="str">
        <f>IF(LEN($C387),_xll.ciqfunctions.udf.CIQ($C387,"IQ_KEY_DEV_HEADLINE"),"")</f>
        <v/>
      </c>
      <c r="E387" s="7" t="str">
        <f>IF(LEN($C387)&gt;0,_xll.ciqfunctions.udf.CIQ($C387,"IQ_KEY_DEV_TYPE"),"")</f>
        <v/>
      </c>
      <c r="F387" s="7" t="str">
        <f>IF(LEN($C387)&gt;0,_xll.ciqfunctions.udf.CIQ($C387,"IQ_KEY_DEV_SITUATION"),"")</f>
        <v/>
      </c>
      <c r="G387" s="19" t="str">
        <f t="shared" si="10"/>
        <v/>
      </c>
      <c r="H387" s="19" t="str">
        <f>+IF(LEN($C387)&gt;0,TEXT(IF(_xll.ciqfunctions.udf.CIQ($C387,"IQ_KEY_DEV_TIME")="NA","",_xll.ciqfunctions.udf.CIQ($C387,"IQ_KEY_DEV_TIME")),"h:mm AM/PM"),"")</f>
        <v/>
      </c>
      <c r="I387" s="7" t="str">
        <f>IF(LEN($C387)&gt;0,_xll.ciqfunctions.udf.CIQ($C387,"IQ_KEY_DEV_SOURCE"),"")</f>
        <v/>
      </c>
    </row>
    <row r="388" spans="2:9" x14ac:dyDescent="0.2">
      <c r="B388" s="7">
        <f t="shared" si="11"/>
        <v>381</v>
      </c>
      <c r="C388" s="7"/>
      <c r="D388" s="7" t="str">
        <f>IF(LEN($C388),_xll.ciqfunctions.udf.CIQ($C388,"IQ_KEY_DEV_HEADLINE"),"")</f>
        <v/>
      </c>
      <c r="E388" s="7" t="str">
        <f>IF(LEN($C388)&gt;0,_xll.ciqfunctions.udf.CIQ($C388,"IQ_KEY_DEV_TYPE"),"")</f>
        <v/>
      </c>
      <c r="F388" s="7" t="str">
        <f>IF(LEN($C388)&gt;0,_xll.ciqfunctions.udf.CIQ($C388,"IQ_KEY_DEV_SITUATION"),"")</f>
        <v/>
      </c>
      <c r="G388" s="19" t="str">
        <f t="shared" si="10"/>
        <v/>
      </c>
      <c r="H388" s="19" t="str">
        <f>+IF(LEN($C388)&gt;0,TEXT(IF(_xll.ciqfunctions.udf.CIQ($C388,"IQ_KEY_DEV_TIME")="NA","",_xll.ciqfunctions.udf.CIQ($C388,"IQ_KEY_DEV_TIME")),"h:mm AM/PM"),"")</f>
        <v/>
      </c>
      <c r="I388" s="7" t="str">
        <f>IF(LEN($C388)&gt;0,_xll.ciqfunctions.udf.CIQ($C388,"IQ_KEY_DEV_SOURCE"),"")</f>
        <v/>
      </c>
    </row>
    <row r="389" spans="2:9" x14ac:dyDescent="0.2">
      <c r="B389" s="7">
        <f t="shared" si="11"/>
        <v>382</v>
      </c>
      <c r="C389" s="7"/>
      <c r="D389" s="7" t="str">
        <f>IF(LEN($C389),_xll.ciqfunctions.udf.CIQ($C389,"IQ_KEY_DEV_HEADLINE"),"")</f>
        <v/>
      </c>
      <c r="E389" s="7" t="str">
        <f>IF(LEN($C389)&gt;0,_xll.ciqfunctions.udf.CIQ($C389,"IQ_KEY_DEV_TYPE"),"")</f>
        <v/>
      </c>
      <c r="F389" s="7" t="str">
        <f>IF(LEN($C389)&gt;0,_xll.ciqfunctions.udf.CIQ($C389,"IQ_KEY_DEV_SITUATION"),"")</f>
        <v/>
      </c>
      <c r="G389" s="19" t="str">
        <f t="shared" si="10"/>
        <v/>
      </c>
      <c r="H389" s="19" t="str">
        <f>+IF(LEN($C389)&gt;0,TEXT(IF(_xll.ciqfunctions.udf.CIQ($C389,"IQ_KEY_DEV_TIME")="NA","",_xll.ciqfunctions.udf.CIQ($C389,"IQ_KEY_DEV_TIME")),"h:mm AM/PM"),"")</f>
        <v/>
      </c>
      <c r="I389" s="7" t="str">
        <f>IF(LEN($C389)&gt;0,_xll.ciqfunctions.udf.CIQ($C389,"IQ_KEY_DEV_SOURCE"),"")</f>
        <v/>
      </c>
    </row>
    <row r="390" spans="2:9" x14ac:dyDescent="0.2">
      <c r="B390" s="7">
        <f t="shared" si="11"/>
        <v>383</v>
      </c>
      <c r="C390" s="7"/>
      <c r="D390" s="7" t="str">
        <f>IF(LEN($C390),_xll.ciqfunctions.udf.CIQ($C390,"IQ_KEY_DEV_HEADLINE"),"")</f>
        <v/>
      </c>
      <c r="E390" s="7" t="str">
        <f>IF(LEN($C390)&gt;0,_xll.ciqfunctions.udf.CIQ($C390,"IQ_KEY_DEV_TYPE"),"")</f>
        <v/>
      </c>
      <c r="F390" s="7" t="str">
        <f>IF(LEN($C390)&gt;0,_xll.ciqfunctions.udf.CIQ($C390,"IQ_KEY_DEV_SITUATION"),"")</f>
        <v/>
      </c>
      <c r="G390" s="19" t="str">
        <f t="shared" si="10"/>
        <v/>
      </c>
      <c r="H390" s="19" t="str">
        <f>+IF(LEN($C390)&gt;0,TEXT(IF(_xll.ciqfunctions.udf.CIQ($C390,"IQ_KEY_DEV_TIME")="NA","",_xll.ciqfunctions.udf.CIQ($C390,"IQ_KEY_DEV_TIME")),"h:mm AM/PM"),"")</f>
        <v/>
      </c>
      <c r="I390" s="7" t="str">
        <f>IF(LEN($C390)&gt;0,_xll.ciqfunctions.udf.CIQ($C390,"IQ_KEY_DEV_SOURCE"),"")</f>
        <v/>
      </c>
    </row>
    <row r="391" spans="2:9" x14ac:dyDescent="0.2">
      <c r="B391" s="7">
        <f t="shared" si="11"/>
        <v>384</v>
      </c>
      <c r="C391" s="7"/>
      <c r="D391" s="7" t="str">
        <f>IF(LEN($C391),_xll.ciqfunctions.udf.CIQ($C391,"IQ_KEY_DEV_HEADLINE"),"")</f>
        <v/>
      </c>
      <c r="E391" s="7" t="str">
        <f>IF(LEN($C391)&gt;0,_xll.ciqfunctions.udf.CIQ($C391,"IQ_KEY_DEV_TYPE"),"")</f>
        <v/>
      </c>
      <c r="F391" s="7" t="str">
        <f>IF(LEN($C391)&gt;0,_xll.ciqfunctions.udf.CIQ($C391,"IQ_KEY_DEV_SITUATION"),"")</f>
        <v/>
      </c>
      <c r="G391" s="19" t="str">
        <f t="shared" si="10"/>
        <v/>
      </c>
      <c r="H391" s="19" t="str">
        <f>+IF(LEN($C391)&gt;0,TEXT(IF(_xll.ciqfunctions.udf.CIQ($C391,"IQ_KEY_DEV_TIME")="NA","",_xll.ciqfunctions.udf.CIQ($C391,"IQ_KEY_DEV_TIME")),"h:mm AM/PM"),"")</f>
        <v/>
      </c>
      <c r="I391" s="7" t="str">
        <f>IF(LEN($C391)&gt;0,_xll.ciqfunctions.udf.CIQ($C391,"IQ_KEY_DEV_SOURCE"),"")</f>
        <v/>
      </c>
    </row>
    <row r="392" spans="2:9" x14ac:dyDescent="0.2">
      <c r="B392" s="7">
        <f t="shared" si="11"/>
        <v>385</v>
      </c>
      <c r="C392" s="7"/>
      <c r="D392" s="7" t="str">
        <f>IF(LEN($C392),_xll.ciqfunctions.udf.CIQ($C392,"IQ_KEY_DEV_HEADLINE"),"")</f>
        <v/>
      </c>
      <c r="E392" s="7" t="str">
        <f>IF(LEN($C392)&gt;0,_xll.ciqfunctions.udf.CIQ($C392,"IQ_KEY_DEV_TYPE"),"")</f>
        <v/>
      </c>
      <c r="F392" s="7" t="str">
        <f>IF(LEN($C392)&gt;0,_xll.ciqfunctions.udf.CIQ($C392,"IQ_KEY_DEV_SITUATION"),"")</f>
        <v/>
      </c>
      <c r="G392" s="19" t="str">
        <f t="shared" ref="G392:G455" si="12">+IF(LEN($C392)&gt;0,TEXT(_xll.ciqfunctions.udf.CIQ($C392,"IQ_KEY_DEV_DATE"),"dd MMM yyyy"),"")</f>
        <v/>
      </c>
      <c r="H392" s="19" t="str">
        <f>+IF(LEN($C392)&gt;0,TEXT(IF(_xll.ciqfunctions.udf.CIQ($C392,"IQ_KEY_DEV_TIME")="NA","",_xll.ciqfunctions.udf.CIQ($C392,"IQ_KEY_DEV_TIME")),"h:mm AM/PM"),"")</f>
        <v/>
      </c>
      <c r="I392" s="7" t="str">
        <f>IF(LEN($C392)&gt;0,_xll.ciqfunctions.udf.CIQ($C392,"IQ_KEY_DEV_SOURCE"),"")</f>
        <v/>
      </c>
    </row>
    <row r="393" spans="2:9" x14ac:dyDescent="0.2">
      <c r="B393" s="7">
        <f t="shared" si="11"/>
        <v>386</v>
      </c>
      <c r="C393" s="7"/>
      <c r="D393" s="7" t="str">
        <f>IF(LEN($C393),_xll.ciqfunctions.udf.CIQ($C393,"IQ_KEY_DEV_HEADLINE"),"")</f>
        <v/>
      </c>
      <c r="E393" s="7" t="str">
        <f>IF(LEN($C393)&gt;0,_xll.ciqfunctions.udf.CIQ($C393,"IQ_KEY_DEV_TYPE"),"")</f>
        <v/>
      </c>
      <c r="F393" s="7" t="str">
        <f>IF(LEN($C393)&gt;0,_xll.ciqfunctions.udf.CIQ($C393,"IQ_KEY_DEV_SITUATION"),"")</f>
        <v/>
      </c>
      <c r="G393" s="19" t="str">
        <f t="shared" si="12"/>
        <v/>
      </c>
      <c r="H393" s="19" t="str">
        <f>+IF(LEN($C393)&gt;0,TEXT(IF(_xll.ciqfunctions.udf.CIQ($C393,"IQ_KEY_DEV_TIME")="NA","",_xll.ciqfunctions.udf.CIQ($C393,"IQ_KEY_DEV_TIME")),"h:mm AM/PM"),"")</f>
        <v/>
      </c>
      <c r="I393" s="7" t="str">
        <f>IF(LEN($C393)&gt;0,_xll.ciqfunctions.udf.CIQ($C393,"IQ_KEY_DEV_SOURCE"),"")</f>
        <v/>
      </c>
    </row>
    <row r="394" spans="2:9" x14ac:dyDescent="0.2">
      <c r="B394" s="7">
        <f t="shared" si="11"/>
        <v>387</v>
      </c>
      <c r="C394" s="7"/>
      <c r="D394" s="7" t="str">
        <f>IF(LEN($C394),_xll.ciqfunctions.udf.CIQ($C394,"IQ_KEY_DEV_HEADLINE"),"")</f>
        <v/>
      </c>
      <c r="E394" s="7" t="str">
        <f>IF(LEN($C394)&gt;0,_xll.ciqfunctions.udf.CIQ($C394,"IQ_KEY_DEV_TYPE"),"")</f>
        <v/>
      </c>
      <c r="F394" s="7" t="str">
        <f>IF(LEN($C394)&gt;0,_xll.ciqfunctions.udf.CIQ($C394,"IQ_KEY_DEV_SITUATION"),"")</f>
        <v/>
      </c>
      <c r="G394" s="19" t="str">
        <f t="shared" si="12"/>
        <v/>
      </c>
      <c r="H394" s="19" t="str">
        <f>+IF(LEN($C394)&gt;0,TEXT(IF(_xll.ciqfunctions.udf.CIQ($C394,"IQ_KEY_DEV_TIME")="NA","",_xll.ciqfunctions.udf.CIQ($C394,"IQ_KEY_DEV_TIME")),"h:mm AM/PM"),"")</f>
        <v/>
      </c>
      <c r="I394" s="7" t="str">
        <f>IF(LEN($C394)&gt;0,_xll.ciqfunctions.udf.CIQ($C394,"IQ_KEY_DEV_SOURCE"),"")</f>
        <v/>
      </c>
    </row>
    <row r="395" spans="2:9" x14ac:dyDescent="0.2">
      <c r="B395" s="7">
        <f t="shared" si="11"/>
        <v>388</v>
      </c>
      <c r="C395" s="7"/>
      <c r="D395" s="7" t="str">
        <f>IF(LEN($C395),_xll.ciqfunctions.udf.CIQ($C395,"IQ_KEY_DEV_HEADLINE"),"")</f>
        <v/>
      </c>
      <c r="E395" s="7" t="str">
        <f>IF(LEN($C395)&gt;0,_xll.ciqfunctions.udf.CIQ($C395,"IQ_KEY_DEV_TYPE"),"")</f>
        <v/>
      </c>
      <c r="F395" s="7" t="str">
        <f>IF(LEN($C395)&gt;0,_xll.ciqfunctions.udf.CIQ($C395,"IQ_KEY_DEV_SITUATION"),"")</f>
        <v/>
      </c>
      <c r="G395" s="19" t="str">
        <f t="shared" si="12"/>
        <v/>
      </c>
      <c r="H395" s="19" t="str">
        <f>+IF(LEN($C395)&gt;0,TEXT(IF(_xll.ciqfunctions.udf.CIQ($C395,"IQ_KEY_DEV_TIME")="NA","",_xll.ciqfunctions.udf.CIQ($C395,"IQ_KEY_DEV_TIME")),"h:mm AM/PM"),"")</f>
        <v/>
      </c>
      <c r="I395" s="7" t="str">
        <f>IF(LEN($C395)&gt;0,_xll.ciqfunctions.udf.CIQ($C395,"IQ_KEY_DEV_SOURCE"),"")</f>
        <v/>
      </c>
    </row>
    <row r="396" spans="2:9" x14ac:dyDescent="0.2">
      <c r="B396" s="7">
        <f t="shared" si="11"/>
        <v>389</v>
      </c>
      <c r="C396" s="7"/>
      <c r="D396" s="7" t="str">
        <f>IF(LEN($C396),_xll.ciqfunctions.udf.CIQ($C396,"IQ_KEY_DEV_HEADLINE"),"")</f>
        <v/>
      </c>
      <c r="E396" s="7" t="str">
        <f>IF(LEN($C396)&gt;0,_xll.ciqfunctions.udf.CIQ($C396,"IQ_KEY_DEV_TYPE"),"")</f>
        <v/>
      </c>
      <c r="F396" s="7" t="str">
        <f>IF(LEN($C396)&gt;0,_xll.ciqfunctions.udf.CIQ($C396,"IQ_KEY_DEV_SITUATION"),"")</f>
        <v/>
      </c>
      <c r="G396" s="19" t="str">
        <f t="shared" si="12"/>
        <v/>
      </c>
      <c r="H396" s="19" t="str">
        <f>+IF(LEN($C396)&gt;0,TEXT(IF(_xll.ciqfunctions.udf.CIQ($C396,"IQ_KEY_DEV_TIME")="NA","",_xll.ciqfunctions.udf.CIQ($C396,"IQ_KEY_DEV_TIME")),"h:mm AM/PM"),"")</f>
        <v/>
      </c>
      <c r="I396" s="7" t="str">
        <f>IF(LEN($C396)&gt;0,_xll.ciqfunctions.udf.CIQ($C396,"IQ_KEY_DEV_SOURCE"),"")</f>
        <v/>
      </c>
    </row>
    <row r="397" spans="2:9" x14ac:dyDescent="0.2">
      <c r="B397" s="7">
        <f t="shared" si="11"/>
        <v>390</v>
      </c>
      <c r="C397" s="7"/>
      <c r="D397" s="7" t="str">
        <f>IF(LEN($C397),_xll.ciqfunctions.udf.CIQ($C397,"IQ_KEY_DEV_HEADLINE"),"")</f>
        <v/>
      </c>
      <c r="E397" s="7" t="str">
        <f>IF(LEN($C397)&gt;0,_xll.ciqfunctions.udf.CIQ($C397,"IQ_KEY_DEV_TYPE"),"")</f>
        <v/>
      </c>
      <c r="F397" s="7" t="str">
        <f>IF(LEN($C397)&gt;0,_xll.ciqfunctions.udf.CIQ($C397,"IQ_KEY_DEV_SITUATION"),"")</f>
        <v/>
      </c>
      <c r="G397" s="19" t="str">
        <f t="shared" si="12"/>
        <v/>
      </c>
      <c r="H397" s="19" t="str">
        <f>+IF(LEN($C397)&gt;0,TEXT(IF(_xll.ciqfunctions.udf.CIQ($C397,"IQ_KEY_DEV_TIME")="NA","",_xll.ciqfunctions.udf.CIQ($C397,"IQ_KEY_DEV_TIME")),"h:mm AM/PM"),"")</f>
        <v/>
      </c>
      <c r="I397" s="7" t="str">
        <f>IF(LEN($C397)&gt;0,_xll.ciqfunctions.udf.CIQ($C397,"IQ_KEY_DEV_SOURCE"),"")</f>
        <v/>
      </c>
    </row>
    <row r="398" spans="2:9" x14ac:dyDescent="0.2">
      <c r="B398" s="7">
        <f t="shared" si="11"/>
        <v>391</v>
      </c>
      <c r="C398" s="7"/>
      <c r="D398" s="7" t="str">
        <f>IF(LEN($C398),_xll.ciqfunctions.udf.CIQ($C398,"IQ_KEY_DEV_HEADLINE"),"")</f>
        <v/>
      </c>
      <c r="E398" s="7" t="str">
        <f>IF(LEN($C398)&gt;0,_xll.ciqfunctions.udf.CIQ($C398,"IQ_KEY_DEV_TYPE"),"")</f>
        <v/>
      </c>
      <c r="F398" s="7" t="str">
        <f>IF(LEN($C398)&gt;0,_xll.ciqfunctions.udf.CIQ($C398,"IQ_KEY_DEV_SITUATION"),"")</f>
        <v/>
      </c>
      <c r="G398" s="19" t="str">
        <f t="shared" si="12"/>
        <v/>
      </c>
      <c r="H398" s="19" t="str">
        <f>+IF(LEN($C398)&gt;0,TEXT(IF(_xll.ciqfunctions.udf.CIQ($C398,"IQ_KEY_DEV_TIME")="NA","",_xll.ciqfunctions.udf.CIQ($C398,"IQ_KEY_DEV_TIME")),"h:mm AM/PM"),"")</f>
        <v/>
      </c>
      <c r="I398" s="7" t="str">
        <f>IF(LEN($C398)&gt;0,_xll.ciqfunctions.udf.CIQ($C398,"IQ_KEY_DEV_SOURCE"),"")</f>
        <v/>
      </c>
    </row>
    <row r="399" spans="2:9" x14ac:dyDescent="0.2">
      <c r="B399" s="7">
        <f t="shared" si="11"/>
        <v>392</v>
      </c>
      <c r="C399" s="7"/>
      <c r="D399" s="7" t="str">
        <f>IF(LEN($C399),_xll.ciqfunctions.udf.CIQ($C399,"IQ_KEY_DEV_HEADLINE"),"")</f>
        <v/>
      </c>
      <c r="E399" s="7" t="str">
        <f>IF(LEN($C399)&gt;0,_xll.ciqfunctions.udf.CIQ($C399,"IQ_KEY_DEV_TYPE"),"")</f>
        <v/>
      </c>
      <c r="F399" s="7" t="str">
        <f>IF(LEN($C399)&gt;0,_xll.ciqfunctions.udf.CIQ($C399,"IQ_KEY_DEV_SITUATION"),"")</f>
        <v/>
      </c>
      <c r="G399" s="19" t="str">
        <f t="shared" si="12"/>
        <v/>
      </c>
      <c r="H399" s="19" t="str">
        <f>+IF(LEN($C399)&gt;0,TEXT(IF(_xll.ciqfunctions.udf.CIQ($C399,"IQ_KEY_DEV_TIME")="NA","",_xll.ciqfunctions.udf.CIQ($C399,"IQ_KEY_DEV_TIME")),"h:mm AM/PM"),"")</f>
        <v/>
      </c>
      <c r="I399" s="7" t="str">
        <f>IF(LEN($C399)&gt;0,_xll.ciqfunctions.udf.CIQ($C399,"IQ_KEY_DEV_SOURCE"),"")</f>
        <v/>
      </c>
    </row>
    <row r="400" spans="2:9" x14ac:dyDescent="0.2">
      <c r="B400" s="7">
        <f t="shared" si="11"/>
        <v>393</v>
      </c>
      <c r="C400" s="7"/>
      <c r="D400" s="7" t="str">
        <f>IF(LEN($C400),_xll.ciqfunctions.udf.CIQ($C400,"IQ_KEY_DEV_HEADLINE"),"")</f>
        <v/>
      </c>
      <c r="E400" s="7" t="str">
        <f>IF(LEN($C400)&gt;0,_xll.ciqfunctions.udf.CIQ($C400,"IQ_KEY_DEV_TYPE"),"")</f>
        <v/>
      </c>
      <c r="F400" s="7" t="str">
        <f>IF(LEN($C400)&gt;0,_xll.ciqfunctions.udf.CIQ($C400,"IQ_KEY_DEV_SITUATION"),"")</f>
        <v/>
      </c>
      <c r="G400" s="19" t="str">
        <f t="shared" si="12"/>
        <v/>
      </c>
      <c r="H400" s="19" t="str">
        <f>+IF(LEN($C400)&gt;0,TEXT(IF(_xll.ciqfunctions.udf.CIQ($C400,"IQ_KEY_DEV_TIME")="NA","",_xll.ciqfunctions.udf.CIQ($C400,"IQ_KEY_DEV_TIME")),"h:mm AM/PM"),"")</f>
        <v/>
      </c>
      <c r="I400" s="7" t="str">
        <f>IF(LEN($C400)&gt;0,_xll.ciqfunctions.udf.CIQ($C400,"IQ_KEY_DEV_SOURCE"),"")</f>
        <v/>
      </c>
    </row>
    <row r="401" spans="2:9" x14ac:dyDescent="0.2">
      <c r="B401" s="7">
        <f t="shared" si="11"/>
        <v>394</v>
      </c>
      <c r="C401" s="7"/>
      <c r="D401" s="7" t="str">
        <f>IF(LEN($C401),_xll.ciqfunctions.udf.CIQ($C401,"IQ_KEY_DEV_HEADLINE"),"")</f>
        <v/>
      </c>
      <c r="E401" s="7" t="str">
        <f>IF(LEN($C401)&gt;0,_xll.ciqfunctions.udf.CIQ($C401,"IQ_KEY_DEV_TYPE"),"")</f>
        <v/>
      </c>
      <c r="F401" s="7" t="str">
        <f>IF(LEN($C401)&gt;0,_xll.ciqfunctions.udf.CIQ($C401,"IQ_KEY_DEV_SITUATION"),"")</f>
        <v/>
      </c>
      <c r="G401" s="19" t="str">
        <f t="shared" si="12"/>
        <v/>
      </c>
      <c r="H401" s="19" t="str">
        <f>+IF(LEN($C401)&gt;0,TEXT(IF(_xll.ciqfunctions.udf.CIQ($C401,"IQ_KEY_DEV_TIME")="NA","",_xll.ciqfunctions.udf.CIQ($C401,"IQ_KEY_DEV_TIME")),"h:mm AM/PM"),"")</f>
        <v/>
      </c>
      <c r="I401" s="7" t="str">
        <f>IF(LEN($C401)&gt;0,_xll.ciqfunctions.udf.CIQ($C401,"IQ_KEY_DEV_SOURCE"),"")</f>
        <v/>
      </c>
    </row>
    <row r="402" spans="2:9" x14ac:dyDescent="0.2">
      <c r="B402" s="7">
        <f t="shared" si="11"/>
        <v>395</v>
      </c>
      <c r="C402" s="7"/>
      <c r="D402" s="7" t="str">
        <f>IF(LEN($C402),_xll.ciqfunctions.udf.CIQ($C402,"IQ_KEY_DEV_HEADLINE"),"")</f>
        <v/>
      </c>
      <c r="E402" s="7" t="str">
        <f>IF(LEN($C402)&gt;0,_xll.ciqfunctions.udf.CIQ($C402,"IQ_KEY_DEV_TYPE"),"")</f>
        <v/>
      </c>
      <c r="F402" s="7" t="str">
        <f>IF(LEN($C402)&gt;0,_xll.ciqfunctions.udf.CIQ($C402,"IQ_KEY_DEV_SITUATION"),"")</f>
        <v/>
      </c>
      <c r="G402" s="19" t="str">
        <f t="shared" si="12"/>
        <v/>
      </c>
      <c r="H402" s="19" t="str">
        <f>+IF(LEN($C402)&gt;0,TEXT(IF(_xll.ciqfunctions.udf.CIQ($C402,"IQ_KEY_DEV_TIME")="NA","",_xll.ciqfunctions.udf.CIQ($C402,"IQ_KEY_DEV_TIME")),"h:mm AM/PM"),"")</f>
        <v/>
      </c>
      <c r="I402" s="7" t="str">
        <f>IF(LEN($C402)&gt;0,_xll.ciqfunctions.udf.CIQ($C402,"IQ_KEY_DEV_SOURCE"),"")</f>
        <v/>
      </c>
    </row>
    <row r="403" spans="2:9" x14ac:dyDescent="0.2">
      <c r="B403" s="7">
        <f t="shared" si="11"/>
        <v>396</v>
      </c>
      <c r="C403" s="7"/>
      <c r="D403" s="7" t="str">
        <f>IF(LEN($C403),_xll.ciqfunctions.udf.CIQ($C403,"IQ_KEY_DEV_HEADLINE"),"")</f>
        <v/>
      </c>
      <c r="E403" s="7" t="str">
        <f>IF(LEN($C403)&gt;0,_xll.ciqfunctions.udf.CIQ($C403,"IQ_KEY_DEV_TYPE"),"")</f>
        <v/>
      </c>
      <c r="F403" s="7" t="str">
        <f>IF(LEN($C403)&gt;0,_xll.ciqfunctions.udf.CIQ($C403,"IQ_KEY_DEV_SITUATION"),"")</f>
        <v/>
      </c>
      <c r="G403" s="19" t="str">
        <f t="shared" si="12"/>
        <v/>
      </c>
      <c r="H403" s="19" t="str">
        <f>+IF(LEN($C403)&gt;0,TEXT(IF(_xll.ciqfunctions.udf.CIQ($C403,"IQ_KEY_DEV_TIME")="NA","",_xll.ciqfunctions.udf.CIQ($C403,"IQ_KEY_DEV_TIME")),"h:mm AM/PM"),"")</f>
        <v/>
      </c>
      <c r="I403" s="7" t="str">
        <f>IF(LEN($C403)&gt;0,_xll.ciqfunctions.udf.CIQ($C403,"IQ_KEY_DEV_SOURCE"),"")</f>
        <v/>
      </c>
    </row>
    <row r="404" spans="2:9" x14ac:dyDescent="0.2">
      <c r="B404" s="7">
        <f t="shared" ref="B404:B467" si="13">+B403+1</f>
        <v>397</v>
      </c>
      <c r="C404" s="7"/>
      <c r="D404" s="7" t="str">
        <f>IF(LEN($C404),_xll.ciqfunctions.udf.CIQ($C404,"IQ_KEY_DEV_HEADLINE"),"")</f>
        <v/>
      </c>
      <c r="E404" s="7" t="str">
        <f>IF(LEN($C404)&gt;0,_xll.ciqfunctions.udf.CIQ($C404,"IQ_KEY_DEV_TYPE"),"")</f>
        <v/>
      </c>
      <c r="F404" s="7" t="str">
        <f>IF(LEN($C404)&gt;0,_xll.ciqfunctions.udf.CIQ($C404,"IQ_KEY_DEV_SITUATION"),"")</f>
        <v/>
      </c>
      <c r="G404" s="19" t="str">
        <f t="shared" si="12"/>
        <v/>
      </c>
      <c r="H404" s="19" t="str">
        <f>+IF(LEN($C404)&gt;0,TEXT(IF(_xll.ciqfunctions.udf.CIQ($C404,"IQ_KEY_DEV_TIME")="NA","",_xll.ciqfunctions.udf.CIQ($C404,"IQ_KEY_DEV_TIME")),"h:mm AM/PM"),"")</f>
        <v/>
      </c>
      <c r="I404" s="7" t="str">
        <f>IF(LEN($C404)&gt;0,_xll.ciqfunctions.udf.CIQ($C404,"IQ_KEY_DEV_SOURCE"),"")</f>
        <v/>
      </c>
    </row>
    <row r="405" spans="2:9" x14ac:dyDescent="0.2">
      <c r="B405" s="7">
        <f t="shared" si="13"/>
        <v>398</v>
      </c>
      <c r="C405" s="7"/>
      <c r="D405" s="7" t="str">
        <f>IF(LEN($C405),_xll.ciqfunctions.udf.CIQ($C405,"IQ_KEY_DEV_HEADLINE"),"")</f>
        <v/>
      </c>
      <c r="E405" s="7" t="str">
        <f>IF(LEN($C405)&gt;0,_xll.ciqfunctions.udf.CIQ($C405,"IQ_KEY_DEV_TYPE"),"")</f>
        <v/>
      </c>
      <c r="F405" s="7" t="str">
        <f>IF(LEN($C405)&gt;0,_xll.ciqfunctions.udf.CIQ($C405,"IQ_KEY_DEV_SITUATION"),"")</f>
        <v/>
      </c>
      <c r="G405" s="19" t="str">
        <f t="shared" si="12"/>
        <v/>
      </c>
      <c r="H405" s="19" t="str">
        <f>+IF(LEN($C405)&gt;0,TEXT(IF(_xll.ciqfunctions.udf.CIQ($C405,"IQ_KEY_DEV_TIME")="NA","",_xll.ciqfunctions.udf.CIQ($C405,"IQ_KEY_DEV_TIME")),"h:mm AM/PM"),"")</f>
        <v/>
      </c>
      <c r="I405" s="7" t="str">
        <f>IF(LEN($C405)&gt;0,_xll.ciqfunctions.udf.CIQ($C405,"IQ_KEY_DEV_SOURCE"),"")</f>
        <v/>
      </c>
    </row>
    <row r="406" spans="2:9" x14ac:dyDescent="0.2">
      <c r="B406" s="7">
        <f t="shared" si="13"/>
        <v>399</v>
      </c>
      <c r="C406" s="7"/>
      <c r="D406" s="7" t="str">
        <f>IF(LEN($C406),_xll.ciqfunctions.udf.CIQ($C406,"IQ_KEY_DEV_HEADLINE"),"")</f>
        <v/>
      </c>
      <c r="E406" s="7" t="str">
        <f>IF(LEN($C406)&gt;0,_xll.ciqfunctions.udf.CIQ($C406,"IQ_KEY_DEV_TYPE"),"")</f>
        <v/>
      </c>
      <c r="F406" s="7" t="str">
        <f>IF(LEN($C406)&gt;0,_xll.ciqfunctions.udf.CIQ($C406,"IQ_KEY_DEV_SITUATION"),"")</f>
        <v/>
      </c>
      <c r="G406" s="19" t="str">
        <f t="shared" si="12"/>
        <v/>
      </c>
      <c r="H406" s="19" t="str">
        <f>+IF(LEN($C406)&gt;0,TEXT(IF(_xll.ciqfunctions.udf.CIQ($C406,"IQ_KEY_DEV_TIME")="NA","",_xll.ciqfunctions.udf.CIQ($C406,"IQ_KEY_DEV_TIME")),"h:mm AM/PM"),"")</f>
        <v/>
      </c>
      <c r="I406" s="7" t="str">
        <f>IF(LEN($C406)&gt;0,_xll.ciqfunctions.udf.CIQ($C406,"IQ_KEY_DEV_SOURCE"),"")</f>
        <v/>
      </c>
    </row>
    <row r="407" spans="2:9" x14ac:dyDescent="0.2">
      <c r="B407" s="7">
        <f t="shared" si="13"/>
        <v>400</v>
      </c>
      <c r="C407" s="7"/>
      <c r="D407" s="7" t="str">
        <f>IF(LEN($C407),_xll.ciqfunctions.udf.CIQ($C407,"IQ_KEY_DEV_HEADLINE"),"")</f>
        <v/>
      </c>
      <c r="E407" s="7" t="str">
        <f>IF(LEN($C407)&gt;0,_xll.ciqfunctions.udf.CIQ($C407,"IQ_KEY_DEV_TYPE"),"")</f>
        <v/>
      </c>
      <c r="F407" s="7" t="str">
        <f>IF(LEN($C407)&gt;0,_xll.ciqfunctions.udf.CIQ($C407,"IQ_KEY_DEV_SITUATION"),"")</f>
        <v/>
      </c>
      <c r="G407" s="19" t="str">
        <f t="shared" si="12"/>
        <v/>
      </c>
      <c r="H407" s="19" t="str">
        <f>+IF(LEN($C407)&gt;0,TEXT(IF(_xll.ciqfunctions.udf.CIQ($C407,"IQ_KEY_DEV_TIME")="NA","",_xll.ciqfunctions.udf.CIQ($C407,"IQ_KEY_DEV_TIME")),"h:mm AM/PM"),"")</f>
        <v/>
      </c>
      <c r="I407" s="7" t="str">
        <f>IF(LEN($C407)&gt;0,_xll.ciqfunctions.udf.CIQ($C407,"IQ_KEY_DEV_SOURCE"),"")</f>
        <v/>
      </c>
    </row>
    <row r="408" spans="2:9" x14ac:dyDescent="0.2">
      <c r="B408" s="7">
        <f t="shared" si="13"/>
        <v>401</v>
      </c>
      <c r="C408" s="7"/>
      <c r="D408" s="7" t="str">
        <f>IF(LEN($C408),_xll.ciqfunctions.udf.CIQ($C408,"IQ_KEY_DEV_HEADLINE"),"")</f>
        <v/>
      </c>
      <c r="E408" s="7" t="str">
        <f>IF(LEN($C408)&gt;0,_xll.ciqfunctions.udf.CIQ($C408,"IQ_KEY_DEV_TYPE"),"")</f>
        <v/>
      </c>
      <c r="F408" s="7" t="str">
        <f>IF(LEN($C408)&gt;0,_xll.ciqfunctions.udf.CIQ($C408,"IQ_KEY_DEV_SITUATION"),"")</f>
        <v/>
      </c>
      <c r="G408" s="19" t="str">
        <f t="shared" si="12"/>
        <v/>
      </c>
      <c r="H408" s="19" t="str">
        <f>+IF(LEN($C408)&gt;0,TEXT(IF(_xll.ciqfunctions.udf.CIQ($C408,"IQ_KEY_DEV_TIME")="NA","",_xll.ciqfunctions.udf.CIQ($C408,"IQ_KEY_DEV_TIME")),"h:mm AM/PM"),"")</f>
        <v/>
      </c>
      <c r="I408" s="7" t="str">
        <f>IF(LEN($C408)&gt;0,_xll.ciqfunctions.udf.CIQ($C408,"IQ_KEY_DEV_SOURCE"),"")</f>
        <v/>
      </c>
    </row>
    <row r="409" spans="2:9" x14ac:dyDescent="0.2">
      <c r="B409" s="7">
        <f t="shared" si="13"/>
        <v>402</v>
      </c>
      <c r="C409" s="7"/>
      <c r="D409" s="7" t="str">
        <f>IF(LEN($C409),_xll.ciqfunctions.udf.CIQ($C409,"IQ_KEY_DEV_HEADLINE"),"")</f>
        <v/>
      </c>
      <c r="E409" s="7" t="str">
        <f>IF(LEN($C409)&gt;0,_xll.ciqfunctions.udf.CIQ($C409,"IQ_KEY_DEV_TYPE"),"")</f>
        <v/>
      </c>
      <c r="F409" s="7" t="str">
        <f>IF(LEN($C409)&gt;0,_xll.ciqfunctions.udf.CIQ($C409,"IQ_KEY_DEV_SITUATION"),"")</f>
        <v/>
      </c>
      <c r="G409" s="19" t="str">
        <f t="shared" si="12"/>
        <v/>
      </c>
      <c r="H409" s="19" t="str">
        <f>+IF(LEN($C409)&gt;0,TEXT(IF(_xll.ciqfunctions.udf.CIQ($C409,"IQ_KEY_DEV_TIME")="NA","",_xll.ciqfunctions.udf.CIQ($C409,"IQ_KEY_DEV_TIME")),"h:mm AM/PM"),"")</f>
        <v/>
      </c>
      <c r="I409" s="7" t="str">
        <f>IF(LEN($C409)&gt;0,_xll.ciqfunctions.udf.CIQ($C409,"IQ_KEY_DEV_SOURCE"),"")</f>
        <v/>
      </c>
    </row>
    <row r="410" spans="2:9" x14ac:dyDescent="0.2">
      <c r="B410" s="7">
        <f t="shared" si="13"/>
        <v>403</v>
      </c>
      <c r="C410" s="7"/>
      <c r="D410" s="7" t="str">
        <f>IF(LEN($C410),_xll.ciqfunctions.udf.CIQ($C410,"IQ_KEY_DEV_HEADLINE"),"")</f>
        <v/>
      </c>
      <c r="E410" s="7" t="str">
        <f>IF(LEN($C410)&gt;0,_xll.ciqfunctions.udf.CIQ($C410,"IQ_KEY_DEV_TYPE"),"")</f>
        <v/>
      </c>
      <c r="F410" s="7" t="str">
        <f>IF(LEN($C410)&gt;0,_xll.ciqfunctions.udf.CIQ($C410,"IQ_KEY_DEV_SITUATION"),"")</f>
        <v/>
      </c>
      <c r="G410" s="19" t="str">
        <f t="shared" si="12"/>
        <v/>
      </c>
      <c r="H410" s="19" t="str">
        <f>+IF(LEN($C410)&gt;0,TEXT(IF(_xll.ciqfunctions.udf.CIQ($C410,"IQ_KEY_DEV_TIME")="NA","",_xll.ciqfunctions.udf.CIQ($C410,"IQ_KEY_DEV_TIME")),"h:mm AM/PM"),"")</f>
        <v/>
      </c>
      <c r="I410" s="7" t="str">
        <f>IF(LEN($C410)&gt;0,_xll.ciqfunctions.udf.CIQ($C410,"IQ_KEY_DEV_SOURCE"),"")</f>
        <v/>
      </c>
    </row>
    <row r="411" spans="2:9" x14ac:dyDescent="0.2">
      <c r="B411" s="7">
        <f t="shared" si="13"/>
        <v>404</v>
      </c>
      <c r="C411" s="7"/>
      <c r="D411" s="7" t="str">
        <f>IF(LEN($C411),_xll.ciqfunctions.udf.CIQ($C411,"IQ_KEY_DEV_HEADLINE"),"")</f>
        <v/>
      </c>
      <c r="E411" s="7" t="str">
        <f>IF(LEN($C411)&gt;0,_xll.ciqfunctions.udf.CIQ($C411,"IQ_KEY_DEV_TYPE"),"")</f>
        <v/>
      </c>
      <c r="F411" s="7" t="str">
        <f>IF(LEN($C411)&gt;0,_xll.ciqfunctions.udf.CIQ($C411,"IQ_KEY_DEV_SITUATION"),"")</f>
        <v/>
      </c>
      <c r="G411" s="19" t="str">
        <f t="shared" si="12"/>
        <v/>
      </c>
      <c r="H411" s="19" t="str">
        <f>+IF(LEN($C411)&gt;0,TEXT(IF(_xll.ciqfunctions.udf.CIQ($C411,"IQ_KEY_DEV_TIME")="NA","",_xll.ciqfunctions.udf.CIQ($C411,"IQ_KEY_DEV_TIME")),"h:mm AM/PM"),"")</f>
        <v/>
      </c>
      <c r="I411" s="7" t="str">
        <f>IF(LEN($C411)&gt;0,_xll.ciqfunctions.udf.CIQ($C411,"IQ_KEY_DEV_SOURCE"),"")</f>
        <v/>
      </c>
    </row>
    <row r="412" spans="2:9" x14ac:dyDescent="0.2">
      <c r="B412" s="7">
        <f t="shared" si="13"/>
        <v>405</v>
      </c>
      <c r="C412" s="7"/>
      <c r="D412" s="7" t="str">
        <f>IF(LEN($C412),_xll.ciqfunctions.udf.CIQ($C412,"IQ_KEY_DEV_HEADLINE"),"")</f>
        <v/>
      </c>
      <c r="E412" s="7" t="str">
        <f>IF(LEN($C412)&gt;0,_xll.ciqfunctions.udf.CIQ($C412,"IQ_KEY_DEV_TYPE"),"")</f>
        <v/>
      </c>
      <c r="F412" s="7" t="str">
        <f>IF(LEN($C412)&gt;0,_xll.ciqfunctions.udf.CIQ($C412,"IQ_KEY_DEV_SITUATION"),"")</f>
        <v/>
      </c>
      <c r="G412" s="19" t="str">
        <f t="shared" si="12"/>
        <v/>
      </c>
      <c r="H412" s="19" t="str">
        <f>+IF(LEN($C412)&gt;0,TEXT(IF(_xll.ciqfunctions.udf.CIQ($C412,"IQ_KEY_DEV_TIME")="NA","",_xll.ciqfunctions.udf.CIQ($C412,"IQ_KEY_DEV_TIME")),"h:mm AM/PM"),"")</f>
        <v/>
      </c>
      <c r="I412" s="7" t="str">
        <f>IF(LEN($C412)&gt;0,_xll.ciqfunctions.udf.CIQ($C412,"IQ_KEY_DEV_SOURCE"),"")</f>
        <v/>
      </c>
    </row>
    <row r="413" spans="2:9" x14ac:dyDescent="0.2">
      <c r="B413" s="7">
        <f t="shared" si="13"/>
        <v>406</v>
      </c>
      <c r="C413" s="7"/>
      <c r="D413" s="7" t="str">
        <f>IF(LEN($C413),_xll.ciqfunctions.udf.CIQ($C413,"IQ_KEY_DEV_HEADLINE"),"")</f>
        <v/>
      </c>
      <c r="E413" s="7" t="str">
        <f>IF(LEN($C413)&gt;0,_xll.ciqfunctions.udf.CIQ($C413,"IQ_KEY_DEV_TYPE"),"")</f>
        <v/>
      </c>
      <c r="F413" s="7" t="str">
        <f>IF(LEN($C413)&gt;0,_xll.ciqfunctions.udf.CIQ($C413,"IQ_KEY_DEV_SITUATION"),"")</f>
        <v/>
      </c>
      <c r="G413" s="19" t="str">
        <f t="shared" si="12"/>
        <v/>
      </c>
      <c r="H413" s="19" t="str">
        <f>+IF(LEN($C413)&gt;0,TEXT(IF(_xll.ciqfunctions.udf.CIQ($C413,"IQ_KEY_DEV_TIME")="NA","",_xll.ciqfunctions.udf.CIQ($C413,"IQ_KEY_DEV_TIME")),"h:mm AM/PM"),"")</f>
        <v/>
      </c>
      <c r="I413" s="7" t="str">
        <f>IF(LEN($C413)&gt;0,_xll.ciqfunctions.udf.CIQ($C413,"IQ_KEY_DEV_SOURCE"),"")</f>
        <v/>
      </c>
    </row>
    <row r="414" spans="2:9" x14ac:dyDescent="0.2">
      <c r="B414" s="7">
        <f t="shared" si="13"/>
        <v>407</v>
      </c>
      <c r="C414" s="7"/>
      <c r="D414" s="7" t="str">
        <f>IF(LEN($C414),_xll.ciqfunctions.udf.CIQ($C414,"IQ_KEY_DEV_HEADLINE"),"")</f>
        <v/>
      </c>
      <c r="E414" s="7" t="str">
        <f>IF(LEN($C414)&gt;0,_xll.ciqfunctions.udf.CIQ($C414,"IQ_KEY_DEV_TYPE"),"")</f>
        <v/>
      </c>
      <c r="F414" s="7" t="str">
        <f>IF(LEN($C414)&gt;0,_xll.ciqfunctions.udf.CIQ($C414,"IQ_KEY_DEV_SITUATION"),"")</f>
        <v/>
      </c>
      <c r="G414" s="19" t="str">
        <f t="shared" si="12"/>
        <v/>
      </c>
      <c r="H414" s="19" t="str">
        <f>+IF(LEN($C414)&gt;0,TEXT(IF(_xll.ciqfunctions.udf.CIQ($C414,"IQ_KEY_DEV_TIME")="NA","",_xll.ciqfunctions.udf.CIQ($C414,"IQ_KEY_DEV_TIME")),"h:mm AM/PM"),"")</f>
        <v/>
      </c>
      <c r="I414" s="7" t="str">
        <f>IF(LEN($C414)&gt;0,_xll.ciqfunctions.udf.CIQ($C414,"IQ_KEY_DEV_SOURCE"),"")</f>
        <v/>
      </c>
    </row>
    <row r="415" spans="2:9" x14ac:dyDescent="0.2">
      <c r="B415" s="7">
        <f t="shared" si="13"/>
        <v>408</v>
      </c>
      <c r="C415" s="7"/>
      <c r="D415" s="7" t="str">
        <f>IF(LEN($C415),_xll.ciqfunctions.udf.CIQ($C415,"IQ_KEY_DEV_HEADLINE"),"")</f>
        <v/>
      </c>
      <c r="E415" s="7" t="str">
        <f>IF(LEN($C415)&gt;0,_xll.ciqfunctions.udf.CIQ($C415,"IQ_KEY_DEV_TYPE"),"")</f>
        <v/>
      </c>
      <c r="F415" s="7" t="str">
        <f>IF(LEN($C415)&gt;0,_xll.ciqfunctions.udf.CIQ($C415,"IQ_KEY_DEV_SITUATION"),"")</f>
        <v/>
      </c>
      <c r="G415" s="19" t="str">
        <f t="shared" si="12"/>
        <v/>
      </c>
      <c r="H415" s="19" t="str">
        <f>+IF(LEN($C415)&gt;0,TEXT(IF(_xll.ciqfunctions.udf.CIQ($C415,"IQ_KEY_DEV_TIME")="NA","",_xll.ciqfunctions.udf.CIQ($C415,"IQ_KEY_DEV_TIME")),"h:mm AM/PM"),"")</f>
        <v/>
      </c>
      <c r="I415" s="7" t="str">
        <f>IF(LEN($C415)&gt;0,_xll.ciqfunctions.udf.CIQ($C415,"IQ_KEY_DEV_SOURCE"),"")</f>
        <v/>
      </c>
    </row>
    <row r="416" spans="2:9" x14ac:dyDescent="0.2">
      <c r="B416" s="7">
        <f t="shared" si="13"/>
        <v>409</v>
      </c>
      <c r="C416" s="7"/>
      <c r="D416" s="7" t="str">
        <f>IF(LEN($C416),_xll.ciqfunctions.udf.CIQ($C416,"IQ_KEY_DEV_HEADLINE"),"")</f>
        <v/>
      </c>
      <c r="E416" s="7" t="str">
        <f>IF(LEN($C416)&gt;0,_xll.ciqfunctions.udf.CIQ($C416,"IQ_KEY_DEV_TYPE"),"")</f>
        <v/>
      </c>
      <c r="F416" s="7" t="str">
        <f>IF(LEN($C416)&gt;0,_xll.ciqfunctions.udf.CIQ($C416,"IQ_KEY_DEV_SITUATION"),"")</f>
        <v/>
      </c>
      <c r="G416" s="19" t="str">
        <f t="shared" si="12"/>
        <v/>
      </c>
      <c r="H416" s="19" t="str">
        <f>+IF(LEN($C416)&gt;0,TEXT(IF(_xll.ciqfunctions.udf.CIQ($C416,"IQ_KEY_DEV_TIME")="NA","",_xll.ciqfunctions.udf.CIQ($C416,"IQ_KEY_DEV_TIME")),"h:mm AM/PM"),"")</f>
        <v/>
      </c>
      <c r="I416" s="7" t="str">
        <f>IF(LEN($C416)&gt;0,_xll.ciqfunctions.udf.CIQ($C416,"IQ_KEY_DEV_SOURCE"),"")</f>
        <v/>
      </c>
    </row>
    <row r="417" spans="2:9" x14ac:dyDescent="0.2">
      <c r="B417" s="7">
        <f t="shared" si="13"/>
        <v>410</v>
      </c>
      <c r="C417" s="7"/>
      <c r="D417" s="7" t="str">
        <f>IF(LEN($C417),_xll.ciqfunctions.udf.CIQ($C417,"IQ_KEY_DEV_HEADLINE"),"")</f>
        <v/>
      </c>
      <c r="E417" s="7" t="str">
        <f>IF(LEN($C417)&gt;0,_xll.ciqfunctions.udf.CIQ($C417,"IQ_KEY_DEV_TYPE"),"")</f>
        <v/>
      </c>
      <c r="F417" s="7" t="str">
        <f>IF(LEN($C417)&gt;0,_xll.ciqfunctions.udf.CIQ($C417,"IQ_KEY_DEV_SITUATION"),"")</f>
        <v/>
      </c>
      <c r="G417" s="19" t="str">
        <f t="shared" si="12"/>
        <v/>
      </c>
      <c r="H417" s="19" t="str">
        <f>+IF(LEN($C417)&gt;0,TEXT(IF(_xll.ciqfunctions.udf.CIQ($C417,"IQ_KEY_DEV_TIME")="NA","",_xll.ciqfunctions.udf.CIQ($C417,"IQ_KEY_DEV_TIME")),"h:mm AM/PM"),"")</f>
        <v/>
      </c>
      <c r="I417" s="7" t="str">
        <f>IF(LEN($C417)&gt;0,_xll.ciqfunctions.udf.CIQ($C417,"IQ_KEY_DEV_SOURCE"),"")</f>
        <v/>
      </c>
    </row>
    <row r="418" spans="2:9" x14ac:dyDescent="0.2">
      <c r="B418" s="7">
        <f t="shared" si="13"/>
        <v>411</v>
      </c>
      <c r="C418" s="7"/>
      <c r="D418" s="7" t="str">
        <f>IF(LEN($C418),_xll.ciqfunctions.udf.CIQ($C418,"IQ_KEY_DEV_HEADLINE"),"")</f>
        <v/>
      </c>
      <c r="E418" s="7" t="str">
        <f>IF(LEN($C418)&gt;0,_xll.ciqfunctions.udf.CIQ($C418,"IQ_KEY_DEV_TYPE"),"")</f>
        <v/>
      </c>
      <c r="F418" s="7" t="str">
        <f>IF(LEN($C418)&gt;0,_xll.ciqfunctions.udf.CIQ($C418,"IQ_KEY_DEV_SITUATION"),"")</f>
        <v/>
      </c>
      <c r="G418" s="19" t="str">
        <f t="shared" si="12"/>
        <v/>
      </c>
      <c r="H418" s="19" t="str">
        <f>+IF(LEN($C418)&gt;0,TEXT(IF(_xll.ciqfunctions.udf.CIQ($C418,"IQ_KEY_DEV_TIME")="NA","",_xll.ciqfunctions.udf.CIQ($C418,"IQ_KEY_DEV_TIME")),"h:mm AM/PM"),"")</f>
        <v/>
      </c>
      <c r="I418" s="7" t="str">
        <f>IF(LEN($C418)&gt;0,_xll.ciqfunctions.udf.CIQ($C418,"IQ_KEY_DEV_SOURCE"),"")</f>
        <v/>
      </c>
    </row>
    <row r="419" spans="2:9" x14ac:dyDescent="0.2">
      <c r="B419" s="7">
        <f t="shared" si="13"/>
        <v>412</v>
      </c>
      <c r="C419" s="7"/>
      <c r="D419" s="7" t="str">
        <f>IF(LEN($C419),_xll.ciqfunctions.udf.CIQ($C419,"IQ_KEY_DEV_HEADLINE"),"")</f>
        <v/>
      </c>
      <c r="E419" s="7" t="str">
        <f>IF(LEN($C419)&gt;0,_xll.ciqfunctions.udf.CIQ($C419,"IQ_KEY_DEV_TYPE"),"")</f>
        <v/>
      </c>
      <c r="F419" s="7" t="str">
        <f>IF(LEN($C419)&gt;0,_xll.ciqfunctions.udf.CIQ($C419,"IQ_KEY_DEV_SITUATION"),"")</f>
        <v/>
      </c>
      <c r="G419" s="19" t="str">
        <f t="shared" si="12"/>
        <v/>
      </c>
      <c r="H419" s="19" t="str">
        <f>+IF(LEN($C419)&gt;0,TEXT(IF(_xll.ciqfunctions.udf.CIQ($C419,"IQ_KEY_DEV_TIME")="NA","",_xll.ciqfunctions.udf.CIQ($C419,"IQ_KEY_DEV_TIME")),"h:mm AM/PM"),"")</f>
        <v/>
      </c>
      <c r="I419" s="7" t="str">
        <f>IF(LEN($C419)&gt;0,_xll.ciqfunctions.udf.CIQ($C419,"IQ_KEY_DEV_SOURCE"),"")</f>
        <v/>
      </c>
    </row>
    <row r="420" spans="2:9" x14ac:dyDescent="0.2">
      <c r="B420" s="7">
        <f t="shared" si="13"/>
        <v>413</v>
      </c>
      <c r="C420" s="7"/>
      <c r="D420" s="7" t="str">
        <f>IF(LEN($C420),_xll.ciqfunctions.udf.CIQ($C420,"IQ_KEY_DEV_HEADLINE"),"")</f>
        <v/>
      </c>
      <c r="E420" s="7" t="str">
        <f>IF(LEN($C420)&gt;0,_xll.ciqfunctions.udf.CIQ($C420,"IQ_KEY_DEV_TYPE"),"")</f>
        <v/>
      </c>
      <c r="F420" s="7" t="str">
        <f>IF(LEN($C420)&gt;0,_xll.ciqfunctions.udf.CIQ($C420,"IQ_KEY_DEV_SITUATION"),"")</f>
        <v/>
      </c>
      <c r="G420" s="19" t="str">
        <f t="shared" si="12"/>
        <v/>
      </c>
      <c r="H420" s="19" t="str">
        <f>+IF(LEN($C420)&gt;0,TEXT(IF(_xll.ciqfunctions.udf.CIQ($C420,"IQ_KEY_DEV_TIME")="NA","",_xll.ciqfunctions.udf.CIQ($C420,"IQ_KEY_DEV_TIME")),"h:mm AM/PM"),"")</f>
        <v/>
      </c>
      <c r="I420" s="7" t="str">
        <f>IF(LEN($C420)&gt;0,_xll.ciqfunctions.udf.CIQ($C420,"IQ_KEY_DEV_SOURCE"),"")</f>
        <v/>
      </c>
    </row>
    <row r="421" spans="2:9" x14ac:dyDescent="0.2">
      <c r="B421" s="7">
        <f t="shared" si="13"/>
        <v>414</v>
      </c>
      <c r="C421" s="7"/>
      <c r="D421" s="7" t="str">
        <f>IF(LEN($C421),_xll.ciqfunctions.udf.CIQ($C421,"IQ_KEY_DEV_HEADLINE"),"")</f>
        <v/>
      </c>
      <c r="E421" s="7" t="str">
        <f>IF(LEN($C421)&gt;0,_xll.ciqfunctions.udf.CIQ($C421,"IQ_KEY_DEV_TYPE"),"")</f>
        <v/>
      </c>
      <c r="F421" s="7" t="str">
        <f>IF(LEN($C421)&gt;0,_xll.ciqfunctions.udf.CIQ($C421,"IQ_KEY_DEV_SITUATION"),"")</f>
        <v/>
      </c>
      <c r="G421" s="19" t="str">
        <f t="shared" si="12"/>
        <v/>
      </c>
      <c r="H421" s="19" t="str">
        <f>+IF(LEN($C421)&gt;0,TEXT(IF(_xll.ciqfunctions.udf.CIQ($C421,"IQ_KEY_DEV_TIME")="NA","",_xll.ciqfunctions.udf.CIQ($C421,"IQ_KEY_DEV_TIME")),"h:mm AM/PM"),"")</f>
        <v/>
      </c>
      <c r="I421" s="7" t="str">
        <f>IF(LEN($C421)&gt;0,_xll.ciqfunctions.udf.CIQ($C421,"IQ_KEY_DEV_SOURCE"),"")</f>
        <v/>
      </c>
    </row>
    <row r="422" spans="2:9" x14ac:dyDescent="0.2">
      <c r="B422" s="7">
        <f t="shared" si="13"/>
        <v>415</v>
      </c>
      <c r="C422" s="7"/>
      <c r="D422" s="7" t="str">
        <f>IF(LEN($C422),_xll.ciqfunctions.udf.CIQ($C422,"IQ_KEY_DEV_HEADLINE"),"")</f>
        <v/>
      </c>
      <c r="E422" s="7" t="str">
        <f>IF(LEN($C422)&gt;0,_xll.ciqfunctions.udf.CIQ($C422,"IQ_KEY_DEV_TYPE"),"")</f>
        <v/>
      </c>
      <c r="F422" s="7" t="str">
        <f>IF(LEN($C422)&gt;0,_xll.ciqfunctions.udf.CIQ($C422,"IQ_KEY_DEV_SITUATION"),"")</f>
        <v/>
      </c>
      <c r="G422" s="19" t="str">
        <f t="shared" si="12"/>
        <v/>
      </c>
      <c r="H422" s="19" t="str">
        <f>+IF(LEN($C422)&gt;0,TEXT(IF(_xll.ciqfunctions.udf.CIQ($C422,"IQ_KEY_DEV_TIME")="NA","",_xll.ciqfunctions.udf.CIQ($C422,"IQ_KEY_DEV_TIME")),"h:mm AM/PM"),"")</f>
        <v/>
      </c>
      <c r="I422" s="7" t="str">
        <f>IF(LEN($C422)&gt;0,_xll.ciqfunctions.udf.CIQ($C422,"IQ_KEY_DEV_SOURCE"),"")</f>
        <v/>
      </c>
    </row>
    <row r="423" spans="2:9" x14ac:dyDescent="0.2">
      <c r="B423" s="7">
        <f t="shared" si="13"/>
        <v>416</v>
      </c>
      <c r="C423" s="7"/>
      <c r="D423" s="7" t="str">
        <f>IF(LEN($C423),_xll.ciqfunctions.udf.CIQ($C423,"IQ_KEY_DEV_HEADLINE"),"")</f>
        <v/>
      </c>
      <c r="E423" s="7" t="str">
        <f>IF(LEN($C423)&gt;0,_xll.ciqfunctions.udf.CIQ($C423,"IQ_KEY_DEV_TYPE"),"")</f>
        <v/>
      </c>
      <c r="F423" s="7" t="str">
        <f>IF(LEN($C423)&gt;0,_xll.ciqfunctions.udf.CIQ($C423,"IQ_KEY_DEV_SITUATION"),"")</f>
        <v/>
      </c>
      <c r="G423" s="19" t="str">
        <f t="shared" si="12"/>
        <v/>
      </c>
      <c r="H423" s="19" t="str">
        <f>+IF(LEN($C423)&gt;0,TEXT(IF(_xll.ciqfunctions.udf.CIQ($C423,"IQ_KEY_DEV_TIME")="NA","",_xll.ciqfunctions.udf.CIQ($C423,"IQ_KEY_DEV_TIME")),"h:mm AM/PM"),"")</f>
        <v/>
      </c>
      <c r="I423" s="7" t="str">
        <f>IF(LEN($C423)&gt;0,_xll.ciqfunctions.udf.CIQ($C423,"IQ_KEY_DEV_SOURCE"),"")</f>
        <v/>
      </c>
    </row>
    <row r="424" spans="2:9" x14ac:dyDescent="0.2">
      <c r="B424" s="7">
        <f t="shared" si="13"/>
        <v>417</v>
      </c>
      <c r="C424" s="7"/>
      <c r="D424" s="7" t="str">
        <f>IF(LEN($C424),_xll.ciqfunctions.udf.CIQ($C424,"IQ_KEY_DEV_HEADLINE"),"")</f>
        <v/>
      </c>
      <c r="E424" s="7" t="str">
        <f>IF(LEN($C424)&gt;0,_xll.ciqfunctions.udf.CIQ($C424,"IQ_KEY_DEV_TYPE"),"")</f>
        <v/>
      </c>
      <c r="F424" s="7" t="str">
        <f>IF(LEN($C424)&gt;0,_xll.ciqfunctions.udf.CIQ($C424,"IQ_KEY_DEV_SITUATION"),"")</f>
        <v/>
      </c>
      <c r="G424" s="19" t="str">
        <f t="shared" si="12"/>
        <v/>
      </c>
      <c r="H424" s="19" t="str">
        <f>+IF(LEN($C424)&gt;0,TEXT(IF(_xll.ciqfunctions.udf.CIQ($C424,"IQ_KEY_DEV_TIME")="NA","",_xll.ciqfunctions.udf.CIQ($C424,"IQ_KEY_DEV_TIME")),"h:mm AM/PM"),"")</f>
        <v/>
      </c>
      <c r="I424" s="7" t="str">
        <f>IF(LEN($C424)&gt;0,_xll.ciqfunctions.udf.CIQ($C424,"IQ_KEY_DEV_SOURCE"),"")</f>
        <v/>
      </c>
    </row>
    <row r="425" spans="2:9" x14ac:dyDescent="0.2">
      <c r="B425" s="7">
        <f t="shared" si="13"/>
        <v>418</v>
      </c>
      <c r="C425" s="7"/>
      <c r="D425" s="7" t="str">
        <f>IF(LEN($C425),_xll.ciqfunctions.udf.CIQ($C425,"IQ_KEY_DEV_HEADLINE"),"")</f>
        <v/>
      </c>
      <c r="E425" s="7" t="str">
        <f>IF(LEN($C425)&gt;0,_xll.ciqfunctions.udf.CIQ($C425,"IQ_KEY_DEV_TYPE"),"")</f>
        <v/>
      </c>
      <c r="F425" s="7" t="str">
        <f>IF(LEN($C425)&gt;0,_xll.ciqfunctions.udf.CIQ($C425,"IQ_KEY_DEV_SITUATION"),"")</f>
        <v/>
      </c>
      <c r="G425" s="19" t="str">
        <f t="shared" si="12"/>
        <v/>
      </c>
      <c r="H425" s="19" t="str">
        <f>+IF(LEN($C425)&gt;0,TEXT(IF(_xll.ciqfunctions.udf.CIQ($C425,"IQ_KEY_DEV_TIME")="NA","",_xll.ciqfunctions.udf.CIQ($C425,"IQ_KEY_DEV_TIME")),"h:mm AM/PM"),"")</f>
        <v/>
      </c>
      <c r="I425" s="7" t="str">
        <f>IF(LEN($C425)&gt;0,_xll.ciqfunctions.udf.CIQ($C425,"IQ_KEY_DEV_SOURCE"),"")</f>
        <v/>
      </c>
    </row>
    <row r="426" spans="2:9" x14ac:dyDescent="0.2">
      <c r="B426" s="7">
        <f t="shared" si="13"/>
        <v>419</v>
      </c>
      <c r="C426" s="7"/>
      <c r="D426" s="7" t="str">
        <f>IF(LEN($C426),_xll.ciqfunctions.udf.CIQ($C426,"IQ_KEY_DEV_HEADLINE"),"")</f>
        <v/>
      </c>
      <c r="E426" s="7" t="str">
        <f>IF(LEN($C426)&gt;0,_xll.ciqfunctions.udf.CIQ($C426,"IQ_KEY_DEV_TYPE"),"")</f>
        <v/>
      </c>
      <c r="F426" s="7" t="str">
        <f>IF(LEN($C426)&gt;0,_xll.ciqfunctions.udf.CIQ($C426,"IQ_KEY_DEV_SITUATION"),"")</f>
        <v/>
      </c>
      <c r="G426" s="19" t="str">
        <f t="shared" si="12"/>
        <v/>
      </c>
      <c r="H426" s="19" t="str">
        <f>+IF(LEN($C426)&gt;0,TEXT(IF(_xll.ciqfunctions.udf.CIQ($C426,"IQ_KEY_DEV_TIME")="NA","",_xll.ciqfunctions.udf.CIQ($C426,"IQ_KEY_DEV_TIME")),"h:mm AM/PM"),"")</f>
        <v/>
      </c>
      <c r="I426" s="7" t="str">
        <f>IF(LEN($C426)&gt;0,_xll.ciqfunctions.udf.CIQ($C426,"IQ_KEY_DEV_SOURCE"),"")</f>
        <v/>
      </c>
    </row>
    <row r="427" spans="2:9" x14ac:dyDescent="0.2">
      <c r="B427" s="7">
        <f t="shared" si="13"/>
        <v>420</v>
      </c>
      <c r="C427" s="7"/>
      <c r="D427" s="7" t="str">
        <f>IF(LEN($C427),_xll.ciqfunctions.udf.CIQ($C427,"IQ_KEY_DEV_HEADLINE"),"")</f>
        <v/>
      </c>
      <c r="E427" s="7" t="str">
        <f>IF(LEN($C427)&gt;0,_xll.ciqfunctions.udf.CIQ($C427,"IQ_KEY_DEV_TYPE"),"")</f>
        <v/>
      </c>
      <c r="F427" s="7" t="str">
        <f>IF(LEN($C427)&gt;0,_xll.ciqfunctions.udf.CIQ($C427,"IQ_KEY_DEV_SITUATION"),"")</f>
        <v/>
      </c>
      <c r="G427" s="19" t="str">
        <f t="shared" si="12"/>
        <v/>
      </c>
      <c r="H427" s="19" t="str">
        <f>+IF(LEN($C427)&gt;0,TEXT(IF(_xll.ciqfunctions.udf.CIQ($C427,"IQ_KEY_DEV_TIME")="NA","",_xll.ciqfunctions.udf.CIQ($C427,"IQ_KEY_DEV_TIME")),"h:mm AM/PM"),"")</f>
        <v/>
      </c>
      <c r="I427" s="7" t="str">
        <f>IF(LEN($C427)&gt;0,_xll.ciqfunctions.udf.CIQ($C427,"IQ_KEY_DEV_SOURCE"),"")</f>
        <v/>
      </c>
    </row>
    <row r="428" spans="2:9" x14ac:dyDescent="0.2">
      <c r="B428" s="7">
        <f t="shared" si="13"/>
        <v>421</v>
      </c>
      <c r="C428" s="7"/>
      <c r="D428" s="7" t="str">
        <f>IF(LEN($C428),_xll.ciqfunctions.udf.CIQ($C428,"IQ_KEY_DEV_HEADLINE"),"")</f>
        <v/>
      </c>
      <c r="E428" s="7" t="str">
        <f>IF(LEN($C428)&gt;0,_xll.ciqfunctions.udf.CIQ($C428,"IQ_KEY_DEV_TYPE"),"")</f>
        <v/>
      </c>
      <c r="F428" s="7" t="str">
        <f>IF(LEN($C428)&gt;0,_xll.ciqfunctions.udf.CIQ($C428,"IQ_KEY_DEV_SITUATION"),"")</f>
        <v/>
      </c>
      <c r="G428" s="19" t="str">
        <f t="shared" si="12"/>
        <v/>
      </c>
      <c r="H428" s="19" t="str">
        <f>+IF(LEN($C428)&gt;0,TEXT(IF(_xll.ciqfunctions.udf.CIQ($C428,"IQ_KEY_DEV_TIME")="NA","",_xll.ciqfunctions.udf.CIQ($C428,"IQ_KEY_DEV_TIME")),"h:mm AM/PM"),"")</f>
        <v/>
      </c>
      <c r="I428" s="7" t="str">
        <f>IF(LEN($C428)&gt;0,_xll.ciqfunctions.udf.CIQ($C428,"IQ_KEY_DEV_SOURCE"),"")</f>
        <v/>
      </c>
    </row>
    <row r="429" spans="2:9" x14ac:dyDescent="0.2">
      <c r="B429" s="7">
        <f t="shared" si="13"/>
        <v>422</v>
      </c>
      <c r="C429" s="7"/>
      <c r="D429" s="7" t="str">
        <f>IF(LEN($C429),_xll.ciqfunctions.udf.CIQ($C429,"IQ_KEY_DEV_HEADLINE"),"")</f>
        <v/>
      </c>
      <c r="E429" s="7" t="str">
        <f>IF(LEN($C429)&gt;0,_xll.ciqfunctions.udf.CIQ($C429,"IQ_KEY_DEV_TYPE"),"")</f>
        <v/>
      </c>
      <c r="F429" s="7" t="str">
        <f>IF(LEN($C429)&gt;0,_xll.ciqfunctions.udf.CIQ($C429,"IQ_KEY_DEV_SITUATION"),"")</f>
        <v/>
      </c>
      <c r="G429" s="19" t="str">
        <f t="shared" si="12"/>
        <v/>
      </c>
      <c r="H429" s="19" t="str">
        <f>+IF(LEN($C429)&gt;0,TEXT(IF(_xll.ciqfunctions.udf.CIQ($C429,"IQ_KEY_DEV_TIME")="NA","",_xll.ciqfunctions.udf.CIQ($C429,"IQ_KEY_DEV_TIME")),"h:mm AM/PM"),"")</f>
        <v/>
      </c>
      <c r="I429" s="7" t="str">
        <f>IF(LEN($C429)&gt;0,_xll.ciqfunctions.udf.CIQ($C429,"IQ_KEY_DEV_SOURCE"),"")</f>
        <v/>
      </c>
    </row>
    <row r="430" spans="2:9" x14ac:dyDescent="0.2">
      <c r="B430" s="7">
        <f t="shared" si="13"/>
        <v>423</v>
      </c>
      <c r="C430" s="7"/>
      <c r="D430" s="7" t="str">
        <f>IF(LEN($C430),_xll.ciqfunctions.udf.CIQ($C430,"IQ_KEY_DEV_HEADLINE"),"")</f>
        <v/>
      </c>
      <c r="E430" s="7" t="str">
        <f>IF(LEN($C430)&gt;0,_xll.ciqfunctions.udf.CIQ($C430,"IQ_KEY_DEV_TYPE"),"")</f>
        <v/>
      </c>
      <c r="F430" s="7" t="str">
        <f>IF(LEN($C430)&gt;0,_xll.ciqfunctions.udf.CIQ($C430,"IQ_KEY_DEV_SITUATION"),"")</f>
        <v/>
      </c>
      <c r="G430" s="19" t="str">
        <f t="shared" si="12"/>
        <v/>
      </c>
      <c r="H430" s="19" t="str">
        <f>+IF(LEN($C430)&gt;0,TEXT(IF(_xll.ciqfunctions.udf.CIQ($C430,"IQ_KEY_DEV_TIME")="NA","",_xll.ciqfunctions.udf.CIQ($C430,"IQ_KEY_DEV_TIME")),"h:mm AM/PM"),"")</f>
        <v/>
      </c>
      <c r="I430" s="7" t="str">
        <f>IF(LEN($C430)&gt;0,_xll.ciqfunctions.udf.CIQ($C430,"IQ_KEY_DEV_SOURCE"),"")</f>
        <v/>
      </c>
    </row>
    <row r="431" spans="2:9" x14ac:dyDescent="0.2">
      <c r="B431" s="7">
        <f t="shared" si="13"/>
        <v>424</v>
      </c>
      <c r="C431" s="7"/>
      <c r="D431" s="7" t="str">
        <f>IF(LEN($C431),_xll.ciqfunctions.udf.CIQ($C431,"IQ_KEY_DEV_HEADLINE"),"")</f>
        <v/>
      </c>
      <c r="E431" s="7" t="str">
        <f>IF(LEN($C431)&gt;0,_xll.ciqfunctions.udf.CIQ($C431,"IQ_KEY_DEV_TYPE"),"")</f>
        <v/>
      </c>
      <c r="F431" s="7" t="str">
        <f>IF(LEN($C431)&gt;0,_xll.ciqfunctions.udf.CIQ($C431,"IQ_KEY_DEV_SITUATION"),"")</f>
        <v/>
      </c>
      <c r="G431" s="19" t="str">
        <f t="shared" si="12"/>
        <v/>
      </c>
      <c r="H431" s="19" t="str">
        <f>+IF(LEN($C431)&gt;0,TEXT(IF(_xll.ciqfunctions.udf.CIQ($C431,"IQ_KEY_DEV_TIME")="NA","",_xll.ciqfunctions.udf.CIQ($C431,"IQ_KEY_DEV_TIME")),"h:mm AM/PM"),"")</f>
        <v/>
      </c>
      <c r="I431" s="7" t="str">
        <f>IF(LEN($C431)&gt;0,_xll.ciqfunctions.udf.CIQ($C431,"IQ_KEY_DEV_SOURCE"),"")</f>
        <v/>
      </c>
    </row>
    <row r="432" spans="2:9" x14ac:dyDescent="0.2">
      <c r="B432" s="7">
        <f t="shared" si="13"/>
        <v>425</v>
      </c>
      <c r="C432" s="7"/>
      <c r="D432" s="7" t="str">
        <f>IF(LEN($C432),_xll.ciqfunctions.udf.CIQ($C432,"IQ_KEY_DEV_HEADLINE"),"")</f>
        <v/>
      </c>
      <c r="E432" s="7" t="str">
        <f>IF(LEN($C432)&gt;0,_xll.ciqfunctions.udf.CIQ($C432,"IQ_KEY_DEV_TYPE"),"")</f>
        <v/>
      </c>
      <c r="F432" s="7" t="str">
        <f>IF(LEN($C432)&gt;0,_xll.ciqfunctions.udf.CIQ($C432,"IQ_KEY_DEV_SITUATION"),"")</f>
        <v/>
      </c>
      <c r="G432" s="19" t="str">
        <f t="shared" si="12"/>
        <v/>
      </c>
      <c r="H432" s="19" t="str">
        <f>+IF(LEN($C432)&gt;0,TEXT(IF(_xll.ciqfunctions.udf.CIQ($C432,"IQ_KEY_DEV_TIME")="NA","",_xll.ciqfunctions.udf.CIQ($C432,"IQ_KEY_DEV_TIME")),"h:mm AM/PM"),"")</f>
        <v/>
      </c>
      <c r="I432" s="7" t="str">
        <f>IF(LEN($C432)&gt;0,_xll.ciqfunctions.udf.CIQ($C432,"IQ_KEY_DEV_SOURCE"),"")</f>
        <v/>
      </c>
    </row>
    <row r="433" spans="2:9" x14ac:dyDescent="0.2">
      <c r="B433" s="7">
        <f t="shared" si="13"/>
        <v>426</v>
      </c>
      <c r="C433" s="7"/>
      <c r="D433" s="7" t="str">
        <f>IF(LEN($C433),_xll.ciqfunctions.udf.CIQ($C433,"IQ_KEY_DEV_HEADLINE"),"")</f>
        <v/>
      </c>
      <c r="E433" s="7" t="str">
        <f>IF(LEN($C433)&gt;0,_xll.ciqfunctions.udf.CIQ($C433,"IQ_KEY_DEV_TYPE"),"")</f>
        <v/>
      </c>
      <c r="F433" s="7" t="str">
        <f>IF(LEN($C433)&gt;0,_xll.ciqfunctions.udf.CIQ($C433,"IQ_KEY_DEV_SITUATION"),"")</f>
        <v/>
      </c>
      <c r="G433" s="19" t="str">
        <f t="shared" si="12"/>
        <v/>
      </c>
      <c r="H433" s="19" t="str">
        <f>+IF(LEN($C433)&gt;0,TEXT(IF(_xll.ciqfunctions.udf.CIQ($C433,"IQ_KEY_DEV_TIME")="NA","",_xll.ciqfunctions.udf.CIQ($C433,"IQ_KEY_DEV_TIME")),"h:mm AM/PM"),"")</f>
        <v/>
      </c>
      <c r="I433" s="7" t="str">
        <f>IF(LEN($C433)&gt;0,_xll.ciqfunctions.udf.CIQ($C433,"IQ_KEY_DEV_SOURCE"),"")</f>
        <v/>
      </c>
    </row>
    <row r="434" spans="2:9" x14ac:dyDescent="0.2">
      <c r="B434" s="7">
        <f t="shared" si="13"/>
        <v>427</v>
      </c>
      <c r="C434" s="7"/>
      <c r="D434" s="7" t="str">
        <f>IF(LEN($C434),_xll.ciqfunctions.udf.CIQ($C434,"IQ_KEY_DEV_HEADLINE"),"")</f>
        <v/>
      </c>
      <c r="E434" s="7" t="str">
        <f>IF(LEN($C434)&gt;0,_xll.ciqfunctions.udf.CIQ($C434,"IQ_KEY_DEV_TYPE"),"")</f>
        <v/>
      </c>
      <c r="F434" s="7" t="str">
        <f>IF(LEN($C434)&gt;0,_xll.ciqfunctions.udf.CIQ($C434,"IQ_KEY_DEV_SITUATION"),"")</f>
        <v/>
      </c>
      <c r="G434" s="19" t="str">
        <f t="shared" si="12"/>
        <v/>
      </c>
      <c r="H434" s="19" t="str">
        <f>+IF(LEN($C434)&gt;0,TEXT(IF(_xll.ciqfunctions.udf.CIQ($C434,"IQ_KEY_DEV_TIME")="NA","",_xll.ciqfunctions.udf.CIQ($C434,"IQ_KEY_DEV_TIME")),"h:mm AM/PM"),"")</f>
        <v/>
      </c>
      <c r="I434" s="7" t="str">
        <f>IF(LEN($C434)&gt;0,_xll.ciqfunctions.udf.CIQ($C434,"IQ_KEY_DEV_SOURCE"),"")</f>
        <v/>
      </c>
    </row>
    <row r="435" spans="2:9" x14ac:dyDescent="0.2">
      <c r="B435" s="7">
        <f t="shared" si="13"/>
        <v>428</v>
      </c>
      <c r="C435" s="7"/>
      <c r="D435" s="7" t="str">
        <f>IF(LEN($C435),_xll.ciqfunctions.udf.CIQ($C435,"IQ_KEY_DEV_HEADLINE"),"")</f>
        <v/>
      </c>
      <c r="E435" s="7" t="str">
        <f>IF(LEN($C435)&gt;0,_xll.ciqfunctions.udf.CIQ($C435,"IQ_KEY_DEV_TYPE"),"")</f>
        <v/>
      </c>
      <c r="F435" s="7" t="str">
        <f>IF(LEN($C435)&gt;0,_xll.ciqfunctions.udf.CIQ($C435,"IQ_KEY_DEV_SITUATION"),"")</f>
        <v/>
      </c>
      <c r="G435" s="19" t="str">
        <f t="shared" si="12"/>
        <v/>
      </c>
      <c r="H435" s="19" t="str">
        <f>+IF(LEN($C435)&gt;0,TEXT(IF(_xll.ciqfunctions.udf.CIQ($C435,"IQ_KEY_DEV_TIME")="NA","",_xll.ciqfunctions.udf.CIQ($C435,"IQ_KEY_DEV_TIME")),"h:mm AM/PM"),"")</f>
        <v/>
      </c>
      <c r="I435" s="7" t="str">
        <f>IF(LEN($C435)&gt;0,_xll.ciqfunctions.udf.CIQ($C435,"IQ_KEY_DEV_SOURCE"),"")</f>
        <v/>
      </c>
    </row>
    <row r="436" spans="2:9" x14ac:dyDescent="0.2">
      <c r="B436" s="7">
        <f t="shared" si="13"/>
        <v>429</v>
      </c>
      <c r="C436" s="7"/>
      <c r="D436" s="7" t="str">
        <f>IF(LEN($C436),_xll.ciqfunctions.udf.CIQ($C436,"IQ_KEY_DEV_HEADLINE"),"")</f>
        <v/>
      </c>
      <c r="E436" s="7" t="str">
        <f>IF(LEN($C436)&gt;0,_xll.ciqfunctions.udf.CIQ($C436,"IQ_KEY_DEV_TYPE"),"")</f>
        <v/>
      </c>
      <c r="F436" s="7" t="str">
        <f>IF(LEN($C436)&gt;0,_xll.ciqfunctions.udf.CIQ($C436,"IQ_KEY_DEV_SITUATION"),"")</f>
        <v/>
      </c>
      <c r="G436" s="19" t="str">
        <f t="shared" si="12"/>
        <v/>
      </c>
      <c r="H436" s="19" t="str">
        <f>+IF(LEN($C436)&gt;0,TEXT(IF(_xll.ciqfunctions.udf.CIQ($C436,"IQ_KEY_DEV_TIME")="NA","",_xll.ciqfunctions.udf.CIQ($C436,"IQ_KEY_DEV_TIME")),"h:mm AM/PM"),"")</f>
        <v/>
      </c>
      <c r="I436" s="7" t="str">
        <f>IF(LEN($C436)&gt;0,_xll.ciqfunctions.udf.CIQ($C436,"IQ_KEY_DEV_SOURCE"),"")</f>
        <v/>
      </c>
    </row>
    <row r="437" spans="2:9" x14ac:dyDescent="0.2">
      <c r="B437" s="7">
        <f t="shared" si="13"/>
        <v>430</v>
      </c>
      <c r="C437" s="7"/>
      <c r="D437" s="7" t="str">
        <f>IF(LEN($C437),_xll.ciqfunctions.udf.CIQ($C437,"IQ_KEY_DEV_HEADLINE"),"")</f>
        <v/>
      </c>
      <c r="E437" s="7" t="str">
        <f>IF(LEN($C437)&gt;0,_xll.ciqfunctions.udf.CIQ($C437,"IQ_KEY_DEV_TYPE"),"")</f>
        <v/>
      </c>
      <c r="F437" s="7" t="str">
        <f>IF(LEN($C437)&gt;0,_xll.ciqfunctions.udf.CIQ($C437,"IQ_KEY_DEV_SITUATION"),"")</f>
        <v/>
      </c>
      <c r="G437" s="19" t="str">
        <f t="shared" si="12"/>
        <v/>
      </c>
      <c r="H437" s="19" t="str">
        <f>+IF(LEN($C437)&gt;0,TEXT(IF(_xll.ciqfunctions.udf.CIQ($C437,"IQ_KEY_DEV_TIME")="NA","",_xll.ciqfunctions.udf.CIQ($C437,"IQ_KEY_DEV_TIME")),"h:mm AM/PM"),"")</f>
        <v/>
      </c>
      <c r="I437" s="7" t="str">
        <f>IF(LEN($C437)&gt;0,_xll.ciqfunctions.udf.CIQ($C437,"IQ_KEY_DEV_SOURCE"),"")</f>
        <v/>
      </c>
    </row>
    <row r="438" spans="2:9" x14ac:dyDescent="0.2">
      <c r="B438" s="7">
        <f t="shared" si="13"/>
        <v>431</v>
      </c>
      <c r="C438" s="7"/>
      <c r="D438" s="7" t="str">
        <f>IF(LEN($C438),_xll.ciqfunctions.udf.CIQ($C438,"IQ_KEY_DEV_HEADLINE"),"")</f>
        <v/>
      </c>
      <c r="E438" s="7" t="str">
        <f>IF(LEN($C438)&gt;0,_xll.ciqfunctions.udf.CIQ($C438,"IQ_KEY_DEV_TYPE"),"")</f>
        <v/>
      </c>
      <c r="F438" s="7" t="str">
        <f>IF(LEN($C438)&gt;0,_xll.ciqfunctions.udf.CIQ($C438,"IQ_KEY_DEV_SITUATION"),"")</f>
        <v/>
      </c>
      <c r="G438" s="19" t="str">
        <f t="shared" si="12"/>
        <v/>
      </c>
      <c r="H438" s="19" t="str">
        <f>+IF(LEN($C438)&gt;0,TEXT(IF(_xll.ciqfunctions.udf.CIQ($C438,"IQ_KEY_DEV_TIME")="NA","",_xll.ciqfunctions.udf.CIQ($C438,"IQ_KEY_DEV_TIME")),"h:mm AM/PM"),"")</f>
        <v/>
      </c>
      <c r="I438" s="7" t="str">
        <f>IF(LEN($C438)&gt;0,_xll.ciqfunctions.udf.CIQ($C438,"IQ_KEY_DEV_SOURCE"),"")</f>
        <v/>
      </c>
    </row>
    <row r="439" spans="2:9" x14ac:dyDescent="0.2">
      <c r="B439" s="7">
        <f t="shared" si="13"/>
        <v>432</v>
      </c>
      <c r="C439" s="7"/>
      <c r="D439" s="7" t="str">
        <f>IF(LEN($C439),_xll.ciqfunctions.udf.CIQ($C439,"IQ_KEY_DEV_HEADLINE"),"")</f>
        <v/>
      </c>
      <c r="E439" s="7" t="str">
        <f>IF(LEN($C439)&gt;0,_xll.ciqfunctions.udf.CIQ($C439,"IQ_KEY_DEV_TYPE"),"")</f>
        <v/>
      </c>
      <c r="F439" s="7" t="str">
        <f>IF(LEN($C439)&gt;0,_xll.ciqfunctions.udf.CIQ($C439,"IQ_KEY_DEV_SITUATION"),"")</f>
        <v/>
      </c>
      <c r="G439" s="19" t="str">
        <f t="shared" si="12"/>
        <v/>
      </c>
      <c r="H439" s="19" t="str">
        <f>+IF(LEN($C439)&gt;0,TEXT(IF(_xll.ciqfunctions.udf.CIQ($C439,"IQ_KEY_DEV_TIME")="NA","",_xll.ciqfunctions.udf.CIQ($C439,"IQ_KEY_DEV_TIME")),"h:mm AM/PM"),"")</f>
        <v/>
      </c>
      <c r="I439" s="7" t="str">
        <f>IF(LEN($C439)&gt;0,_xll.ciqfunctions.udf.CIQ($C439,"IQ_KEY_DEV_SOURCE"),"")</f>
        <v/>
      </c>
    </row>
    <row r="440" spans="2:9" x14ac:dyDescent="0.2">
      <c r="B440" s="7">
        <f t="shared" si="13"/>
        <v>433</v>
      </c>
      <c r="C440" s="7"/>
      <c r="D440" s="7" t="str">
        <f>IF(LEN($C440),_xll.ciqfunctions.udf.CIQ($C440,"IQ_KEY_DEV_HEADLINE"),"")</f>
        <v/>
      </c>
      <c r="E440" s="7" t="str">
        <f>IF(LEN($C440)&gt;0,_xll.ciqfunctions.udf.CIQ($C440,"IQ_KEY_DEV_TYPE"),"")</f>
        <v/>
      </c>
      <c r="F440" s="7" t="str">
        <f>IF(LEN($C440)&gt;0,_xll.ciqfunctions.udf.CIQ($C440,"IQ_KEY_DEV_SITUATION"),"")</f>
        <v/>
      </c>
      <c r="G440" s="19" t="str">
        <f t="shared" si="12"/>
        <v/>
      </c>
      <c r="H440" s="19" t="str">
        <f>+IF(LEN($C440)&gt;0,TEXT(IF(_xll.ciqfunctions.udf.CIQ($C440,"IQ_KEY_DEV_TIME")="NA","",_xll.ciqfunctions.udf.CIQ($C440,"IQ_KEY_DEV_TIME")),"h:mm AM/PM"),"")</f>
        <v/>
      </c>
      <c r="I440" s="7" t="str">
        <f>IF(LEN($C440)&gt;0,_xll.ciqfunctions.udf.CIQ($C440,"IQ_KEY_DEV_SOURCE"),"")</f>
        <v/>
      </c>
    </row>
    <row r="441" spans="2:9" x14ac:dyDescent="0.2">
      <c r="B441" s="7">
        <f t="shared" si="13"/>
        <v>434</v>
      </c>
      <c r="C441" s="7"/>
      <c r="D441" s="7" t="str">
        <f>IF(LEN($C441),_xll.ciqfunctions.udf.CIQ($C441,"IQ_KEY_DEV_HEADLINE"),"")</f>
        <v/>
      </c>
      <c r="E441" s="7" t="str">
        <f>IF(LEN($C441)&gt;0,_xll.ciqfunctions.udf.CIQ($C441,"IQ_KEY_DEV_TYPE"),"")</f>
        <v/>
      </c>
      <c r="F441" s="7" t="str">
        <f>IF(LEN($C441)&gt;0,_xll.ciqfunctions.udf.CIQ($C441,"IQ_KEY_DEV_SITUATION"),"")</f>
        <v/>
      </c>
      <c r="G441" s="19" t="str">
        <f t="shared" si="12"/>
        <v/>
      </c>
      <c r="H441" s="19" t="str">
        <f>+IF(LEN($C441)&gt;0,TEXT(IF(_xll.ciqfunctions.udf.CIQ($C441,"IQ_KEY_DEV_TIME")="NA","",_xll.ciqfunctions.udf.CIQ($C441,"IQ_KEY_DEV_TIME")),"h:mm AM/PM"),"")</f>
        <v/>
      </c>
      <c r="I441" s="7" t="str">
        <f>IF(LEN($C441)&gt;0,_xll.ciqfunctions.udf.CIQ($C441,"IQ_KEY_DEV_SOURCE"),"")</f>
        <v/>
      </c>
    </row>
    <row r="442" spans="2:9" x14ac:dyDescent="0.2">
      <c r="B442" s="7">
        <f t="shared" si="13"/>
        <v>435</v>
      </c>
      <c r="C442" s="7"/>
      <c r="D442" s="7" t="str">
        <f>IF(LEN($C442),_xll.ciqfunctions.udf.CIQ($C442,"IQ_KEY_DEV_HEADLINE"),"")</f>
        <v/>
      </c>
      <c r="E442" s="7" t="str">
        <f>IF(LEN($C442)&gt;0,_xll.ciqfunctions.udf.CIQ($C442,"IQ_KEY_DEV_TYPE"),"")</f>
        <v/>
      </c>
      <c r="F442" s="7" t="str">
        <f>IF(LEN($C442)&gt;0,_xll.ciqfunctions.udf.CIQ($C442,"IQ_KEY_DEV_SITUATION"),"")</f>
        <v/>
      </c>
      <c r="G442" s="19" t="str">
        <f t="shared" si="12"/>
        <v/>
      </c>
      <c r="H442" s="19" t="str">
        <f>+IF(LEN($C442)&gt;0,TEXT(IF(_xll.ciqfunctions.udf.CIQ($C442,"IQ_KEY_DEV_TIME")="NA","",_xll.ciqfunctions.udf.CIQ($C442,"IQ_KEY_DEV_TIME")),"h:mm AM/PM"),"")</f>
        <v/>
      </c>
      <c r="I442" s="7" t="str">
        <f>IF(LEN($C442)&gt;0,_xll.ciqfunctions.udf.CIQ($C442,"IQ_KEY_DEV_SOURCE"),"")</f>
        <v/>
      </c>
    </row>
    <row r="443" spans="2:9" x14ac:dyDescent="0.2">
      <c r="B443" s="7">
        <f t="shared" si="13"/>
        <v>436</v>
      </c>
      <c r="C443" s="7"/>
      <c r="D443" s="7" t="str">
        <f>IF(LEN($C443),_xll.ciqfunctions.udf.CIQ($C443,"IQ_KEY_DEV_HEADLINE"),"")</f>
        <v/>
      </c>
      <c r="E443" s="7" t="str">
        <f>IF(LEN($C443)&gt;0,_xll.ciqfunctions.udf.CIQ($C443,"IQ_KEY_DEV_TYPE"),"")</f>
        <v/>
      </c>
      <c r="F443" s="7" t="str">
        <f>IF(LEN($C443)&gt;0,_xll.ciqfunctions.udf.CIQ($C443,"IQ_KEY_DEV_SITUATION"),"")</f>
        <v/>
      </c>
      <c r="G443" s="19" t="str">
        <f t="shared" si="12"/>
        <v/>
      </c>
      <c r="H443" s="19" t="str">
        <f>+IF(LEN($C443)&gt;0,TEXT(IF(_xll.ciqfunctions.udf.CIQ($C443,"IQ_KEY_DEV_TIME")="NA","",_xll.ciqfunctions.udf.CIQ($C443,"IQ_KEY_DEV_TIME")),"h:mm AM/PM"),"")</f>
        <v/>
      </c>
      <c r="I443" s="7" t="str">
        <f>IF(LEN($C443)&gt;0,_xll.ciqfunctions.udf.CIQ($C443,"IQ_KEY_DEV_SOURCE"),"")</f>
        <v/>
      </c>
    </row>
    <row r="444" spans="2:9" x14ac:dyDescent="0.2">
      <c r="B444" s="7">
        <f t="shared" si="13"/>
        <v>437</v>
      </c>
      <c r="C444" s="7"/>
      <c r="D444" s="7" t="str">
        <f>IF(LEN($C444),_xll.ciqfunctions.udf.CIQ($C444,"IQ_KEY_DEV_HEADLINE"),"")</f>
        <v/>
      </c>
      <c r="E444" s="7" t="str">
        <f>IF(LEN($C444)&gt;0,_xll.ciqfunctions.udf.CIQ($C444,"IQ_KEY_DEV_TYPE"),"")</f>
        <v/>
      </c>
      <c r="F444" s="7" t="str">
        <f>IF(LEN($C444)&gt;0,_xll.ciqfunctions.udf.CIQ($C444,"IQ_KEY_DEV_SITUATION"),"")</f>
        <v/>
      </c>
      <c r="G444" s="19" t="str">
        <f t="shared" si="12"/>
        <v/>
      </c>
      <c r="H444" s="19" t="str">
        <f>+IF(LEN($C444)&gt;0,TEXT(IF(_xll.ciqfunctions.udf.CIQ($C444,"IQ_KEY_DEV_TIME")="NA","",_xll.ciqfunctions.udf.CIQ($C444,"IQ_KEY_DEV_TIME")),"h:mm AM/PM"),"")</f>
        <v/>
      </c>
      <c r="I444" s="7" t="str">
        <f>IF(LEN($C444)&gt;0,_xll.ciqfunctions.udf.CIQ($C444,"IQ_KEY_DEV_SOURCE"),"")</f>
        <v/>
      </c>
    </row>
    <row r="445" spans="2:9" x14ac:dyDescent="0.2">
      <c r="B445" s="7">
        <f t="shared" si="13"/>
        <v>438</v>
      </c>
      <c r="C445" s="7"/>
      <c r="D445" s="7" t="str">
        <f>IF(LEN($C445),_xll.ciqfunctions.udf.CIQ($C445,"IQ_KEY_DEV_HEADLINE"),"")</f>
        <v/>
      </c>
      <c r="E445" s="7" t="str">
        <f>IF(LEN($C445)&gt;0,_xll.ciqfunctions.udf.CIQ($C445,"IQ_KEY_DEV_TYPE"),"")</f>
        <v/>
      </c>
      <c r="F445" s="7" t="str">
        <f>IF(LEN($C445)&gt;0,_xll.ciqfunctions.udf.CIQ($C445,"IQ_KEY_DEV_SITUATION"),"")</f>
        <v/>
      </c>
      <c r="G445" s="19" t="str">
        <f t="shared" si="12"/>
        <v/>
      </c>
      <c r="H445" s="19" t="str">
        <f>+IF(LEN($C445)&gt;0,TEXT(IF(_xll.ciqfunctions.udf.CIQ($C445,"IQ_KEY_DEV_TIME")="NA","",_xll.ciqfunctions.udf.CIQ($C445,"IQ_KEY_DEV_TIME")),"h:mm AM/PM"),"")</f>
        <v/>
      </c>
      <c r="I445" s="7" t="str">
        <f>IF(LEN($C445)&gt;0,_xll.ciqfunctions.udf.CIQ($C445,"IQ_KEY_DEV_SOURCE"),"")</f>
        <v/>
      </c>
    </row>
    <row r="446" spans="2:9" x14ac:dyDescent="0.2">
      <c r="B446" s="7">
        <f t="shared" si="13"/>
        <v>439</v>
      </c>
      <c r="C446" s="7"/>
      <c r="D446" s="7" t="str">
        <f>IF(LEN($C446),_xll.ciqfunctions.udf.CIQ($C446,"IQ_KEY_DEV_HEADLINE"),"")</f>
        <v/>
      </c>
      <c r="E446" s="7" t="str">
        <f>IF(LEN($C446)&gt;0,_xll.ciqfunctions.udf.CIQ($C446,"IQ_KEY_DEV_TYPE"),"")</f>
        <v/>
      </c>
      <c r="F446" s="7" t="str">
        <f>IF(LEN($C446)&gt;0,_xll.ciqfunctions.udf.CIQ($C446,"IQ_KEY_DEV_SITUATION"),"")</f>
        <v/>
      </c>
      <c r="G446" s="19" t="str">
        <f t="shared" si="12"/>
        <v/>
      </c>
      <c r="H446" s="19" t="str">
        <f>+IF(LEN($C446)&gt;0,TEXT(IF(_xll.ciqfunctions.udf.CIQ($C446,"IQ_KEY_DEV_TIME")="NA","",_xll.ciqfunctions.udf.CIQ($C446,"IQ_KEY_DEV_TIME")),"h:mm AM/PM"),"")</f>
        <v/>
      </c>
      <c r="I446" s="7" t="str">
        <f>IF(LEN($C446)&gt;0,_xll.ciqfunctions.udf.CIQ($C446,"IQ_KEY_DEV_SOURCE"),"")</f>
        <v/>
      </c>
    </row>
    <row r="447" spans="2:9" x14ac:dyDescent="0.2">
      <c r="B447" s="7">
        <f t="shared" si="13"/>
        <v>440</v>
      </c>
      <c r="C447" s="7"/>
      <c r="D447" s="7" t="str">
        <f>IF(LEN($C447),_xll.ciqfunctions.udf.CIQ($C447,"IQ_KEY_DEV_HEADLINE"),"")</f>
        <v/>
      </c>
      <c r="E447" s="7" t="str">
        <f>IF(LEN($C447)&gt;0,_xll.ciqfunctions.udf.CIQ($C447,"IQ_KEY_DEV_TYPE"),"")</f>
        <v/>
      </c>
      <c r="F447" s="7" t="str">
        <f>IF(LEN($C447)&gt;0,_xll.ciqfunctions.udf.CIQ($C447,"IQ_KEY_DEV_SITUATION"),"")</f>
        <v/>
      </c>
      <c r="G447" s="19" t="str">
        <f t="shared" si="12"/>
        <v/>
      </c>
      <c r="H447" s="19" t="str">
        <f>+IF(LEN($C447)&gt;0,TEXT(IF(_xll.ciqfunctions.udf.CIQ($C447,"IQ_KEY_DEV_TIME")="NA","",_xll.ciqfunctions.udf.CIQ($C447,"IQ_KEY_DEV_TIME")),"h:mm AM/PM"),"")</f>
        <v/>
      </c>
      <c r="I447" s="7" t="str">
        <f>IF(LEN($C447)&gt;0,_xll.ciqfunctions.udf.CIQ($C447,"IQ_KEY_DEV_SOURCE"),"")</f>
        <v/>
      </c>
    </row>
    <row r="448" spans="2:9" x14ac:dyDescent="0.2">
      <c r="B448" s="7">
        <f t="shared" si="13"/>
        <v>441</v>
      </c>
      <c r="C448" s="7"/>
      <c r="D448" s="7" t="str">
        <f>IF(LEN($C448),_xll.ciqfunctions.udf.CIQ($C448,"IQ_KEY_DEV_HEADLINE"),"")</f>
        <v/>
      </c>
      <c r="E448" s="7" t="str">
        <f>IF(LEN($C448)&gt;0,_xll.ciqfunctions.udf.CIQ($C448,"IQ_KEY_DEV_TYPE"),"")</f>
        <v/>
      </c>
      <c r="F448" s="7" t="str">
        <f>IF(LEN($C448)&gt;0,_xll.ciqfunctions.udf.CIQ($C448,"IQ_KEY_DEV_SITUATION"),"")</f>
        <v/>
      </c>
      <c r="G448" s="19" t="str">
        <f t="shared" si="12"/>
        <v/>
      </c>
      <c r="H448" s="19" t="str">
        <f>+IF(LEN($C448)&gt;0,TEXT(IF(_xll.ciqfunctions.udf.CIQ($C448,"IQ_KEY_DEV_TIME")="NA","",_xll.ciqfunctions.udf.CIQ($C448,"IQ_KEY_DEV_TIME")),"h:mm AM/PM"),"")</f>
        <v/>
      </c>
      <c r="I448" s="7" t="str">
        <f>IF(LEN($C448)&gt;0,_xll.ciqfunctions.udf.CIQ($C448,"IQ_KEY_DEV_SOURCE"),"")</f>
        <v/>
      </c>
    </row>
    <row r="449" spans="2:9" x14ac:dyDescent="0.2">
      <c r="B449" s="7">
        <f t="shared" si="13"/>
        <v>442</v>
      </c>
      <c r="C449" s="7"/>
      <c r="D449" s="7" t="str">
        <f>IF(LEN($C449),_xll.ciqfunctions.udf.CIQ($C449,"IQ_KEY_DEV_HEADLINE"),"")</f>
        <v/>
      </c>
      <c r="E449" s="7" t="str">
        <f>IF(LEN($C449)&gt;0,_xll.ciqfunctions.udf.CIQ($C449,"IQ_KEY_DEV_TYPE"),"")</f>
        <v/>
      </c>
      <c r="F449" s="7" t="str">
        <f>IF(LEN($C449)&gt;0,_xll.ciqfunctions.udf.CIQ($C449,"IQ_KEY_DEV_SITUATION"),"")</f>
        <v/>
      </c>
      <c r="G449" s="19" t="str">
        <f t="shared" si="12"/>
        <v/>
      </c>
      <c r="H449" s="19" t="str">
        <f>+IF(LEN($C449)&gt;0,TEXT(IF(_xll.ciqfunctions.udf.CIQ($C449,"IQ_KEY_DEV_TIME")="NA","",_xll.ciqfunctions.udf.CIQ($C449,"IQ_KEY_DEV_TIME")),"h:mm AM/PM"),"")</f>
        <v/>
      </c>
      <c r="I449" s="7" t="str">
        <f>IF(LEN($C449)&gt;0,_xll.ciqfunctions.udf.CIQ($C449,"IQ_KEY_DEV_SOURCE"),"")</f>
        <v/>
      </c>
    </row>
    <row r="450" spans="2:9" x14ac:dyDescent="0.2">
      <c r="B450" s="7">
        <f t="shared" si="13"/>
        <v>443</v>
      </c>
      <c r="C450" s="7"/>
      <c r="D450" s="7" t="str">
        <f>IF(LEN($C450),_xll.ciqfunctions.udf.CIQ($C450,"IQ_KEY_DEV_HEADLINE"),"")</f>
        <v/>
      </c>
      <c r="E450" s="7" t="str">
        <f>IF(LEN($C450)&gt;0,_xll.ciqfunctions.udf.CIQ($C450,"IQ_KEY_DEV_TYPE"),"")</f>
        <v/>
      </c>
      <c r="F450" s="7" t="str">
        <f>IF(LEN($C450)&gt;0,_xll.ciqfunctions.udf.CIQ($C450,"IQ_KEY_DEV_SITUATION"),"")</f>
        <v/>
      </c>
      <c r="G450" s="19" t="str">
        <f t="shared" si="12"/>
        <v/>
      </c>
      <c r="H450" s="19" t="str">
        <f>+IF(LEN($C450)&gt;0,TEXT(IF(_xll.ciqfunctions.udf.CIQ($C450,"IQ_KEY_DEV_TIME")="NA","",_xll.ciqfunctions.udf.CIQ($C450,"IQ_KEY_DEV_TIME")),"h:mm AM/PM"),"")</f>
        <v/>
      </c>
      <c r="I450" s="7" t="str">
        <f>IF(LEN($C450)&gt;0,_xll.ciqfunctions.udf.CIQ($C450,"IQ_KEY_DEV_SOURCE"),"")</f>
        <v/>
      </c>
    </row>
    <row r="451" spans="2:9" x14ac:dyDescent="0.2">
      <c r="B451" s="7">
        <f t="shared" si="13"/>
        <v>444</v>
      </c>
      <c r="C451" s="7"/>
      <c r="D451" s="7" t="str">
        <f>IF(LEN($C451),_xll.ciqfunctions.udf.CIQ($C451,"IQ_KEY_DEV_HEADLINE"),"")</f>
        <v/>
      </c>
      <c r="E451" s="7" t="str">
        <f>IF(LEN($C451)&gt;0,_xll.ciqfunctions.udf.CIQ($C451,"IQ_KEY_DEV_TYPE"),"")</f>
        <v/>
      </c>
      <c r="F451" s="7" t="str">
        <f>IF(LEN($C451)&gt;0,_xll.ciqfunctions.udf.CIQ($C451,"IQ_KEY_DEV_SITUATION"),"")</f>
        <v/>
      </c>
      <c r="G451" s="19" t="str">
        <f t="shared" si="12"/>
        <v/>
      </c>
      <c r="H451" s="19" t="str">
        <f>+IF(LEN($C451)&gt;0,TEXT(IF(_xll.ciqfunctions.udf.CIQ($C451,"IQ_KEY_DEV_TIME")="NA","",_xll.ciqfunctions.udf.CIQ($C451,"IQ_KEY_DEV_TIME")),"h:mm AM/PM"),"")</f>
        <v/>
      </c>
      <c r="I451" s="7" t="str">
        <f>IF(LEN($C451)&gt;0,_xll.ciqfunctions.udf.CIQ($C451,"IQ_KEY_DEV_SOURCE"),"")</f>
        <v/>
      </c>
    </row>
    <row r="452" spans="2:9" x14ac:dyDescent="0.2">
      <c r="B452" s="7">
        <f t="shared" si="13"/>
        <v>445</v>
      </c>
      <c r="C452" s="7"/>
      <c r="D452" s="7" t="str">
        <f>IF(LEN($C452),_xll.ciqfunctions.udf.CIQ($C452,"IQ_KEY_DEV_HEADLINE"),"")</f>
        <v/>
      </c>
      <c r="E452" s="7" t="str">
        <f>IF(LEN($C452)&gt;0,_xll.ciqfunctions.udf.CIQ($C452,"IQ_KEY_DEV_TYPE"),"")</f>
        <v/>
      </c>
      <c r="F452" s="7" t="str">
        <f>IF(LEN($C452)&gt;0,_xll.ciqfunctions.udf.CIQ($C452,"IQ_KEY_DEV_SITUATION"),"")</f>
        <v/>
      </c>
      <c r="G452" s="19" t="str">
        <f t="shared" si="12"/>
        <v/>
      </c>
      <c r="H452" s="19" t="str">
        <f>+IF(LEN($C452)&gt;0,TEXT(IF(_xll.ciqfunctions.udf.CIQ($C452,"IQ_KEY_DEV_TIME")="NA","",_xll.ciqfunctions.udf.CIQ($C452,"IQ_KEY_DEV_TIME")),"h:mm AM/PM"),"")</f>
        <v/>
      </c>
      <c r="I452" s="7" t="str">
        <f>IF(LEN($C452)&gt;0,_xll.ciqfunctions.udf.CIQ($C452,"IQ_KEY_DEV_SOURCE"),"")</f>
        <v/>
      </c>
    </row>
    <row r="453" spans="2:9" x14ac:dyDescent="0.2">
      <c r="B453" s="7">
        <f t="shared" si="13"/>
        <v>446</v>
      </c>
      <c r="C453" s="7"/>
      <c r="D453" s="7" t="str">
        <f>IF(LEN($C453),_xll.ciqfunctions.udf.CIQ($C453,"IQ_KEY_DEV_HEADLINE"),"")</f>
        <v/>
      </c>
      <c r="E453" s="7" t="str">
        <f>IF(LEN($C453)&gt;0,_xll.ciqfunctions.udf.CIQ($C453,"IQ_KEY_DEV_TYPE"),"")</f>
        <v/>
      </c>
      <c r="F453" s="7" t="str">
        <f>IF(LEN($C453)&gt;0,_xll.ciqfunctions.udf.CIQ($C453,"IQ_KEY_DEV_SITUATION"),"")</f>
        <v/>
      </c>
      <c r="G453" s="19" t="str">
        <f t="shared" si="12"/>
        <v/>
      </c>
      <c r="H453" s="19" t="str">
        <f>+IF(LEN($C453)&gt;0,TEXT(IF(_xll.ciqfunctions.udf.CIQ($C453,"IQ_KEY_DEV_TIME")="NA","",_xll.ciqfunctions.udf.CIQ($C453,"IQ_KEY_DEV_TIME")),"h:mm AM/PM"),"")</f>
        <v/>
      </c>
      <c r="I453" s="7" t="str">
        <f>IF(LEN($C453)&gt;0,_xll.ciqfunctions.udf.CIQ($C453,"IQ_KEY_DEV_SOURCE"),"")</f>
        <v/>
      </c>
    </row>
    <row r="454" spans="2:9" x14ac:dyDescent="0.2">
      <c r="B454" s="7">
        <f t="shared" si="13"/>
        <v>447</v>
      </c>
      <c r="C454" s="7"/>
      <c r="D454" s="7" t="str">
        <f>IF(LEN($C454),_xll.ciqfunctions.udf.CIQ($C454,"IQ_KEY_DEV_HEADLINE"),"")</f>
        <v/>
      </c>
      <c r="E454" s="7" t="str">
        <f>IF(LEN($C454)&gt;0,_xll.ciqfunctions.udf.CIQ($C454,"IQ_KEY_DEV_TYPE"),"")</f>
        <v/>
      </c>
      <c r="F454" s="7" t="str">
        <f>IF(LEN($C454)&gt;0,_xll.ciqfunctions.udf.CIQ($C454,"IQ_KEY_DEV_SITUATION"),"")</f>
        <v/>
      </c>
      <c r="G454" s="19" t="str">
        <f t="shared" si="12"/>
        <v/>
      </c>
      <c r="H454" s="19" t="str">
        <f>+IF(LEN($C454)&gt;0,TEXT(IF(_xll.ciqfunctions.udf.CIQ($C454,"IQ_KEY_DEV_TIME")="NA","",_xll.ciqfunctions.udf.CIQ($C454,"IQ_KEY_DEV_TIME")),"h:mm AM/PM"),"")</f>
        <v/>
      </c>
      <c r="I454" s="7" t="str">
        <f>IF(LEN($C454)&gt;0,_xll.ciqfunctions.udf.CIQ($C454,"IQ_KEY_DEV_SOURCE"),"")</f>
        <v/>
      </c>
    </row>
    <row r="455" spans="2:9" x14ac:dyDescent="0.2">
      <c r="B455" s="7">
        <f t="shared" si="13"/>
        <v>448</v>
      </c>
      <c r="C455" s="7"/>
      <c r="D455" s="7" t="str">
        <f>IF(LEN($C455),_xll.ciqfunctions.udf.CIQ($C455,"IQ_KEY_DEV_HEADLINE"),"")</f>
        <v/>
      </c>
      <c r="E455" s="7" t="str">
        <f>IF(LEN($C455)&gt;0,_xll.ciqfunctions.udf.CIQ($C455,"IQ_KEY_DEV_TYPE"),"")</f>
        <v/>
      </c>
      <c r="F455" s="7" t="str">
        <f>IF(LEN($C455)&gt;0,_xll.ciqfunctions.udf.CIQ($C455,"IQ_KEY_DEV_SITUATION"),"")</f>
        <v/>
      </c>
      <c r="G455" s="19" t="str">
        <f t="shared" si="12"/>
        <v/>
      </c>
      <c r="H455" s="19" t="str">
        <f>+IF(LEN($C455)&gt;0,TEXT(IF(_xll.ciqfunctions.udf.CIQ($C455,"IQ_KEY_DEV_TIME")="NA","",_xll.ciqfunctions.udf.CIQ($C455,"IQ_KEY_DEV_TIME")),"h:mm AM/PM"),"")</f>
        <v/>
      </c>
      <c r="I455" s="7" t="str">
        <f>IF(LEN($C455)&gt;0,_xll.ciqfunctions.udf.CIQ($C455,"IQ_KEY_DEV_SOURCE"),"")</f>
        <v/>
      </c>
    </row>
    <row r="456" spans="2:9" x14ac:dyDescent="0.2">
      <c r="B456" s="7">
        <f t="shared" si="13"/>
        <v>449</v>
      </c>
      <c r="C456" s="7"/>
      <c r="D456" s="7" t="str">
        <f>IF(LEN($C456),_xll.ciqfunctions.udf.CIQ($C456,"IQ_KEY_DEV_HEADLINE"),"")</f>
        <v/>
      </c>
      <c r="E456" s="7" t="str">
        <f>IF(LEN($C456)&gt;0,_xll.ciqfunctions.udf.CIQ($C456,"IQ_KEY_DEV_TYPE"),"")</f>
        <v/>
      </c>
      <c r="F456" s="7" t="str">
        <f>IF(LEN($C456)&gt;0,_xll.ciqfunctions.udf.CIQ($C456,"IQ_KEY_DEV_SITUATION"),"")</f>
        <v/>
      </c>
      <c r="G456" s="19" t="str">
        <f t="shared" ref="G456:G507" si="14">+IF(LEN($C456)&gt;0,TEXT(_xll.ciqfunctions.udf.CIQ($C456,"IQ_KEY_DEV_DATE"),"dd MMM yyyy"),"")</f>
        <v/>
      </c>
      <c r="H456" s="19" t="str">
        <f>+IF(LEN($C456)&gt;0,TEXT(IF(_xll.ciqfunctions.udf.CIQ($C456,"IQ_KEY_DEV_TIME")="NA","",_xll.ciqfunctions.udf.CIQ($C456,"IQ_KEY_DEV_TIME")),"h:mm AM/PM"),"")</f>
        <v/>
      </c>
      <c r="I456" s="7" t="str">
        <f>IF(LEN($C456)&gt;0,_xll.ciqfunctions.udf.CIQ($C456,"IQ_KEY_DEV_SOURCE"),"")</f>
        <v/>
      </c>
    </row>
    <row r="457" spans="2:9" x14ac:dyDescent="0.2">
      <c r="B457" s="7">
        <f t="shared" si="13"/>
        <v>450</v>
      </c>
      <c r="C457" s="7"/>
      <c r="D457" s="7" t="str">
        <f>IF(LEN($C457),_xll.ciqfunctions.udf.CIQ($C457,"IQ_KEY_DEV_HEADLINE"),"")</f>
        <v/>
      </c>
      <c r="E457" s="7" t="str">
        <f>IF(LEN($C457)&gt;0,_xll.ciqfunctions.udf.CIQ($C457,"IQ_KEY_DEV_TYPE"),"")</f>
        <v/>
      </c>
      <c r="F457" s="7" t="str">
        <f>IF(LEN($C457)&gt;0,_xll.ciqfunctions.udf.CIQ($C457,"IQ_KEY_DEV_SITUATION"),"")</f>
        <v/>
      </c>
      <c r="G457" s="19" t="str">
        <f t="shared" si="14"/>
        <v/>
      </c>
      <c r="H457" s="19" t="str">
        <f>+IF(LEN($C457)&gt;0,TEXT(IF(_xll.ciqfunctions.udf.CIQ($C457,"IQ_KEY_DEV_TIME")="NA","",_xll.ciqfunctions.udf.CIQ($C457,"IQ_KEY_DEV_TIME")),"h:mm AM/PM"),"")</f>
        <v/>
      </c>
      <c r="I457" s="7" t="str">
        <f>IF(LEN($C457)&gt;0,_xll.ciqfunctions.udf.CIQ($C457,"IQ_KEY_DEV_SOURCE"),"")</f>
        <v/>
      </c>
    </row>
    <row r="458" spans="2:9" x14ac:dyDescent="0.2">
      <c r="B458" s="7">
        <f t="shared" si="13"/>
        <v>451</v>
      </c>
      <c r="C458" s="7"/>
      <c r="D458" s="7" t="str">
        <f>IF(LEN($C458),_xll.ciqfunctions.udf.CIQ($C458,"IQ_KEY_DEV_HEADLINE"),"")</f>
        <v/>
      </c>
      <c r="E458" s="7" t="str">
        <f>IF(LEN($C458)&gt;0,_xll.ciqfunctions.udf.CIQ($C458,"IQ_KEY_DEV_TYPE"),"")</f>
        <v/>
      </c>
      <c r="F458" s="7" t="str">
        <f>IF(LEN($C458)&gt;0,_xll.ciqfunctions.udf.CIQ($C458,"IQ_KEY_DEV_SITUATION"),"")</f>
        <v/>
      </c>
      <c r="G458" s="19" t="str">
        <f t="shared" si="14"/>
        <v/>
      </c>
      <c r="H458" s="19" t="str">
        <f>+IF(LEN($C458)&gt;0,TEXT(IF(_xll.ciqfunctions.udf.CIQ($C458,"IQ_KEY_DEV_TIME")="NA","",_xll.ciqfunctions.udf.CIQ($C458,"IQ_KEY_DEV_TIME")),"h:mm AM/PM"),"")</f>
        <v/>
      </c>
      <c r="I458" s="7" t="str">
        <f>IF(LEN($C458)&gt;0,_xll.ciqfunctions.udf.CIQ($C458,"IQ_KEY_DEV_SOURCE"),"")</f>
        <v/>
      </c>
    </row>
    <row r="459" spans="2:9" x14ac:dyDescent="0.2">
      <c r="B459" s="7">
        <f t="shared" si="13"/>
        <v>452</v>
      </c>
      <c r="C459" s="7"/>
      <c r="D459" s="7" t="str">
        <f>IF(LEN($C459),_xll.ciqfunctions.udf.CIQ($C459,"IQ_KEY_DEV_HEADLINE"),"")</f>
        <v/>
      </c>
      <c r="E459" s="7" t="str">
        <f>IF(LEN($C459)&gt;0,_xll.ciqfunctions.udf.CIQ($C459,"IQ_KEY_DEV_TYPE"),"")</f>
        <v/>
      </c>
      <c r="F459" s="7" t="str">
        <f>IF(LEN($C459)&gt;0,_xll.ciqfunctions.udf.CIQ($C459,"IQ_KEY_DEV_SITUATION"),"")</f>
        <v/>
      </c>
      <c r="G459" s="19" t="str">
        <f t="shared" si="14"/>
        <v/>
      </c>
      <c r="H459" s="19" t="str">
        <f>+IF(LEN($C459)&gt;0,TEXT(IF(_xll.ciqfunctions.udf.CIQ($C459,"IQ_KEY_DEV_TIME")="NA","",_xll.ciqfunctions.udf.CIQ($C459,"IQ_KEY_DEV_TIME")),"h:mm AM/PM"),"")</f>
        <v/>
      </c>
      <c r="I459" s="7" t="str">
        <f>IF(LEN($C459)&gt;0,_xll.ciqfunctions.udf.CIQ($C459,"IQ_KEY_DEV_SOURCE"),"")</f>
        <v/>
      </c>
    </row>
    <row r="460" spans="2:9" x14ac:dyDescent="0.2">
      <c r="B460" s="7">
        <f t="shared" si="13"/>
        <v>453</v>
      </c>
      <c r="C460" s="7"/>
      <c r="D460" s="7" t="str">
        <f>IF(LEN($C460),_xll.ciqfunctions.udf.CIQ($C460,"IQ_KEY_DEV_HEADLINE"),"")</f>
        <v/>
      </c>
      <c r="E460" s="7" t="str">
        <f>IF(LEN($C460)&gt;0,_xll.ciqfunctions.udf.CIQ($C460,"IQ_KEY_DEV_TYPE"),"")</f>
        <v/>
      </c>
      <c r="F460" s="7" t="str">
        <f>IF(LEN($C460)&gt;0,_xll.ciqfunctions.udf.CIQ($C460,"IQ_KEY_DEV_SITUATION"),"")</f>
        <v/>
      </c>
      <c r="G460" s="19" t="str">
        <f t="shared" si="14"/>
        <v/>
      </c>
      <c r="H460" s="19" t="str">
        <f>+IF(LEN($C460)&gt;0,TEXT(IF(_xll.ciqfunctions.udf.CIQ($C460,"IQ_KEY_DEV_TIME")="NA","",_xll.ciqfunctions.udf.CIQ($C460,"IQ_KEY_DEV_TIME")),"h:mm AM/PM"),"")</f>
        <v/>
      </c>
      <c r="I460" s="7" t="str">
        <f>IF(LEN($C460)&gt;0,_xll.ciqfunctions.udf.CIQ($C460,"IQ_KEY_DEV_SOURCE"),"")</f>
        <v/>
      </c>
    </row>
    <row r="461" spans="2:9" x14ac:dyDescent="0.2">
      <c r="B461" s="7">
        <f t="shared" si="13"/>
        <v>454</v>
      </c>
      <c r="C461" s="7"/>
      <c r="D461" s="7" t="str">
        <f>IF(LEN($C461),_xll.ciqfunctions.udf.CIQ($C461,"IQ_KEY_DEV_HEADLINE"),"")</f>
        <v/>
      </c>
      <c r="E461" s="7" t="str">
        <f>IF(LEN($C461)&gt;0,_xll.ciqfunctions.udf.CIQ($C461,"IQ_KEY_DEV_TYPE"),"")</f>
        <v/>
      </c>
      <c r="F461" s="7" t="str">
        <f>IF(LEN($C461)&gt;0,_xll.ciqfunctions.udf.CIQ($C461,"IQ_KEY_DEV_SITUATION"),"")</f>
        <v/>
      </c>
      <c r="G461" s="19" t="str">
        <f t="shared" si="14"/>
        <v/>
      </c>
      <c r="H461" s="19" t="str">
        <f>+IF(LEN($C461)&gt;0,TEXT(IF(_xll.ciqfunctions.udf.CIQ($C461,"IQ_KEY_DEV_TIME")="NA","",_xll.ciqfunctions.udf.CIQ($C461,"IQ_KEY_DEV_TIME")),"h:mm AM/PM"),"")</f>
        <v/>
      </c>
      <c r="I461" s="7" t="str">
        <f>IF(LEN($C461)&gt;0,_xll.ciqfunctions.udf.CIQ($C461,"IQ_KEY_DEV_SOURCE"),"")</f>
        <v/>
      </c>
    </row>
    <row r="462" spans="2:9" x14ac:dyDescent="0.2">
      <c r="B462" s="7">
        <f t="shared" si="13"/>
        <v>455</v>
      </c>
      <c r="C462" s="7"/>
      <c r="D462" s="7" t="str">
        <f>IF(LEN($C462),_xll.ciqfunctions.udf.CIQ($C462,"IQ_KEY_DEV_HEADLINE"),"")</f>
        <v/>
      </c>
      <c r="E462" s="7" t="str">
        <f>IF(LEN($C462)&gt;0,_xll.ciqfunctions.udf.CIQ($C462,"IQ_KEY_DEV_TYPE"),"")</f>
        <v/>
      </c>
      <c r="F462" s="7" t="str">
        <f>IF(LEN($C462)&gt;0,_xll.ciqfunctions.udf.CIQ($C462,"IQ_KEY_DEV_SITUATION"),"")</f>
        <v/>
      </c>
      <c r="G462" s="19" t="str">
        <f t="shared" si="14"/>
        <v/>
      </c>
      <c r="H462" s="19" t="str">
        <f>+IF(LEN($C462)&gt;0,TEXT(IF(_xll.ciqfunctions.udf.CIQ($C462,"IQ_KEY_DEV_TIME")="NA","",_xll.ciqfunctions.udf.CIQ($C462,"IQ_KEY_DEV_TIME")),"h:mm AM/PM"),"")</f>
        <v/>
      </c>
      <c r="I462" s="7" t="str">
        <f>IF(LEN($C462)&gt;0,_xll.ciqfunctions.udf.CIQ($C462,"IQ_KEY_DEV_SOURCE"),"")</f>
        <v/>
      </c>
    </row>
    <row r="463" spans="2:9" x14ac:dyDescent="0.2">
      <c r="B463" s="7">
        <f t="shared" si="13"/>
        <v>456</v>
      </c>
      <c r="C463" s="7"/>
      <c r="D463" s="7" t="str">
        <f>IF(LEN($C463),_xll.ciqfunctions.udf.CIQ($C463,"IQ_KEY_DEV_HEADLINE"),"")</f>
        <v/>
      </c>
      <c r="E463" s="7" t="str">
        <f>IF(LEN($C463)&gt;0,_xll.ciqfunctions.udf.CIQ($C463,"IQ_KEY_DEV_TYPE"),"")</f>
        <v/>
      </c>
      <c r="F463" s="7" t="str">
        <f>IF(LEN($C463)&gt;0,_xll.ciqfunctions.udf.CIQ($C463,"IQ_KEY_DEV_SITUATION"),"")</f>
        <v/>
      </c>
      <c r="G463" s="19" t="str">
        <f t="shared" si="14"/>
        <v/>
      </c>
      <c r="H463" s="19" t="str">
        <f>+IF(LEN($C463)&gt;0,TEXT(IF(_xll.ciqfunctions.udf.CIQ($C463,"IQ_KEY_DEV_TIME")="NA","",_xll.ciqfunctions.udf.CIQ($C463,"IQ_KEY_DEV_TIME")),"h:mm AM/PM"),"")</f>
        <v/>
      </c>
      <c r="I463" s="7" t="str">
        <f>IF(LEN($C463)&gt;0,_xll.ciqfunctions.udf.CIQ($C463,"IQ_KEY_DEV_SOURCE"),"")</f>
        <v/>
      </c>
    </row>
    <row r="464" spans="2:9" x14ac:dyDescent="0.2">
      <c r="B464" s="7">
        <f t="shared" si="13"/>
        <v>457</v>
      </c>
      <c r="C464" s="7"/>
      <c r="D464" s="7" t="str">
        <f>IF(LEN($C464),_xll.ciqfunctions.udf.CIQ($C464,"IQ_KEY_DEV_HEADLINE"),"")</f>
        <v/>
      </c>
      <c r="E464" s="7" t="str">
        <f>IF(LEN($C464)&gt;0,_xll.ciqfunctions.udf.CIQ($C464,"IQ_KEY_DEV_TYPE"),"")</f>
        <v/>
      </c>
      <c r="F464" s="7" t="str">
        <f>IF(LEN($C464)&gt;0,_xll.ciqfunctions.udf.CIQ($C464,"IQ_KEY_DEV_SITUATION"),"")</f>
        <v/>
      </c>
      <c r="G464" s="19" t="str">
        <f t="shared" si="14"/>
        <v/>
      </c>
      <c r="H464" s="19" t="str">
        <f>+IF(LEN($C464)&gt;0,TEXT(IF(_xll.ciqfunctions.udf.CIQ($C464,"IQ_KEY_DEV_TIME")="NA","",_xll.ciqfunctions.udf.CIQ($C464,"IQ_KEY_DEV_TIME")),"h:mm AM/PM"),"")</f>
        <v/>
      </c>
      <c r="I464" s="7" t="str">
        <f>IF(LEN($C464)&gt;0,_xll.ciqfunctions.udf.CIQ($C464,"IQ_KEY_DEV_SOURCE"),"")</f>
        <v/>
      </c>
    </row>
    <row r="465" spans="2:9" x14ac:dyDescent="0.2">
      <c r="B465" s="7">
        <f t="shared" si="13"/>
        <v>458</v>
      </c>
      <c r="C465" s="7"/>
      <c r="D465" s="7" t="str">
        <f>IF(LEN($C465),_xll.ciqfunctions.udf.CIQ($C465,"IQ_KEY_DEV_HEADLINE"),"")</f>
        <v/>
      </c>
      <c r="E465" s="7" t="str">
        <f>IF(LEN($C465)&gt;0,_xll.ciqfunctions.udf.CIQ($C465,"IQ_KEY_DEV_TYPE"),"")</f>
        <v/>
      </c>
      <c r="F465" s="7" t="str">
        <f>IF(LEN($C465)&gt;0,_xll.ciqfunctions.udf.CIQ($C465,"IQ_KEY_DEV_SITUATION"),"")</f>
        <v/>
      </c>
      <c r="G465" s="19" t="str">
        <f t="shared" si="14"/>
        <v/>
      </c>
      <c r="H465" s="19" t="str">
        <f>+IF(LEN($C465)&gt;0,TEXT(IF(_xll.ciqfunctions.udf.CIQ($C465,"IQ_KEY_DEV_TIME")="NA","",_xll.ciqfunctions.udf.CIQ($C465,"IQ_KEY_DEV_TIME")),"h:mm AM/PM"),"")</f>
        <v/>
      </c>
      <c r="I465" s="7" t="str">
        <f>IF(LEN($C465)&gt;0,_xll.ciqfunctions.udf.CIQ($C465,"IQ_KEY_DEV_SOURCE"),"")</f>
        <v/>
      </c>
    </row>
    <row r="466" spans="2:9" x14ac:dyDescent="0.2">
      <c r="B466" s="7">
        <f t="shared" si="13"/>
        <v>459</v>
      </c>
      <c r="C466" s="7"/>
      <c r="D466" s="7" t="str">
        <f>IF(LEN($C466),_xll.ciqfunctions.udf.CIQ($C466,"IQ_KEY_DEV_HEADLINE"),"")</f>
        <v/>
      </c>
      <c r="E466" s="7" t="str">
        <f>IF(LEN($C466)&gt;0,_xll.ciqfunctions.udf.CIQ($C466,"IQ_KEY_DEV_TYPE"),"")</f>
        <v/>
      </c>
      <c r="F466" s="7" t="str">
        <f>IF(LEN($C466)&gt;0,_xll.ciqfunctions.udf.CIQ($C466,"IQ_KEY_DEV_SITUATION"),"")</f>
        <v/>
      </c>
      <c r="G466" s="19" t="str">
        <f t="shared" si="14"/>
        <v/>
      </c>
      <c r="H466" s="19" t="str">
        <f>+IF(LEN($C466)&gt;0,TEXT(IF(_xll.ciqfunctions.udf.CIQ($C466,"IQ_KEY_DEV_TIME")="NA","",_xll.ciqfunctions.udf.CIQ($C466,"IQ_KEY_DEV_TIME")),"h:mm AM/PM"),"")</f>
        <v/>
      </c>
      <c r="I466" s="7" t="str">
        <f>IF(LEN($C466)&gt;0,_xll.ciqfunctions.udf.CIQ($C466,"IQ_KEY_DEV_SOURCE"),"")</f>
        <v/>
      </c>
    </row>
    <row r="467" spans="2:9" x14ac:dyDescent="0.2">
      <c r="B467" s="7">
        <f t="shared" si="13"/>
        <v>460</v>
      </c>
      <c r="C467" s="7"/>
      <c r="D467" s="7" t="str">
        <f>IF(LEN($C467),_xll.ciqfunctions.udf.CIQ($C467,"IQ_KEY_DEV_HEADLINE"),"")</f>
        <v/>
      </c>
      <c r="E467" s="7" t="str">
        <f>IF(LEN($C467)&gt;0,_xll.ciqfunctions.udf.CIQ($C467,"IQ_KEY_DEV_TYPE"),"")</f>
        <v/>
      </c>
      <c r="F467" s="7" t="str">
        <f>IF(LEN($C467)&gt;0,_xll.ciqfunctions.udf.CIQ($C467,"IQ_KEY_DEV_SITUATION"),"")</f>
        <v/>
      </c>
      <c r="G467" s="19" t="str">
        <f t="shared" si="14"/>
        <v/>
      </c>
      <c r="H467" s="19" t="str">
        <f>+IF(LEN($C467)&gt;0,TEXT(IF(_xll.ciqfunctions.udf.CIQ($C467,"IQ_KEY_DEV_TIME")="NA","",_xll.ciqfunctions.udf.CIQ($C467,"IQ_KEY_DEV_TIME")),"h:mm AM/PM"),"")</f>
        <v/>
      </c>
      <c r="I467" s="7" t="str">
        <f>IF(LEN($C467)&gt;0,_xll.ciqfunctions.udf.CIQ($C467,"IQ_KEY_DEV_SOURCE"),"")</f>
        <v/>
      </c>
    </row>
    <row r="468" spans="2:9" x14ac:dyDescent="0.2">
      <c r="B468" s="7">
        <f t="shared" ref="B468:B507" si="15">+B467+1</f>
        <v>461</v>
      </c>
      <c r="C468" s="7"/>
      <c r="D468" s="7" t="str">
        <f>IF(LEN($C468),_xll.ciqfunctions.udf.CIQ($C468,"IQ_KEY_DEV_HEADLINE"),"")</f>
        <v/>
      </c>
      <c r="E468" s="7" t="str">
        <f>IF(LEN($C468)&gt;0,_xll.ciqfunctions.udf.CIQ($C468,"IQ_KEY_DEV_TYPE"),"")</f>
        <v/>
      </c>
      <c r="F468" s="7" t="str">
        <f>IF(LEN($C468)&gt;0,_xll.ciqfunctions.udf.CIQ($C468,"IQ_KEY_DEV_SITUATION"),"")</f>
        <v/>
      </c>
      <c r="G468" s="19" t="str">
        <f t="shared" si="14"/>
        <v/>
      </c>
      <c r="H468" s="19" t="str">
        <f>+IF(LEN($C468)&gt;0,TEXT(IF(_xll.ciqfunctions.udf.CIQ($C468,"IQ_KEY_DEV_TIME")="NA","",_xll.ciqfunctions.udf.CIQ($C468,"IQ_KEY_DEV_TIME")),"h:mm AM/PM"),"")</f>
        <v/>
      </c>
      <c r="I468" s="7" t="str">
        <f>IF(LEN($C468)&gt;0,_xll.ciqfunctions.udf.CIQ($C468,"IQ_KEY_DEV_SOURCE"),"")</f>
        <v/>
      </c>
    </row>
    <row r="469" spans="2:9" x14ac:dyDescent="0.2">
      <c r="B469" s="7">
        <f t="shared" si="15"/>
        <v>462</v>
      </c>
      <c r="C469" s="7"/>
      <c r="D469" s="7" t="str">
        <f>IF(LEN($C469),_xll.ciqfunctions.udf.CIQ($C469,"IQ_KEY_DEV_HEADLINE"),"")</f>
        <v/>
      </c>
      <c r="E469" s="7" t="str">
        <f>IF(LEN($C469)&gt;0,_xll.ciqfunctions.udf.CIQ($C469,"IQ_KEY_DEV_TYPE"),"")</f>
        <v/>
      </c>
      <c r="F469" s="7" t="str">
        <f>IF(LEN($C469)&gt;0,_xll.ciqfunctions.udf.CIQ($C469,"IQ_KEY_DEV_SITUATION"),"")</f>
        <v/>
      </c>
      <c r="G469" s="19" t="str">
        <f t="shared" si="14"/>
        <v/>
      </c>
      <c r="H469" s="19" t="str">
        <f>+IF(LEN($C469)&gt;0,TEXT(IF(_xll.ciqfunctions.udf.CIQ($C469,"IQ_KEY_DEV_TIME")="NA","",_xll.ciqfunctions.udf.CIQ($C469,"IQ_KEY_DEV_TIME")),"h:mm AM/PM"),"")</f>
        <v/>
      </c>
      <c r="I469" s="7" t="str">
        <f>IF(LEN($C469)&gt;0,_xll.ciqfunctions.udf.CIQ($C469,"IQ_KEY_DEV_SOURCE"),"")</f>
        <v/>
      </c>
    </row>
    <row r="470" spans="2:9" x14ac:dyDescent="0.2">
      <c r="B470" s="7">
        <f t="shared" si="15"/>
        <v>463</v>
      </c>
      <c r="C470" s="7"/>
      <c r="D470" s="7" t="str">
        <f>IF(LEN($C470),_xll.ciqfunctions.udf.CIQ($C470,"IQ_KEY_DEV_HEADLINE"),"")</f>
        <v/>
      </c>
      <c r="E470" s="7" t="str">
        <f>IF(LEN($C470)&gt;0,_xll.ciqfunctions.udf.CIQ($C470,"IQ_KEY_DEV_TYPE"),"")</f>
        <v/>
      </c>
      <c r="F470" s="7" t="str">
        <f>IF(LEN($C470)&gt;0,_xll.ciqfunctions.udf.CIQ($C470,"IQ_KEY_DEV_SITUATION"),"")</f>
        <v/>
      </c>
      <c r="G470" s="19" t="str">
        <f t="shared" si="14"/>
        <v/>
      </c>
      <c r="H470" s="19" t="str">
        <f>+IF(LEN($C470)&gt;0,TEXT(IF(_xll.ciqfunctions.udf.CIQ($C470,"IQ_KEY_DEV_TIME")="NA","",_xll.ciqfunctions.udf.CIQ($C470,"IQ_KEY_DEV_TIME")),"h:mm AM/PM"),"")</f>
        <v/>
      </c>
      <c r="I470" s="7" t="str">
        <f>IF(LEN($C470)&gt;0,_xll.ciqfunctions.udf.CIQ($C470,"IQ_KEY_DEV_SOURCE"),"")</f>
        <v/>
      </c>
    </row>
    <row r="471" spans="2:9" x14ac:dyDescent="0.2">
      <c r="B471" s="7">
        <f t="shared" si="15"/>
        <v>464</v>
      </c>
      <c r="C471" s="7"/>
      <c r="D471" s="7" t="str">
        <f>IF(LEN($C471),_xll.ciqfunctions.udf.CIQ($C471,"IQ_KEY_DEV_HEADLINE"),"")</f>
        <v/>
      </c>
      <c r="E471" s="7" t="str">
        <f>IF(LEN($C471)&gt;0,_xll.ciqfunctions.udf.CIQ($C471,"IQ_KEY_DEV_TYPE"),"")</f>
        <v/>
      </c>
      <c r="F471" s="7" t="str">
        <f>IF(LEN($C471)&gt;0,_xll.ciqfunctions.udf.CIQ($C471,"IQ_KEY_DEV_SITUATION"),"")</f>
        <v/>
      </c>
      <c r="G471" s="19" t="str">
        <f t="shared" si="14"/>
        <v/>
      </c>
      <c r="H471" s="19" t="str">
        <f>+IF(LEN($C471)&gt;0,TEXT(IF(_xll.ciqfunctions.udf.CIQ($C471,"IQ_KEY_DEV_TIME")="NA","",_xll.ciqfunctions.udf.CIQ($C471,"IQ_KEY_DEV_TIME")),"h:mm AM/PM"),"")</f>
        <v/>
      </c>
      <c r="I471" s="7" t="str">
        <f>IF(LEN($C471)&gt;0,_xll.ciqfunctions.udf.CIQ($C471,"IQ_KEY_DEV_SOURCE"),"")</f>
        <v/>
      </c>
    </row>
    <row r="472" spans="2:9" x14ac:dyDescent="0.2">
      <c r="B472" s="7">
        <f t="shared" si="15"/>
        <v>465</v>
      </c>
      <c r="C472" s="7"/>
      <c r="D472" s="7" t="str">
        <f>IF(LEN($C472),_xll.ciqfunctions.udf.CIQ($C472,"IQ_KEY_DEV_HEADLINE"),"")</f>
        <v/>
      </c>
      <c r="E472" s="7" t="str">
        <f>IF(LEN($C472)&gt;0,_xll.ciqfunctions.udf.CIQ($C472,"IQ_KEY_DEV_TYPE"),"")</f>
        <v/>
      </c>
      <c r="F472" s="7" t="str">
        <f>IF(LEN($C472)&gt;0,_xll.ciqfunctions.udf.CIQ($C472,"IQ_KEY_DEV_SITUATION"),"")</f>
        <v/>
      </c>
      <c r="G472" s="19" t="str">
        <f t="shared" si="14"/>
        <v/>
      </c>
      <c r="H472" s="19" t="str">
        <f>+IF(LEN($C472)&gt;0,TEXT(IF(_xll.ciqfunctions.udf.CIQ($C472,"IQ_KEY_DEV_TIME")="NA","",_xll.ciqfunctions.udf.CIQ($C472,"IQ_KEY_DEV_TIME")),"h:mm AM/PM"),"")</f>
        <v/>
      </c>
      <c r="I472" s="7" t="str">
        <f>IF(LEN($C472)&gt;0,_xll.ciqfunctions.udf.CIQ($C472,"IQ_KEY_DEV_SOURCE"),"")</f>
        <v/>
      </c>
    </row>
    <row r="473" spans="2:9" x14ac:dyDescent="0.2">
      <c r="B473" s="7">
        <f t="shared" si="15"/>
        <v>466</v>
      </c>
      <c r="C473" s="7"/>
      <c r="D473" s="7" t="str">
        <f>IF(LEN($C473),_xll.ciqfunctions.udf.CIQ($C473,"IQ_KEY_DEV_HEADLINE"),"")</f>
        <v/>
      </c>
      <c r="E473" s="7" t="str">
        <f>IF(LEN($C473)&gt;0,_xll.ciqfunctions.udf.CIQ($C473,"IQ_KEY_DEV_TYPE"),"")</f>
        <v/>
      </c>
      <c r="F473" s="7" t="str">
        <f>IF(LEN($C473)&gt;0,_xll.ciqfunctions.udf.CIQ($C473,"IQ_KEY_DEV_SITUATION"),"")</f>
        <v/>
      </c>
      <c r="G473" s="19" t="str">
        <f t="shared" si="14"/>
        <v/>
      </c>
      <c r="H473" s="19" t="str">
        <f>+IF(LEN($C473)&gt;0,TEXT(IF(_xll.ciqfunctions.udf.CIQ($C473,"IQ_KEY_DEV_TIME")="NA","",_xll.ciqfunctions.udf.CIQ($C473,"IQ_KEY_DEV_TIME")),"h:mm AM/PM"),"")</f>
        <v/>
      </c>
      <c r="I473" s="7" t="str">
        <f>IF(LEN($C473)&gt;0,_xll.ciqfunctions.udf.CIQ($C473,"IQ_KEY_DEV_SOURCE"),"")</f>
        <v/>
      </c>
    </row>
    <row r="474" spans="2:9" x14ac:dyDescent="0.2">
      <c r="B474" s="7">
        <f t="shared" si="15"/>
        <v>467</v>
      </c>
      <c r="C474" s="7"/>
      <c r="D474" s="7" t="str">
        <f>IF(LEN($C474),_xll.ciqfunctions.udf.CIQ($C474,"IQ_KEY_DEV_HEADLINE"),"")</f>
        <v/>
      </c>
      <c r="E474" s="7" t="str">
        <f>IF(LEN($C474)&gt;0,_xll.ciqfunctions.udf.CIQ($C474,"IQ_KEY_DEV_TYPE"),"")</f>
        <v/>
      </c>
      <c r="F474" s="7" t="str">
        <f>IF(LEN($C474)&gt;0,_xll.ciqfunctions.udf.CIQ($C474,"IQ_KEY_DEV_SITUATION"),"")</f>
        <v/>
      </c>
      <c r="G474" s="19" t="str">
        <f t="shared" si="14"/>
        <v/>
      </c>
      <c r="H474" s="19" t="str">
        <f>+IF(LEN($C474)&gt;0,TEXT(IF(_xll.ciqfunctions.udf.CIQ($C474,"IQ_KEY_DEV_TIME")="NA","",_xll.ciqfunctions.udf.CIQ($C474,"IQ_KEY_DEV_TIME")),"h:mm AM/PM"),"")</f>
        <v/>
      </c>
      <c r="I474" s="7" t="str">
        <f>IF(LEN($C474)&gt;0,_xll.ciqfunctions.udf.CIQ($C474,"IQ_KEY_DEV_SOURCE"),"")</f>
        <v/>
      </c>
    </row>
    <row r="475" spans="2:9" x14ac:dyDescent="0.2">
      <c r="B475" s="7">
        <f t="shared" si="15"/>
        <v>468</v>
      </c>
      <c r="C475" s="7"/>
      <c r="D475" s="7" t="str">
        <f>IF(LEN($C475),_xll.ciqfunctions.udf.CIQ($C475,"IQ_KEY_DEV_HEADLINE"),"")</f>
        <v/>
      </c>
      <c r="E475" s="7" t="str">
        <f>IF(LEN($C475)&gt;0,_xll.ciqfunctions.udf.CIQ($C475,"IQ_KEY_DEV_TYPE"),"")</f>
        <v/>
      </c>
      <c r="F475" s="7" t="str">
        <f>IF(LEN($C475)&gt;0,_xll.ciqfunctions.udf.CIQ($C475,"IQ_KEY_DEV_SITUATION"),"")</f>
        <v/>
      </c>
      <c r="G475" s="19" t="str">
        <f t="shared" si="14"/>
        <v/>
      </c>
      <c r="H475" s="19" t="str">
        <f>+IF(LEN($C475)&gt;0,TEXT(IF(_xll.ciqfunctions.udf.CIQ($C475,"IQ_KEY_DEV_TIME")="NA","",_xll.ciqfunctions.udf.CIQ($C475,"IQ_KEY_DEV_TIME")),"h:mm AM/PM"),"")</f>
        <v/>
      </c>
      <c r="I475" s="7" t="str">
        <f>IF(LEN($C475)&gt;0,_xll.ciqfunctions.udf.CIQ($C475,"IQ_KEY_DEV_SOURCE"),"")</f>
        <v/>
      </c>
    </row>
    <row r="476" spans="2:9" x14ac:dyDescent="0.2">
      <c r="B476" s="7">
        <f t="shared" si="15"/>
        <v>469</v>
      </c>
      <c r="C476" s="7"/>
      <c r="D476" s="7" t="str">
        <f>IF(LEN($C476),_xll.ciqfunctions.udf.CIQ($C476,"IQ_KEY_DEV_HEADLINE"),"")</f>
        <v/>
      </c>
      <c r="E476" s="7" t="str">
        <f>IF(LEN($C476)&gt;0,_xll.ciqfunctions.udf.CIQ($C476,"IQ_KEY_DEV_TYPE"),"")</f>
        <v/>
      </c>
      <c r="F476" s="7" t="str">
        <f>IF(LEN($C476)&gt;0,_xll.ciqfunctions.udf.CIQ($C476,"IQ_KEY_DEV_SITUATION"),"")</f>
        <v/>
      </c>
      <c r="G476" s="19" t="str">
        <f t="shared" si="14"/>
        <v/>
      </c>
      <c r="H476" s="19" t="str">
        <f>+IF(LEN($C476)&gt;0,TEXT(IF(_xll.ciqfunctions.udf.CIQ($C476,"IQ_KEY_DEV_TIME")="NA","",_xll.ciqfunctions.udf.CIQ($C476,"IQ_KEY_DEV_TIME")),"h:mm AM/PM"),"")</f>
        <v/>
      </c>
      <c r="I476" s="7" t="str">
        <f>IF(LEN($C476)&gt;0,_xll.ciqfunctions.udf.CIQ($C476,"IQ_KEY_DEV_SOURCE"),"")</f>
        <v/>
      </c>
    </row>
    <row r="477" spans="2:9" x14ac:dyDescent="0.2">
      <c r="B477" s="7">
        <f t="shared" si="15"/>
        <v>470</v>
      </c>
      <c r="C477" s="7"/>
      <c r="D477" s="7" t="str">
        <f>IF(LEN($C477),_xll.ciqfunctions.udf.CIQ($C477,"IQ_KEY_DEV_HEADLINE"),"")</f>
        <v/>
      </c>
      <c r="E477" s="7" t="str">
        <f>IF(LEN($C477)&gt;0,_xll.ciqfunctions.udf.CIQ($C477,"IQ_KEY_DEV_TYPE"),"")</f>
        <v/>
      </c>
      <c r="F477" s="7" t="str">
        <f>IF(LEN($C477)&gt;0,_xll.ciqfunctions.udf.CIQ($C477,"IQ_KEY_DEV_SITUATION"),"")</f>
        <v/>
      </c>
      <c r="G477" s="19" t="str">
        <f t="shared" si="14"/>
        <v/>
      </c>
      <c r="H477" s="19" t="str">
        <f>+IF(LEN($C477)&gt;0,TEXT(IF(_xll.ciqfunctions.udf.CIQ($C477,"IQ_KEY_DEV_TIME")="NA","",_xll.ciqfunctions.udf.CIQ($C477,"IQ_KEY_DEV_TIME")),"h:mm AM/PM"),"")</f>
        <v/>
      </c>
      <c r="I477" s="7" t="str">
        <f>IF(LEN($C477)&gt;0,_xll.ciqfunctions.udf.CIQ($C477,"IQ_KEY_DEV_SOURCE"),"")</f>
        <v/>
      </c>
    </row>
    <row r="478" spans="2:9" x14ac:dyDescent="0.2">
      <c r="B478" s="7">
        <f t="shared" si="15"/>
        <v>471</v>
      </c>
      <c r="C478" s="7"/>
      <c r="D478" s="7" t="str">
        <f>IF(LEN($C478),_xll.ciqfunctions.udf.CIQ($C478,"IQ_KEY_DEV_HEADLINE"),"")</f>
        <v/>
      </c>
      <c r="E478" s="7" t="str">
        <f>IF(LEN($C478)&gt;0,_xll.ciqfunctions.udf.CIQ($C478,"IQ_KEY_DEV_TYPE"),"")</f>
        <v/>
      </c>
      <c r="F478" s="7" t="str">
        <f>IF(LEN($C478)&gt;0,_xll.ciqfunctions.udf.CIQ($C478,"IQ_KEY_DEV_SITUATION"),"")</f>
        <v/>
      </c>
      <c r="G478" s="19" t="str">
        <f t="shared" si="14"/>
        <v/>
      </c>
      <c r="H478" s="19" t="str">
        <f>+IF(LEN($C478)&gt;0,TEXT(IF(_xll.ciqfunctions.udf.CIQ($C478,"IQ_KEY_DEV_TIME")="NA","",_xll.ciqfunctions.udf.CIQ($C478,"IQ_KEY_DEV_TIME")),"h:mm AM/PM"),"")</f>
        <v/>
      </c>
      <c r="I478" s="7" t="str">
        <f>IF(LEN($C478)&gt;0,_xll.ciqfunctions.udf.CIQ($C478,"IQ_KEY_DEV_SOURCE"),"")</f>
        <v/>
      </c>
    </row>
    <row r="479" spans="2:9" x14ac:dyDescent="0.2">
      <c r="B479" s="7">
        <f t="shared" si="15"/>
        <v>472</v>
      </c>
      <c r="C479" s="7"/>
      <c r="D479" s="7" t="str">
        <f>IF(LEN($C479),_xll.ciqfunctions.udf.CIQ($C479,"IQ_KEY_DEV_HEADLINE"),"")</f>
        <v/>
      </c>
      <c r="E479" s="7" t="str">
        <f>IF(LEN($C479)&gt;0,_xll.ciqfunctions.udf.CIQ($C479,"IQ_KEY_DEV_TYPE"),"")</f>
        <v/>
      </c>
      <c r="F479" s="7" t="str">
        <f>IF(LEN($C479)&gt;0,_xll.ciqfunctions.udf.CIQ($C479,"IQ_KEY_DEV_SITUATION"),"")</f>
        <v/>
      </c>
      <c r="G479" s="19" t="str">
        <f t="shared" si="14"/>
        <v/>
      </c>
      <c r="H479" s="19" t="str">
        <f>+IF(LEN($C479)&gt;0,TEXT(IF(_xll.ciqfunctions.udf.CIQ($C479,"IQ_KEY_DEV_TIME")="NA","",_xll.ciqfunctions.udf.CIQ($C479,"IQ_KEY_DEV_TIME")),"h:mm AM/PM"),"")</f>
        <v/>
      </c>
      <c r="I479" s="7" t="str">
        <f>IF(LEN($C479)&gt;0,_xll.ciqfunctions.udf.CIQ($C479,"IQ_KEY_DEV_SOURCE"),"")</f>
        <v/>
      </c>
    </row>
    <row r="480" spans="2:9" x14ac:dyDescent="0.2">
      <c r="B480" s="7">
        <f t="shared" si="15"/>
        <v>473</v>
      </c>
      <c r="C480" s="7"/>
      <c r="D480" s="7" t="str">
        <f>IF(LEN($C480),_xll.ciqfunctions.udf.CIQ($C480,"IQ_KEY_DEV_HEADLINE"),"")</f>
        <v/>
      </c>
      <c r="E480" s="7" t="str">
        <f>IF(LEN($C480)&gt;0,_xll.ciqfunctions.udf.CIQ($C480,"IQ_KEY_DEV_TYPE"),"")</f>
        <v/>
      </c>
      <c r="F480" s="7" t="str">
        <f>IF(LEN($C480)&gt;0,_xll.ciqfunctions.udf.CIQ($C480,"IQ_KEY_DEV_SITUATION"),"")</f>
        <v/>
      </c>
      <c r="G480" s="19" t="str">
        <f t="shared" si="14"/>
        <v/>
      </c>
      <c r="H480" s="19" t="str">
        <f>+IF(LEN($C480)&gt;0,TEXT(IF(_xll.ciqfunctions.udf.CIQ($C480,"IQ_KEY_DEV_TIME")="NA","",_xll.ciqfunctions.udf.CIQ($C480,"IQ_KEY_DEV_TIME")),"h:mm AM/PM"),"")</f>
        <v/>
      </c>
      <c r="I480" s="7" t="str">
        <f>IF(LEN($C480)&gt;0,_xll.ciqfunctions.udf.CIQ($C480,"IQ_KEY_DEV_SOURCE"),"")</f>
        <v/>
      </c>
    </row>
    <row r="481" spans="2:9" x14ac:dyDescent="0.2">
      <c r="B481" s="7">
        <f t="shared" si="15"/>
        <v>474</v>
      </c>
      <c r="C481" s="7"/>
      <c r="D481" s="7" t="str">
        <f>IF(LEN($C481),_xll.ciqfunctions.udf.CIQ($C481,"IQ_KEY_DEV_HEADLINE"),"")</f>
        <v/>
      </c>
      <c r="E481" s="7" t="str">
        <f>IF(LEN($C481)&gt;0,_xll.ciqfunctions.udf.CIQ($C481,"IQ_KEY_DEV_TYPE"),"")</f>
        <v/>
      </c>
      <c r="F481" s="7" t="str">
        <f>IF(LEN($C481)&gt;0,_xll.ciqfunctions.udf.CIQ($C481,"IQ_KEY_DEV_SITUATION"),"")</f>
        <v/>
      </c>
      <c r="G481" s="19" t="str">
        <f t="shared" si="14"/>
        <v/>
      </c>
      <c r="H481" s="19" t="str">
        <f>+IF(LEN($C481)&gt;0,TEXT(IF(_xll.ciqfunctions.udf.CIQ($C481,"IQ_KEY_DEV_TIME")="NA","",_xll.ciqfunctions.udf.CIQ($C481,"IQ_KEY_DEV_TIME")),"h:mm AM/PM"),"")</f>
        <v/>
      </c>
      <c r="I481" s="7" t="str">
        <f>IF(LEN($C481)&gt;0,_xll.ciqfunctions.udf.CIQ($C481,"IQ_KEY_DEV_SOURCE"),"")</f>
        <v/>
      </c>
    </row>
    <row r="482" spans="2:9" x14ac:dyDescent="0.2">
      <c r="B482" s="7">
        <f t="shared" si="15"/>
        <v>475</v>
      </c>
      <c r="C482" s="7"/>
      <c r="D482" s="7" t="str">
        <f>IF(LEN($C482),_xll.ciqfunctions.udf.CIQ($C482,"IQ_KEY_DEV_HEADLINE"),"")</f>
        <v/>
      </c>
      <c r="E482" s="7" t="str">
        <f>IF(LEN($C482)&gt;0,_xll.ciqfunctions.udf.CIQ($C482,"IQ_KEY_DEV_TYPE"),"")</f>
        <v/>
      </c>
      <c r="F482" s="7" t="str">
        <f>IF(LEN($C482)&gt;0,_xll.ciqfunctions.udf.CIQ($C482,"IQ_KEY_DEV_SITUATION"),"")</f>
        <v/>
      </c>
      <c r="G482" s="19" t="str">
        <f t="shared" si="14"/>
        <v/>
      </c>
      <c r="H482" s="19" t="str">
        <f>+IF(LEN($C482)&gt;0,TEXT(IF(_xll.ciqfunctions.udf.CIQ($C482,"IQ_KEY_DEV_TIME")="NA","",_xll.ciqfunctions.udf.CIQ($C482,"IQ_KEY_DEV_TIME")),"h:mm AM/PM"),"")</f>
        <v/>
      </c>
      <c r="I482" s="7" t="str">
        <f>IF(LEN($C482)&gt;0,_xll.ciqfunctions.udf.CIQ($C482,"IQ_KEY_DEV_SOURCE"),"")</f>
        <v/>
      </c>
    </row>
    <row r="483" spans="2:9" x14ac:dyDescent="0.2">
      <c r="B483" s="7">
        <f t="shared" si="15"/>
        <v>476</v>
      </c>
      <c r="C483" s="7"/>
      <c r="D483" s="7" t="str">
        <f>IF(LEN($C483),_xll.ciqfunctions.udf.CIQ($C483,"IQ_KEY_DEV_HEADLINE"),"")</f>
        <v/>
      </c>
      <c r="E483" s="7" t="str">
        <f>IF(LEN($C483)&gt;0,_xll.ciqfunctions.udf.CIQ($C483,"IQ_KEY_DEV_TYPE"),"")</f>
        <v/>
      </c>
      <c r="F483" s="7" t="str">
        <f>IF(LEN($C483)&gt;0,_xll.ciqfunctions.udf.CIQ($C483,"IQ_KEY_DEV_SITUATION"),"")</f>
        <v/>
      </c>
      <c r="G483" s="19" t="str">
        <f t="shared" si="14"/>
        <v/>
      </c>
      <c r="H483" s="19" t="str">
        <f>+IF(LEN($C483)&gt;0,TEXT(IF(_xll.ciqfunctions.udf.CIQ($C483,"IQ_KEY_DEV_TIME")="NA","",_xll.ciqfunctions.udf.CIQ($C483,"IQ_KEY_DEV_TIME")),"h:mm AM/PM"),"")</f>
        <v/>
      </c>
      <c r="I483" s="7" t="str">
        <f>IF(LEN($C483)&gt;0,_xll.ciqfunctions.udf.CIQ($C483,"IQ_KEY_DEV_SOURCE"),"")</f>
        <v/>
      </c>
    </row>
    <row r="484" spans="2:9" x14ac:dyDescent="0.2">
      <c r="B484" s="7">
        <f t="shared" si="15"/>
        <v>477</v>
      </c>
      <c r="C484" s="7"/>
      <c r="D484" s="7" t="str">
        <f>IF(LEN($C484),_xll.ciqfunctions.udf.CIQ($C484,"IQ_KEY_DEV_HEADLINE"),"")</f>
        <v/>
      </c>
      <c r="E484" s="7" t="str">
        <f>IF(LEN($C484)&gt;0,_xll.ciqfunctions.udf.CIQ($C484,"IQ_KEY_DEV_TYPE"),"")</f>
        <v/>
      </c>
      <c r="F484" s="7" t="str">
        <f>IF(LEN($C484)&gt;0,_xll.ciqfunctions.udf.CIQ($C484,"IQ_KEY_DEV_SITUATION"),"")</f>
        <v/>
      </c>
      <c r="G484" s="19" t="str">
        <f t="shared" si="14"/>
        <v/>
      </c>
      <c r="H484" s="19" t="str">
        <f>+IF(LEN($C484)&gt;0,TEXT(IF(_xll.ciqfunctions.udf.CIQ($C484,"IQ_KEY_DEV_TIME")="NA","",_xll.ciqfunctions.udf.CIQ($C484,"IQ_KEY_DEV_TIME")),"h:mm AM/PM"),"")</f>
        <v/>
      </c>
      <c r="I484" s="7" t="str">
        <f>IF(LEN($C484)&gt;0,_xll.ciqfunctions.udf.CIQ($C484,"IQ_KEY_DEV_SOURCE"),"")</f>
        <v/>
      </c>
    </row>
    <row r="485" spans="2:9" x14ac:dyDescent="0.2">
      <c r="B485" s="7">
        <f t="shared" si="15"/>
        <v>478</v>
      </c>
      <c r="C485" s="7"/>
      <c r="D485" s="7" t="str">
        <f>IF(LEN($C485),_xll.ciqfunctions.udf.CIQ($C485,"IQ_KEY_DEV_HEADLINE"),"")</f>
        <v/>
      </c>
      <c r="E485" s="7" t="str">
        <f>IF(LEN($C485)&gt;0,_xll.ciqfunctions.udf.CIQ($C485,"IQ_KEY_DEV_TYPE"),"")</f>
        <v/>
      </c>
      <c r="F485" s="7" t="str">
        <f>IF(LEN($C485)&gt;0,_xll.ciqfunctions.udf.CIQ($C485,"IQ_KEY_DEV_SITUATION"),"")</f>
        <v/>
      </c>
      <c r="G485" s="19" t="str">
        <f t="shared" si="14"/>
        <v/>
      </c>
      <c r="H485" s="19" t="str">
        <f>+IF(LEN($C485)&gt;0,TEXT(IF(_xll.ciqfunctions.udf.CIQ($C485,"IQ_KEY_DEV_TIME")="NA","",_xll.ciqfunctions.udf.CIQ($C485,"IQ_KEY_DEV_TIME")),"h:mm AM/PM"),"")</f>
        <v/>
      </c>
      <c r="I485" s="7" t="str">
        <f>IF(LEN($C485)&gt;0,_xll.ciqfunctions.udf.CIQ($C485,"IQ_KEY_DEV_SOURCE"),"")</f>
        <v/>
      </c>
    </row>
    <row r="486" spans="2:9" x14ac:dyDescent="0.2">
      <c r="B486" s="7">
        <f t="shared" si="15"/>
        <v>479</v>
      </c>
      <c r="C486" s="7"/>
      <c r="D486" s="7" t="str">
        <f>IF(LEN($C486),_xll.ciqfunctions.udf.CIQ($C486,"IQ_KEY_DEV_HEADLINE"),"")</f>
        <v/>
      </c>
      <c r="E486" s="7" t="str">
        <f>IF(LEN($C486)&gt;0,_xll.ciqfunctions.udf.CIQ($C486,"IQ_KEY_DEV_TYPE"),"")</f>
        <v/>
      </c>
      <c r="F486" s="7" t="str">
        <f>IF(LEN($C486)&gt;0,_xll.ciqfunctions.udf.CIQ($C486,"IQ_KEY_DEV_SITUATION"),"")</f>
        <v/>
      </c>
      <c r="G486" s="19" t="str">
        <f t="shared" si="14"/>
        <v/>
      </c>
      <c r="H486" s="19" t="str">
        <f>+IF(LEN($C486)&gt;0,TEXT(IF(_xll.ciqfunctions.udf.CIQ($C486,"IQ_KEY_DEV_TIME")="NA","",_xll.ciqfunctions.udf.CIQ($C486,"IQ_KEY_DEV_TIME")),"h:mm AM/PM"),"")</f>
        <v/>
      </c>
      <c r="I486" s="7" t="str">
        <f>IF(LEN($C486)&gt;0,_xll.ciqfunctions.udf.CIQ($C486,"IQ_KEY_DEV_SOURCE"),"")</f>
        <v/>
      </c>
    </row>
    <row r="487" spans="2:9" x14ac:dyDescent="0.2">
      <c r="B487" s="7">
        <f t="shared" si="15"/>
        <v>480</v>
      </c>
      <c r="C487" s="7"/>
      <c r="D487" s="7" t="str">
        <f>IF(LEN($C487),_xll.ciqfunctions.udf.CIQ($C487,"IQ_KEY_DEV_HEADLINE"),"")</f>
        <v/>
      </c>
      <c r="E487" s="7" t="str">
        <f>IF(LEN($C487)&gt;0,_xll.ciqfunctions.udf.CIQ($C487,"IQ_KEY_DEV_TYPE"),"")</f>
        <v/>
      </c>
      <c r="F487" s="7" t="str">
        <f>IF(LEN($C487)&gt;0,_xll.ciqfunctions.udf.CIQ($C487,"IQ_KEY_DEV_SITUATION"),"")</f>
        <v/>
      </c>
      <c r="G487" s="19" t="str">
        <f t="shared" si="14"/>
        <v/>
      </c>
      <c r="H487" s="19" t="str">
        <f>+IF(LEN($C487)&gt;0,TEXT(IF(_xll.ciqfunctions.udf.CIQ($C487,"IQ_KEY_DEV_TIME")="NA","",_xll.ciqfunctions.udf.CIQ($C487,"IQ_KEY_DEV_TIME")),"h:mm AM/PM"),"")</f>
        <v/>
      </c>
      <c r="I487" s="7" t="str">
        <f>IF(LEN($C487)&gt;0,_xll.ciqfunctions.udf.CIQ($C487,"IQ_KEY_DEV_SOURCE"),"")</f>
        <v/>
      </c>
    </row>
    <row r="488" spans="2:9" x14ac:dyDescent="0.2">
      <c r="B488" s="7">
        <f t="shared" si="15"/>
        <v>481</v>
      </c>
      <c r="C488" s="7"/>
      <c r="D488" s="7" t="str">
        <f>IF(LEN($C488),_xll.ciqfunctions.udf.CIQ($C488,"IQ_KEY_DEV_HEADLINE"),"")</f>
        <v/>
      </c>
      <c r="E488" s="7" t="str">
        <f>IF(LEN($C488)&gt;0,_xll.ciqfunctions.udf.CIQ($C488,"IQ_KEY_DEV_TYPE"),"")</f>
        <v/>
      </c>
      <c r="F488" s="7" t="str">
        <f>IF(LEN($C488)&gt;0,_xll.ciqfunctions.udf.CIQ($C488,"IQ_KEY_DEV_SITUATION"),"")</f>
        <v/>
      </c>
      <c r="G488" s="19" t="str">
        <f t="shared" si="14"/>
        <v/>
      </c>
      <c r="H488" s="19" t="str">
        <f>+IF(LEN($C488)&gt;0,TEXT(IF(_xll.ciqfunctions.udf.CIQ($C488,"IQ_KEY_DEV_TIME")="NA","",_xll.ciqfunctions.udf.CIQ($C488,"IQ_KEY_DEV_TIME")),"h:mm AM/PM"),"")</f>
        <v/>
      </c>
      <c r="I488" s="7" t="str">
        <f>IF(LEN($C488)&gt;0,_xll.ciqfunctions.udf.CIQ($C488,"IQ_KEY_DEV_SOURCE"),"")</f>
        <v/>
      </c>
    </row>
    <row r="489" spans="2:9" x14ac:dyDescent="0.2">
      <c r="B489" s="7">
        <f t="shared" si="15"/>
        <v>482</v>
      </c>
      <c r="C489" s="7"/>
      <c r="D489" s="7" t="str">
        <f>IF(LEN($C489),_xll.ciqfunctions.udf.CIQ($C489,"IQ_KEY_DEV_HEADLINE"),"")</f>
        <v/>
      </c>
      <c r="E489" s="7" t="str">
        <f>IF(LEN($C489)&gt;0,_xll.ciqfunctions.udf.CIQ($C489,"IQ_KEY_DEV_TYPE"),"")</f>
        <v/>
      </c>
      <c r="F489" s="7" t="str">
        <f>IF(LEN($C489)&gt;0,_xll.ciqfunctions.udf.CIQ($C489,"IQ_KEY_DEV_SITUATION"),"")</f>
        <v/>
      </c>
      <c r="G489" s="19" t="str">
        <f t="shared" si="14"/>
        <v/>
      </c>
      <c r="H489" s="19" t="str">
        <f>+IF(LEN($C489)&gt;0,TEXT(IF(_xll.ciqfunctions.udf.CIQ($C489,"IQ_KEY_DEV_TIME")="NA","",_xll.ciqfunctions.udf.CIQ($C489,"IQ_KEY_DEV_TIME")),"h:mm AM/PM"),"")</f>
        <v/>
      </c>
      <c r="I489" s="7" t="str">
        <f>IF(LEN($C489)&gt;0,_xll.ciqfunctions.udf.CIQ($C489,"IQ_KEY_DEV_SOURCE"),"")</f>
        <v/>
      </c>
    </row>
    <row r="490" spans="2:9" x14ac:dyDescent="0.2">
      <c r="B490" s="7">
        <f t="shared" si="15"/>
        <v>483</v>
      </c>
      <c r="C490" s="7"/>
      <c r="D490" s="7" t="str">
        <f>IF(LEN($C490),_xll.ciqfunctions.udf.CIQ($C490,"IQ_KEY_DEV_HEADLINE"),"")</f>
        <v/>
      </c>
      <c r="E490" s="7" t="str">
        <f>IF(LEN($C490)&gt;0,_xll.ciqfunctions.udf.CIQ($C490,"IQ_KEY_DEV_TYPE"),"")</f>
        <v/>
      </c>
      <c r="F490" s="7" t="str">
        <f>IF(LEN($C490)&gt;0,_xll.ciqfunctions.udf.CIQ($C490,"IQ_KEY_DEV_SITUATION"),"")</f>
        <v/>
      </c>
      <c r="G490" s="19" t="str">
        <f t="shared" si="14"/>
        <v/>
      </c>
      <c r="H490" s="19" t="str">
        <f>+IF(LEN($C490)&gt;0,TEXT(IF(_xll.ciqfunctions.udf.CIQ($C490,"IQ_KEY_DEV_TIME")="NA","",_xll.ciqfunctions.udf.CIQ($C490,"IQ_KEY_DEV_TIME")),"h:mm AM/PM"),"")</f>
        <v/>
      </c>
      <c r="I490" s="7" t="str">
        <f>IF(LEN($C490)&gt;0,_xll.ciqfunctions.udf.CIQ($C490,"IQ_KEY_DEV_SOURCE"),"")</f>
        <v/>
      </c>
    </row>
    <row r="491" spans="2:9" x14ac:dyDescent="0.2">
      <c r="B491" s="7">
        <f t="shared" si="15"/>
        <v>484</v>
      </c>
      <c r="C491" s="7"/>
      <c r="D491" s="7" t="str">
        <f>IF(LEN($C491),_xll.ciqfunctions.udf.CIQ($C491,"IQ_KEY_DEV_HEADLINE"),"")</f>
        <v/>
      </c>
      <c r="E491" s="7" t="str">
        <f>IF(LEN($C491)&gt;0,_xll.ciqfunctions.udf.CIQ($C491,"IQ_KEY_DEV_TYPE"),"")</f>
        <v/>
      </c>
      <c r="F491" s="7" t="str">
        <f>IF(LEN($C491)&gt;0,_xll.ciqfunctions.udf.CIQ($C491,"IQ_KEY_DEV_SITUATION"),"")</f>
        <v/>
      </c>
      <c r="G491" s="19" t="str">
        <f t="shared" si="14"/>
        <v/>
      </c>
      <c r="H491" s="19" t="str">
        <f>+IF(LEN($C491)&gt;0,TEXT(IF(_xll.ciqfunctions.udf.CIQ($C491,"IQ_KEY_DEV_TIME")="NA","",_xll.ciqfunctions.udf.CIQ($C491,"IQ_KEY_DEV_TIME")),"h:mm AM/PM"),"")</f>
        <v/>
      </c>
      <c r="I491" s="7" t="str">
        <f>IF(LEN($C491)&gt;0,_xll.ciqfunctions.udf.CIQ($C491,"IQ_KEY_DEV_SOURCE"),"")</f>
        <v/>
      </c>
    </row>
    <row r="492" spans="2:9" x14ac:dyDescent="0.2">
      <c r="B492" s="7">
        <f t="shared" si="15"/>
        <v>485</v>
      </c>
      <c r="C492" s="7"/>
      <c r="D492" s="7"/>
      <c r="E492" s="7" t="str">
        <f>IF(LEN($C492),_xll.ciqfunctions.udf.CIQ($C492,"IQ_KEY_DEV_HEADLINE"),"")</f>
        <v/>
      </c>
      <c r="F492" s="7" t="str">
        <f>IF(LEN($C492)&gt;0,_xll.ciqfunctions.udf.CIQ($C492,"IQ_KEY_DEV_TYPE"),"")</f>
        <v/>
      </c>
      <c r="G492" s="7" t="str">
        <f t="shared" si="14"/>
        <v/>
      </c>
      <c r="H492" s="7"/>
      <c r="I492" s="19" t="str">
        <f>+IF(LEN($C492)&gt;0,TEXT(_xll.ciqfunctions.udf.CIQ($C492,"IQ_KEY_DEV_DATE"),"mmm-dd-yyyy"),"")</f>
        <v/>
      </c>
    </row>
    <row r="493" spans="2:9" x14ac:dyDescent="0.2">
      <c r="B493" s="7">
        <f t="shared" si="15"/>
        <v>486</v>
      </c>
      <c r="C493" s="7"/>
      <c r="D493" s="7"/>
      <c r="E493" s="7" t="str">
        <f>IF(LEN($C493),_xll.ciqfunctions.udf.CIQ($C493,"IQ_KEY_DEV_HEADLINE"),"")</f>
        <v/>
      </c>
      <c r="F493" s="7" t="str">
        <f>IF(LEN($C493)&gt;0,_xll.ciqfunctions.udf.CIQ($C493,"IQ_KEY_DEV_TYPE"),"")</f>
        <v/>
      </c>
      <c r="G493" s="7" t="str">
        <f t="shared" si="14"/>
        <v/>
      </c>
      <c r="H493" s="7"/>
      <c r="I493" s="19" t="str">
        <f>+IF(LEN($C493)&gt;0,TEXT(_xll.ciqfunctions.udf.CIQ($C493,"IQ_KEY_DEV_DATE"),"mmm-dd-yyyy"),"")</f>
        <v/>
      </c>
    </row>
    <row r="494" spans="2:9" x14ac:dyDescent="0.2">
      <c r="B494" s="7">
        <f t="shared" si="15"/>
        <v>487</v>
      </c>
      <c r="C494" s="7"/>
      <c r="D494" s="7"/>
      <c r="E494" s="7" t="str">
        <f>IF(LEN($C494),_xll.ciqfunctions.udf.CIQ($C494,"IQ_KEY_DEV_HEADLINE"),"")</f>
        <v/>
      </c>
      <c r="F494" s="7" t="str">
        <f>IF(LEN($C494)&gt;0,_xll.ciqfunctions.udf.CIQ($C494,"IQ_KEY_DEV_TYPE"),"")</f>
        <v/>
      </c>
      <c r="G494" s="7" t="str">
        <f t="shared" si="14"/>
        <v/>
      </c>
      <c r="H494" s="7"/>
      <c r="I494" s="19" t="str">
        <f>+IF(LEN($C494)&gt;0,TEXT(_xll.ciqfunctions.udf.CIQ($C494,"IQ_KEY_DEV_DATE"),"mmm-dd-yyyy"),"")</f>
        <v/>
      </c>
    </row>
    <row r="495" spans="2:9" x14ac:dyDescent="0.2">
      <c r="B495" s="7">
        <f t="shared" si="15"/>
        <v>488</v>
      </c>
      <c r="C495" s="7"/>
      <c r="D495" s="7"/>
      <c r="E495" s="7" t="str">
        <f>IF(LEN($C495),_xll.ciqfunctions.udf.CIQ($C495,"IQ_KEY_DEV_HEADLINE"),"")</f>
        <v/>
      </c>
      <c r="F495" s="7" t="str">
        <f>IF(LEN($C495)&gt;0,_xll.ciqfunctions.udf.CIQ($C495,"IQ_KEY_DEV_TYPE"),"")</f>
        <v/>
      </c>
      <c r="G495" s="7" t="str">
        <f t="shared" si="14"/>
        <v/>
      </c>
      <c r="H495" s="7"/>
      <c r="I495" s="19" t="str">
        <f>+IF(LEN($C495)&gt;0,TEXT(_xll.ciqfunctions.udf.CIQ($C495,"IQ_KEY_DEV_DATE"),"mmm-dd-yyyy"),"")</f>
        <v/>
      </c>
    </row>
    <row r="496" spans="2:9" x14ac:dyDescent="0.2">
      <c r="B496" s="7">
        <f t="shared" si="15"/>
        <v>489</v>
      </c>
      <c r="C496" s="7"/>
      <c r="D496" s="7"/>
      <c r="E496" s="7" t="str">
        <f>IF(LEN($C496),_xll.ciqfunctions.udf.CIQ($C496,"IQ_KEY_DEV_HEADLINE"),"")</f>
        <v/>
      </c>
      <c r="F496" s="7" t="str">
        <f>IF(LEN($C496)&gt;0,_xll.ciqfunctions.udf.CIQ($C496,"IQ_KEY_DEV_TYPE"),"")</f>
        <v/>
      </c>
      <c r="G496" s="7" t="str">
        <f t="shared" si="14"/>
        <v/>
      </c>
      <c r="H496" s="7"/>
      <c r="I496" s="19" t="str">
        <f>+IF(LEN($C496)&gt;0,TEXT(_xll.ciqfunctions.udf.CIQ($C496,"IQ_KEY_DEV_DATE"),"mmm-dd-yyyy"),"")</f>
        <v/>
      </c>
    </row>
    <row r="497" spans="2:9" x14ac:dyDescent="0.2">
      <c r="B497" s="7">
        <f t="shared" si="15"/>
        <v>490</v>
      </c>
      <c r="C497" s="7"/>
      <c r="D497" s="7"/>
      <c r="E497" s="7" t="str">
        <f>IF(LEN($C497),_xll.ciqfunctions.udf.CIQ($C497,"IQ_KEY_DEV_HEADLINE"),"")</f>
        <v/>
      </c>
      <c r="F497" s="7" t="str">
        <f>IF(LEN($C497)&gt;0,_xll.ciqfunctions.udf.CIQ($C497,"IQ_KEY_DEV_TYPE"),"")</f>
        <v/>
      </c>
      <c r="G497" s="7" t="str">
        <f t="shared" si="14"/>
        <v/>
      </c>
      <c r="H497" s="7"/>
      <c r="I497" s="19" t="str">
        <f>+IF(LEN($C497)&gt;0,TEXT(_xll.ciqfunctions.udf.CIQ($C497,"IQ_KEY_DEV_DATE"),"mmm-dd-yyyy"),"")</f>
        <v/>
      </c>
    </row>
    <row r="498" spans="2:9" x14ac:dyDescent="0.2">
      <c r="B498" s="7">
        <f t="shared" si="15"/>
        <v>491</v>
      </c>
      <c r="C498" s="7"/>
      <c r="D498" s="7"/>
      <c r="E498" s="7" t="str">
        <f>IF(LEN($C498),_xll.ciqfunctions.udf.CIQ($C498,"IQ_KEY_DEV_HEADLINE"),"")</f>
        <v/>
      </c>
      <c r="F498" s="7" t="str">
        <f>IF(LEN($C498)&gt;0,_xll.ciqfunctions.udf.CIQ($C498,"IQ_KEY_DEV_TYPE"),"")</f>
        <v/>
      </c>
      <c r="G498" s="7" t="str">
        <f t="shared" si="14"/>
        <v/>
      </c>
      <c r="H498" s="7"/>
      <c r="I498" s="19" t="str">
        <f>+IF(LEN($C498)&gt;0,TEXT(_xll.ciqfunctions.udf.CIQ($C498,"IQ_KEY_DEV_DATE"),"mmm-dd-yyyy"),"")</f>
        <v/>
      </c>
    </row>
    <row r="499" spans="2:9" x14ac:dyDescent="0.2">
      <c r="B499" s="7">
        <f t="shared" si="15"/>
        <v>492</v>
      </c>
      <c r="C499" s="7"/>
      <c r="D499" s="7"/>
      <c r="E499" s="7" t="str">
        <f>IF(LEN($C499),_xll.ciqfunctions.udf.CIQ($C499,"IQ_KEY_DEV_HEADLINE"),"")</f>
        <v/>
      </c>
      <c r="F499" s="7" t="str">
        <f>IF(LEN($C499)&gt;0,_xll.ciqfunctions.udf.CIQ($C499,"IQ_KEY_DEV_TYPE"),"")</f>
        <v/>
      </c>
      <c r="G499" s="7" t="str">
        <f t="shared" si="14"/>
        <v/>
      </c>
      <c r="H499" s="7"/>
      <c r="I499" s="19" t="str">
        <f>+IF(LEN($C499)&gt;0,TEXT(_xll.ciqfunctions.udf.CIQ($C499,"IQ_KEY_DEV_DATE"),"mmm-dd-yyyy"),"")</f>
        <v/>
      </c>
    </row>
    <row r="500" spans="2:9" x14ac:dyDescent="0.2">
      <c r="B500" s="7">
        <f t="shared" si="15"/>
        <v>493</v>
      </c>
      <c r="C500" s="7"/>
      <c r="D500" s="7"/>
      <c r="E500" s="7" t="str">
        <f>IF(LEN($C500),_xll.ciqfunctions.udf.CIQ($C500,"IQ_KEY_DEV_HEADLINE"),"")</f>
        <v/>
      </c>
      <c r="F500" s="7" t="str">
        <f>IF(LEN($C500)&gt;0,_xll.ciqfunctions.udf.CIQ($C500,"IQ_KEY_DEV_TYPE"),"")</f>
        <v/>
      </c>
      <c r="G500" s="7" t="str">
        <f t="shared" si="14"/>
        <v/>
      </c>
      <c r="H500" s="7"/>
      <c r="I500" s="19" t="str">
        <f>+IF(LEN($C500)&gt;0,TEXT(_xll.ciqfunctions.udf.CIQ($C500,"IQ_KEY_DEV_DATE"),"mmm-dd-yyyy"),"")</f>
        <v/>
      </c>
    </row>
    <row r="501" spans="2:9" x14ac:dyDescent="0.2">
      <c r="B501" s="7">
        <f t="shared" si="15"/>
        <v>494</v>
      </c>
      <c r="C501" s="7"/>
      <c r="D501" s="7"/>
      <c r="E501" s="7" t="str">
        <f>IF(LEN($C501),_xll.ciqfunctions.udf.CIQ($C501,"IQ_KEY_DEV_HEADLINE"),"")</f>
        <v/>
      </c>
      <c r="F501" s="7" t="str">
        <f>IF(LEN($C501)&gt;0,_xll.ciqfunctions.udf.CIQ($C501,"IQ_KEY_DEV_TYPE"),"")</f>
        <v/>
      </c>
      <c r="G501" s="7" t="str">
        <f t="shared" si="14"/>
        <v/>
      </c>
      <c r="H501" s="7"/>
      <c r="I501" s="19" t="str">
        <f>+IF(LEN($C501)&gt;0,TEXT(_xll.ciqfunctions.udf.CIQ($C501,"IQ_KEY_DEV_DATE"),"mmm-dd-yyyy"),"")</f>
        <v/>
      </c>
    </row>
    <row r="502" spans="2:9" x14ac:dyDescent="0.2">
      <c r="B502" s="7">
        <f t="shared" si="15"/>
        <v>495</v>
      </c>
      <c r="C502" s="7"/>
      <c r="D502" s="7"/>
      <c r="E502" s="7" t="str">
        <f>IF(LEN($C502),_xll.ciqfunctions.udf.CIQ($C502,"IQ_KEY_DEV_HEADLINE"),"")</f>
        <v/>
      </c>
      <c r="F502" s="7" t="str">
        <f>IF(LEN($C502)&gt;0,_xll.ciqfunctions.udf.CIQ($C502,"IQ_KEY_DEV_TYPE"),"")</f>
        <v/>
      </c>
      <c r="G502" s="7" t="str">
        <f t="shared" si="14"/>
        <v/>
      </c>
      <c r="H502" s="7"/>
      <c r="I502" s="19" t="str">
        <f>+IF(LEN($C502)&gt;0,TEXT(_xll.ciqfunctions.udf.CIQ($C502,"IQ_KEY_DEV_DATE"),"mmm-dd-yyyy"),"")</f>
        <v/>
      </c>
    </row>
    <row r="503" spans="2:9" x14ac:dyDescent="0.2">
      <c r="B503" s="7">
        <f t="shared" si="15"/>
        <v>496</v>
      </c>
      <c r="C503" s="7"/>
      <c r="D503" s="7"/>
      <c r="E503" s="7" t="str">
        <f>IF(LEN($C503),_xll.ciqfunctions.udf.CIQ($C503,"IQ_KEY_DEV_HEADLINE"),"")</f>
        <v/>
      </c>
      <c r="F503" s="7" t="str">
        <f>IF(LEN($C503)&gt;0,_xll.ciqfunctions.udf.CIQ($C503,"IQ_KEY_DEV_TYPE"),"")</f>
        <v/>
      </c>
      <c r="G503" s="7" t="str">
        <f t="shared" si="14"/>
        <v/>
      </c>
      <c r="H503" s="7"/>
      <c r="I503" s="19" t="str">
        <f>+IF(LEN($C503)&gt;0,TEXT(_xll.ciqfunctions.udf.CIQ($C503,"IQ_KEY_DEV_DATE"),"mmm-dd-yyyy"),"")</f>
        <v/>
      </c>
    </row>
    <row r="504" spans="2:9" x14ac:dyDescent="0.2">
      <c r="B504" s="7">
        <f t="shared" si="15"/>
        <v>497</v>
      </c>
      <c r="C504" s="7"/>
      <c r="D504" s="7"/>
      <c r="E504" s="7" t="str">
        <f>IF(LEN($C504),_xll.ciqfunctions.udf.CIQ($C504,"IQ_KEY_DEV_HEADLINE"),"")</f>
        <v/>
      </c>
      <c r="F504" s="7" t="str">
        <f>IF(LEN($C504)&gt;0,_xll.ciqfunctions.udf.CIQ($C504,"IQ_KEY_DEV_TYPE"),"")</f>
        <v/>
      </c>
      <c r="G504" s="7" t="str">
        <f t="shared" si="14"/>
        <v/>
      </c>
      <c r="H504" s="7"/>
      <c r="I504" s="19" t="str">
        <f>+IF(LEN($C504)&gt;0,TEXT(_xll.ciqfunctions.udf.CIQ($C504,"IQ_KEY_DEV_DATE"),"mmm-dd-yyyy"),"")</f>
        <v/>
      </c>
    </row>
    <row r="505" spans="2:9" x14ac:dyDescent="0.2">
      <c r="B505" s="7">
        <f t="shared" si="15"/>
        <v>498</v>
      </c>
      <c r="C505" s="7"/>
      <c r="D505" s="7"/>
      <c r="E505" s="7" t="str">
        <f>IF(LEN($C505),_xll.ciqfunctions.udf.CIQ($C505,"IQ_KEY_DEV_HEADLINE"),"")</f>
        <v/>
      </c>
      <c r="F505" s="7" t="str">
        <f>IF(LEN($C505)&gt;0,_xll.ciqfunctions.udf.CIQ($C505,"IQ_KEY_DEV_TYPE"),"")</f>
        <v/>
      </c>
      <c r="G505" s="7" t="str">
        <f t="shared" si="14"/>
        <v/>
      </c>
      <c r="H505" s="7"/>
      <c r="I505" s="19" t="str">
        <f>+IF(LEN($C505)&gt;0,TEXT(_xll.ciqfunctions.udf.CIQ($C505,"IQ_KEY_DEV_DATE"),"mmm-dd-yyyy"),"")</f>
        <v/>
      </c>
    </row>
    <row r="506" spans="2:9" x14ac:dyDescent="0.2">
      <c r="B506" s="7">
        <f t="shared" si="15"/>
        <v>499</v>
      </c>
      <c r="C506" s="7"/>
      <c r="D506" s="7"/>
      <c r="E506" s="7" t="str">
        <f>IF(LEN($C506),_xll.ciqfunctions.udf.CIQ($C506,"IQ_KEY_DEV_HEADLINE"),"")</f>
        <v/>
      </c>
      <c r="F506" s="7" t="str">
        <f>IF(LEN($C506)&gt;0,_xll.ciqfunctions.udf.CIQ($C506,"IQ_KEY_DEV_TYPE"),"")</f>
        <v/>
      </c>
      <c r="G506" s="7" t="str">
        <f t="shared" si="14"/>
        <v/>
      </c>
      <c r="H506" s="7"/>
      <c r="I506" s="19" t="str">
        <f>+IF(LEN($C506)&gt;0,TEXT(_xll.ciqfunctions.udf.CIQ($C506,"IQ_KEY_DEV_DATE"),"mmm-dd-yyyy"),"")</f>
        <v/>
      </c>
    </row>
    <row r="507" spans="2:9" x14ac:dyDescent="0.2">
      <c r="B507" s="7">
        <f t="shared" si="15"/>
        <v>500</v>
      </c>
      <c r="C507" s="7"/>
      <c r="D507" s="7"/>
      <c r="E507" s="7" t="str">
        <f>IF(LEN($C507),_xll.ciqfunctions.udf.CIQ($C507,"IQ_KEY_DEV_HEADLINE"),"")</f>
        <v/>
      </c>
      <c r="F507" s="7" t="str">
        <f>IF(LEN($C507)&gt;0,_xll.ciqfunctions.udf.CIQ($C507,"IQ_KEY_DEV_TYPE"),"")</f>
        <v/>
      </c>
      <c r="G507" s="7" t="str">
        <f t="shared" si="14"/>
        <v/>
      </c>
      <c r="H507" s="7"/>
      <c r="I507" s="19" t="str">
        <f>+IF(LEN($C507)&gt;0,TEXT(_xll.ciqfunctions.udf.CIQ($C507,"IQ_KEY_DEV_DATE"),"mmm-dd-yyyy"),"")</f>
        <v/>
      </c>
    </row>
  </sheetData>
  <dataValidations count="2">
    <dataValidation type="list" allowBlank="1" showInputMessage="1" showErrorMessage="1" sqref="Q10 Q118 Q72 Q62 Q52 Q22 Q95" xr:uid="{00000000-0002-0000-2200-000000000000}">
      <formula1>$T$3:$T$4</formula1>
    </dataValidation>
    <dataValidation type="list" allowBlank="1" showInputMessage="1" showErrorMessage="1" sqref="Q6:Q9 Q12:Q21 Q24:Q51 Q54:Q61 Q64:Q71 Q74:Q94 Q97:Q117 Q120:Q155" xr:uid="{00000000-0002-0000-2200-000001000000}">
      <formula1>"Yes,No"</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vt:i4>
      </vt:variant>
    </vt:vector>
  </HeadingPairs>
  <TitlesOfParts>
    <vt:vector size="95" baseType="lpstr">
      <vt:lpstr>ImpData</vt:lpstr>
      <vt:lpstr>Export (F)</vt:lpstr>
      <vt:lpstr>Export (N)</vt:lpstr>
      <vt:lpstr>Input</vt:lpstr>
      <vt:lpstr>Overview</vt:lpstr>
      <vt:lpstr>Overview (Hidden)</vt:lpstr>
      <vt:lpstr>Professionals</vt:lpstr>
      <vt:lpstr>Key Financials</vt:lpstr>
      <vt:lpstr>Financial Analysis</vt:lpstr>
      <vt:lpstr>Capital Structure</vt:lpstr>
      <vt:lpstr>Bond Prices</vt:lpstr>
      <vt:lpstr>Market Data</vt:lpstr>
      <vt:lpstr>Peer Analysis</vt:lpstr>
      <vt:lpstr>Private Ownership</vt:lpstr>
      <vt:lpstr>Advisors</vt:lpstr>
      <vt:lpstr>M&amp;A Transactions</vt:lpstr>
      <vt:lpstr>Key Developments</vt:lpstr>
      <vt:lpstr>Financial Data</vt:lpstr>
      <vt:lpstr>Peer Data</vt:lpstr>
      <vt:lpstr>Price Data</vt:lpstr>
      <vt:lpstr>Glossary</vt:lpstr>
      <vt:lpstr>CIQ Segments</vt:lpstr>
      <vt:lpstr>CIQ Advisors</vt:lpstr>
      <vt:lpstr>CIQ Professionals</vt:lpstr>
      <vt:lpstr>CIQ Ownership</vt:lpstr>
      <vt:lpstr>CIQ Revision</vt:lpstr>
      <vt:lpstr>CIQ M&amp;A Transactions</vt:lpstr>
      <vt:lpstr>CIQ Key Developments</vt:lpstr>
      <vt:lpstr>AcquisitionsDealCount</vt:lpstr>
      <vt:lpstr>Board_Members</vt:lpstr>
      <vt:lpstr>Board_Members_Index</vt:lpstr>
      <vt:lpstr>Bond_Info</vt:lpstr>
      <vt:lpstr>Bond_Prices</vt:lpstr>
      <vt:lpstr>chartType</vt:lpstr>
      <vt:lpstr>chartType_Fin</vt:lpstr>
      <vt:lpstr>CIQ_Board_Members</vt:lpstr>
      <vt:lpstr>CIQ_Key_Professional</vt:lpstr>
      <vt:lpstr>CIQPeers</vt:lpstr>
      <vt:lpstr>CompanyEndPeriod</vt:lpstr>
      <vt:lpstr>CompanyName</vt:lpstr>
      <vt:lpstr>CompanyNumberOfPeriods</vt:lpstr>
      <vt:lpstr>CompanyStartPeriod</vt:lpstr>
      <vt:lpstr>CompData_Fin</vt:lpstr>
      <vt:lpstr>CompData_NonFin</vt:lpstr>
      <vt:lpstr>CumulativeIncomeStatement</vt:lpstr>
      <vt:lpstr>DecompEndPeriod</vt:lpstr>
      <vt:lpstr>DecompStartPeriod</vt:lpstr>
      <vt:lpstr>DivestmentDealCount</vt:lpstr>
      <vt:lpstr>EndingCompanyQuarter</vt:lpstr>
      <vt:lpstr>EndingCompanyYear</vt:lpstr>
      <vt:lpstr>EndingQuarter</vt:lpstr>
      <vt:lpstr>EndingYear</vt:lpstr>
      <vt:lpstr>EndPeriod</vt:lpstr>
      <vt:lpstr>'Export (F)'!eStart</vt:lpstr>
      <vt:lpstr>'Export (N)'!eStart</vt:lpstr>
      <vt:lpstr>Financial_Advisor</vt:lpstr>
      <vt:lpstr>Investor</vt:lpstr>
      <vt:lpstr>Key_Dev</vt:lpstr>
      <vt:lpstr>Key_Professional</vt:lpstr>
      <vt:lpstr>Key_Professional_Index</vt:lpstr>
      <vt:lpstr>KeyFinEnd_Fin</vt:lpstr>
      <vt:lpstr>KeyFinEnd_NonFin</vt:lpstr>
      <vt:lpstr>KeyFinStart_Fin</vt:lpstr>
      <vt:lpstr>KeyFinStart_NonFin</vt:lpstr>
      <vt:lpstr>Legal_Advisor</vt:lpstr>
      <vt:lpstr>metric</vt:lpstr>
      <vt:lpstr>News_Category</vt:lpstr>
      <vt:lpstr>nQuartile</vt:lpstr>
      <vt:lpstr>NumberOfPeers</vt:lpstr>
      <vt:lpstr>NumberOfPeriods</vt:lpstr>
      <vt:lpstr>PeerAnalysisChartType_Fin</vt:lpstr>
      <vt:lpstr>PeerAnalysisChartType_NonFin</vt:lpstr>
      <vt:lpstr>PeerAnalysisCompanyChartData_Fin</vt:lpstr>
      <vt:lpstr>PeerAnalysisCompanyChartData_NonFin</vt:lpstr>
      <vt:lpstr>PeerData_Fin</vt:lpstr>
      <vt:lpstr>PeerData_NonFin</vt:lpstr>
      <vt:lpstr>Peers_Input</vt:lpstr>
      <vt:lpstr>pMaxHeight</vt:lpstr>
      <vt:lpstr>pMaxWidth</vt:lpstr>
      <vt:lpstr>PriceData</vt:lpstr>
      <vt:lpstr>PriceStartDate</vt:lpstr>
      <vt:lpstr>Overview!Print_Area</vt:lpstr>
      <vt:lpstr>ProfileType</vt:lpstr>
      <vt:lpstr>ShortName</vt:lpstr>
      <vt:lpstr>StartingCompanyQuarter</vt:lpstr>
      <vt:lpstr>StartingCompanyYear</vt:lpstr>
      <vt:lpstr>StartingQuarter</vt:lpstr>
      <vt:lpstr>StartingYear</vt:lpstr>
      <vt:lpstr>StartPeriod</vt:lpstr>
      <vt:lpstr>SummaryPeers</vt:lpstr>
      <vt:lpstr>Target</vt:lpstr>
      <vt:lpstr>TargetIndustry</vt:lpstr>
      <vt:lpstr>TimePeriodType</vt:lpstr>
      <vt:lpstr>Transaction_closed</vt:lpstr>
      <vt:lpstr>Transaction_start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aghosh</dc:creator>
  <cp:lastModifiedBy>Rick Summers</cp:lastModifiedBy>
  <cp:lastPrinted>2018-03-16T09:54:33Z</cp:lastPrinted>
  <dcterms:created xsi:type="dcterms:W3CDTF">2011-09-20T22:10:16Z</dcterms:created>
  <dcterms:modified xsi:type="dcterms:W3CDTF">2022-03-25T15:03:36Z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ckup">
    <vt:i4>0</vt:i4>
  </property>
  <property fmtid="{D5CDD505-2E9C-101B-9397-08002B2CF9AE}" pid="3" name="{A44787D4-0540-4523-9961-78E4036D8C6D}">
    <vt:lpwstr>{FF5B846D-3C9A-4BCC-8C0A-0E486191D2FD}</vt:lpwstr>
  </property>
</Properties>
</file>